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Dashboard" sheetId="2" state="visible" r:id="rId4"/>
    <sheet name="Year_Panel" sheetId="3" state="visible" r:id="rId5"/>
    <sheet name="Teacher_Report" sheetId="4" state="visible" r:id="rId6"/>
    <sheet name="Data" sheetId="5" state="visible" r:id="rId7"/>
    <sheet name="Target_Attain" sheetId="6" state="visible" r:id="rId8"/>
    <sheet name="Target_Progress" sheetId="7" state="visible" r:id="rId9"/>
    <sheet name="Settings" sheetId="8" state="visible" r:id="rId10"/>
    <sheet name="Progress_Matrix" sheetId="9" state="visible" r:id="rId11"/>
    <sheet name="Classes" sheetId="10" state="visible" r:id="rId12"/>
    <sheet name="Teachers" sheetId="11" state="visible" r:id="rId13"/>
    <sheet name="Checks" sheetId="12" state="visible" r:id="rId14"/>
    <sheet name="Tests" sheetId="13" state="visible" r:id="rId15"/>
    <sheet name="مثال_Example" sheetId="14" state="visible" r:id="rId16"/>
    <sheet name="Lists" sheetId="15" state="visible" r:id="rId17"/>
  </sheets>
  <definedNames>
    <definedName function="false" hidden="true" localSheetId="9" name="_xlnm._FilterDatabase" vbProcedure="false">Classes!$A$5:$I$420</definedName>
    <definedName function="false" hidden="true" localSheetId="3" name="_xlnm._FilterDatabase" vbProcedure="false">Teacher_Report!$B$9:$O$81</definedName>
    <definedName function="false" hidden="false" name="AboveRank" vbProcedure="false">Settings!$D$27</definedName>
    <definedName function="false" hidden="false" name="AtRank" vbProcedure="false">Settings!$D$26</definedName>
    <definedName function="false" hidden="false" name="ExOn" vbProcedure="false">Settings!$C$8</definedName>
    <definedName function="false" hidden="false" name="GradeList" vbProcedure="false">Settings!$B$12:$B$21</definedName>
    <definedName function="false" hidden="false" name="GradeMin" vbProcedure="false">Settings!$C$12:$C$21</definedName>
    <definedName function="false" hidden="false" name="KeyA_Acc" vbProcedure="false">Settings!$C$33</definedName>
    <definedName function="false" hidden="false" name="KeyA_Good" vbProcedure="false">Settings!$C$34</definedName>
    <definedName function="false" hidden="false" name="KeyA_Out" vbProcedure="false">Settings!$C$35</definedName>
    <definedName function="false" hidden="false" name="KeyA_VW" vbProcedure="false">Settings!$C$31</definedName>
    <definedName function="false" hidden="false" name="KeyA_Weak" vbProcedure="false">Settings!$C$32</definedName>
    <definedName function="false" hidden="false" name="KeyP_Acc" vbProcedure="false">Settings!$C$42</definedName>
    <definedName function="false" hidden="false" name="KeyP_Good" vbProcedure="false">Settings!$C$43</definedName>
    <definedName function="false" hidden="false" name="KeyP_Out" vbProcedure="false">Settings!$C$44</definedName>
    <definedName function="false" hidden="false" name="KeyP_VW" vbProcedure="false">Settings!$C$40</definedName>
    <definedName function="false" hidden="false" name="KeyP_Weak" vbProcedure="false">Settings!$C$41</definedName>
    <definedName function="false" hidden="false" name="MxBody" vbProcedure="false">Progress_Matrix!$C$6:$K$14</definedName>
    <definedName function="false" hidden="false" name="MxCurr" vbProcedure="false">Progress_Matrix!$B$6:$B$14</definedName>
    <definedName function="false" hidden="false" name="MxStart" vbProcedure="false">Progress_Matrix!$C$5:$K$5</definedName>
    <definedName function="false" hidden="false" name="SubjCode" vbProcedure="false">Settings!$B$56:$B$63</definedName>
    <definedName function="false" hidden="false" name="SubjName" vbProcedure="false">Settings!$C$56:$C$63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<sst xmlns="http://schemas.openxmlformats.org/spreadsheetml/2006/main" count="5878" uniqueCount="1054">
  <si>
    <t xml:space="preserve">دليل الاستخدام | User guide</t>
  </si>
  <si>
    <t xml:space="preserve">ملف تحليل نتائج الطلاب (Year 2 – Year 13): التحصيل والتقدم مع المعلمين والبلوكات والمجموعات — أعداد مجمّعة فقط، بلا أسماء طلاب.</t>
  </si>
  <si>
    <t xml:space="preserve">كيف تبدأ (5 خطوات)</t>
  </si>
  <si>
    <t xml:space="preserve">1</t>
  </si>
  <si>
    <t xml:space="preserve">Settings: راجع العام الدراسي وسلم الدرجات وحدود At/Above ومفتاح الأحكام (الخلايا الصفراء). مفتاح التقدم افتراضه منسوخ من مفتاح التحصيل — اعتمد قيمك.</t>
  </si>
  <si>
    <t xml:space="preserve">2</t>
  </si>
  <si>
    <t xml:space="preserve">Classes / Teachers: راجع ربط المعلم بالصف (مأخوذ من جدول MOE بتاريخ 01-OCT-26). الصفوف التي ظهر فيها أكثر من معلم تُركت فارغة ومكتوب سبب ذلك — اختر المعلم الصحيح. صحّح أي اسم معروض من Teachers.</t>
  </si>
  <si>
    <t xml:space="preserve">3</t>
  </si>
  <si>
    <t xml:space="preserve">Data: كل سطر = عدد الطلاب المشتركين في (كود الصف · الفترة · المجموعة · Start Point · Current Grade). اختر القيم من القوائم؛ المعلم والصف والبلوك والمادة تظهر تلقائياً.</t>
  </si>
  <si>
    <t xml:space="preserve">4</t>
  </si>
  <si>
    <t xml:space="preserve">Baseline: أدخل Current = علامة نقطة البداية واترك Start فارغاً (لا تقدم لـ Baseline). Term 1/2/3: Start = علامة Baseline، Current = علامة الفترة.</t>
  </si>
  <si>
    <t xml:space="preserve">5</t>
  </si>
  <si>
    <t xml:space="preserve">افتح Dashboard / Year_Panel / Teacher_Report واختر الفلاتر. Checks تعرض أي عدم اتساق في الأعداد، وTests تتحقق من صحة الحسابات.</t>
  </si>
  <si>
    <t xml:space="preserve">قواعد الحساب</t>
  </si>
  <si>
    <t xml:space="preserve">At &amp; Above</t>
  </si>
  <si>
    <t xml:space="preserve">عدد الطلاب عند AT فأعلى ÷ عدد الطلاب ذوي النتائج الفعلية (العتبة قابلة للتعديل في Settings). لا علاقة لها بالعلامة AT+.</t>
  </si>
  <si>
    <t xml:space="preserve">Above</t>
  </si>
  <si>
    <t xml:space="preserve">عدد الطلاب عند AB فأعلى ÷ عدد الطلاب ذوي النتائج الفعلية.</t>
  </si>
  <si>
    <t xml:space="preserve">الغياب / لا نتيجة</t>
  </si>
  <si>
    <t xml:space="preserve">اختر Current = NR (أو اتركه فارغاً): ليس U وليس صفراً، ويُستبعد من مقام التحصيل. U نتيجة فعلية تدخل المقام.</t>
  </si>
  <si>
    <t xml:space="preserve">التقدم</t>
  </si>
  <si>
    <t xml:space="preserve">يُصنَّف بالبحث (Lookup) في Progress_Matrix عن Start Point والعلامة الحالية — لا طرح ولا قاعدة ارتفاع/ثبات عامة. Expected &amp; Better = (Expected+Better)÷الحالات القابلة للتصنيف؛ Better = Better÷الحالات القابلة للتصنيف.</t>
  </si>
  <si>
    <t xml:space="preserve">U في التقدم</t>
  </si>
  <si>
    <t xml:space="preserve">U غير موجودة في المصفوفة المرفقة، فلا حكم لها: حالات Start=U أو Current=U تُستبعد من مقام التقدم ويُعرض عددها (بطاقة «حالات تقدم» وجدول الصفوف) حتى تُعتمد قاعدة.</t>
  </si>
  <si>
    <t xml:space="preserve">Current فقط</t>
  </si>
  <si>
    <t xml:space="preserve">من لديه Current بلا Start يدخل التحصيل ولا يدخل التقدم (يُعرض عددهم).</t>
  </si>
  <si>
    <t xml:space="preserve">المجموعات</t>
  </si>
  <si>
    <t xml:space="preserve">إجمالي الصف · الأولاد · البنات · SEND · Gifted &amp; Talented · الإماراتيون. متداخلة: لا يُجمع بعضها إلى بعض للحصول على إجمالي الصف. أدخل «إجمالي الصف» كسطور مستقلة.</t>
  </si>
  <si>
    <t xml:space="preserve">حكم الأداء</t>
  </si>
  <si>
    <t xml:space="preserve">At&amp;Above ≤15% ← Very Weak · أكبر من 15% وأقل من 75% ← Weak · ≥75%: Above أقل من 50% ← Acceptable · 50–60% ← Good · أكبر من 60% وأقل من 75% ← Very Good · ≥75% ← Outstanding. الحدود متصلة ولا تُقرَّب النسبة قبل الحكم (60.5% ← Very Good). تُطبَّق على التقدم بمفتاح مستقل.</t>
  </si>
  <si>
    <t xml:space="preserve">الإجماليات</t>
  </si>
  <si>
    <t xml:space="preserve">كل الإجماليات من مجموع الأعداد، لا من متوسط نسب الصفوف. عند مقام صفري يظهر «لا توجد بيانات».</t>
  </si>
  <si>
    <t xml:space="preserve">الحاسبتان</t>
  </si>
  <si>
    <t xml:space="preserve">Target_Attain</t>
  </si>
  <si>
    <t xml:space="preserve">أدخل عدد الطلاب ونسبتي Above وAt&amp;Above وخيار التقريب (أقرب نسبة / على الأقل) ← عدد لكل علامة بقاعدة أوزان قابلة للتعديل، ثم النسب المحققة والحكم والفارق. مثال: 40 / 55% / 93% ← 22 و37 (أو 38).</t>
  </si>
  <si>
    <t xml:space="preserve">Target_Progress</t>
  </si>
  <si>
    <t xml:space="preserve">أدخل عدد الطلاب عند كل Start Point ونسبتي Better وExpected&amp;Better ← جدول انتقالات (Start→Current) يحافظ على مجموع كل علامة بداية، مع التصنيف من المصفوفة والانخفاضات إن وُجدت. إن كان الهدف مستحيلاً (لا Less لمن يبدأ B/B+) يُعرض السبب وأقرب بديل.</t>
  </si>
  <si>
    <t xml:space="preserve">المقترحات</t>
  </si>
  <si>
    <t xml:space="preserve">نتائج الحاسبتين مقترحات تخطيطية منفصلة تماماً عن النتائج الفعلية ولا تعدّلها.</t>
  </si>
  <si>
    <t xml:space="preserve">الواجهة والحماية</t>
  </si>
  <si>
    <t xml:space="preserve">الألوان</t>
  </si>
  <si>
    <t xml:space="preserve">أصفر + خط أزرق = إدخال · أبيض/أسود = صيغة. أحمر = Less · أصفر = Expected · أخضر = Better. ألوان الأحكام من جدول المفتاح.</t>
  </si>
  <si>
    <t xml:space="preserve">الحماية</t>
  </si>
  <si>
    <t xml:space="preserve">الأوراق محمية بلا كلمة مرور (مراجعة ← إلغاء حماية الورقة) لمنع كتابة فوق الصيغ بالخطأ؛ خلايا الإدخال مفتوحة.</t>
  </si>
  <si>
    <t xml:space="preserve">بيانات «مثال»</t>
  </si>
  <si>
    <t xml:space="preserve">ورقة مثال_Example بيانات مصطنعة. تظهر في التقارير فقط إذا اخترت «نعم» في Settings. ورقة Data فارغة (النتائج الفعلية).</t>
  </si>
  <si>
    <t xml:space="preserve">حدود معروفة</t>
  </si>
  <si>
    <t xml:space="preserve">لا رفع صور</t>
  </si>
  <si>
    <t xml:space="preserve">لا يوجد زر رفع صور: Excel لا يقرأ صور Go4Schools/Power BI بالصيغ. الإدخال يدوي (أو نسخ/لصق) في Data.</t>
  </si>
  <si>
    <t xml:space="preserve">بلا ماكرو</t>
  </si>
  <si>
    <t xml:space="preserve">كل شيء بالصيغ (xlsx). الحاسبتان بالصيغ لا Solver ولا ماكرو؛ قاعدة التوزيع في Target_Progress ترتيب أفضلية واضح وليست حلاً أمثل عالمياً.</t>
  </si>
  <si>
    <t xml:space="preserve">السعة</t>
  </si>
  <si>
    <t xml:space="preserve">Data تتسع 5000 سطر (مثال 800). للتوسع: انسخ آخر سطر في Data إلى الأسفل وعدّل نطاقات التجميع (تتطلب إلغاء الحماية).</t>
  </si>
  <si>
    <t xml:space="preserve">فلتر الصف في Dashboard</t>
  </si>
  <si>
    <t xml:space="preserve">يؤثر على البطاقات وعلى جدول الفترات، بينما جدول/رسوم «حسب الصف» تعرض كل الصفوف دائماً.</t>
  </si>
  <si>
    <t xml:space="preserve">رموز المواد</t>
  </si>
  <si>
    <t xml:space="preserve">Aa Arabic A · Ab Arabic B · Ia Islamic A · Ib Islamic B · Ua (الاسم غير مؤكد — عدّله في Settings). مستبعدة: Ft, Ss, Su, Pp, Pa, Re, Gs, Af, Ae (FS2 وY1). أضف أي رمز في Settings ثم الصفوف في Classes.</t>
  </si>
  <si>
    <t xml:space="preserve">افتراضات موثّقة</t>
  </si>
  <si>
    <t xml:space="preserve">مفتاح التقدم = مفتاح التحصيل مبدئياً · العام الدراسي 2026-27 من تاريخ الجدول · قراءة المصفوفة من صورة مائلة (راجع Progress_Matrix ثم Tests).</t>
  </si>
  <si>
    <t xml:space="preserve">خريطة الأوراق | Sheet map</t>
  </si>
  <si>
    <t xml:space="preserve">Dashboard</t>
  </si>
  <si>
    <t xml:space="preserve">اللوحة الرئيسية: بطاقات ومقارنة الفترات والرسوم</t>
  </si>
  <si>
    <t xml:space="preserve">Year_Panel</t>
  </si>
  <si>
    <t xml:space="preserve">لوحة لكل صف: أعداد ونسب وتقديرات حسب البلوك</t>
  </si>
  <si>
    <t xml:space="preserve">Teacher_Report</t>
  </si>
  <si>
    <t xml:space="preserve">نتائج كل معلم</t>
  </si>
  <si>
    <t xml:space="preserve">Data</t>
  </si>
  <si>
    <t xml:space="preserve">إدخال الأعداد المجمّعة (النتائج الفعلية)</t>
  </si>
  <si>
    <t xml:space="preserve">حاسبة مستهدف التحصيل</t>
  </si>
  <si>
    <t xml:space="preserve">حاسبة مستهدف التقدم</t>
  </si>
  <si>
    <t xml:space="preserve">Settings</t>
  </si>
  <si>
    <t xml:space="preserve">الإعدادات والمفاتيح</t>
  </si>
  <si>
    <t xml:space="preserve">Progress_Matrix</t>
  </si>
  <si>
    <t xml:space="preserve">مصفوفة التقدم المرجعية</t>
  </si>
  <si>
    <t xml:space="preserve">Classes</t>
  </si>
  <si>
    <t xml:space="preserve">الصفوف والبلوكات والمعلمون</t>
  </si>
  <si>
    <t xml:space="preserve">Teachers</t>
  </si>
  <si>
    <t xml:space="preserve">قائمة المعلمين</t>
  </si>
  <si>
    <t xml:space="preserve">Checks</t>
  </si>
  <si>
    <t xml:space="preserve">فحوص الاتساق</t>
  </si>
  <si>
    <t xml:space="preserve">Tests</t>
  </si>
  <si>
    <t xml:space="preserve">اختبارات الصيغ</t>
  </si>
  <si>
    <t xml:space="preserve">مثال_Example</t>
  </si>
  <si>
    <t xml:space="preserve">بيانات تجريبية</t>
  </si>
  <si>
    <t xml:space="preserve">Lists</t>
  </si>
  <si>
    <t xml:space="preserve">قوائم داخلية</t>
  </si>
  <si>
    <t xml:space="preserve">لوحة تحليل نتائج الطلاب | Student Attainment &amp; Progress Dashboard</t>
  </si>
  <si>
    <t xml:space="preserve">الدليل</t>
  </si>
  <si>
    <t xml:space="preserve">اللوحة</t>
  </si>
  <si>
    <t xml:space="preserve">لوحة الصف</t>
  </si>
  <si>
    <t xml:space="preserve">المعلمون</t>
  </si>
  <si>
    <t xml:space="preserve">إدخال النتائج</t>
  </si>
  <si>
    <t xml:space="preserve">هدف التحصيل</t>
  </si>
  <si>
    <t xml:space="preserve">هدف التقدم</t>
  </si>
  <si>
    <t xml:space="preserve">الإعدادات</t>
  </si>
  <si>
    <t xml:space="preserve">المصفوفة</t>
  </si>
  <si>
    <t xml:space="preserve">الصفوف</t>
  </si>
  <si>
    <t xml:space="preserve">فحوص</t>
  </si>
  <si>
    <t xml:space="preserve">اختبارات</t>
  </si>
  <si>
    <t xml:space="preserve">معايير الفلاتر (مساعدة)</t>
  </si>
  <si>
    <t xml:space="preserve">المادة (Subject)</t>
  </si>
  <si>
    <t xml:space="preserve">الصف (Year)</t>
  </si>
  <si>
    <t xml:space="preserve">المعلم (Teacher)</t>
  </si>
  <si>
    <t xml:space="preserve">البلوك (Block)</t>
  </si>
  <si>
    <t xml:space="preserve">الفترة (Term)</t>
  </si>
  <si>
    <t xml:space="preserve">المجموعة (Group)</t>
  </si>
  <si>
    <t xml:space="preserve">الكل (All)</t>
  </si>
  <si>
    <t xml:space="preserve">Term 1</t>
  </si>
  <si>
    <t xml:space="preserve">إجمالي الصف (All)</t>
  </si>
  <si>
    <t xml:space="preserve">التحصيل | Attainment — للفلاتر الحالية</t>
  </si>
  <si>
    <t xml:space="preserve">طلاب بنتائج
Students with results</t>
  </si>
  <si>
    <t xml:space="preserve">حكم التحصيل
Attainment rating</t>
  </si>
  <si>
    <t xml:space="preserve">Δ At &amp; Above مقابل Baseline</t>
  </si>
  <si>
    <t xml:space="preserve">Δ Above مقابل Baseline</t>
  </si>
  <si>
    <t xml:space="preserve">قيم مساعدة (للقراءة فقط)</t>
  </si>
  <si>
    <t xml:space="preserve">حسب المفتاح في Settings</t>
  </si>
  <si>
    <t xml:space="preserve">نقاط مئوية (الفترة المختارة − Baseline)</t>
  </si>
  <si>
    <t xml:space="preserve">طلاب بنتائج</t>
  </si>
  <si>
    <t xml:space="preserve">التقدم | Progress — للفلاتر الحالية</t>
  </si>
  <si>
    <t xml:space="preserve">حالات تقدم قابلة للتصنيف
Progress cases</t>
  </si>
  <si>
    <t xml:space="preserve">Less Than Expected</t>
  </si>
  <si>
    <t xml:space="preserve">Expected</t>
  </si>
  <si>
    <t xml:space="preserve">Better Than Expected</t>
  </si>
  <si>
    <t xml:space="preserve">Expected &amp; Better</t>
  </si>
  <si>
    <t xml:space="preserve">حكم التقدم
Progress rating</t>
  </si>
  <si>
    <t xml:space="preserve">Baseline: بنتائج</t>
  </si>
  <si>
    <t xml:space="preserve">Baseline: At</t>
  </si>
  <si>
    <t xml:space="preserve">حسب مفتاح التقدم في Settings</t>
  </si>
  <si>
    <t xml:space="preserve">Baseline: Above</t>
  </si>
  <si>
    <t xml:space="preserve">Less</t>
  </si>
  <si>
    <t xml:space="preserve">الرسوم | Charts</t>
  </si>
  <si>
    <t xml:space="preserve">Better</t>
  </si>
  <si>
    <t xml:space="preserve">U مستبعد</t>
  </si>
  <si>
    <t xml:space="preserve">بدون Start</t>
  </si>
  <si>
    <t xml:space="preserve">حالات التقدم</t>
  </si>
  <si>
    <t xml:space="preserve">مفتاح الأحكام | Rating key</t>
  </si>
  <si>
    <t xml:space="preserve">Outstanding</t>
  </si>
  <si>
    <t xml:space="preserve">At &amp; Above ≥ 75% و Above ≥ 75%</t>
  </si>
  <si>
    <t xml:space="preserve">Very Good</t>
  </si>
  <si>
    <t xml:space="preserve">At &amp; Above ≥ 75% و Above &gt; 60% و &lt; 75%</t>
  </si>
  <si>
    <t xml:space="preserve">Good</t>
  </si>
  <si>
    <t xml:space="preserve">At &amp; Above ≥ 75% و Above من 50% إلى 60%</t>
  </si>
  <si>
    <t xml:space="preserve">Acceptable</t>
  </si>
  <si>
    <t xml:space="preserve">At &amp; Above ≥ 75% و Above &lt; 50%</t>
  </si>
  <si>
    <t xml:space="preserve">Weak</t>
  </si>
  <si>
    <t xml:space="preserve">At &amp; Above بين 15% و 75% (أقل من 75%)</t>
  </si>
  <si>
    <t xml:space="preserve">Very Weak</t>
  </si>
  <si>
    <t xml:space="preserve">At &amp; Above ≤ 15%</t>
  </si>
  <si>
    <t xml:space="preserve">التصنيف يُؤخذ من مصفوفة التقدم (Progress_Matrix) بالبحث عن Start Point والدرجة الحالية. U وحالات بلا Start تُستبعد من التقدم وتُعرض أعدادها.</t>
  </si>
  <si>
    <t xml:space="preserve">المقارنة مع نقطة البداية حسب الفترة | By Term (Baseline → Term 3)</t>
  </si>
  <si>
    <t xml:space="preserve">الفترة
Term</t>
  </si>
  <si>
    <t xml:space="preserve">طلاب
بنتائج</t>
  </si>
  <si>
    <t xml:space="preserve">At &amp; Above
%</t>
  </si>
  <si>
    <t xml:space="preserve">Above
%</t>
  </si>
  <si>
    <t xml:space="preserve">Δ At&amp;Above
مقابل BSL</t>
  </si>
  <si>
    <t xml:space="preserve">Δ Above
مقابل BSL</t>
  </si>
  <si>
    <t xml:space="preserve">حالات
تقدم</t>
  </si>
  <si>
    <t xml:space="preserve">Less
%</t>
  </si>
  <si>
    <t xml:space="preserve">Expected
%</t>
  </si>
  <si>
    <t xml:space="preserve">Better
%</t>
  </si>
  <si>
    <t xml:space="preserve">Expected&amp;Better
%</t>
  </si>
  <si>
    <t xml:space="preserve">حكم
التحصيل</t>
  </si>
  <si>
    <t xml:space="preserve">Baseline</t>
  </si>
  <si>
    <t xml:space="preserve">Term 2</t>
  </si>
  <si>
    <t xml:space="preserve">Term 3</t>
  </si>
  <si>
    <t xml:space="preserve">التحصيل حسب الصف | Attainment by Year (يتجاهل فلتر الصف)</t>
  </si>
  <si>
    <t xml:space="preserve">At &amp; Above
عدد</t>
  </si>
  <si>
    <t xml:space="preserve">Above
عدد</t>
  </si>
  <si>
    <t xml:space="preserve">Less
عدد</t>
  </si>
  <si>
    <t xml:space="preserve">Expected
عدد</t>
  </si>
  <si>
    <t xml:space="preserve">Better
عدد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</si>
  <si>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</si>
  <si>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</si>
  <si>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</si>
  <si>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</si>
  <si>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</si>
  <si>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</si>
  <si>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</si>
  <si>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</si>
  <si>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</si>
  <si>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</si>
  <si>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</si>
  <si>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</si>
  <si>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المجموع (من مجموع الأعداد)</t>
  </si>
  <si>
    <t xml:space="preserve">التقدم حسب الصف (Year) | Progress by الصف (Year)</t>
  </si>
  <si>
    <t xml:space="preserve">Exp&amp;Better
عدد</t>
  </si>
  <si>
    <t xml:space="preserve">Exp&amp;Better
%</t>
  </si>
  <si>
    <t xml:space="preserve">حكم
التقدم</t>
  </si>
  <si>
    <t xml:space="preserve">مستبعد
U + بدون Start</t>
  </si>
  <si>
    <t xml:space="preserve">المجموع</t>
  </si>
  <si>
    <t xml:space="preserve">توزيع العلامات الحالية | Grade distribution (للفلاتر الحالية)</t>
  </si>
  <si>
    <t xml:space="preserve">العلامة
Grade</t>
  </si>
  <si>
    <t xml:space="preserve">عدد
الطلاب</t>
  </si>
  <si>
    <t xml:space="preserve">% من
أصحاب النتائج</t>
  </si>
  <si>
    <t xml:space="preserve">ضمن At &amp; Above؟</t>
  </si>
  <si>
    <t xml:space="preserve">تسمية الرسم</t>
  </si>
  <si>
    <t xml:space="preserve">U</t>
  </si>
  <si>
    <t xml:space="preserve">B</t>
  </si>
  <si>
    <t xml:space="preserve">B+</t>
  </si>
  <si>
    <t xml:space="preserve">T</t>
  </si>
  <si>
    <t xml:space="preserve">AT</t>
  </si>
  <si>
    <t xml:space="preserve">AT+</t>
  </si>
  <si>
    <t xml:space="preserve">AB</t>
  </si>
  <si>
    <t xml:space="preserve">AB+</t>
  </si>
  <si>
    <t xml:space="preserve">GD</t>
  </si>
  <si>
    <t xml:space="preserve">GD+</t>
  </si>
  <si>
    <t xml:space="preserve">شريحة التحصيل</t>
  </si>
  <si>
    <t xml:space="preserve">عدد</t>
  </si>
  <si>
    <t xml:space="preserve">%</t>
  </si>
  <si>
    <t xml:space="preserve">أقل من At (Below At)</t>
  </si>
  <si>
    <t xml:space="preserve">At (دون Above)</t>
  </si>
  <si>
    <t xml:space="preserve">تصنيف التقدم</t>
  </si>
  <si>
    <t xml:space="preserve">لوحة الصف | Year Panel</t>
  </si>
  <si>
    <t xml:space="preserve">التقدم | Progress</t>
  </si>
  <si>
    <t xml:space="preserve">المقارنة مع نقطة البداية حسب الفترة (لهذا الصف) | By Term</t>
  </si>
  <si>
    <t xml:space="preserve">حسب البلوك | By Block (يتجاهل فلتر البلوك)</t>
  </si>
  <si>
    <t xml:space="preserve">التقدم حسب البلوك (Block) | Progress by البلوك (Block)</t>
  </si>
  <si>
    <t xml:space="preserve">توزيع العلامات الحالية | Grade distribution</t>
  </si>
  <si>
    <t xml:space="preserve">تقرير المعلمين | Teacher Report</t>
  </si>
  <si>
    <t xml:space="preserve">معايير (مساعدة)</t>
  </si>
  <si>
    <t xml:space="preserve">المعلم
Teacher</t>
  </si>
  <si>
    <t xml:space="preserve">القسم</t>
  </si>
  <si>
    <t xml:space="preserve">عدد
الصفوف</t>
  </si>
  <si>
    <t xml:space="preserve">At&amp;Above
عدد</t>
  </si>
  <si>
    <t xml:space="preserve">At&amp;Above
%</t>
  </si>
  <si>
    <t xml:space="preserve">غير محدد (Unassigned)</t>
  </si>
  <si>
    <t xml:space="preserve">—</t>
  </si>
  <si>
    <t xml:space="preserve">ملاحظة: المجموعات (Set) غالباً حسب القدرة، لذا قارن المعلمين بالتقدم (Progress) وداخل المجموعة نفسها، لا بالتحصيل وحده.</t>
  </si>
  <si>
    <t xml:space="preserve">إدخال النتائج المجمّعة | Data entry (counts only — لا أسماء ولا أكواد طلاب)</t>
  </si>
  <si>
    <t xml:space="preserve">كل سطر = عدد الطلاب المشتركين في نفس (الصف · الفترة · المجموعة · Start Point · Current Grade). Baseline: اترك Start فارغاً. غياب/لا نتيجة: Current = NR (ليس U). المجموعات متداخلة: أدخل كل مجموعة على حدة، ولا تُجمع. السعة 5000 سطر (انسخ آخر صف للأسفل للتوسع).</t>
  </si>
  <si>
    <t xml:space="preserve">خلايا صفراء = إدخال</t>
  </si>
  <si>
    <t xml:space="preserve">أبيض = صيغة (مقفلة)</t>
  </si>
  <si>
    <t xml:space="preserve">كود الصف
Class</t>
  </si>
  <si>
    <t xml:space="preserve">المادة
Subject</t>
  </si>
  <si>
    <t xml:space="preserve">الصف
Year</t>
  </si>
  <si>
    <t xml:space="preserve">البلوك
Block</t>
  </si>
  <si>
    <t xml:space="preserve">المجموعة
Group</t>
  </si>
  <si>
    <t xml:space="preserve">Start
Point</t>
  </si>
  <si>
    <t xml:space="preserve">Current
Grade</t>
  </si>
  <si>
    <t xml:space="preserve">العدد
Count</t>
  </si>
  <si>
    <t xml:space="preserve">تصنيف التقدم
(تلقائي)</t>
  </si>
  <si>
    <t xml:space="preserve">الحالة
Status</t>
  </si>
  <si>
    <t xml:space="preserve">ClassIdx</t>
  </si>
  <si>
    <t xml:space="preserve">StartRank</t>
  </si>
  <si>
    <t xml:space="preserve">CurrRank</t>
  </si>
  <si>
    <t xml:space="preserve">ValidCount</t>
  </si>
  <si>
    <t xml:space="preserve">n_results</t>
  </si>
  <si>
    <t xml:space="preserve">n_AtAbove</t>
  </si>
  <si>
    <t xml:space="preserve">n_Above</t>
  </si>
  <si>
    <t xml:space="preserve">n_Less</t>
  </si>
  <si>
    <t xml:space="preserve">n_Exp</t>
  </si>
  <si>
    <t xml:space="preserve">n_Better</t>
  </si>
  <si>
    <t xml:space="preserve">n_Uexcl</t>
  </si>
  <si>
    <t xml:space="preserve">n_CurrOnly</t>
  </si>
  <si>
    <t xml:space="preserve">حاسبة مستهدف التحصيل | Attainment target calculator</t>
  </si>
  <si>
    <t xml:space="preserve">أدخل عدد الطلاب والنسبتين المستهدفتين ← يقترح الملف عدداً لكل علامة. هذا مقترح تخطيطي، لا يغيّر أي نتيجة فعلية.</t>
  </si>
  <si>
    <t xml:space="preserve">المدخلات | Inputs  (القيم الحالية «مثال» — استبدلها)</t>
  </si>
  <si>
    <t xml:space="preserve">عدد طلاب الصف (Class size)</t>
  </si>
  <si>
    <t xml:space="preserve">مثال المرجع: 40 طالباً، Above=55%، At &amp; Above=93% ← Above=22 ؛ At &amp; Above=37 (أقرب) أو 38 (على الأقل).</t>
  </si>
  <si>
    <t xml:space="preserve">نسبة Above المستهدفة</t>
  </si>
  <si>
    <t xml:space="preserve">نسبة At &amp; Above المستهدفة</t>
  </si>
  <si>
    <t xml:space="preserve">خيار التقريب (Rounding)</t>
  </si>
  <si>
    <t xml:space="preserve">أقرب نسبة ممكنة</t>
  </si>
  <si>
    <t xml:space="preserve">حالة المدخلات</t>
  </si>
  <si>
    <t xml:space="preserve">مفتاح الصلاحية (1/0)</t>
  </si>
  <si>
    <t xml:space="preserve">مفتاح التوزيع (1/0)</t>
  </si>
  <si>
    <t xml:space="preserve">عدد Above</t>
  </si>
  <si>
    <t xml:space="preserve">عدد At &amp; Above (حسب النسبة)</t>
  </si>
  <si>
    <t xml:space="preserve">عدد At &amp; Above المعتمد (≥ Above)</t>
  </si>
  <si>
    <t xml:space="preserve">قاعدة التوزيع المقترحة: توزيع كل شريحة على علاماتها بنسبة الأوزان (أكبر باقٍ) — الأوزان قابلة للتعديل</t>
  </si>
  <si>
    <t xml:space="preserve">الشرائح تُحدَّد من Settings: Below At &lt; At ≤ … &lt; Above. الأعداد صحيحة ومجموع كل شريحة ثابت؛ الباقي الكسري يُمنح لأكبر كسر ثم لأدنى علامة. وزن 0 = لا يُوضع فيها طلاب.</t>
  </si>
  <si>
    <t xml:space="preserve">العلامة</t>
  </si>
  <si>
    <t xml:space="preserve">الترتيب</t>
  </si>
  <si>
    <t xml:space="preserve">الشريحة</t>
  </si>
  <si>
    <t xml:space="preserve">الوزن
(إدخال)</t>
  </si>
  <si>
    <t xml:space="preserve">عدد الشريحة</t>
  </si>
  <si>
    <t xml:space="preserve">مجموع الأوزان</t>
  </si>
  <si>
    <t xml:space="preserve">حصة دقيقة</t>
  </si>
  <si>
    <t xml:space="preserve">الجزء الصحيح</t>
  </si>
  <si>
    <t xml:space="preserve">الكسر</t>
  </si>
  <si>
    <t xml:space="preserve">الباقي</t>
  </si>
  <si>
    <t xml:space="preserve">ترتيب الكسر</t>
  </si>
  <si>
    <t xml:space="preserve">زيادة</t>
  </si>
  <si>
    <t xml:space="preserve">العدد المقترح</t>
  </si>
  <si>
    <t xml:space="preserve">النتائج الناتجة من التوزيع المقترح | Resulting distribution (يُعاد حسابها من الأعداد)</t>
  </si>
  <si>
    <t xml:space="preserve">المؤشر</t>
  </si>
  <si>
    <t xml:space="preserve">الهدف</t>
  </si>
  <si>
    <t xml:space="preserve">العدد الناتج</t>
  </si>
  <si>
    <t xml:space="preserve">النسبة المحققة</t>
  </si>
  <si>
    <t xml:space="preserve">الفارق عن الهدف
(نقاط مئوية)</t>
  </si>
  <si>
    <t xml:space="preserve">الهدف الفعلي قد يختلف عن النسبة المطلوبة بسبب أن الأعداد صحيحة (انظر الفارق).</t>
  </si>
  <si>
    <t xml:space="preserve">حكم الأداء من التوزيع الناتج</t>
  </si>
  <si>
    <t xml:space="preserve">تحقق: مجموع الأعداد = عدد الصف</t>
  </si>
  <si>
    <t xml:space="preserve">حاسبة مستهدف التقدم | Progress target calculator</t>
  </si>
  <si>
    <t xml:space="preserve">أدخل عدد الطلاب عند كل Start Point ونسبتي الهدف ← يقترح الملف انتقالات (Start → Current) تحافظ على مجموع كل علامة بداية. مقترح تخطيطي فقط.</t>
  </si>
  <si>
    <t xml:space="preserve">نسبة Better Than Expected المستهدفة</t>
  </si>
  <si>
    <t xml:space="preserve">قاعدة التوزيع: (1) نحدد Less أولاً من علامات البداية الأقل كلفة (أدنى فرق كلفة بين Less وExpected)، (2) ثم Better من الأعلى توفيراً (كلفة Expected − كلفة Better)، (3) والباقي Expected. كلفة الانتقال = عدد القفزات × وزنها (الانخفاض أثقل). الوجهة داخل كل تصنيف هي الأقرب للبداية دون انخفاض إن أمكن. هذه قاعدة ترتيب واضحة وليست حلاً أمثل عالمياً.</t>
  </si>
  <si>
    <t xml:space="preserve">نسبة Expected &amp; Better المستهدفة</t>
  </si>
  <si>
    <t xml:space="preserve">وزن الانخفاض لكل قفزة (Decline weight)</t>
  </si>
  <si>
    <t xml:space="preserve">وزن الارتفاع لكل قفزة (Jump weight)</t>
  </si>
  <si>
    <t xml:space="preserve">عدد الطلاب عند كل Start Point وخطوات التوزيع</t>
  </si>
  <si>
    <t xml:space="preserve">Start Point</t>
  </si>
  <si>
    <t xml:space="preserve">العدد
(إدخال)</t>
  </si>
  <si>
    <t xml:space="preserve">الموضع</t>
  </si>
  <si>
    <t xml:space="preserve">وجهة
Better</t>
  </si>
  <si>
    <t xml:space="preserve">وجهة
Expected</t>
  </si>
  <si>
    <t xml:space="preserve">وجهة
Less</t>
  </si>
  <si>
    <t xml:space="preserve">كلفة
Better</t>
  </si>
  <si>
    <t xml:space="preserve">كلفة
Expected</t>
  </si>
  <si>
    <t xml:space="preserve">كلفة
Less</t>
  </si>
  <si>
    <t xml:space="preserve">سعة Less</t>
  </si>
  <si>
    <t xml:space="preserve">مفتاح
Less</t>
  </si>
  <si>
    <t xml:space="preserve">ترتيب
Less</t>
  </si>
  <si>
    <t xml:space="preserve">Less
مقترح</t>
  </si>
  <si>
    <t xml:space="preserve">المتبقي</t>
  </si>
  <si>
    <t xml:space="preserve">مفتاح
Better</t>
  </si>
  <si>
    <t xml:space="preserve">ترتيب
Better</t>
  </si>
  <si>
    <t xml:space="preserve">Better
مقترح</t>
  </si>
  <si>
    <t xml:space="preserve">Expected
مقترح</t>
  </si>
  <si>
    <t xml:space="preserve">U غير موجود في المصفوفة: لا تُدخل طلاب U هنا. تُستبعد حالات U من التقدم حتى تُعتمد قاعدة.</t>
  </si>
  <si>
    <t xml:space="preserve">الأهداف والجدوى | Targets &amp; feasibility</t>
  </si>
  <si>
    <t xml:space="preserve">عدد الطلاب القابلين للتصنيف (M)</t>
  </si>
  <si>
    <t xml:space="preserve">عدد Better المطلوب</t>
  </si>
  <si>
    <t xml:space="preserve">عدد Expected &amp; Better المطلوب</t>
  </si>
  <si>
    <t xml:space="preserve">سعة Less (طلاب علامة بدايتهم تحتمل Less)</t>
  </si>
  <si>
    <t xml:space="preserve">عدد Expected &amp; Better المعتمد</t>
  </si>
  <si>
    <t xml:space="preserve">عدد Less الناتج</t>
  </si>
  <si>
    <t xml:space="preserve">عدد Better الناتج</t>
  </si>
  <si>
    <t xml:space="preserve">عدد Expected الناتج</t>
  </si>
  <si>
    <t xml:space="preserve">الجدوى</t>
  </si>
  <si>
    <t xml:space="preserve">جدول الانتقالات المقترح | Proposed transitions (Start → Current، تصنيف كل انتقال من المصفوفة)</t>
  </si>
  <si>
    <t xml:space="preserve">التصنيف
المقصود</t>
  </si>
  <si>
    <t xml:space="preserve">موضع الوجهة</t>
  </si>
  <si>
    <t xml:space="preserve">Current
المقترح</t>
  </si>
  <si>
    <t xml:space="preserve">عدد الطلاب</t>
  </si>
  <si>
    <t xml:space="preserve">القفزات</t>
  </si>
  <si>
    <t xml:space="preserve">تصنيف المصفوفة</t>
  </si>
  <si>
    <t xml:space="preserve">تحقق</t>
  </si>
  <si>
    <t xml:space="preserve">ملاحظة</t>
  </si>
  <si>
    <t xml:space="preserve">العلامات الحالية الناتجة والمؤشرات | Resulting current grades &amp; indicators</t>
  </si>
  <si>
    <t xml:space="preserve">Current</t>
  </si>
  <si>
    <t xml:space="preserve">ترتيب Settings</t>
  </si>
  <si>
    <t xml:space="preserve">الفارق
(نقاط مئوية)</t>
  </si>
  <si>
    <t xml:space="preserve">At &amp; Above (تحصيل)</t>
  </si>
  <si>
    <t xml:space="preserve">Above (تحصيل)</t>
  </si>
  <si>
    <t xml:space="preserve">حكم التحصيل الناتج</t>
  </si>
  <si>
    <t xml:space="preserve">حكم التقدم الناتج</t>
  </si>
  <si>
    <t xml:space="preserve">طلاب ينخفض مستواهم في الحل المقترح</t>
  </si>
  <si>
    <t xml:space="preserve">تحقق: مجموع الأعداد = M</t>
  </si>
  <si>
    <t xml:space="preserve">الإعدادات | Settings</t>
  </si>
  <si>
    <t xml:space="preserve">الخلايا الصفراء (خط أزرق) قابلة للتعديل. كل الصيغ في الملف تقرأ من هنا.</t>
  </si>
  <si>
    <t xml:space="preserve">عام | General</t>
  </si>
  <si>
    <t xml:space="preserve">العام الدراسي (Academic year)</t>
  </si>
  <si>
    <t xml:space="preserve">2026-27</t>
  </si>
  <si>
    <t xml:space="preserve">افتراض: مأخوذ من تاريخ جدول المعلمين (01-OCT-26). عدّله إن لزم.</t>
  </si>
  <si>
    <t xml:space="preserve">إدراج بيانات «مثال» في التقارير؟ (Include Example data)</t>
  </si>
  <si>
    <t xml:space="preserve">لا</t>
  </si>
  <si>
    <t xml:space="preserve">الافتراضي «لا»: التقارير تعرض النتائج الفعلية فقط (فارغة حتى تُدخل بياناتك). اختر «نعم» لمعاينة اللوحات.</t>
  </si>
  <si>
    <t xml:space="preserve">مفتاح داخلي (1 = نعم)</t>
  </si>
  <si>
    <t xml:space="preserve">سلم الدرجات | Grade scale  (حدود الدرجات المئوية)</t>
  </si>
  <si>
    <t xml:space="preserve">العلامة (Grade)</t>
  </si>
  <si>
    <t xml:space="preserve">من % (Min)</t>
  </si>
  <si>
    <t xml:space="preserve">إلى أقل من % (Max)</t>
  </si>
  <si>
    <t xml:space="preserve">الترتيب (Rank)</t>
  </si>
  <si>
    <t xml:space="preserve">GD+: من 90 إلى 100 (شاملة). U أقل من 10.</t>
  </si>
  <si>
    <t xml:space="preserve">محوّل نسبة → علامة: أدخل نسبة 0–100</t>
  </si>
  <si>
    <t xml:space="preserve">تعريف At &amp; Above وAbove | Thresholds</t>
  </si>
  <si>
    <t xml:space="preserve">At &amp; Above يبدأ من العلامة (At threshold)</t>
  </si>
  <si>
    <t xml:space="preserve">At &amp; Above = عدد من نتيجتهم ≥ هذه العلامة ÷ أصحاب النتائج الفعلية. (ليس هو العلامة AT+)</t>
  </si>
  <si>
    <t xml:space="preserve">Above يبدأ من العلامة (Above threshold)</t>
  </si>
  <si>
    <t xml:space="preserve">Above = عدد من نتيجتهم ≥ هذه العلامة ÷ أصحاب النتائج الفعلية.</t>
  </si>
  <si>
    <t xml:space="preserve">مفتاح حكم التحصيل | Attainment key</t>
  </si>
  <si>
    <t xml:space="preserve">الحد</t>
  </si>
  <si>
    <t xml:space="preserve">القيمة</t>
  </si>
  <si>
    <t xml:space="preserve">الاسم</t>
  </si>
  <si>
    <t xml:space="preserve">At &amp; Above ≤ هذا الحد ← Very Weak</t>
  </si>
  <si>
    <t xml:space="preserve">KeyA_VW</t>
  </si>
  <si>
    <t xml:space="preserve">At &amp; Above أقل من هذا الحد ← Weak (وإلا يُنظر في Above)</t>
  </si>
  <si>
    <t xml:space="preserve">KeyA_Weak</t>
  </si>
  <si>
    <t xml:space="preserve">Above أقل من هذا الحد ← Acceptable</t>
  </si>
  <si>
    <t xml:space="preserve">KeyA_Acc</t>
  </si>
  <si>
    <t xml:space="preserve">Above ≤ هذا الحد ← Good ؛ وما فوقه حتى Outstanding ← Very Good</t>
  </si>
  <si>
    <t xml:space="preserve">KeyA_Good</t>
  </si>
  <si>
    <t xml:space="preserve">Above ≥ هذا الحد ← Outstanding</t>
  </si>
  <si>
    <t xml:space="preserve">KeyA_Out</t>
  </si>
  <si>
    <t xml:space="preserve">الحدود متصلة: لا تُقرَّب النسبة قبل الحكم (مثال: Above = 60.5% ← Very Good لأنها أكبر من 60%؛ At &amp; Above = 74.9% ← Weak لأنها أقل من 75%).</t>
  </si>
  <si>
    <t xml:space="preserve">مفتاح حكم التقدم | Progress key (إعداد مستقل)</t>
  </si>
  <si>
    <t xml:space="preserve">Expected &amp; Better ≤ هذا الحد ← Very Weak</t>
  </si>
  <si>
    <t xml:space="preserve">KeyP_VW</t>
  </si>
  <si>
    <t xml:space="preserve">افتراض: نُسخت قيم مفتاح التحصيل كبداية للتقدم (Expected &amp; Better ↔ At &amp; Above ، Better ↔ Above). عدّلها حسب اعتماد المدرسة.</t>
  </si>
  <si>
    <t xml:space="preserve">Expected &amp; Better أقل من هذا الحد ← Weak (وإلا يُنظر في Better Than Expected)</t>
  </si>
  <si>
    <t xml:space="preserve">KeyP_Weak</t>
  </si>
  <si>
    <t xml:space="preserve">Better Than Expected أقل من هذا الحد ← Acceptable</t>
  </si>
  <si>
    <t xml:space="preserve">KeyP_Acc</t>
  </si>
  <si>
    <t xml:space="preserve">Better Than Expected ≤ هذا الحد ← Good ؛ وما فوقه حتى Outstanding ← Very Good</t>
  </si>
  <si>
    <t xml:space="preserve">KeyP_Good</t>
  </si>
  <si>
    <t xml:space="preserve">Better Than Expected ≥ هذا الحد ← Outstanding</t>
  </si>
  <si>
    <t xml:space="preserve">KeyP_Out</t>
  </si>
  <si>
    <t xml:space="preserve">الحدود متصلة: لا تُقرَّب النسبة قبل الحكم (مثال: Better Than Expected = 60.5% ← Very Good لأنها أكبر من 60%؛ Expected &amp; Better = 74.9% ← Weak لأنها أقل من 75%).</t>
  </si>
  <si>
    <t xml:space="preserve">ألوان أحكام الأداء | Rating colours (مرجع المفتاح)</t>
  </si>
  <si>
    <t xml:space="preserve">المواد | Subjects (رمز الصف ← اسم المادة)</t>
  </si>
  <si>
    <t xml:space="preserve">الرمز (Code)</t>
  </si>
  <si>
    <t xml:space="preserve">الاسم (Name)</t>
  </si>
  <si>
    <t xml:space="preserve">Aa</t>
  </si>
  <si>
    <t xml:space="preserve">Arabic A</t>
  </si>
  <si>
    <t xml:space="preserve">Ab</t>
  </si>
  <si>
    <t xml:space="preserve">Arabic B</t>
  </si>
  <si>
    <t xml:space="preserve">Ia</t>
  </si>
  <si>
    <t xml:space="preserve">Islamic A</t>
  </si>
  <si>
    <t xml:space="preserve">Ib</t>
  </si>
  <si>
    <t xml:space="preserve">Islamic B</t>
  </si>
  <si>
    <t xml:space="preserve">Ua</t>
  </si>
  <si>
    <t xml:space="preserve">Ua (اسم المادة غير مؤكد)</t>
  </si>
  <si>
    <t xml:space="preserve">الاسم غير مؤكد في الجدول – عدّله</t>
  </si>
  <si>
    <t xml:space="preserve">رموز مستبعدة من التحليل (غير أكاديمية أو غير واضحة): Ft مربّي الصف · Ss إشراف/دراسة · Su · Pp · Pa · Re · Gs · Af · Ae (FS2/Y1). أضف أي رمز هنا إن أردت إدخاله.</t>
  </si>
  <si>
    <t xml:space="preserve">مصفوفة التقدم المرجعية | Progress Matrix  (Y1–13 Non-Exam)</t>
  </si>
  <si>
    <t xml:space="preserve">منقولة من الصورة المعتمدة. الصفوف = Current Grade (Data Drop) · الأعمدة = Start Point (Baseline). التصنيف يتم بالبحث (Lookup) فقط.</t>
  </si>
  <si>
    <t xml:space="preserve">Data Drop ↓ / Baseline →</t>
  </si>
  <si>
    <t xml:space="preserve">المفتاح (Key)</t>
  </si>
  <si>
    <t xml:space="preserve">ملاحظة U: العلامة U غير موجودة في المصفوفة المرفقة، لذلك لا يُحكم عليها هنا. أي حالة بداية أو حالية = U تُعرض كـ «تحتاج قاعدة معتمدة» وتُستبعد من مقام التقدم (يُعرض عددها).</t>
  </si>
  <si>
    <t xml:space="preserve">جدول الوجهات المشتق (تستخدمه حاسبة هدف التقدم) — يُحسب من المصفوفة تلقائياً</t>
  </si>
  <si>
    <t xml:space="preserve">علامة البداية</t>
  </si>
  <si>
    <t xml:space="preserve">أدنى Better</t>
  </si>
  <si>
    <t xml:space="preserve">أدنى Expected</t>
  </si>
  <si>
    <t xml:space="preserve">أعلى Expected</t>
  </si>
  <si>
    <t xml:space="preserve">أعلى Less</t>
  </si>
  <si>
    <t xml:space="preserve">وجهة Better</t>
  </si>
  <si>
    <t xml:space="preserve">وجهة Expected</t>
  </si>
  <si>
    <t xml:space="preserve">وجهة Less</t>
  </si>
  <si>
    <t xml:space="preserve">قاعدة الوجهة: Better = أقرب علامة Better دون انخفاض (البداية نفسها إن كانت Better) · Expected = أقرب علامة Expected دون انخفاض إن أمكن · Less = أعلى علامة Less. 0 = لا توجد خانة بهذا التصنيف.</t>
  </si>
  <si>
    <t xml:space="preserve">الصفوف والبلوكات | Classes (Year 2–13) — مأخوذة من جدول المعلمين</t>
  </si>
  <si>
    <t xml:space="preserve">الصف الدراسي · البلوك · المادة · المجموعة تُستخرج تلقائياً من كود الصف. المعلم عمود قابل للتصحيح (اختر كود المعلم). الصفوف ذات المعلم المتعدد في الجدول تُركت فارغة عمداً لتصحّحها.</t>
  </si>
  <si>
    <t xml:space="preserve">كود الصف</t>
  </si>
  <si>
    <t xml:space="preserve">البلوك</t>
  </si>
  <si>
    <t xml:space="preserve">رمز المادة</t>
  </si>
  <si>
    <t xml:space="preserve">المادة</t>
  </si>
  <si>
    <t xml:space="preserve">المجموعة (Set)</t>
  </si>
  <si>
    <t xml:space="preserve">كود المعلم</t>
  </si>
  <si>
    <t xml:space="preserve">المعلم</t>
  </si>
  <si>
    <t xml:space="preserve">مصدر الربط / ملاحظة</t>
  </si>
  <si>
    <t xml:space="preserve">Y02af/Aa1</t>
  </si>
  <si>
    <t xml:space="preserve">AYE</t>
  </si>
  <si>
    <t xml:space="preserve">جدول المعلمين</t>
  </si>
  <si>
    <t xml:space="preserve">Y02af/Aa2</t>
  </si>
  <si>
    <t xml:space="preserve">MMH</t>
  </si>
  <si>
    <t xml:space="preserve">Y02af/Ab1</t>
  </si>
  <si>
    <t xml:space="preserve">AAA</t>
  </si>
  <si>
    <t xml:space="preserve">Y02af/Ab2</t>
  </si>
  <si>
    <t xml:space="preserve">RAE</t>
  </si>
  <si>
    <t xml:space="preserve">Y02af/Ab3</t>
  </si>
  <si>
    <t xml:space="preserve">MOH</t>
  </si>
  <si>
    <t xml:space="preserve">Y02af/Ab4</t>
  </si>
  <si>
    <t xml:space="preserve">MRM</t>
  </si>
  <si>
    <t xml:space="preserve">Y02af/Ab5</t>
  </si>
  <si>
    <t xml:space="preserve">AHS</t>
  </si>
  <si>
    <t xml:space="preserve">Y02af/Ua1</t>
  </si>
  <si>
    <t xml:space="preserve">HAA</t>
  </si>
  <si>
    <t xml:space="preserve">Y02af/Ua2</t>
  </si>
  <si>
    <t xml:space="preserve">ABG</t>
  </si>
  <si>
    <t xml:space="preserve">Y02ai/Ia1</t>
  </si>
  <si>
    <t xml:space="preserve">AAB</t>
  </si>
  <si>
    <t xml:space="preserve">Y02ai/Ia2</t>
  </si>
  <si>
    <t xml:space="preserve">NOB</t>
  </si>
  <si>
    <t xml:space="preserve">Y02ai/Ib1</t>
  </si>
  <si>
    <t xml:space="preserve">HAM</t>
  </si>
  <si>
    <t xml:space="preserve">Y02ai/Ib2</t>
  </si>
  <si>
    <t xml:space="preserve">AYK</t>
  </si>
  <si>
    <t xml:space="preserve">Y02ai/Ib3</t>
  </si>
  <si>
    <t xml:space="preserve">UBH</t>
  </si>
  <si>
    <t xml:space="preserve">Y02gl/Aa1</t>
  </si>
  <si>
    <t xml:space="preserve">Y02gl/Aa2</t>
  </si>
  <si>
    <t xml:space="preserve">Y02gl/Ab1</t>
  </si>
  <si>
    <t xml:space="preserve">Y02gl/Ab2</t>
  </si>
  <si>
    <t xml:space="preserve">Y02gl/Ab3</t>
  </si>
  <si>
    <t xml:space="preserve">HIA</t>
  </si>
  <si>
    <t xml:space="preserve">Y02gl/Ab4</t>
  </si>
  <si>
    <t xml:space="preserve">WAE</t>
  </si>
  <si>
    <t xml:space="preserve">Y02gl/Ua1</t>
  </si>
  <si>
    <t xml:space="preserve">Y02gl/Ua2</t>
  </si>
  <si>
    <t xml:space="preserve">Y02jr/Ia1</t>
  </si>
  <si>
    <t xml:space="preserve">Y02jr/Ia2</t>
  </si>
  <si>
    <t xml:space="preserve">AES</t>
  </si>
  <si>
    <t xml:space="preserve">Y02jr/Ib1</t>
  </si>
  <si>
    <t xml:space="preserve">Y02jr/Ib2</t>
  </si>
  <si>
    <t xml:space="preserve">Y02jr/Ib3</t>
  </si>
  <si>
    <t xml:space="preserve">Y02mr/Aa1</t>
  </si>
  <si>
    <t xml:space="preserve">Y02mr/Aa2</t>
  </si>
  <si>
    <t xml:space="preserve">Y02mr/Ab1</t>
  </si>
  <si>
    <t xml:space="preserve">Y02mr/Ab2</t>
  </si>
  <si>
    <t xml:space="preserve">Y02mr/Ab3</t>
  </si>
  <si>
    <t xml:space="preserve">Y02mr/Ab4</t>
  </si>
  <si>
    <t xml:space="preserve">RAS</t>
  </si>
  <si>
    <t xml:space="preserve">Y02mr/Ua1</t>
  </si>
  <si>
    <t xml:space="preserve">Y02mr/Ua2</t>
  </si>
  <si>
    <t xml:space="preserve">Y03ae/Aa1</t>
  </si>
  <si>
    <t xml:space="preserve">EMR</t>
  </si>
  <si>
    <t xml:space="preserve">Y03ae/Aa2</t>
  </si>
  <si>
    <t xml:space="preserve">ASE</t>
  </si>
  <si>
    <t xml:space="preserve">Y03ae/Ab1</t>
  </si>
  <si>
    <t xml:space="preserve">RSB</t>
  </si>
  <si>
    <t xml:space="preserve">Y03ae/Ab2</t>
  </si>
  <si>
    <t xml:space="preserve">SKO</t>
  </si>
  <si>
    <t xml:space="preserve">Y03ae/Ab3</t>
  </si>
  <si>
    <t xml:space="preserve">Y03ae/Ab4</t>
  </si>
  <si>
    <t xml:space="preserve">MJQ</t>
  </si>
  <si>
    <t xml:space="preserve">Y03ae/Ua1</t>
  </si>
  <si>
    <t xml:space="preserve">Y03ae/Ua2</t>
  </si>
  <si>
    <t xml:space="preserve">Y03ah/Ia1</t>
  </si>
  <si>
    <t xml:space="preserve">Y03ah/Ia2</t>
  </si>
  <si>
    <t xml:space="preserve">Y03ah/Ia3</t>
  </si>
  <si>
    <t xml:space="preserve">Y03ah/Ib1</t>
  </si>
  <si>
    <t xml:space="preserve">Y03ah/Ib2</t>
  </si>
  <si>
    <t xml:space="preserve">Y03ah/Ib3</t>
  </si>
  <si>
    <t xml:space="preserve">Y03fj/Aa1</t>
  </si>
  <si>
    <t xml:space="preserve">Y03fj/Aa2</t>
  </si>
  <si>
    <t xml:space="preserve">Y03fj/Ab1</t>
  </si>
  <si>
    <t xml:space="preserve">Y03fj/Ab2</t>
  </si>
  <si>
    <t xml:space="preserve">Y03fj/Ab3</t>
  </si>
  <si>
    <t xml:space="preserve">MEM</t>
  </si>
  <si>
    <t xml:space="preserve">Y03fj/Ab4</t>
  </si>
  <si>
    <t xml:space="preserve">Y03fj/Ua1</t>
  </si>
  <si>
    <t xml:space="preserve">Y03fj/Ua2</t>
  </si>
  <si>
    <t xml:space="preserve">Y03ip/Ia1</t>
  </si>
  <si>
    <t xml:space="preserve">Y03ip/Ia2</t>
  </si>
  <si>
    <t xml:space="preserve">Y03ip/Ib1</t>
  </si>
  <si>
    <t xml:space="preserve">Y03ip/Ib2</t>
  </si>
  <si>
    <t xml:space="preserve">Y03ip/Ib3</t>
  </si>
  <si>
    <t xml:space="preserve">Y03kp/Aa1</t>
  </si>
  <si>
    <t xml:space="preserve">Y03kp/Aa2</t>
  </si>
  <si>
    <t xml:space="preserve">Y03kp/Ab1</t>
  </si>
  <si>
    <t xml:space="preserve">Y03kp/Ab2</t>
  </si>
  <si>
    <t xml:space="preserve">Y03kp/Ab3</t>
  </si>
  <si>
    <t xml:space="preserve">Y03kp/Ab4</t>
  </si>
  <si>
    <t xml:space="preserve">Y03kp/Ua1</t>
  </si>
  <si>
    <t xml:space="preserve">Y03kp/Ua2</t>
  </si>
  <si>
    <t xml:space="preserve">Y04ae/Aa1</t>
  </si>
  <si>
    <t xml:space="preserve">HEA</t>
  </si>
  <si>
    <t xml:space="preserve">Y04ae/Aa2</t>
  </si>
  <si>
    <t xml:space="preserve">HES</t>
  </si>
  <si>
    <t xml:space="preserve">Y04ae/Ab1</t>
  </si>
  <si>
    <t xml:space="preserve">Y04ae/Ab2</t>
  </si>
  <si>
    <t xml:space="preserve">Y04ae/Ab3</t>
  </si>
  <si>
    <t xml:space="preserve">RAK</t>
  </si>
  <si>
    <t xml:space="preserve">Y04ae/Ab4</t>
  </si>
  <si>
    <t xml:space="preserve">Y04ae/Ua1</t>
  </si>
  <si>
    <t xml:space="preserve">Y04ae/Ua2</t>
  </si>
  <si>
    <t xml:space="preserve">Y04ah/Ia1</t>
  </si>
  <si>
    <t xml:space="preserve">Y04ah/Ia2</t>
  </si>
  <si>
    <t xml:space="preserve">Y04ah/Ia3</t>
  </si>
  <si>
    <t xml:space="preserve">Y04ah/Ib1</t>
  </si>
  <si>
    <t xml:space="preserve">Y04ah/Ib2</t>
  </si>
  <si>
    <t xml:space="preserve">Y04ah/Ib3</t>
  </si>
  <si>
    <t xml:space="preserve">Y04fj/Aa1</t>
  </si>
  <si>
    <t xml:space="preserve">Y04fj/Aa2</t>
  </si>
  <si>
    <t xml:space="preserve">Y04fj/Ab1</t>
  </si>
  <si>
    <t xml:space="preserve">Y04fj/Ab2</t>
  </si>
  <si>
    <t xml:space="preserve">Y04fj/Ab3</t>
  </si>
  <si>
    <t xml:space="preserve">Y04fj/Ab4</t>
  </si>
  <si>
    <t xml:space="preserve">Y04fj/Ua1</t>
  </si>
  <si>
    <t xml:space="preserve">Y04fj/Ua2</t>
  </si>
  <si>
    <t xml:space="preserve">Y04ip/Ia1</t>
  </si>
  <si>
    <t xml:space="preserve">Y04ip/Ia2</t>
  </si>
  <si>
    <t xml:space="preserve">Y04ip/Ia3</t>
  </si>
  <si>
    <t xml:space="preserve">Y04ip/Ib1</t>
  </si>
  <si>
    <t xml:space="preserve">Y04ip/Ib2</t>
  </si>
  <si>
    <t xml:space="preserve">Y04ip/Ib3</t>
  </si>
  <si>
    <t xml:space="preserve">Y04kp/Aa1</t>
  </si>
  <si>
    <t xml:space="preserve">Y04kp/Aa2</t>
  </si>
  <si>
    <t xml:space="preserve">Y04kp/Ab1</t>
  </si>
  <si>
    <t xml:space="preserve">Y04kp/Ab2</t>
  </si>
  <si>
    <t xml:space="preserve">Y04kp/Ab3</t>
  </si>
  <si>
    <t xml:space="preserve">Y04kp/Ab4</t>
  </si>
  <si>
    <t xml:space="preserve">Y04kp/Ab5</t>
  </si>
  <si>
    <t xml:space="preserve">Y04kp/Ua1</t>
  </si>
  <si>
    <t xml:space="preserve">Y04kp/Ua2</t>
  </si>
  <si>
    <t xml:space="preserve">Y05ae/Aa1</t>
  </si>
  <si>
    <t xml:space="preserve">Y05ae/Aa2</t>
  </si>
  <si>
    <t xml:space="preserve">Y05ae/Ab1</t>
  </si>
  <si>
    <t xml:space="preserve">EEL</t>
  </si>
  <si>
    <t xml:space="preserve">Y05ae/Ab2</t>
  </si>
  <si>
    <t xml:space="preserve">MET</t>
  </si>
  <si>
    <t xml:space="preserve">Y05ae/Ab3</t>
  </si>
  <si>
    <t xml:space="preserve">Y05ae/Ab4</t>
  </si>
  <si>
    <t xml:space="preserve">Y05ae/Ua1</t>
  </si>
  <si>
    <t xml:space="preserve">Y05ae/Ua2</t>
  </si>
  <si>
    <t xml:space="preserve">Y05ah/Ia1</t>
  </si>
  <si>
    <t xml:space="preserve">Y05ah/Ia2</t>
  </si>
  <si>
    <t xml:space="preserve">Y05ah/Ib1</t>
  </si>
  <si>
    <t xml:space="preserve">Y05ah/Ib2</t>
  </si>
  <si>
    <t xml:space="preserve">Y05ah/Ib3</t>
  </si>
  <si>
    <t xml:space="preserve">Y05fj/Aa1</t>
  </si>
  <si>
    <t xml:space="preserve">Y05fj/Aa2</t>
  </si>
  <si>
    <t xml:space="preserve">Y05fj/Ab1</t>
  </si>
  <si>
    <t xml:space="preserve">Y05fj/Ab2</t>
  </si>
  <si>
    <t xml:space="preserve">Y05fj/Ab3</t>
  </si>
  <si>
    <t xml:space="preserve">Y05fj/Ab4</t>
  </si>
  <si>
    <t xml:space="preserve">MME</t>
  </si>
  <si>
    <t xml:space="preserve">Y05fj/Ua1</t>
  </si>
  <si>
    <t xml:space="preserve">Y05fj/Ua2</t>
  </si>
  <si>
    <t xml:space="preserve">Y05ip/Ia1</t>
  </si>
  <si>
    <t xml:space="preserve">Y05ip/Ia2</t>
  </si>
  <si>
    <t xml:space="preserve">Y05ip/Ia3</t>
  </si>
  <si>
    <t xml:space="preserve">Y05ip/Ib1</t>
  </si>
  <si>
    <t xml:space="preserve">Y05ip/Ib2</t>
  </si>
  <si>
    <t xml:space="preserve">Y05ip/Ib3</t>
  </si>
  <si>
    <t xml:space="preserve">Y05kp/Aa1</t>
  </si>
  <si>
    <t xml:space="preserve">Y05kp/Aa2</t>
  </si>
  <si>
    <t xml:space="preserve">Y05kp/Aa3</t>
  </si>
  <si>
    <t xml:space="preserve">غير واضح في الجدول – حصص: ARA (3)، WAN (3) → اختر المعلم</t>
  </si>
  <si>
    <t xml:space="preserve">Y05kp/Ab1</t>
  </si>
  <si>
    <t xml:space="preserve">Y05kp/Ab2</t>
  </si>
  <si>
    <t xml:space="preserve">Y05kp/Ab3</t>
  </si>
  <si>
    <t xml:space="preserve">Y05kp/Ab4</t>
  </si>
  <si>
    <t xml:space="preserve">Y05kp/Ua1</t>
  </si>
  <si>
    <t xml:space="preserve">Y05kp/Ua2</t>
  </si>
  <si>
    <t xml:space="preserve">Y05kp/Ua3</t>
  </si>
  <si>
    <t xml:space="preserve">WAN</t>
  </si>
  <si>
    <t xml:space="preserve">Y06ae/Aa1</t>
  </si>
  <si>
    <t xml:space="preserve">ARA</t>
  </si>
  <si>
    <t xml:space="preserve">Y06ae/Aa2</t>
  </si>
  <si>
    <t xml:space="preserve">RAH</t>
  </si>
  <si>
    <t xml:space="preserve">Y06ae/Ab1</t>
  </si>
  <si>
    <t xml:space="preserve">Y06ae/Ab2</t>
  </si>
  <si>
    <t xml:space="preserve">Y06ae/Ab3</t>
  </si>
  <si>
    <t xml:space="preserve">Y06ae/Ab4</t>
  </si>
  <si>
    <t xml:space="preserve">Y06ae/Ua1</t>
  </si>
  <si>
    <t xml:space="preserve">Y06ae/Ua2</t>
  </si>
  <si>
    <t xml:space="preserve">Y06ah/Ia1</t>
  </si>
  <si>
    <t xml:space="preserve">Y06ah/Ia2</t>
  </si>
  <si>
    <t xml:space="preserve">Y06ah/Ib1</t>
  </si>
  <si>
    <t xml:space="preserve">Y06ah/Ib2</t>
  </si>
  <si>
    <t xml:space="preserve">Y06ah/Ib3</t>
  </si>
  <si>
    <t xml:space="preserve">Y06fj/Aa1</t>
  </si>
  <si>
    <t xml:space="preserve">Y06fj/Aa2</t>
  </si>
  <si>
    <t xml:space="preserve">Y06fj/Ab1</t>
  </si>
  <si>
    <t xml:space="preserve">Y06fj/Ab2</t>
  </si>
  <si>
    <t xml:space="preserve">Y06fj/Ab3</t>
  </si>
  <si>
    <t xml:space="preserve">Y06fj/Ab4</t>
  </si>
  <si>
    <t xml:space="preserve">Y06fj/Ua1</t>
  </si>
  <si>
    <t xml:space="preserve">Y06fj/Ua2</t>
  </si>
  <si>
    <t xml:space="preserve">Y06ip/Ia1</t>
  </si>
  <si>
    <t xml:space="preserve">Y06ip/Ia2</t>
  </si>
  <si>
    <t xml:space="preserve">Y06ip/Ib1</t>
  </si>
  <si>
    <t xml:space="preserve">Y06ip/Ib2</t>
  </si>
  <si>
    <t xml:space="preserve">Y06ip/Ib3</t>
  </si>
  <si>
    <t xml:space="preserve">Y06kp/Aa1</t>
  </si>
  <si>
    <t xml:space="preserve">Y06kp/Aa2</t>
  </si>
  <si>
    <t xml:space="preserve">Y06kp/Ab1</t>
  </si>
  <si>
    <t xml:space="preserve">Y06kp/Ab2</t>
  </si>
  <si>
    <t xml:space="preserve">Y06kp/Ab3</t>
  </si>
  <si>
    <t xml:space="preserve">Y06kp/Ab4</t>
  </si>
  <si>
    <t xml:space="preserve">Y06kp/Ua1</t>
  </si>
  <si>
    <t xml:space="preserve">Y06kp/Ua2</t>
  </si>
  <si>
    <t xml:space="preserve">Y07ae/Aa1</t>
  </si>
  <si>
    <t xml:space="preserve">SMD</t>
  </si>
  <si>
    <t xml:space="preserve">Y07ae/Aa2</t>
  </si>
  <si>
    <t xml:space="preserve">AHA</t>
  </si>
  <si>
    <t xml:space="preserve">Y07ae/Ab1</t>
  </si>
  <si>
    <t xml:space="preserve">MOA</t>
  </si>
  <si>
    <t xml:space="preserve">Y07ae/Ab2</t>
  </si>
  <si>
    <t xml:space="preserve">KAM</t>
  </si>
  <si>
    <t xml:space="preserve">Y07ae/Ab3</t>
  </si>
  <si>
    <t xml:space="preserve">MOM</t>
  </si>
  <si>
    <t xml:space="preserve">Y07ae/Ab4</t>
  </si>
  <si>
    <t xml:space="preserve">MMO</t>
  </si>
  <si>
    <t xml:space="preserve">Y07ae/Ua1</t>
  </si>
  <si>
    <t xml:space="preserve">Y07ae/Ua2</t>
  </si>
  <si>
    <t xml:space="preserve">Y07ah/Ia1</t>
  </si>
  <si>
    <t xml:space="preserve">ELM</t>
  </si>
  <si>
    <t xml:space="preserve">Y07ah/Ia2</t>
  </si>
  <si>
    <t xml:space="preserve">YAZ</t>
  </si>
  <si>
    <t xml:space="preserve">Y07ah/Ib1</t>
  </si>
  <si>
    <t xml:space="preserve">MAN</t>
  </si>
  <si>
    <t xml:space="preserve">Y07ah/Ib2</t>
  </si>
  <si>
    <t xml:space="preserve">AAG</t>
  </si>
  <si>
    <t xml:space="preserve">Y07ah/Ib3</t>
  </si>
  <si>
    <t xml:space="preserve">MAH</t>
  </si>
  <si>
    <t xml:space="preserve">Y07fj/Aa1</t>
  </si>
  <si>
    <t xml:space="preserve">Y07fj/Aa2</t>
  </si>
  <si>
    <t xml:space="preserve">Y07fj/Ab1</t>
  </si>
  <si>
    <t xml:space="preserve">Y07fj/Ab2</t>
  </si>
  <si>
    <t xml:space="preserve">Y07fj/Ab3</t>
  </si>
  <si>
    <t xml:space="preserve">Y07fj/Ab4</t>
  </si>
  <si>
    <t xml:space="preserve">Y07fj/Ua1</t>
  </si>
  <si>
    <t xml:space="preserve">Y07fj/Ua2</t>
  </si>
  <si>
    <t xml:space="preserve">Y07io/Ia1</t>
  </si>
  <si>
    <t xml:space="preserve">Y07io/Ia2</t>
  </si>
  <si>
    <t xml:space="preserve">Y07io/Ib1</t>
  </si>
  <si>
    <t xml:space="preserve">Y07io/Ib2</t>
  </si>
  <si>
    <t xml:space="preserve">Y07io/Ib3</t>
  </si>
  <si>
    <t xml:space="preserve">Y07ko/Aa1</t>
  </si>
  <si>
    <t xml:space="preserve">Y07ko/Aa2</t>
  </si>
  <si>
    <t xml:space="preserve">Y07ko/Ab1</t>
  </si>
  <si>
    <t xml:space="preserve">Y07ko/Ab2</t>
  </si>
  <si>
    <t xml:space="preserve">Y07ko/Ab3</t>
  </si>
  <si>
    <t xml:space="preserve">Y07ko/Ab4</t>
  </si>
  <si>
    <t xml:space="preserve">Y07ko/Ua1</t>
  </si>
  <si>
    <t xml:space="preserve">Y07ko/Ua2</t>
  </si>
  <si>
    <t xml:space="preserve">Y08ae/Aa1</t>
  </si>
  <si>
    <t xml:space="preserve">Y08ae/Aa2</t>
  </si>
  <si>
    <t xml:space="preserve">Y08ae/Ab1</t>
  </si>
  <si>
    <t xml:space="preserve">Y08ae/Ab2</t>
  </si>
  <si>
    <t xml:space="preserve">Y08ae/Ab3</t>
  </si>
  <si>
    <t xml:space="preserve">SHE</t>
  </si>
  <si>
    <t xml:space="preserve">Y08ae/Ab4</t>
  </si>
  <si>
    <t xml:space="preserve">Y08ae/Ua1</t>
  </si>
  <si>
    <t xml:space="preserve">Y08ae/Ua2</t>
  </si>
  <si>
    <t xml:space="preserve">Y08ah/Ia1</t>
  </si>
  <si>
    <t xml:space="preserve">Y08ah/Ia2</t>
  </si>
  <si>
    <t xml:space="preserve">Y08ah/Ib1</t>
  </si>
  <si>
    <t xml:space="preserve">Y08ah/Ib2</t>
  </si>
  <si>
    <t xml:space="preserve">Y08ah/Ib3</t>
  </si>
  <si>
    <t xml:space="preserve">Y08fj/Aa1</t>
  </si>
  <si>
    <t xml:space="preserve">Y08fj/Aa2</t>
  </si>
  <si>
    <t xml:space="preserve">Y08fj/Ab1</t>
  </si>
  <si>
    <t xml:space="preserve">Y08fj/Ab2</t>
  </si>
  <si>
    <t xml:space="preserve">Y08fj/Ab3</t>
  </si>
  <si>
    <t xml:space="preserve">YIF</t>
  </si>
  <si>
    <t xml:space="preserve">Y08fj/Ab4</t>
  </si>
  <si>
    <t xml:space="preserve">Y08fj/Ua1</t>
  </si>
  <si>
    <t xml:space="preserve">Y08fj/Ua2</t>
  </si>
  <si>
    <t xml:space="preserve">Y08io/Ia1</t>
  </si>
  <si>
    <t xml:space="preserve">Y08io/Ia2</t>
  </si>
  <si>
    <t xml:space="preserve">OLA</t>
  </si>
  <si>
    <t xml:space="preserve">Y08io/Ib1</t>
  </si>
  <si>
    <t xml:space="preserve">Y08io/Ib2</t>
  </si>
  <si>
    <t xml:space="preserve">Y08io/Ib3</t>
  </si>
  <si>
    <t xml:space="preserve">Y08ko/Aa1</t>
  </si>
  <si>
    <t xml:space="preserve">Y08ko/Aa2</t>
  </si>
  <si>
    <t xml:space="preserve">Y08ko/Ab1</t>
  </si>
  <si>
    <t xml:space="preserve">Y08ko/Ab2</t>
  </si>
  <si>
    <t xml:space="preserve">MMM</t>
  </si>
  <si>
    <t xml:space="preserve">Y08ko/Ab3</t>
  </si>
  <si>
    <t xml:space="preserve">Y08ko/Ab4</t>
  </si>
  <si>
    <t xml:space="preserve">Y08ko/Ua1</t>
  </si>
  <si>
    <t xml:space="preserve">Y08ko/Ua2</t>
  </si>
  <si>
    <t xml:space="preserve">Y09ae/Aa1</t>
  </si>
  <si>
    <t xml:space="preserve">AHE</t>
  </si>
  <si>
    <t xml:space="preserve">Y09ae/Aa2</t>
  </si>
  <si>
    <t xml:space="preserve">ELE</t>
  </si>
  <si>
    <t xml:space="preserve">Y09ae/Ab1</t>
  </si>
  <si>
    <t xml:space="preserve">SHA</t>
  </si>
  <si>
    <t xml:space="preserve">Y09ae/Ab2</t>
  </si>
  <si>
    <t xml:space="preserve">Y09ae/Ab3</t>
  </si>
  <si>
    <t xml:space="preserve">Y09ae/Ab4</t>
  </si>
  <si>
    <t xml:space="preserve">Y09ae/Ua1</t>
  </si>
  <si>
    <t xml:space="preserve">Y09ae/Ua2</t>
  </si>
  <si>
    <t xml:space="preserve">Y09ah/Ia1</t>
  </si>
  <si>
    <t xml:space="preserve">Y09ah/Ia2</t>
  </si>
  <si>
    <t xml:space="preserve">Y09ah/Ia3</t>
  </si>
  <si>
    <t xml:space="preserve">Y09ah/Ib1</t>
  </si>
  <si>
    <t xml:space="preserve">ARK</t>
  </si>
  <si>
    <t xml:space="preserve">Y09ah/Ib2</t>
  </si>
  <si>
    <t xml:space="preserve">Y09ah/Ib3</t>
  </si>
  <si>
    <t xml:space="preserve">Y09fj/Aa1</t>
  </si>
  <si>
    <t xml:space="preserve">Y09fj/Aa2</t>
  </si>
  <si>
    <t xml:space="preserve">Y09fj/Ab1</t>
  </si>
  <si>
    <t xml:space="preserve">Y09fj/Ab2</t>
  </si>
  <si>
    <t xml:space="preserve">غير واضح في الجدول – حصص: AHS (3)، MMM (1) → اختر المعلم</t>
  </si>
  <si>
    <t xml:space="preserve">Y09fj/Ab3</t>
  </si>
  <si>
    <t xml:space="preserve">Y09fj/Ab4</t>
  </si>
  <si>
    <t xml:space="preserve">Y09fj/Ua1</t>
  </si>
  <si>
    <t xml:space="preserve">Y09fj/Ua2</t>
  </si>
  <si>
    <t xml:space="preserve">Y09io/Ia1</t>
  </si>
  <si>
    <t xml:space="preserve">Y09io/Ia2</t>
  </si>
  <si>
    <t xml:space="preserve">Y09io/Ib1</t>
  </si>
  <si>
    <t xml:space="preserve">Y09io/Ib2</t>
  </si>
  <si>
    <t xml:space="preserve">Y09io/Ib3</t>
  </si>
  <si>
    <t xml:space="preserve">Y09ko/Aa1</t>
  </si>
  <si>
    <t xml:space="preserve">Y09ko/Aa2</t>
  </si>
  <si>
    <t xml:space="preserve">Y09ko/Ab1</t>
  </si>
  <si>
    <t xml:space="preserve">غير واضح في الجدول – حصص: AHS (2)، SHA (2) → اختر المعلم</t>
  </si>
  <si>
    <t xml:space="preserve">Y09ko/Ab2</t>
  </si>
  <si>
    <t xml:space="preserve">Y09ko/Ab3</t>
  </si>
  <si>
    <t xml:space="preserve">Y09ko/Ab4</t>
  </si>
  <si>
    <t xml:space="preserve">Y09ko/Ua1</t>
  </si>
  <si>
    <t xml:space="preserve">Y09ko/Ua2</t>
  </si>
  <si>
    <t xml:space="preserve">Y10ah/Aa1</t>
  </si>
  <si>
    <t xml:space="preserve">AYB</t>
  </si>
  <si>
    <t xml:space="preserve">Y10ah/Aa2</t>
  </si>
  <si>
    <t xml:space="preserve">Y10ah/Aa3</t>
  </si>
  <si>
    <t xml:space="preserve">ALH</t>
  </si>
  <si>
    <t xml:space="preserve">Y10ah/Ab1</t>
  </si>
  <si>
    <t xml:space="preserve">Y10ah/Ab2</t>
  </si>
  <si>
    <t xml:space="preserve">Y10ah/Ab3</t>
  </si>
  <si>
    <t xml:space="preserve">Y10ah/Ab4</t>
  </si>
  <si>
    <t xml:space="preserve">Y10ah/Ab5</t>
  </si>
  <si>
    <t xml:space="preserve">Y10ah/Ab6</t>
  </si>
  <si>
    <t xml:space="preserve">Y10ah/Ia1</t>
  </si>
  <si>
    <t xml:space="preserve">Y10ah/Ia2</t>
  </si>
  <si>
    <t xml:space="preserve">Y10ah/Ib1</t>
  </si>
  <si>
    <t xml:space="preserve">Y10ah/Ib2</t>
  </si>
  <si>
    <t xml:space="preserve">Y10ah/Ib3</t>
  </si>
  <si>
    <t xml:space="preserve">Y10ah/Ua1</t>
  </si>
  <si>
    <t xml:space="preserve">Y10ah/Ua2</t>
  </si>
  <si>
    <t xml:space="preserve">Y10ah/Ua3</t>
  </si>
  <si>
    <t xml:space="preserve">Y10ip/Aa1</t>
  </si>
  <si>
    <t xml:space="preserve">Y10ip/Aa2</t>
  </si>
  <si>
    <t xml:space="preserve">Y10ip/Aa3</t>
  </si>
  <si>
    <t xml:space="preserve">Y10ip/Ab1</t>
  </si>
  <si>
    <t xml:space="preserve">Y10ip/Ab2</t>
  </si>
  <si>
    <t xml:space="preserve">Y10ip/Ab3</t>
  </si>
  <si>
    <t xml:space="preserve">Y10ip/Ab4</t>
  </si>
  <si>
    <t xml:space="preserve">Y10ip/Ab5</t>
  </si>
  <si>
    <t xml:space="preserve">Y10ip/Ab6</t>
  </si>
  <si>
    <t xml:space="preserve">Y10ip/Ia1</t>
  </si>
  <si>
    <t xml:space="preserve">Y10ip/Ia2</t>
  </si>
  <si>
    <t xml:space="preserve">Y10ip/Ib1</t>
  </si>
  <si>
    <t xml:space="preserve">Y10ip/Ib2</t>
  </si>
  <si>
    <t xml:space="preserve">Y10ip/Ib3</t>
  </si>
  <si>
    <t xml:space="preserve">Y10ip/Ua1</t>
  </si>
  <si>
    <t xml:space="preserve">Y10ip/Ua2</t>
  </si>
  <si>
    <t xml:space="preserve">Y10ip/Ua3</t>
  </si>
  <si>
    <t xml:space="preserve">Y11ag/Aa1</t>
  </si>
  <si>
    <t xml:space="preserve">Y11ag/Aa2</t>
  </si>
  <si>
    <t xml:space="preserve">Y11ag/Aa3</t>
  </si>
  <si>
    <t xml:space="preserve">EED</t>
  </si>
  <si>
    <t xml:space="preserve">Y11ag/Ia1</t>
  </si>
  <si>
    <t xml:space="preserve">Y11ag/Ia2</t>
  </si>
  <si>
    <t xml:space="preserve">Y11ag/Ib1</t>
  </si>
  <si>
    <t xml:space="preserve">Y11ag/Ib2</t>
  </si>
  <si>
    <t xml:space="preserve">Y11ag/Ib3</t>
  </si>
  <si>
    <t xml:space="preserve">Y11ho/Aa1</t>
  </si>
  <si>
    <t xml:space="preserve">Y11ho/Aa2</t>
  </si>
  <si>
    <t xml:space="preserve">Y11ho/Aa3</t>
  </si>
  <si>
    <t xml:space="preserve">Y11ho/Ia1</t>
  </si>
  <si>
    <t xml:space="preserve">Y11ho/Ia2</t>
  </si>
  <si>
    <t xml:space="preserve">Y11ho/Ia3</t>
  </si>
  <si>
    <t xml:space="preserve">Y11ho/Ib1</t>
  </si>
  <si>
    <t xml:space="preserve">Y11ho/Ib2</t>
  </si>
  <si>
    <t xml:space="preserve">Y11ho/Ib3</t>
  </si>
  <si>
    <t xml:space="preserve">Y125/Aa1</t>
  </si>
  <si>
    <t xml:space="preserve">Y125/Aa2</t>
  </si>
  <si>
    <t xml:space="preserve">Y125/Aa3</t>
  </si>
  <si>
    <t xml:space="preserve">Y125/Aa4</t>
  </si>
  <si>
    <t xml:space="preserve">Y126/Ia1</t>
  </si>
  <si>
    <t xml:space="preserve">Y126/Ia2</t>
  </si>
  <si>
    <t xml:space="preserve">Y126/Ia3</t>
  </si>
  <si>
    <t xml:space="preserve">Y126/Ib1</t>
  </si>
  <si>
    <t xml:space="preserve">Y126/Ib2</t>
  </si>
  <si>
    <t xml:space="preserve">Y126/Ib3</t>
  </si>
  <si>
    <t xml:space="preserve">Y126/Ib4</t>
  </si>
  <si>
    <t xml:space="preserve">Y126/Ib5</t>
  </si>
  <si>
    <t xml:space="preserve">XX1</t>
  </si>
  <si>
    <t xml:space="preserve">Y135/Aa1</t>
  </si>
  <si>
    <t xml:space="preserve">Y135/Aa2</t>
  </si>
  <si>
    <t xml:space="preserve">Y135/Aa3</t>
  </si>
  <si>
    <t xml:space="preserve">Y136/Ia1</t>
  </si>
  <si>
    <t xml:space="preserve">Y136/Ia2</t>
  </si>
  <si>
    <t xml:space="preserve">Y136/Ia3</t>
  </si>
  <si>
    <t xml:space="preserve">Y136/Ib1</t>
  </si>
  <si>
    <t xml:space="preserve">Y136/Ib2</t>
  </si>
  <si>
    <t xml:space="preserve">Y136/Ib3</t>
  </si>
  <si>
    <t xml:space="preserve">Y136/Ib4</t>
  </si>
  <si>
    <t xml:space="preserve">المعلمون | Teachers (من جدول MOE_Teacher_Timetable_01OCT26)</t>
  </si>
  <si>
    <t xml:space="preserve">الكود يبقى مفتاح الربط فقط؛ كل التقارير تعرض «الاسم المعروض». عدّل الاسم المعروض لتصحيح أي اسم مقطوع. الصفوف الصفراء الفارغة للإضافة.</t>
  </si>
  <si>
    <t xml:space="preserve">الكود (Code)</t>
  </si>
  <si>
    <t xml:space="preserve">الوصف في الجدول</t>
  </si>
  <si>
    <t xml:space="preserve">الاسم المعروض (Display name)</t>
  </si>
  <si>
    <t xml:space="preserve">الحصص</t>
  </si>
  <si>
    <t xml:space="preserve">صفوف ضمن النطاق</t>
  </si>
  <si>
    <t xml:space="preserve">Mr Ahmed Aldusoky</t>
  </si>
  <si>
    <t xml:space="preserve">Mr Ahmed AbdelmonemElsye</t>
  </si>
  <si>
    <t xml:space="preserve">Mr Aly Abdelmonem Hasan</t>
  </si>
  <si>
    <t xml:space="preserve">Ms Aliaa Refaat Soliman</t>
  </si>
  <si>
    <t xml:space="preserve">Ms Asmaa A Emara</t>
  </si>
  <si>
    <t xml:space="preserve">Mr Ayman Bobo</t>
  </si>
  <si>
    <t xml:space="preserve">Ms Aya Soliman Eid</t>
  </si>
  <si>
    <t xml:space="preserve">Mr Elsayed M E Youssef</t>
  </si>
  <si>
    <t xml:space="preserve">Mr Elsaid A Eltantawi</t>
  </si>
  <si>
    <t xml:space="preserve">Ms Eman Rabea</t>
  </si>
  <si>
    <t xml:space="preserve">Mr Helmi Abdelgawad</t>
  </si>
  <si>
    <t xml:space="preserve">Ms Hend Shaban</t>
  </si>
  <si>
    <t xml:space="preserve">Ms Maheer El Waraki</t>
  </si>
  <si>
    <t xml:space="preserve">Mr Ramy Fathy Hussein</t>
  </si>
  <si>
    <t xml:space="preserve">Ms Soad Ahmed Mohamed</t>
  </si>
  <si>
    <t xml:space="preserve">Ms AssmaaM AbdelhakimAli</t>
  </si>
  <si>
    <t xml:space="preserve">Mr Ahmed Sabry Soliman</t>
  </si>
  <si>
    <t xml:space="preserve">Ms Eman Elnasharty</t>
  </si>
  <si>
    <t xml:space="preserve">Mr Kareem Mohamed</t>
  </si>
  <si>
    <t xml:space="preserve">Ms Mennatallah A Mohamed</t>
  </si>
  <si>
    <t xml:space="preserve">Ms Menatalla ElBakary</t>
  </si>
  <si>
    <t xml:space="preserve">Ms Manar Mehanna</t>
  </si>
  <si>
    <t xml:space="preserve">Ms Maha M A Mannaa</t>
  </si>
  <si>
    <t xml:space="preserve">Mr Mohamed Amin Mounes</t>
  </si>
  <si>
    <t xml:space="preserve">Ms Mona M Abobaker</t>
  </si>
  <si>
    <t xml:space="preserve">Mr MohammedSaber Mohamme</t>
  </si>
  <si>
    <t xml:space="preserve">Ms Rafah  Al Kanj</t>
  </si>
  <si>
    <t xml:space="preserve">Ms RemondaElsaid  Bahnas</t>
  </si>
  <si>
    <t xml:space="preserve">Ms Shaimaa  Abdelrahman</t>
  </si>
  <si>
    <t xml:space="preserve">Ms Shaymaa Elnabarawy</t>
  </si>
  <si>
    <t xml:space="preserve">Ms Sabrin  Kottb</t>
  </si>
  <si>
    <t xml:space="preserve">Mr Yahia FouadHossni</t>
  </si>
  <si>
    <t xml:space="preserve">ASM</t>
  </si>
  <si>
    <t xml:space="preserve">Ms Asmaa Fathy Mohamed</t>
  </si>
  <si>
    <t xml:space="preserve">Ae</t>
  </si>
  <si>
    <t xml:space="preserve">Ms Hiba Alzaidi</t>
  </si>
  <si>
    <t xml:space="preserve">Ms MinaJamal Al-Qaradagh</t>
  </si>
  <si>
    <t xml:space="preserve">Ms MonaAhmedAtef Hussein</t>
  </si>
  <si>
    <t xml:space="preserve">Ms Mai Rabie Mohamed</t>
  </si>
  <si>
    <t xml:space="preserve">NEM</t>
  </si>
  <si>
    <t xml:space="preserve">Ms Naima El Maayar</t>
  </si>
  <si>
    <t xml:space="preserve">Ms Rahma Ewais Salem</t>
  </si>
  <si>
    <t xml:space="preserve">Ms Rana Ashraf Elkhir</t>
  </si>
  <si>
    <t xml:space="preserve">SAM</t>
  </si>
  <si>
    <t xml:space="preserve">Ms Sahar K Mohamed</t>
  </si>
  <si>
    <t xml:space="preserve">Mr WalidAhmed Elsherbini</t>
  </si>
  <si>
    <t xml:space="preserve">Mr Wajdi Al Najjad</t>
  </si>
  <si>
    <t xml:space="preserve">Mr Ahmad Abdan</t>
  </si>
  <si>
    <t xml:space="preserve">Mr Abdelrahman ElSheikh</t>
  </si>
  <si>
    <t xml:space="preserve">ASS</t>
  </si>
  <si>
    <t xml:space="preserve">Ms Asmaa Saeed Mohamed</t>
  </si>
  <si>
    <t xml:space="preserve">Mr Elsayed A M Hassan</t>
  </si>
  <si>
    <t xml:space="preserve">Mr Noureldin Badawy</t>
  </si>
  <si>
    <t xml:space="preserve">Ms Ola Alhaj Ali</t>
  </si>
  <si>
    <t xml:space="preserve">Mr Yaseen Ahmed Zaki</t>
  </si>
  <si>
    <t xml:space="preserve">Mr Aamer Gebreel</t>
  </si>
  <si>
    <t xml:space="preserve">Ms Areig Khalil</t>
  </si>
  <si>
    <t xml:space="preserve">ASN</t>
  </si>
  <si>
    <t xml:space="preserve">Ms Asmaa SemhySelim</t>
  </si>
  <si>
    <t xml:space="preserve">Ms Aya Kalash</t>
  </si>
  <si>
    <t xml:space="preserve">Mr Hassan FathyR Mohamed</t>
  </si>
  <si>
    <t xml:space="preserve">Mr Mahmoud Owais Hafiz</t>
  </si>
  <si>
    <t xml:space="preserve">Mr Mahmoud Ahmed Naeem</t>
  </si>
  <si>
    <t xml:space="preserve">Mr Ubaid Ameer Husain</t>
  </si>
  <si>
    <t xml:space="preserve">Xx IslamicB PriSec</t>
  </si>
  <si>
    <t xml:space="preserve">Unassigned (Islamic B vacancy)</t>
  </si>
  <si>
    <t xml:space="preserve">وظيفة شاغرة في الجدول (Xx IslamicB PriSec)</t>
  </si>
  <si>
    <t xml:space="preserve">Mr Abdou Ghazy</t>
  </si>
  <si>
    <t xml:space="preserve">Ms Hanaa Ferky Awadain</t>
  </si>
  <si>
    <t xml:space="preserve">فحوص الاتساق | Consistency checks</t>
  </si>
  <si>
    <t xml:space="preserve">المجموعات متداخلة ولا تُجمع: الفحص يقارن كل مجموعة بإجمالي الصف (لا يغيّر أي رقم).</t>
  </si>
  <si>
    <t xml:space="preserve">صفوف غير صالحة في Data</t>
  </si>
  <si>
    <t xml:space="preserve">تنبيهات اتساق ⚠</t>
  </si>
  <si>
    <t xml:space="preserve">صفوف غير صالحة في «مثال»</t>
  </si>
  <si>
    <t xml:space="preserve">الصف</t>
  </si>
  <si>
    <t xml:space="preserve">الفترة</t>
  </si>
  <si>
    <t xml:space="preserve">الإجمالي</t>
  </si>
  <si>
    <t xml:space="preserve">الأولاد</t>
  </si>
  <si>
    <t xml:space="preserve">البنات</t>
  </si>
  <si>
    <t xml:space="preserve">أولاد+بنات</t>
  </si>
  <si>
    <t xml:space="preserve">SEND</t>
  </si>
  <si>
    <t xml:space="preserve">G&amp;T</t>
  </si>
  <si>
    <t xml:space="preserve">الإماراتيون</t>
  </si>
  <si>
    <t xml:space="preserve">حالات التقدم
(الإجمالي)</t>
  </si>
  <si>
    <t xml:space="preserve">الاتساق</t>
  </si>
  <si>
    <t xml:space="preserve">الاختبارات | Self-tests (تُحسب حياً بالصيغ)</t>
  </si>
  <si>
    <t xml:space="preserve">كل اختبار يقارن النتيجة المتوقعة بنتيجة الصيغة الفعلية في الملف. أي FAIL يعني أن إعداداً عُدّل خارج المعتمد.</t>
  </si>
  <si>
    <t xml:space="preserve">الملخص</t>
  </si>
  <si>
    <t xml:space="preserve">#</t>
  </si>
  <si>
    <t xml:space="preserve">الاختبار</t>
  </si>
  <si>
    <t xml:space="preserve">مُدخل 1</t>
  </si>
  <si>
    <t xml:space="preserve">مُدخل 2</t>
  </si>
  <si>
    <t xml:space="preserve">المتوقع</t>
  </si>
  <si>
    <t xml:space="preserve">الفعلي</t>
  </si>
  <si>
    <t xml:space="preserve">النتيجة</t>
  </si>
  <si>
    <t xml:space="preserve">قواعد الصورة</t>
  </si>
  <si>
    <t xml:space="preserve">أ) حدود الدرجات المئوية (U&lt;10 · B 10 · B+ 20 · T 30 · AT 40 · AT+ 50 · AB 60 · AB+ 70 · GD 80 · GD+ 90–100)</t>
  </si>
  <si>
    <t xml:space="preserve">نسبة ← علامة</t>
  </si>
  <si>
    <t xml:space="preserve">ب) مصفوفة التقدم — الحالات المطلوبة وبقية الأمثلة (Start ← Current)</t>
  </si>
  <si>
    <t xml:space="preserve">Lookup من المصفوفة (لا طرح ولا قاعدة عامة)</t>
  </si>
  <si>
    <t xml:space="preserve">ج) سلامة المصفوفة (81 خلية) مقابل القواعد المنقولة من الصورة، وتدرّج التصنيفات</t>
  </si>
  <si>
    <t xml:space="preserve">أخطاء عمود Start=B مقابل الصورة</t>
  </si>
  <si>
    <t xml:space="preserve">أخطاء عمود Start=B+ مقابل الصورة</t>
  </si>
  <si>
    <t xml:space="preserve">أخطاء عمود Start=T مقابل الصورة</t>
  </si>
  <si>
    <t xml:space="preserve">أخطاء عمود Start=AT مقابل الصورة</t>
  </si>
  <si>
    <t xml:space="preserve">أخطاء عمود Start=AT+ مقابل الصورة</t>
  </si>
  <si>
    <t xml:space="preserve">أخطاء عمود Start=AB مقابل الصورة</t>
  </si>
  <si>
    <t xml:space="preserve">أخطاء عمود Start=AB+ مقابل الصورة</t>
  </si>
  <si>
    <t xml:space="preserve">أخطاء عمود Start=GD مقابل الصورة</t>
  </si>
  <si>
    <t xml:space="preserve">أخطاء عمود Start=GD+ مقابل الصورة</t>
  </si>
  <si>
    <t xml:space="preserve">تدرّج Less&lt;Expected&lt;Better صاعداً (Start=B)</t>
  </si>
  <si>
    <t xml:space="preserve">تدرّج Less&lt;Expected&lt;Better صاعداً (Start=B+)</t>
  </si>
  <si>
    <t xml:space="preserve">تدرّج Less&lt;Expected&lt;Better صاعداً (Start=T)</t>
  </si>
  <si>
    <t xml:space="preserve">تدرّج Less&lt;Expected&lt;Better صاعداً (Start=AT)</t>
  </si>
  <si>
    <t xml:space="preserve">تدرّج Less&lt;Expected&lt;Better صاعداً (Start=AT+)</t>
  </si>
  <si>
    <t xml:space="preserve">تدرّج Less&lt;Expected&lt;Better صاعداً (Start=AB)</t>
  </si>
  <si>
    <t xml:space="preserve">تدرّج Less&lt;Expected&lt;Better صاعداً (Start=AB+)</t>
  </si>
  <si>
    <t xml:space="preserve">تدرّج Less&lt;Expected&lt;Better صاعداً (Start=GD)</t>
  </si>
  <si>
    <t xml:space="preserve">تدرّج Less&lt;Expected&lt;Better صاعداً (Start=GD+)</t>
  </si>
  <si>
    <t xml:space="preserve">خلايا المصفوفة كلها Less/Expected/Better فقط</t>
  </si>
  <si>
    <t xml:space="preserve">لا توجد خانة Less تحت علامتي البداية B وB+ (U خارج المصفوفة)</t>
  </si>
  <si>
    <t xml:space="preserve">د) حكم الأداء (At&amp;Above=D · Above=E) — الحدود المتصلة دون تقريب</t>
  </si>
  <si>
    <t xml:space="preserve">مفتاح التحصيل</t>
  </si>
  <si>
    <t xml:space="preserve">مفتاح التقدم (Expected&amp;Better=D · Better=E)</t>
  </si>
  <si>
    <t xml:space="preserve">بلا بيانات (n=0) ← «لا توجد بيانات»</t>
  </si>
  <si>
    <t xml:space="preserve">لا توجد بيانات</t>
  </si>
  <si>
    <t xml:space="preserve">هـ) منطق حاسبة التحصيل (نفس صيغة التقريب المستعملة في Target_Attain)</t>
  </si>
  <si>
    <t xml:space="preserve">40 طالباً · Above 55% (أقرب) = 22</t>
  </si>
  <si>
    <t xml:space="preserve">40 طالباً · At&amp;Above 93% (أقرب) = 37 (92.5%)</t>
  </si>
  <si>
    <t xml:space="preserve">40 طالباً · At&amp;Above 93% (على الأقل) = 38 (95%)</t>
  </si>
  <si>
    <t xml:space="preserve">40 طالباً · Above 55% (على الأقل) = 22 وليس 23</t>
  </si>
  <si>
    <t xml:space="preserve">25 طالباً · 95% (أقرب) = 24</t>
  </si>
  <si>
    <t xml:space="preserve">Above 60% &gt; At&amp;Above 50% ← غير ممكن</t>
  </si>
  <si>
    <t xml:space="preserve">غير ممكن</t>
  </si>
  <si>
    <t xml:space="preserve">عدد الصف 0 ← غير صالح</t>
  </si>
  <si>
    <t xml:space="preserve">غير صالح</t>
  </si>
  <si>
    <t xml:space="preserve">و) فحوص حيّة على الحاسبتين الحاليتين</t>
  </si>
  <si>
    <t xml:space="preserve">Target_Attain: مجموع الأعداد = عدد الصف (عند صلاحية المدخلات)</t>
  </si>
  <si>
    <t xml:space="preserve">Target_Attain: كل الأعداد صحيحة غير سالبة</t>
  </si>
  <si>
    <t xml:space="preserve">Target_Attain: Above ≤ At &amp; Above (أعداد)</t>
  </si>
  <si>
    <t xml:space="preserve">Target_Progress: مجموع الانتقالات = M</t>
  </si>
  <si>
    <t xml:space="preserve">Target_Progress: كل انتقال يطابق تصنيف المصفوفة</t>
  </si>
  <si>
    <t xml:space="preserve">Target_Progress: مجموع كل علامة بداية كما أدخله المعلم</t>
  </si>
  <si>
    <t xml:space="preserve">Target_Progress: لا أعداد سالبة</t>
  </si>
  <si>
    <t xml:space="preserve">ز) معالجة البيانات (من صفحة «مثال» — تُحسب دائماً بصرف النظر عن مفتاح التضمين)</t>
  </si>
  <si>
    <t xml:space="preserve">NR (غياب/لا نتيجة) لا يدخل مقام التحصيل</t>
  </si>
  <si>
    <t xml:space="preserve">صفوف NR موجودة في المثال (للتأكد من أن الاختبار فعّال)</t>
  </si>
  <si>
    <t xml:space="preserve">U يدخل مقام التحصيل (نتيجة فعلية لا صفر)</t>
  </si>
  <si>
    <t xml:space="preserve">U لا يدخل مقام التقدم</t>
  </si>
  <si>
    <t xml:space="preserve">حالات U مستبعدة ومعروضة (n_Uexcl&gt;0)</t>
  </si>
  <si>
    <t xml:space="preserve">Current فقط (بدون Start) يدخل التحصيل ولا يدخل التقدم</t>
  </si>
  <si>
    <t xml:space="preserve">Baseline لا يدخل التقدم</t>
  </si>
  <si>
    <t xml:space="preserve">مثال — بيانات تجريبية مصطنعة (ليست نتائج حقيقية) | EXAMPLE</t>
  </si>
  <si>
    <t xml:space="preserve">هذه الصفحة للتجربة فقط. لا تؤثر في التقارير إلا إذا اخترت «نعم» في Settings ← «إدراج بيانات مثال». النتائج الفعلية في ورقة Data فارغة.</t>
  </si>
  <si>
    <t xml:space="preserve">الأولاد (Boys)</t>
  </si>
  <si>
    <t xml:space="preserve">البنات (Girls)</t>
  </si>
  <si>
    <t xml:space="preserve">Gifted &amp; Talented</t>
  </si>
  <si>
    <t xml:space="preserve">الإماراتيون (Emirati)</t>
  </si>
  <si>
    <t xml:space="preserve">NR</t>
  </si>
  <si>
    <t xml:space="preserve">Terms</t>
  </si>
  <si>
    <t xml:space="preserve">Groups</t>
  </si>
  <si>
    <t xml:space="preserve">Grades (+NR)</t>
  </si>
  <si>
    <t xml:space="preserve">Years</t>
  </si>
  <si>
    <t xml:space="preserve">Subjects</t>
  </si>
  <si>
    <t xml:space="preserve">Blocks</t>
  </si>
  <si>
    <t xml:space="preserve">YesNo</t>
  </si>
  <si>
    <t xml:space="preserve">Rounding</t>
  </si>
  <si>
    <t xml:space="preserve">Year → Blocks</t>
  </si>
  <si>
    <t xml:space="preserve">Block 1</t>
  </si>
  <si>
    <t xml:space="preserve">Block 2</t>
  </si>
  <si>
    <t xml:space="preserve">Block 3</t>
  </si>
  <si>
    <t xml:space="preserve">Block 4</t>
  </si>
  <si>
    <t xml:space="preserve">Block 5</t>
  </si>
  <si>
    <t xml:space="preserve">Block 6</t>
  </si>
  <si>
    <t xml:space="preserve">Block 7</t>
  </si>
  <si>
    <t xml:space="preserve">Block 8</t>
  </si>
  <si>
    <t xml:space="preserve">af</t>
  </si>
  <si>
    <t xml:space="preserve">ai</t>
  </si>
  <si>
    <t xml:space="preserve">gl</t>
  </si>
  <si>
    <t xml:space="preserve">jr</t>
  </si>
  <si>
    <t xml:space="preserve">mr</t>
  </si>
  <si>
    <t xml:space="preserve">ae</t>
  </si>
  <si>
    <t xml:space="preserve">نعم</t>
  </si>
  <si>
    <t xml:space="preserve">بلوغ النسبة على الأقل</t>
  </si>
  <si>
    <t xml:space="preserve">ah</t>
  </si>
  <si>
    <t xml:space="preserve">fj</t>
  </si>
  <si>
    <t xml:space="preserve">ip</t>
  </si>
  <si>
    <t xml:space="preserve">kp</t>
  </si>
  <si>
    <t xml:space="preserve">ag</t>
  </si>
  <si>
    <t xml:space="preserve">io</t>
  </si>
  <si>
    <t xml:space="preserve">ko</t>
  </si>
  <si>
    <t xml:space="preserve">ho</t>
  </si>
  <si>
    <t xml:space="preserve">6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</si>
</sst>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\+0.0%;\-0.0%;0.0%"/>
    <numFmt numFmtId="168" formatCode="General"/>
    <numFmt numFmtId="169" formatCode="0%"/>
    <numFmt numFmtId="170" formatCode="0"/>
    <numFmt numFmtId="171" formatCode="0.000"/>
    <numFmt numFmtId="172" formatCode="\+0;\-0;0"/>
    <numFmt numFmtId="173" formatCode="0.00%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5F6F8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B2A4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u val="single"/>
      <sz val="10"/>
      <color rgb="FF0E9AA7"/>
      <name val="Arial"/>
      <family val="0"/>
      <charset val="1"/>
    </font>
    <font>
      <b val="true"/>
      <u val="single"/>
      <sz val="9"/>
      <color rgb="FF0E9AA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5F6F86"/>
      <name val="Arial"/>
      <family val="0"/>
      <charset val="1"/>
    </font>
    <font>
      <sz val="8"/>
      <color rgb="FF5F6F8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0B2A4A"/>
      <name val="Arial"/>
      <family val="0"/>
      <charset val="1"/>
    </font>
    <font>
      <b val="true"/>
      <sz val="20"/>
      <color rgb="FF0B2A4A"/>
      <name val="Arial"/>
      <family val="0"/>
      <charset val="1"/>
    </font>
    <font>
      <b val="true"/>
      <sz val="15"/>
      <color rgb="FF0B2A4A"/>
      <name val="Arial"/>
      <family val="0"/>
      <charset val="1"/>
    </font>
    <font>
      <sz val="9"/>
      <color rgb="FF5F6F8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B2A4A"/>
      <name val="Calibri"/>
      <family val="2"/>
    </font>
    <font>
      <b val="true"/>
      <sz val="12"/>
      <color rgb="FF0B2A4A"/>
      <name val="FreeSans"/>
      <family val="2"/>
    </font>
    <font>
      <sz val="10"/>
      <color rgb="FF000000"/>
      <name val="Calibri"/>
      <family val="2"/>
    </font>
    <font>
      <i val="true"/>
      <sz val="9"/>
      <color rgb="FF5F6F8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8"/>
      <color rgb="FF5F6F8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B2A4A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i val="true"/>
      <sz val="9"/>
      <color rgb="FFB4530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B45309"/>
      <name val="Arial"/>
      <family val="0"/>
      <charset val="1"/>
    </font>
    <font>
      <b val="true"/>
      <sz val="14"/>
      <color rgb="FF0B2A4A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F3F6FA"/>
        <bgColor rgb="FFFFFFFF"/>
      </patternFill>
    </fill>
    <fill>
      <patternFill patternType="solid">
        <fgColor rgb="FF0B2A4A"/>
        <bgColor rgb="FF16385F"/>
      </patternFill>
    </fill>
    <fill>
      <patternFill patternType="solid">
        <fgColor rgb="FFD6F1F3"/>
        <bgColor rgb="FFD3F0DE"/>
      </patternFill>
    </fill>
    <fill>
      <patternFill patternType="solid">
        <fgColor rgb="FFFFFFFF"/>
        <bgColor rgb="FFF3F6FA"/>
      </patternFill>
    </fill>
    <fill>
      <patternFill patternType="solid">
        <fgColor rgb="FF0E9AA7"/>
        <bgColor rgb="FF2E8FEA"/>
      </patternFill>
    </fill>
    <fill>
      <patternFill patternType="solid">
        <fgColor rgb="FFFFF6D6"/>
        <bgColor rgb="FFFCEFC1"/>
      </patternFill>
    </fill>
    <fill>
      <patternFill patternType="solid">
        <fgColor rgb="FFF9D6D3"/>
        <bgColor rgb="FFF8D0CC"/>
      </patternFill>
    </fill>
    <fill>
      <patternFill patternType="solid">
        <fgColor rgb="FFFCEFC1"/>
        <bgColor rgb="FFFCE9B8"/>
      </patternFill>
    </fill>
    <fill>
      <patternFill patternType="solid">
        <fgColor rgb="FFD3F0DE"/>
        <bgColor rgb="FFD6F1F3"/>
      </patternFill>
    </fill>
    <fill>
      <patternFill patternType="solid">
        <fgColor rgb="FF16385F"/>
        <bgColor rgb="FF0B2A4A"/>
      </patternFill>
    </fill>
    <fill>
      <patternFill patternType="solid">
        <fgColor rgb="FF2E8FEA"/>
        <bgColor rgb="FF4F81BD"/>
      </patternFill>
    </fill>
    <fill>
      <patternFill patternType="solid">
        <fgColor rgb="FF4E9A63"/>
        <bgColor rgb="FF3DBE6B"/>
      </patternFill>
    </fill>
    <fill>
      <patternFill patternType="solid">
        <fgColor rgb="FF63C2A6"/>
        <bgColor rgb="FF3DBE6B"/>
      </patternFill>
    </fill>
    <fill>
      <patternFill patternType="solid">
        <fgColor rgb="FFDCE8C8"/>
        <bgColor rgb="FFD3F0DE"/>
      </patternFill>
    </fill>
    <fill>
      <patternFill patternType="solid">
        <fgColor rgb="FFC7AAC4"/>
        <bgColor rgb="FFAAB4C3"/>
      </patternFill>
    </fill>
    <fill>
      <patternFill patternType="solid">
        <fgColor rgb="FFC2427F"/>
        <bgColor rgb="FFE5483E"/>
      </patternFill>
    </fill>
    <fill>
      <patternFill patternType="solid">
        <fgColor rgb="FFE5483E"/>
        <bgColor rgb="FFC2410C"/>
      </patternFill>
    </fill>
    <fill>
      <patternFill patternType="solid">
        <fgColor rgb="FFF6C945"/>
        <bgColor rgb="FFD4A20C"/>
      </patternFill>
    </fill>
    <fill>
      <patternFill patternType="solid">
        <fgColor rgb="FF3DBE6B"/>
        <bgColor rgb="FF63C2A6"/>
      </patternFill>
    </fill>
    <fill>
      <patternFill patternType="solid">
        <fgColor rgb="FFC2410C"/>
        <bgColor rgb="FFB4530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  <border diagonalUp="false" diagonalDown="false">
      <left style="thin">
        <color rgb="FFD5DCE6"/>
      </left>
      <right/>
      <top style="thin">
        <color rgb="FFD5DCE6"/>
      </top>
      <bottom style="thin">
        <color rgb="FFD5DC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7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8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9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1" xfId="0" applyFont="true" applyBorder="true" applyAlignment="true" applyProtection="true">
      <alignment horizontal="center" vertical="center" textRotation="0" wrapText="true" indent="0" shrinkToFit="false" readingOrder="1"/>
      <protection locked="fals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7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7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1" fillId="7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1" fillId="7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1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6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3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3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32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3" fontId="8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28" fillId="21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ont>
        <name val="Arial"/>
        <charset val="1"/>
        <family val="0"/>
        <b val="1"/>
        <color rgb="FFFFFFFF"/>
      </font>
      <fill>
        <patternFill>
          <bgColor rgb="FF2E8FE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4E9A63"/>
        </patternFill>
      </fill>
    </dxf>
    <dxf>
      <font>
        <name val="Arial"/>
        <charset val="1"/>
        <family val="0"/>
        <b val="1"/>
        <color rgb="FF0B2A4A"/>
      </font>
      <fill>
        <patternFill>
          <bgColor rgb="FF63C2A6"/>
        </patternFill>
      </fill>
    </dxf>
    <dxf>
      <font>
        <name val="Arial"/>
        <charset val="1"/>
        <family val="0"/>
        <b val="1"/>
        <color rgb="FF0B2A4A"/>
      </font>
      <fill>
        <patternFill>
          <bgColor rgb="FFDCE8C8"/>
        </patternFill>
      </fill>
    </dxf>
    <dxf>
      <font>
        <name val="Arial"/>
        <charset val="1"/>
        <family val="0"/>
        <b val="1"/>
        <color rgb="FF0B2A4A"/>
      </font>
      <fill>
        <patternFill>
          <bgColor rgb="FFC7AAC4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2427F"/>
        </patternFill>
      </fill>
    </dxf>
    <dxf>
      <fill>
        <patternFill patternType="solid">
          <fgColor rgb="FF16385F"/>
          <bgColor rgb="FF000000"/>
        </patternFill>
      </fill>
    </dxf>
    <dxf>
      <fill>
        <patternFill patternType="solid">
          <fgColor rgb="FFF3F6F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5483E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6C945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3DBE6B"/>
        </patternFill>
      </fill>
    </dxf>
    <dxf>
      <font>
        <name val="Arial"/>
        <charset val="1"/>
        <family val="0"/>
        <b val="1"/>
        <color rgb="FFB91C1C"/>
      </font>
      <fill>
        <patternFill>
          <bgColor rgb="FFF8D0CC"/>
        </patternFill>
      </fill>
    </dxf>
    <dxf>
      <fill>
        <patternFill>
          <bgColor rgb="FFFCE9B8"/>
        </patternFill>
      </fill>
    </dxf>
    <dxf>
      <font>
        <name val="Arial"/>
        <charset val="1"/>
        <family val="0"/>
        <color rgb="FF15803D"/>
      </font>
    </dxf>
    <dxf>
      <font>
        <name val="Arial"/>
        <charset val="1"/>
        <family val="0"/>
        <color rgb="FFAAB4C3"/>
      </font>
    </dxf>
    <dxf>
      <fill>
        <patternFill patternType="solid">
          <fgColor rgb="FF0B2A4A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F6F86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ont>
        <name val="Arial"/>
        <charset val="1"/>
        <family val="0"/>
        <b val="1"/>
        <color rgb="FF92400E"/>
      </font>
      <fill>
        <patternFill>
          <bgColor rgb="FFFCE9B8"/>
        </patternFill>
      </fill>
    </dxf>
    <dxf>
      <font>
        <name val="Arial"/>
        <charset val="1"/>
        <family val="0"/>
        <b val="1"/>
        <color rgb="FF15803D"/>
      </font>
      <fill>
        <patternFill>
          <bgColor rgb="FFD3F0DE"/>
        </patternFill>
      </fill>
    </dxf>
  </dxfs>
  <colors>
    <indexedColors>
      <rgbColor rgb="FF000000"/>
      <rgbColor rgb="FFFFFFFF"/>
      <rgbColor rgb="FFC2410C"/>
      <rgbColor rgb="FF00FF00"/>
      <rgbColor rgb="FF0000FF"/>
      <rgbColor rgb="FFFCE9B8"/>
      <rgbColor rgb="FFFF00FF"/>
      <rgbColor rgb="FF00FFFF"/>
      <rgbColor rgb="FF800000"/>
      <rgbColor rgb="FF15803D"/>
      <rgbColor rgb="FF000080"/>
      <rgbColor rgb="FFB45309"/>
      <rgbColor rgb="FF800080"/>
      <rgbColor rgb="FF0E9AA7"/>
      <rgbColor rgb="FFAAB4C3"/>
      <rgbColor rgb="FF878787"/>
      <rgbColor rgb="FF9999FF"/>
      <rgbColor rgb="FFC2427F"/>
      <rgbColor rgb="FFFFF6D6"/>
      <rgbColor rgb="FFD6F1F3"/>
      <rgbColor rgb="FF660066"/>
      <rgbColor rgb="FFFF8080"/>
      <rgbColor rgb="FF0066CC"/>
      <rgbColor rgb="FFD5DCE6"/>
      <rgbColor rgb="FF000080"/>
      <rgbColor rgb="FFFF00FF"/>
      <rgbColor rgb="FFDCE8C8"/>
      <rgbColor rgb="FF00FFFF"/>
      <rgbColor rgb="FF800080"/>
      <rgbColor rgb="FF800000"/>
      <rgbColor rgb="FF3DBE6B"/>
      <rgbColor rgb="FF0000FF"/>
      <rgbColor rgb="FF00CCFF"/>
      <rgbColor rgb="FFF3F6FA"/>
      <rgbColor rgb="FFD3F0DE"/>
      <rgbColor rgb="FFFCEFC1"/>
      <rgbColor rgb="FFD9D9D9"/>
      <rgbColor rgb="FFF9D6D3"/>
      <rgbColor rgb="FFC7AAC4"/>
      <rgbColor rgb="FFF8D0CC"/>
      <rgbColor rgb="FF2E8FEA"/>
      <rgbColor rgb="FF63C2A6"/>
      <rgbColor rgb="FF99CC00"/>
      <rgbColor rgb="FFF6C945"/>
      <rgbColor rgb="FFD4A20C"/>
      <rgbColor rgb="FFE5483E"/>
      <rgbColor rgb="FF5F6F86"/>
      <rgbColor rgb="FF4F81BD"/>
      <rgbColor rgb="FF16385F"/>
      <rgbColor rgb="FF4E9A63"/>
      <rgbColor rgb="FF003300"/>
      <rgbColor rgb="FF333300"/>
      <rgbColor rgb="FF92400E"/>
      <rgbColor rgb="FFB91C1C"/>
      <rgbColor rgb="FF333399"/>
      <rgbColor rgb="FF0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At &amp; Above و Above حسب الصف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"At &amp; Above %"</c:f>
              <c:strCache>
                <c:ptCount val="1"/>
                <c:pt idx="0">
                  <c:v>At &amp; Above %</c:v>
                </c:pt>
              </c:strCache>
            </c:strRef>
          </c:tx>
          <c:spPr>
            <a:solidFill>
              <a:srgbClr val="0e9aa7"/>
            </a:solidFill>
            <a:ln w="0">
              <a:solidFill>
                <a:srgbClr val="0e9aa7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Dashboard!$B$103:$B$114</c:f>
              <c:strCache>
                <c:ptCount val="12"/>
                <c:pt idx="0">
                  <c:v>Year 2</c:v>
                </c:pt>
                <c:pt idx="1">
                  <c:v>Year 3</c:v>
                </c:pt>
                <c:pt idx="2">
                  <c:v>Year 4</c:v>
                </c:pt>
                <c:pt idx="3">
                  <c:v>Year 5</c:v>
                </c:pt>
                <c:pt idx="4">
                  <c:v>Year 6</c:v>
                </c:pt>
                <c:pt idx="5">
                  <c:v>Year 7</c:v>
                </c:pt>
                <c:pt idx="6">
                  <c:v>Year 8</c:v>
                </c:pt>
                <c:pt idx="7">
                  <c:v>Year 9</c:v>
                </c:pt>
                <c:pt idx="8">
                  <c:v>Year 10</c:v>
                </c:pt>
                <c:pt idx="9">
                  <c:v>Year 11</c:v>
                </c:pt>
                <c:pt idx="10">
                  <c:v>Year 12</c:v>
                </c:pt>
                <c:pt idx="11">
                  <c:v>Year 13</c:v>
                </c:pt>
              </c:strCache>
            </c:strRef>
          </c:cat>
          <c:val>
            <c:numRef>
              <c:f>Dashboard!$E$103:$E$114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"Above %"</c:f>
              <c:strCache>
                <c:ptCount val="1"/>
                <c:pt idx="0">
                  <c:v>Above %</c:v>
                </c:pt>
              </c:strCache>
            </c:strRef>
          </c:tx>
          <c:spPr>
            <a:solidFill>
              <a:srgbClr val="0b2a4a"/>
            </a:solidFill>
            <a:ln w="0">
              <a:solidFill>
                <a:srgbClr val="0b2a4a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Dashboard!$B$103:$B$114</c:f>
              <c:strCache>
                <c:ptCount val="12"/>
                <c:pt idx="0">
                  <c:v>Year 2</c:v>
                </c:pt>
                <c:pt idx="1">
                  <c:v>Year 3</c:v>
                </c:pt>
                <c:pt idx="2">
                  <c:v>Year 4</c:v>
                </c:pt>
                <c:pt idx="3">
                  <c:v>Year 5</c:v>
                </c:pt>
                <c:pt idx="4">
                  <c:v>Year 6</c:v>
                </c:pt>
                <c:pt idx="5">
                  <c:v>Year 7</c:v>
                </c:pt>
                <c:pt idx="6">
                  <c:v>Year 8</c:v>
                </c:pt>
                <c:pt idx="7">
                  <c:v>Year 9</c:v>
                </c:pt>
                <c:pt idx="8">
                  <c:v>Year 10</c:v>
                </c:pt>
                <c:pt idx="9">
                  <c:v>Year 11</c:v>
                </c:pt>
                <c:pt idx="10">
                  <c:v>Year 12</c:v>
                </c:pt>
                <c:pt idx="11">
                  <c:v>Year 13</c:v>
                </c:pt>
              </c:strCache>
            </c:strRef>
          </c:cat>
          <c:val>
            <c:numRef>
              <c:f>Dashboard!$G$103:$G$114</c:f>
              <c:numCache>
                <c:formatCode>General</c:formatCode>
                <c:ptCount val="12"/>
              </c:numCache>
            </c:numRef>
          </c:val>
        </c:ser>
        <c:gapWidth val="150"/>
        <c:overlap val="0"/>
        <c:axId val="58776714"/>
        <c:axId val="48686088"/>
      </c:barChart>
      <c:catAx>
        <c:axId val="587767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686088"/>
        <c:crosses val="autoZero"/>
        <c:auto val="1"/>
        <c:lblAlgn val="ctr"/>
        <c:lblOffset val="100"/>
        <c:noMultiLvlLbl val="0"/>
      </c:catAx>
      <c:valAx>
        <c:axId val="4868608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767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توزيع التقدم حسب الصف (100%)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"Less Than Expected"</c:f>
              <c:strCache>
                <c:ptCount val="1"/>
                <c:pt idx="0">
                  <c:v>Less Than Expected</c:v>
                </c:pt>
              </c:strCache>
            </c:strRef>
          </c:tx>
          <c:spPr>
            <a:solidFill>
              <a:srgbClr val="e5483e"/>
            </a:solidFill>
            <a:ln w="0">
              <a:solidFill>
                <a:srgbClr val="e5483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Dashboard!$B$119:$B$130</c:f>
              <c:strCache>
                <c:ptCount val="12"/>
                <c:pt idx="0">
                  <c:v>Year 2</c:v>
                </c:pt>
                <c:pt idx="1">
                  <c:v>Year 3</c:v>
                </c:pt>
                <c:pt idx="2">
                  <c:v>Year 4</c:v>
                </c:pt>
                <c:pt idx="3">
                  <c:v>Year 5</c:v>
                </c:pt>
                <c:pt idx="4">
                  <c:v>Year 6</c:v>
                </c:pt>
                <c:pt idx="5">
                  <c:v>Year 7</c:v>
                </c:pt>
                <c:pt idx="6">
                  <c:v>Year 8</c:v>
                </c:pt>
                <c:pt idx="7">
                  <c:v>Year 9</c:v>
                </c:pt>
                <c:pt idx="8">
                  <c:v>Year 10</c:v>
                </c:pt>
                <c:pt idx="9">
                  <c:v>Year 11</c:v>
                </c:pt>
                <c:pt idx="10">
                  <c:v>Year 12</c:v>
                </c:pt>
                <c:pt idx="11">
                  <c:v>Year 13</c:v>
                </c:pt>
              </c:strCache>
            </c:strRef>
          </c:cat>
          <c:val>
            <c:numRef>
              <c:f>Dashboard!$D$119:$D$130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"Expected"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f6c945"/>
            </a:solidFill>
            <a:ln w="0">
              <a:solidFill>
                <a:srgbClr val="f6c9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Dashboard!$B$119:$B$130</c:f>
              <c:strCache>
                <c:ptCount val="12"/>
                <c:pt idx="0">
                  <c:v>Year 2</c:v>
                </c:pt>
                <c:pt idx="1">
                  <c:v>Year 3</c:v>
                </c:pt>
                <c:pt idx="2">
                  <c:v>Year 4</c:v>
                </c:pt>
                <c:pt idx="3">
                  <c:v>Year 5</c:v>
                </c:pt>
                <c:pt idx="4">
                  <c:v>Year 6</c:v>
                </c:pt>
                <c:pt idx="5">
                  <c:v>Year 7</c:v>
                </c:pt>
                <c:pt idx="6">
                  <c:v>Year 8</c:v>
                </c:pt>
                <c:pt idx="7">
                  <c:v>Year 9</c:v>
                </c:pt>
                <c:pt idx="8">
                  <c:v>Year 10</c:v>
                </c:pt>
                <c:pt idx="9">
                  <c:v>Year 11</c:v>
                </c:pt>
                <c:pt idx="10">
                  <c:v>Year 12</c:v>
                </c:pt>
                <c:pt idx="11">
                  <c:v>Year 13</c:v>
                </c:pt>
              </c:strCache>
            </c:strRef>
          </c:cat>
          <c:val>
            <c:numRef>
              <c:f>Dashboard!$F$119:$F$130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"Better Than Expected"</c:f>
              <c:strCache>
                <c:ptCount val="1"/>
                <c:pt idx="0">
                  <c:v>Better Than Expected</c:v>
                </c:pt>
              </c:strCache>
            </c:strRef>
          </c:tx>
          <c:spPr>
            <a:solidFill>
              <a:srgbClr val="3dbe6b"/>
            </a:solidFill>
            <a:ln w="0">
              <a:solidFill>
                <a:srgbClr val="3dbe6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Dashboard!$B$119:$B$130</c:f>
              <c:strCache>
                <c:ptCount val="12"/>
                <c:pt idx="0">
                  <c:v>Year 2</c:v>
                </c:pt>
                <c:pt idx="1">
                  <c:v>Year 3</c:v>
                </c:pt>
                <c:pt idx="2">
                  <c:v>Year 4</c:v>
                </c:pt>
                <c:pt idx="3">
                  <c:v>Year 5</c:v>
                </c:pt>
                <c:pt idx="4">
                  <c:v>Year 6</c:v>
                </c:pt>
                <c:pt idx="5">
                  <c:v>Year 7</c:v>
                </c:pt>
                <c:pt idx="6">
                  <c:v>Year 8</c:v>
                </c:pt>
                <c:pt idx="7">
                  <c:v>Year 9</c:v>
                </c:pt>
                <c:pt idx="8">
                  <c:v>Year 10</c:v>
                </c:pt>
                <c:pt idx="9">
                  <c:v>Year 11</c:v>
                </c:pt>
                <c:pt idx="10">
                  <c:v>Year 12</c:v>
                </c:pt>
                <c:pt idx="11">
                  <c:v>Year 13</c:v>
                </c:pt>
              </c:strCache>
            </c:strRef>
          </c:cat>
          <c:val>
            <c:numRef>
              <c:f>Dashboard!$H$119:$H$130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69801460"/>
        <c:axId val="97318736"/>
      </c:barChart>
      <c:catAx>
        <c:axId val="698014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18736"/>
        <c:crosses val="autoZero"/>
        <c:auto val="1"/>
        <c:lblAlgn val="ctr"/>
        <c:lblOffset val="100"/>
        <c:noMultiLvlLbl val="0"/>
      </c:catAx>
      <c:valAx>
        <c:axId val="973187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-409]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014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شرائح التحصيل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"شرائح التحصيل"</c:f>
              <c:strCache>
                <c:ptCount val="1"/>
                <c:pt idx="0">
                  <c:v>شرائح التحصيل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7aac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63c2a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2e8fe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Dashboard!$G$148:$G$150</c:f>
              <c:strCache>
                <c:ptCount val="3"/>
                <c:pt idx="0">
                  <c:v>أقل من At (Below At)</c:v>
                </c:pt>
                <c:pt idx="1">
                  <c:v>At (دون Above)</c:v>
                </c:pt>
                <c:pt idx="2">
                  <c:v>Above</c:v>
                </c:pt>
              </c:strCache>
            </c:strRef>
          </c:cat>
          <c:val>
            <c:numRef>
              <c:f>Dashboard!$H$148:$H$150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تصنيف التقدم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"تصنيف التقدم"</c:f>
              <c:strCache>
                <c:ptCount val="1"/>
                <c:pt idx="0">
                  <c:v>تصنيف التقدم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5483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6c945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dbe6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Dashboard!$G$153:$G$155</c:f>
              <c:strCache>
                <c:ptCount val="3"/>
                <c:pt idx="0">
                  <c:v>Less Than Expected</c:v>
                </c:pt>
                <c:pt idx="1">
                  <c:v>Expected</c:v>
                </c:pt>
                <c:pt idx="2">
                  <c:v>Better Than Expected</c:v>
                </c:pt>
              </c:strCache>
            </c:strRef>
          </c:cat>
          <c:val>
            <c:numRef>
              <c:f>Dashboard!$H$153:$H$155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توزيع العلامات الحالية (عدد)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"عدد الطلاب"</c:f>
              <c:strCache>
                <c:ptCount val="1"/>
                <c:pt idx="0">
                  <c:v>عدد الطلاب</c:v>
                </c:pt>
              </c:strCache>
            </c:strRef>
          </c:tx>
          <c:spPr>
            <a:solidFill>
              <a:srgbClr val="16385f"/>
            </a:solidFill>
            <a:ln w="0">
              <a:solidFill>
                <a:srgbClr val="16385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Dashboard!$F$135:$F$144</c:f>
              <c:strCache>
                <c:ptCount val="10"/>
                <c:pt idx="0">
                  <c:v>U‎</c:v>
                </c:pt>
                <c:pt idx="1">
                  <c:v>B‎</c:v>
                </c:pt>
                <c:pt idx="2">
                  <c:v>B+‎</c:v>
                </c:pt>
                <c:pt idx="3">
                  <c:v>T‎</c:v>
                </c:pt>
                <c:pt idx="4">
                  <c:v>AT‎</c:v>
                </c:pt>
                <c:pt idx="5">
                  <c:v>AT+‎</c:v>
                </c:pt>
                <c:pt idx="6">
                  <c:v>AB‎</c:v>
                </c:pt>
                <c:pt idx="7">
                  <c:v>AB+‎</c:v>
                </c:pt>
                <c:pt idx="8">
                  <c:v>GD‎</c:v>
                </c:pt>
                <c:pt idx="9">
                  <c:v>GD+‎</c:v>
                </c:pt>
              </c:strCache>
            </c:strRef>
          </c:cat>
          <c:val>
            <c:numRef>
              <c:f>Dashboard!$C$135:$C$144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67206711"/>
        <c:axId val="54638971"/>
      </c:barChart>
      <c:catAx>
        <c:axId val="67206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38971"/>
        <c:crosses val="autoZero"/>
        <c:auto val="1"/>
        <c:lblAlgn val="ctr"/>
        <c:lblOffset val="100"/>
        <c:noMultiLvlLbl val="0"/>
      </c:catAx>
      <c:valAx>
        <c:axId val="54638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067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مسار الفترات (مقارنة بنقطة البداية)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"At &amp; Above %"</c:f>
              <c:strCache>
                <c:ptCount val="1"/>
                <c:pt idx="0">
                  <c:v>At &amp; Above %</c:v>
                </c:pt>
              </c:strCache>
            </c:strRef>
          </c:tx>
          <c:spPr>
            <a:solidFill>
              <a:srgbClr val="0e9aa7"/>
            </a:solidFill>
            <a:ln w="0">
              <a:solidFill>
                <a:srgbClr val="0e9aa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Dashboard!$B$95:$B$98</c:f>
              <c:strCache>
                <c:ptCount val="4"/>
                <c:pt idx="0">
                  <c:v>Baseline</c:v>
                </c:pt>
                <c:pt idx="1">
                  <c:v>Term 1</c:v>
                </c:pt>
                <c:pt idx="2">
                  <c:v>Term 2</c:v>
                </c:pt>
                <c:pt idx="3">
                  <c:v>Term 3</c:v>
                </c:pt>
              </c:strCache>
            </c:strRef>
          </c:cat>
          <c:val>
            <c:numRef>
              <c:f>Dashboard!$D$95:$D$98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tx>
            <c:strRef>
              <c:f>"Above %"</c:f>
              <c:strCache>
                <c:ptCount val="1"/>
                <c:pt idx="0">
                  <c:v>Above %</c:v>
                </c:pt>
              </c:strCache>
            </c:strRef>
          </c:tx>
          <c:spPr>
            <a:solidFill>
              <a:srgbClr val="0b2a4a"/>
            </a:solidFill>
            <a:ln w="0">
              <a:solidFill>
                <a:srgbClr val="0b2a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Dashboard!$B$95:$B$98</c:f>
              <c:strCache>
                <c:ptCount val="4"/>
                <c:pt idx="0">
                  <c:v>Baseline</c:v>
                </c:pt>
                <c:pt idx="1">
                  <c:v>Term 1</c:v>
                </c:pt>
                <c:pt idx="2">
                  <c:v>Term 2</c:v>
                </c:pt>
                <c:pt idx="3">
                  <c:v>Term 3</c:v>
                </c:pt>
              </c:strCache>
            </c:strRef>
          </c:cat>
          <c:val>
            <c:numRef>
              <c:f>Dashboard!$E$95:$E$98</c:f>
              <c:numCache>
                <c:formatCode>General</c:formatCode>
                <c:ptCount val="4"/>
              </c:numCache>
            </c:numRef>
          </c:val>
        </c:ser>
        <c:ser>
          <c:idx val="2"/>
          <c:order val="2"/>
          <c:tx>
            <c:strRef>
              <c:f>"Better Than Expected %"</c:f>
              <c:strCache>
                <c:ptCount val="1"/>
                <c:pt idx="0">
                  <c:v>Better Than Expected %</c:v>
                </c:pt>
              </c:strCache>
            </c:strRef>
          </c:tx>
          <c:spPr>
            <a:solidFill>
              <a:srgbClr val="3dbe6b"/>
            </a:solidFill>
            <a:ln w="0">
              <a:solidFill>
                <a:srgbClr val="3dbe6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Dashboard!$B$95:$B$98</c:f>
              <c:strCache>
                <c:ptCount val="4"/>
                <c:pt idx="0">
                  <c:v>Baseline</c:v>
                </c:pt>
                <c:pt idx="1">
                  <c:v>Term 1</c:v>
                </c:pt>
                <c:pt idx="2">
                  <c:v>Term 2</c:v>
                </c:pt>
                <c:pt idx="3">
                  <c:v>Term 3</c:v>
                </c:pt>
              </c:strCache>
            </c:strRef>
          </c:cat>
          <c:val>
            <c:numRef>
              <c:f>Dashboard!$K$95:$K$98</c:f>
              <c:numCache>
                <c:formatCode>General</c:formatCode>
                <c:ptCount val="4"/>
              </c:numCache>
            </c:numRef>
          </c:val>
        </c:ser>
        <c:ser>
          <c:idx val="3"/>
          <c:order val="3"/>
          <c:tx>
            <c:strRef>
              <c:f>"Expected &amp; Better %"</c:f>
              <c:strCache>
                <c:ptCount val="1"/>
                <c:pt idx="0">
                  <c:v>Expected &amp; Better %</c:v>
                </c:pt>
              </c:strCache>
            </c:strRef>
          </c:tx>
          <c:spPr>
            <a:solidFill>
              <a:srgbClr val="d4a20c"/>
            </a:solidFill>
            <a:ln w="0">
              <a:solidFill>
                <a:srgbClr val="d4a20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Dashboard!$B$95:$B$98</c:f>
              <c:strCache>
                <c:ptCount val="4"/>
                <c:pt idx="0">
                  <c:v>Baseline</c:v>
                </c:pt>
                <c:pt idx="1">
                  <c:v>Term 1</c:v>
                </c:pt>
                <c:pt idx="2">
                  <c:v>Term 2</c:v>
                </c:pt>
                <c:pt idx="3">
                  <c:v>Term 3</c:v>
                </c:pt>
              </c:strCache>
            </c:strRef>
          </c:cat>
          <c:val>
            <c:numRef>
              <c:f>Dashboard!$L$95:$L$98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10959420"/>
        <c:axId val="29481314"/>
      </c:barChart>
      <c:catAx>
        <c:axId val="109594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81314"/>
        <c:crosses val="autoZero"/>
        <c:auto val="1"/>
        <c:lblAlgn val="ctr"/>
        <c:lblOffset val="100"/>
        <c:noMultiLvlLbl val="0"/>
      </c:catAx>
      <c:valAx>
        <c:axId val="2948131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594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عدد الطلاب لكل علامة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"عدد الطلاب"</c:f>
              <c:strCache>
                <c:ptCount val="1"/>
                <c:pt idx="0">
                  <c:v>عدد الطلاب</c:v>
                </c:pt>
              </c:strCache>
            </c:strRef>
          </c:tx>
          <c:spPr>
            <a:solidFill>
              <a:srgbClr val="16385f"/>
            </a:solidFill>
            <a:ln w="0">
              <a:solidFill>
                <a:srgbClr val="16385f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Year_Panel!$F$127:$F$136</c:f>
              <c:strCache>
                <c:ptCount val="10"/>
                <c:pt idx="0">
                  <c:v>U‎</c:v>
                </c:pt>
                <c:pt idx="1">
                  <c:v>B‎</c:v>
                </c:pt>
                <c:pt idx="2">
                  <c:v>B+‎</c:v>
                </c:pt>
                <c:pt idx="3">
                  <c:v>T‎</c:v>
                </c:pt>
                <c:pt idx="4">
                  <c:v>AT‎</c:v>
                </c:pt>
                <c:pt idx="5">
                  <c:v>AT+‎</c:v>
                </c:pt>
                <c:pt idx="6">
                  <c:v>AB‎</c:v>
                </c:pt>
                <c:pt idx="7">
                  <c:v>AB+‎</c:v>
                </c:pt>
                <c:pt idx="8">
                  <c:v>GD‎</c:v>
                </c:pt>
                <c:pt idx="9">
                  <c:v>GD+‎</c:v>
                </c:pt>
              </c:strCache>
            </c:strRef>
          </c:cat>
          <c:val>
            <c:numRef>
              <c:f>Year_Panel!$C$127:$C$136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57574335"/>
        <c:axId val="63605805"/>
      </c:barChart>
      <c:catAx>
        <c:axId val="5757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05805"/>
        <c:crosses val="autoZero"/>
        <c:auto val="1"/>
        <c:lblAlgn val="ctr"/>
        <c:lblOffset val="100"/>
        <c:noMultiLvlLbl val="0"/>
      </c:catAx>
      <c:valAx>
        <c:axId val="636058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5743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At &amp; Above و Above حسب البلوك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"At &amp; Above %"</c:f>
              <c:strCache>
                <c:ptCount val="1"/>
                <c:pt idx="0">
                  <c:v>At &amp; Above %</c:v>
                </c:pt>
              </c:strCache>
            </c:strRef>
          </c:tx>
          <c:spPr>
            <a:solidFill>
              <a:srgbClr val="0e9aa7"/>
            </a:solidFill>
            <a:ln w="0">
              <a:solidFill>
                <a:srgbClr val="0e9aa7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Year_Panel!$B$103:$B$110</c:f>
              <c:strCache>
                <c:ptCount val="8"/>
                <c:pt idx="0">
                  <c:v>ah</c:v>
                </c:pt>
                <c:pt idx="1">
                  <c:v>ip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Year_Panel!$E$103:$E$110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"Above %"</c:f>
              <c:strCache>
                <c:ptCount val="1"/>
                <c:pt idx="0">
                  <c:v>Above %</c:v>
                </c:pt>
              </c:strCache>
            </c:strRef>
          </c:tx>
          <c:spPr>
            <a:solidFill>
              <a:srgbClr val="0b2a4a"/>
            </a:solidFill>
            <a:ln w="0">
              <a:solidFill>
                <a:srgbClr val="0b2a4a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Year_Panel!$B$103:$B$110</c:f>
              <c:strCache>
                <c:ptCount val="8"/>
                <c:pt idx="0">
                  <c:v>ah</c:v>
                </c:pt>
                <c:pt idx="1">
                  <c:v>ip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Year_Panel!$G$103:$G$110</c:f>
              <c:numCache>
                <c:formatCode>General</c:formatCode>
                <c:ptCount val="8"/>
              </c:numCache>
            </c:numRef>
          </c:val>
        </c:ser>
        <c:gapWidth val="150"/>
        <c:overlap val="0"/>
        <c:axId val="75442287"/>
        <c:axId val="92976305"/>
      </c:barChart>
      <c:catAx>
        <c:axId val="7544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76305"/>
        <c:crosses val="autoZero"/>
        <c:auto val="1"/>
        <c:lblAlgn val="ctr"/>
        <c:lblOffset val="100"/>
        <c:noMultiLvlLbl val="0"/>
      </c:catAx>
      <c:valAx>
        <c:axId val="9297630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422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شرائح التحصيل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"شرائح التحصيل"</c:f>
              <c:strCache>
                <c:ptCount val="1"/>
                <c:pt idx="0">
                  <c:v>شرائح التحصيل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7aac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63c2a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2e8fea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Year_Panel!$G$140:$G$142</c:f>
              <c:strCache>
                <c:ptCount val="3"/>
                <c:pt idx="0">
                  <c:v>أقل من At (Below At)</c:v>
                </c:pt>
                <c:pt idx="1">
                  <c:v>At (دون Above)</c:v>
                </c:pt>
                <c:pt idx="2">
                  <c:v>Above</c:v>
                </c:pt>
              </c:strCache>
            </c:strRef>
          </c:cat>
          <c:val>
            <c:numRef>
              <c:f>Year_Panel!$H$140:$H$142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تصنيف التقدم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"تصنيف التقدم"</c:f>
              <c:strCache>
                <c:ptCount val="1"/>
                <c:pt idx="0">
                  <c:v>تصنيف التقدم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5483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6c945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dbe6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Year_Panel!$G$145:$G$147</c:f>
              <c:strCache>
                <c:ptCount val="3"/>
                <c:pt idx="0">
                  <c:v>Less Than Expected</c:v>
                </c:pt>
                <c:pt idx="1">
                  <c:v>Expected</c:v>
                </c:pt>
                <c:pt idx="2">
                  <c:v>Better Than Expected</c:v>
                </c:pt>
              </c:strCache>
            </c:strRef>
          </c:cat>
          <c:val>
            <c:numRef>
              <c:f>Year_Panel!$H$145:$H$147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توزيع التقدم حسب البلوك (100%)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"Less"</c:f>
              <c:strCache>
                <c:ptCount val="1"/>
                <c:pt idx="0">
                  <c:v>Less</c:v>
                </c:pt>
              </c:strCache>
            </c:strRef>
          </c:tx>
          <c:spPr>
            <a:solidFill>
              <a:srgbClr val="e5483e"/>
            </a:solidFill>
            <a:ln w="0">
              <a:solidFill>
                <a:srgbClr val="e5483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Year_Panel!$B$115:$B$122</c:f>
              <c:strCache>
                <c:ptCount val="8"/>
                <c:pt idx="0">
                  <c:v>ah</c:v>
                </c:pt>
                <c:pt idx="1">
                  <c:v>ip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Year_Panel!$D$115:$D$122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strRef>
              <c:f>"Expected"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f6c945"/>
            </a:solidFill>
            <a:ln w="0">
              <a:solidFill>
                <a:srgbClr val="f6c94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Year_Panel!$B$115:$B$122</c:f>
              <c:strCache>
                <c:ptCount val="8"/>
                <c:pt idx="0">
                  <c:v>ah</c:v>
                </c:pt>
                <c:pt idx="1">
                  <c:v>ip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Year_Panel!$F$115:$F$122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strRef>
              <c:f>"Better"</c:f>
              <c:strCache>
                <c:ptCount val="1"/>
                <c:pt idx="0">
                  <c:v>Better</c:v>
                </c:pt>
              </c:strCache>
            </c:strRef>
          </c:tx>
          <c:spPr>
            <a:solidFill>
              <a:srgbClr val="3dbe6b"/>
            </a:solidFill>
            <a:ln w="0">
              <a:solidFill>
                <a:srgbClr val="3dbe6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Year_Panel!$B$115:$B$122</c:f>
              <c:strCache>
                <c:ptCount val="8"/>
                <c:pt idx="0">
                  <c:v>ah</c:v>
                </c:pt>
                <c:pt idx="1">
                  <c:v>ip</c:v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Year_Panel!$H$115:$H$122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150"/>
        <c:overlap val="100"/>
        <c:axId val="27858214"/>
        <c:axId val="74880538"/>
      </c:barChart>
      <c:catAx>
        <c:axId val="278582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80538"/>
        <c:crosses val="autoZero"/>
        <c:auto val="1"/>
        <c:lblAlgn val="ctr"/>
        <c:lblOffset val="100"/>
        <c:noMultiLvlLbl val="0"/>
      </c:catAx>
      <c:valAx>
        <c:axId val="748805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-409]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582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b2a4a"/>
                </a:solidFill>
                <a:latin typeface="Calibri"/>
              </a:defRPr>
            </a:pPr>
            <a:r>
              <a:rPr b="1" sz="1200" spc="-1" strike="noStrike">
                <a:solidFill>
                  <a:srgbClr val="0b2a4a"/>
                </a:solidFill>
                <a:latin typeface="Calibri"/>
              </a:rPr>
              <a:t>مسار الفترات لهذا الصف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"At &amp; Above %"</c:f>
              <c:strCache>
                <c:ptCount val="1"/>
                <c:pt idx="0">
                  <c:v>At &amp; Above %</c:v>
                </c:pt>
              </c:strCache>
            </c:strRef>
          </c:tx>
          <c:spPr>
            <a:solidFill>
              <a:srgbClr val="0e9aa7"/>
            </a:solidFill>
            <a:ln w="0">
              <a:solidFill>
                <a:srgbClr val="0e9aa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Year_Panel!$B$95:$B$98</c:f>
              <c:strCache>
                <c:ptCount val="4"/>
                <c:pt idx="0">
                  <c:v>Baseline</c:v>
                </c:pt>
                <c:pt idx="1">
                  <c:v>Term 1</c:v>
                </c:pt>
                <c:pt idx="2">
                  <c:v>Term 2</c:v>
                </c:pt>
                <c:pt idx="3">
                  <c:v>Term 3</c:v>
                </c:pt>
              </c:strCache>
            </c:strRef>
          </c:cat>
          <c:val>
            <c:numRef>
              <c:f>Year_Panel!$D$95:$D$98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tx>
            <c:strRef>
              <c:f>"Above %"</c:f>
              <c:strCache>
                <c:ptCount val="1"/>
                <c:pt idx="0">
                  <c:v>Above %</c:v>
                </c:pt>
              </c:strCache>
            </c:strRef>
          </c:tx>
          <c:spPr>
            <a:solidFill>
              <a:srgbClr val="0b2a4a"/>
            </a:solidFill>
            <a:ln w="0">
              <a:solidFill>
                <a:srgbClr val="0b2a4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Year_Panel!$B$95:$B$98</c:f>
              <c:strCache>
                <c:ptCount val="4"/>
                <c:pt idx="0">
                  <c:v>Baseline</c:v>
                </c:pt>
                <c:pt idx="1">
                  <c:v>Term 1</c:v>
                </c:pt>
                <c:pt idx="2">
                  <c:v>Term 2</c:v>
                </c:pt>
                <c:pt idx="3">
                  <c:v>Term 3</c:v>
                </c:pt>
              </c:strCache>
            </c:strRef>
          </c:cat>
          <c:val>
            <c:numRef>
              <c:f>Year_Panel!$E$95:$E$98</c:f>
              <c:numCache>
                <c:formatCode>General</c:formatCode>
                <c:ptCount val="4"/>
              </c:numCache>
            </c:numRef>
          </c:val>
        </c:ser>
        <c:ser>
          <c:idx val="2"/>
          <c:order val="2"/>
          <c:tx>
            <c:strRef>
              <c:f>"Better %"</c:f>
              <c:strCache>
                <c:ptCount val="1"/>
                <c:pt idx="0">
                  <c:v>Better %</c:v>
                </c:pt>
              </c:strCache>
            </c:strRef>
          </c:tx>
          <c:spPr>
            <a:solidFill>
              <a:srgbClr val="3dbe6b"/>
            </a:solidFill>
            <a:ln w="0">
              <a:solidFill>
                <a:srgbClr val="3dbe6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Year_Panel!$B$95:$B$98</c:f>
              <c:strCache>
                <c:ptCount val="4"/>
                <c:pt idx="0">
                  <c:v>Baseline</c:v>
                </c:pt>
                <c:pt idx="1">
                  <c:v>Term 1</c:v>
                </c:pt>
                <c:pt idx="2">
                  <c:v>Term 2</c:v>
                </c:pt>
                <c:pt idx="3">
                  <c:v>Term 3</c:v>
                </c:pt>
              </c:strCache>
            </c:strRef>
          </c:cat>
          <c:val>
            <c:numRef>
              <c:f>Year_Panel!$K$95:$K$98</c:f>
              <c:numCache>
                <c:formatCode>General</c:formatCode>
                <c:ptCount val="4"/>
              </c:numCache>
            </c:numRef>
          </c:val>
        </c:ser>
        <c:ser>
          <c:idx val="3"/>
          <c:order val="3"/>
          <c:tx>
            <c:strRef>
              <c:f>"Expected &amp; Better %"</c:f>
              <c:strCache>
                <c:ptCount val="1"/>
                <c:pt idx="0">
                  <c:v>Expected &amp; Better %</c:v>
                </c:pt>
              </c:strCache>
            </c:strRef>
          </c:tx>
          <c:spPr>
            <a:solidFill>
              <a:srgbClr val="d4a20c"/>
            </a:solidFill>
            <a:ln w="0">
              <a:solidFill>
                <a:srgbClr val="d4a20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Year_Panel!$B$95:$B$98</c:f>
              <c:strCache>
                <c:ptCount val="4"/>
                <c:pt idx="0">
                  <c:v>Baseline</c:v>
                </c:pt>
                <c:pt idx="1">
                  <c:v>Term 1</c:v>
                </c:pt>
                <c:pt idx="2">
                  <c:v>Term 2</c:v>
                </c:pt>
                <c:pt idx="3">
                  <c:v>Term 3</c:v>
                </c:pt>
              </c:strCache>
            </c:strRef>
          </c:cat>
          <c:val>
            <c:numRef>
              <c:f>Year_Panel!$L$95:$L$98</c:f>
              <c:numCache>
                <c:formatCode>General</c:formatCode>
                <c:ptCount val="4"/>
              </c:numCache>
            </c:numRef>
          </c:val>
        </c:ser>
        <c:gapWidth val="150"/>
        <c:overlap val="0"/>
        <c:axId val="9842842"/>
        <c:axId val="97413043"/>
      </c:barChart>
      <c:catAx>
        <c:axId val="98428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13043"/>
        <c:crosses val="autoZero"/>
        <c:auto val="1"/>
        <c:lblAlgn val="ctr"/>
        <c:lblOffset val="100"/>
        <c:noMultiLvlLbl val="0"/>
      </c:catAx>
      <c:valAx>
        <c:axId val="9741304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4284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-897840</xdr:colOff>
      <xdr:row>20</xdr:row>
      <xdr:rowOff>0</xdr:rowOff>
    </xdr:from>
    <xdr:to>
      <xdr:col>6</xdr:col>
      <xdr:colOff>0</xdr:colOff>
      <xdr:row>42</xdr:row>
      <xdr:rowOff>128880</xdr:rowOff>
    </xdr:to>
    <xdr:graphicFrame>
      <xdr:nvGraphicFramePr>
        <xdr:cNvPr id="0" name="Chart 1"/>
        <xdr:cNvGraphicFramePr/>
      </xdr:nvGraphicFramePr>
      <xdr:xfrm>
        <a:off x="-5972760" y="5419800"/>
        <a:ext cx="583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-897480</xdr:colOff>
      <xdr:row>20</xdr:row>
      <xdr:rowOff>0</xdr:rowOff>
    </xdr:from>
    <xdr:to>
      <xdr:col>12</xdr:col>
      <xdr:colOff>0</xdr:colOff>
      <xdr:row>42</xdr:row>
      <xdr:rowOff>128880</xdr:rowOff>
    </xdr:to>
    <xdr:graphicFrame>
      <xdr:nvGraphicFramePr>
        <xdr:cNvPr id="1" name="Chart 2"/>
        <xdr:cNvGraphicFramePr/>
      </xdr:nvGraphicFramePr>
      <xdr:xfrm>
        <a:off x="-11893320" y="5419800"/>
        <a:ext cx="583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-891360</xdr:colOff>
      <xdr:row>44</xdr:row>
      <xdr:rowOff>0</xdr:rowOff>
    </xdr:from>
    <xdr:to>
      <xdr:col>4</xdr:col>
      <xdr:colOff>0</xdr:colOff>
      <xdr:row>66</xdr:row>
      <xdr:rowOff>128880</xdr:rowOff>
    </xdr:to>
    <xdr:graphicFrame>
      <xdr:nvGraphicFramePr>
        <xdr:cNvPr id="2" name="Chart 3"/>
        <xdr:cNvGraphicFramePr/>
      </xdr:nvGraphicFramePr>
      <xdr:xfrm>
        <a:off x="-3992760" y="9991800"/>
        <a:ext cx="385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-891360</xdr:colOff>
      <xdr:row>44</xdr:row>
      <xdr:rowOff>0</xdr:rowOff>
    </xdr:from>
    <xdr:to>
      <xdr:col>8</xdr:col>
      <xdr:colOff>0</xdr:colOff>
      <xdr:row>66</xdr:row>
      <xdr:rowOff>128880</xdr:rowOff>
    </xdr:to>
    <xdr:graphicFrame>
      <xdr:nvGraphicFramePr>
        <xdr:cNvPr id="3" name="Chart 4"/>
        <xdr:cNvGraphicFramePr/>
      </xdr:nvGraphicFramePr>
      <xdr:xfrm>
        <a:off x="-7939800" y="9991800"/>
        <a:ext cx="385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-891000</xdr:colOff>
      <xdr:row>44</xdr:row>
      <xdr:rowOff>0</xdr:rowOff>
    </xdr:from>
    <xdr:to>
      <xdr:col>12</xdr:col>
      <xdr:colOff>0</xdr:colOff>
      <xdr:row>66</xdr:row>
      <xdr:rowOff>128880</xdr:rowOff>
    </xdr:to>
    <xdr:graphicFrame>
      <xdr:nvGraphicFramePr>
        <xdr:cNvPr id="4" name="Chart 5"/>
        <xdr:cNvGraphicFramePr/>
      </xdr:nvGraphicFramePr>
      <xdr:xfrm>
        <a:off x="-11886840" y="9991800"/>
        <a:ext cx="385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-897840</xdr:colOff>
      <xdr:row>68</xdr:row>
      <xdr:rowOff>0</xdr:rowOff>
    </xdr:from>
    <xdr:to>
      <xdr:col>6</xdr:col>
      <xdr:colOff>0</xdr:colOff>
      <xdr:row>90</xdr:row>
      <xdr:rowOff>128880</xdr:rowOff>
    </xdr:to>
    <xdr:graphicFrame>
      <xdr:nvGraphicFramePr>
        <xdr:cNvPr id="5" name="Chart 6"/>
        <xdr:cNvGraphicFramePr/>
      </xdr:nvGraphicFramePr>
      <xdr:xfrm>
        <a:off x="-5972760" y="14563800"/>
        <a:ext cx="583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-897840</xdr:colOff>
      <xdr:row>20</xdr:row>
      <xdr:rowOff>0</xdr:rowOff>
    </xdr:from>
    <xdr:to>
      <xdr:col>6</xdr:col>
      <xdr:colOff>0</xdr:colOff>
      <xdr:row>42</xdr:row>
      <xdr:rowOff>128880</xdr:rowOff>
    </xdr:to>
    <xdr:graphicFrame>
      <xdr:nvGraphicFramePr>
        <xdr:cNvPr id="6" name="Chart 1"/>
        <xdr:cNvGraphicFramePr/>
      </xdr:nvGraphicFramePr>
      <xdr:xfrm>
        <a:off x="-5972760" y="5419800"/>
        <a:ext cx="583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-897480</xdr:colOff>
      <xdr:row>20</xdr:row>
      <xdr:rowOff>0</xdr:rowOff>
    </xdr:from>
    <xdr:to>
      <xdr:col>12</xdr:col>
      <xdr:colOff>0</xdr:colOff>
      <xdr:row>42</xdr:row>
      <xdr:rowOff>128880</xdr:rowOff>
    </xdr:to>
    <xdr:graphicFrame>
      <xdr:nvGraphicFramePr>
        <xdr:cNvPr id="7" name="Chart 2"/>
        <xdr:cNvGraphicFramePr/>
      </xdr:nvGraphicFramePr>
      <xdr:xfrm>
        <a:off x="-11893320" y="5419800"/>
        <a:ext cx="583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-891360</xdr:colOff>
      <xdr:row>44</xdr:row>
      <xdr:rowOff>0</xdr:rowOff>
    </xdr:from>
    <xdr:to>
      <xdr:col>4</xdr:col>
      <xdr:colOff>0</xdr:colOff>
      <xdr:row>66</xdr:row>
      <xdr:rowOff>128880</xdr:rowOff>
    </xdr:to>
    <xdr:graphicFrame>
      <xdr:nvGraphicFramePr>
        <xdr:cNvPr id="8" name="Chart 3"/>
        <xdr:cNvGraphicFramePr/>
      </xdr:nvGraphicFramePr>
      <xdr:xfrm>
        <a:off x="-3992760" y="9991800"/>
        <a:ext cx="385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-891360</xdr:colOff>
      <xdr:row>44</xdr:row>
      <xdr:rowOff>0</xdr:rowOff>
    </xdr:from>
    <xdr:to>
      <xdr:col>8</xdr:col>
      <xdr:colOff>0</xdr:colOff>
      <xdr:row>66</xdr:row>
      <xdr:rowOff>128880</xdr:rowOff>
    </xdr:to>
    <xdr:graphicFrame>
      <xdr:nvGraphicFramePr>
        <xdr:cNvPr id="9" name="Chart 4"/>
        <xdr:cNvGraphicFramePr/>
      </xdr:nvGraphicFramePr>
      <xdr:xfrm>
        <a:off x="-7939800" y="9991800"/>
        <a:ext cx="385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-891000</xdr:colOff>
      <xdr:row>44</xdr:row>
      <xdr:rowOff>0</xdr:rowOff>
    </xdr:from>
    <xdr:to>
      <xdr:col>12</xdr:col>
      <xdr:colOff>0</xdr:colOff>
      <xdr:row>66</xdr:row>
      <xdr:rowOff>128880</xdr:rowOff>
    </xdr:to>
    <xdr:graphicFrame>
      <xdr:nvGraphicFramePr>
        <xdr:cNvPr id="10" name="Chart 5"/>
        <xdr:cNvGraphicFramePr/>
      </xdr:nvGraphicFramePr>
      <xdr:xfrm>
        <a:off x="-11886840" y="9991800"/>
        <a:ext cx="385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-897840</xdr:colOff>
      <xdr:row>68</xdr:row>
      <xdr:rowOff>0</xdr:rowOff>
    </xdr:from>
    <xdr:to>
      <xdr:col>6</xdr:col>
      <xdr:colOff>0</xdr:colOff>
      <xdr:row>90</xdr:row>
      <xdr:rowOff>128880</xdr:rowOff>
    </xdr:to>
    <xdr:graphicFrame>
      <xdr:nvGraphicFramePr>
        <xdr:cNvPr id="11" name="Chart 6"/>
        <xdr:cNvGraphicFramePr/>
      </xdr:nvGraphicFramePr>
      <xdr:xfrm>
        <a:off x="-5972760" y="14563800"/>
        <a:ext cx="5831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rc.xlsx" TargetMode="External"/><Relationship Id="rId2" Type="http://schemas.openxmlformats.org/officeDocument/2006/relationships/hyperlink" Target="rc.xlsx" TargetMode="External"/><Relationship Id="rId3" Type="http://schemas.openxmlformats.org/officeDocument/2006/relationships/hyperlink" Target="rc.xlsx" TargetMode="External"/><Relationship Id="rId4" Type="http://schemas.openxmlformats.org/officeDocument/2006/relationships/hyperlink" Target="rc.xlsx" TargetMode="External"/><Relationship Id="rId5" Type="http://schemas.openxmlformats.org/officeDocument/2006/relationships/hyperlink" Target="rc.xlsx" TargetMode="External"/><Relationship Id="rId6" Type="http://schemas.openxmlformats.org/officeDocument/2006/relationships/hyperlink" Target="rc.xlsx" TargetMode="External"/><Relationship Id="rId7" Type="http://schemas.openxmlformats.org/officeDocument/2006/relationships/hyperlink" Target="rc.xlsx" TargetMode="External"/><Relationship Id="rId8" Type="http://schemas.openxmlformats.org/officeDocument/2006/relationships/hyperlink" Target="rc.xlsx" TargetMode="External"/><Relationship Id="rId9" Type="http://schemas.openxmlformats.org/officeDocument/2006/relationships/hyperlink" Target="rc.xlsx" TargetMode="External"/><Relationship Id="rId10" Type="http://schemas.openxmlformats.org/officeDocument/2006/relationships/hyperlink" Target="rc.xlsx" TargetMode="External"/><Relationship Id="rId11" Type="http://schemas.openxmlformats.org/officeDocument/2006/relationships/hyperlink" Target="rc.xlsx" TargetMode="External"/><Relationship Id="rId12" Type="http://schemas.openxmlformats.org/officeDocument/2006/relationships/hyperlink" Target="rc.xlsx" TargetMode="External"/><Relationship Id="rId13" Type="http://schemas.openxmlformats.org/officeDocument/2006/relationships/hyperlink" Target="rc.xlsx" TargetMode="External"/><Relationship Id="rId14" Type="http://schemas.openxmlformats.org/officeDocument/2006/relationships/hyperlink" Target="rc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rc.xlsx" TargetMode="External"/><Relationship Id="rId2" Type="http://schemas.openxmlformats.org/officeDocument/2006/relationships/hyperlink" Target="rc.xlsx" TargetMode="External"/><Relationship Id="rId3" Type="http://schemas.openxmlformats.org/officeDocument/2006/relationships/hyperlink" Target="rc.xlsx" TargetMode="External"/><Relationship Id="rId4" Type="http://schemas.openxmlformats.org/officeDocument/2006/relationships/hyperlink" Target="rc.xlsx" TargetMode="External"/><Relationship Id="rId5" Type="http://schemas.openxmlformats.org/officeDocument/2006/relationships/hyperlink" Target="rc.xlsx" TargetMode="External"/><Relationship Id="rId6" Type="http://schemas.openxmlformats.org/officeDocument/2006/relationships/hyperlink" Target="rc.xlsx" TargetMode="External"/><Relationship Id="rId7" Type="http://schemas.openxmlformats.org/officeDocument/2006/relationships/hyperlink" Target="rc.xlsx" TargetMode="External"/><Relationship Id="rId8" Type="http://schemas.openxmlformats.org/officeDocument/2006/relationships/hyperlink" Target="rc.xlsx" TargetMode="External"/><Relationship Id="rId9" Type="http://schemas.openxmlformats.org/officeDocument/2006/relationships/hyperlink" Target="rc.xlsx" TargetMode="External"/><Relationship Id="rId10" Type="http://schemas.openxmlformats.org/officeDocument/2006/relationships/hyperlink" Target="rc.xlsx" TargetMode="External"/><Relationship Id="rId11" Type="http://schemas.openxmlformats.org/officeDocument/2006/relationships/hyperlink" Target="rc.xlsx" TargetMode="External"/><Relationship Id="rId12" Type="http://schemas.openxmlformats.org/officeDocument/2006/relationships/hyperlink" Target="rc.xlsx" TargetMode="External"/><Relationship Id="rId13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rc.xlsx" TargetMode="External"/><Relationship Id="rId2" Type="http://schemas.openxmlformats.org/officeDocument/2006/relationships/hyperlink" Target="rc.xlsx" TargetMode="External"/><Relationship Id="rId3" Type="http://schemas.openxmlformats.org/officeDocument/2006/relationships/hyperlink" Target="rc.xlsx" TargetMode="External"/><Relationship Id="rId4" Type="http://schemas.openxmlformats.org/officeDocument/2006/relationships/hyperlink" Target="rc.xlsx" TargetMode="External"/><Relationship Id="rId5" Type="http://schemas.openxmlformats.org/officeDocument/2006/relationships/hyperlink" Target="rc.xlsx" TargetMode="External"/><Relationship Id="rId6" Type="http://schemas.openxmlformats.org/officeDocument/2006/relationships/hyperlink" Target="rc.xlsx" TargetMode="External"/><Relationship Id="rId7" Type="http://schemas.openxmlformats.org/officeDocument/2006/relationships/hyperlink" Target="rc.xlsx" TargetMode="External"/><Relationship Id="rId8" Type="http://schemas.openxmlformats.org/officeDocument/2006/relationships/hyperlink" Target="rc.xlsx" TargetMode="External"/><Relationship Id="rId9" Type="http://schemas.openxmlformats.org/officeDocument/2006/relationships/hyperlink" Target="rc.xlsx" TargetMode="External"/><Relationship Id="rId10" Type="http://schemas.openxmlformats.org/officeDocument/2006/relationships/hyperlink" Target="rc.xlsx" TargetMode="External"/><Relationship Id="rId11" Type="http://schemas.openxmlformats.org/officeDocument/2006/relationships/hyperlink" Target="rc.xlsx" TargetMode="External"/><Relationship Id="rId12" Type="http://schemas.openxmlformats.org/officeDocument/2006/relationships/hyperlink" Target="rc.xlsx" TargetMode="External"/><Relationship Id="rId13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rc.xlsx" TargetMode="External"/><Relationship Id="rId2" Type="http://schemas.openxmlformats.org/officeDocument/2006/relationships/hyperlink" Target="rc.xlsx" TargetMode="External"/><Relationship Id="rId3" Type="http://schemas.openxmlformats.org/officeDocument/2006/relationships/hyperlink" Target="rc.xlsx" TargetMode="External"/><Relationship Id="rId4" Type="http://schemas.openxmlformats.org/officeDocument/2006/relationships/hyperlink" Target="rc.xlsx" TargetMode="External"/><Relationship Id="rId5" Type="http://schemas.openxmlformats.org/officeDocument/2006/relationships/hyperlink" Target="rc.xlsx" TargetMode="External"/><Relationship Id="rId6" Type="http://schemas.openxmlformats.org/officeDocument/2006/relationships/hyperlink" Target="rc.xlsx" TargetMode="External"/><Relationship Id="rId7" Type="http://schemas.openxmlformats.org/officeDocument/2006/relationships/hyperlink" Target="rc.xlsx" TargetMode="External"/><Relationship Id="rId8" Type="http://schemas.openxmlformats.org/officeDocument/2006/relationships/hyperlink" Target="rc.xlsx" TargetMode="External"/><Relationship Id="rId9" Type="http://schemas.openxmlformats.org/officeDocument/2006/relationships/hyperlink" Target="rc.xlsx" TargetMode="External"/><Relationship Id="rId10" Type="http://schemas.openxmlformats.org/officeDocument/2006/relationships/hyperlink" Target="rc.xlsx" TargetMode="External"/><Relationship Id="rId11" Type="http://schemas.openxmlformats.org/officeDocument/2006/relationships/hyperlink" Target="rc.xlsx" TargetMode="External"/><Relationship Id="rId12" Type="http://schemas.openxmlformats.org/officeDocument/2006/relationships/hyperlink" Target="rc.xlsx" TargetMode="External"/><Relationship Id="rId13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rc.xlsx" TargetMode="External"/><Relationship Id="rId2" Type="http://schemas.openxmlformats.org/officeDocument/2006/relationships/hyperlink" Target="rc.xlsx" TargetMode="External"/><Relationship Id="rId3" Type="http://schemas.openxmlformats.org/officeDocument/2006/relationships/hyperlink" Target="rc.xlsx" TargetMode="External"/><Relationship Id="rId4" Type="http://schemas.openxmlformats.org/officeDocument/2006/relationships/hyperlink" Target="rc.xlsx" TargetMode="External"/><Relationship Id="rId5" Type="http://schemas.openxmlformats.org/officeDocument/2006/relationships/hyperlink" Target="rc.xlsx" TargetMode="External"/><Relationship Id="rId6" Type="http://schemas.openxmlformats.org/officeDocument/2006/relationships/hyperlink" Target="rc.xlsx" TargetMode="External"/><Relationship Id="rId7" Type="http://schemas.openxmlformats.org/officeDocument/2006/relationships/hyperlink" Target="rc.xlsx" TargetMode="External"/><Relationship Id="rId8" Type="http://schemas.openxmlformats.org/officeDocument/2006/relationships/hyperlink" Target="rc.xlsx" TargetMode="External"/><Relationship Id="rId9" Type="http://schemas.openxmlformats.org/officeDocument/2006/relationships/hyperlink" Target="rc.xlsx" TargetMode="External"/><Relationship Id="rId10" Type="http://schemas.openxmlformats.org/officeDocument/2006/relationships/hyperlink" Target="rc.xlsx" TargetMode="External"/><Relationship Id="rId11" Type="http://schemas.openxmlformats.org/officeDocument/2006/relationships/hyperlink" Target="rc.xlsx" TargetMode="External"/><Relationship Id="rId12" Type="http://schemas.openxmlformats.org/officeDocument/2006/relationships/hyperlink" Target="rc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rc.xlsx" TargetMode="External"/><Relationship Id="rId2" Type="http://schemas.openxmlformats.org/officeDocument/2006/relationships/hyperlink" Target="rc.xlsx" TargetMode="External"/><Relationship Id="rId3" Type="http://schemas.openxmlformats.org/officeDocument/2006/relationships/hyperlink" Target="rc.xlsx" TargetMode="External"/><Relationship Id="rId4" Type="http://schemas.openxmlformats.org/officeDocument/2006/relationships/hyperlink" Target="rc.xlsx" TargetMode="External"/><Relationship Id="rId5" Type="http://schemas.openxmlformats.org/officeDocument/2006/relationships/hyperlink" Target="rc.xlsx" TargetMode="External"/><Relationship Id="rId6" Type="http://schemas.openxmlformats.org/officeDocument/2006/relationships/hyperlink" Target="rc.xlsx" TargetMode="External"/><Relationship Id="rId7" Type="http://schemas.openxmlformats.org/officeDocument/2006/relationships/hyperlink" Target="rc.xlsx" TargetMode="External"/><Relationship Id="rId8" Type="http://schemas.openxmlformats.org/officeDocument/2006/relationships/hyperlink" Target="rc.xlsx" TargetMode="External"/><Relationship Id="rId9" Type="http://schemas.openxmlformats.org/officeDocument/2006/relationships/hyperlink" Target="rc.xlsx" TargetMode="External"/><Relationship Id="rId10" Type="http://schemas.openxmlformats.org/officeDocument/2006/relationships/hyperlink" Target="rc.xlsx" TargetMode="External"/><Relationship Id="rId11" Type="http://schemas.openxmlformats.org/officeDocument/2006/relationships/hyperlink" Target="rc.xlsx" TargetMode="External"/><Relationship Id="rId12" Type="http://schemas.openxmlformats.org/officeDocument/2006/relationships/hyperlink" Target="rc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rc.xlsx" TargetMode="External"/><Relationship Id="rId2" Type="http://schemas.openxmlformats.org/officeDocument/2006/relationships/hyperlink" Target="rc.xlsx" TargetMode="External"/><Relationship Id="rId3" Type="http://schemas.openxmlformats.org/officeDocument/2006/relationships/hyperlink" Target="rc.xlsx" TargetMode="External"/><Relationship Id="rId4" Type="http://schemas.openxmlformats.org/officeDocument/2006/relationships/hyperlink" Target="rc.xlsx" TargetMode="External"/><Relationship Id="rId5" Type="http://schemas.openxmlformats.org/officeDocument/2006/relationships/hyperlink" Target="rc.xlsx" TargetMode="External"/><Relationship Id="rId6" Type="http://schemas.openxmlformats.org/officeDocument/2006/relationships/hyperlink" Target="rc.xlsx" TargetMode="External"/><Relationship Id="rId7" Type="http://schemas.openxmlformats.org/officeDocument/2006/relationships/hyperlink" Target="rc.xlsx" TargetMode="External"/><Relationship Id="rId8" Type="http://schemas.openxmlformats.org/officeDocument/2006/relationships/hyperlink" Target="rc.xlsx" TargetMode="External"/><Relationship Id="rId9" Type="http://schemas.openxmlformats.org/officeDocument/2006/relationships/hyperlink" Target="rc.xlsx" TargetMode="External"/><Relationship Id="rId10" Type="http://schemas.openxmlformats.org/officeDocument/2006/relationships/hyperlink" Target="rc.xlsx" TargetMode="External"/><Relationship Id="rId11" Type="http://schemas.openxmlformats.org/officeDocument/2006/relationships/hyperlink" Target="rc.xlsx" TargetMode="External"/><Relationship Id="rId12" Type="http://schemas.openxmlformats.org/officeDocument/2006/relationships/hyperlink" Target="rc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rc.xlsx" TargetMode="External"/><Relationship Id="rId2" Type="http://schemas.openxmlformats.org/officeDocument/2006/relationships/hyperlink" Target="rc.xlsx" TargetMode="External"/><Relationship Id="rId3" Type="http://schemas.openxmlformats.org/officeDocument/2006/relationships/hyperlink" Target="rc.xlsx" TargetMode="External"/><Relationship Id="rId4" Type="http://schemas.openxmlformats.org/officeDocument/2006/relationships/hyperlink" Target="rc.xlsx" TargetMode="External"/><Relationship Id="rId5" Type="http://schemas.openxmlformats.org/officeDocument/2006/relationships/hyperlink" Target="rc.xlsx" TargetMode="External"/><Relationship Id="rId6" Type="http://schemas.openxmlformats.org/officeDocument/2006/relationships/hyperlink" Target="rc.xlsx" TargetMode="External"/><Relationship Id="rId7" Type="http://schemas.openxmlformats.org/officeDocument/2006/relationships/hyperlink" Target="rc.xlsx" TargetMode="External"/><Relationship Id="rId8" Type="http://schemas.openxmlformats.org/officeDocument/2006/relationships/hyperlink" Target="rc.xlsx" TargetMode="External"/><Relationship Id="rId9" Type="http://schemas.openxmlformats.org/officeDocument/2006/relationships/hyperlink" Target="rc.xlsx" TargetMode="External"/><Relationship Id="rId10" Type="http://schemas.openxmlformats.org/officeDocument/2006/relationships/hyperlink" Target="rc.xlsx" TargetMode="External"/><Relationship Id="rId11" Type="http://schemas.openxmlformats.org/officeDocument/2006/relationships/hyperlink" Target="rc.xlsx" TargetMode="External"/><Relationship Id="rId12" Type="http://schemas.openxmlformats.org/officeDocument/2006/relationships/hyperlink" Target="rc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rc.xlsx" TargetMode="External"/><Relationship Id="rId2" Type="http://schemas.openxmlformats.org/officeDocument/2006/relationships/hyperlink" Target="rc.xlsx" TargetMode="External"/><Relationship Id="rId3" Type="http://schemas.openxmlformats.org/officeDocument/2006/relationships/hyperlink" Target="rc.xlsx" TargetMode="External"/><Relationship Id="rId4" Type="http://schemas.openxmlformats.org/officeDocument/2006/relationships/hyperlink" Target="rc.xlsx" TargetMode="External"/><Relationship Id="rId5" Type="http://schemas.openxmlformats.org/officeDocument/2006/relationships/hyperlink" Target="rc.xlsx" TargetMode="External"/><Relationship Id="rId6" Type="http://schemas.openxmlformats.org/officeDocument/2006/relationships/hyperlink" Target="rc.xlsx" TargetMode="External"/><Relationship Id="rId7" Type="http://schemas.openxmlformats.org/officeDocument/2006/relationships/hyperlink" Target="rc.xlsx" TargetMode="External"/><Relationship Id="rId8" Type="http://schemas.openxmlformats.org/officeDocument/2006/relationships/hyperlink" Target="rc.xlsx" TargetMode="External"/><Relationship Id="rId9" Type="http://schemas.openxmlformats.org/officeDocument/2006/relationships/hyperlink" Target="rc.xlsx" TargetMode="External"/><Relationship Id="rId10" Type="http://schemas.openxmlformats.org/officeDocument/2006/relationships/hyperlink" Target="rc.xlsx" TargetMode="External"/><Relationship Id="rId11" Type="http://schemas.openxmlformats.org/officeDocument/2006/relationships/hyperlink" Target="rc.xlsx" TargetMode="External"/><Relationship Id="rId12" Type="http://schemas.openxmlformats.org/officeDocument/2006/relationships/hyperlink" Target="rc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rc.xlsx" TargetMode="External"/><Relationship Id="rId2" Type="http://schemas.openxmlformats.org/officeDocument/2006/relationships/hyperlink" Target="rc.xlsx" TargetMode="External"/><Relationship Id="rId3" Type="http://schemas.openxmlformats.org/officeDocument/2006/relationships/hyperlink" Target="rc.xlsx" TargetMode="External"/><Relationship Id="rId4" Type="http://schemas.openxmlformats.org/officeDocument/2006/relationships/hyperlink" Target="rc.xlsx" TargetMode="External"/><Relationship Id="rId5" Type="http://schemas.openxmlformats.org/officeDocument/2006/relationships/hyperlink" Target="rc.xlsx" TargetMode="External"/><Relationship Id="rId6" Type="http://schemas.openxmlformats.org/officeDocument/2006/relationships/hyperlink" Target="rc.xlsx" TargetMode="External"/><Relationship Id="rId7" Type="http://schemas.openxmlformats.org/officeDocument/2006/relationships/hyperlink" Target="rc.xlsx" TargetMode="External"/><Relationship Id="rId8" Type="http://schemas.openxmlformats.org/officeDocument/2006/relationships/hyperlink" Target="rc.xlsx" TargetMode="External"/><Relationship Id="rId9" Type="http://schemas.openxmlformats.org/officeDocument/2006/relationships/hyperlink" Target="rc.xlsx" TargetMode="External"/><Relationship Id="rId10" Type="http://schemas.openxmlformats.org/officeDocument/2006/relationships/hyperlink" Target="rc.xlsx" TargetMode="External"/><Relationship Id="rId11" Type="http://schemas.openxmlformats.org/officeDocument/2006/relationships/hyperlink" Target="rc.xlsx" TargetMode="External"/><Relationship Id="rId12" Type="http://schemas.openxmlformats.org/officeDocument/2006/relationships/hyperlink" Target="rc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true"/>
  </sheetPr>
  <dimension ref="A1:D9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0"/>
  </cols>
  <sheetData>
    <row r="1" customFormat="false" ht="24" hidden="false" customHeight="true" outlineLevel="0" collapsed="false">
      <c r="A1" s="1"/>
      <c r="B1" s="2" t="s">
        <v>0</v>
      </c>
      <c r="C1" s="2"/>
      <c r="D1" s="1"/>
    </row>
    <row r="2" customFormat="false" ht="24" hidden="false" customHeight="true" outlineLevel="0" collapsed="false">
      <c r="A2" s="1"/>
      <c r="B2" s="2"/>
      <c r="C2" s="2"/>
      <c r="D2" s="1"/>
    </row>
    <row r="3" customFormat="false" ht="15" hidden="false" customHeight="true" outlineLevel="0" collapsed="false">
      <c r="A3" s="1"/>
      <c r="B3" s="3" t="s">
        <v>1</v>
      </c>
      <c r="C3" s="3"/>
      <c r="D3" s="1"/>
    </row>
    <row r="4" customFormat="false" ht="15" hidden="false" customHeight="false" outlineLevel="0" collapsed="false">
      <c r="A4" s="1"/>
      <c r="B4" s="1"/>
      <c r="C4" s="1"/>
      <c r="D4" s="1"/>
    </row>
    <row r="5" customFormat="false" ht="21.75" hidden="false" customHeight="true" outlineLevel="0" collapsed="false">
      <c r="A5" s="1"/>
      <c r="B5" s="4" t="s">
        <v>2</v>
      </c>
      <c r="C5" s="4"/>
      <c r="D5" s="1"/>
    </row>
    <row r="6" customFormat="false" ht="30" hidden="false" customHeight="true" outlineLevel="0" collapsed="false">
      <c r="A6" s="1"/>
      <c r="B6" s="5" t="s">
        <v>3</v>
      </c>
      <c r="C6" s="6" t="s">
        <v>4</v>
      </c>
      <c r="D6" s="1"/>
    </row>
    <row r="7" customFormat="false" ht="45" hidden="false" customHeight="true" outlineLevel="0" collapsed="false">
      <c r="A7" s="1"/>
      <c r="B7" s="5" t="s">
        <v>5</v>
      </c>
      <c r="C7" s="6" t="s">
        <v>6</v>
      </c>
      <c r="D7" s="1"/>
    </row>
    <row r="8" customFormat="false" ht="30" hidden="false" customHeight="true" outlineLevel="0" collapsed="false">
      <c r="A8" s="1"/>
      <c r="B8" s="5" t="s">
        <v>7</v>
      </c>
      <c r="C8" s="6" t="s">
        <v>8</v>
      </c>
      <c r="D8" s="1"/>
    </row>
    <row r="9" customFormat="false" ht="30" hidden="false" customHeight="true" outlineLevel="0" collapsed="false">
      <c r="A9" s="1"/>
      <c r="B9" s="5" t="s">
        <v>9</v>
      </c>
      <c r="C9" s="6" t="s">
        <v>10</v>
      </c>
      <c r="D9" s="1"/>
    </row>
    <row r="10" customFormat="false" ht="30" hidden="false" customHeight="true" outlineLevel="0" collapsed="false">
      <c r="A10" s="1"/>
      <c r="B10" s="5" t="s">
        <v>11</v>
      </c>
      <c r="C10" s="6" t="s">
        <v>12</v>
      </c>
      <c r="D10" s="1"/>
    </row>
    <row r="11" customFormat="false" ht="21.75" hidden="false" customHeight="true" outlineLevel="0" collapsed="false">
      <c r="A11" s="1"/>
      <c r="B11" s="4" t="s">
        <v>13</v>
      </c>
      <c r="C11" s="4"/>
      <c r="D11" s="1"/>
    </row>
    <row r="12" customFormat="false" ht="30" hidden="false" customHeight="true" outlineLevel="0" collapsed="false">
      <c r="A12" s="1"/>
      <c r="B12" s="5" t="s">
        <v>14</v>
      </c>
      <c r="C12" s="6" t="s">
        <v>15</v>
      </c>
      <c r="D12" s="1"/>
    </row>
    <row r="13" customFormat="false" ht="19.5" hidden="false" customHeight="true" outlineLevel="0" collapsed="false">
      <c r="A13" s="1"/>
      <c r="B13" s="5" t="s">
        <v>16</v>
      </c>
      <c r="C13" s="6" t="s">
        <v>17</v>
      </c>
      <c r="D13" s="1"/>
    </row>
    <row r="14" customFormat="false" ht="30" hidden="false" customHeight="true" outlineLevel="0" collapsed="false">
      <c r="A14" s="1"/>
      <c r="B14" s="5" t="s">
        <v>18</v>
      </c>
      <c r="C14" s="6" t="s">
        <v>19</v>
      </c>
      <c r="D14" s="1"/>
    </row>
    <row r="15" customFormat="false" ht="45" hidden="false" customHeight="true" outlineLevel="0" collapsed="false">
      <c r="A15" s="1"/>
      <c r="B15" s="5" t="s">
        <v>20</v>
      </c>
      <c r="C15" s="6" t="s">
        <v>21</v>
      </c>
      <c r="D15" s="1"/>
    </row>
    <row r="16" customFormat="false" ht="30" hidden="false" customHeight="true" outlineLevel="0" collapsed="false">
      <c r="A16" s="1"/>
      <c r="B16" s="5" t="s">
        <v>22</v>
      </c>
      <c r="C16" s="6" t="s">
        <v>23</v>
      </c>
      <c r="D16" s="1"/>
    </row>
    <row r="17" customFormat="false" ht="19.5" hidden="false" customHeight="true" outlineLevel="0" collapsed="false">
      <c r="A17" s="1"/>
      <c r="B17" s="5" t="s">
        <v>24</v>
      </c>
      <c r="C17" s="6" t="s">
        <v>25</v>
      </c>
      <c r="D17" s="1"/>
    </row>
    <row r="18" customFormat="false" ht="30" hidden="false" customHeight="true" outlineLevel="0" collapsed="false">
      <c r="A18" s="1"/>
      <c r="B18" s="5" t="s">
        <v>26</v>
      </c>
      <c r="C18" s="6" t="s">
        <v>27</v>
      </c>
      <c r="D18" s="1"/>
    </row>
    <row r="19" customFormat="false" ht="45" hidden="false" customHeight="true" outlineLevel="0" collapsed="false">
      <c r="A19" s="1"/>
      <c r="B19" s="5" t="s">
        <v>28</v>
      </c>
      <c r="C19" s="6" t="s">
        <v>29</v>
      </c>
      <c r="D19" s="1"/>
    </row>
    <row r="20" customFormat="false" ht="19.5" hidden="false" customHeight="true" outlineLevel="0" collapsed="false">
      <c r="A20" s="1"/>
      <c r="B20" s="5" t="s">
        <v>30</v>
      </c>
      <c r="C20" s="6" t="s">
        <v>31</v>
      </c>
      <c r="D20" s="1"/>
    </row>
    <row r="21" customFormat="false" ht="21.75" hidden="false" customHeight="true" outlineLevel="0" collapsed="false">
      <c r="A21" s="1"/>
      <c r="B21" s="4" t="s">
        <v>32</v>
      </c>
      <c r="C21" s="4"/>
      <c r="D21" s="1"/>
    </row>
    <row r="22" customFormat="false" ht="45" hidden="false" customHeight="true" outlineLevel="0" collapsed="false">
      <c r="A22" s="1"/>
      <c r="B22" s="5" t="s">
        <v>33</v>
      </c>
      <c r="C22" s="6" t="s">
        <v>34</v>
      </c>
      <c r="D22" s="1"/>
    </row>
    <row r="23" customFormat="false" ht="45" hidden="false" customHeight="true" outlineLevel="0" collapsed="false">
      <c r="A23" s="1"/>
      <c r="B23" s="5" t="s">
        <v>35</v>
      </c>
      <c r="C23" s="6" t="s">
        <v>36</v>
      </c>
      <c r="D23" s="1"/>
    </row>
    <row r="24" customFormat="false" ht="19.5" hidden="false" customHeight="true" outlineLevel="0" collapsed="false">
      <c r="A24" s="1"/>
      <c r="B24" s="5" t="s">
        <v>37</v>
      </c>
      <c r="C24" s="6" t="s">
        <v>38</v>
      </c>
      <c r="D24" s="1"/>
    </row>
    <row r="25" customFormat="false" ht="21.75" hidden="false" customHeight="true" outlineLevel="0" collapsed="false">
      <c r="A25" s="1"/>
      <c r="B25" s="4" t="s">
        <v>39</v>
      </c>
      <c r="C25" s="4"/>
      <c r="D25" s="1"/>
    </row>
    <row r="26" customFormat="false" ht="30" hidden="false" customHeight="true" outlineLevel="0" collapsed="false">
      <c r="A26" s="1"/>
      <c r="B26" s="5" t="s">
        <v>40</v>
      </c>
      <c r="C26" s="6" t="s">
        <v>41</v>
      </c>
      <c r="D26" s="1"/>
    </row>
    <row r="27" customFormat="false" ht="30" hidden="false" customHeight="true" outlineLevel="0" collapsed="false">
      <c r="A27" s="1"/>
      <c r="B27" s="5" t="s">
        <v>42</v>
      </c>
      <c r="C27" s="6" t="s">
        <v>43</v>
      </c>
      <c r="D27" s="1"/>
    </row>
    <row r="28" customFormat="false" ht="30" hidden="false" customHeight="true" outlineLevel="0" collapsed="false">
      <c r="A28" s="1"/>
      <c r="B28" s="5" t="s">
        <v>44</v>
      </c>
      <c r="C28" s="6" t="s">
        <v>45</v>
      </c>
      <c r="D28" s="1"/>
    </row>
    <row r="29" customFormat="false" ht="21.75" hidden="false" customHeight="true" outlineLevel="0" collapsed="false">
      <c r="A29" s="1"/>
      <c r="B29" s="4" t="s">
        <v>46</v>
      </c>
      <c r="C29" s="4"/>
      <c r="D29" s="1"/>
    </row>
    <row r="30" customFormat="false" ht="30" hidden="false" customHeight="true" outlineLevel="0" collapsed="false">
      <c r="A30" s="1"/>
      <c r="B30" s="5" t="s">
        <v>47</v>
      </c>
      <c r="C30" s="6" t="s">
        <v>48</v>
      </c>
      <c r="D30" s="1"/>
    </row>
    <row r="31" customFormat="false" ht="30" hidden="false" customHeight="true" outlineLevel="0" collapsed="false">
      <c r="A31" s="1"/>
      <c r="B31" s="5" t="s">
        <v>49</v>
      </c>
      <c r="C31" s="6" t="s">
        <v>50</v>
      </c>
      <c r="D31" s="1"/>
    </row>
    <row r="32" customFormat="false" ht="30" hidden="false" customHeight="true" outlineLevel="0" collapsed="false">
      <c r="A32" s="1"/>
      <c r="B32" s="5" t="s">
        <v>51</v>
      </c>
      <c r="C32" s="6" t="s">
        <v>52</v>
      </c>
      <c r="D32" s="1"/>
    </row>
    <row r="33" customFormat="false" ht="19.5" hidden="false" customHeight="true" outlineLevel="0" collapsed="false">
      <c r="A33" s="1"/>
      <c r="B33" s="5" t="s">
        <v>53</v>
      </c>
      <c r="C33" s="6" t="s">
        <v>54</v>
      </c>
      <c r="D33" s="1"/>
    </row>
    <row r="34" customFormat="false" ht="45" hidden="false" customHeight="true" outlineLevel="0" collapsed="false">
      <c r="A34" s="1"/>
      <c r="B34" s="5" t="s">
        <v>55</v>
      </c>
      <c r="C34" s="6" t="s">
        <v>56</v>
      </c>
      <c r="D34" s="1"/>
    </row>
    <row r="35" customFormat="false" ht="30" hidden="false" customHeight="true" outlineLevel="0" collapsed="false">
      <c r="A35" s="1"/>
      <c r="B35" s="5" t="s">
        <v>57</v>
      </c>
      <c r="C35" s="6" t="s">
        <v>58</v>
      </c>
      <c r="D35" s="1"/>
    </row>
    <row r="36" customFormat="false" ht="15" hidden="false" customHeight="false" outlineLevel="0" collapsed="false">
      <c r="A36" s="1"/>
      <c r="B36" s="1"/>
      <c r="C36" s="1"/>
      <c r="D36" s="1"/>
    </row>
    <row r="37" customFormat="false" ht="21.75" hidden="false" customHeight="true" outlineLevel="0" collapsed="false">
      <c r="A37" s="1"/>
      <c r="B37" s="4" t="s">
        <v>59</v>
      </c>
      <c r="C37" s="4"/>
      <c r="D37" s="1"/>
    </row>
    <row r="38" customFormat="false" ht="15" hidden="false" customHeight="false" outlineLevel="0" collapsed="false">
      <c r="A38" s="1"/>
      <c r="B38" s="7" t="s">
        <v>60</v>
      </c>
      <c r="C38" s="6" t="s">
        <v>61</v>
      </c>
      <c r="D38" s="1"/>
    </row>
    <row r="39" customFormat="false" ht="15" hidden="false" customHeight="false" outlineLevel="0" collapsed="false">
      <c r="A39" s="1"/>
      <c r="B39" s="7" t="s">
        <v>62</v>
      </c>
      <c r="C39" s="6" t="s">
        <v>63</v>
      </c>
      <c r="D39" s="1"/>
    </row>
    <row r="40" customFormat="false" ht="15" hidden="false" customHeight="false" outlineLevel="0" collapsed="false">
      <c r="A40" s="1"/>
      <c r="B40" s="7" t="s">
        <v>64</v>
      </c>
      <c r="C40" s="6" t="s">
        <v>65</v>
      </c>
      <c r="D40" s="1"/>
    </row>
    <row r="41" customFormat="false" ht="15" hidden="false" customHeight="false" outlineLevel="0" collapsed="false">
      <c r="A41" s="1"/>
      <c r="B41" s="7" t="s">
        <v>66</v>
      </c>
      <c r="C41" s="6" t="s">
        <v>67</v>
      </c>
      <c r="D41" s="1"/>
    </row>
    <row r="42" customFormat="false" ht="15" hidden="false" customHeight="false" outlineLevel="0" collapsed="false">
      <c r="A42" s="1"/>
      <c r="B42" s="7" t="s">
        <v>33</v>
      </c>
      <c r="C42" s="6" t="s">
        <v>68</v>
      </c>
      <c r="D42" s="1"/>
    </row>
    <row r="43" customFormat="false" ht="15" hidden="false" customHeight="false" outlineLevel="0" collapsed="false">
      <c r="A43" s="1"/>
      <c r="B43" s="7" t="s">
        <v>35</v>
      </c>
      <c r="C43" s="6" t="s">
        <v>69</v>
      </c>
      <c r="D43" s="1"/>
    </row>
    <row r="44" customFormat="false" ht="15" hidden="false" customHeight="false" outlineLevel="0" collapsed="false">
      <c r="A44" s="1"/>
      <c r="B44" s="7" t="s">
        <v>70</v>
      </c>
      <c r="C44" s="6" t="s">
        <v>71</v>
      </c>
      <c r="D44" s="1"/>
    </row>
    <row r="45" customFormat="false" ht="15" hidden="false" customHeight="false" outlineLevel="0" collapsed="false">
      <c r="A45" s="1"/>
      <c r="B45" s="7" t="s">
        <v>72</v>
      </c>
      <c r="C45" s="6" t="s">
        <v>73</v>
      </c>
      <c r="D45" s="1"/>
    </row>
    <row r="46" customFormat="false" ht="15" hidden="false" customHeight="false" outlineLevel="0" collapsed="false">
      <c r="A46" s="1"/>
      <c r="B46" s="7" t="s">
        <v>74</v>
      </c>
      <c r="C46" s="6" t="s">
        <v>75</v>
      </c>
      <c r="D46" s="1"/>
    </row>
    <row r="47" customFormat="false" ht="15" hidden="false" customHeight="false" outlineLevel="0" collapsed="false">
      <c r="A47" s="1"/>
      <c r="B47" s="7" t="s">
        <v>76</v>
      </c>
      <c r="C47" s="6" t="s">
        <v>77</v>
      </c>
      <c r="D47" s="1"/>
    </row>
    <row r="48" customFormat="false" ht="15" hidden="false" customHeight="false" outlineLevel="0" collapsed="false">
      <c r="A48" s="1"/>
      <c r="B48" s="7" t="s">
        <v>78</v>
      </c>
      <c r="C48" s="6" t="s">
        <v>79</v>
      </c>
      <c r="D48" s="1"/>
    </row>
    <row r="49" customFormat="false" ht="15" hidden="false" customHeight="false" outlineLevel="0" collapsed="false">
      <c r="A49" s="1"/>
      <c r="B49" s="7" t="s">
        <v>80</v>
      </c>
      <c r="C49" s="6" t="s">
        <v>81</v>
      </c>
      <c r="D49" s="1"/>
    </row>
    <row r="50" customFormat="false" ht="15" hidden="false" customHeight="false" outlineLevel="0" collapsed="false">
      <c r="A50" s="1"/>
      <c r="B50" s="7" t="s">
        <v>82</v>
      </c>
      <c r="C50" s="6" t="s">
        <v>83</v>
      </c>
      <c r="D50" s="1"/>
    </row>
    <row r="51" customFormat="false" ht="15" hidden="false" customHeight="false" outlineLevel="0" collapsed="false">
      <c r="A51" s="1"/>
      <c r="B51" s="7" t="s">
        <v>84</v>
      </c>
      <c r="C51" s="6" t="s">
        <v>85</v>
      </c>
      <c r="D51" s="1"/>
    </row>
    <row r="52" customFormat="false" ht="15" hidden="false" customHeight="false" outlineLevel="0" collapsed="false">
      <c r="A52" s="1"/>
      <c r="B52" s="1"/>
      <c r="C52" s="1"/>
      <c r="D52" s="1"/>
    </row>
    <row r="53" customFormat="false" ht="15" hidden="false" customHeight="false" outlineLevel="0" collapsed="false">
      <c r="A53" s="1"/>
      <c r="B53" s="1"/>
      <c r="C53" s="1"/>
      <c r="D53" s="1"/>
    </row>
    <row r="54" customFormat="false" ht="15" hidden="false" customHeight="false" outlineLevel="0" collapsed="false">
      <c r="A54" s="1"/>
      <c r="B54" s="1"/>
      <c r="C54" s="1"/>
      <c r="D54" s="1"/>
    </row>
    <row r="55" customFormat="false" ht="15" hidden="false" customHeight="false" outlineLevel="0" collapsed="false">
      <c r="A55" s="1"/>
      <c r="B55" s="1"/>
      <c r="C55" s="1"/>
      <c r="D55" s="1"/>
    </row>
    <row r="56" customFormat="false" ht="15" hidden="false" customHeight="false" outlineLevel="0" collapsed="false">
      <c r="A56" s="1"/>
      <c r="B56" s="1"/>
      <c r="C56" s="1"/>
      <c r="D56" s="1"/>
    </row>
    <row r="57" customFormat="false" ht="15" hidden="false" customHeight="false" outlineLevel="0" collapsed="false">
      <c r="A57" s="1"/>
      <c r="B57" s="1"/>
      <c r="C57" s="1"/>
      <c r="D57" s="1"/>
    </row>
    <row r="58" customFormat="false" ht="15" hidden="false" customHeight="false" outlineLevel="0" collapsed="false">
      <c r="A58" s="1"/>
      <c r="B58" s="1"/>
      <c r="C58" s="1"/>
      <c r="D58" s="1"/>
    </row>
    <row r="59" customFormat="false" ht="15" hidden="false" customHeight="false" outlineLevel="0" collapsed="false">
      <c r="A59" s="1"/>
      <c r="B59" s="1"/>
      <c r="C59" s="1"/>
      <c r="D59" s="1"/>
    </row>
    <row r="60" customFormat="false" ht="15" hidden="false" customHeight="false" outlineLevel="0" collapsed="false">
      <c r="A60" s="1"/>
      <c r="B60" s="1"/>
      <c r="C60" s="1"/>
      <c r="D60" s="1"/>
    </row>
    <row r="61" customFormat="false" ht="15" hidden="false" customHeight="false" outlineLevel="0" collapsed="false">
      <c r="A61" s="1"/>
      <c r="B61" s="1"/>
      <c r="C61" s="1"/>
      <c r="D61" s="1"/>
    </row>
    <row r="62" customFormat="false" ht="15" hidden="false" customHeight="false" outlineLevel="0" collapsed="false">
      <c r="A62" s="1"/>
      <c r="B62" s="1"/>
      <c r="C62" s="1"/>
      <c r="D62" s="1"/>
    </row>
    <row r="63" customFormat="false" ht="15" hidden="false" customHeight="false" outlineLevel="0" collapsed="false">
      <c r="A63" s="1"/>
      <c r="B63" s="1"/>
      <c r="C63" s="1"/>
      <c r="D63" s="1"/>
    </row>
    <row r="64" customFormat="false" ht="15" hidden="false" customHeight="false" outlineLevel="0" collapsed="false">
      <c r="A64" s="1"/>
      <c r="B64" s="1"/>
      <c r="C64" s="1"/>
      <c r="D64" s="1"/>
    </row>
    <row r="65" customFormat="false" ht="15" hidden="false" customHeight="false" outlineLevel="0" collapsed="false">
      <c r="A65" s="1"/>
      <c r="B65" s="1"/>
      <c r="C65" s="1"/>
      <c r="D65" s="1"/>
    </row>
    <row r="66" customFormat="false" ht="15" hidden="false" customHeight="false" outlineLevel="0" collapsed="false">
      <c r="A66" s="1"/>
      <c r="B66" s="1"/>
      <c r="C66" s="1"/>
      <c r="D66" s="1"/>
    </row>
    <row r="67" customFormat="false" ht="15" hidden="false" customHeight="false" outlineLevel="0" collapsed="false">
      <c r="A67" s="1"/>
      <c r="B67" s="1"/>
      <c r="C67" s="1"/>
      <c r="D67" s="1"/>
    </row>
    <row r="68" customFormat="false" ht="15" hidden="false" customHeight="false" outlineLevel="0" collapsed="false">
      <c r="A68" s="1"/>
      <c r="B68" s="1"/>
      <c r="C68" s="1"/>
      <c r="D68" s="1"/>
    </row>
    <row r="69" customFormat="false" ht="15" hidden="false" customHeight="false" outlineLevel="0" collapsed="false">
      <c r="A69" s="1"/>
      <c r="B69" s="1"/>
      <c r="C69" s="1"/>
      <c r="D69" s="1"/>
    </row>
    <row r="70" customFormat="false" ht="15" hidden="false" customHeight="false" outlineLevel="0" collapsed="false">
      <c r="A70" s="1"/>
      <c r="B70" s="1"/>
      <c r="C70" s="1"/>
      <c r="D70" s="1"/>
    </row>
    <row r="71" customFormat="false" ht="15" hidden="false" customHeight="false" outlineLevel="0" collapsed="false">
      <c r="A71" s="1"/>
      <c r="B71" s="1"/>
      <c r="C71" s="1"/>
      <c r="D71" s="1"/>
    </row>
    <row r="72" customFormat="false" ht="15" hidden="false" customHeight="false" outlineLevel="0" collapsed="false">
      <c r="A72" s="1"/>
      <c r="B72" s="1"/>
      <c r="C72" s="1"/>
      <c r="D72" s="1"/>
    </row>
    <row r="73" customFormat="false" ht="15" hidden="false" customHeight="false" outlineLevel="0" collapsed="false">
      <c r="A73" s="1"/>
      <c r="B73" s="1"/>
      <c r="C73" s="1"/>
      <c r="D73" s="1"/>
    </row>
    <row r="74" customFormat="false" ht="15" hidden="false" customHeight="false" outlineLevel="0" collapsed="false">
      <c r="A74" s="1"/>
      <c r="B74" s="1"/>
      <c r="C74" s="1"/>
      <c r="D74" s="1"/>
    </row>
    <row r="75" customFormat="false" ht="15" hidden="false" customHeight="false" outlineLevel="0" collapsed="false">
      <c r="A75" s="1"/>
      <c r="B75" s="1"/>
      <c r="C75" s="1"/>
      <c r="D75" s="1"/>
    </row>
    <row r="76" customFormat="false" ht="15" hidden="false" customHeight="false" outlineLevel="0" collapsed="false">
      <c r="A76" s="1"/>
      <c r="B76" s="1"/>
      <c r="C76" s="1"/>
      <c r="D76" s="1"/>
    </row>
    <row r="77" customFormat="false" ht="15" hidden="false" customHeight="false" outlineLevel="0" collapsed="false">
      <c r="A77" s="1"/>
      <c r="B77" s="1"/>
      <c r="C77" s="1"/>
      <c r="D77" s="1"/>
    </row>
    <row r="78" customFormat="false" ht="15" hidden="false" customHeight="false" outlineLevel="0" collapsed="false">
      <c r="A78" s="1"/>
      <c r="B78" s="1"/>
      <c r="C78" s="1"/>
      <c r="D78" s="1"/>
    </row>
    <row r="79" customFormat="false" ht="15" hidden="false" customHeight="false" outlineLevel="0" collapsed="false">
      <c r="A79" s="1"/>
      <c r="B79" s="1"/>
      <c r="C79" s="1"/>
      <c r="D79" s="1"/>
    </row>
    <row r="80" customFormat="false" ht="15" hidden="false" customHeight="false" outlineLevel="0" collapsed="false">
      <c r="A80" s="1"/>
      <c r="B80" s="1"/>
      <c r="C80" s="1"/>
      <c r="D80" s="1"/>
    </row>
    <row r="81" customFormat="false" ht="15" hidden="false" customHeight="false" outlineLevel="0" collapsed="false">
      <c r="A81" s="1"/>
      <c r="B81" s="1"/>
      <c r="C81" s="1"/>
      <c r="D81" s="1"/>
    </row>
    <row r="82" customFormat="false" ht="15" hidden="false" customHeight="false" outlineLevel="0" collapsed="false">
      <c r="A82" s="1"/>
      <c r="B82" s="1"/>
      <c r="C82" s="1"/>
      <c r="D82" s="1"/>
    </row>
    <row r="83" customFormat="false" ht="15" hidden="false" customHeight="false" outlineLevel="0" collapsed="false">
      <c r="A83" s="1"/>
      <c r="B83" s="1"/>
      <c r="C83" s="1"/>
      <c r="D83" s="1"/>
    </row>
    <row r="84" customFormat="false" ht="15" hidden="false" customHeight="false" outlineLevel="0" collapsed="false">
      <c r="A84" s="1"/>
      <c r="B84" s="1"/>
      <c r="C84" s="1"/>
      <c r="D84" s="1"/>
    </row>
    <row r="85" customFormat="false" ht="15" hidden="false" customHeight="false" outlineLevel="0" collapsed="false">
      <c r="A85" s="1"/>
      <c r="B85" s="1"/>
      <c r="C85" s="1"/>
      <c r="D85" s="1"/>
    </row>
    <row r="86" customFormat="false" ht="15" hidden="false" customHeight="false" outlineLevel="0" collapsed="false">
      <c r="A86" s="1"/>
      <c r="B86" s="1"/>
      <c r="C86" s="1"/>
      <c r="D86" s="1"/>
    </row>
    <row r="87" customFormat="false" ht="15" hidden="false" customHeight="false" outlineLevel="0" collapsed="false">
      <c r="A87" s="1"/>
      <c r="B87" s="1"/>
      <c r="C87" s="1"/>
      <c r="D87" s="1"/>
    </row>
    <row r="88" customFormat="false" ht="15" hidden="false" customHeight="false" outlineLevel="0" collapsed="false">
      <c r="A88" s="1"/>
      <c r="B88" s="1"/>
      <c r="C88" s="1"/>
      <c r="D88" s="1"/>
    </row>
    <row r="89" customFormat="false" ht="15" hidden="false" customHeight="false" outlineLevel="0" collapsed="false">
      <c r="A89" s="1"/>
      <c r="B89" s="1"/>
      <c r="C89" s="1"/>
      <c r="D89" s="1"/>
    </row>
    <row r="90" customFormat="false" ht="15" hidden="false" customHeight="false" outlineLevel="0" collapsed="false">
      <c r="A90" s="1"/>
      <c r="B90" s="1"/>
      <c r="C90" s="1"/>
      <c r="D90" s="1"/>
    </row>
  </sheetData>
  <sheetProtection sheet="true" formatColumns="false" formatRows="false" sort="false" autoFilter="false"/>
  <mergeCells count="8">
    <mergeCell ref="B1:C2"/>
    <mergeCell ref="B3:C3"/>
    <mergeCell ref="B5:C5"/>
    <mergeCell ref="B11:C11"/>
    <mergeCell ref="B21:C21"/>
    <mergeCell ref="B25:C25"/>
    <mergeCell ref="B29:C29"/>
    <mergeCell ref="B37:C37"/>
  </mergeCells>
  <hyperlinks>
    <hyperlink ref="B38" r:id="rId1" location="'Dashboard'!A1" display="Dashboard"/>
    <hyperlink ref="B39" r:id="rId2" location="'Year_Panel'!A1" display="Year_Panel"/>
    <hyperlink ref="B40" r:id="rId3" location="'Teacher_Report'!A1" display="Teacher_Report"/>
    <hyperlink ref="B41" r:id="rId4" location="'Data'!A1" display="Data"/>
    <hyperlink ref="B42" r:id="rId5" location="'Target_Attain'!A1" display="Target_Attain"/>
    <hyperlink ref="B43" r:id="rId6" location="'Target_Progress'!A1" display="Target_Progress"/>
    <hyperlink ref="B44" r:id="rId7" location="'Settings'!A1" display="Settings"/>
    <hyperlink ref="B45" r:id="rId8" location="'Progress_Matrix'!A1" display="Progress_Matrix"/>
    <hyperlink ref="B46" r:id="rId9" location="'Classes'!A1" display="Classes"/>
    <hyperlink ref="B47" r:id="rId10" location="'Teachers'!A1" display="Teachers"/>
    <hyperlink ref="B48" r:id="rId11" location="'Checks'!A1" display="Checks"/>
    <hyperlink ref="B49" r:id="rId12" location="'Tests'!A1" display="Tests"/>
    <hyperlink ref="B50" r:id="rId13" location="'مثال_Example'!A1" display="مثال_Example"/>
    <hyperlink ref="B51" r:id="rId14" location="'Lists'!A1" display="List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true"/>
  </sheetPr>
  <dimension ref="A1:Q15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false" outlineLevel="0" max="15" min="15" style="0" width="3"/>
    <col collapsed="false" customWidth="true" hidden="false" outlineLevel="0" max="16" min="16" style="0" width="22"/>
    <col collapsed="false" customWidth="true" hidden="false" outlineLevel="0" max="17" min="17" style="0" width="12"/>
  </cols>
  <sheetData>
    <row r="1" customFormat="false" ht="24" hidden="false" customHeight="true" outlineLevel="0" collapsed="false">
      <c r="A1" s="1"/>
      <c r="B1" s="2" t="s">
        <v>86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customFormat="false" ht="24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3" customFormat="false" ht="15" hidden="false" customHeight="false" outlineLevel="0" collapsed="false">
      <c r="A3" s="1"/>
      <c r="B3" s="3" t="str">
        <f aca="false">"Year 2 – Year 13 · العام الدراسي "&amp;Settings!C6&amp;" · أعداد مجمّعة بلا أسماء طلاب · الفلاتر تؤثر على البطاقات والجداول والرسوم"</f>
        <v>Year 2 – Year 13 · العام الدراسي 2026-27 · أعداد مجمّعة بلا أسماء طلاب · الفلاتر تؤثر على البطاقات والجداول والرسوم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</row>
    <row r="4" customFormat="false" ht="19.5" hidden="false" customHeight="true" outlineLevel="0" collapsed="false">
      <c r="A4" s="1"/>
      <c r="B4" s="8" t="s">
        <v>87</v>
      </c>
      <c r="C4" s="9" t="s">
        <v>88</v>
      </c>
      <c r="D4" s="8" t="s">
        <v>89</v>
      </c>
      <c r="E4" s="8" t="s">
        <v>90</v>
      </c>
      <c r="F4" s="8" t="s">
        <v>91</v>
      </c>
      <c r="G4" s="8" t="s">
        <v>92</v>
      </c>
      <c r="H4" s="8" t="s">
        <v>93</v>
      </c>
      <c r="I4" s="8" t="s">
        <v>94</v>
      </c>
      <c r="J4" s="8" t="s">
        <v>95</v>
      </c>
      <c r="K4" s="8" t="s">
        <v>96</v>
      </c>
      <c r="L4" s="8" t="s">
        <v>97</v>
      </c>
      <c r="M4" s="8" t="s">
        <v>98</v>
      </c>
      <c r="N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P5" s="10" t="s">
        <v>99</v>
      </c>
    </row>
    <row r="6" customFormat="false" ht="15" hidden="false" customHeight="true" outlineLevel="0" collapsed="false">
      <c r="A6" s="1"/>
      <c r="B6" s="11" t="s">
        <v>100</v>
      </c>
      <c r="C6" s="11"/>
      <c r="D6" s="11" t="s">
        <v>101</v>
      </c>
      <c r="E6" s="11"/>
      <c r="F6" s="11" t="s">
        <v>102</v>
      </c>
      <c r="G6" s="11"/>
      <c r="H6" s="11" t="s">
        <v>103</v>
      </c>
      <c r="I6" s="11"/>
      <c r="J6" s="11" t="s">
        <v>104</v>
      </c>
      <c r="K6" s="11"/>
      <c r="L6" s="11" t="s">
        <v>105</v>
      </c>
      <c r="M6" s="11"/>
      <c r="N6" s="1"/>
      <c r="P6" s="12" t="str">
        <f aca="false">IF(B7="الكل (All)","*",B7)</f>
        <v>*</v>
      </c>
    </row>
    <row r="7" customFormat="false" ht="25.5" hidden="false" customHeight="true" outlineLevel="0" collapsed="false">
      <c r="A7" s="1"/>
      <c r="B7" s="13" t="s">
        <v>106</v>
      </c>
      <c r="C7" s="13"/>
      <c r="D7" s="13" t="s">
        <v>106</v>
      </c>
      <c r="E7" s="13"/>
      <c r="F7" s="13" t="s">
        <v>106</v>
      </c>
      <c r="G7" s="13"/>
      <c r="H7" s="13" t="s">
        <v>106</v>
      </c>
      <c r="I7" s="13"/>
      <c r="J7" s="13" t="s">
        <v>107</v>
      </c>
      <c r="K7" s="13"/>
      <c r="L7" s="13" t="s">
        <v>108</v>
      </c>
      <c r="M7" s="13"/>
      <c r="N7" s="1"/>
      <c r="P7" s="12" t="str">
        <f aca="false">IF(D7="الكل (All)","*",D7)</f>
        <v>*</v>
      </c>
    </row>
    <row r="8" customFormat="false" ht="15" hidden="false" customHeight="false" outlineLevel="0" collapsed="false">
      <c r="A8" s="1"/>
      <c r="B8" s="14" t="str">
        <f aca="false">IF(Checks!$C$6&gt;0,"⚠ توجد "&amp;Checks!$C$6&amp;" صفوف غير صالحة في Data (راجع عمود الحالة) — لا تدخل في الحساب. ","")&amp;IF(Checks!$C$7&gt;0,"⚠ تنبيهات اتساق: "&amp;Checks!$C$7&amp;" (ورقة Checks). ","")&amp;IF(ExOn=1,"ℹ بيانات «مثال» مُدرجة في التقارير حالياً (Settings).","")</f>
        <v/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"/>
      <c r="P8" s="12" t="str">
        <f aca="false">IF(F7="الكل (All)","*",F7)</f>
        <v>*</v>
      </c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P9" s="12" t="str">
        <f aca="false">IF(H7="الكل (All)","*",H7)</f>
        <v>*</v>
      </c>
    </row>
    <row r="10" customFormat="false" ht="21.75" hidden="false" customHeight="true" outlineLevel="0" collapsed="false">
      <c r="A10" s="1"/>
      <c r="B10" s="4" t="s">
        <v>109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"/>
      <c r="P10" s="12" t="str">
        <f aca="false">J7</f>
        <v>Term 1</v>
      </c>
    </row>
    <row r="11" customFormat="false" ht="30" hidden="false" customHeight="true" outlineLevel="0" collapsed="false">
      <c r="A11" s="1"/>
      <c r="B11" s="15" t="s">
        <v>110</v>
      </c>
      <c r="C11" s="15"/>
      <c r="D11" s="15" t="s">
        <v>14</v>
      </c>
      <c r="E11" s="15"/>
      <c r="F11" s="15" t="s">
        <v>16</v>
      </c>
      <c r="G11" s="15"/>
      <c r="H11" s="15" t="s">
        <v>111</v>
      </c>
      <c r="I11" s="15"/>
      <c r="J11" s="15" t="s">
        <v>112</v>
      </c>
      <c r="K11" s="15"/>
      <c r="L11" s="15" t="s">
        <v>113</v>
      </c>
      <c r="M11" s="15"/>
      <c r="N11" s="1"/>
      <c r="P11" s="12" t="str">
        <f aca="false">L7</f>
        <v>إجمالي الصف (All)</v>
      </c>
    </row>
    <row r="12" customFormat="false" ht="33.75" hidden="false" customHeight="true" outlineLevel="0" collapsed="false">
      <c r="A12" s="1"/>
      <c r="B12" s="16" t="n">
        <f aca="false">$Q$13</f>
        <v>0</v>
      </c>
      <c r="C12" s="16"/>
      <c r="D12" s="17" t="str">
        <f aca="false">IF($Q$13=0,"لا توجد بيانات",$Q$14/$Q$13)</f>
        <v>لا توجد بيانات</v>
      </c>
      <c r="E12" s="17"/>
      <c r="F12" s="17" t="str">
        <f aca="false">IF($Q$13=0,"لا توجد بيانات",$Q$15/$Q$13)</f>
        <v>لا توجد بيانات</v>
      </c>
      <c r="G12" s="17"/>
      <c r="H12" s="18" t="str">
        <f aca="false">IF($Q$13=0,"لا توجد بيانات",IF(ROUND($Q$14/$Q$13,10)&lt;=KeyA_VW,"Very Weak",IF(ROUND($Q$14/$Q$13,10)&lt;KeyA_Weak,"Weak",IF(ROUND($Q$15/$Q$13,10)&lt;KeyA_Acc,"Acceptable",IF(ROUND($Q$15/$Q$13,10)&lt;=KeyA_Good,"Good",IF(ROUND($Q$15/$Q$13,10)&lt;KeyA_Out,"Very Good","Outstanding"))))))</f>
        <v>لا توجد بيانات</v>
      </c>
      <c r="I12" s="18"/>
      <c r="J12" s="19" t="str">
        <f aca="false">IF(OR($P$10="Baseline",$Q$13=0,$Q$16=0),"—",$Q$14/$Q$13-$Q$17/$Q$16)</f>
        <v>—</v>
      </c>
      <c r="K12" s="19"/>
      <c r="L12" s="19" t="str">
        <f aca="false">IF(OR($P$10="Baseline",$Q$13=0,$Q$16=0),"—",$Q$15/$Q$13-$Q$18/$Q$16)</f>
        <v>—</v>
      </c>
      <c r="M12" s="19"/>
      <c r="N12" s="1"/>
      <c r="P12" s="10" t="s">
        <v>114</v>
      </c>
    </row>
    <row r="13" customFormat="false" ht="18" hidden="false" customHeight="true" outlineLevel="0" collapsed="false">
      <c r="A13" s="1"/>
      <c r="B13" s="20" t="str">
        <f aca="false">IF($Q$13=0,"لا توجد بيانات","غياب/بدون نتيجة مستبعد")</f>
        <v>لا توجد بيانات</v>
      </c>
      <c r="C13" s="20"/>
      <c r="D13" s="20" t="str">
        <f aca="false">IF($Q$13=0,"",$Q$14&amp;" من "&amp;$Q$13&amp;" طالب")</f>
        <v/>
      </c>
      <c r="E13" s="20"/>
      <c r="F13" s="20" t="str">
        <f aca="false">IF($Q$13=0,"",$Q$15&amp;" من "&amp;$Q$13&amp;" طالب")</f>
        <v/>
      </c>
      <c r="G13" s="20"/>
      <c r="H13" s="20" t="s">
        <v>115</v>
      </c>
      <c r="I13" s="20"/>
      <c r="J13" s="20" t="s">
        <v>116</v>
      </c>
      <c r="K13" s="20"/>
      <c r="L13" s="20" t="s">
        <v>116</v>
      </c>
      <c r="M13" s="20"/>
      <c r="N13" s="1"/>
      <c r="P13" s="12" t="s">
        <v>117</v>
      </c>
      <c r="Q13" s="21" t="n">
        <f aca="false">(SUMIFS(Data!$Q$5:$Q$5004,Data!$B$5:$B$5004,$P$6,Data!$C$5:$C$5004,$P$8,Data!$D$5:$D$5004,$P$7,Data!$E$5:$E$5004,$P$9,Data!$F$5:$F$5004,$P$10,Data!$G$5:$G$5004,$P$11)+ExOn*SUMIFS(مثال_Example!$Q$5:$Q$804,مثال_Example!$B$5:$B$804,$P$6,مثال_Example!$C$5:$C$804,$P$8,مثال_Example!$D$5:$D$804,$P$7,مثال_Example!$E$5:$E$804,$P$9,مثال_Example!$F$5:$F$804,$P$10,مثال_Example!$G$5:$G$804,$P$11))</f>
        <v>0</v>
      </c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P14" s="12" t="s">
        <v>14</v>
      </c>
      <c r="Q14" s="21" t="n">
        <f aca="false">(SUMIFS(Data!$R$5:$R$5004,Data!$B$5:$B$5004,$P$6,Data!$C$5:$C$5004,$P$8,Data!$D$5:$D$5004,$P$7,Data!$E$5:$E$5004,$P$9,Data!$F$5:$F$5004,$P$10,Data!$G$5:$G$5004,$P$11)+ExOn*SUMIFS(مثال_Example!$R$5:$R$804,مثال_Example!$B$5:$B$804,$P$6,مثال_Example!$C$5:$C$804,$P$8,مثال_Example!$D$5:$D$804,$P$7,مثال_Example!$E$5:$E$804,$P$9,مثال_Example!$F$5:$F$804,$P$10,مثال_Example!$G$5:$G$804,$P$11))</f>
        <v>0</v>
      </c>
    </row>
    <row r="15" customFormat="false" ht="21.75" hidden="false" customHeight="true" outlineLevel="0" collapsed="false">
      <c r="A15" s="1"/>
      <c r="B15" s="4" t="s">
        <v>118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"/>
      <c r="P15" s="12" t="s">
        <v>16</v>
      </c>
      <c r="Q15" s="21" t="n">
        <f aca="false">(SUMIFS(Data!$S$5:$S$5004,Data!$B$5:$B$5004,$P$6,Data!$C$5:$C$5004,$P$8,Data!$D$5:$D$5004,$P$7,Data!$E$5:$E$5004,$P$9,Data!$F$5:$F$5004,$P$10,Data!$G$5:$G$5004,$P$11)+ExOn*SUMIFS(مثال_Example!$S$5:$S$804,مثال_Example!$B$5:$B$804,$P$6,مثال_Example!$C$5:$C$804,$P$8,مثال_Example!$D$5:$D$804,$P$7,مثال_Example!$E$5:$E$804,$P$9,مثال_Example!$F$5:$F$804,$P$10,مثال_Example!$G$5:$G$804,$P$11))</f>
        <v>0</v>
      </c>
    </row>
    <row r="16" customFormat="false" ht="30" hidden="false" customHeight="true" outlineLevel="0" collapsed="false">
      <c r="A16" s="1"/>
      <c r="B16" s="15" t="s">
        <v>119</v>
      </c>
      <c r="C16" s="15"/>
      <c r="D16" s="22" t="s">
        <v>120</v>
      </c>
      <c r="E16" s="22"/>
      <c r="F16" s="23" t="s">
        <v>121</v>
      </c>
      <c r="G16" s="23"/>
      <c r="H16" s="24" t="s">
        <v>122</v>
      </c>
      <c r="I16" s="24"/>
      <c r="J16" s="15" t="s">
        <v>123</v>
      </c>
      <c r="K16" s="15"/>
      <c r="L16" s="15" t="s">
        <v>124</v>
      </c>
      <c r="M16" s="15"/>
      <c r="N16" s="1"/>
      <c r="P16" s="12" t="s">
        <v>125</v>
      </c>
      <c r="Q16" s="21" t="n">
        <f aca="false">(SUMIFS(Data!$Q$5:$Q$5004,Data!$B$5:$B$5004,$P$6,Data!$C$5:$C$5004,$P$8,Data!$D$5:$D$5004,$P$7,Data!$E$5:$E$5004,$P$9,Data!$F$5:$F$5004,"Baseline",Data!$G$5:$G$5004,$P$11)+ExOn*SUMIFS(مثال_Example!$Q$5:$Q$804,مثال_Example!$B$5:$B$804,$P$6,مثال_Example!$C$5:$C$804,$P$8,مثال_Example!$D$5:$D$804,$P$7,مثال_Example!$E$5:$E$804,$P$9,مثال_Example!$F$5:$F$804,"Baseline",مثال_Example!$G$5:$G$804,$P$11))</f>
        <v>0</v>
      </c>
    </row>
    <row r="17" customFormat="false" ht="33.75" hidden="false" customHeight="true" outlineLevel="0" collapsed="false">
      <c r="A17" s="1"/>
      <c r="B17" s="16" t="n">
        <f aca="false">$Q$24</f>
        <v>0</v>
      </c>
      <c r="C17" s="16"/>
      <c r="D17" s="17" t="str">
        <f aca="false">IF($Q$24=0,"لا توجد بيانات",$Q$19/$Q$24)</f>
        <v>لا توجد بيانات</v>
      </c>
      <c r="E17" s="17"/>
      <c r="F17" s="17" t="str">
        <f aca="false">IF($Q$24=0,"لا توجد بيانات",$Q$20/$Q$24)</f>
        <v>لا توجد بيانات</v>
      </c>
      <c r="G17" s="17"/>
      <c r="H17" s="17" t="str">
        <f aca="false">IF($Q$24=0,"لا توجد بيانات",$Q$21/$Q$24)</f>
        <v>لا توجد بيانات</v>
      </c>
      <c r="I17" s="17"/>
      <c r="J17" s="17" t="str">
        <f aca="false">IF($Q$24=0,"لا توجد بيانات",($Q$20+$Q$21)/$Q$24)</f>
        <v>لا توجد بيانات</v>
      </c>
      <c r="K17" s="17"/>
      <c r="L17" s="18" t="str">
        <f aca="false">IF($Q$24=0,"لا توجد بيانات",IF(ROUND(($Q$20+$Q$21)/$Q$24,10)&lt;=KeyP_VW,"Very Weak",IF(ROUND(($Q$20+$Q$21)/$Q$24,10)&lt;KeyP_Weak,"Weak",IF(ROUND($Q$21/$Q$24,10)&lt;KeyP_Acc,"Acceptable",IF(ROUND($Q$21/$Q$24,10)&lt;=KeyP_Good,"Good",IF(ROUND($Q$21/$Q$24,10)&lt;KeyP_Out,"Very Good","Outstanding"))))))</f>
        <v>لا توجد بيانات</v>
      </c>
      <c r="M17" s="18"/>
      <c r="N17" s="1"/>
      <c r="P17" s="12" t="s">
        <v>126</v>
      </c>
      <c r="Q17" s="21" t="n">
        <f aca="false">(SUMIFS(Data!$R$5:$R$5004,Data!$B$5:$B$5004,$P$6,Data!$C$5:$C$5004,$P$8,Data!$D$5:$D$5004,$P$7,Data!$E$5:$E$5004,$P$9,Data!$F$5:$F$5004,"Baseline",Data!$G$5:$G$5004,$P$11)+ExOn*SUMIFS(مثال_Example!$R$5:$R$804,مثال_Example!$B$5:$B$804,$P$6,مثال_Example!$C$5:$C$804,$P$8,مثال_Example!$D$5:$D$804,$P$7,مثال_Example!$E$5:$E$804,$P$9,مثال_Example!$F$5:$F$804,"Baseline",مثال_Example!$G$5:$G$804,$P$11))</f>
        <v>0</v>
      </c>
    </row>
    <row r="18" customFormat="false" ht="18" hidden="false" customHeight="true" outlineLevel="0" collapsed="false">
      <c r="A18" s="1"/>
      <c r="B18" s="20" t="str">
        <f aca="false">"مستبعد: U "&amp;$Q$22&amp;" · بدون Start "&amp;$Q$23</f>
        <v>مستبعد: U 0 · بدون Start 0</v>
      </c>
      <c r="C18" s="20"/>
      <c r="D18" s="20" t="str">
        <f aca="false">IF($Q$24=0,"",$Q$19&amp;" طالب")</f>
        <v/>
      </c>
      <c r="E18" s="20"/>
      <c r="F18" s="20" t="str">
        <f aca="false">IF($Q$24=0,"",$Q$20&amp;" طالب")</f>
        <v/>
      </c>
      <c r="G18" s="20"/>
      <c r="H18" s="20" t="str">
        <f aca="false">IF($Q$24=0,"",$Q$21&amp;" طالب")</f>
        <v/>
      </c>
      <c r="I18" s="20"/>
      <c r="J18" s="20" t="str">
        <f aca="false">IF($Q$24=0,"",($Q$20+$Q$21)&amp;" طالب")</f>
        <v/>
      </c>
      <c r="K18" s="20"/>
      <c r="L18" s="20" t="s">
        <v>127</v>
      </c>
      <c r="M18" s="20"/>
      <c r="N18" s="1"/>
      <c r="P18" s="12" t="s">
        <v>128</v>
      </c>
      <c r="Q18" s="21" t="n">
        <f aca="false">(SUMIFS(Data!$S$5:$S$5004,Data!$B$5:$B$5004,$P$6,Data!$C$5:$C$5004,$P$8,Data!$D$5:$D$5004,$P$7,Data!$E$5:$E$5004,$P$9,Data!$F$5:$F$5004,"Baseline",Data!$G$5:$G$5004,$P$11)+ExOn*SUMIFS(مثال_Example!$S$5:$S$804,مثال_Example!$B$5:$B$804,$P$6,مثال_Example!$C$5:$C$804,$P$8,مثال_Example!$D$5:$D$804,$P$7,مثال_Example!$E$5:$E$804,$P$9,مثال_Example!$F$5:$F$804,"Baseline",مثال_Example!$G$5:$G$804,$P$11))</f>
        <v>0</v>
      </c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P19" s="12" t="s">
        <v>129</v>
      </c>
      <c r="Q19" s="21" t="n">
        <f aca="false">(SUMIFS(Data!$T$5:$T$5004,Data!$B$5:$B$5004,$P$6,Data!$C$5:$C$5004,$P$8,Data!$D$5:$D$5004,$P$7,Data!$E$5:$E$5004,$P$9,Data!$F$5:$F$5004,$P$10,Data!$G$5:$G$5004,$P$11)+ExOn*SUMIFS(مثال_Example!$T$5:$T$804,مثال_Example!$B$5:$B$804,$P$6,مثال_Example!$C$5:$C$804,$P$8,مثال_Example!$D$5:$D$804,$P$7,مثال_Example!$E$5:$E$804,$P$9,مثال_Example!$F$5:$F$804,$P$10,مثال_Example!$G$5:$G$804,$P$11))</f>
        <v>0</v>
      </c>
    </row>
    <row r="20" customFormat="false" ht="21.75" hidden="false" customHeight="true" outlineLevel="0" collapsed="false">
      <c r="A20" s="1"/>
      <c r="B20" s="4" t="s">
        <v>130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"/>
      <c r="P20" s="12" t="s">
        <v>121</v>
      </c>
      <c r="Q20" s="21" t="n">
        <f aca="false">(SUMIFS(Data!$U$5:$U$5004,Data!$B$5:$B$5004,$P$6,Data!$C$5:$C$5004,$P$8,Data!$D$5:$D$5004,$P$7,Data!$E$5:$E$5004,$P$9,Data!$F$5:$F$5004,$P$10,Data!$G$5:$G$5004,$P$11)+ExOn*SUMIFS(مثال_Example!$U$5:$U$804,مثال_Example!$B$5:$B$804,$P$6,مثال_Example!$C$5:$C$804,$P$8,مثال_Example!$D$5:$D$804,$P$7,مثال_Example!$E$5:$E$804,$P$9,مثال_Example!$F$5:$F$804,$P$10,مثال_Example!$G$5:$G$804,$P$11))</f>
        <v>0</v>
      </c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P21" s="12" t="s">
        <v>131</v>
      </c>
      <c r="Q21" s="21" t="n">
        <f aca="false">(SUMIFS(Data!$V$5:$V$5004,Data!$B$5:$B$5004,$P$6,Data!$C$5:$C$5004,$P$8,Data!$D$5:$D$5004,$P$7,Data!$E$5:$E$5004,$P$9,Data!$F$5:$F$5004,$P$10,Data!$G$5:$G$5004,$P$11)+ExOn*SUMIFS(مثال_Example!$V$5:$V$804,مثال_Example!$B$5:$B$804,$P$6,مثال_Example!$C$5:$C$804,$P$8,مثال_Example!$D$5:$D$804,$P$7,مثال_Example!$E$5:$E$804,$P$9,مثال_Example!$F$5:$F$804,$P$10,مثال_Example!$G$5:$G$804,$P$11))</f>
        <v>0</v>
      </c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P22" s="12" t="s">
        <v>132</v>
      </c>
      <c r="Q22" s="21" t="n">
        <f aca="false">(SUMIFS(Data!$W$5:$W$5004,Data!$B$5:$B$5004,$P$6,Data!$C$5:$C$5004,$P$8,Data!$D$5:$D$5004,$P$7,Data!$E$5:$E$5004,$P$9,Data!$F$5:$F$5004,$P$10,Data!$G$5:$G$5004,$P$11)+ExOn*SUMIFS(مثال_Example!$W$5:$W$804,مثال_Example!$B$5:$B$804,$P$6,مثال_Example!$C$5:$C$804,$P$8,مثال_Example!$D$5:$D$804,$P$7,مثال_Example!$E$5:$E$804,$P$9,مثال_Example!$F$5:$F$804,$P$10,مثال_Example!$G$5:$G$804,$P$11))</f>
        <v>0</v>
      </c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P23" s="12" t="s">
        <v>133</v>
      </c>
      <c r="Q23" s="21" t="n">
        <f aca="false">(SUMIFS(Data!$X$5:$X$5004,Data!$B$5:$B$5004,$P$6,Data!$C$5:$C$5004,$P$8,Data!$D$5:$D$5004,$P$7,Data!$E$5:$E$5004,$P$9,Data!$F$5:$F$5004,$P$10,Data!$G$5:$G$5004,$P$11)+ExOn*SUMIFS(مثال_Example!$X$5:$X$804,مثال_Example!$B$5:$B$804,$P$6,مثال_Example!$C$5:$C$804,$P$8,مثال_Example!$D$5:$D$804,$P$7,مثال_Example!$E$5:$E$804,$P$9,مثال_Example!$F$5:$F$804,$P$10,مثال_Example!$G$5:$G$804,$P$11))</f>
        <v>0</v>
      </c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P24" s="12" t="s">
        <v>134</v>
      </c>
      <c r="Q24" s="21" t="n">
        <f aca="false">$Q$19+$Q$20+$Q$21</f>
        <v>0</v>
      </c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true" outlineLevel="0" collapsed="false">
      <c r="A70" s="1"/>
      <c r="B70" s="1"/>
      <c r="C70" s="1"/>
      <c r="D70" s="1"/>
      <c r="E70" s="1"/>
      <c r="F70" s="1"/>
      <c r="G70" s="1"/>
      <c r="H70" s="25" t="s">
        <v>135</v>
      </c>
      <c r="I70" s="25"/>
      <c r="J70" s="25"/>
      <c r="K70" s="25"/>
      <c r="L70" s="25"/>
      <c r="M70" s="25"/>
      <c r="N70" s="1"/>
    </row>
    <row r="71" customFormat="false" ht="15" hidden="false" customHeight="true" outlineLevel="0" collapsed="false">
      <c r="A71" s="1"/>
      <c r="B71" s="1"/>
      <c r="C71" s="1"/>
      <c r="D71" s="1"/>
      <c r="E71" s="1"/>
      <c r="F71" s="1"/>
      <c r="G71" s="1"/>
      <c r="H71" s="26" t="s">
        <v>136</v>
      </c>
      <c r="I71" s="26"/>
      <c r="J71" s="27" t="s">
        <v>137</v>
      </c>
      <c r="K71" s="27"/>
      <c r="L71" s="27"/>
      <c r="M71" s="27"/>
      <c r="N71" s="1"/>
    </row>
    <row r="72" customFormat="false" ht="15" hidden="false" customHeight="true" outlineLevel="0" collapsed="false">
      <c r="A72" s="1"/>
      <c r="B72" s="1"/>
      <c r="C72" s="1"/>
      <c r="D72" s="1"/>
      <c r="E72" s="1"/>
      <c r="F72" s="1"/>
      <c r="G72" s="1"/>
      <c r="H72" s="28" t="s">
        <v>138</v>
      </c>
      <c r="I72" s="28"/>
      <c r="J72" s="27" t="s">
        <v>139</v>
      </c>
      <c r="K72" s="27"/>
      <c r="L72" s="27"/>
      <c r="M72" s="27"/>
      <c r="N72" s="1"/>
    </row>
    <row r="73" customFormat="false" ht="15" hidden="false" customHeight="true" outlineLevel="0" collapsed="false">
      <c r="A73" s="1"/>
      <c r="B73" s="1"/>
      <c r="C73" s="1"/>
      <c r="D73" s="1"/>
      <c r="E73" s="1"/>
      <c r="F73" s="1"/>
      <c r="G73" s="1"/>
      <c r="H73" s="29" t="s">
        <v>140</v>
      </c>
      <c r="I73" s="29"/>
      <c r="J73" s="27" t="s">
        <v>141</v>
      </c>
      <c r="K73" s="27"/>
      <c r="L73" s="27"/>
      <c r="M73" s="27"/>
      <c r="N73" s="1"/>
    </row>
    <row r="74" customFormat="false" ht="15" hidden="false" customHeight="true" outlineLevel="0" collapsed="false">
      <c r="A74" s="1"/>
      <c r="B74" s="1"/>
      <c r="C74" s="1"/>
      <c r="D74" s="1"/>
      <c r="E74" s="1"/>
      <c r="F74" s="1"/>
      <c r="G74" s="1"/>
      <c r="H74" s="30" t="s">
        <v>142</v>
      </c>
      <c r="I74" s="30"/>
      <c r="J74" s="27" t="s">
        <v>143</v>
      </c>
      <c r="K74" s="27"/>
      <c r="L74" s="27"/>
      <c r="M74" s="27"/>
      <c r="N74" s="1"/>
    </row>
    <row r="75" customFormat="false" ht="15" hidden="false" customHeight="true" outlineLevel="0" collapsed="false">
      <c r="A75" s="1"/>
      <c r="B75" s="1"/>
      <c r="C75" s="1"/>
      <c r="D75" s="1"/>
      <c r="E75" s="1"/>
      <c r="F75" s="1"/>
      <c r="G75" s="1"/>
      <c r="H75" s="31" t="s">
        <v>144</v>
      </c>
      <c r="I75" s="31"/>
      <c r="J75" s="27" t="s">
        <v>145</v>
      </c>
      <c r="K75" s="27"/>
      <c r="L75" s="27"/>
      <c r="M75" s="27"/>
      <c r="N75" s="1"/>
    </row>
    <row r="76" customFormat="false" ht="15" hidden="false" customHeight="true" outlineLevel="0" collapsed="false">
      <c r="A76" s="1"/>
      <c r="B76" s="1"/>
      <c r="C76" s="1"/>
      <c r="D76" s="1"/>
      <c r="E76" s="1"/>
      <c r="F76" s="1"/>
      <c r="G76" s="1"/>
      <c r="H76" s="32" t="s">
        <v>146</v>
      </c>
      <c r="I76" s="32"/>
      <c r="J76" s="27" t="s">
        <v>147</v>
      </c>
      <c r="K76" s="27"/>
      <c r="L76" s="27"/>
      <c r="M76" s="27"/>
      <c r="N76" s="1"/>
    </row>
    <row r="77" customFormat="false" ht="15" hidden="false" customHeight="true" outlineLevel="0" collapsed="false">
      <c r="A77" s="1"/>
      <c r="B77" s="1"/>
      <c r="C77" s="1"/>
      <c r="D77" s="1"/>
      <c r="E77" s="1"/>
      <c r="F77" s="1"/>
      <c r="G77" s="1"/>
      <c r="H77" s="33" t="s">
        <v>120</v>
      </c>
      <c r="I77" s="33"/>
      <c r="J77" s="34" t="s">
        <v>148</v>
      </c>
      <c r="K77" s="34"/>
      <c r="L77" s="34"/>
      <c r="M77" s="34"/>
      <c r="N77" s="1"/>
    </row>
    <row r="78" customFormat="false" ht="15" hidden="false" customHeight="true" outlineLevel="0" collapsed="false">
      <c r="A78" s="1"/>
      <c r="B78" s="1"/>
      <c r="C78" s="1"/>
      <c r="D78" s="1"/>
      <c r="E78" s="1"/>
      <c r="F78" s="1"/>
      <c r="G78" s="1"/>
      <c r="H78" s="35" t="s">
        <v>121</v>
      </c>
      <c r="I78" s="35"/>
      <c r="J78" s="34"/>
      <c r="K78" s="34"/>
      <c r="L78" s="34"/>
      <c r="M78" s="34"/>
      <c r="N78" s="1"/>
    </row>
    <row r="79" customFormat="false" ht="15" hidden="false" customHeight="true" outlineLevel="0" collapsed="false">
      <c r="A79" s="1"/>
      <c r="B79" s="1"/>
      <c r="C79" s="1"/>
      <c r="D79" s="1"/>
      <c r="E79" s="1"/>
      <c r="F79" s="1"/>
      <c r="G79" s="1"/>
      <c r="H79" s="36" t="s">
        <v>122</v>
      </c>
      <c r="I79" s="36"/>
      <c r="J79" s="34"/>
      <c r="K79" s="34"/>
      <c r="L79" s="34"/>
      <c r="M79" s="34"/>
      <c r="N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customFormat="false" ht="21.75" hidden="false" customHeight="true" outlineLevel="0" collapsed="false">
      <c r="A93" s="1"/>
      <c r="B93" s="4" t="s">
        <v>149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"/>
    </row>
    <row r="94" customFormat="false" ht="31.5" hidden="false" customHeight="true" outlineLevel="0" collapsed="false">
      <c r="A94" s="1"/>
      <c r="B94" s="37" t="s">
        <v>150</v>
      </c>
      <c r="C94" s="37" t="s">
        <v>151</v>
      </c>
      <c r="D94" s="37" t="s">
        <v>152</v>
      </c>
      <c r="E94" s="37" t="s">
        <v>153</v>
      </c>
      <c r="F94" s="37" t="s">
        <v>154</v>
      </c>
      <c r="G94" s="37" t="s">
        <v>155</v>
      </c>
      <c r="H94" s="37" t="s">
        <v>156</v>
      </c>
      <c r="I94" s="37" t="s">
        <v>157</v>
      </c>
      <c r="J94" s="37" t="s">
        <v>158</v>
      </c>
      <c r="K94" s="37" t="s">
        <v>159</v>
      </c>
      <c r="L94" s="37" t="s">
        <v>160</v>
      </c>
      <c r="M94" s="37" t="s">
        <v>161</v>
      </c>
      <c r="N94" s="1"/>
    </row>
    <row r="95" customFormat="false" ht="15" hidden="false" customHeight="false" outlineLevel="0" collapsed="false">
      <c r="A95" s="1"/>
      <c r="B95" s="38" t="s">
        <v>162</v>
      </c>
      <c r="C95" s="39" t="n">
        <f aca="false">(SUMIFS(Data!$Q$5:$Q$5004,Data!$B$5:$B$5004,$P$6,Data!$C$5:$C$5004,$P$8,Data!$D$5:$D$5004,$P$7,Data!$E$5:$E$5004,$P$9,Data!$F$5:$F$5004,$B95,Data!$G$5:$G$5004,$P$11)+ExOn*SUMIFS(مثال_Example!$Q$5:$Q$804,مثال_Example!$B$5:$B$804,$P$6,مثال_Example!$C$5:$C$804,$P$8,مثال_Example!$D$5:$D$804,$P$7,مثال_Example!$E$5:$E$804,$P$9,مثال_Example!$F$5:$F$804,$B95,مثال_Example!$G$5:$G$804,$P$11))</f>
        <v>0</v>
      </c>
      <c r="D95" s="40" t="str">
        <f aca="false">IF($C95=0,"—",(SUMIFS(Data!$R$5:$R$5004,Data!$B$5:$B$5004,$P$6,Data!$C$5:$C$5004,$P$8,Data!$D$5:$D$5004,$P$7,Data!$E$5:$E$5004,$P$9,Data!$F$5:$F$5004,$B95,Data!$G$5:$G$5004,$P$11)+ExOn*SUMIFS(مثال_Example!$R$5:$R$804,مثال_Example!$B$5:$B$804,$P$6,مثال_Example!$C$5:$C$804,$P$8,مثال_Example!$D$5:$D$804,$P$7,مثال_Example!$E$5:$E$804,$P$9,مثال_Example!$F$5:$F$804,$B95,مثال_Example!$G$5:$G$804,$P$11))/$C95)</f>
        <v>—</v>
      </c>
      <c r="E95" s="40" t="str">
        <f aca="false">IF($C95=0,"—",(SUMIFS(Data!$S$5:$S$5004,Data!$B$5:$B$5004,$P$6,Data!$C$5:$C$5004,$P$8,Data!$D$5:$D$5004,$P$7,Data!$E$5:$E$5004,$P$9,Data!$F$5:$F$5004,$B95,Data!$G$5:$G$5004,$P$11)+ExOn*SUMIFS(مثال_Example!$S$5:$S$804,مثال_Example!$B$5:$B$804,$P$6,مثال_Example!$C$5:$C$804,$P$8,مثال_Example!$D$5:$D$804,$P$7,مثال_Example!$E$5:$E$804,$P$9,مثال_Example!$F$5:$F$804,$B95,مثال_Example!$G$5:$G$804,$P$11))/$C95)</f>
        <v>—</v>
      </c>
      <c r="F95" s="41" t="str">
        <f aca="false">IF(OR($B95="Baseline",NOT(ISNUMBER(D95)),NOT(ISNUMBER(D$95))),"—",D95-D$95)</f>
        <v>—</v>
      </c>
      <c r="G95" s="41" t="str">
        <f aca="false">IF(OR($B95="Baseline",NOT(ISNUMBER(E95)),NOT(ISNUMBER(E$95))),"—",E95-E$95)</f>
        <v>—</v>
      </c>
      <c r="H95" s="39" t="n">
        <f aca="false">(SUMIFS(Data!$T$5:$T$5004,Data!$B$5:$B$5004,$P$6,Data!$C$5:$C$5004,$P$8,Data!$D$5:$D$5004,$P$7,Data!$E$5:$E$5004,$P$9,Data!$F$5:$F$5004,$B95,Data!$G$5:$G$5004,$P$11)+ExOn*SUMIFS(مثال_Example!$T$5:$T$804,مثال_Example!$B$5:$B$804,$P$6,مثال_Example!$C$5:$C$804,$P$8,مثال_Example!$D$5:$D$804,$P$7,مثال_Example!$E$5:$E$804,$P$9,مثال_Example!$F$5:$F$804,$B95,مثال_Example!$G$5:$G$804,$P$11))+(SUMIFS(Data!$U$5:$U$5004,Data!$B$5:$B$5004,$P$6,Data!$C$5:$C$5004,$P$8,Data!$D$5:$D$5004,$P$7,Data!$E$5:$E$5004,$P$9,Data!$F$5:$F$5004,$B95,Data!$G$5:$G$5004,$P$11)+ExOn*SUMIFS(مثال_Example!$U$5:$U$804,مثال_Example!$B$5:$B$804,$P$6,مثال_Example!$C$5:$C$804,$P$8,مثال_Example!$D$5:$D$804,$P$7,مثال_Example!$E$5:$E$804,$P$9,مثال_Example!$F$5:$F$804,$B95,مثال_Example!$G$5:$G$804,$P$11))+(SUMIFS(Data!$V$5:$V$5004,Data!$B$5:$B$5004,$P$6,Data!$C$5:$C$5004,$P$8,Data!$D$5:$D$5004,$P$7,Data!$E$5:$E$5004,$P$9,Data!$F$5:$F$5004,$B95,Data!$G$5:$G$5004,$P$11)+ExOn*SUMIFS(مثال_Example!$V$5:$V$804,مثال_Example!$B$5:$B$804,$P$6,مثال_Example!$C$5:$C$804,$P$8,مثال_Example!$D$5:$D$804,$P$7,مثال_Example!$E$5:$E$804,$P$9,مثال_Example!$F$5:$F$804,$B95,مثال_Example!$G$5:$G$804,$P$11))</f>
        <v>0</v>
      </c>
      <c r="I95" s="40" t="str">
        <f aca="false">IF($H95=0,"—",(SUMIFS(Data!$T$5:$T$5004,Data!$B$5:$B$5004,$P$6,Data!$C$5:$C$5004,$P$8,Data!$D$5:$D$5004,$P$7,Data!$E$5:$E$5004,$P$9,Data!$F$5:$F$5004,$B95,Data!$G$5:$G$5004,$P$11)+ExOn*SUMIFS(مثال_Example!$T$5:$T$804,مثال_Example!$B$5:$B$804,$P$6,مثال_Example!$C$5:$C$804,$P$8,مثال_Example!$D$5:$D$804,$P$7,مثال_Example!$E$5:$E$804,$P$9,مثال_Example!$F$5:$F$804,$B95,مثال_Example!$G$5:$G$804,$P$11))/$H95)</f>
        <v>—</v>
      </c>
      <c r="J95" s="40" t="str">
        <f aca="false">IF($H95=0,"—",(SUMIFS(Data!$U$5:$U$5004,Data!$B$5:$B$5004,$P$6,Data!$C$5:$C$5004,$P$8,Data!$D$5:$D$5004,$P$7,Data!$E$5:$E$5004,$P$9,Data!$F$5:$F$5004,$B95,Data!$G$5:$G$5004,$P$11)+ExOn*SUMIFS(مثال_Example!$U$5:$U$804,مثال_Example!$B$5:$B$804,$P$6,مثال_Example!$C$5:$C$804,$P$8,مثال_Example!$D$5:$D$804,$P$7,مثال_Example!$E$5:$E$804,$P$9,مثال_Example!$F$5:$F$804,$B95,مثال_Example!$G$5:$G$804,$P$11))/$H95)</f>
        <v>—</v>
      </c>
      <c r="K95" s="40" t="str">
        <f aca="false">IF($H95=0,"—",(SUMIFS(Data!$V$5:$V$5004,Data!$B$5:$B$5004,$P$6,Data!$C$5:$C$5004,$P$8,Data!$D$5:$D$5004,$P$7,Data!$E$5:$E$5004,$P$9,Data!$F$5:$F$5004,$B95,Data!$G$5:$G$5004,$P$11)+ExOn*SUMIFS(مثال_Example!$V$5:$V$804,مثال_Example!$B$5:$B$804,$P$6,مثال_Example!$C$5:$C$804,$P$8,مثال_Example!$D$5:$D$804,$P$7,مثال_Example!$E$5:$E$804,$P$9,مثال_Example!$F$5:$F$804,$B95,مثال_Example!$G$5:$G$804,$P$11))/$H95)</f>
        <v>—</v>
      </c>
      <c r="L95" s="40" t="str">
        <f aca="false">IF($H95=0,"—",((SUMIFS(Data!$U$5:$U$5004,Data!$B$5:$B$5004,$P$6,Data!$C$5:$C$5004,$P$8,Data!$D$5:$D$5004,$P$7,Data!$E$5:$E$5004,$P$9,Data!$F$5:$F$5004,$B95,Data!$G$5:$G$5004,$P$11)+ExOn*SUMIFS(مثال_Example!$U$5:$U$804,مثال_Example!$B$5:$B$804,$P$6,مثال_Example!$C$5:$C$804,$P$8,مثال_Example!$D$5:$D$804,$P$7,مثال_Example!$E$5:$E$804,$P$9,مثال_Example!$F$5:$F$804,$B95,مثال_Example!$G$5:$G$804,$P$11))+(SUMIFS(Data!$V$5:$V$5004,Data!$B$5:$B$5004,$P$6,Data!$C$5:$C$5004,$P$8,Data!$D$5:$D$5004,$P$7,Data!$E$5:$E$5004,$P$9,Data!$F$5:$F$5004,$B95,Data!$G$5:$G$5004,$P$11)+ExOn*SUMIFS(مثال_Example!$V$5:$V$804,مثال_Example!$B$5:$B$804,$P$6,مثال_Example!$C$5:$C$804,$P$8,مثال_Example!$D$5:$D$804,$P$7,مثال_Example!$E$5:$E$804,$P$9,مثال_Example!$F$5:$F$804,$B95,مثال_Example!$G$5:$G$804,$P$11)))/$H95)</f>
        <v>—</v>
      </c>
      <c r="M95" s="42" t="str">
        <f aca="false">IF($C95=0,"لا توجد بيانات",IF(ROUND(IF(ISNUMBER(D95),D95,0),10)&lt;=KeyA_VW,"Very Weak",IF(ROUND(IF(ISNUMBER(D95),D95,0),10)&lt;KeyA_Weak,"Weak",IF(ROUND(IF(ISNUMBER(E95),E95,0),10)&lt;KeyA_Acc,"Acceptable",IF(ROUND(IF(ISNUMBER(E95),E95,0),10)&lt;=KeyA_Good,"Good",IF(ROUND(IF(ISNUMBER(E95),E95,0),10)&lt;KeyA_Out,"Very Good","Outstanding"))))))</f>
        <v>لا توجد بيانات</v>
      </c>
      <c r="N95" s="1"/>
    </row>
    <row r="96" customFormat="false" ht="15" hidden="false" customHeight="false" outlineLevel="0" collapsed="false">
      <c r="A96" s="1"/>
      <c r="B96" s="38" t="s">
        <v>107</v>
      </c>
      <c r="C96" s="39" t="n">
        <f aca="false">(SUMIFS(Data!$Q$5:$Q$5004,Data!$B$5:$B$5004,$P$6,Data!$C$5:$C$5004,$P$8,Data!$D$5:$D$5004,$P$7,Data!$E$5:$E$5004,$P$9,Data!$F$5:$F$5004,$B96,Data!$G$5:$G$5004,$P$11)+ExOn*SUMIFS(مثال_Example!$Q$5:$Q$804,مثال_Example!$B$5:$B$804,$P$6,مثال_Example!$C$5:$C$804,$P$8,مثال_Example!$D$5:$D$804,$P$7,مثال_Example!$E$5:$E$804,$P$9,مثال_Example!$F$5:$F$804,$B96,مثال_Example!$G$5:$G$804,$P$11))</f>
        <v>0</v>
      </c>
      <c r="D96" s="40" t="str">
        <f aca="false">IF($C96=0,"—",(SUMIFS(Data!$R$5:$R$5004,Data!$B$5:$B$5004,$P$6,Data!$C$5:$C$5004,$P$8,Data!$D$5:$D$5004,$P$7,Data!$E$5:$E$5004,$P$9,Data!$F$5:$F$5004,$B96,Data!$G$5:$G$5004,$P$11)+ExOn*SUMIFS(مثال_Example!$R$5:$R$804,مثال_Example!$B$5:$B$804,$P$6,مثال_Example!$C$5:$C$804,$P$8,مثال_Example!$D$5:$D$804,$P$7,مثال_Example!$E$5:$E$804,$P$9,مثال_Example!$F$5:$F$804,$B96,مثال_Example!$G$5:$G$804,$P$11))/$C96)</f>
        <v>—</v>
      </c>
      <c r="E96" s="40" t="str">
        <f aca="false">IF($C96=0,"—",(SUMIFS(Data!$S$5:$S$5004,Data!$B$5:$B$5004,$P$6,Data!$C$5:$C$5004,$P$8,Data!$D$5:$D$5004,$P$7,Data!$E$5:$E$5004,$P$9,Data!$F$5:$F$5004,$B96,Data!$G$5:$G$5004,$P$11)+ExOn*SUMIFS(مثال_Example!$S$5:$S$804,مثال_Example!$B$5:$B$804,$P$6,مثال_Example!$C$5:$C$804,$P$8,مثال_Example!$D$5:$D$804,$P$7,مثال_Example!$E$5:$E$804,$P$9,مثال_Example!$F$5:$F$804,$B96,مثال_Example!$G$5:$G$804,$P$11))/$C96)</f>
        <v>—</v>
      </c>
      <c r="F96" s="41" t="str">
        <f aca="false">IF(OR($B96="Baseline",NOT(ISNUMBER(D96)),NOT(ISNUMBER(D$95))),"—",D96-D$95)</f>
        <v>—</v>
      </c>
      <c r="G96" s="41" t="str">
        <f aca="false">IF(OR($B96="Baseline",NOT(ISNUMBER(E96)),NOT(ISNUMBER(E$95))),"—",E96-E$95)</f>
        <v>—</v>
      </c>
      <c r="H96" s="39" t="n">
        <f aca="false">(SUMIFS(Data!$T$5:$T$5004,Data!$B$5:$B$5004,$P$6,Data!$C$5:$C$5004,$P$8,Data!$D$5:$D$5004,$P$7,Data!$E$5:$E$5004,$P$9,Data!$F$5:$F$5004,$B96,Data!$G$5:$G$5004,$P$11)+ExOn*SUMIFS(مثال_Example!$T$5:$T$804,مثال_Example!$B$5:$B$804,$P$6,مثال_Example!$C$5:$C$804,$P$8,مثال_Example!$D$5:$D$804,$P$7,مثال_Example!$E$5:$E$804,$P$9,مثال_Example!$F$5:$F$804,$B96,مثال_Example!$G$5:$G$804,$P$11))+(SUMIFS(Data!$U$5:$U$5004,Data!$B$5:$B$5004,$P$6,Data!$C$5:$C$5004,$P$8,Data!$D$5:$D$5004,$P$7,Data!$E$5:$E$5004,$P$9,Data!$F$5:$F$5004,$B96,Data!$G$5:$G$5004,$P$11)+ExOn*SUMIFS(مثال_Example!$U$5:$U$804,مثال_Example!$B$5:$B$804,$P$6,مثال_Example!$C$5:$C$804,$P$8,مثال_Example!$D$5:$D$804,$P$7,مثال_Example!$E$5:$E$804,$P$9,مثال_Example!$F$5:$F$804,$B96,مثال_Example!$G$5:$G$804,$P$11))+(SUMIFS(Data!$V$5:$V$5004,Data!$B$5:$B$5004,$P$6,Data!$C$5:$C$5004,$P$8,Data!$D$5:$D$5004,$P$7,Data!$E$5:$E$5004,$P$9,Data!$F$5:$F$5004,$B96,Data!$G$5:$G$5004,$P$11)+ExOn*SUMIFS(مثال_Example!$V$5:$V$804,مثال_Example!$B$5:$B$804,$P$6,مثال_Example!$C$5:$C$804,$P$8,مثال_Example!$D$5:$D$804,$P$7,مثال_Example!$E$5:$E$804,$P$9,مثال_Example!$F$5:$F$804,$B96,مثال_Example!$G$5:$G$804,$P$11))</f>
        <v>0</v>
      </c>
      <c r="I96" s="40" t="str">
        <f aca="false">IF($H96=0,"—",(SUMIFS(Data!$T$5:$T$5004,Data!$B$5:$B$5004,$P$6,Data!$C$5:$C$5004,$P$8,Data!$D$5:$D$5004,$P$7,Data!$E$5:$E$5004,$P$9,Data!$F$5:$F$5004,$B96,Data!$G$5:$G$5004,$P$11)+ExOn*SUMIFS(مثال_Example!$T$5:$T$804,مثال_Example!$B$5:$B$804,$P$6,مثال_Example!$C$5:$C$804,$P$8,مثال_Example!$D$5:$D$804,$P$7,مثال_Example!$E$5:$E$804,$P$9,مثال_Example!$F$5:$F$804,$B96,مثال_Example!$G$5:$G$804,$P$11))/$H96)</f>
        <v>—</v>
      </c>
      <c r="J96" s="40" t="str">
        <f aca="false">IF($H96=0,"—",(SUMIFS(Data!$U$5:$U$5004,Data!$B$5:$B$5004,$P$6,Data!$C$5:$C$5004,$P$8,Data!$D$5:$D$5004,$P$7,Data!$E$5:$E$5004,$P$9,Data!$F$5:$F$5004,$B96,Data!$G$5:$G$5004,$P$11)+ExOn*SUMIFS(مثال_Example!$U$5:$U$804,مثال_Example!$B$5:$B$804,$P$6,مثال_Example!$C$5:$C$804,$P$8,مثال_Example!$D$5:$D$804,$P$7,مثال_Example!$E$5:$E$804,$P$9,مثال_Example!$F$5:$F$804,$B96,مثال_Example!$G$5:$G$804,$P$11))/$H96)</f>
        <v>—</v>
      </c>
      <c r="K96" s="40" t="str">
        <f aca="false">IF($H96=0,"—",(SUMIFS(Data!$V$5:$V$5004,Data!$B$5:$B$5004,$P$6,Data!$C$5:$C$5004,$P$8,Data!$D$5:$D$5004,$P$7,Data!$E$5:$E$5004,$P$9,Data!$F$5:$F$5004,$B96,Data!$G$5:$G$5004,$P$11)+ExOn*SUMIFS(مثال_Example!$V$5:$V$804,مثال_Example!$B$5:$B$804,$P$6,مثال_Example!$C$5:$C$804,$P$8,مثال_Example!$D$5:$D$804,$P$7,مثال_Example!$E$5:$E$804,$P$9,مثال_Example!$F$5:$F$804,$B96,مثال_Example!$G$5:$G$804,$P$11))/$H96)</f>
        <v>—</v>
      </c>
      <c r="L96" s="40" t="str">
        <f aca="false">IF($H96=0,"—",((SUMIFS(Data!$U$5:$U$5004,Data!$B$5:$B$5004,$P$6,Data!$C$5:$C$5004,$P$8,Data!$D$5:$D$5004,$P$7,Data!$E$5:$E$5004,$P$9,Data!$F$5:$F$5004,$B96,Data!$G$5:$G$5004,$P$11)+ExOn*SUMIFS(مثال_Example!$U$5:$U$804,مثال_Example!$B$5:$B$804,$P$6,مثال_Example!$C$5:$C$804,$P$8,مثال_Example!$D$5:$D$804,$P$7,مثال_Example!$E$5:$E$804,$P$9,مثال_Example!$F$5:$F$804,$B96,مثال_Example!$G$5:$G$804,$P$11))+(SUMIFS(Data!$V$5:$V$5004,Data!$B$5:$B$5004,$P$6,Data!$C$5:$C$5004,$P$8,Data!$D$5:$D$5004,$P$7,Data!$E$5:$E$5004,$P$9,Data!$F$5:$F$5004,$B96,Data!$G$5:$G$5004,$P$11)+ExOn*SUMIFS(مثال_Example!$V$5:$V$804,مثال_Example!$B$5:$B$804,$P$6,مثال_Example!$C$5:$C$804,$P$8,مثال_Example!$D$5:$D$804,$P$7,مثال_Example!$E$5:$E$804,$P$9,مثال_Example!$F$5:$F$804,$B96,مثال_Example!$G$5:$G$804,$P$11)))/$H96)</f>
        <v>—</v>
      </c>
      <c r="M96" s="42" t="str">
        <f aca="false">IF($C96=0,"لا توجد بيانات",IF(ROUND(IF(ISNUMBER(D96),D96,0),10)&lt;=KeyA_VW,"Very Weak",IF(ROUND(IF(ISNUMBER(D96),D96,0),10)&lt;KeyA_Weak,"Weak",IF(ROUND(IF(ISNUMBER(E96),E96,0),10)&lt;KeyA_Acc,"Acceptable",IF(ROUND(IF(ISNUMBER(E96),E96,0),10)&lt;=KeyA_Good,"Good",IF(ROUND(IF(ISNUMBER(E96),E96,0),10)&lt;KeyA_Out,"Very Good","Outstanding"))))))</f>
        <v>لا توجد بيانات</v>
      </c>
      <c r="N96" s="1"/>
    </row>
    <row r="97" customFormat="false" ht="15" hidden="false" customHeight="false" outlineLevel="0" collapsed="false">
      <c r="A97" s="1"/>
      <c r="B97" s="38" t="s">
        <v>163</v>
      </c>
      <c r="C97" s="39" t="n">
        <f aca="false">(SUMIFS(Data!$Q$5:$Q$5004,Data!$B$5:$B$5004,$P$6,Data!$C$5:$C$5004,$P$8,Data!$D$5:$D$5004,$P$7,Data!$E$5:$E$5004,$P$9,Data!$F$5:$F$5004,$B97,Data!$G$5:$G$5004,$P$11)+ExOn*SUMIFS(مثال_Example!$Q$5:$Q$804,مثال_Example!$B$5:$B$804,$P$6,مثال_Example!$C$5:$C$804,$P$8,مثال_Example!$D$5:$D$804,$P$7,مثال_Example!$E$5:$E$804,$P$9,مثال_Example!$F$5:$F$804,$B97,مثال_Example!$G$5:$G$804,$P$11))</f>
        <v>0</v>
      </c>
      <c r="D97" s="40" t="str">
        <f aca="false">IF($C97=0,"—",(SUMIFS(Data!$R$5:$R$5004,Data!$B$5:$B$5004,$P$6,Data!$C$5:$C$5004,$P$8,Data!$D$5:$D$5004,$P$7,Data!$E$5:$E$5004,$P$9,Data!$F$5:$F$5004,$B97,Data!$G$5:$G$5004,$P$11)+ExOn*SUMIFS(مثال_Example!$R$5:$R$804,مثال_Example!$B$5:$B$804,$P$6,مثال_Example!$C$5:$C$804,$P$8,مثال_Example!$D$5:$D$804,$P$7,مثال_Example!$E$5:$E$804,$P$9,مثال_Example!$F$5:$F$804,$B97,مثال_Example!$G$5:$G$804,$P$11))/$C97)</f>
        <v>—</v>
      </c>
      <c r="E97" s="40" t="str">
        <f aca="false">IF($C97=0,"—",(SUMIFS(Data!$S$5:$S$5004,Data!$B$5:$B$5004,$P$6,Data!$C$5:$C$5004,$P$8,Data!$D$5:$D$5004,$P$7,Data!$E$5:$E$5004,$P$9,Data!$F$5:$F$5004,$B97,Data!$G$5:$G$5004,$P$11)+ExOn*SUMIFS(مثال_Example!$S$5:$S$804,مثال_Example!$B$5:$B$804,$P$6,مثال_Example!$C$5:$C$804,$P$8,مثال_Example!$D$5:$D$804,$P$7,مثال_Example!$E$5:$E$804,$P$9,مثال_Example!$F$5:$F$804,$B97,مثال_Example!$G$5:$G$804,$P$11))/$C97)</f>
        <v>—</v>
      </c>
      <c r="F97" s="41" t="str">
        <f aca="false">IF(OR($B97="Baseline",NOT(ISNUMBER(D97)),NOT(ISNUMBER(D$95))),"—",D97-D$95)</f>
        <v>—</v>
      </c>
      <c r="G97" s="41" t="str">
        <f aca="false">IF(OR($B97="Baseline",NOT(ISNUMBER(E97)),NOT(ISNUMBER(E$95))),"—",E97-E$95)</f>
        <v>—</v>
      </c>
      <c r="H97" s="39" t="n">
        <f aca="false">(SUMIFS(Data!$T$5:$T$5004,Data!$B$5:$B$5004,$P$6,Data!$C$5:$C$5004,$P$8,Data!$D$5:$D$5004,$P$7,Data!$E$5:$E$5004,$P$9,Data!$F$5:$F$5004,$B97,Data!$G$5:$G$5004,$P$11)+ExOn*SUMIFS(مثال_Example!$T$5:$T$804,مثال_Example!$B$5:$B$804,$P$6,مثال_Example!$C$5:$C$804,$P$8,مثال_Example!$D$5:$D$804,$P$7,مثال_Example!$E$5:$E$804,$P$9,مثال_Example!$F$5:$F$804,$B97,مثال_Example!$G$5:$G$804,$P$11))+(SUMIFS(Data!$U$5:$U$5004,Data!$B$5:$B$5004,$P$6,Data!$C$5:$C$5004,$P$8,Data!$D$5:$D$5004,$P$7,Data!$E$5:$E$5004,$P$9,Data!$F$5:$F$5004,$B97,Data!$G$5:$G$5004,$P$11)+ExOn*SUMIFS(مثال_Example!$U$5:$U$804,مثال_Example!$B$5:$B$804,$P$6,مثال_Example!$C$5:$C$804,$P$8,مثال_Example!$D$5:$D$804,$P$7,مثال_Example!$E$5:$E$804,$P$9,مثال_Example!$F$5:$F$804,$B97,مثال_Example!$G$5:$G$804,$P$11))+(SUMIFS(Data!$V$5:$V$5004,Data!$B$5:$B$5004,$P$6,Data!$C$5:$C$5004,$P$8,Data!$D$5:$D$5004,$P$7,Data!$E$5:$E$5004,$P$9,Data!$F$5:$F$5004,$B97,Data!$G$5:$G$5004,$P$11)+ExOn*SUMIFS(مثال_Example!$V$5:$V$804,مثال_Example!$B$5:$B$804,$P$6,مثال_Example!$C$5:$C$804,$P$8,مثال_Example!$D$5:$D$804,$P$7,مثال_Example!$E$5:$E$804,$P$9,مثال_Example!$F$5:$F$804,$B97,مثال_Example!$G$5:$G$804,$P$11))</f>
        <v>0</v>
      </c>
      <c r="I97" s="40" t="str">
        <f aca="false">IF($H97=0,"—",(SUMIFS(Data!$T$5:$T$5004,Data!$B$5:$B$5004,$P$6,Data!$C$5:$C$5004,$P$8,Data!$D$5:$D$5004,$P$7,Data!$E$5:$E$5004,$P$9,Data!$F$5:$F$5004,$B97,Data!$G$5:$G$5004,$P$11)+ExOn*SUMIFS(مثال_Example!$T$5:$T$804,مثال_Example!$B$5:$B$804,$P$6,مثال_Example!$C$5:$C$804,$P$8,مثال_Example!$D$5:$D$804,$P$7,مثال_Example!$E$5:$E$804,$P$9,مثال_Example!$F$5:$F$804,$B97,مثال_Example!$G$5:$G$804,$P$11))/$H97)</f>
        <v>—</v>
      </c>
      <c r="J97" s="40" t="str">
        <f aca="false">IF($H97=0,"—",(SUMIFS(Data!$U$5:$U$5004,Data!$B$5:$B$5004,$P$6,Data!$C$5:$C$5004,$P$8,Data!$D$5:$D$5004,$P$7,Data!$E$5:$E$5004,$P$9,Data!$F$5:$F$5004,$B97,Data!$G$5:$G$5004,$P$11)+ExOn*SUMIFS(مثال_Example!$U$5:$U$804,مثال_Example!$B$5:$B$804,$P$6,مثال_Example!$C$5:$C$804,$P$8,مثال_Example!$D$5:$D$804,$P$7,مثال_Example!$E$5:$E$804,$P$9,مثال_Example!$F$5:$F$804,$B97,مثال_Example!$G$5:$G$804,$P$11))/$H97)</f>
        <v>—</v>
      </c>
      <c r="K97" s="40" t="str">
        <f aca="false">IF($H97=0,"—",(SUMIFS(Data!$V$5:$V$5004,Data!$B$5:$B$5004,$P$6,Data!$C$5:$C$5004,$P$8,Data!$D$5:$D$5004,$P$7,Data!$E$5:$E$5004,$P$9,Data!$F$5:$F$5004,$B97,Data!$G$5:$G$5004,$P$11)+ExOn*SUMIFS(مثال_Example!$V$5:$V$804,مثال_Example!$B$5:$B$804,$P$6,مثال_Example!$C$5:$C$804,$P$8,مثال_Example!$D$5:$D$804,$P$7,مثال_Example!$E$5:$E$804,$P$9,مثال_Example!$F$5:$F$804,$B97,مثال_Example!$G$5:$G$804,$P$11))/$H97)</f>
        <v>—</v>
      </c>
      <c r="L97" s="40" t="str">
        <f aca="false">IF($H97=0,"—",((SUMIFS(Data!$U$5:$U$5004,Data!$B$5:$B$5004,$P$6,Data!$C$5:$C$5004,$P$8,Data!$D$5:$D$5004,$P$7,Data!$E$5:$E$5004,$P$9,Data!$F$5:$F$5004,$B97,Data!$G$5:$G$5004,$P$11)+ExOn*SUMIFS(مثال_Example!$U$5:$U$804,مثال_Example!$B$5:$B$804,$P$6,مثال_Example!$C$5:$C$804,$P$8,مثال_Example!$D$5:$D$804,$P$7,مثال_Example!$E$5:$E$804,$P$9,مثال_Example!$F$5:$F$804,$B97,مثال_Example!$G$5:$G$804,$P$11))+(SUMIFS(Data!$V$5:$V$5004,Data!$B$5:$B$5004,$P$6,Data!$C$5:$C$5004,$P$8,Data!$D$5:$D$5004,$P$7,Data!$E$5:$E$5004,$P$9,Data!$F$5:$F$5004,$B97,Data!$G$5:$G$5004,$P$11)+ExOn*SUMIFS(مثال_Example!$V$5:$V$804,مثال_Example!$B$5:$B$804,$P$6,مثال_Example!$C$5:$C$804,$P$8,مثال_Example!$D$5:$D$804,$P$7,مثال_Example!$E$5:$E$804,$P$9,مثال_Example!$F$5:$F$804,$B97,مثال_Example!$G$5:$G$804,$P$11)))/$H97)</f>
        <v>—</v>
      </c>
      <c r="M97" s="42" t="str">
        <f aca="false">IF($C97=0,"لا توجد بيانات",IF(ROUND(IF(ISNUMBER(D97),D97,0),10)&lt;=KeyA_VW,"Very Weak",IF(ROUND(IF(ISNUMBER(D97),D97,0),10)&lt;KeyA_Weak,"Weak",IF(ROUND(IF(ISNUMBER(E97),E97,0),10)&lt;KeyA_Acc,"Acceptable",IF(ROUND(IF(ISNUMBER(E97),E97,0),10)&lt;=KeyA_Good,"Good",IF(ROUND(IF(ISNUMBER(E97),E97,0),10)&lt;KeyA_Out,"Very Good","Outstanding"))))))</f>
        <v>لا توجد بيانات</v>
      </c>
      <c r="N97" s="1"/>
    </row>
    <row r="98" customFormat="false" ht="15" hidden="false" customHeight="false" outlineLevel="0" collapsed="false">
      <c r="A98" s="1"/>
      <c r="B98" s="38" t="s">
        <v>164</v>
      </c>
      <c r="C98" s="39" t="n">
        <f aca="false">(SUMIFS(Data!$Q$5:$Q$5004,Data!$B$5:$B$5004,$P$6,Data!$C$5:$C$5004,$P$8,Data!$D$5:$D$5004,$P$7,Data!$E$5:$E$5004,$P$9,Data!$F$5:$F$5004,$B98,Data!$G$5:$G$5004,$P$11)+ExOn*SUMIFS(مثال_Example!$Q$5:$Q$804,مثال_Example!$B$5:$B$804,$P$6,مثال_Example!$C$5:$C$804,$P$8,مثال_Example!$D$5:$D$804,$P$7,مثال_Example!$E$5:$E$804,$P$9,مثال_Example!$F$5:$F$804,$B98,مثال_Example!$G$5:$G$804,$P$11))</f>
        <v>0</v>
      </c>
      <c r="D98" s="40" t="str">
        <f aca="false">IF($C98=0,"—",(SUMIFS(Data!$R$5:$R$5004,Data!$B$5:$B$5004,$P$6,Data!$C$5:$C$5004,$P$8,Data!$D$5:$D$5004,$P$7,Data!$E$5:$E$5004,$P$9,Data!$F$5:$F$5004,$B98,Data!$G$5:$G$5004,$P$11)+ExOn*SUMIFS(مثال_Example!$R$5:$R$804,مثال_Example!$B$5:$B$804,$P$6,مثال_Example!$C$5:$C$804,$P$8,مثال_Example!$D$5:$D$804,$P$7,مثال_Example!$E$5:$E$804,$P$9,مثال_Example!$F$5:$F$804,$B98,مثال_Example!$G$5:$G$804,$P$11))/$C98)</f>
        <v>—</v>
      </c>
      <c r="E98" s="40" t="str">
        <f aca="false">IF($C98=0,"—",(SUMIFS(Data!$S$5:$S$5004,Data!$B$5:$B$5004,$P$6,Data!$C$5:$C$5004,$P$8,Data!$D$5:$D$5004,$P$7,Data!$E$5:$E$5004,$P$9,Data!$F$5:$F$5004,$B98,Data!$G$5:$G$5004,$P$11)+ExOn*SUMIFS(مثال_Example!$S$5:$S$804,مثال_Example!$B$5:$B$804,$P$6,مثال_Example!$C$5:$C$804,$P$8,مثال_Example!$D$5:$D$804,$P$7,مثال_Example!$E$5:$E$804,$P$9,مثال_Example!$F$5:$F$804,$B98,مثال_Example!$G$5:$G$804,$P$11))/$C98)</f>
        <v>—</v>
      </c>
      <c r="F98" s="41" t="str">
        <f aca="false">IF(OR($B98="Baseline",NOT(ISNUMBER(D98)),NOT(ISNUMBER(D$95))),"—",D98-D$95)</f>
        <v>—</v>
      </c>
      <c r="G98" s="41" t="str">
        <f aca="false">IF(OR($B98="Baseline",NOT(ISNUMBER(E98)),NOT(ISNUMBER(E$95))),"—",E98-E$95)</f>
        <v>—</v>
      </c>
      <c r="H98" s="39" t="n">
        <f aca="false">(SUMIFS(Data!$T$5:$T$5004,Data!$B$5:$B$5004,$P$6,Data!$C$5:$C$5004,$P$8,Data!$D$5:$D$5004,$P$7,Data!$E$5:$E$5004,$P$9,Data!$F$5:$F$5004,$B98,Data!$G$5:$G$5004,$P$11)+ExOn*SUMIFS(مثال_Example!$T$5:$T$804,مثال_Example!$B$5:$B$804,$P$6,مثال_Example!$C$5:$C$804,$P$8,مثال_Example!$D$5:$D$804,$P$7,مثال_Example!$E$5:$E$804,$P$9,مثال_Example!$F$5:$F$804,$B98,مثال_Example!$G$5:$G$804,$P$11))+(SUMIFS(Data!$U$5:$U$5004,Data!$B$5:$B$5004,$P$6,Data!$C$5:$C$5004,$P$8,Data!$D$5:$D$5004,$P$7,Data!$E$5:$E$5004,$P$9,Data!$F$5:$F$5004,$B98,Data!$G$5:$G$5004,$P$11)+ExOn*SUMIFS(مثال_Example!$U$5:$U$804,مثال_Example!$B$5:$B$804,$P$6,مثال_Example!$C$5:$C$804,$P$8,مثال_Example!$D$5:$D$804,$P$7,مثال_Example!$E$5:$E$804,$P$9,مثال_Example!$F$5:$F$804,$B98,مثال_Example!$G$5:$G$804,$P$11))+(SUMIFS(Data!$V$5:$V$5004,Data!$B$5:$B$5004,$P$6,Data!$C$5:$C$5004,$P$8,Data!$D$5:$D$5004,$P$7,Data!$E$5:$E$5004,$P$9,Data!$F$5:$F$5004,$B98,Data!$G$5:$G$5004,$P$11)+ExOn*SUMIFS(مثال_Example!$V$5:$V$804,مثال_Example!$B$5:$B$804,$P$6,مثال_Example!$C$5:$C$804,$P$8,مثال_Example!$D$5:$D$804,$P$7,مثال_Example!$E$5:$E$804,$P$9,مثال_Example!$F$5:$F$804,$B98,مثال_Example!$G$5:$G$804,$P$11))</f>
        <v>0</v>
      </c>
      <c r="I98" s="40" t="str">
        <f aca="false">IF($H98=0,"—",(SUMIFS(Data!$T$5:$T$5004,Data!$B$5:$B$5004,$P$6,Data!$C$5:$C$5004,$P$8,Data!$D$5:$D$5004,$P$7,Data!$E$5:$E$5004,$P$9,Data!$F$5:$F$5004,$B98,Data!$G$5:$G$5004,$P$11)+ExOn*SUMIFS(مثال_Example!$T$5:$T$804,مثال_Example!$B$5:$B$804,$P$6,مثال_Example!$C$5:$C$804,$P$8,مثال_Example!$D$5:$D$804,$P$7,مثال_Example!$E$5:$E$804,$P$9,مثال_Example!$F$5:$F$804,$B98,مثال_Example!$G$5:$G$804,$P$11))/$H98)</f>
        <v>—</v>
      </c>
      <c r="J98" s="40" t="str">
        <f aca="false">IF($H98=0,"—",(SUMIFS(Data!$U$5:$U$5004,Data!$B$5:$B$5004,$P$6,Data!$C$5:$C$5004,$P$8,Data!$D$5:$D$5004,$P$7,Data!$E$5:$E$5004,$P$9,Data!$F$5:$F$5004,$B98,Data!$G$5:$G$5004,$P$11)+ExOn*SUMIFS(مثال_Example!$U$5:$U$804,مثال_Example!$B$5:$B$804,$P$6,مثال_Example!$C$5:$C$804,$P$8,مثال_Example!$D$5:$D$804,$P$7,مثال_Example!$E$5:$E$804,$P$9,مثال_Example!$F$5:$F$804,$B98,مثال_Example!$G$5:$G$804,$P$11))/$H98)</f>
        <v>—</v>
      </c>
      <c r="K98" s="40" t="str">
        <f aca="false">IF($H98=0,"—",(SUMIFS(Data!$V$5:$V$5004,Data!$B$5:$B$5004,$P$6,Data!$C$5:$C$5004,$P$8,Data!$D$5:$D$5004,$P$7,Data!$E$5:$E$5004,$P$9,Data!$F$5:$F$5004,$B98,Data!$G$5:$G$5004,$P$11)+ExOn*SUMIFS(مثال_Example!$V$5:$V$804,مثال_Example!$B$5:$B$804,$P$6,مثال_Example!$C$5:$C$804,$P$8,مثال_Example!$D$5:$D$804,$P$7,مثال_Example!$E$5:$E$804,$P$9,مثال_Example!$F$5:$F$804,$B98,مثال_Example!$G$5:$G$804,$P$11))/$H98)</f>
        <v>—</v>
      </c>
      <c r="L98" s="40" t="str">
        <f aca="false">IF($H98=0,"—",((SUMIFS(Data!$U$5:$U$5004,Data!$B$5:$B$5004,$P$6,Data!$C$5:$C$5004,$P$8,Data!$D$5:$D$5004,$P$7,Data!$E$5:$E$5004,$P$9,Data!$F$5:$F$5004,$B98,Data!$G$5:$G$5004,$P$11)+ExOn*SUMIFS(مثال_Example!$U$5:$U$804,مثال_Example!$B$5:$B$804,$P$6,مثال_Example!$C$5:$C$804,$P$8,مثال_Example!$D$5:$D$804,$P$7,مثال_Example!$E$5:$E$804,$P$9,مثال_Example!$F$5:$F$804,$B98,مثال_Example!$G$5:$G$804,$P$11))+(SUMIFS(Data!$V$5:$V$5004,Data!$B$5:$B$5004,$P$6,Data!$C$5:$C$5004,$P$8,Data!$D$5:$D$5004,$P$7,Data!$E$5:$E$5004,$P$9,Data!$F$5:$F$5004,$B98,Data!$G$5:$G$5004,$P$11)+ExOn*SUMIFS(مثال_Example!$V$5:$V$804,مثال_Example!$B$5:$B$804,$P$6,مثال_Example!$C$5:$C$804,$P$8,مثال_Example!$D$5:$D$804,$P$7,مثال_Example!$E$5:$E$804,$P$9,مثال_Example!$F$5:$F$804,$B98,مثال_Example!$G$5:$G$804,$P$11)))/$H98)</f>
        <v>—</v>
      </c>
      <c r="M98" s="42" t="str">
        <f aca="false">IF($C98=0,"لا توجد بيانات",IF(ROUND(IF(ISNUMBER(D98),D98,0),10)&lt;=KeyA_VW,"Very Weak",IF(ROUND(IF(ISNUMBER(D98),D98,0),10)&lt;KeyA_Weak,"Weak",IF(ROUND(IF(ISNUMBER(E98),E98,0),10)&lt;KeyA_Acc,"Acceptable",IF(ROUND(IF(ISNUMBER(E98),E98,0),10)&lt;=KeyA_Good,"Good",IF(ROUND(IF(ISNUMBER(E98),E98,0),10)&lt;KeyA_Out,"Very Good","Outstanding"))))))</f>
        <v>لا توجد بيانات</v>
      </c>
      <c r="N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customFormat="false" ht="21.75" hidden="false" customHeight="true" outlineLevel="0" collapsed="false">
      <c r="A101" s="1"/>
      <c r="B101" s="4" t="s">
        <v>165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"/>
    </row>
    <row r="102" customFormat="false" ht="31.5" hidden="false" customHeight="true" outlineLevel="0" collapsed="false">
      <c r="A102" s="1"/>
      <c r="B102" s="37" t="s">
        <v>101</v>
      </c>
      <c r="C102" s="37" t="s">
        <v>151</v>
      </c>
      <c r="D102" s="37" t="s">
        <v>166</v>
      </c>
      <c r="E102" s="37" t="s">
        <v>152</v>
      </c>
      <c r="F102" s="37" t="s">
        <v>167</v>
      </c>
      <c r="G102" s="37" t="s">
        <v>153</v>
      </c>
      <c r="H102" s="37" t="s">
        <v>161</v>
      </c>
      <c r="I102" s="37" t="s">
        <v>156</v>
      </c>
      <c r="J102" s="37" t="s">
        <v>168</v>
      </c>
      <c r="K102" s="37" t="s">
        <v>169</v>
      </c>
      <c r="L102" s="37" t="s">
        <v>170</v>
      </c>
      <c r="M102" s="37" t="s">
        <v>160</v>
      </c>
      <c r="N102" s="1"/>
    </row>
    <row r="103" customFormat="false" ht="15" hidden="false" customHeight="false" outlineLevel="0" collapsed="false">
      <c r="A103" s="1"/>
      <c r="B103" s="38" t="s">
        <v>171</v>
      </c>
      <c r="C103" s="39" t="n">
        <f aca="false">IF($B103="","",(SUMIFS(Data!$Q$5:$Q$5004,Data!$B$5:$B$5004,$P$6,Data!$C$5:$C$5004,$P$8,Data!$D$5:$D$5004,$B103,Data!$E$5:$E$5004,$P$9,Data!$F$5:$F$5004,$P$10,Data!$G$5:$G$5004,$P$11)+ExOn*SUMIFS(مثال_Example!$Q$5:$Q$804,مثال_Example!$B$5:$B$804,$P$6,مثال_Example!$C$5:$C$804,$P$8,مثال_Example!$D$5:$D$804,$B103,مثال_Example!$E$5:$E$804,$P$9,مثال_Example!$F$5:$F$804,$P$10,مثال_Example!$G$5:$G$804,$P$11)))</f>
        <v>0</v>
      </c>
      <c r="D103" s="39" t="n">
        <f aca="false">IF($B103="","",(SUMIFS(Data!$R$5:$R$5004,Data!$B$5:$B$5004,$P$6,Data!$C$5:$C$5004,$P$8,Data!$D$5:$D$5004,$B103,Data!$E$5:$E$5004,$P$9,Data!$F$5:$F$5004,$P$10,Data!$G$5:$G$5004,$P$11)+ExOn*SUMIFS(مثال_Example!$R$5:$R$804,مثال_Example!$B$5:$B$804,$P$6,مثال_Example!$C$5:$C$804,$P$8,مثال_Example!$D$5:$D$804,$B103,مثال_Example!$E$5:$E$804,$P$9,مثال_Example!$F$5:$F$804,$P$10,مثال_Example!$G$5:$G$804,$P$11)))</f>
        <v>0</v>
      </c>
      <c r="E103" s="40" t="str">
        <f aca="false">IF($B103="","",IF($C103=0,"—",D103/$C103))</f>
        <v>—</v>
      </c>
      <c r="F103" s="39" t="n">
        <f aca="false">IF($B103="","",(SUMIFS(Data!$S$5:$S$5004,Data!$B$5:$B$5004,$P$6,Data!$C$5:$C$5004,$P$8,Data!$D$5:$D$5004,$B103,Data!$E$5:$E$5004,$P$9,Data!$F$5:$F$5004,$P$10,Data!$G$5:$G$5004,$P$11)+ExOn*SUMIFS(مثال_Example!$S$5:$S$804,مثال_Example!$B$5:$B$804,$P$6,مثال_Example!$C$5:$C$804,$P$8,مثال_Example!$D$5:$D$804,$B103,مثال_Example!$E$5:$E$804,$P$9,مثال_Example!$F$5:$F$804,$P$10,مثال_Example!$G$5:$G$804,$P$11)))</f>
        <v>0</v>
      </c>
      <c r="G103" s="40" t="str">
        <f aca="false">IF($B103="","",IF($C103=0,"—",F103/$C103))</f>
        <v>—</v>
      </c>
      <c r="H103" s="42" t="str">
        <f aca="false">IF($B103="","",IF($C103=0,"لا توجد بيانات",IF(ROUND(D103/C103,10)&lt;=KeyA_VW,"Very Weak",IF(ROUND(D103/C103,10)&lt;KeyA_Weak,"Weak",IF(ROUND(F103/C103,10)&lt;KeyA_Acc,"Acceptable",IF(ROUND(F103/C103,10)&lt;=KeyA_Good,"Good",IF(ROUND(F103/C103,10)&lt;KeyA_Out,"Very Good","Outstanding")))))))</f>
        <v>لا توجد بيانات</v>
      </c>
      <c r="I103" s="39" t="n">
        <f aca="false">IF($B103="","",J103+K103+L103)</f>
        <v>0</v>
      </c>
      <c r="J103" s="39" t="n">
        <f aca="false">IF($B103="","",(SUMIFS(Data!$T$5:$T$5004,Data!$B$5:$B$5004,$P$6,Data!$C$5:$C$5004,$P$8,Data!$D$5:$D$5004,$B103,Data!$E$5:$E$5004,$P$9,Data!$F$5:$F$5004,$P$10,Data!$G$5:$G$5004,$P$11)+ExOn*SUMIFS(مثال_Example!$T$5:$T$804,مثال_Example!$B$5:$B$804,$P$6,مثال_Example!$C$5:$C$804,$P$8,مثال_Example!$D$5:$D$804,$B103,مثال_Example!$E$5:$E$804,$P$9,مثال_Example!$F$5:$F$804,$P$10,مثال_Example!$G$5:$G$804,$P$11)))</f>
        <v>0</v>
      </c>
      <c r="K103" s="39" t="n">
        <f aca="false">IF($B103="","",(SUMIFS(Data!$U$5:$U$5004,Data!$B$5:$B$5004,$P$6,Data!$C$5:$C$5004,$P$8,Data!$D$5:$D$5004,$B103,Data!$E$5:$E$5004,$P$9,Data!$F$5:$F$5004,$P$10,Data!$G$5:$G$5004,$P$11)+ExOn*SUMIFS(مثال_Example!$U$5:$U$804,مثال_Example!$B$5:$B$804,$P$6,مثال_Example!$C$5:$C$804,$P$8,مثال_Example!$D$5:$D$804,$B103,مثال_Example!$E$5:$E$804,$P$9,مثال_Example!$F$5:$F$804,$P$10,مثال_Example!$G$5:$G$804,$P$11)))</f>
        <v>0</v>
      </c>
      <c r="L103" s="39" t="n">
        <f aca="false">IF($B103="","",(SUMIFS(Data!$V$5:$V$5004,Data!$B$5:$B$5004,$P$6,Data!$C$5:$C$5004,$P$8,Data!$D$5:$D$5004,$B103,Data!$E$5:$E$5004,$P$9,Data!$F$5:$F$5004,$P$10,Data!$G$5:$G$5004,$P$11)+ExOn*SUMIFS(مثال_Example!$V$5:$V$804,مثال_Example!$B$5:$B$804,$P$6,مثال_Example!$C$5:$C$804,$P$8,مثال_Example!$D$5:$D$804,$B103,مثال_Example!$E$5:$E$804,$P$9,مثال_Example!$F$5:$F$804,$P$10,مثال_Example!$G$5:$G$804,$P$11)))</f>
        <v>0</v>
      </c>
      <c r="M103" s="40" t="str">
        <f aca="false">IF($B103="","",IF(I103=0,"—",(K103+L103)/I103))</f>
        <v>—</v>
      </c>
      <c r="N103" s="1"/>
    </row>
    <row r="104" customFormat="false" ht="15" hidden="false" customHeight="false" outlineLevel="0" collapsed="false">
      <c r="A104" s="1"/>
      <c r="B104" s="38" t="s">
        <v>172</v>
      </c>
      <c r="C104" s="39" t="n">
        <f aca="false">IF($B104="","",(SUMIFS(Data!$Q$5:$Q$5004,Data!$B$5:$B$5004,$P$6,Data!$C$5:$C$5004,$P$8,Data!$D$5:$D$5004,$B104,Data!$E$5:$E$5004,$P$9,Data!$F$5:$F$5004,$P$10,Data!$G$5:$G$5004,$P$11)+ExOn*SUMIFS(مثال_Example!$Q$5:$Q$804,مثال_Example!$B$5:$B$804,$P$6,مثال_Example!$C$5:$C$804,$P$8,مثال_Example!$D$5:$D$804,$B104,مثال_Example!$E$5:$E$804,$P$9,مثال_Example!$F$5:$F$804,$P$10,مثال_Example!$G$5:$G$804,$P$11)))</f>
        <v>0</v>
      </c>
      <c r="D104" s="39" t="n">
        <f aca="false">IF($B104="","",(SUMIFS(Data!$R$5:$R$5004,Data!$B$5:$B$5004,$P$6,Data!$C$5:$C$5004,$P$8,Data!$D$5:$D$5004,$B104,Data!$E$5:$E$5004,$P$9,Data!$F$5:$F$5004,$P$10,Data!$G$5:$G$5004,$P$11)+ExOn*SUMIFS(مثال_Example!$R$5:$R$804,مثال_Example!$B$5:$B$804,$P$6,مثال_Example!$C$5:$C$804,$P$8,مثال_Example!$D$5:$D$804,$B104,مثال_Example!$E$5:$E$804,$P$9,مثال_Example!$F$5:$F$804,$P$10,مثال_Example!$G$5:$G$804,$P$11)))</f>
        <v>0</v>
      </c>
      <c r="E104" s="40" t="str">
        <f aca="false">IF($B104="","",IF($C104=0,"—",D104/$C104))</f>
        <v>—</v>
      </c>
      <c r="F104" s="39" t="n">
        <f aca="false">IF($B104="","",(SUMIFS(Data!$S$5:$S$5004,Data!$B$5:$B$5004,$P$6,Data!$C$5:$C$5004,$P$8,Data!$D$5:$D$5004,$B104,Data!$E$5:$E$5004,$P$9,Data!$F$5:$F$5004,$P$10,Data!$G$5:$G$5004,$P$11)+ExOn*SUMIFS(مثال_Example!$S$5:$S$804,مثال_Example!$B$5:$B$804,$P$6,مثال_Example!$C$5:$C$804,$P$8,مثال_Example!$D$5:$D$804,$B104,مثال_Example!$E$5:$E$804,$P$9,مثال_Example!$F$5:$F$804,$P$10,مثال_Example!$G$5:$G$804,$P$11)))</f>
        <v>0</v>
      </c>
      <c r="G104" s="40" t="str">
        <f aca="false">IF($B104="","",IF($C104=0,"—",F104/$C104))</f>
        <v>—</v>
      </c>
      <c r="H104" s="42" t="str">
        <f aca="false">IF($B104="","",IF($C104=0,"لا توجد بيانات",IF(ROUND(D104/C104,10)&lt;=KeyA_VW,"Very Weak",IF(ROUND(D104/C104,10)&lt;KeyA_Weak,"Weak",IF(ROUND(F104/C104,10)&lt;KeyA_Acc,"Acceptable",IF(ROUND(F104/C104,10)&lt;=KeyA_Good,"Good",IF(ROUND(F104/C104,10)&lt;KeyA_Out,"Very Good","Outstanding")))))))</f>
        <v>لا توجد بيانات</v>
      </c>
      <c r="I104" s="39" t="n">
        <f aca="false">IF($B104="","",J104+K104+L104)</f>
        <v>0</v>
      </c>
      <c r="J104" s="39" t="n">
        <f aca="false">IF($B104="","",(SUMIFS(Data!$T$5:$T$5004,Data!$B$5:$B$5004,$P$6,Data!$C$5:$C$5004,$P$8,Data!$D$5:$D$5004,$B104,Data!$E$5:$E$5004,$P$9,Data!$F$5:$F$5004,$P$10,Data!$G$5:$G$5004,$P$11)+ExOn*SUMIFS(مثال_Example!$T$5:$T$804,مثال_Example!$B$5:$B$804,$P$6,مثال_Example!$C$5:$C$804,$P$8,مثال_Example!$D$5:$D$804,$B104,مثال_Example!$E$5:$E$804,$P$9,مثال_Example!$F$5:$F$804,$P$10,مثال_Example!$G$5:$G$804,$P$11)))</f>
        <v>0</v>
      </c>
      <c r="K104" s="39" t="n">
        <f aca="false">IF($B104="","",(SUMIFS(Data!$U$5:$U$5004,Data!$B$5:$B$5004,$P$6,Data!$C$5:$C$5004,$P$8,Data!$D$5:$D$5004,$B104,Data!$E$5:$E$5004,$P$9,Data!$F$5:$F$5004,$P$10,Data!$G$5:$G$5004,$P$11)+ExOn*SUMIFS(مثال_Example!$U$5:$U$804,مثال_Example!$B$5:$B$804,$P$6,مثال_Example!$C$5:$C$804,$P$8,مثال_Example!$D$5:$D$804,$B104,مثال_Example!$E$5:$E$804,$P$9,مثال_Example!$F$5:$F$804,$P$10,مثال_Example!$G$5:$G$804,$P$11)))</f>
        <v>0</v>
      </c>
      <c r="L104" s="39" t="n">
        <f aca="false">IF($B104="","",(SUMIFS(Data!$V$5:$V$5004,Data!$B$5:$B$5004,$P$6,Data!$C$5:$C$5004,$P$8,Data!$D$5:$D$5004,$B104,Data!$E$5:$E$5004,$P$9,Data!$F$5:$F$5004,$P$10,Data!$G$5:$G$5004,$P$11)+ExOn*SUMIFS(مثال_Example!$V$5:$V$804,مثال_Example!$B$5:$B$804,$P$6,مثال_Example!$C$5:$C$804,$P$8,مثال_Example!$D$5:$D$804,$B104,مثال_Example!$E$5:$E$804,$P$9,مثال_Example!$F$5:$F$804,$P$10,مثال_Example!$G$5:$G$804,$P$11)))</f>
        <v>0</v>
      </c>
      <c r="M104" s="40" t="str">
        <f aca="false">IF($B104="","",IF(I104=0,"—",(K104+L104)/I104))</f>
        <v>—</v>
      </c>
      <c r="N104" s="1"/>
    </row>
    <row r="105" customFormat="false" ht="15" hidden="false" customHeight="false" outlineLevel="0" collapsed="false">
      <c r="A105" s="1"/>
      <c r="B105" s="38" t="s">
        <v>173</v>
      </c>
      <c r="C105" s="39" t="n">
        <f aca="false">IF($B105="","",(SUMIFS(Data!$Q$5:$Q$5004,Data!$B$5:$B$5004,$P$6,Data!$C$5:$C$5004,$P$8,Data!$D$5:$D$5004,$B105,Data!$E$5:$E$5004,$P$9,Data!$F$5:$F$5004,$P$10,Data!$G$5:$G$5004,$P$11)+ExOn*SUMIFS(مثال_Example!$Q$5:$Q$804,مثال_Example!$B$5:$B$804,$P$6,مثال_Example!$C$5:$C$804,$P$8,مثال_Example!$D$5:$D$804,$B105,مثال_Example!$E$5:$E$804,$P$9,مثال_Example!$F$5:$F$804,$P$10,مثال_Example!$G$5:$G$804,$P$11)))</f>
        <v>0</v>
      </c>
      <c r="D105" s="39" t="n">
        <f aca="false">IF($B105="","",(SUMIFS(Data!$R$5:$R$5004,Data!$B$5:$B$5004,$P$6,Data!$C$5:$C$5004,$P$8,Data!$D$5:$D$5004,$B105,Data!$E$5:$E$5004,$P$9,Data!$F$5:$F$5004,$P$10,Data!$G$5:$G$5004,$P$11)+ExOn*SUMIFS(مثال_Example!$R$5:$R$804,مثال_Example!$B$5:$B$804,$P$6,مثال_Example!$C$5:$C$804,$P$8,مثال_Example!$D$5:$D$804,$B105,مثال_Example!$E$5:$E$804,$P$9,مثال_Example!$F$5:$F$804,$P$10,مثال_Example!$G$5:$G$804,$P$11)))</f>
        <v>0</v>
      </c>
      <c r="E105" s="40" t="str">
        <f aca="false">IF($B105="","",IF($C105=0,"—",D105/$C105))</f>
        <v>—</v>
      </c>
      <c r="F105" s="39" t="n">
        <f aca="false">IF($B105="","",(SUMIFS(Data!$S$5:$S$5004,Data!$B$5:$B$5004,$P$6,Data!$C$5:$C$5004,$P$8,Data!$D$5:$D$5004,$B105,Data!$E$5:$E$5004,$P$9,Data!$F$5:$F$5004,$P$10,Data!$G$5:$G$5004,$P$11)+ExOn*SUMIFS(مثال_Example!$S$5:$S$804,مثال_Example!$B$5:$B$804,$P$6,مثال_Example!$C$5:$C$804,$P$8,مثال_Example!$D$5:$D$804,$B105,مثال_Example!$E$5:$E$804,$P$9,مثال_Example!$F$5:$F$804,$P$10,مثال_Example!$G$5:$G$804,$P$11)))</f>
        <v>0</v>
      </c>
      <c r="G105" s="40" t="str">
        <f aca="false">IF($B105="","",IF($C105=0,"—",F105/$C105))</f>
        <v>—</v>
      </c>
      <c r="H105" s="42" t="str">
        <f aca="false">IF($B105="","",IF($C105=0,"لا توجد بيانات",IF(ROUND(D105/C105,10)&lt;=KeyA_VW,"Very Weak",IF(ROUND(D105/C105,10)&lt;KeyA_Weak,"Weak",IF(ROUND(F105/C105,10)&lt;KeyA_Acc,"Acceptable",IF(ROUND(F105/C105,10)&lt;=KeyA_Good,"Good",IF(ROUND(F105/C105,10)&lt;KeyA_Out,"Very Good","Outstanding")))))))</f>
        <v>لا توجد بيانات</v>
      </c>
      <c r="I105" s="39" t="n">
        <f aca="false">IF($B105="","",J105+K105+L105)</f>
        <v>0</v>
      </c>
      <c r="J105" s="39" t="n">
        <f aca="false">IF($B105="","",(SUMIFS(Data!$T$5:$T$5004,Data!$B$5:$B$5004,$P$6,Data!$C$5:$C$5004,$P$8,Data!$D$5:$D$5004,$B105,Data!$E$5:$E$5004,$P$9,Data!$F$5:$F$5004,$P$10,Data!$G$5:$G$5004,$P$11)+ExOn*SUMIFS(مثال_Example!$T$5:$T$804,مثال_Example!$B$5:$B$804,$P$6,مثال_Example!$C$5:$C$804,$P$8,مثال_Example!$D$5:$D$804,$B105,مثال_Example!$E$5:$E$804,$P$9,مثال_Example!$F$5:$F$804,$P$10,مثال_Example!$G$5:$G$804,$P$11)))</f>
        <v>0</v>
      </c>
      <c r="K105" s="39" t="n">
        <f aca="false">IF($B105="","",(SUMIFS(Data!$U$5:$U$5004,Data!$B$5:$B$5004,$P$6,Data!$C$5:$C$5004,$P$8,Data!$D$5:$D$5004,$B105,Data!$E$5:$E$5004,$P$9,Data!$F$5:$F$5004,$P$10,Data!$G$5:$G$5004,$P$11)+ExOn*SUMIFS(مثال_Example!$U$5:$U$804,مثال_Example!$B$5:$B$804,$P$6,مثال_Example!$C$5:$C$804,$P$8,مثال_Example!$D$5:$D$804,$B105,مثال_Example!$E$5:$E$804,$P$9,مثال_Example!$F$5:$F$804,$P$10,مثال_Example!$G$5:$G$804,$P$11)))</f>
        <v>0</v>
      </c>
      <c r="L105" s="39" t="n">
        <f aca="false">IF($B105="","",(SUMIFS(Data!$V$5:$V$5004,Data!$B$5:$B$5004,$P$6,Data!$C$5:$C$5004,$P$8,Data!$D$5:$D$5004,$B105,Data!$E$5:$E$5004,$P$9,Data!$F$5:$F$5004,$P$10,Data!$G$5:$G$5004,$P$11)+ExOn*SUMIFS(مثال_Example!$V$5:$V$804,مثال_Example!$B$5:$B$804,$P$6,مثال_Example!$C$5:$C$804,$P$8,مثال_Example!$D$5:$D$804,$B105,مثال_Example!$E$5:$E$804,$P$9,مثال_Example!$F$5:$F$804,$P$10,مثال_Example!$G$5:$G$804,$P$11)))</f>
        <v>0</v>
      </c>
      <c r="M105" s="40" t="str">
        <f aca="false">IF($B105="","",IF(I105=0,"—",(K105+L105)/I105))</f>
        <v>—</v>
      </c>
      <c r="N105" s="1"/>
    </row>
    <row r="106" customFormat="false" ht="15" hidden="false" customHeight="false" outlineLevel="0" collapsed="false">
      <c r="A106" s="1"/>
      <c r="B106" s="38" t="s">
        <v>174</v>
      </c>
      <c r="C106" s="39" t="n">
        <f aca="false">IF($B106="","",(SUMIFS(Data!$Q$5:$Q$5004,Data!$B$5:$B$5004,$P$6,Data!$C$5:$C$5004,$P$8,Data!$D$5:$D$5004,$B106,Data!$E$5:$E$5004,$P$9,Data!$F$5:$F$5004,$P$10,Data!$G$5:$G$5004,$P$11)+ExOn*SUMIFS(مثال_Example!$Q$5:$Q$804,مثال_Example!$B$5:$B$804,$P$6,مثال_Example!$C$5:$C$804,$P$8,مثال_Example!$D$5:$D$804,$B106,مثال_Example!$E$5:$E$804,$P$9,مثال_Example!$F$5:$F$804,$P$10,مثال_Example!$G$5:$G$804,$P$11)))</f>
        <v>0</v>
      </c>
      <c r="D106" s="39" t="n">
        <f aca="false">IF($B106="","",(SUMIFS(Data!$R$5:$R$5004,Data!$B$5:$B$5004,$P$6,Data!$C$5:$C$5004,$P$8,Data!$D$5:$D$5004,$B106,Data!$E$5:$E$5004,$P$9,Data!$F$5:$F$5004,$P$10,Data!$G$5:$G$5004,$P$11)+ExOn*SUMIFS(مثال_Example!$R$5:$R$804,مثال_Example!$B$5:$B$804,$P$6,مثال_Example!$C$5:$C$804,$P$8,مثال_Example!$D$5:$D$804,$B106,مثال_Example!$E$5:$E$804,$P$9,مثال_Example!$F$5:$F$804,$P$10,مثال_Example!$G$5:$G$804,$P$11)))</f>
        <v>0</v>
      </c>
      <c r="E106" s="40" t="str">
        <f aca="false">IF($B106="","",IF($C106=0,"—",D106/$C106))</f>
        <v>—</v>
      </c>
      <c r="F106" s="39" t="n">
        <f aca="false">IF($B106="","",(SUMIFS(Data!$S$5:$S$5004,Data!$B$5:$B$5004,$P$6,Data!$C$5:$C$5004,$P$8,Data!$D$5:$D$5004,$B106,Data!$E$5:$E$5004,$P$9,Data!$F$5:$F$5004,$P$10,Data!$G$5:$G$5004,$P$11)+ExOn*SUMIFS(مثال_Example!$S$5:$S$804,مثال_Example!$B$5:$B$804,$P$6,مثال_Example!$C$5:$C$804,$P$8,مثال_Example!$D$5:$D$804,$B106,مثال_Example!$E$5:$E$804,$P$9,مثال_Example!$F$5:$F$804,$P$10,مثال_Example!$G$5:$G$804,$P$11)))</f>
        <v>0</v>
      </c>
      <c r="G106" s="40" t="str">
        <f aca="false">IF($B106="","",IF($C106=0,"—",F106/$C106))</f>
        <v>—</v>
      </c>
      <c r="H106" s="42" t="str">
        <f aca="false">IF($B106="","",IF($C106=0,"لا توجد بيانات",IF(ROUND(D106/C106,10)&lt;=KeyA_VW,"Very Weak",IF(ROUND(D106/C106,10)&lt;KeyA_Weak,"Weak",IF(ROUND(F106/C106,10)&lt;KeyA_Acc,"Acceptable",IF(ROUND(F106/C106,10)&lt;=KeyA_Good,"Good",IF(ROUND(F106/C106,10)&lt;KeyA_Out,"Very Good","Outstanding")))))))</f>
        <v>لا توجد بيانات</v>
      </c>
      <c r="I106" s="39" t="n">
        <f aca="false">IF($B106="","",J106+K106+L106)</f>
        <v>0</v>
      </c>
      <c r="J106" s="39" t="n">
        <f aca="false">IF($B106="","",(SUMIFS(Data!$T$5:$T$5004,Data!$B$5:$B$5004,$P$6,Data!$C$5:$C$5004,$P$8,Data!$D$5:$D$5004,$B106,Data!$E$5:$E$5004,$P$9,Data!$F$5:$F$5004,$P$10,Data!$G$5:$G$5004,$P$11)+ExOn*SUMIFS(مثال_Example!$T$5:$T$804,مثال_Example!$B$5:$B$804,$P$6,مثال_Example!$C$5:$C$804,$P$8,مثال_Example!$D$5:$D$804,$B106,مثال_Example!$E$5:$E$804,$P$9,مثال_Example!$F$5:$F$804,$P$10,مثال_Example!$G$5:$G$804,$P$11)))</f>
        <v>0</v>
      </c>
      <c r="K106" s="39" t="n">
        <f aca="false">IF($B106="","",(SUMIFS(Data!$U$5:$U$5004,Data!$B$5:$B$5004,$P$6,Data!$C$5:$C$5004,$P$8,Data!$D$5:$D$5004,$B106,Data!$E$5:$E$5004,$P$9,Data!$F$5:$F$5004,$P$10,Data!$G$5:$G$5004,$P$11)+ExOn*SUMIFS(مثال_Example!$U$5:$U$804,مثال_Example!$B$5:$B$804,$P$6,مثال_Example!$C$5:$C$804,$P$8,مثال_Example!$D$5:$D$804,$B106,مثال_Example!$E$5:$E$804,$P$9,مثال_Example!$F$5:$F$804,$P$10,مثال_Example!$G$5:$G$804,$P$11)))</f>
        <v>0</v>
      </c>
      <c r="L106" s="39" t="n">
        <f aca="false">IF($B106="","",(SUMIFS(Data!$V$5:$V$5004,Data!$B$5:$B$5004,$P$6,Data!$C$5:$C$5004,$P$8,Data!$D$5:$D$5004,$B106,Data!$E$5:$E$5004,$P$9,Data!$F$5:$F$5004,$P$10,Data!$G$5:$G$5004,$P$11)+ExOn*SUMIFS(مثال_Example!$V$5:$V$804,مثال_Example!$B$5:$B$804,$P$6,مثال_Example!$C$5:$C$804,$P$8,مثال_Example!$D$5:$D$804,$B106,مثال_Example!$E$5:$E$804,$P$9,مثال_Example!$F$5:$F$804,$P$10,مثال_Example!$G$5:$G$804,$P$11)))</f>
        <v>0</v>
      </c>
      <c r="M106" s="40" t="str">
        <f aca="false">IF($B106="","",IF(I106=0,"—",(K106+L106)/I106))</f>
        <v>—</v>
      </c>
      <c r="N106" s="1"/>
    </row>
    <row r="107" customFormat="false" ht="15" hidden="false" customHeight="false" outlineLevel="0" collapsed="false">
      <c r="A107" s="1"/>
      <c r="B107" s="38" t="s">
        <v>175</v>
      </c>
      <c r="C107" s="39" t="n">
        <f aca="false">IF($B107="","",(SUMIFS(Data!$Q$5:$Q$5004,Data!$B$5:$B$5004,$P$6,Data!$C$5:$C$5004,$P$8,Data!$D$5:$D$5004,$B107,Data!$E$5:$E$5004,$P$9,Data!$F$5:$F$5004,$P$10,Data!$G$5:$G$5004,$P$11)+ExOn*SUMIFS(مثال_Example!$Q$5:$Q$804,مثال_Example!$B$5:$B$804,$P$6,مثال_Example!$C$5:$C$804,$P$8,مثال_Example!$D$5:$D$804,$B107,مثال_Example!$E$5:$E$804,$P$9,مثال_Example!$F$5:$F$804,$P$10,مثال_Example!$G$5:$G$804,$P$11)))</f>
        <v>0</v>
      </c>
      <c r="D107" s="39" t="n">
        <f aca="false">IF($B107="","",(SUMIFS(Data!$R$5:$R$5004,Data!$B$5:$B$5004,$P$6,Data!$C$5:$C$5004,$P$8,Data!$D$5:$D$5004,$B107,Data!$E$5:$E$5004,$P$9,Data!$F$5:$F$5004,$P$10,Data!$G$5:$G$5004,$P$11)+ExOn*SUMIFS(مثال_Example!$R$5:$R$804,مثال_Example!$B$5:$B$804,$P$6,مثال_Example!$C$5:$C$804,$P$8,مثال_Example!$D$5:$D$804,$B107,مثال_Example!$E$5:$E$804,$P$9,مثال_Example!$F$5:$F$804,$P$10,مثال_Example!$G$5:$G$804,$P$11)))</f>
        <v>0</v>
      </c>
      <c r="E107" s="40" t="str">
        <f aca="false">IF($B107="","",IF($C107=0,"—",D107/$C107))</f>
        <v>—</v>
      </c>
      <c r="F107" s="39" t="n">
        <f aca="false">IF($B107="","",(SUMIFS(Data!$S$5:$S$5004,Data!$B$5:$B$5004,$P$6,Data!$C$5:$C$5004,$P$8,Data!$D$5:$D$5004,$B107,Data!$E$5:$E$5004,$P$9,Data!$F$5:$F$5004,$P$10,Data!$G$5:$G$5004,$P$11)+ExOn*SUMIFS(مثال_Example!$S$5:$S$804,مثال_Example!$B$5:$B$804,$P$6,مثال_Example!$C$5:$C$804,$P$8,مثال_Example!$D$5:$D$804,$B107,مثال_Example!$E$5:$E$804,$P$9,مثال_Example!$F$5:$F$804,$P$10,مثال_Example!$G$5:$G$804,$P$11)))</f>
        <v>0</v>
      </c>
      <c r="G107" s="40" t="str">
        <f aca="false">IF($B107="","",IF($C107=0,"—",F107/$C107))</f>
        <v>—</v>
      </c>
      <c r="H107" s="42" t="str">
        <f aca="false">IF($B107="","",IF($C107=0,"لا توجد بيانات",IF(ROUND(D107/C107,10)&lt;=KeyA_VW,"Very Weak",IF(ROUND(D107/C107,10)&lt;KeyA_Weak,"Weak",IF(ROUND(F107/C107,10)&lt;KeyA_Acc,"Acceptable",IF(ROUND(F107/C107,10)&lt;=KeyA_Good,"Good",IF(ROUND(F107/C107,10)&lt;KeyA_Out,"Very Good","Outstanding")))))))</f>
        <v>لا توجد بيانات</v>
      </c>
      <c r="I107" s="39" t="n">
        <f aca="false">IF($B107="","",J107+K107+L107)</f>
        <v>0</v>
      </c>
      <c r="J107" s="39" t="n">
        <f aca="false">IF($B107="","",(SUMIFS(Data!$T$5:$T$5004,Data!$B$5:$B$5004,$P$6,Data!$C$5:$C$5004,$P$8,Data!$D$5:$D$5004,$B107,Data!$E$5:$E$5004,$P$9,Data!$F$5:$F$5004,$P$10,Data!$G$5:$G$5004,$P$11)+ExOn*SUMIFS(مثال_Example!$T$5:$T$804,مثال_Example!$B$5:$B$804,$P$6,مثال_Example!$C$5:$C$804,$P$8,مثال_Example!$D$5:$D$804,$B107,مثال_Example!$E$5:$E$804,$P$9,مثال_Example!$F$5:$F$804,$P$10,مثال_Example!$G$5:$G$804,$P$11)))</f>
        <v>0</v>
      </c>
      <c r="K107" s="39" t="n">
        <f aca="false">IF($B107="","",(SUMIFS(Data!$U$5:$U$5004,Data!$B$5:$B$5004,$P$6,Data!$C$5:$C$5004,$P$8,Data!$D$5:$D$5004,$B107,Data!$E$5:$E$5004,$P$9,Data!$F$5:$F$5004,$P$10,Data!$G$5:$G$5004,$P$11)+ExOn*SUMIFS(مثال_Example!$U$5:$U$804,مثال_Example!$B$5:$B$804,$P$6,مثال_Example!$C$5:$C$804,$P$8,مثال_Example!$D$5:$D$804,$B107,مثال_Example!$E$5:$E$804,$P$9,مثال_Example!$F$5:$F$804,$P$10,مثال_Example!$G$5:$G$804,$P$11)))</f>
        <v>0</v>
      </c>
      <c r="L107" s="39" t="n">
        <f aca="false">IF($B107="","",(SUMIFS(Data!$V$5:$V$5004,Data!$B$5:$B$5004,$P$6,Data!$C$5:$C$5004,$P$8,Data!$D$5:$D$5004,$B107,Data!$E$5:$E$5004,$P$9,Data!$F$5:$F$5004,$P$10,Data!$G$5:$G$5004,$P$11)+ExOn*SUMIFS(مثال_Example!$V$5:$V$804,مثال_Example!$B$5:$B$804,$P$6,مثال_Example!$C$5:$C$804,$P$8,مثال_Example!$D$5:$D$804,$B107,مثال_Example!$E$5:$E$804,$P$9,مثال_Example!$F$5:$F$804,$P$10,مثال_Example!$G$5:$G$804,$P$11)))</f>
        <v>0</v>
      </c>
      <c r="M107" s="40" t="str">
        <f aca="false">IF($B107="","",IF(I107=0,"—",(K107+L107)/I107))</f>
        <v>—</v>
      </c>
      <c r="N107" s="1"/>
    </row>
    <row r="108" customFormat="false" ht="15" hidden="false" customHeight="false" outlineLevel="0" collapsed="false">
      <c r="A108" s="1"/>
      <c r="B108" s="38" t="s">
        <v>176</v>
      </c>
      <c r="C108" s="39" t="n">
        <f aca="false">IF($B108="","",(SUMIFS(Data!$Q$5:$Q$5004,Data!$B$5:$B$5004,$P$6,Data!$C$5:$C$5004,$P$8,Data!$D$5:$D$5004,$B108,Data!$E$5:$E$5004,$P$9,Data!$F$5:$F$5004,$P$10,Data!$G$5:$G$5004,$P$11)+ExOn*SUMIFS(مثال_Example!$Q$5:$Q$804,مثال_Example!$B$5:$B$804,$P$6,مثال_Example!$C$5:$C$804,$P$8,مثال_Example!$D$5:$D$804,$B108,مثال_Example!$E$5:$E$804,$P$9,مثال_Example!$F$5:$F$804,$P$10,مثال_Example!$G$5:$G$804,$P$11)))</f>
        <v>0</v>
      </c>
      <c r="D108" s="39" t="n">
        <f aca="false">IF($B108="","",(SUMIFS(Data!$R$5:$R$5004,Data!$B$5:$B$5004,$P$6,Data!$C$5:$C$5004,$P$8,Data!$D$5:$D$5004,$B108,Data!$E$5:$E$5004,$P$9,Data!$F$5:$F$5004,$P$10,Data!$G$5:$G$5004,$P$11)+ExOn*SUMIFS(مثال_Example!$R$5:$R$804,مثال_Example!$B$5:$B$804,$P$6,مثال_Example!$C$5:$C$804,$P$8,مثال_Example!$D$5:$D$804,$B108,مثال_Example!$E$5:$E$804,$P$9,مثال_Example!$F$5:$F$804,$P$10,مثال_Example!$G$5:$G$804,$P$11)))</f>
        <v>0</v>
      </c>
      <c r="E108" s="40" t="str">
        <f aca="false">IF($B108="","",IF($C108=0,"—",D108/$C108))</f>
        <v>—</v>
      </c>
      <c r="F108" s="39" t="n">
        <f aca="false">IF($B108="","",(SUMIFS(Data!$S$5:$S$5004,Data!$B$5:$B$5004,$P$6,Data!$C$5:$C$5004,$P$8,Data!$D$5:$D$5004,$B108,Data!$E$5:$E$5004,$P$9,Data!$F$5:$F$5004,$P$10,Data!$G$5:$G$5004,$P$11)+ExOn*SUMIFS(مثال_Example!$S$5:$S$804,مثال_Example!$B$5:$B$804,$P$6,مثال_Example!$C$5:$C$804,$P$8,مثال_Example!$D$5:$D$804,$B108,مثال_Example!$E$5:$E$804,$P$9,مثال_Example!$F$5:$F$804,$P$10,مثال_Example!$G$5:$G$804,$P$11)))</f>
        <v>0</v>
      </c>
      <c r="G108" s="40" t="str">
        <f aca="false">IF($B108="","",IF($C108=0,"—",F108/$C108))</f>
        <v>—</v>
      </c>
      <c r="H108" s="42" t="str">
        <f aca="false">IF($B108="","",IF($C108=0,"لا توجد بيانات",IF(ROUND(D108/C108,10)&lt;=KeyA_VW,"Very Weak",IF(ROUND(D108/C108,10)&lt;KeyA_Weak,"Weak",IF(ROUND(F108/C108,10)&lt;KeyA_Acc,"Acceptable",IF(ROUND(F108/C108,10)&lt;=KeyA_Good,"Good",IF(ROUND(F108/C108,10)&lt;KeyA_Out,"Very Good","Outstanding")))))))</f>
        <v>لا توجد بيانات</v>
      </c>
      <c r="I108" s="39" t="n">
        <f aca="false">IF($B108="","",J108+K108+L108)</f>
        <v>0</v>
      </c>
      <c r="J108" s="39" t="n">
        <f aca="false">IF($B108="","",(SUMIFS(Data!$T$5:$T$5004,Data!$B$5:$B$5004,$P$6,Data!$C$5:$C$5004,$P$8,Data!$D$5:$D$5004,$B108,Data!$E$5:$E$5004,$P$9,Data!$F$5:$F$5004,$P$10,Data!$G$5:$G$5004,$P$11)+ExOn*SUMIFS(مثال_Example!$T$5:$T$804,مثال_Example!$B$5:$B$804,$P$6,مثال_Example!$C$5:$C$804,$P$8,مثال_Example!$D$5:$D$804,$B108,مثال_Example!$E$5:$E$804,$P$9,مثال_Example!$F$5:$F$804,$P$10,مثال_Example!$G$5:$G$804,$P$11)))</f>
        <v>0</v>
      </c>
      <c r="K108" s="39" t="n">
        <f aca="false">IF($B108="","",(SUMIFS(Data!$U$5:$U$5004,Data!$B$5:$B$5004,$P$6,Data!$C$5:$C$5004,$P$8,Data!$D$5:$D$5004,$B108,Data!$E$5:$E$5004,$P$9,Data!$F$5:$F$5004,$P$10,Data!$G$5:$G$5004,$P$11)+ExOn*SUMIFS(مثال_Example!$U$5:$U$804,مثال_Example!$B$5:$B$804,$P$6,مثال_Example!$C$5:$C$804,$P$8,مثال_Example!$D$5:$D$804,$B108,مثال_Example!$E$5:$E$804,$P$9,مثال_Example!$F$5:$F$804,$P$10,مثال_Example!$G$5:$G$804,$P$11)))</f>
        <v>0</v>
      </c>
      <c r="L108" s="39" t="n">
        <f aca="false">IF($B108="","",(SUMIFS(Data!$V$5:$V$5004,Data!$B$5:$B$5004,$P$6,Data!$C$5:$C$5004,$P$8,Data!$D$5:$D$5004,$B108,Data!$E$5:$E$5004,$P$9,Data!$F$5:$F$5004,$P$10,Data!$G$5:$G$5004,$P$11)+ExOn*SUMIFS(مثال_Example!$V$5:$V$804,مثال_Example!$B$5:$B$804,$P$6,مثال_Example!$C$5:$C$804,$P$8,مثال_Example!$D$5:$D$804,$B108,مثال_Example!$E$5:$E$804,$P$9,مثال_Example!$F$5:$F$804,$P$10,مثال_Example!$G$5:$G$804,$P$11)))</f>
        <v>0</v>
      </c>
      <c r="M108" s="40" t="str">
        <f aca="false">IF($B108="","",IF(I108=0,"—",(K108+L108)/I108))</f>
        <v>—</v>
      </c>
      <c r="N108" s="1"/>
    </row>
    <row r="109" customFormat="false" ht="15" hidden="false" customHeight="false" outlineLevel="0" collapsed="false">
      <c r="A109" s="1"/>
      <c r="B109" s="38" t="s">
        <v>177</v>
      </c>
      <c r="C109" s="39" t="n">
        <f aca="false">IF($B109="","",(SUMIFS(Data!$Q$5:$Q$5004,Data!$B$5:$B$5004,$P$6,Data!$C$5:$C$5004,$P$8,Data!$D$5:$D$5004,$B109,Data!$E$5:$E$5004,$P$9,Data!$F$5:$F$5004,$P$10,Data!$G$5:$G$5004,$P$11)+ExOn*SUMIFS(مثال_Example!$Q$5:$Q$804,مثال_Example!$B$5:$B$804,$P$6,مثال_Example!$C$5:$C$804,$P$8,مثال_Example!$D$5:$D$804,$B109,مثال_Example!$E$5:$E$804,$P$9,مثال_Example!$F$5:$F$804,$P$10,مثال_Example!$G$5:$G$804,$P$11)))</f>
        <v>0</v>
      </c>
      <c r="D109" s="39" t="n">
        <f aca="false">IF($B109="","",(SUMIFS(Data!$R$5:$R$5004,Data!$B$5:$B$5004,$P$6,Data!$C$5:$C$5004,$P$8,Data!$D$5:$D$5004,$B109,Data!$E$5:$E$5004,$P$9,Data!$F$5:$F$5004,$P$10,Data!$G$5:$G$5004,$P$11)+ExOn*SUMIFS(مثال_Example!$R$5:$R$804,مثال_Example!$B$5:$B$804,$P$6,مثال_Example!$C$5:$C$804,$P$8,مثال_Example!$D$5:$D$804,$B109,مثال_Example!$E$5:$E$804,$P$9,مثال_Example!$F$5:$F$804,$P$10,مثال_Example!$G$5:$G$804,$P$11)))</f>
        <v>0</v>
      </c>
      <c r="E109" s="40" t="str">
        <f aca="false">IF($B109="","",IF($C109=0,"—",D109/$C109))</f>
        <v>—</v>
      </c>
      <c r="F109" s="39" t="n">
        <f aca="false">IF($B109="","",(SUMIFS(Data!$S$5:$S$5004,Data!$B$5:$B$5004,$P$6,Data!$C$5:$C$5004,$P$8,Data!$D$5:$D$5004,$B109,Data!$E$5:$E$5004,$P$9,Data!$F$5:$F$5004,$P$10,Data!$G$5:$G$5004,$P$11)+ExOn*SUMIFS(مثال_Example!$S$5:$S$804,مثال_Example!$B$5:$B$804,$P$6,مثال_Example!$C$5:$C$804,$P$8,مثال_Example!$D$5:$D$804,$B109,مثال_Example!$E$5:$E$804,$P$9,مثال_Example!$F$5:$F$804,$P$10,مثال_Example!$G$5:$G$804,$P$11)))</f>
        <v>0</v>
      </c>
      <c r="G109" s="40" t="str">
        <f aca="false">IF($B109="","",IF($C109=0,"—",F109/$C109))</f>
        <v>—</v>
      </c>
      <c r="H109" s="42" t="str">
        <f aca="false">IF($B109="","",IF($C109=0,"لا توجد بيانات",IF(ROUND(D109/C109,10)&lt;=KeyA_VW,"Very Weak",IF(ROUND(D109/C109,10)&lt;KeyA_Weak,"Weak",IF(ROUND(F109/C109,10)&lt;KeyA_Acc,"Acceptable",IF(ROUND(F109/C109,10)&lt;=KeyA_Good,"Good",IF(ROUND(F109/C109,10)&lt;KeyA_Out,"Very Good","Outstanding")))))))</f>
        <v>لا توجد بيانات</v>
      </c>
      <c r="I109" s="39" t="n">
        <f aca="false">IF($B109="","",J109+K109+L109)</f>
        <v>0</v>
      </c>
      <c r="J109" s="39" t="n">
        <f aca="false">IF($B109="","",(SUMIFS(Data!$T$5:$T$5004,Data!$B$5:$B$5004,$P$6,Data!$C$5:$C$5004,$P$8,Data!$D$5:$D$5004,$B109,Data!$E$5:$E$5004,$P$9,Data!$F$5:$F$5004,$P$10,Data!$G$5:$G$5004,$P$11)+ExOn*SUMIFS(مثال_Example!$T$5:$T$804,مثال_Example!$B$5:$B$804,$P$6,مثال_Example!$C$5:$C$804,$P$8,مثال_Example!$D$5:$D$804,$B109,مثال_Example!$E$5:$E$804,$P$9,مثال_Example!$F$5:$F$804,$P$10,مثال_Example!$G$5:$G$804,$P$11)))</f>
        <v>0</v>
      </c>
      <c r="K109" s="39" t="n">
        <f aca="false">IF($B109="","",(SUMIFS(Data!$U$5:$U$5004,Data!$B$5:$B$5004,$P$6,Data!$C$5:$C$5004,$P$8,Data!$D$5:$D$5004,$B109,Data!$E$5:$E$5004,$P$9,Data!$F$5:$F$5004,$P$10,Data!$G$5:$G$5004,$P$11)+ExOn*SUMIFS(مثال_Example!$U$5:$U$804,مثال_Example!$B$5:$B$804,$P$6,مثال_Example!$C$5:$C$804,$P$8,مثال_Example!$D$5:$D$804,$B109,مثال_Example!$E$5:$E$804,$P$9,مثال_Example!$F$5:$F$804,$P$10,مثال_Example!$G$5:$G$804,$P$11)))</f>
        <v>0</v>
      </c>
      <c r="L109" s="39" t="n">
        <f aca="false">IF($B109="","",(SUMIFS(Data!$V$5:$V$5004,Data!$B$5:$B$5004,$P$6,Data!$C$5:$C$5004,$P$8,Data!$D$5:$D$5004,$B109,Data!$E$5:$E$5004,$P$9,Data!$F$5:$F$5004,$P$10,Data!$G$5:$G$5004,$P$11)+ExOn*SUMIFS(مثال_Example!$V$5:$V$804,مثال_Example!$B$5:$B$804,$P$6,مثال_Example!$C$5:$C$804,$P$8,مثال_Example!$D$5:$D$804,$B109,مثال_Example!$E$5:$E$804,$P$9,مثال_Example!$F$5:$F$804,$P$10,مثال_Example!$G$5:$G$804,$P$11)))</f>
        <v>0</v>
      </c>
      <c r="M109" s="40" t="str">
        <f aca="false">IF($B109="","",IF(I109=0,"—",(K109+L109)/I109))</f>
        <v>—</v>
      </c>
      <c r="N109" s="1"/>
    </row>
    <row r="110" customFormat="false" ht="15" hidden="false" customHeight="false" outlineLevel="0" collapsed="false">
      <c r="A110" s="1"/>
      <c r="B110" s="38" t="s">
        <v>178</v>
      </c>
      <c r="C110" s="39" t="n">
        <f aca="false">IF($B110="","",(SUMIFS(Data!$Q$5:$Q$5004,Data!$B$5:$B$5004,$P$6,Data!$C$5:$C$5004,$P$8,Data!$D$5:$D$5004,$B110,Data!$E$5:$E$5004,$P$9,Data!$F$5:$F$5004,$P$10,Data!$G$5:$G$5004,$P$11)+ExOn*SUMIFS(مثال_Example!$Q$5:$Q$804,مثال_Example!$B$5:$B$804,$P$6,مثال_Example!$C$5:$C$804,$P$8,مثال_Example!$D$5:$D$804,$B110,مثال_Example!$E$5:$E$804,$P$9,مثال_Example!$F$5:$F$804,$P$10,مثال_Example!$G$5:$G$804,$P$11)))</f>
        <v>0</v>
      </c>
      <c r="D110" s="39" t="n">
        <f aca="false">IF($B110="","",(SUMIFS(Data!$R$5:$R$5004,Data!$B$5:$B$5004,$P$6,Data!$C$5:$C$5004,$P$8,Data!$D$5:$D$5004,$B110,Data!$E$5:$E$5004,$P$9,Data!$F$5:$F$5004,$P$10,Data!$G$5:$G$5004,$P$11)+ExOn*SUMIFS(مثال_Example!$R$5:$R$804,مثال_Example!$B$5:$B$804,$P$6,مثال_Example!$C$5:$C$804,$P$8,مثال_Example!$D$5:$D$804,$B110,مثال_Example!$E$5:$E$804,$P$9,مثال_Example!$F$5:$F$804,$P$10,مثال_Example!$G$5:$G$804,$P$11)))</f>
        <v>0</v>
      </c>
      <c r="E110" s="40" t="str">
        <f aca="false">IF($B110="","",IF($C110=0,"—",D110/$C110))</f>
        <v>—</v>
      </c>
      <c r="F110" s="39" t="n">
        <f aca="false">IF($B110="","",(SUMIFS(Data!$S$5:$S$5004,Data!$B$5:$B$5004,$P$6,Data!$C$5:$C$5004,$P$8,Data!$D$5:$D$5004,$B110,Data!$E$5:$E$5004,$P$9,Data!$F$5:$F$5004,$P$10,Data!$G$5:$G$5004,$P$11)+ExOn*SUMIFS(مثال_Example!$S$5:$S$804,مثال_Example!$B$5:$B$804,$P$6,مثال_Example!$C$5:$C$804,$P$8,مثال_Example!$D$5:$D$804,$B110,مثال_Example!$E$5:$E$804,$P$9,مثال_Example!$F$5:$F$804,$P$10,مثال_Example!$G$5:$G$804,$P$11)))</f>
        <v>0</v>
      </c>
      <c r="G110" s="40" t="str">
        <f aca="false">IF($B110="","",IF($C110=0,"—",F110/$C110))</f>
        <v>—</v>
      </c>
      <c r="H110" s="42" t="str">
        <f aca="false">IF($B110="","",IF($C110=0,"لا توجد بيانات",IF(ROUND(D110/C110,10)&lt;=KeyA_VW,"Very Weak",IF(ROUND(D110/C110,10)&lt;KeyA_Weak,"Weak",IF(ROUND(F110/C110,10)&lt;KeyA_Acc,"Acceptable",IF(ROUND(F110/C110,10)&lt;=KeyA_Good,"Good",IF(ROUND(F110/C110,10)&lt;KeyA_Out,"Very Good","Outstanding")))))))</f>
        <v>لا توجد بيانات</v>
      </c>
      <c r="I110" s="39" t="n">
        <f aca="false">IF($B110="","",J110+K110+L110)</f>
        <v>0</v>
      </c>
      <c r="J110" s="39" t="n">
        <f aca="false">IF($B110="","",(SUMIFS(Data!$T$5:$T$5004,Data!$B$5:$B$5004,$P$6,Data!$C$5:$C$5004,$P$8,Data!$D$5:$D$5004,$B110,Data!$E$5:$E$5004,$P$9,Data!$F$5:$F$5004,$P$10,Data!$G$5:$G$5004,$P$11)+ExOn*SUMIFS(مثال_Example!$T$5:$T$804,مثال_Example!$B$5:$B$804,$P$6,مثال_Example!$C$5:$C$804,$P$8,مثال_Example!$D$5:$D$804,$B110,مثال_Example!$E$5:$E$804,$P$9,مثال_Example!$F$5:$F$804,$P$10,مثال_Example!$G$5:$G$804,$P$11)))</f>
        <v>0</v>
      </c>
      <c r="K110" s="39" t="n">
        <f aca="false">IF($B110="","",(SUMIFS(Data!$U$5:$U$5004,Data!$B$5:$B$5004,$P$6,Data!$C$5:$C$5004,$P$8,Data!$D$5:$D$5004,$B110,Data!$E$5:$E$5004,$P$9,Data!$F$5:$F$5004,$P$10,Data!$G$5:$G$5004,$P$11)+ExOn*SUMIFS(مثال_Example!$U$5:$U$804,مثال_Example!$B$5:$B$804,$P$6,مثال_Example!$C$5:$C$804,$P$8,مثال_Example!$D$5:$D$804,$B110,مثال_Example!$E$5:$E$804,$P$9,مثال_Example!$F$5:$F$804,$P$10,مثال_Example!$G$5:$G$804,$P$11)))</f>
        <v>0</v>
      </c>
      <c r="L110" s="39" t="n">
        <f aca="false">IF($B110="","",(SUMIFS(Data!$V$5:$V$5004,Data!$B$5:$B$5004,$P$6,Data!$C$5:$C$5004,$P$8,Data!$D$5:$D$5004,$B110,Data!$E$5:$E$5004,$P$9,Data!$F$5:$F$5004,$P$10,Data!$G$5:$G$5004,$P$11)+ExOn*SUMIFS(مثال_Example!$V$5:$V$804,مثال_Example!$B$5:$B$804,$P$6,مثال_Example!$C$5:$C$804,$P$8,مثال_Example!$D$5:$D$804,$B110,مثال_Example!$E$5:$E$804,$P$9,مثال_Example!$F$5:$F$804,$P$10,مثال_Example!$G$5:$G$804,$P$11)))</f>
        <v>0</v>
      </c>
      <c r="M110" s="40" t="str">
        <f aca="false">IF($B110="","",IF(I110=0,"—",(K110+L110)/I110))</f>
        <v>—</v>
      </c>
      <c r="N110" s="1"/>
    </row>
    <row r="111" customFormat="false" ht="15" hidden="false" customHeight="false" outlineLevel="0" collapsed="false">
      <c r="A111" s="1"/>
      <c r="B111" s="38" t="s">
        <v>179</v>
      </c>
      <c r="C111" s="39" t="n">
        <f aca="false">IF($B111="","",(SUMIFS(Data!$Q$5:$Q$5004,Data!$B$5:$B$5004,$P$6,Data!$C$5:$C$5004,$P$8,Data!$D$5:$D$5004,$B111,Data!$E$5:$E$5004,$P$9,Data!$F$5:$F$5004,$P$10,Data!$G$5:$G$5004,$P$11)+ExOn*SUMIFS(مثال_Example!$Q$5:$Q$804,مثال_Example!$B$5:$B$804,$P$6,مثال_Example!$C$5:$C$804,$P$8,مثال_Example!$D$5:$D$804,$B111,مثال_Example!$E$5:$E$804,$P$9,مثال_Example!$F$5:$F$804,$P$10,مثال_Example!$G$5:$G$804,$P$11)))</f>
        <v>0</v>
      </c>
      <c r="D111" s="39" t="n">
        <f aca="false">IF($B111="","",(SUMIFS(Data!$R$5:$R$5004,Data!$B$5:$B$5004,$P$6,Data!$C$5:$C$5004,$P$8,Data!$D$5:$D$5004,$B111,Data!$E$5:$E$5004,$P$9,Data!$F$5:$F$5004,$P$10,Data!$G$5:$G$5004,$P$11)+ExOn*SUMIFS(مثال_Example!$R$5:$R$804,مثال_Example!$B$5:$B$804,$P$6,مثال_Example!$C$5:$C$804,$P$8,مثال_Example!$D$5:$D$804,$B111,مثال_Example!$E$5:$E$804,$P$9,مثال_Example!$F$5:$F$804,$P$10,مثال_Example!$G$5:$G$804,$P$11)))</f>
        <v>0</v>
      </c>
      <c r="E111" s="40" t="str">
        <f aca="false">IF($B111="","",IF($C111=0,"—",D111/$C111))</f>
        <v>—</v>
      </c>
      <c r="F111" s="39" t="n">
        <f aca="false">IF($B111="","",(SUMIFS(Data!$S$5:$S$5004,Data!$B$5:$B$5004,$P$6,Data!$C$5:$C$5004,$P$8,Data!$D$5:$D$5004,$B111,Data!$E$5:$E$5004,$P$9,Data!$F$5:$F$5004,$P$10,Data!$G$5:$G$5004,$P$11)+ExOn*SUMIFS(مثال_Example!$S$5:$S$804,مثال_Example!$B$5:$B$804,$P$6,مثال_Example!$C$5:$C$804,$P$8,مثال_Example!$D$5:$D$804,$B111,مثال_Example!$E$5:$E$804,$P$9,مثال_Example!$F$5:$F$804,$P$10,مثال_Example!$G$5:$G$804,$P$11)))</f>
        <v>0</v>
      </c>
      <c r="G111" s="40" t="str">
        <f aca="false">IF($B111="","",IF($C111=0,"—",F111/$C111))</f>
        <v>—</v>
      </c>
      <c r="H111" s="42" t="str">
        <f aca="false">IF($B111="","",IF($C111=0,"لا توجد بيانات",IF(ROUND(D111/C111,10)&lt;=KeyA_VW,"Very Weak",IF(ROUND(D111/C111,10)&lt;KeyA_Weak,"Weak",IF(ROUND(F111/C111,10)&lt;KeyA_Acc,"Acceptable",IF(ROUND(F111/C111,10)&lt;=KeyA_Good,"Good",IF(ROUND(F111/C111,10)&lt;KeyA_Out,"Very Good","Outstanding")))))))</f>
        <v>لا توجد بيانات</v>
      </c>
      <c r="I111" s="39" t="n">
        <f aca="false">IF($B111="","",J111+K111+L111)</f>
        <v>0</v>
      </c>
      <c r="J111" s="39" t="n">
        <f aca="false">IF($B111="","",(SUMIFS(Data!$T$5:$T$5004,Data!$B$5:$B$5004,$P$6,Data!$C$5:$C$5004,$P$8,Data!$D$5:$D$5004,$B111,Data!$E$5:$E$5004,$P$9,Data!$F$5:$F$5004,$P$10,Data!$G$5:$G$5004,$P$11)+ExOn*SUMIFS(مثال_Example!$T$5:$T$804,مثال_Example!$B$5:$B$804,$P$6,مثال_Example!$C$5:$C$804,$P$8,مثال_Example!$D$5:$D$804,$B111,مثال_Example!$E$5:$E$804,$P$9,مثال_Example!$F$5:$F$804,$P$10,مثال_Example!$G$5:$G$804,$P$11)))</f>
        <v>0</v>
      </c>
      <c r="K111" s="39" t="n">
        <f aca="false">IF($B111="","",(SUMIFS(Data!$U$5:$U$5004,Data!$B$5:$B$5004,$P$6,Data!$C$5:$C$5004,$P$8,Data!$D$5:$D$5004,$B111,Data!$E$5:$E$5004,$P$9,Data!$F$5:$F$5004,$P$10,Data!$G$5:$G$5004,$P$11)+ExOn*SUMIFS(مثال_Example!$U$5:$U$804,مثال_Example!$B$5:$B$804,$P$6,مثال_Example!$C$5:$C$804,$P$8,مثال_Example!$D$5:$D$804,$B111,مثال_Example!$E$5:$E$804,$P$9,مثال_Example!$F$5:$F$804,$P$10,مثال_Example!$G$5:$G$804,$P$11)))</f>
        <v>0</v>
      </c>
      <c r="L111" s="39" t="n">
        <f aca="false">IF($B111="","",(SUMIFS(Data!$V$5:$V$5004,Data!$B$5:$B$5004,$P$6,Data!$C$5:$C$5004,$P$8,Data!$D$5:$D$5004,$B111,Data!$E$5:$E$5004,$P$9,Data!$F$5:$F$5004,$P$10,Data!$G$5:$G$5004,$P$11)+ExOn*SUMIFS(مثال_Example!$V$5:$V$804,مثال_Example!$B$5:$B$804,$P$6,مثال_Example!$C$5:$C$804,$P$8,مثال_Example!$D$5:$D$804,$B111,مثال_Example!$E$5:$E$804,$P$9,مثال_Example!$F$5:$F$804,$P$10,مثال_Example!$G$5:$G$804,$P$11)))</f>
        <v>0</v>
      </c>
      <c r="M111" s="40" t="str">
        <f aca="false">IF($B111="","",IF(I111=0,"—",(K111+L111)/I111))</f>
        <v>—</v>
      </c>
      <c r="N111" s="1"/>
    </row>
    <row r="112" customFormat="false" ht="15" hidden="false" customHeight="false" outlineLevel="0" collapsed="false">
      <c r="A112" s="1"/>
      <c r="B112" s="38" t="s">
        <v>180</v>
      </c>
      <c r="C112" s="39" t="n">
        <f aca="false">IF($B112="","",(SUMIFS(Data!$Q$5:$Q$5004,Data!$B$5:$B$5004,$P$6,Data!$C$5:$C$5004,$P$8,Data!$D$5:$D$5004,$B112,Data!$E$5:$E$5004,$P$9,Data!$F$5:$F$5004,$P$10,Data!$G$5:$G$5004,$P$11)+ExOn*SUMIFS(مثال_Example!$Q$5:$Q$804,مثال_Example!$B$5:$B$804,$P$6,مثال_Example!$C$5:$C$804,$P$8,مثال_Example!$D$5:$D$804,$B112,مثال_Example!$E$5:$E$804,$P$9,مثال_Example!$F$5:$F$804,$P$10,مثال_Example!$G$5:$G$804,$P$11)))</f>
        <v>0</v>
      </c>
      <c r="D112" s="39" t="n">
        <f aca="false">IF($B112="","",(SUMIFS(Data!$R$5:$R$5004,Data!$B$5:$B$5004,$P$6,Data!$C$5:$C$5004,$P$8,Data!$D$5:$D$5004,$B112,Data!$E$5:$E$5004,$P$9,Data!$F$5:$F$5004,$P$10,Data!$G$5:$G$5004,$P$11)+ExOn*SUMIFS(مثال_Example!$R$5:$R$804,مثال_Example!$B$5:$B$804,$P$6,مثال_Example!$C$5:$C$804,$P$8,مثال_Example!$D$5:$D$804,$B112,مثال_Example!$E$5:$E$804,$P$9,مثال_Example!$F$5:$F$804,$P$10,مثال_Example!$G$5:$G$804,$P$11)))</f>
        <v>0</v>
      </c>
      <c r="E112" s="40" t="str">
        <f aca="false">IF($B112="","",IF($C112=0,"—",D112/$C112))</f>
        <v>—</v>
      </c>
      <c r="F112" s="39" t="n">
        <f aca="false">IF($B112="","",(SUMIFS(Data!$S$5:$S$5004,Data!$B$5:$B$5004,$P$6,Data!$C$5:$C$5004,$P$8,Data!$D$5:$D$5004,$B112,Data!$E$5:$E$5004,$P$9,Data!$F$5:$F$5004,$P$10,Data!$G$5:$G$5004,$P$11)+ExOn*SUMIFS(مثال_Example!$S$5:$S$804,مثال_Example!$B$5:$B$804,$P$6,مثال_Example!$C$5:$C$804,$P$8,مثال_Example!$D$5:$D$804,$B112,مثال_Example!$E$5:$E$804,$P$9,مثال_Example!$F$5:$F$804,$P$10,مثال_Example!$G$5:$G$804,$P$11)))</f>
        <v>0</v>
      </c>
      <c r="G112" s="40" t="str">
        <f aca="false">IF($B112="","",IF($C112=0,"—",F112/$C112))</f>
        <v>—</v>
      </c>
      <c r="H112" s="42" t="str">
        <f aca="false">IF($B112="","",IF($C112=0,"لا توجد بيانات",IF(ROUND(D112/C112,10)&lt;=KeyA_VW,"Very Weak",IF(ROUND(D112/C112,10)&lt;KeyA_Weak,"Weak",IF(ROUND(F112/C112,10)&lt;KeyA_Acc,"Acceptable",IF(ROUND(F112/C112,10)&lt;=KeyA_Good,"Good",IF(ROUND(F112/C112,10)&lt;KeyA_Out,"Very Good","Outstanding")))))))</f>
        <v>لا توجد بيانات</v>
      </c>
      <c r="I112" s="39" t="n">
        <f aca="false">IF($B112="","",J112+K112+L112)</f>
        <v>0</v>
      </c>
      <c r="J112" s="39" t="n">
        <f aca="false">IF($B112="","",(SUMIFS(Data!$T$5:$T$5004,Data!$B$5:$B$5004,$P$6,Data!$C$5:$C$5004,$P$8,Data!$D$5:$D$5004,$B112,Data!$E$5:$E$5004,$P$9,Data!$F$5:$F$5004,$P$10,Data!$G$5:$G$5004,$P$11)+ExOn*SUMIFS(مثال_Example!$T$5:$T$804,مثال_Example!$B$5:$B$804,$P$6,مثال_Example!$C$5:$C$804,$P$8,مثال_Example!$D$5:$D$804,$B112,مثال_Example!$E$5:$E$804,$P$9,مثال_Example!$F$5:$F$804,$P$10,مثال_Example!$G$5:$G$804,$P$11)))</f>
        <v>0</v>
      </c>
      <c r="K112" s="39" t="n">
        <f aca="false">IF($B112="","",(SUMIFS(Data!$U$5:$U$5004,Data!$B$5:$B$5004,$P$6,Data!$C$5:$C$5004,$P$8,Data!$D$5:$D$5004,$B112,Data!$E$5:$E$5004,$P$9,Data!$F$5:$F$5004,$P$10,Data!$G$5:$G$5004,$P$11)+ExOn*SUMIFS(مثال_Example!$U$5:$U$804,مثال_Example!$B$5:$B$804,$P$6,مثال_Example!$C$5:$C$804,$P$8,مثال_Example!$D$5:$D$804,$B112,مثال_Example!$E$5:$E$804,$P$9,مثال_Example!$F$5:$F$804,$P$10,مثال_Example!$G$5:$G$804,$P$11)))</f>
        <v>0</v>
      </c>
      <c r="L112" s="39" t="n">
        <f aca="false">IF($B112="","",(SUMIFS(Data!$V$5:$V$5004,Data!$B$5:$B$5004,$P$6,Data!$C$5:$C$5004,$P$8,Data!$D$5:$D$5004,$B112,Data!$E$5:$E$5004,$P$9,Data!$F$5:$F$5004,$P$10,Data!$G$5:$G$5004,$P$11)+ExOn*SUMIFS(مثال_Example!$V$5:$V$804,مثال_Example!$B$5:$B$804,$P$6,مثال_Example!$C$5:$C$804,$P$8,مثال_Example!$D$5:$D$804,$B112,مثال_Example!$E$5:$E$804,$P$9,مثال_Example!$F$5:$F$804,$P$10,مثال_Example!$G$5:$G$804,$P$11)))</f>
        <v>0</v>
      </c>
      <c r="M112" s="40" t="str">
        <f aca="false">IF($B112="","",IF(I112=0,"—",(K112+L112)/I112))</f>
        <v>—</v>
      </c>
      <c r="N112" s="1"/>
    </row>
    <row r="113" customFormat="false" ht="15" hidden="false" customHeight="false" outlineLevel="0" collapsed="false">
      <c r="A113" s="1"/>
      <c r="B113" s="38" t="s">
        <v>181</v>
      </c>
      <c r="C113" s="39" t="n">
        <f aca="false">IF($B113="","",(SUMIFS(Data!$Q$5:$Q$5004,Data!$B$5:$B$5004,$P$6,Data!$C$5:$C$5004,$P$8,Data!$D$5:$D$5004,$B113,Data!$E$5:$E$5004,$P$9,Data!$F$5:$F$5004,$P$10,Data!$G$5:$G$5004,$P$11)+ExOn*SUMIFS(مثال_Example!$Q$5:$Q$804,مثال_Example!$B$5:$B$804,$P$6,مثال_Example!$C$5:$C$804,$P$8,مثال_Example!$D$5:$D$804,$B113,مثال_Example!$E$5:$E$804,$P$9,مثال_Example!$F$5:$F$804,$P$10,مثال_Example!$G$5:$G$804,$P$11)))</f>
        <v>0</v>
      </c>
      <c r="D113" s="39" t="n">
        <f aca="false">IF($B113="","",(SUMIFS(Data!$R$5:$R$5004,Data!$B$5:$B$5004,$P$6,Data!$C$5:$C$5004,$P$8,Data!$D$5:$D$5004,$B113,Data!$E$5:$E$5004,$P$9,Data!$F$5:$F$5004,$P$10,Data!$G$5:$G$5004,$P$11)+ExOn*SUMIFS(مثال_Example!$R$5:$R$804,مثال_Example!$B$5:$B$804,$P$6,مثال_Example!$C$5:$C$804,$P$8,مثال_Example!$D$5:$D$804,$B113,مثال_Example!$E$5:$E$804,$P$9,مثال_Example!$F$5:$F$804,$P$10,مثال_Example!$G$5:$G$804,$P$11)))</f>
        <v>0</v>
      </c>
      <c r="E113" s="40" t="str">
        <f aca="false">IF($B113="","",IF($C113=0,"—",D113/$C113))</f>
        <v>—</v>
      </c>
      <c r="F113" s="39" t="n">
        <f aca="false">IF($B113="","",(SUMIFS(Data!$S$5:$S$5004,Data!$B$5:$B$5004,$P$6,Data!$C$5:$C$5004,$P$8,Data!$D$5:$D$5004,$B113,Data!$E$5:$E$5004,$P$9,Data!$F$5:$F$5004,$P$10,Data!$G$5:$G$5004,$P$11)+ExOn*SUMIFS(مثال_Example!$S$5:$S$804,مثال_Example!$B$5:$B$804,$P$6,مثال_Example!$C$5:$C$804,$P$8,مثال_Example!$D$5:$D$804,$B113,مثال_Example!$E$5:$E$804,$P$9,مثال_Example!$F$5:$F$804,$P$10,مثال_Example!$G$5:$G$804,$P$11)))</f>
        <v>0</v>
      </c>
      <c r="G113" s="40" t="str">
        <f aca="false">IF($B113="","",IF($C113=0,"—",F113/$C113))</f>
        <v>—</v>
      </c>
      <c r="H113" s="42" t="str">
        <f aca="false">IF($B113="","",IF($C113=0,"لا توجد بيانات",IF(ROUND(D113/C113,10)&lt;=KeyA_VW,"Very Weak",IF(ROUND(D113/C113,10)&lt;KeyA_Weak,"Weak",IF(ROUND(F113/C113,10)&lt;KeyA_Acc,"Acceptable",IF(ROUND(F113/C113,10)&lt;=KeyA_Good,"Good",IF(ROUND(F113/C113,10)&lt;KeyA_Out,"Very Good","Outstanding")))))))</f>
        <v>لا توجد بيانات</v>
      </c>
      <c r="I113" s="39" t="n">
        <f aca="false">IF($B113="","",J113+K113+L113)</f>
        <v>0</v>
      </c>
      <c r="J113" s="39" t="n">
        <f aca="false">IF($B113="","",(SUMIFS(Data!$T$5:$T$5004,Data!$B$5:$B$5004,$P$6,Data!$C$5:$C$5004,$P$8,Data!$D$5:$D$5004,$B113,Data!$E$5:$E$5004,$P$9,Data!$F$5:$F$5004,$P$10,Data!$G$5:$G$5004,$P$11)+ExOn*SUMIFS(مثال_Example!$T$5:$T$804,مثال_Example!$B$5:$B$804,$P$6,مثال_Example!$C$5:$C$804,$P$8,مثال_Example!$D$5:$D$804,$B113,مثال_Example!$E$5:$E$804,$P$9,مثال_Example!$F$5:$F$804,$P$10,مثال_Example!$G$5:$G$804,$P$11)))</f>
        <v>0</v>
      </c>
      <c r="K113" s="39" t="n">
        <f aca="false">IF($B113="","",(SUMIFS(Data!$U$5:$U$5004,Data!$B$5:$B$5004,$P$6,Data!$C$5:$C$5004,$P$8,Data!$D$5:$D$5004,$B113,Data!$E$5:$E$5004,$P$9,Data!$F$5:$F$5004,$P$10,Data!$G$5:$G$5004,$P$11)+ExOn*SUMIFS(مثال_Example!$U$5:$U$804,مثال_Example!$B$5:$B$804,$P$6,مثال_Example!$C$5:$C$804,$P$8,مثال_Example!$D$5:$D$804,$B113,مثال_Example!$E$5:$E$804,$P$9,مثال_Example!$F$5:$F$804,$P$10,مثال_Example!$G$5:$G$804,$P$11)))</f>
        <v>0</v>
      </c>
      <c r="L113" s="39" t="n">
        <f aca="false">IF($B113="","",(SUMIFS(Data!$V$5:$V$5004,Data!$B$5:$B$5004,$P$6,Data!$C$5:$C$5004,$P$8,Data!$D$5:$D$5004,$B113,Data!$E$5:$E$5004,$P$9,Data!$F$5:$F$5004,$P$10,Data!$G$5:$G$5004,$P$11)+ExOn*SUMIFS(مثال_Example!$V$5:$V$804,مثال_Example!$B$5:$B$804,$P$6,مثال_Example!$C$5:$C$804,$P$8,مثال_Example!$D$5:$D$804,$B113,مثال_Example!$E$5:$E$804,$P$9,مثال_Example!$F$5:$F$804,$P$10,مثال_Example!$G$5:$G$804,$P$11)))</f>
        <v>0</v>
      </c>
      <c r="M113" s="40" t="str">
        <f aca="false">IF($B113="","",IF(I113=0,"—",(K113+L113)/I113))</f>
        <v>—</v>
      </c>
      <c r="N113" s="1"/>
    </row>
    <row r="114" customFormat="false" ht="15" hidden="false" customHeight="false" outlineLevel="0" collapsed="false">
      <c r="A114" s="1"/>
      <c r="B114" s="38" t="s">
        <v>182</v>
      </c>
      <c r="C114" s="39" t="n">
        <f aca="false">IF($B114="","",(SUMIFS(Data!$Q$5:$Q$5004,Data!$B$5:$B$5004,$P$6,Data!$C$5:$C$5004,$P$8,Data!$D$5:$D$5004,$B114,Data!$E$5:$E$5004,$P$9,Data!$F$5:$F$5004,$P$10,Data!$G$5:$G$5004,$P$11)+ExOn*SUMIFS(مثال_Example!$Q$5:$Q$804,مثال_Example!$B$5:$B$804,$P$6,مثال_Example!$C$5:$C$804,$P$8,مثال_Example!$D$5:$D$804,$B114,مثال_Example!$E$5:$E$804,$P$9,مثال_Example!$F$5:$F$804,$P$10,مثال_Example!$G$5:$G$804,$P$11)))</f>
        <v>0</v>
      </c>
      <c r="D114" s="39" t="n">
        <f aca="false">IF($B114="","",(SUMIFS(Data!$R$5:$R$5004,Data!$B$5:$B$5004,$P$6,Data!$C$5:$C$5004,$P$8,Data!$D$5:$D$5004,$B114,Data!$E$5:$E$5004,$P$9,Data!$F$5:$F$5004,$P$10,Data!$G$5:$G$5004,$P$11)+ExOn*SUMIFS(مثال_Example!$R$5:$R$804,مثال_Example!$B$5:$B$804,$P$6,مثال_Example!$C$5:$C$804,$P$8,مثال_Example!$D$5:$D$804,$B114,مثال_Example!$E$5:$E$804,$P$9,مثال_Example!$F$5:$F$804,$P$10,مثال_Example!$G$5:$G$804,$P$11)))</f>
        <v>0</v>
      </c>
      <c r="E114" s="40" t="str">
        <f aca="false">IF($B114="","",IF($C114=0,"—",D114/$C114))</f>
        <v>—</v>
      </c>
      <c r="F114" s="39" t="n">
        <f aca="false">IF($B114="","",(SUMIFS(Data!$S$5:$S$5004,Data!$B$5:$B$5004,$P$6,Data!$C$5:$C$5004,$P$8,Data!$D$5:$D$5004,$B114,Data!$E$5:$E$5004,$P$9,Data!$F$5:$F$5004,$P$10,Data!$G$5:$G$5004,$P$11)+ExOn*SUMIFS(مثال_Example!$S$5:$S$804,مثال_Example!$B$5:$B$804,$P$6,مثال_Example!$C$5:$C$804,$P$8,مثال_Example!$D$5:$D$804,$B114,مثال_Example!$E$5:$E$804,$P$9,مثال_Example!$F$5:$F$804,$P$10,مثال_Example!$G$5:$G$804,$P$11)))</f>
        <v>0</v>
      </c>
      <c r="G114" s="40" t="str">
        <f aca="false">IF($B114="","",IF($C114=0,"—",F114/$C114))</f>
        <v>—</v>
      </c>
      <c r="H114" s="42" t="str">
        <f aca="false">IF($B114="","",IF($C114=0,"لا توجد بيانات",IF(ROUND(D114/C114,10)&lt;=KeyA_VW,"Very Weak",IF(ROUND(D114/C114,10)&lt;KeyA_Weak,"Weak",IF(ROUND(F114/C114,10)&lt;KeyA_Acc,"Acceptable",IF(ROUND(F114/C114,10)&lt;=KeyA_Good,"Good",IF(ROUND(F114/C114,10)&lt;KeyA_Out,"Very Good","Outstanding")))))))</f>
        <v>لا توجد بيانات</v>
      </c>
      <c r="I114" s="39" t="n">
        <f aca="false">IF($B114="","",J114+K114+L114)</f>
        <v>0</v>
      </c>
      <c r="J114" s="39" t="n">
        <f aca="false">IF($B114="","",(SUMIFS(Data!$T$5:$T$5004,Data!$B$5:$B$5004,$P$6,Data!$C$5:$C$5004,$P$8,Data!$D$5:$D$5004,$B114,Data!$E$5:$E$5004,$P$9,Data!$F$5:$F$5004,$P$10,Data!$G$5:$G$5004,$P$11)+ExOn*SUMIFS(مثال_Example!$T$5:$T$804,مثال_Example!$B$5:$B$804,$P$6,مثال_Example!$C$5:$C$804,$P$8,مثال_Example!$D$5:$D$804,$B114,مثال_Example!$E$5:$E$804,$P$9,مثال_Example!$F$5:$F$804,$P$10,مثال_Example!$G$5:$G$804,$P$11)))</f>
        <v>0</v>
      </c>
      <c r="K114" s="39" t="n">
        <f aca="false">IF($B114="","",(SUMIFS(Data!$U$5:$U$5004,Data!$B$5:$B$5004,$P$6,Data!$C$5:$C$5004,$P$8,Data!$D$5:$D$5004,$B114,Data!$E$5:$E$5004,$P$9,Data!$F$5:$F$5004,$P$10,Data!$G$5:$G$5004,$P$11)+ExOn*SUMIFS(مثال_Example!$U$5:$U$804,مثال_Example!$B$5:$B$804,$P$6,مثال_Example!$C$5:$C$804,$P$8,مثال_Example!$D$5:$D$804,$B114,مثال_Example!$E$5:$E$804,$P$9,مثال_Example!$F$5:$F$804,$P$10,مثال_Example!$G$5:$G$804,$P$11)))</f>
        <v>0</v>
      </c>
      <c r="L114" s="39" t="n">
        <f aca="false">IF($B114="","",(SUMIFS(Data!$V$5:$V$5004,Data!$B$5:$B$5004,$P$6,Data!$C$5:$C$5004,$P$8,Data!$D$5:$D$5004,$B114,Data!$E$5:$E$5004,$P$9,Data!$F$5:$F$5004,$P$10,Data!$G$5:$G$5004,$P$11)+ExOn*SUMIFS(مثال_Example!$V$5:$V$804,مثال_Example!$B$5:$B$804,$P$6,مثال_Example!$C$5:$C$804,$P$8,مثال_Example!$D$5:$D$804,$B114,مثال_Example!$E$5:$E$804,$P$9,مثال_Example!$F$5:$F$804,$P$10,مثال_Example!$G$5:$G$804,$P$11)))</f>
        <v>0</v>
      </c>
      <c r="M114" s="40" t="str">
        <f aca="false">IF($B114="","",IF(I114=0,"—",(K114+L114)/I114))</f>
        <v>—</v>
      </c>
      <c r="N114" s="1"/>
    </row>
    <row r="115" customFormat="false" ht="23.85" hidden="false" customHeight="false" outlineLevel="0" collapsed="false">
      <c r="A115" s="1"/>
      <c r="B115" s="43" t="s">
        <v>183</v>
      </c>
      <c r="C115" s="44" t="n">
        <f aca="false">SUM(C103:C114)</f>
        <v>0</v>
      </c>
      <c r="D115" s="44" t="n">
        <f aca="false">SUM(D103:D114)</f>
        <v>0</v>
      </c>
      <c r="E115" s="45" t="str">
        <f aca="false">IF(C115=0,"—",D115/C115)</f>
        <v>—</v>
      </c>
      <c r="F115" s="44" t="n">
        <f aca="false">SUM(F103:F114)</f>
        <v>0</v>
      </c>
      <c r="G115" s="45" t="str">
        <f aca="false">IF(C115=0,"—",F115/C115)</f>
        <v>—</v>
      </c>
      <c r="H115" s="38" t="str">
        <f aca="false">IF(C115=0,"لا توجد بيانات",IF(ROUND(D115/C115,10)&lt;=KeyA_VW,"Very Weak",IF(ROUND(D115/C115,10)&lt;KeyA_Weak,"Weak",IF(ROUND(F115/C115,10)&lt;KeyA_Acc,"Acceptable",IF(ROUND(F115/C115,10)&lt;=KeyA_Good,"Good",IF(ROUND(F115/C115,10)&lt;KeyA_Out,"Very Good","Outstanding"))))))</f>
        <v>لا توجد بيانات</v>
      </c>
      <c r="I115" s="44" t="n">
        <f aca="false">SUM(I103:I114)</f>
        <v>0</v>
      </c>
      <c r="J115" s="44" t="n">
        <f aca="false">SUM(J103:J114)</f>
        <v>0</v>
      </c>
      <c r="K115" s="44" t="n">
        <f aca="false">SUM(K103:K114)</f>
        <v>0</v>
      </c>
      <c r="L115" s="44" t="n">
        <f aca="false">SUM(L103:L114)</f>
        <v>0</v>
      </c>
      <c r="M115" s="45" t="str">
        <f aca="false">IF(I115=0,"—",(K115+L115)/I115)</f>
        <v>—</v>
      </c>
      <c r="N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customFormat="false" ht="21.75" hidden="false" customHeight="true" outlineLevel="0" collapsed="false">
      <c r="A117" s="1"/>
      <c r="B117" s="4" t="s">
        <v>184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1"/>
    </row>
    <row r="118" customFormat="false" ht="31.5" hidden="false" customHeight="true" outlineLevel="0" collapsed="false">
      <c r="A118" s="1"/>
      <c r="B118" s="37" t="s">
        <v>101</v>
      </c>
      <c r="C118" s="37" t="s">
        <v>156</v>
      </c>
      <c r="D118" s="37" t="s">
        <v>168</v>
      </c>
      <c r="E118" s="37" t="s">
        <v>157</v>
      </c>
      <c r="F118" s="37" t="s">
        <v>169</v>
      </c>
      <c r="G118" s="37" t="s">
        <v>158</v>
      </c>
      <c r="H118" s="37" t="s">
        <v>170</v>
      </c>
      <c r="I118" s="37" t="s">
        <v>159</v>
      </c>
      <c r="J118" s="37" t="s">
        <v>185</v>
      </c>
      <c r="K118" s="37" t="s">
        <v>186</v>
      </c>
      <c r="L118" s="37" t="s">
        <v>187</v>
      </c>
      <c r="M118" s="37" t="s">
        <v>188</v>
      </c>
      <c r="N118" s="1"/>
    </row>
    <row r="119" customFormat="false" ht="15" hidden="false" customHeight="false" outlineLevel="0" collapsed="false">
      <c r="A119" s="1"/>
      <c r="B119" s="38" t="str">
        <f aca="false">B103</f>
        <v>Year 2</v>
      </c>
      <c r="C119" s="39" t="n">
        <f aca="false">IF($B119="","",I103)</f>
        <v>0</v>
      </c>
      <c r="D119" s="39" t="n">
        <f aca="false">IF($B119="","",J103)</f>
        <v>0</v>
      </c>
      <c r="E119" s="40" t="str">
        <f aca="false">IF($B119="","",IF($C119=0,"—",D119/$C119))</f>
        <v>—</v>
      </c>
      <c r="F119" s="39" t="n">
        <f aca="false">IF($B119="","",K103)</f>
        <v>0</v>
      </c>
      <c r="G119" s="40" t="str">
        <f aca="false">IF($B119="","",IF($C119=0,"—",F119/$C119))</f>
        <v>—</v>
      </c>
      <c r="H119" s="39" t="n">
        <f aca="false">IF($B119="","",L103)</f>
        <v>0</v>
      </c>
      <c r="I119" s="40" t="str">
        <f aca="false">IF($B119="","",IF($C119=0,"—",H119/$C119))</f>
        <v>—</v>
      </c>
      <c r="J119" s="39" t="n">
        <f aca="false">IF($B119="","",F119+H119)</f>
        <v>0</v>
      </c>
      <c r="K119" s="40" t="str">
        <f aca="false">IF($B119="","",IF($C119=0,"—",J119/$C119))</f>
        <v>—</v>
      </c>
      <c r="L119" s="42" t="str">
        <f aca="false">IF($B119="","",IF($C119=0,"لا توجد بيانات",IF(ROUND(J119/C119,10)&lt;=KeyP_VW,"Very Weak",IF(ROUND(J119/C119,10)&lt;KeyP_Weak,"Weak",IF(ROUND(H119/C119,10)&lt;KeyP_Acc,"Acceptable",IF(ROUND(H119/C119,10)&lt;=KeyP_Good,"Good",IF(ROUND(H119/C119,10)&lt;KeyP_Out,"Very Good","Outstanding")))))))</f>
        <v>لا توجد بيانات</v>
      </c>
      <c r="M119" s="39" t="n">
        <f aca="false">IF($B119="","",(SUMIFS(Data!$W$5:$W$5004,Data!$B$5:$B$5004,$P$6,Data!$C$5:$C$5004,$P$8,Data!$D$5:$D$5004,$B119,Data!$E$5:$E$5004,$P$9,Data!$F$5:$F$5004,$P$10,Data!$G$5:$G$5004,$P$11)+ExOn*SUMIFS(مثال_Example!$W$5:$W$804,مثال_Example!$B$5:$B$804,$P$6,مثال_Example!$C$5:$C$804,$P$8,مثال_Example!$D$5:$D$804,$B119,مثال_Example!$E$5:$E$804,$P$9,مثال_Example!$F$5:$F$804,$P$10,مثال_Example!$G$5:$G$804,$P$11))+(SUMIFS(Data!$X$5:$X$5004,Data!$B$5:$B$5004,$P$6,Data!$C$5:$C$5004,$P$8,Data!$D$5:$D$5004,$B119,Data!$E$5:$E$5004,$P$9,Data!$F$5:$F$5004,$P$10,Data!$G$5:$G$5004,$P$11)+ExOn*SUMIFS(مثال_Example!$X$5:$X$804,مثال_Example!$B$5:$B$804,$P$6,مثال_Example!$C$5:$C$804,$P$8,مثال_Example!$D$5:$D$804,$B119,مثال_Example!$E$5:$E$804,$P$9,مثال_Example!$F$5:$F$804,$P$10,مثال_Example!$G$5:$G$804,$P$11)))</f>
        <v>0</v>
      </c>
      <c r="N119" s="1"/>
    </row>
    <row r="120" customFormat="false" ht="15" hidden="false" customHeight="false" outlineLevel="0" collapsed="false">
      <c r="A120" s="1"/>
      <c r="B120" s="38" t="str">
        <f aca="false">B104</f>
        <v>Year 3</v>
      </c>
      <c r="C120" s="39" t="n">
        <f aca="false">IF($B120="","",I104)</f>
        <v>0</v>
      </c>
      <c r="D120" s="39" t="n">
        <f aca="false">IF($B120="","",J104)</f>
        <v>0</v>
      </c>
      <c r="E120" s="40" t="str">
        <f aca="false">IF($B120="","",IF($C120=0,"—",D120/$C120))</f>
        <v>—</v>
      </c>
      <c r="F120" s="39" t="n">
        <f aca="false">IF($B120="","",K104)</f>
        <v>0</v>
      </c>
      <c r="G120" s="40" t="str">
        <f aca="false">IF($B120="","",IF($C120=0,"—",F120/$C120))</f>
        <v>—</v>
      </c>
      <c r="H120" s="39" t="n">
        <f aca="false">IF($B120="","",L104)</f>
        <v>0</v>
      </c>
      <c r="I120" s="40" t="str">
        <f aca="false">IF($B120="","",IF($C120=0,"—",H120/$C120))</f>
        <v>—</v>
      </c>
      <c r="J120" s="39" t="n">
        <f aca="false">IF($B120="","",F120+H120)</f>
        <v>0</v>
      </c>
      <c r="K120" s="40" t="str">
        <f aca="false">IF($B120="","",IF($C120=0,"—",J120/$C120))</f>
        <v>—</v>
      </c>
      <c r="L120" s="42" t="str">
        <f aca="false">IF($B120="","",IF($C120=0,"لا توجد بيانات",IF(ROUND(J120/C120,10)&lt;=KeyP_VW,"Very Weak",IF(ROUND(J120/C120,10)&lt;KeyP_Weak,"Weak",IF(ROUND(H120/C120,10)&lt;KeyP_Acc,"Acceptable",IF(ROUND(H120/C120,10)&lt;=KeyP_Good,"Good",IF(ROUND(H120/C120,10)&lt;KeyP_Out,"Very Good","Outstanding")))))))</f>
        <v>لا توجد بيانات</v>
      </c>
      <c r="M120" s="39" t="n">
        <f aca="false">IF($B120="","",(SUMIFS(Data!$W$5:$W$5004,Data!$B$5:$B$5004,$P$6,Data!$C$5:$C$5004,$P$8,Data!$D$5:$D$5004,$B120,Data!$E$5:$E$5004,$P$9,Data!$F$5:$F$5004,$P$10,Data!$G$5:$G$5004,$P$11)+ExOn*SUMIFS(مثال_Example!$W$5:$W$804,مثال_Example!$B$5:$B$804,$P$6,مثال_Example!$C$5:$C$804,$P$8,مثال_Example!$D$5:$D$804,$B120,مثال_Example!$E$5:$E$804,$P$9,مثال_Example!$F$5:$F$804,$P$10,مثال_Example!$G$5:$G$804,$P$11))+(SUMIFS(Data!$X$5:$X$5004,Data!$B$5:$B$5004,$P$6,Data!$C$5:$C$5004,$P$8,Data!$D$5:$D$5004,$B120,Data!$E$5:$E$5004,$P$9,Data!$F$5:$F$5004,$P$10,Data!$G$5:$G$5004,$P$11)+ExOn*SUMIFS(مثال_Example!$X$5:$X$804,مثال_Example!$B$5:$B$804,$P$6,مثال_Example!$C$5:$C$804,$P$8,مثال_Example!$D$5:$D$804,$B120,مثال_Example!$E$5:$E$804,$P$9,مثال_Example!$F$5:$F$804,$P$10,مثال_Example!$G$5:$G$804,$P$11)))</f>
        <v>0</v>
      </c>
      <c r="N120" s="1"/>
    </row>
    <row r="121" customFormat="false" ht="15" hidden="false" customHeight="false" outlineLevel="0" collapsed="false">
      <c r="A121" s="1"/>
      <c r="B121" s="38" t="str">
        <f aca="false">B105</f>
        <v>Year 4</v>
      </c>
      <c r="C121" s="39" t="n">
        <f aca="false">IF($B121="","",I105)</f>
        <v>0</v>
      </c>
      <c r="D121" s="39" t="n">
        <f aca="false">IF($B121="","",J105)</f>
        <v>0</v>
      </c>
      <c r="E121" s="40" t="str">
        <f aca="false">IF($B121="","",IF($C121=0,"—",D121/$C121))</f>
        <v>—</v>
      </c>
      <c r="F121" s="39" t="n">
        <f aca="false">IF($B121="","",K105)</f>
        <v>0</v>
      </c>
      <c r="G121" s="40" t="str">
        <f aca="false">IF($B121="","",IF($C121=0,"—",F121/$C121))</f>
        <v>—</v>
      </c>
      <c r="H121" s="39" t="n">
        <f aca="false">IF($B121="","",L105)</f>
        <v>0</v>
      </c>
      <c r="I121" s="40" t="str">
        <f aca="false">IF($B121="","",IF($C121=0,"—",H121/$C121))</f>
        <v>—</v>
      </c>
      <c r="J121" s="39" t="n">
        <f aca="false">IF($B121="","",F121+H121)</f>
        <v>0</v>
      </c>
      <c r="K121" s="40" t="str">
        <f aca="false">IF($B121="","",IF($C121=0,"—",J121/$C121))</f>
        <v>—</v>
      </c>
      <c r="L121" s="42" t="str">
        <f aca="false">IF($B121="","",IF($C121=0,"لا توجد بيانات",IF(ROUND(J121/C121,10)&lt;=KeyP_VW,"Very Weak",IF(ROUND(J121/C121,10)&lt;KeyP_Weak,"Weak",IF(ROUND(H121/C121,10)&lt;KeyP_Acc,"Acceptable",IF(ROUND(H121/C121,10)&lt;=KeyP_Good,"Good",IF(ROUND(H121/C121,10)&lt;KeyP_Out,"Very Good","Outstanding")))))))</f>
        <v>لا توجد بيانات</v>
      </c>
      <c r="M121" s="39" t="n">
        <f aca="false">IF($B121="","",(SUMIFS(Data!$W$5:$W$5004,Data!$B$5:$B$5004,$P$6,Data!$C$5:$C$5004,$P$8,Data!$D$5:$D$5004,$B121,Data!$E$5:$E$5004,$P$9,Data!$F$5:$F$5004,$P$10,Data!$G$5:$G$5004,$P$11)+ExOn*SUMIFS(مثال_Example!$W$5:$W$804,مثال_Example!$B$5:$B$804,$P$6,مثال_Example!$C$5:$C$804,$P$8,مثال_Example!$D$5:$D$804,$B121,مثال_Example!$E$5:$E$804,$P$9,مثال_Example!$F$5:$F$804,$P$10,مثال_Example!$G$5:$G$804,$P$11))+(SUMIFS(Data!$X$5:$X$5004,Data!$B$5:$B$5004,$P$6,Data!$C$5:$C$5004,$P$8,Data!$D$5:$D$5004,$B121,Data!$E$5:$E$5004,$P$9,Data!$F$5:$F$5004,$P$10,Data!$G$5:$G$5004,$P$11)+ExOn*SUMIFS(مثال_Example!$X$5:$X$804,مثال_Example!$B$5:$B$804,$P$6,مثال_Example!$C$5:$C$804,$P$8,مثال_Example!$D$5:$D$804,$B121,مثال_Example!$E$5:$E$804,$P$9,مثال_Example!$F$5:$F$804,$P$10,مثال_Example!$G$5:$G$804,$P$11)))</f>
        <v>0</v>
      </c>
      <c r="N121" s="1"/>
    </row>
    <row r="122" customFormat="false" ht="15" hidden="false" customHeight="false" outlineLevel="0" collapsed="false">
      <c r="A122" s="1"/>
      <c r="B122" s="38" t="str">
        <f aca="false">B106</f>
        <v>Year 5</v>
      </c>
      <c r="C122" s="39" t="n">
        <f aca="false">IF($B122="","",I106)</f>
        <v>0</v>
      </c>
      <c r="D122" s="39" t="n">
        <f aca="false">IF($B122="","",J106)</f>
        <v>0</v>
      </c>
      <c r="E122" s="40" t="str">
        <f aca="false">IF($B122="","",IF($C122=0,"—",D122/$C122))</f>
        <v>—</v>
      </c>
      <c r="F122" s="39" t="n">
        <f aca="false">IF($B122="","",K106)</f>
        <v>0</v>
      </c>
      <c r="G122" s="40" t="str">
        <f aca="false">IF($B122="","",IF($C122=0,"—",F122/$C122))</f>
        <v>—</v>
      </c>
      <c r="H122" s="39" t="n">
        <f aca="false">IF($B122="","",L106)</f>
        <v>0</v>
      </c>
      <c r="I122" s="40" t="str">
        <f aca="false">IF($B122="","",IF($C122=0,"—",H122/$C122))</f>
        <v>—</v>
      </c>
      <c r="J122" s="39" t="n">
        <f aca="false">IF($B122="","",F122+H122)</f>
        <v>0</v>
      </c>
      <c r="K122" s="40" t="str">
        <f aca="false">IF($B122="","",IF($C122=0,"—",J122/$C122))</f>
        <v>—</v>
      </c>
      <c r="L122" s="42" t="str">
        <f aca="false">IF($B122="","",IF($C122=0,"لا توجد بيانات",IF(ROUND(J122/C122,10)&lt;=KeyP_VW,"Very Weak",IF(ROUND(J122/C122,10)&lt;KeyP_Weak,"Weak",IF(ROUND(H122/C122,10)&lt;KeyP_Acc,"Acceptable",IF(ROUND(H122/C122,10)&lt;=KeyP_Good,"Good",IF(ROUND(H122/C122,10)&lt;KeyP_Out,"Very Good","Outstanding")))))))</f>
        <v>لا توجد بيانات</v>
      </c>
      <c r="M122" s="39" t="n">
        <f aca="false">IF($B122="","",(SUMIFS(Data!$W$5:$W$5004,Data!$B$5:$B$5004,$P$6,Data!$C$5:$C$5004,$P$8,Data!$D$5:$D$5004,$B122,Data!$E$5:$E$5004,$P$9,Data!$F$5:$F$5004,$P$10,Data!$G$5:$G$5004,$P$11)+ExOn*SUMIFS(مثال_Example!$W$5:$W$804,مثال_Example!$B$5:$B$804,$P$6,مثال_Example!$C$5:$C$804,$P$8,مثال_Example!$D$5:$D$804,$B122,مثال_Example!$E$5:$E$804,$P$9,مثال_Example!$F$5:$F$804,$P$10,مثال_Example!$G$5:$G$804,$P$11))+(SUMIFS(Data!$X$5:$X$5004,Data!$B$5:$B$5004,$P$6,Data!$C$5:$C$5004,$P$8,Data!$D$5:$D$5004,$B122,Data!$E$5:$E$5004,$P$9,Data!$F$5:$F$5004,$P$10,Data!$G$5:$G$5004,$P$11)+ExOn*SUMIFS(مثال_Example!$X$5:$X$804,مثال_Example!$B$5:$B$804,$P$6,مثال_Example!$C$5:$C$804,$P$8,مثال_Example!$D$5:$D$804,$B122,مثال_Example!$E$5:$E$804,$P$9,مثال_Example!$F$5:$F$804,$P$10,مثال_Example!$G$5:$G$804,$P$11)))</f>
        <v>0</v>
      </c>
      <c r="N122" s="1"/>
    </row>
    <row r="123" customFormat="false" ht="15" hidden="false" customHeight="false" outlineLevel="0" collapsed="false">
      <c r="A123" s="1"/>
      <c r="B123" s="38" t="str">
        <f aca="false">B107</f>
        <v>Year 6</v>
      </c>
      <c r="C123" s="39" t="n">
        <f aca="false">IF($B123="","",I107)</f>
        <v>0</v>
      </c>
      <c r="D123" s="39" t="n">
        <f aca="false">IF($B123="","",J107)</f>
        <v>0</v>
      </c>
      <c r="E123" s="40" t="str">
        <f aca="false">IF($B123="","",IF($C123=0,"—",D123/$C123))</f>
        <v>—</v>
      </c>
      <c r="F123" s="39" t="n">
        <f aca="false">IF($B123="","",K107)</f>
        <v>0</v>
      </c>
      <c r="G123" s="40" t="str">
        <f aca="false">IF($B123="","",IF($C123=0,"—",F123/$C123))</f>
        <v>—</v>
      </c>
      <c r="H123" s="39" t="n">
        <f aca="false">IF($B123="","",L107)</f>
        <v>0</v>
      </c>
      <c r="I123" s="40" t="str">
        <f aca="false">IF($B123="","",IF($C123=0,"—",H123/$C123))</f>
        <v>—</v>
      </c>
      <c r="J123" s="39" t="n">
        <f aca="false">IF($B123="","",F123+H123)</f>
        <v>0</v>
      </c>
      <c r="K123" s="40" t="str">
        <f aca="false">IF($B123="","",IF($C123=0,"—",J123/$C123))</f>
        <v>—</v>
      </c>
      <c r="L123" s="42" t="str">
        <f aca="false">IF($B123="","",IF($C123=0,"لا توجد بيانات",IF(ROUND(J123/C123,10)&lt;=KeyP_VW,"Very Weak",IF(ROUND(J123/C123,10)&lt;KeyP_Weak,"Weak",IF(ROUND(H123/C123,10)&lt;KeyP_Acc,"Acceptable",IF(ROUND(H123/C123,10)&lt;=KeyP_Good,"Good",IF(ROUND(H123/C123,10)&lt;KeyP_Out,"Very Good","Outstanding")))))))</f>
        <v>لا توجد بيانات</v>
      </c>
      <c r="M123" s="39" t="n">
        <f aca="false">IF($B123="","",(SUMIFS(Data!$W$5:$W$5004,Data!$B$5:$B$5004,$P$6,Data!$C$5:$C$5004,$P$8,Data!$D$5:$D$5004,$B123,Data!$E$5:$E$5004,$P$9,Data!$F$5:$F$5004,$P$10,Data!$G$5:$G$5004,$P$11)+ExOn*SUMIFS(مثال_Example!$W$5:$W$804,مثال_Example!$B$5:$B$804,$P$6,مثال_Example!$C$5:$C$804,$P$8,مثال_Example!$D$5:$D$804,$B123,مثال_Example!$E$5:$E$804,$P$9,مثال_Example!$F$5:$F$804,$P$10,مثال_Example!$G$5:$G$804,$P$11))+(SUMIFS(Data!$X$5:$X$5004,Data!$B$5:$B$5004,$P$6,Data!$C$5:$C$5004,$P$8,Data!$D$5:$D$5004,$B123,Data!$E$5:$E$5004,$P$9,Data!$F$5:$F$5004,$P$10,Data!$G$5:$G$5004,$P$11)+ExOn*SUMIFS(مثال_Example!$X$5:$X$804,مثال_Example!$B$5:$B$804,$P$6,مثال_Example!$C$5:$C$804,$P$8,مثال_Example!$D$5:$D$804,$B123,مثال_Example!$E$5:$E$804,$P$9,مثال_Example!$F$5:$F$804,$P$10,مثال_Example!$G$5:$G$804,$P$11)))</f>
        <v>0</v>
      </c>
      <c r="N123" s="1"/>
    </row>
    <row r="124" customFormat="false" ht="15" hidden="false" customHeight="false" outlineLevel="0" collapsed="false">
      <c r="A124" s="1"/>
      <c r="B124" s="38" t="str">
        <f aca="false">B108</f>
        <v>Year 7</v>
      </c>
      <c r="C124" s="39" t="n">
        <f aca="false">IF($B124="","",I108)</f>
        <v>0</v>
      </c>
      <c r="D124" s="39" t="n">
        <f aca="false">IF($B124="","",J108)</f>
        <v>0</v>
      </c>
      <c r="E124" s="40" t="str">
        <f aca="false">IF($B124="","",IF($C124=0,"—",D124/$C124))</f>
        <v>—</v>
      </c>
      <c r="F124" s="39" t="n">
        <f aca="false">IF($B124="","",K108)</f>
        <v>0</v>
      </c>
      <c r="G124" s="40" t="str">
        <f aca="false">IF($B124="","",IF($C124=0,"—",F124/$C124))</f>
        <v>—</v>
      </c>
      <c r="H124" s="39" t="n">
        <f aca="false">IF($B124="","",L108)</f>
        <v>0</v>
      </c>
      <c r="I124" s="40" t="str">
        <f aca="false">IF($B124="","",IF($C124=0,"—",H124/$C124))</f>
        <v>—</v>
      </c>
      <c r="J124" s="39" t="n">
        <f aca="false">IF($B124="","",F124+H124)</f>
        <v>0</v>
      </c>
      <c r="K124" s="40" t="str">
        <f aca="false">IF($B124="","",IF($C124=0,"—",J124/$C124))</f>
        <v>—</v>
      </c>
      <c r="L124" s="42" t="str">
        <f aca="false">IF($B124="","",IF($C124=0,"لا توجد بيانات",IF(ROUND(J124/C124,10)&lt;=KeyP_VW,"Very Weak",IF(ROUND(J124/C124,10)&lt;KeyP_Weak,"Weak",IF(ROUND(H124/C124,10)&lt;KeyP_Acc,"Acceptable",IF(ROUND(H124/C124,10)&lt;=KeyP_Good,"Good",IF(ROUND(H124/C124,10)&lt;KeyP_Out,"Very Good","Outstanding")))))))</f>
        <v>لا توجد بيانات</v>
      </c>
      <c r="M124" s="39" t="n">
        <f aca="false">IF($B124="","",(SUMIFS(Data!$W$5:$W$5004,Data!$B$5:$B$5004,$P$6,Data!$C$5:$C$5004,$P$8,Data!$D$5:$D$5004,$B124,Data!$E$5:$E$5004,$P$9,Data!$F$5:$F$5004,$P$10,Data!$G$5:$G$5004,$P$11)+ExOn*SUMIFS(مثال_Example!$W$5:$W$804,مثال_Example!$B$5:$B$804,$P$6,مثال_Example!$C$5:$C$804,$P$8,مثال_Example!$D$5:$D$804,$B124,مثال_Example!$E$5:$E$804,$P$9,مثال_Example!$F$5:$F$804,$P$10,مثال_Example!$G$5:$G$804,$P$11))+(SUMIFS(Data!$X$5:$X$5004,Data!$B$5:$B$5004,$P$6,Data!$C$5:$C$5004,$P$8,Data!$D$5:$D$5004,$B124,Data!$E$5:$E$5004,$P$9,Data!$F$5:$F$5004,$P$10,Data!$G$5:$G$5004,$P$11)+ExOn*SUMIFS(مثال_Example!$X$5:$X$804,مثال_Example!$B$5:$B$804,$P$6,مثال_Example!$C$5:$C$804,$P$8,مثال_Example!$D$5:$D$804,$B124,مثال_Example!$E$5:$E$804,$P$9,مثال_Example!$F$5:$F$804,$P$10,مثال_Example!$G$5:$G$804,$P$11)))</f>
        <v>0</v>
      </c>
      <c r="N124" s="1"/>
    </row>
    <row r="125" customFormat="false" ht="15" hidden="false" customHeight="false" outlineLevel="0" collapsed="false">
      <c r="A125" s="1"/>
      <c r="B125" s="38" t="str">
        <f aca="false">B109</f>
        <v>Year 8</v>
      </c>
      <c r="C125" s="39" t="n">
        <f aca="false">IF($B125="","",I109)</f>
        <v>0</v>
      </c>
      <c r="D125" s="39" t="n">
        <f aca="false">IF($B125="","",J109)</f>
        <v>0</v>
      </c>
      <c r="E125" s="40" t="str">
        <f aca="false">IF($B125="","",IF($C125=0,"—",D125/$C125))</f>
        <v>—</v>
      </c>
      <c r="F125" s="39" t="n">
        <f aca="false">IF($B125="","",K109)</f>
        <v>0</v>
      </c>
      <c r="G125" s="40" t="str">
        <f aca="false">IF($B125="","",IF($C125=0,"—",F125/$C125))</f>
        <v>—</v>
      </c>
      <c r="H125" s="39" t="n">
        <f aca="false">IF($B125="","",L109)</f>
        <v>0</v>
      </c>
      <c r="I125" s="40" t="str">
        <f aca="false">IF($B125="","",IF($C125=0,"—",H125/$C125))</f>
        <v>—</v>
      </c>
      <c r="J125" s="39" t="n">
        <f aca="false">IF($B125="","",F125+H125)</f>
        <v>0</v>
      </c>
      <c r="K125" s="40" t="str">
        <f aca="false">IF($B125="","",IF($C125=0,"—",J125/$C125))</f>
        <v>—</v>
      </c>
      <c r="L125" s="42" t="str">
        <f aca="false">IF($B125="","",IF($C125=0,"لا توجد بيانات",IF(ROUND(J125/C125,10)&lt;=KeyP_VW,"Very Weak",IF(ROUND(J125/C125,10)&lt;KeyP_Weak,"Weak",IF(ROUND(H125/C125,10)&lt;KeyP_Acc,"Acceptable",IF(ROUND(H125/C125,10)&lt;=KeyP_Good,"Good",IF(ROUND(H125/C125,10)&lt;KeyP_Out,"Very Good","Outstanding")))))))</f>
        <v>لا توجد بيانات</v>
      </c>
      <c r="M125" s="39" t="n">
        <f aca="false">IF($B125="","",(SUMIFS(Data!$W$5:$W$5004,Data!$B$5:$B$5004,$P$6,Data!$C$5:$C$5004,$P$8,Data!$D$5:$D$5004,$B125,Data!$E$5:$E$5004,$P$9,Data!$F$5:$F$5004,$P$10,Data!$G$5:$G$5004,$P$11)+ExOn*SUMIFS(مثال_Example!$W$5:$W$804,مثال_Example!$B$5:$B$804,$P$6,مثال_Example!$C$5:$C$804,$P$8,مثال_Example!$D$5:$D$804,$B125,مثال_Example!$E$5:$E$804,$P$9,مثال_Example!$F$5:$F$804,$P$10,مثال_Example!$G$5:$G$804,$P$11))+(SUMIFS(Data!$X$5:$X$5004,Data!$B$5:$B$5004,$P$6,Data!$C$5:$C$5004,$P$8,Data!$D$5:$D$5004,$B125,Data!$E$5:$E$5004,$P$9,Data!$F$5:$F$5004,$P$10,Data!$G$5:$G$5004,$P$11)+ExOn*SUMIFS(مثال_Example!$X$5:$X$804,مثال_Example!$B$5:$B$804,$P$6,مثال_Example!$C$5:$C$804,$P$8,مثال_Example!$D$5:$D$804,$B125,مثال_Example!$E$5:$E$804,$P$9,مثال_Example!$F$5:$F$804,$P$10,مثال_Example!$G$5:$G$804,$P$11)))</f>
        <v>0</v>
      </c>
      <c r="N125" s="1"/>
    </row>
    <row r="126" customFormat="false" ht="15" hidden="false" customHeight="false" outlineLevel="0" collapsed="false">
      <c r="A126" s="1"/>
      <c r="B126" s="38" t="str">
        <f aca="false">B110</f>
        <v>Year 9</v>
      </c>
      <c r="C126" s="39" t="n">
        <f aca="false">IF($B126="","",I110)</f>
        <v>0</v>
      </c>
      <c r="D126" s="39" t="n">
        <f aca="false">IF($B126="","",J110)</f>
        <v>0</v>
      </c>
      <c r="E126" s="40" t="str">
        <f aca="false">IF($B126="","",IF($C126=0,"—",D126/$C126))</f>
        <v>—</v>
      </c>
      <c r="F126" s="39" t="n">
        <f aca="false">IF($B126="","",K110)</f>
        <v>0</v>
      </c>
      <c r="G126" s="40" t="str">
        <f aca="false">IF($B126="","",IF($C126=0,"—",F126/$C126))</f>
        <v>—</v>
      </c>
      <c r="H126" s="39" t="n">
        <f aca="false">IF($B126="","",L110)</f>
        <v>0</v>
      </c>
      <c r="I126" s="40" t="str">
        <f aca="false">IF($B126="","",IF($C126=0,"—",H126/$C126))</f>
        <v>—</v>
      </c>
      <c r="J126" s="39" t="n">
        <f aca="false">IF($B126="","",F126+H126)</f>
        <v>0</v>
      </c>
      <c r="K126" s="40" t="str">
        <f aca="false">IF($B126="","",IF($C126=0,"—",J126/$C126))</f>
        <v>—</v>
      </c>
      <c r="L126" s="42" t="str">
        <f aca="false">IF($B126="","",IF($C126=0,"لا توجد بيانات",IF(ROUND(J126/C126,10)&lt;=KeyP_VW,"Very Weak",IF(ROUND(J126/C126,10)&lt;KeyP_Weak,"Weak",IF(ROUND(H126/C126,10)&lt;KeyP_Acc,"Acceptable",IF(ROUND(H126/C126,10)&lt;=KeyP_Good,"Good",IF(ROUND(H126/C126,10)&lt;KeyP_Out,"Very Good","Outstanding")))))))</f>
        <v>لا توجد بيانات</v>
      </c>
      <c r="M126" s="39" t="n">
        <f aca="false">IF($B126="","",(SUMIFS(Data!$W$5:$W$5004,Data!$B$5:$B$5004,$P$6,Data!$C$5:$C$5004,$P$8,Data!$D$5:$D$5004,$B126,Data!$E$5:$E$5004,$P$9,Data!$F$5:$F$5004,$P$10,Data!$G$5:$G$5004,$P$11)+ExOn*SUMIFS(مثال_Example!$W$5:$W$804,مثال_Example!$B$5:$B$804,$P$6,مثال_Example!$C$5:$C$804,$P$8,مثال_Example!$D$5:$D$804,$B126,مثال_Example!$E$5:$E$804,$P$9,مثال_Example!$F$5:$F$804,$P$10,مثال_Example!$G$5:$G$804,$P$11))+(SUMIFS(Data!$X$5:$X$5004,Data!$B$5:$B$5004,$P$6,Data!$C$5:$C$5004,$P$8,Data!$D$5:$D$5004,$B126,Data!$E$5:$E$5004,$P$9,Data!$F$5:$F$5004,$P$10,Data!$G$5:$G$5004,$P$11)+ExOn*SUMIFS(مثال_Example!$X$5:$X$804,مثال_Example!$B$5:$B$804,$P$6,مثال_Example!$C$5:$C$804,$P$8,مثال_Example!$D$5:$D$804,$B126,مثال_Example!$E$5:$E$804,$P$9,مثال_Example!$F$5:$F$804,$P$10,مثال_Example!$G$5:$G$804,$P$11)))</f>
        <v>0</v>
      </c>
      <c r="N126" s="1"/>
    </row>
    <row r="127" customFormat="false" ht="15" hidden="false" customHeight="false" outlineLevel="0" collapsed="false">
      <c r="A127" s="1"/>
      <c r="B127" s="38" t="str">
        <f aca="false">B111</f>
        <v>Year 10</v>
      </c>
      <c r="C127" s="39" t="n">
        <f aca="false">IF($B127="","",I111)</f>
        <v>0</v>
      </c>
      <c r="D127" s="39" t="n">
        <f aca="false">IF($B127="","",J111)</f>
        <v>0</v>
      </c>
      <c r="E127" s="40" t="str">
        <f aca="false">IF($B127="","",IF($C127=0,"—",D127/$C127))</f>
        <v>—</v>
      </c>
      <c r="F127" s="39" t="n">
        <f aca="false">IF($B127="","",K111)</f>
        <v>0</v>
      </c>
      <c r="G127" s="40" t="str">
        <f aca="false">IF($B127="","",IF($C127=0,"—",F127/$C127))</f>
        <v>—</v>
      </c>
      <c r="H127" s="39" t="n">
        <f aca="false">IF($B127="","",L111)</f>
        <v>0</v>
      </c>
      <c r="I127" s="40" t="str">
        <f aca="false">IF($B127="","",IF($C127=0,"—",H127/$C127))</f>
        <v>—</v>
      </c>
      <c r="J127" s="39" t="n">
        <f aca="false">IF($B127="","",F127+H127)</f>
        <v>0</v>
      </c>
      <c r="K127" s="40" t="str">
        <f aca="false">IF($B127="","",IF($C127=0,"—",J127/$C127))</f>
        <v>—</v>
      </c>
      <c r="L127" s="42" t="str">
        <f aca="false">IF($B127="","",IF($C127=0,"لا توجد بيانات",IF(ROUND(J127/C127,10)&lt;=KeyP_VW,"Very Weak",IF(ROUND(J127/C127,10)&lt;KeyP_Weak,"Weak",IF(ROUND(H127/C127,10)&lt;KeyP_Acc,"Acceptable",IF(ROUND(H127/C127,10)&lt;=KeyP_Good,"Good",IF(ROUND(H127/C127,10)&lt;KeyP_Out,"Very Good","Outstanding")))))))</f>
        <v>لا توجد بيانات</v>
      </c>
      <c r="M127" s="39" t="n">
        <f aca="false">IF($B127="","",(SUMIFS(Data!$W$5:$W$5004,Data!$B$5:$B$5004,$P$6,Data!$C$5:$C$5004,$P$8,Data!$D$5:$D$5004,$B127,Data!$E$5:$E$5004,$P$9,Data!$F$5:$F$5004,$P$10,Data!$G$5:$G$5004,$P$11)+ExOn*SUMIFS(مثال_Example!$W$5:$W$804,مثال_Example!$B$5:$B$804,$P$6,مثال_Example!$C$5:$C$804,$P$8,مثال_Example!$D$5:$D$804,$B127,مثال_Example!$E$5:$E$804,$P$9,مثال_Example!$F$5:$F$804,$P$10,مثال_Example!$G$5:$G$804,$P$11))+(SUMIFS(Data!$X$5:$X$5004,Data!$B$5:$B$5004,$P$6,Data!$C$5:$C$5004,$P$8,Data!$D$5:$D$5004,$B127,Data!$E$5:$E$5004,$P$9,Data!$F$5:$F$5004,$P$10,Data!$G$5:$G$5004,$P$11)+ExOn*SUMIFS(مثال_Example!$X$5:$X$804,مثال_Example!$B$5:$B$804,$P$6,مثال_Example!$C$5:$C$804,$P$8,مثال_Example!$D$5:$D$804,$B127,مثال_Example!$E$5:$E$804,$P$9,مثال_Example!$F$5:$F$804,$P$10,مثال_Example!$G$5:$G$804,$P$11)))</f>
        <v>0</v>
      </c>
      <c r="N127" s="1"/>
    </row>
    <row r="128" customFormat="false" ht="15" hidden="false" customHeight="false" outlineLevel="0" collapsed="false">
      <c r="A128" s="1"/>
      <c r="B128" s="38" t="str">
        <f aca="false">B112</f>
        <v>Year 11</v>
      </c>
      <c r="C128" s="39" t="n">
        <f aca="false">IF($B128="","",I112)</f>
        <v>0</v>
      </c>
      <c r="D128" s="39" t="n">
        <f aca="false">IF($B128="","",J112)</f>
        <v>0</v>
      </c>
      <c r="E128" s="40" t="str">
        <f aca="false">IF($B128="","",IF($C128=0,"—",D128/$C128))</f>
        <v>—</v>
      </c>
      <c r="F128" s="39" t="n">
        <f aca="false">IF($B128="","",K112)</f>
        <v>0</v>
      </c>
      <c r="G128" s="40" t="str">
        <f aca="false">IF($B128="","",IF($C128=0,"—",F128/$C128))</f>
        <v>—</v>
      </c>
      <c r="H128" s="39" t="n">
        <f aca="false">IF($B128="","",L112)</f>
        <v>0</v>
      </c>
      <c r="I128" s="40" t="str">
        <f aca="false">IF($B128="","",IF($C128=0,"—",H128/$C128))</f>
        <v>—</v>
      </c>
      <c r="J128" s="39" t="n">
        <f aca="false">IF($B128="","",F128+H128)</f>
        <v>0</v>
      </c>
      <c r="K128" s="40" t="str">
        <f aca="false">IF($B128="","",IF($C128=0,"—",J128/$C128))</f>
        <v>—</v>
      </c>
      <c r="L128" s="42" t="str">
        <f aca="false">IF($B128="","",IF($C128=0,"لا توجد بيانات",IF(ROUND(J128/C128,10)&lt;=KeyP_VW,"Very Weak",IF(ROUND(J128/C128,10)&lt;KeyP_Weak,"Weak",IF(ROUND(H128/C128,10)&lt;KeyP_Acc,"Acceptable",IF(ROUND(H128/C128,10)&lt;=KeyP_Good,"Good",IF(ROUND(H128/C128,10)&lt;KeyP_Out,"Very Good","Outstanding")))))))</f>
        <v>لا توجد بيانات</v>
      </c>
      <c r="M128" s="39" t="n">
        <f aca="false">IF($B128="","",(SUMIFS(Data!$W$5:$W$5004,Data!$B$5:$B$5004,$P$6,Data!$C$5:$C$5004,$P$8,Data!$D$5:$D$5004,$B128,Data!$E$5:$E$5004,$P$9,Data!$F$5:$F$5004,$P$10,Data!$G$5:$G$5004,$P$11)+ExOn*SUMIFS(مثال_Example!$W$5:$W$804,مثال_Example!$B$5:$B$804,$P$6,مثال_Example!$C$5:$C$804,$P$8,مثال_Example!$D$5:$D$804,$B128,مثال_Example!$E$5:$E$804,$P$9,مثال_Example!$F$5:$F$804,$P$10,مثال_Example!$G$5:$G$804,$P$11))+(SUMIFS(Data!$X$5:$X$5004,Data!$B$5:$B$5004,$P$6,Data!$C$5:$C$5004,$P$8,Data!$D$5:$D$5004,$B128,Data!$E$5:$E$5004,$P$9,Data!$F$5:$F$5004,$P$10,Data!$G$5:$G$5004,$P$11)+ExOn*SUMIFS(مثال_Example!$X$5:$X$804,مثال_Example!$B$5:$B$804,$P$6,مثال_Example!$C$5:$C$804,$P$8,مثال_Example!$D$5:$D$804,$B128,مثال_Example!$E$5:$E$804,$P$9,مثال_Example!$F$5:$F$804,$P$10,مثال_Example!$G$5:$G$804,$P$11)))</f>
        <v>0</v>
      </c>
      <c r="N128" s="1"/>
    </row>
    <row r="129" customFormat="false" ht="15" hidden="false" customHeight="false" outlineLevel="0" collapsed="false">
      <c r="A129" s="1"/>
      <c r="B129" s="38" t="str">
        <f aca="false">B113</f>
        <v>Year 12</v>
      </c>
      <c r="C129" s="39" t="n">
        <f aca="false">IF($B129="","",I113)</f>
        <v>0</v>
      </c>
      <c r="D129" s="39" t="n">
        <f aca="false">IF($B129="","",J113)</f>
        <v>0</v>
      </c>
      <c r="E129" s="40" t="str">
        <f aca="false">IF($B129="","",IF($C129=0,"—",D129/$C129))</f>
        <v>—</v>
      </c>
      <c r="F129" s="39" t="n">
        <f aca="false">IF($B129="","",K113)</f>
        <v>0</v>
      </c>
      <c r="G129" s="40" t="str">
        <f aca="false">IF($B129="","",IF($C129=0,"—",F129/$C129))</f>
        <v>—</v>
      </c>
      <c r="H129" s="39" t="n">
        <f aca="false">IF($B129="","",L113)</f>
        <v>0</v>
      </c>
      <c r="I129" s="40" t="str">
        <f aca="false">IF($B129="","",IF($C129=0,"—",H129/$C129))</f>
        <v>—</v>
      </c>
      <c r="J129" s="39" t="n">
        <f aca="false">IF($B129="","",F129+H129)</f>
        <v>0</v>
      </c>
      <c r="K129" s="40" t="str">
        <f aca="false">IF($B129="","",IF($C129=0,"—",J129/$C129))</f>
        <v>—</v>
      </c>
      <c r="L129" s="42" t="str">
        <f aca="false">IF($B129="","",IF($C129=0,"لا توجد بيانات",IF(ROUND(J129/C129,10)&lt;=KeyP_VW,"Very Weak",IF(ROUND(J129/C129,10)&lt;KeyP_Weak,"Weak",IF(ROUND(H129/C129,10)&lt;KeyP_Acc,"Acceptable",IF(ROUND(H129/C129,10)&lt;=KeyP_Good,"Good",IF(ROUND(H129/C129,10)&lt;KeyP_Out,"Very Good","Outstanding")))))))</f>
        <v>لا توجد بيانات</v>
      </c>
      <c r="M129" s="39" t="n">
        <f aca="false">IF($B129="","",(SUMIFS(Data!$W$5:$W$5004,Data!$B$5:$B$5004,$P$6,Data!$C$5:$C$5004,$P$8,Data!$D$5:$D$5004,$B129,Data!$E$5:$E$5004,$P$9,Data!$F$5:$F$5004,$P$10,Data!$G$5:$G$5004,$P$11)+ExOn*SUMIFS(مثال_Example!$W$5:$W$804,مثال_Example!$B$5:$B$804,$P$6,مثال_Example!$C$5:$C$804,$P$8,مثال_Example!$D$5:$D$804,$B129,مثال_Example!$E$5:$E$804,$P$9,مثال_Example!$F$5:$F$804,$P$10,مثال_Example!$G$5:$G$804,$P$11))+(SUMIFS(Data!$X$5:$X$5004,Data!$B$5:$B$5004,$P$6,Data!$C$5:$C$5004,$P$8,Data!$D$5:$D$5004,$B129,Data!$E$5:$E$5004,$P$9,Data!$F$5:$F$5004,$P$10,Data!$G$5:$G$5004,$P$11)+ExOn*SUMIFS(مثال_Example!$X$5:$X$804,مثال_Example!$B$5:$B$804,$P$6,مثال_Example!$C$5:$C$804,$P$8,مثال_Example!$D$5:$D$804,$B129,مثال_Example!$E$5:$E$804,$P$9,مثال_Example!$F$5:$F$804,$P$10,مثال_Example!$G$5:$G$804,$P$11)))</f>
        <v>0</v>
      </c>
      <c r="N129" s="1"/>
    </row>
    <row r="130" customFormat="false" ht="15" hidden="false" customHeight="false" outlineLevel="0" collapsed="false">
      <c r="A130" s="1"/>
      <c r="B130" s="38" t="str">
        <f aca="false">B114</f>
        <v>Year 13</v>
      </c>
      <c r="C130" s="39" t="n">
        <f aca="false">IF($B130="","",I114)</f>
        <v>0</v>
      </c>
      <c r="D130" s="39" t="n">
        <f aca="false">IF($B130="","",J114)</f>
        <v>0</v>
      </c>
      <c r="E130" s="40" t="str">
        <f aca="false">IF($B130="","",IF($C130=0,"—",D130/$C130))</f>
        <v>—</v>
      </c>
      <c r="F130" s="39" t="n">
        <f aca="false">IF($B130="","",K114)</f>
        <v>0</v>
      </c>
      <c r="G130" s="40" t="str">
        <f aca="false">IF($B130="","",IF($C130=0,"—",F130/$C130))</f>
        <v>—</v>
      </c>
      <c r="H130" s="39" t="n">
        <f aca="false">IF($B130="","",L114)</f>
        <v>0</v>
      </c>
      <c r="I130" s="40" t="str">
        <f aca="false">IF($B130="","",IF($C130=0,"—",H130/$C130))</f>
        <v>—</v>
      </c>
      <c r="J130" s="39" t="n">
        <f aca="false">IF($B130="","",F130+H130)</f>
        <v>0</v>
      </c>
      <c r="K130" s="40" t="str">
        <f aca="false">IF($B130="","",IF($C130=0,"—",J130/$C130))</f>
        <v>—</v>
      </c>
      <c r="L130" s="42" t="str">
        <f aca="false">IF($B130="","",IF($C130=0,"لا توجد بيانات",IF(ROUND(J130/C130,10)&lt;=KeyP_VW,"Very Weak",IF(ROUND(J130/C130,10)&lt;KeyP_Weak,"Weak",IF(ROUND(H130/C130,10)&lt;KeyP_Acc,"Acceptable",IF(ROUND(H130/C130,10)&lt;=KeyP_Good,"Good",IF(ROUND(H130/C130,10)&lt;KeyP_Out,"Very Good","Outstanding")))))))</f>
        <v>لا توجد بيانات</v>
      </c>
      <c r="M130" s="39" t="n">
        <f aca="false">IF($B130="","",(SUMIFS(Data!$W$5:$W$5004,Data!$B$5:$B$5004,$P$6,Data!$C$5:$C$5004,$P$8,Data!$D$5:$D$5004,$B130,Data!$E$5:$E$5004,$P$9,Data!$F$5:$F$5004,$P$10,Data!$G$5:$G$5004,$P$11)+ExOn*SUMIFS(مثال_Example!$W$5:$W$804,مثال_Example!$B$5:$B$804,$P$6,مثال_Example!$C$5:$C$804,$P$8,مثال_Example!$D$5:$D$804,$B130,مثال_Example!$E$5:$E$804,$P$9,مثال_Example!$F$5:$F$804,$P$10,مثال_Example!$G$5:$G$804,$P$11))+(SUMIFS(Data!$X$5:$X$5004,Data!$B$5:$B$5004,$P$6,Data!$C$5:$C$5004,$P$8,Data!$D$5:$D$5004,$B130,Data!$E$5:$E$5004,$P$9,Data!$F$5:$F$5004,$P$10,Data!$G$5:$G$5004,$P$11)+ExOn*SUMIFS(مثال_Example!$X$5:$X$804,مثال_Example!$B$5:$B$804,$P$6,مثال_Example!$C$5:$C$804,$P$8,مثال_Example!$D$5:$D$804,$B130,مثال_Example!$E$5:$E$804,$P$9,مثال_Example!$F$5:$F$804,$P$10,مثال_Example!$G$5:$G$804,$P$11)))</f>
        <v>0</v>
      </c>
      <c r="N130" s="1"/>
    </row>
    <row r="131" customFormat="false" ht="15" hidden="false" customHeight="false" outlineLevel="0" collapsed="false">
      <c r="A131" s="1"/>
      <c r="B131" s="43" t="s">
        <v>189</v>
      </c>
      <c r="C131" s="44" t="n">
        <f aca="false">SUM(C119:C130)</f>
        <v>0</v>
      </c>
      <c r="D131" s="44" t="n">
        <f aca="false">SUM(D119:D130)</f>
        <v>0</v>
      </c>
      <c r="E131" s="45" t="str">
        <f aca="false">IF(C131=0,"—",D131/C131)</f>
        <v>—</v>
      </c>
      <c r="F131" s="44" t="n">
        <f aca="false">SUM(F119:F130)</f>
        <v>0</v>
      </c>
      <c r="G131" s="45" t="str">
        <f aca="false">IF(C131=0,"—",F131/C131)</f>
        <v>—</v>
      </c>
      <c r="H131" s="44" t="n">
        <f aca="false">SUM(H119:H130)</f>
        <v>0</v>
      </c>
      <c r="I131" s="45" t="str">
        <f aca="false">IF(C131=0,"—",H131/C131)</f>
        <v>—</v>
      </c>
      <c r="J131" s="44" t="n">
        <f aca="false">SUM(J119:J130)</f>
        <v>0</v>
      </c>
      <c r="K131" s="45" t="str">
        <f aca="false">IF(C131=0,"—",J131/C131)</f>
        <v>—</v>
      </c>
      <c r="L131" s="38" t="str">
        <f aca="false">IF(C131=0,"لا توجد بيانات",IF(ROUND(J131/C131,10)&lt;=KeyP_VW,"Very Weak",IF(ROUND(J131/C131,10)&lt;KeyP_Weak,"Weak",IF(ROUND(H131/C131,10)&lt;KeyP_Acc,"Acceptable",IF(ROUND(H131/C131,10)&lt;=KeyP_Good,"Good",IF(ROUND(H131/C131,10)&lt;KeyP_Out,"Very Good","Outstanding"))))))</f>
        <v>لا توجد بيانات</v>
      </c>
      <c r="M131" s="44" t="n">
        <f aca="false">SUM(M119:M130)</f>
        <v>0</v>
      </c>
      <c r="N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customFormat="false" ht="21.75" hidden="false" customHeight="true" outlineLevel="0" collapsed="false">
      <c r="A133" s="1"/>
      <c r="B133" s="4" t="s">
        <v>190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1"/>
    </row>
    <row r="134" customFormat="false" ht="31.5" hidden="false" customHeight="true" outlineLevel="0" collapsed="false">
      <c r="A134" s="1"/>
      <c r="B134" s="37" t="s">
        <v>191</v>
      </c>
      <c r="C134" s="37" t="s">
        <v>192</v>
      </c>
      <c r="D134" s="37" t="s">
        <v>193</v>
      </c>
      <c r="E134" s="37" t="s">
        <v>194</v>
      </c>
      <c r="F134" s="37" t="s">
        <v>195</v>
      </c>
      <c r="G134" s="1"/>
      <c r="H134" s="1"/>
      <c r="I134" s="1"/>
      <c r="J134" s="1"/>
      <c r="K134" s="1"/>
      <c r="L134" s="1"/>
      <c r="M134" s="1"/>
      <c r="N134" s="1"/>
    </row>
    <row r="135" customFormat="false" ht="15" hidden="false" customHeight="false" outlineLevel="0" collapsed="false">
      <c r="A135" s="1"/>
      <c r="B135" s="46" t="s">
        <v>196</v>
      </c>
      <c r="C135" s="39" t="n">
        <f aca="false">(SUMIFS(Data!$Q$5:$Q$5004,Data!$B$5:$B$5004,$P$6,Data!$C$5:$C$5004,$P$8,Data!$D$5:$D$5004,$P$7,Data!$E$5:$E$5004,$P$9,Data!$F$5:$F$5004,$P$10,Data!$G$5:$G$5004,$P$11,Data!$I$5:$I$5004,$B135)+ExOn*SUMIFS(مثال_Example!$Q$5:$Q$804,مثال_Example!$B$5:$B$804,$P$6,مثال_Example!$C$5:$C$804,$P$8,مثال_Example!$D$5:$D$804,$P$7,مثال_Example!$E$5:$E$804,$P$9,مثال_Example!$F$5:$F$804,$P$10,مثال_Example!$G$5:$G$804,$P$11,مثال_Example!$I$5:$I$804,$B135))</f>
        <v>0</v>
      </c>
      <c r="D135" s="40" t="str">
        <f aca="false">IF($Q$13=0,"—",C135/$Q$13)</f>
        <v>—</v>
      </c>
      <c r="E135" s="42" t="str">
        <f aca="false">IF(MATCH(B135,GradeList,0)&gt;=AboveRank,"Above",IF(MATCH(B135,GradeList,0)&gt;=AtRank,"At","—"))</f>
        <v>—</v>
      </c>
      <c r="F135" s="47" t="str">
        <f aca="false">B135&amp;_xlfn.UNICHAR(8206)</f>
        <v>U‎</v>
      </c>
      <c r="G135" s="1"/>
      <c r="H135" s="1"/>
      <c r="I135" s="1"/>
      <c r="J135" s="1"/>
      <c r="K135" s="1"/>
      <c r="L135" s="1"/>
      <c r="M135" s="1"/>
      <c r="N135" s="1"/>
    </row>
    <row r="136" customFormat="false" ht="15" hidden="false" customHeight="false" outlineLevel="0" collapsed="false">
      <c r="A136" s="1"/>
      <c r="B136" s="46" t="s">
        <v>197</v>
      </c>
      <c r="C136" s="39" t="n">
        <f aca="false">(SUMIFS(Data!$Q$5:$Q$5004,Data!$B$5:$B$5004,$P$6,Data!$C$5:$C$5004,$P$8,Data!$D$5:$D$5004,$P$7,Data!$E$5:$E$5004,$P$9,Data!$F$5:$F$5004,$P$10,Data!$G$5:$G$5004,$P$11,Data!$I$5:$I$5004,$B136)+ExOn*SUMIFS(مثال_Example!$Q$5:$Q$804,مثال_Example!$B$5:$B$804,$P$6,مثال_Example!$C$5:$C$804,$P$8,مثال_Example!$D$5:$D$804,$P$7,مثال_Example!$E$5:$E$804,$P$9,مثال_Example!$F$5:$F$804,$P$10,مثال_Example!$G$5:$G$804,$P$11,مثال_Example!$I$5:$I$804,$B136))</f>
        <v>0</v>
      </c>
      <c r="D136" s="40" t="str">
        <f aca="false">IF($Q$13=0,"—",C136/$Q$13)</f>
        <v>—</v>
      </c>
      <c r="E136" s="42" t="str">
        <f aca="false">IF(MATCH(B136,GradeList,0)&gt;=AboveRank,"Above",IF(MATCH(B136,GradeList,0)&gt;=AtRank,"At","—"))</f>
        <v>—</v>
      </c>
      <c r="F136" s="47" t="str">
        <f aca="false">B136&amp;_xlfn.UNICHAR(8206)</f>
        <v>B‎</v>
      </c>
      <c r="G136" s="1"/>
      <c r="H136" s="1"/>
      <c r="I136" s="1"/>
      <c r="J136" s="1"/>
      <c r="K136" s="1"/>
      <c r="L136" s="1"/>
      <c r="M136" s="1"/>
      <c r="N136" s="1"/>
    </row>
    <row r="137" customFormat="false" ht="15" hidden="false" customHeight="false" outlineLevel="0" collapsed="false">
      <c r="A137" s="1"/>
      <c r="B137" s="46" t="s">
        <v>198</v>
      </c>
      <c r="C137" s="39" t="n">
        <f aca="false">(SUMIFS(Data!$Q$5:$Q$5004,Data!$B$5:$B$5004,$P$6,Data!$C$5:$C$5004,$P$8,Data!$D$5:$D$5004,$P$7,Data!$E$5:$E$5004,$P$9,Data!$F$5:$F$5004,$P$10,Data!$G$5:$G$5004,$P$11,Data!$I$5:$I$5004,$B137)+ExOn*SUMIFS(مثال_Example!$Q$5:$Q$804,مثال_Example!$B$5:$B$804,$P$6,مثال_Example!$C$5:$C$804,$P$8,مثال_Example!$D$5:$D$804,$P$7,مثال_Example!$E$5:$E$804,$P$9,مثال_Example!$F$5:$F$804,$P$10,مثال_Example!$G$5:$G$804,$P$11,مثال_Example!$I$5:$I$804,$B137))</f>
        <v>0</v>
      </c>
      <c r="D137" s="40" t="str">
        <f aca="false">IF($Q$13=0,"—",C137/$Q$13)</f>
        <v>—</v>
      </c>
      <c r="E137" s="42" t="str">
        <f aca="false">IF(MATCH(B137,GradeList,0)&gt;=AboveRank,"Above",IF(MATCH(B137,GradeList,0)&gt;=AtRank,"At","—"))</f>
        <v>—</v>
      </c>
      <c r="F137" s="47" t="str">
        <f aca="false">B137&amp;_xlfn.UNICHAR(8206)</f>
        <v>B+‎</v>
      </c>
      <c r="G137" s="1"/>
      <c r="H137" s="1"/>
      <c r="I137" s="1"/>
      <c r="J137" s="1"/>
      <c r="K137" s="1"/>
      <c r="L137" s="1"/>
      <c r="M137" s="1"/>
      <c r="N137" s="1"/>
    </row>
    <row r="138" customFormat="false" ht="15" hidden="false" customHeight="false" outlineLevel="0" collapsed="false">
      <c r="A138" s="1"/>
      <c r="B138" s="46" t="s">
        <v>199</v>
      </c>
      <c r="C138" s="39" t="n">
        <f aca="false">(SUMIFS(Data!$Q$5:$Q$5004,Data!$B$5:$B$5004,$P$6,Data!$C$5:$C$5004,$P$8,Data!$D$5:$D$5004,$P$7,Data!$E$5:$E$5004,$P$9,Data!$F$5:$F$5004,$P$10,Data!$G$5:$G$5004,$P$11,Data!$I$5:$I$5004,$B138)+ExOn*SUMIFS(مثال_Example!$Q$5:$Q$804,مثال_Example!$B$5:$B$804,$P$6,مثال_Example!$C$5:$C$804,$P$8,مثال_Example!$D$5:$D$804,$P$7,مثال_Example!$E$5:$E$804,$P$9,مثال_Example!$F$5:$F$804,$P$10,مثال_Example!$G$5:$G$804,$P$11,مثال_Example!$I$5:$I$804,$B138))</f>
        <v>0</v>
      </c>
      <c r="D138" s="40" t="str">
        <f aca="false">IF($Q$13=0,"—",C138/$Q$13)</f>
        <v>—</v>
      </c>
      <c r="E138" s="42" t="str">
        <f aca="false">IF(MATCH(B138,GradeList,0)&gt;=AboveRank,"Above",IF(MATCH(B138,GradeList,0)&gt;=AtRank,"At","—"))</f>
        <v>—</v>
      </c>
      <c r="F138" s="47" t="str">
        <f aca="false">B138&amp;_xlfn.UNICHAR(8206)</f>
        <v>T‎</v>
      </c>
      <c r="G138" s="1"/>
      <c r="H138" s="1"/>
      <c r="I138" s="1"/>
      <c r="J138" s="1"/>
      <c r="K138" s="1"/>
      <c r="L138" s="1"/>
      <c r="M138" s="1"/>
      <c r="N138" s="1"/>
    </row>
    <row r="139" customFormat="false" ht="15" hidden="false" customHeight="false" outlineLevel="0" collapsed="false">
      <c r="A139" s="1"/>
      <c r="B139" s="46" t="s">
        <v>200</v>
      </c>
      <c r="C139" s="39" t="n">
        <f aca="false">(SUMIFS(Data!$Q$5:$Q$5004,Data!$B$5:$B$5004,$P$6,Data!$C$5:$C$5004,$P$8,Data!$D$5:$D$5004,$P$7,Data!$E$5:$E$5004,$P$9,Data!$F$5:$F$5004,$P$10,Data!$G$5:$G$5004,$P$11,Data!$I$5:$I$5004,$B139)+ExOn*SUMIFS(مثال_Example!$Q$5:$Q$804,مثال_Example!$B$5:$B$804,$P$6,مثال_Example!$C$5:$C$804,$P$8,مثال_Example!$D$5:$D$804,$P$7,مثال_Example!$E$5:$E$804,$P$9,مثال_Example!$F$5:$F$804,$P$10,مثال_Example!$G$5:$G$804,$P$11,مثال_Example!$I$5:$I$804,$B139))</f>
        <v>0</v>
      </c>
      <c r="D139" s="40" t="str">
        <f aca="false">IF($Q$13=0,"—",C139/$Q$13)</f>
        <v>—</v>
      </c>
      <c r="E139" s="42" t="str">
        <f aca="false">IF(MATCH(B139,GradeList,0)&gt;=AboveRank,"Above",IF(MATCH(B139,GradeList,0)&gt;=AtRank,"At","—"))</f>
        <v>At</v>
      </c>
      <c r="F139" s="47" t="str">
        <f aca="false">B139&amp;_xlfn.UNICHAR(8206)</f>
        <v>AT‎</v>
      </c>
      <c r="G139" s="1"/>
      <c r="H139" s="1"/>
      <c r="I139" s="1"/>
      <c r="J139" s="1"/>
      <c r="K139" s="1"/>
      <c r="L139" s="1"/>
      <c r="M139" s="1"/>
      <c r="N139" s="1"/>
    </row>
    <row r="140" customFormat="false" ht="15" hidden="false" customHeight="false" outlineLevel="0" collapsed="false">
      <c r="A140" s="1"/>
      <c r="B140" s="46" t="s">
        <v>201</v>
      </c>
      <c r="C140" s="39" t="n">
        <f aca="false">(SUMIFS(Data!$Q$5:$Q$5004,Data!$B$5:$B$5004,$P$6,Data!$C$5:$C$5004,$P$8,Data!$D$5:$D$5004,$P$7,Data!$E$5:$E$5004,$P$9,Data!$F$5:$F$5004,$P$10,Data!$G$5:$G$5004,$P$11,Data!$I$5:$I$5004,$B140)+ExOn*SUMIFS(مثال_Example!$Q$5:$Q$804,مثال_Example!$B$5:$B$804,$P$6,مثال_Example!$C$5:$C$804,$P$8,مثال_Example!$D$5:$D$804,$P$7,مثال_Example!$E$5:$E$804,$P$9,مثال_Example!$F$5:$F$804,$P$10,مثال_Example!$G$5:$G$804,$P$11,مثال_Example!$I$5:$I$804,$B140))</f>
        <v>0</v>
      </c>
      <c r="D140" s="40" t="str">
        <f aca="false">IF($Q$13=0,"—",C140/$Q$13)</f>
        <v>—</v>
      </c>
      <c r="E140" s="42" t="str">
        <f aca="false">IF(MATCH(B140,GradeList,0)&gt;=AboveRank,"Above",IF(MATCH(B140,GradeList,0)&gt;=AtRank,"At","—"))</f>
        <v>At</v>
      </c>
      <c r="F140" s="47" t="str">
        <f aca="false">B140&amp;_xlfn.UNICHAR(8206)</f>
        <v>AT+‎</v>
      </c>
      <c r="G140" s="1"/>
      <c r="H140" s="1"/>
      <c r="I140" s="1"/>
      <c r="J140" s="1"/>
      <c r="K140" s="1"/>
      <c r="L140" s="1"/>
      <c r="M140" s="1"/>
      <c r="N140" s="1"/>
    </row>
    <row r="141" customFormat="false" ht="15" hidden="false" customHeight="false" outlineLevel="0" collapsed="false">
      <c r="A141" s="1"/>
      <c r="B141" s="46" t="s">
        <v>202</v>
      </c>
      <c r="C141" s="39" t="n">
        <f aca="false">(SUMIFS(Data!$Q$5:$Q$5004,Data!$B$5:$B$5004,$P$6,Data!$C$5:$C$5004,$P$8,Data!$D$5:$D$5004,$P$7,Data!$E$5:$E$5004,$P$9,Data!$F$5:$F$5004,$P$10,Data!$G$5:$G$5004,$P$11,Data!$I$5:$I$5004,$B141)+ExOn*SUMIFS(مثال_Example!$Q$5:$Q$804,مثال_Example!$B$5:$B$804,$P$6,مثال_Example!$C$5:$C$804,$P$8,مثال_Example!$D$5:$D$804,$P$7,مثال_Example!$E$5:$E$804,$P$9,مثال_Example!$F$5:$F$804,$P$10,مثال_Example!$G$5:$G$804,$P$11,مثال_Example!$I$5:$I$804,$B141))</f>
        <v>0</v>
      </c>
      <c r="D141" s="40" t="str">
        <f aca="false">IF($Q$13=0,"—",C141/$Q$13)</f>
        <v>—</v>
      </c>
      <c r="E141" s="42" t="str">
        <f aca="false">IF(MATCH(B141,GradeList,0)&gt;=AboveRank,"Above",IF(MATCH(B141,GradeList,0)&gt;=AtRank,"At","—"))</f>
        <v>Above</v>
      </c>
      <c r="F141" s="47" t="str">
        <f aca="false">B141&amp;_xlfn.UNICHAR(8206)</f>
        <v>AB‎</v>
      </c>
      <c r="G141" s="1"/>
      <c r="H141" s="1"/>
      <c r="I141" s="1"/>
      <c r="J141" s="1"/>
      <c r="K141" s="1"/>
      <c r="L141" s="1"/>
      <c r="M141" s="1"/>
      <c r="N141" s="1"/>
    </row>
    <row r="142" customFormat="false" ht="15" hidden="false" customHeight="false" outlineLevel="0" collapsed="false">
      <c r="A142" s="1"/>
      <c r="B142" s="46" t="s">
        <v>203</v>
      </c>
      <c r="C142" s="39" t="n">
        <f aca="false">(SUMIFS(Data!$Q$5:$Q$5004,Data!$B$5:$B$5004,$P$6,Data!$C$5:$C$5004,$P$8,Data!$D$5:$D$5004,$P$7,Data!$E$5:$E$5004,$P$9,Data!$F$5:$F$5004,$P$10,Data!$G$5:$G$5004,$P$11,Data!$I$5:$I$5004,$B142)+ExOn*SUMIFS(مثال_Example!$Q$5:$Q$804,مثال_Example!$B$5:$B$804,$P$6,مثال_Example!$C$5:$C$804,$P$8,مثال_Example!$D$5:$D$804,$P$7,مثال_Example!$E$5:$E$804,$P$9,مثال_Example!$F$5:$F$804,$P$10,مثال_Example!$G$5:$G$804,$P$11,مثال_Example!$I$5:$I$804,$B142))</f>
        <v>0</v>
      </c>
      <c r="D142" s="40" t="str">
        <f aca="false">IF($Q$13=0,"—",C142/$Q$13)</f>
        <v>—</v>
      </c>
      <c r="E142" s="42" t="str">
        <f aca="false">IF(MATCH(B142,GradeList,0)&gt;=AboveRank,"Above",IF(MATCH(B142,GradeList,0)&gt;=AtRank,"At","—"))</f>
        <v>Above</v>
      </c>
      <c r="F142" s="47" t="str">
        <f aca="false">B142&amp;_xlfn.UNICHAR(8206)</f>
        <v>AB+‎</v>
      </c>
      <c r="G142" s="1"/>
      <c r="H142" s="1"/>
      <c r="I142" s="1"/>
      <c r="J142" s="1"/>
      <c r="K142" s="1"/>
      <c r="L142" s="1"/>
      <c r="M142" s="1"/>
      <c r="N142" s="1"/>
    </row>
    <row r="143" customFormat="false" ht="15" hidden="false" customHeight="false" outlineLevel="0" collapsed="false">
      <c r="A143" s="1"/>
      <c r="B143" s="46" t="s">
        <v>204</v>
      </c>
      <c r="C143" s="39" t="n">
        <f aca="false">(SUMIFS(Data!$Q$5:$Q$5004,Data!$B$5:$B$5004,$P$6,Data!$C$5:$C$5004,$P$8,Data!$D$5:$D$5004,$P$7,Data!$E$5:$E$5004,$P$9,Data!$F$5:$F$5004,$P$10,Data!$G$5:$G$5004,$P$11,Data!$I$5:$I$5004,$B143)+ExOn*SUMIFS(مثال_Example!$Q$5:$Q$804,مثال_Example!$B$5:$B$804,$P$6,مثال_Example!$C$5:$C$804,$P$8,مثال_Example!$D$5:$D$804,$P$7,مثال_Example!$E$5:$E$804,$P$9,مثال_Example!$F$5:$F$804,$P$10,مثال_Example!$G$5:$G$804,$P$11,مثال_Example!$I$5:$I$804,$B143))</f>
        <v>0</v>
      </c>
      <c r="D143" s="40" t="str">
        <f aca="false">IF($Q$13=0,"—",C143/$Q$13)</f>
        <v>—</v>
      </c>
      <c r="E143" s="42" t="str">
        <f aca="false">IF(MATCH(B143,GradeList,0)&gt;=AboveRank,"Above",IF(MATCH(B143,GradeList,0)&gt;=AtRank,"At","—"))</f>
        <v>Above</v>
      </c>
      <c r="F143" s="47" t="str">
        <f aca="false">B143&amp;_xlfn.UNICHAR(8206)</f>
        <v>GD‎</v>
      </c>
      <c r="G143" s="1"/>
      <c r="H143" s="1"/>
      <c r="I143" s="1"/>
      <c r="J143" s="1"/>
      <c r="K143" s="1"/>
      <c r="L143" s="1"/>
      <c r="M143" s="1"/>
      <c r="N143" s="1"/>
    </row>
    <row r="144" customFormat="false" ht="15" hidden="false" customHeight="false" outlineLevel="0" collapsed="false">
      <c r="A144" s="1"/>
      <c r="B144" s="46" t="s">
        <v>205</v>
      </c>
      <c r="C144" s="39" t="n">
        <f aca="false">(SUMIFS(Data!$Q$5:$Q$5004,Data!$B$5:$B$5004,$P$6,Data!$C$5:$C$5004,$P$8,Data!$D$5:$D$5004,$P$7,Data!$E$5:$E$5004,$P$9,Data!$F$5:$F$5004,$P$10,Data!$G$5:$G$5004,$P$11,Data!$I$5:$I$5004,$B144)+ExOn*SUMIFS(مثال_Example!$Q$5:$Q$804,مثال_Example!$B$5:$B$804,$P$6,مثال_Example!$C$5:$C$804,$P$8,مثال_Example!$D$5:$D$804,$P$7,مثال_Example!$E$5:$E$804,$P$9,مثال_Example!$F$5:$F$804,$P$10,مثال_Example!$G$5:$G$804,$P$11,مثال_Example!$I$5:$I$804,$B144))</f>
        <v>0</v>
      </c>
      <c r="D144" s="40" t="str">
        <f aca="false">IF($Q$13=0,"—",C144/$Q$13)</f>
        <v>—</v>
      </c>
      <c r="E144" s="42" t="str">
        <f aca="false">IF(MATCH(B144,GradeList,0)&gt;=AboveRank,"Above",IF(MATCH(B144,GradeList,0)&gt;=AtRank,"At","—"))</f>
        <v>Above</v>
      </c>
      <c r="F144" s="47" t="str">
        <f aca="false">B144&amp;_xlfn.UNICHAR(8206)</f>
        <v>GD+‎</v>
      </c>
      <c r="G144" s="1"/>
      <c r="H144" s="1"/>
      <c r="I144" s="1"/>
      <c r="J144" s="1"/>
      <c r="K144" s="1"/>
      <c r="L144" s="1"/>
      <c r="M144" s="1"/>
      <c r="N144" s="1"/>
    </row>
    <row r="145" customFormat="false" ht="15" hidden="false" customHeight="false" outlineLevel="0" collapsed="false">
      <c r="A145" s="1"/>
      <c r="B145" s="43" t="s">
        <v>189</v>
      </c>
      <c r="C145" s="44" t="n">
        <f aca="false">SUM(C135:C144)</f>
        <v>0</v>
      </c>
      <c r="D145" s="45" t="str">
        <f aca="false">IF($Q$13=0,"—",C145/$Q$13)</f>
        <v>—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customFormat="false" ht="31.5" hidden="false" customHeight="true" outlineLevel="0" collapsed="false">
      <c r="A147" s="1"/>
      <c r="B147" s="1"/>
      <c r="C147" s="1"/>
      <c r="D147" s="1"/>
      <c r="E147" s="1"/>
      <c r="F147" s="1"/>
      <c r="G147" s="37" t="s">
        <v>206</v>
      </c>
      <c r="H147" s="37" t="s">
        <v>207</v>
      </c>
      <c r="I147" s="37" t="s">
        <v>208</v>
      </c>
      <c r="J147" s="1"/>
      <c r="K147" s="1"/>
      <c r="L147" s="1"/>
      <c r="M147" s="1"/>
      <c r="N147" s="1"/>
    </row>
    <row r="148" customFormat="false" ht="23.85" hidden="false" customHeight="false" outlineLevel="0" collapsed="false">
      <c r="A148" s="1"/>
      <c r="B148" s="1"/>
      <c r="C148" s="1"/>
      <c r="D148" s="1"/>
      <c r="E148" s="1"/>
      <c r="F148" s="1"/>
      <c r="G148" s="38" t="s">
        <v>209</v>
      </c>
      <c r="H148" s="39" t="n">
        <f aca="false">$Q$13-$Q$14</f>
        <v>0</v>
      </c>
      <c r="I148" s="40" t="str">
        <f aca="false">IF($Q$13=0,"—",H148/$Q$13)</f>
        <v>—</v>
      </c>
      <c r="J148" s="1"/>
      <c r="K148" s="1"/>
      <c r="L148" s="1"/>
      <c r="M148" s="1"/>
      <c r="N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38" t="s">
        <v>210</v>
      </c>
      <c r="H149" s="39" t="n">
        <f aca="false">$Q$14-$Q$15</f>
        <v>0</v>
      </c>
      <c r="I149" s="40" t="str">
        <f aca="false">IF($Q$13=0,"—",H149/$Q$13)</f>
        <v>—</v>
      </c>
      <c r="J149" s="1"/>
      <c r="K149" s="1"/>
      <c r="L149" s="1"/>
      <c r="M149" s="1"/>
      <c r="N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38" t="s">
        <v>16</v>
      </c>
      <c r="H150" s="39" t="n">
        <f aca="false">$Q$15</f>
        <v>0</v>
      </c>
      <c r="I150" s="40" t="str">
        <f aca="false">IF($Q$13=0,"—",H150/$Q$13)</f>
        <v>—</v>
      </c>
      <c r="J150" s="1"/>
      <c r="K150" s="1"/>
      <c r="L150" s="1"/>
      <c r="M150" s="1"/>
      <c r="N150" s="1"/>
    </row>
    <row r="152" customFormat="false" ht="31.5" hidden="false" customHeight="true" outlineLevel="0" collapsed="false">
      <c r="G152" s="37" t="s">
        <v>211</v>
      </c>
      <c r="H152" s="37" t="s">
        <v>207</v>
      </c>
      <c r="I152" s="37" t="s">
        <v>208</v>
      </c>
    </row>
    <row r="153" customFormat="false" ht="23.85" hidden="false" customHeight="false" outlineLevel="0" collapsed="false">
      <c r="G153" s="48" t="s">
        <v>120</v>
      </c>
      <c r="H153" s="49" t="n">
        <f aca="false">$Q$19</f>
        <v>0</v>
      </c>
      <c r="I153" s="50" t="str">
        <f aca="false">IF($Q$24=0,"—",H153/$Q$24)</f>
        <v>—</v>
      </c>
    </row>
    <row r="154" customFormat="false" ht="15" hidden="false" customHeight="false" outlineLevel="0" collapsed="false">
      <c r="G154" s="48" t="s">
        <v>121</v>
      </c>
      <c r="H154" s="49" t="n">
        <f aca="false">$Q$20</f>
        <v>0</v>
      </c>
      <c r="I154" s="50" t="str">
        <f aca="false">IF($Q$24=0,"—",H154/$Q$24)</f>
        <v>—</v>
      </c>
    </row>
    <row r="155" customFormat="false" ht="23.85" hidden="false" customHeight="false" outlineLevel="0" collapsed="false">
      <c r="G155" s="48" t="s">
        <v>122</v>
      </c>
      <c r="H155" s="49" t="n">
        <f aca="false">$Q$21</f>
        <v>0</v>
      </c>
      <c r="I155" s="50" t="str">
        <f aca="false">IF($Q$24=0,"—",H155/$Q$24)</f>
        <v>—</v>
      </c>
    </row>
  </sheetData>
  <sheetProtection sheet="true" formatColumns="false" formatRows="false" sort="false" autoFilter="false"/>
  <mergeCells count="75">
    <mergeCell ref="B1:M2"/>
    <mergeCell ref="B3:M3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8:M8"/>
    <mergeCell ref="B10:M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M15"/>
    <mergeCell ref="B16:C16"/>
    <mergeCell ref="D16:E16"/>
    <mergeCell ref="F16:G16"/>
    <mergeCell ref="H16:I16"/>
    <mergeCell ref="J16:K16"/>
    <mergeCell ref="L16:M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  <mergeCell ref="B20:M20"/>
    <mergeCell ref="H70:M70"/>
    <mergeCell ref="H71:I71"/>
    <mergeCell ref="J71:M71"/>
    <mergeCell ref="H72:I72"/>
    <mergeCell ref="J72:M72"/>
    <mergeCell ref="H73:I73"/>
    <mergeCell ref="J73:M73"/>
    <mergeCell ref="H74:I74"/>
    <mergeCell ref="J74:M74"/>
    <mergeCell ref="H75:I75"/>
    <mergeCell ref="J75:M75"/>
    <mergeCell ref="H76:I76"/>
    <mergeCell ref="J76:M76"/>
    <mergeCell ref="H77:I77"/>
    <mergeCell ref="J77:M79"/>
    <mergeCell ref="H78:I78"/>
    <mergeCell ref="H79:I79"/>
    <mergeCell ref="B93:M93"/>
    <mergeCell ref="B101:M101"/>
    <mergeCell ref="B117:M117"/>
    <mergeCell ref="B133:M133"/>
  </mergeCells>
  <conditionalFormatting sqref="H12">
    <cfRule type="cellIs" priority="2" operator="equal" aboveAverage="0" equalAverage="0" bottom="0" percent="0" rank="0" text="" dxfId="0">
      <formula>"Outstanding"</formula>
    </cfRule>
    <cfRule type="cellIs" priority="3" operator="equal" aboveAverage="0" equalAverage="0" bottom="0" percent="0" rank="0" text="" dxfId="1">
      <formula>"Very Good"</formula>
    </cfRule>
    <cfRule type="cellIs" priority="4" operator="equal" aboveAverage="0" equalAverage="0" bottom="0" percent="0" rank="0" text="" dxfId="2">
      <formula>"Good"</formula>
    </cfRule>
    <cfRule type="cellIs" priority="5" operator="equal" aboveAverage="0" equalAverage="0" bottom="0" percent="0" rank="0" text="" dxfId="3">
      <formula>"Acceptable"</formula>
    </cfRule>
    <cfRule type="cellIs" priority="6" operator="equal" aboveAverage="0" equalAverage="0" bottom="0" percent="0" rank="0" text="" dxfId="4">
      <formula>"Weak"</formula>
    </cfRule>
    <cfRule type="cellIs" priority="7" operator="equal" aboveAverage="0" equalAverage="0" bottom="0" percent="0" rank="0" text="" dxfId="5">
      <formula>"Very Weak"</formula>
    </cfRule>
  </conditionalFormatting>
  <conditionalFormatting sqref="L17">
    <cfRule type="cellIs" priority="8" operator="equal" aboveAverage="0" equalAverage="0" bottom="0" percent="0" rank="0" text="" dxfId="0">
      <formula>"Outstanding"</formula>
    </cfRule>
    <cfRule type="cellIs" priority="9" operator="equal" aboveAverage="0" equalAverage="0" bottom="0" percent="0" rank="0" text="" dxfId="1">
      <formula>"Very Good"</formula>
    </cfRule>
    <cfRule type="cellIs" priority="10" operator="equal" aboveAverage="0" equalAverage="0" bottom="0" percent="0" rank="0" text="" dxfId="2">
      <formula>"Good"</formula>
    </cfRule>
    <cfRule type="cellIs" priority="11" operator="equal" aboveAverage="0" equalAverage="0" bottom="0" percent="0" rank="0" text="" dxfId="3">
      <formula>"Acceptable"</formula>
    </cfRule>
    <cfRule type="cellIs" priority="12" operator="equal" aboveAverage="0" equalAverage="0" bottom="0" percent="0" rank="0" text="" dxfId="4">
      <formula>"Weak"</formula>
    </cfRule>
    <cfRule type="cellIs" priority="13" operator="equal" aboveAverage="0" equalAverage="0" bottom="0" percent="0" rank="0" text="" dxfId="5">
      <formula>"Very Weak"</formula>
    </cfRule>
  </conditionalFormatting>
  <conditionalFormatting sqref="M95:M98">
    <cfRule type="cellIs" priority="14" operator="equal" aboveAverage="0" equalAverage="0" bottom="0" percent="0" rank="0" text="" dxfId="0">
      <formula>"Outstanding"</formula>
    </cfRule>
    <cfRule type="cellIs" priority="15" operator="equal" aboveAverage="0" equalAverage="0" bottom="0" percent="0" rank="0" text="" dxfId="1">
      <formula>"Very Good"</formula>
    </cfRule>
    <cfRule type="cellIs" priority="16" operator="equal" aboveAverage="0" equalAverage="0" bottom="0" percent="0" rank="0" text="" dxfId="2">
      <formula>"Good"</formula>
    </cfRule>
    <cfRule type="cellIs" priority="17" operator="equal" aboveAverage="0" equalAverage="0" bottom="0" percent="0" rank="0" text="" dxfId="3">
      <formula>"Acceptable"</formula>
    </cfRule>
    <cfRule type="cellIs" priority="18" operator="equal" aboveAverage="0" equalAverage="0" bottom="0" percent="0" rank="0" text="" dxfId="4">
      <formula>"Weak"</formula>
    </cfRule>
    <cfRule type="cellIs" priority="19" operator="equal" aboveAverage="0" equalAverage="0" bottom="0" percent="0" rank="0" text="" dxfId="5">
      <formula>"Very Weak"</formula>
    </cfRule>
  </conditionalFormatting>
  <conditionalFormatting sqref="H103:H115">
    <cfRule type="cellIs" priority="20" operator="equal" aboveAverage="0" equalAverage="0" bottom="0" percent="0" rank="0" text="" dxfId="0">
      <formula>"Outstanding"</formula>
    </cfRule>
    <cfRule type="cellIs" priority="21" operator="equal" aboveAverage="0" equalAverage="0" bottom="0" percent="0" rank="0" text="" dxfId="1">
      <formula>"Very Good"</formula>
    </cfRule>
    <cfRule type="cellIs" priority="22" operator="equal" aboveAverage="0" equalAverage="0" bottom="0" percent="0" rank="0" text="" dxfId="2">
      <formula>"Good"</formula>
    </cfRule>
    <cfRule type="cellIs" priority="23" operator="equal" aboveAverage="0" equalAverage="0" bottom="0" percent="0" rank="0" text="" dxfId="3">
      <formula>"Acceptable"</formula>
    </cfRule>
    <cfRule type="cellIs" priority="24" operator="equal" aboveAverage="0" equalAverage="0" bottom="0" percent="0" rank="0" text="" dxfId="4">
      <formula>"Weak"</formula>
    </cfRule>
    <cfRule type="cellIs" priority="25" operator="equal" aboveAverage="0" equalAverage="0" bottom="0" percent="0" rank="0" text="" dxfId="5">
      <formula>"Very Weak"</formula>
    </cfRule>
  </conditionalFormatting>
  <conditionalFormatting sqref="L119:L131">
    <cfRule type="cellIs" priority="26" operator="equal" aboveAverage="0" equalAverage="0" bottom="0" percent="0" rank="0" text="" dxfId="0">
      <formula>"Outstanding"</formula>
    </cfRule>
    <cfRule type="cellIs" priority="27" operator="equal" aboveAverage="0" equalAverage="0" bottom="0" percent="0" rank="0" text="" dxfId="1">
      <formula>"Very Good"</formula>
    </cfRule>
    <cfRule type="cellIs" priority="28" operator="equal" aboveAverage="0" equalAverage="0" bottom="0" percent="0" rank="0" text="" dxfId="2">
      <formula>"Good"</formula>
    </cfRule>
    <cfRule type="cellIs" priority="29" operator="equal" aboveAverage="0" equalAverage="0" bottom="0" percent="0" rank="0" text="" dxfId="3">
      <formula>"Acceptable"</formula>
    </cfRule>
    <cfRule type="cellIs" priority="30" operator="equal" aboveAverage="0" equalAverage="0" bottom="0" percent="0" rank="0" text="" dxfId="4">
      <formula>"Weak"</formula>
    </cfRule>
    <cfRule type="cellIs" priority="31" operator="equal" aboveAverage="0" equalAverage="0" bottom="0" percent="0" rank="0" text="" dxfId="5">
      <formula>"Very Weak"</formula>
    </cfRule>
  </conditionalFormatting>
  <dataValidations count="6">
    <dataValidation allowBlank="true" error="اختر قيمة من القائمة" errorStyle="stop" errorTitle="قيمة غير صحيحة" operator="between" showDropDown="false" showErrorMessage="true" showInputMessage="false" sqref="B7" type="list">
      <formula1>Lists!$E$2:$E$10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D7" type="list">
      <formula1>Lists!$D$2:$D$14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F7" type="list">
      <formula1>Lists!$F$2:$F$72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H7" type="list">
      <formula1>Lists!$G$2:$G$30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J7" type="list">
      <formula1>Lists!$A$2:$A$5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L7" type="list">
      <formula1>Lists!$B$2:$B$7</formula1>
      <formula2>0</formula2>
    </dataValidation>
  </dataValidations>
  <hyperlinks>
    <hyperlink ref="B4" r:id="rId1" location="Guide!A1" display="الدليل"/>
    <hyperlink ref="C4" r:id="rId2" location="Dashboard!A1" display="اللوحة"/>
    <hyperlink ref="D4" r:id="rId3" location="Year_Panel!A1" display="لوحة الصف"/>
    <hyperlink ref="E4" r:id="rId4" location="Teacher_Report!A1" display="المعلمون"/>
    <hyperlink ref="F4" r:id="rId5" location="Data!A1" display="إدخال النتائج"/>
    <hyperlink ref="G4" r:id="rId6" location="Target_Attain!A1" display="هدف التحصيل"/>
    <hyperlink ref="H4" r:id="rId7" location="Target_Progress!A1" display="هدف التقدم"/>
    <hyperlink ref="I4" r:id="rId8" location="Settings!A1" display="الإعدادات"/>
    <hyperlink ref="J4" r:id="rId9" location="Progress_Matrix!A1" display="المصفوفة"/>
    <hyperlink ref="K4" r:id="rId10" location="Classes!A1" display="الصفوف"/>
    <hyperlink ref="L4" r:id="rId11" location="Checks!A1" display="فحوص"/>
    <hyperlink ref="M4" r:id="rId12" location="Tests!A1" display="اختبارا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true"/>
  </sheetPr>
  <dimension ref="A1:Q15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  <col collapsed="false" customWidth="true" hidden="false" outlineLevel="0" max="15" min="15" style="0" width="3"/>
    <col collapsed="false" customWidth="true" hidden="false" outlineLevel="0" max="16" min="16" style="0" width="22"/>
    <col collapsed="false" customWidth="true" hidden="false" outlineLevel="0" max="17" min="17" style="0" width="12"/>
  </cols>
  <sheetData>
    <row r="1" customFormat="false" ht="24" hidden="false" customHeight="true" outlineLevel="0" collapsed="false">
      <c r="A1" s="1"/>
      <c r="B1" s="2" t="s">
        <v>212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</row>
    <row r="2" customFormat="false" ht="24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</row>
    <row r="3" customFormat="false" ht="15" hidden="false" customHeight="false" outlineLevel="0" collapsed="false">
      <c r="A3" s="1"/>
      <c r="B3" s="3" t="str">
        <f aca="false">"اختر الصف والمادة والفترة والمجموعة · العام الدراسي "&amp;Settings!C6&amp;" · الأعداد والنسب والتقديرات حسب البلوك"</f>
        <v>اختر الصف والمادة والفترة والمجموعة · العام الدراسي 2026-27 · الأعداد والنسب والتقديرات حسب البلوك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"/>
    </row>
    <row r="4" customFormat="false" ht="19.5" hidden="false" customHeight="true" outlineLevel="0" collapsed="false">
      <c r="A4" s="1"/>
      <c r="B4" s="8" t="s">
        <v>87</v>
      </c>
      <c r="C4" s="8" t="s">
        <v>88</v>
      </c>
      <c r="D4" s="9" t="s">
        <v>89</v>
      </c>
      <c r="E4" s="8" t="s">
        <v>90</v>
      </c>
      <c r="F4" s="8" t="s">
        <v>91</v>
      </c>
      <c r="G4" s="8" t="s">
        <v>92</v>
      </c>
      <c r="H4" s="8" t="s">
        <v>93</v>
      </c>
      <c r="I4" s="8" t="s">
        <v>94</v>
      </c>
      <c r="J4" s="8" t="s">
        <v>95</v>
      </c>
      <c r="K4" s="8" t="s">
        <v>96</v>
      </c>
      <c r="L4" s="8" t="s">
        <v>97</v>
      </c>
      <c r="M4" s="8" t="s">
        <v>98</v>
      </c>
      <c r="N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P5" s="10" t="s">
        <v>99</v>
      </c>
    </row>
    <row r="6" customFormat="false" ht="15" hidden="false" customHeight="true" outlineLevel="0" collapsed="false">
      <c r="A6" s="1"/>
      <c r="B6" s="11" t="s">
        <v>100</v>
      </c>
      <c r="C6" s="11"/>
      <c r="D6" s="11" t="s">
        <v>101</v>
      </c>
      <c r="E6" s="11"/>
      <c r="F6" s="11" t="s">
        <v>104</v>
      </c>
      <c r="G6" s="11"/>
      <c r="H6" s="11" t="s">
        <v>105</v>
      </c>
      <c r="I6" s="11"/>
      <c r="J6" s="11" t="s">
        <v>102</v>
      </c>
      <c r="K6" s="11"/>
      <c r="L6" s="11" t="s">
        <v>103</v>
      </c>
      <c r="M6" s="11"/>
      <c r="N6" s="1"/>
      <c r="P6" s="12" t="str">
        <f aca="false">IF(B7="الكل (All)","*",B7)</f>
        <v>*</v>
      </c>
    </row>
    <row r="7" customFormat="false" ht="25.5" hidden="false" customHeight="true" outlineLevel="0" collapsed="false">
      <c r="A7" s="1"/>
      <c r="B7" s="13" t="s">
        <v>106</v>
      </c>
      <c r="C7" s="13"/>
      <c r="D7" s="13" t="s">
        <v>179</v>
      </c>
      <c r="E7" s="13"/>
      <c r="F7" s="13" t="s">
        <v>107</v>
      </c>
      <c r="G7" s="13"/>
      <c r="H7" s="13" t="s">
        <v>108</v>
      </c>
      <c r="I7" s="13"/>
      <c r="J7" s="13" t="s">
        <v>106</v>
      </c>
      <c r="K7" s="13"/>
      <c r="L7" s="13" t="s">
        <v>106</v>
      </c>
      <c r="M7" s="13"/>
      <c r="N7" s="1"/>
      <c r="P7" s="12" t="str">
        <f aca="false">D7</f>
        <v>Year 10</v>
      </c>
    </row>
    <row r="8" customFormat="false" ht="15" hidden="false" customHeight="false" outlineLevel="0" collapsed="false">
      <c r="A8" s="1"/>
      <c r="B8" s="14" t="str">
        <f aca="false">IF(Checks!$C$6&gt;0,"⚠ توجد "&amp;Checks!$C$6&amp;" صفوف غير صالحة في Data (راجع عمود الحالة) — لا تدخل في الحساب. ","")&amp;IF(Checks!$C$7&gt;0,"⚠ تنبيهات اتساق: "&amp;Checks!$C$7&amp;" (ورقة Checks). ","")&amp;IF(ExOn=1,"ℹ بيانات «مثال» مُدرجة في التقارير حالياً (Settings).","")</f>
        <v/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"/>
      <c r="P8" s="12" t="str">
        <f aca="false">IF(J7="الكل (All)","*",J7)</f>
        <v>*</v>
      </c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P9" s="12" t="str">
        <f aca="false">IF(L7="الكل (All)","*",L7)</f>
        <v>*</v>
      </c>
    </row>
    <row r="10" customFormat="false" ht="21.75" hidden="false" customHeight="true" outlineLevel="0" collapsed="false">
      <c r="A10" s="1"/>
      <c r="B10" s="4" t="str">
        <f aca="false">"التحصيل | Attainment — "&amp;D7&amp;" · "&amp;F7&amp;" · "&amp;H7</f>
        <v>التحصيل | Attainment — Year 10 · Term 1 · إجمالي الصف (All)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"/>
      <c r="P10" s="12" t="str">
        <f aca="false">F7</f>
        <v>Term 1</v>
      </c>
    </row>
    <row r="11" customFormat="false" ht="30" hidden="false" customHeight="true" outlineLevel="0" collapsed="false">
      <c r="A11" s="1"/>
      <c r="B11" s="15" t="s">
        <v>110</v>
      </c>
      <c r="C11" s="15"/>
      <c r="D11" s="15" t="s">
        <v>14</v>
      </c>
      <c r="E11" s="15"/>
      <c r="F11" s="15" t="s">
        <v>16</v>
      </c>
      <c r="G11" s="15"/>
      <c r="H11" s="15" t="s">
        <v>111</v>
      </c>
      <c r="I11" s="15"/>
      <c r="J11" s="15" t="s">
        <v>112</v>
      </c>
      <c r="K11" s="15"/>
      <c r="L11" s="15" t="s">
        <v>113</v>
      </c>
      <c r="M11" s="15"/>
      <c r="N11" s="1"/>
      <c r="P11" s="12" t="str">
        <f aca="false">H7</f>
        <v>إجمالي الصف (All)</v>
      </c>
    </row>
    <row r="12" customFormat="false" ht="33.75" hidden="false" customHeight="true" outlineLevel="0" collapsed="false">
      <c r="A12" s="1"/>
      <c r="B12" s="16" t="n">
        <f aca="false">$Q$13</f>
        <v>0</v>
      </c>
      <c r="C12" s="16"/>
      <c r="D12" s="17" t="str">
        <f aca="false">IF($Q$13=0,"لا توجد بيانات",$Q$14/$Q$13)</f>
        <v>لا توجد بيانات</v>
      </c>
      <c r="E12" s="17"/>
      <c r="F12" s="17" t="str">
        <f aca="false">IF($Q$13=0,"لا توجد بيانات",$Q$15/$Q$13)</f>
        <v>لا توجد بيانات</v>
      </c>
      <c r="G12" s="17"/>
      <c r="H12" s="18" t="str">
        <f aca="false">IF($Q$13=0,"لا توجد بيانات",IF(ROUND($Q$14/$Q$13,10)&lt;=KeyA_VW,"Very Weak",IF(ROUND($Q$14/$Q$13,10)&lt;KeyA_Weak,"Weak",IF(ROUND($Q$15/$Q$13,10)&lt;KeyA_Acc,"Acceptable",IF(ROUND($Q$15/$Q$13,10)&lt;=KeyA_Good,"Good",IF(ROUND($Q$15/$Q$13,10)&lt;KeyA_Out,"Very Good","Outstanding"))))))</f>
        <v>لا توجد بيانات</v>
      </c>
      <c r="I12" s="18"/>
      <c r="J12" s="19" t="str">
        <f aca="false">IF(OR($P$10="Baseline",$Q$13=0,$Q$16=0),"—",$Q$14/$Q$13-$Q$17/$Q$16)</f>
        <v>—</v>
      </c>
      <c r="K12" s="19"/>
      <c r="L12" s="19" t="str">
        <f aca="false">IF(OR($P$10="Baseline",$Q$13=0,$Q$16=0),"—",$Q$15/$Q$13-$Q$18/$Q$16)</f>
        <v>—</v>
      </c>
      <c r="M12" s="19"/>
      <c r="N12" s="1"/>
      <c r="P12" s="10" t="s">
        <v>114</v>
      </c>
    </row>
    <row r="13" customFormat="false" ht="18" hidden="false" customHeight="true" outlineLevel="0" collapsed="false">
      <c r="A13" s="1"/>
      <c r="B13" s="20" t="str">
        <f aca="false">IF($Q$13=0,"لا توجد بيانات","غياب/بدون نتيجة مستبعد")</f>
        <v>لا توجد بيانات</v>
      </c>
      <c r="C13" s="20"/>
      <c r="D13" s="20" t="str">
        <f aca="false">IF($Q$13=0,"",$Q$14&amp;" من "&amp;$Q$13&amp;" طالب")</f>
        <v/>
      </c>
      <c r="E13" s="20"/>
      <c r="F13" s="20" t="str">
        <f aca="false">IF($Q$13=0,"",$Q$15&amp;" من "&amp;$Q$13&amp;" طالب")</f>
        <v/>
      </c>
      <c r="G13" s="20"/>
      <c r="H13" s="20" t="s">
        <v>115</v>
      </c>
      <c r="I13" s="20"/>
      <c r="J13" s="20" t="s">
        <v>116</v>
      </c>
      <c r="K13" s="20"/>
      <c r="L13" s="20" t="s">
        <v>116</v>
      </c>
      <c r="M13" s="20"/>
      <c r="N13" s="1"/>
      <c r="P13" s="12" t="s">
        <v>117</v>
      </c>
      <c r="Q13" s="21" t="n">
        <f aca="false">(SUMIFS(Data!$Q$5:$Q$5004,Data!$B$5:$B$5004,$P$6,Data!$D$5:$D$5004,$P$7,Data!$C$5:$C$5004,$P$8,Data!$E$5:$E$5004,$P$9,Data!$F$5:$F$5004,$P$10,Data!$G$5:$G$5004,$P$11)+ExOn*SUMIFS(مثال_Example!$Q$5:$Q$804,مثال_Example!$B$5:$B$804,$P$6,مثال_Example!$D$5:$D$804,$P$7,مثال_Example!$C$5:$C$804,$P$8,مثال_Example!$E$5:$E$804,$P$9,مثال_Example!$F$5:$F$804,$P$10,مثال_Example!$G$5:$G$804,$P$11))</f>
        <v>0</v>
      </c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P14" s="12" t="s">
        <v>14</v>
      </c>
      <c r="Q14" s="21" t="n">
        <f aca="false">(SUMIFS(Data!$R$5:$R$5004,Data!$B$5:$B$5004,$P$6,Data!$D$5:$D$5004,$P$7,Data!$C$5:$C$5004,$P$8,Data!$E$5:$E$5004,$P$9,Data!$F$5:$F$5004,$P$10,Data!$G$5:$G$5004,$P$11)+ExOn*SUMIFS(مثال_Example!$R$5:$R$804,مثال_Example!$B$5:$B$804,$P$6,مثال_Example!$D$5:$D$804,$P$7,مثال_Example!$C$5:$C$804,$P$8,مثال_Example!$E$5:$E$804,$P$9,مثال_Example!$F$5:$F$804,$P$10,مثال_Example!$G$5:$G$804,$P$11))</f>
        <v>0</v>
      </c>
    </row>
    <row r="15" customFormat="false" ht="21.75" hidden="false" customHeight="true" outlineLevel="0" collapsed="false">
      <c r="A15" s="1"/>
      <c r="B15" s="4" t="s">
        <v>213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"/>
      <c r="P15" s="12" t="s">
        <v>16</v>
      </c>
      <c r="Q15" s="21" t="n">
        <f aca="false">(SUMIFS(Data!$S$5:$S$5004,Data!$B$5:$B$5004,$P$6,Data!$D$5:$D$5004,$P$7,Data!$C$5:$C$5004,$P$8,Data!$E$5:$E$5004,$P$9,Data!$F$5:$F$5004,$P$10,Data!$G$5:$G$5004,$P$11)+ExOn*SUMIFS(مثال_Example!$S$5:$S$804,مثال_Example!$B$5:$B$804,$P$6,مثال_Example!$D$5:$D$804,$P$7,مثال_Example!$C$5:$C$804,$P$8,مثال_Example!$E$5:$E$804,$P$9,مثال_Example!$F$5:$F$804,$P$10,مثال_Example!$G$5:$G$804,$P$11))</f>
        <v>0</v>
      </c>
    </row>
    <row r="16" customFormat="false" ht="30" hidden="false" customHeight="true" outlineLevel="0" collapsed="false">
      <c r="A16" s="1"/>
      <c r="B16" s="15" t="s">
        <v>119</v>
      </c>
      <c r="C16" s="15"/>
      <c r="D16" s="22" t="s">
        <v>120</v>
      </c>
      <c r="E16" s="22"/>
      <c r="F16" s="23" t="s">
        <v>121</v>
      </c>
      <c r="G16" s="23"/>
      <c r="H16" s="24" t="s">
        <v>122</v>
      </c>
      <c r="I16" s="24"/>
      <c r="J16" s="15" t="s">
        <v>123</v>
      </c>
      <c r="K16" s="15"/>
      <c r="L16" s="15" t="s">
        <v>124</v>
      </c>
      <c r="M16" s="15"/>
      <c r="N16" s="1"/>
      <c r="P16" s="12" t="s">
        <v>125</v>
      </c>
      <c r="Q16" s="21" t="n">
        <f aca="false">(SUMIFS(Data!$Q$5:$Q$5004,Data!$B$5:$B$5004,$P$6,Data!$D$5:$D$5004,$P$7,Data!$C$5:$C$5004,$P$8,Data!$E$5:$E$5004,$P$9,Data!$F$5:$F$5004,"Baseline",Data!$G$5:$G$5004,$P$11)+ExOn*SUMIFS(مثال_Example!$Q$5:$Q$804,مثال_Example!$B$5:$B$804,$P$6,مثال_Example!$D$5:$D$804,$P$7,مثال_Example!$C$5:$C$804,$P$8,مثال_Example!$E$5:$E$804,$P$9,مثال_Example!$F$5:$F$804,"Baseline",مثال_Example!$G$5:$G$804,$P$11))</f>
        <v>0</v>
      </c>
    </row>
    <row r="17" customFormat="false" ht="33.75" hidden="false" customHeight="true" outlineLevel="0" collapsed="false">
      <c r="A17" s="1"/>
      <c r="B17" s="16" t="n">
        <f aca="false">$Q$24</f>
        <v>0</v>
      </c>
      <c r="C17" s="16"/>
      <c r="D17" s="17" t="str">
        <f aca="false">IF($Q$24=0,"لا توجد بيانات",$Q$19/$Q$24)</f>
        <v>لا توجد بيانات</v>
      </c>
      <c r="E17" s="17"/>
      <c r="F17" s="17" t="str">
        <f aca="false">IF($Q$24=0,"لا توجد بيانات",$Q$20/$Q$24)</f>
        <v>لا توجد بيانات</v>
      </c>
      <c r="G17" s="17"/>
      <c r="H17" s="17" t="str">
        <f aca="false">IF($Q$24=0,"لا توجد بيانات",$Q$21/$Q$24)</f>
        <v>لا توجد بيانات</v>
      </c>
      <c r="I17" s="17"/>
      <c r="J17" s="17" t="str">
        <f aca="false">IF($Q$24=0,"لا توجد بيانات",($Q$20+$Q$21)/$Q$24)</f>
        <v>لا توجد بيانات</v>
      </c>
      <c r="K17" s="17"/>
      <c r="L17" s="18" t="str">
        <f aca="false">IF($Q$24=0,"لا توجد بيانات",IF(ROUND(($Q$20+$Q$21)/$Q$24,10)&lt;=KeyP_VW,"Very Weak",IF(ROUND(($Q$20+$Q$21)/$Q$24,10)&lt;KeyP_Weak,"Weak",IF(ROUND($Q$21/$Q$24,10)&lt;KeyP_Acc,"Acceptable",IF(ROUND($Q$21/$Q$24,10)&lt;=KeyP_Good,"Good",IF(ROUND($Q$21/$Q$24,10)&lt;KeyP_Out,"Very Good","Outstanding"))))))</f>
        <v>لا توجد بيانات</v>
      </c>
      <c r="M17" s="18"/>
      <c r="N17" s="1"/>
      <c r="P17" s="12" t="s">
        <v>126</v>
      </c>
      <c r="Q17" s="21" t="n">
        <f aca="false">(SUMIFS(Data!$R$5:$R$5004,Data!$B$5:$B$5004,$P$6,Data!$D$5:$D$5004,$P$7,Data!$C$5:$C$5004,$P$8,Data!$E$5:$E$5004,$P$9,Data!$F$5:$F$5004,"Baseline",Data!$G$5:$G$5004,$P$11)+ExOn*SUMIFS(مثال_Example!$R$5:$R$804,مثال_Example!$B$5:$B$804,$P$6,مثال_Example!$D$5:$D$804,$P$7,مثال_Example!$C$5:$C$804,$P$8,مثال_Example!$E$5:$E$804,$P$9,مثال_Example!$F$5:$F$804,"Baseline",مثال_Example!$G$5:$G$804,$P$11))</f>
        <v>0</v>
      </c>
    </row>
    <row r="18" customFormat="false" ht="18" hidden="false" customHeight="true" outlineLevel="0" collapsed="false">
      <c r="A18" s="1"/>
      <c r="B18" s="20" t="str">
        <f aca="false">"مستبعد: U "&amp;$Q$22&amp;" · بدون Start "&amp;$Q$23</f>
        <v>مستبعد: U 0 · بدون Start 0</v>
      </c>
      <c r="C18" s="20"/>
      <c r="D18" s="20" t="str">
        <f aca="false">IF($Q$24=0,"",$Q$19&amp;" طالب")</f>
        <v/>
      </c>
      <c r="E18" s="20"/>
      <c r="F18" s="20" t="str">
        <f aca="false">IF($Q$24=0,"",$Q$20&amp;" طالب")</f>
        <v/>
      </c>
      <c r="G18" s="20"/>
      <c r="H18" s="20" t="str">
        <f aca="false">IF($Q$24=0,"",$Q$21&amp;" طالب")</f>
        <v/>
      </c>
      <c r="I18" s="20"/>
      <c r="J18" s="20" t="str">
        <f aca="false">IF($Q$24=0,"",($Q$20+$Q$21)&amp;" طالب")</f>
        <v/>
      </c>
      <c r="K18" s="20"/>
      <c r="L18" s="20" t="s">
        <v>127</v>
      </c>
      <c r="M18" s="20"/>
      <c r="N18" s="1"/>
      <c r="P18" s="12" t="s">
        <v>128</v>
      </c>
      <c r="Q18" s="21" t="n">
        <f aca="false">(SUMIFS(Data!$S$5:$S$5004,Data!$B$5:$B$5004,$P$6,Data!$D$5:$D$5004,$P$7,Data!$C$5:$C$5004,$P$8,Data!$E$5:$E$5004,$P$9,Data!$F$5:$F$5004,"Baseline",Data!$G$5:$G$5004,$P$11)+ExOn*SUMIFS(مثال_Example!$S$5:$S$804,مثال_Example!$B$5:$B$804,$P$6,مثال_Example!$D$5:$D$804,$P$7,مثال_Example!$C$5:$C$804,$P$8,مثال_Example!$E$5:$E$804,$P$9,مثال_Example!$F$5:$F$804,"Baseline",مثال_Example!$G$5:$G$804,$P$11))</f>
        <v>0</v>
      </c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P19" s="12" t="s">
        <v>129</v>
      </c>
      <c r="Q19" s="21" t="n">
        <f aca="false">(SUMIFS(Data!$T$5:$T$5004,Data!$B$5:$B$5004,$P$6,Data!$D$5:$D$5004,$P$7,Data!$C$5:$C$5004,$P$8,Data!$E$5:$E$5004,$P$9,Data!$F$5:$F$5004,$P$10,Data!$G$5:$G$5004,$P$11)+ExOn*SUMIFS(مثال_Example!$T$5:$T$804,مثال_Example!$B$5:$B$804,$P$6,مثال_Example!$D$5:$D$804,$P$7,مثال_Example!$C$5:$C$804,$P$8,مثال_Example!$E$5:$E$804,$P$9,مثال_Example!$F$5:$F$804,$P$10,مثال_Example!$G$5:$G$804,$P$11))</f>
        <v>0</v>
      </c>
    </row>
    <row r="20" customFormat="false" ht="21.75" hidden="false" customHeight="true" outlineLevel="0" collapsed="false">
      <c r="A20" s="1"/>
      <c r="B20" s="4" t="s">
        <v>130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"/>
      <c r="P20" s="12" t="s">
        <v>121</v>
      </c>
      <c r="Q20" s="21" t="n">
        <f aca="false">(SUMIFS(Data!$U$5:$U$5004,Data!$B$5:$B$5004,$P$6,Data!$D$5:$D$5004,$P$7,Data!$C$5:$C$5004,$P$8,Data!$E$5:$E$5004,$P$9,Data!$F$5:$F$5004,$P$10,Data!$G$5:$G$5004,$P$11)+ExOn*SUMIFS(مثال_Example!$U$5:$U$804,مثال_Example!$B$5:$B$804,$P$6,مثال_Example!$D$5:$D$804,$P$7,مثال_Example!$C$5:$C$804,$P$8,مثال_Example!$E$5:$E$804,$P$9,مثال_Example!$F$5:$F$804,$P$10,مثال_Example!$G$5:$G$804,$P$11))</f>
        <v>0</v>
      </c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P21" s="12" t="s">
        <v>131</v>
      </c>
      <c r="Q21" s="21" t="n">
        <f aca="false">(SUMIFS(Data!$V$5:$V$5004,Data!$B$5:$B$5004,$P$6,Data!$D$5:$D$5004,$P$7,Data!$C$5:$C$5004,$P$8,Data!$E$5:$E$5004,$P$9,Data!$F$5:$F$5004,$P$10,Data!$G$5:$G$5004,$P$11)+ExOn*SUMIFS(مثال_Example!$V$5:$V$804,مثال_Example!$B$5:$B$804,$P$6,مثال_Example!$D$5:$D$804,$P$7,مثال_Example!$C$5:$C$804,$P$8,مثال_Example!$E$5:$E$804,$P$9,مثال_Example!$F$5:$F$804,$P$10,مثال_Example!$G$5:$G$804,$P$11))</f>
        <v>0</v>
      </c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P22" s="12" t="s">
        <v>132</v>
      </c>
      <c r="Q22" s="21" t="n">
        <f aca="false">(SUMIFS(Data!$W$5:$W$5004,Data!$B$5:$B$5004,$P$6,Data!$D$5:$D$5004,$P$7,Data!$C$5:$C$5004,$P$8,Data!$E$5:$E$5004,$P$9,Data!$F$5:$F$5004,$P$10,Data!$G$5:$G$5004,$P$11)+ExOn*SUMIFS(مثال_Example!$W$5:$W$804,مثال_Example!$B$5:$B$804,$P$6,مثال_Example!$D$5:$D$804,$P$7,مثال_Example!$C$5:$C$804,$P$8,مثال_Example!$E$5:$E$804,$P$9,مثال_Example!$F$5:$F$804,$P$10,مثال_Example!$G$5:$G$804,$P$11))</f>
        <v>0</v>
      </c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P23" s="12" t="s">
        <v>133</v>
      </c>
      <c r="Q23" s="21" t="n">
        <f aca="false">(SUMIFS(Data!$X$5:$X$5004,Data!$B$5:$B$5004,$P$6,Data!$D$5:$D$5004,$P$7,Data!$C$5:$C$5004,$P$8,Data!$E$5:$E$5004,$P$9,Data!$F$5:$F$5004,$P$10,Data!$G$5:$G$5004,$P$11)+ExOn*SUMIFS(مثال_Example!$X$5:$X$804,مثال_Example!$B$5:$B$804,$P$6,مثال_Example!$D$5:$D$804,$P$7,مثال_Example!$C$5:$C$804,$P$8,مثال_Example!$E$5:$E$804,$P$9,مثال_Example!$F$5:$F$804,$P$10,مثال_Example!$G$5:$G$804,$P$11))</f>
        <v>0</v>
      </c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P24" s="12" t="s">
        <v>134</v>
      </c>
      <c r="Q24" s="21" t="n">
        <f aca="false">$Q$19+$Q$20+$Q$21</f>
        <v>0</v>
      </c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true" outlineLevel="0" collapsed="false">
      <c r="A70" s="1"/>
      <c r="B70" s="1"/>
      <c r="C70" s="1"/>
      <c r="D70" s="1"/>
      <c r="E70" s="1"/>
      <c r="F70" s="1"/>
      <c r="G70" s="1"/>
      <c r="H70" s="25" t="s">
        <v>135</v>
      </c>
      <c r="I70" s="25"/>
      <c r="J70" s="25"/>
      <c r="K70" s="25"/>
      <c r="L70" s="25"/>
      <c r="M70" s="25"/>
      <c r="N70" s="1"/>
    </row>
    <row r="71" customFormat="false" ht="15" hidden="false" customHeight="true" outlineLevel="0" collapsed="false">
      <c r="A71" s="1"/>
      <c r="B71" s="1"/>
      <c r="C71" s="1"/>
      <c r="D71" s="1"/>
      <c r="E71" s="1"/>
      <c r="F71" s="1"/>
      <c r="G71" s="1"/>
      <c r="H71" s="26" t="s">
        <v>136</v>
      </c>
      <c r="I71" s="26"/>
      <c r="J71" s="27" t="s">
        <v>137</v>
      </c>
      <c r="K71" s="27"/>
      <c r="L71" s="27"/>
      <c r="M71" s="27"/>
      <c r="N71" s="1"/>
    </row>
    <row r="72" customFormat="false" ht="15" hidden="false" customHeight="true" outlineLevel="0" collapsed="false">
      <c r="A72" s="1"/>
      <c r="B72" s="1"/>
      <c r="C72" s="1"/>
      <c r="D72" s="1"/>
      <c r="E72" s="1"/>
      <c r="F72" s="1"/>
      <c r="G72" s="1"/>
      <c r="H72" s="28" t="s">
        <v>138</v>
      </c>
      <c r="I72" s="28"/>
      <c r="J72" s="27" t="s">
        <v>139</v>
      </c>
      <c r="K72" s="27"/>
      <c r="L72" s="27"/>
      <c r="M72" s="27"/>
      <c r="N72" s="1"/>
    </row>
    <row r="73" customFormat="false" ht="15" hidden="false" customHeight="true" outlineLevel="0" collapsed="false">
      <c r="A73" s="1"/>
      <c r="B73" s="1"/>
      <c r="C73" s="1"/>
      <c r="D73" s="1"/>
      <c r="E73" s="1"/>
      <c r="F73" s="1"/>
      <c r="G73" s="1"/>
      <c r="H73" s="29" t="s">
        <v>140</v>
      </c>
      <c r="I73" s="29"/>
      <c r="J73" s="27" t="s">
        <v>141</v>
      </c>
      <c r="K73" s="27"/>
      <c r="L73" s="27"/>
      <c r="M73" s="27"/>
      <c r="N73" s="1"/>
    </row>
    <row r="74" customFormat="false" ht="15" hidden="false" customHeight="true" outlineLevel="0" collapsed="false">
      <c r="A74" s="1"/>
      <c r="B74" s="1"/>
      <c r="C74" s="1"/>
      <c r="D74" s="1"/>
      <c r="E74" s="1"/>
      <c r="F74" s="1"/>
      <c r="G74" s="1"/>
      <c r="H74" s="30" t="s">
        <v>142</v>
      </c>
      <c r="I74" s="30"/>
      <c r="J74" s="27" t="s">
        <v>143</v>
      </c>
      <c r="K74" s="27"/>
      <c r="L74" s="27"/>
      <c r="M74" s="27"/>
      <c r="N74" s="1"/>
    </row>
    <row r="75" customFormat="false" ht="15" hidden="false" customHeight="true" outlineLevel="0" collapsed="false">
      <c r="A75" s="1"/>
      <c r="B75" s="1"/>
      <c r="C75" s="1"/>
      <c r="D75" s="1"/>
      <c r="E75" s="1"/>
      <c r="F75" s="1"/>
      <c r="G75" s="1"/>
      <c r="H75" s="31" t="s">
        <v>144</v>
      </c>
      <c r="I75" s="31"/>
      <c r="J75" s="27" t="s">
        <v>145</v>
      </c>
      <c r="K75" s="27"/>
      <c r="L75" s="27"/>
      <c r="M75" s="27"/>
      <c r="N75" s="1"/>
    </row>
    <row r="76" customFormat="false" ht="15" hidden="false" customHeight="true" outlineLevel="0" collapsed="false">
      <c r="A76" s="1"/>
      <c r="B76" s="1"/>
      <c r="C76" s="1"/>
      <c r="D76" s="1"/>
      <c r="E76" s="1"/>
      <c r="F76" s="1"/>
      <c r="G76" s="1"/>
      <c r="H76" s="32" t="s">
        <v>146</v>
      </c>
      <c r="I76" s="32"/>
      <c r="J76" s="27" t="s">
        <v>147</v>
      </c>
      <c r="K76" s="27"/>
      <c r="L76" s="27"/>
      <c r="M76" s="27"/>
      <c r="N76" s="1"/>
    </row>
    <row r="77" customFormat="false" ht="15" hidden="false" customHeight="true" outlineLevel="0" collapsed="false">
      <c r="A77" s="1"/>
      <c r="B77" s="1"/>
      <c r="C77" s="1"/>
      <c r="D77" s="1"/>
      <c r="E77" s="1"/>
      <c r="F77" s="1"/>
      <c r="G77" s="1"/>
      <c r="H77" s="33" t="s">
        <v>120</v>
      </c>
      <c r="I77" s="33"/>
      <c r="J77" s="34" t="s">
        <v>148</v>
      </c>
      <c r="K77" s="34"/>
      <c r="L77" s="34"/>
      <c r="M77" s="34"/>
      <c r="N77" s="1"/>
    </row>
    <row r="78" customFormat="false" ht="15" hidden="false" customHeight="true" outlineLevel="0" collapsed="false">
      <c r="A78" s="1"/>
      <c r="B78" s="1"/>
      <c r="C78" s="1"/>
      <c r="D78" s="1"/>
      <c r="E78" s="1"/>
      <c r="F78" s="1"/>
      <c r="G78" s="1"/>
      <c r="H78" s="35" t="s">
        <v>121</v>
      </c>
      <c r="I78" s="35"/>
      <c r="J78" s="34"/>
      <c r="K78" s="34"/>
      <c r="L78" s="34"/>
      <c r="M78" s="34"/>
      <c r="N78" s="1"/>
    </row>
    <row r="79" customFormat="false" ht="15" hidden="false" customHeight="true" outlineLevel="0" collapsed="false">
      <c r="A79" s="1"/>
      <c r="B79" s="1"/>
      <c r="C79" s="1"/>
      <c r="D79" s="1"/>
      <c r="E79" s="1"/>
      <c r="F79" s="1"/>
      <c r="G79" s="1"/>
      <c r="H79" s="36" t="s">
        <v>122</v>
      </c>
      <c r="I79" s="36"/>
      <c r="J79" s="34"/>
      <c r="K79" s="34"/>
      <c r="L79" s="34"/>
      <c r="M79" s="34"/>
      <c r="N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customFormat="false" ht="21.75" hidden="false" customHeight="true" outlineLevel="0" collapsed="false">
      <c r="A93" s="1"/>
      <c r="B93" s="4" t="s">
        <v>214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"/>
    </row>
    <row r="94" customFormat="false" ht="31.5" hidden="false" customHeight="true" outlineLevel="0" collapsed="false">
      <c r="A94" s="1"/>
      <c r="B94" s="37" t="s">
        <v>150</v>
      </c>
      <c r="C94" s="37" t="s">
        <v>151</v>
      </c>
      <c r="D94" s="37" t="s">
        <v>152</v>
      </c>
      <c r="E94" s="37" t="s">
        <v>153</v>
      </c>
      <c r="F94" s="37" t="s">
        <v>154</v>
      </c>
      <c r="G94" s="37" t="s">
        <v>155</v>
      </c>
      <c r="H94" s="37" t="s">
        <v>156</v>
      </c>
      <c r="I94" s="37" t="s">
        <v>157</v>
      </c>
      <c r="J94" s="37" t="s">
        <v>158</v>
      </c>
      <c r="K94" s="37" t="s">
        <v>159</v>
      </c>
      <c r="L94" s="37" t="s">
        <v>160</v>
      </c>
      <c r="M94" s="37" t="s">
        <v>161</v>
      </c>
      <c r="N94" s="1"/>
    </row>
    <row r="95" customFormat="false" ht="15" hidden="false" customHeight="false" outlineLevel="0" collapsed="false">
      <c r="A95" s="1"/>
      <c r="B95" s="38" t="s">
        <v>162</v>
      </c>
      <c r="C95" s="39" t="n">
        <f aca="false">(SUMIFS(Data!$Q$5:$Q$5004,Data!$B$5:$B$5004,$P$6,Data!$D$5:$D$5004,$P$7,Data!$C$5:$C$5004,$P$8,Data!$E$5:$E$5004,$P$9,Data!$F$5:$F$5004,$B95,Data!$G$5:$G$5004,$P$11)+ExOn*SUMIFS(مثال_Example!$Q$5:$Q$804,مثال_Example!$B$5:$B$804,$P$6,مثال_Example!$D$5:$D$804,$P$7,مثال_Example!$C$5:$C$804,$P$8,مثال_Example!$E$5:$E$804,$P$9,مثال_Example!$F$5:$F$804,$B95,مثال_Example!$G$5:$G$804,$P$11))</f>
        <v>0</v>
      </c>
      <c r="D95" s="40" t="str">
        <f aca="false">IF($C95=0,"—",(SUMIFS(Data!$R$5:$R$5004,Data!$B$5:$B$5004,$P$6,Data!$D$5:$D$5004,$P$7,Data!$C$5:$C$5004,$P$8,Data!$E$5:$E$5004,$P$9,Data!$F$5:$F$5004,$B95,Data!$G$5:$G$5004,$P$11)+ExOn*SUMIFS(مثال_Example!$R$5:$R$804,مثال_Example!$B$5:$B$804,$P$6,مثال_Example!$D$5:$D$804,$P$7,مثال_Example!$C$5:$C$804,$P$8,مثال_Example!$E$5:$E$804,$P$9,مثال_Example!$F$5:$F$804,$B95,مثال_Example!$G$5:$G$804,$P$11))/$C95)</f>
        <v>—</v>
      </c>
      <c r="E95" s="40" t="str">
        <f aca="false">IF($C95=0,"—",(SUMIFS(Data!$S$5:$S$5004,Data!$B$5:$B$5004,$P$6,Data!$D$5:$D$5004,$P$7,Data!$C$5:$C$5004,$P$8,Data!$E$5:$E$5004,$P$9,Data!$F$5:$F$5004,$B95,Data!$G$5:$G$5004,$P$11)+ExOn*SUMIFS(مثال_Example!$S$5:$S$804,مثال_Example!$B$5:$B$804,$P$6,مثال_Example!$D$5:$D$804,$P$7,مثال_Example!$C$5:$C$804,$P$8,مثال_Example!$E$5:$E$804,$P$9,مثال_Example!$F$5:$F$804,$B95,مثال_Example!$G$5:$G$804,$P$11))/$C95)</f>
        <v>—</v>
      </c>
      <c r="F95" s="41" t="str">
        <f aca="false">IF(OR($B95="Baseline",NOT(ISNUMBER(D95)),NOT(ISNUMBER(D$95))),"—",D95-D$95)</f>
        <v>—</v>
      </c>
      <c r="G95" s="41" t="str">
        <f aca="false">IF(OR($B95="Baseline",NOT(ISNUMBER(E95)),NOT(ISNUMBER(E$95))),"—",E95-E$95)</f>
        <v>—</v>
      </c>
      <c r="H95" s="39" t="n">
        <f aca="false">(SUMIFS(Data!$T$5:$T$5004,Data!$B$5:$B$5004,$P$6,Data!$D$5:$D$5004,$P$7,Data!$C$5:$C$5004,$P$8,Data!$E$5:$E$5004,$P$9,Data!$F$5:$F$5004,$B95,Data!$G$5:$G$5004,$P$11)+ExOn*SUMIFS(مثال_Example!$T$5:$T$804,مثال_Example!$B$5:$B$804,$P$6,مثال_Example!$D$5:$D$804,$P$7,مثال_Example!$C$5:$C$804,$P$8,مثال_Example!$E$5:$E$804,$P$9,مثال_Example!$F$5:$F$804,$B95,مثال_Example!$G$5:$G$804,$P$11))+(SUMIFS(Data!$U$5:$U$5004,Data!$B$5:$B$5004,$P$6,Data!$D$5:$D$5004,$P$7,Data!$C$5:$C$5004,$P$8,Data!$E$5:$E$5004,$P$9,Data!$F$5:$F$5004,$B95,Data!$G$5:$G$5004,$P$11)+ExOn*SUMIFS(مثال_Example!$U$5:$U$804,مثال_Example!$B$5:$B$804,$P$6,مثال_Example!$D$5:$D$804,$P$7,مثال_Example!$C$5:$C$804,$P$8,مثال_Example!$E$5:$E$804,$P$9,مثال_Example!$F$5:$F$804,$B95,مثال_Example!$G$5:$G$804,$P$11))+(SUMIFS(Data!$V$5:$V$5004,Data!$B$5:$B$5004,$P$6,Data!$D$5:$D$5004,$P$7,Data!$C$5:$C$5004,$P$8,Data!$E$5:$E$5004,$P$9,Data!$F$5:$F$5004,$B95,Data!$G$5:$G$5004,$P$11)+ExOn*SUMIFS(مثال_Example!$V$5:$V$804,مثال_Example!$B$5:$B$804,$P$6,مثال_Example!$D$5:$D$804,$P$7,مثال_Example!$C$5:$C$804,$P$8,مثال_Example!$E$5:$E$804,$P$9,مثال_Example!$F$5:$F$804,$B95,مثال_Example!$G$5:$G$804,$P$11))</f>
        <v>0</v>
      </c>
      <c r="I95" s="40" t="str">
        <f aca="false">IF($H95=0,"—",(SUMIFS(Data!$T$5:$T$5004,Data!$B$5:$B$5004,$P$6,Data!$D$5:$D$5004,$P$7,Data!$C$5:$C$5004,$P$8,Data!$E$5:$E$5004,$P$9,Data!$F$5:$F$5004,$B95,Data!$G$5:$G$5004,$P$11)+ExOn*SUMIFS(مثال_Example!$T$5:$T$804,مثال_Example!$B$5:$B$804,$P$6,مثال_Example!$D$5:$D$804,$P$7,مثال_Example!$C$5:$C$804,$P$8,مثال_Example!$E$5:$E$804,$P$9,مثال_Example!$F$5:$F$804,$B95,مثال_Example!$G$5:$G$804,$P$11))/$H95)</f>
        <v>—</v>
      </c>
      <c r="J95" s="40" t="str">
        <f aca="false">IF($H95=0,"—",(SUMIFS(Data!$U$5:$U$5004,Data!$B$5:$B$5004,$P$6,Data!$D$5:$D$5004,$P$7,Data!$C$5:$C$5004,$P$8,Data!$E$5:$E$5004,$P$9,Data!$F$5:$F$5004,$B95,Data!$G$5:$G$5004,$P$11)+ExOn*SUMIFS(مثال_Example!$U$5:$U$804,مثال_Example!$B$5:$B$804,$P$6,مثال_Example!$D$5:$D$804,$P$7,مثال_Example!$C$5:$C$804,$P$8,مثال_Example!$E$5:$E$804,$P$9,مثال_Example!$F$5:$F$804,$B95,مثال_Example!$G$5:$G$804,$P$11))/$H95)</f>
        <v>—</v>
      </c>
      <c r="K95" s="40" t="str">
        <f aca="false">IF($H95=0,"—",(SUMIFS(Data!$V$5:$V$5004,Data!$B$5:$B$5004,$P$6,Data!$D$5:$D$5004,$P$7,Data!$C$5:$C$5004,$P$8,Data!$E$5:$E$5004,$P$9,Data!$F$5:$F$5004,$B95,Data!$G$5:$G$5004,$P$11)+ExOn*SUMIFS(مثال_Example!$V$5:$V$804,مثال_Example!$B$5:$B$804,$P$6,مثال_Example!$D$5:$D$804,$P$7,مثال_Example!$C$5:$C$804,$P$8,مثال_Example!$E$5:$E$804,$P$9,مثال_Example!$F$5:$F$804,$B95,مثال_Example!$G$5:$G$804,$P$11))/$H95)</f>
        <v>—</v>
      </c>
      <c r="L95" s="40" t="str">
        <f aca="false">IF($H95=0,"—",((SUMIFS(Data!$U$5:$U$5004,Data!$B$5:$B$5004,$P$6,Data!$D$5:$D$5004,$P$7,Data!$C$5:$C$5004,$P$8,Data!$E$5:$E$5004,$P$9,Data!$F$5:$F$5004,$B95,Data!$G$5:$G$5004,$P$11)+ExOn*SUMIFS(مثال_Example!$U$5:$U$804,مثال_Example!$B$5:$B$804,$P$6,مثال_Example!$D$5:$D$804,$P$7,مثال_Example!$C$5:$C$804,$P$8,مثال_Example!$E$5:$E$804,$P$9,مثال_Example!$F$5:$F$804,$B95,مثال_Example!$G$5:$G$804,$P$11))+(SUMIFS(Data!$V$5:$V$5004,Data!$B$5:$B$5004,$P$6,Data!$D$5:$D$5004,$P$7,Data!$C$5:$C$5004,$P$8,Data!$E$5:$E$5004,$P$9,Data!$F$5:$F$5004,$B95,Data!$G$5:$G$5004,$P$11)+ExOn*SUMIFS(مثال_Example!$V$5:$V$804,مثال_Example!$B$5:$B$804,$P$6,مثال_Example!$D$5:$D$804,$P$7,مثال_Example!$C$5:$C$804,$P$8,مثال_Example!$E$5:$E$804,$P$9,مثال_Example!$F$5:$F$804,$B95,مثال_Example!$G$5:$G$804,$P$11)))/$H95)</f>
        <v>—</v>
      </c>
      <c r="M95" s="42" t="str">
        <f aca="false">IF($C95=0,"لا توجد بيانات",IF(ROUND(IF(ISNUMBER(D95),D95,0),10)&lt;=KeyA_VW,"Very Weak",IF(ROUND(IF(ISNUMBER(D95),D95,0),10)&lt;KeyA_Weak,"Weak",IF(ROUND(IF(ISNUMBER(E95),E95,0),10)&lt;KeyA_Acc,"Acceptable",IF(ROUND(IF(ISNUMBER(E95),E95,0),10)&lt;=KeyA_Good,"Good",IF(ROUND(IF(ISNUMBER(E95),E95,0),10)&lt;KeyA_Out,"Very Good","Outstanding"))))))</f>
        <v>لا توجد بيانات</v>
      </c>
      <c r="N95" s="1"/>
    </row>
    <row r="96" customFormat="false" ht="15" hidden="false" customHeight="false" outlineLevel="0" collapsed="false">
      <c r="A96" s="1"/>
      <c r="B96" s="38" t="s">
        <v>107</v>
      </c>
      <c r="C96" s="39" t="n">
        <f aca="false">(SUMIFS(Data!$Q$5:$Q$5004,Data!$B$5:$B$5004,$P$6,Data!$D$5:$D$5004,$P$7,Data!$C$5:$C$5004,$P$8,Data!$E$5:$E$5004,$P$9,Data!$F$5:$F$5004,$B96,Data!$G$5:$G$5004,$P$11)+ExOn*SUMIFS(مثال_Example!$Q$5:$Q$804,مثال_Example!$B$5:$B$804,$P$6,مثال_Example!$D$5:$D$804,$P$7,مثال_Example!$C$5:$C$804,$P$8,مثال_Example!$E$5:$E$804,$P$9,مثال_Example!$F$5:$F$804,$B96,مثال_Example!$G$5:$G$804,$P$11))</f>
        <v>0</v>
      </c>
      <c r="D96" s="40" t="str">
        <f aca="false">IF($C96=0,"—",(SUMIFS(Data!$R$5:$R$5004,Data!$B$5:$B$5004,$P$6,Data!$D$5:$D$5004,$P$7,Data!$C$5:$C$5004,$P$8,Data!$E$5:$E$5004,$P$9,Data!$F$5:$F$5004,$B96,Data!$G$5:$G$5004,$P$11)+ExOn*SUMIFS(مثال_Example!$R$5:$R$804,مثال_Example!$B$5:$B$804,$P$6,مثال_Example!$D$5:$D$804,$P$7,مثال_Example!$C$5:$C$804,$P$8,مثال_Example!$E$5:$E$804,$P$9,مثال_Example!$F$5:$F$804,$B96,مثال_Example!$G$5:$G$804,$P$11))/$C96)</f>
        <v>—</v>
      </c>
      <c r="E96" s="40" t="str">
        <f aca="false">IF($C96=0,"—",(SUMIFS(Data!$S$5:$S$5004,Data!$B$5:$B$5004,$P$6,Data!$D$5:$D$5004,$P$7,Data!$C$5:$C$5004,$P$8,Data!$E$5:$E$5004,$P$9,Data!$F$5:$F$5004,$B96,Data!$G$5:$G$5004,$P$11)+ExOn*SUMIFS(مثال_Example!$S$5:$S$804,مثال_Example!$B$5:$B$804,$P$6,مثال_Example!$D$5:$D$804,$P$7,مثال_Example!$C$5:$C$804,$P$8,مثال_Example!$E$5:$E$804,$P$9,مثال_Example!$F$5:$F$804,$B96,مثال_Example!$G$5:$G$804,$P$11))/$C96)</f>
        <v>—</v>
      </c>
      <c r="F96" s="41" t="str">
        <f aca="false">IF(OR($B96="Baseline",NOT(ISNUMBER(D96)),NOT(ISNUMBER(D$95))),"—",D96-D$95)</f>
        <v>—</v>
      </c>
      <c r="G96" s="41" t="str">
        <f aca="false">IF(OR($B96="Baseline",NOT(ISNUMBER(E96)),NOT(ISNUMBER(E$95))),"—",E96-E$95)</f>
        <v>—</v>
      </c>
      <c r="H96" s="39" t="n">
        <f aca="false">(SUMIFS(Data!$T$5:$T$5004,Data!$B$5:$B$5004,$P$6,Data!$D$5:$D$5004,$P$7,Data!$C$5:$C$5004,$P$8,Data!$E$5:$E$5004,$P$9,Data!$F$5:$F$5004,$B96,Data!$G$5:$G$5004,$P$11)+ExOn*SUMIFS(مثال_Example!$T$5:$T$804,مثال_Example!$B$5:$B$804,$P$6,مثال_Example!$D$5:$D$804,$P$7,مثال_Example!$C$5:$C$804,$P$8,مثال_Example!$E$5:$E$804,$P$9,مثال_Example!$F$5:$F$804,$B96,مثال_Example!$G$5:$G$804,$P$11))+(SUMIFS(Data!$U$5:$U$5004,Data!$B$5:$B$5004,$P$6,Data!$D$5:$D$5004,$P$7,Data!$C$5:$C$5004,$P$8,Data!$E$5:$E$5004,$P$9,Data!$F$5:$F$5004,$B96,Data!$G$5:$G$5004,$P$11)+ExOn*SUMIFS(مثال_Example!$U$5:$U$804,مثال_Example!$B$5:$B$804,$P$6,مثال_Example!$D$5:$D$804,$P$7,مثال_Example!$C$5:$C$804,$P$8,مثال_Example!$E$5:$E$804,$P$9,مثال_Example!$F$5:$F$804,$B96,مثال_Example!$G$5:$G$804,$P$11))+(SUMIFS(Data!$V$5:$V$5004,Data!$B$5:$B$5004,$P$6,Data!$D$5:$D$5004,$P$7,Data!$C$5:$C$5004,$P$8,Data!$E$5:$E$5004,$P$9,Data!$F$5:$F$5004,$B96,Data!$G$5:$G$5004,$P$11)+ExOn*SUMIFS(مثال_Example!$V$5:$V$804,مثال_Example!$B$5:$B$804,$P$6,مثال_Example!$D$5:$D$804,$P$7,مثال_Example!$C$5:$C$804,$P$8,مثال_Example!$E$5:$E$804,$P$9,مثال_Example!$F$5:$F$804,$B96,مثال_Example!$G$5:$G$804,$P$11))</f>
        <v>0</v>
      </c>
      <c r="I96" s="40" t="str">
        <f aca="false">IF($H96=0,"—",(SUMIFS(Data!$T$5:$T$5004,Data!$B$5:$B$5004,$P$6,Data!$D$5:$D$5004,$P$7,Data!$C$5:$C$5004,$P$8,Data!$E$5:$E$5004,$P$9,Data!$F$5:$F$5004,$B96,Data!$G$5:$G$5004,$P$11)+ExOn*SUMIFS(مثال_Example!$T$5:$T$804,مثال_Example!$B$5:$B$804,$P$6,مثال_Example!$D$5:$D$804,$P$7,مثال_Example!$C$5:$C$804,$P$8,مثال_Example!$E$5:$E$804,$P$9,مثال_Example!$F$5:$F$804,$B96,مثال_Example!$G$5:$G$804,$P$11))/$H96)</f>
        <v>—</v>
      </c>
      <c r="J96" s="40" t="str">
        <f aca="false">IF($H96=0,"—",(SUMIFS(Data!$U$5:$U$5004,Data!$B$5:$B$5004,$P$6,Data!$D$5:$D$5004,$P$7,Data!$C$5:$C$5004,$P$8,Data!$E$5:$E$5004,$P$9,Data!$F$5:$F$5004,$B96,Data!$G$5:$G$5004,$P$11)+ExOn*SUMIFS(مثال_Example!$U$5:$U$804,مثال_Example!$B$5:$B$804,$P$6,مثال_Example!$D$5:$D$804,$P$7,مثال_Example!$C$5:$C$804,$P$8,مثال_Example!$E$5:$E$804,$P$9,مثال_Example!$F$5:$F$804,$B96,مثال_Example!$G$5:$G$804,$P$11))/$H96)</f>
        <v>—</v>
      </c>
      <c r="K96" s="40" t="str">
        <f aca="false">IF($H96=0,"—",(SUMIFS(Data!$V$5:$V$5004,Data!$B$5:$B$5004,$P$6,Data!$D$5:$D$5004,$P$7,Data!$C$5:$C$5004,$P$8,Data!$E$5:$E$5004,$P$9,Data!$F$5:$F$5004,$B96,Data!$G$5:$G$5004,$P$11)+ExOn*SUMIFS(مثال_Example!$V$5:$V$804,مثال_Example!$B$5:$B$804,$P$6,مثال_Example!$D$5:$D$804,$P$7,مثال_Example!$C$5:$C$804,$P$8,مثال_Example!$E$5:$E$804,$P$9,مثال_Example!$F$5:$F$804,$B96,مثال_Example!$G$5:$G$804,$P$11))/$H96)</f>
        <v>—</v>
      </c>
      <c r="L96" s="40" t="str">
        <f aca="false">IF($H96=0,"—",((SUMIFS(Data!$U$5:$U$5004,Data!$B$5:$B$5004,$P$6,Data!$D$5:$D$5004,$P$7,Data!$C$5:$C$5004,$P$8,Data!$E$5:$E$5004,$P$9,Data!$F$5:$F$5004,$B96,Data!$G$5:$G$5004,$P$11)+ExOn*SUMIFS(مثال_Example!$U$5:$U$804,مثال_Example!$B$5:$B$804,$P$6,مثال_Example!$D$5:$D$804,$P$7,مثال_Example!$C$5:$C$804,$P$8,مثال_Example!$E$5:$E$804,$P$9,مثال_Example!$F$5:$F$804,$B96,مثال_Example!$G$5:$G$804,$P$11))+(SUMIFS(Data!$V$5:$V$5004,Data!$B$5:$B$5004,$P$6,Data!$D$5:$D$5004,$P$7,Data!$C$5:$C$5004,$P$8,Data!$E$5:$E$5004,$P$9,Data!$F$5:$F$5004,$B96,Data!$G$5:$G$5004,$P$11)+ExOn*SUMIFS(مثال_Example!$V$5:$V$804,مثال_Example!$B$5:$B$804,$P$6,مثال_Example!$D$5:$D$804,$P$7,مثال_Example!$C$5:$C$804,$P$8,مثال_Example!$E$5:$E$804,$P$9,مثال_Example!$F$5:$F$804,$B96,مثال_Example!$G$5:$G$804,$P$11)))/$H96)</f>
        <v>—</v>
      </c>
      <c r="M96" s="42" t="str">
        <f aca="false">IF($C96=0,"لا توجد بيانات",IF(ROUND(IF(ISNUMBER(D96),D96,0),10)&lt;=KeyA_VW,"Very Weak",IF(ROUND(IF(ISNUMBER(D96),D96,0),10)&lt;KeyA_Weak,"Weak",IF(ROUND(IF(ISNUMBER(E96),E96,0),10)&lt;KeyA_Acc,"Acceptable",IF(ROUND(IF(ISNUMBER(E96),E96,0),10)&lt;=KeyA_Good,"Good",IF(ROUND(IF(ISNUMBER(E96),E96,0),10)&lt;KeyA_Out,"Very Good","Outstanding"))))))</f>
        <v>لا توجد بيانات</v>
      </c>
      <c r="N96" s="1"/>
    </row>
    <row r="97" customFormat="false" ht="15" hidden="false" customHeight="false" outlineLevel="0" collapsed="false">
      <c r="A97" s="1"/>
      <c r="B97" s="38" t="s">
        <v>163</v>
      </c>
      <c r="C97" s="39" t="n">
        <f aca="false">(SUMIFS(Data!$Q$5:$Q$5004,Data!$B$5:$B$5004,$P$6,Data!$D$5:$D$5004,$P$7,Data!$C$5:$C$5004,$P$8,Data!$E$5:$E$5004,$P$9,Data!$F$5:$F$5004,$B97,Data!$G$5:$G$5004,$P$11)+ExOn*SUMIFS(مثال_Example!$Q$5:$Q$804,مثال_Example!$B$5:$B$804,$P$6,مثال_Example!$D$5:$D$804,$P$7,مثال_Example!$C$5:$C$804,$P$8,مثال_Example!$E$5:$E$804,$P$9,مثال_Example!$F$5:$F$804,$B97,مثال_Example!$G$5:$G$804,$P$11))</f>
        <v>0</v>
      </c>
      <c r="D97" s="40" t="str">
        <f aca="false">IF($C97=0,"—",(SUMIFS(Data!$R$5:$R$5004,Data!$B$5:$B$5004,$P$6,Data!$D$5:$D$5004,$P$7,Data!$C$5:$C$5004,$P$8,Data!$E$5:$E$5004,$P$9,Data!$F$5:$F$5004,$B97,Data!$G$5:$G$5004,$P$11)+ExOn*SUMIFS(مثال_Example!$R$5:$R$804,مثال_Example!$B$5:$B$804,$P$6,مثال_Example!$D$5:$D$804,$P$7,مثال_Example!$C$5:$C$804,$P$8,مثال_Example!$E$5:$E$804,$P$9,مثال_Example!$F$5:$F$804,$B97,مثال_Example!$G$5:$G$804,$P$11))/$C97)</f>
        <v>—</v>
      </c>
      <c r="E97" s="40" t="str">
        <f aca="false">IF($C97=0,"—",(SUMIFS(Data!$S$5:$S$5004,Data!$B$5:$B$5004,$P$6,Data!$D$5:$D$5004,$P$7,Data!$C$5:$C$5004,$P$8,Data!$E$5:$E$5004,$P$9,Data!$F$5:$F$5004,$B97,Data!$G$5:$G$5004,$P$11)+ExOn*SUMIFS(مثال_Example!$S$5:$S$804,مثال_Example!$B$5:$B$804,$P$6,مثال_Example!$D$5:$D$804,$P$7,مثال_Example!$C$5:$C$804,$P$8,مثال_Example!$E$5:$E$804,$P$9,مثال_Example!$F$5:$F$804,$B97,مثال_Example!$G$5:$G$804,$P$11))/$C97)</f>
        <v>—</v>
      </c>
      <c r="F97" s="41" t="str">
        <f aca="false">IF(OR($B97="Baseline",NOT(ISNUMBER(D97)),NOT(ISNUMBER(D$95))),"—",D97-D$95)</f>
        <v>—</v>
      </c>
      <c r="G97" s="41" t="str">
        <f aca="false">IF(OR($B97="Baseline",NOT(ISNUMBER(E97)),NOT(ISNUMBER(E$95))),"—",E97-E$95)</f>
        <v>—</v>
      </c>
      <c r="H97" s="39" t="n">
        <f aca="false">(SUMIFS(Data!$T$5:$T$5004,Data!$B$5:$B$5004,$P$6,Data!$D$5:$D$5004,$P$7,Data!$C$5:$C$5004,$P$8,Data!$E$5:$E$5004,$P$9,Data!$F$5:$F$5004,$B97,Data!$G$5:$G$5004,$P$11)+ExOn*SUMIFS(مثال_Example!$T$5:$T$804,مثال_Example!$B$5:$B$804,$P$6,مثال_Example!$D$5:$D$804,$P$7,مثال_Example!$C$5:$C$804,$P$8,مثال_Example!$E$5:$E$804,$P$9,مثال_Example!$F$5:$F$804,$B97,مثال_Example!$G$5:$G$804,$P$11))+(SUMIFS(Data!$U$5:$U$5004,Data!$B$5:$B$5004,$P$6,Data!$D$5:$D$5004,$P$7,Data!$C$5:$C$5004,$P$8,Data!$E$5:$E$5004,$P$9,Data!$F$5:$F$5004,$B97,Data!$G$5:$G$5004,$P$11)+ExOn*SUMIFS(مثال_Example!$U$5:$U$804,مثال_Example!$B$5:$B$804,$P$6,مثال_Example!$D$5:$D$804,$P$7,مثال_Example!$C$5:$C$804,$P$8,مثال_Example!$E$5:$E$804,$P$9,مثال_Example!$F$5:$F$804,$B97,مثال_Example!$G$5:$G$804,$P$11))+(SUMIFS(Data!$V$5:$V$5004,Data!$B$5:$B$5004,$P$6,Data!$D$5:$D$5004,$P$7,Data!$C$5:$C$5004,$P$8,Data!$E$5:$E$5004,$P$9,Data!$F$5:$F$5004,$B97,Data!$G$5:$G$5004,$P$11)+ExOn*SUMIFS(مثال_Example!$V$5:$V$804,مثال_Example!$B$5:$B$804,$P$6,مثال_Example!$D$5:$D$804,$P$7,مثال_Example!$C$5:$C$804,$P$8,مثال_Example!$E$5:$E$804,$P$9,مثال_Example!$F$5:$F$804,$B97,مثال_Example!$G$5:$G$804,$P$11))</f>
        <v>0</v>
      </c>
      <c r="I97" s="40" t="str">
        <f aca="false">IF($H97=0,"—",(SUMIFS(Data!$T$5:$T$5004,Data!$B$5:$B$5004,$P$6,Data!$D$5:$D$5004,$P$7,Data!$C$5:$C$5004,$P$8,Data!$E$5:$E$5004,$P$9,Data!$F$5:$F$5004,$B97,Data!$G$5:$G$5004,$P$11)+ExOn*SUMIFS(مثال_Example!$T$5:$T$804,مثال_Example!$B$5:$B$804,$P$6,مثال_Example!$D$5:$D$804,$P$7,مثال_Example!$C$5:$C$804,$P$8,مثال_Example!$E$5:$E$804,$P$9,مثال_Example!$F$5:$F$804,$B97,مثال_Example!$G$5:$G$804,$P$11))/$H97)</f>
        <v>—</v>
      </c>
      <c r="J97" s="40" t="str">
        <f aca="false">IF($H97=0,"—",(SUMIFS(Data!$U$5:$U$5004,Data!$B$5:$B$5004,$P$6,Data!$D$5:$D$5004,$P$7,Data!$C$5:$C$5004,$P$8,Data!$E$5:$E$5004,$P$9,Data!$F$5:$F$5004,$B97,Data!$G$5:$G$5004,$P$11)+ExOn*SUMIFS(مثال_Example!$U$5:$U$804,مثال_Example!$B$5:$B$804,$P$6,مثال_Example!$D$5:$D$804,$P$7,مثال_Example!$C$5:$C$804,$P$8,مثال_Example!$E$5:$E$804,$P$9,مثال_Example!$F$5:$F$804,$B97,مثال_Example!$G$5:$G$804,$P$11))/$H97)</f>
        <v>—</v>
      </c>
      <c r="K97" s="40" t="str">
        <f aca="false">IF($H97=0,"—",(SUMIFS(Data!$V$5:$V$5004,Data!$B$5:$B$5004,$P$6,Data!$D$5:$D$5004,$P$7,Data!$C$5:$C$5004,$P$8,Data!$E$5:$E$5004,$P$9,Data!$F$5:$F$5004,$B97,Data!$G$5:$G$5004,$P$11)+ExOn*SUMIFS(مثال_Example!$V$5:$V$804,مثال_Example!$B$5:$B$804,$P$6,مثال_Example!$D$5:$D$804,$P$7,مثال_Example!$C$5:$C$804,$P$8,مثال_Example!$E$5:$E$804,$P$9,مثال_Example!$F$5:$F$804,$B97,مثال_Example!$G$5:$G$804,$P$11))/$H97)</f>
        <v>—</v>
      </c>
      <c r="L97" s="40" t="str">
        <f aca="false">IF($H97=0,"—",((SUMIFS(Data!$U$5:$U$5004,Data!$B$5:$B$5004,$P$6,Data!$D$5:$D$5004,$P$7,Data!$C$5:$C$5004,$P$8,Data!$E$5:$E$5004,$P$9,Data!$F$5:$F$5004,$B97,Data!$G$5:$G$5004,$P$11)+ExOn*SUMIFS(مثال_Example!$U$5:$U$804,مثال_Example!$B$5:$B$804,$P$6,مثال_Example!$D$5:$D$804,$P$7,مثال_Example!$C$5:$C$804,$P$8,مثال_Example!$E$5:$E$804,$P$9,مثال_Example!$F$5:$F$804,$B97,مثال_Example!$G$5:$G$804,$P$11))+(SUMIFS(Data!$V$5:$V$5004,Data!$B$5:$B$5004,$P$6,Data!$D$5:$D$5004,$P$7,Data!$C$5:$C$5004,$P$8,Data!$E$5:$E$5004,$P$9,Data!$F$5:$F$5004,$B97,Data!$G$5:$G$5004,$P$11)+ExOn*SUMIFS(مثال_Example!$V$5:$V$804,مثال_Example!$B$5:$B$804,$P$6,مثال_Example!$D$5:$D$804,$P$7,مثال_Example!$C$5:$C$804,$P$8,مثال_Example!$E$5:$E$804,$P$9,مثال_Example!$F$5:$F$804,$B97,مثال_Example!$G$5:$G$804,$P$11)))/$H97)</f>
        <v>—</v>
      </c>
      <c r="M97" s="42" t="str">
        <f aca="false">IF($C97=0,"لا توجد بيانات",IF(ROUND(IF(ISNUMBER(D97),D97,0),10)&lt;=KeyA_VW,"Very Weak",IF(ROUND(IF(ISNUMBER(D97),D97,0),10)&lt;KeyA_Weak,"Weak",IF(ROUND(IF(ISNUMBER(E97),E97,0),10)&lt;KeyA_Acc,"Acceptable",IF(ROUND(IF(ISNUMBER(E97),E97,0),10)&lt;=KeyA_Good,"Good",IF(ROUND(IF(ISNUMBER(E97),E97,0),10)&lt;KeyA_Out,"Very Good","Outstanding"))))))</f>
        <v>لا توجد بيانات</v>
      </c>
      <c r="N97" s="1"/>
    </row>
    <row r="98" customFormat="false" ht="15" hidden="false" customHeight="false" outlineLevel="0" collapsed="false">
      <c r="A98" s="1"/>
      <c r="B98" s="38" t="s">
        <v>164</v>
      </c>
      <c r="C98" s="39" t="n">
        <f aca="false">(SUMIFS(Data!$Q$5:$Q$5004,Data!$B$5:$B$5004,$P$6,Data!$D$5:$D$5004,$P$7,Data!$C$5:$C$5004,$P$8,Data!$E$5:$E$5004,$P$9,Data!$F$5:$F$5004,$B98,Data!$G$5:$G$5004,$P$11)+ExOn*SUMIFS(مثال_Example!$Q$5:$Q$804,مثال_Example!$B$5:$B$804,$P$6,مثال_Example!$D$5:$D$804,$P$7,مثال_Example!$C$5:$C$804,$P$8,مثال_Example!$E$5:$E$804,$P$9,مثال_Example!$F$5:$F$804,$B98,مثال_Example!$G$5:$G$804,$P$11))</f>
        <v>0</v>
      </c>
      <c r="D98" s="40" t="str">
        <f aca="false">IF($C98=0,"—",(SUMIFS(Data!$R$5:$R$5004,Data!$B$5:$B$5004,$P$6,Data!$D$5:$D$5004,$P$7,Data!$C$5:$C$5004,$P$8,Data!$E$5:$E$5004,$P$9,Data!$F$5:$F$5004,$B98,Data!$G$5:$G$5004,$P$11)+ExOn*SUMIFS(مثال_Example!$R$5:$R$804,مثال_Example!$B$5:$B$804,$P$6,مثال_Example!$D$5:$D$804,$P$7,مثال_Example!$C$5:$C$804,$P$8,مثال_Example!$E$5:$E$804,$P$9,مثال_Example!$F$5:$F$804,$B98,مثال_Example!$G$5:$G$804,$P$11))/$C98)</f>
        <v>—</v>
      </c>
      <c r="E98" s="40" t="str">
        <f aca="false">IF($C98=0,"—",(SUMIFS(Data!$S$5:$S$5004,Data!$B$5:$B$5004,$P$6,Data!$D$5:$D$5004,$P$7,Data!$C$5:$C$5004,$P$8,Data!$E$5:$E$5004,$P$9,Data!$F$5:$F$5004,$B98,Data!$G$5:$G$5004,$P$11)+ExOn*SUMIFS(مثال_Example!$S$5:$S$804,مثال_Example!$B$5:$B$804,$P$6,مثال_Example!$D$5:$D$804,$P$7,مثال_Example!$C$5:$C$804,$P$8,مثال_Example!$E$5:$E$804,$P$9,مثال_Example!$F$5:$F$804,$B98,مثال_Example!$G$5:$G$804,$P$11))/$C98)</f>
        <v>—</v>
      </c>
      <c r="F98" s="41" t="str">
        <f aca="false">IF(OR($B98="Baseline",NOT(ISNUMBER(D98)),NOT(ISNUMBER(D$95))),"—",D98-D$95)</f>
        <v>—</v>
      </c>
      <c r="G98" s="41" t="str">
        <f aca="false">IF(OR($B98="Baseline",NOT(ISNUMBER(E98)),NOT(ISNUMBER(E$95))),"—",E98-E$95)</f>
        <v>—</v>
      </c>
      <c r="H98" s="39" t="n">
        <f aca="false">(SUMIFS(Data!$T$5:$T$5004,Data!$B$5:$B$5004,$P$6,Data!$D$5:$D$5004,$P$7,Data!$C$5:$C$5004,$P$8,Data!$E$5:$E$5004,$P$9,Data!$F$5:$F$5004,$B98,Data!$G$5:$G$5004,$P$11)+ExOn*SUMIFS(مثال_Example!$T$5:$T$804,مثال_Example!$B$5:$B$804,$P$6,مثال_Example!$D$5:$D$804,$P$7,مثال_Example!$C$5:$C$804,$P$8,مثال_Example!$E$5:$E$804,$P$9,مثال_Example!$F$5:$F$804,$B98,مثال_Example!$G$5:$G$804,$P$11))+(SUMIFS(Data!$U$5:$U$5004,Data!$B$5:$B$5004,$P$6,Data!$D$5:$D$5004,$P$7,Data!$C$5:$C$5004,$P$8,Data!$E$5:$E$5004,$P$9,Data!$F$5:$F$5004,$B98,Data!$G$5:$G$5004,$P$11)+ExOn*SUMIFS(مثال_Example!$U$5:$U$804,مثال_Example!$B$5:$B$804,$P$6,مثال_Example!$D$5:$D$804,$P$7,مثال_Example!$C$5:$C$804,$P$8,مثال_Example!$E$5:$E$804,$P$9,مثال_Example!$F$5:$F$804,$B98,مثال_Example!$G$5:$G$804,$P$11))+(SUMIFS(Data!$V$5:$V$5004,Data!$B$5:$B$5004,$P$6,Data!$D$5:$D$5004,$P$7,Data!$C$5:$C$5004,$P$8,Data!$E$5:$E$5004,$P$9,Data!$F$5:$F$5004,$B98,Data!$G$5:$G$5004,$P$11)+ExOn*SUMIFS(مثال_Example!$V$5:$V$804,مثال_Example!$B$5:$B$804,$P$6,مثال_Example!$D$5:$D$804,$P$7,مثال_Example!$C$5:$C$804,$P$8,مثال_Example!$E$5:$E$804,$P$9,مثال_Example!$F$5:$F$804,$B98,مثال_Example!$G$5:$G$804,$P$11))</f>
        <v>0</v>
      </c>
      <c r="I98" s="40" t="str">
        <f aca="false">IF($H98=0,"—",(SUMIFS(Data!$T$5:$T$5004,Data!$B$5:$B$5004,$P$6,Data!$D$5:$D$5004,$P$7,Data!$C$5:$C$5004,$P$8,Data!$E$5:$E$5004,$P$9,Data!$F$5:$F$5004,$B98,Data!$G$5:$G$5004,$P$11)+ExOn*SUMIFS(مثال_Example!$T$5:$T$804,مثال_Example!$B$5:$B$804,$P$6,مثال_Example!$D$5:$D$804,$P$7,مثال_Example!$C$5:$C$804,$P$8,مثال_Example!$E$5:$E$804,$P$9,مثال_Example!$F$5:$F$804,$B98,مثال_Example!$G$5:$G$804,$P$11))/$H98)</f>
        <v>—</v>
      </c>
      <c r="J98" s="40" t="str">
        <f aca="false">IF($H98=0,"—",(SUMIFS(Data!$U$5:$U$5004,Data!$B$5:$B$5004,$P$6,Data!$D$5:$D$5004,$P$7,Data!$C$5:$C$5004,$P$8,Data!$E$5:$E$5004,$P$9,Data!$F$5:$F$5004,$B98,Data!$G$5:$G$5004,$P$11)+ExOn*SUMIFS(مثال_Example!$U$5:$U$804,مثال_Example!$B$5:$B$804,$P$6,مثال_Example!$D$5:$D$804,$P$7,مثال_Example!$C$5:$C$804,$P$8,مثال_Example!$E$5:$E$804,$P$9,مثال_Example!$F$5:$F$804,$B98,مثال_Example!$G$5:$G$804,$P$11))/$H98)</f>
        <v>—</v>
      </c>
      <c r="K98" s="40" t="str">
        <f aca="false">IF($H98=0,"—",(SUMIFS(Data!$V$5:$V$5004,Data!$B$5:$B$5004,$P$6,Data!$D$5:$D$5004,$P$7,Data!$C$5:$C$5004,$P$8,Data!$E$5:$E$5004,$P$9,Data!$F$5:$F$5004,$B98,Data!$G$5:$G$5004,$P$11)+ExOn*SUMIFS(مثال_Example!$V$5:$V$804,مثال_Example!$B$5:$B$804,$P$6,مثال_Example!$D$5:$D$804,$P$7,مثال_Example!$C$5:$C$804,$P$8,مثال_Example!$E$5:$E$804,$P$9,مثال_Example!$F$5:$F$804,$B98,مثال_Example!$G$5:$G$804,$P$11))/$H98)</f>
        <v>—</v>
      </c>
      <c r="L98" s="40" t="str">
        <f aca="false">IF($H98=0,"—",((SUMIFS(Data!$U$5:$U$5004,Data!$B$5:$B$5004,$P$6,Data!$D$5:$D$5004,$P$7,Data!$C$5:$C$5004,$P$8,Data!$E$5:$E$5004,$P$9,Data!$F$5:$F$5004,$B98,Data!$G$5:$G$5004,$P$11)+ExOn*SUMIFS(مثال_Example!$U$5:$U$804,مثال_Example!$B$5:$B$804,$P$6,مثال_Example!$D$5:$D$804,$P$7,مثال_Example!$C$5:$C$804,$P$8,مثال_Example!$E$5:$E$804,$P$9,مثال_Example!$F$5:$F$804,$B98,مثال_Example!$G$5:$G$804,$P$11))+(SUMIFS(Data!$V$5:$V$5004,Data!$B$5:$B$5004,$P$6,Data!$D$5:$D$5004,$P$7,Data!$C$5:$C$5004,$P$8,Data!$E$5:$E$5004,$P$9,Data!$F$5:$F$5004,$B98,Data!$G$5:$G$5004,$P$11)+ExOn*SUMIFS(مثال_Example!$V$5:$V$804,مثال_Example!$B$5:$B$804,$P$6,مثال_Example!$D$5:$D$804,$P$7,مثال_Example!$C$5:$C$804,$P$8,مثال_Example!$E$5:$E$804,$P$9,مثال_Example!$F$5:$F$804,$B98,مثال_Example!$G$5:$G$804,$P$11)))/$H98)</f>
        <v>—</v>
      </c>
      <c r="M98" s="42" t="str">
        <f aca="false">IF($C98=0,"لا توجد بيانات",IF(ROUND(IF(ISNUMBER(D98),D98,0),10)&lt;=KeyA_VW,"Very Weak",IF(ROUND(IF(ISNUMBER(D98),D98,0),10)&lt;KeyA_Weak,"Weak",IF(ROUND(IF(ISNUMBER(E98),E98,0),10)&lt;KeyA_Acc,"Acceptable",IF(ROUND(IF(ISNUMBER(E98),E98,0),10)&lt;=KeyA_Good,"Good",IF(ROUND(IF(ISNUMBER(E98),E98,0),10)&lt;KeyA_Out,"Very Good","Outstanding"))))))</f>
        <v>لا توجد بيانات</v>
      </c>
      <c r="N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customFormat="false" ht="21.75" hidden="false" customHeight="true" outlineLevel="0" collapsed="false">
      <c r="A101" s="1"/>
      <c r="B101" s="4" t="s">
        <v>215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"/>
    </row>
    <row r="102" customFormat="false" ht="31.5" hidden="false" customHeight="true" outlineLevel="0" collapsed="false">
      <c r="A102" s="1"/>
      <c r="B102" s="37" t="s">
        <v>103</v>
      </c>
      <c r="C102" s="37" t="s">
        <v>151</v>
      </c>
      <c r="D102" s="37" t="s">
        <v>166</v>
      </c>
      <c r="E102" s="37" t="s">
        <v>152</v>
      </c>
      <c r="F102" s="37" t="s">
        <v>167</v>
      </c>
      <c r="G102" s="37" t="s">
        <v>153</v>
      </c>
      <c r="H102" s="37" t="s">
        <v>161</v>
      </c>
      <c r="I102" s="37" t="s">
        <v>156</v>
      </c>
      <c r="J102" s="37" t="s">
        <v>168</v>
      </c>
      <c r="K102" s="37" t="s">
        <v>169</v>
      </c>
      <c r="L102" s="37" t="s">
        <v>170</v>
      </c>
      <c r="M102" s="37" t="s">
        <v>160</v>
      </c>
      <c r="N102" s="1"/>
    </row>
    <row r="103" customFormat="false" ht="15" hidden="false" customHeight="false" outlineLevel="0" collapsed="false">
      <c r="A103" s="1"/>
      <c r="B103" s="38" t="str">
        <f aca="false">IF(IFERROR(INDEX(Lists!$K$2:$R$13,MATCH($D$7,Lists!$J$2:$J$13,0),1),"")="","",INDEX(Lists!$K$2:$R$13,MATCH($D$7,Lists!$J$2:$J$13,0),1))</f>
        <v>ah</v>
      </c>
      <c r="C103" s="39" t="n">
        <f aca="false">IF($B103="","",(SUMIFS(Data!$Q$5:$Q$5004,Data!$B$5:$B$5004,$P$6,Data!$D$5:$D$5004,$P$7,Data!$C$5:$C$5004,$P$8,Data!$E$5:$E$5004,$B103,Data!$F$5:$F$5004,$P$10,Data!$G$5:$G$5004,$P$11)+ExOn*SUMIFS(مثال_Example!$Q$5:$Q$804,مثال_Example!$B$5:$B$804,$P$6,مثال_Example!$D$5:$D$804,$P$7,مثال_Example!$C$5:$C$804,$P$8,مثال_Example!$E$5:$E$804,$B103,مثال_Example!$F$5:$F$804,$P$10,مثال_Example!$G$5:$G$804,$P$11)))</f>
        <v>0</v>
      </c>
      <c r="D103" s="39" t="n">
        <f aca="false">IF($B103="","",(SUMIFS(Data!$R$5:$R$5004,Data!$B$5:$B$5004,$P$6,Data!$D$5:$D$5004,$P$7,Data!$C$5:$C$5004,$P$8,Data!$E$5:$E$5004,$B103,Data!$F$5:$F$5004,$P$10,Data!$G$5:$G$5004,$P$11)+ExOn*SUMIFS(مثال_Example!$R$5:$R$804,مثال_Example!$B$5:$B$804,$P$6,مثال_Example!$D$5:$D$804,$P$7,مثال_Example!$C$5:$C$804,$P$8,مثال_Example!$E$5:$E$804,$B103,مثال_Example!$F$5:$F$804,$P$10,مثال_Example!$G$5:$G$804,$P$11)))</f>
        <v>0</v>
      </c>
      <c r="E103" s="40" t="str">
        <f aca="false">IF($B103="","",IF($C103=0,"—",D103/$C103))</f>
        <v>—</v>
      </c>
      <c r="F103" s="39" t="n">
        <f aca="false">IF($B103="","",(SUMIFS(Data!$S$5:$S$5004,Data!$B$5:$B$5004,$P$6,Data!$D$5:$D$5004,$P$7,Data!$C$5:$C$5004,$P$8,Data!$E$5:$E$5004,$B103,Data!$F$5:$F$5004,$P$10,Data!$G$5:$G$5004,$P$11)+ExOn*SUMIFS(مثال_Example!$S$5:$S$804,مثال_Example!$B$5:$B$804,$P$6,مثال_Example!$D$5:$D$804,$P$7,مثال_Example!$C$5:$C$804,$P$8,مثال_Example!$E$5:$E$804,$B103,مثال_Example!$F$5:$F$804,$P$10,مثال_Example!$G$5:$G$804,$P$11)))</f>
        <v>0</v>
      </c>
      <c r="G103" s="40" t="str">
        <f aca="false">IF($B103="","",IF($C103=0,"—",F103/$C103))</f>
        <v>—</v>
      </c>
      <c r="H103" s="42" t="str">
        <f aca="false">IF($B103="","",IF($C103=0,"لا توجد بيانات",IF(ROUND(D103/C103,10)&lt;=KeyA_VW,"Very Weak",IF(ROUND(D103/C103,10)&lt;KeyA_Weak,"Weak",IF(ROUND(F103/C103,10)&lt;KeyA_Acc,"Acceptable",IF(ROUND(F103/C103,10)&lt;=KeyA_Good,"Good",IF(ROUND(F103/C103,10)&lt;KeyA_Out,"Very Good","Outstanding")))))))</f>
        <v>لا توجد بيانات</v>
      </c>
      <c r="I103" s="39" t="n">
        <f aca="false">IF($B103="","",J103+K103+L103)</f>
        <v>0</v>
      </c>
      <c r="J103" s="39" t="n">
        <f aca="false">IF($B103="","",(SUMIFS(Data!$T$5:$T$5004,Data!$B$5:$B$5004,$P$6,Data!$D$5:$D$5004,$P$7,Data!$C$5:$C$5004,$P$8,Data!$E$5:$E$5004,$B103,Data!$F$5:$F$5004,$P$10,Data!$G$5:$G$5004,$P$11)+ExOn*SUMIFS(مثال_Example!$T$5:$T$804,مثال_Example!$B$5:$B$804,$P$6,مثال_Example!$D$5:$D$804,$P$7,مثال_Example!$C$5:$C$804,$P$8,مثال_Example!$E$5:$E$804,$B103,مثال_Example!$F$5:$F$804,$P$10,مثال_Example!$G$5:$G$804,$P$11)))</f>
        <v>0</v>
      </c>
      <c r="K103" s="39" t="n">
        <f aca="false">IF($B103="","",(SUMIFS(Data!$U$5:$U$5004,Data!$B$5:$B$5004,$P$6,Data!$D$5:$D$5004,$P$7,Data!$C$5:$C$5004,$P$8,Data!$E$5:$E$5004,$B103,Data!$F$5:$F$5004,$P$10,Data!$G$5:$G$5004,$P$11)+ExOn*SUMIFS(مثال_Example!$U$5:$U$804,مثال_Example!$B$5:$B$804,$P$6,مثال_Example!$D$5:$D$804,$P$7,مثال_Example!$C$5:$C$804,$P$8,مثال_Example!$E$5:$E$804,$B103,مثال_Example!$F$5:$F$804,$P$10,مثال_Example!$G$5:$G$804,$P$11)))</f>
        <v>0</v>
      </c>
      <c r="L103" s="39" t="n">
        <f aca="false">IF($B103="","",(SUMIFS(Data!$V$5:$V$5004,Data!$B$5:$B$5004,$P$6,Data!$D$5:$D$5004,$P$7,Data!$C$5:$C$5004,$P$8,Data!$E$5:$E$5004,$B103,Data!$F$5:$F$5004,$P$10,Data!$G$5:$G$5004,$P$11)+ExOn*SUMIFS(مثال_Example!$V$5:$V$804,مثال_Example!$B$5:$B$804,$P$6,مثال_Example!$D$5:$D$804,$P$7,مثال_Example!$C$5:$C$804,$P$8,مثال_Example!$E$5:$E$804,$B103,مثال_Example!$F$5:$F$804,$P$10,مثال_Example!$G$5:$G$804,$P$11)))</f>
        <v>0</v>
      </c>
      <c r="M103" s="40" t="str">
        <f aca="false">IF($B103="","",IF(I103=0,"—",(K103+L103)/I103))</f>
        <v>—</v>
      </c>
      <c r="N103" s="1"/>
    </row>
    <row r="104" customFormat="false" ht="15" hidden="false" customHeight="false" outlineLevel="0" collapsed="false">
      <c r="A104" s="1"/>
      <c r="B104" s="38" t="str">
        <f aca="false">IF(IFERROR(INDEX(Lists!$K$2:$R$13,MATCH($D$7,Lists!$J$2:$J$13,0),2),"")="","",INDEX(Lists!$K$2:$R$13,MATCH($D$7,Lists!$J$2:$J$13,0),2))</f>
        <v>ip</v>
      </c>
      <c r="C104" s="39" t="n">
        <f aca="false">IF($B104="","",(SUMIFS(Data!$Q$5:$Q$5004,Data!$B$5:$B$5004,$P$6,Data!$D$5:$D$5004,$P$7,Data!$C$5:$C$5004,$P$8,Data!$E$5:$E$5004,$B104,Data!$F$5:$F$5004,$P$10,Data!$G$5:$G$5004,$P$11)+ExOn*SUMIFS(مثال_Example!$Q$5:$Q$804,مثال_Example!$B$5:$B$804,$P$6,مثال_Example!$D$5:$D$804,$P$7,مثال_Example!$C$5:$C$804,$P$8,مثال_Example!$E$5:$E$804,$B104,مثال_Example!$F$5:$F$804,$P$10,مثال_Example!$G$5:$G$804,$P$11)))</f>
        <v>0</v>
      </c>
      <c r="D104" s="39" t="n">
        <f aca="false">IF($B104="","",(SUMIFS(Data!$R$5:$R$5004,Data!$B$5:$B$5004,$P$6,Data!$D$5:$D$5004,$P$7,Data!$C$5:$C$5004,$P$8,Data!$E$5:$E$5004,$B104,Data!$F$5:$F$5004,$P$10,Data!$G$5:$G$5004,$P$11)+ExOn*SUMIFS(مثال_Example!$R$5:$R$804,مثال_Example!$B$5:$B$804,$P$6,مثال_Example!$D$5:$D$804,$P$7,مثال_Example!$C$5:$C$804,$P$8,مثال_Example!$E$5:$E$804,$B104,مثال_Example!$F$5:$F$804,$P$10,مثال_Example!$G$5:$G$804,$P$11)))</f>
        <v>0</v>
      </c>
      <c r="E104" s="40" t="str">
        <f aca="false">IF($B104="","",IF($C104=0,"—",D104/$C104))</f>
        <v>—</v>
      </c>
      <c r="F104" s="39" t="n">
        <f aca="false">IF($B104="","",(SUMIFS(Data!$S$5:$S$5004,Data!$B$5:$B$5004,$P$6,Data!$D$5:$D$5004,$P$7,Data!$C$5:$C$5004,$P$8,Data!$E$5:$E$5004,$B104,Data!$F$5:$F$5004,$P$10,Data!$G$5:$G$5004,$P$11)+ExOn*SUMIFS(مثال_Example!$S$5:$S$804,مثال_Example!$B$5:$B$804,$P$6,مثال_Example!$D$5:$D$804,$P$7,مثال_Example!$C$5:$C$804,$P$8,مثال_Example!$E$5:$E$804,$B104,مثال_Example!$F$5:$F$804,$P$10,مثال_Example!$G$5:$G$804,$P$11)))</f>
        <v>0</v>
      </c>
      <c r="G104" s="40" t="str">
        <f aca="false">IF($B104="","",IF($C104=0,"—",F104/$C104))</f>
        <v>—</v>
      </c>
      <c r="H104" s="42" t="str">
        <f aca="false">IF($B104="","",IF($C104=0,"لا توجد بيانات",IF(ROUND(D104/C104,10)&lt;=KeyA_VW,"Very Weak",IF(ROUND(D104/C104,10)&lt;KeyA_Weak,"Weak",IF(ROUND(F104/C104,10)&lt;KeyA_Acc,"Acceptable",IF(ROUND(F104/C104,10)&lt;=KeyA_Good,"Good",IF(ROUND(F104/C104,10)&lt;KeyA_Out,"Very Good","Outstanding")))))))</f>
        <v>لا توجد بيانات</v>
      </c>
      <c r="I104" s="39" t="n">
        <f aca="false">IF($B104="","",J104+K104+L104)</f>
        <v>0</v>
      </c>
      <c r="J104" s="39" t="n">
        <f aca="false">IF($B104="","",(SUMIFS(Data!$T$5:$T$5004,Data!$B$5:$B$5004,$P$6,Data!$D$5:$D$5004,$P$7,Data!$C$5:$C$5004,$P$8,Data!$E$5:$E$5004,$B104,Data!$F$5:$F$5004,$P$10,Data!$G$5:$G$5004,$P$11)+ExOn*SUMIFS(مثال_Example!$T$5:$T$804,مثال_Example!$B$5:$B$804,$P$6,مثال_Example!$D$5:$D$804,$P$7,مثال_Example!$C$5:$C$804,$P$8,مثال_Example!$E$5:$E$804,$B104,مثال_Example!$F$5:$F$804,$P$10,مثال_Example!$G$5:$G$804,$P$11)))</f>
        <v>0</v>
      </c>
      <c r="K104" s="39" t="n">
        <f aca="false">IF($B104="","",(SUMIFS(Data!$U$5:$U$5004,Data!$B$5:$B$5004,$P$6,Data!$D$5:$D$5004,$P$7,Data!$C$5:$C$5004,$P$8,Data!$E$5:$E$5004,$B104,Data!$F$5:$F$5004,$P$10,Data!$G$5:$G$5004,$P$11)+ExOn*SUMIFS(مثال_Example!$U$5:$U$804,مثال_Example!$B$5:$B$804,$P$6,مثال_Example!$D$5:$D$804,$P$7,مثال_Example!$C$5:$C$804,$P$8,مثال_Example!$E$5:$E$804,$B104,مثال_Example!$F$5:$F$804,$P$10,مثال_Example!$G$5:$G$804,$P$11)))</f>
        <v>0</v>
      </c>
      <c r="L104" s="39" t="n">
        <f aca="false">IF($B104="","",(SUMIFS(Data!$V$5:$V$5004,Data!$B$5:$B$5004,$P$6,Data!$D$5:$D$5004,$P$7,Data!$C$5:$C$5004,$P$8,Data!$E$5:$E$5004,$B104,Data!$F$5:$F$5004,$P$10,Data!$G$5:$G$5004,$P$11)+ExOn*SUMIFS(مثال_Example!$V$5:$V$804,مثال_Example!$B$5:$B$804,$P$6,مثال_Example!$D$5:$D$804,$P$7,مثال_Example!$C$5:$C$804,$P$8,مثال_Example!$E$5:$E$804,$B104,مثال_Example!$F$5:$F$804,$P$10,مثال_Example!$G$5:$G$804,$P$11)))</f>
        <v>0</v>
      </c>
      <c r="M104" s="40" t="str">
        <f aca="false">IF($B104="","",IF(I104=0,"—",(K104+L104)/I104))</f>
        <v>—</v>
      </c>
      <c r="N104" s="1"/>
    </row>
    <row r="105" customFormat="false" ht="15" hidden="false" customHeight="false" outlineLevel="0" collapsed="false">
      <c r="A105" s="1"/>
      <c r="B105" s="38" t="str">
        <f aca="false">IF(IFERROR(INDEX(Lists!$K$2:$R$13,MATCH($D$7,Lists!$J$2:$J$13,0),3),"")="","",INDEX(Lists!$K$2:$R$13,MATCH($D$7,Lists!$J$2:$J$13,0),3))</f>
        <v/>
      </c>
      <c r="C105" s="39" t="str">
        <f aca="false">IF($B105="","",(SUMIFS(Data!$Q$5:$Q$5004,Data!$B$5:$B$5004,$P$6,Data!$D$5:$D$5004,$P$7,Data!$C$5:$C$5004,$P$8,Data!$E$5:$E$5004,$B105,Data!$F$5:$F$5004,$P$10,Data!$G$5:$G$5004,$P$11)+ExOn*SUMIFS(مثال_Example!$Q$5:$Q$804,مثال_Example!$B$5:$B$804,$P$6,مثال_Example!$D$5:$D$804,$P$7,مثال_Example!$C$5:$C$804,$P$8,مثال_Example!$E$5:$E$804,$B105,مثال_Example!$F$5:$F$804,$P$10,مثال_Example!$G$5:$G$804,$P$11)))</f>
        <v/>
      </c>
      <c r="D105" s="39" t="str">
        <f aca="false">IF($B105="","",(SUMIFS(Data!$R$5:$R$5004,Data!$B$5:$B$5004,$P$6,Data!$D$5:$D$5004,$P$7,Data!$C$5:$C$5004,$P$8,Data!$E$5:$E$5004,$B105,Data!$F$5:$F$5004,$P$10,Data!$G$5:$G$5004,$P$11)+ExOn*SUMIFS(مثال_Example!$R$5:$R$804,مثال_Example!$B$5:$B$804,$P$6,مثال_Example!$D$5:$D$804,$P$7,مثال_Example!$C$5:$C$804,$P$8,مثال_Example!$E$5:$E$804,$B105,مثال_Example!$F$5:$F$804,$P$10,مثال_Example!$G$5:$G$804,$P$11)))</f>
        <v/>
      </c>
      <c r="E105" s="40" t="str">
        <f aca="false">IF($B105="","",IF($C105=0,"—",D105/$C105))</f>
        <v/>
      </c>
      <c r="F105" s="39" t="str">
        <f aca="false">IF($B105="","",(SUMIFS(Data!$S$5:$S$5004,Data!$B$5:$B$5004,$P$6,Data!$D$5:$D$5004,$P$7,Data!$C$5:$C$5004,$P$8,Data!$E$5:$E$5004,$B105,Data!$F$5:$F$5004,$P$10,Data!$G$5:$G$5004,$P$11)+ExOn*SUMIFS(مثال_Example!$S$5:$S$804,مثال_Example!$B$5:$B$804,$P$6,مثال_Example!$D$5:$D$804,$P$7,مثال_Example!$C$5:$C$804,$P$8,مثال_Example!$E$5:$E$804,$B105,مثال_Example!$F$5:$F$804,$P$10,مثال_Example!$G$5:$G$804,$P$11)))</f>
        <v/>
      </c>
      <c r="G105" s="40" t="str">
        <f aca="false">IF($B105="","",IF($C105=0,"—",F105/$C105))</f>
        <v/>
      </c>
      <c r="H105" s="42" t="str">
        <f aca="false">IF($B105="","",IF($C105=0,"لا توجد بيانات",IF(ROUND(D105/C105,10)&lt;=KeyA_VW,"Very Weak",IF(ROUND(D105/C105,10)&lt;KeyA_Weak,"Weak",IF(ROUND(F105/C105,10)&lt;KeyA_Acc,"Acceptable",IF(ROUND(F105/C105,10)&lt;=KeyA_Good,"Good",IF(ROUND(F105/C105,10)&lt;KeyA_Out,"Very Good","Outstanding")))))))</f>
        <v/>
      </c>
      <c r="I105" s="39" t="str">
        <f aca="false">IF($B105="","",J105+K105+L105)</f>
        <v/>
      </c>
      <c r="J105" s="39" t="str">
        <f aca="false">IF($B105="","",(SUMIFS(Data!$T$5:$T$5004,Data!$B$5:$B$5004,$P$6,Data!$D$5:$D$5004,$P$7,Data!$C$5:$C$5004,$P$8,Data!$E$5:$E$5004,$B105,Data!$F$5:$F$5004,$P$10,Data!$G$5:$G$5004,$P$11)+ExOn*SUMIFS(مثال_Example!$T$5:$T$804,مثال_Example!$B$5:$B$804,$P$6,مثال_Example!$D$5:$D$804,$P$7,مثال_Example!$C$5:$C$804,$P$8,مثال_Example!$E$5:$E$804,$B105,مثال_Example!$F$5:$F$804,$P$10,مثال_Example!$G$5:$G$804,$P$11)))</f>
        <v/>
      </c>
      <c r="K105" s="39" t="str">
        <f aca="false">IF($B105="","",(SUMIFS(Data!$U$5:$U$5004,Data!$B$5:$B$5004,$P$6,Data!$D$5:$D$5004,$P$7,Data!$C$5:$C$5004,$P$8,Data!$E$5:$E$5004,$B105,Data!$F$5:$F$5004,$P$10,Data!$G$5:$G$5004,$P$11)+ExOn*SUMIFS(مثال_Example!$U$5:$U$804,مثال_Example!$B$5:$B$804,$P$6,مثال_Example!$D$5:$D$804,$P$7,مثال_Example!$C$5:$C$804,$P$8,مثال_Example!$E$5:$E$804,$B105,مثال_Example!$F$5:$F$804,$P$10,مثال_Example!$G$5:$G$804,$P$11)))</f>
        <v/>
      </c>
      <c r="L105" s="39" t="str">
        <f aca="false">IF($B105="","",(SUMIFS(Data!$V$5:$V$5004,Data!$B$5:$B$5004,$P$6,Data!$D$5:$D$5004,$P$7,Data!$C$5:$C$5004,$P$8,Data!$E$5:$E$5004,$B105,Data!$F$5:$F$5004,$P$10,Data!$G$5:$G$5004,$P$11)+ExOn*SUMIFS(مثال_Example!$V$5:$V$804,مثال_Example!$B$5:$B$804,$P$6,مثال_Example!$D$5:$D$804,$P$7,مثال_Example!$C$5:$C$804,$P$8,مثال_Example!$E$5:$E$804,$B105,مثال_Example!$F$5:$F$804,$P$10,مثال_Example!$G$5:$G$804,$P$11)))</f>
        <v/>
      </c>
      <c r="M105" s="40" t="str">
        <f aca="false">IF($B105="","",IF(I105=0,"—",(K105+L105)/I105))</f>
        <v/>
      </c>
      <c r="N105" s="1"/>
    </row>
    <row r="106" customFormat="false" ht="15" hidden="false" customHeight="false" outlineLevel="0" collapsed="false">
      <c r="A106" s="1"/>
      <c r="B106" s="38" t="str">
        <f aca="false">IF(IFERROR(INDEX(Lists!$K$2:$R$13,MATCH($D$7,Lists!$J$2:$J$13,0),4),"")="","",INDEX(Lists!$K$2:$R$13,MATCH($D$7,Lists!$J$2:$J$13,0),4))</f>
        <v/>
      </c>
      <c r="C106" s="39" t="str">
        <f aca="false">IF($B106="","",(SUMIFS(Data!$Q$5:$Q$5004,Data!$B$5:$B$5004,$P$6,Data!$D$5:$D$5004,$P$7,Data!$C$5:$C$5004,$P$8,Data!$E$5:$E$5004,$B106,Data!$F$5:$F$5004,$P$10,Data!$G$5:$G$5004,$P$11)+ExOn*SUMIFS(مثال_Example!$Q$5:$Q$804,مثال_Example!$B$5:$B$804,$P$6,مثال_Example!$D$5:$D$804,$P$7,مثال_Example!$C$5:$C$804,$P$8,مثال_Example!$E$5:$E$804,$B106,مثال_Example!$F$5:$F$804,$P$10,مثال_Example!$G$5:$G$804,$P$11)))</f>
        <v/>
      </c>
      <c r="D106" s="39" t="str">
        <f aca="false">IF($B106="","",(SUMIFS(Data!$R$5:$R$5004,Data!$B$5:$B$5004,$P$6,Data!$D$5:$D$5004,$P$7,Data!$C$5:$C$5004,$P$8,Data!$E$5:$E$5004,$B106,Data!$F$5:$F$5004,$P$10,Data!$G$5:$G$5004,$P$11)+ExOn*SUMIFS(مثال_Example!$R$5:$R$804,مثال_Example!$B$5:$B$804,$P$6,مثال_Example!$D$5:$D$804,$P$7,مثال_Example!$C$5:$C$804,$P$8,مثال_Example!$E$5:$E$804,$B106,مثال_Example!$F$5:$F$804,$P$10,مثال_Example!$G$5:$G$804,$P$11)))</f>
        <v/>
      </c>
      <c r="E106" s="40" t="str">
        <f aca="false">IF($B106="","",IF($C106=0,"—",D106/$C106))</f>
        <v/>
      </c>
      <c r="F106" s="39" t="str">
        <f aca="false">IF($B106="","",(SUMIFS(Data!$S$5:$S$5004,Data!$B$5:$B$5004,$P$6,Data!$D$5:$D$5004,$P$7,Data!$C$5:$C$5004,$P$8,Data!$E$5:$E$5004,$B106,Data!$F$5:$F$5004,$P$10,Data!$G$5:$G$5004,$P$11)+ExOn*SUMIFS(مثال_Example!$S$5:$S$804,مثال_Example!$B$5:$B$804,$P$6,مثال_Example!$D$5:$D$804,$P$7,مثال_Example!$C$5:$C$804,$P$8,مثال_Example!$E$5:$E$804,$B106,مثال_Example!$F$5:$F$804,$P$10,مثال_Example!$G$5:$G$804,$P$11)))</f>
        <v/>
      </c>
      <c r="G106" s="40" t="str">
        <f aca="false">IF($B106="","",IF($C106=0,"—",F106/$C106))</f>
        <v/>
      </c>
      <c r="H106" s="42" t="str">
        <f aca="false">IF($B106="","",IF($C106=0,"لا توجد بيانات",IF(ROUND(D106/C106,10)&lt;=KeyA_VW,"Very Weak",IF(ROUND(D106/C106,10)&lt;KeyA_Weak,"Weak",IF(ROUND(F106/C106,10)&lt;KeyA_Acc,"Acceptable",IF(ROUND(F106/C106,10)&lt;=KeyA_Good,"Good",IF(ROUND(F106/C106,10)&lt;KeyA_Out,"Very Good","Outstanding")))))))</f>
        <v/>
      </c>
      <c r="I106" s="39" t="str">
        <f aca="false">IF($B106="","",J106+K106+L106)</f>
        <v/>
      </c>
      <c r="J106" s="39" t="str">
        <f aca="false">IF($B106="","",(SUMIFS(Data!$T$5:$T$5004,Data!$B$5:$B$5004,$P$6,Data!$D$5:$D$5004,$P$7,Data!$C$5:$C$5004,$P$8,Data!$E$5:$E$5004,$B106,Data!$F$5:$F$5004,$P$10,Data!$G$5:$G$5004,$P$11)+ExOn*SUMIFS(مثال_Example!$T$5:$T$804,مثال_Example!$B$5:$B$804,$P$6,مثال_Example!$D$5:$D$804,$P$7,مثال_Example!$C$5:$C$804,$P$8,مثال_Example!$E$5:$E$804,$B106,مثال_Example!$F$5:$F$804,$P$10,مثال_Example!$G$5:$G$804,$P$11)))</f>
        <v/>
      </c>
      <c r="K106" s="39" t="str">
        <f aca="false">IF($B106="","",(SUMIFS(Data!$U$5:$U$5004,Data!$B$5:$B$5004,$P$6,Data!$D$5:$D$5004,$P$7,Data!$C$5:$C$5004,$P$8,Data!$E$5:$E$5004,$B106,Data!$F$5:$F$5004,$P$10,Data!$G$5:$G$5004,$P$11)+ExOn*SUMIFS(مثال_Example!$U$5:$U$804,مثال_Example!$B$5:$B$804,$P$6,مثال_Example!$D$5:$D$804,$P$7,مثال_Example!$C$5:$C$804,$P$8,مثال_Example!$E$5:$E$804,$B106,مثال_Example!$F$5:$F$804,$P$10,مثال_Example!$G$5:$G$804,$P$11)))</f>
        <v/>
      </c>
      <c r="L106" s="39" t="str">
        <f aca="false">IF($B106="","",(SUMIFS(Data!$V$5:$V$5004,Data!$B$5:$B$5004,$P$6,Data!$D$5:$D$5004,$P$7,Data!$C$5:$C$5004,$P$8,Data!$E$5:$E$5004,$B106,Data!$F$5:$F$5004,$P$10,Data!$G$5:$G$5004,$P$11)+ExOn*SUMIFS(مثال_Example!$V$5:$V$804,مثال_Example!$B$5:$B$804,$P$6,مثال_Example!$D$5:$D$804,$P$7,مثال_Example!$C$5:$C$804,$P$8,مثال_Example!$E$5:$E$804,$B106,مثال_Example!$F$5:$F$804,$P$10,مثال_Example!$G$5:$G$804,$P$11)))</f>
        <v/>
      </c>
      <c r="M106" s="40" t="str">
        <f aca="false">IF($B106="","",IF(I106=0,"—",(K106+L106)/I106))</f>
        <v/>
      </c>
      <c r="N106" s="1"/>
    </row>
    <row r="107" customFormat="false" ht="15" hidden="false" customHeight="false" outlineLevel="0" collapsed="false">
      <c r="A107" s="1"/>
      <c r="B107" s="38" t="str">
        <f aca="false">IF(IFERROR(INDEX(Lists!$K$2:$R$13,MATCH($D$7,Lists!$J$2:$J$13,0),5),"")="","",INDEX(Lists!$K$2:$R$13,MATCH($D$7,Lists!$J$2:$J$13,0),5))</f>
        <v/>
      </c>
      <c r="C107" s="39" t="str">
        <f aca="false">IF($B107="","",(SUMIFS(Data!$Q$5:$Q$5004,Data!$B$5:$B$5004,$P$6,Data!$D$5:$D$5004,$P$7,Data!$C$5:$C$5004,$P$8,Data!$E$5:$E$5004,$B107,Data!$F$5:$F$5004,$P$10,Data!$G$5:$G$5004,$P$11)+ExOn*SUMIFS(مثال_Example!$Q$5:$Q$804,مثال_Example!$B$5:$B$804,$P$6,مثال_Example!$D$5:$D$804,$P$7,مثال_Example!$C$5:$C$804,$P$8,مثال_Example!$E$5:$E$804,$B107,مثال_Example!$F$5:$F$804,$P$10,مثال_Example!$G$5:$G$804,$P$11)))</f>
        <v/>
      </c>
      <c r="D107" s="39" t="str">
        <f aca="false">IF($B107="","",(SUMIFS(Data!$R$5:$R$5004,Data!$B$5:$B$5004,$P$6,Data!$D$5:$D$5004,$P$7,Data!$C$5:$C$5004,$P$8,Data!$E$5:$E$5004,$B107,Data!$F$5:$F$5004,$P$10,Data!$G$5:$G$5004,$P$11)+ExOn*SUMIFS(مثال_Example!$R$5:$R$804,مثال_Example!$B$5:$B$804,$P$6,مثال_Example!$D$5:$D$804,$P$7,مثال_Example!$C$5:$C$804,$P$8,مثال_Example!$E$5:$E$804,$B107,مثال_Example!$F$5:$F$804,$P$10,مثال_Example!$G$5:$G$804,$P$11)))</f>
        <v/>
      </c>
      <c r="E107" s="40" t="str">
        <f aca="false">IF($B107="","",IF($C107=0,"—",D107/$C107))</f>
        <v/>
      </c>
      <c r="F107" s="39" t="str">
        <f aca="false">IF($B107="","",(SUMIFS(Data!$S$5:$S$5004,Data!$B$5:$B$5004,$P$6,Data!$D$5:$D$5004,$P$7,Data!$C$5:$C$5004,$P$8,Data!$E$5:$E$5004,$B107,Data!$F$5:$F$5004,$P$10,Data!$G$5:$G$5004,$P$11)+ExOn*SUMIFS(مثال_Example!$S$5:$S$804,مثال_Example!$B$5:$B$804,$P$6,مثال_Example!$D$5:$D$804,$P$7,مثال_Example!$C$5:$C$804,$P$8,مثال_Example!$E$5:$E$804,$B107,مثال_Example!$F$5:$F$804,$P$10,مثال_Example!$G$5:$G$804,$P$11)))</f>
        <v/>
      </c>
      <c r="G107" s="40" t="str">
        <f aca="false">IF($B107="","",IF($C107=0,"—",F107/$C107))</f>
        <v/>
      </c>
      <c r="H107" s="42" t="str">
        <f aca="false">IF($B107="","",IF($C107=0,"لا توجد بيانات",IF(ROUND(D107/C107,10)&lt;=KeyA_VW,"Very Weak",IF(ROUND(D107/C107,10)&lt;KeyA_Weak,"Weak",IF(ROUND(F107/C107,10)&lt;KeyA_Acc,"Acceptable",IF(ROUND(F107/C107,10)&lt;=KeyA_Good,"Good",IF(ROUND(F107/C107,10)&lt;KeyA_Out,"Very Good","Outstanding")))))))</f>
        <v/>
      </c>
      <c r="I107" s="39" t="str">
        <f aca="false">IF($B107="","",J107+K107+L107)</f>
        <v/>
      </c>
      <c r="J107" s="39" t="str">
        <f aca="false">IF($B107="","",(SUMIFS(Data!$T$5:$T$5004,Data!$B$5:$B$5004,$P$6,Data!$D$5:$D$5004,$P$7,Data!$C$5:$C$5004,$P$8,Data!$E$5:$E$5004,$B107,Data!$F$5:$F$5004,$P$10,Data!$G$5:$G$5004,$P$11)+ExOn*SUMIFS(مثال_Example!$T$5:$T$804,مثال_Example!$B$5:$B$804,$P$6,مثال_Example!$D$5:$D$804,$P$7,مثال_Example!$C$5:$C$804,$P$8,مثال_Example!$E$5:$E$804,$B107,مثال_Example!$F$5:$F$804,$P$10,مثال_Example!$G$5:$G$804,$P$11)))</f>
        <v/>
      </c>
      <c r="K107" s="39" t="str">
        <f aca="false">IF($B107="","",(SUMIFS(Data!$U$5:$U$5004,Data!$B$5:$B$5004,$P$6,Data!$D$5:$D$5004,$P$7,Data!$C$5:$C$5004,$P$8,Data!$E$5:$E$5004,$B107,Data!$F$5:$F$5004,$P$10,Data!$G$5:$G$5004,$P$11)+ExOn*SUMIFS(مثال_Example!$U$5:$U$804,مثال_Example!$B$5:$B$804,$P$6,مثال_Example!$D$5:$D$804,$P$7,مثال_Example!$C$5:$C$804,$P$8,مثال_Example!$E$5:$E$804,$B107,مثال_Example!$F$5:$F$804,$P$10,مثال_Example!$G$5:$G$804,$P$11)))</f>
        <v/>
      </c>
      <c r="L107" s="39" t="str">
        <f aca="false">IF($B107="","",(SUMIFS(Data!$V$5:$V$5004,Data!$B$5:$B$5004,$P$6,Data!$D$5:$D$5004,$P$7,Data!$C$5:$C$5004,$P$8,Data!$E$5:$E$5004,$B107,Data!$F$5:$F$5004,$P$10,Data!$G$5:$G$5004,$P$11)+ExOn*SUMIFS(مثال_Example!$V$5:$V$804,مثال_Example!$B$5:$B$804,$P$6,مثال_Example!$D$5:$D$804,$P$7,مثال_Example!$C$5:$C$804,$P$8,مثال_Example!$E$5:$E$804,$B107,مثال_Example!$F$5:$F$804,$P$10,مثال_Example!$G$5:$G$804,$P$11)))</f>
        <v/>
      </c>
      <c r="M107" s="40" t="str">
        <f aca="false">IF($B107="","",IF(I107=0,"—",(K107+L107)/I107))</f>
        <v/>
      </c>
      <c r="N107" s="1"/>
    </row>
    <row r="108" customFormat="false" ht="15" hidden="false" customHeight="false" outlineLevel="0" collapsed="false">
      <c r="A108" s="1"/>
      <c r="B108" s="38" t="str">
        <f aca="false">IF(IFERROR(INDEX(Lists!$K$2:$R$13,MATCH($D$7,Lists!$J$2:$J$13,0),6),"")="","",INDEX(Lists!$K$2:$R$13,MATCH($D$7,Lists!$J$2:$J$13,0),6))</f>
        <v/>
      </c>
      <c r="C108" s="39" t="str">
        <f aca="false">IF($B108="","",(SUMIFS(Data!$Q$5:$Q$5004,Data!$B$5:$B$5004,$P$6,Data!$D$5:$D$5004,$P$7,Data!$C$5:$C$5004,$P$8,Data!$E$5:$E$5004,$B108,Data!$F$5:$F$5004,$P$10,Data!$G$5:$G$5004,$P$11)+ExOn*SUMIFS(مثال_Example!$Q$5:$Q$804,مثال_Example!$B$5:$B$804,$P$6,مثال_Example!$D$5:$D$804,$P$7,مثال_Example!$C$5:$C$804,$P$8,مثال_Example!$E$5:$E$804,$B108,مثال_Example!$F$5:$F$804,$P$10,مثال_Example!$G$5:$G$804,$P$11)))</f>
        <v/>
      </c>
      <c r="D108" s="39" t="str">
        <f aca="false">IF($B108="","",(SUMIFS(Data!$R$5:$R$5004,Data!$B$5:$B$5004,$P$6,Data!$D$5:$D$5004,$P$7,Data!$C$5:$C$5004,$P$8,Data!$E$5:$E$5004,$B108,Data!$F$5:$F$5004,$P$10,Data!$G$5:$G$5004,$P$11)+ExOn*SUMIFS(مثال_Example!$R$5:$R$804,مثال_Example!$B$5:$B$804,$P$6,مثال_Example!$D$5:$D$804,$P$7,مثال_Example!$C$5:$C$804,$P$8,مثال_Example!$E$5:$E$804,$B108,مثال_Example!$F$5:$F$804,$P$10,مثال_Example!$G$5:$G$804,$P$11)))</f>
        <v/>
      </c>
      <c r="E108" s="40" t="str">
        <f aca="false">IF($B108="","",IF($C108=0,"—",D108/$C108))</f>
        <v/>
      </c>
      <c r="F108" s="39" t="str">
        <f aca="false">IF($B108="","",(SUMIFS(Data!$S$5:$S$5004,Data!$B$5:$B$5004,$P$6,Data!$D$5:$D$5004,$P$7,Data!$C$5:$C$5004,$P$8,Data!$E$5:$E$5004,$B108,Data!$F$5:$F$5004,$P$10,Data!$G$5:$G$5004,$P$11)+ExOn*SUMIFS(مثال_Example!$S$5:$S$804,مثال_Example!$B$5:$B$804,$P$6,مثال_Example!$D$5:$D$804,$P$7,مثال_Example!$C$5:$C$804,$P$8,مثال_Example!$E$5:$E$804,$B108,مثال_Example!$F$5:$F$804,$P$10,مثال_Example!$G$5:$G$804,$P$11)))</f>
        <v/>
      </c>
      <c r="G108" s="40" t="str">
        <f aca="false">IF($B108="","",IF($C108=0,"—",F108/$C108))</f>
        <v/>
      </c>
      <c r="H108" s="42" t="str">
        <f aca="false">IF($B108="","",IF($C108=0,"لا توجد بيانات",IF(ROUND(D108/C108,10)&lt;=KeyA_VW,"Very Weak",IF(ROUND(D108/C108,10)&lt;KeyA_Weak,"Weak",IF(ROUND(F108/C108,10)&lt;KeyA_Acc,"Acceptable",IF(ROUND(F108/C108,10)&lt;=KeyA_Good,"Good",IF(ROUND(F108/C108,10)&lt;KeyA_Out,"Very Good","Outstanding")))))))</f>
        <v/>
      </c>
      <c r="I108" s="39" t="str">
        <f aca="false">IF($B108="","",J108+K108+L108)</f>
        <v/>
      </c>
      <c r="J108" s="39" t="str">
        <f aca="false">IF($B108="","",(SUMIFS(Data!$T$5:$T$5004,Data!$B$5:$B$5004,$P$6,Data!$D$5:$D$5004,$P$7,Data!$C$5:$C$5004,$P$8,Data!$E$5:$E$5004,$B108,Data!$F$5:$F$5004,$P$10,Data!$G$5:$G$5004,$P$11)+ExOn*SUMIFS(مثال_Example!$T$5:$T$804,مثال_Example!$B$5:$B$804,$P$6,مثال_Example!$D$5:$D$804,$P$7,مثال_Example!$C$5:$C$804,$P$8,مثال_Example!$E$5:$E$804,$B108,مثال_Example!$F$5:$F$804,$P$10,مثال_Example!$G$5:$G$804,$P$11)))</f>
        <v/>
      </c>
      <c r="K108" s="39" t="str">
        <f aca="false">IF($B108="","",(SUMIFS(Data!$U$5:$U$5004,Data!$B$5:$B$5004,$P$6,Data!$D$5:$D$5004,$P$7,Data!$C$5:$C$5004,$P$8,Data!$E$5:$E$5004,$B108,Data!$F$5:$F$5004,$P$10,Data!$G$5:$G$5004,$P$11)+ExOn*SUMIFS(مثال_Example!$U$5:$U$804,مثال_Example!$B$5:$B$804,$P$6,مثال_Example!$D$5:$D$804,$P$7,مثال_Example!$C$5:$C$804,$P$8,مثال_Example!$E$5:$E$804,$B108,مثال_Example!$F$5:$F$804,$P$10,مثال_Example!$G$5:$G$804,$P$11)))</f>
        <v/>
      </c>
      <c r="L108" s="39" t="str">
        <f aca="false">IF($B108="","",(SUMIFS(Data!$V$5:$V$5004,Data!$B$5:$B$5004,$P$6,Data!$D$5:$D$5004,$P$7,Data!$C$5:$C$5004,$P$8,Data!$E$5:$E$5004,$B108,Data!$F$5:$F$5004,$P$10,Data!$G$5:$G$5004,$P$11)+ExOn*SUMIFS(مثال_Example!$V$5:$V$804,مثال_Example!$B$5:$B$804,$P$6,مثال_Example!$D$5:$D$804,$P$7,مثال_Example!$C$5:$C$804,$P$8,مثال_Example!$E$5:$E$804,$B108,مثال_Example!$F$5:$F$804,$P$10,مثال_Example!$G$5:$G$804,$P$11)))</f>
        <v/>
      </c>
      <c r="M108" s="40" t="str">
        <f aca="false">IF($B108="","",IF(I108=0,"—",(K108+L108)/I108))</f>
        <v/>
      </c>
      <c r="N108" s="1"/>
    </row>
    <row r="109" customFormat="false" ht="15" hidden="false" customHeight="false" outlineLevel="0" collapsed="false">
      <c r="A109" s="1"/>
      <c r="B109" s="38" t="str">
        <f aca="false">IF(IFERROR(INDEX(Lists!$K$2:$R$13,MATCH($D$7,Lists!$J$2:$J$13,0),7),"")="","",INDEX(Lists!$K$2:$R$13,MATCH($D$7,Lists!$J$2:$J$13,0),7))</f>
        <v/>
      </c>
      <c r="C109" s="39" t="str">
        <f aca="false">IF($B109="","",(SUMIFS(Data!$Q$5:$Q$5004,Data!$B$5:$B$5004,$P$6,Data!$D$5:$D$5004,$P$7,Data!$C$5:$C$5004,$P$8,Data!$E$5:$E$5004,$B109,Data!$F$5:$F$5004,$P$10,Data!$G$5:$G$5004,$P$11)+ExOn*SUMIFS(مثال_Example!$Q$5:$Q$804,مثال_Example!$B$5:$B$804,$P$6,مثال_Example!$D$5:$D$804,$P$7,مثال_Example!$C$5:$C$804,$P$8,مثال_Example!$E$5:$E$804,$B109,مثال_Example!$F$5:$F$804,$P$10,مثال_Example!$G$5:$G$804,$P$11)))</f>
        <v/>
      </c>
      <c r="D109" s="39" t="str">
        <f aca="false">IF($B109="","",(SUMIFS(Data!$R$5:$R$5004,Data!$B$5:$B$5004,$P$6,Data!$D$5:$D$5004,$P$7,Data!$C$5:$C$5004,$P$8,Data!$E$5:$E$5004,$B109,Data!$F$5:$F$5004,$P$10,Data!$G$5:$G$5004,$P$11)+ExOn*SUMIFS(مثال_Example!$R$5:$R$804,مثال_Example!$B$5:$B$804,$P$6,مثال_Example!$D$5:$D$804,$P$7,مثال_Example!$C$5:$C$804,$P$8,مثال_Example!$E$5:$E$804,$B109,مثال_Example!$F$5:$F$804,$P$10,مثال_Example!$G$5:$G$804,$P$11)))</f>
        <v/>
      </c>
      <c r="E109" s="40" t="str">
        <f aca="false">IF($B109="","",IF($C109=0,"—",D109/$C109))</f>
        <v/>
      </c>
      <c r="F109" s="39" t="str">
        <f aca="false">IF($B109="","",(SUMIFS(Data!$S$5:$S$5004,Data!$B$5:$B$5004,$P$6,Data!$D$5:$D$5004,$P$7,Data!$C$5:$C$5004,$P$8,Data!$E$5:$E$5004,$B109,Data!$F$5:$F$5004,$P$10,Data!$G$5:$G$5004,$P$11)+ExOn*SUMIFS(مثال_Example!$S$5:$S$804,مثال_Example!$B$5:$B$804,$P$6,مثال_Example!$D$5:$D$804,$P$7,مثال_Example!$C$5:$C$804,$P$8,مثال_Example!$E$5:$E$804,$B109,مثال_Example!$F$5:$F$804,$P$10,مثال_Example!$G$5:$G$804,$P$11)))</f>
        <v/>
      </c>
      <c r="G109" s="40" t="str">
        <f aca="false">IF($B109="","",IF($C109=0,"—",F109/$C109))</f>
        <v/>
      </c>
      <c r="H109" s="42" t="str">
        <f aca="false">IF($B109="","",IF($C109=0,"لا توجد بيانات",IF(ROUND(D109/C109,10)&lt;=KeyA_VW,"Very Weak",IF(ROUND(D109/C109,10)&lt;KeyA_Weak,"Weak",IF(ROUND(F109/C109,10)&lt;KeyA_Acc,"Acceptable",IF(ROUND(F109/C109,10)&lt;=KeyA_Good,"Good",IF(ROUND(F109/C109,10)&lt;KeyA_Out,"Very Good","Outstanding")))))))</f>
        <v/>
      </c>
      <c r="I109" s="39" t="str">
        <f aca="false">IF($B109="","",J109+K109+L109)</f>
        <v/>
      </c>
      <c r="J109" s="39" t="str">
        <f aca="false">IF($B109="","",(SUMIFS(Data!$T$5:$T$5004,Data!$B$5:$B$5004,$P$6,Data!$D$5:$D$5004,$P$7,Data!$C$5:$C$5004,$P$8,Data!$E$5:$E$5004,$B109,Data!$F$5:$F$5004,$P$10,Data!$G$5:$G$5004,$P$11)+ExOn*SUMIFS(مثال_Example!$T$5:$T$804,مثال_Example!$B$5:$B$804,$P$6,مثال_Example!$D$5:$D$804,$P$7,مثال_Example!$C$5:$C$804,$P$8,مثال_Example!$E$5:$E$804,$B109,مثال_Example!$F$5:$F$804,$P$10,مثال_Example!$G$5:$G$804,$P$11)))</f>
        <v/>
      </c>
      <c r="K109" s="39" t="str">
        <f aca="false">IF($B109="","",(SUMIFS(Data!$U$5:$U$5004,Data!$B$5:$B$5004,$P$6,Data!$D$5:$D$5004,$P$7,Data!$C$5:$C$5004,$P$8,Data!$E$5:$E$5004,$B109,Data!$F$5:$F$5004,$P$10,Data!$G$5:$G$5004,$P$11)+ExOn*SUMIFS(مثال_Example!$U$5:$U$804,مثال_Example!$B$5:$B$804,$P$6,مثال_Example!$D$5:$D$804,$P$7,مثال_Example!$C$5:$C$804,$P$8,مثال_Example!$E$5:$E$804,$B109,مثال_Example!$F$5:$F$804,$P$10,مثال_Example!$G$5:$G$804,$P$11)))</f>
        <v/>
      </c>
      <c r="L109" s="39" t="str">
        <f aca="false">IF($B109="","",(SUMIFS(Data!$V$5:$V$5004,Data!$B$5:$B$5004,$P$6,Data!$D$5:$D$5004,$P$7,Data!$C$5:$C$5004,$P$8,Data!$E$5:$E$5004,$B109,Data!$F$5:$F$5004,$P$10,Data!$G$5:$G$5004,$P$11)+ExOn*SUMIFS(مثال_Example!$V$5:$V$804,مثال_Example!$B$5:$B$804,$P$6,مثال_Example!$D$5:$D$804,$P$7,مثال_Example!$C$5:$C$804,$P$8,مثال_Example!$E$5:$E$804,$B109,مثال_Example!$F$5:$F$804,$P$10,مثال_Example!$G$5:$G$804,$P$11)))</f>
        <v/>
      </c>
      <c r="M109" s="40" t="str">
        <f aca="false">IF($B109="","",IF(I109=0,"—",(K109+L109)/I109))</f>
        <v/>
      </c>
      <c r="N109" s="1"/>
    </row>
    <row r="110" customFormat="false" ht="15" hidden="false" customHeight="false" outlineLevel="0" collapsed="false">
      <c r="A110" s="1"/>
      <c r="B110" s="38" t="str">
        <f aca="false">IF(IFERROR(INDEX(Lists!$K$2:$R$13,MATCH($D$7,Lists!$J$2:$J$13,0),8),"")="","",INDEX(Lists!$K$2:$R$13,MATCH($D$7,Lists!$J$2:$J$13,0),8))</f>
        <v/>
      </c>
      <c r="C110" s="39" t="str">
        <f aca="false">IF($B110="","",(SUMIFS(Data!$Q$5:$Q$5004,Data!$B$5:$B$5004,$P$6,Data!$D$5:$D$5004,$P$7,Data!$C$5:$C$5004,$P$8,Data!$E$5:$E$5004,$B110,Data!$F$5:$F$5004,$P$10,Data!$G$5:$G$5004,$P$11)+ExOn*SUMIFS(مثال_Example!$Q$5:$Q$804,مثال_Example!$B$5:$B$804,$P$6,مثال_Example!$D$5:$D$804,$P$7,مثال_Example!$C$5:$C$804,$P$8,مثال_Example!$E$5:$E$804,$B110,مثال_Example!$F$5:$F$804,$P$10,مثال_Example!$G$5:$G$804,$P$11)))</f>
        <v/>
      </c>
      <c r="D110" s="39" t="str">
        <f aca="false">IF($B110="","",(SUMIFS(Data!$R$5:$R$5004,Data!$B$5:$B$5004,$P$6,Data!$D$5:$D$5004,$P$7,Data!$C$5:$C$5004,$P$8,Data!$E$5:$E$5004,$B110,Data!$F$5:$F$5004,$P$10,Data!$G$5:$G$5004,$P$11)+ExOn*SUMIFS(مثال_Example!$R$5:$R$804,مثال_Example!$B$5:$B$804,$P$6,مثال_Example!$D$5:$D$804,$P$7,مثال_Example!$C$5:$C$804,$P$8,مثال_Example!$E$5:$E$804,$B110,مثال_Example!$F$5:$F$804,$P$10,مثال_Example!$G$5:$G$804,$P$11)))</f>
        <v/>
      </c>
      <c r="E110" s="40" t="str">
        <f aca="false">IF($B110="","",IF($C110=0,"—",D110/$C110))</f>
        <v/>
      </c>
      <c r="F110" s="39" t="str">
        <f aca="false">IF($B110="","",(SUMIFS(Data!$S$5:$S$5004,Data!$B$5:$B$5004,$P$6,Data!$D$5:$D$5004,$P$7,Data!$C$5:$C$5004,$P$8,Data!$E$5:$E$5004,$B110,Data!$F$5:$F$5004,$P$10,Data!$G$5:$G$5004,$P$11)+ExOn*SUMIFS(مثال_Example!$S$5:$S$804,مثال_Example!$B$5:$B$804,$P$6,مثال_Example!$D$5:$D$804,$P$7,مثال_Example!$C$5:$C$804,$P$8,مثال_Example!$E$5:$E$804,$B110,مثال_Example!$F$5:$F$804,$P$10,مثال_Example!$G$5:$G$804,$P$11)))</f>
        <v/>
      </c>
      <c r="G110" s="40" t="str">
        <f aca="false">IF($B110="","",IF($C110=0,"—",F110/$C110))</f>
        <v/>
      </c>
      <c r="H110" s="42" t="str">
        <f aca="false">IF($B110="","",IF($C110=0,"لا توجد بيانات",IF(ROUND(D110/C110,10)&lt;=KeyA_VW,"Very Weak",IF(ROUND(D110/C110,10)&lt;KeyA_Weak,"Weak",IF(ROUND(F110/C110,10)&lt;KeyA_Acc,"Acceptable",IF(ROUND(F110/C110,10)&lt;=KeyA_Good,"Good",IF(ROUND(F110/C110,10)&lt;KeyA_Out,"Very Good","Outstanding")))))))</f>
        <v/>
      </c>
      <c r="I110" s="39" t="str">
        <f aca="false">IF($B110="","",J110+K110+L110)</f>
        <v/>
      </c>
      <c r="J110" s="39" t="str">
        <f aca="false">IF($B110="","",(SUMIFS(Data!$T$5:$T$5004,Data!$B$5:$B$5004,$P$6,Data!$D$5:$D$5004,$P$7,Data!$C$5:$C$5004,$P$8,Data!$E$5:$E$5004,$B110,Data!$F$5:$F$5004,$P$10,Data!$G$5:$G$5004,$P$11)+ExOn*SUMIFS(مثال_Example!$T$5:$T$804,مثال_Example!$B$5:$B$804,$P$6,مثال_Example!$D$5:$D$804,$P$7,مثال_Example!$C$5:$C$804,$P$8,مثال_Example!$E$5:$E$804,$B110,مثال_Example!$F$5:$F$804,$P$10,مثال_Example!$G$5:$G$804,$P$11)))</f>
        <v/>
      </c>
      <c r="K110" s="39" t="str">
        <f aca="false">IF($B110="","",(SUMIFS(Data!$U$5:$U$5004,Data!$B$5:$B$5004,$P$6,Data!$D$5:$D$5004,$P$7,Data!$C$5:$C$5004,$P$8,Data!$E$5:$E$5004,$B110,Data!$F$5:$F$5004,$P$10,Data!$G$5:$G$5004,$P$11)+ExOn*SUMIFS(مثال_Example!$U$5:$U$804,مثال_Example!$B$5:$B$804,$P$6,مثال_Example!$D$5:$D$804,$P$7,مثال_Example!$C$5:$C$804,$P$8,مثال_Example!$E$5:$E$804,$B110,مثال_Example!$F$5:$F$804,$P$10,مثال_Example!$G$5:$G$804,$P$11)))</f>
        <v/>
      </c>
      <c r="L110" s="39" t="str">
        <f aca="false">IF($B110="","",(SUMIFS(Data!$V$5:$V$5004,Data!$B$5:$B$5004,$P$6,Data!$D$5:$D$5004,$P$7,Data!$C$5:$C$5004,$P$8,Data!$E$5:$E$5004,$B110,Data!$F$5:$F$5004,$P$10,Data!$G$5:$G$5004,$P$11)+ExOn*SUMIFS(مثال_Example!$V$5:$V$804,مثال_Example!$B$5:$B$804,$P$6,مثال_Example!$D$5:$D$804,$P$7,مثال_Example!$C$5:$C$804,$P$8,مثال_Example!$E$5:$E$804,$B110,مثال_Example!$F$5:$F$804,$P$10,مثال_Example!$G$5:$G$804,$P$11)))</f>
        <v/>
      </c>
      <c r="M110" s="40" t="str">
        <f aca="false">IF($B110="","",IF(I110=0,"—",(K110+L110)/I110))</f>
        <v/>
      </c>
      <c r="N110" s="1"/>
    </row>
    <row r="111" customFormat="false" ht="23.85" hidden="false" customHeight="false" outlineLevel="0" collapsed="false">
      <c r="A111" s="1"/>
      <c r="B111" s="43" t="s">
        <v>183</v>
      </c>
      <c r="C111" s="44" t="n">
        <f aca="false">SUM(C103:C110)</f>
        <v>0</v>
      </c>
      <c r="D111" s="44" t="n">
        <f aca="false">SUM(D103:D110)</f>
        <v>0</v>
      </c>
      <c r="E111" s="45" t="str">
        <f aca="false">IF(C111=0,"—",D111/C111)</f>
        <v>—</v>
      </c>
      <c r="F111" s="44" t="n">
        <f aca="false">SUM(F103:F110)</f>
        <v>0</v>
      </c>
      <c r="G111" s="45" t="str">
        <f aca="false">IF(C111=0,"—",F111/C111)</f>
        <v>—</v>
      </c>
      <c r="H111" s="38" t="str">
        <f aca="false">IF(C111=0,"لا توجد بيانات",IF(ROUND(D111/C111,10)&lt;=KeyA_VW,"Very Weak",IF(ROUND(D111/C111,10)&lt;KeyA_Weak,"Weak",IF(ROUND(F111/C111,10)&lt;KeyA_Acc,"Acceptable",IF(ROUND(F111/C111,10)&lt;=KeyA_Good,"Good",IF(ROUND(F111/C111,10)&lt;KeyA_Out,"Very Good","Outstanding"))))))</f>
        <v>لا توجد بيانات</v>
      </c>
      <c r="I111" s="44" t="n">
        <f aca="false">SUM(I103:I110)</f>
        <v>0</v>
      </c>
      <c r="J111" s="44" t="n">
        <f aca="false">SUM(J103:J110)</f>
        <v>0</v>
      </c>
      <c r="K111" s="44" t="n">
        <f aca="false">SUM(K103:K110)</f>
        <v>0</v>
      </c>
      <c r="L111" s="44" t="n">
        <f aca="false">SUM(L103:L110)</f>
        <v>0</v>
      </c>
      <c r="M111" s="45" t="str">
        <f aca="false">IF(I111=0,"—",(K111+L111)/I111)</f>
        <v>—</v>
      </c>
      <c r="N111" s="1"/>
    </row>
    <row r="112" customFormat="false" ht="1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customFormat="false" ht="21.75" hidden="false" customHeight="true" outlineLevel="0" collapsed="false">
      <c r="A113" s="1"/>
      <c r="B113" s="4" t="s">
        <v>216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1"/>
    </row>
    <row r="114" customFormat="false" ht="31.5" hidden="false" customHeight="true" outlineLevel="0" collapsed="false">
      <c r="A114" s="1"/>
      <c r="B114" s="37" t="s">
        <v>103</v>
      </c>
      <c r="C114" s="37" t="s">
        <v>156</v>
      </c>
      <c r="D114" s="37" t="s">
        <v>168</v>
      </c>
      <c r="E114" s="37" t="s">
        <v>157</v>
      </c>
      <c r="F114" s="37" t="s">
        <v>169</v>
      </c>
      <c r="G114" s="37" t="s">
        <v>158</v>
      </c>
      <c r="H114" s="37" t="s">
        <v>170</v>
      </c>
      <c r="I114" s="37" t="s">
        <v>159</v>
      </c>
      <c r="J114" s="37" t="s">
        <v>185</v>
      </c>
      <c r="K114" s="37" t="s">
        <v>186</v>
      </c>
      <c r="L114" s="37" t="s">
        <v>187</v>
      </c>
      <c r="M114" s="37" t="s">
        <v>188</v>
      </c>
      <c r="N114" s="1"/>
    </row>
    <row r="115" customFormat="false" ht="15" hidden="false" customHeight="false" outlineLevel="0" collapsed="false">
      <c r="A115" s="1"/>
      <c r="B115" s="38" t="str">
        <f aca="false">B103</f>
        <v>ah</v>
      </c>
      <c r="C115" s="39" t="n">
        <f aca="false">IF($B115="","",I103)</f>
        <v>0</v>
      </c>
      <c r="D115" s="39" t="n">
        <f aca="false">IF($B115="","",J103)</f>
        <v>0</v>
      </c>
      <c r="E115" s="40" t="str">
        <f aca="false">IF($B115="","",IF($C115=0,"—",D115/$C115))</f>
        <v>—</v>
      </c>
      <c r="F115" s="39" t="n">
        <f aca="false">IF($B115="","",K103)</f>
        <v>0</v>
      </c>
      <c r="G115" s="40" t="str">
        <f aca="false">IF($B115="","",IF($C115=0,"—",F115/$C115))</f>
        <v>—</v>
      </c>
      <c r="H115" s="39" t="n">
        <f aca="false">IF($B115="","",L103)</f>
        <v>0</v>
      </c>
      <c r="I115" s="40" t="str">
        <f aca="false">IF($B115="","",IF($C115=0,"—",H115/$C115))</f>
        <v>—</v>
      </c>
      <c r="J115" s="39" t="n">
        <f aca="false">IF($B115="","",F115+H115)</f>
        <v>0</v>
      </c>
      <c r="K115" s="40" t="str">
        <f aca="false">IF($B115="","",IF($C115=0,"—",J115/$C115))</f>
        <v>—</v>
      </c>
      <c r="L115" s="42" t="str">
        <f aca="false">IF($B115="","",IF($C115=0,"لا توجد بيانات",IF(ROUND(J115/C115,10)&lt;=KeyP_VW,"Very Weak",IF(ROUND(J115/C115,10)&lt;KeyP_Weak,"Weak",IF(ROUND(H115/C115,10)&lt;KeyP_Acc,"Acceptable",IF(ROUND(H115/C115,10)&lt;=KeyP_Good,"Good",IF(ROUND(H115/C115,10)&lt;KeyP_Out,"Very Good","Outstanding")))))))</f>
        <v>لا توجد بيانات</v>
      </c>
      <c r="M115" s="39" t="n">
        <f aca="false">IF($B115="","",(SUMIFS(Data!$W$5:$W$5004,Data!$B$5:$B$5004,$P$6,Data!$D$5:$D$5004,$P$7,Data!$C$5:$C$5004,$P$8,Data!$E$5:$E$5004,$B115,Data!$F$5:$F$5004,$P$10,Data!$G$5:$G$5004,$P$11)+ExOn*SUMIFS(مثال_Example!$W$5:$W$804,مثال_Example!$B$5:$B$804,$P$6,مثال_Example!$D$5:$D$804,$P$7,مثال_Example!$C$5:$C$804,$P$8,مثال_Example!$E$5:$E$804,$B115,مثال_Example!$F$5:$F$804,$P$10,مثال_Example!$G$5:$G$804,$P$11))+(SUMIFS(Data!$X$5:$X$5004,Data!$B$5:$B$5004,$P$6,Data!$D$5:$D$5004,$P$7,Data!$C$5:$C$5004,$P$8,Data!$E$5:$E$5004,$B115,Data!$F$5:$F$5004,$P$10,Data!$G$5:$G$5004,$P$11)+ExOn*SUMIFS(مثال_Example!$X$5:$X$804,مثال_Example!$B$5:$B$804,$P$6,مثال_Example!$D$5:$D$804,$P$7,مثال_Example!$C$5:$C$804,$P$8,مثال_Example!$E$5:$E$804,$B115,مثال_Example!$F$5:$F$804,$P$10,مثال_Example!$G$5:$G$804,$P$11)))</f>
        <v>0</v>
      </c>
      <c r="N115" s="1"/>
    </row>
    <row r="116" customFormat="false" ht="15" hidden="false" customHeight="false" outlineLevel="0" collapsed="false">
      <c r="A116" s="1"/>
      <c r="B116" s="38" t="str">
        <f aca="false">B104</f>
        <v>ip</v>
      </c>
      <c r="C116" s="39" t="n">
        <f aca="false">IF($B116="","",I104)</f>
        <v>0</v>
      </c>
      <c r="D116" s="39" t="n">
        <f aca="false">IF($B116="","",J104)</f>
        <v>0</v>
      </c>
      <c r="E116" s="40" t="str">
        <f aca="false">IF($B116="","",IF($C116=0,"—",D116/$C116))</f>
        <v>—</v>
      </c>
      <c r="F116" s="39" t="n">
        <f aca="false">IF($B116="","",K104)</f>
        <v>0</v>
      </c>
      <c r="G116" s="40" t="str">
        <f aca="false">IF($B116="","",IF($C116=0,"—",F116/$C116))</f>
        <v>—</v>
      </c>
      <c r="H116" s="39" t="n">
        <f aca="false">IF($B116="","",L104)</f>
        <v>0</v>
      </c>
      <c r="I116" s="40" t="str">
        <f aca="false">IF($B116="","",IF($C116=0,"—",H116/$C116))</f>
        <v>—</v>
      </c>
      <c r="J116" s="39" t="n">
        <f aca="false">IF($B116="","",F116+H116)</f>
        <v>0</v>
      </c>
      <c r="K116" s="40" t="str">
        <f aca="false">IF($B116="","",IF($C116=0,"—",J116/$C116))</f>
        <v>—</v>
      </c>
      <c r="L116" s="42" t="str">
        <f aca="false">IF($B116="","",IF($C116=0,"لا توجد بيانات",IF(ROUND(J116/C116,10)&lt;=KeyP_VW,"Very Weak",IF(ROUND(J116/C116,10)&lt;KeyP_Weak,"Weak",IF(ROUND(H116/C116,10)&lt;KeyP_Acc,"Acceptable",IF(ROUND(H116/C116,10)&lt;=KeyP_Good,"Good",IF(ROUND(H116/C116,10)&lt;KeyP_Out,"Very Good","Outstanding")))))))</f>
        <v>لا توجد بيانات</v>
      </c>
      <c r="M116" s="39" t="n">
        <f aca="false">IF($B116="","",(SUMIFS(Data!$W$5:$W$5004,Data!$B$5:$B$5004,$P$6,Data!$D$5:$D$5004,$P$7,Data!$C$5:$C$5004,$P$8,Data!$E$5:$E$5004,$B116,Data!$F$5:$F$5004,$P$10,Data!$G$5:$G$5004,$P$11)+ExOn*SUMIFS(مثال_Example!$W$5:$W$804,مثال_Example!$B$5:$B$804,$P$6,مثال_Example!$D$5:$D$804,$P$7,مثال_Example!$C$5:$C$804,$P$8,مثال_Example!$E$5:$E$804,$B116,مثال_Example!$F$5:$F$804,$P$10,مثال_Example!$G$5:$G$804,$P$11))+(SUMIFS(Data!$X$5:$X$5004,Data!$B$5:$B$5004,$P$6,Data!$D$5:$D$5004,$P$7,Data!$C$5:$C$5004,$P$8,Data!$E$5:$E$5004,$B116,Data!$F$5:$F$5004,$P$10,Data!$G$5:$G$5004,$P$11)+ExOn*SUMIFS(مثال_Example!$X$5:$X$804,مثال_Example!$B$5:$B$804,$P$6,مثال_Example!$D$5:$D$804,$P$7,مثال_Example!$C$5:$C$804,$P$8,مثال_Example!$E$5:$E$804,$B116,مثال_Example!$F$5:$F$804,$P$10,مثال_Example!$G$5:$G$804,$P$11)))</f>
        <v>0</v>
      </c>
      <c r="N116" s="1"/>
    </row>
    <row r="117" customFormat="false" ht="15" hidden="false" customHeight="false" outlineLevel="0" collapsed="false">
      <c r="A117" s="1"/>
      <c r="B117" s="38" t="str">
        <f aca="false">B105</f>
        <v/>
      </c>
      <c r="C117" s="39" t="str">
        <f aca="false">IF($B117="","",I105)</f>
        <v/>
      </c>
      <c r="D117" s="39" t="str">
        <f aca="false">IF($B117="","",J105)</f>
        <v/>
      </c>
      <c r="E117" s="40" t="str">
        <f aca="false">IF($B117="","",IF($C117=0,"—",D117/$C117))</f>
        <v/>
      </c>
      <c r="F117" s="39" t="str">
        <f aca="false">IF($B117="","",K105)</f>
        <v/>
      </c>
      <c r="G117" s="40" t="str">
        <f aca="false">IF($B117="","",IF($C117=0,"—",F117/$C117))</f>
        <v/>
      </c>
      <c r="H117" s="39" t="str">
        <f aca="false">IF($B117="","",L105)</f>
        <v/>
      </c>
      <c r="I117" s="40" t="str">
        <f aca="false">IF($B117="","",IF($C117=0,"—",H117/$C117))</f>
        <v/>
      </c>
      <c r="J117" s="39" t="str">
        <f aca="false">IF($B117="","",F117+H117)</f>
        <v/>
      </c>
      <c r="K117" s="40" t="str">
        <f aca="false">IF($B117="","",IF($C117=0,"—",J117/$C117))</f>
        <v/>
      </c>
      <c r="L117" s="42" t="str">
        <f aca="false">IF($B117="","",IF($C117=0,"لا توجد بيانات",IF(ROUND(J117/C117,10)&lt;=KeyP_VW,"Very Weak",IF(ROUND(J117/C117,10)&lt;KeyP_Weak,"Weak",IF(ROUND(H117/C117,10)&lt;KeyP_Acc,"Acceptable",IF(ROUND(H117/C117,10)&lt;=KeyP_Good,"Good",IF(ROUND(H117/C117,10)&lt;KeyP_Out,"Very Good","Outstanding")))))))</f>
        <v/>
      </c>
      <c r="M117" s="39" t="str">
        <f aca="false">IF($B117="","",(SUMIFS(Data!$W$5:$W$5004,Data!$B$5:$B$5004,$P$6,Data!$D$5:$D$5004,$P$7,Data!$C$5:$C$5004,$P$8,Data!$E$5:$E$5004,$B117,Data!$F$5:$F$5004,$P$10,Data!$G$5:$G$5004,$P$11)+ExOn*SUMIFS(مثال_Example!$W$5:$W$804,مثال_Example!$B$5:$B$804,$P$6,مثال_Example!$D$5:$D$804,$P$7,مثال_Example!$C$5:$C$804,$P$8,مثال_Example!$E$5:$E$804,$B117,مثال_Example!$F$5:$F$804,$P$10,مثال_Example!$G$5:$G$804,$P$11))+(SUMIFS(Data!$X$5:$X$5004,Data!$B$5:$B$5004,$P$6,Data!$D$5:$D$5004,$P$7,Data!$C$5:$C$5004,$P$8,Data!$E$5:$E$5004,$B117,Data!$F$5:$F$5004,$P$10,Data!$G$5:$G$5004,$P$11)+ExOn*SUMIFS(مثال_Example!$X$5:$X$804,مثال_Example!$B$5:$B$804,$P$6,مثال_Example!$D$5:$D$804,$P$7,مثال_Example!$C$5:$C$804,$P$8,مثال_Example!$E$5:$E$804,$B117,مثال_Example!$F$5:$F$804,$P$10,مثال_Example!$G$5:$G$804,$P$11)))</f>
        <v/>
      </c>
      <c r="N117" s="1"/>
    </row>
    <row r="118" customFormat="false" ht="15" hidden="false" customHeight="false" outlineLevel="0" collapsed="false">
      <c r="A118" s="1"/>
      <c r="B118" s="38" t="str">
        <f aca="false">B106</f>
        <v/>
      </c>
      <c r="C118" s="39" t="str">
        <f aca="false">IF($B118="","",I106)</f>
        <v/>
      </c>
      <c r="D118" s="39" t="str">
        <f aca="false">IF($B118="","",J106)</f>
        <v/>
      </c>
      <c r="E118" s="40" t="str">
        <f aca="false">IF($B118="","",IF($C118=0,"—",D118/$C118))</f>
        <v/>
      </c>
      <c r="F118" s="39" t="str">
        <f aca="false">IF($B118="","",K106)</f>
        <v/>
      </c>
      <c r="G118" s="40" t="str">
        <f aca="false">IF($B118="","",IF($C118=0,"—",F118/$C118))</f>
        <v/>
      </c>
      <c r="H118" s="39" t="str">
        <f aca="false">IF($B118="","",L106)</f>
        <v/>
      </c>
      <c r="I118" s="40" t="str">
        <f aca="false">IF($B118="","",IF($C118=0,"—",H118/$C118))</f>
        <v/>
      </c>
      <c r="J118" s="39" t="str">
        <f aca="false">IF($B118="","",F118+H118)</f>
        <v/>
      </c>
      <c r="K118" s="40" t="str">
        <f aca="false">IF($B118="","",IF($C118=0,"—",J118/$C118))</f>
        <v/>
      </c>
      <c r="L118" s="42" t="str">
        <f aca="false">IF($B118="","",IF($C118=0,"لا توجد بيانات",IF(ROUND(J118/C118,10)&lt;=KeyP_VW,"Very Weak",IF(ROUND(J118/C118,10)&lt;KeyP_Weak,"Weak",IF(ROUND(H118/C118,10)&lt;KeyP_Acc,"Acceptable",IF(ROUND(H118/C118,10)&lt;=KeyP_Good,"Good",IF(ROUND(H118/C118,10)&lt;KeyP_Out,"Very Good","Outstanding")))))))</f>
        <v/>
      </c>
      <c r="M118" s="39" t="str">
        <f aca="false">IF($B118="","",(SUMIFS(Data!$W$5:$W$5004,Data!$B$5:$B$5004,$P$6,Data!$D$5:$D$5004,$P$7,Data!$C$5:$C$5004,$P$8,Data!$E$5:$E$5004,$B118,Data!$F$5:$F$5004,$P$10,Data!$G$5:$G$5004,$P$11)+ExOn*SUMIFS(مثال_Example!$W$5:$W$804,مثال_Example!$B$5:$B$804,$P$6,مثال_Example!$D$5:$D$804,$P$7,مثال_Example!$C$5:$C$804,$P$8,مثال_Example!$E$5:$E$804,$B118,مثال_Example!$F$5:$F$804,$P$10,مثال_Example!$G$5:$G$804,$P$11))+(SUMIFS(Data!$X$5:$X$5004,Data!$B$5:$B$5004,$P$6,Data!$D$5:$D$5004,$P$7,Data!$C$5:$C$5004,$P$8,Data!$E$5:$E$5004,$B118,Data!$F$5:$F$5004,$P$10,Data!$G$5:$G$5004,$P$11)+ExOn*SUMIFS(مثال_Example!$X$5:$X$804,مثال_Example!$B$5:$B$804,$P$6,مثال_Example!$D$5:$D$804,$P$7,مثال_Example!$C$5:$C$804,$P$8,مثال_Example!$E$5:$E$804,$B118,مثال_Example!$F$5:$F$804,$P$10,مثال_Example!$G$5:$G$804,$P$11)))</f>
        <v/>
      </c>
      <c r="N118" s="1"/>
    </row>
    <row r="119" customFormat="false" ht="15" hidden="false" customHeight="false" outlineLevel="0" collapsed="false">
      <c r="A119" s="1"/>
      <c r="B119" s="38" t="str">
        <f aca="false">B107</f>
        <v/>
      </c>
      <c r="C119" s="39" t="str">
        <f aca="false">IF($B119="","",I107)</f>
        <v/>
      </c>
      <c r="D119" s="39" t="str">
        <f aca="false">IF($B119="","",J107)</f>
        <v/>
      </c>
      <c r="E119" s="40" t="str">
        <f aca="false">IF($B119="","",IF($C119=0,"—",D119/$C119))</f>
        <v/>
      </c>
      <c r="F119" s="39" t="str">
        <f aca="false">IF($B119="","",K107)</f>
        <v/>
      </c>
      <c r="G119" s="40" t="str">
        <f aca="false">IF($B119="","",IF($C119=0,"—",F119/$C119))</f>
        <v/>
      </c>
      <c r="H119" s="39" t="str">
        <f aca="false">IF($B119="","",L107)</f>
        <v/>
      </c>
      <c r="I119" s="40" t="str">
        <f aca="false">IF($B119="","",IF($C119=0,"—",H119/$C119))</f>
        <v/>
      </c>
      <c r="J119" s="39" t="str">
        <f aca="false">IF($B119="","",F119+H119)</f>
        <v/>
      </c>
      <c r="K119" s="40" t="str">
        <f aca="false">IF($B119="","",IF($C119=0,"—",J119/$C119))</f>
        <v/>
      </c>
      <c r="L119" s="42" t="str">
        <f aca="false">IF($B119="","",IF($C119=0,"لا توجد بيانات",IF(ROUND(J119/C119,10)&lt;=KeyP_VW,"Very Weak",IF(ROUND(J119/C119,10)&lt;KeyP_Weak,"Weak",IF(ROUND(H119/C119,10)&lt;KeyP_Acc,"Acceptable",IF(ROUND(H119/C119,10)&lt;=KeyP_Good,"Good",IF(ROUND(H119/C119,10)&lt;KeyP_Out,"Very Good","Outstanding")))))))</f>
        <v/>
      </c>
      <c r="M119" s="39" t="str">
        <f aca="false">IF($B119="","",(SUMIFS(Data!$W$5:$W$5004,Data!$B$5:$B$5004,$P$6,Data!$D$5:$D$5004,$P$7,Data!$C$5:$C$5004,$P$8,Data!$E$5:$E$5004,$B119,Data!$F$5:$F$5004,$P$10,Data!$G$5:$G$5004,$P$11)+ExOn*SUMIFS(مثال_Example!$W$5:$W$804,مثال_Example!$B$5:$B$804,$P$6,مثال_Example!$D$5:$D$804,$P$7,مثال_Example!$C$5:$C$804,$P$8,مثال_Example!$E$5:$E$804,$B119,مثال_Example!$F$5:$F$804,$P$10,مثال_Example!$G$5:$G$804,$P$11))+(SUMIFS(Data!$X$5:$X$5004,Data!$B$5:$B$5004,$P$6,Data!$D$5:$D$5004,$P$7,Data!$C$5:$C$5004,$P$8,Data!$E$5:$E$5004,$B119,Data!$F$5:$F$5004,$P$10,Data!$G$5:$G$5004,$P$11)+ExOn*SUMIFS(مثال_Example!$X$5:$X$804,مثال_Example!$B$5:$B$804,$P$6,مثال_Example!$D$5:$D$804,$P$7,مثال_Example!$C$5:$C$804,$P$8,مثال_Example!$E$5:$E$804,$B119,مثال_Example!$F$5:$F$804,$P$10,مثال_Example!$G$5:$G$804,$P$11)))</f>
        <v/>
      </c>
      <c r="N119" s="1"/>
    </row>
    <row r="120" customFormat="false" ht="15" hidden="false" customHeight="false" outlineLevel="0" collapsed="false">
      <c r="A120" s="1"/>
      <c r="B120" s="38" t="str">
        <f aca="false">B108</f>
        <v/>
      </c>
      <c r="C120" s="39" t="str">
        <f aca="false">IF($B120="","",I108)</f>
        <v/>
      </c>
      <c r="D120" s="39" t="str">
        <f aca="false">IF($B120="","",J108)</f>
        <v/>
      </c>
      <c r="E120" s="40" t="str">
        <f aca="false">IF($B120="","",IF($C120=0,"—",D120/$C120))</f>
        <v/>
      </c>
      <c r="F120" s="39" t="str">
        <f aca="false">IF($B120="","",K108)</f>
        <v/>
      </c>
      <c r="G120" s="40" t="str">
        <f aca="false">IF($B120="","",IF($C120=0,"—",F120/$C120))</f>
        <v/>
      </c>
      <c r="H120" s="39" t="str">
        <f aca="false">IF($B120="","",L108)</f>
        <v/>
      </c>
      <c r="I120" s="40" t="str">
        <f aca="false">IF($B120="","",IF($C120=0,"—",H120/$C120))</f>
        <v/>
      </c>
      <c r="J120" s="39" t="str">
        <f aca="false">IF($B120="","",F120+H120)</f>
        <v/>
      </c>
      <c r="K120" s="40" t="str">
        <f aca="false">IF($B120="","",IF($C120=0,"—",J120/$C120))</f>
        <v/>
      </c>
      <c r="L120" s="42" t="str">
        <f aca="false">IF($B120="","",IF($C120=0,"لا توجد بيانات",IF(ROUND(J120/C120,10)&lt;=KeyP_VW,"Very Weak",IF(ROUND(J120/C120,10)&lt;KeyP_Weak,"Weak",IF(ROUND(H120/C120,10)&lt;KeyP_Acc,"Acceptable",IF(ROUND(H120/C120,10)&lt;=KeyP_Good,"Good",IF(ROUND(H120/C120,10)&lt;KeyP_Out,"Very Good","Outstanding")))))))</f>
        <v/>
      </c>
      <c r="M120" s="39" t="str">
        <f aca="false">IF($B120="","",(SUMIFS(Data!$W$5:$W$5004,Data!$B$5:$B$5004,$P$6,Data!$D$5:$D$5004,$P$7,Data!$C$5:$C$5004,$P$8,Data!$E$5:$E$5004,$B120,Data!$F$5:$F$5004,$P$10,Data!$G$5:$G$5004,$P$11)+ExOn*SUMIFS(مثال_Example!$W$5:$W$804,مثال_Example!$B$5:$B$804,$P$6,مثال_Example!$D$5:$D$804,$P$7,مثال_Example!$C$5:$C$804,$P$8,مثال_Example!$E$5:$E$804,$B120,مثال_Example!$F$5:$F$804,$P$10,مثال_Example!$G$5:$G$804,$P$11))+(SUMIFS(Data!$X$5:$X$5004,Data!$B$5:$B$5004,$P$6,Data!$D$5:$D$5004,$P$7,Data!$C$5:$C$5004,$P$8,Data!$E$5:$E$5004,$B120,Data!$F$5:$F$5004,$P$10,Data!$G$5:$G$5004,$P$11)+ExOn*SUMIFS(مثال_Example!$X$5:$X$804,مثال_Example!$B$5:$B$804,$P$6,مثال_Example!$D$5:$D$804,$P$7,مثال_Example!$C$5:$C$804,$P$8,مثال_Example!$E$5:$E$804,$B120,مثال_Example!$F$5:$F$804,$P$10,مثال_Example!$G$5:$G$804,$P$11)))</f>
        <v/>
      </c>
      <c r="N120" s="1"/>
    </row>
    <row r="121" customFormat="false" ht="15" hidden="false" customHeight="false" outlineLevel="0" collapsed="false">
      <c r="A121" s="1"/>
      <c r="B121" s="38" t="str">
        <f aca="false">B109</f>
        <v/>
      </c>
      <c r="C121" s="39" t="str">
        <f aca="false">IF($B121="","",I109)</f>
        <v/>
      </c>
      <c r="D121" s="39" t="str">
        <f aca="false">IF($B121="","",J109)</f>
        <v/>
      </c>
      <c r="E121" s="40" t="str">
        <f aca="false">IF($B121="","",IF($C121=0,"—",D121/$C121))</f>
        <v/>
      </c>
      <c r="F121" s="39" t="str">
        <f aca="false">IF($B121="","",K109)</f>
        <v/>
      </c>
      <c r="G121" s="40" t="str">
        <f aca="false">IF($B121="","",IF($C121=0,"—",F121/$C121))</f>
        <v/>
      </c>
      <c r="H121" s="39" t="str">
        <f aca="false">IF($B121="","",L109)</f>
        <v/>
      </c>
      <c r="I121" s="40" t="str">
        <f aca="false">IF($B121="","",IF($C121=0,"—",H121/$C121))</f>
        <v/>
      </c>
      <c r="J121" s="39" t="str">
        <f aca="false">IF($B121="","",F121+H121)</f>
        <v/>
      </c>
      <c r="K121" s="40" t="str">
        <f aca="false">IF($B121="","",IF($C121=0,"—",J121/$C121))</f>
        <v/>
      </c>
      <c r="L121" s="42" t="str">
        <f aca="false">IF($B121="","",IF($C121=0,"لا توجد بيانات",IF(ROUND(J121/C121,10)&lt;=KeyP_VW,"Very Weak",IF(ROUND(J121/C121,10)&lt;KeyP_Weak,"Weak",IF(ROUND(H121/C121,10)&lt;KeyP_Acc,"Acceptable",IF(ROUND(H121/C121,10)&lt;=KeyP_Good,"Good",IF(ROUND(H121/C121,10)&lt;KeyP_Out,"Very Good","Outstanding")))))))</f>
        <v/>
      </c>
      <c r="M121" s="39" t="str">
        <f aca="false">IF($B121="","",(SUMIFS(Data!$W$5:$W$5004,Data!$B$5:$B$5004,$P$6,Data!$D$5:$D$5004,$P$7,Data!$C$5:$C$5004,$P$8,Data!$E$5:$E$5004,$B121,Data!$F$5:$F$5004,$P$10,Data!$G$5:$G$5004,$P$11)+ExOn*SUMIFS(مثال_Example!$W$5:$W$804,مثال_Example!$B$5:$B$804,$P$6,مثال_Example!$D$5:$D$804,$P$7,مثال_Example!$C$5:$C$804,$P$8,مثال_Example!$E$5:$E$804,$B121,مثال_Example!$F$5:$F$804,$P$10,مثال_Example!$G$5:$G$804,$P$11))+(SUMIFS(Data!$X$5:$X$5004,Data!$B$5:$B$5004,$P$6,Data!$D$5:$D$5004,$P$7,Data!$C$5:$C$5004,$P$8,Data!$E$5:$E$5004,$B121,Data!$F$5:$F$5004,$P$10,Data!$G$5:$G$5004,$P$11)+ExOn*SUMIFS(مثال_Example!$X$5:$X$804,مثال_Example!$B$5:$B$804,$P$6,مثال_Example!$D$5:$D$804,$P$7,مثال_Example!$C$5:$C$804,$P$8,مثال_Example!$E$5:$E$804,$B121,مثال_Example!$F$5:$F$804,$P$10,مثال_Example!$G$5:$G$804,$P$11)))</f>
        <v/>
      </c>
      <c r="N121" s="1"/>
    </row>
    <row r="122" customFormat="false" ht="15" hidden="false" customHeight="false" outlineLevel="0" collapsed="false">
      <c r="A122" s="1"/>
      <c r="B122" s="38" t="str">
        <f aca="false">B110</f>
        <v/>
      </c>
      <c r="C122" s="39" t="str">
        <f aca="false">IF($B122="","",I110)</f>
        <v/>
      </c>
      <c r="D122" s="39" t="str">
        <f aca="false">IF($B122="","",J110)</f>
        <v/>
      </c>
      <c r="E122" s="40" t="str">
        <f aca="false">IF($B122="","",IF($C122=0,"—",D122/$C122))</f>
        <v/>
      </c>
      <c r="F122" s="39" t="str">
        <f aca="false">IF($B122="","",K110)</f>
        <v/>
      </c>
      <c r="G122" s="40" t="str">
        <f aca="false">IF($B122="","",IF($C122=0,"—",F122/$C122))</f>
        <v/>
      </c>
      <c r="H122" s="39" t="str">
        <f aca="false">IF($B122="","",L110)</f>
        <v/>
      </c>
      <c r="I122" s="40" t="str">
        <f aca="false">IF($B122="","",IF($C122=0,"—",H122/$C122))</f>
        <v/>
      </c>
      <c r="J122" s="39" t="str">
        <f aca="false">IF($B122="","",F122+H122)</f>
        <v/>
      </c>
      <c r="K122" s="40" t="str">
        <f aca="false">IF($B122="","",IF($C122=0,"—",J122/$C122))</f>
        <v/>
      </c>
      <c r="L122" s="42" t="str">
        <f aca="false">IF($B122="","",IF($C122=0,"لا توجد بيانات",IF(ROUND(J122/C122,10)&lt;=KeyP_VW,"Very Weak",IF(ROUND(J122/C122,10)&lt;KeyP_Weak,"Weak",IF(ROUND(H122/C122,10)&lt;KeyP_Acc,"Acceptable",IF(ROUND(H122/C122,10)&lt;=KeyP_Good,"Good",IF(ROUND(H122/C122,10)&lt;KeyP_Out,"Very Good","Outstanding")))))))</f>
        <v/>
      </c>
      <c r="M122" s="39" t="str">
        <f aca="false">IF($B122="","",(SUMIFS(Data!$W$5:$W$5004,Data!$B$5:$B$5004,$P$6,Data!$D$5:$D$5004,$P$7,Data!$C$5:$C$5004,$P$8,Data!$E$5:$E$5004,$B122,Data!$F$5:$F$5004,$P$10,Data!$G$5:$G$5004,$P$11)+ExOn*SUMIFS(مثال_Example!$W$5:$W$804,مثال_Example!$B$5:$B$804,$P$6,مثال_Example!$D$5:$D$804,$P$7,مثال_Example!$C$5:$C$804,$P$8,مثال_Example!$E$5:$E$804,$B122,مثال_Example!$F$5:$F$804,$P$10,مثال_Example!$G$5:$G$804,$P$11))+(SUMIFS(Data!$X$5:$X$5004,Data!$B$5:$B$5004,$P$6,Data!$D$5:$D$5004,$P$7,Data!$C$5:$C$5004,$P$8,Data!$E$5:$E$5004,$B122,Data!$F$5:$F$5004,$P$10,Data!$G$5:$G$5004,$P$11)+ExOn*SUMIFS(مثال_Example!$X$5:$X$804,مثال_Example!$B$5:$B$804,$P$6,مثال_Example!$D$5:$D$804,$P$7,مثال_Example!$C$5:$C$804,$P$8,مثال_Example!$E$5:$E$804,$B122,مثال_Example!$F$5:$F$804,$P$10,مثال_Example!$G$5:$G$804,$P$11)))</f>
        <v/>
      </c>
      <c r="N122" s="1"/>
    </row>
    <row r="123" customFormat="false" ht="15" hidden="false" customHeight="false" outlineLevel="0" collapsed="false">
      <c r="A123" s="1"/>
      <c r="B123" s="43" t="s">
        <v>189</v>
      </c>
      <c r="C123" s="44" t="n">
        <f aca="false">SUM(C115:C122)</f>
        <v>0</v>
      </c>
      <c r="D123" s="44" t="n">
        <f aca="false">SUM(D115:D122)</f>
        <v>0</v>
      </c>
      <c r="E123" s="45" t="str">
        <f aca="false">IF(C123=0,"—",D123/C123)</f>
        <v>—</v>
      </c>
      <c r="F123" s="44" t="n">
        <f aca="false">SUM(F115:F122)</f>
        <v>0</v>
      </c>
      <c r="G123" s="45" t="str">
        <f aca="false">IF(C123=0,"—",F123/C123)</f>
        <v>—</v>
      </c>
      <c r="H123" s="44" t="n">
        <f aca="false">SUM(H115:H122)</f>
        <v>0</v>
      </c>
      <c r="I123" s="45" t="str">
        <f aca="false">IF(C123=0,"—",H123/C123)</f>
        <v>—</v>
      </c>
      <c r="J123" s="44" t="n">
        <f aca="false">SUM(J115:J122)</f>
        <v>0</v>
      </c>
      <c r="K123" s="45" t="str">
        <f aca="false">IF(C123=0,"—",J123/C123)</f>
        <v>—</v>
      </c>
      <c r="L123" s="38" t="str">
        <f aca="false">IF(C123=0,"لا توجد بيانات",IF(ROUND(J123/C123,10)&lt;=KeyP_VW,"Very Weak",IF(ROUND(J123/C123,10)&lt;KeyP_Weak,"Weak",IF(ROUND(H123/C123,10)&lt;KeyP_Acc,"Acceptable",IF(ROUND(H123/C123,10)&lt;=KeyP_Good,"Good",IF(ROUND(H123/C123,10)&lt;KeyP_Out,"Very Good","Outstanding"))))))</f>
        <v>لا توجد بيانات</v>
      </c>
      <c r="M123" s="44" t="n">
        <f aca="false">SUM(M115:M122)</f>
        <v>0</v>
      </c>
      <c r="N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customFormat="false" ht="21.75" hidden="false" customHeight="true" outlineLevel="0" collapsed="false">
      <c r="A125" s="1"/>
      <c r="B125" s="4" t="s">
        <v>217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1"/>
    </row>
    <row r="126" customFormat="false" ht="31.5" hidden="false" customHeight="true" outlineLevel="0" collapsed="false">
      <c r="A126" s="1"/>
      <c r="B126" s="37" t="s">
        <v>191</v>
      </c>
      <c r="C126" s="37" t="s">
        <v>192</v>
      </c>
      <c r="D126" s="37" t="s">
        <v>193</v>
      </c>
      <c r="E126" s="37" t="s">
        <v>194</v>
      </c>
      <c r="F126" s="37" t="s">
        <v>195</v>
      </c>
      <c r="G126" s="1"/>
      <c r="H126" s="1"/>
      <c r="I126" s="1"/>
      <c r="J126" s="1"/>
      <c r="K126" s="1"/>
      <c r="L126" s="1"/>
      <c r="M126" s="1"/>
      <c r="N126" s="1"/>
    </row>
    <row r="127" customFormat="false" ht="15" hidden="false" customHeight="false" outlineLevel="0" collapsed="false">
      <c r="A127" s="1"/>
      <c r="B127" s="46" t="s">
        <v>196</v>
      </c>
      <c r="C127" s="39" t="n">
        <f aca="false">(SUMIFS(Data!$Q$5:$Q$5004,Data!$B$5:$B$5004,$P$6,Data!$D$5:$D$5004,$P$7,Data!$C$5:$C$5004,$P$8,Data!$E$5:$E$5004,$P$9,Data!$F$5:$F$5004,$P$10,Data!$G$5:$G$5004,$P$11,Data!$I$5:$I$5004,$B127)+ExOn*SUMIFS(مثال_Example!$Q$5:$Q$804,مثال_Example!$B$5:$B$804,$P$6,مثال_Example!$D$5:$D$804,$P$7,مثال_Example!$C$5:$C$804,$P$8,مثال_Example!$E$5:$E$804,$P$9,مثال_Example!$F$5:$F$804,$P$10,مثال_Example!$G$5:$G$804,$P$11,مثال_Example!$I$5:$I$804,$B127))</f>
        <v>0</v>
      </c>
      <c r="D127" s="40" t="str">
        <f aca="false">IF($Q$13=0,"—",C127/$Q$13)</f>
        <v>—</v>
      </c>
      <c r="E127" s="42" t="str">
        <f aca="false">IF(MATCH(B127,GradeList,0)&gt;=AboveRank,"Above",IF(MATCH(B127,GradeList,0)&gt;=AtRank,"At","—"))</f>
        <v>—</v>
      </c>
      <c r="F127" s="47" t="str">
        <f aca="false">B127&amp;_xlfn.UNICHAR(8206)</f>
        <v>U‎</v>
      </c>
      <c r="G127" s="1"/>
      <c r="H127" s="1"/>
      <c r="I127" s="1"/>
      <c r="J127" s="1"/>
      <c r="K127" s="1"/>
      <c r="L127" s="1"/>
      <c r="M127" s="1"/>
      <c r="N127" s="1"/>
    </row>
    <row r="128" customFormat="false" ht="15" hidden="false" customHeight="false" outlineLevel="0" collapsed="false">
      <c r="A128" s="1"/>
      <c r="B128" s="46" t="s">
        <v>197</v>
      </c>
      <c r="C128" s="39" t="n">
        <f aca="false">(SUMIFS(Data!$Q$5:$Q$5004,Data!$B$5:$B$5004,$P$6,Data!$D$5:$D$5004,$P$7,Data!$C$5:$C$5004,$P$8,Data!$E$5:$E$5004,$P$9,Data!$F$5:$F$5004,$P$10,Data!$G$5:$G$5004,$P$11,Data!$I$5:$I$5004,$B128)+ExOn*SUMIFS(مثال_Example!$Q$5:$Q$804,مثال_Example!$B$5:$B$804,$P$6,مثال_Example!$D$5:$D$804,$P$7,مثال_Example!$C$5:$C$804,$P$8,مثال_Example!$E$5:$E$804,$P$9,مثال_Example!$F$5:$F$804,$P$10,مثال_Example!$G$5:$G$804,$P$11,مثال_Example!$I$5:$I$804,$B128))</f>
        <v>0</v>
      </c>
      <c r="D128" s="40" t="str">
        <f aca="false">IF($Q$13=0,"—",C128/$Q$13)</f>
        <v>—</v>
      </c>
      <c r="E128" s="42" t="str">
        <f aca="false">IF(MATCH(B128,GradeList,0)&gt;=AboveRank,"Above",IF(MATCH(B128,GradeList,0)&gt;=AtRank,"At","—"))</f>
        <v>—</v>
      </c>
      <c r="F128" s="47" t="str">
        <f aca="false">B128&amp;_xlfn.UNICHAR(8206)</f>
        <v>B‎</v>
      </c>
      <c r="G128" s="1"/>
      <c r="H128" s="1"/>
      <c r="I128" s="1"/>
      <c r="J128" s="1"/>
      <c r="K128" s="1"/>
      <c r="L128" s="1"/>
      <c r="M128" s="1"/>
      <c r="N128" s="1"/>
    </row>
    <row r="129" customFormat="false" ht="15" hidden="false" customHeight="false" outlineLevel="0" collapsed="false">
      <c r="A129" s="1"/>
      <c r="B129" s="46" t="s">
        <v>198</v>
      </c>
      <c r="C129" s="39" t="n">
        <f aca="false">(SUMIFS(Data!$Q$5:$Q$5004,Data!$B$5:$B$5004,$P$6,Data!$D$5:$D$5004,$P$7,Data!$C$5:$C$5004,$P$8,Data!$E$5:$E$5004,$P$9,Data!$F$5:$F$5004,$P$10,Data!$G$5:$G$5004,$P$11,Data!$I$5:$I$5004,$B129)+ExOn*SUMIFS(مثال_Example!$Q$5:$Q$804,مثال_Example!$B$5:$B$804,$P$6,مثال_Example!$D$5:$D$804,$P$7,مثال_Example!$C$5:$C$804,$P$8,مثال_Example!$E$5:$E$804,$P$9,مثال_Example!$F$5:$F$804,$P$10,مثال_Example!$G$5:$G$804,$P$11,مثال_Example!$I$5:$I$804,$B129))</f>
        <v>0</v>
      </c>
      <c r="D129" s="40" t="str">
        <f aca="false">IF($Q$13=0,"—",C129/$Q$13)</f>
        <v>—</v>
      </c>
      <c r="E129" s="42" t="str">
        <f aca="false">IF(MATCH(B129,GradeList,0)&gt;=AboveRank,"Above",IF(MATCH(B129,GradeList,0)&gt;=AtRank,"At","—"))</f>
        <v>—</v>
      </c>
      <c r="F129" s="47" t="str">
        <f aca="false">B129&amp;_xlfn.UNICHAR(8206)</f>
        <v>B+‎</v>
      </c>
      <c r="G129" s="1"/>
      <c r="H129" s="1"/>
      <c r="I129" s="1"/>
      <c r="J129" s="1"/>
      <c r="K129" s="1"/>
      <c r="L129" s="1"/>
      <c r="M129" s="1"/>
      <c r="N129" s="1"/>
    </row>
    <row r="130" customFormat="false" ht="15" hidden="false" customHeight="false" outlineLevel="0" collapsed="false">
      <c r="A130" s="1"/>
      <c r="B130" s="46" t="s">
        <v>199</v>
      </c>
      <c r="C130" s="39" t="n">
        <f aca="false">(SUMIFS(Data!$Q$5:$Q$5004,Data!$B$5:$B$5004,$P$6,Data!$D$5:$D$5004,$P$7,Data!$C$5:$C$5004,$P$8,Data!$E$5:$E$5004,$P$9,Data!$F$5:$F$5004,$P$10,Data!$G$5:$G$5004,$P$11,Data!$I$5:$I$5004,$B130)+ExOn*SUMIFS(مثال_Example!$Q$5:$Q$804,مثال_Example!$B$5:$B$804,$P$6,مثال_Example!$D$5:$D$804,$P$7,مثال_Example!$C$5:$C$804,$P$8,مثال_Example!$E$5:$E$804,$P$9,مثال_Example!$F$5:$F$804,$P$10,مثال_Example!$G$5:$G$804,$P$11,مثال_Example!$I$5:$I$804,$B130))</f>
        <v>0</v>
      </c>
      <c r="D130" s="40" t="str">
        <f aca="false">IF($Q$13=0,"—",C130/$Q$13)</f>
        <v>—</v>
      </c>
      <c r="E130" s="42" t="str">
        <f aca="false">IF(MATCH(B130,GradeList,0)&gt;=AboveRank,"Above",IF(MATCH(B130,GradeList,0)&gt;=AtRank,"At","—"))</f>
        <v>—</v>
      </c>
      <c r="F130" s="47" t="str">
        <f aca="false">B130&amp;_xlfn.UNICHAR(8206)</f>
        <v>T‎</v>
      </c>
      <c r="G130" s="1"/>
      <c r="H130" s="1"/>
      <c r="I130" s="1"/>
      <c r="J130" s="1"/>
      <c r="K130" s="1"/>
      <c r="L130" s="1"/>
      <c r="M130" s="1"/>
      <c r="N130" s="1"/>
    </row>
    <row r="131" customFormat="false" ht="15" hidden="false" customHeight="false" outlineLevel="0" collapsed="false">
      <c r="A131" s="1"/>
      <c r="B131" s="46" t="s">
        <v>200</v>
      </c>
      <c r="C131" s="39" t="n">
        <f aca="false">(SUMIFS(Data!$Q$5:$Q$5004,Data!$B$5:$B$5004,$P$6,Data!$D$5:$D$5004,$P$7,Data!$C$5:$C$5004,$P$8,Data!$E$5:$E$5004,$P$9,Data!$F$5:$F$5004,$P$10,Data!$G$5:$G$5004,$P$11,Data!$I$5:$I$5004,$B131)+ExOn*SUMIFS(مثال_Example!$Q$5:$Q$804,مثال_Example!$B$5:$B$804,$P$6,مثال_Example!$D$5:$D$804,$P$7,مثال_Example!$C$5:$C$804,$P$8,مثال_Example!$E$5:$E$804,$P$9,مثال_Example!$F$5:$F$804,$P$10,مثال_Example!$G$5:$G$804,$P$11,مثال_Example!$I$5:$I$804,$B131))</f>
        <v>0</v>
      </c>
      <c r="D131" s="40" t="str">
        <f aca="false">IF($Q$13=0,"—",C131/$Q$13)</f>
        <v>—</v>
      </c>
      <c r="E131" s="42" t="str">
        <f aca="false">IF(MATCH(B131,GradeList,0)&gt;=AboveRank,"Above",IF(MATCH(B131,GradeList,0)&gt;=AtRank,"At","—"))</f>
        <v>At</v>
      </c>
      <c r="F131" s="47" t="str">
        <f aca="false">B131&amp;_xlfn.UNICHAR(8206)</f>
        <v>AT‎</v>
      </c>
      <c r="G131" s="1"/>
      <c r="H131" s="1"/>
      <c r="I131" s="1"/>
      <c r="J131" s="1"/>
      <c r="K131" s="1"/>
      <c r="L131" s="1"/>
      <c r="M131" s="1"/>
      <c r="N131" s="1"/>
    </row>
    <row r="132" customFormat="false" ht="15" hidden="false" customHeight="false" outlineLevel="0" collapsed="false">
      <c r="A132" s="1"/>
      <c r="B132" s="46" t="s">
        <v>201</v>
      </c>
      <c r="C132" s="39" t="n">
        <f aca="false">(SUMIFS(Data!$Q$5:$Q$5004,Data!$B$5:$B$5004,$P$6,Data!$D$5:$D$5004,$P$7,Data!$C$5:$C$5004,$P$8,Data!$E$5:$E$5004,$P$9,Data!$F$5:$F$5004,$P$10,Data!$G$5:$G$5004,$P$11,Data!$I$5:$I$5004,$B132)+ExOn*SUMIFS(مثال_Example!$Q$5:$Q$804,مثال_Example!$B$5:$B$804,$P$6,مثال_Example!$D$5:$D$804,$P$7,مثال_Example!$C$5:$C$804,$P$8,مثال_Example!$E$5:$E$804,$P$9,مثال_Example!$F$5:$F$804,$P$10,مثال_Example!$G$5:$G$804,$P$11,مثال_Example!$I$5:$I$804,$B132))</f>
        <v>0</v>
      </c>
      <c r="D132" s="40" t="str">
        <f aca="false">IF($Q$13=0,"—",C132/$Q$13)</f>
        <v>—</v>
      </c>
      <c r="E132" s="42" t="str">
        <f aca="false">IF(MATCH(B132,GradeList,0)&gt;=AboveRank,"Above",IF(MATCH(B132,GradeList,0)&gt;=AtRank,"At","—"))</f>
        <v>At</v>
      </c>
      <c r="F132" s="47" t="str">
        <f aca="false">B132&amp;_xlfn.UNICHAR(8206)</f>
        <v>AT+‎</v>
      </c>
      <c r="G132" s="1"/>
      <c r="H132" s="1"/>
      <c r="I132" s="1"/>
      <c r="J132" s="1"/>
      <c r="K132" s="1"/>
      <c r="L132" s="1"/>
      <c r="M132" s="1"/>
      <c r="N132" s="1"/>
    </row>
    <row r="133" customFormat="false" ht="15" hidden="false" customHeight="false" outlineLevel="0" collapsed="false">
      <c r="A133" s="1"/>
      <c r="B133" s="46" t="s">
        <v>202</v>
      </c>
      <c r="C133" s="39" t="n">
        <f aca="false">(SUMIFS(Data!$Q$5:$Q$5004,Data!$B$5:$B$5004,$P$6,Data!$D$5:$D$5004,$P$7,Data!$C$5:$C$5004,$P$8,Data!$E$5:$E$5004,$P$9,Data!$F$5:$F$5004,$P$10,Data!$G$5:$G$5004,$P$11,Data!$I$5:$I$5004,$B133)+ExOn*SUMIFS(مثال_Example!$Q$5:$Q$804,مثال_Example!$B$5:$B$804,$P$6,مثال_Example!$D$5:$D$804,$P$7,مثال_Example!$C$5:$C$804,$P$8,مثال_Example!$E$5:$E$804,$P$9,مثال_Example!$F$5:$F$804,$P$10,مثال_Example!$G$5:$G$804,$P$11,مثال_Example!$I$5:$I$804,$B133))</f>
        <v>0</v>
      </c>
      <c r="D133" s="40" t="str">
        <f aca="false">IF($Q$13=0,"—",C133/$Q$13)</f>
        <v>—</v>
      </c>
      <c r="E133" s="42" t="str">
        <f aca="false">IF(MATCH(B133,GradeList,0)&gt;=AboveRank,"Above",IF(MATCH(B133,GradeList,0)&gt;=AtRank,"At","—"))</f>
        <v>Above</v>
      </c>
      <c r="F133" s="47" t="str">
        <f aca="false">B133&amp;_xlfn.UNICHAR(8206)</f>
        <v>AB‎</v>
      </c>
      <c r="G133" s="1"/>
      <c r="H133" s="1"/>
      <c r="I133" s="1"/>
      <c r="J133" s="1"/>
      <c r="K133" s="1"/>
      <c r="L133" s="1"/>
      <c r="M133" s="1"/>
      <c r="N133" s="1"/>
    </row>
    <row r="134" customFormat="false" ht="15" hidden="false" customHeight="false" outlineLevel="0" collapsed="false">
      <c r="A134" s="1"/>
      <c r="B134" s="46" t="s">
        <v>203</v>
      </c>
      <c r="C134" s="39" t="n">
        <f aca="false">(SUMIFS(Data!$Q$5:$Q$5004,Data!$B$5:$B$5004,$P$6,Data!$D$5:$D$5004,$P$7,Data!$C$5:$C$5004,$P$8,Data!$E$5:$E$5004,$P$9,Data!$F$5:$F$5004,$P$10,Data!$G$5:$G$5004,$P$11,Data!$I$5:$I$5004,$B134)+ExOn*SUMIFS(مثال_Example!$Q$5:$Q$804,مثال_Example!$B$5:$B$804,$P$6,مثال_Example!$D$5:$D$804,$P$7,مثال_Example!$C$5:$C$804,$P$8,مثال_Example!$E$5:$E$804,$P$9,مثال_Example!$F$5:$F$804,$P$10,مثال_Example!$G$5:$G$804,$P$11,مثال_Example!$I$5:$I$804,$B134))</f>
        <v>0</v>
      </c>
      <c r="D134" s="40" t="str">
        <f aca="false">IF($Q$13=0,"—",C134/$Q$13)</f>
        <v>—</v>
      </c>
      <c r="E134" s="42" t="str">
        <f aca="false">IF(MATCH(B134,GradeList,0)&gt;=AboveRank,"Above",IF(MATCH(B134,GradeList,0)&gt;=AtRank,"At","—"))</f>
        <v>Above</v>
      </c>
      <c r="F134" s="47" t="str">
        <f aca="false">B134&amp;_xlfn.UNICHAR(8206)</f>
        <v>AB+‎</v>
      </c>
      <c r="G134" s="1"/>
      <c r="H134" s="1"/>
      <c r="I134" s="1"/>
      <c r="J134" s="1"/>
      <c r="K134" s="1"/>
      <c r="L134" s="1"/>
      <c r="M134" s="1"/>
      <c r="N134" s="1"/>
    </row>
    <row r="135" customFormat="false" ht="15" hidden="false" customHeight="false" outlineLevel="0" collapsed="false">
      <c r="A135" s="1"/>
      <c r="B135" s="46" t="s">
        <v>204</v>
      </c>
      <c r="C135" s="39" t="n">
        <f aca="false">(SUMIFS(Data!$Q$5:$Q$5004,Data!$B$5:$B$5004,$P$6,Data!$D$5:$D$5004,$P$7,Data!$C$5:$C$5004,$P$8,Data!$E$5:$E$5004,$P$9,Data!$F$5:$F$5004,$P$10,Data!$G$5:$G$5004,$P$11,Data!$I$5:$I$5004,$B135)+ExOn*SUMIFS(مثال_Example!$Q$5:$Q$804,مثال_Example!$B$5:$B$804,$P$6,مثال_Example!$D$5:$D$804,$P$7,مثال_Example!$C$5:$C$804,$P$8,مثال_Example!$E$5:$E$804,$P$9,مثال_Example!$F$5:$F$804,$P$10,مثال_Example!$G$5:$G$804,$P$11,مثال_Example!$I$5:$I$804,$B135))</f>
        <v>0</v>
      </c>
      <c r="D135" s="40" t="str">
        <f aca="false">IF($Q$13=0,"—",C135/$Q$13)</f>
        <v>—</v>
      </c>
      <c r="E135" s="42" t="str">
        <f aca="false">IF(MATCH(B135,GradeList,0)&gt;=AboveRank,"Above",IF(MATCH(B135,GradeList,0)&gt;=AtRank,"At","—"))</f>
        <v>Above</v>
      </c>
      <c r="F135" s="47" t="str">
        <f aca="false">B135&amp;_xlfn.UNICHAR(8206)</f>
        <v>GD‎</v>
      </c>
      <c r="G135" s="1"/>
      <c r="H135" s="1"/>
      <c r="I135" s="1"/>
      <c r="J135" s="1"/>
      <c r="K135" s="1"/>
      <c r="L135" s="1"/>
      <c r="M135" s="1"/>
      <c r="N135" s="1"/>
    </row>
    <row r="136" customFormat="false" ht="15" hidden="false" customHeight="false" outlineLevel="0" collapsed="false">
      <c r="A136" s="1"/>
      <c r="B136" s="46" t="s">
        <v>205</v>
      </c>
      <c r="C136" s="39" t="n">
        <f aca="false">(SUMIFS(Data!$Q$5:$Q$5004,Data!$B$5:$B$5004,$P$6,Data!$D$5:$D$5004,$P$7,Data!$C$5:$C$5004,$P$8,Data!$E$5:$E$5004,$P$9,Data!$F$5:$F$5004,$P$10,Data!$G$5:$G$5004,$P$11,Data!$I$5:$I$5004,$B136)+ExOn*SUMIFS(مثال_Example!$Q$5:$Q$804,مثال_Example!$B$5:$B$804,$P$6,مثال_Example!$D$5:$D$804,$P$7,مثال_Example!$C$5:$C$804,$P$8,مثال_Example!$E$5:$E$804,$P$9,مثال_Example!$F$5:$F$804,$P$10,مثال_Example!$G$5:$G$804,$P$11,مثال_Example!$I$5:$I$804,$B136))</f>
        <v>0</v>
      </c>
      <c r="D136" s="40" t="str">
        <f aca="false">IF($Q$13=0,"—",C136/$Q$13)</f>
        <v>—</v>
      </c>
      <c r="E136" s="42" t="str">
        <f aca="false">IF(MATCH(B136,GradeList,0)&gt;=AboveRank,"Above",IF(MATCH(B136,GradeList,0)&gt;=AtRank,"At","—"))</f>
        <v>Above</v>
      </c>
      <c r="F136" s="47" t="str">
        <f aca="false">B136&amp;_xlfn.UNICHAR(8206)</f>
        <v>GD+‎</v>
      </c>
      <c r="G136" s="1"/>
      <c r="H136" s="1"/>
      <c r="I136" s="1"/>
      <c r="J136" s="1"/>
      <c r="K136" s="1"/>
      <c r="L136" s="1"/>
      <c r="M136" s="1"/>
      <c r="N136" s="1"/>
    </row>
    <row r="137" customFormat="false" ht="15" hidden="false" customHeight="false" outlineLevel="0" collapsed="false">
      <c r="A137" s="1"/>
      <c r="B137" s="43" t="s">
        <v>189</v>
      </c>
      <c r="C137" s="44" t="n">
        <f aca="false">SUM(C127:C136)</f>
        <v>0</v>
      </c>
      <c r="D137" s="45" t="str">
        <f aca="false">IF($Q$13=0,"—",C137/$Q$13)</f>
        <v>—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customFormat="false" ht="31.5" hidden="false" customHeight="true" outlineLevel="0" collapsed="false">
      <c r="A139" s="1"/>
      <c r="B139" s="1"/>
      <c r="C139" s="1"/>
      <c r="D139" s="1"/>
      <c r="E139" s="1"/>
      <c r="F139" s="1"/>
      <c r="G139" s="37" t="s">
        <v>206</v>
      </c>
      <c r="H139" s="37" t="s">
        <v>207</v>
      </c>
      <c r="I139" s="37" t="s">
        <v>208</v>
      </c>
      <c r="J139" s="1"/>
      <c r="K139" s="1"/>
      <c r="L139" s="1"/>
      <c r="M139" s="1"/>
      <c r="N139" s="1"/>
    </row>
    <row r="140" customFormat="false" ht="23.85" hidden="false" customHeight="false" outlineLevel="0" collapsed="false">
      <c r="A140" s="1"/>
      <c r="B140" s="1"/>
      <c r="C140" s="1"/>
      <c r="D140" s="1"/>
      <c r="E140" s="1"/>
      <c r="F140" s="1"/>
      <c r="G140" s="38" t="s">
        <v>209</v>
      </c>
      <c r="H140" s="39" t="n">
        <f aca="false">$Q$13-$Q$14</f>
        <v>0</v>
      </c>
      <c r="I140" s="40" t="str">
        <f aca="false">IF($Q$13=0,"—",H140/$Q$13)</f>
        <v>—</v>
      </c>
      <c r="J140" s="1"/>
      <c r="K140" s="1"/>
      <c r="L140" s="1"/>
      <c r="M140" s="1"/>
      <c r="N140" s="1"/>
    </row>
    <row r="141" customFormat="false" ht="15" hidden="false" customHeight="false" outlineLevel="0" collapsed="false">
      <c r="A141" s="1"/>
      <c r="B141" s="1"/>
      <c r="C141" s="1"/>
      <c r="D141" s="1"/>
      <c r="E141" s="1"/>
      <c r="F141" s="1"/>
      <c r="G141" s="38" t="s">
        <v>210</v>
      </c>
      <c r="H141" s="39" t="n">
        <f aca="false">$Q$14-$Q$15</f>
        <v>0</v>
      </c>
      <c r="I141" s="40" t="str">
        <f aca="false">IF($Q$13=0,"—",H141/$Q$13)</f>
        <v>—</v>
      </c>
      <c r="J141" s="1"/>
      <c r="K141" s="1"/>
      <c r="L141" s="1"/>
      <c r="M141" s="1"/>
      <c r="N141" s="1"/>
    </row>
    <row r="142" customFormat="false" ht="15" hidden="false" customHeight="false" outlineLevel="0" collapsed="false">
      <c r="A142" s="1"/>
      <c r="B142" s="1"/>
      <c r="C142" s="1"/>
      <c r="D142" s="1"/>
      <c r="E142" s="1"/>
      <c r="F142" s="1"/>
      <c r="G142" s="38" t="s">
        <v>16</v>
      </c>
      <c r="H142" s="39" t="n">
        <f aca="false">$Q$15</f>
        <v>0</v>
      </c>
      <c r="I142" s="40" t="str">
        <f aca="false">IF($Q$13=0,"—",H142/$Q$13)</f>
        <v>—</v>
      </c>
      <c r="J142" s="1"/>
      <c r="K142" s="1"/>
      <c r="L142" s="1"/>
      <c r="M142" s="1"/>
      <c r="N142" s="1"/>
    </row>
    <row r="143" customFormat="false" ht="1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customFormat="false" ht="31.5" hidden="false" customHeight="true" outlineLevel="0" collapsed="false">
      <c r="A144" s="1"/>
      <c r="B144" s="1"/>
      <c r="C144" s="1"/>
      <c r="D144" s="1"/>
      <c r="E144" s="1"/>
      <c r="F144" s="1"/>
      <c r="G144" s="37" t="s">
        <v>211</v>
      </c>
      <c r="H144" s="37" t="s">
        <v>207</v>
      </c>
      <c r="I144" s="37" t="s">
        <v>208</v>
      </c>
      <c r="J144" s="1"/>
      <c r="K144" s="1"/>
      <c r="L144" s="1"/>
      <c r="M144" s="1"/>
      <c r="N144" s="1"/>
    </row>
    <row r="145" customFormat="false" ht="23.85" hidden="false" customHeight="false" outlineLevel="0" collapsed="false">
      <c r="A145" s="1"/>
      <c r="B145" s="1"/>
      <c r="C145" s="1"/>
      <c r="D145" s="1"/>
      <c r="E145" s="1"/>
      <c r="F145" s="1"/>
      <c r="G145" s="38" t="s">
        <v>120</v>
      </c>
      <c r="H145" s="39" t="n">
        <f aca="false">$Q$19</f>
        <v>0</v>
      </c>
      <c r="I145" s="40" t="str">
        <f aca="false">IF($Q$24=0,"—",H145/$Q$24)</f>
        <v>—</v>
      </c>
      <c r="J145" s="1"/>
      <c r="K145" s="1"/>
      <c r="L145" s="1"/>
      <c r="M145" s="1"/>
      <c r="N145" s="1"/>
    </row>
    <row r="146" customFormat="false" ht="15" hidden="false" customHeight="false" outlineLevel="0" collapsed="false">
      <c r="A146" s="1"/>
      <c r="B146" s="1"/>
      <c r="C146" s="1"/>
      <c r="D146" s="1"/>
      <c r="E146" s="1"/>
      <c r="F146" s="1"/>
      <c r="G146" s="38" t="s">
        <v>121</v>
      </c>
      <c r="H146" s="39" t="n">
        <f aca="false">$Q$20</f>
        <v>0</v>
      </c>
      <c r="I146" s="40" t="str">
        <f aca="false">IF($Q$24=0,"—",H146/$Q$24)</f>
        <v>—</v>
      </c>
      <c r="J146" s="1"/>
      <c r="K146" s="1"/>
      <c r="L146" s="1"/>
      <c r="M146" s="1"/>
      <c r="N146" s="1"/>
    </row>
    <row r="147" customFormat="false" ht="23.85" hidden="false" customHeight="false" outlineLevel="0" collapsed="false">
      <c r="A147" s="1"/>
      <c r="B147" s="1"/>
      <c r="C147" s="1"/>
      <c r="D147" s="1"/>
      <c r="E147" s="1"/>
      <c r="F147" s="1"/>
      <c r="G147" s="38" t="s">
        <v>122</v>
      </c>
      <c r="H147" s="39" t="n">
        <f aca="false">$Q$21</f>
        <v>0</v>
      </c>
      <c r="I147" s="40" t="str">
        <f aca="false">IF($Q$24=0,"—",H147/$Q$24)</f>
        <v>—</v>
      </c>
      <c r="J147" s="1"/>
      <c r="K147" s="1"/>
      <c r="L147" s="1"/>
      <c r="M147" s="1"/>
      <c r="N147" s="1"/>
    </row>
    <row r="148" customFormat="false" ht="1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customFormat="false" ht="1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customFormat="false" ht="1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</sheetData>
  <sheetProtection sheet="true" formatColumns="false" formatRows="false" sort="false" autoFilter="false"/>
  <mergeCells count="75">
    <mergeCell ref="B1:M2"/>
    <mergeCell ref="B3:M3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8:M8"/>
    <mergeCell ref="B10:M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M15"/>
    <mergeCell ref="B16:C16"/>
    <mergeCell ref="D16:E16"/>
    <mergeCell ref="F16:G16"/>
    <mergeCell ref="H16:I16"/>
    <mergeCell ref="J16:K16"/>
    <mergeCell ref="L16:M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  <mergeCell ref="B20:M20"/>
    <mergeCell ref="H70:M70"/>
    <mergeCell ref="H71:I71"/>
    <mergeCell ref="J71:M71"/>
    <mergeCell ref="H72:I72"/>
    <mergeCell ref="J72:M72"/>
    <mergeCell ref="H73:I73"/>
    <mergeCell ref="J73:M73"/>
    <mergeCell ref="H74:I74"/>
    <mergeCell ref="J74:M74"/>
    <mergeCell ref="H75:I75"/>
    <mergeCell ref="J75:M75"/>
    <mergeCell ref="H76:I76"/>
    <mergeCell ref="J76:M76"/>
    <mergeCell ref="H77:I77"/>
    <mergeCell ref="J77:M79"/>
    <mergeCell ref="H78:I78"/>
    <mergeCell ref="H79:I79"/>
    <mergeCell ref="B93:M93"/>
    <mergeCell ref="B101:M101"/>
    <mergeCell ref="B113:M113"/>
    <mergeCell ref="B125:M125"/>
  </mergeCells>
  <conditionalFormatting sqref="H12">
    <cfRule type="cellIs" priority="2" operator="equal" aboveAverage="0" equalAverage="0" bottom="0" percent="0" rank="0" text="" dxfId="0">
      <formula>"Outstanding"</formula>
    </cfRule>
    <cfRule type="cellIs" priority="3" operator="equal" aboveAverage="0" equalAverage="0" bottom="0" percent="0" rank="0" text="" dxfId="1">
      <formula>"Very Good"</formula>
    </cfRule>
    <cfRule type="cellIs" priority="4" operator="equal" aboveAverage="0" equalAverage="0" bottom="0" percent="0" rank="0" text="" dxfId="2">
      <formula>"Good"</formula>
    </cfRule>
    <cfRule type="cellIs" priority="5" operator="equal" aboveAverage="0" equalAverage="0" bottom="0" percent="0" rank="0" text="" dxfId="3">
      <formula>"Acceptable"</formula>
    </cfRule>
    <cfRule type="cellIs" priority="6" operator="equal" aboveAverage="0" equalAverage="0" bottom="0" percent="0" rank="0" text="" dxfId="4">
      <formula>"Weak"</formula>
    </cfRule>
    <cfRule type="cellIs" priority="7" operator="equal" aboveAverage="0" equalAverage="0" bottom="0" percent="0" rank="0" text="" dxfId="5">
      <formula>"Very Weak"</formula>
    </cfRule>
  </conditionalFormatting>
  <conditionalFormatting sqref="L17">
    <cfRule type="cellIs" priority="8" operator="equal" aboveAverage="0" equalAverage="0" bottom="0" percent="0" rank="0" text="" dxfId="0">
      <formula>"Outstanding"</formula>
    </cfRule>
    <cfRule type="cellIs" priority="9" operator="equal" aboveAverage="0" equalAverage="0" bottom="0" percent="0" rank="0" text="" dxfId="1">
      <formula>"Very Good"</formula>
    </cfRule>
    <cfRule type="cellIs" priority="10" operator="equal" aboveAverage="0" equalAverage="0" bottom="0" percent="0" rank="0" text="" dxfId="2">
      <formula>"Good"</formula>
    </cfRule>
    <cfRule type="cellIs" priority="11" operator="equal" aboveAverage="0" equalAverage="0" bottom="0" percent="0" rank="0" text="" dxfId="3">
      <formula>"Acceptable"</formula>
    </cfRule>
    <cfRule type="cellIs" priority="12" operator="equal" aboveAverage="0" equalAverage="0" bottom="0" percent="0" rank="0" text="" dxfId="4">
      <formula>"Weak"</formula>
    </cfRule>
    <cfRule type="cellIs" priority="13" operator="equal" aboveAverage="0" equalAverage="0" bottom="0" percent="0" rank="0" text="" dxfId="5">
      <formula>"Very Weak"</formula>
    </cfRule>
  </conditionalFormatting>
  <conditionalFormatting sqref="M95:M98">
    <cfRule type="cellIs" priority="14" operator="equal" aboveAverage="0" equalAverage="0" bottom="0" percent="0" rank="0" text="" dxfId="0">
      <formula>"Outstanding"</formula>
    </cfRule>
    <cfRule type="cellIs" priority="15" operator="equal" aboveAverage="0" equalAverage="0" bottom="0" percent="0" rank="0" text="" dxfId="1">
      <formula>"Very Good"</formula>
    </cfRule>
    <cfRule type="cellIs" priority="16" operator="equal" aboveAverage="0" equalAverage="0" bottom="0" percent="0" rank="0" text="" dxfId="2">
      <formula>"Good"</formula>
    </cfRule>
    <cfRule type="cellIs" priority="17" operator="equal" aboveAverage="0" equalAverage="0" bottom="0" percent="0" rank="0" text="" dxfId="3">
      <formula>"Acceptable"</formula>
    </cfRule>
    <cfRule type="cellIs" priority="18" operator="equal" aboveAverage="0" equalAverage="0" bottom="0" percent="0" rank="0" text="" dxfId="4">
      <formula>"Weak"</formula>
    </cfRule>
    <cfRule type="cellIs" priority="19" operator="equal" aboveAverage="0" equalAverage="0" bottom="0" percent="0" rank="0" text="" dxfId="5">
      <formula>"Very Weak"</formula>
    </cfRule>
  </conditionalFormatting>
  <conditionalFormatting sqref="H103:H111">
    <cfRule type="cellIs" priority="20" operator="equal" aboveAverage="0" equalAverage="0" bottom="0" percent="0" rank="0" text="" dxfId="0">
      <formula>"Outstanding"</formula>
    </cfRule>
    <cfRule type="cellIs" priority="21" operator="equal" aboveAverage="0" equalAverage="0" bottom="0" percent="0" rank="0" text="" dxfId="1">
      <formula>"Very Good"</formula>
    </cfRule>
    <cfRule type="cellIs" priority="22" operator="equal" aboveAverage="0" equalAverage="0" bottom="0" percent="0" rank="0" text="" dxfId="2">
      <formula>"Good"</formula>
    </cfRule>
    <cfRule type="cellIs" priority="23" operator="equal" aboveAverage="0" equalAverage="0" bottom="0" percent="0" rank="0" text="" dxfId="3">
      <formula>"Acceptable"</formula>
    </cfRule>
    <cfRule type="cellIs" priority="24" operator="equal" aboveAverage="0" equalAverage="0" bottom="0" percent="0" rank="0" text="" dxfId="4">
      <formula>"Weak"</formula>
    </cfRule>
    <cfRule type="cellIs" priority="25" operator="equal" aboveAverage="0" equalAverage="0" bottom="0" percent="0" rank="0" text="" dxfId="5">
      <formula>"Very Weak"</formula>
    </cfRule>
  </conditionalFormatting>
  <conditionalFormatting sqref="L115:L123">
    <cfRule type="cellIs" priority="26" operator="equal" aboveAverage="0" equalAverage="0" bottom="0" percent="0" rank="0" text="" dxfId="0">
      <formula>"Outstanding"</formula>
    </cfRule>
    <cfRule type="cellIs" priority="27" operator="equal" aboveAverage="0" equalAverage="0" bottom="0" percent="0" rank="0" text="" dxfId="1">
      <formula>"Very Good"</formula>
    </cfRule>
    <cfRule type="cellIs" priority="28" operator="equal" aboveAverage="0" equalAverage="0" bottom="0" percent="0" rank="0" text="" dxfId="2">
      <formula>"Good"</formula>
    </cfRule>
    <cfRule type="cellIs" priority="29" operator="equal" aboveAverage="0" equalAverage="0" bottom="0" percent="0" rank="0" text="" dxfId="3">
      <formula>"Acceptable"</formula>
    </cfRule>
    <cfRule type="cellIs" priority="30" operator="equal" aboveAverage="0" equalAverage="0" bottom="0" percent="0" rank="0" text="" dxfId="4">
      <formula>"Weak"</formula>
    </cfRule>
    <cfRule type="cellIs" priority="31" operator="equal" aboveAverage="0" equalAverage="0" bottom="0" percent="0" rank="0" text="" dxfId="5">
      <formula>"Very Weak"</formula>
    </cfRule>
  </conditionalFormatting>
  <dataValidations count="6">
    <dataValidation allowBlank="true" error="اختر قيمة من القائمة" errorStyle="stop" errorTitle="قيمة غير صحيحة" operator="between" showDropDown="false" showErrorMessage="true" showInputMessage="false" sqref="B7" type="list">
      <formula1>Lists!$E$2:$E$10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D7" type="list">
      <formula1>Lists!$D$3:$D$14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F7" type="list">
      <formula1>Lists!$A$2:$A$5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H7" type="list">
      <formula1>Lists!$B$2:$B$7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J7" type="list">
      <formula1>Lists!$F$2:$F$72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L7" type="list">
      <formula1>Lists!$G$2:$G$30</formula1>
      <formula2>0</formula2>
    </dataValidation>
  </dataValidations>
  <hyperlinks>
    <hyperlink ref="B4" r:id="rId1" location="Guide!A1" display="الدليل"/>
    <hyperlink ref="C4" r:id="rId2" location="Dashboard!A1" display="اللوحة"/>
    <hyperlink ref="D4" r:id="rId3" location="Year_Panel!A1" display="لوحة الصف"/>
    <hyperlink ref="E4" r:id="rId4" location="Teacher_Report!A1" display="المعلمون"/>
    <hyperlink ref="F4" r:id="rId5" location="Data!A1" display="إدخال النتائج"/>
    <hyperlink ref="G4" r:id="rId6" location="Target_Attain!A1" display="هدف التحصيل"/>
    <hyperlink ref="H4" r:id="rId7" location="Target_Progress!A1" display="هدف التقدم"/>
    <hyperlink ref="I4" r:id="rId8" location="Settings!A1" display="الإعدادات"/>
    <hyperlink ref="J4" r:id="rId9" location="Progress_Matrix!A1" display="المصفوفة"/>
    <hyperlink ref="K4" r:id="rId10" location="Classes!A1" display="الصفوف"/>
    <hyperlink ref="L4" r:id="rId11" location="Checks!A1" display="فحوص"/>
    <hyperlink ref="M4" r:id="rId12" location="Tests!A1" display="اختبارا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2A4A"/>
    <pageSetUpPr fitToPage="true"/>
  </sheetPr>
  <dimension ref="A1:Q9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15" min="5" style="0" width="12"/>
    <col collapsed="false" customWidth="true" hidden="false" outlineLevel="0" max="16" min="16" style="0" width="3"/>
    <col collapsed="false" customWidth="true" hidden="false" outlineLevel="0" max="17" min="17" style="0" width="14"/>
  </cols>
  <sheetData>
    <row r="1" customFormat="false" ht="24" hidden="false" customHeight="true" outlineLevel="0" collapsed="false">
      <c r="A1" s="1"/>
      <c r="B1" s="2" t="s">
        <v>218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</row>
    <row r="2" customFormat="false" ht="24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15" hidden="false" customHeight="false" outlineLevel="0" collapsed="false">
      <c r="A3" s="1"/>
      <c r="B3" s="3" t="str">
        <f aca="false">"النتيجة تُحسب من مجموع أعداد صفوف كل معلم (لا متوسط نسب) · العام الدراسي "&amp;Settings!C6</f>
        <v>النتيجة تُحسب من مجموع أعداد صفوف كل معلم (لا متوسط نسب) · العام الدراسي 2026-27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</row>
    <row r="4" customFormat="false" ht="19.5" hidden="false" customHeight="true" outlineLevel="0" collapsed="false">
      <c r="A4" s="1"/>
      <c r="B4" s="8" t="s">
        <v>87</v>
      </c>
      <c r="C4" s="8" t="s">
        <v>88</v>
      </c>
      <c r="D4" s="8" t="s">
        <v>89</v>
      </c>
      <c r="E4" s="9" t="s">
        <v>90</v>
      </c>
      <c r="F4" s="8" t="s">
        <v>91</v>
      </c>
      <c r="G4" s="8" t="s">
        <v>92</v>
      </c>
      <c r="H4" s="8" t="s">
        <v>93</v>
      </c>
      <c r="I4" s="8" t="s">
        <v>94</v>
      </c>
      <c r="J4" s="8" t="s">
        <v>95</v>
      </c>
      <c r="K4" s="8" t="s">
        <v>96</v>
      </c>
      <c r="L4" s="8" t="s">
        <v>97</v>
      </c>
      <c r="M4" s="8" t="s">
        <v>98</v>
      </c>
      <c r="N4" s="1"/>
      <c r="O4" s="1"/>
      <c r="P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0" t="s">
        <v>219</v>
      </c>
    </row>
    <row r="6" customFormat="false" ht="15" hidden="false" customHeight="true" outlineLevel="0" collapsed="false">
      <c r="A6" s="1"/>
      <c r="B6" s="11" t="s">
        <v>100</v>
      </c>
      <c r="C6" s="11" t="s">
        <v>101</v>
      </c>
      <c r="D6" s="11"/>
      <c r="E6" s="11"/>
      <c r="F6" s="11" t="s">
        <v>103</v>
      </c>
      <c r="G6" s="11"/>
      <c r="H6" s="11" t="s">
        <v>104</v>
      </c>
      <c r="I6" s="11"/>
      <c r="J6" s="11"/>
      <c r="K6" s="11" t="s">
        <v>105</v>
      </c>
      <c r="L6" s="11"/>
      <c r="M6" s="11"/>
      <c r="N6" s="1"/>
      <c r="O6" s="1"/>
      <c r="P6" s="1"/>
      <c r="Q6" s="12" t="str">
        <f aca="false">IF(B7="الكل (All)","*",B7)</f>
        <v>*</v>
      </c>
    </row>
    <row r="7" customFormat="false" ht="25.5" hidden="false" customHeight="true" outlineLevel="0" collapsed="false">
      <c r="A7" s="1"/>
      <c r="B7" s="13" t="s">
        <v>106</v>
      </c>
      <c r="C7" s="13" t="s">
        <v>106</v>
      </c>
      <c r="D7" s="13"/>
      <c r="E7" s="13"/>
      <c r="F7" s="13" t="s">
        <v>106</v>
      </c>
      <c r="G7" s="13"/>
      <c r="H7" s="13" t="s">
        <v>107</v>
      </c>
      <c r="I7" s="13"/>
      <c r="J7" s="13"/>
      <c r="K7" s="13" t="s">
        <v>108</v>
      </c>
      <c r="L7" s="13"/>
      <c r="M7" s="13"/>
      <c r="N7" s="1"/>
      <c r="O7" s="1"/>
      <c r="P7" s="1"/>
      <c r="Q7" s="12" t="str">
        <f aca="false">IF(C7="الكل (All)","*",C7)</f>
        <v>*</v>
      </c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2" t="str">
        <f aca="false">IF(F7="الكل (All)","*",F7)</f>
        <v>*</v>
      </c>
    </row>
    <row r="9" customFormat="false" ht="31.5" hidden="false" customHeight="true" outlineLevel="0" collapsed="false">
      <c r="A9" s="1"/>
      <c r="B9" s="37" t="s">
        <v>220</v>
      </c>
      <c r="C9" s="37" t="s">
        <v>221</v>
      </c>
      <c r="D9" s="37" t="s">
        <v>222</v>
      </c>
      <c r="E9" s="37" t="s">
        <v>151</v>
      </c>
      <c r="F9" s="37" t="s">
        <v>223</v>
      </c>
      <c r="G9" s="37" t="s">
        <v>224</v>
      </c>
      <c r="H9" s="37" t="s">
        <v>167</v>
      </c>
      <c r="I9" s="37" t="s">
        <v>153</v>
      </c>
      <c r="J9" s="37" t="s">
        <v>161</v>
      </c>
      <c r="K9" s="37" t="s">
        <v>156</v>
      </c>
      <c r="L9" s="37" t="s">
        <v>170</v>
      </c>
      <c r="M9" s="37" t="s">
        <v>159</v>
      </c>
      <c r="N9" s="37" t="s">
        <v>186</v>
      </c>
      <c r="O9" s="37" t="s">
        <v>187</v>
      </c>
      <c r="P9" s="1"/>
      <c r="Q9" s="12" t="str">
        <f aca="false">H7</f>
        <v>Term 1</v>
      </c>
    </row>
    <row r="10" customFormat="false" ht="15" hidden="false" customHeight="false" outlineLevel="0" collapsed="false">
      <c r="A10" s="1"/>
      <c r="B10" s="51" t="str">
        <f aca="false">IF(Teachers!C6="","",Teachers!C6)</f>
        <v>Mr Ahmed Aldusoky</v>
      </c>
      <c r="C10" s="42" t="str">
        <f aca="false">IF($B10="","",Teachers!D6)</f>
        <v>Aa</v>
      </c>
      <c r="D10" s="42" t="n">
        <f aca="false">IF($B10="","",Teachers!F6)</f>
        <v>6</v>
      </c>
      <c r="E10" s="39" t="n">
        <f aca="false">IF($B10="","",(SUMIFS(Data!$Q$5:$Q$5004,Data!$B$5:$B$5004,$Q$6,Data!$D$5:$D$5004,$Q$7,Data!$E$5:$E$5004,$Q$8,Data!$F$5:$F$5004,$Q$9,Data!$G$5:$G$5004,$Q$10,Data!$C$5:$C$5004,$B10)+ExOn*SUMIFS(مثال_Example!$Q$5:$Q$804,مثال_Example!$B$5:$B$804,$Q$6,مثال_Example!$D$5:$D$804,$Q$7,مثال_Example!$E$5:$E$804,$Q$8,مثال_Example!$F$5:$F$804,$Q$9,مثال_Example!$G$5:$G$804,$Q$10,مثال_Example!$C$5:$C$804,$B10)))</f>
        <v>0</v>
      </c>
      <c r="F10" s="39" t="n">
        <f aca="false">IF($B10="","",(SUMIFS(Data!$R$5:$R$5004,Data!$B$5:$B$5004,$Q$6,Data!$D$5:$D$5004,$Q$7,Data!$E$5:$E$5004,$Q$8,Data!$F$5:$F$5004,$Q$9,Data!$G$5:$G$5004,$Q$10,Data!$C$5:$C$5004,$B10)+ExOn*SUMIFS(مثال_Example!$R$5:$R$804,مثال_Example!$B$5:$B$804,$Q$6,مثال_Example!$D$5:$D$804,$Q$7,مثال_Example!$E$5:$E$804,$Q$8,مثال_Example!$F$5:$F$804,$Q$9,مثال_Example!$G$5:$G$804,$Q$10,مثال_Example!$C$5:$C$804,$B10)))</f>
        <v>0</v>
      </c>
      <c r="G10" s="40" t="str">
        <f aca="false">IF($B10="","",IF($E10=0,"—",F10/$E10))</f>
        <v>—</v>
      </c>
      <c r="H10" s="39" t="n">
        <f aca="false">IF($B10="","",(SUMIFS(Data!$S$5:$S$5004,Data!$B$5:$B$5004,$Q$6,Data!$D$5:$D$5004,$Q$7,Data!$E$5:$E$5004,$Q$8,Data!$F$5:$F$5004,$Q$9,Data!$G$5:$G$5004,$Q$10,Data!$C$5:$C$5004,$B10)+ExOn*SUMIFS(مثال_Example!$S$5:$S$804,مثال_Example!$B$5:$B$804,$Q$6,مثال_Example!$D$5:$D$804,$Q$7,مثال_Example!$E$5:$E$804,$Q$8,مثال_Example!$F$5:$F$804,$Q$9,مثال_Example!$G$5:$G$804,$Q$10,مثال_Example!$C$5:$C$804,$B10)))</f>
        <v>0</v>
      </c>
      <c r="I10" s="40" t="str">
        <f aca="false">IF($B10="","",IF($E10=0,"—",H10/$E10))</f>
        <v>—</v>
      </c>
      <c r="J10" s="42" t="str">
        <f aca="false">IF($B10="","",IF($E10=0,"لا توجد بيانات",IF(ROUND(F10/E10,10)&lt;=KeyA_VW,"Very Weak",IF(ROUND(F10/E10,10)&lt;KeyA_Weak,"Weak",IF(ROUND(H10/E10,10)&lt;KeyA_Acc,"Acceptable",IF(ROUND(H10/E10,10)&lt;=KeyA_Good,"Good",IF(ROUND(H10/E10,10)&lt;KeyA_Out,"Very Good","Outstanding")))))))</f>
        <v>لا توجد بيانات</v>
      </c>
      <c r="K10" s="39" t="n">
        <f aca="false">IF($B10="","",(SUMIFS(Data!$T$5:$T$5004,Data!$B$5:$B$5004,$Q$6,Data!$D$5:$D$5004,$Q$7,Data!$E$5:$E$5004,$Q$8,Data!$F$5:$F$5004,$Q$9,Data!$G$5:$G$5004,$Q$10,Data!$C$5:$C$5004,$B10)+ExOn*SUMIFS(مثال_Example!$T$5:$T$804,مثال_Example!$B$5:$B$804,$Q$6,مثال_Example!$D$5:$D$804,$Q$7,مثال_Example!$E$5:$E$804,$Q$8,مثال_Example!$F$5:$F$804,$Q$9,مثال_Example!$G$5:$G$804,$Q$10,مثال_Example!$C$5:$C$804,$B10))+(SUMIFS(Data!$U$5:$U$5004,Data!$B$5:$B$5004,$Q$6,Data!$D$5:$D$5004,$Q$7,Data!$E$5:$E$5004,$Q$8,Data!$F$5:$F$5004,$Q$9,Data!$G$5:$G$5004,$Q$10,Data!$C$5:$C$5004,$B10)+ExOn*SUMIFS(مثال_Example!$U$5:$U$804,مثال_Example!$B$5:$B$804,$Q$6,مثال_Example!$D$5:$D$804,$Q$7,مثال_Example!$E$5:$E$804,$Q$8,مثال_Example!$F$5:$F$804,$Q$9,مثال_Example!$G$5:$G$804,$Q$10,مثال_Example!$C$5:$C$804,$B10))+(SUMIFS(Data!$V$5:$V$5004,Data!$B$5:$B$5004,$Q$6,Data!$D$5:$D$5004,$Q$7,Data!$E$5:$E$5004,$Q$8,Data!$F$5:$F$5004,$Q$9,Data!$G$5:$G$5004,$Q$10,Data!$C$5:$C$5004,$B10)+ExOn*SUMIFS(مثال_Example!$V$5:$V$804,مثال_Example!$B$5:$B$804,$Q$6,مثال_Example!$D$5:$D$804,$Q$7,مثال_Example!$E$5:$E$804,$Q$8,مثال_Example!$F$5:$F$804,$Q$9,مثال_Example!$G$5:$G$804,$Q$10,مثال_Example!$C$5:$C$804,$B10)))</f>
        <v>0</v>
      </c>
      <c r="L10" s="39" t="n">
        <f aca="false">IF($B10="","",(SUMIFS(Data!$V$5:$V$5004,Data!$B$5:$B$5004,$Q$6,Data!$D$5:$D$5004,$Q$7,Data!$E$5:$E$5004,$Q$8,Data!$F$5:$F$5004,$Q$9,Data!$G$5:$G$5004,$Q$10,Data!$C$5:$C$5004,$B10)+ExOn*SUMIFS(مثال_Example!$V$5:$V$804,مثال_Example!$B$5:$B$804,$Q$6,مثال_Example!$D$5:$D$804,$Q$7,مثال_Example!$E$5:$E$804,$Q$8,مثال_Example!$F$5:$F$804,$Q$9,مثال_Example!$G$5:$G$804,$Q$10,مثال_Example!$C$5:$C$804,$B10)))</f>
        <v>0</v>
      </c>
      <c r="M10" s="40" t="str">
        <f aca="false">IF($B10="","",IF($K10=0,"—",L10/$K10))</f>
        <v>—</v>
      </c>
      <c r="N10" s="40" t="str">
        <f aca="false">IF($B10="","",IF($K10=0,"—",((SUMIFS(Data!$U$5:$U$5004,Data!$B$5:$B$5004,$Q$6,Data!$D$5:$D$5004,$Q$7,Data!$E$5:$E$5004,$Q$8,Data!$F$5:$F$5004,$Q$9,Data!$G$5:$G$5004,$Q$10,Data!$C$5:$C$5004,$B10)+ExOn*SUMIFS(مثال_Example!$U$5:$U$804,مثال_Example!$B$5:$B$804,$Q$6,مثال_Example!$D$5:$D$804,$Q$7,مثال_Example!$E$5:$E$804,$Q$8,مثال_Example!$F$5:$F$804,$Q$9,مثال_Example!$G$5:$G$804,$Q$10,مثال_Example!$C$5:$C$804,$B10))+L10)/$K10))</f>
        <v>—</v>
      </c>
      <c r="O10" s="42" t="str">
        <f aca="false">IF($B10="","",IF($K10=0,"لا توجد بيانات",IF(ROUND((((SUMIFS(Data!$U$5:$U$5004,Data!$B$5:$B$5004,$Q$6,Data!$D$5:$D$5004,$Q$7,Data!$E$5:$E$5004,$Q$8,Data!$F$5:$F$5004,$Q$9,Data!$G$5:$G$5004,$Q$10,Data!$C$5:$C$5004,$B10)+ExOn*SUMIFS(مثال_Example!$U$5:$U$804,مثال_Example!$B$5:$B$804,$Q$6,مثال_Example!$D$5:$D$804,$Q$7,مثال_Example!$E$5:$E$804,$Q$8,مثال_Example!$F$5:$F$804,$Q$9,مثال_Example!$G$5:$G$804,$Q$10,مثال_Example!$C$5:$C$804,$B10)))+L10)/K10,10)&lt;=KeyP_VW,"Very Weak",IF(ROUND((((SUMIFS(Data!$U$5:$U$5004,Data!$B$5:$B$5004,$Q$6,Data!$D$5:$D$5004,$Q$7,Data!$E$5:$E$5004,$Q$8,Data!$F$5:$F$5004,$Q$9,Data!$G$5:$G$5004,$Q$10,Data!$C$5:$C$5004,$B10)+ExOn*SUMIFS(مثال_Example!$U$5:$U$804,مثال_Example!$B$5:$B$804,$Q$6,مثال_Example!$D$5:$D$804,$Q$7,مثال_Example!$E$5:$E$804,$Q$8,مثال_Example!$F$5:$F$804,$Q$9,مثال_Example!$G$5:$G$804,$Q$10,مثال_Example!$C$5:$C$804,$B10)))+L10)/K10,10)&lt;KeyP_Weak,"Weak",IF(ROUND(L10/K10,10)&lt;KeyP_Acc,"Acceptable",IF(ROUND(L10/K10,10)&lt;=KeyP_Good,"Good",IF(ROUND(L10/K10,10)&lt;KeyP_Out,"Very Good","Outstanding")))))))</f>
        <v>لا توجد بيانات</v>
      </c>
      <c r="P10" s="1"/>
      <c r="Q10" s="12" t="str">
        <f aca="false">K7</f>
        <v>إجمالي الصف (All)</v>
      </c>
    </row>
    <row r="11" customFormat="false" ht="15" hidden="false" customHeight="false" outlineLevel="0" collapsed="false">
      <c r="A11" s="1"/>
      <c r="B11" s="51" t="str">
        <f aca="false">IF(Teachers!C7="","",Teachers!C7)</f>
        <v>Mr Ahmed AbdelmonemElsye</v>
      </c>
      <c r="C11" s="42" t="str">
        <f aca="false">IF($B11="","",Teachers!D7)</f>
        <v>Aa</v>
      </c>
      <c r="D11" s="42" t="n">
        <f aca="false">IF($B11="","",Teachers!F7)</f>
        <v>5</v>
      </c>
      <c r="E11" s="39" t="n">
        <f aca="false">IF($B11="","",(SUMIFS(Data!$Q$5:$Q$5004,Data!$B$5:$B$5004,$Q$6,Data!$D$5:$D$5004,$Q$7,Data!$E$5:$E$5004,$Q$8,Data!$F$5:$F$5004,$Q$9,Data!$G$5:$G$5004,$Q$10,Data!$C$5:$C$5004,$B11)+ExOn*SUMIFS(مثال_Example!$Q$5:$Q$804,مثال_Example!$B$5:$B$804,$Q$6,مثال_Example!$D$5:$D$804,$Q$7,مثال_Example!$E$5:$E$804,$Q$8,مثال_Example!$F$5:$F$804,$Q$9,مثال_Example!$G$5:$G$804,$Q$10,مثال_Example!$C$5:$C$804,$B11)))</f>
        <v>0</v>
      </c>
      <c r="F11" s="39" t="n">
        <f aca="false">IF($B11="","",(SUMIFS(Data!$R$5:$R$5004,Data!$B$5:$B$5004,$Q$6,Data!$D$5:$D$5004,$Q$7,Data!$E$5:$E$5004,$Q$8,Data!$F$5:$F$5004,$Q$9,Data!$G$5:$G$5004,$Q$10,Data!$C$5:$C$5004,$B11)+ExOn*SUMIFS(مثال_Example!$R$5:$R$804,مثال_Example!$B$5:$B$804,$Q$6,مثال_Example!$D$5:$D$804,$Q$7,مثال_Example!$E$5:$E$804,$Q$8,مثال_Example!$F$5:$F$804,$Q$9,مثال_Example!$G$5:$G$804,$Q$10,مثال_Example!$C$5:$C$804,$B11)))</f>
        <v>0</v>
      </c>
      <c r="G11" s="40" t="str">
        <f aca="false">IF($B11="","",IF($E11=0,"—",F11/$E11))</f>
        <v>—</v>
      </c>
      <c r="H11" s="39" t="n">
        <f aca="false">IF($B11="","",(SUMIFS(Data!$S$5:$S$5004,Data!$B$5:$B$5004,$Q$6,Data!$D$5:$D$5004,$Q$7,Data!$E$5:$E$5004,$Q$8,Data!$F$5:$F$5004,$Q$9,Data!$G$5:$G$5004,$Q$10,Data!$C$5:$C$5004,$B11)+ExOn*SUMIFS(مثال_Example!$S$5:$S$804,مثال_Example!$B$5:$B$804,$Q$6,مثال_Example!$D$5:$D$804,$Q$7,مثال_Example!$E$5:$E$804,$Q$8,مثال_Example!$F$5:$F$804,$Q$9,مثال_Example!$G$5:$G$804,$Q$10,مثال_Example!$C$5:$C$804,$B11)))</f>
        <v>0</v>
      </c>
      <c r="I11" s="40" t="str">
        <f aca="false">IF($B11="","",IF($E11=0,"—",H11/$E11))</f>
        <v>—</v>
      </c>
      <c r="J11" s="42" t="str">
        <f aca="false">IF($B11="","",IF($E11=0,"لا توجد بيانات",IF(ROUND(F11/E11,10)&lt;=KeyA_VW,"Very Weak",IF(ROUND(F11/E11,10)&lt;KeyA_Weak,"Weak",IF(ROUND(H11/E11,10)&lt;KeyA_Acc,"Acceptable",IF(ROUND(H11/E11,10)&lt;=KeyA_Good,"Good",IF(ROUND(H11/E11,10)&lt;KeyA_Out,"Very Good","Outstanding")))))))</f>
        <v>لا توجد بيانات</v>
      </c>
      <c r="K11" s="39" t="n">
        <f aca="false">IF($B11="","",(SUMIFS(Data!$T$5:$T$5004,Data!$B$5:$B$5004,$Q$6,Data!$D$5:$D$5004,$Q$7,Data!$E$5:$E$5004,$Q$8,Data!$F$5:$F$5004,$Q$9,Data!$G$5:$G$5004,$Q$10,Data!$C$5:$C$5004,$B11)+ExOn*SUMIFS(مثال_Example!$T$5:$T$804,مثال_Example!$B$5:$B$804,$Q$6,مثال_Example!$D$5:$D$804,$Q$7,مثال_Example!$E$5:$E$804,$Q$8,مثال_Example!$F$5:$F$804,$Q$9,مثال_Example!$G$5:$G$804,$Q$10,مثال_Example!$C$5:$C$804,$B11))+(SUMIFS(Data!$U$5:$U$5004,Data!$B$5:$B$5004,$Q$6,Data!$D$5:$D$5004,$Q$7,Data!$E$5:$E$5004,$Q$8,Data!$F$5:$F$5004,$Q$9,Data!$G$5:$G$5004,$Q$10,Data!$C$5:$C$5004,$B11)+ExOn*SUMIFS(مثال_Example!$U$5:$U$804,مثال_Example!$B$5:$B$804,$Q$6,مثال_Example!$D$5:$D$804,$Q$7,مثال_Example!$E$5:$E$804,$Q$8,مثال_Example!$F$5:$F$804,$Q$9,مثال_Example!$G$5:$G$804,$Q$10,مثال_Example!$C$5:$C$804,$B11))+(SUMIFS(Data!$V$5:$V$5004,Data!$B$5:$B$5004,$Q$6,Data!$D$5:$D$5004,$Q$7,Data!$E$5:$E$5004,$Q$8,Data!$F$5:$F$5004,$Q$9,Data!$G$5:$G$5004,$Q$10,Data!$C$5:$C$5004,$B11)+ExOn*SUMIFS(مثال_Example!$V$5:$V$804,مثال_Example!$B$5:$B$804,$Q$6,مثال_Example!$D$5:$D$804,$Q$7,مثال_Example!$E$5:$E$804,$Q$8,مثال_Example!$F$5:$F$804,$Q$9,مثال_Example!$G$5:$G$804,$Q$10,مثال_Example!$C$5:$C$804,$B11)))</f>
        <v>0</v>
      </c>
      <c r="L11" s="39" t="n">
        <f aca="false">IF($B11="","",(SUMIFS(Data!$V$5:$V$5004,Data!$B$5:$B$5004,$Q$6,Data!$D$5:$D$5004,$Q$7,Data!$E$5:$E$5004,$Q$8,Data!$F$5:$F$5004,$Q$9,Data!$G$5:$G$5004,$Q$10,Data!$C$5:$C$5004,$B11)+ExOn*SUMIFS(مثال_Example!$V$5:$V$804,مثال_Example!$B$5:$B$804,$Q$6,مثال_Example!$D$5:$D$804,$Q$7,مثال_Example!$E$5:$E$804,$Q$8,مثال_Example!$F$5:$F$804,$Q$9,مثال_Example!$G$5:$G$804,$Q$10,مثال_Example!$C$5:$C$804,$B11)))</f>
        <v>0</v>
      </c>
      <c r="M11" s="40" t="str">
        <f aca="false">IF($B11="","",IF($K11=0,"—",L11/$K11))</f>
        <v>—</v>
      </c>
      <c r="N11" s="40" t="str">
        <f aca="false">IF($B11="","",IF($K11=0,"—",((SUMIFS(Data!$U$5:$U$5004,Data!$B$5:$B$5004,$Q$6,Data!$D$5:$D$5004,$Q$7,Data!$E$5:$E$5004,$Q$8,Data!$F$5:$F$5004,$Q$9,Data!$G$5:$G$5004,$Q$10,Data!$C$5:$C$5004,$B11)+ExOn*SUMIFS(مثال_Example!$U$5:$U$804,مثال_Example!$B$5:$B$804,$Q$6,مثال_Example!$D$5:$D$804,$Q$7,مثال_Example!$E$5:$E$804,$Q$8,مثال_Example!$F$5:$F$804,$Q$9,مثال_Example!$G$5:$G$804,$Q$10,مثال_Example!$C$5:$C$804,$B11))+L11)/$K11))</f>
        <v>—</v>
      </c>
      <c r="O11" s="42" t="str">
        <f aca="false">IF($B11="","",IF($K11=0,"لا توجد بيانات",IF(ROUND((((SUMIFS(Data!$U$5:$U$5004,Data!$B$5:$B$5004,$Q$6,Data!$D$5:$D$5004,$Q$7,Data!$E$5:$E$5004,$Q$8,Data!$F$5:$F$5004,$Q$9,Data!$G$5:$G$5004,$Q$10,Data!$C$5:$C$5004,$B11)+ExOn*SUMIFS(مثال_Example!$U$5:$U$804,مثال_Example!$B$5:$B$804,$Q$6,مثال_Example!$D$5:$D$804,$Q$7,مثال_Example!$E$5:$E$804,$Q$8,مثال_Example!$F$5:$F$804,$Q$9,مثال_Example!$G$5:$G$804,$Q$10,مثال_Example!$C$5:$C$804,$B11)))+L11)/K11,10)&lt;=KeyP_VW,"Very Weak",IF(ROUND((((SUMIFS(Data!$U$5:$U$5004,Data!$B$5:$B$5004,$Q$6,Data!$D$5:$D$5004,$Q$7,Data!$E$5:$E$5004,$Q$8,Data!$F$5:$F$5004,$Q$9,Data!$G$5:$G$5004,$Q$10,Data!$C$5:$C$5004,$B11)+ExOn*SUMIFS(مثال_Example!$U$5:$U$804,مثال_Example!$B$5:$B$804,$Q$6,مثال_Example!$D$5:$D$804,$Q$7,مثال_Example!$E$5:$E$804,$Q$8,مثال_Example!$F$5:$F$804,$Q$9,مثال_Example!$G$5:$G$804,$Q$10,مثال_Example!$C$5:$C$804,$B11)))+L11)/K11,10)&lt;KeyP_Weak,"Weak",IF(ROUND(L11/K11,10)&lt;KeyP_Acc,"Acceptable",IF(ROUND(L11/K11,10)&lt;=KeyP_Good,"Good",IF(ROUND(L11/K11,10)&lt;KeyP_Out,"Very Good","Outstanding")))))))</f>
        <v>لا توجد بيانات</v>
      </c>
      <c r="P11" s="1"/>
    </row>
    <row r="12" customFormat="false" ht="15" hidden="false" customHeight="false" outlineLevel="0" collapsed="false">
      <c r="A12" s="1"/>
      <c r="B12" s="51" t="str">
        <f aca="false">IF(Teachers!C8="","",Teachers!C8)</f>
        <v>Mr Aly Abdelmonem Hasan</v>
      </c>
      <c r="C12" s="42" t="str">
        <f aca="false">IF($B12="","",Teachers!D8)</f>
        <v>Aa</v>
      </c>
      <c r="D12" s="42" t="n">
        <f aca="false">IF($B12="","",Teachers!F8)</f>
        <v>4</v>
      </c>
      <c r="E12" s="39" t="n">
        <f aca="false">IF($B12="","",(SUMIFS(Data!$Q$5:$Q$5004,Data!$B$5:$B$5004,$Q$6,Data!$D$5:$D$5004,$Q$7,Data!$E$5:$E$5004,$Q$8,Data!$F$5:$F$5004,$Q$9,Data!$G$5:$G$5004,$Q$10,Data!$C$5:$C$5004,$B12)+ExOn*SUMIFS(مثال_Example!$Q$5:$Q$804,مثال_Example!$B$5:$B$804,$Q$6,مثال_Example!$D$5:$D$804,$Q$7,مثال_Example!$E$5:$E$804,$Q$8,مثال_Example!$F$5:$F$804,$Q$9,مثال_Example!$G$5:$G$804,$Q$10,مثال_Example!$C$5:$C$804,$B12)))</f>
        <v>0</v>
      </c>
      <c r="F12" s="39" t="n">
        <f aca="false">IF($B12="","",(SUMIFS(Data!$R$5:$R$5004,Data!$B$5:$B$5004,$Q$6,Data!$D$5:$D$5004,$Q$7,Data!$E$5:$E$5004,$Q$8,Data!$F$5:$F$5004,$Q$9,Data!$G$5:$G$5004,$Q$10,Data!$C$5:$C$5004,$B12)+ExOn*SUMIFS(مثال_Example!$R$5:$R$804,مثال_Example!$B$5:$B$804,$Q$6,مثال_Example!$D$5:$D$804,$Q$7,مثال_Example!$E$5:$E$804,$Q$8,مثال_Example!$F$5:$F$804,$Q$9,مثال_Example!$G$5:$G$804,$Q$10,مثال_Example!$C$5:$C$804,$B12)))</f>
        <v>0</v>
      </c>
      <c r="G12" s="40" t="str">
        <f aca="false">IF($B12="","",IF($E12=0,"—",F12/$E12))</f>
        <v>—</v>
      </c>
      <c r="H12" s="39" t="n">
        <f aca="false">IF($B12="","",(SUMIFS(Data!$S$5:$S$5004,Data!$B$5:$B$5004,$Q$6,Data!$D$5:$D$5004,$Q$7,Data!$E$5:$E$5004,$Q$8,Data!$F$5:$F$5004,$Q$9,Data!$G$5:$G$5004,$Q$10,Data!$C$5:$C$5004,$B12)+ExOn*SUMIFS(مثال_Example!$S$5:$S$804,مثال_Example!$B$5:$B$804,$Q$6,مثال_Example!$D$5:$D$804,$Q$7,مثال_Example!$E$5:$E$804,$Q$8,مثال_Example!$F$5:$F$804,$Q$9,مثال_Example!$G$5:$G$804,$Q$10,مثال_Example!$C$5:$C$804,$B12)))</f>
        <v>0</v>
      </c>
      <c r="I12" s="40" t="str">
        <f aca="false">IF($B12="","",IF($E12=0,"—",H12/$E12))</f>
        <v>—</v>
      </c>
      <c r="J12" s="42" t="str">
        <f aca="false">IF($B12="","",IF($E12=0,"لا توجد بيانات",IF(ROUND(F12/E12,10)&lt;=KeyA_VW,"Very Weak",IF(ROUND(F12/E12,10)&lt;KeyA_Weak,"Weak",IF(ROUND(H12/E12,10)&lt;KeyA_Acc,"Acceptable",IF(ROUND(H12/E12,10)&lt;=KeyA_Good,"Good",IF(ROUND(H12/E12,10)&lt;KeyA_Out,"Very Good","Outstanding")))))))</f>
        <v>لا توجد بيانات</v>
      </c>
      <c r="K12" s="39" t="n">
        <f aca="false">IF($B12="","",(SUMIFS(Data!$T$5:$T$5004,Data!$B$5:$B$5004,$Q$6,Data!$D$5:$D$5004,$Q$7,Data!$E$5:$E$5004,$Q$8,Data!$F$5:$F$5004,$Q$9,Data!$G$5:$G$5004,$Q$10,Data!$C$5:$C$5004,$B12)+ExOn*SUMIFS(مثال_Example!$T$5:$T$804,مثال_Example!$B$5:$B$804,$Q$6,مثال_Example!$D$5:$D$804,$Q$7,مثال_Example!$E$5:$E$804,$Q$8,مثال_Example!$F$5:$F$804,$Q$9,مثال_Example!$G$5:$G$804,$Q$10,مثال_Example!$C$5:$C$804,$B12))+(SUMIFS(Data!$U$5:$U$5004,Data!$B$5:$B$5004,$Q$6,Data!$D$5:$D$5004,$Q$7,Data!$E$5:$E$5004,$Q$8,Data!$F$5:$F$5004,$Q$9,Data!$G$5:$G$5004,$Q$10,Data!$C$5:$C$5004,$B12)+ExOn*SUMIFS(مثال_Example!$U$5:$U$804,مثال_Example!$B$5:$B$804,$Q$6,مثال_Example!$D$5:$D$804,$Q$7,مثال_Example!$E$5:$E$804,$Q$8,مثال_Example!$F$5:$F$804,$Q$9,مثال_Example!$G$5:$G$804,$Q$10,مثال_Example!$C$5:$C$804,$B12))+(SUMIFS(Data!$V$5:$V$5004,Data!$B$5:$B$5004,$Q$6,Data!$D$5:$D$5004,$Q$7,Data!$E$5:$E$5004,$Q$8,Data!$F$5:$F$5004,$Q$9,Data!$G$5:$G$5004,$Q$10,Data!$C$5:$C$5004,$B12)+ExOn*SUMIFS(مثال_Example!$V$5:$V$804,مثال_Example!$B$5:$B$804,$Q$6,مثال_Example!$D$5:$D$804,$Q$7,مثال_Example!$E$5:$E$804,$Q$8,مثال_Example!$F$5:$F$804,$Q$9,مثال_Example!$G$5:$G$804,$Q$10,مثال_Example!$C$5:$C$804,$B12)))</f>
        <v>0</v>
      </c>
      <c r="L12" s="39" t="n">
        <f aca="false">IF($B12="","",(SUMIFS(Data!$V$5:$V$5004,Data!$B$5:$B$5004,$Q$6,Data!$D$5:$D$5004,$Q$7,Data!$E$5:$E$5004,$Q$8,Data!$F$5:$F$5004,$Q$9,Data!$G$5:$G$5004,$Q$10,Data!$C$5:$C$5004,$B12)+ExOn*SUMIFS(مثال_Example!$V$5:$V$804,مثال_Example!$B$5:$B$804,$Q$6,مثال_Example!$D$5:$D$804,$Q$7,مثال_Example!$E$5:$E$804,$Q$8,مثال_Example!$F$5:$F$804,$Q$9,مثال_Example!$G$5:$G$804,$Q$10,مثال_Example!$C$5:$C$804,$B12)))</f>
        <v>0</v>
      </c>
      <c r="M12" s="40" t="str">
        <f aca="false">IF($B12="","",IF($K12=0,"—",L12/$K12))</f>
        <v>—</v>
      </c>
      <c r="N12" s="40" t="str">
        <f aca="false">IF($B12="","",IF($K12=0,"—",((SUMIFS(Data!$U$5:$U$5004,Data!$B$5:$B$5004,$Q$6,Data!$D$5:$D$5004,$Q$7,Data!$E$5:$E$5004,$Q$8,Data!$F$5:$F$5004,$Q$9,Data!$G$5:$G$5004,$Q$10,Data!$C$5:$C$5004,$B12)+ExOn*SUMIFS(مثال_Example!$U$5:$U$804,مثال_Example!$B$5:$B$804,$Q$6,مثال_Example!$D$5:$D$804,$Q$7,مثال_Example!$E$5:$E$804,$Q$8,مثال_Example!$F$5:$F$804,$Q$9,مثال_Example!$G$5:$G$804,$Q$10,مثال_Example!$C$5:$C$804,$B12))+L12)/$K12))</f>
        <v>—</v>
      </c>
      <c r="O12" s="42" t="str">
        <f aca="false">IF($B12="","",IF($K12=0,"لا توجد بيانات",IF(ROUND((((SUMIFS(Data!$U$5:$U$5004,Data!$B$5:$B$5004,$Q$6,Data!$D$5:$D$5004,$Q$7,Data!$E$5:$E$5004,$Q$8,Data!$F$5:$F$5004,$Q$9,Data!$G$5:$G$5004,$Q$10,Data!$C$5:$C$5004,$B12)+ExOn*SUMIFS(مثال_Example!$U$5:$U$804,مثال_Example!$B$5:$B$804,$Q$6,مثال_Example!$D$5:$D$804,$Q$7,مثال_Example!$E$5:$E$804,$Q$8,مثال_Example!$F$5:$F$804,$Q$9,مثال_Example!$G$5:$G$804,$Q$10,مثال_Example!$C$5:$C$804,$B12)))+L12)/K12,10)&lt;=KeyP_VW,"Very Weak",IF(ROUND((((SUMIFS(Data!$U$5:$U$5004,Data!$B$5:$B$5004,$Q$6,Data!$D$5:$D$5004,$Q$7,Data!$E$5:$E$5004,$Q$8,Data!$F$5:$F$5004,$Q$9,Data!$G$5:$G$5004,$Q$10,Data!$C$5:$C$5004,$B12)+ExOn*SUMIFS(مثال_Example!$U$5:$U$804,مثال_Example!$B$5:$B$804,$Q$6,مثال_Example!$D$5:$D$804,$Q$7,مثال_Example!$E$5:$E$804,$Q$8,مثال_Example!$F$5:$F$804,$Q$9,مثال_Example!$G$5:$G$804,$Q$10,مثال_Example!$C$5:$C$804,$B12)))+L12)/K12,10)&lt;KeyP_Weak,"Weak",IF(ROUND(L12/K12,10)&lt;KeyP_Acc,"Acceptable",IF(ROUND(L12/K12,10)&lt;=KeyP_Good,"Good",IF(ROUND(L12/K12,10)&lt;KeyP_Out,"Very Good","Outstanding")))))))</f>
        <v>لا توجد بيانات</v>
      </c>
      <c r="P12" s="1"/>
    </row>
    <row r="13" customFormat="false" ht="15" hidden="false" customHeight="false" outlineLevel="0" collapsed="false">
      <c r="A13" s="1"/>
      <c r="B13" s="51" t="str">
        <f aca="false">IF(Teachers!C9="","",Teachers!C9)</f>
        <v>Ms Aliaa Refaat Soliman</v>
      </c>
      <c r="C13" s="42" t="str">
        <f aca="false">IF($B13="","",Teachers!D9)</f>
        <v>Aa</v>
      </c>
      <c r="D13" s="42" t="n">
        <f aca="false">IF($B13="","",Teachers!F9)</f>
        <v>3</v>
      </c>
      <c r="E13" s="39" t="n">
        <f aca="false">IF($B13="","",(SUMIFS(Data!$Q$5:$Q$5004,Data!$B$5:$B$5004,$Q$6,Data!$D$5:$D$5004,$Q$7,Data!$E$5:$E$5004,$Q$8,Data!$F$5:$F$5004,$Q$9,Data!$G$5:$G$5004,$Q$10,Data!$C$5:$C$5004,$B13)+ExOn*SUMIFS(مثال_Example!$Q$5:$Q$804,مثال_Example!$B$5:$B$804,$Q$6,مثال_Example!$D$5:$D$804,$Q$7,مثال_Example!$E$5:$E$804,$Q$8,مثال_Example!$F$5:$F$804,$Q$9,مثال_Example!$G$5:$G$804,$Q$10,مثال_Example!$C$5:$C$804,$B13)))</f>
        <v>0</v>
      </c>
      <c r="F13" s="39" t="n">
        <f aca="false">IF($B13="","",(SUMIFS(Data!$R$5:$R$5004,Data!$B$5:$B$5004,$Q$6,Data!$D$5:$D$5004,$Q$7,Data!$E$5:$E$5004,$Q$8,Data!$F$5:$F$5004,$Q$9,Data!$G$5:$G$5004,$Q$10,Data!$C$5:$C$5004,$B13)+ExOn*SUMIFS(مثال_Example!$R$5:$R$804,مثال_Example!$B$5:$B$804,$Q$6,مثال_Example!$D$5:$D$804,$Q$7,مثال_Example!$E$5:$E$804,$Q$8,مثال_Example!$F$5:$F$804,$Q$9,مثال_Example!$G$5:$G$804,$Q$10,مثال_Example!$C$5:$C$804,$B13)))</f>
        <v>0</v>
      </c>
      <c r="G13" s="40" t="str">
        <f aca="false">IF($B13="","",IF($E13=0,"—",F13/$E13))</f>
        <v>—</v>
      </c>
      <c r="H13" s="39" t="n">
        <f aca="false">IF($B13="","",(SUMIFS(Data!$S$5:$S$5004,Data!$B$5:$B$5004,$Q$6,Data!$D$5:$D$5004,$Q$7,Data!$E$5:$E$5004,$Q$8,Data!$F$5:$F$5004,$Q$9,Data!$G$5:$G$5004,$Q$10,Data!$C$5:$C$5004,$B13)+ExOn*SUMIFS(مثال_Example!$S$5:$S$804,مثال_Example!$B$5:$B$804,$Q$6,مثال_Example!$D$5:$D$804,$Q$7,مثال_Example!$E$5:$E$804,$Q$8,مثال_Example!$F$5:$F$804,$Q$9,مثال_Example!$G$5:$G$804,$Q$10,مثال_Example!$C$5:$C$804,$B13)))</f>
        <v>0</v>
      </c>
      <c r="I13" s="40" t="str">
        <f aca="false">IF($B13="","",IF($E13=0,"—",H13/$E13))</f>
        <v>—</v>
      </c>
      <c r="J13" s="42" t="str">
        <f aca="false">IF($B13="","",IF($E13=0,"لا توجد بيانات",IF(ROUND(F13/E13,10)&lt;=KeyA_VW,"Very Weak",IF(ROUND(F13/E13,10)&lt;KeyA_Weak,"Weak",IF(ROUND(H13/E13,10)&lt;KeyA_Acc,"Acceptable",IF(ROUND(H13/E13,10)&lt;=KeyA_Good,"Good",IF(ROUND(H13/E13,10)&lt;KeyA_Out,"Very Good","Outstanding")))))))</f>
        <v>لا توجد بيانات</v>
      </c>
      <c r="K13" s="39" t="n">
        <f aca="false">IF($B13="","",(SUMIFS(Data!$T$5:$T$5004,Data!$B$5:$B$5004,$Q$6,Data!$D$5:$D$5004,$Q$7,Data!$E$5:$E$5004,$Q$8,Data!$F$5:$F$5004,$Q$9,Data!$G$5:$G$5004,$Q$10,Data!$C$5:$C$5004,$B13)+ExOn*SUMIFS(مثال_Example!$T$5:$T$804,مثال_Example!$B$5:$B$804,$Q$6,مثال_Example!$D$5:$D$804,$Q$7,مثال_Example!$E$5:$E$804,$Q$8,مثال_Example!$F$5:$F$804,$Q$9,مثال_Example!$G$5:$G$804,$Q$10,مثال_Example!$C$5:$C$804,$B13))+(SUMIFS(Data!$U$5:$U$5004,Data!$B$5:$B$5004,$Q$6,Data!$D$5:$D$5004,$Q$7,Data!$E$5:$E$5004,$Q$8,Data!$F$5:$F$5004,$Q$9,Data!$G$5:$G$5004,$Q$10,Data!$C$5:$C$5004,$B13)+ExOn*SUMIFS(مثال_Example!$U$5:$U$804,مثال_Example!$B$5:$B$804,$Q$6,مثال_Example!$D$5:$D$804,$Q$7,مثال_Example!$E$5:$E$804,$Q$8,مثال_Example!$F$5:$F$804,$Q$9,مثال_Example!$G$5:$G$804,$Q$10,مثال_Example!$C$5:$C$804,$B13))+(SUMIFS(Data!$V$5:$V$5004,Data!$B$5:$B$5004,$Q$6,Data!$D$5:$D$5004,$Q$7,Data!$E$5:$E$5004,$Q$8,Data!$F$5:$F$5004,$Q$9,Data!$G$5:$G$5004,$Q$10,Data!$C$5:$C$5004,$B13)+ExOn*SUMIFS(مثال_Example!$V$5:$V$804,مثال_Example!$B$5:$B$804,$Q$6,مثال_Example!$D$5:$D$804,$Q$7,مثال_Example!$E$5:$E$804,$Q$8,مثال_Example!$F$5:$F$804,$Q$9,مثال_Example!$G$5:$G$804,$Q$10,مثال_Example!$C$5:$C$804,$B13)))</f>
        <v>0</v>
      </c>
      <c r="L13" s="39" t="n">
        <f aca="false">IF($B13="","",(SUMIFS(Data!$V$5:$V$5004,Data!$B$5:$B$5004,$Q$6,Data!$D$5:$D$5004,$Q$7,Data!$E$5:$E$5004,$Q$8,Data!$F$5:$F$5004,$Q$9,Data!$G$5:$G$5004,$Q$10,Data!$C$5:$C$5004,$B13)+ExOn*SUMIFS(مثال_Example!$V$5:$V$804,مثال_Example!$B$5:$B$804,$Q$6,مثال_Example!$D$5:$D$804,$Q$7,مثال_Example!$E$5:$E$804,$Q$8,مثال_Example!$F$5:$F$804,$Q$9,مثال_Example!$G$5:$G$804,$Q$10,مثال_Example!$C$5:$C$804,$B13)))</f>
        <v>0</v>
      </c>
      <c r="M13" s="40" t="str">
        <f aca="false">IF($B13="","",IF($K13=0,"—",L13/$K13))</f>
        <v>—</v>
      </c>
      <c r="N13" s="40" t="str">
        <f aca="false">IF($B13="","",IF($K13=0,"—",((SUMIFS(Data!$U$5:$U$5004,Data!$B$5:$B$5004,$Q$6,Data!$D$5:$D$5004,$Q$7,Data!$E$5:$E$5004,$Q$8,Data!$F$5:$F$5004,$Q$9,Data!$G$5:$G$5004,$Q$10,Data!$C$5:$C$5004,$B13)+ExOn*SUMIFS(مثال_Example!$U$5:$U$804,مثال_Example!$B$5:$B$804,$Q$6,مثال_Example!$D$5:$D$804,$Q$7,مثال_Example!$E$5:$E$804,$Q$8,مثال_Example!$F$5:$F$804,$Q$9,مثال_Example!$G$5:$G$804,$Q$10,مثال_Example!$C$5:$C$804,$B13))+L13)/$K13))</f>
        <v>—</v>
      </c>
      <c r="O13" s="42" t="str">
        <f aca="false">IF($B13="","",IF($K13=0,"لا توجد بيانات",IF(ROUND((((SUMIFS(Data!$U$5:$U$5004,Data!$B$5:$B$5004,$Q$6,Data!$D$5:$D$5004,$Q$7,Data!$E$5:$E$5004,$Q$8,Data!$F$5:$F$5004,$Q$9,Data!$G$5:$G$5004,$Q$10,Data!$C$5:$C$5004,$B13)+ExOn*SUMIFS(مثال_Example!$U$5:$U$804,مثال_Example!$B$5:$B$804,$Q$6,مثال_Example!$D$5:$D$804,$Q$7,مثال_Example!$E$5:$E$804,$Q$8,مثال_Example!$F$5:$F$804,$Q$9,مثال_Example!$G$5:$G$804,$Q$10,مثال_Example!$C$5:$C$804,$B13)))+L13)/K13,10)&lt;=KeyP_VW,"Very Weak",IF(ROUND((((SUMIFS(Data!$U$5:$U$5004,Data!$B$5:$B$5004,$Q$6,Data!$D$5:$D$5004,$Q$7,Data!$E$5:$E$5004,$Q$8,Data!$F$5:$F$5004,$Q$9,Data!$G$5:$G$5004,$Q$10,Data!$C$5:$C$5004,$B13)+ExOn*SUMIFS(مثال_Example!$U$5:$U$804,مثال_Example!$B$5:$B$804,$Q$6,مثال_Example!$D$5:$D$804,$Q$7,مثال_Example!$E$5:$E$804,$Q$8,مثال_Example!$F$5:$F$804,$Q$9,مثال_Example!$G$5:$G$804,$Q$10,مثال_Example!$C$5:$C$804,$B13)))+L13)/K13,10)&lt;KeyP_Weak,"Weak",IF(ROUND(L13/K13,10)&lt;KeyP_Acc,"Acceptable",IF(ROUND(L13/K13,10)&lt;=KeyP_Good,"Good",IF(ROUND(L13/K13,10)&lt;KeyP_Out,"Very Good","Outstanding")))))))</f>
        <v>لا توجد بيانات</v>
      </c>
      <c r="P13" s="1"/>
    </row>
    <row r="14" customFormat="false" ht="15" hidden="false" customHeight="false" outlineLevel="0" collapsed="false">
      <c r="A14" s="1"/>
      <c r="B14" s="51" t="str">
        <f aca="false">IF(Teachers!C10="","",Teachers!C10)</f>
        <v>Ms Asmaa A Emara</v>
      </c>
      <c r="C14" s="42" t="str">
        <f aca="false">IF($B14="","",Teachers!D10)</f>
        <v>Aa</v>
      </c>
      <c r="D14" s="42" t="n">
        <f aca="false">IF($B14="","",Teachers!F10)</f>
        <v>4</v>
      </c>
      <c r="E14" s="39" t="n">
        <f aca="false">IF($B14="","",(SUMIFS(Data!$Q$5:$Q$5004,Data!$B$5:$B$5004,$Q$6,Data!$D$5:$D$5004,$Q$7,Data!$E$5:$E$5004,$Q$8,Data!$F$5:$F$5004,$Q$9,Data!$G$5:$G$5004,$Q$10,Data!$C$5:$C$5004,$B14)+ExOn*SUMIFS(مثال_Example!$Q$5:$Q$804,مثال_Example!$B$5:$B$804,$Q$6,مثال_Example!$D$5:$D$804,$Q$7,مثال_Example!$E$5:$E$804,$Q$8,مثال_Example!$F$5:$F$804,$Q$9,مثال_Example!$G$5:$G$804,$Q$10,مثال_Example!$C$5:$C$804,$B14)))</f>
        <v>0</v>
      </c>
      <c r="F14" s="39" t="n">
        <f aca="false">IF($B14="","",(SUMIFS(Data!$R$5:$R$5004,Data!$B$5:$B$5004,$Q$6,Data!$D$5:$D$5004,$Q$7,Data!$E$5:$E$5004,$Q$8,Data!$F$5:$F$5004,$Q$9,Data!$G$5:$G$5004,$Q$10,Data!$C$5:$C$5004,$B14)+ExOn*SUMIFS(مثال_Example!$R$5:$R$804,مثال_Example!$B$5:$B$804,$Q$6,مثال_Example!$D$5:$D$804,$Q$7,مثال_Example!$E$5:$E$804,$Q$8,مثال_Example!$F$5:$F$804,$Q$9,مثال_Example!$G$5:$G$804,$Q$10,مثال_Example!$C$5:$C$804,$B14)))</f>
        <v>0</v>
      </c>
      <c r="G14" s="40" t="str">
        <f aca="false">IF($B14="","",IF($E14=0,"—",F14/$E14))</f>
        <v>—</v>
      </c>
      <c r="H14" s="39" t="n">
        <f aca="false">IF($B14="","",(SUMIFS(Data!$S$5:$S$5004,Data!$B$5:$B$5004,$Q$6,Data!$D$5:$D$5004,$Q$7,Data!$E$5:$E$5004,$Q$8,Data!$F$5:$F$5004,$Q$9,Data!$G$5:$G$5004,$Q$10,Data!$C$5:$C$5004,$B14)+ExOn*SUMIFS(مثال_Example!$S$5:$S$804,مثال_Example!$B$5:$B$804,$Q$6,مثال_Example!$D$5:$D$804,$Q$7,مثال_Example!$E$5:$E$804,$Q$8,مثال_Example!$F$5:$F$804,$Q$9,مثال_Example!$G$5:$G$804,$Q$10,مثال_Example!$C$5:$C$804,$B14)))</f>
        <v>0</v>
      </c>
      <c r="I14" s="40" t="str">
        <f aca="false">IF($B14="","",IF($E14=0,"—",H14/$E14))</f>
        <v>—</v>
      </c>
      <c r="J14" s="42" t="str">
        <f aca="false">IF($B14="","",IF($E14=0,"لا توجد بيانات",IF(ROUND(F14/E14,10)&lt;=KeyA_VW,"Very Weak",IF(ROUND(F14/E14,10)&lt;KeyA_Weak,"Weak",IF(ROUND(H14/E14,10)&lt;KeyA_Acc,"Acceptable",IF(ROUND(H14/E14,10)&lt;=KeyA_Good,"Good",IF(ROUND(H14/E14,10)&lt;KeyA_Out,"Very Good","Outstanding")))))))</f>
        <v>لا توجد بيانات</v>
      </c>
      <c r="K14" s="39" t="n">
        <f aca="false">IF($B14="","",(SUMIFS(Data!$T$5:$T$5004,Data!$B$5:$B$5004,$Q$6,Data!$D$5:$D$5004,$Q$7,Data!$E$5:$E$5004,$Q$8,Data!$F$5:$F$5004,$Q$9,Data!$G$5:$G$5004,$Q$10,Data!$C$5:$C$5004,$B14)+ExOn*SUMIFS(مثال_Example!$T$5:$T$804,مثال_Example!$B$5:$B$804,$Q$6,مثال_Example!$D$5:$D$804,$Q$7,مثال_Example!$E$5:$E$804,$Q$8,مثال_Example!$F$5:$F$804,$Q$9,مثال_Example!$G$5:$G$804,$Q$10,مثال_Example!$C$5:$C$804,$B14))+(SUMIFS(Data!$U$5:$U$5004,Data!$B$5:$B$5004,$Q$6,Data!$D$5:$D$5004,$Q$7,Data!$E$5:$E$5004,$Q$8,Data!$F$5:$F$5004,$Q$9,Data!$G$5:$G$5004,$Q$10,Data!$C$5:$C$5004,$B14)+ExOn*SUMIFS(مثال_Example!$U$5:$U$804,مثال_Example!$B$5:$B$804,$Q$6,مثال_Example!$D$5:$D$804,$Q$7,مثال_Example!$E$5:$E$804,$Q$8,مثال_Example!$F$5:$F$804,$Q$9,مثال_Example!$G$5:$G$804,$Q$10,مثال_Example!$C$5:$C$804,$B14))+(SUMIFS(Data!$V$5:$V$5004,Data!$B$5:$B$5004,$Q$6,Data!$D$5:$D$5004,$Q$7,Data!$E$5:$E$5004,$Q$8,Data!$F$5:$F$5004,$Q$9,Data!$G$5:$G$5004,$Q$10,Data!$C$5:$C$5004,$B14)+ExOn*SUMIFS(مثال_Example!$V$5:$V$804,مثال_Example!$B$5:$B$804,$Q$6,مثال_Example!$D$5:$D$804,$Q$7,مثال_Example!$E$5:$E$804,$Q$8,مثال_Example!$F$5:$F$804,$Q$9,مثال_Example!$G$5:$G$804,$Q$10,مثال_Example!$C$5:$C$804,$B14)))</f>
        <v>0</v>
      </c>
      <c r="L14" s="39" t="n">
        <f aca="false">IF($B14="","",(SUMIFS(Data!$V$5:$V$5004,Data!$B$5:$B$5004,$Q$6,Data!$D$5:$D$5004,$Q$7,Data!$E$5:$E$5004,$Q$8,Data!$F$5:$F$5004,$Q$9,Data!$G$5:$G$5004,$Q$10,Data!$C$5:$C$5004,$B14)+ExOn*SUMIFS(مثال_Example!$V$5:$V$804,مثال_Example!$B$5:$B$804,$Q$6,مثال_Example!$D$5:$D$804,$Q$7,مثال_Example!$E$5:$E$804,$Q$8,مثال_Example!$F$5:$F$804,$Q$9,مثال_Example!$G$5:$G$804,$Q$10,مثال_Example!$C$5:$C$804,$B14)))</f>
        <v>0</v>
      </c>
      <c r="M14" s="40" t="str">
        <f aca="false">IF($B14="","",IF($K14=0,"—",L14/$K14))</f>
        <v>—</v>
      </c>
      <c r="N14" s="40" t="str">
        <f aca="false">IF($B14="","",IF($K14=0,"—",((SUMIFS(Data!$U$5:$U$5004,Data!$B$5:$B$5004,$Q$6,Data!$D$5:$D$5004,$Q$7,Data!$E$5:$E$5004,$Q$8,Data!$F$5:$F$5004,$Q$9,Data!$G$5:$G$5004,$Q$10,Data!$C$5:$C$5004,$B14)+ExOn*SUMIFS(مثال_Example!$U$5:$U$804,مثال_Example!$B$5:$B$804,$Q$6,مثال_Example!$D$5:$D$804,$Q$7,مثال_Example!$E$5:$E$804,$Q$8,مثال_Example!$F$5:$F$804,$Q$9,مثال_Example!$G$5:$G$804,$Q$10,مثال_Example!$C$5:$C$804,$B14))+L14)/$K14))</f>
        <v>—</v>
      </c>
      <c r="O14" s="42" t="str">
        <f aca="false">IF($B14="","",IF($K14=0,"لا توجد بيانات",IF(ROUND((((SUMIFS(Data!$U$5:$U$5004,Data!$B$5:$B$5004,$Q$6,Data!$D$5:$D$5004,$Q$7,Data!$E$5:$E$5004,$Q$8,Data!$F$5:$F$5004,$Q$9,Data!$G$5:$G$5004,$Q$10,Data!$C$5:$C$5004,$B14)+ExOn*SUMIFS(مثال_Example!$U$5:$U$804,مثال_Example!$B$5:$B$804,$Q$6,مثال_Example!$D$5:$D$804,$Q$7,مثال_Example!$E$5:$E$804,$Q$8,مثال_Example!$F$5:$F$804,$Q$9,مثال_Example!$G$5:$G$804,$Q$10,مثال_Example!$C$5:$C$804,$B14)))+L14)/K14,10)&lt;=KeyP_VW,"Very Weak",IF(ROUND((((SUMIFS(Data!$U$5:$U$5004,Data!$B$5:$B$5004,$Q$6,Data!$D$5:$D$5004,$Q$7,Data!$E$5:$E$5004,$Q$8,Data!$F$5:$F$5004,$Q$9,Data!$G$5:$G$5004,$Q$10,Data!$C$5:$C$5004,$B14)+ExOn*SUMIFS(مثال_Example!$U$5:$U$804,مثال_Example!$B$5:$B$804,$Q$6,مثال_Example!$D$5:$D$804,$Q$7,مثال_Example!$E$5:$E$804,$Q$8,مثال_Example!$F$5:$F$804,$Q$9,مثال_Example!$G$5:$G$804,$Q$10,مثال_Example!$C$5:$C$804,$B14)))+L14)/K14,10)&lt;KeyP_Weak,"Weak",IF(ROUND(L14/K14,10)&lt;KeyP_Acc,"Acceptable",IF(ROUND(L14/K14,10)&lt;=KeyP_Good,"Good",IF(ROUND(L14/K14,10)&lt;KeyP_Out,"Very Good","Outstanding")))))))</f>
        <v>لا توجد بيانات</v>
      </c>
      <c r="P14" s="1"/>
    </row>
    <row r="15" customFormat="false" ht="15" hidden="false" customHeight="false" outlineLevel="0" collapsed="false">
      <c r="A15" s="1"/>
      <c r="B15" s="51" t="str">
        <f aca="false">IF(Teachers!C11="","",Teachers!C11)</f>
        <v>Mr Ayman Bobo</v>
      </c>
      <c r="C15" s="42" t="str">
        <f aca="false">IF($B15="","",Teachers!D11)</f>
        <v>Aa</v>
      </c>
      <c r="D15" s="42" t="n">
        <f aca="false">IF($B15="","",Teachers!F11)</f>
        <v>6</v>
      </c>
      <c r="E15" s="39" t="n">
        <f aca="false">IF($B15="","",(SUMIFS(Data!$Q$5:$Q$5004,Data!$B$5:$B$5004,$Q$6,Data!$D$5:$D$5004,$Q$7,Data!$E$5:$E$5004,$Q$8,Data!$F$5:$F$5004,$Q$9,Data!$G$5:$G$5004,$Q$10,Data!$C$5:$C$5004,$B15)+ExOn*SUMIFS(مثال_Example!$Q$5:$Q$804,مثال_Example!$B$5:$B$804,$Q$6,مثال_Example!$D$5:$D$804,$Q$7,مثال_Example!$E$5:$E$804,$Q$8,مثال_Example!$F$5:$F$804,$Q$9,مثال_Example!$G$5:$G$804,$Q$10,مثال_Example!$C$5:$C$804,$B15)))</f>
        <v>0</v>
      </c>
      <c r="F15" s="39" t="n">
        <f aca="false">IF($B15="","",(SUMIFS(Data!$R$5:$R$5004,Data!$B$5:$B$5004,$Q$6,Data!$D$5:$D$5004,$Q$7,Data!$E$5:$E$5004,$Q$8,Data!$F$5:$F$5004,$Q$9,Data!$G$5:$G$5004,$Q$10,Data!$C$5:$C$5004,$B15)+ExOn*SUMIFS(مثال_Example!$R$5:$R$804,مثال_Example!$B$5:$B$804,$Q$6,مثال_Example!$D$5:$D$804,$Q$7,مثال_Example!$E$5:$E$804,$Q$8,مثال_Example!$F$5:$F$804,$Q$9,مثال_Example!$G$5:$G$804,$Q$10,مثال_Example!$C$5:$C$804,$B15)))</f>
        <v>0</v>
      </c>
      <c r="G15" s="40" t="str">
        <f aca="false">IF($B15="","",IF($E15=0,"—",F15/$E15))</f>
        <v>—</v>
      </c>
      <c r="H15" s="39" t="n">
        <f aca="false">IF($B15="","",(SUMIFS(Data!$S$5:$S$5004,Data!$B$5:$B$5004,$Q$6,Data!$D$5:$D$5004,$Q$7,Data!$E$5:$E$5004,$Q$8,Data!$F$5:$F$5004,$Q$9,Data!$G$5:$G$5004,$Q$10,Data!$C$5:$C$5004,$B15)+ExOn*SUMIFS(مثال_Example!$S$5:$S$804,مثال_Example!$B$5:$B$804,$Q$6,مثال_Example!$D$5:$D$804,$Q$7,مثال_Example!$E$5:$E$804,$Q$8,مثال_Example!$F$5:$F$804,$Q$9,مثال_Example!$G$5:$G$804,$Q$10,مثال_Example!$C$5:$C$804,$B15)))</f>
        <v>0</v>
      </c>
      <c r="I15" s="40" t="str">
        <f aca="false">IF($B15="","",IF($E15=0,"—",H15/$E15))</f>
        <v>—</v>
      </c>
      <c r="J15" s="42" t="str">
        <f aca="false">IF($B15="","",IF($E15=0,"لا توجد بيانات",IF(ROUND(F15/E15,10)&lt;=KeyA_VW,"Very Weak",IF(ROUND(F15/E15,10)&lt;KeyA_Weak,"Weak",IF(ROUND(H15/E15,10)&lt;KeyA_Acc,"Acceptable",IF(ROUND(H15/E15,10)&lt;=KeyA_Good,"Good",IF(ROUND(H15/E15,10)&lt;KeyA_Out,"Very Good","Outstanding")))))))</f>
        <v>لا توجد بيانات</v>
      </c>
      <c r="K15" s="39" t="n">
        <f aca="false">IF($B15="","",(SUMIFS(Data!$T$5:$T$5004,Data!$B$5:$B$5004,$Q$6,Data!$D$5:$D$5004,$Q$7,Data!$E$5:$E$5004,$Q$8,Data!$F$5:$F$5004,$Q$9,Data!$G$5:$G$5004,$Q$10,Data!$C$5:$C$5004,$B15)+ExOn*SUMIFS(مثال_Example!$T$5:$T$804,مثال_Example!$B$5:$B$804,$Q$6,مثال_Example!$D$5:$D$804,$Q$7,مثال_Example!$E$5:$E$804,$Q$8,مثال_Example!$F$5:$F$804,$Q$9,مثال_Example!$G$5:$G$804,$Q$10,مثال_Example!$C$5:$C$804,$B15))+(SUMIFS(Data!$U$5:$U$5004,Data!$B$5:$B$5004,$Q$6,Data!$D$5:$D$5004,$Q$7,Data!$E$5:$E$5004,$Q$8,Data!$F$5:$F$5004,$Q$9,Data!$G$5:$G$5004,$Q$10,Data!$C$5:$C$5004,$B15)+ExOn*SUMIFS(مثال_Example!$U$5:$U$804,مثال_Example!$B$5:$B$804,$Q$6,مثال_Example!$D$5:$D$804,$Q$7,مثال_Example!$E$5:$E$804,$Q$8,مثال_Example!$F$5:$F$804,$Q$9,مثال_Example!$G$5:$G$804,$Q$10,مثال_Example!$C$5:$C$804,$B15))+(SUMIFS(Data!$V$5:$V$5004,Data!$B$5:$B$5004,$Q$6,Data!$D$5:$D$5004,$Q$7,Data!$E$5:$E$5004,$Q$8,Data!$F$5:$F$5004,$Q$9,Data!$G$5:$G$5004,$Q$10,Data!$C$5:$C$5004,$B15)+ExOn*SUMIFS(مثال_Example!$V$5:$V$804,مثال_Example!$B$5:$B$804,$Q$6,مثال_Example!$D$5:$D$804,$Q$7,مثال_Example!$E$5:$E$804,$Q$8,مثال_Example!$F$5:$F$804,$Q$9,مثال_Example!$G$5:$G$804,$Q$10,مثال_Example!$C$5:$C$804,$B15)))</f>
        <v>0</v>
      </c>
      <c r="L15" s="39" t="n">
        <f aca="false">IF($B15="","",(SUMIFS(Data!$V$5:$V$5004,Data!$B$5:$B$5004,$Q$6,Data!$D$5:$D$5004,$Q$7,Data!$E$5:$E$5004,$Q$8,Data!$F$5:$F$5004,$Q$9,Data!$G$5:$G$5004,$Q$10,Data!$C$5:$C$5004,$B15)+ExOn*SUMIFS(مثال_Example!$V$5:$V$804,مثال_Example!$B$5:$B$804,$Q$6,مثال_Example!$D$5:$D$804,$Q$7,مثال_Example!$E$5:$E$804,$Q$8,مثال_Example!$F$5:$F$804,$Q$9,مثال_Example!$G$5:$G$804,$Q$10,مثال_Example!$C$5:$C$804,$B15)))</f>
        <v>0</v>
      </c>
      <c r="M15" s="40" t="str">
        <f aca="false">IF($B15="","",IF($K15=0,"—",L15/$K15))</f>
        <v>—</v>
      </c>
      <c r="N15" s="40" t="str">
        <f aca="false">IF($B15="","",IF($K15=0,"—",((SUMIFS(Data!$U$5:$U$5004,Data!$B$5:$B$5004,$Q$6,Data!$D$5:$D$5004,$Q$7,Data!$E$5:$E$5004,$Q$8,Data!$F$5:$F$5004,$Q$9,Data!$G$5:$G$5004,$Q$10,Data!$C$5:$C$5004,$B15)+ExOn*SUMIFS(مثال_Example!$U$5:$U$804,مثال_Example!$B$5:$B$804,$Q$6,مثال_Example!$D$5:$D$804,$Q$7,مثال_Example!$E$5:$E$804,$Q$8,مثال_Example!$F$5:$F$804,$Q$9,مثال_Example!$G$5:$G$804,$Q$10,مثال_Example!$C$5:$C$804,$B15))+L15)/$K15))</f>
        <v>—</v>
      </c>
      <c r="O15" s="42" t="str">
        <f aca="false">IF($B15="","",IF($K15=0,"لا توجد بيانات",IF(ROUND((((SUMIFS(Data!$U$5:$U$5004,Data!$B$5:$B$5004,$Q$6,Data!$D$5:$D$5004,$Q$7,Data!$E$5:$E$5004,$Q$8,Data!$F$5:$F$5004,$Q$9,Data!$G$5:$G$5004,$Q$10,Data!$C$5:$C$5004,$B15)+ExOn*SUMIFS(مثال_Example!$U$5:$U$804,مثال_Example!$B$5:$B$804,$Q$6,مثال_Example!$D$5:$D$804,$Q$7,مثال_Example!$E$5:$E$804,$Q$8,مثال_Example!$F$5:$F$804,$Q$9,مثال_Example!$G$5:$G$804,$Q$10,مثال_Example!$C$5:$C$804,$B15)))+L15)/K15,10)&lt;=KeyP_VW,"Very Weak",IF(ROUND((((SUMIFS(Data!$U$5:$U$5004,Data!$B$5:$B$5004,$Q$6,Data!$D$5:$D$5004,$Q$7,Data!$E$5:$E$5004,$Q$8,Data!$F$5:$F$5004,$Q$9,Data!$G$5:$G$5004,$Q$10,Data!$C$5:$C$5004,$B15)+ExOn*SUMIFS(مثال_Example!$U$5:$U$804,مثال_Example!$B$5:$B$804,$Q$6,مثال_Example!$D$5:$D$804,$Q$7,مثال_Example!$E$5:$E$804,$Q$8,مثال_Example!$F$5:$F$804,$Q$9,مثال_Example!$G$5:$G$804,$Q$10,مثال_Example!$C$5:$C$804,$B15)))+L15)/K15,10)&lt;KeyP_Weak,"Weak",IF(ROUND(L15/K15,10)&lt;KeyP_Acc,"Acceptable",IF(ROUND(L15/K15,10)&lt;=KeyP_Good,"Good",IF(ROUND(L15/K15,10)&lt;KeyP_Out,"Very Good","Outstanding")))))))</f>
        <v>لا توجد بيانات</v>
      </c>
      <c r="P15" s="1"/>
    </row>
    <row r="16" customFormat="false" ht="15" hidden="false" customHeight="false" outlineLevel="0" collapsed="false">
      <c r="A16" s="1"/>
      <c r="B16" s="51" t="str">
        <f aca="false">IF(Teachers!C12="","",Teachers!C12)</f>
        <v>Ms Aya Soliman Eid</v>
      </c>
      <c r="C16" s="42" t="str">
        <f aca="false">IF($B16="","",Teachers!D12)</f>
        <v>Aa</v>
      </c>
      <c r="D16" s="42" t="n">
        <f aca="false">IF($B16="","",Teachers!F12)</f>
        <v>4</v>
      </c>
      <c r="E16" s="39" t="n">
        <f aca="false">IF($B16="","",(SUMIFS(Data!$Q$5:$Q$5004,Data!$B$5:$B$5004,$Q$6,Data!$D$5:$D$5004,$Q$7,Data!$E$5:$E$5004,$Q$8,Data!$F$5:$F$5004,$Q$9,Data!$G$5:$G$5004,$Q$10,Data!$C$5:$C$5004,$B16)+ExOn*SUMIFS(مثال_Example!$Q$5:$Q$804,مثال_Example!$B$5:$B$804,$Q$6,مثال_Example!$D$5:$D$804,$Q$7,مثال_Example!$E$5:$E$804,$Q$8,مثال_Example!$F$5:$F$804,$Q$9,مثال_Example!$G$5:$G$804,$Q$10,مثال_Example!$C$5:$C$804,$B16)))</f>
        <v>0</v>
      </c>
      <c r="F16" s="39" t="n">
        <f aca="false">IF($B16="","",(SUMIFS(Data!$R$5:$R$5004,Data!$B$5:$B$5004,$Q$6,Data!$D$5:$D$5004,$Q$7,Data!$E$5:$E$5004,$Q$8,Data!$F$5:$F$5004,$Q$9,Data!$G$5:$G$5004,$Q$10,Data!$C$5:$C$5004,$B16)+ExOn*SUMIFS(مثال_Example!$R$5:$R$804,مثال_Example!$B$5:$B$804,$Q$6,مثال_Example!$D$5:$D$804,$Q$7,مثال_Example!$E$5:$E$804,$Q$8,مثال_Example!$F$5:$F$804,$Q$9,مثال_Example!$G$5:$G$804,$Q$10,مثال_Example!$C$5:$C$804,$B16)))</f>
        <v>0</v>
      </c>
      <c r="G16" s="40" t="str">
        <f aca="false">IF($B16="","",IF($E16=0,"—",F16/$E16))</f>
        <v>—</v>
      </c>
      <c r="H16" s="39" t="n">
        <f aca="false">IF($B16="","",(SUMIFS(Data!$S$5:$S$5004,Data!$B$5:$B$5004,$Q$6,Data!$D$5:$D$5004,$Q$7,Data!$E$5:$E$5004,$Q$8,Data!$F$5:$F$5004,$Q$9,Data!$G$5:$G$5004,$Q$10,Data!$C$5:$C$5004,$B16)+ExOn*SUMIFS(مثال_Example!$S$5:$S$804,مثال_Example!$B$5:$B$804,$Q$6,مثال_Example!$D$5:$D$804,$Q$7,مثال_Example!$E$5:$E$804,$Q$8,مثال_Example!$F$5:$F$804,$Q$9,مثال_Example!$G$5:$G$804,$Q$10,مثال_Example!$C$5:$C$804,$B16)))</f>
        <v>0</v>
      </c>
      <c r="I16" s="40" t="str">
        <f aca="false">IF($B16="","",IF($E16=0,"—",H16/$E16))</f>
        <v>—</v>
      </c>
      <c r="J16" s="42" t="str">
        <f aca="false">IF($B16="","",IF($E16=0,"لا توجد بيانات",IF(ROUND(F16/E16,10)&lt;=KeyA_VW,"Very Weak",IF(ROUND(F16/E16,10)&lt;KeyA_Weak,"Weak",IF(ROUND(H16/E16,10)&lt;KeyA_Acc,"Acceptable",IF(ROUND(H16/E16,10)&lt;=KeyA_Good,"Good",IF(ROUND(H16/E16,10)&lt;KeyA_Out,"Very Good","Outstanding")))))))</f>
        <v>لا توجد بيانات</v>
      </c>
      <c r="K16" s="39" t="n">
        <f aca="false">IF($B16="","",(SUMIFS(Data!$T$5:$T$5004,Data!$B$5:$B$5004,$Q$6,Data!$D$5:$D$5004,$Q$7,Data!$E$5:$E$5004,$Q$8,Data!$F$5:$F$5004,$Q$9,Data!$G$5:$G$5004,$Q$10,Data!$C$5:$C$5004,$B16)+ExOn*SUMIFS(مثال_Example!$T$5:$T$804,مثال_Example!$B$5:$B$804,$Q$6,مثال_Example!$D$5:$D$804,$Q$7,مثال_Example!$E$5:$E$804,$Q$8,مثال_Example!$F$5:$F$804,$Q$9,مثال_Example!$G$5:$G$804,$Q$10,مثال_Example!$C$5:$C$804,$B16))+(SUMIFS(Data!$U$5:$U$5004,Data!$B$5:$B$5004,$Q$6,Data!$D$5:$D$5004,$Q$7,Data!$E$5:$E$5004,$Q$8,Data!$F$5:$F$5004,$Q$9,Data!$G$5:$G$5004,$Q$10,Data!$C$5:$C$5004,$B16)+ExOn*SUMIFS(مثال_Example!$U$5:$U$804,مثال_Example!$B$5:$B$804,$Q$6,مثال_Example!$D$5:$D$804,$Q$7,مثال_Example!$E$5:$E$804,$Q$8,مثال_Example!$F$5:$F$804,$Q$9,مثال_Example!$G$5:$G$804,$Q$10,مثال_Example!$C$5:$C$804,$B16))+(SUMIFS(Data!$V$5:$V$5004,Data!$B$5:$B$5004,$Q$6,Data!$D$5:$D$5004,$Q$7,Data!$E$5:$E$5004,$Q$8,Data!$F$5:$F$5004,$Q$9,Data!$G$5:$G$5004,$Q$10,Data!$C$5:$C$5004,$B16)+ExOn*SUMIFS(مثال_Example!$V$5:$V$804,مثال_Example!$B$5:$B$804,$Q$6,مثال_Example!$D$5:$D$804,$Q$7,مثال_Example!$E$5:$E$804,$Q$8,مثال_Example!$F$5:$F$804,$Q$9,مثال_Example!$G$5:$G$804,$Q$10,مثال_Example!$C$5:$C$804,$B16)))</f>
        <v>0</v>
      </c>
      <c r="L16" s="39" t="n">
        <f aca="false">IF($B16="","",(SUMIFS(Data!$V$5:$V$5004,Data!$B$5:$B$5004,$Q$6,Data!$D$5:$D$5004,$Q$7,Data!$E$5:$E$5004,$Q$8,Data!$F$5:$F$5004,$Q$9,Data!$G$5:$G$5004,$Q$10,Data!$C$5:$C$5004,$B16)+ExOn*SUMIFS(مثال_Example!$V$5:$V$804,مثال_Example!$B$5:$B$804,$Q$6,مثال_Example!$D$5:$D$804,$Q$7,مثال_Example!$E$5:$E$804,$Q$8,مثال_Example!$F$5:$F$804,$Q$9,مثال_Example!$G$5:$G$804,$Q$10,مثال_Example!$C$5:$C$804,$B16)))</f>
        <v>0</v>
      </c>
      <c r="M16" s="40" t="str">
        <f aca="false">IF($B16="","",IF($K16=0,"—",L16/$K16))</f>
        <v>—</v>
      </c>
      <c r="N16" s="40" t="str">
        <f aca="false">IF($B16="","",IF($K16=0,"—",((SUMIFS(Data!$U$5:$U$5004,Data!$B$5:$B$5004,$Q$6,Data!$D$5:$D$5004,$Q$7,Data!$E$5:$E$5004,$Q$8,Data!$F$5:$F$5004,$Q$9,Data!$G$5:$G$5004,$Q$10,Data!$C$5:$C$5004,$B16)+ExOn*SUMIFS(مثال_Example!$U$5:$U$804,مثال_Example!$B$5:$B$804,$Q$6,مثال_Example!$D$5:$D$804,$Q$7,مثال_Example!$E$5:$E$804,$Q$8,مثال_Example!$F$5:$F$804,$Q$9,مثال_Example!$G$5:$G$804,$Q$10,مثال_Example!$C$5:$C$804,$B16))+L16)/$K16))</f>
        <v>—</v>
      </c>
      <c r="O16" s="42" t="str">
        <f aca="false">IF($B16="","",IF($K16=0,"لا توجد بيانات",IF(ROUND((((SUMIFS(Data!$U$5:$U$5004,Data!$B$5:$B$5004,$Q$6,Data!$D$5:$D$5004,$Q$7,Data!$E$5:$E$5004,$Q$8,Data!$F$5:$F$5004,$Q$9,Data!$G$5:$G$5004,$Q$10,Data!$C$5:$C$5004,$B16)+ExOn*SUMIFS(مثال_Example!$U$5:$U$804,مثال_Example!$B$5:$B$804,$Q$6,مثال_Example!$D$5:$D$804,$Q$7,مثال_Example!$E$5:$E$804,$Q$8,مثال_Example!$F$5:$F$804,$Q$9,مثال_Example!$G$5:$G$804,$Q$10,مثال_Example!$C$5:$C$804,$B16)))+L16)/K16,10)&lt;=KeyP_VW,"Very Weak",IF(ROUND((((SUMIFS(Data!$U$5:$U$5004,Data!$B$5:$B$5004,$Q$6,Data!$D$5:$D$5004,$Q$7,Data!$E$5:$E$5004,$Q$8,Data!$F$5:$F$5004,$Q$9,Data!$G$5:$G$5004,$Q$10,Data!$C$5:$C$5004,$B16)+ExOn*SUMIFS(مثال_Example!$U$5:$U$804,مثال_Example!$B$5:$B$804,$Q$6,مثال_Example!$D$5:$D$804,$Q$7,مثال_Example!$E$5:$E$804,$Q$8,مثال_Example!$F$5:$F$804,$Q$9,مثال_Example!$G$5:$G$804,$Q$10,مثال_Example!$C$5:$C$804,$B16)))+L16)/K16,10)&lt;KeyP_Weak,"Weak",IF(ROUND(L16/K16,10)&lt;KeyP_Acc,"Acceptable",IF(ROUND(L16/K16,10)&lt;=KeyP_Good,"Good",IF(ROUND(L16/K16,10)&lt;KeyP_Out,"Very Good","Outstanding")))))))</f>
        <v>لا توجد بيانات</v>
      </c>
      <c r="P16" s="1"/>
    </row>
    <row r="17" customFormat="false" ht="15" hidden="false" customHeight="false" outlineLevel="0" collapsed="false">
      <c r="A17" s="1"/>
      <c r="B17" s="51" t="str">
        <f aca="false">IF(Teachers!C13="","",Teachers!C13)</f>
        <v>Mr Elsayed M E Youssef</v>
      </c>
      <c r="C17" s="42" t="str">
        <f aca="false">IF($B17="","",Teachers!D13)</f>
        <v>Aa</v>
      </c>
      <c r="D17" s="42" t="n">
        <f aca="false">IF($B17="","",Teachers!F13)</f>
        <v>3</v>
      </c>
      <c r="E17" s="39" t="n">
        <f aca="false">IF($B17="","",(SUMIFS(Data!$Q$5:$Q$5004,Data!$B$5:$B$5004,$Q$6,Data!$D$5:$D$5004,$Q$7,Data!$E$5:$E$5004,$Q$8,Data!$F$5:$F$5004,$Q$9,Data!$G$5:$G$5004,$Q$10,Data!$C$5:$C$5004,$B17)+ExOn*SUMIFS(مثال_Example!$Q$5:$Q$804,مثال_Example!$B$5:$B$804,$Q$6,مثال_Example!$D$5:$D$804,$Q$7,مثال_Example!$E$5:$E$804,$Q$8,مثال_Example!$F$5:$F$804,$Q$9,مثال_Example!$G$5:$G$804,$Q$10,مثال_Example!$C$5:$C$804,$B17)))</f>
        <v>0</v>
      </c>
      <c r="F17" s="39" t="n">
        <f aca="false">IF($B17="","",(SUMIFS(Data!$R$5:$R$5004,Data!$B$5:$B$5004,$Q$6,Data!$D$5:$D$5004,$Q$7,Data!$E$5:$E$5004,$Q$8,Data!$F$5:$F$5004,$Q$9,Data!$G$5:$G$5004,$Q$10,Data!$C$5:$C$5004,$B17)+ExOn*SUMIFS(مثال_Example!$R$5:$R$804,مثال_Example!$B$5:$B$804,$Q$6,مثال_Example!$D$5:$D$804,$Q$7,مثال_Example!$E$5:$E$804,$Q$8,مثال_Example!$F$5:$F$804,$Q$9,مثال_Example!$G$5:$G$804,$Q$10,مثال_Example!$C$5:$C$804,$B17)))</f>
        <v>0</v>
      </c>
      <c r="G17" s="40" t="str">
        <f aca="false">IF($B17="","",IF($E17=0,"—",F17/$E17))</f>
        <v>—</v>
      </c>
      <c r="H17" s="39" t="n">
        <f aca="false">IF($B17="","",(SUMIFS(Data!$S$5:$S$5004,Data!$B$5:$B$5004,$Q$6,Data!$D$5:$D$5004,$Q$7,Data!$E$5:$E$5004,$Q$8,Data!$F$5:$F$5004,$Q$9,Data!$G$5:$G$5004,$Q$10,Data!$C$5:$C$5004,$B17)+ExOn*SUMIFS(مثال_Example!$S$5:$S$804,مثال_Example!$B$5:$B$804,$Q$6,مثال_Example!$D$5:$D$804,$Q$7,مثال_Example!$E$5:$E$804,$Q$8,مثال_Example!$F$5:$F$804,$Q$9,مثال_Example!$G$5:$G$804,$Q$10,مثال_Example!$C$5:$C$804,$B17)))</f>
        <v>0</v>
      </c>
      <c r="I17" s="40" t="str">
        <f aca="false">IF($B17="","",IF($E17=0,"—",H17/$E17))</f>
        <v>—</v>
      </c>
      <c r="J17" s="42" t="str">
        <f aca="false">IF($B17="","",IF($E17=0,"لا توجد بيانات",IF(ROUND(F17/E17,10)&lt;=KeyA_VW,"Very Weak",IF(ROUND(F17/E17,10)&lt;KeyA_Weak,"Weak",IF(ROUND(H17/E17,10)&lt;KeyA_Acc,"Acceptable",IF(ROUND(H17/E17,10)&lt;=KeyA_Good,"Good",IF(ROUND(H17/E17,10)&lt;KeyA_Out,"Very Good","Outstanding")))))))</f>
        <v>لا توجد بيانات</v>
      </c>
      <c r="K17" s="39" t="n">
        <f aca="false">IF($B17="","",(SUMIFS(Data!$T$5:$T$5004,Data!$B$5:$B$5004,$Q$6,Data!$D$5:$D$5004,$Q$7,Data!$E$5:$E$5004,$Q$8,Data!$F$5:$F$5004,$Q$9,Data!$G$5:$G$5004,$Q$10,Data!$C$5:$C$5004,$B17)+ExOn*SUMIFS(مثال_Example!$T$5:$T$804,مثال_Example!$B$5:$B$804,$Q$6,مثال_Example!$D$5:$D$804,$Q$7,مثال_Example!$E$5:$E$804,$Q$8,مثال_Example!$F$5:$F$804,$Q$9,مثال_Example!$G$5:$G$804,$Q$10,مثال_Example!$C$5:$C$804,$B17))+(SUMIFS(Data!$U$5:$U$5004,Data!$B$5:$B$5004,$Q$6,Data!$D$5:$D$5004,$Q$7,Data!$E$5:$E$5004,$Q$8,Data!$F$5:$F$5004,$Q$9,Data!$G$5:$G$5004,$Q$10,Data!$C$5:$C$5004,$B17)+ExOn*SUMIFS(مثال_Example!$U$5:$U$804,مثال_Example!$B$5:$B$804,$Q$6,مثال_Example!$D$5:$D$804,$Q$7,مثال_Example!$E$5:$E$804,$Q$8,مثال_Example!$F$5:$F$804,$Q$9,مثال_Example!$G$5:$G$804,$Q$10,مثال_Example!$C$5:$C$804,$B17))+(SUMIFS(Data!$V$5:$V$5004,Data!$B$5:$B$5004,$Q$6,Data!$D$5:$D$5004,$Q$7,Data!$E$5:$E$5004,$Q$8,Data!$F$5:$F$5004,$Q$9,Data!$G$5:$G$5004,$Q$10,Data!$C$5:$C$5004,$B17)+ExOn*SUMIFS(مثال_Example!$V$5:$V$804,مثال_Example!$B$5:$B$804,$Q$6,مثال_Example!$D$5:$D$804,$Q$7,مثال_Example!$E$5:$E$804,$Q$8,مثال_Example!$F$5:$F$804,$Q$9,مثال_Example!$G$5:$G$804,$Q$10,مثال_Example!$C$5:$C$804,$B17)))</f>
        <v>0</v>
      </c>
      <c r="L17" s="39" t="n">
        <f aca="false">IF($B17="","",(SUMIFS(Data!$V$5:$V$5004,Data!$B$5:$B$5004,$Q$6,Data!$D$5:$D$5004,$Q$7,Data!$E$5:$E$5004,$Q$8,Data!$F$5:$F$5004,$Q$9,Data!$G$5:$G$5004,$Q$10,Data!$C$5:$C$5004,$B17)+ExOn*SUMIFS(مثال_Example!$V$5:$V$804,مثال_Example!$B$5:$B$804,$Q$6,مثال_Example!$D$5:$D$804,$Q$7,مثال_Example!$E$5:$E$804,$Q$8,مثال_Example!$F$5:$F$804,$Q$9,مثال_Example!$G$5:$G$804,$Q$10,مثال_Example!$C$5:$C$804,$B17)))</f>
        <v>0</v>
      </c>
      <c r="M17" s="40" t="str">
        <f aca="false">IF($B17="","",IF($K17=0,"—",L17/$K17))</f>
        <v>—</v>
      </c>
      <c r="N17" s="40" t="str">
        <f aca="false">IF($B17="","",IF($K17=0,"—",((SUMIFS(Data!$U$5:$U$5004,Data!$B$5:$B$5004,$Q$6,Data!$D$5:$D$5004,$Q$7,Data!$E$5:$E$5004,$Q$8,Data!$F$5:$F$5004,$Q$9,Data!$G$5:$G$5004,$Q$10,Data!$C$5:$C$5004,$B17)+ExOn*SUMIFS(مثال_Example!$U$5:$U$804,مثال_Example!$B$5:$B$804,$Q$6,مثال_Example!$D$5:$D$804,$Q$7,مثال_Example!$E$5:$E$804,$Q$8,مثال_Example!$F$5:$F$804,$Q$9,مثال_Example!$G$5:$G$804,$Q$10,مثال_Example!$C$5:$C$804,$B17))+L17)/$K17))</f>
        <v>—</v>
      </c>
      <c r="O17" s="42" t="str">
        <f aca="false">IF($B17="","",IF($K17=0,"لا توجد بيانات",IF(ROUND((((SUMIFS(Data!$U$5:$U$5004,Data!$B$5:$B$5004,$Q$6,Data!$D$5:$D$5004,$Q$7,Data!$E$5:$E$5004,$Q$8,Data!$F$5:$F$5004,$Q$9,Data!$G$5:$G$5004,$Q$10,Data!$C$5:$C$5004,$B17)+ExOn*SUMIFS(مثال_Example!$U$5:$U$804,مثال_Example!$B$5:$B$804,$Q$6,مثال_Example!$D$5:$D$804,$Q$7,مثال_Example!$E$5:$E$804,$Q$8,مثال_Example!$F$5:$F$804,$Q$9,مثال_Example!$G$5:$G$804,$Q$10,مثال_Example!$C$5:$C$804,$B17)))+L17)/K17,10)&lt;=KeyP_VW,"Very Weak",IF(ROUND((((SUMIFS(Data!$U$5:$U$5004,Data!$B$5:$B$5004,$Q$6,Data!$D$5:$D$5004,$Q$7,Data!$E$5:$E$5004,$Q$8,Data!$F$5:$F$5004,$Q$9,Data!$G$5:$G$5004,$Q$10,Data!$C$5:$C$5004,$B17)+ExOn*SUMIFS(مثال_Example!$U$5:$U$804,مثال_Example!$B$5:$B$804,$Q$6,مثال_Example!$D$5:$D$804,$Q$7,مثال_Example!$E$5:$E$804,$Q$8,مثال_Example!$F$5:$F$804,$Q$9,مثال_Example!$G$5:$G$804,$Q$10,مثال_Example!$C$5:$C$804,$B17)))+L17)/K17,10)&lt;KeyP_Weak,"Weak",IF(ROUND(L17/K17,10)&lt;KeyP_Acc,"Acceptable",IF(ROUND(L17/K17,10)&lt;=KeyP_Good,"Good",IF(ROUND(L17/K17,10)&lt;KeyP_Out,"Very Good","Outstanding")))))))</f>
        <v>لا توجد بيانات</v>
      </c>
      <c r="P17" s="1"/>
    </row>
    <row r="18" customFormat="false" ht="15" hidden="false" customHeight="false" outlineLevel="0" collapsed="false">
      <c r="A18" s="1"/>
      <c r="B18" s="51" t="str">
        <f aca="false">IF(Teachers!C14="","",Teachers!C14)</f>
        <v>Mr Elsaid A Eltantawi</v>
      </c>
      <c r="C18" s="42" t="str">
        <f aca="false">IF($B18="","",Teachers!D14)</f>
        <v>Aa</v>
      </c>
      <c r="D18" s="42" t="n">
        <f aca="false">IF($B18="","",Teachers!F14)</f>
        <v>7</v>
      </c>
      <c r="E18" s="39" t="n">
        <f aca="false">IF($B18="","",(SUMIFS(Data!$Q$5:$Q$5004,Data!$B$5:$B$5004,$Q$6,Data!$D$5:$D$5004,$Q$7,Data!$E$5:$E$5004,$Q$8,Data!$F$5:$F$5004,$Q$9,Data!$G$5:$G$5004,$Q$10,Data!$C$5:$C$5004,$B18)+ExOn*SUMIFS(مثال_Example!$Q$5:$Q$804,مثال_Example!$B$5:$B$804,$Q$6,مثال_Example!$D$5:$D$804,$Q$7,مثال_Example!$E$5:$E$804,$Q$8,مثال_Example!$F$5:$F$804,$Q$9,مثال_Example!$G$5:$G$804,$Q$10,مثال_Example!$C$5:$C$804,$B18)))</f>
        <v>0</v>
      </c>
      <c r="F18" s="39" t="n">
        <f aca="false">IF($B18="","",(SUMIFS(Data!$R$5:$R$5004,Data!$B$5:$B$5004,$Q$6,Data!$D$5:$D$5004,$Q$7,Data!$E$5:$E$5004,$Q$8,Data!$F$5:$F$5004,$Q$9,Data!$G$5:$G$5004,$Q$10,Data!$C$5:$C$5004,$B18)+ExOn*SUMIFS(مثال_Example!$R$5:$R$804,مثال_Example!$B$5:$B$804,$Q$6,مثال_Example!$D$5:$D$804,$Q$7,مثال_Example!$E$5:$E$804,$Q$8,مثال_Example!$F$5:$F$804,$Q$9,مثال_Example!$G$5:$G$804,$Q$10,مثال_Example!$C$5:$C$804,$B18)))</f>
        <v>0</v>
      </c>
      <c r="G18" s="40" t="str">
        <f aca="false">IF($B18="","",IF($E18=0,"—",F18/$E18))</f>
        <v>—</v>
      </c>
      <c r="H18" s="39" t="n">
        <f aca="false">IF($B18="","",(SUMIFS(Data!$S$5:$S$5004,Data!$B$5:$B$5004,$Q$6,Data!$D$5:$D$5004,$Q$7,Data!$E$5:$E$5004,$Q$8,Data!$F$5:$F$5004,$Q$9,Data!$G$5:$G$5004,$Q$10,Data!$C$5:$C$5004,$B18)+ExOn*SUMIFS(مثال_Example!$S$5:$S$804,مثال_Example!$B$5:$B$804,$Q$6,مثال_Example!$D$5:$D$804,$Q$7,مثال_Example!$E$5:$E$804,$Q$8,مثال_Example!$F$5:$F$804,$Q$9,مثال_Example!$G$5:$G$804,$Q$10,مثال_Example!$C$5:$C$804,$B18)))</f>
        <v>0</v>
      </c>
      <c r="I18" s="40" t="str">
        <f aca="false">IF($B18="","",IF($E18=0,"—",H18/$E18))</f>
        <v>—</v>
      </c>
      <c r="J18" s="42" t="str">
        <f aca="false">IF($B18="","",IF($E18=0,"لا توجد بيانات",IF(ROUND(F18/E18,10)&lt;=KeyA_VW,"Very Weak",IF(ROUND(F18/E18,10)&lt;KeyA_Weak,"Weak",IF(ROUND(H18/E18,10)&lt;KeyA_Acc,"Acceptable",IF(ROUND(H18/E18,10)&lt;=KeyA_Good,"Good",IF(ROUND(H18/E18,10)&lt;KeyA_Out,"Very Good","Outstanding")))))))</f>
        <v>لا توجد بيانات</v>
      </c>
      <c r="K18" s="39" t="n">
        <f aca="false">IF($B18="","",(SUMIFS(Data!$T$5:$T$5004,Data!$B$5:$B$5004,$Q$6,Data!$D$5:$D$5004,$Q$7,Data!$E$5:$E$5004,$Q$8,Data!$F$5:$F$5004,$Q$9,Data!$G$5:$G$5004,$Q$10,Data!$C$5:$C$5004,$B18)+ExOn*SUMIFS(مثال_Example!$T$5:$T$804,مثال_Example!$B$5:$B$804,$Q$6,مثال_Example!$D$5:$D$804,$Q$7,مثال_Example!$E$5:$E$804,$Q$8,مثال_Example!$F$5:$F$804,$Q$9,مثال_Example!$G$5:$G$804,$Q$10,مثال_Example!$C$5:$C$804,$B18))+(SUMIFS(Data!$U$5:$U$5004,Data!$B$5:$B$5004,$Q$6,Data!$D$5:$D$5004,$Q$7,Data!$E$5:$E$5004,$Q$8,Data!$F$5:$F$5004,$Q$9,Data!$G$5:$G$5004,$Q$10,Data!$C$5:$C$5004,$B18)+ExOn*SUMIFS(مثال_Example!$U$5:$U$804,مثال_Example!$B$5:$B$804,$Q$6,مثال_Example!$D$5:$D$804,$Q$7,مثال_Example!$E$5:$E$804,$Q$8,مثال_Example!$F$5:$F$804,$Q$9,مثال_Example!$G$5:$G$804,$Q$10,مثال_Example!$C$5:$C$804,$B18))+(SUMIFS(Data!$V$5:$V$5004,Data!$B$5:$B$5004,$Q$6,Data!$D$5:$D$5004,$Q$7,Data!$E$5:$E$5004,$Q$8,Data!$F$5:$F$5004,$Q$9,Data!$G$5:$G$5004,$Q$10,Data!$C$5:$C$5004,$B18)+ExOn*SUMIFS(مثال_Example!$V$5:$V$804,مثال_Example!$B$5:$B$804,$Q$6,مثال_Example!$D$5:$D$804,$Q$7,مثال_Example!$E$5:$E$804,$Q$8,مثال_Example!$F$5:$F$804,$Q$9,مثال_Example!$G$5:$G$804,$Q$10,مثال_Example!$C$5:$C$804,$B18)))</f>
        <v>0</v>
      </c>
      <c r="L18" s="39" t="n">
        <f aca="false">IF($B18="","",(SUMIFS(Data!$V$5:$V$5004,Data!$B$5:$B$5004,$Q$6,Data!$D$5:$D$5004,$Q$7,Data!$E$5:$E$5004,$Q$8,Data!$F$5:$F$5004,$Q$9,Data!$G$5:$G$5004,$Q$10,Data!$C$5:$C$5004,$B18)+ExOn*SUMIFS(مثال_Example!$V$5:$V$804,مثال_Example!$B$5:$B$804,$Q$6,مثال_Example!$D$5:$D$804,$Q$7,مثال_Example!$E$5:$E$804,$Q$8,مثال_Example!$F$5:$F$804,$Q$9,مثال_Example!$G$5:$G$804,$Q$10,مثال_Example!$C$5:$C$804,$B18)))</f>
        <v>0</v>
      </c>
      <c r="M18" s="40" t="str">
        <f aca="false">IF($B18="","",IF($K18=0,"—",L18/$K18))</f>
        <v>—</v>
      </c>
      <c r="N18" s="40" t="str">
        <f aca="false">IF($B18="","",IF($K18=0,"—",((SUMIFS(Data!$U$5:$U$5004,Data!$B$5:$B$5004,$Q$6,Data!$D$5:$D$5004,$Q$7,Data!$E$5:$E$5004,$Q$8,Data!$F$5:$F$5004,$Q$9,Data!$G$5:$G$5004,$Q$10,Data!$C$5:$C$5004,$B18)+ExOn*SUMIFS(مثال_Example!$U$5:$U$804,مثال_Example!$B$5:$B$804,$Q$6,مثال_Example!$D$5:$D$804,$Q$7,مثال_Example!$E$5:$E$804,$Q$8,مثال_Example!$F$5:$F$804,$Q$9,مثال_Example!$G$5:$G$804,$Q$10,مثال_Example!$C$5:$C$804,$B18))+L18)/$K18))</f>
        <v>—</v>
      </c>
      <c r="O18" s="42" t="str">
        <f aca="false">IF($B18="","",IF($K18=0,"لا توجد بيانات",IF(ROUND((((SUMIFS(Data!$U$5:$U$5004,Data!$B$5:$B$5004,$Q$6,Data!$D$5:$D$5004,$Q$7,Data!$E$5:$E$5004,$Q$8,Data!$F$5:$F$5004,$Q$9,Data!$G$5:$G$5004,$Q$10,Data!$C$5:$C$5004,$B18)+ExOn*SUMIFS(مثال_Example!$U$5:$U$804,مثال_Example!$B$5:$B$804,$Q$6,مثال_Example!$D$5:$D$804,$Q$7,مثال_Example!$E$5:$E$804,$Q$8,مثال_Example!$F$5:$F$804,$Q$9,مثال_Example!$G$5:$G$804,$Q$10,مثال_Example!$C$5:$C$804,$B18)))+L18)/K18,10)&lt;=KeyP_VW,"Very Weak",IF(ROUND((((SUMIFS(Data!$U$5:$U$5004,Data!$B$5:$B$5004,$Q$6,Data!$D$5:$D$5004,$Q$7,Data!$E$5:$E$5004,$Q$8,Data!$F$5:$F$5004,$Q$9,Data!$G$5:$G$5004,$Q$10,Data!$C$5:$C$5004,$B18)+ExOn*SUMIFS(مثال_Example!$U$5:$U$804,مثال_Example!$B$5:$B$804,$Q$6,مثال_Example!$D$5:$D$804,$Q$7,مثال_Example!$E$5:$E$804,$Q$8,مثال_Example!$F$5:$F$804,$Q$9,مثال_Example!$G$5:$G$804,$Q$10,مثال_Example!$C$5:$C$804,$B18)))+L18)/K18,10)&lt;KeyP_Weak,"Weak",IF(ROUND(L18/K18,10)&lt;KeyP_Acc,"Acceptable",IF(ROUND(L18/K18,10)&lt;=KeyP_Good,"Good",IF(ROUND(L18/K18,10)&lt;KeyP_Out,"Very Good","Outstanding")))))))</f>
        <v>لا توجد بيانات</v>
      </c>
      <c r="P18" s="1"/>
    </row>
    <row r="19" customFormat="false" ht="15" hidden="false" customHeight="false" outlineLevel="0" collapsed="false">
      <c r="A19" s="1"/>
      <c r="B19" s="51" t="str">
        <f aca="false">IF(Teachers!C15="","",Teachers!C15)</f>
        <v>Ms Eman Rabea</v>
      </c>
      <c r="C19" s="42" t="str">
        <f aca="false">IF($B19="","",Teachers!D15)</f>
        <v>Aa</v>
      </c>
      <c r="D19" s="42" t="n">
        <f aca="false">IF($B19="","",Teachers!F15)</f>
        <v>4</v>
      </c>
      <c r="E19" s="39" t="n">
        <f aca="false">IF($B19="","",(SUMIFS(Data!$Q$5:$Q$5004,Data!$B$5:$B$5004,$Q$6,Data!$D$5:$D$5004,$Q$7,Data!$E$5:$E$5004,$Q$8,Data!$F$5:$F$5004,$Q$9,Data!$G$5:$G$5004,$Q$10,Data!$C$5:$C$5004,$B19)+ExOn*SUMIFS(مثال_Example!$Q$5:$Q$804,مثال_Example!$B$5:$B$804,$Q$6,مثال_Example!$D$5:$D$804,$Q$7,مثال_Example!$E$5:$E$804,$Q$8,مثال_Example!$F$5:$F$804,$Q$9,مثال_Example!$G$5:$G$804,$Q$10,مثال_Example!$C$5:$C$804,$B19)))</f>
        <v>0</v>
      </c>
      <c r="F19" s="39" t="n">
        <f aca="false">IF($B19="","",(SUMIFS(Data!$R$5:$R$5004,Data!$B$5:$B$5004,$Q$6,Data!$D$5:$D$5004,$Q$7,Data!$E$5:$E$5004,$Q$8,Data!$F$5:$F$5004,$Q$9,Data!$G$5:$G$5004,$Q$10,Data!$C$5:$C$5004,$B19)+ExOn*SUMIFS(مثال_Example!$R$5:$R$804,مثال_Example!$B$5:$B$804,$Q$6,مثال_Example!$D$5:$D$804,$Q$7,مثال_Example!$E$5:$E$804,$Q$8,مثال_Example!$F$5:$F$804,$Q$9,مثال_Example!$G$5:$G$804,$Q$10,مثال_Example!$C$5:$C$804,$B19)))</f>
        <v>0</v>
      </c>
      <c r="G19" s="40" t="str">
        <f aca="false">IF($B19="","",IF($E19=0,"—",F19/$E19))</f>
        <v>—</v>
      </c>
      <c r="H19" s="39" t="n">
        <f aca="false">IF($B19="","",(SUMIFS(Data!$S$5:$S$5004,Data!$B$5:$B$5004,$Q$6,Data!$D$5:$D$5004,$Q$7,Data!$E$5:$E$5004,$Q$8,Data!$F$5:$F$5004,$Q$9,Data!$G$5:$G$5004,$Q$10,Data!$C$5:$C$5004,$B19)+ExOn*SUMIFS(مثال_Example!$S$5:$S$804,مثال_Example!$B$5:$B$804,$Q$6,مثال_Example!$D$5:$D$804,$Q$7,مثال_Example!$E$5:$E$804,$Q$8,مثال_Example!$F$5:$F$804,$Q$9,مثال_Example!$G$5:$G$804,$Q$10,مثال_Example!$C$5:$C$804,$B19)))</f>
        <v>0</v>
      </c>
      <c r="I19" s="40" t="str">
        <f aca="false">IF($B19="","",IF($E19=0,"—",H19/$E19))</f>
        <v>—</v>
      </c>
      <c r="J19" s="42" t="str">
        <f aca="false">IF($B19="","",IF($E19=0,"لا توجد بيانات",IF(ROUND(F19/E19,10)&lt;=KeyA_VW,"Very Weak",IF(ROUND(F19/E19,10)&lt;KeyA_Weak,"Weak",IF(ROUND(H19/E19,10)&lt;KeyA_Acc,"Acceptable",IF(ROUND(H19/E19,10)&lt;=KeyA_Good,"Good",IF(ROUND(H19/E19,10)&lt;KeyA_Out,"Very Good","Outstanding")))))))</f>
        <v>لا توجد بيانات</v>
      </c>
      <c r="K19" s="39" t="n">
        <f aca="false">IF($B19="","",(SUMIFS(Data!$T$5:$T$5004,Data!$B$5:$B$5004,$Q$6,Data!$D$5:$D$5004,$Q$7,Data!$E$5:$E$5004,$Q$8,Data!$F$5:$F$5004,$Q$9,Data!$G$5:$G$5004,$Q$10,Data!$C$5:$C$5004,$B19)+ExOn*SUMIFS(مثال_Example!$T$5:$T$804,مثال_Example!$B$5:$B$804,$Q$6,مثال_Example!$D$5:$D$804,$Q$7,مثال_Example!$E$5:$E$804,$Q$8,مثال_Example!$F$5:$F$804,$Q$9,مثال_Example!$G$5:$G$804,$Q$10,مثال_Example!$C$5:$C$804,$B19))+(SUMIFS(Data!$U$5:$U$5004,Data!$B$5:$B$5004,$Q$6,Data!$D$5:$D$5004,$Q$7,Data!$E$5:$E$5004,$Q$8,Data!$F$5:$F$5004,$Q$9,Data!$G$5:$G$5004,$Q$10,Data!$C$5:$C$5004,$B19)+ExOn*SUMIFS(مثال_Example!$U$5:$U$804,مثال_Example!$B$5:$B$804,$Q$6,مثال_Example!$D$5:$D$804,$Q$7,مثال_Example!$E$5:$E$804,$Q$8,مثال_Example!$F$5:$F$804,$Q$9,مثال_Example!$G$5:$G$804,$Q$10,مثال_Example!$C$5:$C$804,$B19))+(SUMIFS(Data!$V$5:$V$5004,Data!$B$5:$B$5004,$Q$6,Data!$D$5:$D$5004,$Q$7,Data!$E$5:$E$5004,$Q$8,Data!$F$5:$F$5004,$Q$9,Data!$G$5:$G$5004,$Q$10,Data!$C$5:$C$5004,$B19)+ExOn*SUMIFS(مثال_Example!$V$5:$V$804,مثال_Example!$B$5:$B$804,$Q$6,مثال_Example!$D$5:$D$804,$Q$7,مثال_Example!$E$5:$E$804,$Q$8,مثال_Example!$F$5:$F$804,$Q$9,مثال_Example!$G$5:$G$804,$Q$10,مثال_Example!$C$5:$C$804,$B19)))</f>
        <v>0</v>
      </c>
      <c r="L19" s="39" t="n">
        <f aca="false">IF($B19="","",(SUMIFS(Data!$V$5:$V$5004,Data!$B$5:$B$5004,$Q$6,Data!$D$5:$D$5004,$Q$7,Data!$E$5:$E$5004,$Q$8,Data!$F$5:$F$5004,$Q$9,Data!$G$5:$G$5004,$Q$10,Data!$C$5:$C$5004,$B19)+ExOn*SUMIFS(مثال_Example!$V$5:$V$804,مثال_Example!$B$5:$B$804,$Q$6,مثال_Example!$D$5:$D$804,$Q$7,مثال_Example!$E$5:$E$804,$Q$8,مثال_Example!$F$5:$F$804,$Q$9,مثال_Example!$G$5:$G$804,$Q$10,مثال_Example!$C$5:$C$804,$B19)))</f>
        <v>0</v>
      </c>
      <c r="M19" s="40" t="str">
        <f aca="false">IF($B19="","",IF($K19=0,"—",L19/$K19))</f>
        <v>—</v>
      </c>
      <c r="N19" s="40" t="str">
        <f aca="false">IF($B19="","",IF($K19=0,"—",((SUMIFS(Data!$U$5:$U$5004,Data!$B$5:$B$5004,$Q$6,Data!$D$5:$D$5004,$Q$7,Data!$E$5:$E$5004,$Q$8,Data!$F$5:$F$5004,$Q$9,Data!$G$5:$G$5004,$Q$10,Data!$C$5:$C$5004,$B19)+ExOn*SUMIFS(مثال_Example!$U$5:$U$804,مثال_Example!$B$5:$B$804,$Q$6,مثال_Example!$D$5:$D$804,$Q$7,مثال_Example!$E$5:$E$804,$Q$8,مثال_Example!$F$5:$F$804,$Q$9,مثال_Example!$G$5:$G$804,$Q$10,مثال_Example!$C$5:$C$804,$B19))+L19)/$K19))</f>
        <v>—</v>
      </c>
      <c r="O19" s="42" t="str">
        <f aca="false">IF($B19="","",IF($K19=0,"لا توجد بيانات",IF(ROUND((((SUMIFS(Data!$U$5:$U$5004,Data!$B$5:$B$5004,$Q$6,Data!$D$5:$D$5004,$Q$7,Data!$E$5:$E$5004,$Q$8,Data!$F$5:$F$5004,$Q$9,Data!$G$5:$G$5004,$Q$10,Data!$C$5:$C$5004,$B19)+ExOn*SUMIFS(مثال_Example!$U$5:$U$804,مثال_Example!$B$5:$B$804,$Q$6,مثال_Example!$D$5:$D$804,$Q$7,مثال_Example!$E$5:$E$804,$Q$8,مثال_Example!$F$5:$F$804,$Q$9,مثال_Example!$G$5:$G$804,$Q$10,مثال_Example!$C$5:$C$804,$B19)))+L19)/K19,10)&lt;=KeyP_VW,"Very Weak",IF(ROUND((((SUMIFS(Data!$U$5:$U$5004,Data!$B$5:$B$5004,$Q$6,Data!$D$5:$D$5004,$Q$7,Data!$E$5:$E$5004,$Q$8,Data!$F$5:$F$5004,$Q$9,Data!$G$5:$G$5004,$Q$10,Data!$C$5:$C$5004,$B19)+ExOn*SUMIFS(مثال_Example!$U$5:$U$804,مثال_Example!$B$5:$B$804,$Q$6,مثال_Example!$D$5:$D$804,$Q$7,مثال_Example!$E$5:$E$804,$Q$8,مثال_Example!$F$5:$F$804,$Q$9,مثال_Example!$G$5:$G$804,$Q$10,مثال_Example!$C$5:$C$804,$B19)))+L19)/K19,10)&lt;KeyP_Weak,"Weak",IF(ROUND(L19/K19,10)&lt;KeyP_Acc,"Acceptable",IF(ROUND(L19/K19,10)&lt;=KeyP_Good,"Good",IF(ROUND(L19/K19,10)&lt;KeyP_Out,"Very Good","Outstanding")))))))</f>
        <v>لا توجد بيانات</v>
      </c>
      <c r="P19" s="1"/>
    </row>
    <row r="20" customFormat="false" ht="15" hidden="false" customHeight="false" outlineLevel="0" collapsed="false">
      <c r="A20" s="1"/>
      <c r="B20" s="51" t="str">
        <f aca="false">IF(Teachers!C16="","",Teachers!C16)</f>
        <v>Mr Helmi Abdelgawad</v>
      </c>
      <c r="C20" s="42" t="str">
        <f aca="false">IF($B20="","",Teachers!D16)</f>
        <v>Aa</v>
      </c>
      <c r="D20" s="42" t="n">
        <f aca="false">IF($B20="","",Teachers!F16)</f>
        <v>4</v>
      </c>
      <c r="E20" s="39" t="n">
        <f aca="false">IF($B20="","",(SUMIFS(Data!$Q$5:$Q$5004,Data!$B$5:$B$5004,$Q$6,Data!$D$5:$D$5004,$Q$7,Data!$E$5:$E$5004,$Q$8,Data!$F$5:$F$5004,$Q$9,Data!$G$5:$G$5004,$Q$10,Data!$C$5:$C$5004,$B20)+ExOn*SUMIFS(مثال_Example!$Q$5:$Q$804,مثال_Example!$B$5:$B$804,$Q$6,مثال_Example!$D$5:$D$804,$Q$7,مثال_Example!$E$5:$E$804,$Q$8,مثال_Example!$F$5:$F$804,$Q$9,مثال_Example!$G$5:$G$804,$Q$10,مثال_Example!$C$5:$C$804,$B20)))</f>
        <v>0</v>
      </c>
      <c r="F20" s="39" t="n">
        <f aca="false">IF($B20="","",(SUMIFS(Data!$R$5:$R$5004,Data!$B$5:$B$5004,$Q$6,Data!$D$5:$D$5004,$Q$7,Data!$E$5:$E$5004,$Q$8,Data!$F$5:$F$5004,$Q$9,Data!$G$5:$G$5004,$Q$10,Data!$C$5:$C$5004,$B20)+ExOn*SUMIFS(مثال_Example!$R$5:$R$804,مثال_Example!$B$5:$B$804,$Q$6,مثال_Example!$D$5:$D$804,$Q$7,مثال_Example!$E$5:$E$804,$Q$8,مثال_Example!$F$5:$F$804,$Q$9,مثال_Example!$G$5:$G$804,$Q$10,مثال_Example!$C$5:$C$804,$B20)))</f>
        <v>0</v>
      </c>
      <c r="G20" s="40" t="str">
        <f aca="false">IF($B20="","",IF($E20=0,"—",F20/$E20))</f>
        <v>—</v>
      </c>
      <c r="H20" s="39" t="n">
        <f aca="false">IF($B20="","",(SUMIFS(Data!$S$5:$S$5004,Data!$B$5:$B$5004,$Q$6,Data!$D$5:$D$5004,$Q$7,Data!$E$5:$E$5004,$Q$8,Data!$F$5:$F$5004,$Q$9,Data!$G$5:$G$5004,$Q$10,Data!$C$5:$C$5004,$B20)+ExOn*SUMIFS(مثال_Example!$S$5:$S$804,مثال_Example!$B$5:$B$804,$Q$6,مثال_Example!$D$5:$D$804,$Q$7,مثال_Example!$E$5:$E$804,$Q$8,مثال_Example!$F$5:$F$804,$Q$9,مثال_Example!$G$5:$G$804,$Q$10,مثال_Example!$C$5:$C$804,$B20)))</f>
        <v>0</v>
      </c>
      <c r="I20" s="40" t="str">
        <f aca="false">IF($B20="","",IF($E20=0,"—",H20/$E20))</f>
        <v>—</v>
      </c>
      <c r="J20" s="42" t="str">
        <f aca="false">IF($B20="","",IF($E20=0,"لا توجد بيانات",IF(ROUND(F20/E20,10)&lt;=KeyA_VW,"Very Weak",IF(ROUND(F20/E20,10)&lt;KeyA_Weak,"Weak",IF(ROUND(H20/E20,10)&lt;KeyA_Acc,"Acceptable",IF(ROUND(H20/E20,10)&lt;=KeyA_Good,"Good",IF(ROUND(H20/E20,10)&lt;KeyA_Out,"Very Good","Outstanding")))))))</f>
        <v>لا توجد بيانات</v>
      </c>
      <c r="K20" s="39" t="n">
        <f aca="false">IF($B20="","",(SUMIFS(Data!$T$5:$T$5004,Data!$B$5:$B$5004,$Q$6,Data!$D$5:$D$5004,$Q$7,Data!$E$5:$E$5004,$Q$8,Data!$F$5:$F$5004,$Q$9,Data!$G$5:$G$5004,$Q$10,Data!$C$5:$C$5004,$B20)+ExOn*SUMIFS(مثال_Example!$T$5:$T$804,مثال_Example!$B$5:$B$804,$Q$6,مثال_Example!$D$5:$D$804,$Q$7,مثال_Example!$E$5:$E$804,$Q$8,مثال_Example!$F$5:$F$804,$Q$9,مثال_Example!$G$5:$G$804,$Q$10,مثال_Example!$C$5:$C$804,$B20))+(SUMIFS(Data!$U$5:$U$5004,Data!$B$5:$B$5004,$Q$6,Data!$D$5:$D$5004,$Q$7,Data!$E$5:$E$5004,$Q$8,Data!$F$5:$F$5004,$Q$9,Data!$G$5:$G$5004,$Q$10,Data!$C$5:$C$5004,$B20)+ExOn*SUMIFS(مثال_Example!$U$5:$U$804,مثال_Example!$B$5:$B$804,$Q$6,مثال_Example!$D$5:$D$804,$Q$7,مثال_Example!$E$5:$E$804,$Q$8,مثال_Example!$F$5:$F$804,$Q$9,مثال_Example!$G$5:$G$804,$Q$10,مثال_Example!$C$5:$C$804,$B20))+(SUMIFS(Data!$V$5:$V$5004,Data!$B$5:$B$5004,$Q$6,Data!$D$5:$D$5004,$Q$7,Data!$E$5:$E$5004,$Q$8,Data!$F$5:$F$5004,$Q$9,Data!$G$5:$G$5004,$Q$10,Data!$C$5:$C$5004,$B20)+ExOn*SUMIFS(مثال_Example!$V$5:$V$804,مثال_Example!$B$5:$B$804,$Q$6,مثال_Example!$D$5:$D$804,$Q$7,مثال_Example!$E$5:$E$804,$Q$8,مثال_Example!$F$5:$F$804,$Q$9,مثال_Example!$G$5:$G$804,$Q$10,مثال_Example!$C$5:$C$804,$B20)))</f>
        <v>0</v>
      </c>
      <c r="L20" s="39" t="n">
        <f aca="false">IF($B20="","",(SUMIFS(Data!$V$5:$V$5004,Data!$B$5:$B$5004,$Q$6,Data!$D$5:$D$5004,$Q$7,Data!$E$5:$E$5004,$Q$8,Data!$F$5:$F$5004,$Q$9,Data!$G$5:$G$5004,$Q$10,Data!$C$5:$C$5004,$B20)+ExOn*SUMIFS(مثال_Example!$V$5:$V$804,مثال_Example!$B$5:$B$804,$Q$6,مثال_Example!$D$5:$D$804,$Q$7,مثال_Example!$E$5:$E$804,$Q$8,مثال_Example!$F$5:$F$804,$Q$9,مثال_Example!$G$5:$G$804,$Q$10,مثال_Example!$C$5:$C$804,$B20)))</f>
        <v>0</v>
      </c>
      <c r="M20" s="40" t="str">
        <f aca="false">IF($B20="","",IF($K20=0,"—",L20/$K20))</f>
        <v>—</v>
      </c>
      <c r="N20" s="40" t="str">
        <f aca="false">IF($B20="","",IF($K20=0,"—",((SUMIFS(Data!$U$5:$U$5004,Data!$B$5:$B$5004,$Q$6,Data!$D$5:$D$5004,$Q$7,Data!$E$5:$E$5004,$Q$8,Data!$F$5:$F$5004,$Q$9,Data!$G$5:$G$5004,$Q$10,Data!$C$5:$C$5004,$B20)+ExOn*SUMIFS(مثال_Example!$U$5:$U$804,مثال_Example!$B$5:$B$804,$Q$6,مثال_Example!$D$5:$D$804,$Q$7,مثال_Example!$E$5:$E$804,$Q$8,مثال_Example!$F$5:$F$804,$Q$9,مثال_Example!$G$5:$G$804,$Q$10,مثال_Example!$C$5:$C$804,$B20))+L20)/$K20))</f>
        <v>—</v>
      </c>
      <c r="O20" s="42" t="str">
        <f aca="false">IF($B20="","",IF($K20=0,"لا توجد بيانات",IF(ROUND((((SUMIFS(Data!$U$5:$U$5004,Data!$B$5:$B$5004,$Q$6,Data!$D$5:$D$5004,$Q$7,Data!$E$5:$E$5004,$Q$8,Data!$F$5:$F$5004,$Q$9,Data!$G$5:$G$5004,$Q$10,Data!$C$5:$C$5004,$B20)+ExOn*SUMIFS(مثال_Example!$U$5:$U$804,مثال_Example!$B$5:$B$804,$Q$6,مثال_Example!$D$5:$D$804,$Q$7,مثال_Example!$E$5:$E$804,$Q$8,مثال_Example!$F$5:$F$804,$Q$9,مثال_Example!$G$5:$G$804,$Q$10,مثال_Example!$C$5:$C$804,$B20)))+L20)/K20,10)&lt;=KeyP_VW,"Very Weak",IF(ROUND((((SUMIFS(Data!$U$5:$U$5004,Data!$B$5:$B$5004,$Q$6,Data!$D$5:$D$5004,$Q$7,Data!$E$5:$E$5004,$Q$8,Data!$F$5:$F$5004,$Q$9,Data!$G$5:$G$5004,$Q$10,Data!$C$5:$C$5004,$B20)+ExOn*SUMIFS(مثال_Example!$U$5:$U$804,مثال_Example!$B$5:$B$804,$Q$6,مثال_Example!$D$5:$D$804,$Q$7,مثال_Example!$E$5:$E$804,$Q$8,مثال_Example!$F$5:$F$804,$Q$9,مثال_Example!$G$5:$G$804,$Q$10,مثال_Example!$C$5:$C$804,$B20)))+L20)/K20,10)&lt;KeyP_Weak,"Weak",IF(ROUND(L20/K20,10)&lt;KeyP_Acc,"Acceptable",IF(ROUND(L20/K20,10)&lt;=KeyP_Good,"Good",IF(ROUND(L20/K20,10)&lt;KeyP_Out,"Very Good","Outstanding")))))))</f>
        <v>لا توجد بيانات</v>
      </c>
      <c r="P20" s="1"/>
    </row>
    <row r="21" customFormat="false" ht="15" hidden="false" customHeight="false" outlineLevel="0" collapsed="false">
      <c r="A21" s="1"/>
      <c r="B21" s="51" t="str">
        <f aca="false">IF(Teachers!C17="","",Teachers!C17)</f>
        <v>Ms Hend Shaban</v>
      </c>
      <c r="C21" s="42" t="str">
        <f aca="false">IF($B21="","",Teachers!D17)</f>
        <v>Aa</v>
      </c>
      <c r="D21" s="42" t="n">
        <f aca="false">IF($B21="","",Teachers!F17)</f>
        <v>4</v>
      </c>
      <c r="E21" s="39" t="n">
        <f aca="false">IF($B21="","",(SUMIFS(Data!$Q$5:$Q$5004,Data!$B$5:$B$5004,$Q$6,Data!$D$5:$D$5004,$Q$7,Data!$E$5:$E$5004,$Q$8,Data!$F$5:$F$5004,$Q$9,Data!$G$5:$G$5004,$Q$10,Data!$C$5:$C$5004,$B21)+ExOn*SUMIFS(مثال_Example!$Q$5:$Q$804,مثال_Example!$B$5:$B$804,$Q$6,مثال_Example!$D$5:$D$804,$Q$7,مثال_Example!$E$5:$E$804,$Q$8,مثال_Example!$F$5:$F$804,$Q$9,مثال_Example!$G$5:$G$804,$Q$10,مثال_Example!$C$5:$C$804,$B21)))</f>
        <v>0</v>
      </c>
      <c r="F21" s="39" t="n">
        <f aca="false">IF($B21="","",(SUMIFS(Data!$R$5:$R$5004,Data!$B$5:$B$5004,$Q$6,Data!$D$5:$D$5004,$Q$7,Data!$E$5:$E$5004,$Q$8,Data!$F$5:$F$5004,$Q$9,Data!$G$5:$G$5004,$Q$10,Data!$C$5:$C$5004,$B21)+ExOn*SUMIFS(مثال_Example!$R$5:$R$804,مثال_Example!$B$5:$B$804,$Q$6,مثال_Example!$D$5:$D$804,$Q$7,مثال_Example!$E$5:$E$804,$Q$8,مثال_Example!$F$5:$F$804,$Q$9,مثال_Example!$G$5:$G$804,$Q$10,مثال_Example!$C$5:$C$804,$B21)))</f>
        <v>0</v>
      </c>
      <c r="G21" s="40" t="str">
        <f aca="false">IF($B21="","",IF($E21=0,"—",F21/$E21))</f>
        <v>—</v>
      </c>
      <c r="H21" s="39" t="n">
        <f aca="false">IF($B21="","",(SUMIFS(Data!$S$5:$S$5004,Data!$B$5:$B$5004,$Q$6,Data!$D$5:$D$5004,$Q$7,Data!$E$5:$E$5004,$Q$8,Data!$F$5:$F$5004,$Q$9,Data!$G$5:$G$5004,$Q$10,Data!$C$5:$C$5004,$B21)+ExOn*SUMIFS(مثال_Example!$S$5:$S$804,مثال_Example!$B$5:$B$804,$Q$6,مثال_Example!$D$5:$D$804,$Q$7,مثال_Example!$E$5:$E$804,$Q$8,مثال_Example!$F$5:$F$804,$Q$9,مثال_Example!$G$5:$G$804,$Q$10,مثال_Example!$C$5:$C$804,$B21)))</f>
        <v>0</v>
      </c>
      <c r="I21" s="40" t="str">
        <f aca="false">IF($B21="","",IF($E21=0,"—",H21/$E21))</f>
        <v>—</v>
      </c>
      <c r="J21" s="42" t="str">
        <f aca="false">IF($B21="","",IF($E21=0,"لا توجد بيانات",IF(ROUND(F21/E21,10)&lt;=KeyA_VW,"Very Weak",IF(ROUND(F21/E21,10)&lt;KeyA_Weak,"Weak",IF(ROUND(H21/E21,10)&lt;KeyA_Acc,"Acceptable",IF(ROUND(H21/E21,10)&lt;=KeyA_Good,"Good",IF(ROUND(H21/E21,10)&lt;KeyA_Out,"Very Good","Outstanding")))))))</f>
        <v>لا توجد بيانات</v>
      </c>
      <c r="K21" s="39" t="n">
        <f aca="false">IF($B21="","",(SUMIFS(Data!$T$5:$T$5004,Data!$B$5:$B$5004,$Q$6,Data!$D$5:$D$5004,$Q$7,Data!$E$5:$E$5004,$Q$8,Data!$F$5:$F$5004,$Q$9,Data!$G$5:$G$5004,$Q$10,Data!$C$5:$C$5004,$B21)+ExOn*SUMIFS(مثال_Example!$T$5:$T$804,مثال_Example!$B$5:$B$804,$Q$6,مثال_Example!$D$5:$D$804,$Q$7,مثال_Example!$E$5:$E$804,$Q$8,مثال_Example!$F$5:$F$804,$Q$9,مثال_Example!$G$5:$G$804,$Q$10,مثال_Example!$C$5:$C$804,$B21))+(SUMIFS(Data!$U$5:$U$5004,Data!$B$5:$B$5004,$Q$6,Data!$D$5:$D$5004,$Q$7,Data!$E$5:$E$5004,$Q$8,Data!$F$5:$F$5004,$Q$9,Data!$G$5:$G$5004,$Q$10,Data!$C$5:$C$5004,$B21)+ExOn*SUMIFS(مثال_Example!$U$5:$U$804,مثال_Example!$B$5:$B$804,$Q$6,مثال_Example!$D$5:$D$804,$Q$7,مثال_Example!$E$5:$E$804,$Q$8,مثال_Example!$F$5:$F$804,$Q$9,مثال_Example!$G$5:$G$804,$Q$10,مثال_Example!$C$5:$C$804,$B21))+(SUMIFS(Data!$V$5:$V$5004,Data!$B$5:$B$5004,$Q$6,Data!$D$5:$D$5004,$Q$7,Data!$E$5:$E$5004,$Q$8,Data!$F$5:$F$5004,$Q$9,Data!$G$5:$G$5004,$Q$10,Data!$C$5:$C$5004,$B21)+ExOn*SUMIFS(مثال_Example!$V$5:$V$804,مثال_Example!$B$5:$B$804,$Q$6,مثال_Example!$D$5:$D$804,$Q$7,مثال_Example!$E$5:$E$804,$Q$8,مثال_Example!$F$5:$F$804,$Q$9,مثال_Example!$G$5:$G$804,$Q$10,مثال_Example!$C$5:$C$804,$B21)))</f>
        <v>0</v>
      </c>
      <c r="L21" s="39" t="n">
        <f aca="false">IF($B21="","",(SUMIFS(Data!$V$5:$V$5004,Data!$B$5:$B$5004,$Q$6,Data!$D$5:$D$5004,$Q$7,Data!$E$5:$E$5004,$Q$8,Data!$F$5:$F$5004,$Q$9,Data!$G$5:$G$5004,$Q$10,Data!$C$5:$C$5004,$B21)+ExOn*SUMIFS(مثال_Example!$V$5:$V$804,مثال_Example!$B$5:$B$804,$Q$6,مثال_Example!$D$5:$D$804,$Q$7,مثال_Example!$E$5:$E$804,$Q$8,مثال_Example!$F$5:$F$804,$Q$9,مثال_Example!$G$5:$G$804,$Q$10,مثال_Example!$C$5:$C$804,$B21)))</f>
        <v>0</v>
      </c>
      <c r="M21" s="40" t="str">
        <f aca="false">IF($B21="","",IF($K21=0,"—",L21/$K21))</f>
        <v>—</v>
      </c>
      <c r="N21" s="40" t="str">
        <f aca="false">IF($B21="","",IF($K21=0,"—",((SUMIFS(Data!$U$5:$U$5004,Data!$B$5:$B$5004,$Q$6,Data!$D$5:$D$5004,$Q$7,Data!$E$5:$E$5004,$Q$8,Data!$F$5:$F$5004,$Q$9,Data!$G$5:$G$5004,$Q$10,Data!$C$5:$C$5004,$B21)+ExOn*SUMIFS(مثال_Example!$U$5:$U$804,مثال_Example!$B$5:$B$804,$Q$6,مثال_Example!$D$5:$D$804,$Q$7,مثال_Example!$E$5:$E$804,$Q$8,مثال_Example!$F$5:$F$804,$Q$9,مثال_Example!$G$5:$G$804,$Q$10,مثال_Example!$C$5:$C$804,$B21))+L21)/$K21))</f>
        <v>—</v>
      </c>
      <c r="O21" s="42" t="str">
        <f aca="false">IF($B21="","",IF($K21=0,"لا توجد بيانات",IF(ROUND((((SUMIFS(Data!$U$5:$U$5004,Data!$B$5:$B$5004,$Q$6,Data!$D$5:$D$5004,$Q$7,Data!$E$5:$E$5004,$Q$8,Data!$F$5:$F$5004,$Q$9,Data!$G$5:$G$5004,$Q$10,Data!$C$5:$C$5004,$B21)+ExOn*SUMIFS(مثال_Example!$U$5:$U$804,مثال_Example!$B$5:$B$804,$Q$6,مثال_Example!$D$5:$D$804,$Q$7,مثال_Example!$E$5:$E$804,$Q$8,مثال_Example!$F$5:$F$804,$Q$9,مثال_Example!$G$5:$G$804,$Q$10,مثال_Example!$C$5:$C$804,$B21)))+L21)/K21,10)&lt;=KeyP_VW,"Very Weak",IF(ROUND((((SUMIFS(Data!$U$5:$U$5004,Data!$B$5:$B$5004,$Q$6,Data!$D$5:$D$5004,$Q$7,Data!$E$5:$E$5004,$Q$8,Data!$F$5:$F$5004,$Q$9,Data!$G$5:$G$5004,$Q$10,Data!$C$5:$C$5004,$B21)+ExOn*SUMIFS(مثال_Example!$U$5:$U$804,مثال_Example!$B$5:$B$804,$Q$6,مثال_Example!$D$5:$D$804,$Q$7,مثال_Example!$E$5:$E$804,$Q$8,مثال_Example!$F$5:$F$804,$Q$9,مثال_Example!$G$5:$G$804,$Q$10,مثال_Example!$C$5:$C$804,$B21)))+L21)/K21,10)&lt;KeyP_Weak,"Weak",IF(ROUND(L21/K21,10)&lt;KeyP_Acc,"Acceptable",IF(ROUND(L21/K21,10)&lt;=KeyP_Good,"Good",IF(ROUND(L21/K21,10)&lt;KeyP_Out,"Very Good","Outstanding")))))))</f>
        <v>لا توجد بيانات</v>
      </c>
      <c r="P21" s="1"/>
    </row>
    <row r="22" customFormat="false" ht="15" hidden="false" customHeight="false" outlineLevel="0" collapsed="false">
      <c r="A22" s="1"/>
      <c r="B22" s="51" t="str">
        <f aca="false">IF(Teachers!C18="","",Teachers!C18)</f>
        <v>Ms Maheer El Waraki</v>
      </c>
      <c r="C22" s="42" t="str">
        <f aca="false">IF($B22="","",Teachers!D18)</f>
        <v>Aa</v>
      </c>
      <c r="D22" s="42" t="n">
        <f aca="false">IF($B22="","",Teachers!F18)</f>
        <v>4</v>
      </c>
      <c r="E22" s="39" t="n">
        <f aca="false">IF($B22="","",(SUMIFS(Data!$Q$5:$Q$5004,Data!$B$5:$B$5004,$Q$6,Data!$D$5:$D$5004,$Q$7,Data!$E$5:$E$5004,$Q$8,Data!$F$5:$F$5004,$Q$9,Data!$G$5:$G$5004,$Q$10,Data!$C$5:$C$5004,$B22)+ExOn*SUMIFS(مثال_Example!$Q$5:$Q$804,مثال_Example!$B$5:$B$804,$Q$6,مثال_Example!$D$5:$D$804,$Q$7,مثال_Example!$E$5:$E$804,$Q$8,مثال_Example!$F$5:$F$804,$Q$9,مثال_Example!$G$5:$G$804,$Q$10,مثال_Example!$C$5:$C$804,$B22)))</f>
        <v>0</v>
      </c>
      <c r="F22" s="39" t="n">
        <f aca="false">IF($B22="","",(SUMIFS(Data!$R$5:$R$5004,Data!$B$5:$B$5004,$Q$6,Data!$D$5:$D$5004,$Q$7,Data!$E$5:$E$5004,$Q$8,Data!$F$5:$F$5004,$Q$9,Data!$G$5:$G$5004,$Q$10,Data!$C$5:$C$5004,$B22)+ExOn*SUMIFS(مثال_Example!$R$5:$R$804,مثال_Example!$B$5:$B$804,$Q$6,مثال_Example!$D$5:$D$804,$Q$7,مثال_Example!$E$5:$E$804,$Q$8,مثال_Example!$F$5:$F$804,$Q$9,مثال_Example!$G$5:$G$804,$Q$10,مثال_Example!$C$5:$C$804,$B22)))</f>
        <v>0</v>
      </c>
      <c r="G22" s="40" t="str">
        <f aca="false">IF($B22="","",IF($E22=0,"—",F22/$E22))</f>
        <v>—</v>
      </c>
      <c r="H22" s="39" t="n">
        <f aca="false">IF($B22="","",(SUMIFS(Data!$S$5:$S$5004,Data!$B$5:$B$5004,$Q$6,Data!$D$5:$D$5004,$Q$7,Data!$E$5:$E$5004,$Q$8,Data!$F$5:$F$5004,$Q$9,Data!$G$5:$G$5004,$Q$10,Data!$C$5:$C$5004,$B22)+ExOn*SUMIFS(مثال_Example!$S$5:$S$804,مثال_Example!$B$5:$B$804,$Q$6,مثال_Example!$D$5:$D$804,$Q$7,مثال_Example!$E$5:$E$804,$Q$8,مثال_Example!$F$5:$F$804,$Q$9,مثال_Example!$G$5:$G$804,$Q$10,مثال_Example!$C$5:$C$804,$B22)))</f>
        <v>0</v>
      </c>
      <c r="I22" s="40" t="str">
        <f aca="false">IF($B22="","",IF($E22=0,"—",H22/$E22))</f>
        <v>—</v>
      </c>
      <c r="J22" s="42" t="str">
        <f aca="false">IF($B22="","",IF($E22=0,"لا توجد بيانات",IF(ROUND(F22/E22,10)&lt;=KeyA_VW,"Very Weak",IF(ROUND(F22/E22,10)&lt;KeyA_Weak,"Weak",IF(ROUND(H22/E22,10)&lt;KeyA_Acc,"Acceptable",IF(ROUND(H22/E22,10)&lt;=KeyA_Good,"Good",IF(ROUND(H22/E22,10)&lt;KeyA_Out,"Very Good","Outstanding")))))))</f>
        <v>لا توجد بيانات</v>
      </c>
      <c r="K22" s="39" t="n">
        <f aca="false">IF($B22="","",(SUMIFS(Data!$T$5:$T$5004,Data!$B$5:$B$5004,$Q$6,Data!$D$5:$D$5004,$Q$7,Data!$E$5:$E$5004,$Q$8,Data!$F$5:$F$5004,$Q$9,Data!$G$5:$G$5004,$Q$10,Data!$C$5:$C$5004,$B22)+ExOn*SUMIFS(مثال_Example!$T$5:$T$804,مثال_Example!$B$5:$B$804,$Q$6,مثال_Example!$D$5:$D$804,$Q$7,مثال_Example!$E$5:$E$804,$Q$8,مثال_Example!$F$5:$F$804,$Q$9,مثال_Example!$G$5:$G$804,$Q$10,مثال_Example!$C$5:$C$804,$B22))+(SUMIFS(Data!$U$5:$U$5004,Data!$B$5:$B$5004,$Q$6,Data!$D$5:$D$5004,$Q$7,Data!$E$5:$E$5004,$Q$8,Data!$F$5:$F$5004,$Q$9,Data!$G$5:$G$5004,$Q$10,Data!$C$5:$C$5004,$B22)+ExOn*SUMIFS(مثال_Example!$U$5:$U$804,مثال_Example!$B$5:$B$804,$Q$6,مثال_Example!$D$5:$D$804,$Q$7,مثال_Example!$E$5:$E$804,$Q$8,مثال_Example!$F$5:$F$804,$Q$9,مثال_Example!$G$5:$G$804,$Q$10,مثال_Example!$C$5:$C$804,$B22))+(SUMIFS(Data!$V$5:$V$5004,Data!$B$5:$B$5004,$Q$6,Data!$D$5:$D$5004,$Q$7,Data!$E$5:$E$5004,$Q$8,Data!$F$5:$F$5004,$Q$9,Data!$G$5:$G$5004,$Q$10,Data!$C$5:$C$5004,$B22)+ExOn*SUMIFS(مثال_Example!$V$5:$V$804,مثال_Example!$B$5:$B$804,$Q$6,مثال_Example!$D$5:$D$804,$Q$7,مثال_Example!$E$5:$E$804,$Q$8,مثال_Example!$F$5:$F$804,$Q$9,مثال_Example!$G$5:$G$804,$Q$10,مثال_Example!$C$5:$C$804,$B22)))</f>
        <v>0</v>
      </c>
      <c r="L22" s="39" t="n">
        <f aca="false">IF($B22="","",(SUMIFS(Data!$V$5:$V$5004,Data!$B$5:$B$5004,$Q$6,Data!$D$5:$D$5004,$Q$7,Data!$E$5:$E$5004,$Q$8,Data!$F$5:$F$5004,$Q$9,Data!$G$5:$G$5004,$Q$10,Data!$C$5:$C$5004,$B22)+ExOn*SUMIFS(مثال_Example!$V$5:$V$804,مثال_Example!$B$5:$B$804,$Q$6,مثال_Example!$D$5:$D$804,$Q$7,مثال_Example!$E$5:$E$804,$Q$8,مثال_Example!$F$5:$F$804,$Q$9,مثال_Example!$G$5:$G$804,$Q$10,مثال_Example!$C$5:$C$804,$B22)))</f>
        <v>0</v>
      </c>
      <c r="M22" s="40" t="str">
        <f aca="false">IF($B22="","",IF($K22=0,"—",L22/$K22))</f>
        <v>—</v>
      </c>
      <c r="N22" s="40" t="str">
        <f aca="false">IF($B22="","",IF($K22=0,"—",((SUMIFS(Data!$U$5:$U$5004,Data!$B$5:$B$5004,$Q$6,Data!$D$5:$D$5004,$Q$7,Data!$E$5:$E$5004,$Q$8,Data!$F$5:$F$5004,$Q$9,Data!$G$5:$G$5004,$Q$10,Data!$C$5:$C$5004,$B22)+ExOn*SUMIFS(مثال_Example!$U$5:$U$804,مثال_Example!$B$5:$B$804,$Q$6,مثال_Example!$D$5:$D$804,$Q$7,مثال_Example!$E$5:$E$804,$Q$8,مثال_Example!$F$5:$F$804,$Q$9,مثال_Example!$G$5:$G$804,$Q$10,مثال_Example!$C$5:$C$804,$B22))+L22)/$K22))</f>
        <v>—</v>
      </c>
      <c r="O22" s="42" t="str">
        <f aca="false">IF($B22="","",IF($K22=0,"لا توجد بيانات",IF(ROUND((((SUMIFS(Data!$U$5:$U$5004,Data!$B$5:$B$5004,$Q$6,Data!$D$5:$D$5004,$Q$7,Data!$E$5:$E$5004,$Q$8,Data!$F$5:$F$5004,$Q$9,Data!$G$5:$G$5004,$Q$10,Data!$C$5:$C$5004,$B22)+ExOn*SUMIFS(مثال_Example!$U$5:$U$804,مثال_Example!$B$5:$B$804,$Q$6,مثال_Example!$D$5:$D$804,$Q$7,مثال_Example!$E$5:$E$804,$Q$8,مثال_Example!$F$5:$F$804,$Q$9,مثال_Example!$G$5:$G$804,$Q$10,مثال_Example!$C$5:$C$804,$B22)))+L22)/K22,10)&lt;=KeyP_VW,"Very Weak",IF(ROUND((((SUMIFS(Data!$U$5:$U$5004,Data!$B$5:$B$5004,$Q$6,Data!$D$5:$D$5004,$Q$7,Data!$E$5:$E$5004,$Q$8,Data!$F$5:$F$5004,$Q$9,Data!$G$5:$G$5004,$Q$10,Data!$C$5:$C$5004,$B22)+ExOn*SUMIFS(مثال_Example!$U$5:$U$804,مثال_Example!$B$5:$B$804,$Q$6,مثال_Example!$D$5:$D$804,$Q$7,مثال_Example!$E$5:$E$804,$Q$8,مثال_Example!$F$5:$F$804,$Q$9,مثال_Example!$G$5:$G$804,$Q$10,مثال_Example!$C$5:$C$804,$B22)))+L22)/K22,10)&lt;KeyP_Weak,"Weak",IF(ROUND(L22/K22,10)&lt;KeyP_Acc,"Acceptable",IF(ROUND(L22/K22,10)&lt;=KeyP_Good,"Good",IF(ROUND(L22/K22,10)&lt;KeyP_Out,"Very Good","Outstanding")))))))</f>
        <v>لا توجد بيانات</v>
      </c>
      <c r="P22" s="1"/>
    </row>
    <row r="23" customFormat="false" ht="15" hidden="false" customHeight="false" outlineLevel="0" collapsed="false">
      <c r="A23" s="1"/>
      <c r="B23" s="51" t="str">
        <f aca="false">IF(Teachers!C19="","",Teachers!C19)</f>
        <v>Mr Ramy Fathy Hussein</v>
      </c>
      <c r="C23" s="42" t="str">
        <f aca="false">IF($B23="","",Teachers!D19)</f>
        <v>Aa</v>
      </c>
      <c r="D23" s="42" t="n">
        <f aca="false">IF($B23="","",Teachers!F19)</f>
        <v>3</v>
      </c>
      <c r="E23" s="39" t="n">
        <f aca="false">IF($B23="","",(SUMIFS(Data!$Q$5:$Q$5004,Data!$B$5:$B$5004,$Q$6,Data!$D$5:$D$5004,$Q$7,Data!$E$5:$E$5004,$Q$8,Data!$F$5:$F$5004,$Q$9,Data!$G$5:$G$5004,$Q$10,Data!$C$5:$C$5004,$B23)+ExOn*SUMIFS(مثال_Example!$Q$5:$Q$804,مثال_Example!$B$5:$B$804,$Q$6,مثال_Example!$D$5:$D$804,$Q$7,مثال_Example!$E$5:$E$804,$Q$8,مثال_Example!$F$5:$F$804,$Q$9,مثال_Example!$G$5:$G$804,$Q$10,مثال_Example!$C$5:$C$804,$B23)))</f>
        <v>0</v>
      </c>
      <c r="F23" s="39" t="n">
        <f aca="false">IF($B23="","",(SUMIFS(Data!$R$5:$R$5004,Data!$B$5:$B$5004,$Q$6,Data!$D$5:$D$5004,$Q$7,Data!$E$5:$E$5004,$Q$8,Data!$F$5:$F$5004,$Q$9,Data!$G$5:$G$5004,$Q$10,Data!$C$5:$C$5004,$B23)+ExOn*SUMIFS(مثال_Example!$R$5:$R$804,مثال_Example!$B$5:$B$804,$Q$6,مثال_Example!$D$5:$D$804,$Q$7,مثال_Example!$E$5:$E$804,$Q$8,مثال_Example!$F$5:$F$804,$Q$9,مثال_Example!$G$5:$G$804,$Q$10,مثال_Example!$C$5:$C$804,$B23)))</f>
        <v>0</v>
      </c>
      <c r="G23" s="40" t="str">
        <f aca="false">IF($B23="","",IF($E23=0,"—",F23/$E23))</f>
        <v>—</v>
      </c>
      <c r="H23" s="39" t="n">
        <f aca="false">IF($B23="","",(SUMIFS(Data!$S$5:$S$5004,Data!$B$5:$B$5004,$Q$6,Data!$D$5:$D$5004,$Q$7,Data!$E$5:$E$5004,$Q$8,Data!$F$5:$F$5004,$Q$9,Data!$G$5:$G$5004,$Q$10,Data!$C$5:$C$5004,$B23)+ExOn*SUMIFS(مثال_Example!$S$5:$S$804,مثال_Example!$B$5:$B$804,$Q$6,مثال_Example!$D$5:$D$804,$Q$7,مثال_Example!$E$5:$E$804,$Q$8,مثال_Example!$F$5:$F$804,$Q$9,مثال_Example!$G$5:$G$804,$Q$10,مثال_Example!$C$5:$C$804,$B23)))</f>
        <v>0</v>
      </c>
      <c r="I23" s="40" t="str">
        <f aca="false">IF($B23="","",IF($E23=0,"—",H23/$E23))</f>
        <v>—</v>
      </c>
      <c r="J23" s="42" t="str">
        <f aca="false">IF($B23="","",IF($E23=0,"لا توجد بيانات",IF(ROUND(F23/E23,10)&lt;=KeyA_VW,"Very Weak",IF(ROUND(F23/E23,10)&lt;KeyA_Weak,"Weak",IF(ROUND(H23/E23,10)&lt;KeyA_Acc,"Acceptable",IF(ROUND(H23/E23,10)&lt;=KeyA_Good,"Good",IF(ROUND(H23/E23,10)&lt;KeyA_Out,"Very Good","Outstanding")))))))</f>
        <v>لا توجد بيانات</v>
      </c>
      <c r="K23" s="39" t="n">
        <f aca="false">IF($B23="","",(SUMIFS(Data!$T$5:$T$5004,Data!$B$5:$B$5004,$Q$6,Data!$D$5:$D$5004,$Q$7,Data!$E$5:$E$5004,$Q$8,Data!$F$5:$F$5004,$Q$9,Data!$G$5:$G$5004,$Q$10,Data!$C$5:$C$5004,$B23)+ExOn*SUMIFS(مثال_Example!$T$5:$T$804,مثال_Example!$B$5:$B$804,$Q$6,مثال_Example!$D$5:$D$804,$Q$7,مثال_Example!$E$5:$E$804,$Q$8,مثال_Example!$F$5:$F$804,$Q$9,مثال_Example!$G$5:$G$804,$Q$10,مثال_Example!$C$5:$C$804,$B23))+(SUMIFS(Data!$U$5:$U$5004,Data!$B$5:$B$5004,$Q$6,Data!$D$5:$D$5004,$Q$7,Data!$E$5:$E$5004,$Q$8,Data!$F$5:$F$5004,$Q$9,Data!$G$5:$G$5004,$Q$10,Data!$C$5:$C$5004,$B23)+ExOn*SUMIFS(مثال_Example!$U$5:$U$804,مثال_Example!$B$5:$B$804,$Q$6,مثال_Example!$D$5:$D$804,$Q$7,مثال_Example!$E$5:$E$804,$Q$8,مثال_Example!$F$5:$F$804,$Q$9,مثال_Example!$G$5:$G$804,$Q$10,مثال_Example!$C$5:$C$804,$B23))+(SUMIFS(Data!$V$5:$V$5004,Data!$B$5:$B$5004,$Q$6,Data!$D$5:$D$5004,$Q$7,Data!$E$5:$E$5004,$Q$8,Data!$F$5:$F$5004,$Q$9,Data!$G$5:$G$5004,$Q$10,Data!$C$5:$C$5004,$B23)+ExOn*SUMIFS(مثال_Example!$V$5:$V$804,مثال_Example!$B$5:$B$804,$Q$6,مثال_Example!$D$5:$D$804,$Q$7,مثال_Example!$E$5:$E$804,$Q$8,مثال_Example!$F$5:$F$804,$Q$9,مثال_Example!$G$5:$G$804,$Q$10,مثال_Example!$C$5:$C$804,$B23)))</f>
        <v>0</v>
      </c>
      <c r="L23" s="39" t="n">
        <f aca="false">IF($B23="","",(SUMIFS(Data!$V$5:$V$5004,Data!$B$5:$B$5004,$Q$6,Data!$D$5:$D$5004,$Q$7,Data!$E$5:$E$5004,$Q$8,Data!$F$5:$F$5004,$Q$9,Data!$G$5:$G$5004,$Q$10,Data!$C$5:$C$5004,$B23)+ExOn*SUMIFS(مثال_Example!$V$5:$V$804,مثال_Example!$B$5:$B$804,$Q$6,مثال_Example!$D$5:$D$804,$Q$7,مثال_Example!$E$5:$E$804,$Q$8,مثال_Example!$F$5:$F$804,$Q$9,مثال_Example!$G$5:$G$804,$Q$10,مثال_Example!$C$5:$C$804,$B23)))</f>
        <v>0</v>
      </c>
      <c r="M23" s="40" t="str">
        <f aca="false">IF($B23="","",IF($K23=0,"—",L23/$K23))</f>
        <v>—</v>
      </c>
      <c r="N23" s="40" t="str">
        <f aca="false">IF($B23="","",IF($K23=0,"—",((SUMIFS(Data!$U$5:$U$5004,Data!$B$5:$B$5004,$Q$6,Data!$D$5:$D$5004,$Q$7,Data!$E$5:$E$5004,$Q$8,Data!$F$5:$F$5004,$Q$9,Data!$G$5:$G$5004,$Q$10,Data!$C$5:$C$5004,$B23)+ExOn*SUMIFS(مثال_Example!$U$5:$U$804,مثال_Example!$B$5:$B$804,$Q$6,مثال_Example!$D$5:$D$804,$Q$7,مثال_Example!$E$5:$E$804,$Q$8,مثال_Example!$F$5:$F$804,$Q$9,مثال_Example!$G$5:$G$804,$Q$10,مثال_Example!$C$5:$C$804,$B23))+L23)/$K23))</f>
        <v>—</v>
      </c>
      <c r="O23" s="42" t="str">
        <f aca="false">IF($B23="","",IF($K23=0,"لا توجد بيانات",IF(ROUND((((SUMIFS(Data!$U$5:$U$5004,Data!$B$5:$B$5004,$Q$6,Data!$D$5:$D$5004,$Q$7,Data!$E$5:$E$5004,$Q$8,Data!$F$5:$F$5004,$Q$9,Data!$G$5:$G$5004,$Q$10,Data!$C$5:$C$5004,$B23)+ExOn*SUMIFS(مثال_Example!$U$5:$U$804,مثال_Example!$B$5:$B$804,$Q$6,مثال_Example!$D$5:$D$804,$Q$7,مثال_Example!$E$5:$E$804,$Q$8,مثال_Example!$F$5:$F$804,$Q$9,مثال_Example!$G$5:$G$804,$Q$10,مثال_Example!$C$5:$C$804,$B23)))+L23)/K23,10)&lt;=KeyP_VW,"Very Weak",IF(ROUND((((SUMIFS(Data!$U$5:$U$5004,Data!$B$5:$B$5004,$Q$6,Data!$D$5:$D$5004,$Q$7,Data!$E$5:$E$5004,$Q$8,Data!$F$5:$F$5004,$Q$9,Data!$G$5:$G$5004,$Q$10,Data!$C$5:$C$5004,$B23)+ExOn*SUMIFS(مثال_Example!$U$5:$U$804,مثال_Example!$B$5:$B$804,$Q$6,مثال_Example!$D$5:$D$804,$Q$7,مثال_Example!$E$5:$E$804,$Q$8,مثال_Example!$F$5:$F$804,$Q$9,مثال_Example!$G$5:$G$804,$Q$10,مثال_Example!$C$5:$C$804,$B23)))+L23)/K23,10)&lt;KeyP_Weak,"Weak",IF(ROUND(L23/K23,10)&lt;KeyP_Acc,"Acceptable",IF(ROUND(L23/K23,10)&lt;=KeyP_Good,"Good",IF(ROUND(L23/K23,10)&lt;KeyP_Out,"Very Good","Outstanding")))))))</f>
        <v>لا توجد بيانات</v>
      </c>
      <c r="P23" s="1"/>
    </row>
    <row r="24" customFormat="false" ht="15" hidden="false" customHeight="false" outlineLevel="0" collapsed="false">
      <c r="A24" s="1"/>
      <c r="B24" s="51" t="str">
        <f aca="false">IF(Teachers!C20="","",Teachers!C20)</f>
        <v>Ms Soad Ahmed Mohamed</v>
      </c>
      <c r="C24" s="42" t="str">
        <f aca="false">IF($B24="","",Teachers!D20)</f>
        <v>Aa</v>
      </c>
      <c r="D24" s="42" t="n">
        <f aca="false">IF($B24="","",Teachers!F20)</f>
        <v>6</v>
      </c>
      <c r="E24" s="39" t="n">
        <f aca="false">IF($B24="","",(SUMIFS(Data!$Q$5:$Q$5004,Data!$B$5:$B$5004,$Q$6,Data!$D$5:$D$5004,$Q$7,Data!$E$5:$E$5004,$Q$8,Data!$F$5:$F$5004,$Q$9,Data!$G$5:$G$5004,$Q$10,Data!$C$5:$C$5004,$B24)+ExOn*SUMIFS(مثال_Example!$Q$5:$Q$804,مثال_Example!$B$5:$B$804,$Q$6,مثال_Example!$D$5:$D$804,$Q$7,مثال_Example!$E$5:$E$804,$Q$8,مثال_Example!$F$5:$F$804,$Q$9,مثال_Example!$G$5:$G$804,$Q$10,مثال_Example!$C$5:$C$804,$B24)))</f>
        <v>0</v>
      </c>
      <c r="F24" s="39" t="n">
        <f aca="false">IF($B24="","",(SUMIFS(Data!$R$5:$R$5004,Data!$B$5:$B$5004,$Q$6,Data!$D$5:$D$5004,$Q$7,Data!$E$5:$E$5004,$Q$8,Data!$F$5:$F$5004,$Q$9,Data!$G$5:$G$5004,$Q$10,Data!$C$5:$C$5004,$B24)+ExOn*SUMIFS(مثال_Example!$R$5:$R$804,مثال_Example!$B$5:$B$804,$Q$6,مثال_Example!$D$5:$D$804,$Q$7,مثال_Example!$E$5:$E$804,$Q$8,مثال_Example!$F$5:$F$804,$Q$9,مثال_Example!$G$5:$G$804,$Q$10,مثال_Example!$C$5:$C$804,$B24)))</f>
        <v>0</v>
      </c>
      <c r="G24" s="40" t="str">
        <f aca="false">IF($B24="","",IF($E24=0,"—",F24/$E24))</f>
        <v>—</v>
      </c>
      <c r="H24" s="39" t="n">
        <f aca="false">IF($B24="","",(SUMIFS(Data!$S$5:$S$5004,Data!$B$5:$B$5004,$Q$6,Data!$D$5:$D$5004,$Q$7,Data!$E$5:$E$5004,$Q$8,Data!$F$5:$F$5004,$Q$9,Data!$G$5:$G$5004,$Q$10,Data!$C$5:$C$5004,$B24)+ExOn*SUMIFS(مثال_Example!$S$5:$S$804,مثال_Example!$B$5:$B$804,$Q$6,مثال_Example!$D$5:$D$804,$Q$7,مثال_Example!$E$5:$E$804,$Q$8,مثال_Example!$F$5:$F$804,$Q$9,مثال_Example!$G$5:$G$804,$Q$10,مثال_Example!$C$5:$C$804,$B24)))</f>
        <v>0</v>
      </c>
      <c r="I24" s="40" t="str">
        <f aca="false">IF($B24="","",IF($E24=0,"—",H24/$E24))</f>
        <v>—</v>
      </c>
      <c r="J24" s="42" t="str">
        <f aca="false">IF($B24="","",IF($E24=0,"لا توجد بيانات",IF(ROUND(F24/E24,10)&lt;=KeyA_VW,"Very Weak",IF(ROUND(F24/E24,10)&lt;KeyA_Weak,"Weak",IF(ROUND(H24/E24,10)&lt;KeyA_Acc,"Acceptable",IF(ROUND(H24/E24,10)&lt;=KeyA_Good,"Good",IF(ROUND(H24/E24,10)&lt;KeyA_Out,"Very Good","Outstanding")))))))</f>
        <v>لا توجد بيانات</v>
      </c>
      <c r="K24" s="39" t="n">
        <f aca="false">IF($B24="","",(SUMIFS(Data!$T$5:$T$5004,Data!$B$5:$B$5004,$Q$6,Data!$D$5:$D$5004,$Q$7,Data!$E$5:$E$5004,$Q$8,Data!$F$5:$F$5004,$Q$9,Data!$G$5:$G$5004,$Q$10,Data!$C$5:$C$5004,$B24)+ExOn*SUMIFS(مثال_Example!$T$5:$T$804,مثال_Example!$B$5:$B$804,$Q$6,مثال_Example!$D$5:$D$804,$Q$7,مثال_Example!$E$5:$E$804,$Q$8,مثال_Example!$F$5:$F$804,$Q$9,مثال_Example!$G$5:$G$804,$Q$10,مثال_Example!$C$5:$C$804,$B24))+(SUMIFS(Data!$U$5:$U$5004,Data!$B$5:$B$5004,$Q$6,Data!$D$5:$D$5004,$Q$7,Data!$E$5:$E$5004,$Q$8,Data!$F$5:$F$5004,$Q$9,Data!$G$5:$G$5004,$Q$10,Data!$C$5:$C$5004,$B24)+ExOn*SUMIFS(مثال_Example!$U$5:$U$804,مثال_Example!$B$5:$B$804,$Q$6,مثال_Example!$D$5:$D$804,$Q$7,مثال_Example!$E$5:$E$804,$Q$8,مثال_Example!$F$5:$F$804,$Q$9,مثال_Example!$G$5:$G$804,$Q$10,مثال_Example!$C$5:$C$804,$B24))+(SUMIFS(Data!$V$5:$V$5004,Data!$B$5:$B$5004,$Q$6,Data!$D$5:$D$5004,$Q$7,Data!$E$5:$E$5004,$Q$8,Data!$F$5:$F$5004,$Q$9,Data!$G$5:$G$5004,$Q$10,Data!$C$5:$C$5004,$B24)+ExOn*SUMIFS(مثال_Example!$V$5:$V$804,مثال_Example!$B$5:$B$804,$Q$6,مثال_Example!$D$5:$D$804,$Q$7,مثال_Example!$E$5:$E$804,$Q$8,مثال_Example!$F$5:$F$804,$Q$9,مثال_Example!$G$5:$G$804,$Q$10,مثال_Example!$C$5:$C$804,$B24)))</f>
        <v>0</v>
      </c>
      <c r="L24" s="39" t="n">
        <f aca="false">IF($B24="","",(SUMIFS(Data!$V$5:$V$5004,Data!$B$5:$B$5004,$Q$6,Data!$D$5:$D$5004,$Q$7,Data!$E$5:$E$5004,$Q$8,Data!$F$5:$F$5004,$Q$9,Data!$G$5:$G$5004,$Q$10,Data!$C$5:$C$5004,$B24)+ExOn*SUMIFS(مثال_Example!$V$5:$V$804,مثال_Example!$B$5:$B$804,$Q$6,مثال_Example!$D$5:$D$804,$Q$7,مثال_Example!$E$5:$E$804,$Q$8,مثال_Example!$F$5:$F$804,$Q$9,مثال_Example!$G$5:$G$804,$Q$10,مثال_Example!$C$5:$C$804,$B24)))</f>
        <v>0</v>
      </c>
      <c r="M24" s="40" t="str">
        <f aca="false">IF($B24="","",IF($K24=0,"—",L24/$K24))</f>
        <v>—</v>
      </c>
      <c r="N24" s="40" t="str">
        <f aca="false">IF($B24="","",IF($K24=0,"—",((SUMIFS(Data!$U$5:$U$5004,Data!$B$5:$B$5004,$Q$6,Data!$D$5:$D$5004,$Q$7,Data!$E$5:$E$5004,$Q$8,Data!$F$5:$F$5004,$Q$9,Data!$G$5:$G$5004,$Q$10,Data!$C$5:$C$5004,$B24)+ExOn*SUMIFS(مثال_Example!$U$5:$U$804,مثال_Example!$B$5:$B$804,$Q$6,مثال_Example!$D$5:$D$804,$Q$7,مثال_Example!$E$5:$E$804,$Q$8,مثال_Example!$F$5:$F$804,$Q$9,مثال_Example!$G$5:$G$804,$Q$10,مثال_Example!$C$5:$C$804,$B24))+L24)/$K24))</f>
        <v>—</v>
      </c>
      <c r="O24" s="42" t="str">
        <f aca="false">IF($B24="","",IF($K24=0,"لا توجد بيانات",IF(ROUND((((SUMIFS(Data!$U$5:$U$5004,Data!$B$5:$B$5004,$Q$6,Data!$D$5:$D$5004,$Q$7,Data!$E$5:$E$5004,$Q$8,Data!$F$5:$F$5004,$Q$9,Data!$G$5:$G$5004,$Q$10,Data!$C$5:$C$5004,$B24)+ExOn*SUMIFS(مثال_Example!$U$5:$U$804,مثال_Example!$B$5:$B$804,$Q$6,مثال_Example!$D$5:$D$804,$Q$7,مثال_Example!$E$5:$E$804,$Q$8,مثال_Example!$F$5:$F$804,$Q$9,مثال_Example!$G$5:$G$804,$Q$10,مثال_Example!$C$5:$C$804,$B24)))+L24)/K24,10)&lt;=KeyP_VW,"Very Weak",IF(ROUND((((SUMIFS(Data!$U$5:$U$5004,Data!$B$5:$B$5004,$Q$6,Data!$D$5:$D$5004,$Q$7,Data!$E$5:$E$5004,$Q$8,Data!$F$5:$F$5004,$Q$9,Data!$G$5:$G$5004,$Q$10,Data!$C$5:$C$5004,$B24)+ExOn*SUMIFS(مثال_Example!$U$5:$U$804,مثال_Example!$B$5:$B$804,$Q$6,مثال_Example!$D$5:$D$804,$Q$7,مثال_Example!$E$5:$E$804,$Q$8,مثال_Example!$F$5:$F$804,$Q$9,مثال_Example!$G$5:$G$804,$Q$10,مثال_Example!$C$5:$C$804,$B24)))+L24)/K24,10)&lt;KeyP_Weak,"Weak",IF(ROUND(L24/K24,10)&lt;KeyP_Acc,"Acceptable",IF(ROUND(L24/K24,10)&lt;=KeyP_Good,"Good",IF(ROUND(L24/K24,10)&lt;KeyP_Out,"Very Good","Outstanding")))))))</f>
        <v>لا توجد بيانات</v>
      </c>
      <c r="P24" s="1"/>
    </row>
    <row r="25" customFormat="false" ht="15" hidden="false" customHeight="false" outlineLevel="0" collapsed="false">
      <c r="A25" s="1"/>
      <c r="B25" s="51" t="str">
        <f aca="false">IF(Teachers!C21="","",Teachers!C21)</f>
        <v>Ms AssmaaM AbdelhakimAli</v>
      </c>
      <c r="C25" s="42" t="str">
        <f aca="false">IF($B25="","",Teachers!D21)</f>
        <v>Ab</v>
      </c>
      <c r="D25" s="42" t="n">
        <f aca="false">IF($B25="","",Teachers!F21)</f>
        <v>6</v>
      </c>
      <c r="E25" s="39" t="n">
        <f aca="false">IF($B25="","",(SUMIFS(Data!$Q$5:$Q$5004,Data!$B$5:$B$5004,$Q$6,Data!$D$5:$D$5004,$Q$7,Data!$E$5:$E$5004,$Q$8,Data!$F$5:$F$5004,$Q$9,Data!$G$5:$G$5004,$Q$10,Data!$C$5:$C$5004,$B25)+ExOn*SUMIFS(مثال_Example!$Q$5:$Q$804,مثال_Example!$B$5:$B$804,$Q$6,مثال_Example!$D$5:$D$804,$Q$7,مثال_Example!$E$5:$E$804,$Q$8,مثال_Example!$F$5:$F$804,$Q$9,مثال_Example!$G$5:$G$804,$Q$10,مثال_Example!$C$5:$C$804,$B25)))</f>
        <v>0</v>
      </c>
      <c r="F25" s="39" t="n">
        <f aca="false">IF($B25="","",(SUMIFS(Data!$R$5:$R$5004,Data!$B$5:$B$5004,$Q$6,Data!$D$5:$D$5004,$Q$7,Data!$E$5:$E$5004,$Q$8,Data!$F$5:$F$5004,$Q$9,Data!$G$5:$G$5004,$Q$10,Data!$C$5:$C$5004,$B25)+ExOn*SUMIFS(مثال_Example!$R$5:$R$804,مثال_Example!$B$5:$B$804,$Q$6,مثال_Example!$D$5:$D$804,$Q$7,مثال_Example!$E$5:$E$804,$Q$8,مثال_Example!$F$5:$F$804,$Q$9,مثال_Example!$G$5:$G$804,$Q$10,مثال_Example!$C$5:$C$804,$B25)))</f>
        <v>0</v>
      </c>
      <c r="G25" s="40" t="str">
        <f aca="false">IF($B25="","",IF($E25=0,"—",F25/$E25))</f>
        <v>—</v>
      </c>
      <c r="H25" s="39" t="n">
        <f aca="false">IF($B25="","",(SUMIFS(Data!$S$5:$S$5004,Data!$B$5:$B$5004,$Q$6,Data!$D$5:$D$5004,$Q$7,Data!$E$5:$E$5004,$Q$8,Data!$F$5:$F$5004,$Q$9,Data!$G$5:$G$5004,$Q$10,Data!$C$5:$C$5004,$B25)+ExOn*SUMIFS(مثال_Example!$S$5:$S$804,مثال_Example!$B$5:$B$804,$Q$6,مثال_Example!$D$5:$D$804,$Q$7,مثال_Example!$E$5:$E$804,$Q$8,مثال_Example!$F$5:$F$804,$Q$9,مثال_Example!$G$5:$G$804,$Q$10,مثال_Example!$C$5:$C$804,$B25)))</f>
        <v>0</v>
      </c>
      <c r="I25" s="40" t="str">
        <f aca="false">IF($B25="","",IF($E25=0,"—",H25/$E25))</f>
        <v>—</v>
      </c>
      <c r="J25" s="42" t="str">
        <f aca="false">IF($B25="","",IF($E25=0,"لا توجد بيانات",IF(ROUND(F25/E25,10)&lt;=KeyA_VW,"Very Weak",IF(ROUND(F25/E25,10)&lt;KeyA_Weak,"Weak",IF(ROUND(H25/E25,10)&lt;KeyA_Acc,"Acceptable",IF(ROUND(H25/E25,10)&lt;=KeyA_Good,"Good",IF(ROUND(H25/E25,10)&lt;KeyA_Out,"Very Good","Outstanding")))))))</f>
        <v>لا توجد بيانات</v>
      </c>
      <c r="K25" s="39" t="n">
        <f aca="false">IF($B25="","",(SUMIFS(Data!$T$5:$T$5004,Data!$B$5:$B$5004,$Q$6,Data!$D$5:$D$5004,$Q$7,Data!$E$5:$E$5004,$Q$8,Data!$F$5:$F$5004,$Q$9,Data!$G$5:$G$5004,$Q$10,Data!$C$5:$C$5004,$B25)+ExOn*SUMIFS(مثال_Example!$T$5:$T$804,مثال_Example!$B$5:$B$804,$Q$6,مثال_Example!$D$5:$D$804,$Q$7,مثال_Example!$E$5:$E$804,$Q$8,مثال_Example!$F$5:$F$804,$Q$9,مثال_Example!$G$5:$G$804,$Q$10,مثال_Example!$C$5:$C$804,$B25))+(SUMIFS(Data!$U$5:$U$5004,Data!$B$5:$B$5004,$Q$6,Data!$D$5:$D$5004,$Q$7,Data!$E$5:$E$5004,$Q$8,Data!$F$5:$F$5004,$Q$9,Data!$G$5:$G$5004,$Q$10,Data!$C$5:$C$5004,$B25)+ExOn*SUMIFS(مثال_Example!$U$5:$U$804,مثال_Example!$B$5:$B$804,$Q$6,مثال_Example!$D$5:$D$804,$Q$7,مثال_Example!$E$5:$E$804,$Q$8,مثال_Example!$F$5:$F$804,$Q$9,مثال_Example!$G$5:$G$804,$Q$10,مثال_Example!$C$5:$C$804,$B25))+(SUMIFS(Data!$V$5:$V$5004,Data!$B$5:$B$5004,$Q$6,Data!$D$5:$D$5004,$Q$7,Data!$E$5:$E$5004,$Q$8,Data!$F$5:$F$5004,$Q$9,Data!$G$5:$G$5004,$Q$10,Data!$C$5:$C$5004,$B25)+ExOn*SUMIFS(مثال_Example!$V$5:$V$804,مثال_Example!$B$5:$B$804,$Q$6,مثال_Example!$D$5:$D$804,$Q$7,مثال_Example!$E$5:$E$804,$Q$8,مثال_Example!$F$5:$F$804,$Q$9,مثال_Example!$G$5:$G$804,$Q$10,مثال_Example!$C$5:$C$804,$B25)))</f>
        <v>0</v>
      </c>
      <c r="L25" s="39" t="n">
        <f aca="false">IF($B25="","",(SUMIFS(Data!$V$5:$V$5004,Data!$B$5:$B$5004,$Q$6,Data!$D$5:$D$5004,$Q$7,Data!$E$5:$E$5004,$Q$8,Data!$F$5:$F$5004,$Q$9,Data!$G$5:$G$5004,$Q$10,Data!$C$5:$C$5004,$B25)+ExOn*SUMIFS(مثال_Example!$V$5:$V$804,مثال_Example!$B$5:$B$804,$Q$6,مثال_Example!$D$5:$D$804,$Q$7,مثال_Example!$E$5:$E$804,$Q$8,مثال_Example!$F$5:$F$804,$Q$9,مثال_Example!$G$5:$G$804,$Q$10,مثال_Example!$C$5:$C$804,$B25)))</f>
        <v>0</v>
      </c>
      <c r="M25" s="40" t="str">
        <f aca="false">IF($B25="","",IF($K25=0,"—",L25/$K25))</f>
        <v>—</v>
      </c>
      <c r="N25" s="40" t="str">
        <f aca="false">IF($B25="","",IF($K25=0,"—",((SUMIFS(Data!$U$5:$U$5004,Data!$B$5:$B$5004,$Q$6,Data!$D$5:$D$5004,$Q$7,Data!$E$5:$E$5004,$Q$8,Data!$F$5:$F$5004,$Q$9,Data!$G$5:$G$5004,$Q$10,Data!$C$5:$C$5004,$B25)+ExOn*SUMIFS(مثال_Example!$U$5:$U$804,مثال_Example!$B$5:$B$804,$Q$6,مثال_Example!$D$5:$D$804,$Q$7,مثال_Example!$E$5:$E$804,$Q$8,مثال_Example!$F$5:$F$804,$Q$9,مثال_Example!$G$5:$G$804,$Q$10,مثال_Example!$C$5:$C$804,$B25))+L25)/$K25))</f>
        <v>—</v>
      </c>
      <c r="O25" s="42" t="str">
        <f aca="false">IF($B25="","",IF($K25=0,"لا توجد بيانات",IF(ROUND((((SUMIFS(Data!$U$5:$U$5004,Data!$B$5:$B$5004,$Q$6,Data!$D$5:$D$5004,$Q$7,Data!$E$5:$E$5004,$Q$8,Data!$F$5:$F$5004,$Q$9,Data!$G$5:$G$5004,$Q$10,Data!$C$5:$C$5004,$B25)+ExOn*SUMIFS(مثال_Example!$U$5:$U$804,مثال_Example!$B$5:$B$804,$Q$6,مثال_Example!$D$5:$D$804,$Q$7,مثال_Example!$E$5:$E$804,$Q$8,مثال_Example!$F$5:$F$804,$Q$9,مثال_Example!$G$5:$G$804,$Q$10,مثال_Example!$C$5:$C$804,$B25)))+L25)/K25,10)&lt;=KeyP_VW,"Very Weak",IF(ROUND((((SUMIFS(Data!$U$5:$U$5004,Data!$B$5:$B$5004,$Q$6,Data!$D$5:$D$5004,$Q$7,Data!$E$5:$E$5004,$Q$8,Data!$F$5:$F$5004,$Q$9,Data!$G$5:$G$5004,$Q$10,Data!$C$5:$C$5004,$B25)+ExOn*SUMIFS(مثال_Example!$U$5:$U$804,مثال_Example!$B$5:$B$804,$Q$6,مثال_Example!$D$5:$D$804,$Q$7,مثال_Example!$E$5:$E$804,$Q$8,مثال_Example!$F$5:$F$804,$Q$9,مثال_Example!$G$5:$G$804,$Q$10,مثال_Example!$C$5:$C$804,$B25)))+L25)/K25,10)&lt;KeyP_Weak,"Weak",IF(ROUND(L25/K25,10)&lt;KeyP_Acc,"Acceptable",IF(ROUND(L25/K25,10)&lt;=KeyP_Good,"Good",IF(ROUND(L25/K25,10)&lt;KeyP_Out,"Very Good","Outstanding")))))))</f>
        <v>لا توجد بيانات</v>
      </c>
      <c r="P25" s="1"/>
    </row>
    <row r="26" customFormat="false" ht="15" hidden="false" customHeight="false" outlineLevel="0" collapsed="false">
      <c r="A26" s="1"/>
      <c r="B26" s="51" t="str">
        <f aca="false">IF(Teachers!C22="","",Teachers!C22)</f>
        <v>Mr Ahmed Sabry Soliman</v>
      </c>
      <c r="C26" s="42" t="str">
        <f aca="false">IF($B26="","",Teachers!D22)</f>
        <v>Ab</v>
      </c>
      <c r="D26" s="42" t="n">
        <f aca="false">IF($B26="","",Teachers!F22)</f>
        <v>2</v>
      </c>
      <c r="E26" s="39" t="n">
        <f aca="false">IF($B26="","",(SUMIFS(Data!$Q$5:$Q$5004,Data!$B$5:$B$5004,$Q$6,Data!$D$5:$D$5004,$Q$7,Data!$E$5:$E$5004,$Q$8,Data!$F$5:$F$5004,$Q$9,Data!$G$5:$G$5004,$Q$10,Data!$C$5:$C$5004,$B26)+ExOn*SUMIFS(مثال_Example!$Q$5:$Q$804,مثال_Example!$B$5:$B$804,$Q$6,مثال_Example!$D$5:$D$804,$Q$7,مثال_Example!$E$5:$E$804,$Q$8,مثال_Example!$F$5:$F$804,$Q$9,مثال_Example!$G$5:$G$804,$Q$10,مثال_Example!$C$5:$C$804,$B26)))</f>
        <v>0</v>
      </c>
      <c r="F26" s="39" t="n">
        <f aca="false">IF($B26="","",(SUMIFS(Data!$R$5:$R$5004,Data!$B$5:$B$5004,$Q$6,Data!$D$5:$D$5004,$Q$7,Data!$E$5:$E$5004,$Q$8,Data!$F$5:$F$5004,$Q$9,Data!$G$5:$G$5004,$Q$10,Data!$C$5:$C$5004,$B26)+ExOn*SUMIFS(مثال_Example!$R$5:$R$804,مثال_Example!$B$5:$B$804,$Q$6,مثال_Example!$D$5:$D$804,$Q$7,مثال_Example!$E$5:$E$804,$Q$8,مثال_Example!$F$5:$F$804,$Q$9,مثال_Example!$G$5:$G$804,$Q$10,مثال_Example!$C$5:$C$804,$B26)))</f>
        <v>0</v>
      </c>
      <c r="G26" s="40" t="str">
        <f aca="false">IF($B26="","",IF($E26=0,"—",F26/$E26))</f>
        <v>—</v>
      </c>
      <c r="H26" s="39" t="n">
        <f aca="false">IF($B26="","",(SUMIFS(Data!$S$5:$S$5004,Data!$B$5:$B$5004,$Q$6,Data!$D$5:$D$5004,$Q$7,Data!$E$5:$E$5004,$Q$8,Data!$F$5:$F$5004,$Q$9,Data!$G$5:$G$5004,$Q$10,Data!$C$5:$C$5004,$B26)+ExOn*SUMIFS(مثال_Example!$S$5:$S$804,مثال_Example!$B$5:$B$804,$Q$6,مثال_Example!$D$5:$D$804,$Q$7,مثال_Example!$E$5:$E$804,$Q$8,مثال_Example!$F$5:$F$804,$Q$9,مثال_Example!$G$5:$G$804,$Q$10,مثال_Example!$C$5:$C$804,$B26)))</f>
        <v>0</v>
      </c>
      <c r="I26" s="40" t="str">
        <f aca="false">IF($B26="","",IF($E26=0,"—",H26/$E26))</f>
        <v>—</v>
      </c>
      <c r="J26" s="42" t="str">
        <f aca="false">IF($B26="","",IF($E26=0,"لا توجد بيانات",IF(ROUND(F26/E26,10)&lt;=KeyA_VW,"Very Weak",IF(ROUND(F26/E26,10)&lt;KeyA_Weak,"Weak",IF(ROUND(H26/E26,10)&lt;KeyA_Acc,"Acceptable",IF(ROUND(H26/E26,10)&lt;=KeyA_Good,"Good",IF(ROUND(H26/E26,10)&lt;KeyA_Out,"Very Good","Outstanding")))))))</f>
        <v>لا توجد بيانات</v>
      </c>
      <c r="K26" s="39" t="n">
        <f aca="false">IF($B26="","",(SUMIFS(Data!$T$5:$T$5004,Data!$B$5:$B$5004,$Q$6,Data!$D$5:$D$5004,$Q$7,Data!$E$5:$E$5004,$Q$8,Data!$F$5:$F$5004,$Q$9,Data!$G$5:$G$5004,$Q$10,Data!$C$5:$C$5004,$B26)+ExOn*SUMIFS(مثال_Example!$T$5:$T$804,مثال_Example!$B$5:$B$804,$Q$6,مثال_Example!$D$5:$D$804,$Q$7,مثال_Example!$E$5:$E$804,$Q$8,مثال_Example!$F$5:$F$804,$Q$9,مثال_Example!$G$5:$G$804,$Q$10,مثال_Example!$C$5:$C$804,$B26))+(SUMIFS(Data!$U$5:$U$5004,Data!$B$5:$B$5004,$Q$6,Data!$D$5:$D$5004,$Q$7,Data!$E$5:$E$5004,$Q$8,Data!$F$5:$F$5004,$Q$9,Data!$G$5:$G$5004,$Q$10,Data!$C$5:$C$5004,$B26)+ExOn*SUMIFS(مثال_Example!$U$5:$U$804,مثال_Example!$B$5:$B$804,$Q$6,مثال_Example!$D$5:$D$804,$Q$7,مثال_Example!$E$5:$E$804,$Q$8,مثال_Example!$F$5:$F$804,$Q$9,مثال_Example!$G$5:$G$804,$Q$10,مثال_Example!$C$5:$C$804,$B26))+(SUMIFS(Data!$V$5:$V$5004,Data!$B$5:$B$5004,$Q$6,Data!$D$5:$D$5004,$Q$7,Data!$E$5:$E$5004,$Q$8,Data!$F$5:$F$5004,$Q$9,Data!$G$5:$G$5004,$Q$10,Data!$C$5:$C$5004,$B26)+ExOn*SUMIFS(مثال_Example!$V$5:$V$804,مثال_Example!$B$5:$B$804,$Q$6,مثال_Example!$D$5:$D$804,$Q$7,مثال_Example!$E$5:$E$804,$Q$8,مثال_Example!$F$5:$F$804,$Q$9,مثال_Example!$G$5:$G$804,$Q$10,مثال_Example!$C$5:$C$804,$B26)))</f>
        <v>0</v>
      </c>
      <c r="L26" s="39" t="n">
        <f aca="false">IF($B26="","",(SUMIFS(Data!$V$5:$V$5004,Data!$B$5:$B$5004,$Q$6,Data!$D$5:$D$5004,$Q$7,Data!$E$5:$E$5004,$Q$8,Data!$F$5:$F$5004,$Q$9,Data!$G$5:$G$5004,$Q$10,Data!$C$5:$C$5004,$B26)+ExOn*SUMIFS(مثال_Example!$V$5:$V$804,مثال_Example!$B$5:$B$804,$Q$6,مثال_Example!$D$5:$D$804,$Q$7,مثال_Example!$E$5:$E$804,$Q$8,مثال_Example!$F$5:$F$804,$Q$9,مثال_Example!$G$5:$G$804,$Q$10,مثال_Example!$C$5:$C$804,$B26)))</f>
        <v>0</v>
      </c>
      <c r="M26" s="40" t="str">
        <f aca="false">IF($B26="","",IF($K26=0,"—",L26/$K26))</f>
        <v>—</v>
      </c>
      <c r="N26" s="40" t="str">
        <f aca="false">IF($B26="","",IF($K26=0,"—",((SUMIFS(Data!$U$5:$U$5004,Data!$B$5:$B$5004,$Q$6,Data!$D$5:$D$5004,$Q$7,Data!$E$5:$E$5004,$Q$8,Data!$F$5:$F$5004,$Q$9,Data!$G$5:$G$5004,$Q$10,Data!$C$5:$C$5004,$B26)+ExOn*SUMIFS(مثال_Example!$U$5:$U$804,مثال_Example!$B$5:$B$804,$Q$6,مثال_Example!$D$5:$D$804,$Q$7,مثال_Example!$E$5:$E$804,$Q$8,مثال_Example!$F$5:$F$804,$Q$9,مثال_Example!$G$5:$G$804,$Q$10,مثال_Example!$C$5:$C$804,$B26))+L26)/$K26))</f>
        <v>—</v>
      </c>
      <c r="O26" s="42" t="str">
        <f aca="false">IF($B26="","",IF($K26=0,"لا توجد بيانات",IF(ROUND((((SUMIFS(Data!$U$5:$U$5004,Data!$B$5:$B$5004,$Q$6,Data!$D$5:$D$5004,$Q$7,Data!$E$5:$E$5004,$Q$8,Data!$F$5:$F$5004,$Q$9,Data!$G$5:$G$5004,$Q$10,Data!$C$5:$C$5004,$B26)+ExOn*SUMIFS(مثال_Example!$U$5:$U$804,مثال_Example!$B$5:$B$804,$Q$6,مثال_Example!$D$5:$D$804,$Q$7,مثال_Example!$E$5:$E$804,$Q$8,مثال_Example!$F$5:$F$804,$Q$9,مثال_Example!$G$5:$G$804,$Q$10,مثال_Example!$C$5:$C$804,$B26)))+L26)/K26,10)&lt;=KeyP_VW,"Very Weak",IF(ROUND((((SUMIFS(Data!$U$5:$U$5004,Data!$B$5:$B$5004,$Q$6,Data!$D$5:$D$5004,$Q$7,Data!$E$5:$E$5004,$Q$8,Data!$F$5:$F$5004,$Q$9,Data!$G$5:$G$5004,$Q$10,Data!$C$5:$C$5004,$B26)+ExOn*SUMIFS(مثال_Example!$U$5:$U$804,مثال_Example!$B$5:$B$804,$Q$6,مثال_Example!$D$5:$D$804,$Q$7,مثال_Example!$E$5:$E$804,$Q$8,مثال_Example!$F$5:$F$804,$Q$9,مثال_Example!$G$5:$G$804,$Q$10,مثال_Example!$C$5:$C$804,$B26)))+L26)/K26,10)&lt;KeyP_Weak,"Weak",IF(ROUND(L26/K26,10)&lt;KeyP_Acc,"Acceptable",IF(ROUND(L26/K26,10)&lt;=KeyP_Good,"Good",IF(ROUND(L26/K26,10)&lt;KeyP_Out,"Very Good","Outstanding")))))))</f>
        <v>لا توجد بيانات</v>
      </c>
      <c r="P26" s="1"/>
    </row>
    <row r="27" customFormat="false" ht="15" hidden="false" customHeight="false" outlineLevel="0" collapsed="false">
      <c r="A27" s="1"/>
      <c r="B27" s="51" t="str">
        <f aca="false">IF(Teachers!C23="","",Teachers!C23)</f>
        <v>Ms Eman Elnasharty</v>
      </c>
      <c r="C27" s="42" t="str">
        <f aca="false">IF($B27="","",Teachers!D23)</f>
        <v>Ab</v>
      </c>
      <c r="D27" s="42" t="n">
        <f aca="false">IF($B27="","",Teachers!F23)</f>
        <v>6</v>
      </c>
      <c r="E27" s="39" t="n">
        <f aca="false">IF($B27="","",(SUMIFS(Data!$Q$5:$Q$5004,Data!$B$5:$B$5004,$Q$6,Data!$D$5:$D$5004,$Q$7,Data!$E$5:$E$5004,$Q$8,Data!$F$5:$F$5004,$Q$9,Data!$G$5:$G$5004,$Q$10,Data!$C$5:$C$5004,$B27)+ExOn*SUMIFS(مثال_Example!$Q$5:$Q$804,مثال_Example!$B$5:$B$804,$Q$6,مثال_Example!$D$5:$D$804,$Q$7,مثال_Example!$E$5:$E$804,$Q$8,مثال_Example!$F$5:$F$804,$Q$9,مثال_Example!$G$5:$G$804,$Q$10,مثال_Example!$C$5:$C$804,$B27)))</f>
        <v>0</v>
      </c>
      <c r="F27" s="39" t="n">
        <f aca="false">IF($B27="","",(SUMIFS(Data!$R$5:$R$5004,Data!$B$5:$B$5004,$Q$6,Data!$D$5:$D$5004,$Q$7,Data!$E$5:$E$5004,$Q$8,Data!$F$5:$F$5004,$Q$9,Data!$G$5:$G$5004,$Q$10,Data!$C$5:$C$5004,$B27)+ExOn*SUMIFS(مثال_Example!$R$5:$R$804,مثال_Example!$B$5:$B$804,$Q$6,مثال_Example!$D$5:$D$804,$Q$7,مثال_Example!$E$5:$E$804,$Q$8,مثال_Example!$F$5:$F$804,$Q$9,مثال_Example!$G$5:$G$804,$Q$10,مثال_Example!$C$5:$C$804,$B27)))</f>
        <v>0</v>
      </c>
      <c r="G27" s="40" t="str">
        <f aca="false">IF($B27="","",IF($E27=0,"—",F27/$E27))</f>
        <v>—</v>
      </c>
      <c r="H27" s="39" t="n">
        <f aca="false">IF($B27="","",(SUMIFS(Data!$S$5:$S$5004,Data!$B$5:$B$5004,$Q$6,Data!$D$5:$D$5004,$Q$7,Data!$E$5:$E$5004,$Q$8,Data!$F$5:$F$5004,$Q$9,Data!$G$5:$G$5004,$Q$10,Data!$C$5:$C$5004,$B27)+ExOn*SUMIFS(مثال_Example!$S$5:$S$804,مثال_Example!$B$5:$B$804,$Q$6,مثال_Example!$D$5:$D$804,$Q$7,مثال_Example!$E$5:$E$804,$Q$8,مثال_Example!$F$5:$F$804,$Q$9,مثال_Example!$G$5:$G$804,$Q$10,مثال_Example!$C$5:$C$804,$B27)))</f>
        <v>0</v>
      </c>
      <c r="I27" s="40" t="str">
        <f aca="false">IF($B27="","",IF($E27=0,"—",H27/$E27))</f>
        <v>—</v>
      </c>
      <c r="J27" s="42" t="str">
        <f aca="false">IF($B27="","",IF($E27=0,"لا توجد بيانات",IF(ROUND(F27/E27,10)&lt;=KeyA_VW,"Very Weak",IF(ROUND(F27/E27,10)&lt;KeyA_Weak,"Weak",IF(ROUND(H27/E27,10)&lt;KeyA_Acc,"Acceptable",IF(ROUND(H27/E27,10)&lt;=KeyA_Good,"Good",IF(ROUND(H27/E27,10)&lt;KeyA_Out,"Very Good","Outstanding")))))))</f>
        <v>لا توجد بيانات</v>
      </c>
      <c r="K27" s="39" t="n">
        <f aca="false">IF($B27="","",(SUMIFS(Data!$T$5:$T$5004,Data!$B$5:$B$5004,$Q$6,Data!$D$5:$D$5004,$Q$7,Data!$E$5:$E$5004,$Q$8,Data!$F$5:$F$5004,$Q$9,Data!$G$5:$G$5004,$Q$10,Data!$C$5:$C$5004,$B27)+ExOn*SUMIFS(مثال_Example!$T$5:$T$804,مثال_Example!$B$5:$B$804,$Q$6,مثال_Example!$D$5:$D$804,$Q$7,مثال_Example!$E$5:$E$804,$Q$8,مثال_Example!$F$5:$F$804,$Q$9,مثال_Example!$G$5:$G$804,$Q$10,مثال_Example!$C$5:$C$804,$B27))+(SUMIFS(Data!$U$5:$U$5004,Data!$B$5:$B$5004,$Q$6,Data!$D$5:$D$5004,$Q$7,Data!$E$5:$E$5004,$Q$8,Data!$F$5:$F$5004,$Q$9,Data!$G$5:$G$5004,$Q$10,Data!$C$5:$C$5004,$B27)+ExOn*SUMIFS(مثال_Example!$U$5:$U$804,مثال_Example!$B$5:$B$804,$Q$6,مثال_Example!$D$5:$D$804,$Q$7,مثال_Example!$E$5:$E$804,$Q$8,مثال_Example!$F$5:$F$804,$Q$9,مثال_Example!$G$5:$G$804,$Q$10,مثال_Example!$C$5:$C$804,$B27))+(SUMIFS(Data!$V$5:$V$5004,Data!$B$5:$B$5004,$Q$6,Data!$D$5:$D$5004,$Q$7,Data!$E$5:$E$5004,$Q$8,Data!$F$5:$F$5004,$Q$9,Data!$G$5:$G$5004,$Q$10,Data!$C$5:$C$5004,$B27)+ExOn*SUMIFS(مثال_Example!$V$5:$V$804,مثال_Example!$B$5:$B$804,$Q$6,مثال_Example!$D$5:$D$804,$Q$7,مثال_Example!$E$5:$E$804,$Q$8,مثال_Example!$F$5:$F$804,$Q$9,مثال_Example!$G$5:$G$804,$Q$10,مثال_Example!$C$5:$C$804,$B27)))</f>
        <v>0</v>
      </c>
      <c r="L27" s="39" t="n">
        <f aca="false">IF($B27="","",(SUMIFS(Data!$V$5:$V$5004,Data!$B$5:$B$5004,$Q$6,Data!$D$5:$D$5004,$Q$7,Data!$E$5:$E$5004,$Q$8,Data!$F$5:$F$5004,$Q$9,Data!$G$5:$G$5004,$Q$10,Data!$C$5:$C$5004,$B27)+ExOn*SUMIFS(مثال_Example!$V$5:$V$804,مثال_Example!$B$5:$B$804,$Q$6,مثال_Example!$D$5:$D$804,$Q$7,مثال_Example!$E$5:$E$804,$Q$8,مثال_Example!$F$5:$F$804,$Q$9,مثال_Example!$G$5:$G$804,$Q$10,مثال_Example!$C$5:$C$804,$B27)))</f>
        <v>0</v>
      </c>
      <c r="M27" s="40" t="str">
        <f aca="false">IF($B27="","",IF($K27=0,"—",L27/$K27))</f>
        <v>—</v>
      </c>
      <c r="N27" s="40" t="str">
        <f aca="false">IF($B27="","",IF($K27=0,"—",((SUMIFS(Data!$U$5:$U$5004,Data!$B$5:$B$5004,$Q$6,Data!$D$5:$D$5004,$Q$7,Data!$E$5:$E$5004,$Q$8,Data!$F$5:$F$5004,$Q$9,Data!$G$5:$G$5004,$Q$10,Data!$C$5:$C$5004,$B27)+ExOn*SUMIFS(مثال_Example!$U$5:$U$804,مثال_Example!$B$5:$B$804,$Q$6,مثال_Example!$D$5:$D$804,$Q$7,مثال_Example!$E$5:$E$804,$Q$8,مثال_Example!$F$5:$F$804,$Q$9,مثال_Example!$G$5:$G$804,$Q$10,مثال_Example!$C$5:$C$804,$B27))+L27)/$K27))</f>
        <v>—</v>
      </c>
      <c r="O27" s="42" t="str">
        <f aca="false">IF($B27="","",IF($K27=0,"لا توجد بيانات",IF(ROUND((((SUMIFS(Data!$U$5:$U$5004,Data!$B$5:$B$5004,$Q$6,Data!$D$5:$D$5004,$Q$7,Data!$E$5:$E$5004,$Q$8,Data!$F$5:$F$5004,$Q$9,Data!$G$5:$G$5004,$Q$10,Data!$C$5:$C$5004,$B27)+ExOn*SUMIFS(مثال_Example!$U$5:$U$804,مثال_Example!$B$5:$B$804,$Q$6,مثال_Example!$D$5:$D$804,$Q$7,مثال_Example!$E$5:$E$804,$Q$8,مثال_Example!$F$5:$F$804,$Q$9,مثال_Example!$G$5:$G$804,$Q$10,مثال_Example!$C$5:$C$804,$B27)))+L27)/K27,10)&lt;=KeyP_VW,"Very Weak",IF(ROUND((((SUMIFS(Data!$U$5:$U$5004,Data!$B$5:$B$5004,$Q$6,Data!$D$5:$D$5004,$Q$7,Data!$E$5:$E$5004,$Q$8,Data!$F$5:$F$5004,$Q$9,Data!$G$5:$G$5004,$Q$10,Data!$C$5:$C$5004,$B27)+ExOn*SUMIFS(مثال_Example!$U$5:$U$804,مثال_Example!$B$5:$B$804,$Q$6,مثال_Example!$D$5:$D$804,$Q$7,مثال_Example!$E$5:$E$804,$Q$8,مثال_Example!$F$5:$F$804,$Q$9,مثال_Example!$G$5:$G$804,$Q$10,مثال_Example!$C$5:$C$804,$B27)))+L27)/K27,10)&lt;KeyP_Weak,"Weak",IF(ROUND(L27/K27,10)&lt;KeyP_Acc,"Acceptable",IF(ROUND(L27/K27,10)&lt;=KeyP_Good,"Good",IF(ROUND(L27/K27,10)&lt;KeyP_Out,"Very Good","Outstanding")))))))</f>
        <v>لا توجد بيانات</v>
      </c>
      <c r="P27" s="1"/>
    </row>
    <row r="28" customFormat="false" ht="15" hidden="false" customHeight="false" outlineLevel="0" collapsed="false">
      <c r="A28" s="1"/>
      <c r="B28" s="51" t="str">
        <f aca="false">IF(Teachers!C24="","",Teachers!C24)</f>
        <v>Mr Kareem Mohamed</v>
      </c>
      <c r="C28" s="42" t="str">
        <f aca="false">IF($B28="","",Teachers!D24)</f>
        <v>Ab</v>
      </c>
      <c r="D28" s="42" t="n">
        <f aca="false">IF($B28="","",Teachers!F24)</f>
        <v>4</v>
      </c>
      <c r="E28" s="39" t="n">
        <f aca="false">IF($B28="","",(SUMIFS(Data!$Q$5:$Q$5004,Data!$B$5:$B$5004,$Q$6,Data!$D$5:$D$5004,$Q$7,Data!$E$5:$E$5004,$Q$8,Data!$F$5:$F$5004,$Q$9,Data!$G$5:$G$5004,$Q$10,Data!$C$5:$C$5004,$B28)+ExOn*SUMIFS(مثال_Example!$Q$5:$Q$804,مثال_Example!$B$5:$B$804,$Q$6,مثال_Example!$D$5:$D$804,$Q$7,مثال_Example!$E$5:$E$804,$Q$8,مثال_Example!$F$5:$F$804,$Q$9,مثال_Example!$G$5:$G$804,$Q$10,مثال_Example!$C$5:$C$804,$B28)))</f>
        <v>0</v>
      </c>
      <c r="F28" s="39" t="n">
        <f aca="false">IF($B28="","",(SUMIFS(Data!$R$5:$R$5004,Data!$B$5:$B$5004,$Q$6,Data!$D$5:$D$5004,$Q$7,Data!$E$5:$E$5004,$Q$8,Data!$F$5:$F$5004,$Q$9,Data!$G$5:$G$5004,$Q$10,Data!$C$5:$C$5004,$B28)+ExOn*SUMIFS(مثال_Example!$R$5:$R$804,مثال_Example!$B$5:$B$804,$Q$6,مثال_Example!$D$5:$D$804,$Q$7,مثال_Example!$E$5:$E$804,$Q$8,مثال_Example!$F$5:$F$804,$Q$9,مثال_Example!$G$5:$G$804,$Q$10,مثال_Example!$C$5:$C$804,$B28)))</f>
        <v>0</v>
      </c>
      <c r="G28" s="40" t="str">
        <f aca="false">IF($B28="","",IF($E28=0,"—",F28/$E28))</f>
        <v>—</v>
      </c>
      <c r="H28" s="39" t="n">
        <f aca="false">IF($B28="","",(SUMIFS(Data!$S$5:$S$5004,Data!$B$5:$B$5004,$Q$6,Data!$D$5:$D$5004,$Q$7,Data!$E$5:$E$5004,$Q$8,Data!$F$5:$F$5004,$Q$9,Data!$G$5:$G$5004,$Q$10,Data!$C$5:$C$5004,$B28)+ExOn*SUMIFS(مثال_Example!$S$5:$S$804,مثال_Example!$B$5:$B$804,$Q$6,مثال_Example!$D$5:$D$804,$Q$7,مثال_Example!$E$5:$E$804,$Q$8,مثال_Example!$F$5:$F$804,$Q$9,مثال_Example!$G$5:$G$804,$Q$10,مثال_Example!$C$5:$C$804,$B28)))</f>
        <v>0</v>
      </c>
      <c r="I28" s="40" t="str">
        <f aca="false">IF($B28="","",IF($E28=0,"—",H28/$E28))</f>
        <v>—</v>
      </c>
      <c r="J28" s="42" t="str">
        <f aca="false">IF($B28="","",IF($E28=0,"لا توجد بيانات",IF(ROUND(F28/E28,10)&lt;=KeyA_VW,"Very Weak",IF(ROUND(F28/E28,10)&lt;KeyA_Weak,"Weak",IF(ROUND(H28/E28,10)&lt;KeyA_Acc,"Acceptable",IF(ROUND(H28/E28,10)&lt;=KeyA_Good,"Good",IF(ROUND(H28/E28,10)&lt;KeyA_Out,"Very Good","Outstanding")))))))</f>
        <v>لا توجد بيانات</v>
      </c>
      <c r="K28" s="39" t="n">
        <f aca="false">IF($B28="","",(SUMIFS(Data!$T$5:$T$5004,Data!$B$5:$B$5004,$Q$6,Data!$D$5:$D$5004,$Q$7,Data!$E$5:$E$5004,$Q$8,Data!$F$5:$F$5004,$Q$9,Data!$G$5:$G$5004,$Q$10,Data!$C$5:$C$5004,$B28)+ExOn*SUMIFS(مثال_Example!$T$5:$T$804,مثال_Example!$B$5:$B$804,$Q$6,مثال_Example!$D$5:$D$804,$Q$7,مثال_Example!$E$5:$E$804,$Q$8,مثال_Example!$F$5:$F$804,$Q$9,مثال_Example!$G$5:$G$804,$Q$10,مثال_Example!$C$5:$C$804,$B28))+(SUMIFS(Data!$U$5:$U$5004,Data!$B$5:$B$5004,$Q$6,Data!$D$5:$D$5004,$Q$7,Data!$E$5:$E$5004,$Q$8,Data!$F$5:$F$5004,$Q$9,Data!$G$5:$G$5004,$Q$10,Data!$C$5:$C$5004,$B28)+ExOn*SUMIFS(مثال_Example!$U$5:$U$804,مثال_Example!$B$5:$B$804,$Q$6,مثال_Example!$D$5:$D$804,$Q$7,مثال_Example!$E$5:$E$804,$Q$8,مثال_Example!$F$5:$F$804,$Q$9,مثال_Example!$G$5:$G$804,$Q$10,مثال_Example!$C$5:$C$804,$B28))+(SUMIFS(Data!$V$5:$V$5004,Data!$B$5:$B$5004,$Q$6,Data!$D$5:$D$5004,$Q$7,Data!$E$5:$E$5004,$Q$8,Data!$F$5:$F$5004,$Q$9,Data!$G$5:$G$5004,$Q$10,Data!$C$5:$C$5004,$B28)+ExOn*SUMIFS(مثال_Example!$V$5:$V$804,مثال_Example!$B$5:$B$804,$Q$6,مثال_Example!$D$5:$D$804,$Q$7,مثال_Example!$E$5:$E$804,$Q$8,مثال_Example!$F$5:$F$804,$Q$9,مثال_Example!$G$5:$G$804,$Q$10,مثال_Example!$C$5:$C$804,$B28)))</f>
        <v>0</v>
      </c>
      <c r="L28" s="39" t="n">
        <f aca="false">IF($B28="","",(SUMIFS(Data!$V$5:$V$5004,Data!$B$5:$B$5004,$Q$6,Data!$D$5:$D$5004,$Q$7,Data!$E$5:$E$5004,$Q$8,Data!$F$5:$F$5004,$Q$9,Data!$G$5:$G$5004,$Q$10,Data!$C$5:$C$5004,$B28)+ExOn*SUMIFS(مثال_Example!$V$5:$V$804,مثال_Example!$B$5:$B$804,$Q$6,مثال_Example!$D$5:$D$804,$Q$7,مثال_Example!$E$5:$E$804,$Q$8,مثال_Example!$F$5:$F$804,$Q$9,مثال_Example!$G$5:$G$804,$Q$10,مثال_Example!$C$5:$C$804,$B28)))</f>
        <v>0</v>
      </c>
      <c r="M28" s="40" t="str">
        <f aca="false">IF($B28="","",IF($K28=0,"—",L28/$K28))</f>
        <v>—</v>
      </c>
      <c r="N28" s="40" t="str">
        <f aca="false">IF($B28="","",IF($K28=0,"—",((SUMIFS(Data!$U$5:$U$5004,Data!$B$5:$B$5004,$Q$6,Data!$D$5:$D$5004,$Q$7,Data!$E$5:$E$5004,$Q$8,Data!$F$5:$F$5004,$Q$9,Data!$G$5:$G$5004,$Q$10,Data!$C$5:$C$5004,$B28)+ExOn*SUMIFS(مثال_Example!$U$5:$U$804,مثال_Example!$B$5:$B$804,$Q$6,مثال_Example!$D$5:$D$804,$Q$7,مثال_Example!$E$5:$E$804,$Q$8,مثال_Example!$F$5:$F$804,$Q$9,مثال_Example!$G$5:$G$804,$Q$10,مثال_Example!$C$5:$C$804,$B28))+L28)/$K28))</f>
        <v>—</v>
      </c>
      <c r="O28" s="42" t="str">
        <f aca="false">IF($B28="","",IF($K28=0,"لا توجد بيانات",IF(ROUND((((SUMIFS(Data!$U$5:$U$5004,Data!$B$5:$B$5004,$Q$6,Data!$D$5:$D$5004,$Q$7,Data!$E$5:$E$5004,$Q$8,Data!$F$5:$F$5004,$Q$9,Data!$G$5:$G$5004,$Q$10,Data!$C$5:$C$5004,$B28)+ExOn*SUMIFS(مثال_Example!$U$5:$U$804,مثال_Example!$B$5:$B$804,$Q$6,مثال_Example!$D$5:$D$804,$Q$7,مثال_Example!$E$5:$E$804,$Q$8,مثال_Example!$F$5:$F$804,$Q$9,مثال_Example!$G$5:$G$804,$Q$10,مثال_Example!$C$5:$C$804,$B28)))+L28)/K28,10)&lt;=KeyP_VW,"Very Weak",IF(ROUND((((SUMIFS(Data!$U$5:$U$5004,Data!$B$5:$B$5004,$Q$6,Data!$D$5:$D$5004,$Q$7,Data!$E$5:$E$5004,$Q$8,Data!$F$5:$F$5004,$Q$9,Data!$G$5:$G$5004,$Q$10,Data!$C$5:$C$5004,$B28)+ExOn*SUMIFS(مثال_Example!$U$5:$U$804,مثال_Example!$B$5:$B$804,$Q$6,مثال_Example!$D$5:$D$804,$Q$7,مثال_Example!$E$5:$E$804,$Q$8,مثال_Example!$F$5:$F$804,$Q$9,مثال_Example!$G$5:$G$804,$Q$10,مثال_Example!$C$5:$C$804,$B28)))+L28)/K28,10)&lt;KeyP_Weak,"Weak",IF(ROUND(L28/K28,10)&lt;KeyP_Acc,"Acceptable",IF(ROUND(L28/K28,10)&lt;=KeyP_Good,"Good",IF(ROUND(L28/K28,10)&lt;KeyP_Out,"Very Good","Outstanding")))))))</f>
        <v>لا توجد بيانات</v>
      </c>
      <c r="P28" s="1"/>
    </row>
    <row r="29" customFormat="false" ht="15" hidden="false" customHeight="false" outlineLevel="0" collapsed="false">
      <c r="A29" s="1"/>
      <c r="B29" s="51" t="str">
        <f aca="false">IF(Teachers!C25="","",Teachers!C25)</f>
        <v>Ms Mennatallah A Mohamed</v>
      </c>
      <c r="C29" s="42" t="str">
        <f aca="false">IF($B29="","",Teachers!D25)</f>
        <v>Ab</v>
      </c>
      <c r="D29" s="42" t="n">
        <f aca="false">IF($B29="","",Teachers!F25)</f>
        <v>6</v>
      </c>
      <c r="E29" s="39" t="n">
        <f aca="false">IF($B29="","",(SUMIFS(Data!$Q$5:$Q$5004,Data!$B$5:$B$5004,$Q$6,Data!$D$5:$D$5004,$Q$7,Data!$E$5:$E$5004,$Q$8,Data!$F$5:$F$5004,$Q$9,Data!$G$5:$G$5004,$Q$10,Data!$C$5:$C$5004,$B29)+ExOn*SUMIFS(مثال_Example!$Q$5:$Q$804,مثال_Example!$B$5:$B$804,$Q$6,مثال_Example!$D$5:$D$804,$Q$7,مثال_Example!$E$5:$E$804,$Q$8,مثال_Example!$F$5:$F$804,$Q$9,مثال_Example!$G$5:$G$804,$Q$10,مثال_Example!$C$5:$C$804,$B29)))</f>
        <v>0</v>
      </c>
      <c r="F29" s="39" t="n">
        <f aca="false">IF($B29="","",(SUMIFS(Data!$R$5:$R$5004,Data!$B$5:$B$5004,$Q$6,Data!$D$5:$D$5004,$Q$7,Data!$E$5:$E$5004,$Q$8,Data!$F$5:$F$5004,$Q$9,Data!$G$5:$G$5004,$Q$10,Data!$C$5:$C$5004,$B29)+ExOn*SUMIFS(مثال_Example!$R$5:$R$804,مثال_Example!$B$5:$B$804,$Q$6,مثال_Example!$D$5:$D$804,$Q$7,مثال_Example!$E$5:$E$804,$Q$8,مثال_Example!$F$5:$F$804,$Q$9,مثال_Example!$G$5:$G$804,$Q$10,مثال_Example!$C$5:$C$804,$B29)))</f>
        <v>0</v>
      </c>
      <c r="G29" s="40" t="str">
        <f aca="false">IF($B29="","",IF($E29=0,"—",F29/$E29))</f>
        <v>—</v>
      </c>
      <c r="H29" s="39" t="n">
        <f aca="false">IF($B29="","",(SUMIFS(Data!$S$5:$S$5004,Data!$B$5:$B$5004,$Q$6,Data!$D$5:$D$5004,$Q$7,Data!$E$5:$E$5004,$Q$8,Data!$F$5:$F$5004,$Q$9,Data!$G$5:$G$5004,$Q$10,Data!$C$5:$C$5004,$B29)+ExOn*SUMIFS(مثال_Example!$S$5:$S$804,مثال_Example!$B$5:$B$804,$Q$6,مثال_Example!$D$5:$D$804,$Q$7,مثال_Example!$E$5:$E$804,$Q$8,مثال_Example!$F$5:$F$804,$Q$9,مثال_Example!$G$5:$G$804,$Q$10,مثال_Example!$C$5:$C$804,$B29)))</f>
        <v>0</v>
      </c>
      <c r="I29" s="40" t="str">
        <f aca="false">IF($B29="","",IF($E29=0,"—",H29/$E29))</f>
        <v>—</v>
      </c>
      <c r="J29" s="42" t="str">
        <f aca="false">IF($B29="","",IF($E29=0,"لا توجد بيانات",IF(ROUND(F29/E29,10)&lt;=KeyA_VW,"Very Weak",IF(ROUND(F29/E29,10)&lt;KeyA_Weak,"Weak",IF(ROUND(H29/E29,10)&lt;KeyA_Acc,"Acceptable",IF(ROUND(H29/E29,10)&lt;=KeyA_Good,"Good",IF(ROUND(H29/E29,10)&lt;KeyA_Out,"Very Good","Outstanding")))))))</f>
        <v>لا توجد بيانات</v>
      </c>
      <c r="K29" s="39" t="n">
        <f aca="false">IF($B29="","",(SUMIFS(Data!$T$5:$T$5004,Data!$B$5:$B$5004,$Q$6,Data!$D$5:$D$5004,$Q$7,Data!$E$5:$E$5004,$Q$8,Data!$F$5:$F$5004,$Q$9,Data!$G$5:$G$5004,$Q$10,Data!$C$5:$C$5004,$B29)+ExOn*SUMIFS(مثال_Example!$T$5:$T$804,مثال_Example!$B$5:$B$804,$Q$6,مثال_Example!$D$5:$D$804,$Q$7,مثال_Example!$E$5:$E$804,$Q$8,مثال_Example!$F$5:$F$804,$Q$9,مثال_Example!$G$5:$G$804,$Q$10,مثال_Example!$C$5:$C$804,$B29))+(SUMIFS(Data!$U$5:$U$5004,Data!$B$5:$B$5004,$Q$6,Data!$D$5:$D$5004,$Q$7,Data!$E$5:$E$5004,$Q$8,Data!$F$5:$F$5004,$Q$9,Data!$G$5:$G$5004,$Q$10,Data!$C$5:$C$5004,$B29)+ExOn*SUMIFS(مثال_Example!$U$5:$U$804,مثال_Example!$B$5:$B$804,$Q$6,مثال_Example!$D$5:$D$804,$Q$7,مثال_Example!$E$5:$E$804,$Q$8,مثال_Example!$F$5:$F$804,$Q$9,مثال_Example!$G$5:$G$804,$Q$10,مثال_Example!$C$5:$C$804,$B29))+(SUMIFS(Data!$V$5:$V$5004,Data!$B$5:$B$5004,$Q$6,Data!$D$5:$D$5004,$Q$7,Data!$E$5:$E$5004,$Q$8,Data!$F$5:$F$5004,$Q$9,Data!$G$5:$G$5004,$Q$10,Data!$C$5:$C$5004,$B29)+ExOn*SUMIFS(مثال_Example!$V$5:$V$804,مثال_Example!$B$5:$B$804,$Q$6,مثال_Example!$D$5:$D$804,$Q$7,مثال_Example!$E$5:$E$804,$Q$8,مثال_Example!$F$5:$F$804,$Q$9,مثال_Example!$G$5:$G$804,$Q$10,مثال_Example!$C$5:$C$804,$B29)))</f>
        <v>0</v>
      </c>
      <c r="L29" s="39" t="n">
        <f aca="false">IF($B29="","",(SUMIFS(Data!$V$5:$V$5004,Data!$B$5:$B$5004,$Q$6,Data!$D$5:$D$5004,$Q$7,Data!$E$5:$E$5004,$Q$8,Data!$F$5:$F$5004,$Q$9,Data!$G$5:$G$5004,$Q$10,Data!$C$5:$C$5004,$B29)+ExOn*SUMIFS(مثال_Example!$V$5:$V$804,مثال_Example!$B$5:$B$804,$Q$6,مثال_Example!$D$5:$D$804,$Q$7,مثال_Example!$E$5:$E$804,$Q$8,مثال_Example!$F$5:$F$804,$Q$9,مثال_Example!$G$5:$G$804,$Q$10,مثال_Example!$C$5:$C$804,$B29)))</f>
        <v>0</v>
      </c>
      <c r="M29" s="40" t="str">
        <f aca="false">IF($B29="","",IF($K29=0,"—",L29/$K29))</f>
        <v>—</v>
      </c>
      <c r="N29" s="40" t="str">
        <f aca="false">IF($B29="","",IF($K29=0,"—",((SUMIFS(Data!$U$5:$U$5004,Data!$B$5:$B$5004,$Q$6,Data!$D$5:$D$5004,$Q$7,Data!$E$5:$E$5004,$Q$8,Data!$F$5:$F$5004,$Q$9,Data!$G$5:$G$5004,$Q$10,Data!$C$5:$C$5004,$B29)+ExOn*SUMIFS(مثال_Example!$U$5:$U$804,مثال_Example!$B$5:$B$804,$Q$6,مثال_Example!$D$5:$D$804,$Q$7,مثال_Example!$E$5:$E$804,$Q$8,مثال_Example!$F$5:$F$804,$Q$9,مثال_Example!$G$5:$G$804,$Q$10,مثال_Example!$C$5:$C$804,$B29))+L29)/$K29))</f>
        <v>—</v>
      </c>
      <c r="O29" s="42" t="str">
        <f aca="false">IF($B29="","",IF($K29=0,"لا توجد بيانات",IF(ROUND((((SUMIFS(Data!$U$5:$U$5004,Data!$B$5:$B$5004,$Q$6,Data!$D$5:$D$5004,$Q$7,Data!$E$5:$E$5004,$Q$8,Data!$F$5:$F$5004,$Q$9,Data!$G$5:$G$5004,$Q$10,Data!$C$5:$C$5004,$B29)+ExOn*SUMIFS(مثال_Example!$U$5:$U$804,مثال_Example!$B$5:$B$804,$Q$6,مثال_Example!$D$5:$D$804,$Q$7,مثال_Example!$E$5:$E$804,$Q$8,مثال_Example!$F$5:$F$804,$Q$9,مثال_Example!$G$5:$G$804,$Q$10,مثال_Example!$C$5:$C$804,$B29)))+L29)/K29,10)&lt;=KeyP_VW,"Very Weak",IF(ROUND((((SUMIFS(Data!$U$5:$U$5004,Data!$B$5:$B$5004,$Q$6,Data!$D$5:$D$5004,$Q$7,Data!$E$5:$E$5004,$Q$8,Data!$F$5:$F$5004,$Q$9,Data!$G$5:$G$5004,$Q$10,Data!$C$5:$C$5004,$B29)+ExOn*SUMIFS(مثال_Example!$U$5:$U$804,مثال_Example!$B$5:$B$804,$Q$6,مثال_Example!$D$5:$D$804,$Q$7,مثال_Example!$E$5:$E$804,$Q$8,مثال_Example!$F$5:$F$804,$Q$9,مثال_Example!$G$5:$G$804,$Q$10,مثال_Example!$C$5:$C$804,$B29)))+L29)/K29,10)&lt;KeyP_Weak,"Weak",IF(ROUND(L29/K29,10)&lt;KeyP_Acc,"Acceptable",IF(ROUND(L29/K29,10)&lt;=KeyP_Good,"Good",IF(ROUND(L29/K29,10)&lt;KeyP_Out,"Very Good","Outstanding")))))))</f>
        <v>لا توجد بيانات</v>
      </c>
      <c r="P29" s="1"/>
    </row>
    <row r="30" customFormat="false" ht="15" hidden="false" customHeight="false" outlineLevel="0" collapsed="false">
      <c r="A30" s="1"/>
      <c r="B30" s="51" t="str">
        <f aca="false">IF(Teachers!C26="","",Teachers!C26)</f>
        <v>Ms Menatalla ElBakary</v>
      </c>
      <c r="C30" s="42" t="str">
        <f aca="false">IF($B30="","",Teachers!D26)</f>
        <v>Ab</v>
      </c>
      <c r="D30" s="42" t="n">
        <f aca="false">IF($B30="","",Teachers!F26)</f>
        <v>6</v>
      </c>
      <c r="E30" s="39" t="n">
        <f aca="false">IF($B30="","",(SUMIFS(Data!$Q$5:$Q$5004,Data!$B$5:$B$5004,$Q$6,Data!$D$5:$D$5004,$Q$7,Data!$E$5:$E$5004,$Q$8,Data!$F$5:$F$5004,$Q$9,Data!$G$5:$G$5004,$Q$10,Data!$C$5:$C$5004,$B30)+ExOn*SUMIFS(مثال_Example!$Q$5:$Q$804,مثال_Example!$B$5:$B$804,$Q$6,مثال_Example!$D$5:$D$804,$Q$7,مثال_Example!$E$5:$E$804,$Q$8,مثال_Example!$F$5:$F$804,$Q$9,مثال_Example!$G$5:$G$804,$Q$10,مثال_Example!$C$5:$C$804,$B30)))</f>
        <v>0</v>
      </c>
      <c r="F30" s="39" t="n">
        <f aca="false">IF($B30="","",(SUMIFS(Data!$R$5:$R$5004,Data!$B$5:$B$5004,$Q$6,Data!$D$5:$D$5004,$Q$7,Data!$E$5:$E$5004,$Q$8,Data!$F$5:$F$5004,$Q$9,Data!$G$5:$G$5004,$Q$10,Data!$C$5:$C$5004,$B30)+ExOn*SUMIFS(مثال_Example!$R$5:$R$804,مثال_Example!$B$5:$B$804,$Q$6,مثال_Example!$D$5:$D$804,$Q$7,مثال_Example!$E$5:$E$804,$Q$8,مثال_Example!$F$5:$F$804,$Q$9,مثال_Example!$G$5:$G$804,$Q$10,مثال_Example!$C$5:$C$804,$B30)))</f>
        <v>0</v>
      </c>
      <c r="G30" s="40" t="str">
        <f aca="false">IF($B30="","",IF($E30=0,"—",F30/$E30))</f>
        <v>—</v>
      </c>
      <c r="H30" s="39" t="n">
        <f aca="false">IF($B30="","",(SUMIFS(Data!$S$5:$S$5004,Data!$B$5:$B$5004,$Q$6,Data!$D$5:$D$5004,$Q$7,Data!$E$5:$E$5004,$Q$8,Data!$F$5:$F$5004,$Q$9,Data!$G$5:$G$5004,$Q$10,Data!$C$5:$C$5004,$B30)+ExOn*SUMIFS(مثال_Example!$S$5:$S$804,مثال_Example!$B$5:$B$804,$Q$6,مثال_Example!$D$5:$D$804,$Q$7,مثال_Example!$E$5:$E$804,$Q$8,مثال_Example!$F$5:$F$804,$Q$9,مثال_Example!$G$5:$G$804,$Q$10,مثال_Example!$C$5:$C$804,$B30)))</f>
        <v>0</v>
      </c>
      <c r="I30" s="40" t="str">
        <f aca="false">IF($B30="","",IF($E30=0,"—",H30/$E30))</f>
        <v>—</v>
      </c>
      <c r="J30" s="42" t="str">
        <f aca="false">IF($B30="","",IF($E30=0,"لا توجد بيانات",IF(ROUND(F30/E30,10)&lt;=KeyA_VW,"Very Weak",IF(ROUND(F30/E30,10)&lt;KeyA_Weak,"Weak",IF(ROUND(H30/E30,10)&lt;KeyA_Acc,"Acceptable",IF(ROUND(H30/E30,10)&lt;=KeyA_Good,"Good",IF(ROUND(H30/E30,10)&lt;KeyA_Out,"Very Good","Outstanding")))))))</f>
        <v>لا توجد بيانات</v>
      </c>
      <c r="K30" s="39" t="n">
        <f aca="false">IF($B30="","",(SUMIFS(Data!$T$5:$T$5004,Data!$B$5:$B$5004,$Q$6,Data!$D$5:$D$5004,$Q$7,Data!$E$5:$E$5004,$Q$8,Data!$F$5:$F$5004,$Q$9,Data!$G$5:$G$5004,$Q$10,Data!$C$5:$C$5004,$B30)+ExOn*SUMIFS(مثال_Example!$T$5:$T$804,مثال_Example!$B$5:$B$804,$Q$6,مثال_Example!$D$5:$D$804,$Q$7,مثال_Example!$E$5:$E$804,$Q$8,مثال_Example!$F$5:$F$804,$Q$9,مثال_Example!$G$5:$G$804,$Q$10,مثال_Example!$C$5:$C$804,$B30))+(SUMIFS(Data!$U$5:$U$5004,Data!$B$5:$B$5004,$Q$6,Data!$D$5:$D$5004,$Q$7,Data!$E$5:$E$5004,$Q$8,Data!$F$5:$F$5004,$Q$9,Data!$G$5:$G$5004,$Q$10,Data!$C$5:$C$5004,$B30)+ExOn*SUMIFS(مثال_Example!$U$5:$U$804,مثال_Example!$B$5:$B$804,$Q$6,مثال_Example!$D$5:$D$804,$Q$7,مثال_Example!$E$5:$E$804,$Q$8,مثال_Example!$F$5:$F$804,$Q$9,مثال_Example!$G$5:$G$804,$Q$10,مثال_Example!$C$5:$C$804,$B30))+(SUMIFS(Data!$V$5:$V$5004,Data!$B$5:$B$5004,$Q$6,Data!$D$5:$D$5004,$Q$7,Data!$E$5:$E$5004,$Q$8,Data!$F$5:$F$5004,$Q$9,Data!$G$5:$G$5004,$Q$10,Data!$C$5:$C$5004,$B30)+ExOn*SUMIFS(مثال_Example!$V$5:$V$804,مثال_Example!$B$5:$B$804,$Q$6,مثال_Example!$D$5:$D$804,$Q$7,مثال_Example!$E$5:$E$804,$Q$8,مثال_Example!$F$5:$F$804,$Q$9,مثال_Example!$G$5:$G$804,$Q$10,مثال_Example!$C$5:$C$804,$B30)))</f>
        <v>0</v>
      </c>
      <c r="L30" s="39" t="n">
        <f aca="false">IF($B30="","",(SUMIFS(Data!$V$5:$V$5004,Data!$B$5:$B$5004,$Q$6,Data!$D$5:$D$5004,$Q$7,Data!$E$5:$E$5004,$Q$8,Data!$F$5:$F$5004,$Q$9,Data!$G$5:$G$5004,$Q$10,Data!$C$5:$C$5004,$B30)+ExOn*SUMIFS(مثال_Example!$V$5:$V$804,مثال_Example!$B$5:$B$804,$Q$6,مثال_Example!$D$5:$D$804,$Q$7,مثال_Example!$E$5:$E$804,$Q$8,مثال_Example!$F$5:$F$804,$Q$9,مثال_Example!$G$5:$G$804,$Q$10,مثال_Example!$C$5:$C$804,$B30)))</f>
        <v>0</v>
      </c>
      <c r="M30" s="40" t="str">
        <f aca="false">IF($B30="","",IF($K30=0,"—",L30/$K30))</f>
        <v>—</v>
      </c>
      <c r="N30" s="40" t="str">
        <f aca="false">IF($B30="","",IF($K30=0,"—",((SUMIFS(Data!$U$5:$U$5004,Data!$B$5:$B$5004,$Q$6,Data!$D$5:$D$5004,$Q$7,Data!$E$5:$E$5004,$Q$8,Data!$F$5:$F$5004,$Q$9,Data!$G$5:$G$5004,$Q$10,Data!$C$5:$C$5004,$B30)+ExOn*SUMIFS(مثال_Example!$U$5:$U$804,مثال_Example!$B$5:$B$804,$Q$6,مثال_Example!$D$5:$D$804,$Q$7,مثال_Example!$E$5:$E$804,$Q$8,مثال_Example!$F$5:$F$804,$Q$9,مثال_Example!$G$5:$G$804,$Q$10,مثال_Example!$C$5:$C$804,$B30))+L30)/$K30))</f>
        <v>—</v>
      </c>
      <c r="O30" s="42" t="str">
        <f aca="false">IF($B30="","",IF($K30=0,"لا توجد بيانات",IF(ROUND((((SUMIFS(Data!$U$5:$U$5004,Data!$B$5:$B$5004,$Q$6,Data!$D$5:$D$5004,$Q$7,Data!$E$5:$E$5004,$Q$8,Data!$F$5:$F$5004,$Q$9,Data!$G$5:$G$5004,$Q$10,Data!$C$5:$C$5004,$B30)+ExOn*SUMIFS(مثال_Example!$U$5:$U$804,مثال_Example!$B$5:$B$804,$Q$6,مثال_Example!$D$5:$D$804,$Q$7,مثال_Example!$E$5:$E$804,$Q$8,مثال_Example!$F$5:$F$804,$Q$9,مثال_Example!$G$5:$G$804,$Q$10,مثال_Example!$C$5:$C$804,$B30)))+L30)/K30,10)&lt;=KeyP_VW,"Very Weak",IF(ROUND((((SUMIFS(Data!$U$5:$U$5004,Data!$B$5:$B$5004,$Q$6,Data!$D$5:$D$5004,$Q$7,Data!$E$5:$E$5004,$Q$8,Data!$F$5:$F$5004,$Q$9,Data!$G$5:$G$5004,$Q$10,Data!$C$5:$C$5004,$B30)+ExOn*SUMIFS(مثال_Example!$U$5:$U$804,مثال_Example!$B$5:$B$804,$Q$6,مثال_Example!$D$5:$D$804,$Q$7,مثال_Example!$E$5:$E$804,$Q$8,مثال_Example!$F$5:$F$804,$Q$9,مثال_Example!$G$5:$G$804,$Q$10,مثال_Example!$C$5:$C$804,$B30)))+L30)/K30,10)&lt;KeyP_Weak,"Weak",IF(ROUND(L30/K30,10)&lt;KeyP_Acc,"Acceptable",IF(ROUND(L30/K30,10)&lt;=KeyP_Good,"Good",IF(ROUND(L30/K30,10)&lt;KeyP_Out,"Very Good","Outstanding")))))))</f>
        <v>لا توجد بيانات</v>
      </c>
      <c r="P30" s="1"/>
    </row>
    <row r="31" customFormat="false" ht="15" hidden="false" customHeight="false" outlineLevel="0" collapsed="false">
      <c r="A31" s="1"/>
      <c r="B31" s="51" t="str">
        <f aca="false">IF(Teachers!C27="","",Teachers!C27)</f>
        <v>Ms Manar Mehanna</v>
      </c>
      <c r="C31" s="42" t="str">
        <f aca="false">IF($B31="","",Teachers!D27)</f>
        <v>Ab</v>
      </c>
      <c r="D31" s="42" t="n">
        <f aca="false">IF($B31="","",Teachers!F27)</f>
        <v>5</v>
      </c>
      <c r="E31" s="39" t="n">
        <f aca="false">IF($B31="","",(SUMIFS(Data!$Q$5:$Q$5004,Data!$B$5:$B$5004,$Q$6,Data!$D$5:$D$5004,$Q$7,Data!$E$5:$E$5004,$Q$8,Data!$F$5:$F$5004,$Q$9,Data!$G$5:$G$5004,$Q$10,Data!$C$5:$C$5004,$B31)+ExOn*SUMIFS(مثال_Example!$Q$5:$Q$804,مثال_Example!$B$5:$B$804,$Q$6,مثال_Example!$D$5:$D$804,$Q$7,مثال_Example!$E$5:$E$804,$Q$8,مثال_Example!$F$5:$F$804,$Q$9,مثال_Example!$G$5:$G$804,$Q$10,مثال_Example!$C$5:$C$804,$B31)))</f>
        <v>0</v>
      </c>
      <c r="F31" s="39" t="n">
        <f aca="false">IF($B31="","",(SUMIFS(Data!$R$5:$R$5004,Data!$B$5:$B$5004,$Q$6,Data!$D$5:$D$5004,$Q$7,Data!$E$5:$E$5004,$Q$8,Data!$F$5:$F$5004,$Q$9,Data!$G$5:$G$5004,$Q$10,Data!$C$5:$C$5004,$B31)+ExOn*SUMIFS(مثال_Example!$R$5:$R$804,مثال_Example!$B$5:$B$804,$Q$6,مثال_Example!$D$5:$D$804,$Q$7,مثال_Example!$E$5:$E$804,$Q$8,مثال_Example!$F$5:$F$804,$Q$9,مثال_Example!$G$5:$G$804,$Q$10,مثال_Example!$C$5:$C$804,$B31)))</f>
        <v>0</v>
      </c>
      <c r="G31" s="40" t="str">
        <f aca="false">IF($B31="","",IF($E31=0,"—",F31/$E31))</f>
        <v>—</v>
      </c>
      <c r="H31" s="39" t="n">
        <f aca="false">IF($B31="","",(SUMIFS(Data!$S$5:$S$5004,Data!$B$5:$B$5004,$Q$6,Data!$D$5:$D$5004,$Q$7,Data!$E$5:$E$5004,$Q$8,Data!$F$5:$F$5004,$Q$9,Data!$G$5:$G$5004,$Q$10,Data!$C$5:$C$5004,$B31)+ExOn*SUMIFS(مثال_Example!$S$5:$S$804,مثال_Example!$B$5:$B$804,$Q$6,مثال_Example!$D$5:$D$804,$Q$7,مثال_Example!$E$5:$E$804,$Q$8,مثال_Example!$F$5:$F$804,$Q$9,مثال_Example!$G$5:$G$804,$Q$10,مثال_Example!$C$5:$C$804,$B31)))</f>
        <v>0</v>
      </c>
      <c r="I31" s="40" t="str">
        <f aca="false">IF($B31="","",IF($E31=0,"—",H31/$E31))</f>
        <v>—</v>
      </c>
      <c r="J31" s="42" t="str">
        <f aca="false">IF($B31="","",IF($E31=0,"لا توجد بيانات",IF(ROUND(F31/E31,10)&lt;=KeyA_VW,"Very Weak",IF(ROUND(F31/E31,10)&lt;KeyA_Weak,"Weak",IF(ROUND(H31/E31,10)&lt;KeyA_Acc,"Acceptable",IF(ROUND(H31/E31,10)&lt;=KeyA_Good,"Good",IF(ROUND(H31/E31,10)&lt;KeyA_Out,"Very Good","Outstanding")))))))</f>
        <v>لا توجد بيانات</v>
      </c>
      <c r="K31" s="39" t="n">
        <f aca="false">IF($B31="","",(SUMIFS(Data!$T$5:$T$5004,Data!$B$5:$B$5004,$Q$6,Data!$D$5:$D$5004,$Q$7,Data!$E$5:$E$5004,$Q$8,Data!$F$5:$F$5004,$Q$9,Data!$G$5:$G$5004,$Q$10,Data!$C$5:$C$5004,$B31)+ExOn*SUMIFS(مثال_Example!$T$5:$T$804,مثال_Example!$B$5:$B$804,$Q$6,مثال_Example!$D$5:$D$804,$Q$7,مثال_Example!$E$5:$E$804,$Q$8,مثال_Example!$F$5:$F$804,$Q$9,مثال_Example!$G$5:$G$804,$Q$10,مثال_Example!$C$5:$C$804,$B31))+(SUMIFS(Data!$U$5:$U$5004,Data!$B$5:$B$5004,$Q$6,Data!$D$5:$D$5004,$Q$7,Data!$E$5:$E$5004,$Q$8,Data!$F$5:$F$5004,$Q$9,Data!$G$5:$G$5004,$Q$10,Data!$C$5:$C$5004,$B31)+ExOn*SUMIFS(مثال_Example!$U$5:$U$804,مثال_Example!$B$5:$B$804,$Q$6,مثال_Example!$D$5:$D$804,$Q$7,مثال_Example!$E$5:$E$804,$Q$8,مثال_Example!$F$5:$F$804,$Q$9,مثال_Example!$G$5:$G$804,$Q$10,مثال_Example!$C$5:$C$804,$B31))+(SUMIFS(Data!$V$5:$V$5004,Data!$B$5:$B$5004,$Q$6,Data!$D$5:$D$5004,$Q$7,Data!$E$5:$E$5004,$Q$8,Data!$F$5:$F$5004,$Q$9,Data!$G$5:$G$5004,$Q$10,Data!$C$5:$C$5004,$B31)+ExOn*SUMIFS(مثال_Example!$V$5:$V$804,مثال_Example!$B$5:$B$804,$Q$6,مثال_Example!$D$5:$D$804,$Q$7,مثال_Example!$E$5:$E$804,$Q$8,مثال_Example!$F$5:$F$804,$Q$9,مثال_Example!$G$5:$G$804,$Q$10,مثال_Example!$C$5:$C$804,$B31)))</f>
        <v>0</v>
      </c>
      <c r="L31" s="39" t="n">
        <f aca="false">IF($B31="","",(SUMIFS(Data!$V$5:$V$5004,Data!$B$5:$B$5004,$Q$6,Data!$D$5:$D$5004,$Q$7,Data!$E$5:$E$5004,$Q$8,Data!$F$5:$F$5004,$Q$9,Data!$G$5:$G$5004,$Q$10,Data!$C$5:$C$5004,$B31)+ExOn*SUMIFS(مثال_Example!$V$5:$V$804,مثال_Example!$B$5:$B$804,$Q$6,مثال_Example!$D$5:$D$804,$Q$7,مثال_Example!$E$5:$E$804,$Q$8,مثال_Example!$F$5:$F$804,$Q$9,مثال_Example!$G$5:$G$804,$Q$10,مثال_Example!$C$5:$C$804,$B31)))</f>
        <v>0</v>
      </c>
      <c r="M31" s="40" t="str">
        <f aca="false">IF($B31="","",IF($K31=0,"—",L31/$K31))</f>
        <v>—</v>
      </c>
      <c r="N31" s="40" t="str">
        <f aca="false">IF($B31="","",IF($K31=0,"—",((SUMIFS(Data!$U$5:$U$5004,Data!$B$5:$B$5004,$Q$6,Data!$D$5:$D$5004,$Q$7,Data!$E$5:$E$5004,$Q$8,Data!$F$5:$F$5004,$Q$9,Data!$G$5:$G$5004,$Q$10,Data!$C$5:$C$5004,$B31)+ExOn*SUMIFS(مثال_Example!$U$5:$U$804,مثال_Example!$B$5:$B$804,$Q$6,مثال_Example!$D$5:$D$804,$Q$7,مثال_Example!$E$5:$E$804,$Q$8,مثال_Example!$F$5:$F$804,$Q$9,مثال_Example!$G$5:$G$804,$Q$10,مثال_Example!$C$5:$C$804,$B31))+L31)/$K31))</f>
        <v>—</v>
      </c>
      <c r="O31" s="42" t="str">
        <f aca="false">IF($B31="","",IF($K31=0,"لا توجد بيانات",IF(ROUND((((SUMIFS(Data!$U$5:$U$5004,Data!$B$5:$B$5004,$Q$6,Data!$D$5:$D$5004,$Q$7,Data!$E$5:$E$5004,$Q$8,Data!$F$5:$F$5004,$Q$9,Data!$G$5:$G$5004,$Q$10,Data!$C$5:$C$5004,$B31)+ExOn*SUMIFS(مثال_Example!$U$5:$U$804,مثال_Example!$B$5:$B$804,$Q$6,مثال_Example!$D$5:$D$804,$Q$7,مثال_Example!$E$5:$E$804,$Q$8,مثال_Example!$F$5:$F$804,$Q$9,مثال_Example!$G$5:$G$804,$Q$10,مثال_Example!$C$5:$C$804,$B31)))+L31)/K31,10)&lt;=KeyP_VW,"Very Weak",IF(ROUND((((SUMIFS(Data!$U$5:$U$5004,Data!$B$5:$B$5004,$Q$6,Data!$D$5:$D$5004,$Q$7,Data!$E$5:$E$5004,$Q$8,Data!$F$5:$F$5004,$Q$9,Data!$G$5:$G$5004,$Q$10,Data!$C$5:$C$5004,$B31)+ExOn*SUMIFS(مثال_Example!$U$5:$U$804,مثال_Example!$B$5:$B$804,$Q$6,مثال_Example!$D$5:$D$804,$Q$7,مثال_Example!$E$5:$E$804,$Q$8,مثال_Example!$F$5:$F$804,$Q$9,مثال_Example!$G$5:$G$804,$Q$10,مثال_Example!$C$5:$C$804,$B31)))+L31)/K31,10)&lt;KeyP_Weak,"Weak",IF(ROUND(L31/K31,10)&lt;KeyP_Acc,"Acceptable",IF(ROUND(L31/K31,10)&lt;=KeyP_Good,"Good",IF(ROUND(L31/K31,10)&lt;KeyP_Out,"Very Good","Outstanding")))))))</f>
        <v>لا توجد بيانات</v>
      </c>
      <c r="P31" s="1"/>
    </row>
    <row r="32" customFormat="false" ht="15" hidden="false" customHeight="false" outlineLevel="0" collapsed="false">
      <c r="A32" s="1"/>
      <c r="B32" s="51" t="str">
        <f aca="false">IF(Teachers!C28="","",Teachers!C28)</f>
        <v>Ms Maha M A Mannaa</v>
      </c>
      <c r="C32" s="42" t="str">
        <f aca="false">IF($B32="","",Teachers!D28)</f>
        <v>Ab</v>
      </c>
      <c r="D32" s="42" t="n">
        <f aca="false">IF($B32="","",Teachers!F28)</f>
        <v>5</v>
      </c>
      <c r="E32" s="39" t="n">
        <f aca="false">IF($B32="","",(SUMIFS(Data!$Q$5:$Q$5004,Data!$B$5:$B$5004,$Q$6,Data!$D$5:$D$5004,$Q$7,Data!$E$5:$E$5004,$Q$8,Data!$F$5:$F$5004,$Q$9,Data!$G$5:$G$5004,$Q$10,Data!$C$5:$C$5004,$B32)+ExOn*SUMIFS(مثال_Example!$Q$5:$Q$804,مثال_Example!$B$5:$B$804,$Q$6,مثال_Example!$D$5:$D$804,$Q$7,مثال_Example!$E$5:$E$804,$Q$8,مثال_Example!$F$5:$F$804,$Q$9,مثال_Example!$G$5:$G$804,$Q$10,مثال_Example!$C$5:$C$804,$B32)))</f>
        <v>0</v>
      </c>
      <c r="F32" s="39" t="n">
        <f aca="false">IF($B32="","",(SUMIFS(Data!$R$5:$R$5004,Data!$B$5:$B$5004,$Q$6,Data!$D$5:$D$5004,$Q$7,Data!$E$5:$E$5004,$Q$8,Data!$F$5:$F$5004,$Q$9,Data!$G$5:$G$5004,$Q$10,Data!$C$5:$C$5004,$B32)+ExOn*SUMIFS(مثال_Example!$R$5:$R$804,مثال_Example!$B$5:$B$804,$Q$6,مثال_Example!$D$5:$D$804,$Q$7,مثال_Example!$E$5:$E$804,$Q$8,مثال_Example!$F$5:$F$804,$Q$9,مثال_Example!$G$5:$G$804,$Q$10,مثال_Example!$C$5:$C$804,$B32)))</f>
        <v>0</v>
      </c>
      <c r="G32" s="40" t="str">
        <f aca="false">IF($B32="","",IF($E32=0,"—",F32/$E32))</f>
        <v>—</v>
      </c>
      <c r="H32" s="39" t="n">
        <f aca="false">IF($B32="","",(SUMIFS(Data!$S$5:$S$5004,Data!$B$5:$B$5004,$Q$6,Data!$D$5:$D$5004,$Q$7,Data!$E$5:$E$5004,$Q$8,Data!$F$5:$F$5004,$Q$9,Data!$G$5:$G$5004,$Q$10,Data!$C$5:$C$5004,$B32)+ExOn*SUMIFS(مثال_Example!$S$5:$S$804,مثال_Example!$B$5:$B$804,$Q$6,مثال_Example!$D$5:$D$804,$Q$7,مثال_Example!$E$5:$E$804,$Q$8,مثال_Example!$F$5:$F$804,$Q$9,مثال_Example!$G$5:$G$804,$Q$10,مثال_Example!$C$5:$C$804,$B32)))</f>
        <v>0</v>
      </c>
      <c r="I32" s="40" t="str">
        <f aca="false">IF($B32="","",IF($E32=0,"—",H32/$E32))</f>
        <v>—</v>
      </c>
      <c r="J32" s="42" t="str">
        <f aca="false">IF($B32="","",IF($E32=0,"لا توجد بيانات",IF(ROUND(F32/E32,10)&lt;=KeyA_VW,"Very Weak",IF(ROUND(F32/E32,10)&lt;KeyA_Weak,"Weak",IF(ROUND(H32/E32,10)&lt;KeyA_Acc,"Acceptable",IF(ROUND(H32/E32,10)&lt;=KeyA_Good,"Good",IF(ROUND(H32/E32,10)&lt;KeyA_Out,"Very Good","Outstanding")))))))</f>
        <v>لا توجد بيانات</v>
      </c>
      <c r="K32" s="39" t="n">
        <f aca="false">IF($B32="","",(SUMIFS(Data!$T$5:$T$5004,Data!$B$5:$B$5004,$Q$6,Data!$D$5:$D$5004,$Q$7,Data!$E$5:$E$5004,$Q$8,Data!$F$5:$F$5004,$Q$9,Data!$G$5:$G$5004,$Q$10,Data!$C$5:$C$5004,$B32)+ExOn*SUMIFS(مثال_Example!$T$5:$T$804,مثال_Example!$B$5:$B$804,$Q$6,مثال_Example!$D$5:$D$804,$Q$7,مثال_Example!$E$5:$E$804,$Q$8,مثال_Example!$F$5:$F$804,$Q$9,مثال_Example!$G$5:$G$804,$Q$10,مثال_Example!$C$5:$C$804,$B32))+(SUMIFS(Data!$U$5:$U$5004,Data!$B$5:$B$5004,$Q$6,Data!$D$5:$D$5004,$Q$7,Data!$E$5:$E$5004,$Q$8,Data!$F$5:$F$5004,$Q$9,Data!$G$5:$G$5004,$Q$10,Data!$C$5:$C$5004,$B32)+ExOn*SUMIFS(مثال_Example!$U$5:$U$804,مثال_Example!$B$5:$B$804,$Q$6,مثال_Example!$D$5:$D$804,$Q$7,مثال_Example!$E$5:$E$804,$Q$8,مثال_Example!$F$5:$F$804,$Q$9,مثال_Example!$G$5:$G$804,$Q$10,مثال_Example!$C$5:$C$804,$B32))+(SUMIFS(Data!$V$5:$V$5004,Data!$B$5:$B$5004,$Q$6,Data!$D$5:$D$5004,$Q$7,Data!$E$5:$E$5004,$Q$8,Data!$F$5:$F$5004,$Q$9,Data!$G$5:$G$5004,$Q$10,Data!$C$5:$C$5004,$B32)+ExOn*SUMIFS(مثال_Example!$V$5:$V$804,مثال_Example!$B$5:$B$804,$Q$6,مثال_Example!$D$5:$D$804,$Q$7,مثال_Example!$E$5:$E$804,$Q$8,مثال_Example!$F$5:$F$804,$Q$9,مثال_Example!$G$5:$G$804,$Q$10,مثال_Example!$C$5:$C$804,$B32)))</f>
        <v>0</v>
      </c>
      <c r="L32" s="39" t="n">
        <f aca="false">IF($B32="","",(SUMIFS(Data!$V$5:$V$5004,Data!$B$5:$B$5004,$Q$6,Data!$D$5:$D$5004,$Q$7,Data!$E$5:$E$5004,$Q$8,Data!$F$5:$F$5004,$Q$9,Data!$G$5:$G$5004,$Q$10,Data!$C$5:$C$5004,$B32)+ExOn*SUMIFS(مثال_Example!$V$5:$V$804,مثال_Example!$B$5:$B$804,$Q$6,مثال_Example!$D$5:$D$804,$Q$7,مثال_Example!$E$5:$E$804,$Q$8,مثال_Example!$F$5:$F$804,$Q$9,مثال_Example!$G$5:$G$804,$Q$10,مثال_Example!$C$5:$C$804,$B32)))</f>
        <v>0</v>
      </c>
      <c r="M32" s="40" t="str">
        <f aca="false">IF($B32="","",IF($K32=0,"—",L32/$K32))</f>
        <v>—</v>
      </c>
      <c r="N32" s="40" t="str">
        <f aca="false">IF($B32="","",IF($K32=0,"—",((SUMIFS(Data!$U$5:$U$5004,Data!$B$5:$B$5004,$Q$6,Data!$D$5:$D$5004,$Q$7,Data!$E$5:$E$5004,$Q$8,Data!$F$5:$F$5004,$Q$9,Data!$G$5:$G$5004,$Q$10,Data!$C$5:$C$5004,$B32)+ExOn*SUMIFS(مثال_Example!$U$5:$U$804,مثال_Example!$B$5:$B$804,$Q$6,مثال_Example!$D$5:$D$804,$Q$7,مثال_Example!$E$5:$E$804,$Q$8,مثال_Example!$F$5:$F$804,$Q$9,مثال_Example!$G$5:$G$804,$Q$10,مثال_Example!$C$5:$C$804,$B32))+L32)/$K32))</f>
        <v>—</v>
      </c>
      <c r="O32" s="42" t="str">
        <f aca="false">IF($B32="","",IF($K32=0,"لا توجد بيانات",IF(ROUND((((SUMIFS(Data!$U$5:$U$5004,Data!$B$5:$B$5004,$Q$6,Data!$D$5:$D$5004,$Q$7,Data!$E$5:$E$5004,$Q$8,Data!$F$5:$F$5004,$Q$9,Data!$G$5:$G$5004,$Q$10,Data!$C$5:$C$5004,$B32)+ExOn*SUMIFS(مثال_Example!$U$5:$U$804,مثال_Example!$B$5:$B$804,$Q$6,مثال_Example!$D$5:$D$804,$Q$7,مثال_Example!$E$5:$E$804,$Q$8,مثال_Example!$F$5:$F$804,$Q$9,مثال_Example!$G$5:$G$804,$Q$10,مثال_Example!$C$5:$C$804,$B32)))+L32)/K32,10)&lt;=KeyP_VW,"Very Weak",IF(ROUND((((SUMIFS(Data!$U$5:$U$5004,Data!$B$5:$B$5004,$Q$6,Data!$D$5:$D$5004,$Q$7,Data!$E$5:$E$5004,$Q$8,Data!$F$5:$F$5004,$Q$9,Data!$G$5:$G$5004,$Q$10,Data!$C$5:$C$5004,$B32)+ExOn*SUMIFS(مثال_Example!$U$5:$U$804,مثال_Example!$B$5:$B$804,$Q$6,مثال_Example!$D$5:$D$804,$Q$7,مثال_Example!$E$5:$E$804,$Q$8,مثال_Example!$F$5:$F$804,$Q$9,مثال_Example!$G$5:$G$804,$Q$10,مثال_Example!$C$5:$C$804,$B32)))+L32)/K32,10)&lt;KeyP_Weak,"Weak",IF(ROUND(L32/K32,10)&lt;KeyP_Acc,"Acceptable",IF(ROUND(L32/K32,10)&lt;=KeyP_Good,"Good",IF(ROUND(L32/K32,10)&lt;KeyP_Out,"Very Good","Outstanding")))))))</f>
        <v>لا توجد بيانات</v>
      </c>
      <c r="P32" s="1"/>
    </row>
    <row r="33" customFormat="false" ht="15" hidden="false" customHeight="false" outlineLevel="0" collapsed="false">
      <c r="A33" s="1"/>
      <c r="B33" s="51" t="str">
        <f aca="false">IF(Teachers!C29="","",Teachers!C29)</f>
        <v>Mr Mohamed Amin Mounes</v>
      </c>
      <c r="C33" s="42" t="str">
        <f aca="false">IF($B33="","",Teachers!D29)</f>
        <v>Ab</v>
      </c>
      <c r="D33" s="42" t="n">
        <f aca="false">IF($B33="","",Teachers!F29)</f>
        <v>7</v>
      </c>
      <c r="E33" s="39" t="n">
        <f aca="false">IF($B33="","",(SUMIFS(Data!$Q$5:$Q$5004,Data!$B$5:$B$5004,$Q$6,Data!$D$5:$D$5004,$Q$7,Data!$E$5:$E$5004,$Q$8,Data!$F$5:$F$5004,$Q$9,Data!$G$5:$G$5004,$Q$10,Data!$C$5:$C$5004,$B33)+ExOn*SUMIFS(مثال_Example!$Q$5:$Q$804,مثال_Example!$B$5:$B$804,$Q$6,مثال_Example!$D$5:$D$804,$Q$7,مثال_Example!$E$5:$E$804,$Q$8,مثال_Example!$F$5:$F$804,$Q$9,مثال_Example!$G$5:$G$804,$Q$10,مثال_Example!$C$5:$C$804,$B33)))</f>
        <v>0</v>
      </c>
      <c r="F33" s="39" t="n">
        <f aca="false">IF($B33="","",(SUMIFS(Data!$R$5:$R$5004,Data!$B$5:$B$5004,$Q$6,Data!$D$5:$D$5004,$Q$7,Data!$E$5:$E$5004,$Q$8,Data!$F$5:$F$5004,$Q$9,Data!$G$5:$G$5004,$Q$10,Data!$C$5:$C$5004,$B33)+ExOn*SUMIFS(مثال_Example!$R$5:$R$804,مثال_Example!$B$5:$B$804,$Q$6,مثال_Example!$D$5:$D$804,$Q$7,مثال_Example!$E$5:$E$804,$Q$8,مثال_Example!$F$5:$F$804,$Q$9,مثال_Example!$G$5:$G$804,$Q$10,مثال_Example!$C$5:$C$804,$B33)))</f>
        <v>0</v>
      </c>
      <c r="G33" s="40" t="str">
        <f aca="false">IF($B33="","",IF($E33=0,"—",F33/$E33))</f>
        <v>—</v>
      </c>
      <c r="H33" s="39" t="n">
        <f aca="false">IF($B33="","",(SUMIFS(Data!$S$5:$S$5004,Data!$B$5:$B$5004,$Q$6,Data!$D$5:$D$5004,$Q$7,Data!$E$5:$E$5004,$Q$8,Data!$F$5:$F$5004,$Q$9,Data!$G$5:$G$5004,$Q$10,Data!$C$5:$C$5004,$B33)+ExOn*SUMIFS(مثال_Example!$S$5:$S$804,مثال_Example!$B$5:$B$804,$Q$6,مثال_Example!$D$5:$D$804,$Q$7,مثال_Example!$E$5:$E$804,$Q$8,مثال_Example!$F$5:$F$804,$Q$9,مثال_Example!$G$5:$G$804,$Q$10,مثال_Example!$C$5:$C$804,$B33)))</f>
        <v>0</v>
      </c>
      <c r="I33" s="40" t="str">
        <f aca="false">IF($B33="","",IF($E33=0,"—",H33/$E33))</f>
        <v>—</v>
      </c>
      <c r="J33" s="42" t="str">
        <f aca="false">IF($B33="","",IF($E33=0,"لا توجد بيانات",IF(ROUND(F33/E33,10)&lt;=KeyA_VW,"Very Weak",IF(ROUND(F33/E33,10)&lt;KeyA_Weak,"Weak",IF(ROUND(H33/E33,10)&lt;KeyA_Acc,"Acceptable",IF(ROUND(H33/E33,10)&lt;=KeyA_Good,"Good",IF(ROUND(H33/E33,10)&lt;KeyA_Out,"Very Good","Outstanding")))))))</f>
        <v>لا توجد بيانات</v>
      </c>
      <c r="K33" s="39" t="n">
        <f aca="false">IF($B33="","",(SUMIFS(Data!$T$5:$T$5004,Data!$B$5:$B$5004,$Q$6,Data!$D$5:$D$5004,$Q$7,Data!$E$5:$E$5004,$Q$8,Data!$F$5:$F$5004,$Q$9,Data!$G$5:$G$5004,$Q$10,Data!$C$5:$C$5004,$B33)+ExOn*SUMIFS(مثال_Example!$T$5:$T$804,مثال_Example!$B$5:$B$804,$Q$6,مثال_Example!$D$5:$D$804,$Q$7,مثال_Example!$E$5:$E$804,$Q$8,مثال_Example!$F$5:$F$804,$Q$9,مثال_Example!$G$5:$G$804,$Q$10,مثال_Example!$C$5:$C$804,$B33))+(SUMIFS(Data!$U$5:$U$5004,Data!$B$5:$B$5004,$Q$6,Data!$D$5:$D$5004,$Q$7,Data!$E$5:$E$5004,$Q$8,Data!$F$5:$F$5004,$Q$9,Data!$G$5:$G$5004,$Q$10,Data!$C$5:$C$5004,$B33)+ExOn*SUMIFS(مثال_Example!$U$5:$U$804,مثال_Example!$B$5:$B$804,$Q$6,مثال_Example!$D$5:$D$804,$Q$7,مثال_Example!$E$5:$E$804,$Q$8,مثال_Example!$F$5:$F$804,$Q$9,مثال_Example!$G$5:$G$804,$Q$10,مثال_Example!$C$5:$C$804,$B33))+(SUMIFS(Data!$V$5:$V$5004,Data!$B$5:$B$5004,$Q$6,Data!$D$5:$D$5004,$Q$7,Data!$E$5:$E$5004,$Q$8,Data!$F$5:$F$5004,$Q$9,Data!$G$5:$G$5004,$Q$10,Data!$C$5:$C$5004,$B33)+ExOn*SUMIFS(مثال_Example!$V$5:$V$804,مثال_Example!$B$5:$B$804,$Q$6,مثال_Example!$D$5:$D$804,$Q$7,مثال_Example!$E$5:$E$804,$Q$8,مثال_Example!$F$5:$F$804,$Q$9,مثال_Example!$G$5:$G$804,$Q$10,مثال_Example!$C$5:$C$804,$B33)))</f>
        <v>0</v>
      </c>
      <c r="L33" s="39" t="n">
        <f aca="false">IF($B33="","",(SUMIFS(Data!$V$5:$V$5004,Data!$B$5:$B$5004,$Q$6,Data!$D$5:$D$5004,$Q$7,Data!$E$5:$E$5004,$Q$8,Data!$F$5:$F$5004,$Q$9,Data!$G$5:$G$5004,$Q$10,Data!$C$5:$C$5004,$B33)+ExOn*SUMIFS(مثال_Example!$V$5:$V$804,مثال_Example!$B$5:$B$804,$Q$6,مثال_Example!$D$5:$D$804,$Q$7,مثال_Example!$E$5:$E$804,$Q$8,مثال_Example!$F$5:$F$804,$Q$9,مثال_Example!$G$5:$G$804,$Q$10,مثال_Example!$C$5:$C$804,$B33)))</f>
        <v>0</v>
      </c>
      <c r="M33" s="40" t="str">
        <f aca="false">IF($B33="","",IF($K33=0,"—",L33/$K33))</f>
        <v>—</v>
      </c>
      <c r="N33" s="40" t="str">
        <f aca="false">IF($B33="","",IF($K33=0,"—",((SUMIFS(Data!$U$5:$U$5004,Data!$B$5:$B$5004,$Q$6,Data!$D$5:$D$5004,$Q$7,Data!$E$5:$E$5004,$Q$8,Data!$F$5:$F$5004,$Q$9,Data!$G$5:$G$5004,$Q$10,Data!$C$5:$C$5004,$B33)+ExOn*SUMIFS(مثال_Example!$U$5:$U$804,مثال_Example!$B$5:$B$804,$Q$6,مثال_Example!$D$5:$D$804,$Q$7,مثال_Example!$E$5:$E$804,$Q$8,مثال_Example!$F$5:$F$804,$Q$9,مثال_Example!$G$5:$G$804,$Q$10,مثال_Example!$C$5:$C$804,$B33))+L33)/$K33))</f>
        <v>—</v>
      </c>
      <c r="O33" s="42" t="str">
        <f aca="false">IF($B33="","",IF($K33=0,"لا توجد بيانات",IF(ROUND((((SUMIFS(Data!$U$5:$U$5004,Data!$B$5:$B$5004,$Q$6,Data!$D$5:$D$5004,$Q$7,Data!$E$5:$E$5004,$Q$8,Data!$F$5:$F$5004,$Q$9,Data!$G$5:$G$5004,$Q$10,Data!$C$5:$C$5004,$B33)+ExOn*SUMIFS(مثال_Example!$U$5:$U$804,مثال_Example!$B$5:$B$804,$Q$6,مثال_Example!$D$5:$D$804,$Q$7,مثال_Example!$E$5:$E$804,$Q$8,مثال_Example!$F$5:$F$804,$Q$9,مثال_Example!$G$5:$G$804,$Q$10,مثال_Example!$C$5:$C$804,$B33)))+L33)/K33,10)&lt;=KeyP_VW,"Very Weak",IF(ROUND((((SUMIFS(Data!$U$5:$U$5004,Data!$B$5:$B$5004,$Q$6,Data!$D$5:$D$5004,$Q$7,Data!$E$5:$E$5004,$Q$8,Data!$F$5:$F$5004,$Q$9,Data!$G$5:$G$5004,$Q$10,Data!$C$5:$C$5004,$B33)+ExOn*SUMIFS(مثال_Example!$U$5:$U$804,مثال_Example!$B$5:$B$804,$Q$6,مثال_Example!$D$5:$D$804,$Q$7,مثال_Example!$E$5:$E$804,$Q$8,مثال_Example!$F$5:$F$804,$Q$9,مثال_Example!$G$5:$G$804,$Q$10,مثال_Example!$C$5:$C$804,$B33)))+L33)/K33,10)&lt;KeyP_Weak,"Weak",IF(ROUND(L33/K33,10)&lt;KeyP_Acc,"Acceptable",IF(ROUND(L33/K33,10)&lt;=KeyP_Good,"Good",IF(ROUND(L33/K33,10)&lt;KeyP_Out,"Very Good","Outstanding")))))))</f>
        <v>لا توجد بيانات</v>
      </c>
      <c r="P33" s="1"/>
    </row>
    <row r="34" customFormat="false" ht="15" hidden="false" customHeight="false" outlineLevel="0" collapsed="false">
      <c r="A34" s="1"/>
      <c r="B34" s="51" t="str">
        <f aca="false">IF(Teachers!C30="","",Teachers!C30)</f>
        <v>Ms Mona M Abobaker</v>
      </c>
      <c r="C34" s="42" t="str">
        <f aca="false">IF($B34="","",Teachers!D30)</f>
        <v>Ab</v>
      </c>
      <c r="D34" s="42" t="n">
        <f aca="false">IF($B34="","",Teachers!F30)</f>
        <v>7</v>
      </c>
      <c r="E34" s="39" t="n">
        <f aca="false">IF($B34="","",(SUMIFS(Data!$Q$5:$Q$5004,Data!$B$5:$B$5004,$Q$6,Data!$D$5:$D$5004,$Q$7,Data!$E$5:$E$5004,$Q$8,Data!$F$5:$F$5004,$Q$9,Data!$G$5:$G$5004,$Q$10,Data!$C$5:$C$5004,$B34)+ExOn*SUMIFS(مثال_Example!$Q$5:$Q$804,مثال_Example!$B$5:$B$804,$Q$6,مثال_Example!$D$5:$D$804,$Q$7,مثال_Example!$E$5:$E$804,$Q$8,مثال_Example!$F$5:$F$804,$Q$9,مثال_Example!$G$5:$G$804,$Q$10,مثال_Example!$C$5:$C$804,$B34)))</f>
        <v>0</v>
      </c>
      <c r="F34" s="39" t="n">
        <f aca="false">IF($B34="","",(SUMIFS(Data!$R$5:$R$5004,Data!$B$5:$B$5004,$Q$6,Data!$D$5:$D$5004,$Q$7,Data!$E$5:$E$5004,$Q$8,Data!$F$5:$F$5004,$Q$9,Data!$G$5:$G$5004,$Q$10,Data!$C$5:$C$5004,$B34)+ExOn*SUMIFS(مثال_Example!$R$5:$R$804,مثال_Example!$B$5:$B$804,$Q$6,مثال_Example!$D$5:$D$804,$Q$7,مثال_Example!$E$5:$E$804,$Q$8,مثال_Example!$F$5:$F$804,$Q$9,مثال_Example!$G$5:$G$804,$Q$10,مثال_Example!$C$5:$C$804,$B34)))</f>
        <v>0</v>
      </c>
      <c r="G34" s="40" t="str">
        <f aca="false">IF($B34="","",IF($E34=0,"—",F34/$E34))</f>
        <v>—</v>
      </c>
      <c r="H34" s="39" t="n">
        <f aca="false">IF($B34="","",(SUMIFS(Data!$S$5:$S$5004,Data!$B$5:$B$5004,$Q$6,Data!$D$5:$D$5004,$Q$7,Data!$E$5:$E$5004,$Q$8,Data!$F$5:$F$5004,$Q$9,Data!$G$5:$G$5004,$Q$10,Data!$C$5:$C$5004,$B34)+ExOn*SUMIFS(مثال_Example!$S$5:$S$804,مثال_Example!$B$5:$B$804,$Q$6,مثال_Example!$D$5:$D$804,$Q$7,مثال_Example!$E$5:$E$804,$Q$8,مثال_Example!$F$5:$F$804,$Q$9,مثال_Example!$G$5:$G$804,$Q$10,مثال_Example!$C$5:$C$804,$B34)))</f>
        <v>0</v>
      </c>
      <c r="I34" s="40" t="str">
        <f aca="false">IF($B34="","",IF($E34=0,"—",H34/$E34))</f>
        <v>—</v>
      </c>
      <c r="J34" s="42" t="str">
        <f aca="false">IF($B34="","",IF($E34=0,"لا توجد بيانات",IF(ROUND(F34/E34,10)&lt;=KeyA_VW,"Very Weak",IF(ROUND(F34/E34,10)&lt;KeyA_Weak,"Weak",IF(ROUND(H34/E34,10)&lt;KeyA_Acc,"Acceptable",IF(ROUND(H34/E34,10)&lt;=KeyA_Good,"Good",IF(ROUND(H34/E34,10)&lt;KeyA_Out,"Very Good","Outstanding")))))))</f>
        <v>لا توجد بيانات</v>
      </c>
      <c r="K34" s="39" t="n">
        <f aca="false">IF($B34="","",(SUMIFS(Data!$T$5:$T$5004,Data!$B$5:$B$5004,$Q$6,Data!$D$5:$D$5004,$Q$7,Data!$E$5:$E$5004,$Q$8,Data!$F$5:$F$5004,$Q$9,Data!$G$5:$G$5004,$Q$10,Data!$C$5:$C$5004,$B34)+ExOn*SUMIFS(مثال_Example!$T$5:$T$804,مثال_Example!$B$5:$B$804,$Q$6,مثال_Example!$D$5:$D$804,$Q$7,مثال_Example!$E$5:$E$804,$Q$8,مثال_Example!$F$5:$F$804,$Q$9,مثال_Example!$G$5:$G$804,$Q$10,مثال_Example!$C$5:$C$804,$B34))+(SUMIFS(Data!$U$5:$U$5004,Data!$B$5:$B$5004,$Q$6,Data!$D$5:$D$5004,$Q$7,Data!$E$5:$E$5004,$Q$8,Data!$F$5:$F$5004,$Q$9,Data!$G$5:$G$5004,$Q$10,Data!$C$5:$C$5004,$B34)+ExOn*SUMIFS(مثال_Example!$U$5:$U$804,مثال_Example!$B$5:$B$804,$Q$6,مثال_Example!$D$5:$D$804,$Q$7,مثال_Example!$E$5:$E$804,$Q$8,مثال_Example!$F$5:$F$804,$Q$9,مثال_Example!$G$5:$G$804,$Q$10,مثال_Example!$C$5:$C$804,$B34))+(SUMIFS(Data!$V$5:$V$5004,Data!$B$5:$B$5004,$Q$6,Data!$D$5:$D$5004,$Q$7,Data!$E$5:$E$5004,$Q$8,Data!$F$5:$F$5004,$Q$9,Data!$G$5:$G$5004,$Q$10,Data!$C$5:$C$5004,$B34)+ExOn*SUMIFS(مثال_Example!$V$5:$V$804,مثال_Example!$B$5:$B$804,$Q$6,مثال_Example!$D$5:$D$804,$Q$7,مثال_Example!$E$5:$E$804,$Q$8,مثال_Example!$F$5:$F$804,$Q$9,مثال_Example!$G$5:$G$804,$Q$10,مثال_Example!$C$5:$C$804,$B34)))</f>
        <v>0</v>
      </c>
      <c r="L34" s="39" t="n">
        <f aca="false">IF($B34="","",(SUMIFS(Data!$V$5:$V$5004,Data!$B$5:$B$5004,$Q$6,Data!$D$5:$D$5004,$Q$7,Data!$E$5:$E$5004,$Q$8,Data!$F$5:$F$5004,$Q$9,Data!$G$5:$G$5004,$Q$10,Data!$C$5:$C$5004,$B34)+ExOn*SUMIFS(مثال_Example!$V$5:$V$804,مثال_Example!$B$5:$B$804,$Q$6,مثال_Example!$D$5:$D$804,$Q$7,مثال_Example!$E$5:$E$804,$Q$8,مثال_Example!$F$5:$F$804,$Q$9,مثال_Example!$G$5:$G$804,$Q$10,مثال_Example!$C$5:$C$804,$B34)))</f>
        <v>0</v>
      </c>
      <c r="M34" s="40" t="str">
        <f aca="false">IF($B34="","",IF($K34=0,"—",L34/$K34))</f>
        <v>—</v>
      </c>
      <c r="N34" s="40" t="str">
        <f aca="false">IF($B34="","",IF($K34=0,"—",((SUMIFS(Data!$U$5:$U$5004,Data!$B$5:$B$5004,$Q$6,Data!$D$5:$D$5004,$Q$7,Data!$E$5:$E$5004,$Q$8,Data!$F$5:$F$5004,$Q$9,Data!$G$5:$G$5004,$Q$10,Data!$C$5:$C$5004,$B34)+ExOn*SUMIFS(مثال_Example!$U$5:$U$804,مثال_Example!$B$5:$B$804,$Q$6,مثال_Example!$D$5:$D$804,$Q$7,مثال_Example!$E$5:$E$804,$Q$8,مثال_Example!$F$5:$F$804,$Q$9,مثال_Example!$G$5:$G$804,$Q$10,مثال_Example!$C$5:$C$804,$B34))+L34)/$K34))</f>
        <v>—</v>
      </c>
      <c r="O34" s="42" t="str">
        <f aca="false">IF($B34="","",IF($K34=0,"لا توجد بيانات",IF(ROUND((((SUMIFS(Data!$U$5:$U$5004,Data!$B$5:$B$5004,$Q$6,Data!$D$5:$D$5004,$Q$7,Data!$E$5:$E$5004,$Q$8,Data!$F$5:$F$5004,$Q$9,Data!$G$5:$G$5004,$Q$10,Data!$C$5:$C$5004,$B34)+ExOn*SUMIFS(مثال_Example!$U$5:$U$804,مثال_Example!$B$5:$B$804,$Q$6,مثال_Example!$D$5:$D$804,$Q$7,مثال_Example!$E$5:$E$804,$Q$8,مثال_Example!$F$5:$F$804,$Q$9,مثال_Example!$G$5:$G$804,$Q$10,مثال_Example!$C$5:$C$804,$B34)))+L34)/K34,10)&lt;=KeyP_VW,"Very Weak",IF(ROUND((((SUMIFS(Data!$U$5:$U$5004,Data!$B$5:$B$5004,$Q$6,Data!$D$5:$D$5004,$Q$7,Data!$E$5:$E$5004,$Q$8,Data!$F$5:$F$5004,$Q$9,Data!$G$5:$G$5004,$Q$10,Data!$C$5:$C$5004,$B34)+ExOn*SUMIFS(مثال_Example!$U$5:$U$804,مثال_Example!$B$5:$B$804,$Q$6,مثال_Example!$D$5:$D$804,$Q$7,مثال_Example!$E$5:$E$804,$Q$8,مثال_Example!$F$5:$F$804,$Q$9,مثال_Example!$G$5:$G$804,$Q$10,مثال_Example!$C$5:$C$804,$B34)))+L34)/K34,10)&lt;KeyP_Weak,"Weak",IF(ROUND(L34/K34,10)&lt;KeyP_Acc,"Acceptable",IF(ROUND(L34/K34,10)&lt;=KeyP_Good,"Good",IF(ROUND(L34/K34,10)&lt;KeyP_Out,"Very Good","Outstanding")))))))</f>
        <v>لا توجد بيانات</v>
      </c>
      <c r="P34" s="1"/>
    </row>
    <row r="35" customFormat="false" ht="15" hidden="false" customHeight="false" outlineLevel="0" collapsed="false">
      <c r="A35" s="1"/>
      <c r="B35" s="51" t="str">
        <f aca="false">IF(Teachers!C31="","",Teachers!C31)</f>
        <v>Mr MohammedSaber Mohamme</v>
      </c>
      <c r="C35" s="42" t="str">
        <f aca="false">IF($B35="","",Teachers!D31)</f>
        <v>Ab</v>
      </c>
      <c r="D35" s="42" t="n">
        <f aca="false">IF($B35="","",Teachers!F31)</f>
        <v>7</v>
      </c>
      <c r="E35" s="39" t="n">
        <f aca="false">IF($B35="","",(SUMIFS(Data!$Q$5:$Q$5004,Data!$B$5:$B$5004,$Q$6,Data!$D$5:$D$5004,$Q$7,Data!$E$5:$E$5004,$Q$8,Data!$F$5:$F$5004,$Q$9,Data!$G$5:$G$5004,$Q$10,Data!$C$5:$C$5004,$B35)+ExOn*SUMIFS(مثال_Example!$Q$5:$Q$804,مثال_Example!$B$5:$B$804,$Q$6,مثال_Example!$D$5:$D$804,$Q$7,مثال_Example!$E$5:$E$804,$Q$8,مثال_Example!$F$5:$F$804,$Q$9,مثال_Example!$G$5:$G$804,$Q$10,مثال_Example!$C$5:$C$804,$B35)))</f>
        <v>0</v>
      </c>
      <c r="F35" s="39" t="n">
        <f aca="false">IF($B35="","",(SUMIFS(Data!$R$5:$R$5004,Data!$B$5:$B$5004,$Q$6,Data!$D$5:$D$5004,$Q$7,Data!$E$5:$E$5004,$Q$8,Data!$F$5:$F$5004,$Q$9,Data!$G$5:$G$5004,$Q$10,Data!$C$5:$C$5004,$B35)+ExOn*SUMIFS(مثال_Example!$R$5:$R$804,مثال_Example!$B$5:$B$804,$Q$6,مثال_Example!$D$5:$D$804,$Q$7,مثال_Example!$E$5:$E$804,$Q$8,مثال_Example!$F$5:$F$804,$Q$9,مثال_Example!$G$5:$G$804,$Q$10,مثال_Example!$C$5:$C$804,$B35)))</f>
        <v>0</v>
      </c>
      <c r="G35" s="40" t="str">
        <f aca="false">IF($B35="","",IF($E35=0,"—",F35/$E35))</f>
        <v>—</v>
      </c>
      <c r="H35" s="39" t="n">
        <f aca="false">IF($B35="","",(SUMIFS(Data!$S$5:$S$5004,Data!$B$5:$B$5004,$Q$6,Data!$D$5:$D$5004,$Q$7,Data!$E$5:$E$5004,$Q$8,Data!$F$5:$F$5004,$Q$9,Data!$G$5:$G$5004,$Q$10,Data!$C$5:$C$5004,$B35)+ExOn*SUMIFS(مثال_Example!$S$5:$S$804,مثال_Example!$B$5:$B$804,$Q$6,مثال_Example!$D$5:$D$804,$Q$7,مثال_Example!$E$5:$E$804,$Q$8,مثال_Example!$F$5:$F$804,$Q$9,مثال_Example!$G$5:$G$804,$Q$10,مثال_Example!$C$5:$C$804,$B35)))</f>
        <v>0</v>
      </c>
      <c r="I35" s="40" t="str">
        <f aca="false">IF($B35="","",IF($E35=0,"—",H35/$E35))</f>
        <v>—</v>
      </c>
      <c r="J35" s="42" t="str">
        <f aca="false">IF($B35="","",IF($E35=0,"لا توجد بيانات",IF(ROUND(F35/E35,10)&lt;=KeyA_VW,"Very Weak",IF(ROUND(F35/E35,10)&lt;KeyA_Weak,"Weak",IF(ROUND(H35/E35,10)&lt;KeyA_Acc,"Acceptable",IF(ROUND(H35/E35,10)&lt;=KeyA_Good,"Good",IF(ROUND(H35/E35,10)&lt;KeyA_Out,"Very Good","Outstanding")))))))</f>
        <v>لا توجد بيانات</v>
      </c>
      <c r="K35" s="39" t="n">
        <f aca="false">IF($B35="","",(SUMIFS(Data!$T$5:$T$5004,Data!$B$5:$B$5004,$Q$6,Data!$D$5:$D$5004,$Q$7,Data!$E$5:$E$5004,$Q$8,Data!$F$5:$F$5004,$Q$9,Data!$G$5:$G$5004,$Q$10,Data!$C$5:$C$5004,$B35)+ExOn*SUMIFS(مثال_Example!$T$5:$T$804,مثال_Example!$B$5:$B$804,$Q$6,مثال_Example!$D$5:$D$804,$Q$7,مثال_Example!$E$5:$E$804,$Q$8,مثال_Example!$F$5:$F$804,$Q$9,مثال_Example!$G$5:$G$804,$Q$10,مثال_Example!$C$5:$C$804,$B35))+(SUMIFS(Data!$U$5:$U$5004,Data!$B$5:$B$5004,$Q$6,Data!$D$5:$D$5004,$Q$7,Data!$E$5:$E$5004,$Q$8,Data!$F$5:$F$5004,$Q$9,Data!$G$5:$G$5004,$Q$10,Data!$C$5:$C$5004,$B35)+ExOn*SUMIFS(مثال_Example!$U$5:$U$804,مثال_Example!$B$5:$B$804,$Q$6,مثال_Example!$D$5:$D$804,$Q$7,مثال_Example!$E$5:$E$804,$Q$8,مثال_Example!$F$5:$F$804,$Q$9,مثال_Example!$G$5:$G$804,$Q$10,مثال_Example!$C$5:$C$804,$B35))+(SUMIFS(Data!$V$5:$V$5004,Data!$B$5:$B$5004,$Q$6,Data!$D$5:$D$5004,$Q$7,Data!$E$5:$E$5004,$Q$8,Data!$F$5:$F$5004,$Q$9,Data!$G$5:$G$5004,$Q$10,Data!$C$5:$C$5004,$B35)+ExOn*SUMIFS(مثال_Example!$V$5:$V$804,مثال_Example!$B$5:$B$804,$Q$6,مثال_Example!$D$5:$D$804,$Q$7,مثال_Example!$E$5:$E$804,$Q$8,مثال_Example!$F$5:$F$804,$Q$9,مثال_Example!$G$5:$G$804,$Q$10,مثال_Example!$C$5:$C$804,$B35)))</f>
        <v>0</v>
      </c>
      <c r="L35" s="39" t="n">
        <f aca="false">IF($B35="","",(SUMIFS(Data!$V$5:$V$5004,Data!$B$5:$B$5004,$Q$6,Data!$D$5:$D$5004,$Q$7,Data!$E$5:$E$5004,$Q$8,Data!$F$5:$F$5004,$Q$9,Data!$G$5:$G$5004,$Q$10,Data!$C$5:$C$5004,$B35)+ExOn*SUMIFS(مثال_Example!$V$5:$V$804,مثال_Example!$B$5:$B$804,$Q$6,مثال_Example!$D$5:$D$804,$Q$7,مثال_Example!$E$5:$E$804,$Q$8,مثال_Example!$F$5:$F$804,$Q$9,مثال_Example!$G$5:$G$804,$Q$10,مثال_Example!$C$5:$C$804,$B35)))</f>
        <v>0</v>
      </c>
      <c r="M35" s="40" t="str">
        <f aca="false">IF($B35="","",IF($K35=0,"—",L35/$K35))</f>
        <v>—</v>
      </c>
      <c r="N35" s="40" t="str">
        <f aca="false">IF($B35="","",IF($K35=0,"—",((SUMIFS(Data!$U$5:$U$5004,Data!$B$5:$B$5004,$Q$6,Data!$D$5:$D$5004,$Q$7,Data!$E$5:$E$5004,$Q$8,Data!$F$5:$F$5004,$Q$9,Data!$G$5:$G$5004,$Q$10,Data!$C$5:$C$5004,$B35)+ExOn*SUMIFS(مثال_Example!$U$5:$U$804,مثال_Example!$B$5:$B$804,$Q$6,مثال_Example!$D$5:$D$804,$Q$7,مثال_Example!$E$5:$E$804,$Q$8,مثال_Example!$F$5:$F$804,$Q$9,مثال_Example!$G$5:$G$804,$Q$10,مثال_Example!$C$5:$C$804,$B35))+L35)/$K35))</f>
        <v>—</v>
      </c>
      <c r="O35" s="42" t="str">
        <f aca="false">IF($B35="","",IF($K35=0,"لا توجد بيانات",IF(ROUND((((SUMIFS(Data!$U$5:$U$5004,Data!$B$5:$B$5004,$Q$6,Data!$D$5:$D$5004,$Q$7,Data!$E$5:$E$5004,$Q$8,Data!$F$5:$F$5004,$Q$9,Data!$G$5:$G$5004,$Q$10,Data!$C$5:$C$5004,$B35)+ExOn*SUMIFS(مثال_Example!$U$5:$U$804,مثال_Example!$B$5:$B$804,$Q$6,مثال_Example!$D$5:$D$804,$Q$7,مثال_Example!$E$5:$E$804,$Q$8,مثال_Example!$F$5:$F$804,$Q$9,مثال_Example!$G$5:$G$804,$Q$10,مثال_Example!$C$5:$C$804,$B35)))+L35)/K35,10)&lt;=KeyP_VW,"Very Weak",IF(ROUND((((SUMIFS(Data!$U$5:$U$5004,Data!$B$5:$B$5004,$Q$6,Data!$D$5:$D$5004,$Q$7,Data!$E$5:$E$5004,$Q$8,Data!$F$5:$F$5004,$Q$9,Data!$G$5:$G$5004,$Q$10,Data!$C$5:$C$5004,$B35)+ExOn*SUMIFS(مثال_Example!$U$5:$U$804,مثال_Example!$B$5:$B$804,$Q$6,مثال_Example!$D$5:$D$804,$Q$7,مثال_Example!$E$5:$E$804,$Q$8,مثال_Example!$F$5:$F$804,$Q$9,مثال_Example!$G$5:$G$804,$Q$10,مثال_Example!$C$5:$C$804,$B35)))+L35)/K35,10)&lt;KeyP_Weak,"Weak",IF(ROUND(L35/K35,10)&lt;KeyP_Acc,"Acceptable",IF(ROUND(L35/K35,10)&lt;=KeyP_Good,"Good",IF(ROUND(L35/K35,10)&lt;KeyP_Out,"Very Good","Outstanding")))))))</f>
        <v>لا توجد بيانات</v>
      </c>
      <c r="P35" s="1"/>
    </row>
    <row r="36" customFormat="false" ht="15" hidden="false" customHeight="false" outlineLevel="0" collapsed="false">
      <c r="A36" s="1"/>
      <c r="B36" s="51" t="str">
        <f aca="false">IF(Teachers!C32="","",Teachers!C32)</f>
        <v>Ms Rafah  Al Kanj</v>
      </c>
      <c r="C36" s="42" t="str">
        <f aca="false">IF($B36="","",Teachers!D32)</f>
        <v>Ab</v>
      </c>
      <c r="D36" s="42" t="n">
        <f aca="false">IF($B36="","",Teachers!F32)</f>
        <v>6</v>
      </c>
      <c r="E36" s="39" t="n">
        <f aca="false">IF($B36="","",(SUMIFS(Data!$Q$5:$Q$5004,Data!$B$5:$B$5004,$Q$6,Data!$D$5:$D$5004,$Q$7,Data!$E$5:$E$5004,$Q$8,Data!$F$5:$F$5004,$Q$9,Data!$G$5:$G$5004,$Q$10,Data!$C$5:$C$5004,$B36)+ExOn*SUMIFS(مثال_Example!$Q$5:$Q$804,مثال_Example!$B$5:$B$804,$Q$6,مثال_Example!$D$5:$D$804,$Q$7,مثال_Example!$E$5:$E$804,$Q$8,مثال_Example!$F$5:$F$804,$Q$9,مثال_Example!$G$5:$G$804,$Q$10,مثال_Example!$C$5:$C$804,$B36)))</f>
        <v>0</v>
      </c>
      <c r="F36" s="39" t="n">
        <f aca="false">IF($B36="","",(SUMIFS(Data!$R$5:$R$5004,Data!$B$5:$B$5004,$Q$6,Data!$D$5:$D$5004,$Q$7,Data!$E$5:$E$5004,$Q$8,Data!$F$5:$F$5004,$Q$9,Data!$G$5:$G$5004,$Q$10,Data!$C$5:$C$5004,$B36)+ExOn*SUMIFS(مثال_Example!$R$5:$R$804,مثال_Example!$B$5:$B$804,$Q$6,مثال_Example!$D$5:$D$804,$Q$7,مثال_Example!$E$5:$E$804,$Q$8,مثال_Example!$F$5:$F$804,$Q$9,مثال_Example!$G$5:$G$804,$Q$10,مثال_Example!$C$5:$C$804,$B36)))</f>
        <v>0</v>
      </c>
      <c r="G36" s="40" t="str">
        <f aca="false">IF($B36="","",IF($E36=0,"—",F36/$E36))</f>
        <v>—</v>
      </c>
      <c r="H36" s="39" t="n">
        <f aca="false">IF($B36="","",(SUMIFS(Data!$S$5:$S$5004,Data!$B$5:$B$5004,$Q$6,Data!$D$5:$D$5004,$Q$7,Data!$E$5:$E$5004,$Q$8,Data!$F$5:$F$5004,$Q$9,Data!$G$5:$G$5004,$Q$10,Data!$C$5:$C$5004,$B36)+ExOn*SUMIFS(مثال_Example!$S$5:$S$804,مثال_Example!$B$5:$B$804,$Q$6,مثال_Example!$D$5:$D$804,$Q$7,مثال_Example!$E$5:$E$804,$Q$8,مثال_Example!$F$5:$F$804,$Q$9,مثال_Example!$G$5:$G$804,$Q$10,مثال_Example!$C$5:$C$804,$B36)))</f>
        <v>0</v>
      </c>
      <c r="I36" s="40" t="str">
        <f aca="false">IF($B36="","",IF($E36=0,"—",H36/$E36))</f>
        <v>—</v>
      </c>
      <c r="J36" s="42" t="str">
        <f aca="false">IF($B36="","",IF($E36=0,"لا توجد بيانات",IF(ROUND(F36/E36,10)&lt;=KeyA_VW,"Very Weak",IF(ROUND(F36/E36,10)&lt;KeyA_Weak,"Weak",IF(ROUND(H36/E36,10)&lt;KeyA_Acc,"Acceptable",IF(ROUND(H36/E36,10)&lt;=KeyA_Good,"Good",IF(ROUND(H36/E36,10)&lt;KeyA_Out,"Very Good","Outstanding")))))))</f>
        <v>لا توجد بيانات</v>
      </c>
      <c r="K36" s="39" t="n">
        <f aca="false">IF($B36="","",(SUMIFS(Data!$T$5:$T$5004,Data!$B$5:$B$5004,$Q$6,Data!$D$5:$D$5004,$Q$7,Data!$E$5:$E$5004,$Q$8,Data!$F$5:$F$5004,$Q$9,Data!$G$5:$G$5004,$Q$10,Data!$C$5:$C$5004,$B36)+ExOn*SUMIFS(مثال_Example!$T$5:$T$804,مثال_Example!$B$5:$B$804,$Q$6,مثال_Example!$D$5:$D$804,$Q$7,مثال_Example!$E$5:$E$804,$Q$8,مثال_Example!$F$5:$F$804,$Q$9,مثال_Example!$G$5:$G$804,$Q$10,مثال_Example!$C$5:$C$804,$B36))+(SUMIFS(Data!$U$5:$U$5004,Data!$B$5:$B$5004,$Q$6,Data!$D$5:$D$5004,$Q$7,Data!$E$5:$E$5004,$Q$8,Data!$F$5:$F$5004,$Q$9,Data!$G$5:$G$5004,$Q$10,Data!$C$5:$C$5004,$B36)+ExOn*SUMIFS(مثال_Example!$U$5:$U$804,مثال_Example!$B$5:$B$804,$Q$6,مثال_Example!$D$5:$D$804,$Q$7,مثال_Example!$E$5:$E$804,$Q$8,مثال_Example!$F$5:$F$804,$Q$9,مثال_Example!$G$5:$G$804,$Q$10,مثال_Example!$C$5:$C$804,$B36))+(SUMIFS(Data!$V$5:$V$5004,Data!$B$5:$B$5004,$Q$6,Data!$D$5:$D$5004,$Q$7,Data!$E$5:$E$5004,$Q$8,Data!$F$5:$F$5004,$Q$9,Data!$G$5:$G$5004,$Q$10,Data!$C$5:$C$5004,$B36)+ExOn*SUMIFS(مثال_Example!$V$5:$V$804,مثال_Example!$B$5:$B$804,$Q$6,مثال_Example!$D$5:$D$804,$Q$7,مثال_Example!$E$5:$E$804,$Q$8,مثال_Example!$F$5:$F$804,$Q$9,مثال_Example!$G$5:$G$804,$Q$10,مثال_Example!$C$5:$C$804,$B36)))</f>
        <v>0</v>
      </c>
      <c r="L36" s="39" t="n">
        <f aca="false">IF($B36="","",(SUMIFS(Data!$V$5:$V$5004,Data!$B$5:$B$5004,$Q$6,Data!$D$5:$D$5004,$Q$7,Data!$E$5:$E$5004,$Q$8,Data!$F$5:$F$5004,$Q$9,Data!$G$5:$G$5004,$Q$10,Data!$C$5:$C$5004,$B36)+ExOn*SUMIFS(مثال_Example!$V$5:$V$804,مثال_Example!$B$5:$B$804,$Q$6,مثال_Example!$D$5:$D$804,$Q$7,مثال_Example!$E$5:$E$804,$Q$8,مثال_Example!$F$5:$F$804,$Q$9,مثال_Example!$G$5:$G$804,$Q$10,مثال_Example!$C$5:$C$804,$B36)))</f>
        <v>0</v>
      </c>
      <c r="M36" s="40" t="str">
        <f aca="false">IF($B36="","",IF($K36=0,"—",L36/$K36))</f>
        <v>—</v>
      </c>
      <c r="N36" s="40" t="str">
        <f aca="false">IF($B36="","",IF($K36=0,"—",((SUMIFS(Data!$U$5:$U$5004,Data!$B$5:$B$5004,$Q$6,Data!$D$5:$D$5004,$Q$7,Data!$E$5:$E$5004,$Q$8,Data!$F$5:$F$5004,$Q$9,Data!$G$5:$G$5004,$Q$10,Data!$C$5:$C$5004,$B36)+ExOn*SUMIFS(مثال_Example!$U$5:$U$804,مثال_Example!$B$5:$B$804,$Q$6,مثال_Example!$D$5:$D$804,$Q$7,مثال_Example!$E$5:$E$804,$Q$8,مثال_Example!$F$5:$F$804,$Q$9,مثال_Example!$G$5:$G$804,$Q$10,مثال_Example!$C$5:$C$804,$B36))+L36)/$K36))</f>
        <v>—</v>
      </c>
      <c r="O36" s="42" t="str">
        <f aca="false">IF($B36="","",IF($K36=0,"لا توجد بيانات",IF(ROUND((((SUMIFS(Data!$U$5:$U$5004,Data!$B$5:$B$5004,$Q$6,Data!$D$5:$D$5004,$Q$7,Data!$E$5:$E$5004,$Q$8,Data!$F$5:$F$5004,$Q$9,Data!$G$5:$G$5004,$Q$10,Data!$C$5:$C$5004,$B36)+ExOn*SUMIFS(مثال_Example!$U$5:$U$804,مثال_Example!$B$5:$B$804,$Q$6,مثال_Example!$D$5:$D$804,$Q$7,مثال_Example!$E$5:$E$804,$Q$8,مثال_Example!$F$5:$F$804,$Q$9,مثال_Example!$G$5:$G$804,$Q$10,مثال_Example!$C$5:$C$804,$B36)))+L36)/K36,10)&lt;=KeyP_VW,"Very Weak",IF(ROUND((((SUMIFS(Data!$U$5:$U$5004,Data!$B$5:$B$5004,$Q$6,Data!$D$5:$D$5004,$Q$7,Data!$E$5:$E$5004,$Q$8,Data!$F$5:$F$5004,$Q$9,Data!$G$5:$G$5004,$Q$10,Data!$C$5:$C$5004,$B36)+ExOn*SUMIFS(مثال_Example!$U$5:$U$804,مثال_Example!$B$5:$B$804,$Q$6,مثال_Example!$D$5:$D$804,$Q$7,مثال_Example!$E$5:$E$804,$Q$8,مثال_Example!$F$5:$F$804,$Q$9,مثال_Example!$G$5:$G$804,$Q$10,مثال_Example!$C$5:$C$804,$B36)))+L36)/K36,10)&lt;KeyP_Weak,"Weak",IF(ROUND(L36/K36,10)&lt;KeyP_Acc,"Acceptable",IF(ROUND(L36/K36,10)&lt;=KeyP_Good,"Good",IF(ROUND(L36/K36,10)&lt;KeyP_Out,"Very Good","Outstanding")))))))</f>
        <v>لا توجد بيانات</v>
      </c>
      <c r="P36" s="1"/>
    </row>
    <row r="37" customFormat="false" ht="15" hidden="false" customHeight="false" outlineLevel="0" collapsed="false">
      <c r="A37" s="1"/>
      <c r="B37" s="51" t="str">
        <f aca="false">IF(Teachers!C33="","",Teachers!C33)</f>
        <v>Ms RemondaElsaid  Bahnas</v>
      </c>
      <c r="C37" s="42" t="str">
        <f aca="false">IF($B37="","",Teachers!D33)</f>
        <v>Ab</v>
      </c>
      <c r="D37" s="42" t="n">
        <f aca="false">IF($B37="","",Teachers!F33)</f>
        <v>6</v>
      </c>
      <c r="E37" s="39" t="n">
        <f aca="false">IF($B37="","",(SUMIFS(Data!$Q$5:$Q$5004,Data!$B$5:$B$5004,$Q$6,Data!$D$5:$D$5004,$Q$7,Data!$E$5:$E$5004,$Q$8,Data!$F$5:$F$5004,$Q$9,Data!$G$5:$G$5004,$Q$10,Data!$C$5:$C$5004,$B37)+ExOn*SUMIFS(مثال_Example!$Q$5:$Q$804,مثال_Example!$B$5:$B$804,$Q$6,مثال_Example!$D$5:$D$804,$Q$7,مثال_Example!$E$5:$E$804,$Q$8,مثال_Example!$F$5:$F$804,$Q$9,مثال_Example!$G$5:$G$804,$Q$10,مثال_Example!$C$5:$C$804,$B37)))</f>
        <v>0</v>
      </c>
      <c r="F37" s="39" t="n">
        <f aca="false">IF($B37="","",(SUMIFS(Data!$R$5:$R$5004,Data!$B$5:$B$5004,$Q$6,Data!$D$5:$D$5004,$Q$7,Data!$E$5:$E$5004,$Q$8,Data!$F$5:$F$5004,$Q$9,Data!$G$5:$G$5004,$Q$10,Data!$C$5:$C$5004,$B37)+ExOn*SUMIFS(مثال_Example!$R$5:$R$804,مثال_Example!$B$5:$B$804,$Q$6,مثال_Example!$D$5:$D$804,$Q$7,مثال_Example!$E$5:$E$804,$Q$8,مثال_Example!$F$5:$F$804,$Q$9,مثال_Example!$G$5:$G$804,$Q$10,مثال_Example!$C$5:$C$804,$B37)))</f>
        <v>0</v>
      </c>
      <c r="G37" s="40" t="str">
        <f aca="false">IF($B37="","",IF($E37=0,"—",F37/$E37))</f>
        <v>—</v>
      </c>
      <c r="H37" s="39" t="n">
        <f aca="false">IF($B37="","",(SUMIFS(Data!$S$5:$S$5004,Data!$B$5:$B$5004,$Q$6,Data!$D$5:$D$5004,$Q$7,Data!$E$5:$E$5004,$Q$8,Data!$F$5:$F$5004,$Q$9,Data!$G$5:$G$5004,$Q$10,Data!$C$5:$C$5004,$B37)+ExOn*SUMIFS(مثال_Example!$S$5:$S$804,مثال_Example!$B$5:$B$804,$Q$6,مثال_Example!$D$5:$D$804,$Q$7,مثال_Example!$E$5:$E$804,$Q$8,مثال_Example!$F$5:$F$804,$Q$9,مثال_Example!$G$5:$G$804,$Q$10,مثال_Example!$C$5:$C$804,$B37)))</f>
        <v>0</v>
      </c>
      <c r="I37" s="40" t="str">
        <f aca="false">IF($B37="","",IF($E37=0,"—",H37/$E37))</f>
        <v>—</v>
      </c>
      <c r="J37" s="42" t="str">
        <f aca="false">IF($B37="","",IF($E37=0,"لا توجد بيانات",IF(ROUND(F37/E37,10)&lt;=KeyA_VW,"Very Weak",IF(ROUND(F37/E37,10)&lt;KeyA_Weak,"Weak",IF(ROUND(H37/E37,10)&lt;KeyA_Acc,"Acceptable",IF(ROUND(H37/E37,10)&lt;=KeyA_Good,"Good",IF(ROUND(H37/E37,10)&lt;KeyA_Out,"Very Good","Outstanding")))))))</f>
        <v>لا توجد بيانات</v>
      </c>
      <c r="K37" s="39" t="n">
        <f aca="false">IF($B37="","",(SUMIFS(Data!$T$5:$T$5004,Data!$B$5:$B$5004,$Q$6,Data!$D$5:$D$5004,$Q$7,Data!$E$5:$E$5004,$Q$8,Data!$F$5:$F$5004,$Q$9,Data!$G$5:$G$5004,$Q$10,Data!$C$5:$C$5004,$B37)+ExOn*SUMIFS(مثال_Example!$T$5:$T$804,مثال_Example!$B$5:$B$804,$Q$6,مثال_Example!$D$5:$D$804,$Q$7,مثال_Example!$E$5:$E$804,$Q$8,مثال_Example!$F$5:$F$804,$Q$9,مثال_Example!$G$5:$G$804,$Q$10,مثال_Example!$C$5:$C$804,$B37))+(SUMIFS(Data!$U$5:$U$5004,Data!$B$5:$B$5004,$Q$6,Data!$D$5:$D$5004,$Q$7,Data!$E$5:$E$5004,$Q$8,Data!$F$5:$F$5004,$Q$9,Data!$G$5:$G$5004,$Q$10,Data!$C$5:$C$5004,$B37)+ExOn*SUMIFS(مثال_Example!$U$5:$U$804,مثال_Example!$B$5:$B$804,$Q$6,مثال_Example!$D$5:$D$804,$Q$7,مثال_Example!$E$5:$E$804,$Q$8,مثال_Example!$F$5:$F$804,$Q$9,مثال_Example!$G$5:$G$804,$Q$10,مثال_Example!$C$5:$C$804,$B37))+(SUMIFS(Data!$V$5:$V$5004,Data!$B$5:$B$5004,$Q$6,Data!$D$5:$D$5004,$Q$7,Data!$E$5:$E$5004,$Q$8,Data!$F$5:$F$5004,$Q$9,Data!$G$5:$G$5004,$Q$10,Data!$C$5:$C$5004,$B37)+ExOn*SUMIFS(مثال_Example!$V$5:$V$804,مثال_Example!$B$5:$B$804,$Q$6,مثال_Example!$D$5:$D$804,$Q$7,مثال_Example!$E$5:$E$804,$Q$8,مثال_Example!$F$5:$F$804,$Q$9,مثال_Example!$G$5:$G$804,$Q$10,مثال_Example!$C$5:$C$804,$B37)))</f>
        <v>0</v>
      </c>
      <c r="L37" s="39" t="n">
        <f aca="false">IF($B37="","",(SUMIFS(Data!$V$5:$V$5004,Data!$B$5:$B$5004,$Q$6,Data!$D$5:$D$5004,$Q$7,Data!$E$5:$E$5004,$Q$8,Data!$F$5:$F$5004,$Q$9,Data!$G$5:$G$5004,$Q$10,Data!$C$5:$C$5004,$B37)+ExOn*SUMIFS(مثال_Example!$V$5:$V$804,مثال_Example!$B$5:$B$804,$Q$6,مثال_Example!$D$5:$D$804,$Q$7,مثال_Example!$E$5:$E$804,$Q$8,مثال_Example!$F$5:$F$804,$Q$9,مثال_Example!$G$5:$G$804,$Q$10,مثال_Example!$C$5:$C$804,$B37)))</f>
        <v>0</v>
      </c>
      <c r="M37" s="40" t="str">
        <f aca="false">IF($B37="","",IF($K37=0,"—",L37/$K37))</f>
        <v>—</v>
      </c>
      <c r="N37" s="40" t="str">
        <f aca="false">IF($B37="","",IF($K37=0,"—",((SUMIFS(Data!$U$5:$U$5004,Data!$B$5:$B$5004,$Q$6,Data!$D$5:$D$5004,$Q$7,Data!$E$5:$E$5004,$Q$8,Data!$F$5:$F$5004,$Q$9,Data!$G$5:$G$5004,$Q$10,Data!$C$5:$C$5004,$B37)+ExOn*SUMIFS(مثال_Example!$U$5:$U$804,مثال_Example!$B$5:$B$804,$Q$6,مثال_Example!$D$5:$D$804,$Q$7,مثال_Example!$E$5:$E$804,$Q$8,مثال_Example!$F$5:$F$804,$Q$9,مثال_Example!$G$5:$G$804,$Q$10,مثال_Example!$C$5:$C$804,$B37))+L37)/$K37))</f>
        <v>—</v>
      </c>
      <c r="O37" s="42" t="str">
        <f aca="false">IF($B37="","",IF($K37=0,"لا توجد بيانات",IF(ROUND((((SUMIFS(Data!$U$5:$U$5004,Data!$B$5:$B$5004,$Q$6,Data!$D$5:$D$5004,$Q$7,Data!$E$5:$E$5004,$Q$8,Data!$F$5:$F$5004,$Q$9,Data!$G$5:$G$5004,$Q$10,Data!$C$5:$C$5004,$B37)+ExOn*SUMIFS(مثال_Example!$U$5:$U$804,مثال_Example!$B$5:$B$804,$Q$6,مثال_Example!$D$5:$D$804,$Q$7,مثال_Example!$E$5:$E$804,$Q$8,مثال_Example!$F$5:$F$804,$Q$9,مثال_Example!$G$5:$G$804,$Q$10,مثال_Example!$C$5:$C$804,$B37)))+L37)/K37,10)&lt;=KeyP_VW,"Very Weak",IF(ROUND((((SUMIFS(Data!$U$5:$U$5004,Data!$B$5:$B$5004,$Q$6,Data!$D$5:$D$5004,$Q$7,Data!$E$5:$E$5004,$Q$8,Data!$F$5:$F$5004,$Q$9,Data!$G$5:$G$5004,$Q$10,Data!$C$5:$C$5004,$B37)+ExOn*SUMIFS(مثال_Example!$U$5:$U$804,مثال_Example!$B$5:$B$804,$Q$6,مثال_Example!$D$5:$D$804,$Q$7,مثال_Example!$E$5:$E$804,$Q$8,مثال_Example!$F$5:$F$804,$Q$9,مثال_Example!$G$5:$G$804,$Q$10,مثال_Example!$C$5:$C$804,$B37)))+L37)/K37,10)&lt;KeyP_Weak,"Weak",IF(ROUND(L37/K37,10)&lt;KeyP_Acc,"Acceptable",IF(ROUND(L37/K37,10)&lt;=KeyP_Good,"Good",IF(ROUND(L37/K37,10)&lt;KeyP_Out,"Very Good","Outstanding")))))))</f>
        <v>لا توجد بيانات</v>
      </c>
      <c r="P37" s="1"/>
    </row>
    <row r="38" customFormat="false" ht="15" hidden="false" customHeight="false" outlineLevel="0" collapsed="false">
      <c r="A38" s="1"/>
      <c r="B38" s="51" t="str">
        <f aca="false">IF(Teachers!C34="","",Teachers!C34)</f>
        <v>Ms Shaimaa  Abdelrahman</v>
      </c>
      <c r="C38" s="42" t="str">
        <f aca="false">IF($B38="","",Teachers!D34)</f>
        <v>Ab</v>
      </c>
      <c r="D38" s="42" t="n">
        <f aca="false">IF($B38="","",Teachers!F34)</f>
        <v>2</v>
      </c>
      <c r="E38" s="39" t="n">
        <f aca="false">IF($B38="","",(SUMIFS(Data!$Q$5:$Q$5004,Data!$B$5:$B$5004,$Q$6,Data!$D$5:$D$5004,$Q$7,Data!$E$5:$E$5004,$Q$8,Data!$F$5:$F$5004,$Q$9,Data!$G$5:$G$5004,$Q$10,Data!$C$5:$C$5004,$B38)+ExOn*SUMIFS(مثال_Example!$Q$5:$Q$804,مثال_Example!$B$5:$B$804,$Q$6,مثال_Example!$D$5:$D$804,$Q$7,مثال_Example!$E$5:$E$804,$Q$8,مثال_Example!$F$5:$F$804,$Q$9,مثال_Example!$G$5:$G$804,$Q$10,مثال_Example!$C$5:$C$804,$B38)))</f>
        <v>0</v>
      </c>
      <c r="F38" s="39" t="n">
        <f aca="false">IF($B38="","",(SUMIFS(Data!$R$5:$R$5004,Data!$B$5:$B$5004,$Q$6,Data!$D$5:$D$5004,$Q$7,Data!$E$5:$E$5004,$Q$8,Data!$F$5:$F$5004,$Q$9,Data!$G$5:$G$5004,$Q$10,Data!$C$5:$C$5004,$B38)+ExOn*SUMIFS(مثال_Example!$R$5:$R$804,مثال_Example!$B$5:$B$804,$Q$6,مثال_Example!$D$5:$D$804,$Q$7,مثال_Example!$E$5:$E$804,$Q$8,مثال_Example!$F$5:$F$804,$Q$9,مثال_Example!$G$5:$G$804,$Q$10,مثال_Example!$C$5:$C$804,$B38)))</f>
        <v>0</v>
      </c>
      <c r="G38" s="40" t="str">
        <f aca="false">IF($B38="","",IF($E38=0,"—",F38/$E38))</f>
        <v>—</v>
      </c>
      <c r="H38" s="39" t="n">
        <f aca="false">IF($B38="","",(SUMIFS(Data!$S$5:$S$5004,Data!$B$5:$B$5004,$Q$6,Data!$D$5:$D$5004,$Q$7,Data!$E$5:$E$5004,$Q$8,Data!$F$5:$F$5004,$Q$9,Data!$G$5:$G$5004,$Q$10,Data!$C$5:$C$5004,$B38)+ExOn*SUMIFS(مثال_Example!$S$5:$S$804,مثال_Example!$B$5:$B$804,$Q$6,مثال_Example!$D$5:$D$804,$Q$7,مثال_Example!$E$5:$E$804,$Q$8,مثال_Example!$F$5:$F$804,$Q$9,مثال_Example!$G$5:$G$804,$Q$10,مثال_Example!$C$5:$C$804,$B38)))</f>
        <v>0</v>
      </c>
      <c r="I38" s="40" t="str">
        <f aca="false">IF($B38="","",IF($E38=0,"—",H38/$E38))</f>
        <v>—</v>
      </c>
      <c r="J38" s="42" t="str">
        <f aca="false">IF($B38="","",IF($E38=0,"لا توجد بيانات",IF(ROUND(F38/E38,10)&lt;=KeyA_VW,"Very Weak",IF(ROUND(F38/E38,10)&lt;KeyA_Weak,"Weak",IF(ROUND(H38/E38,10)&lt;KeyA_Acc,"Acceptable",IF(ROUND(H38/E38,10)&lt;=KeyA_Good,"Good",IF(ROUND(H38/E38,10)&lt;KeyA_Out,"Very Good","Outstanding")))))))</f>
        <v>لا توجد بيانات</v>
      </c>
      <c r="K38" s="39" t="n">
        <f aca="false">IF($B38="","",(SUMIFS(Data!$T$5:$T$5004,Data!$B$5:$B$5004,$Q$6,Data!$D$5:$D$5004,$Q$7,Data!$E$5:$E$5004,$Q$8,Data!$F$5:$F$5004,$Q$9,Data!$G$5:$G$5004,$Q$10,Data!$C$5:$C$5004,$B38)+ExOn*SUMIFS(مثال_Example!$T$5:$T$804,مثال_Example!$B$5:$B$804,$Q$6,مثال_Example!$D$5:$D$804,$Q$7,مثال_Example!$E$5:$E$804,$Q$8,مثال_Example!$F$5:$F$804,$Q$9,مثال_Example!$G$5:$G$804,$Q$10,مثال_Example!$C$5:$C$804,$B38))+(SUMIFS(Data!$U$5:$U$5004,Data!$B$5:$B$5004,$Q$6,Data!$D$5:$D$5004,$Q$7,Data!$E$5:$E$5004,$Q$8,Data!$F$5:$F$5004,$Q$9,Data!$G$5:$G$5004,$Q$10,Data!$C$5:$C$5004,$B38)+ExOn*SUMIFS(مثال_Example!$U$5:$U$804,مثال_Example!$B$5:$B$804,$Q$6,مثال_Example!$D$5:$D$804,$Q$7,مثال_Example!$E$5:$E$804,$Q$8,مثال_Example!$F$5:$F$804,$Q$9,مثال_Example!$G$5:$G$804,$Q$10,مثال_Example!$C$5:$C$804,$B38))+(SUMIFS(Data!$V$5:$V$5004,Data!$B$5:$B$5004,$Q$6,Data!$D$5:$D$5004,$Q$7,Data!$E$5:$E$5004,$Q$8,Data!$F$5:$F$5004,$Q$9,Data!$G$5:$G$5004,$Q$10,Data!$C$5:$C$5004,$B38)+ExOn*SUMIFS(مثال_Example!$V$5:$V$804,مثال_Example!$B$5:$B$804,$Q$6,مثال_Example!$D$5:$D$804,$Q$7,مثال_Example!$E$5:$E$804,$Q$8,مثال_Example!$F$5:$F$804,$Q$9,مثال_Example!$G$5:$G$804,$Q$10,مثال_Example!$C$5:$C$804,$B38)))</f>
        <v>0</v>
      </c>
      <c r="L38" s="39" t="n">
        <f aca="false">IF($B38="","",(SUMIFS(Data!$V$5:$V$5004,Data!$B$5:$B$5004,$Q$6,Data!$D$5:$D$5004,$Q$7,Data!$E$5:$E$5004,$Q$8,Data!$F$5:$F$5004,$Q$9,Data!$G$5:$G$5004,$Q$10,Data!$C$5:$C$5004,$B38)+ExOn*SUMIFS(مثال_Example!$V$5:$V$804,مثال_Example!$B$5:$B$804,$Q$6,مثال_Example!$D$5:$D$804,$Q$7,مثال_Example!$E$5:$E$804,$Q$8,مثال_Example!$F$5:$F$804,$Q$9,مثال_Example!$G$5:$G$804,$Q$10,مثال_Example!$C$5:$C$804,$B38)))</f>
        <v>0</v>
      </c>
      <c r="M38" s="40" t="str">
        <f aca="false">IF($B38="","",IF($K38=0,"—",L38/$K38))</f>
        <v>—</v>
      </c>
      <c r="N38" s="40" t="str">
        <f aca="false">IF($B38="","",IF($K38=0,"—",((SUMIFS(Data!$U$5:$U$5004,Data!$B$5:$B$5004,$Q$6,Data!$D$5:$D$5004,$Q$7,Data!$E$5:$E$5004,$Q$8,Data!$F$5:$F$5004,$Q$9,Data!$G$5:$G$5004,$Q$10,Data!$C$5:$C$5004,$B38)+ExOn*SUMIFS(مثال_Example!$U$5:$U$804,مثال_Example!$B$5:$B$804,$Q$6,مثال_Example!$D$5:$D$804,$Q$7,مثال_Example!$E$5:$E$804,$Q$8,مثال_Example!$F$5:$F$804,$Q$9,مثال_Example!$G$5:$G$804,$Q$10,مثال_Example!$C$5:$C$804,$B38))+L38)/$K38))</f>
        <v>—</v>
      </c>
      <c r="O38" s="42" t="str">
        <f aca="false">IF($B38="","",IF($K38=0,"لا توجد بيانات",IF(ROUND((((SUMIFS(Data!$U$5:$U$5004,Data!$B$5:$B$5004,$Q$6,Data!$D$5:$D$5004,$Q$7,Data!$E$5:$E$5004,$Q$8,Data!$F$5:$F$5004,$Q$9,Data!$G$5:$G$5004,$Q$10,Data!$C$5:$C$5004,$B38)+ExOn*SUMIFS(مثال_Example!$U$5:$U$804,مثال_Example!$B$5:$B$804,$Q$6,مثال_Example!$D$5:$D$804,$Q$7,مثال_Example!$E$5:$E$804,$Q$8,مثال_Example!$F$5:$F$804,$Q$9,مثال_Example!$G$5:$G$804,$Q$10,مثال_Example!$C$5:$C$804,$B38)))+L38)/K38,10)&lt;=KeyP_VW,"Very Weak",IF(ROUND((((SUMIFS(Data!$U$5:$U$5004,Data!$B$5:$B$5004,$Q$6,Data!$D$5:$D$5004,$Q$7,Data!$E$5:$E$5004,$Q$8,Data!$F$5:$F$5004,$Q$9,Data!$G$5:$G$5004,$Q$10,Data!$C$5:$C$5004,$B38)+ExOn*SUMIFS(مثال_Example!$U$5:$U$804,مثال_Example!$B$5:$B$804,$Q$6,مثال_Example!$D$5:$D$804,$Q$7,مثال_Example!$E$5:$E$804,$Q$8,مثال_Example!$F$5:$F$804,$Q$9,مثال_Example!$G$5:$G$804,$Q$10,مثال_Example!$C$5:$C$804,$B38)))+L38)/K38,10)&lt;KeyP_Weak,"Weak",IF(ROUND(L38/K38,10)&lt;KeyP_Acc,"Acceptable",IF(ROUND(L38/K38,10)&lt;=KeyP_Good,"Good",IF(ROUND(L38/K38,10)&lt;KeyP_Out,"Very Good","Outstanding")))))))</f>
        <v>لا توجد بيانات</v>
      </c>
      <c r="P38" s="1"/>
    </row>
    <row r="39" customFormat="false" ht="15" hidden="false" customHeight="false" outlineLevel="0" collapsed="false">
      <c r="A39" s="1"/>
      <c r="B39" s="51" t="str">
        <f aca="false">IF(Teachers!C35="","",Teachers!C35)</f>
        <v>Ms Shaymaa Elnabarawy</v>
      </c>
      <c r="C39" s="42" t="str">
        <f aca="false">IF($B39="","",Teachers!D35)</f>
        <v>Ab</v>
      </c>
      <c r="D39" s="42" t="n">
        <f aca="false">IF($B39="","",Teachers!F35)</f>
        <v>7</v>
      </c>
      <c r="E39" s="39" t="n">
        <f aca="false">IF($B39="","",(SUMIFS(Data!$Q$5:$Q$5004,Data!$B$5:$B$5004,$Q$6,Data!$D$5:$D$5004,$Q$7,Data!$E$5:$E$5004,$Q$8,Data!$F$5:$F$5004,$Q$9,Data!$G$5:$G$5004,$Q$10,Data!$C$5:$C$5004,$B39)+ExOn*SUMIFS(مثال_Example!$Q$5:$Q$804,مثال_Example!$B$5:$B$804,$Q$6,مثال_Example!$D$5:$D$804,$Q$7,مثال_Example!$E$5:$E$804,$Q$8,مثال_Example!$F$5:$F$804,$Q$9,مثال_Example!$G$5:$G$804,$Q$10,مثال_Example!$C$5:$C$804,$B39)))</f>
        <v>0</v>
      </c>
      <c r="F39" s="39" t="n">
        <f aca="false">IF($B39="","",(SUMIFS(Data!$R$5:$R$5004,Data!$B$5:$B$5004,$Q$6,Data!$D$5:$D$5004,$Q$7,Data!$E$5:$E$5004,$Q$8,Data!$F$5:$F$5004,$Q$9,Data!$G$5:$G$5004,$Q$10,Data!$C$5:$C$5004,$B39)+ExOn*SUMIFS(مثال_Example!$R$5:$R$804,مثال_Example!$B$5:$B$804,$Q$6,مثال_Example!$D$5:$D$804,$Q$7,مثال_Example!$E$5:$E$804,$Q$8,مثال_Example!$F$5:$F$804,$Q$9,مثال_Example!$G$5:$G$804,$Q$10,مثال_Example!$C$5:$C$804,$B39)))</f>
        <v>0</v>
      </c>
      <c r="G39" s="40" t="str">
        <f aca="false">IF($B39="","",IF($E39=0,"—",F39/$E39))</f>
        <v>—</v>
      </c>
      <c r="H39" s="39" t="n">
        <f aca="false">IF($B39="","",(SUMIFS(Data!$S$5:$S$5004,Data!$B$5:$B$5004,$Q$6,Data!$D$5:$D$5004,$Q$7,Data!$E$5:$E$5004,$Q$8,Data!$F$5:$F$5004,$Q$9,Data!$G$5:$G$5004,$Q$10,Data!$C$5:$C$5004,$B39)+ExOn*SUMIFS(مثال_Example!$S$5:$S$804,مثال_Example!$B$5:$B$804,$Q$6,مثال_Example!$D$5:$D$804,$Q$7,مثال_Example!$E$5:$E$804,$Q$8,مثال_Example!$F$5:$F$804,$Q$9,مثال_Example!$G$5:$G$804,$Q$10,مثال_Example!$C$5:$C$804,$B39)))</f>
        <v>0</v>
      </c>
      <c r="I39" s="40" t="str">
        <f aca="false">IF($B39="","",IF($E39=0,"—",H39/$E39))</f>
        <v>—</v>
      </c>
      <c r="J39" s="42" t="str">
        <f aca="false">IF($B39="","",IF($E39=0,"لا توجد بيانات",IF(ROUND(F39/E39,10)&lt;=KeyA_VW,"Very Weak",IF(ROUND(F39/E39,10)&lt;KeyA_Weak,"Weak",IF(ROUND(H39/E39,10)&lt;KeyA_Acc,"Acceptable",IF(ROUND(H39/E39,10)&lt;=KeyA_Good,"Good",IF(ROUND(H39/E39,10)&lt;KeyA_Out,"Very Good","Outstanding")))))))</f>
        <v>لا توجد بيانات</v>
      </c>
      <c r="K39" s="39" t="n">
        <f aca="false">IF($B39="","",(SUMIFS(Data!$T$5:$T$5004,Data!$B$5:$B$5004,$Q$6,Data!$D$5:$D$5004,$Q$7,Data!$E$5:$E$5004,$Q$8,Data!$F$5:$F$5004,$Q$9,Data!$G$5:$G$5004,$Q$10,Data!$C$5:$C$5004,$B39)+ExOn*SUMIFS(مثال_Example!$T$5:$T$804,مثال_Example!$B$5:$B$804,$Q$6,مثال_Example!$D$5:$D$804,$Q$7,مثال_Example!$E$5:$E$804,$Q$8,مثال_Example!$F$5:$F$804,$Q$9,مثال_Example!$G$5:$G$804,$Q$10,مثال_Example!$C$5:$C$804,$B39))+(SUMIFS(Data!$U$5:$U$5004,Data!$B$5:$B$5004,$Q$6,Data!$D$5:$D$5004,$Q$7,Data!$E$5:$E$5004,$Q$8,Data!$F$5:$F$5004,$Q$9,Data!$G$5:$G$5004,$Q$10,Data!$C$5:$C$5004,$B39)+ExOn*SUMIFS(مثال_Example!$U$5:$U$804,مثال_Example!$B$5:$B$804,$Q$6,مثال_Example!$D$5:$D$804,$Q$7,مثال_Example!$E$5:$E$804,$Q$8,مثال_Example!$F$5:$F$804,$Q$9,مثال_Example!$G$5:$G$804,$Q$10,مثال_Example!$C$5:$C$804,$B39))+(SUMIFS(Data!$V$5:$V$5004,Data!$B$5:$B$5004,$Q$6,Data!$D$5:$D$5004,$Q$7,Data!$E$5:$E$5004,$Q$8,Data!$F$5:$F$5004,$Q$9,Data!$G$5:$G$5004,$Q$10,Data!$C$5:$C$5004,$B39)+ExOn*SUMIFS(مثال_Example!$V$5:$V$804,مثال_Example!$B$5:$B$804,$Q$6,مثال_Example!$D$5:$D$804,$Q$7,مثال_Example!$E$5:$E$804,$Q$8,مثال_Example!$F$5:$F$804,$Q$9,مثال_Example!$G$5:$G$804,$Q$10,مثال_Example!$C$5:$C$804,$B39)))</f>
        <v>0</v>
      </c>
      <c r="L39" s="39" t="n">
        <f aca="false">IF($B39="","",(SUMIFS(Data!$V$5:$V$5004,Data!$B$5:$B$5004,$Q$6,Data!$D$5:$D$5004,$Q$7,Data!$E$5:$E$5004,$Q$8,Data!$F$5:$F$5004,$Q$9,Data!$G$5:$G$5004,$Q$10,Data!$C$5:$C$5004,$B39)+ExOn*SUMIFS(مثال_Example!$V$5:$V$804,مثال_Example!$B$5:$B$804,$Q$6,مثال_Example!$D$5:$D$804,$Q$7,مثال_Example!$E$5:$E$804,$Q$8,مثال_Example!$F$5:$F$804,$Q$9,مثال_Example!$G$5:$G$804,$Q$10,مثال_Example!$C$5:$C$804,$B39)))</f>
        <v>0</v>
      </c>
      <c r="M39" s="40" t="str">
        <f aca="false">IF($B39="","",IF($K39=0,"—",L39/$K39))</f>
        <v>—</v>
      </c>
      <c r="N39" s="40" t="str">
        <f aca="false">IF($B39="","",IF($K39=0,"—",((SUMIFS(Data!$U$5:$U$5004,Data!$B$5:$B$5004,$Q$6,Data!$D$5:$D$5004,$Q$7,Data!$E$5:$E$5004,$Q$8,Data!$F$5:$F$5004,$Q$9,Data!$G$5:$G$5004,$Q$10,Data!$C$5:$C$5004,$B39)+ExOn*SUMIFS(مثال_Example!$U$5:$U$804,مثال_Example!$B$5:$B$804,$Q$6,مثال_Example!$D$5:$D$804,$Q$7,مثال_Example!$E$5:$E$804,$Q$8,مثال_Example!$F$5:$F$804,$Q$9,مثال_Example!$G$5:$G$804,$Q$10,مثال_Example!$C$5:$C$804,$B39))+L39)/$K39))</f>
        <v>—</v>
      </c>
      <c r="O39" s="42" t="str">
        <f aca="false">IF($B39="","",IF($K39=0,"لا توجد بيانات",IF(ROUND((((SUMIFS(Data!$U$5:$U$5004,Data!$B$5:$B$5004,$Q$6,Data!$D$5:$D$5004,$Q$7,Data!$E$5:$E$5004,$Q$8,Data!$F$5:$F$5004,$Q$9,Data!$G$5:$G$5004,$Q$10,Data!$C$5:$C$5004,$B39)+ExOn*SUMIFS(مثال_Example!$U$5:$U$804,مثال_Example!$B$5:$B$804,$Q$6,مثال_Example!$D$5:$D$804,$Q$7,مثال_Example!$E$5:$E$804,$Q$8,مثال_Example!$F$5:$F$804,$Q$9,مثال_Example!$G$5:$G$804,$Q$10,مثال_Example!$C$5:$C$804,$B39)))+L39)/K39,10)&lt;=KeyP_VW,"Very Weak",IF(ROUND((((SUMIFS(Data!$U$5:$U$5004,Data!$B$5:$B$5004,$Q$6,Data!$D$5:$D$5004,$Q$7,Data!$E$5:$E$5004,$Q$8,Data!$F$5:$F$5004,$Q$9,Data!$G$5:$G$5004,$Q$10,Data!$C$5:$C$5004,$B39)+ExOn*SUMIFS(مثال_Example!$U$5:$U$804,مثال_Example!$B$5:$B$804,$Q$6,مثال_Example!$D$5:$D$804,$Q$7,مثال_Example!$E$5:$E$804,$Q$8,مثال_Example!$F$5:$F$804,$Q$9,مثال_Example!$G$5:$G$804,$Q$10,مثال_Example!$C$5:$C$804,$B39)))+L39)/K39,10)&lt;KeyP_Weak,"Weak",IF(ROUND(L39/K39,10)&lt;KeyP_Acc,"Acceptable",IF(ROUND(L39/K39,10)&lt;=KeyP_Good,"Good",IF(ROUND(L39/K39,10)&lt;KeyP_Out,"Very Good","Outstanding")))))))</f>
        <v>لا توجد بيانات</v>
      </c>
      <c r="P39" s="1"/>
    </row>
    <row r="40" customFormat="false" ht="15" hidden="false" customHeight="false" outlineLevel="0" collapsed="false">
      <c r="A40" s="1"/>
      <c r="B40" s="51" t="str">
        <f aca="false">IF(Teachers!C36="","",Teachers!C36)</f>
        <v>Ms Sabrin  Kottb</v>
      </c>
      <c r="C40" s="42" t="str">
        <f aca="false">IF($B40="","",Teachers!D36)</f>
        <v>Ab</v>
      </c>
      <c r="D40" s="42" t="n">
        <f aca="false">IF($B40="","",Teachers!F36)</f>
        <v>6</v>
      </c>
      <c r="E40" s="39" t="n">
        <f aca="false">IF($B40="","",(SUMIFS(Data!$Q$5:$Q$5004,Data!$B$5:$B$5004,$Q$6,Data!$D$5:$D$5004,$Q$7,Data!$E$5:$E$5004,$Q$8,Data!$F$5:$F$5004,$Q$9,Data!$G$5:$G$5004,$Q$10,Data!$C$5:$C$5004,$B40)+ExOn*SUMIFS(مثال_Example!$Q$5:$Q$804,مثال_Example!$B$5:$B$804,$Q$6,مثال_Example!$D$5:$D$804,$Q$7,مثال_Example!$E$5:$E$804,$Q$8,مثال_Example!$F$5:$F$804,$Q$9,مثال_Example!$G$5:$G$804,$Q$10,مثال_Example!$C$5:$C$804,$B40)))</f>
        <v>0</v>
      </c>
      <c r="F40" s="39" t="n">
        <f aca="false">IF($B40="","",(SUMIFS(Data!$R$5:$R$5004,Data!$B$5:$B$5004,$Q$6,Data!$D$5:$D$5004,$Q$7,Data!$E$5:$E$5004,$Q$8,Data!$F$5:$F$5004,$Q$9,Data!$G$5:$G$5004,$Q$10,Data!$C$5:$C$5004,$B40)+ExOn*SUMIFS(مثال_Example!$R$5:$R$804,مثال_Example!$B$5:$B$804,$Q$6,مثال_Example!$D$5:$D$804,$Q$7,مثال_Example!$E$5:$E$804,$Q$8,مثال_Example!$F$5:$F$804,$Q$9,مثال_Example!$G$5:$G$804,$Q$10,مثال_Example!$C$5:$C$804,$B40)))</f>
        <v>0</v>
      </c>
      <c r="G40" s="40" t="str">
        <f aca="false">IF($B40="","",IF($E40=0,"—",F40/$E40))</f>
        <v>—</v>
      </c>
      <c r="H40" s="39" t="n">
        <f aca="false">IF($B40="","",(SUMIFS(Data!$S$5:$S$5004,Data!$B$5:$B$5004,$Q$6,Data!$D$5:$D$5004,$Q$7,Data!$E$5:$E$5004,$Q$8,Data!$F$5:$F$5004,$Q$9,Data!$G$5:$G$5004,$Q$10,Data!$C$5:$C$5004,$B40)+ExOn*SUMIFS(مثال_Example!$S$5:$S$804,مثال_Example!$B$5:$B$804,$Q$6,مثال_Example!$D$5:$D$804,$Q$7,مثال_Example!$E$5:$E$804,$Q$8,مثال_Example!$F$5:$F$804,$Q$9,مثال_Example!$G$5:$G$804,$Q$10,مثال_Example!$C$5:$C$804,$B40)))</f>
        <v>0</v>
      </c>
      <c r="I40" s="40" t="str">
        <f aca="false">IF($B40="","",IF($E40=0,"—",H40/$E40))</f>
        <v>—</v>
      </c>
      <c r="J40" s="42" t="str">
        <f aca="false">IF($B40="","",IF($E40=0,"لا توجد بيانات",IF(ROUND(F40/E40,10)&lt;=KeyA_VW,"Very Weak",IF(ROUND(F40/E40,10)&lt;KeyA_Weak,"Weak",IF(ROUND(H40/E40,10)&lt;KeyA_Acc,"Acceptable",IF(ROUND(H40/E40,10)&lt;=KeyA_Good,"Good",IF(ROUND(H40/E40,10)&lt;KeyA_Out,"Very Good","Outstanding")))))))</f>
        <v>لا توجد بيانات</v>
      </c>
      <c r="K40" s="39" t="n">
        <f aca="false">IF($B40="","",(SUMIFS(Data!$T$5:$T$5004,Data!$B$5:$B$5004,$Q$6,Data!$D$5:$D$5004,$Q$7,Data!$E$5:$E$5004,$Q$8,Data!$F$5:$F$5004,$Q$9,Data!$G$5:$G$5004,$Q$10,Data!$C$5:$C$5004,$B40)+ExOn*SUMIFS(مثال_Example!$T$5:$T$804,مثال_Example!$B$5:$B$804,$Q$6,مثال_Example!$D$5:$D$804,$Q$7,مثال_Example!$E$5:$E$804,$Q$8,مثال_Example!$F$5:$F$804,$Q$9,مثال_Example!$G$5:$G$804,$Q$10,مثال_Example!$C$5:$C$804,$B40))+(SUMIFS(Data!$U$5:$U$5004,Data!$B$5:$B$5004,$Q$6,Data!$D$5:$D$5004,$Q$7,Data!$E$5:$E$5004,$Q$8,Data!$F$5:$F$5004,$Q$9,Data!$G$5:$G$5004,$Q$10,Data!$C$5:$C$5004,$B40)+ExOn*SUMIFS(مثال_Example!$U$5:$U$804,مثال_Example!$B$5:$B$804,$Q$6,مثال_Example!$D$5:$D$804,$Q$7,مثال_Example!$E$5:$E$804,$Q$8,مثال_Example!$F$5:$F$804,$Q$9,مثال_Example!$G$5:$G$804,$Q$10,مثال_Example!$C$5:$C$804,$B40))+(SUMIFS(Data!$V$5:$V$5004,Data!$B$5:$B$5004,$Q$6,Data!$D$5:$D$5004,$Q$7,Data!$E$5:$E$5004,$Q$8,Data!$F$5:$F$5004,$Q$9,Data!$G$5:$G$5004,$Q$10,Data!$C$5:$C$5004,$B40)+ExOn*SUMIFS(مثال_Example!$V$5:$V$804,مثال_Example!$B$5:$B$804,$Q$6,مثال_Example!$D$5:$D$804,$Q$7,مثال_Example!$E$5:$E$804,$Q$8,مثال_Example!$F$5:$F$804,$Q$9,مثال_Example!$G$5:$G$804,$Q$10,مثال_Example!$C$5:$C$804,$B40)))</f>
        <v>0</v>
      </c>
      <c r="L40" s="39" t="n">
        <f aca="false">IF($B40="","",(SUMIFS(Data!$V$5:$V$5004,Data!$B$5:$B$5004,$Q$6,Data!$D$5:$D$5004,$Q$7,Data!$E$5:$E$5004,$Q$8,Data!$F$5:$F$5004,$Q$9,Data!$G$5:$G$5004,$Q$10,Data!$C$5:$C$5004,$B40)+ExOn*SUMIFS(مثال_Example!$V$5:$V$804,مثال_Example!$B$5:$B$804,$Q$6,مثال_Example!$D$5:$D$804,$Q$7,مثال_Example!$E$5:$E$804,$Q$8,مثال_Example!$F$5:$F$804,$Q$9,مثال_Example!$G$5:$G$804,$Q$10,مثال_Example!$C$5:$C$804,$B40)))</f>
        <v>0</v>
      </c>
      <c r="M40" s="40" t="str">
        <f aca="false">IF($B40="","",IF($K40=0,"—",L40/$K40))</f>
        <v>—</v>
      </c>
      <c r="N40" s="40" t="str">
        <f aca="false">IF($B40="","",IF($K40=0,"—",((SUMIFS(Data!$U$5:$U$5004,Data!$B$5:$B$5004,$Q$6,Data!$D$5:$D$5004,$Q$7,Data!$E$5:$E$5004,$Q$8,Data!$F$5:$F$5004,$Q$9,Data!$G$5:$G$5004,$Q$10,Data!$C$5:$C$5004,$B40)+ExOn*SUMIFS(مثال_Example!$U$5:$U$804,مثال_Example!$B$5:$B$804,$Q$6,مثال_Example!$D$5:$D$804,$Q$7,مثال_Example!$E$5:$E$804,$Q$8,مثال_Example!$F$5:$F$804,$Q$9,مثال_Example!$G$5:$G$804,$Q$10,مثال_Example!$C$5:$C$804,$B40))+L40)/$K40))</f>
        <v>—</v>
      </c>
      <c r="O40" s="42" t="str">
        <f aca="false">IF($B40="","",IF($K40=0,"لا توجد بيانات",IF(ROUND((((SUMIFS(Data!$U$5:$U$5004,Data!$B$5:$B$5004,$Q$6,Data!$D$5:$D$5004,$Q$7,Data!$E$5:$E$5004,$Q$8,Data!$F$5:$F$5004,$Q$9,Data!$G$5:$G$5004,$Q$10,Data!$C$5:$C$5004,$B40)+ExOn*SUMIFS(مثال_Example!$U$5:$U$804,مثال_Example!$B$5:$B$804,$Q$6,مثال_Example!$D$5:$D$804,$Q$7,مثال_Example!$E$5:$E$804,$Q$8,مثال_Example!$F$5:$F$804,$Q$9,مثال_Example!$G$5:$G$804,$Q$10,مثال_Example!$C$5:$C$804,$B40)))+L40)/K40,10)&lt;=KeyP_VW,"Very Weak",IF(ROUND((((SUMIFS(Data!$U$5:$U$5004,Data!$B$5:$B$5004,$Q$6,Data!$D$5:$D$5004,$Q$7,Data!$E$5:$E$5004,$Q$8,Data!$F$5:$F$5004,$Q$9,Data!$G$5:$G$5004,$Q$10,Data!$C$5:$C$5004,$B40)+ExOn*SUMIFS(مثال_Example!$U$5:$U$804,مثال_Example!$B$5:$B$804,$Q$6,مثال_Example!$D$5:$D$804,$Q$7,مثال_Example!$E$5:$E$804,$Q$8,مثال_Example!$F$5:$F$804,$Q$9,مثال_Example!$G$5:$G$804,$Q$10,مثال_Example!$C$5:$C$804,$B40)))+L40)/K40,10)&lt;KeyP_Weak,"Weak",IF(ROUND(L40/K40,10)&lt;KeyP_Acc,"Acceptable",IF(ROUND(L40/K40,10)&lt;=KeyP_Good,"Good",IF(ROUND(L40/K40,10)&lt;KeyP_Out,"Very Good","Outstanding")))))))</f>
        <v>لا توجد بيانات</v>
      </c>
      <c r="P40" s="1"/>
    </row>
    <row r="41" customFormat="false" ht="15" hidden="false" customHeight="false" outlineLevel="0" collapsed="false">
      <c r="A41" s="1"/>
      <c r="B41" s="51" t="str">
        <f aca="false">IF(Teachers!C37="","",Teachers!C37)</f>
        <v>Mr Yahia FouadHossni</v>
      </c>
      <c r="C41" s="42" t="str">
        <f aca="false">IF($B41="","",Teachers!D37)</f>
        <v>Ab</v>
      </c>
      <c r="D41" s="42" t="n">
        <f aca="false">IF($B41="","",Teachers!F37)</f>
        <v>7</v>
      </c>
      <c r="E41" s="39" t="n">
        <f aca="false">IF($B41="","",(SUMIFS(Data!$Q$5:$Q$5004,Data!$B$5:$B$5004,$Q$6,Data!$D$5:$D$5004,$Q$7,Data!$E$5:$E$5004,$Q$8,Data!$F$5:$F$5004,$Q$9,Data!$G$5:$G$5004,$Q$10,Data!$C$5:$C$5004,$B41)+ExOn*SUMIFS(مثال_Example!$Q$5:$Q$804,مثال_Example!$B$5:$B$804,$Q$6,مثال_Example!$D$5:$D$804,$Q$7,مثال_Example!$E$5:$E$804,$Q$8,مثال_Example!$F$5:$F$804,$Q$9,مثال_Example!$G$5:$G$804,$Q$10,مثال_Example!$C$5:$C$804,$B41)))</f>
        <v>0</v>
      </c>
      <c r="F41" s="39" t="n">
        <f aca="false">IF($B41="","",(SUMIFS(Data!$R$5:$R$5004,Data!$B$5:$B$5004,$Q$6,Data!$D$5:$D$5004,$Q$7,Data!$E$5:$E$5004,$Q$8,Data!$F$5:$F$5004,$Q$9,Data!$G$5:$G$5004,$Q$10,Data!$C$5:$C$5004,$B41)+ExOn*SUMIFS(مثال_Example!$R$5:$R$804,مثال_Example!$B$5:$B$804,$Q$6,مثال_Example!$D$5:$D$804,$Q$7,مثال_Example!$E$5:$E$804,$Q$8,مثال_Example!$F$5:$F$804,$Q$9,مثال_Example!$G$5:$G$804,$Q$10,مثال_Example!$C$5:$C$804,$B41)))</f>
        <v>0</v>
      </c>
      <c r="G41" s="40" t="str">
        <f aca="false">IF($B41="","",IF($E41=0,"—",F41/$E41))</f>
        <v>—</v>
      </c>
      <c r="H41" s="39" t="n">
        <f aca="false">IF($B41="","",(SUMIFS(Data!$S$5:$S$5004,Data!$B$5:$B$5004,$Q$6,Data!$D$5:$D$5004,$Q$7,Data!$E$5:$E$5004,$Q$8,Data!$F$5:$F$5004,$Q$9,Data!$G$5:$G$5004,$Q$10,Data!$C$5:$C$5004,$B41)+ExOn*SUMIFS(مثال_Example!$S$5:$S$804,مثال_Example!$B$5:$B$804,$Q$6,مثال_Example!$D$5:$D$804,$Q$7,مثال_Example!$E$5:$E$804,$Q$8,مثال_Example!$F$5:$F$804,$Q$9,مثال_Example!$G$5:$G$804,$Q$10,مثال_Example!$C$5:$C$804,$B41)))</f>
        <v>0</v>
      </c>
      <c r="I41" s="40" t="str">
        <f aca="false">IF($B41="","",IF($E41=0,"—",H41/$E41))</f>
        <v>—</v>
      </c>
      <c r="J41" s="42" t="str">
        <f aca="false">IF($B41="","",IF($E41=0,"لا توجد بيانات",IF(ROUND(F41/E41,10)&lt;=KeyA_VW,"Very Weak",IF(ROUND(F41/E41,10)&lt;KeyA_Weak,"Weak",IF(ROUND(H41/E41,10)&lt;KeyA_Acc,"Acceptable",IF(ROUND(H41/E41,10)&lt;=KeyA_Good,"Good",IF(ROUND(H41/E41,10)&lt;KeyA_Out,"Very Good","Outstanding")))))))</f>
        <v>لا توجد بيانات</v>
      </c>
      <c r="K41" s="39" t="n">
        <f aca="false">IF($B41="","",(SUMIFS(Data!$T$5:$T$5004,Data!$B$5:$B$5004,$Q$6,Data!$D$5:$D$5004,$Q$7,Data!$E$5:$E$5004,$Q$8,Data!$F$5:$F$5004,$Q$9,Data!$G$5:$G$5004,$Q$10,Data!$C$5:$C$5004,$B41)+ExOn*SUMIFS(مثال_Example!$T$5:$T$804,مثال_Example!$B$5:$B$804,$Q$6,مثال_Example!$D$5:$D$804,$Q$7,مثال_Example!$E$5:$E$804,$Q$8,مثال_Example!$F$5:$F$804,$Q$9,مثال_Example!$G$5:$G$804,$Q$10,مثال_Example!$C$5:$C$804,$B41))+(SUMIFS(Data!$U$5:$U$5004,Data!$B$5:$B$5004,$Q$6,Data!$D$5:$D$5004,$Q$7,Data!$E$5:$E$5004,$Q$8,Data!$F$5:$F$5004,$Q$9,Data!$G$5:$G$5004,$Q$10,Data!$C$5:$C$5004,$B41)+ExOn*SUMIFS(مثال_Example!$U$5:$U$804,مثال_Example!$B$5:$B$804,$Q$6,مثال_Example!$D$5:$D$804,$Q$7,مثال_Example!$E$5:$E$804,$Q$8,مثال_Example!$F$5:$F$804,$Q$9,مثال_Example!$G$5:$G$804,$Q$10,مثال_Example!$C$5:$C$804,$B41))+(SUMIFS(Data!$V$5:$V$5004,Data!$B$5:$B$5004,$Q$6,Data!$D$5:$D$5004,$Q$7,Data!$E$5:$E$5004,$Q$8,Data!$F$5:$F$5004,$Q$9,Data!$G$5:$G$5004,$Q$10,Data!$C$5:$C$5004,$B41)+ExOn*SUMIFS(مثال_Example!$V$5:$V$804,مثال_Example!$B$5:$B$804,$Q$6,مثال_Example!$D$5:$D$804,$Q$7,مثال_Example!$E$5:$E$804,$Q$8,مثال_Example!$F$5:$F$804,$Q$9,مثال_Example!$G$5:$G$804,$Q$10,مثال_Example!$C$5:$C$804,$B41)))</f>
        <v>0</v>
      </c>
      <c r="L41" s="39" t="n">
        <f aca="false">IF($B41="","",(SUMIFS(Data!$V$5:$V$5004,Data!$B$5:$B$5004,$Q$6,Data!$D$5:$D$5004,$Q$7,Data!$E$5:$E$5004,$Q$8,Data!$F$5:$F$5004,$Q$9,Data!$G$5:$G$5004,$Q$10,Data!$C$5:$C$5004,$B41)+ExOn*SUMIFS(مثال_Example!$V$5:$V$804,مثال_Example!$B$5:$B$804,$Q$6,مثال_Example!$D$5:$D$804,$Q$7,مثال_Example!$E$5:$E$804,$Q$8,مثال_Example!$F$5:$F$804,$Q$9,مثال_Example!$G$5:$G$804,$Q$10,مثال_Example!$C$5:$C$804,$B41)))</f>
        <v>0</v>
      </c>
      <c r="M41" s="40" t="str">
        <f aca="false">IF($B41="","",IF($K41=0,"—",L41/$K41))</f>
        <v>—</v>
      </c>
      <c r="N41" s="40" t="str">
        <f aca="false">IF($B41="","",IF($K41=0,"—",((SUMIFS(Data!$U$5:$U$5004,Data!$B$5:$B$5004,$Q$6,Data!$D$5:$D$5004,$Q$7,Data!$E$5:$E$5004,$Q$8,Data!$F$5:$F$5004,$Q$9,Data!$G$5:$G$5004,$Q$10,Data!$C$5:$C$5004,$B41)+ExOn*SUMIFS(مثال_Example!$U$5:$U$804,مثال_Example!$B$5:$B$804,$Q$6,مثال_Example!$D$5:$D$804,$Q$7,مثال_Example!$E$5:$E$804,$Q$8,مثال_Example!$F$5:$F$804,$Q$9,مثال_Example!$G$5:$G$804,$Q$10,مثال_Example!$C$5:$C$804,$B41))+L41)/$K41))</f>
        <v>—</v>
      </c>
      <c r="O41" s="42" t="str">
        <f aca="false">IF($B41="","",IF($K41=0,"لا توجد بيانات",IF(ROUND((((SUMIFS(Data!$U$5:$U$5004,Data!$B$5:$B$5004,$Q$6,Data!$D$5:$D$5004,$Q$7,Data!$E$5:$E$5004,$Q$8,Data!$F$5:$F$5004,$Q$9,Data!$G$5:$G$5004,$Q$10,Data!$C$5:$C$5004,$B41)+ExOn*SUMIFS(مثال_Example!$U$5:$U$804,مثال_Example!$B$5:$B$804,$Q$6,مثال_Example!$D$5:$D$804,$Q$7,مثال_Example!$E$5:$E$804,$Q$8,مثال_Example!$F$5:$F$804,$Q$9,مثال_Example!$G$5:$G$804,$Q$10,مثال_Example!$C$5:$C$804,$B41)))+L41)/K41,10)&lt;=KeyP_VW,"Very Weak",IF(ROUND((((SUMIFS(Data!$U$5:$U$5004,Data!$B$5:$B$5004,$Q$6,Data!$D$5:$D$5004,$Q$7,Data!$E$5:$E$5004,$Q$8,Data!$F$5:$F$5004,$Q$9,Data!$G$5:$G$5004,$Q$10,Data!$C$5:$C$5004,$B41)+ExOn*SUMIFS(مثال_Example!$U$5:$U$804,مثال_Example!$B$5:$B$804,$Q$6,مثال_Example!$D$5:$D$804,$Q$7,مثال_Example!$E$5:$E$804,$Q$8,مثال_Example!$F$5:$F$804,$Q$9,مثال_Example!$G$5:$G$804,$Q$10,مثال_Example!$C$5:$C$804,$B41)))+L41)/K41,10)&lt;KeyP_Weak,"Weak",IF(ROUND(L41/K41,10)&lt;KeyP_Acc,"Acceptable",IF(ROUND(L41/K41,10)&lt;=KeyP_Good,"Good",IF(ROUND(L41/K41,10)&lt;KeyP_Out,"Very Good","Outstanding")))))))</f>
        <v>لا توجد بيانات</v>
      </c>
      <c r="P41" s="1"/>
    </row>
    <row r="42" customFormat="false" ht="15" hidden="false" customHeight="false" outlineLevel="0" collapsed="false">
      <c r="A42" s="1"/>
      <c r="B42" s="51" t="str">
        <f aca="false">IF(Teachers!C38="","",Teachers!C38)</f>
        <v>Ms Asmaa Fathy Mohamed</v>
      </c>
      <c r="C42" s="42" t="str">
        <f aca="false">IF($B42="","",Teachers!D38)</f>
        <v>Ae</v>
      </c>
      <c r="D42" s="42" t="n">
        <f aca="false">IF($B42="","",Teachers!F38)</f>
        <v>0</v>
      </c>
      <c r="E42" s="39" t="n">
        <f aca="false">IF($B42="","",(SUMIFS(Data!$Q$5:$Q$5004,Data!$B$5:$B$5004,$Q$6,Data!$D$5:$D$5004,$Q$7,Data!$E$5:$E$5004,$Q$8,Data!$F$5:$F$5004,$Q$9,Data!$G$5:$G$5004,$Q$10,Data!$C$5:$C$5004,$B42)+ExOn*SUMIFS(مثال_Example!$Q$5:$Q$804,مثال_Example!$B$5:$B$804,$Q$6,مثال_Example!$D$5:$D$804,$Q$7,مثال_Example!$E$5:$E$804,$Q$8,مثال_Example!$F$5:$F$804,$Q$9,مثال_Example!$G$5:$G$804,$Q$10,مثال_Example!$C$5:$C$804,$B42)))</f>
        <v>0</v>
      </c>
      <c r="F42" s="39" t="n">
        <f aca="false">IF($B42="","",(SUMIFS(Data!$R$5:$R$5004,Data!$B$5:$B$5004,$Q$6,Data!$D$5:$D$5004,$Q$7,Data!$E$5:$E$5004,$Q$8,Data!$F$5:$F$5004,$Q$9,Data!$G$5:$G$5004,$Q$10,Data!$C$5:$C$5004,$B42)+ExOn*SUMIFS(مثال_Example!$R$5:$R$804,مثال_Example!$B$5:$B$804,$Q$6,مثال_Example!$D$5:$D$804,$Q$7,مثال_Example!$E$5:$E$804,$Q$8,مثال_Example!$F$5:$F$804,$Q$9,مثال_Example!$G$5:$G$804,$Q$10,مثال_Example!$C$5:$C$804,$B42)))</f>
        <v>0</v>
      </c>
      <c r="G42" s="40" t="str">
        <f aca="false">IF($B42="","",IF($E42=0,"—",F42/$E42))</f>
        <v>—</v>
      </c>
      <c r="H42" s="39" t="n">
        <f aca="false">IF($B42="","",(SUMIFS(Data!$S$5:$S$5004,Data!$B$5:$B$5004,$Q$6,Data!$D$5:$D$5004,$Q$7,Data!$E$5:$E$5004,$Q$8,Data!$F$5:$F$5004,$Q$9,Data!$G$5:$G$5004,$Q$10,Data!$C$5:$C$5004,$B42)+ExOn*SUMIFS(مثال_Example!$S$5:$S$804,مثال_Example!$B$5:$B$804,$Q$6,مثال_Example!$D$5:$D$804,$Q$7,مثال_Example!$E$5:$E$804,$Q$8,مثال_Example!$F$5:$F$804,$Q$9,مثال_Example!$G$5:$G$804,$Q$10,مثال_Example!$C$5:$C$804,$B42)))</f>
        <v>0</v>
      </c>
      <c r="I42" s="40" t="str">
        <f aca="false">IF($B42="","",IF($E42=0,"—",H42/$E42))</f>
        <v>—</v>
      </c>
      <c r="J42" s="42" t="str">
        <f aca="false">IF($B42="","",IF($E42=0,"لا توجد بيانات",IF(ROUND(F42/E42,10)&lt;=KeyA_VW,"Very Weak",IF(ROUND(F42/E42,10)&lt;KeyA_Weak,"Weak",IF(ROUND(H42/E42,10)&lt;KeyA_Acc,"Acceptable",IF(ROUND(H42/E42,10)&lt;=KeyA_Good,"Good",IF(ROUND(H42/E42,10)&lt;KeyA_Out,"Very Good","Outstanding")))))))</f>
        <v>لا توجد بيانات</v>
      </c>
      <c r="K42" s="39" t="n">
        <f aca="false">IF($B42="","",(SUMIFS(Data!$T$5:$T$5004,Data!$B$5:$B$5004,$Q$6,Data!$D$5:$D$5004,$Q$7,Data!$E$5:$E$5004,$Q$8,Data!$F$5:$F$5004,$Q$9,Data!$G$5:$G$5004,$Q$10,Data!$C$5:$C$5004,$B42)+ExOn*SUMIFS(مثال_Example!$T$5:$T$804,مثال_Example!$B$5:$B$804,$Q$6,مثال_Example!$D$5:$D$804,$Q$7,مثال_Example!$E$5:$E$804,$Q$8,مثال_Example!$F$5:$F$804,$Q$9,مثال_Example!$G$5:$G$804,$Q$10,مثال_Example!$C$5:$C$804,$B42))+(SUMIFS(Data!$U$5:$U$5004,Data!$B$5:$B$5004,$Q$6,Data!$D$5:$D$5004,$Q$7,Data!$E$5:$E$5004,$Q$8,Data!$F$5:$F$5004,$Q$9,Data!$G$5:$G$5004,$Q$10,Data!$C$5:$C$5004,$B42)+ExOn*SUMIFS(مثال_Example!$U$5:$U$804,مثال_Example!$B$5:$B$804,$Q$6,مثال_Example!$D$5:$D$804,$Q$7,مثال_Example!$E$5:$E$804,$Q$8,مثال_Example!$F$5:$F$804,$Q$9,مثال_Example!$G$5:$G$804,$Q$10,مثال_Example!$C$5:$C$804,$B42))+(SUMIFS(Data!$V$5:$V$5004,Data!$B$5:$B$5004,$Q$6,Data!$D$5:$D$5004,$Q$7,Data!$E$5:$E$5004,$Q$8,Data!$F$5:$F$5004,$Q$9,Data!$G$5:$G$5004,$Q$10,Data!$C$5:$C$5004,$B42)+ExOn*SUMIFS(مثال_Example!$V$5:$V$804,مثال_Example!$B$5:$B$804,$Q$6,مثال_Example!$D$5:$D$804,$Q$7,مثال_Example!$E$5:$E$804,$Q$8,مثال_Example!$F$5:$F$804,$Q$9,مثال_Example!$G$5:$G$804,$Q$10,مثال_Example!$C$5:$C$804,$B42)))</f>
        <v>0</v>
      </c>
      <c r="L42" s="39" t="n">
        <f aca="false">IF($B42="","",(SUMIFS(Data!$V$5:$V$5004,Data!$B$5:$B$5004,$Q$6,Data!$D$5:$D$5004,$Q$7,Data!$E$5:$E$5004,$Q$8,Data!$F$5:$F$5004,$Q$9,Data!$G$5:$G$5004,$Q$10,Data!$C$5:$C$5004,$B42)+ExOn*SUMIFS(مثال_Example!$V$5:$V$804,مثال_Example!$B$5:$B$804,$Q$6,مثال_Example!$D$5:$D$804,$Q$7,مثال_Example!$E$5:$E$804,$Q$8,مثال_Example!$F$5:$F$804,$Q$9,مثال_Example!$G$5:$G$804,$Q$10,مثال_Example!$C$5:$C$804,$B42)))</f>
        <v>0</v>
      </c>
      <c r="M42" s="40" t="str">
        <f aca="false">IF($B42="","",IF($K42=0,"—",L42/$K42))</f>
        <v>—</v>
      </c>
      <c r="N42" s="40" t="str">
        <f aca="false">IF($B42="","",IF($K42=0,"—",((SUMIFS(Data!$U$5:$U$5004,Data!$B$5:$B$5004,$Q$6,Data!$D$5:$D$5004,$Q$7,Data!$E$5:$E$5004,$Q$8,Data!$F$5:$F$5004,$Q$9,Data!$G$5:$G$5004,$Q$10,Data!$C$5:$C$5004,$B42)+ExOn*SUMIFS(مثال_Example!$U$5:$U$804,مثال_Example!$B$5:$B$804,$Q$6,مثال_Example!$D$5:$D$804,$Q$7,مثال_Example!$E$5:$E$804,$Q$8,مثال_Example!$F$5:$F$804,$Q$9,مثال_Example!$G$5:$G$804,$Q$10,مثال_Example!$C$5:$C$804,$B42))+L42)/$K42))</f>
        <v>—</v>
      </c>
      <c r="O42" s="42" t="str">
        <f aca="false">IF($B42="","",IF($K42=0,"لا توجد بيانات",IF(ROUND((((SUMIFS(Data!$U$5:$U$5004,Data!$B$5:$B$5004,$Q$6,Data!$D$5:$D$5004,$Q$7,Data!$E$5:$E$5004,$Q$8,Data!$F$5:$F$5004,$Q$9,Data!$G$5:$G$5004,$Q$10,Data!$C$5:$C$5004,$B42)+ExOn*SUMIFS(مثال_Example!$U$5:$U$804,مثال_Example!$B$5:$B$804,$Q$6,مثال_Example!$D$5:$D$804,$Q$7,مثال_Example!$E$5:$E$804,$Q$8,مثال_Example!$F$5:$F$804,$Q$9,مثال_Example!$G$5:$G$804,$Q$10,مثال_Example!$C$5:$C$804,$B42)))+L42)/K42,10)&lt;=KeyP_VW,"Very Weak",IF(ROUND((((SUMIFS(Data!$U$5:$U$5004,Data!$B$5:$B$5004,$Q$6,Data!$D$5:$D$5004,$Q$7,Data!$E$5:$E$5004,$Q$8,Data!$F$5:$F$5004,$Q$9,Data!$G$5:$G$5004,$Q$10,Data!$C$5:$C$5004,$B42)+ExOn*SUMIFS(مثال_Example!$U$5:$U$804,مثال_Example!$B$5:$B$804,$Q$6,مثال_Example!$D$5:$D$804,$Q$7,مثال_Example!$E$5:$E$804,$Q$8,مثال_Example!$F$5:$F$804,$Q$9,مثال_Example!$G$5:$G$804,$Q$10,مثال_Example!$C$5:$C$804,$B42)))+L42)/K42,10)&lt;KeyP_Weak,"Weak",IF(ROUND(L42/K42,10)&lt;KeyP_Acc,"Acceptable",IF(ROUND(L42/K42,10)&lt;=KeyP_Good,"Good",IF(ROUND(L42/K42,10)&lt;KeyP_Out,"Very Good","Outstanding")))))))</f>
        <v>لا توجد بيانات</v>
      </c>
      <c r="P42" s="1"/>
    </row>
    <row r="43" customFormat="false" ht="15" hidden="false" customHeight="false" outlineLevel="0" collapsed="false">
      <c r="A43" s="1"/>
      <c r="B43" s="51" t="str">
        <f aca="false">IF(Teachers!C39="","",Teachers!C39)</f>
        <v>Ms Hiba Alzaidi</v>
      </c>
      <c r="C43" s="42" t="str">
        <f aca="false">IF($B43="","",Teachers!D39)</f>
        <v>Ae</v>
      </c>
      <c r="D43" s="42" t="n">
        <f aca="false">IF($B43="","",Teachers!F39)</f>
        <v>2</v>
      </c>
      <c r="E43" s="39" t="n">
        <f aca="false">IF($B43="","",(SUMIFS(Data!$Q$5:$Q$5004,Data!$B$5:$B$5004,$Q$6,Data!$D$5:$D$5004,$Q$7,Data!$E$5:$E$5004,$Q$8,Data!$F$5:$F$5004,$Q$9,Data!$G$5:$G$5004,$Q$10,Data!$C$5:$C$5004,$B43)+ExOn*SUMIFS(مثال_Example!$Q$5:$Q$804,مثال_Example!$B$5:$B$804,$Q$6,مثال_Example!$D$5:$D$804,$Q$7,مثال_Example!$E$5:$E$804,$Q$8,مثال_Example!$F$5:$F$804,$Q$9,مثال_Example!$G$5:$G$804,$Q$10,مثال_Example!$C$5:$C$804,$B43)))</f>
        <v>0</v>
      </c>
      <c r="F43" s="39" t="n">
        <f aca="false">IF($B43="","",(SUMIFS(Data!$R$5:$R$5004,Data!$B$5:$B$5004,$Q$6,Data!$D$5:$D$5004,$Q$7,Data!$E$5:$E$5004,$Q$8,Data!$F$5:$F$5004,$Q$9,Data!$G$5:$G$5004,$Q$10,Data!$C$5:$C$5004,$B43)+ExOn*SUMIFS(مثال_Example!$R$5:$R$804,مثال_Example!$B$5:$B$804,$Q$6,مثال_Example!$D$5:$D$804,$Q$7,مثال_Example!$E$5:$E$804,$Q$8,مثال_Example!$F$5:$F$804,$Q$9,مثال_Example!$G$5:$G$804,$Q$10,مثال_Example!$C$5:$C$804,$B43)))</f>
        <v>0</v>
      </c>
      <c r="G43" s="40" t="str">
        <f aca="false">IF($B43="","",IF($E43=0,"—",F43/$E43))</f>
        <v>—</v>
      </c>
      <c r="H43" s="39" t="n">
        <f aca="false">IF($B43="","",(SUMIFS(Data!$S$5:$S$5004,Data!$B$5:$B$5004,$Q$6,Data!$D$5:$D$5004,$Q$7,Data!$E$5:$E$5004,$Q$8,Data!$F$5:$F$5004,$Q$9,Data!$G$5:$G$5004,$Q$10,Data!$C$5:$C$5004,$B43)+ExOn*SUMIFS(مثال_Example!$S$5:$S$804,مثال_Example!$B$5:$B$804,$Q$6,مثال_Example!$D$5:$D$804,$Q$7,مثال_Example!$E$5:$E$804,$Q$8,مثال_Example!$F$5:$F$804,$Q$9,مثال_Example!$G$5:$G$804,$Q$10,مثال_Example!$C$5:$C$804,$B43)))</f>
        <v>0</v>
      </c>
      <c r="I43" s="40" t="str">
        <f aca="false">IF($B43="","",IF($E43=0,"—",H43/$E43))</f>
        <v>—</v>
      </c>
      <c r="J43" s="42" t="str">
        <f aca="false">IF($B43="","",IF($E43=0,"لا توجد بيانات",IF(ROUND(F43/E43,10)&lt;=KeyA_VW,"Very Weak",IF(ROUND(F43/E43,10)&lt;KeyA_Weak,"Weak",IF(ROUND(H43/E43,10)&lt;KeyA_Acc,"Acceptable",IF(ROUND(H43/E43,10)&lt;=KeyA_Good,"Good",IF(ROUND(H43/E43,10)&lt;KeyA_Out,"Very Good","Outstanding")))))))</f>
        <v>لا توجد بيانات</v>
      </c>
      <c r="K43" s="39" t="n">
        <f aca="false">IF($B43="","",(SUMIFS(Data!$T$5:$T$5004,Data!$B$5:$B$5004,$Q$6,Data!$D$5:$D$5004,$Q$7,Data!$E$5:$E$5004,$Q$8,Data!$F$5:$F$5004,$Q$9,Data!$G$5:$G$5004,$Q$10,Data!$C$5:$C$5004,$B43)+ExOn*SUMIFS(مثال_Example!$T$5:$T$804,مثال_Example!$B$5:$B$804,$Q$6,مثال_Example!$D$5:$D$804,$Q$7,مثال_Example!$E$5:$E$804,$Q$8,مثال_Example!$F$5:$F$804,$Q$9,مثال_Example!$G$5:$G$804,$Q$10,مثال_Example!$C$5:$C$804,$B43))+(SUMIFS(Data!$U$5:$U$5004,Data!$B$5:$B$5004,$Q$6,Data!$D$5:$D$5004,$Q$7,Data!$E$5:$E$5004,$Q$8,Data!$F$5:$F$5004,$Q$9,Data!$G$5:$G$5004,$Q$10,Data!$C$5:$C$5004,$B43)+ExOn*SUMIFS(مثال_Example!$U$5:$U$804,مثال_Example!$B$5:$B$804,$Q$6,مثال_Example!$D$5:$D$804,$Q$7,مثال_Example!$E$5:$E$804,$Q$8,مثال_Example!$F$5:$F$804,$Q$9,مثال_Example!$G$5:$G$804,$Q$10,مثال_Example!$C$5:$C$804,$B43))+(SUMIFS(Data!$V$5:$V$5004,Data!$B$5:$B$5004,$Q$6,Data!$D$5:$D$5004,$Q$7,Data!$E$5:$E$5004,$Q$8,Data!$F$5:$F$5004,$Q$9,Data!$G$5:$G$5004,$Q$10,Data!$C$5:$C$5004,$B43)+ExOn*SUMIFS(مثال_Example!$V$5:$V$804,مثال_Example!$B$5:$B$804,$Q$6,مثال_Example!$D$5:$D$804,$Q$7,مثال_Example!$E$5:$E$804,$Q$8,مثال_Example!$F$5:$F$804,$Q$9,مثال_Example!$G$5:$G$804,$Q$10,مثال_Example!$C$5:$C$804,$B43)))</f>
        <v>0</v>
      </c>
      <c r="L43" s="39" t="n">
        <f aca="false">IF($B43="","",(SUMIFS(Data!$V$5:$V$5004,Data!$B$5:$B$5004,$Q$6,Data!$D$5:$D$5004,$Q$7,Data!$E$5:$E$5004,$Q$8,Data!$F$5:$F$5004,$Q$9,Data!$G$5:$G$5004,$Q$10,Data!$C$5:$C$5004,$B43)+ExOn*SUMIFS(مثال_Example!$V$5:$V$804,مثال_Example!$B$5:$B$804,$Q$6,مثال_Example!$D$5:$D$804,$Q$7,مثال_Example!$E$5:$E$804,$Q$8,مثال_Example!$F$5:$F$804,$Q$9,مثال_Example!$G$5:$G$804,$Q$10,مثال_Example!$C$5:$C$804,$B43)))</f>
        <v>0</v>
      </c>
      <c r="M43" s="40" t="str">
        <f aca="false">IF($B43="","",IF($K43=0,"—",L43/$K43))</f>
        <v>—</v>
      </c>
      <c r="N43" s="40" t="str">
        <f aca="false">IF($B43="","",IF($K43=0,"—",((SUMIFS(Data!$U$5:$U$5004,Data!$B$5:$B$5004,$Q$6,Data!$D$5:$D$5004,$Q$7,Data!$E$5:$E$5004,$Q$8,Data!$F$5:$F$5004,$Q$9,Data!$G$5:$G$5004,$Q$10,Data!$C$5:$C$5004,$B43)+ExOn*SUMIFS(مثال_Example!$U$5:$U$804,مثال_Example!$B$5:$B$804,$Q$6,مثال_Example!$D$5:$D$804,$Q$7,مثال_Example!$E$5:$E$804,$Q$8,مثال_Example!$F$5:$F$804,$Q$9,مثال_Example!$G$5:$G$804,$Q$10,مثال_Example!$C$5:$C$804,$B43))+L43)/$K43))</f>
        <v>—</v>
      </c>
      <c r="O43" s="42" t="str">
        <f aca="false">IF($B43="","",IF($K43=0,"لا توجد بيانات",IF(ROUND((((SUMIFS(Data!$U$5:$U$5004,Data!$B$5:$B$5004,$Q$6,Data!$D$5:$D$5004,$Q$7,Data!$E$5:$E$5004,$Q$8,Data!$F$5:$F$5004,$Q$9,Data!$G$5:$G$5004,$Q$10,Data!$C$5:$C$5004,$B43)+ExOn*SUMIFS(مثال_Example!$U$5:$U$804,مثال_Example!$B$5:$B$804,$Q$6,مثال_Example!$D$5:$D$804,$Q$7,مثال_Example!$E$5:$E$804,$Q$8,مثال_Example!$F$5:$F$804,$Q$9,مثال_Example!$G$5:$G$804,$Q$10,مثال_Example!$C$5:$C$804,$B43)))+L43)/K43,10)&lt;=KeyP_VW,"Very Weak",IF(ROUND((((SUMIFS(Data!$U$5:$U$5004,Data!$B$5:$B$5004,$Q$6,Data!$D$5:$D$5004,$Q$7,Data!$E$5:$E$5004,$Q$8,Data!$F$5:$F$5004,$Q$9,Data!$G$5:$G$5004,$Q$10,Data!$C$5:$C$5004,$B43)+ExOn*SUMIFS(مثال_Example!$U$5:$U$804,مثال_Example!$B$5:$B$804,$Q$6,مثال_Example!$D$5:$D$804,$Q$7,مثال_Example!$E$5:$E$804,$Q$8,مثال_Example!$F$5:$F$804,$Q$9,مثال_Example!$G$5:$G$804,$Q$10,مثال_Example!$C$5:$C$804,$B43)))+L43)/K43,10)&lt;KeyP_Weak,"Weak",IF(ROUND(L43/K43,10)&lt;KeyP_Acc,"Acceptable",IF(ROUND(L43/K43,10)&lt;=KeyP_Good,"Good",IF(ROUND(L43/K43,10)&lt;KeyP_Out,"Very Good","Outstanding")))))))</f>
        <v>لا توجد بيانات</v>
      </c>
      <c r="P43" s="1"/>
    </row>
    <row r="44" customFormat="false" ht="15" hidden="false" customHeight="false" outlineLevel="0" collapsed="false">
      <c r="A44" s="1"/>
      <c r="B44" s="51" t="str">
        <f aca="false">IF(Teachers!C40="","",Teachers!C40)</f>
        <v>Ms MinaJamal Al-Qaradagh</v>
      </c>
      <c r="C44" s="42" t="str">
        <f aca="false">IF($B44="","",Teachers!D40)</f>
        <v>Ae</v>
      </c>
      <c r="D44" s="42" t="n">
        <f aca="false">IF($B44="","",Teachers!F40)</f>
        <v>4</v>
      </c>
      <c r="E44" s="39" t="n">
        <f aca="false">IF($B44="","",(SUMIFS(Data!$Q$5:$Q$5004,Data!$B$5:$B$5004,$Q$6,Data!$D$5:$D$5004,$Q$7,Data!$E$5:$E$5004,$Q$8,Data!$F$5:$F$5004,$Q$9,Data!$G$5:$G$5004,$Q$10,Data!$C$5:$C$5004,$B44)+ExOn*SUMIFS(مثال_Example!$Q$5:$Q$804,مثال_Example!$B$5:$B$804,$Q$6,مثال_Example!$D$5:$D$804,$Q$7,مثال_Example!$E$5:$E$804,$Q$8,مثال_Example!$F$5:$F$804,$Q$9,مثال_Example!$G$5:$G$804,$Q$10,مثال_Example!$C$5:$C$804,$B44)))</f>
        <v>0</v>
      </c>
      <c r="F44" s="39" t="n">
        <f aca="false">IF($B44="","",(SUMIFS(Data!$R$5:$R$5004,Data!$B$5:$B$5004,$Q$6,Data!$D$5:$D$5004,$Q$7,Data!$E$5:$E$5004,$Q$8,Data!$F$5:$F$5004,$Q$9,Data!$G$5:$G$5004,$Q$10,Data!$C$5:$C$5004,$B44)+ExOn*SUMIFS(مثال_Example!$R$5:$R$804,مثال_Example!$B$5:$B$804,$Q$6,مثال_Example!$D$5:$D$804,$Q$7,مثال_Example!$E$5:$E$804,$Q$8,مثال_Example!$F$5:$F$804,$Q$9,مثال_Example!$G$5:$G$804,$Q$10,مثال_Example!$C$5:$C$804,$B44)))</f>
        <v>0</v>
      </c>
      <c r="G44" s="40" t="str">
        <f aca="false">IF($B44="","",IF($E44=0,"—",F44/$E44))</f>
        <v>—</v>
      </c>
      <c r="H44" s="39" t="n">
        <f aca="false">IF($B44="","",(SUMIFS(Data!$S$5:$S$5004,Data!$B$5:$B$5004,$Q$6,Data!$D$5:$D$5004,$Q$7,Data!$E$5:$E$5004,$Q$8,Data!$F$5:$F$5004,$Q$9,Data!$G$5:$G$5004,$Q$10,Data!$C$5:$C$5004,$B44)+ExOn*SUMIFS(مثال_Example!$S$5:$S$804,مثال_Example!$B$5:$B$804,$Q$6,مثال_Example!$D$5:$D$804,$Q$7,مثال_Example!$E$5:$E$804,$Q$8,مثال_Example!$F$5:$F$804,$Q$9,مثال_Example!$G$5:$G$804,$Q$10,مثال_Example!$C$5:$C$804,$B44)))</f>
        <v>0</v>
      </c>
      <c r="I44" s="40" t="str">
        <f aca="false">IF($B44="","",IF($E44=0,"—",H44/$E44))</f>
        <v>—</v>
      </c>
      <c r="J44" s="42" t="str">
        <f aca="false">IF($B44="","",IF($E44=0,"لا توجد بيانات",IF(ROUND(F44/E44,10)&lt;=KeyA_VW,"Very Weak",IF(ROUND(F44/E44,10)&lt;KeyA_Weak,"Weak",IF(ROUND(H44/E44,10)&lt;KeyA_Acc,"Acceptable",IF(ROUND(H44/E44,10)&lt;=KeyA_Good,"Good",IF(ROUND(H44/E44,10)&lt;KeyA_Out,"Very Good","Outstanding")))))))</f>
        <v>لا توجد بيانات</v>
      </c>
      <c r="K44" s="39" t="n">
        <f aca="false">IF($B44="","",(SUMIFS(Data!$T$5:$T$5004,Data!$B$5:$B$5004,$Q$6,Data!$D$5:$D$5004,$Q$7,Data!$E$5:$E$5004,$Q$8,Data!$F$5:$F$5004,$Q$9,Data!$G$5:$G$5004,$Q$10,Data!$C$5:$C$5004,$B44)+ExOn*SUMIFS(مثال_Example!$T$5:$T$804,مثال_Example!$B$5:$B$804,$Q$6,مثال_Example!$D$5:$D$804,$Q$7,مثال_Example!$E$5:$E$804,$Q$8,مثال_Example!$F$5:$F$804,$Q$9,مثال_Example!$G$5:$G$804,$Q$10,مثال_Example!$C$5:$C$804,$B44))+(SUMIFS(Data!$U$5:$U$5004,Data!$B$5:$B$5004,$Q$6,Data!$D$5:$D$5004,$Q$7,Data!$E$5:$E$5004,$Q$8,Data!$F$5:$F$5004,$Q$9,Data!$G$5:$G$5004,$Q$10,Data!$C$5:$C$5004,$B44)+ExOn*SUMIFS(مثال_Example!$U$5:$U$804,مثال_Example!$B$5:$B$804,$Q$6,مثال_Example!$D$5:$D$804,$Q$7,مثال_Example!$E$5:$E$804,$Q$8,مثال_Example!$F$5:$F$804,$Q$9,مثال_Example!$G$5:$G$804,$Q$10,مثال_Example!$C$5:$C$804,$B44))+(SUMIFS(Data!$V$5:$V$5004,Data!$B$5:$B$5004,$Q$6,Data!$D$5:$D$5004,$Q$7,Data!$E$5:$E$5004,$Q$8,Data!$F$5:$F$5004,$Q$9,Data!$G$5:$G$5004,$Q$10,Data!$C$5:$C$5004,$B44)+ExOn*SUMIFS(مثال_Example!$V$5:$V$804,مثال_Example!$B$5:$B$804,$Q$6,مثال_Example!$D$5:$D$804,$Q$7,مثال_Example!$E$5:$E$804,$Q$8,مثال_Example!$F$5:$F$804,$Q$9,مثال_Example!$G$5:$G$804,$Q$10,مثال_Example!$C$5:$C$804,$B44)))</f>
        <v>0</v>
      </c>
      <c r="L44" s="39" t="n">
        <f aca="false">IF($B44="","",(SUMIFS(Data!$V$5:$V$5004,Data!$B$5:$B$5004,$Q$6,Data!$D$5:$D$5004,$Q$7,Data!$E$5:$E$5004,$Q$8,Data!$F$5:$F$5004,$Q$9,Data!$G$5:$G$5004,$Q$10,Data!$C$5:$C$5004,$B44)+ExOn*SUMIFS(مثال_Example!$V$5:$V$804,مثال_Example!$B$5:$B$804,$Q$6,مثال_Example!$D$5:$D$804,$Q$7,مثال_Example!$E$5:$E$804,$Q$8,مثال_Example!$F$5:$F$804,$Q$9,مثال_Example!$G$5:$G$804,$Q$10,مثال_Example!$C$5:$C$804,$B44)))</f>
        <v>0</v>
      </c>
      <c r="M44" s="40" t="str">
        <f aca="false">IF($B44="","",IF($K44=0,"—",L44/$K44))</f>
        <v>—</v>
      </c>
      <c r="N44" s="40" t="str">
        <f aca="false">IF($B44="","",IF($K44=0,"—",((SUMIFS(Data!$U$5:$U$5004,Data!$B$5:$B$5004,$Q$6,Data!$D$5:$D$5004,$Q$7,Data!$E$5:$E$5004,$Q$8,Data!$F$5:$F$5004,$Q$9,Data!$G$5:$G$5004,$Q$10,Data!$C$5:$C$5004,$B44)+ExOn*SUMIFS(مثال_Example!$U$5:$U$804,مثال_Example!$B$5:$B$804,$Q$6,مثال_Example!$D$5:$D$804,$Q$7,مثال_Example!$E$5:$E$804,$Q$8,مثال_Example!$F$5:$F$804,$Q$9,مثال_Example!$G$5:$G$804,$Q$10,مثال_Example!$C$5:$C$804,$B44))+L44)/$K44))</f>
        <v>—</v>
      </c>
      <c r="O44" s="42" t="str">
        <f aca="false">IF($B44="","",IF($K44=0,"لا توجد بيانات",IF(ROUND((((SUMIFS(Data!$U$5:$U$5004,Data!$B$5:$B$5004,$Q$6,Data!$D$5:$D$5004,$Q$7,Data!$E$5:$E$5004,$Q$8,Data!$F$5:$F$5004,$Q$9,Data!$G$5:$G$5004,$Q$10,Data!$C$5:$C$5004,$B44)+ExOn*SUMIFS(مثال_Example!$U$5:$U$804,مثال_Example!$B$5:$B$804,$Q$6,مثال_Example!$D$5:$D$804,$Q$7,مثال_Example!$E$5:$E$804,$Q$8,مثال_Example!$F$5:$F$804,$Q$9,مثال_Example!$G$5:$G$804,$Q$10,مثال_Example!$C$5:$C$804,$B44)))+L44)/K44,10)&lt;=KeyP_VW,"Very Weak",IF(ROUND((((SUMIFS(Data!$U$5:$U$5004,Data!$B$5:$B$5004,$Q$6,Data!$D$5:$D$5004,$Q$7,Data!$E$5:$E$5004,$Q$8,Data!$F$5:$F$5004,$Q$9,Data!$G$5:$G$5004,$Q$10,Data!$C$5:$C$5004,$B44)+ExOn*SUMIFS(مثال_Example!$U$5:$U$804,مثال_Example!$B$5:$B$804,$Q$6,مثال_Example!$D$5:$D$804,$Q$7,مثال_Example!$E$5:$E$804,$Q$8,مثال_Example!$F$5:$F$804,$Q$9,مثال_Example!$G$5:$G$804,$Q$10,مثال_Example!$C$5:$C$804,$B44)))+L44)/K44,10)&lt;KeyP_Weak,"Weak",IF(ROUND(L44/K44,10)&lt;KeyP_Acc,"Acceptable",IF(ROUND(L44/K44,10)&lt;=KeyP_Good,"Good",IF(ROUND(L44/K44,10)&lt;KeyP_Out,"Very Good","Outstanding")))))))</f>
        <v>لا توجد بيانات</v>
      </c>
      <c r="P44" s="1"/>
    </row>
    <row r="45" customFormat="false" ht="15" hidden="false" customHeight="false" outlineLevel="0" collapsed="false">
      <c r="A45" s="1"/>
      <c r="B45" s="51" t="str">
        <f aca="false">IF(Teachers!C41="","",Teachers!C41)</f>
        <v>Ms MonaAhmedAtef Hussein</v>
      </c>
      <c r="C45" s="42" t="str">
        <f aca="false">IF($B45="","",Teachers!D41)</f>
        <v>Ae</v>
      </c>
      <c r="D45" s="42" t="n">
        <f aca="false">IF($B45="","",Teachers!F41)</f>
        <v>2</v>
      </c>
      <c r="E45" s="39" t="n">
        <f aca="false">IF($B45="","",(SUMIFS(Data!$Q$5:$Q$5004,Data!$B$5:$B$5004,$Q$6,Data!$D$5:$D$5004,$Q$7,Data!$E$5:$E$5004,$Q$8,Data!$F$5:$F$5004,$Q$9,Data!$G$5:$G$5004,$Q$10,Data!$C$5:$C$5004,$B45)+ExOn*SUMIFS(مثال_Example!$Q$5:$Q$804,مثال_Example!$B$5:$B$804,$Q$6,مثال_Example!$D$5:$D$804,$Q$7,مثال_Example!$E$5:$E$804,$Q$8,مثال_Example!$F$5:$F$804,$Q$9,مثال_Example!$G$5:$G$804,$Q$10,مثال_Example!$C$5:$C$804,$B45)))</f>
        <v>0</v>
      </c>
      <c r="F45" s="39" t="n">
        <f aca="false">IF($B45="","",(SUMIFS(Data!$R$5:$R$5004,Data!$B$5:$B$5004,$Q$6,Data!$D$5:$D$5004,$Q$7,Data!$E$5:$E$5004,$Q$8,Data!$F$5:$F$5004,$Q$9,Data!$G$5:$G$5004,$Q$10,Data!$C$5:$C$5004,$B45)+ExOn*SUMIFS(مثال_Example!$R$5:$R$804,مثال_Example!$B$5:$B$804,$Q$6,مثال_Example!$D$5:$D$804,$Q$7,مثال_Example!$E$5:$E$804,$Q$8,مثال_Example!$F$5:$F$804,$Q$9,مثال_Example!$G$5:$G$804,$Q$10,مثال_Example!$C$5:$C$804,$B45)))</f>
        <v>0</v>
      </c>
      <c r="G45" s="40" t="str">
        <f aca="false">IF($B45="","",IF($E45=0,"—",F45/$E45))</f>
        <v>—</v>
      </c>
      <c r="H45" s="39" t="n">
        <f aca="false">IF($B45="","",(SUMIFS(Data!$S$5:$S$5004,Data!$B$5:$B$5004,$Q$6,Data!$D$5:$D$5004,$Q$7,Data!$E$5:$E$5004,$Q$8,Data!$F$5:$F$5004,$Q$9,Data!$G$5:$G$5004,$Q$10,Data!$C$5:$C$5004,$B45)+ExOn*SUMIFS(مثال_Example!$S$5:$S$804,مثال_Example!$B$5:$B$804,$Q$6,مثال_Example!$D$5:$D$804,$Q$7,مثال_Example!$E$5:$E$804,$Q$8,مثال_Example!$F$5:$F$804,$Q$9,مثال_Example!$G$5:$G$804,$Q$10,مثال_Example!$C$5:$C$804,$B45)))</f>
        <v>0</v>
      </c>
      <c r="I45" s="40" t="str">
        <f aca="false">IF($B45="","",IF($E45=0,"—",H45/$E45))</f>
        <v>—</v>
      </c>
      <c r="J45" s="42" t="str">
        <f aca="false">IF($B45="","",IF($E45=0,"لا توجد بيانات",IF(ROUND(F45/E45,10)&lt;=KeyA_VW,"Very Weak",IF(ROUND(F45/E45,10)&lt;KeyA_Weak,"Weak",IF(ROUND(H45/E45,10)&lt;KeyA_Acc,"Acceptable",IF(ROUND(H45/E45,10)&lt;=KeyA_Good,"Good",IF(ROUND(H45/E45,10)&lt;KeyA_Out,"Very Good","Outstanding")))))))</f>
        <v>لا توجد بيانات</v>
      </c>
      <c r="K45" s="39" t="n">
        <f aca="false">IF($B45="","",(SUMIFS(Data!$T$5:$T$5004,Data!$B$5:$B$5004,$Q$6,Data!$D$5:$D$5004,$Q$7,Data!$E$5:$E$5004,$Q$8,Data!$F$5:$F$5004,$Q$9,Data!$G$5:$G$5004,$Q$10,Data!$C$5:$C$5004,$B45)+ExOn*SUMIFS(مثال_Example!$T$5:$T$804,مثال_Example!$B$5:$B$804,$Q$6,مثال_Example!$D$5:$D$804,$Q$7,مثال_Example!$E$5:$E$804,$Q$8,مثال_Example!$F$5:$F$804,$Q$9,مثال_Example!$G$5:$G$804,$Q$10,مثال_Example!$C$5:$C$804,$B45))+(SUMIFS(Data!$U$5:$U$5004,Data!$B$5:$B$5004,$Q$6,Data!$D$5:$D$5004,$Q$7,Data!$E$5:$E$5004,$Q$8,Data!$F$5:$F$5004,$Q$9,Data!$G$5:$G$5004,$Q$10,Data!$C$5:$C$5004,$B45)+ExOn*SUMIFS(مثال_Example!$U$5:$U$804,مثال_Example!$B$5:$B$804,$Q$6,مثال_Example!$D$5:$D$804,$Q$7,مثال_Example!$E$5:$E$804,$Q$8,مثال_Example!$F$5:$F$804,$Q$9,مثال_Example!$G$5:$G$804,$Q$10,مثال_Example!$C$5:$C$804,$B45))+(SUMIFS(Data!$V$5:$V$5004,Data!$B$5:$B$5004,$Q$6,Data!$D$5:$D$5004,$Q$7,Data!$E$5:$E$5004,$Q$8,Data!$F$5:$F$5004,$Q$9,Data!$G$5:$G$5004,$Q$10,Data!$C$5:$C$5004,$B45)+ExOn*SUMIFS(مثال_Example!$V$5:$V$804,مثال_Example!$B$5:$B$804,$Q$6,مثال_Example!$D$5:$D$804,$Q$7,مثال_Example!$E$5:$E$804,$Q$8,مثال_Example!$F$5:$F$804,$Q$9,مثال_Example!$G$5:$G$804,$Q$10,مثال_Example!$C$5:$C$804,$B45)))</f>
        <v>0</v>
      </c>
      <c r="L45" s="39" t="n">
        <f aca="false">IF($B45="","",(SUMIFS(Data!$V$5:$V$5004,Data!$B$5:$B$5004,$Q$6,Data!$D$5:$D$5004,$Q$7,Data!$E$5:$E$5004,$Q$8,Data!$F$5:$F$5004,$Q$9,Data!$G$5:$G$5004,$Q$10,Data!$C$5:$C$5004,$B45)+ExOn*SUMIFS(مثال_Example!$V$5:$V$804,مثال_Example!$B$5:$B$804,$Q$6,مثال_Example!$D$5:$D$804,$Q$7,مثال_Example!$E$5:$E$804,$Q$8,مثال_Example!$F$5:$F$804,$Q$9,مثال_Example!$G$5:$G$804,$Q$10,مثال_Example!$C$5:$C$804,$B45)))</f>
        <v>0</v>
      </c>
      <c r="M45" s="40" t="str">
        <f aca="false">IF($B45="","",IF($K45=0,"—",L45/$K45))</f>
        <v>—</v>
      </c>
      <c r="N45" s="40" t="str">
        <f aca="false">IF($B45="","",IF($K45=0,"—",((SUMIFS(Data!$U$5:$U$5004,Data!$B$5:$B$5004,$Q$6,Data!$D$5:$D$5004,$Q$7,Data!$E$5:$E$5004,$Q$8,Data!$F$5:$F$5004,$Q$9,Data!$G$5:$G$5004,$Q$10,Data!$C$5:$C$5004,$B45)+ExOn*SUMIFS(مثال_Example!$U$5:$U$804,مثال_Example!$B$5:$B$804,$Q$6,مثال_Example!$D$5:$D$804,$Q$7,مثال_Example!$E$5:$E$804,$Q$8,مثال_Example!$F$5:$F$804,$Q$9,مثال_Example!$G$5:$G$804,$Q$10,مثال_Example!$C$5:$C$804,$B45))+L45)/$K45))</f>
        <v>—</v>
      </c>
      <c r="O45" s="42" t="str">
        <f aca="false">IF($B45="","",IF($K45=0,"لا توجد بيانات",IF(ROUND((((SUMIFS(Data!$U$5:$U$5004,Data!$B$5:$B$5004,$Q$6,Data!$D$5:$D$5004,$Q$7,Data!$E$5:$E$5004,$Q$8,Data!$F$5:$F$5004,$Q$9,Data!$G$5:$G$5004,$Q$10,Data!$C$5:$C$5004,$B45)+ExOn*SUMIFS(مثال_Example!$U$5:$U$804,مثال_Example!$B$5:$B$804,$Q$6,مثال_Example!$D$5:$D$804,$Q$7,مثال_Example!$E$5:$E$804,$Q$8,مثال_Example!$F$5:$F$804,$Q$9,مثال_Example!$G$5:$G$804,$Q$10,مثال_Example!$C$5:$C$804,$B45)))+L45)/K45,10)&lt;=KeyP_VW,"Very Weak",IF(ROUND((((SUMIFS(Data!$U$5:$U$5004,Data!$B$5:$B$5004,$Q$6,Data!$D$5:$D$5004,$Q$7,Data!$E$5:$E$5004,$Q$8,Data!$F$5:$F$5004,$Q$9,Data!$G$5:$G$5004,$Q$10,Data!$C$5:$C$5004,$B45)+ExOn*SUMIFS(مثال_Example!$U$5:$U$804,مثال_Example!$B$5:$B$804,$Q$6,مثال_Example!$D$5:$D$804,$Q$7,مثال_Example!$E$5:$E$804,$Q$8,مثال_Example!$F$5:$F$804,$Q$9,مثال_Example!$G$5:$G$804,$Q$10,مثال_Example!$C$5:$C$804,$B45)))+L45)/K45,10)&lt;KeyP_Weak,"Weak",IF(ROUND(L45/K45,10)&lt;KeyP_Acc,"Acceptable",IF(ROUND(L45/K45,10)&lt;=KeyP_Good,"Good",IF(ROUND(L45/K45,10)&lt;KeyP_Out,"Very Good","Outstanding")))))))</f>
        <v>لا توجد بيانات</v>
      </c>
      <c r="P45" s="1"/>
    </row>
    <row r="46" customFormat="false" ht="15" hidden="false" customHeight="false" outlineLevel="0" collapsed="false">
      <c r="A46" s="1"/>
      <c r="B46" s="51" t="str">
        <f aca="false">IF(Teachers!C42="","",Teachers!C42)</f>
        <v>Ms Mai Rabie Mohamed</v>
      </c>
      <c r="C46" s="42" t="str">
        <f aca="false">IF($B46="","",Teachers!D42)</f>
        <v>Ae</v>
      </c>
      <c r="D46" s="42" t="n">
        <f aca="false">IF($B46="","",Teachers!F42)</f>
        <v>1</v>
      </c>
      <c r="E46" s="39" t="n">
        <f aca="false">IF($B46="","",(SUMIFS(Data!$Q$5:$Q$5004,Data!$B$5:$B$5004,$Q$6,Data!$D$5:$D$5004,$Q$7,Data!$E$5:$E$5004,$Q$8,Data!$F$5:$F$5004,$Q$9,Data!$G$5:$G$5004,$Q$10,Data!$C$5:$C$5004,$B46)+ExOn*SUMIFS(مثال_Example!$Q$5:$Q$804,مثال_Example!$B$5:$B$804,$Q$6,مثال_Example!$D$5:$D$804,$Q$7,مثال_Example!$E$5:$E$804,$Q$8,مثال_Example!$F$5:$F$804,$Q$9,مثال_Example!$G$5:$G$804,$Q$10,مثال_Example!$C$5:$C$804,$B46)))</f>
        <v>0</v>
      </c>
      <c r="F46" s="39" t="n">
        <f aca="false">IF($B46="","",(SUMIFS(Data!$R$5:$R$5004,Data!$B$5:$B$5004,$Q$6,Data!$D$5:$D$5004,$Q$7,Data!$E$5:$E$5004,$Q$8,Data!$F$5:$F$5004,$Q$9,Data!$G$5:$G$5004,$Q$10,Data!$C$5:$C$5004,$B46)+ExOn*SUMIFS(مثال_Example!$R$5:$R$804,مثال_Example!$B$5:$B$804,$Q$6,مثال_Example!$D$5:$D$804,$Q$7,مثال_Example!$E$5:$E$804,$Q$8,مثال_Example!$F$5:$F$804,$Q$9,مثال_Example!$G$5:$G$804,$Q$10,مثال_Example!$C$5:$C$804,$B46)))</f>
        <v>0</v>
      </c>
      <c r="G46" s="40" t="str">
        <f aca="false">IF($B46="","",IF($E46=0,"—",F46/$E46))</f>
        <v>—</v>
      </c>
      <c r="H46" s="39" t="n">
        <f aca="false">IF($B46="","",(SUMIFS(Data!$S$5:$S$5004,Data!$B$5:$B$5004,$Q$6,Data!$D$5:$D$5004,$Q$7,Data!$E$5:$E$5004,$Q$8,Data!$F$5:$F$5004,$Q$9,Data!$G$5:$G$5004,$Q$10,Data!$C$5:$C$5004,$B46)+ExOn*SUMIFS(مثال_Example!$S$5:$S$804,مثال_Example!$B$5:$B$804,$Q$6,مثال_Example!$D$5:$D$804,$Q$7,مثال_Example!$E$5:$E$804,$Q$8,مثال_Example!$F$5:$F$804,$Q$9,مثال_Example!$G$5:$G$804,$Q$10,مثال_Example!$C$5:$C$804,$B46)))</f>
        <v>0</v>
      </c>
      <c r="I46" s="40" t="str">
        <f aca="false">IF($B46="","",IF($E46=0,"—",H46/$E46))</f>
        <v>—</v>
      </c>
      <c r="J46" s="42" t="str">
        <f aca="false">IF($B46="","",IF($E46=0,"لا توجد بيانات",IF(ROUND(F46/E46,10)&lt;=KeyA_VW,"Very Weak",IF(ROUND(F46/E46,10)&lt;KeyA_Weak,"Weak",IF(ROUND(H46/E46,10)&lt;KeyA_Acc,"Acceptable",IF(ROUND(H46/E46,10)&lt;=KeyA_Good,"Good",IF(ROUND(H46/E46,10)&lt;KeyA_Out,"Very Good","Outstanding")))))))</f>
        <v>لا توجد بيانات</v>
      </c>
      <c r="K46" s="39" t="n">
        <f aca="false">IF($B46="","",(SUMIFS(Data!$T$5:$T$5004,Data!$B$5:$B$5004,$Q$6,Data!$D$5:$D$5004,$Q$7,Data!$E$5:$E$5004,$Q$8,Data!$F$5:$F$5004,$Q$9,Data!$G$5:$G$5004,$Q$10,Data!$C$5:$C$5004,$B46)+ExOn*SUMIFS(مثال_Example!$T$5:$T$804,مثال_Example!$B$5:$B$804,$Q$6,مثال_Example!$D$5:$D$804,$Q$7,مثال_Example!$E$5:$E$804,$Q$8,مثال_Example!$F$5:$F$804,$Q$9,مثال_Example!$G$5:$G$804,$Q$10,مثال_Example!$C$5:$C$804,$B46))+(SUMIFS(Data!$U$5:$U$5004,Data!$B$5:$B$5004,$Q$6,Data!$D$5:$D$5004,$Q$7,Data!$E$5:$E$5004,$Q$8,Data!$F$5:$F$5004,$Q$9,Data!$G$5:$G$5004,$Q$10,Data!$C$5:$C$5004,$B46)+ExOn*SUMIFS(مثال_Example!$U$5:$U$804,مثال_Example!$B$5:$B$804,$Q$6,مثال_Example!$D$5:$D$804,$Q$7,مثال_Example!$E$5:$E$804,$Q$8,مثال_Example!$F$5:$F$804,$Q$9,مثال_Example!$G$5:$G$804,$Q$10,مثال_Example!$C$5:$C$804,$B46))+(SUMIFS(Data!$V$5:$V$5004,Data!$B$5:$B$5004,$Q$6,Data!$D$5:$D$5004,$Q$7,Data!$E$5:$E$5004,$Q$8,Data!$F$5:$F$5004,$Q$9,Data!$G$5:$G$5004,$Q$10,Data!$C$5:$C$5004,$B46)+ExOn*SUMIFS(مثال_Example!$V$5:$V$804,مثال_Example!$B$5:$B$804,$Q$6,مثال_Example!$D$5:$D$804,$Q$7,مثال_Example!$E$5:$E$804,$Q$8,مثال_Example!$F$5:$F$804,$Q$9,مثال_Example!$G$5:$G$804,$Q$10,مثال_Example!$C$5:$C$804,$B46)))</f>
        <v>0</v>
      </c>
      <c r="L46" s="39" t="n">
        <f aca="false">IF($B46="","",(SUMIFS(Data!$V$5:$V$5004,Data!$B$5:$B$5004,$Q$6,Data!$D$5:$D$5004,$Q$7,Data!$E$5:$E$5004,$Q$8,Data!$F$5:$F$5004,$Q$9,Data!$G$5:$G$5004,$Q$10,Data!$C$5:$C$5004,$B46)+ExOn*SUMIFS(مثال_Example!$V$5:$V$804,مثال_Example!$B$5:$B$804,$Q$6,مثال_Example!$D$5:$D$804,$Q$7,مثال_Example!$E$5:$E$804,$Q$8,مثال_Example!$F$5:$F$804,$Q$9,مثال_Example!$G$5:$G$804,$Q$10,مثال_Example!$C$5:$C$804,$B46)))</f>
        <v>0</v>
      </c>
      <c r="M46" s="40" t="str">
        <f aca="false">IF($B46="","",IF($K46=0,"—",L46/$K46))</f>
        <v>—</v>
      </c>
      <c r="N46" s="40" t="str">
        <f aca="false">IF($B46="","",IF($K46=0,"—",((SUMIFS(Data!$U$5:$U$5004,Data!$B$5:$B$5004,$Q$6,Data!$D$5:$D$5004,$Q$7,Data!$E$5:$E$5004,$Q$8,Data!$F$5:$F$5004,$Q$9,Data!$G$5:$G$5004,$Q$10,Data!$C$5:$C$5004,$B46)+ExOn*SUMIFS(مثال_Example!$U$5:$U$804,مثال_Example!$B$5:$B$804,$Q$6,مثال_Example!$D$5:$D$804,$Q$7,مثال_Example!$E$5:$E$804,$Q$8,مثال_Example!$F$5:$F$804,$Q$9,مثال_Example!$G$5:$G$804,$Q$10,مثال_Example!$C$5:$C$804,$B46))+L46)/$K46))</f>
        <v>—</v>
      </c>
      <c r="O46" s="42" t="str">
        <f aca="false">IF($B46="","",IF($K46=0,"لا توجد بيانات",IF(ROUND((((SUMIFS(Data!$U$5:$U$5004,Data!$B$5:$B$5004,$Q$6,Data!$D$5:$D$5004,$Q$7,Data!$E$5:$E$5004,$Q$8,Data!$F$5:$F$5004,$Q$9,Data!$G$5:$G$5004,$Q$10,Data!$C$5:$C$5004,$B46)+ExOn*SUMIFS(مثال_Example!$U$5:$U$804,مثال_Example!$B$5:$B$804,$Q$6,مثال_Example!$D$5:$D$804,$Q$7,مثال_Example!$E$5:$E$804,$Q$8,مثال_Example!$F$5:$F$804,$Q$9,مثال_Example!$G$5:$G$804,$Q$10,مثال_Example!$C$5:$C$804,$B46)))+L46)/K46,10)&lt;=KeyP_VW,"Very Weak",IF(ROUND((((SUMIFS(Data!$U$5:$U$5004,Data!$B$5:$B$5004,$Q$6,Data!$D$5:$D$5004,$Q$7,Data!$E$5:$E$5004,$Q$8,Data!$F$5:$F$5004,$Q$9,Data!$G$5:$G$5004,$Q$10,Data!$C$5:$C$5004,$B46)+ExOn*SUMIFS(مثال_Example!$U$5:$U$804,مثال_Example!$B$5:$B$804,$Q$6,مثال_Example!$D$5:$D$804,$Q$7,مثال_Example!$E$5:$E$804,$Q$8,مثال_Example!$F$5:$F$804,$Q$9,مثال_Example!$G$5:$G$804,$Q$10,مثال_Example!$C$5:$C$804,$B46)))+L46)/K46,10)&lt;KeyP_Weak,"Weak",IF(ROUND(L46/K46,10)&lt;KeyP_Acc,"Acceptable",IF(ROUND(L46/K46,10)&lt;=KeyP_Good,"Good",IF(ROUND(L46/K46,10)&lt;KeyP_Out,"Very Good","Outstanding")))))))</f>
        <v>لا توجد بيانات</v>
      </c>
      <c r="P46" s="1"/>
    </row>
    <row r="47" customFormat="false" ht="15" hidden="false" customHeight="false" outlineLevel="0" collapsed="false">
      <c r="A47" s="1"/>
      <c r="B47" s="51" t="str">
        <f aca="false">IF(Teachers!C43="","",Teachers!C43)</f>
        <v>Ms Naima El Maayar</v>
      </c>
      <c r="C47" s="42" t="str">
        <f aca="false">IF($B47="","",Teachers!D43)</f>
        <v>Ae</v>
      </c>
      <c r="D47" s="42" t="n">
        <f aca="false">IF($B47="","",Teachers!F43)</f>
        <v>0</v>
      </c>
      <c r="E47" s="39" t="n">
        <f aca="false">IF($B47="","",(SUMIFS(Data!$Q$5:$Q$5004,Data!$B$5:$B$5004,$Q$6,Data!$D$5:$D$5004,$Q$7,Data!$E$5:$E$5004,$Q$8,Data!$F$5:$F$5004,$Q$9,Data!$G$5:$G$5004,$Q$10,Data!$C$5:$C$5004,$B47)+ExOn*SUMIFS(مثال_Example!$Q$5:$Q$804,مثال_Example!$B$5:$B$804,$Q$6,مثال_Example!$D$5:$D$804,$Q$7,مثال_Example!$E$5:$E$804,$Q$8,مثال_Example!$F$5:$F$804,$Q$9,مثال_Example!$G$5:$G$804,$Q$10,مثال_Example!$C$5:$C$804,$B47)))</f>
        <v>0</v>
      </c>
      <c r="F47" s="39" t="n">
        <f aca="false">IF($B47="","",(SUMIFS(Data!$R$5:$R$5004,Data!$B$5:$B$5004,$Q$6,Data!$D$5:$D$5004,$Q$7,Data!$E$5:$E$5004,$Q$8,Data!$F$5:$F$5004,$Q$9,Data!$G$5:$G$5004,$Q$10,Data!$C$5:$C$5004,$B47)+ExOn*SUMIFS(مثال_Example!$R$5:$R$804,مثال_Example!$B$5:$B$804,$Q$6,مثال_Example!$D$5:$D$804,$Q$7,مثال_Example!$E$5:$E$804,$Q$8,مثال_Example!$F$5:$F$804,$Q$9,مثال_Example!$G$5:$G$804,$Q$10,مثال_Example!$C$5:$C$804,$B47)))</f>
        <v>0</v>
      </c>
      <c r="G47" s="40" t="str">
        <f aca="false">IF($B47="","",IF($E47=0,"—",F47/$E47))</f>
        <v>—</v>
      </c>
      <c r="H47" s="39" t="n">
        <f aca="false">IF($B47="","",(SUMIFS(Data!$S$5:$S$5004,Data!$B$5:$B$5004,$Q$6,Data!$D$5:$D$5004,$Q$7,Data!$E$5:$E$5004,$Q$8,Data!$F$5:$F$5004,$Q$9,Data!$G$5:$G$5004,$Q$10,Data!$C$5:$C$5004,$B47)+ExOn*SUMIFS(مثال_Example!$S$5:$S$804,مثال_Example!$B$5:$B$804,$Q$6,مثال_Example!$D$5:$D$804,$Q$7,مثال_Example!$E$5:$E$804,$Q$8,مثال_Example!$F$5:$F$804,$Q$9,مثال_Example!$G$5:$G$804,$Q$10,مثال_Example!$C$5:$C$804,$B47)))</f>
        <v>0</v>
      </c>
      <c r="I47" s="40" t="str">
        <f aca="false">IF($B47="","",IF($E47=0,"—",H47/$E47))</f>
        <v>—</v>
      </c>
      <c r="J47" s="42" t="str">
        <f aca="false">IF($B47="","",IF($E47=0,"لا توجد بيانات",IF(ROUND(F47/E47,10)&lt;=KeyA_VW,"Very Weak",IF(ROUND(F47/E47,10)&lt;KeyA_Weak,"Weak",IF(ROUND(H47/E47,10)&lt;KeyA_Acc,"Acceptable",IF(ROUND(H47/E47,10)&lt;=KeyA_Good,"Good",IF(ROUND(H47/E47,10)&lt;KeyA_Out,"Very Good","Outstanding")))))))</f>
        <v>لا توجد بيانات</v>
      </c>
      <c r="K47" s="39" t="n">
        <f aca="false">IF($B47="","",(SUMIFS(Data!$T$5:$T$5004,Data!$B$5:$B$5004,$Q$6,Data!$D$5:$D$5004,$Q$7,Data!$E$5:$E$5004,$Q$8,Data!$F$5:$F$5004,$Q$9,Data!$G$5:$G$5004,$Q$10,Data!$C$5:$C$5004,$B47)+ExOn*SUMIFS(مثال_Example!$T$5:$T$804,مثال_Example!$B$5:$B$804,$Q$6,مثال_Example!$D$5:$D$804,$Q$7,مثال_Example!$E$5:$E$804,$Q$8,مثال_Example!$F$5:$F$804,$Q$9,مثال_Example!$G$5:$G$804,$Q$10,مثال_Example!$C$5:$C$804,$B47))+(SUMIFS(Data!$U$5:$U$5004,Data!$B$5:$B$5004,$Q$6,Data!$D$5:$D$5004,$Q$7,Data!$E$5:$E$5004,$Q$8,Data!$F$5:$F$5004,$Q$9,Data!$G$5:$G$5004,$Q$10,Data!$C$5:$C$5004,$B47)+ExOn*SUMIFS(مثال_Example!$U$5:$U$804,مثال_Example!$B$5:$B$804,$Q$6,مثال_Example!$D$5:$D$804,$Q$7,مثال_Example!$E$5:$E$804,$Q$8,مثال_Example!$F$5:$F$804,$Q$9,مثال_Example!$G$5:$G$804,$Q$10,مثال_Example!$C$5:$C$804,$B47))+(SUMIFS(Data!$V$5:$V$5004,Data!$B$5:$B$5004,$Q$6,Data!$D$5:$D$5004,$Q$7,Data!$E$5:$E$5004,$Q$8,Data!$F$5:$F$5004,$Q$9,Data!$G$5:$G$5004,$Q$10,Data!$C$5:$C$5004,$B47)+ExOn*SUMIFS(مثال_Example!$V$5:$V$804,مثال_Example!$B$5:$B$804,$Q$6,مثال_Example!$D$5:$D$804,$Q$7,مثال_Example!$E$5:$E$804,$Q$8,مثال_Example!$F$5:$F$804,$Q$9,مثال_Example!$G$5:$G$804,$Q$10,مثال_Example!$C$5:$C$804,$B47)))</f>
        <v>0</v>
      </c>
      <c r="L47" s="39" t="n">
        <f aca="false">IF($B47="","",(SUMIFS(Data!$V$5:$V$5004,Data!$B$5:$B$5004,$Q$6,Data!$D$5:$D$5004,$Q$7,Data!$E$5:$E$5004,$Q$8,Data!$F$5:$F$5004,$Q$9,Data!$G$5:$G$5004,$Q$10,Data!$C$5:$C$5004,$B47)+ExOn*SUMIFS(مثال_Example!$V$5:$V$804,مثال_Example!$B$5:$B$804,$Q$6,مثال_Example!$D$5:$D$804,$Q$7,مثال_Example!$E$5:$E$804,$Q$8,مثال_Example!$F$5:$F$804,$Q$9,مثال_Example!$G$5:$G$804,$Q$10,مثال_Example!$C$5:$C$804,$B47)))</f>
        <v>0</v>
      </c>
      <c r="M47" s="40" t="str">
        <f aca="false">IF($B47="","",IF($K47=0,"—",L47/$K47))</f>
        <v>—</v>
      </c>
      <c r="N47" s="40" t="str">
        <f aca="false">IF($B47="","",IF($K47=0,"—",((SUMIFS(Data!$U$5:$U$5004,Data!$B$5:$B$5004,$Q$6,Data!$D$5:$D$5004,$Q$7,Data!$E$5:$E$5004,$Q$8,Data!$F$5:$F$5004,$Q$9,Data!$G$5:$G$5004,$Q$10,Data!$C$5:$C$5004,$B47)+ExOn*SUMIFS(مثال_Example!$U$5:$U$804,مثال_Example!$B$5:$B$804,$Q$6,مثال_Example!$D$5:$D$804,$Q$7,مثال_Example!$E$5:$E$804,$Q$8,مثال_Example!$F$5:$F$804,$Q$9,مثال_Example!$G$5:$G$804,$Q$10,مثال_Example!$C$5:$C$804,$B47))+L47)/$K47))</f>
        <v>—</v>
      </c>
      <c r="O47" s="42" t="str">
        <f aca="false">IF($B47="","",IF($K47=0,"لا توجد بيانات",IF(ROUND((((SUMIFS(Data!$U$5:$U$5004,Data!$B$5:$B$5004,$Q$6,Data!$D$5:$D$5004,$Q$7,Data!$E$5:$E$5004,$Q$8,Data!$F$5:$F$5004,$Q$9,Data!$G$5:$G$5004,$Q$10,Data!$C$5:$C$5004,$B47)+ExOn*SUMIFS(مثال_Example!$U$5:$U$804,مثال_Example!$B$5:$B$804,$Q$6,مثال_Example!$D$5:$D$804,$Q$7,مثال_Example!$E$5:$E$804,$Q$8,مثال_Example!$F$5:$F$804,$Q$9,مثال_Example!$G$5:$G$804,$Q$10,مثال_Example!$C$5:$C$804,$B47)))+L47)/K47,10)&lt;=KeyP_VW,"Very Weak",IF(ROUND((((SUMIFS(Data!$U$5:$U$5004,Data!$B$5:$B$5004,$Q$6,Data!$D$5:$D$5004,$Q$7,Data!$E$5:$E$5004,$Q$8,Data!$F$5:$F$5004,$Q$9,Data!$G$5:$G$5004,$Q$10,Data!$C$5:$C$5004,$B47)+ExOn*SUMIFS(مثال_Example!$U$5:$U$804,مثال_Example!$B$5:$B$804,$Q$6,مثال_Example!$D$5:$D$804,$Q$7,مثال_Example!$E$5:$E$804,$Q$8,مثال_Example!$F$5:$F$804,$Q$9,مثال_Example!$G$5:$G$804,$Q$10,مثال_Example!$C$5:$C$804,$B47)))+L47)/K47,10)&lt;KeyP_Weak,"Weak",IF(ROUND(L47/K47,10)&lt;KeyP_Acc,"Acceptable",IF(ROUND(L47/K47,10)&lt;=KeyP_Good,"Good",IF(ROUND(L47/K47,10)&lt;KeyP_Out,"Very Good","Outstanding")))))))</f>
        <v>لا توجد بيانات</v>
      </c>
      <c r="P47" s="1"/>
    </row>
    <row r="48" customFormat="false" ht="15" hidden="false" customHeight="false" outlineLevel="0" collapsed="false">
      <c r="A48" s="1"/>
      <c r="B48" s="51" t="str">
        <f aca="false">IF(Teachers!C44="","",Teachers!C44)</f>
        <v>Ms Rahma Ewais Salem</v>
      </c>
      <c r="C48" s="42" t="str">
        <f aca="false">IF($B48="","",Teachers!D44)</f>
        <v>Ae</v>
      </c>
      <c r="D48" s="42" t="n">
        <f aca="false">IF($B48="","",Teachers!F44)</f>
        <v>2</v>
      </c>
      <c r="E48" s="39" t="n">
        <f aca="false">IF($B48="","",(SUMIFS(Data!$Q$5:$Q$5004,Data!$B$5:$B$5004,$Q$6,Data!$D$5:$D$5004,$Q$7,Data!$E$5:$E$5004,$Q$8,Data!$F$5:$F$5004,$Q$9,Data!$G$5:$G$5004,$Q$10,Data!$C$5:$C$5004,$B48)+ExOn*SUMIFS(مثال_Example!$Q$5:$Q$804,مثال_Example!$B$5:$B$804,$Q$6,مثال_Example!$D$5:$D$804,$Q$7,مثال_Example!$E$5:$E$804,$Q$8,مثال_Example!$F$5:$F$804,$Q$9,مثال_Example!$G$5:$G$804,$Q$10,مثال_Example!$C$5:$C$804,$B48)))</f>
        <v>0</v>
      </c>
      <c r="F48" s="39" t="n">
        <f aca="false">IF($B48="","",(SUMIFS(Data!$R$5:$R$5004,Data!$B$5:$B$5004,$Q$6,Data!$D$5:$D$5004,$Q$7,Data!$E$5:$E$5004,$Q$8,Data!$F$5:$F$5004,$Q$9,Data!$G$5:$G$5004,$Q$10,Data!$C$5:$C$5004,$B48)+ExOn*SUMIFS(مثال_Example!$R$5:$R$804,مثال_Example!$B$5:$B$804,$Q$6,مثال_Example!$D$5:$D$804,$Q$7,مثال_Example!$E$5:$E$804,$Q$8,مثال_Example!$F$5:$F$804,$Q$9,مثال_Example!$G$5:$G$804,$Q$10,مثال_Example!$C$5:$C$804,$B48)))</f>
        <v>0</v>
      </c>
      <c r="G48" s="40" t="str">
        <f aca="false">IF($B48="","",IF($E48=0,"—",F48/$E48))</f>
        <v>—</v>
      </c>
      <c r="H48" s="39" t="n">
        <f aca="false">IF($B48="","",(SUMIFS(Data!$S$5:$S$5004,Data!$B$5:$B$5004,$Q$6,Data!$D$5:$D$5004,$Q$7,Data!$E$5:$E$5004,$Q$8,Data!$F$5:$F$5004,$Q$9,Data!$G$5:$G$5004,$Q$10,Data!$C$5:$C$5004,$B48)+ExOn*SUMIFS(مثال_Example!$S$5:$S$804,مثال_Example!$B$5:$B$804,$Q$6,مثال_Example!$D$5:$D$804,$Q$7,مثال_Example!$E$5:$E$804,$Q$8,مثال_Example!$F$5:$F$804,$Q$9,مثال_Example!$G$5:$G$804,$Q$10,مثال_Example!$C$5:$C$804,$B48)))</f>
        <v>0</v>
      </c>
      <c r="I48" s="40" t="str">
        <f aca="false">IF($B48="","",IF($E48=0,"—",H48/$E48))</f>
        <v>—</v>
      </c>
      <c r="J48" s="42" t="str">
        <f aca="false">IF($B48="","",IF($E48=0,"لا توجد بيانات",IF(ROUND(F48/E48,10)&lt;=KeyA_VW,"Very Weak",IF(ROUND(F48/E48,10)&lt;KeyA_Weak,"Weak",IF(ROUND(H48/E48,10)&lt;KeyA_Acc,"Acceptable",IF(ROUND(H48/E48,10)&lt;=KeyA_Good,"Good",IF(ROUND(H48/E48,10)&lt;KeyA_Out,"Very Good","Outstanding")))))))</f>
        <v>لا توجد بيانات</v>
      </c>
      <c r="K48" s="39" t="n">
        <f aca="false">IF($B48="","",(SUMIFS(Data!$T$5:$T$5004,Data!$B$5:$B$5004,$Q$6,Data!$D$5:$D$5004,$Q$7,Data!$E$5:$E$5004,$Q$8,Data!$F$5:$F$5004,$Q$9,Data!$G$5:$G$5004,$Q$10,Data!$C$5:$C$5004,$B48)+ExOn*SUMIFS(مثال_Example!$T$5:$T$804,مثال_Example!$B$5:$B$804,$Q$6,مثال_Example!$D$5:$D$804,$Q$7,مثال_Example!$E$5:$E$804,$Q$8,مثال_Example!$F$5:$F$804,$Q$9,مثال_Example!$G$5:$G$804,$Q$10,مثال_Example!$C$5:$C$804,$B48))+(SUMIFS(Data!$U$5:$U$5004,Data!$B$5:$B$5004,$Q$6,Data!$D$5:$D$5004,$Q$7,Data!$E$5:$E$5004,$Q$8,Data!$F$5:$F$5004,$Q$9,Data!$G$5:$G$5004,$Q$10,Data!$C$5:$C$5004,$B48)+ExOn*SUMIFS(مثال_Example!$U$5:$U$804,مثال_Example!$B$5:$B$804,$Q$6,مثال_Example!$D$5:$D$804,$Q$7,مثال_Example!$E$5:$E$804,$Q$8,مثال_Example!$F$5:$F$804,$Q$9,مثال_Example!$G$5:$G$804,$Q$10,مثال_Example!$C$5:$C$804,$B48))+(SUMIFS(Data!$V$5:$V$5004,Data!$B$5:$B$5004,$Q$6,Data!$D$5:$D$5004,$Q$7,Data!$E$5:$E$5004,$Q$8,Data!$F$5:$F$5004,$Q$9,Data!$G$5:$G$5004,$Q$10,Data!$C$5:$C$5004,$B48)+ExOn*SUMIFS(مثال_Example!$V$5:$V$804,مثال_Example!$B$5:$B$804,$Q$6,مثال_Example!$D$5:$D$804,$Q$7,مثال_Example!$E$5:$E$804,$Q$8,مثال_Example!$F$5:$F$804,$Q$9,مثال_Example!$G$5:$G$804,$Q$10,مثال_Example!$C$5:$C$804,$B48)))</f>
        <v>0</v>
      </c>
      <c r="L48" s="39" t="n">
        <f aca="false">IF($B48="","",(SUMIFS(Data!$V$5:$V$5004,Data!$B$5:$B$5004,$Q$6,Data!$D$5:$D$5004,$Q$7,Data!$E$5:$E$5004,$Q$8,Data!$F$5:$F$5004,$Q$9,Data!$G$5:$G$5004,$Q$10,Data!$C$5:$C$5004,$B48)+ExOn*SUMIFS(مثال_Example!$V$5:$V$804,مثال_Example!$B$5:$B$804,$Q$6,مثال_Example!$D$5:$D$804,$Q$7,مثال_Example!$E$5:$E$804,$Q$8,مثال_Example!$F$5:$F$804,$Q$9,مثال_Example!$G$5:$G$804,$Q$10,مثال_Example!$C$5:$C$804,$B48)))</f>
        <v>0</v>
      </c>
      <c r="M48" s="40" t="str">
        <f aca="false">IF($B48="","",IF($K48=0,"—",L48/$K48))</f>
        <v>—</v>
      </c>
      <c r="N48" s="40" t="str">
        <f aca="false">IF($B48="","",IF($K48=0,"—",((SUMIFS(Data!$U$5:$U$5004,Data!$B$5:$B$5004,$Q$6,Data!$D$5:$D$5004,$Q$7,Data!$E$5:$E$5004,$Q$8,Data!$F$5:$F$5004,$Q$9,Data!$G$5:$G$5004,$Q$10,Data!$C$5:$C$5004,$B48)+ExOn*SUMIFS(مثال_Example!$U$5:$U$804,مثال_Example!$B$5:$B$804,$Q$6,مثال_Example!$D$5:$D$804,$Q$7,مثال_Example!$E$5:$E$804,$Q$8,مثال_Example!$F$5:$F$804,$Q$9,مثال_Example!$G$5:$G$804,$Q$10,مثال_Example!$C$5:$C$804,$B48))+L48)/$K48))</f>
        <v>—</v>
      </c>
      <c r="O48" s="42" t="str">
        <f aca="false">IF($B48="","",IF($K48=0,"لا توجد بيانات",IF(ROUND((((SUMIFS(Data!$U$5:$U$5004,Data!$B$5:$B$5004,$Q$6,Data!$D$5:$D$5004,$Q$7,Data!$E$5:$E$5004,$Q$8,Data!$F$5:$F$5004,$Q$9,Data!$G$5:$G$5004,$Q$10,Data!$C$5:$C$5004,$B48)+ExOn*SUMIFS(مثال_Example!$U$5:$U$804,مثال_Example!$B$5:$B$804,$Q$6,مثال_Example!$D$5:$D$804,$Q$7,مثال_Example!$E$5:$E$804,$Q$8,مثال_Example!$F$5:$F$804,$Q$9,مثال_Example!$G$5:$G$804,$Q$10,مثال_Example!$C$5:$C$804,$B48)))+L48)/K48,10)&lt;=KeyP_VW,"Very Weak",IF(ROUND((((SUMIFS(Data!$U$5:$U$5004,Data!$B$5:$B$5004,$Q$6,Data!$D$5:$D$5004,$Q$7,Data!$E$5:$E$5004,$Q$8,Data!$F$5:$F$5004,$Q$9,Data!$G$5:$G$5004,$Q$10,Data!$C$5:$C$5004,$B48)+ExOn*SUMIFS(مثال_Example!$U$5:$U$804,مثال_Example!$B$5:$B$804,$Q$6,مثال_Example!$D$5:$D$804,$Q$7,مثال_Example!$E$5:$E$804,$Q$8,مثال_Example!$F$5:$F$804,$Q$9,مثال_Example!$G$5:$G$804,$Q$10,مثال_Example!$C$5:$C$804,$B48)))+L48)/K48,10)&lt;KeyP_Weak,"Weak",IF(ROUND(L48/K48,10)&lt;KeyP_Acc,"Acceptable",IF(ROUND(L48/K48,10)&lt;=KeyP_Good,"Good",IF(ROUND(L48/K48,10)&lt;KeyP_Out,"Very Good","Outstanding")))))))</f>
        <v>لا توجد بيانات</v>
      </c>
      <c r="P48" s="1"/>
    </row>
    <row r="49" customFormat="false" ht="15" hidden="false" customHeight="false" outlineLevel="0" collapsed="false">
      <c r="A49" s="1"/>
      <c r="B49" s="51" t="str">
        <f aca="false">IF(Teachers!C45="","",Teachers!C45)</f>
        <v>Ms Rana Ashraf Elkhir</v>
      </c>
      <c r="C49" s="42" t="str">
        <f aca="false">IF($B49="","",Teachers!D45)</f>
        <v>Ae</v>
      </c>
      <c r="D49" s="42" t="n">
        <f aca="false">IF($B49="","",Teachers!F45)</f>
        <v>1</v>
      </c>
      <c r="E49" s="39" t="n">
        <f aca="false">IF($B49="","",(SUMIFS(Data!$Q$5:$Q$5004,Data!$B$5:$B$5004,$Q$6,Data!$D$5:$D$5004,$Q$7,Data!$E$5:$E$5004,$Q$8,Data!$F$5:$F$5004,$Q$9,Data!$G$5:$G$5004,$Q$10,Data!$C$5:$C$5004,$B49)+ExOn*SUMIFS(مثال_Example!$Q$5:$Q$804,مثال_Example!$B$5:$B$804,$Q$6,مثال_Example!$D$5:$D$804,$Q$7,مثال_Example!$E$5:$E$804,$Q$8,مثال_Example!$F$5:$F$804,$Q$9,مثال_Example!$G$5:$G$804,$Q$10,مثال_Example!$C$5:$C$804,$B49)))</f>
        <v>0</v>
      </c>
      <c r="F49" s="39" t="n">
        <f aca="false">IF($B49="","",(SUMIFS(Data!$R$5:$R$5004,Data!$B$5:$B$5004,$Q$6,Data!$D$5:$D$5004,$Q$7,Data!$E$5:$E$5004,$Q$8,Data!$F$5:$F$5004,$Q$9,Data!$G$5:$G$5004,$Q$10,Data!$C$5:$C$5004,$B49)+ExOn*SUMIFS(مثال_Example!$R$5:$R$804,مثال_Example!$B$5:$B$804,$Q$6,مثال_Example!$D$5:$D$804,$Q$7,مثال_Example!$E$5:$E$804,$Q$8,مثال_Example!$F$5:$F$804,$Q$9,مثال_Example!$G$5:$G$804,$Q$10,مثال_Example!$C$5:$C$804,$B49)))</f>
        <v>0</v>
      </c>
      <c r="G49" s="40" t="str">
        <f aca="false">IF($B49="","",IF($E49=0,"—",F49/$E49))</f>
        <v>—</v>
      </c>
      <c r="H49" s="39" t="n">
        <f aca="false">IF($B49="","",(SUMIFS(Data!$S$5:$S$5004,Data!$B$5:$B$5004,$Q$6,Data!$D$5:$D$5004,$Q$7,Data!$E$5:$E$5004,$Q$8,Data!$F$5:$F$5004,$Q$9,Data!$G$5:$G$5004,$Q$10,Data!$C$5:$C$5004,$B49)+ExOn*SUMIFS(مثال_Example!$S$5:$S$804,مثال_Example!$B$5:$B$804,$Q$6,مثال_Example!$D$5:$D$804,$Q$7,مثال_Example!$E$5:$E$804,$Q$8,مثال_Example!$F$5:$F$804,$Q$9,مثال_Example!$G$5:$G$804,$Q$10,مثال_Example!$C$5:$C$804,$B49)))</f>
        <v>0</v>
      </c>
      <c r="I49" s="40" t="str">
        <f aca="false">IF($B49="","",IF($E49=0,"—",H49/$E49))</f>
        <v>—</v>
      </c>
      <c r="J49" s="42" t="str">
        <f aca="false">IF($B49="","",IF($E49=0,"لا توجد بيانات",IF(ROUND(F49/E49,10)&lt;=KeyA_VW,"Very Weak",IF(ROUND(F49/E49,10)&lt;KeyA_Weak,"Weak",IF(ROUND(H49/E49,10)&lt;KeyA_Acc,"Acceptable",IF(ROUND(H49/E49,10)&lt;=KeyA_Good,"Good",IF(ROUND(H49/E49,10)&lt;KeyA_Out,"Very Good","Outstanding")))))))</f>
        <v>لا توجد بيانات</v>
      </c>
      <c r="K49" s="39" t="n">
        <f aca="false">IF($B49="","",(SUMIFS(Data!$T$5:$T$5004,Data!$B$5:$B$5004,$Q$6,Data!$D$5:$D$5004,$Q$7,Data!$E$5:$E$5004,$Q$8,Data!$F$5:$F$5004,$Q$9,Data!$G$5:$G$5004,$Q$10,Data!$C$5:$C$5004,$B49)+ExOn*SUMIFS(مثال_Example!$T$5:$T$804,مثال_Example!$B$5:$B$804,$Q$6,مثال_Example!$D$5:$D$804,$Q$7,مثال_Example!$E$5:$E$804,$Q$8,مثال_Example!$F$5:$F$804,$Q$9,مثال_Example!$G$5:$G$804,$Q$10,مثال_Example!$C$5:$C$804,$B49))+(SUMIFS(Data!$U$5:$U$5004,Data!$B$5:$B$5004,$Q$6,Data!$D$5:$D$5004,$Q$7,Data!$E$5:$E$5004,$Q$8,Data!$F$5:$F$5004,$Q$9,Data!$G$5:$G$5004,$Q$10,Data!$C$5:$C$5004,$B49)+ExOn*SUMIFS(مثال_Example!$U$5:$U$804,مثال_Example!$B$5:$B$804,$Q$6,مثال_Example!$D$5:$D$804,$Q$7,مثال_Example!$E$5:$E$804,$Q$8,مثال_Example!$F$5:$F$804,$Q$9,مثال_Example!$G$5:$G$804,$Q$10,مثال_Example!$C$5:$C$804,$B49))+(SUMIFS(Data!$V$5:$V$5004,Data!$B$5:$B$5004,$Q$6,Data!$D$5:$D$5004,$Q$7,Data!$E$5:$E$5004,$Q$8,Data!$F$5:$F$5004,$Q$9,Data!$G$5:$G$5004,$Q$10,Data!$C$5:$C$5004,$B49)+ExOn*SUMIFS(مثال_Example!$V$5:$V$804,مثال_Example!$B$5:$B$804,$Q$6,مثال_Example!$D$5:$D$804,$Q$7,مثال_Example!$E$5:$E$804,$Q$8,مثال_Example!$F$5:$F$804,$Q$9,مثال_Example!$G$5:$G$804,$Q$10,مثال_Example!$C$5:$C$804,$B49)))</f>
        <v>0</v>
      </c>
      <c r="L49" s="39" t="n">
        <f aca="false">IF($B49="","",(SUMIFS(Data!$V$5:$V$5004,Data!$B$5:$B$5004,$Q$6,Data!$D$5:$D$5004,$Q$7,Data!$E$5:$E$5004,$Q$8,Data!$F$5:$F$5004,$Q$9,Data!$G$5:$G$5004,$Q$10,Data!$C$5:$C$5004,$B49)+ExOn*SUMIFS(مثال_Example!$V$5:$V$804,مثال_Example!$B$5:$B$804,$Q$6,مثال_Example!$D$5:$D$804,$Q$7,مثال_Example!$E$5:$E$804,$Q$8,مثال_Example!$F$5:$F$804,$Q$9,مثال_Example!$G$5:$G$804,$Q$10,مثال_Example!$C$5:$C$804,$B49)))</f>
        <v>0</v>
      </c>
      <c r="M49" s="40" t="str">
        <f aca="false">IF($B49="","",IF($K49=0,"—",L49/$K49))</f>
        <v>—</v>
      </c>
      <c r="N49" s="40" t="str">
        <f aca="false">IF($B49="","",IF($K49=0,"—",((SUMIFS(Data!$U$5:$U$5004,Data!$B$5:$B$5004,$Q$6,Data!$D$5:$D$5004,$Q$7,Data!$E$5:$E$5004,$Q$8,Data!$F$5:$F$5004,$Q$9,Data!$G$5:$G$5004,$Q$10,Data!$C$5:$C$5004,$B49)+ExOn*SUMIFS(مثال_Example!$U$5:$U$804,مثال_Example!$B$5:$B$804,$Q$6,مثال_Example!$D$5:$D$804,$Q$7,مثال_Example!$E$5:$E$804,$Q$8,مثال_Example!$F$5:$F$804,$Q$9,مثال_Example!$G$5:$G$804,$Q$10,مثال_Example!$C$5:$C$804,$B49))+L49)/$K49))</f>
        <v>—</v>
      </c>
      <c r="O49" s="42" t="str">
        <f aca="false">IF($B49="","",IF($K49=0,"لا توجد بيانات",IF(ROUND((((SUMIFS(Data!$U$5:$U$5004,Data!$B$5:$B$5004,$Q$6,Data!$D$5:$D$5004,$Q$7,Data!$E$5:$E$5004,$Q$8,Data!$F$5:$F$5004,$Q$9,Data!$G$5:$G$5004,$Q$10,Data!$C$5:$C$5004,$B49)+ExOn*SUMIFS(مثال_Example!$U$5:$U$804,مثال_Example!$B$5:$B$804,$Q$6,مثال_Example!$D$5:$D$804,$Q$7,مثال_Example!$E$5:$E$804,$Q$8,مثال_Example!$F$5:$F$804,$Q$9,مثال_Example!$G$5:$G$804,$Q$10,مثال_Example!$C$5:$C$804,$B49)))+L49)/K49,10)&lt;=KeyP_VW,"Very Weak",IF(ROUND((((SUMIFS(Data!$U$5:$U$5004,Data!$B$5:$B$5004,$Q$6,Data!$D$5:$D$5004,$Q$7,Data!$E$5:$E$5004,$Q$8,Data!$F$5:$F$5004,$Q$9,Data!$G$5:$G$5004,$Q$10,Data!$C$5:$C$5004,$B49)+ExOn*SUMIFS(مثال_Example!$U$5:$U$804,مثال_Example!$B$5:$B$804,$Q$6,مثال_Example!$D$5:$D$804,$Q$7,مثال_Example!$E$5:$E$804,$Q$8,مثال_Example!$F$5:$F$804,$Q$9,مثال_Example!$G$5:$G$804,$Q$10,مثال_Example!$C$5:$C$804,$B49)))+L49)/K49,10)&lt;KeyP_Weak,"Weak",IF(ROUND(L49/K49,10)&lt;KeyP_Acc,"Acceptable",IF(ROUND(L49/K49,10)&lt;=KeyP_Good,"Good",IF(ROUND(L49/K49,10)&lt;KeyP_Out,"Very Good","Outstanding")))))))</f>
        <v>لا توجد بيانات</v>
      </c>
      <c r="P49" s="1"/>
    </row>
    <row r="50" customFormat="false" ht="15" hidden="false" customHeight="false" outlineLevel="0" collapsed="false">
      <c r="A50" s="1"/>
      <c r="B50" s="51" t="str">
        <f aca="false">IF(Teachers!C46="","",Teachers!C46)</f>
        <v>Ms Sahar K Mohamed</v>
      </c>
      <c r="C50" s="42" t="str">
        <f aca="false">IF($B50="","",Teachers!D46)</f>
        <v>Ae</v>
      </c>
      <c r="D50" s="42" t="n">
        <f aca="false">IF($B50="","",Teachers!F46)</f>
        <v>0</v>
      </c>
      <c r="E50" s="39" t="n">
        <f aca="false">IF($B50="","",(SUMIFS(Data!$Q$5:$Q$5004,Data!$B$5:$B$5004,$Q$6,Data!$D$5:$D$5004,$Q$7,Data!$E$5:$E$5004,$Q$8,Data!$F$5:$F$5004,$Q$9,Data!$G$5:$G$5004,$Q$10,Data!$C$5:$C$5004,$B50)+ExOn*SUMIFS(مثال_Example!$Q$5:$Q$804,مثال_Example!$B$5:$B$804,$Q$6,مثال_Example!$D$5:$D$804,$Q$7,مثال_Example!$E$5:$E$804,$Q$8,مثال_Example!$F$5:$F$804,$Q$9,مثال_Example!$G$5:$G$804,$Q$10,مثال_Example!$C$5:$C$804,$B50)))</f>
        <v>0</v>
      </c>
      <c r="F50" s="39" t="n">
        <f aca="false">IF($B50="","",(SUMIFS(Data!$R$5:$R$5004,Data!$B$5:$B$5004,$Q$6,Data!$D$5:$D$5004,$Q$7,Data!$E$5:$E$5004,$Q$8,Data!$F$5:$F$5004,$Q$9,Data!$G$5:$G$5004,$Q$10,Data!$C$5:$C$5004,$B50)+ExOn*SUMIFS(مثال_Example!$R$5:$R$804,مثال_Example!$B$5:$B$804,$Q$6,مثال_Example!$D$5:$D$804,$Q$7,مثال_Example!$E$5:$E$804,$Q$8,مثال_Example!$F$5:$F$804,$Q$9,مثال_Example!$G$5:$G$804,$Q$10,مثال_Example!$C$5:$C$804,$B50)))</f>
        <v>0</v>
      </c>
      <c r="G50" s="40" t="str">
        <f aca="false">IF($B50="","",IF($E50=0,"—",F50/$E50))</f>
        <v>—</v>
      </c>
      <c r="H50" s="39" t="n">
        <f aca="false">IF($B50="","",(SUMIFS(Data!$S$5:$S$5004,Data!$B$5:$B$5004,$Q$6,Data!$D$5:$D$5004,$Q$7,Data!$E$5:$E$5004,$Q$8,Data!$F$5:$F$5004,$Q$9,Data!$G$5:$G$5004,$Q$10,Data!$C$5:$C$5004,$B50)+ExOn*SUMIFS(مثال_Example!$S$5:$S$804,مثال_Example!$B$5:$B$804,$Q$6,مثال_Example!$D$5:$D$804,$Q$7,مثال_Example!$E$5:$E$804,$Q$8,مثال_Example!$F$5:$F$804,$Q$9,مثال_Example!$G$5:$G$804,$Q$10,مثال_Example!$C$5:$C$804,$B50)))</f>
        <v>0</v>
      </c>
      <c r="I50" s="40" t="str">
        <f aca="false">IF($B50="","",IF($E50=0,"—",H50/$E50))</f>
        <v>—</v>
      </c>
      <c r="J50" s="42" t="str">
        <f aca="false">IF($B50="","",IF($E50=0,"لا توجد بيانات",IF(ROUND(F50/E50,10)&lt;=KeyA_VW,"Very Weak",IF(ROUND(F50/E50,10)&lt;KeyA_Weak,"Weak",IF(ROUND(H50/E50,10)&lt;KeyA_Acc,"Acceptable",IF(ROUND(H50/E50,10)&lt;=KeyA_Good,"Good",IF(ROUND(H50/E50,10)&lt;KeyA_Out,"Very Good","Outstanding")))))))</f>
        <v>لا توجد بيانات</v>
      </c>
      <c r="K50" s="39" t="n">
        <f aca="false">IF($B50="","",(SUMIFS(Data!$T$5:$T$5004,Data!$B$5:$B$5004,$Q$6,Data!$D$5:$D$5004,$Q$7,Data!$E$5:$E$5004,$Q$8,Data!$F$5:$F$5004,$Q$9,Data!$G$5:$G$5004,$Q$10,Data!$C$5:$C$5004,$B50)+ExOn*SUMIFS(مثال_Example!$T$5:$T$804,مثال_Example!$B$5:$B$804,$Q$6,مثال_Example!$D$5:$D$804,$Q$7,مثال_Example!$E$5:$E$804,$Q$8,مثال_Example!$F$5:$F$804,$Q$9,مثال_Example!$G$5:$G$804,$Q$10,مثال_Example!$C$5:$C$804,$B50))+(SUMIFS(Data!$U$5:$U$5004,Data!$B$5:$B$5004,$Q$6,Data!$D$5:$D$5004,$Q$7,Data!$E$5:$E$5004,$Q$8,Data!$F$5:$F$5004,$Q$9,Data!$G$5:$G$5004,$Q$10,Data!$C$5:$C$5004,$B50)+ExOn*SUMIFS(مثال_Example!$U$5:$U$804,مثال_Example!$B$5:$B$804,$Q$6,مثال_Example!$D$5:$D$804,$Q$7,مثال_Example!$E$5:$E$804,$Q$8,مثال_Example!$F$5:$F$804,$Q$9,مثال_Example!$G$5:$G$804,$Q$10,مثال_Example!$C$5:$C$804,$B50))+(SUMIFS(Data!$V$5:$V$5004,Data!$B$5:$B$5004,$Q$6,Data!$D$5:$D$5004,$Q$7,Data!$E$5:$E$5004,$Q$8,Data!$F$5:$F$5004,$Q$9,Data!$G$5:$G$5004,$Q$10,Data!$C$5:$C$5004,$B50)+ExOn*SUMIFS(مثال_Example!$V$5:$V$804,مثال_Example!$B$5:$B$804,$Q$6,مثال_Example!$D$5:$D$804,$Q$7,مثال_Example!$E$5:$E$804,$Q$8,مثال_Example!$F$5:$F$804,$Q$9,مثال_Example!$G$5:$G$804,$Q$10,مثال_Example!$C$5:$C$804,$B50)))</f>
        <v>0</v>
      </c>
      <c r="L50" s="39" t="n">
        <f aca="false">IF($B50="","",(SUMIFS(Data!$V$5:$V$5004,Data!$B$5:$B$5004,$Q$6,Data!$D$5:$D$5004,$Q$7,Data!$E$5:$E$5004,$Q$8,Data!$F$5:$F$5004,$Q$9,Data!$G$5:$G$5004,$Q$10,Data!$C$5:$C$5004,$B50)+ExOn*SUMIFS(مثال_Example!$V$5:$V$804,مثال_Example!$B$5:$B$804,$Q$6,مثال_Example!$D$5:$D$804,$Q$7,مثال_Example!$E$5:$E$804,$Q$8,مثال_Example!$F$5:$F$804,$Q$9,مثال_Example!$G$5:$G$804,$Q$10,مثال_Example!$C$5:$C$804,$B50)))</f>
        <v>0</v>
      </c>
      <c r="M50" s="40" t="str">
        <f aca="false">IF($B50="","",IF($K50=0,"—",L50/$K50))</f>
        <v>—</v>
      </c>
      <c r="N50" s="40" t="str">
        <f aca="false">IF($B50="","",IF($K50=0,"—",((SUMIFS(Data!$U$5:$U$5004,Data!$B$5:$B$5004,$Q$6,Data!$D$5:$D$5004,$Q$7,Data!$E$5:$E$5004,$Q$8,Data!$F$5:$F$5004,$Q$9,Data!$G$5:$G$5004,$Q$10,Data!$C$5:$C$5004,$B50)+ExOn*SUMIFS(مثال_Example!$U$5:$U$804,مثال_Example!$B$5:$B$804,$Q$6,مثال_Example!$D$5:$D$804,$Q$7,مثال_Example!$E$5:$E$804,$Q$8,مثال_Example!$F$5:$F$804,$Q$9,مثال_Example!$G$5:$G$804,$Q$10,مثال_Example!$C$5:$C$804,$B50))+L50)/$K50))</f>
        <v>—</v>
      </c>
      <c r="O50" s="42" t="str">
        <f aca="false">IF($B50="","",IF($K50=0,"لا توجد بيانات",IF(ROUND((((SUMIFS(Data!$U$5:$U$5004,Data!$B$5:$B$5004,$Q$6,Data!$D$5:$D$5004,$Q$7,Data!$E$5:$E$5004,$Q$8,Data!$F$5:$F$5004,$Q$9,Data!$G$5:$G$5004,$Q$10,Data!$C$5:$C$5004,$B50)+ExOn*SUMIFS(مثال_Example!$U$5:$U$804,مثال_Example!$B$5:$B$804,$Q$6,مثال_Example!$D$5:$D$804,$Q$7,مثال_Example!$E$5:$E$804,$Q$8,مثال_Example!$F$5:$F$804,$Q$9,مثال_Example!$G$5:$G$804,$Q$10,مثال_Example!$C$5:$C$804,$B50)))+L50)/K50,10)&lt;=KeyP_VW,"Very Weak",IF(ROUND((((SUMIFS(Data!$U$5:$U$5004,Data!$B$5:$B$5004,$Q$6,Data!$D$5:$D$5004,$Q$7,Data!$E$5:$E$5004,$Q$8,Data!$F$5:$F$5004,$Q$9,Data!$G$5:$G$5004,$Q$10,Data!$C$5:$C$5004,$B50)+ExOn*SUMIFS(مثال_Example!$U$5:$U$804,مثال_Example!$B$5:$B$804,$Q$6,مثال_Example!$D$5:$D$804,$Q$7,مثال_Example!$E$5:$E$804,$Q$8,مثال_Example!$F$5:$F$804,$Q$9,مثال_Example!$G$5:$G$804,$Q$10,مثال_Example!$C$5:$C$804,$B50)))+L50)/K50,10)&lt;KeyP_Weak,"Weak",IF(ROUND(L50/K50,10)&lt;KeyP_Acc,"Acceptable",IF(ROUND(L50/K50,10)&lt;=KeyP_Good,"Good",IF(ROUND(L50/K50,10)&lt;KeyP_Out,"Very Good","Outstanding")))))))</f>
        <v>لا توجد بيانات</v>
      </c>
      <c r="P50" s="1"/>
    </row>
    <row r="51" customFormat="false" ht="15" hidden="false" customHeight="false" outlineLevel="0" collapsed="false">
      <c r="A51" s="1"/>
      <c r="B51" s="51" t="str">
        <f aca="false">IF(Teachers!C47="","",Teachers!C47)</f>
        <v>Mr WalidAhmed Elsherbini</v>
      </c>
      <c r="C51" s="42" t="str">
        <f aca="false">IF($B51="","",Teachers!D47)</f>
        <v>Ae</v>
      </c>
      <c r="D51" s="42" t="n">
        <f aca="false">IF($B51="","",Teachers!F47)</f>
        <v>1</v>
      </c>
      <c r="E51" s="39" t="n">
        <f aca="false">IF($B51="","",(SUMIFS(Data!$Q$5:$Q$5004,Data!$B$5:$B$5004,$Q$6,Data!$D$5:$D$5004,$Q$7,Data!$E$5:$E$5004,$Q$8,Data!$F$5:$F$5004,$Q$9,Data!$G$5:$G$5004,$Q$10,Data!$C$5:$C$5004,$B51)+ExOn*SUMIFS(مثال_Example!$Q$5:$Q$804,مثال_Example!$B$5:$B$804,$Q$6,مثال_Example!$D$5:$D$804,$Q$7,مثال_Example!$E$5:$E$804,$Q$8,مثال_Example!$F$5:$F$804,$Q$9,مثال_Example!$G$5:$G$804,$Q$10,مثال_Example!$C$5:$C$804,$B51)))</f>
        <v>0</v>
      </c>
      <c r="F51" s="39" t="n">
        <f aca="false">IF($B51="","",(SUMIFS(Data!$R$5:$R$5004,Data!$B$5:$B$5004,$Q$6,Data!$D$5:$D$5004,$Q$7,Data!$E$5:$E$5004,$Q$8,Data!$F$5:$F$5004,$Q$9,Data!$G$5:$G$5004,$Q$10,Data!$C$5:$C$5004,$B51)+ExOn*SUMIFS(مثال_Example!$R$5:$R$804,مثال_Example!$B$5:$B$804,$Q$6,مثال_Example!$D$5:$D$804,$Q$7,مثال_Example!$E$5:$E$804,$Q$8,مثال_Example!$F$5:$F$804,$Q$9,مثال_Example!$G$5:$G$804,$Q$10,مثال_Example!$C$5:$C$804,$B51)))</f>
        <v>0</v>
      </c>
      <c r="G51" s="40" t="str">
        <f aca="false">IF($B51="","",IF($E51=0,"—",F51/$E51))</f>
        <v>—</v>
      </c>
      <c r="H51" s="39" t="n">
        <f aca="false">IF($B51="","",(SUMIFS(Data!$S$5:$S$5004,Data!$B$5:$B$5004,$Q$6,Data!$D$5:$D$5004,$Q$7,Data!$E$5:$E$5004,$Q$8,Data!$F$5:$F$5004,$Q$9,Data!$G$5:$G$5004,$Q$10,Data!$C$5:$C$5004,$B51)+ExOn*SUMIFS(مثال_Example!$S$5:$S$804,مثال_Example!$B$5:$B$804,$Q$6,مثال_Example!$D$5:$D$804,$Q$7,مثال_Example!$E$5:$E$804,$Q$8,مثال_Example!$F$5:$F$804,$Q$9,مثال_Example!$G$5:$G$804,$Q$10,مثال_Example!$C$5:$C$804,$B51)))</f>
        <v>0</v>
      </c>
      <c r="I51" s="40" t="str">
        <f aca="false">IF($B51="","",IF($E51=0,"—",H51/$E51))</f>
        <v>—</v>
      </c>
      <c r="J51" s="42" t="str">
        <f aca="false">IF($B51="","",IF($E51=0,"لا توجد بيانات",IF(ROUND(F51/E51,10)&lt;=KeyA_VW,"Very Weak",IF(ROUND(F51/E51,10)&lt;KeyA_Weak,"Weak",IF(ROUND(H51/E51,10)&lt;KeyA_Acc,"Acceptable",IF(ROUND(H51/E51,10)&lt;=KeyA_Good,"Good",IF(ROUND(H51/E51,10)&lt;KeyA_Out,"Very Good","Outstanding")))))))</f>
        <v>لا توجد بيانات</v>
      </c>
      <c r="K51" s="39" t="n">
        <f aca="false">IF($B51="","",(SUMIFS(Data!$T$5:$T$5004,Data!$B$5:$B$5004,$Q$6,Data!$D$5:$D$5004,$Q$7,Data!$E$5:$E$5004,$Q$8,Data!$F$5:$F$5004,$Q$9,Data!$G$5:$G$5004,$Q$10,Data!$C$5:$C$5004,$B51)+ExOn*SUMIFS(مثال_Example!$T$5:$T$804,مثال_Example!$B$5:$B$804,$Q$6,مثال_Example!$D$5:$D$804,$Q$7,مثال_Example!$E$5:$E$804,$Q$8,مثال_Example!$F$5:$F$804,$Q$9,مثال_Example!$G$5:$G$804,$Q$10,مثال_Example!$C$5:$C$804,$B51))+(SUMIFS(Data!$U$5:$U$5004,Data!$B$5:$B$5004,$Q$6,Data!$D$5:$D$5004,$Q$7,Data!$E$5:$E$5004,$Q$8,Data!$F$5:$F$5004,$Q$9,Data!$G$5:$G$5004,$Q$10,Data!$C$5:$C$5004,$B51)+ExOn*SUMIFS(مثال_Example!$U$5:$U$804,مثال_Example!$B$5:$B$804,$Q$6,مثال_Example!$D$5:$D$804,$Q$7,مثال_Example!$E$5:$E$804,$Q$8,مثال_Example!$F$5:$F$804,$Q$9,مثال_Example!$G$5:$G$804,$Q$10,مثال_Example!$C$5:$C$804,$B51))+(SUMIFS(Data!$V$5:$V$5004,Data!$B$5:$B$5004,$Q$6,Data!$D$5:$D$5004,$Q$7,Data!$E$5:$E$5004,$Q$8,Data!$F$5:$F$5004,$Q$9,Data!$G$5:$G$5004,$Q$10,Data!$C$5:$C$5004,$B51)+ExOn*SUMIFS(مثال_Example!$V$5:$V$804,مثال_Example!$B$5:$B$804,$Q$6,مثال_Example!$D$5:$D$804,$Q$7,مثال_Example!$E$5:$E$804,$Q$8,مثال_Example!$F$5:$F$804,$Q$9,مثال_Example!$G$5:$G$804,$Q$10,مثال_Example!$C$5:$C$804,$B51)))</f>
        <v>0</v>
      </c>
      <c r="L51" s="39" t="n">
        <f aca="false">IF($B51="","",(SUMIFS(Data!$V$5:$V$5004,Data!$B$5:$B$5004,$Q$6,Data!$D$5:$D$5004,$Q$7,Data!$E$5:$E$5004,$Q$8,Data!$F$5:$F$5004,$Q$9,Data!$G$5:$G$5004,$Q$10,Data!$C$5:$C$5004,$B51)+ExOn*SUMIFS(مثال_Example!$V$5:$V$804,مثال_Example!$B$5:$B$804,$Q$6,مثال_Example!$D$5:$D$804,$Q$7,مثال_Example!$E$5:$E$804,$Q$8,مثال_Example!$F$5:$F$804,$Q$9,مثال_Example!$G$5:$G$804,$Q$10,مثال_Example!$C$5:$C$804,$B51)))</f>
        <v>0</v>
      </c>
      <c r="M51" s="40" t="str">
        <f aca="false">IF($B51="","",IF($K51=0,"—",L51/$K51))</f>
        <v>—</v>
      </c>
      <c r="N51" s="40" t="str">
        <f aca="false">IF($B51="","",IF($K51=0,"—",((SUMIFS(Data!$U$5:$U$5004,Data!$B$5:$B$5004,$Q$6,Data!$D$5:$D$5004,$Q$7,Data!$E$5:$E$5004,$Q$8,Data!$F$5:$F$5004,$Q$9,Data!$G$5:$G$5004,$Q$10,Data!$C$5:$C$5004,$B51)+ExOn*SUMIFS(مثال_Example!$U$5:$U$804,مثال_Example!$B$5:$B$804,$Q$6,مثال_Example!$D$5:$D$804,$Q$7,مثال_Example!$E$5:$E$804,$Q$8,مثال_Example!$F$5:$F$804,$Q$9,مثال_Example!$G$5:$G$804,$Q$10,مثال_Example!$C$5:$C$804,$B51))+L51)/$K51))</f>
        <v>—</v>
      </c>
      <c r="O51" s="42" t="str">
        <f aca="false">IF($B51="","",IF($K51=0,"لا توجد بيانات",IF(ROUND((((SUMIFS(Data!$U$5:$U$5004,Data!$B$5:$B$5004,$Q$6,Data!$D$5:$D$5004,$Q$7,Data!$E$5:$E$5004,$Q$8,Data!$F$5:$F$5004,$Q$9,Data!$G$5:$G$5004,$Q$10,Data!$C$5:$C$5004,$B51)+ExOn*SUMIFS(مثال_Example!$U$5:$U$804,مثال_Example!$B$5:$B$804,$Q$6,مثال_Example!$D$5:$D$804,$Q$7,مثال_Example!$E$5:$E$804,$Q$8,مثال_Example!$F$5:$F$804,$Q$9,مثال_Example!$G$5:$G$804,$Q$10,مثال_Example!$C$5:$C$804,$B51)))+L51)/K51,10)&lt;=KeyP_VW,"Very Weak",IF(ROUND((((SUMIFS(Data!$U$5:$U$5004,Data!$B$5:$B$5004,$Q$6,Data!$D$5:$D$5004,$Q$7,Data!$E$5:$E$5004,$Q$8,Data!$F$5:$F$5004,$Q$9,Data!$G$5:$G$5004,$Q$10,Data!$C$5:$C$5004,$B51)+ExOn*SUMIFS(مثال_Example!$U$5:$U$804,مثال_Example!$B$5:$B$804,$Q$6,مثال_Example!$D$5:$D$804,$Q$7,مثال_Example!$E$5:$E$804,$Q$8,مثال_Example!$F$5:$F$804,$Q$9,مثال_Example!$G$5:$G$804,$Q$10,مثال_Example!$C$5:$C$804,$B51)))+L51)/K51,10)&lt;KeyP_Weak,"Weak",IF(ROUND(L51/K51,10)&lt;KeyP_Acc,"Acceptable",IF(ROUND(L51/K51,10)&lt;=KeyP_Good,"Good",IF(ROUND(L51/K51,10)&lt;KeyP_Out,"Very Good","Outstanding")))))))</f>
        <v>لا توجد بيانات</v>
      </c>
      <c r="P51" s="1"/>
    </row>
    <row r="52" customFormat="false" ht="15" hidden="false" customHeight="false" outlineLevel="0" collapsed="false">
      <c r="A52" s="1"/>
      <c r="B52" s="51" t="str">
        <f aca="false">IF(Teachers!C48="","",Teachers!C48)</f>
        <v>Mr Wajdi Al Najjad</v>
      </c>
      <c r="C52" s="42" t="str">
        <f aca="false">IF($B52="","",Teachers!D48)</f>
        <v>Ae</v>
      </c>
      <c r="D52" s="42" t="n">
        <f aca="false">IF($B52="","",Teachers!F48)</f>
        <v>3</v>
      </c>
      <c r="E52" s="39" t="n">
        <f aca="false">IF($B52="","",(SUMIFS(Data!$Q$5:$Q$5004,Data!$B$5:$B$5004,$Q$6,Data!$D$5:$D$5004,$Q$7,Data!$E$5:$E$5004,$Q$8,Data!$F$5:$F$5004,$Q$9,Data!$G$5:$G$5004,$Q$10,Data!$C$5:$C$5004,$B52)+ExOn*SUMIFS(مثال_Example!$Q$5:$Q$804,مثال_Example!$B$5:$B$804,$Q$6,مثال_Example!$D$5:$D$804,$Q$7,مثال_Example!$E$5:$E$804,$Q$8,مثال_Example!$F$5:$F$804,$Q$9,مثال_Example!$G$5:$G$804,$Q$10,مثال_Example!$C$5:$C$804,$B52)))</f>
        <v>0</v>
      </c>
      <c r="F52" s="39" t="n">
        <f aca="false">IF($B52="","",(SUMIFS(Data!$R$5:$R$5004,Data!$B$5:$B$5004,$Q$6,Data!$D$5:$D$5004,$Q$7,Data!$E$5:$E$5004,$Q$8,Data!$F$5:$F$5004,$Q$9,Data!$G$5:$G$5004,$Q$10,Data!$C$5:$C$5004,$B52)+ExOn*SUMIFS(مثال_Example!$R$5:$R$804,مثال_Example!$B$5:$B$804,$Q$6,مثال_Example!$D$5:$D$804,$Q$7,مثال_Example!$E$5:$E$804,$Q$8,مثال_Example!$F$5:$F$804,$Q$9,مثال_Example!$G$5:$G$804,$Q$10,مثال_Example!$C$5:$C$804,$B52)))</f>
        <v>0</v>
      </c>
      <c r="G52" s="40" t="str">
        <f aca="false">IF($B52="","",IF($E52=0,"—",F52/$E52))</f>
        <v>—</v>
      </c>
      <c r="H52" s="39" t="n">
        <f aca="false">IF($B52="","",(SUMIFS(Data!$S$5:$S$5004,Data!$B$5:$B$5004,$Q$6,Data!$D$5:$D$5004,$Q$7,Data!$E$5:$E$5004,$Q$8,Data!$F$5:$F$5004,$Q$9,Data!$G$5:$G$5004,$Q$10,Data!$C$5:$C$5004,$B52)+ExOn*SUMIFS(مثال_Example!$S$5:$S$804,مثال_Example!$B$5:$B$804,$Q$6,مثال_Example!$D$5:$D$804,$Q$7,مثال_Example!$E$5:$E$804,$Q$8,مثال_Example!$F$5:$F$804,$Q$9,مثال_Example!$G$5:$G$804,$Q$10,مثال_Example!$C$5:$C$804,$B52)))</f>
        <v>0</v>
      </c>
      <c r="I52" s="40" t="str">
        <f aca="false">IF($B52="","",IF($E52=0,"—",H52/$E52))</f>
        <v>—</v>
      </c>
      <c r="J52" s="42" t="str">
        <f aca="false">IF($B52="","",IF($E52=0,"لا توجد بيانات",IF(ROUND(F52/E52,10)&lt;=KeyA_VW,"Very Weak",IF(ROUND(F52/E52,10)&lt;KeyA_Weak,"Weak",IF(ROUND(H52/E52,10)&lt;KeyA_Acc,"Acceptable",IF(ROUND(H52/E52,10)&lt;=KeyA_Good,"Good",IF(ROUND(H52/E52,10)&lt;KeyA_Out,"Very Good","Outstanding")))))))</f>
        <v>لا توجد بيانات</v>
      </c>
      <c r="K52" s="39" t="n">
        <f aca="false">IF($B52="","",(SUMIFS(Data!$T$5:$T$5004,Data!$B$5:$B$5004,$Q$6,Data!$D$5:$D$5004,$Q$7,Data!$E$5:$E$5004,$Q$8,Data!$F$5:$F$5004,$Q$9,Data!$G$5:$G$5004,$Q$10,Data!$C$5:$C$5004,$B52)+ExOn*SUMIFS(مثال_Example!$T$5:$T$804,مثال_Example!$B$5:$B$804,$Q$6,مثال_Example!$D$5:$D$804,$Q$7,مثال_Example!$E$5:$E$804,$Q$8,مثال_Example!$F$5:$F$804,$Q$9,مثال_Example!$G$5:$G$804,$Q$10,مثال_Example!$C$5:$C$804,$B52))+(SUMIFS(Data!$U$5:$U$5004,Data!$B$5:$B$5004,$Q$6,Data!$D$5:$D$5004,$Q$7,Data!$E$5:$E$5004,$Q$8,Data!$F$5:$F$5004,$Q$9,Data!$G$5:$G$5004,$Q$10,Data!$C$5:$C$5004,$B52)+ExOn*SUMIFS(مثال_Example!$U$5:$U$804,مثال_Example!$B$5:$B$804,$Q$6,مثال_Example!$D$5:$D$804,$Q$7,مثال_Example!$E$5:$E$804,$Q$8,مثال_Example!$F$5:$F$804,$Q$9,مثال_Example!$G$5:$G$804,$Q$10,مثال_Example!$C$5:$C$804,$B52))+(SUMIFS(Data!$V$5:$V$5004,Data!$B$5:$B$5004,$Q$6,Data!$D$5:$D$5004,$Q$7,Data!$E$5:$E$5004,$Q$8,Data!$F$5:$F$5004,$Q$9,Data!$G$5:$G$5004,$Q$10,Data!$C$5:$C$5004,$B52)+ExOn*SUMIFS(مثال_Example!$V$5:$V$804,مثال_Example!$B$5:$B$804,$Q$6,مثال_Example!$D$5:$D$804,$Q$7,مثال_Example!$E$5:$E$804,$Q$8,مثال_Example!$F$5:$F$804,$Q$9,مثال_Example!$G$5:$G$804,$Q$10,مثال_Example!$C$5:$C$804,$B52)))</f>
        <v>0</v>
      </c>
      <c r="L52" s="39" t="n">
        <f aca="false">IF($B52="","",(SUMIFS(Data!$V$5:$V$5004,Data!$B$5:$B$5004,$Q$6,Data!$D$5:$D$5004,$Q$7,Data!$E$5:$E$5004,$Q$8,Data!$F$5:$F$5004,$Q$9,Data!$G$5:$G$5004,$Q$10,Data!$C$5:$C$5004,$B52)+ExOn*SUMIFS(مثال_Example!$V$5:$V$804,مثال_Example!$B$5:$B$804,$Q$6,مثال_Example!$D$5:$D$804,$Q$7,مثال_Example!$E$5:$E$804,$Q$8,مثال_Example!$F$5:$F$804,$Q$9,مثال_Example!$G$5:$G$804,$Q$10,مثال_Example!$C$5:$C$804,$B52)))</f>
        <v>0</v>
      </c>
      <c r="M52" s="40" t="str">
        <f aca="false">IF($B52="","",IF($K52=0,"—",L52/$K52))</f>
        <v>—</v>
      </c>
      <c r="N52" s="40" t="str">
        <f aca="false">IF($B52="","",IF($K52=0,"—",((SUMIFS(Data!$U$5:$U$5004,Data!$B$5:$B$5004,$Q$6,Data!$D$5:$D$5004,$Q$7,Data!$E$5:$E$5004,$Q$8,Data!$F$5:$F$5004,$Q$9,Data!$G$5:$G$5004,$Q$10,Data!$C$5:$C$5004,$B52)+ExOn*SUMIFS(مثال_Example!$U$5:$U$804,مثال_Example!$B$5:$B$804,$Q$6,مثال_Example!$D$5:$D$804,$Q$7,مثال_Example!$E$5:$E$804,$Q$8,مثال_Example!$F$5:$F$804,$Q$9,مثال_Example!$G$5:$G$804,$Q$10,مثال_Example!$C$5:$C$804,$B52))+L52)/$K52))</f>
        <v>—</v>
      </c>
      <c r="O52" s="42" t="str">
        <f aca="false">IF($B52="","",IF($K52=0,"لا توجد بيانات",IF(ROUND((((SUMIFS(Data!$U$5:$U$5004,Data!$B$5:$B$5004,$Q$6,Data!$D$5:$D$5004,$Q$7,Data!$E$5:$E$5004,$Q$8,Data!$F$5:$F$5004,$Q$9,Data!$G$5:$G$5004,$Q$10,Data!$C$5:$C$5004,$B52)+ExOn*SUMIFS(مثال_Example!$U$5:$U$804,مثال_Example!$B$5:$B$804,$Q$6,مثال_Example!$D$5:$D$804,$Q$7,مثال_Example!$E$5:$E$804,$Q$8,مثال_Example!$F$5:$F$804,$Q$9,مثال_Example!$G$5:$G$804,$Q$10,مثال_Example!$C$5:$C$804,$B52)))+L52)/K52,10)&lt;=KeyP_VW,"Very Weak",IF(ROUND((((SUMIFS(Data!$U$5:$U$5004,Data!$B$5:$B$5004,$Q$6,Data!$D$5:$D$5004,$Q$7,Data!$E$5:$E$5004,$Q$8,Data!$F$5:$F$5004,$Q$9,Data!$G$5:$G$5004,$Q$10,Data!$C$5:$C$5004,$B52)+ExOn*SUMIFS(مثال_Example!$U$5:$U$804,مثال_Example!$B$5:$B$804,$Q$6,مثال_Example!$D$5:$D$804,$Q$7,مثال_Example!$E$5:$E$804,$Q$8,مثال_Example!$F$5:$F$804,$Q$9,مثال_Example!$G$5:$G$804,$Q$10,مثال_Example!$C$5:$C$804,$B52)))+L52)/K52,10)&lt;KeyP_Weak,"Weak",IF(ROUND(L52/K52,10)&lt;KeyP_Acc,"Acceptable",IF(ROUND(L52/K52,10)&lt;=KeyP_Good,"Good",IF(ROUND(L52/K52,10)&lt;KeyP_Out,"Very Good","Outstanding")))))))</f>
        <v>لا توجد بيانات</v>
      </c>
      <c r="P52" s="1"/>
    </row>
    <row r="53" customFormat="false" ht="15" hidden="false" customHeight="false" outlineLevel="0" collapsed="false">
      <c r="A53" s="1"/>
      <c r="B53" s="51" t="str">
        <f aca="false">IF(Teachers!C49="","",Teachers!C49)</f>
        <v>Mr Ahmad Abdan</v>
      </c>
      <c r="C53" s="42" t="str">
        <f aca="false">IF($B53="","",Teachers!D49)</f>
        <v>Ia</v>
      </c>
      <c r="D53" s="42" t="n">
        <f aca="false">IF($B53="","",Teachers!F49)</f>
        <v>8</v>
      </c>
      <c r="E53" s="39" t="n">
        <f aca="false">IF($B53="","",(SUMIFS(Data!$Q$5:$Q$5004,Data!$B$5:$B$5004,$Q$6,Data!$D$5:$D$5004,$Q$7,Data!$E$5:$E$5004,$Q$8,Data!$F$5:$F$5004,$Q$9,Data!$G$5:$G$5004,$Q$10,Data!$C$5:$C$5004,$B53)+ExOn*SUMIFS(مثال_Example!$Q$5:$Q$804,مثال_Example!$B$5:$B$804,$Q$6,مثال_Example!$D$5:$D$804,$Q$7,مثال_Example!$E$5:$E$804,$Q$8,مثال_Example!$F$5:$F$804,$Q$9,مثال_Example!$G$5:$G$804,$Q$10,مثال_Example!$C$5:$C$804,$B53)))</f>
        <v>0</v>
      </c>
      <c r="F53" s="39" t="n">
        <f aca="false">IF($B53="","",(SUMIFS(Data!$R$5:$R$5004,Data!$B$5:$B$5004,$Q$6,Data!$D$5:$D$5004,$Q$7,Data!$E$5:$E$5004,$Q$8,Data!$F$5:$F$5004,$Q$9,Data!$G$5:$G$5004,$Q$10,Data!$C$5:$C$5004,$B53)+ExOn*SUMIFS(مثال_Example!$R$5:$R$804,مثال_Example!$B$5:$B$804,$Q$6,مثال_Example!$D$5:$D$804,$Q$7,مثال_Example!$E$5:$E$804,$Q$8,مثال_Example!$F$5:$F$804,$Q$9,مثال_Example!$G$5:$G$804,$Q$10,مثال_Example!$C$5:$C$804,$B53)))</f>
        <v>0</v>
      </c>
      <c r="G53" s="40" t="str">
        <f aca="false">IF($B53="","",IF($E53=0,"—",F53/$E53))</f>
        <v>—</v>
      </c>
      <c r="H53" s="39" t="n">
        <f aca="false">IF($B53="","",(SUMIFS(Data!$S$5:$S$5004,Data!$B$5:$B$5004,$Q$6,Data!$D$5:$D$5004,$Q$7,Data!$E$5:$E$5004,$Q$8,Data!$F$5:$F$5004,$Q$9,Data!$G$5:$G$5004,$Q$10,Data!$C$5:$C$5004,$B53)+ExOn*SUMIFS(مثال_Example!$S$5:$S$804,مثال_Example!$B$5:$B$804,$Q$6,مثال_Example!$D$5:$D$804,$Q$7,مثال_Example!$E$5:$E$804,$Q$8,مثال_Example!$F$5:$F$804,$Q$9,مثال_Example!$G$5:$G$804,$Q$10,مثال_Example!$C$5:$C$804,$B53)))</f>
        <v>0</v>
      </c>
      <c r="I53" s="40" t="str">
        <f aca="false">IF($B53="","",IF($E53=0,"—",H53/$E53))</f>
        <v>—</v>
      </c>
      <c r="J53" s="42" t="str">
        <f aca="false">IF($B53="","",IF($E53=0,"لا توجد بيانات",IF(ROUND(F53/E53,10)&lt;=KeyA_VW,"Very Weak",IF(ROUND(F53/E53,10)&lt;KeyA_Weak,"Weak",IF(ROUND(H53/E53,10)&lt;KeyA_Acc,"Acceptable",IF(ROUND(H53/E53,10)&lt;=KeyA_Good,"Good",IF(ROUND(H53/E53,10)&lt;KeyA_Out,"Very Good","Outstanding")))))))</f>
        <v>لا توجد بيانات</v>
      </c>
      <c r="K53" s="39" t="n">
        <f aca="false">IF($B53="","",(SUMIFS(Data!$T$5:$T$5004,Data!$B$5:$B$5004,$Q$6,Data!$D$5:$D$5004,$Q$7,Data!$E$5:$E$5004,$Q$8,Data!$F$5:$F$5004,$Q$9,Data!$G$5:$G$5004,$Q$10,Data!$C$5:$C$5004,$B53)+ExOn*SUMIFS(مثال_Example!$T$5:$T$804,مثال_Example!$B$5:$B$804,$Q$6,مثال_Example!$D$5:$D$804,$Q$7,مثال_Example!$E$5:$E$804,$Q$8,مثال_Example!$F$5:$F$804,$Q$9,مثال_Example!$G$5:$G$804,$Q$10,مثال_Example!$C$5:$C$804,$B53))+(SUMIFS(Data!$U$5:$U$5004,Data!$B$5:$B$5004,$Q$6,Data!$D$5:$D$5004,$Q$7,Data!$E$5:$E$5004,$Q$8,Data!$F$5:$F$5004,$Q$9,Data!$G$5:$G$5004,$Q$10,Data!$C$5:$C$5004,$B53)+ExOn*SUMIFS(مثال_Example!$U$5:$U$804,مثال_Example!$B$5:$B$804,$Q$6,مثال_Example!$D$5:$D$804,$Q$7,مثال_Example!$E$5:$E$804,$Q$8,مثال_Example!$F$5:$F$804,$Q$9,مثال_Example!$G$5:$G$804,$Q$10,مثال_Example!$C$5:$C$804,$B53))+(SUMIFS(Data!$V$5:$V$5004,Data!$B$5:$B$5004,$Q$6,Data!$D$5:$D$5004,$Q$7,Data!$E$5:$E$5004,$Q$8,Data!$F$5:$F$5004,$Q$9,Data!$G$5:$G$5004,$Q$10,Data!$C$5:$C$5004,$B53)+ExOn*SUMIFS(مثال_Example!$V$5:$V$804,مثال_Example!$B$5:$B$804,$Q$6,مثال_Example!$D$5:$D$804,$Q$7,مثال_Example!$E$5:$E$804,$Q$8,مثال_Example!$F$5:$F$804,$Q$9,مثال_Example!$G$5:$G$804,$Q$10,مثال_Example!$C$5:$C$804,$B53)))</f>
        <v>0</v>
      </c>
      <c r="L53" s="39" t="n">
        <f aca="false">IF($B53="","",(SUMIFS(Data!$V$5:$V$5004,Data!$B$5:$B$5004,$Q$6,Data!$D$5:$D$5004,$Q$7,Data!$E$5:$E$5004,$Q$8,Data!$F$5:$F$5004,$Q$9,Data!$G$5:$G$5004,$Q$10,Data!$C$5:$C$5004,$B53)+ExOn*SUMIFS(مثال_Example!$V$5:$V$804,مثال_Example!$B$5:$B$804,$Q$6,مثال_Example!$D$5:$D$804,$Q$7,مثال_Example!$E$5:$E$804,$Q$8,مثال_Example!$F$5:$F$804,$Q$9,مثال_Example!$G$5:$G$804,$Q$10,مثال_Example!$C$5:$C$804,$B53)))</f>
        <v>0</v>
      </c>
      <c r="M53" s="40" t="str">
        <f aca="false">IF($B53="","",IF($K53=0,"—",L53/$K53))</f>
        <v>—</v>
      </c>
      <c r="N53" s="40" t="str">
        <f aca="false">IF($B53="","",IF($K53=0,"—",((SUMIFS(Data!$U$5:$U$5004,Data!$B$5:$B$5004,$Q$6,Data!$D$5:$D$5004,$Q$7,Data!$E$5:$E$5004,$Q$8,Data!$F$5:$F$5004,$Q$9,Data!$G$5:$G$5004,$Q$10,Data!$C$5:$C$5004,$B53)+ExOn*SUMIFS(مثال_Example!$U$5:$U$804,مثال_Example!$B$5:$B$804,$Q$6,مثال_Example!$D$5:$D$804,$Q$7,مثال_Example!$E$5:$E$804,$Q$8,مثال_Example!$F$5:$F$804,$Q$9,مثال_Example!$G$5:$G$804,$Q$10,مثال_Example!$C$5:$C$804,$B53))+L53)/$K53))</f>
        <v>—</v>
      </c>
      <c r="O53" s="42" t="str">
        <f aca="false">IF($B53="","",IF($K53=0,"لا توجد بيانات",IF(ROUND((((SUMIFS(Data!$U$5:$U$5004,Data!$B$5:$B$5004,$Q$6,Data!$D$5:$D$5004,$Q$7,Data!$E$5:$E$5004,$Q$8,Data!$F$5:$F$5004,$Q$9,Data!$G$5:$G$5004,$Q$10,Data!$C$5:$C$5004,$B53)+ExOn*SUMIFS(مثال_Example!$U$5:$U$804,مثال_Example!$B$5:$B$804,$Q$6,مثال_Example!$D$5:$D$804,$Q$7,مثال_Example!$E$5:$E$804,$Q$8,مثال_Example!$F$5:$F$804,$Q$9,مثال_Example!$G$5:$G$804,$Q$10,مثال_Example!$C$5:$C$804,$B53)))+L53)/K53,10)&lt;=KeyP_VW,"Very Weak",IF(ROUND((((SUMIFS(Data!$U$5:$U$5004,Data!$B$5:$B$5004,$Q$6,Data!$D$5:$D$5004,$Q$7,Data!$E$5:$E$5004,$Q$8,Data!$F$5:$F$5004,$Q$9,Data!$G$5:$G$5004,$Q$10,Data!$C$5:$C$5004,$B53)+ExOn*SUMIFS(مثال_Example!$U$5:$U$804,مثال_Example!$B$5:$B$804,$Q$6,مثال_Example!$D$5:$D$804,$Q$7,مثال_Example!$E$5:$E$804,$Q$8,مثال_Example!$F$5:$F$804,$Q$9,مثال_Example!$G$5:$G$804,$Q$10,مثال_Example!$C$5:$C$804,$B53)))+L53)/K53,10)&lt;KeyP_Weak,"Weak",IF(ROUND(L53/K53,10)&lt;KeyP_Acc,"Acceptable",IF(ROUND(L53/K53,10)&lt;=KeyP_Good,"Good",IF(ROUND(L53/K53,10)&lt;KeyP_Out,"Very Good","Outstanding")))))))</f>
        <v>لا توجد بيانات</v>
      </c>
      <c r="P53" s="1"/>
    </row>
    <row r="54" customFormat="false" ht="15" hidden="false" customHeight="false" outlineLevel="0" collapsed="false">
      <c r="A54" s="1"/>
      <c r="B54" s="51" t="str">
        <f aca="false">IF(Teachers!C50="","",Teachers!C50)</f>
        <v>Mr Abdelrahman ElSheikh</v>
      </c>
      <c r="C54" s="42" t="str">
        <f aca="false">IF($B54="","",Teachers!D50)</f>
        <v>Ia</v>
      </c>
      <c r="D54" s="42" t="n">
        <f aca="false">IF($B54="","",Teachers!F50)</f>
        <v>8</v>
      </c>
      <c r="E54" s="39" t="n">
        <f aca="false">IF($B54="","",(SUMIFS(Data!$Q$5:$Q$5004,Data!$B$5:$B$5004,$Q$6,Data!$D$5:$D$5004,$Q$7,Data!$E$5:$E$5004,$Q$8,Data!$F$5:$F$5004,$Q$9,Data!$G$5:$G$5004,$Q$10,Data!$C$5:$C$5004,$B54)+ExOn*SUMIFS(مثال_Example!$Q$5:$Q$804,مثال_Example!$B$5:$B$804,$Q$6,مثال_Example!$D$5:$D$804,$Q$7,مثال_Example!$E$5:$E$804,$Q$8,مثال_Example!$F$5:$F$804,$Q$9,مثال_Example!$G$5:$G$804,$Q$10,مثال_Example!$C$5:$C$804,$B54)))</f>
        <v>0</v>
      </c>
      <c r="F54" s="39" t="n">
        <f aca="false">IF($B54="","",(SUMIFS(Data!$R$5:$R$5004,Data!$B$5:$B$5004,$Q$6,Data!$D$5:$D$5004,$Q$7,Data!$E$5:$E$5004,$Q$8,Data!$F$5:$F$5004,$Q$9,Data!$G$5:$G$5004,$Q$10,Data!$C$5:$C$5004,$B54)+ExOn*SUMIFS(مثال_Example!$R$5:$R$804,مثال_Example!$B$5:$B$804,$Q$6,مثال_Example!$D$5:$D$804,$Q$7,مثال_Example!$E$5:$E$804,$Q$8,مثال_Example!$F$5:$F$804,$Q$9,مثال_Example!$G$5:$G$804,$Q$10,مثال_Example!$C$5:$C$804,$B54)))</f>
        <v>0</v>
      </c>
      <c r="G54" s="40" t="str">
        <f aca="false">IF($B54="","",IF($E54=0,"—",F54/$E54))</f>
        <v>—</v>
      </c>
      <c r="H54" s="39" t="n">
        <f aca="false">IF($B54="","",(SUMIFS(Data!$S$5:$S$5004,Data!$B$5:$B$5004,$Q$6,Data!$D$5:$D$5004,$Q$7,Data!$E$5:$E$5004,$Q$8,Data!$F$5:$F$5004,$Q$9,Data!$G$5:$G$5004,$Q$10,Data!$C$5:$C$5004,$B54)+ExOn*SUMIFS(مثال_Example!$S$5:$S$804,مثال_Example!$B$5:$B$804,$Q$6,مثال_Example!$D$5:$D$804,$Q$7,مثال_Example!$E$5:$E$804,$Q$8,مثال_Example!$F$5:$F$804,$Q$9,مثال_Example!$G$5:$G$804,$Q$10,مثال_Example!$C$5:$C$804,$B54)))</f>
        <v>0</v>
      </c>
      <c r="I54" s="40" t="str">
        <f aca="false">IF($B54="","",IF($E54=0,"—",H54/$E54))</f>
        <v>—</v>
      </c>
      <c r="J54" s="42" t="str">
        <f aca="false">IF($B54="","",IF($E54=0,"لا توجد بيانات",IF(ROUND(F54/E54,10)&lt;=KeyA_VW,"Very Weak",IF(ROUND(F54/E54,10)&lt;KeyA_Weak,"Weak",IF(ROUND(H54/E54,10)&lt;KeyA_Acc,"Acceptable",IF(ROUND(H54/E54,10)&lt;=KeyA_Good,"Good",IF(ROUND(H54/E54,10)&lt;KeyA_Out,"Very Good","Outstanding")))))))</f>
        <v>لا توجد بيانات</v>
      </c>
      <c r="K54" s="39" t="n">
        <f aca="false">IF($B54="","",(SUMIFS(Data!$T$5:$T$5004,Data!$B$5:$B$5004,$Q$6,Data!$D$5:$D$5004,$Q$7,Data!$E$5:$E$5004,$Q$8,Data!$F$5:$F$5004,$Q$9,Data!$G$5:$G$5004,$Q$10,Data!$C$5:$C$5004,$B54)+ExOn*SUMIFS(مثال_Example!$T$5:$T$804,مثال_Example!$B$5:$B$804,$Q$6,مثال_Example!$D$5:$D$804,$Q$7,مثال_Example!$E$5:$E$804,$Q$8,مثال_Example!$F$5:$F$804,$Q$9,مثال_Example!$G$5:$G$804,$Q$10,مثال_Example!$C$5:$C$804,$B54))+(SUMIFS(Data!$U$5:$U$5004,Data!$B$5:$B$5004,$Q$6,Data!$D$5:$D$5004,$Q$7,Data!$E$5:$E$5004,$Q$8,Data!$F$5:$F$5004,$Q$9,Data!$G$5:$G$5004,$Q$10,Data!$C$5:$C$5004,$B54)+ExOn*SUMIFS(مثال_Example!$U$5:$U$804,مثال_Example!$B$5:$B$804,$Q$6,مثال_Example!$D$5:$D$804,$Q$7,مثال_Example!$E$5:$E$804,$Q$8,مثال_Example!$F$5:$F$804,$Q$9,مثال_Example!$G$5:$G$804,$Q$10,مثال_Example!$C$5:$C$804,$B54))+(SUMIFS(Data!$V$5:$V$5004,Data!$B$5:$B$5004,$Q$6,Data!$D$5:$D$5004,$Q$7,Data!$E$5:$E$5004,$Q$8,Data!$F$5:$F$5004,$Q$9,Data!$G$5:$G$5004,$Q$10,Data!$C$5:$C$5004,$B54)+ExOn*SUMIFS(مثال_Example!$V$5:$V$804,مثال_Example!$B$5:$B$804,$Q$6,مثال_Example!$D$5:$D$804,$Q$7,مثال_Example!$E$5:$E$804,$Q$8,مثال_Example!$F$5:$F$804,$Q$9,مثال_Example!$G$5:$G$804,$Q$10,مثال_Example!$C$5:$C$804,$B54)))</f>
        <v>0</v>
      </c>
      <c r="L54" s="39" t="n">
        <f aca="false">IF($B54="","",(SUMIFS(Data!$V$5:$V$5004,Data!$B$5:$B$5004,$Q$6,Data!$D$5:$D$5004,$Q$7,Data!$E$5:$E$5004,$Q$8,Data!$F$5:$F$5004,$Q$9,Data!$G$5:$G$5004,$Q$10,Data!$C$5:$C$5004,$B54)+ExOn*SUMIFS(مثال_Example!$V$5:$V$804,مثال_Example!$B$5:$B$804,$Q$6,مثال_Example!$D$5:$D$804,$Q$7,مثال_Example!$E$5:$E$804,$Q$8,مثال_Example!$F$5:$F$804,$Q$9,مثال_Example!$G$5:$G$804,$Q$10,مثال_Example!$C$5:$C$804,$B54)))</f>
        <v>0</v>
      </c>
      <c r="M54" s="40" t="str">
        <f aca="false">IF($B54="","",IF($K54=0,"—",L54/$K54))</f>
        <v>—</v>
      </c>
      <c r="N54" s="40" t="str">
        <f aca="false">IF($B54="","",IF($K54=0,"—",((SUMIFS(Data!$U$5:$U$5004,Data!$B$5:$B$5004,$Q$6,Data!$D$5:$D$5004,$Q$7,Data!$E$5:$E$5004,$Q$8,Data!$F$5:$F$5004,$Q$9,Data!$G$5:$G$5004,$Q$10,Data!$C$5:$C$5004,$B54)+ExOn*SUMIFS(مثال_Example!$U$5:$U$804,مثال_Example!$B$5:$B$804,$Q$6,مثال_Example!$D$5:$D$804,$Q$7,مثال_Example!$E$5:$E$804,$Q$8,مثال_Example!$F$5:$F$804,$Q$9,مثال_Example!$G$5:$G$804,$Q$10,مثال_Example!$C$5:$C$804,$B54))+L54)/$K54))</f>
        <v>—</v>
      </c>
      <c r="O54" s="42" t="str">
        <f aca="false">IF($B54="","",IF($K54=0,"لا توجد بيانات",IF(ROUND((((SUMIFS(Data!$U$5:$U$5004,Data!$B$5:$B$5004,$Q$6,Data!$D$5:$D$5004,$Q$7,Data!$E$5:$E$5004,$Q$8,Data!$F$5:$F$5004,$Q$9,Data!$G$5:$G$5004,$Q$10,Data!$C$5:$C$5004,$B54)+ExOn*SUMIFS(مثال_Example!$U$5:$U$804,مثال_Example!$B$5:$B$804,$Q$6,مثال_Example!$D$5:$D$804,$Q$7,مثال_Example!$E$5:$E$804,$Q$8,مثال_Example!$F$5:$F$804,$Q$9,مثال_Example!$G$5:$G$804,$Q$10,مثال_Example!$C$5:$C$804,$B54)))+L54)/K54,10)&lt;=KeyP_VW,"Very Weak",IF(ROUND((((SUMIFS(Data!$U$5:$U$5004,Data!$B$5:$B$5004,$Q$6,Data!$D$5:$D$5004,$Q$7,Data!$E$5:$E$5004,$Q$8,Data!$F$5:$F$5004,$Q$9,Data!$G$5:$G$5004,$Q$10,Data!$C$5:$C$5004,$B54)+ExOn*SUMIFS(مثال_Example!$U$5:$U$804,مثال_Example!$B$5:$B$804,$Q$6,مثال_Example!$D$5:$D$804,$Q$7,مثال_Example!$E$5:$E$804,$Q$8,مثال_Example!$F$5:$F$804,$Q$9,مثال_Example!$G$5:$G$804,$Q$10,مثال_Example!$C$5:$C$804,$B54)))+L54)/K54,10)&lt;KeyP_Weak,"Weak",IF(ROUND(L54/K54,10)&lt;KeyP_Acc,"Acceptable",IF(ROUND(L54/K54,10)&lt;=KeyP_Good,"Good",IF(ROUND(L54/K54,10)&lt;KeyP_Out,"Very Good","Outstanding")))))))</f>
        <v>لا توجد بيانات</v>
      </c>
      <c r="P54" s="1"/>
    </row>
    <row r="55" customFormat="false" ht="15" hidden="false" customHeight="false" outlineLevel="0" collapsed="false">
      <c r="A55" s="1"/>
      <c r="B55" s="51" t="str">
        <f aca="false">IF(Teachers!C51="","",Teachers!C51)</f>
        <v>Ms Asmaa Saeed Mohamed</v>
      </c>
      <c r="C55" s="42" t="str">
        <f aca="false">IF($B55="","",Teachers!D51)</f>
        <v>Ia</v>
      </c>
      <c r="D55" s="42" t="n">
        <f aca="false">IF($B55="","",Teachers!F51)</f>
        <v>0</v>
      </c>
      <c r="E55" s="39" t="n">
        <f aca="false">IF($B55="","",(SUMIFS(Data!$Q$5:$Q$5004,Data!$B$5:$B$5004,$Q$6,Data!$D$5:$D$5004,$Q$7,Data!$E$5:$E$5004,$Q$8,Data!$F$5:$F$5004,$Q$9,Data!$G$5:$G$5004,$Q$10,Data!$C$5:$C$5004,$B55)+ExOn*SUMIFS(مثال_Example!$Q$5:$Q$804,مثال_Example!$B$5:$B$804,$Q$6,مثال_Example!$D$5:$D$804,$Q$7,مثال_Example!$E$5:$E$804,$Q$8,مثال_Example!$F$5:$F$804,$Q$9,مثال_Example!$G$5:$G$804,$Q$10,مثال_Example!$C$5:$C$804,$B55)))</f>
        <v>0</v>
      </c>
      <c r="F55" s="39" t="n">
        <f aca="false">IF($B55="","",(SUMIFS(Data!$R$5:$R$5004,Data!$B$5:$B$5004,$Q$6,Data!$D$5:$D$5004,$Q$7,Data!$E$5:$E$5004,$Q$8,Data!$F$5:$F$5004,$Q$9,Data!$G$5:$G$5004,$Q$10,Data!$C$5:$C$5004,$B55)+ExOn*SUMIFS(مثال_Example!$R$5:$R$804,مثال_Example!$B$5:$B$804,$Q$6,مثال_Example!$D$5:$D$804,$Q$7,مثال_Example!$E$5:$E$804,$Q$8,مثال_Example!$F$5:$F$804,$Q$9,مثال_Example!$G$5:$G$804,$Q$10,مثال_Example!$C$5:$C$804,$B55)))</f>
        <v>0</v>
      </c>
      <c r="G55" s="40" t="str">
        <f aca="false">IF($B55="","",IF($E55=0,"—",F55/$E55))</f>
        <v>—</v>
      </c>
      <c r="H55" s="39" t="n">
        <f aca="false">IF($B55="","",(SUMIFS(Data!$S$5:$S$5004,Data!$B$5:$B$5004,$Q$6,Data!$D$5:$D$5004,$Q$7,Data!$E$5:$E$5004,$Q$8,Data!$F$5:$F$5004,$Q$9,Data!$G$5:$G$5004,$Q$10,Data!$C$5:$C$5004,$B55)+ExOn*SUMIFS(مثال_Example!$S$5:$S$804,مثال_Example!$B$5:$B$804,$Q$6,مثال_Example!$D$5:$D$804,$Q$7,مثال_Example!$E$5:$E$804,$Q$8,مثال_Example!$F$5:$F$804,$Q$9,مثال_Example!$G$5:$G$804,$Q$10,مثال_Example!$C$5:$C$804,$B55)))</f>
        <v>0</v>
      </c>
      <c r="I55" s="40" t="str">
        <f aca="false">IF($B55="","",IF($E55=0,"—",H55/$E55))</f>
        <v>—</v>
      </c>
      <c r="J55" s="42" t="str">
        <f aca="false">IF($B55="","",IF($E55=0,"لا توجد بيانات",IF(ROUND(F55/E55,10)&lt;=KeyA_VW,"Very Weak",IF(ROUND(F55/E55,10)&lt;KeyA_Weak,"Weak",IF(ROUND(H55/E55,10)&lt;KeyA_Acc,"Acceptable",IF(ROUND(H55/E55,10)&lt;=KeyA_Good,"Good",IF(ROUND(H55/E55,10)&lt;KeyA_Out,"Very Good","Outstanding")))))))</f>
        <v>لا توجد بيانات</v>
      </c>
      <c r="K55" s="39" t="n">
        <f aca="false">IF($B55="","",(SUMIFS(Data!$T$5:$T$5004,Data!$B$5:$B$5004,$Q$6,Data!$D$5:$D$5004,$Q$7,Data!$E$5:$E$5004,$Q$8,Data!$F$5:$F$5004,$Q$9,Data!$G$5:$G$5004,$Q$10,Data!$C$5:$C$5004,$B55)+ExOn*SUMIFS(مثال_Example!$T$5:$T$804,مثال_Example!$B$5:$B$804,$Q$6,مثال_Example!$D$5:$D$804,$Q$7,مثال_Example!$E$5:$E$804,$Q$8,مثال_Example!$F$5:$F$804,$Q$9,مثال_Example!$G$5:$G$804,$Q$10,مثال_Example!$C$5:$C$804,$B55))+(SUMIFS(Data!$U$5:$U$5004,Data!$B$5:$B$5004,$Q$6,Data!$D$5:$D$5004,$Q$7,Data!$E$5:$E$5004,$Q$8,Data!$F$5:$F$5004,$Q$9,Data!$G$5:$G$5004,$Q$10,Data!$C$5:$C$5004,$B55)+ExOn*SUMIFS(مثال_Example!$U$5:$U$804,مثال_Example!$B$5:$B$804,$Q$6,مثال_Example!$D$5:$D$804,$Q$7,مثال_Example!$E$5:$E$804,$Q$8,مثال_Example!$F$5:$F$804,$Q$9,مثال_Example!$G$5:$G$804,$Q$10,مثال_Example!$C$5:$C$804,$B55))+(SUMIFS(Data!$V$5:$V$5004,Data!$B$5:$B$5004,$Q$6,Data!$D$5:$D$5004,$Q$7,Data!$E$5:$E$5004,$Q$8,Data!$F$5:$F$5004,$Q$9,Data!$G$5:$G$5004,$Q$10,Data!$C$5:$C$5004,$B55)+ExOn*SUMIFS(مثال_Example!$V$5:$V$804,مثال_Example!$B$5:$B$804,$Q$6,مثال_Example!$D$5:$D$804,$Q$7,مثال_Example!$E$5:$E$804,$Q$8,مثال_Example!$F$5:$F$804,$Q$9,مثال_Example!$G$5:$G$804,$Q$10,مثال_Example!$C$5:$C$804,$B55)))</f>
        <v>0</v>
      </c>
      <c r="L55" s="39" t="n">
        <f aca="false">IF($B55="","",(SUMIFS(Data!$V$5:$V$5004,Data!$B$5:$B$5004,$Q$6,Data!$D$5:$D$5004,$Q$7,Data!$E$5:$E$5004,$Q$8,Data!$F$5:$F$5004,$Q$9,Data!$G$5:$G$5004,$Q$10,Data!$C$5:$C$5004,$B55)+ExOn*SUMIFS(مثال_Example!$V$5:$V$804,مثال_Example!$B$5:$B$804,$Q$6,مثال_Example!$D$5:$D$804,$Q$7,مثال_Example!$E$5:$E$804,$Q$8,مثال_Example!$F$5:$F$804,$Q$9,مثال_Example!$G$5:$G$804,$Q$10,مثال_Example!$C$5:$C$804,$B55)))</f>
        <v>0</v>
      </c>
      <c r="M55" s="40" t="str">
        <f aca="false">IF($B55="","",IF($K55=0,"—",L55/$K55))</f>
        <v>—</v>
      </c>
      <c r="N55" s="40" t="str">
        <f aca="false">IF($B55="","",IF($K55=0,"—",((SUMIFS(Data!$U$5:$U$5004,Data!$B$5:$B$5004,$Q$6,Data!$D$5:$D$5004,$Q$7,Data!$E$5:$E$5004,$Q$8,Data!$F$5:$F$5004,$Q$9,Data!$G$5:$G$5004,$Q$10,Data!$C$5:$C$5004,$B55)+ExOn*SUMIFS(مثال_Example!$U$5:$U$804,مثال_Example!$B$5:$B$804,$Q$6,مثال_Example!$D$5:$D$804,$Q$7,مثال_Example!$E$5:$E$804,$Q$8,مثال_Example!$F$5:$F$804,$Q$9,مثال_Example!$G$5:$G$804,$Q$10,مثال_Example!$C$5:$C$804,$B55))+L55)/$K55))</f>
        <v>—</v>
      </c>
      <c r="O55" s="42" t="str">
        <f aca="false">IF($B55="","",IF($K55=0,"لا توجد بيانات",IF(ROUND((((SUMIFS(Data!$U$5:$U$5004,Data!$B$5:$B$5004,$Q$6,Data!$D$5:$D$5004,$Q$7,Data!$E$5:$E$5004,$Q$8,Data!$F$5:$F$5004,$Q$9,Data!$G$5:$G$5004,$Q$10,Data!$C$5:$C$5004,$B55)+ExOn*SUMIFS(مثال_Example!$U$5:$U$804,مثال_Example!$B$5:$B$804,$Q$6,مثال_Example!$D$5:$D$804,$Q$7,مثال_Example!$E$5:$E$804,$Q$8,مثال_Example!$F$5:$F$804,$Q$9,مثال_Example!$G$5:$G$804,$Q$10,مثال_Example!$C$5:$C$804,$B55)))+L55)/K55,10)&lt;=KeyP_VW,"Very Weak",IF(ROUND((((SUMIFS(Data!$U$5:$U$5004,Data!$B$5:$B$5004,$Q$6,Data!$D$5:$D$5004,$Q$7,Data!$E$5:$E$5004,$Q$8,Data!$F$5:$F$5004,$Q$9,Data!$G$5:$G$5004,$Q$10,Data!$C$5:$C$5004,$B55)+ExOn*SUMIFS(مثال_Example!$U$5:$U$804,مثال_Example!$B$5:$B$804,$Q$6,مثال_Example!$D$5:$D$804,$Q$7,مثال_Example!$E$5:$E$804,$Q$8,مثال_Example!$F$5:$F$804,$Q$9,مثال_Example!$G$5:$G$804,$Q$10,مثال_Example!$C$5:$C$804,$B55)))+L55)/K55,10)&lt;KeyP_Weak,"Weak",IF(ROUND(L55/K55,10)&lt;KeyP_Acc,"Acceptable",IF(ROUND(L55/K55,10)&lt;=KeyP_Good,"Good",IF(ROUND(L55/K55,10)&lt;KeyP_Out,"Very Good","Outstanding")))))))</f>
        <v>لا توجد بيانات</v>
      </c>
      <c r="P55" s="1"/>
    </row>
    <row r="56" customFormat="false" ht="15" hidden="false" customHeight="false" outlineLevel="0" collapsed="false">
      <c r="A56" s="1"/>
      <c r="B56" s="51" t="str">
        <f aca="false">IF(Teachers!C52="","",Teachers!C52)</f>
        <v>Mr Elsayed A M Hassan</v>
      </c>
      <c r="C56" s="42" t="str">
        <f aca="false">IF($B56="","",Teachers!D52)</f>
        <v>Ia</v>
      </c>
      <c r="D56" s="42" t="n">
        <f aca="false">IF($B56="","",Teachers!F52)</f>
        <v>11</v>
      </c>
      <c r="E56" s="39" t="n">
        <f aca="false">IF($B56="","",(SUMIFS(Data!$Q$5:$Q$5004,Data!$B$5:$B$5004,$Q$6,Data!$D$5:$D$5004,$Q$7,Data!$E$5:$E$5004,$Q$8,Data!$F$5:$F$5004,$Q$9,Data!$G$5:$G$5004,$Q$10,Data!$C$5:$C$5004,$B56)+ExOn*SUMIFS(مثال_Example!$Q$5:$Q$804,مثال_Example!$B$5:$B$804,$Q$6,مثال_Example!$D$5:$D$804,$Q$7,مثال_Example!$E$5:$E$804,$Q$8,مثال_Example!$F$5:$F$804,$Q$9,مثال_Example!$G$5:$G$804,$Q$10,مثال_Example!$C$5:$C$804,$B56)))</f>
        <v>0</v>
      </c>
      <c r="F56" s="39" t="n">
        <f aca="false">IF($B56="","",(SUMIFS(Data!$R$5:$R$5004,Data!$B$5:$B$5004,$Q$6,Data!$D$5:$D$5004,$Q$7,Data!$E$5:$E$5004,$Q$8,Data!$F$5:$F$5004,$Q$9,Data!$G$5:$G$5004,$Q$10,Data!$C$5:$C$5004,$B56)+ExOn*SUMIFS(مثال_Example!$R$5:$R$804,مثال_Example!$B$5:$B$804,$Q$6,مثال_Example!$D$5:$D$804,$Q$7,مثال_Example!$E$5:$E$804,$Q$8,مثال_Example!$F$5:$F$804,$Q$9,مثال_Example!$G$5:$G$804,$Q$10,مثال_Example!$C$5:$C$804,$B56)))</f>
        <v>0</v>
      </c>
      <c r="G56" s="40" t="str">
        <f aca="false">IF($B56="","",IF($E56=0,"—",F56/$E56))</f>
        <v>—</v>
      </c>
      <c r="H56" s="39" t="n">
        <f aca="false">IF($B56="","",(SUMIFS(Data!$S$5:$S$5004,Data!$B$5:$B$5004,$Q$6,Data!$D$5:$D$5004,$Q$7,Data!$E$5:$E$5004,$Q$8,Data!$F$5:$F$5004,$Q$9,Data!$G$5:$G$5004,$Q$10,Data!$C$5:$C$5004,$B56)+ExOn*SUMIFS(مثال_Example!$S$5:$S$804,مثال_Example!$B$5:$B$804,$Q$6,مثال_Example!$D$5:$D$804,$Q$7,مثال_Example!$E$5:$E$804,$Q$8,مثال_Example!$F$5:$F$804,$Q$9,مثال_Example!$G$5:$G$804,$Q$10,مثال_Example!$C$5:$C$804,$B56)))</f>
        <v>0</v>
      </c>
      <c r="I56" s="40" t="str">
        <f aca="false">IF($B56="","",IF($E56=0,"—",H56/$E56))</f>
        <v>—</v>
      </c>
      <c r="J56" s="42" t="str">
        <f aca="false">IF($B56="","",IF($E56=0,"لا توجد بيانات",IF(ROUND(F56/E56,10)&lt;=KeyA_VW,"Very Weak",IF(ROUND(F56/E56,10)&lt;KeyA_Weak,"Weak",IF(ROUND(H56/E56,10)&lt;KeyA_Acc,"Acceptable",IF(ROUND(H56/E56,10)&lt;=KeyA_Good,"Good",IF(ROUND(H56/E56,10)&lt;KeyA_Out,"Very Good","Outstanding")))))))</f>
        <v>لا توجد بيانات</v>
      </c>
      <c r="K56" s="39" t="n">
        <f aca="false">IF($B56="","",(SUMIFS(Data!$T$5:$T$5004,Data!$B$5:$B$5004,$Q$6,Data!$D$5:$D$5004,$Q$7,Data!$E$5:$E$5004,$Q$8,Data!$F$5:$F$5004,$Q$9,Data!$G$5:$G$5004,$Q$10,Data!$C$5:$C$5004,$B56)+ExOn*SUMIFS(مثال_Example!$T$5:$T$804,مثال_Example!$B$5:$B$804,$Q$6,مثال_Example!$D$5:$D$804,$Q$7,مثال_Example!$E$5:$E$804,$Q$8,مثال_Example!$F$5:$F$804,$Q$9,مثال_Example!$G$5:$G$804,$Q$10,مثال_Example!$C$5:$C$804,$B56))+(SUMIFS(Data!$U$5:$U$5004,Data!$B$5:$B$5004,$Q$6,Data!$D$5:$D$5004,$Q$7,Data!$E$5:$E$5004,$Q$8,Data!$F$5:$F$5004,$Q$9,Data!$G$5:$G$5004,$Q$10,Data!$C$5:$C$5004,$B56)+ExOn*SUMIFS(مثال_Example!$U$5:$U$804,مثال_Example!$B$5:$B$804,$Q$6,مثال_Example!$D$5:$D$804,$Q$7,مثال_Example!$E$5:$E$804,$Q$8,مثال_Example!$F$5:$F$804,$Q$9,مثال_Example!$G$5:$G$804,$Q$10,مثال_Example!$C$5:$C$804,$B56))+(SUMIFS(Data!$V$5:$V$5004,Data!$B$5:$B$5004,$Q$6,Data!$D$5:$D$5004,$Q$7,Data!$E$5:$E$5004,$Q$8,Data!$F$5:$F$5004,$Q$9,Data!$G$5:$G$5004,$Q$10,Data!$C$5:$C$5004,$B56)+ExOn*SUMIFS(مثال_Example!$V$5:$V$804,مثال_Example!$B$5:$B$804,$Q$6,مثال_Example!$D$5:$D$804,$Q$7,مثال_Example!$E$5:$E$804,$Q$8,مثال_Example!$F$5:$F$804,$Q$9,مثال_Example!$G$5:$G$804,$Q$10,مثال_Example!$C$5:$C$804,$B56)))</f>
        <v>0</v>
      </c>
      <c r="L56" s="39" t="n">
        <f aca="false">IF($B56="","",(SUMIFS(Data!$V$5:$V$5004,Data!$B$5:$B$5004,$Q$6,Data!$D$5:$D$5004,$Q$7,Data!$E$5:$E$5004,$Q$8,Data!$F$5:$F$5004,$Q$9,Data!$G$5:$G$5004,$Q$10,Data!$C$5:$C$5004,$B56)+ExOn*SUMIFS(مثال_Example!$V$5:$V$804,مثال_Example!$B$5:$B$804,$Q$6,مثال_Example!$D$5:$D$804,$Q$7,مثال_Example!$E$5:$E$804,$Q$8,مثال_Example!$F$5:$F$804,$Q$9,مثال_Example!$G$5:$G$804,$Q$10,مثال_Example!$C$5:$C$804,$B56)))</f>
        <v>0</v>
      </c>
      <c r="M56" s="40" t="str">
        <f aca="false">IF($B56="","",IF($K56=0,"—",L56/$K56))</f>
        <v>—</v>
      </c>
      <c r="N56" s="40" t="str">
        <f aca="false">IF($B56="","",IF($K56=0,"—",((SUMIFS(Data!$U$5:$U$5004,Data!$B$5:$B$5004,$Q$6,Data!$D$5:$D$5004,$Q$7,Data!$E$5:$E$5004,$Q$8,Data!$F$5:$F$5004,$Q$9,Data!$G$5:$G$5004,$Q$10,Data!$C$5:$C$5004,$B56)+ExOn*SUMIFS(مثال_Example!$U$5:$U$804,مثال_Example!$B$5:$B$804,$Q$6,مثال_Example!$D$5:$D$804,$Q$7,مثال_Example!$E$5:$E$804,$Q$8,مثال_Example!$F$5:$F$804,$Q$9,مثال_Example!$G$5:$G$804,$Q$10,مثال_Example!$C$5:$C$804,$B56))+L56)/$K56))</f>
        <v>—</v>
      </c>
      <c r="O56" s="42" t="str">
        <f aca="false">IF($B56="","",IF($K56=0,"لا توجد بيانات",IF(ROUND((((SUMIFS(Data!$U$5:$U$5004,Data!$B$5:$B$5004,$Q$6,Data!$D$5:$D$5004,$Q$7,Data!$E$5:$E$5004,$Q$8,Data!$F$5:$F$5004,$Q$9,Data!$G$5:$G$5004,$Q$10,Data!$C$5:$C$5004,$B56)+ExOn*SUMIFS(مثال_Example!$U$5:$U$804,مثال_Example!$B$5:$B$804,$Q$6,مثال_Example!$D$5:$D$804,$Q$7,مثال_Example!$E$5:$E$804,$Q$8,مثال_Example!$F$5:$F$804,$Q$9,مثال_Example!$G$5:$G$804,$Q$10,مثال_Example!$C$5:$C$804,$B56)))+L56)/K56,10)&lt;=KeyP_VW,"Very Weak",IF(ROUND((((SUMIFS(Data!$U$5:$U$5004,Data!$B$5:$B$5004,$Q$6,Data!$D$5:$D$5004,$Q$7,Data!$E$5:$E$5004,$Q$8,Data!$F$5:$F$5004,$Q$9,Data!$G$5:$G$5004,$Q$10,Data!$C$5:$C$5004,$B56)+ExOn*SUMIFS(مثال_Example!$U$5:$U$804,مثال_Example!$B$5:$B$804,$Q$6,مثال_Example!$D$5:$D$804,$Q$7,مثال_Example!$E$5:$E$804,$Q$8,مثال_Example!$F$5:$F$804,$Q$9,مثال_Example!$G$5:$G$804,$Q$10,مثال_Example!$C$5:$C$804,$B56)))+L56)/K56,10)&lt;KeyP_Weak,"Weak",IF(ROUND(L56/K56,10)&lt;KeyP_Acc,"Acceptable",IF(ROUND(L56/K56,10)&lt;=KeyP_Good,"Good",IF(ROUND(L56/K56,10)&lt;KeyP_Out,"Very Good","Outstanding")))))))</f>
        <v>لا توجد بيانات</v>
      </c>
      <c r="P56" s="1"/>
    </row>
    <row r="57" customFormat="false" ht="15" hidden="false" customHeight="false" outlineLevel="0" collapsed="false">
      <c r="A57" s="1"/>
      <c r="B57" s="51" t="str">
        <f aca="false">IF(Teachers!C53="","",Teachers!C53)</f>
        <v>Mr Noureldin Badawy</v>
      </c>
      <c r="C57" s="42" t="str">
        <f aca="false">IF($B57="","",Teachers!D53)</f>
        <v>Ia</v>
      </c>
      <c r="D57" s="42" t="n">
        <f aca="false">IF($B57="","",Teachers!F53)</f>
        <v>8</v>
      </c>
      <c r="E57" s="39" t="n">
        <f aca="false">IF($B57="","",(SUMIFS(Data!$Q$5:$Q$5004,Data!$B$5:$B$5004,$Q$6,Data!$D$5:$D$5004,$Q$7,Data!$E$5:$E$5004,$Q$8,Data!$F$5:$F$5004,$Q$9,Data!$G$5:$G$5004,$Q$10,Data!$C$5:$C$5004,$B57)+ExOn*SUMIFS(مثال_Example!$Q$5:$Q$804,مثال_Example!$B$5:$B$804,$Q$6,مثال_Example!$D$5:$D$804,$Q$7,مثال_Example!$E$5:$E$804,$Q$8,مثال_Example!$F$5:$F$804,$Q$9,مثال_Example!$G$5:$G$804,$Q$10,مثال_Example!$C$5:$C$804,$B57)))</f>
        <v>0</v>
      </c>
      <c r="F57" s="39" t="n">
        <f aca="false">IF($B57="","",(SUMIFS(Data!$R$5:$R$5004,Data!$B$5:$B$5004,$Q$6,Data!$D$5:$D$5004,$Q$7,Data!$E$5:$E$5004,$Q$8,Data!$F$5:$F$5004,$Q$9,Data!$G$5:$G$5004,$Q$10,Data!$C$5:$C$5004,$B57)+ExOn*SUMIFS(مثال_Example!$R$5:$R$804,مثال_Example!$B$5:$B$804,$Q$6,مثال_Example!$D$5:$D$804,$Q$7,مثال_Example!$E$5:$E$804,$Q$8,مثال_Example!$F$5:$F$804,$Q$9,مثال_Example!$G$5:$G$804,$Q$10,مثال_Example!$C$5:$C$804,$B57)))</f>
        <v>0</v>
      </c>
      <c r="G57" s="40" t="str">
        <f aca="false">IF($B57="","",IF($E57=0,"—",F57/$E57))</f>
        <v>—</v>
      </c>
      <c r="H57" s="39" t="n">
        <f aca="false">IF($B57="","",(SUMIFS(Data!$S$5:$S$5004,Data!$B$5:$B$5004,$Q$6,Data!$D$5:$D$5004,$Q$7,Data!$E$5:$E$5004,$Q$8,Data!$F$5:$F$5004,$Q$9,Data!$G$5:$G$5004,$Q$10,Data!$C$5:$C$5004,$B57)+ExOn*SUMIFS(مثال_Example!$S$5:$S$804,مثال_Example!$B$5:$B$804,$Q$6,مثال_Example!$D$5:$D$804,$Q$7,مثال_Example!$E$5:$E$804,$Q$8,مثال_Example!$F$5:$F$804,$Q$9,مثال_Example!$G$5:$G$804,$Q$10,مثال_Example!$C$5:$C$804,$B57)))</f>
        <v>0</v>
      </c>
      <c r="I57" s="40" t="str">
        <f aca="false">IF($B57="","",IF($E57=0,"—",H57/$E57))</f>
        <v>—</v>
      </c>
      <c r="J57" s="42" t="str">
        <f aca="false">IF($B57="","",IF($E57=0,"لا توجد بيانات",IF(ROUND(F57/E57,10)&lt;=KeyA_VW,"Very Weak",IF(ROUND(F57/E57,10)&lt;KeyA_Weak,"Weak",IF(ROUND(H57/E57,10)&lt;KeyA_Acc,"Acceptable",IF(ROUND(H57/E57,10)&lt;=KeyA_Good,"Good",IF(ROUND(H57/E57,10)&lt;KeyA_Out,"Very Good","Outstanding")))))))</f>
        <v>لا توجد بيانات</v>
      </c>
      <c r="K57" s="39" t="n">
        <f aca="false">IF($B57="","",(SUMIFS(Data!$T$5:$T$5004,Data!$B$5:$B$5004,$Q$6,Data!$D$5:$D$5004,$Q$7,Data!$E$5:$E$5004,$Q$8,Data!$F$5:$F$5004,$Q$9,Data!$G$5:$G$5004,$Q$10,Data!$C$5:$C$5004,$B57)+ExOn*SUMIFS(مثال_Example!$T$5:$T$804,مثال_Example!$B$5:$B$804,$Q$6,مثال_Example!$D$5:$D$804,$Q$7,مثال_Example!$E$5:$E$804,$Q$8,مثال_Example!$F$5:$F$804,$Q$9,مثال_Example!$G$5:$G$804,$Q$10,مثال_Example!$C$5:$C$804,$B57))+(SUMIFS(Data!$U$5:$U$5004,Data!$B$5:$B$5004,$Q$6,Data!$D$5:$D$5004,$Q$7,Data!$E$5:$E$5004,$Q$8,Data!$F$5:$F$5004,$Q$9,Data!$G$5:$G$5004,$Q$10,Data!$C$5:$C$5004,$B57)+ExOn*SUMIFS(مثال_Example!$U$5:$U$804,مثال_Example!$B$5:$B$804,$Q$6,مثال_Example!$D$5:$D$804,$Q$7,مثال_Example!$E$5:$E$804,$Q$8,مثال_Example!$F$5:$F$804,$Q$9,مثال_Example!$G$5:$G$804,$Q$10,مثال_Example!$C$5:$C$804,$B57))+(SUMIFS(Data!$V$5:$V$5004,Data!$B$5:$B$5004,$Q$6,Data!$D$5:$D$5004,$Q$7,Data!$E$5:$E$5004,$Q$8,Data!$F$5:$F$5004,$Q$9,Data!$G$5:$G$5004,$Q$10,Data!$C$5:$C$5004,$B57)+ExOn*SUMIFS(مثال_Example!$V$5:$V$804,مثال_Example!$B$5:$B$804,$Q$6,مثال_Example!$D$5:$D$804,$Q$7,مثال_Example!$E$5:$E$804,$Q$8,مثال_Example!$F$5:$F$804,$Q$9,مثال_Example!$G$5:$G$804,$Q$10,مثال_Example!$C$5:$C$804,$B57)))</f>
        <v>0</v>
      </c>
      <c r="L57" s="39" t="n">
        <f aca="false">IF($B57="","",(SUMIFS(Data!$V$5:$V$5004,Data!$B$5:$B$5004,$Q$6,Data!$D$5:$D$5004,$Q$7,Data!$E$5:$E$5004,$Q$8,Data!$F$5:$F$5004,$Q$9,Data!$G$5:$G$5004,$Q$10,Data!$C$5:$C$5004,$B57)+ExOn*SUMIFS(مثال_Example!$V$5:$V$804,مثال_Example!$B$5:$B$804,$Q$6,مثال_Example!$D$5:$D$804,$Q$7,مثال_Example!$E$5:$E$804,$Q$8,مثال_Example!$F$5:$F$804,$Q$9,مثال_Example!$G$5:$G$804,$Q$10,مثال_Example!$C$5:$C$804,$B57)))</f>
        <v>0</v>
      </c>
      <c r="M57" s="40" t="str">
        <f aca="false">IF($B57="","",IF($K57=0,"—",L57/$K57))</f>
        <v>—</v>
      </c>
      <c r="N57" s="40" t="str">
        <f aca="false">IF($B57="","",IF($K57=0,"—",((SUMIFS(Data!$U$5:$U$5004,Data!$B$5:$B$5004,$Q$6,Data!$D$5:$D$5004,$Q$7,Data!$E$5:$E$5004,$Q$8,Data!$F$5:$F$5004,$Q$9,Data!$G$5:$G$5004,$Q$10,Data!$C$5:$C$5004,$B57)+ExOn*SUMIFS(مثال_Example!$U$5:$U$804,مثال_Example!$B$5:$B$804,$Q$6,مثال_Example!$D$5:$D$804,$Q$7,مثال_Example!$E$5:$E$804,$Q$8,مثال_Example!$F$5:$F$804,$Q$9,مثال_Example!$G$5:$G$804,$Q$10,مثال_Example!$C$5:$C$804,$B57))+L57)/$K57))</f>
        <v>—</v>
      </c>
      <c r="O57" s="42" t="str">
        <f aca="false">IF($B57="","",IF($K57=0,"لا توجد بيانات",IF(ROUND((((SUMIFS(Data!$U$5:$U$5004,Data!$B$5:$B$5004,$Q$6,Data!$D$5:$D$5004,$Q$7,Data!$E$5:$E$5004,$Q$8,Data!$F$5:$F$5004,$Q$9,Data!$G$5:$G$5004,$Q$10,Data!$C$5:$C$5004,$B57)+ExOn*SUMIFS(مثال_Example!$U$5:$U$804,مثال_Example!$B$5:$B$804,$Q$6,مثال_Example!$D$5:$D$804,$Q$7,مثال_Example!$E$5:$E$804,$Q$8,مثال_Example!$F$5:$F$804,$Q$9,مثال_Example!$G$5:$G$804,$Q$10,مثال_Example!$C$5:$C$804,$B57)))+L57)/K57,10)&lt;=KeyP_VW,"Very Weak",IF(ROUND((((SUMIFS(Data!$U$5:$U$5004,Data!$B$5:$B$5004,$Q$6,Data!$D$5:$D$5004,$Q$7,Data!$E$5:$E$5004,$Q$8,Data!$F$5:$F$5004,$Q$9,Data!$G$5:$G$5004,$Q$10,Data!$C$5:$C$5004,$B57)+ExOn*SUMIFS(مثال_Example!$U$5:$U$804,مثال_Example!$B$5:$B$804,$Q$6,مثال_Example!$D$5:$D$804,$Q$7,مثال_Example!$E$5:$E$804,$Q$8,مثال_Example!$F$5:$F$804,$Q$9,مثال_Example!$G$5:$G$804,$Q$10,مثال_Example!$C$5:$C$804,$B57)))+L57)/K57,10)&lt;KeyP_Weak,"Weak",IF(ROUND(L57/K57,10)&lt;KeyP_Acc,"Acceptable",IF(ROUND(L57/K57,10)&lt;=KeyP_Good,"Good",IF(ROUND(L57/K57,10)&lt;KeyP_Out,"Very Good","Outstanding")))))))</f>
        <v>لا توجد بيانات</v>
      </c>
      <c r="P57" s="1"/>
    </row>
    <row r="58" customFormat="false" ht="15" hidden="false" customHeight="false" outlineLevel="0" collapsed="false">
      <c r="A58" s="1"/>
      <c r="B58" s="51" t="str">
        <f aca="false">IF(Teachers!C54="","",Teachers!C54)</f>
        <v>Ms Ola Alhaj Ali</v>
      </c>
      <c r="C58" s="42" t="str">
        <f aca="false">IF($B58="","",Teachers!D54)</f>
        <v>Ia</v>
      </c>
      <c r="D58" s="42" t="n">
        <f aca="false">IF($B58="","",Teachers!F54)</f>
        <v>9</v>
      </c>
      <c r="E58" s="39" t="n">
        <f aca="false">IF($B58="","",(SUMIFS(Data!$Q$5:$Q$5004,Data!$B$5:$B$5004,$Q$6,Data!$D$5:$D$5004,$Q$7,Data!$E$5:$E$5004,$Q$8,Data!$F$5:$F$5004,$Q$9,Data!$G$5:$G$5004,$Q$10,Data!$C$5:$C$5004,$B58)+ExOn*SUMIFS(مثال_Example!$Q$5:$Q$804,مثال_Example!$B$5:$B$804,$Q$6,مثال_Example!$D$5:$D$804,$Q$7,مثال_Example!$E$5:$E$804,$Q$8,مثال_Example!$F$5:$F$804,$Q$9,مثال_Example!$G$5:$G$804,$Q$10,مثال_Example!$C$5:$C$804,$B58)))</f>
        <v>0</v>
      </c>
      <c r="F58" s="39" t="n">
        <f aca="false">IF($B58="","",(SUMIFS(Data!$R$5:$R$5004,Data!$B$5:$B$5004,$Q$6,Data!$D$5:$D$5004,$Q$7,Data!$E$5:$E$5004,$Q$8,Data!$F$5:$F$5004,$Q$9,Data!$G$5:$G$5004,$Q$10,Data!$C$5:$C$5004,$B58)+ExOn*SUMIFS(مثال_Example!$R$5:$R$804,مثال_Example!$B$5:$B$804,$Q$6,مثال_Example!$D$5:$D$804,$Q$7,مثال_Example!$E$5:$E$804,$Q$8,مثال_Example!$F$5:$F$804,$Q$9,مثال_Example!$G$5:$G$804,$Q$10,مثال_Example!$C$5:$C$804,$B58)))</f>
        <v>0</v>
      </c>
      <c r="G58" s="40" t="str">
        <f aca="false">IF($B58="","",IF($E58=0,"—",F58/$E58))</f>
        <v>—</v>
      </c>
      <c r="H58" s="39" t="n">
        <f aca="false">IF($B58="","",(SUMIFS(Data!$S$5:$S$5004,Data!$B$5:$B$5004,$Q$6,Data!$D$5:$D$5004,$Q$7,Data!$E$5:$E$5004,$Q$8,Data!$F$5:$F$5004,$Q$9,Data!$G$5:$G$5004,$Q$10,Data!$C$5:$C$5004,$B58)+ExOn*SUMIFS(مثال_Example!$S$5:$S$804,مثال_Example!$B$5:$B$804,$Q$6,مثال_Example!$D$5:$D$804,$Q$7,مثال_Example!$E$5:$E$804,$Q$8,مثال_Example!$F$5:$F$804,$Q$9,مثال_Example!$G$5:$G$804,$Q$10,مثال_Example!$C$5:$C$804,$B58)))</f>
        <v>0</v>
      </c>
      <c r="I58" s="40" t="str">
        <f aca="false">IF($B58="","",IF($E58=0,"—",H58/$E58))</f>
        <v>—</v>
      </c>
      <c r="J58" s="42" t="str">
        <f aca="false">IF($B58="","",IF($E58=0,"لا توجد بيانات",IF(ROUND(F58/E58,10)&lt;=KeyA_VW,"Very Weak",IF(ROUND(F58/E58,10)&lt;KeyA_Weak,"Weak",IF(ROUND(H58/E58,10)&lt;KeyA_Acc,"Acceptable",IF(ROUND(H58/E58,10)&lt;=KeyA_Good,"Good",IF(ROUND(H58/E58,10)&lt;KeyA_Out,"Very Good","Outstanding")))))))</f>
        <v>لا توجد بيانات</v>
      </c>
      <c r="K58" s="39" t="n">
        <f aca="false">IF($B58="","",(SUMIFS(Data!$T$5:$T$5004,Data!$B$5:$B$5004,$Q$6,Data!$D$5:$D$5004,$Q$7,Data!$E$5:$E$5004,$Q$8,Data!$F$5:$F$5004,$Q$9,Data!$G$5:$G$5004,$Q$10,Data!$C$5:$C$5004,$B58)+ExOn*SUMIFS(مثال_Example!$T$5:$T$804,مثال_Example!$B$5:$B$804,$Q$6,مثال_Example!$D$5:$D$804,$Q$7,مثال_Example!$E$5:$E$804,$Q$8,مثال_Example!$F$5:$F$804,$Q$9,مثال_Example!$G$5:$G$804,$Q$10,مثال_Example!$C$5:$C$804,$B58))+(SUMIFS(Data!$U$5:$U$5004,Data!$B$5:$B$5004,$Q$6,Data!$D$5:$D$5004,$Q$7,Data!$E$5:$E$5004,$Q$8,Data!$F$5:$F$5004,$Q$9,Data!$G$5:$G$5004,$Q$10,Data!$C$5:$C$5004,$B58)+ExOn*SUMIFS(مثال_Example!$U$5:$U$804,مثال_Example!$B$5:$B$804,$Q$6,مثال_Example!$D$5:$D$804,$Q$7,مثال_Example!$E$5:$E$804,$Q$8,مثال_Example!$F$5:$F$804,$Q$9,مثال_Example!$G$5:$G$804,$Q$10,مثال_Example!$C$5:$C$804,$B58))+(SUMIFS(Data!$V$5:$V$5004,Data!$B$5:$B$5004,$Q$6,Data!$D$5:$D$5004,$Q$7,Data!$E$5:$E$5004,$Q$8,Data!$F$5:$F$5004,$Q$9,Data!$G$5:$G$5004,$Q$10,Data!$C$5:$C$5004,$B58)+ExOn*SUMIFS(مثال_Example!$V$5:$V$804,مثال_Example!$B$5:$B$804,$Q$6,مثال_Example!$D$5:$D$804,$Q$7,مثال_Example!$E$5:$E$804,$Q$8,مثال_Example!$F$5:$F$804,$Q$9,مثال_Example!$G$5:$G$804,$Q$10,مثال_Example!$C$5:$C$804,$B58)))</f>
        <v>0</v>
      </c>
      <c r="L58" s="39" t="n">
        <f aca="false">IF($B58="","",(SUMIFS(Data!$V$5:$V$5004,Data!$B$5:$B$5004,$Q$6,Data!$D$5:$D$5004,$Q$7,Data!$E$5:$E$5004,$Q$8,Data!$F$5:$F$5004,$Q$9,Data!$G$5:$G$5004,$Q$10,Data!$C$5:$C$5004,$B58)+ExOn*SUMIFS(مثال_Example!$V$5:$V$804,مثال_Example!$B$5:$B$804,$Q$6,مثال_Example!$D$5:$D$804,$Q$7,مثال_Example!$E$5:$E$804,$Q$8,مثال_Example!$F$5:$F$804,$Q$9,مثال_Example!$G$5:$G$804,$Q$10,مثال_Example!$C$5:$C$804,$B58)))</f>
        <v>0</v>
      </c>
      <c r="M58" s="40" t="str">
        <f aca="false">IF($B58="","",IF($K58=0,"—",L58/$K58))</f>
        <v>—</v>
      </c>
      <c r="N58" s="40" t="str">
        <f aca="false">IF($B58="","",IF($K58=0,"—",((SUMIFS(Data!$U$5:$U$5004,Data!$B$5:$B$5004,$Q$6,Data!$D$5:$D$5004,$Q$7,Data!$E$5:$E$5004,$Q$8,Data!$F$5:$F$5004,$Q$9,Data!$G$5:$G$5004,$Q$10,Data!$C$5:$C$5004,$B58)+ExOn*SUMIFS(مثال_Example!$U$5:$U$804,مثال_Example!$B$5:$B$804,$Q$6,مثال_Example!$D$5:$D$804,$Q$7,مثال_Example!$E$5:$E$804,$Q$8,مثال_Example!$F$5:$F$804,$Q$9,مثال_Example!$G$5:$G$804,$Q$10,مثال_Example!$C$5:$C$804,$B58))+L58)/$K58))</f>
        <v>—</v>
      </c>
      <c r="O58" s="42" t="str">
        <f aca="false">IF($B58="","",IF($K58=0,"لا توجد بيانات",IF(ROUND((((SUMIFS(Data!$U$5:$U$5004,Data!$B$5:$B$5004,$Q$6,Data!$D$5:$D$5004,$Q$7,Data!$E$5:$E$5004,$Q$8,Data!$F$5:$F$5004,$Q$9,Data!$G$5:$G$5004,$Q$10,Data!$C$5:$C$5004,$B58)+ExOn*SUMIFS(مثال_Example!$U$5:$U$804,مثال_Example!$B$5:$B$804,$Q$6,مثال_Example!$D$5:$D$804,$Q$7,مثال_Example!$E$5:$E$804,$Q$8,مثال_Example!$F$5:$F$804,$Q$9,مثال_Example!$G$5:$G$804,$Q$10,مثال_Example!$C$5:$C$804,$B58)))+L58)/K58,10)&lt;=KeyP_VW,"Very Weak",IF(ROUND((((SUMIFS(Data!$U$5:$U$5004,Data!$B$5:$B$5004,$Q$6,Data!$D$5:$D$5004,$Q$7,Data!$E$5:$E$5004,$Q$8,Data!$F$5:$F$5004,$Q$9,Data!$G$5:$G$5004,$Q$10,Data!$C$5:$C$5004,$B58)+ExOn*SUMIFS(مثال_Example!$U$5:$U$804,مثال_Example!$B$5:$B$804,$Q$6,مثال_Example!$D$5:$D$804,$Q$7,مثال_Example!$E$5:$E$804,$Q$8,مثال_Example!$F$5:$F$804,$Q$9,مثال_Example!$G$5:$G$804,$Q$10,مثال_Example!$C$5:$C$804,$B58)))+L58)/K58,10)&lt;KeyP_Weak,"Weak",IF(ROUND(L58/K58,10)&lt;KeyP_Acc,"Acceptable",IF(ROUND(L58/K58,10)&lt;=KeyP_Good,"Good",IF(ROUND(L58/K58,10)&lt;KeyP_Out,"Very Good","Outstanding")))))))</f>
        <v>لا توجد بيانات</v>
      </c>
      <c r="P58" s="1"/>
    </row>
    <row r="59" customFormat="false" ht="15" hidden="false" customHeight="false" outlineLevel="0" collapsed="false">
      <c r="A59" s="1"/>
      <c r="B59" s="51" t="str">
        <f aca="false">IF(Teachers!C55="","",Teachers!C55)</f>
        <v>Mr Yaseen Ahmed Zaki</v>
      </c>
      <c r="C59" s="42" t="str">
        <f aca="false">IF($B59="","",Teachers!D55)</f>
        <v>Ia</v>
      </c>
      <c r="D59" s="42" t="n">
        <f aca="false">IF($B59="","",Teachers!F55)</f>
        <v>9</v>
      </c>
      <c r="E59" s="39" t="n">
        <f aca="false">IF($B59="","",(SUMIFS(Data!$Q$5:$Q$5004,Data!$B$5:$B$5004,$Q$6,Data!$D$5:$D$5004,$Q$7,Data!$E$5:$E$5004,$Q$8,Data!$F$5:$F$5004,$Q$9,Data!$G$5:$G$5004,$Q$10,Data!$C$5:$C$5004,$B59)+ExOn*SUMIFS(مثال_Example!$Q$5:$Q$804,مثال_Example!$B$5:$B$804,$Q$6,مثال_Example!$D$5:$D$804,$Q$7,مثال_Example!$E$5:$E$804,$Q$8,مثال_Example!$F$5:$F$804,$Q$9,مثال_Example!$G$5:$G$804,$Q$10,مثال_Example!$C$5:$C$804,$B59)))</f>
        <v>0</v>
      </c>
      <c r="F59" s="39" t="n">
        <f aca="false">IF($B59="","",(SUMIFS(Data!$R$5:$R$5004,Data!$B$5:$B$5004,$Q$6,Data!$D$5:$D$5004,$Q$7,Data!$E$5:$E$5004,$Q$8,Data!$F$5:$F$5004,$Q$9,Data!$G$5:$G$5004,$Q$10,Data!$C$5:$C$5004,$B59)+ExOn*SUMIFS(مثال_Example!$R$5:$R$804,مثال_Example!$B$5:$B$804,$Q$6,مثال_Example!$D$5:$D$804,$Q$7,مثال_Example!$E$5:$E$804,$Q$8,مثال_Example!$F$5:$F$804,$Q$9,مثال_Example!$G$5:$G$804,$Q$10,مثال_Example!$C$5:$C$804,$B59)))</f>
        <v>0</v>
      </c>
      <c r="G59" s="40" t="str">
        <f aca="false">IF($B59="","",IF($E59=0,"—",F59/$E59))</f>
        <v>—</v>
      </c>
      <c r="H59" s="39" t="n">
        <f aca="false">IF($B59="","",(SUMIFS(Data!$S$5:$S$5004,Data!$B$5:$B$5004,$Q$6,Data!$D$5:$D$5004,$Q$7,Data!$E$5:$E$5004,$Q$8,Data!$F$5:$F$5004,$Q$9,Data!$G$5:$G$5004,$Q$10,Data!$C$5:$C$5004,$B59)+ExOn*SUMIFS(مثال_Example!$S$5:$S$804,مثال_Example!$B$5:$B$804,$Q$6,مثال_Example!$D$5:$D$804,$Q$7,مثال_Example!$E$5:$E$804,$Q$8,مثال_Example!$F$5:$F$804,$Q$9,مثال_Example!$G$5:$G$804,$Q$10,مثال_Example!$C$5:$C$804,$B59)))</f>
        <v>0</v>
      </c>
      <c r="I59" s="40" t="str">
        <f aca="false">IF($B59="","",IF($E59=0,"—",H59/$E59))</f>
        <v>—</v>
      </c>
      <c r="J59" s="42" t="str">
        <f aca="false">IF($B59="","",IF($E59=0,"لا توجد بيانات",IF(ROUND(F59/E59,10)&lt;=KeyA_VW,"Very Weak",IF(ROUND(F59/E59,10)&lt;KeyA_Weak,"Weak",IF(ROUND(H59/E59,10)&lt;KeyA_Acc,"Acceptable",IF(ROUND(H59/E59,10)&lt;=KeyA_Good,"Good",IF(ROUND(H59/E59,10)&lt;KeyA_Out,"Very Good","Outstanding")))))))</f>
        <v>لا توجد بيانات</v>
      </c>
      <c r="K59" s="39" t="n">
        <f aca="false">IF($B59="","",(SUMIFS(Data!$T$5:$T$5004,Data!$B$5:$B$5004,$Q$6,Data!$D$5:$D$5004,$Q$7,Data!$E$5:$E$5004,$Q$8,Data!$F$5:$F$5004,$Q$9,Data!$G$5:$G$5004,$Q$10,Data!$C$5:$C$5004,$B59)+ExOn*SUMIFS(مثال_Example!$T$5:$T$804,مثال_Example!$B$5:$B$804,$Q$6,مثال_Example!$D$5:$D$804,$Q$7,مثال_Example!$E$5:$E$804,$Q$8,مثال_Example!$F$5:$F$804,$Q$9,مثال_Example!$G$5:$G$804,$Q$10,مثال_Example!$C$5:$C$804,$B59))+(SUMIFS(Data!$U$5:$U$5004,Data!$B$5:$B$5004,$Q$6,Data!$D$5:$D$5004,$Q$7,Data!$E$5:$E$5004,$Q$8,Data!$F$5:$F$5004,$Q$9,Data!$G$5:$G$5004,$Q$10,Data!$C$5:$C$5004,$B59)+ExOn*SUMIFS(مثال_Example!$U$5:$U$804,مثال_Example!$B$5:$B$804,$Q$6,مثال_Example!$D$5:$D$804,$Q$7,مثال_Example!$E$5:$E$804,$Q$8,مثال_Example!$F$5:$F$804,$Q$9,مثال_Example!$G$5:$G$804,$Q$10,مثال_Example!$C$5:$C$804,$B59))+(SUMIFS(Data!$V$5:$V$5004,Data!$B$5:$B$5004,$Q$6,Data!$D$5:$D$5004,$Q$7,Data!$E$5:$E$5004,$Q$8,Data!$F$5:$F$5004,$Q$9,Data!$G$5:$G$5004,$Q$10,Data!$C$5:$C$5004,$B59)+ExOn*SUMIFS(مثال_Example!$V$5:$V$804,مثال_Example!$B$5:$B$804,$Q$6,مثال_Example!$D$5:$D$804,$Q$7,مثال_Example!$E$5:$E$804,$Q$8,مثال_Example!$F$5:$F$804,$Q$9,مثال_Example!$G$5:$G$804,$Q$10,مثال_Example!$C$5:$C$804,$B59)))</f>
        <v>0</v>
      </c>
      <c r="L59" s="39" t="n">
        <f aca="false">IF($B59="","",(SUMIFS(Data!$V$5:$V$5004,Data!$B$5:$B$5004,$Q$6,Data!$D$5:$D$5004,$Q$7,Data!$E$5:$E$5004,$Q$8,Data!$F$5:$F$5004,$Q$9,Data!$G$5:$G$5004,$Q$10,Data!$C$5:$C$5004,$B59)+ExOn*SUMIFS(مثال_Example!$V$5:$V$804,مثال_Example!$B$5:$B$804,$Q$6,مثال_Example!$D$5:$D$804,$Q$7,مثال_Example!$E$5:$E$804,$Q$8,مثال_Example!$F$5:$F$804,$Q$9,مثال_Example!$G$5:$G$804,$Q$10,مثال_Example!$C$5:$C$804,$B59)))</f>
        <v>0</v>
      </c>
      <c r="M59" s="40" t="str">
        <f aca="false">IF($B59="","",IF($K59=0,"—",L59/$K59))</f>
        <v>—</v>
      </c>
      <c r="N59" s="40" t="str">
        <f aca="false">IF($B59="","",IF($K59=0,"—",((SUMIFS(Data!$U$5:$U$5004,Data!$B$5:$B$5004,$Q$6,Data!$D$5:$D$5004,$Q$7,Data!$E$5:$E$5004,$Q$8,Data!$F$5:$F$5004,$Q$9,Data!$G$5:$G$5004,$Q$10,Data!$C$5:$C$5004,$B59)+ExOn*SUMIFS(مثال_Example!$U$5:$U$804,مثال_Example!$B$5:$B$804,$Q$6,مثال_Example!$D$5:$D$804,$Q$7,مثال_Example!$E$5:$E$804,$Q$8,مثال_Example!$F$5:$F$804,$Q$9,مثال_Example!$G$5:$G$804,$Q$10,مثال_Example!$C$5:$C$804,$B59))+L59)/$K59))</f>
        <v>—</v>
      </c>
      <c r="O59" s="42" t="str">
        <f aca="false">IF($B59="","",IF($K59=0,"لا توجد بيانات",IF(ROUND((((SUMIFS(Data!$U$5:$U$5004,Data!$B$5:$B$5004,$Q$6,Data!$D$5:$D$5004,$Q$7,Data!$E$5:$E$5004,$Q$8,Data!$F$5:$F$5004,$Q$9,Data!$G$5:$G$5004,$Q$10,Data!$C$5:$C$5004,$B59)+ExOn*SUMIFS(مثال_Example!$U$5:$U$804,مثال_Example!$B$5:$B$804,$Q$6,مثال_Example!$D$5:$D$804,$Q$7,مثال_Example!$E$5:$E$804,$Q$8,مثال_Example!$F$5:$F$804,$Q$9,مثال_Example!$G$5:$G$804,$Q$10,مثال_Example!$C$5:$C$804,$B59)))+L59)/K59,10)&lt;=KeyP_VW,"Very Weak",IF(ROUND((((SUMIFS(Data!$U$5:$U$5004,Data!$B$5:$B$5004,$Q$6,Data!$D$5:$D$5004,$Q$7,Data!$E$5:$E$5004,$Q$8,Data!$F$5:$F$5004,$Q$9,Data!$G$5:$G$5004,$Q$10,Data!$C$5:$C$5004,$B59)+ExOn*SUMIFS(مثال_Example!$U$5:$U$804,مثال_Example!$B$5:$B$804,$Q$6,مثال_Example!$D$5:$D$804,$Q$7,مثال_Example!$E$5:$E$804,$Q$8,مثال_Example!$F$5:$F$804,$Q$9,مثال_Example!$G$5:$G$804,$Q$10,مثال_Example!$C$5:$C$804,$B59)))+L59)/K59,10)&lt;KeyP_Weak,"Weak",IF(ROUND(L59/K59,10)&lt;KeyP_Acc,"Acceptable",IF(ROUND(L59/K59,10)&lt;=KeyP_Good,"Good",IF(ROUND(L59/K59,10)&lt;KeyP_Out,"Very Good","Outstanding")))))))</f>
        <v>لا توجد بيانات</v>
      </c>
      <c r="P59" s="1"/>
    </row>
    <row r="60" customFormat="false" ht="15" hidden="false" customHeight="false" outlineLevel="0" collapsed="false">
      <c r="A60" s="1"/>
      <c r="B60" s="51" t="str">
        <f aca="false">IF(Teachers!C56="","",Teachers!C56)</f>
        <v>Mr Aamer Gebreel</v>
      </c>
      <c r="C60" s="42" t="str">
        <f aca="false">IF($B60="","",Teachers!D56)</f>
        <v>Ib</v>
      </c>
      <c r="D60" s="42" t="n">
        <f aca="false">IF($B60="","",Teachers!F56)</f>
        <v>12</v>
      </c>
      <c r="E60" s="39" t="n">
        <f aca="false">IF($B60="","",(SUMIFS(Data!$Q$5:$Q$5004,Data!$B$5:$B$5004,$Q$6,Data!$D$5:$D$5004,$Q$7,Data!$E$5:$E$5004,$Q$8,Data!$F$5:$F$5004,$Q$9,Data!$G$5:$G$5004,$Q$10,Data!$C$5:$C$5004,$B60)+ExOn*SUMIFS(مثال_Example!$Q$5:$Q$804,مثال_Example!$B$5:$B$804,$Q$6,مثال_Example!$D$5:$D$804,$Q$7,مثال_Example!$E$5:$E$804,$Q$8,مثال_Example!$F$5:$F$804,$Q$9,مثال_Example!$G$5:$G$804,$Q$10,مثال_Example!$C$5:$C$804,$B60)))</f>
        <v>0</v>
      </c>
      <c r="F60" s="39" t="n">
        <f aca="false">IF($B60="","",(SUMIFS(Data!$R$5:$R$5004,Data!$B$5:$B$5004,$Q$6,Data!$D$5:$D$5004,$Q$7,Data!$E$5:$E$5004,$Q$8,Data!$F$5:$F$5004,$Q$9,Data!$G$5:$G$5004,$Q$10,Data!$C$5:$C$5004,$B60)+ExOn*SUMIFS(مثال_Example!$R$5:$R$804,مثال_Example!$B$5:$B$804,$Q$6,مثال_Example!$D$5:$D$804,$Q$7,مثال_Example!$E$5:$E$804,$Q$8,مثال_Example!$F$5:$F$804,$Q$9,مثال_Example!$G$5:$G$804,$Q$10,مثال_Example!$C$5:$C$804,$B60)))</f>
        <v>0</v>
      </c>
      <c r="G60" s="40" t="str">
        <f aca="false">IF($B60="","",IF($E60=0,"—",F60/$E60))</f>
        <v>—</v>
      </c>
      <c r="H60" s="39" t="n">
        <f aca="false">IF($B60="","",(SUMIFS(Data!$S$5:$S$5004,Data!$B$5:$B$5004,$Q$6,Data!$D$5:$D$5004,$Q$7,Data!$E$5:$E$5004,$Q$8,Data!$F$5:$F$5004,$Q$9,Data!$G$5:$G$5004,$Q$10,Data!$C$5:$C$5004,$B60)+ExOn*SUMIFS(مثال_Example!$S$5:$S$804,مثال_Example!$B$5:$B$804,$Q$6,مثال_Example!$D$5:$D$804,$Q$7,مثال_Example!$E$5:$E$804,$Q$8,مثال_Example!$F$5:$F$804,$Q$9,مثال_Example!$G$5:$G$804,$Q$10,مثال_Example!$C$5:$C$804,$B60)))</f>
        <v>0</v>
      </c>
      <c r="I60" s="40" t="str">
        <f aca="false">IF($B60="","",IF($E60=0,"—",H60/$E60))</f>
        <v>—</v>
      </c>
      <c r="J60" s="42" t="str">
        <f aca="false">IF($B60="","",IF($E60=0,"لا توجد بيانات",IF(ROUND(F60/E60,10)&lt;=KeyA_VW,"Very Weak",IF(ROUND(F60/E60,10)&lt;KeyA_Weak,"Weak",IF(ROUND(H60/E60,10)&lt;KeyA_Acc,"Acceptable",IF(ROUND(H60/E60,10)&lt;=KeyA_Good,"Good",IF(ROUND(H60/E60,10)&lt;KeyA_Out,"Very Good","Outstanding")))))))</f>
        <v>لا توجد بيانات</v>
      </c>
      <c r="K60" s="39" t="n">
        <f aca="false">IF($B60="","",(SUMIFS(Data!$T$5:$T$5004,Data!$B$5:$B$5004,$Q$6,Data!$D$5:$D$5004,$Q$7,Data!$E$5:$E$5004,$Q$8,Data!$F$5:$F$5004,$Q$9,Data!$G$5:$G$5004,$Q$10,Data!$C$5:$C$5004,$B60)+ExOn*SUMIFS(مثال_Example!$T$5:$T$804,مثال_Example!$B$5:$B$804,$Q$6,مثال_Example!$D$5:$D$804,$Q$7,مثال_Example!$E$5:$E$804,$Q$8,مثال_Example!$F$5:$F$804,$Q$9,مثال_Example!$G$5:$G$804,$Q$10,مثال_Example!$C$5:$C$804,$B60))+(SUMIFS(Data!$U$5:$U$5004,Data!$B$5:$B$5004,$Q$6,Data!$D$5:$D$5004,$Q$7,Data!$E$5:$E$5004,$Q$8,Data!$F$5:$F$5004,$Q$9,Data!$G$5:$G$5004,$Q$10,Data!$C$5:$C$5004,$B60)+ExOn*SUMIFS(مثال_Example!$U$5:$U$804,مثال_Example!$B$5:$B$804,$Q$6,مثال_Example!$D$5:$D$804,$Q$7,مثال_Example!$E$5:$E$804,$Q$8,مثال_Example!$F$5:$F$804,$Q$9,مثال_Example!$G$5:$G$804,$Q$10,مثال_Example!$C$5:$C$804,$B60))+(SUMIFS(Data!$V$5:$V$5004,Data!$B$5:$B$5004,$Q$6,Data!$D$5:$D$5004,$Q$7,Data!$E$5:$E$5004,$Q$8,Data!$F$5:$F$5004,$Q$9,Data!$G$5:$G$5004,$Q$10,Data!$C$5:$C$5004,$B60)+ExOn*SUMIFS(مثال_Example!$V$5:$V$804,مثال_Example!$B$5:$B$804,$Q$6,مثال_Example!$D$5:$D$804,$Q$7,مثال_Example!$E$5:$E$804,$Q$8,مثال_Example!$F$5:$F$804,$Q$9,مثال_Example!$G$5:$G$804,$Q$10,مثال_Example!$C$5:$C$804,$B60)))</f>
        <v>0</v>
      </c>
      <c r="L60" s="39" t="n">
        <f aca="false">IF($B60="","",(SUMIFS(Data!$V$5:$V$5004,Data!$B$5:$B$5004,$Q$6,Data!$D$5:$D$5004,$Q$7,Data!$E$5:$E$5004,$Q$8,Data!$F$5:$F$5004,$Q$9,Data!$G$5:$G$5004,$Q$10,Data!$C$5:$C$5004,$B60)+ExOn*SUMIFS(مثال_Example!$V$5:$V$804,مثال_Example!$B$5:$B$804,$Q$6,مثال_Example!$D$5:$D$804,$Q$7,مثال_Example!$E$5:$E$804,$Q$8,مثال_Example!$F$5:$F$804,$Q$9,مثال_Example!$G$5:$G$804,$Q$10,مثال_Example!$C$5:$C$804,$B60)))</f>
        <v>0</v>
      </c>
      <c r="M60" s="40" t="str">
        <f aca="false">IF($B60="","",IF($K60=0,"—",L60/$K60))</f>
        <v>—</v>
      </c>
      <c r="N60" s="40" t="str">
        <f aca="false">IF($B60="","",IF($K60=0,"—",((SUMIFS(Data!$U$5:$U$5004,Data!$B$5:$B$5004,$Q$6,Data!$D$5:$D$5004,$Q$7,Data!$E$5:$E$5004,$Q$8,Data!$F$5:$F$5004,$Q$9,Data!$G$5:$G$5004,$Q$10,Data!$C$5:$C$5004,$B60)+ExOn*SUMIFS(مثال_Example!$U$5:$U$804,مثال_Example!$B$5:$B$804,$Q$6,مثال_Example!$D$5:$D$804,$Q$7,مثال_Example!$E$5:$E$804,$Q$8,مثال_Example!$F$5:$F$804,$Q$9,مثال_Example!$G$5:$G$804,$Q$10,مثال_Example!$C$5:$C$804,$B60))+L60)/$K60))</f>
        <v>—</v>
      </c>
      <c r="O60" s="42" t="str">
        <f aca="false">IF($B60="","",IF($K60=0,"لا توجد بيانات",IF(ROUND((((SUMIFS(Data!$U$5:$U$5004,Data!$B$5:$B$5004,$Q$6,Data!$D$5:$D$5004,$Q$7,Data!$E$5:$E$5004,$Q$8,Data!$F$5:$F$5004,$Q$9,Data!$G$5:$G$5004,$Q$10,Data!$C$5:$C$5004,$B60)+ExOn*SUMIFS(مثال_Example!$U$5:$U$804,مثال_Example!$B$5:$B$804,$Q$6,مثال_Example!$D$5:$D$804,$Q$7,مثال_Example!$E$5:$E$804,$Q$8,مثال_Example!$F$5:$F$804,$Q$9,مثال_Example!$G$5:$G$804,$Q$10,مثال_Example!$C$5:$C$804,$B60)))+L60)/K60,10)&lt;=KeyP_VW,"Very Weak",IF(ROUND((((SUMIFS(Data!$U$5:$U$5004,Data!$B$5:$B$5004,$Q$6,Data!$D$5:$D$5004,$Q$7,Data!$E$5:$E$5004,$Q$8,Data!$F$5:$F$5004,$Q$9,Data!$G$5:$G$5004,$Q$10,Data!$C$5:$C$5004,$B60)+ExOn*SUMIFS(مثال_Example!$U$5:$U$804,مثال_Example!$B$5:$B$804,$Q$6,مثال_Example!$D$5:$D$804,$Q$7,مثال_Example!$E$5:$E$804,$Q$8,مثال_Example!$F$5:$F$804,$Q$9,مثال_Example!$G$5:$G$804,$Q$10,مثال_Example!$C$5:$C$804,$B60)))+L60)/K60,10)&lt;KeyP_Weak,"Weak",IF(ROUND(L60/K60,10)&lt;KeyP_Acc,"Acceptable",IF(ROUND(L60/K60,10)&lt;=KeyP_Good,"Good",IF(ROUND(L60/K60,10)&lt;KeyP_Out,"Very Good","Outstanding")))))))</f>
        <v>لا توجد بيانات</v>
      </c>
      <c r="P60" s="1"/>
    </row>
    <row r="61" customFormat="false" ht="15" hidden="false" customHeight="false" outlineLevel="0" collapsed="false">
      <c r="A61" s="1"/>
      <c r="B61" s="51" t="str">
        <f aca="false">IF(Teachers!C57="","",Teachers!C57)</f>
        <v>Ms Areig Khalil</v>
      </c>
      <c r="C61" s="42" t="str">
        <f aca="false">IF($B61="","",Teachers!D57)</f>
        <v>Ib</v>
      </c>
      <c r="D61" s="42" t="n">
        <f aca="false">IF($B61="","",Teachers!F57)</f>
        <v>6</v>
      </c>
      <c r="E61" s="39" t="n">
        <f aca="false">IF($B61="","",(SUMIFS(Data!$Q$5:$Q$5004,Data!$B$5:$B$5004,$Q$6,Data!$D$5:$D$5004,$Q$7,Data!$E$5:$E$5004,$Q$8,Data!$F$5:$F$5004,$Q$9,Data!$G$5:$G$5004,$Q$10,Data!$C$5:$C$5004,$B61)+ExOn*SUMIFS(مثال_Example!$Q$5:$Q$804,مثال_Example!$B$5:$B$804,$Q$6,مثال_Example!$D$5:$D$804,$Q$7,مثال_Example!$E$5:$E$804,$Q$8,مثال_Example!$F$5:$F$804,$Q$9,مثال_Example!$G$5:$G$804,$Q$10,مثال_Example!$C$5:$C$804,$B61)))</f>
        <v>0</v>
      </c>
      <c r="F61" s="39" t="n">
        <f aca="false">IF($B61="","",(SUMIFS(Data!$R$5:$R$5004,Data!$B$5:$B$5004,$Q$6,Data!$D$5:$D$5004,$Q$7,Data!$E$5:$E$5004,$Q$8,Data!$F$5:$F$5004,$Q$9,Data!$G$5:$G$5004,$Q$10,Data!$C$5:$C$5004,$B61)+ExOn*SUMIFS(مثال_Example!$R$5:$R$804,مثال_Example!$B$5:$B$804,$Q$6,مثال_Example!$D$5:$D$804,$Q$7,مثال_Example!$E$5:$E$804,$Q$8,مثال_Example!$F$5:$F$804,$Q$9,مثال_Example!$G$5:$G$804,$Q$10,مثال_Example!$C$5:$C$804,$B61)))</f>
        <v>0</v>
      </c>
      <c r="G61" s="40" t="str">
        <f aca="false">IF($B61="","",IF($E61=0,"—",F61/$E61))</f>
        <v>—</v>
      </c>
      <c r="H61" s="39" t="n">
        <f aca="false">IF($B61="","",(SUMIFS(Data!$S$5:$S$5004,Data!$B$5:$B$5004,$Q$6,Data!$D$5:$D$5004,$Q$7,Data!$E$5:$E$5004,$Q$8,Data!$F$5:$F$5004,$Q$9,Data!$G$5:$G$5004,$Q$10,Data!$C$5:$C$5004,$B61)+ExOn*SUMIFS(مثال_Example!$S$5:$S$804,مثال_Example!$B$5:$B$804,$Q$6,مثال_Example!$D$5:$D$804,$Q$7,مثال_Example!$E$5:$E$804,$Q$8,مثال_Example!$F$5:$F$804,$Q$9,مثال_Example!$G$5:$G$804,$Q$10,مثال_Example!$C$5:$C$804,$B61)))</f>
        <v>0</v>
      </c>
      <c r="I61" s="40" t="str">
        <f aca="false">IF($B61="","",IF($E61=0,"—",H61/$E61))</f>
        <v>—</v>
      </c>
      <c r="J61" s="42" t="str">
        <f aca="false">IF($B61="","",IF($E61=0,"لا توجد بيانات",IF(ROUND(F61/E61,10)&lt;=KeyA_VW,"Very Weak",IF(ROUND(F61/E61,10)&lt;KeyA_Weak,"Weak",IF(ROUND(H61/E61,10)&lt;KeyA_Acc,"Acceptable",IF(ROUND(H61/E61,10)&lt;=KeyA_Good,"Good",IF(ROUND(H61/E61,10)&lt;KeyA_Out,"Very Good","Outstanding")))))))</f>
        <v>لا توجد بيانات</v>
      </c>
      <c r="K61" s="39" t="n">
        <f aca="false">IF($B61="","",(SUMIFS(Data!$T$5:$T$5004,Data!$B$5:$B$5004,$Q$6,Data!$D$5:$D$5004,$Q$7,Data!$E$5:$E$5004,$Q$8,Data!$F$5:$F$5004,$Q$9,Data!$G$5:$G$5004,$Q$10,Data!$C$5:$C$5004,$B61)+ExOn*SUMIFS(مثال_Example!$T$5:$T$804,مثال_Example!$B$5:$B$804,$Q$6,مثال_Example!$D$5:$D$804,$Q$7,مثال_Example!$E$5:$E$804,$Q$8,مثال_Example!$F$5:$F$804,$Q$9,مثال_Example!$G$5:$G$804,$Q$10,مثال_Example!$C$5:$C$804,$B61))+(SUMIFS(Data!$U$5:$U$5004,Data!$B$5:$B$5004,$Q$6,Data!$D$5:$D$5004,$Q$7,Data!$E$5:$E$5004,$Q$8,Data!$F$5:$F$5004,$Q$9,Data!$G$5:$G$5004,$Q$10,Data!$C$5:$C$5004,$B61)+ExOn*SUMIFS(مثال_Example!$U$5:$U$804,مثال_Example!$B$5:$B$804,$Q$6,مثال_Example!$D$5:$D$804,$Q$7,مثال_Example!$E$5:$E$804,$Q$8,مثال_Example!$F$5:$F$804,$Q$9,مثال_Example!$G$5:$G$804,$Q$10,مثال_Example!$C$5:$C$804,$B61))+(SUMIFS(Data!$V$5:$V$5004,Data!$B$5:$B$5004,$Q$6,Data!$D$5:$D$5004,$Q$7,Data!$E$5:$E$5004,$Q$8,Data!$F$5:$F$5004,$Q$9,Data!$G$5:$G$5004,$Q$10,Data!$C$5:$C$5004,$B61)+ExOn*SUMIFS(مثال_Example!$V$5:$V$804,مثال_Example!$B$5:$B$804,$Q$6,مثال_Example!$D$5:$D$804,$Q$7,مثال_Example!$E$5:$E$804,$Q$8,مثال_Example!$F$5:$F$804,$Q$9,مثال_Example!$G$5:$G$804,$Q$10,مثال_Example!$C$5:$C$804,$B61)))</f>
        <v>0</v>
      </c>
      <c r="L61" s="39" t="n">
        <f aca="false">IF($B61="","",(SUMIFS(Data!$V$5:$V$5004,Data!$B$5:$B$5004,$Q$6,Data!$D$5:$D$5004,$Q$7,Data!$E$5:$E$5004,$Q$8,Data!$F$5:$F$5004,$Q$9,Data!$G$5:$G$5004,$Q$10,Data!$C$5:$C$5004,$B61)+ExOn*SUMIFS(مثال_Example!$V$5:$V$804,مثال_Example!$B$5:$B$804,$Q$6,مثال_Example!$D$5:$D$804,$Q$7,مثال_Example!$E$5:$E$804,$Q$8,مثال_Example!$F$5:$F$804,$Q$9,مثال_Example!$G$5:$G$804,$Q$10,مثال_Example!$C$5:$C$804,$B61)))</f>
        <v>0</v>
      </c>
      <c r="M61" s="40" t="str">
        <f aca="false">IF($B61="","",IF($K61=0,"—",L61/$K61))</f>
        <v>—</v>
      </c>
      <c r="N61" s="40" t="str">
        <f aca="false">IF($B61="","",IF($K61=0,"—",((SUMIFS(Data!$U$5:$U$5004,Data!$B$5:$B$5004,$Q$6,Data!$D$5:$D$5004,$Q$7,Data!$E$5:$E$5004,$Q$8,Data!$F$5:$F$5004,$Q$9,Data!$G$5:$G$5004,$Q$10,Data!$C$5:$C$5004,$B61)+ExOn*SUMIFS(مثال_Example!$U$5:$U$804,مثال_Example!$B$5:$B$804,$Q$6,مثال_Example!$D$5:$D$804,$Q$7,مثال_Example!$E$5:$E$804,$Q$8,مثال_Example!$F$5:$F$804,$Q$9,مثال_Example!$G$5:$G$804,$Q$10,مثال_Example!$C$5:$C$804,$B61))+L61)/$K61))</f>
        <v>—</v>
      </c>
      <c r="O61" s="42" t="str">
        <f aca="false">IF($B61="","",IF($K61=0,"لا توجد بيانات",IF(ROUND((((SUMIFS(Data!$U$5:$U$5004,Data!$B$5:$B$5004,$Q$6,Data!$D$5:$D$5004,$Q$7,Data!$E$5:$E$5004,$Q$8,Data!$F$5:$F$5004,$Q$9,Data!$G$5:$G$5004,$Q$10,Data!$C$5:$C$5004,$B61)+ExOn*SUMIFS(مثال_Example!$U$5:$U$804,مثال_Example!$B$5:$B$804,$Q$6,مثال_Example!$D$5:$D$804,$Q$7,مثال_Example!$E$5:$E$804,$Q$8,مثال_Example!$F$5:$F$804,$Q$9,مثال_Example!$G$5:$G$804,$Q$10,مثال_Example!$C$5:$C$804,$B61)))+L61)/K61,10)&lt;=KeyP_VW,"Very Weak",IF(ROUND((((SUMIFS(Data!$U$5:$U$5004,Data!$B$5:$B$5004,$Q$6,Data!$D$5:$D$5004,$Q$7,Data!$E$5:$E$5004,$Q$8,Data!$F$5:$F$5004,$Q$9,Data!$G$5:$G$5004,$Q$10,Data!$C$5:$C$5004,$B61)+ExOn*SUMIFS(مثال_Example!$U$5:$U$804,مثال_Example!$B$5:$B$804,$Q$6,مثال_Example!$D$5:$D$804,$Q$7,مثال_Example!$E$5:$E$804,$Q$8,مثال_Example!$F$5:$F$804,$Q$9,مثال_Example!$G$5:$G$804,$Q$10,مثال_Example!$C$5:$C$804,$B61)))+L61)/K61,10)&lt;KeyP_Weak,"Weak",IF(ROUND(L61/K61,10)&lt;KeyP_Acc,"Acceptable",IF(ROUND(L61/K61,10)&lt;=KeyP_Good,"Good",IF(ROUND(L61/K61,10)&lt;KeyP_Out,"Very Good","Outstanding")))))))</f>
        <v>لا توجد بيانات</v>
      </c>
      <c r="P61" s="1"/>
    </row>
    <row r="62" customFormat="false" ht="15" hidden="false" customHeight="false" outlineLevel="0" collapsed="false">
      <c r="A62" s="1"/>
      <c r="B62" s="51" t="str">
        <f aca="false">IF(Teachers!C58="","",Teachers!C58)</f>
        <v>Ms Asmaa SemhySelim</v>
      </c>
      <c r="C62" s="42" t="str">
        <f aca="false">IF($B62="","",Teachers!D58)</f>
        <v>Ib</v>
      </c>
      <c r="D62" s="42" t="n">
        <f aca="false">IF($B62="","",Teachers!F58)</f>
        <v>0</v>
      </c>
      <c r="E62" s="39" t="n">
        <f aca="false">IF($B62="","",(SUMIFS(Data!$Q$5:$Q$5004,Data!$B$5:$B$5004,$Q$6,Data!$D$5:$D$5004,$Q$7,Data!$E$5:$E$5004,$Q$8,Data!$F$5:$F$5004,$Q$9,Data!$G$5:$G$5004,$Q$10,Data!$C$5:$C$5004,$B62)+ExOn*SUMIFS(مثال_Example!$Q$5:$Q$804,مثال_Example!$B$5:$B$804,$Q$6,مثال_Example!$D$5:$D$804,$Q$7,مثال_Example!$E$5:$E$804,$Q$8,مثال_Example!$F$5:$F$804,$Q$9,مثال_Example!$G$5:$G$804,$Q$10,مثال_Example!$C$5:$C$804,$B62)))</f>
        <v>0</v>
      </c>
      <c r="F62" s="39" t="n">
        <f aca="false">IF($B62="","",(SUMIFS(Data!$R$5:$R$5004,Data!$B$5:$B$5004,$Q$6,Data!$D$5:$D$5004,$Q$7,Data!$E$5:$E$5004,$Q$8,Data!$F$5:$F$5004,$Q$9,Data!$G$5:$G$5004,$Q$10,Data!$C$5:$C$5004,$B62)+ExOn*SUMIFS(مثال_Example!$R$5:$R$804,مثال_Example!$B$5:$B$804,$Q$6,مثال_Example!$D$5:$D$804,$Q$7,مثال_Example!$E$5:$E$804,$Q$8,مثال_Example!$F$5:$F$804,$Q$9,مثال_Example!$G$5:$G$804,$Q$10,مثال_Example!$C$5:$C$804,$B62)))</f>
        <v>0</v>
      </c>
      <c r="G62" s="40" t="str">
        <f aca="false">IF($B62="","",IF($E62=0,"—",F62/$E62))</f>
        <v>—</v>
      </c>
      <c r="H62" s="39" t="n">
        <f aca="false">IF($B62="","",(SUMIFS(Data!$S$5:$S$5004,Data!$B$5:$B$5004,$Q$6,Data!$D$5:$D$5004,$Q$7,Data!$E$5:$E$5004,$Q$8,Data!$F$5:$F$5004,$Q$9,Data!$G$5:$G$5004,$Q$10,Data!$C$5:$C$5004,$B62)+ExOn*SUMIFS(مثال_Example!$S$5:$S$804,مثال_Example!$B$5:$B$804,$Q$6,مثال_Example!$D$5:$D$804,$Q$7,مثال_Example!$E$5:$E$804,$Q$8,مثال_Example!$F$5:$F$804,$Q$9,مثال_Example!$G$5:$G$804,$Q$10,مثال_Example!$C$5:$C$804,$B62)))</f>
        <v>0</v>
      </c>
      <c r="I62" s="40" t="str">
        <f aca="false">IF($B62="","",IF($E62=0,"—",H62/$E62))</f>
        <v>—</v>
      </c>
      <c r="J62" s="42" t="str">
        <f aca="false">IF($B62="","",IF($E62=0,"لا توجد بيانات",IF(ROUND(F62/E62,10)&lt;=KeyA_VW,"Very Weak",IF(ROUND(F62/E62,10)&lt;KeyA_Weak,"Weak",IF(ROUND(H62/E62,10)&lt;KeyA_Acc,"Acceptable",IF(ROUND(H62/E62,10)&lt;=KeyA_Good,"Good",IF(ROUND(H62/E62,10)&lt;KeyA_Out,"Very Good","Outstanding")))))))</f>
        <v>لا توجد بيانات</v>
      </c>
      <c r="K62" s="39" t="n">
        <f aca="false">IF($B62="","",(SUMIFS(Data!$T$5:$T$5004,Data!$B$5:$B$5004,$Q$6,Data!$D$5:$D$5004,$Q$7,Data!$E$5:$E$5004,$Q$8,Data!$F$5:$F$5004,$Q$9,Data!$G$5:$G$5004,$Q$10,Data!$C$5:$C$5004,$B62)+ExOn*SUMIFS(مثال_Example!$T$5:$T$804,مثال_Example!$B$5:$B$804,$Q$6,مثال_Example!$D$5:$D$804,$Q$7,مثال_Example!$E$5:$E$804,$Q$8,مثال_Example!$F$5:$F$804,$Q$9,مثال_Example!$G$5:$G$804,$Q$10,مثال_Example!$C$5:$C$804,$B62))+(SUMIFS(Data!$U$5:$U$5004,Data!$B$5:$B$5004,$Q$6,Data!$D$5:$D$5004,$Q$7,Data!$E$5:$E$5004,$Q$8,Data!$F$5:$F$5004,$Q$9,Data!$G$5:$G$5004,$Q$10,Data!$C$5:$C$5004,$B62)+ExOn*SUMIFS(مثال_Example!$U$5:$U$804,مثال_Example!$B$5:$B$804,$Q$6,مثال_Example!$D$5:$D$804,$Q$7,مثال_Example!$E$5:$E$804,$Q$8,مثال_Example!$F$5:$F$804,$Q$9,مثال_Example!$G$5:$G$804,$Q$10,مثال_Example!$C$5:$C$804,$B62))+(SUMIFS(Data!$V$5:$V$5004,Data!$B$5:$B$5004,$Q$6,Data!$D$5:$D$5004,$Q$7,Data!$E$5:$E$5004,$Q$8,Data!$F$5:$F$5004,$Q$9,Data!$G$5:$G$5004,$Q$10,Data!$C$5:$C$5004,$B62)+ExOn*SUMIFS(مثال_Example!$V$5:$V$804,مثال_Example!$B$5:$B$804,$Q$6,مثال_Example!$D$5:$D$804,$Q$7,مثال_Example!$E$5:$E$804,$Q$8,مثال_Example!$F$5:$F$804,$Q$9,مثال_Example!$G$5:$G$804,$Q$10,مثال_Example!$C$5:$C$804,$B62)))</f>
        <v>0</v>
      </c>
      <c r="L62" s="39" t="n">
        <f aca="false">IF($B62="","",(SUMIFS(Data!$V$5:$V$5004,Data!$B$5:$B$5004,$Q$6,Data!$D$5:$D$5004,$Q$7,Data!$E$5:$E$5004,$Q$8,Data!$F$5:$F$5004,$Q$9,Data!$G$5:$G$5004,$Q$10,Data!$C$5:$C$5004,$B62)+ExOn*SUMIFS(مثال_Example!$V$5:$V$804,مثال_Example!$B$5:$B$804,$Q$6,مثال_Example!$D$5:$D$804,$Q$7,مثال_Example!$E$5:$E$804,$Q$8,مثال_Example!$F$5:$F$804,$Q$9,مثال_Example!$G$5:$G$804,$Q$10,مثال_Example!$C$5:$C$804,$B62)))</f>
        <v>0</v>
      </c>
      <c r="M62" s="40" t="str">
        <f aca="false">IF($B62="","",IF($K62=0,"—",L62/$K62))</f>
        <v>—</v>
      </c>
      <c r="N62" s="40" t="str">
        <f aca="false">IF($B62="","",IF($K62=0,"—",((SUMIFS(Data!$U$5:$U$5004,Data!$B$5:$B$5004,$Q$6,Data!$D$5:$D$5004,$Q$7,Data!$E$5:$E$5004,$Q$8,Data!$F$5:$F$5004,$Q$9,Data!$G$5:$G$5004,$Q$10,Data!$C$5:$C$5004,$B62)+ExOn*SUMIFS(مثال_Example!$U$5:$U$804,مثال_Example!$B$5:$B$804,$Q$6,مثال_Example!$D$5:$D$804,$Q$7,مثال_Example!$E$5:$E$804,$Q$8,مثال_Example!$F$5:$F$804,$Q$9,مثال_Example!$G$5:$G$804,$Q$10,مثال_Example!$C$5:$C$804,$B62))+L62)/$K62))</f>
        <v>—</v>
      </c>
      <c r="O62" s="42" t="str">
        <f aca="false">IF($B62="","",IF($K62=0,"لا توجد بيانات",IF(ROUND((((SUMIFS(Data!$U$5:$U$5004,Data!$B$5:$B$5004,$Q$6,Data!$D$5:$D$5004,$Q$7,Data!$E$5:$E$5004,$Q$8,Data!$F$5:$F$5004,$Q$9,Data!$G$5:$G$5004,$Q$10,Data!$C$5:$C$5004,$B62)+ExOn*SUMIFS(مثال_Example!$U$5:$U$804,مثال_Example!$B$5:$B$804,$Q$6,مثال_Example!$D$5:$D$804,$Q$7,مثال_Example!$E$5:$E$804,$Q$8,مثال_Example!$F$5:$F$804,$Q$9,مثال_Example!$G$5:$G$804,$Q$10,مثال_Example!$C$5:$C$804,$B62)))+L62)/K62,10)&lt;=KeyP_VW,"Very Weak",IF(ROUND((((SUMIFS(Data!$U$5:$U$5004,Data!$B$5:$B$5004,$Q$6,Data!$D$5:$D$5004,$Q$7,Data!$E$5:$E$5004,$Q$8,Data!$F$5:$F$5004,$Q$9,Data!$G$5:$G$5004,$Q$10,Data!$C$5:$C$5004,$B62)+ExOn*SUMIFS(مثال_Example!$U$5:$U$804,مثال_Example!$B$5:$B$804,$Q$6,مثال_Example!$D$5:$D$804,$Q$7,مثال_Example!$E$5:$E$804,$Q$8,مثال_Example!$F$5:$F$804,$Q$9,مثال_Example!$G$5:$G$804,$Q$10,مثال_Example!$C$5:$C$804,$B62)))+L62)/K62,10)&lt;KeyP_Weak,"Weak",IF(ROUND(L62/K62,10)&lt;KeyP_Acc,"Acceptable",IF(ROUND(L62/K62,10)&lt;=KeyP_Good,"Good",IF(ROUND(L62/K62,10)&lt;KeyP_Out,"Very Good","Outstanding")))))))</f>
        <v>لا توجد بيانات</v>
      </c>
      <c r="P62" s="1"/>
    </row>
    <row r="63" customFormat="false" ht="15" hidden="false" customHeight="false" outlineLevel="0" collapsed="false">
      <c r="A63" s="1"/>
      <c r="B63" s="51" t="str">
        <f aca="false">IF(Teachers!C59="","",Teachers!C59)</f>
        <v>Ms Aya Kalash</v>
      </c>
      <c r="C63" s="42" t="str">
        <f aca="false">IF($B63="","",Teachers!D59)</f>
        <v>Ib</v>
      </c>
      <c r="D63" s="42" t="n">
        <f aca="false">IF($B63="","",Teachers!F59)</f>
        <v>10</v>
      </c>
      <c r="E63" s="39" t="n">
        <f aca="false">IF($B63="","",(SUMIFS(Data!$Q$5:$Q$5004,Data!$B$5:$B$5004,$Q$6,Data!$D$5:$D$5004,$Q$7,Data!$E$5:$E$5004,$Q$8,Data!$F$5:$F$5004,$Q$9,Data!$G$5:$G$5004,$Q$10,Data!$C$5:$C$5004,$B63)+ExOn*SUMIFS(مثال_Example!$Q$5:$Q$804,مثال_Example!$B$5:$B$804,$Q$6,مثال_Example!$D$5:$D$804,$Q$7,مثال_Example!$E$5:$E$804,$Q$8,مثال_Example!$F$5:$F$804,$Q$9,مثال_Example!$G$5:$G$804,$Q$10,مثال_Example!$C$5:$C$804,$B63)))</f>
        <v>0</v>
      </c>
      <c r="F63" s="39" t="n">
        <f aca="false">IF($B63="","",(SUMIFS(Data!$R$5:$R$5004,Data!$B$5:$B$5004,$Q$6,Data!$D$5:$D$5004,$Q$7,Data!$E$5:$E$5004,$Q$8,Data!$F$5:$F$5004,$Q$9,Data!$G$5:$G$5004,$Q$10,Data!$C$5:$C$5004,$B63)+ExOn*SUMIFS(مثال_Example!$R$5:$R$804,مثال_Example!$B$5:$B$804,$Q$6,مثال_Example!$D$5:$D$804,$Q$7,مثال_Example!$E$5:$E$804,$Q$8,مثال_Example!$F$5:$F$804,$Q$9,مثال_Example!$G$5:$G$804,$Q$10,مثال_Example!$C$5:$C$804,$B63)))</f>
        <v>0</v>
      </c>
      <c r="G63" s="40" t="str">
        <f aca="false">IF($B63="","",IF($E63=0,"—",F63/$E63))</f>
        <v>—</v>
      </c>
      <c r="H63" s="39" t="n">
        <f aca="false">IF($B63="","",(SUMIFS(Data!$S$5:$S$5004,Data!$B$5:$B$5004,$Q$6,Data!$D$5:$D$5004,$Q$7,Data!$E$5:$E$5004,$Q$8,Data!$F$5:$F$5004,$Q$9,Data!$G$5:$G$5004,$Q$10,Data!$C$5:$C$5004,$B63)+ExOn*SUMIFS(مثال_Example!$S$5:$S$804,مثال_Example!$B$5:$B$804,$Q$6,مثال_Example!$D$5:$D$804,$Q$7,مثال_Example!$E$5:$E$804,$Q$8,مثال_Example!$F$5:$F$804,$Q$9,مثال_Example!$G$5:$G$804,$Q$10,مثال_Example!$C$5:$C$804,$B63)))</f>
        <v>0</v>
      </c>
      <c r="I63" s="40" t="str">
        <f aca="false">IF($B63="","",IF($E63=0,"—",H63/$E63))</f>
        <v>—</v>
      </c>
      <c r="J63" s="42" t="str">
        <f aca="false">IF($B63="","",IF($E63=0,"لا توجد بيانات",IF(ROUND(F63/E63,10)&lt;=KeyA_VW,"Very Weak",IF(ROUND(F63/E63,10)&lt;KeyA_Weak,"Weak",IF(ROUND(H63/E63,10)&lt;KeyA_Acc,"Acceptable",IF(ROUND(H63/E63,10)&lt;=KeyA_Good,"Good",IF(ROUND(H63/E63,10)&lt;KeyA_Out,"Very Good","Outstanding")))))))</f>
        <v>لا توجد بيانات</v>
      </c>
      <c r="K63" s="39" t="n">
        <f aca="false">IF($B63="","",(SUMIFS(Data!$T$5:$T$5004,Data!$B$5:$B$5004,$Q$6,Data!$D$5:$D$5004,$Q$7,Data!$E$5:$E$5004,$Q$8,Data!$F$5:$F$5004,$Q$9,Data!$G$5:$G$5004,$Q$10,Data!$C$5:$C$5004,$B63)+ExOn*SUMIFS(مثال_Example!$T$5:$T$804,مثال_Example!$B$5:$B$804,$Q$6,مثال_Example!$D$5:$D$804,$Q$7,مثال_Example!$E$5:$E$804,$Q$8,مثال_Example!$F$5:$F$804,$Q$9,مثال_Example!$G$5:$G$804,$Q$10,مثال_Example!$C$5:$C$804,$B63))+(SUMIFS(Data!$U$5:$U$5004,Data!$B$5:$B$5004,$Q$6,Data!$D$5:$D$5004,$Q$7,Data!$E$5:$E$5004,$Q$8,Data!$F$5:$F$5004,$Q$9,Data!$G$5:$G$5004,$Q$10,Data!$C$5:$C$5004,$B63)+ExOn*SUMIFS(مثال_Example!$U$5:$U$804,مثال_Example!$B$5:$B$804,$Q$6,مثال_Example!$D$5:$D$804,$Q$7,مثال_Example!$E$5:$E$804,$Q$8,مثال_Example!$F$5:$F$804,$Q$9,مثال_Example!$G$5:$G$804,$Q$10,مثال_Example!$C$5:$C$804,$B63))+(SUMIFS(Data!$V$5:$V$5004,Data!$B$5:$B$5004,$Q$6,Data!$D$5:$D$5004,$Q$7,Data!$E$5:$E$5004,$Q$8,Data!$F$5:$F$5004,$Q$9,Data!$G$5:$G$5004,$Q$10,Data!$C$5:$C$5004,$B63)+ExOn*SUMIFS(مثال_Example!$V$5:$V$804,مثال_Example!$B$5:$B$804,$Q$6,مثال_Example!$D$5:$D$804,$Q$7,مثال_Example!$E$5:$E$804,$Q$8,مثال_Example!$F$5:$F$804,$Q$9,مثال_Example!$G$5:$G$804,$Q$10,مثال_Example!$C$5:$C$804,$B63)))</f>
        <v>0</v>
      </c>
      <c r="L63" s="39" t="n">
        <f aca="false">IF($B63="","",(SUMIFS(Data!$V$5:$V$5004,Data!$B$5:$B$5004,$Q$6,Data!$D$5:$D$5004,$Q$7,Data!$E$5:$E$5004,$Q$8,Data!$F$5:$F$5004,$Q$9,Data!$G$5:$G$5004,$Q$10,Data!$C$5:$C$5004,$B63)+ExOn*SUMIFS(مثال_Example!$V$5:$V$804,مثال_Example!$B$5:$B$804,$Q$6,مثال_Example!$D$5:$D$804,$Q$7,مثال_Example!$E$5:$E$804,$Q$8,مثال_Example!$F$5:$F$804,$Q$9,مثال_Example!$G$5:$G$804,$Q$10,مثال_Example!$C$5:$C$804,$B63)))</f>
        <v>0</v>
      </c>
      <c r="M63" s="40" t="str">
        <f aca="false">IF($B63="","",IF($K63=0,"—",L63/$K63))</f>
        <v>—</v>
      </c>
      <c r="N63" s="40" t="str">
        <f aca="false">IF($B63="","",IF($K63=0,"—",((SUMIFS(Data!$U$5:$U$5004,Data!$B$5:$B$5004,$Q$6,Data!$D$5:$D$5004,$Q$7,Data!$E$5:$E$5004,$Q$8,Data!$F$5:$F$5004,$Q$9,Data!$G$5:$G$5004,$Q$10,Data!$C$5:$C$5004,$B63)+ExOn*SUMIFS(مثال_Example!$U$5:$U$804,مثال_Example!$B$5:$B$804,$Q$6,مثال_Example!$D$5:$D$804,$Q$7,مثال_Example!$E$5:$E$804,$Q$8,مثال_Example!$F$5:$F$804,$Q$9,مثال_Example!$G$5:$G$804,$Q$10,مثال_Example!$C$5:$C$804,$B63))+L63)/$K63))</f>
        <v>—</v>
      </c>
      <c r="O63" s="42" t="str">
        <f aca="false">IF($B63="","",IF($K63=0,"لا توجد بيانات",IF(ROUND((((SUMIFS(Data!$U$5:$U$5004,Data!$B$5:$B$5004,$Q$6,Data!$D$5:$D$5004,$Q$7,Data!$E$5:$E$5004,$Q$8,Data!$F$5:$F$5004,$Q$9,Data!$G$5:$G$5004,$Q$10,Data!$C$5:$C$5004,$B63)+ExOn*SUMIFS(مثال_Example!$U$5:$U$804,مثال_Example!$B$5:$B$804,$Q$6,مثال_Example!$D$5:$D$804,$Q$7,مثال_Example!$E$5:$E$804,$Q$8,مثال_Example!$F$5:$F$804,$Q$9,مثال_Example!$G$5:$G$804,$Q$10,مثال_Example!$C$5:$C$804,$B63)))+L63)/K63,10)&lt;=KeyP_VW,"Very Weak",IF(ROUND((((SUMIFS(Data!$U$5:$U$5004,Data!$B$5:$B$5004,$Q$6,Data!$D$5:$D$5004,$Q$7,Data!$E$5:$E$5004,$Q$8,Data!$F$5:$F$5004,$Q$9,Data!$G$5:$G$5004,$Q$10,Data!$C$5:$C$5004,$B63)+ExOn*SUMIFS(مثال_Example!$U$5:$U$804,مثال_Example!$B$5:$B$804,$Q$6,مثال_Example!$D$5:$D$804,$Q$7,مثال_Example!$E$5:$E$804,$Q$8,مثال_Example!$F$5:$F$804,$Q$9,مثال_Example!$G$5:$G$804,$Q$10,مثال_Example!$C$5:$C$804,$B63)))+L63)/K63,10)&lt;KeyP_Weak,"Weak",IF(ROUND(L63/K63,10)&lt;KeyP_Acc,"Acceptable",IF(ROUND(L63/K63,10)&lt;=KeyP_Good,"Good",IF(ROUND(L63/K63,10)&lt;KeyP_Out,"Very Good","Outstanding")))))))</f>
        <v>لا توجد بيانات</v>
      </c>
      <c r="P63" s="1"/>
    </row>
    <row r="64" customFormat="false" ht="15" hidden="false" customHeight="false" outlineLevel="0" collapsed="false">
      <c r="A64" s="1"/>
      <c r="B64" s="51" t="str">
        <f aca="false">IF(Teachers!C60="","",Teachers!C60)</f>
        <v>Mr Hassan FathyR Mohamed</v>
      </c>
      <c r="C64" s="42" t="str">
        <f aca="false">IF($B64="","",Teachers!D60)</f>
        <v>Ib</v>
      </c>
      <c r="D64" s="42" t="n">
        <f aca="false">IF($B64="","",Teachers!F60)</f>
        <v>10</v>
      </c>
      <c r="E64" s="39" t="n">
        <f aca="false">IF($B64="","",(SUMIFS(Data!$Q$5:$Q$5004,Data!$B$5:$B$5004,$Q$6,Data!$D$5:$D$5004,$Q$7,Data!$E$5:$E$5004,$Q$8,Data!$F$5:$F$5004,$Q$9,Data!$G$5:$G$5004,$Q$10,Data!$C$5:$C$5004,$B64)+ExOn*SUMIFS(مثال_Example!$Q$5:$Q$804,مثال_Example!$B$5:$B$804,$Q$6,مثال_Example!$D$5:$D$804,$Q$7,مثال_Example!$E$5:$E$804,$Q$8,مثال_Example!$F$5:$F$804,$Q$9,مثال_Example!$G$5:$G$804,$Q$10,مثال_Example!$C$5:$C$804,$B64)))</f>
        <v>0</v>
      </c>
      <c r="F64" s="39" t="n">
        <f aca="false">IF($B64="","",(SUMIFS(Data!$R$5:$R$5004,Data!$B$5:$B$5004,$Q$6,Data!$D$5:$D$5004,$Q$7,Data!$E$5:$E$5004,$Q$8,Data!$F$5:$F$5004,$Q$9,Data!$G$5:$G$5004,$Q$10,Data!$C$5:$C$5004,$B64)+ExOn*SUMIFS(مثال_Example!$R$5:$R$804,مثال_Example!$B$5:$B$804,$Q$6,مثال_Example!$D$5:$D$804,$Q$7,مثال_Example!$E$5:$E$804,$Q$8,مثال_Example!$F$5:$F$804,$Q$9,مثال_Example!$G$5:$G$804,$Q$10,مثال_Example!$C$5:$C$804,$B64)))</f>
        <v>0</v>
      </c>
      <c r="G64" s="40" t="str">
        <f aca="false">IF($B64="","",IF($E64=0,"—",F64/$E64))</f>
        <v>—</v>
      </c>
      <c r="H64" s="39" t="n">
        <f aca="false">IF($B64="","",(SUMIFS(Data!$S$5:$S$5004,Data!$B$5:$B$5004,$Q$6,Data!$D$5:$D$5004,$Q$7,Data!$E$5:$E$5004,$Q$8,Data!$F$5:$F$5004,$Q$9,Data!$G$5:$G$5004,$Q$10,Data!$C$5:$C$5004,$B64)+ExOn*SUMIFS(مثال_Example!$S$5:$S$804,مثال_Example!$B$5:$B$804,$Q$6,مثال_Example!$D$5:$D$804,$Q$7,مثال_Example!$E$5:$E$804,$Q$8,مثال_Example!$F$5:$F$804,$Q$9,مثال_Example!$G$5:$G$804,$Q$10,مثال_Example!$C$5:$C$804,$B64)))</f>
        <v>0</v>
      </c>
      <c r="I64" s="40" t="str">
        <f aca="false">IF($B64="","",IF($E64=0,"—",H64/$E64))</f>
        <v>—</v>
      </c>
      <c r="J64" s="42" t="str">
        <f aca="false">IF($B64="","",IF($E64=0,"لا توجد بيانات",IF(ROUND(F64/E64,10)&lt;=KeyA_VW,"Very Weak",IF(ROUND(F64/E64,10)&lt;KeyA_Weak,"Weak",IF(ROUND(H64/E64,10)&lt;KeyA_Acc,"Acceptable",IF(ROUND(H64/E64,10)&lt;=KeyA_Good,"Good",IF(ROUND(H64/E64,10)&lt;KeyA_Out,"Very Good","Outstanding")))))))</f>
        <v>لا توجد بيانات</v>
      </c>
      <c r="K64" s="39" t="n">
        <f aca="false">IF($B64="","",(SUMIFS(Data!$T$5:$T$5004,Data!$B$5:$B$5004,$Q$6,Data!$D$5:$D$5004,$Q$7,Data!$E$5:$E$5004,$Q$8,Data!$F$5:$F$5004,$Q$9,Data!$G$5:$G$5004,$Q$10,Data!$C$5:$C$5004,$B64)+ExOn*SUMIFS(مثال_Example!$T$5:$T$804,مثال_Example!$B$5:$B$804,$Q$6,مثال_Example!$D$5:$D$804,$Q$7,مثال_Example!$E$5:$E$804,$Q$8,مثال_Example!$F$5:$F$804,$Q$9,مثال_Example!$G$5:$G$804,$Q$10,مثال_Example!$C$5:$C$804,$B64))+(SUMIFS(Data!$U$5:$U$5004,Data!$B$5:$B$5004,$Q$6,Data!$D$5:$D$5004,$Q$7,Data!$E$5:$E$5004,$Q$8,Data!$F$5:$F$5004,$Q$9,Data!$G$5:$G$5004,$Q$10,Data!$C$5:$C$5004,$B64)+ExOn*SUMIFS(مثال_Example!$U$5:$U$804,مثال_Example!$B$5:$B$804,$Q$6,مثال_Example!$D$5:$D$804,$Q$7,مثال_Example!$E$5:$E$804,$Q$8,مثال_Example!$F$5:$F$804,$Q$9,مثال_Example!$G$5:$G$804,$Q$10,مثال_Example!$C$5:$C$804,$B64))+(SUMIFS(Data!$V$5:$V$5004,Data!$B$5:$B$5004,$Q$6,Data!$D$5:$D$5004,$Q$7,Data!$E$5:$E$5004,$Q$8,Data!$F$5:$F$5004,$Q$9,Data!$G$5:$G$5004,$Q$10,Data!$C$5:$C$5004,$B64)+ExOn*SUMIFS(مثال_Example!$V$5:$V$804,مثال_Example!$B$5:$B$804,$Q$6,مثال_Example!$D$5:$D$804,$Q$7,مثال_Example!$E$5:$E$804,$Q$8,مثال_Example!$F$5:$F$804,$Q$9,مثال_Example!$G$5:$G$804,$Q$10,مثال_Example!$C$5:$C$804,$B64)))</f>
        <v>0</v>
      </c>
      <c r="L64" s="39" t="n">
        <f aca="false">IF($B64="","",(SUMIFS(Data!$V$5:$V$5004,Data!$B$5:$B$5004,$Q$6,Data!$D$5:$D$5004,$Q$7,Data!$E$5:$E$5004,$Q$8,Data!$F$5:$F$5004,$Q$9,Data!$G$5:$G$5004,$Q$10,Data!$C$5:$C$5004,$B64)+ExOn*SUMIFS(مثال_Example!$V$5:$V$804,مثال_Example!$B$5:$B$804,$Q$6,مثال_Example!$D$5:$D$804,$Q$7,مثال_Example!$E$5:$E$804,$Q$8,مثال_Example!$F$5:$F$804,$Q$9,مثال_Example!$G$5:$G$804,$Q$10,مثال_Example!$C$5:$C$804,$B64)))</f>
        <v>0</v>
      </c>
      <c r="M64" s="40" t="str">
        <f aca="false">IF($B64="","",IF($K64=0,"—",L64/$K64))</f>
        <v>—</v>
      </c>
      <c r="N64" s="40" t="str">
        <f aca="false">IF($B64="","",IF($K64=0,"—",((SUMIFS(Data!$U$5:$U$5004,Data!$B$5:$B$5004,$Q$6,Data!$D$5:$D$5004,$Q$7,Data!$E$5:$E$5004,$Q$8,Data!$F$5:$F$5004,$Q$9,Data!$G$5:$G$5004,$Q$10,Data!$C$5:$C$5004,$B64)+ExOn*SUMIFS(مثال_Example!$U$5:$U$804,مثال_Example!$B$5:$B$804,$Q$6,مثال_Example!$D$5:$D$804,$Q$7,مثال_Example!$E$5:$E$804,$Q$8,مثال_Example!$F$5:$F$804,$Q$9,مثال_Example!$G$5:$G$804,$Q$10,مثال_Example!$C$5:$C$804,$B64))+L64)/$K64))</f>
        <v>—</v>
      </c>
      <c r="O64" s="42" t="str">
        <f aca="false">IF($B64="","",IF($K64=0,"لا توجد بيانات",IF(ROUND((((SUMIFS(Data!$U$5:$U$5004,Data!$B$5:$B$5004,$Q$6,Data!$D$5:$D$5004,$Q$7,Data!$E$5:$E$5004,$Q$8,Data!$F$5:$F$5004,$Q$9,Data!$G$5:$G$5004,$Q$10,Data!$C$5:$C$5004,$B64)+ExOn*SUMIFS(مثال_Example!$U$5:$U$804,مثال_Example!$B$5:$B$804,$Q$6,مثال_Example!$D$5:$D$804,$Q$7,مثال_Example!$E$5:$E$804,$Q$8,مثال_Example!$F$5:$F$804,$Q$9,مثال_Example!$G$5:$G$804,$Q$10,مثال_Example!$C$5:$C$804,$B64)))+L64)/K64,10)&lt;=KeyP_VW,"Very Weak",IF(ROUND((((SUMIFS(Data!$U$5:$U$5004,Data!$B$5:$B$5004,$Q$6,Data!$D$5:$D$5004,$Q$7,Data!$E$5:$E$5004,$Q$8,Data!$F$5:$F$5004,$Q$9,Data!$G$5:$G$5004,$Q$10,Data!$C$5:$C$5004,$B64)+ExOn*SUMIFS(مثال_Example!$U$5:$U$804,مثال_Example!$B$5:$B$804,$Q$6,مثال_Example!$D$5:$D$804,$Q$7,مثال_Example!$E$5:$E$804,$Q$8,مثال_Example!$F$5:$F$804,$Q$9,مثال_Example!$G$5:$G$804,$Q$10,مثال_Example!$C$5:$C$804,$B64)))+L64)/K64,10)&lt;KeyP_Weak,"Weak",IF(ROUND(L64/K64,10)&lt;KeyP_Acc,"Acceptable",IF(ROUND(L64/K64,10)&lt;=KeyP_Good,"Good",IF(ROUND(L64/K64,10)&lt;KeyP_Out,"Very Good","Outstanding")))))))</f>
        <v>لا توجد بيانات</v>
      </c>
      <c r="P64" s="1"/>
    </row>
    <row r="65" customFormat="false" ht="15" hidden="false" customHeight="false" outlineLevel="0" collapsed="false">
      <c r="A65" s="1"/>
      <c r="B65" s="51" t="str">
        <f aca="false">IF(Teachers!C61="","",Teachers!C61)</f>
        <v>Mr Mahmoud Owais Hafiz</v>
      </c>
      <c r="C65" s="42" t="str">
        <f aca="false">IF($B65="","",Teachers!D61)</f>
        <v>Ib</v>
      </c>
      <c r="D65" s="42" t="n">
        <f aca="false">IF($B65="","",Teachers!F61)</f>
        <v>11</v>
      </c>
      <c r="E65" s="39" t="n">
        <f aca="false">IF($B65="","",(SUMIFS(Data!$Q$5:$Q$5004,Data!$B$5:$B$5004,$Q$6,Data!$D$5:$D$5004,$Q$7,Data!$E$5:$E$5004,$Q$8,Data!$F$5:$F$5004,$Q$9,Data!$G$5:$G$5004,$Q$10,Data!$C$5:$C$5004,$B65)+ExOn*SUMIFS(مثال_Example!$Q$5:$Q$804,مثال_Example!$B$5:$B$804,$Q$6,مثال_Example!$D$5:$D$804,$Q$7,مثال_Example!$E$5:$E$804,$Q$8,مثال_Example!$F$5:$F$804,$Q$9,مثال_Example!$G$5:$G$804,$Q$10,مثال_Example!$C$5:$C$804,$B65)))</f>
        <v>0</v>
      </c>
      <c r="F65" s="39" t="n">
        <f aca="false">IF($B65="","",(SUMIFS(Data!$R$5:$R$5004,Data!$B$5:$B$5004,$Q$6,Data!$D$5:$D$5004,$Q$7,Data!$E$5:$E$5004,$Q$8,Data!$F$5:$F$5004,$Q$9,Data!$G$5:$G$5004,$Q$10,Data!$C$5:$C$5004,$B65)+ExOn*SUMIFS(مثال_Example!$R$5:$R$804,مثال_Example!$B$5:$B$804,$Q$6,مثال_Example!$D$5:$D$804,$Q$7,مثال_Example!$E$5:$E$804,$Q$8,مثال_Example!$F$5:$F$804,$Q$9,مثال_Example!$G$5:$G$804,$Q$10,مثال_Example!$C$5:$C$804,$B65)))</f>
        <v>0</v>
      </c>
      <c r="G65" s="40" t="str">
        <f aca="false">IF($B65="","",IF($E65=0,"—",F65/$E65))</f>
        <v>—</v>
      </c>
      <c r="H65" s="39" t="n">
        <f aca="false">IF($B65="","",(SUMIFS(Data!$S$5:$S$5004,Data!$B$5:$B$5004,$Q$6,Data!$D$5:$D$5004,$Q$7,Data!$E$5:$E$5004,$Q$8,Data!$F$5:$F$5004,$Q$9,Data!$G$5:$G$5004,$Q$10,Data!$C$5:$C$5004,$B65)+ExOn*SUMIFS(مثال_Example!$S$5:$S$804,مثال_Example!$B$5:$B$804,$Q$6,مثال_Example!$D$5:$D$804,$Q$7,مثال_Example!$E$5:$E$804,$Q$8,مثال_Example!$F$5:$F$804,$Q$9,مثال_Example!$G$5:$G$804,$Q$10,مثال_Example!$C$5:$C$804,$B65)))</f>
        <v>0</v>
      </c>
      <c r="I65" s="40" t="str">
        <f aca="false">IF($B65="","",IF($E65=0,"—",H65/$E65))</f>
        <v>—</v>
      </c>
      <c r="J65" s="42" t="str">
        <f aca="false">IF($B65="","",IF($E65=0,"لا توجد بيانات",IF(ROUND(F65/E65,10)&lt;=KeyA_VW,"Very Weak",IF(ROUND(F65/E65,10)&lt;KeyA_Weak,"Weak",IF(ROUND(H65/E65,10)&lt;KeyA_Acc,"Acceptable",IF(ROUND(H65/E65,10)&lt;=KeyA_Good,"Good",IF(ROUND(H65/E65,10)&lt;KeyA_Out,"Very Good","Outstanding")))))))</f>
        <v>لا توجد بيانات</v>
      </c>
      <c r="K65" s="39" t="n">
        <f aca="false">IF($B65="","",(SUMIFS(Data!$T$5:$T$5004,Data!$B$5:$B$5004,$Q$6,Data!$D$5:$D$5004,$Q$7,Data!$E$5:$E$5004,$Q$8,Data!$F$5:$F$5004,$Q$9,Data!$G$5:$G$5004,$Q$10,Data!$C$5:$C$5004,$B65)+ExOn*SUMIFS(مثال_Example!$T$5:$T$804,مثال_Example!$B$5:$B$804,$Q$6,مثال_Example!$D$5:$D$804,$Q$7,مثال_Example!$E$5:$E$804,$Q$8,مثال_Example!$F$5:$F$804,$Q$9,مثال_Example!$G$5:$G$804,$Q$10,مثال_Example!$C$5:$C$804,$B65))+(SUMIFS(Data!$U$5:$U$5004,Data!$B$5:$B$5004,$Q$6,Data!$D$5:$D$5004,$Q$7,Data!$E$5:$E$5004,$Q$8,Data!$F$5:$F$5004,$Q$9,Data!$G$5:$G$5004,$Q$10,Data!$C$5:$C$5004,$B65)+ExOn*SUMIFS(مثال_Example!$U$5:$U$804,مثال_Example!$B$5:$B$804,$Q$6,مثال_Example!$D$5:$D$804,$Q$7,مثال_Example!$E$5:$E$804,$Q$8,مثال_Example!$F$5:$F$804,$Q$9,مثال_Example!$G$5:$G$804,$Q$10,مثال_Example!$C$5:$C$804,$B65))+(SUMIFS(Data!$V$5:$V$5004,Data!$B$5:$B$5004,$Q$6,Data!$D$5:$D$5004,$Q$7,Data!$E$5:$E$5004,$Q$8,Data!$F$5:$F$5004,$Q$9,Data!$G$5:$G$5004,$Q$10,Data!$C$5:$C$5004,$B65)+ExOn*SUMIFS(مثال_Example!$V$5:$V$804,مثال_Example!$B$5:$B$804,$Q$6,مثال_Example!$D$5:$D$804,$Q$7,مثال_Example!$E$5:$E$804,$Q$8,مثال_Example!$F$5:$F$804,$Q$9,مثال_Example!$G$5:$G$804,$Q$10,مثال_Example!$C$5:$C$804,$B65)))</f>
        <v>0</v>
      </c>
      <c r="L65" s="39" t="n">
        <f aca="false">IF($B65="","",(SUMIFS(Data!$V$5:$V$5004,Data!$B$5:$B$5004,$Q$6,Data!$D$5:$D$5004,$Q$7,Data!$E$5:$E$5004,$Q$8,Data!$F$5:$F$5004,$Q$9,Data!$G$5:$G$5004,$Q$10,Data!$C$5:$C$5004,$B65)+ExOn*SUMIFS(مثال_Example!$V$5:$V$804,مثال_Example!$B$5:$B$804,$Q$6,مثال_Example!$D$5:$D$804,$Q$7,مثال_Example!$E$5:$E$804,$Q$8,مثال_Example!$F$5:$F$804,$Q$9,مثال_Example!$G$5:$G$804,$Q$10,مثال_Example!$C$5:$C$804,$B65)))</f>
        <v>0</v>
      </c>
      <c r="M65" s="40" t="str">
        <f aca="false">IF($B65="","",IF($K65=0,"—",L65/$K65))</f>
        <v>—</v>
      </c>
      <c r="N65" s="40" t="str">
        <f aca="false">IF($B65="","",IF($K65=0,"—",((SUMIFS(Data!$U$5:$U$5004,Data!$B$5:$B$5004,$Q$6,Data!$D$5:$D$5004,$Q$7,Data!$E$5:$E$5004,$Q$8,Data!$F$5:$F$5004,$Q$9,Data!$G$5:$G$5004,$Q$10,Data!$C$5:$C$5004,$B65)+ExOn*SUMIFS(مثال_Example!$U$5:$U$804,مثال_Example!$B$5:$B$804,$Q$6,مثال_Example!$D$5:$D$804,$Q$7,مثال_Example!$E$5:$E$804,$Q$8,مثال_Example!$F$5:$F$804,$Q$9,مثال_Example!$G$5:$G$804,$Q$10,مثال_Example!$C$5:$C$804,$B65))+L65)/$K65))</f>
        <v>—</v>
      </c>
      <c r="O65" s="42" t="str">
        <f aca="false">IF($B65="","",IF($K65=0,"لا توجد بيانات",IF(ROUND((((SUMIFS(Data!$U$5:$U$5004,Data!$B$5:$B$5004,$Q$6,Data!$D$5:$D$5004,$Q$7,Data!$E$5:$E$5004,$Q$8,Data!$F$5:$F$5004,$Q$9,Data!$G$5:$G$5004,$Q$10,Data!$C$5:$C$5004,$B65)+ExOn*SUMIFS(مثال_Example!$U$5:$U$804,مثال_Example!$B$5:$B$804,$Q$6,مثال_Example!$D$5:$D$804,$Q$7,مثال_Example!$E$5:$E$804,$Q$8,مثال_Example!$F$5:$F$804,$Q$9,مثال_Example!$G$5:$G$804,$Q$10,مثال_Example!$C$5:$C$804,$B65)))+L65)/K65,10)&lt;=KeyP_VW,"Very Weak",IF(ROUND((((SUMIFS(Data!$U$5:$U$5004,Data!$B$5:$B$5004,$Q$6,Data!$D$5:$D$5004,$Q$7,Data!$E$5:$E$5004,$Q$8,Data!$F$5:$F$5004,$Q$9,Data!$G$5:$G$5004,$Q$10,Data!$C$5:$C$5004,$B65)+ExOn*SUMIFS(مثال_Example!$U$5:$U$804,مثال_Example!$B$5:$B$804,$Q$6,مثال_Example!$D$5:$D$804,$Q$7,مثال_Example!$E$5:$E$804,$Q$8,مثال_Example!$F$5:$F$804,$Q$9,مثال_Example!$G$5:$G$804,$Q$10,مثال_Example!$C$5:$C$804,$B65)))+L65)/K65,10)&lt;KeyP_Weak,"Weak",IF(ROUND(L65/K65,10)&lt;KeyP_Acc,"Acceptable",IF(ROUND(L65/K65,10)&lt;=KeyP_Good,"Good",IF(ROUND(L65/K65,10)&lt;KeyP_Out,"Very Good","Outstanding")))))))</f>
        <v>لا توجد بيانات</v>
      </c>
      <c r="P65" s="1"/>
    </row>
    <row r="66" customFormat="false" ht="15" hidden="false" customHeight="false" outlineLevel="0" collapsed="false">
      <c r="A66" s="1"/>
      <c r="B66" s="51" t="str">
        <f aca="false">IF(Teachers!C62="","",Teachers!C62)</f>
        <v>Mr Mahmoud Ahmed Naeem</v>
      </c>
      <c r="C66" s="42" t="str">
        <f aca="false">IF($B66="","",Teachers!D62)</f>
        <v>Ib</v>
      </c>
      <c r="D66" s="42" t="n">
        <f aca="false">IF($B66="","",Teachers!F62)</f>
        <v>8</v>
      </c>
      <c r="E66" s="39" t="n">
        <f aca="false">IF($B66="","",(SUMIFS(Data!$Q$5:$Q$5004,Data!$B$5:$B$5004,$Q$6,Data!$D$5:$D$5004,$Q$7,Data!$E$5:$E$5004,$Q$8,Data!$F$5:$F$5004,$Q$9,Data!$G$5:$G$5004,$Q$10,Data!$C$5:$C$5004,$B66)+ExOn*SUMIFS(مثال_Example!$Q$5:$Q$804,مثال_Example!$B$5:$B$804,$Q$6,مثال_Example!$D$5:$D$804,$Q$7,مثال_Example!$E$5:$E$804,$Q$8,مثال_Example!$F$5:$F$804,$Q$9,مثال_Example!$G$5:$G$804,$Q$10,مثال_Example!$C$5:$C$804,$B66)))</f>
        <v>0</v>
      </c>
      <c r="F66" s="39" t="n">
        <f aca="false">IF($B66="","",(SUMIFS(Data!$R$5:$R$5004,Data!$B$5:$B$5004,$Q$6,Data!$D$5:$D$5004,$Q$7,Data!$E$5:$E$5004,$Q$8,Data!$F$5:$F$5004,$Q$9,Data!$G$5:$G$5004,$Q$10,Data!$C$5:$C$5004,$B66)+ExOn*SUMIFS(مثال_Example!$R$5:$R$804,مثال_Example!$B$5:$B$804,$Q$6,مثال_Example!$D$5:$D$804,$Q$7,مثال_Example!$E$5:$E$804,$Q$8,مثال_Example!$F$5:$F$804,$Q$9,مثال_Example!$G$5:$G$804,$Q$10,مثال_Example!$C$5:$C$804,$B66)))</f>
        <v>0</v>
      </c>
      <c r="G66" s="40" t="str">
        <f aca="false">IF($B66="","",IF($E66=0,"—",F66/$E66))</f>
        <v>—</v>
      </c>
      <c r="H66" s="39" t="n">
        <f aca="false">IF($B66="","",(SUMIFS(Data!$S$5:$S$5004,Data!$B$5:$B$5004,$Q$6,Data!$D$5:$D$5004,$Q$7,Data!$E$5:$E$5004,$Q$8,Data!$F$5:$F$5004,$Q$9,Data!$G$5:$G$5004,$Q$10,Data!$C$5:$C$5004,$B66)+ExOn*SUMIFS(مثال_Example!$S$5:$S$804,مثال_Example!$B$5:$B$804,$Q$6,مثال_Example!$D$5:$D$804,$Q$7,مثال_Example!$E$5:$E$804,$Q$8,مثال_Example!$F$5:$F$804,$Q$9,مثال_Example!$G$5:$G$804,$Q$10,مثال_Example!$C$5:$C$804,$B66)))</f>
        <v>0</v>
      </c>
      <c r="I66" s="40" t="str">
        <f aca="false">IF($B66="","",IF($E66=0,"—",H66/$E66))</f>
        <v>—</v>
      </c>
      <c r="J66" s="42" t="str">
        <f aca="false">IF($B66="","",IF($E66=0,"لا توجد بيانات",IF(ROUND(F66/E66,10)&lt;=KeyA_VW,"Very Weak",IF(ROUND(F66/E66,10)&lt;KeyA_Weak,"Weak",IF(ROUND(H66/E66,10)&lt;KeyA_Acc,"Acceptable",IF(ROUND(H66/E66,10)&lt;=KeyA_Good,"Good",IF(ROUND(H66/E66,10)&lt;KeyA_Out,"Very Good","Outstanding")))))))</f>
        <v>لا توجد بيانات</v>
      </c>
      <c r="K66" s="39" t="n">
        <f aca="false">IF($B66="","",(SUMIFS(Data!$T$5:$T$5004,Data!$B$5:$B$5004,$Q$6,Data!$D$5:$D$5004,$Q$7,Data!$E$5:$E$5004,$Q$8,Data!$F$5:$F$5004,$Q$9,Data!$G$5:$G$5004,$Q$10,Data!$C$5:$C$5004,$B66)+ExOn*SUMIFS(مثال_Example!$T$5:$T$804,مثال_Example!$B$5:$B$804,$Q$6,مثال_Example!$D$5:$D$804,$Q$7,مثال_Example!$E$5:$E$804,$Q$8,مثال_Example!$F$5:$F$804,$Q$9,مثال_Example!$G$5:$G$804,$Q$10,مثال_Example!$C$5:$C$804,$B66))+(SUMIFS(Data!$U$5:$U$5004,Data!$B$5:$B$5004,$Q$6,Data!$D$5:$D$5004,$Q$7,Data!$E$5:$E$5004,$Q$8,Data!$F$5:$F$5004,$Q$9,Data!$G$5:$G$5004,$Q$10,Data!$C$5:$C$5004,$B66)+ExOn*SUMIFS(مثال_Example!$U$5:$U$804,مثال_Example!$B$5:$B$804,$Q$6,مثال_Example!$D$5:$D$804,$Q$7,مثال_Example!$E$5:$E$804,$Q$8,مثال_Example!$F$5:$F$804,$Q$9,مثال_Example!$G$5:$G$804,$Q$10,مثال_Example!$C$5:$C$804,$B66))+(SUMIFS(Data!$V$5:$V$5004,Data!$B$5:$B$5004,$Q$6,Data!$D$5:$D$5004,$Q$7,Data!$E$5:$E$5004,$Q$8,Data!$F$5:$F$5004,$Q$9,Data!$G$5:$G$5004,$Q$10,Data!$C$5:$C$5004,$B66)+ExOn*SUMIFS(مثال_Example!$V$5:$V$804,مثال_Example!$B$5:$B$804,$Q$6,مثال_Example!$D$5:$D$804,$Q$7,مثال_Example!$E$5:$E$804,$Q$8,مثال_Example!$F$5:$F$804,$Q$9,مثال_Example!$G$5:$G$804,$Q$10,مثال_Example!$C$5:$C$804,$B66)))</f>
        <v>0</v>
      </c>
      <c r="L66" s="39" t="n">
        <f aca="false">IF($B66="","",(SUMIFS(Data!$V$5:$V$5004,Data!$B$5:$B$5004,$Q$6,Data!$D$5:$D$5004,$Q$7,Data!$E$5:$E$5004,$Q$8,Data!$F$5:$F$5004,$Q$9,Data!$G$5:$G$5004,$Q$10,Data!$C$5:$C$5004,$B66)+ExOn*SUMIFS(مثال_Example!$V$5:$V$804,مثال_Example!$B$5:$B$804,$Q$6,مثال_Example!$D$5:$D$804,$Q$7,مثال_Example!$E$5:$E$804,$Q$8,مثال_Example!$F$5:$F$804,$Q$9,مثال_Example!$G$5:$G$804,$Q$10,مثال_Example!$C$5:$C$804,$B66)))</f>
        <v>0</v>
      </c>
      <c r="M66" s="40" t="str">
        <f aca="false">IF($B66="","",IF($K66=0,"—",L66/$K66))</f>
        <v>—</v>
      </c>
      <c r="N66" s="40" t="str">
        <f aca="false">IF($B66="","",IF($K66=0,"—",((SUMIFS(Data!$U$5:$U$5004,Data!$B$5:$B$5004,$Q$6,Data!$D$5:$D$5004,$Q$7,Data!$E$5:$E$5004,$Q$8,Data!$F$5:$F$5004,$Q$9,Data!$G$5:$G$5004,$Q$10,Data!$C$5:$C$5004,$B66)+ExOn*SUMIFS(مثال_Example!$U$5:$U$804,مثال_Example!$B$5:$B$804,$Q$6,مثال_Example!$D$5:$D$804,$Q$7,مثال_Example!$E$5:$E$804,$Q$8,مثال_Example!$F$5:$F$804,$Q$9,مثال_Example!$G$5:$G$804,$Q$10,مثال_Example!$C$5:$C$804,$B66))+L66)/$K66))</f>
        <v>—</v>
      </c>
      <c r="O66" s="42" t="str">
        <f aca="false">IF($B66="","",IF($K66=0,"لا توجد بيانات",IF(ROUND((((SUMIFS(Data!$U$5:$U$5004,Data!$B$5:$B$5004,$Q$6,Data!$D$5:$D$5004,$Q$7,Data!$E$5:$E$5004,$Q$8,Data!$F$5:$F$5004,$Q$9,Data!$G$5:$G$5004,$Q$10,Data!$C$5:$C$5004,$B66)+ExOn*SUMIFS(مثال_Example!$U$5:$U$804,مثال_Example!$B$5:$B$804,$Q$6,مثال_Example!$D$5:$D$804,$Q$7,مثال_Example!$E$5:$E$804,$Q$8,مثال_Example!$F$5:$F$804,$Q$9,مثال_Example!$G$5:$G$804,$Q$10,مثال_Example!$C$5:$C$804,$B66)))+L66)/K66,10)&lt;=KeyP_VW,"Very Weak",IF(ROUND((((SUMIFS(Data!$U$5:$U$5004,Data!$B$5:$B$5004,$Q$6,Data!$D$5:$D$5004,$Q$7,Data!$E$5:$E$5004,$Q$8,Data!$F$5:$F$5004,$Q$9,Data!$G$5:$G$5004,$Q$10,Data!$C$5:$C$5004,$B66)+ExOn*SUMIFS(مثال_Example!$U$5:$U$804,مثال_Example!$B$5:$B$804,$Q$6,مثال_Example!$D$5:$D$804,$Q$7,مثال_Example!$E$5:$E$804,$Q$8,مثال_Example!$F$5:$F$804,$Q$9,مثال_Example!$G$5:$G$804,$Q$10,مثال_Example!$C$5:$C$804,$B66)))+L66)/K66,10)&lt;KeyP_Weak,"Weak",IF(ROUND(L66/K66,10)&lt;KeyP_Acc,"Acceptable",IF(ROUND(L66/K66,10)&lt;=KeyP_Good,"Good",IF(ROUND(L66/K66,10)&lt;KeyP_Out,"Very Good","Outstanding")))))))</f>
        <v>لا توجد بيانات</v>
      </c>
      <c r="P66" s="1"/>
    </row>
    <row r="67" customFormat="false" ht="15" hidden="false" customHeight="false" outlineLevel="0" collapsed="false">
      <c r="A67" s="1"/>
      <c r="B67" s="51" t="str">
        <f aca="false">IF(Teachers!C63="","",Teachers!C63)</f>
        <v>Mr Ubaid Ameer Husain</v>
      </c>
      <c r="C67" s="42" t="str">
        <f aca="false">IF($B67="","",Teachers!D63)</f>
        <v>Ib</v>
      </c>
      <c r="D67" s="42" t="n">
        <f aca="false">IF($B67="","",Teachers!F63)</f>
        <v>10</v>
      </c>
      <c r="E67" s="39" t="n">
        <f aca="false">IF($B67="","",(SUMIFS(Data!$Q$5:$Q$5004,Data!$B$5:$B$5004,$Q$6,Data!$D$5:$D$5004,$Q$7,Data!$E$5:$E$5004,$Q$8,Data!$F$5:$F$5004,$Q$9,Data!$G$5:$G$5004,$Q$10,Data!$C$5:$C$5004,$B67)+ExOn*SUMIFS(مثال_Example!$Q$5:$Q$804,مثال_Example!$B$5:$B$804,$Q$6,مثال_Example!$D$5:$D$804,$Q$7,مثال_Example!$E$5:$E$804,$Q$8,مثال_Example!$F$5:$F$804,$Q$9,مثال_Example!$G$5:$G$804,$Q$10,مثال_Example!$C$5:$C$804,$B67)))</f>
        <v>0</v>
      </c>
      <c r="F67" s="39" t="n">
        <f aca="false">IF($B67="","",(SUMIFS(Data!$R$5:$R$5004,Data!$B$5:$B$5004,$Q$6,Data!$D$5:$D$5004,$Q$7,Data!$E$5:$E$5004,$Q$8,Data!$F$5:$F$5004,$Q$9,Data!$G$5:$G$5004,$Q$10,Data!$C$5:$C$5004,$B67)+ExOn*SUMIFS(مثال_Example!$R$5:$R$804,مثال_Example!$B$5:$B$804,$Q$6,مثال_Example!$D$5:$D$804,$Q$7,مثال_Example!$E$5:$E$804,$Q$8,مثال_Example!$F$5:$F$804,$Q$9,مثال_Example!$G$5:$G$804,$Q$10,مثال_Example!$C$5:$C$804,$B67)))</f>
        <v>0</v>
      </c>
      <c r="G67" s="40" t="str">
        <f aca="false">IF($B67="","",IF($E67=0,"—",F67/$E67))</f>
        <v>—</v>
      </c>
      <c r="H67" s="39" t="n">
        <f aca="false">IF($B67="","",(SUMIFS(Data!$S$5:$S$5004,Data!$B$5:$B$5004,$Q$6,Data!$D$5:$D$5004,$Q$7,Data!$E$5:$E$5004,$Q$8,Data!$F$5:$F$5004,$Q$9,Data!$G$5:$G$5004,$Q$10,Data!$C$5:$C$5004,$B67)+ExOn*SUMIFS(مثال_Example!$S$5:$S$804,مثال_Example!$B$5:$B$804,$Q$6,مثال_Example!$D$5:$D$804,$Q$7,مثال_Example!$E$5:$E$804,$Q$8,مثال_Example!$F$5:$F$804,$Q$9,مثال_Example!$G$5:$G$804,$Q$10,مثال_Example!$C$5:$C$804,$B67)))</f>
        <v>0</v>
      </c>
      <c r="I67" s="40" t="str">
        <f aca="false">IF($B67="","",IF($E67=0,"—",H67/$E67))</f>
        <v>—</v>
      </c>
      <c r="J67" s="42" t="str">
        <f aca="false">IF($B67="","",IF($E67=0,"لا توجد بيانات",IF(ROUND(F67/E67,10)&lt;=KeyA_VW,"Very Weak",IF(ROUND(F67/E67,10)&lt;KeyA_Weak,"Weak",IF(ROUND(H67/E67,10)&lt;KeyA_Acc,"Acceptable",IF(ROUND(H67/E67,10)&lt;=KeyA_Good,"Good",IF(ROUND(H67/E67,10)&lt;KeyA_Out,"Very Good","Outstanding")))))))</f>
        <v>لا توجد بيانات</v>
      </c>
      <c r="K67" s="39" t="n">
        <f aca="false">IF($B67="","",(SUMIFS(Data!$T$5:$T$5004,Data!$B$5:$B$5004,$Q$6,Data!$D$5:$D$5004,$Q$7,Data!$E$5:$E$5004,$Q$8,Data!$F$5:$F$5004,$Q$9,Data!$G$5:$G$5004,$Q$10,Data!$C$5:$C$5004,$B67)+ExOn*SUMIFS(مثال_Example!$T$5:$T$804,مثال_Example!$B$5:$B$804,$Q$6,مثال_Example!$D$5:$D$804,$Q$7,مثال_Example!$E$5:$E$804,$Q$8,مثال_Example!$F$5:$F$804,$Q$9,مثال_Example!$G$5:$G$804,$Q$10,مثال_Example!$C$5:$C$804,$B67))+(SUMIFS(Data!$U$5:$U$5004,Data!$B$5:$B$5004,$Q$6,Data!$D$5:$D$5004,$Q$7,Data!$E$5:$E$5004,$Q$8,Data!$F$5:$F$5004,$Q$9,Data!$G$5:$G$5004,$Q$10,Data!$C$5:$C$5004,$B67)+ExOn*SUMIFS(مثال_Example!$U$5:$U$804,مثال_Example!$B$5:$B$804,$Q$6,مثال_Example!$D$5:$D$804,$Q$7,مثال_Example!$E$5:$E$804,$Q$8,مثال_Example!$F$5:$F$804,$Q$9,مثال_Example!$G$5:$G$804,$Q$10,مثال_Example!$C$5:$C$804,$B67))+(SUMIFS(Data!$V$5:$V$5004,Data!$B$5:$B$5004,$Q$6,Data!$D$5:$D$5004,$Q$7,Data!$E$5:$E$5004,$Q$8,Data!$F$5:$F$5004,$Q$9,Data!$G$5:$G$5004,$Q$10,Data!$C$5:$C$5004,$B67)+ExOn*SUMIFS(مثال_Example!$V$5:$V$804,مثال_Example!$B$5:$B$804,$Q$6,مثال_Example!$D$5:$D$804,$Q$7,مثال_Example!$E$5:$E$804,$Q$8,مثال_Example!$F$5:$F$804,$Q$9,مثال_Example!$G$5:$G$804,$Q$10,مثال_Example!$C$5:$C$804,$B67)))</f>
        <v>0</v>
      </c>
      <c r="L67" s="39" t="n">
        <f aca="false">IF($B67="","",(SUMIFS(Data!$V$5:$V$5004,Data!$B$5:$B$5004,$Q$6,Data!$D$5:$D$5004,$Q$7,Data!$E$5:$E$5004,$Q$8,Data!$F$5:$F$5004,$Q$9,Data!$G$5:$G$5004,$Q$10,Data!$C$5:$C$5004,$B67)+ExOn*SUMIFS(مثال_Example!$V$5:$V$804,مثال_Example!$B$5:$B$804,$Q$6,مثال_Example!$D$5:$D$804,$Q$7,مثال_Example!$E$5:$E$804,$Q$8,مثال_Example!$F$5:$F$804,$Q$9,مثال_Example!$G$5:$G$804,$Q$10,مثال_Example!$C$5:$C$804,$B67)))</f>
        <v>0</v>
      </c>
      <c r="M67" s="40" t="str">
        <f aca="false">IF($B67="","",IF($K67=0,"—",L67/$K67))</f>
        <v>—</v>
      </c>
      <c r="N67" s="40" t="str">
        <f aca="false">IF($B67="","",IF($K67=0,"—",((SUMIFS(Data!$U$5:$U$5004,Data!$B$5:$B$5004,$Q$6,Data!$D$5:$D$5004,$Q$7,Data!$E$5:$E$5004,$Q$8,Data!$F$5:$F$5004,$Q$9,Data!$G$5:$G$5004,$Q$10,Data!$C$5:$C$5004,$B67)+ExOn*SUMIFS(مثال_Example!$U$5:$U$804,مثال_Example!$B$5:$B$804,$Q$6,مثال_Example!$D$5:$D$804,$Q$7,مثال_Example!$E$5:$E$804,$Q$8,مثال_Example!$F$5:$F$804,$Q$9,مثال_Example!$G$5:$G$804,$Q$10,مثال_Example!$C$5:$C$804,$B67))+L67)/$K67))</f>
        <v>—</v>
      </c>
      <c r="O67" s="42" t="str">
        <f aca="false">IF($B67="","",IF($K67=0,"لا توجد بيانات",IF(ROUND((((SUMIFS(Data!$U$5:$U$5004,Data!$B$5:$B$5004,$Q$6,Data!$D$5:$D$5004,$Q$7,Data!$E$5:$E$5004,$Q$8,Data!$F$5:$F$5004,$Q$9,Data!$G$5:$G$5004,$Q$10,Data!$C$5:$C$5004,$B67)+ExOn*SUMIFS(مثال_Example!$U$5:$U$804,مثال_Example!$B$5:$B$804,$Q$6,مثال_Example!$D$5:$D$804,$Q$7,مثال_Example!$E$5:$E$804,$Q$8,مثال_Example!$F$5:$F$804,$Q$9,مثال_Example!$G$5:$G$804,$Q$10,مثال_Example!$C$5:$C$804,$B67)))+L67)/K67,10)&lt;=KeyP_VW,"Very Weak",IF(ROUND((((SUMIFS(Data!$U$5:$U$5004,Data!$B$5:$B$5004,$Q$6,Data!$D$5:$D$5004,$Q$7,Data!$E$5:$E$5004,$Q$8,Data!$F$5:$F$5004,$Q$9,Data!$G$5:$G$5004,$Q$10,Data!$C$5:$C$5004,$B67)+ExOn*SUMIFS(مثال_Example!$U$5:$U$804,مثال_Example!$B$5:$B$804,$Q$6,مثال_Example!$D$5:$D$804,$Q$7,مثال_Example!$E$5:$E$804,$Q$8,مثال_Example!$F$5:$F$804,$Q$9,مثال_Example!$G$5:$G$804,$Q$10,مثال_Example!$C$5:$C$804,$B67)))+L67)/K67,10)&lt;KeyP_Weak,"Weak",IF(ROUND(L67/K67,10)&lt;KeyP_Acc,"Acceptable",IF(ROUND(L67/K67,10)&lt;=KeyP_Good,"Good",IF(ROUND(L67/K67,10)&lt;KeyP_Out,"Very Good","Outstanding")))))))</f>
        <v>لا توجد بيانات</v>
      </c>
      <c r="P67" s="1"/>
    </row>
    <row r="68" customFormat="false" ht="15" hidden="false" customHeight="false" outlineLevel="0" collapsed="false">
      <c r="A68" s="1"/>
      <c r="B68" s="51" t="str">
        <f aca="false">IF(Teachers!C64="","",Teachers!C64)</f>
        <v>Unassigned (Islamic B vacancy)</v>
      </c>
      <c r="C68" s="42" t="str">
        <f aca="false">IF($B68="","",Teachers!D64)</f>
        <v>Ib</v>
      </c>
      <c r="D68" s="42" t="n">
        <f aca="false">IF($B68="","",Teachers!F64)</f>
        <v>1</v>
      </c>
      <c r="E68" s="39" t="n">
        <f aca="false">IF($B68="","",(SUMIFS(Data!$Q$5:$Q$5004,Data!$B$5:$B$5004,$Q$6,Data!$D$5:$D$5004,$Q$7,Data!$E$5:$E$5004,$Q$8,Data!$F$5:$F$5004,$Q$9,Data!$G$5:$G$5004,$Q$10,Data!$C$5:$C$5004,$B68)+ExOn*SUMIFS(مثال_Example!$Q$5:$Q$804,مثال_Example!$B$5:$B$804,$Q$6,مثال_Example!$D$5:$D$804,$Q$7,مثال_Example!$E$5:$E$804,$Q$8,مثال_Example!$F$5:$F$804,$Q$9,مثال_Example!$G$5:$G$804,$Q$10,مثال_Example!$C$5:$C$804,$B68)))</f>
        <v>0</v>
      </c>
      <c r="F68" s="39" t="n">
        <f aca="false">IF($B68="","",(SUMIFS(Data!$R$5:$R$5004,Data!$B$5:$B$5004,$Q$6,Data!$D$5:$D$5004,$Q$7,Data!$E$5:$E$5004,$Q$8,Data!$F$5:$F$5004,$Q$9,Data!$G$5:$G$5004,$Q$10,Data!$C$5:$C$5004,$B68)+ExOn*SUMIFS(مثال_Example!$R$5:$R$804,مثال_Example!$B$5:$B$804,$Q$6,مثال_Example!$D$5:$D$804,$Q$7,مثال_Example!$E$5:$E$804,$Q$8,مثال_Example!$F$5:$F$804,$Q$9,مثال_Example!$G$5:$G$804,$Q$10,مثال_Example!$C$5:$C$804,$B68)))</f>
        <v>0</v>
      </c>
      <c r="G68" s="40" t="str">
        <f aca="false">IF($B68="","",IF($E68=0,"—",F68/$E68))</f>
        <v>—</v>
      </c>
      <c r="H68" s="39" t="n">
        <f aca="false">IF($B68="","",(SUMIFS(Data!$S$5:$S$5004,Data!$B$5:$B$5004,$Q$6,Data!$D$5:$D$5004,$Q$7,Data!$E$5:$E$5004,$Q$8,Data!$F$5:$F$5004,$Q$9,Data!$G$5:$G$5004,$Q$10,Data!$C$5:$C$5004,$B68)+ExOn*SUMIFS(مثال_Example!$S$5:$S$804,مثال_Example!$B$5:$B$804,$Q$6,مثال_Example!$D$5:$D$804,$Q$7,مثال_Example!$E$5:$E$804,$Q$8,مثال_Example!$F$5:$F$804,$Q$9,مثال_Example!$G$5:$G$804,$Q$10,مثال_Example!$C$5:$C$804,$B68)))</f>
        <v>0</v>
      </c>
      <c r="I68" s="40" t="str">
        <f aca="false">IF($B68="","",IF($E68=0,"—",H68/$E68))</f>
        <v>—</v>
      </c>
      <c r="J68" s="42" t="str">
        <f aca="false">IF($B68="","",IF($E68=0,"لا توجد بيانات",IF(ROUND(F68/E68,10)&lt;=KeyA_VW,"Very Weak",IF(ROUND(F68/E68,10)&lt;KeyA_Weak,"Weak",IF(ROUND(H68/E68,10)&lt;KeyA_Acc,"Acceptable",IF(ROUND(H68/E68,10)&lt;=KeyA_Good,"Good",IF(ROUND(H68/E68,10)&lt;KeyA_Out,"Very Good","Outstanding")))))))</f>
        <v>لا توجد بيانات</v>
      </c>
      <c r="K68" s="39" t="n">
        <f aca="false">IF($B68="","",(SUMIFS(Data!$T$5:$T$5004,Data!$B$5:$B$5004,$Q$6,Data!$D$5:$D$5004,$Q$7,Data!$E$5:$E$5004,$Q$8,Data!$F$5:$F$5004,$Q$9,Data!$G$5:$G$5004,$Q$10,Data!$C$5:$C$5004,$B68)+ExOn*SUMIFS(مثال_Example!$T$5:$T$804,مثال_Example!$B$5:$B$804,$Q$6,مثال_Example!$D$5:$D$804,$Q$7,مثال_Example!$E$5:$E$804,$Q$8,مثال_Example!$F$5:$F$804,$Q$9,مثال_Example!$G$5:$G$804,$Q$10,مثال_Example!$C$5:$C$804,$B68))+(SUMIFS(Data!$U$5:$U$5004,Data!$B$5:$B$5004,$Q$6,Data!$D$5:$D$5004,$Q$7,Data!$E$5:$E$5004,$Q$8,Data!$F$5:$F$5004,$Q$9,Data!$G$5:$G$5004,$Q$10,Data!$C$5:$C$5004,$B68)+ExOn*SUMIFS(مثال_Example!$U$5:$U$804,مثال_Example!$B$5:$B$804,$Q$6,مثال_Example!$D$5:$D$804,$Q$7,مثال_Example!$E$5:$E$804,$Q$8,مثال_Example!$F$5:$F$804,$Q$9,مثال_Example!$G$5:$G$804,$Q$10,مثال_Example!$C$5:$C$804,$B68))+(SUMIFS(Data!$V$5:$V$5004,Data!$B$5:$B$5004,$Q$6,Data!$D$5:$D$5004,$Q$7,Data!$E$5:$E$5004,$Q$8,Data!$F$5:$F$5004,$Q$9,Data!$G$5:$G$5004,$Q$10,Data!$C$5:$C$5004,$B68)+ExOn*SUMIFS(مثال_Example!$V$5:$V$804,مثال_Example!$B$5:$B$804,$Q$6,مثال_Example!$D$5:$D$804,$Q$7,مثال_Example!$E$5:$E$804,$Q$8,مثال_Example!$F$5:$F$804,$Q$9,مثال_Example!$G$5:$G$804,$Q$10,مثال_Example!$C$5:$C$804,$B68)))</f>
        <v>0</v>
      </c>
      <c r="L68" s="39" t="n">
        <f aca="false">IF($B68="","",(SUMIFS(Data!$V$5:$V$5004,Data!$B$5:$B$5004,$Q$6,Data!$D$5:$D$5004,$Q$7,Data!$E$5:$E$5004,$Q$8,Data!$F$5:$F$5004,$Q$9,Data!$G$5:$G$5004,$Q$10,Data!$C$5:$C$5004,$B68)+ExOn*SUMIFS(مثال_Example!$V$5:$V$804,مثال_Example!$B$5:$B$804,$Q$6,مثال_Example!$D$5:$D$804,$Q$7,مثال_Example!$E$5:$E$804,$Q$8,مثال_Example!$F$5:$F$804,$Q$9,مثال_Example!$G$5:$G$804,$Q$10,مثال_Example!$C$5:$C$804,$B68)))</f>
        <v>0</v>
      </c>
      <c r="M68" s="40" t="str">
        <f aca="false">IF($B68="","",IF($K68=0,"—",L68/$K68))</f>
        <v>—</v>
      </c>
      <c r="N68" s="40" t="str">
        <f aca="false">IF($B68="","",IF($K68=0,"—",((SUMIFS(Data!$U$5:$U$5004,Data!$B$5:$B$5004,$Q$6,Data!$D$5:$D$5004,$Q$7,Data!$E$5:$E$5004,$Q$8,Data!$F$5:$F$5004,$Q$9,Data!$G$5:$G$5004,$Q$10,Data!$C$5:$C$5004,$B68)+ExOn*SUMIFS(مثال_Example!$U$5:$U$804,مثال_Example!$B$5:$B$804,$Q$6,مثال_Example!$D$5:$D$804,$Q$7,مثال_Example!$E$5:$E$804,$Q$8,مثال_Example!$F$5:$F$804,$Q$9,مثال_Example!$G$5:$G$804,$Q$10,مثال_Example!$C$5:$C$804,$B68))+L68)/$K68))</f>
        <v>—</v>
      </c>
      <c r="O68" s="42" t="str">
        <f aca="false">IF($B68="","",IF($K68=0,"لا توجد بيانات",IF(ROUND((((SUMIFS(Data!$U$5:$U$5004,Data!$B$5:$B$5004,$Q$6,Data!$D$5:$D$5004,$Q$7,Data!$E$5:$E$5004,$Q$8,Data!$F$5:$F$5004,$Q$9,Data!$G$5:$G$5004,$Q$10,Data!$C$5:$C$5004,$B68)+ExOn*SUMIFS(مثال_Example!$U$5:$U$804,مثال_Example!$B$5:$B$804,$Q$6,مثال_Example!$D$5:$D$804,$Q$7,مثال_Example!$E$5:$E$804,$Q$8,مثال_Example!$F$5:$F$804,$Q$9,مثال_Example!$G$5:$G$804,$Q$10,مثال_Example!$C$5:$C$804,$B68)))+L68)/K68,10)&lt;=KeyP_VW,"Very Weak",IF(ROUND((((SUMIFS(Data!$U$5:$U$5004,Data!$B$5:$B$5004,$Q$6,Data!$D$5:$D$5004,$Q$7,Data!$E$5:$E$5004,$Q$8,Data!$F$5:$F$5004,$Q$9,Data!$G$5:$G$5004,$Q$10,Data!$C$5:$C$5004,$B68)+ExOn*SUMIFS(مثال_Example!$U$5:$U$804,مثال_Example!$B$5:$B$804,$Q$6,مثال_Example!$D$5:$D$804,$Q$7,مثال_Example!$E$5:$E$804,$Q$8,مثال_Example!$F$5:$F$804,$Q$9,مثال_Example!$G$5:$G$804,$Q$10,مثال_Example!$C$5:$C$804,$B68)))+L68)/K68,10)&lt;KeyP_Weak,"Weak",IF(ROUND(L68/K68,10)&lt;KeyP_Acc,"Acceptable",IF(ROUND(L68/K68,10)&lt;=KeyP_Good,"Good",IF(ROUND(L68/K68,10)&lt;KeyP_Out,"Very Good","Outstanding")))))))</f>
        <v>لا توجد بيانات</v>
      </c>
      <c r="P68" s="1"/>
    </row>
    <row r="69" customFormat="false" ht="15" hidden="false" customHeight="false" outlineLevel="0" collapsed="false">
      <c r="A69" s="1"/>
      <c r="B69" s="51" t="str">
        <f aca="false">IF(Teachers!C65="","",Teachers!C65)</f>
        <v>Mr Abdou Ghazy</v>
      </c>
      <c r="C69" s="42" t="str">
        <f aca="false">IF($B69="","",Teachers!D65)</f>
        <v>Ua</v>
      </c>
      <c r="D69" s="42" t="n">
        <f aca="false">IF($B69="","",Teachers!F65)</f>
        <v>26</v>
      </c>
      <c r="E69" s="39" t="n">
        <f aca="false">IF($B69="","",(SUMIFS(Data!$Q$5:$Q$5004,Data!$B$5:$B$5004,$Q$6,Data!$D$5:$D$5004,$Q$7,Data!$E$5:$E$5004,$Q$8,Data!$F$5:$F$5004,$Q$9,Data!$G$5:$G$5004,$Q$10,Data!$C$5:$C$5004,$B69)+ExOn*SUMIFS(مثال_Example!$Q$5:$Q$804,مثال_Example!$B$5:$B$804,$Q$6,مثال_Example!$D$5:$D$804,$Q$7,مثال_Example!$E$5:$E$804,$Q$8,مثال_Example!$F$5:$F$804,$Q$9,مثال_Example!$G$5:$G$804,$Q$10,مثال_Example!$C$5:$C$804,$B69)))</f>
        <v>0</v>
      </c>
      <c r="F69" s="39" t="n">
        <f aca="false">IF($B69="","",(SUMIFS(Data!$R$5:$R$5004,Data!$B$5:$B$5004,$Q$6,Data!$D$5:$D$5004,$Q$7,Data!$E$5:$E$5004,$Q$8,Data!$F$5:$F$5004,$Q$9,Data!$G$5:$G$5004,$Q$10,Data!$C$5:$C$5004,$B69)+ExOn*SUMIFS(مثال_Example!$R$5:$R$804,مثال_Example!$B$5:$B$804,$Q$6,مثال_Example!$D$5:$D$804,$Q$7,مثال_Example!$E$5:$E$804,$Q$8,مثال_Example!$F$5:$F$804,$Q$9,مثال_Example!$G$5:$G$804,$Q$10,مثال_Example!$C$5:$C$804,$B69)))</f>
        <v>0</v>
      </c>
      <c r="G69" s="40" t="str">
        <f aca="false">IF($B69="","",IF($E69=0,"—",F69/$E69))</f>
        <v>—</v>
      </c>
      <c r="H69" s="39" t="n">
        <f aca="false">IF($B69="","",(SUMIFS(Data!$S$5:$S$5004,Data!$B$5:$B$5004,$Q$6,Data!$D$5:$D$5004,$Q$7,Data!$E$5:$E$5004,$Q$8,Data!$F$5:$F$5004,$Q$9,Data!$G$5:$G$5004,$Q$10,Data!$C$5:$C$5004,$B69)+ExOn*SUMIFS(مثال_Example!$S$5:$S$804,مثال_Example!$B$5:$B$804,$Q$6,مثال_Example!$D$5:$D$804,$Q$7,مثال_Example!$E$5:$E$804,$Q$8,مثال_Example!$F$5:$F$804,$Q$9,مثال_Example!$G$5:$G$804,$Q$10,مثال_Example!$C$5:$C$804,$B69)))</f>
        <v>0</v>
      </c>
      <c r="I69" s="40" t="str">
        <f aca="false">IF($B69="","",IF($E69=0,"—",H69/$E69))</f>
        <v>—</v>
      </c>
      <c r="J69" s="42" t="str">
        <f aca="false">IF($B69="","",IF($E69=0,"لا توجد بيانات",IF(ROUND(F69/E69,10)&lt;=KeyA_VW,"Very Weak",IF(ROUND(F69/E69,10)&lt;KeyA_Weak,"Weak",IF(ROUND(H69/E69,10)&lt;KeyA_Acc,"Acceptable",IF(ROUND(H69/E69,10)&lt;=KeyA_Good,"Good",IF(ROUND(H69/E69,10)&lt;KeyA_Out,"Very Good","Outstanding")))))))</f>
        <v>لا توجد بيانات</v>
      </c>
      <c r="K69" s="39" t="n">
        <f aca="false">IF($B69="","",(SUMIFS(Data!$T$5:$T$5004,Data!$B$5:$B$5004,$Q$6,Data!$D$5:$D$5004,$Q$7,Data!$E$5:$E$5004,$Q$8,Data!$F$5:$F$5004,$Q$9,Data!$G$5:$G$5004,$Q$10,Data!$C$5:$C$5004,$B69)+ExOn*SUMIFS(مثال_Example!$T$5:$T$804,مثال_Example!$B$5:$B$804,$Q$6,مثال_Example!$D$5:$D$804,$Q$7,مثال_Example!$E$5:$E$804,$Q$8,مثال_Example!$F$5:$F$804,$Q$9,مثال_Example!$G$5:$G$804,$Q$10,مثال_Example!$C$5:$C$804,$B69))+(SUMIFS(Data!$U$5:$U$5004,Data!$B$5:$B$5004,$Q$6,Data!$D$5:$D$5004,$Q$7,Data!$E$5:$E$5004,$Q$8,Data!$F$5:$F$5004,$Q$9,Data!$G$5:$G$5004,$Q$10,Data!$C$5:$C$5004,$B69)+ExOn*SUMIFS(مثال_Example!$U$5:$U$804,مثال_Example!$B$5:$B$804,$Q$6,مثال_Example!$D$5:$D$804,$Q$7,مثال_Example!$E$5:$E$804,$Q$8,مثال_Example!$F$5:$F$804,$Q$9,مثال_Example!$G$5:$G$804,$Q$10,مثال_Example!$C$5:$C$804,$B69))+(SUMIFS(Data!$V$5:$V$5004,Data!$B$5:$B$5004,$Q$6,Data!$D$5:$D$5004,$Q$7,Data!$E$5:$E$5004,$Q$8,Data!$F$5:$F$5004,$Q$9,Data!$G$5:$G$5004,$Q$10,Data!$C$5:$C$5004,$B69)+ExOn*SUMIFS(مثال_Example!$V$5:$V$804,مثال_Example!$B$5:$B$804,$Q$6,مثال_Example!$D$5:$D$804,$Q$7,مثال_Example!$E$5:$E$804,$Q$8,مثال_Example!$F$5:$F$804,$Q$9,مثال_Example!$G$5:$G$804,$Q$10,مثال_Example!$C$5:$C$804,$B69)))</f>
        <v>0</v>
      </c>
      <c r="L69" s="39" t="n">
        <f aca="false">IF($B69="","",(SUMIFS(Data!$V$5:$V$5004,Data!$B$5:$B$5004,$Q$6,Data!$D$5:$D$5004,$Q$7,Data!$E$5:$E$5004,$Q$8,Data!$F$5:$F$5004,$Q$9,Data!$G$5:$G$5004,$Q$10,Data!$C$5:$C$5004,$B69)+ExOn*SUMIFS(مثال_Example!$V$5:$V$804,مثال_Example!$B$5:$B$804,$Q$6,مثال_Example!$D$5:$D$804,$Q$7,مثال_Example!$E$5:$E$804,$Q$8,مثال_Example!$F$5:$F$804,$Q$9,مثال_Example!$G$5:$G$804,$Q$10,مثال_Example!$C$5:$C$804,$B69)))</f>
        <v>0</v>
      </c>
      <c r="M69" s="40" t="str">
        <f aca="false">IF($B69="","",IF($K69=0,"—",L69/$K69))</f>
        <v>—</v>
      </c>
      <c r="N69" s="40" t="str">
        <f aca="false">IF($B69="","",IF($K69=0,"—",((SUMIFS(Data!$U$5:$U$5004,Data!$B$5:$B$5004,$Q$6,Data!$D$5:$D$5004,$Q$7,Data!$E$5:$E$5004,$Q$8,Data!$F$5:$F$5004,$Q$9,Data!$G$5:$G$5004,$Q$10,Data!$C$5:$C$5004,$B69)+ExOn*SUMIFS(مثال_Example!$U$5:$U$804,مثال_Example!$B$5:$B$804,$Q$6,مثال_Example!$D$5:$D$804,$Q$7,مثال_Example!$E$5:$E$804,$Q$8,مثال_Example!$F$5:$F$804,$Q$9,مثال_Example!$G$5:$G$804,$Q$10,مثال_Example!$C$5:$C$804,$B69))+L69)/$K69))</f>
        <v>—</v>
      </c>
      <c r="O69" s="42" t="str">
        <f aca="false">IF($B69="","",IF($K69=0,"لا توجد بيانات",IF(ROUND((((SUMIFS(Data!$U$5:$U$5004,Data!$B$5:$B$5004,$Q$6,Data!$D$5:$D$5004,$Q$7,Data!$E$5:$E$5004,$Q$8,Data!$F$5:$F$5004,$Q$9,Data!$G$5:$G$5004,$Q$10,Data!$C$5:$C$5004,$B69)+ExOn*SUMIFS(مثال_Example!$U$5:$U$804,مثال_Example!$B$5:$B$804,$Q$6,مثال_Example!$D$5:$D$804,$Q$7,مثال_Example!$E$5:$E$804,$Q$8,مثال_Example!$F$5:$F$804,$Q$9,مثال_Example!$G$5:$G$804,$Q$10,مثال_Example!$C$5:$C$804,$B69)))+L69)/K69,10)&lt;=KeyP_VW,"Very Weak",IF(ROUND((((SUMIFS(Data!$U$5:$U$5004,Data!$B$5:$B$5004,$Q$6,Data!$D$5:$D$5004,$Q$7,Data!$E$5:$E$5004,$Q$8,Data!$F$5:$F$5004,$Q$9,Data!$G$5:$G$5004,$Q$10,Data!$C$5:$C$5004,$B69)+ExOn*SUMIFS(مثال_Example!$U$5:$U$804,مثال_Example!$B$5:$B$804,$Q$6,مثال_Example!$D$5:$D$804,$Q$7,مثال_Example!$E$5:$E$804,$Q$8,مثال_Example!$F$5:$F$804,$Q$9,مثال_Example!$G$5:$G$804,$Q$10,مثال_Example!$C$5:$C$804,$B69)))+L69)/K69,10)&lt;KeyP_Weak,"Weak",IF(ROUND(L69/K69,10)&lt;KeyP_Acc,"Acceptable",IF(ROUND(L69/K69,10)&lt;=KeyP_Good,"Good",IF(ROUND(L69/K69,10)&lt;KeyP_Out,"Very Good","Outstanding")))))))</f>
        <v>لا توجد بيانات</v>
      </c>
      <c r="P69" s="1"/>
    </row>
    <row r="70" customFormat="false" ht="15" hidden="false" customHeight="false" outlineLevel="0" collapsed="false">
      <c r="A70" s="1"/>
      <c r="B70" s="51" t="str">
        <f aca="false">IF(Teachers!C66="","",Teachers!C66)</f>
        <v>Ms Hanaa Ferky Awadain</v>
      </c>
      <c r="C70" s="42" t="str">
        <f aca="false">IF($B70="","",Teachers!D66)</f>
        <v>Ua</v>
      </c>
      <c r="D70" s="42" t="n">
        <f aca="false">IF($B70="","",Teachers!F66)</f>
        <v>26</v>
      </c>
      <c r="E70" s="39" t="n">
        <f aca="false">IF($B70="","",(SUMIFS(Data!$Q$5:$Q$5004,Data!$B$5:$B$5004,$Q$6,Data!$D$5:$D$5004,$Q$7,Data!$E$5:$E$5004,$Q$8,Data!$F$5:$F$5004,$Q$9,Data!$G$5:$G$5004,$Q$10,Data!$C$5:$C$5004,$B70)+ExOn*SUMIFS(مثال_Example!$Q$5:$Q$804,مثال_Example!$B$5:$B$804,$Q$6,مثال_Example!$D$5:$D$804,$Q$7,مثال_Example!$E$5:$E$804,$Q$8,مثال_Example!$F$5:$F$804,$Q$9,مثال_Example!$G$5:$G$804,$Q$10,مثال_Example!$C$5:$C$804,$B70)))</f>
        <v>0</v>
      </c>
      <c r="F70" s="39" t="n">
        <f aca="false">IF($B70="","",(SUMIFS(Data!$R$5:$R$5004,Data!$B$5:$B$5004,$Q$6,Data!$D$5:$D$5004,$Q$7,Data!$E$5:$E$5004,$Q$8,Data!$F$5:$F$5004,$Q$9,Data!$G$5:$G$5004,$Q$10,Data!$C$5:$C$5004,$B70)+ExOn*SUMIFS(مثال_Example!$R$5:$R$804,مثال_Example!$B$5:$B$804,$Q$6,مثال_Example!$D$5:$D$804,$Q$7,مثال_Example!$E$5:$E$804,$Q$8,مثال_Example!$F$5:$F$804,$Q$9,مثال_Example!$G$5:$G$804,$Q$10,مثال_Example!$C$5:$C$804,$B70)))</f>
        <v>0</v>
      </c>
      <c r="G70" s="40" t="str">
        <f aca="false">IF($B70="","",IF($E70=0,"—",F70/$E70))</f>
        <v>—</v>
      </c>
      <c r="H70" s="39" t="n">
        <f aca="false">IF($B70="","",(SUMIFS(Data!$S$5:$S$5004,Data!$B$5:$B$5004,$Q$6,Data!$D$5:$D$5004,$Q$7,Data!$E$5:$E$5004,$Q$8,Data!$F$5:$F$5004,$Q$9,Data!$G$5:$G$5004,$Q$10,Data!$C$5:$C$5004,$B70)+ExOn*SUMIFS(مثال_Example!$S$5:$S$804,مثال_Example!$B$5:$B$804,$Q$6,مثال_Example!$D$5:$D$804,$Q$7,مثال_Example!$E$5:$E$804,$Q$8,مثال_Example!$F$5:$F$804,$Q$9,مثال_Example!$G$5:$G$804,$Q$10,مثال_Example!$C$5:$C$804,$B70)))</f>
        <v>0</v>
      </c>
      <c r="I70" s="40" t="str">
        <f aca="false">IF($B70="","",IF($E70=0,"—",H70/$E70))</f>
        <v>—</v>
      </c>
      <c r="J70" s="42" t="str">
        <f aca="false">IF($B70="","",IF($E70=0,"لا توجد بيانات",IF(ROUND(F70/E70,10)&lt;=KeyA_VW,"Very Weak",IF(ROUND(F70/E70,10)&lt;KeyA_Weak,"Weak",IF(ROUND(H70/E70,10)&lt;KeyA_Acc,"Acceptable",IF(ROUND(H70/E70,10)&lt;=KeyA_Good,"Good",IF(ROUND(H70/E70,10)&lt;KeyA_Out,"Very Good","Outstanding")))))))</f>
        <v>لا توجد بيانات</v>
      </c>
      <c r="K70" s="39" t="n">
        <f aca="false">IF($B70="","",(SUMIFS(Data!$T$5:$T$5004,Data!$B$5:$B$5004,$Q$6,Data!$D$5:$D$5004,$Q$7,Data!$E$5:$E$5004,$Q$8,Data!$F$5:$F$5004,$Q$9,Data!$G$5:$G$5004,$Q$10,Data!$C$5:$C$5004,$B70)+ExOn*SUMIFS(مثال_Example!$T$5:$T$804,مثال_Example!$B$5:$B$804,$Q$6,مثال_Example!$D$5:$D$804,$Q$7,مثال_Example!$E$5:$E$804,$Q$8,مثال_Example!$F$5:$F$804,$Q$9,مثال_Example!$G$5:$G$804,$Q$10,مثال_Example!$C$5:$C$804,$B70))+(SUMIFS(Data!$U$5:$U$5004,Data!$B$5:$B$5004,$Q$6,Data!$D$5:$D$5004,$Q$7,Data!$E$5:$E$5004,$Q$8,Data!$F$5:$F$5004,$Q$9,Data!$G$5:$G$5004,$Q$10,Data!$C$5:$C$5004,$B70)+ExOn*SUMIFS(مثال_Example!$U$5:$U$804,مثال_Example!$B$5:$B$804,$Q$6,مثال_Example!$D$5:$D$804,$Q$7,مثال_Example!$E$5:$E$804,$Q$8,مثال_Example!$F$5:$F$804,$Q$9,مثال_Example!$G$5:$G$804,$Q$10,مثال_Example!$C$5:$C$804,$B70))+(SUMIFS(Data!$V$5:$V$5004,Data!$B$5:$B$5004,$Q$6,Data!$D$5:$D$5004,$Q$7,Data!$E$5:$E$5004,$Q$8,Data!$F$5:$F$5004,$Q$9,Data!$G$5:$G$5004,$Q$10,Data!$C$5:$C$5004,$B70)+ExOn*SUMIFS(مثال_Example!$V$5:$V$804,مثال_Example!$B$5:$B$804,$Q$6,مثال_Example!$D$5:$D$804,$Q$7,مثال_Example!$E$5:$E$804,$Q$8,مثال_Example!$F$5:$F$804,$Q$9,مثال_Example!$G$5:$G$804,$Q$10,مثال_Example!$C$5:$C$804,$B70)))</f>
        <v>0</v>
      </c>
      <c r="L70" s="39" t="n">
        <f aca="false">IF($B70="","",(SUMIFS(Data!$V$5:$V$5004,Data!$B$5:$B$5004,$Q$6,Data!$D$5:$D$5004,$Q$7,Data!$E$5:$E$5004,$Q$8,Data!$F$5:$F$5004,$Q$9,Data!$G$5:$G$5004,$Q$10,Data!$C$5:$C$5004,$B70)+ExOn*SUMIFS(مثال_Example!$V$5:$V$804,مثال_Example!$B$5:$B$804,$Q$6,مثال_Example!$D$5:$D$804,$Q$7,مثال_Example!$E$5:$E$804,$Q$8,مثال_Example!$F$5:$F$804,$Q$9,مثال_Example!$G$5:$G$804,$Q$10,مثال_Example!$C$5:$C$804,$B70)))</f>
        <v>0</v>
      </c>
      <c r="M70" s="40" t="str">
        <f aca="false">IF($B70="","",IF($K70=0,"—",L70/$K70))</f>
        <v>—</v>
      </c>
      <c r="N70" s="40" t="str">
        <f aca="false">IF($B70="","",IF($K70=0,"—",((SUMIFS(Data!$U$5:$U$5004,Data!$B$5:$B$5004,$Q$6,Data!$D$5:$D$5004,$Q$7,Data!$E$5:$E$5004,$Q$8,Data!$F$5:$F$5004,$Q$9,Data!$G$5:$G$5004,$Q$10,Data!$C$5:$C$5004,$B70)+ExOn*SUMIFS(مثال_Example!$U$5:$U$804,مثال_Example!$B$5:$B$804,$Q$6,مثال_Example!$D$5:$D$804,$Q$7,مثال_Example!$E$5:$E$804,$Q$8,مثال_Example!$F$5:$F$804,$Q$9,مثال_Example!$G$5:$G$804,$Q$10,مثال_Example!$C$5:$C$804,$B70))+L70)/$K70))</f>
        <v>—</v>
      </c>
      <c r="O70" s="42" t="str">
        <f aca="false">IF($B70="","",IF($K70=0,"لا توجد بيانات",IF(ROUND((((SUMIFS(Data!$U$5:$U$5004,Data!$B$5:$B$5004,$Q$6,Data!$D$5:$D$5004,$Q$7,Data!$E$5:$E$5004,$Q$8,Data!$F$5:$F$5004,$Q$9,Data!$G$5:$G$5004,$Q$10,Data!$C$5:$C$5004,$B70)+ExOn*SUMIFS(مثال_Example!$U$5:$U$804,مثال_Example!$B$5:$B$804,$Q$6,مثال_Example!$D$5:$D$804,$Q$7,مثال_Example!$E$5:$E$804,$Q$8,مثال_Example!$F$5:$F$804,$Q$9,مثال_Example!$G$5:$G$804,$Q$10,مثال_Example!$C$5:$C$804,$B70)))+L70)/K70,10)&lt;=KeyP_VW,"Very Weak",IF(ROUND((((SUMIFS(Data!$U$5:$U$5004,Data!$B$5:$B$5004,$Q$6,Data!$D$5:$D$5004,$Q$7,Data!$E$5:$E$5004,$Q$8,Data!$F$5:$F$5004,$Q$9,Data!$G$5:$G$5004,$Q$10,Data!$C$5:$C$5004,$B70)+ExOn*SUMIFS(مثال_Example!$U$5:$U$804,مثال_Example!$B$5:$B$804,$Q$6,مثال_Example!$D$5:$D$804,$Q$7,مثال_Example!$E$5:$E$804,$Q$8,مثال_Example!$F$5:$F$804,$Q$9,مثال_Example!$G$5:$G$804,$Q$10,مثال_Example!$C$5:$C$804,$B70)))+L70)/K70,10)&lt;KeyP_Weak,"Weak",IF(ROUND(L70/K70,10)&lt;KeyP_Acc,"Acceptable",IF(ROUND(L70/K70,10)&lt;=KeyP_Good,"Good",IF(ROUND(L70/K70,10)&lt;KeyP_Out,"Very Good","Outstanding")))))))</f>
        <v>لا توجد بيانات</v>
      </c>
      <c r="P70" s="1"/>
    </row>
    <row r="71" customFormat="false" ht="15" hidden="false" customHeight="false" outlineLevel="0" collapsed="false">
      <c r="A71" s="1"/>
      <c r="B71" s="51" t="str">
        <f aca="false">IF(Teachers!C67="","",Teachers!C67)</f>
        <v/>
      </c>
      <c r="C71" s="42" t="str">
        <f aca="false">IF($B71="","",Teachers!D67)</f>
        <v/>
      </c>
      <c r="D71" s="42" t="str">
        <f aca="false">IF($B71="","",Teachers!F67)</f>
        <v/>
      </c>
      <c r="E71" s="39" t="str">
        <f aca="false">IF($B71="","",(SUMIFS(Data!$Q$5:$Q$5004,Data!$B$5:$B$5004,$Q$6,Data!$D$5:$D$5004,$Q$7,Data!$E$5:$E$5004,$Q$8,Data!$F$5:$F$5004,$Q$9,Data!$G$5:$G$5004,$Q$10,Data!$C$5:$C$5004,$B71)+ExOn*SUMIFS(مثال_Example!$Q$5:$Q$804,مثال_Example!$B$5:$B$804,$Q$6,مثال_Example!$D$5:$D$804,$Q$7,مثال_Example!$E$5:$E$804,$Q$8,مثال_Example!$F$5:$F$804,$Q$9,مثال_Example!$G$5:$G$804,$Q$10,مثال_Example!$C$5:$C$804,$B71)))</f>
        <v/>
      </c>
      <c r="F71" s="39" t="str">
        <f aca="false">IF($B71="","",(SUMIFS(Data!$R$5:$R$5004,Data!$B$5:$B$5004,$Q$6,Data!$D$5:$D$5004,$Q$7,Data!$E$5:$E$5004,$Q$8,Data!$F$5:$F$5004,$Q$9,Data!$G$5:$G$5004,$Q$10,Data!$C$5:$C$5004,$B71)+ExOn*SUMIFS(مثال_Example!$R$5:$R$804,مثال_Example!$B$5:$B$804,$Q$6,مثال_Example!$D$5:$D$804,$Q$7,مثال_Example!$E$5:$E$804,$Q$8,مثال_Example!$F$5:$F$804,$Q$9,مثال_Example!$G$5:$G$804,$Q$10,مثال_Example!$C$5:$C$804,$B71)))</f>
        <v/>
      </c>
      <c r="G71" s="40" t="str">
        <f aca="false">IF($B71="","",IF($E71=0,"—",F71/$E71))</f>
        <v/>
      </c>
      <c r="H71" s="39" t="str">
        <f aca="false">IF($B71="","",(SUMIFS(Data!$S$5:$S$5004,Data!$B$5:$B$5004,$Q$6,Data!$D$5:$D$5004,$Q$7,Data!$E$5:$E$5004,$Q$8,Data!$F$5:$F$5004,$Q$9,Data!$G$5:$G$5004,$Q$10,Data!$C$5:$C$5004,$B71)+ExOn*SUMIFS(مثال_Example!$S$5:$S$804,مثال_Example!$B$5:$B$804,$Q$6,مثال_Example!$D$5:$D$804,$Q$7,مثال_Example!$E$5:$E$804,$Q$8,مثال_Example!$F$5:$F$804,$Q$9,مثال_Example!$G$5:$G$804,$Q$10,مثال_Example!$C$5:$C$804,$B71)))</f>
        <v/>
      </c>
      <c r="I71" s="40" t="str">
        <f aca="false">IF($B71="","",IF($E71=0,"—",H71/$E71))</f>
        <v/>
      </c>
      <c r="J71" s="42" t="str">
        <f aca="false">IF($B71="","",IF($E71=0,"لا توجد بيانات",IF(ROUND(F71/E71,10)&lt;=KeyA_VW,"Very Weak",IF(ROUND(F71/E71,10)&lt;KeyA_Weak,"Weak",IF(ROUND(H71/E71,10)&lt;KeyA_Acc,"Acceptable",IF(ROUND(H71/E71,10)&lt;=KeyA_Good,"Good",IF(ROUND(H71/E71,10)&lt;KeyA_Out,"Very Good","Outstanding")))))))</f>
        <v/>
      </c>
      <c r="K71" s="39" t="str">
        <f aca="false">IF($B71="","",(SUMIFS(Data!$T$5:$T$5004,Data!$B$5:$B$5004,$Q$6,Data!$D$5:$D$5004,$Q$7,Data!$E$5:$E$5004,$Q$8,Data!$F$5:$F$5004,$Q$9,Data!$G$5:$G$5004,$Q$10,Data!$C$5:$C$5004,$B71)+ExOn*SUMIFS(مثال_Example!$T$5:$T$804,مثال_Example!$B$5:$B$804,$Q$6,مثال_Example!$D$5:$D$804,$Q$7,مثال_Example!$E$5:$E$804,$Q$8,مثال_Example!$F$5:$F$804,$Q$9,مثال_Example!$G$5:$G$804,$Q$10,مثال_Example!$C$5:$C$804,$B71))+(SUMIFS(Data!$U$5:$U$5004,Data!$B$5:$B$5004,$Q$6,Data!$D$5:$D$5004,$Q$7,Data!$E$5:$E$5004,$Q$8,Data!$F$5:$F$5004,$Q$9,Data!$G$5:$G$5004,$Q$10,Data!$C$5:$C$5004,$B71)+ExOn*SUMIFS(مثال_Example!$U$5:$U$804,مثال_Example!$B$5:$B$804,$Q$6,مثال_Example!$D$5:$D$804,$Q$7,مثال_Example!$E$5:$E$804,$Q$8,مثال_Example!$F$5:$F$804,$Q$9,مثال_Example!$G$5:$G$804,$Q$10,مثال_Example!$C$5:$C$804,$B71))+(SUMIFS(Data!$V$5:$V$5004,Data!$B$5:$B$5004,$Q$6,Data!$D$5:$D$5004,$Q$7,Data!$E$5:$E$5004,$Q$8,Data!$F$5:$F$5004,$Q$9,Data!$G$5:$G$5004,$Q$10,Data!$C$5:$C$5004,$B71)+ExOn*SUMIFS(مثال_Example!$V$5:$V$804,مثال_Example!$B$5:$B$804,$Q$6,مثال_Example!$D$5:$D$804,$Q$7,مثال_Example!$E$5:$E$804,$Q$8,مثال_Example!$F$5:$F$804,$Q$9,مثال_Example!$G$5:$G$804,$Q$10,مثال_Example!$C$5:$C$804,$B71)))</f>
        <v/>
      </c>
      <c r="L71" s="39" t="str">
        <f aca="false">IF($B71="","",(SUMIFS(Data!$V$5:$V$5004,Data!$B$5:$B$5004,$Q$6,Data!$D$5:$D$5004,$Q$7,Data!$E$5:$E$5004,$Q$8,Data!$F$5:$F$5004,$Q$9,Data!$G$5:$G$5004,$Q$10,Data!$C$5:$C$5004,$B71)+ExOn*SUMIFS(مثال_Example!$V$5:$V$804,مثال_Example!$B$5:$B$804,$Q$6,مثال_Example!$D$5:$D$804,$Q$7,مثال_Example!$E$5:$E$804,$Q$8,مثال_Example!$F$5:$F$804,$Q$9,مثال_Example!$G$5:$G$804,$Q$10,مثال_Example!$C$5:$C$804,$B71)))</f>
        <v/>
      </c>
      <c r="M71" s="40" t="str">
        <f aca="false">IF($B71="","",IF($K71=0,"—",L71/$K71))</f>
        <v/>
      </c>
      <c r="N71" s="40" t="str">
        <f aca="false">IF($B71="","",IF($K71=0,"—",((SUMIFS(Data!$U$5:$U$5004,Data!$B$5:$B$5004,$Q$6,Data!$D$5:$D$5004,$Q$7,Data!$E$5:$E$5004,$Q$8,Data!$F$5:$F$5004,$Q$9,Data!$G$5:$G$5004,$Q$10,Data!$C$5:$C$5004,$B71)+ExOn*SUMIFS(مثال_Example!$U$5:$U$804,مثال_Example!$B$5:$B$804,$Q$6,مثال_Example!$D$5:$D$804,$Q$7,مثال_Example!$E$5:$E$804,$Q$8,مثال_Example!$F$5:$F$804,$Q$9,مثال_Example!$G$5:$G$804,$Q$10,مثال_Example!$C$5:$C$804,$B71))+L71)/$K71))</f>
        <v/>
      </c>
      <c r="O71" s="42" t="str">
        <f aca="false">IF($B71="","",IF($K71=0,"لا توجد بيانات",IF(ROUND((((SUMIFS(Data!$U$5:$U$5004,Data!$B$5:$B$5004,$Q$6,Data!$D$5:$D$5004,$Q$7,Data!$E$5:$E$5004,$Q$8,Data!$F$5:$F$5004,$Q$9,Data!$G$5:$G$5004,$Q$10,Data!$C$5:$C$5004,$B71)+ExOn*SUMIFS(مثال_Example!$U$5:$U$804,مثال_Example!$B$5:$B$804,$Q$6,مثال_Example!$D$5:$D$804,$Q$7,مثال_Example!$E$5:$E$804,$Q$8,مثال_Example!$F$5:$F$804,$Q$9,مثال_Example!$G$5:$G$804,$Q$10,مثال_Example!$C$5:$C$804,$B71)))+L71)/K71,10)&lt;=KeyP_VW,"Very Weak",IF(ROUND((((SUMIFS(Data!$U$5:$U$5004,Data!$B$5:$B$5004,$Q$6,Data!$D$5:$D$5004,$Q$7,Data!$E$5:$E$5004,$Q$8,Data!$F$5:$F$5004,$Q$9,Data!$G$5:$G$5004,$Q$10,Data!$C$5:$C$5004,$B71)+ExOn*SUMIFS(مثال_Example!$U$5:$U$804,مثال_Example!$B$5:$B$804,$Q$6,مثال_Example!$D$5:$D$804,$Q$7,مثال_Example!$E$5:$E$804,$Q$8,مثال_Example!$F$5:$F$804,$Q$9,مثال_Example!$G$5:$G$804,$Q$10,مثال_Example!$C$5:$C$804,$B71)))+L71)/K71,10)&lt;KeyP_Weak,"Weak",IF(ROUND(L71/K71,10)&lt;KeyP_Acc,"Acceptable",IF(ROUND(L71/K71,10)&lt;=KeyP_Good,"Good",IF(ROUND(L71/K71,10)&lt;KeyP_Out,"Very Good","Outstanding")))))))</f>
        <v/>
      </c>
      <c r="P71" s="1"/>
    </row>
    <row r="72" customFormat="false" ht="15" hidden="false" customHeight="false" outlineLevel="0" collapsed="false">
      <c r="A72" s="1"/>
      <c r="B72" s="51" t="str">
        <f aca="false">IF(Teachers!C68="","",Teachers!C68)</f>
        <v/>
      </c>
      <c r="C72" s="42" t="str">
        <f aca="false">IF($B72="","",Teachers!D68)</f>
        <v/>
      </c>
      <c r="D72" s="42" t="str">
        <f aca="false">IF($B72="","",Teachers!F68)</f>
        <v/>
      </c>
      <c r="E72" s="39" t="str">
        <f aca="false">IF($B72="","",(SUMIFS(Data!$Q$5:$Q$5004,Data!$B$5:$B$5004,$Q$6,Data!$D$5:$D$5004,$Q$7,Data!$E$5:$E$5004,$Q$8,Data!$F$5:$F$5004,$Q$9,Data!$G$5:$G$5004,$Q$10,Data!$C$5:$C$5004,$B72)+ExOn*SUMIFS(مثال_Example!$Q$5:$Q$804,مثال_Example!$B$5:$B$804,$Q$6,مثال_Example!$D$5:$D$804,$Q$7,مثال_Example!$E$5:$E$804,$Q$8,مثال_Example!$F$5:$F$804,$Q$9,مثال_Example!$G$5:$G$804,$Q$10,مثال_Example!$C$5:$C$804,$B72)))</f>
        <v/>
      </c>
      <c r="F72" s="39" t="str">
        <f aca="false">IF($B72="","",(SUMIFS(Data!$R$5:$R$5004,Data!$B$5:$B$5004,$Q$6,Data!$D$5:$D$5004,$Q$7,Data!$E$5:$E$5004,$Q$8,Data!$F$5:$F$5004,$Q$9,Data!$G$5:$G$5004,$Q$10,Data!$C$5:$C$5004,$B72)+ExOn*SUMIFS(مثال_Example!$R$5:$R$804,مثال_Example!$B$5:$B$804,$Q$6,مثال_Example!$D$5:$D$804,$Q$7,مثال_Example!$E$5:$E$804,$Q$8,مثال_Example!$F$5:$F$804,$Q$9,مثال_Example!$G$5:$G$804,$Q$10,مثال_Example!$C$5:$C$804,$B72)))</f>
        <v/>
      </c>
      <c r="G72" s="40" t="str">
        <f aca="false">IF($B72="","",IF($E72=0,"—",F72/$E72))</f>
        <v/>
      </c>
      <c r="H72" s="39" t="str">
        <f aca="false">IF($B72="","",(SUMIFS(Data!$S$5:$S$5004,Data!$B$5:$B$5004,$Q$6,Data!$D$5:$D$5004,$Q$7,Data!$E$5:$E$5004,$Q$8,Data!$F$5:$F$5004,$Q$9,Data!$G$5:$G$5004,$Q$10,Data!$C$5:$C$5004,$B72)+ExOn*SUMIFS(مثال_Example!$S$5:$S$804,مثال_Example!$B$5:$B$804,$Q$6,مثال_Example!$D$5:$D$804,$Q$7,مثال_Example!$E$5:$E$804,$Q$8,مثال_Example!$F$5:$F$804,$Q$9,مثال_Example!$G$5:$G$804,$Q$10,مثال_Example!$C$5:$C$804,$B72)))</f>
        <v/>
      </c>
      <c r="I72" s="40" t="str">
        <f aca="false">IF($B72="","",IF($E72=0,"—",H72/$E72))</f>
        <v/>
      </c>
      <c r="J72" s="42" t="str">
        <f aca="false">IF($B72="","",IF($E72=0,"لا توجد بيانات",IF(ROUND(F72/E72,10)&lt;=KeyA_VW,"Very Weak",IF(ROUND(F72/E72,10)&lt;KeyA_Weak,"Weak",IF(ROUND(H72/E72,10)&lt;KeyA_Acc,"Acceptable",IF(ROUND(H72/E72,10)&lt;=KeyA_Good,"Good",IF(ROUND(H72/E72,10)&lt;KeyA_Out,"Very Good","Outstanding")))))))</f>
        <v/>
      </c>
      <c r="K72" s="39" t="str">
        <f aca="false">IF($B72="","",(SUMIFS(Data!$T$5:$T$5004,Data!$B$5:$B$5004,$Q$6,Data!$D$5:$D$5004,$Q$7,Data!$E$5:$E$5004,$Q$8,Data!$F$5:$F$5004,$Q$9,Data!$G$5:$G$5004,$Q$10,Data!$C$5:$C$5004,$B72)+ExOn*SUMIFS(مثال_Example!$T$5:$T$804,مثال_Example!$B$5:$B$804,$Q$6,مثال_Example!$D$5:$D$804,$Q$7,مثال_Example!$E$5:$E$804,$Q$8,مثال_Example!$F$5:$F$804,$Q$9,مثال_Example!$G$5:$G$804,$Q$10,مثال_Example!$C$5:$C$804,$B72))+(SUMIFS(Data!$U$5:$U$5004,Data!$B$5:$B$5004,$Q$6,Data!$D$5:$D$5004,$Q$7,Data!$E$5:$E$5004,$Q$8,Data!$F$5:$F$5004,$Q$9,Data!$G$5:$G$5004,$Q$10,Data!$C$5:$C$5004,$B72)+ExOn*SUMIFS(مثال_Example!$U$5:$U$804,مثال_Example!$B$5:$B$804,$Q$6,مثال_Example!$D$5:$D$804,$Q$7,مثال_Example!$E$5:$E$804,$Q$8,مثال_Example!$F$5:$F$804,$Q$9,مثال_Example!$G$5:$G$804,$Q$10,مثال_Example!$C$5:$C$804,$B72))+(SUMIFS(Data!$V$5:$V$5004,Data!$B$5:$B$5004,$Q$6,Data!$D$5:$D$5004,$Q$7,Data!$E$5:$E$5004,$Q$8,Data!$F$5:$F$5004,$Q$9,Data!$G$5:$G$5004,$Q$10,Data!$C$5:$C$5004,$B72)+ExOn*SUMIFS(مثال_Example!$V$5:$V$804,مثال_Example!$B$5:$B$804,$Q$6,مثال_Example!$D$5:$D$804,$Q$7,مثال_Example!$E$5:$E$804,$Q$8,مثال_Example!$F$5:$F$804,$Q$9,مثال_Example!$G$5:$G$804,$Q$10,مثال_Example!$C$5:$C$804,$B72)))</f>
        <v/>
      </c>
      <c r="L72" s="39" t="str">
        <f aca="false">IF($B72="","",(SUMIFS(Data!$V$5:$V$5004,Data!$B$5:$B$5004,$Q$6,Data!$D$5:$D$5004,$Q$7,Data!$E$5:$E$5004,$Q$8,Data!$F$5:$F$5004,$Q$9,Data!$G$5:$G$5004,$Q$10,Data!$C$5:$C$5004,$B72)+ExOn*SUMIFS(مثال_Example!$V$5:$V$804,مثال_Example!$B$5:$B$804,$Q$6,مثال_Example!$D$5:$D$804,$Q$7,مثال_Example!$E$5:$E$804,$Q$8,مثال_Example!$F$5:$F$804,$Q$9,مثال_Example!$G$5:$G$804,$Q$10,مثال_Example!$C$5:$C$804,$B72)))</f>
        <v/>
      </c>
      <c r="M72" s="40" t="str">
        <f aca="false">IF($B72="","",IF($K72=0,"—",L72/$K72))</f>
        <v/>
      </c>
      <c r="N72" s="40" t="str">
        <f aca="false">IF($B72="","",IF($K72=0,"—",((SUMIFS(Data!$U$5:$U$5004,Data!$B$5:$B$5004,$Q$6,Data!$D$5:$D$5004,$Q$7,Data!$E$5:$E$5004,$Q$8,Data!$F$5:$F$5004,$Q$9,Data!$G$5:$G$5004,$Q$10,Data!$C$5:$C$5004,$B72)+ExOn*SUMIFS(مثال_Example!$U$5:$U$804,مثال_Example!$B$5:$B$804,$Q$6,مثال_Example!$D$5:$D$804,$Q$7,مثال_Example!$E$5:$E$804,$Q$8,مثال_Example!$F$5:$F$804,$Q$9,مثال_Example!$G$5:$G$804,$Q$10,مثال_Example!$C$5:$C$804,$B72))+L72)/$K72))</f>
        <v/>
      </c>
      <c r="O72" s="42" t="str">
        <f aca="false">IF($B72="","",IF($K72=0,"لا توجد بيانات",IF(ROUND((((SUMIFS(Data!$U$5:$U$5004,Data!$B$5:$B$5004,$Q$6,Data!$D$5:$D$5004,$Q$7,Data!$E$5:$E$5004,$Q$8,Data!$F$5:$F$5004,$Q$9,Data!$G$5:$G$5004,$Q$10,Data!$C$5:$C$5004,$B72)+ExOn*SUMIFS(مثال_Example!$U$5:$U$804,مثال_Example!$B$5:$B$804,$Q$6,مثال_Example!$D$5:$D$804,$Q$7,مثال_Example!$E$5:$E$804,$Q$8,مثال_Example!$F$5:$F$804,$Q$9,مثال_Example!$G$5:$G$804,$Q$10,مثال_Example!$C$5:$C$804,$B72)))+L72)/K72,10)&lt;=KeyP_VW,"Very Weak",IF(ROUND((((SUMIFS(Data!$U$5:$U$5004,Data!$B$5:$B$5004,$Q$6,Data!$D$5:$D$5004,$Q$7,Data!$E$5:$E$5004,$Q$8,Data!$F$5:$F$5004,$Q$9,Data!$G$5:$G$5004,$Q$10,Data!$C$5:$C$5004,$B72)+ExOn*SUMIFS(مثال_Example!$U$5:$U$804,مثال_Example!$B$5:$B$804,$Q$6,مثال_Example!$D$5:$D$804,$Q$7,مثال_Example!$E$5:$E$804,$Q$8,مثال_Example!$F$5:$F$804,$Q$9,مثال_Example!$G$5:$G$804,$Q$10,مثال_Example!$C$5:$C$804,$B72)))+L72)/K72,10)&lt;KeyP_Weak,"Weak",IF(ROUND(L72/K72,10)&lt;KeyP_Acc,"Acceptable",IF(ROUND(L72/K72,10)&lt;=KeyP_Good,"Good",IF(ROUND(L72/K72,10)&lt;KeyP_Out,"Very Good","Outstanding")))))))</f>
        <v/>
      </c>
      <c r="P72" s="1"/>
    </row>
    <row r="73" customFormat="false" ht="15" hidden="false" customHeight="false" outlineLevel="0" collapsed="false">
      <c r="A73" s="1"/>
      <c r="B73" s="51" t="str">
        <f aca="false">IF(Teachers!C69="","",Teachers!C69)</f>
        <v/>
      </c>
      <c r="C73" s="42" t="str">
        <f aca="false">IF($B73="","",Teachers!D69)</f>
        <v/>
      </c>
      <c r="D73" s="42" t="str">
        <f aca="false">IF($B73="","",Teachers!F69)</f>
        <v/>
      </c>
      <c r="E73" s="39" t="str">
        <f aca="false">IF($B73="","",(SUMIFS(Data!$Q$5:$Q$5004,Data!$B$5:$B$5004,$Q$6,Data!$D$5:$D$5004,$Q$7,Data!$E$5:$E$5004,$Q$8,Data!$F$5:$F$5004,$Q$9,Data!$G$5:$G$5004,$Q$10,Data!$C$5:$C$5004,$B73)+ExOn*SUMIFS(مثال_Example!$Q$5:$Q$804,مثال_Example!$B$5:$B$804,$Q$6,مثال_Example!$D$5:$D$804,$Q$7,مثال_Example!$E$5:$E$804,$Q$8,مثال_Example!$F$5:$F$804,$Q$9,مثال_Example!$G$5:$G$804,$Q$10,مثال_Example!$C$5:$C$804,$B73)))</f>
        <v/>
      </c>
      <c r="F73" s="39" t="str">
        <f aca="false">IF($B73="","",(SUMIFS(Data!$R$5:$R$5004,Data!$B$5:$B$5004,$Q$6,Data!$D$5:$D$5004,$Q$7,Data!$E$5:$E$5004,$Q$8,Data!$F$5:$F$5004,$Q$9,Data!$G$5:$G$5004,$Q$10,Data!$C$5:$C$5004,$B73)+ExOn*SUMIFS(مثال_Example!$R$5:$R$804,مثال_Example!$B$5:$B$804,$Q$6,مثال_Example!$D$5:$D$804,$Q$7,مثال_Example!$E$5:$E$804,$Q$8,مثال_Example!$F$5:$F$804,$Q$9,مثال_Example!$G$5:$G$804,$Q$10,مثال_Example!$C$5:$C$804,$B73)))</f>
        <v/>
      </c>
      <c r="G73" s="40" t="str">
        <f aca="false">IF($B73="","",IF($E73=0,"—",F73/$E73))</f>
        <v/>
      </c>
      <c r="H73" s="39" t="str">
        <f aca="false">IF($B73="","",(SUMIFS(Data!$S$5:$S$5004,Data!$B$5:$B$5004,$Q$6,Data!$D$5:$D$5004,$Q$7,Data!$E$5:$E$5004,$Q$8,Data!$F$5:$F$5004,$Q$9,Data!$G$5:$G$5004,$Q$10,Data!$C$5:$C$5004,$B73)+ExOn*SUMIFS(مثال_Example!$S$5:$S$804,مثال_Example!$B$5:$B$804,$Q$6,مثال_Example!$D$5:$D$804,$Q$7,مثال_Example!$E$5:$E$804,$Q$8,مثال_Example!$F$5:$F$804,$Q$9,مثال_Example!$G$5:$G$804,$Q$10,مثال_Example!$C$5:$C$804,$B73)))</f>
        <v/>
      </c>
      <c r="I73" s="40" t="str">
        <f aca="false">IF($B73="","",IF($E73=0,"—",H73/$E73))</f>
        <v/>
      </c>
      <c r="J73" s="42" t="str">
        <f aca="false">IF($B73="","",IF($E73=0,"لا توجد بيانات",IF(ROUND(F73/E73,10)&lt;=KeyA_VW,"Very Weak",IF(ROUND(F73/E73,10)&lt;KeyA_Weak,"Weak",IF(ROUND(H73/E73,10)&lt;KeyA_Acc,"Acceptable",IF(ROUND(H73/E73,10)&lt;=KeyA_Good,"Good",IF(ROUND(H73/E73,10)&lt;KeyA_Out,"Very Good","Outstanding")))))))</f>
        <v/>
      </c>
      <c r="K73" s="39" t="str">
        <f aca="false">IF($B73="","",(SUMIFS(Data!$T$5:$T$5004,Data!$B$5:$B$5004,$Q$6,Data!$D$5:$D$5004,$Q$7,Data!$E$5:$E$5004,$Q$8,Data!$F$5:$F$5004,$Q$9,Data!$G$5:$G$5004,$Q$10,Data!$C$5:$C$5004,$B73)+ExOn*SUMIFS(مثال_Example!$T$5:$T$804,مثال_Example!$B$5:$B$804,$Q$6,مثال_Example!$D$5:$D$804,$Q$7,مثال_Example!$E$5:$E$804,$Q$8,مثال_Example!$F$5:$F$804,$Q$9,مثال_Example!$G$5:$G$804,$Q$10,مثال_Example!$C$5:$C$804,$B73))+(SUMIFS(Data!$U$5:$U$5004,Data!$B$5:$B$5004,$Q$6,Data!$D$5:$D$5004,$Q$7,Data!$E$5:$E$5004,$Q$8,Data!$F$5:$F$5004,$Q$9,Data!$G$5:$G$5004,$Q$10,Data!$C$5:$C$5004,$B73)+ExOn*SUMIFS(مثال_Example!$U$5:$U$804,مثال_Example!$B$5:$B$804,$Q$6,مثال_Example!$D$5:$D$804,$Q$7,مثال_Example!$E$5:$E$804,$Q$8,مثال_Example!$F$5:$F$804,$Q$9,مثال_Example!$G$5:$G$804,$Q$10,مثال_Example!$C$5:$C$804,$B73))+(SUMIFS(Data!$V$5:$V$5004,Data!$B$5:$B$5004,$Q$6,Data!$D$5:$D$5004,$Q$7,Data!$E$5:$E$5004,$Q$8,Data!$F$5:$F$5004,$Q$9,Data!$G$5:$G$5004,$Q$10,Data!$C$5:$C$5004,$B73)+ExOn*SUMIFS(مثال_Example!$V$5:$V$804,مثال_Example!$B$5:$B$804,$Q$6,مثال_Example!$D$5:$D$804,$Q$7,مثال_Example!$E$5:$E$804,$Q$8,مثال_Example!$F$5:$F$804,$Q$9,مثال_Example!$G$5:$G$804,$Q$10,مثال_Example!$C$5:$C$804,$B73)))</f>
        <v/>
      </c>
      <c r="L73" s="39" t="str">
        <f aca="false">IF($B73="","",(SUMIFS(Data!$V$5:$V$5004,Data!$B$5:$B$5004,$Q$6,Data!$D$5:$D$5004,$Q$7,Data!$E$5:$E$5004,$Q$8,Data!$F$5:$F$5004,$Q$9,Data!$G$5:$G$5004,$Q$10,Data!$C$5:$C$5004,$B73)+ExOn*SUMIFS(مثال_Example!$V$5:$V$804,مثال_Example!$B$5:$B$804,$Q$6,مثال_Example!$D$5:$D$804,$Q$7,مثال_Example!$E$5:$E$804,$Q$8,مثال_Example!$F$5:$F$804,$Q$9,مثال_Example!$G$5:$G$804,$Q$10,مثال_Example!$C$5:$C$804,$B73)))</f>
        <v/>
      </c>
      <c r="M73" s="40" t="str">
        <f aca="false">IF($B73="","",IF($K73=0,"—",L73/$K73))</f>
        <v/>
      </c>
      <c r="N73" s="40" t="str">
        <f aca="false">IF($B73="","",IF($K73=0,"—",((SUMIFS(Data!$U$5:$U$5004,Data!$B$5:$B$5004,$Q$6,Data!$D$5:$D$5004,$Q$7,Data!$E$5:$E$5004,$Q$8,Data!$F$5:$F$5004,$Q$9,Data!$G$5:$G$5004,$Q$10,Data!$C$5:$C$5004,$B73)+ExOn*SUMIFS(مثال_Example!$U$5:$U$804,مثال_Example!$B$5:$B$804,$Q$6,مثال_Example!$D$5:$D$804,$Q$7,مثال_Example!$E$5:$E$804,$Q$8,مثال_Example!$F$5:$F$804,$Q$9,مثال_Example!$G$5:$G$804,$Q$10,مثال_Example!$C$5:$C$804,$B73))+L73)/$K73))</f>
        <v/>
      </c>
      <c r="O73" s="42" t="str">
        <f aca="false">IF($B73="","",IF($K73=0,"لا توجد بيانات",IF(ROUND((((SUMIFS(Data!$U$5:$U$5004,Data!$B$5:$B$5004,$Q$6,Data!$D$5:$D$5004,$Q$7,Data!$E$5:$E$5004,$Q$8,Data!$F$5:$F$5004,$Q$9,Data!$G$5:$G$5004,$Q$10,Data!$C$5:$C$5004,$B73)+ExOn*SUMIFS(مثال_Example!$U$5:$U$804,مثال_Example!$B$5:$B$804,$Q$6,مثال_Example!$D$5:$D$804,$Q$7,مثال_Example!$E$5:$E$804,$Q$8,مثال_Example!$F$5:$F$804,$Q$9,مثال_Example!$G$5:$G$804,$Q$10,مثال_Example!$C$5:$C$804,$B73)))+L73)/K73,10)&lt;=KeyP_VW,"Very Weak",IF(ROUND((((SUMIFS(Data!$U$5:$U$5004,Data!$B$5:$B$5004,$Q$6,Data!$D$5:$D$5004,$Q$7,Data!$E$5:$E$5004,$Q$8,Data!$F$5:$F$5004,$Q$9,Data!$G$5:$G$5004,$Q$10,Data!$C$5:$C$5004,$B73)+ExOn*SUMIFS(مثال_Example!$U$5:$U$804,مثال_Example!$B$5:$B$804,$Q$6,مثال_Example!$D$5:$D$804,$Q$7,مثال_Example!$E$5:$E$804,$Q$8,مثال_Example!$F$5:$F$804,$Q$9,مثال_Example!$G$5:$G$804,$Q$10,مثال_Example!$C$5:$C$804,$B73)))+L73)/K73,10)&lt;KeyP_Weak,"Weak",IF(ROUND(L73/K73,10)&lt;KeyP_Acc,"Acceptable",IF(ROUND(L73/K73,10)&lt;=KeyP_Good,"Good",IF(ROUND(L73/K73,10)&lt;KeyP_Out,"Very Good","Outstanding")))))))</f>
        <v/>
      </c>
      <c r="P73" s="1"/>
    </row>
    <row r="74" customFormat="false" ht="15" hidden="false" customHeight="false" outlineLevel="0" collapsed="false">
      <c r="A74" s="1"/>
      <c r="B74" s="51" t="str">
        <f aca="false">IF(Teachers!C70="","",Teachers!C70)</f>
        <v/>
      </c>
      <c r="C74" s="42" t="str">
        <f aca="false">IF($B74="","",Teachers!D70)</f>
        <v/>
      </c>
      <c r="D74" s="42" t="str">
        <f aca="false">IF($B74="","",Teachers!F70)</f>
        <v/>
      </c>
      <c r="E74" s="39" t="str">
        <f aca="false">IF($B74="","",(SUMIFS(Data!$Q$5:$Q$5004,Data!$B$5:$B$5004,$Q$6,Data!$D$5:$D$5004,$Q$7,Data!$E$5:$E$5004,$Q$8,Data!$F$5:$F$5004,$Q$9,Data!$G$5:$G$5004,$Q$10,Data!$C$5:$C$5004,$B74)+ExOn*SUMIFS(مثال_Example!$Q$5:$Q$804,مثال_Example!$B$5:$B$804,$Q$6,مثال_Example!$D$5:$D$804,$Q$7,مثال_Example!$E$5:$E$804,$Q$8,مثال_Example!$F$5:$F$804,$Q$9,مثال_Example!$G$5:$G$804,$Q$10,مثال_Example!$C$5:$C$804,$B74)))</f>
        <v/>
      </c>
      <c r="F74" s="39" t="str">
        <f aca="false">IF($B74="","",(SUMIFS(Data!$R$5:$R$5004,Data!$B$5:$B$5004,$Q$6,Data!$D$5:$D$5004,$Q$7,Data!$E$5:$E$5004,$Q$8,Data!$F$5:$F$5004,$Q$9,Data!$G$5:$G$5004,$Q$10,Data!$C$5:$C$5004,$B74)+ExOn*SUMIFS(مثال_Example!$R$5:$R$804,مثال_Example!$B$5:$B$804,$Q$6,مثال_Example!$D$5:$D$804,$Q$7,مثال_Example!$E$5:$E$804,$Q$8,مثال_Example!$F$5:$F$804,$Q$9,مثال_Example!$G$5:$G$804,$Q$10,مثال_Example!$C$5:$C$804,$B74)))</f>
        <v/>
      </c>
      <c r="G74" s="40" t="str">
        <f aca="false">IF($B74="","",IF($E74=0,"—",F74/$E74))</f>
        <v/>
      </c>
      <c r="H74" s="39" t="str">
        <f aca="false">IF($B74="","",(SUMIFS(Data!$S$5:$S$5004,Data!$B$5:$B$5004,$Q$6,Data!$D$5:$D$5004,$Q$7,Data!$E$5:$E$5004,$Q$8,Data!$F$5:$F$5004,$Q$9,Data!$G$5:$G$5004,$Q$10,Data!$C$5:$C$5004,$B74)+ExOn*SUMIFS(مثال_Example!$S$5:$S$804,مثال_Example!$B$5:$B$804,$Q$6,مثال_Example!$D$5:$D$804,$Q$7,مثال_Example!$E$5:$E$804,$Q$8,مثال_Example!$F$5:$F$804,$Q$9,مثال_Example!$G$5:$G$804,$Q$10,مثال_Example!$C$5:$C$804,$B74)))</f>
        <v/>
      </c>
      <c r="I74" s="40" t="str">
        <f aca="false">IF($B74="","",IF($E74=0,"—",H74/$E74))</f>
        <v/>
      </c>
      <c r="J74" s="42" t="str">
        <f aca="false">IF($B74="","",IF($E74=0,"لا توجد بيانات",IF(ROUND(F74/E74,10)&lt;=KeyA_VW,"Very Weak",IF(ROUND(F74/E74,10)&lt;KeyA_Weak,"Weak",IF(ROUND(H74/E74,10)&lt;KeyA_Acc,"Acceptable",IF(ROUND(H74/E74,10)&lt;=KeyA_Good,"Good",IF(ROUND(H74/E74,10)&lt;KeyA_Out,"Very Good","Outstanding")))))))</f>
        <v/>
      </c>
      <c r="K74" s="39" t="str">
        <f aca="false">IF($B74="","",(SUMIFS(Data!$T$5:$T$5004,Data!$B$5:$B$5004,$Q$6,Data!$D$5:$D$5004,$Q$7,Data!$E$5:$E$5004,$Q$8,Data!$F$5:$F$5004,$Q$9,Data!$G$5:$G$5004,$Q$10,Data!$C$5:$C$5004,$B74)+ExOn*SUMIFS(مثال_Example!$T$5:$T$804,مثال_Example!$B$5:$B$804,$Q$6,مثال_Example!$D$5:$D$804,$Q$7,مثال_Example!$E$5:$E$804,$Q$8,مثال_Example!$F$5:$F$804,$Q$9,مثال_Example!$G$5:$G$804,$Q$10,مثال_Example!$C$5:$C$804,$B74))+(SUMIFS(Data!$U$5:$U$5004,Data!$B$5:$B$5004,$Q$6,Data!$D$5:$D$5004,$Q$7,Data!$E$5:$E$5004,$Q$8,Data!$F$5:$F$5004,$Q$9,Data!$G$5:$G$5004,$Q$10,Data!$C$5:$C$5004,$B74)+ExOn*SUMIFS(مثال_Example!$U$5:$U$804,مثال_Example!$B$5:$B$804,$Q$6,مثال_Example!$D$5:$D$804,$Q$7,مثال_Example!$E$5:$E$804,$Q$8,مثال_Example!$F$5:$F$804,$Q$9,مثال_Example!$G$5:$G$804,$Q$10,مثال_Example!$C$5:$C$804,$B74))+(SUMIFS(Data!$V$5:$V$5004,Data!$B$5:$B$5004,$Q$6,Data!$D$5:$D$5004,$Q$7,Data!$E$5:$E$5004,$Q$8,Data!$F$5:$F$5004,$Q$9,Data!$G$5:$G$5004,$Q$10,Data!$C$5:$C$5004,$B74)+ExOn*SUMIFS(مثال_Example!$V$5:$V$804,مثال_Example!$B$5:$B$804,$Q$6,مثال_Example!$D$5:$D$804,$Q$7,مثال_Example!$E$5:$E$804,$Q$8,مثال_Example!$F$5:$F$804,$Q$9,مثال_Example!$G$5:$G$804,$Q$10,مثال_Example!$C$5:$C$804,$B74)))</f>
        <v/>
      </c>
      <c r="L74" s="39" t="str">
        <f aca="false">IF($B74="","",(SUMIFS(Data!$V$5:$V$5004,Data!$B$5:$B$5004,$Q$6,Data!$D$5:$D$5004,$Q$7,Data!$E$5:$E$5004,$Q$8,Data!$F$5:$F$5004,$Q$9,Data!$G$5:$G$5004,$Q$10,Data!$C$5:$C$5004,$B74)+ExOn*SUMIFS(مثال_Example!$V$5:$V$804,مثال_Example!$B$5:$B$804,$Q$6,مثال_Example!$D$5:$D$804,$Q$7,مثال_Example!$E$5:$E$804,$Q$8,مثال_Example!$F$5:$F$804,$Q$9,مثال_Example!$G$5:$G$804,$Q$10,مثال_Example!$C$5:$C$804,$B74)))</f>
        <v/>
      </c>
      <c r="M74" s="40" t="str">
        <f aca="false">IF($B74="","",IF($K74=0,"—",L74/$K74))</f>
        <v/>
      </c>
      <c r="N74" s="40" t="str">
        <f aca="false">IF($B74="","",IF($K74=0,"—",((SUMIFS(Data!$U$5:$U$5004,Data!$B$5:$B$5004,$Q$6,Data!$D$5:$D$5004,$Q$7,Data!$E$5:$E$5004,$Q$8,Data!$F$5:$F$5004,$Q$9,Data!$G$5:$G$5004,$Q$10,Data!$C$5:$C$5004,$B74)+ExOn*SUMIFS(مثال_Example!$U$5:$U$804,مثال_Example!$B$5:$B$804,$Q$6,مثال_Example!$D$5:$D$804,$Q$7,مثال_Example!$E$5:$E$804,$Q$8,مثال_Example!$F$5:$F$804,$Q$9,مثال_Example!$G$5:$G$804,$Q$10,مثال_Example!$C$5:$C$804,$B74))+L74)/$K74))</f>
        <v/>
      </c>
      <c r="O74" s="42" t="str">
        <f aca="false">IF($B74="","",IF($K74=0,"لا توجد بيانات",IF(ROUND((((SUMIFS(Data!$U$5:$U$5004,Data!$B$5:$B$5004,$Q$6,Data!$D$5:$D$5004,$Q$7,Data!$E$5:$E$5004,$Q$8,Data!$F$5:$F$5004,$Q$9,Data!$G$5:$G$5004,$Q$10,Data!$C$5:$C$5004,$B74)+ExOn*SUMIFS(مثال_Example!$U$5:$U$804,مثال_Example!$B$5:$B$804,$Q$6,مثال_Example!$D$5:$D$804,$Q$7,مثال_Example!$E$5:$E$804,$Q$8,مثال_Example!$F$5:$F$804,$Q$9,مثال_Example!$G$5:$G$804,$Q$10,مثال_Example!$C$5:$C$804,$B74)))+L74)/K74,10)&lt;=KeyP_VW,"Very Weak",IF(ROUND((((SUMIFS(Data!$U$5:$U$5004,Data!$B$5:$B$5004,$Q$6,Data!$D$5:$D$5004,$Q$7,Data!$E$5:$E$5004,$Q$8,Data!$F$5:$F$5004,$Q$9,Data!$G$5:$G$5004,$Q$10,Data!$C$5:$C$5004,$B74)+ExOn*SUMIFS(مثال_Example!$U$5:$U$804,مثال_Example!$B$5:$B$804,$Q$6,مثال_Example!$D$5:$D$804,$Q$7,مثال_Example!$E$5:$E$804,$Q$8,مثال_Example!$F$5:$F$804,$Q$9,مثال_Example!$G$5:$G$804,$Q$10,مثال_Example!$C$5:$C$804,$B74)))+L74)/K74,10)&lt;KeyP_Weak,"Weak",IF(ROUND(L74/K74,10)&lt;KeyP_Acc,"Acceptable",IF(ROUND(L74/K74,10)&lt;=KeyP_Good,"Good",IF(ROUND(L74/K74,10)&lt;KeyP_Out,"Very Good","Outstanding")))))))</f>
        <v/>
      </c>
      <c r="P74" s="1"/>
    </row>
    <row r="75" customFormat="false" ht="15" hidden="false" customHeight="false" outlineLevel="0" collapsed="false">
      <c r="A75" s="1"/>
      <c r="B75" s="51" t="str">
        <f aca="false">IF(Teachers!C71="","",Teachers!C71)</f>
        <v/>
      </c>
      <c r="C75" s="42" t="str">
        <f aca="false">IF($B75="","",Teachers!D71)</f>
        <v/>
      </c>
      <c r="D75" s="42" t="str">
        <f aca="false">IF($B75="","",Teachers!F71)</f>
        <v/>
      </c>
      <c r="E75" s="39" t="str">
        <f aca="false">IF($B75="","",(SUMIFS(Data!$Q$5:$Q$5004,Data!$B$5:$B$5004,$Q$6,Data!$D$5:$D$5004,$Q$7,Data!$E$5:$E$5004,$Q$8,Data!$F$5:$F$5004,$Q$9,Data!$G$5:$G$5004,$Q$10,Data!$C$5:$C$5004,$B75)+ExOn*SUMIFS(مثال_Example!$Q$5:$Q$804,مثال_Example!$B$5:$B$804,$Q$6,مثال_Example!$D$5:$D$804,$Q$7,مثال_Example!$E$5:$E$804,$Q$8,مثال_Example!$F$5:$F$804,$Q$9,مثال_Example!$G$5:$G$804,$Q$10,مثال_Example!$C$5:$C$804,$B75)))</f>
        <v/>
      </c>
      <c r="F75" s="39" t="str">
        <f aca="false">IF($B75="","",(SUMIFS(Data!$R$5:$R$5004,Data!$B$5:$B$5004,$Q$6,Data!$D$5:$D$5004,$Q$7,Data!$E$5:$E$5004,$Q$8,Data!$F$5:$F$5004,$Q$9,Data!$G$5:$G$5004,$Q$10,Data!$C$5:$C$5004,$B75)+ExOn*SUMIFS(مثال_Example!$R$5:$R$804,مثال_Example!$B$5:$B$804,$Q$6,مثال_Example!$D$5:$D$804,$Q$7,مثال_Example!$E$5:$E$804,$Q$8,مثال_Example!$F$5:$F$804,$Q$9,مثال_Example!$G$5:$G$804,$Q$10,مثال_Example!$C$5:$C$804,$B75)))</f>
        <v/>
      </c>
      <c r="G75" s="40" t="str">
        <f aca="false">IF($B75="","",IF($E75=0,"—",F75/$E75))</f>
        <v/>
      </c>
      <c r="H75" s="39" t="str">
        <f aca="false">IF($B75="","",(SUMIFS(Data!$S$5:$S$5004,Data!$B$5:$B$5004,$Q$6,Data!$D$5:$D$5004,$Q$7,Data!$E$5:$E$5004,$Q$8,Data!$F$5:$F$5004,$Q$9,Data!$G$5:$G$5004,$Q$10,Data!$C$5:$C$5004,$B75)+ExOn*SUMIFS(مثال_Example!$S$5:$S$804,مثال_Example!$B$5:$B$804,$Q$6,مثال_Example!$D$5:$D$804,$Q$7,مثال_Example!$E$5:$E$804,$Q$8,مثال_Example!$F$5:$F$804,$Q$9,مثال_Example!$G$5:$G$804,$Q$10,مثال_Example!$C$5:$C$804,$B75)))</f>
        <v/>
      </c>
      <c r="I75" s="40" t="str">
        <f aca="false">IF($B75="","",IF($E75=0,"—",H75/$E75))</f>
        <v/>
      </c>
      <c r="J75" s="42" t="str">
        <f aca="false">IF($B75="","",IF($E75=0,"لا توجد بيانات",IF(ROUND(F75/E75,10)&lt;=KeyA_VW,"Very Weak",IF(ROUND(F75/E75,10)&lt;KeyA_Weak,"Weak",IF(ROUND(H75/E75,10)&lt;KeyA_Acc,"Acceptable",IF(ROUND(H75/E75,10)&lt;=KeyA_Good,"Good",IF(ROUND(H75/E75,10)&lt;KeyA_Out,"Very Good","Outstanding")))))))</f>
        <v/>
      </c>
      <c r="K75" s="39" t="str">
        <f aca="false">IF($B75="","",(SUMIFS(Data!$T$5:$T$5004,Data!$B$5:$B$5004,$Q$6,Data!$D$5:$D$5004,$Q$7,Data!$E$5:$E$5004,$Q$8,Data!$F$5:$F$5004,$Q$9,Data!$G$5:$G$5004,$Q$10,Data!$C$5:$C$5004,$B75)+ExOn*SUMIFS(مثال_Example!$T$5:$T$804,مثال_Example!$B$5:$B$804,$Q$6,مثال_Example!$D$5:$D$804,$Q$7,مثال_Example!$E$5:$E$804,$Q$8,مثال_Example!$F$5:$F$804,$Q$9,مثال_Example!$G$5:$G$804,$Q$10,مثال_Example!$C$5:$C$804,$B75))+(SUMIFS(Data!$U$5:$U$5004,Data!$B$5:$B$5004,$Q$6,Data!$D$5:$D$5004,$Q$7,Data!$E$5:$E$5004,$Q$8,Data!$F$5:$F$5004,$Q$9,Data!$G$5:$G$5004,$Q$10,Data!$C$5:$C$5004,$B75)+ExOn*SUMIFS(مثال_Example!$U$5:$U$804,مثال_Example!$B$5:$B$804,$Q$6,مثال_Example!$D$5:$D$804,$Q$7,مثال_Example!$E$5:$E$804,$Q$8,مثال_Example!$F$5:$F$804,$Q$9,مثال_Example!$G$5:$G$804,$Q$10,مثال_Example!$C$5:$C$804,$B75))+(SUMIFS(Data!$V$5:$V$5004,Data!$B$5:$B$5004,$Q$6,Data!$D$5:$D$5004,$Q$7,Data!$E$5:$E$5004,$Q$8,Data!$F$5:$F$5004,$Q$9,Data!$G$5:$G$5004,$Q$10,Data!$C$5:$C$5004,$B75)+ExOn*SUMIFS(مثال_Example!$V$5:$V$804,مثال_Example!$B$5:$B$804,$Q$6,مثال_Example!$D$5:$D$804,$Q$7,مثال_Example!$E$5:$E$804,$Q$8,مثال_Example!$F$5:$F$804,$Q$9,مثال_Example!$G$5:$G$804,$Q$10,مثال_Example!$C$5:$C$804,$B75)))</f>
        <v/>
      </c>
      <c r="L75" s="39" t="str">
        <f aca="false">IF($B75="","",(SUMIFS(Data!$V$5:$V$5004,Data!$B$5:$B$5004,$Q$6,Data!$D$5:$D$5004,$Q$7,Data!$E$5:$E$5004,$Q$8,Data!$F$5:$F$5004,$Q$9,Data!$G$5:$G$5004,$Q$10,Data!$C$5:$C$5004,$B75)+ExOn*SUMIFS(مثال_Example!$V$5:$V$804,مثال_Example!$B$5:$B$804,$Q$6,مثال_Example!$D$5:$D$804,$Q$7,مثال_Example!$E$5:$E$804,$Q$8,مثال_Example!$F$5:$F$804,$Q$9,مثال_Example!$G$5:$G$804,$Q$10,مثال_Example!$C$5:$C$804,$B75)))</f>
        <v/>
      </c>
      <c r="M75" s="40" t="str">
        <f aca="false">IF($B75="","",IF($K75=0,"—",L75/$K75))</f>
        <v/>
      </c>
      <c r="N75" s="40" t="str">
        <f aca="false">IF($B75="","",IF($K75=0,"—",((SUMIFS(Data!$U$5:$U$5004,Data!$B$5:$B$5004,$Q$6,Data!$D$5:$D$5004,$Q$7,Data!$E$5:$E$5004,$Q$8,Data!$F$5:$F$5004,$Q$9,Data!$G$5:$G$5004,$Q$10,Data!$C$5:$C$5004,$B75)+ExOn*SUMIFS(مثال_Example!$U$5:$U$804,مثال_Example!$B$5:$B$804,$Q$6,مثال_Example!$D$5:$D$804,$Q$7,مثال_Example!$E$5:$E$804,$Q$8,مثال_Example!$F$5:$F$804,$Q$9,مثال_Example!$G$5:$G$804,$Q$10,مثال_Example!$C$5:$C$804,$B75))+L75)/$K75))</f>
        <v/>
      </c>
      <c r="O75" s="42" t="str">
        <f aca="false">IF($B75="","",IF($K75=0,"لا توجد بيانات",IF(ROUND((((SUMIFS(Data!$U$5:$U$5004,Data!$B$5:$B$5004,$Q$6,Data!$D$5:$D$5004,$Q$7,Data!$E$5:$E$5004,$Q$8,Data!$F$5:$F$5004,$Q$9,Data!$G$5:$G$5004,$Q$10,Data!$C$5:$C$5004,$B75)+ExOn*SUMIFS(مثال_Example!$U$5:$U$804,مثال_Example!$B$5:$B$804,$Q$6,مثال_Example!$D$5:$D$804,$Q$7,مثال_Example!$E$5:$E$804,$Q$8,مثال_Example!$F$5:$F$804,$Q$9,مثال_Example!$G$5:$G$804,$Q$10,مثال_Example!$C$5:$C$804,$B75)))+L75)/K75,10)&lt;=KeyP_VW,"Very Weak",IF(ROUND((((SUMIFS(Data!$U$5:$U$5004,Data!$B$5:$B$5004,$Q$6,Data!$D$5:$D$5004,$Q$7,Data!$E$5:$E$5004,$Q$8,Data!$F$5:$F$5004,$Q$9,Data!$G$5:$G$5004,$Q$10,Data!$C$5:$C$5004,$B75)+ExOn*SUMIFS(مثال_Example!$U$5:$U$804,مثال_Example!$B$5:$B$804,$Q$6,مثال_Example!$D$5:$D$804,$Q$7,مثال_Example!$E$5:$E$804,$Q$8,مثال_Example!$F$5:$F$804,$Q$9,مثال_Example!$G$5:$G$804,$Q$10,مثال_Example!$C$5:$C$804,$B75)))+L75)/K75,10)&lt;KeyP_Weak,"Weak",IF(ROUND(L75/K75,10)&lt;KeyP_Acc,"Acceptable",IF(ROUND(L75/K75,10)&lt;=KeyP_Good,"Good",IF(ROUND(L75/K75,10)&lt;KeyP_Out,"Very Good","Outstanding")))))))</f>
        <v/>
      </c>
      <c r="P75" s="1"/>
    </row>
    <row r="76" customFormat="false" ht="15" hidden="false" customHeight="false" outlineLevel="0" collapsed="false">
      <c r="A76" s="1"/>
      <c r="B76" s="51" t="str">
        <f aca="false">IF(Teachers!C72="","",Teachers!C72)</f>
        <v/>
      </c>
      <c r="C76" s="42" t="str">
        <f aca="false">IF($B76="","",Teachers!D72)</f>
        <v/>
      </c>
      <c r="D76" s="42" t="str">
        <f aca="false">IF($B76="","",Teachers!F72)</f>
        <v/>
      </c>
      <c r="E76" s="39" t="str">
        <f aca="false">IF($B76="","",(SUMIFS(Data!$Q$5:$Q$5004,Data!$B$5:$B$5004,$Q$6,Data!$D$5:$D$5004,$Q$7,Data!$E$5:$E$5004,$Q$8,Data!$F$5:$F$5004,$Q$9,Data!$G$5:$G$5004,$Q$10,Data!$C$5:$C$5004,$B76)+ExOn*SUMIFS(مثال_Example!$Q$5:$Q$804,مثال_Example!$B$5:$B$804,$Q$6,مثال_Example!$D$5:$D$804,$Q$7,مثال_Example!$E$5:$E$804,$Q$8,مثال_Example!$F$5:$F$804,$Q$9,مثال_Example!$G$5:$G$804,$Q$10,مثال_Example!$C$5:$C$804,$B76)))</f>
        <v/>
      </c>
      <c r="F76" s="39" t="str">
        <f aca="false">IF($B76="","",(SUMIFS(Data!$R$5:$R$5004,Data!$B$5:$B$5004,$Q$6,Data!$D$5:$D$5004,$Q$7,Data!$E$5:$E$5004,$Q$8,Data!$F$5:$F$5004,$Q$9,Data!$G$5:$G$5004,$Q$10,Data!$C$5:$C$5004,$B76)+ExOn*SUMIFS(مثال_Example!$R$5:$R$804,مثال_Example!$B$5:$B$804,$Q$6,مثال_Example!$D$5:$D$804,$Q$7,مثال_Example!$E$5:$E$804,$Q$8,مثال_Example!$F$5:$F$804,$Q$9,مثال_Example!$G$5:$G$804,$Q$10,مثال_Example!$C$5:$C$804,$B76)))</f>
        <v/>
      </c>
      <c r="G76" s="40" t="str">
        <f aca="false">IF($B76="","",IF($E76=0,"—",F76/$E76))</f>
        <v/>
      </c>
      <c r="H76" s="39" t="str">
        <f aca="false">IF($B76="","",(SUMIFS(Data!$S$5:$S$5004,Data!$B$5:$B$5004,$Q$6,Data!$D$5:$D$5004,$Q$7,Data!$E$5:$E$5004,$Q$8,Data!$F$5:$F$5004,$Q$9,Data!$G$5:$G$5004,$Q$10,Data!$C$5:$C$5004,$B76)+ExOn*SUMIFS(مثال_Example!$S$5:$S$804,مثال_Example!$B$5:$B$804,$Q$6,مثال_Example!$D$5:$D$804,$Q$7,مثال_Example!$E$5:$E$804,$Q$8,مثال_Example!$F$5:$F$804,$Q$9,مثال_Example!$G$5:$G$804,$Q$10,مثال_Example!$C$5:$C$804,$B76)))</f>
        <v/>
      </c>
      <c r="I76" s="40" t="str">
        <f aca="false">IF($B76="","",IF($E76=0,"—",H76/$E76))</f>
        <v/>
      </c>
      <c r="J76" s="42" t="str">
        <f aca="false">IF($B76="","",IF($E76=0,"لا توجد بيانات",IF(ROUND(F76/E76,10)&lt;=KeyA_VW,"Very Weak",IF(ROUND(F76/E76,10)&lt;KeyA_Weak,"Weak",IF(ROUND(H76/E76,10)&lt;KeyA_Acc,"Acceptable",IF(ROUND(H76/E76,10)&lt;=KeyA_Good,"Good",IF(ROUND(H76/E76,10)&lt;KeyA_Out,"Very Good","Outstanding")))))))</f>
        <v/>
      </c>
      <c r="K76" s="39" t="str">
        <f aca="false">IF($B76="","",(SUMIFS(Data!$T$5:$T$5004,Data!$B$5:$B$5004,$Q$6,Data!$D$5:$D$5004,$Q$7,Data!$E$5:$E$5004,$Q$8,Data!$F$5:$F$5004,$Q$9,Data!$G$5:$G$5004,$Q$10,Data!$C$5:$C$5004,$B76)+ExOn*SUMIFS(مثال_Example!$T$5:$T$804,مثال_Example!$B$5:$B$804,$Q$6,مثال_Example!$D$5:$D$804,$Q$7,مثال_Example!$E$5:$E$804,$Q$8,مثال_Example!$F$5:$F$804,$Q$9,مثال_Example!$G$5:$G$804,$Q$10,مثال_Example!$C$5:$C$804,$B76))+(SUMIFS(Data!$U$5:$U$5004,Data!$B$5:$B$5004,$Q$6,Data!$D$5:$D$5004,$Q$7,Data!$E$5:$E$5004,$Q$8,Data!$F$5:$F$5004,$Q$9,Data!$G$5:$G$5004,$Q$10,Data!$C$5:$C$5004,$B76)+ExOn*SUMIFS(مثال_Example!$U$5:$U$804,مثال_Example!$B$5:$B$804,$Q$6,مثال_Example!$D$5:$D$804,$Q$7,مثال_Example!$E$5:$E$804,$Q$8,مثال_Example!$F$5:$F$804,$Q$9,مثال_Example!$G$5:$G$804,$Q$10,مثال_Example!$C$5:$C$804,$B76))+(SUMIFS(Data!$V$5:$V$5004,Data!$B$5:$B$5004,$Q$6,Data!$D$5:$D$5004,$Q$7,Data!$E$5:$E$5004,$Q$8,Data!$F$5:$F$5004,$Q$9,Data!$G$5:$G$5004,$Q$10,Data!$C$5:$C$5004,$B76)+ExOn*SUMIFS(مثال_Example!$V$5:$V$804,مثال_Example!$B$5:$B$804,$Q$6,مثال_Example!$D$5:$D$804,$Q$7,مثال_Example!$E$5:$E$804,$Q$8,مثال_Example!$F$5:$F$804,$Q$9,مثال_Example!$G$5:$G$804,$Q$10,مثال_Example!$C$5:$C$804,$B76)))</f>
        <v/>
      </c>
      <c r="L76" s="39" t="str">
        <f aca="false">IF($B76="","",(SUMIFS(Data!$V$5:$V$5004,Data!$B$5:$B$5004,$Q$6,Data!$D$5:$D$5004,$Q$7,Data!$E$5:$E$5004,$Q$8,Data!$F$5:$F$5004,$Q$9,Data!$G$5:$G$5004,$Q$10,Data!$C$5:$C$5004,$B76)+ExOn*SUMIFS(مثال_Example!$V$5:$V$804,مثال_Example!$B$5:$B$804,$Q$6,مثال_Example!$D$5:$D$804,$Q$7,مثال_Example!$E$5:$E$804,$Q$8,مثال_Example!$F$5:$F$804,$Q$9,مثال_Example!$G$5:$G$804,$Q$10,مثال_Example!$C$5:$C$804,$B76)))</f>
        <v/>
      </c>
      <c r="M76" s="40" t="str">
        <f aca="false">IF($B76="","",IF($K76=0,"—",L76/$K76))</f>
        <v/>
      </c>
      <c r="N76" s="40" t="str">
        <f aca="false">IF($B76="","",IF($K76=0,"—",((SUMIFS(Data!$U$5:$U$5004,Data!$B$5:$B$5004,$Q$6,Data!$D$5:$D$5004,$Q$7,Data!$E$5:$E$5004,$Q$8,Data!$F$5:$F$5004,$Q$9,Data!$G$5:$G$5004,$Q$10,Data!$C$5:$C$5004,$B76)+ExOn*SUMIFS(مثال_Example!$U$5:$U$804,مثال_Example!$B$5:$B$804,$Q$6,مثال_Example!$D$5:$D$804,$Q$7,مثال_Example!$E$5:$E$804,$Q$8,مثال_Example!$F$5:$F$804,$Q$9,مثال_Example!$G$5:$G$804,$Q$10,مثال_Example!$C$5:$C$804,$B76))+L76)/$K76))</f>
        <v/>
      </c>
      <c r="O76" s="42" t="str">
        <f aca="false">IF($B76="","",IF($K76=0,"لا توجد بيانات",IF(ROUND((((SUMIFS(Data!$U$5:$U$5004,Data!$B$5:$B$5004,$Q$6,Data!$D$5:$D$5004,$Q$7,Data!$E$5:$E$5004,$Q$8,Data!$F$5:$F$5004,$Q$9,Data!$G$5:$G$5004,$Q$10,Data!$C$5:$C$5004,$B76)+ExOn*SUMIFS(مثال_Example!$U$5:$U$804,مثال_Example!$B$5:$B$804,$Q$6,مثال_Example!$D$5:$D$804,$Q$7,مثال_Example!$E$5:$E$804,$Q$8,مثال_Example!$F$5:$F$804,$Q$9,مثال_Example!$G$5:$G$804,$Q$10,مثال_Example!$C$5:$C$804,$B76)))+L76)/K76,10)&lt;=KeyP_VW,"Very Weak",IF(ROUND((((SUMIFS(Data!$U$5:$U$5004,Data!$B$5:$B$5004,$Q$6,Data!$D$5:$D$5004,$Q$7,Data!$E$5:$E$5004,$Q$8,Data!$F$5:$F$5004,$Q$9,Data!$G$5:$G$5004,$Q$10,Data!$C$5:$C$5004,$B76)+ExOn*SUMIFS(مثال_Example!$U$5:$U$804,مثال_Example!$B$5:$B$804,$Q$6,مثال_Example!$D$5:$D$804,$Q$7,مثال_Example!$E$5:$E$804,$Q$8,مثال_Example!$F$5:$F$804,$Q$9,مثال_Example!$G$5:$G$804,$Q$10,مثال_Example!$C$5:$C$804,$B76)))+L76)/K76,10)&lt;KeyP_Weak,"Weak",IF(ROUND(L76/K76,10)&lt;KeyP_Acc,"Acceptable",IF(ROUND(L76/K76,10)&lt;=KeyP_Good,"Good",IF(ROUND(L76/K76,10)&lt;KeyP_Out,"Very Good","Outstanding")))))))</f>
        <v/>
      </c>
      <c r="P76" s="1"/>
    </row>
    <row r="77" customFormat="false" ht="15" hidden="false" customHeight="false" outlineLevel="0" collapsed="false">
      <c r="A77" s="1"/>
      <c r="B77" s="51" t="str">
        <f aca="false">IF(Teachers!C73="","",Teachers!C73)</f>
        <v/>
      </c>
      <c r="C77" s="42" t="str">
        <f aca="false">IF($B77="","",Teachers!D73)</f>
        <v/>
      </c>
      <c r="D77" s="42" t="str">
        <f aca="false">IF($B77="","",Teachers!F73)</f>
        <v/>
      </c>
      <c r="E77" s="39" t="str">
        <f aca="false">IF($B77="","",(SUMIFS(Data!$Q$5:$Q$5004,Data!$B$5:$B$5004,$Q$6,Data!$D$5:$D$5004,$Q$7,Data!$E$5:$E$5004,$Q$8,Data!$F$5:$F$5004,$Q$9,Data!$G$5:$G$5004,$Q$10,Data!$C$5:$C$5004,$B77)+ExOn*SUMIFS(مثال_Example!$Q$5:$Q$804,مثال_Example!$B$5:$B$804,$Q$6,مثال_Example!$D$5:$D$804,$Q$7,مثال_Example!$E$5:$E$804,$Q$8,مثال_Example!$F$5:$F$804,$Q$9,مثال_Example!$G$5:$G$804,$Q$10,مثال_Example!$C$5:$C$804,$B77)))</f>
        <v/>
      </c>
      <c r="F77" s="39" t="str">
        <f aca="false">IF($B77="","",(SUMIFS(Data!$R$5:$R$5004,Data!$B$5:$B$5004,$Q$6,Data!$D$5:$D$5004,$Q$7,Data!$E$5:$E$5004,$Q$8,Data!$F$5:$F$5004,$Q$9,Data!$G$5:$G$5004,$Q$10,Data!$C$5:$C$5004,$B77)+ExOn*SUMIFS(مثال_Example!$R$5:$R$804,مثال_Example!$B$5:$B$804,$Q$6,مثال_Example!$D$5:$D$804,$Q$7,مثال_Example!$E$5:$E$804,$Q$8,مثال_Example!$F$5:$F$804,$Q$9,مثال_Example!$G$5:$G$804,$Q$10,مثال_Example!$C$5:$C$804,$B77)))</f>
        <v/>
      </c>
      <c r="G77" s="40" t="str">
        <f aca="false">IF($B77="","",IF($E77=0,"—",F77/$E77))</f>
        <v/>
      </c>
      <c r="H77" s="39" t="str">
        <f aca="false">IF($B77="","",(SUMIFS(Data!$S$5:$S$5004,Data!$B$5:$B$5004,$Q$6,Data!$D$5:$D$5004,$Q$7,Data!$E$5:$E$5004,$Q$8,Data!$F$5:$F$5004,$Q$9,Data!$G$5:$G$5004,$Q$10,Data!$C$5:$C$5004,$B77)+ExOn*SUMIFS(مثال_Example!$S$5:$S$804,مثال_Example!$B$5:$B$804,$Q$6,مثال_Example!$D$5:$D$804,$Q$7,مثال_Example!$E$5:$E$804,$Q$8,مثال_Example!$F$5:$F$804,$Q$9,مثال_Example!$G$5:$G$804,$Q$10,مثال_Example!$C$5:$C$804,$B77)))</f>
        <v/>
      </c>
      <c r="I77" s="40" t="str">
        <f aca="false">IF($B77="","",IF($E77=0,"—",H77/$E77))</f>
        <v/>
      </c>
      <c r="J77" s="42" t="str">
        <f aca="false">IF($B77="","",IF($E77=0,"لا توجد بيانات",IF(ROUND(F77/E77,10)&lt;=KeyA_VW,"Very Weak",IF(ROUND(F77/E77,10)&lt;KeyA_Weak,"Weak",IF(ROUND(H77/E77,10)&lt;KeyA_Acc,"Acceptable",IF(ROUND(H77/E77,10)&lt;=KeyA_Good,"Good",IF(ROUND(H77/E77,10)&lt;KeyA_Out,"Very Good","Outstanding")))))))</f>
        <v/>
      </c>
      <c r="K77" s="39" t="str">
        <f aca="false">IF($B77="","",(SUMIFS(Data!$T$5:$T$5004,Data!$B$5:$B$5004,$Q$6,Data!$D$5:$D$5004,$Q$7,Data!$E$5:$E$5004,$Q$8,Data!$F$5:$F$5004,$Q$9,Data!$G$5:$G$5004,$Q$10,Data!$C$5:$C$5004,$B77)+ExOn*SUMIFS(مثال_Example!$T$5:$T$804,مثال_Example!$B$5:$B$804,$Q$6,مثال_Example!$D$5:$D$804,$Q$7,مثال_Example!$E$5:$E$804,$Q$8,مثال_Example!$F$5:$F$804,$Q$9,مثال_Example!$G$5:$G$804,$Q$10,مثال_Example!$C$5:$C$804,$B77))+(SUMIFS(Data!$U$5:$U$5004,Data!$B$5:$B$5004,$Q$6,Data!$D$5:$D$5004,$Q$7,Data!$E$5:$E$5004,$Q$8,Data!$F$5:$F$5004,$Q$9,Data!$G$5:$G$5004,$Q$10,Data!$C$5:$C$5004,$B77)+ExOn*SUMIFS(مثال_Example!$U$5:$U$804,مثال_Example!$B$5:$B$804,$Q$6,مثال_Example!$D$5:$D$804,$Q$7,مثال_Example!$E$5:$E$804,$Q$8,مثال_Example!$F$5:$F$804,$Q$9,مثال_Example!$G$5:$G$804,$Q$10,مثال_Example!$C$5:$C$804,$B77))+(SUMIFS(Data!$V$5:$V$5004,Data!$B$5:$B$5004,$Q$6,Data!$D$5:$D$5004,$Q$7,Data!$E$5:$E$5004,$Q$8,Data!$F$5:$F$5004,$Q$9,Data!$G$5:$G$5004,$Q$10,Data!$C$5:$C$5004,$B77)+ExOn*SUMIFS(مثال_Example!$V$5:$V$804,مثال_Example!$B$5:$B$804,$Q$6,مثال_Example!$D$5:$D$804,$Q$7,مثال_Example!$E$5:$E$804,$Q$8,مثال_Example!$F$5:$F$804,$Q$9,مثال_Example!$G$5:$G$804,$Q$10,مثال_Example!$C$5:$C$804,$B77)))</f>
        <v/>
      </c>
      <c r="L77" s="39" t="str">
        <f aca="false">IF($B77="","",(SUMIFS(Data!$V$5:$V$5004,Data!$B$5:$B$5004,$Q$6,Data!$D$5:$D$5004,$Q$7,Data!$E$5:$E$5004,$Q$8,Data!$F$5:$F$5004,$Q$9,Data!$G$5:$G$5004,$Q$10,Data!$C$5:$C$5004,$B77)+ExOn*SUMIFS(مثال_Example!$V$5:$V$804,مثال_Example!$B$5:$B$804,$Q$6,مثال_Example!$D$5:$D$804,$Q$7,مثال_Example!$E$5:$E$804,$Q$8,مثال_Example!$F$5:$F$804,$Q$9,مثال_Example!$G$5:$G$804,$Q$10,مثال_Example!$C$5:$C$804,$B77)))</f>
        <v/>
      </c>
      <c r="M77" s="40" t="str">
        <f aca="false">IF($B77="","",IF($K77=0,"—",L77/$K77))</f>
        <v/>
      </c>
      <c r="N77" s="40" t="str">
        <f aca="false">IF($B77="","",IF($K77=0,"—",((SUMIFS(Data!$U$5:$U$5004,Data!$B$5:$B$5004,$Q$6,Data!$D$5:$D$5004,$Q$7,Data!$E$5:$E$5004,$Q$8,Data!$F$5:$F$5004,$Q$9,Data!$G$5:$G$5004,$Q$10,Data!$C$5:$C$5004,$B77)+ExOn*SUMIFS(مثال_Example!$U$5:$U$804,مثال_Example!$B$5:$B$804,$Q$6,مثال_Example!$D$5:$D$804,$Q$7,مثال_Example!$E$5:$E$804,$Q$8,مثال_Example!$F$5:$F$804,$Q$9,مثال_Example!$G$5:$G$804,$Q$10,مثال_Example!$C$5:$C$804,$B77))+L77)/$K77))</f>
        <v/>
      </c>
      <c r="O77" s="42" t="str">
        <f aca="false">IF($B77="","",IF($K77=0,"لا توجد بيانات",IF(ROUND((((SUMIFS(Data!$U$5:$U$5004,Data!$B$5:$B$5004,$Q$6,Data!$D$5:$D$5004,$Q$7,Data!$E$5:$E$5004,$Q$8,Data!$F$5:$F$5004,$Q$9,Data!$G$5:$G$5004,$Q$10,Data!$C$5:$C$5004,$B77)+ExOn*SUMIFS(مثال_Example!$U$5:$U$804,مثال_Example!$B$5:$B$804,$Q$6,مثال_Example!$D$5:$D$804,$Q$7,مثال_Example!$E$5:$E$804,$Q$8,مثال_Example!$F$5:$F$804,$Q$9,مثال_Example!$G$5:$G$804,$Q$10,مثال_Example!$C$5:$C$804,$B77)))+L77)/K77,10)&lt;=KeyP_VW,"Very Weak",IF(ROUND((((SUMIFS(Data!$U$5:$U$5004,Data!$B$5:$B$5004,$Q$6,Data!$D$5:$D$5004,$Q$7,Data!$E$5:$E$5004,$Q$8,Data!$F$5:$F$5004,$Q$9,Data!$G$5:$G$5004,$Q$10,Data!$C$5:$C$5004,$B77)+ExOn*SUMIFS(مثال_Example!$U$5:$U$804,مثال_Example!$B$5:$B$804,$Q$6,مثال_Example!$D$5:$D$804,$Q$7,مثال_Example!$E$5:$E$804,$Q$8,مثال_Example!$F$5:$F$804,$Q$9,مثال_Example!$G$5:$G$804,$Q$10,مثال_Example!$C$5:$C$804,$B77)))+L77)/K77,10)&lt;KeyP_Weak,"Weak",IF(ROUND(L77/K77,10)&lt;KeyP_Acc,"Acceptable",IF(ROUND(L77/K77,10)&lt;=KeyP_Good,"Good",IF(ROUND(L77/K77,10)&lt;KeyP_Out,"Very Good","Outstanding")))))))</f>
        <v/>
      </c>
      <c r="P77" s="1"/>
    </row>
    <row r="78" customFormat="false" ht="15" hidden="false" customHeight="false" outlineLevel="0" collapsed="false">
      <c r="A78" s="1"/>
      <c r="B78" s="51" t="str">
        <f aca="false">IF(Teachers!C74="","",Teachers!C74)</f>
        <v/>
      </c>
      <c r="C78" s="42" t="str">
        <f aca="false">IF($B78="","",Teachers!D74)</f>
        <v/>
      </c>
      <c r="D78" s="42" t="str">
        <f aca="false">IF($B78="","",Teachers!F74)</f>
        <v/>
      </c>
      <c r="E78" s="39" t="str">
        <f aca="false">IF($B78="","",(SUMIFS(Data!$Q$5:$Q$5004,Data!$B$5:$B$5004,$Q$6,Data!$D$5:$D$5004,$Q$7,Data!$E$5:$E$5004,$Q$8,Data!$F$5:$F$5004,$Q$9,Data!$G$5:$G$5004,$Q$10,Data!$C$5:$C$5004,$B78)+ExOn*SUMIFS(مثال_Example!$Q$5:$Q$804,مثال_Example!$B$5:$B$804,$Q$6,مثال_Example!$D$5:$D$804,$Q$7,مثال_Example!$E$5:$E$804,$Q$8,مثال_Example!$F$5:$F$804,$Q$9,مثال_Example!$G$5:$G$804,$Q$10,مثال_Example!$C$5:$C$804,$B78)))</f>
        <v/>
      </c>
      <c r="F78" s="39" t="str">
        <f aca="false">IF($B78="","",(SUMIFS(Data!$R$5:$R$5004,Data!$B$5:$B$5004,$Q$6,Data!$D$5:$D$5004,$Q$7,Data!$E$5:$E$5004,$Q$8,Data!$F$5:$F$5004,$Q$9,Data!$G$5:$G$5004,$Q$10,Data!$C$5:$C$5004,$B78)+ExOn*SUMIFS(مثال_Example!$R$5:$R$804,مثال_Example!$B$5:$B$804,$Q$6,مثال_Example!$D$5:$D$804,$Q$7,مثال_Example!$E$5:$E$804,$Q$8,مثال_Example!$F$5:$F$804,$Q$9,مثال_Example!$G$5:$G$804,$Q$10,مثال_Example!$C$5:$C$804,$B78)))</f>
        <v/>
      </c>
      <c r="G78" s="40" t="str">
        <f aca="false">IF($B78="","",IF($E78=0,"—",F78/$E78))</f>
        <v/>
      </c>
      <c r="H78" s="39" t="str">
        <f aca="false">IF($B78="","",(SUMIFS(Data!$S$5:$S$5004,Data!$B$5:$B$5004,$Q$6,Data!$D$5:$D$5004,$Q$7,Data!$E$5:$E$5004,$Q$8,Data!$F$5:$F$5004,$Q$9,Data!$G$5:$G$5004,$Q$10,Data!$C$5:$C$5004,$B78)+ExOn*SUMIFS(مثال_Example!$S$5:$S$804,مثال_Example!$B$5:$B$804,$Q$6,مثال_Example!$D$5:$D$804,$Q$7,مثال_Example!$E$5:$E$804,$Q$8,مثال_Example!$F$5:$F$804,$Q$9,مثال_Example!$G$5:$G$804,$Q$10,مثال_Example!$C$5:$C$804,$B78)))</f>
        <v/>
      </c>
      <c r="I78" s="40" t="str">
        <f aca="false">IF($B78="","",IF($E78=0,"—",H78/$E78))</f>
        <v/>
      </c>
      <c r="J78" s="42" t="str">
        <f aca="false">IF($B78="","",IF($E78=0,"لا توجد بيانات",IF(ROUND(F78/E78,10)&lt;=KeyA_VW,"Very Weak",IF(ROUND(F78/E78,10)&lt;KeyA_Weak,"Weak",IF(ROUND(H78/E78,10)&lt;KeyA_Acc,"Acceptable",IF(ROUND(H78/E78,10)&lt;=KeyA_Good,"Good",IF(ROUND(H78/E78,10)&lt;KeyA_Out,"Very Good","Outstanding")))))))</f>
        <v/>
      </c>
      <c r="K78" s="39" t="str">
        <f aca="false">IF($B78="","",(SUMIFS(Data!$T$5:$T$5004,Data!$B$5:$B$5004,$Q$6,Data!$D$5:$D$5004,$Q$7,Data!$E$5:$E$5004,$Q$8,Data!$F$5:$F$5004,$Q$9,Data!$G$5:$G$5004,$Q$10,Data!$C$5:$C$5004,$B78)+ExOn*SUMIFS(مثال_Example!$T$5:$T$804,مثال_Example!$B$5:$B$804,$Q$6,مثال_Example!$D$5:$D$804,$Q$7,مثال_Example!$E$5:$E$804,$Q$8,مثال_Example!$F$5:$F$804,$Q$9,مثال_Example!$G$5:$G$804,$Q$10,مثال_Example!$C$5:$C$804,$B78))+(SUMIFS(Data!$U$5:$U$5004,Data!$B$5:$B$5004,$Q$6,Data!$D$5:$D$5004,$Q$7,Data!$E$5:$E$5004,$Q$8,Data!$F$5:$F$5004,$Q$9,Data!$G$5:$G$5004,$Q$10,Data!$C$5:$C$5004,$B78)+ExOn*SUMIFS(مثال_Example!$U$5:$U$804,مثال_Example!$B$5:$B$804,$Q$6,مثال_Example!$D$5:$D$804,$Q$7,مثال_Example!$E$5:$E$804,$Q$8,مثال_Example!$F$5:$F$804,$Q$9,مثال_Example!$G$5:$G$804,$Q$10,مثال_Example!$C$5:$C$804,$B78))+(SUMIFS(Data!$V$5:$V$5004,Data!$B$5:$B$5004,$Q$6,Data!$D$5:$D$5004,$Q$7,Data!$E$5:$E$5004,$Q$8,Data!$F$5:$F$5004,$Q$9,Data!$G$5:$G$5004,$Q$10,Data!$C$5:$C$5004,$B78)+ExOn*SUMIFS(مثال_Example!$V$5:$V$804,مثال_Example!$B$5:$B$804,$Q$6,مثال_Example!$D$5:$D$804,$Q$7,مثال_Example!$E$5:$E$804,$Q$8,مثال_Example!$F$5:$F$804,$Q$9,مثال_Example!$G$5:$G$804,$Q$10,مثال_Example!$C$5:$C$804,$B78)))</f>
        <v/>
      </c>
      <c r="L78" s="39" t="str">
        <f aca="false">IF($B78="","",(SUMIFS(Data!$V$5:$V$5004,Data!$B$5:$B$5004,$Q$6,Data!$D$5:$D$5004,$Q$7,Data!$E$5:$E$5004,$Q$8,Data!$F$5:$F$5004,$Q$9,Data!$G$5:$G$5004,$Q$10,Data!$C$5:$C$5004,$B78)+ExOn*SUMIFS(مثال_Example!$V$5:$V$804,مثال_Example!$B$5:$B$804,$Q$6,مثال_Example!$D$5:$D$804,$Q$7,مثال_Example!$E$5:$E$804,$Q$8,مثال_Example!$F$5:$F$804,$Q$9,مثال_Example!$G$5:$G$804,$Q$10,مثال_Example!$C$5:$C$804,$B78)))</f>
        <v/>
      </c>
      <c r="M78" s="40" t="str">
        <f aca="false">IF($B78="","",IF($K78=0,"—",L78/$K78))</f>
        <v/>
      </c>
      <c r="N78" s="40" t="str">
        <f aca="false">IF($B78="","",IF($K78=0,"—",((SUMIFS(Data!$U$5:$U$5004,Data!$B$5:$B$5004,$Q$6,Data!$D$5:$D$5004,$Q$7,Data!$E$5:$E$5004,$Q$8,Data!$F$5:$F$5004,$Q$9,Data!$G$5:$G$5004,$Q$10,Data!$C$5:$C$5004,$B78)+ExOn*SUMIFS(مثال_Example!$U$5:$U$804,مثال_Example!$B$5:$B$804,$Q$6,مثال_Example!$D$5:$D$804,$Q$7,مثال_Example!$E$5:$E$804,$Q$8,مثال_Example!$F$5:$F$804,$Q$9,مثال_Example!$G$5:$G$804,$Q$10,مثال_Example!$C$5:$C$804,$B78))+L78)/$K78))</f>
        <v/>
      </c>
      <c r="O78" s="42" t="str">
        <f aca="false">IF($B78="","",IF($K78=0,"لا توجد بيانات",IF(ROUND((((SUMIFS(Data!$U$5:$U$5004,Data!$B$5:$B$5004,$Q$6,Data!$D$5:$D$5004,$Q$7,Data!$E$5:$E$5004,$Q$8,Data!$F$5:$F$5004,$Q$9,Data!$G$5:$G$5004,$Q$10,Data!$C$5:$C$5004,$B78)+ExOn*SUMIFS(مثال_Example!$U$5:$U$804,مثال_Example!$B$5:$B$804,$Q$6,مثال_Example!$D$5:$D$804,$Q$7,مثال_Example!$E$5:$E$804,$Q$8,مثال_Example!$F$5:$F$804,$Q$9,مثال_Example!$G$5:$G$804,$Q$10,مثال_Example!$C$5:$C$804,$B78)))+L78)/K78,10)&lt;=KeyP_VW,"Very Weak",IF(ROUND((((SUMIFS(Data!$U$5:$U$5004,Data!$B$5:$B$5004,$Q$6,Data!$D$5:$D$5004,$Q$7,Data!$E$5:$E$5004,$Q$8,Data!$F$5:$F$5004,$Q$9,Data!$G$5:$G$5004,$Q$10,Data!$C$5:$C$5004,$B78)+ExOn*SUMIFS(مثال_Example!$U$5:$U$804,مثال_Example!$B$5:$B$804,$Q$6,مثال_Example!$D$5:$D$804,$Q$7,مثال_Example!$E$5:$E$804,$Q$8,مثال_Example!$F$5:$F$804,$Q$9,مثال_Example!$G$5:$G$804,$Q$10,مثال_Example!$C$5:$C$804,$B78)))+L78)/K78,10)&lt;KeyP_Weak,"Weak",IF(ROUND(L78/K78,10)&lt;KeyP_Acc,"Acceptable",IF(ROUND(L78/K78,10)&lt;=KeyP_Good,"Good",IF(ROUND(L78/K78,10)&lt;KeyP_Out,"Very Good","Outstanding")))))))</f>
        <v/>
      </c>
      <c r="P78" s="1"/>
    </row>
    <row r="79" customFormat="false" ht="15" hidden="false" customHeight="false" outlineLevel="0" collapsed="false">
      <c r="A79" s="1"/>
      <c r="B79" s="51" t="str">
        <f aca="false">IF(Teachers!C75="","",Teachers!C75)</f>
        <v/>
      </c>
      <c r="C79" s="42" t="str">
        <f aca="false">IF($B79="","",Teachers!D75)</f>
        <v/>
      </c>
      <c r="D79" s="42" t="str">
        <f aca="false">IF($B79="","",Teachers!F75)</f>
        <v/>
      </c>
      <c r="E79" s="39" t="str">
        <f aca="false">IF($B79="","",(SUMIFS(Data!$Q$5:$Q$5004,Data!$B$5:$B$5004,$Q$6,Data!$D$5:$D$5004,$Q$7,Data!$E$5:$E$5004,$Q$8,Data!$F$5:$F$5004,$Q$9,Data!$G$5:$G$5004,$Q$10,Data!$C$5:$C$5004,$B79)+ExOn*SUMIFS(مثال_Example!$Q$5:$Q$804,مثال_Example!$B$5:$B$804,$Q$6,مثال_Example!$D$5:$D$804,$Q$7,مثال_Example!$E$5:$E$804,$Q$8,مثال_Example!$F$5:$F$804,$Q$9,مثال_Example!$G$5:$G$804,$Q$10,مثال_Example!$C$5:$C$804,$B79)))</f>
        <v/>
      </c>
      <c r="F79" s="39" t="str">
        <f aca="false">IF($B79="","",(SUMIFS(Data!$R$5:$R$5004,Data!$B$5:$B$5004,$Q$6,Data!$D$5:$D$5004,$Q$7,Data!$E$5:$E$5004,$Q$8,Data!$F$5:$F$5004,$Q$9,Data!$G$5:$G$5004,$Q$10,Data!$C$5:$C$5004,$B79)+ExOn*SUMIFS(مثال_Example!$R$5:$R$804,مثال_Example!$B$5:$B$804,$Q$6,مثال_Example!$D$5:$D$804,$Q$7,مثال_Example!$E$5:$E$804,$Q$8,مثال_Example!$F$5:$F$804,$Q$9,مثال_Example!$G$5:$G$804,$Q$10,مثال_Example!$C$5:$C$804,$B79)))</f>
        <v/>
      </c>
      <c r="G79" s="40" t="str">
        <f aca="false">IF($B79="","",IF($E79=0,"—",F79/$E79))</f>
        <v/>
      </c>
      <c r="H79" s="39" t="str">
        <f aca="false">IF($B79="","",(SUMIFS(Data!$S$5:$S$5004,Data!$B$5:$B$5004,$Q$6,Data!$D$5:$D$5004,$Q$7,Data!$E$5:$E$5004,$Q$8,Data!$F$5:$F$5004,$Q$9,Data!$G$5:$G$5004,$Q$10,Data!$C$5:$C$5004,$B79)+ExOn*SUMIFS(مثال_Example!$S$5:$S$804,مثال_Example!$B$5:$B$804,$Q$6,مثال_Example!$D$5:$D$804,$Q$7,مثال_Example!$E$5:$E$804,$Q$8,مثال_Example!$F$5:$F$804,$Q$9,مثال_Example!$G$5:$G$804,$Q$10,مثال_Example!$C$5:$C$804,$B79)))</f>
        <v/>
      </c>
      <c r="I79" s="40" t="str">
        <f aca="false">IF($B79="","",IF($E79=0,"—",H79/$E79))</f>
        <v/>
      </c>
      <c r="J79" s="42" t="str">
        <f aca="false">IF($B79="","",IF($E79=0,"لا توجد بيانات",IF(ROUND(F79/E79,10)&lt;=KeyA_VW,"Very Weak",IF(ROUND(F79/E79,10)&lt;KeyA_Weak,"Weak",IF(ROUND(H79/E79,10)&lt;KeyA_Acc,"Acceptable",IF(ROUND(H79/E79,10)&lt;=KeyA_Good,"Good",IF(ROUND(H79/E79,10)&lt;KeyA_Out,"Very Good","Outstanding")))))))</f>
        <v/>
      </c>
      <c r="K79" s="39" t="str">
        <f aca="false">IF($B79="","",(SUMIFS(Data!$T$5:$T$5004,Data!$B$5:$B$5004,$Q$6,Data!$D$5:$D$5004,$Q$7,Data!$E$5:$E$5004,$Q$8,Data!$F$5:$F$5004,$Q$9,Data!$G$5:$G$5004,$Q$10,Data!$C$5:$C$5004,$B79)+ExOn*SUMIFS(مثال_Example!$T$5:$T$804,مثال_Example!$B$5:$B$804,$Q$6,مثال_Example!$D$5:$D$804,$Q$7,مثال_Example!$E$5:$E$804,$Q$8,مثال_Example!$F$5:$F$804,$Q$9,مثال_Example!$G$5:$G$804,$Q$10,مثال_Example!$C$5:$C$804,$B79))+(SUMIFS(Data!$U$5:$U$5004,Data!$B$5:$B$5004,$Q$6,Data!$D$5:$D$5004,$Q$7,Data!$E$5:$E$5004,$Q$8,Data!$F$5:$F$5004,$Q$9,Data!$G$5:$G$5004,$Q$10,Data!$C$5:$C$5004,$B79)+ExOn*SUMIFS(مثال_Example!$U$5:$U$804,مثال_Example!$B$5:$B$804,$Q$6,مثال_Example!$D$5:$D$804,$Q$7,مثال_Example!$E$5:$E$804,$Q$8,مثال_Example!$F$5:$F$804,$Q$9,مثال_Example!$G$5:$G$804,$Q$10,مثال_Example!$C$5:$C$804,$B79))+(SUMIFS(Data!$V$5:$V$5004,Data!$B$5:$B$5004,$Q$6,Data!$D$5:$D$5004,$Q$7,Data!$E$5:$E$5004,$Q$8,Data!$F$5:$F$5004,$Q$9,Data!$G$5:$G$5004,$Q$10,Data!$C$5:$C$5004,$B79)+ExOn*SUMIFS(مثال_Example!$V$5:$V$804,مثال_Example!$B$5:$B$804,$Q$6,مثال_Example!$D$5:$D$804,$Q$7,مثال_Example!$E$5:$E$804,$Q$8,مثال_Example!$F$5:$F$804,$Q$9,مثال_Example!$G$5:$G$804,$Q$10,مثال_Example!$C$5:$C$804,$B79)))</f>
        <v/>
      </c>
      <c r="L79" s="39" t="str">
        <f aca="false">IF($B79="","",(SUMIFS(Data!$V$5:$V$5004,Data!$B$5:$B$5004,$Q$6,Data!$D$5:$D$5004,$Q$7,Data!$E$5:$E$5004,$Q$8,Data!$F$5:$F$5004,$Q$9,Data!$G$5:$G$5004,$Q$10,Data!$C$5:$C$5004,$B79)+ExOn*SUMIFS(مثال_Example!$V$5:$V$804,مثال_Example!$B$5:$B$804,$Q$6,مثال_Example!$D$5:$D$804,$Q$7,مثال_Example!$E$5:$E$804,$Q$8,مثال_Example!$F$5:$F$804,$Q$9,مثال_Example!$G$5:$G$804,$Q$10,مثال_Example!$C$5:$C$804,$B79)))</f>
        <v/>
      </c>
      <c r="M79" s="40" t="str">
        <f aca="false">IF($B79="","",IF($K79=0,"—",L79/$K79))</f>
        <v/>
      </c>
      <c r="N79" s="40" t="str">
        <f aca="false">IF($B79="","",IF($K79=0,"—",((SUMIFS(Data!$U$5:$U$5004,Data!$B$5:$B$5004,$Q$6,Data!$D$5:$D$5004,$Q$7,Data!$E$5:$E$5004,$Q$8,Data!$F$5:$F$5004,$Q$9,Data!$G$5:$G$5004,$Q$10,Data!$C$5:$C$5004,$B79)+ExOn*SUMIFS(مثال_Example!$U$5:$U$804,مثال_Example!$B$5:$B$804,$Q$6,مثال_Example!$D$5:$D$804,$Q$7,مثال_Example!$E$5:$E$804,$Q$8,مثال_Example!$F$5:$F$804,$Q$9,مثال_Example!$G$5:$G$804,$Q$10,مثال_Example!$C$5:$C$804,$B79))+L79)/$K79))</f>
        <v/>
      </c>
      <c r="O79" s="42" t="str">
        <f aca="false">IF($B79="","",IF($K79=0,"لا توجد بيانات",IF(ROUND((((SUMIFS(Data!$U$5:$U$5004,Data!$B$5:$B$5004,$Q$6,Data!$D$5:$D$5004,$Q$7,Data!$E$5:$E$5004,$Q$8,Data!$F$5:$F$5004,$Q$9,Data!$G$5:$G$5004,$Q$10,Data!$C$5:$C$5004,$B79)+ExOn*SUMIFS(مثال_Example!$U$5:$U$804,مثال_Example!$B$5:$B$804,$Q$6,مثال_Example!$D$5:$D$804,$Q$7,مثال_Example!$E$5:$E$804,$Q$8,مثال_Example!$F$5:$F$804,$Q$9,مثال_Example!$G$5:$G$804,$Q$10,مثال_Example!$C$5:$C$804,$B79)))+L79)/K79,10)&lt;=KeyP_VW,"Very Weak",IF(ROUND((((SUMIFS(Data!$U$5:$U$5004,Data!$B$5:$B$5004,$Q$6,Data!$D$5:$D$5004,$Q$7,Data!$E$5:$E$5004,$Q$8,Data!$F$5:$F$5004,$Q$9,Data!$G$5:$G$5004,$Q$10,Data!$C$5:$C$5004,$B79)+ExOn*SUMIFS(مثال_Example!$U$5:$U$804,مثال_Example!$B$5:$B$804,$Q$6,مثال_Example!$D$5:$D$804,$Q$7,مثال_Example!$E$5:$E$804,$Q$8,مثال_Example!$F$5:$F$804,$Q$9,مثال_Example!$G$5:$G$804,$Q$10,مثال_Example!$C$5:$C$804,$B79)))+L79)/K79,10)&lt;KeyP_Weak,"Weak",IF(ROUND(L79/K79,10)&lt;KeyP_Acc,"Acceptable",IF(ROUND(L79/K79,10)&lt;=KeyP_Good,"Good",IF(ROUND(L79/K79,10)&lt;KeyP_Out,"Very Good","Outstanding")))))))</f>
        <v/>
      </c>
      <c r="P79" s="1"/>
    </row>
    <row r="80" customFormat="false" ht="15" hidden="false" customHeight="false" outlineLevel="0" collapsed="false">
      <c r="A80" s="1"/>
      <c r="B80" s="51" t="s">
        <v>225</v>
      </c>
      <c r="C80" s="42" t="s">
        <v>226</v>
      </c>
      <c r="D80" s="42" t="n">
        <f aca="false">COUNTIF(Classes!$H$6:$H$420,B80)</f>
        <v>3</v>
      </c>
      <c r="E80" s="39" t="n">
        <f aca="false">IF($B80="","",(SUMIFS(Data!$Q$5:$Q$5004,Data!$B$5:$B$5004,$Q$6,Data!$D$5:$D$5004,$Q$7,Data!$E$5:$E$5004,$Q$8,Data!$F$5:$F$5004,$Q$9,Data!$G$5:$G$5004,$Q$10,Data!$C$5:$C$5004,$B80)+ExOn*SUMIFS(مثال_Example!$Q$5:$Q$804,مثال_Example!$B$5:$B$804,$Q$6,مثال_Example!$D$5:$D$804,$Q$7,مثال_Example!$E$5:$E$804,$Q$8,مثال_Example!$F$5:$F$804,$Q$9,مثال_Example!$G$5:$G$804,$Q$10,مثال_Example!$C$5:$C$804,$B80)))</f>
        <v>0</v>
      </c>
      <c r="F80" s="39" t="n">
        <f aca="false">IF($B80="","",(SUMIFS(Data!$R$5:$R$5004,Data!$B$5:$B$5004,$Q$6,Data!$D$5:$D$5004,$Q$7,Data!$E$5:$E$5004,$Q$8,Data!$F$5:$F$5004,$Q$9,Data!$G$5:$G$5004,$Q$10,Data!$C$5:$C$5004,$B80)+ExOn*SUMIFS(مثال_Example!$R$5:$R$804,مثال_Example!$B$5:$B$804,$Q$6,مثال_Example!$D$5:$D$804,$Q$7,مثال_Example!$E$5:$E$804,$Q$8,مثال_Example!$F$5:$F$804,$Q$9,مثال_Example!$G$5:$G$804,$Q$10,مثال_Example!$C$5:$C$804,$B80)))</f>
        <v>0</v>
      </c>
      <c r="G80" s="40" t="str">
        <f aca="false">IF($B80="","",IF($E80=0,"—",F80/$E80))</f>
        <v>—</v>
      </c>
      <c r="H80" s="39" t="n">
        <f aca="false">IF($B80="","",(SUMIFS(Data!$S$5:$S$5004,Data!$B$5:$B$5004,$Q$6,Data!$D$5:$D$5004,$Q$7,Data!$E$5:$E$5004,$Q$8,Data!$F$5:$F$5004,$Q$9,Data!$G$5:$G$5004,$Q$10,Data!$C$5:$C$5004,$B80)+ExOn*SUMIFS(مثال_Example!$S$5:$S$804,مثال_Example!$B$5:$B$804,$Q$6,مثال_Example!$D$5:$D$804,$Q$7,مثال_Example!$E$5:$E$804,$Q$8,مثال_Example!$F$5:$F$804,$Q$9,مثال_Example!$G$5:$G$804,$Q$10,مثال_Example!$C$5:$C$804,$B80)))</f>
        <v>0</v>
      </c>
      <c r="I80" s="40" t="str">
        <f aca="false">IF($B80="","",IF($E80=0,"—",H80/$E80))</f>
        <v>—</v>
      </c>
      <c r="J80" s="42" t="str">
        <f aca="false">IF($B80="","",IF($E80=0,"لا توجد بيانات",IF(ROUND(F80/E80,10)&lt;=KeyA_VW,"Very Weak",IF(ROUND(F80/E80,10)&lt;KeyA_Weak,"Weak",IF(ROUND(H80/E80,10)&lt;KeyA_Acc,"Acceptable",IF(ROUND(H80/E80,10)&lt;=KeyA_Good,"Good",IF(ROUND(H80/E80,10)&lt;KeyA_Out,"Very Good","Outstanding")))))))</f>
        <v>لا توجد بيانات</v>
      </c>
      <c r="K80" s="39" t="n">
        <f aca="false">IF($B80="","",(SUMIFS(Data!$T$5:$T$5004,Data!$B$5:$B$5004,$Q$6,Data!$D$5:$D$5004,$Q$7,Data!$E$5:$E$5004,$Q$8,Data!$F$5:$F$5004,$Q$9,Data!$G$5:$G$5004,$Q$10,Data!$C$5:$C$5004,$B80)+ExOn*SUMIFS(مثال_Example!$T$5:$T$804,مثال_Example!$B$5:$B$804,$Q$6,مثال_Example!$D$5:$D$804,$Q$7,مثال_Example!$E$5:$E$804,$Q$8,مثال_Example!$F$5:$F$804,$Q$9,مثال_Example!$G$5:$G$804,$Q$10,مثال_Example!$C$5:$C$804,$B80))+(SUMIFS(Data!$U$5:$U$5004,Data!$B$5:$B$5004,$Q$6,Data!$D$5:$D$5004,$Q$7,Data!$E$5:$E$5004,$Q$8,Data!$F$5:$F$5004,$Q$9,Data!$G$5:$G$5004,$Q$10,Data!$C$5:$C$5004,$B80)+ExOn*SUMIFS(مثال_Example!$U$5:$U$804,مثال_Example!$B$5:$B$804,$Q$6,مثال_Example!$D$5:$D$804,$Q$7,مثال_Example!$E$5:$E$804,$Q$8,مثال_Example!$F$5:$F$804,$Q$9,مثال_Example!$G$5:$G$804,$Q$10,مثال_Example!$C$5:$C$804,$B80))+(SUMIFS(Data!$V$5:$V$5004,Data!$B$5:$B$5004,$Q$6,Data!$D$5:$D$5004,$Q$7,Data!$E$5:$E$5004,$Q$8,Data!$F$5:$F$5004,$Q$9,Data!$G$5:$G$5004,$Q$10,Data!$C$5:$C$5004,$B80)+ExOn*SUMIFS(مثال_Example!$V$5:$V$804,مثال_Example!$B$5:$B$804,$Q$6,مثال_Example!$D$5:$D$804,$Q$7,مثال_Example!$E$5:$E$804,$Q$8,مثال_Example!$F$5:$F$804,$Q$9,مثال_Example!$G$5:$G$804,$Q$10,مثال_Example!$C$5:$C$804,$B80)))</f>
        <v>0</v>
      </c>
      <c r="L80" s="39" t="n">
        <f aca="false">IF($B80="","",(SUMIFS(Data!$V$5:$V$5004,Data!$B$5:$B$5004,$Q$6,Data!$D$5:$D$5004,$Q$7,Data!$E$5:$E$5004,$Q$8,Data!$F$5:$F$5004,$Q$9,Data!$G$5:$G$5004,$Q$10,Data!$C$5:$C$5004,$B80)+ExOn*SUMIFS(مثال_Example!$V$5:$V$804,مثال_Example!$B$5:$B$804,$Q$6,مثال_Example!$D$5:$D$804,$Q$7,مثال_Example!$E$5:$E$804,$Q$8,مثال_Example!$F$5:$F$804,$Q$9,مثال_Example!$G$5:$G$804,$Q$10,مثال_Example!$C$5:$C$804,$B80)))</f>
        <v>0</v>
      </c>
      <c r="M80" s="40" t="str">
        <f aca="false">IF($B80="","",IF($K80=0,"—",L80/$K80))</f>
        <v>—</v>
      </c>
      <c r="N80" s="40" t="str">
        <f aca="false">IF($B80="","",IF($K80=0,"—",((SUMIFS(Data!$U$5:$U$5004,Data!$B$5:$B$5004,$Q$6,Data!$D$5:$D$5004,$Q$7,Data!$E$5:$E$5004,$Q$8,Data!$F$5:$F$5004,$Q$9,Data!$G$5:$G$5004,$Q$10,Data!$C$5:$C$5004,$B80)+ExOn*SUMIFS(مثال_Example!$U$5:$U$804,مثال_Example!$B$5:$B$804,$Q$6,مثال_Example!$D$5:$D$804,$Q$7,مثال_Example!$E$5:$E$804,$Q$8,مثال_Example!$F$5:$F$804,$Q$9,مثال_Example!$G$5:$G$804,$Q$10,مثال_Example!$C$5:$C$804,$B80))+L80)/$K80))</f>
        <v>—</v>
      </c>
      <c r="O80" s="42" t="str">
        <f aca="false">IF($B80="","",IF($K80=0,"لا توجد بيانات",IF(ROUND((((SUMIFS(Data!$U$5:$U$5004,Data!$B$5:$B$5004,$Q$6,Data!$D$5:$D$5004,$Q$7,Data!$E$5:$E$5004,$Q$8,Data!$F$5:$F$5004,$Q$9,Data!$G$5:$G$5004,$Q$10,Data!$C$5:$C$5004,$B80)+ExOn*SUMIFS(مثال_Example!$U$5:$U$804,مثال_Example!$B$5:$B$804,$Q$6,مثال_Example!$D$5:$D$804,$Q$7,مثال_Example!$E$5:$E$804,$Q$8,مثال_Example!$F$5:$F$804,$Q$9,مثال_Example!$G$5:$G$804,$Q$10,مثال_Example!$C$5:$C$804,$B80)))+L80)/K80,10)&lt;=KeyP_VW,"Very Weak",IF(ROUND((((SUMIFS(Data!$U$5:$U$5004,Data!$B$5:$B$5004,$Q$6,Data!$D$5:$D$5004,$Q$7,Data!$E$5:$E$5004,$Q$8,Data!$F$5:$F$5004,$Q$9,Data!$G$5:$G$5004,$Q$10,Data!$C$5:$C$5004,$B80)+ExOn*SUMIFS(مثال_Example!$U$5:$U$804,مثال_Example!$B$5:$B$804,$Q$6,مثال_Example!$D$5:$D$804,$Q$7,مثال_Example!$E$5:$E$804,$Q$8,مثال_Example!$F$5:$F$804,$Q$9,مثال_Example!$G$5:$G$804,$Q$10,مثال_Example!$C$5:$C$804,$B80)))+L80)/K80,10)&lt;KeyP_Weak,"Weak",IF(ROUND(L80/K80,10)&lt;KeyP_Acc,"Acceptable",IF(ROUND(L80/K80,10)&lt;=KeyP_Good,"Good",IF(ROUND(L80/K80,10)&lt;KeyP_Out,"Very Good","Outstanding")))))))</f>
        <v>لا توجد بيانات</v>
      </c>
      <c r="P80" s="1"/>
    </row>
    <row r="81" customFormat="false" ht="15" hidden="false" customHeight="false" outlineLevel="0" collapsed="false">
      <c r="A81" s="1"/>
      <c r="B81" s="51" t="s">
        <v>225</v>
      </c>
      <c r="C81" s="42" t="s">
        <v>226</v>
      </c>
      <c r="D81" s="42" t="n">
        <f aca="false">COUNTIF(Classes!$H$6:$H$420,B81)</f>
        <v>3</v>
      </c>
      <c r="E81" s="39" t="n">
        <f aca="false">IF($B81="","",(SUMIFS(Data!$Q$5:$Q$5004,Data!$B$5:$B$5004,$Q$6,Data!$D$5:$D$5004,$Q$7,Data!$E$5:$E$5004,$Q$8,Data!$F$5:$F$5004,$Q$9,Data!$G$5:$G$5004,$Q$10,Data!$C$5:$C$5004,$B81)+ExOn*SUMIFS(مثال_Example!$Q$5:$Q$804,مثال_Example!$B$5:$B$804,$Q$6,مثال_Example!$D$5:$D$804,$Q$7,مثال_Example!$E$5:$E$804,$Q$8,مثال_Example!$F$5:$F$804,$Q$9,مثال_Example!$G$5:$G$804,$Q$10,مثال_Example!$C$5:$C$804,$B81)))</f>
        <v>0</v>
      </c>
      <c r="F81" s="39" t="n">
        <f aca="false">IF($B81="","",(SUMIFS(Data!$R$5:$R$5004,Data!$B$5:$B$5004,$Q$6,Data!$D$5:$D$5004,$Q$7,Data!$E$5:$E$5004,$Q$8,Data!$F$5:$F$5004,$Q$9,Data!$G$5:$G$5004,$Q$10,Data!$C$5:$C$5004,$B81)+ExOn*SUMIFS(مثال_Example!$R$5:$R$804,مثال_Example!$B$5:$B$804,$Q$6,مثال_Example!$D$5:$D$804,$Q$7,مثال_Example!$E$5:$E$804,$Q$8,مثال_Example!$F$5:$F$804,$Q$9,مثال_Example!$G$5:$G$804,$Q$10,مثال_Example!$C$5:$C$804,$B81)))</f>
        <v>0</v>
      </c>
      <c r="G81" s="40" t="str">
        <f aca="false">IF($B81="","",IF($E81=0,"—",F81/$E81))</f>
        <v>—</v>
      </c>
      <c r="H81" s="39" t="n">
        <f aca="false">IF($B81="","",(SUMIFS(Data!$S$5:$S$5004,Data!$B$5:$B$5004,$Q$6,Data!$D$5:$D$5004,$Q$7,Data!$E$5:$E$5004,$Q$8,Data!$F$5:$F$5004,$Q$9,Data!$G$5:$G$5004,$Q$10,Data!$C$5:$C$5004,$B81)+ExOn*SUMIFS(مثال_Example!$S$5:$S$804,مثال_Example!$B$5:$B$804,$Q$6,مثال_Example!$D$5:$D$804,$Q$7,مثال_Example!$E$5:$E$804,$Q$8,مثال_Example!$F$5:$F$804,$Q$9,مثال_Example!$G$5:$G$804,$Q$10,مثال_Example!$C$5:$C$804,$B81)))</f>
        <v>0</v>
      </c>
      <c r="I81" s="40" t="str">
        <f aca="false">IF($B81="","",IF($E81=0,"—",H81/$E81))</f>
        <v>—</v>
      </c>
      <c r="J81" s="42" t="str">
        <f aca="false">IF($B81="","",IF($E81=0,"لا توجد بيانات",IF(ROUND(F81/E81,10)&lt;=KeyA_VW,"Very Weak",IF(ROUND(F81/E81,10)&lt;KeyA_Weak,"Weak",IF(ROUND(H81/E81,10)&lt;KeyA_Acc,"Acceptable",IF(ROUND(H81/E81,10)&lt;=KeyA_Good,"Good",IF(ROUND(H81/E81,10)&lt;KeyA_Out,"Very Good","Outstanding")))))))</f>
        <v>لا توجد بيانات</v>
      </c>
      <c r="K81" s="39" t="n">
        <f aca="false">IF($B81="","",(SUMIFS(Data!$T$5:$T$5004,Data!$B$5:$B$5004,$Q$6,Data!$D$5:$D$5004,$Q$7,Data!$E$5:$E$5004,$Q$8,Data!$F$5:$F$5004,$Q$9,Data!$G$5:$G$5004,$Q$10,Data!$C$5:$C$5004,$B81)+ExOn*SUMIFS(مثال_Example!$T$5:$T$804,مثال_Example!$B$5:$B$804,$Q$6,مثال_Example!$D$5:$D$804,$Q$7,مثال_Example!$E$5:$E$804,$Q$8,مثال_Example!$F$5:$F$804,$Q$9,مثال_Example!$G$5:$G$804,$Q$10,مثال_Example!$C$5:$C$804,$B81))+(SUMIFS(Data!$U$5:$U$5004,Data!$B$5:$B$5004,$Q$6,Data!$D$5:$D$5004,$Q$7,Data!$E$5:$E$5004,$Q$8,Data!$F$5:$F$5004,$Q$9,Data!$G$5:$G$5004,$Q$10,Data!$C$5:$C$5004,$B81)+ExOn*SUMIFS(مثال_Example!$U$5:$U$804,مثال_Example!$B$5:$B$804,$Q$6,مثال_Example!$D$5:$D$804,$Q$7,مثال_Example!$E$5:$E$804,$Q$8,مثال_Example!$F$5:$F$804,$Q$9,مثال_Example!$G$5:$G$804,$Q$10,مثال_Example!$C$5:$C$804,$B81))+(SUMIFS(Data!$V$5:$V$5004,Data!$B$5:$B$5004,$Q$6,Data!$D$5:$D$5004,$Q$7,Data!$E$5:$E$5004,$Q$8,Data!$F$5:$F$5004,$Q$9,Data!$G$5:$G$5004,$Q$10,Data!$C$5:$C$5004,$B81)+ExOn*SUMIFS(مثال_Example!$V$5:$V$804,مثال_Example!$B$5:$B$804,$Q$6,مثال_Example!$D$5:$D$804,$Q$7,مثال_Example!$E$5:$E$804,$Q$8,مثال_Example!$F$5:$F$804,$Q$9,مثال_Example!$G$5:$G$804,$Q$10,مثال_Example!$C$5:$C$804,$B81)))</f>
        <v>0</v>
      </c>
      <c r="L81" s="39" t="n">
        <f aca="false">IF($B81="","",(SUMIFS(Data!$V$5:$V$5004,Data!$B$5:$B$5004,$Q$6,Data!$D$5:$D$5004,$Q$7,Data!$E$5:$E$5004,$Q$8,Data!$F$5:$F$5004,$Q$9,Data!$G$5:$G$5004,$Q$10,Data!$C$5:$C$5004,$B81)+ExOn*SUMIFS(مثال_Example!$V$5:$V$804,مثال_Example!$B$5:$B$804,$Q$6,مثال_Example!$D$5:$D$804,$Q$7,مثال_Example!$E$5:$E$804,$Q$8,مثال_Example!$F$5:$F$804,$Q$9,مثال_Example!$G$5:$G$804,$Q$10,مثال_Example!$C$5:$C$804,$B81)))</f>
        <v>0</v>
      </c>
      <c r="M81" s="40" t="str">
        <f aca="false">IF($B81="","",IF($K81=0,"—",L81/$K81))</f>
        <v>—</v>
      </c>
      <c r="N81" s="40" t="str">
        <f aca="false">IF($B81="","",IF($K81=0,"—",((SUMIFS(Data!$U$5:$U$5004,Data!$B$5:$B$5004,$Q$6,Data!$D$5:$D$5004,$Q$7,Data!$E$5:$E$5004,$Q$8,Data!$F$5:$F$5004,$Q$9,Data!$G$5:$G$5004,$Q$10,Data!$C$5:$C$5004,$B81)+ExOn*SUMIFS(مثال_Example!$U$5:$U$804,مثال_Example!$B$5:$B$804,$Q$6,مثال_Example!$D$5:$D$804,$Q$7,مثال_Example!$E$5:$E$804,$Q$8,مثال_Example!$F$5:$F$804,$Q$9,مثال_Example!$G$5:$G$804,$Q$10,مثال_Example!$C$5:$C$804,$B81))+L81)/$K81))</f>
        <v>—</v>
      </c>
      <c r="O81" s="42" t="str">
        <f aca="false">IF($B81="","",IF($K81=0,"لا توجد بيانات",IF(ROUND((((SUMIFS(Data!$U$5:$U$5004,Data!$B$5:$B$5004,$Q$6,Data!$D$5:$D$5004,$Q$7,Data!$E$5:$E$5004,$Q$8,Data!$F$5:$F$5004,$Q$9,Data!$G$5:$G$5004,$Q$10,Data!$C$5:$C$5004,$B81)+ExOn*SUMIFS(مثال_Example!$U$5:$U$804,مثال_Example!$B$5:$B$804,$Q$6,مثال_Example!$D$5:$D$804,$Q$7,مثال_Example!$E$5:$E$804,$Q$8,مثال_Example!$F$5:$F$804,$Q$9,مثال_Example!$G$5:$G$804,$Q$10,مثال_Example!$C$5:$C$804,$B81)))+L81)/K81,10)&lt;=KeyP_VW,"Very Weak",IF(ROUND((((SUMIFS(Data!$U$5:$U$5004,Data!$B$5:$B$5004,$Q$6,Data!$D$5:$D$5004,$Q$7,Data!$E$5:$E$5004,$Q$8,Data!$F$5:$F$5004,$Q$9,Data!$G$5:$G$5004,$Q$10,Data!$C$5:$C$5004,$B81)+ExOn*SUMIFS(مثال_Example!$U$5:$U$804,مثال_Example!$B$5:$B$804,$Q$6,مثال_Example!$D$5:$D$804,$Q$7,مثال_Example!$E$5:$E$804,$Q$8,مثال_Example!$F$5:$F$804,$Q$9,مثال_Example!$G$5:$G$804,$Q$10,مثال_Example!$C$5:$C$804,$B81)))+L81)/K81,10)&lt;KeyP_Weak,"Weak",IF(ROUND(L81/K81,10)&lt;KeyP_Acc,"Acceptable",IF(ROUND(L81/K81,10)&lt;=KeyP_Good,"Good",IF(ROUND(L81/K81,10)&lt;KeyP_Out,"Very Good","Outstanding")))))))</f>
        <v>لا توجد بيانات</v>
      </c>
      <c r="P81" s="1"/>
    </row>
    <row r="82" customFormat="false" ht="15" hidden="false" customHeight="false" outlineLevel="0" collapsed="false">
      <c r="A82" s="1"/>
      <c r="B82" s="52" t="s">
        <v>183</v>
      </c>
      <c r="C82" s="1"/>
      <c r="D82" s="1"/>
      <c r="E82" s="44" t="n">
        <f aca="false">SUM(E10:E81)</f>
        <v>0</v>
      </c>
      <c r="F82" s="44" t="n">
        <f aca="false">SUM(F10:F81)</f>
        <v>0</v>
      </c>
      <c r="G82" s="45" t="str">
        <f aca="false">IF(E82=0,"—",F82/E82)</f>
        <v>—</v>
      </c>
      <c r="H82" s="44" t="n">
        <f aca="false">SUM(H10:H81)</f>
        <v>0</v>
      </c>
      <c r="I82" s="45" t="str">
        <f aca="false">IF(E82=0,"—",H82/E82)</f>
        <v>—</v>
      </c>
      <c r="J82" s="38" t="str">
        <f aca="false">IF(E82=0,"لا توجد بيانات",IF(ROUND(F82/E82,10)&lt;=KeyA_VW,"Very Weak",IF(ROUND(F82/E82,10)&lt;KeyA_Weak,"Weak",IF(ROUND(H82/E82,10)&lt;KeyA_Acc,"Acceptable",IF(ROUND(H82/E82,10)&lt;=KeyA_Good,"Good",IF(ROUND(H82/E82,10)&lt;KeyA_Out,"Very Good","Outstanding"))))))</f>
        <v>لا توجد بيانات</v>
      </c>
      <c r="K82" s="44" t="n">
        <f aca="false">SUM(K10:K81)</f>
        <v>0</v>
      </c>
      <c r="L82" s="44" t="n">
        <f aca="false">SUM(L10:L81)</f>
        <v>0</v>
      </c>
      <c r="M82" s="45" t="str">
        <f aca="false">IF(K82=0,"—",L82/K82)</f>
        <v>—</v>
      </c>
      <c r="N82" s="1"/>
      <c r="O82" s="1"/>
      <c r="P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customFormat="false" ht="32.8" hidden="false" customHeight="false" outlineLevel="0" collapsed="false">
      <c r="A84" s="1"/>
      <c r="B84" s="53" t="s">
        <v>227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</sheetData>
  <sheetProtection sheet="true" formatColumns="false" formatRows="false" sort="false" autoFilter="false"/>
  <autoFilter ref="B9:O81"/>
  <mergeCells count="10">
    <mergeCell ref="B1:O2"/>
    <mergeCell ref="B3:O3"/>
    <mergeCell ref="C6:E6"/>
    <mergeCell ref="F6:G6"/>
    <mergeCell ref="H6:J6"/>
    <mergeCell ref="K6:M6"/>
    <mergeCell ref="C7:E7"/>
    <mergeCell ref="F7:G7"/>
    <mergeCell ref="H7:J7"/>
    <mergeCell ref="K7:M7"/>
  </mergeCells>
  <conditionalFormatting sqref="J10:J82">
    <cfRule type="cellIs" priority="2" operator="equal" aboveAverage="0" equalAverage="0" bottom="0" percent="0" rank="0" text="" dxfId="0">
      <formula>"Outstanding"</formula>
    </cfRule>
    <cfRule type="cellIs" priority="3" operator="equal" aboveAverage="0" equalAverage="0" bottom="0" percent="0" rank="0" text="" dxfId="1">
      <formula>"Very Good"</formula>
    </cfRule>
    <cfRule type="cellIs" priority="4" operator="equal" aboveAverage="0" equalAverage="0" bottom="0" percent="0" rank="0" text="" dxfId="2">
      <formula>"Good"</formula>
    </cfRule>
    <cfRule type="cellIs" priority="5" operator="equal" aboveAverage="0" equalAverage="0" bottom="0" percent="0" rank="0" text="" dxfId="3">
      <formula>"Acceptable"</formula>
    </cfRule>
    <cfRule type="cellIs" priority="6" operator="equal" aboveAverage="0" equalAverage="0" bottom="0" percent="0" rank="0" text="" dxfId="4">
      <formula>"Weak"</formula>
    </cfRule>
    <cfRule type="cellIs" priority="7" operator="equal" aboveAverage="0" equalAverage="0" bottom="0" percent="0" rank="0" text="" dxfId="5">
      <formula>"Very Weak"</formula>
    </cfRule>
  </conditionalFormatting>
  <conditionalFormatting sqref="O10:O82">
    <cfRule type="cellIs" priority="8" operator="equal" aboveAverage="0" equalAverage="0" bottom="0" percent="0" rank="0" text="" dxfId="0">
      <formula>"Outstanding"</formula>
    </cfRule>
    <cfRule type="cellIs" priority="9" operator="equal" aboveAverage="0" equalAverage="0" bottom="0" percent="0" rank="0" text="" dxfId="1">
      <formula>"Very Good"</formula>
    </cfRule>
    <cfRule type="cellIs" priority="10" operator="equal" aboveAverage="0" equalAverage="0" bottom="0" percent="0" rank="0" text="" dxfId="2">
      <formula>"Good"</formula>
    </cfRule>
    <cfRule type="cellIs" priority="11" operator="equal" aboveAverage="0" equalAverage="0" bottom="0" percent="0" rank="0" text="" dxfId="3">
      <formula>"Acceptable"</formula>
    </cfRule>
    <cfRule type="cellIs" priority="12" operator="equal" aboveAverage="0" equalAverage="0" bottom="0" percent="0" rank="0" text="" dxfId="4">
      <formula>"Weak"</formula>
    </cfRule>
    <cfRule type="cellIs" priority="13" operator="equal" aboveAverage="0" equalAverage="0" bottom="0" percent="0" rank="0" text="" dxfId="5">
      <formula>"Very Weak"</formula>
    </cfRule>
  </conditionalFormatting>
  <dataValidations count="5">
    <dataValidation allowBlank="true" error="اختر قيمة من القائمة" errorStyle="stop" errorTitle="قيمة غير صحيحة" operator="between" showDropDown="false" showErrorMessage="true" showInputMessage="false" sqref="B7" type="list">
      <formula1>Lists!$E$2:$E$10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C7" type="list">
      <formula1>Lists!$D$2:$D$14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F7" type="list">
      <formula1>Lists!$G$2:$G$30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H7" type="list">
      <formula1>Lists!$A$2:$A$5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K7" type="list">
      <formula1>Lists!$B$2:$B$7</formula1>
      <formula2>0</formula2>
    </dataValidation>
  </dataValidations>
  <hyperlinks>
    <hyperlink ref="B4" r:id="rId1" location="Guide!A1" display="الدليل"/>
    <hyperlink ref="C4" r:id="rId2" location="Dashboard!A1" display="اللوحة"/>
    <hyperlink ref="D4" r:id="rId3" location="Year_Panel!A1" display="لوحة الصف"/>
    <hyperlink ref="E4" r:id="rId4" location="Teacher_Report!A1" display="المعلمون"/>
    <hyperlink ref="F4" r:id="rId5" location="Data!A1" display="إدخال النتائج"/>
    <hyperlink ref="G4" r:id="rId6" location="Target_Attain!A1" display="هدف التحصيل"/>
    <hyperlink ref="H4" r:id="rId7" location="Target_Progress!A1" display="هدف التقدم"/>
    <hyperlink ref="I4" r:id="rId8" location="Settings!A1" display="الإعدادات"/>
    <hyperlink ref="J4" r:id="rId9" location="Progress_Matrix!A1" display="المصفوفة"/>
    <hyperlink ref="K4" r:id="rId10" location="Classes!A1" display="الصفوف"/>
    <hyperlink ref="L4" r:id="rId11" location="Checks!A1" display="فحوص"/>
    <hyperlink ref="M4" r:id="rId12" location="Tests!A1" display="اختبارا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9AA7"/>
    <pageSetUpPr fitToPage="true"/>
  </sheetPr>
  <dimension ref="A1:X50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26"/>
    <col collapsed="false" customWidth="true" hidden="false" outlineLevel="0" max="12" min="12" style="0" width="34"/>
    <col collapsed="false" customWidth="true" hidden="true" outlineLevel="0" max="24" min="13" style="0" width="13"/>
  </cols>
  <sheetData>
    <row r="1" customFormat="false" ht="30" hidden="false" customHeight="true" outlineLevel="0" collapsed="false">
      <c r="A1" s="54" t="s">
        <v>228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customFormat="false" ht="36" hidden="false" customHeight="true" outlineLevel="0" collapsed="false">
      <c r="A2" s="55" t="s">
        <v>229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customFormat="false" ht="15" hidden="false" customHeight="false" outlineLevel="0" collapsed="false">
      <c r="A3" s="56" t="s">
        <v>230</v>
      </c>
      <c r="B3" s="57" t="s">
        <v>231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33.75" hidden="false" customHeight="true" outlineLevel="0" collapsed="false">
      <c r="A4" s="58" t="s">
        <v>232</v>
      </c>
      <c r="B4" s="58" t="s">
        <v>233</v>
      </c>
      <c r="C4" s="58" t="s">
        <v>220</v>
      </c>
      <c r="D4" s="58" t="s">
        <v>234</v>
      </c>
      <c r="E4" s="58" t="s">
        <v>235</v>
      </c>
      <c r="F4" s="58" t="s">
        <v>150</v>
      </c>
      <c r="G4" s="58" t="s">
        <v>236</v>
      </c>
      <c r="H4" s="58" t="s">
        <v>237</v>
      </c>
      <c r="I4" s="58" t="s">
        <v>238</v>
      </c>
      <c r="J4" s="58" t="s">
        <v>239</v>
      </c>
      <c r="K4" s="58" t="s">
        <v>240</v>
      </c>
      <c r="L4" s="58" t="s">
        <v>241</v>
      </c>
      <c r="M4" s="59" t="s">
        <v>242</v>
      </c>
      <c r="N4" s="59" t="s">
        <v>243</v>
      </c>
      <c r="O4" s="59" t="s">
        <v>244</v>
      </c>
      <c r="P4" s="59" t="s">
        <v>245</v>
      </c>
      <c r="Q4" s="59" t="s">
        <v>246</v>
      </c>
      <c r="R4" s="59" t="s">
        <v>247</v>
      </c>
      <c r="S4" s="59" t="s">
        <v>248</v>
      </c>
      <c r="T4" s="59" t="s">
        <v>249</v>
      </c>
      <c r="U4" s="59" t="s">
        <v>250</v>
      </c>
      <c r="V4" s="59" t="s">
        <v>251</v>
      </c>
      <c r="W4" s="59" t="s">
        <v>252</v>
      </c>
      <c r="X4" s="59" t="s">
        <v>253</v>
      </c>
    </row>
    <row r="5" customFormat="false" ht="15" hidden="false" customHeight="false" outlineLevel="0" collapsed="false">
      <c r="A5" s="60"/>
      <c r="B5" s="61" t="str">
        <f aca="false">IF($M5=0,"",INDEX(Classes!$E$6:$E$420,$M5))</f>
        <v/>
      </c>
      <c r="C5" s="62" t="str">
        <f aca="false">IF($M5=0,"",INDEX(Classes!$H$6:$H$420,$M5))</f>
        <v/>
      </c>
      <c r="D5" s="61" t="str">
        <f aca="false">IF($M5=0,"",INDEX(Classes!$B$6:$B$420,$M5))</f>
        <v/>
      </c>
      <c r="E5" s="61" t="str">
        <f aca="false">IF($M5=0,"",INDEX(Classes!$C$6:$C$420,$M5))</f>
        <v/>
      </c>
      <c r="F5" s="63"/>
      <c r="G5" s="63"/>
      <c r="H5" s="60"/>
      <c r="I5" s="60"/>
      <c r="J5" s="63"/>
      <c r="K5" s="61" t="str">
        <f aca="false">IF($P5=0,"",IF($F5="Baseline","— Baseline",IF($O5=0,"No result",IF($N5=0,"No Start (attainment only)",IF(OR($N5=1,$O5=1),"U – needs rule",INDEX(MxBody,MATCH($I5,MxCurr,0),MATCH($H5,MxStart,0)))))))</f>
        <v/>
      </c>
      <c r="L5" s="62" t="str">
        <f aca="false">IF(COUNTA($A5,$F5,$G5,$H5,$I5,$J5)=0,"",IF($M5=0,"✖ كود الصف غير موجود",IF(ISNA(MATCH($F5,Lists!$A$2:$A$5,0)),"✖ الفترة غير صحيحة",IF(ISNA(MATCH($G5,Lists!$B$2:$B$7,0)),"✖ المجموعة غير صحيحة",IF(NOT(OR($H5="",$N5&gt;0)),"✖ Start غير صحيح",IF(NOT(OR($I5="",$I5="NR",$O5&gt;0)),"✖ Current غير صحيح",IF(NOT(IF(ISNUMBER($J5),AND($J5&gt;=0,$J5=INT($J5)),FALSE())),"✖ العدد يجب أن يكون صحيحًا ≥ 0",IF(AND($F5="Baseline",$H5&lt;&gt;""),"⚠ Baseline: Start لا يدخل في التقدم",IF($K5="No Start (attainment only)","ℹ تحصيل فقط (بدون Start)",IF($K5="U – needs rule","ℹ حالة U تحتاج قاعدة معتمدة",IF($K5="No result","ℹ بدون نتيجة (يُستبعد من التحصيل)","OK")))))))))))</f>
        <v/>
      </c>
      <c r="M5" s="64" t="n">
        <f aca="false">IF($A5="",0,IFERROR(MATCH($A5,Classes!$A$6:$A$420,0),0))</f>
        <v>0</v>
      </c>
      <c r="N5" s="64" t="n">
        <f aca="false">IF($H5="",0,IFERROR(MATCH($H5,GradeList,0),0))</f>
        <v>0</v>
      </c>
      <c r="O5" s="64" t="n">
        <f aca="false">IF(OR($I5="",$I5="NR"),0,IFERROR(MATCH($I5,GradeList,0),0))</f>
        <v>0</v>
      </c>
      <c r="P5" s="64" t="n">
        <f aca="false">IF(AND($M5&gt;0,ISNUMBER(MATCH($F5,Lists!$A$2:$A$5,0)),ISNUMBER(MATCH($G5,Lists!$B$2:$B$7,0)),OR($H5="",$N5&gt;0),OR($I5="",$I5="NR",$O5&gt;0),IF(ISNUMBER($J5),AND($J5&gt;=0,$J5=INT($J5)),FALSE())),$J5,0)</f>
        <v>0</v>
      </c>
      <c r="Q5" s="64" t="n">
        <f aca="false">IF(AND($P5&gt;0,$O5&gt;0),$P5,0)</f>
        <v>0</v>
      </c>
      <c r="R5" s="64" t="n">
        <f aca="false">IF(AND($Q5&gt;0,$O5&gt;=AtRank),$Q5,0)</f>
        <v>0</v>
      </c>
      <c r="S5" s="64" t="n">
        <f aca="false">IF(AND($Q5&gt;0,$O5&gt;=AboveRank),$Q5,0)</f>
        <v>0</v>
      </c>
      <c r="T5" s="64" t="n">
        <f aca="false">IF($K5="Less",$P5,0)</f>
        <v>0</v>
      </c>
      <c r="U5" s="64" t="n">
        <f aca="false">IF($K5="Expected",$P5,0)</f>
        <v>0</v>
      </c>
      <c r="V5" s="64" t="n">
        <f aca="false">IF($K5="Better",$P5,0)</f>
        <v>0</v>
      </c>
      <c r="W5" s="64" t="n">
        <f aca="false">IF($K5="U – needs rule",$P5,0)</f>
        <v>0</v>
      </c>
      <c r="X5" s="64" t="n">
        <f aca="false">IF($K5="No Start (attainment only)",$P5,0)</f>
        <v>0</v>
      </c>
    </row>
    <row r="6" customFormat="false" ht="15" hidden="false" customHeight="false" outlineLevel="0" collapsed="false">
      <c r="A6" s="60"/>
      <c r="B6" s="61" t="str">
        <f aca="false">IF($M6=0,"",INDEX(Classes!$E$6:$E$420,$M6))</f>
        <v/>
      </c>
      <c r="C6" s="62" t="str">
        <f aca="false">IF($M6=0,"",INDEX(Classes!$H$6:$H$420,$M6))</f>
        <v/>
      </c>
      <c r="D6" s="61" t="str">
        <f aca="false">IF($M6=0,"",INDEX(Classes!$B$6:$B$420,$M6))</f>
        <v/>
      </c>
      <c r="E6" s="61" t="str">
        <f aca="false">IF($M6=0,"",INDEX(Classes!$C$6:$C$420,$M6))</f>
        <v/>
      </c>
      <c r="F6" s="63"/>
      <c r="G6" s="63"/>
      <c r="H6" s="60"/>
      <c r="I6" s="60"/>
      <c r="J6" s="63"/>
      <c r="K6" s="61" t="str">
        <f aca="false">IF($P6=0,"",IF($F6="Baseline","— Baseline",IF($O6=0,"No result",IF($N6=0,"No Start (attainment only)",IF(OR($N6=1,$O6=1),"U – needs rule",INDEX(MxBody,MATCH($I6,MxCurr,0),MATCH($H6,MxStart,0)))))))</f>
        <v/>
      </c>
      <c r="L6" s="62" t="str">
        <f aca="false">IF(COUNTA($A6,$F6,$G6,$H6,$I6,$J6)=0,"",IF($M6=0,"✖ كود الصف غير موجود",IF(ISNA(MATCH($F6,Lists!$A$2:$A$5,0)),"✖ الفترة غير صحيحة",IF(ISNA(MATCH($G6,Lists!$B$2:$B$7,0)),"✖ المجموعة غير صحيحة",IF(NOT(OR($H6="",$N6&gt;0)),"✖ Start غير صحيح",IF(NOT(OR($I6="",$I6="NR",$O6&gt;0)),"✖ Current غير صحيح",IF(NOT(IF(ISNUMBER($J6),AND($J6&gt;=0,$J6=INT($J6)),FALSE())),"✖ العدد يجب أن يكون صحيحًا ≥ 0",IF(AND($F6="Baseline",$H6&lt;&gt;""),"⚠ Baseline: Start لا يدخل في التقدم",IF($K6="No Start (attainment only)","ℹ تحصيل فقط (بدون Start)",IF($K6="U – needs rule","ℹ حالة U تحتاج قاعدة معتمدة",IF($K6="No result","ℹ بدون نتيجة (يُستبعد من التحصيل)","OK")))))))))))</f>
        <v/>
      </c>
      <c r="M6" s="64" t="n">
        <f aca="false">IF($A6="",0,IFERROR(MATCH($A6,Classes!$A$6:$A$420,0),0))</f>
        <v>0</v>
      </c>
      <c r="N6" s="64" t="n">
        <f aca="false">IF($H6="",0,IFERROR(MATCH($H6,GradeList,0),0))</f>
        <v>0</v>
      </c>
      <c r="O6" s="64" t="n">
        <f aca="false">IF(OR($I6="",$I6="NR"),0,IFERROR(MATCH($I6,GradeList,0),0))</f>
        <v>0</v>
      </c>
      <c r="P6" s="64" t="n">
        <f aca="false">IF(AND($M6&gt;0,ISNUMBER(MATCH($F6,Lists!$A$2:$A$5,0)),ISNUMBER(MATCH($G6,Lists!$B$2:$B$7,0)),OR($H6="",$N6&gt;0),OR($I6="",$I6="NR",$O6&gt;0),IF(ISNUMBER($J6),AND($J6&gt;=0,$J6=INT($J6)),FALSE())),$J6,0)</f>
        <v>0</v>
      </c>
      <c r="Q6" s="64" t="n">
        <f aca="false">IF(AND($P6&gt;0,$O6&gt;0),$P6,0)</f>
        <v>0</v>
      </c>
      <c r="R6" s="64" t="n">
        <f aca="false">IF(AND($Q6&gt;0,$O6&gt;=AtRank),$Q6,0)</f>
        <v>0</v>
      </c>
      <c r="S6" s="64" t="n">
        <f aca="false">IF(AND($Q6&gt;0,$O6&gt;=AboveRank),$Q6,0)</f>
        <v>0</v>
      </c>
      <c r="T6" s="64" t="n">
        <f aca="false">IF($K6="Less",$P6,0)</f>
        <v>0</v>
      </c>
      <c r="U6" s="64" t="n">
        <f aca="false">IF($K6="Expected",$P6,0)</f>
        <v>0</v>
      </c>
      <c r="V6" s="64" t="n">
        <f aca="false">IF($K6="Better",$P6,0)</f>
        <v>0</v>
      </c>
      <c r="W6" s="64" t="n">
        <f aca="false">IF($K6="U – needs rule",$P6,0)</f>
        <v>0</v>
      </c>
      <c r="X6" s="64" t="n">
        <f aca="false">IF($K6="No Start (attainment only)",$P6,0)</f>
        <v>0</v>
      </c>
    </row>
    <row r="7" customFormat="false" ht="15" hidden="false" customHeight="false" outlineLevel="0" collapsed="false">
      <c r="A7" s="60"/>
      <c r="B7" s="61" t="str">
        <f aca="false">IF($M7=0,"",INDEX(Classes!$E$6:$E$420,$M7))</f>
        <v/>
      </c>
      <c r="C7" s="62" t="str">
        <f aca="false">IF($M7=0,"",INDEX(Classes!$H$6:$H$420,$M7))</f>
        <v/>
      </c>
      <c r="D7" s="61" t="str">
        <f aca="false">IF($M7=0,"",INDEX(Classes!$B$6:$B$420,$M7))</f>
        <v/>
      </c>
      <c r="E7" s="61" t="str">
        <f aca="false">IF($M7=0,"",INDEX(Classes!$C$6:$C$420,$M7))</f>
        <v/>
      </c>
      <c r="F7" s="63"/>
      <c r="G7" s="63"/>
      <c r="H7" s="60"/>
      <c r="I7" s="60"/>
      <c r="J7" s="63"/>
      <c r="K7" s="61" t="str">
        <f aca="false">IF($P7=0,"",IF($F7="Baseline","— Baseline",IF($O7=0,"No result",IF($N7=0,"No Start (attainment only)",IF(OR($N7=1,$O7=1),"U – needs rule",INDEX(MxBody,MATCH($I7,MxCurr,0),MATCH($H7,MxStart,0)))))))</f>
        <v/>
      </c>
      <c r="L7" s="62" t="str">
        <f aca="false">IF(COUNTA($A7,$F7,$G7,$H7,$I7,$J7)=0,"",IF($M7=0,"✖ كود الصف غير موجود",IF(ISNA(MATCH($F7,Lists!$A$2:$A$5,0)),"✖ الفترة غير صحيحة",IF(ISNA(MATCH($G7,Lists!$B$2:$B$7,0)),"✖ المجموعة غير صحيحة",IF(NOT(OR($H7="",$N7&gt;0)),"✖ Start غير صحيح",IF(NOT(OR($I7="",$I7="NR",$O7&gt;0)),"✖ Current غير صحيح",IF(NOT(IF(ISNUMBER($J7),AND($J7&gt;=0,$J7=INT($J7)),FALSE())),"✖ العدد يجب أن يكون صحيحًا ≥ 0",IF(AND($F7="Baseline",$H7&lt;&gt;""),"⚠ Baseline: Start لا يدخل في التقدم",IF($K7="No Start (attainment only)","ℹ تحصيل فقط (بدون Start)",IF($K7="U – needs rule","ℹ حالة U تحتاج قاعدة معتمدة",IF($K7="No result","ℹ بدون نتيجة (يُستبعد من التحصيل)","OK")))))))))))</f>
        <v/>
      </c>
      <c r="M7" s="64" t="n">
        <f aca="false">IF($A7="",0,IFERROR(MATCH($A7,Classes!$A$6:$A$420,0),0))</f>
        <v>0</v>
      </c>
      <c r="N7" s="64" t="n">
        <f aca="false">IF($H7="",0,IFERROR(MATCH($H7,GradeList,0),0))</f>
        <v>0</v>
      </c>
      <c r="O7" s="64" t="n">
        <f aca="false">IF(OR($I7="",$I7="NR"),0,IFERROR(MATCH($I7,GradeList,0),0))</f>
        <v>0</v>
      </c>
      <c r="P7" s="64" t="n">
        <f aca="false">IF(AND($M7&gt;0,ISNUMBER(MATCH($F7,Lists!$A$2:$A$5,0)),ISNUMBER(MATCH($G7,Lists!$B$2:$B$7,0)),OR($H7="",$N7&gt;0),OR($I7="",$I7="NR",$O7&gt;0),IF(ISNUMBER($J7),AND($J7&gt;=0,$J7=INT($J7)),FALSE())),$J7,0)</f>
        <v>0</v>
      </c>
      <c r="Q7" s="64" t="n">
        <f aca="false">IF(AND($P7&gt;0,$O7&gt;0),$P7,0)</f>
        <v>0</v>
      </c>
      <c r="R7" s="64" t="n">
        <f aca="false">IF(AND($Q7&gt;0,$O7&gt;=AtRank),$Q7,0)</f>
        <v>0</v>
      </c>
      <c r="S7" s="64" t="n">
        <f aca="false">IF(AND($Q7&gt;0,$O7&gt;=AboveRank),$Q7,0)</f>
        <v>0</v>
      </c>
      <c r="T7" s="64" t="n">
        <f aca="false">IF($K7="Less",$P7,0)</f>
        <v>0</v>
      </c>
      <c r="U7" s="64" t="n">
        <f aca="false">IF($K7="Expected",$P7,0)</f>
        <v>0</v>
      </c>
      <c r="V7" s="64" t="n">
        <f aca="false">IF($K7="Better",$P7,0)</f>
        <v>0</v>
      </c>
      <c r="W7" s="64" t="n">
        <f aca="false">IF($K7="U – needs rule",$P7,0)</f>
        <v>0</v>
      </c>
      <c r="X7" s="64" t="n">
        <f aca="false">IF($K7="No Start (attainment only)",$P7,0)</f>
        <v>0</v>
      </c>
    </row>
    <row r="8" customFormat="false" ht="15" hidden="false" customHeight="false" outlineLevel="0" collapsed="false">
      <c r="A8" s="60"/>
      <c r="B8" s="61" t="str">
        <f aca="false">IF($M8=0,"",INDEX(Classes!$E$6:$E$420,$M8))</f>
        <v/>
      </c>
      <c r="C8" s="62" t="str">
        <f aca="false">IF($M8=0,"",INDEX(Classes!$H$6:$H$420,$M8))</f>
        <v/>
      </c>
      <c r="D8" s="61" t="str">
        <f aca="false">IF($M8=0,"",INDEX(Classes!$B$6:$B$420,$M8))</f>
        <v/>
      </c>
      <c r="E8" s="61" t="str">
        <f aca="false">IF($M8=0,"",INDEX(Classes!$C$6:$C$420,$M8))</f>
        <v/>
      </c>
      <c r="F8" s="63"/>
      <c r="G8" s="63"/>
      <c r="H8" s="60"/>
      <c r="I8" s="60"/>
      <c r="J8" s="63"/>
      <c r="K8" s="61" t="str">
        <f aca="false">IF($P8=0,"",IF($F8="Baseline","— Baseline",IF($O8=0,"No result",IF($N8=0,"No Start (attainment only)",IF(OR($N8=1,$O8=1),"U – needs rule",INDEX(MxBody,MATCH($I8,MxCurr,0),MATCH($H8,MxStart,0)))))))</f>
        <v/>
      </c>
      <c r="L8" s="62" t="str">
        <f aca="false">IF(COUNTA($A8,$F8,$G8,$H8,$I8,$J8)=0,"",IF($M8=0,"✖ كود الصف غير موجود",IF(ISNA(MATCH($F8,Lists!$A$2:$A$5,0)),"✖ الفترة غير صحيحة",IF(ISNA(MATCH($G8,Lists!$B$2:$B$7,0)),"✖ المجموعة غير صحيحة",IF(NOT(OR($H8="",$N8&gt;0)),"✖ Start غير صحيح",IF(NOT(OR($I8="",$I8="NR",$O8&gt;0)),"✖ Current غير صحيح",IF(NOT(IF(ISNUMBER($J8),AND($J8&gt;=0,$J8=INT($J8)),FALSE())),"✖ العدد يجب أن يكون صحيحًا ≥ 0",IF(AND($F8="Baseline",$H8&lt;&gt;""),"⚠ Baseline: Start لا يدخل في التقدم",IF($K8="No Start (attainment only)","ℹ تحصيل فقط (بدون Start)",IF($K8="U – needs rule","ℹ حالة U تحتاج قاعدة معتمدة",IF($K8="No result","ℹ بدون نتيجة (يُستبعد من التحصيل)","OK")))))))))))</f>
        <v/>
      </c>
      <c r="M8" s="64" t="n">
        <f aca="false">IF($A8="",0,IFERROR(MATCH($A8,Classes!$A$6:$A$420,0),0))</f>
        <v>0</v>
      </c>
      <c r="N8" s="64" t="n">
        <f aca="false">IF($H8="",0,IFERROR(MATCH($H8,GradeList,0),0))</f>
        <v>0</v>
      </c>
      <c r="O8" s="64" t="n">
        <f aca="false">IF(OR($I8="",$I8="NR"),0,IFERROR(MATCH($I8,GradeList,0),0))</f>
        <v>0</v>
      </c>
      <c r="P8" s="64" t="n">
        <f aca="false">IF(AND($M8&gt;0,ISNUMBER(MATCH($F8,Lists!$A$2:$A$5,0)),ISNUMBER(MATCH($G8,Lists!$B$2:$B$7,0)),OR($H8="",$N8&gt;0),OR($I8="",$I8="NR",$O8&gt;0),IF(ISNUMBER($J8),AND($J8&gt;=0,$J8=INT($J8)),FALSE())),$J8,0)</f>
        <v>0</v>
      </c>
      <c r="Q8" s="64" t="n">
        <f aca="false">IF(AND($P8&gt;0,$O8&gt;0),$P8,0)</f>
        <v>0</v>
      </c>
      <c r="R8" s="64" t="n">
        <f aca="false">IF(AND($Q8&gt;0,$O8&gt;=AtRank),$Q8,0)</f>
        <v>0</v>
      </c>
      <c r="S8" s="64" t="n">
        <f aca="false">IF(AND($Q8&gt;0,$O8&gt;=AboveRank),$Q8,0)</f>
        <v>0</v>
      </c>
      <c r="T8" s="64" t="n">
        <f aca="false">IF($K8="Less",$P8,0)</f>
        <v>0</v>
      </c>
      <c r="U8" s="64" t="n">
        <f aca="false">IF($K8="Expected",$P8,0)</f>
        <v>0</v>
      </c>
      <c r="V8" s="64" t="n">
        <f aca="false">IF($K8="Better",$P8,0)</f>
        <v>0</v>
      </c>
      <c r="W8" s="64" t="n">
        <f aca="false">IF($K8="U – needs rule",$P8,0)</f>
        <v>0</v>
      </c>
      <c r="X8" s="64" t="n">
        <f aca="false">IF($K8="No Start (attainment only)",$P8,0)</f>
        <v>0</v>
      </c>
    </row>
    <row r="9" customFormat="false" ht="15" hidden="false" customHeight="false" outlineLevel="0" collapsed="false">
      <c r="A9" s="60"/>
      <c r="B9" s="61" t="str">
        <f aca="false">IF($M9=0,"",INDEX(Classes!$E$6:$E$420,$M9))</f>
        <v/>
      </c>
      <c r="C9" s="62" t="str">
        <f aca="false">IF($M9=0,"",INDEX(Classes!$H$6:$H$420,$M9))</f>
        <v/>
      </c>
      <c r="D9" s="61" t="str">
        <f aca="false">IF($M9=0,"",INDEX(Classes!$B$6:$B$420,$M9))</f>
        <v/>
      </c>
      <c r="E9" s="61" t="str">
        <f aca="false">IF($M9=0,"",INDEX(Classes!$C$6:$C$420,$M9))</f>
        <v/>
      </c>
      <c r="F9" s="63"/>
      <c r="G9" s="63"/>
      <c r="H9" s="60"/>
      <c r="I9" s="60"/>
      <c r="J9" s="63"/>
      <c r="K9" s="61" t="str">
        <f aca="false">IF($P9=0,"",IF($F9="Baseline","— Baseline",IF($O9=0,"No result",IF($N9=0,"No Start (attainment only)",IF(OR($N9=1,$O9=1),"U – needs rule",INDEX(MxBody,MATCH($I9,MxCurr,0),MATCH($H9,MxStart,0)))))))</f>
        <v/>
      </c>
      <c r="L9" s="62" t="str">
        <f aca="false">IF(COUNTA($A9,$F9,$G9,$H9,$I9,$J9)=0,"",IF($M9=0,"✖ كود الصف غير موجود",IF(ISNA(MATCH($F9,Lists!$A$2:$A$5,0)),"✖ الفترة غير صحيحة",IF(ISNA(MATCH($G9,Lists!$B$2:$B$7,0)),"✖ المجموعة غير صحيحة",IF(NOT(OR($H9="",$N9&gt;0)),"✖ Start غير صحيح",IF(NOT(OR($I9="",$I9="NR",$O9&gt;0)),"✖ Current غير صحيح",IF(NOT(IF(ISNUMBER($J9),AND($J9&gt;=0,$J9=INT($J9)),FALSE())),"✖ العدد يجب أن يكون صحيحًا ≥ 0",IF(AND($F9="Baseline",$H9&lt;&gt;""),"⚠ Baseline: Start لا يدخل في التقدم",IF($K9="No Start (attainment only)","ℹ تحصيل فقط (بدون Start)",IF($K9="U – needs rule","ℹ حالة U تحتاج قاعدة معتمدة",IF($K9="No result","ℹ بدون نتيجة (يُستبعد من التحصيل)","OK")))))))))))</f>
        <v/>
      </c>
      <c r="M9" s="64" t="n">
        <f aca="false">IF($A9="",0,IFERROR(MATCH($A9,Classes!$A$6:$A$420,0),0))</f>
        <v>0</v>
      </c>
      <c r="N9" s="64" t="n">
        <f aca="false">IF($H9="",0,IFERROR(MATCH($H9,GradeList,0),0))</f>
        <v>0</v>
      </c>
      <c r="O9" s="64" t="n">
        <f aca="false">IF(OR($I9="",$I9="NR"),0,IFERROR(MATCH($I9,GradeList,0),0))</f>
        <v>0</v>
      </c>
      <c r="P9" s="64" t="n">
        <f aca="false">IF(AND($M9&gt;0,ISNUMBER(MATCH($F9,Lists!$A$2:$A$5,0)),ISNUMBER(MATCH($G9,Lists!$B$2:$B$7,0)),OR($H9="",$N9&gt;0),OR($I9="",$I9="NR",$O9&gt;0),IF(ISNUMBER($J9),AND($J9&gt;=0,$J9=INT($J9)),FALSE())),$J9,0)</f>
        <v>0</v>
      </c>
      <c r="Q9" s="64" t="n">
        <f aca="false">IF(AND($P9&gt;0,$O9&gt;0),$P9,0)</f>
        <v>0</v>
      </c>
      <c r="R9" s="64" t="n">
        <f aca="false">IF(AND($Q9&gt;0,$O9&gt;=AtRank),$Q9,0)</f>
        <v>0</v>
      </c>
      <c r="S9" s="64" t="n">
        <f aca="false">IF(AND($Q9&gt;0,$O9&gt;=AboveRank),$Q9,0)</f>
        <v>0</v>
      </c>
      <c r="T9" s="64" t="n">
        <f aca="false">IF($K9="Less",$P9,0)</f>
        <v>0</v>
      </c>
      <c r="U9" s="64" t="n">
        <f aca="false">IF($K9="Expected",$P9,0)</f>
        <v>0</v>
      </c>
      <c r="V9" s="64" t="n">
        <f aca="false">IF($K9="Better",$P9,0)</f>
        <v>0</v>
      </c>
      <c r="W9" s="64" t="n">
        <f aca="false">IF($K9="U – needs rule",$P9,0)</f>
        <v>0</v>
      </c>
      <c r="X9" s="64" t="n">
        <f aca="false">IF($K9="No Start (attainment only)",$P9,0)</f>
        <v>0</v>
      </c>
    </row>
    <row r="10" customFormat="false" ht="15" hidden="false" customHeight="false" outlineLevel="0" collapsed="false">
      <c r="A10" s="60"/>
      <c r="B10" s="61" t="str">
        <f aca="false">IF($M10=0,"",INDEX(Classes!$E$6:$E$420,$M10))</f>
        <v/>
      </c>
      <c r="C10" s="62" t="str">
        <f aca="false">IF($M10=0,"",INDEX(Classes!$H$6:$H$420,$M10))</f>
        <v/>
      </c>
      <c r="D10" s="61" t="str">
        <f aca="false">IF($M10=0,"",INDEX(Classes!$B$6:$B$420,$M10))</f>
        <v/>
      </c>
      <c r="E10" s="61" t="str">
        <f aca="false">IF($M10=0,"",INDEX(Classes!$C$6:$C$420,$M10))</f>
        <v/>
      </c>
      <c r="F10" s="63"/>
      <c r="G10" s="63"/>
      <c r="H10" s="60"/>
      <c r="I10" s="60"/>
      <c r="J10" s="63"/>
      <c r="K10" s="61" t="str">
        <f aca="false">IF($P10=0,"",IF($F10="Baseline","— Baseline",IF($O10=0,"No result",IF($N10=0,"No Start (attainment only)",IF(OR($N10=1,$O10=1),"U – needs rule",INDEX(MxBody,MATCH($I10,MxCurr,0),MATCH($H10,MxStart,0)))))))</f>
        <v/>
      </c>
      <c r="L10" s="62" t="str">
        <f aca="false">IF(COUNTA($A10,$F10,$G10,$H10,$I10,$J10)=0,"",IF($M10=0,"✖ كود الصف غير موجود",IF(ISNA(MATCH($F10,Lists!$A$2:$A$5,0)),"✖ الفترة غير صحيحة",IF(ISNA(MATCH($G10,Lists!$B$2:$B$7,0)),"✖ المجموعة غير صحيحة",IF(NOT(OR($H10="",$N10&gt;0)),"✖ Start غير صحيح",IF(NOT(OR($I10="",$I10="NR",$O10&gt;0)),"✖ Current غير صحيح",IF(NOT(IF(ISNUMBER($J10),AND($J10&gt;=0,$J10=INT($J10)),FALSE())),"✖ العدد يجب أن يكون صحيحًا ≥ 0",IF(AND($F10="Baseline",$H10&lt;&gt;""),"⚠ Baseline: Start لا يدخل في التقدم",IF($K10="No Start (attainment only)","ℹ تحصيل فقط (بدون Start)",IF($K10="U – needs rule","ℹ حالة U تحتاج قاعدة معتمدة",IF($K10="No result","ℹ بدون نتيجة (يُستبعد من التحصيل)","OK")))))))))))</f>
        <v/>
      </c>
      <c r="M10" s="64" t="n">
        <f aca="false">IF($A10="",0,IFERROR(MATCH($A10,Classes!$A$6:$A$420,0),0))</f>
        <v>0</v>
      </c>
      <c r="N10" s="64" t="n">
        <f aca="false">IF($H10="",0,IFERROR(MATCH($H10,GradeList,0),0))</f>
        <v>0</v>
      </c>
      <c r="O10" s="64" t="n">
        <f aca="false">IF(OR($I10="",$I10="NR"),0,IFERROR(MATCH($I10,GradeList,0),0))</f>
        <v>0</v>
      </c>
      <c r="P10" s="64" t="n">
        <f aca="false">IF(AND($M10&gt;0,ISNUMBER(MATCH($F10,Lists!$A$2:$A$5,0)),ISNUMBER(MATCH($G10,Lists!$B$2:$B$7,0)),OR($H10="",$N10&gt;0),OR($I10="",$I10="NR",$O10&gt;0),IF(ISNUMBER($J10),AND($J10&gt;=0,$J10=INT($J10)),FALSE())),$J10,0)</f>
        <v>0</v>
      </c>
      <c r="Q10" s="64" t="n">
        <f aca="false">IF(AND($P10&gt;0,$O10&gt;0),$P10,0)</f>
        <v>0</v>
      </c>
      <c r="R10" s="64" t="n">
        <f aca="false">IF(AND($Q10&gt;0,$O10&gt;=AtRank),$Q10,0)</f>
        <v>0</v>
      </c>
      <c r="S10" s="64" t="n">
        <f aca="false">IF(AND($Q10&gt;0,$O10&gt;=AboveRank),$Q10,0)</f>
        <v>0</v>
      </c>
      <c r="T10" s="64" t="n">
        <f aca="false">IF($K10="Less",$P10,0)</f>
        <v>0</v>
      </c>
      <c r="U10" s="64" t="n">
        <f aca="false">IF($K10="Expected",$P10,0)</f>
        <v>0</v>
      </c>
      <c r="V10" s="64" t="n">
        <f aca="false">IF($K10="Better",$P10,0)</f>
        <v>0</v>
      </c>
      <c r="W10" s="64" t="n">
        <f aca="false">IF($K10="U – needs rule",$P10,0)</f>
        <v>0</v>
      </c>
      <c r="X10" s="64" t="n">
        <f aca="false">IF($K10="No Start (attainment only)",$P10,0)</f>
        <v>0</v>
      </c>
    </row>
    <row r="11" customFormat="false" ht="15" hidden="false" customHeight="false" outlineLevel="0" collapsed="false">
      <c r="A11" s="60"/>
      <c r="B11" s="61" t="str">
        <f aca="false">IF($M11=0,"",INDEX(Classes!$E$6:$E$420,$M11))</f>
        <v/>
      </c>
      <c r="C11" s="62" t="str">
        <f aca="false">IF($M11=0,"",INDEX(Classes!$H$6:$H$420,$M11))</f>
        <v/>
      </c>
      <c r="D11" s="61" t="str">
        <f aca="false">IF($M11=0,"",INDEX(Classes!$B$6:$B$420,$M11))</f>
        <v/>
      </c>
      <c r="E11" s="61" t="str">
        <f aca="false">IF($M11=0,"",INDEX(Classes!$C$6:$C$420,$M11))</f>
        <v/>
      </c>
      <c r="F11" s="63"/>
      <c r="G11" s="63"/>
      <c r="H11" s="60"/>
      <c r="I11" s="60"/>
      <c r="J11" s="63"/>
      <c r="K11" s="61" t="str">
        <f aca="false">IF($P11=0,"",IF($F11="Baseline","— Baseline",IF($O11=0,"No result",IF($N11=0,"No Start (attainment only)",IF(OR($N11=1,$O11=1),"U – needs rule",INDEX(MxBody,MATCH($I11,MxCurr,0),MATCH($H11,MxStart,0)))))))</f>
        <v/>
      </c>
      <c r="L11" s="62" t="str">
        <f aca="false">IF(COUNTA($A11,$F11,$G11,$H11,$I11,$J11)=0,"",IF($M11=0,"✖ كود الصف غير موجود",IF(ISNA(MATCH($F11,Lists!$A$2:$A$5,0)),"✖ الفترة غير صحيحة",IF(ISNA(MATCH($G11,Lists!$B$2:$B$7,0)),"✖ المجموعة غير صحيحة",IF(NOT(OR($H11="",$N11&gt;0)),"✖ Start غير صحيح",IF(NOT(OR($I11="",$I11="NR",$O11&gt;0)),"✖ Current غير صحيح",IF(NOT(IF(ISNUMBER($J11),AND($J11&gt;=0,$J11=INT($J11)),FALSE())),"✖ العدد يجب أن يكون صحيحًا ≥ 0",IF(AND($F11="Baseline",$H11&lt;&gt;""),"⚠ Baseline: Start لا يدخل في التقدم",IF($K11="No Start (attainment only)","ℹ تحصيل فقط (بدون Start)",IF($K11="U – needs rule","ℹ حالة U تحتاج قاعدة معتمدة",IF($K11="No result","ℹ بدون نتيجة (يُستبعد من التحصيل)","OK")))))))))))</f>
        <v/>
      </c>
      <c r="M11" s="64" t="n">
        <f aca="false">IF($A11="",0,IFERROR(MATCH($A11,Classes!$A$6:$A$420,0),0))</f>
        <v>0</v>
      </c>
      <c r="N11" s="64" t="n">
        <f aca="false">IF($H11="",0,IFERROR(MATCH($H11,GradeList,0),0))</f>
        <v>0</v>
      </c>
      <c r="O11" s="64" t="n">
        <f aca="false">IF(OR($I11="",$I11="NR"),0,IFERROR(MATCH($I11,GradeList,0),0))</f>
        <v>0</v>
      </c>
      <c r="P11" s="64" t="n">
        <f aca="false">IF(AND($M11&gt;0,ISNUMBER(MATCH($F11,Lists!$A$2:$A$5,0)),ISNUMBER(MATCH($G11,Lists!$B$2:$B$7,0)),OR($H11="",$N11&gt;0),OR($I11="",$I11="NR",$O11&gt;0),IF(ISNUMBER($J11),AND($J11&gt;=0,$J11=INT($J11)),FALSE())),$J11,0)</f>
        <v>0</v>
      </c>
      <c r="Q11" s="64" t="n">
        <f aca="false">IF(AND($P11&gt;0,$O11&gt;0),$P11,0)</f>
        <v>0</v>
      </c>
      <c r="R11" s="64" t="n">
        <f aca="false">IF(AND($Q11&gt;0,$O11&gt;=AtRank),$Q11,0)</f>
        <v>0</v>
      </c>
      <c r="S11" s="64" t="n">
        <f aca="false">IF(AND($Q11&gt;0,$O11&gt;=AboveRank),$Q11,0)</f>
        <v>0</v>
      </c>
      <c r="T11" s="64" t="n">
        <f aca="false">IF($K11="Less",$P11,0)</f>
        <v>0</v>
      </c>
      <c r="U11" s="64" t="n">
        <f aca="false">IF($K11="Expected",$P11,0)</f>
        <v>0</v>
      </c>
      <c r="V11" s="64" t="n">
        <f aca="false">IF($K11="Better",$P11,0)</f>
        <v>0</v>
      </c>
      <c r="W11" s="64" t="n">
        <f aca="false">IF($K11="U – needs rule",$P11,0)</f>
        <v>0</v>
      </c>
      <c r="X11" s="64" t="n">
        <f aca="false">IF($K11="No Start (attainment only)",$P11,0)</f>
        <v>0</v>
      </c>
    </row>
    <row r="12" customFormat="false" ht="15" hidden="false" customHeight="false" outlineLevel="0" collapsed="false">
      <c r="A12" s="60"/>
      <c r="B12" s="61" t="str">
        <f aca="false">IF($M12=0,"",INDEX(Classes!$E$6:$E$420,$M12))</f>
        <v/>
      </c>
      <c r="C12" s="62" t="str">
        <f aca="false">IF($M12=0,"",INDEX(Classes!$H$6:$H$420,$M12))</f>
        <v/>
      </c>
      <c r="D12" s="61" t="str">
        <f aca="false">IF($M12=0,"",INDEX(Classes!$B$6:$B$420,$M12))</f>
        <v/>
      </c>
      <c r="E12" s="61" t="str">
        <f aca="false">IF($M12=0,"",INDEX(Classes!$C$6:$C$420,$M12))</f>
        <v/>
      </c>
      <c r="F12" s="63"/>
      <c r="G12" s="63"/>
      <c r="H12" s="60"/>
      <c r="I12" s="60"/>
      <c r="J12" s="63"/>
      <c r="K12" s="61" t="str">
        <f aca="false">IF($P12=0,"",IF($F12="Baseline","— Baseline",IF($O12=0,"No result",IF($N12=0,"No Start (attainment only)",IF(OR($N12=1,$O12=1),"U – needs rule",INDEX(MxBody,MATCH($I12,MxCurr,0),MATCH($H12,MxStart,0)))))))</f>
        <v/>
      </c>
      <c r="L12" s="62" t="str">
        <f aca="false">IF(COUNTA($A12,$F12,$G12,$H12,$I12,$J12)=0,"",IF($M12=0,"✖ كود الصف غير موجود",IF(ISNA(MATCH($F12,Lists!$A$2:$A$5,0)),"✖ الفترة غير صحيحة",IF(ISNA(MATCH($G12,Lists!$B$2:$B$7,0)),"✖ المجموعة غير صحيحة",IF(NOT(OR($H12="",$N12&gt;0)),"✖ Start غير صحيح",IF(NOT(OR($I12="",$I12="NR",$O12&gt;0)),"✖ Current غير صحيح",IF(NOT(IF(ISNUMBER($J12),AND($J12&gt;=0,$J12=INT($J12)),FALSE())),"✖ العدد يجب أن يكون صحيحًا ≥ 0",IF(AND($F12="Baseline",$H12&lt;&gt;""),"⚠ Baseline: Start لا يدخل في التقدم",IF($K12="No Start (attainment only)","ℹ تحصيل فقط (بدون Start)",IF($K12="U – needs rule","ℹ حالة U تحتاج قاعدة معتمدة",IF($K12="No result","ℹ بدون نتيجة (يُستبعد من التحصيل)","OK")))))))))))</f>
        <v/>
      </c>
      <c r="M12" s="64" t="n">
        <f aca="false">IF($A12="",0,IFERROR(MATCH($A12,Classes!$A$6:$A$420,0),0))</f>
        <v>0</v>
      </c>
      <c r="N12" s="64" t="n">
        <f aca="false">IF($H12="",0,IFERROR(MATCH($H12,GradeList,0),0))</f>
        <v>0</v>
      </c>
      <c r="O12" s="64" t="n">
        <f aca="false">IF(OR($I12="",$I12="NR"),0,IFERROR(MATCH($I12,GradeList,0),0))</f>
        <v>0</v>
      </c>
      <c r="P12" s="64" t="n">
        <f aca="false">IF(AND($M12&gt;0,ISNUMBER(MATCH($F12,Lists!$A$2:$A$5,0)),ISNUMBER(MATCH($G12,Lists!$B$2:$B$7,0)),OR($H12="",$N12&gt;0),OR($I12="",$I12="NR",$O12&gt;0),IF(ISNUMBER($J12),AND($J12&gt;=0,$J12=INT($J12)),FALSE())),$J12,0)</f>
        <v>0</v>
      </c>
      <c r="Q12" s="64" t="n">
        <f aca="false">IF(AND($P12&gt;0,$O12&gt;0),$P12,0)</f>
        <v>0</v>
      </c>
      <c r="R12" s="64" t="n">
        <f aca="false">IF(AND($Q12&gt;0,$O12&gt;=AtRank),$Q12,0)</f>
        <v>0</v>
      </c>
      <c r="S12" s="64" t="n">
        <f aca="false">IF(AND($Q12&gt;0,$O12&gt;=AboveRank),$Q12,0)</f>
        <v>0</v>
      </c>
      <c r="T12" s="64" t="n">
        <f aca="false">IF($K12="Less",$P12,0)</f>
        <v>0</v>
      </c>
      <c r="U12" s="64" t="n">
        <f aca="false">IF($K12="Expected",$P12,0)</f>
        <v>0</v>
      </c>
      <c r="V12" s="64" t="n">
        <f aca="false">IF($K12="Better",$P12,0)</f>
        <v>0</v>
      </c>
      <c r="W12" s="64" t="n">
        <f aca="false">IF($K12="U – needs rule",$P12,0)</f>
        <v>0</v>
      </c>
      <c r="X12" s="64" t="n">
        <f aca="false">IF($K12="No Start (attainment only)",$P12,0)</f>
        <v>0</v>
      </c>
    </row>
    <row r="13" customFormat="false" ht="15" hidden="false" customHeight="false" outlineLevel="0" collapsed="false">
      <c r="A13" s="60"/>
      <c r="B13" s="61" t="str">
        <f aca="false">IF($M13=0,"",INDEX(Classes!$E$6:$E$420,$M13))</f>
        <v/>
      </c>
      <c r="C13" s="62" t="str">
        <f aca="false">IF($M13=0,"",INDEX(Classes!$H$6:$H$420,$M13))</f>
        <v/>
      </c>
      <c r="D13" s="61" t="str">
        <f aca="false">IF($M13=0,"",INDEX(Classes!$B$6:$B$420,$M13))</f>
        <v/>
      </c>
      <c r="E13" s="61" t="str">
        <f aca="false">IF($M13=0,"",INDEX(Classes!$C$6:$C$420,$M13))</f>
        <v/>
      </c>
      <c r="F13" s="63"/>
      <c r="G13" s="63"/>
      <c r="H13" s="60"/>
      <c r="I13" s="60"/>
      <c r="J13" s="63"/>
      <c r="K13" s="61" t="str">
        <f aca="false">IF($P13=0,"",IF($F13="Baseline","— Baseline",IF($O13=0,"No result",IF($N13=0,"No Start (attainment only)",IF(OR($N13=1,$O13=1),"U – needs rule",INDEX(MxBody,MATCH($I13,MxCurr,0),MATCH($H13,MxStart,0)))))))</f>
        <v/>
      </c>
      <c r="L13" s="62" t="str">
        <f aca="false">IF(COUNTA($A13,$F13,$G13,$H13,$I13,$J13)=0,"",IF($M13=0,"✖ كود الصف غير موجود",IF(ISNA(MATCH($F13,Lists!$A$2:$A$5,0)),"✖ الفترة غير صحيحة",IF(ISNA(MATCH($G13,Lists!$B$2:$B$7,0)),"✖ المجموعة غير صحيحة",IF(NOT(OR($H13="",$N13&gt;0)),"✖ Start غير صحيح",IF(NOT(OR($I13="",$I13="NR",$O13&gt;0)),"✖ Current غير صحيح",IF(NOT(IF(ISNUMBER($J13),AND($J13&gt;=0,$J13=INT($J13)),FALSE())),"✖ العدد يجب أن يكون صحيحًا ≥ 0",IF(AND($F13="Baseline",$H13&lt;&gt;""),"⚠ Baseline: Start لا يدخل في التقدم",IF($K13="No Start (attainment only)","ℹ تحصيل فقط (بدون Start)",IF($K13="U – needs rule","ℹ حالة U تحتاج قاعدة معتمدة",IF($K13="No result","ℹ بدون نتيجة (يُستبعد من التحصيل)","OK")))))))))))</f>
        <v/>
      </c>
      <c r="M13" s="64" t="n">
        <f aca="false">IF($A13="",0,IFERROR(MATCH($A13,Classes!$A$6:$A$420,0),0))</f>
        <v>0</v>
      </c>
      <c r="N13" s="64" t="n">
        <f aca="false">IF($H13="",0,IFERROR(MATCH($H13,GradeList,0),0))</f>
        <v>0</v>
      </c>
      <c r="O13" s="64" t="n">
        <f aca="false">IF(OR($I13="",$I13="NR"),0,IFERROR(MATCH($I13,GradeList,0),0))</f>
        <v>0</v>
      </c>
      <c r="P13" s="64" t="n">
        <f aca="false">IF(AND($M13&gt;0,ISNUMBER(MATCH($F13,Lists!$A$2:$A$5,0)),ISNUMBER(MATCH($G13,Lists!$B$2:$B$7,0)),OR($H13="",$N13&gt;0),OR($I13="",$I13="NR",$O13&gt;0),IF(ISNUMBER($J13),AND($J13&gt;=0,$J13=INT($J13)),FALSE())),$J13,0)</f>
        <v>0</v>
      </c>
      <c r="Q13" s="64" t="n">
        <f aca="false">IF(AND($P13&gt;0,$O13&gt;0),$P13,0)</f>
        <v>0</v>
      </c>
      <c r="R13" s="64" t="n">
        <f aca="false">IF(AND($Q13&gt;0,$O13&gt;=AtRank),$Q13,0)</f>
        <v>0</v>
      </c>
      <c r="S13" s="64" t="n">
        <f aca="false">IF(AND($Q13&gt;0,$O13&gt;=AboveRank),$Q13,0)</f>
        <v>0</v>
      </c>
      <c r="T13" s="64" t="n">
        <f aca="false">IF($K13="Less",$P13,0)</f>
        <v>0</v>
      </c>
      <c r="U13" s="64" t="n">
        <f aca="false">IF($K13="Expected",$P13,0)</f>
        <v>0</v>
      </c>
      <c r="V13" s="64" t="n">
        <f aca="false">IF($K13="Better",$P13,0)</f>
        <v>0</v>
      </c>
      <c r="W13" s="64" t="n">
        <f aca="false">IF($K13="U – needs rule",$P13,0)</f>
        <v>0</v>
      </c>
      <c r="X13" s="64" t="n">
        <f aca="false">IF($K13="No Start (attainment only)",$P13,0)</f>
        <v>0</v>
      </c>
    </row>
    <row r="14" customFormat="false" ht="15" hidden="false" customHeight="false" outlineLevel="0" collapsed="false">
      <c r="A14" s="60"/>
      <c r="B14" s="61" t="str">
        <f aca="false">IF($M14=0,"",INDEX(Classes!$E$6:$E$420,$M14))</f>
        <v/>
      </c>
      <c r="C14" s="62" t="str">
        <f aca="false">IF($M14=0,"",INDEX(Classes!$H$6:$H$420,$M14))</f>
        <v/>
      </c>
      <c r="D14" s="61" t="str">
        <f aca="false">IF($M14=0,"",INDEX(Classes!$B$6:$B$420,$M14))</f>
        <v/>
      </c>
      <c r="E14" s="61" t="str">
        <f aca="false">IF($M14=0,"",INDEX(Classes!$C$6:$C$420,$M14))</f>
        <v/>
      </c>
      <c r="F14" s="63"/>
      <c r="G14" s="63"/>
      <c r="H14" s="60"/>
      <c r="I14" s="60"/>
      <c r="J14" s="63"/>
      <c r="K14" s="61" t="str">
        <f aca="false">IF($P14=0,"",IF($F14="Baseline","— Baseline",IF($O14=0,"No result",IF($N14=0,"No Start (attainment only)",IF(OR($N14=1,$O14=1),"U – needs rule",INDEX(MxBody,MATCH($I14,MxCurr,0),MATCH($H14,MxStart,0)))))))</f>
        <v/>
      </c>
      <c r="L14" s="62" t="str">
        <f aca="false">IF(COUNTA($A14,$F14,$G14,$H14,$I14,$J14)=0,"",IF($M14=0,"✖ كود الصف غير موجود",IF(ISNA(MATCH($F14,Lists!$A$2:$A$5,0)),"✖ الفترة غير صحيحة",IF(ISNA(MATCH($G14,Lists!$B$2:$B$7,0)),"✖ المجموعة غير صحيحة",IF(NOT(OR($H14="",$N14&gt;0)),"✖ Start غير صحيح",IF(NOT(OR($I14="",$I14="NR",$O14&gt;0)),"✖ Current غير صحيح",IF(NOT(IF(ISNUMBER($J14),AND($J14&gt;=0,$J14=INT($J14)),FALSE())),"✖ العدد يجب أن يكون صحيحًا ≥ 0",IF(AND($F14="Baseline",$H14&lt;&gt;""),"⚠ Baseline: Start لا يدخل في التقدم",IF($K14="No Start (attainment only)","ℹ تحصيل فقط (بدون Start)",IF($K14="U – needs rule","ℹ حالة U تحتاج قاعدة معتمدة",IF($K14="No result","ℹ بدون نتيجة (يُستبعد من التحصيل)","OK")))))))))))</f>
        <v/>
      </c>
      <c r="M14" s="64" t="n">
        <f aca="false">IF($A14="",0,IFERROR(MATCH($A14,Classes!$A$6:$A$420,0),0))</f>
        <v>0</v>
      </c>
      <c r="N14" s="64" t="n">
        <f aca="false">IF($H14="",0,IFERROR(MATCH($H14,GradeList,0),0))</f>
        <v>0</v>
      </c>
      <c r="O14" s="64" t="n">
        <f aca="false">IF(OR($I14="",$I14="NR"),0,IFERROR(MATCH($I14,GradeList,0),0))</f>
        <v>0</v>
      </c>
      <c r="P14" s="64" t="n">
        <f aca="false">IF(AND($M14&gt;0,ISNUMBER(MATCH($F14,Lists!$A$2:$A$5,0)),ISNUMBER(MATCH($G14,Lists!$B$2:$B$7,0)),OR($H14="",$N14&gt;0),OR($I14="",$I14="NR",$O14&gt;0),IF(ISNUMBER($J14),AND($J14&gt;=0,$J14=INT($J14)),FALSE())),$J14,0)</f>
        <v>0</v>
      </c>
      <c r="Q14" s="64" t="n">
        <f aca="false">IF(AND($P14&gt;0,$O14&gt;0),$P14,0)</f>
        <v>0</v>
      </c>
      <c r="R14" s="64" t="n">
        <f aca="false">IF(AND($Q14&gt;0,$O14&gt;=AtRank),$Q14,0)</f>
        <v>0</v>
      </c>
      <c r="S14" s="64" t="n">
        <f aca="false">IF(AND($Q14&gt;0,$O14&gt;=AboveRank),$Q14,0)</f>
        <v>0</v>
      </c>
      <c r="T14" s="64" t="n">
        <f aca="false">IF($K14="Less",$P14,0)</f>
        <v>0</v>
      </c>
      <c r="U14" s="64" t="n">
        <f aca="false">IF($K14="Expected",$P14,0)</f>
        <v>0</v>
      </c>
      <c r="V14" s="64" t="n">
        <f aca="false">IF($K14="Better",$P14,0)</f>
        <v>0</v>
      </c>
      <c r="W14" s="64" t="n">
        <f aca="false">IF($K14="U – needs rule",$P14,0)</f>
        <v>0</v>
      </c>
      <c r="X14" s="64" t="n">
        <f aca="false">IF($K14="No Start (attainment only)",$P14,0)</f>
        <v>0</v>
      </c>
    </row>
    <row r="15" customFormat="false" ht="15" hidden="false" customHeight="false" outlineLevel="0" collapsed="false">
      <c r="A15" s="60"/>
      <c r="B15" s="61" t="str">
        <f aca="false">IF($M15=0,"",INDEX(Classes!$E$6:$E$420,$M15))</f>
        <v/>
      </c>
      <c r="C15" s="62" t="str">
        <f aca="false">IF($M15=0,"",INDEX(Classes!$H$6:$H$420,$M15))</f>
        <v/>
      </c>
      <c r="D15" s="61" t="str">
        <f aca="false">IF($M15=0,"",INDEX(Classes!$B$6:$B$420,$M15))</f>
        <v/>
      </c>
      <c r="E15" s="61" t="str">
        <f aca="false">IF($M15=0,"",INDEX(Classes!$C$6:$C$420,$M15))</f>
        <v/>
      </c>
      <c r="F15" s="63"/>
      <c r="G15" s="63"/>
      <c r="H15" s="60"/>
      <c r="I15" s="60"/>
      <c r="J15" s="63"/>
      <c r="K15" s="61" t="str">
        <f aca="false">IF($P15=0,"",IF($F15="Baseline","— Baseline",IF($O15=0,"No result",IF($N15=0,"No Start (attainment only)",IF(OR($N15=1,$O15=1),"U – needs rule",INDEX(MxBody,MATCH($I15,MxCurr,0),MATCH($H15,MxStart,0)))))))</f>
        <v/>
      </c>
      <c r="L15" s="62" t="str">
        <f aca="false">IF(COUNTA($A15,$F15,$G15,$H15,$I15,$J15)=0,"",IF($M15=0,"✖ كود الصف غير موجود",IF(ISNA(MATCH($F15,Lists!$A$2:$A$5,0)),"✖ الفترة غير صحيحة",IF(ISNA(MATCH($G15,Lists!$B$2:$B$7,0)),"✖ المجموعة غير صحيحة",IF(NOT(OR($H15="",$N15&gt;0)),"✖ Start غير صحيح",IF(NOT(OR($I15="",$I15="NR",$O15&gt;0)),"✖ Current غير صحيح",IF(NOT(IF(ISNUMBER($J15),AND($J15&gt;=0,$J15=INT($J15)),FALSE())),"✖ العدد يجب أن يكون صحيحًا ≥ 0",IF(AND($F15="Baseline",$H15&lt;&gt;""),"⚠ Baseline: Start لا يدخل في التقدم",IF($K15="No Start (attainment only)","ℹ تحصيل فقط (بدون Start)",IF($K15="U – needs rule","ℹ حالة U تحتاج قاعدة معتمدة",IF($K15="No result","ℹ بدون نتيجة (يُستبعد من التحصيل)","OK")))))))))))</f>
        <v/>
      </c>
      <c r="M15" s="64" t="n">
        <f aca="false">IF($A15="",0,IFERROR(MATCH($A15,Classes!$A$6:$A$420,0),0))</f>
        <v>0</v>
      </c>
      <c r="N15" s="64" t="n">
        <f aca="false">IF($H15="",0,IFERROR(MATCH($H15,GradeList,0),0))</f>
        <v>0</v>
      </c>
      <c r="O15" s="64" t="n">
        <f aca="false">IF(OR($I15="",$I15="NR"),0,IFERROR(MATCH($I15,GradeList,0),0))</f>
        <v>0</v>
      </c>
      <c r="P15" s="64" t="n">
        <f aca="false">IF(AND($M15&gt;0,ISNUMBER(MATCH($F15,Lists!$A$2:$A$5,0)),ISNUMBER(MATCH($G15,Lists!$B$2:$B$7,0)),OR($H15="",$N15&gt;0),OR($I15="",$I15="NR",$O15&gt;0),IF(ISNUMBER($J15),AND($J15&gt;=0,$J15=INT($J15)),FALSE())),$J15,0)</f>
        <v>0</v>
      </c>
      <c r="Q15" s="64" t="n">
        <f aca="false">IF(AND($P15&gt;0,$O15&gt;0),$P15,0)</f>
        <v>0</v>
      </c>
      <c r="R15" s="64" t="n">
        <f aca="false">IF(AND($Q15&gt;0,$O15&gt;=AtRank),$Q15,0)</f>
        <v>0</v>
      </c>
      <c r="S15" s="64" t="n">
        <f aca="false">IF(AND($Q15&gt;0,$O15&gt;=AboveRank),$Q15,0)</f>
        <v>0</v>
      </c>
      <c r="T15" s="64" t="n">
        <f aca="false">IF($K15="Less",$P15,0)</f>
        <v>0</v>
      </c>
      <c r="U15" s="64" t="n">
        <f aca="false">IF($K15="Expected",$P15,0)</f>
        <v>0</v>
      </c>
      <c r="V15" s="64" t="n">
        <f aca="false">IF($K15="Better",$P15,0)</f>
        <v>0</v>
      </c>
      <c r="W15" s="64" t="n">
        <f aca="false">IF($K15="U – needs rule",$P15,0)</f>
        <v>0</v>
      </c>
      <c r="X15" s="64" t="n">
        <f aca="false">IF($K15="No Start (attainment only)",$P15,0)</f>
        <v>0</v>
      </c>
    </row>
    <row r="16" customFormat="false" ht="15" hidden="false" customHeight="false" outlineLevel="0" collapsed="false">
      <c r="A16" s="60"/>
      <c r="B16" s="61" t="str">
        <f aca="false">IF($M16=0,"",INDEX(Classes!$E$6:$E$420,$M16))</f>
        <v/>
      </c>
      <c r="C16" s="62" t="str">
        <f aca="false">IF($M16=0,"",INDEX(Classes!$H$6:$H$420,$M16))</f>
        <v/>
      </c>
      <c r="D16" s="61" t="str">
        <f aca="false">IF($M16=0,"",INDEX(Classes!$B$6:$B$420,$M16))</f>
        <v/>
      </c>
      <c r="E16" s="61" t="str">
        <f aca="false">IF($M16=0,"",INDEX(Classes!$C$6:$C$420,$M16))</f>
        <v/>
      </c>
      <c r="F16" s="63"/>
      <c r="G16" s="63"/>
      <c r="H16" s="60"/>
      <c r="I16" s="60"/>
      <c r="J16" s="63"/>
      <c r="K16" s="61" t="str">
        <f aca="false">IF($P16=0,"",IF($F16="Baseline","— Baseline",IF($O16=0,"No result",IF($N16=0,"No Start (attainment only)",IF(OR($N16=1,$O16=1),"U – needs rule",INDEX(MxBody,MATCH($I16,MxCurr,0),MATCH($H16,MxStart,0)))))))</f>
        <v/>
      </c>
      <c r="L16" s="62" t="str">
        <f aca="false">IF(COUNTA($A16,$F16,$G16,$H16,$I16,$J16)=0,"",IF($M16=0,"✖ كود الصف غير موجود",IF(ISNA(MATCH($F16,Lists!$A$2:$A$5,0)),"✖ الفترة غير صحيحة",IF(ISNA(MATCH($G16,Lists!$B$2:$B$7,0)),"✖ المجموعة غير صحيحة",IF(NOT(OR($H16="",$N16&gt;0)),"✖ Start غير صحيح",IF(NOT(OR($I16="",$I16="NR",$O16&gt;0)),"✖ Current غير صحيح",IF(NOT(IF(ISNUMBER($J16),AND($J16&gt;=0,$J16=INT($J16)),FALSE())),"✖ العدد يجب أن يكون صحيحًا ≥ 0",IF(AND($F16="Baseline",$H16&lt;&gt;""),"⚠ Baseline: Start لا يدخل في التقدم",IF($K16="No Start (attainment only)","ℹ تحصيل فقط (بدون Start)",IF($K16="U – needs rule","ℹ حالة U تحتاج قاعدة معتمدة",IF($K16="No result","ℹ بدون نتيجة (يُستبعد من التحصيل)","OK")))))))))))</f>
        <v/>
      </c>
      <c r="M16" s="64" t="n">
        <f aca="false">IF($A16="",0,IFERROR(MATCH($A16,Classes!$A$6:$A$420,0),0))</f>
        <v>0</v>
      </c>
      <c r="N16" s="64" t="n">
        <f aca="false">IF($H16="",0,IFERROR(MATCH($H16,GradeList,0),0))</f>
        <v>0</v>
      </c>
      <c r="O16" s="64" t="n">
        <f aca="false">IF(OR($I16="",$I16="NR"),0,IFERROR(MATCH($I16,GradeList,0),0))</f>
        <v>0</v>
      </c>
      <c r="P16" s="64" t="n">
        <f aca="false">IF(AND($M16&gt;0,ISNUMBER(MATCH($F16,Lists!$A$2:$A$5,0)),ISNUMBER(MATCH($G16,Lists!$B$2:$B$7,0)),OR($H16="",$N16&gt;0),OR($I16="",$I16="NR",$O16&gt;0),IF(ISNUMBER($J16),AND($J16&gt;=0,$J16=INT($J16)),FALSE())),$J16,0)</f>
        <v>0</v>
      </c>
      <c r="Q16" s="64" t="n">
        <f aca="false">IF(AND($P16&gt;0,$O16&gt;0),$P16,0)</f>
        <v>0</v>
      </c>
      <c r="R16" s="64" t="n">
        <f aca="false">IF(AND($Q16&gt;0,$O16&gt;=AtRank),$Q16,0)</f>
        <v>0</v>
      </c>
      <c r="S16" s="64" t="n">
        <f aca="false">IF(AND($Q16&gt;0,$O16&gt;=AboveRank),$Q16,0)</f>
        <v>0</v>
      </c>
      <c r="T16" s="64" t="n">
        <f aca="false">IF($K16="Less",$P16,0)</f>
        <v>0</v>
      </c>
      <c r="U16" s="64" t="n">
        <f aca="false">IF($K16="Expected",$P16,0)</f>
        <v>0</v>
      </c>
      <c r="V16" s="64" t="n">
        <f aca="false">IF($K16="Better",$P16,0)</f>
        <v>0</v>
      </c>
      <c r="W16" s="64" t="n">
        <f aca="false">IF($K16="U – needs rule",$P16,0)</f>
        <v>0</v>
      </c>
      <c r="X16" s="64" t="n">
        <f aca="false">IF($K16="No Start (attainment only)",$P16,0)</f>
        <v>0</v>
      </c>
    </row>
    <row r="17" customFormat="false" ht="15" hidden="false" customHeight="false" outlineLevel="0" collapsed="false">
      <c r="A17" s="60"/>
      <c r="B17" s="61" t="str">
        <f aca="false">IF($M17=0,"",INDEX(Classes!$E$6:$E$420,$M17))</f>
        <v/>
      </c>
      <c r="C17" s="62" t="str">
        <f aca="false">IF($M17=0,"",INDEX(Classes!$H$6:$H$420,$M17))</f>
        <v/>
      </c>
      <c r="D17" s="61" t="str">
        <f aca="false">IF($M17=0,"",INDEX(Classes!$B$6:$B$420,$M17))</f>
        <v/>
      </c>
      <c r="E17" s="61" t="str">
        <f aca="false">IF($M17=0,"",INDEX(Classes!$C$6:$C$420,$M17))</f>
        <v/>
      </c>
      <c r="F17" s="63"/>
      <c r="G17" s="63"/>
      <c r="H17" s="60"/>
      <c r="I17" s="60"/>
      <c r="J17" s="63"/>
      <c r="K17" s="61" t="str">
        <f aca="false">IF($P17=0,"",IF($F17="Baseline","— Baseline",IF($O17=0,"No result",IF($N17=0,"No Start (attainment only)",IF(OR($N17=1,$O17=1),"U – needs rule",INDEX(MxBody,MATCH($I17,MxCurr,0),MATCH($H17,MxStart,0)))))))</f>
        <v/>
      </c>
      <c r="L17" s="62" t="str">
        <f aca="false">IF(COUNTA($A17,$F17,$G17,$H17,$I17,$J17)=0,"",IF($M17=0,"✖ كود الصف غير موجود",IF(ISNA(MATCH($F17,Lists!$A$2:$A$5,0)),"✖ الفترة غير صحيحة",IF(ISNA(MATCH($G17,Lists!$B$2:$B$7,0)),"✖ المجموعة غير صحيحة",IF(NOT(OR($H17="",$N17&gt;0)),"✖ Start غير صحيح",IF(NOT(OR($I17="",$I17="NR",$O17&gt;0)),"✖ Current غير صحيح",IF(NOT(IF(ISNUMBER($J17),AND($J17&gt;=0,$J17=INT($J17)),FALSE())),"✖ العدد يجب أن يكون صحيحًا ≥ 0",IF(AND($F17="Baseline",$H17&lt;&gt;""),"⚠ Baseline: Start لا يدخل في التقدم",IF($K17="No Start (attainment only)","ℹ تحصيل فقط (بدون Start)",IF($K17="U – needs rule","ℹ حالة U تحتاج قاعدة معتمدة",IF($K17="No result","ℹ بدون نتيجة (يُستبعد من التحصيل)","OK")))))))))))</f>
        <v/>
      </c>
      <c r="M17" s="64" t="n">
        <f aca="false">IF($A17="",0,IFERROR(MATCH($A17,Classes!$A$6:$A$420,0),0))</f>
        <v>0</v>
      </c>
      <c r="N17" s="64" t="n">
        <f aca="false">IF($H17="",0,IFERROR(MATCH($H17,GradeList,0),0))</f>
        <v>0</v>
      </c>
      <c r="O17" s="64" t="n">
        <f aca="false">IF(OR($I17="",$I17="NR"),0,IFERROR(MATCH($I17,GradeList,0),0))</f>
        <v>0</v>
      </c>
      <c r="P17" s="64" t="n">
        <f aca="false">IF(AND($M17&gt;0,ISNUMBER(MATCH($F17,Lists!$A$2:$A$5,0)),ISNUMBER(MATCH($G17,Lists!$B$2:$B$7,0)),OR($H17="",$N17&gt;0),OR($I17="",$I17="NR",$O17&gt;0),IF(ISNUMBER($J17),AND($J17&gt;=0,$J17=INT($J17)),FALSE())),$J17,0)</f>
        <v>0</v>
      </c>
      <c r="Q17" s="64" t="n">
        <f aca="false">IF(AND($P17&gt;0,$O17&gt;0),$P17,0)</f>
        <v>0</v>
      </c>
      <c r="R17" s="64" t="n">
        <f aca="false">IF(AND($Q17&gt;0,$O17&gt;=AtRank),$Q17,0)</f>
        <v>0</v>
      </c>
      <c r="S17" s="64" t="n">
        <f aca="false">IF(AND($Q17&gt;0,$O17&gt;=AboveRank),$Q17,0)</f>
        <v>0</v>
      </c>
      <c r="T17" s="64" t="n">
        <f aca="false">IF($K17="Less",$P17,0)</f>
        <v>0</v>
      </c>
      <c r="U17" s="64" t="n">
        <f aca="false">IF($K17="Expected",$P17,0)</f>
        <v>0</v>
      </c>
      <c r="V17" s="64" t="n">
        <f aca="false">IF($K17="Better",$P17,0)</f>
        <v>0</v>
      </c>
      <c r="W17" s="64" t="n">
        <f aca="false">IF($K17="U – needs rule",$P17,0)</f>
        <v>0</v>
      </c>
      <c r="X17" s="64" t="n">
        <f aca="false">IF($K17="No Start (attainment only)",$P17,0)</f>
        <v>0</v>
      </c>
    </row>
    <row r="18" customFormat="false" ht="15" hidden="false" customHeight="false" outlineLevel="0" collapsed="false">
      <c r="A18" s="60"/>
      <c r="B18" s="61" t="str">
        <f aca="false">IF($M18=0,"",INDEX(Classes!$E$6:$E$420,$M18))</f>
        <v/>
      </c>
      <c r="C18" s="62" t="str">
        <f aca="false">IF($M18=0,"",INDEX(Classes!$H$6:$H$420,$M18))</f>
        <v/>
      </c>
      <c r="D18" s="61" t="str">
        <f aca="false">IF($M18=0,"",INDEX(Classes!$B$6:$B$420,$M18))</f>
        <v/>
      </c>
      <c r="E18" s="61" t="str">
        <f aca="false">IF($M18=0,"",INDEX(Classes!$C$6:$C$420,$M18))</f>
        <v/>
      </c>
      <c r="F18" s="63"/>
      <c r="G18" s="63"/>
      <c r="H18" s="60"/>
      <c r="I18" s="60"/>
      <c r="J18" s="63"/>
      <c r="K18" s="61" t="str">
        <f aca="false">IF($P18=0,"",IF($F18="Baseline","— Baseline",IF($O18=0,"No result",IF($N18=0,"No Start (attainment only)",IF(OR($N18=1,$O18=1),"U – needs rule",INDEX(MxBody,MATCH($I18,MxCurr,0),MATCH($H18,MxStart,0)))))))</f>
        <v/>
      </c>
      <c r="L18" s="62" t="str">
        <f aca="false">IF(COUNTA($A18,$F18,$G18,$H18,$I18,$J18)=0,"",IF($M18=0,"✖ كود الصف غير موجود",IF(ISNA(MATCH($F18,Lists!$A$2:$A$5,0)),"✖ الفترة غير صحيحة",IF(ISNA(MATCH($G18,Lists!$B$2:$B$7,0)),"✖ المجموعة غير صحيحة",IF(NOT(OR($H18="",$N18&gt;0)),"✖ Start غير صحيح",IF(NOT(OR($I18="",$I18="NR",$O18&gt;0)),"✖ Current غير صحيح",IF(NOT(IF(ISNUMBER($J18),AND($J18&gt;=0,$J18=INT($J18)),FALSE())),"✖ العدد يجب أن يكون صحيحًا ≥ 0",IF(AND($F18="Baseline",$H18&lt;&gt;""),"⚠ Baseline: Start لا يدخل في التقدم",IF($K18="No Start (attainment only)","ℹ تحصيل فقط (بدون Start)",IF($K18="U – needs rule","ℹ حالة U تحتاج قاعدة معتمدة",IF($K18="No result","ℹ بدون نتيجة (يُستبعد من التحصيل)","OK")))))))))))</f>
        <v/>
      </c>
      <c r="M18" s="64" t="n">
        <f aca="false">IF($A18="",0,IFERROR(MATCH($A18,Classes!$A$6:$A$420,0),0))</f>
        <v>0</v>
      </c>
      <c r="N18" s="64" t="n">
        <f aca="false">IF($H18="",0,IFERROR(MATCH($H18,GradeList,0),0))</f>
        <v>0</v>
      </c>
      <c r="O18" s="64" t="n">
        <f aca="false">IF(OR($I18="",$I18="NR"),0,IFERROR(MATCH($I18,GradeList,0),0))</f>
        <v>0</v>
      </c>
      <c r="P18" s="64" t="n">
        <f aca="false">IF(AND($M18&gt;0,ISNUMBER(MATCH($F18,Lists!$A$2:$A$5,0)),ISNUMBER(MATCH($G18,Lists!$B$2:$B$7,0)),OR($H18="",$N18&gt;0),OR($I18="",$I18="NR",$O18&gt;0),IF(ISNUMBER($J18),AND($J18&gt;=0,$J18=INT($J18)),FALSE())),$J18,0)</f>
        <v>0</v>
      </c>
      <c r="Q18" s="64" t="n">
        <f aca="false">IF(AND($P18&gt;0,$O18&gt;0),$P18,0)</f>
        <v>0</v>
      </c>
      <c r="R18" s="64" t="n">
        <f aca="false">IF(AND($Q18&gt;0,$O18&gt;=AtRank),$Q18,0)</f>
        <v>0</v>
      </c>
      <c r="S18" s="64" t="n">
        <f aca="false">IF(AND($Q18&gt;0,$O18&gt;=AboveRank),$Q18,0)</f>
        <v>0</v>
      </c>
      <c r="T18" s="64" t="n">
        <f aca="false">IF($K18="Less",$P18,0)</f>
        <v>0</v>
      </c>
      <c r="U18" s="64" t="n">
        <f aca="false">IF($K18="Expected",$P18,0)</f>
        <v>0</v>
      </c>
      <c r="V18" s="64" t="n">
        <f aca="false">IF($K18="Better",$P18,0)</f>
        <v>0</v>
      </c>
      <c r="W18" s="64" t="n">
        <f aca="false">IF($K18="U – needs rule",$P18,0)</f>
        <v>0</v>
      </c>
      <c r="X18" s="64" t="n">
        <f aca="false">IF($K18="No Start (attainment only)",$P18,0)</f>
        <v>0</v>
      </c>
    </row>
    <row r="19" customFormat="false" ht="15" hidden="false" customHeight="false" outlineLevel="0" collapsed="false">
      <c r="A19" s="60"/>
      <c r="B19" s="61" t="str">
        <f aca="false">IF($M19=0,"",INDEX(Classes!$E$6:$E$420,$M19))</f>
        <v/>
      </c>
      <c r="C19" s="62" t="str">
        <f aca="false">IF($M19=0,"",INDEX(Classes!$H$6:$H$420,$M19))</f>
        <v/>
      </c>
      <c r="D19" s="61" t="str">
        <f aca="false">IF($M19=0,"",INDEX(Classes!$B$6:$B$420,$M19))</f>
        <v/>
      </c>
      <c r="E19" s="61" t="str">
        <f aca="false">IF($M19=0,"",INDEX(Classes!$C$6:$C$420,$M19))</f>
        <v/>
      </c>
      <c r="F19" s="63"/>
      <c r="G19" s="63"/>
      <c r="H19" s="60"/>
      <c r="I19" s="60"/>
      <c r="J19" s="63"/>
      <c r="K19" s="61" t="str">
        <f aca="false">IF($P19=0,"",IF($F19="Baseline","— Baseline",IF($O19=0,"No result",IF($N19=0,"No Start (attainment only)",IF(OR($N19=1,$O19=1),"U – needs rule",INDEX(MxBody,MATCH($I19,MxCurr,0),MATCH($H19,MxStart,0)))))))</f>
        <v/>
      </c>
      <c r="L19" s="62" t="str">
        <f aca="false">IF(COUNTA($A19,$F19,$G19,$H19,$I19,$J19)=0,"",IF($M19=0,"✖ كود الصف غير موجود",IF(ISNA(MATCH($F19,Lists!$A$2:$A$5,0)),"✖ الفترة غير صحيحة",IF(ISNA(MATCH($G19,Lists!$B$2:$B$7,0)),"✖ المجموعة غير صحيحة",IF(NOT(OR($H19="",$N19&gt;0)),"✖ Start غير صحيح",IF(NOT(OR($I19="",$I19="NR",$O19&gt;0)),"✖ Current غير صحيح",IF(NOT(IF(ISNUMBER($J19),AND($J19&gt;=0,$J19=INT($J19)),FALSE())),"✖ العدد يجب أن يكون صحيحًا ≥ 0",IF(AND($F19="Baseline",$H19&lt;&gt;""),"⚠ Baseline: Start لا يدخل في التقدم",IF($K19="No Start (attainment only)","ℹ تحصيل فقط (بدون Start)",IF($K19="U – needs rule","ℹ حالة U تحتاج قاعدة معتمدة",IF($K19="No result","ℹ بدون نتيجة (يُستبعد من التحصيل)","OK")))))))))))</f>
        <v/>
      </c>
      <c r="M19" s="64" t="n">
        <f aca="false">IF($A19="",0,IFERROR(MATCH($A19,Classes!$A$6:$A$420,0),0))</f>
        <v>0</v>
      </c>
      <c r="N19" s="64" t="n">
        <f aca="false">IF($H19="",0,IFERROR(MATCH($H19,GradeList,0),0))</f>
        <v>0</v>
      </c>
      <c r="O19" s="64" t="n">
        <f aca="false">IF(OR($I19="",$I19="NR"),0,IFERROR(MATCH($I19,GradeList,0),0))</f>
        <v>0</v>
      </c>
      <c r="P19" s="64" t="n">
        <f aca="false">IF(AND($M19&gt;0,ISNUMBER(MATCH($F19,Lists!$A$2:$A$5,0)),ISNUMBER(MATCH($G19,Lists!$B$2:$B$7,0)),OR($H19="",$N19&gt;0),OR($I19="",$I19="NR",$O19&gt;0),IF(ISNUMBER($J19),AND($J19&gt;=0,$J19=INT($J19)),FALSE())),$J19,0)</f>
        <v>0</v>
      </c>
      <c r="Q19" s="64" t="n">
        <f aca="false">IF(AND($P19&gt;0,$O19&gt;0),$P19,0)</f>
        <v>0</v>
      </c>
      <c r="R19" s="64" t="n">
        <f aca="false">IF(AND($Q19&gt;0,$O19&gt;=AtRank),$Q19,0)</f>
        <v>0</v>
      </c>
      <c r="S19" s="64" t="n">
        <f aca="false">IF(AND($Q19&gt;0,$O19&gt;=AboveRank),$Q19,0)</f>
        <v>0</v>
      </c>
      <c r="T19" s="64" t="n">
        <f aca="false">IF($K19="Less",$P19,0)</f>
        <v>0</v>
      </c>
      <c r="U19" s="64" t="n">
        <f aca="false">IF($K19="Expected",$P19,0)</f>
        <v>0</v>
      </c>
      <c r="V19" s="64" t="n">
        <f aca="false">IF($K19="Better",$P19,0)</f>
        <v>0</v>
      </c>
      <c r="W19" s="64" t="n">
        <f aca="false">IF($K19="U – needs rule",$P19,0)</f>
        <v>0</v>
      </c>
      <c r="X19" s="64" t="n">
        <f aca="false">IF($K19="No Start (attainment only)",$P19,0)</f>
        <v>0</v>
      </c>
    </row>
    <row r="20" customFormat="false" ht="15" hidden="false" customHeight="false" outlineLevel="0" collapsed="false">
      <c r="A20" s="60"/>
      <c r="B20" s="61" t="str">
        <f aca="false">IF($M20=0,"",INDEX(Classes!$E$6:$E$420,$M20))</f>
        <v/>
      </c>
      <c r="C20" s="62" t="str">
        <f aca="false">IF($M20=0,"",INDEX(Classes!$H$6:$H$420,$M20))</f>
        <v/>
      </c>
      <c r="D20" s="61" t="str">
        <f aca="false">IF($M20=0,"",INDEX(Classes!$B$6:$B$420,$M20))</f>
        <v/>
      </c>
      <c r="E20" s="61" t="str">
        <f aca="false">IF($M20=0,"",INDEX(Classes!$C$6:$C$420,$M20))</f>
        <v/>
      </c>
      <c r="F20" s="63"/>
      <c r="G20" s="63"/>
      <c r="H20" s="60"/>
      <c r="I20" s="60"/>
      <c r="J20" s="63"/>
      <c r="K20" s="61" t="str">
        <f aca="false">IF($P20=0,"",IF($F20="Baseline","— Baseline",IF($O20=0,"No result",IF($N20=0,"No Start (attainment only)",IF(OR($N20=1,$O20=1),"U – needs rule",INDEX(MxBody,MATCH($I20,MxCurr,0),MATCH($H20,MxStart,0)))))))</f>
        <v/>
      </c>
      <c r="L20" s="62" t="str">
        <f aca="false">IF(COUNTA($A20,$F20,$G20,$H20,$I20,$J20)=0,"",IF($M20=0,"✖ كود الصف غير موجود",IF(ISNA(MATCH($F20,Lists!$A$2:$A$5,0)),"✖ الفترة غير صحيحة",IF(ISNA(MATCH($G20,Lists!$B$2:$B$7,0)),"✖ المجموعة غير صحيحة",IF(NOT(OR($H20="",$N20&gt;0)),"✖ Start غير صحيح",IF(NOT(OR($I20="",$I20="NR",$O20&gt;0)),"✖ Current غير صحيح",IF(NOT(IF(ISNUMBER($J20),AND($J20&gt;=0,$J20=INT($J20)),FALSE())),"✖ العدد يجب أن يكون صحيحًا ≥ 0",IF(AND($F20="Baseline",$H20&lt;&gt;""),"⚠ Baseline: Start لا يدخل في التقدم",IF($K20="No Start (attainment only)","ℹ تحصيل فقط (بدون Start)",IF($K20="U – needs rule","ℹ حالة U تحتاج قاعدة معتمدة",IF($K20="No result","ℹ بدون نتيجة (يُستبعد من التحصيل)","OK")))))))))))</f>
        <v/>
      </c>
      <c r="M20" s="64" t="n">
        <f aca="false">IF($A20="",0,IFERROR(MATCH($A20,Classes!$A$6:$A$420,0),0))</f>
        <v>0</v>
      </c>
      <c r="N20" s="64" t="n">
        <f aca="false">IF($H20="",0,IFERROR(MATCH($H20,GradeList,0),0))</f>
        <v>0</v>
      </c>
      <c r="O20" s="64" t="n">
        <f aca="false">IF(OR($I20="",$I20="NR"),0,IFERROR(MATCH($I20,GradeList,0),0))</f>
        <v>0</v>
      </c>
      <c r="P20" s="64" t="n">
        <f aca="false">IF(AND($M20&gt;0,ISNUMBER(MATCH($F20,Lists!$A$2:$A$5,0)),ISNUMBER(MATCH($G20,Lists!$B$2:$B$7,0)),OR($H20="",$N20&gt;0),OR($I20="",$I20="NR",$O20&gt;0),IF(ISNUMBER($J20),AND($J20&gt;=0,$J20=INT($J20)),FALSE())),$J20,0)</f>
        <v>0</v>
      </c>
      <c r="Q20" s="64" t="n">
        <f aca="false">IF(AND($P20&gt;0,$O20&gt;0),$P20,0)</f>
        <v>0</v>
      </c>
      <c r="R20" s="64" t="n">
        <f aca="false">IF(AND($Q20&gt;0,$O20&gt;=AtRank),$Q20,0)</f>
        <v>0</v>
      </c>
      <c r="S20" s="64" t="n">
        <f aca="false">IF(AND($Q20&gt;0,$O20&gt;=AboveRank),$Q20,0)</f>
        <v>0</v>
      </c>
      <c r="T20" s="64" t="n">
        <f aca="false">IF($K20="Less",$P20,0)</f>
        <v>0</v>
      </c>
      <c r="U20" s="64" t="n">
        <f aca="false">IF($K20="Expected",$P20,0)</f>
        <v>0</v>
      </c>
      <c r="V20" s="64" t="n">
        <f aca="false">IF($K20="Better",$P20,0)</f>
        <v>0</v>
      </c>
      <c r="W20" s="64" t="n">
        <f aca="false">IF($K20="U – needs rule",$P20,0)</f>
        <v>0</v>
      </c>
      <c r="X20" s="64" t="n">
        <f aca="false">IF($K20="No Start (attainment only)",$P20,0)</f>
        <v>0</v>
      </c>
    </row>
    <row r="21" customFormat="false" ht="15" hidden="false" customHeight="false" outlineLevel="0" collapsed="false">
      <c r="A21" s="60"/>
      <c r="B21" s="61" t="str">
        <f aca="false">IF($M21=0,"",INDEX(Classes!$E$6:$E$420,$M21))</f>
        <v/>
      </c>
      <c r="C21" s="62" t="str">
        <f aca="false">IF($M21=0,"",INDEX(Classes!$H$6:$H$420,$M21))</f>
        <v/>
      </c>
      <c r="D21" s="61" t="str">
        <f aca="false">IF($M21=0,"",INDEX(Classes!$B$6:$B$420,$M21))</f>
        <v/>
      </c>
      <c r="E21" s="61" t="str">
        <f aca="false">IF($M21=0,"",INDEX(Classes!$C$6:$C$420,$M21))</f>
        <v/>
      </c>
      <c r="F21" s="63"/>
      <c r="G21" s="63"/>
      <c r="H21" s="60"/>
      <c r="I21" s="60"/>
      <c r="J21" s="63"/>
      <c r="K21" s="61" t="str">
        <f aca="false">IF($P21=0,"",IF($F21="Baseline","— Baseline",IF($O21=0,"No result",IF($N21=0,"No Start (attainment only)",IF(OR($N21=1,$O21=1),"U – needs rule",INDEX(MxBody,MATCH($I21,MxCurr,0),MATCH($H21,MxStart,0)))))))</f>
        <v/>
      </c>
      <c r="L21" s="62" t="str">
        <f aca="false">IF(COUNTA($A21,$F21,$G21,$H21,$I21,$J21)=0,"",IF($M21=0,"✖ كود الصف غير موجود",IF(ISNA(MATCH($F21,Lists!$A$2:$A$5,0)),"✖ الفترة غير صحيحة",IF(ISNA(MATCH($G21,Lists!$B$2:$B$7,0)),"✖ المجموعة غير صحيحة",IF(NOT(OR($H21="",$N21&gt;0)),"✖ Start غير صحيح",IF(NOT(OR($I21="",$I21="NR",$O21&gt;0)),"✖ Current غير صحيح",IF(NOT(IF(ISNUMBER($J21),AND($J21&gt;=0,$J21=INT($J21)),FALSE())),"✖ العدد يجب أن يكون صحيحًا ≥ 0",IF(AND($F21="Baseline",$H21&lt;&gt;""),"⚠ Baseline: Start لا يدخل في التقدم",IF($K21="No Start (attainment only)","ℹ تحصيل فقط (بدون Start)",IF($K21="U – needs rule","ℹ حالة U تحتاج قاعدة معتمدة",IF($K21="No result","ℹ بدون نتيجة (يُستبعد من التحصيل)","OK")))))))))))</f>
        <v/>
      </c>
      <c r="M21" s="64" t="n">
        <f aca="false">IF($A21="",0,IFERROR(MATCH($A21,Classes!$A$6:$A$420,0),0))</f>
        <v>0</v>
      </c>
      <c r="N21" s="64" t="n">
        <f aca="false">IF($H21="",0,IFERROR(MATCH($H21,GradeList,0),0))</f>
        <v>0</v>
      </c>
      <c r="O21" s="64" t="n">
        <f aca="false">IF(OR($I21="",$I21="NR"),0,IFERROR(MATCH($I21,GradeList,0),0))</f>
        <v>0</v>
      </c>
      <c r="P21" s="64" t="n">
        <f aca="false">IF(AND($M21&gt;0,ISNUMBER(MATCH($F21,Lists!$A$2:$A$5,0)),ISNUMBER(MATCH($G21,Lists!$B$2:$B$7,0)),OR($H21="",$N21&gt;0),OR($I21="",$I21="NR",$O21&gt;0),IF(ISNUMBER($J21),AND($J21&gt;=0,$J21=INT($J21)),FALSE())),$J21,0)</f>
        <v>0</v>
      </c>
      <c r="Q21" s="64" t="n">
        <f aca="false">IF(AND($P21&gt;0,$O21&gt;0),$P21,0)</f>
        <v>0</v>
      </c>
      <c r="R21" s="64" t="n">
        <f aca="false">IF(AND($Q21&gt;0,$O21&gt;=AtRank),$Q21,0)</f>
        <v>0</v>
      </c>
      <c r="S21" s="64" t="n">
        <f aca="false">IF(AND($Q21&gt;0,$O21&gt;=AboveRank),$Q21,0)</f>
        <v>0</v>
      </c>
      <c r="T21" s="64" t="n">
        <f aca="false">IF($K21="Less",$P21,0)</f>
        <v>0</v>
      </c>
      <c r="U21" s="64" t="n">
        <f aca="false">IF($K21="Expected",$P21,0)</f>
        <v>0</v>
      </c>
      <c r="V21" s="64" t="n">
        <f aca="false">IF($K21="Better",$P21,0)</f>
        <v>0</v>
      </c>
      <c r="W21" s="64" t="n">
        <f aca="false">IF($K21="U – needs rule",$P21,0)</f>
        <v>0</v>
      </c>
      <c r="X21" s="64" t="n">
        <f aca="false">IF($K21="No Start (attainment only)",$P21,0)</f>
        <v>0</v>
      </c>
    </row>
    <row r="22" customFormat="false" ht="15" hidden="false" customHeight="false" outlineLevel="0" collapsed="false">
      <c r="A22" s="60"/>
      <c r="B22" s="61" t="str">
        <f aca="false">IF($M22=0,"",INDEX(Classes!$E$6:$E$420,$M22))</f>
        <v/>
      </c>
      <c r="C22" s="62" t="str">
        <f aca="false">IF($M22=0,"",INDEX(Classes!$H$6:$H$420,$M22))</f>
        <v/>
      </c>
      <c r="D22" s="61" t="str">
        <f aca="false">IF($M22=0,"",INDEX(Classes!$B$6:$B$420,$M22))</f>
        <v/>
      </c>
      <c r="E22" s="61" t="str">
        <f aca="false">IF($M22=0,"",INDEX(Classes!$C$6:$C$420,$M22))</f>
        <v/>
      </c>
      <c r="F22" s="63"/>
      <c r="G22" s="63"/>
      <c r="H22" s="60"/>
      <c r="I22" s="60"/>
      <c r="J22" s="63"/>
      <c r="K22" s="61" t="str">
        <f aca="false">IF($P22=0,"",IF($F22="Baseline","— Baseline",IF($O22=0,"No result",IF($N22=0,"No Start (attainment only)",IF(OR($N22=1,$O22=1),"U – needs rule",INDEX(MxBody,MATCH($I22,MxCurr,0),MATCH($H22,MxStart,0)))))))</f>
        <v/>
      </c>
      <c r="L22" s="62" t="str">
        <f aca="false">IF(COUNTA($A22,$F22,$G22,$H22,$I22,$J22)=0,"",IF($M22=0,"✖ كود الصف غير موجود",IF(ISNA(MATCH($F22,Lists!$A$2:$A$5,0)),"✖ الفترة غير صحيحة",IF(ISNA(MATCH($G22,Lists!$B$2:$B$7,0)),"✖ المجموعة غير صحيحة",IF(NOT(OR($H22="",$N22&gt;0)),"✖ Start غير صحيح",IF(NOT(OR($I22="",$I22="NR",$O22&gt;0)),"✖ Current غير صحيح",IF(NOT(IF(ISNUMBER($J22),AND($J22&gt;=0,$J22=INT($J22)),FALSE())),"✖ العدد يجب أن يكون صحيحًا ≥ 0",IF(AND($F22="Baseline",$H22&lt;&gt;""),"⚠ Baseline: Start لا يدخل في التقدم",IF($K22="No Start (attainment only)","ℹ تحصيل فقط (بدون Start)",IF($K22="U – needs rule","ℹ حالة U تحتاج قاعدة معتمدة",IF($K22="No result","ℹ بدون نتيجة (يُستبعد من التحصيل)","OK")))))))))))</f>
        <v/>
      </c>
      <c r="M22" s="64" t="n">
        <f aca="false">IF($A22="",0,IFERROR(MATCH($A22,Classes!$A$6:$A$420,0),0))</f>
        <v>0</v>
      </c>
      <c r="N22" s="64" t="n">
        <f aca="false">IF($H22="",0,IFERROR(MATCH($H22,GradeList,0),0))</f>
        <v>0</v>
      </c>
      <c r="O22" s="64" t="n">
        <f aca="false">IF(OR($I22="",$I22="NR"),0,IFERROR(MATCH($I22,GradeList,0),0))</f>
        <v>0</v>
      </c>
      <c r="P22" s="64" t="n">
        <f aca="false">IF(AND($M22&gt;0,ISNUMBER(MATCH($F22,Lists!$A$2:$A$5,0)),ISNUMBER(MATCH($G22,Lists!$B$2:$B$7,0)),OR($H22="",$N22&gt;0),OR($I22="",$I22="NR",$O22&gt;0),IF(ISNUMBER($J22),AND($J22&gt;=0,$J22=INT($J22)),FALSE())),$J22,0)</f>
        <v>0</v>
      </c>
      <c r="Q22" s="64" t="n">
        <f aca="false">IF(AND($P22&gt;0,$O22&gt;0),$P22,0)</f>
        <v>0</v>
      </c>
      <c r="R22" s="64" t="n">
        <f aca="false">IF(AND($Q22&gt;0,$O22&gt;=AtRank),$Q22,0)</f>
        <v>0</v>
      </c>
      <c r="S22" s="64" t="n">
        <f aca="false">IF(AND($Q22&gt;0,$O22&gt;=AboveRank),$Q22,0)</f>
        <v>0</v>
      </c>
      <c r="T22" s="64" t="n">
        <f aca="false">IF($K22="Less",$P22,0)</f>
        <v>0</v>
      </c>
      <c r="U22" s="64" t="n">
        <f aca="false">IF($K22="Expected",$P22,0)</f>
        <v>0</v>
      </c>
      <c r="V22" s="64" t="n">
        <f aca="false">IF($K22="Better",$P22,0)</f>
        <v>0</v>
      </c>
      <c r="W22" s="64" t="n">
        <f aca="false">IF($K22="U – needs rule",$P22,0)</f>
        <v>0</v>
      </c>
      <c r="X22" s="64" t="n">
        <f aca="false">IF($K22="No Start (attainment only)",$P22,0)</f>
        <v>0</v>
      </c>
    </row>
    <row r="23" customFormat="false" ht="15" hidden="false" customHeight="false" outlineLevel="0" collapsed="false">
      <c r="A23" s="60"/>
      <c r="B23" s="61" t="str">
        <f aca="false">IF($M23=0,"",INDEX(Classes!$E$6:$E$420,$M23))</f>
        <v/>
      </c>
      <c r="C23" s="62" t="str">
        <f aca="false">IF($M23=0,"",INDEX(Classes!$H$6:$H$420,$M23))</f>
        <v/>
      </c>
      <c r="D23" s="61" t="str">
        <f aca="false">IF($M23=0,"",INDEX(Classes!$B$6:$B$420,$M23))</f>
        <v/>
      </c>
      <c r="E23" s="61" t="str">
        <f aca="false">IF($M23=0,"",INDEX(Classes!$C$6:$C$420,$M23))</f>
        <v/>
      </c>
      <c r="F23" s="63"/>
      <c r="G23" s="63"/>
      <c r="H23" s="60"/>
      <c r="I23" s="60"/>
      <c r="J23" s="63"/>
      <c r="K23" s="61" t="str">
        <f aca="false">IF($P23=0,"",IF($F23="Baseline","— Baseline",IF($O23=0,"No result",IF($N23=0,"No Start (attainment only)",IF(OR($N23=1,$O23=1),"U – needs rule",INDEX(MxBody,MATCH($I23,MxCurr,0),MATCH($H23,MxStart,0)))))))</f>
        <v/>
      </c>
      <c r="L23" s="62" t="str">
        <f aca="false">IF(COUNTA($A23,$F23,$G23,$H23,$I23,$J23)=0,"",IF($M23=0,"✖ كود الصف غير موجود",IF(ISNA(MATCH($F23,Lists!$A$2:$A$5,0)),"✖ الفترة غير صحيحة",IF(ISNA(MATCH($G23,Lists!$B$2:$B$7,0)),"✖ المجموعة غير صحيحة",IF(NOT(OR($H23="",$N23&gt;0)),"✖ Start غير صحيح",IF(NOT(OR($I23="",$I23="NR",$O23&gt;0)),"✖ Current غير صحيح",IF(NOT(IF(ISNUMBER($J23),AND($J23&gt;=0,$J23=INT($J23)),FALSE())),"✖ العدد يجب أن يكون صحيحًا ≥ 0",IF(AND($F23="Baseline",$H23&lt;&gt;""),"⚠ Baseline: Start لا يدخل في التقدم",IF($K23="No Start (attainment only)","ℹ تحصيل فقط (بدون Start)",IF($K23="U – needs rule","ℹ حالة U تحتاج قاعدة معتمدة",IF($K23="No result","ℹ بدون نتيجة (يُستبعد من التحصيل)","OK")))))))))))</f>
        <v/>
      </c>
      <c r="M23" s="64" t="n">
        <f aca="false">IF($A23="",0,IFERROR(MATCH($A23,Classes!$A$6:$A$420,0),0))</f>
        <v>0</v>
      </c>
      <c r="N23" s="64" t="n">
        <f aca="false">IF($H23="",0,IFERROR(MATCH($H23,GradeList,0),0))</f>
        <v>0</v>
      </c>
      <c r="O23" s="64" t="n">
        <f aca="false">IF(OR($I23="",$I23="NR"),0,IFERROR(MATCH($I23,GradeList,0),0))</f>
        <v>0</v>
      </c>
      <c r="P23" s="64" t="n">
        <f aca="false">IF(AND($M23&gt;0,ISNUMBER(MATCH($F23,Lists!$A$2:$A$5,0)),ISNUMBER(MATCH($G23,Lists!$B$2:$B$7,0)),OR($H23="",$N23&gt;0),OR($I23="",$I23="NR",$O23&gt;0),IF(ISNUMBER($J23),AND($J23&gt;=0,$J23=INT($J23)),FALSE())),$J23,0)</f>
        <v>0</v>
      </c>
      <c r="Q23" s="64" t="n">
        <f aca="false">IF(AND($P23&gt;0,$O23&gt;0),$P23,0)</f>
        <v>0</v>
      </c>
      <c r="R23" s="64" t="n">
        <f aca="false">IF(AND($Q23&gt;0,$O23&gt;=AtRank),$Q23,0)</f>
        <v>0</v>
      </c>
      <c r="S23" s="64" t="n">
        <f aca="false">IF(AND($Q23&gt;0,$O23&gt;=AboveRank),$Q23,0)</f>
        <v>0</v>
      </c>
      <c r="T23" s="64" t="n">
        <f aca="false">IF($K23="Less",$P23,0)</f>
        <v>0</v>
      </c>
      <c r="U23" s="64" t="n">
        <f aca="false">IF($K23="Expected",$P23,0)</f>
        <v>0</v>
      </c>
      <c r="V23" s="64" t="n">
        <f aca="false">IF($K23="Better",$P23,0)</f>
        <v>0</v>
      </c>
      <c r="W23" s="64" t="n">
        <f aca="false">IF($K23="U – needs rule",$P23,0)</f>
        <v>0</v>
      </c>
      <c r="X23" s="64" t="n">
        <f aca="false">IF($K23="No Start (attainment only)",$P23,0)</f>
        <v>0</v>
      </c>
    </row>
    <row r="24" customFormat="false" ht="15" hidden="false" customHeight="false" outlineLevel="0" collapsed="false">
      <c r="A24" s="60"/>
      <c r="B24" s="61" t="str">
        <f aca="false">IF($M24=0,"",INDEX(Classes!$E$6:$E$420,$M24))</f>
        <v/>
      </c>
      <c r="C24" s="62" t="str">
        <f aca="false">IF($M24=0,"",INDEX(Classes!$H$6:$H$420,$M24))</f>
        <v/>
      </c>
      <c r="D24" s="61" t="str">
        <f aca="false">IF($M24=0,"",INDEX(Classes!$B$6:$B$420,$M24))</f>
        <v/>
      </c>
      <c r="E24" s="61" t="str">
        <f aca="false">IF($M24=0,"",INDEX(Classes!$C$6:$C$420,$M24))</f>
        <v/>
      </c>
      <c r="F24" s="63"/>
      <c r="G24" s="63"/>
      <c r="H24" s="60"/>
      <c r="I24" s="60"/>
      <c r="J24" s="63"/>
      <c r="K24" s="61" t="str">
        <f aca="false">IF($P24=0,"",IF($F24="Baseline","— Baseline",IF($O24=0,"No result",IF($N24=0,"No Start (attainment only)",IF(OR($N24=1,$O24=1),"U – needs rule",INDEX(MxBody,MATCH($I24,MxCurr,0),MATCH($H24,MxStart,0)))))))</f>
        <v/>
      </c>
      <c r="L24" s="62" t="str">
        <f aca="false">IF(COUNTA($A24,$F24,$G24,$H24,$I24,$J24)=0,"",IF($M24=0,"✖ كود الصف غير موجود",IF(ISNA(MATCH($F24,Lists!$A$2:$A$5,0)),"✖ الفترة غير صحيحة",IF(ISNA(MATCH($G24,Lists!$B$2:$B$7,0)),"✖ المجموعة غير صحيحة",IF(NOT(OR($H24="",$N24&gt;0)),"✖ Start غير صحيح",IF(NOT(OR($I24="",$I24="NR",$O24&gt;0)),"✖ Current غير صحيح",IF(NOT(IF(ISNUMBER($J24),AND($J24&gt;=0,$J24=INT($J24)),FALSE())),"✖ العدد يجب أن يكون صحيحًا ≥ 0",IF(AND($F24="Baseline",$H24&lt;&gt;""),"⚠ Baseline: Start لا يدخل في التقدم",IF($K24="No Start (attainment only)","ℹ تحصيل فقط (بدون Start)",IF($K24="U – needs rule","ℹ حالة U تحتاج قاعدة معتمدة",IF($K24="No result","ℹ بدون نتيجة (يُستبعد من التحصيل)","OK")))))))))))</f>
        <v/>
      </c>
      <c r="M24" s="64" t="n">
        <f aca="false">IF($A24="",0,IFERROR(MATCH($A24,Classes!$A$6:$A$420,0),0))</f>
        <v>0</v>
      </c>
      <c r="N24" s="64" t="n">
        <f aca="false">IF($H24="",0,IFERROR(MATCH($H24,GradeList,0),0))</f>
        <v>0</v>
      </c>
      <c r="O24" s="64" t="n">
        <f aca="false">IF(OR($I24="",$I24="NR"),0,IFERROR(MATCH($I24,GradeList,0),0))</f>
        <v>0</v>
      </c>
      <c r="P24" s="64" t="n">
        <f aca="false">IF(AND($M24&gt;0,ISNUMBER(MATCH($F24,Lists!$A$2:$A$5,0)),ISNUMBER(MATCH($G24,Lists!$B$2:$B$7,0)),OR($H24="",$N24&gt;0),OR($I24="",$I24="NR",$O24&gt;0),IF(ISNUMBER($J24),AND($J24&gt;=0,$J24=INT($J24)),FALSE())),$J24,0)</f>
        <v>0</v>
      </c>
      <c r="Q24" s="64" t="n">
        <f aca="false">IF(AND($P24&gt;0,$O24&gt;0),$P24,0)</f>
        <v>0</v>
      </c>
      <c r="R24" s="64" t="n">
        <f aca="false">IF(AND($Q24&gt;0,$O24&gt;=AtRank),$Q24,0)</f>
        <v>0</v>
      </c>
      <c r="S24" s="64" t="n">
        <f aca="false">IF(AND($Q24&gt;0,$O24&gt;=AboveRank),$Q24,0)</f>
        <v>0</v>
      </c>
      <c r="T24" s="64" t="n">
        <f aca="false">IF($K24="Less",$P24,0)</f>
        <v>0</v>
      </c>
      <c r="U24" s="64" t="n">
        <f aca="false">IF($K24="Expected",$P24,0)</f>
        <v>0</v>
      </c>
      <c r="V24" s="64" t="n">
        <f aca="false">IF($K24="Better",$P24,0)</f>
        <v>0</v>
      </c>
      <c r="W24" s="64" t="n">
        <f aca="false">IF($K24="U – needs rule",$P24,0)</f>
        <v>0</v>
      </c>
      <c r="X24" s="64" t="n">
        <f aca="false">IF($K24="No Start (attainment only)",$P24,0)</f>
        <v>0</v>
      </c>
    </row>
    <row r="25" customFormat="false" ht="15" hidden="false" customHeight="false" outlineLevel="0" collapsed="false">
      <c r="A25" s="60"/>
      <c r="B25" s="61" t="str">
        <f aca="false">IF($M25=0,"",INDEX(Classes!$E$6:$E$420,$M25))</f>
        <v/>
      </c>
      <c r="C25" s="62" t="str">
        <f aca="false">IF($M25=0,"",INDEX(Classes!$H$6:$H$420,$M25))</f>
        <v/>
      </c>
      <c r="D25" s="61" t="str">
        <f aca="false">IF($M25=0,"",INDEX(Classes!$B$6:$B$420,$M25))</f>
        <v/>
      </c>
      <c r="E25" s="61" t="str">
        <f aca="false">IF($M25=0,"",INDEX(Classes!$C$6:$C$420,$M25))</f>
        <v/>
      </c>
      <c r="F25" s="63"/>
      <c r="G25" s="63"/>
      <c r="H25" s="60"/>
      <c r="I25" s="60"/>
      <c r="J25" s="63"/>
      <c r="K25" s="61" t="str">
        <f aca="false">IF($P25=0,"",IF($F25="Baseline","— Baseline",IF($O25=0,"No result",IF($N25=0,"No Start (attainment only)",IF(OR($N25=1,$O25=1),"U – needs rule",INDEX(MxBody,MATCH($I25,MxCurr,0),MATCH($H25,MxStart,0)))))))</f>
        <v/>
      </c>
      <c r="L25" s="62" t="str">
        <f aca="false">IF(COUNTA($A25,$F25,$G25,$H25,$I25,$J25)=0,"",IF($M25=0,"✖ كود الصف غير موجود",IF(ISNA(MATCH($F25,Lists!$A$2:$A$5,0)),"✖ الفترة غير صحيحة",IF(ISNA(MATCH($G25,Lists!$B$2:$B$7,0)),"✖ المجموعة غير صحيحة",IF(NOT(OR($H25="",$N25&gt;0)),"✖ Start غير صحيح",IF(NOT(OR($I25="",$I25="NR",$O25&gt;0)),"✖ Current غير صحيح",IF(NOT(IF(ISNUMBER($J25),AND($J25&gt;=0,$J25=INT($J25)),FALSE())),"✖ العدد يجب أن يكون صحيحًا ≥ 0",IF(AND($F25="Baseline",$H25&lt;&gt;""),"⚠ Baseline: Start لا يدخل في التقدم",IF($K25="No Start (attainment only)","ℹ تحصيل فقط (بدون Start)",IF($K25="U – needs rule","ℹ حالة U تحتاج قاعدة معتمدة",IF($K25="No result","ℹ بدون نتيجة (يُستبعد من التحصيل)","OK")))))))))))</f>
        <v/>
      </c>
      <c r="M25" s="64" t="n">
        <f aca="false">IF($A25="",0,IFERROR(MATCH($A25,Classes!$A$6:$A$420,0),0))</f>
        <v>0</v>
      </c>
      <c r="N25" s="64" t="n">
        <f aca="false">IF($H25="",0,IFERROR(MATCH($H25,GradeList,0),0))</f>
        <v>0</v>
      </c>
      <c r="O25" s="64" t="n">
        <f aca="false">IF(OR($I25="",$I25="NR"),0,IFERROR(MATCH($I25,GradeList,0),0))</f>
        <v>0</v>
      </c>
      <c r="P25" s="64" t="n">
        <f aca="false">IF(AND($M25&gt;0,ISNUMBER(MATCH($F25,Lists!$A$2:$A$5,0)),ISNUMBER(MATCH($G25,Lists!$B$2:$B$7,0)),OR($H25="",$N25&gt;0),OR($I25="",$I25="NR",$O25&gt;0),IF(ISNUMBER($J25),AND($J25&gt;=0,$J25=INT($J25)),FALSE())),$J25,0)</f>
        <v>0</v>
      </c>
      <c r="Q25" s="64" t="n">
        <f aca="false">IF(AND($P25&gt;0,$O25&gt;0),$P25,0)</f>
        <v>0</v>
      </c>
      <c r="R25" s="64" t="n">
        <f aca="false">IF(AND($Q25&gt;0,$O25&gt;=AtRank),$Q25,0)</f>
        <v>0</v>
      </c>
      <c r="S25" s="64" t="n">
        <f aca="false">IF(AND($Q25&gt;0,$O25&gt;=AboveRank),$Q25,0)</f>
        <v>0</v>
      </c>
      <c r="T25" s="64" t="n">
        <f aca="false">IF($K25="Less",$P25,0)</f>
        <v>0</v>
      </c>
      <c r="U25" s="64" t="n">
        <f aca="false">IF($K25="Expected",$P25,0)</f>
        <v>0</v>
      </c>
      <c r="V25" s="64" t="n">
        <f aca="false">IF($K25="Better",$P25,0)</f>
        <v>0</v>
      </c>
      <c r="W25" s="64" t="n">
        <f aca="false">IF($K25="U – needs rule",$P25,0)</f>
        <v>0</v>
      </c>
      <c r="X25" s="64" t="n">
        <f aca="false">IF($K25="No Start (attainment only)",$P25,0)</f>
        <v>0</v>
      </c>
    </row>
    <row r="26" customFormat="false" ht="15" hidden="false" customHeight="false" outlineLevel="0" collapsed="false">
      <c r="A26" s="60"/>
      <c r="B26" s="61" t="str">
        <f aca="false">IF($M26=0,"",INDEX(Classes!$E$6:$E$420,$M26))</f>
        <v/>
      </c>
      <c r="C26" s="62" t="str">
        <f aca="false">IF($M26=0,"",INDEX(Classes!$H$6:$H$420,$M26))</f>
        <v/>
      </c>
      <c r="D26" s="61" t="str">
        <f aca="false">IF($M26=0,"",INDEX(Classes!$B$6:$B$420,$M26))</f>
        <v/>
      </c>
      <c r="E26" s="61" t="str">
        <f aca="false">IF($M26=0,"",INDEX(Classes!$C$6:$C$420,$M26))</f>
        <v/>
      </c>
      <c r="F26" s="63"/>
      <c r="G26" s="63"/>
      <c r="H26" s="60"/>
      <c r="I26" s="60"/>
      <c r="J26" s="63"/>
      <c r="K26" s="61" t="str">
        <f aca="false">IF($P26=0,"",IF($F26="Baseline","— Baseline",IF($O26=0,"No result",IF($N26=0,"No Start (attainment only)",IF(OR($N26=1,$O26=1),"U – needs rule",INDEX(MxBody,MATCH($I26,MxCurr,0),MATCH($H26,MxStart,0)))))))</f>
        <v/>
      </c>
      <c r="L26" s="62" t="str">
        <f aca="false">IF(COUNTA($A26,$F26,$G26,$H26,$I26,$J26)=0,"",IF($M26=0,"✖ كود الصف غير موجود",IF(ISNA(MATCH($F26,Lists!$A$2:$A$5,0)),"✖ الفترة غير صحيحة",IF(ISNA(MATCH($G26,Lists!$B$2:$B$7,0)),"✖ المجموعة غير صحيحة",IF(NOT(OR($H26="",$N26&gt;0)),"✖ Start غير صحيح",IF(NOT(OR($I26="",$I26="NR",$O26&gt;0)),"✖ Current غير صحيح",IF(NOT(IF(ISNUMBER($J26),AND($J26&gt;=0,$J26=INT($J26)),FALSE())),"✖ العدد يجب أن يكون صحيحًا ≥ 0",IF(AND($F26="Baseline",$H26&lt;&gt;""),"⚠ Baseline: Start لا يدخل في التقدم",IF($K26="No Start (attainment only)","ℹ تحصيل فقط (بدون Start)",IF($K26="U – needs rule","ℹ حالة U تحتاج قاعدة معتمدة",IF($K26="No result","ℹ بدون نتيجة (يُستبعد من التحصيل)","OK")))))))))))</f>
        <v/>
      </c>
      <c r="M26" s="64" t="n">
        <f aca="false">IF($A26="",0,IFERROR(MATCH($A26,Classes!$A$6:$A$420,0),0))</f>
        <v>0</v>
      </c>
      <c r="N26" s="64" t="n">
        <f aca="false">IF($H26="",0,IFERROR(MATCH($H26,GradeList,0),0))</f>
        <v>0</v>
      </c>
      <c r="O26" s="64" t="n">
        <f aca="false">IF(OR($I26="",$I26="NR"),0,IFERROR(MATCH($I26,GradeList,0),0))</f>
        <v>0</v>
      </c>
      <c r="P26" s="64" t="n">
        <f aca="false">IF(AND($M26&gt;0,ISNUMBER(MATCH($F26,Lists!$A$2:$A$5,0)),ISNUMBER(MATCH($G26,Lists!$B$2:$B$7,0)),OR($H26="",$N26&gt;0),OR($I26="",$I26="NR",$O26&gt;0),IF(ISNUMBER($J26),AND($J26&gt;=0,$J26=INT($J26)),FALSE())),$J26,0)</f>
        <v>0</v>
      </c>
      <c r="Q26" s="64" t="n">
        <f aca="false">IF(AND($P26&gt;0,$O26&gt;0),$P26,0)</f>
        <v>0</v>
      </c>
      <c r="R26" s="64" t="n">
        <f aca="false">IF(AND($Q26&gt;0,$O26&gt;=AtRank),$Q26,0)</f>
        <v>0</v>
      </c>
      <c r="S26" s="64" t="n">
        <f aca="false">IF(AND($Q26&gt;0,$O26&gt;=AboveRank),$Q26,0)</f>
        <v>0</v>
      </c>
      <c r="T26" s="64" t="n">
        <f aca="false">IF($K26="Less",$P26,0)</f>
        <v>0</v>
      </c>
      <c r="U26" s="64" t="n">
        <f aca="false">IF($K26="Expected",$P26,0)</f>
        <v>0</v>
      </c>
      <c r="V26" s="64" t="n">
        <f aca="false">IF($K26="Better",$P26,0)</f>
        <v>0</v>
      </c>
      <c r="W26" s="64" t="n">
        <f aca="false">IF($K26="U – needs rule",$P26,0)</f>
        <v>0</v>
      </c>
      <c r="X26" s="64" t="n">
        <f aca="false">IF($K26="No Start (attainment only)",$P26,0)</f>
        <v>0</v>
      </c>
    </row>
    <row r="27" customFormat="false" ht="15" hidden="false" customHeight="false" outlineLevel="0" collapsed="false">
      <c r="A27" s="60"/>
      <c r="B27" s="61" t="str">
        <f aca="false">IF($M27=0,"",INDEX(Classes!$E$6:$E$420,$M27))</f>
        <v/>
      </c>
      <c r="C27" s="62" t="str">
        <f aca="false">IF($M27=0,"",INDEX(Classes!$H$6:$H$420,$M27))</f>
        <v/>
      </c>
      <c r="D27" s="61" t="str">
        <f aca="false">IF($M27=0,"",INDEX(Classes!$B$6:$B$420,$M27))</f>
        <v/>
      </c>
      <c r="E27" s="61" t="str">
        <f aca="false">IF($M27=0,"",INDEX(Classes!$C$6:$C$420,$M27))</f>
        <v/>
      </c>
      <c r="F27" s="63"/>
      <c r="G27" s="63"/>
      <c r="H27" s="60"/>
      <c r="I27" s="60"/>
      <c r="J27" s="63"/>
      <c r="K27" s="61" t="str">
        <f aca="false">IF($P27=0,"",IF($F27="Baseline","— Baseline",IF($O27=0,"No result",IF($N27=0,"No Start (attainment only)",IF(OR($N27=1,$O27=1),"U – needs rule",INDEX(MxBody,MATCH($I27,MxCurr,0),MATCH($H27,MxStart,0)))))))</f>
        <v/>
      </c>
      <c r="L27" s="62" t="str">
        <f aca="false">IF(COUNTA($A27,$F27,$G27,$H27,$I27,$J27)=0,"",IF($M27=0,"✖ كود الصف غير موجود",IF(ISNA(MATCH($F27,Lists!$A$2:$A$5,0)),"✖ الفترة غير صحيحة",IF(ISNA(MATCH($G27,Lists!$B$2:$B$7,0)),"✖ المجموعة غير صحيحة",IF(NOT(OR($H27="",$N27&gt;0)),"✖ Start غير صحيح",IF(NOT(OR($I27="",$I27="NR",$O27&gt;0)),"✖ Current غير صحيح",IF(NOT(IF(ISNUMBER($J27),AND($J27&gt;=0,$J27=INT($J27)),FALSE())),"✖ العدد يجب أن يكون صحيحًا ≥ 0",IF(AND($F27="Baseline",$H27&lt;&gt;""),"⚠ Baseline: Start لا يدخل في التقدم",IF($K27="No Start (attainment only)","ℹ تحصيل فقط (بدون Start)",IF($K27="U – needs rule","ℹ حالة U تحتاج قاعدة معتمدة",IF($K27="No result","ℹ بدون نتيجة (يُستبعد من التحصيل)","OK")))))))))))</f>
        <v/>
      </c>
      <c r="M27" s="64" t="n">
        <f aca="false">IF($A27="",0,IFERROR(MATCH($A27,Classes!$A$6:$A$420,0),0))</f>
        <v>0</v>
      </c>
      <c r="N27" s="64" t="n">
        <f aca="false">IF($H27="",0,IFERROR(MATCH($H27,GradeList,0),0))</f>
        <v>0</v>
      </c>
      <c r="O27" s="64" t="n">
        <f aca="false">IF(OR($I27="",$I27="NR"),0,IFERROR(MATCH($I27,GradeList,0),0))</f>
        <v>0</v>
      </c>
      <c r="P27" s="64" t="n">
        <f aca="false">IF(AND($M27&gt;0,ISNUMBER(MATCH($F27,Lists!$A$2:$A$5,0)),ISNUMBER(MATCH($G27,Lists!$B$2:$B$7,0)),OR($H27="",$N27&gt;0),OR($I27="",$I27="NR",$O27&gt;0),IF(ISNUMBER($J27),AND($J27&gt;=0,$J27=INT($J27)),FALSE())),$J27,0)</f>
        <v>0</v>
      </c>
      <c r="Q27" s="64" t="n">
        <f aca="false">IF(AND($P27&gt;0,$O27&gt;0),$P27,0)</f>
        <v>0</v>
      </c>
      <c r="R27" s="64" t="n">
        <f aca="false">IF(AND($Q27&gt;0,$O27&gt;=AtRank),$Q27,0)</f>
        <v>0</v>
      </c>
      <c r="S27" s="64" t="n">
        <f aca="false">IF(AND($Q27&gt;0,$O27&gt;=AboveRank),$Q27,0)</f>
        <v>0</v>
      </c>
      <c r="T27" s="64" t="n">
        <f aca="false">IF($K27="Less",$P27,0)</f>
        <v>0</v>
      </c>
      <c r="U27" s="64" t="n">
        <f aca="false">IF($K27="Expected",$P27,0)</f>
        <v>0</v>
      </c>
      <c r="V27" s="64" t="n">
        <f aca="false">IF($K27="Better",$P27,0)</f>
        <v>0</v>
      </c>
      <c r="W27" s="64" t="n">
        <f aca="false">IF($K27="U – needs rule",$P27,0)</f>
        <v>0</v>
      </c>
      <c r="X27" s="64" t="n">
        <f aca="false">IF($K27="No Start (attainment only)",$P27,0)</f>
        <v>0</v>
      </c>
    </row>
    <row r="28" customFormat="false" ht="15" hidden="false" customHeight="false" outlineLevel="0" collapsed="false">
      <c r="A28" s="60"/>
      <c r="B28" s="61" t="str">
        <f aca="false">IF($M28=0,"",INDEX(Classes!$E$6:$E$420,$M28))</f>
        <v/>
      </c>
      <c r="C28" s="62" t="str">
        <f aca="false">IF($M28=0,"",INDEX(Classes!$H$6:$H$420,$M28))</f>
        <v/>
      </c>
      <c r="D28" s="61" t="str">
        <f aca="false">IF($M28=0,"",INDEX(Classes!$B$6:$B$420,$M28))</f>
        <v/>
      </c>
      <c r="E28" s="61" t="str">
        <f aca="false">IF($M28=0,"",INDEX(Classes!$C$6:$C$420,$M28))</f>
        <v/>
      </c>
      <c r="F28" s="63"/>
      <c r="G28" s="63"/>
      <c r="H28" s="60"/>
      <c r="I28" s="60"/>
      <c r="J28" s="63"/>
      <c r="K28" s="61" t="str">
        <f aca="false">IF($P28=0,"",IF($F28="Baseline","— Baseline",IF($O28=0,"No result",IF($N28=0,"No Start (attainment only)",IF(OR($N28=1,$O28=1),"U – needs rule",INDEX(MxBody,MATCH($I28,MxCurr,0),MATCH($H28,MxStart,0)))))))</f>
        <v/>
      </c>
      <c r="L28" s="62" t="str">
        <f aca="false">IF(COUNTA($A28,$F28,$G28,$H28,$I28,$J28)=0,"",IF($M28=0,"✖ كود الصف غير موجود",IF(ISNA(MATCH($F28,Lists!$A$2:$A$5,0)),"✖ الفترة غير صحيحة",IF(ISNA(MATCH($G28,Lists!$B$2:$B$7,0)),"✖ المجموعة غير صحيحة",IF(NOT(OR($H28="",$N28&gt;0)),"✖ Start غير صحيح",IF(NOT(OR($I28="",$I28="NR",$O28&gt;0)),"✖ Current غير صحيح",IF(NOT(IF(ISNUMBER($J28),AND($J28&gt;=0,$J28=INT($J28)),FALSE())),"✖ العدد يجب أن يكون صحيحًا ≥ 0",IF(AND($F28="Baseline",$H28&lt;&gt;""),"⚠ Baseline: Start لا يدخل في التقدم",IF($K28="No Start (attainment only)","ℹ تحصيل فقط (بدون Start)",IF($K28="U – needs rule","ℹ حالة U تحتاج قاعدة معتمدة",IF($K28="No result","ℹ بدون نتيجة (يُستبعد من التحصيل)","OK")))))))))))</f>
        <v/>
      </c>
      <c r="M28" s="64" t="n">
        <f aca="false">IF($A28="",0,IFERROR(MATCH($A28,Classes!$A$6:$A$420,0),0))</f>
        <v>0</v>
      </c>
      <c r="N28" s="64" t="n">
        <f aca="false">IF($H28="",0,IFERROR(MATCH($H28,GradeList,0),0))</f>
        <v>0</v>
      </c>
      <c r="O28" s="64" t="n">
        <f aca="false">IF(OR($I28="",$I28="NR"),0,IFERROR(MATCH($I28,GradeList,0),0))</f>
        <v>0</v>
      </c>
      <c r="P28" s="64" t="n">
        <f aca="false">IF(AND($M28&gt;0,ISNUMBER(MATCH($F28,Lists!$A$2:$A$5,0)),ISNUMBER(MATCH($G28,Lists!$B$2:$B$7,0)),OR($H28="",$N28&gt;0),OR($I28="",$I28="NR",$O28&gt;0),IF(ISNUMBER($J28),AND($J28&gt;=0,$J28=INT($J28)),FALSE())),$J28,0)</f>
        <v>0</v>
      </c>
      <c r="Q28" s="64" t="n">
        <f aca="false">IF(AND($P28&gt;0,$O28&gt;0),$P28,0)</f>
        <v>0</v>
      </c>
      <c r="R28" s="64" t="n">
        <f aca="false">IF(AND($Q28&gt;0,$O28&gt;=AtRank),$Q28,0)</f>
        <v>0</v>
      </c>
      <c r="S28" s="64" t="n">
        <f aca="false">IF(AND($Q28&gt;0,$O28&gt;=AboveRank),$Q28,0)</f>
        <v>0</v>
      </c>
      <c r="T28" s="64" t="n">
        <f aca="false">IF($K28="Less",$P28,0)</f>
        <v>0</v>
      </c>
      <c r="U28" s="64" t="n">
        <f aca="false">IF($K28="Expected",$P28,0)</f>
        <v>0</v>
      </c>
      <c r="V28" s="64" t="n">
        <f aca="false">IF($K28="Better",$P28,0)</f>
        <v>0</v>
      </c>
      <c r="W28" s="64" t="n">
        <f aca="false">IF($K28="U – needs rule",$P28,0)</f>
        <v>0</v>
      </c>
      <c r="X28" s="64" t="n">
        <f aca="false">IF($K28="No Start (attainment only)",$P28,0)</f>
        <v>0</v>
      </c>
    </row>
    <row r="29" customFormat="false" ht="15" hidden="false" customHeight="false" outlineLevel="0" collapsed="false">
      <c r="A29" s="60"/>
      <c r="B29" s="61" t="str">
        <f aca="false">IF($M29=0,"",INDEX(Classes!$E$6:$E$420,$M29))</f>
        <v/>
      </c>
      <c r="C29" s="62" t="str">
        <f aca="false">IF($M29=0,"",INDEX(Classes!$H$6:$H$420,$M29))</f>
        <v/>
      </c>
      <c r="D29" s="61" t="str">
        <f aca="false">IF($M29=0,"",INDEX(Classes!$B$6:$B$420,$M29))</f>
        <v/>
      </c>
      <c r="E29" s="61" t="str">
        <f aca="false">IF($M29=0,"",INDEX(Classes!$C$6:$C$420,$M29))</f>
        <v/>
      </c>
      <c r="F29" s="63"/>
      <c r="G29" s="63"/>
      <c r="H29" s="60"/>
      <c r="I29" s="60"/>
      <c r="J29" s="63"/>
      <c r="K29" s="61" t="str">
        <f aca="false">IF($P29=0,"",IF($F29="Baseline","— Baseline",IF($O29=0,"No result",IF($N29=0,"No Start (attainment only)",IF(OR($N29=1,$O29=1),"U – needs rule",INDEX(MxBody,MATCH($I29,MxCurr,0),MATCH($H29,MxStart,0)))))))</f>
        <v/>
      </c>
      <c r="L29" s="62" t="str">
        <f aca="false">IF(COUNTA($A29,$F29,$G29,$H29,$I29,$J29)=0,"",IF($M29=0,"✖ كود الصف غير موجود",IF(ISNA(MATCH($F29,Lists!$A$2:$A$5,0)),"✖ الفترة غير صحيحة",IF(ISNA(MATCH($G29,Lists!$B$2:$B$7,0)),"✖ المجموعة غير صحيحة",IF(NOT(OR($H29="",$N29&gt;0)),"✖ Start غير صحيح",IF(NOT(OR($I29="",$I29="NR",$O29&gt;0)),"✖ Current غير صحيح",IF(NOT(IF(ISNUMBER($J29),AND($J29&gt;=0,$J29=INT($J29)),FALSE())),"✖ العدد يجب أن يكون صحيحًا ≥ 0",IF(AND($F29="Baseline",$H29&lt;&gt;""),"⚠ Baseline: Start لا يدخل في التقدم",IF($K29="No Start (attainment only)","ℹ تحصيل فقط (بدون Start)",IF($K29="U – needs rule","ℹ حالة U تحتاج قاعدة معتمدة",IF($K29="No result","ℹ بدون نتيجة (يُستبعد من التحصيل)","OK")))))))))))</f>
        <v/>
      </c>
      <c r="M29" s="64" t="n">
        <f aca="false">IF($A29="",0,IFERROR(MATCH($A29,Classes!$A$6:$A$420,0),0))</f>
        <v>0</v>
      </c>
      <c r="N29" s="64" t="n">
        <f aca="false">IF($H29="",0,IFERROR(MATCH($H29,GradeList,0),0))</f>
        <v>0</v>
      </c>
      <c r="O29" s="64" t="n">
        <f aca="false">IF(OR($I29="",$I29="NR"),0,IFERROR(MATCH($I29,GradeList,0),0))</f>
        <v>0</v>
      </c>
      <c r="P29" s="64" t="n">
        <f aca="false">IF(AND($M29&gt;0,ISNUMBER(MATCH($F29,Lists!$A$2:$A$5,0)),ISNUMBER(MATCH($G29,Lists!$B$2:$B$7,0)),OR($H29="",$N29&gt;0),OR($I29="",$I29="NR",$O29&gt;0),IF(ISNUMBER($J29),AND($J29&gt;=0,$J29=INT($J29)),FALSE())),$J29,0)</f>
        <v>0</v>
      </c>
      <c r="Q29" s="64" t="n">
        <f aca="false">IF(AND($P29&gt;0,$O29&gt;0),$P29,0)</f>
        <v>0</v>
      </c>
      <c r="R29" s="64" t="n">
        <f aca="false">IF(AND($Q29&gt;0,$O29&gt;=AtRank),$Q29,0)</f>
        <v>0</v>
      </c>
      <c r="S29" s="64" t="n">
        <f aca="false">IF(AND($Q29&gt;0,$O29&gt;=AboveRank),$Q29,0)</f>
        <v>0</v>
      </c>
      <c r="T29" s="64" t="n">
        <f aca="false">IF($K29="Less",$P29,0)</f>
        <v>0</v>
      </c>
      <c r="U29" s="64" t="n">
        <f aca="false">IF($K29="Expected",$P29,0)</f>
        <v>0</v>
      </c>
      <c r="V29" s="64" t="n">
        <f aca="false">IF($K29="Better",$P29,0)</f>
        <v>0</v>
      </c>
      <c r="W29" s="64" t="n">
        <f aca="false">IF($K29="U – needs rule",$P29,0)</f>
        <v>0</v>
      </c>
      <c r="X29" s="64" t="n">
        <f aca="false">IF($K29="No Start (attainment only)",$P29,0)</f>
        <v>0</v>
      </c>
    </row>
    <row r="30" customFormat="false" ht="15" hidden="false" customHeight="false" outlineLevel="0" collapsed="false">
      <c r="A30" s="60"/>
      <c r="B30" s="61" t="str">
        <f aca="false">IF($M30=0,"",INDEX(Classes!$E$6:$E$420,$M30))</f>
        <v/>
      </c>
      <c r="C30" s="62" t="str">
        <f aca="false">IF($M30=0,"",INDEX(Classes!$H$6:$H$420,$M30))</f>
        <v/>
      </c>
      <c r="D30" s="61" t="str">
        <f aca="false">IF($M30=0,"",INDEX(Classes!$B$6:$B$420,$M30))</f>
        <v/>
      </c>
      <c r="E30" s="61" t="str">
        <f aca="false">IF($M30=0,"",INDEX(Classes!$C$6:$C$420,$M30))</f>
        <v/>
      </c>
      <c r="F30" s="63"/>
      <c r="G30" s="63"/>
      <c r="H30" s="60"/>
      <c r="I30" s="60"/>
      <c r="J30" s="63"/>
      <c r="K30" s="61" t="str">
        <f aca="false">IF($P30=0,"",IF($F30="Baseline","— Baseline",IF($O30=0,"No result",IF($N30=0,"No Start (attainment only)",IF(OR($N30=1,$O30=1),"U – needs rule",INDEX(MxBody,MATCH($I30,MxCurr,0),MATCH($H30,MxStart,0)))))))</f>
        <v/>
      </c>
      <c r="L30" s="62" t="str">
        <f aca="false">IF(COUNTA($A30,$F30,$G30,$H30,$I30,$J30)=0,"",IF($M30=0,"✖ كود الصف غير موجود",IF(ISNA(MATCH($F30,Lists!$A$2:$A$5,0)),"✖ الفترة غير صحيحة",IF(ISNA(MATCH($G30,Lists!$B$2:$B$7,0)),"✖ المجموعة غير صحيحة",IF(NOT(OR($H30="",$N30&gt;0)),"✖ Start غير صحيح",IF(NOT(OR($I30="",$I30="NR",$O30&gt;0)),"✖ Current غير صحيح",IF(NOT(IF(ISNUMBER($J30),AND($J30&gt;=0,$J30=INT($J30)),FALSE())),"✖ العدد يجب أن يكون صحيحًا ≥ 0",IF(AND($F30="Baseline",$H30&lt;&gt;""),"⚠ Baseline: Start لا يدخل في التقدم",IF($K30="No Start (attainment only)","ℹ تحصيل فقط (بدون Start)",IF($K30="U – needs rule","ℹ حالة U تحتاج قاعدة معتمدة",IF($K30="No result","ℹ بدون نتيجة (يُستبعد من التحصيل)","OK")))))))))))</f>
        <v/>
      </c>
      <c r="M30" s="64" t="n">
        <f aca="false">IF($A30="",0,IFERROR(MATCH($A30,Classes!$A$6:$A$420,0),0))</f>
        <v>0</v>
      </c>
      <c r="N30" s="64" t="n">
        <f aca="false">IF($H30="",0,IFERROR(MATCH($H30,GradeList,0),0))</f>
        <v>0</v>
      </c>
      <c r="O30" s="64" t="n">
        <f aca="false">IF(OR($I30="",$I30="NR"),0,IFERROR(MATCH($I30,GradeList,0),0))</f>
        <v>0</v>
      </c>
      <c r="P30" s="64" t="n">
        <f aca="false">IF(AND($M30&gt;0,ISNUMBER(MATCH($F30,Lists!$A$2:$A$5,0)),ISNUMBER(MATCH($G30,Lists!$B$2:$B$7,0)),OR($H30="",$N30&gt;0),OR($I30="",$I30="NR",$O30&gt;0),IF(ISNUMBER($J30),AND($J30&gt;=0,$J30=INT($J30)),FALSE())),$J30,0)</f>
        <v>0</v>
      </c>
      <c r="Q30" s="64" t="n">
        <f aca="false">IF(AND($P30&gt;0,$O30&gt;0),$P30,0)</f>
        <v>0</v>
      </c>
      <c r="R30" s="64" t="n">
        <f aca="false">IF(AND($Q30&gt;0,$O30&gt;=AtRank),$Q30,0)</f>
        <v>0</v>
      </c>
      <c r="S30" s="64" t="n">
        <f aca="false">IF(AND($Q30&gt;0,$O30&gt;=AboveRank),$Q30,0)</f>
        <v>0</v>
      </c>
      <c r="T30" s="64" t="n">
        <f aca="false">IF($K30="Less",$P30,0)</f>
        <v>0</v>
      </c>
      <c r="U30" s="64" t="n">
        <f aca="false">IF($K30="Expected",$P30,0)</f>
        <v>0</v>
      </c>
      <c r="V30" s="64" t="n">
        <f aca="false">IF($K30="Better",$P30,0)</f>
        <v>0</v>
      </c>
      <c r="W30" s="64" t="n">
        <f aca="false">IF($K30="U – needs rule",$P30,0)</f>
        <v>0</v>
      </c>
      <c r="X30" s="64" t="n">
        <f aca="false">IF($K30="No Start (attainment only)",$P30,0)</f>
        <v>0</v>
      </c>
    </row>
    <row r="31" customFormat="false" ht="15" hidden="false" customHeight="false" outlineLevel="0" collapsed="false">
      <c r="A31" s="60"/>
      <c r="B31" s="61" t="str">
        <f aca="false">IF($M31=0,"",INDEX(Classes!$E$6:$E$420,$M31))</f>
        <v/>
      </c>
      <c r="C31" s="62" t="str">
        <f aca="false">IF($M31=0,"",INDEX(Classes!$H$6:$H$420,$M31))</f>
        <v/>
      </c>
      <c r="D31" s="61" t="str">
        <f aca="false">IF($M31=0,"",INDEX(Classes!$B$6:$B$420,$M31))</f>
        <v/>
      </c>
      <c r="E31" s="61" t="str">
        <f aca="false">IF($M31=0,"",INDEX(Classes!$C$6:$C$420,$M31))</f>
        <v/>
      </c>
      <c r="F31" s="63"/>
      <c r="G31" s="63"/>
      <c r="H31" s="60"/>
      <c r="I31" s="60"/>
      <c r="J31" s="63"/>
      <c r="K31" s="61" t="str">
        <f aca="false">IF($P31=0,"",IF($F31="Baseline","— Baseline",IF($O31=0,"No result",IF($N31=0,"No Start (attainment only)",IF(OR($N31=1,$O31=1),"U – needs rule",INDEX(MxBody,MATCH($I31,MxCurr,0),MATCH($H31,MxStart,0)))))))</f>
        <v/>
      </c>
      <c r="L31" s="62" t="str">
        <f aca="false">IF(COUNTA($A31,$F31,$G31,$H31,$I31,$J31)=0,"",IF($M31=0,"✖ كود الصف غير موجود",IF(ISNA(MATCH($F31,Lists!$A$2:$A$5,0)),"✖ الفترة غير صحيحة",IF(ISNA(MATCH($G31,Lists!$B$2:$B$7,0)),"✖ المجموعة غير صحيحة",IF(NOT(OR($H31="",$N31&gt;0)),"✖ Start غير صحيح",IF(NOT(OR($I31="",$I31="NR",$O31&gt;0)),"✖ Current غير صحيح",IF(NOT(IF(ISNUMBER($J31),AND($J31&gt;=0,$J31=INT($J31)),FALSE())),"✖ العدد يجب أن يكون صحيحًا ≥ 0",IF(AND($F31="Baseline",$H31&lt;&gt;""),"⚠ Baseline: Start لا يدخل في التقدم",IF($K31="No Start (attainment only)","ℹ تحصيل فقط (بدون Start)",IF($K31="U – needs rule","ℹ حالة U تحتاج قاعدة معتمدة",IF($K31="No result","ℹ بدون نتيجة (يُستبعد من التحصيل)","OK")))))))))))</f>
        <v/>
      </c>
      <c r="M31" s="64" t="n">
        <f aca="false">IF($A31="",0,IFERROR(MATCH($A31,Classes!$A$6:$A$420,0),0))</f>
        <v>0</v>
      </c>
      <c r="N31" s="64" t="n">
        <f aca="false">IF($H31="",0,IFERROR(MATCH($H31,GradeList,0),0))</f>
        <v>0</v>
      </c>
      <c r="O31" s="64" t="n">
        <f aca="false">IF(OR($I31="",$I31="NR"),0,IFERROR(MATCH($I31,GradeList,0),0))</f>
        <v>0</v>
      </c>
      <c r="P31" s="64" t="n">
        <f aca="false">IF(AND($M31&gt;0,ISNUMBER(MATCH($F31,Lists!$A$2:$A$5,0)),ISNUMBER(MATCH($G31,Lists!$B$2:$B$7,0)),OR($H31="",$N31&gt;0),OR($I31="",$I31="NR",$O31&gt;0),IF(ISNUMBER($J31),AND($J31&gt;=0,$J31=INT($J31)),FALSE())),$J31,0)</f>
        <v>0</v>
      </c>
      <c r="Q31" s="64" t="n">
        <f aca="false">IF(AND($P31&gt;0,$O31&gt;0),$P31,0)</f>
        <v>0</v>
      </c>
      <c r="R31" s="64" t="n">
        <f aca="false">IF(AND($Q31&gt;0,$O31&gt;=AtRank),$Q31,0)</f>
        <v>0</v>
      </c>
      <c r="S31" s="64" t="n">
        <f aca="false">IF(AND($Q31&gt;0,$O31&gt;=AboveRank),$Q31,0)</f>
        <v>0</v>
      </c>
      <c r="T31" s="64" t="n">
        <f aca="false">IF($K31="Less",$P31,0)</f>
        <v>0</v>
      </c>
      <c r="U31" s="64" t="n">
        <f aca="false">IF($K31="Expected",$P31,0)</f>
        <v>0</v>
      </c>
      <c r="V31" s="64" t="n">
        <f aca="false">IF($K31="Better",$P31,0)</f>
        <v>0</v>
      </c>
      <c r="W31" s="64" t="n">
        <f aca="false">IF($K31="U – needs rule",$P31,0)</f>
        <v>0</v>
      </c>
      <c r="X31" s="64" t="n">
        <f aca="false">IF($K31="No Start (attainment only)",$P31,0)</f>
        <v>0</v>
      </c>
    </row>
    <row r="32" customFormat="false" ht="15" hidden="false" customHeight="false" outlineLevel="0" collapsed="false">
      <c r="A32" s="60"/>
      <c r="B32" s="61" t="str">
        <f aca="false">IF($M32=0,"",INDEX(Classes!$E$6:$E$420,$M32))</f>
        <v/>
      </c>
      <c r="C32" s="62" t="str">
        <f aca="false">IF($M32=0,"",INDEX(Classes!$H$6:$H$420,$M32))</f>
        <v/>
      </c>
      <c r="D32" s="61" t="str">
        <f aca="false">IF($M32=0,"",INDEX(Classes!$B$6:$B$420,$M32))</f>
        <v/>
      </c>
      <c r="E32" s="61" t="str">
        <f aca="false">IF($M32=0,"",INDEX(Classes!$C$6:$C$420,$M32))</f>
        <v/>
      </c>
      <c r="F32" s="63"/>
      <c r="G32" s="63"/>
      <c r="H32" s="60"/>
      <c r="I32" s="60"/>
      <c r="J32" s="63"/>
      <c r="K32" s="61" t="str">
        <f aca="false">IF($P32=0,"",IF($F32="Baseline","— Baseline",IF($O32=0,"No result",IF($N32=0,"No Start (attainment only)",IF(OR($N32=1,$O32=1),"U – needs rule",INDEX(MxBody,MATCH($I32,MxCurr,0),MATCH($H32,MxStart,0)))))))</f>
        <v/>
      </c>
      <c r="L32" s="62" t="str">
        <f aca="false">IF(COUNTA($A32,$F32,$G32,$H32,$I32,$J32)=0,"",IF($M32=0,"✖ كود الصف غير موجود",IF(ISNA(MATCH($F32,Lists!$A$2:$A$5,0)),"✖ الفترة غير صحيحة",IF(ISNA(MATCH($G32,Lists!$B$2:$B$7,0)),"✖ المجموعة غير صحيحة",IF(NOT(OR($H32="",$N32&gt;0)),"✖ Start غير صحيح",IF(NOT(OR($I32="",$I32="NR",$O32&gt;0)),"✖ Current غير صحيح",IF(NOT(IF(ISNUMBER($J32),AND($J32&gt;=0,$J32=INT($J32)),FALSE())),"✖ العدد يجب أن يكون صحيحًا ≥ 0",IF(AND($F32="Baseline",$H32&lt;&gt;""),"⚠ Baseline: Start لا يدخل في التقدم",IF($K32="No Start (attainment only)","ℹ تحصيل فقط (بدون Start)",IF($K32="U – needs rule","ℹ حالة U تحتاج قاعدة معتمدة",IF($K32="No result","ℹ بدون نتيجة (يُستبعد من التحصيل)","OK")))))))))))</f>
        <v/>
      </c>
      <c r="M32" s="64" t="n">
        <f aca="false">IF($A32="",0,IFERROR(MATCH($A32,Classes!$A$6:$A$420,0),0))</f>
        <v>0</v>
      </c>
      <c r="N32" s="64" t="n">
        <f aca="false">IF($H32="",0,IFERROR(MATCH($H32,GradeList,0),0))</f>
        <v>0</v>
      </c>
      <c r="O32" s="64" t="n">
        <f aca="false">IF(OR($I32="",$I32="NR"),0,IFERROR(MATCH($I32,GradeList,0),0))</f>
        <v>0</v>
      </c>
      <c r="P32" s="64" t="n">
        <f aca="false">IF(AND($M32&gt;0,ISNUMBER(MATCH($F32,Lists!$A$2:$A$5,0)),ISNUMBER(MATCH($G32,Lists!$B$2:$B$7,0)),OR($H32="",$N32&gt;0),OR($I32="",$I32="NR",$O32&gt;0),IF(ISNUMBER($J32),AND($J32&gt;=0,$J32=INT($J32)),FALSE())),$J32,0)</f>
        <v>0</v>
      </c>
      <c r="Q32" s="64" t="n">
        <f aca="false">IF(AND($P32&gt;0,$O32&gt;0),$P32,0)</f>
        <v>0</v>
      </c>
      <c r="R32" s="64" t="n">
        <f aca="false">IF(AND($Q32&gt;0,$O32&gt;=AtRank),$Q32,0)</f>
        <v>0</v>
      </c>
      <c r="S32" s="64" t="n">
        <f aca="false">IF(AND($Q32&gt;0,$O32&gt;=AboveRank),$Q32,0)</f>
        <v>0</v>
      </c>
      <c r="T32" s="64" t="n">
        <f aca="false">IF($K32="Less",$P32,0)</f>
        <v>0</v>
      </c>
      <c r="U32" s="64" t="n">
        <f aca="false">IF($K32="Expected",$P32,0)</f>
        <v>0</v>
      </c>
      <c r="V32" s="64" t="n">
        <f aca="false">IF($K32="Better",$P32,0)</f>
        <v>0</v>
      </c>
      <c r="W32" s="64" t="n">
        <f aca="false">IF($K32="U – needs rule",$P32,0)</f>
        <v>0</v>
      </c>
      <c r="X32" s="64" t="n">
        <f aca="false">IF($K32="No Start (attainment only)",$P32,0)</f>
        <v>0</v>
      </c>
    </row>
    <row r="33" customFormat="false" ht="15" hidden="false" customHeight="false" outlineLevel="0" collapsed="false">
      <c r="A33" s="60"/>
      <c r="B33" s="61" t="str">
        <f aca="false">IF($M33=0,"",INDEX(Classes!$E$6:$E$420,$M33))</f>
        <v/>
      </c>
      <c r="C33" s="62" t="str">
        <f aca="false">IF($M33=0,"",INDEX(Classes!$H$6:$H$420,$M33))</f>
        <v/>
      </c>
      <c r="D33" s="61" t="str">
        <f aca="false">IF($M33=0,"",INDEX(Classes!$B$6:$B$420,$M33))</f>
        <v/>
      </c>
      <c r="E33" s="61" t="str">
        <f aca="false">IF($M33=0,"",INDEX(Classes!$C$6:$C$420,$M33))</f>
        <v/>
      </c>
      <c r="F33" s="63"/>
      <c r="G33" s="63"/>
      <c r="H33" s="60"/>
      <c r="I33" s="60"/>
      <c r="J33" s="63"/>
      <c r="K33" s="61" t="str">
        <f aca="false">IF($P33=0,"",IF($F33="Baseline","— Baseline",IF($O33=0,"No result",IF($N33=0,"No Start (attainment only)",IF(OR($N33=1,$O33=1),"U – needs rule",INDEX(MxBody,MATCH($I33,MxCurr,0),MATCH($H33,MxStart,0)))))))</f>
        <v/>
      </c>
      <c r="L33" s="62" t="str">
        <f aca="false">IF(COUNTA($A33,$F33,$G33,$H33,$I33,$J33)=0,"",IF($M33=0,"✖ كود الصف غير موجود",IF(ISNA(MATCH($F33,Lists!$A$2:$A$5,0)),"✖ الفترة غير صحيحة",IF(ISNA(MATCH($G33,Lists!$B$2:$B$7,0)),"✖ المجموعة غير صحيحة",IF(NOT(OR($H33="",$N33&gt;0)),"✖ Start غير صحيح",IF(NOT(OR($I33="",$I33="NR",$O33&gt;0)),"✖ Current غير صحيح",IF(NOT(IF(ISNUMBER($J33),AND($J33&gt;=0,$J33=INT($J33)),FALSE())),"✖ العدد يجب أن يكون صحيحًا ≥ 0",IF(AND($F33="Baseline",$H33&lt;&gt;""),"⚠ Baseline: Start لا يدخل في التقدم",IF($K33="No Start (attainment only)","ℹ تحصيل فقط (بدون Start)",IF($K33="U – needs rule","ℹ حالة U تحتاج قاعدة معتمدة",IF($K33="No result","ℹ بدون نتيجة (يُستبعد من التحصيل)","OK")))))))))))</f>
        <v/>
      </c>
      <c r="M33" s="64" t="n">
        <f aca="false">IF($A33="",0,IFERROR(MATCH($A33,Classes!$A$6:$A$420,0),0))</f>
        <v>0</v>
      </c>
      <c r="N33" s="64" t="n">
        <f aca="false">IF($H33="",0,IFERROR(MATCH($H33,GradeList,0),0))</f>
        <v>0</v>
      </c>
      <c r="O33" s="64" t="n">
        <f aca="false">IF(OR($I33="",$I33="NR"),0,IFERROR(MATCH($I33,GradeList,0),0))</f>
        <v>0</v>
      </c>
      <c r="P33" s="64" t="n">
        <f aca="false">IF(AND($M33&gt;0,ISNUMBER(MATCH($F33,Lists!$A$2:$A$5,0)),ISNUMBER(MATCH($G33,Lists!$B$2:$B$7,0)),OR($H33="",$N33&gt;0),OR($I33="",$I33="NR",$O33&gt;0),IF(ISNUMBER($J33),AND($J33&gt;=0,$J33=INT($J33)),FALSE())),$J33,0)</f>
        <v>0</v>
      </c>
      <c r="Q33" s="64" t="n">
        <f aca="false">IF(AND($P33&gt;0,$O33&gt;0),$P33,0)</f>
        <v>0</v>
      </c>
      <c r="R33" s="64" t="n">
        <f aca="false">IF(AND($Q33&gt;0,$O33&gt;=AtRank),$Q33,0)</f>
        <v>0</v>
      </c>
      <c r="S33" s="64" t="n">
        <f aca="false">IF(AND($Q33&gt;0,$O33&gt;=AboveRank),$Q33,0)</f>
        <v>0</v>
      </c>
      <c r="T33" s="64" t="n">
        <f aca="false">IF($K33="Less",$P33,0)</f>
        <v>0</v>
      </c>
      <c r="U33" s="64" t="n">
        <f aca="false">IF($K33="Expected",$P33,0)</f>
        <v>0</v>
      </c>
      <c r="V33" s="64" t="n">
        <f aca="false">IF($K33="Better",$P33,0)</f>
        <v>0</v>
      </c>
      <c r="W33" s="64" t="n">
        <f aca="false">IF($K33="U – needs rule",$P33,0)</f>
        <v>0</v>
      </c>
      <c r="X33" s="64" t="n">
        <f aca="false">IF($K33="No Start (attainment only)",$P33,0)</f>
        <v>0</v>
      </c>
    </row>
    <row r="34" customFormat="false" ht="15" hidden="false" customHeight="false" outlineLevel="0" collapsed="false">
      <c r="A34" s="60"/>
      <c r="B34" s="61" t="str">
        <f aca="false">IF($M34=0,"",INDEX(Classes!$E$6:$E$420,$M34))</f>
        <v/>
      </c>
      <c r="C34" s="62" t="str">
        <f aca="false">IF($M34=0,"",INDEX(Classes!$H$6:$H$420,$M34))</f>
        <v/>
      </c>
      <c r="D34" s="61" t="str">
        <f aca="false">IF($M34=0,"",INDEX(Classes!$B$6:$B$420,$M34))</f>
        <v/>
      </c>
      <c r="E34" s="61" t="str">
        <f aca="false">IF($M34=0,"",INDEX(Classes!$C$6:$C$420,$M34))</f>
        <v/>
      </c>
      <c r="F34" s="63"/>
      <c r="G34" s="63"/>
      <c r="H34" s="60"/>
      <c r="I34" s="60"/>
      <c r="J34" s="63"/>
      <c r="K34" s="61" t="str">
        <f aca="false">IF($P34=0,"",IF($F34="Baseline","— Baseline",IF($O34=0,"No result",IF($N34=0,"No Start (attainment only)",IF(OR($N34=1,$O34=1),"U – needs rule",INDEX(MxBody,MATCH($I34,MxCurr,0),MATCH($H34,MxStart,0)))))))</f>
        <v/>
      </c>
      <c r="L34" s="62" t="str">
        <f aca="false">IF(COUNTA($A34,$F34,$G34,$H34,$I34,$J34)=0,"",IF($M34=0,"✖ كود الصف غير موجود",IF(ISNA(MATCH($F34,Lists!$A$2:$A$5,0)),"✖ الفترة غير صحيحة",IF(ISNA(MATCH($G34,Lists!$B$2:$B$7,0)),"✖ المجموعة غير صحيحة",IF(NOT(OR($H34="",$N34&gt;0)),"✖ Start غير صحيح",IF(NOT(OR($I34="",$I34="NR",$O34&gt;0)),"✖ Current غير صحيح",IF(NOT(IF(ISNUMBER($J34),AND($J34&gt;=0,$J34=INT($J34)),FALSE())),"✖ العدد يجب أن يكون صحيحًا ≥ 0",IF(AND($F34="Baseline",$H34&lt;&gt;""),"⚠ Baseline: Start لا يدخل في التقدم",IF($K34="No Start (attainment only)","ℹ تحصيل فقط (بدون Start)",IF($K34="U – needs rule","ℹ حالة U تحتاج قاعدة معتمدة",IF($K34="No result","ℹ بدون نتيجة (يُستبعد من التحصيل)","OK")))))))))))</f>
        <v/>
      </c>
      <c r="M34" s="64" t="n">
        <f aca="false">IF($A34="",0,IFERROR(MATCH($A34,Classes!$A$6:$A$420,0),0))</f>
        <v>0</v>
      </c>
      <c r="N34" s="64" t="n">
        <f aca="false">IF($H34="",0,IFERROR(MATCH($H34,GradeList,0),0))</f>
        <v>0</v>
      </c>
      <c r="O34" s="64" t="n">
        <f aca="false">IF(OR($I34="",$I34="NR"),0,IFERROR(MATCH($I34,GradeList,0),0))</f>
        <v>0</v>
      </c>
      <c r="P34" s="64" t="n">
        <f aca="false">IF(AND($M34&gt;0,ISNUMBER(MATCH($F34,Lists!$A$2:$A$5,0)),ISNUMBER(MATCH($G34,Lists!$B$2:$B$7,0)),OR($H34="",$N34&gt;0),OR($I34="",$I34="NR",$O34&gt;0),IF(ISNUMBER($J34),AND($J34&gt;=0,$J34=INT($J34)),FALSE())),$J34,0)</f>
        <v>0</v>
      </c>
      <c r="Q34" s="64" t="n">
        <f aca="false">IF(AND($P34&gt;0,$O34&gt;0),$P34,0)</f>
        <v>0</v>
      </c>
      <c r="R34" s="64" t="n">
        <f aca="false">IF(AND($Q34&gt;0,$O34&gt;=AtRank),$Q34,0)</f>
        <v>0</v>
      </c>
      <c r="S34" s="64" t="n">
        <f aca="false">IF(AND($Q34&gt;0,$O34&gt;=AboveRank),$Q34,0)</f>
        <v>0</v>
      </c>
      <c r="T34" s="64" t="n">
        <f aca="false">IF($K34="Less",$P34,0)</f>
        <v>0</v>
      </c>
      <c r="U34" s="64" t="n">
        <f aca="false">IF($K34="Expected",$P34,0)</f>
        <v>0</v>
      </c>
      <c r="V34" s="64" t="n">
        <f aca="false">IF($K34="Better",$P34,0)</f>
        <v>0</v>
      </c>
      <c r="W34" s="64" t="n">
        <f aca="false">IF($K34="U – needs rule",$P34,0)</f>
        <v>0</v>
      </c>
      <c r="X34" s="64" t="n">
        <f aca="false">IF($K34="No Start (attainment only)",$P34,0)</f>
        <v>0</v>
      </c>
    </row>
    <row r="35" customFormat="false" ht="15" hidden="false" customHeight="false" outlineLevel="0" collapsed="false">
      <c r="A35" s="60"/>
      <c r="B35" s="61" t="str">
        <f aca="false">IF($M35=0,"",INDEX(Classes!$E$6:$E$420,$M35))</f>
        <v/>
      </c>
      <c r="C35" s="62" t="str">
        <f aca="false">IF($M35=0,"",INDEX(Classes!$H$6:$H$420,$M35))</f>
        <v/>
      </c>
      <c r="D35" s="61" t="str">
        <f aca="false">IF($M35=0,"",INDEX(Classes!$B$6:$B$420,$M35))</f>
        <v/>
      </c>
      <c r="E35" s="61" t="str">
        <f aca="false">IF($M35=0,"",INDEX(Classes!$C$6:$C$420,$M35))</f>
        <v/>
      </c>
      <c r="F35" s="63"/>
      <c r="G35" s="63"/>
      <c r="H35" s="60"/>
      <c r="I35" s="60"/>
      <c r="J35" s="63"/>
      <c r="K35" s="61" t="str">
        <f aca="false">IF($P35=0,"",IF($F35="Baseline","— Baseline",IF($O35=0,"No result",IF($N35=0,"No Start (attainment only)",IF(OR($N35=1,$O35=1),"U – needs rule",INDEX(MxBody,MATCH($I35,MxCurr,0),MATCH($H35,MxStart,0)))))))</f>
        <v/>
      </c>
      <c r="L35" s="62" t="str">
        <f aca="false">IF(COUNTA($A35,$F35,$G35,$H35,$I35,$J35)=0,"",IF($M35=0,"✖ كود الصف غير موجود",IF(ISNA(MATCH($F35,Lists!$A$2:$A$5,0)),"✖ الفترة غير صحيحة",IF(ISNA(MATCH($G35,Lists!$B$2:$B$7,0)),"✖ المجموعة غير صحيحة",IF(NOT(OR($H35="",$N35&gt;0)),"✖ Start غير صحيح",IF(NOT(OR($I35="",$I35="NR",$O35&gt;0)),"✖ Current غير صحيح",IF(NOT(IF(ISNUMBER($J35),AND($J35&gt;=0,$J35=INT($J35)),FALSE())),"✖ العدد يجب أن يكون صحيحًا ≥ 0",IF(AND($F35="Baseline",$H35&lt;&gt;""),"⚠ Baseline: Start لا يدخل في التقدم",IF($K35="No Start (attainment only)","ℹ تحصيل فقط (بدون Start)",IF($K35="U – needs rule","ℹ حالة U تحتاج قاعدة معتمدة",IF($K35="No result","ℹ بدون نتيجة (يُستبعد من التحصيل)","OK")))))))))))</f>
        <v/>
      </c>
      <c r="M35" s="64" t="n">
        <f aca="false">IF($A35="",0,IFERROR(MATCH($A35,Classes!$A$6:$A$420,0),0))</f>
        <v>0</v>
      </c>
      <c r="N35" s="64" t="n">
        <f aca="false">IF($H35="",0,IFERROR(MATCH($H35,GradeList,0),0))</f>
        <v>0</v>
      </c>
      <c r="O35" s="64" t="n">
        <f aca="false">IF(OR($I35="",$I35="NR"),0,IFERROR(MATCH($I35,GradeList,0),0))</f>
        <v>0</v>
      </c>
      <c r="P35" s="64" t="n">
        <f aca="false">IF(AND($M35&gt;0,ISNUMBER(MATCH($F35,Lists!$A$2:$A$5,0)),ISNUMBER(MATCH($G35,Lists!$B$2:$B$7,0)),OR($H35="",$N35&gt;0),OR($I35="",$I35="NR",$O35&gt;0),IF(ISNUMBER($J35),AND($J35&gt;=0,$J35=INT($J35)),FALSE())),$J35,0)</f>
        <v>0</v>
      </c>
      <c r="Q35" s="64" t="n">
        <f aca="false">IF(AND($P35&gt;0,$O35&gt;0),$P35,0)</f>
        <v>0</v>
      </c>
      <c r="R35" s="64" t="n">
        <f aca="false">IF(AND($Q35&gt;0,$O35&gt;=AtRank),$Q35,0)</f>
        <v>0</v>
      </c>
      <c r="S35" s="64" t="n">
        <f aca="false">IF(AND($Q35&gt;0,$O35&gt;=AboveRank),$Q35,0)</f>
        <v>0</v>
      </c>
      <c r="T35" s="64" t="n">
        <f aca="false">IF($K35="Less",$P35,0)</f>
        <v>0</v>
      </c>
      <c r="U35" s="64" t="n">
        <f aca="false">IF($K35="Expected",$P35,0)</f>
        <v>0</v>
      </c>
      <c r="V35" s="64" t="n">
        <f aca="false">IF($K35="Better",$P35,0)</f>
        <v>0</v>
      </c>
      <c r="W35" s="64" t="n">
        <f aca="false">IF($K35="U – needs rule",$P35,0)</f>
        <v>0</v>
      </c>
      <c r="X35" s="64" t="n">
        <f aca="false">IF($K35="No Start (attainment only)",$P35,0)</f>
        <v>0</v>
      </c>
    </row>
    <row r="36" customFormat="false" ht="15" hidden="false" customHeight="false" outlineLevel="0" collapsed="false">
      <c r="A36" s="60"/>
      <c r="B36" s="61" t="str">
        <f aca="false">IF($M36=0,"",INDEX(Classes!$E$6:$E$420,$M36))</f>
        <v/>
      </c>
      <c r="C36" s="62" t="str">
        <f aca="false">IF($M36=0,"",INDEX(Classes!$H$6:$H$420,$M36))</f>
        <v/>
      </c>
      <c r="D36" s="61" t="str">
        <f aca="false">IF($M36=0,"",INDEX(Classes!$B$6:$B$420,$M36))</f>
        <v/>
      </c>
      <c r="E36" s="61" t="str">
        <f aca="false">IF($M36=0,"",INDEX(Classes!$C$6:$C$420,$M36))</f>
        <v/>
      </c>
      <c r="F36" s="63"/>
      <c r="G36" s="63"/>
      <c r="H36" s="60"/>
      <c r="I36" s="60"/>
      <c r="J36" s="63"/>
      <c r="K36" s="61" t="str">
        <f aca="false">IF($P36=0,"",IF($F36="Baseline","— Baseline",IF($O36=0,"No result",IF($N36=0,"No Start (attainment only)",IF(OR($N36=1,$O36=1),"U – needs rule",INDEX(MxBody,MATCH($I36,MxCurr,0),MATCH($H36,MxStart,0)))))))</f>
        <v/>
      </c>
      <c r="L36" s="62" t="str">
        <f aca="false">IF(COUNTA($A36,$F36,$G36,$H36,$I36,$J36)=0,"",IF($M36=0,"✖ كود الصف غير موجود",IF(ISNA(MATCH($F36,Lists!$A$2:$A$5,0)),"✖ الفترة غير صحيحة",IF(ISNA(MATCH($G36,Lists!$B$2:$B$7,0)),"✖ المجموعة غير صحيحة",IF(NOT(OR($H36="",$N36&gt;0)),"✖ Start غير صحيح",IF(NOT(OR($I36="",$I36="NR",$O36&gt;0)),"✖ Current غير صحيح",IF(NOT(IF(ISNUMBER($J36),AND($J36&gt;=0,$J36=INT($J36)),FALSE())),"✖ العدد يجب أن يكون صحيحًا ≥ 0",IF(AND($F36="Baseline",$H36&lt;&gt;""),"⚠ Baseline: Start لا يدخل في التقدم",IF($K36="No Start (attainment only)","ℹ تحصيل فقط (بدون Start)",IF($K36="U – needs rule","ℹ حالة U تحتاج قاعدة معتمدة",IF($K36="No result","ℹ بدون نتيجة (يُستبعد من التحصيل)","OK")))))))))))</f>
        <v/>
      </c>
      <c r="M36" s="64" t="n">
        <f aca="false">IF($A36="",0,IFERROR(MATCH($A36,Classes!$A$6:$A$420,0),0))</f>
        <v>0</v>
      </c>
      <c r="N36" s="64" t="n">
        <f aca="false">IF($H36="",0,IFERROR(MATCH($H36,GradeList,0),0))</f>
        <v>0</v>
      </c>
      <c r="O36" s="64" t="n">
        <f aca="false">IF(OR($I36="",$I36="NR"),0,IFERROR(MATCH($I36,GradeList,0),0))</f>
        <v>0</v>
      </c>
      <c r="P36" s="64" t="n">
        <f aca="false">IF(AND($M36&gt;0,ISNUMBER(MATCH($F36,Lists!$A$2:$A$5,0)),ISNUMBER(MATCH($G36,Lists!$B$2:$B$7,0)),OR($H36="",$N36&gt;0),OR($I36="",$I36="NR",$O36&gt;0),IF(ISNUMBER($J36),AND($J36&gt;=0,$J36=INT($J36)),FALSE())),$J36,0)</f>
        <v>0</v>
      </c>
      <c r="Q36" s="64" t="n">
        <f aca="false">IF(AND($P36&gt;0,$O36&gt;0),$P36,0)</f>
        <v>0</v>
      </c>
      <c r="R36" s="64" t="n">
        <f aca="false">IF(AND($Q36&gt;0,$O36&gt;=AtRank),$Q36,0)</f>
        <v>0</v>
      </c>
      <c r="S36" s="64" t="n">
        <f aca="false">IF(AND($Q36&gt;0,$O36&gt;=AboveRank),$Q36,0)</f>
        <v>0</v>
      </c>
      <c r="T36" s="64" t="n">
        <f aca="false">IF($K36="Less",$P36,0)</f>
        <v>0</v>
      </c>
      <c r="U36" s="64" t="n">
        <f aca="false">IF($K36="Expected",$P36,0)</f>
        <v>0</v>
      </c>
      <c r="V36" s="64" t="n">
        <f aca="false">IF($K36="Better",$P36,0)</f>
        <v>0</v>
      </c>
      <c r="W36" s="64" t="n">
        <f aca="false">IF($K36="U – needs rule",$P36,0)</f>
        <v>0</v>
      </c>
      <c r="X36" s="64" t="n">
        <f aca="false">IF($K36="No Start (attainment only)",$P36,0)</f>
        <v>0</v>
      </c>
    </row>
    <row r="37" customFormat="false" ht="15" hidden="false" customHeight="false" outlineLevel="0" collapsed="false">
      <c r="A37" s="60"/>
      <c r="B37" s="61" t="str">
        <f aca="false">IF($M37=0,"",INDEX(Classes!$E$6:$E$420,$M37))</f>
        <v/>
      </c>
      <c r="C37" s="62" t="str">
        <f aca="false">IF($M37=0,"",INDEX(Classes!$H$6:$H$420,$M37))</f>
        <v/>
      </c>
      <c r="D37" s="61" t="str">
        <f aca="false">IF($M37=0,"",INDEX(Classes!$B$6:$B$420,$M37))</f>
        <v/>
      </c>
      <c r="E37" s="61" t="str">
        <f aca="false">IF($M37=0,"",INDEX(Classes!$C$6:$C$420,$M37))</f>
        <v/>
      </c>
      <c r="F37" s="63"/>
      <c r="G37" s="63"/>
      <c r="H37" s="60"/>
      <c r="I37" s="60"/>
      <c r="J37" s="63"/>
      <c r="K37" s="61" t="str">
        <f aca="false">IF($P37=0,"",IF($F37="Baseline","— Baseline",IF($O37=0,"No result",IF($N37=0,"No Start (attainment only)",IF(OR($N37=1,$O37=1),"U – needs rule",INDEX(MxBody,MATCH($I37,MxCurr,0),MATCH($H37,MxStart,0)))))))</f>
        <v/>
      </c>
      <c r="L37" s="62" t="str">
        <f aca="false">IF(COUNTA($A37,$F37,$G37,$H37,$I37,$J37)=0,"",IF($M37=0,"✖ كود الصف غير موجود",IF(ISNA(MATCH($F37,Lists!$A$2:$A$5,0)),"✖ الفترة غير صحيحة",IF(ISNA(MATCH($G37,Lists!$B$2:$B$7,0)),"✖ المجموعة غير صحيحة",IF(NOT(OR($H37="",$N37&gt;0)),"✖ Start غير صحيح",IF(NOT(OR($I37="",$I37="NR",$O37&gt;0)),"✖ Current غير صحيح",IF(NOT(IF(ISNUMBER($J37),AND($J37&gt;=0,$J37=INT($J37)),FALSE())),"✖ العدد يجب أن يكون صحيحًا ≥ 0",IF(AND($F37="Baseline",$H37&lt;&gt;""),"⚠ Baseline: Start لا يدخل في التقدم",IF($K37="No Start (attainment only)","ℹ تحصيل فقط (بدون Start)",IF($K37="U – needs rule","ℹ حالة U تحتاج قاعدة معتمدة",IF($K37="No result","ℹ بدون نتيجة (يُستبعد من التحصيل)","OK")))))))))))</f>
        <v/>
      </c>
      <c r="M37" s="64" t="n">
        <f aca="false">IF($A37="",0,IFERROR(MATCH($A37,Classes!$A$6:$A$420,0),0))</f>
        <v>0</v>
      </c>
      <c r="N37" s="64" t="n">
        <f aca="false">IF($H37="",0,IFERROR(MATCH($H37,GradeList,0),0))</f>
        <v>0</v>
      </c>
      <c r="O37" s="64" t="n">
        <f aca="false">IF(OR($I37="",$I37="NR"),0,IFERROR(MATCH($I37,GradeList,0),0))</f>
        <v>0</v>
      </c>
      <c r="P37" s="64" t="n">
        <f aca="false">IF(AND($M37&gt;0,ISNUMBER(MATCH($F37,Lists!$A$2:$A$5,0)),ISNUMBER(MATCH($G37,Lists!$B$2:$B$7,0)),OR($H37="",$N37&gt;0),OR($I37="",$I37="NR",$O37&gt;0),IF(ISNUMBER($J37),AND($J37&gt;=0,$J37=INT($J37)),FALSE())),$J37,0)</f>
        <v>0</v>
      </c>
      <c r="Q37" s="64" t="n">
        <f aca="false">IF(AND($P37&gt;0,$O37&gt;0),$P37,0)</f>
        <v>0</v>
      </c>
      <c r="R37" s="64" t="n">
        <f aca="false">IF(AND($Q37&gt;0,$O37&gt;=AtRank),$Q37,0)</f>
        <v>0</v>
      </c>
      <c r="S37" s="64" t="n">
        <f aca="false">IF(AND($Q37&gt;0,$O37&gt;=AboveRank),$Q37,0)</f>
        <v>0</v>
      </c>
      <c r="T37" s="64" t="n">
        <f aca="false">IF($K37="Less",$P37,0)</f>
        <v>0</v>
      </c>
      <c r="U37" s="64" t="n">
        <f aca="false">IF($K37="Expected",$P37,0)</f>
        <v>0</v>
      </c>
      <c r="V37" s="64" t="n">
        <f aca="false">IF($K37="Better",$P37,0)</f>
        <v>0</v>
      </c>
      <c r="W37" s="64" t="n">
        <f aca="false">IF($K37="U – needs rule",$P37,0)</f>
        <v>0</v>
      </c>
      <c r="X37" s="64" t="n">
        <f aca="false">IF($K37="No Start (attainment only)",$P37,0)</f>
        <v>0</v>
      </c>
    </row>
    <row r="38" customFormat="false" ht="15" hidden="false" customHeight="false" outlineLevel="0" collapsed="false">
      <c r="A38" s="60"/>
      <c r="B38" s="61" t="str">
        <f aca="false">IF($M38=0,"",INDEX(Classes!$E$6:$E$420,$M38))</f>
        <v/>
      </c>
      <c r="C38" s="62" t="str">
        <f aca="false">IF($M38=0,"",INDEX(Classes!$H$6:$H$420,$M38))</f>
        <v/>
      </c>
      <c r="D38" s="61" t="str">
        <f aca="false">IF($M38=0,"",INDEX(Classes!$B$6:$B$420,$M38))</f>
        <v/>
      </c>
      <c r="E38" s="61" t="str">
        <f aca="false">IF($M38=0,"",INDEX(Classes!$C$6:$C$420,$M38))</f>
        <v/>
      </c>
      <c r="F38" s="63"/>
      <c r="G38" s="63"/>
      <c r="H38" s="60"/>
      <c r="I38" s="60"/>
      <c r="J38" s="63"/>
      <c r="K38" s="61" t="str">
        <f aca="false">IF($P38=0,"",IF($F38="Baseline","— Baseline",IF($O38=0,"No result",IF($N38=0,"No Start (attainment only)",IF(OR($N38=1,$O38=1),"U – needs rule",INDEX(MxBody,MATCH($I38,MxCurr,0),MATCH($H38,MxStart,0)))))))</f>
        <v/>
      </c>
      <c r="L38" s="62" t="str">
        <f aca="false">IF(COUNTA($A38,$F38,$G38,$H38,$I38,$J38)=0,"",IF($M38=0,"✖ كود الصف غير موجود",IF(ISNA(MATCH($F38,Lists!$A$2:$A$5,0)),"✖ الفترة غير صحيحة",IF(ISNA(MATCH($G38,Lists!$B$2:$B$7,0)),"✖ المجموعة غير صحيحة",IF(NOT(OR($H38="",$N38&gt;0)),"✖ Start غير صحيح",IF(NOT(OR($I38="",$I38="NR",$O38&gt;0)),"✖ Current غير صحيح",IF(NOT(IF(ISNUMBER($J38),AND($J38&gt;=0,$J38=INT($J38)),FALSE())),"✖ العدد يجب أن يكون صحيحًا ≥ 0",IF(AND($F38="Baseline",$H38&lt;&gt;""),"⚠ Baseline: Start لا يدخل في التقدم",IF($K38="No Start (attainment only)","ℹ تحصيل فقط (بدون Start)",IF($K38="U – needs rule","ℹ حالة U تحتاج قاعدة معتمدة",IF($K38="No result","ℹ بدون نتيجة (يُستبعد من التحصيل)","OK")))))))))))</f>
        <v/>
      </c>
      <c r="M38" s="64" t="n">
        <f aca="false">IF($A38="",0,IFERROR(MATCH($A38,Classes!$A$6:$A$420,0),0))</f>
        <v>0</v>
      </c>
      <c r="N38" s="64" t="n">
        <f aca="false">IF($H38="",0,IFERROR(MATCH($H38,GradeList,0),0))</f>
        <v>0</v>
      </c>
      <c r="O38" s="64" t="n">
        <f aca="false">IF(OR($I38="",$I38="NR"),0,IFERROR(MATCH($I38,GradeList,0),0))</f>
        <v>0</v>
      </c>
      <c r="P38" s="64" t="n">
        <f aca="false">IF(AND($M38&gt;0,ISNUMBER(MATCH($F38,Lists!$A$2:$A$5,0)),ISNUMBER(MATCH($G38,Lists!$B$2:$B$7,0)),OR($H38="",$N38&gt;0),OR($I38="",$I38="NR",$O38&gt;0),IF(ISNUMBER($J38),AND($J38&gt;=0,$J38=INT($J38)),FALSE())),$J38,0)</f>
        <v>0</v>
      </c>
      <c r="Q38" s="64" t="n">
        <f aca="false">IF(AND($P38&gt;0,$O38&gt;0),$P38,0)</f>
        <v>0</v>
      </c>
      <c r="R38" s="64" t="n">
        <f aca="false">IF(AND($Q38&gt;0,$O38&gt;=AtRank),$Q38,0)</f>
        <v>0</v>
      </c>
      <c r="S38" s="64" t="n">
        <f aca="false">IF(AND($Q38&gt;0,$O38&gt;=AboveRank),$Q38,0)</f>
        <v>0</v>
      </c>
      <c r="T38" s="64" t="n">
        <f aca="false">IF($K38="Less",$P38,0)</f>
        <v>0</v>
      </c>
      <c r="U38" s="64" t="n">
        <f aca="false">IF($K38="Expected",$P38,0)</f>
        <v>0</v>
      </c>
      <c r="V38" s="64" t="n">
        <f aca="false">IF($K38="Better",$P38,0)</f>
        <v>0</v>
      </c>
      <c r="W38" s="64" t="n">
        <f aca="false">IF($K38="U – needs rule",$P38,0)</f>
        <v>0</v>
      </c>
      <c r="X38" s="64" t="n">
        <f aca="false">IF($K38="No Start (attainment only)",$P38,0)</f>
        <v>0</v>
      </c>
    </row>
    <row r="39" customFormat="false" ht="15" hidden="false" customHeight="false" outlineLevel="0" collapsed="false">
      <c r="A39" s="60"/>
      <c r="B39" s="61" t="str">
        <f aca="false">IF($M39=0,"",INDEX(Classes!$E$6:$E$420,$M39))</f>
        <v/>
      </c>
      <c r="C39" s="62" t="str">
        <f aca="false">IF($M39=0,"",INDEX(Classes!$H$6:$H$420,$M39))</f>
        <v/>
      </c>
      <c r="D39" s="61" t="str">
        <f aca="false">IF($M39=0,"",INDEX(Classes!$B$6:$B$420,$M39))</f>
        <v/>
      </c>
      <c r="E39" s="61" t="str">
        <f aca="false">IF($M39=0,"",INDEX(Classes!$C$6:$C$420,$M39))</f>
        <v/>
      </c>
      <c r="F39" s="63"/>
      <c r="G39" s="63"/>
      <c r="H39" s="60"/>
      <c r="I39" s="60"/>
      <c r="J39" s="63"/>
      <c r="K39" s="61" t="str">
        <f aca="false">IF($P39=0,"",IF($F39="Baseline","— Baseline",IF($O39=0,"No result",IF($N39=0,"No Start (attainment only)",IF(OR($N39=1,$O39=1),"U – needs rule",INDEX(MxBody,MATCH($I39,MxCurr,0),MATCH($H39,MxStart,0)))))))</f>
        <v/>
      </c>
      <c r="L39" s="62" t="str">
        <f aca="false">IF(COUNTA($A39,$F39,$G39,$H39,$I39,$J39)=0,"",IF($M39=0,"✖ كود الصف غير موجود",IF(ISNA(MATCH($F39,Lists!$A$2:$A$5,0)),"✖ الفترة غير صحيحة",IF(ISNA(MATCH($G39,Lists!$B$2:$B$7,0)),"✖ المجموعة غير صحيحة",IF(NOT(OR($H39="",$N39&gt;0)),"✖ Start غير صحيح",IF(NOT(OR($I39="",$I39="NR",$O39&gt;0)),"✖ Current غير صحيح",IF(NOT(IF(ISNUMBER($J39),AND($J39&gt;=0,$J39=INT($J39)),FALSE())),"✖ العدد يجب أن يكون صحيحًا ≥ 0",IF(AND($F39="Baseline",$H39&lt;&gt;""),"⚠ Baseline: Start لا يدخل في التقدم",IF($K39="No Start (attainment only)","ℹ تحصيل فقط (بدون Start)",IF($K39="U – needs rule","ℹ حالة U تحتاج قاعدة معتمدة",IF($K39="No result","ℹ بدون نتيجة (يُستبعد من التحصيل)","OK")))))))))))</f>
        <v/>
      </c>
      <c r="M39" s="64" t="n">
        <f aca="false">IF($A39="",0,IFERROR(MATCH($A39,Classes!$A$6:$A$420,0),0))</f>
        <v>0</v>
      </c>
      <c r="N39" s="64" t="n">
        <f aca="false">IF($H39="",0,IFERROR(MATCH($H39,GradeList,0),0))</f>
        <v>0</v>
      </c>
      <c r="O39" s="64" t="n">
        <f aca="false">IF(OR($I39="",$I39="NR"),0,IFERROR(MATCH($I39,GradeList,0),0))</f>
        <v>0</v>
      </c>
      <c r="P39" s="64" t="n">
        <f aca="false">IF(AND($M39&gt;0,ISNUMBER(MATCH($F39,Lists!$A$2:$A$5,0)),ISNUMBER(MATCH($G39,Lists!$B$2:$B$7,0)),OR($H39="",$N39&gt;0),OR($I39="",$I39="NR",$O39&gt;0),IF(ISNUMBER($J39),AND($J39&gt;=0,$J39=INT($J39)),FALSE())),$J39,0)</f>
        <v>0</v>
      </c>
      <c r="Q39" s="64" t="n">
        <f aca="false">IF(AND($P39&gt;0,$O39&gt;0),$P39,0)</f>
        <v>0</v>
      </c>
      <c r="R39" s="64" t="n">
        <f aca="false">IF(AND($Q39&gt;0,$O39&gt;=AtRank),$Q39,0)</f>
        <v>0</v>
      </c>
      <c r="S39" s="64" t="n">
        <f aca="false">IF(AND($Q39&gt;0,$O39&gt;=AboveRank),$Q39,0)</f>
        <v>0</v>
      </c>
      <c r="T39" s="64" t="n">
        <f aca="false">IF($K39="Less",$P39,0)</f>
        <v>0</v>
      </c>
      <c r="U39" s="64" t="n">
        <f aca="false">IF($K39="Expected",$P39,0)</f>
        <v>0</v>
      </c>
      <c r="V39" s="64" t="n">
        <f aca="false">IF($K39="Better",$P39,0)</f>
        <v>0</v>
      </c>
      <c r="W39" s="64" t="n">
        <f aca="false">IF($K39="U – needs rule",$P39,0)</f>
        <v>0</v>
      </c>
      <c r="X39" s="64" t="n">
        <f aca="false">IF($K39="No Start (attainment only)",$P39,0)</f>
        <v>0</v>
      </c>
    </row>
    <row r="40" customFormat="false" ht="15" hidden="false" customHeight="false" outlineLevel="0" collapsed="false">
      <c r="A40" s="60"/>
      <c r="B40" s="61" t="str">
        <f aca="false">IF($M40=0,"",INDEX(Classes!$E$6:$E$420,$M40))</f>
        <v/>
      </c>
      <c r="C40" s="62" t="str">
        <f aca="false">IF($M40=0,"",INDEX(Classes!$H$6:$H$420,$M40))</f>
        <v/>
      </c>
      <c r="D40" s="61" t="str">
        <f aca="false">IF($M40=0,"",INDEX(Classes!$B$6:$B$420,$M40))</f>
        <v/>
      </c>
      <c r="E40" s="61" t="str">
        <f aca="false">IF($M40=0,"",INDEX(Classes!$C$6:$C$420,$M40))</f>
        <v/>
      </c>
      <c r="F40" s="63"/>
      <c r="G40" s="63"/>
      <c r="H40" s="60"/>
      <c r="I40" s="60"/>
      <c r="J40" s="63"/>
      <c r="K40" s="61" t="str">
        <f aca="false">IF($P40=0,"",IF($F40="Baseline","— Baseline",IF($O40=0,"No result",IF($N40=0,"No Start (attainment only)",IF(OR($N40=1,$O40=1),"U – needs rule",INDEX(MxBody,MATCH($I40,MxCurr,0),MATCH($H40,MxStart,0)))))))</f>
        <v/>
      </c>
      <c r="L40" s="62" t="str">
        <f aca="false">IF(COUNTA($A40,$F40,$G40,$H40,$I40,$J40)=0,"",IF($M40=0,"✖ كود الصف غير موجود",IF(ISNA(MATCH($F40,Lists!$A$2:$A$5,0)),"✖ الفترة غير صحيحة",IF(ISNA(MATCH($G40,Lists!$B$2:$B$7,0)),"✖ المجموعة غير صحيحة",IF(NOT(OR($H40="",$N40&gt;0)),"✖ Start غير صحيح",IF(NOT(OR($I40="",$I40="NR",$O40&gt;0)),"✖ Current غير صحيح",IF(NOT(IF(ISNUMBER($J40),AND($J40&gt;=0,$J40=INT($J40)),FALSE())),"✖ العدد يجب أن يكون صحيحًا ≥ 0",IF(AND($F40="Baseline",$H40&lt;&gt;""),"⚠ Baseline: Start لا يدخل في التقدم",IF($K40="No Start (attainment only)","ℹ تحصيل فقط (بدون Start)",IF($K40="U – needs rule","ℹ حالة U تحتاج قاعدة معتمدة",IF($K40="No result","ℹ بدون نتيجة (يُستبعد من التحصيل)","OK")))))))))))</f>
        <v/>
      </c>
      <c r="M40" s="64" t="n">
        <f aca="false">IF($A40="",0,IFERROR(MATCH($A40,Classes!$A$6:$A$420,0),0))</f>
        <v>0</v>
      </c>
      <c r="N40" s="64" t="n">
        <f aca="false">IF($H40="",0,IFERROR(MATCH($H40,GradeList,0),0))</f>
        <v>0</v>
      </c>
      <c r="O40" s="64" t="n">
        <f aca="false">IF(OR($I40="",$I40="NR"),0,IFERROR(MATCH($I40,GradeList,0),0))</f>
        <v>0</v>
      </c>
      <c r="P40" s="64" t="n">
        <f aca="false">IF(AND($M40&gt;0,ISNUMBER(MATCH($F40,Lists!$A$2:$A$5,0)),ISNUMBER(MATCH($G40,Lists!$B$2:$B$7,0)),OR($H40="",$N40&gt;0),OR($I40="",$I40="NR",$O40&gt;0),IF(ISNUMBER($J40),AND($J40&gt;=0,$J40=INT($J40)),FALSE())),$J40,0)</f>
        <v>0</v>
      </c>
      <c r="Q40" s="64" t="n">
        <f aca="false">IF(AND($P40&gt;0,$O40&gt;0),$P40,0)</f>
        <v>0</v>
      </c>
      <c r="R40" s="64" t="n">
        <f aca="false">IF(AND($Q40&gt;0,$O40&gt;=AtRank),$Q40,0)</f>
        <v>0</v>
      </c>
      <c r="S40" s="64" t="n">
        <f aca="false">IF(AND($Q40&gt;0,$O40&gt;=AboveRank),$Q40,0)</f>
        <v>0</v>
      </c>
      <c r="T40" s="64" t="n">
        <f aca="false">IF($K40="Less",$P40,0)</f>
        <v>0</v>
      </c>
      <c r="U40" s="64" t="n">
        <f aca="false">IF($K40="Expected",$P40,0)</f>
        <v>0</v>
      </c>
      <c r="V40" s="64" t="n">
        <f aca="false">IF($K40="Better",$P40,0)</f>
        <v>0</v>
      </c>
      <c r="W40" s="64" t="n">
        <f aca="false">IF($K40="U – needs rule",$P40,0)</f>
        <v>0</v>
      </c>
      <c r="X40" s="64" t="n">
        <f aca="false">IF($K40="No Start (attainment only)",$P40,0)</f>
        <v>0</v>
      </c>
    </row>
    <row r="41" customFormat="false" ht="15" hidden="false" customHeight="false" outlineLevel="0" collapsed="false">
      <c r="A41" s="60"/>
      <c r="B41" s="61" t="str">
        <f aca="false">IF($M41=0,"",INDEX(Classes!$E$6:$E$420,$M41))</f>
        <v/>
      </c>
      <c r="C41" s="62" t="str">
        <f aca="false">IF($M41=0,"",INDEX(Classes!$H$6:$H$420,$M41))</f>
        <v/>
      </c>
      <c r="D41" s="61" t="str">
        <f aca="false">IF($M41=0,"",INDEX(Classes!$B$6:$B$420,$M41))</f>
        <v/>
      </c>
      <c r="E41" s="61" t="str">
        <f aca="false">IF($M41=0,"",INDEX(Classes!$C$6:$C$420,$M41))</f>
        <v/>
      </c>
      <c r="F41" s="63"/>
      <c r="G41" s="63"/>
      <c r="H41" s="60"/>
      <c r="I41" s="60"/>
      <c r="J41" s="63"/>
      <c r="K41" s="61" t="str">
        <f aca="false">IF($P41=0,"",IF($F41="Baseline","— Baseline",IF($O41=0,"No result",IF($N41=0,"No Start (attainment only)",IF(OR($N41=1,$O41=1),"U – needs rule",INDEX(MxBody,MATCH($I41,MxCurr,0),MATCH($H41,MxStart,0)))))))</f>
        <v/>
      </c>
      <c r="L41" s="62" t="str">
        <f aca="false">IF(COUNTA($A41,$F41,$G41,$H41,$I41,$J41)=0,"",IF($M41=0,"✖ كود الصف غير موجود",IF(ISNA(MATCH($F41,Lists!$A$2:$A$5,0)),"✖ الفترة غير صحيحة",IF(ISNA(MATCH($G41,Lists!$B$2:$B$7,0)),"✖ المجموعة غير صحيحة",IF(NOT(OR($H41="",$N41&gt;0)),"✖ Start غير صحيح",IF(NOT(OR($I41="",$I41="NR",$O41&gt;0)),"✖ Current غير صحيح",IF(NOT(IF(ISNUMBER($J41),AND($J41&gt;=0,$J41=INT($J41)),FALSE())),"✖ العدد يجب أن يكون صحيحًا ≥ 0",IF(AND($F41="Baseline",$H41&lt;&gt;""),"⚠ Baseline: Start لا يدخل في التقدم",IF($K41="No Start (attainment only)","ℹ تحصيل فقط (بدون Start)",IF($K41="U – needs rule","ℹ حالة U تحتاج قاعدة معتمدة",IF($K41="No result","ℹ بدون نتيجة (يُستبعد من التحصيل)","OK")))))))))))</f>
        <v/>
      </c>
      <c r="M41" s="64" t="n">
        <f aca="false">IF($A41="",0,IFERROR(MATCH($A41,Classes!$A$6:$A$420,0),0))</f>
        <v>0</v>
      </c>
      <c r="N41" s="64" t="n">
        <f aca="false">IF($H41="",0,IFERROR(MATCH($H41,GradeList,0),0))</f>
        <v>0</v>
      </c>
      <c r="O41" s="64" t="n">
        <f aca="false">IF(OR($I41="",$I41="NR"),0,IFERROR(MATCH($I41,GradeList,0),0))</f>
        <v>0</v>
      </c>
      <c r="P41" s="64" t="n">
        <f aca="false">IF(AND($M41&gt;0,ISNUMBER(MATCH($F41,Lists!$A$2:$A$5,0)),ISNUMBER(MATCH($G41,Lists!$B$2:$B$7,0)),OR($H41="",$N41&gt;0),OR($I41="",$I41="NR",$O41&gt;0),IF(ISNUMBER($J41),AND($J41&gt;=0,$J41=INT($J41)),FALSE())),$J41,0)</f>
        <v>0</v>
      </c>
      <c r="Q41" s="64" t="n">
        <f aca="false">IF(AND($P41&gt;0,$O41&gt;0),$P41,0)</f>
        <v>0</v>
      </c>
      <c r="R41" s="64" t="n">
        <f aca="false">IF(AND($Q41&gt;0,$O41&gt;=AtRank),$Q41,0)</f>
        <v>0</v>
      </c>
      <c r="S41" s="64" t="n">
        <f aca="false">IF(AND($Q41&gt;0,$O41&gt;=AboveRank),$Q41,0)</f>
        <v>0</v>
      </c>
      <c r="T41" s="64" t="n">
        <f aca="false">IF($K41="Less",$P41,0)</f>
        <v>0</v>
      </c>
      <c r="U41" s="64" t="n">
        <f aca="false">IF($K41="Expected",$P41,0)</f>
        <v>0</v>
      </c>
      <c r="V41" s="64" t="n">
        <f aca="false">IF($K41="Better",$P41,0)</f>
        <v>0</v>
      </c>
      <c r="W41" s="64" t="n">
        <f aca="false">IF($K41="U – needs rule",$P41,0)</f>
        <v>0</v>
      </c>
      <c r="X41" s="64" t="n">
        <f aca="false">IF($K41="No Start (attainment only)",$P41,0)</f>
        <v>0</v>
      </c>
    </row>
    <row r="42" customFormat="false" ht="15" hidden="false" customHeight="false" outlineLevel="0" collapsed="false">
      <c r="A42" s="60"/>
      <c r="B42" s="61" t="str">
        <f aca="false">IF($M42=0,"",INDEX(Classes!$E$6:$E$420,$M42))</f>
        <v/>
      </c>
      <c r="C42" s="62" t="str">
        <f aca="false">IF($M42=0,"",INDEX(Classes!$H$6:$H$420,$M42))</f>
        <v/>
      </c>
      <c r="D42" s="61" t="str">
        <f aca="false">IF($M42=0,"",INDEX(Classes!$B$6:$B$420,$M42))</f>
        <v/>
      </c>
      <c r="E42" s="61" t="str">
        <f aca="false">IF($M42=0,"",INDEX(Classes!$C$6:$C$420,$M42))</f>
        <v/>
      </c>
      <c r="F42" s="63"/>
      <c r="G42" s="63"/>
      <c r="H42" s="60"/>
      <c r="I42" s="60"/>
      <c r="J42" s="63"/>
      <c r="K42" s="61" t="str">
        <f aca="false">IF($P42=0,"",IF($F42="Baseline","— Baseline",IF($O42=0,"No result",IF($N42=0,"No Start (attainment only)",IF(OR($N42=1,$O42=1),"U – needs rule",INDEX(MxBody,MATCH($I42,MxCurr,0),MATCH($H42,MxStart,0)))))))</f>
        <v/>
      </c>
      <c r="L42" s="62" t="str">
        <f aca="false">IF(COUNTA($A42,$F42,$G42,$H42,$I42,$J42)=0,"",IF($M42=0,"✖ كود الصف غير موجود",IF(ISNA(MATCH($F42,Lists!$A$2:$A$5,0)),"✖ الفترة غير صحيحة",IF(ISNA(MATCH($G42,Lists!$B$2:$B$7,0)),"✖ المجموعة غير صحيحة",IF(NOT(OR($H42="",$N42&gt;0)),"✖ Start غير صحيح",IF(NOT(OR($I42="",$I42="NR",$O42&gt;0)),"✖ Current غير صحيح",IF(NOT(IF(ISNUMBER($J42),AND($J42&gt;=0,$J42=INT($J42)),FALSE())),"✖ العدد يجب أن يكون صحيحًا ≥ 0",IF(AND($F42="Baseline",$H42&lt;&gt;""),"⚠ Baseline: Start لا يدخل في التقدم",IF($K42="No Start (attainment only)","ℹ تحصيل فقط (بدون Start)",IF($K42="U – needs rule","ℹ حالة U تحتاج قاعدة معتمدة",IF($K42="No result","ℹ بدون نتيجة (يُستبعد من التحصيل)","OK")))))))))))</f>
        <v/>
      </c>
      <c r="M42" s="64" t="n">
        <f aca="false">IF($A42="",0,IFERROR(MATCH($A42,Classes!$A$6:$A$420,0),0))</f>
        <v>0</v>
      </c>
      <c r="N42" s="64" t="n">
        <f aca="false">IF($H42="",0,IFERROR(MATCH($H42,GradeList,0),0))</f>
        <v>0</v>
      </c>
      <c r="O42" s="64" t="n">
        <f aca="false">IF(OR($I42="",$I42="NR"),0,IFERROR(MATCH($I42,GradeList,0),0))</f>
        <v>0</v>
      </c>
      <c r="P42" s="64" t="n">
        <f aca="false">IF(AND($M42&gt;0,ISNUMBER(MATCH($F42,Lists!$A$2:$A$5,0)),ISNUMBER(MATCH($G42,Lists!$B$2:$B$7,0)),OR($H42="",$N42&gt;0),OR($I42="",$I42="NR",$O42&gt;0),IF(ISNUMBER($J42),AND($J42&gt;=0,$J42=INT($J42)),FALSE())),$J42,0)</f>
        <v>0</v>
      </c>
      <c r="Q42" s="64" t="n">
        <f aca="false">IF(AND($P42&gt;0,$O42&gt;0),$P42,0)</f>
        <v>0</v>
      </c>
      <c r="R42" s="64" t="n">
        <f aca="false">IF(AND($Q42&gt;0,$O42&gt;=AtRank),$Q42,0)</f>
        <v>0</v>
      </c>
      <c r="S42" s="64" t="n">
        <f aca="false">IF(AND($Q42&gt;0,$O42&gt;=AboveRank),$Q42,0)</f>
        <v>0</v>
      </c>
      <c r="T42" s="64" t="n">
        <f aca="false">IF($K42="Less",$P42,0)</f>
        <v>0</v>
      </c>
      <c r="U42" s="64" t="n">
        <f aca="false">IF($K42="Expected",$P42,0)</f>
        <v>0</v>
      </c>
      <c r="V42" s="64" t="n">
        <f aca="false">IF($K42="Better",$P42,0)</f>
        <v>0</v>
      </c>
      <c r="W42" s="64" t="n">
        <f aca="false">IF($K42="U – needs rule",$P42,0)</f>
        <v>0</v>
      </c>
      <c r="X42" s="64" t="n">
        <f aca="false">IF($K42="No Start (attainment only)",$P42,0)</f>
        <v>0</v>
      </c>
    </row>
    <row r="43" customFormat="false" ht="15" hidden="false" customHeight="false" outlineLevel="0" collapsed="false">
      <c r="A43" s="60"/>
      <c r="B43" s="61" t="str">
        <f aca="false">IF($M43=0,"",INDEX(Classes!$E$6:$E$420,$M43))</f>
        <v/>
      </c>
      <c r="C43" s="62" t="str">
        <f aca="false">IF($M43=0,"",INDEX(Classes!$H$6:$H$420,$M43))</f>
        <v/>
      </c>
      <c r="D43" s="61" t="str">
        <f aca="false">IF($M43=0,"",INDEX(Classes!$B$6:$B$420,$M43))</f>
        <v/>
      </c>
      <c r="E43" s="61" t="str">
        <f aca="false">IF($M43=0,"",INDEX(Classes!$C$6:$C$420,$M43))</f>
        <v/>
      </c>
      <c r="F43" s="63"/>
      <c r="G43" s="63"/>
      <c r="H43" s="60"/>
      <c r="I43" s="60"/>
      <c r="J43" s="63"/>
      <c r="K43" s="61" t="str">
        <f aca="false">IF($P43=0,"",IF($F43="Baseline","— Baseline",IF($O43=0,"No result",IF($N43=0,"No Start (attainment only)",IF(OR($N43=1,$O43=1),"U – needs rule",INDEX(MxBody,MATCH($I43,MxCurr,0),MATCH($H43,MxStart,0)))))))</f>
        <v/>
      </c>
      <c r="L43" s="62" t="str">
        <f aca="false">IF(COUNTA($A43,$F43,$G43,$H43,$I43,$J43)=0,"",IF($M43=0,"✖ كود الصف غير موجود",IF(ISNA(MATCH($F43,Lists!$A$2:$A$5,0)),"✖ الفترة غير صحيحة",IF(ISNA(MATCH($G43,Lists!$B$2:$B$7,0)),"✖ المجموعة غير صحيحة",IF(NOT(OR($H43="",$N43&gt;0)),"✖ Start غير صحيح",IF(NOT(OR($I43="",$I43="NR",$O43&gt;0)),"✖ Current غير صحيح",IF(NOT(IF(ISNUMBER($J43),AND($J43&gt;=0,$J43=INT($J43)),FALSE())),"✖ العدد يجب أن يكون صحيحًا ≥ 0",IF(AND($F43="Baseline",$H43&lt;&gt;""),"⚠ Baseline: Start لا يدخل في التقدم",IF($K43="No Start (attainment only)","ℹ تحصيل فقط (بدون Start)",IF($K43="U – needs rule","ℹ حالة U تحتاج قاعدة معتمدة",IF($K43="No result","ℹ بدون نتيجة (يُستبعد من التحصيل)","OK")))))))))))</f>
        <v/>
      </c>
      <c r="M43" s="64" t="n">
        <f aca="false">IF($A43="",0,IFERROR(MATCH($A43,Classes!$A$6:$A$420,0),0))</f>
        <v>0</v>
      </c>
      <c r="N43" s="64" t="n">
        <f aca="false">IF($H43="",0,IFERROR(MATCH($H43,GradeList,0),0))</f>
        <v>0</v>
      </c>
      <c r="O43" s="64" t="n">
        <f aca="false">IF(OR($I43="",$I43="NR"),0,IFERROR(MATCH($I43,GradeList,0),0))</f>
        <v>0</v>
      </c>
      <c r="P43" s="64" t="n">
        <f aca="false">IF(AND($M43&gt;0,ISNUMBER(MATCH($F43,Lists!$A$2:$A$5,0)),ISNUMBER(MATCH($G43,Lists!$B$2:$B$7,0)),OR($H43="",$N43&gt;0),OR($I43="",$I43="NR",$O43&gt;0),IF(ISNUMBER($J43),AND($J43&gt;=0,$J43=INT($J43)),FALSE())),$J43,0)</f>
        <v>0</v>
      </c>
      <c r="Q43" s="64" t="n">
        <f aca="false">IF(AND($P43&gt;0,$O43&gt;0),$P43,0)</f>
        <v>0</v>
      </c>
      <c r="R43" s="64" t="n">
        <f aca="false">IF(AND($Q43&gt;0,$O43&gt;=AtRank),$Q43,0)</f>
        <v>0</v>
      </c>
      <c r="S43" s="64" t="n">
        <f aca="false">IF(AND($Q43&gt;0,$O43&gt;=AboveRank),$Q43,0)</f>
        <v>0</v>
      </c>
      <c r="T43" s="64" t="n">
        <f aca="false">IF($K43="Less",$P43,0)</f>
        <v>0</v>
      </c>
      <c r="U43" s="64" t="n">
        <f aca="false">IF($K43="Expected",$P43,0)</f>
        <v>0</v>
      </c>
      <c r="V43" s="64" t="n">
        <f aca="false">IF($K43="Better",$P43,0)</f>
        <v>0</v>
      </c>
      <c r="W43" s="64" t="n">
        <f aca="false">IF($K43="U – needs rule",$P43,0)</f>
        <v>0</v>
      </c>
      <c r="X43" s="64" t="n">
        <f aca="false">IF($K43="No Start (attainment only)",$P43,0)</f>
        <v>0</v>
      </c>
    </row>
    <row r="44" customFormat="false" ht="15" hidden="false" customHeight="false" outlineLevel="0" collapsed="false">
      <c r="A44" s="60"/>
      <c r="B44" s="61" t="str">
        <f aca="false">IF($M44=0,"",INDEX(Classes!$E$6:$E$420,$M44))</f>
        <v/>
      </c>
      <c r="C44" s="62" t="str">
        <f aca="false">IF($M44=0,"",INDEX(Classes!$H$6:$H$420,$M44))</f>
        <v/>
      </c>
      <c r="D44" s="61" t="str">
        <f aca="false">IF($M44=0,"",INDEX(Classes!$B$6:$B$420,$M44))</f>
        <v/>
      </c>
      <c r="E44" s="61" t="str">
        <f aca="false">IF($M44=0,"",INDEX(Classes!$C$6:$C$420,$M44))</f>
        <v/>
      </c>
      <c r="F44" s="63"/>
      <c r="G44" s="63"/>
      <c r="H44" s="60"/>
      <c r="I44" s="60"/>
      <c r="J44" s="63"/>
      <c r="K44" s="61" t="str">
        <f aca="false">IF($P44=0,"",IF($F44="Baseline","— Baseline",IF($O44=0,"No result",IF($N44=0,"No Start (attainment only)",IF(OR($N44=1,$O44=1),"U – needs rule",INDEX(MxBody,MATCH($I44,MxCurr,0),MATCH($H44,MxStart,0)))))))</f>
        <v/>
      </c>
      <c r="L44" s="62" t="str">
        <f aca="false">IF(COUNTA($A44,$F44,$G44,$H44,$I44,$J44)=0,"",IF($M44=0,"✖ كود الصف غير موجود",IF(ISNA(MATCH($F44,Lists!$A$2:$A$5,0)),"✖ الفترة غير صحيحة",IF(ISNA(MATCH($G44,Lists!$B$2:$B$7,0)),"✖ المجموعة غير صحيحة",IF(NOT(OR($H44="",$N44&gt;0)),"✖ Start غير صحيح",IF(NOT(OR($I44="",$I44="NR",$O44&gt;0)),"✖ Current غير صحيح",IF(NOT(IF(ISNUMBER($J44),AND($J44&gt;=0,$J44=INT($J44)),FALSE())),"✖ العدد يجب أن يكون صحيحًا ≥ 0",IF(AND($F44="Baseline",$H44&lt;&gt;""),"⚠ Baseline: Start لا يدخل في التقدم",IF($K44="No Start (attainment only)","ℹ تحصيل فقط (بدون Start)",IF($K44="U – needs rule","ℹ حالة U تحتاج قاعدة معتمدة",IF($K44="No result","ℹ بدون نتيجة (يُستبعد من التحصيل)","OK")))))))))))</f>
        <v/>
      </c>
      <c r="M44" s="64" t="n">
        <f aca="false">IF($A44="",0,IFERROR(MATCH($A44,Classes!$A$6:$A$420,0),0))</f>
        <v>0</v>
      </c>
      <c r="N44" s="64" t="n">
        <f aca="false">IF($H44="",0,IFERROR(MATCH($H44,GradeList,0),0))</f>
        <v>0</v>
      </c>
      <c r="O44" s="64" t="n">
        <f aca="false">IF(OR($I44="",$I44="NR"),0,IFERROR(MATCH($I44,GradeList,0),0))</f>
        <v>0</v>
      </c>
      <c r="P44" s="64" t="n">
        <f aca="false">IF(AND($M44&gt;0,ISNUMBER(MATCH($F44,Lists!$A$2:$A$5,0)),ISNUMBER(MATCH($G44,Lists!$B$2:$B$7,0)),OR($H44="",$N44&gt;0),OR($I44="",$I44="NR",$O44&gt;0),IF(ISNUMBER($J44),AND($J44&gt;=0,$J44=INT($J44)),FALSE())),$J44,0)</f>
        <v>0</v>
      </c>
      <c r="Q44" s="64" t="n">
        <f aca="false">IF(AND($P44&gt;0,$O44&gt;0),$P44,0)</f>
        <v>0</v>
      </c>
      <c r="R44" s="64" t="n">
        <f aca="false">IF(AND($Q44&gt;0,$O44&gt;=AtRank),$Q44,0)</f>
        <v>0</v>
      </c>
      <c r="S44" s="64" t="n">
        <f aca="false">IF(AND($Q44&gt;0,$O44&gt;=AboveRank),$Q44,0)</f>
        <v>0</v>
      </c>
      <c r="T44" s="64" t="n">
        <f aca="false">IF($K44="Less",$P44,0)</f>
        <v>0</v>
      </c>
      <c r="U44" s="64" t="n">
        <f aca="false">IF($K44="Expected",$P44,0)</f>
        <v>0</v>
      </c>
      <c r="V44" s="64" t="n">
        <f aca="false">IF($K44="Better",$P44,0)</f>
        <v>0</v>
      </c>
      <c r="W44" s="64" t="n">
        <f aca="false">IF($K44="U – needs rule",$P44,0)</f>
        <v>0</v>
      </c>
      <c r="X44" s="64" t="n">
        <f aca="false">IF($K44="No Start (attainment only)",$P44,0)</f>
        <v>0</v>
      </c>
    </row>
    <row r="45" customFormat="false" ht="15" hidden="false" customHeight="false" outlineLevel="0" collapsed="false">
      <c r="A45" s="60"/>
      <c r="B45" s="61" t="str">
        <f aca="false">IF($M45=0,"",INDEX(Classes!$E$6:$E$420,$M45))</f>
        <v/>
      </c>
      <c r="C45" s="62" t="str">
        <f aca="false">IF($M45=0,"",INDEX(Classes!$H$6:$H$420,$M45))</f>
        <v/>
      </c>
      <c r="D45" s="61" t="str">
        <f aca="false">IF($M45=0,"",INDEX(Classes!$B$6:$B$420,$M45))</f>
        <v/>
      </c>
      <c r="E45" s="61" t="str">
        <f aca="false">IF($M45=0,"",INDEX(Classes!$C$6:$C$420,$M45))</f>
        <v/>
      </c>
      <c r="F45" s="63"/>
      <c r="G45" s="63"/>
      <c r="H45" s="60"/>
      <c r="I45" s="60"/>
      <c r="J45" s="63"/>
      <c r="K45" s="61" t="str">
        <f aca="false">IF($P45=0,"",IF($F45="Baseline","— Baseline",IF($O45=0,"No result",IF($N45=0,"No Start (attainment only)",IF(OR($N45=1,$O45=1),"U – needs rule",INDEX(MxBody,MATCH($I45,MxCurr,0),MATCH($H45,MxStart,0)))))))</f>
        <v/>
      </c>
      <c r="L45" s="62" t="str">
        <f aca="false">IF(COUNTA($A45,$F45,$G45,$H45,$I45,$J45)=0,"",IF($M45=0,"✖ كود الصف غير موجود",IF(ISNA(MATCH($F45,Lists!$A$2:$A$5,0)),"✖ الفترة غير صحيحة",IF(ISNA(MATCH($G45,Lists!$B$2:$B$7,0)),"✖ المجموعة غير صحيحة",IF(NOT(OR($H45="",$N45&gt;0)),"✖ Start غير صحيح",IF(NOT(OR($I45="",$I45="NR",$O45&gt;0)),"✖ Current غير صحيح",IF(NOT(IF(ISNUMBER($J45),AND($J45&gt;=0,$J45=INT($J45)),FALSE())),"✖ العدد يجب أن يكون صحيحًا ≥ 0",IF(AND($F45="Baseline",$H45&lt;&gt;""),"⚠ Baseline: Start لا يدخل في التقدم",IF($K45="No Start (attainment only)","ℹ تحصيل فقط (بدون Start)",IF($K45="U – needs rule","ℹ حالة U تحتاج قاعدة معتمدة",IF($K45="No result","ℹ بدون نتيجة (يُستبعد من التحصيل)","OK")))))))))))</f>
        <v/>
      </c>
      <c r="M45" s="64" t="n">
        <f aca="false">IF($A45="",0,IFERROR(MATCH($A45,Classes!$A$6:$A$420,0),0))</f>
        <v>0</v>
      </c>
      <c r="N45" s="64" t="n">
        <f aca="false">IF($H45="",0,IFERROR(MATCH($H45,GradeList,0),0))</f>
        <v>0</v>
      </c>
      <c r="O45" s="64" t="n">
        <f aca="false">IF(OR($I45="",$I45="NR"),0,IFERROR(MATCH($I45,GradeList,0),0))</f>
        <v>0</v>
      </c>
      <c r="P45" s="64" t="n">
        <f aca="false">IF(AND($M45&gt;0,ISNUMBER(MATCH($F45,Lists!$A$2:$A$5,0)),ISNUMBER(MATCH($G45,Lists!$B$2:$B$7,0)),OR($H45="",$N45&gt;0),OR($I45="",$I45="NR",$O45&gt;0),IF(ISNUMBER($J45),AND($J45&gt;=0,$J45=INT($J45)),FALSE())),$J45,0)</f>
        <v>0</v>
      </c>
      <c r="Q45" s="64" t="n">
        <f aca="false">IF(AND($P45&gt;0,$O45&gt;0),$P45,0)</f>
        <v>0</v>
      </c>
      <c r="R45" s="64" t="n">
        <f aca="false">IF(AND($Q45&gt;0,$O45&gt;=AtRank),$Q45,0)</f>
        <v>0</v>
      </c>
      <c r="S45" s="64" t="n">
        <f aca="false">IF(AND($Q45&gt;0,$O45&gt;=AboveRank),$Q45,0)</f>
        <v>0</v>
      </c>
      <c r="T45" s="64" t="n">
        <f aca="false">IF($K45="Less",$P45,0)</f>
        <v>0</v>
      </c>
      <c r="U45" s="64" t="n">
        <f aca="false">IF($K45="Expected",$P45,0)</f>
        <v>0</v>
      </c>
      <c r="V45" s="64" t="n">
        <f aca="false">IF($K45="Better",$P45,0)</f>
        <v>0</v>
      </c>
      <c r="W45" s="64" t="n">
        <f aca="false">IF($K45="U – needs rule",$P45,0)</f>
        <v>0</v>
      </c>
      <c r="X45" s="64" t="n">
        <f aca="false">IF($K45="No Start (attainment only)",$P45,0)</f>
        <v>0</v>
      </c>
    </row>
    <row r="46" customFormat="false" ht="15" hidden="false" customHeight="false" outlineLevel="0" collapsed="false">
      <c r="A46" s="60"/>
      <c r="B46" s="61" t="str">
        <f aca="false">IF($M46=0,"",INDEX(Classes!$E$6:$E$420,$M46))</f>
        <v/>
      </c>
      <c r="C46" s="62" t="str">
        <f aca="false">IF($M46=0,"",INDEX(Classes!$H$6:$H$420,$M46))</f>
        <v/>
      </c>
      <c r="D46" s="61" t="str">
        <f aca="false">IF($M46=0,"",INDEX(Classes!$B$6:$B$420,$M46))</f>
        <v/>
      </c>
      <c r="E46" s="61" t="str">
        <f aca="false">IF($M46=0,"",INDEX(Classes!$C$6:$C$420,$M46))</f>
        <v/>
      </c>
      <c r="F46" s="63"/>
      <c r="G46" s="63"/>
      <c r="H46" s="60"/>
      <c r="I46" s="60"/>
      <c r="J46" s="63"/>
      <c r="K46" s="61" t="str">
        <f aca="false">IF($P46=0,"",IF($F46="Baseline","— Baseline",IF($O46=0,"No result",IF($N46=0,"No Start (attainment only)",IF(OR($N46=1,$O46=1),"U – needs rule",INDEX(MxBody,MATCH($I46,MxCurr,0),MATCH($H46,MxStart,0)))))))</f>
        <v/>
      </c>
      <c r="L46" s="62" t="str">
        <f aca="false">IF(COUNTA($A46,$F46,$G46,$H46,$I46,$J46)=0,"",IF($M46=0,"✖ كود الصف غير موجود",IF(ISNA(MATCH($F46,Lists!$A$2:$A$5,0)),"✖ الفترة غير صحيحة",IF(ISNA(MATCH($G46,Lists!$B$2:$B$7,0)),"✖ المجموعة غير صحيحة",IF(NOT(OR($H46="",$N46&gt;0)),"✖ Start غير صحيح",IF(NOT(OR($I46="",$I46="NR",$O46&gt;0)),"✖ Current غير صحيح",IF(NOT(IF(ISNUMBER($J46),AND($J46&gt;=0,$J46=INT($J46)),FALSE())),"✖ العدد يجب أن يكون صحيحًا ≥ 0",IF(AND($F46="Baseline",$H46&lt;&gt;""),"⚠ Baseline: Start لا يدخل في التقدم",IF($K46="No Start (attainment only)","ℹ تحصيل فقط (بدون Start)",IF($K46="U – needs rule","ℹ حالة U تحتاج قاعدة معتمدة",IF($K46="No result","ℹ بدون نتيجة (يُستبعد من التحصيل)","OK")))))))))))</f>
        <v/>
      </c>
      <c r="M46" s="64" t="n">
        <f aca="false">IF($A46="",0,IFERROR(MATCH($A46,Classes!$A$6:$A$420,0),0))</f>
        <v>0</v>
      </c>
      <c r="N46" s="64" t="n">
        <f aca="false">IF($H46="",0,IFERROR(MATCH($H46,GradeList,0),0))</f>
        <v>0</v>
      </c>
      <c r="O46" s="64" t="n">
        <f aca="false">IF(OR($I46="",$I46="NR"),0,IFERROR(MATCH($I46,GradeList,0),0))</f>
        <v>0</v>
      </c>
      <c r="P46" s="64" t="n">
        <f aca="false">IF(AND($M46&gt;0,ISNUMBER(MATCH($F46,Lists!$A$2:$A$5,0)),ISNUMBER(MATCH($G46,Lists!$B$2:$B$7,0)),OR($H46="",$N46&gt;0),OR($I46="",$I46="NR",$O46&gt;0),IF(ISNUMBER($J46),AND($J46&gt;=0,$J46=INT($J46)),FALSE())),$J46,0)</f>
        <v>0</v>
      </c>
      <c r="Q46" s="64" t="n">
        <f aca="false">IF(AND($P46&gt;0,$O46&gt;0),$P46,0)</f>
        <v>0</v>
      </c>
      <c r="R46" s="64" t="n">
        <f aca="false">IF(AND($Q46&gt;0,$O46&gt;=AtRank),$Q46,0)</f>
        <v>0</v>
      </c>
      <c r="S46" s="64" t="n">
        <f aca="false">IF(AND($Q46&gt;0,$O46&gt;=AboveRank),$Q46,0)</f>
        <v>0</v>
      </c>
      <c r="T46" s="64" t="n">
        <f aca="false">IF($K46="Less",$P46,0)</f>
        <v>0</v>
      </c>
      <c r="U46" s="64" t="n">
        <f aca="false">IF($K46="Expected",$P46,0)</f>
        <v>0</v>
      </c>
      <c r="V46" s="64" t="n">
        <f aca="false">IF($K46="Better",$P46,0)</f>
        <v>0</v>
      </c>
      <c r="W46" s="64" t="n">
        <f aca="false">IF($K46="U – needs rule",$P46,0)</f>
        <v>0</v>
      </c>
      <c r="X46" s="64" t="n">
        <f aca="false">IF($K46="No Start (attainment only)",$P46,0)</f>
        <v>0</v>
      </c>
    </row>
    <row r="47" customFormat="false" ht="15" hidden="false" customHeight="false" outlineLevel="0" collapsed="false">
      <c r="A47" s="60"/>
      <c r="B47" s="61" t="str">
        <f aca="false">IF($M47=0,"",INDEX(Classes!$E$6:$E$420,$M47))</f>
        <v/>
      </c>
      <c r="C47" s="62" t="str">
        <f aca="false">IF($M47=0,"",INDEX(Classes!$H$6:$H$420,$M47))</f>
        <v/>
      </c>
      <c r="D47" s="61" t="str">
        <f aca="false">IF($M47=0,"",INDEX(Classes!$B$6:$B$420,$M47))</f>
        <v/>
      </c>
      <c r="E47" s="61" t="str">
        <f aca="false">IF($M47=0,"",INDEX(Classes!$C$6:$C$420,$M47))</f>
        <v/>
      </c>
      <c r="F47" s="63"/>
      <c r="G47" s="63"/>
      <c r="H47" s="60"/>
      <c r="I47" s="60"/>
      <c r="J47" s="63"/>
      <c r="K47" s="61" t="str">
        <f aca="false">IF($P47=0,"",IF($F47="Baseline","— Baseline",IF($O47=0,"No result",IF($N47=0,"No Start (attainment only)",IF(OR($N47=1,$O47=1),"U – needs rule",INDEX(MxBody,MATCH($I47,MxCurr,0),MATCH($H47,MxStart,0)))))))</f>
        <v/>
      </c>
      <c r="L47" s="62" t="str">
        <f aca="false">IF(COUNTA($A47,$F47,$G47,$H47,$I47,$J47)=0,"",IF($M47=0,"✖ كود الصف غير موجود",IF(ISNA(MATCH($F47,Lists!$A$2:$A$5,0)),"✖ الفترة غير صحيحة",IF(ISNA(MATCH($G47,Lists!$B$2:$B$7,0)),"✖ المجموعة غير صحيحة",IF(NOT(OR($H47="",$N47&gt;0)),"✖ Start غير صحيح",IF(NOT(OR($I47="",$I47="NR",$O47&gt;0)),"✖ Current غير صحيح",IF(NOT(IF(ISNUMBER($J47),AND($J47&gt;=0,$J47=INT($J47)),FALSE())),"✖ العدد يجب أن يكون صحيحًا ≥ 0",IF(AND($F47="Baseline",$H47&lt;&gt;""),"⚠ Baseline: Start لا يدخل في التقدم",IF($K47="No Start (attainment only)","ℹ تحصيل فقط (بدون Start)",IF($K47="U – needs rule","ℹ حالة U تحتاج قاعدة معتمدة",IF($K47="No result","ℹ بدون نتيجة (يُستبعد من التحصيل)","OK")))))))))))</f>
        <v/>
      </c>
      <c r="M47" s="64" t="n">
        <f aca="false">IF($A47="",0,IFERROR(MATCH($A47,Classes!$A$6:$A$420,0),0))</f>
        <v>0</v>
      </c>
      <c r="N47" s="64" t="n">
        <f aca="false">IF($H47="",0,IFERROR(MATCH($H47,GradeList,0),0))</f>
        <v>0</v>
      </c>
      <c r="O47" s="64" t="n">
        <f aca="false">IF(OR($I47="",$I47="NR"),0,IFERROR(MATCH($I47,GradeList,0),0))</f>
        <v>0</v>
      </c>
      <c r="P47" s="64" t="n">
        <f aca="false">IF(AND($M47&gt;0,ISNUMBER(MATCH($F47,Lists!$A$2:$A$5,0)),ISNUMBER(MATCH($G47,Lists!$B$2:$B$7,0)),OR($H47="",$N47&gt;0),OR($I47="",$I47="NR",$O47&gt;0),IF(ISNUMBER($J47),AND($J47&gt;=0,$J47=INT($J47)),FALSE())),$J47,0)</f>
        <v>0</v>
      </c>
      <c r="Q47" s="64" t="n">
        <f aca="false">IF(AND($P47&gt;0,$O47&gt;0),$P47,0)</f>
        <v>0</v>
      </c>
      <c r="R47" s="64" t="n">
        <f aca="false">IF(AND($Q47&gt;0,$O47&gt;=AtRank),$Q47,0)</f>
        <v>0</v>
      </c>
      <c r="S47" s="64" t="n">
        <f aca="false">IF(AND($Q47&gt;0,$O47&gt;=AboveRank),$Q47,0)</f>
        <v>0</v>
      </c>
      <c r="T47" s="64" t="n">
        <f aca="false">IF($K47="Less",$P47,0)</f>
        <v>0</v>
      </c>
      <c r="U47" s="64" t="n">
        <f aca="false">IF($K47="Expected",$P47,0)</f>
        <v>0</v>
      </c>
      <c r="V47" s="64" t="n">
        <f aca="false">IF($K47="Better",$P47,0)</f>
        <v>0</v>
      </c>
      <c r="W47" s="64" t="n">
        <f aca="false">IF($K47="U – needs rule",$P47,0)</f>
        <v>0</v>
      </c>
      <c r="X47" s="64" t="n">
        <f aca="false">IF($K47="No Start (attainment only)",$P47,0)</f>
        <v>0</v>
      </c>
    </row>
    <row r="48" customFormat="false" ht="15" hidden="false" customHeight="false" outlineLevel="0" collapsed="false">
      <c r="A48" s="60"/>
      <c r="B48" s="61" t="str">
        <f aca="false">IF($M48=0,"",INDEX(Classes!$E$6:$E$420,$M48))</f>
        <v/>
      </c>
      <c r="C48" s="62" t="str">
        <f aca="false">IF($M48=0,"",INDEX(Classes!$H$6:$H$420,$M48))</f>
        <v/>
      </c>
      <c r="D48" s="61" t="str">
        <f aca="false">IF($M48=0,"",INDEX(Classes!$B$6:$B$420,$M48))</f>
        <v/>
      </c>
      <c r="E48" s="61" t="str">
        <f aca="false">IF($M48=0,"",INDEX(Classes!$C$6:$C$420,$M48))</f>
        <v/>
      </c>
      <c r="F48" s="63"/>
      <c r="G48" s="63"/>
      <c r="H48" s="60"/>
      <c r="I48" s="60"/>
      <c r="J48" s="63"/>
      <c r="K48" s="61" t="str">
        <f aca="false">IF($P48=0,"",IF($F48="Baseline","— Baseline",IF($O48=0,"No result",IF($N48=0,"No Start (attainment only)",IF(OR($N48=1,$O48=1),"U – needs rule",INDEX(MxBody,MATCH($I48,MxCurr,0),MATCH($H48,MxStart,0)))))))</f>
        <v/>
      </c>
      <c r="L48" s="62" t="str">
        <f aca="false">IF(COUNTA($A48,$F48,$G48,$H48,$I48,$J48)=0,"",IF($M48=0,"✖ كود الصف غير موجود",IF(ISNA(MATCH($F48,Lists!$A$2:$A$5,0)),"✖ الفترة غير صحيحة",IF(ISNA(MATCH($G48,Lists!$B$2:$B$7,0)),"✖ المجموعة غير صحيحة",IF(NOT(OR($H48="",$N48&gt;0)),"✖ Start غير صحيح",IF(NOT(OR($I48="",$I48="NR",$O48&gt;0)),"✖ Current غير صحيح",IF(NOT(IF(ISNUMBER($J48),AND($J48&gt;=0,$J48=INT($J48)),FALSE())),"✖ العدد يجب أن يكون صحيحًا ≥ 0",IF(AND($F48="Baseline",$H48&lt;&gt;""),"⚠ Baseline: Start لا يدخل في التقدم",IF($K48="No Start (attainment only)","ℹ تحصيل فقط (بدون Start)",IF($K48="U – needs rule","ℹ حالة U تحتاج قاعدة معتمدة",IF($K48="No result","ℹ بدون نتيجة (يُستبعد من التحصيل)","OK")))))))))))</f>
        <v/>
      </c>
      <c r="M48" s="64" t="n">
        <f aca="false">IF($A48="",0,IFERROR(MATCH($A48,Classes!$A$6:$A$420,0),0))</f>
        <v>0</v>
      </c>
      <c r="N48" s="64" t="n">
        <f aca="false">IF($H48="",0,IFERROR(MATCH($H48,GradeList,0),0))</f>
        <v>0</v>
      </c>
      <c r="O48" s="64" t="n">
        <f aca="false">IF(OR($I48="",$I48="NR"),0,IFERROR(MATCH($I48,GradeList,0),0))</f>
        <v>0</v>
      </c>
      <c r="P48" s="64" t="n">
        <f aca="false">IF(AND($M48&gt;0,ISNUMBER(MATCH($F48,Lists!$A$2:$A$5,0)),ISNUMBER(MATCH($G48,Lists!$B$2:$B$7,0)),OR($H48="",$N48&gt;0),OR($I48="",$I48="NR",$O48&gt;0),IF(ISNUMBER($J48),AND($J48&gt;=0,$J48=INT($J48)),FALSE())),$J48,0)</f>
        <v>0</v>
      </c>
      <c r="Q48" s="64" t="n">
        <f aca="false">IF(AND($P48&gt;0,$O48&gt;0),$P48,0)</f>
        <v>0</v>
      </c>
      <c r="R48" s="64" t="n">
        <f aca="false">IF(AND($Q48&gt;0,$O48&gt;=AtRank),$Q48,0)</f>
        <v>0</v>
      </c>
      <c r="S48" s="64" t="n">
        <f aca="false">IF(AND($Q48&gt;0,$O48&gt;=AboveRank),$Q48,0)</f>
        <v>0</v>
      </c>
      <c r="T48" s="64" t="n">
        <f aca="false">IF($K48="Less",$P48,0)</f>
        <v>0</v>
      </c>
      <c r="U48" s="64" t="n">
        <f aca="false">IF($K48="Expected",$P48,0)</f>
        <v>0</v>
      </c>
      <c r="V48" s="64" t="n">
        <f aca="false">IF($K48="Better",$P48,0)</f>
        <v>0</v>
      </c>
      <c r="W48" s="64" t="n">
        <f aca="false">IF($K48="U – needs rule",$P48,0)</f>
        <v>0</v>
      </c>
      <c r="X48" s="64" t="n">
        <f aca="false">IF($K48="No Start (attainment only)",$P48,0)</f>
        <v>0</v>
      </c>
    </row>
    <row r="49" customFormat="false" ht="15" hidden="false" customHeight="false" outlineLevel="0" collapsed="false">
      <c r="A49" s="60"/>
      <c r="B49" s="61" t="str">
        <f aca="false">IF($M49=0,"",INDEX(Classes!$E$6:$E$420,$M49))</f>
        <v/>
      </c>
      <c r="C49" s="62" t="str">
        <f aca="false">IF($M49=0,"",INDEX(Classes!$H$6:$H$420,$M49))</f>
        <v/>
      </c>
      <c r="D49" s="61" t="str">
        <f aca="false">IF($M49=0,"",INDEX(Classes!$B$6:$B$420,$M49))</f>
        <v/>
      </c>
      <c r="E49" s="61" t="str">
        <f aca="false">IF($M49=0,"",INDEX(Classes!$C$6:$C$420,$M49))</f>
        <v/>
      </c>
      <c r="F49" s="63"/>
      <c r="G49" s="63"/>
      <c r="H49" s="60"/>
      <c r="I49" s="60"/>
      <c r="J49" s="63"/>
      <c r="K49" s="61" t="str">
        <f aca="false">IF($P49=0,"",IF($F49="Baseline","— Baseline",IF($O49=0,"No result",IF($N49=0,"No Start (attainment only)",IF(OR($N49=1,$O49=1),"U – needs rule",INDEX(MxBody,MATCH($I49,MxCurr,0),MATCH($H49,MxStart,0)))))))</f>
        <v/>
      </c>
      <c r="L49" s="62" t="str">
        <f aca="false">IF(COUNTA($A49,$F49,$G49,$H49,$I49,$J49)=0,"",IF($M49=0,"✖ كود الصف غير موجود",IF(ISNA(MATCH($F49,Lists!$A$2:$A$5,0)),"✖ الفترة غير صحيحة",IF(ISNA(MATCH($G49,Lists!$B$2:$B$7,0)),"✖ المجموعة غير صحيحة",IF(NOT(OR($H49="",$N49&gt;0)),"✖ Start غير صحيح",IF(NOT(OR($I49="",$I49="NR",$O49&gt;0)),"✖ Current غير صحيح",IF(NOT(IF(ISNUMBER($J49),AND($J49&gt;=0,$J49=INT($J49)),FALSE())),"✖ العدد يجب أن يكون صحيحًا ≥ 0",IF(AND($F49="Baseline",$H49&lt;&gt;""),"⚠ Baseline: Start لا يدخل في التقدم",IF($K49="No Start (attainment only)","ℹ تحصيل فقط (بدون Start)",IF($K49="U – needs rule","ℹ حالة U تحتاج قاعدة معتمدة",IF($K49="No result","ℹ بدون نتيجة (يُستبعد من التحصيل)","OK")))))))))))</f>
        <v/>
      </c>
      <c r="M49" s="64" t="n">
        <f aca="false">IF($A49="",0,IFERROR(MATCH($A49,Classes!$A$6:$A$420,0),0))</f>
        <v>0</v>
      </c>
      <c r="N49" s="64" t="n">
        <f aca="false">IF($H49="",0,IFERROR(MATCH($H49,GradeList,0),0))</f>
        <v>0</v>
      </c>
      <c r="O49" s="64" t="n">
        <f aca="false">IF(OR($I49="",$I49="NR"),0,IFERROR(MATCH($I49,GradeList,0),0))</f>
        <v>0</v>
      </c>
      <c r="P49" s="64" t="n">
        <f aca="false">IF(AND($M49&gt;0,ISNUMBER(MATCH($F49,Lists!$A$2:$A$5,0)),ISNUMBER(MATCH($G49,Lists!$B$2:$B$7,0)),OR($H49="",$N49&gt;0),OR($I49="",$I49="NR",$O49&gt;0),IF(ISNUMBER($J49),AND($J49&gt;=0,$J49=INT($J49)),FALSE())),$J49,0)</f>
        <v>0</v>
      </c>
      <c r="Q49" s="64" t="n">
        <f aca="false">IF(AND($P49&gt;0,$O49&gt;0),$P49,0)</f>
        <v>0</v>
      </c>
      <c r="R49" s="64" t="n">
        <f aca="false">IF(AND($Q49&gt;0,$O49&gt;=AtRank),$Q49,0)</f>
        <v>0</v>
      </c>
      <c r="S49" s="64" t="n">
        <f aca="false">IF(AND($Q49&gt;0,$O49&gt;=AboveRank),$Q49,0)</f>
        <v>0</v>
      </c>
      <c r="T49" s="64" t="n">
        <f aca="false">IF($K49="Less",$P49,0)</f>
        <v>0</v>
      </c>
      <c r="U49" s="64" t="n">
        <f aca="false">IF($K49="Expected",$P49,0)</f>
        <v>0</v>
      </c>
      <c r="V49" s="64" t="n">
        <f aca="false">IF($K49="Better",$P49,0)</f>
        <v>0</v>
      </c>
      <c r="W49" s="64" t="n">
        <f aca="false">IF($K49="U – needs rule",$P49,0)</f>
        <v>0</v>
      </c>
      <c r="X49" s="64" t="n">
        <f aca="false">IF($K49="No Start (attainment only)",$P49,0)</f>
        <v>0</v>
      </c>
    </row>
    <row r="50" customFormat="false" ht="15" hidden="false" customHeight="false" outlineLevel="0" collapsed="false">
      <c r="A50" s="60"/>
      <c r="B50" s="61" t="str">
        <f aca="false">IF($M50=0,"",INDEX(Classes!$E$6:$E$420,$M50))</f>
        <v/>
      </c>
      <c r="C50" s="62" t="str">
        <f aca="false">IF($M50=0,"",INDEX(Classes!$H$6:$H$420,$M50))</f>
        <v/>
      </c>
      <c r="D50" s="61" t="str">
        <f aca="false">IF($M50=0,"",INDEX(Classes!$B$6:$B$420,$M50))</f>
        <v/>
      </c>
      <c r="E50" s="61" t="str">
        <f aca="false">IF($M50=0,"",INDEX(Classes!$C$6:$C$420,$M50))</f>
        <v/>
      </c>
      <c r="F50" s="63"/>
      <c r="G50" s="63"/>
      <c r="H50" s="60"/>
      <c r="I50" s="60"/>
      <c r="J50" s="63"/>
      <c r="K50" s="61" t="str">
        <f aca="false">IF($P50=0,"",IF($F50="Baseline","— Baseline",IF($O50=0,"No result",IF($N50=0,"No Start (attainment only)",IF(OR($N50=1,$O50=1),"U – needs rule",INDEX(MxBody,MATCH($I50,MxCurr,0),MATCH($H50,MxStart,0)))))))</f>
        <v/>
      </c>
      <c r="L50" s="62" t="str">
        <f aca="false">IF(COUNTA($A50,$F50,$G50,$H50,$I50,$J50)=0,"",IF($M50=0,"✖ كود الصف غير موجود",IF(ISNA(MATCH($F50,Lists!$A$2:$A$5,0)),"✖ الفترة غير صحيحة",IF(ISNA(MATCH($G50,Lists!$B$2:$B$7,0)),"✖ المجموعة غير صحيحة",IF(NOT(OR($H50="",$N50&gt;0)),"✖ Start غير صحيح",IF(NOT(OR($I50="",$I50="NR",$O50&gt;0)),"✖ Current غير صحيح",IF(NOT(IF(ISNUMBER($J50),AND($J50&gt;=0,$J50=INT($J50)),FALSE())),"✖ العدد يجب أن يكون صحيحًا ≥ 0",IF(AND($F50="Baseline",$H50&lt;&gt;""),"⚠ Baseline: Start لا يدخل في التقدم",IF($K50="No Start (attainment only)","ℹ تحصيل فقط (بدون Start)",IF($K50="U – needs rule","ℹ حالة U تحتاج قاعدة معتمدة",IF($K50="No result","ℹ بدون نتيجة (يُستبعد من التحصيل)","OK")))))))))))</f>
        <v/>
      </c>
      <c r="M50" s="64" t="n">
        <f aca="false">IF($A50="",0,IFERROR(MATCH($A50,Classes!$A$6:$A$420,0),0))</f>
        <v>0</v>
      </c>
      <c r="N50" s="64" t="n">
        <f aca="false">IF($H50="",0,IFERROR(MATCH($H50,GradeList,0),0))</f>
        <v>0</v>
      </c>
      <c r="O50" s="64" t="n">
        <f aca="false">IF(OR($I50="",$I50="NR"),0,IFERROR(MATCH($I50,GradeList,0),0))</f>
        <v>0</v>
      </c>
      <c r="P50" s="64" t="n">
        <f aca="false">IF(AND($M50&gt;0,ISNUMBER(MATCH($F50,Lists!$A$2:$A$5,0)),ISNUMBER(MATCH($G50,Lists!$B$2:$B$7,0)),OR($H50="",$N50&gt;0),OR($I50="",$I50="NR",$O50&gt;0),IF(ISNUMBER($J50),AND($J50&gt;=0,$J50=INT($J50)),FALSE())),$J50,0)</f>
        <v>0</v>
      </c>
      <c r="Q50" s="64" t="n">
        <f aca="false">IF(AND($P50&gt;0,$O50&gt;0),$P50,0)</f>
        <v>0</v>
      </c>
      <c r="R50" s="64" t="n">
        <f aca="false">IF(AND($Q50&gt;0,$O50&gt;=AtRank),$Q50,0)</f>
        <v>0</v>
      </c>
      <c r="S50" s="64" t="n">
        <f aca="false">IF(AND($Q50&gt;0,$O50&gt;=AboveRank),$Q50,0)</f>
        <v>0</v>
      </c>
      <c r="T50" s="64" t="n">
        <f aca="false">IF($K50="Less",$P50,0)</f>
        <v>0</v>
      </c>
      <c r="U50" s="64" t="n">
        <f aca="false">IF($K50="Expected",$P50,0)</f>
        <v>0</v>
      </c>
      <c r="V50" s="64" t="n">
        <f aca="false">IF($K50="Better",$P50,0)</f>
        <v>0</v>
      </c>
      <c r="W50" s="64" t="n">
        <f aca="false">IF($K50="U – needs rule",$P50,0)</f>
        <v>0</v>
      </c>
      <c r="X50" s="64" t="n">
        <f aca="false">IF($K50="No Start (attainment only)",$P50,0)</f>
        <v>0</v>
      </c>
    </row>
    <row r="51" customFormat="false" ht="15" hidden="false" customHeight="false" outlineLevel="0" collapsed="false">
      <c r="A51" s="60"/>
      <c r="B51" s="61" t="str">
        <f aca="false">IF($M51=0,"",INDEX(Classes!$E$6:$E$420,$M51))</f>
        <v/>
      </c>
      <c r="C51" s="62" t="str">
        <f aca="false">IF($M51=0,"",INDEX(Classes!$H$6:$H$420,$M51))</f>
        <v/>
      </c>
      <c r="D51" s="61" t="str">
        <f aca="false">IF($M51=0,"",INDEX(Classes!$B$6:$B$420,$M51))</f>
        <v/>
      </c>
      <c r="E51" s="61" t="str">
        <f aca="false">IF($M51=0,"",INDEX(Classes!$C$6:$C$420,$M51))</f>
        <v/>
      </c>
      <c r="F51" s="63"/>
      <c r="G51" s="63"/>
      <c r="H51" s="60"/>
      <c r="I51" s="60"/>
      <c r="J51" s="63"/>
      <c r="K51" s="61" t="str">
        <f aca="false">IF($P51=0,"",IF($F51="Baseline","— Baseline",IF($O51=0,"No result",IF($N51=0,"No Start (attainment only)",IF(OR($N51=1,$O51=1),"U – needs rule",INDEX(MxBody,MATCH($I51,MxCurr,0),MATCH($H51,MxStart,0)))))))</f>
        <v/>
      </c>
      <c r="L51" s="62" t="str">
        <f aca="false">IF(COUNTA($A51,$F51,$G51,$H51,$I51,$J51)=0,"",IF($M51=0,"✖ كود الصف غير موجود",IF(ISNA(MATCH($F51,Lists!$A$2:$A$5,0)),"✖ الفترة غير صحيحة",IF(ISNA(MATCH($G51,Lists!$B$2:$B$7,0)),"✖ المجموعة غير صحيحة",IF(NOT(OR($H51="",$N51&gt;0)),"✖ Start غير صحيح",IF(NOT(OR($I51="",$I51="NR",$O51&gt;0)),"✖ Current غير صحيح",IF(NOT(IF(ISNUMBER($J51),AND($J51&gt;=0,$J51=INT($J51)),FALSE())),"✖ العدد يجب أن يكون صحيحًا ≥ 0",IF(AND($F51="Baseline",$H51&lt;&gt;""),"⚠ Baseline: Start لا يدخل في التقدم",IF($K51="No Start (attainment only)","ℹ تحصيل فقط (بدون Start)",IF($K51="U – needs rule","ℹ حالة U تحتاج قاعدة معتمدة",IF($K51="No result","ℹ بدون نتيجة (يُستبعد من التحصيل)","OK")))))))))))</f>
        <v/>
      </c>
      <c r="M51" s="64" t="n">
        <f aca="false">IF($A51="",0,IFERROR(MATCH($A51,Classes!$A$6:$A$420,0),0))</f>
        <v>0</v>
      </c>
      <c r="N51" s="64" t="n">
        <f aca="false">IF($H51="",0,IFERROR(MATCH($H51,GradeList,0),0))</f>
        <v>0</v>
      </c>
      <c r="O51" s="64" t="n">
        <f aca="false">IF(OR($I51="",$I51="NR"),0,IFERROR(MATCH($I51,GradeList,0),0))</f>
        <v>0</v>
      </c>
      <c r="P51" s="64" t="n">
        <f aca="false">IF(AND($M51&gt;0,ISNUMBER(MATCH($F51,Lists!$A$2:$A$5,0)),ISNUMBER(MATCH($G51,Lists!$B$2:$B$7,0)),OR($H51="",$N51&gt;0),OR($I51="",$I51="NR",$O51&gt;0),IF(ISNUMBER($J51),AND($J51&gt;=0,$J51=INT($J51)),FALSE())),$J51,0)</f>
        <v>0</v>
      </c>
      <c r="Q51" s="64" t="n">
        <f aca="false">IF(AND($P51&gt;0,$O51&gt;0),$P51,0)</f>
        <v>0</v>
      </c>
      <c r="R51" s="64" t="n">
        <f aca="false">IF(AND($Q51&gt;0,$O51&gt;=AtRank),$Q51,0)</f>
        <v>0</v>
      </c>
      <c r="S51" s="64" t="n">
        <f aca="false">IF(AND($Q51&gt;0,$O51&gt;=AboveRank),$Q51,0)</f>
        <v>0</v>
      </c>
      <c r="T51" s="64" t="n">
        <f aca="false">IF($K51="Less",$P51,0)</f>
        <v>0</v>
      </c>
      <c r="U51" s="64" t="n">
        <f aca="false">IF($K51="Expected",$P51,0)</f>
        <v>0</v>
      </c>
      <c r="V51" s="64" t="n">
        <f aca="false">IF($K51="Better",$P51,0)</f>
        <v>0</v>
      </c>
      <c r="W51" s="64" t="n">
        <f aca="false">IF($K51="U – needs rule",$P51,0)</f>
        <v>0</v>
      </c>
      <c r="X51" s="64" t="n">
        <f aca="false">IF($K51="No Start (attainment only)",$P51,0)</f>
        <v>0</v>
      </c>
    </row>
    <row r="52" customFormat="false" ht="15" hidden="false" customHeight="false" outlineLevel="0" collapsed="false">
      <c r="A52" s="60"/>
      <c r="B52" s="61" t="str">
        <f aca="false">IF($M52=0,"",INDEX(Classes!$E$6:$E$420,$M52))</f>
        <v/>
      </c>
      <c r="C52" s="62" t="str">
        <f aca="false">IF($M52=0,"",INDEX(Classes!$H$6:$H$420,$M52))</f>
        <v/>
      </c>
      <c r="D52" s="61" t="str">
        <f aca="false">IF($M52=0,"",INDEX(Classes!$B$6:$B$420,$M52))</f>
        <v/>
      </c>
      <c r="E52" s="61" t="str">
        <f aca="false">IF($M52=0,"",INDEX(Classes!$C$6:$C$420,$M52))</f>
        <v/>
      </c>
      <c r="F52" s="63"/>
      <c r="G52" s="63"/>
      <c r="H52" s="60"/>
      <c r="I52" s="60"/>
      <c r="J52" s="63"/>
      <c r="K52" s="61" t="str">
        <f aca="false">IF($P52=0,"",IF($F52="Baseline","— Baseline",IF($O52=0,"No result",IF($N52=0,"No Start (attainment only)",IF(OR($N52=1,$O52=1),"U – needs rule",INDEX(MxBody,MATCH($I52,MxCurr,0),MATCH($H52,MxStart,0)))))))</f>
        <v/>
      </c>
      <c r="L52" s="62" t="str">
        <f aca="false">IF(COUNTA($A52,$F52,$G52,$H52,$I52,$J52)=0,"",IF($M52=0,"✖ كود الصف غير موجود",IF(ISNA(MATCH($F52,Lists!$A$2:$A$5,0)),"✖ الفترة غير صحيحة",IF(ISNA(MATCH($G52,Lists!$B$2:$B$7,0)),"✖ المجموعة غير صحيحة",IF(NOT(OR($H52="",$N52&gt;0)),"✖ Start غير صحيح",IF(NOT(OR($I52="",$I52="NR",$O52&gt;0)),"✖ Current غير صحيح",IF(NOT(IF(ISNUMBER($J52),AND($J52&gt;=0,$J52=INT($J52)),FALSE())),"✖ العدد يجب أن يكون صحيحًا ≥ 0",IF(AND($F52="Baseline",$H52&lt;&gt;""),"⚠ Baseline: Start لا يدخل في التقدم",IF($K52="No Start (attainment only)","ℹ تحصيل فقط (بدون Start)",IF($K52="U – needs rule","ℹ حالة U تحتاج قاعدة معتمدة",IF($K52="No result","ℹ بدون نتيجة (يُستبعد من التحصيل)","OK")))))))))))</f>
        <v/>
      </c>
      <c r="M52" s="64" t="n">
        <f aca="false">IF($A52="",0,IFERROR(MATCH($A52,Classes!$A$6:$A$420,0),0))</f>
        <v>0</v>
      </c>
      <c r="N52" s="64" t="n">
        <f aca="false">IF($H52="",0,IFERROR(MATCH($H52,GradeList,0),0))</f>
        <v>0</v>
      </c>
      <c r="O52" s="64" t="n">
        <f aca="false">IF(OR($I52="",$I52="NR"),0,IFERROR(MATCH($I52,GradeList,0),0))</f>
        <v>0</v>
      </c>
      <c r="P52" s="64" t="n">
        <f aca="false">IF(AND($M52&gt;0,ISNUMBER(MATCH($F52,Lists!$A$2:$A$5,0)),ISNUMBER(MATCH($G52,Lists!$B$2:$B$7,0)),OR($H52="",$N52&gt;0),OR($I52="",$I52="NR",$O52&gt;0),IF(ISNUMBER($J52),AND($J52&gt;=0,$J52=INT($J52)),FALSE())),$J52,0)</f>
        <v>0</v>
      </c>
      <c r="Q52" s="64" t="n">
        <f aca="false">IF(AND($P52&gt;0,$O52&gt;0),$P52,0)</f>
        <v>0</v>
      </c>
      <c r="R52" s="64" t="n">
        <f aca="false">IF(AND($Q52&gt;0,$O52&gt;=AtRank),$Q52,0)</f>
        <v>0</v>
      </c>
      <c r="S52" s="64" t="n">
        <f aca="false">IF(AND($Q52&gt;0,$O52&gt;=AboveRank),$Q52,0)</f>
        <v>0</v>
      </c>
      <c r="T52" s="64" t="n">
        <f aca="false">IF($K52="Less",$P52,0)</f>
        <v>0</v>
      </c>
      <c r="U52" s="64" t="n">
        <f aca="false">IF($K52="Expected",$P52,0)</f>
        <v>0</v>
      </c>
      <c r="V52" s="64" t="n">
        <f aca="false">IF($K52="Better",$P52,0)</f>
        <v>0</v>
      </c>
      <c r="W52" s="64" t="n">
        <f aca="false">IF($K52="U – needs rule",$P52,0)</f>
        <v>0</v>
      </c>
      <c r="X52" s="64" t="n">
        <f aca="false">IF($K52="No Start (attainment only)",$P52,0)</f>
        <v>0</v>
      </c>
    </row>
    <row r="53" customFormat="false" ht="15" hidden="false" customHeight="false" outlineLevel="0" collapsed="false">
      <c r="A53" s="60"/>
      <c r="B53" s="61" t="str">
        <f aca="false">IF($M53=0,"",INDEX(Classes!$E$6:$E$420,$M53))</f>
        <v/>
      </c>
      <c r="C53" s="62" t="str">
        <f aca="false">IF($M53=0,"",INDEX(Classes!$H$6:$H$420,$M53))</f>
        <v/>
      </c>
      <c r="D53" s="61" t="str">
        <f aca="false">IF($M53=0,"",INDEX(Classes!$B$6:$B$420,$M53))</f>
        <v/>
      </c>
      <c r="E53" s="61" t="str">
        <f aca="false">IF($M53=0,"",INDEX(Classes!$C$6:$C$420,$M53))</f>
        <v/>
      </c>
      <c r="F53" s="63"/>
      <c r="G53" s="63"/>
      <c r="H53" s="60"/>
      <c r="I53" s="60"/>
      <c r="J53" s="63"/>
      <c r="K53" s="61" t="str">
        <f aca="false">IF($P53=0,"",IF($F53="Baseline","— Baseline",IF($O53=0,"No result",IF($N53=0,"No Start (attainment only)",IF(OR($N53=1,$O53=1),"U – needs rule",INDEX(MxBody,MATCH($I53,MxCurr,0),MATCH($H53,MxStart,0)))))))</f>
        <v/>
      </c>
      <c r="L53" s="62" t="str">
        <f aca="false">IF(COUNTA($A53,$F53,$G53,$H53,$I53,$J53)=0,"",IF($M53=0,"✖ كود الصف غير موجود",IF(ISNA(MATCH($F53,Lists!$A$2:$A$5,0)),"✖ الفترة غير صحيحة",IF(ISNA(MATCH($G53,Lists!$B$2:$B$7,0)),"✖ المجموعة غير صحيحة",IF(NOT(OR($H53="",$N53&gt;0)),"✖ Start غير صحيح",IF(NOT(OR($I53="",$I53="NR",$O53&gt;0)),"✖ Current غير صحيح",IF(NOT(IF(ISNUMBER($J53),AND($J53&gt;=0,$J53=INT($J53)),FALSE())),"✖ العدد يجب أن يكون صحيحًا ≥ 0",IF(AND($F53="Baseline",$H53&lt;&gt;""),"⚠ Baseline: Start لا يدخل في التقدم",IF($K53="No Start (attainment only)","ℹ تحصيل فقط (بدون Start)",IF($K53="U – needs rule","ℹ حالة U تحتاج قاعدة معتمدة",IF($K53="No result","ℹ بدون نتيجة (يُستبعد من التحصيل)","OK")))))))))))</f>
        <v/>
      </c>
      <c r="M53" s="64" t="n">
        <f aca="false">IF($A53="",0,IFERROR(MATCH($A53,Classes!$A$6:$A$420,0),0))</f>
        <v>0</v>
      </c>
      <c r="N53" s="64" t="n">
        <f aca="false">IF($H53="",0,IFERROR(MATCH($H53,GradeList,0),0))</f>
        <v>0</v>
      </c>
      <c r="O53" s="64" t="n">
        <f aca="false">IF(OR($I53="",$I53="NR"),0,IFERROR(MATCH($I53,GradeList,0),0))</f>
        <v>0</v>
      </c>
      <c r="P53" s="64" t="n">
        <f aca="false">IF(AND($M53&gt;0,ISNUMBER(MATCH($F53,Lists!$A$2:$A$5,0)),ISNUMBER(MATCH($G53,Lists!$B$2:$B$7,0)),OR($H53="",$N53&gt;0),OR($I53="",$I53="NR",$O53&gt;0),IF(ISNUMBER($J53),AND($J53&gt;=0,$J53=INT($J53)),FALSE())),$J53,0)</f>
        <v>0</v>
      </c>
      <c r="Q53" s="64" t="n">
        <f aca="false">IF(AND($P53&gt;0,$O53&gt;0),$P53,0)</f>
        <v>0</v>
      </c>
      <c r="R53" s="64" t="n">
        <f aca="false">IF(AND($Q53&gt;0,$O53&gt;=AtRank),$Q53,0)</f>
        <v>0</v>
      </c>
      <c r="S53" s="64" t="n">
        <f aca="false">IF(AND($Q53&gt;0,$O53&gt;=AboveRank),$Q53,0)</f>
        <v>0</v>
      </c>
      <c r="T53" s="64" t="n">
        <f aca="false">IF($K53="Less",$P53,0)</f>
        <v>0</v>
      </c>
      <c r="U53" s="64" t="n">
        <f aca="false">IF($K53="Expected",$P53,0)</f>
        <v>0</v>
      </c>
      <c r="V53" s="64" t="n">
        <f aca="false">IF($K53="Better",$P53,0)</f>
        <v>0</v>
      </c>
      <c r="W53" s="64" t="n">
        <f aca="false">IF($K53="U – needs rule",$P53,0)</f>
        <v>0</v>
      </c>
      <c r="X53" s="64" t="n">
        <f aca="false">IF($K53="No Start (attainment only)",$P53,0)</f>
        <v>0</v>
      </c>
    </row>
    <row r="54" customFormat="false" ht="15" hidden="false" customHeight="false" outlineLevel="0" collapsed="false">
      <c r="A54" s="60"/>
      <c r="B54" s="61" t="str">
        <f aca="false">IF($M54=0,"",INDEX(Classes!$E$6:$E$420,$M54))</f>
        <v/>
      </c>
      <c r="C54" s="62" t="str">
        <f aca="false">IF($M54=0,"",INDEX(Classes!$H$6:$H$420,$M54))</f>
        <v/>
      </c>
      <c r="D54" s="61" t="str">
        <f aca="false">IF($M54=0,"",INDEX(Classes!$B$6:$B$420,$M54))</f>
        <v/>
      </c>
      <c r="E54" s="61" t="str">
        <f aca="false">IF($M54=0,"",INDEX(Classes!$C$6:$C$420,$M54))</f>
        <v/>
      </c>
      <c r="F54" s="63"/>
      <c r="G54" s="63"/>
      <c r="H54" s="60"/>
      <c r="I54" s="60"/>
      <c r="J54" s="63"/>
      <c r="K54" s="61" t="str">
        <f aca="false">IF($P54=0,"",IF($F54="Baseline","— Baseline",IF($O54=0,"No result",IF($N54=0,"No Start (attainment only)",IF(OR($N54=1,$O54=1),"U – needs rule",INDEX(MxBody,MATCH($I54,MxCurr,0),MATCH($H54,MxStart,0)))))))</f>
        <v/>
      </c>
      <c r="L54" s="62" t="str">
        <f aca="false">IF(COUNTA($A54,$F54,$G54,$H54,$I54,$J54)=0,"",IF($M54=0,"✖ كود الصف غير موجود",IF(ISNA(MATCH($F54,Lists!$A$2:$A$5,0)),"✖ الفترة غير صحيحة",IF(ISNA(MATCH($G54,Lists!$B$2:$B$7,0)),"✖ المجموعة غير صحيحة",IF(NOT(OR($H54="",$N54&gt;0)),"✖ Start غير صحيح",IF(NOT(OR($I54="",$I54="NR",$O54&gt;0)),"✖ Current غير صحيح",IF(NOT(IF(ISNUMBER($J54),AND($J54&gt;=0,$J54=INT($J54)),FALSE())),"✖ العدد يجب أن يكون صحيحًا ≥ 0",IF(AND($F54="Baseline",$H54&lt;&gt;""),"⚠ Baseline: Start لا يدخل في التقدم",IF($K54="No Start (attainment only)","ℹ تحصيل فقط (بدون Start)",IF($K54="U – needs rule","ℹ حالة U تحتاج قاعدة معتمدة",IF($K54="No result","ℹ بدون نتيجة (يُستبعد من التحصيل)","OK")))))))))))</f>
        <v/>
      </c>
      <c r="M54" s="64" t="n">
        <f aca="false">IF($A54="",0,IFERROR(MATCH($A54,Classes!$A$6:$A$420,0),0))</f>
        <v>0</v>
      </c>
      <c r="N54" s="64" t="n">
        <f aca="false">IF($H54="",0,IFERROR(MATCH($H54,GradeList,0),0))</f>
        <v>0</v>
      </c>
      <c r="O54" s="64" t="n">
        <f aca="false">IF(OR($I54="",$I54="NR"),0,IFERROR(MATCH($I54,GradeList,0),0))</f>
        <v>0</v>
      </c>
      <c r="P54" s="64" t="n">
        <f aca="false">IF(AND($M54&gt;0,ISNUMBER(MATCH($F54,Lists!$A$2:$A$5,0)),ISNUMBER(MATCH($G54,Lists!$B$2:$B$7,0)),OR($H54="",$N54&gt;0),OR($I54="",$I54="NR",$O54&gt;0),IF(ISNUMBER($J54),AND($J54&gt;=0,$J54=INT($J54)),FALSE())),$J54,0)</f>
        <v>0</v>
      </c>
      <c r="Q54" s="64" t="n">
        <f aca="false">IF(AND($P54&gt;0,$O54&gt;0),$P54,0)</f>
        <v>0</v>
      </c>
      <c r="R54" s="64" t="n">
        <f aca="false">IF(AND($Q54&gt;0,$O54&gt;=AtRank),$Q54,0)</f>
        <v>0</v>
      </c>
      <c r="S54" s="64" t="n">
        <f aca="false">IF(AND($Q54&gt;0,$O54&gt;=AboveRank),$Q54,0)</f>
        <v>0</v>
      </c>
      <c r="T54" s="64" t="n">
        <f aca="false">IF($K54="Less",$P54,0)</f>
        <v>0</v>
      </c>
      <c r="U54" s="64" t="n">
        <f aca="false">IF($K54="Expected",$P54,0)</f>
        <v>0</v>
      </c>
      <c r="V54" s="64" t="n">
        <f aca="false">IF($K54="Better",$P54,0)</f>
        <v>0</v>
      </c>
      <c r="W54" s="64" t="n">
        <f aca="false">IF($K54="U – needs rule",$P54,0)</f>
        <v>0</v>
      </c>
      <c r="X54" s="64" t="n">
        <f aca="false">IF($K54="No Start (attainment only)",$P54,0)</f>
        <v>0</v>
      </c>
    </row>
    <row r="55" customFormat="false" ht="15" hidden="false" customHeight="false" outlineLevel="0" collapsed="false">
      <c r="A55" s="60"/>
      <c r="B55" s="61" t="str">
        <f aca="false">IF($M55=0,"",INDEX(Classes!$E$6:$E$420,$M55))</f>
        <v/>
      </c>
      <c r="C55" s="62" t="str">
        <f aca="false">IF($M55=0,"",INDEX(Classes!$H$6:$H$420,$M55))</f>
        <v/>
      </c>
      <c r="D55" s="61" t="str">
        <f aca="false">IF($M55=0,"",INDEX(Classes!$B$6:$B$420,$M55))</f>
        <v/>
      </c>
      <c r="E55" s="61" t="str">
        <f aca="false">IF($M55=0,"",INDEX(Classes!$C$6:$C$420,$M55))</f>
        <v/>
      </c>
      <c r="F55" s="63"/>
      <c r="G55" s="63"/>
      <c r="H55" s="60"/>
      <c r="I55" s="60"/>
      <c r="J55" s="63"/>
      <c r="K55" s="61" t="str">
        <f aca="false">IF($P55=0,"",IF($F55="Baseline","— Baseline",IF($O55=0,"No result",IF($N55=0,"No Start (attainment only)",IF(OR($N55=1,$O55=1),"U – needs rule",INDEX(MxBody,MATCH($I55,MxCurr,0),MATCH($H55,MxStart,0)))))))</f>
        <v/>
      </c>
      <c r="L55" s="62" t="str">
        <f aca="false">IF(COUNTA($A55,$F55,$G55,$H55,$I55,$J55)=0,"",IF($M55=0,"✖ كود الصف غير موجود",IF(ISNA(MATCH($F55,Lists!$A$2:$A$5,0)),"✖ الفترة غير صحيحة",IF(ISNA(MATCH($G55,Lists!$B$2:$B$7,0)),"✖ المجموعة غير صحيحة",IF(NOT(OR($H55="",$N55&gt;0)),"✖ Start غير صحيح",IF(NOT(OR($I55="",$I55="NR",$O55&gt;0)),"✖ Current غير صحيح",IF(NOT(IF(ISNUMBER($J55),AND($J55&gt;=0,$J55=INT($J55)),FALSE())),"✖ العدد يجب أن يكون صحيحًا ≥ 0",IF(AND($F55="Baseline",$H55&lt;&gt;""),"⚠ Baseline: Start لا يدخل في التقدم",IF($K55="No Start (attainment only)","ℹ تحصيل فقط (بدون Start)",IF($K55="U – needs rule","ℹ حالة U تحتاج قاعدة معتمدة",IF($K55="No result","ℹ بدون نتيجة (يُستبعد من التحصيل)","OK")))))))))))</f>
        <v/>
      </c>
      <c r="M55" s="64" t="n">
        <f aca="false">IF($A55="",0,IFERROR(MATCH($A55,Classes!$A$6:$A$420,0),0))</f>
        <v>0</v>
      </c>
      <c r="N55" s="64" t="n">
        <f aca="false">IF($H55="",0,IFERROR(MATCH($H55,GradeList,0),0))</f>
        <v>0</v>
      </c>
      <c r="O55" s="64" t="n">
        <f aca="false">IF(OR($I55="",$I55="NR"),0,IFERROR(MATCH($I55,GradeList,0),0))</f>
        <v>0</v>
      </c>
      <c r="P55" s="64" t="n">
        <f aca="false">IF(AND($M55&gt;0,ISNUMBER(MATCH($F55,Lists!$A$2:$A$5,0)),ISNUMBER(MATCH($G55,Lists!$B$2:$B$7,0)),OR($H55="",$N55&gt;0),OR($I55="",$I55="NR",$O55&gt;0),IF(ISNUMBER($J55),AND($J55&gt;=0,$J55=INT($J55)),FALSE())),$J55,0)</f>
        <v>0</v>
      </c>
      <c r="Q55" s="64" t="n">
        <f aca="false">IF(AND($P55&gt;0,$O55&gt;0),$P55,0)</f>
        <v>0</v>
      </c>
      <c r="R55" s="64" t="n">
        <f aca="false">IF(AND($Q55&gt;0,$O55&gt;=AtRank),$Q55,0)</f>
        <v>0</v>
      </c>
      <c r="S55" s="64" t="n">
        <f aca="false">IF(AND($Q55&gt;0,$O55&gt;=AboveRank),$Q55,0)</f>
        <v>0</v>
      </c>
      <c r="T55" s="64" t="n">
        <f aca="false">IF($K55="Less",$P55,0)</f>
        <v>0</v>
      </c>
      <c r="U55" s="64" t="n">
        <f aca="false">IF($K55="Expected",$P55,0)</f>
        <v>0</v>
      </c>
      <c r="V55" s="64" t="n">
        <f aca="false">IF($K55="Better",$P55,0)</f>
        <v>0</v>
      </c>
      <c r="W55" s="64" t="n">
        <f aca="false">IF($K55="U – needs rule",$P55,0)</f>
        <v>0</v>
      </c>
      <c r="X55" s="64" t="n">
        <f aca="false">IF($K55="No Start (attainment only)",$P55,0)</f>
        <v>0</v>
      </c>
    </row>
    <row r="56" customFormat="false" ht="15" hidden="false" customHeight="false" outlineLevel="0" collapsed="false">
      <c r="A56" s="60"/>
      <c r="B56" s="61" t="str">
        <f aca="false">IF($M56=0,"",INDEX(Classes!$E$6:$E$420,$M56))</f>
        <v/>
      </c>
      <c r="C56" s="62" t="str">
        <f aca="false">IF($M56=0,"",INDEX(Classes!$H$6:$H$420,$M56))</f>
        <v/>
      </c>
      <c r="D56" s="61" t="str">
        <f aca="false">IF($M56=0,"",INDEX(Classes!$B$6:$B$420,$M56))</f>
        <v/>
      </c>
      <c r="E56" s="61" t="str">
        <f aca="false">IF($M56=0,"",INDEX(Classes!$C$6:$C$420,$M56))</f>
        <v/>
      </c>
      <c r="F56" s="63"/>
      <c r="G56" s="63"/>
      <c r="H56" s="60"/>
      <c r="I56" s="60"/>
      <c r="J56" s="63"/>
      <c r="K56" s="61" t="str">
        <f aca="false">IF($P56=0,"",IF($F56="Baseline","— Baseline",IF($O56=0,"No result",IF($N56=0,"No Start (attainment only)",IF(OR($N56=1,$O56=1),"U – needs rule",INDEX(MxBody,MATCH($I56,MxCurr,0),MATCH($H56,MxStart,0)))))))</f>
        <v/>
      </c>
      <c r="L56" s="62" t="str">
        <f aca="false">IF(COUNTA($A56,$F56,$G56,$H56,$I56,$J56)=0,"",IF($M56=0,"✖ كود الصف غير موجود",IF(ISNA(MATCH($F56,Lists!$A$2:$A$5,0)),"✖ الفترة غير صحيحة",IF(ISNA(MATCH($G56,Lists!$B$2:$B$7,0)),"✖ المجموعة غير صحيحة",IF(NOT(OR($H56="",$N56&gt;0)),"✖ Start غير صحيح",IF(NOT(OR($I56="",$I56="NR",$O56&gt;0)),"✖ Current غير صحيح",IF(NOT(IF(ISNUMBER($J56),AND($J56&gt;=0,$J56=INT($J56)),FALSE())),"✖ العدد يجب أن يكون صحيحًا ≥ 0",IF(AND($F56="Baseline",$H56&lt;&gt;""),"⚠ Baseline: Start لا يدخل في التقدم",IF($K56="No Start (attainment only)","ℹ تحصيل فقط (بدون Start)",IF($K56="U – needs rule","ℹ حالة U تحتاج قاعدة معتمدة",IF($K56="No result","ℹ بدون نتيجة (يُستبعد من التحصيل)","OK")))))))))))</f>
        <v/>
      </c>
      <c r="M56" s="64" t="n">
        <f aca="false">IF($A56="",0,IFERROR(MATCH($A56,Classes!$A$6:$A$420,0),0))</f>
        <v>0</v>
      </c>
      <c r="N56" s="64" t="n">
        <f aca="false">IF($H56="",0,IFERROR(MATCH($H56,GradeList,0),0))</f>
        <v>0</v>
      </c>
      <c r="O56" s="64" t="n">
        <f aca="false">IF(OR($I56="",$I56="NR"),0,IFERROR(MATCH($I56,GradeList,0),0))</f>
        <v>0</v>
      </c>
      <c r="P56" s="64" t="n">
        <f aca="false">IF(AND($M56&gt;0,ISNUMBER(MATCH($F56,Lists!$A$2:$A$5,0)),ISNUMBER(MATCH($G56,Lists!$B$2:$B$7,0)),OR($H56="",$N56&gt;0),OR($I56="",$I56="NR",$O56&gt;0),IF(ISNUMBER($J56),AND($J56&gt;=0,$J56=INT($J56)),FALSE())),$J56,0)</f>
        <v>0</v>
      </c>
      <c r="Q56" s="64" t="n">
        <f aca="false">IF(AND($P56&gt;0,$O56&gt;0),$P56,0)</f>
        <v>0</v>
      </c>
      <c r="R56" s="64" t="n">
        <f aca="false">IF(AND($Q56&gt;0,$O56&gt;=AtRank),$Q56,0)</f>
        <v>0</v>
      </c>
      <c r="S56" s="64" t="n">
        <f aca="false">IF(AND($Q56&gt;0,$O56&gt;=AboveRank),$Q56,0)</f>
        <v>0</v>
      </c>
      <c r="T56" s="64" t="n">
        <f aca="false">IF($K56="Less",$P56,0)</f>
        <v>0</v>
      </c>
      <c r="U56" s="64" t="n">
        <f aca="false">IF($K56="Expected",$P56,0)</f>
        <v>0</v>
      </c>
      <c r="V56" s="64" t="n">
        <f aca="false">IF($K56="Better",$P56,0)</f>
        <v>0</v>
      </c>
      <c r="W56" s="64" t="n">
        <f aca="false">IF($K56="U – needs rule",$P56,0)</f>
        <v>0</v>
      </c>
      <c r="X56" s="64" t="n">
        <f aca="false">IF($K56="No Start (attainment only)",$P56,0)</f>
        <v>0</v>
      </c>
    </row>
    <row r="57" customFormat="false" ht="15" hidden="false" customHeight="false" outlineLevel="0" collapsed="false">
      <c r="A57" s="60"/>
      <c r="B57" s="61" t="str">
        <f aca="false">IF($M57=0,"",INDEX(Classes!$E$6:$E$420,$M57))</f>
        <v/>
      </c>
      <c r="C57" s="62" t="str">
        <f aca="false">IF($M57=0,"",INDEX(Classes!$H$6:$H$420,$M57))</f>
        <v/>
      </c>
      <c r="D57" s="61" t="str">
        <f aca="false">IF($M57=0,"",INDEX(Classes!$B$6:$B$420,$M57))</f>
        <v/>
      </c>
      <c r="E57" s="61" t="str">
        <f aca="false">IF($M57=0,"",INDEX(Classes!$C$6:$C$420,$M57))</f>
        <v/>
      </c>
      <c r="F57" s="63"/>
      <c r="G57" s="63"/>
      <c r="H57" s="60"/>
      <c r="I57" s="60"/>
      <c r="J57" s="63"/>
      <c r="K57" s="61" t="str">
        <f aca="false">IF($P57=0,"",IF($F57="Baseline","— Baseline",IF($O57=0,"No result",IF($N57=0,"No Start (attainment only)",IF(OR($N57=1,$O57=1),"U – needs rule",INDEX(MxBody,MATCH($I57,MxCurr,0),MATCH($H57,MxStart,0)))))))</f>
        <v/>
      </c>
      <c r="L57" s="62" t="str">
        <f aca="false">IF(COUNTA($A57,$F57,$G57,$H57,$I57,$J57)=0,"",IF($M57=0,"✖ كود الصف غير موجود",IF(ISNA(MATCH($F57,Lists!$A$2:$A$5,0)),"✖ الفترة غير صحيحة",IF(ISNA(MATCH($G57,Lists!$B$2:$B$7,0)),"✖ المجموعة غير صحيحة",IF(NOT(OR($H57="",$N57&gt;0)),"✖ Start غير صحيح",IF(NOT(OR($I57="",$I57="NR",$O57&gt;0)),"✖ Current غير صحيح",IF(NOT(IF(ISNUMBER($J57),AND($J57&gt;=0,$J57=INT($J57)),FALSE())),"✖ العدد يجب أن يكون صحيحًا ≥ 0",IF(AND($F57="Baseline",$H57&lt;&gt;""),"⚠ Baseline: Start لا يدخل في التقدم",IF($K57="No Start (attainment only)","ℹ تحصيل فقط (بدون Start)",IF($K57="U – needs rule","ℹ حالة U تحتاج قاعدة معتمدة",IF($K57="No result","ℹ بدون نتيجة (يُستبعد من التحصيل)","OK")))))))))))</f>
        <v/>
      </c>
      <c r="M57" s="64" t="n">
        <f aca="false">IF($A57="",0,IFERROR(MATCH($A57,Classes!$A$6:$A$420,0),0))</f>
        <v>0</v>
      </c>
      <c r="N57" s="64" t="n">
        <f aca="false">IF($H57="",0,IFERROR(MATCH($H57,GradeList,0),0))</f>
        <v>0</v>
      </c>
      <c r="O57" s="64" t="n">
        <f aca="false">IF(OR($I57="",$I57="NR"),0,IFERROR(MATCH($I57,GradeList,0),0))</f>
        <v>0</v>
      </c>
      <c r="P57" s="64" t="n">
        <f aca="false">IF(AND($M57&gt;0,ISNUMBER(MATCH($F57,Lists!$A$2:$A$5,0)),ISNUMBER(MATCH($G57,Lists!$B$2:$B$7,0)),OR($H57="",$N57&gt;0),OR($I57="",$I57="NR",$O57&gt;0),IF(ISNUMBER($J57),AND($J57&gt;=0,$J57=INT($J57)),FALSE())),$J57,0)</f>
        <v>0</v>
      </c>
      <c r="Q57" s="64" t="n">
        <f aca="false">IF(AND($P57&gt;0,$O57&gt;0),$P57,0)</f>
        <v>0</v>
      </c>
      <c r="R57" s="64" t="n">
        <f aca="false">IF(AND($Q57&gt;0,$O57&gt;=AtRank),$Q57,0)</f>
        <v>0</v>
      </c>
      <c r="S57" s="64" t="n">
        <f aca="false">IF(AND($Q57&gt;0,$O57&gt;=AboveRank),$Q57,0)</f>
        <v>0</v>
      </c>
      <c r="T57" s="64" t="n">
        <f aca="false">IF($K57="Less",$P57,0)</f>
        <v>0</v>
      </c>
      <c r="U57" s="64" t="n">
        <f aca="false">IF($K57="Expected",$P57,0)</f>
        <v>0</v>
      </c>
      <c r="V57" s="64" t="n">
        <f aca="false">IF($K57="Better",$P57,0)</f>
        <v>0</v>
      </c>
      <c r="W57" s="64" t="n">
        <f aca="false">IF($K57="U – needs rule",$P57,0)</f>
        <v>0</v>
      </c>
      <c r="X57" s="64" t="n">
        <f aca="false">IF($K57="No Start (attainment only)",$P57,0)</f>
        <v>0</v>
      </c>
    </row>
    <row r="58" customFormat="false" ht="15" hidden="false" customHeight="false" outlineLevel="0" collapsed="false">
      <c r="A58" s="60"/>
      <c r="B58" s="61" t="str">
        <f aca="false">IF($M58=0,"",INDEX(Classes!$E$6:$E$420,$M58))</f>
        <v/>
      </c>
      <c r="C58" s="62" t="str">
        <f aca="false">IF($M58=0,"",INDEX(Classes!$H$6:$H$420,$M58))</f>
        <v/>
      </c>
      <c r="D58" s="61" t="str">
        <f aca="false">IF($M58=0,"",INDEX(Classes!$B$6:$B$420,$M58))</f>
        <v/>
      </c>
      <c r="E58" s="61" t="str">
        <f aca="false">IF($M58=0,"",INDEX(Classes!$C$6:$C$420,$M58))</f>
        <v/>
      </c>
      <c r="F58" s="63"/>
      <c r="G58" s="63"/>
      <c r="H58" s="60"/>
      <c r="I58" s="60"/>
      <c r="J58" s="63"/>
      <c r="K58" s="61" t="str">
        <f aca="false">IF($P58=0,"",IF($F58="Baseline","— Baseline",IF($O58=0,"No result",IF($N58=0,"No Start (attainment only)",IF(OR($N58=1,$O58=1),"U – needs rule",INDEX(MxBody,MATCH($I58,MxCurr,0),MATCH($H58,MxStart,0)))))))</f>
        <v/>
      </c>
      <c r="L58" s="62" t="str">
        <f aca="false">IF(COUNTA($A58,$F58,$G58,$H58,$I58,$J58)=0,"",IF($M58=0,"✖ كود الصف غير موجود",IF(ISNA(MATCH($F58,Lists!$A$2:$A$5,0)),"✖ الفترة غير صحيحة",IF(ISNA(MATCH($G58,Lists!$B$2:$B$7,0)),"✖ المجموعة غير صحيحة",IF(NOT(OR($H58="",$N58&gt;0)),"✖ Start غير صحيح",IF(NOT(OR($I58="",$I58="NR",$O58&gt;0)),"✖ Current غير صحيح",IF(NOT(IF(ISNUMBER($J58),AND($J58&gt;=0,$J58=INT($J58)),FALSE())),"✖ العدد يجب أن يكون صحيحًا ≥ 0",IF(AND($F58="Baseline",$H58&lt;&gt;""),"⚠ Baseline: Start لا يدخل في التقدم",IF($K58="No Start (attainment only)","ℹ تحصيل فقط (بدون Start)",IF($K58="U – needs rule","ℹ حالة U تحتاج قاعدة معتمدة",IF($K58="No result","ℹ بدون نتيجة (يُستبعد من التحصيل)","OK")))))))))))</f>
        <v/>
      </c>
      <c r="M58" s="64" t="n">
        <f aca="false">IF($A58="",0,IFERROR(MATCH($A58,Classes!$A$6:$A$420,0),0))</f>
        <v>0</v>
      </c>
      <c r="N58" s="64" t="n">
        <f aca="false">IF($H58="",0,IFERROR(MATCH($H58,GradeList,0),0))</f>
        <v>0</v>
      </c>
      <c r="O58" s="64" t="n">
        <f aca="false">IF(OR($I58="",$I58="NR"),0,IFERROR(MATCH($I58,GradeList,0),0))</f>
        <v>0</v>
      </c>
      <c r="P58" s="64" t="n">
        <f aca="false">IF(AND($M58&gt;0,ISNUMBER(MATCH($F58,Lists!$A$2:$A$5,0)),ISNUMBER(MATCH($G58,Lists!$B$2:$B$7,0)),OR($H58="",$N58&gt;0),OR($I58="",$I58="NR",$O58&gt;0),IF(ISNUMBER($J58),AND($J58&gt;=0,$J58=INT($J58)),FALSE())),$J58,0)</f>
        <v>0</v>
      </c>
      <c r="Q58" s="64" t="n">
        <f aca="false">IF(AND($P58&gt;0,$O58&gt;0),$P58,0)</f>
        <v>0</v>
      </c>
      <c r="R58" s="64" t="n">
        <f aca="false">IF(AND($Q58&gt;0,$O58&gt;=AtRank),$Q58,0)</f>
        <v>0</v>
      </c>
      <c r="S58" s="64" t="n">
        <f aca="false">IF(AND($Q58&gt;0,$O58&gt;=AboveRank),$Q58,0)</f>
        <v>0</v>
      </c>
      <c r="T58" s="64" t="n">
        <f aca="false">IF($K58="Less",$P58,0)</f>
        <v>0</v>
      </c>
      <c r="U58" s="64" t="n">
        <f aca="false">IF($K58="Expected",$P58,0)</f>
        <v>0</v>
      </c>
      <c r="V58" s="64" t="n">
        <f aca="false">IF($K58="Better",$P58,0)</f>
        <v>0</v>
      </c>
      <c r="W58" s="64" t="n">
        <f aca="false">IF($K58="U – needs rule",$P58,0)</f>
        <v>0</v>
      </c>
      <c r="X58" s="64" t="n">
        <f aca="false">IF($K58="No Start (attainment only)",$P58,0)</f>
        <v>0</v>
      </c>
    </row>
    <row r="59" customFormat="false" ht="15" hidden="false" customHeight="false" outlineLevel="0" collapsed="false">
      <c r="A59" s="60"/>
      <c r="B59" s="61" t="str">
        <f aca="false">IF($M59=0,"",INDEX(Classes!$E$6:$E$420,$M59))</f>
        <v/>
      </c>
      <c r="C59" s="62" t="str">
        <f aca="false">IF($M59=0,"",INDEX(Classes!$H$6:$H$420,$M59))</f>
        <v/>
      </c>
      <c r="D59" s="61" t="str">
        <f aca="false">IF($M59=0,"",INDEX(Classes!$B$6:$B$420,$M59))</f>
        <v/>
      </c>
      <c r="E59" s="61" t="str">
        <f aca="false">IF($M59=0,"",INDEX(Classes!$C$6:$C$420,$M59))</f>
        <v/>
      </c>
      <c r="F59" s="63"/>
      <c r="G59" s="63"/>
      <c r="H59" s="60"/>
      <c r="I59" s="60"/>
      <c r="J59" s="63"/>
      <c r="K59" s="61" t="str">
        <f aca="false">IF($P59=0,"",IF($F59="Baseline","— Baseline",IF($O59=0,"No result",IF($N59=0,"No Start (attainment only)",IF(OR($N59=1,$O59=1),"U – needs rule",INDEX(MxBody,MATCH($I59,MxCurr,0),MATCH($H59,MxStart,0)))))))</f>
        <v/>
      </c>
      <c r="L59" s="62" t="str">
        <f aca="false">IF(COUNTA($A59,$F59,$G59,$H59,$I59,$J59)=0,"",IF($M59=0,"✖ كود الصف غير موجود",IF(ISNA(MATCH($F59,Lists!$A$2:$A$5,0)),"✖ الفترة غير صحيحة",IF(ISNA(MATCH($G59,Lists!$B$2:$B$7,0)),"✖ المجموعة غير صحيحة",IF(NOT(OR($H59="",$N59&gt;0)),"✖ Start غير صحيح",IF(NOT(OR($I59="",$I59="NR",$O59&gt;0)),"✖ Current غير صحيح",IF(NOT(IF(ISNUMBER($J59),AND($J59&gt;=0,$J59=INT($J59)),FALSE())),"✖ العدد يجب أن يكون صحيحًا ≥ 0",IF(AND($F59="Baseline",$H59&lt;&gt;""),"⚠ Baseline: Start لا يدخل في التقدم",IF($K59="No Start (attainment only)","ℹ تحصيل فقط (بدون Start)",IF($K59="U – needs rule","ℹ حالة U تحتاج قاعدة معتمدة",IF($K59="No result","ℹ بدون نتيجة (يُستبعد من التحصيل)","OK")))))))))))</f>
        <v/>
      </c>
      <c r="M59" s="64" t="n">
        <f aca="false">IF($A59="",0,IFERROR(MATCH($A59,Classes!$A$6:$A$420,0),0))</f>
        <v>0</v>
      </c>
      <c r="N59" s="64" t="n">
        <f aca="false">IF($H59="",0,IFERROR(MATCH($H59,GradeList,0),0))</f>
        <v>0</v>
      </c>
      <c r="O59" s="64" t="n">
        <f aca="false">IF(OR($I59="",$I59="NR"),0,IFERROR(MATCH($I59,GradeList,0),0))</f>
        <v>0</v>
      </c>
      <c r="P59" s="64" t="n">
        <f aca="false">IF(AND($M59&gt;0,ISNUMBER(MATCH($F59,Lists!$A$2:$A$5,0)),ISNUMBER(MATCH($G59,Lists!$B$2:$B$7,0)),OR($H59="",$N59&gt;0),OR($I59="",$I59="NR",$O59&gt;0),IF(ISNUMBER($J59),AND($J59&gt;=0,$J59=INT($J59)),FALSE())),$J59,0)</f>
        <v>0</v>
      </c>
      <c r="Q59" s="64" t="n">
        <f aca="false">IF(AND($P59&gt;0,$O59&gt;0),$P59,0)</f>
        <v>0</v>
      </c>
      <c r="R59" s="64" t="n">
        <f aca="false">IF(AND($Q59&gt;0,$O59&gt;=AtRank),$Q59,0)</f>
        <v>0</v>
      </c>
      <c r="S59" s="64" t="n">
        <f aca="false">IF(AND($Q59&gt;0,$O59&gt;=AboveRank),$Q59,0)</f>
        <v>0</v>
      </c>
      <c r="T59" s="64" t="n">
        <f aca="false">IF($K59="Less",$P59,0)</f>
        <v>0</v>
      </c>
      <c r="U59" s="64" t="n">
        <f aca="false">IF($K59="Expected",$P59,0)</f>
        <v>0</v>
      </c>
      <c r="V59" s="64" t="n">
        <f aca="false">IF($K59="Better",$P59,0)</f>
        <v>0</v>
      </c>
      <c r="W59" s="64" t="n">
        <f aca="false">IF($K59="U – needs rule",$P59,0)</f>
        <v>0</v>
      </c>
      <c r="X59" s="64" t="n">
        <f aca="false">IF($K59="No Start (attainment only)",$P59,0)</f>
        <v>0</v>
      </c>
    </row>
    <row r="60" customFormat="false" ht="15" hidden="false" customHeight="false" outlineLevel="0" collapsed="false">
      <c r="A60" s="60"/>
      <c r="B60" s="61" t="str">
        <f aca="false">IF($M60=0,"",INDEX(Classes!$E$6:$E$420,$M60))</f>
        <v/>
      </c>
      <c r="C60" s="62" t="str">
        <f aca="false">IF($M60=0,"",INDEX(Classes!$H$6:$H$420,$M60))</f>
        <v/>
      </c>
      <c r="D60" s="61" t="str">
        <f aca="false">IF($M60=0,"",INDEX(Classes!$B$6:$B$420,$M60))</f>
        <v/>
      </c>
      <c r="E60" s="61" t="str">
        <f aca="false">IF($M60=0,"",INDEX(Classes!$C$6:$C$420,$M60))</f>
        <v/>
      </c>
      <c r="F60" s="63"/>
      <c r="G60" s="63"/>
      <c r="H60" s="60"/>
      <c r="I60" s="60"/>
      <c r="J60" s="63"/>
      <c r="K60" s="61" t="str">
        <f aca="false">IF($P60=0,"",IF($F60="Baseline","— Baseline",IF($O60=0,"No result",IF($N60=0,"No Start (attainment only)",IF(OR($N60=1,$O60=1),"U – needs rule",INDEX(MxBody,MATCH($I60,MxCurr,0),MATCH($H60,MxStart,0)))))))</f>
        <v/>
      </c>
      <c r="L60" s="62" t="str">
        <f aca="false">IF(COUNTA($A60,$F60,$G60,$H60,$I60,$J60)=0,"",IF($M60=0,"✖ كود الصف غير موجود",IF(ISNA(MATCH($F60,Lists!$A$2:$A$5,0)),"✖ الفترة غير صحيحة",IF(ISNA(MATCH($G60,Lists!$B$2:$B$7,0)),"✖ المجموعة غير صحيحة",IF(NOT(OR($H60="",$N60&gt;0)),"✖ Start غير صحيح",IF(NOT(OR($I60="",$I60="NR",$O60&gt;0)),"✖ Current غير صحيح",IF(NOT(IF(ISNUMBER($J60),AND($J60&gt;=0,$J60=INT($J60)),FALSE())),"✖ العدد يجب أن يكون صحيحًا ≥ 0",IF(AND($F60="Baseline",$H60&lt;&gt;""),"⚠ Baseline: Start لا يدخل في التقدم",IF($K60="No Start (attainment only)","ℹ تحصيل فقط (بدون Start)",IF($K60="U – needs rule","ℹ حالة U تحتاج قاعدة معتمدة",IF($K60="No result","ℹ بدون نتيجة (يُستبعد من التحصيل)","OK")))))))))))</f>
        <v/>
      </c>
      <c r="M60" s="64" t="n">
        <f aca="false">IF($A60="",0,IFERROR(MATCH($A60,Classes!$A$6:$A$420,0),0))</f>
        <v>0</v>
      </c>
      <c r="N60" s="64" t="n">
        <f aca="false">IF($H60="",0,IFERROR(MATCH($H60,GradeList,0),0))</f>
        <v>0</v>
      </c>
      <c r="O60" s="64" t="n">
        <f aca="false">IF(OR($I60="",$I60="NR"),0,IFERROR(MATCH($I60,GradeList,0),0))</f>
        <v>0</v>
      </c>
      <c r="P60" s="64" t="n">
        <f aca="false">IF(AND($M60&gt;0,ISNUMBER(MATCH($F60,Lists!$A$2:$A$5,0)),ISNUMBER(MATCH($G60,Lists!$B$2:$B$7,0)),OR($H60="",$N60&gt;0),OR($I60="",$I60="NR",$O60&gt;0),IF(ISNUMBER($J60),AND($J60&gt;=0,$J60=INT($J60)),FALSE())),$J60,0)</f>
        <v>0</v>
      </c>
      <c r="Q60" s="64" t="n">
        <f aca="false">IF(AND($P60&gt;0,$O60&gt;0),$P60,0)</f>
        <v>0</v>
      </c>
      <c r="R60" s="64" t="n">
        <f aca="false">IF(AND($Q60&gt;0,$O60&gt;=AtRank),$Q60,0)</f>
        <v>0</v>
      </c>
      <c r="S60" s="64" t="n">
        <f aca="false">IF(AND($Q60&gt;0,$O60&gt;=AboveRank),$Q60,0)</f>
        <v>0</v>
      </c>
      <c r="T60" s="64" t="n">
        <f aca="false">IF($K60="Less",$P60,0)</f>
        <v>0</v>
      </c>
      <c r="U60" s="64" t="n">
        <f aca="false">IF($K60="Expected",$P60,0)</f>
        <v>0</v>
      </c>
      <c r="V60" s="64" t="n">
        <f aca="false">IF($K60="Better",$P60,0)</f>
        <v>0</v>
      </c>
      <c r="W60" s="64" t="n">
        <f aca="false">IF($K60="U – needs rule",$P60,0)</f>
        <v>0</v>
      </c>
      <c r="X60" s="64" t="n">
        <f aca="false">IF($K60="No Start (attainment only)",$P60,0)</f>
        <v>0</v>
      </c>
    </row>
    <row r="61" customFormat="false" ht="15" hidden="false" customHeight="false" outlineLevel="0" collapsed="false">
      <c r="A61" s="60"/>
      <c r="B61" s="61" t="str">
        <f aca="false">IF($M61=0,"",INDEX(Classes!$E$6:$E$420,$M61))</f>
        <v/>
      </c>
      <c r="C61" s="62" t="str">
        <f aca="false">IF($M61=0,"",INDEX(Classes!$H$6:$H$420,$M61))</f>
        <v/>
      </c>
      <c r="D61" s="61" t="str">
        <f aca="false">IF($M61=0,"",INDEX(Classes!$B$6:$B$420,$M61))</f>
        <v/>
      </c>
      <c r="E61" s="61" t="str">
        <f aca="false">IF($M61=0,"",INDEX(Classes!$C$6:$C$420,$M61))</f>
        <v/>
      </c>
      <c r="F61" s="63"/>
      <c r="G61" s="63"/>
      <c r="H61" s="60"/>
      <c r="I61" s="60"/>
      <c r="J61" s="63"/>
      <c r="K61" s="61" t="str">
        <f aca="false">IF($P61=0,"",IF($F61="Baseline","— Baseline",IF($O61=0,"No result",IF($N61=0,"No Start (attainment only)",IF(OR($N61=1,$O61=1),"U – needs rule",INDEX(MxBody,MATCH($I61,MxCurr,0),MATCH($H61,MxStart,0)))))))</f>
        <v/>
      </c>
      <c r="L61" s="62" t="str">
        <f aca="false">IF(COUNTA($A61,$F61,$G61,$H61,$I61,$J61)=0,"",IF($M61=0,"✖ كود الصف غير موجود",IF(ISNA(MATCH($F61,Lists!$A$2:$A$5,0)),"✖ الفترة غير صحيحة",IF(ISNA(MATCH($G61,Lists!$B$2:$B$7,0)),"✖ المجموعة غير صحيحة",IF(NOT(OR($H61="",$N61&gt;0)),"✖ Start غير صحيح",IF(NOT(OR($I61="",$I61="NR",$O61&gt;0)),"✖ Current غير صحيح",IF(NOT(IF(ISNUMBER($J61),AND($J61&gt;=0,$J61=INT($J61)),FALSE())),"✖ العدد يجب أن يكون صحيحًا ≥ 0",IF(AND($F61="Baseline",$H61&lt;&gt;""),"⚠ Baseline: Start لا يدخل في التقدم",IF($K61="No Start (attainment only)","ℹ تحصيل فقط (بدون Start)",IF($K61="U – needs rule","ℹ حالة U تحتاج قاعدة معتمدة",IF($K61="No result","ℹ بدون نتيجة (يُستبعد من التحصيل)","OK")))))))))))</f>
        <v/>
      </c>
      <c r="M61" s="64" t="n">
        <f aca="false">IF($A61="",0,IFERROR(MATCH($A61,Classes!$A$6:$A$420,0),0))</f>
        <v>0</v>
      </c>
      <c r="N61" s="64" t="n">
        <f aca="false">IF($H61="",0,IFERROR(MATCH($H61,GradeList,0),0))</f>
        <v>0</v>
      </c>
      <c r="O61" s="64" t="n">
        <f aca="false">IF(OR($I61="",$I61="NR"),0,IFERROR(MATCH($I61,GradeList,0),0))</f>
        <v>0</v>
      </c>
      <c r="P61" s="64" t="n">
        <f aca="false">IF(AND($M61&gt;0,ISNUMBER(MATCH($F61,Lists!$A$2:$A$5,0)),ISNUMBER(MATCH($G61,Lists!$B$2:$B$7,0)),OR($H61="",$N61&gt;0),OR($I61="",$I61="NR",$O61&gt;0),IF(ISNUMBER($J61),AND($J61&gt;=0,$J61=INT($J61)),FALSE())),$J61,0)</f>
        <v>0</v>
      </c>
      <c r="Q61" s="64" t="n">
        <f aca="false">IF(AND($P61&gt;0,$O61&gt;0),$P61,0)</f>
        <v>0</v>
      </c>
      <c r="R61" s="64" t="n">
        <f aca="false">IF(AND($Q61&gt;0,$O61&gt;=AtRank),$Q61,0)</f>
        <v>0</v>
      </c>
      <c r="S61" s="64" t="n">
        <f aca="false">IF(AND($Q61&gt;0,$O61&gt;=AboveRank),$Q61,0)</f>
        <v>0</v>
      </c>
      <c r="T61" s="64" t="n">
        <f aca="false">IF($K61="Less",$P61,0)</f>
        <v>0</v>
      </c>
      <c r="U61" s="64" t="n">
        <f aca="false">IF($K61="Expected",$P61,0)</f>
        <v>0</v>
      </c>
      <c r="V61" s="64" t="n">
        <f aca="false">IF($K61="Better",$P61,0)</f>
        <v>0</v>
      </c>
      <c r="W61" s="64" t="n">
        <f aca="false">IF($K61="U – needs rule",$P61,0)</f>
        <v>0</v>
      </c>
      <c r="X61" s="64" t="n">
        <f aca="false">IF($K61="No Start (attainment only)",$P61,0)</f>
        <v>0</v>
      </c>
    </row>
    <row r="62" customFormat="false" ht="15" hidden="false" customHeight="false" outlineLevel="0" collapsed="false">
      <c r="A62" s="60"/>
      <c r="B62" s="61" t="str">
        <f aca="false">IF($M62=0,"",INDEX(Classes!$E$6:$E$420,$M62))</f>
        <v/>
      </c>
      <c r="C62" s="62" t="str">
        <f aca="false">IF($M62=0,"",INDEX(Classes!$H$6:$H$420,$M62))</f>
        <v/>
      </c>
      <c r="D62" s="61" t="str">
        <f aca="false">IF($M62=0,"",INDEX(Classes!$B$6:$B$420,$M62))</f>
        <v/>
      </c>
      <c r="E62" s="61" t="str">
        <f aca="false">IF($M62=0,"",INDEX(Classes!$C$6:$C$420,$M62))</f>
        <v/>
      </c>
      <c r="F62" s="63"/>
      <c r="G62" s="63"/>
      <c r="H62" s="60"/>
      <c r="I62" s="60"/>
      <c r="J62" s="63"/>
      <c r="K62" s="61" t="str">
        <f aca="false">IF($P62=0,"",IF($F62="Baseline","— Baseline",IF($O62=0,"No result",IF($N62=0,"No Start (attainment only)",IF(OR($N62=1,$O62=1),"U – needs rule",INDEX(MxBody,MATCH($I62,MxCurr,0),MATCH($H62,MxStart,0)))))))</f>
        <v/>
      </c>
      <c r="L62" s="62" t="str">
        <f aca="false">IF(COUNTA($A62,$F62,$G62,$H62,$I62,$J62)=0,"",IF($M62=0,"✖ كود الصف غير موجود",IF(ISNA(MATCH($F62,Lists!$A$2:$A$5,0)),"✖ الفترة غير صحيحة",IF(ISNA(MATCH($G62,Lists!$B$2:$B$7,0)),"✖ المجموعة غير صحيحة",IF(NOT(OR($H62="",$N62&gt;0)),"✖ Start غير صحيح",IF(NOT(OR($I62="",$I62="NR",$O62&gt;0)),"✖ Current غير صحيح",IF(NOT(IF(ISNUMBER($J62),AND($J62&gt;=0,$J62=INT($J62)),FALSE())),"✖ العدد يجب أن يكون صحيحًا ≥ 0",IF(AND($F62="Baseline",$H62&lt;&gt;""),"⚠ Baseline: Start لا يدخل في التقدم",IF($K62="No Start (attainment only)","ℹ تحصيل فقط (بدون Start)",IF($K62="U – needs rule","ℹ حالة U تحتاج قاعدة معتمدة",IF($K62="No result","ℹ بدون نتيجة (يُستبعد من التحصيل)","OK")))))))))))</f>
        <v/>
      </c>
      <c r="M62" s="64" t="n">
        <f aca="false">IF($A62="",0,IFERROR(MATCH($A62,Classes!$A$6:$A$420,0),0))</f>
        <v>0</v>
      </c>
      <c r="N62" s="64" t="n">
        <f aca="false">IF($H62="",0,IFERROR(MATCH($H62,GradeList,0),0))</f>
        <v>0</v>
      </c>
      <c r="O62" s="64" t="n">
        <f aca="false">IF(OR($I62="",$I62="NR"),0,IFERROR(MATCH($I62,GradeList,0),0))</f>
        <v>0</v>
      </c>
      <c r="P62" s="64" t="n">
        <f aca="false">IF(AND($M62&gt;0,ISNUMBER(MATCH($F62,Lists!$A$2:$A$5,0)),ISNUMBER(MATCH($G62,Lists!$B$2:$B$7,0)),OR($H62="",$N62&gt;0),OR($I62="",$I62="NR",$O62&gt;0),IF(ISNUMBER($J62),AND($J62&gt;=0,$J62=INT($J62)),FALSE())),$J62,0)</f>
        <v>0</v>
      </c>
      <c r="Q62" s="64" t="n">
        <f aca="false">IF(AND($P62&gt;0,$O62&gt;0),$P62,0)</f>
        <v>0</v>
      </c>
      <c r="R62" s="64" t="n">
        <f aca="false">IF(AND($Q62&gt;0,$O62&gt;=AtRank),$Q62,0)</f>
        <v>0</v>
      </c>
      <c r="S62" s="64" t="n">
        <f aca="false">IF(AND($Q62&gt;0,$O62&gt;=AboveRank),$Q62,0)</f>
        <v>0</v>
      </c>
      <c r="T62" s="64" t="n">
        <f aca="false">IF($K62="Less",$P62,0)</f>
        <v>0</v>
      </c>
      <c r="U62" s="64" t="n">
        <f aca="false">IF($K62="Expected",$P62,0)</f>
        <v>0</v>
      </c>
      <c r="V62" s="64" t="n">
        <f aca="false">IF($K62="Better",$P62,0)</f>
        <v>0</v>
      </c>
      <c r="W62" s="64" t="n">
        <f aca="false">IF($K62="U – needs rule",$P62,0)</f>
        <v>0</v>
      </c>
      <c r="X62" s="64" t="n">
        <f aca="false">IF($K62="No Start (attainment only)",$P62,0)</f>
        <v>0</v>
      </c>
    </row>
    <row r="63" customFormat="false" ht="15" hidden="false" customHeight="false" outlineLevel="0" collapsed="false">
      <c r="A63" s="60"/>
      <c r="B63" s="61" t="str">
        <f aca="false">IF($M63=0,"",INDEX(Classes!$E$6:$E$420,$M63))</f>
        <v/>
      </c>
      <c r="C63" s="62" t="str">
        <f aca="false">IF($M63=0,"",INDEX(Classes!$H$6:$H$420,$M63))</f>
        <v/>
      </c>
      <c r="D63" s="61" t="str">
        <f aca="false">IF($M63=0,"",INDEX(Classes!$B$6:$B$420,$M63))</f>
        <v/>
      </c>
      <c r="E63" s="61" t="str">
        <f aca="false">IF($M63=0,"",INDEX(Classes!$C$6:$C$420,$M63))</f>
        <v/>
      </c>
      <c r="F63" s="63"/>
      <c r="G63" s="63"/>
      <c r="H63" s="60"/>
      <c r="I63" s="60"/>
      <c r="J63" s="63"/>
      <c r="K63" s="61" t="str">
        <f aca="false">IF($P63=0,"",IF($F63="Baseline","— Baseline",IF($O63=0,"No result",IF($N63=0,"No Start (attainment only)",IF(OR($N63=1,$O63=1),"U – needs rule",INDEX(MxBody,MATCH($I63,MxCurr,0),MATCH($H63,MxStart,0)))))))</f>
        <v/>
      </c>
      <c r="L63" s="62" t="str">
        <f aca="false">IF(COUNTA($A63,$F63,$G63,$H63,$I63,$J63)=0,"",IF($M63=0,"✖ كود الصف غير موجود",IF(ISNA(MATCH($F63,Lists!$A$2:$A$5,0)),"✖ الفترة غير صحيحة",IF(ISNA(MATCH($G63,Lists!$B$2:$B$7,0)),"✖ المجموعة غير صحيحة",IF(NOT(OR($H63="",$N63&gt;0)),"✖ Start غير صحيح",IF(NOT(OR($I63="",$I63="NR",$O63&gt;0)),"✖ Current غير صحيح",IF(NOT(IF(ISNUMBER($J63),AND($J63&gt;=0,$J63=INT($J63)),FALSE())),"✖ العدد يجب أن يكون صحيحًا ≥ 0",IF(AND($F63="Baseline",$H63&lt;&gt;""),"⚠ Baseline: Start لا يدخل في التقدم",IF($K63="No Start (attainment only)","ℹ تحصيل فقط (بدون Start)",IF($K63="U – needs rule","ℹ حالة U تحتاج قاعدة معتمدة",IF($K63="No result","ℹ بدون نتيجة (يُستبعد من التحصيل)","OK")))))))))))</f>
        <v/>
      </c>
      <c r="M63" s="64" t="n">
        <f aca="false">IF($A63="",0,IFERROR(MATCH($A63,Classes!$A$6:$A$420,0),0))</f>
        <v>0</v>
      </c>
      <c r="N63" s="64" t="n">
        <f aca="false">IF($H63="",0,IFERROR(MATCH($H63,GradeList,0),0))</f>
        <v>0</v>
      </c>
      <c r="O63" s="64" t="n">
        <f aca="false">IF(OR($I63="",$I63="NR"),0,IFERROR(MATCH($I63,GradeList,0),0))</f>
        <v>0</v>
      </c>
      <c r="P63" s="64" t="n">
        <f aca="false">IF(AND($M63&gt;0,ISNUMBER(MATCH($F63,Lists!$A$2:$A$5,0)),ISNUMBER(MATCH($G63,Lists!$B$2:$B$7,0)),OR($H63="",$N63&gt;0),OR($I63="",$I63="NR",$O63&gt;0),IF(ISNUMBER($J63),AND($J63&gt;=0,$J63=INT($J63)),FALSE())),$J63,0)</f>
        <v>0</v>
      </c>
      <c r="Q63" s="64" t="n">
        <f aca="false">IF(AND($P63&gt;0,$O63&gt;0),$P63,0)</f>
        <v>0</v>
      </c>
      <c r="R63" s="64" t="n">
        <f aca="false">IF(AND($Q63&gt;0,$O63&gt;=AtRank),$Q63,0)</f>
        <v>0</v>
      </c>
      <c r="S63" s="64" t="n">
        <f aca="false">IF(AND($Q63&gt;0,$O63&gt;=AboveRank),$Q63,0)</f>
        <v>0</v>
      </c>
      <c r="T63" s="64" t="n">
        <f aca="false">IF($K63="Less",$P63,0)</f>
        <v>0</v>
      </c>
      <c r="U63" s="64" t="n">
        <f aca="false">IF($K63="Expected",$P63,0)</f>
        <v>0</v>
      </c>
      <c r="V63" s="64" t="n">
        <f aca="false">IF($K63="Better",$P63,0)</f>
        <v>0</v>
      </c>
      <c r="W63" s="64" t="n">
        <f aca="false">IF($K63="U – needs rule",$P63,0)</f>
        <v>0</v>
      </c>
      <c r="X63" s="64" t="n">
        <f aca="false">IF($K63="No Start (attainment only)",$P63,0)</f>
        <v>0</v>
      </c>
    </row>
    <row r="64" customFormat="false" ht="15" hidden="false" customHeight="false" outlineLevel="0" collapsed="false">
      <c r="A64" s="60"/>
      <c r="B64" s="61" t="str">
        <f aca="false">IF($M64=0,"",INDEX(Classes!$E$6:$E$420,$M64))</f>
        <v/>
      </c>
      <c r="C64" s="62" t="str">
        <f aca="false">IF($M64=0,"",INDEX(Classes!$H$6:$H$420,$M64))</f>
        <v/>
      </c>
      <c r="D64" s="61" t="str">
        <f aca="false">IF($M64=0,"",INDEX(Classes!$B$6:$B$420,$M64))</f>
        <v/>
      </c>
      <c r="E64" s="61" t="str">
        <f aca="false">IF($M64=0,"",INDEX(Classes!$C$6:$C$420,$M64))</f>
        <v/>
      </c>
      <c r="F64" s="63"/>
      <c r="G64" s="63"/>
      <c r="H64" s="60"/>
      <c r="I64" s="60"/>
      <c r="J64" s="63"/>
      <c r="K64" s="61" t="str">
        <f aca="false">IF($P64=0,"",IF($F64="Baseline","— Baseline",IF($O64=0,"No result",IF($N64=0,"No Start (attainment only)",IF(OR($N64=1,$O64=1),"U – needs rule",INDEX(MxBody,MATCH($I64,MxCurr,0),MATCH($H64,MxStart,0)))))))</f>
        <v/>
      </c>
      <c r="L64" s="62" t="str">
        <f aca="false">IF(COUNTA($A64,$F64,$G64,$H64,$I64,$J64)=0,"",IF($M64=0,"✖ كود الصف غير موجود",IF(ISNA(MATCH($F64,Lists!$A$2:$A$5,0)),"✖ الفترة غير صحيحة",IF(ISNA(MATCH($G64,Lists!$B$2:$B$7,0)),"✖ المجموعة غير صحيحة",IF(NOT(OR($H64="",$N64&gt;0)),"✖ Start غير صحيح",IF(NOT(OR($I64="",$I64="NR",$O64&gt;0)),"✖ Current غير صحيح",IF(NOT(IF(ISNUMBER($J64),AND($J64&gt;=0,$J64=INT($J64)),FALSE())),"✖ العدد يجب أن يكون صحيحًا ≥ 0",IF(AND($F64="Baseline",$H64&lt;&gt;""),"⚠ Baseline: Start لا يدخل في التقدم",IF($K64="No Start (attainment only)","ℹ تحصيل فقط (بدون Start)",IF($K64="U – needs rule","ℹ حالة U تحتاج قاعدة معتمدة",IF($K64="No result","ℹ بدون نتيجة (يُستبعد من التحصيل)","OK")))))))))))</f>
        <v/>
      </c>
      <c r="M64" s="64" t="n">
        <f aca="false">IF($A64="",0,IFERROR(MATCH($A64,Classes!$A$6:$A$420,0),0))</f>
        <v>0</v>
      </c>
      <c r="N64" s="64" t="n">
        <f aca="false">IF($H64="",0,IFERROR(MATCH($H64,GradeList,0),0))</f>
        <v>0</v>
      </c>
      <c r="O64" s="64" t="n">
        <f aca="false">IF(OR($I64="",$I64="NR"),0,IFERROR(MATCH($I64,GradeList,0),0))</f>
        <v>0</v>
      </c>
      <c r="P64" s="64" t="n">
        <f aca="false">IF(AND($M64&gt;0,ISNUMBER(MATCH($F64,Lists!$A$2:$A$5,0)),ISNUMBER(MATCH($G64,Lists!$B$2:$B$7,0)),OR($H64="",$N64&gt;0),OR($I64="",$I64="NR",$O64&gt;0),IF(ISNUMBER($J64),AND($J64&gt;=0,$J64=INT($J64)),FALSE())),$J64,0)</f>
        <v>0</v>
      </c>
      <c r="Q64" s="64" t="n">
        <f aca="false">IF(AND($P64&gt;0,$O64&gt;0),$P64,0)</f>
        <v>0</v>
      </c>
      <c r="R64" s="64" t="n">
        <f aca="false">IF(AND($Q64&gt;0,$O64&gt;=AtRank),$Q64,0)</f>
        <v>0</v>
      </c>
      <c r="S64" s="64" t="n">
        <f aca="false">IF(AND($Q64&gt;0,$O64&gt;=AboveRank),$Q64,0)</f>
        <v>0</v>
      </c>
      <c r="T64" s="64" t="n">
        <f aca="false">IF($K64="Less",$P64,0)</f>
        <v>0</v>
      </c>
      <c r="U64" s="64" t="n">
        <f aca="false">IF($K64="Expected",$P64,0)</f>
        <v>0</v>
      </c>
      <c r="V64" s="64" t="n">
        <f aca="false">IF($K64="Better",$P64,0)</f>
        <v>0</v>
      </c>
      <c r="W64" s="64" t="n">
        <f aca="false">IF($K64="U – needs rule",$P64,0)</f>
        <v>0</v>
      </c>
      <c r="X64" s="64" t="n">
        <f aca="false">IF($K64="No Start (attainment only)",$P64,0)</f>
        <v>0</v>
      </c>
    </row>
    <row r="65" customFormat="false" ht="15" hidden="false" customHeight="false" outlineLevel="0" collapsed="false">
      <c r="A65" s="60"/>
      <c r="B65" s="61" t="str">
        <f aca="false">IF($M65=0,"",INDEX(Classes!$E$6:$E$420,$M65))</f>
        <v/>
      </c>
      <c r="C65" s="62" t="str">
        <f aca="false">IF($M65=0,"",INDEX(Classes!$H$6:$H$420,$M65))</f>
        <v/>
      </c>
      <c r="D65" s="61" t="str">
        <f aca="false">IF($M65=0,"",INDEX(Classes!$B$6:$B$420,$M65))</f>
        <v/>
      </c>
      <c r="E65" s="61" t="str">
        <f aca="false">IF($M65=0,"",INDEX(Classes!$C$6:$C$420,$M65))</f>
        <v/>
      </c>
      <c r="F65" s="63"/>
      <c r="G65" s="63"/>
      <c r="H65" s="60"/>
      <c r="I65" s="60"/>
      <c r="J65" s="63"/>
      <c r="K65" s="61" t="str">
        <f aca="false">IF($P65=0,"",IF($F65="Baseline","— Baseline",IF($O65=0,"No result",IF($N65=0,"No Start (attainment only)",IF(OR($N65=1,$O65=1),"U – needs rule",INDEX(MxBody,MATCH($I65,MxCurr,0),MATCH($H65,MxStart,0)))))))</f>
        <v/>
      </c>
      <c r="L65" s="62" t="str">
        <f aca="false">IF(COUNTA($A65,$F65,$G65,$H65,$I65,$J65)=0,"",IF($M65=0,"✖ كود الصف غير موجود",IF(ISNA(MATCH($F65,Lists!$A$2:$A$5,0)),"✖ الفترة غير صحيحة",IF(ISNA(MATCH($G65,Lists!$B$2:$B$7,0)),"✖ المجموعة غير صحيحة",IF(NOT(OR($H65="",$N65&gt;0)),"✖ Start غير صحيح",IF(NOT(OR($I65="",$I65="NR",$O65&gt;0)),"✖ Current غير صحيح",IF(NOT(IF(ISNUMBER($J65),AND($J65&gt;=0,$J65=INT($J65)),FALSE())),"✖ العدد يجب أن يكون صحيحًا ≥ 0",IF(AND($F65="Baseline",$H65&lt;&gt;""),"⚠ Baseline: Start لا يدخل في التقدم",IF($K65="No Start (attainment only)","ℹ تحصيل فقط (بدون Start)",IF($K65="U – needs rule","ℹ حالة U تحتاج قاعدة معتمدة",IF($K65="No result","ℹ بدون نتيجة (يُستبعد من التحصيل)","OK")))))))))))</f>
        <v/>
      </c>
      <c r="M65" s="64" t="n">
        <f aca="false">IF($A65="",0,IFERROR(MATCH($A65,Classes!$A$6:$A$420,0),0))</f>
        <v>0</v>
      </c>
      <c r="N65" s="64" t="n">
        <f aca="false">IF($H65="",0,IFERROR(MATCH($H65,GradeList,0),0))</f>
        <v>0</v>
      </c>
      <c r="O65" s="64" t="n">
        <f aca="false">IF(OR($I65="",$I65="NR"),0,IFERROR(MATCH($I65,GradeList,0),0))</f>
        <v>0</v>
      </c>
      <c r="P65" s="64" t="n">
        <f aca="false">IF(AND($M65&gt;0,ISNUMBER(MATCH($F65,Lists!$A$2:$A$5,0)),ISNUMBER(MATCH($G65,Lists!$B$2:$B$7,0)),OR($H65="",$N65&gt;0),OR($I65="",$I65="NR",$O65&gt;0),IF(ISNUMBER($J65),AND($J65&gt;=0,$J65=INT($J65)),FALSE())),$J65,0)</f>
        <v>0</v>
      </c>
      <c r="Q65" s="64" t="n">
        <f aca="false">IF(AND($P65&gt;0,$O65&gt;0),$P65,0)</f>
        <v>0</v>
      </c>
      <c r="R65" s="64" t="n">
        <f aca="false">IF(AND($Q65&gt;0,$O65&gt;=AtRank),$Q65,0)</f>
        <v>0</v>
      </c>
      <c r="S65" s="64" t="n">
        <f aca="false">IF(AND($Q65&gt;0,$O65&gt;=AboveRank),$Q65,0)</f>
        <v>0</v>
      </c>
      <c r="T65" s="64" t="n">
        <f aca="false">IF($K65="Less",$P65,0)</f>
        <v>0</v>
      </c>
      <c r="U65" s="64" t="n">
        <f aca="false">IF($K65="Expected",$P65,0)</f>
        <v>0</v>
      </c>
      <c r="V65" s="64" t="n">
        <f aca="false">IF($K65="Better",$P65,0)</f>
        <v>0</v>
      </c>
      <c r="W65" s="64" t="n">
        <f aca="false">IF($K65="U – needs rule",$P65,0)</f>
        <v>0</v>
      </c>
      <c r="X65" s="64" t="n">
        <f aca="false">IF($K65="No Start (attainment only)",$P65,0)</f>
        <v>0</v>
      </c>
    </row>
    <row r="66" customFormat="false" ht="15" hidden="false" customHeight="false" outlineLevel="0" collapsed="false">
      <c r="A66" s="60"/>
      <c r="B66" s="61" t="str">
        <f aca="false">IF($M66=0,"",INDEX(Classes!$E$6:$E$420,$M66))</f>
        <v/>
      </c>
      <c r="C66" s="62" t="str">
        <f aca="false">IF($M66=0,"",INDEX(Classes!$H$6:$H$420,$M66))</f>
        <v/>
      </c>
      <c r="D66" s="61" t="str">
        <f aca="false">IF($M66=0,"",INDEX(Classes!$B$6:$B$420,$M66))</f>
        <v/>
      </c>
      <c r="E66" s="61" t="str">
        <f aca="false">IF($M66=0,"",INDEX(Classes!$C$6:$C$420,$M66))</f>
        <v/>
      </c>
      <c r="F66" s="63"/>
      <c r="G66" s="63"/>
      <c r="H66" s="60"/>
      <c r="I66" s="60"/>
      <c r="J66" s="63"/>
      <c r="K66" s="61" t="str">
        <f aca="false">IF($P66=0,"",IF($F66="Baseline","— Baseline",IF($O66=0,"No result",IF($N66=0,"No Start (attainment only)",IF(OR($N66=1,$O66=1),"U – needs rule",INDEX(MxBody,MATCH($I66,MxCurr,0),MATCH($H66,MxStart,0)))))))</f>
        <v/>
      </c>
      <c r="L66" s="62" t="str">
        <f aca="false">IF(COUNTA($A66,$F66,$G66,$H66,$I66,$J66)=0,"",IF($M66=0,"✖ كود الصف غير موجود",IF(ISNA(MATCH($F66,Lists!$A$2:$A$5,0)),"✖ الفترة غير صحيحة",IF(ISNA(MATCH($G66,Lists!$B$2:$B$7,0)),"✖ المجموعة غير صحيحة",IF(NOT(OR($H66="",$N66&gt;0)),"✖ Start غير صحيح",IF(NOT(OR($I66="",$I66="NR",$O66&gt;0)),"✖ Current غير صحيح",IF(NOT(IF(ISNUMBER($J66),AND($J66&gt;=0,$J66=INT($J66)),FALSE())),"✖ العدد يجب أن يكون صحيحًا ≥ 0",IF(AND($F66="Baseline",$H66&lt;&gt;""),"⚠ Baseline: Start لا يدخل في التقدم",IF($K66="No Start (attainment only)","ℹ تحصيل فقط (بدون Start)",IF($K66="U – needs rule","ℹ حالة U تحتاج قاعدة معتمدة",IF($K66="No result","ℹ بدون نتيجة (يُستبعد من التحصيل)","OK")))))))))))</f>
        <v/>
      </c>
      <c r="M66" s="64" t="n">
        <f aca="false">IF($A66="",0,IFERROR(MATCH($A66,Classes!$A$6:$A$420,0),0))</f>
        <v>0</v>
      </c>
      <c r="N66" s="64" t="n">
        <f aca="false">IF($H66="",0,IFERROR(MATCH($H66,GradeList,0),0))</f>
        <v>0</v>
      </c>
      <c r="O66" s="64" t="n">
        <f aca="false">IF(OR($I66="",$I66="NR"),0,IFERROR(MATCH($I66,GradeList,0),0))</f>
        <v>0</v>
      </c>
      <c r="P66" s="64" t="n">
        <f aca="false">IF(AND($M66&gt;0,ISNUMBER(MATCH($F66,Lists!$A$2:$A$5,0)),ISNUMBER(MATCH($G66,Lists!$B$2:$B$7,0)),OR($H66="",$N66&gt;0),OR($I66="",$I66="NR",$O66&gt;0),IF(ISNUMBER($J66),AND($J66&gt;=0,$J66=INT($J66)),FALSE())),$J66,0)</f>
        <v>0</v>
      </c>
      <c r="Q66" s="64" t="n">
        <f aca="false">IF(AND($P66&gt;0,$O66&gt;0),$P66,0)</f>
        <v>0</v>
      </c>
      <c r="R66" s="64" t="n">
        <f aca="false">IF(AND($Q66&gt;0,$O66&gt;=AtRank),$Q66,0)</f>
        <v>0</v>
      </c>
      <c r="S66" s="64" t="n">
        <f aca="false">IF(AND($Q66&gt;0,$O66&gt;=AboveRank),$Q66,0)</f>
        <v>0</v>
      </c>
      <c r="T66" s="64" t="n">
        <f aca="false">IF($K66="Less",$P66,0)</f>
        <v>0</v>
      </c>
      <c r="U66" s="64" t="n">
        <f aca="false">IF($K66="Expected",$P66,0)</f>
        <v>0</v>
      </c>
      <c r="V66" s="64" t="n">
        <f aca="false">IF($K66="Better",$P66,0)</f>
        <v>0</v>
      </c>
      <c r="W66" s="64" t="n">
        <f aca="false">IF($K66="U – needs rule",$P66,0)</f>
        <v>0</v>
      </c>
      <c r="X66" s="64" t="n">
        <f aca="false">IF($K66="No Start (attainment only)",$P66,0)</f>
        <v>0</v>
      </c>
    </row>
    <row r="67" customFormat="false" ht="15" hidden="false" customHeight="false" outlineLevel="0" collapsed="false">
      <c r="A67" s="60"/>
      <c r="B67" s="61" t="str">
        <f aca="false">IF($M67=0,"",INDEX(Classes!$E$6:$E$420,$M67))</f>
        <v/>
      </c>
      <c r="C67" s="62" t="str">
        <f aca="false">IF($M67=0,"",INDEX(Classes!$H$6:$H$420,$M67))</f>
        <v/>
      </c>
      <c r="D67" s="61" t="str">
        <f aca="false">IF($M67=0,"",INDEX(Classes!$B$6:$B$420,$M67))</f>
        <v/>
      </c>
      <c r="E67" s="61" t="str">
        <f aca="false">IF($M67=0,"",INDEX(Classes!$C$6:$C$420,$M67))</f>
        <v/>
      </c>
      <c r="F67" s="63"/>
      <c r="G67" s="63"/>
      <c r="H67" s="60"/>
      <c r="I67" s="60"/>
      <c r="J67" s="63"/>
      <c r="K67" s="61" t="str">
        <f aca="false">IF($P67=0,"",IF($F67="Baseline","— Baseline",IF($O67=0,"No result",IF($N67=0,"No Start (attainment only)",IF(OR($N67=1,$O67=1),"U – needs rule",INDEX(MxBody,MATCH($I67,MxCurr,0),MATCH($H67,MxStart,0)))))))</f>
        <v/>
      </c>
      <c r="L67" s="62" t="str">
        <f aca="false">IF(COUNTA($A67,$F67,$G67,$H67,$I67,$J67)=0,"",IF($M67=0,"✖ كود الصف غير موجود",IF(ISNA(MATCH($F67,Lists!$A$2:$A$5,0)),"✖ الفترة غير صحيحة",IF(ISNA(MATCH($G67,Lists!$B$2:$B$7,0)),"✖ المجموعة غير صحيحة",IF(NOT(OR($H67="",$N67&gt;0)),"✖ Start غير صحيح",IF(NOT(OR($I67="",$I67="NR",$O67&gt;0)),"✖ Current غير صحيح",IF(NOT(IF(ISNUMBER($J67),AND($J67&gt;=0,$J67=INT($J67)),FALSE())),"✖ العدد يجب أن يكون صحيحًا ≥ 0",IF(AND($F67="Baseline",$H67&lt;&gt;""),"⚠ Baseline: Start لا يدخل في التقدم",IF($K67="No Start (attainment only)","ℹ تحصيل فقط (بدون Start)",IF($K67="U – needs rule","ℹ حالة U تحتاج قاعدة معتمدة",IF($K67="No result","ℹ بدون نتيجة (يُستبعد من التحصيل)","OK")))))))))))</f>
        <v/>
      </c>
      <c r="M67" s="64" t="n">
        <f aca="false">IF($A67="",0,IFERROR(MATCH($A67,Classes!$A$6:$A$420,0),0))</f>
        <v>0</v>
      </c>
      <c r="N67" s="64" t="n">
        <f aca="false">IF($H67="",0,IFERROR(MATCH($H67,GradeList,0),0))</f>
        <v>0</v>
      </c>
      <c r="O67" s="64" t="n">
        <f aca="false">IF(OR($I67="",$I67="NR"),0,IFERROR(MATCH($I67,GradeList,0),0))</f>
        <v>0</v>
      </c>
      <c r="P67" s="64" t="n">
        <f aca="false">IF(AND($M67&gt;0,ISNUMBER(MATCH($F67,Lists!$A$2:$A$5,0)),ISNUMBER(MATCH($G67,Lists!$B$2:$B$7,0)),OR($H67="",$N67&gt;0),OR($I67="",$I67="NR",$O67&gt;0),IF(ISNUMBER($J67),AND($J67&gt;=0,$J67=INT($J67)),FALSE())),$J67,0)</f>
        <v>0</v>
      </c>
      <c r="Q67" s="64" t="n">
        <f aca="false">IF(AND($P67&gt;0,$O67&gt;0),$P67,0)</f>
        <v>0</v>
      </c>
      <c r="R67" s="64" t="n">
        <f aca="false">IF(AND($Q67&gt;0,$O67&gt;=AtRank),$Q67,0)</f>
        <v>0</v>
      </c>
      <c r="S67" s="64" t="n">
        <f aca="false">IF(AND($Q67&gt;0,$O67&gt;=AboveRank),$Q67,0)</f>
        <v>0</v>
      </c>
      <c r="T67" s="64" t="n">
        <f aca="false">IF($K67="Less",$P67,0)</f>
        <v>0</v>
      </c>
      <c r="U67" s="64" t="n">
        <f aca="false">IF($K67="Expected",$P67,0)</f>
        <v>0</v>
      </c>
      <c r="V67" s="64" t="n">
        <f aca="false">IF($K67="Better",$P67,0)</f>
        <v>0</v>
      </c>
      <c r="W67" s="64" t="n">
        <f aca="false">IF($K67="U – needs rule",$P67,0)</f>
        <v>0</v>
      </c>
      <c r="X67" s="64" t="n">
        <f aca="false">IF($K67="No Start (attainment only)",$P67,0)</f>
        <v>0</v>
      </c>
    </row>
    <row r="68" customFormat="false" ht="15" hidden="false" customHeight="false" outlineLevel="0" collapsed="false">
      <c r="A68" s="60"/>
      <c r="B68" s="61" t="str">
        <f aca="false">IF($M68=0,"",INDEX(Classes!$E$6:$E$420,$M68))</f>
        <v/>
      </c>
      <c r="C68" s="62" t="str">
        <f aca="false">IF($M68=0,"",INDEX(Classes!$H$6:$H$420,$M68))</f>
        <v/>
      </c>
      <c r="D68" s="61" t="str">
        <f aca="false">IF($M68=0,"",INDEX(Classes!$B$6:$B$420,$M68))</f>
        <v/>
      </c>
      <c r="E68" s="61" t="str">
        <f aca="false">IF($M68=0,"",INDEX(Classes!$C$6:$C$420,$M68))</f>
        <v/>
      </c>
      <c r="F68" s="63"/>
      <c r="G68" s="63"/>
      <c r="H68" s="60"/>
      <c r="I68" s="60"/>
      <c r="J68" s="63"/>
      <c r="K68" s="61" t="str">
        <f aca="false">IF($P68=0,"",IF($F68="Baseline","— Baseline",IF($O68=0,"No result",IF($N68=0,"No Start (attainment only)",IF(OR($N68=1,$O68=1),"U – needs rule",INDEX(MxBody,MATCH($I68,MxCurr,0),MATCH($H68,MxStart,0)))))))</f>
        <v/>
      </c>
      <c r="L68" s="62" t="str">
        <f aca="false">IF(COUNTA($A68,$F68,$G68,$H68,$I68,$J68)=0,"",IF($M68=0,"✖ كود الصف غير موجود",IF(ISNA(MATCH($F68,Lists!$A$2:$A$5,0)),"✖ الفترة غير صحيحة",IF(ISNA(MATCH($G68,Lists!$B$2:$B$7,0)),"✖ المجموعة غير صحيحة",IF(NOT(OR($H68="",$N68&gt;0)),"✖ Start غير صحيح",IF(NOT(OR($I68="",$I68="NR",$O68&gt;0)),"✖ Current غير صحيح",IF(NOT(IF(ISNUMBER($J68),AND($J68&gt;=0,$J68=INT($J68)),FALSE())),"✖ العدد يجب أن يكون صحيحًا ≥ 0",IF(AND($F68="Baseline",$H68&lt;&gt;""),"⚠ Baseline: Start لا يدخل في التقدم",IF($K68="No Start (attainment only)","ℹ تحصيل فقط (بدون Start)",IF($K68="U – needs rule","ℹ حالة U تحتاج قاعدة معتمدة",IF($K68="No result","ℹ بدون نتيجة (يُستبعد من التحصيل)","OK")))))))))))</f>
        <v/>
      </c>
      <c r="M68" s="64" t="n">
        <f aca="false">IF($A68="",0,IFERROR(MATCH($A68,Classes!$A$6:$A$420,0),0))</f>
        <v>0</v>
      </c>
      <c r="N68" s="64" t="n">
        <f aca="false">IF($H68="",0,IFERROR(MATCH($H68,GradeList,0),0))</f>
        <v>0</v>
      </c>
      <c r="O68" s="64" t="n">
        <f aca="false">IF(OR($I68="",$I68="NR"),0,IFERROR(MATCH($I68,GradeList,0),0))</f>
        <v>0</v>
      </c>
      <c r="P68" s="64" t="n">
        <f aca="false">IF(AND($M68&gt;0,ISNUMBER(MATCH($F68,Lists!$A$2:$A$5,0)),ISNUMBER(MATCH($G68,Lists!$B$2:$B$7,0)),OR($H68="",$N68&gt;0),OR($I68="",$I68="NR",$O68&gt;0),IF(ISNUMBER($J68),AND($J68&gt;=0,$J68=INT($J68)),FALSE())),$J68,0)</f>
        <v>0</v>
      </c>
      <c r="Q68" s="64" t="n">
        <f aca="false">IF(AND($P68&gt;0,$O68&gt;0),$P68,0)</f>
        <v>0</v>
      </c>
      <c r="R68" s="64" t="n">
        <f aca="false">IF(AND($Q68&gt;0,$O68&gt;=AtRank),$Q68,0)</f>
        <v>0</v>
      </c>
      <c r="S68" s="64" t="n">
        <f aca="false">IF(AND($Q68&gt;0,$O68&gt;=AboveRank),$Q68,0)</f>
        <v>0</v>
      </c>
      <c r="T68" s="64" t="n">
        <f aca="false">IF($K68="Less",$P68,0)</f>
        <v>0</v>
      </c>
      <c r="U68" s="64" t="n">
        <f aca="false">IF($K68="Expected",$P68,0)</f>
        <v>0</v>
      </c>
      <c r="V68" s="64" t="n">
        <f aca="false">IF($K68="Better",$P68,0)</f>
        <v>0</v>
      </c>
      <c r="W68" s="64" t="n">
        <f aca="false">IF($K68="U – needs rule",$P68,0)</f>
        <v>0</v>
      </c>
      <c r="X68" s="64" t="n">
        <f aca="false">IF($K68="No Start (attainment only)",$P68,0)</f>
        <v>0</v>
      </c>
    </row>
    <row r="69" customFormat="false" ht="15" hidden="false" customHeight="false" outlineLevel="0" collapsed="false">
      <c r="A69" s="60"/>
      <c r="B69" s="61" t="str">
        <f aca="false">IF($M69=0,"",INDEX(Classes!$E$6:$E$420,$M69))</f>
        <v/>
      </c>
      <c r="C69" s="62" t="str">
        <f aca="false">IF($M69=0,"",INDEX(Classes!$H$6:$H$420,$M69))</f>
        <v/>
      </c>
      <c r="D69" s="61" t="str">
        <f aca="false">IF($M69=0,"",INDEX(Classes!$B$6:$B$420,$M69))</f>
        <v/>
      </c>
      <c r="E69" s="61" t="str">
        <f aca="false">IF($M69=0,"",INDEX(Classes!$C$6:$C$420,$M69))</f>
        <v/>
      </c>
      <c r="F69" s="63"/>
      <c r="G69" s="63"/>
      <c r="H69" s="60"/>
      <c r="I69" s="60"/>
      <c r="J69" s="63"/>
      <c r="K69" s="61" t="str">
        <f aca="false">IF($P69=0,"",IF($F69="Baseline","— Baseline",IF($O69=0,"No result",IF($N69=0,"No Start (attainment only)",IF(OR($N69=1,$O69=1),"U – needs rule",INDEX(MxBody,MATCH($I69,MxCurr,0),MATCH($H69,MxStart,0)))))))</f>
        <v/>
      </c>
      <c r="L69" s="62" t="str">
        <f aca="false">IF(COUNTA($A69,$F69,$G69,$H69,$I69,$J69)=0,"",IF($M69=0,"✖ كود الصف غير موجود",IF(ISNA(MATCH($F69,Lists!$A$2:$A$5,0)),"✖ الفترة غير صحيحة",IF(ISNA(MATCH($G69,Lists!$B$2:$B$7,0)),"✖ المجموعة غير صحيحة",IF(NOT(OR($H69="",$N69&gt;0)),"✖ Start غير صحيح",IF(NOT(OR($I69="",$I69="NR",$O69&gt;0)),"✖ Current غير صحيح",IF(NOT(IF(ISNUMBER($J69),AND($J69&gt;=0,$J69=INT($J69)),FALSE())),"✖ العدد يجب أن يكون صحيحًا ≥ 0",IF(AND($F69="Baseline",$H69&lt;&gt;""),"⚠ Baseline: Start لا يدخل في التقدم",IF($K69="No Start (attainment only)","ℹ تحصيل فقط (بدون Start)",IF($K69="U – needs rule","ℹ حالة U تحتاج قاعدة معتمدة",IF($K69="No result","ℹ بدون نتيجة (يُستبعد من التحصيل)","OK")))))))))))</f>
        <v/>
      </c>
      <c r="M69" s="64" t="n">
        <f aca="false">IF($A69="",0,IFERROR(MATCH($A69,Classes!$A$6:$A$420,0),0))</f>
        <v>0</v>
      </c>
      <c r="N69" s="64" t="n">
        <f aca="false">IF($H69="",0,IFERROR(MATCH($H69,GradeList,0),0))</f>
        <v>0</v>
      </c>
      <c r="O69" s="64" t="n">
        <f aca="false">IF(OR($I69="",$I69="NR"),0,IFERROR(MATCH($I69,GradeList,0),0))</f>
        <v>0</v>
      </c>
      <c r="P69" s="64" t="n">
        <f aca="false">IF(AND($M69&gt;0,ISNUMBER(MATCH($F69,Lists!$A$2:$A$5,0)),ISNUMBER(MATCH($G69,Lists!$B$2:$B$7,0)),OR($H69="",$N69&gt;0),OR($I69="",$I69="NR",$O69&gt;0),IF(ISNUMBER($J69),AND($J69&gt;=0,$J69=INT($J69)),FALSE())),$J69,0)</f>
        <v>0</v>
      </c>
      <c r="Q69" s="64" t="n">
        <f aca="false">IF(AND($P69&gt;0,$O69&gt;0),$P69,0)</f>
        <v>0</v>
      </c>
      <c r="R69" s="64" t="n">
        <f aca="false">IF(AND($Q69&gt;0,$O69&gt;=AtRank),$Q69,0)</f>
        <v>0</v>
      </c>
      <c r="S69" s="64" t="n">
        <f aca="false">IF(AND($Q69&gt;0,$O69&gt;=AboveRank),$Q69,0)</f>
        <v>0</v>
      </c>
      <c r="T69" s="64" t="n">
        <f aca="false">IF($K69="Less",$P69,0)</f>
        <v>0</v>
      </c>
      <c r="U69" s="64" t="n">
        <f aca="false">IF($K69="Expected",$P69,0)</f>
        <v>0</v>
      </c>
      <c r="V69" s="64" t="n">
        <f aca="false">IF($K69="Better",$P69,0)</f>
        <v>0</v>
      </c>
      <c r="W69" s="64" t="n">
        <f aca="false">IF($K69="U – needs rule",$P69,0)</f>
        <v>0</v>
      </c>
      <c r="X69" s="64" t="n">
        <f aca="false">IF($K69="No Start (attainment only)",$P69,0)</f>
        <v>0</v>
      </c>
    </row>
    <row r="70" customFormat="false" ht="15" hidden="false" customHeight="false" outlineLevel="0" collapsed="false">
      <c r="A70" s="60"/>
      <c r="B70" s="61" t="str">
        <f aca="false">IF($M70=0,"",INDEX(Classes!$E$6:$E$420,$M70))</f>
        <v/>
      </c>
      <c r="C70" s="62" t="str">
        <f aca="false">IF($M70=0,"",INDEX(Classes!$H$6:$H$420,$M70))</f>
        <v/>
      </c>
      <c r="D70" s="61" t="str">
        <f aca="false">IF($M70=0,"",INDEX(Classes!$B$6:$B$420,$M70))</f>
        <v/>
      </c>
      <c r="E70" s="61" t="str">
        <f aca="false">IF($M70=0,"",INDEX(Classes!$C$6:$C$420,$M70))</f>
        <v/>
      </c>
      <c r="F70" s="63"/>
      <c r="G70" s="63"/>
      <c r="H70" s="60"/>
      <c r="I70" s="60"/>
      <c r="J70" s="63"/>
      <c r="K70" s="61" t="str">
        <f aca="false">IF($P70=0,"",IF($F70="Baseline","— Baseline",IF($O70=0,"No result",IF($N70=0,"No Start (attainment only)",IF(OR($N70=1,$O70=1),"U – needs rule",INDEX(MxBody,MATCH($I70,MxCurr,0),MATCH($H70,MxStart,0)))))))</f>
        <v/>
      </c>
      <c r="L70" s="62" t="str">
        <f aca="false">IF(COUNTA($A70,$F70,$G70,$H70,$I70,$J70)=0,"",IF($M70=0,"✖ كود الصف غير موجود",IF(ISNA(MATCH($F70,Lists!$A$2:$A$5,0)),"✖ الفترة غير صحيحة",IF(ISNA(MATCH($G70,Lists!$B$2:$B$7,0)),"✖ المجموعة غير صحيحة",IF(NOT(OR($H70="",$N70&gt;0)),"✖ Start غير صحيح",IF(NOT(OR($I70="",$I70="NR",$O70&gt;0)),"✖ Current غير صحيح",IF(NOT(IF(ISNUMBER($J70),AND($J70&gt;=0,$J70=INT($J70)),FALSE())),"✖ العدد يجب أن يكون صحيحًا ≥ 0",IF(AND($F70="Baseline",$H70&lt;&gt;""),"⚠ Baseline: Start لا يدخل في التقدم",IF($K70="No Start (attainment only)","ℹ تحصيل فقط (بدون Start)",IF($K70="U – needs rule","ℹ حالة U تحتاج قاعدة معتمدة",IF($K70="No result","ℹ بدون نتيجة (يُستبعد من التحصيل)","OK")))))))))))</f>
        <v/>
      </c>
      <c r="M70" s="64" t="n">
        <f aca="false">IF($A70="",0,IFERROR(MATCH($A70,Classes!$A$6:$A$420,0),0))</f>
        <v>0</v>
      </c>
      <c r="N70" s="64" t="n">
        <f aca="false">IF($H70="",0,IFERROR(MATCH($H70,GradeList,0),0))</f>
        <v>0</v>
      </c>
      <c r="O70" s="64" t="n">
        <f aca="false">IF(OR($I70="",$I70="NR"),0,IFERROR(MATCH($I70,GradeList,0),0))</f>
        <v>0</v>
      </c>
      <c r="P70" s="64" t="n">
        <f aca="false">IF(AND($M70&gt;0,ISNUMBER(MATCH($F70,Lists!$A$2:$A$5,0)),ISNUMBER(MATCH($G70,Lists!$B$2:$B$7,0)),OR($H70="",$N70&gt;0),OR($I70="",$I70="NR",$O70&gt;0),IF(ISNUMBER($J70),AND($J70&gt;=0,$J70=INT($J70)),FALSE())),$J70,0)</f>
        <v>0</v>
      </c>
      <c r="Q70" s="64" t="n">
        <f aca="false">IF(AND($P70&gt;0,$O70&gt;0),$P70,0)</f>
        <v>0</v>
      </c>
      <c r="R70" s="64" t="n">
        <f aca="false">IF(AND($Q70&gt;0,$O70&gt;=AtRank),$Q70,0)</f>
        <v>0</v>
      </c>
      <c r="S70" s="64" t="n">
        <f aca="false">IF(AND($Q70&gt;0,$O70&gt;=AboveRank),$Q70,0)</f>
        <v>0</v>
      </c>
      <c r="T70" s="64" t="n">
        <f aca="false">IF($K70="Less",$P70,0)</f>
        <v>0</v>
      </c>
      <c r="U70" s="64" t="n">
        <f aca="false">IF($K70="Expected",$P70,0)</f>
        <v>0</v>
      </c>
      <c r="V70" s="64" t="n">
        <f aca="false">IF($K70="Better",$P70,0)</f>
        <v>0</v>
      </c>
      <c r="W70" s="64" t="n">
        <f aca="false">IF($K70="U – needs rule",$P70,0)</f>
        <v>0</v>
      </c>
      <c r="X70" s="64" t="n">
        <f aca="false">IF($K70="No Start (attainment only)",$P70,0)</f>
        <v>0</v>
      </c>
    </row>
    <row r="71" customFormat="false" ht="15" hidden="false" customHeight="false" outlineLevel="0" collapsed="false">
      <c r="A71" s="60"/>
      <c r="B71" s="61" t="str">
        <f aca="false">IF($M71=0,"",INDEX(Classes!$E$6:$E$420,$M71))</f>
        <v/>
      </c>
      <c r="C71" s="62" t="str">
        <f aca="false">IF($M71=0,"",INDEX(Classes!$H$6:$H$420,$M71))</f>
        <v/>
      </c>
      <c r="D71" s="61" t="str">
        <f aca="false">IF($M71=0,"",INDEX(Classes!$B$6:$B$420,$M71))</f>
        <v/>
      </c>
      <c r="E71" s="61" t="str">
        <f aca="false">IF($M71=0,"",INDEX(Classes!$C$6:$C$420,$M71))</f>
        <v/>
      </c>
      <c r="F71" s="63"/>
      <c r="G71" s="63"/>
      <c r="H71" s="60"/>
      <c r="I71" s="60"/>
      <c r="J71" s="63"/>
      <c r="K71" s="61" t="str">
        <f aca="false">IF($P71=0,"",IF($F71="Baseline","— Baseline",IF($O71=0,"No result",IF($N71=0,"No Start (attainment only)",IF(OR($N71=1,$O71=1),"U – needs rule",INDEX(MxBody,MATCH($I71,MxCurr,0),MATCH($H71,MxStart,0)))))))</f>
        <v/>
      </c>
      <c r="L71" s="62" t="str">
        <f aca="false">IF(COUNTA($A71,$F71,$G71,$H71,$I71,$J71)=0,"",IF($M71=0,"✖ كود الصف غير موجود",IF(ISNA(MATCH($F71,Lists!$A$2:$A$5,0)),"✖ الفترة غير صحيحة",IF(ISNA(MATCH($G71,Lists!$B$2:$B$7,0)),"✖ المجموعة غير صحيحة",IF(NOT(OR($H71="",$N71&gt;0)),"✖ Start غير صحيح",IF(NOT(OR($I71="",$I71="NR",$O71&gt;0)),"✖ Current غير صحيح",IF(NOT(IF(ISNUMBER($J71),AND($J71&gt;=0,$J71=INT($J71)),FALSE())),"✖ العدد يجب أن يكون صحيحًا ≥ 0",IF(AND($F71="Baseline",$H71&lt;&gt;""),"⚠ Baseline: Start لا يدخل في التقدم",IF($K71="No Start (attainment only)","ℹ تحصيل فقط (بدون Start)",IF($K71="U – needs rule","ℹ حالة U تحتاج قاعدة معتمدة",IF($K71="No result","ℹ بدون نتيجة (يُستبعد من التحصيل)","OK")))))))))))</f>
        <v/>
      </c>
      <c r="M71" s="64" t="n">
        <f aca="false">IF($A71="",0,IFERROR(MATCH($A71,Classes!$A$6:$A$420,0),0))</f>
        <v>0</v>
      </c>
      <c r="N71" s="64" t="n">
        <f aca="false">IF($H71="",0,IFERROR(MATCH($H71,GradeList,0),0))</f>
        <v>0</v>
      </c>
      <c r="O71" s="64" t="n">
        <f aca="false">IF(OR($I71="",$I71="NR"),0,IFERROR(MATCH($I71,GradeList,0),0))</f>
        <v>0</v>
      </c>
      <c r="P71" s="64" t="n">
        <f aca="false">IF(AND($M71&gt;0,ISNUMBER(MATCH($F71,Lists!$A$2:$A$5,0)),ISNUMBER(MATCH($G71,Lists!$B$2:$B$7,0)),OR($H71="",$N71&gt;0),OR($I71="",$I71="NR",$O71&gt;0),IF(ISNUMBER($J71),AND($J71&gt;=0,$J71=INT($J71)),FALSE())),$J71,0)</f>
        <v>0</v>
      </c>
      <c r="Q71" s="64" t="n">
        <f aca="false">IF(AND($P71&gt;0,$O71&gt;0),$P71,0)</f>
        <v>0</v>
      </c>
      <c r="R71" s="64" t="n">
        <f aca="false">IF(AND($Q71&gt;0,$O71&gt;=AtRank),$Q71,0)</f>
        <v>0</v>
      </c>
      <c r="S71" s="64" t="n">
        <f aca="false">IF(AND($Q71&gt;0,$O71&gt;=AboveRank),$Q71,0)</f>
        <v>0</v>
      </c>
      <c r="T71" s="64" t="n">
        <f aca="false">IF($K71="Less",$P71,0)</f>
        <v>0</v>
      </c>
      <c r="U71" s="64" t="n">
        <f aca="false">IF($K71="Expected",$P71,0)</f>
        <v>0</v>
      </c>
      <c r="V71" s="64" t="n">
        <f aca="false">IF($K71="Better",$P71,0)</f>
        <v>0</v>
      </c>
      <c r="W71" s="64" t="n">
        <f aca="false">IF($K71="U – needs rule",$P71,0)</f>
        <v>0</v>
      </c>
      <c r="X71" s="64" t="n">
        <f aca="false">IF($K71="No Start (attainment only)",$P71,0)</f>
        <v>0</v>
      </c>
    </row>
    <row r="72" customFormat="false" ht="15" hidden="false" customHeight="false" outlineLevel="0" collapsed="false">
      <c r="A72" s="60"/>
      <c r="B72" s="61" t="str">
        <f aca="false">IF($M72=0,"",INDEX(Classes!$E$6:$E$420,$M72))</f>
        <v/>
      </c>
      <c r="C72" s="62" t="str">
        <f aca="false">IF($M72=0,"",INDEX(Classes!$H$6:$H$420,$M72))</f>
        <v/>
      </c>
      <c r="D72" s="61" t="str">
        <f aca="false">IF($M72=0,"",INDEX(Classes!$B$6:$B$420,$M72))</f>
        <v/>
      </c>
      <c r="E72" s="61" t="str">
        <f aca="false">IF($M72=0,"",INDEX(Classes!$C$6:$C$420,$M72))</f>
        <v/>
      </c>
      <c r="F72" s="63"/>
      <c r="G72" s="63"/>
      <c r="H72" s="60"/>
      <c r="I72" s="60"/>
      <c r="J72" s="63"/>
      <c r="K72" s="61" t="str">
        <f aca="false">IF($P72=0,"",IF($F72="Baseline","— Baseline",IF($O72=0,"No result",IF($N72=0,"No Start (attainment only)",IF(OR($N72=1,$O72=1),"U – needs rule",INDEX(MxBody,MATCH($I72,MxCurr,0),MATCH($H72,MxStart,0)))))))</f>
        <v/>
      </c>
      <c r="L72" s="62" t="str">
        <f aca="false">IF(COUNTA($A72,$F72,$G72,$H72,$I72,$J72)=0,"",IF($M72=0,"✖ كود الصف غير موجود",IF(ISNA(MATCH($F72,Lists!$A$2:$A$5,0)),"✖ الفترة غير صحيحة",IF(ISNA(MATCH($G72,Lists!$B$2:$B$7,0)),"✖ المجموعة غير صحيحة",IF(NOT(OR($H72="",$N72&gt;0)),"✖ Start غير صحيح",IF(NOT(OR($I72="",$I72="NR",$O72&gt;0)),"✖ Current غير صحيح",IF(NOT(IF(ISNUMBER($J72),AND($J72&gt;=0,$J72=INT($J72)),FALSE())),"✖ العدد يجب أن يكون صحيحًا ≥ 0",IF(AND($F72="Baseline",$H72&lt;&gt;""),"⚠ Baseline: Start لا يدخل في التقدم",IF($K72="No Start (attainment only)","ℹ تحصيل فقط (بدون Start)",IF($K72="U – needs rule","ℹ حالة U تحتاج قاعدة معتمدة",IF($K72="No result","ℹ بدون نتيجة (يُستبعد من التحصيل)","OK")))))))))))</f>
        <v/>
      </c>
      <c r="M72" s="64" t="n">
        <f aca="false">IF($A72="",0,IFERROR(MATCH($A72,Classes!$A$6:$A$420,0),0))</f>
        <v>0</v>
      </c>
      <c r="N72" s="64" t="n">
        <f aca="false">IF($H72="",0,IFERROR(MATCH($H72,GradeList,0),0))</f>
        <v>0</v>
      </c>
      <c r="O72" s="64" t="n">
        <f aca="false">IF(OR($I72="",$I72="NR"),0,IFERROR(MATCH($I72,GradeList,0),0))</f>
        <v>0</v>
      </c>
      <c r="P72" s="64" t="n">
        <f aca="false">IF(AND($M72&gt;0,ISNUMBER(MATCH($F72,Lists!$A$2:$A$5,0)),ISNUMBER(MATCH($G72,Lists!$B$2:$B$7,0)),OR($H72="",$N72&gt;0),OR($I72="",$I72="NR",$O72&gt;0),IF(ISNUMBER($J72),AND($J72&gt;=0,$J72=INT($J72)),FALSE())),$J72,0)</f>
        <v>0</v>
      </c>
      <c r="Q72" s="64" t="n">
        <f aca="false">IF(AND($P72&gt;0,$O72&gt;0),$P72,0)</f>
        <v>0</v>
      </c>
      <c r="R72" s="64" t="n">
        <f aca="false">IF(AND($Q72&gt;0,$O72&gt;=AtRank),$Q72,0)</f>
        <v>0</v>
      </c>
      <c r="S72" s="64" t="n">
        <f aca="false">IF(AND($Q72&gt;0,$O72&gt;=AboveRank),$Q72,0)</f>
        <v>0</v>
      </c>
      <c r="T72" s="64" t="n">
        <f aca="false">IF($K72="Less",$P72,0)</f>
        <v>0</v>
      </c>
      <c r="U72" s="64" t="n">
        <f aca="false">IF($K72="Expected",$P72,0)</f>
        <v>0</v>
      </c>
      <c r="V72" s="64" t="n">
        <f aca="false">IF($K72="Better",$P72,0)</f>
        <v>0</v>
      </c>
      <c r="W72" s="64" t="n">
        <f aca="false">IF($K72="U – needs rule",$P72,0)</f>
        <v>0</v>
      </c>
      <c r="X72" s="64" t="n">
        <f aca="false">IF($K72="No Start (attainment only)",$P72,0)</f>
        <v>0</v>
      </c>
    </row>
    <row r="73" customFormat="false" ht="15" hidden="false" customHeight="false" outlineLevel="0" collapsed="false">
      <c r="A73" s="60"/>
      <c r="B73" s="61" t="str">
        <f aca="false">IF($M73=0,"",INDEX(Classes!$E$6:$E$420,$M73))</f>
        <v/>
      </c>
      <c r="C73" s="62" t="str">
        <f aca="false">IF($M73=0,"",INDEX(Classes!$H$6:$H$420,$M73))</f>
        <v/>
      </c>
      <c r="D73" s="61" t="str">
        <f aca="false">IF($M73=0,"",INDEX(Classes!$B$6:$B$420,$M73))</f>
        <v/>
      </c>
      <c r="E73" s="61" t="str">
        <f aca="false">IF($M73=0,"",INDEX(Classes!$C$6:$C$420,$M73))</f>
        <v/>
      </c>
      <c r="F73" s="63"/>
      <c r="G73" s="63"/>
      <c r="H73" s="60"/>
      <c r="I73" s="60"/>
      <c r="J73" s="63"/>
      <c r="K73" s="61" t="str">
        <f aca="false">IF($P73=0,"",IF($F73="Baseline","— Baseline",IF($O73=0,"No result",IF($N73=0,"No Start (attainment only)",IF(OR($N73=1,$O73=1),"U – needs rule",INDEX(MxBody,MATCH($I73,MxCurr,0),MATCH($H73,MxStart,0)))))))</f>
        <v/>
      </c>
      <c r="L73" s="62" t="str">
        <f aca="false">IF(COUNTA($A73,$F73,$G73,$H73,$I73,$J73)=0,"",IF($M73=0,"✖ كود الصف غير موجود",IF(ISNA(MATCH($F73,Lists!$A$2:$A$5,0)),"✖ الفترة غير صحيحة",IF(ISNA(MATCH($G73,Lists!$B$2:$B$7,0)),"✖ المجموعة غير صحيحة",IF(NOT(OR($H73="",$N73&gt;0)),"✖ Start غير صحيح",IF(NOT(OR($I73="",$I73="NR",$O73&gt;0)),"✖ Current غير صحيح",IF(NOT(IF(ISNUMBER($J73),AND($J73&gt;=0,$J73=INT($J73)),FALSE())),"✖ العدد يجب أن يكون صحيحًا ≥ 0",IF(AND($F73="Baseline",$H73&lt;&gt;""),"⚠ Baseline: Start لا يدخل في التقدم",IF($K73="No Start (attainment only)","ℹ تحصيل فقط (بدون Start)",IF($K73="U – needs rule","ℹ حالة U تحتاج قاعدة معتمدة",IF($K73="No result","ℹ بدون نتيجة (يُستبعد من التحصيل)","OK")))))))))))</f>
        <v/>
      </c>
      <c r="M73" s="64" t="n">
        <f aca="false">IF($A73="",0,IFERROR(MATCH($A73,Classes!$A$6:$A$420,0),0))</f>
        <v>0</v>
      </c>
      <c r="N73" s="64" t="n">
        <f aca="false">IF($H73="",0,IFERROR(MATCH($H73,GradeList,0),0))</f>
        <v>0</v>
      </c>
      <c r="O73" s="64" t="n">
        <f aca="false">IF(OR($I73="",$I73="NR"),0,IFERROR(MATCH($I73,GradeList,0),0))</f>
        <v>0</v>
      </c>
      <c r="P73" s="64" t="n">
        <f aca="false">IF(AND($M73&gt;0,ISNUMBER(MATCH($F73,Lists!$A$2:$A$5,0)),ISNUMBER(MATCH($G73,Lists!$B$2:$B$7,0)),OR($H73="",$N73&gt;0),OR($I73="",$I73="NR",$O73&gt;0),IF(ISNUMBER($J73),AND($J73&gt;=0,$J73=INT($J73)),FALSE())),$J73,0)</f>
        <v>0</v>
      </c>
      <c r="Q73" s="64" t="n">
        <f aca="false">IF(AND($P73&gt;0,$O73&gt;0),$P73,0)</f>
        <v>0</v>
      </c>
      <c r="R73" s="64" t="n">
        <f aca="false">IF(AND($Q73&gt;0,$O73&gt;=AtRank),$Q73,0)</f>
        <v>0</v>
      </c>
      <c r="S73" s="64" t="n">
        <f aca="false">IF(AND($Q73&gt;0,$O73&gt;=AboveRank),$Q73,0)</f>
        <v>0</v>
      </c>
      <c r="T73" s="64" t="n">
        <f aca="false">IF($K73="Less",$P73,0)</f>
        <v>0</v>
      </c>
      <c r="U73" s="64" t="n">
        <f aca="false">IF($K73="Expected",$P73,0)</f>
        <v>0</v>
      </c>
      <c r="V73" s="64" t="n">
        <f aca="false">IF($K73="Better",$P73,0)</f>
        <v>0</v>
      </c>
      <c r="W73" s="64" t="n">
        <f aca="false">IF($K73="U – needs rule",$P73,0)</f>
        <v>0</v>
      </c>
      <c r="X73" s="64" t="n">
        <f aca="false">IF($K73="No Start (attainment only)",$P73,0)</f>
        <v>0</v>
      </c>
    </row>
    <row r="74" customFormat="false" ht="15" hidden="false" customHeight="false" outlineLevel="0" collapsed="false">
      <c r="A74" s="60"/>
      <c r="B74" s="61" t="str">
        <f aca="false">IF($M74=0,"",INDEX(Classes!$E$6:$E$420,$M74))</f>
        <v/>
      </c>
      <c r="C74" s="62" t="str">
        <f aca="false">IF($M74=0,"",INDEX(Classes!$H$6:$H$420,$M74))</f>
        <v/>
      </c>
      <c r="D74" s="61" t="str">
        <f aca="false">IF($M74=0,"",INDEX(Classes!$B$6:$B$420,$M74))</f>
        <v/>
      </c>
      <c r="E74" s="61" t="str">
        <f aca="false">IF($M74=0,"",INDEX(Classes!$C$6:$C$420,$M74))</f>
        <v/>
      </c>
      <c r="F74" s="63"/>
      <c r="G74" s="63"/>
      <c r="H74" s="60"/>
      <c r="I74" s="60"/>
      <c r="J74" s="63"/>
      <c r="K74" s="61" t="str">
        <f aca="false">IF($P74=0,"",IF($F74="Baseline","— Baseline",IF($O74=0,"No result",IF($N74=0,"No Start (attainment only)",IF(OR($N74=1,$O74=1),"U – needs rule",INDEX(MxBody,MATCH($I74,MxCurr,0),MATCH($H74,MxStart,0)))))))</f>
        <v/>
      </c>
      <c r="L74" s="62" t="str">
        <f aca="false">IF(COUNTA($A74,$F74,$G74,$H74,$I74,$J74)=0,"",IF($M74=0,"✖ كود الصف غير موجود",IF(ISNA(MATCH($F74,Lists!$A$2:$A$5,0)),"✖ الفترة غير صحيحة",IF(ISNA(MATCH($G74,Lists!$B$2:$B$7,0)),"✖ المجموعة غير صحيحة",IF(NOT(OR($H74="",$N74&gt;0)),"✖ Start غير صحيح",IF(NOT(OR($I74="",$I74="NR",$O74&gt;0)),"✖ Current غير صحيح",IF(NOT(IF(ISNUMBER($J74),AND($J74&gt;=0,$J74=INT($J74)),FALSE())),"✖ العدد يجب أن يكون صحيحًا ≥ 0",IF(AND($F74="Baseline",$H74&lt;&gt;""),"⚠ Baseline: Start لا يدخل في التقدم",IF($K74="No Start (attainment only)","ℹ تحصيل فقط (بدون Start)",IF($K74="U – needs rule","ℹ حالة U تحتاج قاعدة معتمدة",IF($K74="No result","ℹ بدون نتيجة (يُستبعد من التحصيل)","OK")))))))))))</f>
        <v/>
      </c>
      <c r="M74" s="64" t="n">
        <f aca="false">IF($A74="",0,IFERROR(MATCH($A74,Classes!$A$6:$A$420,0),0))</f>
        <v>0</v>
      </c>
      <c r="N74" s="64" t="n">
        <f aca="false">IF($H74="",0,IFERROR(MATCH($H74,GradeList,0),0))</f>
        <v>0</v>
      </c>
      <c r="O74" s="64" t="n">
        <f aca="false">IF(OR($I74="",$I74="NR"),0,IFERROR(MATCH($I74,GradeList,0),0))</f>
        <v>0</v>
      </c>
      <c r="P74" s="64" t="n">
        <f aca="false">IF(AND($M74&gt;0,ISNUMBER(MATCH($F74,Lists!$A$2:$A$5,0)),ISNUMBER(MATCH($G74,Lists!$B$2:$B$7,0)),OR($H74="",$N74&gt;0),OR($I74="",$I74="NR",$O74&gt;0),IF(ISNUMBER($J74),AND($J74&gt;=0,$J74=INT($J74)),FALSE())),$J74,0)</f>
        <v>0</v>
      </c>
      <c r="Q74" s="64" t="n">
        <f aca="false">IF(AND($P74&gt;0,$O74&gt;0),$P74,0)</f>
        <v>0</v>
      </c>
      <c r="R74" s="64" t="n">
        <f aca="false">IF(AND($Q74&gt;0,$O74&gt;=AtRank),$Q74,0)</f>
        <v>0</v>
      </c>
      <c r="S74" s="64" t="n">
        <f aca="false">IF(AND($Q74&gt;0,$O74&gt;=AboveRank),$Q74,0)</f>
        <v>0</v>
      </c>
      <c r="T74" s="64" t="n">
        <f aca="false">IF($K74="Less",$P74,0)</f>
        <v>0</v>
      </c>
      <c r="U74" s="64" t="n">
        <f aca="false">IF($K74="Expected",$P74,0)</f>
        <v>0</v>
      </c>
      <c r="V74" s="64" t="n">
        <f aca="false">IF($K74="Better",$P74,0)</f>
        <v>0</v>
      </c>
      <c r="W74" s="64" t="n">
        <f aca="false">IF($K74="U – needs rule",$P74,0)</f>
        <v>0</v>
      </c>
      <c r="X74" s="64" t="n">
        <f aca="false">IF($K74="No Start (attainment only)",$P74,0)</f>
        <v>0</v>
      </c>
    </row>
    <row r="75" customFormat="false" ht="15" hidden="false" customHeight="false" outlineLevel="0" collapsed="false">
      <c r="A75" s="60"/>
      <c r="B75" s="61" t="str">
        <f aca="false">IF($M75=0,"",INDEX(Classes!$E$6:$E$420,$M75))</f>
        <v/>
      </c>
      <c r="C75" s="62" t="str">
        <f aca="false">IF($M75=0,"",INDEX(Classes!$H$6:$H$420,$M75))</f>
        <v/>
      </c>
      <c r="D75" s="61" t="str">
        <f aca="false">IF($M75=0,"",INDEX(Classes!$B$6:$B$420,$M75))</f>
        <v/>
      </c>
      <c r="E75" s="61" t="str">
        <f aca="false">IF($M75=0,"",INDEX(Classes!$C$6:$C$420,$M75))</f>
        <v/>
      </c>
      <c r="F75" s="63"/>
      <c r="G75" s="63"/>
      <c r="H75" s="60"/>
      <c r="I75" s="60"/>
      <c r="J75" s="63"/>
      <c r="K75" s="61" t="str">
        <f aca="false">IF($P75=0,"",IF($F75="Baseline","— Baseline",IF($O75=0,"No result",IF($N75=0,"No Start (attainment only)",IF(OR($N75=1,$O75=1),"U – needs rule",INDEX(MxBody,MATCH($I75,MxCurr,0),MATCH($H75,MxStart,0)))))))</f>
        <v/>
      </c>
      <c r="L75" s="62" t="str">
        <f aca="false">IF(COUNTA($A75,$F75,$G75,$H75,$I75,$J75)=0,"",IF($M75=0,"✖ كود الصف غير موجود",IF(ISNA(MATCH($F75,Lists!$A$2:$A$5,0)),"✖ الفترة غير صحيحة",IF(ISNA(MATCH($G75,Lists!$B$2:$B$7,0)),"✖ المجموعة غير صحيحة",IF(NOT(OR($H75="",$N75&gt;0)),"✖ Start غير صحيح",IF(NOT(OR($I75="",$I75="NR",$O75&gt;0)),"✖ Current غير صحيح",IF(NOT(IF(ISNUMBER($J75),AND($J75&gt;=0,$J75=INT($J75)),FALSE())),"✖ العدد يجب أن يكون صحيحًا ≥ 0",IF(AND($F75="Baseline",$H75&lt;&gt;""),"⚠ Baseline: Start لا يدخل في التقدم",IF($K75="No Start (attainment only)","ℹ تحصيل فقط (بدون Start)",IF($K75="U – needs rule","ℹ حالة U تحتاج قاعدة معتمدة",IF($K75="No result","ℹ بدون نتيجة (يُستبعد من التحصيل)","OK")))))))))))</f>
        <v/>
      </c>
      <c r="M75" s="64" t="n">
        <f aca="false">IF($A75="",0,IFERROR(MATCH($A75,Classes!$A$6:$A$420,0),0))</f>
        <v>0</v>
      </c>
      <c r="N75" s="64" t="n">
        <f aca="false">IF($H75="",0,IFERROR(MATCH($H75,GradeList,0),0))</f>
        <v>0</v>
      </c>
      <c r="O75" s="64" t="n">
        <f aca="false">IF(OR($I75="",$I75="NR"),0,IFERROR(MATCH($I75,GradeList,0),0))</f>
        <v>0</v>
      </c>
      <c r="P75" s="64" t="n">
        <f aca="false">IF(AND($M75&gt;0,ISNUMBER(MATCH($F75,Lists!$A$2:$A$5,0)),ISNUMBER(MATCH($G75,Lists!$B$2:$B$7,0)),OR($H75="",$N75&gt;0),OR($I75="",$I75="NR",$O75&gt;0),IF(ISNUMBER($J75),AND($J75&gt;=0,$J75=INT($J75)),FALSE())),$J75,0)</f>
        <v>0</v>
      </c>
      <c r="Q75" s="64" t="n">
        <f aca="false">IF(AND($P75&gt;0,$O75&gt;0),$P75,0)</f>
        <v>0</v>
      </c>
      <c r="R75" s="64" t="n">
        <f aca="false">IF(AND($Q75&gt;0,$O75&gt;=AtRank),$Q75,0)</f>
        <v>0</v>
      </c>
      <c r="S75" s="64" t="n">
        <f aca="false">IF(AND($Q75&gt;0,$O75&gt;=AboveRank),$Q75,0)</f>
        <v>0</v>
      </c>
      <c r="T75" s="64" t="n">
        <f aca="false">IF($K75="Less",$P75,0)</f>
        <v>0</v>
      </c>
      <c r="U75" s="64" t="n">
        <f aca="false">IF($K75="Expected",$P75,0)</f>
        <v>0</v>
      </c>
      <c r="V75" s="64" t="n">
        <f aca="false">IF($K75="Better",$P75,0)</f>
        <v>0</v>
      </c>
      <c r="W75" s="64" t="n">
        <f aca="false">IF($K75="U – needs rule",$P75,0)</f>
        <v>0</v>
      </c>
      <c r="X75" s="64" t="n">
        <f aca="false">IF($K75="No Start (attainment only)",$P75,0)</f>
        <v>0</v>
      </c>
    </row>
    <row r="76" customFormat="false" ht="15" hidden="false" customHeight="false" outlineLevel="0" collapsed="false">
      <c r="A76" s="60"/>
      <c r="B76" s="61" t="str">
        <f aca="false">IF($M76=0,"",INDEX(Classes!$E$6:$E$420,$M76))</f>
        <v/>
      </c>
      <c r="C76" s="62" t="str">
        <f aca="false">IF($M76=0,"",INDEX(Classes!$H$6:$H$420,$M76))</f>
        <v/>
      </c>
      <c r="D76" s="61" t="str">
        <f aca="false">IF($M76=0,"",INDEX(Classes!$B$6:$B$420,$M76))</f>
        <v/>
      </c>
      <c r="E76" s="61" t="str">
        <f aca="false">IF($M76=0,"",INDEX(Classes!$C$6:$C$420,$M76))</f>
        <v/>
      </c>
      <c r="F76" s="63"/>
      <c r="G76" s="63"/>
      <c r="H76" s="60"/>
      <c r="I76" s="60"/>
      <c r="J76" s="63"/>
      <c r="K76" s="61" t="str">
        <f aca="false">IF($P76=0,"",IF($F76="Baseline","— Baseline",IF($O76=0,"No result",IF($N76=0,"No Start (attainment only)",IF(OR($N76=1,$O76=1),"U – needs rule",INDEX(MxBody,MATCH($I76,MxCurr,0),MATCH($H76,MxStart,0)))))))</f>
        <v/>
      </c>
      <c r="L76" s="62" t="str">
        <f aca="false">IF(COUNTA($A76,$F76,$G76,$H76,$I76,$J76)=0,"",IF($M76=0,"✖ كود الصف غير موجود",IF(ISNA(MATCH($F76,Lists!$A$2:$A$5,0)),"✖ الفترة غير صحيحة",IF(ISNA(MATCH($G76,Lists!$B$2:$B$7,0)),"✖ المجموعة غير صحيحة",IF(NOT(OR($H76="",$N76&gt;0)),"✖ Start غير صحيح",IF(NOT(OR($I76="",$I76="NR",$O76&gt;0)),"✖ Current غير صحيح",IF(NOT(IF(ISNUMBER($J76),AND($J76&gt;=0,$J76=INT($J76)),FALSE())),"✖ العدد يجب أن يكون صحيحًا ≥ 0",IF(AND($F76="Baseline",$H76&lt;&gt;""),"⚠ Baseline: Start لا يدخل في التقدم",IF($K76="No Start (attainment only)","ℹ تحصيل فقط (بدون Start)",IF($K76="U – needs rule","ℹ حالة U تحتاج قاعدة معتمدة",IF($K76="No result","ℹ بدون نتيجة (يُستبعد من التحصيل)","OK")))))))))))</f>
        <v/>
      </c>
      <c r="M76" s="64" t="n">
        <f aca="false">IF($A76="",0,IFERROR(MATCH($A76,Classes!$A$6:$A$420,0),0))</f>
        <v>0</v>
      </c>
      <c r="N76" s="64" t="n">
        <f aca="false">IF($H76="",0,IFERROR(MATCH($H76,GradeList,0),0))</f>
        <v>0</v>
      </c>
      <c r="O76" s="64" t="n">
        <f aca="false">IF(OR($I76="",$I76="NR"),0,IFERROR(MATCH($I76,GradeList,0),0))</f>
        <v>0</v>
      </c>
      <c r="P76" s="64" t="n">
        <f aca="false">IF(AND($M76&gt;0,ISNUMBER(MATCH($F76,Lists!$A$2:$A$5,0)),ISNUMBER(MATCH($G76,Lists!$B$2:$B$7,0)),OR($H76="",$N76&gt;0),OR($I76="",$I76="NR",$O76&gt;0),IF(ISNUMBER($J76),AND($J76&gt;=0,$J76=INT($J76)),FALSE())),$J76,0)</f>
        <v>0</v>
      </c>
      <c r="Q76" s="64" t="n">
        <f aca="false">IF(AND($P76&gt;0,$O76&gt;0),$P76,0)</f>
        <v>0</v>
      </c>
      <c r="R76" s="64" t="n">
        <f aca="false">IF(AND($Q76&gt;0,$O76&gt;=AtRank),$Q76,0)</f>
        <v>0</v>
      </c>
      <c r="S76" s="64" t="n">
        <f aca="false">IF(AND($Q76&gt;0,$O76&gt;=AboveRank),$Q76,0)</f>
        <v>0</v>
      </c>
      <c r="T76" s="64" t="n">
        <f aca="false">IF($K76="Less",$P76,0)</f>
        <v>0</v>
      </c>
      <c r="U76" s="64" t="n">
        <f aca="false">IF($K76="Expected",$P76,0)</f>
        <v>0</v>
      </c>
      <c r="V76" s="64" t="n">
        <f aca="false">IF($K76="Better",$P76,0)</f>
        <v>0</v>
      </c>
      <c r="W76" s="64" t="n">
        <f aca="false">IF($K76="U – needs rule",$P76,0)</f>
        <v>0</v>
      </c>
      <c r="X76" s="64" t="n">
        <f aca="false">IF($K76="No Start (attainment only)",$P76,0)</f>
        <v>0</v>
      </c>
    </row>
    <row r="77" customFormat="false" ht="15" hidden="false" customHeight="false" outlineLevel="0" collapsed="false">
      <c r="A77" s="60"/>
      <c r="B77" s="61" t="str">
        <f aca="false">IF($M77=0,"",INDEX(Classes!$E$6:$E$420,$M77))</f>
        <v/>
      </c>
      <c r="C77" s="62" t="str">
        <f aca="false">IF($M77=0,"",INDEX(Classes!$H$6:$H$420,$M77))</f>
        <v/>
      </c>
      <c r="D77" s="61" t="str">
        <f aca="false">IF($M77=0,"",INDEX(Classes!$B$6:$B$420,$M77))</f>
        <v/>
      </c>
      <c r="E77" s="61" t="str">
        <f aca="false">IF($M77=0,"",INDEX(Classes!$C$6:$C$420,$M77))</f>
        <v/>
      </c>
      <c r="F77" s="63"/>
      <c r="G77" s="63"/>
      <c r="H77" s="60"/>
      <c r="I77" s="60"/>
      <c r="J77" s="63"/>
      <c r="K77" s="61" t="str">
        <f aca="false">IF($P77=0,"",IF($F77="Baseline","— Baseline",IF($O77=0,"No result",IF($N77=0,"No Start (attainment only)",IF(OR($N77=1,$O77=1),"U – needs rule",INDEX(MxBody,MATCH($I77,MxCurr,0),MATCH($H77,MxStart,0)))))))</f>
        <v/>
      </c>
      <c r="L77" s="62" t="str">
        <f aca="false">IF(COUNTA($A77,$F77,$G77,$H77,$I77,$J77)=0,"",IF($M77=0,"✖ كود الصف غير موجود",IF(ISNA(MATCH($F77,Lists!$A$2:$A$5,0)),"✖ الفترة غير صحيحة",IF(ISNA(MATCH($G77,Lists!$B$2:$B$7,0)),"✖ المجموعة غير صحيحة",IF(NOT(OR($H77="",$N77&gt;0)),"✖ Start غير صحيح",IF(NOT(OR($I77="",$I77="NR",$O77&gt;0)),"✖ Current غير صحيح",IF(NOT(IF(ISNUMBER($J77),AND($J77&gt;=0,$J77=INT($J77)),FALSE())),"✖ العدد يجب أن يكون صحيحًا ≥ 0",IF(AND($F77="Baseline",$H77&lt;&gt;""),"⚠ Baseline: Start لا يدخل في التقدم",IF($K77="No Start (attainment only)","ℹ تحصيل فقط (بدون Start)",IF($K77="U – needs rule","ℹ حالة U تحتاج قاعدة معتمدة",IF($K77="No result","ℹ بدون نتيجة (يُستبعد من التحصيل)","OK")))))))))))</f>
        <v/>
      </c>
      <c r="M77" s="64" t="n">
        <f aca="false">IF($A77="",0,IFERROR(MATCH($A77,Classes!$A$6:$A$420,0),0))</f>
        <v>0</v>
      </c>
      <c r="N77" s="64" t="n">
        <f aca="false">IF($H77="",0,IFERROR(MATCH($H77,GradeList,0),0))</f>
        <v>0</v>
      </c>
      <c r="O77" s="64" t="n">
        <f aca="false">IF(OR($I77="",$I77="NR"),0,IFERROR(MATCH($I77,GradeList,0),0))</f>
        <v>0</v>
      </c>
      <c r="P77" s="64" t="n">
        <f aca="false">IF(AND($M77&gt;0,ISNUMBER(MATCH($F77,Lists!$A$2:$A$5,0)),ISNUMBER(MATCH($G77,Lists!$B$2:$B$7,0)),OR($H77="",$N77&gt;0),OR($I77="",$I77="NR",$O77&gt;0),IF(ISNUMBER($J77),AND($J77&gt;=0,$J77=INT($J77)),FALSE())),$J77,0)</f>
        <v>0</v>
      </c>
      <c r="Q77" s="64" t="n">
        <f aca="false">IF(AND($P77&gt;0,$O77&gt;0),$P77,0)</f>
        <v>0</v>
      </c>
      <c r="R77" s="64" t="n">
        <f aca="false">IF(AND($Q77&gt;0,$O77&gt;=AtRank),$Q77,0)</f>
        <v>0</v>
      </c>
      <c r="S77" s="64" t="n">
        <f aca="false">IF(AND($Q77&gt;0,$O77&gt;=AboveRank),$Q77,0)</f>
        <v>0</v>
      </c>
      <c r="T77" s="64" t="n">
        <f aca="false">IF($K77="Less",$P77,0)</f>
        <v>0</v>
      </c>
      <c r="U77" s="64" t="n">
        <f aca="false">IF($K77="Expected",$P77,0)</f>
        <v>0</v>
      </c>
      <c r="V77" s="64" t="n">
        <f aca="false">IF($K77="Better",$P77,0)</f>
        <v>0</v>
      </c>
      <c r="W77" s="64" t="n">
        <f aca="false">IF($K77="U – needs rule",$P77,0)</f>
        <v>0</v>
      </c>
      <c r="X77" s="64" t="n">
        <f aca="false">IF($K77="No Start (attainment only)",$P77,0)</f>
        <v>0</v>
      </c>
    </row>
    <row r="78" customFormat="false" ht="15" hidden="false" customHeight="false" outlineLevel="0" collapsed="false">
      <c r="A78" s="60"/>
      <c r="B78" s="61" t="str">
        <f aca="false">IF($M78=0,"",INDEX(Classes!$E$6:$E$420,$M78))</f>
        <v/>
      </c>
      <c r="C78" s="62" t="str">
        <f aca="false">IF($M78=0,"",INDEX(Classes!$H$6:$H$420,$M78))</f>
        <v/>
      </c>
      <c r="D78" s="61" t="str">
        <f aca="false">IF($M78=0,"",INDEX(Classes!$B$6:$B$420,$M78))</f>
        <v/>
      </c>
      <c r="E78" s="61" t="str">
        <f aca="false">IF($M78=0,"",INDEX(Classes!$C$6:$C$420,$M78))</f>
        <v/>
      </c>
      <c r="F78" s="63"/>
      <c r="G78" s="63"/>
      <c r="H78" s="60"/>
      <c r="I78" s="60"/>
      <c r="J78" s="63"/>
      <c r="K78" s="61" t="str">
        <f aca="false">IF($P78=0,"",IF($F78="Baseline","— Baseline",IF($O78=0,"No result",IF($N78=0,"No Start (attainment only)",IF(OR($N78=1,$O78=1),"U – needs rule",INDEX(MxBody,MATCH($I78,MxCurr,0),MATCH($H78,MxStart,0)))))))</f>
        <v/>
      </c>
      <c r="L78" s="62" t="str">
        <f aca="false">IF(COUNTA($A78,$F78,$G78,$H78,$I78,$J78)=0,"",IF($M78=0,"✖ كود الصف غير موجود",IF(ISNA(MATCH($F78,Lists!$A$2:$A$5,0)),"✖ الفترة غير صحيحة",IF(ISNA(MATCH($G78,Lists!$B$2:$B$7,0)),"✖ المجموعة غير صحيحة",IF(NOT(OR($H78="",$N78&gt;0)),"✖ Start غير صحيح",IF(NOT(OR($I78="",$I78="NR",$O78&gt;0)),"✖ Current غير صحيح",IF(NOT(IF(ISNUMBER($J78),AND($J78&gt;=0,$J78=INT($J78)),FALSE())),"✖ العدد يجب أن يكون صحيحًا ≥ 0",IF(AND($F78="Baseline",$H78&lt;&gt;""),"⚠ Baseline: Start لا يدخل في التقدم",IF($K78="No Start (attainment only)","ℹ تحصيل فقط (بدون Start)",IF($K78="U – needs rule","ℹ حالة U تحتاج قاعدة معتمدة",IF($K78="No result","ℹ بدون نتيجة (يُستبعد من التحصيل)","OK")))))))))))</f>
        <v/>
      </c>
      <c r="M78" s="64" t="n">
        <f aca="false">IF($A78="",0,IFERROR(MATCH($A78,Classes!$A$6:$A$420,0),0))</f>
        <v>0</v>
      </c>
      <c r="N78" s="64" t="n">
        <f aca="false">IF($H78="",0,IFERROR(MATCH($H78,GradeList,0),0))</f>
        <v>0</v>
      </c>
      <c r="O78" s="64" t="n">
        <f aca="false">IF(OR($I78="",$I78="NR"),0,IFERROR(MATCH($I78,GradeList,0),0))</f>
        <v>0</v>
      </c>
      <c r="P78" s="64" t="n">
        <f aca="false">IF(AND($M78&gt;0,ISNUMBER(MATCH($F78,Lists!$A$2:$A$5,0)),ISNUMBER(MATCH($G78,Lists!$B$2:$B$7,0)),OR($H78="",$N78&gt;0),OR($I78="",$I78="NR",$O78&gt;0),IF(ISNUMBER($J78),AND($J78&gt;=0,$J78=INT($J78)),FALSE())),$J78,0)</f>
        <v>0</v>
      </c>
      <c r="Q78" s="64" t="n">
        <f aca="false">IF(AND($P78&gt;0,$O78&gt;0),$P78,0)</f>
        <v>0</v>
      </c>
      <c r="R78" s="64" t="n">
        <f aca="false">IF(AND($Q78&gt;0,$O78&gt;=AtRank),$Q78,0)</f>
        <v>0</v>
      </c>
      <c r="S78" s="64" t="n">
        <f aca="false">IF(AND($Q78&gt;0,$O78&gt;=AboveRank),$Q78,0)</f>
        <v>0</v>
      </c>
      <c r="T78" s="64" t="n">
        <f aca="false">IF($K78="Less",$P78,0)</f>
        <v>0</v>
      </c>
      <c r="U78" s="64" t="n">
        <f aca="false">IF($K78="Expected",$P78,0)</f>
        <v>0</v>
      </c>
      <c r="V78" s="64" t="n">
        <f aca="false">IF($K78="Better",$P78,0)</f>
        <v>0</v>
      </c>
      <c r="W78" s="64" t="n">
        <f aca="false">IF($K78="U – needs rule",$P78,0)</f>
        <v>0</v>
      </c>
      <c r="X78" s="64" t="n">
        <f aca="false">IF($K78="No Start (attainment only)",$P78,0)</f>
        <v>0</v>
      </c>
    </row>
    <row r="79" customFormat="false" ht="15" hidden="false" customHeight="false" outlineLevel="0" collapsed="false">
      <c r="A79" s="60"/>
      <c r="B79" s="61" t="str">
        <f aca="false">IF($M79=0,"",INDEX(Classes!$E$6:$E$420,$M79))</f>
        <v/>
      </c>
      <c r="C79" s="62" t="str">
        <f aca="false">IF($M79=0,"",INDEX(Classes!$H$6:$H$420,$M79))</f>
        <v/>
      </c>
      <c r="D79" s="61" t="str">
        <f aca="false">IF($M79=0,"",INDEX(Classes!$B$6:$B$420,$M79))</f>
        <v/>
      </c>
      <c r="E79" s="61" t="str">
        <f aca="false">IF($M79=0,"",INDEX(Classes!$C$6:$C$420,$M79))</f>
        <v/>
      </c>
      <c r="F79" s="63"/>
      <c r="G79" s="63"/>
      <c r="H79" s="60"/>
      <c r="I79" s="60"/>
      <c r="J79" s="63"/>
      <c r="K79" s="61" t="str">
        <f aca="false">IF($P79=0,"",IF($F79="Baseline","— Baseline",IF($O79=0,"No result",IF($N79=0,"No Start (attainment only)",IF(OR($N79=1,$O79=1),"U – needs rule",INDEX(MxBody,MATCH($I79,MxCurr,0),MATCH($H79,MxStart,0)))))))</f>
        <v/>
      </c>
      <c r="L79" s="62" t="str">
        <f aca="false">IF(COUNTA($A79,$F79,$G79,$H79,$I79,$J79)=0,"",IF($M79=0,"✖ كود الصف غير موجود",IF(ISNA(MATCH($F79,Lists!$A$2:$A$5,0)),"✖ الفترة غير صحيحة",IF(ISNA(MATCH($G79,Lists!$B$2:$B$7,0)),"✖ المجموعة غير صحيحة",IF(NOT(OR($H79="",$N79&gt;0)),"✖ Start غير صحيح",IF(NOT(OR($I79="",$I79="NR",$O79&gt;0)),"✖ Current غير صحيح",IF(NOT(IF(ISNUMBER($J79),AND($J79&gt;=0,$J79=INT($J79)),FALSE())),"✖ العدد يجب أن يكون صحيحًا ≥ 0",IF(AND($F79="Baseline",$H79&lt;&gt;""),"⚠ Baseline: Start لا يدخل في التقدم",IF($K79="No Start (attainment only)","ℹ تحصيل فقط (بدون Start)",IF($K79="U – needs rule","ℹ حالة U تحتاج قاعدة معتمدة",IF($K79="No result","ℹ بدون نتيجة (يُستبعد من التحصيل)","OK")))))))))))</f>
        <v/>
      </c>
      <c r="M79" s="64" t="n">
        <f aca="false">IF($A79="",0,IFERROR(MATCH($A79,Classes!$A$6:$A$420,0),0))</f>
        <v>0</v>
      </c>
      <c r="N79" s="64" t="n">
        <f aca="false">IF($H79="",0,IFERROR(MATCH($H79,GradeList,0),0))</f>
        <v>0</v>
      </c>
      <c r="O79" s="64" t="n">
        <f aca="false">IF(OR($I79="",$I79="NR"),0,IFERROR(MATCH($I79,GradeList,0),0))</f>
        <v>0</v>
      </c>
      <c r="P79" s="64" t="n">
        <f aca="false">IF(AND($M79&gt;0,ISNUMBER(MATCH($F79,Lists!$A$2:$A$5,0)),ISNUMBER(MATCH($G79,Lists!$B$2:$B$7,0)),OR($H79="",$N79&gt;0),OR($I79="",$I79="NR",$O79&gt;0),IF(ISNUMBER($J79),AND($J79&gt;=0,$J79=INT($J79)),FALSE())),$J79,0)</f>
        <v>0</v>
      </c>
      <c r="Q79" s="64" t="n">
        <f aca="false">IF(AND($P79&gt;0,$O79&gt;0),$P79,0)</f>
        <v>0</v>
      </c>
      <c r="R79" s="64" t="n">
        <f aca="false">IF(AND($Q79&gt;0,$O79&gt;=AtRank),$Q79,0)</f>
        <v>0</v>
      </c>
      <c r="S79" s="64" t="n">
        <f aca="false">IF(AND($Q79&gt;0,$O79&gt;=AboveRank),$Q79,0)</f>
        <v>0</v>
      </c>
      <c r="T79" s="64" t="n">
        <f aca="false">IF($K79="Less",$P79,0)</f>
        <v>0</v>
      </c>
      <c r="U79" s="64" t="n">
        <f aca="false">IF($K79="Expected",$P79,0)</f>
        <v>0</v>
      </c>
      <c r="V79" s="64" t="n">
        <f aca="false">IF($K79="Better",$P79,0)</f>
        <v>0</v>
      </c>
      <c r="W79" s="64" t="n">
        <f aca="false">IF($K79="U – needs rule",$P79,0)</f>
        <v>0</v>
      </c>
      <c r="X79" s="64" t="n">
        <f aca="false">IF($K79="No Start (attainment only)",$P79,0)</f>
        <v>0</v>
      </c>
    </row>
    <row r="80" customFormat="false" ht="15" hidden="false" customHeight="false" outlineLevel="0" collapsed="false">
      <c r="A80" s="60"/>
      <c r="B80" s="61" t="str">
        <f aca="false">IF($M80=0,"",INDEX(Classes!$E$6:$E$420,$M80))</f>
        <v/>
      </c>
      <c r="C80" s="62" t="str">
        <f aca="false">IF($M80=0,"",INDEX(Classes!$H$6:$H$420,$M80))</f>
        <v/>
      </c>
      <c r="D80" s="61" t="str">
        <f aca="false">IF($M80=0,"",INDEX(Classes!$B$6:$B$420,$M80))</f>
        <v/>
      </c>
      <c r="E80" s="61" t="str">
        <f aca="false">IF($M80=0,"",INDEX(Classes!$C$6:$C$420,$M80))</f>
        <v/>
      </c>
      <c r="F80" s="63"/>
      <c r="G80" s="63"/>
      <c r="H80" s="60"/>
      <c r="I80" s="60"/>
      <c r="J80" s="63"/>
      <c r="K80" s="61" t="str">
        <f aca="false">IF($P80=0,"",IF($F80="Baseline","— Baseline",IF($O80=0,"No result",IF($N80=0,"No Start (attainment only)",IF(OR($N80=1,$O80=1),"U – needs rule",INDEX(MxBody,MATCH($I80,MxCurr,0),MATCH($H80,MxStart,0)))))))</f>
        <v/>
      </c>
      <c r="L80" s="62" t="str">
        <f aca="false">IF(COUNTA($A80,$F80,$G80,$H80,$I80,$J80)=0,"",IF($M80=0,"✖ كود الصف غير موجود",IF(ISNA(MATCH($F80,Lists!$A$2:$A$5,0)),"✖ الفترة غير صحيحة",IF(ISNA(MATCH($G80,Lists!$B$2:$B$7,0)),"✖ المجموعة غير صحيحة",IF(NOT(OR($H80="",$N80&gt;0)),"✖ Start غير صحيح",IF(NOT(OR($I80="",$I80="NR",$O80&gt;0)),"✖ Current غير صحيح",IF(NOT(IF(ISNUMBER($J80),AND($J80&gt;=0,$J80=INT($J80)),FALSE())),"✖ العدد يجب أن يكون صحيحًا ≥ 0",IF(AND($F80="Baseline",$H80&lt;&gt;""),"⚠ Baseline: Start لا يدخل في التقدم",IF($K80="No Start (attainment only)","ℹ تحصيل فقط (بدون Start)",IF($K80="U – needs rule","ℹ حالة U تحتاج قاعدة معتمدة",IF($K80="No result","ℹ بدون نتيجة (يُستبعد من التحصيل)","OK")))))))))))</f>
        <v/>
      </c>
      <c r="M80" s="64" t="n">
        <f aca="false">IF($A80="",0,IFERROR(MATCH($A80,Classes!$A$6:$A$420,0),0))</f>
        <v>0</v>
      </c>
      <c r="N80" s="64" t="n">
        <f aca="false">IF($H80="",0,IFERROR(MATCH($H80,GradeList,0),0))</f>
        <v>0</v>
      </c>
      <c r="O80" s="64" t="n">
        <f aca="false">IF(OR($I80="",$I80="NR"),0,IFERROR(MATCH($I80,GradeList,0),0))</f>
        <v>0</v>
      </c>
      <c r="P80" s="64" t="n">
        <f aca="false">IF(AND($M80&gt;0,ISNUMBER(MATCH($F80,Lists!$A$2:$A$5,0)),ISNUMBER(MATCH($G80,Lists!$B$2:$B$7,0)),OR($H80="",$N80&gt;0),OR($I80="",$I80="NR",$O80&gt;0),IF(ISNUMBER($J80),AND($J80&gt;=0,$J80=INT($J80)),FALSE())),$J80,0)</f>
        <v>0</v>
      </c>
      <c r="Q80" s="64" t="n">
        <f aca="false">IF(AND($P80&gt;0,$O80&gt;0),$P80,0)</f>
        <v>0</v>
      </c>
      <c r="R80" s="64" t="n">
        <f aca="false">IF(AND($Q80&gt;0,$O80&gt;=AtRank),$Q80,0)</f>
        <v>0</v>
      </c>
      <c r="S80" s="64" t="n">
        <f aca="false">IF(AND($Q80&gt;0,$O80&gt;=AboveRank),$Q80,0)</f>
        <v>0</v>
      </c>
      <c r="T80" s="64" t="n">
        <f aca="false">IF($K80="Less",$P80,0)</f>
        <v>0</v>
      </c>
      <c r="U80" s="64" t="n">
        <f aca="false">IF($K80="Expected",$P80,0)</f>
        <v>0</v>
      </c>
      <c r="V80" s="64" t="n">
        <f aca="false">IF($K80="Better",$P80,0)</f>
        <v>0</v>
      </c>
      <c r="W80" s="64" t="n">
        <f aca="false">IF($K80="U – needs rule",$P80,0)</f>
        <v>0</v>
      </c>
      <c r="X80" s="64" t="n">
        <f aca="false">IF($K80="No Start (attainment only)",$P80,0)</f>
        <v>0</v>
      </c>
    </row>
    <row r="81" customFormat="false" ht="15" hidden="false" customHeight="false" outlineLevel="0" collapsed="false">
      <c r="A81" s="60"/>
      <c r="B81" s="61" t="str">
        <f aca="false">IF($M81=0,"",INDEX(Classes!$E$6:$E$420,$M81))</f>
        <v/>
      </c>
      <c r="C81" s="62" t="str">
        <f aca="false">IF($M81=0,"",INDEX(Classes!$H$6:$H$420,$M81))</f>
        <v/>
      </c>
      <c r="D81" s="61" t="str">
        <f aca="false">IF($M81=0,"",INDEX(Classes!$B$6:$B$420,$M81))</f>
        <v/>
      </c>
      <c r="E81" s="61" t="str">
        <f aca="false">IF($M81=0,"",INDEX(Classes!$C$6:$C$420,$M81))</f>
        <v/>
      </c>
      <c r="F81" s="63"/>
      <c r="G81" s="63"/>
      <c r="H81" s="60"/>
      <c r="I81" s="60"/>
      <c r="J81" s="63"/>
      <c r="K81" s="61" t="str">
        <f aca="false">IF($P81=0,"",IF($F81="Baseline","— Baseline",IF($O81=0,"No result",IF($N81=0,"No Start (attainment only)",IF(OR($N81=1,$O81=1),"U – needs rule",INDEX(MxBody,MATCH($I81,MxCurr,0),MATCH($H81,MxStart,0)))))))</f>
        <v/>
      </c>
      <c r="L81" s="62" t="str">
        <f aca="false">IF(COUNTA($A81,$F81,$G81,$H81,$I81,$J81)=0,"",IF($M81=0,"✖ كود الصف غير موجود",IF(ISNA(MATCH($F81,Lists!$A$2:$A$5,0)),"✖ الفترة غير صحيحة",IF(ISNA(MATCH($G81,Lists!$B$2:$B$7,0)),"✖ المجموعة غير صحيحة",IF(NOT(OR($H81="",$N81&gt;0)),"✖ Start غير صحيح",IF(NOT(OR($I81="",$I81="NR",$O81&gt;0)),"✖ Current غير صحيح",IF(NOT(IF(ISNUMBER($J81),AND($J81&gt;=0,$J81=INT($J81)),FALSE())),"✖ العدد يجب أن يكون صحيحًا ≥ 0",IF(AND($F81="Baseline",$H81&lt;&gt;""),"⚠ Baseline: Start لا يدخل في التقدم",IF($K81="No Start (attainment only)","ℹ تحصيل فقط (بدون Start)",IF($K81="U – needs rule","ℹ حالة U تحتاج قاعدة معتمدة",IF($K81="No result","ℹ بدون نتيجة (يُستبعد من التحصيل)","OK")))))))))))</f>
        <v/>
      </c>
      <c r="M81" s="64" t="n">
        <f aca="false">IF($A81="",0,IFERROR(MATCH($A81,Classes!$A$6:$A$420,0),0))</f>
        <v>0</v>
      </c>
      <c r="N81" s="64" t="n">
        <f aca="false">IF($H81="",0,IFERROR(MATCH($H81,GradeList,0),0))</f>
        <v>0</v>
      </c>
      <c r="O81" s="64" t="n">
        <f aca="false">IF(OR($I81="",$I81="NR"),0,IFERROR(MATCH($I81,GradeList,0),0))</f>
        <v>0</v>
      </c>
      <c r="P81" s="64" t="n">
        <f aca="false">IF(AND($M81&gt;0,ISNUMBER(MATCH($F81,Lists!$A$2:$A$5,0)),ISNUMBER(MATCH($G81,Lists!$B$2:$B$7,0)),OR($H81="",$N81&gt;0),OR($I81="",$I81="NR",$O81&gt;0),IF(ISNUMBER($J81),AND($J81&gt;=0,$J81=INT($J81)),FALSE())),$J81,0)</f>
        <v>0</v>
      </c>
      <c r="Q81" s="64" t="n">
        <f aca="false">IF(AND($P81&gt;0,$O81&gt;0),$P81,0)</f>
        <v>0</v>
      </c>
      <c r="R81" s="64" t="n">
        <f aca="false">IF(AND($Q81&gt;0,$O81&gt;=AtRank),$Q81,0)</f>
        <v>0</v>
      </c>
      <c r="S81" s="64" t="n">
        <f aca="false">IF(AND($Q81&gt;0,$O81&gt;=AboveRank),$Q81,0)</f>
        <v>0</v>
      </c>
      <c r="T81" s="64" t="n">
        <f aca="false">IF($K81="Less",$P81,0)</f>
        <v>0</v>
      </c>
      <c r="U81" s="64" t="n">
        <f aca="false">IF($K81="Expected",$P81,0)</f>
        <v>0</v>
      </c>
      <c r="V81" s="64" t="n">
        <f aca="false">IF($K81="Better",$P81,0)</f>
        <v>0</v>
      </c>
      <c r="W81" s="64" t="n">
        <f aca="false">IF($K81="U – needs rule",$P81,0)</f>
        <v>0</v>
      </c>
      <c r="X81" s="64" t="n">
        <f aca="false">IF($K81="No Start (attainment only)",$P81,0)</f>
        <v>0</v>
      </c>
    </row>
    <row r="82" customFormat="false" ht="15" hidden="false" customHeight="false" outlineLevel="0" collapsed="false">
      <c r="A82" s="60"/>
      <c r="B82" s="61" t="str">
        <f aca="false">IF($M82=0,"",INDEX(Classes!$E$6:$E$420,$M82))</f>
        <v/>
      </c>
      <c r="C82" s="62" t="str">
        <f aca="false">IF($M82=0,"",INDEX(Classes!$H$6:$H$420,$M82))</f>
        <v/>
      </c>
      <c r="D82" s="61" t="str">
        <f aca="false">IF($M82=0,"",INDEX(Classes!$B$6:$B$420,$M82))</f>
        <v/>
      </c>
      <c r="E82" s="61" t="str">
        <f aca="false">IF($M82=0,"",INDEX(Classes!$C$6:$C$420,$M82))</f>
        <v/>
      </c>
      <c r="F82" s="63"/>
      <c r="G82" s="63"/>
      <c r="H82" s="60"/>
      <c r="I82" s="60"/>
      <c r="J82" s="63"/>
      <c r="K82" s="61" t="str">
        <f aca="false">IF($P82=0,"",IF($F82="Baseline","— Baseline",IF($O82=0,"No result",IF($N82=0,"No Start (attainment only)",IF(OR($N82=1,$O82=1),"U – needs rule",INDEX(MxBody,MATCH($I82,MxCurr,0),MATCH($H82,MxStart,0)))))))</f>
        <v/>
      </c>
      <c r="L82" s="62" t="str">
        <f aca="false">IF(COUNTA($A82,$F82,$G82,$H82,$I82,$J82)=0,"",IF($M82=0,"✖ كود الصف غير موجود",IF(ISNA(MATCH($F82,Lists!$A$2:$A$5,0)),"✖ الفترة غير صحيحة",IF(ISNA(MATCH($G82,Lists!$B$2:$B$7,0)),"✖ المجموعة غير صحيحة",IF(NOT(OR($H82="",$N82&gt;0)),"✖ Start غير صحيح",IF(NOT(OR($I82="",$I82="NR",$O82&gt;0)),"✖ Current غير صحيح",IF(NOT(IF(ISNUMBER($J82),AND($J82&gt;=0,$J82=INT($J82)),FALSE())),"✖ العدد يجب أن يكون صحيحًا ≥ 0",IF(AND($F82="Baseline",$H82&lt;&gt;""),"⚠ Baseline: Start لا يدخل في التقدم",IF($K82="No Start (attainment only)","ℹ تحصيل فقط (بدون Start)",IF($K82="U – needs rule","ℹ حالة U تحتاج قاعدة معتمدة",IF($K82="No result","ℹ بدون نتيجة (يُستبعد من التحصيل)","OK")))))))))))</f>
        <v/>
      </c>
      <c r="M82" s="64" t="n">
        <f aca="false">IF($A82="",0,IFERROR(MATCH($A82,Classes!$A$6:$A$420,0),0))</f>
        <v>0</v>
      </c>
      <c r="N82" s="64" t="n">
        <f aca="false">IF($H82="",0,IFERROR(MATCH($H82,GradeList,0),0))</f>
        <v>0</v>
      </c>
      <c r="O82" s="64" t="n">
        <f aca="false">IF(OR($I82="",$I82="NR"),0,IFERROR(MATCH($I82,GradeList,0),0))</f>
        <v>0</v>
      </c>
      <c r="P82" s="64" t="n">
        <f aca="false">IF(AND($M82&gt;0,ISNUMBER(MATCH($F82,Lists!$A$2:$A$5,0)),ISNUMBER(MATCH($G82,Lists!$B$2:$B$7,0)),OR($H82="",$N82&gt;0),OR($I82="",$I82="NR",$O82&gt;0),IF(ISNUMBER($J82),AND($J82&gt;=0,$J82=INT($J82)),FALSE())),$J82,0)</f>
        <v>0</v>
      </c>
      <c r="Q82" s="64" t="n">
        <f aca="false">IF(AND($P82&gt;0,$O82&gt;0),$P82,0)</f>
        <v>0</v>
      </c>
      <c r="R82" s="64" t="n">
        <f aca="false">IF(AND($Q82&gt;0,$O82&gt;=AtRank),$Q82,0)</f>
        <v>0</v>
      </c>
      <c r="S82" s="64" t="n">
        <f aca="false">IF(AND($Q82&gt;0,$O82&gt;=AboveRank),$Q82,0)</f>
        <v>0</v>
      </c>
      <c r="T82" s="64" t="n">
        <f aca="false">IF($K82="Less",$P82,0)</f>
        <v>0</v>
      </c>
      <c r="U82" s="64" t="n">
        <f aca="false">IF($K82="Expected",$P82,0)</f>
        <v>0</v>
      </c>
      <c r="V82" s="64" t="n">
        <f aca="false">IF($K82="Better",$P82,0)</f>
        <v>0</v>
      </c>
      <c r="W82" s="64" t="n">
        <f aca="false">IF($K82="U – needs rule",$P82,0)</f>
        <v>0</v>
      </c>
      <c r="X82" s="64" t="n">
        <f aca="false">IF($K82="No Start (attainment only)",$P82,0)</f>
        <v>0</v>
      </c>
    </row>
    <row r="83" customFormat="false" ht="15" hidden="false" customHeight="false" outlineLevel="0" collapsed="false">
      <c r="A83" s="60"/>
      <c r="B83" s="61" t="str">
        <f aca="false">IF($M83=0,"",INDEX(Classes!$E$6:$E$420,$M83))</f>
        <v/>
      </c>
      <c r="C83" s="62" t="str">
        <f aca="false">IF($M83=0,"",INDEX(Classes!$H$6:$H$420,$M83))</f>
        <v/>
      </c>
      <c r="D83" s="61" t="str">
        <f aca="false">IF($M83=0,"",INDEX(Classes!$B$6:$B$420,$M83))</f>
        <v/>
      </c>
      <c r="E83" s="61" t="str">
        <f aca="false">IF($M83=0,"",INDEX(Classes!$C$6:$C$420,$M83))</f>
        <v/>
      </c>
      <c r="F83" s="63"/>
      <c r="G83" s="63"/>
      <c r="H83" s="60"/>
      <c r="I83" s="60"/>
      <c r="J83" s="63"/>
      <c r="K83" s="61" t="str">
        <f aca="false">IF($P83=0,"",IF($F83="Baseline","— Baseline",IF($O83=0,"No result",IF($N83=0,"No Start (attainment only)",IF(OR($N83=1,$O83=1),"U – needs rule",INDEX(MxBody,MATCH($I83,MxCurr,0),MATCH($H83,MxStart,0)))))))</f>
        <v/>
      </c>
      <c r="L83" s="62" t="str">
        <f aca="false">IF(COUNTA($A83,$F83,$G83,$H83,$I83,$J83)=0,"",IF($M83=0,"✖ كود الصف غير موجود",IF(ISNA(MATCH($F83,Lists!$A$2:$A$5,0)),"✖ الفترة غير صحيحة",IF(ISNA(MATCH($G83,Lists!$B$2:$B$7,0)),"✖ المجموعة غير صحيحة",IF(NOT(OR($H83="",$N83&gt;0)),"✖ Start غير صحيح",IF(NOT(OR($I83="",$I83="NR",$O83&gt;0)),"✖ Current غير صحيح",IF(NOT(IF(ISNUMBER($J83),AND($J83&gt;=0,$J83=INT($J83)),FALSE())),"✖ العدد يجب أن يكون صحيحًا ≥ 0",IF(AND($F83="Baseline",$H83&lt;&gt;""),"⚠ Baseline: Start لا يدخل في التقدم",IF($K83="No Start (attainment only)","ℹ تحصيل فقط (بدون Start)",IF($K83="U – needs rule","ℹ حالة U تحتاج قاعدة معتمدة",IF($K83="No result","ℹ بدون نتيجة (يُستبعد من التحصيل)","OK")))))))))))</f>
        <v/>
      </c>
      <c r="M83" s="64" t="n">
        <f aca="false">IF($A83="",0,IFERROR(MATCH($A83,Classes!$A$6:$A$420,0),0))</f>
        <v>0</v>
      </c>
      <c r="N83" s="64" t="n">
        <f aca="false">IF($H83="",0,IFERROR(MATCH($H83,GradeList,0),0))</f>
        <v>0</v>
      </c>
      <c r="O83" s="64" t="n">
        <f aca="false">IF(OR($I83="",$I83="NR"),0,IFERROR(MATCH($I83,GradeList,0),0))</f>
        <v>0</v>
      </c>
      <c r="P83" s="64" t="n">
        <f aca="false">IF(AND($M83&gt;0,ISNUMBER(MATCH($F83,Lists!$A$2:$A$5,0)),ISNUMBER(MATCH($G83,Lists!$B$2:$B$7,0)),OR($H83="",$N83&gt;0),OR($I83="",$I83="NR",$O83&gt;0),IF(ISNUMBER($J83),AND($J83&gt;=0,$J83=INT($J83)),FALSE())),$J83,0)</f>
        <v>0</v>
      </c>
      <c r="Q83" s="64" t="n">
        <f aca="false">IF(AND($P83&gt;0,$O83&gt;0),$P83,0)</f>
        <v>0</v>
      </c>
      <c r="R83" s="64" t="n">
        <f aca="false">IF(AND($Q83&gt;0,$O83&gt;=AtRank),$Q83,0)</f>
        <v>0</v>
      </c>
      <c r="S83" s="64" t="n">
        <f aca="false">IF(AND($Q83&gt;0,$O83&gt;=AboveRank),$Q83,0)</f>
        <v>0</v>
      </c>
      <c r="T83" s="64" t="n">
        <f aca="false">IF($K83="Less",$P83,0)</f>
        <v>0</v>
      </c>
      <c r="U83" s="64" t="n">
        <f aca="false">IF($K83="Expected",$P83,0)</f>
        <v>0</v>
      </c>
      <c r="V83" s="64" t="n">
        <f aca="false">IF($K83="Better",$P83,0)</f>
        <v>0</v>
      </c>
      <c r="W83" s="64" t="n">
        <f aca="false">IF($K83="U – needs rule",$P83,0)</f>
        <v>0</v>
      </c>
      <c r="X83" s="64" t="n">
        <f aca="false">IF($K83="No Start (attainment only)",$P83,0)</f>
        <v>0</v>
      </c>
    </row>
    <row r="84" customFormat="false" ht="15" hidden="false" customHeight="false" outlineLevel="0" collapsed="false">
      <c r="A84" s="60"/>
      <c r="B84" s="61" t="str">
        <f aca="false">IF($M84=0,"",INDEX(Classes!$E$6:$E$420,$M84))</f>
        <v/>
      </c>
      <c r="C84" s="62" t="str">
        <f aca="false">IF($M84=0,"",INDEX(Classes!$H$6:$H$420,$M84))</f>
        <v/>
      </c>
      <c r="D84" s="61" t="str">
        <f aca="false">IF($M84=0,"",INDEX(Classes!$B$6:$B$420,$M84))</f>
        <v/>
      </c>
      <c r="E84" s="61" t="str">
        <f aca="false">IF($M84=0,"",INDEX(Classes!$C$6:$C$420,$M84))</f>
        <v/>
      </c>
      <c r="F84" s="63"/>
      <c r="G84" s="63"/>
      <c r="H84" s="60"/>
      <c r="I84" s="60"/>
      <c r="J84" s="63"/>
      <c r="K84" s="61" t="str">
        <f aca="false">IF($P84=0,"",IF($F84="Baseline","— Baseline",IF($O84=0,"No result",IF($N84=0,"No Start (attainment only)",IF(OR($N84=1,$O84=1),"U – needs rule",INDEX(MxBody,MATCH($I84,MxCurr,0),MATCH($H84,MxStart,0)))))))</f>
        <v/>
      </c>
      <c r="L84" s="62" t="str">
        <f aca="false">IF(COUNTA($A84,$F84,$G84,$H84,$I84,$J84)=0,"",IF($M84=0,"✖ كود الصف غير موجود",IF(ISNA(MATCH($F84,Lists!$A$2:$A$5,0)),"✖ الفترة غير صحيحة",IF(ISNA(MATCH($G84,Lists!$B$2:$B$7,0)),"✖ المجموعة غير صحيحة",IF(NOT(OR($H84="",$N84&gt;0)),"✖ Start غير صحيح",IF(NOT(OR($I84="",$I84="NR",$O84&gt;0)),"✖ Current غير صحيح",IF(NOT(IF(ISNUMBER($J84),AND($J84&gt;=0,$J84=INT($J84)),FALSE())),"✖ العدد يجب أن يكون صحيحًا ≥ 0",IF(AND($F84="Baseline",$H84&lt;&gt;""),"⚠ Baseline: Start لا يدخل في التقدم",IF($K84="No Start (attainment only)","ℹ تحصيل فقط (بدون Start)",IF($K84="U – needs rule","ℹ حالة U تحتاج قاعدة معتمدة",IF($K84="No result","ℹ بدون نتيجة (يُستبعد من التحصيل)","OK")))))))))))</f>
        <v/>
      </c>
      <c r="M84" s="64" t="n">
        <f aca="false">IF($A84="",0,IFERROR(MATCH($A84,Classes!$A$6:$A$420,0),0))</f>
        <v>0</v>
      </c>
      <c r="N84" s="64" t="n">
        <f aca="false">IF($H84="",0,IFERROR(MATCH($H84,GradeList,0),0))</f>
        <v>0</v>
      </c>
      <c r="O84" s="64" t="n">
        <f aca="false">IF(OR($I84="",$I84="NR"),0,IFERROR(MATCH($I84,GradeList,0),0))</f>
        <v>0</v>
      </c>
      <c r="P84" s="64" t="n">
        <f aca="false">IF(AND($M84&gt;0,ISNUMBER(MATCH($F84,Lists!$A$2:$A$5,0)),ISNUMBER(MATCH($G84,Lists!$B$2:$B$7,0)),OR($H84="",$N84&gt;0),OR($I84="",$I84="NR",$O84&gt;0),IF(ISNUMBER($J84),AND($J84&gt;=0,$J84=INT($J84)),FALSE())),$J84,0)</f>
        <v>0</v>
      </c>
      <c r="Q84" s="64" t="n">
        <f aca="false">IF(AND($P84&gt;0,$O84&gt;0),$P84,0)</f>
        <v>0</v>
      </c>
      <c r="R84" s="64" t="n">
        <f aca="false">IF(AND($Q84&gt;0,$O84&gt;=AtRank),$Q84,0)</f>
        <v>0</v>
      </c>
      <c r="S84" s="64" t="n">
        <f aca="false">IF(AND($Q84&gt;0,$O84&gt;=AboveRank),$Q84,0)</f>
        <v>0</v>
      </c>
      <c r="T84" s="64" t="n">
        <f aca="false">IF($K84="Less",$P84,0)</f>
        <v>0</v>
      </c>
      <c r="U84" s="64" t="n">
        <f aca="false">IF($K84="Expected",$P84,0)</f>
        <v>0</v>
      </c>
      <c r="V84" s="64" t="n">
        <f aca="false">IF($K84="Better",$P84,0)</f>
        <v>0</v>
      </c>
      <c r="W84" s="64" t="n">
        <f aca="false">IF($K84="U – needs rule",$P84,0)</f>
        <v>0</v>
      </c>
      <c r="X84" s="64" t="n">
        <f aca="false">IF($K84="No Start (attainment only)",$P84,0)</f>
        <v>0</v>
      </c>
    </row>
    <row r="85" customFormat="false" ht="15" hidden="false" customHeight="false" outlineLevel="0" collapsed="false">
      <c r="A85" s="60"/>
      <c r="B85" s="61" t="str">
        <f aca="false">IF($M85=0,"",INDEX(Classes!$E$6:$E$420,$M85))</f>
        <v/>
      </c>
      <c r="C85" s="62" t="str">
        <f aca="false">IF($M85=0,"",INDEX(Classes!$H$6:$H$420,$M85))</f>
        <v/>
      </c>
      <c r="D85" s="61" t="str">
        <f aca="false">IF($M85=0,"",INDEX(Classes!$B$6:$B$420,$M85))</f>
        <v/>
      </c>
      <c r="E85" s="61" t="str">
        <f aca="false">IF($M85=0,"",INDEX(Classes!$C$6:$C$420,$M85))</f>
        <v/>
      </c>
      <c r="F85" s="63"/>
      <c r="G85" s="63"/>
      <c r="H85" s="60"/>
      <c r="I85" s="60"/>
      <c r="J85" s="63"/>
      <c r="K85" s="61" t="str">
        <f aca="false">IF($P85=0,"",IF($F85="Baseline","— Baseline",IF($O85=0,"No result",IF($N85=0,"No Start (attainment only)",IF(OR($N85=1,$O85=1),"U – needs rule",INDEX(MxBody,MATCH($I85,MxCurr,0),MATCH($H85,MxStart,0)))))))</f>
        <v/>
      </c>
      <c r="L85" s="62" t="str">
        <f aca="false">IF(COUNTA($A85,$F85,$G85,$H85,$I85,$J85)=0,"",IF($M85=0,"✖ كود الصف غير موجود",IF(ISNA(MATCH($F85,Lists!$A$2:$A$5,0)),"✖ الفترة غير صحيحة",IF(ISNA(MATCH($G85,Lists!$B$2:$B$7,0)),"✖ المجموعة غير صحيحة",IF(NOT(OR($H85="",$N85&gt;0)),"✖ Start غير صحيح",IF(NOT(OR($I85="",$I85="NR",$O85&gt;0)),"✖ Current غير صحيح",IF(NOT(IF(ISNUMBER($J85),AND($J85&gt;=0,$J85=INT($J85)),FALSE())),"✖ العدد يجب أن يكون صحيحًا ≥ 0",IF(AND($F85="Baseline",$H85&lt;&gt;""),"⚠ Baseline: Start لا يدخل في التقدم",IF($K85="No Start (attainment only)","ℹ تحصيل فقط (بدون Start)",IF($K85="U – needs rule","ℹ حالة U تحتاج قاعدة معتمدة",IF($K85="No result","ℹ بدون نتيجة (يُستبعد من التحصيل)","OK")))))))))))</f>
        <v/>
      </c>
      <c r="M85" s="64" t="n">
        <f aca="false">IF($A85="",0,IFERROR(MATCH($A85,Classes!$A$6:$A$420,0),0))</f>
        <v>0</v>
      </c>
      <c r="N85" s="64" t="n">
        <f aca="false">IF($H85="",0,IFERROR(MATCH($H85,GradeList,0),0))</f>
        <v>0</v>
      </c>
      <c r="O85" s="64" t="n">
        <f aca="false">IF(OR($I85="",$I85="NR"),0,IFERROR(MATCH($I85,GradeList,0),0))</f>
        <v>0</v>
      </c>
      <c r="P85" s="64" t="n">
        <f aca="false">IF(AND($M85&gt;0,ISNUMBER(MATCH($F85,Lists!$A$2:$A$5,0)),ISNUMBER(MATCH($G85,Lists!$B$2:$B$7,0)),OR($H85="",$N85&gt;0),OR($I85="",$I85="NR",$O85&gt;0),IF(ISNUMBER($J85),AND($J85&gt;=0,$J85=INT($J85)),FALSE())),$J85,0)</f>
        <v>0</v>
      </c>
      <c r="Q85" s="64" t="n">
        <f aca="false">IF(AND($P85&gt;0,$O85&gt;0),$P85,0)</f>
        <v>0</v>
      </c>
      <c r="R85" s="64" t="n">
        <f aca="false">IF(AND($Q85&gt;0,$O85&gt;=AtRank),$Q85,0)</f>
        <v>0</v>
      </c>
      <c r="S85" s="64" t="n">
        <f aca="false">IF(AND($Q85&gt;0,$O85&gt;=AboveRank),$Q85,0)</f>
        <v>0</v>
      </c>
      <c r="T85" s="64" t="n">
        <f aca="false">IF($K85="Less",$P85,0)</f>
        <v>0</v>
      </c>
      <c r="U85" s="64" t="n">
        <f aca="false">IF($K85="Expected",$P85,0)</f>
        <v>0</v>
      </c>
      <c r="V85" s="64" t="n">
        <f aca="false">IF($K85="Better",$P85,0)</f>
        <v>0</v>
      </c>
      <c r="W85" s="64" t="n">
        <f aca="false">IF($K85="U – needs rule",$P85,0)</f>
        <v>0</v>
      </c>
      <c r="X85" s="64" t="n">
        <f aca="false">IF($K85="No Start (attainment only)",$P85,0)</f>
        <v>0</v>
      </c>
    </row>
    <row r="86" customFormat="false" ht="15" hidden="false" customHeight="false" outlineLevel="0" collapsed="false">
      <c r="A86" s="60"/>
      <c r="B86" s="61" t="str">
        <f aca="false">IF($M86=0,"",INDEX(Classes!$E$6:$E$420,$M86))</f>
        <v/>
      </c>
      <c r="C86" s="62" t="str">
        <f aca="false">IF($M86=0,"",INDEX(Classes!$H$6:$H$420,$M86))</f>
        <v/>
      </c>
      <c r="D86" s="61" t="str">
        <f aca="false">IF($M86=0,"",INDEX(Classes!$B$6:$B$420,$M86))</f>
        <v/>
      </c>
      <c r="E86" s="61" t="str">
        <f aca="false">IF($M86=0,"",INDEX(Classes!$C$6:$C$420,$M86))</f>
        <v/>
      </c>
      <c r="F86" s="63"/>
      <c r="G86" s="63"/>
      <c r="H86" s="60"/>
      <c r="I86" s="60"/>
      <c r="J86" s="63"/>
      <c r="K86" s="61" t="str">
        <f aca="false">IF($P86=0,"",IF($F86="Baseline","— Baseline",IF($O86=0,"No result",IF($N86=0,"No Start (attainment only)",IF(OR($N86=1,$O86=1),"U – needs rule",INDEX(MxBody,MATCH($I86,MxCurr,0),MATCH($H86,MxStart,0)))))))</f>
        <v/>
      </c>
      <c r="L86" s="62" t="str">
        <f aca="false">IF(COUNTA($A86,$F86,$G86,$H86,$I86,$J86)=0,"",IF($M86=0,"✖ كود الصف غير موجود",IF(ISNA(MATCH($F86,Lists!$A$2:$A$5,0)),"✖ الفترة غير صحيحة",IF(ISNA(MATCH($G86,Lists!$B$2:$B$7,0)),"✖ المجموعة غير صحيحة",IF(NOT(OR($H86="",$N86&gt;0)),"✖ Start غير صحيح",IF(NOT(OR($I86="",$I86="NR",$O86&gt;0)),"✖ Current غير صحيح",IF(NOT(IF(ISNUMBER($J86),AND($J86&gt;=0,$J86=INT($J86)),FALSE())),"✖ العدد يجب أن يكون صحيحًا ≥ 0",IF(AND($F86="Baseline",$H86&lt;&gt;""),"⚠ Baseline: Start لا يدخل في التقدم",IF($K86="No Start (attainment only)","ℹ تحصيل فقط (بدون Start)",IF($K86="U – needs rule","ℹ حالة U تحتاج قاعدة معتمدة",IF($K86="No result","ℹ بدون نتيجة (يُستبعد من التحصيل)","OK")))))))))))</f>
        <v/>
      </c>
      <c r="M86" s="64" t="n">
        <f aca="false">IF($A86="",0,IFERROR(MATCH($A86,Classes!$A$6:$A$420,0),0))</f>
        <v>0</v>
      </c>
      <c r="N86" s="64" t="n">
        <f aca="false">IF($H86="",0,IFERROR(MATCH($H86,GradeList,0),0))</f>
        <v>0</v>
      </c>
      <c r="O86" s="64" t="n">
        <f aca="false">IF(OR($I86="",$I86="NR"),0,IFERROR(MATCH($I86,GradeList,0),0))</f>
        <v>0</v>
      </c>
      <c r="P86" s="64" t="n">
        <f aca="false">IF(AND($M86&gt;0,ISNUMBER(MATCH($F86,Lists!$A$2:$A$5,0)),ISNUMBER(MATCH($G86,Lists!$B$2:$B$7,0)),OR($H86="",$N86&gt;0),OR($I86="",$I86="NR",$O86&gt;0),IF(ISNUMBER($J86),AND($J86&gt;=0,$J86=INT($J86)),FALSE())),$J86,0)</f>
        <v>0</v>
      </c>
      <c r="Q86" s="64" t="n">
        <f aca="false">IF(AND($P86&gt;0,$O86&gt;0),$P86,0)</f>
        <v>0</v>
      </c>
      <c r="R86" s="64" t="n">
        <f aca="false">IF(AND($Q86&gt;0,$O86&gt;=AtRank),$Q86,0)</f>
        <v>0</v>
      </c>
      <c r="S86" s="64" t="n">
        <f aca="false">IF(AND($Q86&gt;0,$O86&gt;=AboveRank),$Q86,0)</f>
        <v>0</v>
      </c>
      <c r="T86" s="64" t="n">
        <f aca="false">IF($K86="Less",$P86,0)</f>
        <v>0</v>
      </c>
      <c r="U86" s="64" t="n">
        <f aca="false">IF($K86="Expected",$P86,0)</f>
        <v>0</v>
      </c>
      <c r="V86" s="64" t="n">
        <f aca="false">IF($K86="Better",$P86,0)</f>
        <v>0</v>
      </c>
      <c r="W86" s="64" t="n">
        <f aca="false">IF($K86="U – needs rule",$P86,0)</f>
        <v>0</v>
      </c>
      <c r="X86" s="64" t="n">
        <f aca="false">IF($K86="No Start (attainment only)",$P86,0)</f>
        <v>0</v>
      </c>
    </row>
    <row r="87" customFormat="false" ht="15" hidden="false" customHeight="false" outlineLevel="0" collapsed="false">
      <c r="A87" s="60"/>
      <c r="B87" s="61" t="str">
        <f aca="false">IF($M87=0,"",INDEX(Classes!$E$6:$E$420,$M87))</f>
        <v/>
      </c>
      <c r="C87" s="62" t="str">
        <f aca="false">IF($M87=0,"",INDEX(Classes!$H$6:$H$420,$M87))</f>
        <v/>
      </c>
      <c r="D87" s="61" t="str">
        <f aca="false">IF($M87=0,"",INDEX(Classes!$B$6:$B$420,$M87))</f>
        <v/>
      </c>
      <c r="E87" s="61" t="str">
        <f aca="false">IF($M87=0,"",INDEX(Classes!$C$6:$C$420,$M87))</f>
        <v/>
      </c>
      <c r="F87" s="63"/>
      <c r="G87" s="63"/>
      <c r="H87" s="60"/>
      <c r="I87" s="60"/>
      <c r="J87" s="63"/>
      <c r="K87" s="61" t="str">
        <f aca="false">IF($P87=0,"",IF($F87="Baseline","— Baseline",IF($O87=0,"No result",IF($N87=0,"No Start (attainment only)",IF(OR($N87=1,$O87=1),"U – needs rule",INDEX(MxBody,MATCH($I87,MxCurr,0),MATCH($H87,MxStart,0)))))))</f>
        <v/>
      </c>
      <c r="L87" s="62" t="str">
        <f aca="false">IF(COUNTA($A87,$F87,$G87,$H87,$I87,$J87)=0,"",IF($M87=0,"✖ كود الصف غير موجود",IF(ISNA(MATCH($F87,Lists!$A$2:$A$5,0)),"✖ الفترة غير صحيحة",IF(ISNA(MATCH($G87,Lists!$B$2:$B$7,0)),"✖ المجموعة غير صحيحة",IF(NOT(OR($H87="",$N87&gt;0)),"✖ Start غير صحيح",IF(NOT(OR($I87="",$I87="NR",$O87&gt;0)),"✖ Current غير صحيح",IF(NOT(IF(ISNUMBER($J87),AND($J87&gt;=0,$J87=INT($J87)),FALSE())),"✖ العدد يجب أن يكون صحيحًا ≥ 0",IF(AND($F87="Baseline",$H87&lt;&gt;""),"⚠ Baseline: Start لا يدخل في التقدم",IF($K87="No Start (attainment only)","ℹ تحصيل فقط (بدون Start)",IF($K87="U – needs rule","ℹ حالة U تحتاج قاعدة معتمدة",IF($K87="No result","ℹ بدون نتيجة (يُستبعد من التحصيل)","OK")))))))))))</f>
        <v/>
      </c>
      <c r="M87" s="64" t="n">
        <f aca="false">IF($A87="",0,IFERROR(MATCH($A87,Classes!$A$6:$A$420,0),0))</f>
        <v>0</v>
      </c>
      <c r="N87" s="64" t="n">
        <f aca="false">IF($H87="",0,IFERROR(MATCH($H87,GradeList,0),0))</f>
        <v>0</v>
      </c>
      <c r="O87" s="64" t="n">
        <f aca="false">IF(OR($I87="",$I87="NR"),0,IFERROR(MATCH($I87,GradeList,0),0))</f>
        <v>0</v>
      </c>
      <c r="P87" s="64" t="n">
        <f aca="false">IF(AND($M87&gt;0,ISNUMBER(MATCH($F87,Lists!$A$2:$A$5,0)),ISNUMBER(MATCH($G87,Lists!$B$2:$B$7,0)),OR($H87="",$N87&gt;0),OR($I87="",$I87="NR",$O87&gt;0),IF(ISNUMBER($J87),AND($J87&gt;=0,$J87=INT($J87)),FALSE())),$J87,0)</f>
        <v>0</v>
      </c>
      <c r="Q87" s="64" t="n">
        <f aca="false">IF(AND($P87&gt;0,$O87&gt;0),$P87,0)</f>
        <v>0</v>
      </c>
      <c r="R87" s="64" t="n">
        <f aca="false">IF(AND($Q87&gt;0,$O87&gt;=AtRank),$Q87,0)</f>
        <v>0</v>
      </c>
      <c r="S87" s="64" t="n">
        <f aca="false">IF(AND($Q87&gt;0,$O87&gt;=AboveRank),$Q87,0)</f>
        <v>0</v>
      </c>
      <c r="T87" s="64" t="n">
        <f aca="false">IF($K87="Less",$P87,0)</f>
        <v>0</v>
      </c>
      <c r="U87" s="64" t="n">
        <f aca="false">IF($K87="Expected",$P87,0)</f>
        <v>0</v>
      </c>
      <c r="V87" s="64" t="n">
        <f aca="false">IF($K87="Better",$P87,0)</f>
        <v>0</v>
      </c>
      <c r="W87" s="64" t="n">
        <f aca="false">IF($K87="U – needs rule",$P87,0)</f>
        <v>0</v>
      </c>
      <c r="X87" s="64" t="n">
        <f aca="false">IF($K87="No Start (attainment only)",$P87,0)</f>
        <v>0</v>
      </c>
    </row>
    <row r="88" customFormat="false" ht="15" hidden="false" customHeight="false" outlineLevel="0" collapsed="false">
      <c r="A88" s="60"/>
      <c r="B88" s="61" t="str">
        <f aca="false">IF($M88=0,"",INDEX(Classes!$E$6:$E$420,$M88))</f>
        <v/>
      </c>
      <c r="C88" s="62" t="str">
        <f aca="false">IF($M88=0,"",INDEX(Classes!$H$6:$H$420,$M88))</f>
        <v/>
      </c>
      <c r="D88" s="61" t="str">
        <f aca="false">IF($M88=0,"",INDEX(Classes!$B$6:$B$420,$M88))</f>
        <v/>
      </c>
      <c r="E88" s="61" t="str">
        <f aca="false">IF($M88=0,"",INDEX(Classes!$C$6:$C$420,$M88))</f>
        <v/>
      </c>
      <c r="F88" s="63"/>
      <c r="G88" s="63"/>
      <c r="H88" s="60"/>
      <c r="I88" s="60"/>
      <c r="J88" s="63"/>
      <c r="K88" s="61" t="str">
        <f aca="false">IF($P88=0,"",IF($F88="Baseline","— Baseline",IF($O88=0,"No result",IF($N88=0,"No Start (attainment only)",IF(OR($N88=1,$O88=1),"U – needs rule",INDEX(MxBody,MATCH($I88,MxCurr,0),MATCH($H88,MxStart,0)))))))</f>
        <v/>
      </c>
      <c r="L88" s="62" t="str">
        <f aca="false">IF(COUNTA($A88,$F88,$G88,$H88,$I88,$J88)=0,"",IF($M88=0,"✖ كود الصف غير موجود",IF(ISNA(MATCH($F88,Lists!$A$2:$A$5,0)),"✖ الفترة غير صحيحة",IF(ISNA(MATCH($G88,Lists!$B$2:$B$7,0)),"✖ المجموعة غير صحيحة",IF(NOT(OR($H88="",$N88&gt;0)),"✖ Start غير صحيح",IF(NOT(OR($I88="",$I88="NR",$O88&gt;0)),"✖ Current غير صحيح",IF(NOT(IF(ISNUMBER($J88),AND($J88&gt;=0,$J88=INT($J88)),FALSE())),"✖ العدد يجب أن يكون صحيحًا ≥ 0",IF(AND($F88="Baseline",$H88&lt;&gt;""),"⚠ Baseline: Start لا يدخل في التقدم",IF($K88="No Start (attainment only)","ℹ تحصيل فقط (بدون Start)",IF($K88="U – needs rule","ℹ حالة U تحتاج قاعدة معتمدة",IF($K88="No result","ℹ بدون نتيجة (يُستبعد من التحصيل)","OK")))))))))))</f>
        <v/>
      </c>
      <c r="M88" s="64" t="n">
        <f aca="false">IF($A88="",0,IFERROR(MATCH($A88,Classes!$A$6:$A$420,0),0))</f>
        <v>0</v>
      </c>
      <c r="N88" s="64" t="n">
        <f aca="false">IF($H88="",0,IFERROR(MATCH($H88,GradeList,0),0))</f>
        <v>0</v>
      </c>
      <c r="O88" s="64" t="n">
        <f aca="false">IF(OR($I88="",$I88="NR"),0,IFERROR(MATCH($I88,GradeList,0),0))</f>
        <v>0</v>
      </c>
      <c r="P88" s="64" t="n">
        <f aca="false">IF(AND($M88&gt;0,ISNUMBER(MATCH($F88,Lists!$A$2:$A$5,0)),ISNUMBER(MATCH($G88,Lists!$B$2:$B$7,0)),OR($H88="",$N88&gt;0),OR($I88="",$I88="NR",$O88&gt;0),IF(ISNUMBER($J88),AND($J88&gt;=0,$J88=INT($J88)),FALSE())),$J88,0)</f>
        <v>0</v>
      </c>
      <c r="Q88" s="64" t="n">
        <f aca="false">IF(AND($P88&gt;0,$O88&gt;0),$P88,0)</f>
        <v>0</v>
      </c>
      <c r="R88" s="64" t="n">
        <f aca="false">IF(AND($Q88&gt;0,$O88&gt;=AtRank),$Q88,0)</f>
        <v>0</v>
      </c>
      <c r="S88" s="64" t="n">
        <f aca="false">IF(AND($Q88&gt;0,$O88&gt;=AboveRank),$Q88,0)</f>
        <v>0</v>
      </c>
      <c r="T88" s="64" t="n">
        <f aca="false">IF($K88="Less",$P88,0)</f>
        <v>0</v>
      </c>
      <c r="U88" s="64" t="n">
        <f aca="false">IF($K88="Expected",$P88,0)</f>
        <v>0</v>
      </c>
      <c r="V88" s="64" t="n">
        <f aca="false">IF($K88="Better",$P88,0)</f>
        <v>0</v>
      </c>
      <c r="W88" s="64" t="n">
        <f aca="false">IF($K88="U – needs rule",$P88,0)</f>
        <v>0</v>
      </c>
      <c r="X88" s="64" t="n">
        <f aca="false">IF($K88="No Start (attainment only)",$P88,0)</f>
        <v>0</v>
      </c>
    </row>
    <row r="89" customFormat="false" ht="15" hidden="false" customHeight="false" outlineLevel="0" collapsed="false">
      <c r="A89" s="60"/>
      <c r="B89" s="61" t="str">
        <f aca="false">IF($M89=0,"",INDEX(Classes!$E$6:$E$420,$M89))</f>
        <v/>
      </c>
      <c r="C89" s="62" t="str">
        <f aca="false">IF($M89=0,"",INDEX(Classes!$H$6:$H$420,$M89))</f>
        <v/>
      </c>
      <c r="D89" s="61" t="str">
        <f aca="false">IF($M89=0,"",INDEX(Classes!$B$6:$B$420,$M89))</f>
        <v/>
      </c>
      <c r="E89" s="61" t="str">
        <f aca="false">IF($M89=0,"",INDEX(Classes!$C$6:$C$420,$M89))</f>
        <v/>
      </c>
      <c r="F89" s="63"/>
      <c r="G89" s="63"/>
      <c r="H89" s="60"/>
      <c r="I89" s="60"/>
      <c r="J89" s="63"/>
      <c r="K89" s="61" t="str">
        <f aca="false">IF($P89=0,"",IF($F89="Baseline","— Baseline",IF($O89=0,"No result",IF($N89=0,"No Start (attainment only)",IF(OR($N89=1,$O89=1),"U – needs rule",INDEX(MxBody,MATCH($I89,MxCurr,0),MATCH($H89,MxStart,0)))))))</f>
        <v/>
      </c>
      <c r="L89" s="62" t="str">
        <f aca="false">IF(COUNTA($A89,$F89,$G89,$H89,$I89,$J89)=0,"",IF($M89=0,"✖ كود الصف غير موجود",IF(ISNA(MATCH($F89,Lists!$A$2:$A$5,0)),"✖ الفترة غير صحيحة",IF(ISNA(MATCH($G89,Lists!$B$2:$B$7,0)),"✖ المجموعة غير صحيحة",IF(NOT(OR($H89="",$N89&gt;0)),"✖ Start غير صحيح",IF(NOT(OR($I89="",$I89="NR",$O89&gt;0)),"✖ Current غير صحيح",IF(NOT(IF(ISNUMBER($J89),AND($J89&gt;=0,$J89=INT($J89)),FALSE())),"✖ العدد يجب أن يكون صحيحًا ≥ 0",IF(AND($F89="Baseline",$H89&lt;&gt;""),"⚠ Baseline: Start لا يدخل في التقدم",IF($K89="No Start (attainment only)","ℹ تحصيل فقط (بدون Start)",IF($K89="U – needs rule","ℹ حالة U تحتاج قاعدة معتمدة",IF($K89="No result","ℹ بدون نتيجة (يُستبعد من التحصيل)","OK")))))))))))</f>
        <v/>
      </c>
      <c r="M89" s="64" t="n">
        <f aca="false">IF($A89="",0,IFERROR(MATCH($A89,Classes!$A$6:$A$420,0),0))</f>
        <v>0</v>
      </c>
      <c r="N89" s="64" t="n">
        <f aca="false">IF($H89="",0,IFERROR(MATCH($H89,GradeList,0),0))</f>
        <v>0</v>
      </c>
      <c r="O89" s="64" t="n">
        <f aca="false">IF(OR($I89="",$I89="NR"),0,IFERROR(MATCH($I89,GradeList,0),0))</f>
        <v>0</v>
      </c>
      <c r="P89" s="64" t="n">
        <f aca="false">IF(AND($M89&gt;0,ISNUMBER(MATCH($F89,Lists!$A$2:$A$5,0)),ISNUMBER(MATCH($G89,Lists!$B$2:$B$7,0)),OR($H89="",$N89&gt;0),OR($I89="",$I89="NR",$O89&gt;0),IF(ISNUMBER($J89),AND($J89&gt;=0,$J89=INT($J89)),FALSE())),$J89,0)</f>
        <v>0</v>
      </c>
      <c r="Q89" s="64" t="n">
        <f aca="false">IF(AND($P89&gt;0,$O89&gt;0),$P89,0)</f>
        <v>0</v>
      </c>
      <c r="R89" s="64" t="n">
        <f aca="false">IF(AND($Q89&gt;0,$O89&gt;=AtRank),$Q89,0)</f>
        <v>0</v>
      </c>
      <c r="S89" s="64" t="n">
        <f aca="false">IF(AND($Q89&gt;0,$O89&gt;=AboveRank),$Q89,0)</f>
        <v>0</v>
      </c>
      <c r="T89" s="64" t="n">
        <f aca="false">IF($K89="Less",$P89,0)</f>
        <v>0</v>
      </c>
      <c r="U89" s="64" t="n">
        <f aca="false">IF($K89="Expected",$P89,0)</f>
        <v>0</v>
      </c>
      <c r="V89" s="64" t="n">
        <f aca="false">IF($K89="Better",$P89,0)</f>
        <v>0</v>
      </c>
      <c r="W89" s="64" t="n">
        <f aca="false">IF($K89="U – needs rule",$P89,0)</f>
        <v>0</v>
      </c>
      <c r="X89" s="64" t="n">
        <f aca="false">IF($K89="No Start (attainment only)",$P89,0)</f>
        <v>0</v>
      </c>
    </row>
    <row r="90" customFormat="false" ht="15" hidden="false" customHeight="false" outlineLevel="0" collapsed="false">
      <c r="A90" s="60"/>
      <c r="B90" s="61" t="str">
        <f aca="false">IF($M90=0,"",INDEX(Classes!$E$6:$E$420,$M90))</f>
        <v/>
      </c>
      <c r="C90" s="62" t="str">
        <f aca="false">IF($M90=0,"",INDEX(Classes!$H$6:$H$420,$M90))</f>
        <v/>
      </c>
      <c r="D90" s="61" t="str">
        <f aca="false">IF($M90=0,"",INDEX(Classes!$B$6:$B$420,$M90))</f>
        <v/>
      </c>
      <c r="E90" s="61" t="str">
        <f aca="false">IF($M90=0,"",INDEX(Classes!$C$6:$C$420,$M90))</f>
        <v/>
      </c>
      <c r="F90" s="63"/>
      <c r="G90" s="63"/>
      <c r="H90" s="60"/>
      <c r="I90" s="60"/>
      <c r="J90" s="63"/>
      <c r="K90" s="61" t="str">
        <f aca="false">IF($P90=0,"",IF($F90="Baseline","— Baseline",IF($O90=0,"No result",IF($N90=0,"No Start (attainment only)",IF(OR($N90=1,$O90=1),"U – needs rule",INDEX(MxBody,MATCH($I90,MxCurr,0),MATCH($H90,MxStart,0)))))))</f>
        <v/>
      </c>
      <c r="L90" s="62" t="str">
        <f aca="false">IF(COUNTA($A90,$F90,$G90,$H90,$I90,$J90)=0,"",IF($M90=0,"✖ كود الصف غير موجود",IF(ISNA(MATCH($F90,Lists!$A$2:$A$5,0)),"✖ الفترة غير صحيحة",IF(ISNA(MATCH($G90,Lists!$B$2:$B$7,0)),"✖ المجموعة غير صحيحة",IF(NOT(OR($H90="",$N90&gt;0)),"✖ Start غير صحيح",IF(NOT(OR($I90="",$I90="NR",$O90&gt;0)),"✖ Current غير صحيح",IF(NOT(IF(ISNUMBER($J90),AND($J90&gt;=0,$J90=INT($J90)),FALSE())),"✖ العدد يجب أن يكون صحيحًا ≥ 0",IF(AND($F90="Baseline",$H90&lt;&gt;""),"⚠ Baseline: Start لا يدخل في التقدم",IF($K90="No Start (attainment only)","ℹ تحصيل فقط (بدون Start)",IF($K90="U – needs rule","ℹ حالة U تحتاج قاعدة معتمدة",IF($K90="No result","ℹ بدون نتيجة (يُستبعد من التحصيل)","OK")))))))))))</f>
        <v/>
      </c>
      <c r="M90" s="64" t="n">
        <f aca="false">IF($A90="",0,IFERROR(MATCH($A90,Classes!$A$6:$A$420,0),0))</f>
        <v>0</v>
      </c>
      <c r="N90" s="64" t="n">
        <f aca="false">IF($H90="",0,IFERROR(MATCH($H90,GradeList,0),0))</f>
        <v>0</v>
      </c>
      <c r="O90" s="64" t="n">
        <f aca="false">IF(OR($I90="",$I90="NR"),0,IFERROR(MATCH($I90,GradeList,0),0))</f>
        <v>0</v>
      </c>
      <c r="P90" s="64" t="n">
        <f aca="false">IF(AND($M90&gt;0,ISNUMBER(MATCH($F90,Lists!$A$2:$A$5,0)),ISNUMBER(MATCH($G90,Lists!$B$2:$B$7,0)),OR($H90="",$N90&gt;0),OR($I90="",$I90="NR",$O90&gt;0),IF(ISNUMBER($J90),AND($J90&gt;=0,$J90=INT($J90)),FALSE())),$J90,0)</f>
        <v>0</v>
      </c>
      <c r="Q90" s="64" t="n">
        <f aca="false">IF(AND($P90&gt;0,$O90&gt;0),$P90,0)</f>
        <v>0</v>
      </c>
      <c r="R90" s="64" t="n">
        <f aca="false">IF(AND($Q90&gt;0,$O90&gt;=AtRank),$Q90,0)</f>
        <v>0</v>
      </c>
      <c r="S90" s="64" t="n">
        <f aca="false">IF(AND($Q90&gt;0,$O90&gt;=AboveRank),$Q90,0)</f>
        <v>0</v>
      </c>
      <c r="T90" s="64" t="n">
        <f aca="false">IF($K90="Less",$P90,0)</f>
        <v>0</v>
      </c>
      <c r="U90" s="64" t="n">
        <f aca="false">IF($K90="Expected",$P90,0)</f>
        <v>0</v>
      </c>
      <c r="V90" s="64" t="n">
        <f aca="false">IF($K90="Better",$P90,0)</f>
        <v>0</v>
      </c>
      <c r="W90" s="64" t="n">
        <f aca="false">IF($K90="U – needs rule",$P90,0)</f>
        <v>0</v>
      </c>
      <c r="X90" s="64" t="n">
        <f aca="false">IF($K90="No Start (attainment only)",$P90,0)</f>
        <v>0</v>
      </c>
    </row>
    <row r="91" customFormat="false" ht="15" hidden="false" customHeight="false" outlineLevel="0" collapsed="false">
      <c r="A91" s="60"/>
      <c r="B91" s="61" t="str">
        <f aca="false">IF($M91=0,"",INDEX(Classes!$E$6:$E$420,$M91))</f>
        <v/>
      </c>
      <c r="C91" s="62" t="str">
        <f aca="false">IF($M91=0,"",INDEX(Classes!$H$6:$H$420,$M91))</f>
        <v/>
      </c>
      <c r="D91" s="61" t="str">
        <f aca="false">IF($M91=0,"",INDEX(Classes!$B$6:$B$420,$M91))</f>
        <v/>
      </c>
      <c r="E91" s="61" t="str">
        <f aca="false">IF($M91=0,"",INDEX(Classes!$C$6:$C$420,$M91))</f>
        <v/>
      </c>
      <c r="F91" s="63"/>
      <c r="G91" s="63"/>
      <c r="H91" s="60"/>
      <c r="I91" s="60"/>
      <c r="J91" s="63"/>
      <c r="K91" s="61" t="str">
        <f aca="false">IF($P91=0,"",IF($F91="Baseline","— Baseline",IF($O91=0,"No result",IF($N91=0,"No Start (attainment only)",IF(OR($N91=1,$O91=1),"U – needs rule",INDEX(MxBody,MATCH($I91,MxCurr,0),MATCH($H91,MxStart,0)))))))</f>
        <v/>
      </c>
      <c r="L91" s="62" t="str">
        <f aca="false">IF(COUNTA($A91,$F91,$G91,$H91,$I91,$J91)=0,"",IF($M91=0,"✖ كود الصف غير موجود",IF(ISNA(MATCH($F91,Lists!$A$2:$A$5,0)),"✖ الفترة غير صحيحة",IF(ISNA(MATCH($G91,Lists!$B$2:$B$7,0)),"✖ المجموعة غير صحيحة",IF(NOT(OR($H91="",$N91&gt;0)),"✖ Start غير صحيح",IF(NOT(OR($I91="",$I91="NR",$O91&gt;0)),"✖ Current غير صحيح",IF(NOT(IF(ISNUMBER($J91),AND($J91&gt;=0,$J91=INT($J91)),FALSE())),"✖ العدد يجب أن يكون صحيحًا ≥ 0",IF(AND($F91="Baseline",$H91&lt;&gt;""),"⚠ Baseline: Start لا يدخل في التقدم",IF($K91="No Start (attainment only)","ℹ تحصيل فقط (بدون Start)",IF($K91="U – needs rule","ℹ حالة U تحتاج قاعدة معتمدة",IF($K91="No result","ℹ بدون نتيجة (يُستبعد من التحصيل)","OK")))))))))))</f>
        <v/>
      </c>
      <c r="M91" s="64" t="n">
        <f aca="false">IF($A91="",0,IFERROR(MATCH($A91,Classes!$A$6:$A$420,0),0))</f>
        <v>0</v>
      </c>
      <c r="N91" s="64" t="n">
        <f aca="false">IF($H91="",0,IFERROR(MATCH($H91,GradeList,0),0))</f>
        <v>0</v>
      </c>
      <c r="O91" s="64" t="n">
        <f aca="false">IF(OR($I91="",$I91="NR"),0,IFERROR(MATCH($I91,GradeList,0),0))</f>
        <v>0</v>
      </c>
      <c r="P91" s="64" t="n">
        <f aca="false">IF(AND($M91&gt;0,ISNUMBER(MATCH($F91,Lists!$A$2:$A$5,0)),ISNUMBER(MATCH($G91,Lists!$B$2:$B$7,0)),OR($H91="",$N91&gt;0),OR($I91="",$I91="NR",$O91&gt;0),IF(ISNUMBER($J91),AND($J91&gt;=0,$J91=INT($J91)),FALSE())),$J91,0)</f>
        <v>0</v>
      </c>
      <c r="Q91" s="64" t="n">
        <f aca="false">IF(AND($P91&gt;0,$O91&gt;0),$P91,0)</f>
        <v>0</v>
      </c>
      <c r="R91" s="64" t="n">
        <f aca="false">IF(AND($Q91&gt;0,$O91&gt;=AtRank),$Q91,0)</f>
        <v>0</v>
      </c>
      <c r="S91" s="64" t="n">
        <f aca="false">IF(AND($Q91&gt;0,$O91&gt;=AboveRank),$Q91,0)</f>
        <v>0</v>
      </c>
      <c r="T91" s="64" t="n">
        <f aca="false">IF($K91="Less",$P91,0)</f>
        <v>0</v>
      </c>
      <c r="U91" s="64" t="n">
        <f aca="false">IF($K91="Expected",$P91,0)</f>
        <v>0</v>
      </c>
      <c r="V91" s="64" t="n">
        <f aca="false">IF($K91="Better",$P91,0)</f>
        <v>0</v>
      </c>
      <c r="W91" s="64" t="n">
        <f aca="false">IF($K91="U – needs rule",$P91,0)</f>
        <v>0</v>
      </c>
      <c r="X91" s="64" t="n">
        <f aca="false">IF($K91="No Start (attainment only)",$P91,0)</f>
        <v>0</v>
      </c>
    </row>
    <row r="92" customFormat="false" ht="15" hidden="false" customHeight="false" outlineLevel="0" collapsed="false">
      <c r="A92" s="60"/>
      <c r="B92" s="61" t="str">
        <f aca="false">IF($M92=0,"",INDEX(Classes!$E$6:$E$420,$M92))</f>
        <v/>
      </c>
      <c r="C92" s="62" t="str">
        <f aca="false">IF($M92=0,"",INDEX(Classes!$H$6:$H$420,$M92))</f>
        <v/>
      </c>
      <c r="D92" s="61" t="str">
        <f aca="false">IF($M92=0,"",INDEX(Classes!$B$6:$B$420,$M92))</f>
        <v/>
      </c>
      <c r="E92" s="61" t="str">
        <f aca="false">IF($M92=0,"",INDEX(Classes!$C$6:$C$420,$M92))</f>
        <v/>
      </c>
      <c r="F92" s="63"/>
      <c r="G92" s="63"/>
      <c r="H92" s="60"/>
      <c r="I92" s="60"/>
      <c r="J92" s="63"/>
      <c r="K92" s="61" t="str">
        <f aca="false">IF($P92=0,"",IF($F92="Baseline","— Baseline",IF($O92=0,"No result",IF($N92=0,"No Start (attainment only)",IF(OR($N92=1,$O92=1),"U – needs rule",INDEX(MxBody,MATCH($I92,MxCurr,0),MATCH($H92,MxStart,0)))))))</f>
        <v/>
      </c>
      <c r="L92" s="62" t="str">
        <f aca="false">IF(COUNTA($A92,$F92,$G92,$H92,$I92,$J92)=0,"",IF($M92=0,"✖ كود الصف غير موجود",IF(ISNA(MATCH($F92,Lists!$A$2:$A$5,0)),"✖ الفترة غير صحيحة",IF(ISNA(MATCH($G92,Lists!$B$2:$B$7,0)),"✖ المجموعة غير صحيحة",IF(NOT(OR($H92="",$N92&gt;0)),"✖ Start غير صحيح",IF(NOT(OR($I92="",$I92="NR",$O92&gt;0)),"✖ Current غير صحيح",IF(NOT(IF(ISNUMBER($J92),AND($J92&gt;=0,$J92=INT($J92)),FALSE())),"✖ العدد يجب أن يكون صحيحًا ≥ 0",IF(AND($F92="Baseline",$H92&lt;&gt;""),"⚠ Baseline: Start لا يدخل في التقدم",IF($K92="No Start (attainment only)","ℹ تحصيل فقط (بدون Start)",IF($K92="U – needs rule","ℹ حالة U تحتاج قاعدة معتمدة",IF($K92="No result","ℹ بدون نتيجة (يُستبعد من التحصيل)","OK")))))))))))</f>
        <v/>
      </c>
      <c r="M92" s="64" t="n">
        <f aca="false">IF($A92="",0,IFERROR(MATCH($A92,Classes!$A$6:$A$420,0),0))</f>
        <v>0</v>
      </c>
      <c r="N92" s="64" t="n">
        <f aca="false">IF($H92="",0,IFERROR(MATCH($H92,GradeList,0),0))</f>
        <v>0</v>
      </c>
      <c r="O92" s="64" t="n">
        <f aca="false">IF(OR($I92="",$I92="NR"),0,IFERROR(MATCH($I92,GradeList,0),0))</f>
        <v>0</v>
      </c>
      <c r="P92" s="64" t="n">
        <f aca="false">IF(AND($M92&gt;0,ISNUMBER(MATCH($F92,Lists!$A$2:$A$5,0)),ISNUMBER(MATCH($G92,Lists!$B$2:$B$7,0)),OR($H92="",$N92&gt;0),OR($I92="",$I92="NR",$O92&gt;0),IF(ISNUMBER($J92),AND($J92&gt;=0,$J92=INT($J92)),FALSE())),$J92,0)</f>
        <v>0</v>
      </c>
      <c r="Q92" s="64" t="n">
        <f aca="false">IF(AND($P92&gt;0,$O92&gt;0),$P92,0)</f>
        <v>0</v>
      </c>
      <c r="R92" s="64" t="n">
        <f aca="false">IF(AND($Q92&gt;0,$O92&gt;=AtRank),$Q92,0)</f>
        <v>0</v>
      </c>
      <c r="S92" s="64" t="n">
        <f aca="false">IF(AND($Q92&gt;0,$O92&gt;=AboveRank),$Q92,0)</f>
        <v>0</v>
      </c>
      <c r="T92" s="64" t="n">
        <f aca="false">IF($K92="Less",$P92,0)</f>
        <v>0</v>
      </c>
      <c r="U92" s="64" t="n">
        <f aca="false">IF($K92="Expected",$P92,0)</f>
        <v>0</v>
      </c>
      <c r="V92" s="64" t="n">
        <f aca="false">IF($K92="Better",$P92,0)</f>
        <v>0</v>
      </c>
      <c r="W92" s="64" t="n">
        <f aca="false">IF($K92="U – needs rule",$P92,0)</f>
        <v>0</v>
      </c>
      <c r="X92" s="64" t="n">
        <f aca="false">IF($K92="No Start (attainment only)",$P92,0)</f>
        <v>0</v>
      </c>
    </row>
    <row r="93" customFormat="false" ht="15" hidden="false" customHeight="false" outlineLevel="0" collapsed="false">
      <c r="A93" s="60"/>
      <c r="B93" s="61" t="str">
        <f aca="false">IF($M93=0,"",INDEX(Classes!$E$6:$E$420,$M93))</f>
        <v/>
      </c>
      <c r="C93" s="62" t="str">
        <f aca="false">IF($M93=0,"",INDEX(Classes!$H$6:$H$420,$M93))</f>
        <v/>
      </c>
      <c r="D93" s="61" t="str">
        <f aca="false">IF($M93=0,"",INDEX(Classes!$B$6:$B$420,$M93))</f>
        <v/>
      </c>
      <c r="E93" s="61" t="str">
        <f aca="false">IF($M93=0,"",INDEX(Classes!$C$6:$C$420,$M93))</f>
        <v/>
      </c>
      <c r="F93" s="63"/>
      <c r="G93" s="63"/>
      <c r="H93" s="60"/>
      <c r="I93" s="60"/>
      <c r="J93" s="63"/>
      <c r="K93" s="61" t="str">
        <f aca="false">IF($P93=0,"",IF($F93="Baseline","— Baseline",IF($O93=0,"No result",IF($N93=0,"No Start (attainment only)",IF(OR($N93=1,$O93=1),"U – needs rule",INDEX(MxBody,MATCH($I93,MxCurr,0),MATCH($H93,MxStart,0)))))))</f>
        <v/>
      </c>
      <c r="L93" s="62" t="str">
        <f aca="false">IF(COUNTA($A93,$F93,$G93,$H93,$I93,$J93)=0,"",IF($M93=0,"✖ كود الصف غير موجود",IF(ISNA(MATCH($F93,Lists!$A$2:$A$5,0)),"✖ الفترة غير صحيحة",IF(ISNA(MATCH($G93,Lists!$B$2:$B$7,0)),"✖ المجموعة غير صحيحة",IF(NOT(OR($H93="",$N93&gt;0)),"✖ Start غير صحيح",IF(NOT(OR($I93="",$I93="NR",$O93&gt;0)),"✖ Current غير صحيح",IF(NOT(IF(ISNUMBER($J93),AND($J93&gt;=0,$J93=INT($J93)),FALSE())),"✖ العدد يجب أن يكون صحيحًا ≥ 0",IF(AND($F93="Baseline",$H93&lt;&gt;""),"⚠ Baseline: Start لا يدخل في التقدم",IF($K93="No Start (attainment only)","ℹ تحصيل فقط (بدون Start)",IF($K93="U – needs rule","ℹ حالة U تحتاج قاعدة معتمدة",IF($K93="No result","ℹ بدون نتيجة (يُستبعد من التحصيل)","OK")))))))))))</f>
        <v/>
      </c>
      <c r="M93" s="64" t="n">
        <f aca="false">IF($A93="",0,IFERROR(MATCH($A93,Classes!$A$6:$A$420,0),0))</f>
        <v>0</v>
      </c>
      <c r="N93" s="64" t="n">
        <f aca="false">IF($H93="",0,IFERROR(MATCH($H93,GradeList,0),0))</f>
        <v>0</v>
      </c>
      <c r="O93" s="64" t="n">
        <f aca="false">IF(OR($I93="",$I93="NR"),0,IFERROR(MATCH($I93,GradeList,0),0))</f>
        <v>0</v>
      </c>
      <c r="P93" s="64" t="n">
        <f aca="false">IF(AND($M93&gt;0,ISNUMBER(MATCH($F93,Lists!$A$2:$A$5,0)),ISNUMBER(MATCH($G93,Lists!$B$2:$B$7,0)),OR($H93="",$N93&gt;0),OR($I93="",$I93="NR",$O93&gt;0),IF(ISNUMBER($J93),AND($J93&gt;=0,$J93=INT($J93)),FALSE())),$J93,0)</f>
        <v>0</v>
      </c>
      <c r="Q93" s="64" t="n">
        <f aca="false">IF(AND($P93&gt;0,$O93&gt;0),$P93,0)</f>
        <v>0</v>
      </c>
      <c r="R93" s="64" t="n">
        <f aca="false">IF(AND($Q93&gt;0,$O93&gt;=AtRank),$Q93,0)</f>
        <v>0</v>
      </c>
      <c r="S93" s="64" t="n">
        <f aca="false">IF(AND($Q93&gt;0,$O93&gt;=AboveRank),$Q93,0)</f>
        <v>0</v>
      </c>
      <c r="T93" s="64" t="n">
        <f aca="false">IF($K93="Less",$P93,0)</f>
        <v>0</v>
      </c>
      <c r="U93" s="64" t="n">
        <f aca="false">IF($K93="Expected",$P93,0)</f>
        <v>0</v>
      </c>
      <c r="V93" s="64" t="n">
        <f aca="false">IF($K93="Better",$P93,0)</f>
        <v>0</v>
      </c>
      <c r="W93" s="64" t="n">
        <f aca="false">IF($K93="U – needs rule",$P93,0)</f>
        <v>0</v>
      </c>
      <c r="X93" s="64" t="n">
        <f aca="false">IF($K93="No Start (attainment only)",$P93,0)</f>
        <v>0</v>
      </c>
    </row>
    <row r="94" customFormat="false" ht="15" hidden="false" customHeight="false" outlineLevel="0" collapsed="false">
      <c r="A94" s="60"/>
      <c r="B94" s="61" t="str">
        <f aca="false">IF($M94=0,"",INDEX(Classes!$E$6:$E$420,$M94))</f>
        <v/>
      </c>
      <c r="C94" s="62" t="str">
        <f aca="false">IF($M94=0,"",INDEX(Classes!$H$6:$H$420,$M94))</f>
        <v/>
      </c>
      <c r="D94" s="61" t="str">
        <f aca="false">IF($M94=0,"",INDEX(Classes!$B$6:$B$420,$M94))</f>
        <v/>
      </c>
      <c r="E94" s="61" t="str">
        <f aca="false">IF($M94=0,"",INDEX(Classes!$C$6:$C$420,$M94))</f>
        <v/>
      </c>
      <c r="F94" s="63"/>
      <c r="G94" s="63"/>
      <c r="H94" s="60"/>
      <c r="I94" s="60"/>
      <c r="J94" s="63"/>
      <c r="K94" s="61" t="str">
        <f aca="false">IF($P94=0,"",IF($F94="Baseline","— Baseline",IF($O94=0,"No result",IF($N94=0,"No Start (attainment only)",IF(OR($N94=1,$O94=1),"U – needs rule",INDEX(MxBody,MATCH($I94,MxCurr,0),MATCH($H94,MxStart,0)))))))</f>
        <v/>
      </c>
      <c r="L94" s="62" t="str">
        <f aca="false">IF(COUNTA($A94,$F94,$G94,$H94,$I94,$J94)=0,"",IF($M94=0,"✖ كود الصف غير موجود",IF(ISNA(MATCH($F94,Lists!$A$2:$A$5,0)),"✖ الفترة غير صحيحة",IF(ISNA(MATCH($G94,Lists!$B$2:$B$7,0)),"✖ المجموعة غير صحيحة",IF(NOT(OR($H94="",$N94&gt;0)),"✖ Start غير صحيح",IF(NOT(OR($I94="",$I94="NR",$O94&gt;0)),"✖ Current غير صحيح",IF(NOT(IF(ISNUMBER($J94),AND($J94&gt;=0,$J94=INT($J94)),FALSE())),"✖ العدد يجب أن يكون صحيحًا ≥ 0",IF(AND($F94="Baseline",$H94&lt;&gt;""),"⚠ Baseline: Start لا يدخل في التقدم",IF($K94="No Start (attainment only)","ℹ تحصيل فقط (بدون Start)",IF($K94="U – needs rule","ℹ حالة U تحتاج قاعدة معتمدة",IF($K94="No result","ℹ بدون نتيجة (يُستبعد من التحصيل)","OK")))))))))))</f>
        <v/>
      </c>
      <c r="M94" s="64" t="n">
        <f aca="false">IF($A94="",0,IFERROR(MATCH($A94,Classes!$A$6:$A$420,0),0))</f>
        <v>0</v>
      </c>
      <c r="N94" s="64" t="n">
        <f aca="false">IF($H94="",0,IFERROR(MATCH($H94,GradeList,0),0))</f>
        <v>0</v>
      </c>
      <c r="O94" s="64" t="n">
        <f aca="false">IF(OR($I94="",$I94="NR"),0,IFERROR(MATCH($I94,GradeList,0),0))</f>
        <v>0</v>
      </c>
      <c r="P94" s="64" t="n">
        <f aca="false">IF(AND($M94&gt;0,ISNUMBER(MATCH($F94,Lists!$A$2:$A$5,0)),ISNUMBER(MATCH($G94,Lists!$B$2:$B$7,0)),OR($H94="",$N94&gt;0),OR($I94="",$I94="NR",$O94&gt;0),IF(ISNUMBER($J94),AND($J94&gt;=0,$J94=INT($J94)),FALSE())),$J94,0)</f>
        <v>0</v>
      </c>
      <c r="Q94" s="64" t="n">
        <f aca="false">IF(AND($P94&gt;0,$O94&gt;0),$P94,0)</f>
        <v>0</v>
      </c>
      <c r="R94" s="64" t="n">
        <f aca="false">IF(AND($Q94&gt;0,$O94&gt;=AtRank),$Q94,0)</f>
        <v>0</v>
      </c>
      <c r="S94" s="64" t="n">
        <f aca="false">IF(AND($Q94&gt;0,$O94&gt;=AboveRank),$Q94,0)</f>
        <v>0</v>
      </c>
      <c r="T94" s="64" t="n">
        <f aca="false">IF($K94="Less",$P94,0)</f>
        <v>0</v>
      </c>
      <c r="U94" s="64" t="n">
        <f aca="false">IF($K94="Expected",$P94,0)</f>
        <v>0</v>
      </c>
      <c r="V94" s="64" t="n">
        <f aca="false">IF($K94="Better",$P94,0)</f>
        <v>0</v>
      </c>
      <c r="W94" s="64" t="n">
        <f aca="false">IF($K94="U – needs rule",$P94,0)</f>
        <v>0</v>
      </c>
      <c r="X94" s="64" t="n">
        <f aca="false">IF($K94="No Start (attainment only)",$P94,0)</f>
        <v>0</v>
      </c>
    </row>
    <row r="95" customFormat="false" ht="15" hidden="false" customHeight="false" outlineLevel="0" collapsed="false">
      <c r="A95" s="60"/>
      <c r="B95" s="61" t="str">
        <f aca="false">IF($M95=0,"",INDEX(Classes!$E$6:$E$420,$M95))</f>
        <v/>
      </c>
      <c r="C95" s="62" t="str">
        <f aca="false">IF($M95=0,"",INDEX(Classes!$H$6:$H$420,$M95))</f>
        <v/>
      </c>
      <c r="D95" s="61" t="str">
        <f aca="false">IF($M95=0,"",INDEX(Classes!$B$6:$B$420,$M95))</f>
        <v/>
      </c>
      <c r="E95" s="61" t="str">
        <f aca="false">IF($M95=0,"",INDEX(Classes!$C$6:$C$420,$M95))</f>
        <v/>
      </c>
      <c r="F95" s="63"/>
      <c r="G95" s="63"/>
      <c r="H95" s="60"/>
      <c r="I95" s="60"/>
      <c r="J95" s="63"/>
      <c r="K95" s="61" t="str">
        <f aca="false">IF($P95=0,"",IF($F95="Baseline","— Baseline",IF($O95=0,"No result",IF($N95=0,"No Start (attainment only)",IF(OR($N95=1,$O95=1),"U – needs rule",INDEX(MxBody,MATCH($I95,MxCurr,0),MATCH($H95,MxStart,0)))))))</f>
        <v/>
      </c>
      <c r="L95" s="62" t="str">
        <f aca="false">IF(COUNTA($A95,$F95,$G95,$H95,$I95,$J95)=0,"",IF($M95=0,"✖ كود الصف غير موجود",IF(ISNA(MATCH($F95,Lists!$A$2:$A$5,0)),"✖ الفترة غير صحيحة",IF(ISNA(MATCH($G95,Lists!$B$2:$B$7,0)),"✖ المجموعة غير صحيحة",IF(NOT(OR($H95="",$N95&gt;0)),"✖ Start غير صحيح",IF(NOT(OR($I95="",$I95="NR",$O95&gt;0)),"✖ Current غير صحيح",IF(NOT(IF(ISNUMBER($J95),AND($J95&gt;=0,$J95=INT($J95)),FALSE())),"✖ العدد يجب أن يكون صحيحًا ≥ 0",IF(AND($F95="Baseline",$H95&lt;&gt;""),"⚠ Baseline: Start لا يدخل في التقدم",IF($K95="No Start (attainment only)","ℹ تحصيل فقط (بدون Start)",IF($K95="U – needs rule","ℹ حالة U تحتاج قاعدة معتمدة",IF($K95="No result","ℹ بدون نتيجة (يُستبعد من التحصيل)","OK")))))))))))</f>
        <v/>
      </c>
      <c r="M95" s="64" t="n">
        <f aca="false">IF($A95="",0,IFERROR(MATCH($A95,Classes!$A$6:$A$420,0),0))</f>
        <v>0</v>
      </c>
      <c r="N95" s="64" t="n">
        <f aca="false">IF($H95="",0,IFERROR(MATCH($H95,GradeList,0),0))</f>
        <v>0</v>
      </c>
      <c r="O95" s="64" t="n">
        <f aca="false">IF(OR($I95="",$I95="NR"),0,IFERROR(MATCH($I95,GradeList,0),0))</f>
        <v>0</v>
      </c>
      <c r="P95" s="64" t="n">
        <f aca="false">IF(AND($M95&gt;0,ISNUMBER(MATCH($F95,Lists!$A$2:$A$5,0)),ISNUMBER(MATCH($G95,Lists!$B$2:$B$7,0)),OR($H95="",$N95&gt;0),OR($I95="",$I95="NR",$O95&gt;0),IF(ISNUMBER($J95),AND($J95&gt;=0,$J95=INT($J95)),FALSE())),$J95,0)</f>
        <v>0</v>
      </c>
      <c r="Q95" s="64" t="n">
        <f aca="false">IF(AND($P95&gt;0,$O95&gt;0),$P95,0)</f>
        <v>0</v>
      </c>
      <c r="R95" s="64" t="n">
        <f aca="false">IF(AND($Q95&gt;0,$O95&gt;=AtRank),$Q95,0)</f>
        <v>0</v>
      </c>
      <c r="S95" s="64" t="n">
        <f aca="false">IF(AND($Q95&gt;0,$O95&gt;=AboveRank),$Q95,0)</f>
        <v>0</v>
      </c>
      <c r="T95" s="64" t="n">
        <f aca="false">IF($K95="Less",$P95,0)</f>
        <v>0</v>
      </c>
      <c r="U95" s="64" t="n">
        <f aca="false">IF($K95="Expected",$P95,0)</f>
        <v>0</v>
      </c>
      <c r="V95" s="64" t="n">
        <f aca="false">IF($K95="Better",$P95,0)</f>
        <v>0</v>
      </c>
      <c r="W95" s="64" t="n">
        <f aca="false">IF($K95="U – needs rule",$P95,0)</f>
        <v>0</v>
      </c>
      <c r="X95" s="64" t="n">
        <f aca="false">IF($K95="No Start (attainment only)",$P95,0)</f>
        <v>0</v>
      </c>
    </row>
    <row r="96" customFormat="false" ht="15" hidden="false" customHeight="false" outlineLevel="0" collapsed="false">
      <c r="A96" s="60"/>
      <c r="B96" s="61" t="str">
        <f aca="false">IF($M96=0,"",INDEX(Classes!$E$6:$E$420,$M96))</f>
        <v/>
      </c>
      <c r="C96" s="62" t="str">
        <f aca="false">IF($M96=0,"",INDEX(Classes!$H$6:$H$420,$M96))</f>
        <v/>
      </c>
      <c r="D96" s="61" t="str">
        <f aca="false">IF($M96=0,"",INDEX(Classes!$B$6:$B$420,$M96))</f>
        <v/>
      </c>
      <c r="E96" s="61" t="str">
        <f aca="false">IF($M96=0,"",INDEX(Classes!$C$6:$C$420,$M96))</f>
        <v/>
      </c>
      <c r="F96" s="63"/>
      <c r="G96" s="63"/>
      <c r="H96" s="60"/>
      <c r="I96" s="60"/>
      <c r="J96" s="63"/>
      <c r="K96" s="61" t="str">
        <f aca="false">IF($P96=0,"",IF($F96="Baseline","— Baseline",IF($O96=0,"No result",IF($N96=0,"No Start (attainment only)",IF(OR($N96=1,$O96=1),"U – needs rule",INDEX(MxBody,MATCH($I96,MxCurr,0),MATCH($H96,MxStart,0)))))))</f>
        <v/>
      </c>
      <c r="L96" s="62" t="str">
        <f aca="false">IF(COUNTA($A96,$F96,$G96,$H96,$I96,$J96)=0,"",IF($M96=0,"✖ كود الصف غير موجود",IF(ISNA(MATCH($F96,Lists!$A$2:$A$5,0)),"✖ الفترة غير صحيحة",IF(ISNA(MATCH($G96,Lists!$B$2:$B$7,0)),"✖ المجموعة غير صحيحة",IF(NOT(OR($H96="",$N96&gt;0)),"✖ Start غير صحيح",IF(NOT(OR($I96="",$I96="NR",$O96&gt;0)),"✖ Current غير صحيح",IF(NOT(IF(ISNUMBER($J96),AND($J96&gt;=0,$J96=INT($J96)),FALSE())),"✖ العدد يجب أن يكون صحيحًا ≥ 0",IF(AND($F96="Baseline",$H96&lt;&gt;""),"⚠ Baseline: Start لا يدخل في التقدم",IF($K96="No Start (attainment only)","ℹ تحصيل فقط (بدون Start)",IF($K96="U – needs rule","ℹ حالة U تحتاج قاعدة معتمدة",IF($K96="No result","ℹ بدون نتيجة (يُستبعد من التحصيل)","OK")))))))))))</f>
        <v/>
      </c>
      <c r="M96" s="64" t="n">
        <f aca="false">IF($A96="",0,IFERROR(MATCH($A96,Classes!$A$6:$A$420,0),0))</f>
        <v>0</v>
      </c>
      <c r="N96" s="64" t="n">
        <f aca="false">IF($H96="",0,IFERROR(MATCH($H96,GradeList,0),0))</f>
        <v>0</v>
      </c>
      <c r="O96" s="64" t="n">
        <f aca="false">IF(OR($I96="",$I96="NR"),0,IFERROR(MATCH($I96,GradeList,0),0))</f>
        <v>0</v>
      </c>
      <c r="P96" s="64" t="n">
        <f aca="false">IF(AND($M96&gt;0,ISNUMBER(MATCH($F96,Lists!$A$2:$A$5,0)),ISNUMBER(MATCH($G96,Lists!$B$2:$B$7,0)),OR($H96="",$N96&gt;0),OR($I96="",$I96="NR",$O96&gt;0),IF(ISNUMBER($J96),AND($J96&gt;=0,$J96=INT($J96)),FALSE())),$J96,0)</f>
        <v>0</v>
      </c>
      <c r="Q96" s="64" t="n">
        <f aca="false">IF(AND($P96&gt;0,$O96&gt;0),$P96,0)</f>
        <v>0</v>
      </c>
      <c r="R96" s="64" t="n">
        <f aca="false">IF(AND($Q96&gt;0,$O96&gt;=AtRank),$Q96,0)</f>
        <v>0</v>
      </c>
      <c r="S96" s="64" t="n">
        <f aca="false">IF(AND($Q96&gt;0,$O96&gt;=AboveRank),$Q96,0)</f>
        <v>0</v>
      </c>
      <c r="T96" s="64" t="n">
        <f aca="false">IF($K96="Less",$P96,0)</f>
        <v>0</v>
      </c>
      <c r="U96" s="64" t="n">
        <f aca="false">IF($K96="Expected",$P96,0)</f>
        <v>0</v>
      </c>
      <c r="V96" s="64" t="n">
        <f aca="false">IF($K96="Better",$P96,0)</f>
        <v>0</v>
      </c>
      <c r="W96" s="64" t="n">
        <f aca="false">IF($K96="U – needs rule",$P96,0)</f>
        <v>0</v>
      </c>
      <c r="X96" s="64" t="n">
        <f aca="false">IF($K96="No Start (attainment only)",$P96,0)</f>
        <v>0</v>
      </c>
    </row>
    <row r="97" customFormat="false" ht="15" hidden="false" customHeight="false" outlineLevel="0" collapsed="false">
      <c r="A97" s="60"/>
      <c r="B97" s="61" t="str">
        <f aca="false">IF($M97=0,"",INDEX(Classes!$E$6:$E$420,$M97))</f>
        <v/>
      </c>
      <c r="C97" s="62" t="str">
        <f aca="false">IF($M97=0,"",INDEX(Classes!$H$6:$H$420,$M97))</f>
        <v/>
      </c>
      <c r="D97" s="61" t="str">
        <f aca="false">IF($M97=0,"",INDEX(Classes!$B$6:$B$420,$M97))</f>
        <v/>
      </c>
      <c r="E97" s="61" t="str">
        <f aca="false">IF($M97=0,"",INDEX(Classes!$C$6:$C$420,$M97))</f>
        <v/>
      </c>
      <c r="F97" s="63"/>
      <c r="G97" s="63"/>
      <c r="H97" s="60"/>
      <c r="I97" s="60"/>
      <c r="J97" s="63"/>
      <c r="K97" s="61" t="str">
        <f aca="false">IF($P97=0,"",IF($F97="Baseline","— Baseline",IF($O97=0,"No result",IF($N97=0,"No Start (attainment only)",IF(OR($N97=1,$O97=1),"U – needs rule",INDEX(MxBody,MATCH($I97,MxCurr,0),MATCH($H97,MxStart,0)))))))</f>
        <v/>
      </c>
      <c r="L97" s="62" t="str">
        <f aca="false">IF(COUNTA($A97,$F97,$G97,$H97,$I97,$J97)=0,"",IF($M97=0,"✖ كود الصف غير موجود",IF(ISNA(MATCH($F97,Lists!$A$2:$A$5,0)),"✖ الفترة غير صحيحة",IF(ISNA(MATCH($G97,Lists!$B$2:$B$7,0)),"✖ المجموعة غير صحيحة",IF(NOT(OR($H97="",$N97&gt;0)),"✖ Start غير صحيح",IF(NOT(OR($I97="",$I97="NR",$O97&gt;0)),"✖ Current غير صحيح",IF(NOT(IF(ISNUMBER($J97),AND($J97&gt;=0,$J97=INT($J97)),FALSE())),"✖ العدد يجب أن يكون صحيحًا ≥ 0",IF(AND($F97="Baseline",$H97&lt;&gt;""),"⚠ Baseline: Start لا يدخل في التقدم",IF($K97="No Start (attainment only)","ℹ تحصيل فقط (بدون Start)",IF($K97="U – needs rule","ℹ حالة U تحتاج قاعدة معتمدة",IF($K97="No result","ℹ بدون نتيجة (يُستبعد من التحصيل)","OK")))))))))))</f>
        <v/>
      </c>
      <c r="M97" s="64" t="n">
        <f aca="false">IF($A97="",0,IFERROR(MATCH($A97,Classes!$A$6:$A$420,0),0))</f>
        <v>0</v>
      </c>
      <c r="N97" s="64" t="n">
        <f aca="false">IF($H97="",0,IFERROR(MATCH($H97,GradeList,0),0))</f>
        <v>0</v>
      </c>
      <c r="O97" s="64" t="n">
        <f aca="false">IF(OR($I97="",$I97="NR"),0,IFERROR(MATCH($I97,GradeList,0),0))</f>
        <v>0</v>
      </c>
      <c r="P97" s="64" t="n">
        <f aca="false">IF(AND($M97&gt;0,ISNUMBER(MATCH($F97,Lists!$A$2:$A$5,0)),ISNUMBER(MATCH($G97,Lists!$B$2:$B$7,0)),OR($H97="",$N97&gt;0),OR($I97="",$I97="NR",$O97&gt;0),IF(ISNUMBER($J97),AND($J97&gt;=0,$J97=INT($J97)),FALSE())),$J97,0)</f>
        <v>0</v>
      </c>
      <c r="Q97" s="64" t="n">
        <f aca="false">IF(AND($P97&gt;0,$O97&gt;0),$P97,0)</f>
        <v>0</v>
      </c>
      <c r="R97" s="64" t="n">
        <f aca="false">IF(AND($Q97&gt;0,$O97&gt;=AtRank),$Q97,0)</f>
        <v>0</v>
      </c>
      <c r="S97" s="64" t="n">
        <f aca="false">IF(AND($Q97&gt;0,$O97&gt;=AboveRank),$Q97,0)</f>
        <v>0</v>
      </c>
      <c r="T97" s="64" t="n">
        <f aca="false">IF($K97="Less",$P97,0)</f>
        <v>0</v>
      </c>
      <c r="U97" s="64" t="n">
        <f aca="false">IF($K97="Expected",$P97,0)</f>
        <v>0</v>
      </c>
      <c r="V97" s="64" t="n">
        <f aca="false">IF($K97="Better",$P97,0)</f>
        <v>0</v>
      </c>
      <c r="W97" s="64" t="n">
        <f aca="false">IF($K97="U – needs rule",$P97,0)</f>
        <v>0</v>
      </c>
      <c r="X97" s="64" t="n">
        <f aca="false">IF($K97="No Start (attainment only)",$P97,0)</f>
        <v>0</v>
      </c>
    </row>
    <row r="98" customFormat="false" ht="15" hidden="false" customHeight="false" outlineLevel="0" collapsed="false">
      <c r="A98" s="60"/>
      <c r="B98" s="61" t="str">
        <f aca="false">IF($M98=0,"",INDEX(Classes!$E$6:$E$420,$M98))</f>
        <v/>
      </c>
      <c r="C98" s="62" t="str">
        <f aca="false">IF($M98=0,"",INDEX(Classes!$H$6:$H$420,$M98))</f>
        <v/>
      </c>
      <c r="D98" s="61" t="str">
        <f aca="false">IF($M98=0,"",INDEX(Classes!$B$6:$B$420,$M98))</f>
        <v/>
      </c>
      <c r="E98" s="61" t="str">
        <f aca="false">IF($M98=0,"",INDEX(Classes!$C$6:$C$420,$M98))</f>
        <v/>
      </c>
      <c r="F98" s="63"/>
      <c r="G98" s="63"/>
      <c r="H98" s="60"/>
      <c r="I98" s="60"/>
      <c r="J98" s="63"/>
      <c r="K98" s="61" t="str">
        <f aca="false">IF($P98=0,"",IF($F98="Baseline","— Baseline",IF($O98=0,"No result",IF($N98=0,"No Start (attainment only)",IF(OR($N98=1,$O98=1),"U – needs rule",INDEX(MxBody,MATCH($I98,MxCurr,0),MATCH($H98,MxStart,0)))))))</f>
        <v/>
      </c>
      <c r="L98" s="62" t="str">
        <f aca="false">IF(COUNTA($A98,$F98,$G98,$H98,$I98,$J98)=0,"",IF($M98=0,"✖ كود الصف غير موجود",IF(ISNA(MATCH($F98,Lists!$A$2:$A$5,0)),"✖ الفترة غير صحيحة",IF(ISNA(MATCH($G98,Lists!$B$2:$B$7,0)),"✖ المجموعة غير صحيحة",IF(NOT(OR($H98="",$N98&gt;0)),"✖ Start غير صحيح",IF(NOT(OR($I98="",$I98="NR",$O98&gt;0)),"✖ Current غير صحيح",IF(NOT(IF(ISNUMBER($J98),AND($J98&gt;=0,$J98=INT($J98)),FALSE())),"✖ العدد يجب أن يكون صحيحًا ≥ 0",IF(AND($F98="Baseline",$H98&lt;&gt;""),"⚠ Baseline: Start لا يدخل في التقدم",IF($K98="No Start (attainment only)","ℹ تحصيل فقط (بدون Start)",IF($K98="U – needs rule","ℹ حالة U تحتاج قاعدة معتمدة",IF($K98="No result","ℹ بدون نتيجة (يُستبعد من التحصيل)","OK")))))))))))</f>
        <v/>
      </c>
      <c r="M98" s="64" t="n">
        <f aca="false">IF($A98="",0,IFERROR(MATCH($A98,Classes!$A$6:$A$420,0),0))</f>
        <v>0</v>
      </c>
      <c r="N98" s="64" t="n">
        <f aca="false">IF($H98="",0,IFERROR(MATCH($H98,GradeList,0),0))</f>
        <v>0</v>
      </c>
      <c r="O98" s="64" t="n">
        <f aca="false">IF(OR($I98="",$I98="NR"),0,IFERROR(MATCH($I98,GradeList,0),0))</f>
        <v>0</v>
      </c>
      <c r="P98" s="64" t="n">
        <f aca="false">IF(AND($M98&gt;0,ISNUMBER(MATCH($F98,Lists!$A$2:$A$5,0)),ISNUMBER(MATCH($G98,Lists!$B$2:$B$7,0)),OR($H98="",$N98&gt;0),OR($I98="",$I98="NR",$O98&gt;0),IF(ISNUMBER($J98),AND($J98&gt;=0,$J98=INT($J98)),FALSE())),$J98,0)</f>
        <v>0</v>
      </c>
      <c r="Q98" s="64" t="n">
        <f aca="false">IF(AND($P98&gt;0,$O98&gt;0),$P98,0)</f>
        <v>0</v>
      </c>
      <c r="R98" s="64" t="n">
        <f aca="false">IF(AND($Q98&gt;0,$O98&gt;=AtRank),$Q98,0)</f>
        <v>0</v>
      </c>
      <c r="S98" s="64" t="n">
        <f aca="false">IF(AND($Q98&gt;0,$O98&gt;=AboveRank),$Q98,0)</f>
        <v>0</v>
      </c>
      <c r="T98" s="64" t="n">
        <f aca="false">IF($K98="Less",$P98,0)</f>
        <v>0</v>
      </c>
      <c r="U98" s="64" t="n">
        <f aca="false">IF($K98="Expected",$P98,0)</f>
        <v>0</v>
      </c>
      <c r="V98" s="64" t="n">
        <f aca="false">IF($K98="Better",$P98,0)</f>
        <v>0</v>
      </c>
      <c r="W98" s="64" t="n">
        <f aca="false">IF($K98="U – needs rule",$P98,0)</f>
        <v>0</v>
      </c>
      <c r="X98" s="64" t="n">
        <f aca="false">IF($K98="No Start (attainment only)",$P98,0)</f>
        <v>0</v>
      </c>
    </row>
    <row r="99" customFormat="false" ht="15" hidden="false" customHeight="false" outlineLevel="0" collapsed="false">
      <c r="A99" s="60"/>
      <c r="B99" s="61" t="str">
        <f aca="false">IF($M99=0,"",INDEX(Classes!$E$6:$E$420,$M99))</f>
        <v/>
      </c>
      <c r="C99" s="62" t="str">
        <f aca="false">IF($M99=0,"",INDEX(Classes!$H$6:$H$420,$M99))</f>
        <v/>
      </c>
      <c r="D99" s="61" t="str">
        <f aca="false">IF($M99=0,"",INDEX(Classes!$B$6:$B$420,$M99))</f>
        <v/>
      </c>
      <c r="E99" s="61" t="str">
        <f aca="false">IF($M99=0,"",INDEX(Classes!$C$6:$C$420,$M99))</f>
        <v/>
      </c>
      <c r="F99" s="63"/>
      <c r="G99" s="63"/>
      <c r="H99" s="60"/>
      <c r="I99" s="60"/>
      <c r="J99" s="63"/>
      <c r="K99" s="61" t="str">
        <f aca="false">IF($P99=0,"",IF($F99="Baseline","— Baseline",IF($O99=0,"No result",IF($N99=0,"No Start (attainment only)",IF(OR($N99=1,$O99=1),"U – needs rule",INDEX(MxBody,MATCH($I99,MxCurr,0),MATCH($H99,MxStart,0)))))))</f>
        <v/>
      </c>
      <c r="L99" s="62" t="str">
        <f aca="false">IF(COUNTA($A99,$F99,$G99,$H99,$I99,$J99)=0,"",IF($M99=0,"✖ كود الصف غير موجود",IF(ISNA(MATCH($F99,Lists!$A$2:$A$5,0)),"✖ الفترة غير صحيحة",IF(ISNA(MATCH($G99,Lists!$B$2:$B$7,0)),"✖ المجموعة غير صحيحة",IF(NOT(OR($H99="",$N99&gt;0)),"✖ Start غير صحيح",IF(NOT(OR($I99="",$I99="NR",$O99&gt;0)),"✖ Current غير صحيح",IF(NOT(IF(ISNUMBER($J99),AND($J99&gt;=0,$J99=INT($J99)),FALSE())),"✖ العدد يجب أن يكون صحيحًا ≥ 0",IF(AND($F99="Baseline",$H99&lt;&gt;""),"⚠ Baseline: Start لا يدخل في التقدم",IF($K99="No Start (attainment only)","ℹ تحصيل فقط (بدون Start)",IF($K99="U – needs rule","ℹ حالة U تحتاج قاعدة معتمدة",IF($K99="No result","ℹ بدون نتيجة (يُستبعد من التحصيل)","OK")))))))))))</f>
        <v/>
      </c>
      <c r="M99" s="64" t="n">
        <f aca="false">IF($A99="",0,IFERROR(MATCH($A99,Classes!$A$6:$A$420,0),0))</f>
        <v>0</v>
      </c>
      <c r="N99" s="64" t="n">
        <f aca="false">IF($H99="",0,IFERROR(MATCH($H99,GradeList,0),0))</f>
        <v>0</v>
      </c>
      <c r="O99" s="64" t="n">
        <f aca="false">IF(OR($I99="",$I99="NR"),0,IFERROR(MATCH($I99,GradeList,0),0))</f>
        <v>0</v>
      </c>
      <c r="P99" s="64" t="n">
        <f aca="false">IF(AND($M99&gt;0,ISNUMBER(MATCH($F99,Lists!$A$2:$A$5,0)),ISNUMBER(MATCH($G99,Lists!$B$2:$B$7,0)),OR($H99="",$N99&gt;0),OR($I99="",$I99="NR",$O99&gt;0),IF(ISNUMBER($J99),AND($J99&gt;=0,$J99=INT($J99)),FALSE())),$J99,0)</f>
        <v>0</v>
      </c>
      <c r="Q99" s="64" t="n">
        <f aca="false">IF(AND($P99&gt;0,$O99&gt;0),$P99,0)</f>
        <v>0</v>
      </c>
      <c r="R99" s="64" t="n">
        <f aca="false">IF(AND($Q99&gt;0,$O99&gt;=AtRank),$Q99,0)</f>
        <v>0</v>
      </c>
      <c r="S99" s="64" t="n">
        <f aca="false">IF(AND($Q99&gt;0,$O99&gt;=AboveRank),$Q99,0)</f>
        <v>0</v>
      </c>
      <c r="T99" s="64" t="n">
        <f aca="false">IF($K99="Less",$P99,0)</f>
        <v>0</v>
      </c>
      <c r="U99" s="64" t="n">
        <f aca="false">IF($K99="Expected",$P99,0)</f>
        <v>0</v>
      </c>
      <c r="V99" s="64" t="n">
        <f aca="false">IF($K99="Better",$P99,0)</f>
        <v>0</v>
      </c>
      <c r="W99" s="64" t="n">
        <f aca="false">IF($K99="U – needs rule",$P99,0)</f>
        <v>0</v>
      </c>
      <c r="X99" s="64" t="n">
        <f aca="false">IF($K99="No Start (attainment only)",$P99,0)</f>
        <v>0</v>
      </c>
    </row>
    <row r="100" customFormat="false" ht="15" hidden="false" customHeight="false" outlineLevel="0" collapsed="false">
      <c r="A100" s="60"/>
      <c r="B100" s="61" t="str">
        <f aca="false">IF($M100=0,"",INDEX(Classes!$E$6:$E$420,$M100))</f>
        <v/>
      </c>
      <c r="C100" s="62" t="str">
        <f aca="false">IF($M100=0,"",INDEX(Classes!$H$6:$H$420,$M100))</f>
        <v/>
      </c>
      <c r="D100" s="61" t="str">
        <f aca="false">IF($M100=0,"",INDEX(Classes!$B$6:$B$420,$M100))</f>
        <v/>
      </c>
      <c r="E100" s="61" t="str">
        <f aca="false">IF($M100=0,"",INDEX(Classes!$C$6:$C$420,$M100))</f>
        <v/>
      </c>
      <c r="F100" s="63"/>
      <c r="G100" s="63"/>
      <c r="H100" s="60"/>
      <c r="I100" s="60"/>
      <c r="J100" s="63"/>
      <c r="K100" s="61" t="str">
        <f aca="false">IF($P100=0,"",IF($F100="Baseline","— Baseline",IF($O100=0,"No result",IF($N100=0,"No Start (attainment only)",IF(OR($N100=1,$O100=1),"U – needs rule",INDEX(MxBody,MATCH($I100,MxCurr,0),MATCH($H100,MxStart,0)))))))</f>
        <v/>
      </c>
      <c r="L100" s="62" t="str">
        <f aca="false">IF(COUNTA($A100,$F100,$G100,$H100,$I100,$J100)=0,"",IF($M100=0,"✖ كود الصف غير موجود",IF(ISNA(MATCH($F100,Lists!$A$2:$A$5,0)),"✖ الفترة غير صحيحة",IF(ISNA(MATCH($G100,Lists!$B$2:$B$7,0)),"✖ المجموعة غير صحيحة",IF(NOT(OR($H100="",$N100&gt;0)),"✖ Start غير صحيح",IF(NOT(OR($I100="",$I100="NR",$O100&gt;0)),"✖ Current غير صحيح",IF(NOT(IF(ISNUMBER($J100),AND($J100&gt;=0,$J100=INT($J100)),FALSE())),"✖ العدد يجب أن يكون صحيحًا ≥ 0",IF(AND($F100="Baseline",$H100&lt;&gt;""),"⚠ Baseline: Start لا يدخل في التقدم",IF($K100="No Start (attainment only)","ℹ تحصيل فقط (بدون Start)",IF($K100="U – needs rule","ℹ حالة U تحتاج قاعدة معتمدة",IF($K100="No result","ℹ بدون نتيجة (يُستبعد من التحصيل)","OK")))))))))))</f>
        <v/>
      </c>
      <c r="M100" s="64" t="n">
        <f aca="false">IF($A100="",0,IFERROR(MATCH($A100,Classes!$A$6:$A$420,0),0))</f>
        <v>0</v>
      </c>
      <c r="N100" s="64" t="n">
        <f aca="false">IF($H100="",0,IFERROR(MATCH($H100,GradeList,0),0))</f>
        <v>0</v>
      </c>
      <c r="O100" s="64" t="n">
        <f aca="false">IF(OR($I100="",$I100="NR"),0,IFERROR(MATCH($I100,GradeList,0),0))</f>
        <v>0</v>
      </c>
      <c r="P100" s="64" t="n">
        <f aca="false">IF(AND($M100&gt;0,ISNUMBER(MATCH($F100,Lists!$A$2:$A$5,0)),ISNUMBER(MATCH($G100,Lists!$B$2:$B$7,0)),OR($H100="",$N100&gt;0),OR($I100="",$I100="NR",$O100&gt;0),IF(ISNUMBER($J100),AND($J100&gt;=0,$J100=INT($J100)),FALSE())),$J100,0)</f>
        <v>0</v>
      </c>
      <c r="Q100" s="64" t="n">
        <f aca="false">IF(AND($P100&gt;0,$O100&gt;0),$P100,0)</f>
        <v>0</v>
      </c>
      <c r="R100" s="64" t="n">
        <f aca="false">IF(AND($Q100&gt;0,$O100&gt;=AtRank),$Q100,0)</f>
        <v>0</v>
      </c>
      <c r="S100" s="64" t="n">
        <f aca="false">IF(AND($Q100&gt;0,$O100&gt;=AboveRank),$Q100,0)</f>
        <v>0</v>
      </c>
      <c r="T100" s="64" t="n">
        <f aca="false">IF($K100="Less",$P100,0)</f>
        <v>0</v>
      </c>
      <c r="U100" s="64" t="n">
        <f aca="false">IF($K100="Expected",$P100,0)</f>
        <v>0</v>
      </c>
      <c r="V100" s="64" t="n">
        <f aca="false">IF($K100="Better",$P100,0)</f>
        <v>0</v>
      </c>
      <c r="W100" s="64" t="n">
        <f aca="false">IF($K100="U – needs rule",$P100,0)</f>
        <v>0</v>
      </c>
      <c r="X100" s="64" t="n">
        <f aca="false">IF($K100="No Start (attainment only)",$P100,0)</f>
        <v>0</v>
      </c>
    </row>
    <row r="101" customFormat="false" ht="15" hidden="false" customHeight="false" outlineLevel="0" collapsed="false">
      <c r="A101" s="60"/>
      <c r="B101" s="61" t="str">
        <f aca="false">IF($M101=0,"",INDEX(Classes!$E$6:$E$420,$M101))</f>
        <v/>
      </c>
      <c r="C101" s="62" t="str">
        <f aca="false">IF($M101=0,"",INDEX(Classes!$H$6:$H$420,$M101))</f>
        <v/>
      </c>
      <c r="D101" s="61" t="str">
        <f aca="false">IF($M101=0,"",INDEX(Classes!$B$6:$B$420,$M101))</f>
        <v/>
      </c>
      <c r="E101" s="61" t="str">
        <f aca="false">IF($M101=0,"",INDEX(Classes!$C$6:$C$420,$M101))</f>
        <v/>
      </c>
      <c r="F101" s="63"/>
      <c r="G101" s="63"/>
      <c r="H101" s="60"/>
      <c r="I101" s="60"/>
      <c r="J101" s="63"/>
      <c r="K101" s="61" t="str">
        <f aca="false">IF($P101=0,"",IF($F101="Baseline","— Baseline",IF($O101=0,"No result",IF($N101=0,"No Start (attainment only)",IF(OR($N101=1,$O101=1),"U – needs rule",INDEX(MxBody,MATCH($I101,MxCurr,0),MATCH($H101,MxStart,0)))))))</f>
        <v/>
      </c>
      <c r="L101" s="62" t="str">
        <f aca="false">IF(COUNTA($A101,$F101,$G101,$H101,$I101,$J101)=0,"",IF($M101=0,"✖ كود الصف غير موجود",IF(ISNA(MATCH($F101,Lists!$A$2:$A$5,0)),"✖ الفترة غير صحيحة",IF(ISNA(MATCH($G101,Lists!$B$2:$B$7,0)),"✖ المجموعة غير صحيحة",IF(NOT(OR($H101="",$N101&gt;0)),"✖ Start غير صحيح",IF(NOT(OR($I101="",$I101="NR",$O101&gt;0)),"✖ Current غير صحيح",IF(NOT(IF(ISNUMBER($J101),AND($J101&gt;=0,$J101=INT($J101)),FALSE())),"✖ العدد يجب أن يكون صحيحًا ≥ 0",IF(AND($F101="Baseline",$H101&lt;&gt;""),"⚠ Baseline: Start لا يدخل في التقدم",IF($K101="No Start (attainment only)","ℹ تحصيل فقط (بدون Start)",IF($K101="U – needs rule","ℹ حالة U تحتاج قاعدة معتمدة",IF($K101="No result","ℹ بدون نتيجة (يُستبعد من التحصيل)","OK")))))))))))</f>
        <v/>
      </c>
      <c r="M101" s="64" t="n">
        <f aca="false">IF($A101="",0,IFERROR(MATCH($A101,Classes!$A$6:$A$420,0),0))</f>
        <v>0</v>
      </c>
      <c r="N101" s="64" t="n">
        <f aca="false">IF($H101="",0,IFERROR(MATCH($H101,GradeList,0),0))</f>
        <v>0</v>
      </c>
      <c r="O101" s="64" t="n">
        <f aca="false">IF(OR($I101="",$I101="NR"),0,IFERROR(MATCH($I101,GradeList,0),0))</f>
        <v>0</v>
      </c>
      <c r="P101" s="64" t="n">
        <f aca="false">IF(AND($M101&gt;0,ISNUMBER(MATCH($F101,Lists!$A$2:$A$5,0)),ISNUMBER(MATCH($G101,Lists!$B$2:$B$7,0)),OR($H101="",$N101&gt;0),OR($I101="",$I101="NR",$O101&gt;0),IF(ISNUMBER($J101),AND($J101&gt;=0,$J101=INT($J101)),FALSE())),$J101,0)</f>
        <v>0</v>
      </c>
      <c r="Q101" s="64" t="n">
        <f aca="false">IF(AND($P101&gt;0,$O101&gt;0),$P101,0)</f>
        <v>0</v>
      </c>
      <c r="R101" s="64" t="n">
        <f aca="false">IF(AND($Q101&gt;0,$O101&gt;=AtRank),$Q101,0)</f>
        <v>0</v>
      </c>
      <c r="S101" s="64" t="n">
        <f aca="false">IF(AND($Q101&gt;0,$O101&gt;=AboveRank),$Q101,0)</f>
        <v>0</v>
      </c>
      <c r="T101" s="64" t="n">
        <f aca="false">IF($K101="Less",$P101,0)</f>
        <v>0</v>
      </c>
      <c r="U101" s="64" t="n">
        <f aca="false">IF($K101="Expected",$P101,0)</f>
        <v>0</v>
      </c>
      <c r="V101" s="64" t="n">
        <f aca="false">IF($K101="Better",$P101,0)</f>
        <v>0</v>
      </c>
      <c r="W101" s="64" t="n">
        <f aca="false">IF($K101="U – needs rule",$P101,0)</f>
        <v>0</v>
      </c>
      <c r="X101" s="64" t="n">
        <f aca="false">IF($K101="No Start (attainment only)",$P101,0)</f>
        <v>0</v>
      </c>
    </row>
    <row r="102" customFormat="false" ht="15" hidden="false" customHeight="false" outlineLevel="0" collapsed="false">
      <c r="A102" s="60"/>
      <c r="B102" s="61" t="str">
        <f aca="false">IF($M102=0,"",INDEX(Classes!$E$6:$E$420,$M102))</f>
        <v/>
      </c>
      <c r="C102" s="62" t="str">
        <f aca="false">IF($M102=0,"",INDEX(Classes!$H$6:$H$420,$M102))</f>
        <v/>
      </c>
      <c r="D102" s="61" t="str">
        <f aca="false">IF($M102=0,"",INDEX(Classes!$B$6:$B$420,$M102))</f>
        <v/>
      </c>
      <c r="E102" s="61" t="str">
        <f aca="false">IF($M102=0,"",INDEX(Classes!$C$6:$C$420,$M102))</f>
        <v/>
      </c>
      <c r="F102" s="63"/>
      <c r="G102" s="63"/>
      <c r="H102" s="60"/>
      <c r="I102" s="60"/>
      <c r="J102" s="63"/>
      <c r="K102" s="61" t="str">
        <f aca="false">IF($P102=0,"",IF($F102="Baseline","— Baseline",IF($O102=0,"No result",IF($N102=0,"No Start (attainment only)",IF(OR($N102=1,$O102=1),"U – needs rule",INDEX(MxBody,MATCH($I102,MxCurr,0),MATCH($H102,MxStart,0)))))))</f>
        <v/>
      </c>
      <c r="L102" s="62" t="str">
        <f aca="false">IF(COUNTA($A102,$F102,$G102,$H102,$I102,$J102)=0,"",IF($M102=0,"✖ كود الصف غير موجود",IF(ISNA(MATCH($F102,Lists!$A$2:$A$5,0)),"✖ الفترة غير صحيحة",IF(ISNA(MATCH($G102,Lists!$B$2:$B$7,0)),"✖ المجموعة غير صحيحة",IF(NOT(OR($H102="",$N102&gt;0)),"✖ Start غير صحيح",IF(NOT(OR($I102="",$I102="NR",$O102&gt;0)),"✖ Current غير صحيح",IF(NOT(IF(ISNUMBER($J102),AND($J102&gt;=0,$J102=INT($J102)),FALSE())),"✖ العدد يجب أن يكون صحيحًا ≥ 0",IF(AND($F102="Baseline",$H102&lt;&gt;""),"⚠ Baseline: Start لا يدخل في التقدم",IF($K102="No Start (attainment only)","ℹ تحصيل فقط (بدون Start)",IF($K102="U – needs rule","ℹ حالة U تحتاج قاعدة معتمدة",IF($K102="No result","ℹ بدون نتيجة (يُستبعد من التحصيل)","OK")))))))))))</f>
        <v/>
      </c>
      <c r="M102" s="64" t="n">
        <f aca="false">IF($A102="",0,IFERROR(MATCH($A102,Classes!$A$6:$A$420,0),0))</f>
        <v>0</v>
      </c>
      <c r="N102" s="64" t="n">
        <f aca="false">IF($H102="",0,IFERROR(MATCH($H102,GradeList,0),0))</f>
        <v>0</v>
      </c>
      <c r="O102" s="64" t="n">
        <f aca="false">IF(OR($I102="",$I102="NR"),0,IFERROR(MATCH($I102,GradeList,0),0))</f>
        <v>0</v>
      </c>
      <c r="P102" s="64" t="n">
        <f aca="false">IF(AND($M102&gt;0,ISNUMBER(MATCH($F102,Lists!$A$2:$A$5,0)),ISNUMBER(MATCH($G102,Lists!$B$2:$B$7,0)),OR($H102="",$N102&gt;0),OR($I102="",$I102="NR",$O102&gt;0),IF(ISNUMBER($J102),AND($J102&gt;=0,$J102=INT($J102)),FALSE())),$J102,0)</f>
        <v>0</v>
      </c>
      <c r="Q102" s="64" t="n">
        <f aca="false">IF(AND($P102&gt;0,$O102&gt;0),$P102,0)</f>
        <v>0</v>
      </c>
      <c r="R102" s="64" t="n">
        <f aca="false">IF(AND($Q102&gt;0,$O102&gt;=AtRank),$Q102,0)</f>
        <v>0</v>
      </c>
      <c r="S102" s="64" t="n">
        <f aca="false">IF(AND($Q102&gt;0,$O102&gt;=AboveRank),$Q102,0)</f>
        <v>0</v>
      </c>
      <c r="T102" s="64" t="n">
        <f aca="false">IF($K102="Less",$P102,0)</f>
        <v>0</v>
      </c>
      <c r="U102" s="64" t="n">
        <f aca="false">IF($K102="Expected",$P102,0)</f>
        <v>0</v>
      </c>
      <c r="V102" s="64" t="n">
        <f aca="false">IF($K102="Better",$P102,0)</f>
        <v>0</v>
      </c>
      <c r="W102" s="64" t="n">
        <f aca="false">IF($K102="U – needs rule",$P102,0)</f>
        <v>0</v>
      </c>
      <c r="X102" s="64" t="n">
        <f aca="false">IF($K102="No Start (attainment only)",$P102,0)</f>
        <v>0</v>
      </c>
    </row>
    <row r="103" customFormat="false" ht="15" hidden="false" customHeight="false" outlineLevel="0" collapsed="false">
      <c r="A103" s="60"/>
      <c r="B103" s="61" t="str">
        <f aca="false">IF($M103=0,"",INDEX(Classes!$E$6:$E$420,$M103))</f>
        <v/>
      </c>
      <c r="C103" s="62" t="str">
        <f aca="false">IF($M103=0,"",INDEX(Classes!$H$6:$H$420,$M103))</f>
        <v/>
      </c>
      <c r="D103" s="61" t="str">
        <f aca="false">IF($M103=0,"",INDEX(Classes!$B$6:$B$420,$M103))</f>
        <v/>
      </c>
      <c r="E103" s="61" t="str">
        <f aca="false">IF($M103=0,"",INDEX(Classes!$C$6:$C$420,$M103))</f>
        <v/>
      </c>
      <c r="F103" s="63"/>
      <c r="G103" s="63"/>
      <c r="H103" s="60"/>
      <c r="I103" s="60"/>
      <c r="J103" s="63"/>
      <c r="K103" s="61" t="str">
        <f aca="false">IF($P103=0,"",IF($F103="Baseline","— Baseline",IF($O103=0,"No result",IF($N103=0,"No Start (attainment only)",IF(OR($N103=1,$O103=1),"U – needs rule",INDEX(MxBody,MATCH($I103,MxCurr,0),MATCH($H103,MxStart,0)))))))</f>
        <v/>
      </c>
      <c r="L103" s="62" t="str">
        <f aca="false">IF(COUNTA($A103,$F103,$G103,$H103,$I103,$J103)=0,"",IF($M103=0,"✖ كود الصف غير موجود",IF(ISNA(MATCH($F103,Lists!$A$2:$A$5,0)),"✖ الفترة غير صحيحة",IF(ISNA(MATCH($G103,Lists!$B$2:$B$7,0)),"✖ المجموعة غير صحيحة",IF(NOT(OR($H103="",$N103&gt;0)),"✖ Start غير صحيح",IF(NOT(OR($I103="",$I103="NR",$O103&gt;0)),"✖ Current غير صحيح",IF(NOT(IF(ISNUMBER($J103),AND($J103&gt;=0,$J103=INT($J103)),FALSE())),"✖ العدد يجب أن يكون صحيحًا ≥ 0",IF(AND($F103="Baseline",$H103&lt;&gt;""),"⚠ Baseline: Start لا يدخل في التقدم",IF($K103="No Start (attainment only)","ℹ تحصيل فقط (بدون Start)",IF($K103="U – needs rule","ℹ حالة U تحتاج قاعدة معتمدة",IF($K103="No result","ℹ بدون نتيجة (يُستبعد من التحصيل)","OK")))))))))))</f>
        <v/>
      </c>
      <c r="M103" s="64" t="n">
        <f aca="false">IF($A103="",0,IFERROR(MATCH($A103,Classes!$A$6:$A$420,0),0))</f>
        <v>0</v>
      </c>
      <c r="N103" s="64" t="n">
        <f aca="false">IF($H103="",0,IFERROR(MATCH($H103,GradeList,0),0))</f>
        <v>0</v>
      </c>
      <c r="O103" s="64" t="n">
        <f aca="false">IF(OR($I103="",$I103="NR"),0,IFERROR(MATCH($I103,GradeList,0),0))</f>
        <v>0</v>
      </c>
      <c r="P103" s="64" t="n">
        <f aca="false">IF(AND($M103&gt;0,ISNUMBER(MATCH($F103,Lists!$A$2:$A$5,0)),ISNUMBER(MATCH($G103,Lists!$B$2:$B$7,0)),OR($H103="",$N103&gt;0),OR($I103="",$I103="NR",$O103&gt;0),IF(ISNUMBER($J103),AND($J103&gt;=0,$J103=INT($J103)),FALSE())),$J103,0)</f>
        <v>0</v>
      </c>
      <c r="Q103" s="64" t="n">
        <f aca="false">IF(AND($P103&gt;0,$O103&gt;0),$P103,0)</f>
        <v>0</v>
      </c>
      <c r="R103" s="64" t="n">
        <f aca="false">IF(AND($Q103&gt;0,$O103&gt;=AtRank),$Q103,0)</f>
        <v>0</v>
      </c>
      <c r="S103" s="64" t="n">
        <f aca="false">IF(AND($Q103&gt;0,$O103&gt;=AboveRank),$Q103,0)</f>
        <v>0</v>
      </c>
      <c r="T103" s="64" t="n">
        <f aca="false">IF($K103="Less",$P103,0)</f>
        <v>0</v>
      </c>
      <c r="U103" s="64" t="n">
        <f aca="false">IF($K103="Expected",$P103,0)</f>
        <v>0</v>
      </c>
      <c r="V103" s="64" t="n">
        <f aca="false">IF($K103="Better",$P103,0)</f>
        <v>0</v>
      </c>
      <c r="W103" s="64" t="n">
        <f aca="false">IF($K103="U – needs rule",$P103,0)</f>
        <v>0</v>
      </c>
      <c r="X103" s="64" t="n">
        <f aca="false">IF($K103="No Start (attainment only)",$P103,0)</f>
        <v>0</v>
      </c>
    </row>
    <row r="104" customFormat="false" ht="15" hidden="false" customHeight="false" outlineLevel="0" collapsed="false">
      <c r="A104" s="60"/>
      <c r="B104" s="61" t="str">
        <f aca="false">IF($M104=0,"",INDEX(Classes!$E$6:$E$420,$M104))</f>
        <v/>
      </c>
      <c r="C104" s="62" t="str">
        <f aca="false">IF($M104=0,"",INDEX(Classes!$H$6:$H$420,$M104))</f>
        <v/>
      </c>
      <c r="D104" s="61" t="str">
        <f aca="false">IF($M104=0,"",INDEX(Classes!$B$6:$B$420,$M104))</f>
        <v/>
      </c>
      <c r="E104" s="61" t="str">
        <f aca="false">IF($M104=0,"",INDEX(Classes!$C$6:$C$420,$M104))</f>
        <v/>
      </c>
      <c r="F104" s="63"/>
      <c r="G104" s="63"/>
      <c r="H104" s="60"/>
      <c r="I104" s="60"/>
      <c r="J104" s="63"/>
      <c r="K104" s="61" t="str">
        <f aca="false">IF($P104=0,"",IF($F104="Baseline","— Baseline",IF($O104=0,"No result",IF($N104=0,"No Start (attainment only)",IF(OR($N104=1,$O104=1),"U – needs rule",INDEX(MxBody,MATCH($I104,MxCurr,0),MATCH($H104,MxStart,0)))))))</f>
        <v/>
      </c>
      <c r="L104" s="62" t="str">
        <f aca="false">IF(COUNTA($A104,$F104,$G104,$H104,$I104,$J104)=0,"",IF($M104=0,"✖ كود الصف غير موجود",IF(ISNA(MATCH($F104,Lists!$A$2:$A$5,0)),"✖ الفترة غير صحيحة",IF(ISNA(MATCH($G104,Lists!$B$2:$B$7,0)),"✖ المجموعة غير صحيحة",IF(NOT(OR($H104="",$N104&gt;0)),"✖ Start غير صحيح",IF(NOT(OR($I104="",$I104="NR",$O104&gt;0)),"✖ Current غير صحيح",IF(NOT(IF(ISNUMBER($J104),AND($J104&gt;=0,$J104=INT($J104)),FALSE())),"✖ العدد يجب أن يكون صحيحًا ≥ 0",IF(AND($F104="Baseline",$H104&lt;&gt;""),"⚠ Baseline: Start لا يدخل في التقدم",IF($K104="No Start (attainment only)","ℹ تحصيل فقط (بدون Start)",IF($K104="U – needs rule","ℹ حالة U تحتاج قاعدة معتمدة",IF($K104="No result","ℹ بدون نتيجة (يُستبعد من التحصيل)","OK")))))))))))</f>
        <v/>
      </c>
      <c r="M104" s="64" t="n">
        <f aca="false">IF($A104="",0,IFERROR(MATCH($A104,Classes!$A$6:$A$420,0),0))</f>
        <v>0</v>
      </c>
      <c r="N104" s="64" t="n">
        <f aca="false">IF($H104="",0,IFERROR(MATCH($H104,GradeList,0),0))</f>
        <v>0</v>
      </c>
      <c r="O104" s="64" t="n">
        <f aca="false">IF(OR($I104="",$I104="NR"),0,IFERROR(MATCH($I104,GradeList,0),0))</f>
        <v>0</v>
      </c>
      <c r="P104" s="64" t="n">
        <f aca="false">IF(AND($M104&gt;0,ISNUMBER(MATCH($F104,Lists!$A$2:$A$5,0)),ISNUMBER(MATCH($G104,Lists!$B$2:$B$7,0)),OR($H104="",$N104&gt;0),OR($I104="",$I104="NR",$O104&gt;0),IF(ISNUMBER($J104),AND($J104&gt;=0,$J104=INT($J104)),FALSE())),$J104,0)</f>
        <v>0</v>
      </c>
      <c r="Q104" s="64" t="n">
        <f aca="false">IF(AND($P104&gt;0,$O104&gt;0),$P104,0)</f>
        <v>0</v>
      </c>
      <c r="R104" s="64" t="n">
        <f aca="false">IF(AND($Q104&gt;0,$O104&gt;=AtRank),$Q104,0)</f>
        <v>0</v>
      </c>
      <c r="S104" s="64" t="n">
        <f aca="false">IF(AND($Q104&gt;0,$O104&gt;=AboveRank),$Q104,0)</f>
        <v>0</v>
      </c>
      <c r="T104" s="64" t="n">
        <f aca="false">IF($K104="Less",$P104,0)</f>
        <v>0</v>
      </c>
      <c r="U104" s="64" t="n">
        <f aca="false">IF($K104="Expected",$P104,0)</f>
        <v>0</v>
      </c>
      <c r="V104" s="64" t="n">
        <f aca="false">IF($K104="Better",$P104,0)</f>
        <v>0</v>
      </c>
      <c r="W104" s="64" t="n">
        <f aca="false">IF($K104="U – needs rule",$P104,0)</f>
        <v>0</v>
      </c>
      <c r="X104" s="64" t="n">
        <f aca="false">IF($K104="No Start (attainment only)",$P104,0)</f>
        <v>0</v>
      </c>
    </row>
    <row r="105" customFormat="false" ht="15" hidden="false" customHeight="false" outlineLevel="0" collapsed="false">
      <c r="A105" s="60"/>
      <c r="B105" s="61" t="str">
        <f aca="false">IF($M105=0,"",INDEX(Classes!$E$6:$E$420,$M105))</f>
        <v/>
      </c>
      <c r="C105" s="62" t="str">
        <f aca="false">IF($M105=0,"",INDEX(Classes!$H$6:$H$420,$M105))</f>
        <v/>
      </c>
      <c r="D105" s="61" t="str">
        <f aca="false">IF($M105=0,"",INDEX(Classes!$B$6:$B$420,$M105))</f>
        <v/>
      </c>
      <c r="E105" s="61" t="str">
        <f aca="false">IF($M105=0,"",INDEX(Classes!$C$6:$C$420,$M105))</f>
        <v/>
      </c>
      <c r="F105" s="63"/>
      <c r="G105" s="63"/>
      <c r="H105" s="60"/>
      <c r="I105" s="60"/>
      <c r="J105" s="63"/>
      <c r="K105" s="61" t="str">
        <f aca="false">IF($P105=0,"",IF($F105="Baseline","— Baseline",IF($O105=0,"No result",IF($N105=0,"No Start (attainment only)",IF(OR($N105=1,$O105=1),"U – needs rule",INDEX(MxBody,MATCH($I105,MxCurr,0),MATCH($H105,MxStart,0)))))))</f>
        <v/>
      </c>
      <c r="L105" s="62" t="str">
        <f aca="false">IF(COUNTA($A105,$F105,$G105,$H105,$I105,$J105)=0,"",IF($M105=0,"✖ كود الصف غير موجود",IF(ISNA(MATCH($F105,Lists!$A$2:$A$5,0)),"✖ الفترة غير صحيحة",IF(ISNA(MATCH($G105,Lists!$B$2:$B$7,0)),"✖ المجموعة غير صحيحة",IF(NOT(OR($H105="",$N105&gt;0)),"✖ Start غير صحيح",IF(NOT(OR($I105="",$I105="NR",$O105&gt;0)),"✖ Current غير صحيح",IF(NOT(IF(ISNUMBER($J105),AND($J105&gt;=0,$J105=INT($J105)),FALSE())),"✖ العدد يجب أن يكون صحيحًا ≥ 0",IF(AND($F105="Baseline",$H105&lt;&gt;""),"⚠ Baseline: Start لا يدخل في التقدم",IF($K105="No Start (attainment only)","ℹ تحصيل فقط (بدون Start)",IF($K105="U – needs rule","ℹ حالة U تحتاج قاعدة معتمدة",IF($K105="No result","ℹ بدون نتيجة (يُستبعد من التحصيل)","OK")))))))))))</f>
        <v/>
      </c>
      <c r="M105" s="64" t="n">
        <f aca="false">IF($A105="",0,IFERROR(MATCH($A105,Classes!$A$6:$A$420,0),0))</f>
        <v>0</v>
      </c>
      <c r="N105" s="64" t="n">
        <f aca="false">IF($H105="",0,IFERROR(MATCH($H105,GradeList,0),0))</f>
        <v>0</v>
      </c>
      <c r="O105" s="64" t="n">
        <f aca="false">IF(OR($I105="",$I105="NR"),0,IFERROR(MATCH($I105,GradeList,0),0))</f>
        <v>0</v>
      </c>
      <c r="P105" s="64" t="n">
        <f aca="false">IF(AND($M105&gt;0,ISNUMBER(MATCH($F105,Lists!$A$2:$A$5,0)),ISNUMBER(MATCH($G105,Lists!$B$2:$B$7,0)),OR($H105="",$N105&gt;0),OR($I105="",$I105="NR",$O105&gt;0),IF(ISNUMBER($J105),AND($J105&gt;=0,$J105=INT($J105)),FALSE())),$J105,0)</f>
        <v>0</v>
      </c>
      <c r="Q105" s="64" t="n">
        <f aca="false">IF(AND($P105&gt;0,$O105&gt;0),$P105,0)</f>
        <v>0</v>
      </c>
      <c r="R105" s="64" t="n">
        <f aca="false">IF(AND($Q105&gt;0,$O105&gt;=AtRank),$Q105,0)</f>
        <v>0</v>
      </c>
      <c r="S105" s="64" t="n">
        <f aca="false">IF(AND($Q105&gt;0,$O105&gt;=AboveRank),$Q105,0)</f>
        <v>0</v>
      </c>
      <c r="T105" s="64" t="n">
        <f aca="false">IF($K105="Less",$P105,0)</f>
        <v>0</v>
      </c>
      <c r="U105" s="64" t="n">
        <f aca="false">IF($K105="Expected",$P105,0)</f>
        <v>0</v>
      </c>
      <c r="V105" s="64" t="n">
        <f aca="false">IF($K105="Better",$P105,0)</f>
        <v>0</v>
      </c>
      <c r="W105" s="64" t="n">
        <f aca="false">IF($K105="U – needs rule",$P105,0)</f>
        <v>0</v>
      </c>
      <c r="X105" s="64" t="n">
        <f aca="false">IF($K105="No Start (attainment only)",$P105,0)</f>
        <v>0</v>
      </c>
    </row>
    <row r="106" customFormat="false" ht="15" hidden="false" customHeight="false" outlineLevel="0" collapsed="false">
      <c r="A106" s="60"/>
      <c r="B106" s="61" t="str">
        <f aca="false">IF($M106=0,"",INDEX(Classes!$E$6:$E$420,$M106))</f>
        <v/>
      </c>
      <c r="C106" s="62" t="str">
        <f aca="false">IF($M106=0,"",INDEX(Classes!$H$6:$H$420,$M106))</f>
        <v/>
      </c>
      <c r="D106" s="61" t="str">
        <f aca="false">IF($M106=0,"",INDEX(Classes!$B$6:$B$420,$M106))</f>
        <v/>
      </c>
      <c r="E106" s="61" t="str">
        <f aca="false">IF($M106=0,"",INDEX(Classes!$C$6:$C$420,$M106))</f>
        <v/>
      </c>
      <c r="F106" s="63"/>
      <c r="G106" s="63"/>
      <c r="H106" s="60"/>
      <c r="I106" s="60"/>
      <c r="J106" s="63"/>
      <c r="K106" s="61" t="str">
        <f aca="false">IF($P106=0,"",IF($F106="Baseline","— Baseline",IF($O106=0,"No result",IF($N106=0,"No Start (attainment only)",IF(OR($N106=1,$O106=1),"U – needs rule",INDEX(MxBody,MATCH($I106,MxCurr,0),MATCH($H106,MxStart,0)))))))</f>
        <v/>
      </c>
      <c r="L106" s="62" t="str">
        <f aca="false">IF(COUNTA($A106,$F106,$G106,$H106,$I106,$J106)=0,"",IF($M106=0,"✖ كود الصف غير موجود",IF(ISNA(MATCH($F106,Lists!$A$2:$A$5,0)),"✖ الفترة غير صحيحة",IF(ISNA(MATCH($G106,Lists!$B$2:$B$7,0)),"✖ المجموعة غير صحيحة",IF(NOT(OR($H106="",$N106&gt;0)),"✖ Start غير صحيح",IF(NOT(OR($I106="",$I106="NR",$O106&gt;0)),"✖ Current غير صحيح",IF(NOT(IF(ISNUMBER($J106),AND($J106&gt;=0,$J106=INT($J106)),FALSE())),"✖ العدد يجب أن يكون صحيحًا ≥ 0",IF(AND($F106="Baseline",$H106&lt;&gt;""),"⚠ Baseline: Start لا يدخل في التقدم",IF($K106="No Start (attainment only)","ℹ تحصيل فقط (بدون Start)",IF($K106="U – needs rule","ℹ حالة U تحتاج قاعدة معتمدة",IF($K106="No result","ℹ بدون نتيجة (يُستبعد من التحصيل)","OK")))))))))))</f>
        <v/>
      </c>
      <c r="M106" s="64" t="n">
        <f aca="false">IF($A106="",0,IFERROR(MATCH($A106,Classes!$A$6:$A$420,0),0))</f>
        <v>0</v>
      </c>
      <c r="N106" s="64" t="n">
        <f aca="false">IF($H106="",0,IFERROR(MATCH($H106,GradeList,0),0))</f>
        <v>0</v>
      </c>
      <c r="O106" s="64" t="n">
        <f aca="false">IF(OR($I106="",$I106="NR"),0,IFERROR(MATCH($I106,GradeList,0),0))</f>
        <v>0</v>
      </c>
      <c r="P106" s="64" t="n">
        <f aca="false">IF(AND($M106&gt;0,ISNUMBER(MATCH($F106,Lists!$A$2:$A$5,0)),ISNUMBER(MATCH($G106,Lists!$B$2:$B$7,0)),OR($H106="",$N106&gt;0),OR($I106="",$I106="NR",$O106&gt;0),IF(ISNUMBER($J106),AND($J106&gt;=0,$J106=INT($J106)),FALSE())),$J106,0)</f>
        <v>0</v>
      </c>
      <c r="Q106" s="64" t="n">
        <f aca="false">IF(AND($P106&gt;0,$O106&gt;0),$P106,0)</f>
        <v>0</v>
      </c>
      <c r="R106" s="64" t="n">
        <f aca="false">IF(AND($Q106&gt;0,$O106&gt;=AtRank),$Q106,0)</f>
        <v>0</v>
      </c>
      <c r="S106" s="64" t="n">
        <f aca="false">IF(AND($Q106&gt;0,$O106&gt;=AboveRank),$Q106,0)</f>
        <v>0</v>
      </c>
      <c r="T106" s="64" t="n">
        <f aca="false">IF($K106="Less",$P106,0)</f>
        <v>0</v>
      </c>
      <c r="U106" s="64" t="n">
        <f aca="false">IF($K106="Expected",$P106,0)</f>
        <v>0</v>
      </c>
      <c r="V106" s="64" t="n">
        <f aca="false">IF($K106="Better",$P106,0)</f>
        <v>0</v>
      </c>
      <c r="W106" s="64" t="n">
        <f aca="false">IF($K106="U – needs rule",$P106,0)</f>
        <v>0</v>
      </c>
      <c r="X106" s="64" t="n">
        <f aca="false">IF($K106="No Start (attainment only)",$P106,0)</f>
        <v>0</v>
      </c>
    </row>
    <row r="107" customFormat="false" ht="15" hidden="false" customHeight="false" outlineLevel="0" collapsed="false">
      <c r="A107" s="60"/>
      <c r="B107" s="61" t="str">
        <f aca="false">IF($M107=0,"",INDEX(Classes!$E$6:$E$420,$M107))</f>
        <v/>
      </c>
      <c r="C107" s="62" t="str">
        <f aca="false">IF($M107=0,"",INDEX(Classes!$H$6:$H$420,$M107))</f>
        <v/>
      </c>
      <c r="D107" s="61" t="str">
        <f aca="false">IF($M107=0,"",INDEX(Classes!$B$6:$B$420,$M107))</f>
        <v/>
      </c>
      <c r="E107" s="61" t="str">
        <f aca="false">IF($M107=0,"",INDEX(Classes!$C$6:$C$420,$M107))</f>
        <v/>
      </c>
      <c r="F107" s="63"/>
      <c r="G107" s="63"/>
      <c r="H107" s="60"/>
      <c r="I107" s="60"/>
      <c r="J107" s="63"/>
      <c r="K107" s="61" t="str">
        <f aca="false">IF($P107=0,"",IF($F107="Baseline","— Baseline",IF($O107=0,"No result",IF($N107=0,"No Start (attainment only)",IF(OR($N107=1,$O107=1),"U – needs rule",INDEX(MxBody,MATCH($I107,MxCurr,0),MATCH($H107,MxStart,0)))))))</f>
        <v/>
      </c>
      <c r="L107" s="62" t="str">
        <f aca="false">IF(COUNTA($A107,$F107,$G107,$H107,$I107,$J107)=0,"",IF($M107=0,"✖ كود الصف غير موجود",IF(ISNA(MATCH($F107,Lists!$A$2:$A$5,0)),"✖ الفترة غير صحيحة",IF(ISNA(MATCH($G107,Lists!$B$2:$B$7,0)),"✖ المجموعة غير صحيحة",IF(NOT(OR($H107="",$N107&gt;0)),"✖ Start غير صحيح",IF(NOT(OR($I107="",$I107="NR",$O107&gt;0)),"✖ Current غير صحيح",IF(NOT(IF(ISNUMBER($J107),AND($J107&gt;=0,$J107=INT($J107)),FALSE())),"✖ العدد يجب أن يكون صحيحًا ≥ 0",IF(AND($F107="Baseline",$H107&lt;&gt;""),"⚠ Baseline: Start لا يدخل في التقدم",IF($K107="No Start (attainment only)","ℹ تحصيل فقط (بدون Start)",IF($K107="U – needs rule","ℹ حالة U تحتاج قاعدة معتمدة",IF($K107="No result","ℹ بدون نتيجة (يُستبعد من التحصيل)","OK")))))))))))</f>
        <v/>
      </c>
      <c r="M107" s="64" t="n">
        <f aca="false">IF($A107="",0,IFERROR(MATCH($A107,Classes!$A$6:$A$420,0),0))</f>
        <v>0</v>
      </c>
      <c r="N107" s="64" t="n">
        <f aca="false">IF($H107="",0,IFERROR(MATCH($H107,GradeList,0),0))</f>
        <v>0</v>
      </c>
      <c r="O107" s="64" t="n">
        <f aca="false">IF(OR($I107="",$I107="NR"),0,IFERROR(MATCH($I107,GradeList,0),0))</f>
        <v>0</v>
      </c>
      <c r="P107" s="64" t="n">
        <f aca="false">IF(AND($M107&gt;0,ISNUMBER(MATCH($F107,Lists!$A$2:$A$5,0)),ISNUMBER(MATCH($G107,Lists!$B$2:$B$7,0)),OR($H107="",$N107&gt;0),OR($I107="",$I107="NR",$O107&gt;0),IF(ISNUMBER($J107),AND($J107&gt;=0,$J107=INT($J107)),FALSE())),$J107,0)</f>
        <v>0</v>
      </c>
      <c r="Q107" s="64" t="n">
        <f aca="false">IF(AND($P107&gt;0,$O107&gt;0),$P107,0)</f>
        <v>0</v>
      </c>
      <c r="R107" s="64" t="n">
        <f aca="false">IF(AND($Q107&gt;0,$O107&gt;=AtRank),$Q107,0)</f>
        <v>0</v>
      </c>
      <c r="S107" s="64" t="n">
        <f aca="false">IF(AND($Q107&gt;0,$O107&gt;=AboveRank),$Q107,0)</f>
        <v>0</v>
      </c>
      <c r="T107" s="64" t="n">
        <f aca="false">IF($K107="Less",$P107,0)</f>
        <v>0</v>
      </c>
      <c r="U107" s="64" t="n">
        <f aca="false">IF($K107="Expected",$P107,0)</f>
        <v>0</v>
      </c>
      <c r="V107" s="64" t="n">
        <f aca="false">IF($K107="Better",$P107,0)</f>
        <v>0</v>
      </c>
      <c r="W107" s="64" t="n">
        <f aca="false">IF($K107="U – needs rule",$P107,0)</f>
        <v>0</v>
      </c>
      <c r="X107" s="64" t="n">
        <f aca="false">IF($K107="No Start (attainment only)",$P107,0)</f>
        <v>0</v>
      </c>
    </row>
    <row r="108" customFormat="false" ht="15" hidden="false" customHeight="false" outlineLevel="0" collapsed="false">
      <c r="A108" s="60"/>
      <c r="B108" s="61" t="str">
        <f aca="false">IF($M108=0,"",INDEX(Classes!$E$6:$E$420,$M108))</f>
        <v/>
      </c>
      <c r="C108" s="62" t="str">
        <f aca="false">IF($M108=0,"",INDEX(Classes!$H$6:$H$420,$M108))</f>
        <v/>
      </c>
      <c r="D108" s="61" t="str">
        <f aca="false">IF($M108=0,"",INDEX(Classes!$B$6:$B$420,$M108))</f>
        <v/>
      </c>
      <c r="E108" s="61" t="str">
        <f aca="false">IF($M108=0,"",INDEX(Classes!$C$6:$C$420,$M108))</f>
        <v/>
      </c>
      <c r="F108" s="63"/>
      <c r="G108" s="63"/>
      <c r="H108" s="60"/>
      <c r="I108" s="60"/>
      <c r="J108" s="63"/>
      <c r="K108" s="61" t="str">
        <f aca="false">IF($P108=0,"",IF($F108="Baseline","— Baseline",IF($O108=0,"No result",IF($N108=0,"No Start (attainment only)",IF(OR($N108=1,$O108=1),"U – needs rule",INDEX(MxBody,MATCH($I108,MxCurr,0),MATCH($H108,MxStart,0)))))))</f>
        <v/>
      </c>
      <c r="L108" s="62" t="str">
        <f aca="false">IF(COUNTA($A108,$F108,$G108,$H108,$I108,$J108)=0,"",IF($M108=0,"✖ كود الصف غير موجود",IF(ISNA(MATCH($F108,Lists!$A$2:$A$5,0)),"✖ الفترة غير صحيحة",IF(ISNA(MATCH($G108,Lists!$B$2:$B$7,0)),"✖ المجموعة غير صحيحة",IF(NOT(OR($H108="",$N108&gt;0)),"✖ Start غير صحيح",IF(NOT(OR($I108="",$I108="NR",$O108&gt;0)),"✖ Current غير صحيح",IF(NOT(IF(ISNUMBER($J108),AND($J108&gt;=0,$J108=INT($J108)),FALSE())),"✖ العدد يجب أن يكون صحيحًا ≥ 0",IF(AND($F108="Baseline",$H108&lt;&gt;""),"⚠ Baseline: Start لا يدخل في التقدم",IF($K108="No Start (attainment only)","ℹ تحصيل فقط (بدون Start)",IF($K108="U – needs rule","ℹ حالة U تحتاج قاعدة معتمدة",IF($K108="No result","ℹ بدون نتيجة (يُستبعد من التحصيل)","OK")))))))))))</f>
        <v/>
      </c>
      <c r="M108" s="64" t="n">
        <f aca="false">IF($A108="",0,IFERROR(MATCH($A108,Classes!$A$6:$A$420,0),0))</f>
        <v>0</v>
      </c>
      <c r="N108" s="64" t="n">
        <f aca="false">IF($H108="",0,IFERROR(MATCH($H108,GradeList,0),0))</f>
        <v>0</v>
      </c>
      <c r="O108" s="64" t="n">
        <f aca="false">IF(OR($I108="",$I108="NR"),0,IFERROR(MATCH($I108,GradeList,0),0))</f>
        <v>0</v>
      </c>
      <c r="P108" s="64" t="n">
        <f aca="false">IF(AND($M108&gt;0,ISNUMBER(MATCH($F108,Lists!$A$2:$A$5,0)),ISNUMBER(MATCH($G108,Lists!$B$2:$B$7,0)),OR($H108="",$N108&gt;0),OR($I108="",$I108="NR",$O108&gt;0),IF(ISNUMBER($J108),AND($J108&gt;=0,$J108=INT($J108)),FALSE())),$J108,0)</f>
        <v>0</v>
      </c>
      <c r="Q108" s="64" t="n">
        <f aca="false">IF(AND($P108&gt;0,$O108&gt;0),$P108,0)</f>
        <v>0</v>
      </c>
      <c r="R108" s="64" t="n">
        <f aca="false">IF(AND($Q108&gt;0,$O108&gt;=AtRank),$Q108,0)</f>
        <v>0</v>
      </c>
      <c r="S108" s="64" t="n">
        <f aca="false">IF(AND($Q108&gt;0,$O108&gt;=AboveRank),$Q108,0)</f>
        <v>0</v>
      </c>
      <c r="T108" s="64" t="n">
        <f aca="false">IF($K108="Less",$P108,0)</f>
        <v>0</v>
      </c>
      <c r="U108" s="64" t="n">
        <f aca="false">IF($K108="Expected",$P108,0)</f>
        <v>0</v>
      </c>
      <c r="V108" s="64" t="n">
        <f aca="false">IF($K108="Better",$P108,0)</f>
        <v>0</v>
      </c>
      <c r="W108" s="64" t="n">
        <f aca="false">IF($K108="U – needs rule",$P108,0)</f>
        <v>0</v>
      </c>
      <c r="X108" s="64" t="n">
        <f aca="false">IF($K108="No Start (attainment only)",$P108,0)</f>
        <v>0</v>
      </c>
    </row>
    <row r="109" customFormat="false" ht="15" hidden="false" customHeight="false" outlineLevel="0" collapsed="false">
      <c r="A109" s="60"/>
      <c r="B109" s="61" t="str">
        <f aca="false">IF($M109=0,"",INDEX(Classes!$E$6:$E$420,$M109))</f>
        <v/>
      </c>
      <c r="C109" s="62" t="str">
        <f aca="false">IF($M109=0,"",INDEX(Classes!$H$6:$H$420,$M109))</f>
        <v/>
      </c>
      <c r="D109" s="61" t="str">
        <f aca="false">IF($M109=0,"",INDEX(Classes!$B$6:$B$420,$M109))</f>
        <v/>
      </c>
      <c r="E109" s="61" t="str">
        <f aca="false">IF($M109=0,"",INDEX(Classes!$C$6:$C$420,$M109))</f>
        <v/>
      </c>
      <c r="F109" s="63"/>
      <c r="G109" s="63"/>
      <c r="H109" s="60"/>
      <c r="I109" s="60"/>
      <c r="J109" s="63"/>
      <c r="K109" s="61" t="str">
        <f aca="false">IF($P109=0,"",IF($F109="Baseline","— Baseline",IF($O109=0,"No result",IF($N109=0,"No Start (attainment only)",IF(OR($N109=1,$O109=1),"U – needs rule",INDEX(MxBody,MATCH($I109,MxCurr,0),MATCH($H109,MxStart,0)))))))</f>
        <v/>
      </c>
      <c r="L109" s="62" t="str">
        <f aca="false">IF(COUNTA($A109,$F109,$G109,$H109,$I109,$J109)=0,"",IF($M109=0,"✖ كود الصف غير موجود",IF(ISNA(MATCH($F109,Lists!$A$2:$A$5,0)),"✖ الفترة غير صحيحة",IF(ISNA(MATCH($G109,Lists!$B$2:$B$7,0)),"✖ المجموعة غير صحيحة",IF(NOT(OR($H109="",$N109&gt;0)),"✖ Start غير صحيح",IF(NOT(OR($I109="",$I109="NR",$O109&gt;0)),"✖ Current غير صحيح",IF(NOT(IF(ISNUMBER($J109),AND($J109&gt;=0,$J109=INT($J109)),FALSE())),"✖ العدد يجب أن يكون صحيحًا ≥ 0",IF(AND($F109="Baseline",$H109&lt;&gt;""),"⚠ Baseline: Start لا يدخل في التقدم",IF($K109="No Start (attainment only)","ℹ تحصيل فقط (بدون Start)",IF($K109="U – needs rule","ℹ حالة U تحتاج قاعدة معتمدة",IF($K109="No result","ℹ بدون نتيجة (يُستبعد من التحصيل)","OK")))))))))))</f>
        <v/>
      </c>
      <c r="M109" s="64" t="n">
        <f aca="false">IF($A109="",0,IFERROR(MATCH($A109,Classes!$A$6:$A$420,0),0))</f>
        <v>0</v>
      </c>
      <c r="N109" s="64" t="n">
        <f aca="false">IF($H109="",0,IFERROR(MATCH($H109,GradeList,0),0))</f>
        <v>0</v>
      </c>
      <c r="O109" s="64" t="n">
        <f aca="false">IF(OR($I109="",$I109="NR"),0,IFERROR(MATCH($I109,GradeList,0),0))</f>
        <v>0</v>
      </c>
      <c r="P109" s="64" t="n">
        <f aca="false">IF(AND($M109&gt;0,ISNUMBER(MATCH($F109,Lists!$A$2:$A$5,0)),ISNUMBER(MATCH($G109,Lists!$B$2:$B$7,0)),OR($H109="",$N109&gt;0),OR($I109="",$I109="NR",$O109&gt;0),IF(ISNUMBER($J109),AND($J109&gt;=0,$J109=INT($J109)),FALSE())),$J109,0)</f>
        <v>0</v>
      </c>
      <c r="Q109" s="64" t="n">
        <f aca="false">IF(AND($P109&gt;0,$O109&gt;0),$P109,0)</f>
        <v>0</v>
      </c>
      <c r="R109" s="64" t="n">
        <f aca="false">IF(AND($Q109&gt;0,$O109&gt;=AtRank),$Q109,0)</f>
        <v>0</v>
      </c>
      <c r="S109" s="64" t="n">
        <f aca="false">IF(AND($Q109&gt;0,$O109&gt;=AboveRank),$Q109,0)</f>
        <v>0</v>
      </c>
      <c r="T109" s="64" t="n">
        <f aca="false">IF($K109="Less",$P109,0)</f>
        <v>0</v>
      </c>
      <c r="U109" s="64" t="n">
        <f aca="false">IF($K109="Expected",$P109,0)</f>
        <v>0</v>
      </c>
      <c r="V109" s="64" t="n">
        <f aca="false">IF($K109="Better",$P109,0)</f>
        <v>0</v>
      </c>
      <c r="W109" s="64" t="n">
        <f aca="false">IF($K109="U – needs rule",$P109,0)</f>
        <v>0</v>
      </c>
      <c r="X109" s="64" t="n">
        <f aca="false">IF($K109="No Start (attainment only)",$P109,0)</f>
        <v>0</v>
      </c>
    </row>
    <row r="110" customFormat="false" ht="15" hidden="false" customHeight="false" outlineLevel="0" collapsed="false">
      <c r="A110" s="60"/>
      <c r="B110" s="61" t="str">
        <f aca="false">IF($M110=0,"",INDEX(Classes!$E$6:$E$420,$M110))</f>
        <v/>
      </c>
      <c r="C110" s="62" t="str">
        <f aca="false">IF($M110=0,"",INDEX(Classes!$H$6:$H$420,$M110))</f>
        <v/>
      </c>
      <c r="D110" s="61" t="str">
        <f aca="false">IF($M110=0,"",INDEX(Classes!$B$6:$B$420,$M110))</f>
        <v/>
      </c>
      <c r="E110" s="61" t="str">
        <f aca="false">IF($M110=0,"",INDEX(Classes!$C$6:$C$420,$M110))</f>
        <v/>
      </c>
      <c r="F110" s="63"/>
      <c r="G110" s="63"/>
      <c r="H110" s="60"/>
      <c r="I110" s="60"/>
      <c r="J110" s="63"/>
      <c r="K110" s="61" t="str">
        <f aca="false">IF($P110=0,"",IF($F110="Baseline","— Baseline",IF($O110=0,"No result",IF($N110=0,"No Start (attainment only)",IF(OR($N110=1,$O110=1),"U – needs rule",INDEX(MxBody,MATCH($I110,MxCurr,0),MATCH($H110,MxStart,0)))))))</f>
        <v/>
      </c>
      <c r="L110" s="62" t="str">
        <f aca="false">IF(COUNTA($A110,$F110,$G110,$H110,$I110,$J110)=0,"",IF($M110=0,"✖ كود الصف غير موجود",IF(ISNA(MATCH($F110,Lists!$A$2:$A$5,0)),"✖ الفترة غير صحيحة",IF(ISNA(MATCH($G110,Lists!$B$2:$B$7,0)),"✖ المجموعة غير صحيحة",IF(NOT(OR($H110="",$N110&gt;0)),"✖ Start غير صحيح",IF(NOT(OR($I110="",$I110="NR",$O110&gt;0)),"✖ Current غير صحيح",IF(NOT(IF(ISNUMBER($J110),AND($J110&gt;=0,$J110=INT($J110)),FALSE())),"✖ العدد يجب أن يكون صحيحًا ≥ 0",IF(AND($F110="Baseline",$H110&lt;&gt;""),"⚠ Baseline: Start لا يدخل في التقدم",IF($K110="No Start (attainment only)","ℹ تحصيل فقط (بدون Start)",IF($K110="U – needs rule","ℹ حالة U تحتاج قاعدة معتمدة",IF($K110="No result","ℹ بدون نتيجة (يُستبعد من التحصيل)","OK")))))))))))</f>
        <v/>
      </c>
      <c r="M110" s="64" t="n">
        <f aca="false">IF($A110="",0,IFERROR(MATCH($A110,Classes!$A$6:$A$420,0),0))</f>
        <v>0</v>
      </c>
      <c r="N110" s="64" t="n">
        <f aca="false">IF($H110="",0,IFERROR(MATCH($H110,GradeList,0),0))</f>
        <v>0</v>
      </c>
      <c r="O110" s="64" t="n">
        <f aca="false">IF(OR($I110="",$I110="NR"),0,IFERROR(MATCH($I110,GradeList,0),0))</f>
        <v>0</v>
      </c>
      <c r="P110" s="64" t="n">
        <f aca="false">IF(AND($M110&gt;0,ISNUMBER(MATCH($F110,Lists!$A$2:$A$5,0)),ISNUMBER(MATCH($G110,Lists!$B$2:$B$7,0)),OR($H110="",$N110&gt;0),OR($I110="",$I110="NR",$O110&gt;0),IF(ISNUMBER($J110),AND($J110&gt;=0,$J110=INT($J110)),FALSE())),$J110,0)</f>
        <v>0</v>
      </c>
      <c r="Q110" s="64" t="n">
        <f aca="false">IF(AND($P110&gt;0,$O110&gt;0),$P110,0)</f>
        <v>0</v>
      </c>
      <c r="R110" s="64" t="n">
        <f aca="false">IF(AND($Q110&gt;0,$O110&gt;=AtRank),$Q110,0)</f>
        <v>0</v>
      </c>
      <c r="S110" s="64" t="n">
        <f aca="false">IF(AND($Q110&gt;0,$O110&gt;=AboveRank),$Q110,0)</f>
        <v>0</v>
      </c>
      <c r="T110" s="64" t="n">
        <f aca="false">IF($K110="Less",$P110,0)</f>
        <v>0</v>
      </c>
      <c r="U110" s="64" t="n">
        <f aca="false">IF($K110="Expected",$P110,0)</f>
        <v>0</v>
      </c>
      <c r="V110" s="64" t="n">
        <f aca="false">IF($K110="Better",$P110,0)</f>
        <v>0</v>
      </c>
      <c r="W110" s="64" t="n">
        <f aca="false">IF($K110="U – needs rule",$P110,0)</f>
        <v>0</v>
      </c>
      <c r="X110" s="64" t="n">
        <f aca="false">IF($K110="No Start (attainment only)",$P110,0)</f>
        <v>0</v>
      </c>
    </row>
    <row r="111" customFormat="false" ht="15" hidden="false" customHeight="false" outlineLevel="0" collapsed="false">
      <c r="A111" s="60"/>
      <c r="B111" s="61" t="str">
        <f aca="false">IF($M111=0,"",INDEX(Classes!$E$6:$E$420,$M111))</f>
        <v/>
      </c>
      <c r="C111" s="62" t="str">
        <f aca="false">IF($M111=0,"",INDEX(Classes!$H$6:$H$420,$M111))</f>
        <v/>
      </c>
      <c r="D111" s="61" t="str">
        <f aca="false">IF($M111=0,"",INDEX(Classes!$B$6:$B$420,$M111))</f>
        <v/>
      </c>
      <c r="E111" s="61" t="str">
        <f aca="false">IF($M111=0,"",INDEX(Classes!$C$6:$C$420,$M111))</f>
        <v/>
      </c>
      <c r="F111" s="63"/>
      <c r="G111" s="63"/>
      <c r="H111" s="60"/>
      <c r="I111" s="60"/>
      <c r="J111" s="63"/>
      <c r="K111" s="61" t="str">
        <f aca="false">IF($P111=0,"",IF($F111="Baseline","— Baseline",IF($O111=0,"No result",IF($N111=0,"No Start (attainment only)",IF(OR($N111=1,$O111=1),"U – needs rule",INDEX(MxBody,MATCH($I111,MxCurr,0),MATCH($H111,MxStart,0)))))))</f>
        <v/>
      </c>
      <c r="L111" s="62" t="str">
        <f aca="false">IF(COUNTA($A111,$F111,$G111,$H111,$I111,$J111)=0,"",IF($M111=0,"✖ كود الصف غير موجود",IF(ISNA(MATCH($F111,Lists!$A$2:$A$5,0)),"✖ الفترة غير صحيحة",IF(ISNA(MATCH($G111,Lists!$B$2:$B$7,0)),"✖ المجموعة غير صحيحة",IF(NOT(OR($H111="",$N111&gt;0)),"✖ Start غير صحيح",IF(NOT(OR($I111="",$I111="NR",$O111&gt;0)),"✖ Current غير صحيح",IF(NOT(IF(ISNUMBER($J111),AND($J111&gt;=0,$J111=INT($J111)),FALSE())),"✖ العدد يجب أن يكون صحيحًا ≥ 0",IF(AND($F111="Baseline",$H111&lt;&gt;""),"⚠ Baseline: Start لا يدخل في التقدم",IF($K111="No Start (attainment only)","ℹ تحصيل فقط (بدون Start)",IF($K111="U – needs rule","ℹ حالة U تحتاج قاعدة معتمدة",IF($K111="No result","ℹ بدون نتيجة (يُستبعد من التحصيل)","OK")))))))))))</f>
        <v/>
      </c>
      <c r="M111" s="64" t="n">
        <f aca="false">IF($A111="",0,IFERROR(MATCH($A111,Classes!$A$6:$A$420,0),0))</f>
        <v>0</v>
      </c>
      <c r="N111" s="64" t="n">
        <f aca="false">IF($H111="",0,IFERROR(MATCH($H111,GradeList,0),0))</f>
        <v>0</v>
      </c>
      <c r="O111" s="64" t="n">
        <f aca="false">IF(OR($I111="",$I111="NR"),0,IFERROR(MATCH($I111,GradeList,0),0))</f>
        <v>0</v>
      </c>
      <c r="P111" s="64" t="n">
        <f aca="false">IF(AND($M111&gt;0,ISNUMBER(MATCH($F111,Lists!$A$2:$A$5,0)),ISNUMBER(MATCH($G111,Lists!$B$2:$B$7,0)),OR($H111="",$N111&gt;0),OR($I111="",$I111="NR",$O111&gt;0),IF(ISNUMBER($J111),AND($J111&gt;=0,$J111=INT($J111)),FALSE())),$J111,0)</f>
        <v>0</v>
      </c>
      <c r="Q111" s="64" t="n">
        <f aca="false">IF(AND($P111&gt;0,$O111&gt;0),$P111,0)</f>
        <v>0</v>
      </c>
      <c r="R111" s="64" t="n">
        <f aca="false">IF(AND($Q111&gt;0,$O111&gt;=AtRank),$Q111,0)</f>
        <v>0</v>
      </c>
      <c r="S111" s="64" t="n">
        <f aca="false">IF(AND($Q111&gt;0,$O111&gt;=AboveRank),$Q111,0)</f>
        <v>0</v>
      </c>
      <c r="T111" s="64" t="n">
        <f aca="false">IF($K111="Less",$P111,0)</f>
        <v>0</v>
      </c>
      <c r="U111" s="64" t="n">
        <f aca="false">IF($K111="Expected",$P111,0)</f>
        <v>0</v>
      </c>
      <c r="V111" s="64" t="n">
        <f aca="false">IF($K111="Better",$P111,0)</f>
        <v>0</v>
      </c>
      <c r="W111" s="64" t="n">
        <f aca="false">IF($K111="U – needs rule",$P111,0)</f>
        <v>0</v>
      </c>
      <c r="X111" s="64" t="n">
        <f aca="false">IF($K111="No Start (attainment only)",$P111,0)</f>
        <v>0</v>
      </c>
    </row>
    <row r="112" customFormat="false" ht="15" hidden="false" customHeight="false" outlineLevel="0" collapsed="false">
      <c r="A112" s="60"/>
      <c r="B112" s="61" t="str">
        <f aca="false">IF($M112=0,"",INDEX(Classes!$E$6:$E$420,$M112))</f>
        <v/>
      </c>
      <c r="C112" s="62" t="str">
        <f aca="false">IF($M112=0,"",INDEX(Classes!$H$6:$H$420,$M112))</f>
        <v/>
      </c>
      <c r="D112" s="61" t="str">
        <f aca="false">IF($M112=0,"",INDEX(Classes!$B$6:$B$420,$M112))</f>
        <v/>
      </c>
      <c r="E112" s="61" t="str">
        <f aca="false">IF($M112=0,"",INDEX(Classes!$C$6:$C$420,$M112))</f>
        <v/>
      </c>
      <c r="F112" s="63"/>
      <c r="G112" s="63"/>
      <c r="H112" s="60"/>
      <c r="I112" s="60"/>
      <c r="J112" s="63"/>
      <c r="K112" s="61" t="str">
        <f aca="false">IF($P112=0,"",IF($F112="Baseline","— Baseline",IF($O112=0,"No result",IF($N112=0,"No Start (attainment only)",IF(OR($N112=1,$O112=1),"U – needs rule",INDEX(MxBody,MATCH($I112,MxCurr,0),MATCH($H112,MxStart,0)))))))</f>
        <v/>
      </c>
      <c r="L112" s="62" t="str">
        <f aca="false">IF(COUNTA($A112,$F112,$G112,$H112,$I112,$J112)=0,"",IF($M112=0,"✖ كود الصف غير موجود",IF(ISNA(MATCH($F112,Lists!$A$2:$A$5,0)),"✖ الفترة غير صحيحة",IF(ISNA(MATCH($G112,Lists!$B$2:$B$7,0)),"✖ المجموعة غير صحيحة",IF(NOT(OR($H112="",$N112&gt;0)),"✖ Start غير صحيح",IF(NOT(OR($I112="",$I112="NR",$O112&gt;0)),"✖ Current غير صحيح",IF(NOT(IF(ISNUMBER($J112),AND($J112&gt;=0,$J112=INT($J112)),FALSE())),"✖ العدد يجب أن يكون صحيحًا ≥ 0",IF(AND($F112="Baseline",$H112&lt;&gt;""),"⚠ Baseline: Start لا يدخل في التقدم",IF($K112="No Start (attainment only)","ℹ تحصيل فقط (بدون Start)",IF($K112="U – needs rule","ℹ حالة U تحتاج قاعدة معتمدة",IF($K112="No result","ℹ بدون نتيجة (يُستبعد من التحصيل)","OK")))))))))))</f>
        <v/>
      </c>
      <c r="M112" s="64" t="n">
        <f aca="false">IF($A112="",0,IFERROR(MATCH($A112,Classes!$A$6:$A$420,0),0))</f>
        <v>0</v>
      </c>
      <c r="N112" s="64" t="n">
        <f aca="false">IF($H112="",0,IFERROR(MATCH($H112,GradeList,0),0))</f>
        <v>0</v>
      </c>
      <c r="O112" s="64" t="n">
        <f aca="false">IF(OR($I112="",$I112="NR"),0,IFERROR(MATCH($I112,GradeList,0),0))</f>
        <v>0</v>
      </c>
      <c r="P112" s="64" t="n">
        <f aca="false">IF(AND($M112&gt;0,ISNUMBER(MATCH($F112,Lists!$A$2:$A$5,0)),ISNUMBER(MATCH($G112,Lists!$B$2:$B$7,0)),OR($H112="",$N112&gt;0),OR($I112="",$I112="NR",$O112&gt;0),IF(ISNUMBER($J112),AND($J112&gt;=0,$J112=INT($J112)),FALSE())),$J112,0)</f>
        <v>0</v>
      </c>
      <c r="Q112" s="64" t="n">
        <f aca="false">IF(AND($P112&gt;0,$O112&gt;0),$P112,0)</f>
        <v>0</v>
      </c>
      <c r="R112" s="64" t="n">
        <f aca="false">IF(AND($Q112&gt;0,$O112&gt;=AtRank),$Q112,0)</f>
        <v>0</v>
      </c>
      <c r="S112" s="64" t="n">
        <f aca="false">IF(AND($Q112&gt;0,$O112&gt;=AboveRank),$Q112,0)</f>
        <v>0</v>
      </c>
      <c r="T112" s="64" t="n">
        <f aca="false">IF($K112="Less",$P112,0)</f>
        <v>0</v>
      </c>
      <c r="U112" s="64" t="n">
        <f aca="false">IF($K112="Expected",$P112,0)</f>
        <v>0</v>
      </c>
      <c r="V112" s="64" t="n">
        <f aca="false">IF($K112="Better",$P112,0)</f>
        <v>0</v>
      </c>
      <c r="W112" s="64" t="n">
        <f aca="false">IF($K112="U – needs rule",$P112,0)</f>
        <v>0</v>
      </c>
      <c r="X112" s="64" t="n">
        <f aca="false">IF($K112="No Start (attainment only)",$P112,0)</f>
        <v>0</v>
      </c>
    </row>
    <row r="113" customFormat="false" ht="15" hidden="false" customHeight="false" outlineLevel="0" collapsed="false">
      <c r="A113" s="60"/>
      <c r="B113" s="61" t="str">
        <f aca="false">IF($M113=0,"",INDEX(Classes!$E$6:$E$420,$M113))</f>
        <v/>
      </c>
      <c r="C113" s="62" t="str">
        <f aca="false">IF($M113=0,"",INDEX(Classes!$H$6:$H$420,$M113))</f>
        <v/>
      </c>
      <c r="D113" s="61" t="str">
        <f aca="false">IF($M113=0,"",INDEX(Classes!$B$6:$B$420,$M113))</f>
        <v/>
      </c>
      <c r="E113" s="61" t="str">
        <f aca="false">IF($M113=0,"",INDEX(Classes!$C$6:$C$420,$M113))</f>
        <v/>
      </c>
      <c r="F113" s="63"/>
      <c r="G113" s="63"/>
      <c r="H113" s="60"/>
      <c r="I113" s="60"/>
      <c r="J113" s="63"/>
      <c r="K113" s="61" t="str">
        <f aca="false">IF($P113=0,"",IF($F113="Baseline","— Baseline",IF($O113=0,"No result",IF($N113=0,"No Start (attainment only)",IF(OR($N113=1,$O113=1),"U – needs rule",INDEX(MxBody,MATCH($I113,MxCurr,0),MATCH($H113,MxStart,0)))))))</f>
        <v/>
      </c>
      <c r="L113" s="62" t="str">
        <f aca="false">IF(COUNTA($A113,$F113,$G113,$H113,$I113,$J113)=0,"",IF($M113=0,"✖ كود الصف غير موجود",IF(ISNA(MATCH($F113,Lists!$A$2:$A$5,0)),"✖ الفترة غير صحيحة",IF(ISNA(MATCH($G113,Lists!$B$2:$B$7,0)),"✖ المجموعة غير صحيحة",IF(NOT(OR($H113="",$N113&gt;0)),"✖ Start غير صحيح",IF(NOT(OR($I113="",$I113="NR",$O113&gt;0)),"✖ Current غير صحيح",IF(NOT(IF(ISNUMBER($J113),AND($J113&gt;=0,$J113=INT($J113)),FALSE())),"✖ العدد يجب أن يكون صحيحًا ≥ 0",IF(AND($F113="Baseline",$H113&lt;&gt;""),"⚠ Baseline: Start لا يدخل في التقدم",IF($K113="No Start (attainment only)","ℹ تحصيل فقط (بدون Start)",IF($K113="U – needs rule","ℹ حالة U تحتاج قاعدة معتمدة",IF($K113="No result","ℹ بدون نتيجة (يُستبعد من التحصيل)","OK")))))))))))</f>
        <v/>
      </c>
      <c r="M113" s="64" t="n">
        <f aca="false">IF($A113="",0,IFERROR(MATCH($A113,Classes!$A$6:$A$420,0),0))</f>
        <v>0</v>
      </c>
      <c r="N113" s="64" t="n">
        <f aca="false">IF($H113="",0,IFERROR(MATCH($H113,GradeList,0),0))</f>
        <v>0</v>
      </c>
      <c r="O113" s="64" t="n">
        <f aca="false">IF(OR($I113="",$I113="NR"),0,IFERROR(MATCH($I113,GradeList,0),0))</f>
        <v>0</v>
      </c>
      <c r="P113" s="64" t="n">
        <f aca="false">IF(AND($M113&gt;0,ISNUMBER(MATCH($F113,Lists!$A$2:$A$5,0)),ISNUMBER(MATCH($G113,Lists!$B$2:$B$7,0)),OR($H113="",$N113&gt;0),OR($I113="",$I113="NR",$O113&gt;0),IF(ISNUMBER($J113),AND($J113&gt;=0,$J113=INT($J113)),FALSE())),$J113,0)</f>
        <v>0</v>
      </c>
      <c r="Q113" s="64" t="n">
        <f aca="false">IF(AND($P113&gt;0,$O113&gt;0),$P113,0)</f>
        <v>0</v>
      </c>
      <c r="R113" s="64" t="n">
        <f aca="false">IF(AND($Q113&gt;0,$O113&gt;=AtRank),$Q113,0)</f>
        <v>0</v>
      </c>
      <c r="S113" s="64" t="n">
        <f aca="false">IF(AND($Q113&gt;0,$O113&gt;=AboveRank),$Q113,0)</f>
        <v>0</v>
      </c>
      <c r="T113" s="64" t="n">
        <f aca="false">IF($K113="Less",$P113,0)</f>
        <v>0</v>
      </c>
      <c r="U113" s="64" t="n">
        <f aca="false">IF($K113="Expected",$P113,0)</f>
        <v>0</v>
      </c>
      <c r="V113" s="64" t="n">
        <f aca="false">IF($K113="Better",$P113,0)</f>
        <v>0</v>
      </c>
      <c r="W113" s="64" t="n">
        <f aca="false">IF($K113="U – needs rule",$P113,0)</f>
        <v>0</v>
      </c>
      <c r="X113" s="64" t="n">
        <f aca="false">IF($K113="No Start (attainment only)",$P113,0)</f>
        <v>0</v>
      </c>
    </row>
    <row r="114" customFormat="false" ht="15" hidden="false" customHeight="false" outlineLevel="0" collapsed="false">
      <c r="A114" s="60"/>
      <c r="B114" s="61" t="str">
        <f aca="false">IF($M114=0,"",INDEX(Classes!$E$6:$E$420,$M114))</f>
        <v/>
      </c>
      <c r="C114" s="62" t="str">
        <f aca="false">IF($M114=0,"",INDEX(Classes!$H$6:$H$420,$M114))</f>
        <v/>
      </c>
      <c r="D114" s="61" t="str">
        <f aca="false">IF($M114=0,"",INDEX(Classes!$B$6:$B$420,$M114))</f>
        <v/>
      </c>
      <c r="E114" s="61" t="str">
        <f aca="false">IF($M114=0,"",INDEX(Classes!$C$6:$C$420,$M114))</f>
        <v/>
      </c>
      <c r="F114" s="63"/>
      <c r="G114" s="63"/>
      <c r="H114" s="60"/>
      <c r="I114" s="60"/>
      <c r="J114" s="63"/>
      <c r="K114" s="61" t="str">
        <f aca="false">IF($P114=0,"",IF($F114="Baseline","— Baseline",IF($O114=0,"No result",IF($N114=0,"No Start (attainment only)",IF(OR($N114=1,$O114=1),"U – needs rule",INDEX(MxBody,MATCH($I114,MxCurr,0),MATCH($H114,MxStart,0)))))))</f>
        <v/>
      </c>
      <c r="L114" s="62" t="str">
        <f aca="false">IF(COUNTA($A114,$F114,$G114,$H114,$I114,$J114)=0,"",IF($M114=0,"✖ كود الصف غير موجود",IF(ISNA(MATCH($F114,Lists!$A$2:$A$5,0)),"✖ الفترة غير صحيحة",IF(ISNA(MATCH($G114,Lists!$B$2:$B$7,0)),"✖ المجموعة غير صحيحة",IF(NOT(OR($H114="",$N114&gt;0)),"✖ Start غير صحيح",IF(NOT(OR($I114="",$I114="NR",$O114&gt;0)),"✖ Current غير صحيح",IF(NOT(IF(ISNUMBER($J114),AND($J114&gt;=0,$J114=INT($J114)),FALSE())),"✖ العدد يجب أن يكون صحيحًا ≥ 0",IF(AND($F114="Baseline",$H114&lt;&gt;""),"⚠ Baseline: Start لا يدخل في التقدم",IF($K114="No Start (attainment only)","ℹ تحصيل فقط (بدون Start)",IF($K114="U – needs rule","ℹ حالة U تحتاج قاعدة معتمدة",IF($K114="No result","ℹ بدون نتيجة (يُستبعد من التحصيل)","OK")))))))))))</f>
        <v/>
      </c>
      <c r="M114" s="64" t="n">
        <f aca="false">IF($A114="",0,IFERROR(MATCH($A114,Classes!$A$6:$A$420,0),0))</f>
        <v>0</v>
      </c>
      <c r="N114" s="64" t="n">
        <f aca="false">IF($H114="",0,IFERROR(MATCH($H114,GradeList,0),0))</f>
        <v>0</v>
      </c>
      <c r="O114" s="64" t="n">
        <f aca="false">IF(OR($I114="",$I114="NR"),0,IFERROR(MATCH($I114,GradeList,0),0))</f>
        <v>0</v>
      </c>
      <c r="P114" s="64" t="n">
        <f aca="false">IF(AND($M114&gt;0,ISNUMBER(MATCH($F114,Lists!$A$2:$A$5,0)),ISNUMBER(MATCH($G114,Lists!$B$2:$B$7,0)),OR($H114="",$N114&gt;0),OR($I114="",$I114="NR",$O114&gt;0),IF(ISNUMBER($J114),AND($J114&gt;=0,$J114=INT($J114)),FALSE())),$J114,0)</f>
        <v>0</v>
      </c>
      <c r="Q114" s="64" t="n">
        <f aca="false">IF(AND($P114&gt;0,$O114&gt;0),$P114,0)</f>
        <v>0</v>
      </c>
      <c r="R114" s="64" t="n">
        <f aca="false">IF(AND($Q114&gt;0,$O114&gt;=AtRank),$Q114,0)</f>
        <v>0</v>
      </c>
      <c r="S114" s="64" t="n">
        <f aca="false">IF(AND($Q114&gt;0,$O114&gt;=AboveRank),$Q114,0)</f>
        <v>0</v>
      </c>
      <c r="T114" s="64" t="n">
        <f aca="false">IF($K114="Less",$P114,0)</f>
        <v>0</v>
      </c>
      <c r="U114" s="64" t="n">
        <f aca="false">IF($K114="Expected",$P114,0)</f>
        <v>0</v>
      </c>
      <c r="V114" s="64" t="n">
        <f aca="false">IF($K114="Better",$P114,0)</f>
        <v>0</v>
      </c>
      <c r="W114" s="64" t="n">
        <f aca="false">IF($K114="U – needs rule",$P114,0)</f>
        <v>0</v>
      </c>
      <c r="X114" s="64" t="n">
        <f aca="false">IF($K114="No Start (attainment only)",$P114,0)</f>
        <v>0</v>
      </c>
    </row>
    <row r="115" customFormat="false" ht="15" hidden="false" customHeight="false" outlineLevel="0" collapsed="false">
      <c r="A115" s="60"/>
      <c r="B115" s="61" t="str">
        <f aca="false">IF($M115=0,"",INDEX(Classes!$E$6:$E$420,$M115))</f>
        <v/>
      </c>
      <c r="C115" s="62" t="str">
        <f aca="false">IF($M115=0,"",INDEX(Classes!$H$6:$H$420,$M115))</f>
        <v/>
      </c>
      <c r="D115" s="61" t="str">
        <f aca="false">IF($M115=0,"",INDEX(Classes!$B$6:$B$420,$M115))</f>
        <v/>
      </c>
      <c r="E115" s="61" t="str">
        <f aca="false">IF($M115=0,"",INDEX(Classes!$C$6:$C$420,$M115))</f>
        <v/>
      </c>
      <c r="F115" s="63"/>
      <c r="G115" s="63"/>
      <c r="H115" s="60"/>
      <c r="I115" s="60"/>
      <c r="J115" s="63"/>
      <c r="K115" s="61" t="str">
        <f aca="false">IF($P115=0,"",IF($F115="Baseline","— Baseline",IF($O115=0,"No result",IF($N115=0,"No Start (attainment only)",IF(OR($N115=1,$O115=1),"U – needs rule",INDEX(MxBody,MATCH($I115,MxCurr,0),MATCH($H115,MxStart,0)))))))</f>
        <v/>
      </c>
      <c r="L115" s="62" t="str">
        <f aca="false">IF(COUNTA($A115,$F115,$G115,$H115,$I115,$J115)=0,"",IF($M115=0,"✖ كود الصف غير موجود",IF(ISNA(MATCH($F115,Lists!$A$2:$A$5,0)),"✖ الفترة غير صحيحة",IF(ISNA(MATCH($G115,Lists!$B$2:$B$7,0)),"✖ المجموعة غير صحيحة",IF(NOT(OR($H115="",$N115&gt;0)),"✖ Start غير صحيح",IF(NOT(OR($I115="",$I115="NR",$O115&gt;0)),"✖ Current غير صحيح",IF(NOT(IF(ISNUMBER($J115),AND($J115&gt;=0,$J115=INT($J115)),FALSE())),"✖ العدد يجب أن يكون صحيحًا ≥ 0",IF(AND($F115="Baseline",$H115&lt;&gt;""),"⚠ Baseline: Start لا يدخل في التقدم",IF($K115="No Start (attainment only)","ℹ تحصيل فقط (بدون Start)",IF($K115="U – needs rule","ℹ حالة U تحتاج قاعدة معتمدة",IF($K115="No result","ℹ بدون نتيجة (يُستبعد من التحصيل)","OK")))))))))))</f>
        <v/>
      </c>
      <c r="M115" s="64" t="n">
        <f aca="false">IF($A115="",0,IFERROR(MATCH($A115,Classes!$A$6:$A$420,0),0))</f>
        <v>0</v>
      </c>
      <c r="N115" s="64" t="n">
        <f aca="false">IF($H115="",0,IFERROR(MATCH($H115,GradeList,0),0))</f>
        <v>0</v>
      </c>
      <c r="O115" s="64" t="n">
        <f aca="false">IF(OR($I115="",$I115="NR"),0,IFERROR(MATCH($I115,GradeList,0),0))</f>
        <v>0</v>
      </c>
      <c r="P115" s="64" t="n">
        <f aca="false">IF(AND($M115&gt;0,ISNUMBER(MATCH($F115,Lists!$A$2:$A$5,0)),ISNUMBER(MATCH($G115,Lists!$B$2:$B$7,0)),OR($H115="",$N115&gt;0),OR($I115="",$I115="NR",$O115&gt;0),IF(ISNUMBER($J115),AND($J115&gt;=0,$J115=INT($J115)),FALSE())),$J115,0)</f>
        <v>0</v>
      </c>
      <c r="Q115" s="64" t="n">
        <f aca="false">IF(AND($P115&gt;0,$O115&gt;0),$P115,0)</f>
        <v>0</v>
      </c>
      <c r="R115" s="64" t="n">
        <f aca="false">IF(AND($Q115&gt;0,$O115&gt;=AtRank),$Q115,0)</f>
        <v>0</v>
      </c>
      <c r="S115" s="64" t="n">
        <f aca="false">IF(AND($Q115&gt;0,$O115&gt;=AboveRank),$Q115,0)</f>
        <v>0</v>
      </c>
      <c r="T115" s="64" t="n">
        <f aca="false">IF($K115="Less",$P115,0)</f>
        <v>0</v>
      </c>
      <c r="U115" s="64" t="n">
        <f aca="false">IF($K115="Expected",$P115,0)</f>
        <v>0</v>
      </c>
      <c r="V115" s="64" t="n">
        <f aca="false">IF($K115="Better",$P115,0)</f>
        <v>0</v>
      </c>
      <c r="W115" s="64" t="n">
        <f aca="false">IF($K115="U – needs rule",$P115,0)</f>
        <v>0</v>
      </c>
      <c r="X115" s="64" t="n">
        <f aca="false">IF($K115="No Start (attainment only)",$P115,0)</f>
        <v>0</v>
      </c>
    </row>
    <row r="116" customFormat="false" ht="15" hidden="false" customHeight="false" outlineLevel="0" collapsed="false">
      <c r="A116" s="60"/>
      <c r="B116" s="61" t="str">
        <f aca="false">IF($M116=0,"",INDEX(Classes!$E$6:$E$420,$M116))</f>
        <v/>
      </c>
      <c r="C116" s="62" t="str">
        <f aca="false">IF($M116=0,"",INDEX(Classes!$H$6:$H$420,$M116))</f>
        <v/>
      </c>
      <c r="D116" s="61" t="str">
        <f aca="false">IF($M116=0,"",INDEX(Classes!$B$6:$B$420,$M116))</f>
        <v/>
      </c>
      <c r="E116" s="61" t="str">
        <f aca="false">IF($M116=0,"",INDEX(Classes!$C$6:$C$420,$M116))</f>
        <v/>
      </c>
      <c r="F116" s="63"/>
      <c r="G116" s="63"/>
      <c r="H116" s="60"/>
      <c r="I116" s="60"/>
      <c r="J116" s="63"/>
      <c r="K116" s="61" t="str">
        <f aca="false">IF($P116=0,"",IF($F116="Baseline","— Baseline",IF($O116=0,"No result",IF($N116=0,"No Start (attainment only)",IF(OR($N116=1,$O116=1),"U – needs rule",INDEX(MxBody,MATCH($I116,MxCurr,0),MATCH($H116,MxStart,0)))))))</f>
        <v/>
      </c>
      <c r="L116" s="62" t="str">
        <f aca="false">IF(COUNTA($A116,$F116,$G116,$H116,$I116,$J116)=0,"",IF($M116=0,"✖ كود الصف غير موجود",IF(ISNA(MATCH($F116,Lists!$A$2:$A$5,0)),"✖ الفترة غير صحيحة",IF(ISNA(MATCH($G116,Lists!$B$2:$B$7,0)),"✖ المجموعة غير صحيحة",IF(NOT(OR($H116="",$N116&gt;0)),"✖ Start غير صحيح",IF(NOT(OR($I116="",$I116="NR",$O116&gt;0)),"✖ Current غير صحيح",IF(NOT(IF(ISNUMBER($J116),AND($J116&gt;=0,$J116=INT($J116)),FALSE())),"✖ العدد يجب أن يكون صحيحًا ≥ 0",IF(AND($F116="Baseline",$H116&lt;&gt;""),"⚠ Baseline: Start لا يدخل في التقدم",IF($K116="No Start (attainment only)","ℹ تحصيل فقط (بدون Start)",IF($K116="U – needs rule","ℹ حالة U تحتاج قاعدة معتمدة",IF($K116="No result","ℹ بدون نتيجة (يُستبعد من التحصيل)","OK")))))))))))</f>
        <v/>
      </c>
      <c r="M116" s="64" t="n">
        <f aca="false">IF($A116="",0,IFERROR(MATCH($A116,Classes!$A$6:$A$420,0),0))</f>
        <v>0</v>
      </c>
      <c r="N116" s="64" t="n">
        <f aca="false">IF($H116="",0,IFERROR(MATCH($H116,GradeList,0),0))</f>
        <v>0</v>
      </c>
      <c r="O116" s="64" t="n">
        <f aca="false">IF(OR($I116="",$I116="NR"),0,IFERROR(MATCH($I116,GradeList,0),0))</f>
        <v>0</v>
      </c>
      <c r="P116" s="64" t="n">
        <f aca="false">IF(AND($M116&gt;0,ISNUMBER(MATCH($F116,Lists!$A$2:$A$5,0)),ISNUMBER(MATCH($G116,Lists!$B$2:$B$7,0)),OR($H116="",$N116&gt;0),OR($I116="",$I116="NR",$O116&gt;0),IF(ISNUMBER($J116),AND($J116&gt;=0,$J116=INT($J116)),FALSE())),$J116,0)</f>
        <v>0</v>
      </c>
      <c r="Q116" s="64" t="n">
        <f aca="false">IF(AND($P116&gt;0,$O116&gt;0),$P116,0)</f>
        <v>0</v>
      </c>
      <c r="R116" s="64" t="n">
        <f aca="false">IF(AND($Q116&gt;0,$O116&gt;=AtRank),$Q116,0)</f>
        <v>0</v>
      </c>
      <c r="S116" s="64" t="n">
        <f aca="false">IF(AND($Q116&gt;0,$O116&gt;=AboveRank),$Q116,0)</f>
        <v>0</v>
      </c>
      <c r="T116" s="64" t="n">
        <f aca="false">IF($K116="Less",$P116,0)</f>
        <v>0</v>
      </c>
      <c r="U116" s="64" t="n">
        <f aca="false">IF($K116="Expected",$P116,0)</f>
        <v>0</v>
      </c>
      <c r="V116" s="64" t="n">
        <f aca="false">IF($K116="Better",$P116,0)</f>
        <v>0</v>
      </c>
      <c r="W116" s="64" t="n">
        <f aca="false">IF($K116="U – needs rule",$P116,0)</f>
        <v>0</v>
      </c>
      <c r="X116" s="64" t="n">
        <f aca="false">IF($K116="No Start (attainment only)",$P116,0)</f>
        <v>0</v>
      </c>
    </row>
    <row r="117" customFormat="false" ht="15" hidden="false" customHeight="false" outlineLevel="0" collapsed="false">
      <c r="A117" s="60"/>
      <c r="B117" s="61" t="str">
        <f aca="false">IF($M117=0,"",INDEX(Classes!$E$6:$E$420,$M117))</f>
        <v/>
      </c>
      <c r="C117" s="62" t="str">
        <f aca="false">IF($M117=0,"",INDEX(Classes!$H$6:$H$420,$M117))</f>
        <v/>
      </c>
      <c r="D117" s="61" t="str">
        <f aca="false">IF($M117=0,"",INDEX(Classes!$B$6:$B$420,$M117))</f>
        <v/>
      </c>
      <c r="E117" s="61" t="str">
        <f aca="false">IF($M117=0,"",INDEX(Classes!$C$6:$C$420,$M117))</f>
        <v/>
      </c>
      <c r="F117" s="63"/>
      <c r="G117" s="63"/>
      <c r="H117" s="60"/>
      <c r="I117" s="60"/>
      <c r="J117" s="63"/>
      <c r="K117" s="61" t="str">
        <f aca="false">IF($P117=0,"",IF($F117="Baseline","— Baseline",IF($O117=0,"No result",IF($N117=0,"No Start (attainment only)",IF(OR($N117=1,$O117=1),"U – needs rule",INDEX(MxBody,MATCH($I117,MxCurr,0),MATCH($H117,MxStart,0)))))))</f>
        <v/>
      </c>
      <c r="L117" s="62" t="str">
        <f aca="false">IF(COUNTA($A117,$F117,$G117,$H117,$I117,$J117)=0,"",IF($M117=0,"✖ كود الصف غير موجود",IF(ISNA(MATCH($F117,Lists!$A$2:$A$5,0)),"✖ الفترة غير صحيحة",IF(ISNA(MATCH($G117,Lists!$B$2:$B$7,0)),"✖ المجموعة غير صحيحة",IF(NOT(OR($H117="",$N117&gt;0)),"✖ Start غير صحيح",IF(NOT(OR($I117="",$I117="NR",$O117&gt;0)),"✖ Current غير صحيح",IF(NOT(IF(ISNUMBER($J117),AND($J117&gt;=0,$J117=INT($J117)),FALSE())),"✖ العدد يجب أن يكون صحيحًا ≥ 0",IF(AND($F117="Baseline",$H117&lt;&gt;""),"⚠ Baseline: Start لا يدخل في التقدم",IF($K117="No Start (attainment only)","ℹ تحصيل فقط (بدون Start)",IF($K117="U – needs rule","ℹ حالة U تحتاج قاعدة معتمدة",IF($K117="No result","ℹ بدون نتيجة (يُستبعد من التحصيل)","OK")))))))))))</f>
        <v/>
      </c>
      <c r="M117" s="64" t="n">
        <f aca="false">IF($A117="",0,IFERROR(MATCH($A117,Classes!$A$6:$A$420,0),0))</f>
        <v>0</v>
      </c>
      <c r="N117" s="64" t="n">
        <f aca="false">IF($H117="",0,IFERROR(MATCH($H117,GradeList,0),0))</f>
        <v>0</v>
      </c>
      <c r="O117" s="64" t="n">
        <f aca="false">IF(OR($I117="",$I117="NR"),0,IFERROR(MATCH($I117,GradeList,0),0))</f>
        <v>0</v>
      </c>
      <c r="P117" s="64" t="n">
        <f aca="false">IF(AND($M117&gt;0,ISNUMBER(MATCH($F117,Lists!$A$2:$A$5,0)),ISNUMBER(MATCH($G117,Lists!$B$2:$B$7,0)),OR($H117="",$N117&gt;0),OR($I117="",$I117="NR",$O117&gt;0),IF(ISNUMBER($J117),AND($J117&gt;=0,$J117=INT($J117)),FALSE())),$J117,0)</f>
        <v>0</v>
      </c>
      <c r="Q117" s="64" t="n">
        <f aca="false">IF(AND($P117&gt;0,$O117&gt;0),$P117,0)</f>
        <v>0</v>
      </c>
      <c r="R117" s="64" t="n">
        <f aca="false">IF(AND($Q117&gt;0,$O117&gt;=AtRank),$Q117,0)</f>
        <v>0</v>
      </c>
      <c r="S117" s="64" t="n">
        <f aca="false">IF(AND($Q117&gt;0,$O117&gt;=AboveRank),$Q117,0)</f>
        <v>0</v>
      </c>
      <c r="T117" s="64" t="n">
        <f aca="false">IF($K117="Less",$P117,0)</f>
        <v>0</v>
      </c>
      <c r="U117" s="64" t="n">
        <f aca="false">IF($K117="Expected",$P117,0)</f>
        <v>0</v>
      </c>
      <c r="V117" s="64" t="n">
        <f aca="false">IF($K117="Better",$P117,0)</f>
        <v>0</v>
      </c>
      <c r="W117" s="64" t="n">
        <f aca="false">IF($K117="U – needs rule",$P117,0)</f>
        <v>0</v>
      </c>
      <c r="X117" s="64" t="n">
        <f aca="false">IF($K117="No Start (attainment only)",$P117,0)</f>
        <v>0</v>
      </c>
    </row>
    <row r="118" customFormat="false" ht="15" hidden="false" customHeight="false" outlineLevel="0" collapsed="false">
      <c r="A118" s="60"/>
      <c r="B118" s="61" t="str">
        <f aca="false">IF($M118=0,"",INDEX(Classes!$E$6:$E$420,$M118))</f>
        <v/>
      </c>
      <c r="C118" s="62" t="str">
        <f aca="false">IF($M118=0,"",INDEX(Classes!$H$6:$H$420,$M118))</f>
        <v/>
      </c>
      <c r="D118" s="61" t="str">
        <f aca="false">IF($M118=0,"",INDEX(Classes!$B$6:$B$420,$M118))</f>
        <v/>
      </c>
      <c r="E118" s="61" t="str">
        <f aca="false">IF($M118=0,"",INDEX(Classes!$C$6:$C$420,$M118))</f>
        <v/>
      </c>
      <c r="F118" s="63"/>
      <c r="G118" s="63"/>
      <c r="H118" s="60"/>
      <c r="I118" s="60"/>
      <c r="J118" s="63"/>
      <c r="K118" s="61" t="str">
        <f aca="false">IF($P118=0,"",IF($F118="Baseline","— Baseline",IF($O118=0,"No result",IF($N118=0,"No Start (attainment only)",IF(OR($N118=1,$O118=1),"U – needs rule",INDEX(MxBody,MATCH($I118,MxCurr,0),MATCH($H118,MxStart,0)))))))</f>
        <v/>
      </c>
      <c r="L118" s="62" t="str">
        <f aca="false">IF(COUNTA($A118,$F118,$G118,$H118,$I118,$J118)=0,"",IF($M118=0,"✖ كود الصف غير موجود",IF(ISNA(MATCH($F118,Lists!$A$2:$A$5,0)),"✖ الفترة غير صحيحة",IF(ISNA(MATCH($G118,Lists!$B$2:$B$7,0)),"✖ المجموعة غير صحيحة",IF(NOT(OR($H118="",$N118&gt;0)),"✖ Start غير صحيح",IF(NOT(OR($I118="",$I118="NR",$O118&gt;0)),"✖ Current غير صحيح",IF(NOT(IF(ISNUMBER($J118),AND($J118&gt;=0,$J118=INT($J118)),FALSE())),"✖ العدد يجب أن يكون صحيحًا ≥ 0",IF(AND($F118="Baseline",$H118&lt;&gt;""),"⚠ Baseline: Start لا يدخل في التقدم",IF($K118="No Start (attainment only)","ℹ تحصيل فقط (بدون Start)",IF($K118="U – needs rule","ℹ حالة U تحتاج قاعدة معتمدة",IF($K118="No result","ℹ بدون نتيجة (يُستبعد من التحصيل)","OK")))))))))))</f>
        <v/>
      </c>
      <c r="M118" s="64" t="n">
        <f aca="false">IF($A118="",0,IFERROR(MATCH($A118,Classes!$A$6:$A$420,0),0))</f>
        <v>0</v>
      </c>
      <c r="N118" s="64" t="n">
        <f aca="false">IF($H118="",0,IFERROR(MATCH($H118,GradeList,0),0))</f>
        <v>0</v>
      </c>
      <c r="O118" s="64" t="n">
        <f aca="false">IF(OR($I118="",$I118="NR"),0,IFERROR(MATCH($I118,GradeList,0),0))</f>
        <v>0</v>
      </c>
      <c r="P118" s="64" t="n">
        <f aca="false">IF(AND($M118&gt;0,ISNUMBER(MATCH($F118,Lists!$A$2:$A$5,0)),ISNUMBER(MATCH($G118,Lists!$B$2:$B$7,0)),OR($H118="",$N118&gt;0),OR($I118="",$I118="NR",$O118&gt;0),IF(ISNUMBER($J118),AND($J118&gt;=0,$J118=INT($J118)),FALSE())),$J118,0)</f>
        <v>0</v>
      </c>
      <c r="Q118" s="64" t="n">
        <f aca="false">IF(AND($P118&gt;0,$O118&gt;0),$P118,0)</f>
        <v>0</v>
      </c>
      <c r="R118" s="64" t="n">
        <f aca="false">IF(AND($Q118&gt;0,$O118&gt;=AtRank),$Q118,0)</f>
        <v>0</v>
      </c>
      <c r="S118" s="64" t="n">
        <f aca="false">IF(AND($Q118&gt;0,$O118&gt;=AboveRank),$Q118,0)</f>
        <v>0</v>
      </c>
      <c r="T118" s="64" t="n">
        <f aca="false">IF($K118="Less",$P118,0)</f>
        <v>0</v>
      </c>
      <c r="U118" s="64" t="n">
        <f aca="false">IF($K118="Expected",$P118,0)</f>
        <v>0</v>
      </c>
      <c r="V118" s="64" t="n">
        <f aca="false">IF($K118="Better",$P118,0)</f>
        <v>0</v>
      </c>
      <c r="W118" s="64" t="n">
        <f aca="false">IF($K118="U – needs rule",$P118,0)</f>
        <v>0</v>
      </c>
      <c r="X118" s="64" t="n">
        <f aca="false">IF($K118="No Start (attainment only)",$P118,0)</f>
        <v>0</v>
      </c>
    </row>
    <row r="119" customFormat="false" ht="15" hidden="false" customHeight="false" outlineLevel="0" collapsed="false">
      <c r="A119" s="60"/>
      <c r="B119" s="61" t="str">
        <f aca="false">IF($M119=0,"",INDEX(Classes!$E$6:$E$420,$M119))</f>
        <v/>
      </c>
      <c r="C119" s="62" t="str">
        <f aca="false">IF($M119=0,"",INDEX(Classes!$H$6:$H$420,$M119))</f>
        <v/>
      </c>
      <c r="D119" s="61" t="str">
        <f aca="false">IF($M119=0,"",INDEX(Classes!$B$6:$B$420,$M119))</f>
        <v/>
      </c>
      <c r="E119" s="61" t="str">
        <f aca="false">IF($M119=0,"",INDEX(Classes!$C$6:$C$420,$M119))</f>
        <v/>
      </c>
      <c r="F119" s="63"/>
      <c r="G119" s="63"/>
      <c r="H119" s="60"/>
      <c r="I119" s="60"/>
      <c r="J119" s="63"/>
      <c r="K119" s="61" t="str">
        <f aca="false">IF($P119=0,"",IF($F119="Baseline","— Baseline",IF($O119=0,"No result",IF($N119=0,"No Start (attainment only)",IF(OR($N119=1,$O119=1),"U – needs rule",INDEX(MxBody,MATCH($I119,MxCurr,0),MATCH($H119,MxStart,0)))))))</f>
        <v/>
      </c>
      <c r="L119" s="62" t="str">
        <f aca="false">IF(COUNTA($A119,$F119,$G119,$H119,$I119,$J119)=0,"",IF($M119=0,"✖ كود الصف غير موجود",IF(ISNA(MATCH($F119,Lists!$A$2:$A$5,0)),"✖ الفترة غير صحيحة",IF(ISNA(MATCH($G119,Lists!$B$2:$B$7,0)),"✖ المجموعة غير صحيحة",IF(NOT(OR($H119="",$N119&gt;0)),"✖ Start غير صحيح",IF(NOT(OR($I119="",$I119="NR",$O119&gt;0)),"✖ Current غير صحيح",IF(NOT(IF(ISNUMBER($J119),AND($J119&gt;=0,$J119=INT($J119)),FALSE())),"✖ العدد يجب أن يكون صحيحًا ≥ 0",IF(AND($F119="Baseline",$H119&lt;&gt;""),"⚠ Baseline: Start لا يدخل في التقدم",IF($K119="No Start (attainment only)","ℹ تحصيل فقط (بدون Start)",IF($K119="U – needs rule","ℹ حالة U تحتاج قاعدة معتمدة",IF($K119="No result","ℹ بدون نتيجة (يُستبعد من التحصيل)","OK")))))))))))</f>
        <v/>
      </c>
      <c r="M119" s="64" t="n">
        <f aca="false">IF($A119="",0,IFERROR(MATCH($A119,Classes!$A$6:$A$420,0),0))</f>
        <v>0</v>
      </c>
      <c r="N119" s="64" t="n">
        <f aca="false">IF($H119="",0,IFERROR(MATCH($H119,GradeList,0),0))</f>
        <v>0</v>
      </c>
      <c r="O119" s="64" t="n">
        <f aca="false">IF(OR($I119="",$I119="NR"),0,IFERROR(MATCH($I119,GradeList,0),0))</f>
        <v>0</v>
      </c>
      <c r="P119" s="64" t="n">
        <f aca="false">IF(AND($M119&gt;0,ISNUMBER(MATCH($F119,Lists!$A$2:$A$5,0)),ISNUMBER(MATCH($G119,Lists!$B$2:$B$7,0)),OR($H119="",$N119&gt;0),OR($I119="",$I119="NR",$O119&gt;0),IF(ISNUMBER($J119),AND($J119&gt;=0,$J119=INT($J119)),FALSE())),$J119,0)</f>
        <v>0</v>
      </c>
      <c r="Q119" s="64" t="n">
        <f aca="false">IF(AND($P119&gt;0,$O119&gt;0),$P119,0)</f>
        <v>0</v>
      </c>
      <c r="R119" s="64" t="n">
        <f aca="false">IF(AND($Q119&gt;0,$O119&gt;=AtRank),$Q119,0)</f>
        <v>0</v>
      </c>
      <c r="S119" s="64" t="n">
        <f aca="false">IF(AND($Q119&gt;0,$O119&gt;=AboveRank),$Q119,0)</f>
        <v>0</v>
      </c>
      <c r="T119" s="64" t="n">
        <f aca="false">IF($K119="Less",$P119,0)</f>
        <v>0</v>
      </c>
      <c r="U119" s="64" t="n">
        <f aca="false">IF($K119="Expected",$P119,0)</f>
        <v>0</v>
      </c>
      <c r="V119" s="64" t="n">
        <f aca="false">IF($K119="Better",$P119,0)</f>
        <v>0</v>
      </c>
      <c r="W119" s="64" t="n">
        <f aca="false">IF($K119="U – needs rule",$P119,0)</f>
        <v>0</v>
      </c>
      <c r="X119" s="64" t="n">
        <f aca="false">IF($K119="No Start (attainment only)",$P119,0)</f>
        <v>0</v>
      </c>
    </row>
    <row r="120" customFormat="false" ht="15" hidden="false" customHeight="false" outlineLevel="0" collapsed="false">
      <c r="A120" s="60"/>
      <c r="B120" s="61" t="str">
        <f aca="false">IF($M120=0,"",INDEX(Classes!$E$6:$E$420,$M120))</f>
        <v/>
      </c>
      <c r="C120" s="62" t="str">
        <f aca="false">IF($M120=0,"",INDEX(Classes!$H$6:$H$420,$M120))</f>
        <v/>
      </c>
      <c r="D120" s="61" t="str">
        <f aca="false">IF($M120=0,"",INDEX(Classes!$B$6:$B$420,$M120))</f>
        <v/>
      </c>
      <c r="E120" s="61" t="str">
        <f aca="false">IF($M120=0,"",INDEX(Classes!$C$6:$C$420,$M120))</f>
        <v/>
      </c>
      <c r="F120" s="63"/>
      <c r="G120" s="63"/>
      <c r="H120" s="60"/>
      <c r="I120" s="60"/>
      <c r="J120" s="63"/>
      <c r="K120" s="61" t="str">
        <f aca="false">IF($P120=0,"",IF($F120="Baseline","— Baseline",IF($O120=0,"No result",IF($N120=0,"No Start (attainment only)",IF(OR($N120=1,$O120=1),"U – needs rule",INDEX(MxBody,MATCH($I120,MxCurr,0),MATCH($H120,MxStart,0)))))))</f>
        <v/>
      </c>
      <c r="L120" s="62" t="str">
        <f aca="false">IF(COUNTA($A120,$F120,$G120,$H120,$I120,$J120)=0,"",IF($M120=0,"✖ كود الصف غير موجود",IF(ISNA(MATCH($F120,Lists!$A$2:$A$5,0)),"✖ الفترة غير صحيحة",IF(ISNA(MATCH($G120,Lists!$B$2:$B$7,0)),"✖ المجموعة غير صحيحة",IF(NOT(OR($H120="",$N120&gt;0)),"✖ Start غير صحيح",IF(NOT(OR($I120="",$I120="NR",$O120&gt;0)),"✖ Current غير صحيح",IF(NOT(IF(ISNUMBER($J120),AND($J120&gt;=0,$J120=INT($J120)),FALSE())),"✖ العدد يجب أن يكون صحيحًا ≥ 0",IF(AND($F120="Baseline",$H120&lt;&gt;""),"⚠ Baseline: Start لا يدخل في التقدم",IF($K120="No Start (attainment only)","ℹ تحصيل فقط (بدون Start)",IF($K120="U – needs rule","ℹ حالة U تحتاج قاعدة معتمدة",IF($K120="No result","ℹ بدون نتيجة (يُستبعد من التحصيل)","OK")))))))))))</f>
        <v/>
      </c>
      <c r="M120" s="64" t="n">
        <f aca="false">IF($A120="",0,IFERROR(MATCH($A120,Classes!$A$6:$A$420,0),0))</f>
        <v>0</v>
      </c>
      <c r="N120" s="64" t="n">
        <f aca="false">IF($H120="",0,IFERROR(MATCH($H120,GradeList,0),0))</f>
        <v>0</v>
      </c>
      <c r="O120" s="64" t="n">
        <f aca="false">IF(OR($I120="",$I120="NR"),0,IFERROR(MATCH($I120,GradeList,0),0))</f>
        <v>0</v>
      </c>
      <c r="P120" s="64" t="n">
        <f aca="false">IF(AND($M120&gt;0,ISNUMBER(MATCH($F120,Lists!$A$2:$A$5,0)),ISNUMBER(MATCH($G120,Lists!$B$2:$B$7,0)),OR($H120="",$N120&gt;0),OR($I120="",$I120="NR",$O120&gt;0),IF(ISNUMBER($J120),AND($J120&gt;=0,$J120=INT($J120)),FALSE())),$J120,0)</f>
        <v>0</v>
      </c>
      <c r="Q120" s="64" t="n">
        <f aca="false">IF(AND($P120&gt;0,$O120&gt;0),$P120,0)</f>
        <v>0</v>
      </c>
      <c r="R120" s="64" t="n">
        <f aca="false">IF(AND($Q120&gt;0,$O120&gt;=AtRank),$Q120,0)</f>
        <v>0</v>
      </c>
      <c r="S120" s="64" t="n">
        <f aca="false">IF(AND($Q120&gt;0,$O120&gt;=AboveRank),$Q120,0)</f>
        <v>0</v>
      </c>
      <c r="T120" s="64" t="n">
        <f aca="false">IF($K120="Less",$P120,0)</f>
        <v>0</v>
      </c>
      <c r="U120" s="64" t="n">
        <f aca="false">IF($K120="Expected",$P120,0)</f>
        <v>0</v>
      </c>
      <c r="V120" s="64" t="n">
        <f aca="false">IF($K120="Better",$P120,0)</f>
        <v>0</v>
      </c>
      <c r="W120" s="64" t="n">
        <f aca="false">IF($K120="U – needs rule",$P120,0)</f>
        <v>0</v>
      </c>
      <c r="X120" s="64" t="n">
        <f aca="false">IF($K120="No Start (attainment only)",$P120,0)</f>
        <v>0</v>
      </c>
    </row>
    <row r="121" customFormat="false" ht="15" hidden="false" customHeight="false" outlineLevel="0" collapsed="false">
      <c r="A121" s="60"/>
      <c r="B121" s="61" t="str">
        <f aca="false">IF($M121=0,"",INDEX(Classes!$E$6:$E$420,$M121))</f>
        <v/>
      </c>
      <c r="C121" s="62" t="str">
        <f aca="false">IF($M121=0,"",INDEX(Classes!$H$6:$H$420,$M121))</f>
        <v/>
      </c>
      <c r="D121" s="61" t="str">
        <f aca="false">IF($M121=0,"",INDEX(Classes!$B$6:$B$420,$M121))</f>
        <v/>
      </c>
      <c r="E121" s="61" t="str">
        <f aca="false">IF($M121=0,"",INDEX(Classes!$C$6:$C$420,$M121))</f>
        <v/>
      </c>
      <c r="F121" s="63"/>
      <c r="G121" s="63"/>
      <c r="H121" s="60"/>
      <c r="I121" s="60"/>
      <c r="J121" s="63"/>
      <c r="K121" s="61" t="str">
        <f aca="false">IF($P121=0,"",IF($F121="Baseline","— Baseline",IF($O121=0,"No result",IF($N121=0,"No Start (attainment only)",IF(OR($N121=1,$O121=1),"U – needs rule",INDEX(MxBody,MATCH($I121,MxCurr,0),MATCH($H121,MxStart,0)))))))</f>
        <v/>
      </c>
      <c r="L121" s="62" t="str">
        <f aca="false">IF(COUNTA($A121,$F121,$G121,$H121,$I121,$J121)=0,"",IF($M121=0,"✖ كود الصف غير موجود",IF(ISNA(MATCH($F121,Lists!$A$2:$A$5,0)),"✖ الفترة غير صحيحة",IF(ISNA(MATCH($G121,Lists!$B$2:$B$7,0)),"✖ المجموعة غير صحيحة",IF(NOT(OR($H121="",$N121&gt;0)),"✖ Start غير صحيح",IF(NOT(OR($I121="",$I121="NR",$O121&gt;0)),"✖ Current غير صحيح",IF(NOT(IF(ISNUMBER($J121),AND($J121&gt;=0,$J121=INT($J121)),FALSE())),"✖ العدد يجب أن يكون صحيحًا ≥ 0",IF(AND($F121="Baseline",$H121&lt;&gt;""),"⚠ Baseline: Start لا يدخل في التقدم",IF($K121="No Start (attainment only)","ℹ تحصيل فقط (بدون Start)",IF($K121="U – needs rule","ℹ حالة U تحتاج قاعدة معتمدة",IF($K121="No result","ℹ بدون نتيجة (يُستبعد من التحصيل)","OK")))))))))))</f>
        <v/>
      </c>
      <c r="M121" s="64" t="n">
        <f aca="false">IF($A121="",0,IFERROR(MATCH($A121,Classes!$A$6:$A$420,0),0))</f>
        <v>0</v>
      </c>
      <c r="N121" s="64" t="n">
        <f aca="false">IF($H121="",0,IFERROR(MATCH($H121,GradeList,0),0))</f>
        <v>0</v>
      </c>
      <c r="O121" s="64" t="n">
        <f aca="false">IF(OR($I121="",$I121="NR"),0,IFERROR(MATCH($I121,GradeList,0),0))</f>
        <v>0</v>
      </c>
      <c r="P121" s="64" t="n">
        <f aca="false">IF(AND($M121&gt;0,ISNUMBER(MATCH($F121,Lists!$A$2:$A$5,0)),ISNUMBER(MATCH($G121,Lists!$B$2:$B$7,0)),OR($H121="",$N121&gt;0),OR($I121="",$I121="NR",$O121&gt;0),IF(ISNUMBER($J121),AND($J121&gt;=0,$J121=INT($J121)),FALSE())),$J121,0)</f>
        <v>0</v>
      </c>
      <c r="Q121" s="64" t="n">
        <f aca="false">IF(AND($P121&gt;0,$O121&gt;0),$P121,0)</f>
        <v>0</v>
      </c>
      <c r="R121" s="64" t="n">
        <f aca="false">IF(AND($Q121&gt;0,$O121&gt;=AtRank),$Q121,0)</f>
        <v>0</v>
      </c>
      <c r="S121" s="64" t="n">
        <f aca="false">IF(AND($Q121&gt;0,$O121&gt;=AboveRank),$Q121,0)</f>
        <v>0</v>
      </c>
      <c r="T121" s="64" t="n">
        <f aca="false">IF($K121="Less",$P121,0)</f>
        <v>0</v>
      </c>
      <c r="U121" s="64" t="n">
        <f aca="false">IF($K121="Expected",$P121,0)</f>
        <v>0</v>
      </c>
      <c r="V121" s="64" t="n">
        <f aca="false">IF($K121="Better",$P121,0)</f>
        <v>0</v>
      </c>
      <c r="W121" s="64" t="n">
        <f aca="false">IF($K121="U – needs rule",$P121,0)</f>
        <v>0</v>
      </c>
      <c r="X121" s="64" t="n">
        <f aca="false">IF($K121="No Start (attainment only)",$P121,0)</f>
        <v>0</v>
      </c>
    </row>
    <row r="122" customFormat="false" ht="15" hidden="false" customHeight="false" outlineLevel="0" collapsed="false">
      <c r="A122" s="60"/>
      <c r="B122" s="61" t="str">
        <f aca="false">IF($M122=0,"",INDEX(Classes!$E$6:$E$420,$M122))</f>
        <v/>
      </c>
      <c r="C122" s="62" t="str">
        <f aca="false">IF($M122=0,"",INDEX(Classes!$H$6:$H$420,$M122))</f>
        <v/>
      </c>
      <c r="D122" s="61" t="str">
        <f aca="false">IF($M122=0,"",INDEX(Classes!$B$6:$B$420,$M122))</f>
        <v/>
      </c>
      <c r="E122" s="61" t="str">
        <f aca="false">IF($M122=0,"",INDEX(Classes!$C$6:$C$420,$M122))</f>
        <v/>
      </c>
      <c r="F122" s="63"/>
      <c r="G122" s="63"/>
      <c r="H122" s="60"/>
      <c r="I122" s="60"/>
      <c r="J122" s="63"/>
      <c r="K122" s="61" t="str">
        <f aca="false">IF($P122=0,"",IF($F122="Baseline","— Baseline",IF($O122=0,"No result",IF($N122=0,"No Start (attainment only)",IF(OR($N122=1,$O122=1),"U – needs rule",INDEX(MxBody,MATCH($I122,MxCurr,0),MATCH($H122,MxStart,0)))))))</f>
        <v/>
      </c>
      <c r="L122" s="62" t="str">
        <f aca="false">IF(COUNTA($A122,$F122,$G122,$H122,$I122,$J122)=0,"",IF($M122=0,"✖ كود الصف غير موجود",IF(ISNA(MATCH($F122,Lists!$A$2:$A$5,0)),"✖ الفترة غير صحيحة",IF(ISNA(MATCH($G122,Lists!$B$2:$B$7,0)),"✖ المجموعة غير صحيحة",IF(NOT(OR($H122="",$N122&gt;0)),"✖ Start غير صحيح",IF(NOT(OR($I122="",$I122="NR",$O122&gt;0)),"✖ Current غير صحيح",IF(NOT(IF(ISNUMBER($J122),AND($J122&gt;=0,$J122=INT($J122)),FALSE())),"✖ العدد يجب أن يكون صحيحًا ≥ 0",IF(AND($F122="Baseline",$H122&lt;&gt;""),"⚠ Baseline: Start لا يدخل في التقدم",IF($K122="No Start (attainment only)","ℹ تحصيل فقط (بدون Start)",IF($K122="U – needs rule","ℹ حالة U تحتاج قاعدة معتمدة",IF($K122="No result","ℹ بدون نتيجة (يُستبعد من التحصيل)","OK")))))))))))</f>
        <v/>
      </c>
      <c r="M122" s="64" t="n">
        <f aca="false">IF($A122="",0,IFERROR(MATCH($A122,Classes!$A$6:$A$420,0),0))</f>
        <v>0</v>
      </c>
      <c r="N122" s="64" t="n">
        <f aca="false">IF($H122="",0,IFERROR(MATCH($H122,GradeList,0),0))</f>
        <v>0</v>
      </c>
      <c r="O122" s="64" t="n">
        <f aca="false">IF(OR($I122="",$I122="NR"),0,IFERROR(MATCH($I122,GradeList,0),0))</f>
        <v>0</v>
      </c>
      <c r="P122" s="64" t="n">
        <f aca="false">IF(AND($M122&gt;0,ISNUMBER(MATCH($F122,Lists!$A$2:$A$5,0)),ISNUMBER(MATCH($G122,Lists!$B$2:$B$7,0)),OR($H122="",$N122&gt;0),OR($I122="",$I122="NR",$O122&gt;0),IF(ISNUMBER($J122),AND($J122&gt;=0,$J122=INT($J122)),FALSE())),$J122,0)</f>
        <v>0</v>
      </c>
      <c r="Q122" s="64" t="n">
        <f aca="false">IF(AND($P122&gt;0,$O122&gt;0),$P122,0)</f>
        <v>0</v>
      </c>
      <c r="R122" s="64" t="n">
        <f aca="false">IF(AND($Q122&gt;0,$O122&gt;=AtRank),$Q122,0)</f>
        <v>0</v>
      </c>
      <c r="S122" s="64" t="n">
        <f aca="false">IF(AND($Q122&gt;0,$O122&gt;=AboveRank),$Q122,0)</f>
        <v>0</v>
      </c>
      <c r="T122" s="64" t="n">
        <f aca="false">IF($K122="Less",$P122,0)</f>
        <v>0</v>
      </c>
      <c r="U122" s="64" t="n">
        <f aca="false">IF($K122="Expected",$P122,0)</f>
        <v>0</v>
      </c>
      <c r="V122" s="64" t="n">
        <f aca="false">IF($K122="Better",$P122,0)</f>
        <v>0</v>
      </c>
      <c r="W122" s="64" t="n">
        <f aca="false">IF($K122="U – needs rule",$P122,0)</f>
        <v>0</v>
      </c>
      <c r="X122" s="64" t="n">
        <f aca="false">IF($K122="No Start (attainment only)",$P122,0)</f>
        <v>0</v>
      </c>
    </row>
    <row r="123" customFormat="false" ht="15" hidden="false" customHeight="false" outlineLevel="0" collapsed="false">
      <c r="A123" s="60"/>
      <c r="B123" s="61" t="str">
        <f aca="false">IF($M123=0,"",INDEX(Classes!$E$6:$E$420,$M123))</f>
        <v/>
      </c>
      <c r="C123" s="62" t="str">
        <f aca="false">IF($M123=0,"",INDEX(Classes!$H$6:$H$420,$M123))</f>
        <v/>
      </c>
      <c r="D123" s="61" t="str">
        <f aca="false">IF($M123=0,"",INDEX(Classes!$B$6:$B$420,$M123))</f>
        <v/>
      </c>
      <c r="E123" s="61" t="str">
        <f aca="false">IF($M123=0,"",INDEX(Classes!$C$6:$C$420,$M123))</f>
        <v/>
      </c>
      <c r="F123" s="63"/>
      <c r="G123" s="63"/>
      <c r="H123" s="60"/>
      <c r="I123" s="60"/>
      <c r="J123" s="63"/>
      <c r="K123" s="61" t="str">
        <f aca="false">IF($P123=0,"",IF($F123="Baseline","— Baseline",IF($O123=0,"No result",IF($N123=0,"No Start (attainment only)",IF(OR($N123=1,$O123=1),"U – needs rule",INDEX(MxBody,MATCH($I123,MxCurr,0),MATCH($H123,MxStart,0)))))))</f>
        <v/>
      </c>
      <c r="L123" s="62" t="str">
        <f aca="false">IF(COUNTA($A123,$F123,$G123,$H123,$I123,$J123)=0,"",IF($M123=0,"✖ كود الصف غير موجود",IF(ISNA(MATCH($F123,Lists!$A$2:$A$5,0)),"✖ الفترة غير صحيحة",IF(ISNA(MATCH($G123,Lists!$B$2:$B$7,0)),"✖ المجموعة غير صحيحة",IF(NOT(OR($H123="",$N123&gt;0)),"✖ Start غير صحيح",IF(NOT(OR($I123="",$I123="NR",$O123&gt;0)),"✖ Current غير صحيح",IF(NOT(IF(ISNUMBER($J123),AND($J123&gt;=0,$J123=INT($J123)),FALSE())),"✖ العدد يجب أن يكون صحيحًا ≥ 0",IF(AND($F123="Baseline",$H123&lt;&gt;""),"⚠ Baseline: Start لا يدخل في التقدم",IF($K123="No Start (attainment only)","ℹ تحصيل فقط (بدون Start)",IF($K123="U – needs rule","ℹ حالة U تحتاج قاعدة معتمدة",IF($K123="No result","ℹ بدون نتيجة (يُستبعد من التحصيل)","OK")))))))))))</f>
        <v/>
      </c>
      <c r="M123" s="64" t="n">
        <f aca="false">IF($A123="",0,IFERROR(MATCH($A123,Classes!$A$6:$A$420,0),0))</f>
        <v>0</v>
      </c>
      <c r="N123" s="64" t="n">
        <f aca="false">IF($H123="",0,IFERROR(MATCH($H123,GradeList,0),0))</f>
        <v>0</v>
      </c>
      <c r="O123" s="64" t="n">
        <f aca="false">IF(OR($I123="",$I123="NR"),0,IFERROR(MATCH($I123,GradeList,0),0))</f>
        <v>0</v>
      </c>
      <c r="P123" s="64" t="n">
        <f aca="false">IF(AND($M123&gt;0,ISNUMBER(MATCH($F123,Lists!$A$2:$A$5,0)),ISNUMBER(MATCH($G123,Lists!$B$2:$B$7,0)),OR($H123="",$N123&gt;0),OR($I123="",$I123="NR",$O123&gt;0),IF(ISNUMBER($J123),AND($J123&gt;=0,$J123=INT($J123)),FALSE())),$J123,0)</f>
        <v>0</v>
      </c>
      <c r="Q123" s="64" t="n">
        <f aca="false">IF(AND($P123&gt;0,$O123&gt;0),$P123,0)</f>
        <v>0</v>
      </c>
      <c r="R123" s="64" t="n">
        <f aca="false">IF(AND($Q123&gt;0,$O123&gt;=AtRank),$Q123,0)</f>
        <v>0</v>
      </c>
      <c r="S123" s="64" t="n">
        <f aca="false">IF(AND($Q123&gt;0,$O123&gt;=AboveRank),$Q123,0)</f>
        <v>0</v>
      </c>
      <c r="T123" s="64" t="n">
        <f aca="false">IF($K123="Less",$P123,0)</f>
        <v>0</v>
      </c>
      <c r="U123" s="64" t="n">
        <f aca="false">IF($K123="Expected",$P123,0)</f>
        <v>0</v>
      </c>
      <c r="V123" s="64" t="n">
        <f aca="false">IF($K123="Better",$P123,0)</f>
        <v>0</v>
      </c>
      <c r="W123" s="64" t="n">
        <f aca="false">IF($K123="U – needs rule",$P123,0)</f>
        <v>0</v>
      </c>
      <c r="X123" s="64" t="n">
        <f aca="false">IF($K123="No Start (attainment only)",$P123,0)</f>
        <v>0</v>
      </c>
    </row>
    <row r="124" customFormat="false" ht="15" hidden="false" customHeight="false" outlineLevel="0" collapsed="false">
      <c r="A124" s="60"/>
      <c r="B124" s="61" t="str">
        <f aca="false">IF($M124=0,"",INDEX(Classes!$E$6:$E$420,$M124))</f>
        <v/>
      </c>
      <c r="C124" s="62" t="str">
        <f aca="false">IF($M124=0,"",INDEX(Classes!$H$6:$H$420,$M124))</f>
        <v/>
      </c>
      <c r="D124" s="61" t="str">
        <f aca="false">IF($M124=0,"",INDEX(Classes!$B$6:$B$420,$M124))</f>
        <v/>
      </c>
      <c r="E124" s="61" t="str">
        <f aca="false">IF($M124=0,"",INDEX(Classes!$C$6:$C$420,$M124))</f>
        <v/>
      </c>
      <c r="F124" s="63"/>
      <c r="G124" s="63"/>
      <c r="H124" s="60"/>
      <c r="I124" s="60"/>
      <c r="J124" s="63"/>
      <c r="K124" s="61" t="str">
        <f aca="false">IF($P124=0,"",IF($F124="Baseline","— Baseline",IF($O124=0,"No result",IF($N124=0,"No Start (attainment only)",IF(OR($N124=1,$O124=1),"U – needs rule",INDEX(MxBody,MATCH($I124,MxCurr,0),MATCH($H124,MxStart,0)))))))</f>
        <v/>
      </c>
      <c r="L124" s="62" t="str">
        <f aca="false">IF(COUNTA($A124,$F124,$G124,$H124,$I124,$J124)=0,"",IF($M124=0,"✖ كود الصف غير موجود",IF(ISNA(MATCH($F124,Lists!$A$2:$A$5,0)),"✖ الفترة غير صحيحة",IF(ISNA(MATCH($G124,Lists!$B$2:$B$7,0)),"✖ المجموعة غير صحيحة",IF(NOT(OR($H124="",$N124&gt;0)),"✖ Start غير صحيح",IF(NOT(OR($I124="",$I124="NR",$O124&gt;0)),"✖ Current غير صحيح",IF(NOT(IF(ISNUMBER($J124),AND($J124&gt;=0,$J124=INT($J124)),FALSE())),"✖ العدد يجب أن يكون صحيحًا ≥ 0",IF(AND($F124="Baseline",$H124&lt;&gt;""),"⚠ Baseline: Start لا يدخل في التقدم",IF($K124="No Start (attainment only)","ℹ تحصيل فقط (بدون Start)",IF($K124="U – needs rule","ℹ حالة U تحتاج قاعدة معتمدة",IF($K124="No result","ℹ بدون نتيجة (يُستبعد من التحصيل)","OK")))))))))))</f>
        <v/>
      </c>
      <c r="M124" s="64" t="n">
        <f aca="false">IF($A124="",0,IFERROR(MATCH($A124,Classes!$A$6:$A$420,0),0))</f>
        <v>0</v>
      </c>
      <c r="N124" s="64" t="n">
        <f aca="false">IF($H124="",0,IFERROR(MATCH($H124,GradeList,0),0))</f>
        <v>0</v>
      </c>
      <c r="O124" s="64" t="n">
        <f aca="false">IF(OR($I124="",$I124="NR"),0,IFERROR(MATCH($I124,GradeList,0),0))</f>
        <v>0</v>
      </c>
      <c r="P124" s="64" t="n">
        <f aca="false">IF(AND($M124&gt;0,ISNUMBER(MATCH($F124,Lists!$A$2:$A$5,0)),ISNUMBER(MATCH($G124,Lists!$B$2:$B$7,0)),OR($H124="",$N124&gt;0),OR($I124="",$I124="NR",$O124&gt;0),IF(ISNUMBER($J124),AND($J124&gt;=0,$J124=INT($J124)),FALSE())),$J124,0)</f>
        <v>0</v>
      </c>
      <c r="Q124" s="64" t="n">
        <f aca="false">IF(AND($P124&gt;0,$O124&gt;0),$P124,0)</f>
        <v>0</v>
      </c>
      <c r="R124" s="64" t="n">
        <f aca="false">IF(AND($Q124&gt;0,$O124&gt;=AtRank),$Q124,0)</f>
        <v>0</v>
      </c>
      <c r="S124" s="64" t="n">
        <f aca="false">IF(AND($Q124&gt;0,$O124&gt;=AboveRank),$Q124,0)</f>
        <v>0</v>
      </c>
      <c r="T124" s="64" t="n">
        <f aca="false">IF($K124="Less",$P124,0)</f>
        <v>0</v>
      </c>
      <c r="U124" s="64" t="n">
        <f aca="false">IF($K124="Expected",$P124,0)</f>
        <v>0</v>
      </c>
      <c r="V124" s="64" t="n">
        <f aca="false">IF($K124="Better",$P124,0)</f>
        <v>0</v>
      </c>
      <c r="W124" s="64" t="n">
        <f aca="false">IF($K124="U – needs rule",$P124,0)</f>
        <v>0</v>
      </c>
      <c r="X124" s="64" t="n">
        <f aca="false">IF($K124="No Start (attainment only)",$P124,0)</f>
        <v>0</v>
      </c>
    </row>
    <row r="125" customFormat="false" ht="15" hidden="false" customHeight="false" outlineLevel="0" collapsed="false">
      <c r="A125" s="60"/>
      <c r="B125" s="61" t="str">
        <f aca="false">IF($M125=0,"",INDEX(Classes!$E$6:$E$420,$M125))</f>
        <v/>
      </c>
      <c r="C125" s="62" t="str">
        <f aca="false">IF($M125=0,"",INDEX(Classes!$H$6:$H$420,$M125))</f>
        <v/>
      </c>
      <c r="D125" s="61" t="str">
        <f aca="false">IF($M125=0,"",INDEX(Classes!$B$6:$B$420,$M125))</f>
        <v/>
      </c>
      <c r="E125" s="61" t="str">
        <f aca="false">IF($M125=0,"",INDEX(Classes!$C$6:$C$420,$M125))</f>
        <v/>
      </c>
      <c r="F125" s="63"/>
      <c r="G125" s="63"/>
      <c r="H125" s="60"/>
      <c r="I125" s="60"/>
      <c r="J125" s="63"/>
      <c r="K125" s="61" t="str">
        <f aca="false">IF($P125=0,"",IF($F125="Baseline","— Baseline",IF($O125=0,"No result",IF($N125=0,"No Start (attainment only)",IF(OR($N125=1,$O125=1),"U – needs rule",INDEX(MxBody,MATCH($I125,MxCurr,0),MATCH($H125,MxStart,0)))))))</f>
        <v/>
      </c>
      <c r="L125" s="62" t="str">
        <f aca="false">IF(COUNTA($A125,$F125,$G125,$H125,$I125,$J125)=0,"",IF($M125=0,"✖ كود الصف غير موجود",IF(ISNA(MATCH($F125,Lists!$A$2:$A$5,0)),"✖ الفترة غير صحيحة",IF(ISNA(MATCH($G125,Lists!$B$2:$B$7,0)),"✖ المجموعة غير صحيحة",IF(NOT(OR($H125="",$N125&gt;0)),"✖ Start غير صحيح",IF(NOT(OR($I125="",$I125="NR",$O125&gt;0)),"✖ Current غير صحيح",IF(NOT(IF(ISNUMBER($J125),AND($J125&gt;=0,$J125=INT($J125)),FALSE())),"✖ العدد يجب أن يكون صحيحًا ≥ 0",IF(AND($F125="Baseline",$H125&lt;&gt;""),"⚠ Baseline: Start لا يدخل في التقدم",IF($K125="No Start (attainment only)","ℹ تحصيل فقط (بدون Start)",IF($K125="U – needs rule","ℹ حالة U تحتاج قاعدة معتمدة",IF($K125="No result","ℹ بدون نتيجة (يُستبعد من التحصيل)","OK")))))))))))</f>
        <v/>
      </c>
      <c r="M125" s="64" t="n">
        <f aca="false">IF($A125="",0,IFERROR(MATCH($A125,Classes!$A$6:$A$420,0),0))</f>
        <v>0</v>
      </c>
      <c r="N125" s="64" t="n">
        <f aca="false">IF($H125="",0,IFERROR(MATCH($H125,GradeList,0),0))</f>
        <v>0</v>
      </c>
      <c r="O125" s="64" t="n">
        <f aca="false">IF(OR($I125="",$I125="NR"),0,IFERROR(MATCH($I125,GradeList,0),0))</f>
        <v>0</v>
      </c>
      <c r="P125" s="64" t="n">
        <f aca="false">IF(AND($M125&gt;0,ISNUMBER(MATCH($F125,Lists!$A$2:$A$5,0)),ISNUMBER(MATCH($G125,Lists!$B$2:$B$7,0)),OR($H125="",$N125&gt;0),OR($I125="",$I125="NR",$O125&gt;0),IF(ISNUMBER($J125),AND($J125&gt;=0,$J125=INT($J125)),FALSE())),$J125,0)</f>
        <v>0</v>
      </c>
      <c r="Q125" s="64" t="n">
        <f aca="false">IF(AND($P125&gt;0,$O125&gt;0),$P125,0)</f>
        <v>0</v>
      </c>
      <c r="R125" s="64" t="n">
        <f aca="false">IF(AND($Q125&gt;0,$O125&gt;=AtRank),$Q125,0)</f>
        <v>0</v>
      </c>
      <c r="S125" s="64" t="n">
        <f aca="false">IF(AND($Q125&gt;0,$O125&gt;=AboveRank),$Q125,0)</f>
        <v>0</v>
      </c>
      <c r="T125" s="64" t="n">
        <f aca="false">IF($K125="Less",$P125,0)</f>
        <v>0</v>
      </c>
      <c r="U125" s="64" t="n">
        <f aca="false">IF($K125="Expected",$P125,0)</f>
        <v>0</v>
      </c>
      <c r="V125" s="64" t="n">
        <f aca="false">IF($K125="Better",$P125,0)</f>
        <v>0</v>
      </c>
      <c r="W125" s="64" t="n">
        <f aca="false">IF($K125="U – needs rule",$P125,0)</f>
        <v>0</v>
      </c>
      <c r="X125" s="64" t="n">
        <f aca="false">IF($K125="No Start (attainment only)",$P125,0)</f>
        <v>0</v>
      </c>
    </row>
    <row r="126" customFormat="false" ht="15" hidden="false" customHeight="false" outlineLevel="0" collapsed="false">
      <c r="A126" s="60"/>
      <c r="B126" s="61" t="str">
        <f aca="false">IF($M126=0,"",INDEX(Classes!$E$6:$E$420,$M126))</f>
        <v/>
      </c>
      <c r="C126" s="62" t="str">
        <f aca="false">IF($M126=0,"",INDEX(Classes!$H$6:$H$420,$M126))</f>
        <v/>
      </c>
      <c r="D126" s="61" t="str">
        <f aca="false">IF($M126=0,"",INDEX(Classes!$B$6:$B$420,$M126))</f>
        <v/>
      </c>
      <c r="E126" s="61" t="str">
        <f aca="false">IF($M126=0,"",INDEX(Classes!$C$6:$C$420,$M126))</f>
        <v/>
      </c>
      <c r="F126" s="63"/>
      <c r="G126" s="63"/>
      <c r="H126" s="60"/>
      <c r="I126" s="60"/>
      <c r="J126" s="63"/>
      <c r="K126" s="61" t="str">
        <f aca="false">IF($P126=0,"",IF($F126="Baseline","— Baseline",IF($O126=0,"No result",IF($N126=0,"No Start (attainment only)",IF(OR($N126=1,$O126=1),"U – needs rule",INDEX(MxBody,MATCH($I126,MxCurr,0),MATCH($H126,MxStart,0)))))))</f>
        <v/>
      </c>
      <c r="L126" s="62" t="str">
        <f aca="false">IF(COUNTA($A126,$F126,$G126,$H126,$I126,$J126)=0,"",IF($M126=0,"✖ كود الصف غير موجود",IF(ISNA(MATCH($F126,Lists!$A$2:$A$5,0)),"✖ الفترة غير صحيحة",IF(ISNA(MATCH($G126,Lists!$B$2:$B$7,0)),"✖ المجموعة غير صحيحة",IF(NOT(OR($H126="",$N126&gt;0)),"✖ Start غير صحيح",IF(NOT(OR($I126="",$I126="NR",$O126&gt;0)),"✖ Current غير صحيح",IF(NOT(IF(ISNUMBER($J126),AND($J126&gt;=0,$J126=INT($J126)),FALSE())),"✖ العدد يجب أن يكون صحيحًا ≥ 0",IF(AND($F126="Baseline",$H126&lt;&gt;""),"⚠ Baseline: Start لا يدخل في التقدم",IF($K126="No Start (attainment only)","ℹ تحصيل فقط (بدون Start)",IF($K126="U – needs rule","ℹ حالة U تحتاج قاعدة معتمدة",IF($K126="No result","ℹ بدون نتيجة (يُستبعد من التحصيل)","OK")))))))))))</f>
        <v/>
      </c>
      <c r="M126" s="64" t="n">
        <f aca="false">IF($A126="",0,IFERROR(MATCH($A126,Classes!$A$6:$A$420,0),0))</f>
        <v>0</v>
      </c>
      <c r="N126" s="64" t="n">
        <f aca="false">IF($H126="",0,IFERROR(MATCH($H126,GradeList,0),0))</f>
        <v>0</v>
      </c>
      <c r="O126" s="64" t="n">
        <f aca="false">IF(OR($I126="",$I126="NR"),0,IFERROR(MATCH($I126,GradeList,0),0))</f>
        <v>0</v>
      </c>
      <c r="P126" s="64" t="n">
        <f aca="false">IF(AND($M126&gt;0,ISNUMBER(MATCH($F126,Lists!$A$2:$A$5,0)),ISNUMBER(MATCH($G126,Lists!$B$2:$B$7,0)),OR($H126="",$N126&gt;0),OR($I126="",$I126="NR",$O126&gt;0),IF(ISNUMBER($J126),AND($J126&gt;=0,$J126=INT($J126)),FALSE())),$J126,0)</f>
        <v>0</v>
      </c>
      <c r="Q126" s="64" t="n">
        <f aca="false">IF(AND($P126&gt;0,$O126&gt;0),$P126,0)</f>
        <v>0</v>
      </c>
      <c r="R126" s="64" t="n">
        <f aca="false">IF(AND($Q126&gt;0,$O126&gt;=AtRank),$Q126,0)</f>
        <v>0</v>
      </c>
      <c r="S126" s="64" t="n">
        <f aca="false">IF(AND($Q126&gt;0,$O126&gt;=AboveRank),$Q126,0)</f>
        <v>0</v>
      </c>
      <c r="T126" s="64" t="n">
        <f aca="false">IF($K126="Less",$P126,0)</f>
        <v>0</v>
      </c>
      <c r="U126" s="64" t="n">
        <f aca="false">IF($K126="Expected",$P126,0)</f>
        <v>0</v>
      </c>
      <c r="V126" s="64" t="n">
        <f aca="false">IF($K126="Better",$P126,0)</f>
        <v>0</v>
      </c>
      <c r="W126" s="64" t="n">
        <f aca="false">IF($K126="U – needs rule",$P126,0)</f>
        <v>0</v>
      </c>
      <c r="X126" s="64" t="n">
        <f aca="false">IF($K126="No Start (attainment only)",$P126,0)</f>
        <v>0</v>
      </c>
    </row>
    <row r="127" customFormat="false" ht="15" hidden="false" customHeight="false" outlineLevel="0" collapsed="false">
      <c r="A127" s="60"/>
      <c r="B127" s="61" t="str">
        <f aca="false">IF($M127=0,"",INDEX(Classes!$E$6:$E$420,$M127))</f>
        <v/>
      </c>
      <c r="C127" s="62" t="str">
        <f aca="false">IF($M127=0,"",INDEX(Classes!$H$6:$H$420,$M127))</f>
        <v/>
      </c>
      <c r="D127" s="61" t="str">
        <f aca="false">IF($M127=0,"",INDEX(Classes!$B$6:$B$420,$M127))</f>
        <v/>
      </c>
      <c r="E127" s="61" t="str">
        <f aca="false">IF($M127=0,"",INDEX(Classes!$C$6:$C$420,$M127))</f>
        <v/>
      </c>
      <c r="F127" s="63"/>
      <c r="G127" s="63"/>
      <c r="H127" s="60"/>
      <c r="I127" s="60"/>
      <c r="J127" s="63"/>
      <c r="K127" s="61" t="str">
        <f aca="false">IF($P127=0,"",IF($F127="Baseline","— Baseline",IF($O127=0,"No result",IF($N127=0,"No Start (attainment only)",IF(OR($N127=1,$O127=1),"U – needs rule",INDEX(MxBody,MATCH($I127,MxCurr,0),MATCH($H127,MxStart,0)))))))</f>
        <v/>
      </c>
      <c r="L127" s="62" t="str">
        <f aca="false">IF(COUNTA($A127,$F127,$G127,$H127,$I127,$J127)=0,"",IF($M127=0,"✖ كود الصف غير موجود",IF(ISNA(MATCH($F127,Lists!$A$2:$A$5,0)),"✖ الفترة غير صحيحة",IF(ISNA(MATCH($G127,Lists!$B$2:$B$7,0)),"✖ المجموعة غير صحيحة",IF(NOT(OR($H127="",$N127&gt;0)),"✖ Start غير صحيح",IF(NOT(OR($I127="",$I127="NR",$O127&gt;0)),"✖ Current غير صحيح",IF(NOT(IF(ISNUMBER($J127),AND($J127&gt;=0,$J127=INT($J127)),FALSE())),"✖ العدد يجب أن يكون صحيحًا ≥ 0",IF(AND($F127="Baseline",$H127&lt;&gt;""),"⚠ Baseline: Start لا يدخل في التقدم",IF($K127="No Start (attainment only)","ℹ تحصيل فقط (بدون Start)",IF($K127="U – needs rule","ℹ حالة U تحتاج قاعدة معتمدة",IF($K127="No result","ℹ بدون نتيجة (يُستبعد من التحصيل)","OK")))))))))))</f>
        <v/>
      </c>
      <c r="M127" s="64" t="n">
        <f aca="false">IF($A127="",0,IFERROR(MATCH($A127,Classes!$A$6:$A$420,0),0))</f>
        <v>0</v>
      </c>
      <c r="N127" s="64" t="n">
        <f aca="false">IF($H127="",0,IFERROR(MATCH($H127,GradeList,0),0))</f>
        <v>0</v>
      </c>
      <c r="O127" s="64" t="n">
        <f aca="false">IF(OR($I127="",$I127="NR"),0,IFERROR(MATCH($I127,GradeList,0),0))</f>
        <v>0</v>
      </c>
      <c r="P127" s="64" t="n">
        <f aca="false">IF(AND($M127&gt;0,ISNUMBER(MATCH($F127,Lists!$A$2:$A$5,0)),ISNUMBER(MATCH($G127,Lists!$B$2:$B$7,0)),OR($H127="",$N127&gt;0),OR($I127="",$I127="NR",$O127&gt;0),IF(ISNUMBER($J127),AND($J127&gt;=0,$J127=INT($J127)),FALSE())),$J127,0)</f>
        <v>0</v>
      </c>
      <c r="Q127" s="64" t="n">
        <f aca="false">IF(AND($P127&gt;0,$O127&gt;0),$P127,0)</f>
        <v>0</v>
      </c>
      <c r="R127" s="64" t="n">
        <f aca="false">IF(AND($Q127&gt;0,$O127&gt;=AtRank),$Q127,0)</f>
        <v>0</v>
      </c>
      <c r="S127" s="64" t="n">
        <f aca="false">IF(AND($Q127&gt;0,$O127&gt;=AboveRank),$Q127,0)</f>
        <v>0</v>
      </c>
      <c r="T127" s="64" t="n">
        <f aca="false">IF($K127="Less",$P127,0)</f>
        <v>0</v>
      </c>
      <c r="U127" s="64" t="n">
        <f aca="false">IF($K127="Expected",$P127,0)</f>
        <v>0</v>
      </c>
      <c r="V127" s="64" t="n">
        <f aca="false">IF($K127="Better",$P127,0)</f>
        <v>0</v>
      </c>
      <c r="W127" s="64" t="n">
        <f aca="false">IF($K127="U – needs rule",$P127,0)</f>
        <v>0</v>
      </c>
      <c r="X127" s="64" t="n">
        <f aca="false">IF($K127="No Start (attainment only)",$P127,0)</f>
        <v>0</v>
      </c>
    </row>
    <row r="128" customFormat="false" ht="15" hidden="false" customHeight="false" outlineLevel="0" collapsed="false">
      <c r="A128" s="60"/>
      <c r="B128" s="61" t="str">
        <f aca="false">IF($M128=0,"",INDEX(Classes!$E$6:$E$420,$M128))</f>
        <v/>
      </c>
      <c r="C128" s="62" t="str">
        <f aca="false">IF($M128=0,"",INDEX(Classes!$H$6:$H$420,$M128))</f>
        <v/>
      </c>
      <c r="D128" s="61" t="str">
        <f aca="false">IF($M128=0,"",INDEX(Classes!$B$6:$B$420,$M128))</f>
        <v/>
      </c>
      <c r="E128" s="61" t="str">
        <f aca="false">IF($M128=0,"",INDEX(Classes!$C$6:$C$420,$M128))</f>
        <v/>
      </c>
      <c r="F128" s="63"/>
      <c r="G128" s="63"/>
      <c r="H128" s="60"/>
      <c r="I128" s="60"/>
      <c r="J128" s="63"/>
      <c r="K128" s="61" t="str">
        <f aca="false">IF($P128=0,"",IF($F128="Baseline","— Baseline",IF($O128=0,"No result",IF($N128=0,"No Start (attainment only)",IF(OR($N128=1,$O128=1),"U – needs rule",INDEX(MxBody,MATCH($I128,MxCurr,0),MATCH($H128,MxStart,0)))))))</f>
        <v/>
      </c>
      <c r="L128" s="62" t="str">
        <f aca="false">IF(COUNTA($A128,$F128,$G128,$H128,$I128,$J128)=0,"",IF($M128=0,"✖ كود الصف غير موجود",IF(ISNA(MATCH($F128,Lists!$A$2:$A$5,0)),"✖ الفترة غير صحيحة",IF(ISNA(MATCH($G128,Lists!$B$2:$B$7,0)),"✖ المجموعة غير صحيحة",IF(NOT(OR($H128="",$N128&gt;0)),"✖ Start غير صحيح",IF(NOT(OR($I128="",$I128="NR",$O128&gt;0)),"✖ Current غير صحيح",IF(NOT(IF(ISNUMBER($J128),AND($J128&gt;=0,$J128=INT($J128)),FALSE())),"✖ العدد يجب أن يكون صحيحًا ≥ 0",IF(AND($F128="Baseline",$H128&lt;&gt;""),"⚠ Baseline: Start لا يدخل في التقدم",IF($K128="No Start (attainment only)","ℹ تحصيل فقط (بدون Start)",IF($K128="U – needs rule","ℹ حالة U تحتاج قاعدة معتمدة",IF($K128="No result","ℹ بدون نتيجة (يُستبعد من التحصيل)","OK")))))))))))</f>
        <v/>
      </c>
      <c r="M128" s="64" t="n">
        <f aca="false">IF($A128="",0,IFERROR(MATCH($A128,Classes!$A$6:$A$420,0),0))</f>
        <v>0</v>
      </c>
      <c r="N128" s="64" t="n">
        <f aca="false">IF($H128="",0,IFERROR(MATCH($H128,GradeList,0),0))</f>
        <v>0</v>
      </c>
      <c r="O128" s="64" t="n">
        <f aca="false">IF(OR($I128="",$I128="NR"),0,IFERROR(MATCH($I128,GradeList,0),0))</f>
        <v>0</v>
      </c>
      <c r="P128" s="64" t="n">
        <f aca="false">IF(AND($M128&gt;0,ISNUMBER(MATCH($F128,Lists!$A$2:$A$5,0)),ISNUMBER(MATCH($G128,Lists!$B$2:$B$7,0)),OR($H128="",$N128&gt;0),OR($I128="",$I128="NR",$O128&gt;0),IF(ISNUMBER($J128),AND($J128&gt;=0,$J128=INT($J128)),FALSE())),$J128,0)</f>
        <v>0</v>
      </c>
      <c r="Q128" s="64" t="n">
        <f aca="false">IF(AND($P128&gt;0,$O128&gt;0),$P128,0)</f>
        <v>0</v>
      </c>
      <c r="R128" s="64" t="n">
        <f aca="false">IF(AND($Q128&gt;0,$O128&gt;=AtRank),$Q128,0)</f>
        <v>0</v>
      </c>
      <c r="S128" s="64" t="n">
        <f aca="false">IF(AND($Q128&gt;0,$O128&gt;=AboveRank),$Q128,0)</f>
        <v>0</v>
      </c>
      <c r="T128" s="64" t="n">
        <f aca="false">IF($K128="Less",$P128,0)</f>
        <v>0</v>
      </c>
      <c r="U128" s="64" t="n">
        <f aca="false">IF($K128="Expected",$P128,0)</f>
        <v>0</v>
      </c>
      <c r="V128" s="64" t="n">
        <f aca="false">IF($K128="Better",$P128,0)</f>
        <v>0</v>
      </c>
      <c r="W128" s="64" t="n">
        <f aca="false">IF($K128="U – needs rule",$P128,0)</f>
        <v>0</v>
      </c>
      <c r="X128" s="64" t="n">
        <f aca="false">IF($K128="No Start (attainment only)",$P128,0)</f>
        <v>0</v>
      </c>
    </row>
    <row r="129" customFormat="false" ht="15" hidden="false" customHeight="false" outlineLevel="0" collapsed="false">
      <c r="A129" s="60"/>
      <c r="B129" s="61" t="str">
        <f aca="false">IF($M129=0,"",INDEX(Classes!$E$6:$E$420,$M129))</f>
        <v/>
      </c>
      <c r="C129" s="62" t="str">
        <f aca="false">IF($M129=0,"",INDEX(Classes!$H$6:$H$420,$M129))</f>
        <v/>
      </c>
      <c r="D129" s="61" t="str">
        <f aca="false">IF($M129=0,"",INDEX(Classes!$B$6:$B$420,$M129))</f>
        <v/>
      </c>
      <c r="E129" s="61" t="str">
        <f aca="false">IF($M129=0,"",INDEX(Classes!$C$6:$C$420,$M129))</f>
        <v/>
      </c>
      <c r="F129" s="63"/>
      <c r="G129" s="63"/>
      <c r="H129" s="60"/>
      <c r="I129" s="60"/>
      <c r="J129" s="63"/>
      <c r="K129" s="61" t="str">
        <f aca="false">IF($P129=0,"",IF($F129="Baseline","— Baseline",IF($O129=0,"No result",IF($N129=0,"No Start (attainment only)",IF(OR($N129=1,$O129=1),"U – needs rule",INDEX(MxBody,MATCH($I129,MxCurr,0),MATCH($H129,MxStart,0)))))))</f>
        <v/>
      </c>
      <c r="L129" s="62" t="str">
        <f aca="false">IF(COUNTA($A129,$F129,$G129,$H129,$I129,$J129)=0,"",IF($M129=0,"✖ كود الصف غير موجود",IF(ISNA(MATCH($F129,Lists!$A$2:$A$5,0)),"✖ الفترة غير صحيحة",IF(ISNA(MATCH($G129,Lists!$B$2:$B$7,0)),"✖ المجموعة غير صحيحة",IF(NOT(OR($H129="",$N129&gt;0)),"✖ Start غير صحيح",IF(NOT(OR($I129="",$I129="NR",$O129&gt;0)),"✖ Current غير صحيح",IF(NOT(IF(ISNUMBER($J129),AND($J129&gt;=0,$J129=INT($J129)),FALSE())),"✖ العدد يجب أن يكون صحيحًا ≥ 0",IF(AND($F129="Baseline",$H129&lt;&gt;""),"⚠ Baseline: Start لا يدخل في التقدم",IF($K129="No Start (attainment only)","ℹ تحصيل فقط (بدون Start)",IF($K129="U – needs rule","ℹ حالة U تحتاج قاعدة معتمدة",IF($K129="No result","ℹ بدون نتيجة (يُستبعد من التحصيل)","OK")))))))))))</f>
        <v/>
      </c>
      <c r="M129" s="64" t="n">
        <f aca="false">IF($A129="",0,IFERROR(MATCH($A129,Classes!$A$6:$A$420,0),0))</f>
        <v>0</v>
      </c>
      <c r="N129" s="64" t="n">
        <f aca="false">IF($H129="",0,IFERROR(MATCH($H129,GradeList,0),0))</f>
        <v>0</v>
      </c>
      <c r="O129" s="64" t="n">
        <f aca="false">IF(OR($I129="",$I129="NR"),0,IFERROR(MATCH($I129,GradeList,0),0))</f>
        <v>0</v>
      </c>
      <c r="P129" s="64" t="n">
        <f aca="false">IF(AND($M129&gt;0,ISNUMBER(MATCH($F129,Lists!$A$2:$A$5,0)),ISNUMBER(MATCH($G129,Lists!$B$2:$B$7,0)),OR($H129="",$N129&gt;0),OR($I129="",$I129="NR",$O129&gt;0),IF(ISNUMBER($J129),AND($J129&gt;=0,$J129=INT($J129)),FALSE())),$J129,0)</f>
        <v>0</v>
      </c>
      <c r="Q129" s="64" t="n">
        <f aca="false">IF(AND($P129&gt;0,$O129&gt;0),$P129,0)</f>
        <v>0</v>
      </c>
      <c r="R129" s="64" t="n">
        <f aca="false">IF(AND($Q129&gt;0,$O129&gt;=AtRank),$Q129,0)</f>
        <v>0</v>
      </c>
      <c r="S129" s="64" t="n">
        <f aca="false">IF(AND($Q129&gt;0,$O129&gt;=AboveRank),$Q129,0)</f>
        <v>0</v>
      </c>
      <c r="T129" s="64" t="n">
        <f aca="false">IF($K129="Less",$P129,0)</f>
        <v>0</v>
      </c>
      <c r="U129" s="64" t="n">
        <f aca="false">IF($K129="Expected",$P129,0)</f>
        <v>0</v>
      </c>
      <c r="V129" s="64" t="n">
        <f aca="false">IF($K129="Better",$P129,0)</f>
        <v>0</v>
      </c>
      <c r="W129" s="64" t="n">
        <f aca="false">IF($K129="U – needs rule",$P129,0)</f>
        <v>0</v>
      </c>
      <c r="X129" s="64" t="n">
        <f aca="false">IF($K129="No Start (attainment only)",$P129,0)</f>
        <v>0</v>
      </c>
    </row>
    <row r="130" customFormat="false" ht="15" hidden="false" customHeight="false" outlineLevel="0" collapsed="false">
      <c r="A130" s="60"/>
      <c r="B130" s="61" t="str">
        <f aca="false">IF($M130=0,"",INDEX(Classes!$E$6:$E$420,$M130))</f>
        <v/>
      </c>
      <c r="C130" s="62" t="str">
        <f aca="false">IF($M130=0,"",INDEX(Classes!$H$6:$H$420,$M130))</f>
        <v/>
      </c>
      <c r="D130" s="61" t="str">
        <f aca="false">IF($M130=0,"",INDEX(Classes!$B$6:$B$420,$M130))</f>
        <v/>
      </c>
      <c r="E130" s="61" t="str">
        <f aca="false">IF($M130=0,"",INDEX(Classes!$C$6:$C$420,$M130))</f>
        <v/>
      </c>
      <c r="F130" s="63"/>
      <c r="G130" s="63"/>
      <c r="H130" s="60"/>
      <c r="I130" s="60"/>
      <c r="J130" s="63"/>
      <c r="K130" s="61" t="str">
        <f aca="false">IF($P130=0,"",IF($F130="Baseline","— Baseline",IF($O130=0,"No result",IF($N130=0,"No Start (attainment only)",IF(OR($N130=1,$O130=1),"U – needs rule",INDEX(MxBody,MATCH($I130,MxCurr,0),MATCH($H130,MxStart,0)))))))</f>
        <v/>
      </c>
      <c r="L130" s="62" t="str">
        <f aca="false">IF(COUNTA($A130,$F130,$G130,$H130,$I130,$J130)=0,"",IF($M130=0,"✖ كود الصف غير موجود",IF(ISNA(MATCH($F130,Lists!$A$2:$A$5,0)),"✖ الفترة غير صحيحة",IF(ISNA(MATCH($G130,Lists!$B$2:$B$7,0)),"✖ المجموعة غير صحيحة",IF(NOT(OR($H130="",$N130&gt;0)),"✖ Start غير صحيح",IF(NOT(OR($I130="",$I130="NR",$O130&gt;0)),"✖ Current غير صحيح",IF(NOT(IF(ISNUMBER($J130),AND($J130&gt;=0,$J130=INT($J130)),FALSE())),"✖ العدد يجب أن يكون صحيحًا ≥ 0",IF(AND($F130="Baseline",$H130&lt;&gt;""),"⚠ Baseline: Start لا يدخل في التقدم",IF($K130="No Start (attainment only)","ℹ تحصيل فقط (بدون Start)",IF($K130="U – needs rule","ℹ حالة U تحتاج قاعدة معتمدة",IF($K130="No result","ℹ بدون نتيجة (يُستبعد من التحصيل)","OK")))))))))))</f>
        <v/>
      </c>
      <c r="M130" s="64" t="n">
        <f aca="false">IF($A130="",0,IFERROR(MATCH($A130,Classes!$A$6:$A$420,0),0))</f>
        <v>0</v>
      </c>
      <c r="N130" s="64" t="n">
        <f aca="false">IF($H130="",0,IFERROR(MATCH($H130,GradeList,0),0))</f>
        <v>0</v>
      </c>
      <c r="O130" s="64" t="n">
        <f aca="false">IF(OR($I130="",$I130="NR"),0,IFERROR(MATCH($I130,GradeList,0),0))</f>
        <v>0</v>
      </c>
      <c r="P130" s="64" t="n">
        <f aca="false">IF(AND($M130&gt;0,ISNUMBER(MATCH($F130,Lists!$A$2:$A$5,0)),ISNUMBER(MATCH($G130,Lists!$B$2:$B$7,0)),OR($H130="",$N130&gt;0),OR($I130="",$I130="NR",$O130&gt;0),IF(ISNUMBER($J130),AND($J130&gt;=0,$J130=INT($J130)),FALSE())),$J130,0)</f>
        <v>0</v>
      </c>
      <c r="Q130" s="64" t="n">
        <f aca="false">IF(AND($P130&gt;0,$O130&gt;0),$P130,0)</f>
        <v>0</v>
      </c>
      <c r="R130" s="64" t="n">
        <f aca="false">IF(AND($Q130&gt;0,$O130&gt;=AtRank),$Q130,0)</f>
        <v>0</v>
      </c>
      <c r="S130" s="64" t="n">
        <f aca="false">IF(AND($Q130&gt;0,$O130&gt;=AboveRank),$Q130,0)</f>
        <v>0</v>
      </c>
      <c r="T130" s="64" t="n">
        <f aca="false">IF($K130="Less",$P130,0)</f>
        <v>0</v>
      </c>
      <c r="U130" s="64" t="n">
        <f aca="false">IF($K130="Expected",$P130,0)</f>
        <v>0</v>
      </c>
      <c r="V130" s="64" t="n">
        <f aca="false">IF($K130="Better",$P130,0)</f>
        <v>0</v>
      </c>
      <c r="W130" s="64" t="n">
        <f aca="false">IF($K130="U – needs rule",$P130,0)</f>
        <v>0</v>
      </c>
      <c r="X130" s="64" t="n">
        <f aca="false">IF($K130="No Start (attainment only)",$P130,0)</f>
        <v>0</v>
      </c>
    </row>
    <row r="131" customFormat="false" ht="15" hidden="false" customHeight="false" outlineLevel="0" collapsed="false">
      <c r="A131" s="60"/>
      <c r="B131" s="61" t="str">
        <f aca="false">IF($M131=0,"",INDEX(Classes!$E$6:$E$420,$M131))</f>
        <v/>
      </c>
      <c r="C131" s="62" t="str">
        <f aca="false">IF($M131=0,"",INDEX(Classes!$H$6:$H$420,$M131))</f>
        <v/>
      </c>
      <c r="D131" s="61" t="str">
        <f aca="false">IF($M131=0,"",INDEX(Classes!$B$6:$B$420,$M131))</f>
        <v/>
      </c>
      <c r="E131" s="61" t="str">
        <f aca="false">IF($M131=0,"",INDEX(Classes!$C$6:$C$420,$M131))</f>
        <v/>
      </c>
      <c r="F131" s="63"/>
      <c r="G131" s="63"/>
      <c r="H131" s="60"/>
      <c r="I131" s="60"/>
      <c r="J131" s="63"/>
      <c r="K131" s="61" t="str">
        <f aca="false">IF($P131=0,"",IF($F131="Baseline","— Baseline",IF($O131=0,"No result",IF($N131=0,"No Start (attainment only)",IF(OR($N131=1,$O131=1),"U – needs rule",INDEX(MxBody,MATCH($I131,MxCurr,0),MATCH($H131,MxStart,0)))))))</f>
        <v/>
      </c>
      <c r="L131" s="62" t="str">
        <f aca="false">IF(COUNTA($A131,$F131,$G131,$H131,$I131,$J131)=0,"",IF($M131=0,"✖ كود الصف غير موجود",IF(ISNA(MATCH($F131,Lists!$A$2:$A$5,0)),"✖ الفترة غير صحيحة",IF(ISNA(MATCH($G131,Lists!$B$2:$B$7,0)),"✖ المجموعة غير صحيحة",IF(NOT(OR($H131="",$N131&gt;0)),"✖ Start غير صحيح",IF(NOT(OR($I131="",$I131="NR",$O131&gt;0)),"✖ Current غير صحيح",IF(NOT(IF(ISNUMBER($J131),AND($J131&gt;=0,$J131=INT($J131)),FALSE())),"✖ العدد يجب أن يكون صحيحًا ≥ 0",IF(AND($F131="Baseline",$H131&lt;&gt;""),"⚠ Baseline: Start لا يدخل في التقدم",IF($K131="No Start (attainment only)","ℹ تحصيل فقط (بدون Start)",IF($K131="U – needs rule","ℹ حالة U تحتاج قاعدة معتمدة",IF($K131="No result","ℹ بدون نتيجة (يُستبعد من التحصيل)","OK")))))))))))</f>
        <v/>
      </c>
      <c r="M131" s="64" t="n">
        <f aca="false">IF($A131="",0,IFERROR(MATCH($A131,Classes!$A$6:$A$420,0),0))</f>
        <v>0</v>
      </c>
      <c r="N131" s="64" t="n">
        <f aca="false">IF($H131="",0,IFERROR(MATCH($H131,GradeList,0),0))</f>
        <v>0</v>
      </c>
      <c r="O131" s="64" t="n">
        <f aca="false">IF(OR($I131="",$I131="NR"),0,IFERROR(MATCH($I131,GradeList,0),0))</f>
        <v>0</v>
      </c>
      <c r="P131" s="64" t="n">
        <f aca="false">IF(AND($M131&gt;0,ISNUMBER(MATCH($F131,Lists!$A$2:$A$5,0)),ISNUMBER(MATCH($G131,Lists!$B$2:$B$7,0)),OR($H131="",$N131&gt;0),OR($I131="",$I131="NR",$O131&gt;0),IF(ISNUMBER($J131),AND($J131&gt;=0,$J131=INT($J131)),FALSE())),$J131,0)</f>
        <v>0</v>
      </c>
      <c r="Q131" s="64" t="n">
        <f aca="false">IF(AND($P131&gt;0,$O131&gt;0),$P131,0)</f>
        <v>0</v>
      </c>
      <c r="R131" s="64" t="n">
        <f aca="false">IF(AND($Q131&gt;0,$O131&gt;=AtRank),$Q131,0)</f>
        <v>0</v>
      </c>
      <c r="S131" s="64" t="n">
        <f aca="false">IF(AND($Q131&gt;0,$O131&gt;=AboveRank),$Q131,0)</f>
        <v>0</v>
      </c>
      <c r="T131" s="64" t="n">
        <f aca="false">IF($K131="Less",$P131,0)</f>
        <v>0</v>
      </c>
      <c r="U131" s="64" t="n">
        <f aca="false">IF($K131="Expected",$P131,0)</f>
        <v>0</v>
      </c>
      <c r="V131" s="64" t="n">
        <f aca="false">IF($K131="Better",$P131,0)</f>
        <v>0</v>
      </c>
      <c r="W131" s="64" t="n">
        <f aca="false">IF($K131="U – needs rule",$P131,0)</f>
        <v>0</v>
      </c>
      <c r="X131" s="64" t="n">
        <f aca="false">IF($K131="No Start (attainment only)",$P131,0)</f>
        <v>0</v>
      </c>
    </row>
    <row r="132" customFormat="false" ht="15" hidden="false" customHeight="false" outlineLevel="0" collapsed="false">
      <c r="A132" s="60"/>
      <c r="B132" s="61" t="str">
        <f aca="false">IF($M132=0,"",INDEX(Classes!$E$6:$E$420,$M132))</f>
        <v/>
      </c>
      <c r="C132" s="62" t="str">
        <f aca="false">IF($M132=0,"",INDEX(Classes!$H$6:$H$420,$M132))</f>
        <v/>
      </c>
      <c r="D132" s="61" t="str">
        <f aca="false">IF($M132=0,"",INDEX(Classes!$B$6:$B$420,$M132))</f>
        <v/>
      </c>
      <c r="E132" s="61" t="str">
        <f aca="false">IF($M132=0,"",INDEX(Classes!$C$6:$C$420,$M132))</f>
        <v/>
      </c>
      <c r="F132" s="63"/>
      <c r="G132" s="63"/>
      <c r="H132" s="60"/>
      <c r="I132" s="60"/>
      <c r="J132" s="63"/>
      <c r="K132" s="61" t="str">
        <f aca="false">IF($P132=0,"",IF($F132="Baseline","— Baseline",IF($O132=0,"No result",IF($N132=0,"No Start (attainment only)",IF(OR($N132=1,$O132=1),"U – needs rule",INDEX(MxBody,MATCH($I132,MxCurr,0),MATCH($H132,MxStart,0)))))))</f>
        <v/>
      </c>
      <c r="L132" s="62" t="str">
        <f aca="false">IF(COUNTA($A132,$F132,$G132,$H132,$I132,$J132)=0,"",IF($M132=0,"✖ كود الصف غير موجود",IF(ISNA(MATCH($F132,Lists!$A$2:$A$5,0)),"✖ الفترة غير صحيحة",IF(ISNA(MATCH($G132,Lists!$B$2:$B$7,0)),"✖ المجموعة غير صحيحة",IF(NOT(OR($H132="",$N132&gt;0)),"✖ Start غير صحيح",IF(NOT(OR($I132="",$I132="NR",$O132&gt;0)),"✖ Current غير صحيح",IF(NOT(IF(ISNUMBER($J132),AND($J132&gt;=0,$J132=INT($J132)),FALSE())),"✖ العدد يجب أن يكون صحيحًا ≥ 0",IF(AND($F132="Baseline",$H132&lt;&gt;""),"⚠ Baseline: Start لا يدخل في التقدم",IF($K132="No Start (attainment only)","ℹ تحصيل فقط (بدون Start)",IF($K132="U – needs rule","ℹ حالة U تحتاج قاعدة معتمدة",IF($K132="No result","ℹ بدون نتيجة (يُستبعد من التحصيل)","OK")))))))))))</f>
        <v/>
      </c>
      <c r="M132" s="64" t="n">
        <f aca="false">IF($A132="",0,IFERROR(MATCH($A132,Classes!$A$6:$A$420,0),0))</f>
        <v>0</v>
      </c>
      <c r="N132" s="64" t="n">
        <f aca="false">IF($H132="",0,IFERROR(MATCH($H132,GradeList,0),0))</f>
        <v>0</v>
      </c>
      <c r="O132" s="64" t="n">
        <f aca="false">IF(OR($I132="",$I132="NR"),0,IFERROR(MATCH($I132,GradeList,0),0))</f>
        <v>0</v>
      </c>
      <c r="P132" s="64" t="n">
        <f aca="false">IF(AND($M132&gt;0,ISNUMBER(MATCH($F132,Lists!$A$2:$A$5,0)),ISNUMBER(MATCH($G132,Lists!$B$2:$B$7,0)),OR($H132="",$N132&gt;0),OR($I132="",$I132="NR",$O132&gt;0),IF(ISNUMBER($J132),AND($J132&gt;=0,$J132=INT($J132)),FALSE())),$J132,0)</f>
        <v>0</v>
      </c>
      <c r="Q132" s="64" t="n">
        <f aca="false">IF(AND($P132&gt;0,$O132&gt;0),$P132,0)</f>
        <v>0</v>
      </c>
      <c r="R132" s="64" t="n">
        <f aca="false">IF(AND($Q132&gt;0,$O132&gt;=AtRank),$Q132,0)</f>
        <v>0</v>
      </c>
      <c r="S132" s="64" t="n">
        <f aca="false">IF(AND($Q132&gt;0,$O132&gt;=AboveRank),$Q132,0)</f>
        <v>0</v>
      </c>
      <c r="T132" s="64" t="n">
        <f aca="false">IF($K132="Less",$P132,0)</f>
        <v>0</v>
      </c>
      <c r="U132" s="64" t="n">
        <f aca="false">IF($K132="Expected",$P132,0)</f>
        <v>0</v>
      </c>
      <c r="V132" s="64" t="n">
        <f aca="false">IF($K132="Better",$P132,0)</f>
        <v>0</v>
      </c>
      <c r="W132" s="64" t="n">
        <f aca="false">IF($K132="U – needs rule",$P132,0)</f>
        <v>0</v>
      </c>
      <c r="X132" s="64" t="n">
        <f aca="false">IF($K132="No Start (attainment only)",$P132,0)</f>
        <v>0</v>
      </c>
    </row>
    <row r="133" customFormat="false" ht="15" hidden="false" customHeight="false" outlineLevel="0" collapsed="false">
      <c r="A133" s="60"/>
      <c r="B133" s="61" t="str">
        <f aca="false">IF($M133=0,"",INDEX(Classes!$E$6:$E$420,$M133))</f>
        <v/>
      </c>
      <c r="C133" s="62" t="str">
        <f aca="false">IF($M133=0,"",INDEX(Classes!$H$6:$H$420,$M133))</f>
        <v/>
      </c>
      <c r="D133" s="61" t="str">
        <f aca="false">IF($M133=0,"",INDEX(Classes!$B$6:$B$420,$M133))</f>
        <v/>
      </c>
      <c r="E133" s="61" t="str">
        <f aca="false">IF($M133=0,"",INDEX(Classes!$C$6:$C$420,$M133))</f>
        <v/>
      </c>
      <c r="F133" s="63"/>
      <c r="G133" s="63"/>
      <c r="H133" s="60"/>
      <c r="I133" s="60"/>
      <c r="J133" s="63"/>
      <c r="K133" s="61" t="str">
        <f aca="false">IF($P133=0,"",IF($F133="Baseline","— Baseline",IF($O133=0,"No result",IF($N133=0,"No Start (attainment only)",IF(OR($N133=1,$O133=1),"U – needs rule",INDEX(MxBody,MATCH($I133,MxCurr,0),MATCH($H133,MxStart,0)))))))</f>
        <v/>
      </c>
      <c r="L133" s="62" t="str">
        <f aca="false">IF(COUNTA($A133,$F133,$G133,$H133,$I133,$J133)=0,"",IF($M133=0,"✖ كود الصف غير موجود",IF(ISNA(MATCH($F133,Lists!$A$2:$A$5,0)),"✖ الفترة غير صحيحة",IF(ISNA(MATCH($G133,Lists!$B$2:$B$7,0)),"✖ المجموعة غير صحيحة",IF(NOT(OR($H133="",$N133&gt;0)),"✖ Start غير صحيح",IF(NOT(OR($I133="",$I133="NR",$O133&gt;0)),"✖ Current غير صحيح",IF(NOT(IF(ISNUMBER($J133),AND($J133&gt;=0,$J133=INT($J133)),FALSE())),"✖ العدد يجب أن يكون صحيحًا ≥ 0",IF(AND($F133="Baseline",$H133&lt;&gt;""),"⚠ Baseline: Start لا يدخل في التقدم",IF($K133="No Start (attainment only)","ℹ تحصيل فقط (بدون Start)",IF($K133="U – needs rule","ℹ حالة U تحتاج قاعدة معتمدة",IF($K133="No result","ℹ بدون نتيجة (يُستبعد من التحصيل)","OK")))))))))))</f>
        <v/>
      </c>
      <c r="M133" s="64" t="n">
        <f aca="false">IF($A133="",0,IFERROR(MATCH($A133,Classes!$A$6:$A$420,0),0))</f>
        <v>0</v>
      </c>
      <c r="N133" s="64" t="n">
        <f aca="false">IF($H133="",0,IFERROR(MATCH($H133,GradeList,0),0))</f>
        <v>0</v>
      </c>
      <c r="O133" s="64" t="n">
        <f aca="false">IF(OR($I133="",$I133="NR"),0,IFERROR(MATCH($I133,GradeList,0),0))</f>
        <v>0</v>
      </c>
      <c r="P133" s="64" t="n">
        <f aca="false">IF(AND($M133&gt;0,ISNUMBER(MATCH($F133,Lists!$A$2:$A$5,0)),ISNUMBER(MATCH($G133,Lists!$B$2:$B$7,0)),OR($H133="",$N133&gt;0),OR($I133="",$I133="NR",$O133&gt;0),IF(ISNUMBER($J133),AND($J133&gt;=0,$J133=INT($J133)),FALSE())),$J133,0)</f>
        <v>0</v>
      </c>
      <c r="Q133" s="64" t="n">
        <f aca="false">IF(AND($P133&gt;0,$O133&gt;0),$P133,0)</f>
        <v>0</v>
      </c>
      <c r="R133" s="64" t="n">
        <f aca="false">IF(AND($Q133&gt;0,$O133&gt;=AtRank),$Q133,0)</f>
        <v>0</v>
      </c>
      <c r="S133" s="64" t="n">
        <f aca="false">IF(AND($Q133&gt;0,$O133&gt;=AboveRank),$Q133,0)</f>
        <v>0</v>
      </c>
      <c r="T133" s="64" t="n">
        <f aca="false">IF($K133="Less",$P133,0)</f>
        <v>0</v>
      </c>
      <c r="U133" s="64" t="n">
        <f aca="false">IF($K133="Expected",$P133,0)</f>
        <v>0</v>
      </c>
      <c r="V133" s="64" t="n">
        <f aca="false">IF($K133="Better",$P133,0)</f>
        <v>0</v>
      </c>
      <c r="W133" s="64" t="n">
        <f aca="false">IF($K133="U – needs rule",$P133,0)</f>
        <v>0</v>
      </c>
      <c r="X133" s="64" t="n">
        <f aca="false">IF($K133="No Start (attainment only)",$P133,0)</f>
        <v>0</v>
      </c>
    </row>
    <row r="134" customFormat="false" ht="15" hidden="false" customHeight="false" outlineLevel="0" collapsed="false">
      <c r="A134" s="60"/>
      <c r="B134" s="61" t="str">
        <f aca="false">IF($M134=0,"",INDEX(Classes!$E$6:$E$420,$M134))</f>
        <v/>
      </c>
      <c r="C134" s="62" t="str">
        <f aca="false">IF($M134=0,"",INDEX(Classes!$H$6:$H$420,$M134))</f>
        <v/>
      </c>
      <c r="D134" s="61" t="str">
        <f aca="false">IF($M134=0,"",INDEX(Classes!$B$6:$B$420,$M134))</f>
        <v/>
      </c>
      <c r="E134" s="61" t="str">
        <f aca="false">IF($M134=0,"",INDEX(Classes!$C$6:$C$420,$M134))</f>
        <v/>
      </c>
      <c r="F134" s="63"/>
      <c r="G134" s="63"/>
      <c r="H134" s="60"/>
      <c r="I134" s="60"/>
      <c r="J134" s="63"/>
      <c r="K134" s="61" t="str">
        <f aca="false">IF($P134=0,"",IF($F134="Baseline","— Baseline",IF($O134=0,"No result",IF($N134=0,"No Start (attainment only)",IF(OR($N134=1,$O134=1),"U – needs rule",INDEX(MxBody,MATCH($I134,MxCurr,0),MATCH($H134,MxStart,0)))))))</f>
        <v/>
      </c>
      <c r="L134" s="62" t="str">
        <f aca="false">IF(COUNTA($A134,$F134,$G134,$H134,$I134,$J134)=0,"",IF($M134=0,"✖ كود الصف غير موجود",IF(ISNA(MATCH($F134,Lists!$A$2:$A$5,0)),"✖ الفترة غير صحيحة",IF(ISNA(MATCH($G134,Lists!$B$2:$B$7,0)),"✖ المجموعة غير صحيحة",IF(NOT(OR($H134="",$N134&gt;0)),"✖ Start غير صحيح",IF(NOT(OR($I134="",$I134="NR",$O134&gt;0)),"✖ Current غير صحيح",IF(NOT(IF(ISNUMBER($J134),AND($J134&gt;=0,$J134=INT($J134)),FALSE())),"✖ العدد يجب أن يكون صحيحًا ≥ 0",IF(AND($F134="Baseline",$H134&lt;&gt;""),"⚠ Baseline: Start لا يدخل في التقدم",IF($K134="No Start (attainment only)","ℹ تحصيل فقط (بدون Start)",IF($K134="U – needs rule","ℹ حالة U تحتاج قاعدة معتمدة",IF($K134="No result","ℹ بدون نتيجة (يُستبعد من التحصيل)","OK")))))))))))</f>
        <v/>
      </c>
      <c r="M134" s="64" t="n">
        <f aca="false">IF($A134="",0,IFERROR(MATCH($A134,Classes!$A$6:$A$420,0),0))</f>
        <v>0</v>
      </c>
      <c r="N134" s="64" t="n">
        <f aca="false">IF($H134="",0,IFERROR(MATCH($H134,GradeList,0),0))</f>
        <v>0</v>
      </c>
      <c r="O134" s="64" t="n">
        <f aca="false">IF(OR($I134="",$I134="NR"),0,IFERROR(MATCH($I134,GradeList,0),0))</f>
        <v>0</v>
      </c>
      <c r="P134" s="64" t="n">
        <f aca="false">IF(AND($M134&gt;0,ISNUMBER(MATCH($F134,Lists!$A$2:$A$5,0)),ISNUMBER(MATCH($G134,Lists!$B$2:$B$7,0)),OR($H134="",$N134&gt;0),OR($I134="",$I134="NR",$O134&gt;0),IF(ISNUMBER($J134),AND($J134&gt;=0,$J134=INT($J134)),FALSE())),$J134,0)</f>
        <v>0</v>
      </c>
      <c r="Q134" s="64" t="n">
        <f aca="false">IF(AND($P134&gt;0,$O134&gt;0),$P134,0)</f>
        <v>0</v>
      </c>
      <c r="R134" s="64" t="n">
        <f aca="false">IF(AND($Q134&gt;0,$O134&gt;=AtRank),$Q134,0)</f>
        <v>0</v>
      </c>
      <c r="S134" s="64" t="n">
        <f aca="false">IF(AND($Q134&gt;0,$O134&gt;=AboveRank),$Q134,0)</f>
        <v>0</v>
      </c>
      <c r="T134" s="64" t="n">
        <f aca="false">IF($K134="Less",$P134,0)</f>
        <v>0</v>
      </c>
      <c r="U134" s="64" t="n">
        <f aca="false">IF($K134="Expected",$P134,0)</f>
        <v>0</v>
      </c>
      <c r="V134" s="64" t="n">
        <f aca="false">IF($K134="Better",$P134,0)</f>
        <v>0</v>
      </c>
      <c r="W134" s="64" t="n">
        <f aca="false">IF($K134="U – needs rule",$P134,0)</f>
        <v>0</v>
      </c>
      <c r="X134" s="64" t="n">
        <f aca="false">IF($K134="No Start (attainment only)",$P134,0)</f>
        <v>0</v>
      </c>
    </row>
    <row r="135" customFormat="false" ht="15" hidden="false" customHeight="false" outlineLevel="0" collapsed="false">
      <c r="A135" s="60"/>
      <c r="B135" s="61" t="str">
        <f aca="false">IF($M135=0,"",INDEX(Classes!$E$6:$E$420,$M135))</f>
        <v/>
      </c>
      <c r="C135" s="62" t="str">
        <f aca="false">IF($M135=0,"",INDEX(Classes!$H$6:$H$420,$M135))</f>
        <v/>
      </c>
      <c r="D135" s="61" t="str">
        <f aca="false">IF($M135=0,"",INDEX(Classes!$B$6:$B$420,$M135))</f>
        <v/>
      </c>
      <c r="E135" s="61" t="str">
        <f aca="false">IF($M135=0,"",INDEX(Classes!$C$6:$C$420,$M135))</f>
        <v/>
      </c>
      <c r="F135" s="63"/>
      <c r="G135" s="63"/>
      <c r="H135" s="60"/>
      <c r="I135" s="60"/>
      <c r="J135" s="63"/>
      <c r="K135" s="61" t="str">
        <f aca="false">IF($P135=0,"",IF($F135="Baseline","— Baseline",IF($O135=0,"No result",IF($N135=0,"No Start (attainment only)",IF(OR($N135=1,$O135=1),"U – needs rule",INDEX(MxBody,MATCH($I135,MxCurr,0),MATCH($H135,MxStart,0)))))))</f>
        <v/>
      </c>
      <c r="L135" s="62" t="str">
        <f aca="false">IF(COUNTA($A135,$F135,$G135,$H135,$I135,$J135)=0,"",IF($M135=0,"✖ كود الصف غير موجود",IF(ISNA(MATCH($F135,Lists!$A$2:$A$5,0)),"✖ الفترة غير صحيحة",IF(ISNA(MATCH($G135,Lists!$B$2:$B$7,0)),"✖ المجموعة غير صحيحة",IF(NOT(OR($H135="",$N135&gt;0)),"✖ Start غير صحيح",IF(NOT(OR($I135="",$I135="NR",$O135&gt;0)),"✖ Current غير صحيح",IF(NOT(IF(ISNUMBER($J135),AND($J135&gt;=0,$J135=INT($J135)),FALSE())),"✖ العدد يجب أن يكون صحيحًا ≥ 0",IF(AND($F135="Baseline",$H135&lt;&gt;""),"⚠ Baseline: Start لا يدخل في التقدم",IF($K135="No Start (attainment only)","ℹ تحصيل فقط (بدون Start)",IF($K135="U – needs rule","ℹ حالة U تحتاج قاعدة معتمدة",IF($K135="No result","ℹ بدون نتيجة (يُستبعد من التحصيل)","OK")))))))))))</f>
        <v/>
      </c>
      <c r="M135" s="64" t="n">
        <f aca="false">IF($A135="",0,IFERROR(MATCH($A135,Classes!$A$6:$A$420,0),0))</f>
        <v>0</v>
      </c>
      <c r="N135" s="64" t="n">
        <f aca="false">IF($H135="",0,IFERROR(MATCH($H135,GradeList,0),0))</f>
        <v>0</v>
      </c>
      <c r="O135" s="64" t="n">
        <f aca="false">IF(OR($I135="",$I135="NR"),0,IFERROR(MATCH($I135,GradeList,0),0))</f>
        <v>0</v>
      </c>
      <c r="P135" s="64" t="n">
        <f aca="false">IF(AND($M135&gt;0,ISNUMBER(MATCH($F135,Lists!$A$2:$A$5,0)),ISNUMBER(MATCH($G135,Lists!$B$2:$B$7,0)),OR($H135="",$N135&gt;0),OR($I135="",$I135="NR",$O135&gt;0),IF(ISNUMBER($J135),AND($J135&gt;=0,$J135=INT($J135)),FALSE())),$J135,0)</f>
        <v>0</v>
      </c>
      <c r="Q135" s="64" t="n">
        <f aca="false">IF(AND($P135&gt;0,$O135&gt;0),$P135,0)</f>
        <v>0</v>
      </c>
      <c r="R135" s="64" t="n">
        <f aca="false">IF(AND($Q135&gt;0,$O135&gt;=AtRank),$Q135,0)</f>
        <v>0</v>
      </c>
      <c r="S135" s="64" t="n">
        <f aca="false">IF(AND($Q135&gt;0,$O135&gt;=AboveRank),$Q135,0)</f>
        <v>0</v>
      </c>
      <c r="T135" s="64" t="n">
        <f aca="false">IF($K135="Less",$P135,0)</f>
        <v>0</v>
      </c>
      <c r="U135" s="64" t="n">
        <f aca="false">IF($K135="Expected",$P135,0)</f>
        <v>0</v>
      </c>
      <c r="V135" s="64" t="n">
        <f aca="false">IF($K135="Better",$P135,0)</f>
        <v>0</v>
      </c>
      <c r="W135" s="64" t="n">
        <f aca="false">IF($K135="U – needs rule",$P135,0)</f>
        <v>0</v>
      </c>
      <c r="X135" s="64" t="n">
        <f aca="false">IF($K135="No Start (attainment only)",$P135,0)</f>
        <v>0</v>
      </c>
    </row>
    <row r="136" customFormat="false" ht="15" hidden="false" customHeight="false" outlineLevel="0" collapsed="false">
      <c r="A136" s="60"/>
      <c r="B136" s="61" t="str">
        <f aca="false">IF($M136=0,"",INDEX(Classes!$E$6:$E$420,$M136))</f>
        <v/>
      </c>
      <c r="C136" s="62" t="str">
        <f aca="false">IF($M136=0,"",INDEX(Classes!$H$6:$H$420,$M136))</f>
        <v/>
      </c>
      <c r="D136" s="61" t="str">
        <f aca="false">IF($M136=0,"",INDEX(Classes!$B$6:$B$420,$M136))</f>
        <v/>
      </c>
      <c r="E136" s="61" t="str">
        <f aca="false">IF($M136=0,"",INDEX(Classes!$C$6:$C$420,$M136))</f>
        <v/>
      </c>
      <c r="F136" s="63"/>
      <c r="G136" s="63"/>
      <c r="H136" s="60"/>
      <c r="I136" s="60"/>
      <c r="J136" s="63"/>
      <c r="K136" s="61" t="str">
        <f aca="false">IF($P136=0,"",IF($F136="Baseline","— Baseline",IF($O136=0,"No result",IF($N136=0,"No Start (attainment only)",IF(OR($N136=1,$O136=1),"U – needs rule",INDEX(MxBody,MATCH($I136,MxCurr,0),MATCH($H136,MxStart,0)))))))</f>
        <v/>
      </c>
      <c r="L136" s="62" t="str">
        <f aca="false">IF(COUNTA($A136,$F136,$G136,$H136,$I136,$J136)=0,"",IF($M136=0,"✖ كود الصف غير موجود",IF(ISNA(MATCH($F136,Lists!$A$2:$A$5,0)),"✖ الفترة غير صحيحة",IF(ISNA(MATCH($G136,Lists!$B$2:$B$7,0)),"✖ المجموعة غير صحيحة",IF(NOT(OR($H136="",$N136&gt;0)),"✖ Start غير صحيح",IF(NOT(OR($I136="",$I136="NR",$O136&gt;0)),"✖ Current غير صحيح",IF(NOT(IF(ISNUMBER($J136),AND($J136&gt;=0,$J136=INT($J136)),FALSE())),"✖ العدد يجب أن يكون صحيحًا ≥ 0",IF(AND($F136="Baseline",$H136&lt;&gt;""),"⚠ Baseline: Start لا يدخل في التقدم",IF($K136="No Start (attainment only)","ℹ تحصيل فقط (بدون Start)",IF($K136="U – needs rule","ℹ حالة U تحتاج قاعدة معتمدة",IF($K136="No result","ℹ بدون نتيجة (يُستبعد من التحصيل)","OK")))))))))))</f>
        <v/>
      </c>
      <c r="M136" s="64" t="n">
        <f aca="false">IF($A136="",0,IFERROR(MATCH($A136,Classes!$A$6:$A$420,0),0))</f>
        <v>0</v>
      </c>
      <c r="N136" s="64" t="n">
        <f aca="false">IF($H136="",0,IFERROR(MATCH($H136,GradeList,0),0))</f>
        <v>0</v>
      </c>
      <c r="O136" s="64" t="n">
        <f aca="false">IF(OR($I136="",$I136="NR"),0,IFERROR(MATCH($I136,GradeList,0),0))</f>
        <v>0</v>
      </c>
      <c r="P136" s="64" t="n">
        <f aca="false">IF(AND($M136&gt;0,ISNUMBER(MATCH($F136,Lists!$A$2:$A$5,0)),ISNUMBER(MATCH($G136,Lists!$B$2:$B$7,0)),OR($H136="",$N136&gt;0),OR($I136="",$I136="NR",$O136&gt;0),IF(ISNUMBER($J136),AND($J136&gt;=0,$J136=INT($J136)),FALSE())),$J136,0)</f>
        <v>0</v>
      </c>
      <c r="Q136" s="64" t="n">
        <f aca="false">IF(AND($P136&gt;0,$O136&gt;0),$P136,0)</f>
        <v>0</v>
      </c>
      <c r="R136" s="64" t="n">
        <f aca="false">IF(AND($Q136&gt;0,$O136&gt;=AtRank),$Q136,0)</f>
        <v>0</v>
      </c>
      <c r="S136" s="64" t="n">
        <f aca="false">IF(AND($Q136&gt;0,$O136&gt;=AboveRank),$Q136,0)</f>
        <v>0</v>
      </c>
      <c r="T136" s="64" t="n">
        <f aca="false">IF($K136="Less",$P136,0)</f>
        <v>0</v>
      </c>
      <c r="U136" s="64" t="n">
        <f aca="false">IF($K136="Expected",$P136,0)</f>
        <v>0</v>
      </c>
      <c r="V136" s="64" t="n">
        <f aca="false">IF($K136="Better",$P136,0)</f>
        <v>0</v>
      </c>
      <c r="W136" s="64" t="n">
        <f aca="false">IF($K136="U – needs rule",$P136,0)</f>
        <v>0</v>
      </c>
      <c r="X136" s="64" t="n">
        <f aca="false">IF($K136="No Start (attainment only)",$P136,0)</f>
        <v>0</v>
      </c>
    </row>
    <row r="137" customFormat="false" ht="15" hidden="false" customHeight="false" outlineLevel="0" collapsed="false">
      <c r="A137" s="60"/>
      <c r="B137" s="61" t="str">
        <f aca="false">IF($M137=0,"",INDEX(Classes!$E$6:$E$420,$M137))</f>
        <v/>
      </c>
      <c r="C137" s="62" t="str">
        <f aca="false">IF($M137=0,"",INDEX(Classes!$H$6:$H$420,$M137))</f>
        <v/>
      </c>
      <c r="D137" s="61" t="str">
        <f aca="false">IF($M137=0,"",INDEX(Classes!$B$6:$B$420,$M137))</f>
        <v/>
      </c>
      <c r="E137" s="61" t="str">
        <f aca="false">IF($M137=0,"",INDEX(Classes!$C$6:$C$420,$M137))</f>
        <v/>
      </c>
      <c r="F137" s="63"/>
      <c r="G137" s="63"/>
      <c r="H137" s="60"/>
      <c r="I137" s="60"/>
      <c r="J137" s="63"/>
      <c r="K137" s="61" t="str">
        <f aca="false">IF($P137=0,"",IF($F137="Baseline","— Baseline",IF($O137=0,"No result",IF($N137=0,"No Start (attainment only)",IF(OR($N137=1,$O137=1),"U – needs rule",INDEX(MxBody,MATCH($I137,MxCurr,0),MATCH($H137,MxStart,0)))))))</f>
        <v/>
      </c>
      <c r="L137" s="62" t="str">
        <f aca="false">IF(COUNTA($A137,$F137,$G137,$H137,$I137,$J137)=0,"",IF($M137=0,"✖ كود الصف غير موجود",IF(ISNA(MATCH($F137,Lists!$A$2:$A$5,0)),"✖ الفترة غير صحيحة",IF(ISNA(MATCH($G137,Lists!$B$2:$B$7,0)),"✖ المجموعة غير صحيحة",IF(NOT(OR($H137="",$N137&gt;0)),"✖ Start غير صحيح",IF(NOT(OR($I137="",$I137="NR",$O137&gt;0)),"✖ Current غير صحيح",IF(NOT(IF(ISNUMBER($J137),AND($J137&gt;=0,$J137=INT($J137)),FALSE())),"✖ العدد يجب أن يكون صحيحًا ≥ 0",IF(AND($F137="Baseline",$H137&lt;&gt;""),"⚠ Baseline: Start لا يدخل في التقدم",IF($K137="No Start (attainment only)","ℹ تحصيل فقط (بدون Start)",IF($K137="U – needs rule","ℹ حالة U تحتاج قاعدة معتمدة",IF($K137="No result","ℹ بدون نتيجة (يُستبعد من التحصيل)","OK")))))))))))</f>
        <v/>
      </c>
      <c r="M137" s="64" t="n">
        <f aca="false">IF($A137="",0,IFERROR(MATCH($A137,Classes!$A$6:$A$420,0),0))</f>
        <v>0</v>
      </c>
      <c r="N137" s="64" t="n">
        <f aca="false">IF($H137="",0,IFERROR(MATCH($H137,GradeList,0),0))</f>
        <v>0</v>
      </c>
      <c r="O137" s="64" t="n">
        <f aca="false">IF(OR($I137="",$I137="NR"),0,IFERROR(MATCH($I137,GradeList,0),0))</f>
        <v>0</v>
      </c>
      <c r="P137" s="64" t="n">
        <f aca="false">IF(AND($M137&gt;0,ISNUMBER(MATCH($F137,Lists!$A$2:$A$5,0)),ISNUMBER(MATCH($G137,Lists!$B$2:$B$7,0)),OR($H137="",$N137&gt;0),OR($I137="",$I137="NR",$O137&gt;0),IF(ISNUMBER($J137),AND($J137&gt;=0,$J137=INT($J137)),FALSE())),$J137,0)</f>
        <v>0</v>
      </c>
      <c r="Q137" s="64" t="n">
        <f aca="false">IF(AND($P137&gt;0,$O137&gt;0),$P137,0)</f>
        <v>0</v>
      </c>
      <c r="R137" s="64" t="n">
        <f aca="false">IF(AND($Q137&gt;0,$O137&gt;=AtRank),$Q137,0)</f>
        <v>0</v>
      </c>
      <c r="S137" s="64" t="n">
        <f aca="false">IF(AND($Q137&gt;0,$O137&gt;=AboveRank),$Q137,0)</f>
        <v>0</v>
      </c>
      <c r="T137" s="64" t="n">
        <f aca="false">IF($K137="Less",$P137,0)</f>
        <v>0</v>
      </c>
      <c r="U137" s="64" t="n">
        <f aca="false">IF($K137="Expected",$P137,0)</f>
        <v>0</v>
      </c>
      <c r="V137" s="64" t="n">
        <f aca="false">IF($K137="Better",$P137,0)</f>
        <v>0</v>
      </c>
      <c r="W137" s="64" t="n">
        <f aca="false">IF($K137="U – needs rule",$P137,0)</f>
        <v>0</v>
      </c>
      <c r="X137" s="64" t="n">
        <f aca="false">IF($K137="No Start (attainment only)",$P137,0)</f>
        <v>0</v>
      </c>
    </row>
    <row r="138" customFormat="false" ht="15" hidden="false" customHeight="false" outlineLevel="0" collapsed="false">
      <c r="A138" s="60"/>
      <c r="B138" s="61" t="str">
        <f aca="false">IF($M138=0,"",INDEX(Classes!$E$6:$E$420,$M138))</f>
        <v/>
      </c>
      <c r="C138" s="62" t="str">
        <f aca="false">IF($M138=0,"",INDEX(Classes!$H$6:$H$420,$M138))</f>
        <v/>
      </c>
      <c r="D138" s="61" t="str">
        <f aca="false">IF($M138=0,"",INDEX(Classes!$B$6:$B$420,$M138))</f>
        <v/>
      </c>
      <c r="E138" s="61" t="str">
        <f aca="false">IF($M138=0,"",INDEX(Classes!$C$6:$C$420,$M138))</f>
        <v/>
      </c>
      <c r="F138" s="63"/>
      <c r="G138" s="63"/>
      <c r="H138" s="60"/>
      <c r="I138" s="60"/>
      <c r="J138" s="63"/>
      <c r="K138" s="61" t="str">
        <f aca="false">IF($P138=0,"",IF($F138="Baseline","— Baseline",IF($O138=0,"No result",IF($N138=0,"No Start (attainment only)",IF(OR($N138=1,$O138=1),"U – needs rule",INDEX(MxBody,MATCH($I138,MxCurr,0),MATCH($H138,MxStart,0)))))))</f>
        <v/>
      </c>
      <c r="L138" s="62" t="str">
        <f aca="false">IF(COUNTA($A138,$F138,$G138,$H138,$I138,$J138)=0,"",IF($M138=0,"✖ كود الصف غير موجود",IF(ISNA(MATCH($F138,Lists!$A$2:$A$5,0)),"✖ الفترة غير صحيحة",IF(ISNA(MATCH($G138,Lists!$B$2:$B$7,0)),"✖ المجموعة غير صحيحة",IF(NOT(OR($H138="",$N138&gt;0)),"✖ Start غير صحيح",IF(NOT(OR($I138="",$I138="NR",$O138&gt;0)),"✖ Current غير صحيح",IF(NOT(IF(ISNUMBER($J138),AND($J138&gt;=0,$J138=INT($J138)),FALSE())),"✖ العدد يجب أن يكون صحيحًا ≥ 0",IF(AND($F138="Baseline",$H138&lt;&gt;""),"⚠ Baseline: Start لا يدخل في التقدم",IF($K138="No Start (attainment only)","ℹ تحصيل فقط (بدون Start)",IF($K138="U – needs rule","ℹ حالة U تحتاج قاعدة معتمدة",IF($K138="No result","ℹ بدون نتيجة (يُستبعد من التحصيل)","OK")))))))))))</f>
        <v/>
      </c>
      <c r="M138" s="64" t="n">
        <f aca="false">IF($A138="",0,IFERROR(MATCH($A138,Classes!$A$6:$A$420,0),0))</f>
        <v>0</v>
      </c>
      <c r="N138" s="64" t="n">
        <f aca="false">IF($H138="",0,IFERROR(MATCH($H138,GradeList,0),0))</f>
        <v>0</v>
      </c>
      <c r="O138" s="64" t="n">
        <f aca="false">IF(OR($I138="",$I138="NR"),0,IFERROR(MATCH($I138,GradeList,0),0))</f>
        <v>0</v>
      </c>
      <c r="P138" s="64" t="n">
        <f aca="false">IF(AND($M138&gt;0,ISNUMBER(MATCH($F138,Lists!$A$2:$A$5,0)),ISNUMBER(MATCH($G138,Lists!$B$2:$B$7,0)),OR($H138="",$N138&gt;0),OR($I138="",$I138="NR",$O138&gt;0),IF(ISNUMBER($J138),AND($J138&gt;=0,$J138=INT($J138)),FALSE())),$J138,0)</f>
        <v>0</v>
      </c>
      <c r="Q138" s="64" t="n">
        <f aca="false">IF(AND($P138&gt;0,$O138&gt;0),$P138,0)</f>
        <v>0</v>
      </c>
      <c r="R138" s="64" t="n">
        <f aca="false">IF(AND($Q138&gt;0,$O138&gt;=AtRank),$Q138,0)</f>
        <v>0</v>
      </c>
      <c r="S138" s="64" t="n">
        <f aca="false">IF(AND($Q138&gt;0,$O138&gt;=AboveRank),$Q138,0)</f>
        <v>0</v>
      </c>
      <c r="T138" s="64" t="n">
        <f aca="false">IF($K138="Less",$P138,0)</f>
        <v>0</v>
      </c>
      <c r="U138" s="64" t="n">
        <f aca="false">IF($K138="Expected",$P138,0)</f>
        <v>0</v>
      </c>
      <c r="V138" s="64" t="n">
        <f aca="false">IF($K138="Better",$P138,0)</f>
        <v>0</v>
      </c>
      <c r="W138" s="64" t="n">
        <f aca="false">IF($K138="U – needs rule",$P138,0)</f>
        <v>0</v>
      </c>
      <c r="X138" s="64" t="n">
        <f aca="false">IF($K138="No Start (attainment only)",$P138,0)</f>
        <v>0</v>
      </c>
    </row>
    <row r="139" customFormat="false" ht="15" hidden="false" customHeight="false" outlineLevel="0" collapsed="false">
      <c r="A139" s="60"/>
      <c r="B139" s="61" t="str">
        <f aca="false">IF($M139=0,"",INDEX(Classes!$E$6:$E$420,$M139))</f>
        <v/>
      </c>
      <c r="C139" s="62" t="str">
        <f aca="false">IF($M139=0,"",INDEX(Classes!$H$6:$H$420,$M139))</f>
        <v/>
      </c>
      <c r="D139" s="61" t="str">
        <f aca="false">IF($M139=0,"",INDEX(Classes!$B$6:$B$420,$M139))</f>
        <v/>
      </c>
      <c r="E139" s="61" t="str">
        <f aca="false">IF($M139=0,"",INDEX(Classes!$C$6:$C$420,$M139))</f>
        <v/>
      </c>
      <c r="F139" s="63"/>
      <c r="G139" s="63"/>
      <c r="H139" s="60"/>
      <c r="I139" s="60"/>
      <c r="J139" s="63"/>
      <c r="K139" s="61" t="str">
        <f aca="false">IF($P139=0,"",IF($F139="Baseline","— Baseline",IF($O139=0,"No result",IF($N139=0,"No Start (attainment only)",IF(OR($N139=1,$O139=1),"U – needs rule",INDEX(MxBody,MATCH($I139,MxCurr,0),MATCH($H139,MxStart,0)))))))</f>
        <v/>
      </c>
      <c r="L139" s="62" t="str">
        <f aca="false">IF(COUNTA($A139,$F139,$G139,$H139,$I139,$J139)=0,"",IF($M139=0,"✖ كود الصف غير موجود",IF(ISNA(MATCH($F139,Lists!$A$2:$A$5,0)),"✖ الفترة غير صحيحة",IF(ISNA(MATCH($G139,Lists!$B$2:$B$7,0)),"✖ المجموعة غير صحيحة",IF(NOT(OR($H139="",$N139&gt;0)),"✖ Start غير صحيح",IF(NOT(OR($I139="",$I139="NR",$O139&gt;0)),"✖ Current غير صحيح",IF(NOT(IF(ISNUMBER($J139),AND($J139&gt;=0,$J139=INT($J139)),FALSE())),"✖ العدد يجب أن يكون صحيحًا ≥ 0",IF(AND($F139="Baseline",$H139&lt;&gt;""),"⚠ Baseline: Start لا يدخل في التقدم",IF($K139="No Start (attainment only)","ℹ تحصيل فقط (بدون Start)",IF($K139="U – needs rule","ℹ حالة U تحتاج قاعدة معتمدة",IF($K139="No result","ℹ بدون نتيجة (يُستبعد من التحصيل)","OK")))))))))))</f>
        <v/>
      </c>
      <c r="M139" s="64" t="n">
        <f aca="false">IF($A139="",0,IFERROR(MATCH($A139,Classes!$A$6:$A$420,0),0))</f>
        <v>0</v>
      </c>
      <c r="N139" s="64" t="n">
        <f aca="false">IF($H139="",0,IFERROR(MATCH($H139,GradeList,0),0))</f>
        <v>0</v>
      </c>
      <c r="O139" s="64" t="n">
        <f aca="false">IF(OR($I139="",$I139="NR"),0,IFERROR(MATCH($I139,GradeList,0),0))</f>
        <v>0</v>
      </c>
      <c r="P139" s="64" t="n">
        <f aca="false">IF(AND($M139&gt;0,ISNUMBER(MATCH($F139,Lists!$A$2:$A$5,0)),ISNUMBER(MATCH($G139,Lists!$B$2:$B$7,0)),OR($H139="",$N139&gt;0),OR($I139="",$I139="NR",$O139&gt;0),IF(ISNUMBER($J139),AND($J139&gt;=0,$J139=INT($J139)),FALSE())),$J139,0)</f>
        <v>0</v>
      </c>
      <c r="Q139" s="64" t="n">
        <f aca="false">IF(AND($P139&gt;0,$O139&gt;0),$P139,0)</f>
        <v>0</v>
      </c>
      <c r="R139" s="64" t="n">
        <f aca="false">IF(AND($Q139&gt;0,$O139&gt;=AtRank),$Q139,0)</f>
        <v>0</v>
      </c>
      <c r="S139" s="64" t="n">
        <f aca="false">IF(AND($Q139&gt;0,$O139&gt;=AboveRank),$Q139,0)</f>
        <v>0</v>
      </c>
      <c r="T139" s="64" t="n">
        <f aca="false">IF($K139="Less",$P139,0)</f>
        <v>0</v>
      </c>
      <c r="U139" s="64" t="n">
        <f aca="false">IF($K139="Expected",$P139,0)</f>
        <v>0</v>
      </c>
      <c r="V139" s="64" t="n">
        <f aca="false">IF($K139="Better",$P139,0)</f>
        <v>0</v>
      </c>
      <c r="W139" s="64" t="n">
        <f aca="false">IF($K139="U – needs rule",$P139,0)</f>
        <v>0</v>
      </c>
      <c r="X139" s="64" t="n">
        <f aca="false">IF($K139="No Start (attainment only)",$P139,0)</f>
        <v>0</v>
      </c>
    </row>
    <row r="140" customFormat="false" ht="15" hidden="false" customHeight="false" outlineLevel="0" collapsed="false">
      <c r="A140" s="60"/>
      <c r="B140" s="61" t="str">
        <f aca="false">IF($M140=0,"",INDEX(Classes!$E$6:$E$420,$M140))</f>
        <v/>
      </c>
      <c r="C140" s="62" t="str">
        <f aca="false">IF($M140=0,"",INDEX(Classes!$H$6:$H$420,$M140))</f>
        <v/>
      </c>
      <c r="D140" s="61" t="str">
        <f aca="false">IF($M140=0,"",INDEX(Classes!$B$6:$B$420,$M140))</f>
        <v/>
      </c>
      <c r="E140" s="61" t="str">
        <f aca="false">IF($M140=0,"",INDEX(Classes!$C$6:$C$420,$M140))</f>
        <v/>
      </c>
      <c r="F140" s="63"/>
      <c r="G140" s="63"/>
      <c r="H140" s="60"/>
      <c r="I140" s="60"/>
      <c r="J140" s="63"/>
      <c r="K140" s="61" t="str">
        <f aca="false">IF($P140=0,"",IF($F140="Baseline","— Baseline",IF($O140=0,"No result",IF($N140=0,"No Start (attainment only)",IF(OR($N140=1,$O140=1),"U – needs rule",INDEX(MxBody,MATCH($I140,MxCurr,0),MATCH($H140,MxStart,0)))))))</f>
        <v/>
      </c>
      <c r="L140" s="62" t="str">
        <f aca="false">IF(COUNTA($A140,$F140,$G140,$H140,$I140,$J140)=0,"",IF($M140=0,"✖ كود الصف غير موجود",IF(ISNA(MATCH($F140,Lists!$A$2:$A$5,0)),"✖ الفترة غير صحيحة",IF(ISNA(MATCH($G140,Lists!$B$2:$B$7,0)),"✖ المجموعة غير صحيحة",IF(NOT(OR($H140="",$N140&gt;0)),"✖ Start غير صحيح",IF(NOT(OR($I140="",$I140="NR",$O140&gt;0)),"✖ Current غير صحيح",IF(NOT(IF(ISNUMBER($J140),AND($J140&gt;=0,$J140=INT($J140)),FALSE())),"✖ العدد يجب أن يكون صحيحًا ≥ 0",IF(AND($F140="Baseline",$H140&lt;&gt;""),"⚠ Baseline: Start لا يدخل في التقدم",IF($K140="No Start (attainment only)","ℹ تحصيل فقط (بدون Start)",IF($K140="U – needs rule","ℹ حالة U تحتاج قاعدة معتمدة",IF($K140="No result","ℹ بدون نتيجة (يُستبعد من التحصيل)","OK")))))))))))</f>
        <v/>
      </c>
      <c r="M140" s="64" t="n">
        <f aca="false">IF($A140="",0,IFERROR(MATCH($A140,Classes!$A$6:$A$420,0),0))</f>
        <v>0</v>
      </c>
      <c r="N140" s="64" t="n">
        <f aca="false">IF($H140="",0,IFERROR(MATCH($H140,GradeList,0),0))</f>
        <v>0</v>
      </c>
      <c r="O140" s="64" t="n">
        <f aca="false">IF(OR($I140="",$I140="NR"),0,IFERROR(MATCH($I140,GradeList,0),0))</f>
        <v>0</v>
      </c>
      <c r="P140" s="64" t="n">
        <f aca="false">IF(AND($M140&gt;0,ISNUMBER(MATCH($F140,Lists!$A$2:$A$5,0)),ISNUMBER(MATCH($G140,Lists!$B$2:$B$7,0)),OR($H140="",$N140&gt;0),OR($I140="",$I140="NR",$O140&gt;0),IF(ISNUMBER($J140),AND($J140&gt;=0,$J140=INT($J140)),FALSE())),$J140,0)</f>
        <v>0</v>
      </c>
      <c r="Q140" s="64" t="n">
        <f aca="false">IF(AND($P140&gt;0,$O140&gt;0),$P140,0)</f>
        <v>0</v>
      </c>
      <c r="R140" s="64" t="n">
        <f aca="false">IF(AND($Q140&gt;0,$O140&gt;=AtRank),$Q140,0)</f>
        <v>0</v>
      </c>
      <c r="S140" s="64" t="n">
        <f aca="false">IF(AND($Q140&gt;0,$O140&gt;=AboveRank),$Q140,0)</f>
        <v>0</v>
      </c>
      <c r="T140" s="64" t="n">
        <f aca="false">IF($K140="Less",$P140,0)</f>
        <v>0</v>
      </c>
      <c r="U140" s="64" t="n">
        <f aca="false">IF($K140="Expected",$P140,0)</f>
        <v>0</v>
      </c>
      <c r="V140" s="64" t="n">
        <f aca="false">IF($K140="Better",$P140,0)</f>
        <v>0</v>
      </c>
      <c r="W140" s="64" t="n">
        <f aca="false">IF($K140="U – needs rule",$P140,0)</f>
        <v>0</v>
      </c>
      <c r="X140" s="64" t="n">
        <f aca="false">IF($K140="No Start (attainment only)",$P140,0)</f>
        <v>0</v>
      </c>
    </row>
    <row r="141" customFormat="false" ht="15" hidden="false" customHeight="false" outlineLevel="0" collapsed="false">
      <c r="A141" s="60"/>
      <c r="B141" s="61" t="str">
        <f aca="false">IF($M141=0,"",INDEX(Classes!$E$6:$E$420,$M141))</f>
        <v/>
      </c>
      <c r="C141" s="62" t="str">
        <f aca="false">IF($M141=0,"",INDEX(Classes!$H$6:$H$420,$M141))</f>
        <v/>
      </c>
      <c r="D141" s="61" t="str">
        <f aca="false">IF($M141=0,"",INDEX(Classes!$B$6:$B$420,$M141))</f>
        <v/>
      </c>
      <c r="E141" s="61" t="str">
        <f aca="false">IF($M141=0,"",INDEX(Classes!$C$6:$C$420,$M141))</f>
        <v/>
      </c>
      <c r="F141" s="63"/>
      <c r="G141" s="63"/>
      <c r="H141" s="60"/>
      <c r="I141" s="60"/>
      <c r="J141" s="63"/>
      <c r="K141" s="61" t="str">
        <f aca="false">IF($P141=0,"",IF($F141="Baseline","— Baseline",IF($O141=0,"No result",IF($N141=0,"No Start (attainment only)",IF(OR($N141=1,$O141=1),"U – needs rule",INDEX(MxBody,MATCH($I141,MxCurr,0),MATCH($H141,MxStart,0)))))))</f>
        <v/>
      </c>
      <c r="L141" s="62" t="str">
        <f aca="false">IF(COUNTA($A141,$F141,$G141,$H141,$I141,$J141)=0,"",IF($M141=0,"✖ كود الصف غير موجود",IF(ISNA(MATCH($F141,Lists!$A$2:$A$5,0)),"✖ الفترة غير صحيحة",IF(ISNA(MATCH($G141,Lists!$B$2:$B$7,0)),"✖ المجموعة غير صحيحة",IF(NOT(OR($H141="",$N141&gt;0)),"✖ Start غير صحيح",IF(NOT(OR($I141="",$I141="NR",$O141&gt;0)),"✖ Current غير صحيح",IF(NOT(IF(ISNUMBER($J141),AND($J141&gt;=0,$J141=INT($J141)),FALSE())),"✖ العدد يجب أن يكون صحيحًا ≥ 0",IF(AND($F141="Baseline",$H141&lt;&gt;""),"⚠ Baseline: Start لا يدخل في التقدم",IF($K141="No Start (attainment only)","ℹ تحصيل فقط (بدون Start)",IF($K141="U – needs rule","ℹ حالة U تحتاج قاعدة معتمدة",IF($K141="No result","ℹ بدون نتيجة (يُستبعد من التحصيل)","OK")))))))))))</f>
        <v/>
      </c>
      <c r="M141" s="64" t="n">
        <f aca="false">IF($A141="",0,IFERROR(MATCH($A141,Classes!$A$6:$A$420,0),0))</f>
        <v>0</v>
      </c>
      <c r="N141" s="64" t="n">
        <f aca="false">IF($H141="",0,IFERROR(MATCH($H141,GradeList,0),0))</f>
        <v>0</v>
      </c>
      <c r="O141" s="64" t="n">
        <f aca="false">IF(OR($I141="",$I141="NR"),0,IFERROR(MATCH($I141,GradeList,0),0))</f>
        <v>0</v>
      </c>
      <c r="P141" s="64" t="n">
        <f aca="false">IF(AND($M141&gt;0,ISNUMBER(MATCH($F141,Lists!$A$2:$A$5,0)),ISNUMBER(MATCH($G141,Lists!$B$2:$B$7,0)),OR($H141="",$N141&gt;0),OR($I141="",$I141="NR",$O141&gt;0),IF(ISNUMBER($J141),AND($J141&gt;=0,$J141=INT($J141)),FALSE())),$J141,0)</f>
        <v>0</v>
      </c>
      <c r="Q141" s="64" t="n">
        <f aca="false">IF(AND($P141&gt;0,$O141&gt;0),$P141,0)</f>
        <v>0</v>
      </c>
      <c r="R141" s="64" t="n">
        <f aca="false">IF(AND($Q141&gt;0,$O141&gt;=AtRank),$Q141,0)</f>
        <v>0</v>
      </c>
      <c r="S141" s="64" t="n">
        <f aca="false">IF(AND($Q141&gt;0,$O141&gt;=AboveRank),$Q141,0)</f>
        <v>0</v>
      </c>
      <c r="T141" s="64" t="n">
        <f aca="false">IF($K141="Less",$P141,0)</f>
        <v>0</v>
      </c>
      <c r="U141" s="64" t="n">
        <f aca="false">IF($K141="Expected",$P141,0)</f>
        <v>0</v>
      </c>
      <c r="V141" s="64" t="n">
        <f aca="false">IF($K141="Better",$P141,0)</f>
        <v>0</v>
      </c>
      <c r="W141" s="64" t="n">
        <f aca="false">IF($K141="U – needs rule",$P141,0)</f>
        <v>0</v>
      </c>
      <c r="X141" s="64" t="n">
        <f aca="false">IF($K141="No Start (attainment only)",$P141,0)</f>
        <v>0</v>
      </c>
    </row>
    <row r="142" customFormat="false" ht="15" hidden="false" customHeight="false" outlineLevel="0" collapsed="false">
      <c r="A142" s="60"/>
      <c r="B142" s="61" t="str">
        <f aca="false">IF($M142=0,"",INDEX(Classes!$E$6:$E$420,$M142))</f>
        <v/>
      </c>
      <c r="C142" s="62" t="str">
        <f aca="false">IF($M142=0,"",INDEX(Classes!$H$6:$H$420,$M142))</f>
        <v/>
      </c>
      <c r="D142" s="61" t="str">
        <f aca="false">IF($M142=0,"",INDEX(Classes!$B$6:$B$420,$M142))</f>
        <v/>
      </c>
      <c r="E142" s="61" t="str">
        <f aca="false">IF($M142=0,"",INDEX(Classes!$C$6:$C$420,$M142))</f>
        <v/>
      </c>
      <c r="F142" s="63"/>
      <c r="G142" s="63"/>
      <c r="H142" s="60"/>
      <c r="I142" s="60"/>
      <c r="J142" s="63"/>
      <c r="K142" s="61" t="str">
        <f aca="false">IF($P142=0,"",IF($F142="Baseline","— Baseline",IF($O142=0,"No result",IF($N142=0,"No Start (attainment only)",IF(OR($N142=1,$O142=1),"U – needs rule",INDEX(MxBody,MATCH($I142,MxCurr,0),MATCH($H142,MxStart,0)))))))</f>
        <v/>
      </c>
      <c r="L142" s="62" t="str">
        <f aca="false">IF(COUNTA($A142,$F142,$G142,$H142,$I142,$J142)=0,"",IF($M142=0,"✖ كود الصف غير موجود",IF(ISNA(MATCH($F142,Lists!$A$2:$A$5,0)),"✖ الفترة غير صحيحة",IF(ISNA(MATCH($G142,Lists!$B$2:$B$7,0)),"✖ المجموعة غير صحيحة",IF(NOT(OR($H142="",$N142&gt;0)),"✖ Start غير صحيح",IF(NOT(OR($I142="",$I142="NR",$O142&gt;0)),"✖ Current غير صحيح",IF(NOT(IF(ISNUMBER($J142),AND($J142&gt;=0,$J142=INT($J142)),FALSE())),"✖ العدد يجب أن يكون صحيحًا ≥ 0",IF(AND($F142="Baseline",$H142&lt;&gt;""),"⚠ Baseline: Start لا يدخل في التقدم",IF($K142="No Start (attainment only)","ℹ تحصيل فقط (بدون Start)",IF($K142="U – needs rule","ℹ حالة U تحتاج قاعدة معتمدة",IF($K142="No result","ℹ بدون نتيجة (يُستبعد من التحصيل)","OK")))))))))))</f>
        <v/>
      </c>
      <c r="M142" s="64" t="n">
        <f aca="false">IF($A142="",0,IFERROR(MATCH($A142,Classes!$A$6:$A$420,0),0))</f>
        <v>0</v>
      </c>
      <c r="N142" s="64" t="n">
        <f aca="false">IF($H142="",0,IFERROR(MATCH($H142,GradeList,0),0))</f>
        <v>0</v>
      </c>
      <c r="O142" s="64" t="n">
        <f aca="false">IF(OR($I142="",$I142="NR"),0,IFERROR(MATCH($I142,GradeList,0),0))</f>
        <v>0</v>
      </c>
      <c r="P142" s="64" t="n">
        <f aca="false">IF(AND($M142&gt;0,ISNUMBER(MATCH($F142,Lists!$A$2:$A$5,0)),ISNUMBER(MATCH($G142,Lists!$B$2:$B$7,0)),OR($H142="",$N142&gt;0),OR($I142="",$I142="NR",$O142&gt;0),IF(ISNUMBER($J142),AND($J142&gt;=0,$J142=INT($J142)),FALSE())),$J142,0)</f>
        <v>0</v>
      </c>
      <c r="Q142" s="64" t="n">
        <f aca="false">IF(AND($P142&gt;0,$O142&gt;0),$P142,0)</f>
        <v>0</v>
      </c>
      <c r="R142" s="64" t="n">
        <f aca="false">IF(AND($Q142&gt;0,$O142&gt;=AtRank),$Q142,0)</f>
        <v>0</v>
      </c>
      <c r="S142" s="64" t="n">
        <f aca="false">IF(AND($Q142&gt;0,$O142&gt;=AboveRank),$Q142,0)</f>
        <v>0</v>
      </c>
      <c r="T142" s="64" t="n">
        <f aca="false">IF($K142="Less",$P142,0)</f>
        <v>0</v>
      </c>
      <c r="U142" s="64" t="n">
        <f aca="false">IF($K142="Expected",$P142,0)</f>
        <v>0</v>
      </c>
      <c r="V142" s="64" t="n">
        <f aca="false">IF($K142="Better",$P142,0)</f>
        <v>0</v>
      </c>
      <c r="W142" s="64" t="n">
        <f aca="false">IF($K142="U – needs rule",$P142,0)</f>
        <v>0</v>
      </c>
      <c r="X142" s="64" t="n">
        <f aca="false">IF($K142="No Start (attainment only)",$P142,0)</f>
        <v>0</v>
      </c>
    </row>
    <row r="143" customFormat="false" ht="15" hidden="false" customHeight="false" outlineLevel="0" collapsed="false">
      <c r="A143" s="60"/>
      <c r="B143" s="61" t="str">
        <f aca="false">IF($M143=0,"",INDEX(Classes!$E$6:$E$420,$M143))</f>
        <v/>
      </c>
      <c r="C143" s="62" t="str">
        <f aca="false">IF($M143=0,"",INDEX(Classes!$H$6:$H$420,$M143))</f>
        <v/>
      </c>
      <c r="D143" s="61" t="str">
        <f aca="false">IF($M143=0,"",INDEX(Classes!$B$6:$B$420,$M143))</f>
        <v/>
      </c>
      <c r="E143" s="61" t="str">
        <f aca="false">IF($M143=0,"",INDEX(Classes!$C$6:$C$420,$M143))</f>
        <v/>
      </c>
      <c r="F143" s="63"/>
      <c r="G143" s="63"/>
      <c r="H143" s="60"/>
      <c r="I143" s="60"/>
      <c r="J143" s="63"/>
      <c r="K143" s="61" t="str">
        <f aca="false">IF($P143=0,"",IF($F143="Baseline","— Baseline",IF($O143=0,"No result",IF($N143=0,"No Start (attainment only)",IF(OR($N143=1,$O143=1),"U – needs rule",INDEX(MxBody,MATCH($I143,MxCurr,0),MATCH($H143,MxStart,0)))))))</f>
        <v/>
      </c>
      <c r="L143" s="62" t="str">
        <f aca="false">IF(COUNTA($A143,$F143,$G143,$H143,$I143,$J143)=0,"",IF($M143=0,"✖ كود الصف غير موجود",IF(ISNA(MATCH($F143,Lists!$A$2:$A$5,0)),"✖ الفترة غير صحيحة",IF(ISNA(MATCH($G143,Lists!$B$2:$B$7,0)),"✖ المجموعة غير صحيحة",IF(NOT(OR($H143="",$N143&gt;0)),"✖ Start غير صحيح",IF(NOT(OR($I143="",$I143="NR",$O143&gt;0)),"✖ Current غير صحيح",IF(NOT(IF(ISNUMBER($J143),AND($J143&gt;=0,$J143=INT($J143)),FALSE())),"✖ العدد يجب أن يكون صحيحًا ≥ 0",IF(AND($F143="Baseline",$H143&lt;&gt;""),"⚠ Baseline: Start لا يدخل في التقدم",IF($K143="No Start (attainment only)","ℹ تحصيل فقط (بدون Start)",IF($K143="U – needs rule","ℹ حالة U تحتاج قاعدة معتمدة",IF($K143="No result","ℹ بدون نتيجة (يُستبعد من التحصيل)","OK")))))))))))</f>
        <v/>
      </c>
      <c r="M143" s="64" t="n">
        <f aca="false">IF($A143="",0,IFERROR(MATCH($A143,Classes!$A$6:$A$420,0),0))</f>
        <v>0</v>
      </c>
      <c r="N143" s="64" t="n">
        <f aca="false">IF($H143="",0,IFERROR(MATCH($H143,GradeList,0),0))</f>
        <v>0</v>
      </c>
      <c r="O143" s="64" t="n">
        <f aca="false">IF(OR($I143="",$I143="NR"),0,IFERROR(MATCH($I143,GradeList,0),0))</f>
        <v>0</v>
      </c>
      <c r="P143" s="64" t="n">
        <f aca="false">IF(AND($M143&gt;0,ISNUMBER(MATCH($F143,Lists!$A$2:$A$5,0)),ISNUMBER(MATCH($G143,Lists!$B$2:$B$7,0)),OR($H143="",$N143&gt;0),OR($I143="",$I143="NR",$O143&gt;0),IF(ISNUMBER($J143),AND($J143&gt;=0,$J143=INT($J143)),FALSE())),$J143,0)</f>
        <v>0</v>
      </c>
      <c r="Q143" s="64" t="n">
        <f aca="false">IF(AND($P143&gt;0,$O143&gt;0),$P143,0)</f>
        <v>0</v>
      </c>
      <c r="R143" s="64" t="n">
        <f aca="false">IF(AND($Q143&gt;0,$O143&gt;=AtRank),$Q143,0)</f>
        <v>0</v>
      </c>
      <c r="S143" s="64" t="n">
        <f aca="false">IF(AND($Q143&gt;0,$O143&gt;=AboveRank),$Q143,0)</f>
        <v>0</v>
      </c>
      <c r="T143" s="64" t="n">
        <f aca="false">IF($K143="Less",$P143,0)</f>
        <v>0</v>
      </c>
      <c r="U143" s="64" t="n">
        <f aca="false">IF($K143="Expected",$P143,0)</f>
        <v>0</v>
      </c>
      <c r="V143" s="64" t="n">
        <f aca="false">IF($K143="Better",$P143,0)</f>
        <v>0</v>
      </c>
      <c r="W143" s="64" t="n">
        <f aca="false">IF($K143="U – needs rule",$P143,0)</f>
        <v>0</v>
      </c>
      <c r="X143" s="64" t="n">
        <f aca="false">IF($K143="No Start (attainment only)",$P143,0)</f>
        <v>0</v>
      </c>
    </row>
    <row r="144" customFormat="false" ht="15" hidden="false" customHeight="false" outlineLevel="0" collapsed="false">
      <c r="A144" s="60"/>
      <c r="B144" s="61" t="str">
        <f aca="false">IF($M144=0,"",INDEX(Classes!$E$6:$E$420,$M144))</f>
        <v/>
      </c>
      <c r="C144" s="62" t="str">
        <f aca="false">IF($M144=0,"",INDEX(Classes!$H$6:$H$420,$M144))</f>
        <v/>
      </c>
      <c r="D144" s="61" t="str">
        <f aca="false">IF($M144=0,"",INDEX(Classes!$B$6:$B$420,$M144))</f>
        <v/>
      </c>
      <c r="E144" s="61" t="str">
        <f aca="false">IF($M144=0,"",INDEX(Classes!$C$6:$C$420,$M144))</f>
        <v/>
      </c>
      <c r="F144" s="63"/>
      <c r="G144" s="63"/>
      <c r="H144" s="60"/>
      <c r="I144" s="60"/>
      <c r="J144" s="63"/>
      <c r="K144" s="61" t="str">
        <f aca="false">IF($P144=0,"",IF($F144="Baseline","— Baseline",IF($O144=0,"No result",IF($N144=0,"No Start (attainment only)",IF(OR($N144=1,$O144=1),"U – needs rule",INDEX(MxBody,MATCH($I144,MxCurr,0),MATCH($H144,MxStart,0)))))))</f>
        <v/>
      </c>
      <c r="L144" s="62" t="str">
        <f aca="false">IF(COUNTA($A144,$F144,$G144,$H144,$I144,$J144)=0,"",IF($M144=0,"✖ كود الصف غير موجود",IF(ISNA(MATCH($F144,Lists!$A$2:$A$5,0)),"✖ الفترة غير صحيحة",IF(ISNA(MATCH($G144,Lists!$B$2:$B$7,0)),"✖ المجموعة غير صحيحة",IF(NOT(OR($H144="",$N144&gt;0)),"✖ Start غير صحيح",IF(NOT(OR($I144="",$I144="NR",$O144&gt;0)),"✖ Current غير صحيح",IF(NOT(IF(ISNUMBER($J144),AND($J144&gt;=0,$J144=INT($J144)),FALSE())),"✖ العدد يجب أن يكون صحيحًا ≥ 0",IF(AND($F144="Baseline",$H144&lt;&gt;""),"⚠ Baseline: Start لا يدخل في التقدم",IF($K144="No Start (attainment only)","ℹ تحصيل فقط (بدون Start)",IF($K144="U – needs rule","ℹ حالة U تحتاج قاعدة معتمدة",IF($K144="No result","ℹ بدون نتيجة (يُستبعد من التحصيل)","OK")))))))))))</f>
        <v/>
      </c>
      <c r="M144" s="64" t="n">
        <f aca="false">IF($A144="",0,IFERROR(MATCH($A144,Classes!$A$6:$A$420,0),0))</f>
        <v>0</v>
      </c>
      <c r="N144" s="64" t="n">
        <f aca="false">IF($H144="",0,IFERROR(MATCH($H144,GradeList,0),0))</f>
        <v>0</v>
      </c>
      <c r="O144" s="64" t="n">
        <f aca="false">IF(OR($I144="",$I144="NR"),0,IFERROR(MATCH($I144,GradeList,0),0))</f>
        <v>0</v>
      </c>
      <c r="P144" s="64" t="n">
        <f aca="false">IF(AND($M144&gt;0,ISNUMBER(MATCH($F144,Lists!$A$2:$A$5,0)),ISNUMBER(MATCH($G144,Lists!$B$2:$B$7,0)),OR($H144="",$N144&gt;0),OR($I144="",$I144="NR",$O144&gt;0),IF(ISNUMBER($J144),AND($J144&gt;=0,$J144=INT($J144)),FALSE())),$J144,0)</f>
        <v>0</v>
      </c>
      <c r="Q144" s="64" t="n">
        <f aca="false">IF(AND($P144&gt;0,$O144&gt;0),$P144,0)</f>
        <v>0</v>
      </c>
      <c r="R144" s="64" t="n">
        <f aca="false">IF(AND($Q144&gt;0,$O144&gt;=AtRank),$Q144,0)</f>
        <v>0</v>
      </c>
      <c r="S144" s="64" t="n">
        <f aca="false">IF(AND($Q144&gt;0,$O144&gt;=AboveRank),$Q144,0)</f>
        <v>0</v>
      </c>
      <c r="T144" s="64" t="n">
        <f aca="false">IF($K144="Less",$P144,0)</f>
        <v>0</v>
      </c>
      <c r="U144" s="64" t="n">
        <f aca="false">IF($K144="Expected",$P144,0)</f>
        <v>0</v>
      </c>
      <c r="V144" s="64" t="n">
        <f aca="false">IF($K144="Better",$P144,0)</f>
        <v>0</v>
      </c>
      <c r="W144" s="64" t="n">
        <f aca="false">IF($K144="U – needs rule",$P144,0)</f>
        <v>0</v>
      </c>
      <c r="X144" s="64" t="n">
        <f aca="false">IF($K144="No Start (attainment only)",$P144,0)</f>
        <v>0</v>
      </c>
    </row>
    <row r="145" customFormat="false" ht="15" hidden="false" customHeight="false" outlineLevel="0" collapsed="false">
      <c r="A145" s="60"/>
      <c r="B145" s="61" t="str">
        <f aca="false">IF($M145=0,"",INDEX(Classes!$E$6:$E$420,$M145))</f>
        <v/>
      </c>
      <c r="C145" s="62" t="str">
        <f aca="false">IF($M145=0,"",INDEX(Classes!$H$6:$H$420,$M145))</f>
        <v/>
      </c>
      <c r="D145" s="61" t="str">
        <f aca="false">IF($M145=0,"",INDEX(Classes!$B$6:$B$420,$M145))</f>
        <v/>
      </c>
      <c r="E145" s="61" t="str">
        <f aca="false">IF($M145=0,"",INDEX(Classes!$C$6:$C$420,$M145))</f>
        <v/>
      </c>
      <c r="F145" s="63"/>
      <c r="G145" s="63"/>
      <c r="H145" s="60"/>
      <c r="I145" s="60"/>
      <c r="J145" s="63"/>
      <c r="K145" s="61" t="str">
        <f aca="false">IF($P145=0,"",IF($F145="Baseline","— Baseline",IF($O145=0,"No result",IF($N145=0,"No Start (attainment only)",IF(OR($N145=1,$O145=1),"U – needs rule",INDEX(MxBody,MATCH($I145,MxCurr,0),MATCH($H145,MxStart,0)))))))</f>
        <v/>
      </c>
      <c r="L145" s="62" t="str">
        <f aca="false">IF(COUNTA($A145,$F145,$G145,$H145,$I145,$J145)=0,"",IF($M145=0,"✖ كود الصف غير موجود",IF(ISNA(MATCH($F145,Lists!$A$2:$A$5,0)),"✖ الفترة غير صحيحة",IF(ISNA(MATCH($G145,Lists!$B$2:$B$7,0)),"✖ المجموعة غير صحيحة",IF(NOT(OR($H145="",$N145&gt;0)),"✖ Start غير صحيح",IF(NOT(OR($I145="",$I145="NR",$O145&gt;0)),"✖ Current غير صحيح",IF(NOT(IF(ISNUMBER($J145),AND($J145&gt;=0,$J145=INT($J145)),FALSE())),"✖ العدد يجب أن يكون صحيحًا ≥ 0",IF(AND($F145="Baseline",$H145&lt;&gt;""),"⚠ Baseline: Start لا يدخل في التقدم",IF($K145="No Start (attainment only)","ℹ تحصيل فقط (بدون Start)",IF($K145="U – needs rule","ℹ حالة U تحتاج قاعدة معتمدة",IF($K145="No result","ℹ بدون نتيجة (يُستبعد من التحصيل)","OK")))))))))))</f>
        <v/>
      </c>
      <c r="M145" s="64" t="n">
        <f aca="false">IF($A145="",0,IFERROR(MATCH($A145,Classes!$A$6:$A$420,0),0))</f>
        <v>0</v>
      </c>
      <c r="N145" s="64" t="n">
        <f aca="false">IF($H145="",0,IFERROR(MATCH($H145,GradeList,0),0))</f>
        <v>0</v>
      </c>
      <c r="O145" s="64" t="n">
        <f aca="false">IF(OR($I145="",$I145="NR"),0,IFERROR(MATCH($I145,GradeList,0),0))</f>
        <v>0</v>
      </c>
      <c r="P145" s="64" t="n">
        <f aca="false">IF(AND($M145&gt;0,ISNUMBER(MATCH($F145,Lists!$A$2:$A$5,0)),ISNUMBER(MATCH($G145,Lists!$B$2:$B$7,0)),OR($H145="",$N145&gt;0),OR($I145="",$I145="NR",$O145&gt;0),IF(ISNUMBER($J145),AND($J145&gt;=0,$J145=INT($J145)),FALSE())),$J145,0)</f>
        <v>0</v>
      </c>
      <c r="Q145" s="64" t="n">
        <f aca="false">IF(AND($P145&gt;0,$O145&gt;0),$P145,0)</f>
        <v>0</v>
      </c>
      <c r="R145" s="64" t="n">
        <f aca="false">IF(AND($Q145&gt;0,$O145&gt;=AtRank),$Q145,0)</f>
        <v>0</v>
      </c>
      <c r="S145" s="64" t="n">
        <f aca="false">IF(AND($Q145&gt;0,$O145&gt;=AboveRank),$Q145,0)</f>
        <v>0</v>
      </c>
      <c r="T145" s="64" t="n">
        <f aca="false">IF($K145="Less",$P145,0)</f>
        <v>0</v>
      </c>
      <c r="U145" s="64" t="n">
        <f aca="false">IF($K145="Expected",$P145,0)</f>
        <v>0</v>
      </c>
      <c r="V145" s="64" t="n">
        <f aca="false">IF($K145="Better",$P145,0)</f>
        <v>0</v>
      </c>
      <c r="W145" s="64" t="n">
        <f aca="false">IF($K145="U – needs rule",$P145,0)</f>
        <v>0</v>
      </c>
      <c r="X145" s="64" t="n">
        <f aca="false">IF($K145="No Start (attainment only)",$P145,0)</f>
        <v>0</v>
      </c>
    </row>
    <row r="146" customFormat="false" ht="15" hidden="false" customHeight="false" outlineLevel="0" collapsed="false">
      <c r="A146" s="60"/>
      <c r="B146" s="61" t="str">
        <f aca="false">IF($M146=0,"",INDEX(Classes!$E$6:$E$420,$M146))</f>
        <v/>
      </c>
      <c r="C146" s="62" t="str">
        <f aca="false">IF($M146=0,"",INDEX(Classes!$H$6:$H$420,$M146))</f>
        <v/>
      </c>
      <c r="D146" s="61" t="str">
        <f aca="false">IF($M146=0,"",INDEX(Classes!$B$6:$B$420,$M146))</f>
        <v/>
      </c>
      <c r="E146" s="61" t="str">
        <f aca="false">IF($M146=0,"",INDEX(Classes!$C$6:$C$420,$M146))</f>
        <v/>
      </c>
      <c r="F146" s="63"/>
      <c r="G146" s="63"/>
      <c r="H146" s="60"/>
      <c r="I146" s="60"/>
      <c r="J146" s="63"/>
      <c r="K146" s="61" t="str">
        <f aca="false">IF($P146=0,"",IF($F146="Baseline","— Baseline",IF($O146=0,"No result",IF($N146=0,"No Start (attainment only)",IF(OR($N146=1,$O146=1),"U – needs rule",INDEX(MxBody,MATCH($I146,MxCurr,0),MATCH($H146,MxStart,0)))))))</f>
        <v/>
      </c>
      <c r="L146" s="62" t="str">
        <f aca="false">IF(COUNTA($A146,$F146,$G146,$H146,$I146,$J146)=0,"",IF($M146=0,"✖ كود الصف غير موجود",IF(ISNA(MATCH($F146,Lists!$A$2:$A$5,0)),"✖ الفترة غير صحيحة",IF(ISNA(MATCH($G146,Lists!$B$2:$B$7,0)),"✖ المجموعة غير صحيحة",IF(NOT(OR($H146="",$N146&gt;0)),"✖ Start غير صحيح",IF(NOT(OR($I146="",$I146="NR",$O146&gt;0)),"✖ Current غير صحيح",IF(NOT(IF(ISNUMBER($J146),AND($J146&gt;=0,$J146=INT($J146)),FALSE())),"✖ العدد يجب أن يكون صحيحًا ≥ 0",IF(AND($F146="Baseline",$H146&lt;&gt;""),"⚠ Baseline: Start لا يدخل في التقدم",IF($K146="No Start (attainment only)","ℹ تحصيل فقط (بدون Start)",IF($K146="U – needs rule","ℹ حالة U تحتاج قاعدة معتمدة",IF($K146="No result","ℹ بدون نتيجة (يُستبعد من التحصيل)","OK")))))))))))</f>
        <v/>
      </c>
      <c r="M146" s="64" t="n">
        <f aca="false">IF($A146="",0,IFERROR(MATCH($A146,Classes!$A$6:$A$420,0),0))</f>
        <v>0</v>
      </c>
      <c r="N146" s="64" t="n">
        <f aca="false">IF($H146="",0,IFERROR(MATCH($H146,GradeList,0),0))</f>
        <v>0</v>
      </c>
      <c r="O146" s="64" t="n">
        <f aca="false">IF(OR($I146="",$I146="NR"),0,IFERROR(MATCH($I146,GradeList,0),0))</f>
        <v>0</v>
      </c>
      <c r="P146" s="64" t="n">
        <f aca="false">IF(AND($M146&gt;0,ISNUMBER(MATCH($F146,Lists!$A$2:$A$5,0)),ISNUMBER(MATCH($G146,Lists!$B$2:$B$7,0)),OR($H146="",$N146&gt;0),OR($I146="",$I146="NR",$O146&gt;0),IF(ISNUMBER($J146),AND($J146&gt;=0,$J146=INT($J146)),FALSE())),$J146,0)</f>
        <v>0</v>
      </c>
      <c r="Q146" s="64" t="n">
        <f aca="false">IF(AND($P146&gt;0,$O146&gt;0),$P146,0)</f>
        <v>0</v>
      </c>
      <c r="R146" s="64" t="n">
        <f aca="false">IF(AND($Q146&gt;0,$O146&gt;=AtRank),$Q146,0)</f>
        <v>0</v>
      </c>
      <c r="S146" s="64" t="n">
        <f aca="false">IF(AND($Q146&gt;0,$O146&gt;=AboveRank),$Q146,0)</f>
        <v>0</v>
      </c>
      <c r="T146" s="64" t="n">
        <f aca="false">IF($K146="Less",$P146,0)</f>
        <v>0</v>
      </c>
      <c r="U146" s="64" t="n">
        <f aca="false">IF($K146="Expected",$P146,0)</f>
        <v>0</v>
      </c>
      <c r="V146" s="64" t="n">
        <f aca="false">IF($K146="Better",$P146,0)</f>
        <v>0</v>
      </c>
      <c r="W146" s="64" t="n">
        <f aca="false">IF($K146="U – needs rule",$P146,0)</f>
        <v>0</v>
      </c>
      <c r="X146" s="64" t="n">
        <f aca="false">IF($K146="No Start (attainment only)",$P146,0)</f>
        <v>0</v>
      </c>
    </row>
    <row r="147" customFormat="false" ht="15" hidden="false" customHeight="false" outlineLevel="0" collapsed="false">
      <c r="A147" s="60"/>
      <c r="B147" s="61" t="str">
        <f aca="false">IF($M147=0,"",INDEX(Classes!$E$6:$E$420,$M147))</f>
        <v/>
      </c>
      <c r="C147" s="62" t="str">
        <f aca="false">IF($M147=0,"",INDEX(Classes!$H$6:$H$420,$M147))</f>
        <v/>
      </c>
      <c r="D147" s="61" t="str">
        <f aca="false">IF($M147=0,"",INDEX(Classes!$B$6:$B$420,$M147))</f>
        <v/>
      </c>
      <c r="E147" s="61" t="str">
        <f aca="false">IF($M147=0,"",INDEX(Classes!$C$6:$C$420,$M147))</f>
        <v/>
      </c>
      <c r="F147" s="63"/>
      <c r="G147" s="63"/>
      <c r="H147" s="60"/>
      <c r="I147" s="60"/>
      <c r="J147" s="63"/>
      <c r="K147" s="61" t="str">
        <f aca="false">IF($P147=0,"",IF($F147="Baseline","— Baseline",IF($O147=0,"No result",IF($N147=0,"No Start (attainment only)",IF(OR($N147=1,$O147=1),"U – needs rule",INDEX(MxBody,MATCH($I147,MxCurr,0),MATCH($H147,MxStart,0)))))))</f>
        <v/>
      </c>
      <c r="L147" s="62" t="str">
        <f aca="false">IF(COUNTA($A147,$F147,$G147,$H147,$I147,$J147)=0,"",IF($M147=0,"✖ كود الصف غير موجود",IF(ISNA(MATCH($F147,Lists!$A$2:$A$5,0)),"✖ الفترة غير صحيحة",IF(ISNA(MATCH($G147,Lists!$B$2:$B$7,0)),"✖ المجموعة غير صحيحة",IF(NOT(OR($H147="",$N147&gt;0)),"✖ Start غير صحيح",IF(NOT(OR($I147="",$I147="NR",$O147&gt;0)),"✖ Current غير صحيح",IF(NOT(IF(ISNUMBER($J147),AND($J147&gt;=0,$J147=INT($J147)),FALSE())),"✖ العدد يجب أن يكون صحيحًا ≥ 0",IF(AND($F147="Baseline",$H147&lt;&gt;""),"⚠ Baseline: Start لا يدخل في التقدم",IF($K147="No Start (attainment only)","ℹ تحصيل فقط (بدون Start)",IF($K147="U – needs rule","ℹ حالة U تحتاج قاعدة معتمدة",IF($K147="No result","ℹ بدون نتيجة (يُستبعد من التحصيل)","OK")))))))))))</f>
        <v/>
      </c>
      <c r="M147" s="64" t="n">
        <f aca="false">IF($A147="",0,IFERROR(MATCH($A147,Classes!$A$6:$A$420,0),0))</f>
        <v>0</v>
      </c>
      <c r="N147" s="64" t="n">
        <f aca="false">IF($H147="",0,IFERROR(MATCH($H147,GradeList,0),0))</f>
        <v>0</v>
      </c>
      <c r="O147" s="64" t="n">
        <f aca="false">IF(OR($I147="",$I147="NR"),0,IFERROR(MATCH($I147,GradeList,0),0))</f>
        <v>0</v>
      </c>
      <c r="P147" s="64" t="n">
        <f aca="false">IF(AND($M147&gt;0,ISNUMBER(MATCH($F147,Lists!$A$2:$A$5,0)),ISNUMBER(MATCH($G147,Lists!$B$2:$B$7,0)),OR($H147="",$N147&gt;0),OR($I147="",$I147="NR",$O147&gt;0),IF(ISNUMBER($J147),AND($J147&gt;=0,$J147=INT($J147)),FALSE())),$J147,0)</f>
        <v>0</v>
      </c>
      <c r="Q147" s="64" t="n">
        <f aca="false">IF(AND($P147&gt;0,$O147&gt;0),$P147,0)</f>
        <v>0</v>
      </c>
      <c r="R147" s="64" t="n">
        <f aca="false">IF(AND($Q147&gt;0,$O147&gt;=AtRank),$Q147,0)</f>
        <v>0</v>
      </c>
      <c r="S147" s="64" t="n">
        <f aca="false">IF(AND($Q147&gt;0,$O147&gt;=AboveRank),$Q147,0)</f>
        <v>0</v>
      </c>
      <c r="T147" s="64" t="n">
        <f aca="false">IF($K147="Less",$P147,0)</f>
        <v>0</v>
      </c>
      <c r="U147" s="64" t="n">
        <f aca="false">IF($K147="Expected",$P147,0)</f>
        <v>0</v>
      </c>
      <c r="V147" s="64" t="n">
        <f aca="false">IF($K147="Better",$P147,0)</f>
        <v>0</v>
      </c>
      <c r="W147" s="64" t="n">
        <f aca="false">IF($K147="U – needs rule",$P147,0)</f>
        <v>0</v>
      </c>
      <c r="X147" s="64" t="n">
        <f aca="false">IF($K147="No Start (attainment only)",$P147,0)</f>
        <v>0</v>
      </c>
    </row>
    <row r="148" customFormat="false" ht="15" hidden="false" customHeight="false" outlineLevel="0" collapsed="false">
      <c r="A148" s="60"/>
      <c r="B148" s="61" t="str">
        <f aca="false">IF($M148=0,"",INDEX(Classes!$E$6:$E$420,$M148))</f>
        <v/>
      </c>
      <c r="C148" s="62" t="str">
        <f aca="false">IF($M148=0,"",INDEX(Classes!$H$6:$H$420,$M148))</f>
        <v/>
      </c>
      <c r="D148" s="61" t="str">
        <f aca="false">IF($M148=0,"",INDEX(Classes!$B$6:$B$420,$M148))</f>
        <v/>
      </c>
      <c r="E148" s="61" t="str">
        <f aca="false">IF($M148=0,"",INDEX(Classes!$C$6:$C$420,$M148))</f>
        <v/>
      </c>
      <c r="F148" s="63"/>
      <c r="G148" s="63"/>
      <c r="H148" s="60"/>
      <c r="I148" s="60"/>
      <c r="J148" s="63"/>
      <c r="K148" s="61" t="str">
        <f aca="false">IF($P148=0,"",IF($F148="Baseline","— Baseline",IF($O148=0,"No result",IF($N148=0,"No Start (attainment only)",IF(OR($N148=1,$O148=1),"U – needs rule",INDEX(MxBody,MATCH($I148,MxCurr,0),MATCH($H148,MxStart,0)))))))</f>
        <v/>
      </c>
      <c r="L148" s="62" t="str">
        <f aca="false">IF(COUNTA($A148,$F148,$G148,$H148,$I148,$J148)=0,"",IF($M148=0,"✖ كود الصف غير موجود",IF(ISNA(MATCH($F148,Lists!$A$2:$A$5,0)),"✖ الفترة غير صحيحة",IF(ISNA(MATCH($G148,Lists!$B$2:$B$7,0)),"✖ المجموعة غير صحيحة",IF(NOT(OR($H148="",$N148&gt;0)),"✖ Start غير صحيح",IF(NOT(OR($I148="",$I148="NR",$O148&gt;0)),"✖ Current غير صحيح",IF(NOT(IF(ISNUMBER($J148),AND($J148&gt;=0,$J148=INT($J148)),FALSE())),"✖ العدد يجب أن يكون صحيحًا ≥ 0",IF(AND($F148="Baseline",$H148&lt;&gt;""),"⚠ Baseline: Start لا يدخل في التقدم",IF($K148="No Start (attainment only)","ℹ تحصيل فقط (بدون Start)",IF($K148="U – needs rule","ℹ حالة U تحتاج قاعدة معتمدة",IF($K148="No result","ℹ بدون نتيجة (يُستبعد من التحصيل)","OK")))))))))))</f>
        <v/>
      </c>
      <c r="M148" s="64" t="n">
        <f aca="false">IF($A148="",0,IFERROR(MATCH($A148,Classes!$A$6:$A$420,0),0))</f>
        <v>0</v>
      </c>
      <c r="N148" s="64" t="n">
        <f aca="false">IF($H148="",0,IFERROR(MATCH($H148,GradeList,0),0))</f>
        <v>0</v>
      </c>
      <c r="O148" s="64" t="n">
        <f aca="false">IF(OR($I148="",$I148="NR"),0,IFERROR(MATCH($I148,GradeList,0),0))</f>
        <v>0</v>
      </c>
      <c r="P148" s="64" t="n">
        <f aca="false">IF(AND($M148&gt;0,ISNUMBER(MATCH($F148,Lists!$A$2:$A$5,0)),ISNUMBER(MATCH($G148,Lists!$B$2:$B$7,0)),OR($H148="",$N148&gt;0),OR($I148="",$I148="NR",$O148&gt;0),IF(ISNUMBER($J148),AND($J148&gt;=0,$J148=INT($J148)),FALSE())),$J148,0)</f>
        <v>0</v>
      </c>
      <c r="Q148" s="64" t="n">
        <f aca="false">IF(AND($P148&gt;0,$O148&gt;0),$P148,0)</f>
        <v>0</v>
      </c>
      <c r="R148" s="64" t="n">
        <f aca="false">IF(AND($Q148&gt;0,$O148&gt;=AtRank),$Q148,0)</f>
        <v>0</v>
      </c>
      <c r="S148" s="64" t="n">
        <f aca="false">IF(AND($Q148&gt;0,$O148&gt;=AboveRank),$Q148,0)</f>
        <v>0</v>
      </c>
      <c r="T148" s="64" t="n">
        <f aca="false">IF($K148="Less",$P148,0)</f>
        <v>0</v>
      </c>
      <c r="U148" s="64" t="n">
        <f aca="false">IF($K148="Expected",$P148,0)</f>
        <v>0</v>
      </c>
      <c r="V148" s="64" t="n">
        <f aca="false">IF($K148="Better",$P148,0)</f>
        <v>0</v>
      </c>
      <c r="W148" s="64" t="n">
        <f aca="false">IF($K148="U – needs rule",$P148,0)</f>
        <v>0</v>
      </c>
      <c r="X148" s="64" t="n">
        <f aca="false">IF($K148="No Start (attainment only)",$P148,0)</f>
        <v>0</v>
      </c>
    </row>
    <row r="149" customFormat="false" ht="15" hidden="false" customHeight="false" outlineLevel="0" collapsed="false">
      <c r="A149" s="60"/>
      <c r="B149" s="61" t="str">
        <f aca="false">IF($M149=0,"",INDEX(Classes!$E$6:$E$420,$M149))</f>
        <v/>
      </c>
      <c r="C149" s="62" t="str">
        <f aca="false">IF($M149=0,"",INDEX(Classes!$H$6:$H$420,$M149))</f>
        <v/>
      </c>
      <c r="D149" s="61" t="str">
        <f aca="false">IF($M149=0,"",INDEX(Classes!$B$6:$B$420,$M149))</f>
        <v/>
      </c>
      <c r="E149" s="61" t="str">
        <f aca="false">IF($M149=0,"",INDEX(Classes!$C$6:$C$420,$M149))</f>
        <v/>
      </c>
      <c r="F149" s="63"/>
      <c r="G149" s="63"/>
      <c r="H149" s="60"/>
      <c r="I149" s="60"/>
      <c r="J149" s="63"/>
      <c r="K149" s="61" t="str">
        <f aca="false">IF($P149=0,"",IF($F149="Baseline","— Baseline",IF($O149=0,"No result",IF($N149=0,"No Start (attainment only)",IF(OR($N149=1,$O149=1),"U – needs rule",INDEX(MxBody,MATCH($I149,MxCurr,0),MATCH($H149,MxStart,0)))))))</f>
        <v/>
      </c>
      <c r="L149" s="62" t="str">
        <f aca="false">IF(COUNTA($A149,$F149,$G149,$H149,$I149,$J149)=0,"",IF($M149=0,"✖ كود الصف غير موجود",IF(ISNA(MATCH($F149,Lists!$A$2:$A$5,0)),"✖ الفترة غير صحيحة",IF(ISNA(MATCH($G149,Lists!$B$2:$B$7,0)),"✖ المجموعة غير صحيحة",IF(NOT(OR($H149="",$N149&gt;0)),"✖ Start غير صحيح",IF(NOT(OR($I149="",$I149="NR",$O149&gt;0)),"✖ Current غير صحيح",IF(NOT(IF(ISNUMBER($J149),AND($J149&gt;=0,$J149=INT($J149)),FALSE())),"✖ العدد يجب أن يكون صحيحًا ≥ 0",IF(AND($F149="Baseline",$H149&lt;&gt;""),"⚠ Baseline: Start لا يدخل في التقدم",IF($K149="No Start (attainment only)","ℹ تحصيل فقط (بدون Start)",IF($K149="U – needs rule","ℹ حالة U تحتاج قاعدة معتمدة",IF($K149="No result","ℹ بدون نتيجة (يُستبعد من التحصيل)","OK")))))))))))</f>
        <v/>
      </c>
      <c r="M149" s="64" t="n">
        <f aca="false">IF($A149="",0,IFERROR(MATCH($A149,Classes!$A$6:$A$420,0),0))</f>
        <v>0</v>
      </c>
      <c r="N149" s="64" t="n">
        <f aca="false">IF($H149="",0,IFERROR(MATCH($H149,GradeList,0),0))</f>
        <v>0</v>
      </c>
      <c r="O149" s="64" t="n">
        <f aca="false">IF(OR($I149="",$I149="NR"),0,IFERROR(MATCH($I149,GradeList,0),0))</f>
        <v>0</v>
      </c>
      <c r="P149" s="64" t="n">
        <f aca="false">IF(AND($M149&gt;0,ISNUMBER(MATCH($F149,Lists!$A$2:$A$5,0)),ISNUMBER(MATCH($G149,Lists!$B$2:$B$7,0)),OR($H149="",$N149&gt;0),OR($I149="",$I149="NR",$O149&gt;0),IF(ISNUMBER($J149),AND($J149&gt;=0,$J149=INT($J149)),FALSE())),$J149,0)</f>
        <v>0</v>
      </c>
      <c r="Q149" s="64" t="n">
        <f aca="false">IF(AND($P149&gt;0,$O149&gt;0),$P149,0)</f>
        <v>0</v>
      </c>
      <c r="R149" s="64" t="n">
        <f aca="false">IF(AND($Q149&gt;0,$O149&gt;=AtRank),$Q149,0)</f>
        <v>0</v>
      </c>
      <c r="S149" s="64" t="n">
        <f aca="false">IF(AND($Q149&gt;0,$O149&gt;=AboveRank),$Q149,0)</f>
        <v>0</v>
      </c>
      <c r="T149" s="64" t="n">
        <f aca="false">IF($K149="Less",$P149,0)</f>
        <v>0</v>
      </c>
      <c r="U149" s="64" t="n">
        <f aca="false">IF($K149="Expected",$P149,0)</f>
        <v>0</v>
      </c>
      <c r="V149" s="64" t="n">
        <f aca="false">IF($K149="Better",$P149,0)</f>
        <v>0</v>
      </c>
      <c r="W149" s="64" t="n">
        <f aca="false">IF($K149="U – needs rule",$P149,0)</f>
        <v>0</v>
      </c>
      <c r="X149" s="64" t="n">
        <f aca="false">IF($K149="No Start (attainment only)",$P149,0)</f>
        <v>0</v>
      </c>
    </row>
    <row r="150" customFormat="false" ht="15" hidden="false" customHeight="false" outlineLevel="0" collapsed="false">
      <c r="A150" s="60"/>
      <c r="B150" s="61" t="str">
        <f aca="false">IF($M150=0,"",INDEX(Classes!$E$6:$E$420,$M150))</f>
        <v/>
      </c>
      <c r="C150" s="62" t="str">
        <f aca="false">IF($M150=0,"",INDEX(Classes!$H$6:$H$420,$M150))</f>
        <v/>
      </c>
      <c r="D150" s="61" t="str">
        <f aca="false">IF($M150=0,"",INDEX(Classes!$B$6:$B$420,$M150))</f>
        <v/>
      </c>
      <c r="E150" s="61" t="str">
        <f aca="false">IF($M150=0,"",INDEX(Classes!$C$6:$C$420,$M150))</f>
        <v/>
      </c>
      <c r="F150" s="63"/>
      <c r="G150" s="63"/>
      <c r="H150" s="60"/>
      <c r="I150" s="60"/>
      <c r="J150" s="63"/>
      <c r="K150" s="61" t="str">
        <f aca="false">IF($P150=0,"",IF($F150="Baseline","— Baseline",IF($O150=0,"No result",IF($N150=0,"No Start (attainment only)",IF(OR($N150=1,$O150=1),"U – needs rule",INDEX(MxBody,MATCH($I150,MxCurr,0),MATCH($H150,MxStart,0)))))))</f>
        <v/>
      </c>
      <c r="L150" s="62" t="str">
        <f aca="false">IF(COUNTA($A150,$F150,$G150,$H150,$I150,$J150)=0,"",IF($M150=0,"✖ كود الصف غير موجود",IF(ISNA(MATCH($F150,Lists!$A$2:$A$5,0)),"✖ الفترة غير صحيحة",IF(ISNA(MATCH($G150,Lists!$B$2:$B$7,0)),"✖ المجموعة غير صحيحة",IF(NOT(OR($H150="",$N150&gt;0)),"✖ Start غير صحيح",IF(NOT(OR($I150="",$I150="NR",$O150&gt;0)),"✖ Current غير صحيح",IF(NOT(IF(ISNUMBER($J150),AND($J150&gt;=0,$J150=INT($J150)),FALSE())),"✖ العدد يجب أن يكون صحيحًا ≥ 0",IF(AND($F150="Baseline",$H150&lt;&gt;""),"⚠ Baseline: Start لا يدخل في التقدم",IF($K150="No Start (attainment only)","ℹ تحصيل فقط (بدون Start)",IF($K150="U – needs rule","ℹ حالة U تحتاج قاعدة معتمدة",IF($K150="No result","ℹ بدون نتيجة (يُستبعد من التحصيل)","OK")))))))))))</f>
        <v/>
      </c>
      <c r="M150" s="64" t="n">
        <f aca="false">IF($A150="",0,IFERROR(MATCH($A150,Classes!$A$6:$A$420,0),0))</f>
        <v>0</v>
      </c>
      <c r="N150" s="64" t="n">
        <f aca="false">IF($H150="",0,IFERROR(MATCH($H150,GradeList,0),0))</f>
        <v>0</v>
      </c>
      <c r="O150" s="64" t="n">
        <f aca="false">IF(OR($I150="",$I150="NR"),0,IFERROR(MATCH($I150,GradeList,0),0))</f>
        <v>0</v>
      </c>
      <c r="P150" s="64" t="n">
        <f aca="false">IF(AND($M150&gt;0,ISNUMBER(MATCH($F150,Lists!$A$2:$A$5,0)),ISNUMBER(MATCH($G150,Lists!$B$2:$B$7,0)),OR($H150="",$N150&gt;0),OR($I150="",$I150="NR",$O150&gt;0),IF(ISNUMBER($J150),AND($J150&gt;=0,$J150=INT($J150)),FALSE())),$J150,0)</f>
        <v>0</v>
      </c>
      <c r="Q150" s="64" t="n">
        <f aca="false">IF(AND($P150&gt;0,$O150&gt;0),$P150,0)</f>
        <v>0</v>
      </c>
      <c r="R150" s="64" t="n">
        <f aca="false">IF(AND($Q150&gt;0,$O150&gt;=AtRank),$Q150,0)</f>
        <v>0</v>
      </c>
      <c r="S150" s="64" t="n">
        <f aca="false">IF(AND($Q150&gt;0,$O150&gt;=AboveRank),$Q150,0)</f>
        <v>0</v>
      </c>
      <c r="T150" s="64" t="n">
        <f aca="false">IF($K150="Less",$P150,0)</f>
        <v>0</v>
      </c>
      <c r="U150" s="64" t="n">
        <f aca="false">IF($K150="Expected",$P150,0)</f>
        <v>0</v>
      </c>
      <c r="V150" s="64" t="n">
        <f aca="false">IF($K150="Better",$P150,0)</f>
        <v>0</v>
      </c>
      <c r="W150" s="64" t="n">
        <f aca="false">IF($K150="U – needs rule",$P150,0)</f>
        <v>0</v>
      </c>
      <c r="X150" s="64" t="n">
        <f aca="false">IF($K150="No Start (attainment only)",$P150,0)</f>
        <v>0</v>
      </c>
    </row>
    <row r="151" customFormat="false" ht="15" hidden="false" customHeight="false" outlineLevel="0" collapsed="false">
      <c r="A151" s="60"/>
      <c r="B151" s="61" t="str">
        <f aca="false">IF($M151=0,"",INDEX(Classes!$E$6:$E$420,$M151))</f>
        <v/>
      </c>
      <c r="C151" s="62" t="str">
        <f aca="false">IF($M151=0,"",INDEX(Classes!$H$6:$H$420,$M151))</f>
        <v/>
      </c>
      <c r="D151" s="61" t="str">
        <f aca="false">IF($M151=0,"",INDEX(Classes!$B$6:$B$420,$M151))</f>
        <v/>
      </c>
      <c r="E151" s="61" t="str">
        <f aca="false">IF($M151=0,"",INDEX(Classes!$C$6:$C$420,$M151))</f>
        <v/>
      </c>
      <c r="F151" s="63"/>
      <c r="G151" s="63"/>
      <c r="H151" s="60"/>
      <c r="I151" s="60"/>
      <c r="J151" s="63"/>
      <c r="K151" s="61" t="str">
        <f aca="false">IF($P151=0,"",IF($F151="Baseline","— Baseline",IF($O151=0,"No result",IF($N151=0,"No Start (attainment only)",IF(OR($N151=1,$O151=1),"U – needs rule",INDEX(MxBody,MATCH($I151,MxCurr,0),MATCH($H151,MxStart,0)))))))</f>
        <v/>
      </c>
      <c r="L151" s="62" t="str">
        <f aca="false">IF(COUNTA($A151,$F151,$G151,$H151,$I151,$J151)=0,"",IF($M151=0,"✖ كود الصف غير موجود",IF(ISNA(MATCH($F151,Lists!$A$2:$A$5,0)),"✖ الفترة غير صحيحة",IF(ISNA(MATCH($G151,Lists!$B$2:$B$7,0)),"✖ المجموعة غير صحيحة",IF(NOT(OR($H151="",$N151&gt;0)),"✖ Start غير صحيح",IF(NOT(OR($I151="",$I151="NR",$O151&gt;0)),"✖ Current غير صحيح",IF(NOT(IF(ISNUMBER($J151),AND($J151&gt;=0,$J151=INT($J151)),FALSE())),"✖ العدد يجب أن يكون صحيحًا ≥ 0",IF(AND($F151="Baseline",$H151&lt;&gt;""),"⚠ Baseline: Start لا يدخل في التقدم",IF($K151="No Start (attainment only)","ℹ تحصيل فقط (بدون Start)",IF($K151="U – needs rule","ℹ حالة U تحتاج قاعدة معتمدة",IF($K151="No result","ℹ بدون نتيجة (يُستبعد من التحصيل)","OK")))))))))))</f>
        <v/>
      </c>
      <c r="M151" s="64" t="n">
        <f aca="false">IF($A151="",0,IFERROR(MATCH($A151,Classes!$A$6:$A$420,0),0))</f>
        <v>0</v>
      </c>
      <c r="N151" s="64" t="n">
        <f aca="false">IF($H151="",0,IFERROR(MATCH($H151,GradeList,0),0))</f>
        <v>0</v>
      </c>
      <c r="O151" s="64" t="n">
        <f aca="false">IF(OR($I151="",$I151="NR"),0,IFERROR(MATCH($I151,GradeList,0),0))</f>
        <v>0</v>
      </c>
      <c r="P151" s="64" t="n">
        <f aca="false">IF(AND($M151&gt;0,ISNUMBER(MATCH($F151,Lists!$A$2:$A$5,0)),ISNUMBER(MATCH($G151,Lists!$B$2:$B$7,0)),OR($H151="",$N151&gt;0),OR($I151="",$I151="NR",$O151&gt;0),IF(ISNUMBER($J151),AND($J151&gt;=0,$J151=INT($J151)),FALSE())),$J151,0)</f>
        <v>0</v>
      </c>
      <c r="Q151" s="64" t="n">
        <f aca="false">IF(AND($P151&gt;0,$O151&gt;0),$P151,0)</f>
        <v>0</v>
      </c>
      <c r="R151" s="64" t="n">
        <f aca="false">IF(AND($Q151&gt;0,$O151&gt;=AtRank),$Q151,0)</f>
        <v>0</v>
      </c>
      <c r="S151" s="64" t="n">
        <f aca="false">IF(AND($Q151&gt;0,$O151&gt;=AboveRank),$Q151,0)</f>
        <v>0</v>
      </c>
      <c r="T151" s="64" t="n">
        <f aca="false">IF($K151="Less",$P151,0)</f>
        <v>0</v>
      </c>
      <c r="U151" s="64" t="n">
        <f aca="false">IF($K151="Expected",$P151,0)</f>
        <v>0</v>
      </c>
      <c r="V151" s="64" t="n">
        <f aca="false">IF($K151="Better",$P151,0)</f>
        <v>0</v>
      </c>
      <c r="W151" s="64" t="n">
        <f aca="false">IF($K151="U – needs rule",$P151,0)</f>
        <v>0</v>
      </c>
      <c r="X151" s="64" t="n">
        <f aca="false">IF($K151="No Start (attainment only)",$P151,0)</f>
        <v>0</v>
      </c>
    </row>
    <row r="152" customFormat="false" ht="15" hidden="false" customHeight="false" outlineLevel="0" collapsed="false">
      <c r="A152" s="60"/>
      <c r="B152" s="61" t="str">
        <f aca="false">IF($M152=0,"",INDEX(Classes!$E$6:$E$420,$M152))</f>
        <v/>
      </c>
      <c r="C152" s="62" t="str">
        <f aca="false">IF($M152=0,"",INDEX(Classes!$H$6:$H$420,$M152))</f>
        <v/>
      </c>
      <c r="D152" s="61" t="str">
        <f aca="false">IF($M152=0,"",INDEX(Classes!$B$6:$B$420,$M152))</f>
        <v/>
      </c>
      <c r="E152" s="61" t="str">
        <f aca="false">IF($M152=0,"",INDEX(Classes!$C$6:$C$420,$M152))</f>
        <v/>
      </c>
      <c r="F152" s="63"/>
      <c r="G152" s="63"/>
      <c r="H152" s="60"/>
      <c r="I152" s="60"/>
      <c r="J152" s="63"/>
      <c r="K152" s="61" t="str">
        <f aca="false">IF($P152=0,"",IF($F152="Baseline","— Baseline",IF($O152=0,"No result",IF($N152=0,"No Start (attainment only)",IF(OR($N152=1,$O152=1),"U – needs rule",INDEX(MxBody,MATCH($I152,MxCurr,0),MATCH($H152,MxStart,0)))))))</f>
        <v/>
      </c>
      <c r="L152" s="62" t="str">
        <f aca="false">IF(COUNTA($A152,$F152,$G152,$H152,$I152,$J152)=0,"",IF($M152=0,"✖ كود الصف غير موجود",IF(ISNA(MATCH($F152,Lists!$A$2:$A$5,0)),"✖ الفترة غير صحيحة",IF(ISNA(MATCH($G152,Lists!$B$2:$B$7,0)),"✖ المجموعة غير صحيحة",IF(NOT(OR($H152="",$N152&gt;0)),"✖ Start غير صحيح",IF(NOT(OR($I152="",$I152="NR",$O152&gt;0)),"✖ Current غير صحيح",IF(NOT(IF(ISNUMBER($J152),AND($J152&gt;=0,$J152=INT($J152)),FALSE())),"✖ العدد يجب أن يكون صحيحًا ≥ 0",IF(AND($F152="Baseline",$H152&lt;&gt;""),"⚠ Baseline: Start لا يدخل في التقدم",IF($K152="No Start (attainment only)","ℹ تحصيل فقط (بدون Start)",IF($K152="U – needs rule","ℹ حالة U تحتاج قاعدة معتمدة",IF($K152="No result","ℹ بدون نتيجة (يُستبعد من التحصيل)","OK")))))))))))</f>
        <v/>
      </c>
      <c r="M152" s="64" t="n">
        <f aca="false">IF($A152="",0,IFERROR(MATCH($A152,Classes!$A$6:$A$420,0),0))</f>
        <v>0</v>
      </c>
      <c r="N152" s="64" t="n">
        <f aca="false">IF($H152="",0,IFERROR(MATCH($H152,GradeList,0),0))</f>
        <v>0</v>
      </c>
      <c r="O152" s="64" t="n">
        <f aca="false">IF(OR($I152="",$I152="NR"),0,IFERROR(MATCH($I152,GradeList,0),0))</f>
        <v>0</v>
      </c>
      <c r="P152" s="64" t="n">
        <f aca="false">IF(AND($M152&gt;0,ISNUMBER(MATCH($F152,Lists!$A$2:$A$5,0)),ISNUMBER(MATCH($G152,Lists!$B$2:$B$7,0)),OR($H152="",$N152&gt;0),OR($I152="",$I152="NR",$O152&gt;0),IF(ISNUMBER($J152),AND($J152&gt;=0,$J152=INT($J152)),FALSE())),$J152,0)</f>
        <v>0</v>
      </c>
      <c r="Q152" s="64" t="n">
        <f aca="false">IF(AND($P152&gt;0,$O152&gt;0),$P152,0)</f>
        <v>0</v>
      </c>
      <c r="R152" s="64" t="n">
        <f aca="false">IF(AND($Q152&gt;0,$O152&gt;=AtRank),$Q152,0)</f>
        <v>0</v>
      </c>
      <c r="S152" s="64" t="n">
        <f aca="false">IF(AND($Q152&gt;0,$O152&gt;=AboveRank),$Q152,0)</f>
        <v>0</v>
      </c>
      <c r="T152" s="64" t="n">
        <f aca="false">IF($K152="Less",$P152,0)</f>
        <v>0</v>
      </c>
      <c r="U152" s="64" t="n">
        <f aca="false">IF($K152="Expected",$P152,0)</f>
        <v>0</v>
      </c>
      <c r="V152" s="64" t="n">
        <f aca="false">IF($K152="Better",$P152,0)</f>
        <v>0</v>
      </c>
      <c r="W152" s="64" t="n">
        <f aca="false">IF($K152="U – needs rule",$P152,0)</f>
        <v>0</v>
      </c>
      <c r="X152" s="64" t="n">
        <f aca="false">IF($K152="No Start (attainment only)",$P152,0)</f>
        <v>0</v>
      </c>
    </row>
    <row r="153" customFormat="false" ht="15" hidden="false" customHeight="false" outlineLevel="0" collapsed="false">
      <c r="A153" s="60"/>
      <c r="B153" s="61" t="str">
        <f aca="false">IF($M153=0,"",INDEX(Classes!$E$6:$E$420,$M153))</f>
        <v/>
      </c>
      <c r="C153" s="62" t="str">
        <f aca="false">IF($M153=0,"",INDEX(Classes!$H$6:$H$420,$M153))</f>
        <v/>
      </c>
      <c r="D153" s="61" t="str">
        <f aca="false">IF($M153=0,"",INDEX(Classes!$B$6:$B$420,$M153))</f>
        <v/>
      </c>
      <c r="E153" s="61" t="str">
        <f aca="false">IF($M153=0,"",INDEX(Classes!$C$6:$C$420,$M153))</f>
        <v/>
      </c>
      <c r="F153" s="63"/>
      <c r="G153" s="63"/>
      <c r="H153" s="60"/>
      <c r="I153" s="60"/>
      <c r="J153" s="63"/>
      <c r="K153" s="61" t="str">
        <f aca="false">IF($P153=0,"",IF($F153="Baseline","— Baseline",IF($O153=0,"No result",IF($N153=0,"No Start (attainment only)",IF(OR($N153=1,$O153=1),"U – needs rule",INDEX(MxBody,MATCH($I153,MxCurr,0),MATCH($H153,MxStart,0)))))))</f>
        <v/>
      </c>
      <c r="L153" s="62" t="str">
        <f aca="false">IF(COUNTA($A153,$F153,$G153,$H153,$I153,$J153)=0,"",IF($M153=0,"✖ كود الصف غير موجود",IF(ISNA(MATCH($F153,Lists!$A$2:$A$5,0)),"✖ الفترة غير صحيحة",IF(ISNA(MATCH($G153,Lists!$B$2:$B$7,0)),"✖ المجموعة غير صحيحة",IF(NOT(OR($H153="",$N153&gt;0)),"✖ Start غير صحيح",IF(NOT(OR($I153="",$I153="NR",$O153&gt;0)),"✖ Current غير صحيح",IF(NOT(IF(ISNUMBER($J153),AND($J153&gt;=0,$J153=INT($J153)),FALSE())),"✖ العدد يجب أن يكون صحيحًا ≥ 0",IF(AND($F153="Baseline",$H153&lt;&gt;""),"⚠ Baseline: Start لا يدخل في التقدم",IF($K153="No Start (attainment only)","ℹ تحصيل فقط (بدون Start)",IF($K153="U – needs rule","ℹ حالة U تحتاج قاعدة معتمدة",IF($K153="No result","ℹ بدون نتيجة (يُستبعد من التحصيل)","OK")))))))))))</f>
        <v/>
      </c>
      <c r="M153" s="64" t="n">
        <f aca="false">IF($A153="",0,IFERROR(MATCH($A153,Classes!$A$6:$A$420,0),0))</f>
        <v>0</v>
      </c>
      <c r="N153" s="64" t="n">
        <f aca="false">IF($H153="",0,IFERROR(MATCH($H153,GradeList,0),0))</f>
        <v>0</v>
      </c>
      <c r="O153" s="64" t="n">
        <f aca="false">IF(OR($I153="",$I153="NR"),0,IFERROR(MATCH($I153,GradeList,0),0))</f>
        <v>0</v>
      </c>
      <c r="P153" s="64" t="n">
        <f aca="false">IF(AND($M153&gt;0,ISNUMBER(MATCH($F153,Lists!$A$2:$A$5,0)),ISNUMBER(MATCH($G153,Lists!$B$2:$B$7,0)),OR($H153="",$N153&gt;0),OR($I153="",$I153="NR",$O153&gt;0),IF(ISNUMBER($J153),AND($J153&gt;=0,$J153=INT($J153)),FALSE())),$J153,0)</f>
        <v>0</v>
      </c>
      <c r="Q153" s="64" t="n">
        <f aca="false">IF(AND($P153&gt;0,$O153&gt;0),$P153,0)</f>
        <v>0</v>
      </c>
      <c r="R153" s="64" t="n">
        <f aca="false">IF(AND($Q153&gt;0,$O153&gt;=AtRank),$Q153,0)</f>
        <v>0</v>
      </c>
      <c r="S153" s="64" t="n">
        <f aca="false">IF(AND($Q153&gt;0,$O153&gt;=AboveRank),$Q153,0)</f>
        <v>0</v>
      </c>
      <c r="T153" s="64" t="n">
        <f aca="false">IF($K153="Less",$P153,0)</f>
        <v>0</v>
      </c>
      <c r="U153" s="64" t="n">
        <f aca="false">IF($K153="Expected",$P153,0)</f>
        <v>0</v>
      </c>
      <c r="V153" s="64" t="n">
        <f aca="false">IF($K153="Better",$P153,0)</f>
        <v>0</v>
      </c>
      <c r="W153" s="64" t="n">
        <f aca="false">IF($K153="U – needs rule",$P153,0)</f>
        <v>0</v>
      </c>
      <c r="X153" s="64" t="n">
        <f aca="false">IF($K153="No Start (attainment only)",$P153,0)</f>
        <v>0</v>
      </c>
    </row>
    <row r="154" customFormat="false" ht="15" hidden="false" customHeight="false" outlineLevel="0" collapsed="false">
      <c r="A154" s="60"/>
      <c r="B154" s="61" t="str">
        <f aca="false">IF($M154=0,"",INDEX(Classes!$E$6:$E$420,$M154))</f>
        <v/>
      </c>
      <c r="C154" s="62" t="str">
        <f aca="false">IF($M154=0,"",INDEX(Classes!$H$6:$H$420,$M154))</f>
        <v/>
      </c>
      <c r="D154" s="61" t="str">
        <f aca="false">IF($M154=0,"",INDEX(Classes!$B$6:$B$420,$M154))</f>
        <v/>
      </c>
      <c r="E154" s="61" t="str">
        <f aca="false">IF($M154=0,"",INDEX(Classes!$C$6:$C$420,$M154))</f>
        <v/>
      </c>
      <c r="F154" s="63"/>
      <c r="G154" s="63"/>
      <c r="H154" s="60"/>
      <c r="I154" s="60"/>
      <c r="J154" s="63"/>
      <c r="K154" s="61" t="str">
        <f aca="false">IF($P154=0,"",IF($F154="Baseline","— Baseline",IF($O154=0,"No result",IF($N154=0,"No Start (attainment only)",IF(OR($N154=1,$O154=1),"U – needs rule",INDEX(MxBody,MATCH($I154,MxCurr,0),MATCH($H154,MxStart,0)))))))</f>
        <v/>
      </c>
      <c r="L154" s="62" t="str">
        <f aca="false">IF(COUNTA($A154,$F154,$G154,$H154,$I154,$J154)=0,"",IF($M154=0,"✖ كود الصف غير موجود",IF(ISNA(MATCH($F154,Lists!$A$2:$A$5,0)),"✖ الفترة غير صحيحة",IF(ISNA(MATCH($G154,Lists!$B$2:$B$7,0)),"✖ المجموعة غير صحيحة",IF(NOT(OR($H154="",$N154&gt;0)),"✖ Start غير صحيح",IF(NOT(OR($I154="",$I154="NR",$O154&gt;0)),"✖ Current غير صحيح",IF(NOT(IF(ISNUMBER($J154),AND($J154&gt;=0,$J154=INT($J154)),FALSE())),"✖ العدد يجب أن يكون صحيحًا ≥ 0",IF(AND($F154="Baseline",$H154&lt;&gt;""),"⚠ Baseline: Start لا يدخل في التقدم",IF($K154="No Start (attainment only)","ℹ تحصيل فقط (بدون Start)",IF($K154="U – needs rule","ℹ حالة U تحتاج قاعدة معتمدة",IF($K154="No result","ℹ بدون نتيجة (يُستبعد من التحصيل)","OK")))))))))))</f>
        <v/>
      </c>
      <c r="M154" s="64" t="n">
        <f aca="false">IF($A154="",0,IFERROR(MATCH($A154,Classes!$A$6:$A$420,0),0))</f>
        <v>0</v>
      </c>
      <c r="N154" s="64" t="n">
        <f aca="false">IF($H154="",0,IFERROR(MATCH($H154,GradeList,0),0))</f>
        <v>0</v>
      </c>
      <c r="O154" s="64" t="n">
        <f aca="false">IF(OR($I154="",$I154="NR"),0,IFERROR(MATCH($I154,GradeList,0),0))</f>
        <v>0</v>
      </c>
      <c r="P154" s="64" t="n">
        <f aca="false">IF(AND($M154&gt;0,ISNUMBER(MATCH($F154,Lists!$A$2:$A$5,0)),ISNUMBER(MATCH($G154,Lists!$B$2:$B$7,0)),OR($H154="",$N154&gt;0),OR($I154="",$I154="NR",$O154&gt;0),IF(ISNUMBER($J154),AND($J154&gt;=0,$J154=INT($J154)),FALSE())),$J154,0)</f>
        <v>0</v>
      </c>
      <c r="Q154" s="64" t="n">
        <f aca="false">IF(AND($P154&gt;0,$O154&gt;0),$P154,0)</f>
        <v>0</v>
      </c>
      <c r="R154" s="64" t="n">
        <f aca="false">IF(AND($Q154&gt;0,$O154&gt;=AtRank),$Q154,0)</f>
        <v>0</v>
      </c>
      <c r="S154" s="64" t="n">
        <f aca="false">IF(AND($Q154&gt;0,$O154&gt;=AboveRank),$Q154,0)</f>
        <v>0</v>
      </c>
      <c r="T154" s="64" t="n">
        <f aca="false">IF($K154="Less",$P154,0)</f>
        <v>0</v>
      </c>
      <c r="U154" s="64" t="n">
        <f aca="false">IF($K154="Expected",$P154,0)</f>
        <v>0</v>
      </c>
      <c r="V154" s="64" t="n">
        <f aca="false">IF($K154="Better",$P154,0)</f>
        <v>0</v>
      </c>
      <c r="W154" s="64" t="n">
        <f aca="false">IF($K154="U – needs rule",$P154,0)</f>
        <v>0</v>
      </c>
      <c r="X154" s="64" t="n">
        <f aca="false">IF($K154="No Start (attainment only)",$P154,0)</f>
        <v>0</v>
      </c>
    </row>
    <row r="155" customFormat="false" ht="15" hidden="false" customHeight="false" outlineLevel="0" collapsed="false">
      <c r="A155" s="60"/>
      <c r="B155" s="61" t="str">
        <f aca="false">IF($M155=0,"",INDEX(Classes!$E$6:$E$420,$M155))</f>
        <v/>
      </c>
      <c r="C155" s="62" t="str">
        <f aca="false">IF($M155=0,"",INDEX(Classes!$H$6:$H$420,$M155))</f>
        <v/>
      </c>
      <c r="D155" s="61" t="str">
        <f aca="false">IF($M155=0,"",INDEX(Classes!$B$6:$B$420,$M155))</f>
        <v/>
      </c>
      <c r="E155" s="61" t="str">
        <f aca="false">IF($M155=0,"",INDEX(Classes!$C$6:$C$420,$M155))</f>
        <v/>
      </c>
      <c r="F155" s="63"/>
      <c r="G155" s="63"/>
      <c r="H155" s="60"/>
      <c r="I155" s="60"/>
      <c r="J155" s="63"/>
      <c r="K155" s="61" t="str">
        <f aca="false">IF($P155=0,"",IF($F155="Baseline","— Baseline",IF($O155=0,"No result",IF($N155=0,"No Start (attainment only)",IF(OR($N155=1,$O155=1),"U – needs rule",INDEX(MxBody,MATCH($I155,MxCurr,0),MATCH($H155,MxStart,0)))))))</f>
        <v/>
      </c>
      <c r="L155" s="62" t="str">
        <f aca="false">IF(COUNTA($A155,$F155,$G155,$H155,$I155,$J155)=0,"",IF($M155=0,"✖ كود الصف غير موجود",IF(ISNA(MATCH($F155,Lists!$A$2:$A$5,0)),"✖ الفترة غير صحيحة",IF(ISNA(MATCH($G155,Lists!$B$2:$B$7,0)),"✖ المجموعة غير صحيحة",IF(NOT(OR($H155="",$N155&gt;0)),"✖ Start غير صحيح",IF(NOT(OR($I155="",$I155="NR",$O155&gt;0)),"✖ Current غير صحيح",IF(NOT(IF(ISNUMBER($J155),AND($J155&gt;=0,$J155=INT($J155)),FALSE())),"✖ العدد يجب أن يكون صحيحًا ≥ 0",IF(AND($F155="Baseline",$H155&lt;&gt;""),"⚠ Baseline: Start لا يدخل في التقدم",IF($K155="No Start (attainment only)","ℹ تحصيل فقط (بدون Start)",IF($K155="U – needs rule","ℹ حالة U تحتاج قاعدة معتمدة",IF($K155="No result","ℹ بدون نتيجة (يُستبعد من التحصيل)","OK")))))))))))</f>
        <v/>
      </c>
      <c r="M155" s="64" t="n">
        <f aca="false">IF($A155="",0,IFERROR(MATCH($A155,Classes!$A$6:$A$420,0),0))</f>
        <v>0</v>
      </c>
      <c r="N155" s="64" t="n">
        <f aca="false">IF($H155="",0,IFERROR(MATCH($H155,GradeList,0),0))</f>
        <v>0</v>
      </c>
      <c r="O155" s="64" t="n">
        <f aca="false">IF(OR($I155="",$I155="NR"),0,IFERROR(MATCH($I155,GradeList,0),0))</f>
        <v>0</v>
      </c>
      <c r="P155" s="64" t="n">
        <f aca="false">IF(AND($M155&gt;0,ISNUMBER(MATCH($F155,Lists!$A$2:$A$5,0)),ISNUMBER(MATCH($G155,Lists!$B$2:$B$7,0)),OR($H155="",$N155&gt;0),OR($I155="",$I155="NR",$O155&gt;0),IF(ISNUMBER($J155),AND($J155&gt;=0,$J155=INT($J155)),FALSE())),$J155,0)</f>
        <v>0</v>
      </c>
      <c r="Q155" s="64" t="n">
        <f aca="false">IF(AND($P155&gt;0,$O155&gt;0),$P155,0)</f>
        <v>0</v>
      </c>
      <c r="R155" s="64" t="n">
        <f aca="false">IF(AND($Q155&gt;0,$O155&gt;=AtRank),$Q155,0)</f>
        <v>0</v>
      </c>
      <c r="S155" s="64" t="n">
        <f aca="false">IF(AND($Q155&gt;0,$O155&gt;=AboveRank),$Q155,0)</f>
        <v>0</v>
      </c>
      <c r="T155" s="64" t="n">
        <f aca="false">IF($K155="Less",$P155,0)</f>
        <v>0</v>
      </c>
      <c r="U155" s="64" t="n">
        <f aca="false">IF($K155="Expected",$P155,0)</f>
        <v>0</v>
      </c>
      <c r="V155" s="64" t="n">
        <f aca="false">IF($K155="Better",$P155,0)</f>
        <v>0</v>
      </c>
      <c r="W155" s="64" t="n">
        <f aca="false">IF($K155="U – needs rule",$P155,0)</f>
        <v>0</v>
      </c>
      <c r="X155" s="64" t="n">
        <f aca="false">IF($K155="No Start (attainment only)",$P155,0)</f>
        <v>0</v>
      </c>
    </row>
    <row r="156" customFormat="false" ht="15" hidden="false" customHeight="false" outlineLevel="0" collapsed="false">
      <c r="A156" s="60"/>
      <c r="B156" s="61" t="str">
        <f aca="false">IF($M156=0,"",INDEX(Classes!$E$6:$E$420,$M156))</f>
        <v/>
      </c>
      <c r="C156" s="62" t="str">
        <f aca="false">IF($M156=0,"",INDEX(Classes!$H$6:$H$420,$M156))</f>
        <v/>
      </c>
      <c r="D156" s="61" t="str">
        <f aca="false">IF($M156=0,"",INDEX(Classes!$B$6:$B$420,$M156))</f>
        <v/>
      </c>
      <c r="E156" s="61" t="str">
        <f aca="false">IF($M156=0,"",INDEX(Classes!$C$6:$C$420,$M156))</f>
        <v/>
      </c>
      <c r="F156" s="63"/>
      <c r="G156" s="63"/>
      <c r="H156" s="60"/>
      <c r="I156" s="60"/>
      <c r="J156" s="63"/>
      <c r="K156" s="61" t="str">
        <f aca="false">IF($P156=0,"",IF($F156="Baseline","— Baseline",IF($O156=0,"No result",IF($N156=0,"No Start (attainment only)",IF(OR($N156=1,$O156=1),"U – needs rule",INDEX(MxBody,MATCH($I156,MxCurr,0),MATCH($H156,MxStart,0)))))))</f>
        <v/>
      </c>
      <c r="L156" s="62" t="str">
        <f aca="false">IF(COUNTA($A156,$F156,$G156,$H156,$I156,$J156)=0,"",IF($M156=0,"✖ كود الصف غير موجود",IF(ISNA(MATCH($F156,Lists!$A$2:$A$5,0)),"✖ الفترة غير صحيحة",IF(ISNA(MATCH($G156,Lists!$B$2:$B$7,0)),"✖ المجموعة غير صحيحة",IF(NOT(OR($H156="",$N156&gt;0)),"✖ Start غير صحيح",IF(NOT(OR($I156="",$I156="NR",$O156&gt;0)),"✖ Current غير صحيح",IF(NOT(IF(ISNUMBER($J156),AND($J156&gt;=0,$J156=INT($J156)),FALSE())),"✖ العدد يجب أن يكون صحيحًا ≥ 0",IF(AND($F156="Baseline",$H156&lt;&gt;""),"⚠ Baseline: Start لا يدخل في التقدم",IF($K156="No Start (attainment only)","ℹ تحصيل فقط (بدون Start)",IF($K156="U – needs rule","ℹ حالة U تحتاج قاعدة معتمدة",IF($K156="No result","ℹ بدون نتيجة (يُستبعد من التحصيل)","OK")))))))))))</f>
        <v/>
      </c>
      <c r="M156" s="64" t="n">
        <f aca="false">IF($A156="",0,IFERROR(MATCH($A156,Classes!$A$6:$A$420,0),0))</f>
        <v>0</v>
      </c>
      <c r="N156" s="64" t="n">
        <f aca="false">IF($H156="",0,IFERROR(MATCH($H156,GradeList,0),0))</f>
        <v>0</v>
      </c>
      <c r="O156" s="64" t="n">
        <f aca="false">IF(OR($I156="",$I156="NR"),0,IFERROR(MATCH($I156,GradeList,0),0))</f>
        <v>0</v>
      </c>
      <c r="P156" s="64" t="n">
        <f aca="false">IF(AND($M156&gt;0,ISNUMBER(MATCH($F156,Lists!$A$2:$A$5,0)),ISNUMBER(MATCH($G156,Lists!$B$2:$B$7,0)),OR($H156="",$N156&gt;0),OR($I156="",$I156="NR",$O156&gt;0),IF(ISNUMBER($J156),AND($J156&gt;=0,$J156=INT($J156)),FALSE())),$J156,0)</f>
        <v>0</v>
      </c>
      <c r="Q156" s="64" t="n">
        <f aca="false">IF(AND($P156&gt;0,$O156&gt;0),$P156,0)</f>
        <v>0</v>
      </c>
      <c r="R156" s="64" t="n">
        <f aca="false">IF(AND($Q156&gt;0,$O156&gt;=AtRank),$Q156,0)</f>
        <v>0</v>
      </c>
      <c r="S156" s="64" t="n">
        <f aca="false">IF(AND($Q156&gt;0,$O156&gt;=AboveRank),$Q156,0)</f>
        <v>0</v>
      </c>
      <c r="T156" s="64" t="n">
        <f aca="false">IF($K156="Less",$P156,0)</f>
        <v>0</v>
      </c>
      <c r="U156" s="64" t="n">
        <f aca="false">IF($K156="Expected",$P156,0)</f>
        <v>0</v>
      </c>
      <c r="V156" s="64" t="n">
        <f aca="false">IF($K156="Better",$P156,0)</f>
        <v>0</v>
      </c>
      <c r="W156" s="64" t="n">
        <f aca="false">IF($K156="U – needs rule",$P156,0)</f>
        <v>0</v>
      </c>
      <c r="X156" s="64" t="n">
        <f aca="false">IF($K156="No Start (attainment only)",$P156,0)</f>
        <v>0</v>
      </c>
    </row>
    <row r="157" customFormat="false" ht="15" hidden="false" customHeight="false" outlineLevel="0" collapsed="false">
      <c r="A157" s="60"/>
      <c r="B157" s="61" t="str">
        <f aca="false">IF($M157=0,"",INDEX(Classes!$E$6:$E$420,$M157))</f>
        <v/>
      </c>
      <c r="C157" s="62" t="str">
        <f aca="false">IF($M157=0,"",INDEX(Classes!$H$6:$H$420,$M157))</f>
        <v/>
      </c>
      <c r="D157" s="61" t="str">
        <f aca="false">IF($M157=0,"",INDEX(Classes!$B$6:$B$420,$M157))</f>
        <v/>
      </c>
      <c r="E157" s="61" t="str">
        <f aca="false">IF($M157=0,"",INDEX(Classes!$C$6:$C$420,$M157))</f>
        <v/>
      </c>
      <c r="F157" s="63"/>
      <c r="G157" s="63"/>
      <c r="H157" s="60"/>
      <c r="I157" s="60"/>
      <c r="J157" s="63"/>
      <c r="K157" s="61" t="str">
        <f aca="false">IF($P157=0,"",IF($F157="Baseline","— Baseline",IF($O157=0,"No result",IF($N157=0,"No Start (attainment only)",IF(OR($N157=1,$O157=1),"U – needs rule",INDEX(MxBody,MATCH($I157,MxCurr,0),MATCH($H157,MxStart,0)))))))</f>
        <v/>
      </c>
      <c r="L157" s="62" t="str">
        <f aca="false">IF(COUNTA($A157,$F157,$G157,$H157,$I157,$J157)=0,"",IF($M157=0,"✖ كود الصف غير موجود",IF(ISNA(MATCH($F157,Lists!$A$2:$A$5,0)),"✖ الفترة غير صحيحة",IF(ISNA(MATCH($G157,Lists!$B$2:$B$7,0)),"✖ المجموعة غير صحيحة",IF(NOT(OR($H157="",$N157&gt;0)),"✖ Start غير صحيح",IF(NOT(OR($I157="",$I157="NR",$O157&gt;0)),"✖ Current غير صحيح",IF(NOT(IF(ISNUMBER($J157),AND($J157&gt;=0,$J157=INT($J157)),FALSE())),"✖ العدد يجب أن يكون صحيحًا ≥ 0",IF(AND($F157="Baseline",$H157&lt;&gt;""),"⚠ Baseline: Start لا يدخل في التقدم",IF($K157="No Start (attainment only)","ℹ تحصيل فقط (بدون Start)",IF($K157="U – needs rule","ℹ حالة U تحتاج قاعدة معتمدة",IF($K157="No result","ℹ بدون نتيجة (يُستبعد من التحصيل)","OK")))))))))))</f>
        <v/>
      </c>
      <c r="M157" s="64" t="n">
        <f aca="false">IF($A157="",0,IFERROR(MATCH($A157,Classes!$A$6:$A$420,0),0))</f>
        <v>0</v>
      </c>
      <c r="N157" s="64" t="n">
        <f aca="false">IF($H157="",0,IFERROR(MATCH($H157,GradeList,0),0))</f>
        <v>0</v>
      </c>
      <c r="O157" s="64" t="n">
        <f aca="false">IF(OR($I157="",$I157="NR"),0,IFERROR(MATCH($I157,GradeList,0),0))</f>
        <v>0</v>
      </c>
      <c r="P157" s="64" t="n">
        <f aca="false">IF(AND($M157&gt;0,ISNUMBER(MATCH($F157,Lists!$A$2:$A$5,0)),ISNUMBER(MATCH($G157,Lists!$B$2:$B$7,0)),OR($H157="",$N157&gt;0),OR($I157="",$I157="NR",$O157&gt;0),IF(ISNUMBER($J157),AND($J157&gt;=0,$J157=INT($J157)),FALSE())),$J157,0)</f>
        <v>0</v>
      </c>
      <c r="Q157" s="64" t="n">
        <f aca="false">IF(AND($P157&gt;0,$O157&gt;0),$P157,0)</f>
        <v>0</v>
      </c>
      <c r="R157" s="64" t="n">
        <f aca="false">IF(AND($Q157&gt;0,$O157&gt;=AtRank),$Q157,0)</f>
        <v>0</v>
      </c>
      <c r="S157" s="64" t="n">
        <f aca="false">IF(AND($Q157&gt;0,$O157&gt;=AboveRank),$Q157,0)</f>
        <v>0</v>
      </c>
      <c r="T157" s="64" t="n">
        <f aca="false">IF($K157="Less",$P157,0)</f>
        <v>0</v>
      </c>
      <c r="U157" s="64" t="n">
        <f aca="false">IF($K157="Expected",$P157,0)</f>
        <v>0</v>
      </c>
      <c r="V157" s="64" t="n">
        <f aca="false">IF($K157="Better",$P157,0)</f>
        <v>0</v>
      </c>
      <c r="W157" s="64" t="n">
        <f aca="false">IF($K157="U – needs rule",$P157,0)</f>
        <v>0</v>
      </c>
      <c r="X157" s="64" t="n">
        <f aca="false">IF($K157="No Start (attainment only)",$P157,0)</f>
        <v>0</v>
      </c>
    </row>
    <row r="158" customFormat="false" ht="15" hidden="false" customHeight="false" outlineLevel="0" collapsed="false">
      <c r="A158" s="60"/>
      <c r="B158" s="61" t="str">
        <f aca="false">IF($M158=0,"",INDEX(Classes!$E$6:$E$420,$M158))</f>
        <v/>
      </c>
      <c r="C158" s="62" t="str">
        <f aca="false">IF($M158=0,"",INDEX(Classes!$H$6:$H$420,$M158))</f>
        <v/>
      </c>
      <c r="D158" s="61" t="str">
        <f aca="false">IF($M158=0,"",INDEX(Classes!$B$6:$B$420,$M158))</f>
        <v/>
      </c>
      <c r="E158" s="61" t="str">
        <f aca="false">IF($M158=0,"",INDEX(Classes!$C$6:$C$420,$M158))</f>
        <v/>
      </c>
      <c r="F158" s="63"/>
      <c r="G158" s="63"/>
      <c r="H158" s="60"/>
      <c r="I158" s="60"/>
      <c r="J158" s="63"/>
      <c r="K158" s="61" t="str">
        <f aca="false">IF($P158=0,"",IF($F158="Baseline","— Baseline",IF($O158=0,"No result",IF($N158=0,"No Start (attainment only)",IF(OR($N158=1,$O158=1),"U – needs rule",INDEX(MxBody,MATCH($I158,MxCurr,0),MATCH($H158,MxStart,0)))))))</f>
        <v/>
      </c>
      <c r="L158" s="62" t="str">
        <f aca="false">IF(COUNTA($A158,$F158,$G158,$H158,$I158,$J158)=0,"",IF($M158=0,"✖ كود الصف غير موجود",IF(ISNA(MATCH($F158,Lists!$A$2:$A$5,0)),"✖ الفترة غير صحيحة",IF(ISNA(MATCH($G158,Lists!$B$2:$B$7,0)),"✖ المجموعة غير صحيحة",IF(NOT(OR($H158="",$N158&gt;0)),"✖ Start غير صحيح",IF(NOT(OR($I158="",$I158="NR",$O158&gt;0)),"✖ Current غير صحيح",IF(NOT(IF(ISNUMBER($J158),AND($J158&gt;=0,$J158=INT($J158)),FALSE())),"✖ العدد يجب أن يكون صحيحًا ≥ 0",IF(AND($F158="Baseline",$H158&lt;&gt;""),"⚠ Baseline: Start لا يدخل في التقدم",IF($K158="No Start (attainment only)","ℹ تحصيل فقط (بدون Start)",IF($K158="U – needs rule","ℹ حالة U تحتاج قاعدة معتمدة",IF($K158="No result","ℹ بدون نتيجة (يُستبعد من التحصيل)","OK")))))))))))</f>
        <v/>
      </c>
      <c r="M158" s="64" t="n">
        <f aca="false">IF($A158="",0,IFERROR(MATCH($A158,Classes!$A$6:$A$420,0),0))</f>
        <v>0</v>
      </c>
      <c r="N158" s="64" t="n">
        <f aca="false">IF($H158="",0,IFERROR(MATCH($H158,GradeList,0),0))</f>
        <v>0</v>
      </c>
      <c r="O158" s="64" t="n">
        <f aca="false">IF(OR($I158="",$I158="NR"),0,IFERROR(MATCH($I158,GradeList,0),0))</f>
        <v>0</v>
      </c>
      <c r="P158" s="64" t="n">
        <f aca="false">IF(AND($M158&gt;0,ISNUMBER(MATCH($F158,Lists!$A$2:$A$5,0)),ISNUMBER(MATCH($G158,Lists!$B$2:$B$7,0)),OR($H158="",$N158&gt;0),OR($I158="",$I158="NR",$O158&gt;0),IF(ISNUMBER($J158),AND($J158&gt;=0,$J158=INT($J158)),FALSE())),$J158,0)</f>
        <v>0</v>
      </c>
      <c r="Q158" s="64" t="n">
        <f aca="false">IF(AND($P158&gt;0,$O158&gt;0),$P158,0)</f>
        <v>0</v>
      </c>
      <c r="R158" s="64" t="n">
        <f aca="false">IF(AND($Q158&gt;0,$O158&gt;=AtRank),$Q158,0)</f>
        <v>0</v>
      </c>
      <c r="S158" s="64" t="n">
        <f aca="false">IF(AND($Q158&gt;0,$O158&gt;=AboveRank),$Q158,0)</f>
        <v>0</v>
      </c>
      <c r="T158" s="64" t="n">
        <f aca="false">IF($K158="Less",$P158,0)</f>
        <v>0</v>
      </c>
      <c r="U158" s="64" t="n">
        <f aca="false">IF($K158="Expected",$P158,0)</f>
        <v>0</v>
      </c>
      <c r="V158" s="64" t="n">
        <f aca="false">IF($K158="Better",$P158,0)</f>
        <v>0</v>
      </c>
      <c r="W158" s="64" t="n">
        <f aca="false">IF($K158="U – needs rule",$P158,0)</f>
        <v>0</v>
      </c>
      <c r="X158" s="64" t="n">
        <f aca="false">IF($K158="No Start (attainment only)",$P158,0)</f>
        <v>0</v>
      </c>
    </row>
    <row r="159" customFormat="false" ht="15" hidden="false" customHeight="false" outlineLevel="0" collapsed="false">
      <c r="A159" s="60"/>
      <c r="B159" s="61" t="str">
        <f aca="false">IF($M159=0,"",INDEX(Classes!$E$6:$E$420,$M159))</f>
        <v/>
      </c>
      <c r="C159" s="62" t="str">
        <f aca="false">IF($M159=0,"",INDEX(Classes!$H$6:$H$420,$M159))</f>
        <v/>
      </c>
      <c r="D159" s="61" t="str">
        <f aca="false">IF($M159=0,"",INDEX(Classes!$B$6:$B$420,$M159))</f>
        <v/>
      </c>
      <c r="E159" s="61" t="str">
        <f aca="false">IF($M159=0,"",INDEX(Classes!$C$6:$C$420,$M159))</f>
        <v/>
      </c>
      <c r="F159" s="63"/>
      <c r="G159" s="63"/>
      <c r="H159" s="60"/>
      <c r="I159" s="60"/>
      <c r="J159" s="63"/>
      <c r="K159" s="61" t="str">
        <f aca="false">IF($P159=0,"",IF($F159="Baseline","— Baseline",IF($O159=0,"No result",IF($N159=0,"No Start (attainment only)",IF(OR($N159=1,$O159=1),"U – needs rule",INDEX(MxBody,MATCH($I159,MxCurr,0),MATCH($H159,MxStart,0)))))))</f>
        <v/>
      </c>
      <c r="L159" s="62" t="str">
        <f aca="false">IF(COUNTA($A159,$F159,$G159,$H159,$I159,$J159)=0,"",IF($M159=0,"✖ كود الصف غير موجود",IF(ISNA(MATCH($F159,Lists!$A$2:$A$5,0)),"✖ الفترة غير صحيحة",IF(ISNA(MATCH($G159,Lists!$B$2:$B$7,0)),"✖ المجموعة غير صحيحة",IF(NOT(OR($H159="",$N159&gt;0)),"✖ Start غير صحيح",IF(NOT(OR($I159="",$I159="NR",$O159&gt;0)),"✖ Current غير صحيح",IF(NOT(IF(ISNUMBER($J159),AND($J159&gt;=0,$J159=INT($J159)),FALSE())),"✖ العدد يجب أن يكون صحيحًا ≥ 0",IF(AND($F159="Baseline",$H159&lt;&gt;""),"⚠ Baseline: Start لا يدخل في التقدم",IF($K159="No Start (attainment only)","ℹ تحصيل فقط (بدون Start)",IF($K159="U – needs rule","ℹ حالة U تحتاج قاعدة معتمدة",IF($K159="No result","ℹ بدون نتيجة (يُستبعد من التحصيل)","OK")))))))))))</f>
        <v/>
      </c>
      <c r="M159" s="64" t="n">
        <f aca="false">IF($A159="",0,IFERROR(MATCH($A159,Classes!$A$6:$A$420,0),0))</f>
        <v>0</v>
      </c>
      <c r="N159" s="64" t="n">
        <f aca="false">IF($H159="",0,IFERROR(MATCH($H159,GradeList,0),0))</f>
        <v>0</v>
      </c>
      <c r="O159" s="64" t="n">
        <f aca="false">IF(OR($I159="",$I159="NR"),0,IFERROR(MATCH($I159,GradeList,0),0))</f>
        <v>0</v>
      </c>
      <c r="P159" s="64" t="n">
        <f aca="false">IF(AND($M159&gt;0,ISNUMBER(MATCH($F159,Lists!$A$2:$A$5,0)),ISNUMBER(MATCH($G159,Lists!$B$2:$B$7,0)),OR($H159="",$N159&gt;0),OR($I159="",$I159="NR",$O159&gt;0),IF(ISNUMBER($J159),AND($J159&gt;=0,$J159=INT($J159)),FALSE())),$J159,0)</f>
        <v>0</v>
      </c>
      <c r="Q159" s="64" t="n">
        <f aca="false">IF(AND($P159&gt;0,$O159&gt;0),$P159,0)</f>
        <v>0</v>
      </c>
      <c r="R159" s="64" t="n">
        <f aca="false">IF(AND($Q159&gt;0,$O159&gt;=AtRank),$Q159,0)</f>
        <v>0</v>
      </c>
      <c r="S159" s="64" t="n">
        <f aca="false">IF(AND($Q159&gt;0,$O159&gt;=AboveRank),$Q159,0)</f>
        <v>0</v>
      </c>
      <c r="T159" s="64" t="n">
        <f aca="false">IF($K159="Less",$P159,0)</f>
        <v>0</v>
      </c>
      <c r="U159" s="64" t="n">
        <f aca="false">IF($K159="Expected",$P159,0)</f>
        <v>0</v>
      </c>
      <c r="V159" s="64" t="n">
        <f aca="false">IF($K159="Better",$P159,0)</f>
        <v>0</v>
      </c>
      <c r="W159" s="64" t="n">
        <f aca="false">IF($K159="U – needs rule",$P159,0)</f>
        <v>0</v>
      </c>
      <c r="X159" s="64" t="n">
        <f aca="false">IF($K159="No Start (attainment only)",$P159,0)</f>
        <v>0</v>
      </c>
    </row>
    <row r="160" customFormat="false" ht="15" hidden="false" customHeight="false" outlineLevel="0" collapsed="false">
      <c r="A160" s="60"/>
      <c r="B160" s="61" t="str">
        <f aca="false">IF($M160=0,"",INDEX(Classes!$E$6:$E$420,$M160))</f>
        <v/>
      </c>
      <c r="C160" s="62" t="str">
        <f aca="false">IF($M160=0,"",INDEX(Classes!$H$6:$H$420,$M160))</f>
        <v/>
      </c>
      <c r="D160" s="61" t="str">
        <f aca="false">IF($M160=0,"",INDEX(Classes!$B$6:$B$420,$M160))</f>
        <v/>
      </c>
      <c r="E160" s="61" t="str">
        <f aca="false">IF($M160=0,"",INDEX(Classes!$C$6:$C$420,$M160))</f>
        <v/>
      </c>
      <c r="F160" s="63"/>
      <c r="G160" s="63"/>
      <c r="H160" s="60"/>
      <c r="I160" s="60"/>
      <c r="J160" s="63"/>
      <c r="K160" s="61" t="str">
        <f aca="false">IF($P160=0,"",IF($F160="Baseline","— Baseline",IF($O160=0,"No result",IF($N160=0,"No Start (attainment only)",IF(OR($N160=1,$O160=1),"U – needs rule",INDEX(MxBody,MATCH($I160,MxCurr,0),MATCH($H160,MxStart,0)))))))</f>
        <v/>
      </c>
      <c r="L160" s="62" t="str">
        <f aca="false">IF(COUNTA($A160,$F160,$G160,$H160,$I160,$J160)=0,"",IF($M160=0,"✖ كود الصف غير موجود",IF(ISNA(MATCH($F160,Lists!$A$2:$A$5,0)),"✖ الفترة غير صحيحة",IF(ISNA(MATCH($G160,Lists!$B$2:$B$7,0)),"✖ المجموعة غير صحيحة",IF(NOT(OR($H160="",$N160&gt;0)),"✖ Start غير صحيح",IF(NOT(OR($I160="",$I160="NR",$O160&gt;0)),"✖ Current غير صحيح",IF(NOT(IF(ISNUMBER($J160),AND($J160&gt;=0,$J160=INT($J160)),FALSE())),"✖ العدد يجب أن يكون صحيحًا ≥ 0",IF(AND($F160="Baseline",$H160&lt;&gt;""),"⚠ Baseline: Start لا يدخل في التقدم",IF($K160="No Start (attainment only)","ℹ تحصيل فقط (بدون Start)",IF($K160="U – needs rule","ℹ حالة U تحتاج قاعدة معتمدة",IF($K160="No result","ℹ بدون نتيجة (يُستبعد من التحصيل)","OK")))))))))))</f>
        <v/>
      </c>
      <c r="M160" s="64" t="n">
        <f aca="false">IF($A160="",0,IFERROR(MATCH($A160,Classes!$A$6:$A$420,0),0))</f>
        <v>0</v>
      </c>
      <c r="N160" s="64" t="n">
        <f aca="false">IF($H160="",0,IFERROR(MATCH($H160,GradeList,0),0))</f>
        <v>0</v>
      </c>
      <c r="O160" s="64" t="n">
        <f aca="false">IF(OR($I160="",$I160="NR"),0,IFERROR(MATCH($I160,GradeList,0),0))</f>
        <v>0</v>
      </c>
      <c r="P160" s="64" t="n">
        <f aca="false">IF(AND($M160&gt;0,ISNUMBER(MATCH($F160,Lists!$A$2:$A$5,0)),ISNUMBER(MATCH($G160,Lists!$B$2:$B$7,0)),OR($H160="",$N160&gt;0),OR($I160="",$I160="NR",$O160&gt;0),IF(ISNUMBER($J160),AND($J160&gt;=0,$J160=INT($J160)),FALSE())),$J160,0)</f>
        <v>0</v>
      </c>
      <c r="Q160" s="64" t="n">
        <f aca="false">IF(AND($P160&gt;0,$O160&gt;0),$P160,0)</f>
        <v>0</v>
      </c>
      <c r="R160" s="64" t="n">
        <f aca="false">IF(AND($Q160&gt;0,$O160&gt;=AtRank),$Q160,0)</f>
        <v>0</v>
      </c>
      <c r="S160" s="64" t="n">
        <f aca="false">IF(AND($Q160&gt;0,$O160&gt;=AboveRank),$Q160,0)</f>
        <v>0</v>
      </c>
      <c r="T160" s="64" t="n">
        <f aca="false">IF($K160="Less",$P160,0)</f>
        <v>0</v>
      </c>
      <c r="U160" s="64" t="n">
        <f aca="false">IF($K160="Expected",$P160,0)</f>
        <v>0</v>
      </c>
      <c r="V160" s="64" t="n">
        <f aca="false">IF($K160="Better",$P160,0)</f>
        <v>0</v>
      </c>
      <c r="W160" s="64" t="n">
        <f aca="false">IF($K160="U – needs rule",$P160,0)</f>
        <v>0</v>
      </c>
      <c r="X160" s="64" t="n">
        <f aca="false">IF($K160="No Start (attainment only)",$P160,0)</f>
        <v>0</v>
      </c>
    </row>
    <row r="161" customFormat="false" ht="15" hidden="false" customHeight="false" outlineLevel="0" collapsed="false">
      <c r="A161" s="60"/>
      <c r="B161" s="61" t="str">
        <f aca="false">IF($M161=0,"",INDEX(Classes!$E$6:$E$420,$M161))</f>
        <v/>
      </c>
      <c r="C161" s="62" t="str">
        <f aca="false">IF($M161=0,"",INDEX(Classes!$H$6:$H$420,$M161))</f>
        <v/>
      </c>
      <c r="D161" s="61" t="str">
        <f aca="false">IF($M161=0,"",INDEX(Classes!$B$6:$B$420,$M161))</f>
        <v/>
      </c>
      <c r="E161" s="61" t="str">
        <f aca="false">IF($M161=0,"",INDEX(Classes!$C$6:$C$420,$M161))</f>
        <v/>
      </c>
      <c r="F161" s="63"/>
      <c r="G161" s="63"/>
      <c r="H161" s="60"/>
      <c r="I161" s="60"/>
      <c r="J161" s="63"/>
      <c r="K161" s="61" t="str">
        <f aca="false">IF($P161=0,"",IF($F161="Baseline","— Baseline",IF($O161=0,"No result",IF($N161=0,"No Start (attainment only)",IF(OR($N161=1,$O161=1),"U – needs rule",INDEX(MxBody,MATCH($I161,MxCurr,0),MATCH($H161,MxStart,0)))))))</f>
        <v/>
      </c>
      <c r="L161" s="62" t="str">
        <f aca="false">IF(COUNTA($A161,$F161,$G161,$H161,$I161,$J161)=0,"",IF($M161=0,"✖ كود الصف غير موجود",IF(ISNA(MATCH($F161,Lists!$A$2:$A$5,0)),"✖ الفترة غير صحيحة",IF(ISNA(MATCH($G161,Lists!$B$2:$B$7,0)),"✖ المجموعة غير صحيحة",IF(NOT(OR($H161="",$N161&gt;0)),"✖ Start غير صحيح",IF(NOT(OR($I161="",$I161="NR",$O161&gt;0)),"✖ Current غير صحيح",IF(NOT(IF(ISNUMBER($J161),AND($J161&gt;=0,$J161=INT($J161)),FALSE())),"✖ العدد يجب أن يكون صحيحًا ≥ 0",IF(AND($F161="Baseline",$H161&lt;&gt;""),"⚠ Baseline: Start لا يدخل في التقدم",IF($K161="No Start (attainment only)","ℹ تحصيل فقط (بدون Start)",IF($K161="U – needs rule","ℹ حالة U تحتاج قاعدة معتمدة",IF($K161="No result","ℹ بدون نتيجة (يُستبعد من التحصيل)","OK")))))))))))</f>
        <v/>
      </c>
      <c r="M161" s="64" t="n">
        <f aca="false">IF($A161="",0,IFERROR(MATCH($A161,Classes!$A$6:$A$420,0),0))</f>
        <v>0</v>
      </c>
      <c r="N161" s="64" t="n">
        <f aca="false">IF($H161="",0,IFERROR(MATCH($H161,GradeList,0),0))</f>
        <v>0</v>
      </c>
      <c r="O161" s="64" t="n">
        <f aca="false">IF(OR($I161="",$I161="NR"),0,IFERROR(MATCH($I161,GradeList,0),0))</f>
        <v>0</v>
      </c>
      <c r="P161" s="64" t="n">
        <f aca="false">IF(AND($M161&gt;0,ISNUMBER(MATCH($F161,Lists!$A$2:$A$5,0)),ISNUMBER(MATCH($G161,Lists!$B$2:$B$7,0)),OR($H161="",$N161&gt;0),OR($I161="",$I161="NR",$O161&gt;0),IF(ISNUMBER($J161),AND($J161&gt;=0,$J161=INT($J161)),FALSE())),$J161,0)</f>
        <v>0</v>
      </c>
      <c r="Q161" s="64" t="n">
        <f aca="false">IF(AND($P161&gt;0,$O161&gt;0),$P161,0)</f>
        <v>0</v>
      </c>
      <c r="R161" s="64" t="n">
        <f aca="false">IF(AND($Q161&gt;0,$O161&gt;=AtRank),$Q161,0)</f>
        <v>0</v>
      </c>
      <c r="S161" s="64" t="n">
        <f aca="false">IF(AND($Q161&gt;0,$O161&gt;=AboveRank),$Q161,0)</f>
        <v>0</v>
      </c>
      <c r="T161" s="64" t="n">
        <f aca="false">IF($K161="Less",$P161,0)</f>
        <v>0</v>
      </c>
      <c r="U161" s="64" t="n">
        <f aca="false">IF($K161="Expected",$P161,0)</f>
        <v>0</v>
      </c>
      <c r="V161" s="64" t="n">
        <f aca="false">IF($K161="Better",$P161,0)</f>
        <v>0</v>
      </c>
      <c r="W161" s="64" t="n">
        <f aca="false">IF($K161="U – needs rule",$P161,0)</f>
        <v>0</v>
      </c>
      <c r="X161" s="64" t="n">
        <f aca="false">IF($K161="No Start (attainment only)",$P161,0)</f>
        <v>0</v>
      </c>
    </row>
    <row r="162" customFormat="false" ht="15" hidden="false" customHeight="false" outlineLevel="0" collapsed="false">
      <c r="A162" s="60"/>
      <c r="B162" s="61" t="str">
        <f aca="false">IF($M162=0,"",INDEX(Classes!$E$6:$E$420,$M162))</f>
        <v/>
      </c>
      <c r="C162" s="62" t="str">
        <f aca="false">IF($M162=0,"",INDEX(Classes!$H$6:$H$420,$M162))</f>
        <v/>
      </c>
      <c r="D162" s="61" t="str">
        <f aca="false">IF($M162=0,"",INDEX(Classes!$B$6:$B$420,$M162))</f>
        <v/>
      </c>
      <c r="E162" s="61" t="str">
        <f aca="false">IF($M162=0,"",INDEX(Classes!$C$6:$C$420,$M162))</f>
        <v/>
      </c>
      <c r="F162" s="63"/>
      <c r="G162" s="63"/>
      <c r="H162" s="60"/>
      <c r="I162" s="60"/>
      <c r="J162" s="63"/>
      <c r="K162" s="61" t="str">
        <f aca="false">IF($P162=0,"",IF($F162="Baseline","— Baseline",IF($O162=0,"No result",IF($N162=0,"No Start (attainment only)",IF(OR($N162=1,$O162=1),"U – needs rule",INDEX(MxBody,MATCH($I162,MxCurr,0),MATCH($H162,MxStart,0)))))))</f>
        <v/>
      </c>
      <c r="L162" s="62" t="str">
        <f aca="false">IF(COUNTA($A162,$F162,$G162,$H162,$I162,$J162)=0,"",IF($M162=0,"✖ كود الصف غير موجود",IF(ISNA(MATCH($F162,Lists!$A$2:$A$5,0)),"✖ الفترة غير صحيحة",IF(ISNA(MATCH($G162,Lists!$B$2:$B$7,0)),"✖ المجموعة غير صحيحة",IF(NOT(OR($H162="",$N162&gt;0)),"✖ Start غير صحيح",IF(NOT(OR($I162="",$I162="NR",$O162&gt;0)),"✖ Current غير صحيح",IF(NOT(IF(ISNUMBER($J162),AND($J162&gt;=0,$J162=INT($J162)),FALSE())),"✖ العدد يجب أن يكون صحيحًا ≥ 0",IF(AND($F162="Baseline",$H162&lt;&gt;""),"⚠ Baseline: Start لا يدخل في التقدم",IF($K162="No Start (attainment only)","ℹ تحصيل فقط (بدون Start)",IF($K162="U – needs rule","ℹ حالة U تحتاج قاعدة معتمدة",IF($K162="No result","ℹ بدون نتيجة (يُستبعد من التحصيل)","OK")))))))))))</f>
        <v/>
      </c>
      <c r="M162" s="64" t="n">
        <f aca="false">IF($A162="",0,IFERROR(MATCH($A162,Classes!$A$6:$A$420,0),0))</f>
        <v>0</v>
      </c>
      <c r="N162" s="64" t="n">
        <f aca="false">IF($H162="",0,IFERROR(MATCH($H162,GradeList,0),0))</f>
        <v>0</v>
      </c>
      <c r="O162" s="64" t="n">
        <f aca="false">IF(OR($I162="",$I162="NR"),0,IFERROR(MATCH($I162,GradeList,0),0))</f>
        <v>0</v>
      </c>
      <c r="P162" s="64" t="n">
        <f aca="false">IF(AND($M162&gt;0,ISNUMBER(MATCH($F162,Lists!$A$2:$A$5,0)),ISNUMBER(MATCH($G162,Lists!$B$2:$B$7,0)),OR($H162="",$N162&gt;0),OR($I162="",$I162="NR",$O162&gt;0),IF(ISNUMBER($J162),AND($J162&gt;=0,$J162=INT($J162)),FALSE())),$J162,0)</f>
        <v>0</v>
      </c>
      <c r="Q162" s="64" t="n">
        <f aca="false">IF(AND($P162&gt;0,$O162&gt;0),$P162,0)</f>
        <v>0</v>
      </c>
      <c r="R162" s="64" t="n">
        <f aca="false">IF(AND($Q162&gt;0,$O162&gt;=AtRank),$Q162,0)</f>
        <v>0</v>
      </c>
      <c r="S162" s="64" t="n">
        <f aca="false">IF(AND($Q162&gt;0,$O162&gt;=AboveRank),$Q162,0)</f>
        <v>0</v>
      </c>
      <c r="T162" s="64" t="n">
        <f aca="false">IF($K162="Less",$P162,0)</f>
        <v>0</v>
      </c>
      <c r="U162" s="64" t="n">
        <f aca="false">IF($K162="Expected",$P162,0)</f>
        <v>0</v>
      </c>
      <c r="V162" s="64" t="n">
        <f aca="false">IF($K162="Better",$P162,0)</f>
        <v>0</v>
      </c>
      <c r="W162" s="64" t="n">
        <f aca="false">IF($K162="U – needs rule",$P162,0)</f>
        <v>0</v>
      </c>
      <c r="X162" s="64" t="n">
        <f aca="false">IF($K162="No Start (attainment only)",$P162,0)</f>
        <v>0</v>
      </c>
    </row>
    <row r="163" customFormat="false" ht="15" hidden="false" customHeight="false" outlineLevel="0" collapsed="false">
      <c r="A163" s="60"/>
      <c r="B163" s="61" t="str">
        <f aca="false">IF($M163=0,"",INDEX(Classes!$E$6:$E$420,$M163))</f>
        <v/>
      </c>
      <c r="C163" s="62" t="str">
        <f aca="false">IF($M163=0,"",INDEX(Classes!$H$6:$H$420,$M163))</f>
        <v/>
      </c>
      <c r="D163" s="61" t="str">
        <f aca="false">IF($M163=0,"",INDEX(Classes!$B$6:$B$420,$M163))</f>
        <v/>
      </c>
      <c r="E163" s="61" t="str">
        <f aca="false">IF($M163=0,"",INDEX(Classes!$C$6:$C$420,$M163))</f>
        <v/>
      </c>
      <c r="F163" s="63"/>
      <c r="G163" s="63"/>
      <c r="H163" s="60"/>
      <c r="I163" s="60"/>
      <c r="J163" s="63"/>
      <c r="K163" s="61" t="str">
        <f aca="false">IF($P163=0,"",IF($F163="Baseline","— Baseline",IF($O163=0,"No result",IF($N163=0,"No Start (attainment only)",IF(OR($N163=1,$O163=1),"U – needs rule",INDEX(MxBody,MATCH($I163,MxCurr,0),MATCH($H163,MxStart,0)))))))</f>
        <v/>
      </c>
      <c r="L163" s="62" t="str">
        <f aca="false">IF(COUNTA($A163,$F163,$G163,$H163,$I163,$J163)=0,"",IF($M163=0,"✖ كود الصف غير موجود",IF(ISNA(MATCH($F163,Lists!$A$2:$A$5,0)),"✖ الفترة غير صحيحة",IF(ISNA(MATCH($G163,Lists!$B$2:$B$7,0)),"✖ المجموعة غير صحيحة",IF(NOT(OR($H163="",$N163&gt;0)),"✖ Start غير صحيح",IF(NOT(OR($I163="",$I163="NR",$O163&gt;0)),"✖ Current غير صحيح",IF(NOT(IF(ISNUMBER($J163),AND($J163&gt;=0,$J163=INT($J163)),FALSE())),"✖ العدد يجب أن يكون صحيحًا ≥ 0",IF(AND($F163="Baseline",$H163&lt;&gt;""),"⚠ Baseline: Start لا يدخل في التقدم",IF($K163="No Start (attainment only)","ℹ تحصيل فقط (بدون Start)",IF($K163="U – needs rule","ℹ حالة U تحتاج قاعدة معتمدة",IF($K163="No result","ℹ بدون نتيجة (يُستبعد من التحصيل)","OK")))))))))))</f>
        <v/>
      </c>
      <c r="M163" s="64" t="n">
        <f aca="false">IF($A163="",0,IFERROR(MATCH($A163,Classes!$A$6:$A$420,0),0))</f>
        <v>0</v>
      </c>
      <c r="N163" s="64" t="n">
        <f aca="false">IF($H163="",0,IFERROR(MATCH($H163,GradeList,0),0))</f>
        <v>0</v>
      </c>
      <c r="O163" s="64" t="n">
        <f aca="false">IF(OR($I163="",$I163="NR"),0,IFERROR(MATCH($I163,GradeList,0),0))</f>
        <v>0</v>
      </c>
      <c r="P163" s="64" t="n">
        <f aca="false">IF(AND($M163&gt;0,ISNUMBER(MATCH($F163,Lists!$A$2:$A$5,0)),ISNUMBER(MATCH($G163,Lists!$B$2:$B$7,0)),OR($H163="",$N163&gt;0),OR($I163="",$I163="NR",$O163&gt;0),IF(ISNUMBER($J163),AND($J163&gt;=0,$J163=INT($J163)),FALSE())),$J163,0)</f>
        <v>0</v>
      </c>
      <c r="Q163" s="64" t="n">
        <f aca="false">IF(AND($P163&gt;0,$O163&gt;0),$P163,0)</f>
        <v>0</v>
      </c>
      <c r="R163" s="64" t="n">
        <f aca="false">IF(AND($Q163&gt;0,$O163&gt;=AtRank),$Q163,0)</f>
        <v>0</v>
      </c>
      <c r="S163" s="64" t="n">
        <f aca="false">IF(AND($Q163&gt;0,$O163&gt;=AboveRank),$Q163,0)</f>
        <v>0</v>
      </c>
      <c r="T163" s="64" t="n">
        <f aca="false">IF($K163="Less",$P163,0)</f>
        <v>0</v>
      </c>
      <c r="U163" s="64" t="n">
        <f aca="false">IF($K163="Expected",$P163,0)</f>
        <v>0</v>
      </c>
      <c r="V163" s="64" t="n">
        <f aca="false">IF($K163="Better",$P163,0)</f>
        <v>0</v>
      </c>
      <c r="W163" s="64" t="n">
        <f aca="false">IF($K163="U – needs rule",$P163,0)</f>
        <v>0</v>
      </c>
      <c r="X163" s="64" t="n">
        <f aca="false">IF($K163="No Start (attainment only)",$P163,0)</f>
        <v>0</v>
      </c>
    </row>
    <row r="164" customFormat="false" ht="15" hidden="false" customHeight="false" outlineLevel="0" collapsed="false">
      <c r="A164" s="60"/>
      <c r="B164" s="61" t="str">
        <f aca="false">IF($M164=0,"",INDEX(Classes!$E$6:$E$420,$M164))</f>
        <v/>
      </c>
      <c r="C164" s="62" t="str">
        <f aca="false">IF($M164=0,"",INDEX(Classes!$H$6:$H$420,$M164))</f>
        <v/>
      </c>
      <c r="D164" s="61" t="str">
        <f aca="false">IF($M164=0,"",INDEX(Classes!$B$6:$B$420,$M164))</f>
        <v/>
      </c>
      <c r="E164" s="61" t="str">
        <f aca="false">IF($M164=0,"",INDEX(Classes!$C$6:$C$420,$M164))</f>
        <v/>
      </c>
      <c r="F164" s="63"/>
      <c r="G164" s="63"/>
      <c r="H164" s="60"/>
      <c r="I164" s="60"/>
      <c r="J164" s="63"/>
      <c r="K164" s="61" t="str">
        <f aca="false">IF($P164=0,"",IF($F164="Baseline","— Baseline",IF($O164=0,"No result",IF($N164=0,"No Start (attainment only)",IF(OR($N164=1,$O164=1),"U – needs rule",INDEX(MxBody,MATCH($I164,MxCurr,0),MATCH($H164,MxStart,0)))))))</f>
        <v/>
      </c>
      <c r="L164" s="62" t="str">
        <f aca="false">IF(COUNTA($A164,$F164,$G164,$H164,$I164,$J164)=0,"",IF($M164=0,"✖ كود الصف غير موجود",IF(ISNA(MATCH($F164,Lists!$A$2:$A$5,0)),"✖ الفترة غير صحيحة",IF(ISNA(MATCH($G164,Lists!$B$2:$B$7,0)),"✖ المجموعة غير صحيحة",IF(NOT(OR($H164="",$N164&gt;0)),"✖ Start غير صحيح",IF(NOT(OR($I164="",$I164="NR",$O164&gt;0)),"✖ Current غير صحيح",IF(NOT(IF(ISNUMBER($J164),AND($J164&gt;=0,$J164=INT($J164)),FALSE())),"✖ العدد يجب أن يكون صحيحًا ≥ 0",IF(AND($F164="Baseline",$H164&lt;&gt;""),"⚠ Baseline: Start لا يدخل في التقدم",IF($K164="No Start (attainment only)","ℹ تحصيل فقط (بدون Start)",IF($K164="U – needs rule","ℹ حالة U تحتاج قاعدة معتمدة",IF($K164="No result","ℹ بدون نتيجة (يُستبعد من التحصيل)","OK")))))))))))</f>
        <v/>
      </c>
      <c r="M164" s="64" t="n">
        <f aca="false">IF($A164="",0,IFERROR(MATCH($A164,Classes!$A$6:$A$420,0),0))</f>
        <v>0</v>
      </c>
      <c r="N164" s="64" t="n">
        <f aca="false">IF($H164="",0,IFERROR(MATCH($H164,GradeList,0),0))</f>
        <v>0</v>
      </c>
      <c r="O164" s="64" t="n">
        <f aca="false">IF(OR($I164="",$I164="NR"),0,IFERROR(MATCH($I164,GradeList,0),0))</f>
        <v>0</v>
      </c>
      <c r="P164" s="64" t="n">
        <f aca="false">IF(AND($M164&gt;0,ISNUMBER(MATCH($F164,Lists!$A$2:$A$5,0)),ISNUMBER(MATCH($G164,Lists!$B$2:$B$7,0)),OR($H164="",$N164&gt;0),OR($I164="",$I164="NR",$O164&gt;0),IF(ISNUMBER($J164),AND($J164&gt;=0,$J164=INT($J164)),FALSE())),$J164,0)</f>
        <v>0</v>
      </c>
      <c r="Q164" s="64" t="n">
        <f aca="false">IF(AND($P164&gt;0,$O164&gt;0),$P164,0)</f>
        <v>0</v>
      </c>
      <c r="R164" s="64" t="n">
        <f aca="false">IF(AND($Q164&gt;0,$O164&gt;=AtRank),$Q164,0)</f>
        <v>0</v>
      </c>
      <c r="S164" s="64" t="n">
        <f aca="false">IF(AND($Q164&gt;0,$O164&gt;=AboveRank),$Q164,0)</f>
        <v>0</v>
      </c>
      <c r="T164" s="64" t="n">
        <f aca="false">IF($K164="Less",$P164,0)</f>
        <v>0</v>
      </c>
      <c r="U164" s="64" t="n">
        <f aca="false">IF($K164="Expected",$P164,0)</f>
        <v>0</v>
      </c>
      <c r="V164" s="64" t="n">
        <f aca="false">IF($K164="Better",$P164,0)</f>
        <v>0</v>
      </c>
      <c r="W164" s="64" t="n">
        <f aca="false">IF($K164="U – needs rule",$P164,0)</f>
        <v>0</v>
      </c>
      <c r="X164" s="64" t="n">
        <f aca="false">IF($K164="No Start (attainment only)",$P164,0)</f>
        <v>0</v>
      </c>
    </row>
    <row r="165" customFormat="false" ht="15" hidden="false" customHeight="false" outlineLevel="0" collapsed="false">
      <c r="A165" s="60"/>
      <c r="B165" s="61" t="str">
        <f aca="false">IF($M165=0,"",INDEX(Classes!$E$6:$E$420,$M165))</f>
        <v/>
      </c>
      <c r="C165" s="62" t="str">
        <f aca="false">IF($M165=0,"",INDEX(Classes!$H$6:$H$420,$M165))</f>
        <v/>
      </c>
      <c r="D165" s="61" t="str">
        <f aca="false">IF($M165=0,"",INDEX(Classes!$B$6:$B$420,$M165))</f>
        <v/>
      </c>
      <c r="E165" s="61" t="str">
        <f aca="false">IF($M165=0,"",INDEX(Classes!$C$6:$C$420,$M165))</f>
        <v/>
      </c>
      <c r="F165" s="63"/>
      <c r="G165" s="63"/>
      <c r="H165" s="60"/>
      <c r="I165" s="60"/>
      <c r="J165" s="63"/>
      <c r="K165" s="61" t="str">
        <f aca="false">IF($P165=0,"",IF($F165="Baseline","— Baseline",IF($O165=0,"No result",IF($N165=0,"No Start (attainment only)",IF(OR($N165=1,$O165=1),"U – needs rule",INDEX(MxBody,MATCH($I165,MxCurr,0),MATCH($H165,MxStart,0)))))))</f>
        <v/>
      </c>
      <c r="L165" s="62" t="str">
        <f aca="false">IF(COUNTA($A165,$F165,$G165,$H165,$I165,$J165)=0,"",IF($M165=0,"✖ كود الصف غير موجود",IF(ISNA(MATCH($F165,Lists!$A$2:$A$5,0)),"✖ الفترة غير صحيحة",IF(ISNA(MATCH($G165,Lists!$B$2:$B$7,0)),"✖ المجموعة غير صحيحة",IF(NOT(OR($H165="",$N165&gt;0)),"✖ Start غير صحيح",IF(NOT(OR($I165="",$I165="NR",$O165&gt;0)),"✖ Current غير صحيح",IF(NOT(IF(ISNUMBER($J165),AND($J165&gt;=0,$J165=INT($J165)),FALSE())),"✖ العدد يجب أن يكون صحيحًا ≥ 0",IF(AND($F165="Baseline",$H165&lt;&gt;""),"⚠ Baseline: Start لا يدخل في التقدم",IF($K165="No Start (attainment only)","ℹ تحصيل فقط (بدون Start)",IF($K165="U – needs rule","ℹ حالة U تحتاج قاعدة معتمدة",IF($K165="No result","ℹ بدون نتيجة (يُستبعد من التحصيل)","OK")))))))))))</f>
        <v/>
      </c>
      <c r="M165" s="64" t="n">
        <f aca="false">IF($A165="",0,IFERROR(MATCH($A165,Classes!$A$6:$A$420,0),0))</f>
        <v>0</v>
      </c>
      <c r="N165" s="64" t="n">
        <f aca="false">IF($H165="",0,IFERROR(MATCH($H165,GradeList,0),0))</f>
        <v>0</v>
      </c>
      <c r="O165" s="64" t="n">
        <f aca="false">IF(OR($I165="",$I165="NR"),0,IFERROR(MATCH($I165,GradeList,0),0))</f>
        <v>0</v>
      </c>
      <c r="P165" s="64" t="n">
        <f aca="false">IF(AND($M165&gt;0,ISNUMBER(MATCH($F165,Lists!$A$2:$A$5,0)),ISNUMBER(MATCH($G165,Lists!$B$2:$B$7,0)),OR($H165="",$N165&gt;0),OR($I165="",$I165="NR",$O165&gt;0),IF(ISNUMBER($J165),AND($J165&gt;=0,$J165=INT($J165)),FALSE())),$J165,0)</f>
        <v>0</v>
      </c>
      <c r="Q165" s="64" t="n">
        <f aca="false">IF(AND($P165&gt;0,$O165&gt;0),$P165,0)</f>
        <v>0</v>
      </c>
      <c r="R165" s="64" t="n">
        <f aca="false">IF(AND($Q165&gt;0,$O165&gt;=AtRank),$Q165,0)</f>
        <v>0</v>
      </c>
      <c r="S165" s="64" t="n">
        <f aca="false">IF(AND($Q165&gt;0,$O165&gt;=AboveRank),$Q165,0)</f>
        <v>0</v>
      </c>
      <c r="T165" s="64" t="n">
        <f aca="false">IF($K165="Less",$P165,0)</f>
        <v>0</v>
      </c>
      <c r="U165" s="64" t="n">
        <f aca="false">IF($K165="Expected",$P165,0)</f>
        <v>0</v>
      </c>
      <c r="V165" s="64" t="n">
        <f aca="false">IF($K165="Better",$P165,0)</f>
        <v>0</v>
      </c>
      <c r="W165" s="64" t="n">
        <f aca="false">IF($K165="U – needs rule",$P165,0)</f>
        <v>0</v>
      </c>
      <c r="X165" s="64" t="n">
        <f aca="false">IF($K165="No Start (attainment only)",$P165,0)</f>
        <v>0</v>
      </c>
    </row>
    <row r="166" customFormat="false" ht="15" hidden="false" customHeight="false" outlineLevel="0" collapsed="false">
      <c r="A166" s="60"/>
      <c r="B166" s="61" t="str">
        <f aca="false">IF($M166=0,"",INDEX(Classes!$E$6:$E$420,$M166))</f>
        <v/>
      </c>
      <c r="C166" s="62" t="str">
        <f aca="false">IF($M166=0,"",INDEX(Classes!$H$6:$H$420,$M166))</f>
        <v/>
      </c>
      <c r="D166" s="61" t="str">
        <f aca="false">IF($M166=0,"",INDEX(Classes!$B$6:$B$420,$M166))</f>
        <v/>
      </c>
      <c r="E166" s="61" t="str">
        <f aca="false">IF($M166=0,"",INDEX(Classes!$C$6:$C$420,$M166))</f>
        <v/>
      </c>
      <c r="F166" s="63"/>
      <c r="G166" s="63"/>
      <c r="H166" s="60"/>
      <c r="I166" s="60"/>
      <c r="J166" s="63"/>
      <c r="K166" s="61" t="str">
        <f aca="false">IF($P166=0,"",IF($F166="Baseline","— Baseline",IF($O166=0,"No result",IF($N166=0,"No Start (attainment only)",IF(OR($N166=1,$O166=1),"U – needs rule",INDEX(MxBody,MATCH($I166,MxCurr,0),MATCH($H166,MxStart,0)))))))</f>
        <v/>
      </c>
      <c r="L166" s="62" t="str">
        <f aca="false">IF(COUNTA($A166,$F166,$G166,$H166,$I166,$J166)=0,"",IF($M166=0,"✖ كود الصف غير موجود",IF(ISNA(MATCH($F166,Lists!$A$2:$A$5,0)),"✖ الفترة غير صحيحة",IF(ISNA(MATCH($G166,Lists!$B$2:$B$7,0)),"✖ المجموعة غير صحيحة",IF(NOT(OR($H166="",$N166&gt;0)),"✖ Start غير صحيح",IF(NOT(OR($I166="",$I166="NR",$O166&gt;0)),"✖ Current غير صحيح",IF(NOT(IF(ISNUMBER($J166),AND($J166&gt;=0,$J166=INT($J166)),FALSE())),"✖ العدد يجب أن يكون صحيحًا ≥ 0",IF(AND($F166="Baseline",$H166&lt;&gt;""),"⚠ Baseline: Start لا يدخل في التقدم",IF($K166="No Start (attainment only)","ℹ تحصيل فقط (بدون Start)",IF($K166="U – needs rule","ℹ حالة U تحتاج قاعدة معتمدة",IF($K166="No result","ℹ بدون نتيجة (يُستبعد من التحصيل)","OK")))))))))))</f>
        <v/>
      </c>
      <c r="M166" s="64" t="n">
        <f aca="false">IF($A166="",0,IFERROR(MATCH($A166,Classes!$A$6:$A$420,0),0))</f>
        <v>0</v>
      </c>
      <c r="N166" s="64" t="n">
        <f aca="false">IF($H166="",0,IFERROR(MATCH($H166,GradeList,0),0))</f>
        <v>0</v>
      </c>
      <c r="O166" s="64" t="n">
        <f aca="false">IF(OR($I166="",$I166="NR"),0,IFERROR(MATCH($I166,GradeList,0),0))</f>
        <v>0</v>
      </c>
      <c r="P166" s="64" t="n">
        <f aca="false">IF(AND($M166&gt;0,ISNUMBER(MATCH($F166,Lists!$A$2:$A$5,0)),ISNUMBER(MATCH($G166,Lists!$B$2:$B$7,0)),OR($H166="",$N166&gt;0),OR($I166="",$I166="NR",$O166&gt;0),IF(ISNUMBER($J166),AND($J166&gt;=0,$J166=INT($J166)),FALSE())),$J166,0)</f>
        <v>0</v>
      </c>
      <c r="Q166" s="64" t="n">
        <f aca="false">IF(AND($P166&gt;0,$O166&gt;0),$P166,0)</f>
        <v>0</v>
      </c>
      <c r="R166" s="64" t="n">
        <f aca="false">IF(AND($Q166&gt;0,$O166&gt;=AtRank),$Q166,0)</f>
        <v>0</v>
      </c>
      <c r="S166" s="64" t="n">
        <f aca="false">IF(AND($Q166&gt;0,$O166&gt;=AboveRank),$Q166,0)</f>
        <v>0</v>
      </c>
      <c r="T166" s="64" t="n">
        <f aca="false">IF($K166="Less",$P166,0)</f>
        <v>0</v>
      </c>
      <c r="U166" s="64" t="n">
        <f aca="false">IF($K166="Expected",$P166,0)</f>
        <v>0</v>
      </c>
      <c r="V166" s="64" t="n">
        <f aca="false">IF($K166="Better",$P166,0)</f>
        <v>0</v>
      </c>
      <c r="W166" s="64" t="n">
        <f aca="false">IF($K166="U – needs rule",$P166,0)</f>
        <v>0</v>
      </c>
      <c r="X166" s="64" t="n">
        <f aca="false">IF($K166="No Start (attainment only)",$P166,0)</f>
        <v>0</v>
      </c>
    </row>
    <row r="167" customFormat="false" ht="15" hidden="false" customHeight="false" outlineLevel="0" collapsed="false">
      <c r="A167" s="60"/>
      <c r="B167" s="61" t="str">
        <f aca="false">IF($M167=0,"",INDEX(Classes!$E$6:$E$420,$M167))</f>
        <v/>
      </c>
      <c r="C167" s="62" t="str">
        <f aca="false">IF($M167=0,"",INDEX(Classes!$H$6:$H$420,$M167))</f>
        <v/>
      </c>
      <c r="D167" s="61" t="str">
        <f aca="false">IF($M167=0,"",INDEX(Classes!$B$6:$B$420,$M167))</f>
        <v/>
      </c>
      <c r="E167" s="61" t="str">
        <f aca="false">IF($M167=0,"",INDEX(Classes!$C$6:$C$420,$M167))</f>
        <v/>
      </c>
      <c r="F167" s="63"/>
      <c r="G167" s="63"/>
      <c r="H167" s="60"/>
      <c r="I167" s="60"/>
      <c r="J167" s="63"/>
      <c r="K167" s="61" t="str">
        <f aca="false">IF($P167=0,"",IF($F167="Baseline","— Baseline",IF($O167=0,"No result",IF($N167=0,"No Start (attainment only)",IF(OR($N167=1,$O167=1),"U – needs rule",INDEX(MxBody,MATCH($I167,MxCurr,0),MATCH($H167,MxStart,0)))))))</f>
        <v/>
      </c>
      <c r="L167" s="62" t="str">
        <f aca="false">IF(COUNTA($A167,$F167,$G167,$H167,$I167,$J167)=0,"",IF($M167=0,"✖ كود الصف غير موجود",IF(ISNA(MATCH($F167,Lists!$A$2:$A$5,0)),"✖ الفترة غير صحيحة",IF(ISNA(MATCH($G167,Lists!$B$2:$B$7,0)),"✖ المجموعة غير صحيحة",IF(NOT(OR($H167="",$N167&gt;0)),"✖ Start غير صحيح",IF(NOT(OR($I167="",$I167="NR",$O167&gt;0)),"✖ Current غير صحيح",IF(NOT(IF(ISNUMBER($J167),AND($J167&gt;=0,$J167=INT($J167)),FALSE())),"✖ العدد يجب أن يكون صحيحًا ≥ 0",IF(AND($F167="Baseline",$H167&lt;&gt;""),"⚠ Baseline: Start لا يدخل في التقدم",IF($K167="No Start (attainment only)","ℹ تحصيل فقط (بدون Start)",IF($K167="U – needs rule","ℹ حالة U تحتاج قاعدة معتمدة",IF($K167="No result","ℹ بدون نتيجة (يُستبعد من التحصيل)","OK")))))))))))</f>
        <v/>
      </c>
      <c r="M167" s="64" t="n">
        <f aca="false">IF($A167="",0,IFERROR(MATCH($A167,Classes!$A$6:$A$420,0),0))</f>
        <v>0</v>
      </c>
      <c r="N167" s="64" t="n">
        <f aca="false">IF($H167="",0,IFERROR(MATCH($H167,GradeList,0),0))</f>
        <v>0</v>
      </c>
      <c r="O167" s="64" t="n">
        <f aca="false">IF(OR($I167="",$I167="NR"),0,IFERROR(MATCH($I167,GradeList,0),0))</f>
        <v>0</v>
      </c>
      <c r="P167" s="64" t="n">
        <f aca="false">IF(AND($M167&gt;0,ISNUMBER(MATCH($F167,Lists!$A$2:$A$5,0)),ISNUMBER(MATCH($G167,Lists!$B$2:$B$7,0)),OR($H167="",$N167&gt;0),OR($I167="",$I167="NR",$O167&gt;0),IF(ISNUMBER($J167),AND($J167&gt;=0,$J167=INT($J167)),FALSE())),$J167,0)</f>
        <v>0</v>
      </c>
      <c r="Q167" s="64" t="n">
        <f aca="false">IF(AND($P167&gt;0,$O167&gt;0),$P167,0)</f>
        <v>0</v>
      </c>
      <c r="R167" s="64" t="n">
        <f aca="false">IF(AND($Q167&gt;0,$O167&gt;=AtRank),$Q167,0)</f>
        <v>0</v>
      </c>
      <c r="S167" s="64" t="n">
        <f aca="false">IF(AND($Q167&gt;0,$O167&gt;=AboveRank),$Q167,0)</f>
        <v>0</v>
      </c>
      <c r="T167" s="64" t="n">
        <f aca="false">IF($K167="Less",$P167,0)</f>
        <v>0</v>
      </c>
      <c r="U167" s="64" t="n">
        <f aca="false">IF($K167="Expected",$P167,0)</f>
        <v>0</v>
      </c>
      <c r="V167" s="64" t="n">
        <f aca="false">IF($K167="Better",$P167,0)</f>
        <v>0</v>
      </c>
      <c r="W167" s="64" t="n">
        <f aca="false">IF($K167="U – needs rule",$P167,0)</f>
        <v>0</v>
      </c>
      <c r="X167" s="64" t="n">
        <f aca="false">IF($K167="No Start (attainment only)",$P167,0)</f>
        <v>0</v>
      </c>
    </row>
    <row r="168" customFormat="false" ht="15" hidden="false" customHeight="false" outlineLevel="0" collapsed="false">
      <c r="A168" s="60"/>
      <c r="B168" s="61" t="str">
        <f aca="false">IF($M168=0,"",INDEX(Classes!$E$6:$E$420,$M168))</f>
        <v/>
      </c>
      <c r="C168" s="62" t="str">
        <f aca="false">IF($M168=0,"",INDEX(Classes!$H$6:$H$420,$M168))</f>
        <v/>
      </c>
      <c r="D168" s="61" t="str">
        <f aca="false">IF($M168=0,"",INDEX(Classes!$B$6:$B$420,$M168))</f>
        <v/>
      </c>
      <c r="E168" s="61" t="str">
        <f aca="false">IF($M168=0,"",INDEX(Classes!$C$6:$C$420,$M168))</f>
        <v/>
      </c>
      <c r="F168" s="63"/>
      <c r="G168" s="63"/>
      <c r="H168" s="60"/>
      <c r="I168" s="60"/>
      <c r="J168" s="63"/>
      <c r="K168" s="61" t="str">
        <f aca="false">IF($P168=0,"",IF($F168="Baseline","— Baseline",IF($O168=0,"No result",IF($N168=0,"No Start (attainment only)",IF(OR($N168=1,$O168=1),"U – needs rule",INDEX(MxBody,MATCH($I168,MxCurr,0),MATCH($H168,MxStart,0)))))))</f>
        <v/>
      </c>
      <c r="L168" s="62" t="str">
        <f aca="false">IF(COUNTA($A168,$F168,$G168,$H168,$I168,$J168)=0,"",IF($M168=0,"✖ كود الصف غير موجود",IF(ISNA(MATCH($F168,Lists!$A$2:$A$5,0)),"✖ الفترة غير صحيحة",IF(ISNA(MATCH($G168,Lists!$B$2:$B$7,0)),"✖ المجموعة غير صحيحة",IF(NOT(OR($H168="",$N168&gt;0)),"✖ Start غير صحيح",IF(NOT(OR($I168="",$I168="NR",$O168&gt;0)),"✖ Current غير صحيح",IF(NOT(IF(ISNUMBER($J168),AND($J168&gt;=0,$J168=INT($J168)),FALSE())),"✖ العدد يجب أن يكون صحيحًا ≥ 0",IF(AND($F168="Baseline",$H168&lt;&gt;""),"⚠ Baseline: Start لا يدخل في التقدم",IF($K168="No Start (attainment only)","ℹ تحصيل فقط (بدون Start)",IF($K168="U – needs rule","ℹ حالة U تحتاج قاعدة معتمدة",IF($K168="No result","ℹ بدون نتيجة (يُستبعد من التحصيل)","OK")))))))))))</f>
        <v/>
      </c>
      <c r="M168" s="64" t="n">
        <f aca="false">IF($A168="",0,IFERROR(MATCH($A168,Classes!$A$6:$A$420,0),0))</f>
        <v>0</v>
      </c>
      <c r="N168" s="64" t="n">
        <f aca="false">IF($H168="",0,IFERROR(MATCH($H168,GradeList,0),0))</f>
        <v>0</v>
      </c>
      <c r="O168" s="64" t="n">
        <f aca="false">IF(OR($I168="",$I168="NR"),0,IFERROR(MATCH($I168,GradeList,0),0))</f>
        <v>0</v>
      </c>
      <c r="P168" s="64" t="n">
        <f aca="false">IF(AND($M168&gt;0,ISNUMBER(MATCH($F168,Lists!$A$2:$A$5,0)),ISNUMBER(MATCH($G168,Lists!$B$2:$B$7,0)),OR($H168="",$N168&gt;0),OR($I168="",$I168="NR",$O168&gt;0),IF(ISNUMBER($J168),AND($J168&gt;=0,$J168=INT($J168)),FALSE())),$J168,0)</f>
        <v>0</v>
      </c>
      <c r="Q168" s="64" t="n">
        <f aca="false">IF(AND($P168&gt;0,$O168&gt;0),$P168,0)</f>
        <v>0</v>
      </c>
      <c r="R168" s="64" t="n">
        <f aca="false">IF(AND($Q168&gt;0,$O168&gt;=AtRank),$Q168,0)</f>
        <v>0</v>
      </c>
      <c r="S168" s="64" t="n">
        <f aca="false">IF(AND($Q168&gt;0,$O168&gt;=AboveRank),$Q168,0)</f>
        <v>0</v>
      </c>
      <c r="T168" s="64" t="n">
        <f aca="false">IF($K168="Less",$P168,0)</f>
        <v>0</v>
      </c>
      <c r="U168" s="64" t="n">
        <f aca="false">IF($K168="Expected",$P168,0)</f>
        <v>0</v>
      </c>
      <c r="V168" s="64" t="n">
        <f aca="false">IF($K168="Better",$P168,0)</f>
        <v>0</v>
      </c>
      <c r="W168" s="64" t="n">
        <f aca="false">IF($K168="U – needs rule",$P168,0)</f>
        <v>0</v>
      </c>
      <c r="X168" s="64" t="n">
        <f aca="false">IF($K168="No Start (attainment only)",$P168,0)</f>
        <v>0</v>
      </c>
    </row>
    <row r="169" customFormat="false" ht="15" hidden="false" customHeight="false" outlineLevel="0" collapsed="false">
      <c r="A169" s="60"/>
      <c r="B169" s="61" t="str">
        <f aca="false">IF($M169=0,"",INDEX(Classes!$E$6:$E$420,$M169))</f>
        <v/>
      </c>
      <c r="C169" s="62" t="str">
        <f aca="false">IF($M169=0,"",INDEX(Classes!$H$6:$H$420,$M169))</f>
        <v/>
      </c>
      <c r="D169" s="61" t="str">
        <f aca="false">IF($M169=0,"",INDEX(Classes!$B$6:$B$420,$M169))</f>
        <v/>
      </c>
      <c r="E169" s="61" t="str">
        <f aca="false">IF($M169=0,"",INDEX(Classes!$C$6:$C$420,$M169))</f>
        <v/>
      </c>
      <c r="F169" s="63"/>
      <c r="G169" s="63"/>
      <c r="H169" s="60"/>
      <c r="I169" s="60"/>
      <c r="J169" s="63"/>
      <c r="K169" s="61" t="str">
        <f aca="false">IF($P169=0,"",IF($F169="Baseline","— Baseline",IF($O169=0,"No result",IF($N169=0,"No Start (attainment only)",IF(OR($N169=1,$O169=1),"U – needs rule",INDEX(MxBody,MATCH($I169,MxCurr,0),MATCH($H169,MxStart,0)))))))</f>
        <v/>
      </c>
      <c r="L169" s="62" t="str">
        <f aca="false">IF(COUNTA($A169,$F169,$G169,$H169,$I169,$J169)=0,"",IF($M169=0,"✖ كود الصف غير موجود",IF(ISNA(MATCH($F169,Lists!$A$2:$A$5,0)),"✖ الفترة غير صحيحة",IF(ISNA(MATCH($G169,Lists!$B$2:$B$7,0)),"✖ المجموعة غير صحيحة",IF(NOT(OR($H169="",$N169&gt;0)),"✖ Start غير صحيح",IF(NOT(OR($I169="",$I169="NR",$O169&gt;0)),"✖ Current غير صحيح",IF(NOT(IF(ISNUMBER($J169),AND($J169&gt;=0,$J169=INT($J169)),FALSE())),"✖ العدد يجب أن يكون صحيحًا ≥ 0",IF(AND($F169="Baseline",$H169&lt;&gt;""),"⚠ Baseline: Start لا يدخل في التقدم",IF($K169="No Start (attainment only)","ℹ تحصيل فقط (بدون Start)",IF($K169="U – needs rule","ℹ حالة U تحتاج قاعدة معتمدة",IF($K169="No result","ℹ بدون نتيجة (يُستبعد من التحصيل)","OK")))))))))))</f>
        <v/>
      </c>
      <c r="M169" s="64" t="n">
        <f aca="false">IF($A169="",0,IFERROR(MATCH($A169,Classes!$A$6:$A$420,0),0))</f>
        <v>0</v>
      </c>
      <c r="N169" s="64" t="n">
        <f aca="false">IF($H169="",0,IFERROR(MATCH($H169,GradeList,0),0))</f>
        <v>0</v>
      </c>
      <c r="O169" s="64" t="n">
        <f aca="false">IF(OR($I169="",$I169="NR"),0,IFERROR(MATCH($I169,GradeList,0),0))</f>
        <v>0</v>
      </c>
      <c r="P169" s="64" t="n">
        <f aca="false">IF(AND($M169&gt;0,ISNUMBER(MATCH($F169,Lists!$A$2:$A$5,0)),ISNUMBER(MATCH($G169,Lists!$B$2:$B$7,0)),OR($H169="",$N169&gt;0),OR($I169="",$I169="NR",$O169&gt;0),IF(ISNUMBER($J169),AND($J169&gt;=0,$J169=INT($J169)),FALSE())),$J169,0)</f>
        <v>0</v>
      </c>
      <c r="Q169" s="64" t="n">
        <f aca="false">IF(AND($P169&gt;0,$O169&gt;0),$P169,0)</f>
        <v>0</v>
      </c>
      <c r="R169" s="64" t="n">
        <f aca="false">IF(AND($Q169&gt;0,$O169&gt;=AtRank),$Q169,0)</f>
        <v>0</v>
      </c>
      <c r="S169" s="64" t="n">
        <f aca="false">IF(AND($Q169&gt;0,$O169&gt;=AboveRank),$Q169,0)</f>
        <v>0</v>
      </c>
      <c r="T169" s="64" t="n">
        <f aca="false">IF($K169="Less",$P169,0)</f>
        <v>0</v>
      </c>
      <c r="U169" s="64" t="n">
        <f aca="false">IF($K169="Expected",$P169,0)</f>
        <v>0</v>
      </c>
      <c r="V169" s="64" t="n">
        <f aca="false">IF($K169="Better",$P169,0)</f>
        <v>0</v>
      </c>
      <c r="W169" s="64" t="n">
        <f aca="false">IF($K169="U – needs rule",$P169,0)</f>
        <v>0</v>
      </c>
      <c r="X169" s="64" t="n">
        <f aca="false">IF($K169="No Start (attainment only)",$P169,0)</f>
        <v>0</v>
      </c>
    </row>
    <row r="170" customFormat="false" ht="15" hidden="false" customHeight="false" outlineLevel="0" collapsed="false">
      <c r="A170" s="60"/>
      <c r="B170" s="61" t="str">
        <f aca="false">IF($M170=0,"",INDEX(Classes!$E$6:$E$420,$M170))</f>
        <v/>
      </c>
      <c r="C170" s="62" t="str">
        <f aca="false">IF($M170=0,"",INDEX(Classes!$H$6:$H$420,$M170))</f>
        <v/>
      </c>
      <c r="D170" s="61" t="str">
        <f aca="false">IF($M170=0,"",INDEX(Classes!$B$6:$B$420,$M170))</f>
        <v/>
      </c>
      <c r="E170" s="61" t="str">
        <f aca="false">IF($M170=0,"",INDEX(Classes!$C$6:$C$420,$M170))</f>
        <v/>
      </c>
      <c r="F170" s="63"/>
      <c r="G170" s="63"/>
      <c r="H170" s="60"/>
      <c r="I170" s="60"/>
      <c r="J170" s="63"/>
      <c r="K170" s="61" t="str">
        <f aca="false">IF($P170=0,"",IF($F170="Baseline","— Baseline",IF($O170=0,"No result",IF($N170=0,"No Start (attainment only)",IF(OR($N170=1,$O170=1),"U – needs rule",INDEX(MxBody,MATCH($I170,MxCurr,0),MATCH($H170,MxStart,0)))))))</f>
        <v/>
      </c>
      <c r="L170" s="62" t="str">
        <f aca="false">IF(COUNTA($A170,$F170,$G170,$H170,$I170,$J170)=0,"",IF($M170=0,"✖ كود الصف غير موجود",IF(ISNA(MATCH($F170,Lists!$A$2:$A$5,0)),"✖ الفترة غير صحيحة",IF(ISNA(MATCH($G170,Lists!$B$2:$B$7,0)),"✖ المجموعة غير صحيحة",IF(NOT(OR($H170="",$N170&gt;0)),"✖ Start غير صحيح",IF(NOT(OR($I170="",$I170="NR",$O170&gt;0)),"✖ Current غير صحيح",IF(NOT(IF(ISNUMBER($J170),AND($J170&gt;=0,$J170=INT($J170)),FALSE())),"✖ العدد يجب أن يكون صحيحًا ≥ 0",IF(AND($F170="Baseline",$H170&lt;&gt;""),"⚠ Baseline: Start لا يدخل في التقدم",IF($K170="No Start (attainment only)","ℹ تحصيل فقط (بدون Start)",IF($K170="U – needs rule","ℹ حالة U تحتاج قاعدة معتمدة",IF($K170="No result","ℹ بدون نتيجة (يُستبعد من التحصيل)","OK")))))))))))</f>
        <v/>
      </c>
      <c r="M170" s="64" t="n">
        <f aca="false">IF($A170="",0,IFERROR(MATCH($A170,Classes!$A$6:$A$420,0),0))</f>
        <v>0</v>
      </c>
      <c r="N170" s="64" t="n">
        <f aca="false">IF($H170="",0,IFERROR(MATCH($H170,GradeList,0),0))</f>
        <v>0</v>
      </c>
      <c r="O170" s="64" t="n">
        <f aca="false">IF(OR($I170="",$I170="NR"),0,IFERROR(MATCH($I170,GradeList,0),0))</f>
        <v>0</v>
      </c>
      <c r="P170" s="64" t="n">
        <f aca="false">IF(AND($M170&gt;0,ISNUMBER(MATCH($F170,Lists!$A$2:$A$5,0)),ISNUMBER(MATCH($G170,Lists!$B$2:$B$7,0)),OR($H170="",$N170&gt;0),OR($I170="",$I170="NR",$O170&gt;0),IF(ISNUMBER($J170),AND($J170&gt;=0,$J170=INT($J170)),FALSE())),$J170,0)</f>
        <v>0</v>
      </c>
      <c r="Q170" s="64" t="n">
        <f aca="false">IF(AND($P170&gt;0,$O170&gt;0),$P170,0)</f>
        <v>0</v>
      </c>
      <c r="R170" s="64" t="n">
        <f aca="false">IF(AND($Q170&gt;0,$O170&gt;=AtRank),$Q170,0)</f>
        <v>0</v>
      </c>
      <c r="S170" s="64" t="n">
        <f aca="false">IF(AND($Q170&gt;0,$O170&gt;=AboveRank),$Q170,0)</f>
        <v>0</v>
      </c>
      <c r="T170" s="64" t="n">
        <f aca="false">IF($K170="Less",$P170,0)</f>
        <v>0</v>
      </c>
      <c r="U170" s="64" t="n">
        <f aca="false">IF($K170="Expected",$P170,0)</f>
        <v>0</v>
      </c>
      <c r="V170" s="64" t="n">
        <f aca="false">IF($K170="Better",$P170,0)</f>
        <v>0</v>
      </c>
      <c r="W170" s="64" t="n">
        <f aca="false">IF($K170="U – needs rule",$P170,0)</f>
        <v>0</v>
      </c>
      <c r="X170" s="64" t="n">
        <f aca="false">IF($K170="No Start (attainment only)",$P170,0)</f>
        <v>0</v>
      </c>
    </row>
    <row r="171" customFormat="false" ht="15" hidden="false" customHeight="false" outlineLevel="0" collapsed="false">
      <c r="A171" s="60"/>
      <c r="B171" s="61" t="str">
        <f aca="false">IF($M171=0,"",INDEX(Classes!$E$6:$E$420,$M171))</f>
        <v/>
      </c>
      <c r="C171" s="62" t="str">
        <f aca="false">IF($M171=0,"",INDEX(Classes!$H$6:$H$420,$M171))</f>
        <v/>
      </c>
      <c r="D171" s="61" t="str">
        <f aca="false">IF($M171=0,"",INDEX(Classes!$B$6:$B$420,$M171))</f>
        <v/>
      </c>
      <c r="E171" s="61" t="str">
        <f aca="false">IF($M171=0,"",INDEX(Classes!$C$6:$C$420,$M171))</f>
        <v/>
      </c>
      <c r="F171" s="63"/>
      <c r="G171" s="63"/>
      <c r="H171" s="60"/>
      <c r="I171" s="60"/>
      <c r="J171" s="63"/>
      <c r="K171" s="61" t="str">
        <f aca="false">IF($P171=0,"",IF($F171="Baseline","— Baseline",IF($O171=0,"No result",IF($N171=0,"No Start (attainment only)",IF(OR($N171=1,$O171=1),"U – needs rule",INDEX(MxBody,MATCH($I171,MxCurr,0),MATCH($H171,MxStart,0)))))))</f>
        <v/>
      </c>
      <c r="L171" s="62" t="str">
        <f aca="false">IF(COUNTA($A171,$F171,$G171,$H171,$I171,$J171)=0,"",IF($M171=0,"✖ كود الصف غير موجود",IF(ISNA(MATCH($F171,Lists!$A$2:$A$5,0)),"✖ الفترة غير صحيحة",IF(ISNA(MATCH($G171,Lists!$B$2:$B$7,0)),"✖ المجموعة غير صحيحة",IF(NOT(OR($H171="",$N171&gt;0)),"✖ Start غير صحيح",IF(NOT(OR($I171="",$I171="NR",$O171&gt;0)),"✖ Current غير صحيح",IF(NOT(IF(ISNUMBER($J171),AND($J171&gt;=0,$J171=INT($J171)),FALSE())),"✖ العدد يجب أن يكون صحيحًا ≥ 0",IF(AND($F171="Baseline",$H171&lt;&gt;""),"⚠ Baseline: Start لا يدخل في التقدم",IF($K171="No Start (attainment only)","ℹ تحصيل فقط (بدون Start)",IF($K171="U – needs rule","ℹ حالة U تحتاج قاعدة معتمدة",IF($K171="No result","ℹ بدون نتيجة (يُستبعد من التحصيل)","OK")))))))))))</f>
        <v/>
      </c>
      <c r="M171" s="64" t="n">
        <f aca="false">IF($A171="",0,IFERROR(MATCH($A171,Classes!$A$6:$A$420,0),0))</f>
        <v>0</v>
      </c>
      <c r="N171" s="64" t="n">
        <f aca="false">IF($H171="",0,IFERROR(MATCH($H171,GradeList,0),0))</f>
        <v>0</v>
      </c>
      <c r="O171" s="64" t="n">
        <f aca="false">IF(OR($I171="",$I171="NR"),0,IFERROR(MATCH($I171,GradeList,0),0))</f>
        <v>0</v>
      </c>
      <c r="P171" s="64" t="n">
        <f aca="false">IF(AND($M171&gt;0,ISNUMBER(MATCH($F171,Lists!$A$2:$A$5,0)),ISNUMBER(MATCH($G171,Lists!$B$2:$B$7,0)),OR($H171="",$N171&gt;0),OR($I171="",$I171="NR",$O171&gt;0),IF(ISNUMBER($J171),AND($J171&gt;=0,$J171=INT($J171)),FALSE())),$J171,0)</f>
        <v>0</v>
      </c>
      <c r="Q171" s="64" t="n">
        <f aca="false">IF(AND($P171&gt;0,$O171&gt;0),$P171,0)</f>
        <v>0</v>
      </c>
      <c r="R171" s="64" t="n">
        <f aca="false">IF(AND($Q171&gt;0,$O171&gt;=AtRank),$Q171,0)</f>
        <v>0</v>
      </c>
      <c r="S171" s="64" t="n">
        <f aca="false">IF(AND($Q171&gt;0,$O171&gt;=AboveRank),$Q171,0)</f>
        <v>0</v>
      </c>
      <c r="T171" s="64" t="n">
        <f aca="false">IF($K171="Less",$P171,0)</f>
        <v>0</v>
      </c>
      <c r="U171" s="64" t="n">
        <f aca="false">IF($K171="Expected",$P171,0)</f>
        <v>0</v>
      </c>
      <c r="V171" s="64" t="n">
        <f aca="false">IF($K171="Better",$P171,0)</f>
        <v>0</v>
      </c>
      <c r="W171" s="64" t="n">
        <f aca="false">IF($K171="U – needs rule",$P171,0)</f>
        <v>0</v>
      </c>
      <c r="X171" s="64" t="n">
        <f aca="false">IF($K171="No Start (attainment only)",$P171,0)</f>
        <v>0</v>
      </c>
    </row>
    <row r="172" customFormat="false" ht="15" hidden="false" customHeight="false" outlineLevel="0" collapsed="false">
      <c r="A172" s="60"/>
      <c r="B172" s="61" t="str">
        <f aca="false">IF($M172=0,"",INDEX(Classes!$E$6:$E$420,$M172))</f>
        <v/>
      </c>
      <c r="C172" s="62" t="str">
        <f aca="false">IF($M172=0,"",INDEX(Classes!$H$6:$H$420,$M172))</f>
        <v/>
      </c>
      <c r="D172" s="61" t="str">
        <f aca="false">IF($M172=0,"",INDEX(Classes!$B$6:$B$420,$M172))</f>
        <v/>
      </c>
      <c r="E172" s="61" t="str">
        <f aca="false">IF($M172=0,"",INDEX(Classes!$C$6:$C$420,$M172))</f>
        <v/>
      </c>
      <c r="F172" s="63"/>
      <c r="G172" s="63"/>
      <c r="H172" s="60"/>
      <c r="I172" s="60"/>
      <c r="J172" s="63"/>
      <c r="K172" s="61" t="str">
        <f aca="false">IF($P172=0,"",IF($F172="Baseline","— Baseline",IF($O172=0,"No result",IF($N172=0,"No Start (attainment only)",IF(OR($N172=1,$O172=1),"U – needs rule",INDEX(MxBody,MATCH($I172,MxCurr,0),MATCH($H172,MxStart,0)))))))</f>
        <v/>
      </c>
      <c r="L172" s="62" t="str">
        <f aca="false">IF(COUNTA($A172,$F172,$G172,$H172,$I172,$J172)=0,"",IF($M172=0,"✖ كود الصف غير موجود",IF(ISNA(MATCH($F172,Lists!$A$2:$A$5,0)),"✖ الفترة غير صحيحة",IF(ISNA(MATCH($G172,Lists!$B$2:$B$7,0)),"✖ المجموعة غير صحيحة",IF(NOT(OR($H172="",$N172&gt;0)),"✖ Start غير صحيح",IF(NOT(OR($I172="",$I172="NR",$O172&gt;0)),"✖ Current غير صحيح",IF(NOT(IF(ISNUMBER($J172),AND($J172&gt;=0,$J172=INT($J172)),FALSE())),"✖ العدد يجب أن يكون صحيحًا ≥ 0",IF(AND($F172="Baseline",$H172&lt;&gt;""),"⚠ Baseline: Start لا يدخل في التقدم",IF($K172="No Start (attainment only)","ℹ تحصيل فقط (بدون Start)",IF($K172="U – needs rule","ℹ حالة U تحتاج قاعدة معتمدة",IF($K172="No result","ℹ بدون نتيجة (يُستبعد من التحصيل)","OK")))))))))))</f>
        <v/>
      </c>
      <c r="M172" s="64" t="n">
        <f aca="false">IF($A172="",0,IFERROR(MATCH($A172,Classes!$A$6:$A$420,0),0))</f>
        <v>0</v>
      </c>
      <c r="N172" s="64" t="n">
        <f aca="false">IF($H172="",0,IFERROR(MATCH($H172,GradeList,0),0))</f>
        <v>0</v>
      </c>
      <c r="O172" s="64" t="n">
        <f aca="false">IF(OR($I172="",$I172="NR"),0,IFERROR(MATCH($I172,GradeList,0),0))</f>
        <v>0</v>
      </c>
      <c r="P172" s="64" t="n">
        <f aca="false">IF(AND($M172&gt;0,ISNUMBER(MATCH($F172,Lists!$A$2:$A$5,0)),ISNUMBER(MATCH($G172,Lists!$B$2:$B$7,0)),OR($H172="",$N172&gt;0),OR($I172="",$I172="NR",$O172&gt;0),IF(ISNUMBER($J172),AND($J172&gt;=0,$J172=INT($J172)),FALSE())),$J172,0)</f>
        <v>0</v>
      </c>
      <c r="Q172" s="64" t="n">
        <f aca="false">IF(AND($P172&gt;0,$O172&gt;0),$P172,0)</f>
        <v>0</v>
      </c>
      <c r="R172" s="64" t="n">
        <f aca="false">IF(AND($Q172&gt;0,$O172&gt;=AtRank),$Q172,0)</f>
        <v>0</v>
      </c>
      <c r="S172" s="64" t="n">
        <f aca="false">IF(AND($Q172&gt;0,$O172&gt;=AboveRank),$Q172,0)</f>
        <v>0</v>
      </c>
      <c r="T172" s="64" t="n">
        <f aca="false">IF($K172="Less",$P172,0)</f>
        <v>0</v>
      </c>
      <c r="U172" s="64" t="n">
        <f aca="false">IF($K172="Expected",$P172,0)</f>
        <v>0</v>
      </c>
      <c r="V172" s="64" t="n">
        <f aca="false">IF($K172="Better",$P172,0)</f>
        <v>0</v>
      </c>
      <c r="W172" s="64" t="n">
        <f aca="false">IF($K172="U – needs rule",$P172,0)</f>
        <v>0</v>
      </c>
      <c r="X172" s="64" t="n">
        <f aca="false">IF($K172="No Start (attainment only)",$P172,0)</f>
        <v>0</v>
      </c>
    </row>
    <row r="173" customFormat="false" ht="15" hidden="false" customHeight="false" outlineLevel="0" collapsed="false">
      <c r="A173" s="60"/>
      <c r="B173" s="61" t="str">
        <f aca="false">IF($M173=0,"",INDEX(Classes!$E$6:$E$420,$M173))</f>
        <v/>
      </c>
      <c r="C173" s="62" t="str">
        <f aca="false">IF($M173=0,"",INDEX(Classes!$H$6:$H$420,$M173))</f>
        <v/>
      </c>
      <c r="D173" s="61" t="str">
        <f aca="false">IF($M173=0,"",INDEX(Classes!$B$6:$B$420,$M173))</f>
        <v/>
      </c>
      <c r="E173" s="61" t="str">
        <f aca="false">IF($M173=0,"",INDEX(Classes!$C$6:$C$420,$M173))</f>
        <v/>
      </c>
      <c r="F173" s="63"/>
      <c r="G173" s="63"/>
      <c r="H173" s="60"/>
      <c r="I173" s="60"/>
      <c r="J173" s="63"/>
      <c r="K173" s="61" t="str">
        <f aca="false">IF($P173=0,"",IF($F173="Baseline","— Baseline",IF($O173=0,"No result",IF($N173=0,"No Start (attainment only)",IF(OR($N173=1,$O173=1),"U – needs rule",INDEX(MxBody,MATCH($I173,MxCurr,0),MATCH($H173,MxStart,0)))))))</f>
        <v/>
      </c>
      <c r="L173" s="62" t="str">
        <f aca="false">IF(COUNTA($A173,$F173,$G173,$H173,$I173,$J173)=0,"",IF($M173=0,"✖ كود الصف غير موجود",IF(ISNA(MATCH($F173,Lists!$A$2:$A$5,0)),"✖ الفترة غير صحيحة",IF(ISNA(MATCH($G173,Lists!$B$2:$B$7,0)),"✖ المجموعة غير صحيحة",IF(NOT(OR($H173="",$N173&gt;0)),"✖ Start غير صحيح",IF(NOT(OR($I173="",$I173="NR",$O173&gt;0)),"✖ Current غير صحيح",IF(NOT(IF(ISNUMBER($J173),AND($J173&gt;=0,$J173=INT($J173)),FALSE())),"✖ العدد يجب أن يكون صحيحًا ≥ 0",IF(AND($F173="Baseline",$H173&lt;&gt;""),"⚠ Baseline: Start لا يدخل في التقدم",IF($K173="No Start (attainment only)","ℹ تحصيل فقط (بدون Start)",IF($K173="U – needs rule","ℹ حالة U تحتاج قاعدة معتمدة",IF($K173="No result","ℹ بدون نتيجة (يُستبعد من التحصيل)","OK")))))))))))</f>
        <v/>
      </c>
      <c r="M173" s="64" t="n">
        <f aca="false">IF($A173="",0,IFERROR(MATCH($A173,Classes!$A$6:$A$420,0),0))</f>
        <v>0</v>
      </c>
      <c r="N173" s="64" t="n">
        <f aca="false">IF($H173="",0,IFERROR(MATCH($H173,GradeList,0),0))</f>
        <v>0</v>
      </c>
      <c r="O173" s="64" t="n">
        <f aca="false">IF(OR($I173="",$I173="NR"),0,IFERROR(MATCH($I173,GradeList,0),0))</f>
        <v>0</v>
      </c>
      <c r="P173" s="64" t="n">
        <f aca="false">IF(AND($M173&gt;0,ISNUMBER(MATCH($F173,Lists!$A$2:$A$5,0)),ISNUMBER(MATCH($G173,Lists!$B$2:$B$7,0)),OR($H173="",$N173&gt;0),OR($I173="",$I173="NR",$O173&gt;0),IF(ISNUMBER($J173),AND($J173&gt;=0,$J173=INT($J173)),FALSE())),$J173,0)</f>
        <v>0</v>
      </c>
      <c r="Q173" s="64" t="n">
        <f aca="false">IF(AND($P173&gt;0,$O173&gt;0),$P173,0)</f>
        <v>0</v>
      </c>
      <c r="R173" s="64" t="n">
        <f aca="false">IF(AND($Q173&gt;0,$O173&gt;=AtRank),$Q173,0)</f>
        <v>0</v>
      </c>
      <c r="S173" s="64" t="n">
        <f aca="false">IF(AND($Q173&gt;0,$O173&gt;=AboveRank),$Q173,0)</f>
        <v>0</v>
      </c>
      <c r="T173" s="64" t="n">
        <f aca="false">IF($K173="Less",$P173,0)</f>
        <v>0</v>
      </c>
      <c r="U173" s="64" t="n">
        <f aca="false">IF($K173="Expected",$P173,0)</f>
        <v>0</v>
      </c>
      <c r="V173" s="64" t="n">
        <f aca="false">IF($K173="Better",$P173,0)</f>
        <v>0</v>
      </c>
      <c r="W173" s="64" t="n">
        <f aca="false">IF($K173="U – needs rule",$P173,0)</f>
        <v>0</v>
      </c>
      <c r="X173" s="64" t="n">
        <f aca="false">IF($K173="No Start (attainment only)",$P173,0)</f>
        <v>0</v>
      </c>
    </row>
    <row r="174" customFormat="false" ht="15" hidden="false" customHeight="false" outlineLevel="0" collapsed="false">
      <c r="A174" s="60"/>
      <c r="B174" s="61" t="str">
        <f aca="false">IF($M174=0,"",INDEX(Classes!$E$6:$E$420,$M174))</f>
        <v/>
      </c>
      <c r="C174" s="62" t="str">
        <f aca="false">IF($M174=0,"",INDEX(Classes!$H$6:$H$420,$M174))</f>
        <v/>
      </c>
      <c r="D174" s="61" t="str">
        <f aca="false">IF($M174=0,"",INDEX(Classes!$B$6:$B$420,$M174))</f>
        <v/>
      </c>
      <c r="E174" s="61" t="str">
        <f aca="false">IF($M174=0,"",INDEX(Classes!$C$6:$C$420,$M174))</f>
        <v/>
      </c>
      <c r="F174" s="63"/>
      <c r="G174" s="63"/>
      <c r="H174" s="60"/>
      <c r="I174" s="60"/>
      <c r="J174" s="63"/>
      <c r="K174" s="61" t="str">
        <f aca="false">IF($P174=0,"",IF($F174="Baseline","— Baseline",IF($O174=0,"No result",IF($N174=0,"No Start (attainment only)",IF(OR($N174=1,$O174=1),"U – needs rule",INDEX(MxBody,MATCH($I174,MxCurr,0),MATCH($H174,MxStart,0)))))))</f>
        <v/>
      </c>
      <c r="L174" s="62" t="str">
        <f aca="false">IF(COUNTA($A174,$F174,$G174,$H174,$I174,$J174)=0,"",IF($M174=0,"✖ كود الصف غير موجود",IF(ISNA(MATCH($F174,Lists!$A$2:$A$5,0)),"✖ الفترة غير صحيحة",IF(ISNA(MATCH($G174,Lists!$B$2:$B$7,0)),"✖ المجموعة غير صحيحة",IF(NOT(OR($H174="",$N174&gt;0)),"✖ Start غير صحيح",IF(NOT(OR($I174="",$I174="NR",$O174&gt;0)),"✖ Current غير صحيح",IF(NOT(IF(ISNUMBER($J174),AND($J174&gt;=0,$J174=INT($J174)),FALSE())),"✖ العدد يجب أن يكون صحيحًا ≥ 0",IF(AND($F174="Baseline",$H174&lt;&gt;""),"⚠ Baseline: Start لا يدخل في التقدم",IF($K174="No Start (attainment only)","ℹ تحصيل فقط (بدون Start)",IF($K174="U – needs rule","ℹ حالة U تحتاج قاعدة معتمدة",IF($K174="No result","ℹ بدون نتيجة (يُستبعد من التحصيل)","OK")))))))))))</f>
        <v/>
      </c>
      <c r="M174" s="64" t="n">
        <f aca="false">IF($A174="",0,IFERROR(MATCH($A174,Classes!$A$6:$A$420,0),0))</f>
        <v>0</v>
      </c>
      <c r="N174" s="64" t="n">
        <f aca="false">IF($H174="",0,IFERROR(MATCH($H174,GradeList,0),0))</f>
        <v>0</v>
      </c>
      <c r="O174" s="64" t="n">
        <f aca="false">IF(OR($I174="",$I174="NR"),0,IFERROR(MATCH($I174,GradeList,0),0))</f>
        <v>0</v>
      </c>
      <c r="P174" s="64" t="n">
        <f aca="false">IF(AND($M174&gt;0,ISNUMBER(MATCH($F174,Lists!$A$2:$A$5,0)),ISNUMBER(MATCH($G174,Lists!$B$2:$B$7,0)),OR($H174="",$N174&gt;0),OR($I174="",$I174="NR",$O174&gt;0),IF(ISNUMBER($J174),AND($J174&gt;=0,$J174=INT($J174)),FALSE())),$J174,0)</f>
        <v>0</v>
      </c>
      <c r="Q174" s="64" t="n">
        <f aca="false">IF(AND($P174&gt;0,$O174&gt;0),$P174,0)</f>
        <v>0</v>
      </c>
      <c r="R174" s="64" t="n">
        <f aca="false">IF(AND($Q174&gt;0,$O174&gt;=AtRank),$Q174,0)</f>
        <v>0</v>
      </c>
      <c r="S174" s="64" t="n">
        <f aca="false">IF(AND($Q174&gt;0,$O174&gt;=AboveRank),$Q174,0)</f>
        <v>0</v>
      </c>
      <c r="T174" s="64" t="n">
        <f aca="false">IF($K174="Less",$P174,0)</f>
        <v>0</v>
      </c>
      <c r="U174" s="64" t="n">
        <f aca="false">IF($K174="Expected",$P174,0)</f>
        <v>0</v>
      </c>
      <c r="V174" s="64" t="n">
        <f aca="false">IF($K174="Better",$P174,0)</f>
        <v>0</v>
      </c>
      <c r="W174" s="64" t="n">
        <f aca="false">IF($K174="U – needs rule",$P174,0)</f>
        <v>0</v>
      </c>
      <c r="X174" s="64" t="n">
        <f aca="false">IF($K174="No Start (attainment only)",$P174,0)</f>
        <v>0</v>
      </c>
    </row>
    <row r="175" customFormat="false" ht="15" hidden="false" customHeight="false" outlineLevel="0" collapsed="false">
      <c r="A175" s="60"/>
      <c r="B175" s="61" t="str">
        <f aca="false">IF($M175=0,"",INDEX(Classes!$E$6:$E$420,$M175))</f>
        <v/>
      </c>
      <c r="C175" s="62" t="str">
        <f aca="false">IF($M175=0,"",INDEX(Classes!$H$6:$H$420,$M175))</f>
        <v/>
      </c>
      <c r="D175" s="61" t="str">
        <f aca="false">IF($M175=0,"",INDEX(Classes!$B$6:$B$420,$M175))</f>
        <v/>
      </c>
      <c r="E175" s="61" t="str">
        <f aca="false">IF($M175=0,"",INDEX(Classes!$C$6:$C$420,$M175))</f>
        <v/>
      </c>
      <c r="F175" s="63"/>
      <c r="G175" s="63"/>
      <c r="H175" s="60"/>
      <c r="I175" s="60"/>
      <c r="J175" s="63"/>
      <c r="K175" s="61" t="str">
        <f aca="false">IF($P175=0,"",IF($F175="Baseline","— Baseline",IF($O175=0,"No result",IF($N175=0,"No Start (attainment only)",IF(OR($N175=1,$O175=1),"U – needs rule",INDEX(MxBody,MATCH($I175,MxCurr,0),MATCH($H175,MxStart,0)))))))</f>
        <v/>
      </c>
      <c r="L175" s="62" t="str">
        <f aca="false">IF(COUNTA($A175,$F175,$G175,$H175,$I175,$J175)=0,"",IF($M175=0,"✖ كود الصف غير موجود",IF(ISNA(MATCH($F175,Lists!$A$2:$A$5,0)),"✖ الفترة غير صحيحة",IF(ISNA(MATCH($G175,Lists!$B$2:$B$7,0)),"✖ المجموعة غير صحيحة",IF(NOT(OR($H175="",$N175&gt;0)),"✖ Start غير صحيح",IF(NOT(OR($I175="",$I175="NR",$O175&gt;0)),"✖ Current غير صحيح",IF(NOT(IF(ISNUMBER($J175),AND($J175&gt;=0,$J175=INT($J175)),FALSE())),"✖ العدد يجب أن يكون صحيحًا ≥ 0",IF(AND($F175="Baseline",$H175&lt;&gt;""),"⚠ Baseline: Start لا يدخل في التقدم",IF($K175="No Start (attainment only)","ℹ تحصيل فقط (بدون Start)",IF($K175="U – needs rule","ℹ حالة U تحتاج قاعدة معتمدة",IF($K175="No result","ℹ بدون نتيجة (يُستبعد من التحصيل)","OK")))))))))))</f>
        <v/>
      </c>
      <c r="M175" s="64" t="n">
        <f aca="false">IF($A175="",0,IFERROR(MATCH($A175,Classes!$A$6:$A$420,0),0))</f>
        <v>0</v>
      </c>
      <c r="N175" s="64" t="n">
        <f aca="false">IF($H175="",0,IFERROR(MATCH($H175,GradeList,0),0))</f>
        <v>0</v>
      </c>
      <c r="O175" s="64" t="n">
        <f aca="false">IF(OR($I175="",$I175="NR"),0,IFERROR(MATCH($I175,GradeList,0),0))</f>
        <v>0</v>
      </c>
      <c r="P175" s="64" t="n">
        <f aca="false">IF(AND($M175&gt;0,ISNUMBER(MATCH($F175,Lists!$A$2:$A$5,0)),ISNUMBER(MATCH($G175,Lists!$B$2:$B$7,0)),OR($H175="",$N175&gt;0),OR($I175="",$I175="NR",$O175&gt;0),IF(ISNUMBER($J175),AND($J175&gt;=0,$J175=INT($J175)),FALSE())),$J175,0)</f>
        <v>0</v>
      </c>
      <c r="Q175" s="64" t="n">
        <f aca="false">IF(AND($P175&gt;0,$O175&gt;0),$P175,0)</f>
        <v>0</v>
      </c>
      <c r="R175" s="64" t="n">
        <f aca="false">IF(AND($Q175&gt;0,$O175&gt;=AtRank),$Q175,0)</f>
        <v>0</v>
      </c>
      <c r="S175" s="64" t="n">
        <f aca="false">IF(AND($Q175&gt;0,$O175&gt;=AboveRank),$Q175,0)</f>
        <v>0</v>
      </c>
      <c r="T175" s="64" t="n">
        <f aca="false">IF($K175="Less",$P175,0)</f>
        <v>0</v>
      </c>
      <c r="U175" s="64" t="n">
        <f aca="false">IF($K175="Expected",$P175,0)</f>
        <v>0</v>
      </c>
      <c r="V175" s="64" t="n">
        <f aca="false">IF($K175="Better",$P175,0)</f>
        <v>0</v>
      </c>
      <c r="W175" s="64" t="n">
        <f aca="false">IF($K175="U – needs rule",$P175,0)</f>
        <v>0</v>
      </c>
      <c r="X175" s="64" t="n">
        <f aca="false">IF($K175="No Start (attainment only)",$P175,0)</f>
        <v>0</v>
      </c>
    </row>
    <row r="176" customFormat="false" ht="15" hidden="false" customHeight="false" outlineLevel="0" collapsed="false">
      <c r="A176" s="60"/>
      <c r="B176" s="61" t="str">
        <f aca="false">IF($M176=0,"",INDEX(Classes!$E$6:$E$420,$M176))</f>
        <v/>
      </c>
      <c r="C176" s="62" t="str">
        <f aca="false">IF($M176=0,"",INDEX(Classes!$H$6:$H$420,$M176))</f>
        <v/>
      </c>
      <c r="D176" s="61" t="str">
        <f aca="false">IF($M176=0,"",INDEX(Classes!$B$6:$B$420,$M176))</f>
        <v/>
      </c>
      <c r="E176" s="61" t="str">
        <f aca="false">IF($M176=0,"",INDEX(Classes!$C$6:$C$420,$M176))</f>
        <v/>
      </c>
      <c r="F176" s="63"/>
      <c r="G176" s="63"/>
      <c r="H176" s="60"/>
      <c r="I176" s="60"/>
      <c r="J176" s="63"/>
      <c r="K176" s="61" t="str">
        <f aca="false">IF($P176=0,"",IF($F176="Baseline","— Baseline",IF($O176=0,"No result",IF($N176=0,"No Start (attainment only)",IF(OR($N176=1,$O176=1),"U – needs rule",INDEX(MxBody,MATCH($I176,MxCurr,0),MATCH($H176,MxStart,0)))))))</f>
        <v/>
      </c>
      <c r="L176" s="62" t="str">
        <f aca="false">IF(COUNTA($A176,$F176,$G176,$H176,$I176,$J176)=0,"",IF($M176=0,"✖ كود الصف غير موجود",IF(ISNA(MATCH($F176,Lists!$A$2:$A$5,0)),"✖ الفترة غير صحيحة",IF(ISNA(MATCH($G176,Lists!$B$2:$B$7,0)),"✖ المجموعة غير صحيحة",IF(NOT(OR($H176="",$N176&gt;0)),"✖ Start غير صحيح",IF(NOT(OR($I176="",$I176="NR",$O176&gt;0)),"✖ Current غير صحيح",IF(NOT(IF(ISNUMBER($J176),AND($J176&gt;=0,$J176=INT($J176)),FALSE())),"✖ العدد يجب أن يكون صحيحًا ≥ 0",IF(AND($F176="Baseline",$H176&lt;&gt;""),"⚠ Baseline: Start لا يدخل في التقدم",IF($K176="No Start (attainment only)","ℹ تحصيل فقط (بدون Start)",IF($K176="U – needs rule","ℹ حالة U تحتاج قاعدة معتمدة",IF($K176="No result","ℹ بدون نتيجة (يُستبعد من التحصيل)","OK")))))))))))</f>
        <v/>
      </c>
      <c r="M176" s="64" t="n">
        <f aca="false">IF($A176="",0,IFERROR(MATCH($A176,Classes!$A$6:$A$420,0),0))</f>
        <v>0</v>
      </c>
      <c r="N176" s="64" t="n">
        <f aca="false">IF($H176="",0,IFERROR(MATCH($H176,GradeList,0),0))</f>
        <v>0</v>
      </c>
      <c r="O176" s="64" t="n">
        <f aca="false">IF(OR($I176="",$I176="NR"),0,IFERROR(MATCH($I176,GradeList,0),0))</f>
        <v>0</v>
      </c>
      <c r="P176" s="64" t="n">
        <f aca="false">IF(AND($M176&gt;0,ISNUMBER(MATCH($F176,Lists!$A$2:$A$5,0)),ISNUMBER(MATCH($G176,Lists!$B$2:$B$7,0)),OR($H176="",$N176&gt;0),OR($I176="",$I176="NR",$O176&gt;0),IF(ISNUMBER($J176),AND($J176&gt;=0,$J176=INT($J176)),FALSE())),$J176,0)</f>
        <v>0</v>
      </c>
      <c r="Q176" s="64" t="n">
        <f aca="false">IF(AND($P176&gt;0,$O176&gt;0),$P176,0)</f>
        <v>0</v>
      </c>
      <c r="R176" s="64" t="n">
        <f aca="false">IF(AND($Q176&gt;0,$O176&gt;=AtRank),$Q176,0)</f>
        <v>0</v>
      </c>
      <c r="S176" s="64" t="n">
        <f aca="false">IF(AND($Q176&gt;0,$O176&gt;=AboveRank),$Q176,0)</f>
        <v>0</v>
      </c>
      <c r="T176" s="64" t="n">
        <f aca="false">IF($K176="Less",$P176,0)</f>
        <v>0</v>
      </c>
      <c r="U176" s="64" t="n">
        <f aca="false">IF($K176="Expected",$P176,0)</f>
        <v>0</v>
      </c>
      <c r="V176" s="64" t="n">
        <f aca="false">IF($K176="Better",$P176,0)</f>
        <v>0</v>
      </c>
      <c r="W176" s="64" t="n">
        <f aca="false">IF($K176="U – needs rule",$P176,0)</f>
        <v>0</v>
      </c>
      <c r="X176" s="64" t="n">
        <f aca="false">IF($K176="No Start (attainment only)",$P176,0)</f>
        <v>0</v>
      </c>
    </row>
    <row r="177" customFormat="false" ht="15" hidden="false" customHeight="false" outlineLevel="0" collapsed="false">
      <c r="A177" s="60"/>
      <c r="B177" s="61" t="str">
        <f aca="false">IF($M177=0,"",INDEX(Classes!$E$6:$E$420,$M177))</f>
        <v/>
      </c>
      <c r="C177" s="62" t="str">
        <f aca="false">IF($M177=0,"",INDEX(Classes!$H$6:$H$420,$M177))</f>
        <v/>
      </c>
      <c r="D177" s="61" t="str">
        <f aca="false">IF($M177=0,"",INDEX(Classes!$B$6:$B$420,$M177))</f>
        <v/>
      </c>
      <c r="E177" s="61" t="str">
        <f aca="false">IF($M177=0,"",INDEX(Classes!$C$6:$C$420,$M177))</f>
        <v/>
      </c>
      <c r="F177" s="63"/>
      <c r="G177" s="63"/>
      <c r="H177" s="60"/>
      <c r="I177" s="60"/>
      <c r="J177" s="63"/>
      <c r="K177" s="61" t="str">
        <f aca="false">IF($P177=0,"",IF($F177="Baseline","— Baseline",IF($O177=0,"No result",IF($N177=0,"No Start (attainment only)",IF(OR($N177=1,$O177=1),"U – needs rule",INDEX(MxBody,MATCH($I177,MxCurr,0),MATCH($H177,MxStart,0)))))))</f>
        <v/>
      </c>
      <c r="L177" s="62" t="str">
        <f aca="false">IF(COUNTA($A177,$F177,$G177,$H177,$I177,$J177)=0,"",IF($M177=0,"✖ كود الصف غير موجود",IF(ISNA(MATCH($F177,Lists!$A$2:$A$5,0)),"✖ الفترة غير صحيحة",IF(ISNA(MATCH($G177,Lists!$B$2:$B$7,0)),"✖ المجموعة غير صحيحة",IF(NOT(OR($H177="",$N177&gt;0)),"✖ Start غير صحيح",IF(NOT(OR($I177="",$I177="NR",$O177&gt;0)),"✖ Current غير صحيح",IF(NOT(IF(ISNUMBER($J177),AND($J177&gt;=0,$J177=INT($J177)),FALSE())),"✖ العدد يجب أن يكون صحيحًا ≥ 0",IF(AND($F177="Baseline",$H177&lt;&gt;""),"⚠ Baseline: Start لا يدخل في التقدم",IF($K177="No Start (attainment only)","ℹ تحصيل فقط (بدون Start)",IF($K177="U – needs rule","ℹ حالة U تحتاج قاعدة معتمدة",IF($K177="No result","ℹ بدون نتيجة (يُستبعد من التحصيل)","OK")))))))))))</f>
        <v/>
      </c>
      <c r="M177" s="64" t="n">
        <f aca="false">IF($A177="",0,IFERROR(MATCH($A177,Classes!$A$6:$A$420,0),0))</f>
        <v>0</v>
      </c>
      <c r="N177" s="64" t="n">
        <f aca="false">IF($H177="",0,IFERROR(MATCH($H177,GradeList,0),0))</f>
        <v>0</v>
      </c>
      <c r="O177" s="64" t="n">
        <f aca="false">IF(OR($I177="",$I177="NR"),0,IFERROR(MATCH($I177,GradeList,0),0))</f>
        <v>0</v>
      </c>
      <c r="P177" s="64" t="n">
        <f aca="false">IF(AND($M177&gt;0,ISNUMBER(MATCH($F177,Lists!$A$2:$A$5,0)),ISNUMBER(MATCH($G177,Lists!$B$2:$B$7,0)),OR($H177="",$N177&gt;0),OR($I177="",$I177="NR",$O177&gt;0),IF(ISNUMBER($J177),AND($J177&gt;=0,$J177=INT($J177)),FALSE())),$J177,0)</f>
        <v>0</v>
      </c>
      <c r="Q177" s="64" t="n">
        <f aca="false">IF(AND($P177&gt;0,$O177&gt;0),$P177,0)</f>
        <v>0</v>
      </c>
      <c r="R177" s="64" t="n">
        <f aca="false">IF(AND($Q177&gt;0,$O177&gt;=AtRank),$Q177,0)</f>
        <v>0</v>
      </c>
      <c r="S177" s="64" t="n">
        <f aca="false">IF(AND($Q177&gt;0,$O177&gt;=AboveRank),$Q177,0)</f>
        <v>0</v>
      </c>
      <c r="T177" s="64" t="n">
        <f aca="false">IF($K177="Less",$P177,0)</f>
        <v>0</v>
      </c>
      <c r="U177" s="64" t="n">
        <f aca="false">IF($K177="Expected",$P177,0)</f>
        <v>0</v>
      </c>
      <c r="V177" s="64" t="n">
        <f aca="false">IF($K177="Better",$P177,0)</f>
        <v>0</v>
      </c>
      <c r="W177" s="64" t="n">
        <f aca="false">IF($K177="U – needs rule",$P177,0)</f>
        <v>0</v>
      </c>
      <c r="X177" s="64" t="n">
        <f aca="false">IF($K177="No Start (attainment only)",$P177,0)</f>
        <v>0</v>
      </c>
    </row>
    <row r="178" customFormat="false" ht="15" hidden="false" customHeight="false" outlineLevel="0" collapsed="false">
      <c r="A178" s="60"/>
      <c r="B178" s="61" t="str">
        <f aca="false">IF($M178=0,"",INDEX(Classes!$E$6:$E$420,$M178))</f>
        <v/>
      </c>
      <c r="C178" s="62" t="str">
        <f aca="false">IF($M178=0,"",INDEX(Classes!$H$6:$H$420,$M178))</f>
        <v/>
      </c>
      <c r="D178" s="61" t="str">
        <f aca="false">IF($M178=0,"",INDEX(Classes!$B$6:$B$420,$M178))</f>
        <v/>
      </c>
      <c r="E178" s="61" t="str">
        <f aca="false">IF($M178=0,"",INDEX(Classes!$C$6:$C$420,$M178))</f>
        <v/>
      </c>
      <c r="F178" s="63"/>
      <c r="G178" s="63"/>
      <c r="H178" s="60"/>
      <c r="I178" s="60"/>
      <c r="J178" s="63"/>
      <c r="K178" s="61" t="str">
        <f aca="false">IF($P178=0,"",IF($F178="Baseline","— Baseline",IF($O178=0,"No result",IF($N178=0,"No Start (attainment only)",IF(OR($N178=1,$O178=1),"U – needs rule",INDEX(MxBody,MATCH($I178,MxCurr,0),MATCH($H178,MxStart,0)))))))</f>
        <v/>
      </c>
      <c r="L178" s="62" t="str">
        <f aca="false">IF(COUNTA($A178,$F178,$G178,$H178,$I178,$J178)=0,"",IF($M178=0,"✖ كود الصف غير موجود",IF(ISNA(MATCH($F178,Lists!$A$2:$A$5,0)),"✖ الفترة غير صحيحة",IF(ISNA(MATCH($G178,Lists!$B$2:$B$7,0)),"✖ المجموعة غير صحيحة",IF(NOT(OR($H178="",$N178&gt;0)),"✖ Start غير صحيح",IF(NOT(OR($I178="",$I178="NR",$O178&gt;0)),"✖ Current غير صحيح",IF(NOT(IF(ISNUMBER($J178),AND($J178&gt;=0,$J178=INT($J178)),FALSE())),"✖ العدد يجب أن يكون صحيحًا ≥ 0",IF(AND($F178="Baseline",$H178&lt;&gt;""),"⚠ Baseline: Start لا يدخل في التقدم",IF($K178="No Start (attainment only)","ℹ تحصيل فقط (بدون Start)",IF($K178="U – needs rule","ℹ حالة U تحتاج قاعدة معتمدة",IF($K178="No result","ℹ بدون نتيجة (يُستبعد من التحصيل)","OK")))))))))))</f>
        <v/>
      </c>
      <c r="M178" s="64" t="n">
        <f aca="false">IF($A178="",0,IFERROR(MATCH($A178,Classes!$A$6:$A$420,0),0))</f>
        <v>0</v>
      </c>
      <c r="N178" s="64" t="n">
        <f aca="false">IF($H178="",0,IFERROR(MATCH($H178,GradeList,0),0))</f>
        <v>0</v>
      </c>
      <c r="O178" s="64" t="n">
        <f aca="false">IF(OR($I178="",$I178="NR"),0,IFERROR(MATCH($I178,GradeList,0),0))</f>
        <v>0</v>
      </c>
      <c r="P178" s="64" t="n">
        <f aca="false">IF(AND($M178&gt;0,ISNUMBER(MATCH($F178,Lists!$A$2:$A$5,0)),ISNUMBER(MATCH($G178,Lists!$B$2:$B$7,0)),OR($H178="",$N178&gt;0),OR($I178="",$I178="NR",$O178&gt;0),IF(ISNUMBER($J178),AND($J178&gt;=0,$J178=INT($J178)),FALSE())),$J178,0)</f>
        <v>0</v>
      </c>
      <c r="Q178" s="64" t="n">
        <f aca="false">IF(AND($P178&gt;0,$O178&gt;0),$P178,0)</f>
        <v>0</v>
      </c>
      <c r="R178" s="64" t="n">
        <f aca="false">IF(AND($Q178&gt;0,$O178&gt;=AtRank),$Q178,0)</f>
        <v>0</v>
      </c>
      <c r="S178" s="64" t="n">
        <f aca="false">IF(AND($Q178&gt;0,$O178&gt;=AboveRank),$Q178,0)</f>
        <v>0</v>
      </c>
      <c r="T178" s="64" t="n">
        <f aca="false">IF($K178="Less",$P178,0)</f>
        <v>0</v>
      </c>
      <c r="U178" s="64" t="n">
        <f aca="false">IF($K178="Expected",$P178,0)</f>
        <v>0</v>
      </c>
      <c r="V178" s="64" t="n">
        <f aca="false">IF($K178="Better",$P178,0)</f>
        <v>0</v>
      </c>
      <c r="W178" s="64" t="n">
        <f aca="false">IF($K178="U – needs rule",$P178,0)</f>
        <v>0</v>
      </c>
      <c r="X178" s="64" t="n">
        <f aca="false">IF($K178="No Start (attainment only)",$P178,0)</f>
        <v>0</v>
      </c>
    </row>
    <row r="179" customFormat="false" ht="15" hidden="false" customHeight="false" outlineLevel="0" collapsed="false">
      <c r="A179" s="60"/>
      <c r="B179" s="61" t="str">
        <f aca="false">IF($M179=0,"",INDEX(Classes!$E$6:$E$420,$M179))</f>
        <v/>
      </c>
      <c r="C179" s="62" t="str">
        <f aca="false">IF($M179=0,"",INDEX(Classes!$H$6:$H$420,$M179))</f>
        <v/>
      </c>
      <c r="D179" s="61" t="str">
        <f aca="false">IF($M179=0,"",INDEX(Classes!$B$6:$B$420,$M179))</f>
        <v/>
      </c>
      <c r="E179" s="61" t="str">
        <f aca="false">IF($M179=0,"",INDEX(Classes!$C$6:$C$420,$M179))</f>
        <v/>
      </c>
      <c r="F179" s="63"/>
      <c r="G179" s="63"/>
      <c r="H179" s="60"/>
      <c r="I179" s="60"/>
      <c r="J179" s="63"/>
      <c r="K179" s="61" t="str">
        <f aca="false">IF($P179=0,"",IF($F179="Baseline","— Baseline",IF($O179=0,"No result",IF($N179=0,"No Start (attainment only)",IF(OR($N179=1,$O179=1),"U – needs rule",INDEX(MxBody,MATCH($I179,MxCurr,0),MATCH($H179,MxStart,0)))))))</f>
        <v/>
      </c>
      <c r="L179" s="62" t="str">
        <f aca="false">IF(COUNTA($A179,$F179,$G179,$H179,$I179,$J179)=0,"",IF($M179=0,"✖ كود الصف غير موجود",IF(ISNA(MATCH($F179,Lists!$A$2:$A$5,0)),"✖ الفترة غير صحيحة",IF(ISNA(MATCH($G179,Lists!$B$2:$B$7,0)),"✖ المجموعة غير صحيحة",IF(NOT(OR($H179="",$N179&gt;0)),"✖ Start غير صحيح",IF(NOT(OR($I179="",$I179="NR",$O179&gt;0)),"✖ Current غير صحيح",IF(NOT(IF(ISNUMBER($J179),AND($J179&gt;=0,$J179=INT($J179)),FALSE())),"✖ العدد يجب أن يكون صحيحًا ≥ 0",IF(AND($F179="Baseline",$H179&lt;&gt;""),"⚠ Baseline: Start لا يدخل في التقدم",IF($K179="No Start (attainment only)","ℹ تحصيل فقط (بدون Start)",IF($K179="U – needs rule","ℹ حالة U تحتاج قاعدة معتمدة",IF($K179="No result","ℹ بدون نتيجة (يُستبعد من التحصيل)","OK")))))))))))</f>
        <v/>
      </c>
      <c r="M179" s="64" t="n">
        <f aca="false">IF($A179="",0,IFERROR(MATCH($A179,Classes!$A$6:$A$420,0),0))</f>
        <v>0</v>
      </c>
      <c r="N179" s="64" t="n">
        <f aca="false">IF($H179="",0,IFERROR(MATCH($H179,GradeList,0),0))</f>
        <v>0</v>
      </c>
      <c r="O179" s="64" t="n">
        <f aca="false">IF(OR($I179="",$I179="NR"),0,IFERROR(MATCH($I179,GradeList,0),0))</f>
        <v>0</v>
      </c>
      <c r="P179" s="64" t="n">
        <f aca="false">IF(AND($M179&gt;0,ISNUMBER(MATCH($F179,Lists!$A$2:$A$5,0)),ISNUMBER(MATCH($G179,Lists!$B$2:$B$7,0)),OR($H179="",$N179&gt;0),OR($I179="",$I179="NR",$O179&gt;0),IF(ISNUMBER($J179),AND($J179&gt;=0,$J179=INT($J179)),FALSE())),$J179,0)</f>
        <v>0</v>
      </c>
      <c r="Q179" s="64" t="n">
        <f aca="false">IF(AND($P179&gt;0,$O179&gt;0),$P179,0)</f>
        <v>0</v>
      </c>
      <c r="R179" s="64" t="n">
        <f aca="false">IF(AND($Q179&gt;0,$O179&gt;=AtRank),$Q179,0)</f>
        <v>0</v>
      </c>
      <c r="S179" s="64" t="n">
        <f aca="false">IF(AND($Q179&gt;0,$O179&gt;=AboveRank),$Q179,0)</f>
        <v>0</v>
      </c>
      <c r="T179" s="64" t="n">
        <f aca="false">IF($K179="Less",$P179,0)</f>
        <v>0</v>
      </c>
      <c r="U179" s="64" t="n">
        <f aca="false">IF($K179="Expected",$P179,0)</f>
        <v>0</v>
      </c>
      <c r="V179" s="64" t="n">
        <f aca="false">IF($K179="Better",$P179,0)</f>
        <v>0</v>
      </c>
      <c r="W179" s="64" t="n">
        <f aca="false">IF($K179="U – needs rule",$P179,0)</f>
        <v>0</v>
      </c>
      <c r="X179" s="64" t="n">
        <f aca="false">IF($K179="No Start (attainment only)",$P179,0)</f>
        <v>0</v>
      </c>
    </row>
    <row r="180" customFormat="false" ht="15" hidden="false" customHeight="false" outlineLevel="0" collapsed="false">
      <c r="A180" s="60"/>
      <c r="B180" s="61" t="str">
        <f aca="false">IF($M180=0,"",INDEX(Classes!$E$6:$E$420,$M180))</f>
        <v/>
      </c>
      <c r="C180" s="62" t="str">
        <f aca="false">IF($M180=0,"",INDEX(Classes!$H$6:$H$420,$M180))</f>
        <v/>
      </c>
      <c r="D180" s="61" t="str">
        <f aca="false">IF($M180=0,"",INDEX(Classes!$B$6:$B$420,$M180))</f>
        <v/>
      </c>
      <c r="E180" s="61" t="str">
        <f aca="false">IF($M180=0,"",INDEX(Classes!$C$6:$C$420,$M180))</f>
        <v/>
      </c>
      <c r="F180" s="63"/>
      <c r="G180" s="63"/>
      <c r="H180" s="60"/>
      <c r="I180" s="60"/>
      <c r="J180" s="63"/>
      <c r="K180" s="61" t="str">
        <f aca="false">IF($P180=0,"",IF($F180="Baseline","— Baseline",IF($O180=0,"No result",IF($N180=0,"No Start (attainment only)",IF(OR($N180=1,$O180=1),"U – needs rule",INDEX(MxBody,MATCH($I180,MxCurr,0),MATCH($H180,MxStart,0)))))))</f>
        <v/>
      </c>
      <c r="L180" s="62" t="str">
        <f aca="false">IF(COUNTA($A180,$F180,$G180,$H180,$I180,$J180)=0,"",IF($M180=0,"✖ كود الصف غير موجود",IF(ISNA(MATCH($F180,Lists!$A$2:$A$5,0)),"✖ الفترة غير صحيحة",IF(ISNA(MATCH($G180,Lists!$B$2:$B$7,0)),"✖ المجموعة غير صحيحة",IF(NOT(OR($H180="",$N180&gt;0)),"✖ Start غير صحيح",IF(NOT(OR($I180="",$I180="NR",$O180&gt;0)),"✖ Current غير صحيح",IF(NOT(IF(ISNUMBER($J180),AND($J180&gt;=0,$J180=INT($J180)),FALSE())),"✖ العدد يجب أن يكون صحيحًا ≥ 0",IF(AND($F180="Baseline",$H180&lt;&gt;""),"⚠ Baseline: Start لا يدخل في التقدم",IF($K180="No Start (attainment only)","ℹ تحصيل فقط (بدون Start)",IF($K180="U – needs rule","ℹ حالة U تحتاج قاعدة معتمدة",IF($K180="No result","ℹ بدون نتيجة (يُستبعد من التحصيل)","OK")))))))))))</f>
        <v/>
      </c>
      <c r="M180" s="64" t="n">
        <f aca="false">IF($A180="",0,IFERROR(MATCH($A180,Classes!$A$6:$A$420,0),0))</f>
        <v>0</v>
      </c>
      <c r="N180" s="64" t="n">
        <f aca="false">IF($H180="",0,IFERROR(MATCH($H180,GradeList,0),0))</f>
        <v>0</v>
      </c>
      <c r="O180" s="64" t="n">
        <f aca="false">IF(OR($I180="",$I180="NR"),0,IFERROR(MATCH($I180,GradeList,0),0))</f>
        <v>0</v>
      </c>
      <c r="P180" s="64" t="n">
        <f aca="false">IF(AND($M180&gt;0,ISNUMBER(MATCH($F180,Lists!$A$2:$A$5,0)),ISNUMBER(MATCH($G180,Lists!$B$2:$B$7,0)),OR($H180="",$N180&gt;0),OR($I180="",$I180="NR",$O180&gt;0),IF(ISNUMBER($J180),AND($J180&gt;=0,$J180=INT($J180)),FALSE())),$J180,0)</f>
        <v>0</v>
      </c>
      <c r="Q180" s="64" t="n">
        <f aca="false">IF(AND($P180&gt;0,$O180&gt;0),$P180,0)</f>
        <v>0</v>
      </c>
      <c r="R180" s="64" t="n">
        <f aca="false">IF(AND($Q180&gt;0,$O180&gt;=AtRank),$Q180,0)</f>
        <v>0</v>
      </c>
      <c r="S180" s="64" t="n">
        <f aca="false">IF(AND($Q180&gt;0,$O180&gt;=AboveRank),$Q180,0)</f>
        <v>0</v>
      </c>
      <c r="T180" s="64" t="n">
        <f aca="false">IF($K180="Less",$P180,0)</f>
        <v>0</v>
      </c>
      <c r="U180" s="64" t="n">
        <f aca="false">IF($K180="Expected",$P180,0)</f>
        <v>0</v>
      </c>
      <c r="V180" s="64" t="n">
        <f aca="false">IF($K180="Better",$P180,0)</f>
        <v>0</v>
      </c>
      <c r="W180" s="64" t="n">
        <f aca="false">IF($K180="U – needs rule",$P180,0)</f>
        <v>0</v>
      </c>
      <c r="X180" s="64" t="n">
        <f aca="false">IF($K180="No Start (attainment only)",$P180,0)</f>
        <v>0</v>
      </c>
    </row>
    <row r="181" customFormat="false" ht="15" hidden="false" customHeight="false" outlineLevel="0" collapsed="false">
      <c r="A181" s="60"/>
      <c r="B181" s="61" t="str">
        <f aca="false">IF($M181=0,"",INDEX(Classes!$E$6:$E$420,$M181))</f>
        <v/>
      </c>
      <c r="C181" s="62" t="str">
        <f aca="false">IF($M181=0,"",INDEX(Classes!$H$6:$H$420,$M181))</f>
        <v/>
      </c>
      <c r="D181" s="61" t="str">
        <f aca="false">IF($M181=0,"",INDEX(Classes!$B$6:$B$420,$M181))</f>
        <v/>
      </c>
      <c r="E181" s="61" t="str">
        <f aca="false">IF($M181=0,"",INDEX(Classes!$C$6:$C$420,$M181))</f>
        <v/>
      </c>
      <c r="F181" s="63"/>
      <c r="G181" s="63"/>
      <c r="H181" s="60"/>
      <c r="I181" s="60"/>
      <c r="J181" s="63"/>
      <c r="K181" s="61" t="str">
        <f aca="false">IF($P181=0,"",IF($F181="Baseline","— Baseline",IF($O181=0,"No result",IF($N181=0,"No Start (attainment only)",IF(OR($N181=1,$O181=1),"U – needs rule",INDEX(MxBody,MATCH($I181,MxCurr,0),MATCH($H181,MxStart,0)))))))</f>
        <v/>
      </c>
      <c r="L181" s="62" t="str">
        <f aca="false">IF(COUNTA($A181,$F181,$G181,$H181,$I181,$J181)=0,"",IF($M181=0,"✖ كود الصف غير موجود",IF(ISNA(MATCH($F181,Lists!$A$2:$A$5,0)),"✖ الفترة غير صحيحة",IF(ISNA(MATCH($G181,Lists!$B$2:$B$7,0)),"✖ المجموعة غير صحيحة",IF(NOT(OR($H181="",$N181&gt;0)),"✖ Start غير صحيح",IF(NOT(OR($I181="",$I181="NR",$O181&gt;0)),"✖ Current غير صحيح",IF(NOT(IF(ISNUMBER($J181),AND($J181&gt;=0,$J181=INT($J181)),FALSE())),"✖ العدد يجب أن يكون صحيحًا ≥ 0",IF(AND($F181="Baseline",$H181&lt;&gt;""),"⚠ Baseline: Start لا يدخل في التقدم",IF($K181="No Start (attainment only)","ℹ تحصيل فقط (بدون Start)",IF($K181="U – needs rule","ℹ حالة U تحتاج قاعدة معتمدة",IF($K181="No result","ℹ بدون نتيجة (يُستبعد من التحصيل)","OK")))))))))))</f>
        <v/>
      </c>
      <c r="M181" s="64" t="n">
        <f aca="false">IF($A181="",0,IFERROR(MATCH($A181,Classes!$A$6:$A$420,0),0))</f>
        <v>0</v>
      </c>
      <c r="N181" s="64" t="n">
        <f aca="false">IF($H181="",0,IFERROR(MATCH($H181,GradeList,0),0))</f>
        <v>0</v>
      </c>
      <c r="O181" s="64" t="n">
        <f aca="false">IF(OR($I181="",$I181="NR"),0,IFERROR(MATCH($I181,GradeList,0),0))</f>
        <v>0</v>
      </c>
      <c r="P181" s="64" t="n">
        <f aca="false">IF(AND($M181&gt;0,ISNUMBER(MATCH($F181,Lists!$A$2:$A$5,0)),ISNUMBER(MATCH($G181,Lists!$B$2:$B$7,0)),OR($H181="",$N181&gt;0),OR($I181="",$I181="NR",$O181&gt;0),IF(ISNUMBER($J181),AND($J181&gt;=0,$J181=INT($J181)),FALSE())),$J181,0)</f>
        <v>0</v>
      </c>
      <c r="Q181" s="64" t="n">
        <f aca="false">IF(AND($P181&gt;0,$O181&gt;0),$P181,0)</f>
        <v>0</v>
      </c>
      <c r="R181" s="64" t="n">
        <f aca="false">IF(AND($Q181&gt;0,$O181&gt;=AtRank),$Q181,0)</f>
        <v>0</v>
      </c>
      <c r="S181" s="64" t="n">
        <f aca="false">IF(AND($Q181&gt;0,$O181&gt;=AboveRank),$Q181,0)</f>
        <v>0</v>
      </c>
      <c r="T181" s="64" t="n">
        <f aca="false">IF($K181="Less",$P181,0)</f>
        <v>0</v>
      </c>
      <c r="U181" s="64" t="n">
        <f aca="false">IF($K181="Expected",$P181,0)</f>
        <v>0</v>
      </c>
      <c r="V181" s="64" t="n">
        <f aca="false">IF($K181="Better",$P181,0)</f>
        <v>0</v>
      </c>
      <c r="W181" s="64" t="n">
        <f aca="false">IF($K181="U – needs rule",$P181,0)</f>
        <v>0</v>
      </c>
      <c r="X181" s="64" t="n">
        <f aca="false">IF($K181="No Start (attainment only)",$P181,0)</f>
        <v>0</v>
      </c>
    </row>
    <row r="182" customFormat="false" ht="15" hidden="false" customHeight="false" outlineLevel="0" collapsed="false">
      <c r="A182" s="60"/>
      <c r="B182" s="61" t="str">
        <f aca="false">IF($M182=0,"",INDEX(Classes!$E$6:$E$420,$M182))</f>
        <v/>
      </c>
      <c r="C182" s="62" t="str">
        <f aca="false">IF($M182=0,"",INDEX(Classes!$H$6:$H$420,$M182))</f>
        <v/>
      </c>
      <c r="D182" s="61" t="str">
        <f aca="false">IF($M182=0,"",INDEX(Classes!$B$6:$B$420,$M182))</f>
        <v/>
      </c>
      <c r="E182" s="61" t="str">
        <f aca="false">IF($M182=0,"",INDEX(Classes!$C$6:$C$420,$M182))</f>
        <v/>
      </c>
      <c r="F182" s="63"/>
      <c r="G182" s="63"/>
      <c r="H182" s="60"/>
      <c r="I182" s="60"/>
      <c r="J182" s="63"/>
      <c r="K182" s="61" t="str">
        <f aca="false">IF($P182=0,"",IF($F182="Baseline","— Baseline",IF($O182=0,"No result",IF($N182=0,"No Start (attainment only)",IF(OR($N182=1,$O182=1),"U – needs rule",INDEX(MxBody,MATCH($I182,MxCurr,0),MATCH($H182,MxStart,0)))))))</f>
        <v/>
      </c>
      <c r="L182" s="62" t="str">
        <f aca="false">IF(COUNTA($A182,$F182,$G182,$H182,$I182,$J182)=0,"",IF($M182=0,"✖ كود الصف غير موجود",IF(ISNA(MATCH($F182,Lists!$A$2:$A$5,0)),"✖ الفترة غير صحيحة",IF(ISNA(MATCH($G182,Lists!$B$2:$B$7,0)),"✖ المجموعة غير صحيحة",IF(NOT(OR($H182="",$N182&gt;0)),"✖ Start غير صحيح",IF(NOT(OR($I182="",$I182="NR",$O182&gt;0)),"✖ Current غير صحيح",IF(NOT(IF(ISNUMBER($J182),AND($J182&gt;=0,$J182=INT($J182)),FALSE())),"✖ العدد يجب أن يكون صحيحًا ≥ 0",IF(AND($F182="Baseline",$H182&lt;&gt;""),"⚠ Baseline: Start لا يدخل في التقدم",IF($K182="No Start (attainment only)","ℹ تحصيل فقط (بدون Start)",IF($K182="U – needs rule","ℹ حالة U تحتاج قاعدة معتمدة",IF($K182="No result","ℹ بدون نتيجة (يُستبعد من التحصيل)","OK")))))))))))</f>
        <v/>
      </c>
      <c r="M182" s="64" t="n">
        <f aca="false">IF($A182="",0,IFERROR(MATCH($A182,Classes!$A$6:$A$420,0),0))</f>
        <v>0</v>
      </c>
      <c r="N182" s="64" t="n">
        <f aca="false">IF($H182="",0,IFERROR(MATCH($H182,GradeList,0),0))</f>
        <v>0</v>
      </c>
      <c r="O182" s="64" t="n">
        <f aca="false">IF(OR($I182="",$I182="NR"),0,IFERROR(MATCH($I182,GradeList,0),0))</f>
        <v>0</v>
      </c>
      <c r="P182" s="64" t="n">
        <f aca="false">IF(AND($M182&gt;0,ISNUMBER(MATCH($F182,Lists!$A$2:$A$5,0)),ISNUMBER(MATCH($G182,Lists!$B$2:$B$7,0)),OR($H182="",$N182&gt;0),OR($I182="",$I182="NR",$O182&gt;0),IF(ISNUMBER($J182),AND($J182&gt;=0,$J182=INT($J182)),FALSE())),$J182,0)</f>
        <v>0</v>
      </c>
      <c r="Q182" s="64" t="n">
        <f aca="false">IF(AND($P182&gt;0,$O182&gt;0),$P182,0)</f>
        <v>0</v>
      </c>
      <c r="R182" s="64" t="n">
        <f aca="false">IF(AND($Q182&gt;0,$O182&gt;=AtRank),$Q182,0)</f>
        <v>0</v>
      </c>
      <c r="S182" s="64" t="n">
        <f aca="false">IF(AND($Q182&gt;0,$O182&gt;=AboveRank),$Q182,0)</f>
        <v>0</v>
      </c>
      <c r="T182" s="64" t="n">
        <f aca="false">IF($K182="Less",$P182,0)</f>
        <v>0</v>
      </c>
      <c r="U182" s="64" t="n">
        <f aca="false">IF($K182="Expected",$P182,0)</f>
        <v>0</v>
      </c>
      <c r="V182" s="64" t="n">
        <f aca="false">IF($K182="Better",$P182,0)</f>
        <v>0</v>
      </c>
      <c r="W182" s="64" t="n">
        <f aca="false">IF($K182="U – needs rule",$P182,0)</f>
        <v>0</v>
      </c>
      <c r="X182" s="64" t="n">
        <f aca="false">IF($K182="No Start (attainment only)",$P182,0)</f>
        <v>0</v>
      </c>
    </row>
    <row r="183" customFormat="false" ht="15" hidden="false" customHeight="false" outlineLevel="0" collapsed="false">
      <c r="A183" s="60"/>
      <c r="B183" s="61" t="str">
        <f aca="false">IF($M183=0,"",INDEX(Classes!$E$6:$E$420,$M183))</f>
        <v/>
      </c>
      <c r="C183" s="62" t="str">
        <f aca="false">IF($M183=0,"",INDEX(Classes!$H$6:$H$420,$M183))</f>
        <v/>
      </c>
      <c r="D183" s="61" t="str">
        <f aca="false">IF($M183=0,"",INDEX(Classes!$B$6:$B$420,$M183))</f>
        <v/>
      </c>
      <c r="E183" s="61" t="str">
        <f aca="false">IF($M183=0,"",INDEX(Classes!$C$6:$C$420,$M183))</f>
        <v/>
      </c>
      <c r="F183" s="63"/>
      <c r="G183" s="63"/>
      <c r="H183" s="60"/>
      <c r="I183" s="60"/>
      <c r="J183" s="63"/>
      <c r="K183" s="61" t="str">
        <f aca="false">IF($P183=0,"",IF($F183="Baseline","— Baseline",IF($O183=0,"No result",IF($N183=0,"No Start (attainment only)",IF(OR($N183=1,$O183=1),"U – needs rule",INDEX(MxBody,MATCH($I183,MxCurr,0),MATCH($H183,MxStart,0)))))))</f>
        <v/>
      </c>
      <c r="L183" s="62" t="str">
        <f aca="false">IF(COUNTA($A183,$F183,$G183,$H183,$I183,$J183)=0,"",IF($M183=0,"✖ كود الصف غير موجود",IF(ISNA(MATCH($F183,Lists!$A$2:$A$5,0)),"✖ الفترة غير صحيحة",IF(ISNA(MATCH($G183,Lists!$B$2:$B$7,0)),"✖ المجموعة غير صحيحة",IF(NOT(OR($H183="",$N183&gt;0)),"✖ Start غير صحيح",IF(NOT(OR($I183="",$I183="NR",$O183&gt;0)),"✖ Current غير صحيح",IF(NOT(IF(ISNUMBER($J183),AND($J183&gt;=0,$J183=INT($J183)),FALSE())),"✖ العدد يجب أن يكون صحيحًا ≥ 0",IF(AND($F183="Baseline",$H183&lt;&gt;""),"⚠ Baseline: Start لا يدخل في التقدم",IF($K183="No Start (attainment only)","ℹ تحصيل فقط (بدون Start)",IF($K183="U – needs rule","ℹ حالة U تحتاج قاعدة معتمدة",IF($K183="No result","ℹ بدون نتيجة (يُستبعد من التحصيل)","OK")))))))))))</f>
        <v/>
      </c>
      <c r="M183" s="64" t="n">
        <f aca="false">IF($A183="",0,IFERROR(MATCH($A183,Classes!$A$6:$A$420,0),0))</f>
        <v>0</v>
      </c>
      <c r="N183" s="64" t="n">
        <f aca="false">IF($H183="",0,IFERROR(MATCH($H183,GradeList,0),0))</f>
        <v>0</v>
      </c>
      <c r="O183" s="64" t="n">
        <f aca="false">IF(OR($I183="",$I183="NR"),0,IFERROR(MATCH($I183,GradeList,0),0))</f>
        <v>0</v>
      </c>
      <c r="P183" s="64" t="n">
        <f aca="false">IF(AND($M183&gt;0,ISNUMBER(MATCH($F183,Lists!$A$2:$A$5,0)),ISNUMBER(MATCH($G183,Lists!$B$2:$B$7,0)),OR($H183="",$N183&gt;0),OR($I183="",$I183="NR",$O183&gt;0),IF(ISNUMBER($J183),AND($J183&gt;=0,$J183=INT($J183)),FALSE())),$J183,0)</f>
        <v>0</v>
      </c>
      <c r="Q183" s="64" t="n">
        <f aca="false">IF(AND($P183&gt;0,$O183&gt;0),$P183,0)</f>
        <v>0</v>
      </c>
      <c r="R183" s="64" t="n">
        <f aca="false">IF(AND($Q183&gt;0,$O183&gt;=AtRank),$Q183,0)</f>
        <v>0</v>
      </c>
      <c r="S183" s="64" t="n">
        <f aca="false">IF(AND($Q183&gt;0,$O183&gt;=AboveRank),$Q183,0)</f>
        <v>0</v>
      </c>
      <c r="T183" s="64" t="n">
        <f aca="false">IF($K183="Less",$P183,0)</f>
        <v>0</v>
      </c>
      <c r="U183" s="64" t="n">
        <f aca="false">IF($K183="Expected",$P183,0)</f>
        <v>0</v>
      </c>
      <c r="V183" s="64" t="n">
        <f aca="false">IF($K183="Better",$P183,0)</f>
        <v>0</v>
      </c>
      <c r="W183" s="64" t="n">
        <f aca="false">IF($K183="U – needs rule",$P183,0)</f>
        <v>0</v>
      </c>
      <c r="X183" s="64" t="n">
        <f aca="false">IF($K183="No Start (attainment only)",$P183,0)</f>
        <v>0</v>
      </c>
    </row>
    <row r="184" customFormat="false" ht="15" hidden="false" customHeight="false" outlineLevel="0" collapsed="false">
      <c r="A184" s="60"/>
      <c r="B184" s="61" t="str">
        <f aca="false">IF($M184=0,"",INDEX(Classes!$E$6:$E$420,$M184))</f>
        <v/>
      </c>
      <c r="C184" s="62" t="str">
        <f aca="false">IF($M184=0,"",INDEX(Classes!$H$6:$H$420,$M184))</f>
        <v/>
      </c>
      <c r="D184" s="61" t="str">
        <f aca="false">IF($M184=0,"",INDEX(Classes!$B$6:$B$420,$M184))</f>
        <v/>
      </c>
      <c r="E184" s="61" t="str">
        <f aca="false">IF($M184=0,"",INDEX(Classes!$C$6:$C$420,$M184))</f>
        <v/>
      </c>
      <c r="F184" s="63"/>
      <c r="G184" s="63"/>
      <c r="H184" s="60"/>
      <c r="I184" s="60"/>
      <c r="J184" s="63"/>
      <c r="K184" s="61" t="str">
        <f aca="false">IF($P184=0,"",IF($F184="Baseline","— Baseline",IF($O184=0,"No result",IF($N184=0,"No Start (attainment only)",IF(OR($N184=1,$O184=1),"U – needs rule",INDEX(MxBody,MATCH($I184,MxCurr,0),MATCH($H184,MxStart,0)))))))</f>
        <v/>
      </c>
      <c r="L184" s="62" t="str">
        <f aca="false">IF(COUNTA($A184,$F184,$G184,$H184,$I184,$J184)=0,"",IF($M184=0,"✖ كود الصف غير موجود",IF(ISNA(MATCH($F184,Lists!$A$2:$A$5,0)),"✖ الفترة غير صحيحة",IF(ISNA(MATCH($G184,Lists!$B$2:$B$7,0)),"✖ المجموعة غير صحيحة",IF(NOT(OR($H184="",$N184&gt;0)),"✖ Start غير صحيح",IF(NOT(OR($I184="",$I184="NR",$O184&gt;0)),"✖ Current غير صحيح",IF(NOT(IF(ISNUMBER($J184),AND($J184&gt;=0,$J184=INT($J184)),FALSE())),"✖ العدد يجب أن يكون صحيحًا ≥ 0",IF(AND($F184="Baseline",$H184&lt;&gt;""),"⚠ Baseline: Start لا يدخل في التقدم",IF($K184="No Start (attainment only)","ℹ تحصيل فقط (بدون Start)",IF($K184="U – needs rule","ℹ حالة U تحتاج قاعدة معتمدة",IF($K184="No result","ℹ بدون نتيجة (يُستبعد من التحصيل)","OK")))))))))))</f>
        <v/>
      </c>
      <c r="M184" s="64" t="n">
        <f aca="false">IF($A184="",0,IFERROR(MATCH($A184,Classes!$A$6:$A$420,0),0))</f>
        <v>0</v>
      </c>
      <c r="N184" s="64" t="n">
        <f aca="false">IF($H184="",0,IFERROR(MATCH($H184,GradeList,0),0))</f>
        <v>0</v>
      </c>
      <c r="O184" s="64" t="n">
        <f aca="false">IF(OR($I184="",$I184="NR"),0,IFERROR(MATCH($I184,GradeList,0),0))</f>
        <v>0</v>
      </c>
      <c r="P184" s="64" t="n">
        <f aca="false">IF(AND($M184&gt;0,ISNUMBER(MATCH($F184,Lists!$A$2:$A$5,0)),ISNUMBER(MATCH($G184,Lists!$B$2:$B$7,0)),OR($H184="",$N184&gt;0),OR($I184="",$I184="NR",$O184&gt;0),IF(ISNUMBER($J184),AND($J184&gt;=0,$J184=INT($J184)),FALSE())),$J184,0)</f>
        <v>0</v>
      </c>
      <c r="Q184" s="64" t="n">
        <f aca="false">IF(AND($P184&gt;0,$O184&gt;0),$P184,0)</f>
        <v>0</v>
      </c>
      <c r="R184" s="64" t="n">
        <f aca="false">IF(AND($Q184&gt;0,$O184&gt;=AtRank),$Q184,0)</f>
        <v>0</v>
      </c>
      <c r="S184" s="64" t="n">
        <f aca="false">IF(AND($Q184&gt;0,$O184&gt;=AboveRank),$Q184,0)</f>
        <v>0</v>
      </c>
      <c r="T184" s="64" t="n">
        <f aca="false">IF($K184="Less",$P184,0)</f>
        <v>0</v>
      </c>
      <c r="U184" s="64" t="n">
        <f aca="false">IF($K184="Expected",$P184,0)</f>
        <v>0</v>
      </c>
      <c r="V184" s="64" t="n">
        <f aca="false">IF($K184="Better",$P184,0)</f>
        <v>0</v>
      </c>
      <c r="W184" s="64" t="n">
        <f aca="false">IF($K184="U – needs rule",$P184,0)</f>
        <v>0</v>
      </c>
      <c r="X184" s="64" t="n">
        <f aca="false">IF($K184="No Start (attainment only)",$P184,0)</f>
        <v>0</v>
      </c>
    </row>
    <row r="185" customFormat="false" ht="15" hidden="false" customHeight="false" outlineLevel="0" collapsed="false">
      <c r="A185" s="60"/>
      <c r="B185" s="61" t="str">
        <f aca="false">IF($M185=0,"",INDEX(Classes!$E$6:$E$420,$M185))</f>
        <v/>
      </c>
      <c r="C185" s="62" t="str">
        <f aca="false">IF($M185=0,"",INDEX(Classes!$H$6:$H$420,$M185))</f>
        <v/>
      </c>
      <c r="D185" s="61" t="str">
        <f aca="false">IF($M185=0,"",INDEX(Classes!$B$6:$B$420,$M185))</f>
        <v/>
      </c>
      <c r="E185" s="61" t="str">
        <f aca="false">IF($M185=0,"",INDEX(Classes!$C$6:$C$420,$M185))</f>
        <v/>
      </c>
      <c r="F185" s="63"/>
      <c r="G185" s="63"/>
      <c r="H185" s="60"/>
      <c r="I185" s="60"/>
      <c r="J185" s="63"/>
      <c r="K185" s="61" t="str">
        <f aca="false">IF($P185=0,"",IF($F185="Baseline","— Baseline",IF($O185=0,"No result",IF($N185=0,"No Start (attainment only)",IF(OR($N185=1,$O185=1),"U – needs rule",INDEX(MxBody,MATCH($I185,MxCurr,0),MATCH($H185,MxStart,0)))))))</f>
        <v/>
      </c>
      <c r="L185" s="62" t="str">
        <f aca="false">IF(COUNTA($A185,$F185,$G185,$H185,$I185,$J185)=0,"",IF($M185=0,"✖ كود الصف غير موجود",IF(ISNA(MATCH($F185,Lists!$A$2:$A$5,0)),"✖ الفترة غير صحيحة",IF(ISNA(MATCH($G185,Lists!$B$2:$B$7,0)),"✖ المجموعة غير صحيحة",IF(NOT(OR($H185="",$N185&gt;0)),"✖ Start غير صحيح",IF(NOT(OR($I185="",$I185="NR",$O185&gt;0)),"✖ Current غير صحيح",IF(NOT(IF(ISNUMBER($J185),AND($J185&gt;=0,$J185=INT($J185)),FALSE())),"✖ العدد يجب أن يكون صحيحًا ≥ 0",IF(AND($F185="Baseline",$H185&lt;&gt;""),"⚠ Baseline: Start لا يدخل في التقدم",IF($K185="No Start (attainment only)","ℹ تحصيل فقط (بدون Start)",IF($K185="U – needs rule","ℹ حالة U تحتاج قاعدة معتمدة",IF($K185="No result","ℹ بدون نتيجة (يُستبعد من التحصيل)","OK")))))))))))</f>
        <v/>
      </c>
      <c r="M185" s="64" t="n">
        <f aca="false">IF($A185="",0,IFERROR(MATCH($A185,Classes!$A$6:$A$420,0),0))</f>
        <v>0</v>
      </c>
      <c r="N185" s="64" t="n">
        <f aca="false">IF($H185="",0,IFERROR(MATCH($H185,GradeList,0),0))</f>
        <v>0</v>
      </c>
      <c r="O185" s="64" t="n">
        <f aca="false">IF(OR($I185="",$I185="NR"),0,IFERROR(MATCH($I185,GradeList,0),0))</f>
        <v>0</v>
      </c>
      <c r="P185" s="64" t="n">
        <f aca="false">IF(AND($M185&gt;0,ISNUMBER(MATCH($F185,Lists!$A$2:$A$5,0)),ISNUMBER(MATCH($G185,Lists!$B$2:$B$7,0)),OR($H185="",$N185&gt;0),OR($I185="",$I185="NR",$O185&gt;0),IF(ISNUMBER($J185),AND($J185&gt;=0,$J185=INT($J185)),FALSE())),$J185,0)</f>
        <v>0</v>
      </c>
      <c r="Q185" s="64" t="n">
        <f aca="false">IF(AND($P185&gt;0,$O185&gt;0),$P185,0)</f>
        <v>0</v>
      </c>
      <c r="R185" s="64" t="n">
        <f aca="false">IF(AND($Q185&gt;0,$O185&gt;=AtRank),$Q185,0)</f>
        <v>0</v>
      </c>
      <c r="S185" s="64" t="n">
        <f aca="false">IF(AND($Q185&gt;0,$O185&gt;=AboveRank),$Q185,0)</f>
        <v>0</v>
      </c>
      <c r="T185" s="64" t="n">
        <f aca="false">IF($K185="Less",$P185,0)</f>
        <v>0</v>
      </c>
      <c r="U185" s="64" t="n">
        <f aca="false">IF($K185="Expected",$P185,0)</f>
        <v>0</v>
      </c>
      <c r="V185" s="64" t="n">
        <f aca="false">IF($K185="Better",$P185,0)</f>
        <v>0</v>
      </c>
      <c r="W185" s="64" t="n">
        <f aca="false">IF($K185="U – needs rule",$P185,0)</f>
        <v>0</v>
      </c>
      <c r="X185" s="64" t="n">
        <f aca="false">IF($K185="No Start (attainment only)",$P185,0)</f>
        <v>0</v>
      </c>
    </row>
    <row r="186" customFormat="false" ht="15" hidden="false" customHeight="false" outlineLevel="0" collapsed="false">
      <c r="A186" s="60"/>
      <c r="B186" s="61" t="str">
        <f aca="false">IF($M186=0,"",INDEX(Classes!$E$6:$E$420,$M186))</f>
        <v/>
      </c>
      <c r="C186" s="62" t="str">
        <f aca="false">IF($M186=0,"",INDEX(Classes!$H$6:$H$420,$M186))</f>
        <v/>
      </c>
      <c r="D186" s="61" t="str">
        <f aca="false">IF($M186=0,"",INDEX(Classes!$B$6:$B$420,$M186))</f>
        <v/>
      </c>
      <c r="E186" s="61" t="str">
        <f aca="false">IF($M186=0,"",INDEX(Classes!$C$6:$C$420,$M186))</f>
        <v/>
      </c>
      <c r="F186" s="63"/>
      <c r="G186" s="63"/>
      <c r="H186" s="60"/>
      <c r="I186" s="60"/>
      <c r="J186" s="63"/>
      <c r="K186" s="61" t="str">
        <f aca="false">IF($P186=0,"",IF($F186="Baseline","— Baseline",IF($O186=0,"No result",IF($N186=0,"No Start (attainment only)",IF(OR($N186=1,$O186=1),"U – needs rule",INDEX(MxBody,MATCH($I186,MxCurr,0),MATCH($H186,MxStart,0)))))))</f>
        <v/>
      </c>
      <c r="L186" s="62" t="str">
        <f aca="false">IF(COUNTA($A186,$F186,$G186,$H186,$I186,$J186)=0,"",IF($M186=0,"✖ كود الصف غير موجود",IF(ISNA(MATCH($F186,Lists!$A$2:$A$5,0)),"✖ الفترة غير صحيحة",IF(ISNA(MATCH($G186,Lists!$B$2:$B$7,0)),"✖ المجموعة غير صحيحة",IF(NOT(OR($H186="",$N186&gt;0)),"✖ Start غير صحيح",IF(NOT(OR($I186="",$I186="NR",$O186&gt;0)),"✖ Current غير صحيح",IF(NOT(IF(ISNUMBER($J186),AND($J186&gt;=0,$J186=INT($J186)),FALSE())),"✖ العدد يجب أن يكون صحيحًا ≥ 0",IF(AND($F186="Baseline",$H186&lt;&gt;""),"⚠ Baseline: Start لا يدخل في التقدم",IF($K186="No Start (attainment only)","ℹ تحصيل فقط (بدون Start)",IF($K186="U – needs rule","ℹ حالة U تحتاج قاعدة معتمدة",IF($K186="No result","ℹ بدون نتيجة (يُستبعد من التحصيل)","OK")))))))))))</f>
        <v/>
      </c>
      <c r="M186" s="64" t="n">
        <f aca="false">IF($A186="",0,IFERROR(MATCH($A186,Classes!$A$6:$A$420,0),0))</f>
        <v>0</v>
      </c>
      <c r="N186" s="64" t="n">
        <f aca="false">IF($H186="",0,IFERROR(MATCH($H186,GradeList,0),0))</f>
        <v>0</v>
      </c>
      <c r="O186" s="64" t="n">
        <f aca="false">IF(OR($I186="",$I186="NR"),0,IFERROR(MATCH($I186,GradeList,0),0))</f>
        <v>0</v>
      </c>
      <c r="P186" s="64" t="n">
        <f aca="false">IF(AND($M186&gt;0,ISNUMBER(MATCH($F186,Lists!$A$2:$A$5,0)),ISNUMBER(MATCH($G186,Lists!$B$2:$B$7,0)),OR($H186="",$N186&gt;0),OR($I186="",$I186="NR",$O186&gt;0),IF(ISNUMBER($J186),AND($J186&gt;=0,$J186=INT($J186)),FALSE())),$J186,0)</f>
        <v>0</v>
      </c>
      <c r="Q186" s="64" t="n">
        <f aca="false">IF(AND($P186&gt;0,$O186&gt;0),$P186,0)</f>
        <v>0</v>
      </c>
      <c r="R186" s="64" t="n">
        <f aca="false">IF(AND($Q186&gt;0,$O186&gt;=AtRank),$Q186,0)</f>
        <v>0</v>
      </c>
      <c r="S186" s="64" t="n">
        <f aca="false">IF(AND($Q186&gt;0,$O186&gt;=AboveRank),$Q186,0)</f>
        <v>0</v>
      </c>
      <c r="T186" s="64" t="n">
        <f aca="false">IF($K186="Less",$P186,0)</f>
        <v>0</v>
      </c>
      <c r="U186" s="64" t="n">
        <f aca="false">IF($K186="Expected",$P186,0)</f>
        <v>0</v>
      </c>
      <c r="V186" s="64" t="n">
        <f aca="false">IF($K186="Better",$P186,0)</f>
        <v>0</v>
      </c>
      <c r="W186" s="64" t="n">
        <f aca="false">IF($K186="U – needs rule",$P186,0)</f>
        <v>0</v>
      </c>
      <c r="X186" s="64" t="n">
        <f aca="false">IF($K186="No Start (attainment only)",$P186,0)</f>
        <v>0</v>
      </c>
    </row>
    <row r="187" customFormat="false" ht="15" hidden="false" customHeight="false" outlineLevel="0" collapsed="false">
      <c r="A187" s="60"/>
      <c r="B187" s="61" t="str">
        <f aca="false">IF($M187=0,"",INDEX(Classes!$E$6:$E$420,$M187))</f>
        <v/>
      </c>
      <c r="C187" s="62" t="str">
        <f aca="false">IF($M187=0,"",INDEX(Classes!$H$6:$H$420,$M187))</f>
        <v/>
      </c>
      <c r="D187" s="61" t="str">
        <f aca="false">IF($M187=0,"",INDEX(Classes!$B$6:$B$420,$M187))</f>
        <v/>
      </c>
      <c r="E187" s="61" t="str">
        <f aca="false">IF($M187=0,"",INDEX(Classes!$C$6:$C$420,$M187))</f>
        <v/>
      </c>
      <c r="F187" s="63"/>
      <c r="G187" s="63"/>
      <c r="H187" s="60"/>
      <c r="I187" s="60"/>
      <c r="J187" s="63"/>
      <c r="K187" s="61" t="str">
        <f aca="false">IF($P187=0,"",IF($F187="Baseline","— Baseline",IF($O187=0,"No result",IF($N187=0,"No Start (attainment only)",IF(OR($N187=1,$O187=1),"U – needs rule",INDEX(MxBody,MATCH($I187,MxCurr,0),MATCH($H187,MxStart,0)))))))</f>
        <v/>
      </c>
      <c r="L187" s="62" t="str">
        <f aca="false">IF(COUNTA($A187,$F187,$G187,$H187,$I187,$J187)=0,"",IF($M187=0,"✖ كود الصف غير موجود",IF(ISNA(MATCH($F187,Lists!$A$2:$A$5,0)),"✖ الفترة غير صحيحة",IF(ISNA(MATCH($G187,Lists!$B$2:$B$7,0)),"✖ المجموعة غير صحيحة",IF(NOT(OR($H187="",$N187&gt;0)),"✖ Start غير صحيح",IF(NOT(OR($I187="",$I187="NR",$O187&gt;0)),"✖ Current غير صحيح",IF(NOT(IF(ISNUMBER($J187),AND($J187&gt;=0,$J187=INT($J187)),FALSE())),"✖ العدد يجب أن يكون صحيحًا ≥ 0",IF(AND($F187="Baseline",$H187&lt;&gt;""),"⚠ Baseline: Start لا يدخل في التقدم",IF($K187="No Start (attainment only)","ℹ تحصيل فقط (بدون Start)",IF($K187="U – needs rule","ℹ حالة U تحتاج قاعدة معتمدة",IF($K187="No result","ℹ بدون نتيجة (يُستبعد من التحصيل)","OK")))))))))))</f>
        <v/>
      </c>
      <c r="M187" s="64" t="n">
        <f aca="false">IF($A187="",0,IFERROR(MATCH($A187,Classes!$A$6:$A$420,0),0))</f>
        <v>0</v>
      </c>
      <c r="N187" s="64" t="n">
        <f aca="false">IF($H187="",0,IFERROR(MATCH($H187,GradeList,0),0))</f>
        <v>0</v>
      </c>
      <c r="O187" s="64" t="n">
        <f aca="false">IF(OR($I187="",$I187="NR"),0,IFERROR(MATCH($I187,GradeList,0),0))</f>
        <v>0</v>
      </c>
      <c r="P187" s="64" t="n">
        <f aca="false">IF(AND($M187&gt;0,ISNUMBER(MATCH($F187,Lists!$A$2:$A$5,0)),ISNUMBER(MATCH($G187,Lists!$B$2:$B$7,0)),OR($H187="",$N187&gt;0),OR($I187="",$I187="NR",$O187&gt;0),IF(ISNUMBER($J187),AND($J187&gt;=0,$J187=INT($J187)),FALSE())),$J187,0)</f>
        <v>0</v>
      </c>
      <c r="Q187" s="64" t="n">
        <f aca="false">IF(AND($P187&gt;0,$O187&gt;0),$P187,0)</f>
        <v>0</v>
      </c>
      <c r="R187" s="64" t="n">
        <f aca="false">IF(AND($Q187&gt;0,$O187&gt;=AtRank),$Q187,0)</f>
        <v>0</v>
      </c>
      <c r="S187" s="64" t="n">
        <f aca="false">IF(AND($Q187&gt;0,$O187&gt;=AboveRank),$Q187,0)</f>
        <v>0</v>
      </c>
      <c r="T187" s="64" t="n">
        <f aca="false">IF($K187="Less",$P187,0)</f>
        <v>0</v>
      </c>
      <c r="U187" s="64" t="n">
        <f aca="false">IF($K187="Expected",$P187,0)</f>
        <v>0</v>
      </c>
      <c r="V187" s="64" t="n">
        <f aca="false">IF($K187="Better",$P187,0)</f>
        <v>0</v>
      </c>
      <c r="W187" s="64" t="n">
        <f aca="false">IF($K187="U – needs rule",$P187,0)</f>
        <v>0</v>
      </c>
      <c r="X187" s="64" t="n">
        <f aca="false">IF($K187="No Start (attainment only)",$P187,0)</f>
        <v>0</v>
      </c>
    </row>
    <row r="188" customFormat="false" ht="15" hidden="false" customHeight="false" outlineLevel="0" collapsed="false">
      <c r="A188" s="60"/>
      <c r="B188" s="61" t="str">
        <f aca="false">IF($M188=0,"",INDEX(Classes!$E$6:$E$420,$M188))</f>
        <v/>
      </c>
      <c r="C188" s="62" t="str">
        <f aca="false">IF($M188=0,"",INDEX(Classes!$H$6:$H$420,$M188))</f>
        <v/>
      </c>
      <c r="D188" s="61" t="str">
        <f aca="false">IF($M188=0,"",INDEX(Classes!$B$6:$B$420,$M188))</f>
        <v/>
      </c>
      <c r="E188" s="61" t="str">
        <f aca="false">IF($M188=0,"",INDEX(Classes!$C$6:$C$420,$M188))</f>
        <v/>
      </c>
      <c r="F188" s="63"/>
      <c r="G188" s="63"/>
      <c r="H188" s="60"/>
      <c r="I188" s="60"/>
      <c r="J188" s="63"/>
      <c r="K188" s="61" t="str">
        <f aca="false">IF($P188=0,"",IF($F188="Baseline","— Baseline",IF($O188=0,"No result",IF($N188=0,"No Start (attainment only)",IF(OR($N188=1,$O188=1),"U – needs rule",INDEX(MxBody,MATCH($I188,MxCurr,0),MATCH($H188,MxStart,0)))))))</f>
        <v/>
      </c>
      <c r="L188" s="62" t="str">
        <f aca="false">IF(COUNTA($A188,$F188,$G188,$H188,$I188,$J188)=0,"",IF($M188=0,"✖ كود الصف غير موجود",IF(ISNA(MATCH($F188,Lists!$A$2:$A$5,0)),"✖ الفترة غير صحيحة",IF(ISNA(MATCH($G188,Lists!$B$2:$B$7,0)),"✖ المجموعة غير صحيحة",IF(NOT(OR($H188="",$N188&gt;0)),"✖ Start غير صحيح",IF(NOT(OR($I188="",$I188="NR",$O188&gt;0)),"✖ Current غير صحيح",IF(NOT(IF(ISNUMBER($J188),AND($J188&gt;=0,$J188=INT($J188)),FALSE())),"✖ العدد يجب أن يكون صحيحًا ≥ 0",IF(AND($F188="Baseline",$H188&lt;&gt;""),"⚠ Baseline: Start لا يدخل في التقدم",IF($K188="No Start (attainment only)","ℹ تحصيل فقط (بدون Start)",IF($K188="U – needs rule","ℹ حالة U تحتاج قاعدة معتمدة",IF($K188="No result","ℹ بدون نتيجة (يُستبعد من التحصيل)","OK")))))))))))</f>
        <v/>
      </c>
      <c r="M188" s="64" t="n">
        <f aca="false">IF($A188="",0,IFERROR(MATCH($A188,Classes!$A$6:$A$420,0),0))</f>
        <v>0</v>
      </c>
      <c r="N188" s="64" t="n">
        <f aca="false">IF($H188="",0,IFERROR(MATCH($H188,GradeList,0),0))</f>
        <v>0</v>
      </c>
      <c r="O188" s="64" t="n">
        <f aca="false">IF(OR($I188="",$I188="NR"),0,IFERROR(MATCH($I188,GradeList,0),0))</f>
        <v>0</v>
      </c>
      <c r="P188" s="64" t="n">
        <f aca="false">IF(AND($M188&gt;0,ISNUMBER(MATCH($F188,Lists!$A$2:$A$5,0)),ISNUMBER(MATCH($G188,Lists!$B$2:$B$7,0)),OR($H188="",$N188&gt;0),OR($I188="",$I188="NR",$O188&gt;0),IF(ISNUMBER($J188),AND($J188&gt;=0,$J188=INT($J188)),FALSE())),$J188,0)</f>
        <v>0</v>
      </c>
      <c r="Q188" s="64" t="n">
        <f aca="false">IF(AND($P188&gt;0,$O188&gt;0),$P188,0)</f>
        <v>0</v>
      </c>
      <c r="R188" s="64" t="n">
        <f aca="false">IF(AND($Q188&gt;0,$O188&gt;=AtRank),$Q188,0)</f>
        <v>0</v>
      </c>
      <c r="S188" s="64" t="n">
        <f aca="false">IF(AND($Q188&gt;0,$O188&gt;=AboveRank),$Q188,0)</f>
        <v>0</v>
      </c>
      <c r="T188" s="64" t="n">
        <f aca="false">IF($K188="Less",$P188,0)</f>
        <v>0</v>
      </c>
      <c r="U188" s="64" t="n">
        <f aca="false">IF($K188="Expected",$P188,0)</f>
        <v>0</v>
      </c>
      <c r="V188" s="64" t="n">
        <f aca="false">IF($K188="Better",$P188,0)</f>
        <v>0</v>
      </c>
      <c r="W188" s="64" t="n">
        <f aca="false">IF($K188="U – needs rule",$P188,0)</f>
        <v>0</v>
      </c>
      <c r="X188" s="64" t="n">
        <f aca="false">IF($K188="No Start (attainment only)",$P188,0)</f>
        <v>0</v>
      </c>
    </row>
    <row r="189" customFormat="false" ht="15" hidden="false" customHeight="false" outlineLevel="0" collapsed="false">
      <c r="A189" s="60"/>
      <c r="B189" s="61" t="str">
        <f aca="false">IF($M189=0,"",INDEX(Classes!$E$6:$E$420,$M189))</f>
        <v/>
      </c>
      <c r="C189" s="62" t="str">
        <f aca="false">IF($M189=0,"",INDEX(Classes!$H$6:$H$420,$M189))</f>
        <v/>
      </c>
      <c r="D189" s="61" t="str">
        <f aca="false">IF($M189=0,"",INDEX(Classes!$B$6:$B$420,$M189))</f>
        <v/>
      </c>
      <c r="E189" s="61" t="str">
        <f aca="false">IF($M189=0,"",INDEX(Classes!$C$6:$C$420,$M189))</f>
        <v/>
      </c>
      <c r="F189" s="63"/>
      <c r="G189" s="63"/>
      <c r="H189" s="60"/>
      <c r="I189" s="60"/>
      <c r="J189" s="63"/>
      <c r="K189" s="61" t="str">
        <f aca="false">IF($P189=0,"",IF($F189="Baseline","— Baseline",IF($O189=0,"No result",IF($N189=0,"No Start (attainment only)",IF(OR($N189=1,$O189=1),"U – needs rule",INDEX(MxBody,MATCH($I189,MxCurr,0),MATCH($H189,MxStart,0)))))))</f>
        <v/>
      </c>
      <c r="L189" s="62" t="str">
        <f aca="false">IF(COUNTA($A189,$F189,$G189,$H189,$I189,$J189)=0,"",IF($M189=0,"✖ كود الصف غير موجود",IF(ISNA(MATCH($F189,Lists!$A$2:$A$5,0)),"✖ الفترة غير صحيحة",IF(ISNA(MATCH($G189,Lists!$B$2:$B$7,0)),"✖ المجموعة غير صحيحة",IF(NOT(OR($H189="",$N189&gt;0)),"✖ Start غير صحيح",IF(NOT(OR($I189="",$I189="NR",$O189&gt;0)),"✖ Current غير صحيح",IF(NOT(IF(ISNUMBER($J189),AND($J189&gt;=0,$J189=INT($J189)),FALSE())),"✖ العدد يجب أن يكون صحيحًا ≥ 0",IF(AND($F189="Baseline",$H189&lt;&gt;""),"⚠ Baseline: Start لا يدخل في التقدم",IF($K189="No Start (attainment only)","ℹ تحصيل فقط (بدون Start)",IF($K189="U – needs rule","ℹ حالة U تحتاج قاعدة معتمدة",IF($K189="No result","ℹ بدون نتيجة (يُستبعد من التحصيل)","OK")))))))))))</f>
        <v/>
      </c>
      <c r="M189" s="64" t="n">
        <f aca="false">IF($A189="",0,IFERROR(MATCH($A189,Classes!$A$6:$A$420,0),0))</f>
        <v>0</v>
      </c>
      <c r="N189" s="64" t="n">
        <f aca="false">IF($H189="",0,IFERROR(MATCH($H189,GradeList,0),0))</f>
        <v>0</v>
      </c>
      <c r="O189" s="64" t="n">
        <f aca="false">IF(OR($I189="",$I189="NR"),0,IFERROR(MATCH($I189,GradeList,0),0))</f>
        <v>0</v>
      </c>
      <c r="P189" s="64" t="n">
        <f aca="false">IF(AND($M189&gt;0,ISNUMBER(MATCH($F189,Lists!$A$2:$A$5,0)),ISNUMBER(MATCH($G189,Lists!$B$2:$B$7,0)),OR($H189="",$N189&gt;0),OR($I189="",$I189="NR",$O189&gt;0),IF(ISNUMBER($J189),AND($J189&gt;=0,$J189=INT($J189)),FALSE())),$J189,0)</f>
        <v>0</v>
      </c>
      <c r="Q189" s="64" t="n">
        <f aca="false">IF(AND($P189&gt;0,$O189&gt;0),$P189,0)</f>
        <v>0</v>
      </c>
      <c r="R189" s="64" t="n">
        <f aca="false">IF(AND($Q189&gt;0,$O189&gt;=AtRank),$Q189,0)</f>
        <v>0</v>
      </c>
      <c r="S189" s="64" t="n">
        <f aca="false">IF(AND($Q189&gt;0,$O189&gt;=AboveRank),$Q189,0)</f>
        <v>0</v>
      </c>
      <c r="T189" s="64" t="n">
        <f aca="false">IF($K189="Less",$P189,0)</f>
        <v>0</v>
      </c>
      <c r="U189" s="64" t="n">
        <f aca="false">IF($K189="Expected",$P189,0)</f>
        <v>0</v>
      </c>
      <c r="V189" s="64" t="n">
        <f aca="false">IF($K189="Better",$P189,0)</f>
        <v>0</v>
      </c>
      <c r="W189" s="64" t="n">
        <f aca="false">IF($K189="U – needs rule",$P189,0)</f>
        <v>0</v>
      </c>
      <c r="X189" s="64" t="n">
        <f aca="false">IF($K189="No Start (attainment only)",$P189,0)</f>
        <v>0</v>
      </c>
    </row>
    <row r="190" customFormat="false" ht="15" hidden="false" customHeight="false" outlineLevel="0" collapsed="false">
      <c r="A190" s="60"/>
      <c r="B190" s="61" t="str">
        <f aca="false">IF($M190=0,"",INDEX(Classes!$E$6:$E$420,$M190))</f>
        <v/>
      </c>
      <c r="C190" s="62" t="str">
        <f aca="false">IF($M190=0,"",INDEX(Classes!$H$6:$H$420,$M190))</f>
        <v/>
      </c>
      <c r="D190" s="61" t="str">
        <f aca="false">IF($M190=0,"",INDEX(Classes!$B$6:$B$420,$M190))</f>
        <v/>
      </c>
      <c r="E190" s="61" t="str">
        <f aca="false">IF($M190=0,"",INDEX(Classes!$C$6:$C$420,$M190))</f>
        <v/>
      </c>
      <c r="F190" s="63"/>
      <c r="G190" s="63"/>
      <c r="H190" s="60"/>
      <c r="I190" s="60"/>
      <c r="J190" s="63"/>
      <c r="K190" s="61" t="str">
        <f aca="false">IF($P190=0,"",IF($F190="Baseline","— Baseline",IF($O190=0,"No result",IF($N190=0,"No Start (attainment only)",IF(OR($N190=1,$O190=1),"U – needs rule",INDEX(MxBody,MATCH($I190,MxCurr,0),MATCH($H190,MxStart,0)))))))</f>
        <v/>
      </c>
      <c r="L190" s="62" t="str">
        <f aca="false">IF(COUNTA($A190,$F190,$G190,$H190,$I190,$J190)=0,"",IF($M190=0,"✖ كود الصف غير موجود",IF(ISNA(MATCH($F190,Lists!$A$2:$A$5,0)),"✖ الفترة غير صحيحة",IF(ISNA(MATCH($G190,Lists!$B$2:$B$7,0)),"✖ المجموعة غير صحيحة",IF(NOT(OR($H190="",$N190&gt;0)),"✖ Start غير صحيح",IF(NOT(OR($I190="",$I190="NR",$O190&gt;0)),"✖ Current غير صحيح",IF(NOT(IF(ISNUMBER($J190),AND($J190&gt;=0,$J190=INT($J190)),FALSE())),"✖ العدد يجب أن يكون صحيحًا ≥ 0",IF(AND($F190="Baseline",$H190&lt;&gt;""),"⚠ Baseline: Start لا يدخل في التقدم",IF($K190="No Start (attainment only)","ℹ تحصيل فقط (بدون Start)",IF($K190="U – needs rule","ℹ حالة U تحتاج قاعدة معتمدة",IF($K190="No result","ℹ بدون نتيجة (يُستبعد من التحصيل)","OK")))))))))))</f>
        <v/>
      </c>
      <c r="M190" s="64" t="n">
        <f aca="false">IF($A190="",0,IFERROR(MATCH($A190,Classes!$A$6:$A$420,0),0))</f>
        <v>0</v>
      </c>
      <c r="N190" s="64" t="n">
        <f aca="false">IF($H190="",0,IFERROR(MATCH($H190,GradeList,0),0))</f>
        <v>0</v>
      </c>
      <c r="O190" s="64" t="n">
        <f aca="false">IF(OR($I190="",$I190="NR"),0,IFERROR(MATCH($I190,GradeList,0),0))</f>
        <v>0</v>
      </c>
      <c r="P190" s="64" t="n">
        <f aca="false">IF(AND($M190&gt;0,ISNUMBER(MATCH($F190,Lists!$A$2:$A$5,0)),ISNUMBER(MATCH($G190,Lists!$B$2:$B$7,0)),OR($H190="",$N190&gt;0),OR($I190="",$I190="NR",$O190&gt;0),IF(ISNUMBER($J190),AND($J190&gt;=0,$J190=INT($J190)),FALSE())),$J190,0)</f>
        <v>0</v>
      </c>
      <c r="Q190" s="64" t="n">
        <f aca="false">IF(AND($P190&gt;0,$O190&gt;0),$P190,0)</f>
        <v>0</v>
      </c>
      <c r="R190" s="64" t="n">
        <f aca="false">IF(AND($Q190&gt;0,$O190&gt;=AtRank),$Q190,0)</f>
        <v>0</v>
      </c>
      <c r="S190" s="64" t="n">
        <f aca="false">IF(AND($Q190&gt;0,$O190&gt;=AboveRank),$Q190,0)</f>
        <v>0</v>
      </c>
      <c r="T190" s="64" t="n">
        <f aca="false">IF($K190="Less",$P190,0)</f>
        <v>0</v>
      </c>
      <c r="U190" s="64" t="n">
        <f aca="false">IF($K190="Expected",$P190,0)</f>
        <v>0</v>
      </c>
      <c r="V190" s="64" t="n">
        <f aca="false">IF($K190="Better",$P190,0)</f>
        <v>0</v>
      </c>
      <c r="W190" s="64" t="n">
        <f aca="false">IF($K190="U – needs rule",$P190,0)</f>
        <v>0</v>
      </c>
      <c r="X190" s="64" t="n">
        <f aca="false">IF($K190="No Start (attainment only)",$P190,0)</f>
        <v>0</v>
      </c>
    </row>
    <row r="191" customFormat="false" ht="15" hidden="false" customHeight="false" outlineLevel="0" collapsed="false">
      <c r="A191" s="60"/>
      <c r="B191" s="61" t="str">
        <f aca="false">IF($M191=0,"",INDEX(Classes!$E$6:$E$420,$M191))</f>
        <v/>
      </c>
      <c r="C191" s="62" t="str">
        <f aca="false">IF($M191=0,"",INDEX(Classes!$H$6:$H$420,$M191))</f>
        <v/>
      </c>
      <c r="D191" s="61" t="str">
        <f aca="false">IF($M191=0,"",INDEX(Classes!$B$6:$B$420,$M191))</f>
        <v/>
      </c>
      <c r="E191" s="61" t="str">
        <f aca="false">IF($M191=0,"",INDEX(Classes!$C$6:$C$420,$M191))</f>
        <v/>
      </c>
      <c r="F191" s="63"/>
      <c r="G191" s="63"/>
      <c r="H191" s="60"/>
      <c r="I191" s="60"/>
      <c r="J191" s="63"/>
      <c r="K191" s="61" t="str">
        <f aca="false">IF($P191=0,"",IF($F191="Baseline","— Baseline",IF($O191=0,"No result",IF($N191=0,"No Start (attainment only)",IF(OR($N191=1,$O191=1),"U – needs rule",INDEX(MxBody,MATCH($I191,MxCurr,0),MATCH($H191,MxStart,0)))))))</f>
        <v/>
      </c>
      <c r="L191" s="62" t="str">
        <f aca="false">IF(COUNTA($A191,$F191,$G191,$H191,$I191,$J191)=0,"",IF($M191=0,"✖ كود الصف غير موجود",IF(ISNA(MATCH($F191,Lists!$A$2:$A$5,0)),"✖ الفترة غير صحيحة",IF(ISNA(MATCH($G191,Lists!$B$2:$B$7,0)),"✖ المجموعة غير صحيحة",IF(NOT(OR($H191="",$N191&gt;0)),"✖ Start غير صحيح",IF(NOT(OR($I191="",$I191="NR",$O191&gt;0)),"✖ Current غير صحيح",IF(NOT(IF(ISNUMBER($J191),AND($J191&gt;=0,$J191=INT($J191)),FALSE())),"✖ العدد يجب أن يكون صحيحًا ≥ 0",IF(AND($F191="Baseline",$H191&lt;&gt;""),"⚠ Baseline: Start لا يدخل في التقدم",IF($K191="No Start (attainment only)","ℹ تحصيل فقط (بدون Start)",IF($K191="U – needs rule","ℹ حالة U تحتاج قاعدة معتمدة",IF($K191="No result","ℹ بدون نتيجة (يُستبعد من التحصيل)","OK")))))))))))</f>
        <v/>
      </c>
      <c r="M191" s="64" t="n">
        <f aca="false">IF($A191="",0,IFERROR(MATCH($A191,Classes!$A$6:$A$420,0),0))</f>
        <v>0</v>
      </c>
      <c r="N191" s="64" t="n">
        <f aca="false">IF($H191="",0,IFERROR(MATCH($H191,GradeList,0),0))</f>
        <v>0</v>
      </c>
      <c r="O191" s="64" t="n">
        <f aca="false">IF(OR($I191="",$I191="NR"),0,IFERROR(MATCH($I191,GradeList,0),0))</f>
        <v>0</v>
      </c>
      <c r="P191" s="64" t="n">
        <f aca="false">IF(AND($M191&gt;0,ISNUMBER(MATCH($F191,Lists!$A$2:$A$5,0)),ISNUMBER(MATCH($G191,Lists!$B$2:$B$7,0)),OR($H191="",$N191&gt;0),OR($I191="",$I191="NR",$O191&gt;0),IF(ISNUMBER($J191),AND($J191&gt;=0,$J191=INT($J191)),FALSE())),$J191,0)</f>
        <v>0</v>
      </c>
      <c r="Q191" s="64" t="n">
        <f aca="false">IF(AND($P191&gt;0,$O191&gt;0),$P191,0)</f>
        <v>0</v>
      </c>
      <c r="R191" s="64" t="n">
        <f aca="false">IF(AND($Q191&gt;0,$O191&gt;=AtRank),$Q191,0)</f>
        <v>0</v>
      </c>
      <c r="S191" s="64" t="n">
        <f aca="false">IF(AND($Q191&gt;0,$O191&gt;=AboveRank),$Q191,0)</f>
        <v>0</v>
      </c>
      <c r="T191" s="64" t="n">
        <f aca="false">IF($K191="Less",$P191,0)</f>
        <v>0</v>
      </c>
      <c r="U191" s="64" t="n">
        <f aca="false">IF($K191="Expected",$P191,0)</f>
        <v>0</v>
      </c>
      <c r="V191" s="64" t="n">
        <f aca="false">IF($K191="Better",$P191,0)</f>
        <v>0</v>
      </c>
      <c r="W191" s="64" t="n">
        <f aca="false">IF($K191="U – needs rule",$P191,0)</f>
        <v>0</v>
      </c>
      <c r="X191" s="64" t="n">
        <f aca="false">IF($K191="No Start (attainment only)",$P191,0)</f>
        <v>0</v>
      </c>
    </row>
    <row r="192" customFormat="false" ht="15" hidden="false" customHeight="false" outlineLevel="0" collapsed="false">
      <c r="A192" s="60"/>
      <c r="B192" s="61" t="str">
        <f aca="false">IF($M192=0,"",INDEX(Classes!$E$6:$E$420,$M192))</f>
        <v/>
      </c>
      <c r="C192" s="62" t="str">
        <f aca="false">IF($M192=0,"",INDEX(Classes!$H$6:$H$420,$M192))</f>
        <v/>
      </c>
      <c r="D192" s="61" t="str">
        <f aca="false">IF($M192=0,"",INDEX(Classes!$B$6:$B$420,$M192))</f>
        <v/>
      </c>
      <c r="E192" s="61" t="str">
        <f aca="false">IF($M192=0,"",INDEX(Classes!$C$6:$C$420,$M192))</f>
        <v/>
      </c>
      <c r="F192" s="63"/>
      <c r="G192" s="63"/>
      <c r="H192" s="60"/>
      <c r="I192" s="60"/>
      <c r="J192" s="63"/>
      <c r="K192" s="61" t="str">
        <f aca="false">IF($P192=0,"",IF($F192="Baseline","— Baseline",IF($O192=0,"No result",IF($N192=0,"No Start (attainment only)",IF(OR($N192=1,$O192=1),"U – needs rule",INDEX(MxBody,MATCH($I192,MxCurr,0),MATCH($H192,MxStart,0)))))))</f>
        <v/>
      </c>
      <c r="L192" s="62" t="str">
        <f aca="false">IF(COUNTA($A192,$F192,$G192,$H192,$I192,$J192)=0,"",IF($M192=0,"✖ كود الصف غير موجود",IF(ISNA(MATCH($F192,Lists!$A$2:$A$5,0)),"✖ الفترة غير صحيحة",IF(ISNA(MATCH($G192,Lists!$B$2:$B$7,0)),"✖ المجموعة غير صحيحة",IF(NOT(OR($H192="",$N192&gt;0)),"✖ Start غير صحيح",IF(NOT(OR($I192="",$I192="NR",$O192&gt;0)),"✖ Current غير صحيح",IF(NOT(IF(ISNUMBER($J192),AND($J192&gt;=0,$J192=INT($J192)),FALSE())),"✖ العدد يجب أن يكون صحيحًا ≥ 0",IF(AND($F192="Baseline",$H192&lt;&gt;""),"⚠ Baseline: Start لا يدخل في التقدم",IF($K192="No Start (attainment only)","ℹ تحصيل فقط (بدون Start)",IF($K192="U – needs rule","ℹ حالة U تحتاج قاعدة معتمدة",IF($K192="No result","ℹ بدون نتيجة (يُستبعد من التحصيل)","OK")))))))))))</f>
        <v/>
      </c>
      <c r="M192" s="64" t="n">
        <f aca="false">IF($A192="",0,IFERROR(MATCH($A192,Classes!$A$6:$A$420,0),0))</f>
        <v>0</v>
      </c>
      <c r="N192" s="64" t="n">
        <f aca="false">IF($H192="",0,IFERROR(MATCH($H192,GradeList,0),0))</f>
        <v>0</v>
      </c>
      <c r="O192" s="64" t="n">
        <f aca="false">IF(OR($I192="",$I192="NR"),0,IFERROR(MATCH($I192,GradeList,0),0))</f>
        <v>0</v>
      </c>
      <c r="P192" s="64" t="n">
        <f aca="false">IF(AND($M192&gt;0,ISNUMBER(MATCH($F192,Lists!$A$2:$A$5,0)),ISNUMBER(MATCH($G192,Lists!$B$2:$B$7,0)),OR($H192="",$N192&gt;0),OR($I192="",$I192="NR",$O192&gt;0),IF(ISNUMBER($J192),AND($J192&gt;=0,$J192=INT($J192)),FALSE())),$J192,0)</f>
        <v>0</v>
      </c>
      <c r="Q192" s="64" t="n">
        <f aca="false">IF(AND($P192&gt;0,$O192&gt;0),$P192,0)</f>
        <v>0</v>
      </c>
      <c r="R192" s="64" t="n">
        <f aca="false">IF(AND($Q192&gt;0,$O192&gt;=AtRank),$Q192,0)</f>
        <v>0</v>
      </c>
      <c r="S192" s="64" t="n">
        <f aca="false">IF(AND($Q192&gt;0,$O192&gt;=AboveRank),$Q192,0)</f>
        <v>0</v>
      </c>
      <c r="T192" s="64" t="n">
        <f aca="false">IF($K192="Less",$P192,0)</f>
        <v>0</v>
      </c>
      <c r="U192" s="64" t="n">
        <f aca="false">IF($K192="Expected",$P192,0)</f>
        <v>0</v>
      </c>
      <c r="V192" s="64" t="n">
        <f aca="false">IF($K192="Better",$P192,0)</f>
        <v>0</v>
      </c>
      <c r="W192" s="64" t="n">
        <f aca="false">IF($K192="U – needs rule",$P192,0)</f>
        <v>0</v>
      </c>
      <c r="X192" s="64" t="n">
        <f aca="false">IF($K192="No Start (attainment only)",$P192,0)</f>
        <v>0</v>
      </c>
    </row>
    <row r="193" customFormat="false" ht="15" hidden="false" customHeight="false" outlineLevel="0" collapsed="false">
      <c r="A193" s="60"/>
      <c r="B193" s="61" t="str">
        <f aca="false">IF($M193=0,"",INDEX(Classes!$E$6:$E$420,$M193))</f>
        <v/>
      </c>
      <c r="C193" s="62" t="str">
        <f aca="false">IF($M193=0,"",INDEX(Classes!$H$6:$H$420,$M193))</f>
        <v/>
      </c>
      <c r="D193" s="61" t="str">
        <f aca="false">IF($M193=0,"",INDEX(Classes!$B$6:$B$420,$M193))</f>
        <v/>
      </c>
      <c r="E193" s="61" t="str">
        <f aca="false">IF($M193=0,"",INDEX(Classes!$C$6:$C$420,$M193))</f>
        <v/>
      </c>
      <c r="F193" s="63"/>
      <c r="G193" s="63"/>
      <c r="H193" s="60"/>
      <c r="I193" s="60"/>
      <c r="J193" s="63"/>
      <c r="K193" s="61" t="str">
        <f aca="false">IF($P193=0,"",IF($F193="Baseline","— Baseline",IF($O193=0,"No result",IF($N193=0,"No Start (attainment only)",IF(OR($N193=1,$O193=1),"U – needs rule",INDEX(MxBody,MATCH($I193,MxCurr,0),MATCH($H193,MxStart,0)))))))</f>
        <v/>
      </c>
      <c r="L193" s="62" t="str">
        <f aca="false">IF(COUNTA($A193,$F193,$G193,$H193,$I193,$J193)=0,"",IF($M193=0,"✖ كود الصف غير موجود",IF(ISNA(MATCH($F193,Lists!$A$2:$A$5,0)),"✖ الفترة غير صحيحة",IF(ISNA(MATCH($G193,Lists!$B$2:$B$7,0)),"✖ المجموعة غير صحيحة",IF(NOT(OR($H193="",$N193&gt;0)),"✖ Start غير صحيح",IF(NOT(OR($I193="",$I193="NR",$O193&gt;0)),"✖ Current غير صحيح",IF(NOT(IF(ISNUMBER($J193),AND($J193&gt;=0,$J193=INT($J193)),FALSE())),"✖ العدد يجب أن يكون صحيحًا ≥ 0",IF(AND($F193="Baseline",$H193&lt;&gt;""),"⚠ Baseline: Start لا يدخل في التقدم",IF($K193="No Start (attainment only)","ℹ تحصيل فقط (بدون Start)",IF($K193="U – needs rule","ℹ حالة U تحتاج قاعدة معتمدة",IF($K193="No result","ℹ بدون نتيجة (يُستبعد من التحصيل)","OK")))))))))))</f>
        <v/>
      </c>
      <c r="M193" s="64" t="n">
        <f aca="false">IF($A193="",0,IFERROR(MATCH($A193,Classes!$A$6:$A$420,0),0))</f>
        <v>0</v>
      </c>
      <c r="N193" s="64" t="n">
        <f aca="false">IF($H193="",0,IFERROR(MATCH($H193,GradeList,0),0))</f>
        <v>0</v>
      </c>
      <c r="O193" s="64" t="n">
        <f aca="false">IF(OR($I193="",$I193="NR"),0,IFERROR(MATCH($I193,GradeList,0),0))</f>
        <v>0</v>
      </c>
      <c r="P193" s="64" t="n">
        <f aca="false">IF(AND($M193&gt;0,ISNUMBER(MATCH($F193,Lists!$A$2:$A$5,0)),ISNUMBER(MATCH($G193,Lists!$B$2:$B$7,0)),OR($H193="",$N193&gt;0),OR($I193="",$I193="NR",$O193&gt;0),IF(ISNUMBER($J193),AND($J193&gt;=0,$J193=INT($J193)),FALSE())),$J193,0)</f>
        <v>0</v>
      </c>
      <c r="Q193" s="64" t="n">
        <f aca="false">IF(AND($P193&gt;0,$O193&gt;0),$P193,0)</f>
        <v>0</v>
      </c>
      <c r="R193" s="64" t="n">
        <f aca="false">IF(AND($Q193&gt;0,$O193&gt;=AtRank),$Q193,0)</f>
        <v>0</v>
      </c>
      <c r="S193" s="64" t="n">
        <f aca="false">IF(AND($Q193&gt;0,$O193&gt;=AboveRank),$Q193,0)</f>
        <v>0</v>
      </c>
      <c r="T193" s="64" t="n">
        <f aca="false">IF($K193="Less",$P193,0)</f>
        <v>0</v>
      </c>
      <c r="U193" s="64" t="n">
        <f aca="false">IF($K193="Expected",$P193,0)</f>
        <v>0</v>
      </c>
      <c r="V193" s="64" t="n">
        <f aca="false">IF($K193="Better",$P193,0)</f>
        <v>0</v>
      </c>
      <c r="W193" s="64" t="n">
        <f aca="false">IF($K193="U – needs rule",$P193,0)</f>
        <v>0</v>
      </c>
      <c r="X193" s="64" t="n">
        <f aca="false">IF($K193="No Start (attainment only)",$P193,0)</f>
        <v>0</v>
      </c>
    </row>
    <row r="194" customFormat="false" ht="15" hidden="false" customHeight="false" outlineLevel="0" collapsed="false">
      <c r="A194" s="60"/>
      <c r="B194" s="61" t="str">
        <f aca="false">IF($M194=0,"",INDEX(Classes!$E$6:$E$420,$M194))</f>
        <v/>
      </c>
      <c r="C194" s="62" t="str">
        <f aca="false">IF($M194=0,"",INDEX(Classes!$H$6:$H$420,$M194))</f>
        <v/>
      </c>
      <c r="D194" s="61" t="str">
        <f aca="false">IF($M194=0,"",INDEX(Classes!$B$6:$B$420,$M194))</f>
        <v/>
      </c>
      <c r="E194" s="61" t="str">
        <f aca="false">IF($M194=0,"",INDEX(Classes!$C$6:$C$420,$M194))</f>
        <v/>
      </c>
      <c r="F194" s="63"/>
      <c r="G194" s="63"/>
      <c r="H194" s="60"/>
      <c r="I194" s="60"/>
      <c r="J194" s="63"/>
      <c r="K194" s="61" t="str">
        <f aca="false">IF($P194=0,"",IF($F194="Baseline","— Baseline",IF($O194=0,"No result",IF($N194=0,"No Start (attainment only)",IF(OR($N194=1,$O194=1),"U – needs rule",INDEX(MxBody,MATCH($I194,MxCurr,0),MATCH($H194,MxStart,0)))))))</f>
        <v/>
      </c>
      <c r="L194" s="62" t="str">
        <f aca="false">IF(COUNTA($A194,$F194,$G194,$H194,$I194,$J194)=0,"",IF($M194=0,"✖ كود الصف غير موجود",IF(ISNA(MATCH($F194,Lists!$A$2:$A$5,0)),"✖ الفترة غير صحيحة",IF(ISNA(MATCH($G194,Lists!$B$2:$B$7,0)),"✖ المجموعة غير صحيحة",IF(NOT(OR($H194="",$N194&gt;0)),"✖ Start غير صحيح",IF(NOT(OR($I194="",$I194="NR",$O194&gt;0)),"✖ Current غير صحيح",IF(NOT(IF(ISNUMBER($J194),AND($J194&gt;=0,$J194=INT($J194)),FALSE())),"✖ العدد يجب أن يكون صحيحًا ≥ 0",IF(AND($F194="Baseline",$H194&lt;&gt;""),"⚠ Baseline: Start لا يدخل في التقدم",IF($K194="No Start (attainment only)","ℹ تحصيل فقط (بدون Start)",IF($K194="U – needs rule","ℹ حالة U تحتاج قاعدة معتمدة",IF($K194="No result","ℹ بدون نتيجة (يُستبعد من التحصيل)","OK")))))))))))</f>
        <v/>
      </c>
      <c r="M194" s="64" t="n">
        <f aca="false">IF($A194="",0,IFERROR(MATCH($A194,Classes!$A$6:$A$420,0),0))</f>
        <v>0</v>
      </c>
      <c r="N194" s="64" t="n">
        <f aca="false">IF($H194="",0,IFERROR(MATCH($H194,GradeList,0),0))</f>
        <v>0</v>
      </c>
      <c r="O194" s="64" t="n">
        <f aca="false">IF(OR($I194="",$I194="NR"),0,IFERROR(MATCH($I194,GradeList,0),0))</f>
        <v>0</v>
      </c>
      <c r="P194" s="64" t="n">
        <f aca="false">IF(AND($M194&gt;0,ISNUMBER(MATCH($F194,Lists!$A$2:$A$5,0)),ISNUMBER(MATCH($G194,Lists!$B$2:$B$7,0)),OR($H194="",$N194&gt;0),OR($I194="",$I194="NR",$O194&gt;0),IF(ISNUMBER($J194),AND($J194&gt;=0,$J194=INT($J194)),FALSE())),$J194,0)</f>
        <v>0</v>
      </c>
      <c r="Q194" s="64" t="n">
        <f aca="false">IF(AND($P194&gt;0,$O194&gt;0),$P194,0)</f>
        <v>0</v>
      </c>
      <c r="R194" s="64" t="n">
        <f aca="false">IF(AND($Q194&gt;0,$O194&gt;=AtRank),$Q194,0)</f>
        <v>0</v>
      </c>
      <c r="S194" s="64" t="n">
        <f aca="false">IF(AND($Q194&gt;0,$O194&gt;=AboveRank),$Q194,0)</f>
        <v>0</v>
      </c>
      <c r="T194" s="64" t="n">
        <f aca="false">IF($K194="Less",$P194,0)</f>
        <v>0</v>
      </c>
      <c r="U194" s="64" t="n">
        <f aca="false">IF($K194="Expected",$P194,0)</f>
        <v>0</v>
      </c>
      <c r="V194" s="64" t="n">
        <f aca="false">IF($K194="Better",$P194,0)</f>
        <v>0</v>
      </c>
      <c r="W194" s="64" t="n">
        <f aca="false">IF($K194="U – needs rule",$P194,0)</f>
        <v>0</v>
      </c>
      <c r="X194" s="64" t="n">
        <f aca="false">IF($K194="No Start (attainment only)",$P194,0)</f>
        <v>0</v>
      </c>
    </row>
    <row r="195" customFormat="false" ht="15" hidden="false" customHeight="false" outlineLevel="0" collapsed="false">
      <c r="A195" s="60"/>
      <c r="B195" s="61" t="str">
        <f aca="false">IF($M195=0,"",INDEX(Classes!$E$6:$E$420,$M195))</f>
        <v/>
      </c>
      <c r="C195" s="62" t="str">
        <f aca="false">IF($M195=0,"",INDEX(Classes!$H$6:$H$420,$M195))</f>
        <v/>
      </c>
      <c r="D195" s="61" t="str">
        <f aca="false">IF($M195=0,"",INDEX(Classes!$B$6:$B$420,$M195))</f>
        <v/>
      </c>
      <c r="E195" s="61" t="str">
        <f aca="false">IF($M195=0,"",INDEX(Classes!$C$6:$C$420,$M195))</f>
        <v/>
      </c>
      <c r="F195" s="63"/>
      <c r="G195" s="63"/>
      <c r="H195" s="60"/>
      <c r="I195" s="60"/>
      <c r="J195" s="63"/>
      <c r="K195" s="61" t="str">
        <f aca="false">IF($P195=0,"",IF($F195="Baseline","— Baseline",IF($O195=0,"No result",IF($N195=0,"No Start (attainment only)",IF(OR($N195=1,$O195=1),"U – needs rule",INDEX(MxBody,MATCH($I195,MxCurr,0),MATCH($H195,MxStart,0)))))))</f>
        <v/>
      </c>
      <c r="L195" s="62" t="str">
        <f aca="false">IF(COUNTA($A195,$F195,$G195,$H195,$I195,$J195)=0,"",IF($M195=0,"✖ كود الصف غير موجود",IF(ISNA(MATCH($F195,Lists!$A$2:$A$5,0)),"✖ الفترة غير صحيحة",IF(ISNA(MATCH($G195,Lists!$B$2:$B$7,0)),"✖ المجموعة غير صحيحة",IF(NOT(OR($H195="",$N195&gt;0)),"✖ Start غير صحيح",IF(NOT(OR($I195="",$I195="NR",$O195&gt;0)),"✖ Current غير صحيح",IF(NOT(IF(ISNUMBER($J195),AND($J195&gt;=0,$J195=INT($J195)),FALSE())),"✖ العدد يجب أن يكون صحيحًا ≥ 0",IF(AND($F195="Baseline",$H195&lt;&gt;""),"⚠ Baseline: Start لا يدخل في التقدم",IF($K195="No Start (attainment only)","ℹ تحصيل فقط (بدون Start)",IF($K195="U – needs rule","ℹ حالة U تحتاج قاعدة معتمدة",IF($K195="No result","ℹ بدون نتيجة (يُستبعد من التحصيل)","OK")))))))))))</f>
        <v/>
      </c>
      <c r="M195" s="64" t="n">
        <f aca="false">IF($A195="",0,IFERROR(MATCH($A195,Classes!$A$6:$A$420,0),0))</f>
        <v>0</v>
      </c>
      <c r="N195" s="64" t="n">
        <f aca="false">IF($H195="",0,IFERROR(MATCH($H195,GradeList,0),0))</f>
        <v>0</v>
      </c>
      <c r="O195" s="64" t="n">
        <f aca="false">IF(OR($I195="",$I195="NR"),0,IFERROR(MATCH($I195,GradeList,0),0))</f>
        <v>0</v>
      </c>
      <c r="P195" s="64" t="n">
        <f aca="false">IF(AND($M195&gt;0,ISNUMBER(MATCH($F195,Lists!$A$2:$A$5,0)),ISNUMBER(MATCH($G195,Lists!$B$2:$B$7,0)),OR($H195="",$N195&gt;0),OR($I195="",$I195="NR",$O195&gt;0),IF(ISNUMBER($J195),AND($J195&gt;=0,$J195=INT($J195)),FALSE())),$J195,0)</f>
        <v>0</v>
      </c>
      <c r="Q195" s="64" t="n">
        <f aca="false">IF(AND($P195&gt;0,$O195&gt;0),$P195,0)</f>
        <v>0</v>
      </c>
      <c r="R195" s="64" t="n">
        <f aca="false">IF(AND($Q195&gt;0,$O195&gt;=AtRank),$Q195,0)</f>
        <v>0</v>
      </c>
      <c r="S195" s="64" t="n">
        <f aca="false">IF(AND($Q195&gt;0,$O195&gt;=AboveRank),$Q195,0)</f>
        <v>0</v>
      </c>
      <c r="T195" s="64" t="n">
        <f aca="false">IF($K195="Less",$P195,0)</f>
        <v>0</v>
      </c>
      <c r="U195" s="64" t="n">
        <f aca="false">IF($K195="Expected",$P195,0)</f>
        <v>0</v>
      </c>
      <c r="V195" s="64" t="n">
        <f aca="false">IF($K195="Better",$P195,0)</f>
        <v>0</v>
      </c>
      <c r="W195" s="64" t="n">
        <f aca="false">IF($K195="U – needs rule",$P195,0)</f>
        <v>0</v>
      </c>
      <c r="X195" s="64" t="n">
        <f aca="false">IF($K195="No Start (attainment only)",$P195,0)</f>
        <v>0</v>
      </c>
    </row>
    <row r="196" customFormat="false" ht="15" hidden="false" customHeight="false" outlineLevel="0" collapsed="false">
      <c r="A196" s="60"/>
      <c r="B196" s="61" t="str">
        <f aca="false">IF($M196=0,"",INDEX(Classes!$E$6:$E$420,$M196))</f>
        <v/>
      </c>
      <c r="C196" s="62" t="str">
        <f aca="false">IF($M196=0,"",INDEX(Classes!$H$6:$H$420,$M196))</f>
        <v/>
      </c>
      <c r="D196" s="61" t="str">
        <f aca="false">IF($M196=0,"",INDEX(Classes!$B$6:$B$420,$M196))</f>
        <v/>
      </c>
      <c r="E196" s="61" t="str">
        <f aca="false">IF($M196=0,"",INDEX(Classes!$C$6:$C$420,$M196))</f>
        <v/>
      </c>
      <c r="F196" s="63"/>
      <c r="G196" s="63"/>
      <c r="H196" s="60"/>
      <c r="I196" s="60"/>
      <c r="J196" s="63"/>
      <c r="K196" s="61" t="str">
        <f aca="false">IF($P196=0,"",IF($F196="Baseline","— Baseline",IF($O196=0,"No result",IF($N196=0,"No Start (attainment only)",IF(OR($N196=1,$O196=1),"U – needs rule",INDEX(MxBody,MATCH($I196,MxCurr,0),MATCH($H196,MxStart,0)))))))</f>
        <v/>
      </c>
      <c r="L196" s="62" t="str">
        <f aca="false">IF(COUNTA($A196,$F196,$G196,$H196,$I196,$J196)=0,"",IF($M196=0,"✖ كود الصف غير موجود",IF(ISNA(MATCH($F196,Lists!$A$2:$A$5,0)),"✖ الفترة غير صحيحة",IF(ISNA(MATCH($G196,Lists!$B$2:$B$7,0)),"✖ المجموعة غير صحيحة",IF(NOT(OR($H196="",$N196&gt;0)),"✖ Start غير صحيح",IF(NOT(OR($I196="",$I196="NR",$O196&gt;0)),"✖ Current غير صحيح",IF(NOT(IF(ISNUMBER($J196),AND($J196&gt;=0,$J196=INT($J196)),FALSE())),"✖ العدد يجب أن يكون صحيحًا ≥ 0",IF(AND($F196="Baseline",$H196&lt;&gt;""),"⚠ Baseline: Start لا يدخل في التقدم",IF($K196="No Start (attainment only)","ℹ تحصيل فقط (بدون Start)",IF($K196="U – needs rule","ℹ حالة U تحتاج قاعدة معتمدة",IF($K196="No result","ℹ بدون نتيجة (يُستبعد من التحصيل)","OK")))))))))))</f>
        <v/>
      </c>
      <c r="M196" s="64" t="n">
        <f aca="false">IF($A196="",0,IFERROR(MATCH($A196,Classes!$A$6:$A$420,0),0))</f>
        <v>0</v>
      </c>
      <c r="N196" s="64" t="n">
        <f aca="false">IF($H196="",0,IFERROR(MATCH($H196,GradeList,0),0))</f>
        <v>0</v>
      </c>
      <c r="O196" s="64" t="n">
        <f aca="false">IF(OR($I196="",$I196="NR"),0,IFERROR(MATCH($I196,GradeList,0),0))</f>
        <v>0</v>
      </c>
      <c r="P196" s="64" t="n">
        <f aca="false">IF(AND($M196&gt;0,ISNUMBER(MATCH($F196,Lists!$A$2:$A$5,0)),ISNUMBER(MATCH($G196,Lists!$B$2:$B$7,0)),OR($H196="",$N196&gt;0),OR($I196="",$I196="NR",$O196&gt;0),IF(ISNUMBER($J196),AND($J196&gt;=0,$J196=INT($J196)),FALSE())),$J196,0)</f>
        <v>0</v>
      </c>
      <c r="Q196" s="64" t="n">
        <f aca="false">IF(AND($P196&gt;0,$O196&gt;0),$P196,0)</f>
        <v>0</v>
      </c>
      <c r="R196" s="64" t="n">
        <f aca="false">IF(AND($Q196&gt;0,$O196&gt;=AtRank),$Q196,0)</f>
        <v>0</v>
      </c>
      <c r="S196" s="64" t="n">
        <f aca="false">IF(AND($Q196&gt;0,$O196&gt;=AboveRank),$Q196,0)</f>
        <v>0</v>
      </c>
      <c r="T196" s="64" t="n">
        <f aca="false">IF($K196="Less",$P196,0)</f>
        <v>0</v>
      </c>
      <c r="U196" s="64" t="n">
        <f aca="false">IF($K196="Expected",$P196,0)</f>
        <v>0</v>
      </c>
      <c r="V196" s="64" t="n">
        <f aca="false">IF($K196="Better",$P196,0)</f>
        <v>0</v>
      </c>
      <c r="W196" s="64" t="n">
        <f aca="false">IF($K196="U – needs rule",$P196,0)</f>
        <v>0</v>
      </c>
      <c r="X196" s="64" t="n">
        <f aca="false">IF($K196="No Start (attainment only)",$P196,0)</f>
        <v>0</v>
      </c>
    </row>
    <row r="197" customFormat="false" ht="15" hidden="false" customHeight="false" outlineLevel="0" collapsed="false">
      <c r="A197" s="60"/>
      <c r="B197" s="61" t="str">
        <f aca="false">IF($M197=0,"",INDEX(Classes!$E$6:$E$420,$M197))</f>
        <v/>
      </c>
      <c r="C197" s="62" t="str">
        <f aca="false">IF($M197=0,"",INDEX(Classes!$H$6:$H$420,$M197))</f>
        <v/>
      </c>
      <c r="D197" s="61" t="str">
        <f aca="false">IF($M197=0,"",INDEX(Classes!$B$6:$B$420,$M197))</f>
        <v/>
      </c>
      <c r="E197" s="61" t="str">
        <f aca="false">IF($M197=0,"",INDEX(Classes!$C$6:$C$420,$M197))</f>
        <v/>
      </c>
      <c r="F197" s="63"/>
      <c r="G197" s="63"/>
      <c r="H197" s="60"/>
      <c r="I197" s="60"/>
      <c r="J197" s="63"/>
      <c r="K197" s="61" t="str">
        <f aca="false">IF($P197=0,"",IF($F197="Baseline","— Baseline",IF($O197=0,"No result",IF($N197=0,"No Start (attainment only)",IF(OR($N197=1,$O197=1),"U – needs rule",INDEX(MxBody,MATCH($I197,MxCurr,0),MATCH($H197,MxStart,0)))))))</f>
        <v/>
      </c>
      <c r="L197" s="62" t="str">
        <f aca="false">IF(COUNTA($A197,$F197,$G197,$H197,$I197,$J197)=0,"",IF($M197=0,"✖ كود الصف غير موجود",IF(ISNA(MATCH($F197,Lists!$A$2:$A$5,0)),"✖ الفترة غير صحيحة",IF(ISNA(MATCH($G197,Lists!$B$2:$B$7,0)),"✖ المجموعة غير صحيحة",IF(NOT(OR($H197="",$N197&gt;0)),"✖ Start غير صحيح",IF(NOT(OR($I197="",$I197="NR",$O197&gt;0)),"✖ Current غير صحيح",IF(NOT(IF(ISNUMBER($J197),AND($J197&gt;=0,$J197=INT($J197)),FALSE())),"✖ العدد يجب أن يكون صحيحًا ≥ 0",IF(AND($F197="Baseline",$H197&lt;&gt;""),"⚠ Baseline: Start لا يدخل في التقدم",IF($K197="No Start (attainment only)","ℹ تحصيل فقط (بدون Start)",IF($K197="U – needs rule","ℹ حالة U تحتاج قاعدة معتمدة",IF($K197="No result","ℹ بدون نتيجة (يُستبعد من التحصيل)","OK")))))))))))</f>
        <v/>
      </c>
      <c r="M197" s="64" t="n">
        <f aca="false">IF($A197="",0,IFERROR(MATCH($A197,Classes!$A$6:$A$420,0),0))</f>
        <v>0</v>
      </c>
      <c r="N197" s="64" t="n">
        <f aca="false">IF($H197="",0,IFERROR(MATCH($H197,GradeList,0),0))</f>
        <v>0</v>
      </c>
      <c r="O197" s="64" t="n">
        <f aca="false">IF(OR($I197="",$I197="NR"),0,IFERROR(MATCH($I197,GradeList,0),0))</f>
        <v>0</v>
      </c>
      <c r="P197" s="64" t="n">
        <f aca="false">IF(AND($M197&gt;0,ISNUMBER(MATCH($F197,Lists!$A$2:$A$5,0)),ISNUMBER(MATCH($G197,Lists!$B$2:$B$7,0)),OR($H197="",$N197&gt;0),OR($I197="",$I197="NR",$O197&gt;0),IF(ISNUMBER($J197),AND($J197&gt;=0,$J197=INT($J197)),FALSE())),$J197,0)</f>
        <v>0</v>
      </c>
      <c r="Q197" s="64" t="n">
        <f aca="false">IF(AND($P197&gt;0,$O197&gt;0),$P197,0)</f>
        <v>0</v>
      </c>
      <c r="R197" s="64" t="n">
        <f aca="false">IF(AND($Q197&gt;0,$O197&gt;=AtRank),$Q197,0)</f>
        <v>0</v>
      </c>
      <c r="S197" s="64" t="n">
        <f aca="false">IF(AND($Q197&gt;0,$O197&gt;=AboveRank),$Q197,0)</f>
        <v>0</v>
      </c>
      <c r="T197" s="64" t="n">
        <f aca="false">IF($K197="Less",$P197,0)</f>
        <v>0</v>
      </c>
      <c r="U197" s="64" t="n">
        <f aca="false">IF($K197="Expected",$P197,0)</f>
        <v>0</v>
      </c>
      <c r="V197" s="64" t="n">
        <f aca="false">IF($K197="Better",$P197,0)</f>
        <v>0</v>
      </c>
      <c r="W197" s="64" t="n">
        <f aca="false">IF($K197="U – needs rule",$P197,0)</f>
        <v>0</v>
      </c>
      <c r="X197" s="64" t="n">
        <f aca="false">IF($K197="No Start (attainment only)",$P197,0)</f>
        <v>0</v>
      </c>
    </row>
    <row r="198" customFormat="false" ht="15" hidden="false" customHeight="false" outlineLevel="0" collapsed="false">
      <c r="A198" s="60"/>
      <c r="B198" s="61" t="str">
        <f aca="false">IF($M198=0,"",INDEX(Classes!$E$6:$E$420,$M198))</f>
        <v/>
      </c>
      <c r="C198" s="62" t="str">
        <f aca="false">IF($M198=0,"",INDEX(Classes!$H$6:$H$420,$M198))</f>
        <v/>
      </c>
      <c r="D198" s="61" t="str">
        <f aca="false">IF($M198=0,"",INDEX(Classes!$B$6:$B$420,$M198))</f>
        <v/>
      </c>
      <c r="E198" s="61" t="str">
        <f aca="false">IF($M198=0,"",INDEX(Classes!$C$6:$C$420,$M198))</f>
        <v/>
      </c>
      <c r="F198" s="63"/>
      <c r="G198" s="63"/>
      <c r="H198" s="60"/>
      <c r="I198" s="60"/>
      <c r="J198" s="63"/>
      <c r="K198" s="61" t="str">
        <f aca="false">IF($P198=0,"",IF($F198="Baseline","— Baseline",IF($O198=0,"No result",IF($N198=0,"No Start (attainment only)",IF(OR($N198=1,$O198=1),"U – needs rule",INDEX(MxBody,MATCH($I198,MxCurr,0),MATCH($H198,MxStart,0)))))))</f>
        <v/>
      </c>
      <c r="L198" s="62" t="str">
        <f aca="false">IF(COUNTA($A198,$F198,$G198,$H198,$I198,$J198)=0,"",IF($M198=0,"✖ كود الصف غير موجود",IF(ISNA(MATCH($F198,Lists!$A$2:$A$5,0)),"✖ الفترة غير صحيحة",IF(ISNA(MATCH($G198,Lists!$B$2:$B$7,0)),"✖ المجموعة غير صحيحة",IF(NOT(OR($H198="",$N198&gt;0)),"✖ Start غير صحيح",IF(NOT(OR($I198="",$I198="NR",$O198&gt;0)),"✖ Current غير صحيح",IF(NOT(IF(ISNUMBER($J198),AND($J198&gt;=0,$J198=INT($J198)),FALSE())),"✖ العدد يجب أن يكون صحيحًا ≥ 0",IF(AND($F198="Baseline",$H198&lt;&gt;""),"⚠ Baseline: Start لا يدخل في التقدم",IF($K198="No Start (attainment only)","ℹ تحصيل فقط (بدون Start)",IF($K198="U – needs rule","ℹ حالة U تحتاج قاعدة معتمدة",IF($K198="No result","ℹ بدون نتيجة (يُستبعد من التحصيل)","OK")))))))))))</f>
        <v/>
      </c>
      <c r="M198" s="64" t="n">
        <f aca="false">IF($A198="",0,IFERROR(MATCH($A198,Classes!$A$6:$A$420,0),0))</f>
        <v>0</v>
      </c>
      <c r="N198" s="64" t="n">
        <f aca="false">IF($H198="",0,IFERROR(MATCH($H198,GradeList,0),0))</f>
        <v>0</v>
      </c>
      <c r="O198" s="64" t="n">
        <f aca="false">IF(OR($I198="",$I198="NR"),0,IFERROR(MATCH($I198,GradeList,0),0))</f>
        <v>0</v>
      </c>
      <c r="P198" s="64" t="n">
        <f aca="false">IF(AND($M198&gt;0,ISNUMBER(MATCH($F198,Lists!$A$2:$A$5,0)),ISNUMBER(MATCH($G198,Lists!$B$2:$B$7,0)),OR($H198="",$N198&gt;0),OR($I198="",$I198="NR",$O198&gt;0),IF(ISNUMBER($J198),AND($J198&gt;=0,$J198=INT($J198)),FALSE())),$J198,0)</f>
        <v>0</v>
      </c>
      <c r="Q198" s="64" t="n">
        <f aca="false">IF(AND($P198&gt;0,$O198&gt;0),$P198,0)</f>
        <v>0</v>
      </c>
      <c r="R198" s="64" t="n">
        <f aca="false">IF(AND($Q198&gt;0,$O198&gt;=AtRank),$Q198,0)</f>
        <v>0</v>
      </c>
      <c r="S198" s="64" t="n">
        <f aca="false">IF(AND($Q198&gt;0,$O198&gt;=AboveRank),$Q198,0)</f>
        <v>0</v>
      </c>
      <c r="T198" s="64" t="n">
        <f aca="false">IF($K198="Less",$P198,0)</f>
        <v>0</v>
      </c>
      <c r="U198" s="64" t="n">
        <f aca="false">IF($K198="Expected",$P198,0)</f>
        <v>0</v>
      </c>
      <c r="V198" s="64" t="n">
        <f aca="false">IF($K198="Better",$P198,0)</f>
        <v>0</v>
      </c>
      <c r="W198" s="64" t="n">
        <f aca="false">IF($K198="U – needs rule",$P198,0)</f>
        <v>0</v>
      </c>
      <c r="X198" s="64" t="n">
        <f aca="false">IF($K198="No Start (attainment only)",$P198,0)</f>
        <v>0</v>
      </c>
    </row>
    <row r="199" customFormat="false" ht="15" hidden="false" customHeight="false" outlineLevel="0" collapsed="false">
      <c r="A199" s="60"/>
      <c r="B199" s="61" t="str">
        <f aca="false">IF($M199=0,"",INDEX(Classes!$E$6:$E$420,$M199))</f>
        <v/>
      </c>
      <c r="C199" s="62" t="str">
        <f aca="false">IF($M199=0,"",INDEX(Classes!$H$6:$H$420,$M199))</f>
        <v/>
      </c>
      <c r="D199" s="61" t="str">
        <f aca="false">IF($M199=0,"",INDEX(Classes!$B$6:$B$420,$M199))</f>
        <v/>
      </c>
      <c r="E199" s="61" t="str">
        <f aca="false">IF($M199=0,"",INDEX(Classes!$C$6:$C$420,$M199))</f>
        <v/>
      </c>
      <c r="F199" s="63"/>
      <c r="G199" s="63"/>
      <c r="H199" s="60"/>
      <c r="I199" s="60"/>
      <c r="J199" s="63"/>
      <c r="K199" s="61" t="str">
        <f aca="false">IF($P199=0,"",IF($F199="Baseline","— Baseline",IF($O199=0,"No result",IF($N199=0,"No Start (attainment only)",IF(OR($N199=1,$O199=1),"U – needs rule",INDEX(MxBody,MATCH($I199,MxCurr,0),MATCH($H199,MxStart,0)))))))</f>
        <v/>
      </c>
      <c r="L199" s="62" t="str">
        <f aca="false">IF(COUNTA($A199,$F199,$G199,$H199,$I199,$J199)=0,"",IF($M199=0,"✖ كود الصف غير موجود",IF(ISNA(MATCH($F199,Lists!$A$2:$A$5,0)),"✖ الفترة غير صحيحة",IF(ISNA(MATCH($G199,Lists!$B$2:$B$7,0)),"✖ المجموعة غير صحيحة",IF(NOT(OR($H199="",$N199&gt;0)),"✖ Start غير صحيح",IF(NOT(OR($I199="",$I199="NR",$O199&gt;0)),"✖ Current غير صحيح",IF(NOT(IF(ISNUMBER($J199),AND($J199&gt;=0,$J199=INT($J199)),FALSE())),"✖ العدد يجب أن يكون صحيحًا ≥ 0",IF(AND($F199="Baseline",$H199&lt;&gt;""),"⚠ Baseline: Start لا يدخل في التقدم",IF($K199="No Start (attainment only)","ℹ تحصيل فقط (بدون Start)",IF($K199="U – needs rule","ℹ حالة U تحتاج قاعدة معتمدة",IF($K199="No result","ℹ بدون نتيجة (يُستبعد من التحصيل)","OK")))))))))))</f>
        <v/>
      </c>
      <c r="M199" s="64" t="n">
        <f aca="false">IF($A199="",0,IFERROR(MATCH($A199,Classes!$A$6:$A$420,0),0))</f>
        <v>0</v>
      </c>
      <c r="N199" s="64" t="n">
        <f aca="false">IF($H199="",0,IFERROR(MATCH($H199,GradeList,0),0))</f>
        <v>0</v>
      </c>
      <c r="O199" s="64" t="n">
        <f aca="false">IF(OR($I199="",$I199="NR"),0,IFERROR(MATCH($I199,GradeList,0),0))</f>
        <v>0</v>
      </c>
      <c r="P199" s="64" t="n">
        <f aca="false">IF(AND($M199&gt;0,ISNUMBER(MATCH($F199,Lists!$A$2:$A$5,0)),ISNUMBER(MATCH($G199,Lists!$B$2:$B$7,0)),OR($H199="",$N199&gt;0),OR($I199="",$I199="NR",$O199&gt;0),IF(ISNUMBER($J199),AND($J199&gt;=0,$J199=INT($J199)),FALSE())),$J199,0)</f>
        <v>0</v>
      </c>
      <c r="Q199" s="64" t="n">
        <f aca="false">IF(AND($P199&gt;0,$O199&gt;0),$P199,0)</f>
        <v>0</v>
      </c>
      <c r="R199" s="64" t="n">
        <f aca="false">IF(AND($Q199&gt;0,$O199&gt;=AtRank),$Q199,0)</f>
        <v>0</v>
      </c>
      <c r="S199" s="64" t="n">
        <f aca="false">IF(AND($Q199&gt;0,$O199&gt;=AboveRank),$Q199,0)</f>
        <v>0</v>
      </c>
      <c r="T199" s="64" t="n">
        <f aca="false">IF($K199="Less",$P199,0)</f>
        <v>0</v>
      </c>
      <c r="U199" s="64" t="n">
        <f aca="false">IF($K199="Expected",$P199,0)</f>
        <v>0</v>
      </c>
      <c r="V199" s="64" t="n">
        <f aca="false">IF($K199="Better",$P199,0)</f>
        <v>0</v>
      </c>
      <c r="W199" s="64" t="n">
        <f aca="false">IF($K199="U – needs rule",$P199,0)</f>
        <v>0</v>
      </c>
      <c r="X199" s="64" t="n">
        <f aca="false">IF($K199="No Start (attainment only)",$P199,0)</f>
        <v>0</v>
      </c>
    </row>
    <row r="200" customFormat="false" ht="15" hidden="false" customHeight="false" outlineLevel="0" collapsed="false">
      <c r="A200" s="60"/>
      <c r="B200" s="61" t="str">
        <f aca="false">IF($M200=0,"",INDEX(Classes!$E$6:$E$420,$M200))</f>
        <v/>
      </c>
      <c r="C200" s="62" t="str">
        <f aca="false">IF($M200=0,"",INDEX(Classes!$H$6:$H$420,$M200))</f>
        <v/>
      </c>
      <c r="D200" s="61" t="str">
        <f aca="false">IF($M200=0,"",INDEX(Classes!$B$6:$B$420,$M200))</f>
        <v/>
      </c>
      <c r="E200" s="61" t="str">
        <f aca="false">IF($M200=0,"",INDEX(Classes!$C$6:$C$420,$M200))</f>
        <v/>
      </c>
      <c r="F200" s="63"/>
      <c r="G200" s="63"/>
      <c r="H200" s="60"/>
      <c r="I200" s="60"/>
      <c r="J200" s="63"/>
      <c r="K200" s="61" t="str">
        <f aca="false">IF($P200=0,"",IF($F200="Baseline","— Baseline",IF($O200=0,"No result",IF($N200=0,"No Start (attainment only)",IF(OR($N200=1,$O200=1),"U – needs rule",INDEX(MxBody,MATCH($I200,MxCurr,0),MATCH($H200,MxStart,0)))))))</f>
        <v/>
      </c>
      <c r="L200" s="62" t="str">
        <f aca="false">IF(COUNTA($A200,$F200,$G200,$H200,$I200,$J200)=0,"",IF($M200=0,"✖ كود الصف غير موجود",IF(ISNA(MATCH($F200,Lists!$A$2:$A$5,0)),"✖ الفترة غير صحيحة",IF(ISNA(MATCH($G200,Lists!$B$2:$B$7,0)),"✖ المجموعة غير صحيحة",IF(NOT(OR($H200="",$N200&gt;0)),"✖ Start غير صحيح",IF(NOT(OR($I200="",$I200="NR",$O200&gt;0)),"✖ Current غير صحيح",IF(NOT(IF(ISNUMBER($J200),AND($J200&gt;=0,$J200=INT($J200)),FALSE())),"✖ العدد يجب أن يكون صحيحًا ≥ 0",IF(AND($F200="Baseline",$H200&lt;&gt;""),"⚠ Baseline: Start لا يدخل في التقدم",IF($K200="No Start (attainment only)","ℹ تحصيل فقط (بدون Start)",IF($K200="U – needs rule","ℹ حالة U تحتاج قاعدة معتمدة",IF($K200="No result","ℹ بدون نتيجة (يُستبعد من التحصيل)","OK")))))))))))</f>
        <v/>
      </c>
      <c r="M200" s="64" t="n">
        <f aca="false">IF($A200="",0,IFERROR(MATCH($A200,Classes!$A$6:$A$420,0),0))</f>
        <v>0</v>
      </c>
      <c r="N200" s="64" t="n">
        <f aca="false">IF($H200="",0,IFERROR(MATCH($H200,GradeList,0),0))</f>
        <v>0</v>
      </c>
      <c r="O200" s="64" t="n">
        <f aca="false">IF(OR($I200="",$I200="NR"),0,IFERROR(MATCH($I200,GradeList,0),0))</f>
        <v>0</v>
      </c>
      <c r="P200" s="64" t="n">
        <f aca="false">IF(AND($M200&gt;0,ISNUMBER(MATCH($F200,Lists!$A$2:$A$5,0)),ISNUMBER(MATCH($G200,Lists!$B$2:$B$7,0)),OR($H200="",$N200&gt;0),OR($I200="",$I200="NR",$O200&gt;0),IF(ISNUMBER($J200),AND($J200&gt;=0,$J200=INT($J200)),FALSE())),$J200,0)</f>
        <v>0</v>
      </c>
      <c r="Q200" s="64" t="n">
        <f aca="false">IF(AND($P200&gt;0,$O200&gt;0),$P200,0)</f>
        <v>0</v>
      </c>
      <c r="R200" s="64" t="n">
        <f aca="false">IF(AND($Q200&gt;0,$O200&gt;=AtRank),$Q200,0)</f>
        <v>0</v>
      </c>
      <c r="S200" s="64" t="n">
        <f aca="false">IF(AND($Q200&gt;0,$O200&gt;=AboveRank),$Q200,0)</f>
        <v>0</v>
      </c>
      <c r="T200" s="64" t="n">
        <f aca="false">IF($K200="Less",$P200,0)</f>
        <v>0</v>
      </c>
      <c r="U200" s="64" t="n">
        <f aca="false">IF($K200="Expected",$P200,0)</f>
        <v>0</v>
      </c>
      <c r="V200" s="64" t="n">
        <f aca="false">IF($K200="Better",$P200,0)</f>
        <v>0</v>
      </c>
      <c r="W200" s="64" t="n">
        <f aca="false">IF($K200="U – needs rule",$P200,0)</f>
        <v>0</v>
      </c>
      <c r="X200" s="64" t="n">
        <f aca="false">IF($K200="No Start (attainment only)",$P200,0)</f>
        <v>0</v>
      </c>
    </row>
    <row r="201" customFormat="false" ht="15" hidden="false" customHeight="false" outlineLevel="0" collapsed="false">
      <c r="A201" s="60"/>
      <c r="B201" s="61" t="str">
        <f aca="false">IF($M201=0,"",INDEX(Classes!$E$6:$E$420,$M201))</f>
        <v/>
      </c>
      <c r="C201" s="62" t="str">
        <f aca="false">IF($M201=0,"",INDEX(Classes!$H$6:$H$420,$M201))</f>
        <v/>
      </c>
      <c r="D201" s="61" t="str">
        <f aca="false">IF($M201=0,"",INDEX(Classes!$B$6:$B$420,$M201))</f>
        <v/>
      </c>
      <c r="E201" s="61" t="str">
        <f aca="false">IF($M201=0,"",INDEX(Classes!$C$6:$C$420,$M201))</f>
        <v/>
      </c>
      <c r="F201" s="63"/>
      <c r="G201" s="63"/>
      <c r="H201" s="60"/>
      <c r="I201" s="60"/>
      <c r="J201" s="63"/>
      <c r="K201" s="61" t="str">
        <f aca="false">IF($P201=0,"",IF($F201="Baseline","— Baseline",IF($O201=0,"No result",IF($N201=0,"No Start (attainment only)",IF(OR($N201=1,$O201=1),"U – needs rule",INDEX(MxBody,MATCH($I201,MxCurr,0),MATCH($H201,MxStart,0)))))))</f>
        <v/>
      </c>
      <c r="L201" s="62" t="str">
        <f aca="false">IF(COUNTA($A201,$F201,$G201,$H201,$I201,$J201)=0,"",IF($M201=0,"✖ كود الصف غير موجود",IF(ISNA(MATCH($F201,Lists!$A$2:$A$5,0)),"✖ الفترة غير صحيحة",IF(ISNA(MATCH($G201,Lists!$B$2:$B$7,0)),"✖ المجموعة غير صحيحة",IF(NOT(OR($H201="",$N201&gt;0)),"✖ Start غير صحيح",IF(NOT(OR($I201="",$I201="NR",$O201&gt;0)),"✖ Current غير صحيح",IF(NOT(IF(ISNUMBER($J201),AND($J201&gt;=0,$J201=INT($J201)),FALSE())),"✖ العدد يجب أن يكون صحيحًا ≥ 0",IF(AND($F201="Baseline",$H201&lt;&gt;""),"⚠ Baseline: Start لا يدخل في التقدم",IF($K201="No Start (attainment only)","ℹ تحصيل فقط (بدون Start)",IF($K201="U – needs rule","ℹ حالة U تحتاج قاعدة معتمدة",IF($K201="No result","ℹ بدون نتيجة (يُستبعد من التحصيل)","OK")))))))))))</f>
        <v/>
      </c>
      <c r="M201" s="64" t="n">
        <f aca="false">IF($A201="",0,IFERROR(MATCH($A201,Classes!$A$6:$A$420,0),0))</f>
        <v>0</v>
      </c>
      <c r="N201" s="64" t="n">
        <f aca="false">IF($H201="",0,IFERROR(MATCH($H201,GradeList,0),0))</f>
        <v>0</v>
      </c>
      <c r="O201" s="64" t="n">
        <f aca="false">IF(OR($I201="",$I201="NR"),0,IFERROR(MATCH($I201,GradeList,0),0))</f>
        <v>0</v>
      </c>
      <c r="P201" s="64" t="n">
        <f aca="false">IF(AND($M201&gt;0,ISNUMBER(MATCH($F201,Lists!$A$2:$A$5,0)),ISNUMBER(MATCH($G201,Lists!$B$2:$B$7,0)),OR($H201="",$N201&gt;0),OR($I201="",$I201="NR",$O201&gt;0),IF(ISNUMBER($J201),AND($J201&gt;=0,$J201=INT($J201)),FALSE())),$J201,0)</f>
        <v>0</v>
      </c>
      <c r="Q201" s="64" t="n">
        <f aca="false">IF(AND($P201&gt;0,$O201&gt;0),$P201,0)</f>
        <v>0</v>
      </c>
      <c r="R201" s="64" t="n">
        <f aca="false">IF(AND($Q201&gt;0,$O201&gt;=AtRank),$Q201,0)</f>
        <v>0</v>
      </c>
      <c r="S201" s="64" t="n">
        <f aca="false">IF(AND($Q201&gt;0,$O201&gt;=AboveRank),$Q201,0)</f>
        <v>0</v>
      </c>
      <c r="T201" s="64" t="n">
        <f aca="false">IF($K201="Less",$P201,0)</f>
        <v>0</v>
      </c>
      <c r="U201" s="64" t="n">
        <f aca="false">IF($K201="Expected",$P201,0)</f>
        <v>0</v>
      </c>
      <c r="V201" s="64" t="n">
        <f aca="false">IF($K201="Better",$P201,0)</f>
        <v>0</v>
      </c>
      <c r="W201" s="64" t="n">
        <f aca="false">IF($K201="U – needs rule",$P201,0)</f>
        <v>0</v>
      </c>
      <c r="X201" s="64" t="n">
        <f aca="false">IF($K201="No Start (attainment only)",$P201,0)</f>
        <v>0</v>
      </c>
    </row>
    <row r="202" customFormat="false" ht="15" hidden="false" customHeight="false" outlineLevel="0" collapsed="false">
      <c r="A202" s="60"/>
      <c r="B202" s="61" t="str">
        <f aca="false">IF($M202=0,"",INDEX(Classes!$E$6:$E$420,$M202))</f>
        <v/>
      </c>
      <c r="C202" s="62" t="str">
        <f aca="false">IF($M202=0,"",INDEX(Classes!$H$6:$H$420,$M202))</f>
        <v/>
      </c>
      <c r="D202" s="61" t="str">
        <f aca="false">IF($M202=0,"",INDEX(Classes!$B$6:$B$420,$M202))</f>
        <v/>
      </c>
      <c r="E202" s="61" t="str">
        <f aca="false">IF($M202=0,"",INDEX(Classes!$C$6:$C$420,$M202))</f>
        <v/>
      </c>
      <c r="F202" s="63"/>
      <c r="G202" s="63"/>
      <c r="H202" s="60"/>
      <c r="I202" s="60"/>
      <c r="J202" s="63"/>
      <c r="K202" s="61" t="str">
        <f aca="false">IF($P202=0,"",IF($F202="Baseline","— Baseline",IF($O202=0,"No result",IF($N202=0,"No Start (attainment only)",IF(OR($N202=1,$O202=1),"U – needs rule",INDEX(MxBody,MATCH($I202,MxCurr,0),MATCH($H202,MxStart,0)))))))</f>
        <v/>
      </c>
      <c r="L202" s="62" t="str">
        <f aca="false">IF(COUNTA($A202,$F202,$G202,$H202,$I202,$J202)=0,"",IF($M202=0,"✖ كود الصف غير موجود",IF(ISNA(MATCH($F202,Lists!$A$2:$A$5,0)),"✖ الفترة غير صحيحة",IF(ISNA(MATCH($G202,Lists!$B$2:$B$7,0)),"✖ المجموعة غير صحيحة",IF(NOT(OR($H202="",$N202&gt;0)),"✖ Start غير صحيح",IF(NOT(OR($I202="",$I202="NR",$O202&gt;0)),"✖ Current غير صحيح",IF(NOT(IF(ISNUMBER($J202),AND($J202&gt;=0,$J202=INT($J202)),FALSE())),"✖ العدد يجب أن يكون صحيحًا ≥ 0",IF(AND($F202="Baseline",$H202&lt;&gt;""),"⚠ Baseline: Start لا يدخل في التقدم",IF($K202="No Start (attainment only)","ℹ تحصيل فقط (بدون Start)",IF($K202="U – needs rule","ℹ حالة U تحتاج قاعدة معتمدة",IF($K202="No result","ℹ بدون نتيجة (يُستبعد من التحصيل)","OK")))))))))))</f>
        <v/>
      </c>
      <c r="M202" s="64" t="n">
        <f aca="false">IF($A202="",0,IFERROR(MATCH($A202,Classes!$A$6:$A$420,0),0))</f>
        <v>0</v>
      </c>
      <c r="N202" s="64" t="n">
        <f aca="false">IF($H202="",0,IFERROR(MATCH($H202,GradeList,0),0))</f>
        <v>0</v>
      </c>
      <c r="O202" s="64" t="n">
        <f aca="false">IF(OR($I202="",$I202="NR"),0,IFERROR(MATCH($I202,GradeList,0),0))</f>
        <v>0</v>
      </c>
      <c r="P202" s="64" t="n">
        <f aca="false">IF(AND($M202&gt;0,ISNUMBER(MATCH($F202,Lists!$A$2:$A$5,0)),ISNUMBER(MATCH($G202,Lists!$B$2:$B$7,0)),OR($H202="",$N202&gt;0),OR($I202="",$I202="NR",$O202&gt;0),IF(ISNUMBER($J202),AND($J202&gt;=0,$J202=INT($J202)),FALSE())),$J202,0)</f>
        <v>0</v>
      </c>
      <c r="Q202" s="64" t="n">
        <f aca="false">IF(AND($P202&gt;0,$O202&gt;0),$P202,0)</f>
        <v>0</v>
      </c>
      <c r="R202" s="64" t="n">
        <f aca="false">IF(AND($Q202&gt;0,$O202&gt;=AtRank),$Q202,0)</f>
        <v>0</v>
      </c>
      <c r="S202" s="64" t="n">
        <f aca="false">IF(AND($Q202&gt;0,$O202&gt;=AboveRank),$Q202,0)</f>
        <v>0</v>
      </c>
      <c r="T202" s="64" t="n">
        <f aca="false">IF($K202="Less",$P202,0)</f>
        <v>0</v>
      </c>
      <c r="U202" s="64" t="n">
        <f aca="false">IF($K202="Expected",$P202,0)</f>
        <v>0</v>
      </c>
      <c r="V202" s="64" t="n">
        <f aca="false">IF($K202="Better",$P202,0)</f>
        <v>0</v>
      </c>
      <c r="W202" s="64" t="n">
        <f aca="false">IF($K202="U – needs rule",$P202,0)</f>
        <v>0</v>
      </c>
      <c r="X202" s="64" t="n">
        <f aca="false">IF($K202="No Start (attainment only)",$P202,0)</f>
        <v>0</v>
      </c>
    </row>
    <row r="203" customFormat="false" ht="15" hidden="false" customHeight="false" outlineLevel="0" collapsed="false">
      <c r="A203" s="60"/>
      <c r="B203" s="61" t="str">
        <f aca="false">IF($M203=0,"",INDEX(Classes!$E$6:$E$420,$M203))</f>
        <v/>
      </c>
      <c r="C203" s="62" t="str">
        <f aca="false">IF($M203=0,"",INDEX(Classes!$H$6:$H$420,$M203))</f>
        <v/>
      </c>
      <c r="D203" s="61" t="str">
        <f aca="false">IF($M203=0,"",INDEX(Classes!$B$6:$B$420,$M203))</f>
        <v/>
      </c>
      <c r="E203" s="61" t="str">
        <f aca="false">IF($M203=0,"",INDEX(Classes!$C$6:$C$420,$M203))</f>
        <v/>
      </c>
      <c r="F203" s="63"/>
      <c r="G203" s="63"/>
      <c r="H203" s="60"/>
      <c r="I203" s="60"/>
      <c r="J203" s="63"/>
      <c r="K203" s="61" t="str">
        <f aca="false">IF($P203=0,"",IF($F203="Baseline","— Baseline",IF($O203=0,"No result",IF($N203=0,"No Start (attainment only)",IF(OR($N203=1,$O203=1),"U – needs rule",INDEX(MxBody,MATCH($I203,MxCurr,0),MATCH($H203,MxStart,0)))))))</f>
        <v/>
      </c>
      <c r="L203" s="62" t="str">
        <f aca="false">IF(COUNTA($A203,$F203,$G203,$H203,$I203,$J203)=0,"",IF($M203=0,"✖ كود الصف غير موجود",IF(ISNA(MATCH($F203,Lists!$A$2:$A$5,0)),"✖ الفترة غير صحيحة",IF(ISNA(MATCH($G203,Lists!$B$2:$B$7,0)),"✖ المجموعة غير صحيحة",IF(NOT(OR($H203="",$N203&gt;0)),"✖ Start غير صحيح",IF(NOT(OR($I203="",$I203="NR",$O203&gt;0)),"✖ Current غير صحيح",IF(NOT(IF(ISNUMBER($J203),AND($J203&gt;=0,$J203=INT($J203)),FALSE())),"✖ العدد يجب أن يكون صحيحًا ≥ 0",IF(AND($F203="Baseline",$H203&lt;&gt;""),"⚠ Baseline: Start لا يدخل في التقدم",IF($K203="No Start (attainment only)","ℹ تحصيل فقط (بدون Start)",IF($K203="U – needs rule","ℹ حالة U تحتاج قاعدة معتمدة",IF($K203="No result","ℹ بدون نتيجة (يُستبعد من التحصيل)","OK")))))))))))</f>
        <v/>
      </c>
      <c r="M203" s="64" t="n">
        <f aca="false">IF($A203="",0,IFERROR(MATCH($A203,Classes!$A$6:$A$420,0),0))</f>
        <v>0</v>
      </c>
      <c r="N203" s="64" t="n">
        <f aca="false">IF($H203="",0,IFERROR(MATCH($H203,GradeList,0),0))</f>
        <v>0</v>
      </c>
      <c r="O203" s="64" t="n">
        <f aca="false">IF(OR($I203="",$I203="NR"),0,IFERROR(MATCH($I203,GradeList,0),0))</f>
        <v>0</v>
      </c>
      <c r="P203" s="64" t="n">
        <f aca="false">IF(AND($M203&gt;0,ISNUMBER(MATCH($F203,Lists!$A$2:$A$5,0)),ISNUMBER(MATCH($G203,Lists!$B$2:$B$7,0)),OR($H203="",$N203&gt;0),OR($I203="",$I203="NR",$O203&gt;0),IF(ISNUMBER($J203),AND($J203&gt;=0,$J203=INT($J203)),FALSE())),$J203,0)</f>
        <v>0</v>
      </c>
      <c r="Q203" s="64" t="n">
        <f aca="false">IF(AND($P203&gt;0,$O203&gt;0),$P203,0)</f>
        <v>0</v>
      </c>
      <c r="R203" s="64" t="n">
        <f aca="false">IF(AND($Q203&gt;0,$O203&gt;=AtRank),$Q203,0)</f>
        <v>0</v>
      </c>
      <c r="S203" s="64" t="n">
        <f aca="false">IF(AND($Q203&gt;0,$O203&gt;=AboveRank),$Q203,0)</f>
        <v>0</v>
      </c>
      <c r="T203" s="64" t="n">
        <f aca="false">IF($K203="Less",$P203,0)</f>
        <v>0</v>
      </c>
      <c r="U203" s="64" t="n">
        <f aca="false">IF($K203="Expected",$P203,0)</f>
        <v>0</v>
      </c>
      <c r="V203" s="64" t="n">
        <f aca="false">IF($K203="Better",$P203,0)</f>
        <v>0</v>
      </c>
      <c r="W203" s="64" t="n">
        <f aca="false">IF($K203="U – needs rule",$P203,0)</f>
        <v>0</v>
      </c>
      <c r="X203" s="64" t="n">
        <f aca="false">IF($K203="No Start (attainment only)",$P203,0)</f>
        <v>0</v>
      </c>
    </row>
    <row r="204" customFormat="false" ht="15" hidden="false" customHeight="false" outlineLevel="0" collapsed="false">
      <c r="A204" s="60"/>
      <c r="B204" s="61" t="str">
        <f aca="false">IF($M204=0,"",INDEX(Classes!$E$6:$E$420,$M204))</f>
        <v/>
      </c>
      <c r="C204" s="62" t="str">
        <f aca="false">IF($M204=0,"",INDEX(Classes!$H$6:$H$420,$M204))</f>
        <v/>
      </c>
      <c r="D204" s="61" t="str">
        <f aca="false">IF($M204=0,"",INDEX(Classes!$B$6:$B$420,$M204))</f>
        <v/>
      </c>
      <c r="E204" s="61" t="str">
        <f aca="false">IF($M204=0,"",INDEX(Classes!$C$6:$C$420,$M204))</f>
        <v/>
      </c>
      <c r="F204" s="63"/>
      <c r="G204" s="63"/>
      <c r="H204" s="60"/>
      <c r="I204" s="60"/>
      <c r="J204" s="63"/>
      <c r="K204" s="61" t="str">
        <f aca="false">IF($P204=0,"",IF($F204="Baseline","— Baseline",IF($O204=0,"No result",IF($N204=0,"No Start (attainment only)",IF(OR($N204=1,$O204=1),"U – needs rule",INDEX(MxBody,MATCH($I204,MxCurr,0),MATCH($H204,MxStart,0)))))))</f>
        <v/>
      </c>
      <c r="L204" s="62" t="str">
        <f aca="false">IF(COUNTA($A204,$F204,$G204,$H204,$I204,$J204)=0,"",IF($M204=0,"✖ كود الصف غير موجود",IF(ISNA(MATCH($F204,Lists!$A$2:$A$5,0)),"✖ الفترة غير صحيحة",IF(ISNA(MATCH($G204,Lists!$B$2:$B$7,0)),"✖ المجموعة غير صحيحة",IF(NOT(OR($H204="",$N204&gt;0)),"✖ Start غير صحيح",IF(NOT(OR($I204="",$I204="NR",$O204&gt;0)),"✖ Current غير صحيح",IF(NOT(IF(ISNUMBER($J204),AND($J204&gt;=0,$J204=INT($J204)),FALSE())),"✖ العدد يجب أن يكون صحيحًا ≥ 0",IF(AND($F204="Baseline",$H204&lt;&gt;""),"⚠ Baseline: Start لا يدخل في التقدم",IF($K204="No Start (attainment only)","ℹ تحصيل فقط (بدون Start)",IF($K204="U – needs rule","ℹ حالة U تحتاج قاعدة معتمدة",IF($K204="No result","ℹ بدون نتيجة (يُستبعد من التحصيل)","OK")))))))))))</f>
        <v/>
      </c>
      <c r="M204" s="64" t="n">
        <f aca="false">IF($A204="",0,IFERROR(MATCH($A204,Classes!$A$6:$A$420,0),0))</f>
        <v>0</v>
      </c>
      <c r="N204" s="64" t="n">
        <f aca="false">IF($H204="",0,IFERROR(MATCH($H204,GradeList,0),0))</f>
        <v>0</v>
      </c>
      <c r="O204" s="64" t="n">
        <f aca="false">IF(OR($I204="",$I204="NR"),0,IFERROR(MATCH($I204,GradeList,0),0))</f>
        <v>0</v>
      </c>
      <c r="P204" s="64" t="n">
        <f aca="false">IF(AND($M204&gt;0,ISNUMBER(MATCH($F204,Lists!$A$2:$A$5,0)),ISNUMBER(MATCH($G204,Lists!$B$2:$B$7,0)),OR($H204="",$N204&gt;0),OR($I204="",$I204="NR",$O204&gt;0),IF(ISNUMBER($J204),AND($J204&gt;=0,$J204=INT($J204)),FALSE())),$J204,0)</f>
        <v>0</v>
      </c>
      <c r="Q204" s="64" t="n">
        <f aca="false">IF(AND($P204&gt;0,$O204&gt;0),$P204,0)</f>
        <v>0</v>
      </c>
      <c r="R204" s="64" t="n">
        <f aca="false">IF(AND($Q204&gt;0,$O204&gt;=AtRank),$Q204,0)</f>
        <v>0</v>
      </c>
      <c r="S204" s="64" t="n">
        <f aca="false">IF(AND($Q204&gt;0,$O204&gt;=AboveRank),$Q204,0)</f>
        <v>0</v>
      </c>
      <c r="T204" s="64" t="n">
        <f aca="false">IF($K204="Less",$P204,0)</f>
        <v>0</v>
      </c>
      <c r="U204" s="64" t="n">
        <f aca="false">IF($K204="Expected",$P204,0)</f>
        <v>0</v>
      </c>
      <c r="V204" s="64" t="n">
        <f aca="false">IF($K204="Better",$P204,0)</f>
        <v>0</v>
      </c>
      <c r="W204" s="64" t="n">
        <f aca="false">IF($K204="U – needs rule",$P204,0)</f>
        <v>0</v>
      </c>
      <c r="X204" s="64" t="n">
        <f aca="false">IF($K204="No Start (attainment only)",$P204,0)</f>
        <v>0</v>
      </c>
    </row>
    <row r="205" customFormat="false" ht="15" hidden="false" customHeight="false" outlineLevel="0" collapsed="false">
      <c r="A205" s="60"/>
      <c r="B205" s="61" t="str">
        <f aca="false">IF($M205=0,"",INDEX(Classes!$E$6:$E$420,$M205))</f>
        <v/>
      </c>
      <c r="C205" s="62" t="str">
        <f aca="false">IF($M205=0,"",INDEX(Classes!$H$6:$H$420,$M205))</f>
        <v/>
      </c>
      <c r="D205" s="61" t="str">
        <f aca="false">IF($M205=0,"",INDEX(Classes!$B$6:$B$420,$M205))</f>
        <v/>
      </c>
      <c r="E205" s="61" t="str">
        <f aca="false">IF($M205=0,"",INDEX(Classes!$C$6:$C$420,$M205))</f>
        <v/>
      </c>
      <c r="F205" s="63"/>
      <c r="G205" s="63"/>
      <c r="H205" s="60"/>
      <c r="I205" s="60"/>
      <c r="J205" s="63"/>
      <c r="K205" s="61" t="str">
        <f aca="false">IF($P205=0,"",IF($F205="Baseline","— Baseline",IF($O205=0,"No result",IF($N205=0,"No Start (attainment only)",IF(OR($N205=1,$O205=1),"U – needs rule",INDEX(MxBody,MATCH($I205,MxCurr,0),MATCH($H205,MxStart,0)))))))</f>
        <v/>
      </c>
      <c r="L205" s="62" t="str">
        <f aca="false">IF(COUNTA($A205,$F205,$G205,$H205,$I205,$J205)=0,"",IF($M205=0,"✖ كود الصف غير موجود",IF(ISNA(MATCH($F205,Lists!$A$2:$A$5,0)),"✖ الفترة غير صحيحة",IF(ISNA(MATCH($G205,Lists!$B$2:$B$7,0)),"✖ المجموعة غير صحيحة",IF(NOT(OR($H205="",$N205&gt;0)),"✖ Start غير صحيح",IF(NOT(OR($I205="",$I205="NR",$O205&gt;0)),"✖ Current غير صحيح",IF(NOT(IF(ISNUMBER($J205),AND($J205&gt;=0,$J205=INT($J205)),FALSE())),"✖ العدد يجب أن يكون صحيحًا ≥ 0",IF(AND($F205="Baseline",$H205&lt;&gt;""),"⚠ Baseline: Start لا يدخل في التقدم",IF($K205="No Start (attainment only)","ℹ تحصيل فقط (بدون Start)",IF($K205="U – needs rule","ℹ حالة U تحتاج قاعدة معتمدة",IF($K205="No result","ℹ بدون نتيجة (يُستبعد من التحصيل)","OK")))))))))))</f>
        <v/>
      </c>
      <c r="M205" s="64" t="n">
        <f aca="false">IF($A205="",0,IFERROR(MATCH($A205,Classes!$A$6:$A$420,0),0))</f>
        <v>0</v>
      </c>
      <c r="N205" s="64" t="n">
        <f aca="false">IF($H205="",0,IFERROR(MATCH($H205,GradeList,0),0))</f>
        <v>0</v>
      </c>
      <c r="O205" s="64" t="n">
        <f aca="false">IF(OR($I205="",$I205="NR"),0,IFERROR(MATCH($I205,GradeList,0),0))</f>
        <v>0</v>
      </c>
      <c r="P205" s="64" t="n">
        <f aca="false">IF(AND($M205&gt;0,ISNUMBER(MATCH($F205,Lists!$A$2:$A$5,0)),ISNUMBER(MATCH($G205,Lists!$B$2:$B$7,0)),OR($H205="",$N205&gt;0),OR($I205="",$I205="NR",$O205&gt;0),IF(ISNUMBER($J205),AND($J205&gt;=0,$J205=INT($J205)),FALSE())),$J205,0)</f>
        <v>0</v>
      </c>
      <c r="Q205" s="64" t="n">
        <f aca="false">IF(AND($P205&gt;0,$O205&gt;0),$P205,0)</f>
        <v>0</v>
      </c>
      <c r="R205" s="64" t="n">
        <f aca="false">IF(AND($Q205&gt;0,$O205&gt;=AtRank),$Q205,0)</f>
        <v>0</v>
      </c>
      <c r="S205" s="64" t="n">
        <f aca="false">IF(AND($Q205&gt;0,$O205&gt;=AboveRank),$Q205,0)</f>
        <v>0</v>
      </c>
      <c r="T205" s="64" t="n">
        <f aca="false">IF($K205="Less",$P205,0)</f>
        <v>0</v>
      </c>
      <c r="U205" s="64" t="n">
        <f aca="false">IF($K205="Expected",$P205,0)</f>
        <v>0</v>
      </c>
      <c r="V205" s="64" t="n">
        <f aca="false">IF($K205="Better",$P205,0)</f>
        <v>0</v>
      </c>
      <c r="W205" s="64" t="n">
        <f aca="false">IF($K205="U – needs rule",$P205,0)</f>
        <v>0</v>
      </c>
      <c r="X205" s="64" t="n">
        <f aca="false">IF($K205="No Start (attainment only)",$P205,0)</f>
        <v>0</v>
      </c>
    </row>
    <row r="206" customFormat="false" ht="15" hidden="false" customHeight="false" outlineLevel="0" collapsed="false">
      <c r="A206" s="60"/>
      <c r="B206" s="61" t="str">
        <f aca="false">IF($M206=0,"",INDEX(Classes!$E$6:$E$420,$M206))</f>
        <v/>
      </c>
      <c r="C206" s="62" t="str">
        <f aca="false">IF($M206=0,"",INDEX(Classes!$H$6:$H$420,$M206))</f>
        <v/>
      </c>
      <c r="D206" s="61" t="str">
        <f aca="false">IF($M206=0,"",INDEX(Classes!$B$6:$B$420,$M206))</f>
        <v/>
      </c>
      <c r="E206" s="61" t="str">
        <f aca="false">IF($M206=0,"",INDEX(Classes!$C$6:$C$420,$M206))</f>
        <v/>
      </c>
      <c r="F206" s="63"/>
      <c r="G206" s="63"/>
      <c r="H206" s="60"/>
      <c r="I206" s="60"/>
      <c r="J206" s="63"/>
      <c r="K206" s="61" t="str">
        <f aca="false">IF($P206=0,"",IF($F206="Baseline","— Baseline",IF($O206=0,"No result",IF($N206=0,"No Start (attainment only)",IF(OR($N206=1,$O206=1),"U – needs rule",INDEX(MxBody,MATCH($I206,MxCurr,0),MATCH($H206,MxStart,0)))))))</f>
        <v/>
      </c>
      <c r="L206" s="62" t="str">
        <f aca="false">IF(COUNTA($A206,$F206,$G206,$H206,$I206,$J206)=0,"",IF($M206=0,"✖ كود الصف غير موجود",IF(ISNA(MATCH($F206,Lists!$A$2:$A$5,0)),"✖ الفترة غير صحيحة",IF(ISNA(MATCH($G206,Lists!$B$2:$B$7,0)),"✖ المجموعة غير صحيحة",IF(NOT(OR($H206="",$N206&gt;0)),"✖ Start غير صحيح",IF(NOT(OR($I206="",$I206="NR",$O206&gt;0)),"✖ Current غير صحيح",IF(NOT(IF(ISNUMBER($J206),AND($J206&gt;=0,$J206=INT($J206)),FALSE())),"✖ العدد يجب أن يكون صحيحًا ≥ 0",IF(AND($F206="Baseline",$H206&lt;&gt;""),"⚠ Baseline: Start لا يدخل في التقدم",IF($K206="No Start (attainment only)","ℹ تحصيل فقط (بدون Start)",IF($K206="U – needs rule","ℹ حالة U تحتاج قاعدة معتمدة",IF($K206="No result","ℹ بدون نتيجة (يُستبعد من التحصيل)","OK")))))))))))</f>
        <v/>
      </c>
      <c r="M206" s="64" t="n">
        <f aca="false">IF($A206="",0,IFERROR(MATCH($A206,Classes!$A$6:$A$420,0),0))</f>
        <v>0</v>
      </c>
      <c r="N206" s="64" t="n">
        <f aca="false">IF($H206="",0,IFERROR(MATCH($H206,GradeList,0),0))</f>
        <v>0</v>
      </c>
      <c r="O206" s="64" t="n">
        <f aca="false">IF(OR($I206="",$I206="NR"),0,IFERROR(MATCH($I206,GradeList,0),0))</f>
        <v>0</v>
      </c>
      <c r="P206" s="64" t="n">
        <f aca="false">IF(AND($M206&gt;0,ISNUMBER(MATCH($F206,Lists!$A$2:$A$5,0)),ISNUMBER(MATCH($G206,Lists!$B$2:$B$7,0)),OR($H206="",$N206&gt;0),OR($I206="",$I206="NR",$O206&gt;0),IF(ISNUMBER($J206),AND($J206&gt;=0,$J206=INT($J206)),FALSE())),$J206,0)</f>
        <v>0</v>
      </c>
      <c r="Q206" s="64" t="n">
        <f aca="false">IF(AND($P206&gt;0,$O206&gt;0),$P206,0)</f>
        <v>0</v>
      </c>
      <c r="R206" s="64" t="n">
        <f aca="false">IF(AND($Q206&gt;0,$O206&gt;=AtRank),$Q206,0)</f>
        <v>0</v>
      </c>
      <c r="S206" s="64" t="n">
        <f aca="false">IF(AND($Q206&gt;0,$O206&gt;=AboveRank),$Q206,0)</f>
        <v>0</v>
      </c>
      <c r="T206" s="64" t="n">
        <f aca="false">IF($K206="Less",$P206,0)</f>
        <v>0</v>
      </c>
      <c r="U206" s="64" t="n">
        <f aca="false">IF($K206="Expected",$P206,0)</f>
        <v>0</v>
      </c>
      <c r="V206" s="64" t="n">
        <f aca="false">IF($K206="Better",$P206,0)</f>
        <v>0</v>
      </c>
      <c r="W206" s="64" t="n">
        <f aca="false">IF($K206="U – needs rule",$P206,0)</f>
        <v>0</v>
      </c>
      <c r="X206" s="64" t="n">
        <f aca="false">IF($K206="No Start (attainment only)",$P206,0)</f>
        <v>0</v>
      </c>
    </row>
    <row r="207" customFormat="false" ht="15" hidden="false" customHeight="false" outlineLevel="0" collapsed="false">
      <c r="A207" s="60"/>
      <c r="B207" s="61" t="str">
        <f aca="false">IF($M207=0,"",INDEX(Classes!$E$6:$E$420,$M207))</f>
        <v/>
      </c>
      <c r="C207" s="62" t="str">
        <f aca="false">IF($M207=0,"",INDEX(Classes!$H$6:$H$420,$M207))</f>
        <v/>
      </c>
      <c r="D207" s="61" t="str">
        <f aca="false">IF($M207=0,"",INDEX(Classes!$B$6:$B$420,$M207))</f>
        <v/>
      </c>
      <c r="E207" s="61" t="str">
        <f aca="false">IF($M207=0,"",INDEX(Classes!$C$6:$C$420,$M207))</f>
        <v/>
      </c>
      <c r="F207" s="63"/>
      <c r="G207" s="63"/>
      <c r="H207" s="60"/>
      <c r="I207" s="60"/>
      <c r="J207" s="63"/>
      <c r="K207" s="61" t="str">
        <f aca="false">IF($P207=0,"",IF($F207="Baseline","— Baseline",IF($O207=0,"No result",IF($N207=0,"No Start (attainment only)",IF(OR($N207=1,$O207=1),"U – needs rule",INDEX(MxBody,MATCH($I207,MxCurr,0),MATCH($H207,MxStart,0)))))))</f>
        <v/>
      </c>
      <c r="L207" s="62" t="str">
        <f aca="false">IF(COUNTA($A207,$F207,$G207,$H207,$I207,$J207)=0,"",IF($M207=0,"✖ كود الصف غير موجود",IF(ISNA(MATCH($F207,Lists!$A$2:$A$5,0)),"✖ الفترة غير صحيحة",IF(ISNA(MATCH($G207,Lists!$B$2:$B$7,0)),"✖ المجموعة غير صحيحة",IF(NOT(OR($H207="",$N207&gt;0)),"✖ Start غير صحيح",IF(NOT(OR($I207="",$I207="NR",$O207&gt;0)),"✖ Current غير صحيح",IF(NOT(IF(ISNUMBER($J207),AND($J207&gt;=0,$J207=INT($J207)),FALSE())),"✖ العدد يجب أن يكون صحيحًا ≥ 0",IF(AND($F207="Baseline",$H207&lt;&gt;""),"⚠ Baseline: Start لا يدخل في التقدم",IF($K207="No Start (attainment only)","ℹ تحصيل فقط (بدون Start)",IF($K207="U – needs rule","ℹ حالة U تحتاج قاعدة معتمدة",IF($K207="No result","ℹ بدون نتيجة (يُستبعد من التحصيل)","OK")))))))))))</f>
        <v/>
      </c>
      <c r="M207" s="64" t="n">
        <f aca="false">IF($A207="",0,IFERROR(MATCH($A207,Classes!$A$6:$A$420,0),0))</f>
        <v>0</v>
      </c>
      <c r="N207" s="64" t="n">
        <f aca="false">IF($H207="",0,IFERROR(MATCH($H207,GradeList,0),0))</f>
        <v>0</v>
      </c>
      <c r="O207" s="64" t="n">
        <f aca="false">IF(OR($I207="",$I207="NR"),0,IFERROR(MATCH($I207,GradeList,0),0))</f>
        <v>0</v>
      </c>
      <c r="P207" s="64" t="n">
        <f aca="false">IF(AND($M207&gt;0,ISNUMBER(MATCH($F207,Lists!$A$2:$A$5,0)),ISNUMBER(MATCH($G207,Lists!$B$2:$B$7,0)),OR($H207="",$N207&gt;0),OR($I207="",$I207="NR",$O207&gt;0),IF(ISNUMBER($J207),AND($J207&gt;=0,$J207=INT($J207)),FALSE())),$J207,0)</f>
        <v>0</v>
      </c>
      <c r="Q207" s="64" t="n">
        <f aca="false">IF(AND($P207&gt;0,$O207&gt;0),$P207,0)</f>
        <v>0</v>
      </c>
      <c r="R207" s="64" t="n">
        <f aca="false">IF(AND($Q207&gt;0,$O207&gt;=AtRank),$Q207,0)</f>
        <v>0</v>
      </c>
      <c r="S207" s="64" t="n">
        <f aca="false">IF(AND($Q207&gt;0,$O207&gt;=AboveRank),$Q207,0)</f>
        <v>0</v>
      </c>
      <c r="T207" s="64" t="n">
        <f aca="false">IF($K207="Less",$P207,0)</f>
        <v>0</v>
      </c>
      <c r="U207" s="64" t="n">
        <f aca="false">IF($K207="Expected",$P207,0)</f>
        <v>0</v>
      </c>
      <c r="V207" s="64" t="n">
        <f aca="false">IF($K207="Better",$P207,0)</f>
        <v>0</v>
      </c>
      <c r="W207" s="64" t="n">
        <f aca="false">IF($K207="U – needs rule",$P207,0)</f>
        <v>0</v>
      </c>
      <c r="X207" s="64" t="n">
        <f aca="false">IF($K207="No Start (attainment only)",$P207,0)</f>
        <v>0</v>
      </c>
    </row>
    <row r="208" customFormat="false" ht="15" hidden="false" customHeight="false" outlineLevel="0" collapsed="false">
      <c r="A208" s="60"/>
      <c r="B208" s="61" t="str">
        <f aca="false">IF($M208=0,"",INDEX(Classes!$E$6:$E$420,$M208))</f>
        <v/>
      </c>
      <c r="C208" s="62" t="str">
        <f aca="false">IF($M208=0,"",INDEX(Classes!$H$6:$H$420,$M208))</f>
        <v/>
      </c>
      <c r="D208" s="61" t="str">
        <f aca="false">IF($M208=0,"",INDEX(Classes!$B$6:$B$420,$M208))</f>
        <v/>
      </c>
      <c r="E208" s="61" t="str">
        <f aca="false">IF($M208=0,"",INDEX(Classes!$C$6:$C$420,$M208))</f>
        <v/>
      </c>
      <c r="F208" s="63"/>
      <c r="G208" s="63"/>
      <c r="H208" s="60"/>
      <c r="I208" s="60"/>
      <c r="J208" s="63"/>
      <c r="K208" s="61" t="str">
        <f aca="false">IF($P208=0,"",IF($F208="Baseline","— Baseline",IF($O208=0,"No result",IF($N208=0,"No Start (attainment only)",IF(OR($N208=1,$O208=1),"U – needs rule",INDEX(MxBody,MATCH($I208,MxCurr,0),MATCH($H208,MxStart,0)))))))</f>
        <v/>
      </c>
      <c r="L208" s="62" t="str">
        <f aca="false">IF(COUNTA($A208,$F208,$G208,$H208,$I208,$J208)=0,"",IF($M208=0,"✖ كود الصف غير موجود",IF(ISNA(MATCH($F208,Lists!$A$2:$A$5,0)),"✖ الفترة غير صحيحة",IF(ISNA(MATCH($G208,Lists!$B$2:$B$7,0)),"✖ المجموعة غير صحيحة",IF(NOT(OR($H208="",$N208&gt;0)),"✖ Start غير صحيح",IF(NOT(OR($I208="",$I208="NR",$O208&gt;0)),"✖ Current غير صحيح",IF(NOT(IF(ISNUMBER($J208),AND($J208&gt;=0,$J208=INT($J208)),FALSE())),"✖ العدد يجب أن يكون صحيحًا ≥ 0",IF(AND($F208="Baseline",$H208&lt;&gt;""),"⚠ Baseline: Start لا يدخل في التقدم",IF($K208="No Start (attainment only)","ℹ تحصيل فقط (بدون Start)",IF($K208="U – needs rule","ℹ حالة U تحتاج قاعدة معتمدة",IF($K208="No result","ℹ بدون نتيجة (يُستبعد من التحصيل)","OK")))))))))))</f>
        <v/>
      </c>
      <c r="M208" s="64" t="n">
        <f aca="false">IF($A208="",0,IFERROR(MATCH($A208,Classes!$A$6:$A$420,0),0))</f>
        <v>0</v>
      </c>
      <c r="N208" s="64" t="n">
        <f aca="false">IF($H208="",0,IFERROR(MATCH($H208,GradeList,0),0))</f>
        <v>0</v>
      </c>
      <c r="O208" s="64" t="n">
        <f aca="false">IF(OR($I208="",$I208="NR"),0,IFERROR(MATCH($I208,GradeList,0),0))</f>
        <v>0</v>
      </c>
      <c r="P208" s="64" t="n">
        <f aca="false">IF(AND($M208&gt;0,ISNUMBER(MATCH($F208,Lists!$A$2:$A$5,0)),ISNUMBER(MATCH($G208,Lists!$B$2:$B$7,0)),OR($H208="",$N208&gt;0),OR($I208="",$I208="NR",$O208&gt;0),IF(ISNUMBER($J208),AND($J208&gt;=0,$J208=INT($J208)),FALSE())),$J208,0)</f>
        <v>0</v>
      </c>
      <c r="Q208" s="64" t="n">
        <f aca="false">IF(AND($P208&gt;0,$O208&gt;0),$P208,0)</f>
        <v>0</v>
      </c>
      <c r="R208" s="64" t="n">
        <f aca="false">IF(AND($Q208&gt;0,$O208&gt;=AtRank),$Q208,0)</f>
        <v>0</v>
      </c>
      <c r="S208" s="64" t="n">
        <f aca="false">IF(AND($Q208&gt;0,$O208&gt;=AboveRank),$Q208,0)</f>
        <v>0</v>
      </c>
      <c r="T208" s="64" t="n">
        <f aca="false">IF($K208="Less",$P208,0)</f>
        <v>0</v>
      </c>
      <c r="U208" s="64" t="n">
        <f aca="false">IF($K208="Expected",$P208,0)</f>
        <v>0</v>
      </c>
      <c r="V208" s="64" t="n">
        <f aca="false">IF($K208="Better",$P208,0)</f>
        <v>0</v>
      </c>
      <c r="W208" s="64" t="n">
        <f aca="false">IF($K208="U – needs rule",$P208,0)</f>
        <v>0</v>
      </c>
      <c r="X208" s="64" t="n">
        <f aca="false">IF($K208="No Start (attainment only)",$P208,0)</f>
        <v>0</v>
      </c>
    </row>
    <row r="209" customFormat="false" ht="15" hidden="false" customHeight="false" outlineLevel="0" collapsed="false">
      <c r="A209" s="60"/>
      <c r="B209" s="61" t="str">
        <f aca="false">IF($M209=0,"",INDEX(Classes!$E$6:$E$420,$M209))</f>
        <v/>
      </c>
      <c r="C209" s="62" t="str">
        <f aca="false">IF($M209=0,"",INDEX(Classes!$H$6:$H$420,$M209))</f>
        <v/>
      </c>
      <c r="D209" s="61" t="str">
        <f aca="false">IF($M209=0,"",INDEX(Classes!$B$6:$B$420,$M209))</f>
        <v/>
      </c>
      <c r="E209" s="61" t="str">
        <f aca="false">IF($M209=0,"",INDEX(Classes!$C$6:$C$420,$M209))</f>
        <v/>
      </c>
      <c r="F209" s="63"/>
      <c r="G209" s="63"/>
      <c r="H209" s="60"/>
      <c r="I209" s="60"/>
      <c r="J209" s="63"/>
      <c r="K209" s="61" t="str">
        <f aca="false">IF($P209=0,"",IF($F209="Baseline","— Baseline",IF($O209=0,"No result",IF($N209=0,"No Start (attainment only)",IF(OR($N209=1,$O209=1),"U – needs rule",INDEX(MxBody,MATCH($I209,MxCurr,0),MATCH($H209,MxStart,0)))))))</f>
        <v/>
      </c>
      <c r="L209" s="62" t="str">
        <f aca="false">IF(COUNTA($A209,$F209,$G209,$H209,$I209,$J209)=0,"",IF($M209=0,"✖ كود الصف غير موجود",IF(ISNA(MATCH($F209,Lists!$A$2:$A$5,0)),"✖ الفترة غير صحيحة",IF(ISNA(MATCH($G209,Lists!$B$2:$B$7,0)),"✖ المجموعة غير صحيحة",IF(NOT(OR($H209="",$N209&gt;0)),"✖ Start غير صحيح",IF(NOT(OR($I209="",$I209="NR",$O209&gt;0)),"✖ Current غير صحيح",IF(NOT(IF(ISNUMBER($J209),AND($J209&gt;=0,$J209=INT($J209)),FALSE())),"✖ العدد يجب أن يكون صحيحًا ≥ 0",IF(AND($F209="Baseline",$H209&lt;&gt;""),"⚠ Baseline: Start لا يدخل في التقدم",IF($K209="No Start (attainment only)","ℹ تحصيل فقط (بدون Start)",IF($K209="U – needs rule","ℹ حالة U تحتاج قاعدة معتمدة",IF($K209="No result","ℹ بدون نتيجة (يُستبعد من التحصيل)","OK")))))))))))</f>
        <v/>
      </c>
      <c r="M209" s="64" t="n">
        <f aca="false">IF($A209="",0,IFERROR(MATCH($A209,Classes!$A$6:$A$420,0),0))</f>
        <v>0</v>
      </c>
      <c r="N209" s="64" t="n">
        <f aca="false">IF($H209="",0,IFERROR(MATCH($H209,GradeList,0),0))</f>
        <v>0</v>
      </c>
      <c r="O209" s="64" t="n">
        <f aca="false">IF(OR($I209="",$I209="NR"),0,IFERROR(MATCH($I209,GradeList,0),0))</f>
        <v>0</v>
      </c>
      <c r="P209" s="64" t="n">
        <f aca="false">IF(AND($M209&gt;0,ISNUMBER(MATCH($F209,Lists!$A$2:$A$5,0)),ISNUMBER(MATCH($G209,Lists!$B$2:$B$7,0)),OR($H209="",$N209&gt;0),OR($I209="",$I209="NR",$O209&gt;0),IF(ISNUMBER($J209),AND($J209&gt;=0,$J209=INT($J209)),FALSE())),$J209,0)</f>
        <v>0</v>
      </c>
      <c r="Q209" s="64" t="n">
        <f aca="false">IF(AND($P209&gt;0,$O209&gt;0),$P209,0)</f>
        <v>0</v>
      </c>
      <c r="R209" s="64" t="n">
        <f aca="false">IF(AND($Q209&gt;0,$O209&gt;=AtRank),$Q209,0)</f>
        <v>0</v>
      </c>
      <c r="S209" s="64" t="n">
        <f aca="false">IF(AND($Q209&gt;0,$O209&gt;=AboveRank),$Q209,0)</f>
        <v>0</v>
      </c>
      <c r="T209" s="64" t="n">
        <f aca="false">IF($K209="Less",$P209,0)</f>
        <v>0</v>
      </c>
      <c r="U209" s="64" t="n">
        <f aca="false">IF($K209="Expected",$P209,0)</f>
        <v>0</v>
      </c>
      <c r="V209" s="64" t="n">
        <f aca="false">IF($K209="Better",$P209,0)</f>
        <v>0</v>
      </c>
      <c r="W209" s="64" t="n">
        <f aca="false">IF($K209="U – needs rule",$P209,0)</f>
        <v>0</v>
      </c>
      <c r="X209" s="64" t="n">
        <f aca="false">IF($K209="No Start (attainment only)",$P209,0)</f>
        <v>0</v>
      </c>
    </row>
    <row r="210" customFormat="false" ht="15" hidden="false" customHeight="false" outlineLevel="0" collapsed="false">
      <c r="A210" s="60"/>
      <c r="B210" s="61" t="str">
        <f aca="false">IF($M210=0,"",INDEX(Classes!$E$6:$E$420,$M210))</f>
        <v/>
      </c>
      <c r="C210" s="62" t="str">
        <f aca="false">IF($M210=0,"",INDEX(Classes!$H$6:$H$420,$M210))</f>
        <v/>
      </c>
      <c r="D210" s="61" t="str">
        <f aca="false">IF($M210=0,"",INDEX(Classes!$B$6:$B$420,$M210))</f>
        <v/>
      </c>
      <c r="E210" s="61" t="str">
        <f aca="false">IF($M210=0,"",INDEX(Classes!$C$6:$C$420,$M210))</f>
        <v/>
      </c>
      <c r="F210" s="63"/>
      <c r="G210" s="63"/>
      <c r="H210" s="60"/>
      <c r="I210" s="60"/>
      <c r="J210" s="63"/>
      <c r="K210" s="61" t="str">
        <f aca="false">IF($P210=0,"",IF($F210="Baseline","— Baseline",IF($O210=0,"No result",IF($N210=0,"No Start (attainment only)",IF(OR($N210=1,$O210=1),"U – needs rule",INDEX(MxBody,MATCH($I210,MxCurr,0),MATCH($H210,MxStart,0)))))))</f>
        <v/>
      </c>
      <c r="L210" s="62" t="str">
        <f aca="false">IF(COUNTA($A210,$F210,$G210,$H210,$I210,$J210)=0,"",IF($M210=0,"✖ كود الصف غير موجود",IF(ISNA(MATCH($F210,Lists!$A$2:$A$5,0)),"✖ الفترة غير صحيحة",IF(ISNA(MATCH($G210,Lists!$B$2:$B$7,0)),"✖ المجموعة غير صحيحة",IF(NOT(OR($H210="",$N210&gt;0)),"✖ Start غير صحيح",IF(NOT(OR($I210="",$I210="NR",$O210&gt;0)),"✖ Current غير صحيح",IF(NOT(IF(ISNUMBER($J210),AND($J210&gt;=0,$J210=INT($J210)),FALSE())),"✖ العدد يجب أن يكون صحيحًا ≥ 0",IF(AND($F210="Baseline",$H210&lt;&gt;""),"⚠ Baseline: Start لا يدخل في التقدم",IF($K210="No Start (attainment only)","ℹ تحصيل فقط (بدون Start)",IF($K210="U – needs rule","ℹ حالة U تحتاج قاعدة معتمدة",IF($K210="No result","ℹ بدون نتيجة (يُستبعد من التحصيل)","OK")))))))))))</f>
        <v/>
      </c>
      <c r="M210" s="64" t="n">
        <f aca="false">IF($A210="",0,IFERROR(MATCH($A210,Classes!$A$6:$A$420,0),0))</f>
        <v>0</v>
      </c>
      <c r="N210" s="64" t="n">
        <f aca="false">IF($H210="",0,IFERROR(MATCH($H210,GradeList,0),0))</f>
        <v>0</v>
      </c>
      <c r="O210" s="64" t="n">
        <f aca="false">IF(OR($I210="",$I210="NR"),0,IFERROR(MATCH($I210,GradeList,0),0))</f>
        <v>0</v>
      </c>
      <c r="P210" s="64" t="n">
        <f aca="false">IF(AND($M210&gt;0,ISNUMBER(MATCH($F210,Lists!$A$2:$A$5,0)),ISNUMBER(MATCH($G210,Lists!$B$2:$B$7,0)),OR($H210="",$N210&gt;0),OR($I210="",$I210="NR",$O210&gt;0),IF(ISNUMBER($J210),AND($J210&gt;=0,$J210=INT($J210)),FALSE())),$J210,0)</f>
        <v>0</v>
      </c>
      <c r="Q210" s="64" t="n">
        <f aca="false">IF(AND($P210&gt;0,$O210&gt;0),$P210,0)</f>
        <v>0</v>
      </c>
      <c r="R210" s="64" t="n">
        <f aca="false">IF(AND($Q210&gt;0,$O210&gt;=AtRank),$Q210,0)</f>
        <v>0</v>
      </c>
      <c r="S210" s="64" t="n">
        <f aca="false">IF(AND($Q210&gt;0,$O210&gt;=AboveRank),$Q210,0)</f>
        <v>0</v>
      </c>
      <c r="T210" s="64" t="n">
        <f aca="false">IF($K210="Less",$P210,0)</f>
        <v>0</v>
      </c>
      <c r="U210" s="64" t="n">
        <f aca="false">IF($K210="Expected",$P210,0)</f>
        <v>0</v>
      </c>
      <c r="V210" s="64" t="n">
        <f aca="false">IF($K210="Better",$P210,0)</f>
        <v>0</v>
      </c>
      <c r="W210" s="64" t="n">
        <f aca="false">IF($K210="U – needs rule",$P210,0)</f>
        <v>0</v>
      </c>
      <c r="X210" s="64" t="n">
        <f aca="false">IF($K210="No Start (attainment only)",$P210,0)</f>
        <v>0</v>
      </c>
    </row>
    <row r="211" customFormat="false" ht="15" hidden="false" customHeight="false" outlineLevel="0" collapsed="false">
      <c r="A211" s="60"/>
      <c r="B211" s="61" t="str">
        <f aca="false">IF($M211=0,"",INDEX(Classes!$E$6:$E$420,$M211))</f>
        <v/>
      </c>
      <c r="C211" s="62" t="str">
        <f aca="false">IF($M211=0,"",INDEX(Classes!$H$6:$H$420,$M211))</f>
        <v/>
      </c>
      <c r="D211" s="61" t="str">
        <f aca="false">IF($M211=0,"",INDEX(Classes!$B$6:$B$420,$M211))</f>
        <v/>
      </c>
      <c r="E211" s="61" t="str">
        <f aca="false">IF($M211=0,"",INDEX(Classes!$C$6:$C$420,$M211))</f>
        <v/>
      </c>
      <c r="F211" s="63"/>
      <c r="G211" s="63"/>
      <c r="H211" s="60"/>
      <c r="I211" s="60"/>
      <c r="J211" s="63"/>
      <c r="K211" s="61" t="str">
        <f aca="false">IF($P211=0,"",IF($F211="Baseline","— Baseline",IF($O211=0,"No result",IF($N211=0,"No Start (attainment only)",IF(OR($N211=1,$O211=1),"U – needs rule",INDEX(MxBody,MATCH($I211,MxCurr,0),MATCH($H211,MxStart,0)))))))</f>
        <v/>
      </c>
      <c r="L211" s="62" t="str">
        <f aca="false">IF(COUNTA($A211,$F211,$G211,$H211,$I211,$J211)=0,"",IF($M211=0,"✖ كود الصف غير موجود",IF(ISNA(MATCH($F211,Lists!$A$2:$A$5,0)),"✖ الفترة غير صحيحة",IF(ISNA(MATCH($G211,Lists!$B$2:$B$7,0)),"✖ المجموعة غير صحيحة",IF(NOT(OR($H211="",$N211&gt;0)),"✖ Start غير صحيح",IF(NOT(OR($I211="",$I211="NR",$O211&gt;0)),"✖ Current غير صحيح",IF(NOT(IF(ISNUMBER($J211),AND($J211&gt;=0,$J211=INT($J211)),FALSE())),"✖ العدد يجب أن يكون صحيحًا ≥ 0",IF(AND($F211="Baseline",$H211&lt;&gt;""),"⚠ Baseline: Start لا يدخل في التقدم",IF($K211="No Start (attainment only)","ℹ تحصيل فقط (بدون Start)",IF($K211="U – needs rule","ℹ حالة U تحتاج قاعدة معتمدة",IF($K211="No result","ℹ بدون نتيجة (يُستبعد من التحصيل)","OK")))))))))))</f>
        <v/>
      </c>
      <c r="M211" s="64" t="n">
        <f aca="false">IF($A211="",0,IFERROR(MATCH($A211,Classes!$A$6:$A$420,0),0))</f>
        <v>0</v>
      </c>
      <c r="N211" s="64" t="n">
        <f aca="false">IF($H211="",0,IFERROR(MATCH($H211,GradeList,0),0))</f>
        <v>0</v>
      </c>
      <c r="O211" s="64" t="n">
        <f aca="false">IF(OR($I211="",$I211="NR"),0,IFERROR(MATCH($I211,GradeList,0),0))</f>
        <v>0</v>
      </c>
      <c r="P211" s="64" t="n">
        <f aca="false">IF(AND($M211&gt;0,ISNUMBER(MATCH($F211,Lists!$A$2:$A$5,0)),ISNUMBER(MATCH($G211,Lists!$B$2:$B$7,0)),OR($H211="",$N211&gt;0),OR($I211="",$I211="NR",$O211&gt;0),IF(ISNUMBER($J211),AND($J211&gt;=0,$J211=INT($J211)),FALSE())),$J211,0)</f>
        <v>0</v>
      </c>
      <c r="Q211" s="64" t="n">
        <f aca="false">IF(AND($P211&gt;0,$O211&gt;0),$P211,0)</f>
        <v>0</v>
      </c>
      <c r="R211" s="64" t="n">
        <f aca="false">IF(AND($Q211&gt;0,$O211&gt;=AtRank),$Q211,0)</f>
        <v>0</v>
      </c>
      <c r="S211" s="64" t="n">
        <f aca="false">IF(AND($Q211&gt;0,$O211&gt;=AboveRank),$Q211,0)</f>
        <v>0</v>
      </c>
      <c r="T211" s="64" t="n">
        <f aca="false">IF($K211="Less",$P211,0)</f>
        <v>0</v>
      </c>
      <c r="U211" s="64" t="n">
        <f aca="false">IF($K211="Expected",$P211,0)</f>
        <v>0</v>
      </c>
      <c r="V211" s="64" t="n">
        <f aca="false">IF($K211="Better",$P211,0)</f>
        <v>0</v>
      </c>
      <c r="W211" s="64" t="n">
        <f aca="false">IF($K211="U – needs rule",$P211,0)</f>
        <v>0</v>
      </c>
      <c r="X211" s="64" t="n">
        <f aca="false">IF($K211="No Start (attainment only)",$P211,0)</f>
        <v>0</v>
      </c>
    </row>
    <row r="212" customFormat="false" ht="15" hidden="false" customHeight="false" outlineLevel="0" collapsed="false">
      <c r="A212" s="60"/>
      <c r="B212" s="61" t="str">
        <f aca="false">IF($M212=0,"",INDEX(Classes!$E$6:$E$420,$M212))</f>
        <v/>
      </c>
      <c r="C212" s="62" t="str">
        <f aca="false">IF($M212=0,"",INDEX(Classes!$H$6:$H$420,$M212))</f>
        <v/>
      </c>
      <c r="D212" s="61" t="str">
        <f aca="false">IF($M212=0,"",INDEX(Classes!$B$6:$B$420,$M212))</f>
        <v/>
      </c>
      <c r="E212" s="61" t="str">
        <f aca="false">IF($M212=0,"",INDEX(Classes!$C$6:$C$420,$M212))</f>
        <v/>
      </c>
      <c r="F212" s="63"/>
      <c r="G212" s="63"/>
      <c r="H212" s="60"/>
      <c r="I212" s="60"/>
      <c r="J212" s="63"/>
      <c r="K212" s="61" t="str">
        <f aca="false">IF($P212=0,"",IF($F212="Baseline","— Baseline",IF($O212=0,"No result",IF($N212=0,"No Start (attainment only)",IF(OR($N212=1,$O212=1),"U – needs rule",INDEX(MxBody,MATCH($I212,MxCurr,0),MATCH($H212,MxStart,0)))))))</f>
        <v/>
      </c>
      <c r="L212" s="62" t="str">
        <f aca="false">IF(COUNTA($A212,$F212,$G212,$H212,$I212,$J212)=0,"",IF($M212=0,"✖ كود الصف غير موجود",IF(ISNA(MATCH($F212,Lists!$A$2:$A$5,0)),"✖ الفترة غير صحيحة",IF(ISNA(MATCH($G212,Lists!$B$2:$B$7,0)),"✖ المجموعة غير صحيحة",IF(NOT(OR($H212="",$N212&gt;0)),"✖ Start غير صحيح",IF(NOT(OR($I212="",$I212="NR",$O212&gt;0)),"✖ Current غير صحيح",IF(NOT(IF(ISNUMBER($J212),AND($J212&gt;=0,$J212=INT($J212)),FALSE())),"✖ العدد يجب أن يكون صحيحًا ≥ 0",IF(AND($F212="Baseline",$H212&lt;&gt;""),"⚠ Baseline: Start لا يدخل في التقدم",IF($K212="No Start (attainment only)","ℹ تحصيل فقط (بدون Start)",IF($K212="U – needs rule","ℹ حالة U تحتاج قاعدة معتمدة",IF($K212="No result","ℹ بدون نتيجة (يُستبعد من التحصيل)","OK")))))))))))</f>
        <v/>
      </c>
      <c r="M212" s="64" t="n">
        <f aca="false">IF($A212="",0,IFERROR(MATCH($A212,Classes!$A$6:$A$420,0),0))</f>
        <v>0</v>
      </c>
      <c r="N212" s="64" t="n">
        <f aca="false">IF($H212="",0,IFERROR(MATCH($H212,GradeList,0),0))</f>
        <v>0</v>
      </c>
      <c r="O212" s="64" t="n">
        <f aca="false">IF(OR($I212="",$I212="NR"),0,IFERROR(MATCH($I212,GradeList,0),0))</f>
        <v>0</v>
      </c>
      <c r="P212" s="64" t="n">
        <f aca="false">IF(AND($M212&gt;0,ISNUMBER(MATCH($F212,Lists!$A$2:$A$5,0)),ISNUMBER(MATCH($G212,Lists!$B$2:$B$7,0)),OR($H212="",$N212&gt;0),OR($I212="",$I212="NR",$O212&gt;0),IF(ISNUMBER($J212),AND($J212&gt;=0,$J212=INT($J212)),FALSE())),$J212,0)</f>
        <v>0</v>
      </c>
      <c r="Q212" s="64" t="n">
        <f aca="false">IF(AND($P212&gt;0,$O212&gt;0),$P212,0)</f>
        <v>0</v>
      </c>
      <c r="R212" s="64" t="n">
        <f aca="false">IF(AND($Q212&gt;0,$O212&gt;=AtRank),$Q212,0)</f>
        <v>0</v>
      </c>
      <c r="S212" s="64" t="n">
        <f aca="false">IF(AND($Q212&gt;0,$O212&gt;=AboveRank),$Q212,0)</f>
        <v>0</v>
      </c>
      <c r="T212" s="64" t="n">
        <f aca="false">IF($K212="Less",$P212,0)</f>
        <v>0</v>
      </c>
      <c r="U212" s="64" t="n">
        <f aca="false">IF($K212="Expected",$P212,0)</f>
        <v>0</v>
      </c>
      <c r="V212" s="64" t="n">
        <f aca="false">IF($K212="Better",$P212,0)</f>
        <v>0</v>
      </c>
      <c r="W212" s="64" t="n">
        <f aca="false">IF($K212="U – needs rule",$P212,0)</f>
        <v>0</v>
      </c>
      <c r="X212" s="64" t="n">
        <f aca="false">IF($K212="No Start (attainment only)",$P212,0)</f>
        <v>0</v>
      </c>
    </row>
    <row r="213" customFormat="false" ht="15" hidden="false" customHeight="false" outlineLevel="0" collapsed="false">
      <c r="A213" s="60"/>
      <c r="B213" s="61" t="str">
        <f aca="false">IF($M213=0,"",INDEX(Classes!$E$6:$E$420,$M213))</f>
        <v/>
      </c>
      <c r="C213" s="62" t="str">
        <f aca="false">IF($M213=0,"",INDEX(Classes!$H$6:$H$420,$M213))</f>
        <v/>
      </c>
      <c r="D213" s="61" t="str">
        <f aca="false">IF($M213=0,"",INDEX(Classes!$B$6:$B$420,$M213))</f>
        <v/>
      </c>
      <c r="E213" s="61" t="str">
        <f aca="false">IF($M213=0,"",INDEX(Classes!$C$6:$C$420,$M213))</f>
        <v/>
      </c>
      <c r="F213" s="63"/>
      <c r="G213" s="63"/>
      <c r="H213" s="60"/>
      <c r="I213" s="60"/>
      <c r="J213" s="63"/>
      <c r="K213" s="61" t="str">
        <f aca="false">IF($P213=0,"",IF($F213="Baseline","— Baseline",IF($O213=0,"No result",IF($N213=0,"No Start (attainment only)",IF(OR($N213=1,$O213=1),"U – needs rule",INDEX(MxBody,MATCH($I213,MxCurr,0),MATCH($H213,MxStart,0)))))))</f>
        <v/>
      </c>
      <c r="L213" s="62" t="str">
        <f aca="false">IF(COUNTA($A213,$F213,$G213,$H213,$I213,$J213)=0,"",IF($M213=0,"✖ كود الصف غير موجود",IF(ISNA(MATCH($F213,Lists!$A$2:$A$5,0)),"✖ الفترة غير صحيحة",IF(ISNA(MATCH($G213,Lists!$B$2:$B$7,0)),"✖ المجموعة غير صحيحة",IF(NOT(OR($H213="",$N213&gt;0)),"✖ Start غير صحيح",IF(NOT(OR($I213="",$I213="NR",$O213&gt;0)),"✖ Current غير صحيح",IF(NOT(IF(ISNUMBER($J213),AND($J213&gt;=0,$J213=INT($J213)),FALSE())),"✖ العدد يجب أن يكون صحيحًا ≥ 0",IF(AND($F213="Baseline",$H213&lt;&gt;""),"⚠ Baseline: Start لا يدخل في التقدم",IF($K213="No Start (attainment only)","ℹ تحصيل فقط (بدون Start)",IF($K213="U – needs rule","ℹ حالة U تحتاج قاعدة معتمدة",IF($K213="No result","ℹ بدون نتيجة (يُستبعد من التحصيل)","OK")))))))))))</f>
        <v/>
      </c>
      <c r="M213" s="64" t="n">
        <f aca="false">IF($A213="",0,IFERROR(MATCH($A213,Classes!$A$6:$A$420,0),0))</f>
        <v>0</v>
      </c>
      <c r="N213" s="64" t="n">
        <f aca="false">IF($H213="",0,IFERROR(MATCH($H213,GradeList,0),0))</f>
        <v>0</v>
      </c>
      <c r="O213" s="64" t="n">
        <f aca="false">IF(OR($I213="",$I213="NR"),0,IFERROR(MATCH($I213,GradeList,0),0))</f>
        <v>0</v>
      </c>
      <c r="P213" s="64" t="n">
        <f aca="false">IF(AND($M213&gt;0,ISNUMBER(MATCH($F213,Lists!$A$2:$A$5,0)),ISNUMBER(MATCH($G213,Lists!$B$2:$B$7,0)),OR($H213="",$N213&gt;0),OR($I213="",$I213="NR",$O213&gt;0),IF(ISNUMBER($J213),AND($J213&gt;=0,$J213=INT($J213)),FALSE())),$J213,0)</f>
        <v>0</v>
      </c>
      <c r="Q213" s="64" t="n">
        <f aca="false">IF(AND($P213&gt;0,$O213&gt;0),$P213,0)</f>
        <v>0</v>
      </c>
      <c r="R213" s="64" t="n">
        <f aca="false">IF(AND($Q213&gt;0,$O213&gt;=AtRank),$Q213,0)</f>
        <v>0</v>
      </c>
      <c r="S213" s="64" t="n">
        <f aca="false">IF(AND($Q213&gt;0,$O213&gt;=AboveRank),$Q213,0)</f>
        <v>0</v>
      </c>
      <c r="T213" s="64" t="n">
        <f aca="false">IF($K213="Less",$P213,0)</f>
        <v>0</v>
      </c>
      <c r="U213" s="64" t="n">
        <f aca="false">IF($K213="Expected",$P213,0)</f>
        <v>0</v>
      </c>
      <c r="V213" s="64" t="n">
        <f aca="false">IF($K213="Better",$P213,0)</f>
        <v>0</v>
      </c>
      <c r="W213" s="64" t="n">
        <f aca="false">IF($K213="U – needs rule",$P213,0)</f>
        <v>0</v>
      </c>
      <c r="X213" s="64" t="n">
        <f aca="false">IF($K213="No Start (attainment only)",$P213,0)</f>
        <v>0</v>
      </c>
    </row>
    <row r="214" customFormat="false" ht="15" hidden="false" customHeight="false" outlineLevel="0" collapsed="false">
      <c r="A214" s="60"/>
      <c r="B214" s="61" t="str">
        <f aca="false">IF($M214=0,"",INDEX(Classes!$E$6:$E$420,$M214))</f>
        <v/>
      </c>
      <c r="C214" s="62" t="str">
        <f aca="false">IF($M214=0,"",INDEX(Classes!$H$6:$H$420,$M214))</f>
        <v/>
      </c>
      <c r="D214" s="61" t="str">
        <f aca="false">IF($M214=0,"",INDEX(Classes!$B$6:$B$420,$M214))</f>
        <v/>
      </c>
      <c r="E214" s="61" t="str">
        <f aca="false">IF($M214=0,"",INDEX(Classes!$C$6:$C$420,$M214))</f>
        <v/>
      </c>
      <c r="F214" s="63"/>
      <c r="G214" s="63"/>
      <c r="H214" s="60"/>
      <c r="I214" s="60"/>
      <c r="J214" s="63"/>
      <c r="K214" s="61" t="str">
        <f aca="false">IF($P214=0,"",IF($F214="Baseline","— Baseline",IF($O214=0,"No result",IF($N214=0,"No Start (attainment only)",IF(OR($N214=1,$O214=1),"U – needs rule",INDEX(MxBody,MATCH($I214,MxCurr,0),MATCH($H214,MxStart,0)))))))</f>
        <v/>
      </c>
      <c r="L214" s="62" t="str">
        <f aca="false">IF(COUNTA($A214,$F214,$G214,$H214,$I214,$J214)=0,"",IF($M214=0,"✖ كود الصف غير موجود",IF(ISNA(MATCH($F214,Lists!$A$2:$A$5,0)),"✖ الفترة غير صحيحة",IF(ISNA(MATCH($G214,Lists!$B$2:$B$7,0)),"✖ المجموعة غير صحيحة",IF(NOT(OR($H214="",$N214&gt;0)),"✖ Start غير صحيح",IF(NOT(OR($I214="",$I214="NR",$O214&gt;0)),"✖ Current غير صحيح",IF(NOT(IF(ISNUMBER($J214),AND($J214&gt;=0,$J214=INT($J214)),FALSE())),"✖ العدد يجب أن يكون صحيحًا ≥ 0",IF(AND($F214="Baseline",$H214&lt;&gt;""),"⚠ Baseline: Start لا يدخل في التقدم",IF($K214="No Start (attainment only)","ℹ تحصيل فقط (بدون Start)",IF($K214="U – needs rule","ℹ حالة U تحتاج قاعدة معتمدة",IF($K214="No result","ℹ بدون نتيجة (يُستبعد من التحصيل)","OK")))))))))))</f>
        <v/>
      </c>
      <c r="M214" s="64" t="n">
        <f aca="false">IF($A214="",0,IFERROR(MATCH($A214,Classes!$A$6:$A$420,0),0))</f>
        <v>0</v>
      </c>
      <c r="N214" s="64" t="n">
        <f aca="false">IF($H214="",0,IFERROR(MATCH($H214,GradeList,0),0))</f>
        <v>0</v>
      </c>
      <c r="O214" s="64" t="n">
        <f aca="false">IF(OR($I214="",$I214="NR"),0,IFERROR(MATCH($I214,GradeList,0),0))</f>
        <v>0</v>
      </c>
      <c r="P214" s="64" t="n">
        <f aca="false">IF(AND($M214&gt;0,ISNUMBER(MATCH($F214,Lists!$A$2:$A$5,0)),ISNUMBER(MATCH($G214,Lists!$B$2:$B$7,0)),OR($H214="",$N214&gt;0),OR($I214="",$I214="NR",$O214&gt;0),IF(ISNUMBER($J214),AND($J214&gt;=0,$J214=INT($J214)),FALSE())),$J214,0)</f>
        <v>0</v>
      </c>
      <c r="Q214" s="64" t="n">
        <f aca="false">IF(AND($P214&gt;0,$O214&gt;0),$P214,0)</f>
        <v>0</v>
      </c>
      <c r="R214" s="64" t="n">
        <f aca="false">IF(AND($Q214&gt;0,$O214&gt;=AtRank),$Q214,0)</f>
        <v>0</v>
      </c>
      <c r="S214" s="64" t="n">
        <f aca="false">IF(AND($Q214&gt;0,$O214&gt;=AboveRank),$Q214,0)</f>
        <v>0</v>
      </c>
      <c r="T214" s="64" t="n">
        <f aca="false">IF($K214="Less",$P214,0)</f>
        <v>0</v>
      </c>
      <c r="U214" s="64" t="n">
        <f aca="false">IF($K214="Expected",$P214,0)</f>
        <v>0</v>
      </c>
      <c r="V214" s="64" t="n">
        <f aca="false">IF($K214="Better",$P214,0)</f>
        <v>0</v>
      </c>
      <c r="W214" s="64" t="n">
        <f aca="false">IF($K214="U – needs rule",$P214,0)</f>
        <v>0</v>
      </c>
      <c r="X214" s="64" t="n">
        <f aca="false">IF($K214="No Start (attainment only)",$P214,0)</f>
        <v>0</v>
      </c>
    </row>
    <row r="215" customFormat="false" ht="15" hidden="false" customHeight="false" outlineLevel="0" collapsed="false">
      <c r="A215" s="60"/>
      <c r="B215" s="61" t="str">
        <f aca="false">IF($M215=0,"",INDEX(Classes!$E$6:$E$420,$M215))</f>
        <v/>
      </c>
      <c r="C215" s="62" t="str">
        <f aca="false">IF($M215=0,"",INDEX(Classes!$H$6:$H$420,$M215))</f>
        <v/>
      </c>
      <c r="D215" s="61" t="str">
        <f aca="false">IF($M215=0,"",INDEX(Classes!$B$6:$B$420,$M215))</f>
        <v/>
      </c>
      <c r="E215" s="61" t="str">
        <f aca="false">IF($M215=0,"",INDEX(Classes!$C$6:$C$420,$M215))</f>
        <v/>
      </c>
      <c r="F215" s="63"/>
      <c r="G215" s="63"/>
      <c r="H215" s="60"/>
      <c r="I215" s="60"/>
      <c r="J215" s="63"/>
      <c r="K215" s="61" t="str">
        <f aca="false">IF($P215=0,"",IF($F215="Baseline","— Baseline",IF($O215=0,"No result",IF($N215=0,"No Start (attainment only)",IF(OR($N215=1,$O215=1),"U – needs rule",INDEX(MxBody,MATCH($I215,MxCurr,0),MATCH($H215,MxStart,0)))))))</f>
        <v/>
      </c>
      <c r="L215" s="62" t="str">
        <f aca="false">IF(COUNTA($A215,$F215,$G215,$H215,$I215,$J215)=0,"",IF($M215=0,"✖ كود الصف غير موجود",IF(ISNA(MATCH($F215,Lists!$A$2:$A$5,0)),"✖ الفترة غير صحيحة",IF(ISNA(MATCH($G215,Lists!$B$2:$B$7,0)),"✖ المجموعة غير صحيحة",IF(NOT(OR($H215="",$N215&gt;0)),"✖ Start غير صحيح",IF(NOT(OR($I215="",$I215="NR",$O215&gt;0)),"✖ Current غير صحيح",IF(NOT(IF(ISNUMBER($J215),AND($J215&gt;=0,$J215=INT($J215)),FALSE())),"✖ العدد يجب أن يكون صحيحًا ≥ 0",IF(AND($F215="Baseline",$H215&lt;&gt;""),"⚠ Baseline: Start لا يدخل في التقدم",IF($K215="No Start (attainment only)","ℹ تحصيل فقط (بدون Start)",IF($K215="U – needs rule","ℹ حالة U تحتاج قاعدة معتمدة",IF($K215="No result","ℹ بدون نتيجة (يُستبعد من التحصيل)","OK")))))))))))</f>
        <v/>
      </c>
      <c r="M215" s="64" t="n">
        <f aca="false">IF($A215="",0,IFERROR(MATCH($A215,Classes!$A$6:$A$420,0),0))</f>
        <v>0</v>
      </c>
      <c r="N215" s="64" t="n">
        <f aca="false">IF($H215="",0,IFERROR(MATCH($H215,GradeList,0),0))</f>
        <v>0</v>
      </c>
      <c r="O215" s="64" t="n">
        <f aca="false">IF(OR($I215="",$I215="NR"),0,IFERROR(MATCH($I215,GradeList,0),0))</f>
        <v>0</v>
      </c>
      <c r="P215" s="64" t="n">
        <f aca="false">IF(AND($M215&gt;0,ISNUMBER(MATCH($F215,Lists!$A$2:$A$5,0)),ISNUMBER(MATCH($G215,Lists!$B$2:$B$7,0)),OR($H215="",$N215&gt;0),OR($I215="",$I215="NR",$O215&gt;0),IF(ISNUMBER($J215),AND($J215&gt;=0,$J215=INT($J215)),FALSE())),$J215,0)</f>
        <v>0</v>
      </c>
      <c r="Q215" s="64" t="n">
        <f aca="false">IF(AND($P215&gt;0,$O215&gt;0),$P215,0)</f>
        <v>0</v>
      </c>
      <c r="R215" s="64" t="n">
        <f aca="false">IF(AND($Q215&gt;0,$O215&gt;=AtRank),$Q215,0)</f>
        <v>0</v>
      </c>
      <c r="S215" s="64" t="n">
        <f aca="false">IF(AND($Q215&gt;0,$O215&gt;=AboveRank),$Q215,0)</f>
        <v>0</v>
      </c>
      <c r="T215" s="64" t="n">
        <f aca="false">IF($K215="Less",$P215,0)</f>
        <v>0</v>
      </c>
      <c r="U215" s="64" t="n">
        <f aca="false">IF($K215="Expected",$P215,0)</f>
        <v>0</v>
      </c>
      <c r="V215" s="64" t="n">
        <f aca="false">IF($K215="Better",$P215,0)</f>
        <v>0</v>
      </c>
      <c r="W215" s="64" t="n">
        <f aca="false">IF($K215="U – needs rule",$P215,0)</f>
        <v>0</v>
      </c>
      <c r="X215" s="64" t="n">
        <f aca="false">IF($K215="No Start (attainment only)",$P215,0)</f>
        <v>0</v>
      </c>
    </row>
    <row r="216" customFormat="false" ht="15" hidden="false" customHeight="false" outlineLevel="0" collapsed="false">
      <c r="A216" s="60"/>
      <c r="B216" s="61" t="str">
        <f aca="false">IF($M216=0,"",INDEX(Classes!$E$6:$E$420,$M216))</f>
        <v/>
      </c>
      <c r="C216" s="62" t="str">
        <f aca="false">IF($M216=0,"",INDEX(Classes!$H$6:$H$420,$M216))</f>
        <v/>
      </c>
      <c r="D216" s="61" t="str">
        <f aca="false">IF($M216=0,"",INDEX(Classes!$B$6:$B$420,$M216))</f>
        <v/>
      </c>
      <c r="E216" s="61" t="str">
        <f aca="false">IF($M216=0,"",INDEX(Classes!$C$6:$C$420,$M216))</f>
        <v/>
      </c>
      <c r="F216" s="63"/>
      <c r="G216" s="63"/>
      <c r="H216" s="60"/>
      <c r="I216" s="60"/>
      <c r="J216" s="63"/>
      <c r="K216" s="61" t="str">
        <f aca="false">IF($P216=0,"",IF($F216="Baseline","— Baseline",IF($O216=0,"No result",IF($N216=0,"No Start (attainment only)",IF(OR($N216=1,$O216=1),"U – needs rule",INDEX(MxBody,MATCH($I216,MxCurr,0),MATCH($H216,MxStart,0)))))))</f>
        <v/>
      </c>
      <c r="L216" s="62" t="str">
        <f aca="false">IF(COUNTA($A216,$F216,$G216,$H216,$I216,$J216)=0,"",IF($M216=0,"✖ كود الصف غير موجود",IF(ISNA(MATCH($F216,Lists!$A$2:$A$5,0)),"✖ الفترة غير صحيحة",IF(ISNA(MATCH($G216,Lists!$B$2:$B$7,0)),"✖ المجموعة غير صحيحة",IF(NOT(OR($H216="",$N216&gt;0)),"✖ Start غير صحيح",IF(NOT(OR($I216="",$I216="NR",$O216&gt;0)),"✖ Current غير صحيح",IF(NOT(IF(ISNUMBER($J216),AND($J216&gt;=0,$J216=INT($J216)),FALSE())),"✖ العدد يجب أن يكون صحيحًا ≥ 0",IF(AND($F216="Baseline",$H216&lt;&gt;""),"⚠ Baseline: Start لا يدخل في التقدم",IF($K216="No Start (attainment only)","ℹ تحصيل فقط (بدون Start)",IF($K216="U – needs rule","ℹ حالة U تحتاج قاعدة معتمدة",IF($K216="No result","ℹ بدون نتيجة (يُستبعد من التحصيل)","OK")))))))))))</f>
        <v/>
      </c>
      <c r="M216" s="64" t="n">
        <f aca="false">IF($A216="",0,IFERROR(MATCH($A216,Classes!$A$6:$A$420,0),0))</f>
        <v>0</v>
      </c>
      <c r="N216" s="64" t="n">
        <f aca="false">IF($H216="",0,IFERROR(MATCH($H216,GradeList,0),0))</f>
        <v>0</v>
      </c>
      <c r="O216" s="64" t="n">
        <f aca="false">IF(OR($I216="",$I216="NR"),0,IFERROR(MATCH($I216,GradeList,0),0))</f>
        <v>0</v>
      </c>
      <c r="P216" s="64" t="n">
        <f aca="false">IF(AND($M216&gt;0,ISNUMBER(MATCH($F216,Lists!$A$2:$A$5,0)),ISNUMBER(MATCH($G216,Lists!$B$2:$B$7,0)),OR($H216="",$N216&gt;0),OR($I216="",$I216="NR",$O216&gt;0),IF(ISNUMBER($J216),AND($J216&gt;=0,$J216=INT($J216)),FALSE())),$J216,0)</f>
        <v>0</v>
      </c>
      <c r="Q216" s="64" t="n">
        <f aca="false">IF(AND($P216&gt;0,$O216&gt;0),$P216,0)</f>
        <v>0</v>
      </c>
      <c r="R216" s="64" t="n">
        <f aca="false">IF(AND($Q216&gt;0,$O216&gt;=AtRank),$Q216,0)</f>
        <v>0</v>
      </c>
      <c r="S216" s="64" t="n">
        <f aca="false">IF(AND($Q216&gt;0,$O216&gt;=AboveRank),$Q216,0)</f>
        <v>0</v>
      </c>
      <c r="T216" s="64" t="n">
        <f aca="false">IF($K216="Less",$P216,0)</f>
        <v>0</v>
      </c>
      <c r="U216" s="64" t="n">
        <f aca="false">IF($K216="Expected",$P216,0)</f>
        <v>0</v>
      </c>
      <c r="V216" s="64" t="n">
        <f aca="false">IF($K216="Better",$P216,0)</f>
        <v>0</v>
      </c>
      <c r="W216" s="64" t="n">
        <f aca="false">IF($K216="U – needs rule",$P216,0)</f>
        <v>0</v>
      </c>
      <c r="X216" s="64" t="n">
        <f aca="false">IF($K216="No Start (attainment only)",$P216,0)</f>
        <v>0</v>
      </c>
    </row>
    <row r="217" customFormat="false" ht="15" hidden="false" customHeight="false" outlineLevel="0" collapsed="false">
      <c r="A217" s="60"/>
      <c r="B217" s="61" t="str">
        <f aca="false">IF($M217=0,"",INDEX(Classes!$E$6:$E$420,$M217))</f>
        <v/>
      </c>
      <c r="C217" s="62" t="str">
        <f aca="false">IF($M217=0,"",INDEX(Classes!$H$6:$H$420,$M217))</f>
        <v/>
      </c>
      <c r="D217" s="61" t="str">
        <f aca="false">IF($M217=0,"",INDEX(Classes!$B$6:$B$420,$M217))</f>
        <v/>
      </c>
      <c r="E217" s="61" t="str">
        <f aca="false">IF($M217=0,"",INDEX(Classes!$C$6:$C$420,$M217))</f>
        <v/>
      </c>
      <c r="F217" s="63"/>
      <c r="G217" s="63"/>
      <c r="H217" s="60"/>
      <c r="I217" s="60"/>
      <c r="J217" s="63"/>
      <c r="K217" s="61" t="str">
        <f aca="false">IF($P217=0,"",IF($F217="Baseline","— Baseline",IF($O217=0,"No result",IF($N217=0,"No Start (attainment only)",IF(OR($N217=1,$O217=1),"U – needs rule",INDEX(MxBody,MATCH($I217,MxCurr,0),MATCH($H217,MxStart,0)))))))</f>
        <v/>
      </c>
      <c r="L217" s="62" t="str">
        <f aca="false">IF(COUNTA($A217,$F217,$G217,$H217,$I217,$J217)=0,"",IF($M217=0,"✖ كود الصف غير موجود",IF(ISNA(MATCH($F217,Lists!$A$2:$A$5,0)),"✖ الفترة غير صحيحة",IF(ISNA(MATCH($G217,Lists!$B$2:$B$7,0)),"✖ المجموعة غير صحيحة",IF(NOT(OR($H217="",$N217&gt;0)),"✖ Start غير صحيح",IF(NOT(OR($I217="",$I217="NR",$O217&gt;0)),"✖ Current غير صحيح",IF(NOT(IF(ISNUMBER($J217),AND($J217&gt;=0,$J217=INT($J217)),FALSE())),"✖ العدد يجب أن يكون صحيحًا ≥ 0",IF(AND($F217="Baseline",$H217&lt;&gt;""),"⚠ Baseline: Start لا يدخل في التقدم",IF($K217="No Start (attainment only)","ℹ تحصيل فقط (بدون Start)",IF($K217="U – needs rule","ℹ حالة U تحتاج قاعدة معتمدة",IF($K217="No result","ℹ بدون نتيجة (يُستبعد من التحصيل)","OK")))))))))))</f>
        <v/>
      </c>
      <c r="M217" s="64" t="n">
        <f aca="false">IF($A217="",0,IFERROR(MATCH($A217,Classes!$A$6:$A$420,0),0))</f>
        <v>0</v>
      </c>
      <c r="N217" s="64" t="n">
        <f aca="false">IF($H217="",0,IFERROR(MATCH($H217,GradeList,0),0))</f>
        <v>0</v>
      </c>
      <c r="O217" s="64" t="n">
        <f aca="false">IF(OR($I217="",$I217="NR"),0,IFERROR(MATCH($I217,GradeList,0),0))</f>
        <v>0</v>
      </c>
      <c r="P217" s="64" t="n">
        <f aca="false">IF(AND($M217&gt;0,ISNUMBER(MATCH($F217,Lists!$A$2:$A$5,0)),ISNUMBER(MATCH($G217,Lists!$B$2:$B$7,0)),OR($H217="",$N217&gt;0),OR($I217="",$I217="NR",$O217&gt;0),IF(ISNUMBER($J217),AND($J217&gt;=0,$J217=INT($J217)),FALSE())),$J217,0)</f>
        <v>0</v>
      </c>
      <c r="Q217" s="64" t="n">
        <f aca="false">IF(AND($P217&gt;0,$O217&gt;0),$P217,0)</f>
        <v>0</v>
      </c>
      <c r="R217" s="64" t="n">
        <f aca="false">IF(AND($Q217&gt;0,$O217&gt;=AtRank),$Q217,0)</f>
        <v>0</v>
      </c>
      <c r="S217" s="64" t="n">
        <f aca="false">IF(AND($Q217&gt;0,$O217&gt;=AboveRank),$Q217,0)</f>
        <v>0</v>
      </c>
      <c r="T217" s="64" t="n">
        <f aca="false">IF($K217="Less",$P217,0)</f>
        <v>0</v>
      </c>
      <c r="U217" s="64" t="n">
        <f aca="false">IF($K217="Expected",$P217,0)</f>
        <v>0</v>
      </c>
      <c r="V217" s="64" t="n">
        <f aca="false">IF($K217="Better",$P217,0)</f>
        <v>0</v>
      </c>
      <c r="W217" s="64" t="n">
        <f aca="false">IF($K217="U – needs rule",$P217,0)</f>
        <v>0</v>
      </c>
      <c r="X217" s="64" t="n">
        <f aca="false">IF($K217="No Start (attainment only)",$P217,0)</f>
        <v>0</v>
      </c>
    </row>
    <row r="218" customFormat="false" ht="15" hidden="false" customHeight="false" outlineLevel="0" collapsed="false">
      <c r="A218" s="60"/>
      <c r="B218" s="61" t="str">
        <f aca="false">IF($M218=0,"",INDEX(Classes!$E$6:$E$420,$M218))</f>
        <v/>
      </c>
      <c r="C218" s="62" t="str">
        <f aca="false">IF($M218=0,"",INDEX(Classes!$H$6:$H$420,$M218))</f>
        <v/>
      </c>
      <c r="D218" s="61" t="str">
        <f aca="false">IF($M218=0,"",INDEX(Classes!$B$6:$B$420,$M218))</f>
        <v/>
      </c>
      <c r="E218" s="61" t="str">
        <f aca="false">IF($M218=0,"",INDEX(Classes!$C$6:$C$420,$M218))</f>
        <v/>
      </c>
      <c r="F218" s="63"/>
      <c r="G218" s="63"/>
      <c r="H218" s="60"/>
      <c r="I218" s="60"/>
      <c r="J218" s="63"/>
      <c r="K218" s="61" t="str">
        <f aca="false">IF($P218=0,"",IF($F218="Baseline","— Baseline",IF($O218=0,"No result",IF($N218=0,"No Start (attainment only)",IF(OR($N218=1,$O218=1),"U – needs rule",INDEX(MxBody,MATCH($I218,MxCurr,0),MATCH($H218,MxStart,0)))))))</f>
        <v/>
      </c>
      <c r="L218" s="62" t="str">
        <f aca="false">IF(COUNTA($A218,$F218,$G218,$H218,$I218,$J218)=0,"",IF($M218=0,"✖ كود الصف غير موجود",IF(ISNA(MATCH($F218,Lists!$A$2:$A$5,0)),"✖ الفترة غير صحيحة",IF(ISNA(MATCH($G218,Lists!$B$2:$B$7,0)),"✖ المجموعة غير صحيحة",IF(NOT(OR($H218="",$N218&gt;0)),"✖ Start غير صحيح",IF(NOT(OR($I218="",$I218="NR",$O218&gt;0)),"✖ Current غير صحيح",IF(NOT(IF(ISNUMBER($J218),AND($J218&gt;=0,$J218=INT($J218)),FALSE())),"✖ العدد يجب أن يكون صحيحًا ≥ 0",IF(AND($F218="Baseline",$H218&lt;&gt;""),"⚠ Baseline: Start لا يدخل في التقدم",IF($K218="No Start (attainment only)","ℹ تحصيل فقط (بدون Start)",IF($K218="U – needs rule","ℹ حالة U تحتاج قاعدة معتمدة",IF($K218="No result","ℹ بدون نتيجة (يُستبعد من التحصيل)","OK")))))))))))</f>
        <v/>
      </c>
      <c r="M218" s="64" t="n">
        <f aca="false">IF($A218="",0,IFERROR(MATCH($A218,Classes!$A$6:$A$420,0),0))</f>
        <v>0</v>
      </c>
      <c r="N218" s="64" t="n">
        <f aca="false">IF($H218="",0,IFERROR(MATCH($H218,GradeList,0),0))</f>
        <v>0</v>
      </c>
      <c r="O218" s="64" t="n">
        <f aca="false">IF(OR($I218="",$I218="NR"),0,IFERROR(MATCH($I218,GradeList,0),0))</f>
        <v>0</v>
      </c>
      <c r="P218" s="64" t="n">
        <f aca="false">IF(AND($M218&gt;0,ISNUMBER(MATCH($F218,Lists!$A$2:$A$5,0)),ISNUMBER(MATCH($G218,Lists!$B$2:$B$7,0)),OR($H218="",$N218&gt;0),OR($I218="",$I218="NR",$O218&gt;0),IF(ISNUMBER($J218),AND($J218&gt;=0,$J218=INT($J218)),FALSE())),$J218,0)</f>
        <v>0</v>
      </c>
      <c r="Q218" s="64" t="n">
        <f aca="false">IF(AND($P218&gt;0,$O218&gt;0),$P218,0)</f>
        <v>0</v>
      </c>
      <c r="R218" s="64" t="n">
        <f aca="false">IF(AND($Q218&gt;0,$O218&gt;=AtRank),$Q218,0)</f>
        <v>0</v>
      </c>
      <c r="S218" s="64" t="n">
        <f aca="false">IF(AND($Q218&gt;0,$O218&gt;=AboveRank),$Q218,0)</f>
        <v>0</v>
      </c>
      <c r="T218" s="64" t="n">
        <f aca="false">IF($K218="Less",$P218,0)</f>
        <v>0</v>
      </c>
      <c r="U218" s="64" t="n">
        <f aca="false">IF($K218="Expected",$P218,0)</f>
        <v>0</v>
      </c>
      <c r="V218" s="64" t="n">
        <f aca="false">IF($K218="Better",$P218,0)</f>
        <v>0</v>
      </c>
      <c r="W218" s="64" t="n">
        <f aca="false">IF($K218="U – needs rule",$P218,0)</f>
        <v>0</v>
      </c>
      <c r="X218" s="64" t="n">
        <f aca="false">IF($K218="No Start (attainment only)",$P218,0)</f>
        <v>0</v>
      </c>
    </row>
    <row r="219" customFormat="false" ht="15" hidden="false" customHeight="false" outlineLevel="0" collapsed="false">
      <c r="A219" s="60"/>
      <c r="B219" s="61" t="str">
        <f aca="false">IF($M219=0,"",INDEX(Classes!$E$6:$E$420,$M219))</f>
        <v/>
      </c>
      <c r="C219" s="62" t="str">
        <f aca="false">IF($M219=0,"",INDEX(Classes!$H$6:$H$420,$M219))</f>
        <v/>
      </c>
      <c r="D219" s="61" t="str">
        <f aca="false">IF($M219=0,"",INDEX(Classes!$B$6:$B$420,$M219))</f>
        <v/>
      </c>
      <c r="E219" s="61" t="str">
        <f aca="false">IF($M219=0,"",INDEX(Classes!$C$6:$C$420,$M219))</f>
        <v/>
      </c>
      <c r="F219" s="63"/>
      <c r="G219" s="63"/>
      <c r="H219" s="60"/>
      <c r="I219" s="60"/>
      <c r="J219" s="63"/>
      <c r="K219" s="61" t="str">
        <f aca="false">IF($P219=0,"",IF($F219="Baseline","— Baseline",IF($O219=0,"No result",IF($N219=0,"No Start (attainment only)",IF(OR($N219=1,$O219=1),"U – needs rule",INDEX(MxBody,MATCH($I219,MxCurr,0),MATCH($H219,MxStart,0)))))))</f>
        <v/>
      </c>
      <c r="L219" s="62" t="str">
        <f aca="false">IF(COUNTA($A219,$F219,$G219,$H219,$I219,$J219)=0,"",IF($M219=0,"✖ كود الصف غير موجود",IF(ISNA(MATCH($F219,Lists!$A$2:$A$5,0)),"✖ الفترة غير صحيحة",IF(ISNA(MATCH($G219,Lists!$B$2:$B$7,0)),"✖ المجموعة غير صحيحة",IF(NOT(OR($H219="",$N219&gt;0)),"✖ Start غير صحيح",IF(NOT(OR($I219="",$I219="NR",$O219&gt;0)),"✖ Current غير صحيح",IF(NOT(IF(ISNUMBER($J219),AND($J219&gt;=0,$J219=INT($J219)),FALSE())),"✖ العدد يجب أن يكون صحيحًا ≥ 0",IF(AND($F219="Baseline",$H219&lt;&gt;""),"⚠ Baseline: Start لا يدخل في التقدم",IF($K219="No Start (attainment only)","ℹ تحصيل فقط (بدون Start)",IF($K219="U – needs rule","ℹ حالة U تحتاج قاعدة معتمدة",IF($K219="No result","ℹ بدون نتيجة (يُستبعد من التحصيل)","OK")))))))))))</f>
        <v/>
      </c>
      <c r="M219" s="64" t="n">
        <f aca="false">IF($A219="",0,IFERROR(MATCH($A219,Classes!$A$6:$A$420,0),0))</f>
        <v>0</v>
      </c>
      <c r="N219" s="64" t="n">
        <f aca="false">IF($H219="",0,IFERROR(MATCH($H219,GradeList,0),0))</f>
        <v>0</v>
      </c>
      <c r="O219" s="64" t="n">
        <f aca="false">IF(OR($I219="",$I219="NR"),0,IFERROR(MATCH($I219,GradeList,0),0))</f>
        <v>0</v>
      </c>
      <c r="P219" s="64" t="n">
        <f aca="false">IF(AND($M219&gt;0,ISNUMBER(MATCH($F219,Lists!$A$2:$A$5,0)),ISNUMBER(MATCH($G219,Lists!$B$2:$B$7,0)),OR($H219="",$N219&gt;0),OR($I219="",$I219="NR",$O219&gt;0),IF(ISNUMBER($J219),AND($J219&gt;=0,$J219=INT($J219)),FALSE())),$J219,0)</f>
        <v>0</v>
      </c>
      <c r="Q219" s="64" t="n">
        <f aca="false">IF(AND($P219&gt;0,$O219&gt;0),$P219,0)</f>
        <v>0</v>
      </c>
      <c r="R219" s="64" t="n">
        <f aca="false">IF(AND($Q219&gt;0,$O219&gt;=AtRank),$Q219,0)</f>
        <v>0</v>
      </c>
      <c r="S219" s="64" t="n">
        <f aca="false">IF(AND($Q219&gt;0,$O219&gt;=AboveRank),$Q219,0)</f>
        <v>0</v>
      </c>
      <c r="T219" s="64" t="n">
        <f aca="false">IF($K219="Less",$P219,0)</f>
        <v>0</v>
      </c>
      <c r="U219" s="64" t="n">
        <f aca="false">IF($K219="Expected",$P219,0)</f>
        <v>0</v>
      </c>
      <c r="V219" s="64" t="n">
        <f aca="false">IF($K219="Better",$P219,0)</f>
        <v>0</v>
      </c>
      <c r="W219" s="64" t="n">
        <f aca="false">IF($K219="U – needs rule",$P219,0)</f>
        <v>0</v>
      </c>
      <c r="X219" s="64" t="n">
        <f aca="false">IF($K219="No Start (attainment only)",$P219,0)</f>
        <v>0</v>
      </c>
    </row>
    <row r="220" customFormat="false" ht="15" hidden="false" customHeight="false" outlineLevel="0" collapsed="false">
      <c r="A220" s="60"/>
      <c r="B220" s="61" t="str">
        <f aca="false">IF($M220=0,"",INDEX(Classes!$E$6:$E$420,$M220))</f>
        <v/>
      </c>
      <c r="C220" s="62" t="str">
        <f aca="false">IF($M220=0,"",INDEX(Classes!$H$6:$H$420,$M220))</f>
        <v/>
      </c>
      <c r="D220" s="61" t="str">
        <f aca="false">IF($M220=0,"",INDEX(Classes!$B$6:$B$420,$M220))</f>
        <v/>
      </c>
      <c r="E220" s="61" t="str">
        <f aca="false">IF($M220=0,"",INDEX(Classes!$C$6:$C$420,$M220))</f>
        <v/>
      </c>
      <c r="F220" s="63"/>
      <c r="G220" s="63"/>
      <c r="H220" s="60"/>
      <c r="I220" s="60"/>
      <c r="J220" s="63"/>
      <c r="K220" s="61" t="str">
        <f aca="false">IF($P220=0,"",IF($F220="Baseline","— Baseline",IF($O220=0,"No result",IF($N220=0,"No Start (attainment only)",IF(OR($N220=1,$O220=1),"U – needs rule",INDEX(MxBody,MATCH($I220,MxCurr,0),MATCH($H220,MxStart,0)))))))</f>
        <v/>
      </c>
      <c r="L220" s="62" t="str">
        <f aca="false">IF(COUNTA($A220,$F220,$G220,$H220,$I220,$J220)=0,"",IF($M220=0,"✖ كود الصف غير موجود",IF(ISNA(MATCH($F220,Lists!$A$2:$A$5,0)),"✖ الفترة غير صحيحة",IF(ISNA(MATCH($G220,Lists!$B$2:$B$7,0)),"✖ المجموعة غير صحيحة",IF(NOT(OR($H220="",$N220&gt;0)),"✖ Start غير صحيح",IF(NOT(OR($I220="",$I220="NR",$O220&gt;0)),"✖ Current غير صحيح",IF(NOT(IF(ISNUMBER($J220),AND($J220&gt;=0,$J220=INT($J220)),FALSE())),"✖ العدد يجب أن يكون صحيحًا ≥ 0",IF(AND($F220="Baseline",$H220&lt;&gt;""),"⚠ Baseline: Start لا يدخل في التقدم",IF($K220="No Start (attainment only)","ℹ تحصيل فقط (بدون Start)",IF($K220="U – needs rule","ℹ حالة U تحتاج قاعدة معتمدة",IF($K220="No result","ℹ بدون نتيجة (يُستبعد من التحصيل)","OK")))))))))))</f>
        <v/>
      </c>
      <c r="M220" s="64" t="n">
        <f aca="false">IF($A220="",0,IFERROR(MATCH($A220,Classes!$A$6:$A$420,0),0))</f>
        <v>0</v>
      </c>
      <c r="N220" s="64" t="n">
        <f aca="false">IF($H220="",0,IFERROR(MATCH($H220,GradeList,0),0))</f>
        <v>0</v>
      </c>
      <c r="O220" s="64" t="n">
        <f aca="false">IF(OR($I220="",$I220="NR"),0,IFERROR(MATCH($I220,GradeList,0),0))</f>
        <v>0</v>
      </c>
      <c r="P220" s="64" t="n">
        <f aca="false">IF(AND($M220&gt;0,ISNUMBER(MATCH($F220,Lists!$A$2:$A$5,0)),ISNUMBER(MATCH($G220,Lists!$B$2:$B$7,0)),OR($H220="",$N220&gt;0),OR($I220="",$I220="NR",$O220&gt;0),IF(ISNUMBER($J220),AND($J220&gt;=0,$J220=INT($J220)),FALSE())),$J220,0)</f>
        <v>0</v>
      </c>
      <c r="Q220" s="64" t="n">
        <f aca="false">IF(AND($P220&gt;0,$O220&gt;0),$P220,0)</f>
        <v>0</v>
      </c>
      <c r="R220" s="64" t="n">
        <f aca="false">IF(AND($Q220&gt;0,$O220&gt;=AtRank),$Q220,0)</f>
        <v>0</v>
      </c>
      <c r="S220" s="64" t="n">
        <f aca="false">IF(AND($Q220&gt;0,$O220&gt;=AboveRank),$Q220,0)</f>
        <v>0</v>
      </c>
      <c r="T220" s="64" t="n">
        <f aca="false">IF($K220="Less",$P220,0)</f>
        <v>0</v>
      </c>
      <c r="U220" s="64" t="n">
        <f aca="false">IF($K220="Expected",$P220,0)</f>
        <v>0</v>
      </c>
      <c r="V220" s="64" t="n">
        <f aca="false">IF($K220="Better",$P220,0)</f>
        <v>0</v>
      </c>
      <c r="W220" s="64" t="n">
        <f aca="false">IF($K220="U – needs rule",$P220,0)</f>
        <v>0</v>
      </c>
      <c r="X220" s="64" t="n">
        <f aca="false">IF($K220="No Start (attainment only)",$P220,0)</f>
        <v>0</v>
      </c>
    </row>
    <row r="221" customFormat="false" ht="15" hidden="false" customHeight="false" outlineLevel="0" collapsed="false">
      <c r="A221" s="60"/>
      <c r="B221" s="61" t="str">
        <f aca="false">IF($M221=0,"",INDEX(Classes!$E$6:$E$420,$M221))</f>
        <v/>
      </c>
      <c r="C221" s="62" t="str">
        <f aca="false">IF($M221=0,"",INDEX(Classes!$H$6:$H$420,$M221))</f>
        <v/>
      </c>
      <c r="D221" s="61" t="str">
        <f aca="false">IF($M221=0,"",INDEX(Classes!$B$6:$B$420,$M221))</f>
        <v/>
      </c>
      <c r="E221" s="61" t="str">
        <f aca="false">IF($M221=0,"",INDEX(Classes!$C$6:$C$420,$M221))</f>
        <v/>
      </c>
      <c r="F221" s="63"/>
      <c r="G221" s="63"/>
      <c r="H221" s="60"/>
      <c r="I221" s="60"/>
      <c r="J221" s="63"/>
      <c r="K221" s="61" t="str">
        <f aca="false">IF($P221=0,"",IF($F221="Baseline","— Baseline",IF($O221=0,"No result",IF($N221=0,"No Start (attainment only)",IF(OR($N221=1,$O221=1),"U – needs rule",INDEX(MxBody,MATCH($I221,MxCurr,0),MATCH($H221,MxStart,0)))))))</f>
        <v/>
      </c>
      <c r="L221" s="62" t="str">
        <f aca="false">IF(COUNTA($A221,$F221,$G221,$H221,$I221,$J221)=0,"",IF($M221=0,"✖ كود الصف غير موجود",IF(ISNA(MATCH($F221,Lists!$A$2:$A$5,0)),"✖ الفترة غير صحيحة",IF(ISNA(MATCH($G221,Lists!$B$2:$B$7,0)),"✖ المجموعة غير صحيحة",IF(NOT(OR($H221="",$N221&gt;0)),"✖ Start غير صحيح",IF(NOT(OR($I221="",$I221="NR",$O221&gt;0)),"✖ Current غير صحيح",IF(NOT(IF(ISNUMBER($J221),AND($J221&gt;=0,$J221=INT($J221)),FALSE())),"✖ العدد يجب أن يكون صحيحًا ≥ 0",IF(AND($F221="Baseline",$H221&lt;&gt;""),"⚠ Baseline: Start لا يدخل في التقدم",IF($K221="No Start (attainment only)","ℹ تحصيل فقط (بدون Start)",IF($K221="U – needs rule","ℹ حالة U تحتاج قاعدة معتمدة",IF($K221="No result","ℹ بدون نتيجة (يُستبعد من التحصيل)","OK")))))))))))</f>
        <v/>
      </c>
      <c r="M221" s="64" t="n">
        <f aca="false">IF($A221="",0,IFERROR(MATCH($A221,Classes!$A$6:$A$420,0),0))</f>
        <v>0</v>
      </c>
      <c r="N221" s="64" t="n">
        <f aca="false">IF($H221="",0,IFERROR(MATCH($H221,GradeList,0),0))</f>
        <v>0</v>
      </c>
      <c r="O221" s="64" t="n">
        <f aca="false">IF(OR($I221="",$I221="NR"),0,IFERROR(MATCH($I221,GradeList,0),0))</f>
        <v>0</v>
      </c>
      <c r="P221" s="64" t="n">
        <f aca="false">IF(AND($M221&gt;0,ISNUMBER(MATCH($F221,Lists!$A$2:$A$5,0)),ISNUMBER(MATCH($G221,Lists!$B$2:$B$7,0)),OR($H221="",$N221&gt;0),OR($I221="",$I221="NR",$O221&gt;0),IF(ISNUMBER($J221),AND($J221&gt;=0,$J221=INT($J221)),FALSE())),$J221,0)</f>
        <v>0</v>
      </c>
      <c r="Q221" s="64" t="n">
        <f aca="false">IF(AND($P221&gt;0,$O221&gt;0),$P221,0)</f>
        <v>0</v>
      </c>
      <c r="R221" s="64" t="n">
        <f aca="false">IF(AND($Q221&gt;0,$O221&gt;=AtRank),$Q221,0)</f>
        <v>0</v>
      </c>
      <c r="S221" s="64" t="n">
        <f aca="false">IF(AND($Q221&gt;0,$O221&gt;=AboveRank),$Q221,0)</f>
        <v>0</v>
      </c>
      <c r="T221" s="64" t="n">
        <f aca="false">IF($K221="Less",$P221,0)</f>
        <v>0</v>
      </c>
      <c r="U221" s="64" t="n">
        <f aca="false">IF($K221="Expected",$P221,0)</f>
        <v>0</v>
      </c>
      <c r="V221" s="64" t="n">
        <f aca="false">IF($K221="Better",$P221,0)</f>
        <v>0</v>
      </c>
      <c r="W221" s="64" t="n">
        <f aca="false">IF($K221="U – needs rule",$P221,0)</f>
        <v>0</v>
      </c>
      <c r="X221" s="64" t="n">
        <f aca="false">IF($K221="No Start (attainment only)",$P221,0)</f>
        <v>0</v>
      </c>
    </row>
    <row r="222" customFormat="false" ht="15" hidden="false" customHeight="false" outlineLevel="0" collapsed="false">
      <c r="A222" s="60"/>
      <c r="B222" s="61" t="str">
        <f aca="false">IF($M222=0,"",INDEX(Classes!$E$6:$E$420,$M222))</f>
        <v/>
      </c>
      <c r="C222" s="62" t="str">
        <f aca="false">IF($M222=0,"",INDEX(Classes!$H$6:$H$420,$M222))</f>
        <v/>
      </c>
      <c r="D222" s="61" t="str">
        <f aca="false">IF($M222=0,"",INDEX(Classes!$B$6:$B$420,$M222))</f>
        <v/>
      </c>
      <c r="E222" s="61" t="str">
        <f aca="false">IF($M222=0,"",INDEX(Classes!$C$6:$C$420,$M222))</f>
        <v/>
      </c>
      <c r="F222" s="63"/>
      <c r="G222" s="63"/>
      <c r="H222" s="60"/>
      <c r="I222" s="60"/>
      <c r="J222" s="63"/>
      <c r="K222" s="61" t="str">
        <f aca="false">IF($P222=0,"",IF($F222="Baseline","— Baseline",IF($O222=0,"No result",IF($N222=0,"No Start (attainment only)",IF(OR($N222=1,$O222=1),"U – needs rule",INDEX(MxBody,MATCH($I222,MxCurr,0),MATCH($H222,MxStart,0)))))))</f>
        <v/>
      </c>
      <c r="L222" s="62" t="str">
        <f aca="false">IF(COUNTA($A222,$F222,$G222,$H222,$I222,$J222)=0,"",IF($M222=0,"✖ كود الصف غير موجود",IF(ISNA(MATCH($F222,Lists!$A$2:$A$5,0)),"✖ الفترة غير صحيحة",IF(ISNA(MATCH($G222,Lists!$B$2:$B$7,0)),"✖ المجموعة غير صحيحة",IF(NOT(OR($H222="",$N222&gt;0)),"✖ Start غير صحيح",IF(NOT(OR($I222="",$I222="NR",$O222&gt;0)),"✖ Current غير صحيح",IF(NOT(IF(ISNUMBER($J222),AND($J222&gt;=0,$J222=INT($J222)),FALSE())),"✖ العدد يجب أن يكون صحيحًا ≥ 0",IF(AND($F222="Baseline",$H222&lt;&gt;""),"⚠ Baseline: Start لا يدخل في التقدم",IF($K222="No Start (attainment only)","ℹ تحصيل فقط (بدون Start)",IF($K222="U – needs rule","ℹ حالة U تحتاج قاعدة معتمدة",IF($K222="No result","ℹ بدون نتيجة (يُستبعد من التحصيل)","OK")))))))))))</f>
        <v/>
      </c>
      <c r="M222" s="64" t="n">
        <f aca="false">IF($A222="",0,IFERROR(MATCH($A222,Classes!$A$6:$A$420,0),0))</f>
        <v>0</v>
      </c>
      <c r="N222" s="64" t="n">
        <f aca="false">IF($H222="",0,IFERROR(MATCH($H222,GradeList,0),0))</f>
        <v>0</v>
      </c>
      <c r="O222" s="64" t="n">
        <f aca="false">IF(OR($I222="",$I222="NR"),0,IFERROR(MATCH($I222,GradeList,0),0))</f>
        <v>0</v>
      </c>
      <c r="P222" s="64" t="n">
        <f aca="false">IF(AND($M222&gt;0,ISNUMBER(MATCH($F222,Lists!$A$2:$A$5,0)),ISNUMBER(MATCH($G222,Lists!$B$2:$B$7,0)),OR($H222="",$N222&gt;0),OR($I222="",$I222="NR",$O222&gt;0),IF(ISNUMBER($J222),AND($J222&gt;=0,$J222=INT($J222)),FALSE())),$J222,0)</f>
        <v>0</v>
      </c>
      <c r="Q222" s="64" t="n">
        <f aca="false">IF(AND($P222&gt;0,$O222&gt;0),$P222,0)</f>
        <v>0</v>
      </c>
      <c r="R222" s="64" t="n">
        <f aca="false">IF(AND($Q222&gt;0,$O222&gt;=AtRank),$Q222,0)</f>
        <v>0</v>
      </c>
      <c r="S222" s="64" t="n">
        <f aca="false">IF(AND($Q222&gt;0,$O222&gt;=AboveRank),$Q222,0)</f>
        <v>0</v>
      </c>
      <c r="T222" s="64" t="n">
        <f aca="false">IF($K222="Less",$P222,0)</f>
        <v>0</v>
      </c>
      <c r="U222" s="64" t="n">
        <f aca="false">IF($K222="Expected",$P222,0)</f>
        <v>0</v>
      </c>
      <c r="V222" s="64" t="n">
        <f aca="false">IF($K222="Better",$P222,0)</f>
        <v>0</v>
      </c>
      <c r="W222" s="64" t="n">
        <f aca="false">IF($K222="U – needs rule",$P222,0)</f>
        <v>0</v>
      </c>
      <c r="X222" s="64" t="n">
        <f aca="false">IF($K222="No Start (attainment only)",$P222,0)</f>
        <v>0</v>
      </c>
    </row>
    <row r="223" customFormat="false" ht="15" hidden="false" customHeight="false" outlineLevel="0" collapsed="false">
      <c r="A223" s="60"/>
      <c r="B223" s="61" t="str">
        <f aca="false">IF($M223=0,"",INDEX(Classes!$E$6:$E$420,$M223))</f>
        <v/>
      </c>
      <c r="C223" s="62" t="str">
        <f aca="false">IF($M223=0,"",INDEX(Classes!$H$6:$H$420,$M223))</f>
        <v/>
      </c>
      <c r="D223" s="61" t="str">
        <f aca="false">IF($M223=0,"",INDEX(Classes!$B$6:$B$420,$M223))</f>
        <v/>
      </c>
      <c r="E223" s="61" t="str">
        <f aca="false">IF($M223=0,"",INDEX(Classes!$C$6:$C$420,$M223))</f>
        <v/>
      </c>
      <c r="F223" s="63"/>
      <c r="G223" s="63"/>
      <c r="H223" s="60"/>
      <c r="I223" s="60"/>
      <c r="J223" s="63"/>
      <c r="K223" s="61" t="str">
        <f aca="false">IF($P223=0,"",IF($F223="Baseline","— Baseline",IF($O223=0,"No result",IF($N223=0,"No Start (attainment only)",IF(OR($N223=1,$O223=1),"U – needs rule",INDEX(MxBody,MATCH($I223,MxCurr,0),MATCH($H223,MxStart,0)))))))</f>
        <v/>
      </c>
      <c r="L223" s="62" t="str">
        <f aca="false">IF(COUNTA($A223,$F223,$G223,$H223,$I223,$J223)=0,"",IF($M223=0,"✖ كود الصف غير موجود",IF(ISNA(MATCH($F223,Lists!$A$2:$A$5,0)),"✖ الفترة غير صحيحة",IF(ISNA(MATCH($G223,Lists!$B$2:$B$7,0)),"✖ المجموعة غير صحيحة",IF(NOT(OR($H223="",$N223&gt;0)),"✖ Start غير صحيح",IF(NOT(OR($I223="",$I223="NR",$O223&gt;0)),"✖ Current غير صحيح",IF(NOT(IF(ISNUMBER($J223),AND($J223&gt;=0,$J223=INT($J223)),FALSE())),"✖ العدد يجب أن يكون صحيحًا ≥ 0",IF(AND($F223="Baseline",$H223&lt;&gt;""),"⚠ Baseline: Start لا يدخل في التقدم",IF($K223="No Start (attainment only)","ℹ تحصيل فقط (بدون Start)",IF($K223="U – needs rule","ℹ حالة U تحتاج قاعدة معتمدة",IF($K223="No result","ℹ بدون نتيجة (يُستبعد من التحصيل)","OK")))))))))))</f>
        <v/>
      </c>
      <c r="M223" s="64" t="n">
        <f aca="false">IF($A223="",0,IFERROR(MATCH($A223,Classes!$A$6:$A$420,0),0))</f>
        <v>0</v>
      </c>
      <c r="N223" s="64" t="n">
        <f aca="false">IF($H223="",0,IFERROR(MATCH($H223,GradeList,0),0))</f>
        <v>0</v>
      </c>
      <c r="O223" s="64" t="n">
        <f aca="false">IF(OR($I223="",$I223="NR"),0,IFERROR(MATCH($I223,GradeList,0),0))</f>
        <v>0</v>
      </c>
      <c r="P223" s="64" t="n">
        <f aca="false">IF(AND($M223&gt;0,ISNUMBER(MATCH($F223,Lists!$A$2:$A$5,0)),ISNUMBER(MATCH($G223,Lists!$B$2:$B$7,0)),OR($H223="",$N223&gt;0),OR($I223="",$I223="NR",$O223&gt;0),IF(ISNUMBER($J223),AND($J223&gt;=0,$J223=INT($J223)),FALSE())),$J223,0)</f>
        <v>0</v>
      </c>
      <c r="Q223" s="64" t="n">
        <f aca="false">IF(AND($P223&gt;0,$O223&gt;0),$P223,0)</f>
        <v>0</v>
      </c>
      <c r="R223" s="64" t="n">
        <f aca="false">IF(AND($Q223&gt;0,$O223&gt;=AtRank),$Q223,0)</f>
        <v>0</v>
      </c>
      <c r="S223" s="64" t="n">
        <f aca="false">IF(AND($Q223&gt;0,$O223&gt;=AboveRank),$Q223,0)</f>
        <v>0</v>
      </c>
      <c r="T223" s="64" t="n">
        <f aca="false">IF($K223="Less",$P223,0)</f>
        <v>0</v>
      </c>
      <c r="U223" s="64" t="n">
        <f aca="false">IF($K223="Expected",$P223,0)</f>
        <v>0</v>
      </c>
      <c r="V223" s="64" t="n">
        <f aca="false">IF($K223="Better",$P223,0)</f>
        <v>0</v>
      </c>
      <c r="W223" s="64" t="n">
        <f aca="false">IF($K223="U – needs rule",$P223,0)</f>
        <v>0</v>
      </c>
      <c r="X223" s="64" t="n">
        <f aca="false">IF($K223="No Start (attainment only)",$P223,0)</f>
        <v>0</v>
      </c>
    </row>
    <row r="224" customFormat="false" ht="15" hidden="false" customHeight="false" outlineLevel="0" collapsed="false">
      <c r="A224" s="60"/>
      <c r="B224" s="61" t="str">
        <f aca="false">IF($M224=0,"",INDEX(Classes!$E$6:$E$420,$M224))</f>
        <v/>
      </c>
      <c r="C224" s="62" t="str">
        <f aca="false">IF($M224=0,"",INDEX(Classes!$H$6:$H$420,$M224))</f>
        <v/>
      </c>
      <c r="D224" s="61" t="str">
        <f aca="false">IF($M224=0,"",INDEX(Classes!$B$6:$B$420,$M224))</f>
        <v/>
      </c>
      <c r="E224" s="61" t="str">
        <f aca="false">IF($M224=0,"",INDEX(Classes!$C$6:$C$420,$M224))</f>
        <v/>
      </c>
      <c r="F224" s="63"/>
      <c r="G224" s="63"/>
      <c r="H224" s="60"/>
      <c r="I224" s="60"/>
      <c r="J224" s="63"/>
      <c r="K224" s="61" t="str">
        <f aca="false">IF($P224=0,"",IF($F224="Baseline","— Baseline",IF($O224=0,"No result",IF($N224=0,"No Start (attainment only)",IF(OR($N224=1,$O224=1),"U – needs rule",INDEX(MxBody,MATCH($I224,MxCurr,0),MATCH($H224,MxStart,0)))))))</f>
        <v/>
      </c>
      <c r="L224" s="62" t="str">
        <f aca="false">IF(COUNTA($A224,$F224,$G224,$H224,$I224,$J224)=0,"",IF($M224=0,"✖ كود الصف غير موجود",IF(ISNA(MATCH($F224,Lists!$A$2:$A$5,0)),"✖ الفترة غير صحيحة",IF(ISNA(MATCH($G224,Lists!$B$2:$B$7,0)),"✖ المجموعة غير صحيحة",IF(NOT(OR($H224="",$N224&gt;0)),"✖ Start غير صحيح",IF(NOT(OR($I224="",$I224="NR",$O224&gt;0)),"✖ Current غير صحيح",IF(NOT(IF(ISNUMBER($J224),AND($J224&gt;=0,$J224=INT($J224)),FALSE())),"✖ العدد يجب أن يكون صحيحًا ≥ 0",IF(AND($F224="Baseline",$H224&lt;&gt;""),"⚠ Baseline: Start لا يدخل في التقدم",IF($K224="No Start (attainment only)","ℹ تحصيل فقط (بدون Start)",IF($K224="U – needs rule","ℹ حالة U تحتاج قاعدة معتمدة",IF($K224="No result","ℹ بدون نتيجة (يُستبعد من التحصيل)","OK")))))))))))</f>
        <v/>
      </c>
      <c r="M224" s="64" t="n">
        <f aca="false">IF($A224="",0,IFERROR(MATCH($A224,Classes!$A$6:$A$420,0),0))</f>
        <v>0</v>
      </c>
      <c r="N224" s="64" t="n">
        <f aca="false">IF($H224="",0,IFERROR(MATCH($H224,GradeList,0),0))</f>
        <v>0</v>
      </c>
      <c r="O224" s="64" t="n">
        <f aca="false">IF(OR($I224="",$I224="NR"),0,IFERROR(MATCH($I224,GradeList,0),0))</f>
        <v>0</v>
      </c>
      <c r="P224" s="64" t="n">
        <f aca="false">IF(AND($M224&gt;0,ISNUMBER(MATCH($F224,Lists!$A$2:$A$5,0)),ISNUMBER(MATCH($G224,Lists!$B$2:$B$7,0)),OR($H224="",$N224&gt;0),OR($I224="",$I224="NR",$O224&gt;0),IF(ISNUMBER($J224),AND($J224&gt;=0,$J224=INT($J224)),FALSE())),$J224,0)</f>
        <v>0</v>
      </c>
      <c r="Q224" s="64" t="n">
        <f aca="false">IF(AND($P224&gt;0,$O224&gt;0),$P224,0)</f>
        <v>0</v>
      </c>
      <c r="R224" s="64" t="n">
        <f aca="false">IF(AND($Q224&gt;0,$O224&gt;=AtRank),$Q224,0)</f>
        <v>0</v>
      </c>
      <c r="S224" s="64" t="n">
        <f aca="false">IF(AND($Q224&gt;0,$O224&gt;=AboveRank),$Q224,0)</f>
        <v>0</v>
      </c>
      <c r="T224" s="64" t="n">
        <f aca="false">IF($K224="Less",$P224,0)</f>
        <v>0</v>
      </c>
      <c r="U224" s="64" t="n">
        <f aca="false">IF($K224="Expected",$P224,0)</f>
        <v>0</v>
      </c>
      <c r="V224" s="64" t="n">
        <f aca="false">IF($K224="Better",$P224,0)</f>
        <v>0</v>
      </c>
      <c r="W224" s="64" t="n">
        <f aca="false">IF($K224="U – needs rule",$P224,0)</f>
        <v>0</v>
      </c>
      <c r="X224" s="64" t="n">
        <f aca="false">IF($K224="No Start (attainment only)",$P224,0)</f>
        <v>0</v>
      </c>
    </row>
    <row r="225" customFormat="false" ht="15" hidden="false" customHeight="false" outlineLevel="0" collapsed="false">
      <c r="A225" s="60"/>
      <c r="B225" s="61" t="str">
        <f aca="false">IF($M225=0,"",INDEX(Classes!$E$6:$E$420,$M225))</f>
        <v/>
      </c>
      <c r="C225" s="62" t="str">
        <f aca="false">IF($M225=0,"",INDEX(Classes!$H$6:$H$420,$M225))</f>
        <v/>
      </c>
      <c r="D225" s="61" t="str">
        <f aca="false">IF($M225=0,"",INDEX(Classes!$B$6:$B$420,$M225))</f>
        <v/>
      </c>
      <c r="E225" s="61" t="str">
        <f aca="false">IF($M225=0,"",INDEX(Classes!$C$6:$C$420,$M225))</f>
        <v/>
      </c>
      <c r="F225" s="63"/>
      <c r="G225" s="63"/>
      <c r="H225" s="60"/>
      <c r="I225" s="60"/>
      <c r="J225" s="63"/>
      <c r="K225" s="61" t="str">
        <f aca="false">IF($P225=0,"",IF($F225="Baseline","— Baseline",IF($O225=0,"No result",IF($N225=0,"No Start (attainment only)",IF(OR($N225=1,$O225=1),"U – needs rule",INDEX(MxBody,MATCH($I225,MxCurr,0),MATCH($H225,MxStart,0)))))))</f>
        <v/>
      </c>
      <c r="L225" s="62" t="str">
        <f aca="false">IF(COUNTA($A225,$F225,$G225,$H225,$I225,$J225)=0,"",IF($M225=0,"✖ كود الصف غير موجود",IF(ISNA(MATCH($F225,Lists!$A$2:$A$5,0)),"✖ الفترة غير صحيحة",IF(ISNA(MATCH($G225,Lists!$B$2:$B$7,0)),"✖ المجموعة غير صحيحة",IF(NOT(OR($H225="",$N225&gt;0)),"✖ Start غير صحيح",IF(NOT(OR($I225="",$I225="NR",$O225&gt;0)),"✖ Current غير صحيح",IF(NOT(IF(ISNUMBER($J225),AND($J225&gt;=0,$J225=INT($J225)),FALSE())),"✖ العدد يجب أن يكون صحيحًا ≥ 0",IF(AND($F225="Baseline",$H225&lt;&gt;""),"⚠ Baseline: Start لا يدخل في التقدم",IF($K225="No Start (attainment only)","ℹ تحصيل فقط (بدون Start)",IF($K225="U – needs rule","ℹ حالة U تحتاج قاعدة معتمدة",IF($K225="No result","ℹ بدون نتيجة (يُستبعد من التحصيل)","OK")))))))))))</f>
        <v/>
      </c>
      <c r="M225" s="64" t="n">
        <f aca="false">IF($A225="",0,IFERROR(MATCH($A225,Classes!$A$6:$A$420,0),0))</f>
        <v>0</v>
      </c>
      <c r="N225" s="64" t="n">
        <f aca="false">IF($H225="",0,IFERROR(MATCH($H225,GradeList,0),0))</f>
        <v>0</v>
      </c>
      <c r="O225" s="64" t="n">
        <f aca="false">IF(OR($I225="",$I225="NR"),0,IFERROR(MATCH($I225,GradeList,0),0))</f>
        <v>0</v>
      </c>
      <c r="P225" s="64" t="n">
        <f aca="false">IF(AND($M225&gt;0,ISNUMBER(MATCH($F225,Lists!$A$2:$A$5,0)),ISNUMBER(MATCH($G225,Lists!$B$2:$B$7,0)),OR($H225="",$N225&gt;0),OR($I225="",$I225="NR",$O225&gt;0),IF(ISNUMBER($J225),AND($J225&gt;=0,$J225=INT($J225)),FALSE())),$J225,0)</f>
        <v>0</v>
      </c>
      <c r="Q225" s="64" t="n">
        <f aca="false">IF(AND($P225&gt;0,$O225&gt;0),$P225,0)</f>
        <v>0</v>
      </c>
      <c r="R225" s="64" t="n">
        <f aca="false">IF(AND($Q225&gt;0,$O225&gt;=AtRank),$Q225,0)</f>
        <v>0</v>
      </c>
      <c r="S225" s="64" t="n">
        <f aca="false">IF(AND($Q225&gt;0,$O225&gt;=AboveRank),$Q225,0)</f>
        <v>0</v>
      </c>
      <c r="T225" s="64" t="n">
        <f aca="false">IF($K225="Less",$P225,0)</f>
        <v>0</v>
      </c>
      <c r="U225" s="64" t="n">
        <f aca="false">IF($K225="Expected",$P225,0)</f>
        <v>0</v>
      </c>
      <c r="V225" s="64" t="n">
        <f aca="false">IF($K225="Better",$P225,0)</f>
        <v>0</v>
      </c>
      <c r="W225" s="64" t="n">
        <f aca="false">IF($K225="U – needs rule",$P225,0)</f>
        <v>0</v>
      </c>
      <c r="X225" s="64" t="n">
        <f aca="false">IF($K225="No Start (attainment only)",$P225,0)</f>
        <v>0</v>
      </c>
    </row>
    <row r="226" customFormat="false" ht="15" hidden="false" customHeight="false" outlineLevel="0" collapsed="false">
      <c r="A226" s="60"/>
      <c r="B226" s="61" t="str">
        <f aca="false">IF($M226=0,"",INDEX(Classes!$E$6:$E$420,$M226))</f>
        <v/>
      </c>
      <c r="C226" s="62" t="str">
        <f aca="false">IF($M226=0,"",INDEX(Classes!$H$6:$H$420,$M226))</f>
        <v/>
      </c>
      <c r="D226" s="61" t="str">
        <f aca="false">IF($M226=0,"",INDEX(Classes!$B$6:$B$420,$M226))</f>
        <v/>
      </c>
      <c r="E226" s="61" t="str">
        <f aca="false">IF($M226=0,"",INDEX(Classes!$C$6:$C$420,$M226))</f>
        <v/>
      </c>
      <c r="F226" s="63"/>
      <c r="G226" s="63"/>
      <c r="H226" s="60"/>
      <c r="I226" s="60"/>
      <c r="J226" s="63"/>
      <c r="K226" s="61" t="str">
        <f aca="false">IF($P226=0,"",IF($F226="Baseline","— Baseline",IF($O226=0,"No result",IF($N226=0,"No Start (attainment only)",IF(OR($N226=1,$O226=1),"U – needs rule",INDEX(MxBody,MATCH($I226,MxCurr,0),MATCH($H226,MxStart,0)))))))</f>
        <v/>
      </c>
      <c r="L226" s="62" t="str">
        <f aca="false">IF(COUNTA($A226,$F226,$G226,$H226,$I226,$J226)=0,"",IF($M226=0,"✖ كود الصف غير موجود",IF(ISNA(MATCH($F226,Lists!$A$2:$A$5,0)),"✖ الفترة غير صحيحة",IF(ISNA(MATCH($G226,Lists!$B$2:$B$7,0)),"✖ المجموعة غير صحيحة",IF(NOT(OR($H226="",$N226&gt;0)),"✖ Start غير صحيح",IF(NOT(OR($I226="",$I226="NR",$O226&gt;0)),"✖ Current غير صحيح",IF(NOT(IF(ISNUMBER($J226),AND($J226&gt;=0,$J226=INT($J226)),FALSE())),"✖ العدد يجب أن يكون صحيحًا ≥ 0",IF(AND($F226="Baseline",$H226&lt;&gt;""),"⚠ Baseline: Start لا يدخل في التقدم",IF($K226="No Start (attainment only)","ℹ تحصيل فقط (بدون Start)",IF($K226="U – needs rule","ℹ حالة U تحتاج قاعدة معتمدة",IF($K226="No result","ℹ بدون نتيجة (يُستبعد من التحصيل)","OK")))))))))))</f>
        <v/>
      </c>
      <c r="M226" s="64" t="n">
        <f aca="false">IF($A226="",0,IFERROR(MATCH($A226,Classes!$A$6:$A$420,0),0))</f>
        <v>0</v>
      </c>
      <c r="N226" s="64" t="n">
        <f aca="false">IF($H226="",0,IFERROR(MATCH($H226,GradeList,0),0))</f>
        <v>0</v>
      </c>
      <c r="O226" s="64" t="n">
        <f aca="false">IF(OR($I226="",$I226="NR"),0,IFERROR(MATCH($I226,GradeList,0),0))</f>
        <v>0</v>
      </c>
      <c r="P226" s="64" t="n">
        <f aca="false">IF(AND($M226&gt;0,ISNUMBER(MATCH($F226,Lists!$A$2:$A$5,0)),ISNUMBER(MATCH($G226,Lists!$B$2:$B$7,0)),OR($H226="",$N226&gt;0),OR($I226="",$I226="NR",$O226&gt;0),IF(ISNUMBER($J226),AND($J226&gt;=0,$J226=INT($J226)),FALSE())),$J226,0)</f>
        <v>0</v>
      </c>
      <c r="Q226" s="64" t="n">
        <f aca="false">IF(AND($P226&gt;0,$O226&gt;0),$P226,0)</f>
        <v>0</v>
      </c>
      <c r="R226" s="64" t="n">
        <f aca="false">IF(AND($Q226&gt;0,$O226&gt;=AtRank),$Q226,0)</f>
        <v>0</v>
      </c>
      <c r="S226" s="64" t="n">
        <f aca="false">IF(AND($Q226&gt;0,$O226&gt;=AboveRank),$Q226,0)</f>
        <v>0</v>
      </c>
      <c r="T226" s="64" t="n">
        <f aca="false">IF($K226="Less",$P226,0)</f>
        <v>0</v>
      </c>
      <c r="U226" s="64" t="n">
        <f aca="false">IF($K226="Expected",$P226,0)</f>
        <v>0</v>
      </c>
      <c r="V226" s="64" t="n">
        <f aca="false">IF($K226="Better",$P226,0)</f>
        <v>0</v>
      </c>
      <c r="W226" s="64" t="n">
        <f aca="false">IF($K226="U – needs rule",$P226,0)</f>
        <v>0</v>
      </c>
      <c r="X226" s="64" t="n">
        <f aca="false">IF($K226="No Start (attainment only)",$P226,0)</f>
        <v>0</v>
      </c>
    </row>
    <row r="227" customFormat="false" ht="15" hidden="false" customHeight="false" outlineLevel="0" collapsed="false">
      <c r="A227" s="60"/>
      <c r="B227" s="61" t="str">
        <f aca="false">IF($M227=0,"",INDEX(Classes!$E$6:$E$420,$M227))</f>
        <v/>
      </c>
      <c r="C227" s="62" t="str">
        <f aca="false">IF($M227=0,"",INDEX(Classes!$H$6:$H$420,$M227))</f>
        <v/>
      </c>
      <c r="D227" s="61" t="str">
        <f aca="false">IF($M227=0,"",INDEX(Classes!$B$6:$B$420,$M227))</f>
        <v/>
      </c>
      <c r="E227" s="61" t="str">
        <f aca="false">IF($M227=0,"",INDEX(Classes!$C$6:$C$420,$M227))</f>
        <v/>
      </c>
      <c r="F227" s="63"/>
      <c r="G227" s="63"/>
      <c r="H227" s="60"/>
      <c r="I227" s="60"/>
      <c r="J227" s="63"/>
      <c r="K227" s="61" t="str">
        <f aca="false">IF($P227=0,"",IF($F227="Baseline","— Baseline",IF($O227=0,"No result",IF($N227=0,"No Start (attainment only)",IF(OR($N227=1,$O227=1),"U – needs rule",INDEX(MxBody,MATCH($I227,MxCurr,0),MATCH($H227,MxStart,0)))))))</f>
        <v/>
      </c>
      <c r="L227" s="62" t="str">
        <f aca="false">IF(COUNTA($A227,$F227,$G227,$H227,$I227,$J227)=0,"",IF($M227=0,"✖ كود الصف غير موجود",IF(ISNA(MATCH($F227,Lists!$A$2:$A$5,0)),"✖ الفترة غير صحيحة",IF(ISNA(MATCH($G227,Lists!$B$2:$B$7,0)),"✖ المجموعة غير صحيحة",IF(NOT(OR($H227="",$N227&gt;0)),"✖ Start غير صحيح",IF(NOT(OR($I227="",$I227="NR",$O227&gt;0)),"✖ Current غير صحيح",IF(NOT(IF(ISNUMBER($J227),AND($J227&gt;=0,$J227=INT($J227)),FALSE())),"✖ العدد يجب أن يكون صحيحًا ≥ 0",IF(AND($F227="Baseline",$H227&lt;&gt;""),"⚠ Baseline: Start لا يدخل في التقدم",IF($K227="No Start (attainment only)","ℹ تحصيل فقط (بدون Start)",IF($K227="U – needs rule","ℹ حالة U تحتاج قاعدة معتمدة",IF($K227="No result","ℹ بدون نتيجة (يُستبعد من التحصيل)","OK")))))))))))</f>
        <v/>
      </c>
      <c r="M227" s="64" t="n">
        <f aca="false">IF($A227="",0,IFERROR(MATCH($A227,Classes!$A$6:$A$420,0),0))</f>
        <v>0</v>
      </c>
      <c r="N227" s="64" t="n">
        <f aca="false">IF($H227="",0,IFERROR(MATCH($H227,GradeList,0),0))</f>
        <v>0</v>
      </c>
      <c r="O227" s="64" t="n">
        <f aca="false">IF(OR($I227="",$I227="NR"),0,IFERROR(MATCH($I227,GradeList,0),0))</f>
        <v>0</v>
      </c>
      <c r="P227" s="64" t="n">
        <f aca="false">IF(AND($M227&gt;0,ISNUMBER(MATCH($F227,Lists!$A$2:$A$5,0)),ISNUMBER(MATCH($G227,Lists!$B$2:$B$7,0)),OR($H227="",$N227&gt;0),OR($I227="",$I227="NR",$O227&gt;0),IF(ISNUMBER($J227),AND($J227&gt;=0,$J227=INT($J227)),FALSE())),$J227,0)</f>
        <v>0</v>
      </c>
      <c r="Q227" s="64" t="n">
        <f aca="false">IF(AND($P227&gt;0,$O227&gt;0),$P227,0)</f>
        <v>0</v>
      </c>
      <c r="R227" s="64" t="n">
        <f aca="false">IF(AND($Q227&gt;0,$O227&gt;=AtRank),$Q227,0)</f>
        <v>0</v>
      </c>
      <c r="S227" s="64" t="n">
        <f aca="false">IF(AND($Q227&gt;0,$O227&gt;=AboveRank),$Q227,0)</f>
        <v>0</v>
      </c>
      <c r="T227" s="64" t="n">
        <f aca="false">IF($K227="Less",$P227,0)</f>
        <v>0</v>
      </c>
      <c r="U227" s="64" t="n">
        <f aca="false">IF($K227="Expected",$P227,0)</f>
        <v>0</v>
      </c>
      <c r="V227" s="64" t="n">
        <f aca="false">IF($K227="Better",$P227,0)</f>
        <v>0</v>
      </c>
      <c r="W227" s="64" t="n">
        <f aca="false">IF($K227="U – needs rule",$P227,0)</f>
        <v>0</v>
      </c>
      <c r="X227" s="64" t="n">
        <f aca="false">IF($K227="No Start (attainment only)",$P227,0)</f>
        <v>0</v>
      </c>
    </row>
    <row r="228" customFormat="false" ht="15" hidden="false" customHeight="false" outlineLevel="0" collapsed="false">
      <c r="A228" s="60"/>
      <c r="B228" s="61" t="str">
        <f aca="false">IF($M228=0,"",INDEX(Classes!$E$6:$E$420,$M228))</f>
        <v/>
      </c>
      <c r="C228" s="62" t="str">
        <f aca="false">IF($M228=0,"",INDEX(Classes!$H$6:$H$420,$M228))</f>
        <v/>
      </c>
      <c r="D228" s="61" t="str">
        <f aca="false">IF($M228=0,"",INDEX(Classes!$B$6:$B$420,$M228))</f>
        <v/>
      </c>
      <c r="E228" s="61" t="str">
        <f aca="false">IF($M228=0,"",INDEX(Classes!$C$6:$C$420,$M228))</f>
        <v/>
      </c>
      <c r="F228" s="63"/>
      <c r="G228" s="63"/>
      <c r="H228" s="60"/>
      <c r="I228" s="60"/>
      <c r="J228" s="63"/>
      <c r="K228" s="61" t="str">
        <f aca="false">IF($P228=0,"",IF($F228="Baseline","— Baseline",IF($O228=0,"No result",IF($N228=0,"No Start (attainment only)",IF(OR($N228=1,$O228=1),"U – needs rule",INDEX(MxBody,MATCH($I228,MxCurr,0),MATCH($H228,MxStart,0)))))))</f>
        <v/>
      </c>
      <c r="L228" s="62" t="str">
        <f aca="false">IF(COUNTA($A228,$F228,$G228,$H228,$I228,$J228)=0,"",IF($M228=0,"✖ كود الصف غير موجود",IF(ISNA(MATCH($F228,Lists!$A$2:$A$5,0)),"✖ الفترة غير صحيحة",IF(ISNA(MATCH($G228,Lists!$B$2:$B$7,0)),"✖ المجموعة غير صحيحة",IF(NOT(OR($H228="",$N228&gt;0)),"✖ Start غير صحيح",IF(NOT(OR($I228="",$I228="NR",$O228&gt;0)),"✖ Current غير صحيح",IF(NOT(IF(ISNUMBER($J228),AND($J228&gt;=0,$J228=INT($J228)),FALSE())),"✖ العدد يجب أن يكون صحيحًا ≥ 0",IF(AND($F228="Baseline",$H228&lt;&gt;""),"⚠ Baseline: Start لا يدخل في التقدم",IF($K228="No Start (attainment only)","ℹ تحصيل فقط (بدون Start)",IF($K228="U – needs rule","ℹ حالة U تحتاج قاعدة معتمدة",IF($K228="No result","ℹ بدون نتيجة (يُستبعد من التحصيل)","OK")))))))))))</f>
        <v/>
      </c>
      <c r="M228" s="64" t="n">
        <f aca="false">IF($A228="",0,IFERROR(MATCH($A228,Classes!$A$6:$A$420,0),0))</f>
        <v>0</v>
      </c>
      <c r="N228" s="64" t="n">
        <f aca="false">IF($H228="",0,IFERROR(MATCH($H228,GradeList,0),0))</f>
        <v>0</v>
      </c>
      <c r="O228" s="64" t="n">
        <f aca="false">IF(OR($I228="",$I228="NR"),0,IFERROR(MATCH($I228,GradeList,0),0))</f>
        <v>0</v>
      </c>
      <c r="P228" s="64" t="n">
        <f aca="false">IF(AND($M228&gt;0,ISNUMBER(MATCH($F228,Lists!$A$2:$A$5,0)),ISNUMBER(MATCH($G228,Lists!$B$2:$B$7,0)),OR($H228="",$N228&gt;0),OR($I228="",$I228="NR",$O228&gt;0),IF(ISNUMBER($J228),AND($J228&gt;=0,$J228=INT($J228)),FALSE())),$J228,0)</f>
        <v>0</v>
      </c>
      <c r="Q228" s="64" t="n">
        <f aca="false">IF(AND($P228&gt;0,$O228&gt;0),$P228,0)</f>
        <v>0</v>
      </c>
      <c r="R228" s="64" t="n">
        <f aca="false">IF(AND($Q228&gt;0,$O228&gt;=AtRank),$Q228,0)</f>
        <v>0</v>
      </c>
      <c r="S228" s="64" t="n">
        <f aca="false">IF(AND($Q228&gt;0,$O228&gt;=AboveRank),$Q228,0)</f>
        <v>0</v>
      </c>
      <c r="T228" s="64" t="n">
        <f aca="false">IF($K228="Less",$P228,0)</f>
        <v>0</v>
      </c>
      <c r="U228" s="64" t="n">
        <f aca="false">IF($K228="Expected",$P228,0)</f>
        <v>0</v>
      </c>
      <c r="V228" s="64" t="n">
        <f aca="false">IF($K228="Better",$P228,0)</f>
        <v>0</v>
      </c>
      <c r="W228" s="64" t="n">
        <f aca="false">IF($K228="U – needs rule",$P228,0)</f>
        <v>0</v>
      </c>
      <c r="X228" s="64" t="n">
        <f aca="false">IF($K228="No Start (attainment only)",$P228,0)</f>
        <v>0</v>
      </c>
    </row>
    <row r="229" customFormat="false" ht="15" hidden="false" customHeight="false" outlineLevel="0" collapsed="false">
      <c r="A229" s="60"/>
      <c r="B229" s="61" t="str">
        <f aca="false">IF($M229=0,"",INDEX(Classes!$E$6:$E$420,$M229))</f>
        <v/>
      </c>
      <c r="C229" s="62" t="str">
        <f aca="false">IF($M229=0,"",INDEX(Classes!$H$6:$H$420,$M229))</f>
        <v/>
      </c>
      <c r="D229" s="61" t="str">
        <f aca="false">IF($M229=0,"",INDEX(Classes!$B$6:$B$420,$M229))</f>
        <v/>
      </c>
      <c r="E229" s="61" t="str">
        <f aca="false">IF($M229=0,"",INDEX(Classes!$C$6:$C$420,$M229))</f>
        <v/>
      </c>
      <c r="F229" s="63"/>
      <c r="G229" s="63"/>
      <c r="H229" s="60"/>
      <c r="I229" s="60"/>
      <c r="J229" s="63"/>
      <c r="K229" s="61" t="str">
        <f aca="false">IF($P229=0,"",IF($F229="Baseline","— Baseline",IF($O229=0,"No result",IF($N229=0,"No Start (attainment only)",IF(OR($N229=1,$O229=1),"U – needs rule",INDEX(MxBody,MATCH($I229,MxCurr,0),MATCH($H229,MxStart,0)))))))</f>
        <v/>
      </c>
      <c r="L229" s="62" t="str">
        <f aca="false">IF(COUNTA($A229,$F229,$G229,$H229,$I229,$J229)=0,"",IF($M229=0,"✖ كود الصف غير موجود",IF(ISNA(MATCH($F229,Lists!$A$2:$A$5,0)),"✖ الفترة غير صحيحة",IF(ISNA(MATCH($G229,Lists!$B$2:$B$7,0)),"✖ المجموعة غير صحيحة",IF(NOT(OR($H229="",$N229&gt;0)),"✖ Start غير صحيح",IF(NOT(OR($I229="",$I229="NR",$O229&gt;0)),"✖ Current غير صحيح",IF(NOT(IF(ISNUMBER($J229),AND($J229&gt;=0,$J229=INT($J229)),FALSE())),"✖ العدد يجب أن يكون صحيحًا ≥ 0",IF(AND($F229="Baseline",$H229&lt;&gt;""),"⚠ Baseline: Start لا يدخل في التقدم",IF($K229="No Start (attainment only)","ℹ تحصيل فقط (بدون Start)",IF($K229="U – needs rule","ℹ حالة U تحتاج قاعدة معتمدة",IF($K229="No result","ℹ بدون نتيجة (يُستبعد من التحصيل)","OK")))))))))))</f>
        <v/>
      </c>
      <c r="M229" s="64" t="n">
        <f aca="false">IF($A229="",0,IFERROR(MATCH($A229,Classes!$A$6:$A$420,0),0))</f>
        <v>0</v>
      </c>
      <c r="N229" s="64" t="n">
        <f aca="false">IF($H229="",0,IFERROR(MATCH($H229,GradeList,0),0))</f>
        <v>0</v>
      </c>
      <c r="O229" s="64" t="n">
        <f aca="false">IF(OR($I229="",$I229="NR"),0,IFERROR(MATCH($I229,GradeList,0),0))</f>
        <v>0</v>
      </c>
      <c r="P229" s="64" t="n">
        <f aca="false">IF(AND($M229&gt;0,ISNUMBER(MATCH($F229,Lists!$A$2:$A$5,0)),ISNUMBER(MATCH($G229,Lists!$B$2:$B$7,0)),OR($H229="",$N229&gt;0),OR($I229="",$I229="NR",$O229&gt;0),IF(ISNUMBER($J229),AND($J229&gt;=0,$J229=INT($J229)),FALSE())),$J229,0)</f>
        <v>0</v>
      </c>
      <c r="Q229" s="64" t="n">
        <f aca="false">IF(AND($P229&gt;0,$O229&gt;0),$P229,0)</f>
        <v>0</v>
      </c>
      <c r="R229" s="64" t="n">
        <f aca="false">IF(AND($Q229&gt;0,$O229&gt;=AtRank),$Q229,0)</f>
        <v>0</v>
      </c>
      <c r="S229" s="64" t="n">
        <f aca="false">IF(AND($Q229&gt;0,$O229&gt;=AboveRank),$Q229,0)</f>
        <v>0</v>
      </c>
      <c r="T229" s="64" t="n">
        <f aca="false">IF($K229="Less",$P229,0)</f>
        <v>0</v>
      </c>
      <c r="U229" s="64" t="n">
        <f aca="false">IF($K229="Expected",$P229,0)</f>
        <v>0</v>
      </c>
      <c r="V229" s="64" t="n">
        <f aca="false">IF($K229="Better",$P229,0)</f>
        <v>0</v>
      </c>
      <c r="W229" s="64" t="n">
        <f aca="false">IF($K229="U – needs rule",$P229,0)</f>
        <v>0</v>
      </c>
      <c r="X229" s="64" t="n">
        <f aca="false">IF($K229="No Start (attainment only)",$P229,0)</f>
        <v>0</v>
      </c>
    </row>
    <row r="230" customFormat="false" ht="15" hidden="false" customHeight="false" outlineLevel="0" collapsed="false">
      <c r="A230" s="60"/>
      <c r="B230" s="61" t="str">
        <f aca="false">IF($M230=0,"",INDEX(Classes!$E$6:$E$420,$M230))</f>
        <v/>
      </c>
      <c r="C230" s="62" t="str">
        <f aca="false">IF($M230=0,"",INDEX(Classes!$H$6:$H$420,$M230))</f>
        <v/>
      </c>
      <c r="D230" s="61" t="str">
        <f aca="false">IF($M230=0,"",INDEX(Classes!$B$6:$B$420,$M230))</f>
        <v/>
      </c>
      <c r="E230" s="61" t="str">
        <f aca="false">IF($M230=0,"",INDEX(Classes!$C$6:$C$420,$M230))</f>
        <v/>
      </c>
      <c r="F230" s="63"/>
      <c r="G230" s="63"/>
      <c r="H230" s="60"/>
      <c r="I230" s="60"/>
      <c r="J230" s="63"/>
      <c r="K230" s="61" t="str">
        <f aca="false">IF($P230=0,"",IF($F230="Baseline","— Baseline",IF($O230=0,"No result",IF($N230=0,"No Start (attainment only)",IF(OR($N230=1,$O230=1),"U – needs rule",INDEX(MxBody,MATCH($I230,MxCurr,0),MATCH($H230,MxStart,0)))))))</f>
        <v/>
      </c>
      <c r="L230" s="62" t="str">
        <f aca="false">IF(COUNTA($A230,$F230,$G230,$H230,$I230,$J230)=0,"",IF($M230=0,"✖ كود الصف غير موجود",IF(ISNA(MATCH($F230,Lists!$A$2:$A$5,0)),"✖ الفترة غير صحيحة",IF(ISNA(MATCH($G230,Lists!$B$2:$B$7,0)),"✖ المجموعة غير صحيحة",IF(NOT(OR($H230="",$N230&gt;0)),"✖ Start غير صحيح",IF(NOT(OR($I230="",$I230="NR",$O230&gt;0)),"✖ Current غير صحيح",IF(NOT(IF(ISNUMBER($J230),AND($J230&gt;=0,$J230=INT($J230)),FALSE())),"✖ العدد يجب أن يكون صحيحًا ≥ 0",IF(AND($F230="Baseline",$H230&lt;&gt;""),"⚠ Baseline: Start لا يدخل في التقدم",IF($K230="No Start (attainment only)","ℹ تحصيل فقط (بدون Start)",IF($K230="U – needs rule","ℹ حالة U تحتاج قاعدة معتمدة",IF($K230="No result","ℹ بدون نتيجة (يُستبعد من التحصيل)","OK")))))))))))</f>
        <v/>
      </c>
      <c r="M230" s="64" t="n">
        <f aca="false">IF($A230="",0,IFERROR(MATCH($A230,Classes!$A$6:$A$420,0),0))</f>
        <v>0</v>
      </c>
      <c r="N230" s="64" t="n">
        <f aca="false">IF($H230="",0,IFERROR(MATCH($H230,GradeList,0),0))</f>
        <v>0</v>
      </c>
      <c r="O230" s="64" t="n">
        <f aca="false">IF(OR($I230="",$I230="NR"),0,IFERROR(MATCH($I230,GradeList,0),0))</f>
        <v>0</v>
      </c>
      <c r="P230" s="64" t="n">
        <f aca="false">IF(AND($M230&gt;0,ISNUMBER(MATCH($F230,Lists!$A$2:$A$5,0)),ISNUMBER(MATCH($G230,Lists!$B$2:$B$7,0)),OR($H230="",$N230&gt;0),OR($I230="",$I230="NR",$O230&gt;0),IF(ISNUMBER($J230),AND($J230&gt;=0,$J230=INT($J230)),FALSE())),$J230,0)</f>
        <v>0</v>
      </c>
      <c r="Q230" s="64" t="n">
        <f aca="false">IF(AND($P230&gt;0,$O230&gt;0),$P230,0)</f>
        <v>0</v>
      </c>
      <c r="R230" s="64" t="n">
        <f aca="false">IF(AND($Q230&gt;0,$O230&gt;=AtRank),$Q230,0)</f>
        <v>0</v>
      </c>
      <c r="S230" s="64" t="n">
        <f aca="false">IF(AND($Q230&gt;0,$O230&gt;=AboveRank),$Q230,0)</f>
        <v>0</v>
      </c>
      <c r="T230" s="64" t="n">
        <f aca="false">IF($K230="Less",$P230,0)</f>
        <v>0</v>
      </c>
      <c r="U230" s="64" t="n">
        <f aca="false">IF($K230="Expected",$P230,0)</f>
        <v>0</v>
      </c>
      <c r="V230" s="64" t="n">
        <f aca="false">IF($K230="Better",$P230,0)</f>
        <v>0</v>
      </c>
      <c r="W230" s="64" t="n">
        <f aca="false">IF($K230="U – needs rule",$P230,0)</f>
        <v>0</v>
      </c>
      <c r="X230" s="64" t="n">
        <f aca="false">IF($K230="No Start (attainment only)",$P230,0)</f>
        <v>0</v>
      </c>
    </row>
    <row r="231" customFormat="false" ht="15" hidden="false" customHeight="false" outlineLevel="0" collapsed="false">
      <c r="A231" s="60"/>
      <c r="B231" s="61" t="str">
        <f aca="false">IF($M231=0,"",INDEX(Classes!$E$6:$E$420,$M231))</f>
        <v/>
      </c>
      <c r="C231" s="62" t="str">
        <f aca="false">IF($M231=0,"",INDEX(Classes!$H$6:$H$420,$M231))</f>
        <v/>
      </c>
      <c r="D231" s="61" t="str">
        <f aca="false">IF($M231=0,"",INDEX(Classes!$B$6:$B$420,$M231))</f>
        <v/>
      </c>
      <c r="E231" s="61" t="str">
        <f aca="false">IF($M231=0,"",INDEX(Classes!$C$6:$C$420,$M231))</f>
        <v/>
      </c>
      <c r="F231" s="63"/>
      <c r="G231" s="63"/>
      <c r="H231" s="60"/>
      <c r="I231" s="60"/>
      <c r="J231" s="63"/>
      <c r="K231" s="61" t="str">
        <f aca="false">IF($P231=0,"",IF($F231="Baseline","— Baseline",IF($O231=0,"No result",IF($N231=0,"No Start (attainment only)",IF(OR($N231=1,$O231=1),"U – needs rule",INDEX(MxBody,MATCH($I231,MxCurr,0),MATCH($H231,MxStart,0)))))))</f>
        <v/>
      </c>
      <c r="L231" s="62" t="str">
        <f aca="false">IF(COUNTA($A231,$F231,$G231,$H231,$I231,$J231)=0,"",IF($M231=0,"✖ كود الصف غير موجود",IF(ISNA(MATCH($F231,Lists!$A$2:$A$5,0)),"✖ الفترة غير صحيحة",IF(ISNA(MATCH($G231,Lists!$B$2:$B$7,0)),"✖ المجموعة غير صحيحة",IF(NOT(OR($H231="",$N231&gt;0)),"✖ Start غير صحيح",IF(NOT(OR($I231="",$I231="NR",$O231&gt;0)),"✖ Current غير صحيح",IF(NOT(IF(ISNUMBER($J231),AND($J231&gt;=0,$J231=INT($J231)),FALSE())),"✖ العدد يجب أن يكون صحيحًا ≥ 0",IF(AND($F231="Baseline",$H231&lt;&gt;""),"⚠ Baseline: Start لا يدخل في التقدم",IF($K231="No Start (attainment only)","ℹ تحصيل فقط (بدون Start)",IF($K231="U – needs rule","ℹ حالة U تحتاج قاعدة معتمدة",IF($K231="No result","ℹ بدون نتيجة (يُستبعد من التحصيل)","OK")))))))))))</f>
        <v/>
      </c>
      <c r="M231" s="64" t="n">
        <f aca="false">IF($A231="",0,IFERROR(MATCH($A231,Classes!$A$6:$A$420,0),0))</f>
        <v>0</v>
      </c>
      <c r="N231" s="64" t="n">
        <f aca="false">IF($H231="",0,IFERROR(MATCH($H231,GradeList,0),0))</f>
        <v>0</v>
      </c>
      <c r="O231" s="64" t="n">
        <f aca="false">IF(OR($I231="",$I231="NR"),0,IFERROR(MATCH($I231,GradeList,0),0))</f>
        <v>0</v>
      </c>
      <c r="P231" s="64" t="n">
        <f aca="false">IF(AND($M231&gt;0,ISNUMBER(MATCH($F231,Lists!$A$2:$A$5,0)),ISNUMBER(MATCH($G231,Lists!$B$2:$B$7,0)),OR($H231="",$N231&gt;0),OR($I231="",$I231="NR",$O231&gt;0),IF(ISNUMBER($J231),AND($J231&gt;=0,$J231=INT($J231)),FALSE())),$J231,0)</f>
        <v>0</v>
      </c>
      <c r="Q231" s="64" t="n">
        <f aca="false">IF(AND($P231&gt;0,$O231&gt;0),$P231,0)</f>
        <v>0</v>
      </c>
      <c r="R231" s="64" t="n">
        <f aca="false">IF(AND($Q231&gt;0,$O231&gt;=AtRank),$Q231,0)</f>
        <v>0</v>
      </c>
      <c r="S231" s="64" t="n">
        <f aca="false">IF(AND($Q231&gt;0,$O231&gt;=AboveRank),$Q231,0)</f>
        <v>0</v>
      </c>
      <c r="T231" s="64" t="n">
        <f aca="false">IF($K231="Less",$P231,0)</f>
        <v>0</v>
      </c>
      <c r="U231" s="64" t="n">
        <f aca="false">IF($K231="Expected",$P231,0)</f>
        <v>0</v>
      </c>
      <c r="V231" s="64" t="n">
        <f aca="false">IF($K231="Better",$P231,0)</f>
        <v>0</v>
      </c>
      <c r="W231" s="64" t="n">
        <f aca="false">IF($K231="U – needs rule",$P231,0)</f>
        <v>0</v>
      </c>
      <c r="X231" s="64" t="n">
        <f aca="false">IF($K231="No Start (attainment only)",$P231,0)</f>
        <v>0</v>
      </c>
    </row>
    <row r="232" customFormat="false" ht="15" hidden="false" customHeight="false" outlineLevel="0" collapsed="false">
      <c r="A232" s="60"/>
      <c r="B232" s="61" t="str">
        <f aca="false">IF($M232=0,"",INDEX(Classes!$E$6:$E$420,$M232))</f>
        <v/>
      </c>
      <c r="C232" s="62" t="str">
        <f aca="false">IF($M232=0,"",INDEX(Classes!$H$6:$H$420,$M232))</f>
        <v/>
      </c>
      <c r="D232" s="61" t="str">
        <f aca="false">IF($M232=0,"",INDEX(Classes!$B$6:$B$420,$M232))</f>
        <v/>
      </c>
      <c r="E232" s="61" t="str">
        <f aca="false">IF($M232=0,"",INDEX(Classes!$C$6:$C$420,$M232))</f>
        <v/>
      </c>
      <c r="F232" s="63"/>
      <c r="G232" s="63"/>
      <c r="H232" s="60"/>
      <c r="I232" s="60"/>
      <c r="J232" s="63"/>
      <c r="K232" s="61" t="str">
        <f aca="false">IF($P232=0,"",IF($F232="Baseline","— Baseline",IF($O232=0,"No result",IF($N232=0,"No Start (attainment only)",IF(OR($N232=1,$O232=1),"U – needs rule",INDEX(MxBody,MATCH($I232,MxCurr,0),MATCH($H232,MxStart,0)))))))</f>
        <v/>
      </c>
      <c r="L232" s="62" t="str">
        <f aca="false">IF(COUNTA($A232,$F232,$G232,$H232,$I232,$J232)=0,"",IF($M232=0,"✖ كود الصف غير موجود",IF(ISNA(MATCH($F232,Lists!$A$2:$A$5,0)),"✖ الفترة غير صحيحة",IF(ISNA(MATCH($G232,Lists!$B$2:$B$7,0)),"✖ المجموعة غير صحيحة",IF(NOT(OR($H232="",$N232&gt;0)),"✖ Start غير صحيح",IF(NOT(OR($I232="",$I232="NR",$O232&gt;0)),"✖ Current غير صحيح",IF(NOT(IF(ISNUMBER($J232),AND($J232&gt;=0,$J232=INT($J232)),FALSE())),"✖ العدد يجب أن يكون صحيحًا ≥ 0",IF(AND($F232="Baseline",$H232&lt;&gt;""),"⚠ Baseline: Start لا يدخل في التقدم",IF($K232="No Start (attainment only)","ℹ تحصيل فقط (بدون Start)",IF($K232="U – needs rule","ℹ حالة U تحتاج قاعدة معتمدة",IF($K232="No result","ℹ بدون نتيجة (يُستبعد من التحصيل)","OK")))))))))))</f>
        <v/>
      </c>
      <c r="M232" s="64" t="n">
        <f aca="false">IF($A232="",0,IFERROR(MATCH($A232,Classes!$A$6:$A$420,0),0))</f>
        <v>0</v>
      </c>
      <c r="N232" s="64" t="n">
        <f aca="false">IF($H232="",0,IFERROR(MATCH($H232,GradeList,0),0))</f>
        <v>0</v>
      </c>
      <c r="O232" s="64" t="n">
        <f aca="false">IF(OR($I232="",$I232="NR"),0,IFERROR(MATCH($I232,GradeList,0),0))</f>
        <v>0</v>
      </c>
      <c r="P232" s="64" t="n">
        <f aca="false">IF(AND($M232&gt;0,ISNUMBER(MATCH($F232,Lists!$A$2:$A$5,0)),ISNUMBER(MATCH($G232,Lists!$B$2:$B$7,0)),OR($H232="",$N232&gt;0),OR($I232="",$I232="NR",$O232&gt;0),IF(ISNUMBER($J232),AND($J232&gt;=0,$J232=INT($J232)),FALSE())),$J232,0)</f>
        <v>0</v>
      </c>
      <c r="Q232" s="64" t="n">
        <f aca="false">IF(AND($P232&gt;0,$O232&gt;0),$P232,0)</f>
        <v>0</v>
      </c>
      <c r="R232" s="64" t="n">
        <f aca="false">IF(AND($Q232&gt;0,$O232&gt;=AtRank),$Q232,0)</f>
        <v>0</v>
      </c>
      <c r="S232" s="64" t="n">
        <f aca="false">IF(AND($Q232&gt;0,$O232&gt;=AboveRank),$Q232,0)</f>
        <v>0</v>
      </c>
      <c r="T232" s="64" t="n">
        <f aca="false">IF($K232="Less",$P232,0)</f>
        <v>0</v>
      </c>
      <c r="U232" s="64" t="n">
        <f aca="false">IF($K232="Expected",$P232,0)</f>
        <v>0</v>
      </c>
      <c r="V232" s="64" t="n">
        <f aca="false">IF($K232="Better",$P232,0)</f>
        <v>0</v>
      </c>
      <c r="W232" s="64" t="n">
        <f aca="false">IF($K232="U – needs rule",$P232,0)</f>
        <v>0</v>
      </c>
      <c r="X232" s="64" t="n">
        <f aca="false">IF($K232="No Start (attainment only)",$P232,0)</f>
        <v>0</v>
      </c>
    </row>
    <row r="233" customFormat="false" ht="15" hidden="false" customHeight="false" outlineLevel="0" collapsed="false">
      <c r="A233" s="60"/>
      <c r="B233" s="61" t="str">
        <f aca="false">IF($M233=0,"",INDEX(Classes!$E$6:$E$420,$M233))</f>
        <v/>
      </c>
      <c r="C233" s="62" t="str">
        <f aca="false">IF($M233=0,"",INDEX(Classes!$H$6:$H$420,$M233))</f>
        <v/>
      </c>
      <c r="D233" s="61" t="str">
        <f aca="false">IF($M233=0,"",INDEX(Classes!$B$6:$B$420,$M233))</f>
        <v/>
      </c>
      <c r="E233" s="61" t="str">
        <f aca="false">IF($M233=0,"",INDEX(Classes!$C$6:$C$420,$M233))</f>
        <v/>
      </c>
      <c r="F233" s="63"/>
      <c r="G233" s="63"/>
      <c r="H233" s="60"/>
      <c r="I233" s="60"/>
      <c r="J233" s="63"/>
      <c r="K233" s="61" t="str">
        <f aca="false">IF($P233=0,"",IF($F233="Baseline","— Baseline",IF($O233=0,"No result",IF($N233=0,"No Start (attainment only)",IF(OR($N233=1,$O233=1),"U – needs rule",INDEX(MxBody,MATCH($I233,MxCurr,0),MATCH($H233,MxStart,0)))))))</f>
        <v/>
      </c>
      <c r="L233" s="62" t="str">
        <f aca="false">IF(COUNTA($A233,$F233,$G233,$H233,$I233,$J233)=0,"",IF($M233=0,"✖ كود الصف غير موجود",IF(ISNA(MATCH($F233,Lists!$A$2:$A$5,0)),"✖ الفترة غير صحيحة",IF(ISNA(MATCH($G233,Lists!$B$2:$B$7,0)),"✖ المجموعة غير صحيحة",IF(NOT(OR($H233="",$N233&gt;0)),"✖ Start غير صحيح",IF(NOT(OR($I233="",$I233="NR",$O233&gt;0)),"✖ Current غير صحيح",IF(NOT(IF(ISNUMBER($J233),AND($J233&gt;=0,$J233=INT($J233)),FALSE())),"✖ العدد يجب أن يكون صحيحًا ≥ 0",IF(AND($F233="Baseline",$H233&lt;&gt;""),"⚠ Baseline: Start لا يدخل في التقدم",IF($K233="No Start (attainment only)","ℹ تحصيل فقط (بدون Start)",IF($K233="U – needs rule","ℹ حالة U تحتاج قاعدة معتمدة",IF($K233="No result","ℹ بدون نتيجة (يُستبعد من التحصيل)","OK")))))))))))</f>
        <v/>
      </c>
      <c r="M233" s="64" t="n">
        <f aca="false">IF($A233="",0,IFERROR(MATCH($A233,Classes!$A$6:$A$420,0),0))</f>
        <v>0</v>
      </c>
      <c r="N233" s="64" t="n">
        <f aca="false">IF($H233="",0,IFERROR(MATCH($H233,GradeList,0),0))</f>
        <v>0</v>
      </c>
      <c r="O233" s="64" t="n">
        <f aca="false">IF(OR($I233="",$I233="NR"),0,IFERROR(MATCH($I233,GradeList,0),0))</f>
        <v>0</v>
      </c>
      <c r="P233" s="64" t="n">
        <f aca="false">IF(AND($M233&gt;0,ISNUMBER(MATCH($F233,Lists!$A$2:$A$5,0)),ISNUMBER(MATCH($G233,Lists!$B$2:$B$7,0)),OR($H233="",$N233&gt;0),OR($I233="",$I233="NR",$O233&gt;0),IF(ISNUMBER($J233),AND($J233&gt;=0,$J233=INT($J233)),FALSE())),$J233,0)</f>
        <v>0</v>
      </c>
      <c r="Q233" s="64" t="n">
        <f aca="false">IF(AND($P233&gt;0,$O233&gt;0),$P233,0)</f>
        <v>0</v>
      </c>
      <c r="R233" s="64" t="n">
        <f aca="false">IF(AND($Q233&gt;0,$O233&gt;=AtRank),$Q233,0)</f>
        <v>0</v>
      </c>
      <c r="S233" s="64" t="n">
        <f aca="false">IF(AND($Q233&gt;0,$O233&gt;=AboveRank),$Q233,0)</f>
        <v>0</v>
      </c>
      <c r="T233" s="64" t="n">
        <f aca="false">IF($K233="Less",$P233,0)</f>
        <v>0</v>
      </c>
      <c r="U233" s="64" t="n">
        <f aca="false">IF($K233="Expected",$P233,0)</f>
        <v>0</v>
      </c>
      <c r="V233" s="64" t="n">
        <f aca="false">IF($K233="Better",$P233,0)</f>
        <v>0</v>
      </c>
      <c r="W233" s="64" t="n">
        <f aca="false">IF($K233="U – needs rule",$P233,0)</f>
        <v>0</v>
      </c>
      <c r="X233" s="64" t="n">
        <f aca="false">IF($K233="No Start (attainment only)",$P233,0)</f>
        <v>0</v>
      </c>
    </row>
    <row r="234" customFormat="false" ht="15" hidden="false" customHeight="false" outlineLevel="0" collapsed="false">
      <c r="A234" s="60"/>
      <c r="B234" s="61" t="str">
        <f aca="false">IF($M234=0,"",INDEX(Classes!$E$6:$E$420,$M234))</f>
        <v/>
      </c>
      <c r="C234" s="62" t="str">
        <f aca="false">IF($M234=0,"",INDEX(Classes!$H$6:$H$420,$M234))</f>
        <v/>
      </c>
      <c r="D234" s="61" t="str">
        <f aca="false">IF($M234=0,"",INDEX(Classes!$B$6:$B$420,$M234))</f>
        <v/>
      </c>
      <c r="E234" s="61" t="str">
        <f aca="false">IF($M234=0,"",INDEX(Classes!$C$6:$C$420,$M234))</f>
        <v/>
      </c>
      <c r="F234" s="63"/>
      <c r="G234" s="63"/>
      <c r="H234" s="60"/>
      <c r="I234" s="60"/>
      <c r="J234" s="63"/>
      <c r="K234" s="61" t="str">
        <f aca="false">IF($P234=0,"",IF($F234="Baseline","— Baseline",IF($O234=0,"No result",IF($N234=0,"No Start (attainment only)",IF(OR($N234=1,$O234=1),"U – needs rule",INDEX(MxBody,MATCH($I234,MxCurr,0),MATCH($H234,MxStart,0)))))))</f>
        <v/>
      </c>
      <c r="L234" s="62" t="str">
        <f aca="false">IF(COUNTA($A234,$F234,$G234,$H234,$I234,$J234)=0,"",IF($M234=0,"✖ كود الصف غير موجود",IF(ISNA(MATCH($F234,Lists!$A$2:$A$5,0)),"✖ الفترة غير صحيحة",IF(ISNA(MATCH($G234,Lists!$B$2:$B$7,0)),"✖ المجموعة غير صحيحة",IF(NOT(OR($H234="",$N234&gt;0)),"✖ Start غير صحيح",IF(NOT(OR($I234="",$I234="NR",$O234&gt;0)),"✖ Current غير صحيح",IF(NOT(IF(ISNUMBER($J234),AND($J234&gt;=0,$J234=INT($J234)),FALSE())),"✖ العدد يجب أن يكون صحيحًا ≥ 0",IF(AND($F234="Baseline",$H234&lt;&gt;""),"⚠ Baseline: Start لا يدخل في التقدم",IF($K234="No Start (attainment only)","ℹ تحصيل فقط (بدون Start)",IF($K234="U – needs rule","ℹ حالة U تحتاج قاعدة معتمدة",IF($K234="No result","ℹ بدون نتيجة (يُستبعد من التحصيل)","OK")))))))))))</f>
        <v/>
      </c>
      <c r="M234" s="64" t="n">
        <f aca="false">IF($A234="",0,IFERROR(MATCH($A234,Classes!$A$6:$A$420,0),0))</f>
        <v>0</v>
      </c>
      <c r="N234" s="64" t="n">
        <f aca="false">IF($H234="",0,IFERROR(MATCH($H234,GradeList,0),0))</f>
        <v>0</v>
      </c>
      <c r="O234" s="64" t="n">
        <f aca="false">IF(OR($I234="",$I234="NR"),0,IFERROR(MATCH($I234,GradeList,0),0))</f>
        <v>0</v>
      </c>
      <c r="P234" s="64" t="n">
        <f aca="false">IF(AND($M234&gt;0,ISNUMBER(MATCH($F234,Lists!$A$2:$A$5,0)),ISNUMBER(MATCH($G234,Lists!$B$2:$B$7,0)),OR($H234="",$N234&gt;0),OR($I234="",$I234="NR",$O234&gt;0),IF(ISNUMBER($J234),AND($J234&gt;=0,$J234=INT($J234)),FALSE())),$J234,0)</f>
        <v>0</v>
      </c>
      <c r="Q234" s="64" t="n">
        <f aca="false">IF(AND($P234&gt;0,$O234&gt;0),$P234,0)</f>
        <v>0</v>
      </c>
      <c r="R234" s="64" t="n">
        <f aca="false">IF(AND($Q234&gt;0,$O234&gt;=AtRank),$Q234,0)</f>
        <v>0</v>
      </c>
      <c r="S234" s="64" t="n">
        <f aca="false">IF(AND($Q234&gt;0,$O234&gt;=AboveRank),$Q234,0)</f>
        <v>0</v>
      </c>
      <c r="T234" s="64" t="n">
        <f aca="false">IF($K234="Less",$P234,0)</f>
        <v>0</v>
      </c>
      <c r="U234" s="64" t="n">
        <f aca="false">IF($K234="Expected",$P234,0)</f>
        <v>0</v>
      </c>
      <c r="V234" s="64" t="n">
        <f aca="false">IF($K234="Better",$P234,0)</f>
        <v>0</v>
      </c>
      <c r="W234" s="64" t="n">
        <f aca="false">IF($K234="U – needs rule",$P234,0)</f>
        <v>0</v>
      </c>
      <c r="X234" s="64" t="n">
        <f aca="false">IF($K234="No Start (attainment only)",$P234,0)</f>
        <v>0</v>
      </c>
    </row>
    <row r="235" customFormat="false" ht="15" hidden="false" customHeight="false" outlineLevel="0" collapsed="false">
      <c r="A235" s="60"/>
      <c r="B235" s="61" t="str">
        <f aca="false">IF($M235=0,"",INDEX(Classes!$E$6:$E$420,$M235))</f>
        <v/>
      </c>
      <c r="C235" s="62" t="str">
        <f aca="false">IF($M235=0,"",INDEX(Classes!$H$6:$H$420,$M235))</f>
        <v/>
      </c>
      <c r="D235" s="61" t="str">
        <f aca="false">IF($M235=0,"",INDEX(Classes!$B$6:$B$420,$M235))</f>
        <v/>
      </c>
      <c r="E235" s="61" t="str">
        <f aca="false">IF($M235=0,"",INDEX(Classes!$C$6:$C$420,$M235))</f>
        <v/>
      </c>
      <c r="F235" s="63"/>
      <c r="G235" s="63"/>
      <c r="H235" s="60"/>
      <c r="I235" s="60"/>
      <c r="J235" s="63"/>
      <c r="K235" s="61" t="str">
        <f aca="false">IF($P235=0,"",IF($F235="Baseline","— Baseline",IF($O235=0,"No result",IF($N235=0,"No Start (attainment only)",IF(OR($N235=1,$O235=1),"U – needs rule",INDEX(MxBody,MATCH($I235,MxCurr,0),MATCH($H235,MxStart,0)))))))</f>
        <v/>
      </c>
      <c r="L235" s="62" t="str">
        <f aca="false">IF(COUNTA($A235,$F235,$G235,$H235,$I235,$J235)=0,"",IF($M235=0,"✖ كود الصف غير موجود",IF(ISNA(MATCH($F235,Lists!$A$2:$A$5,0)),"✖ الفترة غير صحيحة",IF(ISNA(MATCH($G235,Lists!$B$2:$B$7,0)),"✖ المجموعة غير صحيحة",IF(NOT(OR($H235="",$N235&gt;0)),"✖ Start غير صحيح",IF(NOT(OR($I235="",$I235="NR",$O235&gt;0)),"✖ Current غير صحيح",IF(NOT(IF(ISNUMBER($J235),AND($J235&gt;=0,$J235=INT($J235)),FALSE())),"✖ العدد يجب أن يكون صحيحًا ≥ 0",IF(AND($F235="Baseline",$H235&lt;&gt;""),"⚠ Baseline: Start لا يدخل في التقدم",IF($K235="No Start (attainment only)","ℹ تحصيل فقط (بدون Start)",IF($K235="U – needs rule","ℹ حالة U تحتاج قاعدة معتمدة",IF($K235="No result","ℹ بدون نتيجة (يُستبعد من التحصيل)","OK")))))))))))</f>
        <v/>
      </c>
      <c r="M235" s="64" t="n">
        <f aca="false">IF($A235="",0,IFERROR(MATCH($A235,Classes!$A$6:$A$420,0),0))</f>
        <v>0</v>
      </c>
      <c r="N235" s="64" t="n">
        <f aca="false">IF($H235="",0,IFERROR(MATCH($H235,GradeList,0),0))</f>
        <v>0</v>
      </c>
      <c r="O235" s="64" t="n">
        <f aca="false">IF(OR($I235="",$I235="NR"),0,IFERROR(MATCH($I235,GradeList,0),0))</f>
        <v>0</v>
      </c>
      <c r="P235" s="64" t="n">
        <f aca="false">IF(AND($M235&gt;0,ISNUMBER(MATCH($F235,Lists!$A$2:$A$5,0)),ISNUMBER(MATCH($G235,Lists!$B$2:$B$7,0)),OR($H235="",$N235&gt;0),OR($I235="",$I235="NR",$O235&gt;0),IF(ISNUMBER($J235),AND($J235&gt;=0,$J235=INT($J235)),FALSE())),$J235,0)</f>
        <v>0</v>
      </c>
      <c r="Q235" s="64" t="n">
        <f aca="false">IF(AND($P235&gt;0,$O235&gt;0),$P235,0)</f>
        <v>0</v>
      </c>
      <c r="R235" s="64" t="n">
        <f aca="false">IF(AND($Q235&gt;0,$O235&gt;=AtRank),$Q235,0)</f>
        <v>0</v>
      </c>
      <c r="S235" s="64" t="n">
        <f aca="false">IF(AND($Q235&gt;0,$O235&gt;=AboveRank),$Q235,0)</f>
        <v>0</v>
      </c>
      <c r="T235" s="64" t="n">
        <f aca="false">IF($K235="Less",$P235,0)</f>
        <v>0</v>
      </c>
      <c r="U235" s="64" t="n">
        <f aca="false">IF($K235="Expected",$P235,0)</f>
        <v>0</v>
      </c>
      <c r="V235" s="64" t="n">
        <f aca="false">IF($K235="Better",$P235,0)</f>
        <v>0</v>
      </c>
      <c r="W235" s="64" t="n">
        <f aca="false">IF($K235="U – needs rule",$P235,0)</f>
        <v>0</v>
      </c>
      <c r="X235" s="64" t="n">
        <f aca="false">IF($K235="No Start (attainment only)",$P235,0)</f>
        <v>0</v>
      </c>
    </row>
    <row r="236" customFormat="false" ht="15" hidden="false" customHeight="false" outlineLevel="0" collapsed="false">
      <c r="A236" s="60"/>
      <c r="B236" s="61" t="str">
        <f aca="false">IF($M236=0,"",INDEX(Classes!$E$6:$E$420,$M236))</f>
        <v/>
      </c>
      <c r="C236" s="62" t="str">
        <f aca="false">IF($M236=0,"",INDEX(Classes!$H$6:$H$420,$M236))</f>
        <v/>
      </c>
      <c r="D236" s="61" t="str">
        <f aca="false">IF($M236=0,"",INDEX(Classes!$B$6:$B$420,$M236))</f>
        <v/>
      </c>
      <c r="E236" s="61" t="str">
        <f aca="false">IF($M236=0,"",INDEX(Classes!$C$6:$C$420,$M236))</f>
        <v/>
      </c>
      <c r="F236" s="63"/>
      <c r="G236" s="63"/>
      <c r="H236" s="60"/>
      <c r="I236" s="60"/>
      <c r="J236" s="63"/>
      <c r="K236" s="61" t="str">
        <f aca="false">IF($P236=0,"",IF($F236="Baseline","— Baseline",IF($O236=0,"No result",IF($N236=0,"No Start (attainment only)",IF(OR($N236=1,$O236=1),"U – needs rule",INDEX(MxBody,MATCH($I236,MxCurr,0),MATCH($H236,MxStart,0)))))))</f>
        <v/>
      </c>
      <c r="L236" s="62" t="str">
        <f aca="false">IF(COUNTA($A236,$F236,$G236,$H236,$I236,$J236)=0,"",IF($M236=0,"✖ كود الصف غير موجود",IF(ISNA(MATCH($F236,Lists!$A$2:$A$5,0)),"✖ الفترة غير صحيحة",IF(ISNA(MATCH($G236,Lists!$B$2:$B$7,0)),"✖ المجموعة غير صحيحة",IF(NOT(OR($H236="",$N236&gt;0)),"✖ Start غير صحيح",IF(NOT(OR($I236="",$I236="NR",$O236&gt;0)),"✖ Current غير صحيح",IF(NOT(IF(ISNUMBER($J236),AND($J236&gt;=0,$J236=INT($J236)),FALSE())),"✖ العدد يجب أن يكون صحيحًا ≥ 0",IF(AND($F236="Baseline",$H236&lt;&gt;""),"⚠ Baseline: Start لا يدخل في التقدم",IF($K236="No Start (attainment only)","ℹ تحصيل فقط (بدون Start)",IF($K236="U – needs rule","ℹ حالة U تحتاج قاعدة معتمدة",IF($K236="No result","ℹ بدون نتيجة (يُستبعد من التحصيل)","OK")))))))))))</f>
        <v/>
      </c>
      <c r="M236" s="64" t="n">
        <f aca="false">IF($A236="",0,IFERROR(MATCH($A236,Classes!$A$6:$A$420,0),0))</f>
        <v>0</v>
      </c>
      <c r="N236" s="64" t="n">
        <f aca="false">IF($H236="",0,IFERROR(MATCH($H236,GradeList,0),0))</f>
        <v>0</v>
      </c>
      <c r="O236" s="64" t="n">
        <f aca="false">IF(OR($I236="",$I236="NR"),0,IFERROR(MATCH($I236,GradeList,0),0))</f>
        <v>0</v>
      </c>
      <c r="P236" s="64" t="n">
        <f aca="false">IF(AND($M236&gt;0,ISNUMBER(MATCH($F236,Lists!$A$2:$A$5,0)),ISNUMBER(MATCH($G236,Lists!$B$2:$B$7,0)),OR($H236="",$N236&gt;0),OR($I236="",$I236="NR",$O236&gt;0),IF(ISNUMBER($J236),AND($J236&gt;=0,$J236=INT($J236)),FALSE())),$J236,0)</f>
        <v>0</v>
      </c>
      <c r="Q236" s="64" t="n">
        <f aca="false">IF(AND($P236&gt;0,$O236&gt;0),$P236,0)</f>
        <v>0</v>
      </c>
      <c r="R236" s="64" t="n">
        <f aca="false">IF(AND($Q236&gt;0,$O236&gt;=AtRank),$Q236,0)</f>
        <v>0</v>
      </c>
      <c r="S236" s="64" t="n">
        <f aca="false">IF(AND($Q236&gt;0,$O236&gt;=AboveRank),$Q236,0)</f>
        <v>0</v>
      </c>
      <c r="T236" s="64" t="n">
        <f aca="false">IF($K236="Less",$P236,0)</f>
        <v>0</v>
      </c>
      <c r="U236" s="64" t="n">
        <f aca="false">IF($K236="Expected",$P236,0)</f>
        <v>0</v>
      </c>
      <c r="V236" s="64" t="n">
        <f aca="false">IF($K236="Better",$P236,0)</f>
        <v>0</v>
      </c>
      <c r="W236" s="64" t="n">
        <f aca="false">IF($K236="U – needs rule",$P236,0)</f>
        <v>0</v>
      </c>
      <c r="X236" s="64" t="n">
        <f aca="false">IF($K236="No Start (attainment only)",$P236,0)</f>
        <v>0</v>
      </c>
    </row>
    <row r="237" customFormat="false" ht="15" hidden="false" customHeight="false" outlineLevel="0" collapsed="false">
      <c r="A237" s="60"/>
      <c r="B237" s="61" t="str">
        <f aca="false">IF($M237=0,"",INDEX(Classes!$E$6:$E$420,$M237))</f>
        <v/>
      </c>
      <c r="C237" s="62" t="str">
        <f aca="false">IF($M237=0,"",INDEX(Classes!$H$6:$H$420,$M237))</f>
        <v/>
      </c>
      <c r="D237" s="61" t="str">
        <f aca="false">IF($M237=0,"",INDEX(Classes!$B$6:$B$420,$M237))</f>
        <v/>
      </c>
      <c r="E237" s="61" t="str">
        <f aca="false">IF($M237=0,"",INDEX(Classes!$C$6:$C$420,$M237))</f>
        <v/>
      </c>
      <c r="F237" s="63"/>
      <c r="G237" s="63"/>
      <c r="H237" s="60"/>
      <c r="I237" s="60"/>
      <c r="J237" s="63"/>
      <c r="K237" s="61" t="str">
        <f aca="false">IF($P237=0,"",IF($F237="Baseline","— Baseline",IF($O237=0,"No result",IF($N237=0,"No Start (attainment only)",IF(OR($N237=1,$O237=1),"U – needs rule",INDEX(MxBody,MATCH($I237,MxCurr,0),MATCH($H237,MxStart,0)))))))</f>
        <v/>
      </c>
      <c r="L237" s="62" t="str">
        <f aca="false">IF(COUNTA($A237,$F237,$G237,$H237,$I237,$J237)=0,"",IF($M237=0,"✖ كود الصف غير موجود",IF(ISNA(MATCH($F237,Lists!$A$2:$A$5,0)),"✖ الفترة غير صحيحة",IF(ISNA(MATCH($G237,Lists!$B$2:$B$7,0)),"✖ المجموعة غير صحيحة",IF(NOT(OR($H237="",$N237&gt;0)),"✖ Start غير صحيح",IF(NOT(OR($I237="",$I237="NR",$O237&gt;0)),"✖ Current غير صحيح",IF(NOT(IF(ISNUMBER($J237),AND($J237&gt;=0,$J237=INT($J237)),FALSE())),"✖ العدد يجب أن يكون صحيحًا ≥ 0",IF(AND($F237="Baseline",$H237&lt;&gt;""),"⚠ Baseline: Start لا يدخل في التقدم",IF($K237="No Start (attainment only)","ℹ تحصيل فقط (بدون Start)",IF($K237="U – needs rule","ℹ حالة U تحتاج قاعدة معتمدة",IF($K237="No result","ℹ بدون نتيجة (يُستبعد من التحصيل)","OK")))))))))))</f>
        <v/>
      </c>
      <c r="M237" s="64" t="n">
        <f aca="false">IF($A237="",0,IFERROR(MATCH($A237,Classes!$A$6:$A$420,0),0))</f>
        <v>0</v>
      </c>
      <c r="N237" s="64" t="n">
        <f aca="false">IF($H237="",0,IFERROR(MATCH($H237,GradeList,0),0))</f>
        <v>0</v>
      </c>
      <c r="O237" s="64" t="n">
        <f aca="false">IF(OR($I237="",$I237="NR"),0,IFERROR(MATCH($I237,GradeList,0),0))</f>
        <v>0</v>
      </c>
      <c r="P237" s="64" t="n">
        <f aca="false">IF(AND($M237&gt;0,ISNUMBER(MATCH($F237,Lists!$A$2:$A$5,0)),ISNUMBER(MATCH($G237,Lists!$B$2:$B$7,0)),OR($H237="",$N237&gt;0),OR($I237="",$I237="NR",$O237&gt;0),IF(ISNUMBER($J237),AND($J237&gt;=0,$J237=INT($J237)),FALSE())),$J237,0)</f>
        <v>0</v>
      </c>
      <c r="Q237" s="64" t="n">
        <f aca="false">IF(AND($P237&gt;0,$O237&gt;0),$P237,0)</f>
        <v>0</v>
      </c>
      <c r="R237" s="64" t="n">
        <f aca="false">IF(AND($Q237&gt;0,$O237&gt;=AtRank),$Q237,0)</f>
        <v>0</v>
      </c>
      <c r="S237" s="64" t="n">
        <f aca="false">IF(AND($Q237&gt;0,$O237&gt;=AboveRank),$Q237,0)</f>
        <v>0</v>
      </c>
      <c r="T237" s="64" t="n">
        <f aca="false">IF($K237="Less",$P237,0)</f>
        <v>0</v>
      </c>
      <c r="U237" s="64" t="n">
        <f aca="false">IF($K237="Expected",$P237,0)</f>
        <v>0</v>
      </c>
      <c r="V237" s="64" t="n">
        <f aca="false">IF($K237="Better",$P237,0)</f>
        <v>0</v>
      </c>
      <c r="W237" s="64" t="n">
        <f aca="false">IF($K237="U – needs rule",$P237,0)</f>
        <v>0</v>
      </c>
      <c r="X237" s="64" t="n">
        <f aca="false">IF($K237="No Start (attainment only)",$P237,0)</f>
        <v>0</v>
      </c>
    </row>
    <row r="238" customFormat="false" ht="15" hidden="false" customHeight="false" outlineLevel="0" collapsed="false">
      <c r="A238" s="60"/>
      <c r="B238" s="61" t="str">
        <f aca="false">IF($M238=0,"",INDEX(Classes!$E$6:$E$420,$M238))</f>
        <v/>
      </c>
      <c r="C238" s="62" t="str">
        <f aca="false">IF($M238=0,"",INDEX(Classes!$H$6:$H$420,$M238))</f>
        <v/>
      </c>
      <c r="D238" s="61" t="str">
        <f aca="false">IF($M238=0,"",INDEX(Classes!$B$6:$B$420,$M238))</f>
        <v/>
      </c>
      <c r="E238" s="61" t="str">
        <f aca="false">IF($M238=0,"",INDEX(Classes!$C$6:$C$420,$M238))</f>
        <v/>
      </c>
      <c r="F238" s="63"/>
      <c r="G238" s="63"/>
      <c r="H238" s="60"/>
      <c r="I238" s="60"/>
      <c r="J238" s="63"/>
      <c r="K238" s="61" t="str">
        <f aca="false">IF($P238=0,"",IF($F238="Baseline","— Baseline",IF($O238=0,"No result",IF($N238=0,"No Start (attainment only)",IF(OR($N238=1,$O238=1),"U – needs rule",INDEX(MxBody,MATCH($I238,MxCurr,0),MATCH($H238,MxStart,0)))))))</f>
        <v/>
      </c>
      <c r="L238" s="62" t="str">
        <f aca="false">IF(COUNTA($A238,$F238,$G238,$H238,$I238,$J238)=0,"",IF($M238=0,"✖ كود الصف غير موجود",IF(ISNA(MATCH($F238,Lists!$A$2:$A$5,0)),"✖ الفترة غير صحيحة",IF(ISNA(MATCH($G238,Lists!$B$2:$B$7,0)),"✖ المجموعة غير صحيحة",IF(NOT(OR($H238="",$N238&gt;0)),"✖ Start غير صحيح",IF(NOT(OR($I238="",$I238="NR",$O238&gt;0)),"✖ Current غير صحيح",IF(NOT(IF(ISNUMBER($J238),AND($J238&gt;=0,$J238=INT($J238)),FALSE())),"✖ العدد يجب أن يكون صحيحًا ≥ 0",IF(AND($F238="Baseline",$H238&lt;&gt;""),"⚠ Baseline: Start لا يدخل في التقدم",IF($K238="No Start (attainment only)","ℹ تحصيل فقط (بدون Start)",IF($K238="U – needs rule","ℹ حالة U تحتاج قاعدة معتمدة",IF($K238="No result","ℹ بدون نتيجة (يُستبعد من التحصيل)","OK")))))))))))</f>
        <v/>
      </c>
      <c r="M238" s="64" t="n">
        <f aca="false">IF($A238="",0,IFERROR(MATCH($A238,Classes!$A$6:$A$420,0),0))</f>
        <v>0</v>
      </c>
      <c r="N238" s="64" t="n">
        <f aca="false">IF($H238="",0,IFERROR(MATCH($H238,GradeList,0),0))</f>
        <v>0</v>
      </c>
      <c r="O238" s="64" t="n">
        <f aca="false">IF(OR($I238="",$I238="NR"),0,IFERROR(MATCH($I238,GradeList,0),0))</f>
        <v>0</v>
      </c>
      <c r="P238" s="64" t="n">
        <f aca="false">IF(AND($M238&gt;0,ISNUMBER(MATCH($F238,Lists!$A$2:$A$5,0)),ISNUMBER(MATCH($G238,Lists!$B$2:$B$7,0)),OR($H238="",$N238&gt;0),OR($I238="",$I238="NR",$O238&gt;0),IF(ISNUMBER($J238),AND($J238&gt;=0,$J238=INT($J238)),FALSE())),$J238,0)</f>
        <v>0</v>
      </c>
      <c r="Q238" s="64" t="n">
        <f aca="false">IF(AND($P238&gt;0,$O238&gt;0),$P238,0)</f>
        <v>0</v>
      </c>
      <c r="R238" s="64" t="n">
        <f aca="false">IF(AND($Q238&gt;0,$O238&gt;=AtRank),$Q238,0)</f>
        <v>0</v>
      </c>
      <c r="S238" s="64" t="n">
        <f aca="false">IF(AND($Q238&gt;0,$O238&gt;=AboveRank),$Q238,0)</f>
        <v>0</v>
      </c>
      <c r="T238" s="64" t="n">
        <f aca="false">IF($K238="Less",$P238,0)</f>
        <v>0</v>
      </c>
      <c r="U238" s="64" t="n">
        <f aca="false">IF($K238="Expected",$P238,0)</f>
        <v>0</v>
      </c>
      <c r="V238" s="64" t="n">
        <f aca="false">IF($K238="Better",$P238,0)</f>
        <v>0</v>
      </c>
      <c r="W238" s="64" t="n">
        <f aca="false">IF($K238="U – needs rule",$P238,0)</f>
        <v>0</v>
      </c>
      <c r="X238" s="64" t="n">
        <f aca="false">IF($K238="No Start (attainment only)",$P238,0)</f>
        <v>0</v>
      </c>
    </row>
    <row r="239" customFormat="false" ht="15" hidden="false" customHeight="false" outlineLevel="0" collapsed="false">
      <c r="A239" s="60"/>
      <c r="B239" s="61" t="str">
        <f aca="false">IF($M239=0,"",INDEX(Classes!$E$6:$E$420,$M239))</f>
        <v/>
      </c>
      <c r="C239" s="62" t="str">
        <f aca="false">IF($M239=0,"",INDEX(Classes!$H$6:$H$420,$M239))</f>
        <v/>
      </c>
      <c r="D239" s="61" t="str">
        <f aca="false">IF($M239=0,"",INDEX(Classes!$B$6:$B$420,$M239))</f>
        <v/>
      </c>
      <c r="E239" s="61" t="str">
        <f aca="false">IF($M239=0,"",INDEX(Classes!$C$6:$C$420,$M239))</f>
        <v/>
      </c>
      <c r="F239" s="63"/>
      <c r="G239" s="63"/>
      <c r="H239" s="60"/>
      <c r="I239" s="60"/>
      <c r="J239" s="63"/>
      <c r="K239" s="61" t="str">
        <f aca="false">IF($P239=0,"",IF($F239="Baseline","— Baseline",IF($O239=0,"No result",IF($N239=0,"No Start (attainment only)",IF(OR($N239=1,$O239=1),"U – needs rule",INDEX(MxBody,MATCH($I239,MxCurr,0),MATCH($H239,MxStart,0)))))))</f>
        <v/>
      </c>
      <c r="L239" s="62" t="str">
        <f aca="false">IF(COUNTA($A239,$F239,$G239,$H239,$I239,$J239)=0,"",IF($M239=0,"✖ كود الصف غير موجود",IF(ISNA(MATCH($F239,Lists!$A$2:$A$5,0)),"✖ الفترة غير صحيحة",IF(ISNA(MATCH($G239,Lists!$B$2:$B$7,0)),"✖ المجموعة غير صحيحة",IF(NOT(OR($H239="",$N239&gt;0)),"✖ Start غير صحيح",IF(NOT(OR($I239="",$I239="NR",$O239&gt;0)),"✖ Current غير صحيح",IF(NOT(IF(ISNUMBER($J239),AND($J239&gt;=0,$J239=INT($J239)),FALSE())),"✖ العدد يجب أن يكون صحيحًا ≥ 0",IF(AND($F239="Baseline",$H239&lt;&gt;""),"⚠ Baseline: Start لا يدخل في التقدم",IF($K239="No Start (attainment only)","ℹ تحصيل فقط (بدون Start)",IF($K239="U – needs rule","ℹ حالة U تحتاج قاعدة معتمدة",IF($K239="No result","ℹ بدون نتيجة (يُستبعد من التحصيل)","OK")))))))))))</f>
        <v/>
      </c>
      <c r="M239" s="64" t="n">
        <f aca="false">IF($A239="",0,IFERROR(MATCH($A239,Classes!$A$6:$A$420,0),0))</f>
        <v>0</v>
      </c>
      <c r="N239" s="64" t="n">
        <f aca="false">IF($H239="",0,IFERROR(MATCH($H239,GradeList,0),0))</f>
        <v>0</v>
      </c>
      <c r="O239" s="64" t="n">
        <f aca="false">IF(OR($I239="",$I239="NR"),0,IFERROR(MATCH($I239,GradeList,0),0))</f>
        <v>0</v>
      </c>
      <c r="P239" s="64" t="n">
        <f aca="false">IF(AND($M239&gt;0,ISNUMBER(MATCH($F239,Lists!$A$2:$A$5,0)),ISNUMBER(MATCH($G239,Lists!$B$2:$B$7,0)),OR($H239="",$N239&gt;0),OR($I239="",$I239="NR",$O239&gt;0),IF(ISNUMBER($J239),AND($J239&gt;=0,$J239=INT($J239)),FALSE())),$J239,0)</f>
        <v>0</v>
      </c>
      <c r="Q239" s="64" t="n">
        <f aca="false">IF(AND($P239&gt;0,$O239&gt;0),$P239,0)</f>
        <v>0</v>
      </c>
      <c r="R239" s="64" t="n">
        <f aca="false">IF(AND($Q239&gt;0,$O239&gt;=AtRank),$Q239,0)</f>
        <v>0</v>
      </c>
      <c r="S239" s="64" t="n">
        <f aca="false">IF(AND($Q239&gt;0,$O239&gt;=AboveRank),$Q239,0)</f>
        <v>0</v>
      </c>
      <c r="T239" s="64" t="n">
        <f aca="false">IF($K239="Less",$P239,0)</f>
        <v>0</v>
      </c>
      <c r="U239" s="64" t="n">
        <f aca="false">IF($K239="Expected",$P239,0)</f>
        <v>0</v>
      </c>
      <c r="V239" s="64" t="n">
        <f aca="false">IF($K239="Better",$P239,0)</f>
        <v>0</v>
      </c>
      <c r="W239" s="64" t="n">
        <f aca="false">IF($K239="U – needs rule",$P239,0)</f>
        <v>0</v>
      </c>
      <c r="X239" s="64" t="n">
        <f aca="false">IF($K239="No Start (attainment only)",$P239,0)</f>
        <v>0</v>
      </c>
    </row>
    <row r="240" customFormat="false" ht="15" hidden="false" customHeight="false" outlineLevel="0" collapsed="false">
      <c r="A240" s="60"/>
      <c r="B240" s="61" t="str">
        <f aca="false">IF($M240=0,"",INDEX(Classes!$E$6:$E$420,$M240))</f>
        <v/>
      </c>
      <c r="C240" s="62" t="str">
        <f aca="false">IF($M240=0,"",INDEX(Classes!$H$6:$H$420,$M240))</f>
        <v/>
      </c>
      <c r="D240" s="61" t="str">
        <f aca="false">IF($M240=0,"",INDEX(Classes!$B$6:$B$420,$M240))</f>
        <v/>
      </c>
      <c r="E240" s="61" t="str">
        <f aca="false">IF($M240=0,"",INDEX(Classes!$C$6:$C$420,$M240))</f>
        <v/>
      </c>
      <c r="F240" s="63"/>
      <c r="G240" s="63"/>
      <c r="H240" s="60"/>
      <c r="I240" s="60"/>
      <c r="J240" s="63"/>
      <c r="K240" s="61" t="str">
        <f aca="false">IF($P240=0,"",IF($F240="Baseline","— Baseline",IF($O240=0,"No result",IF($N240=0,"No Start (attainment only)",IF(OR($N240=1,$O240=1),"U – needs rule",INDEX(MxBody,MATCH($I240,MxCurr,0),MATCH($H240,MxStart,0)))))))</f>
        <v/>
      </c>
      <c r="L240" s="62" t="str">
        <f aca="false">IF(COUNTA($A240,$F240,$G240,$H240,$I240,$J240)=0,"",IF($M240=0,"✖ كود الصف غير موجود",IF(ISNA(MATCH($F240,Lists!$A$2:$A$5,0)),"✖ الفترة غير صحيحة",IF(ISNA(MATCH($G240,Lists!$B$2:$B$7,0)),"✖ المجموعة غير صحيحة",IF(NOT(OR($H240="",$N240&gt;0)),"✖ Start غير صحيح",IF(NOT(OR($I240="",$I240="NR",$O240&gt;0)),"✖ Current غير صحيح",IF(NOT(IF(ISNUMBER($J240),AND($J240&gt;=0,$J240=INT($J240)),FALSE())),"✖ العدد يجب أن يكون صحيحًا ≥ 0",IF(AND($F240="Baseline",$H240&lt;&gt;""),"⚠ Baseline: Start لا يدخل في التقدم",IF($K240="No Start (attainment only)","ℹ تحصيل فقط (بدون Start)",IF($K240="U – needs rule","ℹ حالة U تحتاج قاعدة معتمدة",IF($K240="No result","ℹ بدون نتيجة (يُستبعد من التحصيل)","OK")))))))))))</f>
        <v/>
      </c>
      <c r="M240" s="64" t="n">
        <f aca="false">IF($A240="",0,IFERROR(MATCH($A240,Classes!$A$6:$A$420,0),0))</f>
        <v>0</v>
      </c>
      <c r="N240" s="64" t="n">
        <f aca="false">IF($H240="",0,IFERROR(MATCH($H240,GradeList,0),0))</f>
        <v>0</v>
      </c>
      <c r="O240" s="64" t="n">
        <f aca="false">IF(OR($I240="",$I240="NR"),0,IFERROR(MATCH($I240,GradeList,0),0))</f>
        <v>0</v>
      </c>
      <c r="P240" s="64" t="n">
        <f aca="false">IF(AND($M240&gt;0,ISNUMBER(MATCH($F240,Lists!$A$2:$A$5,0)),ISNUMBER(MATCH($G240,Lists!$B$2:$B$7,0)),OR($H240="",$N240&gt;0),OR($I240="",$I240="NR",$O240&gt;0),IF(ISNUMBER($J240),AND($J240&gt;=0,$J240=INT($J240)),FALSE())),$J240,0)</f>
        <v>0</v>
      </c>
      <c r="Q240" s="64" t="n">
        <f aca="false">IF(AND($P240&gt;0,$O240&gt;0),$P240,0)</f>
        <v>0</v>
      </c>
      <c r="R240" s="64" t="n">
        <f aca="false">IF(AND($Q240&gt;0,$O240&gt;=AtRank),$Q240,0)</f>
        <v>0</v>
      </c>
      <c r="S240" s="64" t="n">
        <f aca="false">IF(AND($Q240&gt;0,$O240&gt;=AboveRank),$Q240,0)</f>
        <v>0</v>
      </c>
      <c r="T240" s="64" t="n">
        <f aca="false">IF($K240="Less",$P240,0)</f>
        <v>0</v>
      </c>
      <c r="U240" s="64" t="n">
        <f aca="false">IF($K240="Expected",$P240,0)</f>
        <v>0</v>
      </c>
      <c r="V240" s="64" t="n">
        <f aca="false">IF($K240="Better",$P240,0)</f>
        <v>0</v>
      </c>
      <c r="W240" s="64" t="n">
        <f aca="false">IF($K240="U – needs rule",$P240,0)</f>
        <v>0</v>
      </c>
      <c r="X240" s="64" t="n">
        <f aca="false">IF($K240="No Start (attainment only)",$P240,0)</f>
        <v>0</v>
      </c>
    </row>
    <row r="241" customFormat="false" ht="15" hidden="false" customHeight="false" outlineLevel="0" collapsed="false">
      <c r="A241" s="60"/>
      <c r="B241" s="61" t="str">
        <f aca="false">IF($M241=0,"",INDEX(Classes!$E$6:$E$420,$M241))</f>
        <v/>
      </c>
      <c r="C241" s="62" t="str">
        <f aca="false">IF($M241=0,"",INDEX(Classes!$H$6:$H$420,$M241))</f>
        <v/>
      </c>
      <c r="D241" s="61" t="str">
        <f aca="false">IF($M241=0,"",INDEX(Classes!$B$6:$B$420,$M241))</f>
        <v/>
      </c>
      <c r="E241" s="61" t="str">
        <f aca="false">IF($M241=0,"",INDEX(Classes!$C$6:$C$420,$M241))</f>
        <v/>
      </c>
      <c r="F241" s="63"/>
      <c r="G241" s="63"/>
      <c r="H241" s="60"/>
      <c r="I241" s="60"/>
      <c r="J241" s="63"/>
      <c r="K241" s="61" t="str">
        <f aca="false">IF($P241=0,"",IF($F241="Baseline","— Baseline",IF($O241=0,"No result",IF($N241=0,"No Start (attainment only)",IF(OR($N241=1,$O241=1),"U – needs rule",INDEX(MxBody,MATCH($I241,MxCurr,0),MATCH($H241,MxStart,0)))))))</f>
        <v/>
      </c>
      <c r="L241" s="62" t="str">
        <f aca="false">IF(COUNTA($A241,$F241,$G241,$H241,$I241,$J241)=0,"",IF($M241=0,"✖ كود الصف غير موجود",IF(ISNA(MATCH($F241,Lists!$A$2:$A$5,0)),"✖ الفترة غير صحيحة",IF(ISNA(MATCH($G241,Lists!$B$2:$B$7,0)),"✖ المجموعة غير صحيحة",IF(NOT(OR($H241="",$N241&gt;0)),"✖ Start غير صحيح",IF(NOT(OR($I241="",$I241="NR",$O241&gt;0)),"✖ Current غير صحيح",IF(NOT(IF(ISNUMBER($J241),AND($J241&gt;=0,$J241=INT($J241)),FALSE())),"✖ العدد يجب أن يكون صحيحًا ≥ 0",IF(AND($F241="Baseline",$H241&lt;&gt;""),"⚠ Baseline: Start لا يدخل في التقدم",IF($K241="No Start (attainment only)","ℹ تحصيل فقط (بدون Start)",IF($K241="U – needs rule","ℹ حالة U تحتاج قاعدة معتمدة",IF($K241="No result","ℹ بدون نتيجة (يُستبعد من التحصيل)","OK")))))))))))</f>
        <v/>
      </c>
      <c r="M241" s="64" t="n">
        <f aca="false">IF($A241="",0,IFERROR(MATCH($A241,Classes!$A$6:$A$420,0),0))</f>
        <v>0</v>
      </c>
      <c r="N241" s="64" t="n">
        <f aca="false">IF($H241="",0,IFERROR(MATCH($H241,GradeList,0),0))</f>
        <v>0</v>
      </c>
      <c r="O241" s="64" t="n">
        <f aca="false">IF(OR($I241="",$I241="NR"),0,IFERROR(MATCH($I241,GradeList,0),0))</f>
        <v>0</v>
      </c>
      <c r="P241" s="64" t="n">
        <f aca="false">IF(AND($M241&gt;0,ISNUMBER(MATCH($F241,Lists!$A$2:$A$5,0)),ISNUMBER(MATCH($G241,Lists!$B$2:$B$7,0)),OR($H241="",$N241&gt;0),OR($I241="",$I241="NR",$O241&gt;0),IF(ISNUMBER($J241),AND($J241&gt;=0,$J241=INT($J241)),FALSE())),$J241,0)</f>
        <v>0</v>
      </c>
      <c r="Q241" s="64" t="n">
        <f aca="false">IF(AND($P241&gt;0,$O241&gt;0),$P241,0)</f>
        <v>0</v>
      </c>
      <c r="R241" s="64" t="n">
        <f aca="false">IF(AND($Q241&gt;0,$O241&gt;=AtRank),$Q241,0)</f>
        <v>0</v>
      </c>
      <c r="S241" s="64" t="n">
        <f aca="false">IF(AND($Q241&gt;0,$O241&gt;=AboveRank),$Q241,0)</f>
        <v>0</v>
      </c>
      <c r="T241" s="64" t="n">
        <f aca="false">IF($K241="Less",$P241,0)</f>
        <v>0</v>
      </c>
      <c r="U241" s="64" t="n">
        <f aca="false">IF($K241="Expected",$P241,0)</f>
        <v>0</v>
      </c>
      <c r="V241" s="64" t="n">
        <f aca="false">IF($K241="Better",$P241,0)</f>
        <v>0</v>
      </c>
      <c r="W241" s="64" t="n">
        <f aca="false">IF($K241="U – needs rule",$P241,0)</f>
        <v>0</v>
      </c>
      <c r="X241" s="64" t="n">
        <f aca="false">IF($K241="No Start (attainment only)",$P241,0)</f>
        <v>0</v>
      </c>
    </row>
    <row r="242" customFormat="false" ht="15" hidden="false" customHeight="false" outlineLevel="0" collapsed="false">
      <c r="A242" s="60"/>
      <c r="B242" s="61" t="str">
        <f aca="false">IF($M242=0,"",INDEX(Classes!$E$6:$E$420,$M242))</f>
        <v/>
      </c>
      <c r="C242" s="62" t="str">
        <f aca="false">IF($M242=0,"",INDEX(Classes!$H$6:$H$420,$M242))</f>
        <v/>
      </c>
      <c r="D242" s="61" t="str">
        <f aca="false">IF($M242=0,"",INDEX(Classes!$B$6:$B$420,$M242))</f>
        <v/>
      </c>
      <c r="E242" s="61" t="str">
        <f aca="false">IF($M242=0,"",INDEX(Classes!$C$6:$C$420,$M242))</f>
        <v/>
      </c>
      <c r="F242" s="63"/>
      <c r="G242" s="63"/>
      <c r="H242" s="60"/>
      <c r="I242" s="60"/>
      <c r="J242" s="63"/>
      <c r="K242" s="61" t="str">
        <f aca="false">IF($P242=0,"",IF($F242="Baseline","— Baseline",IF($O242=0,"No result",IF($N242=0,"No Start (attainment only)",IF(OR($N242=1,$O242=1),"U – needs rule",INDEX(MxBody,MATCH($I242,MxCurr,0),MATCH($H242,MxStart,0)))))))</f>
        <v/>
      </c>
      <c r="L242" s="62" t="str">
        <f aca="false">IF(COUNTA($A242,$F242,$G242,$H242,$I242,$J242)=0,"",IF($M242=0,"✖ كود الصف غير موجود",IF(ISNA(MATCH($F242,Lists!$A$2:$A$5,0)),"✖ الفترة غير صحيحة",IF(ISNA(MATCH($G242,Lists!$B$2:$B$7,0)),"✖ المجموعة غير صحيحة",IF(NOT(OR($H242="",$N242&gt;0)),"✖ Start غير صحيح",IF(NOT(OR($I242="",$I242="NR",$O242&gt;0)),"✖ Current غير صحيح",IF(NOT(IF(ISNUMBER($J242),AND($J242&gt;=0,$J242=INT($J242)),FALSE())),"✖ العدد يجب أن يكون صحيحًا ≥ 0",IF(AND($F242="Baseline",$H242&lt;&gt;""),"⚠ Baseline: Start لا يدخل في التقدم",IF($K242="No Start (attainment only)","ℹ تحصيل فقط (بدون Start)",IF($K242="U – needs rule","ℹ حالة U تحتاج قاعدة معتمدة",IF($K242="No result","ℹ بدون نتيجة (يُستبعد من التحصيل)","OK")))))))))))</f>
        <v/>
      </c>
      <c r="M242" s="64" t="n">
        <f aca="false">IF($A242="",0,IFERROR(MATCH($A242,Classes!$A$6:$A$420,0),0))</f>
        <v>0</v>
      </c>
      <c r="N242" s="64" t="n">
        <f aca="false">IF($H242="",0,IFERROR(MATCH($H242,GradeList,0),0))</f>
        <v>0</v>
      </c>
      <c r="O242" s="64" t="n">
        <f aca="false">IF(OR($I242="",$I242="NR"),0,IFERROR(MATCH($I242,GradeList,0),0))</f>
        <v>0</v>
      </c>
      <c r="P242" s="64" t="n">
        <f aca="false">IF(AND($M242&gt;0,ISNUMBER(MATCH($F242,Lists!$A$2:$A$5,0)),ISNUMBER(MATCH($G242,Lists!$B$2:$B$7,0)),OR($H242="",$N242&gt;0),OR($I242="",$I242="NR",$O242&gt;0),IF(ISNUMBER($J242),AND($J242&gt;=0,$J242=INT($J242)),FALSE())),$J242,0)</f>
        <v>0</v>
      </c>
      <c r="Q242" s="64" t="n">
        <f aca="false">IF(AND($P242&gt;0,$O242&gt;0),$P242,0)</f>
        <v>0</v>
      </c>
      <c r="R242" s="64" t="n">
        <f aca="false">IF(AND($Q242&gt;0,$O242&gt;=AtRank),$Q242,0)</f>
        <v>0</v>
      </c>
      <c r="S242" s="64" t="n">
        <f aca="false">IF(AND($Q242&gt;0,$O242&gt;=AboveRank),$Q242,0)</f>
        <v>0</v>
      </c>
      <c r="T242" s="64" t="n">
        <f aca="false">IF($K242="Less",$P242,0)</f>
        <v>0</v>
      </c>
      <c r="U242" s="64" t="n">
        <f aca="false">IF($K242="Expected",$P242,0)</f>
        <v>0</v>
      </c>
      <c r="V242" s="64" t="n">
        <f aca="false">IF($K242="Better",$P242,0)</f>
        <v>0</v>
      </c>
      <c r="W242" s="64" t="n">
        <f aca="false">IF($K242="U – needs rule",$P242,0)</f>
        <v>0</v>
      </c>
      <c r="X242" s="64" t="n">
        <f aca="false">IF($K242="No Start (attainment only)",$P242,0)</f>
        <v>0</v>
      </c>
    </row>
    <row r="243" customFormat="false" ht="15" hidden="false" customHeight="false" outlineLevel="0" collapsed="false">
      <c r="A243" s="60"/>
      <c r="B243" s="61" t="str">
        <f aca="false">IF($M243=0,"",INDEX(Classes!$E$6:$E$420,$M243))</f>
        <v/>
      </c>
      <c r="C243" s="62" t="str">
        <f aca="false">IF($M243=0,"",INDEX(Classes!$H$6:$H$420,$M243))</f>
        <v/>
      </c>
      <c r="D243" s="61" t="str">
        <f aca="false">IF($M243=0,"",INDEX(Classes!$B$6:$B$420,$M243))</f>
        <v/>
      </c>
      <c r="E243" s="61" t="str">
        <f aca="false">IF($M243=0,"",INDEX(Classes!$C$6:$C$420,$M243))</f>
        <v/>
      </c>
      <c r="F243" s="63"/>
      <c r="G243" s="63"/>
      <c r="H243" s="60"/>
      <c r="I243" s="60"/>
      <c r="J243" s="63"/>
      <c r="K243" s="61" t="str">
        <f aca="false">IF($P243=0,"",IF($F243="Baseline","— Baseline",IF($O243=0,"No result",IF($N243=0,"No Start (attainment only)",IF(OR($N243=1,$O243=1),"U – needs rule",INDEX(MxBody,MATCH($I243,MxCurr,0),MATCH($H243,MxStart,0)))))))</f>
        <v/>
      </c>
      <c r="L243" s="62" t="str">
        <f aca="false">IF(COUNTA($A243,$F243,$G243,$H243,$I243,$J243)=0,"",IF($M243=0,"✖ كود الصف غير موجود",IF(ISNA(MATCH($F243,Lists!$A$2:$A$5,0)),"✖ الفترة غير صحيحة",IF(ISNA(MATCH($G243,Lists!$B$2:$B$7,0)),"✖ المجموعة غير صحيحة",IF(NOT(OR($H243="",$N243&gt;0)),"✖ Start غير صحيح",IF(NOT(OR($I243="",$I243="NR",$O243&gt;0)),"✖ Current غير صحيح",IF(NOT(IF(ISNUMBER($J243),AND($J243&gt;=0,$J243=INT($J243)),FALSE())),"✖ العدد يجب أن يكون صحيحًا ≥ 0",IF(AND($F243="Baseline",$H243&lt;&gt;""),"⚠ Baseline: Start لا يدخل في التقدم",IF($K243="No Start (attainment only)","ℹ تحصيل فقط (بدون Start)",IF($K243="U – needs rule","ℹ حالة U تحتاج قاعدة معتمدة",IF($K243="No result","ℹ بدون نتيجة (يُستبعد من التحصيل)","OK")))))))))))</f>
        <v/>
      </c>
      <c r="M243" s="64" t="n">
        <f aca="false">IF($A243="",0,IFERROR(MATCH($A243,Classes!$A$6:$A$420,0),0))</f>
        <v>0</v>
      </c>
      <c r="N243" s="64" t="n">
        <f aca="false">IF($H243="",0,IFERROR(MATCH($H243,GradeList,0),0))</f>
        <v>0</v>
      </c>
      <c r="O243" s="64" t="n">
        <f aca="false">IF(OR($I243="",$I243="NR"),0,IFERROR(MATCH($I243,GradeList,0),0))</f>
        <v>0</v>
      </c>
      <c r="P243" s="64" t="n">
        <f aca="false">IF(AND($M243&gt;0,ISNUMBER(MATCH($F243,Lists!$A$2:$A$5,0)),ISNUMBER(MATCH($G243,Lists!$B$2:$B$7,0)),OR($H243="",$N243&gt;0),OR($I243="",$I243="NR",$O243&gt;0),IF(ISNUMBER($J243),AND($J243&gt;=0,$J243=INT($J243)),FALSE())),$J243,0)</f>
        <v>0</v>
      </c>
      <c r="Q243" s="64" t="n">
        <f aca="false">IF(AND($P243&gt;0,$O243&gt;0),$P243,0)</f>
        <v>0</v>
      </c>
      <c r="R243" s="64" t="n">
        <f aca="false">IF(AND($Q243&gt;0,$O243&gt;=AtRank),$Q243,0)</f>
        <v>0</v>
      </c>
      <c r="S243" s="64" t="n">
        <f aca="false">IF(AND($Q243&gt;0,$O243&gt;=AboveRank),$Q243,0)</f>
        <v>0</v>
      </c>
      <c r="T243" s="64" t="n">
        <f aca="false">IF($K243="Less",$P243,0)</f>
        <v>0</v>
      </c>
      <c r="U243" s="64" t="n">
        <f aca="false">IF($K243="Expected",$P243,0)</f>
        <v>0</v>
      </c>
      <c r="V243" s="64" t="n">
        <f aca="false">IF($K243="Better",$P243,0)</f>
        <v>0</v>
      </c>
      <c r="W243" s="64" t="n">
        <f aca="false">IF($K243="U – needs rule",$P243,0)</f>
        <v>0</v>
      </c>
      <c r="X243" s="64" t="n">
        <f aca="false">IF($K243="No Start (attainment only)",$P243,0)</f>
        <v>0</v>
      </c>
    </row>
    <row r="244" customFormat="false" ht="15" hidden="false" customHeight="false" outlineLevel="0" collapsed="false">
      <c r="A244" s="60"/>
      <c r="B244" s="61" t="str">
        <f aca="false">IF($M244=0,"",INDEX(Classes!$E$6:$E$420,$M244))</f>
        <v/>
      </c>
      <c r="C244" s="62" t="str">
        <f aca="false">IF($M244=0,"",INDEX(Classes!$H$6:$H$420,$M244))</f>
        <v/>
      </c>
      <c r="D244" s="61" t="str">
        <f aca="false">IF($M244=0,"",INDEX(Classes!$B$6:$B$420,$M244))</f>
        <v/>
      </c>
      <c r="E244" s="61" t="str">
        <f aca="false">IF($M244=0,"",INDEX(Classes!$C$6:$C$420,$M244))</f>
        <v/>
      </c>
      <c r="F244" s="63"/>
      <c r="G244" s="63"/>
      <c r="H244" s="60"/>
      <c r="I244" s="60"/>
      <c r="J244" s="63"/>
      <c r="K244" s="61" t="str">
        <f aca="false">IF($P244=0,"",IF($F244="Baseline","— Baseline",IF($O244=0,"No result",IF($N244=0,"No Start (attainment only)",IF(OR($N244=1,$O244=1),"U – needs rule",INDEX(MxBody,MATCH($I244,MxCurr,0),MATCH($H244,MxStart,0)))))))</f>
        <v/>
      </c>
      <c r="L244" s="62" t="str">
        <f aca="false">IF(COUNTA($A244,$F244,$G244,$H244,$I244,$J244)=0,"",IF($M244=0,"✖ كود الصف غير موجود",IF(ISNA(MATCH($F244,Lists!$A$2:$A$5,0)),"✖ الفترة غير صحيحة",IF(ISNA(MATCH($G244,Lists!$B$2:$B$7,0)),"✖ المجموعة غير صحيحة",IF(NOT(OR($H244="",$N244&gt;0)),"✖ Start غير صحيح",IF(NOT(OR($I244="",$I244="NR",$O244&gt;0)),"✖ Current غير صحيح",IF(NOT(IF(ISNUMBER($J244),AND($J244&gt;=0,$J244=INT($J244)),FALSE())),"✖ العدد يجب أن يكون صحيحًا ≥ 0",IF(AND($F244="Baseline",$H244&lt;&gt;""),"⚠ Baseline: Start لا يدخل في التقدم",IF($K244="No Start (attainment only)","ℹ تحصيل فقط (بدون Start)",IF($K244="U – needs rule","ℹ حالة U تحتاج قاعدة معتمدة",IF($K244="No result","ℹ بدون نتيجة (يُستبعد من التحصيل)","OK")))))))))))</f>
        <v/>
      </c>
      <c r="M244" s="64" t="n">
        <f aca="false">IF($A244="",0,IFERROR(MATCH($A244,Classes!$A$6:$A$420,0),0))</f>
        <v>0</v>
      </c>
      <c r="N244" s="64" t="n">
        <f aca="false">IF($H244="",0,IFERROR(MATCH($H244,GradeList,0),0))</f>
        <v>0</v>
      </c>
      <c r="O244" s="64" t="n">
        <f aca="false">IF(OR($I244="",$I244="NR"),0,IFERROR(MATCH($I244,GradeList,0),0))</f>
        <v>0</v>
      </c>
      <c r="P244" s="64" t="n">
        <f aca="false">IF(AND($M244&gt;0,ISNUMBER(MATCH($F244,Lists!$A$2:$A$5,0)),ISNUMBER(MATCH($G244,Lists!$B$2:$B$7,0)),OR($H244="",$N244&gt;0),OR($I244="",$I244="NR",$O244&gt;0),IF(ISNUMBER($J244),AND($J244&gt;=0,$J244=INT($J244)),FALSE())),$J244,0)</f>
        <v>0</v>
      </c>
      <c r="Q244" s="64" t="n">
        <f aca="false">IF(AND($P244&gt;0,$O244&gt;0),$P244,0)</f>
        <v>0</v>
      </c>
      <c r="R244" s="64" t="n">
        <f aca="false">IF(AND($Q244&gt;0,$O244&gt;=AtRank),$Q244,0)</f>
        <v>0</v>
      </c>
      <c r="S244" s="64" t="n">
        <f aca="false">IF(AND($Q244&gt;0,$O244&gt;=AboveRank),$Q244,0)</f>
        <v>0</v>
      </c>
      <c r="T244" s="64" t="n">
        <f aca="false">IF($K244="Less",$P244,0)</f>
        <v>0</v>
      </c>
      <c r="U244" s="64" t="n">
        <f aca="false">IF($K244="Expected",$P244,0)</f>
        <v>0</v>
      </c>
      <c r="V244" s="64" t="n">
        <f aca="false">IF($K244="Better",$P244,0)</f>
        <v>0</v>
      </c>
      <c r="W244" s="64" t="n">
        <f aca="false">IF($K244="U – needs rule",$P244,0)</f>
        <v>0</v>
      </c>
      <c r="X244" s="64" t="n">
        <f aca="false">IF($K244="No Start (attainment only)",$P244,0)</f>
        <v>0</v>
      </c>
    </row>
    <row r="245" customFormat="false" ht="15" hidden="false" customHeight="false" outlineLevel="0" collapsed="false">
      <c r="A245" s="60"/>
      <c r="B245" s="61" t="str">
        <f aca="false">IF($M245=0,"",INDEX(Classes!$E$6:$E$420,$M245))</f>
        <v/>
      </c>
      <c r="C245" s="62" t="str">
        <f aca="false">IF($M245=0,"",INDEX(Classes!$H$6:$H$420,$M245))</f>
        <v/>
      </c>
      <c r="D245" s="61" t="str">
        <f aca="false">IF($M245=0,"",INDEX(Classes!$B$6:$B$420,$M245))</f>
        <v/>
      </c>
      <c r="E245" s="61" t="str">
        <f aca="false">IF($M245=0,"",INDEX(Classes!$C$6:$C$420,$M245))</f>
        <v/>
      </c>
      <c r="F245" s="63"/>
      <c r="G245" s="63"/>
      <c r="H245" s="60"/>
      <c r="I245" s="60"/>
      <c r="J245" s="63"/>
      <c r="K245" s="61" t="str">
        <f aca="false">IF($P245=0,"",IF($F245="Baseline","— Baseline",IF($O245=0,"No result",IF($N245=0,"No Start (attainment only)",IF(OR($N245=1,$O245=1),"U – needs rule",INDEX(MxBody,MATCH($I245,MxCurr,0),MATCH($H245,MxStart,0)))))))</f>
        <v/>
      </c>
      <c r="L245" s="62" t="str">
        <f aca="false">IF(COUNTA($A245,$F245,$G245,$H245,$I245,$J245)=0,"",IF($M245=0,"✖ كود الصف غير موجود",IF(ISNA(MATCH($F245,Lists!$A$2:$A$5,0)),"✖ الفترة غير صحيحة",IF(ISNA(MATCH($G245,Lists!$B$2:$B$7,0)),"✖ المجموعة غير صحيحة",IF(NOT(OR($H245="",$N245&gt;0)),"✖ Start غير صحيح",IF(NOT(OR($I245="",$I245="NR",$O245&gt;0)),"✖ Current غير صحيح",IF(NOT(IF(ISNUMBER($J245),AND($J245&gt;=0,$J245=INT($J245)),FALSE())),"✖ العدد يجب أن يكون صحيحًا ≥ 0",IF(AND($F245="Baseline",$H245&lt;&gt;""),"⚠ Baseline: Start لا يدخل في التقدم",IF($K245="No Start (attainment only)","ℹ تحصيل فقط (بدون Start)",IF($K245="U – needs rule","ℹ حالة U تحتاج قاعدة معتمدة",IF($K245="No result","ℹ بدون نتيجة (يُستبعد من التحصيل)","OK")))))))))))</f>
        <v/>
      </c>
      <c r="M245" s="64" t="n">
        <f aca="false">IF($A245="",0,IFERROR(MATCH($A245,Classes!$A$6:$A$420,0),0))</f>
        <v>0</v>
      </c>
      <c r="N245" s="64" t="n">
        <f aca="false">IF($H245="",0,IFERROR(MATCH($H245,GradeList,0),0))</f>
        <v>0</v>
      </c>
      <c r="O245" s="64" t="n">
        <f aca="false">IF(OR($I245="",$I245="NR"),0,IFERROR(MATCH($I245,GradeList,0),0))</f>
        <v>0</v>
      </c>
      <c r="P245" s="64" t="n">
        <f aca="false">IF(AND($M245&gt;0,ISNUMBER(MATCH($F245,Lists!$A$2:$A$5,0)),ISNUMBER(MATCH($G245,Lists!$B$2:$B$7,0)),OR($H245="",$N245&gt;0),OR($I245="",$I245="NR",$O245&gt;0),IF(ISNUMBER($J245),AND($J245&gt;=0,$J245=INT($J245)),FALSE())),$J245,0)</f>
        <v>0</v>
      </c>
      <c r="Q245" s="64" t="n">
        <f aca="false">IF(AND($P245&gt;0,$O245&gt;0),$P245,0)</f>
        <v>0</v>
      </c>
      <c r="R245" s="64" t="n">
        <f aca="false">IF(AND($Q245&gt;0,$O245&gt;=AtRank),$Q245,0)</f>
        <v>0</v>
      </c>
      <c r="S245" s="64" t="n">
        <f aca="false">IF(AND($Q245&gt;0,$O245&gt;=AboveRank),$Q245,0)</f>
        <v>0</v>
      </c>
      <c r="T245" s="64" t="n">
        <f aca="false">IF($K245="Less",$P245,0)</f>
        <v>0</v>
      </c>
      <c r="U245" s="64" t="n">
        <f aca="false">IF($K245="Expected",$P245,0)</f>
        <v>0</v>
      </c>
      <c r="V245" s="64" t="n">
        <f aca="false">IF($K245="Better",$P245,0)</f>
        <v>0</v>
      </c>
      <c r="W245" s="64" t="n">
        <f aca="false">IF($K245="U – needs rule",$P245,0)</f>
        <v>0</v>
      </c>
      <c r="X245" s="64" t="n">
        <f aca="false">IF($K245="No Start (attainment only)",$P245,0)</f>
        <v>0</v>
      </c>
    </row>
    <row r="246" customFormat="false" ht="15" hidden="false" customHeight="false" outlineLevel="0" collapsed="false">
      <c r="A246" s="60"/>
      <c r="B246" s="61" t="str">
        <f aca="false">IF($M246=0,"",INDEX(Classes!$E$6:$E$420,$M246))</f>
        <v/>
      </c>
      <c r="C246" s="62" t="str">
        <f aca="false">IF($M246=0,"",INDEX(Classes!$H$6:$H$420,$M246))</f>
        <v/>
      </c>
      <c r="D246" s="61" t="str">
        <f aca="false">IF($M246=0,"",INDEX(Classes!$B$6:$B$420,$M246))</f>
        <v/>
      </c>
      <c r="E246" s="61" t="str">
        <f aca="false">IF($M246=0,"",INDEX(Classes!$C$6:$C$420,$M246))</f>
        <v/>
      </c>
      <c r="F246" s="63"/>
      <c r="G246" s="63"/>
      <c r="H246" s="60"/>
      <c r="I246" s="60"/>
      <c r="J246" s="63"/>
      <c r="K246" s="61" t="str">
        <f aca="false">IF($P246=0,"",IF($F246="Baseline","— Baseline",IF($O246=0,"No result",IF($N246=0,"No Start (attainment only)",IF(OR($N246=1,$O246=1),"U – needs rule",INDEX(MxBody,MATCH($I246,MxCurr,0),MATCH($H246,MxStart,0)))))))</f>
        <v/>
      </c>
      <c r="L246" s="62" t="str">
        <f aca="false">IF(COUNTA($A246,$F246,$G246,$H246,$I246,$J246)=0,"",IF($M246=0,"✖ كود الصف غير موجود",IF(ISNA(MATCH($F246,Lists!$A$2:$A$5,0)),"✖ الفترة غير صحيحة",IF(ISNA(MATCH($G246,Lists!$B$2:$B$7,0)),"✖ المجموعة غير صحيحة",IF(NOT(OR($H246="",$N246&gt;0)),"✖ Start غير صحيح",IF(NOT(OR($I246="",$I246="NR",$O246&gt;0)),"✖ Current غير صحيح",IF(NOT(IF(ISNUMBER($J246),AND($J246&gt;=0,$J246=INT($J246)),FALSE())),"✖ العدد يجب أن يكون صحيحًا ≥ 0",IF(AND($F246="Baseline",$H246&lt;&gt;""),"⚠ Baseline: Start لا يدخل في التقدم",IF($K246="No Start (attainment only)","ℹ تحصيل فقط (بدون Start)",IF($K246="U – needs rule","ℹ حالة U تحتاج قاعدة معتمدة",IF($K246="No result","ℹ بدون نتيجة (يُستبعد من التحصيل)","OK")))))))))))</f>
        <v/>
      </c>
      <c r="M246" s="64" t="n">
        <f aca="false">IF($A246="",0,IFERROR(MATCH($A246,Classes!$A$6:$A$420,0),0))</f>
        <v>0</v>
      </c>
      <c r="N246" s="64" t="n">
        <f aca="false">IF($H246="",0,IFERROR(MATCH($H246,GradeList,0),0))</f>
        <v>0</v>
      </c>
      <c r="O246" s="64" t="n">
        <f aca="false">IF(OR($I246="",$I246="NR"),0,IFERROR(MATCH($I246,GradeList,0),0))</f>
        <v>0</v>
      </c>
      <c r="P246" s="64" t="n">
        <f aca="false">IF(AND($M246&gt;0,ISNUMBER(MATCH($F246,Lists!$A$2:$A$5,0)),ISNUMBER(MATCH($G246,Lists!$B$2:$B$7,0)),OR($H246="",$N246&gt;0),OR($I246="",$I246="NR",$O246&gt;0),IF(ISNUMBER($J246),AND($J246&gt;=0,$J246=INT($J246)),FALSE())),$J246,0)</f>
        <v>0</v>
      </c>
      <c r="Q246" s="64" t="n">
        <f aca="false">IF(AND($P246&gt;0,$O246&gt;0),$P246,0)</f>
        <v>0</v>
      </c>
      <c r="R246" s="64" t="n">
        <f aca="false">IF(AND($Q246&gt;0,$O246&gt;=AtRank),$Q246,0)</f>
        <v>0</v>
      </c>
      <c r="S246" s="64" t="n">
        <f aca="false">IF(AND($Q246&gt;0,$O246&gt;=AboveRank),$Q246,0)</f>
        <v>0</v>
      </c>
      <c r="T246" s="64" t="n">
        <f aca="false">IF($K246="Less",$P246,0)</f>
        <v>0</v>
      </c>
      <c r="U246" s="64" t="n">
        <f aca="false">IF($K246="Expected",$P246,0)</f>
        <v>0</v>
      </c>
      <c r="V246" s="64" t="n">
        <f aca="false">IF($K246="Better",$P246,0)</f>
        <v>0</v>
      </c>
      <c r="W246" s="64" t="n">
        <f aca="false">IF($K246="U – needs rule",$P246,0)</f>
        <v>0</v>
      </c>
      <c r="X246" s="64" t="n">
        <f aca="false">IF($K246="No Start (attainment only)",$P246,0)</f>
        <v>0</v>
      </c>
    </row>
    <row r="247" customFormat="false" ht="15" hidden="false" customHeight="false" outlineLevel="0" collapsed="false">
      <c r="A247" s="60"/>
      <c r="B247" s="61" t="str">
        <f aca="false">IF($M247=0,"",INDEX(Classes!$E$6:$E$420,$M247))</f>
        <v/>
      </c>
      <c r="C247" s="62" t="str">
        <f aca="false">IF($M247=0,"",INDEX(Classes!$H$6:$H$420,$M247))</f>
        <v/>
      </c>
      <c r="D247" s="61" t="str">
        <f aca="false">IF($M247=0,"",INDEX(Classes!$B$6:$B$420,$M247))</f>
        <v/>
      </c>
      <c r="E247" s="61" t="str">
        <f aca="false">IF($M247=0,"",INDEX(Classes!$C$6:$C$420,$M247))</f>
        <v/>
      </c>
      <c r="F247" s="63"/>
      <c r="G247" s="63"/>
      <c r="H247" s="60"/>
      <c r="I247" s="60"/>
      <c r="J247" s="63"/>
      <c r="K247" s="61" t="str">
        <f aca="false">IF($P247=0,"",IF($F247="Baseline","— Baseline",IF($O247=0,"No result",IF($N247=0,"No Start (attainment only)",IF(OR($N247=1,$O247=1),"U – needs rule",INDEX(MxBody,MATCH($I247,MxCurr,0),MATCH($H247,MxStart,0)))))))</f>
        <v/>
      </c>
      <c r="L247" s="62" t="str">
        <f aca="false">IF(COUNTA($A247,$F247,$G247,$H247,$I247,$J247)=0,"",IF($M247=0,"✖ كود الصف غير موجود",IF(ISNA(MATCH($F247,Lists!$A$2:$A$5,0)),"✖ الفترة غير صحيحة",IF(ISNA(MATCH($G247,Lists!$B$2:$B$7,0)),"✖ المجموعة غير صحيحة",IF(NOT(OR($H247="",$N247&gt;0)),"✖ Start غير صحيح",IF(NOT(OR($I247="",$I247="NR",$O247&gt;0)),"✖ Current غير صحيح",IF(NOT(IF(ISNUMBER($J247),AND($J247&gt;=0,$J247=INT($J247)),FALSE())),"✖ العدد يجب أن يكون صحيحًا ≥ 0",IF(AND($F247="Baseline",$H247&lt;&gt;""),"⚠ Baseline: Start لا يدخل في التقدم",IF($K247="No Start (attainment only)","ℹ تحصيل فقط (بدون Start)",IF($K247="U – needs rule","ℹ حالة U تحتاج قاعدة معتمدة",IF($K247="No result","ℹ بدون نتيجة (يُستبعد من التحصيل)","OK")))))))))))</f>
        <v/>
      </c>
      <c r="M247" s="64" t="n">
        <f aca="false">IF($A247="",0,IFERROR(MATCH($A247,Classes!$A$6:$A$420,0),0))</f>
        <v>0</v>
      </c>
      <c r="N247" s="64" t="n">
        <f aca="false">IF($H247="",0,IFERROR(MATCH($H247,GradeList,0),0))</f>
        <v>0</v>
      </c>
      <c r="O247" s="64" t="n">
        <f aca="false">IF(OR($I247="",$I247="NR"),0,IFERROR(MATCH($I247,GradeList,0),0))</f>
        <v>0</v>
      </c>
      <c r="P247" s="64" t="n">
        <f aca="false">IF(AND($M247&gt;0,ISNUMBER(MATCH($F247,Lists!$A$2:$A$5,0)),ISNUMBER(MATCH($G247,Lists!$B$2:$B$7,0)),OR($H247="",$N247&gt;0),OR($I247="",$I247="NR",$O247&gt;0),IF(ISNUMBER($J247),AND($J247&gt;=0,$J247=INT($J247)),FALSE())),$J247,0)</f>
        <v>0</v>
      </c>
      <c r="Q247" s="64" t="n">
        <f aca="false">IF(AND($P247&gt;0,$O247&gt;0),$P247,0)</f>
        <v>0</v>
      </c>
      <c r="R247" s="64" t="n">
        <f aca="false">IF(AND($Q247&gt;0,$O247&gt;=AtRank),$Q247,0)</f>
        <v>0</v>
      </c>
      <c r="S247" s="64" t="n">
        <f aca="false">IF(AND($Q247&gt;0,$O247&gt;=AboveRank),$Q247,0)</f>
        <v>0</v>
      </c>
      <c r="T247" s="64" t="n">
        <f aca="false">IF($K247="Less",$P247,0)</f>
        <v>0</v>
      </c>
      <c r="U247" s="64" t="n">
        <f aca="false">IF($K247="Expected",$P247,0)</f>
        <v>0</v>
      </c>
      <c r="V247" s="64" t="n">
        <f aca="false">IF($K247="Better",$P247,0)</f>
        <v>0</v>
      </c>
      <c r="W247" s="64" t="n">
        <f aca="false">IF($K247="U – needs rule",$P247,0)</f>
        <v>0</v>
      </c>
      <c r="X247" s="64" t="n">
        <f aca="false">IF($K247="No Start (attainment only)",$P247,0)</f>
        <v>0</v>
      </c>
    </row>
    <row r="248" customFormat="false" ht="15" hidden="false" customHeight="false" outlineLevel="0" collapsed="false">
      <c r="A248" s="60"/>
      <c r="B248" s="61" t="str">
        <f aca="false">IF($M248=0,"",INDEX(Classes!$E$6:$E$420,$M248))</f>
        <v/>
      </c>
      <c r="C248" s="62" t="str">
        <f aca="false">IF($M248=0,"",INDEX(Classes!$H$6:$H$420,$M248))</f>
        <v/>
      </c>
      <c r="D248" s="61" t="str">
        <f aca="false">IF($M248=0,"",INDEX(Classes!$B$6:$B$420,$M248))</f>
        <v/>
      </c>
      <c r="E248" s="61" t="str">
        <f aca="false">IF($M248=0,"",INDEX(Classes!$C$6:$C$420,$M248))</f>
        <v/>
      </c>
      <c r="F248" s="63"/>
      <c r="G248" s="63"/>
      <c r="H248" s="60"/>
      <c r="I248" s="60"/>
      <c r="J248" s="63"/>
      <c r="K248" s="61" t="str">
        <f aca="false">IF($P248=0,"",IF($F248="Baseline","— Baseline",IF($O248=0,"No result",IF($N248=0,"No Start (attainment only)",IF(OR($N248=1,$O248=1),"U – needs rule",INDEX(MxBody,MATCH($I248,MxCurr,0),MATCH($H248,MxStart,0)))))))</f>
        <v/>
      </c>
      <c r="L248" s="62" t="str">
        <f aca="false">IF(COUNTA($A248,$F248,$G248,$H248,$I248,$J248)=0,"",IF($M248=0,"✖ كود الصف غير موجود",IF(ISNA(MATCH($F248,Lists!$A$2:$A$5,0)),"✖ الفترة غير صحيحة",IF(ISNA(MATCH($G248,Lists!$B$2:$B$7,0)),"✖ المجموعة غير صحيحة",IF(NOT(OR($H248="",$N248&gt;0)),"✖ Start غير صحيح",IF(NOT(OR($I248="",$I248="NR",$O248&gt;0)),"✖ Current غير صحيح",IF(NOT(IF(ISNUMBER($J248),AND($J248&gt;=0,$J248=INT($J248)),FALSE())),"✖ العدد يجب أن يكون صحيحًا ≥ 0",IF(AND($F248="Baseline",$H248&lt;&gt;""),"⚠ Baseline: Start لا يدخل في التقدم",IF($K248="No Start (attainment only)","ℹ تحصيل فقط (بدون Start)",IF($K248="U – needs rule","ℹ حالة U تحتاج قاعدة معتمدة",IF($K248="No result","ℹ بدون نتيجة (يُستبعد من التحصيل)","OK")))))))))))</f>
        <v/>
      </c>
      <c r="M248" s="64" t="n">
        <f aca="false">IF($A248="",0,IFERROR(MATCH($A248,Classes!$A$6:$A$420,0),0))</f>
        <v>0</v>
      </c>
      <c r="N248" s="64" t="n">
        <f aca="false">IF($H248="",0,IFERROR(MATCH($H248,GradeList,0),0))</f>
        <v>0</v>
      </c>
      <c r="O248" s="64" t="n">
        <f aca="false">IF(OR($I248="",$I248="NR"),0,IFERROR(MATCH($I248,GradeList,0),0))</f>
        <v>0</v>
      </c>
      <c r="P248" s="64" t="n">
        <f aca="false">IF(AND($M248&gt;0,ISNUMBER(MATCH($F248,Lists!$A$2:$A$5,0)),ISNUMBER(MATCH($G248,Lists!$B$2:$B$7,0)),OR($H248="",$N248&gt;0),OR($I248="",$I248="NR",$O248&gt;0),IF(ISNUMBER($J248),AND($J248&gt;=0,$J248=INT($J248)),FALSE())),$J248,0)</f>
        <v>0</v>
      </c>
      <c r="Q248" s="64" t="n">
        <f aca="false">IF(AND($P248&gt;0,$O248&gt;0),$P248,0)</f>
        <v>0</v>
      </c>
      <c r="R248" s="64" t="n">
        <f aca="false">IF(AND($Q248&gt;0,$O248&gt;=AtRank),$Q248,0)</f>
        <v>0</v>
      </c>
      <c r="S248" s="64" t="n">
        <f aca="false">IF(AND($Q248&gt;0,$O248&gt;=AboveRank),$Q248,0)</f>
        <v>0</v>
      </c>
      <c r="T248" s="64" t="n">
        <f aca="false">IF($K248="Less",$P248,0)</f>
        <v>0</v>
      </c>
      <c r="U248" s="64" t="n">
        <f aca="false">IF($K248="Expected",$P248,0)</f>
        <v>0</v>
      </c>
      <c r="V248" s="64" t="n">
        <f aca="false">IF($K248="Better",$P248,0)</f>
        <v>0</v>
      </c>
      <c r="W248" s="64" t="n">
        <f aca="false">IF($K248="U – needs rule",$P248,0)</f>
        <v>0</v>
      </c>
      <c r="X248" s="64" t="n">
        <f aca="false">IF($K248="No Start (attainment only)",$P248,0)</f>
        <v>0</v>
      </c>
    </row>
    <row r="249" customFormat="false" ht="15" hidden="false" customHeight="false" outlineLevel="0" collapsed="false">
      <c r="A249" s="60"/>
      <c r="B249" s="61" t="str">
        <f aca="false">IF($M249=0,"",INDEX(Classes!$E$6:$E$420,$M249))</f>
        <v/>
      </c>
      <c r="C249" s="62" t="str">
        <f aca="false">IF($M249=0,"",INDEX(Classes!$H$6:$H$420,$M249))</f>
        <v/>
      </c>
      <c r="D249" s="61" t="str">
        <f aca="false">IF($M249=0,"",INDEX(Classes!$B$6:$B$420,$M249))</f>
        <v/>
      </c>
      <c r="E249" s="61" t="str">
        <f aca="false">IF($M249=0,"",INDEX(Classes!$C$6:$C$420,$M249))</f>
        <v/>
      </c>
      <c r="F249" s="63"/>
      <c r="G249" s="63"/>
      <c r="H249" s="60"/>
      <c r="I249" s="60"/>
      <c r="J249" s="63"/>
      <c r="K249" s="61" t="str">
        <f aca="false">IF($P249=0,"",IF($F249="Baseline","— Baseline",IF($O249=0,"No result",IF($N249=0,"No Start (attainment only)",IF(OR($N249=1,$O249=1),"U – needs rule",INDEX(MxBody,MATCH($I249,MxCurr,0),MATCH($H249,MxStart,0)))))))</f>
        <v/>
      </c>
      <c r="L249" s="62" t="str">
        <f aca="false">IF(COUNTA($A249,$F249,$G249,$H249,$I249,$J249)=0,"",IF($M249=0,"✖ كود الصف غير موجود",IF(ISNA(MATCH($F249,Lists!$A$2:$A$5,0)),"✖ الفترة غير صحيحة",IF(ISNA(MATCH($G249,Lists!$B$2:$B$7,0)),"✖ المجموعة غير صحيحة",IF(NOT(OR($H249="",$N249&gt;0)),"✖ Start غير صحيح",IF(NOT(OR($I249="",$I249="NR",$O249&gt;0)),"✖ Current غير صحيح",IF(NOT(IF(ISNUMBER($J249),AND($J249&gt;=0,$J249=INT($J249)),FALSE())),"✖ العدد يجب أن يكون صحيحًا ≥ 0",IF(AND($F249="Baseline",$H249&lt;&gt;""),"⚠ Baseline: Start لا يدخل في التقدم",IF($K249="No Start (attainment only)","ℹ تحصيل فقط (بدون Start)",IF($K249="U – needs rule","ℹ حالة U تحتاج قاعدة معتمدة",IF($K249="No result","ℹ بدون نتيجة (يُستبعد من التحصيل)","OK")))))))))))</f>
        <v/>
      </c>
      <c r="M249" s="64" t="n">
        <f aca="false">IF($A249="",0,IFERROR(MATCH($A249,Classes!$A$6:$A$420,0),0))</f>
        <v>0</v>
      </c>
      <c r="N249" s="64" t="n">
        <f aca="false">IF($H249="",0,IFERROR(MATCH($H249,GradeList,0),0))</f>
        <v>0</v>
      </c>
      <c r="O249" s="64" t="n">
        <f aca="false">IF(OR($I249="",$I249="NR"),0,IFERROR(MATCH($I249,GradeList,0),0))</f>
        <v>0</v>
      </c>
      <c r="P249" s="64" t="n">
        <f aca="false">IF(AND($M249&gt;0,ISNUMBER(MATCH($F249,Lists!$A$2:$A$5,0)),ISNUMBER(MATCH($G249,Lists!$B$2:$B$7,0)),OR($H249="",$N249&gt;0),OR($I249="",$I249="NR",$O249&gt;0),IF(ISNUMBER($J249),AND($J249&gt;=0,$J249=INT($J249)),FALSE())),$J249,0)</f>
        <v>0</v>
      </c>
      <c r="Q249" s="64" t="n">
        <f aca="false">IF(AND($P249&gt;0,$O249&gt;0),$P249,0)</f>
        <v>0</v>
      </c>
      <c r="R249" s="64" t="n">
        <f aca="false">IF(AND($Q249&gt;0,$O249&gt;=AtRank),$Q249,0)</f>
        <v>0</v>
      </c>
      <c r="S249" s="64" t="n">
        <f aca="false">IF(AND($Q249&gt;0,$O249&gt;=AboveRank),$Q249,0)</f>
        <v>0</v>
      </c>
      <c r="T249" s="64" t="n">
        <f aca="false">IF($K249="Less",$P249,0)</f>
        <v>0</v>
      </c>
      <c r="U249" s="64" t="n">
        <f aca="false">IF($K249="Expected",$P249,0)</f>
        <v>0</v>
      </c>
      <c r="V249" s="64" t="n">
        <f aca="false">IF($K249="Better",$P249,0)</f>
        <v>0</v>
      </c>
      <c r="W249" s="64" t="n">
        <f aca="false">IF($K249="U – needs rule",$P249,0)</f>
        <v>0</v>
      </c>
      <c r="X249" s="64" t="n">
        <f aca="false">IF($K249="No Start (attainment only)",$P249,0)</f>
        <v>0</v>
      </c>
    </row>
    <row r="250" customFormat="false" ht="15" hidden="false" customHeight="false" outlineLevel="0" collapsed="false">
      <c r="A250" s="60"/>
      <c r="B250" s="61" t="str">
        <f aca="false">IF($M250=0,"",INDEX(Classes!$E$6:$E$420,$M250))</f>
        <v/>
      </c>
      <c r="C250" s="62" t="str">
        <f aca="false">IF($M250=0,"",INDEX(Classes!$H$6:$H$420,$M250))</f>
        <v/>
      </c>
      <c r="D250" s="61" t="str">
        <f aca="false">IF($M250=0,"",INDEX(Classes!$B$6:$B$420,$M250))</f>
        <v/>
      </c>
      <c r="E250" s="61" t="str">
        <f aca="false">IF($M250=0,"",INDEX(Classes!$C$6:$C$420,$M250))</f>
        <v/>
      </c>
      <c r="F250" s="63"/>
      <c r="G250" s="63"/>
      <c r="H250" s="60"/>
      <c r="I250" s="60"/>
      <c r="J250" s="63"/>
      <c r="K250" s="61" t="str">
        <f aca="false">IF($P250=0,"",IF($F250="Baseline","— Baseline",IF($O250=0,"No result",IF($N250=0,"No Start (attainment only)",IF(OR($N250=1,$O250=1),"U – needs rule",INDEX(MxBody,MATCH($I250,MxCurr,0),MATCH($H250,MxStart,0)))))))</f>
        <v/>
      </c>
      <c r="L250" s="62" t="str">
        <f aca="false">IF(COUNTA($A250,$F250,$G250,$H250,$I250,$J250)=0,"",IF($M250=0,"✖ كود الصف غير موجود",IF(ISNA(MATCH($F250,Lists!$A$2:$A$5,0)),"✖ الفترة غير صحيحة",IF(ISNA(MATCH($G250,Lists!$B$2:$B$7,0)),"✖ المجموعة غير صحيحة",IF(NOT(OR($H250="",$N250&gt;0)),"✖ Start غير صحيح",IF(NOT(OR($I250="",$I250="NR",$O250&gt;0)),"✖ Current غير صحيح",IF(NOT(IF(ISNUMBER($J250),AND($J250&gt;=0,$J250=INT($J250)),FALSE())),"✖ العدد يجب أن يكون صحيحًا ≥ 0",IF(AND($F250="Baseline",$H250&lt;&gt;""),"⚠ Baseline: Start لا يدخل في التقدم",IF($K250="No Start (attainment only)","ℹ تحصيل فقط (بدون Start)",IF($K250="U – needs rule","ℹ حالة U تحتاج قاعدة معتمدة",IF($K250="No result","ℹ بدون نتيجة (يُستبعد من التحصيل)","OK")))))))))))</f>
        <v/>
      </c>
      <c r="M250" s="64" t="n">
        <f aca="false">IF($A250="",0,IFERROR(MATCH($A250,Classes!$A$6:$A$420,0),0))</f>
        <v>0</v>
      </c>
      <c r="N250" s="64" t="n">
        <f aca="false">IF($H250="",0,IFERROR(MATCH($H250,GradeList,0),0))</f>
        <v>0</v>
      </c>
      <c r="O250" s="64" t="n">
        <f aca="false">IF(OR($I250="",$I250="NR"),0,IFERROR(MATCH($I250,GradeList,0),0))</f>
        <v>0</v>
      </c>
      <c r="P250" s="64" t="n">
        <f aca="false">IF(AND($M250&gt;0,ISNUMBER(MATCH($F250,Lists!$A$2:$A$5,0)),ISNUMBER(MATCH($G250,Lists!$B$2:$B$7,0)),OR($H250="",$N250&gt;0),OR($I250="",$I250="NR",$O250&gt;0),IF(ISNUMBER($J250),AND($J250&gt;=0,$J250=INT($J250)),FALSE())),$J250,0)</f>
        <v>0</v>
      </c>
      <c r="Q250" s="64" t="n">
        <f aca="false">IF(AND($P250&gt;0,$O250&gt;0),$P250,0)</f>
        <v>0</v>
      </c>
      <c r="R250" s="64" t="n">
        <f aca="false">IF(AND($Q250&gt;0,$O250&gt;=AtRank),$Q250,0)</f>
        <v>0</v>
      </c>
      <c r="S250" s="64" t="n">
        <f aca="false">IF(AND($Q250&gt;0,$O250&gt;=AboveRank),$Q250,0)</f>
        <v>0</v>
      </c>
      <c r="T250" s="64" t="n">
        <f aca="false">IF($K250="Less",$P250,0)</f>
        <v>0</v>
      </c>
      <c r="U250" s="64" t="n">
        <f aca="false">IF($K250="Expected",$P250,0)</f>
        <v>0</v>
      </c>
      <c r="V250" s="64" t="n">
        <f aca="false">IF($K250="Better",$P250,0)</f>
        <v>0</v>
      </c>
      <c r="W250" s="64" t="n">
        <f aca="false">IF($K250="U – needs rule",$P250,0)</f>
        <v>0</v>
      </c>
      <c r="X250" s="64" t="n">
        <f aca="false">IF($K250="No Start (attainment only)",$P250,0)</f>
        <v>0</v>
      </c>
    </row>
    <row r="251" customFormat="false" ht="15" hidden="false" customHeight="false" outlineLevel="0" collapsed="false">
      <c r="A251" s="60"/>
      <c r="B251" s="61" t="str">
        <f aca="false">IF($M251=0,"",INDEX(Classes!$E$6:$E$420,$M251))</f>
        <v/>
      </c>
      <c r="C251" s="62" t="str">
        <f aca="false">IF($M251=0,"",INDEX(Classes!$H$6:$H$420,$M251))</f>
        <v/>
      </c>
      <c r="D251" s="61" t="str">
        <f aca="false">IF($M251=0,"",INDEX(Classes!$B$6:$B$420,$M251))</f>
        <v/>
      </c>
      <c r="E251" s="61" t="str">
        <f aca="false">IF($M251=0,"",INDEX(Classes!$C$6:$C$420,$M251))</f>
        <v/>
      </c>
      <c r="F251" s="63"/>
      <c r="G251" s="63"/>
      <c r="H251" s="60"/>
      <c r="I251" s="60"/>
      <c r="J251" s="63"/>
      <c r="K251" s="61" t="str">
        <f aca="false">IF($P251=0,"",IF($F251="Baseline","— Baseline",IF($O251=0,"No result",IF($N251=0,"No Start (attainment only)",IF(OR($N251=1,$O251=1),"U – needs rule",INDEX(MxBody,MATCH($I251,MxCurr,0),MATCH($H251,MxStart,0)))))))</f>
        <v/>
      </c>
      <c r="L251" s="62" t="str">
        <f aca="false">IF(COUNTA($A251,$F251,$G251,$H251,$I251,$J251)=0,"",IF($M251=0,"✖ كود الصف غير موجود",IF(ISNA(MATCH($F251,Lists!$A$2:$A$5,0)),"✖ الفترة غير صحيحة",IF(ISNA(MATCH($G251,Lists!$B$2:$B$7,0)),"✖ المجموعة غير صحيحة",IF(NOT(OR($H251="",$N251&gt;0)),"✖ Start غير صحيح",IF(NOT(OR($I251="",$I251="NR",$O251&gt;0)),"✖ Current غير صحيح",IF(NOT(IF(ISNUMBER($J251),AND($J251&gt;=0,$J251=INT($J251)),FALSE())),"✖ العدد يجب أن يكون صحيحًا ≥ 0",IF(AND($F251="Baseline",$H251&lt;&gt;""),"⚠ Baseline: Start لا يدخل في التقدم",IF($K251="No Start (attainment only)","ℹ تحصيل فقط (بدون Start)",IF($K251="U – needs rule","ℹ حالة U تحتاج قاعدة معتمدة",IF($K251="No result","ℹ بدون نتيجة (يُستبعد من التحصيل)","OK")))))))))))</f>
        <v/>
      </c>
      <c r="M251" s="64" t="n">
        <f aca="false">IF($A251="",0,IFERROR(MATCH($A251,Classes!$A$6:$A$420,0),0))</f>
        <v>0</v>
      </c>
      <c r="N251" s="64" t="n">
        <f aca="false">IF($H251="",0,IFERROR(MATCH($H251,GradeList,0),0))</f>
        <v>0</v>
      </c>
      <c r="O251" s="64" t="n">
        <f aca="false">IF(OR($I251="",$I251="NR"),0,IFERROR(MATCH($I251,GradeList,0),0))</f>
        <v>0</v>
      </c>
      <c r="P251" s="64" t="n">
        <f aca="false">IF(AND($M251&gt;0,ISNUMBER(MATCH($F251,Lists!$A$2:$A$5,0)),ISNUMBER(MATCH($G251,Lists!$B$2:$B$7,0)),OR($H251="",$N251&gt;0),OR($I251="",$I251="NR",$O251&gt;0),IF(ISNUMBER($J251),AND($J251&gt;=0,$J251=INT($J251)),FALSE())),$J251,0)</f>
        <v>0</v>
      </c>
      <c r="Q251" s="64" t="n">
        <f aca="false">IF(AND($P251&gt;0,$O251&gt;0),$P251,0)</f>
        <v>0</v>
      </c>
      <c r="R251" s="64" t="n">
        <f aca="false">IF(AND($Q251&gt;0,$O251&gt;=AtRank),$Q251,0)</f>
        <v>0</v>
      </c>
      <c r="S251" s="64" t="n">
        <f aca="false">IF(AND($Q251&gt;0,$O251&gt;=AboveRank),$Q251,0)</f>
        <v>0</v>
      </c>
      <c r="T251" s="64" t="n">
        <f aca="false">IF($K251="Less",$P251,0)</f>
        <v>0</v>
      </c>
      <c r="U251" s="64" t="n">
        <f aca="false">IF($K251="Expected",$P251,0)</f>
        <v>0</v>
      </c>
      <c r="V251" s="64" t="n">
        <f aca="false">IF($K251="Better",$P251,0)</f>
        <v>0</v>
      </c>
      <c r="W251" s="64" t="n">
        <f aca="false">IF($K251="U – needs rule",$P251,0)</f>
        <v>0</v>
      </c>
      <c r="X251" s="64" t="n">
        <f aca="false">IF($K251="No Start (attainment only)",$P251,0)</f>
        <v>0</v>
      </c>
    </row>
    <row r="252" customFormat="false" ht="15" hidden="false" customHeight="false" outlineLevel="0" collapsed="false">
      <c r="A252" s="60"/>
      <c r="B252" s="61" t="str">
        <f aca="false">IF($M252=0,"",INDEX(Classes!$E$6:$E$420,$M252))</f>
        <v/>
      </c>
      <c r="C252" s="62" t="str">
        <f aca="false">IF($M252=0,"",INDEX(Classes!$H$6:$H$420,$M252))</f>
        <v/>
      </c>
      <c r="D252" s="61" t="str">
        <f aca="false">IF($M252=0,"",INDEX(Classes!$B$6:$B$420,$M252))</f>
        <v/>
      </c>
      <c r="E252" s="61" t="str">
        <f aca="false">IF($M252=0,"",INDEX(Classes!$C$6:$C$420,$M252))</f>
        <v/>
      </c>
      <c r="F252" s="63"/>
      <c r="G252" s="63"/>
      <c r="H252" s="60"/>
      <c r="I252" s="60"/>
      <c r="J252" s="63"/>
      <c r="K252" s="61" t="str">
        <f aca="false">IF($P252=0,"",IF($F252="Baseline","— Baseline",IF($O252=0,"No result",IF($N252=0,"No Start (attainment only)",IF(OR($N252=1,$O252=1),"U – needs rule",INDEX(MxBody,MATCH($I252,MxCurr,0),MATCH($H252,MxStart,0)))))))</f>
        <v/>
      </c>
      <c r="L252" s="62" t="str">
        <f aca="false">IF(COUNTA($A252,$F252,$G252,$H252,$I252,$J252)=0,"",IF($M252=0,"✖ كود الصف غير موجود",IF(ISNA(MATCH($F252,Lists!$A$2:$A$5,0)),"✖ الفترة غير صحيحة",IF(ISNA(MATCH($G252,Lists!$B$2:$B$7,0)),"✖ المجموعة غير صحيحة",IF(NOT(OR($H252="",$N252&gt;0)),"✖ Start غير صحيح",IF(NOT(OR($I252="",$I252="NR",$O252&gt;0)),"✖ Current غير صحيح",IF(NOT(IF(ISNUMBER($J252),AND($J252&gt;=0,$J252=INT($J252)),FALSE())),"✖ العدد يجب أن يكون صحيحًا ≥ 0",IF(AND($F252="Baseline",$H252&lt;&gt;""),"⚠ Baseline: Start لا يدخل في التقدم",IF($K252="No Start (attainment only)","ℹ تحصيل فقط (بدون Start)",IF($K252="U – needs rule","ℹ حالة U تحتاج قاعدة معتمدة",IF($K252="No result","ℹ بدون نتيجة (يُستبعد من التحصيل)","OK")))))))))))</f>
        <v/>
      </c>
      <c r="M252" s="64" t="n">
        <f aca="false">IF($A252="",0,IFERROR(MATCH($A252,Classes!$A$6:$A$420,0),0))</f>
        <v>0</v>
      </c>
      <c r="N252" s="64" t="n">
        <f aca="false">IF($H252="",0,IFERROR(MATCH($H252,GradeList,0),0))</f>
        <v>0</v>
      </c>
      <c r="O252" s="64" t="n">
        <f aca="false">IF(OR($I252="",$I252="NR"),0,IFERROR(MATCH($I252,GradeList,0),0))</f>
        <v>0</v>
      </c>
      <c r="P252" s="64" t="n">
        <f aca="false">IF(AND($M252&gt;0,ISNUMBER(MATCH($F252,Lists!$A$2:$A$5,0)),ISNUMBER(MATCH($G252,Lists!$B$2:$B$7,0)),OR($H252="",$N252&gt;0),OR($I252="",$I252="NR",$O252&gt;0),IF(ISNUMBER($J252),AND($J252&gt;=0,$J252=INT($J252)),FALSE())),$J252,0)</f>
        <v>0</v>
      </c>
      <c r="Q252" s="64" t="n">
        <f aca="false">IF(AND($P252&gt;0,$O252&gt;0),$P252,0)</f>
        <v>0</v>
      </c>
      <c r="R252" s="64" t="n">
        <f aca="false">IF(AND($Q252&gt;0,$O252&gt;=AtRank),$Q252,0)</f>
        <v>0</v>
      </c>
      <c r="S252" s="64" t="n">
        <f aca="false">IF(AND($Q252&gt;0,$O252&gt;=AboveRank),$Q252,0)</f>
        <v>0</v>
      </c>
      <c r="T252" s="64" t="n">
        <f aca="false">IF($K252="Less",$P252,0)</f>
        <v>0</v>
      </c>
      <c r="U252" s="64" t="n">
        <f aca="false">IF($K252="Expected",$P252,0)</f>
        <v>0</v>
      </c>
      <c r="V252" s="64" t="n">
        <f aca="false">IF($K252="Better",$P252,0)</f>
        <v>0</v>
      </c>
      <c r="W252" s="64" t="n">
        <f aca="false">IF($K252="U – needs rule",$P252,0)</f>
        <v>0</v>
      </c>
      <c r="X252" s="64" t="n">
        <f aca="false">IF($K252="No Start (attainment only)",$P252,0)</f>
        <v>0</v>
      </c>
    </row>
    <row r="253" customFormat="false" ht="15" hidden="false" customHeight="false" outlineLevel="0" collapsed="false">
      <c r="A253" s="60"/>
      <c r="B253" s="61" t="str">
        <f aca="false">IF($M253=0,"",INDEX(Classes!$E$6:$E$420,$M253))</f>
        <v/>
      </c>
      <c r="C253" s="62" t="str">
        <f aca="false">IF($M253=0,"",INDEX(Classes!$H$6:$H$420,$M253))</f>
        <v/>
      </c>
      <c r="D253" s="61" t="str">
        <f aca="false">IF($M253=0,"",INDEX(Classes!$B$6:$B$420,$M253))</f>
        <v/>
      </c>
      <c r="E253" s="61" t="str">
        <f aca="false">IF($M253=0,"",INDEX(Classes!$C$6:$C$420,$M253))</f>
        <v/>
      </c>
      <c r="F253" s="63"/>
      <c r="G253" s="63"/>
      <c r="H253" s="60"/>
      <c r="I253" s="60"/>
      <c r="J253" s="63"/>
      <c r="K253" s="61" t="str">
        <f aca="false">IF($P253=0,"",IF($F253="Baseline","— Baseline",IF($O253=0,"No result",IF($N253=0,"No Start (attainment only)",IF(OR($N253=1,$O253=1),"U – needs rule",INDEX(MxBody,MATCH($I253,MxCurr,0),MATCH($H253,MxStart,0)))))))</f>
        <v/>
      </c>
      <c r="L253" s="62" t="str">
        <f aca="false">IF(COUNTA($A253,$F253,$G253,$H253,$I253,$J253)=0,"",IF($M253=0,"✖ كود الصف غير موجود",IF(ISNA(MATCH($F253,Lists!$A$2:$A$5,0)),"✖ الفترة غير صحيحة",IF(ISNA(MATCH($G253,Lists!$B$2:$B$7,0)),"✖ المجموعة غير صحيحة",IF(NOT(OR($H253="",$N253&gt;0)),"✖ Start غير صحيح",IF(NOT(OR($I253="",$I253="NR",$O253&gt;0)),"✖ Current غير صحيح",IF(NOT(IF(ISNUMBER($J253),AND($J253&gt;=0,$J253=INT($J253)),FALSE())),"✖ العدد يجب أن يكون صحيحًا ≥ 0",IF(AND($F253="Baseline",$H253&lt;&gt;""),"⚠ Baseline: Start لا يدخل في التقدم",IF($K253="No Start (attainment only)","ℹ تحصيل فقط (بدون Start)",IF($K253="U – needs rule","ℹ حالة U تحتاج قاعدة معتمدة",IF($K253="No result","ℹ بدون نتيجة (يُستبعد من التحصيل)","OK")))))))))))</f>
        <v/>
      </c>
      <c r="M253" s="64" t="n">
        <f aca="false">IF($A253="",0,IFERROR(MATCH($A253,Classes!$A$6:$A$420,0),0))</f>
        <v>0</v>
      </c>
      <c r="N253" s="64" t="n">
        <f aca="false">IF($H253="",0,IFERROR(MATCH($H253,GradeList,0),0))</f>
        <v>0</v>
      </c>
      <c r="O253" s="64" t="n">
        <f aca="false">IF(OR($I253="",$I253="NR"),0,IFERROR(MATCH($I253,GradeList,0),0))</f>
        <v>0</v>
      </c>
      <c r="P253" s="64" t="n">
        <f aca="false">IF(AND($M253&gt;0,ISNUMBER(MATCH($F253,Lists!$A$2:$A$5,0)),ISNUMBER(MATCH($G253,Lists!$B$2:$B$7,0)),OR($H253="",$N253&gt;0),OR($I253="",$I253="NR",$O253&gt;0),IF(ISNUMBER($J253),AND($J253&gt;=0,$J253=INT($J253)),FALSE())),$J253,0)</f>
        <v>0</v>
      </c>
      <c r="Q253" s="64" t="n">
        <f aca="false">IF(AND($P253&gt;0,$O253&gt;0),$P253,0)</f>
        <v>0</v>
      </c>
      <c r="R253" s="64" t="n">
        <f aca="false">IF(AND($Q253&gt;0,$O253&gt;=AtRank),$Q253,0)</f>
        <v>0</v>
      </c>
      <c r="S253" s="64" t="n">
        <f aca="false">IF(AND($Q253&gt;0,$O253&gt;=AboveRank),$Q253,0)</f>
        <v>0</v>
      </c>
      <c r="T253" s="64" t="n">
        <f aca="false">IF($K253="Less",$P253,0)</f>
        <v>0</v>
      </c>
      <c r="U253" s="64" t="n">
        <f aca="false">IF($K253="Expected",$P253,0)</f>
        <v>0</v>
      </c>
      <c r="V253" s="64" t="n">
        <f aca="false">IF($K253="Better",$P253,0)</f>
        <v>0</v>
      </c>
      <c r="W253" s="64" t="n">
        <f aca="false">IF($K253="U – needs rule",$P253,0)</f>
        <v>0</v>
      </c>
      <c r="X253" s="64" t="n">
        <f aca="false">IF($K253="No Start (attainment only)",$P253,0)</f>
        <v>0</v>
      </c>
    </row>
    <row r="254" customFormat="false" ht="15" hidden="false" customHeight="false" outlineLevel="0" collapsed="false">
      <c r="A254" s="60"/>
      <c r="B254" s="61" t="str">
        <f aca="false">IF($M254=0,"",INDEX(Classes!$E$6:$E$420,$M254))</f>
        <v/>
      </c>
      <c r="C254" s="62" t="str">
        <f aca="false">IF($M254=0,"",INDEX(Classes!$H$6:$H$420,$M254))</f>
        <v/>
      </c>
      <c r="D254" s="61" t="str">
        <f aca="false">IF($M254=0,"",INDEX(Classes!$B$6:$B$420,$M254))</f>
        <v/>
      </c>
      <c r="E254" s="61" t="str">
        <f aca="false">IF($M254=0,"",INDEX(Classes!$C$6:$C$420,$M254))</f>
        <v/>
      </c>
      <c r="F254" s="63"/>
      <c r="G254" s="63"/>
      <c r="H254" s="60"/>
      <c r="I254" s="60"/>
      <c r="J254" s="63"/>
      <c r="K254" s="61" t="str">
        <f aca="false">IF($P254=0,"",IF($F254="Baseline","— Baseline",IF($O254=0,"No result",IF($N254=0,"No Start (attainment only)",IF(OR($N254=1,$O254=1),"U – needs rule",INDEX(MxBody,MATCH($I254,MxCurr,0),MATCH($H254,MxStart,0)))))))</f>
        <v/>
      </c>
      <c r="L254" s="62" t="str">
        <f aca="false">IF(COUNTA($A254,$F254,$G254,$H254,$I254,$J254)=0,"",IF($M254=0,"✖ كود الصف غير موجود",IF(ISNA(MATCH($F254,Lists!$A$2:$A$5,0)),"✖ الفترة غير صحيحة",IF(ISNA(MATCH($G254,Lists!$B$2:$B$7,0)),"✖ المجموعة غير صحيحة",IF(NOT(OR($H254="",$N254&gt;0)),"✖ Start غير صحيح",IF(NOT(OR($I254="",$I254="NR",$O254&gt;0)),"✖ Current غير صحيح",IF(NOT(IF(ISNUMBER($J254),AND($J254&gt;=0,$J254=INT($J254)),FALSE())),"✖ العدد يجب أن يكون صحيحًا ≥ 0",IF(AND($F254="Baseline",$H254&lt;&gt;""),"⚠ Baseline: Start لا يدخل في التقدم",IF($K254="No Start (attainment only)","ℹ تحصيل فقط (بدون Start)",IF($K254="U – needs rule","ℹ حالة U تحتاج قاعدة معتمدة",IF($K254="No result","ℹ بدون نتيجة (يُستبعد من التحصيل)","OK")))))))))))</f>
        <v/>
      </c>
      <c r="M254" s="64" t="n">
        <f aca="false">IF($A254="",0,IFERROR(MATCH($A254,Classes!$A$6:$A$420,0),0))</f>
        <v>0</v>
      </c>
      <c r="N254" s="64" t="n">
        <f aca="false">IF($H254="",0,IFERROR(MATCH($H254,GradeList,0),0))</f>
        <v>0</v>
      </c>
      <c r="O254" s="64" t="n">
        <f aca="false">IF(OR($I254="",$I254="NR"),0,IFERROR(MATCH($I254,GradeList,0),0))</f>
        <v>0</v>
      </c>
      <c r="P254" s="64" t="n">
        <f aca="false">IF(AND($M254&gt;0,ISNUMBER(MATCH($F254,Lists!$A$2:$A$5,0)),ISNUMBER(MATCH($G254,Lists!$B$2:$B$7,0)),OR($H254="",$N254&gt;0),OR($I254="",$I254="NR",$O254&gt;0),IF(ISNUMBER($J254),AND($J254&gt;=0,$J254=INT($J254)),FALSE())),$J254,0)</f>
        <v>0</v>
      </c>
      <c r="Q254" s="64" t="n">
        <f aca="false">IF(AND($P254&gt;0,$O254&gt;0),$P254,0)</f>
        <v>0</v>
      </c>
      <c r="R254" s="64" t="n">
        <f aca="false">IF(AND($Q254&gt;0,$O254&gt;=AtRank),$Q254,0)</f>
        <v>0</v>
      </c>
      <c r="S254" s="64" t="n">
        <f aca="false">IF(AND($Q254&gt;0,$O254&gt;=AboveRank),$Q254,0)</f>
        <v>0</v>
      </c>
      <c r="T254" s="64" t="n">
        <f aca="false">IF($K254="Less",$P254,0)</f>
        <v>0</v>
      </c>
      <c r="U254" s="64" t="n">
        <f aca="false">IF($K254="Expected",$P254,0)</f>
        <v>0</v>
      </c>
      <c r="V254" s="64" t="n">
        <f aca="false">IF($K254="Better",$P254,0)</f>
        <v>0</v>
      </c>
      <c r="W254" s="64" t="n">
        <f aca="false">IF($K254="U – needs rule",$P254,0)</f>
        <v>0</v>
      </c>
      <c r="X254" s="64" t="n">
        <f aca="false">IF($K254="No Start (attainment only)",$P254,0)</f>
        <v>0</v>
      </c>
    </row>
    <row r="255" customFormat="false" ht="15" hidden="false" customHeight="false" outlineLevel="0" collapsed="false">
      <c r="A255" s="60"/>
      <c r="B255" s="61" t="str">
        <f aca="false">IF($M255=0,"",INDEX(Classes!$E$6:$E$420,$M255))</f>
        <v/>
      </c>
      <c r="C255" s="62" t="str">
        <f aca="false">IF($M255=0,"",INDEX(Classes!$H$6:$H$420,$M255))</f>
        <v/>
      </c>
      <c r="D255" s="61" t="str">
        <f aca="false">IF($M255=0,"",INDEX(Classes!$B$6:$B$420,$M255))</f>
        <v/>
      </c>
      <c r="E255" s="61" t="str">
        <f aca="false">IF($M255=0,"",INDEX(Classes!$C$6:$C$420,$M255))</f>
        <v/>
      </c>
      <c r="F255" s="63"/>
      <c r="G255" s="63"/>
      <c r="H255" s="60"/>
      <c r="I255" s="60"/>
      <c r="J255" s="63"/>
      <c r="K255" s="61" t="str">
        <f aca="false">IF($P255=0,"",IF($F255="Baseline","— Baseline",IF($O255=0,"No result",IF($N255=0,"No Start (attainment only)",IF(OR($N255=1,$O255=1),"U – needs rule",INDEX(MxBody,MATCH($I255,MxCurr,0),MATCH($H255,MxStart,0)))))))</f>
        <v/>
      </c>
      <c r="L255" s="62" t="str">
        <f aca="false">IF(COUNTA($A255,$F255,$G255,$H255,$I255,$J255)=0,"",IF($M255=0,"✖ كود الصف غير موجود",IF(ISNA(MATCH($F255,Lists!$A$2:$A$5,0)),"✖ الفترة غير صحيحة",IF(ISNA(MATCH($G255,Lists!$B$2:$B$7,0)),"✖ المجموعة غير صحيحة",IF(NOT(OR($H255="",$N255&gt;0)),"✖ Start غير صحيح",IF(NOT(OR($I255="",$I255="NR",$O255&gt;0)),"✖ Current غير صحيح",IF(NOT(IF(ISNUMBER($J255),AND($J255&gt;=0,$J255=INT($J255)),FALSE())),"✖ العدد يجب أن يكون صحيحًا ≥ 0",IF(AND($F255="Baseline",$H255&lt;&gt;""),"⚠ Baseline: Start لا يدخل في التقدم",IF($K255="No Start (attainment only)","ℹ تحصيل فقط (بدون Start)",IF($K255="U – needs rule","ℹ حالة U تحتاج قاعدة معتمدة",IF($K255="No result","ℹ بدون نتيجة (يُستبعد من التحصيل)","OK")))))))))))</f>
        <v/>
      </c>
      <c r="M255" s="64" t="n">
        <f aca="false">IF($A255="",0,IFERROR(MATCH($A255,Classes!$A$6:$A$420,0),0))</f>
        <v>0</v>
      </c>
      <c r="N255" s="64" t="n">
        <f aca="false">IF($H255="",0,IFERROR(MATCH($H255,GradeList,0),0))</f>
        <v>0</v>
      </c>
      <c r="O255" s="64" t="n">
        <f aca="false">IF(OR($I255="",$I255="NR"),0,IFERROR(MATCH($I255,GradeList,0),0))</f>
        <v>0</v>
      </c>
      <c r="P255" s="64" t="n">
        <f aca="false">IF(AND($M255&gt;0,ISNUMBER(MATCH($F255,Lists!$A$2:$A$5,0)),ISNUMBER(MATCH($G255,Lists!$B$2:$B$7,0)),OR($H255="",$N255&gt;0),OR($I255="",$I255="NR",$O255&gt;0),IF(ISNUMBER($J255),AND($J255&gt;=0,$J255=INT($J255)),FALSE())),$J255,0)</f>
        <v>0</v>
      </c>
      <c r="Q255" s="64" t="n">
        <f aca="false">IF(AND($P255&gt;0,$O255&gt;0),$P255,0)</f>
        <v>0</v>
      </c>
      <c r="R255" s="64" t="n">
        <f aca="false">IF(AND($Q255&gt;0,$O255&gt;=AtRank),$Q255,0)</f>
        <v>0</v>
      </c>
      <c r="S255" s="64" t="n">
        <f aca="false">IF(AND($Q255&gt;0,$O255&gt;=AboveRank),$Q255,0)</f>
        <v>0</v>
      </c>
      <c r="T255" s="64" t="n">
        <f aca="false">IF($K255="Less",$P255,0)</f>
        <v>0</v>
      </c>
      <c r="U255" s="64" t="n">
        <f aca="false">IF($K255="Expected",$P255,0)</f>
        <v>0</v>
      </c>
      <c r="V255" s="64" t="n">
        <f aca="false">IF($K255="Better",$P255,0)</f>
        <v>0</v>
      </c>
      <c r="W255" s="64" t="n">
        <f aca="false">IF($K255="U – needs rule",$P255,0)</f>
        <v>0</v>
      </c>
      <c r="X255" s="64" t="n">
        <f aca="false">IF($K255="No Start (attainment only)",$P255,0)</f>
        <v>0</v>
      </c>
    </row>
    <row r="256" customFormat="false" ht="15" hidden="false" customHeight="false" outlineLevel="0" collapsed="false">
      <c r="A256" s="60"/>
      <c r="B256" s="61" t="str">
        <f aca="false">IF($M256=0,"",INDEX(Classes!$E$6:$E$420,$M256))</f>
        <v/>
      </c>
      <c r="C256" s="62" t="str">
        <f aca="false">IF($M256=0,"",INDEX(Classes!$H$6:$H$420,$M256))</f>
        <v/>
      </c>
      <c r="D256" s="61" t="str">
        <f aca="false">IF($M256=0,"",INDEX(Classes!$B$6:$B$420,$M256))</f>
        <v/>
      </c>
      <c r="E256" s="61" t="str">
        <f aca="false">IF($M256=0,"",INDEX(Classes!$C$6:$C$420,$M256))</f>
        <v/>
      </c>
      <c r="F256" s="63"/>
      <c r="G256" s="63"/>
      <c r="H256" s="60"/>
      <c r="I256" s="60"/>
      <c r="J256" s="63"/>
      <c r="K256" s="61" t="str">
        <f aca="false">IF($P256=0,"",IF($F256="Baseline","— Baseline",IF($O256=0,"No result",IF($N256=0,"No Start (attainment only)",IF(OR($N256=1,$O256=1),"U – needs rule",INDEX(MxBody,MATCH($I256,MxCurr,0),MATCH($H256,MxStart,0)))))))</f>
        <v/>
      </c>
      <c r="L256" s="62" t="str">
        <f aca="false">IF(COUNTA($A256,$F256,$G256,$H256,$I256,$J256)=0,"",IF($M256=0,"✖ كود الصف غير موجود",IF(ISNA(MATCH($F256,Lists!$A$2:$A$5,0)),"✖ الفترة غير صحيحة",IF(ISNA(MATCH($G256,Lists!$B$2:$B$7,0)),"✖ المجموعة غير صحيحة",IF(NOT(OR($H256="",$N256&gt;0)),"✖ Start غير صحيح",IF(NOT(OR($I256="",$I256="NR",$O256&gt;0)),"✖ Current غير صحيح",IF(NOT(IF(ISNUMBER($J256),AND($J256&gt;=0,$J256=INT($J256)),FALSE())),"✖ العدد يجب أن يكون صحيحًا ≥ 0",IF(AND($F256="Baseline",$H256&lt;&gt;""),"⚠ Baseline: Start لا يدخل في التقدم",IF($K256="No Start (attainment only)","ℹ تحصيل فقط (بدون Start)",IF($K256="U – needs rule","ℹ حالة U تحتاج قاعدة معتمدة",IF($K256="No result","ℹ بدون نتيجة (يُستبعد من التحصيل)","OK")))))))))))</f>
        <v/>
      </c>
      <c r="M256" s="64" t="n">
        <f aca="false">IF($A256="",0,IFERROR(MATCH($A256,Classes!$A$6:$A$420,0),0))</f>
        <v>0</v>
      </c>
      <c r="N256" s="64" t="n">
        <f aca="false">IF($H256="",0,IFERROR(MATCH($H256,GradeList,0),0))</f>
        <v>0</v>
      </c>
      <c r="O256" s="64" t="n">
        <f aca="false">IF(OR($I256="",$I256="NR"),0,IFERROR(MATCH($I256,GradeList,0),0))</f>
        <v>0</v>
      </c>
      <c r="P256" s="64" t="n">
        <f aca="false">IF(AND($M256&gt;0,ISNUMBER(MATCH($F256,Lists!$A$2:$A$5,0)),ISNUMBER(MATCH($G256,Lists!$B$2:$B$7,0)),OR($H256="",$N256&gt;0),OR($I256="",$I256="NR",$O256&gt;0),IF(ISNUMBER($J256),AND($J256&gt;=0,$J256=INT($J256)),FALSE())),$J256,0)</f>
        <v>0</v>
      </c>
      <c r="Q256" s="64" t="n">
        <f aca="false">IF(AND($P256&gt;0,$O256&gt;0),$P256,0)</f>
        <v>0</v>
      </c>
      <c r="R256" s="64" t="n">
        <f aca="false">IF(AND($Q256&gt;0,$O256&gt;=AtRank),$Q256,0)</f>
        <v>0</v>
      </c>
      <c r="S256" s="64" t="n">
        <f aca="false">IF(AND($Q256&gt;0,$O256&gt;=AboveRank),$Q256,0)</f>
        <v>0</v>
      </c>
      <c r="T256" s="64" t="n">
        <f aca="false">IF($K256="Less",$P256,0)</f>
        <v>0</v>
      </c>
      <c r="U256" s="64" t="n">
        <f aca="false">IF($K256="Expected",$P256,0)</f>
        <v>0</v>
      </c>
      <c r="V256" s="64" t="n">
        <f aca="false">IF($K256="Better",$P256,0)</f>
        <v>0</v>
      </c>
      <c r="W256" s="64" t="n">
        <f aca="false">IF($K256="U – needs rule",$P256,0)</f>
        <v>0</v>
      </c>
      <c r="X256" s="64" t="n">
        <f aca="false">IF($K256="No Start (attainment only)",$P256,0)</f>
        <v>0</v>
      </c>
    </row>
    <row r="257" customFormat="false" ht="15" hidden="false" customHeight="false" outlineLevel="0" collapsed="false">
      <c r="A257" s="60"/>
      <c r="B257" s="61" t="str">
        <f aca="false">IF($M257=0,"",INDEX(Classes!$E$6:$E$420,$M257))</f>
        <v/>
      </c>
      <c r="C257" s="62" t="str">
        <f aca="false">IF($M257=0,"",INDEX(Classes!$H$6:$H$420,$M257))</f>
        <v/>
      </c>
      <c r="D257" s="61" t="str">
        <f aca="false">IF($M257=0,"",INDEX(Classes!$B$6:$B$420,$M257))</f>
        <v/>
      </c>
      <c r="E257" s="61" t="str">
        <f aca="false">IF($M257=0,"",INDEX(Classes!$C$6:$C$420,$M257))</f>
        <v/>
      </c>
      <c r="F257" s="63"/>
      <c r="G257" s="63"/>
      <c r="H257" s="60"/>
      <c r="I257" s="60"/>
      <c r="J257" s="63"/>
      <c r="K257" s="61" t="str">
        <f aca="false">IF($P257=0,"",IF($F257="Baseline","— Baseline",IF($O257=0,"No result",IF($N257=0,"No Start (attainment only)",IF(OR($N257=1,$O257=1),"U – needs rule",INDEX(MxBody,MATCH($I257,MxCurr,0),MATCH($H257,MxStart,0)))))))</f>
        <v/>
      </c>
      <c r="L257" s="62" t="str">
        <f aca="false">IF(COUNTA($A257,$F257,$G257,$H257,$I257,$J257)=0,"",IF($M257=0,"✖ كود الصف غير موجود",IF(ISNA(MATCH($F257,Lists!$A$2:$A$5,0)),"✖ الفترة غير صحيحة",IF(ISNA(MATCH($G257,Lists!$B$2:$B$7,0)),"✖ المجموعة غير صحيحة",IF(NOT(OR($H257="",$N257&gt;0)),"✖ Start غير صحيح",IF(NOT(OR($I257="",$I257="NR",$O257&gt;0)),"✖ Current غير صحيح",IF(NOT(IF(ISNUMBER($J257),AND($J257&gt;=0,$J257=INT($J257)),FALSE())),"✖ العدد يجب أن يكون صحيحًا ≥ 0",IF(AND($F257="Baseline",$H257&lt;&gt;""),"⚠ Baseline: Start لا يدخل في التقدم",IF($K257="No Start (attainment only)","ℹ تحصيل فقط (بدون Start)",IF($K257="U – needs rule","ℹ حالة U تحتاج قاعدة معتمدة",IF($K257="No result","ℹ بدون نتيجة (يُستبعد من التحصيل)","OK")))))))))))</f>
        <v/>
      </c>
      <c r="M257" s="64" t="n">
        <f aca="false">IF($A257="",0,IFERROR(MATCH($A257,Classes!$A$6:$A$420,0),0))</f>
        <v>0</v>
      </c>
      <c r="N257" s="64" t="n">
        <f aca="false">IF($H257="",0,IFERROR(MATCH($H257,GradeList,0),0))</f>
        <v>0</v>
      </c>
      <c r="O257" s="64" t="n">
        <f aca="false">IF(OR($I257="",$I257="NR"),0,IFERROR(MATCH($I257,GradeList,0),0))</f>
        <v>0</v>
      </c>
      <c r="P257" s="64" t="n">
        <f aca="false">IF(AND($M257&gt;0,ISNUMBER(MATCH($F257,Lists!$A$2:$A$5,0)),ISNUMBER(MATCH($G257,Lists!$B$2:$B$7,0)),OR($H257="",$N257&gt;0),OR($I257="",$I257="NR",$O257&gt;0),IF(ISNUMBER($J257),AND($J257&gt;=0,$J257=INT($J257)),FALSE())),$J257,0)</f>
        <v>0</v>
      </c>
      <c r="Q257" s="64" t="n">
        <f aca="false">IF(AND($P257&gt;0,$O257&gt;0),$P257,0)</f>
        <v>0</v>
      </c>
      <c r="R257" s="64" t="n">
        <f aca="false">IF(AND($Q257&gt;0,$O257&gt;=AtRank),$Q257,0)</f>
        <v>0</v>
      </c>
      <c r="S257" s="64" t="n">
        <f aca="false">IF(AND($Q257&gt;0,$O257&gt;=AboveRank),$Q257,0)</f>
        <v>0</v>
      </c>
      <c r="T257" s="64" t="n">
        <f aca="false">IF($K257="Less",$P257,0)</f>
        <v>0</v>
      </c>
      <c r="U257" s="64" t="n">
        <f aca="false">IF($K257="Expected",$P257,0)</f>
        <v>0</v>
      </c>
      <c r="V257" s="64" t="n">
        <f aca="false">IF($K257="Better",$P257,0)</f>
        <v>0</v>
      </c>
      <c r="W257" s="64" t="n">
        <f aca="false">IF($K257="U – needs rule",$P257,0)</f>
        <v>0</v>
      </c>
      <c r="X257" s="64" t="n">
        <f aca="false">IF($K257="No Start (attainment only)",$P257,0)</f>
        <v>0</v>
      </c>
    </row>
    <row r="258" customFormat="false" ht="15" hidden="false" customHeight="false" outlineLevel="0" collapsed="false">
      <c r="A258" s="60"/>
      <c r="B258" s="61" t="str">
        <f aca="false">IF($M258=0,"",INDEX(Classes!$E$6:$E$420,$M258))</f>
        <v/>
      </c>
      <c r="C258" s="62" t="str">
        <f aca="false">IF($M258=0,"",INDEX(Classes!$H$6:$H$420,$M258))</f>
        <v/>
      </c>
      <c r="D258" s="61" t="str">
        <f aca="false">IF($M258=0,"",INDEX(Classes!$B$6:$B$420,$M258))</f>
        <v/>
      </c>
      <c r="E258" s="61" t="str">
        <f aca="false">IF($M258=0,"",INDEX(Classes!$C$6:$C$420,$M258))</f>
        <v/>
      </c>
      <c r="F258" s="63"/>
      <c r="G258" s="63"/>
      <c r="H258" s="60"/>
      <c r="I258" s="60"/>
      <c r="J258" s="63"/>
      <c r="K258" s="61" t="str">
        <f aca="false">IF($P258=0,"",IF($F258="Baseline","— Baseline",IF($O258=0,"No result",IF($N258=0,"No Start (attainment only)",IF(OR($N258=1,$O258=1),"U – needs rule",INDEX(MxBody,MATCH($I258,MxCurr,0),MATCH($H258,MxStart,0)))))))</f>
        <v/>
      </c>
      <c r="L258" s="62" t="str">
        <f aca="false">IF(COUNTA($A258,$F258,$G258,$H258,$I258,$J258)=0,"",IF($M258=0,"✖ كود الصف غير موجود",IF(ISNA(MATCH($F258,Lists!$A$2:$A$5,0)),"✖ الفترة غير صحيحة",IF(ISNA(MATCH($G258,Lists!$B$2:$B$7,0)),"✖ المجموعة غير صحيحة",IF(NOT(OR($H258="",$N258&gt;0)),"✖ Start غير صحيح",IF(NOT(OR($I258="",$I258="NR",$O258&gt;0)),"✖ Current غير صحيح",IF(NOT(IF(ISNUMBER($J258),AND($J258&gt;=0,$J258=INT($J258)),FALSE())),"✖ العدد يجب أن يكون صحيحًا ≥ 0",IF(AND($F258="Baseline",$H258&lt;&gt;""),"⚠ Baseline: Start لا يدخل في التقدم",IF($K258="No Start (attainment only)","ℹ تحصيل فقط (بدون Start)",IF($K258="U – needs rule","ℹ حالة U تحتاج قاعدة معتمدة",IF($K258="No result","ℹ بدون نتيجة (يُستبعد من التحصيل)","OK")))))))))))</f>
        <v/>
      </c>
      <c r="M258" s="64" t="n">
        <f aca="false">IF($A258="",0,IFERROR(MATCH($A258,Classes!$A$6:$A$420,0),0))</f>
        <v>0</v>
      </c>
      <c r="N258" s="64" t="n">
        <f aca="false">IF($H258="",0,IFERROR(MATCH($H258,GradeList,0),0))</f>
        <v>0</v>
      </c>
      <c r="O258" s="64" t="n">
        <f aca="false">IF(OR($I258="",$I258="NR"),0,IFERROR(MATCH($I258,GradeList,0),0))</f>
        <v>0</v>
      </c>
      <c r="P258" s="64" t="n">
        <f aca="false">IF(AND($M258&gt;0,ISNUMBER(MATCH($F258,Lists!$A$2:$A$5,0)),ISNUMBER(MATCH($G258,Lists!$B$2:$B$7,0)),OR($H258="",$N258&gt;0),OR($I258="",$I258="NR",$O258&gt;0),IF(ISNUMBER($J258),AND($J258&gt;=0,$J258=INT($J258)),FALSE())),$J258,0)</f>
        <v>0</v>
      </c>
      <c r="Q258" s="64" t="n">
        <f aca="false">IF(AND($P258&gt;0,$O258&gt;0),$P258,0)</f>
        <v>0</v>
      </c>
      <c r="R258" s="64" t="n">
        <f aca="false">IF(AND($Q258&gt;0,$O258&gt;=AtRank),$Q258,0)</f>
        <v>0</v>
      </c>
      <c r="S258" s="64" t="n">
        <f aca="false">IF(AND($Q258&gt;0,$O258&gt;=AboveRank),$Q258,0)</f>
        <v>0</v>
      </c>
      <c r="T258" s="64" t="n">
        <f aca="false">IF($K258="Less",$P258,0)</f>
        <v>0</v>
      </c>
      <c r="U258" s="64" t="n">
        <f aca="false">IF($K258="Expected",$P258,0)</f>
        <v>0</v>
      </c>
      <c r="V258" s="64" t="n">
        <f aca="false">IF($K258="Better",$P258,0)</f>
        <v>0</v>
      </c>
      <c r="W258" s="64" t="n">
        <f aca="false">IF($K258="U – needs rule",$P258,0)</f>
        <v>0</v>
      </c>
      <c r="X258" s="64" t="n">
        <f aca="false">IF($K258="No Start (attainment only)",$P258,0)</f>
        <v>0</v>
      </c>
    </row>
    <row r="259" customFormat="false" ht="15" hidden="false" customHeight="false" outlineLevel="0" collapsed="false">
      <c r="A259" s="60"/>
      <c r="B259" s="61" t="str">
        <f aca="false">IF($M259=0,"",INDEX(Classes!$E$6:$E$420,$M259))</f>
        <v/>
      </c>
      <c r="C259" s="62" t="str">
        <f aca="false">IF($M259=0,"",INDEX(Classes!$H$6:$H$420,$M259))</f>
        <v/>
      </c>
      <c r="D259" s="61" t="str">
        <f aca="false">IF($M259=0,"",INDEX(Classes!$B$6:$B$420,$M259))</f>
        <v/>
      </c>
      <c r="E259" s="61" t="str">
        <f aca="false">IF($M259=0,"",INDEX(Classes!$C$6:$C$420,$M259))</f>
        <v/>
      </c>
      <c r="F259" s="63"/>
      <c r="G259" s="63"/>
      <c r="H259" s="60"/>
      <c r="I259" s="60"/>
      <c r="J259" s="63"/>
      <c r="K259" s="61" t="str">
        <f aca="false">IF($P259=0,"",IF($F259="Baseline","— Baseline",IF($O259=0,"No result",IF($N259=0,"No Start (attainment only)",IF(OR($N259=1,$O259=1),"U – needs rule",INDEX(MxBody,MATCH($I259,MxCurr,0),MATCH($H259,MxStart,0)))))))</f>
        <v/>
      </c>
      <c r="L259" s="62" t="str">
        <f aca="false">IF(COUNTA($A259,$F259,$G259,$H259,$I259,$J259)=0,"",IF($M259=0,"✖ كود الصف غير موجود",IF(ISNA(MATCH($F259,Lists!$A$2:$A$5,0)),"✖ الفترة غير صحيحة",IF(ISNA(MATCH($G259,Lists!$B$2:$B$7,0)),"✖ المجموعة غير صحيحة",IF(NOT(OR($H259="",$N259&gt;0)),"✖ Start غير صحيح",IF(NOT(OR($I259="",$I259="NR",$O259&gt;0)),"✖ Current غير صحيح",IF(NOT(IF(ISNUMBER($J259),AND($J259&gt;=0,$J259=INT($J259)),FALSE())),"✖ العدد يجب أن يكون صحيحًا ≥ 0",IF(AND($F259="Baseline",$H259&lt;&gt;""),"⚠ Baseline: Start لا يدخل في التقدم",IF($K259="No Start (attainment only)","ℹ تحصيل فقط (بدون Start)",IF($K259="U – needs rule","ℹ حالة U تحتاج قاعدة معتمدة",IF($K259="No result","ℹ بدون نتيجة (يُستبعد من التحصيل)","OK")))))))))))</f>
        <v/>
      </c>
      <c r="M259" s="64" t="n">
        <f aca="false">IF($A259="",0,IFERROR(MATCH($A259,Classes!$A$6:$A$420,0),0))</f>
        <v>0</v>
      </c>
      <c r="N259" s="64" t="n">
        <f aca="false">IF($H259="",0,IFERROR(MATCH($H259,GradeList,0),0))</f>
        <v>0</v>
      </c>
      <c r="O259" s="64" t="n">
        <f aca="false">IF(OR($I259="",$I259="NR"),0,IFERROR(MATCH($I259,GradeList,0),0))</f>
        <v>0</v>
      </c>
      <c r="P259" s="64" t="n">
        <f aca="false">IF(AND($M259&gt;0,ISNUMBER(MATCH($F259,Lists!$A$2:$A$5,0)),ISNUMBER(MATCH($G259,Lists!$B$2:$B$7,0)),OR($H259="",$N259&gt;0),OR($I259="",$I259="NR",$O259&gt;0),IF(ISNUMBER($J259),AND($J259&gt;=0,$J259=INT($J259)),FALSE())),$J259,0)</f>
        <v>0</v>
      </c>
      <c r="Q259" s="64" t="n">
        <f aca="false">IF(AND($P259&gt;0,$O259&gt;0),$P259,0)</f>
        <v>0</v>
      </c>
      <c r="R259" s="64" t="n">
        <f aca="false">IF(AND($Q259&gt;0,$O259&gt;=AtRank),$Q259,0)</f>
        <v>0</v>
      </c>
      <c r="S259" s="64" t="n">
        <f aca="false">IF(AND($Q259&gt;0,$O259&gt;=AboveRank),$Q259,0)</f>
        <v>0</v>
      </c>
      <c r="T259" s="64" t="n">
        <f aca="false">IF($K259="Less",$P259,0)</f>
        <v>0</v>
      </c>
      <c r="U259" s="64" t="n">
        <f aca="false">IF($K259="Expected",$P259,0)</f>
        <v>0</v>
      </c>
      <c r="V259" s="64" t="n">
        <f aca="false">IF($K259="Better",$P259,0)</f>
        <v>0</v>
      </c>
      <c r="W259" s="64" t="n">
        <f aca="false">IF($K259="U – needs rule",$P259,0)</f>
        <v>0</v>
      </c>
      <c r="X259" s="64" t="n">
        <f aca="false">IF($K259="No Start (attainment only)",$P259,0)</f>
        <v>0</v>
      </c>
    </row>
    <row r="260" customFormat="false" ht="15" hidden="false" customHeight="false" outlineLevel="0" collapsed="false">
      <c r="A260" s="60"/>
      <c r="B260" s="61" t="str">
        <f aca="false">IF($M260=0,"",INDEX(Classes!$E$6:$E$420,$M260))</f>
        <v/>
      </c>
      <c r="C260" s="62" t="str">
        <f aca="false">IF($M260=0,"",INDEX(Classes!$H$6:$H$420,$M260))</f>
        <v/>
      </c>
      <c r="D260" s="61" t="str">
        <f aca="false">IF($M260=0,"",INDEX(Classes!$B$6:$B$420,$M260))</f>
        <v/>
      </c>
      <c r="E260" s="61" t="str">
        <f aca="false">IF($M260=0,"",INDEX(Classes!$C$6:$C$420,$M260))</f>
        <v/>
      </c>
      <c r="F260" s="63"/>
      <c r="G260" s="63"/>
      <c r="H260" s="60"/>
      <c r="I260" s="60"/>
      <c r="J260" s="63"/>
      <c r="K260" s="61" t="str">
        <f aca="false">IF($P260=0,"",IF($F260="Baseline","— Baseline",IF($O260=0,"No result",IF($N260=0,"No Start (attainment only)",IF(OR($N260=1,$O260=1),"U – needs rule",INDEX(MxBody,MATCH($I260,MxCurr,0),MATCH($H260,MxStart,0)))))))</f>
        <v/>
      </c>
      <c r="L260" s="62" t="str">
        <f aca="false">IF(COUNTA($A260,$F260,$G260,$H260,$I260,$J260)=0,"",IF($M260=0,"✖ كود الصف غير موجود",IF(ISNA(MATCH($F260,Lists!$A$2:$A$5,0)),"✖ الفترة غير صحيحة",IF(ISNA(MATCH($G260,Lists!$B$2:$B$7,0)),"✖ المجموعة غير صحيحة",IF(NOT(OR($H260="",$N260&gt;0)),"✖ Start غير صحيح",IF(NOT(OR($I260="",$I260="NR",$O260&gt;0)),"✖ Current غير صحيح",IF(NOT(IF(ISNUMBER($J260),AND($J260&gt;=0,$J260=INT($J260)),FALSE())),"✖ العدد يجب أن يكون صحيحًا ≥ 0",IF(AND($F260="Baseline",$H260&lt;&gt;""),"⚠ Baseline: Start لا يدخل في التقدم",IF($K260="No Start (attainment only)","ℹ تحصيل فقط (بدون Start)",IF($K260="U – needs rule","ℹ حالة U تحتاج قاعدة معتمدة",IF($K260="No result","ℹ بدون نتيجة (يُستبعد من التحصيل)","OK")))))))))))</f>
        <v/>
      </c>
      <c r="M260" s="64" t="n">
        <f aca="false">IF($A260="",0,IFERROR(MATCH($A260,Classes!$A$6:$A$420,0),0))</f>
        <v>0</v>
      </c>
      <c r="N260" s="64" t="n">
        <f aca="false">IF($H260="",0,IFERROR(MATCH($H260,GradeList,0),0))</f>
        <v>0</v>
      </c>
      <c r="O260" s="64" t="n">
        <f aca="false">IF(OR($I260="",$I260="NR"),0,IFERROR(MATCH($I260,GradeList,0),0))</f>
        <v>0</v>
      </c>
      <c r="P260" s="64" t="n">
        <f aca="false">IF(AND($M260&gt;0,ISNUMBER(MATCH($F260,Lists!$A$2:$A$5,0)),ISNUMBER(MATCH($G260,Lists!$B$2:$B$7,0)),OR($H260="",$N260&gt;0),OR($I260="",$I260="NR",$O260&gt;0),IF(ISNUMBER($J260),AND($J260&gt;=0,$J260=INT($J260)),FALSE())),$J260,0)</f>
        <v>0</v>
      </c>
      <c r="Q260" s="64" t="n">
        <f aca="false">IF(AND($P260&gt;0,$O260&gt;0),$P260,0)</f>
        <v>0</v>
      </c>
      <c r="R260" s="64" t="n">
        <f aca="false">IF(AND($Q260&gt;0,$O260&gt;=AtRank),$Q260,0)</f>
        <v>0</v>
      </c>
      <c r="S260" s="64" t="n">
        <f aca="false">IF(AND($Q260&gt;0,$O260&gt;=AboveRank),$Q260,0)</f>
        <v>0</v>
      </c>
      <c r="T260" s="64" t="n">
        <f aca="false">IF($K260="Less",$P260,0)</f>
        <v>0</v>
      </c>
      <c r="U260" s="64" t="n">
        <f aca="false">IF($K260="Expected",$P260,0)</f>
        <v>0</v>
      </c>
      <c r="V260" s="64" t="n">
        <f aca="false">IF($K260="Better",$P260,0)</f>
        <v>0</v>
      </c>
      <c r="W260" s="64" t="n">
        <f aca="false">IF($K260="U – needs rule",$P260,0)</f>
        <v>0</v>
      </c>
      <c r="X260" s="64" t="n">
        <f aca="false">IF($K260="No Start (attainment only)",$P260,0)</f>
        <v>0</v>
      </c>
    </row>
    <row r="261" customFormat="false" ht="15" hidden="false" customHeight="false" outlineLevel="0" collapsed="false">
      <c r="A261" s="60"/>
      <c r="B261" s="61" t="str">
        <f aca="false">IF($M261=0,"",INDEX(Classes!$E$6:$E$420,$M261))</f>
        <v/>
      </c>
      <c r="C261" s="62" t="str">
        <f aca="false">IF($M261=0,"",INDEX(Classes!$H$6:$H$420,$M261))</f>
        <v/>
      </c>
      <c r="D261" s="61" t="str">
        <f aca="false">IF($M261=0,"",INDEX(Classes!$B$6:$B$420,$M261))</f>
        <v/>
      </c>
      <c r="E261" s="61" t="str">
        <f aca="false">IF($M261=0,"",INDEX(Classes!$C$6:$C$420,$M261))</f>
        <v/>
      </c>
      <c r="F261" s="63"/>
      <c r="G261" s="63"/>
      <c r="H261" s="60"/>
      <c r="I261" s="60"/>
      <c r="J261" s="63"/>
      <c r="K261" s="61" t="str">
        <f aca="false">IF($P261=0,"",IF($F261="Baseline","— Baseline",IF($O261=0,"No result",IF($N261=0,"No Start (attainment only)",IF(OR($N261=1,$O261=1),"U – needs rule",INDEX(MxBody,MATCH($I261,MxCurr,0),MATCH($H261,MxStart,0)))))))</f>
        <v/>
      </c>
      <c r="L261" s="62" t="str">
        <f aca="false">IF(COUNTA($A261,$F261,$G261,$H261,$I261,$J261)=0,"",IF($M261=0,"✖ كود الصف غير موجود",IF(ISNA(MATCH($F261,Lists!$A$2:$A$5,0)),"✖ الفترة غير صحيحة",IF(ISNA(MATCH($G261,Lists!$B$2:$B$7,0)),"✖ المجموعة غير صحيحة",IF(NOT(OR($H261="",$N261&gt;0)),"✖ Start غير صحيح",IF(NOT(OR($I261="",$I261="NR",$O261&gt;0)),"✖ Current غير صحيح",IF(NOT(IF(ISNUMBER($J261),AND($J261&gt;=0,$J261=INT($J261)),FALSE())),"✖ العدد يجب أن يكون صحيحًا ≥ 0",IF(AND($F261="Baseline",$H261&lt;&gt;""),"⚠ Baseline: Start لا يدخل في التقدم",IF($K261="No Start (attainment only)","ℹ تحصيل فقط (بدون Start)",IF($K261="U – needs rule","ℹ حالة U تحتاج قاعدة معتمدة",IF($K261="No result","ℹ بدون نتيجة (يُستبعد من التحصيل)","OK")))))))))))</f>
        <v/>
      </c>
      <c r="M261" s="64" t="n">
        <f aca="false">IF($A261="",0,IFERROR(MATCH($A261,Classes!$A$6:$A$420,0),0))</f>
        <v>0</v>
      </c>
      <c r="N261" s="64" t="n">
        <f aca="false">IF($H261="",0,IFERROR(MATCH($H261,GradeList,0),0))</f>
        <v>0</v>
      </c>
      <c r="O261" s="64" t="n">
        <f aca="false">IF(OR($I261="",$I261="NR"),0,IFERROR(MATCH($I261,GradeList,0),0))</f>
        <v>0</v>
      </c>
      <c r="P261" s="64" t="n">
        <f aca="false">IF(AND($M261&gt;0,ISNUMBER(MATCH($F261,Lists!$A$2:$A$5,0)),ISNUMBER(MATCH($G261,Lists!$B$2:$B$7,0)),OR($H261="",$N261&gt;0),OR($I261="",$I261="NR",$O261&gt;0),IF(ISNUMBER($J261),AND($J261&gt;=0,$J261=INT($J261)),FALSE())),$J261,0)</f>
        <v>0</v>
      </c>
      <c r="Q261" s="64" t="n">
        <f aca="false">IF(AND($P261&gt;0,$O261&gt;0),$P261,0)</f>
        <v>0</v>
      </c>
      <c r="R261" s="64" t="n">
        <f aca="false">IF(AND($Q261&gt;0,$O261&gt;=AtRank),$Q261,0)</f>
        <v>0</v>
      </c>
      <c r="S261" s="64" t="n">
        <f aca="false">IF(AND($Q261&gt;0,$O261&gt;=AboveRank),$Q261,0)</f>
        <v>0</v>
      </c>
      <c r="T261" s="64" t="n">
        <f aca="false">IF($K261="Less",$P261,0)</f>
        <v>0</v>
      </c>
      <c r="U261" s="64" t="n">
        <f aca="false">IF($K261="Expected",$P261,0)</f>
        <v>0</v>
      </c>
      <c r="V261" s="64" t="n">
        <f aca="false">IF($K261="Better",$P261,0)</f>
        <v>0</v>
      </c>
      <c r="W261" s="64" t="n">
        <f aca="false">IF($K261="U – needs rule",$P261,0)</f>
        <v>0</v>
      </c>
      <c r="X261" s="64" t="n">
        <f aca="false">IF($K261="No Start (attainment only)",$P261,0)</f>
        <v>0</v>
      </c>
    </row>
    <row r="262" customFormat="false" ht="15" hidden="false" customHeight="false" outlineLevel="0" collapsed="false">
      <c r="A262" s="60"/>
      <c r="B262" s="61" t="str">
        <f aca="false">IF($M262=0,"",INDEX(Classes!$E$6:$E$420,$M262))</f>
        <v/>
      </c>
      <c r="C262" s="62" t="str">
        <f aca="false">IF($M262=0,"",INDEX(Classes!$H$6:$H$420,$M262))</f>
        <v/>
      </c>
      <c r="D262" s="61" t="str">
        <f aca="false">IF($M262=0,"",INDEX(Classes!$B$6:$B$420,$M262))</f>
        <v/>
      </c>
      <c r="E262" s="61" t="str">
        <f aca="false">IF($M262=0,"",INDEX(Classes!$C$6:$C$420,$M262))</f>
        <v/>
      </c>
      <c r="F262" s="63"/>
      <c r="G262" s="63"/>
      <c r="H262" s="60"/>
      <c r="I262" s="60"/>
      <c r="J262" s="63"/>
      <c r="K262" s="61" t="str">
        <f aca="false">IF($P262=0,"",IF($F262="Baseline","— Baseline",IF($O262=0,"No result",IF($N262=0,"No Start (attainment only)",IF(OR($N262=1,$O262=1),"U – needs rule",INDEX(MxBody,MATCH($I262,MxCurr,0),MATCH($H262,MxStart,0)))))))</f>
        <v/>
      </c>
      <c r="L262" s="62" t="str">
        <f aca="false">IF(COUNTA($A262,$F262,$G262,$H262,$I262,$J262)=0,"",IF($M262=0,"✖ كود الصف غير موجود",IF(ISNA(MATCH($F262,Lists!$A$2:$A$5,0)),"✖ الفترة غير صحيحة",IF(ISNA(MATCH($G262,Lists!$B$2:$B$7,0)),"✖ المجموعة غير صحيحة",IF(NOT(OR($H262="",$N262&gt;0)),"✖ Start غير صحيح",IF(NOT(OR($I262="",$I262="NR",$O262&gt;0)),"✖ Current غير صحيح",IF(NOT(IF(ISNUMBER($J262),AND($J262&gt;=0,$J262=INT($J262)),FALSE())),"✖ العدد يجب أن يكون صحيحًا ≥ 0",IF(AND($F262="Baseline",$H262&lt;&gt;""),"⚠ Baseline: Start لا يدخل في التقدم",IF($K262="No Start (attainment only)","ℹ تحصيل فقط (بدون Start)",IF($K262="U – needs rule","ℹ حالة U تحتاج قاعدة معتمدة",IF($K262="No result","ℹ بدون نتيجة (يُستبعد من التحصيل)","OK")))))))))))</f>
        <v/>
      </c>
      <c r="M262" s="64" t="n">
        <f aca="false">IF($A262="",0,IFERROR(MATCH($A262,Classes!$A$6:$A$420,0),0))</f>
        <v>0</v>
      </c>
      <c r="N262" s="64" t="n">
        <f aca="false">IF($H262="",0,IFERROR(MATCH($H262,GradeList,0),0))</f>
        <v>0</v>
      </c>
      <c r="O262" s="64" t="n">
        <f aca="false">IF(OR($I262="",$I262="NR"),0,IFERROR(MATCH($I262,GradeList,0),0))</f>
        <v>0</v>
      </c>
      <c r="P262" s="64" t="n">
        <f aca="false">IF(AND($M262&gt;0,ISNUMBER(MATCH($F262,Lists!$A$2:$A$5,0)),ISNUMBER(MATCH($G262,Lists!$B$2:$B$7,0)),OR($H262="",$N262&gt;0),OR($I262="",$I262="NR",$O262&gt;0),IF(ISNUMBER($J262),AND($J262&gt;=0,$J262=INT($J262)),FALSE())),$J262,0)</f>
        <v>0</v>
      </c>
      <c r="Q262" s="64" t="n">
        <f aca="false">IF(AND($P262&gt;0,$O262&gt;0),$P262,0)</f>
        <v>0</v>
      </c>
      <c r="R262" s="64" t="n">
        <f aca="false">IF(AND($Q262&gt;0,$O262&gt;=AtRank),$Q262,0)</f>
        <v>0</v>
      </c>
      <c r="S262" s="64" t="n">
        <f aca="false">IF(AND($Q262&gt;0,$O262&gt;=AboveRank),$Q262,0)</f>
        <v>0</v>
      </c>
      <c r="T262" s="64" t="n">
        <f aca="false">IF($K262="Less",$P262,0)</f>
        <v>0</v>
      </c>
      <c r="U262" s="64" t="n">
        <f aca="false">IF($K262="Expected",$P262,0)</f>
        <v>0</v>
      </c>
      <c r="V262" s="64" t="n">
        <f aca="false">IF($K262="Better",$P262,0)</f>
        <v>0</v>
      </c>
      <c r="W262" s="64" t="n">
        <f aca="false">IF($K262="U – needs rule",$P262,0)</f>
        <v>0</v>
      </c>
      <c r="X262" s="64" t="n">
        <f aca="false">IF($K262="No Start (attainment only)",$P262,0)</f>
        <v>0</v>
      </c>
    </row>
    <row r="263" customFormat="false" ht="15" hidden="false" customHeight="false" outlineLevel="0" collapsed="false">
      <c r="A263" s="60"/>
      <c r="B263" s="61" t="str">
        <f aca="false">IF($M263=0,"",INDEX(Classes!$E$6:$E$420,$M263))</f>
        <v/>
      </c>
      <c r="C263" s="62" t="str">
        <f aca="false">IF($M263=0,"",INDEX(Classes!$H$6:$H$420,$M263))</f>
        <v/>
      </c>
      <c r="D263" s="61" t="str">
        <f aca="false">IF($M263=0,"",INDEX(Classes!$B$6:$B$420,$M263))</f>
        <v/>
      </c>
      <c r="E263" s="61" t="str">
        <f aca="false">IF($M263=0,"",INDEX(Classes!$C$6:$C$420,$M263))</f>
        <v/>
      </c>
      <c r="F263" s="63"/>
      <c r="G263" s="63"/>
      <c r="H263" s="60"/>
      <c r="I263" s="60"/>
      <c r="J263" s="63"/>
      <c r="K263" s="61" t="str">
        <f aca="false">IF($P263=0,"",IF($F263="Baseline","— Baseline",IF($O263=0,"No result",IF($N263=0,"No Start (attainment only)",IF(OR($N263=1,$O263=1),"U – needs rule",INDEX(MxBody,MATCH($I263,MxCurr,0),MATCH($H263,MxStart,0)))))))</f>
        <v/>
      </c>
      <c r="L263" s="62" t="str">
        <f aca="false">IF(COUNTA($A263,$F263,$G263,$H263,$I263,$J263)=0,"",IF($M263=0,"✖ كود الصف غير موجود",IF(ISNA(MATCH($F263,Lists!$A$2:$A$5,0)),"✖ الفترة غير صحيحة",IF(ISNA(MATCH($G263,Lists!$B$2:$B$7,0)),"✖ المجموعة غير صحيحة",IF(NOT(OR($H263="",$N263&gt;0)),"✖ Start غير صحيح",IF(NOT(OR($I263="",$I263="NR",$O263&gt;0)),"✖ Current غير صحيح",IF(NOT(IF(ISNUMBER($J263),AND($J263&gt;=0,$J263=INT($J263)),FALSE())),"✖ العدد يجب أن يكون صحيحًا ≥ 0",IF(AND($F263="Baseline",$H263&lt;&gt;""),"⚠ Baseline: Start لا يدخل في التقدم",IF($K263="No Start (attainment only)","ℹ تحصيل فقط (بدون Start)",IF($K263="U – needs rule","ℹ حالة U تحتاج قاعدة معتمدة",IF($K263="No result","ℹ بدون نتيجة (يُستبعد من التحصيل)","OK")))))))))))</f>
        <v/>
      </c>
      <c r="M263" s="64" t="n">
        <f aca="false">IF($A263="",0,IFERROR(MATCH($A263,Classes!$A$6:$A$420,0),0))</f>
        <v>0</v>
      </c>
      <c r="N263" s="64" t="n">
        <f aca="false">IF($H263="",0,IFERROR(MATCH($H263,GradeList,0),0))</f>
        <v>0</v>
      </c>
      <c r="O263" s="64" t="n">
        <f aca="false">IF(OR($I263="",$I263="NR"),0,IFERROR(MATCH($I263,GradeList,0),0))</f>
        <v>0</v>
      </c>
      <c r="P263" s="64" t="n">
        <f aca="false">IF(AND($M263&gt;0,ISNUMBER(MATCH($F263,Lists!$A$2:$A$5,0)),ISNUMBER(MATCH($G263,Lists!$B$2:$B$7,0)),OR($H263="",$N263&gt;0),OR($I263="",$I263="NR",$O263&gt;0),IF(ISNUMBER($J263),AND($J263&gt;=0,$J263=INT($J263)),FALSE())),$J263,0)</f>
        <v>0</v>
      </c>
      <c r="Q263" s="64" t="n">
        <f aca="false">IF(AND($P263&gt;0,$O263&gt;0),$P263,0)</f>
        <v>0</v>
      </c>
      <c r="R263" s="64" t="n">
        <f aca="false">IF(AND($Q263&gt;0,$O263&gt;=AtRank),$Q263,0)</f>
        <v>0</v>
      </c>
      <c r="S263" s="64" t="n">
        <f aca="false">IF(AND($Q263&gt;0,$O263&gt;=AboveRank),$Q263,0)</f>
        <v>0</v>
      </c>
      <c r="T263" s="64" t="n">
        <f aca="false">IF($K263="Less",$P263,0)</f>
        <v>0</v>
      </c>
      <c r="U263" s="64" t="n">
        <f aca="false">IF($K263="Expected",$P263,0)</f>
        <v>0</v>
      </c>
      <c r="V263" s="64" t="n">
        <f aca="false">IF($K263="Better",$P263,0)</f>
        <v>0</v>
      </c>
      <c r="W263" s="64" t="n">
        <f aca="false">IF($K263="U – needs rule",$P263,0)</f>
        <v>0</v>
      </c>
      <c r="X263" s="64" t="n">
        <f aca="false">IF($K263="No Start (attainment only)",$P263,0)</f>
        <v>0</v>
      </c>
    </row>
    <row r="264" customFormat="false" ht="15" hidden="false" customHeight="false" outlineLevel="0" collapsed="false">
      <c r="A264" s="60"/>
      <c r="B264" s="61" t="str">
        <f aca="false">IF($M264=0,"",INDEX(Classes!$E$6:$E$420,$M264))</f>
        <v/>
      </c>
      <c r="C264" s="62" t="str">
        <f aca="false">IF($M264=0,"",INDEX(Classes!$H$6:$H$420,$M264))</f>
        <v/>
      </c>
      <c r="D264" s="61" t="str">
        <f aca="false">IF($M264=0,"",INDEX(Classes!$B$6:$B$420,$M264))</f>
        <v/>
      </c>
      <c r="E264" s="61" t="str">
        <f aca="false">IF($M264=0,"",INDEX(Classes!$C$6:$C$420,$M264))</f>
        <v/>
      </c>
      <c r="F264" s="63"/>
      <c r="G264" s="63"/>
      <c r="H264" s="60"/>
      <c r="I264" s="60"/>
      <c r="J264" s="63"/>
      <c r="K264" s="61" t="str">
        <f aca="false">IF($P264=0,"",IF($F264="Baseline","— Baseline",IF($O264=0,"No result",IF($N264=0,"No Start (attainment only)",IF(OR($N264=1,$O264=1),"U – needs rule",INDEX(MxBody,MATCH($I264,MxCurr,0),MATCH($H264,MxStart,0)))))))</f>
        <v/>
      </c>
      <c r="L264" s="62" t="str">
        <f aca="false">IF(COUNTA($A264,$F264,$G264,$H264,$I264,$J264)=0,"",IF($M264=0,"✖ كود الصف غير موجود",IF(ISNA(MATCH($F264,Lists!$A$2:$A$5,0)),"✖ الفترة غير صحيحة",IF(ISNA(MATCH($G264,Lists!$B$2:$B$7,0)),"✖ المجموعة غير صحيحة",IF(NOT(OR($H264="",$N264&gt;0)),"✖ Start غير صحيح",IF(NOT(OR($I264="",$I264="NR",$O264&gt;0)),"✖ Current غير صحيح",IF(NOT(IF(ISNUMBER($J264),AND($J264&gt;=0,$J264=INT($J264)),FALSE())),"✖ العدد يجب أن يكون صحيحًا ≥ 0",IF(AND($F264="Baseline",$H264&lt;&gt;""),"⚠ Baseline: Start لا يدخل في التقدم",IF($K264="No Start (attainment only)","ℹ تحصيل فقط (بدون Start)",IF($K264="U – needs rule","ℹ حالة U تحتاج قاعدة معتمدة",IF($K264="No result","ℹ بدون نتيجة (يُستبعد من التحصيل)","OK")))))))))))</f>
        <v/>
      </c>
      <c r="M264" s="64" t="n">
        <f aca="false">IF($A264="",0,IFERROR(MATCH($A264,Classes!$A$6:$A$420,0),0))</f>
        <v>0</v>
      </c>
      <c r="N264" s="64" t="n">
        <f aca="false">IF($H264="",0,IFERROR(MATCH($H264,GradeList,0),0))</f>
        <v>0</v>
      </c>
      <c r="O264" s="64" t="n">
        <f aca="false">IF(OR($I264="",$I264="NR"),0,IFERROR(MATCH($I264,GradeList,0),0))</f>
        <v>0</v>
      </c>
      <c r="P264" s="64" t="n">
        <f aca="false">IF(AND($M264&gt;0,ISNUMBER(MATCH($F264,Lists!$A$2:$A$5,0)),ISNUMBER(MATCH($G264,Lists!$B$2:$B$7,0)),OR($H264="",$N264&gt;0),OR($I264="",$I264="NR",$O264&gt;0),IF(ISNUMBER($J264),AND($J264&gt;=0,$J264=INT($J264)),FALSE())),$J264,0)</f>
        <v>0</v>
      </c>
      <c r="Q264" s="64" t="n">
        <f aca="false">IF(AND($P264&gt;0,$O264&gt;0),$P264,0)</f>
        <v>0</v>
      </c>
      <c r="R264" s="64" t="n">
        <f aca="false">IF(AND($Q264&gt;0,$O264&gt;=AtRank),$Q264,0)</f>
        <v>0</v>
      </c>
      <c r="S264" s="64" t="n">
        <f aca="false">IF(AND($Q264&gt;0,$O264&gt;=AboveRank),$Q264,0)</f>
        <v>0</v>
      </c>
      <c r="T264" s="64" t="n">
        <f aca="false">IF($K264="Less",$P264,0)</f>
        <v>0</v>
      </c>
      <c r="U264" s="64" t="n">
        <f aca="false">IF($K264="Expected",$P264,0)</f>
        <v>0</v>
      </c>
      <c r="V264" s="64" t="n">
        <f aca="false">IF($K264="Better",$P264,0)</f>
        <v>0</v>
      </c>
      <c r="W264" s="64" t="n">
        <f aca="false">IF($K264="U – needs rule",$P264,0)</f>
        <v>0</v>
      </c>
      <c r="X264" s="64" t="n">
        <f aca="false">IF($K264="No Start (attainment only)",$P264,0)</f>
        <v>0</v>
      </c>
    </row>
    <row r="265" customFormat="false" ht="15" hidden="false" customHeight="false" outlineLevel="0" collapsed="false">
      <c r="A265" s="60"/>
      <c r="B265" s="61" t="str">
        <f aca="false">IF($M265=0,"",INDEX(Classes!$E$6:$E$420,$M265))</f>
        <v/>
      </c>
      <c r="C265" s="62" t="str">
        <f aca="false">IF($M265=0,"",INDEX(Classes!$H$6:$H$420,$M265))</f>
        <v/>
      </c>
      <c r="D265" s="61" t="str">
        <f aca="false">IF($M265=0,"",INDEX(Classes!$B$6:$B$420,$M265))</f>
        <v/>
      </c>
      <c r="E265" s="61" t="str">
        <f aca="false">IF($M265=0,"",INDEX(Classes!$C$6:$C$420,$M265))</f>
        <v/>
      </c>
      <c r="F265" s="63"/>
      <c r="G265" s="63"/>
      <c r="H265" s="60"/>
      <c r="I265" s="60"/>
      <c r="J265" s="63"/>
      <c r="K265" s="61" t="str">
        <f aca="false">IF($P265=0,"",IF($F265="Baseline","— Baseline",IF($O265=0,"No result",IF($N265=0,"No Start (attainment only)",IF(OR($N265=1,$O265=1),"U – needs rule",INDEX(MxBody,MATCH($I265,MxCurr,0),MATCH($H265,MxStart,0)))))))</f>
        <v/>
      </c>
      <c r="L265" s="62" t="str">
        <f aca="false">IF(COUNTA($A265,$F265,$G265,$H265,$I265,$J265)=0,"",IF($M265=0,"✖ كود الصف غير موجود",IF(ISNA(MATCH($F265,Lists!$A$2:$A$5,0)),"✖ الفترة غير صحيحة",IF(ISNA(MATCH($G265,Lists!$B$2:$B$7,0)),"✖ المجموعة غير صحيحة",IF(NOT(OR($H265="",$N265&gt;0)),"✖ Start غير صحيح",IF(NOT(OR($I265="",$I265="NR",$O265&gt;0)),"✖ Current غير صحيح",IF(NOT(IF(ISNUMBER($J265),AND($J265&gt;=0,$J265=INT($J265)),FALSE())),"✖ العدد يجب أن يكون صحيحًا ≥ 0",IF(AND($F265="Baseline",$H265&lt;&gt;""),"⚠ Baseline: Start لا يدخل في التقدم",IF($K265="No Start (attainment only)","ℹ تحصيل فقط (بدون Start)",IF($K265="U – needs rule","ℹ حالة U تحتاج قاعدة معتمدة",IF($K265="No result","ℹ بدون نتيجة (يُستبعد من التحصيل)","OK")))))))))))</f>
        <v/>
      </c>
      <c r="M265" s="64" t="n">
        <f aca="false">IF($A265="",0,IFERROR(MATCH($A265,Classes!$A$6:$A$420,0),0))</f>
        <v>0</v>
      </c>
      <c r="N265" s="64" t="n">
        <f aca="false">IF($H265="",0,IFERROR(MATCH($H265,GradeList,0),0))</f>
        <v>0</v>
      </c>
      <c r="O265" s="64" t="n">
        <f aca="false">IF(OR($I265="",$I265="NR"),0,IFERROR(MATCH($I265,GradeList,0),0))</f>
        <v>0</v>
      </c>
      <c r="P265" s="64" t="n">
        <f aca="false">IF(AND($M265&gt;0,ISNUMBER(MATCH($F265,Lists!$A$2:$A$5,0)),ISNUMBER(MATCH($G265,Lists!$B$2:$B$7,0)),OR($H265="",$N265&gt;0),OR($I265="",$I265="NR",$O265&gt;0),IF(ISNUMBER($J265),AND($J265&gt;=0,$J265=INT($J265)),FALSE())),$J265,0)</f>
        <v>0</v>
      </c>
      <c r="Q265" s="64" t="n">
        <f aca="false">IF(AND($P265&gt;0,$O265&gt;0),$P265,0)</f>
        <v>0</v>
      </c>
      <c r="R265" s="64" t="n">
        <f aca="false">IF(AND($Q265&gt;0,$O265&gt;=AtRank),$Q265,0)</f>
        <v>0</v>
      </c>
      <c r="S265" s="64" t="n">
        <f aca="false">IF(AND($Q265&gt;0,$O265&gt;=AboveRank),$Q265,0)</f>
        <v>0</v>
      </c>
      <c r="T265" s="64" t="n">
        <f aca="false">IF($K265="Less",$P265,0)</f>
        <v>0</v>
      </c>
      <c r="U265" s="64" t="n">
        <f aca="false">IF($K265="Expected",$P265,0)</f>
        <v>0</v>
      </c>
      <c r="V265" s="64" t="n">
        <f aca="false">IF($K265="Better",$P265,0)</f>
        <v>0</v>
      </c>
      <c r="W265" s="64" t="n">
        <f aca="false">IF($K265="U – needs rule",$P265,0)</f>
        <v>0</v>
      </c>
      <c r="X265" s="64" t="n">
        <f aca="false">IF($K265="No Start (attainment only)",$P265,0)</f>
        <v>0</v>
      </c>
    </row>
    <row r="266" customFormat="false" ht="15" hidden="false" customHeight="false" outlineLevel="0" collapsed="false">
      <c r="A266" s="60"/>
      <c r="B266" s="61" t="str">
        <f aca="false">IF($M266=0,"",INDEX(Classes!$E$6:$E$420,$M266))</f>
        <v/>
      </c>
      <c r="C266" s="62" t="str">
        <f aca="false">IF($M266=0,"",INDEX(Classes!$H$6:$H$420,$M266))</f>
        <v/>
      </c>
      <c r="D266" s="61" t="str">
        <f aca="false">IF($M266=0,"",INDEX(Classes!$B$6:$B$420,$M266))</f>
        <v/>
      </c>
      <c r="E266" s="61" t="str">
        <f aca="false">IF($M266=0,"",INDEX(Classes!$C$6:$C$420,$M266))</f>
        <v/>
      </c>
      <c r="F266" s="63"/>
      <c r="G266" s="63"/>
      <c r="H266" s="60"/>
      <c r="I266" s="60"/>
      <c r="J266" s="63"/>
      <c r="K266" s="61" t="str">
        <f aca="false">IF($P266=0,"",IF($F266="Baseline","— Baseline",IF($O266=0,"No result",IF($N266=0,"No Start (attainment only)",IF(OR($N266=1,$O266=1),"U – needs rule",INDEX(MxBody,MATCH($I266,MxCurr,0),MATCH($H266,MxStart,0)))))))</f>
        <v/>
      </c>
      <c r="L266" s="62" t="str">
        <f aca="false">IF(COUNTA($A266,$F266,$G266,$H266,$I266,$J266)=0,"",IF($M266=0,"✖ كود الصف غير موجود",IF(ISNA(MATCH($F266,Lists!$A$2:$A$5,0)),"✖ الفترة غير صحيحة",IF(ISNA(MATCH($G266,Lists!$B$2:$B$7,0)),"✖ المجموعة غير صحيحة",IF(NOT(OR($H266="",$N266&gt;0)),"✖ Start غير صحيح",IF(NOT(OR($I266="",$I266="NR",$O266&gt;0)),"✖ Current غير صحيح",IF(NOT(IF(ISNUMBER($J266),AND($J266&gt;=0,$J266=INT($J266)),FALSE())),"✖ العدد يجب أن يكون صحيحًا ≥ 0",IF(AND($F266="Baseline",$H266&lt;&gt;""),"⚠ Baseline: Start لا يدخل في التقدم",IF($K266="No Start (attainment only)","ℹ تحصيل فقط (بدون Start)",IF($K266="U – needs rule","ℹ حالة U تحتاج قاعدة معتمدة",IF($K266="No result","ℹ بدون نتيجة (يُستبعد من التحصيل)","OK")))))))))))</f>
        <v/>
      </c>
      <c r="M266" s="64" t="n">
        <f aca="false">IF($A266="",0,IFERROR(MATCH($A266,Classes!$A$6:$A$420,0),0))</f>
        <v>0</v>
      </c>
      <c r="N266" s="64" t="n">
        <f aca="false">IF($H266="",0,IFERROR(MATCH($H266,GradeList,0),0))</f>
        <v>0</v>
      </c>
      <c r="O266" s="64" t="n">
        <f aca="false">IF(OR($I266="",$I266="NR"),0,IFERROR(MATCH($I266,GradeList,0),0))</f>
        <v>0</v>
      </c>
      <c r="P266" s="64" t="n">
        <f aca="false">IF(AND($M266&gt;0,ISNUMBER(MATCH($F266,Lists!$A$2:$A$5,0)),ISNUMBER(MATCH($G266,Lists!$B$2:$B$7,0)),OR($H266="",$N266&gt;0),OR($I266="",$I266="NR",$O266&gt;0),IF(ISNUMBER($J266),AND($J266&gt;=0,$J266=INT($J266)),FALSE())),$J266,0)</f>
        <v>0</v>
      </c>
      <c r="Q266" s="64" t="n">
        <f aca="false">IF(AND($P266&gt;0,$O266&gt;0),$P266,0)</f>
        <v>0</v>
      </c>
      <c r="R266" s="64" t="n">
        <f aca="false">IF(AND($Q266&gt;0,$O266&gt;=AtRank),$Q266,0)</f>
        <v>0</v>
      </c>
      <c r="S266" s="64" t="n">
        <f aca="false">IF(AND($Q266&gt;0,$O266&gt;=AboveRank),$Q266,0)</f>
        <v>0</v>
      </c>
      <c r="T266" s="64" t="n">
        <f aca="false">IF($K266="Less",$P266,0)</f>
        <v>0</v>
      </c>
      <c r="U266" s="64" t="n">
        <f aca="false">IF($K266="Expected",$P266,0)</f>
        <v>0</v>
      </c>
      <c r="V266" s="64" t="n">
        <f aca="false">IF($K266="Better",$P266,0)</f>
        <v>0</v>
      </c>
      <c r="W266" s="64" t="n">
        <f aca="false">IF($K266="U – needs rule",$P266,0)</f>
        <v>0</v>
      </c>
      <c r="X266" s="64" t="n">
        <f aca="false">IF($K266="No Start (attainment only)",$P266,0)</f>
        <v>0</v>
      </c>
    </row>
    <row r="267" customFormat="false" ht="15" hidden="false" customHeight="false" outlineLevel="0" collapsed="false">
      <c r="A267" s="60"/>
      <c r="B267" s="61" t="str">
        <f aca="false">IF($M267=0,"",INDEX(Classes!$E$6:$E$420,$M267))</f>
        <v/>
      </c>
      <c r="C267" s="62" t="str">
        <f aca="false">IF($M267=0,"",INDEX(Classes!$H$6:$H$420,$M267))</f>
        <v/>
      </c>
      <c r="D267" s="61" t="str">
        <f aca="false">IF($M267=0,"",INDEX(Classes!$B$6:$B$420,$M267))</f>
        <v/>
      </c>
      <c r="E267" s="61" t="str">
        <f aca="false">IF($M267=0,"",INDEX(Classes!$C$6:$C$420,$M267))</f>
        <v/>
      </c>
      <c r="F267" s="63"/>
      <c r="G267" s="63"/>
      <c r="H267" s="60"/>
      <c r="I267" s="60"/>
      <c r="J267" s="63"/>
      <c r="K267" s="61" t="str">
        <f aca="false">IF($P267=0,"",IF($F267="Baseline","— Baseline",IF($O267=0,"No result",IF($N267=0,"No Start (attainment only)",IF(OR($N267=1,$O267=1),"U – needs rule",INDEX(MxBody,MATCH($I267,MxCurr,0),MATCH($H267,MxStart,0)))))))</f>
        <v/>
      </c>
      <c r="L267" s="62" t="str">
        <f aca="false">IF(COUNTA($A267,$F267,$G267,$H267,$I267,$J267)=0,"",IF($M267=0,"✖ كود الصف غير موجود",IF(ISNA(MATCH($F267,Lists!$A$2:$A$5,0)),"✖ الفترة غير صحيحة",IF(ISNA(MATCH($G267,Lists!$B$2:$B$7,0)),"✖ المجموعة غير صحيحة",IF(NOT(OR($H267="",$N267&gt;0)),"✖ Start غير صحيح",IF(NOT(OR($I267="",$I267="NR",$O267&gt;0)),"✖ Current غير صحيح",IF(NOT(IF(ISNUMBER($J267),AND($J267&gt;=0,$J267=INT($J267)),FALSE())),"✖ العدد يجب أن يكون صحيحًا ≥ 0",IF(AND($F267="Baseline",$H267&lt;&gt;""),"⚠ Baseline: Start لا يدخل في التقدم",IF($K267="No Start (attainment only)","ℹ تحصيل فقط (بدون Start)",IF($K267="U – needs rule","ℹ حالة U تحتاج قاعدة معتمدة",IF($K267="No result","ℹ بدون نتيجة (يُستبعد من التحصيل)","OK")))))))))))</f>
        <v/>
      </c>
      <c r="M267" s="64" t="n">
        <f aca="false">IF($A267="",0,IFERROR(MATCH($A267,Classes!$A$6:$A$420,0),0))</f>
        <v>0</v>
      </c>
      <c r="N267" s="64" t="n">
        <f aca="false">IF($H267="",0,IFERROR(MATCH($H267,GradeList,0),0))</f>
        <v>0</v>
      </c>
      <c r="O267" s="64" t="n">
        <f aca="false">IF(OR($I267="",$I267="NR"),0,IFERROR(MATCH($I267,GradeList,0),0))</f>
        <v>0</v>
      </c>
      <c r="P267" s="64" t="n">
        <f aca="false">IF(AND($M267&gt;0,ISNUMBER(MATCH($F267,Lists!$A$2:$A$5,0)),ISNUMBER(MATCH($G267,Lists!$B$2:$B$7,0)),OR($H267="",$N267&gt;0),OR($I267="",$I267="NR",$O267&gt;0),IF(ISNUMBER($J267),AND($J267&gt;=0,$J267=INT($J267)),FALSE())),$J267,0)</f>
        <v>0</v>
      </c>
      <c r="Q267" s="64" t="n">
        <f aca="false">IF(AND($P267&gt;0,$O267&gt;0),$P267,0)</f>
        <v>0</v>
      </c>
      <c r="R267" s="64" t="n">
        <f aca="false">IF(AND($Q267&gt;0,$O267&gt;=AtRank),$Q267,0)</f>
        <v>0</v>
      </c>
      <c r="S267" s="64" t="n">
        <f aca="false">IF(AND($Q267&gt;0,$O267&gt;=AboveRank),$Q267,0)</f>
        <v>0</v>
      </c>
      <c r="T267" s="64" t="n">
        <f aca="false">IF($K267="Less",$P267,0)</f>
        <v>0</v>
      </c>
      <c r="U267" s="64" t="n">
        <f aca="false">IF($K267="Expected",$P267,0)</f>
        <v>0</v>
      </c>
      <c r="V267" s="64" t="n">
        <f aca="false">IF($K267="Better",$P267,0)</f>
        <v>0</v>
      </c>
      <c r="W267" s="64" t="n">
        <f aca="false">IF($K267="U – needs rule",$P267,0)</f>
        <v>0</v>
      </c>
      <c r="X267" s="64" t="n">
        <f aca="false">IF($K267="No Start (attainment only)",$P267,0)</f>
        <v>0</v>
      </c>
    </row>
    <row r="268" customFormat="false" ht="15" hidden="false" customHeight="false" outlineLevel="0" collapsed="false">
      <c r="A268" s="60"/>
      <c r="B268" s="61" t="str">
        <f aca="false">IF($M268=0,"",INDEX(Classes!$E$6:$E$420,$M268))</f>
        <v/>
      </c>
      <c r="C268" s="62" t="str">
        <f aca="false">IF($M268=0,"",INDEX(Classes!$H$6:$H$420,$M268))</f>
        <v/>
      </c>
      <c r="D268" s="61" t="str">
        <f aca="false">IF($M268=0,"",INDEX(Classes!$B$6:$B$420,$M268))</f>
        <v/>
      </c>
      <c r="E268" s="61" t="str">
        <f aca="false">IF($M268=0,"",INDEX(Classes!$C$6:$C$420,$M268))</f>
        <v/>
      </c>
      <c r="F268" s="63"/>
      <c r="G268" s="63"/>
      <c r="H268" s="60"/>
      <c r="I268" s="60"/>
      <c r="J268" s="63"/>
      <c r="K268" s="61" t="str">
        <f aca="false">IF($P268=0,"",IF($F268="Baseline","— Baseline",IF($O268=0,"No result",IF($N268=0,"No Start (attainment only)",IF(OR($N268=1,$O268=1),"U – needs rule",INDEX(MxBody,MATCH($I268,MxCurr,0),MATCH($H268,MxStart,0)))))))</f>
        <v/>
      </c>
      <c r="L268" s="62" t="str">
        <f aca="false">IF(COUNTA($A268,$F268,$G268,$H268,$I268,$J268)=0,"",IF($M268=0,"✖ كود الصف غير موجود",IF(ISNA(MATCH($F268,Lists!$A$2:$A$5,0)),"✖ الفترة غير صحيحة",IF(ISNA(MATCH($G268,Lists!$B$2:$B$7,0)),"✖ المجموعة غير صحيحة",IF(NOT(OR($H268="",$N268&gt;0)),"✖ Start غير صحيح",IF(NOT(OR($I268="",$I268="NR",$O268&gt;0)),"✖ Current غير صحيح",IF(NOT(IF(ISNUMBER($J268),AND($J268&gt;=0,$J268=INT($J268)),FALSE())),"✖ العدد يجب أن يكون صحيحًا ≥ 0",IF(AND($F268="Baseline",$H268&lt;&gt;""),"⚠ Baseline: Start لا يدخل في التقدم",IF($K268="No Start (attainment only)","ℹ تحصيل فقط (بدون Start)",IF($K268="U – needs rule","ℹ حالة U تحتاج قاعدة معتمدة",IF($K268="No result","ℹ بدون نتيجة (يُستبعد من التحصيل)","OK")))))))))))</f>
        <v/>
      </c>
      <c r="M268" s="64" t="n">
        <f aca="false">IF($A268="",0,IFERROR(MATCH($A268,Classes!$A$6:$A$420,0),0))</f>
        <v>0</v>
      </c>
      <c r="N268" s="64" t="n">
        <f aca="false">IF($H268="",0,IFERROR(MATCH($H268,GradeList,0),0))</f>
        <v>0</v>
      </c>
      <c r="O268" s="64" t="n">
        <f aca="false">IF(OR($I268="",$I268="NR"),0,IFERROR(MATCH($I268,GradeList,0),0))</f>
        <v>0</v>
      </c>
      <c r="P268" s="64" t="n">
        <f aca="false">IF(AND($M268&gt;0,ISNUMBER(MATCH($F268,Lists!$A$2:$A$5,0)),ISNUMBER(MATCH($G268,Lists!$B$2:$B$7,0)),OR($H268="",$N268&gt;0),OR($I268="",$I268="NR",$O268&gt;0),IF(ISNUMBER($J268),AND($J268&gt;=0,$J268=INT($J268)),FALSE())),$J268,0)</f>
        <v>0</v>
      </c>
      <c r="Q268" s="64" t="n">
        <f aca="false">IF(AND($P268&gt;0,$O268&gt;0),$P268,0)</f>
        <v>0</v>
      </c>
      <c r="R268" s="64" t="n">
        <f aca="false">IF(AND($Q268&gt;0,$O268&gt;=AtRank),$Q268,0)</f>
        <v>0</v>
      </c>
      <c r="S268" s="64" t="n">
        <f aca="false">IF(AND($Q268&gt;0,$O268&gt;=AboveRank),$Q268,0)</f>
        <v>0</v>
      </c>
      <c r="T268" s="64" t="n">
        <f aca="false">IF($K268="Less",$P268,0)</f>
        <v>0</v>
      </c>
      <c r="U268" s="64" t="n">
        <f aca="false">IF($K268="Expected",$P268,0)</f>
        <v>0</v>
      </c>
      <c r="V268" s="64" t="n">
        <f aca="false">IF($K268="Better",$P268,0)</f>
        <v>0</v>
      </c>
      <c r="W268" s="64" t="n">
        <f aca="false">IF($K268="U – needs rule",$P268,0)</f>
        <v>0</v>
      </c>
      <c r="X268" s="64" t="n">
        <f aca="false">IF($K268="No Start (attainment only)",$P268,0)</f>
        <v>0</v>
      </c>
    </row>
    <row r="269" customFormat="false" ht="15" hidden="false" customHeight="false" outlineLevel="0" collapsed="false">
      <c r="A269" s="60"/>
      <c r="B269" s="61" t="str">
        <f aca="false">IF($M269=0,"",INDEX(Classes!$E$6:$E$420,$M269))</f>
        <v/>
      </c>
      <c r="C269" s="62" t="str">
        <f aca="false">IF($M269=0,"",INDEX(Classes!$H$6:$H$420,$M269))</f>
        <v/>
      </c>
      <c r="D269" s="61" t="str">
        <f aca="false">IF($M269=0,"",INDEX(Classes!$B$6:$B$420,$M269))</f>
        <v/>
      </c>
      <c r="E269" s="61" t="str">
        <f aca="false">IF($M269=0,"",INDEX(Classes!$C$6:$C$420,$M269))</f>
        <v/>
      </c>
      <c r="F269" s="63"/>
      <c r="G269" s="63"/>
      <c r="H269" s="60"/>
      <c r="I269" s="60"/>
      <c r="J269" s="63"/>
      <c r="K269" s="61" t="str">
        <f aca="false">IF($P269=0,"",IF($F269="Baseline","— Baseline",IF($O269=0,"No result",IF($N269=0,"No Start (attainment only)",IF(OR($N269=1,$O269=1),"U – needs rule",INDEX(MxBody,MATCH($I269,MxCurr,0),MATCH($H269,MxStart,0)))))))</f>
        <v/>
      </c>
      <c r="L269" s="62" t="str">
        <f aca="false">IF(COUNTA($A269,$F269,$G269,$H269,$I269,$J269)=0,"",IF($M269=0,"✖ كود الصف غير موجود",IF(ISNA(MATCH($F269,Lists!$A$2:$A$5,0)),"✖ الفترة غير صحيحة",IF(ISNA(MATCH($G269,Lists!$B$2:$B$7,0)),"✖ المجموعة غير صحيحة",IF(NOT(OR($H269="",$N269&gt;0)),"✖ Start غير صحيح",IF(NOT(OR($I269="",$I269="NR",$O269&gt;0)),"✖ Current غير صحيح",IF(NOT(IF(ISNUMBER($J269),AND($J269&gt;=0,$J269=INT($J269)),FALSE())),"✖ العدد يجب أن يكون صحيحًا ≥ 0",IF(AND($F269="Baseline",$H269&lt;&gt;""),"⚠ Baseline: Start لا يدخل في التقدم",IF($K269="No Start (attainment only)","ℹ تحصيل فقط (بدون Start)",IF($K269="U – needs rule","ℹ حالة U تحتاج قاعدة معتمدة",IF($K269="No result","ℹ بدون نتيجة (يُستبعد من التحصيل)","OK")))))))))))</f>
        <v/>
      </c>
      <c r="M269" s="64" t="n">
        <f aca="false">IF($A269="",0,IFERROR(MATCH($A269,Classes!$A$6:$A$420,0),0))</f>
        <v>0</v>
      </c>
      <c r="N269" s="64" t="n">
        <f aca="false">IF($H269="",0,IFERROR(MATCH($H269,GradeList,0),0))</f>
        <v>0</v>
      </c>
      <c r="O269" s="64" t="n">
        <f aca="false">IF(OR($I269="",$I269="NR"),0,IFERROR(MATCH($I269,GradeList,0),0))</f>
        <v>0</v>
      </c>
      <c r="P269" s="64" t="n">
        <f aca="false">IF(AND($M269&gt;0,ISNUMBER(MATCH($F269,Lists!$A$2:$A$5,0)),ISNUMBER(MATCH($G269,Lists!$B$2:$B$7,0)),OR($H269="",$N269&gt;0),OR($I269="",$I269="NR",$O269&gt;0),IF(ISNUMBER($J269),AND($J269&gt;=0,$J269=INT($J269)),FALSE())),$J269,0)</f>
        <v>0</v>
      </c>
      <c r="Q269" s="64" t="n">
        <f aca="false">IF(AND($P269&gt;0,$O269&gt;0),$P269,0)</f>
        <v>0</v>
      </c>
      <c r="R269" s="64" t="n">
        <f aca="false">IF(AND($Q269&gt;0,$O269&gt;=AtRank),$Q269,0)</f>
        <v>0</v>
      </c>
      <c r="S269" s="64" t="n">
        <f aca="false">IF(AND($Q269&gt;0,$O269&gt;=AboveRank),$Q269,0)</f>
        <v>0</v>
      </c>
      <c r="T269" s="64" t="n">
        <f aca="false">IF($K269="Less",$P269,0)</f>
        <v>0</v>
      </c>
      <c r="U269" s="64" t="n">
        <f aca="false">IF($K269="Expected",$P269,0)</f>
        <v>0</v>
      </c>
      <c r="V269" s="64" t="n">
        <f aca="false">IF($K269="Better",$P269,0)</f>
        <v>0</v>
      </c>
      <c r="W269" s="64" t="n">
        <f aca="false">IF($K269="U – needs rule",$P269,0)</f>
        <v>0</v>
      </c>
      <c r="X269" s="64" t="n">
        <f aca="false">IF($K269="No Start (attainment only)",$P269,0)</f>
        <v>0</v>
      </c>
    </row>
    <row r="270" customFormat="false" ht="15" hidden="false" customHeight="false" outlineLevel="0" collapsed="false">
      <c r="A270" s="60"/>
      <c r="B270" s="61" t="str">
        <f aca="false">IF($M270=0,"",INDEX(Classes!$E$6:$E$420,$M270))</f>
        <v/>
      </c>
      <c r="C270" s="62" t="str">
        <f aca="false">IF($M270=0,"",INDEX(Classes!$H$6:$H$420,$M270))</f>
        <v/>
      </c>
      <c r="D270" s="61" t="str">
        <f aca="false">IF($M270=0,"",INDEX(Classes!$B$6:$B$420,$M270))</f>
        <v/>
      </c>
      <c r="E270" s="61" t="str">
        <f aca="false">IF($M270=0,"",INDEX(Classes!$C$6:$C$420,$M270))</f>
        <v/>
      </c>
      <c r="F270" s="63"/>
      <c r="G270" s="63"/>
      <c r="H270" s="60"/>
      <c r="I270" s="60"/>
      <c r="J270" s="63"/>
      <c r="K270" s="61" t="str">
        <f aca="false">IF($P270=0,"",IF($F270="Baseline","— Baseline",IF($O270=0,"No result",IF($N270=0,"No Start (attainment only)",IF(OR($N270=1,$O270=1),"U – needs rule",INDEX(MxBody,MATCH($I270,MxCurr,0),MATCH($H270,MxStart,0)))))))</f>
        <v/>
      </c>
      <c r="L270" s="62" t="str">
        <f aca="false">IF(COUNTA($A270,$F270,$G270,$H270,$I270,$J270)=0,"",IF($M270=0,"✖ كود الصف غير موجود",IF(ISNA(MATCH($F270,Lists!$A$2:$A$5,0)),"✖ الفترة غير صحيحة",IF(ISNA(MATCH($G270,Lists!$B$2:$B$7,0)),"✖ المجموعة غير صحيحة",IF(NOT(OR($H270="",$N270&gt;0)),"✖ Start غير صحيح",IF(NOT(OR($I270="",$I270="NR",$O270&gt;0)),"✖ Current غير صحيح",IF(NOT(IF(ISNUMBER($J270),AND($J270&gt;=0,$J270=INT($J270)),FALSE())),"✖ العدد يجب أن يكون صحيحًا ≥ 0",IF(AND($F270="Baseline",$H270&lt;&gt;""),"⚠ Baseline: Start لا يدخل في التقدم",IF($K270="No Start (attainment only)","ℹ تحصيل فقط (بدون Start)",IF($K270="U – needs rule","ℹ حالة U تحتاج قاعدة معتمدة",IF($K270="No result","ℹ بدون نتيجة (يُستبعد من التحصيل)","OK")))))))))))</f>
        <v/>
      </c>
      <c r="M270" s="64" t="n">
        <f aca="false">IF($A270="",0,IFERROR(MATCH($A270,Classes!$A$6:$A$420,0),0))</f>
        <v>0</v>
      </c>
      <c r="N270" s="64" t="n">
        <f aca="false">IF($H270="",0,IFERROR(MATCH($H270,GradeList,0),0))</f>
        <v>0</v>
      </c>
      <c r="O270" s="64" t="n">
        <f aca="false">IF(OR($I270="",$I270="NR"),0,IFERROR(MATCH($I270,GradeList,0),0))</f>
        <v>0</v>
      </c>
      <c r="P270" s="64" t="n">
        <f aca="false">IF(AND($M270&gt;0,ISNUMBER(MATCH($F270,Lists!$A$2:$A$5,0)),ISNUMBER(MATCH($G270,Lists!$B$2:$B$7,0)),OR($H270="",$N270&gt;0),OR($I270="",$I270="NR",$O270&gt;0),IF(ISNUMBER($J270),AND($J270&gt;=0,$J270=INT($J270)),FALSE())),$J270,0)</f>
        <v>0</v>
      </c>
      <c r="Q270" s="64" t="n">
        <f aca="false">IF(AND($P270&gt;0,$O270&gt;0),$P270,0)</f>
        <v>0</v>
      </c>
      <c r="R270" s="64" t="n">
        <f aca="false">IF(AND($Q270&gt;0,$O270&gt;=AtRank),$Q270,0)</f>
        <v>0</v>
      </c>
      <c r="S270" s="64" t="n">
        <f aca="false">IF(AND($Q270&gt;0,$O270&gt;=AboveRank),$Q270,0)</f>
        <v>0</v>
      </c>
      <c r="T270" s="64" t="n">
        <f aca="false">IF($K270="Less",$P270,0)</f>
        <v>0</v>
      </c>
      <c r="U270" s="64" t="n">
        <f aca="false">IF($K270="Expected",$P270,0)</f>
        <v>0</v>
      </c>
      <c r="V270" s="64" t="n">
        <f aca="false">IF($K270="Better",$P270,0)</f>
        <v>0</v>
      </c>
      <c r="W270" s="64" t="n">
        <f aca="false">IF($K270="U – needs rule",$P270,0)</f>
        <v>0</v>
      </c>
      <c r="X270" s="64" t="n">
        <f aca="false">IF($K270="No Start (attainment only)",$P270,0)</f>
        <v>0</v>
      </c>
    </row>
    <row r="271" customFormat="false" ht="15" hidden="false" customHeight="false" outlineLevel="0" collapsed="false">
      <c r="A271" s="60"/>
      <c r="B271" s="61" t="str">
        <f aca="false">IF($M271=0,"",INDEX(Classes!$E$6:$E$420,$M271))</f>
        <v/>
      </c>
      <c r="C271" s="62" t="str">
        <f aca="false">IF($M271=0,"",INDEX(Classes!$H$6:$H$420,$M271))</f>
        <v/>
      </c>
      <c r="D271" s="61" t="str">
        <f aca="false">IF($M271=0,"",INDEX(Classes!$B$6:$B$420,$M271))</f>
        <v/>
      </c>
      <c r="E271" s="61" t="str">
        <f aca="false">IF($M271=0,"",INDEX(Classes!$C$6:$C$420,$M271))</f>
        <v/>
      </c>
      <c r="F271" s="63"/>
      <c r="G271" s="63"/>
      <c r="H271" s="60"/>
      <c r="I271" s="60"/>
      <c r="J271" s="63"/>
      <c r="K271" s="61" t="str">
        <f aca="false">IF($P271=0,"",IF($F271="Baseline","— Baseline",IF($O271=0,"No result",IF($N271=0,"No Start (attainment only)",IF(OR($N271=1,$O271=1),"U – needs rule",INDEX(MxBody,MATCH($I271,MxCurr,0),MATCH($H271,MxStart,0)))))))</f>
        <v/>
      </c>
      <c r="L271" s="62" t="str">
        <f aca="false">IF(COUNTA($A271,$F271,$G271,$H271,$I271,$J271)=0,"",IF($M271=0,"✖ كود الصف غير موجود",IF(ISNA(MATCH($F271,Lists!$A$2:$A$5,0)),"✖ الفترة غير صحيحة",IF(ISNA(MATCH($G271,Lists!$B$2:$B$7,0)),"✖ المجموعة غير صحيحة",IF(NOT(OR($H271="",$N271&gt;0)),"✖ Start غير صحيح",IF(NOT(OR($I271="",$I271="NR",$O271&gt;0)),"✖ Current غير صحيح",IF(NOT(IF(ISNUMBER($J271),AND($J271&gt;=0,$J271=INT($J271)),FALSE())),"✖ العدد يجب أن يكون صحيحًا ≥ 0",IF(AND($F271="Baseline",$H271&lt;&gt;""),"⚠ Baseline: Start لا يدخل في التقدم",IF($K271="No Start (attainment only)","ℹ تحصيل فقط (بدون Start)",IF($K271="U – needs rule","ℹ حالة U تحتاج قاعدة معتمدة",IF($K271="No result","ℹ بدون نتيجة (يُستبعد من التحصيل)","OK")))))))))))</f>
        <v/>
      </c>
      <c r="M271" s="64" t="n">
        <f aca="false">IF($A271="",0,IFERROR(MATCH($A271,Classes!$A$6:$A$420,0),0))</f>
        <v>0</v>
      </c>
      <c r="N271" s="64" t="n">
        <f aca="false">IF($H271="",0,IFERROR(MATCH($H271,GradeList,0),0))</f>
        <v>0</v>
      </c>
      <c r="O271" s="64" t="n">
        <f aca="false">IF(OR($I271="",$I271="NR"),0,IFERROR(MATCH($I271,GradeList,0),0))</f>
        <v>0</v>
      </c>
      <c r="P271" s="64" t="n">
        <f aca="false">IF(AND($M271&gt;0,ISNUMBER(MATCH($F271,Lists!$A$2:$A$5,0)),ISNUMBER(MATCH($G271,Lists!$B$2:$B$7,0)),OR($H271="",$N271&gt;0),OR($I271="",$I271="NR",$O271&gt;0),IF(ISNUMBER($J271),AND($J271&gt;=0,$J271=INT($J271)),FALSE())),$J271,0)</f>
        <v>0</v>
      </c>
      <c r="Q271" s="64" t="n">
        <f aca="false">IF(AND($P271&gt;0,$O271&gt;0),$P271,0)</f>
        <v>0</v>
      </c>
      <c r="R271" s="64" t="n">
        <f aca="false">IF(AND($Q271&gt;0,$O271&gt;=AtRank),$Q271,0)</f>
        <v>0</v>
      </c>
      <c r="S271" s="64" t="n">
        <f aca="false">IF(AND($Q271&gt;0,$O271&gt;=AboveRank),$Q271,0)</f>
        <v>0</v>
      </c>
      <c r="T271" s="64" t="n">
        <f aca="false">IF($K271="Less",$P271,0)</f>
        <v>0</v>
      </c>
      <c r="U271" s="64" t="n">
        <f aca="false">IF($K271="Expected",$P271,0)</f>
        <v>0</v>
      </c>
      <c r="V271" s="64" t="n">
        <f aca="false">IF($K271="Better",$P271,0)</f>
        <v>0</v>
      </c>
      <c r="W271" s="64" t="n">
        <f aca="false">IF($K271="U – needs rule",$P271,0)</f>
        <v>0</v>
      </c>
      <c r="X271" s="64" t="n">
        <f aca="false">IF($K271="No Start (attainment only)",$P271,0)</f>
        <v>0</v>
      </c>
    </row>
    <row r="272" customFormat="false" ht="15" hidden="false" customHeight="false" outlineLevel="0" collapsed="false">
      <c r="A272" s="60"/>
      <c r="B272" s="61" t="str">
        <f aca="false">IF($M272=0,"",INDEX(Classes!$E$6:$E$420,$M272))</f>
        <v/>
      </c>
      <c r="C272" s="62" t="str">
        <f aca="false">IF($M272=0,"",INDEX(Classes!$H$6:$H$420,$M272))</f>
        <v/>
      </c>
      <c r="D272" s="61" t="str">
        <f aca="false">IF($M272=0,"",INDEX(Classes!$B$6:$B$420,$M272))</f>
        <v/>
      </c>
      <c r="E272" s="61" t="str">
        <f aca="false">IF($M272=0,"",INDEX(Classes!$C$6:$C$420,$M272))</f>
        <v/>
      </c>
      <c r="F272" s="63"/>
      <c r="G272" s="63"/>
      <c r="H272" s="60"/>
      <c r="I272" s="60"/>
      <c r="J272" s="63"/>
      <c r="K272" s="61" t="str">
        <f aca="false">IF($P272=0,"",IF($F272="Baseline","— Baseline",IF($O272=0,"No result",IF($N272=0,"No Start (attainment only)",IF(OR($N272=1,$O272=1),"U – needs rule",INDEX(MxBody,MATCH($I272,MxCurr,0),MATCH($H272,MxStart,0)))))))</f>
        <v/>
      </c>
      <c r="L272" s="62" t="str">
        <f aca="false">IF(COUNTA($A272,$F272,$G272,$H272,$I272,$J272)=0,"",IF($M272=0,"✖ كود الصف غير موجود",IF(ISNA(MATCH($F272,Lists!$A$2:$A$5,0)),"✖ الفترة غير صحيحة",IF(ISNA(MATCH($G272,Lists!$B$2:$B$7,0)),"✖ المجموعة غير صحيحة",IF(NOT(OR($H272="",$N272&gt;0)),"✖ Start غير صحيح",IF(NOT(OR($I272="",$I272="NR",$O272&gt;0)),"✖ Current غير صحيح",IF(NOT(IF(ISNUMBER($J272),AND($J272&gt;=0,$J272=INT($J272)),FALSE())),"✖ العدد يجب أن يكون صحيحًا ≥ 0",IF(AND($F272="Baseline",$H272&lt;&gt;""),"⚠ Baseline: Start لا يدخل في التقدم",IF($K272="No Start (attainment only)","ℹ تحصيل فقط (بدون Start)",IF($K272="U – needs rule","ℹ حالة U تحتاج قاعدة معتمدة",IF($K272="No result","ℹ بدون نتيجة (يُستبعد من التحصيل)","OK")))))))))))</f>
        <v/>
      </c>
      <c r="M272" s="64" t="n">
        <f aca="false">IF($A272="",0,IFERROR(MATCH($A272,Classes!$A$6:$A$420,0),0))</f>
        <v>0</v>
      </c>
      <c r="N272" s="64" t="n">
        <f aca="false">IF($H272="",0,IFERROR(MATCH($H272,GradeList,0),0))</f>
        <v>0</v>
      </c>
      <c r="O272" s="64" t="n">
        <f aca="false">IF(OR($I272="",$I272="NR"),0,IFERROR(MATCH($I272,GradeList,0),0))</f>
        <v>0</v>
      </c>
      <c r="P272" s="64" t="n">
        <f aca="false">IF(AND($M272&gt;0,ISNUMBER(MATCH($F272,Lists!$A$2:$A$5,0)),ISNUMBER(MATCH($G272,Lists!$B$2:$B$7,0)),OR($H272="",$N272&gt;0),OR($I272="",$I272="NR",$O272&gt;0),IF(ISNUMBER($J272),AND($J272&gt;=0,$J272=INT($J272)),FALSE())),$J272,0)</f>
        <v>0</v>
      </c>
      <c r="Q272" s="64" t="n">
        <f aca="false">IF(AND($P272&gt;0,$O272&gt;0),$P272,0)</f>
        <v>0</v>
      </c>
      <c r="R272" s="64" t="n">
        <f aca="false">IF(AND($Q272&gt;0,$O272&gt;=AtRank),$Q272,0)</f>
        <v>0</v>
      </c>
      <c r="S272" s="64" t="n">
        <f aca="false">IF(AND($Q272&gt;0,$O272&gt;=AboveRank),$Q272,0)</f>
        <v>0</v>
      </c>
      <c r="T272" s="64" t="n">
        <f aca="false">IF($K272="Less",$P272,0)</f>
        <v>0</v>
      </c>
      <c r="U272" s="64" t="n">
        <f aca="false">IF($K272="Expected",$P272,0)</f>
        <v>0</v>
      </c>
      <c r="V272" s="64" t="n">
        <f aca="false">IF($K272="Better",$P272,0)</f>
        <v>0</v>
      </c>
      <c r="W272" s="64" t="n">
        <f aca="false">IF($K272="U – needs rule",$P272,0)</f>
        <v>0</v>
      </c>
      <c r="X272" s="64" t="n">
        <f aca="false">IF($K272="No Start (attainment only)",$P272,0)</f>
        <v>0</v>
      </c>
    </row>
    <row r="273" customFormat="false" ht="15" hidden="false" customHeight="false" outlineLevel="0" collapsed="false">
      <c r="A273" s="60"/>
      <c r="B273" s="61" t="str">
        <f aca="false">IF($M273=0,"",INDEX(Classes!$E$6:$E$420,$M273))</f>
        <v/>
      </c>
      <c r="C273" s="62" t="str">
        <f aca="false">IF($M273=0,"",INDEX(Classes!$H$6:$H$420,$M273))</f>
        <v/>
      </c>
      <c r="D273" s="61" t="str">
        <f aca="false">IF($M273=0,"",INDEX(Classes!$B$6:$B$420,$M273))</f>
        <v/>
      </c>
      <c r="E273" s="61" t="str">
        <f aca="false">IF($M273=0,"",INDEX(Classes!$C$6:$C$420,$M273))</f>
        <v/>
      </c>
      <c r="F273" s="63"/>
      <c r="G273" s="63"/>
      <c r="H273" s="60"/>
      <c r="I273" s="60"/>
      <c r="J273" s="63"/>
      <c r="K273" s="61" t="str">
        <f aca="false">IF($P273=0,"",IF($F273="Baseline","— Baseline",IF($O273=0,"No result",IF($N273=0,"No Start (attainment only)",IF(OR($N273=1,$O273=1),"U – needs rule",INDEX(MxBody,MATCH($I273,MxCurr,0),MATCH($H273,MxStart,0)))))))</f>
        <v/>
      </c>
      <c r="L273" s="62" t="str">
        <f aca="false">IF(COUNTA($A273,$F273,$G273,$H273,$I273,$J273)=0,"",IF($M273=0,"✖ كود الصف غير موجود",IF(ISNA(MATCH($F273,Lists!$A$2:$A$5,0)),"✖ الفترة غير صحيحة",IF(ISNA(MATCH($G273,Lists!$B$2:$B$7,0)),"✖ المجموعة غير صحيحة",IF(NOT(OR($H273="",$N273&gt;0)),"✖ Start غير صحيح",IF(NOT(OR($I273="",$I273="NR",$O273&gt;0)),"✖ Current غير صحيح",IF(NOT(IF(ISNUMBER($J273),AND($J273&gt;=0,$J273=INT($J273)),FALSE())),"✖ العدد يجب أن يكون صحيحًا ≥ 0",IF(AND($F273="Baseline",$H273&lt;&gt;""),"⚠ Baseline: Start لا يدخل في التقدم",IF($K273="No Start (attainment only)","ℹ تحصيل فقط (بدون Start)",IF($K273="U – needs rule","ℹ حالة U تحتاج قاعدة معتمدة",IF($K273="No result","ℹ بدون نتيجة (يُستبعد من التحصيل)","OK")))))))))))</f>
        <v/>
      </c>
      <c r="M273" s="64" t="n">
        <f aca="false">IF($A273="",0,IFERROR(MATCH($A273,Classes!$A$6:$A$420,0),0))</f>
        <v>0</v>
      </c>
      <c r="N273" s="64" t="n">
        <f aca="false">IF($H273="",0,IFERROR(MATCH($H273,GradeList,0),0))</f>
        <v>0</v>
      </c>
      <c r="O273" s="64" t="n">
        <f aca="false">IF(OR($I273="",$I273="NR"),0,IFERROR(MATCH($I273,GradeList,0),0))</f>
        <v>0</v>
      </c>
      <c r="P273" s="64" t="n">
        <f aca="false">IF(AND($M273&gt;0,ISNUMBER(MATCH($F273,Lists!$A$2:$A$5,0)),ISNUMBER(MATCH($G273,Lists!$B$2:$B$7,0)),OR($H273="",$N273&gt;0),OR($I273="",$I273="NR",$O273&gt;0),IF(ISNUMBER($J273),AND($J273&gt;=0,$J273=INT($J273)),FALSE())),$J273,0)</f>
        <v>0</v>
      </c>
      <c r="Q273" s="64" t="n">
        <f aca="false">IF(AND($P273&gt;0,$O273&gt;0),$P273,0)</f>
        <v>0</v>
      </c>
      <c r="R273" s="64" t="n">
        <f aca="false">IF(AND($Q273&gt;0,$O273&gt;=AtRank),$Q273,0)</f>
        <v>0</v>
      </c>
      <c r="S273" s="64" t="n">
        <f aca="false">IF(AND($Q273&gt;0,$O273&gt;=AboveRank),$Q273,0)</f>
        <v>0</v>
      </c>
      <c r="T273" s="64" t="n">
        <f aca="false">IF($K273="Less",$P273,0)</f>
        <v>0</v>
      </c>
      <c r="U273" s="64" t="n">
        <f aca="false">IF($K273="Expected",$P273,0)</f>
        <v>0</v>
      </c>
      <c r="V273" s="64" t="n">
        <f aca="false">IF($K273="Better",$P273,0)</f>
        <v>0</v>
      </c>
      <c r="W273" s="64" t="n">
        <f aca="false">IF($K273="U – needs rule",$P273,0)</f>
        <v>0</v>
      </c>
      <c r="X273" s="64" t="n">
        <f aca="false">IF($K273="No Start (attainment only)",$P273,0)</f>
        <v>0</v>
      </c>
    </row>
    <row r="274" customFormat="false" ht="15" hidden="false" customHeight="false" outlineLevel="0" collapsed="false">
      <c r="A274" s="60"/>
      <c r="B274" s="61" t="str">
        <f aca="false">IF($M274=0,"",INDEX(Classes!$E$6:$E$420,$M274))</f>
        <v/>
      </c>
      <c r="C274" s="62" t="str">
        <f aca="false">IF($M274=0,"",INDEX(Classes!$H$6:$H$420,$M274))</f>
        <v/>
      </c>
      <c r="D274" s="61" t="str">
        <f aca="false">IF($M274=0,"",INDEX(Classes!$B$6:$B$420,$M274))</f>
        <v/>
      </c>
      <c r="E274" s="61" t="str">
        <f aca="false">IF($M274=0,"",INDEX(Classes!$C$6:$C$420,$M274))</f>
        <v/>
      </c>
      <c r="F274" s="63"/>
      <c r="G274" s="63"/>
      <c r="H274" s="60"/>
      <c r="I274" s="60"/>
      <c r="J274" s="63"/>
      <c r="K274" s="61" t="str">
        <f aca="false">IF($P274=0,"",IF($F274="Baseline","— Baseline",IF($O274=0,"No result",IF($N274=0,"No Start (attainment only)",IF(OR($N274=1,$O274=1),"U – needs rule",INDEX(MxBody,MATCH($I274,MxCurr,0),MATCH($H274,MxStart,0)))))))</f>
        <v/>
      </c>
      <c r="L274" s="62" t="str">
        <f aca="false">IF(COUNTA($A274,$F274,$G274,$H274,$I274,$J274)=0,"",IF($M274=0,"✖ كود الصف غير موجود",IF(ISNA(MATCH($F274,Lists!$A$2:$A$5,0)),"✖ الفترة غير صحيحة",IF(ISNA(MATCH($G274,Lists!$B$2:$B$7,0)),"✖ المجموعة غير صحيحة",IF(NOT(OR($H274="",$N274&gt;0)),"✖ Start غير صحيح",IF(NOT(OR($I274="",$I274="NR",$O274&gt;0)),"✖ Current غير صحيح",IF(NOT(IF(ISNUMBER($J274),AND($J274&gt;=0,$J274=INT($J274)),FALSE())),"✖ العدد يجب أن يكون صحيحًا ≥ 0",IF(AND($F274="Baseline",$H274&lt;&gt;""),"⚠ Baseline: Start لا يدخل في التقدم",IF($K274="No Start (attainment only)","ℹ تحصيل فقط (بدون Start)",IF($K274="U – needs rule","ℹ حالة U تحتاج قاعدة معتمدة",IF($K274="No result","ℹ بدون نتيجة (يُستبعد من التحصيل)","OK")))))))))))</f>
        <v/>
      </c>
      <c r="M274" s="64" t="n">
        <f aca="false">IF($A274="",0,IFERROR(MATCH($A274,Classes!$A$6:$A$420,0),0))</f>
        <v>0</v>
      </c>
      <c r="N274" s="64" t="n">
        <f aca="false">IF($H274="",0,IFERROR(MATCH($H274,GradeList,0),0))</f>
        <v>0</v>
      </c>
      <c r="O274" s="64" t="n">
        <f aca="false">IF(OR($I274="",$I274="NR"),0,IFERROR(MATCH($I274,GradeList,0),0))</f>
        <v>0</v>
      </c>
      <c r="P274" s="64" t="n">
        <f aca="false">IF(AND($M274&gt;0,ISNUMBER(MATCH($F274,Lists!$A$2:$A$5,0)),ISNUMBER(MATCH($G274,Lists!$B$2:$B$7,0)),OR($H274="",$N274&gt;0),OR($I274="",$I274="NR",$O274&gt;0),IF(ISNUMBER($J274),AND($J274&gt;=0,$J274=INT($J274)),FALSE())),$J274,0)</f>
        <v>0</v>
      </c>
      <c r="Q274" s="64" t="n">
        <f aca="false">IF(AND($P274&gt;0,$O274&gt;0),$P274,0)</f>
        <v>0</v>
      </c>
      <c r="R274" s="64" t="n">
        <f aca="false">IF(AND($Q274&gt;0,$O274&gt;=AtRank),$Q274,0)</f>
        <v>0</v>
      </c>
      <c r="S274" s="64" t="n">
        <f aca="false">IF(AND($Q274&gt;0,$O274&gt;=AboveRank),$Q274,0)</f>
        <v>0</v>
      </c>
      <c r="T274" s="64" t="n">
        <f aca="false">IF($K274="Less",$P274,0)</f>
        <v>0</v>
      </c>
      <c r="U274" s="64" t="n">
        <f aca="false">IF($K274="Expected",$P274,0)</f>
        <v>0</v>
      </c>
      <c r="V274" s="64" t="n">
        <f aca="false">IF($K274="Better",$P274,0)</f>
        <v>0</v>
      </c>
      <c r="W274" s="64" t="n">
        <f aca="false">IF($K274="U – needs rule",$P274,0)</f>
        <v>0</v>
      </c>
      <c r="X274" s="64" t="n">
        <f aca="false">IF($K274="No Start (attainment only)",$P274,0)</f>
        <v>0</v>
      </c>
    </row>
    <row r="275" customFormat="false" ht="15" hidden="false" customHeight="false" outlineLevel="0" collapsed="false">
      <c r="A275" s="60"/>
      <c r="B275" s="61" t="str">
        <f aca="false">IF($M275=0,"",INDEX(Classes!$E$6:$E$420,$M275))</f>
        <v/>
      </c>
      <c r="C275" s="62" t="str">
        <f aca="false">IF($M275=0,"",INDEX(Classes!$H$6:$H$420,$M275))</f>
        <v/>
      </c>
      <c r="D275" s="61" t="str">
        <f aca="false">IF($M275=0,"",INDEX(Classes!$B$6:$B$420,$M275))</f>
        <v/>
      </c>
      <c r="E275" s="61" t="str">
        <f aca="false">IF($M275=0,"",INDEX(Classes!$C$6:$C$420,$M275))</f>
        <v/>
      </c>
      <c r="F275" s="63"/>
      <c r="G275" s="63"/>
      <c r="H275" s="60"/>
      <c r="I275" s="60"/>
      <c r="J275" s="63"/>
      <c r="K275" s="61" t="str">
        <f aca="false">IF($P275=0,"",IF($F275="Baseline","— Baseline",IF($O275=0,"No result",IF($N275=0,"No Start (attainment only)",IF(OR($N275=1,$O275=1),"U – needs rule",INDEX(MxBody,MATCH($I275,MxCurr,0),MATCH($H275,MxStart,0)))))))</f>
        <v/>
      </c>
      <c r="L275" s="62" t="str">
        <f aca="false">IF(COUNTA($A275,$F275,$G275,$H275,$I275,$J275)=0,"",IF($M275=0,"✖ كود الصف غير موجود",IF(ISNA(MATCH($F275,Lists!$A$2:$A$5,0)),"✖ الفترة غير صحيحة",IF(ISNA(MATCH($G275,Lists!$B$2:$B$7,0)),"✖ المجموعة غير صحيحة",IF(NOT(OR($H275="",$N275&gt;0)),"✖ Start غير صحيح",IF(NOT(OR($I275="",$I275="NR",$O275&gt;0)),"✖ Current غير صحيح",IF(NOT(IF(ISNUMBER($J275),AND($J275&gt;=0,$J275=INT($J275)),FALSE())),"✖ العدد يجب أن يكون صحيحًا ≥ 0",IF(AND($F275="Baseline",$H275&lt;&gt;""),"⚠ Baseline: Start لا يدخل في التقدم",IF($K275="No Start (attainment only)","ℹ تحصيل فقط (بدون Start)",IF($K275="U – needs rule","ℹ حالة U تحتاج قاعدة معتمدة",IF($K275="No result","ℹ بدون نتيجة (يُستبعد من التحصيل)","OK")))))))))))</f>
        <v/>
      </c>
      <c r="M275" s="64" t="n">
        <f aca="false">IF($A275="",0,IFERROR(MATCH($A275,Classes!$A$6:$A$420,0),0))</f>
        <v>0</v>
      </c>
      <c r="N275" s="64" t="n">
        <f aca="false">IF($H275="",0,IFERROR(MATCH($H275,GradeList,0),0))</f>
        <v>0</v>
      </c>
      <c r="O275" s="64" t="n">
        <f aca="false">IF(OR($I275="",$I275="NR"),0,IFERROR(MATCH($I275,GradeList,0),0))</f>
        <v>0</v>
      </c>
      <c r="P275" s="64" t="n">
        <f aca="false">IF(AND($M275&gt;0,ISNUMBER(MATCH($F275,Lists!$A$2:$A$5,0)),ISNUMBER(MATCH($G275,Lists!$B$2:$B$7,0)),OR($H275="",$N275&gt;0),OR($I275="",$I275="NR",$O275&gt;0),IF(ISNUMBER($J275),AND($J275&gt;=0,$J275=INT($J275)),FALSE())),$J275,0)</f>
        <v>0</v>
      </c>
      <c r="Q275" s="64" t="n">
        <f aca="false">IF(AND($P275&gt;0,$O275&gt;0),$P275,0)</f>
        <v>0</v>
      </c>
      <c r="R275" s="64" t="n">
        <f aca="false">IF(AND($Q275&gt;0,$O275&gt;=AtRank),$Q275,0)</f>
        <v>0</v>
      </c>
      <c r="S275" s="64" t="n">
        <f aca="false">IF(AND($Q275&gt;0,$O275&gt;=AboveRank),$Q275,0)</f>
        <v>0</v>
      </c>
      <c r="T275" s="64" t="n">
        <f aca="false">IF($K275="Less",$P275,0)</f>
        <v>0</v>
      </c>
      <c r="U275" s="64" t="n">
        <f aca="false">IF($K275="Expected",$P275,0)</f>
        <v>0</v>
      </c>
      <c r="V275" s="64" t="n">
        <f aca="false">IF($K275="Better",$P275,0)</f>
        <v>0</v>
      </c>
      <c r="W275" s="64" t="n">
        <f aca="false">IF($K275="U – needs rule",$P275,0)</f>
        <v>0</v>
      </c>
      <c r="X275" s="64" t="n">
        <f aca="false">IF($K275="No Start (attainment only)",$P275,0)</f>
        <v>0</v>
      </c>
    </row>
    <row r="276" customFormat="false" ht="15" hidden="false" customHeight="false" outlineLevel="0" collapsed="false">
      <c r="A276" s="60"/>
      <c r="B276" s="61" t="str">
        <f aca="false">IF($M276=0,"",INDEX(Classes!$E$6:$E$420,$M276))</f>
        <v/>
      </c>
      <c r="C276" s="62" t="str">
        <f aca="false">IF($M276=0,"",INDEX(Classes!$H$6:$H$420,$M276))</f>
        <v/>
      </c>
      <c r="D276" s="61" t="str">
        <f aca="false">IF($M276=0,"",INDEX(Classes!$B$6:$B$420,$M276))</f>
        <v/>
      </c>
      <c r="E276" s="61" t="str">
        <f aca="false">IF($M276=0,"",INDEX(Classes!$C$6:$C$420,$M276))</f>
        <v/>
      </c>
      <c r="F276" s="63"/>
      <c r="G276" s="63"/>
      <c r="H276" s="60"/>
      <c r="I276" s="60"/>
      <c r="J276" s="63"/>
      <c r="K276" s="61" t="str">
        <f aca="false">IF($P276=0,"",IF($F276="Baseline","— Baseline",IF($O276=0,"No result",IF($N276=0,"No Start (attainment only)",IF(OR($N276=1,$O276=1),"U – needs rule",INDEX(MxBody,MATCH($I276,MxCurr,0),MATCH($H276,MxStart,0)))))))</f>
        <v/>
      </c>
      <c r="L276" s="62" t="str">
        <f aca="false">IF(COUNTA($A276,$F276,$G276,$H276,$I276,$J276)=0,"",IF($M276=0,"✖ كود الصف غير موجود",IF(ISNA(MATCH($F276,Lists!$A$2:$A$5,0)),"✖ الفترة غير صحيحة",IF(ISNA(MATCH($G276,Lists!$B$2:$B$7,0)),"✖ المجموعة غير صحيحة",IF(NOT(OR($H276="",$N276&gt;0)),"✖ Start غير صحيح",IF(NOT(OR($I276="",$I276="NR",$O276&gt;0)),"✖ Current غير صحيح",IF(NOT(IF(ISNUMBER($J276),AND($J276&gt;=0,$J276=INT($J276)),FALSE())),"✖ العدد يجب أن يكون صحيحًا ≥ 0",IF(AND($F276="Baseline",$H276&lt;&gt;""),"⚠ Baseline: Start لا يدخل في التقدم",IF($K276="No Start (attainment only)","ℹ تحصيل فقط (بدون Start)",IF($K276="U – needs rule","ℹ حالة U تحتاج قاعدة معتمدة",IF($K276="No result","ℹ بدون نتيجة (يُستبعد من التحصيل)","OK")))))))))))</f>
        <v/>
      </c>
      <c r="M276" s="64" t="n">
        <f aca="false">IF($A276="",0,IFERROR(MATCH($A276,Classes!$A$6:$A$420,0),0))</f>
        <v>0</v>
      </c>
      <c r="N276" s="64" t="n">
        <f aca="false">IF($H276="",0,IFERROR(MATCH($H276,GradeList,0),0))</f>
        <v>0</v>
      </c>
      <c r="O276" s="64" t="n">
        <f aca="false">IF(OR($I276="",$I276="NR"),0,IFERROR(MATCH($I276,GradeList,0),0))</f>
        <v>0</v>
      </c>
      <c r="P276" s="64" t="n">
        <f aca="false">IF(AND($M276&gt;0,ISNUMBER(MATCH($F276,Lists!$A$2:$A$5,0)),ISNUMBER(MATCH($G276,Lists!$B$2:$B$7,0)),OR($H276="",$N276&gt;0),OR($I276="",$I276="NR",$O276&gt;0),IF(ISNUMBER($J276),AND($J276&gt;=0,$J276=INT($J276)),FALSE())),$J276,0)</f>
        <v>0</v>
      </c>
      <c r="Q276" s="64" t="n">
        <f aca="false">IF(AND($P276&gt;0,$O276&gt;0),$P276,0)</f>
        <v>0</v>
      </c>
      <c r="R276" s="64" t="n">
        <f aca="false">IF(AND($Q276&gt;0,$O276&gt;=AtRank),$Q276,0)</f>
        <v>0</v>
      </c>
      <c r="S276" s="64" t="n">
        <f aca="false">IF(AND($Q276&gt;0,$O276&gt;=AboveRank),$Q276,0)</f>
        <v>0</v>
      </c>
      <c r="T276" s="64" t="n">
        <f aca="false">IF($K276="Less",$P276,0)</f>
        <v>0</v>
      </c>
      <c r="U276" s="64" t="n">
        <f aca="false">IF($K276="Expected",$P276,0)</f>
        <v>0</v>
      </c>
      <c r="V276" s="64" t="n">
        <f aca="false">IF($K276="Better",$P276,0)</f>
        <v>0</v>
      </c>
      <c r="W276" s="64" t="n">
        <f aca="false">IF($K276="U – needs rule",$P276,0)</f>
        <v>0</v>
      </c>
      <c r="X276" s="64" t="n">
        <f aca="false">IF($K276="No Start (attainment only)",$P276,0)</f>
        <v>0</v>
      </c>
    </row>
    <row r="277" customFormat="false" ht="15" hidden="false" customHeight="false" outlineLevel="0" collapsed="false">
      <c r="A277" s="60"/>
      <c r="B277" s="61" t="str">
        <f aca="false">IF($M277=0,"",INDEX(Classes!$E$6:$E$420,$M277))</f>
        <v/>
      </c>
      <c r="C277" s="62" t="str">
        <f aca="false">IF($M277=0,"",INDEX(Classes!$H$6:$H$420,$M277))</f>
        <v/>
      </c>
      <c r="D277" s="61" t="str">
        <f aca="false">IF($M277=0,"",INDEX(Classes!$B$6:$B$420,$M277))</f>
        <v/>
      </c>
      <c r="E277" s="61" t="str">
        <f aca="false">IF($M277=0,"",INDEX(Classes!$C$6:$C$420,$M277))</f>
        <v/>
      </c>
      <c r="F277" s="63"/>
      <c r="G277" s="63"/>
      <c r="H277" s="60"/>
      <c r="I277" s="60"/>
      <c r="J277" s="63"/>
      <c r="K277" s="61" t="str">
        <f aca="false">IF($P277=0,"",IF($F277="Baseline","— Baseline",IF($O277=0,"No result",IF($N277=0,"No Start (attainment only)",IF(OR($N277=1,$O277=1),"U – needs rule",INDEX(MxBody,MATCH($I277,MxCurr,0),MATCH($H277,MxStart,0)))))))</f>
        <v/>
      </c>
      <c r="L277" s="62" t="str">
        <f aca="false">IF(COUNTA($A277,$F277,$G277,$H277,$I277,$J277)=0,"",IF($M277=0,"✖ كود الصف غير موجود",IF(ISNA(MATCH($F277,Lists!$A$2:$A$5,0)),"✖ الفترة غير صحيحة",IF(ISNA(MATCH($G277,Lists!$B$2:$B$7,0)),"✖ المجموعة غير صحيحة",IF(NOT(OR($H277="",$N277&gt;0)),"✖ Start غير صحيح",IF(NOT(OR($I277="",$I277="NR",$O277&gt;0)),"✖ Current غير صحيح",IF(NOT(IF(ISNUMBER($J277),AND($J277&gt;=0,$J277=INT($J277)),FALSE())),"✖ العدد يجب أن يكون صحيحًا ≥ 0",IF(AND($F277="Baseline",$H277&lt;&gt;""),"⚠ Baseline: Start لا يدخل في التقدم",IF($K277="No Start (attainment only)","ℹ تحصيل فقط (بدون Start)",IF($K277="U – needs rule","ℹ حالة U تحتاج قاعدة معتمدة",IF($K277="No result","ℹ بدون نتيجة (يُستبعد من التحصيل)","OK")))))))))))</f>
        <v/>
      </c>
      <c r="M277" s="64" t="n">
        <f aca="false">IF($A277="",0,IFERROR(MATCH($A277,Classes!$A$6:$A$420,0),0))</f>
        <v>0</v>
      </c>
      <c r="N277" s="64" t="n">
        <f aca="false">IF($H277="",0,IFERROR(MATCH($H277,GradeList,0),0))</f>
        <v>0</v>
      </c>
      <c r="O277" s="64" t="n">
        <f aca="false">IF(OR($I277="",$I277="NR"),0,IFERROR(MATCH($I277,GradeList,0),0))</f>
        <v>0</v>
      </c>
      <c r="P277" s="64" t="n">
        <f aca="false">IF(AND($M277&gt;0,ISNUMBER(MATCH($F277,Lists!$A$2:$A$5,0)),ISNUMBER(MATCH($G277,Lists!$B$2:$B$7,0)),OR($H277="",$N277&gt;0),OR($I277="",$I277="NR",$O277&gt;0),IF(ISNUMBER($J277),AND($J277&gt;=0,$J277=INT($J277)),FALSE())),$J277,0)</f>
        <v>0</v>
      </c>
      <c r="Q277" s="64" t="n">
        <f aca="false">IF(AND($P277&gt;0,$O277&gt;0),$P277,0)</f>
        <v>0</v>
      </c>
      <c r="R277" s="64" t="n">
        <f aca="false">IF(AND($Q277&gt;0,$O277&gt;=AtRank),$Q277,0)</f>
        <v>0</v>
      </c>
      <c r="S277" s="64" t="n">
        <f aca="false">IF(AND($Q277&gt;0,$O277&gt;=AboveRank),$Q277,0)</f>
        <v>0</v>
      </c>
      <c r="T277" s="64" t="n">
        <f aca="false">IF($K277="Less",$P277,0)</f>
        <v>0</v>
      </c>
      <c r="U277" s="64" t="n">
        <f aca="false">IF($K277="Expected",$P277,0)</f>
        <v>0</v>
      </c>
      <c r="V277" s="64" t="n">
        <f aca="false">IF($K277="Better",$P277,0)</f>
        <v>0</v>
      </c>
      <c r="W277" s="64" t="n">
        <f aca="false">IF($K277="U – needs rule",$P277,0)</f>
        <v>0</v>
      </c>
      <c r="X277" s="64" t="n">
        <f aca="false">IF($K277="No Start (attainment only)",$P277,0)</f>
        <v>0</v>
      </c>
    </row>
    <row r="278" customFormat="false" ht="15" hidden="false" customHeight="false" outlineLevel="0" collapsed="false">
      <c r="A278" s="60"/>
      <c r="B278" s="61" t="str">
        <f aca="false">IF($M278=0,"",INDEX(Classes!$E$6:$E$420,$M278))</f>
        <v/>
      </c>
      <c r="C278" s="62" t="str">
        <f aca="false">IF($M278=0,"",INDEX(Classes!$H$6:$H$420,$M278))</f>
        <v/>
      </c>
      <c r="D278" s="61" t="str">
        <f aca="false">IF($M278=0,"",INDEX(Classes!$B$6:$B$420,$M278))</f>
        <v/>
      </c>
      <c r="E278" s="61" t="str">
        <f aca="false">IF($M278=0,"",INDEX(Classes!$C$6:$C$420,$M278))</f>
        <v/>
      </c>
      <c r="F278" s="63"/>
      <c r="G278" s="63"/>
      <c r="H278" s="60"/>
      <c r="I278" s="60"/>
      <c r="J278" s="63"/>
      <c r="K278" s="61" t="str">
        <f aca="false">IF($P278=0,"",IF($F278="Baseline","— Baseline",IF($O278=0,"No result",IF($N278=0,"No Start (attainment only)",IF(OR($N278=1,$O278=1),"U – needs rule",INDEX(MxBody,MATCH($I278,MxCurr,0),MATCH($H278,MxStart,0)))))))</f>
        <v/>
      </c>
      <c r="L278" s="62" t="str">
        <f aca="false">IF(COUNTA($A278,$F278,$G278,$H278,$I278,$J278)=0,"",IF($M278=0,"✖ كود الصف غير موجود",IF(ISNA(MATCH($F278,Lists!$A$2:$A$5,0)),"✖ الفترة غير صحيحة",IF(ISNA(MATCH($G278,Lists!$B$2:$B$7,0)),"✖ المجموعة غير صحيحة",IF(NOT(OR($H278="",$N278&gt;0)),"✖ Start غير صحيح",IF(NOT(OR($I278="",$I278="NR",$O278&gt;0)),"✖ Current غير صحيح",IF(NOT(IF(ISNUMBER($J278),AND($J278&gt;=0,$J278=INT($J278)),FALSE())),"✖ العدد يجب أن يكون صحيحًا ≥ 0",IF(AND($F278="Baseline",$H278&lt;&gt;""),"⚠ Baseline: Start لا يدخل في التقدم",IF($K278="No Start (attainment only)","ℹ تحصيل فقط (بدون Start)",IF($K278="U – needs rule","ℹ حالة U تحتاج قاعدة معتمدة",IF($K278="No result","ℹ بدون نتيجة (يُستبعد من التحصيل)","OK")))))))))))</f>
        <v/>
      </c>
      <c r="M278" s="64" t="n">
        <f aca="false">IF($A278="",0,IFERROR(MATCH($A278,Classes!$A$6:$A$420,0),0))</f>
        <v>0</v>
      </c>
      <c r="N278" s="64" t="n">
        <f aca="false">IF($H278="",0,IFERROR(MATCH($H278,GradeList,0),0))</f>
        <v>0</v>
      </c>
      <c r="O278" s="64" t="n">
        <f aca="false">IF(OR($I278="",$I278="NR"),0,IFERROR(MATCH($I278,GradeList,0),0))</f>
        <v>0</v>
      </c>
      <c r="P278" s="64" t="n">
        <f aca="false">IF(AND($M278&gt;0,ISNUMBER(MATCH($F278,Lists!$A$2:$A$5,0)),ISNUMBER(MATCH($G278,Lists!$B$2:$B$7,0)),OR($H278="",$N278&gt;0),OR($I278="",$I278="NR",$O278&gt;0),IF(ISNUMBER($J278),AND($J278&gt;=0,$J278=INT($J278)),FALSE())),$J278,0)</f>
        <v>0</v>
      </c>
      <c r="Q278" s="64" t="n">
        <f aca="false">IF(AND($P278&gt;0,$O278&gt;0),$P278,0)</f>
        <v>0</v>
      </c>
      <c r="R278" s="64" t="n">
        <f aca="false">IF(AND($Q278&gt;0,$O278&gt;=AtRank),$Q278,0)</f>
        <v>0</v>
      </c>
      <c r="S278" s="64" t="n">
        <f aca="false">IF(AND($Q278&gt;0,$O278&gt;=AboveRank),$Q278,0)</f>
        <v>0</v>
      </c>
      <c r="T278" s="64" t="n">
        <f aca="false">IF($K278="Less",$P278,0)</f>
        <v>0</v>
      </c>
      <c r="U278" s="64" t="n">
        <f aca="false">IF($K278="Expected",$P278,0)</f>
        <v>0</v>
      </c>
      <c r="V278" s="64" t="n">
        <f aca="false">IF($K278="Better",$P278,0)</f>
        <v>0</v>
      </c>
      <c r="W278" s="64" t="n">
        <f aca="false">IF($K278="U – needs rule",$P278,0)</f>
        <v>0</v>
      </c>
      <c r="X278" s="64" t="n">
        <f aca="false">IF($K278="No Start (attainment only)",$P278,0)</f>
        <v>0</v>
      </c>
    </row>
    <row r="279" customFormat="false" ht="15" hidden="false" customHeight="false" outlineLevel="0" collapsed="false">
      <c r="A279" s="60"/>
      <c r="B279" s="61" t="str">
        <f aca="false">IF($M279=0,"",INDEX(Classes!$E$6:$E$420,$M279))</f>
        <v/>
      </c>
      <c r="C279" s="62" t="str">
        <f aca="false">IF($M279=0,"",INDEX(Classes!$H$6:$H$420,$M279))</f>
        <v/>
      </c>
      <c r="D279" s="61" t="str">
        <f aca="false">IF($M279=0,"",INDEX(Classes!$B$6:$B$420,$M279))</f>
        <v/>
      </c>
      <c r="E279" s="61" t="str">
        <f aca="false">IF($M279=0,"",INDEX(Classes!$C$6:$C$420,$M279))</f>
        <v/>
      </c>
      <c r="F279" s="63"/>
      <c r="G279" s="63"/>
      <c r="H279" s="60"/>
      <c r="I279" s="60"/>
      <c r="J279" s="63"/>
      <c r="K279" s="61" t="str">
        <f aca="false">IF($P279=0,"",IF($F279="Baseline","— Baseline",IF($O279=0,"No result",IF($N279=0,"No Start (attainment only)",IF(OR($N279=1,$O279=1),"U – needs rule",INDEX(MxBody,MATCH($I279,MxCurr,0),MATCH($H279,MxStart,0)))))))</f>
        <v/>
      </c>
      <c r="L279" s="62" t="str">
        <f aca="false">IF(COUNTA($A279,$F279,$G279,$H279,$I279,$J279)=0,"",IF($M279=0,"✖ كود الصف غير موجود",IF(ISNA(MATCH($F279,Lists!$A$2:$A$5,0)),"✖ الفترة غير صحيحة",IF(ISNA(MATCH($G279,Lists!$B$2:$B$7,0)),"✖ المجموعة غير صحيحة",IF(NOT(OR($H279="",$N279&gt;0)),"✖ Start غير صحيح",IF(NOT(OR($I279="",$I279="NR",$O279&gt;0)),"✖ Current غير صحيح",IF(NOT(IF(ISNUMBER($J279),AND($J279&gt;=0,$J279=INT($J279)),FALSE())),"✖ العدد يجب أن يكون صحيحًا ≥ 0",IF(AND($F279="Baseline",$H279&lt;&gt;""),"⚠ Baseline: Start لا يدخل في التقدم",IF($K279="No Start (attainment only)","ℹ تحصيل فقط (بدون Start)",IF($K279="U – needs rule","ℹ حالة U تحتاج قاعدة معتمدة",IF($K279="No result","ℹ بدون نتيجة (يُستبعد من التحصيل)","OK")))))))))))</f>
        <v/>
      </c>
      <c r="M279" s="64" t="n">
        <f aca="false">IF($A279="",0,IFERROR(MATCH($A279,Classes!$A$6:$A$420,0),0))</f>
        <v>0</v>
      </c>
      <c r="N279" s="64" t="n">
        <f aca="false">IF($H279="",0,IFERROR(MATCH($H279,GradeList,0),0))</f>
        <v>0</v>
      </c>
      <c r="O279" s="64" t="n">
        <f aca="false">IF(OR($I279="",$I279="NR"),0,IFERROR(MATCH($I279,GradeList,0),0))</f>
        <v>0</v>
      </c>
      <c r="P279" s="64" t="n">
        <f aca="false">IF(AND($M279&gt;0,ISNUMBER(MATCH($F279,Lists!$A$2:$A$5,0)),ISNUMBER(MATCH($G279,Lists!$B$2:$B$7,0)),OR($H279="",$N279&gt;0),OR($I279="",$I279="NR",$O279&gt;0),IF(ISNUMBER($J279),AND($J279&gt;=0,$J279=INT($J279)),FALSE())),$J279,0)</f>
        <v>0</v>
      </c>
      <c r="Q279" s="64" t="n">
        <f aca="false">IF(AND($P279&gt;0,$O279&gt;0),$P279,0)</f>
        <v>0</v>
      </c>
      <c r="R279" s="64" t="n">
        <f aca="false">IF(AND($Q279&gt;0,$O279&gt;=AtRank),$Q279,0)</f>
        <v>0</v>
      </c>
      <c r="S279" s="64" t="n">
        <f aca="false">IF(AND($Q279&gt;0,$O279&gt;=AboveRank),$Q279,0)</f>
        <v>0</v>
      </c>
      <c r="T279" s="64" t="n">
        <f aca="false">IF($K279="Less",$P279,0)</f>
        <v>0</v>
      </c>
      <c r="U279" s="64" t="n">
        <f aca="false">IF($K279="Expected",$P279,0)</f>
        <v>0</v>
      </c>
      <c r="V279" s="64" t="n">
        <f aca="false">IF($K279="Better",$P279,0)</f>
        <v>0</v>
      </c>
      <c r="W279" s="64" t="n">
        <f aca="false">IF($K279="U – needs rule",$P279,0)</f>
        <v>0</v>
      </c>
      <c r="X279" s="64" t="n">
        <f aca="false">IF($K279="No Start (attainment only)",$P279,0)</f>
        <v>0</v>
      </c>
    </row>
    <row r="280" customFormat="false" ht="15" hidden="false" customHeight="false" outlineLevel="0" collapsed="false">
      <c r="A280" s="60"/>
      <c r="B280" s="61" t="str">
        <f aca="false">IF($M280=0,"",INDEX(Classes!$E$6:$E$420,$M280))</f>
        <v/>
      </c>
      <c r="C280" s="62" t="str">
        <f aca="false">IF($M280=0,"",INDEX(Classes!$H$6:$H$420,$M280))</f>
        <v/>
      </c>
      <c r="D280" s="61" t="str">
        <f aca="false">IF($M280=0,"",INDEX(Classes!$B$6:$B$420,$M280))</f>
        <v/>
      </c>
      <c r="E280" s="61" t="str">
        <f aca="false">IF($M280=0,"",INDEX(Classes!$C$6:$C$420,$M280))</f>
        <v/>
      </c>
      <c r="F280" s="63"/>
      <c r="G280" s="63"/>
      <c r="H280" s="60"/>
      <c r="I280" s="60"/>
      <c r="J280" s="63"/>
      <c r="K280" s="61" t="str">
        <f aca="false">IF($P280=0,"",IF($F280="Baseline","— Baseline",IF($O280=0,"No result",IF($N280=0,"No Start (attainment only)",IF(OR($N280=1,$O280=1),"U – needs rule",INDEX(MxBody,MATCH($I280,MxCurr,0),MATCH($H280,MxStart,0)))))))</f>
        <v/>
      </c>
      <c r="L280" s="62" t="str">
        <f aca="false">IF(COUNTA($A280,$F280,$G280,$H280,$I280,$J280)=0,"",IF($M280=0,"✖ كود الصف غير موجود",IF(ISNA(MATCH($F280,Lists!$A$2:$A$5,0)),"✖ الفترة غير صحيحة",IF(ISNA(MATCH($G280,Lists!$B$2:$B$7,0)),"✖ المجموعة غير صحيحة",IF(NOT(OR($H280="",$N280&gt;0)),"✖ Start غير صحيح",IF(NOT(OR($I280="",$I280="NR",$O280&gt;0)),"✖ Current غير صحيح",IF(NOT(IF(ISNUMBER($J280),AND($J280&gt;=0,$J280=INT($J280)),FALSE())),"✖ العدد يجب أن يكون صحيحًا ≥ 0",IF(AND($F280="Baseline",$H280&lt;&gt;""),"⚠ Baseline: Start لا يدخل في التقدم",IF($K280="No Start (attainment only)","ℹ تحصيل فقط (بدون Start)",IF($K280="U – needs rule","ℹ حالة U تحتاج قاعدة معتمدة",IF($K280="No result","ℹ بدون نتيجة (يُستبعد من التحصيل)","OK")))))))))))</f>
        <v/>
      </c>
      <c r="M280" s="64" t="n">
        <f aca="false">IF($A280="",0,IFERROR(MATCH($A280,Classes!$A$6:$A$420,0),0))</f>
        <v>0</v>
      </c>
      <c r="N280" s="64" t="n">
        <f aca="false">IF($H280="",0,IFERROR(MATCH($H280,GradeList,0),0))</f>
        <v>0</v>
      </c>
      <c r="O280" s="64" t="n">
        <f aca="false">IF(OR($I280="",$I280="NR"),0,IFERROR(MATCH($I280,GradeList,0),0))</f>
        <v>0</v>
      </c>
      <c r="P280" s="64" t="n">
        <f aca="false">IF(AND($M280&gt;0,ISNUMBER(MATCH($F280,Lists!$A$2:$A$5,0)),ISNUMBER(MATCH($G280,Lists!$B$2:$B$7,0)),OR($H280="",$N280&gt;0),OR($I280="",$I280="NR",$O280&gt;0),IF(ISNUMBER($J280),AND($J280&gt;=0,$J280=INT($J280)),FALSE())),$J280,0)</f>
        <v>0</v>
      </c>
      <c r="Q280" s="64" t="n">
        <f aca="false">IF(AND($P280&gt;0,$O280&gt;0),$P280,0)</f>
        <v>0</v>
      </c>
      <c r="R280" s="64" t="n">
        <f aca="false">IF(AND($Q280&gt;0,$O280&gt;=AtRank),$Q280,0)</f>
        <v>0</v>
      </c>
      <c r="S280" s="64" t="n">
        <f aca="false">IF(AND($Q280&gt;0,$O280&gt;=AboveRank),$Q280,0)</f>
        <v>0</v>
      </c>
      <c r="T280" s="64" t="n">
        <f aca="false">IF($K280="Less",$P280,0)</f>
        <v>0</v>
      </c>
      <c r="U280" s="64" t="n">
        <f aca="false">IF($K280="Expected",$P280,0)</f>
        <v>0</v>
      </c>
      <c r="V280" s="64" t="n">
        <f aca="false">IF($K280="Better",$P280,0)</f>
        <v>0</v>
      </c>
      <c r="W280" s="64" t="n">
        <f aca="false">IF($K280="U – needs rule",$P280,0)</f>
        <v>0</v>
      </c>
      <c r="X280" s="64" t="n">
        <f aca="false">IF($K280="No Start (attainment only)",$P280,0)</f>
        <v>0</v>
      </c>
    </row>
    <row r="281" customFormat="false" ht="15" hidden="false" customHeight="false" outlineLevel="0" collapsed="false">
      <c r="A281" s="60"/>
      <c r="B281" s="61" t="str">
        <f aca="false">IF($M281=0,"",INDEX(Classes!$E$6:$E$420,$M281))</f>
        <v/>
      </c>
      <c r="C281" s="62" t="str">
        <f aca="false">IF($M281=0,"",INDEX(Classes!$H$6:$H$420,$M281))</f>
        <v/>
      </c>
      <c r="D281" s="61" t="str">
        <f aca="false">IF($M281=0,"",INDEX(Classes!$B$6:$B$420,$M281))</f>
        <v/>
      </c>
      <c r="E281" s="61" t="str">
        <f aca="false">IF($M281=0,"",INDEX(Classes!$C$6:$C$420,$M281))</f>
        <v/>
      </c>
      <c r="F281" s="63"/>
      <c r="G281" s="63"/>
      <c r="H281" s="60"/>
      <c r="I281" s="60"/>
      <c r="J281" s="63"/>
      <c r="K281" s="61" t="str">
        <f aca="false">IF($P281=0,"",IF($F281="Baseline","— Baseline",IF($O281=0,"No result",IF($N281=0,"No Start (attainment only)",IF(OR($N281=1,$O281=1),"U – needs rule",INDEX(MxBody,MATCH($I281,MxCurr,0),MATCH($H281,MxStart,0)))))))</f>
        <v/>
      </c>
      <c r="L281" s="62" t="str">
        <f aca="false">IF(COUNTA($A281,$F281,$G281,$H281,$I281,$J281)=0,"",IF($M281=0,"✖ كود الصف غير موجود",IF(ISNA(MATCH($F281,Lists!$A$2:$A$5,0)),"✖ الفترة غير صحيحة",IF(ISNA(MATCH($G281,Lists!$B$2:$B$7,0)),"✖ المجموعة غير صحيحة",IF(NOT(OR($H281="",$N281&gt;0)),"✖ Start غير صحيح",IF(NOT(OR($I281="",$I281="NR",$O281&gt;0)),"✖ Current غير صحيح",IF(NOT(IF(ISNUMBER($J281),AND($J281&gt;=0,$J281=INT($J281)),FALSE())),"✖ العدد يجب أن يكون صحيحًا ≥ 0",IF(AND($F281="Baseline",$H281&lt;&gt;""),"⚠ Baseline: Start لا يدخل في التقدم",IF($K281="No Start (attainment only)","ℹ تحصيل فقط (بدون Start)",IF($K281="U – needs rule","ℹ حالة U تحتاج قاعدة معتمدة",IF($K281="No result","ℹ بدون نتيجة (يُستبعد من التحصيل)","OK")))))))))))</f>
        <v/>
      </c>
      <c r="M281" s="64" t="n">
        <f aca="false">IF($A281="",0,IFERROR(MATCH($A281,Classes!$A$6:$A$420,0),0))</f>
        <v>0</v>
      </c>
      <c r="N281" s="64" t="n">
        <f aca="false">IF($H281="",0,IFERROR(MATCH($H281,GradeList,0),0))</f>
        <v>0</v>
      </c>
      <c r="O281" s="64" t="n">
        <f aca="false">IF(OR($I281="",$I281="NR"),0,IFERROR(MATCH($I281,GradeList,0),0))</f>
        <v>0</v>
      </c>
      <c r="P281" s="64" t="n">
        <f aca="false">IF(AND($M281&gt;0,ISNUMBER(MATCH($F281,Lists!$A$2:$A$5,0)),ISNUMBER(MATCH($G281,Lists!$B$2:$B$7,0)),OR($H281="",$N281&gt;0),OR($I281="",$I281="NR",$O281&gt;0),IF(ISNUMBER($J281),AND($J281&gt;=0,$J281=INT($J281)),FALSE())),$J281,0)</f>
        <v>0</v>
      </c>
      <c r="Q281" s="64" t="n">
        <f aca="false">IF(AND($P281&gt;0,$O281&gt;0),$P281,0)</f>
        <v>0</v>
      </c>
      <c r="R281" s="64" t="n">
        <f aca="false">IF(AND($Q281&gt;0,$O281&gt;=AtRank),$Q281,0)</f>
        <v>0</v>
      </c>
      <c r="S281" s="64" t="n">
        <f aca="false">IF(AND($Q281&gt;0,$O281&gt;=AboveRank),$Q281,0)</f>
        <v>0</v>
      </c>
      <c r="T281" s="64" t="n">
        <f aca="false">IF($K281="Less",$P281,0)</f>
        <v>0</v>
      </c>
      <c r="U281" s="64" t="n">
        <f aca="false">IF($K281="Expected",$P281,0)</f>
        <v>0</v>
      </c>
      <c r="V281" s="64" t="n">
        <f aca="false">IF($K281="Better",$P281,0)</f>
        <v>0</v>
      </c>
      <c r="W281" s="64" t="n">
        <f aca="false">IF($K281="U – needs rule",$P281,0)</f>
        <v>0</v>
      </c>
      <c r="X281" s="64" t="n">
        <f aca="false">IF($K281="No Start (attainment only)",$P281,0)</f>
        <v>0</v>
      </c>
    </row>
    <row r="282" customFormat="false" ht="15" hidden="false" customHeight="false" outlineLevel="0" collapsed="false">
      <c r="A282" s="60"/>
      <c r="B282" s="61" t="str">
        <f aca="false">IF($M282=0,"",INDEX(Classes!$E$6:$E$420,$M282))</f>
        <v/>
      </c>
      <c r="C282" s="62" t="str">
        <f aca="false">IF($M282=0,"",INDEX(Classes!$H$6:$H$420,$M282))</f>
        <v/>
      </c>
      <c r="D282" s="61" t="str">
        <f aca="false">IF($M282=0,"",INDEX(Classes!$B$6:$B$420,$M282))</f>
        <v/>
      </c>
      <c r="E282" s="61" t="str">
        <f aca="false">IF($M282=0,"",INDEX(Classes!$C$6:$C$420,$M282))</f>
        <v/>
      </c>
      <c r="F282" s="63"/>
      <c r="G282" s="63"/>
      <c r="H282" s="60"/>
      <c r="I282" s="60"/>
      <c r="J282" s="63"/>
      <c r="K282" s="61" t="str">
        <f aca="false">IF($P282=0,"",IF($F282="Baseline","— Baseline",IF($O282=0,"No result",IF($N282=0,"No Start (attainment only)",IF(OR($N282=1,$O282=1),"U – needs rule",INDEX(MxBody,MATCH($I282,MxCurr,0),MATCH($H282,MxStart,0)))))))</f>
        <v/>
      </c>
      <c r="L282" s="62" t="str">
        <f aca="false">IF(COUNTA($A282,$F282,$G282,$H282,$I282,$J282)=0,"",IF($M282=0,"✖ كود الصف غير موجود",IF(ISNA(MATCH($F282,Lists!$A$2:$A$5,0)),"✖ الفترة غير صحيحة",IF(ISNA(MATCH($G282,Lists!$B$2:$B$7,0)),"✖ المجموعة غير صحيحة",IF(NOT(OR($H282="",$N282&gt;0)),"✖ Start غير صحيح",IF(NOT(OR($I282="",$I282="NR",$O282&gt;0)),"✖ Current غير صحيح",IF(NOT(IF(ISNUMBER($J282),AND($J282&gt;=0,$J282=INT($J282)),FALSE())),"✖ العدد يجب أن يكون صحيحًا ≥ 0",IF(AND($F282="Baseline",$H282&lt;&gt;""),"⚠ Baseline: Start لا يدخل في التقدم",IF($K282="No Start (attainment only)","ℹ تحصيل فقط (بدون Start)",IF($K282="U – needs rule","ℹ حالة U تحتاج قاعدة معتمدة",IF($K282="No result","ℹ بدون نتيجة (يُستبعد من التحصيل)","OK")))))))))))</f>
        <v/>
      </c>
      <c r="M282" s="64" t="n">
        <f aca="false">IF($A282="",0,IFERROR(MATCH($A282,Classes!$A$6:$A$420,0),0))</f>
        <v>0</v>
      </c>
      <c r="N282" s="64" t="n">
        <f aca="false">IF($H282="",0,IFERROR(MATCH($H282,GradeList,0),0))</f>
        <v>0</v>
      </c>
      <c r="O282" s="64" t="n">
        <f aca="false">IF(OR($I282="",$I282="NR"),0,IFERROR(MATCH($I282,GradeList,0),0))</f>
        <v>0</v>
      </c>
      <c r="P282" s="64" t="n">
        <f aca="false">IF(AND($M282&gt;0,ISNUMBER(MATCH($F282,Lists!$A$2:$A$5,0)),ISNUMBER(MATCH($G282,Lists!$B$2:$B$7,0)),OR($H282="",$N282&gt;0),OR($I282="",$I282="NR",$O282&gt;0),IF(ISNUMBER($J282),AND($J282&gt;=0,$J282=INT($J282)),FALSE())),$J282,0)</f>
        <v>0</v>
      </c>
      <c r="Q282" s="64" t="n">
        <f aca="false">IF(AND($P282&gt;0,$O282&gt;0),$P282,0)</f>
        <v>0</v>
      </c>
      <c r="R282" s="64" t="n">
        <f aca="false">IF(AND($Q282&gt;0,$O282&gt;=AtRank),$Q282,0)</f>
        <v>0</v>
      </c>
      <c r="S282" s="64" t="n">
        <f aca="false">IF(AND($Q282&gt;0,$O282&gt;=AboveRank),$Q282,0)</f>
        <v>0</v>
      </c>
      <c r="T282" s="64" t="n">
        <f aca="false">IF($K282="Less",$P282,0)</f>
        <v>0</v>
      </c>
      <c r="U282" s="64" t="n">
        <f aca="false">IF($K282="Expected",$P282,0)</f>
        <v>0</v>
      </c>
      <c r="V282" s="64" t="n">
        <f aca="false">IF($K282="Better",$P282,0)</f>
        <v>0</v>
      </c>
      <c r="W282" s="64" t="n">
        <f aca="false">IF($K282="U – needs rule",$P282,0)</f>
        <v>0</v>
      </c>
      <c r="X282" s="64" t="n">
        <f aca="false">IF($K282="No Start (attainment only)",$P282,0)</f>
        <v>0</v>
      </c>
    </row>
    <row r="283" customFormat="false" ht="15" hidden="false" customHeight="false" outlineLevel="0" collapsed="false">
      <c r="A283" s="60"/>
      <c r="B283" s="61" t="str">
        <f aca="false">IF($M283=0,"",INDEX(Classes!$E$6:$E$420,$M283))</f>
        <v/>
      </c>
      <c r="C283" s="62" t="str">
        <f aca="false">IF($M283=0,"",INDEX(Classes!$H$6:$H$420,$M283))</f>
        <v/>
      </c>
      <c r="D283" s="61" t="str">
        <f aca="false">IF($M283=0,"",INDEX(Classes!$B$6:$B$420,$M283))</f>
        <v/>
      </c>
      <c r="E283" s="61" t="str">
        <f aca="false">IF($M283=0,"",INDEX(Classes!$C$6:$C$420,$M283))</f>
        <v/>
      </c>
      <c r="F283" s="63"/>
      <c r="G283" s="63"/>
      <c r="H283" s="60"/>
      <c r="I283" s="60"/>
      <c r="J283" s="63"/>
      <c r="K283" s="61" t="str">
        <f aca="false">IF($P283=0,"",IF($F283="Baseline","— Baseline",IF($O283=0,"No result",IF($N283=0,"No Start (attainment only)",IF(OR($N283=1,$O283=1),"U – needs rule",INDEX(MxBody,MATCH($I283,MxCurr,0),MATCH($H283,MxStart,0)))))))</f>
        <v/>
      </c>
      <c r="L283" s="62" t="str">
        <f aca="false">IF(COUNTA($A283,$F283,$G283,$H283,$I283,$J283)=0,"",IF($M283=0,"✖ كود الصف غير موجود",IF(ISNA(MATCH($F283,Lists!$A$2:$A$5,0)),"✖ الفترة غير صحيحة",IF(ISNA(MATCH($G283,Lists!$B$2:$B$7,0)),"✖ المجموعة غير صحيحة",IF(NOT(OR($H283="",$N283&gt;0)),"✖ Start غير صحيح",IF(NOT(OR($I283="",$I283="NR",$O283&gt;0)),"✖ Current غير صحيح",IF(NOT(IF(ISNUMBER($J283),AND($J283&gt;=0,$J283=INT($J283)),FALSE())),"✖ العدد يجب أن يكون صحيحًا ≥ 0",IF(AND($F283="Baseline",$H283&lt;&gt;""),"⚠ Baseline: Start لا يدخل في التقدم",IF($K283="No Start (attainment only)","ℹ تحصيل فقط (بدون Start)",IF($K283="U – needs rule","ℹ حالة U تحتاج قاعدة معتمدة",IF($K283="No result","ℹ بدون نتيجة (يُستبعد من التحصيل)","OK")))))))))))</f>
        <v/>
      </c>
      <c r="M283" s="64" t="n">
        <f aca="false">IF($A283="",0,IFERROR(MATCH($A283,Classes!$A$6:$A$420,0),0))</f>
        <v>0</v>
      </c>
      <c r="N283" s="64" t="n">
        <f aca="false">IF($H283="",0,IFERROR(MATCH($H283,GradeList,0),0))</f>
        <v>0</v>
      </c>
      <c r="O283" s="64" t="n">
        <f aca="false">IF(OR($I283="",$I283="NR"),0,IFERROR(MATCH($I283,GradeList,0),0))</f>
        <v>0</v>
      </c>
      <c r="P283" s="64" t="n">
        <f aca="false">IF(AND($M283&gt;0,ISNUMBER(MATCH($F283,Lists!$A$2:$A$5,0)),ISNUMBER(MATCH($G283,Lists!$B$2:$B$7,0)),OR($H283="",$N283&gt;0),OR($I283="",$I283="NR",$O283&gt;0),IF(ISNUMBER($J283),AND($J283&gt;=0,$J283=INT($J283)),FALSE())),$J283,0)</f>
        <v>0</v>
      </c>
      <c r="Q283" s="64" t="n">
        <f aca="false">IF(AND($P283&gt;0,$O283&gt;0),$P283,0)</f>
        <v>0</v>
      </c>
      <c r="R283" s="64" t="n">
        <f aca="false">IF(AND($Q283&gt;0,$O283&gt;=AtRank),$Q283,0)</f>
        <v>0</v>
      </c>
      <c r="S283" s="64" t="n">
        <f aca="false">IF(AND($Q283&gt;0,$O283&gt;=AboveRank),$Q283,0)</f>
        <v>0</v>
      </c>
      <c r="T283" s="64" t="n">
        <f aca="false">IF($K283="Less",$P283,0)</f>
        <v>0</v>
      </c>
      <c r="U283" s="64" t="n">
        <f aca="false">IF($K283="Expected",$P283,0)</f>
        <v>0</v>
      </c>
      <c r="V283" s="64" t="n">
        <f aca="false">IF($K283="Better",$P283,0)</f>
        <v>0</v>
      </c>
      <c r="W283" s="64" t="n">
        <f aca="false">IF($K283="U – needs rule",$P283,0)</f>
        <v>0</v>
      </c>
      <c r="X283" s="64" t="n">
        <f aca="false">IF($K283="No Start (attainment only)",$P283,0)</f>
        <v>0</v>
      </c>
    </row>
    <row r="284" customFormat="false" ht="15" hidden="false" customHeight="false" outlineLevel="0" collapsed="false">
      <c r="A284" s="60"/>
      <c r="B284" s="61" t="str">
        <f aca="false">IF($M284=0,"",INDEX(Classes!$E$6:$E$420,$M284))</f>
        <v/>
      </c>
      <c r="C284" s="62" t="str">
        <f aca="false">IF($M284=0,"",INDEX(Classes!$H$6:$H$420,$M284))</f>
        <v/>
      </c>
      <c r="D284" s="61" t="str">
        <f aca="false">IF($M284=0,"",INDEX(Classes!$B$6:$B$420,$M284))</f>
        <v/>
      </c>
      <c r="E284" s="61" t="str">
        <f aca="false">IF($M284=0,"",INDEX(Classes!$C$6:$C$420,$M284))</f>
        <v/>
      </c>
      <c r="F284" s="63"/>
      <c r="G284" s="63"/>
      <c r="H284" s="60"/>
      <c r="I284" s="60"/>
      <c r="J284" s="63"/>
      <c r="K284" s="61" t="str">
        <f aca="false">IF($P284=0,"",IF($F284="Baseline","— Baseline",IF($O284=0,"No result",IF($N284=0,"No Start (attainment only)",IF(OR($N284=1,$O284=1),"U – needs rule",INDEX(MxBody,MATCH($I284,MxCurr,0),MATCH($H284,MxStart,0)))))))</f>
        <v/>
      </c>
      <c r="L284" s="62" t="str">
        <f aca="false">IF(COUNTA($A284,$F284,$G284,$H284,$I284,$J284)=0,"",IF($M284=0,"✖ كود الصف غير موجود",IF(ISNA(MATCH($F284,Lists!$A$2:$A$5,0)),"✖ الفترة غير صحيحة",IF(ISNA(MATCH($G284,Lists!$B$2:$B$7,0)),"✖ المجموعة غير صحيحة",IF(NOT(OR($H284="",$N284&gt;0)),"✖ Start غير صحيح",IF(NOT(OR($I284="",$I284="NR",$O284&gt;0)),"✖ Current غير صحيح",IF(NOT(IF(ISNUMBER($J284),AND($J284&gt;=0,$J284=INT($J284)),FALSE())),"✖ العدد يجب أن يكون صحيحًا ≥ 0",IF(AND($F284="Baseline",$H284&lt;&gt;""),"⚠ Baseline: Start لا يدخل في التقدم",IF($K284="No Start (attainment only)","ℹ تحصيل فقط (بدون Start)",IF($K284="U – needs rule","ℹ حالة U تحتاج قاعدة معتمدة",IF($K284="No result","ℹ بدون نتيجة (يُستبعد من التحصيل)","OK")))))))))))</f>
        <v/>
      </c>
      <c r="M284" s="64" t="n">
        <f aca="false">IF($A284="",0,IFERROR(MATCH($A284,Classes!$A$6:$A$420,0),0))</f>
        <v>0</v>
      </c>
      <c r="N284" s="64" t="n">
        <f aca="false">IF($H284="",0,IFERROR(MATCH($H284,GradeList,0),0))</f>
        <v>0</v>
      </c>
      <c r="O284" s="64" t="n">
        <f aca="false">IF(OR($I284="",$I284="NR"),0,IFERROR(MATCH($I284,GradeList,0),0))</f>
        <v>0</v>
      </c>
      <c r="P284" s="64" t="n">
        <f aca="false">IF(AND($M284&gt;0,ISNUMBER(MATCH($F284,Lists!$A$2:$A$5,0)),ISNUMBER(MATCH($G284,Lists!$B$2:$B$7,0)),OR($H284="",$N284&gt;0),OR($I284="",$I284="NR",$O284&gt;0),IF(ISNUMBER($J284),AND($J284&gt;=0,$J284=INT($J284)),FALSE())),$J284,0)</f>
        <v>0</v>
      </c>
      <c r="Q284" s="64" t="n">
        <f aca="false">IF(AND($P284&gt;0,$O284&gt;0),$P284,0)</f>
        <v>0</v>
      </c>
      <c r="R284" s="64" t="n">
        <f aca="false">IF(AND($Q284&gt;0,$O284&gt;=AtRank),$Q284,0)</f>
        <v>0</v>
      </c>
      <c r="S284" s="64" t="n">
        <f aca="false">IF(AND($Q284&gt;0,$O284&gt;=AboveRank),$Q284,0)</f>
        <v>0</v>
      </c>
      <c r="T284" s="64" t="n">
        <f aca="false">IF($K284="Less",$P284,0)</f>
        <v>0</v>
      </c>
      <c r="U284" s="64" t="n">
        <f aca="false">IF($K284="Expected",$P284,0)</f>
        <v>0</v>
      </c>
      <c r="V284" s="64" t="n">
        <f aca="false">IF($K284="Better",$P284,0)</f>
        <v>0</v>
      </c>
      <c r="W284" s="64" t="n">
        <f aca="false">IF($K284="U – needs rule",$P284,0)</f>
        <v>0</v>
      </c>
      <c r="X284" s="64" t="n">
        <f aca="false">IF($K284="No Start (attainment only)",$P284,0)</f>
        <v>0</v>
      </c>
    </row>
    <row r="285" customFormat="false" ht="15" hidden="false" customHeight="false" outlineLevel="0" collapsed="false">
      <c r="A285" s="60"/>
      <c r="B285" s="61" t="str">
        <f aca="false">IF($M285=0,"",INDEX(Classes!$E$6:$E$420,$M285))</f>
        <v/>
      </c>
      <c r="C285" s="62" t="str">
        <f aca="false">IF($M285=0,"",INDEX(Classes!$H$6:$H$420,$M285))</f>
        <v/>
      </c>
      <c r="D285" s="61" t="str">
        <f aca="false">IF($M285=0,"",INDEX(Classes!$B$6:$B$420,$M285))</f>
        <v/>
      </c>
      <c r="E285" s="61" t="str">
        <f aca="false">IF($M285=0,"",INDEX(Classes!$C$6:$C$420,$M285))</f>
        <v/>
      </c>
      <c r="F285" s="63"/>
      <c r="G285" s="63"/>
      <c r="H285" s="60"/>
      <c r="I285" s="60"/>
      <c r="J285" s="63"/>
      <c r="K285" s="61" t="str">
        <f aca="false">IF($P285=0,"",IF($F285="Baseline","— Baseline",IF($O285=0,"No result",IF($N285=0,"No Start (attainment only)",IF(OR($N285=1,$O285=1),"U – needs rule",INDEX(MxBody,MATCH($I285,MxCurr,0),MATCH($H285,MxStart,0)))))))</f>
        <v/>
      </c>
      <c r="L285" s="62" t="str">
        <f aca="false">IF(COUNTA($A285,$F285,$G285,$H285,$I285,$J285)=0,"",IF($M285=0,"✖ كود الصف غير موجود",IF(ISNA(MATCH($F285,Lists!$A$2:$A$5,0)),"✖ الفترة غير صحيحة",IF(ISNA(MATCH($G285,Lists!$B$2:$B$7,0)),"✖ المجموعة غير صحيحة",IF(NOT(OR($H285="",$N285&gt;0)),"✖ Start غير صحيح",IF(NOT(OR($I285="",$I285="NR",$O285&gt;0)),"✖ Current غير صحيح",IF(NOT(IF(ISNUMBER($J285),AND($J285&gt;=0,$J285=INT($J285)),FALSE())),"✖ العدد يجب أن يكون صحيحًا ≥ 0",IF(AND($F285="Baseline",$H285&lt;&gt;""),"⚠ Baseline: Start لا يدخل في التقدم",IF($K285="No Start (attainment only)","ℹ تحصيل فقط (بدون Start)",IF($K285="U – needs rule","ℹ حالة U تحتاج قاعدة معتمدة",IF($K285="No result","ℹ بدون نتيجة (يُستبعد من التحصيل)","OK")))))))))))</f>
        <v/>
      </c>
      <c r="M285" s="64" t="n">
        <f aca="false">IF($A285="",0,IFERROR(MATCH($A285,Classes!$A$6:$A$420,0),0))</f>
        <v>0</v>
      </c>
      <c r="N285" s="64" t="n">
        <f aca="false">IF($H285="",0,IFERROR(MATCH($H285,GradeList,0),0))</f>
        <v>0</v>
      </c>
      <c r="O285" s="64" t="n">
        <f aca="false">IF(OR($I285="",$I285="NR"),0,IFERROR(MATCH($I285,GradeList,0),0))</f>
        <v>0</v>
      </c>
      <c r="P285" s="64" t="n">
        <f aca="false">IF(AND($M285&gt;0,ISNUMBER(MATCH($F285,Lists!$A$2:$A$5,0)),ISNUMBER(MATCH($G285,Lists!$B$2:$B$7,0)),OR($H285="",$N285&gt;0),OR($I285="",$I285="NR",$O285&gt;0),IF(ISNUMBER($J285),AND($J285&gt;=0,$J285=INT($J285)),FALSE())),$J285,0)</f>
        <v>0</v>
      </c>
      <c r="Q285" s="64" t="n">
        <f aca="false">IF(AND($P285&gt;0,$O285&gt;0),$P285,0)</f>
        <v>0</v>
      </c>
      <c r="R285" s="64" t="n">
        <f aca="false">IF(AND($Q285&gt;0,$O285&gt;=AtRank),$Q285,0)</f>
        <v>0</v>
      </c>
      <c r="S285" s="64" t="n">
        <f aca="false">IF(AND($Q285&gt;0,$O285&gt;=AboveRank),$Q285,0)</f>
        <v>0</v>
      </c>
      <c r="T285" s="64" t="n">
        <f aca="false">IF($K285="Less",$P285,0)</f>
        <v>0</v>
      </c>
      <c r="U285" s="64" t="n">
        <f aca="false">IF($K285="Expected",$P285,0)</f>
        <v>0</v>
      </c>
      <c r="V285" s="64" t="n">
        <f aca="false">IF($K285="Better",$P285,0)</f>
        <v>0</v>
      </c>
      <c r="W285" s="64" t="n">
        <f aca="false">IF($K285="U – needs rule",$P285,0)</f>
        <v>0</v>
      </c>
      <c r="X285" s="64" t="n">
        <f aca="false">IF($K285="No Start (attainment only)",$P285,0)</f>
        <v>0</v>
      </c>
    </row>
    <row r="286" customFormat="false" ht="15" hidden="false" customHeight="false" outlineLevel="0" collapsed="false">
      <c r="A286" s="60"/>
      <c r="B286" s="61" t="str">
        <f aca="false">IF($M286=0,"",INDEX(Classes!$E$6:$E$420,$M286))</f>
        <v/>
      </c>
      <c r="C286" s="62" t="str">
        <f aca="false">IF($M286=0,"",INDEX(Classes!$H$6:$H$420,$M286))</f>
        <v/>
      </c>
      <c r="D286" s="61" t="str">
        <f aca="false">IF($M286=0,"",INDEX(Classes!$B$6:$B$420,$M286))</f>
        <v/>
      </c>
      <c r="E286" s="61" t="str">
        <f aca="false">IF($M286=0,"",INDEX(Classes!$C$6:$C$420,$M286))</f>
        <v/>
      </c>
      <c r="F286" s="63"/>
      <c r="G286" s="63"/>
      <c r="H286" s="60"/>
      <c r="I286" s="60"/>
      <c r="J286" s="63"/>
      <c r="K286" s="61" t="str">
        <f aca="false">IF($P286=0,"",IF($F286="Baseline","— Baseline",IF($O286=0,"No result",IF($N286=0,"No Start (attainment only)",IF(OR($N286=1,$O286=1),"U – needs rule",INDEX(MxBody,MATCH($I286,MxCurr,0),MATCH($H286,MxStart,0)))))))</f>
        <v/>
      </c>
      <c r="L286" s="62" t="str">
        <f aca="false">IF(COUNTA($A286,$F286,$G286,$H286,$I286,$J286)=0,"",IF($M286=0,"✖ كود الصف غير موجود",IF(ISNA(MATCH($F286,Lists!$A$2:$A$5,0)),"✖ الفترة غير صحيحة",IF(ISNA(MATCH($G286,Lists!$B$2:$B$7,0)),"✖ المجموعة غير صحيحة",IF(NOT(OR($H286="",$N286&gt;0)),"✖ Start غير صحيح",IF(NOT(OR($I286="",$I286="NR",$O286&gt;0)),"✖ Current غير صحيح",IF(NOT(IF(ISNUMBER($J286),AND($J286&gt;=0,$J286=INT($J286)),FALSE())),"✖ العدد يجب أن يكون صحيحًا ≥ 0",IF(AND($F286="Baseline",$H286&lt;&gt;""),"⚠ Baseline: Start لا يدخل في التقدم",IF($K286="No Start (attainment only)","ℹ تحصيل فقط (بدون Start)",IF($K286="U – needs rule","ℹ حالة U تحتاج قاعدة معتمدة",IF($K286="No result","ℹ بدون نتيجة (يُستبعد من التحصيل)","OK")))))))))))</f>
        <v/>
      </c>
      <c r="M286" s="64" t="n">
        <f aca="false">IF($A286="",0,IFERROR(MATCH($A286,Classes!$A$6:$A$420,0),0))</f>
        <v>0</v>
      </c>
      <c r="N286" s="64" t="n">
        <f aca="false">IF($H286="",0,IFERROR(MATCH($H286,GradeList,0),0))</f>
        <v>0</v>
      </c>
      <c r="O286" s="64" t="n">
        <f aca="false">IF(OR($I286="",$I286="NR"),0,IFERROR(MATCH($I286,GradeList,0),0))</f>
        <v>0</v>
      </c>
      <c r="P286" s="64" t="n">
        <f aca="false">IF(AND($M286&gt;0,ISNUMBER(MATCH($F286,Lists!$A$2:$A$5,0)),ISNUMBER(MATCH($G286,Lists!$B$2:$B$7,0)),OR($H286="",$N286&gt;0),OR($I286="",$I286="NR",$O286&gt;0),IF(ISNUMBER($J286),AND($J286&gt;=0,$J286=INT($J286)),FALSE())),$J286,0)</f>
        <v>0</v>
      </c>
      <c r="Q286" s="64" t="n">
        <f aca="false">IF(AND($P286&gt;0,$O286&gt;0),$P286,0)</f>
        <v>0</v>
      </c>
      <c r="R286" s="64" t="n">
        <f aca="false">IF(AND($Q286&gt;0,$O286&gt;=AtRank),$Q286,0)</f>
        <v>0</v>
      </c>
      <c r="S286" s="64" t="n">
        <f aca="false">IF(AND($Q286&gt;0,$O286&gt;=AboveRank),$Q286,0)</f>
        <v>0</v>
      </c>
      <c r="T286" s="64" t="n">
        <f aca="false">IF($K286="Less",$P286,0)</f>
        <v>0</v>
      </c>
      <c r="U286" s="64" t="n">
        <f aca="false">IF($K286="Expected",$P286,0)</f>
        <v>0</v>
      </c>
      <c r="V286" s="64" t="n">
        <f aca="false">IF($K286="Better",$P286,0)</f>
        <v>0</v>
      </c>
      <c r="W286" s="64" t="n">
        <f aca="false">IF($K286="U – needs rule",$P286,0)</f>
        <v>0</v>
      </c>
      <c r="X286" s="64" t="n">
        <f aca="false">IF($K286="No Start (attainment only)",$P286,0)</f>
        <v>0</v>
      </c>
    </row>
    <row r="287" customFormat="false" ht="15" hidden="false" customHeight="false" outlineLevel="0" collapsed="false">
      <c r="A287" s="60"/>
      <c r="B287" s="61" t="str">
        <f aca="false">IF($M287=0,"",INDEX(Classes!$E$6:$E$420,$M287))</f>
        <v/>
      </c>
      <c r="C287" s="62" t="str">
        <f aca="false">IF($M287=0,"",INDEX(Classes!$H$6:$H$420,$M287))</f>
        <v/>
      </c>
      <c r="D287" s="61" t="str">
        <f aca="false">IF($M287=0,"",INDEX(Classes!$B$6:$B$420,$M287))</f>
        <v/>
      </c>
      <c r="E287" s="61" t="str">
        <f aca="false">IF($M287=0,"",INDEX(Classes!$C$6:$C$420,$M287))</f>
        <v/>
      </c>
      <c r="F287" s="63"/>
      <c r="G287" s="63"/>
      <c r="H287" s="60"/>
      <c r="I287" s="60"/>
      <c r="J287" s="63"/>
      <c r="K287" s="61" t="str">
        <f aca="false">IF($P287=0,"",IF($F287="Baseline","— Baseline",IF($O287=0,"No result",IF($N287=0,"No Start (attainment only)",IF(OR($N287=1,$O287=1),"U – needs rule",INDEX(MxBody,MATCH($I287,MxCurr,0),MATCH($H287,MxStart,0)))))))</f>
        <v/>
      </c>
      <c r="L287" s="62" t="str">
        <f aca="false">IF(COUNTA($A287,$F287,$G287,$H287,$I287,$J287)=0,"",IF($M287=0,"✖ كود الصف غير موجود",IF(ISNA(MATCH($F287,Lists!$A$2:$A$5,0)),"✖ الفترة غير صحيحة",IF(ISNA(MATCH($G287,Lists!$B$2:$B$7,0)),"✖ المجموعة غير صحيحة",IF(NOT(OR($H287="",$N287&gt;0)),"✖ Start غير صحيح",IF(NOT(OR($I287="",$I287="NR",$O287&gt;0)),"✖ Current غير صحيح",IF(NOT(IF(ISNUMBER($J287),AND($J287&gt;=0,$J287=INT($J287)),FALSE())),"✖ العدد يجب أن يكون صحيحًا ≥ 0",IF(AND($F287="Baseline",$H287&lt;&gt;""),"⚠ Baseline: Start لا يدخل في التقدم",IF($K287="No Start (attainment only)","ℹ تحصيل فقط (بدون Start)",IF($K287="U – needs rule","ℹ حالة U تحتاج قاعدة معتمدة",IF($K287="No result","ℹ بدون نتيجة (يُستبعد من التحصيل)","OK")))))))))))</f>
        <v/>
      </c>
      <c r="M287" s="64" t="n">
        <f aca="false">IF($A287="",0,IFERROR(MATCH($A287,Classes!$A$6:$A$420,0),0))</f>
        <v>0</v>
      </c>
      <c r="N287" s="64" t="n">
        <f aca="false">IF($H287="",0,IFERROR(MATCH($H287,GradeList,0),0))</f>
        <v>0</v>
      </c>
      <c r="O287" s="64" t="n">
        <f aca="false">IF(OR($I287="",$I287="NR"),0,IFERROR(MATCH($I287,GradeList,0),0))</f>
        <v>0</v>
      </c>
      <c r="P287" s="64" t="n">
        <f aca="false">IF(AND($M287&gt;0,ISNUMBER(MATCH($F287,Lists!$A$2:$A$5,0)),ISNUMBER(MATCH($G287,Lists!$B$2:$B$7,0)),OR($H287="",$N287&gt;0),OR($I287="",$I287="NR",$O287&gt;0),IF(ISNUMBER($J287),AND($J287&gt;=0,$J287=INT($J287)),FALSE())),$J287,0)</f>
        <v>0</v>
      </c>
      <c r="Q287" s="64" t="n">
        <f aca="false">IF(AND($P287&gt;0,$O287&gt;0),$P287,0)</f>
        <v>0</v>
      </c>
      <c r="R287" s="64" t="n">
        <f aca="false">IF(AND($Q287&gt;0,$O287&gt;=AtRank),$Q287,0)</f>
        <v>0</v>
      </c>
      <c r="S287" s="64" t="n">
        <f aca="false">IF(AND($Q287&gt;0,$O287&gt;=AboveRank),$Q287,0)</f>
        <v>0</v>
      </c>
      <c r="T287" s="64" t="n">
        <f aca="false">IF($K287="Less",$P287,0)</f>
        <v>0</v>
      </c>
      <c r="U287" s="64" t="n">
        <f aca="false">IF($K287="Expected",$P287,0)</f>
        <v>0</v>
      </c>
      <c r="V287" s="64" t="n">
        <f aca="false">IF($K287="Better",$P287,0)</f>
        <v>0</v>
      </c>
      <c r="W287" s="64" t="n">
        <f aca="false">IF($K287="U – needs rule",$P287,0)</f>
        <v>0</v>
      </c>
      <c r="X287" s="64" t="n">
        <f aca="false">IF($K287="No Start (attainment only)",$P287,0)</f>
        <v>0</v>
      </c>
    </row>
    <row r="288" customFormat="false" ht="15" hidden="false" customHeight="false" outlineLevel="0" collapsed="false">
      <c r="A288" s="60"/>
      <c r="B288" s="61" t="str">
        <f aca="false">IF($M288=0,"",INDEX(Classes!$E$6:$E$420,$M288))</f>
        <v/>
      </c>
      <c r="C288" s="62" t="str">
        <f aca="false">IF($M288=0,"",INDEX(Classes!$H$6:$H$420,$M288))</f>
        <v/>
      </c>
      <c r="D288" s="61" t="str">
        <f aca="false">IF($M288=0,"",INDEX(Classes!$B$6:$B$420,$M288))</f>
        <v/>
      </c>
      <c r="E288" s="61" t="str">
        <f aca="false">IF($M288=0,"",INDEX(Classes!$C$6:$C$420,$M288))</f>
        <v/>
      </c>
      <c r="F288" s="63"/>
      <c r="G288" s="63"/>
      <c r="H288" s="60"/>
      <c r="I288" s="60"/>
      <c r="J288" s="63"/>
      <c r="K288" s="61" t="str">
        <f aca="false">IF($P288=0,"",IF($F288="Baseline","— Baseline",IF($O288=0,"No result",IF($N288=0,"No Start (attainment only)",IF(OR($N288=1,$O288=1),"U – needs rule",INDEX(MxBody,MATCH($I288,MxCurr,0),MATCH($H288,MxStart,0)))))))</f>
        <v/>
      </c>
      <c r="L288" s="62" t="str">
        <f aca="false">IF(COUNTA($A288,$F288,$G288,$H288,$I288,$J288)=0,"",IF($M288=0,"✖ كود الصف غير موجود",IF(ISNA(MATCH($F288,Lists!$A$2:$A$5,0)),"✖ الفترة غير صحيحة",IF(ISNA(MATCH($G288,Lists!$B$2:$B$7,0)),"✖ المجموعة غير صحيحة",IF(NOT(OR($H288="",$N288&gt;0)),"✖ Start غير صحيح",IF(NOT(OR($I288="",$I288="NR",$O288&gt;0)),"✖ Current غير صحيح",IF(NOT(IF(ISNUMBER($J288),AND($J288&gt;=0,$J288=INT($J288)),FALSE())),"✖ العدد يجب أن يكون صحيحًا ≥ 0",IF(AND($F288="Baseline",$H288&lt;&gt;""),"⚠ Baseline: Start لا يدخل في التقدم",IF($K288="No Start (attainment only)","ℹ تحصيل فقط (بدون Start)",IF($K288="U – needs rule","ℹ حالة U تحتاج قاعدة معتمدة",IF($K288="No result","ℹ بدون نتيجة (يُستبعد من التحصيل)","OK")))))))))))</f>
        <v/>
      </c>
      <c r="M288" s="64" t="n">
        <f aca="false">IF($A288="",0,IFERROR(MATCH($A288,Classes!$A$6:$A$420,0),0))</f>
        <v>0</v>
      </c>
      <c r="N288" s="64" t="n">
        <f aca="false">IF($H288="",0,IFERROR(MATCH($H288,GradeList,0),0))</f>
        <v>0</v>
      </c>
      <c r="O288" s="64" t="n">
        <f aca="false">IF(OR($I288="",$I288="NR"),0,IFERROR(MATCH($I288,GradeList,0),0))</f>
        <v>0</v>
      </c>
      <c r="P288" s="64" t="n">
        <f aca="false">IF(AND($M288&gt;0,ISNUMBER(MATCH($F288,Lists!$A$2:$A$5,0)),ISNUMBER(MATCH($G288,Lists!$B$2:$B$7,0)),OR($H288="",$N288&gt;0),OR($I288="",$I288="NR",$O288&gt;0),IF(ISNUMBER($J288),AND($J288&gt;=0,$J288=INT($J288)),FALSE())),$J288,0)</f>
        <v>0</v>
      </c>
      <c r="Q288" s="64" t="n">
        <f aca="false">IF(AND($P288&gt;0,$O288&gt;0),$P288,0)</f>
        <v>0</v>
      </c>
      <c r="R288" s="64" t="n">
        <f aca="false">IF(AND($Q288&gt;0,$O288&gt;=AtRank),$Q288,0)</f>
        <v>0</v>
      </c>
      <c r="S288" s="64" t="n">
        <f aca="false">IF(AND($Q288&gt;0,$O288&gt;=AboveRank),$Q288,0)</f>
        <v>0</v>
      </c>
      <c r="T288" s="64" t="n">
        <f aca="false">IF($K288="Less",$P288,0)</f>
        <v>0</v>
      </c>
      <c r="U288" s="64" t="n">
        <f aca="false">IF($K288="Expected",$P288,0)</f>
        <v>0</v>
      </c>
      <c r="V288" s="64" t="n">
        <f aca="false">IF($K288="Better",$P288,0)</f>
        <v>0</v>
      </c>
      <c r="W288" s="64" t="n">
        <f aca="false">IF($K288="U – needs rule",$P288,0)</f>
        <v>0</v>
      </c>
      <c r="X288" s="64" t="n">
        <f aca="false">IF($K288="No Start (attainment only)",$P288,0)</f>
        <v>0</v>
      </c>
    </row>
    <row r="289" customFormat="false" ht="15" hidden="false" customHeight="false" outlineLevel="0" collapsed="false">
      <c r="A289" s="60"/>
      <c r="B289" s="61" t="str">
        <f aca="false">IF($M289=0,"",INDEX(Classes!$E$6:$E$420,$M289))</f>
        <v/>
      </c>
      <c r="C289" s="62" t="str">
        <f aca="false">IF($M289=0,"",INDEX(Classes!$H$6:$H$420,$M289))</f>
        <v/>
      </c>
      <c r="D289" s="61" t="str">
        <f aca="false">IF($M289=0,"",INDEX(Classes!$B$6:$B$420,$M289))</f>
        <v/>
      </c>
      <c r="E289" s="61" t="str">
        <f aca="false">IF($M289=0,"",INDEX(Classes!$C$6:$C$420,$M289))</f>
        <v/>
      </c>
      <c r="F289" s="63"/>
      <c r="G289" s="63"/>
      <c r="H289" s="60"/>
      <c r="I289" s="60"/>
      <c r="J289" s="63"/>
      <c r="K289" s="61" t="str">
        <f aca="false">IF($P289=0,"",IF($F289="Baseline","— Baseline",IF($O289=0,"No result",IF($N289=0,"No Start (attainment only)",IF(OR($N289=1,$O289=1),"U – needs rule",INDEX(MxBody,MATCH($I289,MxCurr,0),MATCH($H289,MxStart,0)))))))</f>
        <v/>
      </c>
      <c r="L289" s="62" t="str">
        <f aca="false">IF(COUNTA($A289,$F289,$G289,$H289,$I289,$J289)=0,"",IF($M289=0,"✖ كود الصف غير موجود",IF(ISNA(MATCH($F289,Lists!$A$2:$A$5,0)),"✖ الفترة غير صحيحة",IF(ISNA(MATCH($G289,Lists!$B$2:$B$7,0)),"✖ المجموعة غير صحيحة",IF(NOT(OR($H289="",$N289&gt;0)),"✖ Start غير صحيح",IF(NOT(OR($I289="",$I289="NR",$O289&gt;0)),"✖ Current غير صحيح",IF(NOT(IF(ISNUMBER($J289),AND($J289&gt;=0,$J289=INT($J289)),FALSE())),"✖ العدد يجب أن يكون صحيحًا ≥ 0",IF(AND($F289="Baseline",$H289&lt;&gt;""),"⚠ Baseline: Start لا يدخل في التقدم",IF($K289="No Start (attainment only)","ℹ تحصيل فقط (بدون Start)",IF($K289="U – needs rule","ℹ حالة U تحتاج قاعدة معتمدة",IF($K289="No result","ℹ بدون نتيجة (يُستبعد من التحصيل)","OK")))))))))))</f>
        <v/>
      </c>
      <c r="M289" s="64" t="n">
        <f aca="false">IF($A289="",0,IFERROR(MATCH($A289,Classes!$A$6:$A$420,0),0))</f>
        <v>0</v>
      </c>
      <c r="N289" s="64" t="n">
        <f aca="false">IF($H289="",0,IFERROR(MATCH($H289,GradeList,0),0))</f>
        <v>0</v>
      </c>
      <c r="O289" s="64" t="n">
        <f aca="false">IF(OR($I289="",$I289="NR"),0,IFERROR(MATCH($I289,GradeList,0),0))</f>
        <v>0</v>
      </c>
      <c r="P289" s="64" t="n">
        <f aca="false">IF(AND($M289&gt;0,ISNUMBER(MATCH($F289,Lists!$A$2:$A$5,0)),ISNUMBER(MATCH($G289,Lists!$B$2:$B$7,0)),OR($H289="",$N289&gt;0),OR($I289="",$I289="NR",$O289&gt;0),IF(ISNUMBER($J289),AND($J289&gt;=0,$J289=INT($J289)),FALSE())),$J289,0)</f>
        <v>0</v>
      </c>
      <c r="Q289" s="64" t="n">
        <f aca="false">IF(AND($P289&gt;0,$O289&gt;0),$P289,0)</f>
        <v>0</v>
      </c>
      <c r="R289" s="64" t="n">
        <f aca="false">IF(AND($Q289&gt;0,$O289&gt;=AtRank),$Q289,0)</f>
        <v>0</v>
      </c>
      <c r="S289" s="64" t="n">
        <f aca="false">IF(AND($Q289&gt;0,$O289&gt;=AboveRank),$Q289,0)</f>
        <v>0</v>
      </c>
      <c r="T289" s="64" t="n">
        <f aca="false">IF($K289="Less",$P289,0)</f>
        <v>0</v>
      </c>
      <c r="U289" s="64" t="n">
        <f aca="false">IF($K289="Expected",$P289,0)</f>
        <v>0</v>
      </c>
      <c r="V289" s="64" t="n">
        <f aca="false">IF($K289="Better",$P289,0)</f>
        <v>0</v>
      </c>
      <c r="W289" s="64" t="n">
        <f aca="false">IF($K289="U – needs rule",$P289,0)</f>
        <v>0</v>
      </c>
      <c r="X289" s="64" t="n">
        <f aca="false">IF($K289="No Start (attainment only)",$P289,0)</f>
        <v>0</v>
      </c>
    </row>
    <row r="290" customFormat="false" ht="15" hidden="false" customHeight="false" outlineLevel="0" collapsed="false">
      <c r="A290" s="60"/>
      <c r="B290" s="61" t="str">
        <f aca="false">IF($M290=0,"",INDEX(Classes!$E$6:$E$420,$M290))</f>
        <v/>
      </c>
      <c r="C290" s="62" t="str">
        <f aca="false">IF($M290=0,"",INDEX(Classes!$H$6:$H$420,$M290))</f>
        <v/>
      </c>
      <c r="D290" s="61" t="str">
        <f aca="false">IF($M290=0,"",INDEX(Classes!$B$6:$B$420,$M290))</f>
        <v/>
      </c>
      <c r="E290" s="61" t="str">
        <f aca="false">IF($M290=0,"",INDEX(Classes!$C$6:$C$420,$M290))</f>
        <v/>
      </c>
      <c r="F290" s="63"/>
      <c r="G290" s="63"/>
      <c r="H290" s="60"/>
      <c r="I290" s="60"/>
      <c r="J290" s="63"/>
      <c r="K290" s="61" t="str">
        <f aca="false">IF($P290=0,"",IF($F290="Baseline","— Baseline",IF($O290=0,"No result",IF($N290=0,"No Start (attainment only)",IF(OR($N290=1,$O290=1),"U – needs rule",INDEX(MxBody,MATCH($I290,MxCurr,0),MATCH($H290,MxStart,0)))))))</f>
        <v/>
      </c>
      <c r="L290" s="62" t="str">
        <f aca="false">IF(COUNTA($A290,$F290,$G290,$H290,$I290,$J290)=0,"",IF($M290=0,"✖ كود الصف غير موجود",IF(ISNA(MATCH($F290,Lists!$A$2:$A$5,0)),"✖ الفترة غير صحيحة",IF(ISNA(MATCH($G290,Lists!$B$2:$B$7,0)),"✖ المجموعة غير صحيحة",IF(NOT(OR($H290="",$N290&gt;0)),"✖ Start غير صحيح",IF(NOT(OR($I290="",$I290="NR",$O290&gt;0)),"✖ Current غير صحيح",IF(NOT(IF(ISNUMBER($J290),AND($J290&gt;=0,$J290=INT($J290)),FALSE())),"✖ العدد يجب أن يكون صحيحًا ≥ 0",IF(AND($F290="Baseline",$H290&lt;&gt;""),"⚠ Baseline: Start لا يدخل في التقدم",IF($K290="No Start (attainment only)","ℹ تحصيل فقط (بدون Start)",IF($K290="U – needs rule","ℹ حالة U تحتاج قاعدة معتمدة",IF($K290="No result","ℹ بدون نتيجة (يُستبعد من التحصيل)","OK")))))))))))</f>
        <v/>
      </c>
      <c r="M290" s="64" t="n">
        <f aca="false">IF($A290="",0,IFERROR(MATCH($A290,Classes!$A$6:$A$420,0),0))</f>
        <v>0</v>
      </c>
      <c r="N290" s="64" t="n">
        <f aca="false">IF($H290="",0,IFERROR(MATCH($H290,GradeList,0),0))</f>
        <v>0</v>
      </c>
      <c r="O290" s="64" t="n">
        <f aca="false">IF(OR($I290="",$I290="NR"),0,IFERROR(MATCH($I290,GradeList,0),0))</f>
        <v>0</v>
      </c>
      <c r="P290" s="64" t="n">
        <f aca="false">IF(AND($M290&gt;0,ISNUMBER(MATCH($F290,Lists!$A$2:$A$5,0)),ISNUMBER(MATCH($G290,Lists!$B$2:$B$7,0)),OR($H290="",$N290&gt;0),OR($I290="",$I290="NR",$O290&gt;0),IF(ISNUMBER($J290),AND($J290&gt;=0,$J290=INT($J290)),FALSE())),$J290,0)</f>
        <v>0</v>
      </c>
      <c r="Q290" s="64" t="n">
        <f aca="false">IF(AND($P290&gt;0,$O290&gt;0),$P290,0)</f>
        <v>0</v>
      </c>
      <c r="R290" s="64" t="n">
        <f aca="false">IF(AND($Q290&gt;0,$O290&gt;=AtRank),$Q290,0)</f>
        <v>0</v>
      </c>
      <c r="S290" s="64" t="n">
        <f aca="false">IF(AND($Q290&gt;0,$O290&gt;=AboveRank),$Q290,0)</f>
        <v>0</v>
      </c>
      <c r="T290" s="64" t="n">
        <f aca="false">IF($K290="Less",$P290,0)</f>
        <v>0</v>
      </c>
      <c r="U290" s="64" t="n">
        <f aca="false">IF($K290="Expected",$P290,0)</f>
        <v>0</v>
      </c>
      <c r="V290" s="64" t="n">
        <f aca="false">IF($K290="Better",$P290,0)</f>
        <v>0</v>
      </c>
      <c r="W290" s="64" t="n">
        <f aca="false">IF($K290="U – needs rule",$P290,0)</f>
        <v>0</v>
      </c>
      <c r="X290" s="64" t="n">
        <f aca="false">IF($K290="No Start (attainment only)",$P290,0)</f>
        <v>0</v>
      </c>
    </row>
    <row r="291" customFormat="false" ht="15" hidden="false" customHeight="false" outlineLevel="0" collapsed="false">
      <c r="A291" s="60"/>
      <c r="B291" s="61" t="str">
        <f aca="false">IF($M291=0,"",INDEX(Classes!$E$6:$E$420,$M291))</f>
        <v/>
      </c>
      <c r="C291" s="62" t="str">
        <f aca="false">IF($M291=0,"",INDEX(Classes!$H$6:$H$420,$M291))</f>
        <v/>
      </c>
      <c r="D291" s="61" t="str">
        <f aca="false">IF($M291=0,"",INDEX(Classes!$B$6:$B$420,$M291))</f>
        <v/>
      </c>
      <c r="E291" s="61" t="str">
        <f aca="false">IF($M291=0,"",INDEX(Classes!$C$6:$C$420,$M291))</f>
        <v/>
      </c>
      <c r="F291" s="63"/>
      <c r="G291" s="63"/>
      <c r="H291" s="60"/>
      <c r="I291" s="60"/>
      <c r="J291" s="63"/>
      <c r="K291" s="61" t="str">
        <f aca="false">IF($P291=0,"",IF($F291="Baseline","— Baseline",IF($O291=0,"No result",IF($N291=0,"No Start (attainment only)",IF(OR($N291=1,$O291=1),"U – needs rule",INDEX(MxBody,MATCH($I291,MxCurr,0),MATCH($H291,MxStart,0)))))))</f>
        <v/>
      </c>
      <c r="L291" s="62" t="str">
        <f aca="false">IF(COUNTA($A291,$F291,$G291,$H291,$I291,$J291)=0,"",IF($M291=0,"✖ كود الصف غير موجود",IF(ISNA(MATCH($F291,Lists!$A$2:$A$5,0)),"✖ الفترة غير صحيحة",IF(ISNA(MATCH($G291,Lists!$B$2:$B$7,0)),"✖ المجموعة غير صحيحة",IF(NOT(OR($H291="",$N291&gt;0)),"✖ Start غير صحيح",IF(NOT(OR($I291="",$I291="NR",$O291&gt;0)),"✖ Current غير صحيح",IF(NOT(IF(ISNUMBER($J291),AND($J291&gt;=0,$J291=INT($J291)),FALSE())),"✖ العدد يجب أن يكون صحيحًا ≥ 0",IF(AND($F291="Baseline",$H291&lt;&gt;""),"⚠ Baseline: Start لا يدخل في التقدم",IF($K291="No Start (attainment only)","ℹ تحصيل فقط (بدون Start)",IF($K291="U – needs rule","ℹ حالة U تحتاج قاعدة معتمدة",IF($K291="No result","ℹ بدون نتيجة (يُستبعد من التحصيل)","OK")))))))))))</f>
        <v/>
      </c>
      <c r="M291" s="64" t="n">
        <f aca="false">IF($A291="",0,IFERROR(MATCH($A291,Classes!$A$6:$A$420,0),0))</f>
        <v>0</v>
      </c>
      <c r="N291" s="64" t="n">
        <f aca="false">IF($H291="",0,IFERROR(MATCH($H291,GradeList,0),0))</f>
        <v>0</v>
      </c>
      <c r="O291" s="64" t="n">
        <f aca="false">IF(OR($I291="",$I291="NR"),0,IFERROR(MATCH($I291,GradeList,0),0))</f>
        <v>0</v>
      </c>
      <c r="P291" s="64" t="n">
        <f aca="false">IF(AND($M291&gt;0,ISNUMBER(MATCH($F291,Lists!$A$2:$A$5,0)),ISNUMBER(MATCH($G291,Lists!$B$2:$B$7,0)),OR($H291="",$N291&gt;0),OR($I291="",$I291="NR",$O291&gt;0),IF(ISNUMBER($J291),AND($J291&gt;=0,$J291=INT($J291)),FALSE())),$J291,0)</f>
        <v>0</v>
      </c>
      <c r="Q291" s="64" t="n">
        <f aca="false">IF(AND($P291&gt;0,$O291&gt;0),$P291,0)</f>
        <v>0</v>
      </c>
      <c r="R291" s="64" t="n">
        <f aca="false">IF(AND($Q291&gt;0,$O291&gt;=AtRank),$Q291,0)</f>
        <v>0</v>
      </c>
      <c r="S291" s="64" t="n">
        <f aca="false">IF(AND($Q291&gt;0,$O291&gt;=AboveRank),$Q291,0)</f>
        <v>0</v>
      </c>
      <c r="T291" s="64" t="n">
        <f aca="false">IF($K291="Less",$P291,0)</f>
        <v>0</v>
      </c>
      <c r="U291" s="64" t="n">
        <f aca="false">IF($K291="Expected",$P291,0)</f>
        <v>0</v>
      </c>
      <c r="V291" s="64" t="n">
        <f aca="false">IF($K291="Better",$P291,0)</f>
        <v>0</v>
      </c>
      <c r="W291" s="64" t="n">
        <f aca="false">IF($K291="U – needs rule",$P291,0)</f>
        <v>0</v>
      </c>
      <c r="X291" s="64" t="n">
        <f aca="false">IF($K291="No Start (attainment only)",$P291,0)</f>
        <v>0</v>
      </c>
    </row>
    <row r="292" customFormat="false" ht="15" hidden="false" customHeight="false" outlineLevel="0" collapsed="false">
      <c r="A292" s="60"/>
      <c r="B292" s="61" t="str">
        <f aca="false">IF($M292=0,"",INDEX(Classes!$E$6:$E$420,$M292))</f>
        <v/>
      </c>
      <c r="C292" s="62" t="str">
        <f aca="false">IF($M292=0,"",INDEX(Classes!$H$6:$H$420,$M292))</f>
        <v/>
      </c>
      <c r="D292" s="61" t="str">
        <f aca="false">IF($M292=0,"",INDEX(Classes!$B$6:$B$420,$M292))</f>
        <v/>
      </c>
      <c r="E292" s="61" t="str">
        <f aca="false">IF($M292=0,"",INDEX(Classes!$C$6:$C$420,$M292))</f>
        <v/>
      </c>
      <c r="F292" s="63"/>
      <c r="G292" s="63"/>
      <c r="H292" s="60"/>
      <c r="I292" s="60"/>
      <c r="J292" s="63"/>
      <c r="K292" s="61" t="str">
        <f aca="false">IF($P292=0,"",IF($F292="Baseline","— Baseline",IF($O292=0,"No result",IF($N292=0,"No Start (attainment only)",IF(OR($N292=1,$O292=1),"U – needs rule",INDEX(MxBody,MATCH($I292,MxCurr,0),MATCH($H292,MxStart,0)))))))</f>
        <v/>
      </c>
      <c r="L292" s="62" t="str">
        <f aca="false">IF(COUNTA($A292,$F292,$G292,$H292,$I292,$J292)=0,"",IF($M292=0,"✖ كود الصف غير موجود",IF(ISNA(MATCH($F292,Lists!$A$2:$A$5,0)),"✖ الفترة غير صحيحة",IF(ISNA(MATCH($G292,Lists!$B$2:$B$7,0)),"✖ المجموعة غير صحيحة",IF(NOT(OR($H292="",$N292&gt;0)),"✖ Start غير صحيح",IF(NOT(OR($I292="",$I292="NR",$O292&gt;0)),"✖ Current غير صحيح",IF(NOT(IF(ISNUMBER($J292),AND($J292&gt;=0,$J292=INT($J292)),FALSE())),"✖ العدد يجب أن يكون صحيحًا ≥ 0",IF(AND($F292="Baseline",$H292&lt;&gt;""),"⚠ Baseline: Start لا يدخل في التقدم",IF($K292="No Start (attainment only)","ℹ تحصيل فقط (بدون Start)",IF($K292="U – needs rule","ℹ حالة U تحتاج قاعدة معتمدة",IF($K292="No result","ℹ بدون نتيجة (يُستبعد من التحصيل)","OK")))))))))))</f>
        <v/>
      </c>
      <c r="M292" s="64" t="n">
        <f aca="false">IF($A292="",0,IFERROR(MATCH($A292,Classes!$A$6:$A$420,0),0))</f>
        <v>0</v>
      </c>
      <c r="N292" s="64" t="n">
        <f aca="false">IF($H292="",0,IFERROR(MATCH($H292,GradeList,0),0))</f>
        <v>0</v>
      </c>
      <c r="O292" s="64" t="n">
        <f aca="false">IF(OR($I292="",$I292="NR"),0,IFERROR(MATCH($I292,GradeList,0),0))</f>
        <v>0</v>
      </c>
      <c r="P292" s="64" t="n">
        <f aca="false">IF(AND($M292&gt;0,ISNUMBER(MATCH($F292,Lists!$A$2:$A$5,0)),ISNUMBER(MATCH($G292,Lists!$B$2:$B$7,0)),OR($H292="",$N292&gt;0),OR($I292="",$I292="NR",$O292&gt;0),IF(ISNUMBER($J292),AND($J292&gt;=0,$J292=INT($J292)),FALSE())),$J292,0)</f>
        <v>0</v>
      </c>
      <c r="Q292" s="64" t="n">
        <f aca="false">IF(AND($P292&gt;0,$O292&gt;0),$P292,0)</f>
        <v>0</v>
      </c>
      <c r="R292" s="64" t="n">
        <f aca="false">IF(AND($Q292&gt;0,$O292&gt;=AtRank),$Q292,0)</f>
        <v>0</v>
      </c>
      <c r="S292" s="64" t="n">
        <f aca="false">IF(AND($Q292&gt;0,$O292&gt;=AboveRank),$Q292,0)</f>
        <v>0</v>
      </c>
      <c r="T292" s="64" t="n">
        <f aca="false">IF($K292="Less",$P292,0)</f>
        <v>0</v>
      </c>
      <c r="U292" s="64" t="n">
        <f aca="false">IF($K292="Expected",$P292,0)</f>
        <v>0</v>
      </c>
      <c r="V292" s="64" t="n">
        <f aca="false">IF($K292="Better",$P292,0)</f>
        <v>0</v>
      </c>
      <c r="W292" s="64" t="n">
        <f aca="false">IF($K292="U – needs rule",$P292,0)</f>
        <v>0</v>
      </c>
      <c r="X292" s="64" t="n">
        <f aca="false">IF($K292="No Start (attainment only)",$P292,0)</f>
        <v>0</v>
      </c>
    </row>
    <row r="293" customFormat="false" ht="15" hidden="false" customHeight="false" outlineLevel="0" collapsed="false">
      <c r="A293" s="60"/>
      <c r="B293" s="61" t="str">
        <f aca="false">IF($M293=0,"",INDEX(Classes!$E$6:$E$420,$M293))</f>
        <v/>
      </c>
      <c r="C293" s="62" t="str">
        <f aca="false">IF($M293=0,"",INDEX(Classes!$H$6:$H$420,$M293))</f>
        <v/>
      </c>
      <c r="D293" s="61" t="str">
        <f aca="false">IF($M293=0,"",INDEX(Classes!$B$6:$B$420,$M293))</f>
        <v/>
      </c>
      <c r="E293" s="61" t="str">
        <f aca="false">IF($M293=0,"",INDEX(Classes!$C$6:$C$420,$M293))</f>
        <v/>
      </c>
      <c r="F293" s="63"/>
      <c r="G293" s="63"/>
      <c r="H293" s="60"/>
      <c r="I293" s="60"/>
      <c r="J293" s="63"/>
      <c r="K293" s="61" t="str">
        <f aca="false">IF($P293=0,"",IF($F293="Baseline","— Baseline",IF($O293=0,"No result",IF($N293=0,"No Start (attainment only)",IF(OR($N293=1,$O293=1),"U – needs rule",INDEX(MxBody,MATCH($I293,MxCurr,0),MATCH($H293,MxStart,0)))))))</f>
        <v/>
      </c>
      <c r="L293" s="62" t="str">
        <f aca="false">IF(COUNTA($A293,$F293,$G293,$H293,$I293,$J293)=0,"",IF($M293=0,"✖ كود الصف غير موجود",IF(ISNA(MATCH($F293,Lists!$A$2:$A$5,0)),"✖ الفترة غير صحيحة",IF(ISNA(MATCH($G293,Lists!$B$2:$B$7,0)),"✖ المجموعة غير صحيحة",IF(NOT(OR($H293="",$N293&gt;0)),"✖ Start غير صحيح",IF(NOT(OR($I293="",$I293="NR",$O293&gt;0)),"✖ Current غير صحيح",IF(NOT(IF(ISNUMBER($J293),AND($J293&gt;=0,$J293=INT($J293)),FALSE())),"✖ العدد يجب أن يكون صحيحًا ≥ 0",IF(AND($F293="Baseline",$H293&lt;&gt;""),"⚠ Baseline: Start لا يدخل في التقدم",IF($K293="No Start (attainment only)","ℹ تحصيل فقط (بدون Start)",IF($K293="U – needs rule","ℹ حالة U تحتاج قاعدة معتمدة",IF($K293="No result","ℹ بدون نتيجة (يُستبعد من التحصيل)","OK")))))))))))</f>
        <v/>
      </c>
      <c r="M293" s="64" t="n">
        <f aca="false">IF($A293="",0,IFERROR(MATCH($A293,Classes!$A$6:$A$420,0),0))</f>
        <v>0</v>
      </c>
      <c r="N293" s="64" t="n">
        <f aca="false">IF($H293="",0,IFERROR(MATCH($H293,GradeList,0),0))</f>
        <v>0</v>
      </c>
      <c r="O293" s="64" t="n">
        <f aca="false">IF(OR($I293="",$I293="NR"),0,IFERROR(MATCH($I293,GradeList,0),0))</f>
        <v>0</v>
      </c>
      <c r="P293" s="64" t="n">
        <f aca="false">IF(AND($M293&gt;0,ISNUMBER(MATCH($F293,Lists!$A$2:$A$5,0)),ISNUMBER(MATCH($G293,Lists!$B$2:$B$7,0)),OR($H293="",$N293&gt;0),OR($I293="",$I293="NR",$O293&gt;0),IF(ISNUMBER($J293),AND($J293&gt;=0,$J293=INT($J293)),FALSE())),$J293,0)</f>
        <v>0</v>
      </c>
      <c r="Q293" s="64" t="n">
        <f aca="false">IF(AND($P293&gt;0,$O293&gt;0),$P293,0)</f>
        <v>0</v>
      </c>
      <c r="R293" s="64" t="n">
        <f aca="false">IF(AND($Q293&gt;0,$O293&gt;=AtRank),$Q293,0)</f>
        <v>0</v>
      </c>
      <c r="S293" s="64" t="n">
        <f aca="false">IF(AND($Q293&gt;0,$O293&gt;=AboveRank),$Q293,0)</f>
        <v>0</v>
      </c>
      <c r="T293" s="64" t="n">
        <f aca="false">IF($K293="Less",$P293,0)</f>
        <v>0</v>
      </c>
      <c r="U293" s="64" t="n">
        <f aca="false">IF($K293="Expected",$P293,0)</f>
        <v>0</v>
      </c>
      <c r="V293" s="64" t="n">
        <f aca="false">IF($K293="Better",$P293,0)</f>
        <v>0</v>
      </c>
      <c r="W293" s="64" t="n">
        <f aca="false">IF($K293="U – needs rule",$P293,0)</f>
        <v>0</v>
      </c>
      <c r="X293" s="64" t="n">
        <f aca="false">IF($K293="No Start (attainment only)",$P293,0)</f>
        <v>0</v>
      </c>
    </row>
    <row r="294" customFormat="false" ht="15" hidden="false" customHeight="false" outlineLevel="0" collapsed="false">
      <c r="A294" s="60"/>
      <c r="B294" s="61" t="str">
        <f aca="false">IF($M294=0,"",INDEX(Classes!$E$6:$E$420,$M294))</f>
        <v/>
      </c>
      <c r="C294" s="62" t="str">
        <f aca="false">IF($M294=0,"",INDEX(Classes!$H$6:$H$420,$M294))</f>
        <v/>
      </c>
      <c r="D294" s="61" t="str">
        <f aca="false">IF($M294=0,"",INDEX(Classes!$B$6:$B$420,$M294))</f>
        <v/>
      </c>
      <c r="E294" s="61" t="str">
        <f aca="false">IF($M294=0,"",INDEX(Classes!$C$6:$C$420,$M294))</f>
        <v/>
      </c>
      <c r="F294" s="63"/>
      <c r="G294" s="63"/>
      <c r="H294" s="60"/>
      <c r="I294" s="60"/>
      <c r="J294" s="63"/>
      <c r="K294" s="61" t="str">
        <f aca="false">IF($P294=0,"",IF($F294="Baseline","— Baseline",IF($O294=0,"No result",IF($N294=0,"No Start (attainment only)",IF(OR($N294=1,$O294=1),"U – needs rule",INDEX(MxBody,MATCH($I294,MxCurr,0),MATCH($H294,MxStart,0)))))))</f>
        <v/>
      </c>
      <c r="L294" s="62" t="str">
        <f aca="false">IF(COUNTA($A294,$F294,$G294,$H294,$I294,$J294)=0,"",IF($M294=0,"✖ كود الصف غير موجود",IF(ISNA(MATCH($F294,Lists!$A$2:$A$5,0)),"✖ الفترة غير صحيحة",IF(ISNA(MATCH($G294,Lists!$B$2:$B$7,0)),"✖ المجموعة غير صحيحة",IF(NOT(OR($H294="",$N294&gt;0)),"✖ Start غير صحيح",IF(NOT(OR($I294="",$I294="NR",$O294&gt;0)),"✖ Current غير صحيح",IF(NOT(IF(ISNUMBER($J294),AND($J294&gt;=0,$J294=INT($J294)),FALSE())),"✖ العدد يجب أن يكون صحيحًا ≥ 0",IF(AND($F294="Baseline",$H294&lt;&gt;""),"⚠ Baseline: Start لا يدخل في التقدم",IF($K294="No Start (attainment only)","ℹ تحصيل فقط (بدون Start)",IF($K294="U – needs rule","ℹ حالة U تحتاج قاعدة معتمدة",IF($K294="No result","ℹ بدون نتيجة (يُستبعد من التحصيل)","OK")))))))))))</f>
        <v/>
      </c>
      <c r="M294" s="64" t="n">
        <f aca="false">IF($A294="",0,IFERROR(MATCH($A294,Classes!$A$6:$A$420,0),0))</f>
        <v>0</v>
      </c>
      <c r="N294" s="64" t="n">
        <f aca="false">IF($H294="",0,IFERROR(MATCH($H294,GradeList,0),0))</f>
        <v>0</v>
      </c>
      <c r="O294" s="64" t="n">
        <f aca="false">IF(OR($I294="",$I294="NR"),0,IFERROR(MATCH($I294,GradeList,0),0))</f>
        <v>0</v>
      </c>
      <c r="P294" s="64" t="n">
        <f aca="false">IF(AND($M294&gt;0,ISNUMBER(MATCH($F294,Lists!$A$2:$A$5,0)),ISNUMBER(MATCH($G294,Lists!$B$2:$B$7,0)),OR($H294="",$N294&gt;0),OR($I294="",$I294="NR",$O294&gt;0),IF(ISNUMBER($J294),AND($J294&gt;=0,$J294=INT($J294)),FALSE())),$J294,0)</f>
        <v>0</v>
      </c>
      <c r="Q294" s="64" t="n">
        <f aca="false">IF(AND($P294&gt;0,$O294&gt;0),$P294,0)</f>
        <v>0</v>
      </c>
      <c r="R294" s="64" t="n">
        <f aca="false">IF(AND($Q294&gt;0,$O294&gt;=AtRank),$Q294,0)</f>
        <v>0</v>
      </c>
      <c r="S294" s="64" t="n">
        <f aca="false">IF(AND($Q294&gt;0,$O294&gt;=AboveRank),$Q294,0)</f>
        <v>0</v>
      </c>
      <c r="T294" s="64" t="n">
        <f aca="false">IF($K294="Less",$P294,0)</f>
        <v>0</v>
      </c>
      <c r="U294" s="64" t="n">
        <f aca="false">IF($K294="Expected",$P294,0)</f>
        <v>0</v>
      </c>
      <c r="V294" s="64" t="n">
        <f aca="false">IF($K294="Better",$P294,0)</f>
        <v>0</v>
      </c>
      <c r="W294" s="64" t="n">
        <f aca="false">IF($K294="U – needs rule",$P294,0)</f>
        <v>0</v>
      </c>
      <c r="X294" s="64" t="n">
        <f aca="false">IF($K294="No Start (attainment only)",$P294,0)</f>
        <v>0</v>
      </c>
    </row>
    <row r="295" customFormat="false" ht="15" hidden="false" customHeight="false" outlineLevel="0" collapsed="false">
      <c r="A295" s="60"/>
      <c r="B295" s="61" t="str">
        <f aca="false">IF($M295=0,"",INDEX(Classes!$E$6:$E$420,$M295))</f>
        <v/>
      </c>
      <c r="C295" s="62" t="str">
        <f aca="false">IF($M295=0,"",INDEX(Classes!$H$6:$H$420,$M295))</f>
        <v/>
      </c>
      <c r="D295" s="61" t="str">
        <f aca="false">IF($M295=0,"",INDEX(Classes!$B$6:$B$420,$M295))</f>
        <v/>
      </c>
      <c r="E295" s="61" t="str">
        <f aca="false">IF($M295=0,"",INDEX(Classes!$C$6:$C$420,$M295))</f>
        <v/>
      </c>
      <c r="F295" s="63"/>
      <c r="G295" s="63"/>
      <c r="H295" s="60"/>
      <c r="I295" s="60"/>
      <c r="J295" s="63"/>
      <c r="K295" s="61" t="str">
        <f aca="false">IF($P295=0,"",IF($F295="Baseline","— Baseline",IF($O295=0,"No result",IF($N295=0,"No Start (attainment only)",IF(OR($N295=1,$O295=1),"U – needs rule",INDEX(MxBody,MATCH($I295,MxCurr,0),MATCH($H295,MxStart,0)))))))</f>
        <v/>
      </c>
      <c r="L295" s="62" t="str">
        <f aca="false">IF(COUNTA($A295,$F295,$G295,$H295,$I295,$J295)=0,"",IF($M295=0,"✖ كود الصف غير موجود",IF(ISNA(MATCH($F295,Lists!$A$2:$A$5,0)),"✖ الفترة غير صحيحة",IF(ISNA(MATCH($G295,Lists!$B$2:$B$7,0)),"✖ المجموعة غير صحيحة",IF(NOT(OR($H295="",$N295&gt;0)),"✖ Start غير صحيح",IF(NOT(OR($I295="",$I295="NR",$O295&gt;0)),"✖ Current غير صحيح",IF(NOT(IF(ISNUMBER($J295),AND($J295&gt;=0,$J295=INT($J295)),FALSE())),"✖ العدد يجب أن يكون صحيحًا ≥ 0",IF(AND($F295="Baseline",$H295&lt;&gt;""),"⚠ Baseline: Start لا يدخل في التقدم",IF($K295="No Start (attainment only)","ℹ تحصيل فقط (بدون Start)",IF($K295="U – needs rule","ℹ حالة U تحتاج قاعدة معتمدة",IF($K295="No result","ℹ بدون نتيجة (يُستبعد من التحصيل)","OK")))))))))))</f>
        <v/>
      </c>
      <c r="M295" s="64" t="n">
        <f aca="false">IF($A295="",0,IFERROR(MATCH($A295,Classes!$A$6:$A$420,0),0))</f>
        <v>0</v>
      </c>
      <c r="N295" s="64" t="n">
        <f aca="false">IF($H295="",0,IFERROR(MATCH($H295,GradeList,0),0))</f>
        <v>0</v>
      </c>
      <c r="O295" s="64" t="n">
        <f aca="false">IF(OR($I295="",$I295="NR"),0,IFERROR(MATCH($I295,GradeList,0),0))</f>
        <v>0</v>
      </c>
      <c r="P295" s="64" t="n">
        <f aca="false">IF(AND($M295&gt;0,ISNUMBER(MATCH($F295,Lists!$A$2:$A$5,0)),ISNUMBER(MATCH($G295,Lists!$B$2:$B$7,0)),OR($H295="",$N295&gt;0),OR($I295="",$I295="NR",$O295&gt;0),IF(ISNUMBER($J295),AND($J295&gt;=0,$J295=INT($J295)),FALSE())),$J295,0)</f>
        <v>0</v>
      </c>
      <c r="Q295" s="64" t="n">
        <f aca="false">IF(AND($P295&gt;0,$O295&gt;0),$P295,0)</f>
        <v>0</v>
      </c>
      <c r="R295" s="64" t="n">
        <f aca="false">IF(AND($Q295&gt;0,$O295&gt;=AtRank),$Q295,0)</f>
        <v>0</v>
      </c>
      <c r="S295" s="64" t="n">
        <f aca="false">IF(AND($Q295&gt;0,$O295&gt;=AboveRank),$Q295,0)</f>
        <v>0</v>
      </c>
      <c r="T295" s="64" t="n">
        <f aca="false">IF($K295="Less",$P295,0)</f>
        <v>0</v>
      </c>
      <c r="U295" s="64" t="n">
        <f aca="false">IF($K295="Expected",$P295,0)</f>
        <v>0</v>
      </c>
      <c r="V295" s="64" t="n">
        <f aca="false">IF($K295="Better",$P295,0)</f>
        <v>0</v>
      </c>
      <c r="W295" s="64" t="n">
        <f aca="false">IF($K295="U – needs rule",$P295,0)</f>
        <v>0</v>
      </c>
      <c r="X295" s="64" t="n">
        <f aca="false">IF($K295="No Start (attainment only)",$P295,0)</f>
        <v>0</v>
      </c>
    </row>
    <row r="296" customFormat="false" ht="15" hidden="false" customHeight="false" outlineLevel="0" collapsed="false">
      <c r="A296" s="60"/>
      <c r="B296" s="61" t="str">
        <f aca="false">IF($M296=0,"",INDEX(Classes!$E$6:$E$420,$M296))</f>
        <v/>
      </c>
      <c r="C296" s="62" t="str">
        <f aca="false">IF($M296=0,"",INDEX(Classes!$H$6:$H$420,$M296))</f>
        <v/>
      </c>
      <c r="D296" s="61" t="str">
        <f aca="false">IF($M296=0,"",INDEX(Classes!$B$6:$B$420,$M296))</f>
        <v/>
      </c>
      <c r="E296" s="61" t="str">
        <f aca="false">IF($M296=0,"",INDEX(Classes!$C$6:$C$420,$M296))</f>
        <v/>
      </c>
      <c r="F296" s="63"/>
      <c r="G296" s="63"/>
      <c r="H296" s="60"/>
      <c r="I296" s="60"/>
      <c r="J296" s="63"/>
      <c r="K296" s="61" t="str">
        <f aca="false">IF($P296=0,"",IF($F296="Baseline","— Baseline",IF($O296=0,"No result",IF($N296=0,"No Start (attainment only)",IF(OR($N296=1,$O296=1),"U – needs rule",INDEX(MxBody,MATCH($I296,MxCurr,0),MATCH($H296,MxStart,0)))))))</f>
        <v/>
      </c>
      <c r="L296" s="62" t="str">
        <f aca="false">IF(COUNTA($A296,$F296,$G296,$H296,$I296,$J296)=0,"",IF($M296=0,"✖ كود الصف غير موجود",IF(ISNA(MATCH($F296,Lists!$A$2:$A$5,0)),"✖ الفترة غير صحيحة",IF(ISNA(MATCH($G296,Lists!$B$2:$B$7,0)),"✖ المجموعة غير صحيحة",IF(NOT(OR($H296="",$N296&gt;0)),"✖ Start غير صحيح",IF(NOT(OR($I296="",$I296="NR",$O296&gt;0)),"✖ Current غير صحيح",IF(NOT(IF(ISNUMBER($J296),AND($J296&gt;=0,$J296=INT($J296)),FALSE())),"✖ العدد يجب أن يكون صحيحًا ≥ 0",IF(AND($F296="Baseline",$H296&lt;&gt;""),"⚠ Baseline: Start لا يدخل في التقدم",IF($K296="No Start (attainment only)","ℹ تحصيل فقط (بدون Start)",IF($K296="U – needs rule","ℹ حالة U تحتاج قاعدة معتمدة",IF($K296="No result","ℹ بدون نتيجة (يُستبعد من التحصيل)","OK")))))))))))</f>
        <v/>
      </c>
      <c r="M296" s="64" t="n">
        <f aca="false">IF($A296="",0,IFERROR(MATCH($A296,Classes!$A$6:$A$420,0),0))</f>
        <v>0</v>
      </c>
      <c r="N296" s="64" t="n">
        <f aca="false">IF($H296="",0,IFERROR(MATCH($H296,GradeList,0),0))</f>
        <v>0</v>
      </c>
      <c r="O296" s="64" t="n">
        <f aca="false">IF(OR($I296="",$I296="NR"),0,IFERROR(MATCH($I296,GradeList,0),0))</f>
        <v>0</v>
      </c>
      <c r="P296" s="64" t="n">
        <f aca="false">IF(AND($M296&gt;0,ISNUMBER(MATCH($F296,Lists!$A$2:$A$5,0)),ISNUMBER(MATCH($G296,Lists!$B$2:$B$7,0)),OR($H296="",$N296&gt;0),OR($I296="",$I296="NR",$O296&gt;0),IF(ISNUMBER($J296),AND($J296&gt;=0,$J296=INT($J296)),FALSE())),$J296,0)</f>
        <v>0</v>
      </c>
      <c r="Q296" s="64" t="n">
        <f aca="false">IF(AND($P296&gt;0,$O296&gt;0),$P296,0)</f>
        <v>0</v>
      </c>
      <c r="R296" s="64" t="n">
        <f aca="false">IF(AND($Q296&gt;0,$O296&gt;=AtRank),$Q296,0)</f>
        <v>0</v>
      </c>
      <c r="S296" s="64" t="n">
        <f aca="false">IF(AND($Q296&gt;0,$O296&gt;=AboveRank),$Q296,0)</f>
        <v>0</v>
      </c>
      <c r="T296" s="64" t="n">
        <f aca="false">IF($K296="Less",$P296,0)</f>
        <v>0</v>
      </c>
      <c r="U296" s="64" t="n">
        <f aca="false">IF($K296="Expected",$P296,0)</f>
        <v>0</v>
      </c>
      <c r="V296" s="64" t="n">
        <f aca="false">IF($K296="Better",$P296,0)</f>
        <v>0</v>
      </c>
      <c r="W296" s="64" t="n">
        <f aca="false">IF($K296="U – needs rule",$P296,0)</f>
        <v>0</v>
      </c>
      <c r="X296" s="64" t="n">
        <f aca="false">IF($K296="No Start (attainment only)",$P296,0)</f>
        <v>0</v>
      </c>
    </row>
    <row r="297" customFormat="false" ht="15" hidden="false" customHeight="false" outlineLevel="0" collapsed="false">
      <c r="A297" s="60"/>
      <c r="B297" s="61" t="str">
        <f aca="false">IF($M297=0,"",INDEX(Classes!$E$6:$E$420,$M297))</f>
        <v/>
      </c>
      <c r="C297" s="62" t="str">
        <f aca="false">IF($M297=0,"",INDEX(Classes!$H$6:$H$420,$M297))</f>
        <v/>
      </c>
      <c r="D297" s="61" t="str">
        <f aca="false">IF($M297=0,"",INDEX(Classes!$B$6:$B$420,$M297))</f>
        <v/>
      </c>
      <c r="E297" s="61" t="str">
        <f aca="false">IF($M297=0,"",INDEX(Classes!$C$6:$C$420,$M297))</f>
        <v/>
      </c>
      <c r="F297" s="63"/>
      <c r="G297" s="63"/>
      <c r="H297" s="60"/>
      <c r="I297" s="60"/>
      <c r="J297" s="63"/>
      <c r="K297" s="61" t="str">
        <f aca="false">IF($P297=0,"",IF($F297="Baseline","— Baseline",IF($O297=0,"No result",IF($N297=0,"No Start (attainment only)",IF(OR($N297=1,$O297=1),"U – needs rule",INDEX(MxBody,MATCH($I297,MxCurr,0),MATCH($H297,MxStart,0)))))))</f>
        <v/>
      </c>
      <c r="L297" s="62" t="str">
        <f aca="false">IF(COUNTA($A297,$F297,$G297,$H297,$I297,$J297)=0,"",IF($M297=0,"✖ كود الصف غير موجود",IF(ISNA(MATCH($F297,Lists!$A$2:$A$5,0)),"✖ الفترة غير صحيحة",IF(ISNA(MATCH($G297,Lists!$B$2:$B$7,0)),"✖ المجموعة غير صحيحة",IF(NOT(OR($H297="",$N297&gt;0)),"✖ Start غير صحيح",IF(NOT(OR($I297="",$I297="NR",$O297&gt;0)),"✖ Current غير صحيح",IF(NOT(IF(ISNUMBER($J297),AND($J297&gt;=0,$J297=INT($J297)),FALSE())),"✖ العدد يجب أن يكون صحيحًا ≥ 0",IF(AND($F297="Baseline",$H297&lt;&gt;""),"⚠ Baseline: Start لا يدخل في التقدم",IF($K297="No Start (attainment only)","ℹ تحصيل فقط (بدون Start)",IF($K297="U – needs rule","ℹ حالة U تحتاج قاعدة معتمدة",IF($K297="No result","ℹ بدون نتيجة (يُستبعد من التحصيل)","OK")))))))))))</f>
        <v/>
      </c>
      <c r="M297" s="64" t="n">
        <f aca="false">IF($A297="",0,IFERROR(MATCH($A297,Classes!$A$6:$A$420,0),0))</f>
        <v>0</v>
      </c>
      <c r="N297" s="64" t="n">
        <f aca="false">IF($H297="",0,IFERROR(MATCH($H297,GradeList,0),0))</f>
        <v>0</v>
      </c>
      <c r="O297" s="64" t="n">
        <f aca="false">IF(OR($I297="",$I297="NR"),0,IFERROR(MATCH($I297,GradeList,0),0))</f>
        <v>0</v>
      </c>
      <c r="P297" s="64" t="n">
        <f aca="false">IF(AND($M297&gt;0,ISNUMBER(MATCH($F297,Lists!$A$2:$A$5,0)),ISNUMBER(MATCH($G297,Lists!$B$2:$B$7,0)),OR($H297="",$N297&gt;0),OR($I297="",$I297="NR",$O297&gt;0),IF(ISNUMBER($J297),AND($J297&gt;=0,$J297=INT($J297)),FALSE())),$J297,0)</f>
        <v>0</v>
      </c>
      <c r="Q297" s="64" t="n">
        <f aca="false">IF(AND($P297&gt;0,$O297&gt;0),$P297,0)</f>
        <v>0</v>
      </c>
      <c r="R297" s="64" t="n">
        <f aca="false">IF(AND($Q297&gt;0,$O297&gt;=AtRank),$Q297,0)</f>
        <v>0</v>
      </c>
      <c r="S297" s="64" t="n">
        <f aca="false">IF(AND($Q297&gt;0,$O297&gt;=AboveRank),$Q297,0)</f>
        <v>0</v>
      </c>
      <c r="T297" s="64" t="n">
        <f aca="false">IF($K297="Less",$P297,0)</f>
        <v>0</v>
      </c>
      <c r="U297" s="64" t="n">
        <f aca="false">IF($K297="Expected",$P297,0)</f>
        <v>0</v>
      </c>
      <c r="V297" s="64" t="n">
        <f aca="false">IF($K297="Better",$P297,0)</f>
        <v>0</v>
      </c>
      <c r="W297" s="64" t="n">
        <f aca="false">IF($K297="U – needs rule",$P297,0)</f>
        <v>0</v>
      </c>
      <c r="X297" s="64" t="n">
        <f aca="false">IF($K297="No Start (attainment only)",$P297,0)</f>
        <v>0</v>
      </c>
    </row>
    <row r="298" customFormat="false" ht="15" hidden="false" customHeight="false" outlineLevel="0" collapsed="false">
      <c r="A298" s="60"/>
      <c r="B298" s="61" t="str">
        <f aca="false">IF($M298=0,"",INDEX(Classes!$E$6:$E$420,$M298))</f>
        <v/>
      </c>
      <c r="C298" s="62" t="str">
        <f aca="false">IF($M298=0,"",INDEX(Classes!$H$6:$H$420,$M298))</f>
        <v/>
      </c>
      <c r="D298" s="61" t="str">
        <f aca="false">IF($M298=0,"",INDEX(Classes!$B$6:$B$420,$M298))</f>
        <v/>
      </c>
      <c r="E298" s="61" t="str">
        <f aca="false">IF($M298=0,"",INDEX(Classes!$C$6:$C$420,$M298))</f>
        <v/>
      </c>
      <c r="F298" s="63"/>
      <c r="G298" s="63"/>
      <c r="H298" s="60"/>
      <c r="I298" s="60"/>
      <c r="J298" s="63"/>
      <c r="K298" s="61" t="str">
        <f aca="false">IF($P298=0,"",IF($F298="Baseline","— Baseline",IF($O298=0,"No result",IF($N298=0,"No Start (attainment only)",IF(OR($N298=1,$O298=1),"U – needs rule",INDEX(MxBody,MATCH($I298,MxCurr,0),MATCH($H298,MxStart,0)))))))</f>
        <v/>
      </c>
      <c r="L298" s="62" t="str">
        <f aca="false">IF(COUNTA($A298,$F298,$G298,$H298,$I298,$J298)=0,"",IF($M298=0,"✖ كود الصف غير موجود",IF(ISNA(MATCH($F298,Lists!$A$2:$A$5,0)),"✖ الفترة غير صحيحة",IF(ISNA(MATCH($G298,Lists!$B$2:$B$7,0)),"✖ المجموعة غير صحيحة",IF(NOT(OR($H298="",$N298&gt;0)),"✖ Start غير صحيح",IF(NOT(OR($I298="",$I298="NR",$O298&gt;0)),"✖ Current غير صحيح",IF(NOT(IF(ISNUMBER($J298),AND($J298&gt;=0,$J298=INT($J298)),FALSE())),"✖ العدد يجب أن يكون صحيحًا ≥ 0",IF(AND($F298="Baseline",$H298&lt;&gt;""),"⚠ Baseline: Start لا يدخل في التقدم",IF($K298="No Start (attainment only)","ℹ تحصيل فقط (بدون Start)",IF($K298="U – needs rule","ℹ حالة U تحتاج قاعدة معتمدة",IF($K298="No result","ℹ بدون نتيجة (يُستبعد من التحصيل)","OK")))))))))))</f>
        <v/>
      </c>
      <c r="M298" s="64" t="n">
        <f aca="false">IF($A298="",0,IFERROR(MATCH($A298,Classes!$A$6:$A$420,0),0))</f>
        <v>0</v>
      </c>
      <c r="N298" s="64" t="n">
        <f aca="false">IF($H298="",0,IFERROR(MATCH($H298,GradeList,0),0))</f>
        <v>0</v>
      </c>
      <c r="O298" s="64" t="n">
        <f aca="false">IF(OR($I298="",$I298="NR"),0,IFERROR(MATCH($I298,GradeList,0),0))</f>
        <v>0</v>
      </c>
      <c r="P298" s="64" t="n">
        <f aca="false">IF(AND($M298&gt;0,ISNUMBER(MATCH($F298,Lists!$A$2:$A$5,0)),ISNUMBER(MATCH($G298,Lists!$B$2:$B$7,0)),OR($H298="",$N298&gt;0),OR($I298="",$I298="NR",$O298&gt;0),IF(ISNUMBER($J298),AND($J298&gt;=0,$J298=INT($J298)),FALSE())),$J298,0)</f>
        <v>0</v>
      </c>
      <c r="Q298" s="64" t="n">
        <f aca="false">IF(AND($P298&gt;0,$O298&gt;0),$P298,0)</f>
        <v>0</v>
      </c>
      <c r="R298" s="64" t="n">
        <f aca="false">IF(AND($Q298&gt;0,$O298&gt;=AtRank),$Q298,0)</f>
        <v>0</v>
      </c>
      <c r="S298" s="64" t="n">
        <f aca="false">IF(AND($Q298&gt;0,$O298&gt;=AboveRank),$Q298,0)</f>
        <v>0</v>
      </c>
      <c r="T298" s="64" t="n">
        <f aca="false">IF($K298="Less",$P298,0)</f>
        <v>0</v>
      </c>
      <c r="U298" s="64" t="n">
        <f aca="false">IF($K298="Expected",$P298,0)</f>
        <v>0</v>
      </c>
      <c r="V298" s="64" t="n">
        <f aca="false">IF($K298="Better",$P298,0)</f>
        <v>0</v>
      </c>
      <c r="W298" s="64" t="n">
        <f aca="false">IF($K298="U – needs rule",$P298,0)</f>
        <v>0</v>
      </c>
      <c r="X298" s="64" t="n">
        <f aca="false">IF($K298="No Start (attainment only)",$P298,0)</f>
        <v>0</v>
      </c>
    </row>
    <row r="299" customFormat="false" ht="15" hidden="false" customHeight="false" outlineLevel="0" collapsed="false">
      <c r="A299" s="60"/>
      <c r="B299" s="61" t="str">
        <f aca="false">IF($M299=0,"",INDEX(Classes!$E$6:$E$420,$M299))</f>
        <v/>
      </c>
      <c r="C299" s="62" t="str">
        <f aca="false">IF($M299=0,"",INDEX(Classes!$H$6:$H$420,$M299))</f>
        <v/>
      </c>
      <c r="D299" s="61" t="str">
        <f aca="false">IF($M299=0,"",INDEX(Classes!$B$6:$B$420,$M299))</f>
        <v/>
      </c>
      <c r="E299" s="61" t="str">
        <f aca="false">IF($M299=0,"",INDEX(Classes!$C$6:$C$420,$M299))</f>
        <v/>
      </c>
      <c r="F299" s="63"/>
      <c r="G299" s="63"/>
      <c r="H299" s="60"/>
      <c r="I299" s="60"/>
      <c r="J299" s="63"/>
      <c r="K299" s="61" t="str">
        <f aca="false">IF($P299=0,"",IF($F299="Baseline","— Baseline",IF($O299=0,"No result",IF($N299=0,"No Start (attainment only)",IF(OR($N299=1,$O299=1),"U – needs rule",INDEX(MxBody,MATCH($I299,MxCurr,0),MATCH($H299,MxStart,0)))))))</f>
        <v/>
      </c>
      <c r="L299" s="62" t="str">
        <f aca="false">IF(COUNTA($A299,$F299,$G299,$H299,$I299,$J299)=0,"",IF($M299=0,"✖ كود الصف غير موجود",IF(ISNA(MATCH($F299,Lists!$A$2:$A$5,0)),"✖ الفترة غير صحيحة",IF(ISNA(MATCH($G299,Lists!$B$2:$B$7,0)),"✖ المجموعة غير صحيحة",IF(NOT(OR($H299="",$N299&gt;0)),"✖ Start غير صحيح",IF(NOT(OR($I299="",$I299="NR",$O299&gt;0)),"✖ Current غير صحيح",IF(NOT(IF(ISNUMBER($J299),AND($J299&gt;=0,$J299=INT($J299)),FALSE())),"✖ العدد يجب أن يكون صحيحًا ≥ 0",IF(AND($F299="Baseline",$H299&lt;&gt;""),"⚠ Baseline: Start لا يدخل في التقدم",IF($K299="No Start (attainment only)","ℹ تحصيل فقط (بدون Start)",IF($K299="U – needs rule","ℹ حالة U تحتاج قاعدة معتمدة",IF($K299="No result","ℹ بدون نتيجة (يُستبعد من التحصيل)","OK")))))))))))</f>
        <v/>
      </c>
      <c r="M299" s="64" t="n">
        <f aca="false">IF($A299="",0,IFERROR(MATCH($A299,Classes!$A$6:$A$420,0),0))</f>
        <v>0</v>
      </c>
      <c r="N299" s="64" t="n">
        <f aca="false">IF($H299="",0,IFERROR(MATCH($H299,GradeList,0),0))</f>
        <v>0</v>
      </c>
      <c r="O299" s="64" t="n">
        <f aca="false">IF(OR($I299="",$I299="NR"),0,IFERROR(MATCH($I299,GradeList,0),0))</f>
        <v>0</v>
      </c>
      <c r="P299" s="64" t="n">
        <f aca="false">IF(AND($M299&gt;0,ISNUMBER(MATCH($F299,Lists!$A$2:$A$5,0)),ISNUMBER(MATCH($G299,Lists!$B$2:$B$7,0)),OR($H299="",$N299&gt;0),OR($I299="",$I299="NR",$O299&gt;0),IF(ISNUMBER($J299),AND($J299&gt;=0,$J299=INT($J299)),FALSE())),$J299,0)</f>
        <v>0</v>
      </c>
      <c r="Q299" s="64" t="n">
        <f aca="false">IF(AND($P299&gt;0,$O299&gt;0),$P299,0)</f>
        <v>0</v>
      </c>
      <c r="R299" s="64" t="n">
        <f aca="false">IF(AND($Q299&gt;0,$O299&gt;=AtRank),$Q299,0)</f>
        <v>0</v>
      </c>
      <c r="S299" s="64" t="n">
        <f aca="false">IF(AND($Q299&gt;0,$O299&gt;=AboveRank),$Q299,0)</f>
        <v>0</v>
      </c>
      <c r="T299" s="64" t="n">
        <f aca="false">IF($K299="Less",$P299,0)</f>
        <v>0</v>
      </c>
      <c r="U299" s="64" t="n">
        <f aca="false">IF($K299="Expected",$P299,0)</f>
        <v>0</v>
      </c>
      <c r="V299" s="64" t="n">
        <f aca="false">IF($K299="Better",$P299,0)</f>
        <v>0</v>
      </c>
      <c r="W299" s="64" t="n">
        <f aca="false">IF($K299="U – needs rule",$P299,0)</f>
        <v>0</v>
      </c>
      <c r="X299" s="64" t="n">
        <f aca="false">IF($K299="No Start (attainment only)",$P299,0)</f>
        <v>0</v>
      </c>
    </row>
    <row r="300" customFormat="false" ht="15" hidden="false" customHeight="false" outlineLevel="0" collapsed="false">
      <c r="A300" s="60"/>
      <c r="B300" s="61" t="str">
        <f aca="false">IF($M300=0,"",INDEX(Classes!$E$6:$E$420,$M300))</f>
        <v/>
      </c>
      <c r="C300" s="62" t="str">
        <f aca="false">IF($M300=0,"",INDEX(Classes!$H$6:$H$420,$M300))</f>
        <v/>
      </c>
      <c r="D300" s="61" t="str">
        <f aca="false">IF($M300=0,"",INDEX(Classes!$B$6:$B$420,$M300))</f>
        <v/>
      </c>
      <c r="E300" s="61" t="str">
        <f aca="false">IF($M300=0,"",INDEX(Classes!$C$6:$C$420,$M300))</f>
        <v/>
      </c>
      <c r="F300" s="63"/>
      <c r="G300" s="63"/>
      <c r="H300" s="60"/>
      <c r="I300" s="60"/>
      <c r="J300" s="63"/>
      <c r="K300" s="61" t="str">
        <f aca="false">IF($P300=0,"",IF($F300="Baseline","— Baseline",IF($O300=0,"No result",IF($N300=0,"No Start (attainment only)",IF(OR($N300=1,$O300=1),"U – needs rule",INDEX(MxBody,MATCH($I300,MxCurr,0),MATCH($H300,MxStart,0)))))))</f>
        <v/>
      </c>
      <c r="L300" s="62" t="str">
        <f aca="false">IF(COUNTA($A300,$F300,$G300,$H300,$I300,$J300)=0,"",IF($M300=0,"✖ كود الصف غير موجود",IF(ISNA(MATCH($F300,Lists!$A$2:$A$5,0)),"✖ الفترة غير صحيحة",IF(ISNA(MATCH($G300,Lists!$B$2:$B$7,0)),"✖ المجموعة غير صحيحة",IF(NOT(OR($H300="",$N300&gt;0)),"✖ Start غير صحيح",IF(NOT(OR($I300="",$I300="NR",$O300&gt;0)),"✖ Current غير صحيح",IF(NOT(IF(ISNUMBER($J300),AND($J300&gt;=0,$J300=INT($J300)),FALSE())),"✖ العدد يجب أن يكون صحيحًا ≥ 0",IF(AND($F300="Baseline",$H300&lt;&gt;""),"⚠ Baseline: Start لا يدخل في التقدم",IF($K300="No Start (attainment only)","ℹ تحصيل فقط (بدون Start)",IF($K300="U – needs rule","ℹ حالة U تحتاج قاعدة معتمدة",IF($K300="No result","ℹ بدون نتيجة (يُستبعد من التحصيل)","OK")))))))))))</f>
        <v/>
      </c>
      <c r="M300" s="64" t="n">
        <f aca="false">IF($A300="",0,IFERROR(MATCH($A300,Classes!$A$6:$A$420,0),0))</f>
        <v>0</v>
      </c>
      <c r="N300" s="64" t="n">
        <f aca="false">IF($H300="",0,IFERROR(MATCH($H300,GradeList,0),0))</f>
        <v>0</v>
      </c>
      <c r="O300" s="64" t="n">
        <f aca="false">IF(OR($I300="",$I300="NR"),0,IFERROR(MATCH($I300,GradeList,0),0))</f>
        <v>0</v>
      </c>
      <c r="P300" s="64" t="n">
        <f aca="false">IF(AND($M300&gt;0,ISNUMBER(MATCH($F300,Lists!$A$2:$A$5,0)),ISNUMBER(MATCH($G300,Lists!$B$2:$B$7,0)),OR($H300="",$N300&gt;0),OR($I300="",$I300="NR",$O300&gt;0),IF(ISNUMBER($J300),AND($J300&gt;=0,$J300=INT($J300)),FALSE())),$J300,0)</f>
        <v>0</v>
      </c>
      <c r="Q300" s="64" t="n">
        <f aca="false">IF(AND($P300&gt;0,$O300&gt;0),$P300,0)</f>
        <v>0</v>
      </c>
      <c r="R300" s="64" t="n">
        <f aca="false">IF(AND($Q300&gt;0,$O300&gt;=AtRank),$Q300,0)</f>
        <v>0</v>
      </c>
      <c r="S300" s="64" t="n">
        <f aca="false">IF(AND($Q300&gt;0,$O300&gt;=AboveRank),$Q300,0)</f>
        <v>0</v>
      </c>
      <c r="T300" s="64" t="n">
        <f aca="false">IF($K300="Less",$P300,0)</f>
        <v>0</v>
      </c>
      <c r="U300" s="64" t="n">
        <f aca="false">IF($K300="Expected",$P300,0)</f>
        <v>0</v>
      </c>
      <c r="V300" s="64" t="n">
        <f aca="false">IF($K300="Better",$P300,0)</f>
        <v>0</v>
      </c>
      <c r="W300" s="64" t="n">
        <f aca="false">IF($K300="U – needs rule",$P300,0)</f>
        <v>0</v>
      </c>
      <c r="X300" s="64" t="n">
        <f aca="false">IF($K300="No Start (attainment only)",$P300,0)</f>
        <v>0</v>
      </c>
    </row>
    <row r="301" customFormat="false" ht="15" hidden="false" customHeight="false" outlineLevel="0" collapsed="false">
      <c r="A301" s="60"/>
      <c r="B301" s="61" t="str">
        <f aca="false">IF($M301=0,"",INDEX(Classes!$E$6:$E$420,$M301))</f>
        <v/>
      </c>
      <c r="C301" s="62" t="str">
        <f aca="false">IF($M301=0,"",INDEX(Classes!$H$6:$H$420,$M301))</f>
        <v/>
      </c>
      <c r="D301" s="61" t="str">
        <f aca="false">IF($M301=0,"",INDEX(Classes!$B$6:$B$420,$M301))</f>
        <v/>
      </c>
      <c r="E301" s="61" t="str">
        <f aca="false">IF($M301=0,"",INDEX(Classes!$C$6:$C$420,$M301))</f>
        <v/>
      </c>
      <c r="F301" s="63"/>
      <c r="G301" s="63"/>
      <c r="H301" s="60"/>
      <c r="I301" s="60"/>
      <c r="J301" s="63"/>
      <c r="K301" s="61" t="str">
        <f aca="false">IF($P301=0,"",IF($F301="Baseline","— Baseline",IF($O301=0,"No result",IF($N301=0,"No Start (attainment only)",IF(OR($N301=1,$O301=1),"U – needs rule",INDEX(MxBody,MATCH($I301,MxCurr,0),MATCH($H301,MxStart,0)))))))</f>
        <v/>
      </c>
      <c r="L301" s="62" t="str">
        <f aca="false">IF(COUNTA($A301,$F301,$G301,$H301,$I301,$J301)=0,"",IF($M301=0,"✖ كود الصف غير موجود",IF(ISNA(MATCH($F301,Lists!$A$2:$A$5,0)),"✖ الفترة غير صحيحة",IF(ISNA(MATCH($G301,Lists!$B$2:$B$7,0)),"✖ المجموعة غير صحيحة",IF(NOT(OR($H301="",$N301&gt;0)),"✖ Start غير صحيح",IF(NOT(OR($I301="",$I301="NR",$O301&gt;0)),"✖ Current غير صحيح",IF(NOT(IF(ISNUMBER($J301),AND($J301&gt;=0,$J301=INT($J301)),FALSE())),"✖ العدد يجب أن يكون صحيحًا ≥ 0",IF(AND($F301="Baseline",$H301&lt;&gt;""),"⚠ Baseline: Start لا يدخل في التقدم",IF($K301="No Start (attainment only)","ℹ تحصيل فقط (بدون Start)",IF($K301="U – needs rule","ℹ حالة U تحتاج قاعدة معتمدة",IF($K301="No result","ℹ بدون نتيجة (يُستبعد من التحصيل)","OK")))))))))))</f>
        <v/>
      </c>
      <c r="M301" s="64" t="n">
        <f aca="false">IF($A301="",0,IFERROR(MATCH($A301,Classes!$A$6:$A$420,0),0))</f>
        <v>0</v>
      </c>
      <c r="N301" s="64" t="n">
        <f aca="false">IF($H301="",0,IFERROR(MATCH($H301,GradeList,0),0))</f>
        <v>0</v>
      </c>
      <c r="O301" s="64" t="n">
        <f aca="false">IF(OR($I301="",$I301="NR"),0,IFERROR(MATCH($I301,GradeList,0),0))</f>
        <v>0</v>
      </c>
      <c r="P301" s="64" t="n">
        <f aca="false">IF(AND($M301&gt;0,ISNUMBER(MATCH($F301,Lists!$A$2:$A$5,0)),ISNUMBER(MATCH($G301,Lists!$B$2:$B$7,0)),OR($H301="",$N301&gt;0),OR($I301="",$I301="NR",$O301&gt;0),IF(ISNUMBER($J301),AND($J301&gt;=0,$J301=INT($J301)),FALSE())),$J301,0)</f>
        <v>0</v>
      </c>
      <c r="Q301" s="64" t="n">
        <f aca="false">IF(AND($P301&gt;0,$O301&gt;0),$P301,0)</f>
        <v>0</v>
      </c>
      <c r="R301" s="64" t="n">
        <f aca="false">IF(AND($Q301&gt;0,$O301&gt;=AtRank),$Q301,0)</f>
        <v>0</v>
      </c>
      <c r="S301" s="64" t="n">
        <f aca="false">IF(AND($Q301&gt;0,$O301&gt;=AboveRank),$Q301,0)</f>
        <v>0</v>
      </c>
      <c r="T301" s="64" t="n">
        <f aca="false">IF($K301="Less",$P301,0)</f>
        <v>0</v>
      </c>
      <c r="U301" s="64" t="n">
        <f aca="false">IF($K301="Expected",$P301,0)</f>
        <v>0</v>
      </c>
      <c r="V301" s="64" t="n">
        <f aca="false">IF($K301="Better",$P301,0)</f>
        <v>0</v>
      </c>
      <c r="W301" s="64" t="n">
        <f aca="false">IF($K301="U – needs rule",$P301,0)</f>
        <v>0</v>
      </c>
      <c r="X301" s="64" t="n">
        <f aca="false">IF($K301="No Start (attainment only)",$P301,0)</f>
        <v>0</v>
      </c>
    </row>
    <row r="302" customFormat="false" ht="15" hidden="false" customHeight="false" outlineLevel="0" collapsed="false">
      <c r="A302" s="60"/>
      <c r="B302" s="61" t="str">
        <f aca="false">IF($M302=0,"",INDEX(Classes!$E$6:$E$420,$M302))</f>
        <v/>
      </c>
      <c r="C302" s="62" t="str">
        <f aca="false">IF($M302=0,"",INDEX(Classes!$H$6:$H$420,$M302))</f>
        <v/>
      </c>
      <c r="D302" s="61" t="str">
        <f aca="false">IF($M302=0,"",INDEX(Classes!$B$6:$B$420,$M302))</f>
        <v/>
      </c>
      <c r="E302" s="61" t="str">
        <f aca="false">IF($M302=0,"",INDEX(Classes!$C$6:$C$420,$M302))</f>
        <v/>
      </c>
      <c r="F302" s="63"/>
      <c r="G302" s="63"/>
      <c r="H302" s="60"/>
      <c r="I302" s="60"/>
      <c r="J302" s="63"/>
      <c r="K302" s="61" t="str">
        <f aca="false">IF($P302=0,"",IF($F302="Baseline","— Baseline",IF($O302=0,"No result",IF($N302=0,"No Start (attainment only)",IF(OR($N302=1,$O302=1),"U – needs rule",INDEX(MxBody,MATCH($I302,MxCurr,0),MATCH($H302,MxStart,0)))))))</f>
        <v/>
      </c>
      <c r="L302" s="62" t="str">
        <f aca="false">IF(COUNTA($A302,$F302,$G302,$H302,$I302,$J302)=0,"",IF($M302=0,"✖ كود الصف غير موجود",IF(ISNA(MATCH($F302,Lists!$A$2:$A$5,0)),"✖ الفترة غير صحيحة",IF(ISNA(MATCH($G302,Lists!$B$2:$B$7,0)),"✖ المجموعة غير صحيحة",IF(NOT(OR($H302="",$N302&gt;0)),"✖ Start غير صحيح",IF(NOT(OR($I302="",$I302="NR",$O302&gt;0)),"✖ Current غير صحيح",IF(NOT(IF(ISNUMBER($J302),AND($J302&gt;=0,$J302=INT($J302)),FALSE())),"✖ العدد يجب أن يكون صحيحًا ≥ 0",IF(AND($F302="Baseline",$H302&lt;&gt;""),"⚠ Baseline: Start لا يدخل في التقدم",IF($K302="No Start (attainment only)","ℹ تحصيل فقط (بدون Start)",IF($K302="U – needs rule","ℹ حالة U تحتاج قاعدة معتمدة",IF($K302="No result","ℹ بدون نتيجة (يُستبعد من التحصيل)","OK")))))))))))</f>
        <v/>
      </c>
      <c r="M302" s="64" t="n">
        <f aca="false">IF($A302="",0,IFERROR(MATCH($A302,Classes!$A$6:$A$420,0),0))</f>
        <v>0</v>
      </c>
      <c r="N302" s="64" t="n">
        <f aca="false">IF($H302="",0,IFERROR(MATCH($H302,GradeList,0),0))</f>
        <v>0</v>
      </c>
      <c r="O302" s="64" t="n">
        <f aca="false">IF(OR($I302="",$I302="NR"),0,IFERROR(MATCH($I302,GradeList,0),0))</f>
        <v>0</v>
      </c>
      <c r="P302" s="64" t="n">
        <f aca="false">IF(AND($M302&gt;0,ISNUMBER(MATCH($F302,Lists!$A$2:$A$5,0)),ISNUMBER(MATCH($G302,Lists!$B$2:$B$7,0)),OR($H302="",$N302&gt;0),OR($I302="",$I302="NR",$O302&gt;0),IF(ISNUMBER($J302),AND($J302&gt;=0,$J302=INT($J302)),FALSE())),$J302,0)</f>
        <v>0</v>
      </c>
      <c r="Q302" s="64" t="n">
        <f aca="false">IF(AND($P302&gt;0,$O302&gt;0),$P302,0)</f>
        <v>0</v>
      </c>
      <c r="R302" s="64" t="n">
        <f aca="false">IF(AND($Q302&gt;0,$O302&gt;=AtRank),$Q302,0)</f>
        <v>0</v>
      </c>
      <c r="S302" s="64" t="n">
        <f aca="false">IF(AND($Q302&gt;0,$O302&gt;=AboveRank),$Q302,0)</f>
        <v>0</v>
      </c>
      <c r="T302" s="64" t="n">
        <f aca="false">IF($K302="Less",$P302,0)</f>
        <v>0</v>
      </c>
      <c r="U302" s="64" t="n">
        <f aca="false">IF($K302="Expected",$P302,0)</f>
        <v>0</v>
      </c>
      <c r="V302" s="64" t="n">
        <f aca="false">IF($K302="Better",$P302,0)</f>
        <v>0</v>
      </c>
      <c r="W302" s="64" t="n">
        <f aca="false">IF($K302="U – needs rule",$P302,0)</f>
        <v>0</v>
      </c>
      <c r="X302" s="64" t="n">
        <f aca="false">IF($K302="No Start (attainment only)",$P302,0)</f>
        <v>0</v>
      </c>
    </row>
    <row r="303" customFormat="false" ht="15" hidden="false" customHeight="false" outlineLevel="0" collapsed="false">
      <c r="A303" s="60"/>
      <c r="B303" s="61" t="str">
        <f aca="false">IF($M303=0,"",INDEX(Classes!$E$6:$E$420,$M303))</f>
        <v/>
      </c>
      <c r="C303" s="62" t="str">
        <f aca="false">IF($M303=0,"",INDEX(Classes!$H$6:$H$420,$M303))</f>
        <v/>
      </c>
      <c r="D303" s="61" t="str">
        <f aca="false">IF($M303=0,"",INDEX(Classes!$B$6:$B$420,$M303))</f>
        <v/>
      </c>
      <c r="E303" s="61" t="str">
        <f aca="false">IF($M303=0,"",INDEX(Classes!$C$6:$C$420,$M303))</f>
        <v/>
      </c>
      <c r="F303" s="63"/>
      <c r="G303" s="63"/>
      <c r="H303" s="60"/>
      <c r="I303" s="60"/>
      <c r="J303" s="63"/>
      <c r="K303" s="61" t="str">
        <f aca="false">IF($P303=0,"",IF($F303="Baseline","— Baseline",IF($O303=0,"No result",IF($N303=0,"No Start (attainment only)",IF(OR($N303=1,$O303=1),"U – needs rule",INDEX(MxBody,MATCH($I303,MxCurr,0),MATCH($H303,MxStart,0)))))))</f>
        <v/>
      </c>
      <c r="L303" s="62" t="str">
        <f aca="false">IF(COUNTA($A303,$F303,$G303,$H303,$I303,$J303)=0,"",IF($M303=0,"✖ كود الصف غير موجود",IF(ISNA(MATCH($F303,Lists!$A$2:$A$5,0)),"✖ الفترة غير صحيحة",IF(ISNA(MATCH($G303,Lists!$B$2:$B$7,0)),"✖ المجموعة غير صحيحة",IF(NOT(OR($H303="",$N303&gt;0)),"✖ Start غير صحيح",IF(NOT(OR($I303="",$I303="NR",$O303&gt;0)),"✖ Current غير صحيح",IF(NOT(IF(ISNUMBER($J303),AND($J303&gt;=0,$J303=INT($J303)),FALSE())),"✖ العدد يجب أن يكون صحيحًا ≥ 0",IF(AND($F303="Baseline",$H303&lt;&gt;""),"⚠ Baseline: Start لا يدخل في التقدم",IF($K303="No Start (attainment only)","ℹ تحصيل فقط (بدون Start)",IF($K303="U – needs rule","ℹ حالة U تحتاج قاعدة معتمدة",IF($K303="No result","ℹ بدون نتيجة (يُستبعد من التحصيل)","OK")))))))))))</f>
        <v/>
      </c>
      <c r="M303" s="64" t="n">
        <f aca="false">IF($A303="",0,IFERROR(MATCH($A303,Classes!$A$6:$A$420,0),0))</f>
        <v>0</v>
      </c>
      <c r="N303" s="64" t="n">
        <f aca="false">IF($H303="",0,IFERROR(MATCH($H303,GradeList,0),0))</f>
        <v>0</v>
      </c>
      <c r="O303" s="64" t="n">
        <f aca="false">IF(OR($I303="",$I303="NR"),0,IFERROR(MATCH($I303,GradeList,0),0))</f>
        <v>0</v>
      </c>
      <c r="P303" s="64" t="n">
        <f aca="false">IF(AND($M303&gt;0,ISNUMBER(MATCH($F303,Lists!$A$2:$A$5,0)),ISNUMBER(MATCH($G303,Lists!$B$2:$B$7,0)),OR($H303="",$N303&gt;0),OR($I303="",$I303="NR",$O303&gt;0),IF(ISNUMBER($J303),AND($J303&gt;=0,$J303=INT($J303)),FALSE())),$J303,0)</f>
        <v>0</v>
      </c>
      <c r="Q303" s="64" t="n">
        <f aca="false">IF(AND($P303&gt;0,$O303&gt;0),$P303,0)</f>
        <v>0</v>
      </c>
      <c r="R303" s="64" t="n">
        <f aca="false">IF(AND($Q303&gt;0,$O303&gt;=AtRank),$Q303,0)</f>
        <v>0</v>
      </c>
      <c r="S303" s="64" t="n">
        <f aca="false">IF(AND($Q303&gt;0,$O303&gt;=AboveRank),$Q303,0)</f>
        <v>0</v>
      </c>
      <c r="T303" s="64" t="n">
        <f aca="false">IF($K303="Less",$P303,0)</f>
        <v>0</v>
      </c>
      <c r="U303" s="64" t="n">
        <f aca="false">IF($K303="Expected",$P303,0)</f>
        <v>0</v>
      </c>
      <c r="V303" s="64" t="n">
        <f aca="false">IF($K303="Better",$P303,0)</f>
        <v>0</v>
      </c>
      <c r="W303" s="64" t="n">
        <f aca="false">IF($K303="U – needs rule",$P303,0)</f>
        <v>0</v>
      </c>
      <c r="X303" s="64" t="n">
        <f aca="false">IF($K303="No Start (attainment only)",$P303,0)</f>
        <v>0</v>
      </c>
    </row>
    <row r="304" customFormat="false" ht="15" hidden="false" customHeight="false" outlineLevel="0" collapsed="false">
      <c r="A304" s="60"/>
      <c r="B304" s="61" t="str">
        <f aca="false">IF($M304=0,"",INDEX(Classes!$E$6:$E$420,$M304))</f>
        <v/>
      </c>
      <c r="C304" s="62" t="str">
        <f aca="false">IF($M304=0,"",INDEX(Classes!$H$6:$H$420,$M304))</f>
        <v/>
      </c>
      <c r="D304" s="61" t="str">
        <f aca="false">IF($M304=0,"",INDEX(Classes!$B$6:$B$420,$M304))</f>
        <v/>
      </c>
      <c r="E304" s="61" t="str">
        <f aca="false">IF($M304=0,"",INDEX(Classes!$C$6:$C$420,$M304))</f>
        <v/>
      </c>
      <c r="F304" s="63"/>
      <c r="G304" s="63"/>
      <c r="H304" s="60"/>
      <c r="I304" s="60"/>
      <c r="J304" s="63"/>
      <c r="K304" s="61" t="str">
        <f aca="false">IF($P304=0,"",IF($F304="Baseline","— Baseline",IF($O304=0,"No result",IF($N304=0,"No Start (attainment only)",IF(OR($N304=1,$O304=1),"U – needs rule",INDEX(MxBody,MATCH($I304,MxCurr,0),MATCH($H304,MxStart,0)))))))</f>
        <v/>
      </c>
      <c r="L304" s="62" t="str">
        <f aca="false">IF(COUNTA($A304,$F304,$G304,$H304,$I304,$J304)=0,"",IF($M304=0,"✖ كود الصف غير موجود",IF(ISNA(MATCH($F304,Lists!$A$2:$A$5,0)),"✖ الفترة غير صحيحة",IF(ISNA(MATCH($G304,Lists!$B$2:$B$7,0)),"✖ المجموعة غير صحيحة",IF(NOT(OR($H304="",$N304&gt;0)),"✖ Start غير صحيح",IF(NOT(OR($I304="",$I304="NR",$O304&gt;0)),"✖ Current غير صحيح",IF(NOT(IF(ISNUMBER($J304),AND($J304&gt;=0,$J304=INT($J304)),FALSE())),"✖ العدد يجب أن يكون صحيحًا ≥ 0",IF(AND($F304="Baseline",$H304&lt;&gt;""),"⚠ Baseline: Start لا يدخل في التقدم",IF($K304="No Start (attainment only)","ℹ تحصيل فقط (بدون Start)",IF($K304="U – needs rule","ℹ حالة U تحتاج قاعدة معتمدة",IF($K304="No result","ℹ بدون نتيجة (يُستبعد من التحصيل)","OK")))))))))))</f>
        <v/>
      </c>
      <c r="M304" s="64" t="n">
        <f aca="false">IF($A304="",0,IFERROR(MATCH($A304,Classes!$A$6:$A$420,0),0))</f>
        <v>0</v>
      </c>
      <c r="N304" s="64" t="n">
        <f aca="false">IF($H304="",0,IFERROR(MATCH($H304,GradeList,0),0))</f>
        <v>0</v>
      </c>
      <c r="O304" s="64" t="n">
        <f aca="false">IF(OR($I304="",$I304="NR"),0,IFERROR(MATCH($I304,GradeList,0),0))</f>
        <v>0</v>
      </c>
      <c r="P304" s="64" t="n">
        <f aca="false">IF(AND($M304&gt;0,ISNUMBER(MATCH($F304,Lists!$A$2:$A$5,0)),ISNUMBER(MATCH($G304,Lists!$B$2:$B$7,0)),OR($H304="",$N304&gt;0),OR($I304="",$I304="NR",$O304&gt;0),IF(ISNUMBER($J304),AND($J304&gt;=0,$J304=INT($J304)),FALSE())),$J304,0)</f>
        <v>0</v>
      </c>
      <c r="Q304" s="64" t="n">
        <f aca="false">IF(AND($P304&gt;0,$O304&gt;0),$P304,0)</f>
        <v>0</v>
      </c>
      <c r="R304" s="64" t="n">
        <f aca="false">IF(AND($Q304&gt;0,$O304&gt;=AtRank),$Q304,0)</f>
        <v>0</v>
      </c>
      <c r="S304" s="64" t="n">
        <f aca="false">IF(AND($Q304&gt;0,$O304&gt;=AboveRank),$Q304,0)</f>
        <v>0</v>
      </c>
      <c r="T304" s="64" t="n">
        <f aca="false">IF($K304="Less",$P304,0)</f>
        <v>0</v>
      </c>
      <c r="U304" s="64" t="n">
        <f aca="false">IF($K304="Expected",$P304,0)</f>
        <v>0</v>
      </c>
      <c r="V304" s="64" t="n">
        <f aca="false">IF($K304="Better",$P304,0)</f>
        <v>0</v>
      </c>
      <c r="W304" s="64" t="n">
        <f aca="false">IF($K304="U – needs rule",$P304,0)</f>
        <v>0</v>
      </c>
      <c r="X304" s="64" t="n">
        <f aca="false">IF($K304="No Start (attainment only)",$P304,0)</f>
        <v>0</v>
      </c>
    </row>
    <row r="305" customFormat="false" ht="15" hidden="false" customHeight="false" outlineLevel="0" collapsed="false">
      <c r="A305" s="60"/>
      <c r="B305" s="61" t="str">
        <f aca="false">IF($M305=0,"",INDEX(Classes!$E$6:$E$420,$M305))</f>
        <v/>
      </c>
      <c r="C305" s="62" t="str">
        <f aca="false">IF($M305=0,"",INDEX(Classes!$H$6:$H$420,$M305))</f>
        <v/>
      </c>
      <c r="D305" s="61" t="str">
        <f aca="false">IF($M305=0,"",INDEX(Classes!$B$6:$B$420,$M305))</f>
        <v/>
      </c>
      <c r="E305" s="61" t="str">
        <f aca="false">IF($M305=0,"",INDEX(Classes!$C$6:$C$420,$M305))</f>
        <v/>
      </c>
      <c r="F305" s="63"/>
      <c r="G305" s="63"/>
      <c r="H305" s="60"/>
      <c r="I305" s="60"/>
      <c r="J305" s="63"/>
      <c r="K305" s="61" t="str">
        <f aca="false">IF($P305=0,"",IF($F305="Baseline","— Baseline",IF($O305=0,"No result",IF($N305=0,"No Start (attainment only)",IF(OR($N305=1,$O305=1),"U – needs rule",INDEX(MxBody,MATCH($I305,MxCurr,0),MATCH($H305,MxStart,0)))))))</f>
        <v/>
      </c>
      <c r="L305" s="62" t="str">
        <f aca="false">IF(COUNTA($A305,$F305,$G305,$H305,$I305,$J305)=0,"",IF($M305=0,"✖ كود الصف غير موجود",IF(ISNA(MATCH($F305,Lists!$A$2:$A$5,0)),"✖ الفترة غير صحيحة",IF(ISNA(MATCH($G305,Lists!$B$2:$B$7,0)),"✖ المجموعة غير صحيحة",IF(NOT(OR($H305="",$N305&gt;0)),"✖ Start غير صحيح",IF(NOT(OR($I305="",$I305="NR",$O305&gt;0)),"✖ Current غير صحيح",IF(NOT(IF(ISNUMBER($J305),AND($J305&gt;=0,$J305=INT($J305)),FALSE())),"✖ العدد يجب أن يكون صحيحًا ≥ 0",IF(AND($F305="Baseline",$H305&lt;&gt;""),"⚠ Baseline: Start لا يدخل في التقدم",IF($K305="No Start (attainment only)","ℹ تحصيل فقط (بدون Start)",IF($K305="U – needs rule","ℹ حالة U تحتاج قاعدة معتمدة",IF($K305="No result","ℹ بدون نتيجة (يُستبعد من التحصيل)","OK")))))))))))</f>
        <v/>
      </c>
      <c r="M305" s="64" t="n">
        <f aca="false">IF($A305="",0,IFERROR(MATCH($A305,Classes!$A$6:$A$420,0),0))</f>
        <v>0</v>
      </c>
      <c r="N305" s="64" t="n">
        <f aca="false">IF($H305="",0,IFERROR(MATCH($H305,GradeList,0),0))</f>
        <v>0</v>
      </c>
      <c r="O305" s="64" t="n">
        <f aca="false">IF(OR($I305="",$I305="NR"),0,IFERROR(MATCH($I305,GradeList,0),0))</f>
        <v>0</v>
      </c>
      <c r="P305" s="64" t="n">
        <f aca="false">IF(AND($M305&gt;0,ISNUMBER(MATCH($F305,Lists!$A$2:$A$5,0)),ISNUMBER(MATCH($G305,Lists!$B$2:$B$7,0)),OR($H305="",$N305&gt;0),OR($I305="",$I305="NR",$O305&gt;0),IF(ISNUMBER($J305),AND($J305&gt;=0,$J305=INT($J305)),FALSE())),$J305,0)</f>
        <v>0</v>
      </c>
      <c r="Q305" s="64" t="n">
        <f aca="false">IF(AND($P305&gt;0,$O305&gt;0),$P305,0)</f>
        <v>0</v>
      </c>
      <c r="R305" s="64" t="n">
        <f aca="false">IF(AND($Q305&gt;0,$O305&gt;=AtRank),$Q305,0)</f>
        <v>0</v>
      </c>
      <c r="S305" s="64" t="n">
        <f aca="false">IF(AND($Q305&gt;0,$O305&gt;=AboveRank),$Q305,0)</f>
        <v>0</v>
      </c>
      <c r="T305" s="64" t="n">
        <f aca="false">IF($K305="Less",$P305,0)</f>
        <v>0</v>
      </c>
      <c r="U305" s="64" t="n">
        <f aca="false">IF($K305="Expected",$P305,0)</f>
        <v>0</v>
      </c>
      <c r="V305" s="64" t="n">
        <f aca="false">IF($K305="Better",$P305,0)</f>
        <v>0</v>
      </c>
      <c r="W305" s="64" t="n">
        <f aca="false">IF($K305="U – needs rule",$P305,0)</f>
        <v>0</v>
      </c>
      <c r="X305" s="64" t="n">
        <f aca="false">IF($K305="No Start (attainment only)",$P305,0)</f>
        <v>0</v>
      </c>
    </row>
    <row r="306" customFormat="false" ht="15" hidden="false" customHeight="false" outlineLevel="0" collapsed="false">
      <c r="A306" s="60"/>
      <c r="B306" s="61" t="str">
        <f aca="false">IF($M306=0,"",INDEX(Classes!$E$6:$E$420,$M306))</f>
        <v/>
      </c>
      <c r="C306" s="62" t="str">
        <f aca="false">IF($M306=0,"",INDEX(Classes!$H$6:$H$420,$M306))</f>
        <v/>
      </c>
      <c r="D306" s="61" t="str">
        <f aca="false">IF($M306=0,"",INDEX(Classes!$B$6:$B$420,$M306))</f>
        <v/>
      </c>
      <c r="E306" s="61" t="str">
        <f aca="false">IF($M306=0,"",INDEX(Classes!$C$6:$C$420,$M306))</f>
        <v/>
      </c>
      <c r="F306" s="63"/>
      <c r="G306" s="63"/>
      <c r="H306" s="60"/>
      <c r="I306" s="60"/>
      <c r="J306" s="63"/>
      <c r="K306" s="61" t="str">
        <f aca="false">IF($P306=0,"",IF($F306="Baseline","— Baseline",IF($O306=0,"No result",IF($N306=0,"No Start (attainment only)",IF(OR($N306=1,$O306=1),"U – needs rule",INDEX(MxBody,MATCH($I306,MxCurr,0),MATCH($H306,MxStart,0)))))))</f>
        <v/>
      </c>
      <c r="L306" s="62" t="str">
        <f aca="false">IF(COUNTA($A306,$F306,$G306,$H306,$I306,$J306)=0,"",IF($M306=0,"✖ كود الصف غير موجود",IF(ISNA(MATCH($F306,Lists!$A$2:$A$5,0)),"✖ الفترة غير صحيحة",IF(ISNA(MATCH($G306,Lists!$B$2:$B$7,0)),"✖ المجموعة غير صحيحة",IF(NOT(OR($H306="",$N306&gt;0)),"✖ Start غير صحيح",IF(NOT(OR($I306="",$I306="NR",$O306&gt;0)),"✖ Current غير صحيح",IF(NOT(IF(ISNUMBER($J306),AND($J306&gt;=0,$J306=INT($J306)),FALSE())),"✖ العدد يجب أن يكون صحيحًا ≥ 0",IF(AND($F306="Baseline",$H306&lt;&gt;""),"⚠ Baseline: Start لا يدخل في التقدم",IF($K306="No Start (attainment only)","ℹ تحصيل فقط (بدون Start)",IF($K306="U – needs rule","ℹ حالة U تحتاج قاعدة معتمدة",IF($K306="No result","ℹ بدون نتيجة (يُستبعد من التحصيل)","OK")))))))))))</f>
        <v/>
      </c>
      <c r="M306" s="64" t="n">
        <f aca="false">IF($A306="",0,IFERROR(MATCH($A306,Classes!$A$6:$A$420,0),0))</f>
        <v>0</v>
      </c>
      <c r="N306" s="64" t="n">
        <f aca="false">IF($H306="",0,IFERROR(MATCH($H306,GradeList,0),0))</f>
        <v>0</v>
      </c>
      <c r="O306" s="64" t="n">
        <f aca="false">IF(OR($I306="",$I306="NR"),0,IFERROR(MATCH($I306,GradeList,0),0))</f>
        <v>0</v>
      </c>
      <c r="P306" s="64" t="n">
        <f aca="false">IF(AND($M306&gt;0,ISNUMBER(MATCH($F306,Lists!$A$2:$A$5,0)),ISNUMBER(MATCH($G306,Lists!$B$2:$B$7,0)),OR($H306="",$N306&gt;0),OR($I306="",$I306="NR",$O306&gt;0),IF(ISNUMBER($J306),AND($J306&gt;=0,$J306=INT($J306)),FALSE())),$J306,0)</f>
        <v>0</v>
      </c>
      <c r="Q306" s="64" t="n">
        <f aca="false">IF(AND($P306&gt;0,$O306&gt;0),$P306,0)</f>
        <v>0</v>
      </c>
      <c r="R306" s="64" t="n">
        <f aca="false">IF(AND($Q306&gt;0,$O306&gt;=AtRank),$Q306,0)</f>
        <v>0</v>
      </c>
      <c r="S306" s="64" t="n">
        <f aca="false">IF(AND($Q306&gt;0,$O306&gt;=AboveRank),$Q306,0)</f>
        <v>0</v>
      </c>
      <c r="T306" s="64" t="n">
        <f aca="false">IF($K306="Less",$P306,0)</f>
        <v>0</v>
      </c>
      <c r="U306" s="64" t="n">
        <f aca="false">IF($K306="Expected",$P306,0)</f>
        <v>0</v>
      </c>
      <c r="V306" s="64" t="n">
        <f aca="false">IF($K306="Better",$P306,0)</f>
        <v>0</v>
      </c>
      <c r="W306" s="64" t="n">
        <f aca="false">IF($K306="U – needs rule",$P306,0)</f>
        <v>0</v>
      </c>
      <c r="X306" s="64" t="n">
        <f aca="false">IF($K306="No Start (attainment only)",$P306,0)</f>
        <v>0</v>
      </c>
    </row>
    <row r="307" customFormat="false" ht="15" hidden="false" customHeight="false" outlineLevel="0" collapsed="false">
      <c r="A307" s="60"/>
      <c r="B307" s="61" t="str">
        <f aca="false">IF($M307=0,"",INDEX(Classes!$E$6:$E$420,$M307))</f>
        <v/>
      </c>
      <c r="C307" s="62" t="str">
        <f aca="false">IF($M307=0,"",INDEX(Classes!$H$6:$H$420,$M307))</f>
        <v/>
      </c>
      <c r="D307" s="61" t="str">
        <f aca="false">IF($M307=0,"",INDEX(Classes!$B$6:$B$420,$M307))</f>
        <v/>
      </c>
      <c r="E307" s="61" t="str">
        <f aca="false">IF($M307=0,"",INDEX(Classes!$C$6:$C$420,$M307))</f>
        <v/>
      </c>
      <c r="F307" s="63"/>
      <c r="G307" s="63"/>
      <c r="H307" s="60"/>
      <c r="I307" s="60"/>
      <c r="J307" s="63"/>
      <c r="K307" s="61" t="str">
        <f aca="false">IF($P307=0,"",IF($F307="Baseline","— Baseline",IF($O307=0,"No result",IF($N307=0,"No Start (attainment only)",IF(OR($N307=1,$O307=1),"U – needs rule",INDEX(MxBody,MATCH($I307,MxCurr,0),MATCH($H307,MxStart,0)))))))</f>
        <v/>
      </c>
      <c r="L307" s="62" t="str">
        <f aca="false">IF(COUNTA($A307,$F307,$G307,$H307,$I307,$J307)=0,"",IF($M307=0,"✖ كود الصف غير موجود",IF(ISNA(MATCH($F307,Lists!$A$2:$A$5,0)),"✖ الفترة غير صحيحة",IF(ISNA(MATCH($G307,Lists!$B$2:$B$7,0)),"✖ المجموعة غير صحيحة",IF(NOT(OR($H307="",$N307&gt;0)),"✖ Start غير صحيح",IF(NOT(OR($I307="",$I307="NR",$O307&gt;0)),"✖ Current غير صحيح",IF(NOT(IF(ISNUMBER($J307),AND($J307&gt;=0,$J307=INT($J307)),FALSE())),"✖ العدد يجب أن يكون صحيحًا ≥ 0",IF(AND($F307="Baseline",$H307&lt;&gt;""),"⚠ Baseline: Start لا يدخل في التقدم",IF($K307="No Start (attainment only)","ℹ تحصيل فقط (بدون Start)",IF($K307="U – needs rule","ℹ حالة U تحتاج قاعدة معتمدة",IF($K307="No result","ℹ بدون نتيجة (يُستبعد من التحصيل)","OK")))))))))))</f>
        <v/>
      </c>
      <c r="M307" s="64" t="n">
        <f aca="false">IF($A307="",0,IFERROR(MATCH($A307,Classes!$A$6:$A$420,0),0))</f>
        <v>0</v>
      </c>
      <c r="N307" s="64" t="n">
        <f aca="false">IF($H307="",0,IFERROR(MATCH($H307,GradeList,0),0))</f>
        <v>0</v>
      </c>
      <c r="O307" s="64" t="n">
        <f aca="false">IF(OR($I307="",$I307="NR"),0,IFERROR(MATCH($I307,GradeList,0),0))</f>
        <v>0</v>
      </c>
      <c r="P307" s="64" t="n">
        <f aca="false">IF(AND($M307&gt;0,ISNUMBER(MATCH($F307,Lists!$A$2:$A$5,0)),ISNUMBER(MATCH($G307,Lists!$B$2:$B$7,0)),OR($H307="",$N307&gt;0),OR($I307="",$I307="NR",$O307&gt;0),IF(ISNUMBER($J307),AND($J307&gt;=0,$J307=INT($J307)),FALSE())),$J307,0)</f>
        <v>0</v>
      </c>
      <c r="Q307" s="64" t="n">
        <f aca="false">IF(AND($P307&gt;0,$O307&gt;0),$P307,0)</f>
        <v>0</v>
      </c>
      <c r="R307" s="64" t="n">
        <f aca="false">IF(AND($Q307&gt;0,$O307&gt;=AtRank),$Q307,0)</f>
        <v>0</v>
      </c>
      <c r="S307" s="64" t="n">
        <f aca="false">IF(AND($Q307&gt;0,$O307&gt;=AboveRank),$Q307,0)</f>
        <v>0</v>
      </c>
      <c r="T307" s="64" t="n">
        <f aca="false">IF($K307="Less",$P307,0)</f>
        <v>0</v>
      </c>
      <c r="U307" s="64" t="n">
        <f aca="false">IF($K307="Expected",$P307,0)</f>
        <v>0</v>
      </c>
      <c r="V307" s="64" t="n">
        <f aca="false">IF($K307="Better",$P307,0)</f>
        <v>0</v>
      </c>
      <c r="W307" s="64" t="n">
        <f aca="false">IF($K307="U – needs rule",$P307,0)</f>
        <v>0</v>
      </c>
      <c r="X307" s="64" t="n">
        <f aca="false">IF($K307="No Start (attainment only)",$P307,0)</f>
        <v>0</v>
      </c>
    </row>
    <row r="308" customFormat="false" ht="15" hidden="false" customHeight="false" outlineLevel="0" collapsed="false">
      <c r="A308" s="60"/>
      <c r="B308" s="61" t="str">
        <f aca="false">IF($M308=0,"",INDEX(Classes!$E$6:$E$420,$M308))</f>
        <v/>
      </c>
      <c r="C308" s="62" t="str">
        <f aca="false">IF($M308=0,"",INDEX(Classes!$H$6:$H$420,$M308))</f>
        <v/>
      </c>
      <c r="D308" s="61" t="str">
        <f aca="false">IF($M308=0,"",INDEX(Classes!$B$6:$B$420,$M308))</f>
        <v/>
      </c>
      <c r="E308" s="61" t="str">
        <f aca="false">IF($M308=0,"",INDEX(Classes!$C$6:$C$420,$M308))</f>
        <v/>
      </c>
      <c r="F308" s="63"/>
      <c r="G308" s="63"/>
      <c r="H308" s="60"/>
      <c r="I308" s="60"/>
      <c r="J308" s="63"/>
      <c r="K308" s="61" t="str">
        <f aca="false">IF($P308=0,"",IF($F308="Baseline","— Baseline",IF($O308=0,"No result",IF($N308=0,"No Start (attainment only)",IF(OR($N308=1,$O308=1),"U – needs rule",INDEX(MxBody,MATCH($I308,MxCurr,0),MATCH($H308,MxStart,0)))))))</f>
        <v/>
      </c>
      <c r="L308" s="62" t="str">
        <f aca="false">IF(COUNTA($A308,$F308,$G308,$H308,$I308,$J308)=0,"",IF($M308=0,"✖ كود الصف غير موجود",IF(ISNA(MATCH($F308,Lists!$A$2:$A$5,0)),"✖ الفترة غير صحيحة",IF(ISNA(MATCH($G308,Lists!$B$2:$B$7,0)),"✖ المجموعة غير صحيحة",IF(NOT(OR($H308="",$N308&gt;0)),"✖ Start غير صحيح",IF(NOT(OR($I308="",$I308="NR",$O308&gt;0)),"✖ Current غير صحيح",IF(NOT(IF(ISNUMBER($J308),AND($J308&gt;=0,$J308=INT($J308)),FALSE())),"✖ العدد يجب أن يكون صحيحًا ≥ 0",IF(AND($F308="Baseline",$H308&lt;&gt;""),"⚠ Baseline: Start لا يدخل في التقدم",IF($K308="No Start (attainment only)","ℹ تحصيل فقط (بدون Start)",IF($K308="U – needs rule","ℹ حالة U تحتاج قاعدة معتمدة",IF($K308="No result","ℹ بدون نتيجة (يُستبعد من التحصيل)","OK")))))))))))</f>
        <v/>
      </c>
      <c r="M308" s="64" t="n">
        <f aca="false">IF($A308="",0,IFERROR(MATCH($A308,Classes!$A$6:$A$420,0),0))</f>
        <v>0</v>
      </c>
      <c r="N308" s="64" t="n">
        <f aca="false">IF($H308="",0,IFERROR(MATCH($H308,GradeList,0),0))</f>
        <v>0</v>
      </c>
      <c r="O308" s="64" t="n">
        <f aca="false">IF(OR($I308="",$I308="NR"),0,IFERROR(MATCH($I308,GradeList,0),0))</f>
        <v>0</v>
      </c>
      <c r="P308" s="64" t="n">
        <f aca="false">IF(AND($M308&gt;0,ISNUMBER(MATCH($F308,Lists!$A$2:$A$5,0)),ISNUMBER(MATCH($G308,Lists!$B$2:$B$7,0)),OR($H308="",$N308&gt;0),OR($I308="",$I308="NR",$O308&gt;0),IF(ISNUMBER($J308),AND($J308&gt;=0,$J308=INT($J308)),FALSE())),$J308,0)</f>
        <v>0</v>
      </c>
      <c r="Q308" s="64" t="n">
        <f aca="false">IF(AND($P308&gt;0,$O308&gt;0),$P308,0)</f>
        <v>0</v>
      </c>
      <c r="R308" s="64" t="n">
        <f aca="false">IF(AND($Q308&gt;0,$O308&gt;=AtRank),$Q308,0)</f>
        <v>0</v>
      </c>
      <c r="S308" s="64" t="n">
        <f aca="false">IF(AND($Q308&gt;0,$O308&gt;=AboveRank),$Q308,0)</f>
        <v>0</v>
      </c>
      <c r="T308" s="64" t="n">
        <f aca="false">IF($K308="Less",$P308,0)</f>
        <v>0</v>
      </c>
      <c r="U308" s="64" t="n">
        <f aca="false">IF($K308="Expected",$P308,0)</f>
        <v>0</v>
      </c>
      <c r="V308" s="64" t="n">
        <f aca="false">IF($K308="Better",$P308,0)</f>
        <v>0</v>
      </c>
      <c r="W308" s="64" t="n">
        <f aca="false">IF($K308="U – needs rule",$P308,0)</f>
        <v>0</v>
      </c>
      <c r="X308" s="64" t="n">
        <f aca="false">IF($K308="No Start (attainment only)",$P308,0)</f>
        <v>0</v>
      </c>
    </row>
    <row r="309" customFormat="false" ht="15" hidden="false" customHeight="false" outlineLevel="0" collapsed="false">
      <c r="A309" s="60"/>
      <c r="B309" s="61" t="str">
        <f aca="false">IF($M309=0,"",INDEX(Classes!$E$6:$E$420,$M309))</f>
        <v/>
      </c>
      <c r="C309" s="62" t="str">
        <f aca="false">IF($M309=0,"",INDEX(Classes!$H$6:$H$420,$M309))</f>
        <v/>
      </c>
      <c r="D309" s="61" t="str">
        <f aca="false">IF($M309=0,"",INDEX(Classes!$B$6:$B$420,$M309))</f>
        <v/>
      </c>
      <c r="E309" s="61" t="str">
        <f aca="false">IF($M309=0,"",INDEX(Classes!$C$6:$C$420,$M309))</f>
        <v/>
      </c>
      <c r="F309" s="63"/>
      <c r="G309" s="63"/>
      <c r="H309" s="60"/>
      <c r="I309" s="60"/>
      <c r="J309" s="63"/>
      <c r="K309" s="61" t="str">
        <f aca="false">IF($P309=0,"",IF($F309="Baseline","— Baseline",IF($O309=0,"No result",IF($N309=0,"No Start (attainment only)",IF(OR($N309=1,$O309=1),"U – needs rule",INDEX(MxBody,MATCH($I309,MxCurr,0),MATCH($H309,MxStart,0)))))))</f>
        <v/>
      </c>
      <c r="L309" s="62" t="str">
        <f aca="false">IF(COUNTA($A309,$F309,$G309,$H309,$I309,$J309)=0,"",IF($M309=0,"✖ كود الصف غير موجود",IF(ISNA(MATCH($F309,Lists!$A$2:$A$5,0)),"✖ الفترة غير صحيحة",IF(ISNA(MATCH($G309,Lists!$B$2:$B$7,0)),"✖ المجموعة غير صحيحة",IF(NOT(OR($H309="",$N309&gt;0)),"✖ Start غير صحيح",IF(NOT(OR($I309="",$I309="NR",$O309&gt;0)),"✖ Current غير صحيح",IF(NOT(IF(ISNUMBER($J309),AND($J309&gt;=0,$J309=INT($J309)),FALSE())),"✖ العدد يجب أن يكون صحيحًا ≥ 0",IF(AND($F309="Baseline",$H309&lt;&gt;""),"⚠ Baseline: Start لا يدخل في التقدم",IF($K309="No Start (attainment only)","ℹ تحصيل فقط (بدون Start)",IF($K309="U – needs rule","ℹ حالة U تحتاج قاعدة معتمدة",IF($K309="No result","ℹ بدون نتيجة (يُستبعد من التحصيل)","OK")))))))))))</f>
        <v/>
      </c>
      <c r="M309" s="64" t="n">
        <f aca="false">IF($A309="",0,IFERROR(MATCH($A309,Classes!$A$6:$A$420,0),0))</f>
        <v>0</v>
      </c>
      <c r="N309" s="64" t="n">
        <f aca="false">IF($H309="",0,IFERROR(MATCH($H309,GradeList,0),0))</f>
        <v>0</v>
      </c>
      <c r="O309" s="64" t="n">
        <f aca="false">IF(OR($I309="",$I309="NR"),0,IFERROR(MATCH($I309,GradeList,0),0))</f>
        <v>0</v>
      </c>
      <c r="P309" s="64" t="n">
        <f aca="false">IF(AND($M309&gt;0,ISNUMBER(MATCH($F309,Lists!$A$2:$A$5,0)),ISNUMBER(MATCH($G309,Lists!$B$2:$B$7,0)),OR($H309="",$N309&gt;0),OR($I309="",$I309="NR",$O309&gt;0),IF(ISNUMBER($J309),AND($J309&gt;=0,$J309=INT($J309)),FALSE())),$J309,0)</f>
        <v>0</v>
      </c>
      <c r="Q309" s="64" t="n">
        <f aca="false">IF(AND($P309&gt;0,$O309&gt;0),$P309,0)</f>
        <v>0</v>
      </c>
      <c r="R309" s="64" t="n">
        <f aca="false">IF(AND($Q309&gt;0,$O309&gt;=AtRank),$Q309,0)</f>
        <v>0</v>
      </c>
      <c r="S309" s="64" t="n">
        <f aca="false">IF(AND($Q309&gt;0,$O309&gt;=AboveRank),$Q309,0)</f>
        <v>0</v>
      </c>
      <c r="T309" s="64" t="n">
        <f aca="false">IF($K309="Less",$P309,0)</f>
        <v>0</v>
      </c>
      <c r="U309" s="64" t="n">
        <f aca="false">IF($K309="Expected",$P309,0)</f>
        <v>0</v>
      </c>
      <c r="V309" s="64" t="n">
        <f aca="false">IF($K309="Better",$P309,0)</f>
        <v>0</v>
      </c>
      <c r="W309" s="64" t="n">
        <f aca="false">IF($K309="U – needs rule",$P309,0)</f>
        <v>0</v>
      </c>
      <c r="X309" s="64" t="n">
        <f aca="false">IF($K309="No Start (attainment only)",$P309,0)</f>
        <v>0</v>
      </c>
    </row>
    <row r="310" customFormat="false" ht="15" hidden="false" customHeight="false" outlineLevel="0" collapsed="false">
      <c r="A310" s="60"/>
      <c r="B310" s="61" t="str">
        <f aca="false">IF($M310=0,"",INDEX(Classes!$E$6:$E$420,$M310))</f>
        <v/>
      </c>
      <c r="C310" s="62" t="str">
        <f aca="false">IF($M310=0,"",INDEX(Classes!$H$6:$H$420,$M310))</f>
        <v/>
      </c>
      <c r="D310" s="61" t="str">
        <f aca="false">IF($M310=0,"",INDEX(Classes!$B$6:$B$420,$M310))</f>
        <v/>
      </c>
      <c r="E310" s="61" t="str">
        <f aca="false">IF($M310=0,"",INDEX(Classes!$C$6:$C$420,$M310))</f>
        <v/>
      </c>
      <c r="F310" s="63"/>
      <c r="G310" s="63"/>
      <c r="H310" s="60"/>
      <c r="I310" s="60"/>
      <c r="J310" s="63"/>
      <c r="K310" s="61" t="str">
        <f aca="false">IF($P310=0,"",IF($F310="Baseline","— Baseline",IF($O310=0,"No result",IF($N310=0,"No Start (attainment only)",IF(OR($N310=1,$O310=1),"U – needs rule",INDEX(MxBody,MATCH($I310,MxCurr,0),MATCH($H310,MxStart,0)))))))</f>
        <v/>
      </c>
      <c r="L310" s="62" t="str">
        <f aca="false">IF(COUNTA($A310,$F310,$G310,$H310,$I310,$J310)=0,"",IF($M310=0,"✖ كود الصف غير موجود",IF(ISNA(MATCH($F310,Lists!$A$2:$A$5,0)),"✖ الفترة غير صحيحة",IF(ISNA(MATCH($G310,Lists!$B$2:$B$7,0)),"✖ المجموعة غير صحيحة",IF(NOT(OR($H310="",$N310&gt;0)),"✖ Start غير صحيح",IF(NOT(OR($I310="",$I310="NR",$O310&gt;0)),"✖ Current غير صحيح",IF(NOT(IF(ISNUMBER($J310),AND($J310&gt;=0,$J310=INT($J310)),FALSE())),"✖ العدد يجب أن يكون صحيحًا ≥ 0",IF(AND($F310="Baseline",$H310&lt;&gt;""),"⚠ Baseline: Start لا يدخل في التقدم",IF($K310="No Start (attainment only)","ℹ تحصيل فقط (بدون Start)",IF($K310="U – needs rule","ℹ حالة U تحتاج قاعدة معتمدة",IF($K310="No result","ℹ بدون نتيجة (يُستبعد من التحصيل)","OK")))))))))))</f>
        <v/>
      </c>
      <c r="M310" s="64" t="n">
        <f aca="false">IF($A310="",0,IFERROR(MATCH($A310,Classes!$A$6:$A$420,0),0))</f>
        <v>0</v>
      </c>
      <c r="N310" s="64" t="n">
        <f aca="false">IF($H310="",0,IFERROR(MATCH($H310,GradeList,0),0))</f>
        <v>0</v>
      </c>
      <c r="O310" s="64" t="n">
        <f aca="false">IF(OR($I310="",$I310="NR"),0,IFERROR(MATCH($I310,GradeList,0),0))</f>
        <v>0</v>
      </c>
      <c r="P310" s="64" t="n">
        <f aca="false">IF(AND($M310&gt;0,ISNUMBER(MATCH($F310,Lists!$A$2:$A$5,0)),ISNUMBER(MATCH($G310,Lists!$B$2:$B$7,0)),OR($H310="",$N310&gt;0),OR($I310="",$I310="NR",$O310&gt;0),IF(ISNUMBER($J310),AND($J310&gt;=0,$J310=INT($J310)),FALSE())),$J310,0)</f>
        <v>0</v>
      </c>
      <c r="Q310" s="64" t="n">
        <f aca="false">IF(AND($P310&gt;0,$O310&gt;0),$P310,0)</f>
        <v>0</v>
      </c>
      <c r="R310" s="64" t="n">
        <f aca="false">IF(AND($Q310&gt;0,$O310&gt;=AtRank),$Q310,0)</f>
        <v>0</v>
      </c>
      <c r="S310" s="64" t="n">
        <f aca="false">IF(AND($Q310&gt;0,$O310&gt;=AboveRank),$Q310,0)</f>
        <v>0</v>
      </c>
      <c r="T310" s="64" t="n">
        <f aca="false">IF($K310="Less",$P310,0)</f>
        <v>0</v>
      </c>
      <c r="U310" s="64" t="n">
        <f aca="false">IF($K310="Expected",$P310,0)</f>
        <v>0</v>
      </c>
      <c r="V310" s="64" t="n">
        <f aca="false">IF($K310="Better",$P310,0)</f>
        <v>0</v>
      </c>
      <c r="W310" s="64" t="n">
        <f aca="false">IF($K310="U – needs rule",$P310,0)</f>
        <v>0</v>
      </c>
      <c r="X310" s="64" t="n">
        <f aca="false">IF($K310="No Start (attainment only)",$P310,0)</f>
        <v>0</v>
      </c>
    </row>
    <row r="311" customFormat="false" ht="15" hidden="false" customHeight="false" outlineLevel="0" collapsed="false">
      <c r="A311" s="60"/>
      <c r="B311" s="61" t="str">
        <f aca="false">IF($M311=0,"",INDEX(Classes!$E$6:$E$420,$M311))</f>
        <v/>
      </c>
      <c r="C311" s="62" t="str">
        <f aca="false">IF($M311=0,"",INDEX(Classes!$H$6:$H$420,$M311))</f>
        <v/>
      </c>
      <c r="D311" s="61" t="str">
        <f aca="false">IF($M311=0,"",INDEX(Classes!$B$6:$B$420,$M311))</f>
        <v/>
      </c>
      <c r="E311" s="61" t="str">
        <f aca="false">IF($M311=0,"",INDEX(Classes!$C$6:$C$420,$M311))</f>
        <v/>
      </c>
      <c r="F311" s="63"/>
      <c r="G311" s="63"/>
      <c r="H311" s="60"/>
      <c r="I311" s="60"/>
      <c r="J311" s="63"/>
      <c r="K311" s="61" t="str">
        <f aca="false">IF($P311=0,"",IF($F311="Baseline","— Baseline",IF($O311=0,"No result",IF($N311=0,"No Start (attainment only)",IF(OR($N311=1,$O311=1),"U – needs rule",INDEX(MxBody,MATCH($I311,MxCurr,0),MATCH($H311,MxStart,0)))))))</f>
        <v/>
      </c>
      <c r="L311" s="62" t="str">
        <f aca="false">IF(COUNTA($A311,$F311,$G311,$H311,$I311,$J311)=0,"",IF($M311=0,"✖ كود الصف غير موجود",IF(ISNA(MATCH($F311,Lists!$A$2:$A$5,0)),"✖ الفترة غير صحيحة",IF(ISNA(MATCH($G311,Lists!$B$2:$B$7,0)),"✖ المجموعة غير صحيحة",IF(NOT(OR($H311="",$N311&gt;0)),"✖ Start غير صحيح",IF(NOT(OR($I311="",$I311="NR",$O311&gt;0)),"✖ Current غير صحيح",IF(NOT(IF(ISNUMBER($J311),AND($J311&gt;=0,$J311=INT($J311)),FALSE())),"✖ العدد يجب أن يكون صحيحًا ≥ 0",IF(AND($F311="Baseline",$H311&lt;&gt;""),"⚠ Baseline: Start لا يدخل في التقدم",IF($K311="No Start (attainment only)","ℹ تحصيل فقط (بدون Start)",IF($K311="U – needs rule","ℹ حالة U تحتاج قاعدة معتمدة",IF($K311="No result","ℹ بدون نتيجة (يُستبعد من التحصيل)","OK")))))))))))</f>
        <v/>
      </c>
      <c r="M311" s="64" t="n">
        <f aca="false">IF($A311="",0,IFERROR(MATCH($A311,Classes!$A$6:$A$420,0),0))</f>
        <v>0</v>
      </c>
      <c r="N311" s="64" t="n">
        <f aca="false">IF($H311="",0,IFERROR(MATCH($H311,GradeList,0),0))</f>
        <v>0</v>
      </c>
      <c r="O311" s="64" t="n">
        <f aca="false">IF(OR($I311="",$I311="NR"),0,IFERROR(MATCH($I311,GradeList,0),0))</f>
        <v>0</v>
      </c>
      <c r="P311" s="64" t="n">
        <f aca="false">IF(AND($M311&gt;0,ISNUMBER(MATCH($F311,Lists!$A$2:$A$5,0)),ISNUMBER(MATCH($G311,Lists!$B$2:$B$7,0)),OR($H311="",$N311&gt;0),OR($I311="",$I311="NR",$O311&gt;0),IF(ISNUMBER($J311),AND($J311&gt;=0,$J311=INT($J311)),FALSE())),$J311,0)</f>
        <v>0</v>
      </c>
      <c r="Q311" s="64" t="n">
        <f aca="false">IF(AND($P311&gt;0,$O311&gt;0),$P311,0)</f>
        <v>0</v>
      </c>
      <c r="R311" s="64" t="n">
        <f aca="false">IF(AND($Q311&gt;0,$O311&gt;=AtRank),$Q311,0)</f>
        <v>0</v>
      </c>
      <c r="S311" s="64" t="n">
        <f aca="false">IF(AND($Q311&gt;0,$O311&gt;=AboveRank),$Q311,0)</f>
        <v>0</v>
      </c>
      <c r="T311" s="64" t="n">
        <f aca="false">IF($K311="Less",$P311,0)</f>
        <v>0</v>
      </c>
      <c r="U311" s="64" t="n">
        <f aca="false">IF($K311="Expected",$P311,0)</f>
        <v>0</v>
      </c>
      <c r="V311" s="64" t="n">
        <f aca="false">IF($K311="Better",$P311,0)</f>
        <v>0</v>
      </c>
      <c r="W311" s="64" t="n">
        <f aca="false">IF($K311="U – needs rule",$P311,0)</f>
        <v>0</v>
      </c>
      <c r="X311" s="64" t="n">
        <f aca="false">IF($K311="No Start (attainment only)",$P311,0)</f>
        <v>0</v>
      </c>
    </row>
    <row r="312" customFormat="false" ht="15" hidden="false" customHeight="false" outlineLevel="0" collapsed="false">
      <c r="A312" s="60"/>
      <c r="B312" s="61" t="str">
        <f aca="false">IF($M312=0,"",INDEX(Classes!$E$6:$E$420,$M312))</f>
        <v/>
      </c>
      <c r="C312" s="62" t="str">
        <f aca="false">IF($M312=0,"",INDEX(Classes!$H$6:$H$420,$M312))</f>
        <v/>
      </c>
      <c r="D312" s="61" t="str">
        <f aca="false">IF($M312=0,"",INDEX(Classes!$B$6:$B$420,$M312))</f>
        <v/>
      </c>
      <c r="E312" s="61" t="str">
        <f aca="false">IF($M312=0,"",INDEX(Classes!$C$6:$C$420,$M312))</f>
        <v/>
      </c>
      <c r="F312" s="63"/>
      <c r="G312" s="63"/>
      <c r="H312" s="60"/>
      <c r="I312" s="60"/>
      <c r="J312" s="63"/>
      <c r="K312" s="61" t="str">
        <f aca="false">IF($P312=0,"",IF($F312="Baseline","— Baseline",IF($O312=0,"No result",IF($N312=0,"No Start (attainment only)",IF(OR($N312=1,$O312=1),"U – needs rule",INDEX(MxBody,MATCH($I312,MxCurr,0),MATCH($H312,MxStart,0)))))))</f>
        <v/>
      </c>
      <c r="L312" s="62" t="str">
        <f aca="false">IF(COUNTA($A312,$F312,$G312,$H312,$I312,$J312)=0,"",IF($M312=0,"✖ كود الصف غير موجود",IF(ISNA(MATCH($F312,Lists!$A$2:$A$5,0)),"✖ الفترة غير صحيحة",IF(ISNA(MATCH($G312,Lists!$B$2:$B$7,0)),"✖ المجموعة غير صحيحة",IF(NOT(OR($H312="",$N312&gt;0)),"✖ Start غير صحيح",IF(NOT(OR($I312="",$I312="NR",$O312&gt;0)),"✖ Current غير صحيح",IF(NOT(IF(ISNUMBER($J312),AND($J312&gt;=0,$J312=INT($J312)),FALSE())),"✖ العدد يجب أن يكون صحيحًا ≥ 0",IF(AND($F312="Baseline",$H312&lt;&gt;""),"⚠ Baseline: Start لا يدخل في التقدم",IF($K312="No Start (attainment only)","ℹ تحصيل فقط (بدون Start)",IF($K312="U – needs rule","ℹ حالة U تحتاج قاعدة معتمدة",IF($K312="No result","ℹ بدون نتيجة (يُستبعد من التحصيل)","OK")))))))))))</f>
        <v/>
      </c>
      <c r="M312" s="64" t="n">
        <f aca="false">IF($A312="",0,IFERROR(MATCH($A312,Classes!$A$6:$A$420,0),0))</f>
        <v>0</v>
      </c>
      <c r="N312" s="64" t="n">
        <f aca="false">IF($H312="",0,IFERROR(MATCH($H312,GradeList,0),0))</f>
        <v>0</v>
      </c>
      <c r="O312" s="64" t="n">
        <f aca="false">IF(OR($I312="",$I312="NR"),0,IFERROR(MATCH($I312,GradeList,0),0))</f>
        <v>0</v>
      </c>
      <c r="P312" s="64" t="n">
        <f aca="false">IF(AND($M312&gt;0,ISNUMBER(MATCH($F312,Lists!$A$2:$A$5,0)),ISNUMBER(MATCH($G312,Lists!$B$2:$B$7,0)),OR($H312="",$N312&gt;0),OR($I312="",$I312="NR",$O312&gt;0),IF(ISNUMBER($J312),AND($J312&gt;=0,$J312=INT($J312)),FALSE())),$J312,0)</f>
        <v>0</v>
      </c>
      <c r="Q312" s="64" t="n">
        <f aca="false">IF(AND($P312&gt;0,$O312&gt;0),$P312,0)</f>
        <v>0</v>
      </c>
      <c r="R312" s="64" t="n">
        <f aca="false">IF(AND($Q312&gt;0,$O312&gt;=AtRank),$Q312,0)</f>
        <v>0</v>
      </c>
      <c r="S312" s="64" t="n">
        <f aca="false">IF(AND($Q312&gt;0,$O312&gt;=AboveRank),$Q312,0)</f>
        <v>0</v>
      </c>
      <c r="T312" s="64" t="n">
        <f aca="false">IF($K312="Less",$P312,0)</f>
        <v>0</v>
      </c>
      <c r="U312" s="64" t="n">
        <f aca="false">IF($K312="Expected",$P312,0)</f>
        <v>0</v>
      </c>
      <c r="V312" s="64" t="n">
        <f aca="false">IF($K312="Better",$P312,0)</f>
        <v>0</v>
      </c>
      <c r="W312" s="64" t="n">
        <f aca="false">IF($K312="U – needs rule",$P312,0)</f>
        <v>0</v>
      </c>
      <c r="X312" s="64" t="n">
        <f aca="false">IF($K312="No Start (attainment only)",$P312,0)</f>
        <v>0</v>
      </c>
    </row>
    <row r="313" customFormat="false" ht="15" hidden="false" customHeight="false" outlineLevel="0" collapsed="false">
      <c r="A313" s="60"/>
      <c r="B313" s="61" t="str">
        <f aca="false">IF($M313=0,"",INDEX(Classes!$E$6:$E$420,$M313))</f>
        <v/>
      </c>
      <c r="C313" s="62" t="str">
        <f aca="false">IF($M313=0,"",INDEX(Classes!$H$6:$H$420,$M313))</f>
        <v/>
      </c>
      <c r="D313" s="61" t="str">
        <f aca="false">IF($M313=0,"",INDEX(Classes!$B$6:$B$420,$M313))</f>
        <v/>
      </c>
      <c r="E313" s="61" t="str">
        <f aca="false">IF($M313=0,"",INDEX(Classes!$C$6:$C$420,$M313))</f>
        <v/>
      </c>
      <c r="F313" s="63"/>
      <c r="G313" s="63"/>
      <c r="H313" s="60"/>
      <c r="I313" s="60"/>
      <c r="J313" s="63"/>
      <c r="K313" s="61" t="str">
        <f aca="false">IF($P313=0,"",IF($F313="Baseline","— Baseline",IF($O313=0,"No result",IF($N313=0,"No Start (attainment only)",IF(OR($N313=1,$O313=1),"U – needs rule",INDEX(MxBody,MATCH($I313,MxCurr,0),MATCH($H313,MxStart,0)))))))</f>
        <v/>
      </c>
      <c r="L313" s="62" t="str">
        <f aca="false">IF(COUNTA($A313,$F313,$G313,$H313,$I313,$J313)=0,"",IF($M313=0,"✖ كود الصف غير موجود",IF(ISNA(MATCH($F313,Lists!$A$2:$A$5,0)),"✖ الفترة غير صحيحة",IF(ISNA(MATCH($G313,Lists!$B$2:$B$7,0)),"✖ المجموعة غير صحيحة",IF(NOT(OR($H313="",$N313&gt;0)),"✖ Start غير صحيح",IF(NOT(OR($I313="",$I313="NR",$O313&gt;0)),"✖ Current غير صحيح",IF(NOT(IF(ISNUMBER($J313),AND($J313&gt;=0,$J313=INT($J313)),FALSE())),"✖ العدد يجب أن يكون صحيحًا ≥ 0",IF(AND($F313="Baseline",$H313&lt;&gt;""),"⚠ Baseline: Start لا يدخل في التقدم",IF($K313="No Start (attainment only)","ℹ تحصيل فقط (بدون Start)",IF($K313="U – needs rule","ℹ حالة U تحتاج قاعدة معتمدة",IF($K313="No result","ℹ بدون نتيجة (يُستبعد من التحصيل)","OK")))))))))))</f>
        <v/>
      </c>
      <c r="M313" s="64" t="n">
        <f aca="false">IF($A313="",0,IFERROR(MATCH($A313,Classes!$A$6:$A$420,0),0))</f>
        <v>0</v>
      </c>
      <c r="N313" s="64" t="n">
        <f aca="false">IF($H313="",0,IFERROR(MATCH($H313,GradeList,0),0))</f>
        <v>0</v>
      </c>
      <c r="O313" s="64" t="n">
        <f aca="false">IF(OR($I313="",$I313="NR"),0,IFERROR(MATCH($I313,GradeList,0),0))</f>
        <v>0</v>
      </c>
      <c r="P313" s="64" t="n">
        <f aca="false">IF(AND($M313&gt;0,ISNUMBER(MATCH($F313,Lists!$A$2:$A$5,0)),ISNUMBER(MATCH($G313,Lists!$B$2:$B$7,0)),OR($H313="",$N313&gt;0),OR($I313="",$I313="NR",$O313&gt;0),IF(ISNUMBER($J313),AND($J313&gt;=0,$J313=INT($J313)),FALSE())),$J313,0)</f>
        <v>0</v>
      </c>
      <c r="Q313" s="64" t="n">
        <f aca="false">IF(AND($P313&gt;0,$O313&gt;0),$P313,0)</f>
        <v>0</v>
      </c>
      <c r="R313" s="64" t="n">
        <f aca="false">IF(AND($Q313&gt;0,$O313&gt;=AtRank),$Q313,0)</f>
        <v>0</v>
      </c>
      <c r="S313" s="64" t="n">
        <f aca="false">IF(AND($Q313&gt;0,$O313&gt;=AboveRank),$Q313,0)</f>
        <v>0</v>
      </c>
      <c r="T313" s="64" t="n">
        <f aca="false">IF($K313="Less",$P313,0)</f>
        <v>0</v>
      </c>
      <c r="U313" s="64" t="n">
        <f aca="false">IF($K313="Expected",$P313,0)</f>
        <v>0</v>
      </c>
      <c r="V313" s="64" t="n">
        <f aca="false">IF($K313="Better",$P313,0)</f>
        <v>0</v>
      </c>
      <c r="W313" s="64" t="n">
        <f aca="false">IF($K313="U – needs rule",$P313,0)</f>
        <v>0</v>
      </c>
      <c r="X313" s="64" t="n">
        <f aca="false">IF($K313="No Start (attainment only)",$P313,0)</f>
        <v>0</v>
      </c>
    </row>
    <row r="314" customFormat="false" ht="15" hidden="false" customHeight="false" outlineLevel="0" collapsed="false">
      <c r="A314" s="60"/>
      <c r="B314" s="61" t="str">
        <f aca="false">IF($M314=0,"",INDEX(Classes!$E$6:$E$420,$M314))</f>
        <v/>
      </c>
      <c r="C314" s="62" t="str">
        <f aca="false">IF($M314=0,"",INDEX(Classes!$H$6:$H$420,$M314))</f>
        <v/>
      </c>
      <c r="D314" s="61" t="str">
        <f aca="false">IF($M314=0,"",INDEX(Classes!$B$6:$B$420,$M314))</f>
        <v/>
      </c>
      <c r="E314" s="61" t="str">
        <f aca="false">IF($M314=0,"",INDEX(Classes!$C$6:$C$420,$M314))</f>
        <v/>
      </c>
      <c r="F314" s="63"/>
      <c r="G314" s="63"/>
      <c r="H314" s="60"/>
      <c r="I314" s="60"/>
      <c r="J314" s="63"/>
      <c r="K314" s="61" t="str">
        <f aca="false">IF($P314=0,"",IF($F314="Baseline","— Baseline",IF($O314=0,"No result",IF($N314=0,"No Start (attainment only)",IF(OR($N314=1,$O314=1),"U – needs rule",INDEX(MxBody,MATCH($I314,MxCurr,0),MATCH($H314,MxStart,0)))))))</f>
        <v/>
      </c>
      <c r="L314" s="62" t="str">
        <f aca="false">IF(COUNTA($A314,$F314,$G314,$H314,$I314,$J314)=0,"",IF($M314=0,"✖ كود الصف غير موجود",IF(ISNA(MATCH($F314,Lists!$A$2:$A$5,0)),"✖ الفترة غير صحيحة",IF(ISNA(MATCH($G314,Lists!$B$2:$B$7,0)),"✖ المجموعة غير صحيحة",IF(NOT(OR($H314="",$N314&gt;0)),"✖ Start غير صحيح",IF(NOT(OR($I314="",$I314="NR",$O314&gt;0)),"✖ Current غير صحيح",IF(NOT(IF(ISNUMBER($J314),AND($J314&gt;=0,$J314=INT($J314)),FALSE())),"✖ العدد يجب أن يكون صحيحًا ≥ 0",IF(AND($F314="Baseline",$H314&lt;&gt;""),"⚠ Baseline: Start لا يدخل في التقدم",IF($K314="No Start (attainment only)","ℹ تحصيل فقط (بدون Start)",IF($K314="U – needs rule","ℹ حالة U تحتاج قاعدة معتمدة",IF($K314="No result","ℹ بدون نتيجة (يُستبعد من التحصيل)","OK")))))))))))</f>
        <v/>
      </c>
      <c r="M314" s="64" t="n">
        <f aca="false">IF($A314="",0,IFERROR(MATCH($A314,Classes!$A$6:$A$420,0),0))</f>
        <v>0</v>
      </c>
      <c r="N314" s="64" t="n">
        <f aca="false">IF($H314="",0,IFERROR(MATCH($H314,GradeList,0),0))</f>
        <v>0</v>
      </c>
      <c r="O314" s="64" t="n">
        <f aca="false">IF(OR($I314="",$I314="NR"),0,IFERROR(MATCH($I314,GradeList,0),0))</f>
        <v>0</v>
      </c>
      <c r="P314" s="64" t="n">
        <f aca="false">IF(AND($M314&gt;0,ISNUMBER(MATCH($F314,Lists!$A$2:$A$5,0)),ISNUMBER(MATCH($G314,Lists!$B$2:$B$7,0)),OR($H314="",$N314&gt;0),OR($I314="",$I314="NR",$O314&gt;0),IF(ISNUMBER($J314),AND($J314&gt;=0,$J314=INT($J314)),FALSE())),$J314,0)</f>
        <v>0</v>
      </c>
      <c r="Q314" s="64" t="n">
        <f aca="false">IF(AND($P314&gt;0,$O314&gt;0),$P314,0)</f>
        <v>0</v>
      </c>
      <c r="R314" s="64" t="n">
        <f aca="false">IF(AND($Q314&gt;0,$O314&gt;=AtRank),$Q314,0)</f>
        <v>0</v>
      </c>
      <c r="S314" s="64" t="n">
        <f aca="false">IF(AND($Q314&gt;0,$O314&gt;=AboveRank),$Q314,0)</f>
        <v>0</v>
      </c>
      <c r="T314" s="64" t="n">
        <f aca="false">IF($K314="Less",$P314,0)</f>
        <v>0</v>
      </c>
      <c r="U314" s="64" t="n">
        <f aca="false">IF($K314="Expected",$P314,0)</f>
        <v>0</v>
      </c>
      <c r="V314" s="64" t="n">
        <f aca="false">IF($K314="Better",$P314,0)</f>
        <v>0</v>
      </c>
      <c r="W314" s="64" t="n">
        <f aca="false">IF($K314="U – needs rule",$P314,0)</f>
        <v>0</v>
      </c>
      <c r="X314" s="64" t="n">
        <f aca="false">IF($K314="No Start (attainment only)",$P314,0)</f>
        <v>0</v>
      </c>
    </row>
    <row r="315" customFormat="false" ht="15" hidden="false" customHeight="false" outlineLevel="0" collapsed="false">
      <c r="A315" s="60"/>
      <c r="B315" s="61" t="str">
        <f aca="false">IF($M315=0,"",INDEX(Classes!$E$6:$E$420,$M315))</f>
        <v/>
      </c>
      <c r="C315" s="62" t="str">
        <f aca="false">IF($M315=0,"",INDEX(Classes!$H$6:$H$420,$M315))</f>
        <v/>
      </c>
      <c r="D315" s="61" t="str">
        <f aca="false">IF($M315=0,"",INDEX(Classes!$B$6:$B$420,$M315))</f>
        <v/>
      </c>
      <c r="E315" s="61" t="str">
        <f aca="false">IF($M315=0,"",INDEX(Classes!$C$6:$C$420,$M315))</f>
        <v/>
      </c>
      <c r="F315" s="63"/>
      <c r="G315" s="63"/>
      <c r="H315" s="60"/>
      <c r="I315" s="60"/>
      <c r="J315" s="63"/>
      <c r="K315" s="61" t="str">
        <f aca="false">IF($P315=0,"",IF($F315="Baseline","— Baseline",IF($O315=0,"No result",IF($N315=0,"No Start (attainment only)",IF(OR($N315=1,$O315=1),"U – needs rule",INDEX(MxBody,MATCH($I315,MxCurr,0),MATCH($H315,MxStart,0)))))))</f>
        <v/>
      </c>
      <c r="L315" s="62" t="str">
        <f aca="false">IF(COUNTA($A315,$F315,$G315,$H315,$I315,$J315)=0,"",IF($M315=0,"✖ كود الصف غير موجود",IF(ISNA(MATCH($F315,Lists!$A$2:$A$5,0)),"✖ الفترة غير صحيحة",IF(ISNA(MATCH($G315,Lists!$B$2:$B$7,0)),"✖ المجموعة غير صحيحة",IF(NOT(OR($H315="",$N315&gt;0)),"✖ Start غير صحيح",IF(NOT(OR($I315="",$I315="NR",$O315&gt;0)),"✖ Current غير صحيح",IF(NOT(IF(ISNUMBER($J315),AND($J315&gt;=0,$J315=INT($J315)),FALSE())),"✖ العدد يجب أن يكون صحيحًا ≥ 0",IF(AND($F315="Baseline",$H315&lt;&gt;""),"⚠ Baseline: Start لا يدخل في التقدم",IF($K315="No Start (attainment only)","ℹ تحصيل فقط (بدون Start)",IF($K315="U – needs rule","ℹ حالة U تحتاج قاعدة معتمدة",IF($K315="No result","ℹ بدون نتيجة (يُستبعد من التحصيل)","OK")))))))))))</f>
        <v/>
      </c>
      <c r="M315" s="64" t="n">
        <f aca="false">IF($A315="",0,IFERROR(MATCH($A315,Classes!$A$6:$A$420,0),0))</f>
        <v>0</v>
      </c>
      <c r="N315" s="64" t="n">
        <f aca="false">IF($H315="",0,IFERROR(MATCH($H315,GradeList,0),0))</f>
        <v>0</v>
      </c>
      <c r="O315" s="64" t="n">
        <f aca="false">IF(OR($I315="",$I315="NR"),0,IFERROR(MATCH($I315,GradeList,0),0))</f>
        <v>0</v>
      </c>
      <c r="P315" s="64" t="n">
        <f aca="false">IF(AND($M315&gt;0,ISNUMBER(MATCH($F315,Lists!$A$2:$A$5,0)),ISNUMBER(MATCH($G315,Lists!$B$2:$B$7,0)),OR($H315="",$N315&gt;0),OR($I315="",$I315="NR",$O315&gt;0),IF(ISNUMBER($J315),AND($J315&gt;=0,$J315=INT($J315)),FALSE())),$J315,0)</f>
        <v>0</v>
      </c>
      <c r="Q315" s="64" t="n">
        <f aca="false">IF(AND($P315&gt;0,$O315&gt;0),$P315,0)</f>
        <v>0</v>
      </c>
      <c r="R315" s="64" t="n">
        <f aca="false">IF(AND($Q315&gt;0,$O315&gt;=AtRank),$Q315,0)</f>
        <v>0</v>
      </c>
      <c r="S315" s="64" t="n">
        <f aca="false">IF(AND($Q315&gt;0,$O315&gt;=AboveRank),$Q315,0)</f>
        <v>0</v>
      </c>
      <c r="T315" s="64" t="n">
        <f aca="false">IF($K315="Less",$P315,0)</f>
        <v>0</v>
      </c>
      <c r="U315" s="64" t="n">
        <f aca="false">IF($K315="Expected",$P315,0)</f>
        <v>0</v>
      </c>
      <c r="V315" s="64" t="n">
        <f aca="false">IF($K315="Better",$P315,0)</f>
        <v>0</v>
      </c>
      <c r="W315" s="64" t="n">
        <f aca="false">IF($K315="U – needs rule",$P315,0)</f>
        <v>0</v>
      </c>
      <c r="X315" s="64" t="n">
        <f aca="false">IF($K315="No Start (attainment only)",$P315,0)</f>
        <v>0</v>
      </c>
    </row>
    <row r="316" customFormat="false" ht="15" hidden="false" customHeight="false" outlineLevel="0" collapsed="false">
      <c r="A316" s="60"/>
      <c r="B316" s="61" t="str">
        <f aca="false">IF($M316=0,"",INDEX(Classes!$E$6:$E$420,$M316))</f>
        <v/>
      </c>
      <c r="C316" s="62" t="str">
        <f aca="false">IF($M316=0,"",INDEX(Classes!$H$6:$H$420,$M316))</f>
        <v/>
      </c>
      <c r="D316" s="61" t="str">
        <f aca="false">IF($M316=0,"",INDEX(Classes!$B$6:$B$420,$M316))</f>
        <v/>
      </c>
      <c r="E316" s="61" t="str">
        <f aca="false">IF($M316=0,"",INDEX(Classes!$C$6:$C$420,$M316))</f>
        <v/>
      </c>
      <c r="F316" s="63"/>
      <c r="G316" s="63"/>
      <c r="H316" s="60"/>
      <c r="I316" s="60"/>
      <c r="J316" s="63"/>
      <c r="K316" s="61" t="str">
        <f aca="false">IF($P316=0,"",IF($F316="Baseline","— Baseline",IF($O316=0,"No result",IF($N316=0,"No Start (attainment only)",IF(OR($N316=1,$O316=1),"U – needs rule",INDEX(MxBody,MATCH($I316,MxCurr,0),MATCH($H316,MxStart,0)))))))</f>
        <v/>
      </c>
      <c r="L316" s="62" t="str">
        <f aca="false">IF(COUNTA($A316,$F316,$G316,$H316,$I316,$J316)=0,"",IF($M316=0,"✖ كود الصف غير موجود",IF(ISNA(MATCH($F316,Lists!$A$2:$A$5,0)),"✖ الفترة غير صحيحة",IF(ISNA(MATCH($G316,Lists!$B$2:$B$7,0)),"✖ المجموعة غير صحيحة",IF(NOT(OR($H316="",$N316&gt;0)),"✖ Start غير صحيح",IF(NOT(OR($I316="",$I316="NR",$O316&gt;0)),"✖ Current غير صحيح",IF(NOT(IF(ISNUMBER($J316),AND($J316&gt;=0,$J316=INT($J316)),FALSE())),"✖ العدد يجب أن يكون صحيحًا ≥ 0",IF(AND($F316="Baseline",$H316&lt;&gt;""),"⚠ Baseline: Start لا يدخل في التقدم",IF($K316="No Start (attainment only)","ℹ تحصيل فقط (بدون Start)",IF($K316="U – needs rule","ℹ حالة U تحتاج قاعدة معتمدة",IF($K316="No result","ℹ بدون نتيجة (يُستبعد من التحصيل)","OK")))))))))))</f>
        <v/>
      </c>
      <c r="M316" s="64" t="n">
        <f aca="false">IF($A316="",0,IFERROR(MATCH($A316,Classes!$A$6:$A$420,0),0))</f>
        <v>0</v>
      </c>
      <c r="N316" s="64" t="n">
        <f aca="false">IF($H316="",0,IFERROR(MATCH($H316,GradeList,0),0))</f>
        <v>0</v>
      </c>
      <c r="O316" s="64" t="n">
        <f aca="false">IF(OR($I316="",$I316="NR"),0,IFERROR(MATCH($I316,GradeList,0),0))</f>
        <v>0</v>
      </c>
      <c r="P316" s="64" t="n">
        <f aca="false">IF(AND($M316&gt;0,ISNUMBER(MATCH($F316,Lists!$A$2:$A$5,0)),ISNUMBER(MATCH($G316,Lists!$B$2:$B$7,0)),OR($H316="",$N316&gt;0),OR($I316="",$I316="NR",$O316&gt;0),IF(ISNUMBER($J316),AND($J316&gt;=0,$J316=INT($J316)),FALSE())),$J316,0)</f>
        <v>0</v>
      </c>
      <c r="Q316" s="64" t="n">
        <f aca="false">IF(AND($P316&gt;0,$O316&gt;0),$P316,0)</f>
        <v>0</v>
      </c>
      <c r="R316" s="64" t="n">
        <f aca="false">IF(AND($Q316&gt;0,$O316&gt;=AtRank),$Q316,0)</f>
        <v>0</v>
      </c>
      <c r="S316" s="64" t="n">
        <f aca="false">IF(AND($Q316&gt;0,$O316&gt;=AboveRank),$Q316,0)</f>
        <v>0</v>
      </c>
      <c r="T316" s="64" t="n">
        <f aca="false">IF($K316="Less",$P316,0)</f>
        <v>0</v>
      </c>
      <c r="U316" s="64" t="n">
        <f aca="false">IF($K316="Expected",$P316,0)</f>
        <v>0</v>
      </c>
      <c r="V316" s="64" t="n">
        <f aca="false">IF($K316="Better",$P316,0)</f>
        <v>0</v>
      </c>
      <c r="W316" s="64" t="n">
        <f aca="false">IF($K316="U – needs rule",$P316,0)</f>
        <v>0</v>
      </c>
      <c r="X316" s="64" t="n">
        <f aca="false">IF($K316="No Start (attainment only)",$P316,0)</f>
        <v>0</v>
      </c>
    </row>
    <row r="317" customFormat="false" ht="15" hidden="false" customHeight="false" outlineLevel="0" collapsed="false">
      <c r="A317" s="60"/>
      <c r="B317" s="61" t="str">
        <f aca="false">IF($M317=0,"",INDEX(Classes!$E$6:$E$420,$M317))</f>
        <v/>
      </c>
      <c r="C317" s="62" t="str">
        <f aca="false">IF($M317=0,"",INDEX(Classes!$H$6:$H$420,$M317))</f>
        <v/>
      </c>
      <c r="D317" s="61" t="str">
        <f aca="false">IF($M317=0,"",INDEX(Classes!$B$6:$B$420,$M317))</f>
        <v/>
      </c>
      <c r="E317" s="61" t="str">
        <f aca="false">IF($M317=0,"",INDEX(Classes!$C$6:$C$420,$M317))</f>
        <v/>
      </c>
      <c r="F317" s="63"/>
      <c r="G317" s="63"/>
      <c r="H317" s="60"/>
      <c r="I317" s="60"/>
      <c r="J317" s="63"/>
      <c r="K317" s="61" t="str">
        <f aca="false">IF($P317=0,"",IF($F317="Baseline","— Baseline",IF($O317=0,"No result",IF($N317=0,"No Start (attainment only)",IF(OR($N317=1,$O317=1),"U – needs rule",INDEX(MxBody,MATCH($I317,MxCurr,0),MATCH($H317,MxStart,0)))))))</f>
        <v/>
      </c>
      <c r="L317" s="62" t="str">
        <f aca="false">IF(COUNTA($A317,$F317,$G317,$H317,$I317,$J317)=0,"",IF($M317=0,"✖ كود الصف غير موجود",IF(ISNA(MATCH($F317,Lists!$A$2:$A$5,0)),"✖ الفترة غير صحيحة",IF(ISNA(MATCH($G317,Lists!$B$2:$B$7,0)),"✖ المجموعة غير صحيحة",IF(NOT(OR($H317="",$N317&gt;0)),"✖ Start غير صحيح",IF(NOT(OR($I317="",$I317="NR",$O317&gt;0)),"✖ Current غير صحيح",IF(NOT(IF(ISNUMBER($J317),AND($J317&gt;=0,$J317=INT($J317)),FALSE())),"✖ العدد يجب أن يكون صحيحًا ≥ 0",IF(AND($F317="Baseline",$H317&lt;&gt;""),"⚠ Baseline: Start لا يدخل في التقدم",IF($K317="No Start (attainment only)","ℹ تحصيل فقط (بدون Start)",IF($K317="U – needs rule","ℹ حالة U تحتاج قاعدة معتمدة",IF($K317="No result","ℹ بدون نتيجة (يُستبعد من التحصيل)","OK")))))))))))</f>
        <v/>
      </c>
      <c r="M317" s="64" t="n">
        <f aca="false">IF($A317="",0,IFERROR(MATCH($A317,Classes!$A$6:$A$420,0),0))</f>
        <v>0</v>
      </c>
      <c r="N317" s="64" t="n">
        <f aca="false">IF($H317="",0,IFERROR(MATCH($H317,GradeList,0),0))</f>
        <v>0</v>
      </c>
      <c r="O317" s="64" t="n">
        <f aca="false">IF(OR($I317="",$I317="NR"),0,IFERROR(MATCH($I317,GradeList,0),0))</f>
        <v>0</v>
      </c>
      <c r="P317" s="64" t="n">
        <f aca="false">IF(AND($M317&gt;0,ISNUMBER(MATCH($F317,Lists!$A$2:$A$5,0)),ISNUMBER(MATCH($G317,Lists!$B$2:$B$7,0)),OR($H317="",$N317&gt;0),OR($I317="",$I317="NR",$O317&gt;0),IF(ISNUMBER($J317),AND($J317&gt;=0,$J317=INT($J317)),FALSE())),$J317,0)</f>
        <v>0</v>
      </c>
      <c r="Q317" s="64" t="n">
        <f aca="false">IF(AND($P317&gt;0,$O317&gt;0),$P317,0)</f>
        <v>0</v>
      </c>
      <c r="R317" s="64" t="n">
        <f aca="false">IF(AND($Q317&gt;0,$O317&gt;=AtRank),$Q317,0)</f>
        <v>0</v>
      </c>
      <c r="S317" s="64" t="n">
        <f aca="false">IF(AND($Q317&gt;0,$O317&gt;=AboveRank),$Q317,0)</f>
        <v>0</v>
      </c>
      <c r="T317" s="64" t="n">
        <f aca="false">IF($K317="Less",$P317,0)</f>
        <v>0</v>
      </c>
      <c r="U317" s="64" t="n">
        <f aca="false">IF($K317="Expected",$P317,0)</f>
        <v>0</v>
      </c>
      <c r="V317" s="64" t="n">
        <f aca="false">IF($K317="Better",$P317,0)</f>
        <v>0</v>
      </c>
      <c r="W317" s="64" t="n">
        <f aca="false">IF($K317="U – needs rule",$P317,0)</f>
        <v>0</v>
      </c>
      <c r="X317" s="64" t="n">
        <f aca="false">IF($K317="No Start (attainment only)",$P317,0)</f>
        <v>0</v>
      </c>
    </row>
    <row r="318" customFormat="false" ht="15" hidden="false" customHeight="false" outlineLevel="0" collapsed="false">
      <c r="A318" s="60"/>
      <c r="B318" s="61" t="str">
        <f aca="false">IF($M318=0,"",INDEX(Classes!$E$6:$E$420,$M318))</f>
        <v/>
      </c>
      <c r="C318" s="62" t="str">
        <f aca="false">IF($M318=0,"",INDEX(Classes!$H$6:$H$420,$M318))</f>
        <v/>
      </c>
      <c r="D318" s="61" t="str">
        <f aca="false">IF($M318=0,"",INDEX(Classes!$B$6:$B$420,$M318))</f>
        <v/>
      </c>
      <c r="E318" s="61" t="str">
        <f aca="false">IF($M318=0,"",INDEX(Classes!$C$6:$C$420,$M318))</f>
        <v/>
      </c>
      <c r="F318" s="63"/>
      <c r="G318" s="63"/>
      <c r="H318" s="60"/>
      <c r="I318" s="60"/>
      <c r="J318" s="63"/>
      <c r="K318" s="61" t="str">
        <f aca="false">IF($P318=0,"",IF($F318="Baseline","— Baseline",IF($O318=0,"No result",IF($N318=0,"No Start (attainment only)",IF(OR($N318=1,$O318=1),"U – needs rule",INDEX(MxBody,MATCH($I318,MxCurr,0),MATCH($H318,MxStart,0)))))))</f>
        <v/>
      </c>
      <c r="L318" s="62" t="str">
        <f aca="false">IF(COUNTA($A318,$F318,$G318,$H318,$I318,$J318)=0,"",IF($M318=0,"✖ كود الصف غير موجود",IF(ISNA(MATCH($F318,Lists!$A$2:$A$5,0)),"✖ الفترة غير صحيحة",IF(ISNA(MATCH($G318,Lists!$B$2:$B$7,0)),"✖ المجموعة غير صحيحة",IF(NOT(OR($H318="",$N318&gt;0)),"✖ Start غير صحيح",IF(NOT(OR($I318="",$I318="NR",$O318&gt;0)),"✖ Current غير صحيح",IF(NOT(IF(ISNUMBER($J318),AND($J318&gt;=0,$J318=INT($J318)),FALSE())),"✖ العدد يجب أن يكون صحيحًا ≥ 0",IF(AND($F318="Baseline",$H318&lt;&gt;""),"⚠ Baseline: Start لا يدخل في التقدم",IF($K318="No Start (attainment only)","ℹ تحصيل فقط (بدون Start)",IF($K318="U – needs rule","ℹ حالة U تحتاج قاعدة معتمدة",IF($K318="No result","ℹ بدون نتيجة (يُستبعد من التحصيل)","OK")))))))))))</f>
        <v/>
      </c>
      <c r="M318" s="64" t="n">
        <f aca="false">IF($A318="",0,IFERROR(MATCH($A318,Classes!$A$6:$A$420,0),0))</f>
        <v>0</v>
      </c>
      <c r="N318" s="64" t="n">
        <f aca="false">IF($H318="",0,IFERROR(MATCH($H318,GradeList,0),0))</f>
        <v>0</v>
      </c>
      <c r="O318" s="64" t="n">
        <f aca="false">IF(OR($I318="",$I318="NR"),0,IFERROR(MATCH($I318,GradeList,0),0))</f>
        <v>0</v>
      </c>
      <c r="P318" s="64" t="n">
        <f aca="false">IF(AND($M318&gt;0,ISNUMBER(MATCH($F318,Lists!$A$2:$A$5,0)),ISNUMBER(MATCH($G318,Lists!$B$2:$B$7,0)),OR($H318="",$N318&gt;0),OR($I318="",$I318="NR",$O318&gt;0),IF(ISNUMBER($J318),AND($J318&gt;=0,$J318=INT($J318)),FALSE())),$J318,0)</f>
        <v>0</v>
      </c>
      <c r="Q318" s="64" t="n">
        <f aca="false">IF(AND($P318&gt;0,$O318&gt;0),$P318,0)</f>
        <v>0</v>
      </c>
      <c r="R318" s="64" t="n">
        <f aca="false">IF(AND($Q318&gt;0,$O318&gt;=AtRank),$Q318,0)</f>
        <v>0</v>
      </c>
      <c r="S318" s="64" t="n">
        <f aca="false">IF(AND($Q318&gt;0,$O318&gt;=AboveRank),$Q318,0)</f>
        <v>0</v>
      </c>
      <c r="T318" s="64" t="n">
        <f aca="false">IF($K318="Less",$P318,0)</f>
        <v>0</v>
      </c>
      <c r="U318" s="64" t="n">
        <f aca="false">IF($K318="Expected",$P318,0)</f>
        <v>0</v>
      </c>
      <c r="V318" s="64" t="n">
        <f aca="false">IF($K318="Better",$P318,0)</f>
        <v>0</v>
      </c>
      <c r="W318" s="64" t="n">
        <f aca="false">IF($K318="U – needs rule",$P318,0)</f>
        <v>0</v>
      </c>
      <c r="X318" s="64" t="n">
        <f aca="false">IF($K318="No Start (attainment only)",$P318,0)</f>
        <v>0</v>
      </c>
    </row>
    <row r="319" customFormat="false" ht="15" hidden="false" customHeight="false" outlineLevel="0" collapsed="false">
      <c r="A319" s="60"/>
      <c r="B319" s="61" t="str">
        <f aca="false">IF($M319=0,"",INDEX(Classes!$E$6:$E$420,$M319))</f>
        <v/>
      </c>
      <c r="C319" s="62" t="str">
        <f aca="false">IF($M319=0,"",INDEX(Classes!$H$6:$H$420,$M319))</f>
        <v/>
      </c>
      <c r="D319" s="61" t="str">
        <f aca="false">IF($M319=0,"",INDEX(Classes!$B$6:$B$420,$M319))</f>
        <v/>
      </c>
      <c r="E319" s="61" t="str">
        <f aca="false">IF($M319=0,"",INDEX(Classes!$C$6:$C$420,$M319))</f>
        <v/>
      </c>
      <c r="F319" s="63"/>
      <c r="G319" s="63"/>
      <c r="H319" s="60"/>
      <c r="I319" s="60"/>
      <c r="J319" s="63"/>
      <c r="K319" s="61" t="str">
        <f aca="false">IF($P319=0,"",IF($F319="Baseline","— Baseline",IF($O319=0,"No result",IF($N319=0,"No Start (attainment only)",IF(OR($N319=1,$O319=1),"U – needs rule",INDEX(MxBody,MATCH($I319,MxCurr,0),MATCH($H319,MxStart,0)))))))</f>
        <v/>
      </c>
      <c r="L319" s="62" t="str">
        <f aca="false">IF(COUNTA($A319,$F319,$G319,$H319,$I319,$J319)=0,"",IF($M319=0,"✖ كود الصف غير موجود",IF(ISNA(MATCH($F319,Lists!$A$2:$A$5,0)),"✖ الفترة غير صحيحة",IF(ISNA(MATCH($G319,Lists!$B$2:$B$7,0)),"✖ المجموعة غير صحيحة",IF(NOT(OR($H319="",$N319&gt;0)),"✖ Start غير صحيح",IF(NOT(OR($I319="",$I319="NR",$O319&gt;0)),"✖ Current غير صحيح",IF(NOT(IF(ISNUMBER($J319),AND($J319&gt;=0,$J319=INT($J319)),FALSE())),"✖ العدد يجب أن يكون صحيحًا ≥ 0",IF(AND($F319="Baseline",$H319&lt;&gt;""),"⚠ Baseline: Start لا يدخل في التقدم",IF($K319="No Start (attainment only)","ℹ تحصيل فقط (بدون Start)",IF($K319="U – needs rule","ℹ حالة U تحتاج قاعدة معتمدة",IF($K319="No result","ℹ بدون نتيجة (يُستبعد من التحصيل)","OK")))))))))))</f>
        <v/>
      </c>
      <c r="M319" s="64" t="n">
        <f aca="false">IF($A319="",0,IFERROR(MATCH($A319,Classes!$A$6:$A$420,0),0))</f>
        <v>0</v>
      </c>
      <c r="N319" s="64" t="n">
        <f aca="false">IF($H319="",0,IFERROR(MATCH($H319,GradeList,0),0))</f>
        <v>0</v>
      </c>
      <c r="O319" s="64" t="n">
        <f aca="false">IF(OR($I319="",$I319="NR"),0,IFERROR(MATCH($I319,GradeList,0),0))</f>
        <v>0</v>
      </c>
      <c r="P319" s="64" t="n">
        <f aca="false">IF(AND($M319&gt;0,ISNUMBER(MATCH($F319,Lists!$A$2:$A$5,0)),ISNUMBER(MATCH($G319,Lists!$B$2:$B$7,0)),OR($H319="",$N319&gt;0),OR($I319="",$I319="NR",$O319&gt;0),IF(ISNUMBER($J319),AND($J319&gt;=0,$J319=INT($J319)),FALSE())),$J319,0)</f>
        <v>0</v>
      </c>
      <c r="Q319" s="64" t="n">
        <f aca="false">IF(AND($P319&gt;0,$O319&gt;0),$P319,0)</f>
        <v>0</v>
      </c>
      <c r="R319" s="64" t="n">
        <f aca="false">IF(AND($Q319&gt;0,$O319&gt;=AtRank),$Q319,0)</f>
        <v>0</v>
      </c>
      <c r="S319" s="64" t="n">
        <f aca="false">IF(AND($Q319&gt;0,$O319&gt;=AboveRank),$Q319,0)</f>
        <v>0</v>
      </c>
      <c r="T319" s="64" t="n">
        <f aca="false">IF($K319="Less",$P319,0)</f>
        <v>0</v>
      </c>
      <c r="U319" s="64" t="n">
        <f aca="false">IF($K319="Expected",$P319,0)</f>
        <v>0</v>
      </c>
      <c r="V319" s="64" t="n">
        <f aca="false">IF($K319="Better",$P319,0)</f>
        <v>0</v>
      </c>
      <c r="W319" s="64" t="n">
        <f aca="false">IF($K319="U – needs rule",$P319,0)</f>
        <v>0</v>
      </c>
      <c r="X319" s="64" t="n">
        <f aca="false">IF($K319="No Start (attainment only)",$P319,0)</f>
        <v>0</v>
      </c>
    </row>
    <row r="320" customFormat="false" ht="15" hidden="false" customHeight="false" outlineLevel="0" collapsed="false">
      <c r="A320" s="60"/>
      <c r="B320" s="61" t="str">
        <f aca="false">IF($M320=0,"",INDEX(Classes!$E$6:$E$420,$M320))</f>
        <v/>
      </c>
      <c r="C320" s="62" t="str">
        <f aca="false">IF($M320=0,"",INDEX(Classes!$H$6:$H$420,$M320))</f>
        <v/>
      </c>
      <c r="D320" s="61" t="str">
        <f aca="false">IF($M320=0,"",INDEX(Classes!$B$6:$B$420,$M320))</f>
        <v/>
      </c>
      <c r="E320" s="61" t="str">
        <f aca="false">IF($M320=0,"",INDEX(Classes!$C$6:$C$420,$M320))</f>
        <v/>
      </c>
      <c r="F320" s="63"/>
      <c r="G320" s="63"/>
      <c r="H320" s="60"/>
      <c r="I320" s="60"/>
      <c r="J320" s="63"/>
      <c r="K320" s="61" t="str">
        <f aca="false">IF($P320=0,"",IF($F320="Baseline","— Baseline",IF($O320=0,"No result",IF($N320=0,"No Start (attainment only)",IF(OR($N320=1,$O320=1),"U – needs rule",INDEX(MxBody,MATCH($I320,MxCurr,0),MATCH($H320,MxStart,0)))))))</f>
        <v/>
      </c>
      <c r="L320" s="62" t="str">
        <f aca="false">IF(COUNTA($A320,$F320,$G320,$H320,$I320,$J320)=0,"",IF($M320=0,"✖ كود الصف غير موجود",IF(ISNA(MATCH($F320,Lists!$A$2:$A$5,0)),"✖ الفترة غير صحيحة",IF(ISNA(MATCH($G320,Lists!$B$2:$B$7,0)),"✖ المجموعة غير صحيحة",IF(NOT(OR($H320="",$N320&gt;0)),"✖ Start غير صحيح",IF(NOT(OR($I320="",$I320="NR",$O320&gt;0)),"✖ Current غير صحيح",IF(NOT(IF(ISNUMBER($J320),AND($J320&gt;=0,$J320=INT($J320)),FALSE())),"✖ العدد يجب أن يكون صحيحًا ≥ 0",IF(AND($F320="Baseline",$H320&lt;&gt;""),"⚠ Baseline: Start لا يدخل في التقدم",IF($K320="No Start (attainment only)","ℹ تحصيل فقط (بدون Start)",IF($K320="U – needs rule","ℹ حالة U تحتاج قاعدة معتمدة",IF($K320="No result","ℹ بدون نتيجة (يُستبعد من التحصيل)","OK")))))))))))</f>
        <v/>
      </c>
      <c r="M320" s="64" t="n">
        <f aca="false">IF($A320="",0,IFERROR(MATCH($A320,Classes!$A$6:$A$420,0),0))</f>
        <v>0</v>
      </c>
      <c r="N320" s="64" t="n">
        <f aca="false">IF($H320="",0,IFERROR(MATCH($H320,GradeList,0),0))</f>
        <v>0</v>
      </c>
      <c r="O320" s="64" t="n">
        <f aca="false">IF(OR($I320="",$I320="NR"),0,IFERROR(MATCH($I320,GradeList,0),0))</f>
        <v>0</v>
      </c>
      <c r="P320" s="64" t="n">
        <f aca="false">IF(AND($M320&gt;0,ISNUMBER(MATCH($F320,Lists!$A$2:$A$5,0)),ISNUMBER(MATCH($G320,Lists!$B$2:$B$7,0)),OR($H320="",$N320&gt;0),OR($I320="",$I320="NR",$O320&gt;0),IF(ISNUMBER($J320),AND($J320&gt;=0,$J320=INT($J320)),FALSE())),$J320,0)</f>
        <v>0</v>
      </c>
      <c r="Q320" s="64" t="n">
        <f aca="false">IF(AND($P320&gt;0,$O320&gt;0),$P320,0)</f>
        <v>0</v>
      </c>
      <c r="R320" s="64" t="n">
        <f aca="false">IF(AND($Q320&gt;0,$O320&gt;=AtRank),$Q320,0)</f>
        <v>0</v>
      </c>
      <c r="S320" s="64" t="n">
        <f aca="false">IF(AND($Q320&gt;0,$O320&gt;=AboveRank),$Q320,0)</f>
        <v>0</v>
      </c>
      <c r="T320" s="64" t="n">
        <f aca="false">IF($K320="Less",$P320,0)</f>
        <v>0</v>
      </c>
      <c r="U320" s="64" t="n">
        <f aca="false">IF($K320="Expected",$P320,0)</f>
        <v>0</v>
      </c>
      <c r="V320" s="64" t="n">
        <f aca="false">IF($K320="Better",$P320,0)</f>
        <v>0</v>
      </c>
      <c r="W320" s="64" t="n">
        <f aca="false">IF($K320="U – needs rule",$P320,0)</f>
        <v>0</v>
      </c>
      <c r="X320" s="64" t="n">
        <f aca="false">IF($K320="No Start (attainment only)",$P320,0)</f>
        <v>0</v>
      </c>
    </row>
    <row r="321" customFormat="false" ht="15" hidden="false" customHeight="false" outlineLevel="0" collapsed="false">
      <c r="A321" s="60"/>
      <c r="B321" s="61" t="str">
        <f aca="false">IF($M321=0,"",INDEX(Classes!$E$6:$E$420,$M321))</f>
        <v/>
      </c>
      <c r="C321" s="62" t="str">
        <f aca="false">IF($M321=0,"",INDEX(Classes!$H$6:$H$420,$M321))</f>
        <v/>
      </c>
      <c r="D321" s="61" t="str">
        <f aca="false">IF($M321=0,"",INDEX(Classes!$B$6:$B$420,$M321))</f>
        <v/>
      </c>
      <c r="E321" s="61" t="str">
        <f aca="false">IF($M321=0,"",INDEX(Classes!$C$6:$C$420,$M321))</f>
        <v/>
      </c>
      <c r="F321" s="63"/>
      <c r="G321" s="63"/>
      <c r="H321" s="60"/>
      <c r="I321" s="60"/>
      <c r="J321" s="63"/>
      <c r="K321" s="61" t="str">
        <f aca="false">IF($P321=0,"",IF($F321="Baseline","— Baseline",IF($O321=0,"No result",IF($N321=0,"No Start (attainment only)",IF(OR($N321=1,$O321=1),"U – needs rule",INDEX(MxBody,MATCH($I321,MxCurr,0),MATCH($H321,MxStart,0)))))))</f>
        <v/>
      </c>
      <c r="L321" s="62" t="str">
        <f aca="false">IF(COUNTA($A321,$F321,$G321,$H321,$I321,$J321)=0,"",IF($M321=0,"✖ كود الصف غير موجود",IF(ISNA(MATCH($F321,Lists!$A$2:$A$5,0)),"✖ الفترة غير صحيحة",IF(ISNA(MATCH($G321,Lists!$B$2:$B$7,0)),"✖ المجموعة غير صحيحة",IF(NOT(OR($H321="",$N321&gt;0)),"✖ Start غير صحيح",IF(NOT(OR($I321="",$I321="NR",$O321&gt;0)),"✖ Current غير صحيح",IF(NOT(IF(ISNUMBER($J321),AND($J321&gt;=0,$J321=INT($J321)),FALSE())),"✖ العدد يجب أن يكون صحيحًا ≥ 0",IF(AND($F321="Baseline",$H321&lt;&gt;""),"⚠ Baseline: Start لا يدخل في التقدم",IF($K321="No Start (attainment only)","ℹ تحصيل فقط (بدون Start)",IF($K321="U – needs rule","ℹ حالة U تحتاج قاعدة معتمدة",IF($K321="No result","ℹ بدون نتيجة (يُستبعد من التحصيل)","OK")))))))))))</f>
        <v/>
      </c>
      <c r="M321" s="64" t="n">
        <f aca="false">IF($A321="",0,IFERROR(MATCH($A321,Classes!$A$6:$A$420,0),0))</f>
        <v>0</v>
      </c>
      <c r="N321" s="64" t="n">
        <f aca="false">IF($H321="",0,IFERROR(MATCH($H321,GradeList,0),0))</f>
        <v>0</v>
      </c>
      <c r="O321" s="64" t="n">
        <f aca="false">IF(OR($I321="",$I321="NR"),0,IFERROR(MATCH($I321,GradeList,0),0))</f>
        <v>0</v>
      </c>
      <c r="P321" s="64" t="n">
        <f aca="false">IF(AND($M321&gt;0,ISNUMBER(MATCH($F321,Lists!$A$2:$A$5,0)),ISNUMBER(MATCH($G321,Lists!$B$2:$B$7,0)),OR($H321="",$N321&gt;0),OR($I321="",$I321="NR",$O321&gt;0),IF(ISNUMBER($J321),AND($J321&gt;=0,$J321=INT($J321)),FALSE())),$J321,0)</f>
        <v>0</v>
      </c>
      <c r="Q321" s="64" t="n">
        <f aca="false">IF(AND($P321&gt;0,$O321&gt;0),$P321,0)</f>
        <v>0</v>
      </c>
      <c r="R321" s="64" t="n">
        <f aca="false">IF(AND($Q321&gt;0,$O321&gt;=AtRank),$Q321,0)</f>
        <v>0</v>
      </c>
      <c r="S321" s="64" t="n">
        <f aca="false">IF(AND($Q321&gt;0,$O321&gt;=AboveRank),$Q321,0)</f>
        <v>0</v>
      </c>
      <c r="T321" s="64" t="n">
        <f aca="false">IF($K321="Less",$P321,0)</f>
        <v>0</v>
      </c>
      <c r="U321" s="64" t="n">
        <f aca="false">IF($K321="Expected",$P321,0)</f>
        <v>0</v>
      </c>
      <c r="V321" s="64" t="n">
        <f aca="false">IF($K321="Better",$P321,0)</f>
        <v>0</v>
      </c>
      <c r="W321" s="64" t="n">
        <f aca="false">IF($K321="U – needs rule",$P321,0)</f>
        <v>0</v>
      </c>
      <c r="X321" s="64" t="n">
        <f aca="false">IF($K321="No Start (attainment only)",$P321,0)</f>
        <v>0</v>
      </c>
    </row>
    <row r="322" customFormat="false" ht="15" hidden="false" customHeight="false" outlineLevel="0" collapsed="false">
      <c r="A322" s="60"/>
      <c r="B322" s="61" t="str">
        <f aca="false">IF($M322=0,"",INDEX(Classes!$E$6:$E$420,$M322))</f>
        <v/>
      </c>
      <c r="C322" s="62" t="str">
        <f aca="false">IF($M322=0,"",INDEX(Classes!$H$6:$H$420,$M322))</f>
        <v/>
      </c>
      <c r="D322" s="61" t="str">
        <f aca="false">IF($M322=0,"",INDEX(Classes!$B$6:$B$420,$M322))</f>
        <v/>
      </c>
      <c r="E322" s="61" t="str">
        <f aca="false">IF($M322=0,"",INDEX(Classes!$C$6:$C$420,$M322))</f>
        <v/>
      </c>
      <c r="F322" s="63"/>
      <c r="G322" s="63"/>
      <c r="H322" s="60"/>
      <c r="I322" s="60"/>
      <c r="J322" s="63"/>
      <c r="K322" s="61" t="str">
        <f aca="false">IF($P322=0,"",IF($F322="Baseline","— Baseline",IF($O322=0,"No result",IF($N322=0,"No Start (attainment only)",IF(OR($N322=1,$O322=1),"U – needs rule",INDEX(MxBody,MATCH($I322,MxCurr,0),MATCH($H322,MxStart,0)))))))</f>
        <v/>
      </c>
      <c r="L322" s="62" t="str">
        <f aca="false">IF(COUNTA($A322,$F322,$G322,$H322,$I322,$J322)=0,"",IF($M322=0,"✖ كود الصف غير موجود",IF(ISNA(MATCH($F322,Lists!$A$2:$A$5,0)),"✖ الفترة غير صحيحة",IF(ISNA(MATCH($G322,Lists!$B$2:$B$7,0)),"✖ المجموعة غير صحيحة",IF(NOT(OR($H322="",$N322&gt;0)),"✖ Start غير صحيح",IF(NOT(OR($I322="",$I322="NR",$O322&gt;0)),"✖ Current غير صحيح",IF(NOT(IF(ISNUMBER($J322),AND($J322&gt;=0,$J322=INT($J322)),FALSE())),"✖ العدد يجب أن يكون صحيحًا ≥ 0",IF(AND($F322="Baseline",$H322&lt;&gt;""),"⚠ Baseline: Start لا يدخل في التقدم",IF($K322="No Start (attainment only)","ℹ تحصيل فقط (بدون Start)",IF($K322="U – needs rule","ℹ حالة U تحتاج قاعدة معتمدة",IF($K322="No result","ℹ بدون نتيجة (يُستبعد من التحصيل)","OK")))))))))))</f>
        <v/>
      </c>
      <c r="M322" s="64" t="n">
        <f aca="false">IF($A322="",0,IFERROR(MATCH($A322,Classes!$A$6:$A$420,0),0))</f>
        <v>0</v>
      </c>
      <c r="N322" s="64" t="n">
        <f aca="false">IF($H322="",0,IFERROR(MATCH($H322,GradeList,0),0))</f>
        <v>0</v>
      </c>
      <c r="O322" s="64" t="n">
        <f aca="false">IF(OR($I322="",$I322="NR"),0,IFERROR(MATCH($I322,GradeList,0),0))</f>
        <v>0</v>
      </c>
      <c r="P322" s="64" t="n">
        <f aca="false">IF(AND($M322&gt;0,ISNUMBER(MATCH($F322,Lists!$A$2:$A$5,0)),ISNUMBER(MATCH($G322,Lists!$B$2:$B$7,0)),OR($H322="",$N322&gt;0),OR($I322="",$I322="NR",$O322&gt;0),IF(ISNUMBER($J322),AND($J322&gt;=0,$J322=INT($J322)),FALSE())),$J322,0)</f>
        <v>0</v>
      </c>
      <c r="Q322" s="64" t="n">
        <f aca="false">IF(AND($P322&gt;0,$O322&gt;0),$P322,0)</f>
        <v>0</v>
      </c>
      <c r="R322" s="64" t="n">
        <f aca="false">IF(AND($Q322&gt;0,$O322&gt;=AtRank),$Q322,0)</f>
        <v>0</v>
      </c>
      <c r="S322" s="64" t="n">
        <f aca="false">IF(AND($Q322&gt;0,$O322&gt;=AboveRank),$Q322,0)</f>
        <v>0</v>
      </c>
      <c r="T322" s="64" t="n">
        <f aca="false">IF($K322="Less",$P322,0)</f>
        <v>0</v>
      </c>
      <c r="U322" s="64" t="n">
        <f aca="false">IF($K322="Expected",$P322,0)</f>
        <v>0</v>
      </c>
      <c r="V322" s="64" t="n">
        <f aca="false">IF($K322="Better",$P322,0)</f>
        <v>0</v>
      </c>
      <c r="W322" s="64" t="n">
        <f aca="false">IF($K322="U – needs rule",$P322,0)</f>
        <v>0</v>
      </c>
      <c r="X322" s="64" t="n">
        <f aca="false">IF($K322="No Start (attainment only)",$P322,0)</f>
        <v>0</v>
      </c>
    </row>
    <row r="323" customFormat="false" ht="15" hidden="false" customHeight="false" outlineLevel="0" collapsed="false">
      <c r="A323" s="60"/>
      <c r="B323" s="61" t="str">
        <f aca="false">IF($M323=0,"",INDEX(Classes!$E$6:$E$420,$M323))</f>
        <v/>
      </c>
      <c r="C323" s="62" t="str">
        <f aca="false">IF($M323=0,"",INDEX(Classes!$H$6:$H$420,$M323))</f>
        <v/>
      </c>
      <c r="D323" s="61" t="str">
        <f aca="false">IF($M323=0,"",INDEX(Classes!$B$6:$B$420,$M323))</f>
        <v/>
      </c>
      <c r="E323" s="61" t="str">
        <f aca="false">IF($M323=0,"",INDEX(Classes!$C$6:$C$420,$M323))</f>
        <v/>
      </c>
      <c r="F323" s="63"/>
      <c r="G323" s="63"/>
      <c r="H323" s="60"/>
      <c r="I323" s="60"/>
      <c r="J323" s="63"/>
      <c r="K323" s="61" t="str">
        <f aca="false">IF($P323=0,"",IF($F323="Baseline","— Baseline",IF($O323=0,"No result",IF($N323=0,"No Start (attainment only)",IF(OR($N323=1,$O323=1),"U – needs rule",INDEX(MxBody,MATCH($I323,MxCurr,0),MATCH($H323,MxStart,0)))))))</f>
        <v/>
      </c>
      <c r="L323" s="62" t="str">
        <f aca="false">IF(COUNTA($A323,$F323,$G323,$H323,$I323,$J323)=0,"",IF($M323=0,"✖ كود الصف غير موجود",IF(ISNA(MATCH($F323,Lists!$A$2:$A$5,0)),"✖ الفترة غير صحيحة",IF(ISNA(MATCH($G323,Lists!$B$2:$B$7,0)),"✖ المجموعة غير صحيحة",IF(NOT(OR($H323="",$N323&gt;0)),"✖ Start غير صحيح",IF(NOT(OR($I323="",$I323="NR",$O323&gt;0)),"✖ Current غير صحيح",IF(NOT(IF(ISNUMBER($J323),AND($J323&gt;=0,$J323=INT($J323)),FALSE())),"✖ العدد يجب أن يكون صحيحًا ≥ 0",IF(AND($F323="Baseline",$H323&lt;&gt;""),"⚠ Baseline: Start لا يدخل في التقدم",IF($K323="No Start (attainment only)","ℹ تحصيل فقط (بدون Start)",IF($K323="U – needs rule","ℹ حالة U تحتاج قاعدة معتمدة",IF($K323="No result","ℹ بدون نتيجة (يُستبعد من التحصيل)","OK")))))))))))</f>
        <v/>
      </c>
      <c r="M323" s="64" t="n">
        <f aca="false">IF($A323="",0,IFERROR(MATCH($A323,Classes!$A$6:$A$420,0),0))</f>
        <v>0</v>
      </c>
      <c r="N323" s="64" t="n">
        <f aca="false">IF($H323="",0,IFERROR(MATCH($H323,GradeList,0),0))</f>
        <v>0</v>
      </c>
      <c r="O323" s="64" t="n">
        <f aca="false">IF(OR($I323="",$I323="NR"),0,IFERROR(MATCH($I323,GradeList,0),0))</f>
        <v>0</v>
      </c>
      <c r="P323" s="64" t="n">
        <f aca="false">IF(AND($M323&gt;0,ISNUMBER(MATCH($F323,Lists!$A$2:$A$5,0)),ISNUMBER(MATCH($G323,Lists!$B$2:$B$7,0)),OR($H323="",$N323&gt;0),OR($I323="",$I323="NR",$O323&gt;0),IF(ISNUMBER($J323),AND($J323&gt;=0,$J323=INT($J323)),FALSE())),$J323,0)</f>
        <v>0</v>
      </c>
      <c r="Q323" s="64" t="n">
        <f aca="false">IF(AND($P323&gt;0,$O323&gt;0),$P323,0)</f>
        <v>0</v>
      </c>
      <c r="R323" s="64" t="n">
        <f aca="false">IF(AND($Q323&gt;0,$O323&gt;=AtRank),$Q323,0)</f>
        <v>0</v>
      </c>
      <c r="S323" s="64" t="n">
        <f aca="false">IF(AND($Q323&gt;0,$O323&gt;=AboveRank),$Q323,0)</f>
        <v>0</v>
      </c>
      <c r="T323" s="64" t="n">
        <f aca="false">IF($K323="Less",$P323,0)</f>
        <v>0</v>
      </c>
      <c r="U323" s="64" t="n">
        <f aca="false">IF($K323="Expected",$P323,0)</f>
        <v>0</v>
      </c>
      <c r="V323" s="64" t="n">
        <f aca="false">IF($K323="Better",$P323,0)</f>
        <v>0</v>
      </c>
      <c r="W323" s="64" t="n">
        <f aca="false">IF($K323="U – needs rule",$P323,0)</f>
        <v>0</v>
      </c>
      <c r="X323" s="64" t="n">
        <f aca="false">IF($K323="No Start (attainment only)",$P323,0)</f>
        <v>0</v>
      </c>
    </row>
    <row r="324" customFormat="false" ht="15" hidden="false" customHeight="false" outlineLevel="0" collapsed="false">
      <c r="A324" s="60"/>
      <c r="B324" s="61" t="str">
        <f aca="false">IF($M324=0,"",INDEX(Classes!$E$6:$E$420,$M324))</f>
        <v/>
      </c>
      <c r="C324" s="62" t="str">
        <f aca="false">IF($M324=0,"",INDEX(Classes!$H$6:$H$420,$M324))</f>
        <v/>
      </c>
      <c r="D324" s="61" t="str">
        <f aca="false">IF($M324=0,"",INDEX(Classes!$B$6:$B$420,$M324))</f>
        <v/>
      </c>
      <c r="E324" s="61" t="str">
        <f aca="false">IF($M324=0,"",INDEX(Classes!$C$6:$C$420,$M324))</f>
        <v/>
      </c>
      <c r="F324" s="63"/>
      <c r="G324" s="63"/>
      <c r="H324" s="60"/>
      <c r="I324" s="60"/>
      <c r="J324" s="63"/>
      <c r="K324" s="61" t="str">
        <f aca="false">IF($P324=0,"",IF($F324="Baseline","— Baseline",IF($O324=0,"No result",IF($N324=0,"No Start (attainment only)",IF(OR($N324=1,$O324=1),"U – needs rule",INDEX(MxBody,MATCH($I324,MxCurr,0),MATCH($H324,MxStart,0)))))))</f>
        <v/>
      </c>
      <c r="L324" s="62" t="str">
        <f aca="false">IF(COUNTA($A324,$F324,$G324,$H324,$I324,$J324)=0,"",IF($M324=0,"✖ كود الصف غير موجود",IF(ISNA(MATCH($F324,Lists!$A$2:$A$5,0)),"✖ الفترة غير صحيحة",IF(ISNA(MATCH($G324,Lists!$B$2:$B$7,0)),"✖ المجموعة غير صحيحة",IF(NOT(OR($H324="",$N324&gt;0)),"✖ Start غير صحيح",IF(NOT(OR($I324="",$I324="NR",$O324&gt;0)),"✖ Current غير صحيح",IF(NOT(IF(ISNUMBER($J324),AND($J324&gt;=0,$J324=INT($J324)),FALSE())),"✖ العدد يجب أن يكون صحيحًا ≥ 0",IF(AND($F324="Baseline",$H324&lt;&gt;""),"⚠ Baseline: Start لا يدخل في التقدم",IF($K324="No Start (attainment only)","ℹ تحصيل فقط (بدون Start)",IF($K324="U – needs rule","ℹ حالة U تحتاج قاعدة معتمدة",IF($K324="No result","ℹ بدون نتيجة (يُستبعد من التحصيل)","OK")))))))))))</f>
        <v/>
      </c>
      <c r="M324" s="64" t="n">
        <f aca="false">IF($A324="",0,IFERROR(MATCH($A324,Classes!$A$6:$A$420,0),0))</f>
        <v>0</v>
      </c>
      <c r="N324" s="64" t="n">
        <f aca="false">IF($H324="",0,IFERROR(MATCH($H324,GradeList,0),0))</f>
        <v>0</v>
      </c>
      <c r="O324" s="64" t="n">
        <f aca="false">IF(OR($I324="",$I324="NR"),0,IFERROR(MATCH($I324,GradeList,0),0))</f>
        <v>0</v>
      </c>
      <c r="P324" s="64" t="n">
        <f aca="false">IF(AND($M324&gt;0,ISNUMBER(MATCH($F324,Lists!$A$2:$A$5,0)),ISNUMBER(MATCH($G324,Lists!$B$2:$B$7,0)),OR($H324="",$N324&gt;0),OR($I324="",$I324="NR",$O324&gt;0),IF(ISNUMBER($J324),AND($J324&gt;=0,$J324=INT($J324)),FALSE())),$J324,0)</f>
        <v>0</v>
      </c>
      <c r="Q324" s="64" t="n">
        <f aca="false">IF(AND($P324&gt;0,$O324&gt;0),$P324,0)</f>
        <v>0</v>
      </c>
      <c r="R324" s="64" t="n">
        <f aca="false">IF(AND($Q324&gt;0,$O324&gt;=AtRank),$Q324,0)</f>
        <v>0</v>
      </c>
      <c r="S324" s="64" t="n">
        <f aca="false">IF(AND($Q324&gt;0,$O324&gt;=AboveRank),$Q324,0)</f>
        <v>0</v>
      </c>
      <c r="T324" s="64" t="n">
        <f aca="false">IF($K324="Less",$P324,0)</f>
        <v>0</v>
      </c>
      <c r="U324" s="64" t="n">
        <f aca="false">IF($K324="Expected",$P324,0)</f>
        <v>0</v>
      </c>
      <c r="V324" s="64" t="n">
        <f aca="false">IF($K324="Better",$P324,0)</f>
        <v>0</v>
      </c>
      <c r="W324" s="64" t="n">
        <f aca="false">IF($K324="U – needs rule",$P324,0)</f>
        <v>0</v>
      </c>
      <c r="X324" s="64" t="n">
        <f aca="false">IF($K324="No Start (attainment only)",$P324,0)</f>
        <v>0</v>
      </c>
    </row>
    <row r="325" customFormat="false" ht="15" hidden="false" customHeight="false" outlineLevel="0" collapsed="false">
      <c r="A325" s="60"/>
      <c r="B325" s="61" t="str">
        <f aca="false">IF($M325=0,"",INDEX(Classes!$E$6:$E$420,$M325))</f>
        <v/>
      </c>
      <c r="C325" s="62" t="str">
        <f aca="false">IF($M325=0,"",INDEX(Classes!$H$6:$H$420,$M325))</f>
        <v/>
      </c>
      <c r="D325" s="61" t="str">
        <f aca="false">IF($M325=0,"",INDEX(Classes!$B$6:$B$420,$M325))</f>
        <v/>
      </c>
      <c r="E325" s="61" t="str">
        <f aca="false">IF($M325=0,"",INDEX(Classes!$C$6:$C$420,$M325))</f>
        <v/>
      </c>
      <c r="F325" s="63"/>
      <c r="G325" s="63"/>
      <c r="H325" s="60"/>
      <c r="I325" s="60"/>
      <c r="J325" s="63"/>
      <c r="K325" s="61" t="str">
        <f aca="false">IF($P325=0,"",IF($F325="Baseline","— Baseline",IF($O325=0,"No result",IF($N325=0,"No Start (attainment only)",IF(OR($N325=1,$O325=1),"U – needs rule",INDEX(MxBody,MATCH($I325,MxCurr,0),MATCH($H325,MxStart,0)))))))</f>
        <v/>
      </c>
      <c r="L325" s="62" t="str">
        <f aca="false">IF(COUNTA($A325,$F325,$G325,$H325,$I325,$J325)=0,"",IF($M325=0,"✖ كود الصف غير موجود",IF(ISNA(MATCH($F325,Lists!$A$2:$A$5,0)),"✖ الفترة غير صحيحة",IF(ISNA(MATCH($G325,Lists!$B$2:$B$7,0)),"✖ المجموعة غير صحيحة",IF(NOT(OR($H325="",$N325&gt;0)),"✖ Start غير صحيح",IF(NOT(OR($I325="",$I325="NR",$O325&gt;0)),"✖ Current غير صحيح",IF(NOT(IF(ISNUMBER($J325),AND($J325&gt;=0,$J325=INT($J325)),FALSE())),"✖ العدد يجب أن يكون صحيحًا ≥ 0",IF(AND($F325="Baseline",$H325&lt;&gt;""),"⚠ Baseline: Start لا يدخل في التقدم",IF($K325="No Start (attainment only)","ℹ تحصيل فقط (بدون Start)",IF($K325="U – needs rule","ℹ حالة U تحتاج قاعدة معتمدة",IF($K325="No result","ℹ بدون نتيجة (يُستبعد من التحصيل)","OK")))))))))))</f>
        <v/>
      </c>
      <c r="M325" s="64" t="n">
        <f aca="false">IF($A325="",0,IFERROR(MATCH($A325,Classes!$A$6:$A$420,0),0))</f>
        <v>0</v>
      </c>
      <c r="N325" s="64" t="n">
        <f aca="false">IF($H325="",0,IFERROR(MATCH($H325,GradeList,0),0))</f>
        <v>0</v>
      </c>
      <c r="O325" s="64" t="n">
        <f aca="false">IF(OR($I325="",$I325="NR"),0,IFERROR(MATCH($I325,GradeList,0),0))</f>
        <v>0</v>
      </c>
      <c r="P325" s="64" t="n">
        <f aca="false">IF(AND($M325&gt;0,ISNUMBER(MATCH($F325,Lists!$A$2:$A$5,0)),ISNUMBER(MATCH($G325,Lists!$B$2:$B$7,0)),OR($H325="",$N325&gt;0),OR($I325="",$I325="NR",$O325&gt;0),IF(ISNUMBER($J325),AND($J325&gt;=0,$J325=INT($J325)),FALSE())),$J325,0)</f>
        <v>0</v>
      </c>
      <c r="Q325" s="64" t="n">
        <f aca="false">IF(AND($P325&gt;0,$O325&gt;0),$P325,0)</f>
        <v>0</v>
      </c>
      <c r="R325" s="64" t="n">
        <f aca="false">IF(AND($Q325&gt;0,$O325&gt;=AtRank),$Q325,0)</f>
        <v>0</v>
      </c>
      <c r="S325" s="64" t="n">
        <f aca="false">IF(AND($Q325&gt;0,$O325&gt;=AboveRank),$Q325,0)</f>
        <v>0</v>
      </c>
      <c r="T325" s="64" t="n">
        <f aca="false">IF($K325="Less",$P325,0)</f>
        <v>0</v>
      </c>
      <c r="U325" s="64" t="n">
        <f aca="false">IF($K325="Expected",$P325,0)</f>
        <v>0</v>
      </c>
      <c r="V325" s="64" t="n">
        <f aca="false">IF($K325="Better",$P325,0)</f>
        <v>0</v>
      </c>
      <c r="W325" s="64" t="n">
        <f aca="false">IF($K325="U – needs rule",$P325,0)</f>
        <v>0</v>
      </c>
      <c r="X325" s="64" t="n">
        <f aca="false">IF($K325="No Start (attainment only)",$P325,0)</f>
        <v>0</v>
      </c>
    </row>
    <row r="326" customFormat="false" ht="15" hidden="false" customHeight="false" outlineLevel="0" collapsed="false">
      <c r="A326" s="60"/>
      <c r="B326" s="61" t="str">
        <f aca="false">IF($M326=0,"",INDEX(Classes!$E$6:$E$420,$M326))</f>
        <v/>
      </c>
      <c r="C326" s="62" t="str">
        <f aca="false">IF($M326=0,"",INDEX(Classes!$H$6:$H$420,$M326))</f>
        <v/>
      </c>
      <c r="D326" s="61" t="str">
        <f aca="false">IF($M326=0,"",INDEX(Classes!$B$6:$B$420,$M326))</f>
        <v/>
      </c>
      <c r="E326" s="61" t="str">
        <f aca="false">IF($M326=0,"",INDEX(Classes!$C$6:$C$420,$M326))</f>
        <v/>
      </c>
      <c r="F326" s="63"/>
      <c r="G326" s="63"/>
      <c r="H326" s="60"/>
      <c r="I326" s="60"/>
      <c r="J326" s="63"/>
      <c r="K326" s="61" t="str">
        <f aca="false">IF($P326=0,"",IF($F326="Baseline","— Baseline",IF($O326=0,"No result",IF($N326=0,"No Start (attainment only)",IF(OR($N326=1,$O326=1),"U – needs rule",INDEX(MxBody,MATCH($I326,MxCurr,0),MATCH($H326,MxStart,0)))))))</f>
        <v/>
      </c>
      <c r="L326" s="62" t="str">
        <f aca="false">IF(COUNTA($A326,$F326,$G326,$H326,$I326,$J326)=0,"",IF($M326=0,"✖ كود الصف غير موجود",IF(ISNA(MATCH($F326,Lists!$A$2:$A$5,0)),"✖ الفترة غير صحيحة",IF(ISNA(MATCH($G326,Lists!$B$2:$B$7,0)),"✖ المجموعة غير صحيحة",IF(NOT(OR($H326="",$N326&gt;0)),"✖ Start غير صحيح",IF(NOT(OR($I326="",$I326="NR",$O326&gt;0)),"✖ Current غير صحيح",IF(NOT(IF(ISNUMBER($J326),AND($J326&gt;=0,$J326=INT($J326)),FALSE())),"✖ العدد يجب أن يكون صحيحًا ≥ 0",IF(AND($F326="Baseline",$H326&lt;&gt;""),"⚠ Baseline: Start لا يدخل في التقدم",IF($K326="No Start (attainment only)","ℹ تحصيل فقط (بدون Start)",IF($K326="U – needs rule","ℹ حالة U تحتاج قاعدة معتمدة",IF($K326="No result","ℹ بدون نتيجة (يُستبعد من التحصيل)","OK")))))))))))</f>
        <v/>
      </c>
      <c r="M326" s="64" t="n">
        <f aca="false">IF($A326="",0,IFERROR(MATCH($A326,Classes!$A$6:$A$420,0),0))</f>
        <v>0</v>
      </c>
      <c r="N326" s="64" t="n">
        <f aca="false">IF($H326="",0,IFERROR(MATCH($H326,GradeList,0),0))</f>
        <v>0</v>
      </c>
      <c r="O326" s="64" t="n">
        <f aca="false">IF(OR($I326="",$I326="NR"),0,IFERROR(MATCH($I326,GradeList,0),0))</f>
        <v>0</v>
      </c>
      <c r="P326" s="64" t="n">
        <f aca="false">IF(AND($M326&gt;0,ISNUMBER(MATCH($F326,Lists!$A$2:$A$5,0)),ISNUMBER(MATCH($G326,Lists!$B$2:$B$7,0)),OR($H326="",$N326&gt;0),OR($I326="",$I326="NR",$O326&gt;0),IF(ISNUMBER($J326),AND($J326&gt;=0,$J326=INT($J326)),FALSE())),$J326,0)</f>
        <v>0</v>
      </c>
      <c r="Q326" s="64" t="n">
        <f aca="false">IF(AND($P326&gt;0,$O326&gt;0),$P326,0)</f>
        <v>0</v>
      </c>
      <c r="R326" s="64" t="n">
        <f aca="false">IF(AND($Q326&gt;0,$O326&gt;=AtRank),$Q326,0)</f>
        <v>0</v>
      </c>
      <c r="S326" s="64" t="n">
        <f aca="false">IF(AND($Q326&gt;0,$O326&gt;=AboveRank),$Q326,0)</f>
        <v>0</v>
      </c>
      <c r="T326" s="64" t="n">
        <f aca="false">IF($K326="Less",$P326,0)</f>
        <v>0</v>
      </c>
      <c r="U326" s="64" t="n">
        <f aca="false">IF($K326="Expected",$P326,0)</f>
        <v>0</v>
      </c>
      <c r="V326" s="64" t="n">
        <f aca="false">IF($K326="Better",$P326,0)</f>
        <v>0</v>
      </c>
      <c r="W326" s="64" t="n">
        <f aca="false">IF($K326="U – needs rule",$P326,0)</f>
        <v>0</v>
      </c>
      <c r="X326" s="64" t="n">
        <f aca="false">IF($K326="No Start (attainment only)",$P326,0)</f>
        <v>0</v>
      </c>
    </row>
    <row r="327" customFormat="false" ht="15" hidden="false" customHeight="false" outlineLevel="0" collapsed="false">
      <c r="A327" s="60"/>
      <c r="B327" s="61" t="str">
        <f aca="false">IF($M327=0,"",INDEX(Classes!$E$6:$E$420,$M327))</f>
        <v/>
      </c>
      <c r="C327" s="62" t="str">
        <f aca="false">IF($M327=0,"",INDEX(Classes!$H$6:$H$420,$M327))</f>
        <v/>
      </c>
      <c r="D327" s="61" t="str">
        <f aca="false">IF($M327=0,"",INDEX(Classes!$B$6:$B$420,$M327))</f>
        <v/>
      </c>
      <c r="E327" s="61" t="str">
        <f aca="false">IF($M327=0,"",INDEX(Classes!$C$6:$C$420,$M327))</f>
        <v/>
      </c>
      <c r="F327" s="63"/>
      <c r="G327" s="63"/>
      <c r="H327" s="60"/>
      <c r="I327" s="60"/>
      <c r="J327" s="63"/>
      <c r="K327" s="61" t="str">
        <f aca="false">IF($P327=0,"",IF($F327="Baseline","— Baseline",IF($O327=0,"No result",IF($N327=0,"No Start (attainment only)",IF(OR($N327=1,$O327=1),"U – needs rule",INDEX(MxBody,MATCH($I327,MxCurr,0),MATCH($H327,MxStart,0)))))))</f>
        <v/>
      </c>
      <c r="L327" s="62" t="str">
        <f aca="false">IF(COUNTA($A327,$F327,$G327,$H327,$I327,$J327)=0,"",IF($M327=0,"✖ كود الصف غير موجود",IF(ISNA(MATCH($F327,Lists!$A$2:$A$5,0)),"✖ الفترة غير صحيحة",IF(ISNA(MATCH($G327,Lists!$B$2:$B$7,0)),"✖ المجموعة غير صحيحة",IF(NOT(OR($H327="",$N327&gt;0)),"✖ Start غير صحيح",IF(NOT(OR($I327="",$I327="NR",$O327&gt;0)),"✖ Current غير صحيح",IF(NOT(IF(ISNUMBER($J327),AND($J327&gt;=0,$J327=INT($J327)),FALSE())),"✖ العدد يجب أن يكون صحيحًا ≥ 0",IF(AND($F327="Baseline",$H327&lt;&gt;""),"⚠ Baseline: Start لا يدخل في التقدم",IF($K327="No Start (attainment only)","ℹ تحصيل فقط (بدون Start)",IF($K327="U – needs rule","ℹ حالة U تحتاج قاعدة معتمدة",IF($K327="No result","ℹ بدون نتيجة (يُستبعد من التحصيل)","OK")))))))))))</f>
        <v/>
      </c>
      <c r="M327" s="64" t="n">
        <f aca="false">IF($A327="",0,IFERROR(MATCH($A327,Classes!$A$6:$A$420,0),0))</f>
        <v>0</v>
      </c>
      <c r="N327" s="64" t="n">
        <f aca="false">IF($H327="",0,IFERROR(MATCH($H327,GradeList,0),0))</f>
        <v>0</v>
      </c>
      <c r="O327" s="64" t="n">
        <f aca="false">IF(OR($I327="",$I327="NR"),0,IFERROR(MATCH($I327,GradeList,0),0))</f>
        <v>0</v>
      </c>
      <c r="P327" s="64" t="n">
        <f aca="false">IF(AND($M327&gt;0,ISNUMBER(MATCH($F327,Lists!$A$2:$A$5,0)),ISNUMBER(MATCH($G327,Lists!$B$2:$B$7,0)),OR($H327="",$N327&gt;0),OR($I327="",$I327="NR",$O327&gt;0),IF(ISNUMBER($J327),AND($J327&gt;=0,$J327=INT($J327)),FALSE())),$J327,0)</f>
        <v>0</v>
      </c>
      <c r="Q327" s="64" t="n">
        <f aca="false">IF(AND($P327&gt;0,$O327&gt;0),$P327,0)</f>
        <v>0</v>
      </c>
      <c r="R327" s="64" t="n">
        <f aca="false">IF(AND($Q327&gt;0,$O327&gt;=AtRank),$Q327,0)</f>
        <v>0</v>
      </c>
      <c r="S327" s="64" t="n">
        <f aca="false">IF(AND($Q327&gt;0,$O327&gt;=AboveRank),$Q327,0)</f>
        <v>0</v>
      </c>
      <c r="T327" s="64" t="n">
        <f aca="false">IF($K327="Less",$P327,0)</f>
        <v>0</v>
      </c>
      <c r="U327" s="64" t="n">
        <f aca="false">IF($K327="Expected",$P327,0)</f>
        <v>0</v>
      </c>
      <c r="V327" s="64" t="n">
        <f aca="false">IF($K327="Better",$P327,0)</f>
        <v>0</v>
      </c>
      <c r="W327" s="64" t="n">
        <f aca="false">IF($K327="U – needs rule",$P327,0)</f>
        <v>0</v>
      </c>
      <c r="X327" s="64" t="n">
        <f aca="false">IF($K327="No Start (attainment only)",$P327,0)</f>
        <v>0</v>
      </c>
    </row>
    <row r="328" customFormat="false" ht="15" hidden="false" customHeight="false" outlineLevel="0" collapsed="false">
      <c r="A328" s="60"/>
      <c r="B328" s="61" t="str">
        <f aca="false">IF($M328=0,"",INDEX(Classes!$E$6:$E$420,$M328))</f>
        <v/>
      </c>
      <c r="C328" s="62" t="str">
        <f aca="false">IF($M328=0,"",INDEX(Classes!$H$6:$H$420,$M328))</f>
        <v/>
      </c>
      <c r="D328" s="61" t="str">
        <f aca="false">IF($M328=0,"",INDEX(Classes!$B$6:$B$420,$M328))</f>
        <v/>
      </c>
      <c r="E328" s="61" t="str">
        <f aca="false">IF($M328=0,"",INDEX(Classes!$C$6:$C$420,$M328))</f>
        <v/>
      </c>
      <c r="F328" s="63"/>
      <c r="G328" s="63"/>
      <c r="H328" s="60"/>
      <c r="I328" s="60"/>
      <c r="J328" s="63"/>
      <c r="K328" s="61" t="str">
        <f aca="false">IF($P328=0,"",IF($F328="Baseline","— Baseline",IF($O328=0,"No result",IF($N328=0,"No Start (attainment only)",IF(OR($N328=1,$O328=1),"U – needs rule",INDEX(MxBody,MATCH($I328,MxCurr,0),MATCH($H328,MxStart,0)))))))</f>
        <v/>
      </c>
      <c r="L328" s="62" t="str">
        <f aca="false">IF(COUNTA($A328,$F328,$G328,$H328,$I328,$J328)=0,"",IF($M328=0,"✖ كود الصف غير موجود",IF(ISNA(MATCH($F328,Lists!$A$2:$A$5,0)),"✖ الفترة غير صحيحة",IF(ISNA(MATCH($G328,Lists!$B$2:$B$7,0)),"✖ المجموعة غير صحيحة",IF(NOT(OR($H328="",$N328&gt;0)),"✖ Start غير صحيح",IF(NOT(OR($I328="",$I328="NR",$O328&gt;0)),"✖ Current غير صحيح",IF(NOT(IF(ISNUMBER($J328),AND($J328&gt;=0,$J328=INT($J328)),FALSE())),"✖ العدد يجب أن يكون صحيحًا ≥ 0",IF(AND($F328="Baseline",$H328&lt;&gt;""),"⚠ Baseline: Start لا يدخل في التقدم",IF($K328="No Start (attainment only)","ℹ تحصيل فقط (بدون Start)",IF($K328="U – needs rule","ℹ حالة U تحتاج قاعدة معتمدة",IF($K328="No result","ℹ بدون نتيجة (يُستبعد من التحصيل)","OK")))))))))))</f>
        <v/>
      </c>
      <c r="M328" s="64" t="n">
        <f aca="false">IF($A328="",0,IFERROR(MATCH($A328,Classes!$A$6:$A$420,0),0))</f>
        <v>0</v>
      </c>
      <c r="N328" s="64" t="n">
        <f aca="false">IF($H328="",0,IFERROR(MATCH($H328,GradeList,0),0))</f>
        <v>0</v>
      </c>
      <c r="O328" s="64" t="n">
        <f aca="false">IF(OR($I328="",$I328="NR"),0,IFERROR(MATCH($I328,GradeList,0),0))</f>
        <v>0</v>
      </c>
      <c r="P328" s="64" t="n">
        <f aca="false">IF(AND($M328&gt;0,ISNUMBER(MATCH($F328,Lists!$A$2:$A$5,0)),ISNUMBER(MATCH($G328,Lists!$B$2:$B$7,0)),OR($H328="",$N328&gt;0),OR($I328="",$I328="NR",$O328&gt;0),IF(ISNUMBER($J328),AND($J328&gt;=0,$J328=INT($J328)),FALSE())),$J328,0)</f>
        <v>0</v>
      </c>
      <c r="Q328" s="64" t="n">
        <f aca="false">IF(AND($P328&gt;0,$O328&gt;0),$P328,0)</f>
        <v>0</v>
      </c>
      <c r="R328" s="64" t="n">
        <f aca="false">IF(AND($Q328&gt;0,$O328&gt;=AtRank),$Q328,0)</f>
        <v>0</v>
      </c>
      <c r="S328" s="64" t="n">
        <f aca="false">IF(AND($Q328&gt;0,$O328&gt;=AboveRank),$Q328,0)</f>
        <v>0</v>
      </c>
      <c r="T328" s="64" t="n">
        <f aca="false">IF($K328="Less",$P328,0)</f>
        <v>0</v>
      </c>
      <c r="U328" s="64" t="n">
        <f aca="false">IF($K328="Expected",$P328,0)</f>
        <v>0</v>
      </c>
      <c r="V328" s="64" t="n">
        <f aca="false">IF($K328="Better",$P328,0)</f>
        <v>0</v>
      </c>
      <c r="W328" s="64" t="n">
        <f aca="false">IF($K328="U – needs rule",$P328,0)</f>
        <v>0</v>
      </c>
      <c r="X328" s="64" t="n">
        <f aca="false">IF($K328="No Start (attainment only)",$P328,0)</f>
        <v>0</v>
      </c>
    </row>
    <row r="329" customFormat="false" ht="15" hidden="false" customHeight="false" outlineLevel="0" collapsed="false">
      <c r="A329" s="60"/>
      <c r="B329" s="61" t="str">
        <f aca="false">IF($M329=0,"",INDEX(Classes!$E$6:$E$420,$M329))</f>
        <v/>
      </c>
      <c r="C329" s="62" t="str">
        <f aca="false">IF($M329=0,"",INDEX(Classes!$H$6:$H$420,$M329))</f>
        <v/>
      </c>
      <c r="D329" s="61" t="str">
        <f aca="false">IF($M329=0,"",INDEX(Classes!$B$6:$B$420,$M329))</f>
        <v/>
      </c>
      <c r="E329" s="61" t="str">
        <f aca="false">IF($M329=0,"",INDEX(Classes!$C$6:$C$420,$M329))</f>
        <v/>
      </c>
      <c r="F329" s="63"/>
      <c r="G329" s="63"/>
      <c r="H329" s="60"/>
      <c r="I329" s="60"/>
      <c r="J329" s="63"/>
      <c r="K329" s="61" t="str">
        <f aca="false">IF($P329=0,"",IF($F329="Baseline","— Baseline",IF($O329=0,"No result",IF($N329=0,"No Start (attainment only)",IF(OR($N329=1,$O329=1),"U – needs rule",INDEX(MxBody,MATCH($I329,MxCurr,0),MATCH($H329,MxStart,0)))))))</f>
        <v/>
      </c>
      <c r="L329" s="62" t="str">
        <f aca="false">IF(COUNTA($A329,$F329,$G329,$H329,$I329,$J329)=0,"",IF($M329=0,"✖ كود الصف غير موجود",IF(ISNA(MATCH($F329,Lists!$A$2:$A$5,0)),"✖ الفترة غير صحيحة",IF(ISNA(MATCH($G329,Lists!$B$2:$B$7,0)),"✖ المجموعة غير صحيحة",IF(NOT(OR($H329="",$N329&gt;0)),"✖ Start غير صحيح",IF(NOT(OR($I329="",$I329="NR",$O329&gt;0)),"✖ Current غير صحيح",IF(NOT(IF(ISNUMBER($J329),AND($J329&gt;=0,$J329=INT($J329)),FALSE())),"✖ العدد يجب أن يكون صحيحًا ≥ 0",IF(AND($F329="Baseline",$H329&lt;&gt;""),"⚠ Baseline: Start لا يدخل في التقدم",IF($K329="No Start (attainment only)","ℹ تحصيل فقط (بدون Start)",IF($K329="U – needs rule","ℹ حالة U تحتاج قاعدة معتمدة",IF($K329="No result","ℹ بدون نتيجة (يُستبعد من التحصيل)","OK")))))))))))</f>
        <v/>
      </c>
      <c r="M329" s="64" t="n">
        <f aca="false">IF($A329="",0,IFERROR(MATCH($A329,Classes!$A$6:$A$420,0),0))</f>
        <v>0</v>
      </c>
      <c r="N329" s="64" t="n">
        <f aca="false">IF($H329="",0,IFERROR(MATCH($H329,GradeList,0),0))</f>
        <v>0</v>
      </c>
      <c r="O329" s="64" t="n">
        <f aca="false">IF(OR($I329="",$I329="NR"),0,IFERROR(MATCH($I329,GradeList,0),0))</f>
        <v>0</v>
      </c>
      <c r="P329" s="64" t="n">
        <f aca="false">IF(AND($M329&gt;0,ISNUMBER(MATCH($F329,Lists!$A$2:$A$5,0)),ISNUMBER(MATCH($G329,Lists!$B$2:$B$7,0)),OR($H329="",$N329&gt;0),OR($I329="",$I329="NR",$O329&gt;0),IF(ISNUMBER($J329),AND($J329&gt;=0,$J329=INT($J329)),FALSE())),$J329,0)</f>
        <v>0</v>
      </c>
      <c r="Q329" s="64" t="n">
        <f aca="false">IF(AND($P329&gt;0,$O329&gt;0),$P329,0)</f>
        <v>0</v>
      </c>
      <c r="R329" s="64" t="n">
        <f aca="false">IF(AND($Q329&gt;0,$O329&gt;=AtRank),$Q329,0)</f>
        <v>0</v>
      </c>
      <c r="S329" s="64" t="n">
        <f aca="false">IF(AND($Q329&gt;0,$O329&gt;=AboveRank),$Q329,0)</f>
        <v>0</v>
      </c>
      <c r="T329" s="64" t="n">
        <f aca="false">IF($K329="Less",$P329,0)</f>
        <v>0</v>
      </c>
      <c r="U329" s="64" t="n">
        <f aca="false">IF($K329="Expected",$P329,0)</f>
        <v>0</v>
      </c>
      <c r="V329" s="64" t="n">
        <f aca="false">IF($K329="Better",$P329,0)</f>
        <v>0</v>
      </c>
      <c r="W329" s="64" t="n">
        <f aca="false">IF($K329="U – needs rule",$P329,0)</f>
        <v>0</v>
      </c>
      <c r="X329" s="64" t="n">
        <f aca="false">IF($K329="No Start (attainment only)",$P329,0)</f>
        <v>0</v>
      </c>
    </row>
    <row r="330" customFormat="false" ht="15" hidden="false" customHeight="false" outlineLevel="0" collapsed="false">
      <c r="A330" s="60"/>
      <c r="B330" s="61" t="str">
        <f aca="false">IF($M330=0,"",INDEX(Classes!$E$6:$E$420,$M330))</f>
        <v/>
      </c>
      <c r="C330" s="62" t="str">
        <f aca="false">IF($M330=0,"",INDEX(Classes!$H$6:$H$420,$M330))</f>
        <v/>
      </c>
      <c r="D330" s="61" t="str">
        <f aca="false">IF($M330=0,"",INDEX(Classes!$B$6:$B$420,$M330))</f>
        <v/>
      </c>
      <c r="E330" s="61" t="str">
        <f aca="false">IF($M330=0,"",INDEX(Classes!$C$6:$C$420,$M330))</f>
        <v/>
      </c>
      <c r="F330" s="63"/>
      <c r="G330" s="63"/>
      <c r="H330" s="60"/>
      <c r="I330" s="60"/>
      <c r="J330" s="63"/>
      <c r="K330" s="61" t="str">
        <f aca="false">IF($P330=0,"",IF($F330="Baseline","— Baseline",IF($O330=0,"No result",IF($N330=0,"No Start (attainment only)",IF(OR($N330=1,$O330=1),"U – needs rule",INDEX(MxBody,MATCH($I330,MxCurr,0),MATCH($H330,MxStart,0)))))))</f>
        <v/>
      </c>
      <c r="L330" s="62" t="str">
        <f aca="false">IF(COUNTA($A330,$F330,$G330,$H330,$I330,$J330)=0,"",IF($M330=0,"✖ كود الصف غير موجود",IF(ISNA(MATCH($F330,Lists!$A$2:$A$5,0)),"✖ الفترة غير صحيحة",IF(ISNA(MATCH($G330,Lists!$B$2:$B$7,0)),"✖ المجموعة غير صحيحة",IF(NOT(OR($H330="",$N330&gt;0)),"✖ Start غير صحيح",IF(NOT(OR($I330="",$I330="NR",$O330&gt;0)),"✖ Current غير صحيح",IF(NOT(IF(ISNUMBER($J330),AND($J330&gt;=0,$J330=INT($J330)),FALSE())),"✖ العدد يجب أن يكون صحيحًا ≥ 0",IF(AND($F330="Baseline",$H330&lt;&gt;""),"⚠ Baseline: Start لا يدخل في التقدم",IF($K330="No Start (attainment only)","ℹ تحصيل فقط (بدون Start)",IF($K330="U – needs rule","ℹ حالة U تحتاج قاعدة معتمدة",IF($K330="No result","ℹ بدون نتيجة (يُستبعد من التحصيل)","OK")))))))))))</f>
        <v/>
      </c>
      <c r="M330" s="64" t="n">
        <f aca="false">IF($A330="",0,IFERROR(MATCH($A330,Classes!$A$6:$A$420,0),0))</f>
        <v>0</v>
      </c>
      <c r="N330" s="64" t="n">
        <f aca="false">IF($H330="",0,IFERROR(MATCH($H330,GradeList,0),0))</f>
        <v>0</v>
      </c>
      <c r="O330" s="64" t="n">
        <f aca="false">IF(OR($I330="",$I330="NR"),0,IFERROR(MATCH($I330,GradeList,0),0))</f>
        <v>0</v>
      </c>
      <c r="P330" s="64" t="n">
        <f aca="false">IF(AND($M330&gt;0,ISNUMBER(MATCH($F330,Lists!$A$2:$A$5,0)),ISNUMBER(MATCH($G330,Lists!$B$2:$B$7,0)),OR($H330="",$N330&gt;0),OR($I330="",$I330="NR",$O330&gt;0),IF(ISNUMBER($J330),AND($J330&gt;=0,$J330=INT($J330)),FALSE())),$J330,0)</f>
        <v>0</v>
      </c>
      <c r="Q330" s="64" t="n">
        <f aca="false">IF(AND($P330&gt;0,$O330&gt;0),$P330,0)</f>
        <v>0</v>
      </c>
      <c r="R330" s="64" t="n">
        <f aca="false">IF(AND($Q330&gt;0,$O330&gt;=AtRank),$Q330,0)</f>
        <v>0</v>
      </c>
      <c r="S330" s="64" t="n">
        <f aca="false">IF(AND($Q330&gt;0,$O330&gt;=AboveRank),$Q330,0)</f>
        <v>0</v>
      </c>
      <c r="T330" s="64" t="n">
        <f aca="false">IF($K330="Less",$P330,0)</f>
        <v>0</v>
      </c>
      <c r="U330" s="64" t="n">
        <f aca="false">IF($K330="Expected",$P330,0)</f>
        <v>0</v>
      </c>
      <c r="V330" s="64" t="n">
        <f aca="false">IF($K330="Better",$P330,0)</f>
        <v>0</v>
      </c>
      <c r="W330" s="64" t="n">
        <f aca="false">IF($K330="U – needs rule",$P330,0)</f>
        <v>0</v>
      </c>
      <c r="X330" s="64" t="n">
        <f aca="false">IF($K330="No Start (attainment only)",$P330,0)</f>
        <v>0</v>
      </c>
    </row>
    <row r="331" customFormat="false" ht="15" hidden="false" customHeight="false" outlineLevel="0" collapsed="false">
      <c r="A331" s="60"/>
      <c r="B331" s="61" t="str">
        <f aca="false">IF($M331=0,"",INDEX(Classes!$E$6:$E$420,$M331))</f>
        <v/>
      </c>
      <c r="C331" s="62" t="str">
        <f aca="false">IF($M331=0,"",INDEX(Classes!$H$6:$H$420,$M331))</f>
        <v/>
      </c>
      <c r="D331" s="61" t="str">
        <f aca="false">IF($M331=0,"",INDEX(Classes!$B$6:$B$420,$M331))</f>
        <v/>
      </c>
      <c r="E331" s="61" t="str">
        <f aca="false">IF($M331=0,"",INDEX(Classes!$C$6:$C$420,$M331))</f>
        <v/>
      </c>
      <c r="F331" s="63"/>
      <c r="G331" s="63"/>
      <c r="H331" s="60"/>
      <c r="I331" s="60"/>
      <c r="J331" s="63"/>
      <c r="K331" s="61" t="str">
        <f aca="false">IF($P331=0,"",IF($F331="Baseline","— Baseline",IF($O331=0,"No result",IF($N331=0,"No Start (attainment only)",IF(OR($N331=1,$O331=1),"U – needs rule",INDEX(MxBody,MATCH($I331,MxCurr,0),MATCH($H331,MxStart,0)))))))</f>
        <v/>
      </c>
      <c r="L331" s="62" t="str">
        <f aca="false">IF(COUNTA($A331,$F331,$G331,$H331,$I331,$J331)=0,"",IF($M331=0,"✖ كود الصف غير موجود",IF(ISNA(MATCH($F331,Lists!$A$2:$A$5,0)),"✖ الفترة غير صحيحة",IF(ISNA(MATCH($G331,Lists!$B$2:$B$7,0)),"✖ المجموعة غير صحيحة",IF(NOT(OR($H331="",$N331&gt;0)),"✖ Start غير صحيح",IF(NOT(OR($I331="",$I331="NR",$O331&gt;0)),"✖ Current غير صحيح",IF(NOT(IF(ISNUMBER($J331),AND($J331&gt;=0,$J331=INT($J331)),FALSE())),"✖ العدد يجب أن يكون صحيحًا ≥ 0",IF(AND($F331="Baseline",$H331&lt;&gt;""),"⚠ Baseline: Start لا يدخل في التقدم",IF($K331="No Start (attainment only)","ℹ تحصيل فقط (بدون Start)",IF($K331="U – needs rule","ℹ حالة U تحتاج قاعدة معتمدة",IF($K331="No result","ℹ بدون نتيجة (يُستبعد من التحصيل)","OK")))))))))))</f>
        <v/>
      </c>
      <c r="M331" s="64" t="n">
        <f aca="false">IF($A331="",0,IFERROR(MATCH($A331,Classes!$A$6:$A$420,0),0))</f>
        <v>0</v>
      </c>
      <c r="N331" s="64" t="n">
        <f aca="false">IF($H331="",0,IFERROR(MATCH($H331,GradeList,0),0))</f>
        <v>0</v>
      </c>
      <c r="O331" s="64" t="n">
        <f aca="false">IF(OR($I331="",$I331="NR"),0,IFERROR(MATCH($I331,GradeList,0),0))</f>
        <v>0</v>
      </c>
      <c r="P331" s="64" t="n">
        <f aca="false">IF(AND($M331&gt;0,ISNUMBER(MATCH($F331,Lists!$A$2:$A$5,0)),ISNUMBER(MATCH($G331,Lists!$B$2:$B$7,0)),OR($H331="",$N331&gt;0),OR($I331="",$I331="NR",$O331&gt;0),IF(ISNUMBER($J331),AND($J331&gt;=0,$J331=INT($J331)),FALSE())),$J331,0)</f>
        <v>0</v>
      </c>
      <c r="Q331" s="64" t="n">
        <f aca="false">IF(AND($P331&gt;0,$O331&gt;0),$P331,0)</f>
        <v>0</v>
      </c>
      <c r="R331" s="64" t="n">
        <f aca="false">IF(AND($Q331&gt;0,$O331&gt;=AtRank),$Q331,0)</f>
        <v>0</v>
      </c>
      <c r="S331" s="64" t="n">
        <f aca="false">IF(AND($Q331&gt;0,$O331&gt;=AboveRank),$Q331,0)</f>
        <v>0</v>
      </c>
      <c r="T331" s="64" t="n">
        <f aca="false">IF($K331="Less",$P331,0)</f>
        <v>0</v>
      </c>
      <c r="U331" s="64" t="n">
        <f aca="false">IF($K331="Expected",$P331,0)</f>
        <v>0</v>
      </c>
      <c r="V331" s="64" t="n">
        <f aca="false">IF($K331="Better",$P331,0)</f>
        <v>0</v>
      </c>
      <c r="W331" s="64" t="n">
        <f aca="false">IF($K331="U – needs rule",$P331,0)</f>
        <v>0</v>
      </c>
      <c r="X331" s="64" t="n">
        <f aca="false">IF($K331="No Start (attainment only)",$P331,0)</f>
        <v>0</v>
      </c>
    </row>
    <row r="332" customFormat="false" ht="15" hidden="false" customHeight="false" outlineLevel="0" collapsed="false">
      <c r="A332" s="60"/>
      <c r="B332" s="61" t="str">
        <f aca="false">IF($M332=0,"",INDEX(Classes!$E$6:$E$420,$M332))</f>
        <v/>
      </c>
      <c r="C332" s="62" t="str">
        <f aca="false">IF($M332=0,"",INDEX(Classes!$H$6:$H$420,$M332))</f>
        <v/>
      </c>
      <c r="D332" s="61" t="str">
        <f aca="false">IF($M332=0,"",INDEX(Classes!$B$6:$B$420,$M332))</f>
        <v/>
      </c>
      <c r="E332" s="61" t="str">
        <f aca="false">IF($M332=0,"",INDEX(Classes!$C$6:$C$420,$M332))</f>
        <v/>
      </c>
      <c r="F332" s="63"/>
      <c r="G332" s="63"/>
      <c r="H332" s="60"/>
      <c r="I332" s="60"/>
      <c r="J332" s="63"/>
      <c r="K332" s="61" t="str">
        <f aca="false">IF($P332=0,"",IF($F332="Baseline","— Baseline",IF($O332=0,"No result",IF($N332=0,"No Start (attainment only)",IF(OR($N332=1,$O332=1),"U – needs rule",INDEX(MxBody,MATCH($I332,MxCurr,0),MATCH($H332,MxStart,0)))))))</f>
        <v/>
      </c>
      <c r="L332" s="62" t="str">
        <f aca="false">IF(COUNTA($A332,$F332,$G332,$H332,$I332,$J332)=0,"",IF($M332=0,"✖ كود الصف غير موجود",IF(ISNA(MATCH($F332,Lists!$A$2:$A$5,0)),"✖ الفترة غير صحيحة",IF(ISNA(MATCH($G332,Lists!$B$2:$B$7,0)),"✖ المجموعة غير صحيحة",IF(NOT(OR($H332="",$N332&gt;0)),"✖ Start غير صحيح",IF(NOT(OR($I332="",$I332="NR",$O332&gt;0)),"✖ Current غير صحيح",IF(NOT(IF(ISNUMBER($J332),AND($J332&gt;=0,$J332=INT($J332)),FALSE())),"✖ العدد يجب أن يكون صحيحًا ≥ 0",IF(AND($F332="Baseline",$H332&lt;&gt;""),"⚠ Baseline: Start لا يدخل في التقدم",IF($K332="No Start (attainment only)","ℹ تحصيل فقط (بدون Start)",IF($K332="U – needs rule","ℹ حالة U تحتاج قاعدة معتمدة",IF($K332="No result","ℹ بدون نتيجة (يُستبعد من التحصيل)","OK")))))))))))</f>
        <v/>
      </c>
      <c r="M332" s="64" t="n">
        <f aca="false">IF($A332="",0,IFERROR(MATCH($A332,Classes!$A$6:$A$420,0),0))</f>
        <v>0</v>
      </c>
      <c r="N332" s="64" t="n">
        <f aca="false">IF($H332="",0,IFERROR(MATCH($H332,GradeList,0),0))</f>
        <v>0</v>
      </c>
      <c r="O332" s="64" t="n">
        <f aca="false">IF(OR($I332="",$I332="NR"),0,IFERROR(MATCH($I332,GradeList,0),0))</f>
        <v>0</v>
      </c>
      <c r="P332" s="64" t="n">
        <f aca="false">IF(AND($M332&gt;0,ISNUMBER(MATCH($F332,Lists!$A$2:$A$5,0)),ISNUMBER(MATCH($G332,Lists!$B$2:$B$7,0)),OR($H332="",$N332&gt;0),OR($I332="",$I332="NR",$O332&gt;0),IF(ISNUMBER($J332),AND($J332&gt;=0,$J332=INT($J332)),FALSE())),$J332,0)</f>
        <v>0</v>
      </c>
      <c r="Q332" s="64" t="n">
        <f aca="false">IF(AND($P332&gt;0,$O332&gt;0),$P332,0)</f>
        <v>0</v>
      </c>
      <c r="R332" s="64" t="n">
        <f aca="false">IF(AND($Q332&gt;0,$O332&gt;=AtRank),$Q332,0)</f>
        <v>0</v>
      </c>
      <c r="S332" s="64" t="n">
        <f aca="false">IF(AND($Q332&gt;0,$O332&gt;=AboveRank),$Q332,0)</f>
        <v>0</v>
      </c>
      <c r="T332" s="64" t="n">
        <f aca="false">IF($K332="Less",$P332,0)</f>
        <v>0</v>
      </c>
      <c r="U332" s="64" t="n">
        <f aca="false">IF($K332="Expected",$P332,0)</f>
        <v>0</v>
      </c>
      <c r="V332" s="64" t="n">
        <f aca="false">IF($K332="Better",$P332,0)</f>
        <v>0</v>
      </c>
      <c r="W332" s="64" t="n">
        <f aca="false">IF($K332="U – needs rule",$P332,0)</f>
        <v>0</v>
      </c>
      <c r="X332" s="64" t="n">
        <f aca="false">IF($K332="No Start (attainment only)",$P332,0)</f>
        <v>0</v>
      </c>
    </row>
    <row r="333" customFormat="false" ht="15" hidden="false" customHeight="false" outlineLevel="0" collapsed="false">
      <c r="A333" s="60"/>
      <c r="B333" s="61" t="str">
        <f aca="false">IF($M333=0,"",INDEX(Classes!$E$6:$E$420,$M333))</f>
        <v/>
      </c>
      <c r="C333" s="62" t="str">
        <f aca="false">IF($M333=0,"",INDEX(Classes!$H$6:$H$420,$M333))</f>
        <v/>
      </c>
      <c r="D333" s="61" t="str">
        <f aca="false">IF($M333=0,"",INDEX(Classes!$B$6:$B$420,$M333))</f>
        <v/>
      </c>
      <c r="E333" s="61" t="str">
        <f aca="false">IF($M333=0,"",INDEX(Classes!$C$6:$C$420,$M333))</f>
        <v/>
      </c>
      <c r="F333" s="63"/>
      <c r="G333" s="63"/>
      <c r="H333" s="60"/>
      <c r="I333" s="60"/>
      <c r="J333" s="63"/>
      <c r="K333" s="61" t="str">
        <f aca="false">IF($P333=0,"",IF($F333="Baseline","— Baseline",IF($O333=0,"No result",IF($N333=0,"No Start (attainment only)",IF(OR($N333=1,$O333=1),"U – needs rule",INDEX(MxBody,MATCH($I333,MxCurr,0),MATCH($H333,MxStart,0)))))))</f>
        <v/>
      </c>
      <c r="L333" s="62" t="str">
        <f aca="false">IF(COUNTA($A333,$F333,$G333,$H333,$I333,$J333)=0,"",IF($M333=0,"✖ كود الصف غير موجود",IF(ISNA(MATCH($F333,Lists!$A$2:$A$5,0)),"✖ الفترة غير صحيحة",IF(ISNA(MATCH($G333,Lists!$B$2:$B$7,0)),"✖ المجموعة غير صحيحة",IF(NOT(OR($H333="",$N333&gt;0)),"✖ Start غير صحيح",IF(NOT(OR($I333="",$I333="NR",$O333&gt;0)),"✖ Current غير صحيح",IF(NOT(IF(ISNUMBER($J333),AND($J333&gt;=0,$J333=INT($J333)),FALSE())),"✖ العدد يجب أن يكون صحيحًا ≥ 0",IF(AND($F333="Baseline",$H333&lt;&gt;""),"⚠ Baseline: Start لا يدخل في التقدم",IF($K333="No Start (attainment only)","ℹ تحصيل فقط (بدون Start)",IF($K333="U – needs rule","ℹ حالة U تحتاج قاعدة معتمدة",IF($K333="No result","ℹ بدون نتيجة (يُستبعد من التحصيل)","OK")))))))))))</f>
        <v/>
      </c>
      <c r="M333" s="64" t="n">
        <f aca="false">IF($A333="",0,IFERROR(MATCH($A333,Classes!$A$6:$A$420,0),0))</f>
        <v>0</v>
      </c>
      <c r="N333" s="64" t="n">
        <f aca="false">IF($H333="",0,IFERROR(MATCH($H333,GradeList,0),0))</f>
        <v>0</v>
      </c>
      <c r="O333" s="64" t="n">
        <f aca="false">IF(OR($I333="",$I333="NR"),0,IFERROR(MATCH($I333,GradeList,0),0))</f>
        <v>0</v>
      </c>
      <c r="P333" s="64" t="n">
        <f aca="false">IF(AND($M333&gt;0,ISNUMBER(MATCH($F333,Lists!$A$2:$A$5,0)),ISNUMBER(MATCH($G333,Lists!$B$2:$B$7,0)),OR($H333="",$N333&gt;0),OR($I333="",$I333="NR",$O333&gt;0),IF(ISNUMBER($J333),AND($J333&gt;=0,$J333=INT($J333)),FALSE())),$J333,0)</f>
        <v>0</v>
      </c>
      <c r="Q333" s="64" t="n">
        <f aca="false">IF(AND($P333&gt;0,$O333&gt;0),$P333,0)</f>
        <v>0</v>
      </c>
      <c r="R333" s="64" t="n">
        <f aca="false">IF(AND($Q333&gt;0,$O333&gt;=AtRank),$Q333,0)</f>
        <v>0</v>
      </c>
      <c r="S333" s="64" t="n">
        <f aca="false">IF(AND($Q333&gt;0,$O333&gt;=AboveRank),$Q333,0)</f>
        <v>0</v>
      </c>
      <c r="T333" s="64" t="n">
        <f aca="false">IF($K333="Less",$P333,0)</f>
        <v>0</v>
      </c>
      <c r="U333" s="64" t="n">
        <f aca="false">IF($K333="Expected",$P333,0)</f>
        <v>0</v>
      </c>
      <c r="V333" s="64" t="n">
        <f aca="false">IF($K333="Better",$P333,0)</f>
        <v>0</v>
      </c>
      <c r="W333" s="64" t="n">
        <f aca="false">IF($K333="U – needs rule",$P333,0)</f>
        <v>0</v>
      </c>
      <c r="X333" s="64" t="n">
        <f aca="false">IF($K333="No Start (attainment only)",$P333,0)</f>
        <v>0</v>
      </c>
    </row>
    <row r="334" customFormat="false" ht="15" hidden="false" customHeight="false" outlineLevel="0" collapsed="false">
      <c r="A334" s="60"/>
      <c r="B334" s="61" t="str">
        <f aca="false">IF($M334=0,"",INDEX(Classes!$E$6:$E$420,$M334))</f>
        <v/>
      </c>
      <c r="C334" s="62" t="str">
        <f aca="false">IF($M334=0,"",INDEX(Classes!$H$6:$H$420,$M334))</f>
        <v/>
      </c>
      <c r="D334" s="61" t="str">
        <f aca="false">IF($M334=0,"",INDEX(Classes!$B$6:$B$420,$M334))</f>
        <v/>
      </c>
      <c r="E334" s="61" t="str">
        <f aca="false">IF($M334=0,"",INDEX(Classes!$C$6:$C$420,$M334))</f>
        <v/>
      </c>
      <c r="F334" s="63"/>
      <c r="G334" s="63"/>
      <c r="H334" s="60"/>
      <c r="I334" s="60"/>
      <c r="J334" s="63"/>
      <c r="K334" s="61" t="str">
        <f aca="false">IF($P334=0,"",IF($F334="Baseline","— Baseline",IF($O334=0,"No result",IF($N334=0,"No Start (attainment only)",IF(OR($N334=1,$O334=1),"U – needs rule",INDEX(MxBody,MATCH($I334,MxCurr,0),MATCH($H334,MxStart,0)))))))</f>
        <v/>
      </c>
      <c r="L334" s="62" t="str">
        <f aca="false">IF(COUNTA($A334,$F334,$G334,$H334,$I334,$J334)=0,"",IF($M334=0,"✖ كود الصف غير موجود",IF(ISNA(MATCH($F334,Lists!$A$2:$A$5,0)),"✖ الفترة غير صحيحة",IF(ISNA(MATCH($G334,Lists!$B$2:$B$7,0)),"✖ المجموعة غير صحيحة",IF(NOT(OR($H334="",$N334&gt;0)),"✖ Start غير صحيح",IF(NOT(OR($I334="",$I334="NR",$O334&gt;0)),"✖ Current غير صحيح",IF(NOT(IF(ISNUMBER($J334),AND($J334&gt;=0,$J334=INT($J334)),FALSE())),"✖ العدد يجب أن يكون صحيحًا ≥ 0",IF(AND($F334="Baseline",$H334&lt;&gt;""),"⚠ Baseline: Start لا يدخل في التقدم",IF($K334="No Start (attainment only)","ℹ تحصيل فقط (بدون Start)",IF($K334="U – needs rule","ℹ حالة U تحتاج قاعدة معتمدة",IF($K334="No result","ℹ بدون نتيجة (يُستبعد من التحصيل)","OK")))))))))))</f>
        <v/>
      </c>
      <c r="M334" s="64" t="n">
        <f aca="false">IF($A334="",0,IFERROR(MATCH($A334,Classes!$A$6:$A$420,0),0))</f>
        <v>0</v>
      </c>
      <c r="N334" s="64" t="n">
        <f aca="false">IF($H334="",0,IFERROR(MATCH($H334,GradeList,0),0))</f>
        <v>0</v>
      </c>
      <c r="O334" s="64" t="n">
        <f aca="false">IF(OR($I334="",$I334="NR"),0,IFERROR(MATCH($I334,GradeList,0),0))</f>
        <v>0</v>
      </c>
      <c r="P334" s="64" t="n">
        <f aca="false">IF(AND($M334&gt;0,ISNUMBER(MATCH($F334,Lists!$A$2:$A$5,0)),ISNUMBER(MATCH($G334,Lists!$B$2:$B$7,0)),OR($H334="",$N334&gt;0),OR($I334="",$I334="NR",$O334&gt;0),IF(ISNUMBER($J334),AND($J334&gt;=0,$J334=INT($J334)),FALSE())),$J334,0)</f>
        <v>0</v>
      </c>
      <c r="Q334" s="64" t="n">
        <f aca="false">IF(AND($P334&gt;0,$O334&gt;0),$P334,0)</f>
        <v>0</v>
      </c>
      <c r="R334" s="64" t="n">
        <f aca="false">IF(AND($Q334&gt;0,$O334&gt;=AtRank),$Q334,0)</f>
        <v>0</v>
      </c>
      <c r="S334" s="64" t="n">
        <f aca="false">IF(AND($Q334&gt;0,$O334&gt;=AboveRank),$Q334,0)</f>
        <v>0</v>
      </c>
      <c r="T334" s="64" t="n">
        <f aca="false">IF($K334="Less",$P334,0)</f>
        <v>0</v>
      </c>
      <c r="U334" s="64" t="n">
        <f aca="false">IF($K334="Expected",$P334,0)</f>
        <v>0</v>
      </c>
      <c r="V334" s="64" t="n">
        <f aca="false">IF($K334="Better",$P334,0)</f>
        <v>0</v>
      </c>
      <c r="W334" s="64" t="n">
        <f aca="false">IF($K334="U – needs rule",$P334,0)</f>
        <v>0</v>
      </c>
      <c r="X334" s="64" t="n">
        <f aca="false">IF($K334="No Start (attainment only)",$P334,0)</f>
        <v>0</v>
      </c>
    </row>
    <row r="335" customFormat="false" ht="15" hidden="false" customHeight="false" outlineLevel="0" collapsed="false">
      <c r="A335" s="60"/>
      <c r="B335" s="61" t="str">
        <f aca="false">IF($M335=0,"",INDEX(Classes!$E$6:$E$420,$M335))</f>
        <v/>
      </c>
      <c r="C335" s="62" t="str">
        <f aca="false">IF($M335=0,"",INDEX(Classes!$H$6:$H$420,$M335))</f>
        <v/>
      </c>
      <c r="D335" s="61" t="str">
        <f aca="false">IF($M335=0,"",INDEX(Classes!$B$6:$B$420,$M335))</f>
        <v/>
      </c>
      <c r="E335" s="61" t="str">
        <f aca="false">IF($M335=0,"",INDEX(Classes!$C$6:$C$420,$M335))</f>
        <v/>
      </c>
      <c r="F335" s="63"/>
      <c r="G335" s="63"/>
      <c r="H335" s="60"/>
      <c r="I335" s="60"/>
      <c r="J335" s="63"/>
      <c r="K335" s="61" t="str">
        <f aca="false">IF($P335=0,"",IF($F335="Baseline","— Baseline",IF($O335=0,"No result",IF($N335=0,"No Start (attainment only)",IF(OR($N335=1,$O335=1),"U – needs rule",INDEX(MxBody,MATCH($I335,MxCurr,0),MATCH($H335,MxStart,0)))))))</f>
        <v/>
      </c>
      <c r="L335" s="62" t="str">
        <f aca="false">IF(COUNTA($A335,$F335,$G335,$H335,$I335,$J335)=0,"",IF($M335=0,"✖ كود الصف غير موجود",IF(ISNA(MATCH($F335,Lists!$A$2:$A$5,0)),"✖ الفترة غير صحيحة",IF(ISNA(MATCH($G335,Lists!$B$2:$B$7,0)),"✖ المجموعة غير صحيحة",IF(NOT(OR($H335="",$N335&gt;0)),"✖ Start غير صحيح",IF(NOT(OR($I335="",$I335="NR",$O335&gt;0)),"✖ Current غير صحيح",IF(NOT(IF(ISNUMBER($J335),AND($J335&gt;=0,$J335=INT($J335)),FALSE())),"✖ العدد يجب أن يكون صحيحًا ≥ 0",IF(AND($F335="Baseline",$H335&lt;&gt;""),"⚠ Baseline: Start لا يدخل في التقدم",IF($K335="No Start (attainment only)","ℹ تحصيل فقط (بدون Start)",IF($K335="U – needs rule","ℹ حالة U تحتاج قاعدة معتمدة",IF($K335="No result","ℹ بدون نتيجة (يُستبعد من التحصيل)","OK")))))))))))</f>
        <v/>
      </c>
      <c r="M335" s="64" t="n">
        <f aca="false">IF($A335="",0,IFERROR(MATCH($A335,Classes!$A$6:$A$420,0),0))</f>
        <v>0</v>
      </c>
      <c r="N335" s="64" t="n">
        <f aca="false">IF($H335="",0,IFERROR(MATCH($H335,GradeList,0),0))</f>
        <v>0</v>
      </c>
      <c r="O335" s="64" t="n">
        <f aca="false">IF(OR($I335="",$I335="NR"),0,IFERROR(MATCH($I335,GradeList,0),0))</f>
        <v>0</v>
      </c>
      <c r="P335" s="64" t="n">
        <f aca="false">IF(AND($M335&gt;0,ISNUMBER(MATCH($F335,Lists!$A$2:$A$5,0)),ISNUMBER(MATCH($G335,Lists!$B$2:$B$7,0)),OR($H335="",$N335&gt;0),OR($I335="",$I335="NR",$O335&gt;0),IF(ISNUMBER($J335),AND($J335&gt;=0,$J335=INT($J335)),FALSE())),$J335,0)</f>
        <v>0</v>
      </c>
      <c r="Q335" s="64" t="n">
        <f aca="false">IF(AND($P335&gt;0,$O335&gt;0),$P335,0)</f>
        <v>0</v>
      </c>
      <c r="R335" s="64" t="n">
        <f aca="false">IF(AND($Q335&gt;0,$O335&gt;=AtRank),$Q335,0)</f>
        <v>0</v>
      </c>
      <c r="S335" s="64" t="n">
        <f aca="false">IF(AND($Q335&gt;0,$O335&gt;=AboveRank),$Q335,0)</f>
        <v>0</v>
      </c>
      <c r="T335" s="64" t="n">
        <f aca="false">IF($K335="Less",$P335,0)</f>
        <v>0</v>
      </c>
      <c r="U335" s="64" t="n">
        <f aca="false">IF($K335="Expected",$P335,0)</f>
        <v>0</v>
      </c>
      <c r="V335" s="64" t="n">
        <f aca="false">IF($K335="Better",$P335,0)</f>
        <v>0</v>
      </c>
      <c r="W335" s="64" t="n">
        <f aca="false">IF($K335="U – needs rule",$P335,0)</f>
        <v>0</v>
      </c>
      <c r="X335" s="64" t="n">
        <f aca="false">IF($K335="No Start (attainment only)",$P335,0)</f>
        <v>0</v>
      </c>
    </row>
    <row r="336" customFormat="false" ht="15" hidden="false" customHeight="false" outlineLevel="0" collapsed="false">
      <c r="A336" s="60"/>
      <c r="B336" s="61" t="str">
        <f aca="false">IF($M336=0,"",INDEX(Classes!$E$6:$E$420,$M336))</f>
        <v/>
      </c>
      <c r="C336" s="62" t="str">
        <f aca="false">IF($M336=0,"",INDEX(Classes!$H$6:$H$420,$M336))</f>
        <v/>
      </c>
      <c r="D336" s="61" t="str">
        <f aca="false">IF($M336=0,"",INDEX(Classes!$B$6:$B$420,$M336))</f>
        <v/>
      </c>
      <c r="E336" s="61" t="str">
        <f aca="false">IF($M336=0,"",INDEX(Classes!$C$6:$C$420,$M336))</f>
        <v/>
      </c>
      <c r="F336" s="63"/>
      <c r="G336" s="63"/>
      <c r="H336" s="60"/>
      <c r="I336" s="60"/>
      <c r="J336" s="63"/>
      <c r="K336" s="61" t="str">
        <f aca="false">IF($P336=0,"",IF($F336="Baseline","— Baseline",IF($O336=0,"No result",IF($N336=0,"No Start (attainment only)",IF(OR($N336=1,$O336=1),"U – needs rule",INDEX(MxBody,MATCH($I336,MxCurr,0),MATCH($H336,MxStart,0)))))))</f>
        <v/>
      </c>
      <c r="L336" s="62" t="str">
        <f aca="false">IF(COUNTA($A336,$F336,$G336,$H336,$I336,$J336)=0,"",IF($M336=0,"✖ كود الصف غير موجود",IF(ISNA(MATCH($F336,Lists!$A$2:$A$5,0)),"✖ الفترة غير صحيحة",IF(ISNA(MATCH($G336,Lists!$B$2:$B$7,0)),"✖ المجموعة غير صحيحة",IF(NOT(OR($H336="",$N336&gt;0)),"✖ Start غير صحيح",IF(NOT(OR($I336="",$I336="NR",$O336&gt;0)),"✖ Current غير صحيح",IF(NOT(IF(ISNUMBER($J336),AND($J336&gt;=0,$J336=INT($J336)),FALSE())),"✖ العدد يجب أن يكون صحيحًا ≥ 0",IF(AND($F336="Baseline",$H336&lt;&gt;""),"⚠ Baseline: Start لا يدخل في التقدم",IF($K336="No Start (attainment only)","ℹ تحصيل فقط (بدون Start)",IF($K336="U – needs rule","ℹ حالة U تحتاج قاعدة معتمدة",IF($K336="No result","ℹ بدون نتيجة (يُستبعد من التحصيل)","OK")))))))))))</f>
        <v/>
      </c>
      <c r="M336" s="64" t="n">
        <f aca="false">IF($A336="",0,IFERROR(MATCH($A336,Classes!$A$6:$A$420,0),0))</f>
        <v>0</v>
      </c>
      <c r="N336" s="64" t="n">
        <f aca="false">IF($H336="",0,IFERROR(MATCH($H336,GradeList,0),0))</f>
        <v>0</v>
      </c>
      <c r="O336" s="64" t="n">
        <f aca="false">IF(OR($I336="",$I336="NR"),0,IFERROR(MATCH($I336,GradeList,0),0))</f>
        <v>0</v>
      </c>
      <c r="P336" s="64" t="n">
        <f aca="false">IF(AND($M336&gt;0,ISNUMBER(MATCH($F336,Lists!$A$2:$A$5,0)),ISNUMBER(MATCH($G336,Lists!$B$2:$B$7,0)),OR($H336="",$N336&gt;0),OR($I336="",$I336="NR",$O336&gt;0),IF(ISNUMBER($J336),AND($J336&gt;=0,$J336=INT($J336)),FALSE())),$J336,0)</f>
        <v>0</v>
      </c>
      <c r="Q336" s="64" t="n">
        <f aca="false">IF(AND($P336&gt;0,$O336&gt;0),$P336,0)</f>
        <v>0</v>
      </c>
      <c r="R336" s="64" t="n">
        <f aca="false">IF(AND($Q336&gt;0,$O336&gt;=AtRank),$Q336,0)</f>
        <v>0</v>
      </c>
      <c r="S336" s="64" t="n">
        <f aca="false">IF(AND($Q336&gt;0,$O336&gt;=AboveRank),$Q336,0)</f>
        <v>0</v>
      </c>
      <c r="T336" s="64" t="n">
        <f aca="false">IF($K336="Less",$P336,0)</f>
        <v>0</v>
      </c>
      <c r="U336" s="64" t="n">
        <f aca="false">IF($K336="Expected",$P336,0)</f>
        <v>0</v>
      </c>
      <c r="V336" s="64" t="n">
        <f aca="false">IF($K336="Better",$P336,0)</f>
        <v>0</v>
      </c>
      <c r="W336" s="64" t="n">
        <f aca="false">IF($K336="U – needs rule",$P336,0)</f>
        <v>0</v>
      </c>
      <c r="X336" s="64" t="n">
        <f aca="false">IF($K336="No Start (attainment only)",$P336,0)</f>
        <v>0</v>
      </c>
    </row>
    <row r="337" customFormat="false" ht="15" hidden="false" customHeight="false" outlineLevel="0" collapsed="false">
      <c r="A337" s="60"/>
      <c r="B337" s="61" t="str">
        <f aca="false">IF($M337=0,"",INDEX(Classes!$E$6:$E$420,$M337))</f>
        <v/>
      </c>
      <c r="C337" s="62" t="str">
        <f aca="false">IF($M337=0,"",INDEX(Classes!$H$6:$H$420,$M337))</f>
        <v/>
      </c>
      <c r="D337" s="61" t="str">
        <f aca="false">IF($M337=0,"",INDEX(Classes!$B$6:$B$420,$M337))</f>
        <v/>
      </c>
      <c r="E337" s="61" t="str">
        <f aca="false">IF($M337=0,"",INDEX(Classes!$C$6:$C$420,$M337))</f>
        <v/>
      </c>
      <c r="F337" s="63"/>
      <c r="G337" s="63"/>
      <c r="H337" s="60"/>
      <c r="I337" s="60"/>
      <c r="J337" s="63"/>
      <c r="K337" s="61" t="str">
        <f aca="false">IF($P337=0,"",IF($F337="Baseline","— Baseline",IF($O337=0,"No result",IF($N337=0,"No Start (attainment only)",IF(OR($N337=1,$O337=1),"U – needs rule",INDEX(MxBody,MATCH($I337,MxCurr,0),MATCH($H337,MxStart,0)))))))</f>
        <v/>
      </c>
      <c r="L337" s="62" t="str">
        <f aca="false">IF(COUNTA($A337,$F337,$G337,$H337,$I337,$J337)=0,"",IF($M337=0,"✖ كود الصف غير موجود",IF(ISNA(MATCH($F337,Lists!$A$2:$A$5,0)),"✖ الفترة غير صحيحة",IF(ISNA(MATCH($G337,Lists!$B$2:$B$7,0)),"✖ المجموعة غير صحيحة",IF(NOT(OR($H337="",$N337&gt;0)),"✖ Start غير صحيح",IF(NOT(OR($I337="",$I337="NR",$O337&gt;0)),"✖ Current غير صحيح",IF(NOT(IF(ISNUMBER($J337),AND($J337&gt;=0,$J337=INT($J337)),FALSE())),"✖ العدد يجب أن يكون صحيحًا ≥ 0",IF(AND($F337="Baseline",$H337&lt;&gt;""),"⚠ Baseline: Start لا يدخل في التقدم",IF($K337="No Start (attainment only)","ℹ تحصيل فقط (بدون Start)",IF($K337="U – needs rule","ℹ حالة U تحتاج قاعدة معتمدة",IF($K337="No result","ℹ بدون نتيجة (يُستبعد من التحصيل)","OK")))))))))))</f>
        <v/>
      </c>
      <c r="M337" s="64" t="n">
        <f aca="false">IF($A337="",0,IFERROR(MATCH($A337,Classes!$A$6:$A$420,0),0))</f>
        <v>0</v>
      </c>
      <c r="N337" s="64" t="n">
        <f aca="false">IF($H337="",0,IFERROR(MATCH($H337,GradeList,0),0))</f>
        <v>0</v>
      </c>
      <c r="O337" s="64" t="n">
        <f aca="false">IF(OR($I337="",$I337="NR"),0,IFERROR(MATCH($I337,GradeList,0),0))</f>
        <v>0</v>
      </c>
      <c r="P337" s="64" t="n">
        <f aca="false">IF(AND($M337&gt;0,ISNUMBER(MATCH($F337,Lists!$A$2:$A$5,0)),ISNUMBER(MATCH($G337,Lists!$B$2:$B$7,0)),OR($H337="",$N337&gt;0),OR($I337="",$I337="NR",$O337&gt;0),IF(ISNUMBER($J337),AND($J337&gt;=0,$J337=INT($J337)),FALSE())),$J337,0)</f>
        <v>0</v>
      </c>
      <c r="Q337" s="64" t="n">
        <f aca="false">IF(AND($P337&gt;0,$O337&gt;0),$P337,0)</f>
        <v>0</v>
      </c>
      <c r="R337" s="64" t="n">
        <f aca="false">IF(AND($Q337&gt;0,$O337&gt;=AtRank),$Q337,0)</f>
        <v>0</v>
      </c>
      <c r="S337" s="64" t="n">
        <f aca="false">IF(AND($Q337&gt;0,$O337&gt;=AboveRank),$Q337,0)</f>
        <v>0</v>
      </c>
      <c r="T337" s="64" t="n">
        <f aca="false">IF($K337="Less",$P337,0)</f>
        <v>0</v>
      </c>
      <c r="U337" s="64" t="n">
        <f aca="false">IF($K337="Expected",$P337,0)</f>
        <v>0</v>
      </c>
      <c r="V337" s="64" t="n">
        <f aca="false">IF($K337="Better",$P337,0)</f>
        <v>0</v>
      </c>
      <c r="W337" s="64" t="n">
        <f aca="false">IF($K337="U – needs rule",$P337,0)</f>
        <v>0</v>
      </c>
      <c r="X337" s="64" t="n">
        <f aca="false">IF($K337="No Start (attainment only)",$P337,0)</f>
        <v>0</v>
      </c>
    </row>
    <row r="338" customFormat="false" ht="15" hidden="false" customHeight="false" outlineLevel="0" collapsed="false">
      <c r="A338" s="60"/>
      <c r="B338" s="61" t="str">
        <f aca="false">IF($M338=0,"",INDEX(Classes!$E$6:$E$420,$M338))</f>
        <v/>
      </c>
      <c r="C338" s="62" t="str">
        <f aca="false">IF($M338=0,"",INDEX(Classes!$H$6:$H$420,$M338))</f>
        <v/>
      </c>
      <c r="D338" s="61" t="str">
        <f aca="false">IF($M338=0,"",INDEX(Classes!$B$6:$B$420,$M338))</f>
        <v/>
      </c>
      <c r="E338" s="61" t="str">
        <f aca="false">IF($M338=0,"",INDEX(Classes!$C$6:$C$420,$M338))</f>
        <v/>
      </c>
      <c r="F338" s="63"/>
      <c r="G338" s="63"/>
      <c r="H338" s="60"/>
      <c r="I338" s="60"/>
      <c r="J338" s="63"/>
      <c r="K338" s="61" t="str">
        <f aca="false">IF($P338=0,"",IF($F338="Baseline","— Baseline",IF($O338=0,"No result",IF($N338=0,"No Start (attainment only)",IF(OR($N338=1,$O338=1),"U – needs rule",INDEX(MxBody,MATCH($I338,MxCurr,0),MATCH($H338,MxStart,0)))))))</f>
        <v/>
      </c>
      <c r="L338" s="62" t="str">
        <f aca="false">IF(COUNTA($A338,$F338,$G338,$H338,$I338,$J338)=0,"",IF($M338=0,"✖ كود الصف غير موجود",IF(ISNA(MATCH($F338,Lists!$A$2:$A$5,0)),"✖ الفترة غير صحيحة",IF(ISNA(MATCH($G338,Lists!$B$2:$B$7,0)),"✖ المجموعة غير صحيحة",IF(NOT(OR($H338="",$N338&gt;0)),"✖ Start غير صحيح",IF(NOT(OR($I338="",$I338="NR",$O338&gt;0)),"✖ Current غير صحيح",IF(NOT(IF(ISNUMBER($J338),AND($J338&gt;=0,$J338=INT($J338)),FALSE())),"✖ العدد يجب أن يكون صحيحًا ≥ 0",IF(AND($F338="Baseline",$H338&lt;&gt;""),"⚠ Baseline: Start لا يدخل في التقدم",IF($K338="No Start (attainment only)","ℹ تحصيل فقط (بدون Start)",IF($K338="U – needs rule","ℹ حالة U تحتاج قاعدة معتمدة",IF($K338="No result","ℹ بدون نتيجة (يُستبعد من التحصيل)","OK")))))))))))</f>
        <v/>
      </c>
      <c r="M338" s="64" t="n">
        <f aca="false">IF($A338="",0,IFERROR(MATCH($A338,Classes!$A$6:$A$420,0),0))</f>
        <v>0</v>
      </c>
      <c r="N338" s="64" t="n">
        <f aca="false">IF($H338="",0,IFERROR(MATCH($H338,GradeList,0),0))</f>
        <v>0</v>
      </c>
      <c r="O338" s="64" t="n">
        <f aca="false">IF(OR($I338="",$I338="NR"),0,IFERROR(MATCH($I338,GradeList,0),0))</f>
        <v>0</v>
      </c>
      <c r="P338" s="64" t="n">
        <f aca="false">IF(AND($M338&gt;0,ISNUMBER(MATCH($F338,Lists!$A$2:$A$5,0)),ISNUMBER(MATCH($G338,Lists!$B$2:$B$7,0)),OR($H338="",$N338&gt;0),OR($I338="",$I338="NR",$O338&gt;0),IF(ISNUMBER($J338),AND($J338&gt;=0,$J338=INT($J338)),FALSE())),$J338,0)</f>
        <v>0</v>
      </c>
      <c r="Q338" s="64" t="n">
        <f aca="false">IF(AND($P338&gt;0,$O338&gt;0),$P338,0)</f>
        <v>0</v>
      </c>
      <c r="R338" s="64" t="n">
        <f aca="false">IF(AND($Q338&gt;0,$O338&gt;=AtRank),$Q338,0)</f>
        <v>0</v>
      </c>
      <c r="S338" s="64" t="n">
        <f aca="false">IF(AND($Q338&gt;0,$O338&gt;=AboveRank),$Q338,0)</f>
        <v>0</v>
      </c>
      <c r="T338" s="64" t="n">
        <f aca="false">IF($K338="Less",$P338,0)</f>
        <v>0</v>
      </c>
      <c r="U338" s="64" t="n">
        <f aca="false">IF($K338="Expected",$P338,0)</f>
        <v>0</v>
      </c>
      <c r="V338" s="64" t="n">
        <f aca="false">IF($K338="Better",$P338,0)</f>
        <v>0</v>
      </c>
      <c r="W338" s="64" t="n">
        <f aca="false">IF($K338="U – needs rule",$P338,0)</f>
        <v>0</v>
      </c>
      <c r="X338" s="64" t="n">
        <f aca="false">IF($K338="No Start (attainment only)",$P338,0)</f>
        <v>0</v>
      </c>
    </row>
    <row r="339" customFormat="false" ht="15" hidden="false" customHeight="false" outlineLevel="0" collapsed="false">
      <c r="A339" s="60"/>
      <c r="B339" s="61" t="str">
        <f aca="false">IF($M339=0,"",INDEX(Classes!$E$6:$E$420,$M339))</f>
        <v/>
      </c>
      <c r="C339" s="62" t="str">
        <f aca="false">IF($M339=0,"",INDEX(Classes!$H$6:$H$420,$M339))</f>
        <v/>
      </c>
      <c r="D339" s="61" t="str">
        <f aca="false">IF($M339=0,"",INDEX(Classes!$B$6:$B$420,$M339))</f>
        <v/>
      </c>
      <c r="E339" s="61" t="str">
        <f aca="false">IF($M339=0,"",INDEX(Classes!$C$6:$C$420,$M339))</f>
        <v/>
      </c>
      <c r="F339" s="63"/>
      <c r="G339" s="63"/>
      <c r="H339" s="60"/>
      <c r="I339" s="60"/>
      <c r="J339" s="63"/>
      <c r="K339" s="61" t="str">
        <f aca="false">IF($P339=0,"",IF($F339="Baseline","— Baseline",IF($O339=0,"No result",IF($N339=0,"No Start (attainment only)",IF(OR($N339=1,$O339=1),"U – needs rule",INDEX(MxBody,MATCH($I339,MxCurr,0),MATCH($H339,MxStart,0)))))))</f>
        <v/>
      </c>
      <c r="L339" s="62" t="str">
        <f aca="false">IF(COUNTA($A339,$F339,$G339,$H339,$I339,$J339)=0,"",IF($M339=0,"✖ كود الصف غير موجود",IF(ISNA(MATCH($F339,Lists!$A$2:$A$5,0)),"✖ الفترة غير صحيحة",IF(ISNA(MATCH($G339,Lists!$B$2:$B$7,0)),"✖ المجموعة غير صحيحة",IF(NOT(OR($H339="",$N339&gt;0)),"✖ Start غير صحيح",IF(NOT(OR($I339="",$I339="NR",$O339&gt;0)),"✖ Current غير صحيح",IF(NOT(IF(ISNUMBER($J339),AND($J339&gt;=0,$J339=INT($J339)),FALSE())),"✖ العدد يجب أن يكون صحيحًا ≥ 0",IF(AND($F339="Baseline",$H339&lt;&gt;""),"⚠ Baseline: Start لا يدخل في التقدم",IF($K339="No Start (attainment only)","ℹ تحصيل فقط (بدون Start)",IF($K339="U – needs rule","ℹ حالة U تحتاج قاعدة معتمدة",IF($K339="No result","ℹ بدون نتيجة (يُستبعد من التحصيل)","OK")))))))))))</f>
        <v/>
      </c>
      <c r="M339" s="64" t="n">
        <f aca="false">IF($A339="",0,IFERROR(MATCH($A339,Classes!$A$6:$A$420,0),0))</f>
        <v>0</v>
      </c>
      <c r="N339" s="64" t="n">
        <f aca="false">IF($H339="",0,IFERROR(MATCH($H339,GradeList,0),0))</f>
        <v>0</v>
      </c>
      <c r="O339" s="64" t="n">
        <f aca="false">IF(OR($I339="",$I339="NR"),0,IFERROR(MATCH($I339,GradeList,0),0))</f>
        <v>0</v>
      </c>
      <c r="P339" s="64" t="n">
        <f aca="false">IF(AND($M339&gt;0,ISNUMBER(MATCH($F339,Lists!$A$2:$A$5,0)),ISNUMBER(MATCH($G339,Lists!$B$2:$B$7,0)),OR($H339="",$N339&gt;0),OR($I339="",$I339="NR",$O339&gt;0),IF(ISNUMBER($J339),AND($J339&gt;=0,$J339=INT($J339)),FALSE())),$J339,0)</f>
        <v>0</v>
      </c>
      <c r="Q339" s="64" t="n">
        <f aca="false">IF(AND($P339&gt;0,$O339&gt;0),$P339,0)</f>
        <v>0</v>
      </c>
      <c r="R339" s="64" t="n">
        <f aca="false">IF(AND($Q339&gt;0,$O339&gt;=AtRank),$Q339,0)</f>
        <v>0</v>
      </c>
      <c r="S339" s="64" t="n">
        <f aca="false">IF(AND($Q339&gt;0,$O339&gt;=AboveRank),$Q339,0)</f>
        <v>0</v>
      </c>
      <c r="T339" s="64" t="n">
        <f aca="false">IF($K339="Less",$P339,0)</f>
        <v>0</v>
      </c>
      <c r="U339" s="64" t="n">
        <f aca="false">IF($K339="Expected",$P339,0)</f>
        <v>0</v>
      </c>
      <c r="V339" s="64" t="n">
        <f aca="false">IF($K339="Better",$P339,0)</f>
        <v>0</v>
      </c>
      <c r="W339" s="64" t="n">
        <f aca="false">IF($K339="U – needs rule",$P339,0)</f>
        <v>0</v>
      </c>
      <c r="X339" s="64" t="n">
        <f aca="false">IF($K339="No Start (attainment only)",$P339,0)</f>
        <v>0</v>
      </c>
    </row>
    <row r="340" customFormat="false" ht="15" hidden="false" customHeight="false" outlineLevel="0" collapsed="false">
      <c r="A340" s="60"/>
      <c r="B340" s="61" t="str">
        <f aca="false">IF($M340=0,"",INDEX(Classes!$E$6:$E$420,$M340))</f>
        <v/>
      </c>
      <c r="C340" s="62" t="str">
        <f aca="false">IF($M340=0,"",INDEX(Classes!$H$6:$H$420,$M340))</f>
        <v/>
      </c>
      <c r="D340" s="61" t="str">
        <f aca="false">IF($M340=0,"",INDEX(Classes!$B$6:$B$420,$M340))</f>
        <v/>
      </c>
      <c r="E340" s="61" t="str">
        <f aca="false">IF($M340=0,"",INDEX(Classes!$C$6:$C$420,$M340))</f>
        <v/>
      </c>
      <c r="F340" s="63"/>
      <c r="G340" s="63"/>
      <c r="H340" s="60"/>
      <c r="I340" s="60"/>
      <c r="J340" s="63"/>
      <c r="K340" s="61" t="str">
        <f aca="false">IF($P340=0,"",IF($F340="Baseline","— Baseline",IF($O340=0,"No result",IF($N340=0,"No Start (attainment only)",IF(OR($N340=1,$O340=1),"U – needs rule",INDEX(MxBody,MATCH($I340,MxCurr,0),MATCH($H340,MxStart,0)))))))</f>
        <v/>
      </c>
      <c r="L340" s="62" t="str">
        <f aca="false">IF(COUNTA($A340,$F340,$G340,$H340,$I340,$J340)=0,"",IF($M340=0,"✖ كود الصف غير موجود",IF(ISNA(MATCH($F340,Lists!$A$2:$A$5,0)),"✖ الفترة غير صحيحة",IF(ISNA(MATCH($G340,Lists!$B$2:$B$7,0)),"✖ المجموعة غير صحيحة",IF(NOT(OR($H340="",$N340&gt;0)),"✖ Start غير صحيح",IF(NOT(OR($I340="",$I340="NR",$O340&gt;0)),"✖ Current غير صحيح",IF(NOT(IF(ISNUMBER($J340),AND($J340&gt;=0,$J340=INT($J340)),FALSE())),"✖ العدد يجب أن يكون صحيحًا ≥ 0",IF(AND($F340="Baseline",$H340&lt;&gt;""),"⚠ Baseline: Start لا يدخل في التقدم",IF($K340="No Start (attainment only)","ℹ تحصيل فقط (بدون Start)",IF($K340="U – needs rule","ℹ حالة U تحتاج قاعدة معتمدة",IF($K340="No result","ℹ بدون نتيجة (يُستبعد من التحصيل)","OK")))))))))))</f>
        <v/>
      </c>
      <c r="M340" s="64" t="n">
        <f aca="false">IF($A340="",0,IFERROR(MATCH($A340,Classes!$A$6:$A$420,0),0))</f>
        <v>0</v>
      </c>
      <c r="N340" s="64" t="n">
        <f aca="false">IF($H340="",0,IFERROR(MATCH($H340,GradeList,0),0))</f>
        <v>0</v>
      </c>
      <c r="O340" s="64" t="n">
        <f aca="false">IF(OR($I340="",$I340="NR"),0,IFERROR(MATCH($I340,GradeList,0),0))</f>
        <v>0</v>
      </c>
      <c r="P340" s="64" t="n">
        <f aca="false">IF(AND($M340&gt;0,ISNUMBER(MATCH($F340,Lists!$A$2:$A$5,0)),ISNUMBER(MATCH($G340,Lists!$B$2:$B$7,0)),OR($H340="",$N340&gt;0),OR($I340="",$I340="NR",$O340&gt;0),IF(ISNUMBER($J340),AND($J340&gt;=0,$J340=INT($J340)),FALSE())),$J340,0)</f>
        <v>0</v>
      </c>
      <c r="Q340" s="64" t="n">
        <f aca="false">IF(AND($P340&gt;0,$O340&gt;0),$P340,0)</f>
        <v>0</v>
      </c>
      <c r="R340" s="64" t="n">
        <f aca="false">IF(AND($Q340&gt;0,$O340&gt;=AtRank),$Q340,0)</f>
        <v>0</v>
      </c>
      <c r="S340" s="64" t="n">
        <f aca="false">IF(AND($Q340&gt;0,$O340&gt;=AboveRank),$Q340,0)</f>
        <v>0</v>
      </c>
      <c r="T340" s="64" t="n">
        <f aca="false">IF($K340="Less",$P340,0)</f>
        <v>0</v>
      </c>
      <c r="U340" s="64" t="n">
        <f aca="false">IF($K340="Expected",$P340,0)</f>
        <v>0</v>
      </c>
      <c r="V340" s="64" t="n">
        <f aca="false">IF($K340="Better",$P340,0)</f>
        <v>0</v>
      </c>
      <c r="W340" s="64" t="n">
        <f aca="false">IF($K340="U – needs rule",$P340,0)</f>
        <v>0</v>
      </c>
      <c r="X340" s="64" t="n">
        <f aca="false">IF($K340="No Start (attainment only)",$P340,0)</f>
        <v>0</v>
      </c>
    </row>
    <row r="341" customFormat="false" ht="15" hidden="false" customHeight="false" outlineLevel="0" collapsed="false">
      <c r="A341" s="60"/>
      <c r="B341" s="61" t="str">
        <f aca="false">IF($M341=0,"",INDEX(Classes!$E$6:$E$420,$M341))</f>
        <v/>
      </c>
      <c r="C341" s="62" t="str">
        <f aca="false">IF($M341=0,"",INDEX(Classes!$H$6:$H$420,$M341))</f>
        <v/>
      </c>
      <c r="D341" s="61" t="str">
        <f aca="false">IF($M341=0,"",INDEX(Classes!$B$6:$B$420,$M341))</f>
        <v/>
      </c>
      <c r="E341" s="61" t="str">
        <f aca="false">IF($M341=0,"",INDEX(Classes!$C$6:$C$420,$M341))</f>
        <v/>
      </c>
      <c r="F341" s="63"/>
      <c r="G341" s="63"/>
      <c r="H341" s="60"/>
      <c r="I341" s="60"/>
      <c r="J341" s="63"/>
      <c r="K341" s="61" t="str">
        <f aca="false">IF($P341=0,"",IF($F341="Baseline","— Baseline",IF($O341=0,"No result",IF($N341=0,"No Start (attainment only)",IF(OR($N341=1,$O341=1),"U – needs rule",INDEX(MxBody,MATCH($I341,MxCurr,0),MATCH($H341,MxStart,0)))))))</f>
        <v/>
      </c>
      <c r="L341" s="62" t="str">
        <f aca="false">IF(COUNTA($A341,$F341,$G341,$H341,$I341,$J341)=0,"",IF($M341=0,"✖ كود الصف غير موجود",IF(ISNA(MATCH($F341,Lists!$A$2:$A$5,0)),"✖ الفترة غير صحيحة",IF(ISNA(MATCH($G341,Lists!$B$2:$B$7,0)),"✖ المجموعة غير صحيحة",IF(NOT(OR($H341="",$N341&gt;0)),"✖ Start غير صحيح",IF(NOT(OR($I341="",$I341="NR",$O341&gt;0)),"✖ Current غير صحيح",IF(NOT(IF(ISNUMBER($J341),AND($J341&gt;=0,$J341=INT($J341)),FALSE())),"✖ العدد يجب أن يكون صحيحًا ≥ 0",IF(AND($F341="Baseline",$H341&lt;&gt;""),"⚠ Baseline: Start لا يدخل في التقدم",IF($K341="No Start (attainment only)","ℹ تحصيل فقط (بدون Start)",IF($K341="U – needs rule","ℹ حالة U تحتاج قاعدة معتمدة",IF($K341="No result","ℹ بدون نتيجة (يُستبعد من التحصيل)","OK")))))))))))</f>
        <v/>
      </c>
      <c r="M341" s="64" t="n">
        <f aca="false">IF($A341="",0,IFERROR(MATCH($A341,Classes!$A$6:$A$420,0),0))</f>
        <v>0</v>
      </c>
      <c r="N341" s="64" t="n">
        <f aca="false">IF($H341="",0,IFERROR(MATCH($H341,GradeList,0),0))</f>
        <v>0</v>
      </c>
      <c r="O341" s="64" t="n">
        <f aca="false">IF(OR($I341="",$I341="NR"),0,IFERROR(MATCH($I341,GradeList,0),0))</f>
        <v>0</v>
      </c>
      <c r="P341" s="64" t="n">
        <f aca="false">IF(AND($M341&gt;0,ISNUMBER(MATCH($F341,Lists!$A$2:$A$5,0)),ISNUMBER(MATCH($G341,Lists!$B$2:$B$7,0)),OR($H341="",$N341&gt;0),OR($I341="",$I341="NR",$O341&gt;0),IF(ISNUMBER($J341),AND($J341&gt;=0,$J341=INT($J341)),FALSE())),$J341,0)</f>
        <v>0</v>
      </c>
      <c r="Q341" s="64" t="n">
        <f aca="false">IF(AND($P341&gt;0,$O341&gt;0),$P341,0)</f>
        <v>0</v>
      </c>
      <c r="R341" s="64" t="n">
        <f aca="false">IF(AND($Q341&gt;0,$O341&gt;=AtRank),$Q341,0)</f>
        <v>0</v>
      </c>
      <c r="S341" s="64" t="n">
        <f aca="false">IF(AND($Q341&gt;0,$O341&gt;=AboveRank),$Q341,0)</f>
        <v>0</v>
      </c>
      <c r="T341" s="64" t="n">
        <f aca="false">IF($K341="Less",$P341,0)</f>
        <v>0</v>
      </c>
      <c r="U341" s="64" t="n">
        <f aca="false">IF($K341="Expected",$P341,0)</f>
        <v>0</v>
      </c>
      <c r="V341" s="64" t="n">
        <f aca="false">IF($K341="Better",$P341,0)</f>
        <v>0</v>
      </c>
      <c r="W341" s="64" t="n">
        <f aca="false">IF($K341="U – needs rule",$P341,0)</f>
        <v>0</v>
      </c>
      <c r="X341" s="64" t="n">
        <f aca="false">IF($K341="No Start (attainment only)",$P341,0)</f>
        <v>0</v>
      </c>
    </row>
    <row r="342" customFormat="false" ht="15" hidden="false" customHeight="false" outlineLevel="0" collapsed="false">
      <c r="A342" s="60"/>
      <c r="B342" s="61" t="str">
        <f aca="false">IF($M342=0,"",INDEX(Classes!$E$6:$E$420,$M342))</f>
        <v/>
      </c>
      <c r="C342" s="62" t="str">
        <f aca="false">IF($M342=0,"",INDEX(Classes!$H$6:$H$420,$M342))</f>
        <v/>
      </c>
      <c r="D342" s="61" t="str">
        <f aca="false">IF($M342=0,"",INDEX(Classes!$B$6:$B$420,$M342))</f>
        <v/>
      </c>
      <c r="E342" s="61" t="str">
        <f aca="false">IF($M342=0,"",INDEX(Classes!$C$6:$C$420,$M342))</f>
        <v/>
      </c>
      <c r="F342" s="63"/>
      <c r="G342" s="63"/>
      <c r="H342" s="60"/>
      <c r="I342" s="60"/>
      <c r="J342" s="63"/>
      <c r="K342" s="61" t="str">
        <f aca="false">IF($P342=0,"",IF($F342="Baseline","— Baseline",IF($O342=0,"No result",IF($N342=0,"No Start (attainment only)",IF(OR($N342=1,$O342=1),"U – needs rule",INDEX(MxBody,MATCH($I342,MxCurr,0),MATCH($H342,MxStart,0)))))))</f>
        <v/>
      </c>
      <c r="L342" s="62" t="str">
        <f aca="false">IF(COUNTA($A342,$F342,$G342,$H342,$I342,$J342)=0,"",IF($M342=0,"✖ كود الصف غير موجود",IF(ISNA(MATCH($F342,Lists!$A$2:$A$5,0)),"✖ الفترة غير صحيحة",IF(ISNA(MATCH($G342,Lists!$B$2:$B$7,0)),"✖ المجموعة غير صحيحة",IF(NOT(OR($H342="",$N342&gt;0)),"✖ Start غير صحيح",IF(NOT(OR($I342="",$I342="NR",$O342&gt;0)),"✖ Current غير صحيح",IF(NOT(IF(ISNUMBER($J342),AND($J342&gt;=0,$J342=INT($J342)),FALSE())),"✖ العدد يجب أن يكون صحيحًا ≥ 0",IF(AND($F342="Baseline",$H342&lt;&gt;""),"⚠ Baseline: Start لا يدخل في التقدم",IF($K342="No Start (attainment only)","ℹ تحصيل فقط (بدون Start)",IF($K342="U – needs rule","ℹ حالة U تحتاج قاعدة معتمدة",IF($K342="No result","ℹ بدون نتيجة (يُستبعد من التحصيل)","OK")))))))))))</f>
        <v/>
      </c>
      <c r="M342" s="64" t="n">
        <f aca="false">IF($A342="",0,IFERROR(MATCH($A342,Classes!$A$6:$A$420,0),0))</f>
        <v>0</v>
      </c>
      <c r="N342" s="64" t="n">
        <f aca="false">IF($H342="",0,IFERROR(MATCH($H342,GradeList,0),0))</f>
        <v>0</v>
      </c>
      <c r="O342" s="64" t="n">
        <f aca="false">IF(OR($I342="",$I342="NR"),0,IFERROR(MATCH($I342,GradeList,0),0))</f>
        <v>0</v>
      </c>
      <c r="P342" s="64" t="n">
        <f aca="false">IF(AND($M342&gt;0,ISNUMBER(MATCH($F342,Lists!$A$2:$A$5,0)),ISNUMBER(MATCH($G342,Lists!$B$2:$B$7,0)),OR($H342="",$N342&gt;0),OR($I342="",$I342="NR",$O342&gt;0),IF(ISNUMBER($J342),AND($J342&gt;=0,$J342=INT($J342)),FALSE())),$J342,0)</f>
        <v>0</v>
      </c>
      <c r="Q342" s="64" t="n">
        <f aca="false">IF(AND($P342&gt;0,$O342&gt;0),$P342,0)</f>
        <v>0</v>
      </c>
      <c r="R342" s="64" t="n">
        <f aca="false">IF(AND($Q342&gt;0,$O342&gt;=AtRank),$Q342,0)</f>
        <v>0</v>
      </c>
      <c r="S342" s="64" t="n">
        <f aca="false">IF(AND($Q342&gt;0,$O342&gt;=AboveRank),$Q342,0)</f>
        <v>0</v>
      </c>
      <c r="T342" s="64" t="n">
        <f aca="false">IF($K342="Less",$P342,0)</f>
        <v>0</v>
      </c>
      <c r="U342" s="64" t="n">
        <f aca="false">IF($K342="Expected",$P342,0)</f>
        <v>0</v>
      </c>
      <c r="V342" s="64" t="n">
        <f aca="false">IF($K342="Better",$P342,0)</f>
        <v>0</v>
      </c>
      <c r="W342" s="64" t="n">
        <f aca="false">IF($K342="U – needs rule",$P342,0)</f>
        <v>0</v>
      </c>
      <c r="X342" s="64" t="n">
        <f aca="false">IF($K342="No Start (attainment only)",$P342,0)</f>
        <v>0</v>
      </c>
    </row>
    <row r="343" customFormat="false" ht="15" hidden="false" customHeight="false" outlineLevel="0" collapsed="false">
      <c r="A343" s="60"/>
      <c r="B343" s="61" t="str">
        <f aca="false">IF($M343=0,"",INDEX(Classes!$E$6:$E$420,$M343))</f>
        <v/>
      </c>
      <c r="C343" s="62" t="str">
        <f aca="false">IF($M343=0,"",INDEX(Classes!$H$6:$H$420,$M343))</f>
        <v/>
      </c>
      <c r="D343" s="61" t="str">
        <f aca="false">IF($M343=0,"",INDEX(Classes!$B$6:$B$420,$M343))</f>
        <v/>
      </c>
      <c r="E343" s="61" t="str">
        <f aca="false">IF($M343=0,"",INDEX(Classes!$C$6:$C$420,$M343))</f>
        <v/>
      </c>
      <c r="F343" s="63"/>
      <c r="G343" s="63"/>
      <c r="H343" s="60"/>
      <c r="I343" s="60"/>
      <c r="J343" s="63"/>
      <c r="K343" s="61" t="str">
        <f aca="false">IF($P343=0,"",IF($F343="Baseline","— Baseline",IF($O343=0,"No result",IF($N343=0,"No Start (attainment only)",IF(OR($N343=1,$O343=1),"U – needs rule",INDEX(MxBody,MATCH($I343,MxCurr,0),MATCH($H343,MxStart,0)))))))</f>
        <v/>
      </c>
      <c r="L343" s="62" t="str">
        <f aca="false">IF(COUNTA($A343,$F343,$G343,$H343,$I343,$J343)=0,"",IF($M343=0,"✖ كود الصف غير موجود",IF(ISNA(MATCH($F343,Lists!$A$2:$A$5,0)),"✖ الفترة غير صحيحة",IF(ISNA(MATCH($G343,Lists!$B$2:$B$7,0)),"✖ المجموعة غير صحيحة",IF(NOT(OR($H343="",$N343&gt;0)),"✖ Start غير صحيح",IF(NOT(OR($I343="",$I343="NR",$O343&gt;0)),"✖ Current غير صحيح",IF(NOT(IF(ISNUMBER($J343),AND($J343&gt;=0,$J343=INT($J343)),FALSE())),"✖ العدد يجب أن يكون صحيحًا ≥ 0",IF(AND($F343="Baseline",$H343&lt;&gt;""),"⚠ Baseline: Start لا يدخل في التقدم",IF($K343="No Start (attainment only)","ℹ تحصيل فقط (بدون Start)",IF($K343="U – needs rule","ℹ حالة U تحتاج قاعدة معتمدة",IF($K343="No result","ℹ بدون نتيجة (يُستبعد من التحصيل)","OK")))))))))))</f>
        <v/>
      </c>
      <c r="M343" s="64" t="n">
        <f aca="false">IF($A343="",0,IFERROR(MATCH($A343,Classes!$A$6:$A$420,0),0))</f>
        <v>0</v>
      </c>
      <c r="N343" s="64" t="n">
        <f aca="false">IF($H343="",0,IFERROR(MATCH($H343,GradeList,0),0))</f>
        <v>0</v>
      </c>
      <c r="O343" s="64" t="n">
        <f aca="false">IF(OR($I343="",$I343="NR"),0,IFERROR(MATCH($I343,GradeList,0),0))</f>
        <v>0</v>
      </c>
      <c r="P343" s="64" t="n">
        <f aca="false">IF(AND($M343&gt;0,ISNUMBER(MATCH($F343,Lists!$A$2:$A$5,0)),ISNUMBER(MATCH($G343,Lists!$B$2:$B$7,0)),OR($H343="",$N343&gt;0),OR($I343="",$I343="NR",$O343&gt;0),IF(ISNUMBER($J343),AND($J343&gt;=0,$J343=INT($J343)),FALSE())),$J343,0)</f>
        <v>0</v>
      </c>
      <c r="Q343" s="64" t="n">
        <f aca="false">IF(AND($P343&gt;0,$O343&gt;0),$P343,0)</f>
        <v>0</v>
      </c>
      <c r="R343" s="64" t="n">
        <f aca="false">IF(AND($Q343&gt;0,$O343&gt;=AtRank),$Q343,0)</f>
        <v>0</v>
      </c>
      <c r="S343" s="64" t="n">
        <f aca="false">IF(AND($Q343&gt;0,$O343&gt;=AboveRank),$Q343,0)</f>
        <v>0</v>
      </c>
      <c r="T343" s="64" t="n">
        <f aca="false">IF($K343="Less",$P343,0)</f>
        <v>0</v>
      </c>
      <c r="U343" s="64" t="n">
        <f aca="false">IF($K343="Expected",$P343,0)</f>
        <v>0</v>
      </c>
      <c r="V343" s="64" t="n">
        <f aca="false">IF($K343="Better",$P343,0)</f>
        <v>0</v>
      </c>
      <c r="W343" s="64" t="n">
        <f aca="false">IF($K343="U – needs rule",$P343,0)</f>
        <v>0</v>
      </c>
      <c r="X343" s="64" t="n">
        <f aca="false">IF($K343="No Start (attainment only)",$P343,0)</f>
        <v>0</v>
      </c>
    </row>
    <row r="344" customFormat="false" ht="15" hidden="false" customHeight="false" outlineLevel="0" collapsed="false">
      <c r="A344" s="60"/>
      <c r="B344" s="61" t="str">
        <f aca="false">IF($M344=0,"",INDEX(Classes!$E$6:$E$420,$M344))</f>
        <v/>
      </c>
      <c r="C344" s="62" t="str">
        <f aca="false">IF($M344=0,"",INDEX(Classes!$H$6:$H$420,$M344))</f>
        <v/>
      </c>
      <c r="D344" s="61" t="str">
        <f aca="false">IF($M344=0,"",INDEX(Classes!$B$6:$B$420,$M344))</f>
        <v/>
      </c>
      <c r="E344" s="61" t="str">
        <f aca="false">IF($M344=0,"",INDEX(Classes!$C$6:$C$420,$M344))</f>
        <v/>
      </c>
      <c r="F344" s="63"/>
      <c r="G344" s="63"/>
      <c r="H344" s="60"/>
      <c r="I344" s="60"/>
      <c r="J344" s="63"/>
      <c r="K344" s="61" t="str">
        <f aca="false">IF($P344=0,"",IF($F344="Baseline","— Baseline",IF($O344=0,"No result",IF($N344=0,"No Start (attainment only)",IF(OR($N344=1,$O344=1),"U – needs rule",INDEX(MxBody,MATCH($I344,MxCurr,0),MATCH($H344,MxStart,0)))))))</f>
        <v/>
      </c>
      <c r="L344" s="62" t="str">
        <f aca="false">IF(COUNTA($A344,$F344,$G344,$H344,$I344,$J344)=0,"",IF($M344=0,"✖ كود الصف غير موجود",IF(ISNA(MATCH($F344,Lists!$A$2:$A$5,0)),"✖ الفترة غير صحيحة",IF(ISNA(MATCH($G344,Lists!$B$2:$B$7,0)),"✖ المجموعة غير صحيحة",IF(NOT(OR($H344="",$N344&gt;0)),"✖ Start غير صحيح",IF(NOT(OR($I344="",$I344="NR",$O344&gt;0)),"✖ Current غير صحيح",IF(NOT(IF(ISNUMBER($J344),AND($J344&gt;=0,$J344=INT($J344)),FALSE())),"✖ العدد يجب أن يكون صحيحًا ≥ 0",IF(AND($F344="Baseline",$H344&lt;&gt;""),"⚠ Baseline: Start لا يدخل في التقدم",IF($K344="No Start (attainment only)","ℹ تحصيل فقط (بدون Start)",IF($K344="U – needs rule","ℹ حالة U تحتاج قاعدة معتمدة",IF($K344="No result","ℹ بدون نتيجة (يُستبعد من التحصيل)","OK")))))))))))</f>
        <v/>
      </c>
      <c r="M344" s="64" t="n">
        <f aca="false">IF($A344="",0,IFERROR(MATCH($A344,Classes!$A$6:$A$420,0),0))</f>
        <v>0</v>
      </c>
      <c r="N344" s="64" t="n">
        <f aca="false">IF($H344="",0,IFERROR(MATCH($H344,GradeList,0),0))</f>
        <v>0</v>
      </c>
      <c r="O344" s="64" t="n">
        <f aca="false">IF(OR($I344="",$I344="NR"),0,IFERROR(MATCH($I344,GradeList,0),0))</f>
        <v>0</v>
      </c>
      <c r="P344" s="64" t="n">
        <f aca="false">IF(AND($M344&gt;0,ISNUMBER(MATCH($F344,Lists!$A$2:$A$5,0)),ISNUMBER(MATCH($G344,Lists!$B$2:$B$7,0)),OR($H344="",$N344&gt;0),OR($I344="",$I344="NR",$O344&gt;0),IF(ISNUMBER($J344),AND($J344&gt;=0,$J344=INT($J344)),FALSE())),$J344,0)</f>
        <v>0</v>
      </c>
      <c r="Q344" s="64" t="n">
        <f aca="false">IF(AND($P344&gt;0,$O344&gt;0),$P344,0)</f>
        <v>0</v>
      </c>
      <c r="R344" s="64" t="n">
        <f aca="false">IF(AND($Q344&gt;0,$O344&gt;=AtRank),$Q344,0)</f>
        <v>0</v>
      </c>
      <c r="S344" s="64" t="n">
        <f aca="false">IF(AND($Q344&gt;0,$O344&gt;=AboveRank),$Q344,0)</f>
        <v>0</v>
      </c>
      <c r="T344" s="64" t="n">
        <f aca="false">IF($K344="Less",$P344,0)</f>
        <v>0</v>
      </c>
      <c r="U344" s="64" t="n">
        <f aca="false">IF($K344="Expected",$P344,0)</f>
        <v>0</v>
      </c>
      <c r="V344" s="64" t="n">
        <f aca="false">IF($K344="Better",$P344,0)</f>
        <v>0</v>
      </c>
      <c r="W344" s="64" t="n">
        <f aca="false">IF($K344="U – needs rule",$P344,0)</f>
        <v>0</v>
      </c>
      <c r="X344" s="64" t="n">
        <f aca="false">IF($K344="No Start (attainment only)",$P344,0)</f>
        <v>0</v>
      </c>
    </row>
    <row r="345" customFormat="false" ht="15" hidden="false" customHeight="false" outlineLevel="0" collapsed="false">
      <c r="A345" s="60"/>
      <c r="B345" s="61" t="str">
        <f aca="false">IF($M345=0,"",INDEX(Classes!$E$6:$E$420,$M345))</f>
        <v/>
      </c>
      <c r="C345" s="62" t="str">
        <f aca="false">IF($M345=0,"",INDEX(Classes!$H$6:$H$420,$M345))</f>
        <v/>
      </c>
      <c r="D345" s="61" t="str">
        <f aca="false">IF($M345=0,"",INDEX(Classes!$B$6:$B$420,$M345))</f>
        <v/>
      </c>
      <c r="E345" s="61" t="str">
        <f aca="false">IF($M345=0,"",INDEX(Classes!$C$6:$C$420,$M345))</f>
        <v/>
      </c>
      <c r="F345" s="63"/>
      <c r="G345" s="63"/>
      <c r="H345" s="60"/>
      <c r="I345" s="60"/>
      <c r="J345" s="63"/>
      <c r="K345" s="61" t="str">
        <f aca="false">IF($P345=0,"",IF($F345="Baseline","— Baseline",IF($O345=0,"No result",IF($N345=0,"No Start (attainment only)",IF(OR($N345=1,$O345=1),"U – needs rule",INDEX(MxBody,MATCH($I345,MxCurr,0),MATCH($H345,MxStart,0)))))))</f>
        <v/>
      </c>
      <c r="L345" s="62" t="str">
        <f aca="false">IF(COUNTA($A345,$F345,$G345,$H345,$I345,$J345)=0,"",IF($M345=0,"✖ كود الصف غير موجود",IF(ISNA(MATCH($F345,Lists!$A$2:$A$5,0)),"✖ الفترة غير صحيحة",IF(ISNA(MATCH($G345,Lists!$B$2:$B$7,0)),"✖ المجموعة غير صحيحة",IF(NOT(OR($H345="",$N345&gt;0)),"✖ Start غير صحيح",IF(NOT(OR($I345="",$I345="NR",$O345&gt;0)),"✖ Current غير صحيح",IF(NOT(IF(ISNUMBER($J345),AND($J345&gt;=0,$J345=INT($J345)),FALSE())),"✖ العدد يجب أن يكون صحيحًا ≥ 0",IF(AND($F345="Baseline",$H345&lt;&gt;""),"⚠ Baseline: Start لا يدخل في التقدم",IF($K345="No Start (attainment only)","ℹ تحصيل فقط (بدون Start)",IF($K345="U – needs rule","ℹ حالة U تحتاج قاعدة معتمدة",IF($K345="No result","ℹ بدون نتيجة (يُستبعد من التحصيل)","OK")))))))))))</f>
        <v/>
      </c>
      <c r="M345" s="64" t="n">
        <f aca="false">IF($A345="",0,IFERROR(MATCH($A345,Classes!$A$6:$A$420,0),0))</f>
        <v>0</v>
      </c>
      <c r="N345" s="64" t="n">
        <f aca="false">IF($H345="",0,IFERROR(MATCH($H345,GradeList,0),0))</f>
        <v>0</v>
      </c>
      <c r="O345" s="64" t="n">
        <f aca="false">IF(OR($I345="",$I345="NR"),0,IFERROR(MATCH($I345,GradeList,0),0))</f>
        <v>0</v>
      </c>
      <c r="P345" s="64" t="n">
        <f aca="false">IF(AND($M345&gt;0,ISNUMBER(MATCH($F345,Lists!$A$2:$A$5,0)),ISNUMBER(MATCH($G345,Lists!$B$2:$B$7,0)),OR($H345="",$N345&gt;0),OR($I345="",$I345="NR",$O345&gt;0),IF(ISNUMBER($J345),AND($J345&gt;=0,$J345=INT($J345)),FALSE())),$J345,0)</f>
        <v>0</v>
      </c>
      <c r="Q345" s="64" t="n">
        <f aca="false">IF(AND($P345&gt;0,$O345&gt;0),$P345,0)</f>
        <v>0</v>
      </c>
      <c r="R345" s="64" t="n">
        <f aca="false">IF(AND($Q345&gt;0,$O345&gt;=AtRank),$Q345,0)</f>
        <v>0</v>
      </c>
      <c r="S345" s="64" t="n">
        <f aca="false">IF(AND($Q345&gt;0,$O345&gt;=AboveRank),$Q345,0)</f>
        <v>0</v>
      </c>
      <c r="T345" s="64" t="n">
        <f aca="false">IF($K345="Less",$P345,0)</f>
        <v>0</v>
      </c>
      <c r="U345" s="64" t="n">
        <f aca="false">IF($K345="Expected",$P345,0)</f>
        <v>0</v>
      </c>
      <c r="V345" s="64" t="n">
        <f aca="false">IF($K345="Better",$P345,0)</f>
        <v>0</v>
      </c>
      <c r="W345" s="64" t="n">
        <f aca="false">IF($K345="U – needs rule",$P345,0)</f>
        <v>0</v>
      </c>
      <c r="X345" s="64" t="n">
        <f aca="false">IF($K345="No Start (attainment only)",$P345,0)</f>
        <v>0</v>
      </c>
    </row>
    <row r="346" customFormat="false" ht="15" hidden="false" customHeight="false" outlineLevel="0" collapsed="false">
      <c r="A346" s="60"/>
      <c r="B346" s="61" t="str">
        <f aca="false">IF($M346=0,"",INDEX(Classes!$E$6:$E$420,$M346))</f>
        <v/>
      </c>
      <c r="C346" s="62" t="str">
        <f aca="false">IF($M346=0,"",INDEX(Classes!$H$6:$H$420,$M346))</f>
        <v/>
      </c>
      <c r="D346" s="61" t="str">
        <f aca="false">IF($M346=0,"",INDEX(Classes!$B$6:$B$420,$M346))</f>
        <v/>
      </c>
      <c r="E346" s="61" t="str">
        <f aca="false">IF($M346=0,"",INDEX(Classes!$C$6:$C$420,$M346))</f>
        <v/>
      </c>
      <c r="F346" s="63"/>
      <c r="G346" s="63"/>
      <c r="H346" s="60"/>
      <c r="I346" s="60"/>
      <c r="J346" s="63"/>
      <c r="K346" s="61" t="str">
        <f aca="false">IF($P346=0,"",IF($F346="Baseline","— Baseline",IF($O346=0,"No result",IF($N346=0,"No Start (attainment only)",IF(OR($N346=1,$O346=1),"U – needs rule",INDEX(MxBody,MATCH($I346,MxCurr,0),MATCH($H346,MxStart,0)))))))</f>
        <v/>
      </c>
      <c r="L346" s="62" t="str">
        <f aca="false">IF(COUNTA($A346,$F346,$G346,$H346,$I346,$J346)=0,"",IF($M346=0,"✖ كود الصف غير موجود",IF(ISNA(MATCH($F346,Lists!$A$2:$A$5,0)),"✖ الفترة غير صحيحة",IF(ISNA(MATCH($G346,Lists!$B$2:$B$7,0)),"✖ المجموعة غير صحيحة",IF(NOT(OR($H346="",$N346&gt;0)),"✖ Start غير صحيح",IF(NOT(OR($I346="",$I346="NR",$O346&gt;0)),"✖ Current غير صحيح",IF(NOT(IF(ISNUMBER($J346),AND($J346&gt;=0,$J346=INT($J346)),FALSE())),"✖ العدد يجب أن يكون صحيحًا ≥ 0",IF(AND($F346="Baseline",$H346&lt;&gt;""),"⚠ Baseline: Start لا يدخل في التقدم",IF($K346="No Start (attainment only)","ℹ تحصيل فقط (بدون Start)",IF($K346="U – needs rule","ℹ حالة U تحتاج قاعدة معتمدة",IF($K346="No result","ℹ بدون نتيجة (يُستبعد من التحصيل)","OK")))))))))))</f>
        <v/>
      </c>
      <c r="M346" s="64" t="n">
        <f aca="false">IF($A346="",0,IFERROR(MATCH($A346,Classes!$A$6:$A$420,0),0))</f>
        <v>0</v>
      </c>
      <c r="N346" s="64" t="n">
        <f aca="false">IF($H346="",0,IFERROR(MATCH($H346,GradeList,0),0))</f>
        <v>0</v>
      </c>
      <c r="O346" s="64" t="n">
        <f aca="false">IF(OR($I346="",$I346="NR"),0,IFERROR(MATCH($I346,GradeList,0),0))</f>
        <v>0</v>
      </c>
      <c r="P346" s="64" t="n">
        <f aca="false">IF(AND($M346&gt;0,ISNUMBER(MATCH($F346,Lists!$A$2:$A$5,0)),ISNUMBER(MATCH($G346,Lists!$B$2:$B$7,0)),OR($H346="",$N346&gt;0),OR($I346="",$I346="NR",$O346&gt;0),IF(ISNUMBER($J346),AND($J346&gt;=0,$J346=INT($J346)),FALSE())),$J346,0)</f>
        <v>0</v>
      </c>
      <c r="Q346" s="64" t="n">
        <f aca="false">IF(AND($P346&gt;0,$O346&gt;0),$P346,0)</f>
        <v>0</v>
      </c>
      <c r="R346" s="64" t="n">
        <f aca="false">IF(AND($Q346&gt;0,$O346&gt;=AtRank),$Q346,0)</f>
        <v>0</v>
      </c>
      <c r="S346" s="64" t="n">
        <f aca="false">IF(AND($Q346&gt;0,$O346&gt;=AboveRank),$Q346,0)</f>
        <v>0</v>
      </c>
      <c r="T346" s="64" t="n">
        <f aca="false">IF($K346="Less",$P346,0)</f>
        <v>0</v>
      </c>
      <c r="U346" s="64" t="n">
        <f aca="false">IF($K346="Expected",$P346,0)</f>
        <v>0</v>
      </c>
      <c r="V346" s="64" t="n">
        <f aca="false">IF($K346="Better",$P346,0)</f>
        <v>0</v>
      </c>
      <c r="W346" s="64" t="n">
        <f aca="false">IF($K346="U – needs rule",$P346,0)</f>
        <v>0</v>
      </c>
      <c r="X346" s="64" t="n">
        <f aca="false">IF($K346="No Start (attainment only)",$P346,0)</f>
        <v>0</v>
      </c>
    </row>
    <row r="347" customFormat="false" ht="15" hidden="false" customHeight="false" outlineLevel="0" collapsed="false">
      <c r="A347" s="60"/>
      <c r="B347" s="61" t="str">
        <f aca="false">IF($M347=0,"",INDEX(Classes!$E$6:$E$420,$M347))</f>
        <v/>
      </c>
      <c r="C347" s="62" t="str">
        <f aca="false">IF($M347=0,"",INDEX(Classes!$H$6:$H$420,$M347))</f>
        <v/>
      </c>
      <c r="D347" s="61" t="str">
        <f aca="false">IF($M347=0,"",INDEX(Classes!$B$6:$B$420,$M347))</f>
        <v/>
      </c>
      <c r="E347" s="61" t="str">
        <f aca="false">IF($M347=0,"",INDEX(Classes!$C$6:$C$420,$M347))</f>
        <v/>
      </c>
      <c r="F347" s="63"/>
      <c r="G347" s="63"/>
      <c r="H347" s="60"/>
      <c r="I347" s="60"/>
      <c r="J347" s="63"/>
      <c r="K347" s="61" t="str">
        <f aca="false">IF($P347=0,"",IF($F347="Baseline","— Baseline",IF($O347=0,"No result",IF($N347=0,"No Start (attainment only)",IF(OR($N347=1,$O347=1),"U – needs rule",INDEX(MxBody,MATCH($I347,MxCurr,0),MATCH($H347,MxStart,0)))))))</f>
        <v/>
      </c>
      <c r="L347" s="62" t="str">
        <f aca="false">IF(COUNTA($A347,$F347,$G347,$H347,$I347,$J347)=0,"",IF($M347=0,"✖ كود الصف غير موجود",IF(ISNA(MATCH($F347,Lists!$A$2:$A$5,0)),"✖ الفترة غير صحيحة",IF(ISNA(MATCH($G347,Lists!$B$2:$B$7,0)),"✖ المجموعة غير صحيحة",IF(NOT(OR($H347="",$N347&gt;0)),"✖ Start غير صحيح",IF(NOT(OR($I347="",$I347="NR",$O347&gt;0)),"✖ Current غير صحيح",IF(NOT(IF(ISNUMBER($J347),AND($J347&gt;=0,$J347=INT($J347)),FALSE())),"✖ العدد يجب أن يكون صحيحًا ≥ 0",IF(AND($F347="Baseline",$H347&lt;&gt;""),"⚠ Baseline: Start لا يدخل في التقدم",IF($K347="No Start (attainment only)","ℹ تحصيل فقط (بدون Start)",IF($K347="U – needs rule","ℹ حالة U تحتاج قاعدة معتمدة",IF($K347="No result","ℹ بدون نتيجة (يُستبعد من التحصيل)","OK")))))))))))</f>
        <v/>
      </c>
      <c r="M347" s="64" t="n">
        <f aca="false">IF($A347="",0,IFERROR(MATCH($A347,Classes!$A$6:$A$420,0),0))</f>
        <v>0</v>
      </c>
      <c r="N347" s="64" t="n">
        <f aca="false">IF($H347="",0,IFERROR(MATCH($H347,GradeList,0),0))</f>
        <v>0</v>
      </c>
      <c r="O347" s="64" t="n">
        <f aca="false">IF(OR($I347="",$I347="NR"),0,IFERROR(MATCH($I347,GradeList,0),0))</f>
        <v>0</v>
      </c>
      <c r="P347" s="64" t="n">
        <f aca="false">IF(AND($M347&gt;0,ISNUMBER(MATCH($F347,Lists!$A$2:$A$5,0)),ISNUMBER(MATCH($G347,Lists!$B$2:$B$7,0)),OR($H347="",$N347&gt;0),OR($I347="",$I347="NR",$O347&gt;0),IF(ISNUMBER($J347),AND($J347&gt;=0,$J347=INT($J347)),FALSE())),$J347,0)</f>
        <v>0</v>
      </c>
      <c r="Q347" s="64" t="n">
        <f aca="false">IF(AND($P347&gt;0,$O347&gt;0),$P347,0)</f>
        <v>0</v>
      </c>
      <c r="R347" s="64" t="n">
        <f aca="false">IF(AND($Q347&gt;0,$O347&gt;=AtRank),$Q347,0)</f>
        <v>0</v>
      </c>
      <c r="S347" s="64" t="n">
        <f aca="false">IF(AND($Q347&gt;0,$O347&gt;=AboveRank),$Q347,0)</f>
        <v>0</v>
      </c>
      <c r="T347" s="64" t="n">
        <f aca="false">IF($K347="Less",$P347,0)</f>
        <v>0</v>
      </c>
      <c r="U347" s="64" t="n">
        <f aca="false">IF($K347="Expected",$P347,0)</f>
        <v>0</v>
      </c>
      <c r="V347" s="64" t="n">
        <f aca="false">IF($K347="Better",$P347,0)</f>
        <v>0</v>
      </c>
      <c r="W347" s="64" t="n">
        <f aca="false">IF($K347="U – needs rule",$P347,0)</f>
        <v>0</v>
      </c>
      <c r="X347" s="64" t="n">
        <f aca="false">IF($K347="No Start (attainment only)",$P347,0)</f>
        <v>0</v>
      </c>
    </row>
    <row r="348" customFormat="false" ht="15" hidden="false" customHeight="false" outlineLevel="0" collapsed="false">
      <c r="A348" s="60"/>
      <c r="B348" s="61" t="str">
        <f aca="false">IF($M348=0,"",INDEX(Classes!$E$6:$E$420,$M348))</f>
        <v/>
      </c>
      <c r="C348" s="62" t="str">
        <f aca="false">IF($M348=0,"",INDEX(Classes!$H$6:$H$420,$M348))</f>
        <v/>
      </c>
      <c r="D348" s="61" t="str">
        <f aca="false">IF($M348=0,"",INDEX(Classes!$B$6:$B$420,$M348))</f>
        <v/>
      </c>
      <c r="E348" s="61" t="str">
        <f aca="false">IF($M348=0,"",INDEX(Classes!$C$6:$C$420,$M348))</f>
        <v/>
      </c>
      <c r="F348" s="63"/>
      <c r="G348" s="63"/>
      <c r="H348" s="60"/>
      <c r="I348" s="60"/>
      <c r="J348" s="63"/>
      <c r="K348" s="61" t="str">
        <f aca="false">IF($P348=0,"",IF($F348="Baseline","— Baseline",IF($O348=0,"No result",IF($N348=0,"No Start (attainment only)",IF(OR($N348=1,$O348=1),"U – needs rule",INDEX(MxBody,MATCH($I348,MxCurr,0),MATCH($H348,MxStart,0)))))))</f>
        <v/>
      </c>
      <c r="L348" s="62" t="str">
        <f aca="false">IF(COUNTA($A348,$F348,$G348,$H348,$I348,$J348)=0,"",IF($M348=0,"✖ كود الصف غير موجود",IF(ISNA(MATCH($F348,Lists!$A$2:$A$5,0)),"✖ الفترة غير صحيحة",IF(ISNA(MATCH($G348,Lists!$B$2:$B$7,0)),"✖ المجموعة غير صحيحة",IF(NOT(OR($H348="",$N348&gt;0)),"✖ Start غير صحيح",IF(NOT(OR($I348="",$I348="NR",$O348&gt;0)),"✖ Current غير صحيح",IF(NOT(IF(ISNUMBER($J348),AND($J348&gt;=0,$J348=INT($J348)),FALSE())),"✖ العدد يجب أن يكون صحيحًا ≥ 0",IF(AND($F348="Baseline",$H348&lt;&gt;""),"⚠ Baseline: Start لا يدخل في التقدم",IF($K348="No Start (attainment only)","ℹ تحصيل فقط (بدون Start)",IF($K348="U – needs rule","ℹ حالة U تحتاج قاعدة معتمدة",IF($K348="No result","ℹ بدون نتيجة (يُستبعد من التحصيل)","OK")))))))))))</f>
        <v/>
      </c>
      <c r="M348" s="64" t="n">
        <f aca="false">IF($A348="",0,IFERROR(MATCH($A348,Classes!$A$6:$A$420,0),0))</f>
        <v>0</v>
      </c>
      <c r="N348" s="64" t="n">
        <f aca="false">IF($H348="",0,IFERROR(MATCH($H348,GradeList,0),0))</f>
        <v>0</v>
      </c>
      <c r="O348" s="64" t="n">
        <f aca="false">IF(OR($I348="",$I348="NR"),0,IFERROR(MATCH($I348,GradeList,0),0))</f>
        <v>0</v>
      </c>
      <c r="P348" s="64" t="n">
        <f aca="false">IF(AND($M348&gt;0,ISNUMBER(MATCH($F348,Lists!$A$2:$A$5,0)),ISNUMBER(MATCH($G348,Lists!$B$2:$B$7,0)),OR($H348="",$N348&gt;0),OR($I348="",$I348="NR",$O348&gt;0),IF(ISNUMBER($J348),AND($J348&gt;=0,$J348=INT($J348)),FALSE())),$J348,0)</f>
        <v>0</v>
      </c>
      <c r="Q348" s="64" t="n">
        <f aca="false">IF(AND($P348&gt;0,$O348&gt;0),$P348,0)</f>
        <v>0</v>
      </c>
      <c r="R348" s="64" t="n">
        <f aca="false">IF(AND($Q348&gt;0,$O348&gt;=AtRank),$Q348,0)</f>
        <v>0</v>
      </c>
      <c r="S348" s="64" t="n">
        <f aca="false">IF(AND($Q348&gt;0,$O348&gt;=AboveRank),$Q348,0)</f>
        <v>0</v>
      </c>
      <c r="T348" s="64" t="n">
        <f aca="false">IF($K348="Less",$P348,0)</f>
        <v>0</v>
      </c>
      <c r="U348" s="64" t="n">
        <f aca="false">IF($K348="Expected",$P348,0)</f>
        <v>0</v>
      </c>
      <c r="V348" s="64" t="n">
        <f aca="false">IF($K348="Better",$P348,0)</f>
        <v>0</v>
      </c>
      <c r="W348" s="64" t="n">
        <f aca="false">IF($K348="U – needs rule",$P348,0)</f>
        <v>0</v>
      </c>
      <c r="X348" s="64" t="n">
        <f aca="false">IF($K348="No Start (attainment only)",$P348,0)</f>
        <v>0</v>
      </c>
    </row>
    <row r="349" customFormat="false" ht="15" hidden="false" customHeight="false" outlineLevel="0" collapsed="false">
      <c r="A349" s="60"/>
      <c r="B349" s="61" t="str">
        <f aca="false">IF($M349=0,"",INDEX(Classes!$E$6:$E$420,$M349))</f>
        <v/>
      </c>
      <c r="C349" s="62" t="str">
        <f aca="false">IF($M349=0,"",INDEX(Classes!$H$6:$H$420,$M349))</f>
        <v/>
      </c>
      <c r="D349" s="61" t="str">
        <f aca="false">IF($M349=0,"",INDEX(Classes!$B$6:$B$420,$M349))</f>
        <v/>
      </c>
      <c r="E349" s="61" t="str">
        <f aca="false">IF($M349=0,"",INDEX(Classes!$C$6:$C$420,$M349))</f>
        <v/>
      </c>
      <c r="F349" s="63"/>
      <c r="G349" s="63"/>
      <c r="H349" s="60"/>
      <c r="I349" s="60"/>
      <c r="J349" s="63"/>
      <c r="K349" s="61" t="str">
        <f aca="false">IF($P349=0,"",IF($F349="Baseline","— Baseline",IF($O349=0,"No result",IF($N349=0,"No Start (attainment only)",IF(OR($N349=1,$O349=1),"U – needs rule",INDEX(MxBody,MATCH($I349,MxCurr,0),MATCH($H349,MxStart,0)))))))</f>
        <v/>
      </c>
      <c r="L349" s="62" t="str">
        <f aca="false">IF(COUNTA($A349,$F349,$G349,$H349,$I349,$J349)=0,"",IF($M349=0,"✖ كود الصف غير موجود",IF(ISNA(MATCH($F349,Lists!$A$2:$A$5,0)),"✖ الفترة غير صحيحة",IF(ISNA(MATCH($G349,Lists!$B$2:$B$7,0)),"✖ المجموعة غير صحيحة",IF(NOT(OR($H349="",$N349&gt;0)),"✖ Start غير صحيح",IF(NOT(OR($I349="",$I349="NR",$O349&gt;0)),"✖ Current غير صحيح",IF(NOT(IF(ISNUMBER($J349),AND($J349&gt;=0,$J349=INT($J349)),FALSE())),"✖ العدد يجب أن يكون صحيحًا ≥ 0",IF(AND($F349="Baseline",$H349&lt;&gt;""),"⚠ Baseline: Start لا يدخل في التقدم",IF($K349="No Start (attainment only)","ℹ تحصيل فقط (بدون Start)",IF($K349="U – needs rule","ℹ حالة U تحتاج قاعدة معتمدة",IF($K349="No result","ℹ بدون نتيجة (يُستبعد من التحصيل)","OK")))))))))))</f>
        <v/>
      </c>
      <c r="M349" s="64" t="n">
        <f aca="false">IF($A349="",0,IFERROR(MATCH($A349,Classes!$A$6:$A$420,0),0))</f>
        <v>0</v>
      </c>
      <c r="N349" s="64" t="n">
        <f aca="false">IF($H349="",0,IFERROR(MATCH($H349,GradeList,0),0))</f>
        <v>0</v>
      </c>
      <c r="O349" s="64" t="n">
        <f aca="false">IF(OR($I349="",$I349="NR"),0,IFERROR(MATCH($I349,GradeList,0),0))</f>
        <v>0</v>
      </c>
      <c r="P349" s="64" t="n">
        <f aca="false">IF(AND($M349&gt;0,ISNUMBER(MATCH($F349,Lists!$A$2:$A$5,0)),ISNUMBER(MATCH($G349,Lists!$B$2:$B$7,0)),OR($H349="",$N349&gt;0),OR($I349="",$I349="NR",$O349&gt;0),IF(ISNUMBER($J349),AND($J349&gt;=0,$J349=INT($J349)),FALSE())),$J349,0)</f>
        <v>0</v>
      </c>
      <c r="Q349" s="64" t="n">
        <f aca="false">IF(AND($P349&gt;0,$O349&gt;0),$P349,0)</f>
        <v>0</v>
      </c>
      <c r="R349" s="64" t="n">
        <f aca="false">IF(AND($Q349&gt;0,$O349&gt;=AtRank),$Q349,0)</f>
        <v>0</v>
      </c>
      <c r="S349" s="64" t="n">
        <f aca="false">IF(AND($Q349&gt;0,$O349&gt;=AboveRank),$Q349,0)</f>
        <v>0</v>
      </c>
      <c r="T349" s="64" t="n">
        <f aca="false">IF($K349="Less",$P349,0)</f>
        <v>0</v>
      </c>
      <c r="U349" s="64" t="n">
        <f aca="false">IF($K349="Expected",$P349,0)</f>
        <v>0</v>
      </c>
      <c r="V349" s="64" t="n">
        <f aca="false">IF($K349="Better",$P349,0)</f>
        <v>0</v>
      </c>
      <c r="W349" s="64" t="n">
        <f aca="false">IF($K349="U – needs rule",$P349,0)</f>
        <v>0</v>
      </c>
      <c r="X349" s="64" t="n">
        <f aca="false">IF($K349="No Start (attainment only)",$P349,0)</f>
        <v>0</v>
      </c>
    </row>
    <row r="350" customFormat="false" ht="15" hidden="false" customHeight="false" outlineLevel="0" collapsed="false">
      <c r="A350" s="60"/>
      <c r="B350" s="61" t="str">
        <f aca="false">IF($M350=0,"",INDEX(Classes!$E$6:$E$420,$M350))</f>
        <v/>
      </c>
      <c r="C350" s="62" t="str">
        <f aca="false">IF($M350=0,"",INDEX(Classes!$H$6:$H$420,$M350))</f>
        <v/>
      </c>
      <c r="D350" s="61" t="str">
        <f aca="false">IF($M350=0,"",INDEX(Classes!$B$6:$B$420,$M350))</f>
        <v/>
      </c>
      <c r="E350" s="61" t="str">
        <f aca="false">IF($M350=0,"",INDEX(Classes!$C$6:$C$420,$M350))</f>
        <v/>
      </c>
      <c r="F350" s="63"/>
      <c r="G350" s="63"/>
      <c r="H350" s="60"/>
      <c r="I350" s="60"/>
      <c r="J350" s="63"/>
      <c r="K350" s="61" t="str">
        <f aca="false">IF($P350=0,"",IF($F350="Baseline","— Baseline",IF($O350=0,"No result",IF($N350=0,"No Start (attainment only)",IF(OR($N350=1,$O350=1),"U – needs rule",INDEX(MxBody,MATCH($I350,MxCurr,0),MATCH($H350,MxStart,0)))))))</f>
        <v/>
      </c>
      <c r="L350" s="62" t="str">
        <f aca="false">IF(COUNTA($A350,$F350,$G350,$H350,$I350,$J350)=0,"",IF($M350=0,"✖ كود الصف غير موجود",IF(ISNA(MATCH($F350,Lists!$A$2:$A$5,0)),"✖ الفترة غير صحيحة",IF(ISNA(MATCH($G350,Lists!$B$2:$B$7,0)),"✖ المجموعة غير صحيحة",IF(NOT(OR($H350="",$N350&gt;0)),"✖ Start غير صحيح",IF(NOT(OR($I350="",$I350="NR",$O350&gt;0)),"✖ Current غير صحيح",IF(NOT(IF(ISNUMBER($J350),AND($J350&gt;=0,$J350=INT($J350)),FALSE())),"✖ العدد يجب أن يكون صحيحًا ≥ 0",IF(AND($F350="Baseline",$H350&lt;&gt;""),"⚠ Baseline: Start لا يدخل في التقدم",IF($K350="No Start (attainment only)","ℹ تحصيل فقط (بدون Start)",IF($K350="U – needs rule","ℹ حالة U تحتاج قاعدة معتمدة",IF($K350="No result","ℹ بدون نتيجة (يُستبعد من التحصيل)","OK")))))))))))</f>
        <v/>
      </c>
      <c r="M350" s="64" t="n">
        <f aca="false">IF($A350="",0,IFERROR(MATCH($A350,Classes!$A$6:$A$420,0),0))</f>
        <v>0</v>
      </c>
      <c r="N350" s="64" t="n">
        <f aca="false">IF($H350="",0,IFERROR(MATCH($H350,GradeList,0),0))</f>
        <v>0</v>
      </c>
      <c r="O350" s="64" t="n">
        <f aca="false">IF(OR($I350="",$I350="NR"),0,IFERROR(MATCH($I350,GradeList,0),0))</f>
        <v>0</v>
      </c>
      <c r="P350" s="64" t="n">
        <f aca="false">IF(AND($M350&gt;0,ISNUMBER(MATCH($F350,Lists!$A$2:$A$5,0)),ISNUMBER(MATCH($G350,Lists!$B$2:$B$7,0)),OR($H350="",$N350&gt;0),OR($I350="",$I350="NR",$O350&gt;0),IF(ISNUMBER($J350),AND($J350&gt;=0,$J350=INT($J350)),FALSE())),$J350,0)</f>
        <v>0</v>
      </c>
      <c r="Q350" s="64" t="n">
        <f aca="false">IF(AND($P350&gt;0,$O350&gt;0),$P350,0)</f>
        <v>0</v>
      </c>
      <c r="R350" s="64" t="n">
        <f aca="false">IF(AND($Q350&gt;0,$O350&gt;=AtRank),$Q350,0)</f>
        <v>0</v>
      </c>
      <c r="S350" s="64" t="n">
        <f aca="false">IF(AND($Q350&gt;0,$O350&gt;=AboveRank),$Q350,0)</f>
        <v>0</v>
      </c>
      <c r="T350" s="64" t="n">
        <f aca="false">IF($K350="Less",$P350,0)</f>
        <v>0</v>
      </c>
      <c r="U350" s="64" t="n">
        <f aca="false">IF($K350="Expected",$P350,0)</f>
        <v>0</v>
      </c>
      <c r="V350" s="64" t="n">
        <f aca="false">IF($K350="Better",$P350,0)</f>
        <v>0</v>
      </c>
      <c r="W350" s="64" t="n">
        <f aca="false">IF($K350="U – needs rule",$P350,0)</f>
        <v>0</v>
      </c>
      <c r="X350" s="64" t="n">
        <f aca="false">IF($K350="No Start (attainment only)",$P350,0)</f>
        <v>0</v>
      </c>
    </row>
    <row r="351" customFormat="false" ht="15" hidden="false" customHeight="false" outlineLevel="0" collapsed="false">
      <c r="A351" s="60"/>
      <c r="B351" s="61" t="str">
        <f aca="false">IF($M351=0,"",INDEX(Classes!$E$6:$E$420,$M351))</f>
        <v/>
      </c>
      <c r="C351" s="62" t="str">
        <f aca="false">IF($M351=0,"",INDEX(Classes!$H$6:$H$420,$M351))</f>
        <v/>
      </c>
      <c r="D351" s="61" t="str">
        <f aca="false">IF($M351=0,"",INDEX(Classes!$B$6:$B$420,$M351))</f>
        <v/>
      </c>
      <c r="E351" s="61" t="str">
        <f aca="false">IF($M351=0,"",INDEX(Classes!$C$6:$C$420,$M351))</f>
        <v/>
      </c>
      <c r="F351" s="63"/>
      <c r="G351" s="63"/>
      <c r="H351" s="60"/>
      <c r="I351" s="60"/>
      <c r="J351" s="63"/>
      <c r="K351" s="61" t="str">
        <f aca="false">IF($P351=0,"",IF($F351="Baseline","— Baseline",IF($O351=0,"No result",IF($N351=0,"No Start (attainment only)",IF(OR($N351=1,$O351=1),"U – needs rule",INDEX(MxBody,MATCH($I351,MxCurr,0),MATCH($H351,MxStart,0)))))))</f>
        <v/>
      </c>
      <c r="L351" s="62" t="str">
        <f aca="false">IF(COUNTA($A351,$F351,$G351,$H351,$I351,$J351)=0,"",IF($M351=0,"✖ كود الصف غير موجود",IF(ISNA(MATCH($F351,Lists!$A$2:$A$5,0)),"✖ الفترة غير صحيحة",IF(ISNA(MATCH($G351,Lists!$B$2:$B$7,0)),"✖ المجموعة غير صحيحة",IF(NOT(OR($H351="",$N351&gt;0)),"✖ Start غير صحيح",IF(NOT(OR($I351="",$I351="NR",$O351&gt;0)),"✖ Current غير صحيح",IF(NOT(IF(ISNUMBER($J351),AND($J351&gt;=0,$J351=INT($J351)),FALSE())),"✖ العدد يجب أن يكون صحيحًا ≥ 0",IF(AND($F351="Baseline",$H351&lt;&gt;""),"⚠ Baseline: Start لا يدخل في التقدم",IF($K351="No Start (attainment only)","ℹ تحصيل فقط (بدون Start)",IF($K351="U – needs rule","ℹ حالة U تحتاج قاعدة معتمدة",IF($K351="No result","ℹ بدون نتيجة (يُستبعد من التحصيل)","OK")))))))))))</f>
        <v/>
      </c>
      <c r="M351" s="64" t="n">
        <f aca="false">IF($A351="",0,IFERROR(MATCH($A351,Classes!$A$6:$A$420,0),0))</f>
        <v>0</v>
      </c>
      <c r="N351" s="64" t="n">
        <f aca="false">IF($H351="",0,IFERROR(MATCH($H351,GradeList,0),0))</f>
        <v>0</v>
      </c>
      <c r="O351" s="64" t="n">
        <f aca="false">IF(OR($I351="",$I351="NR"),0,IFERROR(MATCH($I351,GradeList,0),0))</f>
        <v>0</v>
      </c>
      <c r="P351" s="64" t="n">
        <f aca="false">IF(AND($M351&gt;0,ISNUMBER(MATCH($F351,Lists!$A$2:$A$5,0)),ISNUMBER(MATCH($G351,Lists!$B$2:$B$7,0)),OR($H351="",$N351&gt;0),OR($I351="",$I351="NR",$O351&gt;0),IF(ISNUMBER($J351),AND($J351&gt;=0,$J351=INT($J351)),FALSE())),$J351,0)</f>
        <v>0</v>
      </c>
      <c r="Q351" s="64" t="n">
        <f aca="false">IF(AND($P351&gt;0,$O351&gt;0),$P351,0)</f>
        <v>0</v>
      </c>
      <c r="R351" s="64" t="n">
        <f aca="false">IF(AND($Q351&gt;0,$O351&gt;=AtRank),$Q351,0)</f>
        <v>0</v>
      </c>
      <c r="S351" s="64" t="n">
        <f aca="false">IF(AND($Q351&gt;0,$O351&gt;=AboveRank),$Q351,0)</f>
        <v>0</v>
      </c>
      <c r="T351" s="64" t="n">
        <f aca="false">IF($K351="Less",$P351,0)</f>
        <v>0</v>
      </c>
      <c r="U351" s="64" t="n">
        <f aca="false">IF($K351="Expected",$P351,0)</f>
        <v>0</v>
      </c>
      <c r="V351" s="64" t="n">
        <f aca="false">IF($K351="Better",$P351,0)</f>
        <v>0</v>
      </c>
      <c r="W351" s="64" t="n">
        <f aca="false">IF($K351="U – needs rule",$P351,0)</f>
        <v>0</v>
      </c>
      <c r="X351" s="64" t="n">
        <f aca="false">IF($K351="No Start (attainment only)",$P351,0)</f>
        <v>0</v>
      </c>
    </row>
    <row r="352" customFormat="false" ht="15" hidden="false" customHeight="false" outlineLevel="0" collapsed="false">
      <c r="A352" s="60"/>
      <c r="B352" s="61" t="str">
        <f aca="false">IF($M352=0,"",INDEX(Classes!$E$6:$E$420,$M352))</f>
        <v/>
      </c>
      <c r="C352" s="62" t="str">
        <f aca="false">IF($M352=0,"",INDEX(Classes!$H$6:$H$420,$M352))</f>
        <v/>
      </c>
      <c r="D352" s="61" t="str">
        <f aca="false">IF($M352=0,"",INDEX(Classes!$B$6:$B$420,$M352))</f>
        <v/>
      </c>
      <c r="E352" s="61" t="str">
        <f aca="false">IF($M352=0,"",INDEX(Classes!$C$6:$C$420,$M352))</f>
        <v/>
      </c>
      <c r="F352" s="63"/>
      <c r="G352" s="63"/>
      <c r="H352" s="60"/>
      <c r="I352" s="60"/>
      <c r="J352" s="63"/>
      <c r="K352" s="61" t="str">
        <f aca="false">IF($P352=0,"",IF($F352="Baseline","— Baseline",IF($O352=0,"No result",IF($N352=0,"No Start (attainment only)",IF(OR($N352=1,$O352=1),"U – needs rule",INDEX(MxBody,MATCH($I352,MxCurr,0),MATCH($H352,MxStart,0)))))))</f>
        <v/>
      </c>
      <c r="L352" s="62" t="str">
        <f aca="false">IF(COUNTA($A352,$F352,$G352,$H352,$I352,$J352)=0,"",IF($M352=0,"✖ كود الصف غير موجود",IF(ISNA(MATCH($F352,Lists!$A$2:$A$5,0)),"✖ الفترة غير صحيحة",IF(ISNA(MATCH($G352,Lists!$B$2:$B$7,0)),"✖ المجموعة غير صحيحة",IF(NOT(OR($H352="",$N352&gt;0)),"✖ Start غير صحيح",IF(NOT(OR($I352="",$I352="NR",$O352&gt;0)),"✖ Current غير صحيح",IF(NOT(IF(ISNUMBER($J352),AND($J352&gt;=0,$J352=INT($J352)),FALSE())),"✖ العدد يجب أن يكون صحيحًا ≥ 0",IF(AND($F352="Baseline",$H352&lt;&gt;""),"⚠ Baseline: Start لا يدخل في التقدم",IF($K352="No Start (attainment only)","ℹ تحصيل فقط (بدون Start)",IF($K352="U – needs rule","ℹ حالة U تحتاج قاعدة معتمدة",IF($K352="No result","ℹ بدون نتيجة (يُستبعد من التحصيل)","OK")))))))))))</f>
        <v/>
      </c>
      <c r="M352" s="64" t="n">
        <f aca="false">IF($A352="",0,IFERROR(MATCH($A352,Classes!$A$6:$A$420,0),0))</f>
        <v>0</v>
      </c>
      <c r="N352" s="64" t="n">
        <f aca="false">IF($H352="",0,IFERROR(MATCH($H352,GradeList,0),0))</f>
        <v>0</v>
      </c>
      <c r="O352" s="64" t="n">
        <f aca="false">IF(OR($I352="",$I352="NR"),0,IFERROR(MATCH($I352,GradeList,0),0))</f>
        <v>0</v>
      </c>
      <c r="P352" s="64" t="n">
        <f aca="false">IF(AND($M352&gt;0,ISNUMBER(MATCH($F352,Lists!$A$2:$A$5,0)),ISNUMBER(MATCH($G352,Lists!$B$2:$B$7,0)),OR($H352="",$N352&gt;0),OR($I352="",$I352="NR",$O352&gt;0),IF(ISNUMBER($J352),AND($J352&gt;=0,$J352=INT($J352)),FALSE())),$J352,0)</f>
        <v>0</v>
      </c>
      <c r="Q352" s="64" t="n">
        <f aca="false">IF(AND($P352&gt;0,$O352&gt;0),$P352,0)</f>
        <v>0</v>
      </c>
      <c r="R352" s="64" t="n">
        <f aca="false">IF(AND($Q352&gt;0,$O352&gt;=AtRank),$Q352,0)</f>
        <v>0</v>
      </c>
      <c r="S352" s="64" t="n">
        <f aca="false">IF(AND($Q352&gt;0,$O352&gt;=AboveRank),$Q352,0)</f>
        <v>0</v>
      </c>
      <c r="T352" s="64" t="n">
        <f aca="false">IF($K352="Less",$P352,0)</f>
        <v>0</v>
      </c>
      <c r="U352" s="64" t="n">
        <f aca="false">IF($K352="Expected",$P352,0)</f>
        <v>0</v>
      </c>
      <c r="V352" s="64" t="n">
        <f aca="false">IF($K352="Better",$P352,0)</f>
        <v>0</v>
      </c>
      <c r="W352" s="64" t="n">
        <f aca="false">IF($K352="U – needs rule",$P352,0)</f>
        <v>0</v>
      </c>
      <c r="X352" s="64" t="n">
        <f aca="false">IF($K352="No Start (attainment only)",$P352,0)</f>
        <v>0</v>
      </c>
    </row>
    <row r="353" customFormat="false" ht="15" hidden="false" customHeight="false" outlineLevel="0" collapsed="false">
      <c r="A353" s="60"/>
      <c r="B353" s="61" t="str">
        <f aca="false">IF($M353=0,"",INDEX(Classes!$E$6:$E$420,$M353))</f>
        <v/>
      </c>
      <c r="C353" s="62" t="str">
        <f aca="false">IF($M353=0,"",INDEX(Classes!$H$6:$H$420,$M353))</f>
        <v/>
      </c>
      <c r="D353" s="61" t="str">
        <f aca="false">IF($M353=0,"",INDEX(Classes!$B$6:$B$420,$M353))</f>
        <v/>
      </c>
      <c r="E353" s="61" t="str">
        <f aca="false">IF($M353=0,"",INDEX(Classes!$C$6:$C$420,$M353))</f>
        <v/>
      </c>
      <c r="F353" s="63"/>
      <c r="G353" s="63"/>
      <c r="H353" s="60"/>
      <c r="I353" s="60"/>
      <c r="J353" s="63"/>
      <c r="K353" s="61" t="str">
        <f aca="false">IF($P353=0,"",IF($F353="Baseline","— Baseline",IF($O353=0,"No result",IF($N353=0,"No Start (attainment only)",IF(OR($N353=1,$O353=1),"U – needs rule",INDEX(MxBody,MATCH($I353,MxCurr,0),MATCH($H353,MxStart,0)))))))</f>
        <v/>
      </c>
      <c r="L353" s="62" t="str">
        <f aca="false">IF(COUNTA($A353,$F353,$G353,$H353,$I353,$J353)=0,"",IF($M353=0,"✖ كود الصف غير موجود",IF(ISNA(MATCH($F353,Lists!$A$2:$A$5,0)),"✖ الفترة غير صحيحة",IF(ISNA(MATCH($G353,Lists!$B$2:$B$7,0)),"✖ المجموعة غير صحيحة",IF(NOT(OR($H353="",$N353&gt;0)),"✖ Start غير صحيح",IF(NOT(OR($I353="",$I353="NR",$O353&gt;0)),"✖ Current غير صحيح",IF(NOT(IF(ISNUMBER($J353),AND($J353&gt;=0,$J353=INT($J353)),FALSE())),"✖ العدد يجب أن يكون صحيحًا ≥ 0",IF(AND($F353="Baseline",$H353&lt;&gt;""),"⚠ Baseline: Start لا يدخل في التقدم",IF($K353="No Start (attainment only)","ℹ تحصيل فقط (بدون Start)",IF($K353="U – needs rule","ℹ حالة U تحتاج قاعدة معتمدة",IF($K353="No result","ℹ بدون نتيجة (يُستبعد من التحصيل)","OK")))))))))))</f>
        <v/>
      </c>
      <c r="M353" s="64" t="n">
        <f aca="false">IF($A353="",0,IFERROR(MATCH($A353,Classes!$A$6:$A$420,0),0))</f>
        <v>0</v>
      </c>
      <c r="N353" s="64" t="n">
        <f aca="false">IF($H353="",0,IFERROR(MATCH($H353,GradeList,0),0))</f>
        <v>0</v>
      </c>
      <c r="O353" s="64" t="n">
        <f aca="false">IF(OR($I353="",$I353="NR"),0,IFERROR(MATCH($I353,GradeList,0),0))</f>
        <v>0</v>
      </c>
      <c r="P353" s="64" t="n">
        <f aca="false">IF(AND($M353&gt;0,ISNUMBER(MATCH($F353,Lists!$A$2:$A$5,0)),ISNUMBER(MATCH($G353,Lists!$B$2:$B$7,0)),OR($H353="",$N353&gt;0),OR($I353="",$I353="NR",$O353&gt;0),IF(ISNUMBER($J353),AND($J353&gt;=0,$J353=INT($J353)),FALSE())),$J353,0)</f>
        <v>0</v>
      </c>
      <c r="Q353" s="64" t="n">
        <f aca="false">IF(AND($P353&gt;0,$O353&gt;0),$P353,0)</f>
        <v>0</v>
      </c>
      <c r="R353" s="64" t="n">
        <f aca="false">IF(AND($Q353&gt;0,$O353&gt;=AtRank),$Q353,0)</f>
        <v>0</v>
      </c>
      <c r="S353" s="64" t="n">
        <f aca="false">IF(AND($Q353&gt;0,$O353&gt;=AboveRank),$Q353,0)</f>
        <v>0</v>
      </c>
      <c r="T353" s="64" t="n">
        <f aca="false">IF($K353="Less",$P353,0)</f>
        <v>0</v>
      </c>
      <c r="U353" s="64" t="n">
        <f aca="false">IF($K353="Expected",$P353,0)</f>
        <v>0</v>
      </c>
      <c r="V353" s="64" t="n">
        <f aca="false">IF($K353="Better",$P353,0)</f>
        <v>0</v>
      </c>
      <c r="W353" s="64" t="n">
        <f aca="false">IF($K353="U – needs rule",$P353,0)</f>
        <v>0</v>
      </c>
      <c r="X353" s="64" t="n">
        <f aca="false">IF($K353="No Start (attainment only)",$P353,0)</f>
        <v>0</v>
      </c>
    </row>
    <row r="354" customFormat="false" ht="15" hidden="false" customHeight="false" outlineLevel="0" collapsed="false">
      <c r="A354" s="60"/>
      <c r="B354" s="61" t="str">
        <f aca="false">IF($M354=0,"",INDEX(Classes!$E$6:$E$420,$M354))</f>
        <v/>
      </c>
      <c r="C354" s="62" t="str">
        <f aca="false">IF($M354=0,"",INDEX(Classes!$H$6:$H$420,$M354))</f>
        <v/>
      </c>
      <c r="D354" s="61" t="str">
        <f aca="false">IF($M354=0,"",INDEX(Classes!$B$6:$B$420,$M354))</f>
        <v/>
      </c>
      <c r="E354" s="61" t="str">
        <f aca="false">IF($M354=0,"",INDEX(Classes!$C$6:$C$420,$M354))</f>
        <v/>
      </c>
      <c r="F354" s="63"/>
      <c r="G354" s="63"/>
      <c r="H354" s="60"/>
      <c r="I354" s="60"/>
      <c r="J354" s="63"/>
      <c r="K354" s="61" t="str">
        <f aca="false">IF($P354=0,"",IF($F354="Baseline","— Baseline",IF($O354=0,"No result",IF($N354=0,"No Start (attainment only)",IF(OR($N354=1,$O354=1),"U – needs rule",INDEX(MxBody,MATCH($I354,MxCurr,0),MATCH($H354,MxStart,0)))))))</f>
        <v/>
      </c>
      <c r="L354" s="62" t="str">
        <f aca="false">IF(COUNTA($A354,$F354,$G354,$H354,$I354,$J354)=0,"",IF($M354=0,"✖ كود الصف غير موجود",IF(ISNA(MATCH($F354,Lists!$A$2:$A$5,0)),"✖ الفترة غير صحيحة",IF(ISNA(MATCH($G354,Lists!$B$2:$B$7,0)),"✖ المجموعة غير صحيحة",IF(NOT(OR($H354="",$N354&gt;0)),"✖ Start غير صحيح",IF(NOT(OR($I354="",$I354="NR",$O354&gt;0)),"✖ Current غير صحيح",IF(NOT(IF(ISNUMBER($J354),AND($J354&gt;=0,$J354=INT($J354)),FALSE())),"✖ العدد يجب أن يكون صحيحًا ≥ 0",IF(AND($F354="Baseline",$H354&lt;&gt;""),"⚠ Baseline: Start لا يدخل في التقدم",IF($K354="No Start (attainment only)","ℹ تحصيل فقط (بدون Start)",IF($K354="U – needs rule","ℹ حالة U تحتاج قاعدة معتمدة",IF($K354="No result","ℹ بدون نتيجة (يُستبعد من التحصيل)","OK")))))))))))</f>
        <v/>
      </c>
      <c r="M354" s="64" t="n">
        <f aca="false">IF($A354="",0,IFERROR(MATCH($A354,Classes!$A$6:$A$420,0),0))</f>
        <v>0</v>
      </c>
      <c r="N354" s="64" t="n">
        <f aca="false">IF($H354="",0,IFERROR(MATCH($H354,GradeList,0),0))</f>
        <v>0</v>
      </c>
      <c r="O354" s="64" t="n">
        <f aca="false">IF(OR($I354="",$I354="NR"),0,IFERROR(MATCH($I354,GradeList,0),0))</f>
        <v>0</v>
      </c>
      <c r="P354" s="64" t="n">
        <f aca="false">IF(AND($M354&gt;0,ISNUMBER(MATCH($F354,Lists!$A$2:$A$5,0)),ISNUMBER(MATCH($G354,Lists!$B$2:$B$7,0)),OR($H354="",$N354&gt;0),OR($I354="",$I354="NR",$O354&gt;0),IF(ISNUMBER($J354),AND($J354&gt;=0,$J354=INT($J354)),FALSE())),$J354,0)</f>
        <v>0</v>
      </c>
      <c r="Q354" s="64" t="n">
        <f aca="false">IF(AND($P354&gt;0,$O354&gt;0),$P354,0)</f>
        <v>0</v>
      </c>
      <c r="R354" s="64" t="n">
        <f aca="false">IF(AND($Q354&gt;0,$O354&gt;=AtRank),$Q354,0)</f>
        <v>0</v>
      </c>
      <c r="S354" s="64" t="n">
        <f aca="false">IF(AND($Q354&gt;0,$O354&gt;=AboveRank),$Q354,0)</f>
        <v>0</v>
      </c>
      <c r="T354" s="64" t="n">
        <f aca="false">IF($K354="Less",$P354,0)</f>
        <v>0</v>
      </c>
      <c r="U354" s="64" t="n">
        <f aca="false">IF($K354="Expected",$P354,0)</f>
        <v>0</v>
      </c>
      <c r="V354" s="64" t="n">
        <f aca="false">IF($K354="Better",$P354,0)</f>
        <v>0</v>
      </c>
      <c r="W354" s="64" t="n">
        <f aca="false">IF($K354="U – needs rule",$P354,0)</f>
        <v>0</v>
      </c>
      <c r="X354" s="64" t="n">
        <f aca="false">IF($K354="No Start (attainment only)",$P354,0)</f>
        <v>0</v>
      </c>
    </row>
    <row r="355" customFormat="false" ht="15" hidden="false" customHeight="false" outlineLevel="0" collapsed="false">
      <c r="A355" s="60"/>
      <c r="B355" s="61" t="str">
        <f aca="false">IF($M355=0,"",INDEX(Classes!$E$6:$E$420,$M355))</f>
        <v/>
      </c>
      <c r="C355" s="62" t="str">
        <f aca="false">IF($M355=0,"",INDEX(Classes!$H$6:$H$420,$M355))</f>
        <v/>
      </c>
      <c r="D355" s="61" t="str">
        <f aca="false">IF($M355=0,"",INDEX(Classes!$B$6:$B$420,$M355))</f>
        <v/>
      </c>
      <c r="E355" s="61" t="str">
        <f aca="false">IF($M355=0,"",INDEX(Classes!$C$6:$C$420,$M355))</f>
        <v/>
      </c>
      <c r="F355" s="63"/>
      <c r="G355" s="63"/>
      <c r="H355" s="60"/>
      <c r="I355" s="60"/>
      <c r="J355" s="63"/>
      <c r="K355" s="61" t="str">
        <f aca="false">IF($P355=0,"",IF($F355="Baseline","— Baseline",IF($O355=0,"No result",IF($N355=0,"No Start (attainment only)",IF(OR($N355=1,$O355=1),"U – needs rule",INDEX(MxBody,MATCH($I355,MxCurr,0),MATCH($H355,MxStart,0)))))))</f>
        <v/>
      </c>
      <c r="L355" s="62" t="str">
        <f aca="false">IF(COUNTA($A355,$F355,$G355,$H355,$I355,$J355)=0,"",IF($M355=0,"✖ كود الصف غير موجود",IF(ISNA(MATCH($F355,Lists!$A$2:$A$5,0)),"✖ الفترة غير صحيحة",IF(ISNA(MATCH($G355,Lists!$B$2:$B$7,0)),"✖ المجموعة غير صحيحة",IF(NOT(OR($H355="",$N355&gt;0)),"✖ Start غير صحيح",IF(NOT(OR($I355="",$I355="NR",$O355&gt;0)),"✖ Current غير صحيح",IF(NOT(IF(ISNUMBER($J355),AND($J355&gt;=0,$J355=INT($J355)),FALSE())),"✖ العدد يجب أن يكون صحيحًا ≥ 0",IF(AND($F355="Baseline",$H355&lt;&gt;""),"⚠ Baseline: Start لا يدخل في التقدم",IF($K355="No Start (attainment only)","ℹ تحصيل فقط (بدون Start)",IF($K355="U – needs rule","ℹ حالة U تحتاج قاعدة معتمدة",IF($K355="No result","ℹ بدون نتيجة (يُستبعد من التحصيل)","OK")))))))))))</f>
        <v/>
      </c>
      <c r="M355" s="64" t="n">
        <f aca="false">IF($A355="",0,IFERROR(MATCH($A355,Classes!$A$6:$A$420,0),0))</f>
        <v>0</v>
      </c>
      <c r="N355" s="64" t="n">
        <f aca="false">IF($H355="",0,IFERROR(MATCH($H355,GradeList,0),0))</f>
        <v>0</v>
      </c>
      <c r="O355" s="64" t="n">
        <f aca="false">IF(OR($I355="",$I355="NR"),0,IFERROR(MATCH($I355,GradeList,0),0))</f>
        <v>0</v>
      </c>
      <c r="P355" s="64" t="n">
        <f aca="false">IF(AND($M355&gt;0,ISNUMBER(MATCH($F355,Lists!$A$2:$A$5,0)),ISNUMBER(MATCH($G355,Lists!$B$2:$B$7,0)),OR($H355="",$N355&gt;0),OR($I355="",$I355="NR",$O355&gt;0),IF(ISNUMBER($J355),AND($J355&gt;=0,$J355=INT($J355)),FALSE())),$J355,0)</f>
        <v>0</v>
      </c>
      <c r="Q355" s="64" t="n">
        <f aca="false">IF(AND($P355&gt;0,$O355&gt;0),$P355,0)</f>
        <v>0</v>
      </c>
      <c r="R355" s="64" t="n">
        <f aca="false">IF(AND($Q355&gt;0,$O355&gt;=AtRank),$Q355,0)</f>
        <v>0</v>
      </c>
      <c r="S355" s="64" t="n">
        <f aca="false">IF(AND($Q355&gt;0,$O355&gt;=AboveRank),$Q355,0)</f>
        <v>0</v>
      </c>
      <c r="T355" s="64" t="n">
        <f aca="false">IF($K355="Less",$P355,0)</f>
        <v>0</v>
      </c>
      <c r="U355" s="64" t="n">
        <f aca="false">IF($K355="Expected",$P355,0)</f>
        <v>0</v>
      </c>
      <c r="V355" s="64" t="n">
        <f aca="false">IF($K355="Better",$P355,0)</f>
        <v>0</v>
      </c>
      <c r="W355" s="64" t="n">
        <f aca="false">IF($K355="U – needs rule",$P355,0)</f>
        <v>0</v>
      </c>
      <c r="X355" s="64" t="n">
        <f aca="false">IF($K355="No Start (attainment only)",$P355,0)</f>
        <v>0</v>
      </c>
    </row>
    <row r="356" customFormat="false" ht="15" hidden="false" customHeight="false" outlineLevel="0" collapsed="false">
      <c r="A356" s="60"/>
      <c r="B356" s="61" t="str">
        <f aca="false">IF($M356=0,"",INDEX(Classes!$E$6:$E$420,$M356))</f>
        <v/>
      </c>
      <c r="C356" s="62" t="str">
        <f aca="false">IF($M356=0,"",INDEX(Classes!$H$6:$H$420,$M356))</f>
        <v/>
      </c>
      <c r="D356" s="61" t="str">
        <f aca="false">IF($M356=0,"",INDEX(Classes!$B$6:$B$420,$M356))</f>
        <v/>
      </c>
      <c r="E356" s="61" t="str">
        <f aca="false">IF($M356=0,"",INDEX(Classes!$C$6:$C$420,$M356))</f>
        <v/>
      </c>
      <c r="F356" s="63"/>
      <c r="G356" s="63"/>
      <c r="H356" s="60"/>
      <c r="I356" s="60"/>
      <c r="J356" s="63"/>
      <c r="K356" s="61" t="str">
        <f aca="false">IF($P356=0,"",IF($F356="Baseline","— Baseline",IF($O356=0,"No result",IF($N356=0,"No Start (attainment only)",IF(OR($N356=1,$O356=1),"U – needs rule",INDEX(MxBody,MATCH($I356,MxCurr,0),MATCH($H356,MxStart,0)))))))</f>
        <v/>
      </c>
      <c r="L356" s="62" t="str">
        <f aca="false">IF(COUNTA($A356,$F356,$G356,$H356,$I356,$J356)=0,"",IF($M356=0,"✖ كود الصف غير موجود",IF(ISNA(MATCH($F356,Lists!$A$2:$A$5,0)),"✖ الفترة غير صحيحة",IF(ISNA(MATCH($G356,Lists!$B$2:$B$7,0)),"✖ المجموعة غير صحيحة",IF(NOT(OR($H356="",$N356&gt;0)),"✖ Start غير صحيح",IF(NOT(OR($I356="",$I356="NR",$O356&gt;0)),"✖ Current غير صحيح",IF(NOT(IF(ISNUMBER($J356),AND($J356&gt;=0,$J356=INT($J356)),FALSE())),"✖ العدد يجب أن يكون صحيحًا ≥ 0",IF(AND($F356="Baseline",$H356&lt;&gt;""),"⚠ Baseline: Start لا يدخل في التقدم",IF($K356="No Start (attainment only)","ℹ تحصيل فقط (بدون Start)",IF($K356="U – needs rule","ℹ حالة U تحتاج قاعدة معتمدة",IF($K356="No result","ℹ بدون نتيجة (يُستبعد من التحصيل)","OK")))))))))))</f>
        <v/>
      </c>
      <c r="M356" s="64" t="n">
        <f aca="false">IF($A356="",0,IFERROR(MATCH($A356,Classes!$A$6:$A$420,0),0))</f>
        <v>0</v>
      </c>
      <c r="N356" s="64" t="n">
        <f aca="false">IF($H356="",0,IFERROR(MATCH($H356,GradeList,0),0))</f>
        <v>0</v>
      </c>
      <c r="O356" s="64" t="n">
        <f aca="false">IF(OR($I356="",$I356="NR"),0,IFERROR(MATCH($I356,GradeList,0),0))</f>
        <v>0</v>
      </c>
      <c r="P356" s="64" t="n">
        <f aca="false">IF(AND($M356&gt;0,ISNUMBER(MATCH($F356,Lists!$A$2:$A$5,0)),ISNUMBER(MATCH($G356,Lists!$B$2:$B$7,0)),OR($H356="",$N356&gt;0),OR($I356="",$I356="NR",$O356&gt;0),IF(ISNUMBER($J356),AND($J356&gt;=0,$J356=INT($J356)),FALSE())),$J356,0)</f>
        <v>0</v>
      </c>
      <c r="Q356" s="64" t="n">
        <f aca="false">IF(AND($P356&gt;0,$O356&gt;0),$P356,0)</f>
        <v>0</v>
      </c>
      <c r="R356" s="64" t="n">
        <f aca="false">IF(AND($Q356&gt;0,$O356&gt;=AtRank),$Q356,0)</f>
        <v>0</v>
      </c>
      <c r="S356" s="64" t="n">
        <f aca="false">IF(AND($Q356&gt;0,$O356&gt;=AboveRank),$Q356,0)</f>
        <v>0</v>
      </c>
      <c r="T356" s="64" t="n">
        <f aca="false">IF($K356="Less",$P356,0)</f>
        <v>0</v>
      </c>
      <c r="U356" s="64" t="n">
        <f aca="false">IF($K356="Expected",$P356,0)</f>
        <v>0</v>
      </c>
      <c r="V356" s="64" t="n">
        <f aca="false">IF($K356="Better",$P356,0)</f>
        <v>0</v>
      </c>
      <c r="W356" s="64" t="n">
        <f aca="false">IF($K356="U – needs rule",$P356,0)</f>
        <v>0</v>
      </c>
      <c r="X356" s="64" t="n">
        <f aca="false">IF($K356="No Start (attainment only)",$P356,0)</f>
        <v>0</v>
      </c>
    </row>
    <row r="357" customFormat="false" ht="15" hidden="false" customHeight="false" outlineLevel="0" collapsed="false">
      <c r="A357" s="60"/>
      <c r="B357" s="61" t="str">
        <f aca="false">IF($M357=0,"",INDEX(Classes!$E$6:$E$420,$M357))</f>
        <v/>
      </c>
      <c r="C357" s="62" t="str">
        <f aca="false">IF($M357=0,"",INDEX(Classes!$H$6:$H$420,$M357))</f>
        <v/>
      </c>
      <c r="D357" s="61" t="str">
        <f aca="false">IF($M357=0,"",INDEX(Classes!$B$6:$B$420,$M357))</f>
        <v/>
      </c>
      <c r="E357" s="61" t="str">
        <f aca="false">IF($M357=0,"",INDEX(Classes!$C$6:$C$420,$M357))</f>
        <v/>
      </c>
      <c r="F357" s="63"/>
      <c r="G357" s="63"/>
      <c r="H357" s="60"/>
      <c r="I357" s="60"/>
      <c r="J357" s="63"/>
      <c r="K357" s="61" t="str">
        <f aca="false">IF($P357=0,"",IF($F357="Baseline","— Baseline",IF($O357=0,"No result",IF($N357=0,"No Start (attainment only)",IF(OR($N357=1,$O357=1),"U – needs rule",INDEX(MxBody,MATCH($I357,MxCurr,0),MATCH($H357,MxStart,0)))))))</f>
        <v/>
      </c>
      <c r="L357" s="62" t="str">
        <f aca="false">IF(COUNTA($A357,$F357,$G357,$H357,$I357,$J357)=0,"",IF($M357=0,"✖ كود الصف غير موجود",IF(ISNA(MATCH($F357,Lists!$A$2:$A$5,0)),"✖ الفترة غير صحيحة",IF(ISNA(MATCH($G357,Lists!$B$2:$B$7,0)),"✖ المجموعة غير صحيحة",IF(NOT(OR($H357="",$N357&gt;0)),"✖ Start غير صحيح",IF(NOT(OR($I357="",$I357="NR",$O357&gt;0)),"✖ Current غير صحيح",IF(NOT(IF(ISNUMBER($J357),AND($J357&gt;=0,$J357=INT($J357)),FALSE())),"✖ العدد يجب أن يكون صحيحًا ≥ 0",IF(AND($F357="Baseline",$H357&lt;&gt;""),"⚠ Baseline: Start لا يدخل في التقدم",IF($K357="No Start (attainment only)","ℹ تحصيل فقط (بدون Start)",IF($K357="U – needs rule","ℹ حالة U تحتاج قاعدة معتمدة",IF($K357="No result","ℹ بدون نتيجة (يُستبعد من التحصيل)","OK")))))))))))</f>
        <v/>
      </c>
      <c r="M357" s="64" t="n">
        <f aca="false">IF($A357="",0,IFERROR(MATCH($A357,Classes!$A$6:$A$420,0),0))</f>
        <v>0</v>
      </c>
      <c r="N357" s="64" t="n">
        <f aca="false">IF($H357="",0,IFERROR(MATCH($H357,GradeList,0),0))</f>
        <v>0</v>
      </c>
      <c r="O357" s="64" t="n">
        <f aca="false">IF(OR($I357="",$I357="NR"),0,IFERROR(MATCH($I357,GradeList,0),0))</f>
        <v>0</v>
      </c>
      <c r="P357" s="64" t="n">
        <f aca="false">IF(AND($M357&gt;0,ISNUMBER(MATCH($F357,Lists!$A$2:$A$5,0)),ISNUMBER(MATCH($G357,Lists!$B$2:$B$7,0)),OR($H357="",$N357&gt;0),OR($I357="",$I357="NR",$O357&gt;0),IF(ISNUMBER($J357),AND($J357&gt;=0,$J357=INT($J357)),FALSE())),$J357,0)</f>
        <v>0</v>
      </c>
      <c r="Q357" s="64" t="n">
        <f aca="false">IF(AND($P357&gt;0,$O357&gt;0),$P357,0)</f>
        <v>0</v>
      </c>
      <c r="R357" s="64" t="n">
        <f aca="false">IF(AND($Q357&gt;0,$O357&gt;=AtRank),$Q357,0)</f>
        <v>0</v>
      </c>
      <c r="S357" s="64" t="n">
        <f aca="false">IF(AND($Q357&gt;0,$O357&gt;=AboveRank),$Q357,0)</f>
        <v>0</v>
      </c>
      <c r="T357" s="64" t="n">
        <f aca="false">IF($K357="Less",$P357,0)</f>
        <v>0</v>
      </c>
      <c r="U357" s="64" t="n">
        <f aca="false">IF($K357="Expected",$P357,0)</f>
        <v>0</v>
      </c>
      <c r="V357" s="64" t="n">
        <f aca="false">IF($K357="Better",$P357,0)</f>
        <v>0</v>
      </c>
      <c r="W357" s="64" t="n">
        <f aca="false">IF($K357="U – needs rule",$P357,0)</f>
        <v>0</v>
      </c>
      <c r="X357" s="64" t="n">
        <f aca="false">IF($K357="No Start (attainment only)",$P357,0)</f>
        <v>0</v>
      </c>
    </row>
    <row r="358" customFormat="false" ht="15" hidden="false" customHeight="false" outlineLevel="0" collapsed="false">
      <c r="A358" s="60"/>
      <c r="B358" s="61" t="str">
        <f aca="false">IF($M358=0,"",INDEX(Classes!$E$6:$E$420,$M358))</f>
        <v/>
      </c>
      <c r="C358" s="62" t="str">
        <f aca="false">IF($M358=0,"",INDEX(Classes!$H$6:$H$420,$M358))</f>
        <v/>
      </c>
      <c r="D358" s="61" t="str">
        <f aca="false">IF($M358=0,"",INDEX(Classes!$B$6:$B$420,$M358))</f>
        <v/>
      </c>
      <c r="E358" s="61" t="str">
        <f aca="false">IF($M358=0,"",INDEX(Classes!$C$6:$C$420,$M358))</f>
        <v/>
      </c>
      <c r="F358" s="63"/>
      <c r="G358" s="63"/>
      <c r="H358" s="60"/>
      <c r="I358" s="60"/>
      <c r="J358" s="63"/>
      <c r="K358" s="61" t="str">
        <f aca="false">IF($P358=0,"",IF($F358="Baseline","— Baseline",IF($O358=0,"No result",IF($N358=0,"No Start (attainment only)",IF(OR($N358=1,$O358=1),"U – needs rule",INDEX(MxBody,MATCH($I358,MxCurr,0),MATCH($H358,MxStart,0)))))))</f>
        <v/>
      </c>
      <c r="L358" s="62" t="str">
        <f aca="false">IF(COUNTA($A358,$F358,$G358,$H358,$I358,$J358)=0,"",IF($M358=0,"✖ كود الصف غير موجود",IF(ISNA(MATCH($F358,Lists!$A$2:$A$5,0)),"✖ الفترة غير صحيحة",IF(ISNA(MATCH($G358,Lists!$B$2:$B$7,0)),"✖ المجموعة غير صحيحة",IF(NOT(OR($H358="",$N358&gt;0)),"✖ Start غير صحيح",IF(NOT(OR($I358="",$I358="NR",$O358&gt;0)),"✖ Current غير صحيح",IF(NOT(IF(ISNUMBER($J358),AND($J358&gt;=0,$J358=INT($J358)),FALSE())),"✖ العدد يجب أن يكون صحيحًا ≥ 0",IF(AND($F358="Baseline",$H358&lt;&gt;""),"⚠ Baseline: Start لا يدخل في التقدم",IF($K358="No Start (attainment only)","ℹ تحصيل فقط (بدون Start)",IF($K358="U – needs rule","ℹ حالة U تحتاج قاعدة معتمدة",IF($K358="No result","ℹ بدون نتيجة (يُستبعد من التحصيل)","OK")))))))))))</f>
        <v/>
      </c>
      <c r="M358" s="64" t="n">
        <f aca="false">IF($A358="",0,IFERROR(MATCH($A358,Classes!$A$6:$A$420,0),0))</f>
        <v>0</v>
      </c>
      <c r="N358" s="64" t="n">
        <f aca="false">IF($H358="",0,IFERROR(MATCH($H358,GradeList,0),0))</f>
        <v>0</v>
      </c>
      <c r="O358" s="64" t="n">
        <f aca="false">IF(OR($I358="",$I358="NR"),0,IFERROR(MATCH($I358,GradeList,0),0))</f>
        <v>0</v>
      </c>
      <c r="P358" s="64" t="n">
        <f aca="false">IF(AND($M358&gt;0,ISNUMBER(MATCH($F358,Lists!$A$2:$A$5,0)),ISNUMBER(MATCH($G358,Lists!$B$2:$B$7,0)),OR($H358="",$N358&gt;0),OR($I358="",$I358="NR",$O358&gt;0),IF(ISNUMBER($J358),AND($J358&gt;=0,$J358=INT($J358)),FALSE())),$J358,0)</f>
        <v>0</v>
      </c>
      <c r="Q358" s="64" t="n">
        <f aca="false">IF(AND($P358&gt;0,$O358&gt;0),$P358,0)</f>
        <v>0</v>
      </c>
      <c r="R358" s="64" t="n">
        <f aca="false">IF(AND($Q358&gt;0,$O358&gt;=AtRank),$Q358,0)</f>
        <v>0</v>
      </c>
      <c r="S358" s="64" t="n">
        <f aca="false">IF(AND($Q358&gt;0,$O358&gt;=AboveRank),$Q358,0)</f>
        <v>0</v>
      </c>
      <c r="T358" s="64" t="n">
        <f aca="false">IF($K358="Less",$P358,0)</f>
        <v>0</v>
      </c>
      <c r="U358" s="64" t="n">
        <f aca="false">IF($K358="Expected",$P358,0)</f>
        <v>0</v>
      </c>
      <c r="V358" s="64" t="n">
        <f aca="false">IF($K358="Better",$P358,0)</f>
        <v>0</v>
      </c>
      <c r="W358" s="64" t="n">
        <f aca="false">IF($K358="U – needs rule",$P358,0)</f>
        <v>0</v>
      </c>
      <c r="X358" s="64" t="n">
        <f aca="false">IF($K358="No Start (attainment only)",$P358,0)</f>
        <v>0</v>
      </c>
    </row>
    <row r="359" customFormat="false" ht="15" hidden="false" customHeight="false" outlineLevel="0" collapsed="false">
      <c r="A359" s="60"/>
      <c r="B359" s="61" t="str">
        <f aca="false">IF($M359=0,"",INDEX(Classes!$E$6:$E$420,$M359))</f>
        <v/>
      </c>
      <c r="C359" s="62" t="str">
        <f aca="false">IF($M359=0,"",INDEX(Classes!$H$6:$H$420,$M359))</f>
        <v/>
      </c>
      <c r="D359" s="61" t="str">
        <f aca="false">IF($M359=0,"",INDEX(Classes!$B$6:$B$420,$M359))</f>
        <v/>
      </c>
      <c r="E359" s="61" t="str">
        <f aca="false">IF($M359=0,"",INDEX(Classes!$C$6:$C$420,$M359))</f>
        <v/>
      </c>
      <c r="F359" s="63"/>
      <c r="G359" s="63"/>
      <c r="H359" s="60"/>
      <c r="I359" s="60"/>
      <c r="J359" s="63"/>
      <c r="K359" s="61" t="str">
        <f aca="false">IF($P359=0,"",IF($F359="Baseline","— Baseline",IF($O359=0,"No result",IF($N359=0,"No Start (attainment only)",IF(OR($N359=1,$O359=1),"U – needs rule",INDEX(MxBody,MATCH($I359,MxCurr,0),MATCH($H359,MxStart,0)))))))</f>
        <v/>
      </c>
      <c r="L359" s="62" t="str">
        <f aca="false">IF(COUNTA($A359,$F359,$G359,$H359,$I359,$J359)=0,"",IF($M359=0,"✖ كود الصف غير موجود",IF(ISNA(MATCH($F359,Lists!$A$2:$A$5,0)),"✖ الفترة غير صحيحة",IF(ISNA(MATCH($G359,Lists!$B$2:$B$7,0)),"✖ المجموعة غير صحيحة",IF(NOT(OR($H359="",$N359&gt;0)),"✖ Start غير صحيح",IF(NOT(OR($I359="",$I359="NR",$O359&gt;0)),"✖ Current غير صحيح",IF(NOT(IF(ISNUMBER($J359),AND($J359&gt;=0,$J359=INT($J359)),FALSE())),"✖ العدد يجب أن يكون صحيحًا ≥ 0",IF(AND($F359="Baseline",$H359&lt;&gt;""),"⚠ Baseline: Start لا يدخل في التقدم",IF($K359="No Start (attainment only)","ℹ تحصيل فقط (بدون Start)",IF($K359="U – needs rule","ℹ حالة U تحتاج قاعدة معتمدة",IF($K359="No result","ℹ بدون نتيجة (يُستبعد من التحصيل)","OK")))))))))))</f>
        <v/>
      </c>
      <c r="M359" s="64" t="n">
        <f aca="false">IF($A359="",0,IFERROR(MATCH($A359,Classes!$A$6:$A$420,0),0))</f>
        <v>0</v>
      </c>
      <c r="N359" s="64" t="n">
        <f aca="false">IF($H359="",0,IFERROR(MATCH($H359,GradeList,0),0))</f>
        <v>0</v>
      </c>
      <c r="O359" s="64" t="n">
        <f aca="false">IF(OR($I359="",$I359="NR"),0,IFERROR(MATCH($I359,GradeList,0),0))</f>
        <v>0</v>
      </c>
      <c r="P359" s="64" t="n">
        <f aca="false">IF(AND($M359&gt;0,ISNUMBER(MATCH($F359,Lists!$A$2:$A$5,0)),ISNUMBER(MATCH($G359,Lists!$B$2:$B$7,0)),OR($H359="",$N359&gt;0),OR($I359="",$I359="NR",$O359&gt;0),IF(ISNUMBER($J359),AND($J359&gt;=0,$J359=INT($J359)),FALSE())),$J359,0)</f>
        <v>0</v>
      </c>
      <c r="Q359" s="64" t="n">
        <f aca="false">IF(AND($P359&gt;0,$O359&gt;0),$P359,0)</f>
        <v>0</v>
      </c>
      <c r="R359" s="64" t="n">
        <f aca="false">IF(AND($Q359&gt;0,$O359&gt;=AtRank),$Q359,0)</f>
        <v>0</v>
      </c>
      <c r="S359" s="64" t="n">
        <f aca="false">IF(AND($Q359&gt;0,$O359&gt;=AboveRank),$Q359,0)</f>
        <v>0</v>
      </c>
      <c r="T359" s="64" t="n">
        <f aca="false">IF($K359="Less",$P359,0)</f>
        <v>0</v>
      </c>
      <c r="U359" s="64" t="n">
        <f aca="false">IF($K359="Expected",$P359,0)</f>
        <v>0</v>
      </c>
      <c r="V359" s="64" t="n">
        <f aca="false">IF($K359="Better",$P359,0)</f>
        <v>0</v>
      </c>
      <c r="W359" s="64" t="n">
        <f aca="false">IF($K359="U – needs rule",$P359,0)</f>
        <v>0</v>
      </c>
      <c r="X359" s="64" t="n">
        <f aca="false">IF($K359="No Start (attainment only)",$P359,0)</f>
        <v>0</v>
      </c>
    </row>
    <row r="360" customFormat="false" ht="15" hidden="false" customHeight="false" outlineLevel="0" collapsed="false">
      <c r="A360" s="60"/>
      <c r="B360" s="61" t="str">
        <f aca="false">IF($M360=0,"",INDEX(Classes!$E$6:$E$420,$M360))</f>
        <v/>
      </c>
      <c r="C360" s="62" t="str">
        <f aca="false">IF($M360=0,"",INDEX(Classes!$H$6:$H$420,$M360))</f>
        <v/>
      </c>
      <c r="D360" s="61" t="str">
        <f aca="false">IF($M360=0,"",INDEX(Classes!$B$6:$B$420,$M360))</f>
        <v/>
      </c>
      <c r="E360" s="61" t="str">
        <f aca="false">IF($M360=0,"",INDEX(Classes!$C$6:$C$420,$M360))</f>
        <v/>
      </c>
      <c r="F360" s="63"/>
      <c r="G360" s="63"/>
      <c r="H360" s="60"/>
      <c r="I360" s="60"/>
      <c r="J360" s="63"/>
      <c r="K360" s="61" t="str">
        <f aca="false">IF($P360=0,"",IF($F360="Baseline","— Baseline",IF($O360=0,"No result",IF($N360=0,"No Start (attainment only)",IF(OR($N360=1,$O360=1),"U – needs rule",INDEX(MxBody,MATCH($I360,MxCurr,0),MATCH($H360,MxStart,0)))))))</f>
        <v/>
      </c>
      <c r="L360" s="62" t="str">
        <f aca="false">IF(COUNTA($A360,$F360,$G360,$H360,$I360,$J360)=0,"",IF($M360=0,"✖ كود الصف غير موجود",IF(ISNA(MATCH($F360,Lists!$A$2:$A$5,0)),"✖ الفترة غير صحيحة",IF(ISNA(MATCH($G360,Lists!$B$2:$B$7,0)),"✖ المجموعة غير صحيحة",IF(NOT(OR($H360="",$N360&gt;0)),"✖ Start غير صحيح",IF(NOT(OR($I360="",$I360="NR",$O360&gt;0)),"✖ Current غير صحيح",IF(NOT(IF(ISNUMBER($J360),AND($J360&gt;=0,$J360=INT($J360)),FALSE())),"✖ العدد يجب أن يكون صحيحًا ≥ 0",IF(AND($F360="Baseline",$H360&lt;&gt;""),"⚠ Baseline: Start لا يدخل في التقدم",IF($K360="No Start (attainment only)","ℹ تحصيل فقط (بدون Start)",IF($K360="U – needs rule","ℹ حالة U تحتاج قاعدة معتمدة",IF($K360="No result","ℹ بدون نتيجة (يُستبعد من التحصيل)","OK")))))))))))</f>
        <v/>
      </c>
      <c r="M360" s="64" t="n">
        <f aca="false">IF($A360="",0,IFERROR(MATCH($A360,Classes!$A$6:$A$420,0),0))</f>
        <v>0</v>
      </c>
      <c r="N360" s="64" t="n">
        <f aca="false">IF($H360="",0,IFERROR(MATCH($H360,GradeList,0),0))</f>
        <v>0</v>
      </c>
      <c r="O360" s="64" t="n">
        <f aca="false">IF(OR($I360="",$I360="NR"),0,IFERROR(MATCH($I360,GradeList,0),0))</f>
        <v>0</v>
      </c>
      <c r="P360" s="64" t="n">
        <f aca="false">IF(AND($M360&gt;0,ISNUMBER(MATCH($F360,Lists!$A$2:$A$5,0)),ISNUMBER(MATCH($G360,Lists!$B$2:$B$7,0)),OR($H360="",$N360&gt;0),OR($I360="",$I360="NR",$O360&gt;0),IF(ISNUMBER($J360),AND($J360&gt;=0,$J360=INT($J360)),FALSE())),$J360,0)</f>
        <v>0</v>
      </c>
      <c r="Q360" s="64" t="n">
        <f aca="false">IF(AND($P360&gt;0,$O360&gt;0),$P360,0)</f>
        <v>0</v>
      </c>
      <c r="R360" s="64" t="n">
        <f aca="false">IF(AND($Q360&gt;0,$O360&gt;=AtRank),$Q360,0)</f>
        <v>0</v>
      </c>
      <c r="S360" s="64" t="n">
        <f aca="false">IF(AND($Q360&gt;0,$O360&gt;=AboveRank),$Q360,0)</f>
        <v>0</v>
      </c>
      <c r="T360" s="64" t="n">
        <f aca="false">IF($K360="Less",$P360,0)</f>
        <v>0</v>
      </c>
      <c r="U360" s="64" t="n">
        <f aca="false">IF($K360="Expected",$P360,0)</f>
        <v>0</v>
      </c>
      <c r="V360" s="64" t="n">
        <f aca="false">IF($K360="Better",$P360,0)</f>
        <v>0</v>
      </c>
      <c r="W360" s="64" t="n">
        <f aca="false">IF($K360="U – needs rule",$P360,0)</f>
        <v>0</v>
      </c>
      <c r="X360" s="64" t="n">
        <f aca="false">IF($K360="No Start (attainment only)",$P360,0)</f>
        <v>0</v>
      </c>
    </row>
    <row r="361" customFormat="false" ht="15" hidden="false" customHeight="false" outlineLevel="0" collapsed="false">
      <c r="A361" s="60"/>
      <c r="B361" s="61" t="str">
        <f aca="false">IF($M361=0,"",INDEX(Classes!$E$6:$E$420,$M361))</f>
        <v/>
      </c>
      <c r="C361" s="62" t="str">
        <f aca="false">IF($M361=0,"",INDEX(Classes!$H$6:$H$420,$M361))</f>
        <v/>
      </c>
      <c r="D361" s="61" t="str">
        <f aca="false">IF($M361=0,"",INDEX(Classes!$B$6:$B$420,$M361))</f>
        <v/>
      </c>
      <c r="E361" s="61" t="str">
        <f aca="false">IF($M361=0,"",INDEX(Classes!$C$6:$C$420,$M361))</f>
        <v/>
      </c>
      <c r="F361" s="63"/>
      <c r="G361" s="63"/>
      <c r="H361" s="60"/>
      <c r="I361" s="60"/>
      <c r="J361" s="63"/>
      <c r="K361" s="61" t="str">
        <f aca="false">IF($P361=0,"",IF($F361="Baseline","— Baseline",IF($O361=0,"No result",IF($N361=0,"No Start (attainment only)",IF(OR($N361=1,$O361=1),"U – needs rule",INDEX(MxBody,MATCH($I361,MxCurr,0),MATCH($H361,MxStart,0)))))))</f>
        <v/>
      </c>
      <c r="L361" s="62" t="str">
        <f aca="false">IF(COUNTA($A361,$F361,$G361,$H361,$I361,$J361)=0,"",IF($M361=0,"✖ كود الصف غير موجود",IF(ISNA(MATCH($F361,Lists!$A$2:$A$5,0)),"✖ الفترة غير صحيحة",IF(ISNA(MATCH($G361,Lists!$B$2:$B$7,0)),"✖ المجموعة غير صحيحة",IF(NOT(OR($H361="",$N361&gt;0)),"✖ Start غير صحيح",IF(NOT(OR($I361="",$I361="NR",$O361&gt;0)),"✖ Current غير صحيح",IF(NOT(IF(ISNUMBER($J361),AND($J361&gt;=0,$J361=INT($J361)),FALSE())),"✖ العدد يجب أن يكون صحيحًا ≥ 0",IF(AND($F361="Baseline",$H361&lt;&gt;""),"⚠ Baseline: Start لا يدخل في التقدم",IF($K361="No Start (attainment only)","ℹ تحصيل فقط (بدون Start)",IF($K361="U – needs rule","ℹ حالة U تحتاج قاعدة معتمدة",IF($K361="No result","ℹ بدون نتيجة (يُستبعد من التحصيل)","OK")))))))))))</f>
        <v/>
      </c>
      <c r="M361" s="64" t="n">
        <f aca="false">IF($A361="",0,IFERROR(MATCH($A361,Classes!$A$6:$A$420,0),0))</f>
        <v>0</v>
      </c>
      <c r="N361" s="64" t="n">
        <f aca="false">IF($H361="",0,IFERROR(MATCH($H361,GradeList,0),0))</f>
        <v>0</v>
      </c>
      <c r="O361" s="64" t="n">
        <f aca="false">IF(OR($I361="",$I361="NR"),0,IFERROR(MATCH($I361,GradeList,0),0))</f>
        <v>0</v>
      </c>
      <c r="P361" s="64" t="n">
        <f aca="false">IF(AND($M361&gt;0,ISNUMBER(MATCH($F361,Lists!$A$2:$A$5,0)),ISNUMBER(MATCH($G361,Lists!$B$2:$B$7,0)),OR($H361="",$N361&gt;0),OR($I361="",$I361="NR",$O361&gt;0),IF(ISNUMBER($J361),AND($J361&gt;=0,$J361=INT($J361)),FALSE())),$J361,0)</f>
        <v>0</v>
      </c>
      <c r="Q361" s="64" t="n">
        <f aca="false">IF(AND($P361&gt;0,$O361&gt;0),$P361,0)</f>
        <v>0</v>
      </c>
      <c r="R361" s="64" t="n">
        <f aca="false">IF(AND($Q361&gt;0,$O361&gt;=AtRank),$Q361,0)</f>
        <v>0</v>
      </c>
      <c r="S361" s="64" t="n">
        <f aca="false">IF(AND($Q361&gt;0,$O361&gt;=AboveRank),$Q361,0)</f>
        <v>0</v>
      </c>
      <c r="T361" s="64" t="n">
        <f aca="false">IF($K361="Less",$P361,0)</f>
        <v>0</v>
      </c>
      <c r="U361" s="64" t="n">
        <f aca="false">IF($K361="Expected",$P361,0)</f>
        <v>0</v>
      </c>
      <c r="V361" s="64" t="n">
        <f aca="false">IF($K361="Better",$P361,0)</f>
        <v>0</v>
      </c>
      <c r="W361" s="64" t="n">
        <f aca="false">IF($K361="U – needs rule",$P361,0)</f>
        <v>0</v>
      </c>
      <c r="X361" s="64" t="n">
        <f aca="false">IF($K361="No Start (attainment only)",$P361,0)</f>
        <v>0</v>
      </c>
    </row>
    <row r="362" customFormat="false" ht="15" hidden="false" customHeight="false" outlineLevel="0" collapsed="false">
      <c r="A362" s="60"/>
      <c r="B362" s="61" t="str">
        <f aca="false">IF($M362=0,"",INDEX(Classes!$E$6:$E$420,$M362))</f>
        <v/>
      </c>
      <c r="C362" s="62" t="str">
        <f aca="false">IF($M362=0,"",INDEX(Classes!$H$6:$H$420,$M362))</f>
        <v/>
      </c>
      <c r="D362" s="61" t="str">
        <f aca="false">IF($M362=0,"",INDEX(Classes!$B$6:$B$420,$M362))</f>
        <v/>
      </c>
      <c r="E362" s="61" t="str">
        <f aca="false">IF($M362=0,"",INDEX(Classes!$C$6:$C$420,$M362))</f>
        <v/>
      </c>
      <c r="F362" s="63"/>
      <c r="G362" s="63"/>
      <c r="H362" s="60"/>
      <c r="I362" s="60"/>
      <c r="J362" s="63"/>
      <c r="K362" s="61" t="str">
        <f aca="false">IF($P362=0,"",IF($F362="Baseline","— Baseline",IF($O362=0,"No result",IF($N362=0,"No Start (attainment only)",IF(OR($N362=1,$O362=1),"U – needs rule",INDEX(MxBody,MATCH($I362,MxCurr,0),MATCH($H362,MxStart,0)))))))</f>
        <v/>
      </c>
      <c r="L362" s="62" t="str">
        <f aca="false">IF(COUNTA($A362,$F362,$G362,$H362,$I362,$J362)=0,"",IF($M362=0,"✖ كود الصف غير موجود",IF(ISNA(MATCH($F362,Lists!$A$2:$A$5,0)),"✖ الفترة غير صحيحة",IF(ISNA(MATCH($G362,Lists!$B$2:$B$7,0)),"✖ المجموعة غير صحيحة",IF(NOT(OR($H362="",$N362&gt;0)),"✖ Start غير صحيح",IF(NOT(OR($I362="",$I362="NR",$O362&gt;0)),"✖ Current غير صحيح",IF(NOT(IF(ISNUMBER($J362),AND($J362&gt;=0,$J362=INT($J362)),FALSE())),"✖ العدد يجب أن يكون صحيحًا ≥ 0",IF(AND($F362="Baseline",$H362&lt;&gt;""),"⚠ Baseline: Start لا يدخل في التقدم",IF($K362="No Start (attainment only)","ℹ تحصيل فقط (بدون Start)",IF($K362="U – needs rule","ℹ حالة U تحتاج قاعدة معتمدة",IF($K362="No result","ℹ بدون نتيجة (يُستبعد من التحصيل)","OK")))))))))))</f>
        <v/>
      </c>
      <c r="M362" s="64" t="n">
        <f aca="false">IF($A362="",0,IFERROR(MATCH($A362,Classes!$A$6:$A$420,0),0))</f>
        <v>0</v>
      </c>
      <c r="N362" s="64" t="n">
        <f aca="false">IF($H362="",0,IFERROR(MATCH($H362,GradeList,0),0))</f>
        <v>0</v>
      </c>
      <c r="O362" s="64" t="n">
        <f aca="false">IF(OR($I362="",$I362="NR"),0,IFERROR(MATCH($I362,GradeList,0),0))</f>
        <v>0</v>
      </c>
      <c r="P362" s="64" t="n">
        <f aca="false">IF(AND($M362&gt;0,ISNUMBER(MATCH($F362,Lists!$A$2:$A$5,0)),ISNUMBER(MATCH($G362,Lists!$B$2:$B$7,0)),OR($H362="",$N362&gt;0),OR($I362="",$I362="NR",$O362&gt;0),IF(ISNUMBER($J362),AND($J362&gt;=0,$J362=INT($J362)),FALSE())),$J362,0)</f>
        <v>0</v>
      </c>
      <c r="Q362" s="64" t="n">
        <f aca="false">IF(AND($P362&gt;0,$O362&gt;0),$P362,0)</f>
        <v>0</v>
      </c>
      <c r="R362" s="64" t="n">
        <f aca="false">IF(AND($Q362&gt;0,$O362&gt;=AtRank),$Q362,0)</f>
        <v>0</v>
      </c>
      <c r="S362" s="64" t="n">
        <f aca="false">IF(AND($Q362&gt;0,$O362&gt;=AboveRank),$Q362,0)</f>
        <v>0</v>
      </c>
      <c r="T362" s="64" t="n">
        <f aca="false">IF($K362="Less",$P362,0)</f>
        <v>0</v>
      </c>
      <c r="U362" s="64" t="n">
        <f aca="false">IF($K362="Expected",$P362,0)</f>
        <v>0</v>
      </c>
      <c r="V362" s="64" t="n">
        <f aca="false">IF($K362="Better",$P362,0)</f>
        <v>0</v>
      </c>
      <c r="W362" s="64" t="n">
        <f aca="false">IF($K362="U – needs rule",$P362,0)</f>
        <v>0</v>
      </c>
      <c r="X362" s="64" t="n">
        <f aca="false">IF($K362="No Start (attainment only)",$P362,0)</f>
        <v>0</v>
      </c>
    </row>
    <row r="363" customFormat="false" ht="15" hidden="false" customHeight="false" outlineLevel="0" collapsed="false">
      <c r="A363" s="60"/>
      <c r="B363" s="61" t="str">
        <f aca="false">IF($M363=0,"",INDEX(Classes!$E$6:$E$420,$M363))</f>
        <v/>
      </c>
      <c r="C363" s="62" t="str">
        <f aca="false">IF($M363=0,"",INDEX(Classes!$H$6:$H$420,$M363))</f>
        <v/>
      </c>
      <c r="D363" s="61" t="str">
        <f aca="false">IF($M363=0,"",INDEX(Classes!$B$6:$B$420,$M363))</f>
        <v/>
      </c>
      <c r="E363" s="61" t="str">
        <f aca="false">IF($M363=0,"",INDEX(Classes!$C$6:$C$420,$M363))</f>
        <v/>
      </c>
      <c r="F363" s="63"/>
      <c r="G363" s="63"/>
      <c r="H363" s="60"/>
      <c r="I363" s="60"/>
      <c r="J363" s="63"/>
      <c r="K363" s="61" t="str">
        <f aca="false">IF($P363=0,"",IF($F363="Baseline","— Baseline",IF($O363=0,"No result",IF($N363=0,"No Start (attainment only)",IF(OR($N363=1,$O363=1),"U – needs rule",INDEX(MxBody,MATCH($I363,MxCurr,0),MATCH($H363,MxStart,0)))))))</f>
        <v/>
      </c>
      <c r="L363" s="62" t="str">
        <f aca="false">IF(COUNTA($A363,$F363,$G363,$H363,$I363,$J363)=0,"",IF($M363=0,"✖ كود الصف غير موجود",IF(ISNA(MATCH($F363,Lists!$A$2:$A$5,0)),"✖ الفترة غير صحيحة",IF(ISNA(MATCH($G363,Lists!$B$2:$B$7,0)),"✖ المجموعة غير صحيحة",IF(NOT(OR($H363="",$N363&gt;0)),"✖ Start غير صحيح",IF(NOT(OR($I363="",$I363="NR",$O363&gt;0)),"✖ Current غير صحيح",IF(NOT(IF(ISNUMBER($J363),AND($J363&gt;=0,$J363=INT($J363)),FALSE())),"✖ العدد يجب أن يكون صحيحًا ≥ 0",IF(AND($F363="Baseline",$H363&lt;&gt;""),"⚠ Baseline: Start لا يدخل في التقدم",IF($K363="No Start (attainment only)","ℹ تحصيل فقط (بدون Start)",IF($K363="U – needs rule","ℹ حالة U تحتاج قاعدة معتمدة",IF($K363="No result","ℹ بدون نتيجة (يُستبعد من التحصيل)","OK")))))))))))</f>
        <v/>
      </c>
      <c r="M363" s="64" t="n">
        <f aca="false">IF($A363="",0,IFERROR(MATCH($A363,Classes!$A$6:$A$420,0),0))</f>
        <v>0</v>
      </c>
      <c r="N363" s="64" t="n">
        <f aca="false">IF($H363="",0,IFERROR(MATCH($H363,GradeList,0),0))</f>
        <v>0</v>
      </c>
      <c r="O363" s="64" t="n">
        <f aca="false">IF(OR($I363="",$I363="NR"),0,IFERROR(MATCH($I363,GradeList,0),0))</f>
        <v>0</v>
      </c>
      <c r="P363" s="64" t="n">
        <f aca="false">IF(AND($M363&gt;0,ISNUMBER(MATCH($F363,Lists!$A$2:$A$5,0)),ISNUMBER(MATCH($G363,Lists!$B$2:$B$7,0)),OR($H363="",$N363&gt;0),OR($I363="",$I363="NR",$O363&gt;0),IF(ISNUMBER($J363),AND($J363&gt;=0,$J363=INT($J363)),FALSE())),$J363,0)</f>
        <v>0</v>
      </c>
      <c r="Q363" s="64" t="n">
        <f aca="false">IF(AND($P363&gt;0,$O363&gt;0),$P363,0)</f>
        <v>0</v>
      </c>
      <c r="R363" s="64" t="n">
        <f aca="false">IF(AND($Q363&gt;0,$O363&gt;=AtRank),$Q363,0)</f>
        <v>0</v>
      </c>
      <c r="S363" s="64" t="n">
        <f aca="false">IF(AND($Q363&gt;0,$O363&gt;=AboveRank),$Q363,0)</f>
        <v>0</v>
      </c>
      <c r="T363" s="64" t="n">
        <f aca="false">IF($K363="Less",$P363,0)</f>
        <v>0</v>
      </c>
      <c r="U363" s="64" t="n">
        <f aca="false">IF($K363="Expected",$P363,0)</f>
        <v>0</v>
      </c>
      <c r="V363" s="64" t="n">
        <f aca="false">IF($K363="Better",$P363,0)</f>
        <v>0</v>
      </c>
      <c r="W363" s="64" t="n">
        <f aca="false">IF($K363="U – needs rule",$P363,0)</f>
        <v>0</v>
      </c>
      <c r="X363" s="64" t="n">
        <f aca="false">IF($K363="No Start (attainment only)",$P363,0)</f>
        <v>0</v>
      </c>
    </row>
    <row r="364" customFormat="false" ht="15" hidden="false" customHeight="false" outlineLevel="0" collapsed="false">
      <c r="A364" s="60"/>
      <c r="B364" s="61" t="str">
        <f aca="false">IF($M364=0,"",INDEX(Classes!$E$6:$E$420,$M364))</f>
        <v/>
      </c>
      <c r="C364" s="62" t="str">
        <f aca="false">IF($M364=0,"",INDEX(Classes!$H$6:$H$420,$M364))</f>
        <v/>
      </c>
      <c r="D364" s="61" t="str">
        <f aca="false">IF($M364=0,"",INDEX(Classes!$B$6:$B$420,$M364))</f>
        <v/>
      </c>
      <c r="E364" s="61" t="str">
        <f aca="false">IF($M364=0,"",INDEX(Classes!$C$6:$C$420,$M364))</f>
        <v/>
      </c>
      <c r="F364" s="63"/>
      <c r="G364" s="63"/>
      <c r="H364" s="60"/>
      <c r="I364" s="60"/>
      <c r="J364" s="63"/>
      <c r="K364" s="61" t="str">
        <f aca="false">IF($P364=0,"",IF($F364="Baseline","— Baseline",IF($O364=0,"No result",IF($N364=0,"No Start (attainment only)",IF(OR($N364=1,$O364=1),"U – needs rule",INDEX(MxBody,MATCH($I364,MxCurr,0),MATCH($H364,MxStart,0)))))))</f>
        <v/>
      </c>
      <c r="L364" s="62" t="str">
        <f aca="false">IF(COUNTA($A364,$F364,$G364,$H364,$I364,$J364)=0,"",IF($M364=0,"✖ كود الصف غير موجود",IF(ISNA(MATCH($F364,Lists!$A$2:$A$5,0)),"✖ الفترة غير صحيحة",IF(ISNA(MATCH($G364,Lists!$B$2:$B$7,0)),"✖ المجموعة غير صحيحة",IF(NOT(OR($H364="",$N364&gt;0)),"✖ Start غير صحيح",IF(NOT(OR($I364="",$I364="NR",$O364&gt;0)),"✖ Current غير صحيح",IF(NOT(IF(ISNUMBER($J364),AND($J364&gt;=0,$J364=INT($J364)),FALSE())),"✖ العدد يجب أن يكون صحيحًا ≥ 0",IF(AND($F364="Baseline",$H364&lt;&gt;""),"⚠ Baseline: Start لا يدخل في التقدم",IF($K364="No Start (attainment only)","ℹ تحصيل فقط (بدون Start)",IF($K364="U – needs rule","ℹ حالة U تحتاج قاعدة معتمدة",IF($K364="No result","ℹ بدون نتيجة (يُستبعد من التحصيل)","OK")))))))))))</f>
        <v/>
      </c>
      <c r="M364" s="64" t="n">
        <f aca="false">IF($A364="",0,IFERROR(MATCH($A364,Classes!$A$6:$A$420,0),0))</f>
        <v>0</v>
      </c>
      <c r="N364" s="64" t="n">
        <f aca="false">IF($H364="",0,IFERROR(MATCH($H364,GradeList,0),0))</f>
        <v>0</v>
      </c>
      <c r="O364" s="64" t="n">
        <f aca="false">IF(OR($I364="",$I364="NR"),0,IFERROR(MATCH($I364,GradeList,0),0))</f>
        <v>0</v>
      </c>
      <c r="P364" s="64" t="n">
        <f aca="false">IF(AND($M364&gt;0,ISNUMBER(MATCH($F364,Lists!$A$2:$A$5,0)),ISNUMBER(MATCH($G364,Lists!$B$2:$B$7,0)),OR($H364="",$N364&gt;0),OR($I364="",$I364="NR",$O364&gt;0),IF(ISNUMBER($J364),AND($J364&gt;=0,$J364=INT($J364)),FALSE())),$J364,0)</f>
        <v>0</v>
      </c>
      <c r="Q364" s="64" t="n">
        <f aca="false">IF(AND($P364&gt;0,$O364&gt;0),$P364,0)</f>
        <v>0</v>
      </c>
      <c r="R364" s="64" t="n">
        <f aca="false">IF(AND($Q364&gt;0,$O364&gt;=AtRank),$Q364,0)</f>
        <v>0</v>
      </c>
      <c r="S364" s="64" t="n">
        <f aca="false">IF(AND($Q364&gt;0,$O364&gt;=AboveRank),$Q364,0)</f>
        <v>0</v>
      </c>
      <c r="T364" s="64" t="n">
        <f aca="false">IF($K364="Less",$P364,0)</f>
        <v>0</v>
      </c>
      <c r="U364" s="64" t="n">
        <f aca="false">IF($K364="Expected",$P364,0)</f>
        <v>0</v>
      </c>
      <c r="V364" s="64" t="n">
        <f aca="false">IF($K364="Better",$P364,0)</f>
        <v>0</v>
      </c>
      <c r="W364" s="64" t="n">
        <f aca="false">IF($K364="U – needs rule",$P364,0)</f>
        <v>0</v>
      </c>
      <c r="X364" s="64" t="n">
        <f aca="false">IF($K364="No Start (attainment only)",$P364,0)</f>
        <v>0</v>
      </c>
    </row>
    <row r="365" customFormat="false" ht="15" hidden="false" customHeight="false" outlineLevel="0" collapsed="false">
      <c r="A365" s="60"/>
      <c r="B365" s="61" t="str">
        <f aca="false">IF($M365=0,"",INDEX(Classes!$E$6:$E$420,$M365))</f>
        <v/>
      </c>
      <c r="C365" s="62" t="str">
        <f aca="false">IF($M365=0,"",INDEX(Classes!$H$6:$H$420,$M365))</f>
        <v/>
      </c>
      <c r="D365" s="61" t="str">
        <f aca="false">IF($M365=0,"",INDEX(Classes!$B$6:$B$420,$M365))</f>
        <v/>
      </c>
      <c r="E365" s="61" t="str">
        <f aca="false">IF($M365=0,"",INDEX(Classes!$C$6:$C$420,$M365))</f>
        <v/>
      </c>
      <c r="F365" s="63"/>
      <c r="G365" s="63"/>
      <c r="H365" s="60"/>
      <c r="I365" s="60"/>
      <c r="J365" s="63"/>
      <c r="K365" s="61" t="str">
        <f aca="false">IF($P365=0,"",IF($F365="Baseline","— Baseline",IF($O365=0,"No result",IF($N365=0,"No Start (attainment only)",IF(OR($N365=1,$O365=1),"U – needs rule",INDEX(MxBody,MATCH($I365,MxCurr,0),MATCH($H365,MxStart,0)))))))</f>
        <v/>
      </c>
      <c r="L365" s="62" t="str">
        <f aca="false">IF(COUNTA($A365,$F365,$G365,$H365,$I365,$J365)=0,"",IF($M365=0,"✖ كود الصف غير موجود",IF(ISNA(MATCH($F365,Lists!$A$2:$A$5,0)),"✖ الفترة غير صحيحة",IF(ISNA(MATCH($G365,Lists!$B$2:$B$7,0)),"✖ المجموعة غير صحيحة",IF(NOT(OR($H365="",$N365&gt;0)),"✖ Start غير صحيح",IF(NOT(OR($I365="",$I365="NR",$O365&gt;0)),"✖ Current غير صحيح",IF(NOT(IF(ISNUMBER($J365),AND($J365&gt;=0,$J365=INT($J365)),FALSE())),"✖ العدد يجب أن يكون صحيحًا ≥ 0",IF(AND($F365="Baseline",$H365&lt;&gt;""),"⚠ Baseline: Start لا يدخل في التقدم",IF($K365="No Start (attainment only)","ℹ تحصيل فقط (بدون Start)",IF($K365="U – needs rule","ℹ حالة U تحتاج قاعدة معتمدة",IF($K365="No result","ℹ بدون نتيجة (يُستبعد من التحصيل)","OK")))))))))))</f>
        <v/>
      </c>
      <c r="M365" s="64" t="n">
        <f aca="false">IF($A365="",0,IFERROR(MATCH($A365,Classes!$A$6:$A$420,0),0))</f>
        <v>0</v>
      </c>
      <c r="N365" s="64" t="n">
        <f aca="false">IF($H365="",0,IFERROR(MATCH($H365,GradeList,0),0))</f>
        <v>0</v>
      </c>
      <c r="O365" s="64" t="n">
        <f aca="false">IF(OR($I365="",$I365="NR"),0,IFERROR(MATCH($I365,GradeList,0),0))</f>
        <v>0</v>
      </c>
      <c r="P365" s="64" t="n">
        <f aca="false">IF(AND($M365&gt;0,ISNUMBER(MATCH($F365,Lists!$A$2:$A$5,0)),ISNUMBER(MATCH($G365,Lists!$B$2:$B$7,0)),OR($H365="",$N365&gt;0),OR($I365="",$I365="NR",$O365&gt;0),IF(ISNUMBER($J365),AND($J365&gt;=0,$J365=INT($J365)),FALSE())),$J365,0)</f>
        <v>0</v>
      </c>
      <c r="Q365" s="64" t="n">
        <f aca="false">IF(AND($P365&gt;0,$O365&gt;0),$P365,0)</f>
        <v>0</v>
      </c>
      <c r="R365" s="64" t="n">
        <f aca="false">IF(AND($Q365&gt;0,$O365&gt;=AtRank),$Q365,0)</f>
        <v>0</v>
      </c>
      <c r="S365" s="64" t="n">
        <f aca="false">IF(AND($Q365&gt;0,$O365&gt;=AboveRank),$Q365,0)</f>
        <v>0</v>
      </c>
      <c r="T365" s="64" t="n">
        <f aca="false">IF($K365="Less",$P365,0)</f>
        <v>0</v>
      </c>
      <c r="U365" s="64" t="n">
        <f aca="false">IF($K365="Expected",$P365,0)</f>
        <v>0</v>
      </c>
      <c r="V365" s="64" t="n">
        <f aca="false">IF($K365="Better",$P365,0)</f>
        <v>0</v>
      </c>
      <c r="W365" s="64" t="n">
        <f aca="false">IF($K365="U – needs rule",$P365,0)</f>
        <v>0</v>
      </c>
      <c r="X365" s="64" t="n">
        <f aca="false">IF($K365="No Start (attainment only)",$P365,0)</f>
        <v>0</v>
      </c>
    </row>
    <row r="366" customFormat="false" ht="15" hidden="false" customHeight="false" outlineLevel="0" collapsed="false">
      <c r="A366" s="60"/>
      <c r="B366" s="61" t="str">
        <f aca="false">IF($M366=0,"",INDEX(Classes!$E$6:$E$420,$M366))</f>
        <v/>
      </c>
      <c r="C366" s="62" t="str">
        <f aca="false">IF($M366=0,"",INDEX(Classes!$H$6:$H$420,$M366))</f>
        <v/>
      </c>
      <c r="D366" s="61" t="str">
        <f aca="false">IF($M366=0,"",INDEX(Classes!$B$6:$B$420,$M366))</f>
        <v/>
      </c>
      <c r="E366" s="61" t="str">
        <f aca="false">IF($M366=0,"",INDEX(Classes!$C$6:$C$420,$M366))</f>
        <v/>
      </c>
      <c r="F366" s="63"/>
      <c r="G366" s="63"/>
      <c r="H366" s="60"/>
      <c r="I366" s="60"/>
      <c r="J366" s="63"/>
      <c r="K366" s="61" t="str">
        <f aca="false">IF($P366=0,"",IF($F366="Baseline","— Baseline",IF($O366=0,"No result",IF($N366=0,"No Start (attainment only)",IF(OR($N366=1,$O366=1),"U – needs rule",INDEX(MxBody,MATCH($I366,MxCurr,0),MATCH($H366,MxStart,0)))))))</f>
        <v/>
      </c>
      <c r="L366" s="62" t="str">
        <f aca="false">IF(COUNTA($A366,$F366,$G366,$H366,$I366,$J366)=0,"",IF($M366=0,"✖ كود الصف غير موجود",IF(ISNA(MATCH($F366,Lists!$A$2:$A$5,0)),"✖ الفترة غير صحيحة",IF(ISNA(MATCH($G366,Lists!$B$2:$B$7,0)),"✖ المجموعة غير صحيحة",IF(NOT(OR($H366="",$N366&gt;0)),"✖ Start غير صحيح",IF(NOT(OR($I366="",$I366="NR",$O366&gt;0)),"✖ Current غير صحيح",IF(NOT(IF(ISNUMBER($J366),AND($J366&gt;=0,$J366=INT($J366)),FALSE())),"✖ العدد يجب أن يكون صحيحًا ≥ 0",IF(AND($F366="Baseline",$H366&lt;&gt;""),"⚠ Baseline: Start لا يدخل في التقدم",IF($K366="No Start (attainment only)","ℹ تحصيل فقط (بدون Start)",IF($K366="U – needs rule","ℹ حالة U تحتاج قاعدة معتمدة",IF($K366="No result","ℹ بدون نتيجة (يُستبعد من التحصيل)","OK")))))))))))</f>
        <v/>
      </c>
      <c r="M366" s="64" t="n">
        <f aca="false">IF($A366="",0,IFERROR(MATCH($A366,Classes!$A$6:$A$420,0),0))</f>
        <v>0</v>
      </c>
      <c r="N366" s="64" t="n">
        <f aca="false">IF($H366="",0,IFERROR(MATCH($H366,GradeList,0),0))</f>
        <v>0</v>
      </c>
      <c r="O366" s="64" t="n">
        <f aca="false">IF(OR($I366="",$I366="NR"),0,IFERROR(MATCH($I366,GradeList,0),0))</f>
        <v>0</v>
      </c>
      <c r="P366" s="64" t="n">
        <f aca="false">IF(AND($M366&gt;0,ISNUMBER(MATCH($F366,Lists!$A$2:$A$5,0)),ISNUMBER(MATCH($G366,Lists!$B$2:$B$7,0)),OR($H366="",$N366&gt;0),OR($I366="",$I366="NR",$O366&gt;0),IF(ISNUMBER($J366),AND($J366&gt;=0,$J366=INT($J366)),FALSE())),$J366,0)</f>
        <v>0</v>
      </c>
      <c r="Q366" s="64" t="n">
        <f aca="false">IF(AND($P366&gt;0,$O366&gt;0),$P366,0)</f>
        <v>0</v>
      </c>
      <c r="R366" s="64" t="n">
        <f aca="false">IF(AND($Q366&gt;0,$O366&gt;=AtRank),$Q366,0)</f>
        <v>0</v>
      </c>
      <c r="S366" s="64" t="n">
        <f aca="false">IF(AND($Q366&gt;0,$O366&gt;=AboveRank),$Q366,0)</f>
        <v>0</v>
      </c>
      <c r="T366" s="64" t="n">
        <f aca="false">IF($K366="Less",$P366,0)</f>
        <v>0</v>
      </c>
      <c r="U366" s="64" t="n">
        <f aca="false">IF($K366="Expected",$P366,0)</f>
        <v>0</v>
      </c>
      <c r="V366" s="64" t="n">
        <f aca="false">IF($K366="Better",$P366,0)</f>
        <v>0</v>
      </c>
      <c r="W366" s="64" t="n">
        <f aca="false">IF($K366="U – needs rule",$P366,0)</f>
        <v>0</v>
      </c>
      <c r="X366" s="64" t="n">
        <f aca="false">IF($K366="No Start (attainment only)",$P366,0)</f>
        <v>0</v>
      </c>
    </row>
    <row r="367" customFormat="false" ht="15" hidden="false" customHeight="false" outlineLevel="0" collapsed="false">
      <c r="A367" s="60"/>
      <c r="B367" s="61" t="str">
        <f aca="false">IF($M367=0,"",INDEX(Classes!$E$6:$E$420,$M367))</f>
        <v/>
      </c>
      <c r="C367" s="62" t="str">
        <f aca="false">IF($M367=0,"",INDEX(Classes!$H$6:$H$420,$M367))</f>
        <v/>
      </c>
      <c r="D367" s="61" t="str">
        <f aca="false">IF($M367=0,"",INDEX(Classes!$B$6:$B$420,$M367))</f>
        <v/>
      </c>
      <c r="E367" s="61" t="str">
        <f aca="false">IF($M367=0,"",INDEX(Classes!$C$6:$C$420,$M367))</f>
        <v/>
      </c>
      <c r="F367" s="63"/>
      <c r="G367" s="63"/>
      <c r="H367" s="60"/>
      <c r="I367" s="60"/>
      <c r="J367" s="63"/>
      <c r="K367" s="61" t="str">
        <f aca="false">IF($P367=0,"",IF($F367="Baseline","— Baseline",IF($O367=0,"No result",IF($N367=0,"No Start (attainment only)",IF(OR($N367=1,$O367=1),"U – needs rule",INDEX(MxBody,MATCH($I367,MxCurr,0),MATCH($H367,MxStart,0)))))))</f>
        <v/>
      </c>
      <c r="L367" s="62" t="str">
        <f aca="false">IF(COUNTA($A367,$F367,$G367,$H367,$I367,$J367)=0,"",IF($M367=0,"✖ كود الصف غير موجود",IF(ISNA(MATCH($F367,Lists!$A$2:$A$5,0)),"✖ الفترة غير صحيحة",IF(ISNA(MATCH($G367,Lists!$B$2:$B$7,0)),"✖ المجموعة غير صحيحة",IF(NOT(OR($H367="",$N367&gt;0)),"✖ Start غير صحيح",IF(NOT(OR($I367="",$I367="NR",$O367&gt;0)),"✖ Current غير صحيح",IF(NOT(IF(ISNUMBER($J367),AND($J367&gt;=0,$J367=INT($J367)),FALSE())),"✖ العدد يجب أن يكون صحيحًا ≥ 0",IF(AND($F367="Baseline",$H367&lt;&gt;""),"⚠ Baseline: Start لا يدخل في التقدم",IF($K367="No Start (attainment only)","ℹ تحصيل فقط (بدون Start)",IF($K367="U – needs rule","ℹ حالة U تحتاج قاعدة معتمدة",IF($K367="No result","ℹ بدون نتيجة (يُستبعد من التحصيل)","OK")))))))))))</f>
        <v/>
      </c>
      <c r="M367" s="64" t="n">
        <f aca="false">IF($A367="",0,IFERROR(MATCH($A367,Classes!$A$6:$A$420,0),0))</f>
        <v>0</v>
      </c>
      <c r="N367" s="64" t="n">
        <f aca="false">IF($H367="",0,IFERROR(MATCH($H367,GradeList,0),0))</f>
        <v>0</v>
      </c>
      <c r="O367" s="64" t="n">
        <f aca="false">IF(OR($I367="",$I367="NR"),0,IFERROR(MATCH($I367,GradeList,0),0))</f>
        <v>0</v>
      </c>
      <c r="P367" s="64" t="n">
        <f aca="false">IF(AND($M367&gt;0,ISNUMBER(MATCH($F367,Lists!$A$2:$A$5,0)),ISNUMBER(MATCH($G367,Lists!$B$2:$B$7,0)),OR($H367="",$N367&gt;0),OR($I367="",$I367="NR",$O367&gt;0),IF(ISNUMBER($J367),AND($J367&gt;=0,$J367=INT($J367)),FALSE())),$J367,0)</f>
        <v>0</v>
      </c>
      <c r="Q367" s="64" t="n">
        <f aca="false">IF(AND($P367&gt;0,$O367&gt;0),$P367,0)</f>
        <v>0</v>
      </c>
      <c r="R367" s="64" t="n">
        <f aca="false">IF(AND($Q367&gt;0,$O367&gt;=AtRank),$Q367,0)</f>
        <v>0</v>
      </c>
      <c r="S367" s="64" t="n">
        <f aca="false">IF(AND($Q367&gt;0,$O367&gt;=AboveRank),$Q367,0)</f>
        <v>0</v>
      </c>
      <c r="T367" s="64" t="n">
        <f aca="false">IF($K367="Less",$P367,0)</f>
        <v>0</v>
      </c>
      <c r="U367" s="64" t="n">
        <f aca="false">IF($K367="Expected",$P367,0)</f>
        <v>0</v>
      </c>
      <c r="V367" s="64" t="n">
        <f aca="false">IF($K367="Better",$P367,0)</f>
        <v>0</v>
      </c>
      <c r="W367" s="64" t="n">
        <f aca="false">IF($K367="U – needs rule",$P367,0)</f>
        <v>0</v>
      </c>
      <c r="X367" s="64" t="n">
        <f aca="false">IF($K367="No Start (attainment only)",$P367,0)</f>
        <v>0</v>
      </c>
    </row>
    <row r="368" customFormat="false" ht="15" hidden="false" customHeight="false" outlineLevel="0" collapsed="false">
      <c r="A368" s="60"/>
      <c r="B368" s="61" t="str">
        <f aca="false">IF($M368=0,"",INDEX(Classes!$E$6:$E$420,$M368))</f>
        <v/>
      </c>
      <c r="C368" s="62" t="str">
        <f aca="false">IF($M368=0,"",INDEX(Classes!$H$6:$H$420,$M368))</f>
        <v/>
      </c>
      <c r="D368" s="61" t="str">
        <f aca="false">IF($M368=0,"",INDEX(Classes!$B$6:$B$420,$M368))</f>
        <v/>
      </c>
      <c r="E368" s="61" t="str">
        <f aca="false">IF($M368=0,"",INDEX(Classes!$C$6:$C$420,$M368))</f>
        <v/>
      </c>
      <c r="F368" s="63"/>
      <c r="G368" s="63"/>
      <c r="H368" s="60"/>
      <c r="I368" s="60"/>
      <c r="J368" s="63"/>
      <c r="K368" s="61" t="str">
        <f aca="false">IF($P368=0,"",IF($F368="Baseline","— Baseline",IF($O368=0,"No result",IF($N368=0,"No Start (attainment only)",IF(OR($N368=1,$O368=1),"U – needs rule",INDEX(MxBody,MATCH($I368,MxCurr,0),MATCH($H368,MxStart,0)))))))</f>
        <v/>
      </c>
      <c r="L368" s="62" t="str">
        <f aca="false">IF(COUNTA($A368,$F368,$G368,$H368,$I368,$J368)=0,"",IF($M368=0,"✖ كود الصف غير موجود",IF(ISNA(MATCH($F368,Lists!$A$2:$A$5,0)),"✖ الفترة غير صحيحة",IF(ISNA(MATCH($G368,Lists!$B$2:$B$7,0)),"✖ المجموعة غير صحيحة",IF(NOT(OR($H368="",$N368&gt;0)),"✖ Start غير صحيح",IF(NOT(OR($I368="",$I368="NR",$O368&gt;0)),"✖ Current غير صحيح",IF(NOT(IF(ISNUMBER($J368),AND($J368&gt;=0,$J368=INT($J368)),FALSE())),"✖ العدد يجب أن يكون صحيحًا ≥ 0",IF(AND($F368="Baseline",$H368&lt;&gt;""),"⚠ Baseline: Start لا يدخل في التقدم",IF($K368="No Start (attainment only)","ℹ تحصيل فقط (بدون Start)",IF($K368="U – needs rule","ℹ حالة U تحتاج قاعدة معتمدة",IF($K368="No result","ℹ بدون نتيجة (يُستبعد من التحصيل)","OK")))))))))))</f>
        <v/>
      </c>
      <c r="M368" s="64" t="n">
        <f aca="false">IF($A368="",0,IFERROR(MATCH($A368,Classes!$A$6:$A$420,0),0))</f>
        <v>0</v>
      </c>
      <c r="N368" s="64" t="n">
        <f aca="false">IF($H368="",0,IFERROR(MATCH($H368,GradeList,0),0))</f>
        <v>0</v>
      </c>
      <c r="O368" s="64" t="n">
        <f aca="false">IF(OR($I368="",$I368="NR"),0,IFERROR(MATCH($I368,GradeList,0),0))</f>
        <v>0</v>
      </c>
      <c r="P368" s="64" t="n">
        <f aca="false">IF(AND($M368&gt;0,ISNUMBER(MATCH($F368,Lists!$A$2:$A$5,0)),ISNUMBER(MATCH($G368,Lists!$B$2:$B$7,0)),OR($H368="",$N368&gt;0),OR($I368="",$I368="NR",$O368&gt;0),IF(ISNUMBER($J368),AND($J368&gt;=0,$J368=INT($J368)),FALSE())),$J368,0)</f>
        <v>0</v>
      </c>
      <c r="Q368" s="64" t="n">
        <f aca="false">IF(AND($P368&gt;0,$O368&gt;0),$P368,0)</f>
        <v>0</v>
      </c>
      <c r="R368" s="64" t="n">
        <f aca="false">IF(AND($Q368&gt;0,$O368&gt;=AtRank),$Q368,0)</f>
        <v>0</v>
      </c>
      <c r="S368" s="64" t="n">
        <f aca="false">IF(AND($Q368&gt;0,$O368&gt;=AboveRank),$Q368,0)</f>
        <v>0</v>
      </c>
      <c r="T368" s="64" t="n">
        <f aca="false">IF($K368="Less",$P368,0)</f>
        <v>0</v>
      </c>
      <c r="U368" s="64" t="n">
        <f aca="false">IF($K368="Expected",$P368,0)</f>
        <v>0</v>
      </c>
      <c r="V368" s="64" t="n">
        <f aca="false">IF($K368="Better",$P368,0)</f>
        <v>0</v>
      </c>
      <c r="W368" s="64" t="n">
        <f aca="false">IF($K368="U – needs rule",$P368,0)</f>
        <v>0</v>
      </c>
      <c r="X368" s="64" t="n">
        <f aca="false">IF($K368="No Start (attainment only)",$P368,0)</f>
        <v>0</v>
      </c>
    </row>
    <row r="369" customFormat="false" ht="15" hidden="false" customHeight="false" outlineLevel="0" collapsed="false">
      <c r="A369" s="60"/>
      <c r="B369" s="61" t="str">
        <f aca="false">IF($M369=0,"",INDEX(Classes!$E$6:$E$420,$M369))</f>
        <v/>
      </c>
      <c r="C369" s="62" t="str">
        <f aca="false">IF($M369=0,"",INDEX(Classes!$H$6:$H$420,$M369))</f>
        <v/>
      </c>
      <c r="D369" s="61" t="str">
        <f aca="false">IF($M369=0,"",INDEX(Classes!$B$6:$B$420,$M369))</f>
        <v/>
      </c>
      <c r="E369" s="61" t="str">
        <f aca="false">IF($M369=0,"",INDEX(Classes!$C$6:$C$420,$M369))</f>
        <v/>
      </c>
      <c r="F369" s="63"/>
      <c r="G369" s="63"/>
      <c r="H369" s="60"/>
      <c r="I369" s="60"/>
      <c r="J369" s="63"/>
      <c r="K369" s="61" t="str">
        <f aca="false">IF($P369=0,"",IF($F369="Baseline","— Baseline",IF($O369=0,"No result",IF($N369=0,"No Start (attainment only)",IF(OR($N369=1,$O369=1),"U – needs rule",INDEX(MxBody,MATCH($I369,MxCurr,0),MATCH($H369,MxStart,0)))))))</f>
        <v/>
      </c>
      <c r="L369" s="62" t="str">
        <f aca="false">IF(COUNTA($A369,$F369,$G369,$H369,$I369,$J369)=0,"",IF($M369=0,"✖ كود الصف غير موجود",IF(ISNA(MATCH($F369,Lists!$A$2:$A$5,0)),"✖ الفترة غير صحيحة",IF(ISNA(MATCH($G369,Lists!$B$2:$B$7,0)),"✖ المجموعة غير صحيحة",IF(NOT(OR($H369="",$N369&gt;0)),"✖ Start غير صحيح",IF(NOT(OR($I369="",$I369="NR",$O369&gt;0)),"✖ Current غير صحيح",IF(NOT(IF(ISNUMBER($J369),AND($J369&gt;=0,$J369=INT($J369)),FALSE())),"✖ العدد يجب أن يكون صحيحًا ≥ 0",IF(AND($F369="Baseline",$H369&lt;&gt;""),"⚠ Baseline: Start لا يدخل في التقدم",IF($K369="No Start (attainment only)","ℹ تحصيل فقط (بدون Start)",IF($K369="U – needs rule","ℹ حالة U تحتاج قاعدة معتمدة",IF($K369="No result","ℹ بدون نتيجة (يُستبعد من التحصيل)","OK")))))))))))</f>
        <v/>
      </c>
      <c r="M369" s="64" t="n">
        <f aca="false">IF($A369="",0,IFERROR(MATCH($A369,Classes!$A$6:$A$420,0),0))</f>
        <v>0</v>
      </c>
      <c r="N369" s="64" t="n">
        <f aca="false">IF($H369="",0,IFERROR(MATCH($H369,GradeList,0),0))</f>
        <v>0</v>
      </c>
      <c r="O369" s="64" t="n">
        <f aca="false">IF(OR($I369="",$I369="NR"),0,IFERROR(MATCH($I369,GradeList,0),0))</f>
        <v>0</v>
      </c>
      <c r="P369" s="64" t="n">
        <f aca="false">IF(AND($M369&gt;0,ISNUMBER(MATCH($F369,Lists!$A$2:$A$5,0)),ISNUMBER(MATCH($G369,Lists!$B$2:$B$7,0)),OR($H369="",$N369&gt;0),OR($I369="",$I369="NR",$O369&gt;0),IF(ISNUMBER($J369),AND($J369&gt;=0,$J369=INT($J369)),FALSE())),$J369,0)</f>
        <v>0</v>
      </c>
      <c r="Q369" s="64" t="n">
        <f aca="false">IF(AND($P369&gt;0,$O369&gt;0),$P369,0)</f>
        <v>0</v>
      </c>
      <c r="R369" s="64" t="n">
        <f aca="false">IF(AND($Q369&gt;0,$O369&gt;=AtRank),$Q369,0)</f>
        <v>0</v>
      </c>
      <c r="S369" s="64" t="n">
        <f aca="false">IF(AND($Q369&gt;0,$O369&gt;=AboveRank),$Q369,0)</f>
        <v>0</v>
      </c>
      <c r="T369" s="64" t="n">
        <f aca="false">IF($K369="Less",$P369,0)</f>
        <v>0</v>
      </c>
      <c r="U369" s="64" t="n">
        <f aca="false">IF($K369="Expected",$P369,0)</f>
        <v>0</v>
      </c>
      <c r="V369" s="64" t="n">
        <f aca="false">IF($K369="Better",$P369,0)</f>
        <v>0</v>
      </c>
      <c r="W369" s="64" t="n">
        <f aca="false">IF($K369="U – needs rule",$P369,0)</f>
        <v>0</v>
      </c>
      <c r="X369" s="64" t="n">
        <f aca="false">IF($K369="No Start (attainment only)",$P369,0)</f>
        <v>0</v>
      </c>
    </row>
    <row r="370" customFormat="false" ht="15" hidden="false" customHeight="false" outlineLevel="0" collapsed="false">
      <c r="A370" s="60"/>
      <c r="B370" s="61" t="str">
        <f aca="false">IF($M370=0,"",INDEX(Classes!$E$6:$E$420,$M370))</f>
        <v/>
      </c>
      <c r="C370" s="62" t="str">
        <f aca="false">IF($M370=0,"",INDEX(Classes!$H$6:$H$420,$M370))</f>
        <v/>
      </c>
      <c r="D370" s="61" t="str">
        <f aca="false">IF($M370=0,"",INDEX(Classes!$B$6:$B$420,$M370))</f>
        <v/>
      </c>
      <c r="E370" s="61" t="str">
        <f aca="false">IF($M370=0,"",INDEX(Classes!$C$6:$C$420,$M370))</f>
        <v/>
      </c>
      <c r="F370" s="63"/>
      <c r="G370" s="63"/>
      <c r="H370" s="60"/>
      <c r="I370" s="60"/>
      <c r="J370" s="63"/>
      <c r="K370" s="61" t="str">
        <f aca="false">IF($P370=0,"",IF($F370="Baseline","— Baseline",IF($O370=0,"No result",IF($N370=0,"No Start (attainment only)",IF(OR($N370=1,$O370=1),"U – needs rule",INDEX(MxBody,MATCH($I370,MxCurr,0),MATCH($H370,MxStart,0)))))))</f>
        <v/>
      </c>
      <c r="L370" s="62" t="str">
        <f aca="false">IF(COUNTA($A370,$F370,$G370,$H370,$I370,$J370)=0,"",IF($M370=0,"✖ كود الصف غير موجود",IF(ISNA(MATCH($F370,Lists!$A$2:$A$5,0)),"✖ الفترة غير صحيحة",IF(ISNA(MATCH($G370,Lists!$B$2:$B$7,0)),"✖ المجموعة غير صحيحة",IF(NOT(OR($H370="",$N370&gt;0)),"✖ Start غير صحيح",IF(NOT(OR($I370="",$I370="NR",$O370&gt;0)),"✖ Current غير صحيح",IF(NOT(IF(ISNUMBER($J370),AND($J370&gt;=0,$J370=INT($J370)),FALSE())),"✖ العدد يجب أن يكون صحيحًا ≥ 0",IF(AND($F370="Baseline",$H370&lt;&gt;""),"⚠ Baseline: Start لا يدخل في التقدم",IF($K370="No Start (attainment only)","ℹ تحصيل فقط (بدون Start)",IF($K370="U – needs rule","ℹ حالة U تحتاج قاعدة معتمدة",IF($K370="No result","ℹ بدون نتيجة (يُستبعد من التحصيل)","OK")))))))))))</f>
        <v/>
      </c>
      <c r="M370" s="64" t="n">
        <f aca="false">IF($A370="",0,IFERROR(MATCH($A370,Classes!$A$6:$A$420,0),0))</f>
        <v>0</v>
      </c>
      <c r="N370" s="64" t="n">
        <f aca="false">IF($H370="",0,IFERROR(MATCH($H370,GradeList,0),0))</f>
        <v>0</v>
      </c>
      <c r="O370" s="64" t="n">
        <f aca="false">IF(OR($I370="",$I370="NR"),0,IFERROR(MATCH($I370,GradeList,0),0))</f>
        <v>0</v>
      </c>
      <c r="P370" s="64" t="n">
        <f aca="false">IF(AND($M370&gt;0,ISNUMBER(MATCH($F370,Lists!$A$2:$A$5,0)),ISNUMBER(MATCH($G370,Lists!$B$2:$B$7,0)),OR($H370="",$N370&gt;0),OR($I370="",$I370="NR",$O370&gt;0),IF(ISNUMBER($J370),AND($J370&gt;=0,$J370=INT($J370)),FALSE())),$J370,0)</f>
        <v>0</v>
      </c>
      <c r="Q370" s="64" t="n">
        <f aca="false">IF(AND($P370&gt;0,$O370&gt;0),$P370,0)</f>
        <v>0</v>
      </c>
      <c r="R370" s="64" t="n">
        <f aca="false">IF(AND($Q370&gt;0,$O370&gt;=AtRank),$Q370,0)</f>
        <v>0</v>
      </c>
      <c r="S370" s="64" t="n">
        <f aca="false">IF(AND($Q370&gt;0,$O370&gt;=AboveRank),$Q370,0)</f>
        <v>0</v>
      </c>
      <c r="T370" s="64" t="n">
        <f aca="false">IF($K370="Less",$P370,0)</f>
        <v>0</v>
      </c>
      <c r="U370" s="64" t="n">
        <f aca="false">IF($K370="Expected",$P370,0)</f>
        <v>0</v>
      </c>
      <c r="V370" s="64" t="n">
        <f aca="false">IF($K370="Better",$P370,0)</f>
        <v>0</v>
      </c>
      <c r="W370" s="64" t="n">
        <f aca="false">IF($K370="U – needs rule",$P370,0)</f>
        <v>0</v>
      </c>
      <c r="X370" s="64" t="n">
        <f aca="false">IF($K370="No Start (attainment only)",$P370,0)</f>
        <v>0</v>
      </c>
    </row>
    <row r="371" customFormat="false" ht="15" hidden="false" customHeight="false" outlineLevel="0" collapsed="false">
      <c r="A371" s="60"/>
      <c r="B371" s="61" t="str">
        <f aca="false">IF($M371=0,"",INDEX(Classes!$E$6:$E$420,$M371))</f>
        <v/>
      </c>
      <c r="C371" s="62" t="str">
        <f aca="false">IF($M371=0,"",INDEX(Classes!$H$6:$H$420,$M371))</f>
        <v/>
      </c>
      <c r="D371" s="61" t="str">
        <f aca="false">IF($M371=0,"",INDEX(Classes!$B$6:$B$420,$M371))</f>
        <v/>
      </c>
      <c r="E371" s="61" t="str">
        <f aca="false">IF($M371=0,"",INDEX(Classes!$C$6:$C$420,$M371))</f>
        <v/>
      </c>
      <c r="F371" s="63"/>
      <c r="G371" s="63"/>
      <c r="H371" s="60"/>
      <c r="I371" s="60"/>
      <c r="J371" s="63"/>
      <c r="K371" s="61" t="str">
        <f aca="false">IF($P371=0,"",IF($F371="Baseline","— Baseline",IF($O371=0,"No result",IF($N371=0,"No Start (attainment only)",IF(OR($N371=1,$O371=1),"U – needs rule",INDEX(MxBody,MATCH($I371,MxCurr,0),MATCH($H371,MxStart,0)))))))</f>
        <v/>
      </c>
      <c r="L371" s="62" t="str">
        <f aca="false">IF(COUNTA($A371,$F371,$G371,$H371,$I371,$J371)=0,"",IF($M371=0,"✖ كود الصف غير موجود",IF(ISNA(MATCH($F371,Lists!$A$2:$A$5,0)),"✖ الفترة غير صحيحة",IF(ISNA(MATCH($G371,Lists!$B$2:$B$7,0)),"✖ المجموعة غير صحيحة",IF(NOT(OR($H371="",$N371&gt;0)),"✖ Start غير صحيح",IF(NOT(OR($I371="",$I371="NR",$O371&gt;0)),"✖ Current غير صحيح",IF(NOT(IF(ISNUMBER($J371),AND($J371&gt;=0,$J371=INT($J371)),FALSE())),"✖ العدد يجب أن يكون صحيحًا ≥ 0",IF(AND($F371="Baseline",$H371&lt;&gt;""),"⚠ Baseline: Start لا يدخل في التقدم",IF($K371="No Start (attainment only)","ℹ تحصيل فقط (بدون Start)",IF($K371="U – needs rule","ℹ حالة U تحتاج قاعدة معتمدة",IF($K371="No result","ℹ بدون نتيجة (يُستبعد من التحصيل)","OK")))))))))))</f>
        <v/>
      </c>
      <c r="M371" s="64" t="n">
        <f aca="false">IF($A371="",0,IFERROR(MATCH($A371,Classes!$A$6:$A$420,0),0))</f>
        <v>0</v>
      </c>
      <c r="N371" s="64" t="n">
        <f aca="false">IF($H371="",0,IFERROR(MATCH($H371,GradeList,0),0))</f>
        <v>0</v>
      </c>
      <c r="O371" s="64" t="n">
        <f aca="false">IF(OR($I371="",$I371="NR"),0,IFERROR(MATCH($I371,GradeList,0),0))</f>
        <v>0</v>
      </c>
      <c r="P371" s="64" t="n">
        <f aca="false">IF(AND($M371&gt;0,ISNUMBER(MATCH($F371,Lists!$A$2:$A$5,0)),ISNUMBER(MATCH($G371,Lists!$B$2:$B$7,0)),OR($H371="",$N371&gt;0),OR($I371="",$I371="NR",$O371&gt;0),IF(ISNUMBER($J371),AND($J371&gt;=0,$J371=INT($J371)),FALSE())),$J371,0)</f>
        <v>0</v>
      </c>
      <c r="Q371" s="64" t="n">
        <f aca="false">IF(AND($P371&gt;0,$O371&gt;0),$P371,0)</f>
        <v>0</v>
      </c>
      <c r="R371" s="64" t="n">
        <f aca="false">IF(AND($Q371&gt;0,$O371&gt;=AtRank),$Q371,0)</f>
        <v>0</v>
      </c>
      <c r="S371" s="64" t="n">
        <f aca="false">IF(AND($Q371&gt;0,$O371&gt;=AboveRank),$Q371,0)</f>
        <v>0</v>
      </c>
      <c r="T371" s="64" t="n">
        <f aca="false">IF($K371="Less",$P371,0)</f>
        <v>0</v>
      </c>
      <c r="U371" s="64" t="n">
        <f aca="false">IF($K371="Expected",$P371,0)</f>
        <v>0</v>
      </c>
      <c r="V371" s="64" t="n">
        <f aca="false">IF($K371="Better",$P371,0)</f>
        <v>0</v>
      </c>
      <c r="W371" s="64" t="n">
        <f aca="false">IF($K371="U – needs rule",$P371,0)</f>
        <v>0</v>
      </c>
      <c r="X371" s="64" t="n">
        <f aca="false">IF($K371="No Start (attainment only)",$P371,0)</f>
        <v>0</v>
      </c>
    </row>
    <row r="372" customFormat="false" ht="15" hidden="false" customHeight="false" outlineLevel="0" collapsed="false">
      <c r="A372" s="60"/>
      <c r="B372" s="61" t="str">
        <f aca="false">IF($M372=0,"",INDEX(Classes!$E$6:$E$420,$M372))</f>
        <v/>
      </c>
      <c r="C372" s="62" t="str">
        <f aca="false">IF($M372=0,"",INDEX(Classes!$H$6:$H$420,$M372))</f>
        <v/>
      </c>
      <c r="D372" s="61" t="str">
        <f aca="false">IF($M372=0,"",INDEX(Classes!$B$6:$B$420,$M372))</f>
        <v/>
      </c>
      <c r="E372" s="61" t="str">
        <f aca="false">IF($M372=0,"",INDEX(Classes!$C$6:$C$420,$M372))</f>
        <v/>
      </c>
      <c r="F372" s="63"/>
      <c r="G372" s="63"/>
      <c r="H372" s="60"/>
      <c r="I372" s="60"/>
      <c r="J372" s="63"/>
      <c r="K372" s="61" t="str">
        <f aca="false">IF($P372=0,"",IF($F372="Baseline","— Baseline",IF($O372=0,"No result",IF($N372=0,"No Start (attainment only)",IF(OR($N372=1,$O372=1),"U – needs rule",INDEX(MxBody,MATCH($I372,MxCurr,0),MATCH($H372,MxStart,0)))))))</f>
        <v/>
      </c>
      <c r="L372" s="62" t="str">
        <f aca="false">IF(COUNTA($A372,$F372,$G372,$H372,$I372,$J372)=0,"",IF($M372=0,"✖ كود الصف غير موجود",IF(ISNA(MATCH($F372,Lists!$A$2:$A$5,0)),"✖ الفترة غير صحيحة",IF(ISNA(MATCH($G372,Lists!$B$2:$B$7,0)),"✖ المجموعة غير صحيحة",IF(NOT(OR($H372="",$N372&gt;0)),"✖ Start غير صحيح",IF(NOT(OR($I372="",$I372="NR",$O372&gt;0)),"✖ Current غير صحيح",IF(NOT(IF(ISNUMBER($J372),AND($J372&gt;=0,$J372=INT($J372)),FALSE())),"✖ العدد يجب أن يكون صحيحًا ≥ 0",IF(AND($F372="Baseline",$H372&lt;&gt;""),"⚠ Baseline: Start لا يدخل في التقدم",IF($K372="No Start (attainment only)","ℹ تحصيل فقط (بدون Start)",IF($K372="U – needs rule","ℹ حالة U تحتاج قاعدة معتمدة",IF($K372="No result","ℹ بدون نتيجة (يُستبعد من التحصيل)","OK")))))))))))</f>
        <v/>
      </c>
      <c r="M372" s="64" t="n">
        <f aca="false">IF($A372="",0,IFERROR(MATCH($A372,Classes!$A$6:$A$420,0),0))</f>
        <v>0</v>
      </c>
      <c r="N372" s="64" t="n">
        <f aca="false">IF($H372="",0,IFERROR(MATCH($H372,GradeList,0),0))</f>
        <v>0</v>
      </c>
      <c r="O372" s="64" t="n">
        <f aca="false">IF(OR($I372="",$I372="NR"),0,IFERROR(MATCH($I372,GradeList,0),0))</f>
        <v>0</v>
      </c>
      <c r="P372" s="64" t="n">
        <f aca="false">IF(AND($M372&gt;0,ISNUMBER(MATCH($F372,Lists!$A$2:$A$5,0)),ISNUMBER(MATCH($G372,Lists!$B$2:$B$7,0)),OR($H372="",$N372&gt;0),OR($I372="",$I372="NR",$O372&gt;0),IF(ISNUMBER($J372),AND($J372&gt;=0,$J372=INT($J372)),FALSE())),$J372,0)</f>
        <v>0</v>
      </c>
      <c r="Q372" s="64" t="n">
        <f aca="false">IF(AND($P372&gt;0,$O372&gt;0),$P372,0)</f>
        <v>0</v>
      </c>
      <c r="R372" s="64" t="n">
        <f aca="false">IF(AND($Q372&gt;0,$O372&gt;=AtRank),$Q372,0)</f>
        <v>0</v>
      </c>
      <c r="S372" s="64" t="n">
        <f aca="false">IF(AND($Q372&gt;0,$O372&gt;=AboveRank),$Q372,0)</f>
        <v>0</v>
      </c>
      <c r="T372" s="64" t="n">
        <f aca="false">IF($K372="Less",$P372,0)</f>
        <v>0</v>
      </c>
      <c r="U372" s="64" t="n">
        <f aca="false">IF($K372="Expected",$P372,0)</f>
        <v>0</v>
      </c>
      <c r="V372" s="64" t="n">
        <f aca="false">IF($K372="Better",$P372,0)</f>
        <v>0</v>
      </c>
      <c r="W372" s="64" t="n">
        <f aca="false">IF($K372="U – needs rule",$P372,0)</f>
        <v>0</v>
      </c>
      <c r="X372" s="64" t="n">
        <f aca="false">IF($K372="No Start (attainment only)",$P372,0)</f>
        <v>0</v>
      </c>
    </row>
    <row r="373" customFormat="false" ht="15" hidden="false" customHeight="false" outlineLevel="0" collapsed="false">
      <c r="A373" s="60"/>
      <c r="B373" s="61" t="str">
        <f aca="false">IF($M373=0,"",INDEX(Classes!$E$6:$E$420,$M373))</f>
        <v/>
      </c>
      <c r="C373" s="62" t="str">
        <f aca="false">IF($M373=0,"",INDEX(Classes!$H$6:$H$420,$M373))</f>
        <v/>
      </c>
      <c r="D373" s="61" t="str">
        <f aca="false">IF($M373=0,"",INDEX(Classes!$B$6:$B$420,$M373))</f>
        <v/>
      </c>
      <c r="E373" s="61" t="str">
        <f aca="false">IF($M373=0,"",INDEX(Classes!$C$6:$C$420,$M373))</f>
        <v/>
      </c>
      <c r="F373" s="63"/>
      <c r="G373" s="63"/>
      <c r="H373" s="60"/>
      <c r="I373" s="60"/>
      <c r="J373" s="63"/>
      <c r="K373" s="61" t="str">
        <f aca="false">IF($P373=0,"",IF($F373="Baseline","— Baseline",IF($O373=0,"No result",IF($N373=0,"No Start (attainment only)",IF(OR($N373=1,$O373=1),"U – needs rule",INDEX(MxBody,MATCH($I373,MxCurr,0),MATCH($H373,MxStart,0)))))))</f>
        <v/>
      </c>
      <c r="L373" s="62" t="str">
        <f aca="false">IF(COUNTA($A373,$F373,$G373,$H373,$I373,$J373)=0,"",IF($M373=0,"✖ كود الصف غير موجود",IF(ISNA(MATCH($F373,Lists!$A$2:$A$5,0)),"✖ الفترة غير صحيحة",IF(ISNA(MATCH($G373,Lists!$B$2:$B$7,0)),"✖ المجموعة غير صحيحة",IF(NOT(OR($H373="",$N373&gt;0)),"✖ Start غير صحيح",IF(NOT(OR($I373="",$I373="NR",$O373&gt;0)),"✖ Current غير صحيح",IF(NOT(IF(ISNUMBER($J373),AND($J373&gt;=0,$J373=INT($J373)),FALSE())),"✖ العدد يجب أن يكون صحيحًا ≥ 0",IF(AND($F373="Baseline",$H373&lt;&gt;""),"⚠ Baseline: Start لا يدخل في التقدم",IF($K373="No Start (attainment only)","ℹ تحصيل فقط (بدون Start)",IF($K373="U – needs rule","ℹ حالة U تحتاج قاعدة معتمدة",IF($K373="No result","ℹ بدون نتيجة (يُستبعد من التحصيل)","OK")))))))))))</f>
        <v/>
      </c>
      <c r="M373" s="64" t="n">
        <f aca="false">IF($A373="",0,IFERROR(MATCH($A373,Classes!$A$6:$A$420,0),0))</f>
        <v>0</v>
      </c>
      <c r="N373" s="64" t="n">
        <f aca="false">IF($H373="",0,IFERROR(MATCH($H373,GradeList,0),0))</f>
        <v>0</v>
      </c>
      <c r="O373" s="64" t="n">
        <f aca="false">IF(OR($I373="",$I373="NR"),0,IFERROR(MATCH($I373,GradeList,0),0))</f>
        <v>0</v>
      </c>
      <c r="P373" s="64" t="n">
        <f aca="false">IF(AND($M373&gt;0,ISNUMBER(MATCH($F373,Lists!$A$2:$A$5,0)),ISNUMBER(MATCH($G373,Lists!$B$2:$B$7,0)),OR($H373="",$N373&gt;0),OR($I373="",$I373="NR",$O373&gt;0),IF(ISNUMBER($J373),AND($J373&gt;=0,$J373=INT($J373)),FALSE())),$J373,0)</f>
        <v>0</v>
      </c>
      <c r="Q373" s="64" t="n">
        <f aca="false">IF(AND($P373&gt;0,$O373&gt;0),$P373,0)</f>
        <v>0</v>
      </c>
      <c r="R373" s="64" t="n">
        <f aca="false">IF(AND($Q373&gt;0,$O373&gt;=AtRank),$Q373,0)</f>
        <v>0</v>
      </c>
      <c r="S373" s="64" t="n">
        <f aca="false">IF(AND($Q373&gt;0,$O373&gt;=AboveRank),$Q373,0)</f>
        <v>0</v>
      </c>
      <c r="T373" s="64" t="n">
        <f aca="false">IF($K373="Less",$P373,0)</f>
        <v>0</v>
      </c>
      <c r="U373" s="64" t="n">
        <f aca="false">IF($K373="Expected",$P373,0)</f>
        <v>0</v>
      </c>
      <c r="V373" s="64" t="n">
        <f aca="false">IF($K373="Better",$P373,0)</f>
        <v>0</v>
      </c>
      <c r="W373" s="64" t="n">
        <f aca="false">IF($K373="U – needs rule",$P373,0)</f>
        <v>0</v>
      </c>
      <c r="X373" s="64" t="n">
        <f aca="false">IF($K373="No Start (attainment only)",$P373,0)</f>
        <v>0</v>
      </c>
    </row>
    <row r="374" customFormat="false" ht="15" hidden="false" customHeight="false" outlineLevel="0" collapsed="false">
      <c r="A374" s="60"/>
      <c r="B374" s="61" t="str">
        <f aca="false">IF($M374=0,"",INDEX(Classes!$E$6:$E$420,$M374))</f>
        <v/>
      </c>
      <c r="C374" s="62" t="str">
        <f aca="false">IF($M374=0,"",INDEX(Classes!$H$6:$H$420,$M374))</f>
        <v/>
      </c>
      <c r="D374" s="61" t="str">
        <f aca="false">IF($M374=0,"",INDEX(Classes!$B$6:$B$420,$M374))</f>
        <v/>
      </c>
      <c r="E374" s="61" t="str">
        <f aca="false">IF($M374=0,"",INDEX(Classes!$C$6:$C$420,$M374))</f>
        <v/>
      </c>
      <c r="F374" s="63"/>
      <c r="G374" s="63"/>
      <c r="H374" s="60"/>
      <c r="I374" s="60"/>
      <c r="J374" s="63"/>
      <c r="K374" s="61" t="str">
        <f aca="false">IF($P374=0,"",IF($F374="Baseline","— Baseline",IF($O374=0,"No result",IF($N374=0,"No Start (attainment only)",IF(OR($N374=1,$O374=1),"U – needs rule",INDEX(MxBody,MATCH($I374,MxCurr,0),MATCH($H374,MxStart,0)))))))</f>
        <v/>
      </c>
      <c r="L374" s="62" t="str">
        <f aca="false">IF(COUNTA($A374,$F374,$G374,$H374,$I374,$J374)=0,"",IF($M374=0,"✖ كود الصف غير موجود",IF(ISNA(MATCH($F374,Lists!$A$2:$A$5,0)),"✖ الفترة غير صحيحة",IF(ISNA(MATCH($G374,Lists!$B$2:$B$7,0)),"✖ المجموعة غير صحيحة",IF(NOT(OR($H374="",$N374&gt;0)),"✖ Start غير صحيح",IF(NOT(OR($I374="",$I374="NR",$O374&gt;0)),"✖ Current غير صحيح",IF(NOT(IF(ISNUMBER($J374),AND($J374&gt;=0,$J374=INT($J374)),FALSE())),"✖ العدد يجب أن يكون صحيحًا ≥ 0",IF(AND($F374="Baseline",$H374&lt;&gt;""),"⚠ Baseline: Start لا يدخل في التقدم",IF($K374="No Start (attainment only)","ℹ تحصيل فقط (بدون Start)",IF($K374="U – needs rule","ℹ حالة U تحتاج قاعدة معتمدة",IF($K374="No result","ℹ بدون نتيجة (يُستبعد من التحصيل)","OK")))))))))))</f>
        <v/>
      </c>
      <c r="M374" s="64" t="n">
        <f aca="false">IF($A374="",0,IFERROR(MATCH($A374,Classes!$A$6:$A$420,0),0))</f>
        <v>0</v>
      </c>
      <c r="N374" s="64" t="n">
        <f aca="false">IF($H374="",0,IFERROR(MATCH($H374,GradeList,0),0))</f>
        <v>0</v>
      </c>
      <c r="O374" s="64" t="n">
        <f aca="false">IF(OR($I374="",$I374="NR"),0,IFERROR(MATCH($I374,GradeList,0),0))</f>
        <v>0</v>
      </c>
      <c r="P374" s="64" t="n">
        <f aca="false">IF(AND($M374&gt;0,ISNUMBER(MATCH($F374,Lists!$A$2:$A$5,0)),ISNUMBER(MATCH($G374,Lists!$B$2:$B$7,0)),OR($H374="",$N374&gt;0),OR($I374="",$I374="NR",$O374&gt;0),IF(ISNUMBER($J374),AND($J374&gt;=0,$J374=INT($J374)),FALSE())),$J374,0)</f>
        <v>0</v>
      </c>
      <c r="Q374" s="64" t="n">
        <f aca="false">IF(AND($P374&gt;0,$O374&gt;0),$P374,0)</f>
        <v>0</v>
      </c>
      <c r="R374" s="64" t="n">
        <f aca="false">IF(AND($Q374&gt;0,$O374&gt;=AtRank),$Q374,0)</f>
        <v>0</v>
      </c>
      <c r="S374" s="64" t="n">
        <f aca="false">IF(AND($Q374&gt;0,$O374&gt;=AboveRank),$Q374,0)</f>
        <v>0</v>
      </c>
      <c r="T374" s="64" t="n">
        <f aca="false">IF($K374="Less",$P374,0)</f>
        <v>0</v>
      </c>
      <c r="U374" s="64" t="n">
        <f aca="false">IF($K374="Expected",$P374,0)</f>
        <v>0</v>
      </c>
      <c r="V374" s="64" t="n">
        <f aca="false">IF($K374="Better",$P374,0)</f>
        <v>0</v>
      </c>
      <c r="W374" s="64" t="n">
        <f aca="false">IF($K374="U – needs rule",$P374,0)</f>
        <v>0</v>
      </c>
      <c r="X374" s="64" t="n">
        <f aca="false">IF($K374="No Start (attainment only)",$P374,0)</f>
        <v>0</v>
      </c>
    </row>
    <row r="375" customFormat="false" ht="15" hidden="false" customHeight="false" outlineLevel="0" collapsed="false">
      <c r="A375" s="60"/>
      <c r="B375" s="61" t="str">
        <f aca="false">IF($M375=0,"",INDEX(Classes!$E$6:$E$420,$M375))</f>
        <v/>
      </c>
      <c r="C375" s="62" t="str">
        <f aca="false">IF($M375=0,"",INDEX(Classes!$H$6:$H$420,$M375))</f>
        <v/>
      </c>
      <c r="D375" s="61" t="str">
        <f aca="false">IF($M375=0,"",INDEX(Classes!$B$6:$B$420,$M375))</f>
        <v/>
      </c>
      <c r="E375" s="61" t="str">
        <f aca="false">IF($M375=0,"",INDEX(Classes!$C$6:$C$420,$M375))</f>
        <v/>
      </c>
      <c r="F375" s="63"/>
      <c r="G375" s="63"/>
      <c r="H375" s="60"/>
      <c r="I375" s="60"/>
      <c r="J375" s="63"/>
      <c r="K375" s="61" t="str">
        <f aca="false">IF($P375=0,"",IF($F375="Baseline","— Baseline",IF($O375=0,"No result",IF($N375=0,"No Start (attainment only)",IF(OR($N375=1,$O375=1),"U – needs rule",INDEX(MxBody,MATCH($I375,MxCurr,0),MATCH($H375,MxStart,0)))))))</f>
        <v/>
      </c>
      <c r="L375" s="62" t="str">
        <f aca="false">IF(COUNTA($A375,$F375,$G375,$H375,$I375,$J375)=0,"",IF($M375=0,"✖ كود الصف غير موجود",IF(ISNA(MATCH($F375,Lists!$A$2:$A$5,0)),"✖ الفترة غير صحيحة",IF(ISNA(MATCH($G375,Lists!$B$2:$B$7,0)),"✖ المجموعة غير صحيحة",IF(NOT(OR($H375="",$N375&gt;0)),"✖ Start غير صحيح",IF(NOT(OR($I375="",$I375="NR",$O375&gt;0)),"✖ Current غير صحيح",IF(NOT(IF(ISNUMBER($J375),AND($J375&gt;=0,$J375=INT($J375)),FALSE())),"✖ العدد يجب أن يكون صحيحًا ≥ 0",IF(AND($F375="Baseline",$H375&lt;&gt;""),"⚠ Baseline: Start لا يدخل في التقدم",IF($K375="No Start (attainment only)","ℹ تحصيل فقط (بدون Start)",IF($K375="U – needs rule","ℹ حالة U تحتاج قاعدة معتمدة",IF($K375="No result","ℹ بدون نتيجة (يُستبعد من التحصيل)","OK")))))))))))</f>
        <v/>
      </c>
      <c r="M375" s="64" t="n">
        <f aca="false">IF($A375="",0,IFERROR(MATCH($A375,Classes!$A$6:$A$420,0),0))</f>
        <v>0</v>
      </c>
      <c r="N375" s="64" t="n">
        <f aca="false">IF($H375="",0,IFERROR(MATCH($H375,GradeList,0),0))</f>
        <v>0</v>
      </c>
      <c r="O375" s="64" t="n">
        <f aca="false">IF(OR($I375="",$I375="NR"),0,IFERROR(MATCH($I375,GradeList,0),0))</f>
        <v>0</v>
      </c>
      <c r="P375" s="64" t="n">
        <f aca="false">IF(AND($M375&gt;0,ISNUMBER(MATCH($F375,Lists!$A$2:$A$5,0)),ISNUMBER(MATCH($G375,Lists!$B$2:$B$7,0)),OR($H375="",$N375&gt;0),OR($I375="",$I375="NR",$O375&gt;0),IF(ISNUMBER($J375),AND($J375&gt;=0,$J375=INT($J375)),FALSE())),$J375,0)</f>
        <v>0</v>
      </c>
      <c r="Q375" s="64" t="n">
        <f aca="false">IF(AND($P375&gt;0,$O375&gt;0),$P375,0)</f>
        <v>0</v>
      </c>
      <c r="R375" s="64" t="n">
        <f aca="false">IF(AND($Q375&gt;0,$O375&gt;=AtRank),$Q375,0)</f>
        <v>0</v>
      </c>
      <c r="S375" s="64" t="n">
        <f aca="false">IF(AND($Q375&gt;0,$O375&gt;=AboveRank),$Q375,0)</f>
        <v>0</v>
      </c>
      <c r="T375" s="64" t="n">
        <f aca="false">IF($K375="Less",$P375,0)</f>
        <v>0</v>
      </c>
      <c r="U375" s="64" t="n">
        <f aca="false">IF($K375="Expected",$P375,0)</f>
        <v>0</v>
      </c>
      <c r="V375" s="64" t="n">
        <f aca="false">IF($K375="Better",$P375,0)</f>
        <v>0</v>
      </c>
      <c r="W375" s="64" t="n">
        <f aca="false">IF($K375="U – needs rule",$P375,0)</f>
        <v>0</v>
      </c>
      <c r="X375" s="64" t="n">
        <f aca="false">IF($K375="No Start (attainment only)",$P375,0)</f>
        <v>0</v>
      </c>
    </row>
    <row r="376" customFormat="false" ht="15" hidden="false" customHeight="false" outlineLevel="0" collapsed="false">
      <c r="A376" s="60"/>
      <c r="B376" s="61" t="str">
        <f aca="false">IF($M376=0,"",INDEX(Classes!$E$6:$E$420,$M376))</f>
        <v/>
      </c>
      <c r="C376" s="62" t="str">
        <f aca="false">IF($M376=0,"",INDEX(Classes!$H$6:$H$420,$M376))</f>
        <v/>
      </c>
      <c r="D376" s="61" t="str">
        <f aca="false">IF($M376=0,"",INDEX(Classes!$B$6:$B$420,$M376))</f>
        <v/>
      </c>
      <c r="E376" s="61" t="str">
        <f aca="false">IF($M376=0,"",INDEX(Classes!$C$6:$C$420,$M376))</f>
        <v/>
      </c>
      <c r="F376" s="63"/>
      <c r="G376" s="63"/>
      <c r="H376" s="60"/>
      <c r="I376" s="60"/>
      <c r="J376" s="63"/>
      <c r="K376" s="61" t="str">
        <f aca="false">IF($P376=0,"",IF($F376="Baseline","— Baseline",IF($O376=0,"No result",IF($N376=0,"No Start (attainment only)",IF(OR($N376=1,$O376=1),"U – needs rule",INDEX(MxBody,MATCH($I376,MxCurr,0),MATCH($H376,MxStart,0)))))))</f>
        <v/>
      </c>
      <c r="L376" s="62" t="str">
        <f aca="false">IF(COUNTA($A376,$F376,$G376,$H376,$I376,$J376)=0,"",IF($M376=0,"✖ كود الصف غير موجود",IF(ISNA(MATCH($F376,Lists!$A$2:$A$5,0)),"✖ الفترة غير صحيحة",IF(ISNA(MATCH($G376,Lists!$B$2:$B$7,0)),"✖ المجموعة غير صحيحة",IF(NOT(OR($H376="",$N376&gt;0)),"✖ Start غير صحيح",IF(NOT(OR($I376="",$I376="NR",$O376&gt;0)),"✖ Current غير صحيح",IF(NOT(IF(ISNUMBER($J376),AND($J376&gt;=0,$J376=INT($J376)),FALSE())),"✖ العدد يجب أن يكون صحيحًا ≥ 0",IF(AND($F376="Baseline",$H376&lt;&gt;""),"⚠ Baseline: Start لا يدخل في التقدم",IF($K376="No Start (attainment only)","ℹ تحصيل فقط (بدون Start)",IF($K376="U – needs rule","ℹ حالة U تحتاج قاعدة معتمدة",IF($K376="No result","ℹ بدون نتيجة (يُستبعد من التحصيل)","OK")))))))))))</f>
        <v/>
      </c>
      <c r="M376" s="64" t="n">
        <f aca="false">IF($A376="",0,IFERROR(MATCH($A376,Classes!$A$6:$A$420,0),0))</f>
        <v>0</v>
      </c>
      <c r="N376" s="64" t="n">
        <f aca="false">IF($H376="",0,IFERROR(MATCH($H376,GradeList,0),0))</f>
        <v>0</v>
      </c>
      <c r="O376" s="64" t="n">
        <f aca="false">IF(OR($I376="",$I376="NR"),0,IFERROR(MATCH($I376,GradeList,0),0))</f>
        <v>0</v>
      </c>
      <c r="P376" s="64" t="n">
        <f aca="false">IF(AND($M376&gt;0,ISNUMBER(MATCH($F376,Lists!$A$2:$A$5,0)),ISNUMBER(MATCH($G376,Lists!$B$2:$B$7,0)),OR($H376="",$N376&gt;0),OR($I376="",$I376="NR",$O376&gt;0),IF(ISNUMBER($J376),AND($J376&gt;=0,$J376=INT($J376)),FALSE())),$J376,0)</f>
        <v>0</v>
      </c>
      <c r="Q376" s="64" t="n">
        <f aca="false">IF(AND($P376&gt;0,$O376&gt;0),$P376,0)</f>
        <v>0</v>
      </c>
      <c r="R376" s="64" t="n">
        <f aca="false">IF(AND($Q376&gt;0,$O376&gt;=AtRank),$Q376,0)</f>
        <v>0</v>
      </c>
      <c r="S376" s="64" t="n">
        <f aca="false">IF(AND($Q376&gt;0,$O376&gt;=AboveRank),$Q376,0)</f>
        <v>0</v>
      </c>
      <c r="T376" s="64" t="n">
        <f aca="false">IF($K376="Less",$P376,0)</f>
        <v>0</v>
      </c>
      <c r="U376" s="64" t="n">
        <f aca="false">IF($K376="Expected",$P376,0)</f>
        <v>0</v>
      </c>
      <c r="V376" s="64" t="n">
        <f aca="false">IF($K376="Better",$P376,0)</f>
        <v>0</v>
      </c>
      <c r="W376" s="64" t="n">
        <f aca="false">IF($K376="U – needs rule",$P376,0)</f>
        <v>0</v>
      </c>
      <c r="X376" s="64" t="n">
        <f aca="false">IF($K376="No Start (attainment only)",$P376,0)</f>
        <v>0</v>
      </c>
    </row>
    <row r="377" customFormat="false" ht="15" hidden="false" customHeight="false" outlineLevel="0" collapsed="false">
      <c r="A377" s="60"/>
      <c r="B377" s="61" t="str">
        <f aca="false">IF($M377=0,"",INDEX(Classes!$E$6:$E$420,$M377))</f>
        <v/>
      </c>
      <c r="C377" s="62" t="str">
        <f aca="false">IF($M377=0,"",INDEX(Classes!$H$6:$H$420,$M377))</f>
        <v/>
      </c>
      <c r="D377" s="61" t="str">
        <f aca="false">IF($M377=0,"",INDEX(Classes!$B$6:$B$420,$M377))</f>
        <v/>
      </c>
      <c r="E377" s="61" t="str">
        <f aca="false">IF($M377=0,"",INDEX(Classes!$C$6:$C$420,$M377))</f>
        <v/>
      </c>
      <c r="F377" s="63"/>
      <c r="G377" s="63"/>
      <c r="H377" s="60"/>
      <c r="I377" s="60"/>
      <c r="J377" s="63"/>
      <c r="K377" s="61" t="str">
        <f aca="false">IF($P377=0,"",IF($F377="Baseline","— Baseline",IF($O377=0,"No result",IF($N377=0,"No Start (attainment only)",IF(OR($N377=1,$O377=1),"U – needs rule",INDEX(MxBody,MATCH($I377,MxCurr,0),MATCH($H377,MxStart,0)))))))</f>
        <v/>
      </c>
      <c r="L377" s="62" t="str">
        <f aca="false">IF(COUNTA($A377,$F377,$G377,$H377,$I377,$J377)=0,"",IF($M377=0,"✖ كود الصف غير موجود",IF(ISNA(MATCH($F377,Lists!$A$2:$A$5,0)),"✖ الفترة غير صحيحة",IF(ISNA(MATCH($G377,Lists!$B$2:$B$7,0)),"✖ المجموعة غير صحيحة",IF(NOT(OR($H377="",$N377&gt;0)),"✖ Start غير صحيح",IF(NOT(OR($I377="",$I377="NR",$O377&gt;0)),"✖ Current غير صحيح",IF(NOT(IF(ISNUMBER($J377),AND($J377&gt;=0,$J377=INT($J377)),FALSE())),"✖ العدد يجب أن يكون صحيحًا ≥ 0",IF(AND($F377="Baseline",$H377&lt;&gt;""),"⚠ Baseline: Start لا يدخل في التقدم",IF($K377="No Start (attainment only)","ℹ تحصيل فقط (بدون Start)",IF($K377="U – needs rule","ℹ حالة U تحتاج قاعدة معتمدة",IF($K377="No result","ℹ بدون نتيجة (يُستبعد من التحصيل)","OK")))))))))))</f>
        <v/>
      </c>
      <c r="M377" s="64" t="n">
        <f aca="false">IF($A377="",0,IFERROR(MATCH($A377,Classes!$A$6:$A$420,0),0))</f>
        <v>0</v>
      </c>
      <c r="N377" s="64" t="n">
        <f aca="false">IF($H377="",0,IFERROR(MATCH($H377,GradeList,0),0))</f>
        <v>0</v>
      </c>
      <c r="O377" s="64" t="n">
        <f aca="false">IF(OR($I377="",$I377="NR"),0,IFERROR(MATCH($I377,GradeList,0),0))</f>
        <v>0</v>
      </c>
      <c r="P377" s="64" t="n">
        <f aca="false">IF(AND($M377&gt;0,ISNUMBER(MATCH($F377,Lists!$A$2:$A$5,0)),ISNUMBER(MATCH($G377,Lists!$B$2:$B$7,0)),OR($H377="",$N377&gt;0),OR($I377="",$I377="NR",$O377&gt;0),IF(ISNUMBER($J377),AND($J377&gt;=0,$J377=INT($J377)),FALSE())),$J377,0)</f>
        <v>0</v>
      </c>
      <c r="Q377" s="64" t="n">
        <f aca="false">IF(AND($P377&gt;0,$O377&gt;0),$P377,0)</f>
        <v>0</v>
      </c>
      <c r="R377" s="64" t="n">
        <f aca="false">IF(AND($Q377&gt;0,$O377&gt;=AtRank),$Q377,0)</f>
        <v>0</v>
      </c>
      <c r="S377" s="64" t="n">
        <f aca="false">IF(AND($Q377&gt;0,$O377&gt;=AboveRank),$Q377,0)</f>
        <v>0</v>
      </c>
      <c r="T377" s="64" t="n">
        <f aca="false">IF($K377="Less",$P377,0)</f>
        <v>0</v>
      </c>
      <c r="U377" s="64" t="n">
        <f aca="false">IF($K377="Expected",$P377,0)</f>
        <v>0</v>
      </c>
      <c r="V377" s="64" t="n">
        <f aca="false">IF($K377="Better",$P377,0)</f>
        <v>0</v>
      </c>
      <c r="W377" s="64" t="n">
        <f aca="false">IF($K377="U – needs rule",$P377,0)</f>
        <v>0</v>
      </c>
      <c r="X377" s="64" t="n">
        <f aca="false">IF($K377="No Start (attainment only)",$P377,0)</f>
        <v>0</v>
      </c>
    </row>
    <row r="378" customFormat="false" ht="15" hidden="false" customHeight="false" outlineLevel="0" collapsed="false">
      <c r="A378" s="60"/>
      <c r="B378" s="61" t="str">
        <f aca="false">IF($M378=0,"",INDEX(Classes!$E$6:$E$420,$M378))</f>
        <v/>
      </c>
      <c r="C378" s="62" t="str">
        <f aca="false">IF($M378=0,"",INDEX(Classes!$H$6:$H$420,$M378))</f>
        <v/>
      </c>
      <c r="D378" s="61" t="str">
        <f aca="false">IF($M378=0,"",INDEX(Classes!$B$6:$B$420,$M378))</f>
        <v/>
      </c>
      <c r="E378" s="61" t="str">
        <f aca="false">IF($M378=0,"",INDEX(Classes!$C$6:$C$420,$M378))</f>
        <v/>
      </c>
      <c r="F378" s="63"/>
      <c r="G378" s="63"/>
      <c r="H378" s="60"/>
      <c r="I378" s="60"/>
      <c r="J378" s="63"/>
      <c r="K378" s="61" t="str">
        <f aca="false">IF($P378=0,"",IF($F378="Baseline","— Baseline",IF($O378=0,"No result",IF($N378=0,"No Start (attainment only)",IF(OR($N378=1,$O378=1),"U – needs rule",INDEX(MxBody,MATCH($I378,MxCurr,0),MATCH($H378,MxStart,0)))))))</f>
        <v/>
      </c>
      <c r="L378" s="62" t="str">
        <f aca="false">IF(COUNTA($A378,$F378,$G378,$H378,$I378,$J378)=0,"",IF($M378=0,"✖ كود الصف غير موجود",IF(ISNA(MATCH($F378,Lists!$A$2:$A$5,0)),"✖ الفترة غير صحيحة",IF(ISNA(MATCH($G378,Lists!$B$2:$B$7,0)),"✖ المجموعة غير صحيحة",IF(NOT(OR($H378="",$N378&gt;0)),"✖ Start غير صحيح",IF(NOT(OR($I378="",$I378="NR",$O378&gt;0)),"✖ Current غير صحيح",IF(NOT(IF(ISNUMBER($J378),AND($J378&gt;=0,$J378=INT($J378)),FALSE())),"✖ العدد يجب أن يكون صحيحًا ≥ 0",IF(AND($F378="Baseline",$H378&lt;&gt;""),"⚠ Baseline: Start لا يدخل في التقدم",IF($K378="No Start (attainment only)","ℹ تحصيل فقط (بدون Start)",IF($K378="U – needs rule","ℹ حالة U تحتاج قاعدة معتمدة",IF($K378="No result","ℹ بدون نتيجة (يُستبعد من التحصيل)","OK")))))))))))</f>
        <v/>
      </c>
      <c r="M378" s="64" t="n">
        <f aca="false">IF($A378="",0,IFERROR(MATCH($A378,Classes!$A$6:$A$420,0),0))</f>
        <v>0</v>
      </c>
      <c r="N378" s="64" t="n">
        <f aca="false">IF($H378="",0,IFERROR(MATCH($H378,GradeList,0),0))</f>
        <v>0</v>
      </c>
      <c r="O378" s="64" t="n">
        <f aca="false">IF(OR($I378="",$I378="NR"),0,IFERROR(MATCH($I378,GradeList,0),0))</f>
        <v>0</v>
      </c>
      <c r="P378" s="64" t="n">
        <f aca="false">IF(AND($M378&gt;0,ISNUMBER(MATCH($F378,Lists!$A$2:$A$5,0)),ISNUMBER(MATCH($G378,Lists!$B$2:$B$7,0)),OR($H378="",$N378&gt;0),OR($I378="",$I378="NR",$O378&gt;0),IF(ISNUMBER($J378),AND($J378&gt;=0,$J378=INT($J378)),FALSE())),$J378,0)</f>
        <v>0</v>
      </c>
      <c r="Q378" s="64" t="n">
        <f aca="false">IF(AND($P378&gt;0,$O378&gt;0),$P378,0)</f>
        <v>0</v>
      </c>
      <c r="R378" s="64" t="n">
        <f aca="false">IF(AND($Q378&gt;0,$O378&gt;=AtRank),$Q378,0)</f>
        <v>0</v>
      </c>
      <c r="S378" s="64" t="n">
        <f aca="false">IF(AND($Q378&gt;0,$O378&gt;=AboveRank),$Q378,0)</f>
        <v>0</v>
      </c>
      <c r="T378" s="64" t="n">
        <f aca="false">IF($K378="Less",$P378,0)</f>
        <v>0</v>
      </c>
      <c r="U378" s="64" t="n">
        <f aca="false">IF($K378="Expected",$P378,0)</f>
        <v>0</v>
      </c>
      <c r="V378" s="64" t="n">
        <f aca="false">IF($K378="Better",$P378,0)</f>
        <v>0</v>
      </c>
      <c r="W378" s="64" t="n">
        <f aca="false">IF($K378="U – needs rule",$P378,0)</f>
        <v>0</v>
      </c>
      <c r="X378" s="64" t="n">
        <f aca="false">IF($K378="No Start (attainment only)",$P378,0)</f>
        <v>0</v>
      </c>
    </row>
    <row r="379" customFormat="false" ht="15" hidden="false" customHeight="false" outlineLevel="0" collapsed="false">
      <c r="A379" s="60"/>
      <c r="B379" s="61" t="str">
        <f aca="false">IF($M379=0,"",INDEX(Classes!$E$6:$E$420,$M379))</f>
        <v/>
      </c>
      <c r="C379" s="62" t="str">
        <f aca="false">IF($M379=0,"",INDEX(Classes!$H$6:$H$420,$M379))</f>
        <v/>
      </c>
      <c r="D379" s="61" t="str">
        <f aca="false">IF($M379=0,"",INDEX(Classes!$B$6:$B$420,$M379))</f>
        <v/>
      </c>
      <c r="E379" s="61" t="str">
        <f aca="false">IF($M379=0,"",INDEX(Classes!$C$6:$C$420,$M379))</f>
        <v/>
      </c>
      <c r="F379" s="63"/>
      <c r="G379" s="63"/>
      <c r="H379" s="60"/>
      <c r="I379" s="60"/>
      <c r="J379" s="63"/>
      <c r="K379" s="61" t="str">
        <f aca="false">IF($P379=0,"",IF($F379="Baseline","— Baseline",IF($O379=0,"No result",IF($N379=0,"No Start (attainment only)",IF(OR($N379=1,$O379=1),"U – needs rule",INDEX(MxBody,MATCH($I379,MxCurr,0),MATCH($H379,MxStart,0)))))))</f>
        <v/>
      </c>
      <c r="L379" s="62" t="str">
        <f aca="false">IF(COUNTA($A379,$F379,$G379,$H379,$I379,$J379)=0,"",IF($M379=0,"✖ كود الصف غير موجود",IF(ISNA(MATCH($F379,Lists!$A$2:$A$5,0)),"✖ الفترة غير صحيحة",IF(ISNA(MATCH($G379,Lists!$B$2:$B$7,0)),"✖ المجموعة غير صحيحة",IF(NOT(OR($H379="",$N379&gt;0)),"✖ Start غير صحيح",IF(NOT(OR($I379="",$I379="NR",$O379&gt;0)),"✖ Current غير صحيح",IF(NOT(IF(ISNUMBER($J379),AND($J379&gt;=0,$J379=INT($J379)),FALSE())),"✖ العدد يجب أن يكون صحيحًا ≥ 0",IF(AND($F379="Baseline",$H379&lt;&gt;""),"⚠ Baseline: Start لا يدخل في التقدم",IF($K379="No Start (attainment only)","ℹ تحصيل فقط (بدون Start)",IF($K379="U – needs rule","ℹ حالة U تحتاج قاعدة معتمدة",IF($K379="No result","ℹ بدون نتيجة (يُستبعد من التحصيل)","OK")))))))))))</f>
        <v/>
      </c>
      <c r="M379" s="64" t="n">
        <f aca="false">IF($A379="",0,IFERROR(MATCH($A379,Classes!$A$6:$A$420,0),0))</f>
        <v>0</v>
      </c>
      <c r="N379" s="64" t="n">
        <f aca="false">IF($H379="",0,IFERROR(MATCH($H379,GradeList,0),0))</f>
        <v>0</v>
      </c>
      <c r="O379" s="64" t="n">
        <f aca="false">IF(OR($I379="",$I379="NR"),0,IFERROR(MATCH($I379,GradeList,0),0))</f>
        <v>0</v>
      </c>
      <c r="P379" s="64" t="n">
        <f aca="false">IF(AND($M379&gt;0,ISNUMBER(MATCH($F379,Lists!$A$2:$A$5,0)),ISNUMBER(MATCH($G379,Lists!$B$2:$B$7,0)),OR($H379="",$N379&gt;0),OR($I379="",$I379="NR",$O379&gt;0),IF(ISNUMBER($J379),AND($J379&gt;=0,$J379=INT($J379)),FALSE())),$J379,0)</f>
        <v>0</v>
      </c>
      <c r="Q379" s="64" t="n">
        <f aca="false">IF(AND($P379&gt;0,$O379&gt;0),$P379,0)</f>
        <v>0</v>
      </c>
      <c r="R379" s="64" t="n">
        <f aca="false">IF(AND($Q379&gt;0,$O379&gt;=AtRank),$Q379,0)</f>
        <v>0</v>
      </c>
      <c r="S379" s="64" t="n">
        <f aca="false">IF(AND($Q379&gt;0,$O379&gt;=AboveRank),$Q379,0)</f>
        <v>0</v>
      </c>
      <c r="T379" s="64" t="n">
        <f aca="false">IF($K379="Less",$P379,0)</f>
        <v>0</v>
      </c>
      <c r="U379" s="64" t="n">
        <f aca="false">IF($K379="Expected",$P379,0)</f>
        <v>0</v>
      </c>
      <c r="V379" s="64" t="n">
        <f aca="false">IF($K379="Better",$P379,0)</f>
        <v>0</v>
      </c>
      <c r="W379" s="64" t="n">
        <f aca="false">IF($K379="U – needs rule",$P379,0)</f>
        <v>0</v>
      </c>
      <c r="X379" s="64" t="n">
        <f aca="false">IF($K379="No Start (attainment only)",$P379,0)</f>
        <v>0</v>
      </c>
    </row>
    <row r="380" customFormat="false" ht="15" hidden="false" customHeight="false" outlineLevel="0" collapsed="false">
      <c r="A380" s="60"/>
      <c r="B380" s="61" t="str">
        <f aca="false">IF($M380=0,"",INDEX(Classes!$E$6:$E$420,$M380))</f>
        <v/>
      </c>
      <c r="C380" s="62" t="str">
        <f aca="false">IF($M380=0,"",INDEX(Classes!$H$6:$H$420,$M380))</f>
        <v/>
      </c>
      <c r="D380" s="61" t="str">
        <f aca="false">IF($M380=0,"",INDEX(Classes!$B$6:$B$420,$M380))</f>
        <v/>
      </c>
      <c r="E380" s="61" t="str">
        <f aca="false">IF($M380=0,"",INDEX(Classes!$C$6:$C$420,$M380))</f>
        <v/>
      </c>
      <c r="F380" s="63"/>
      <c r="G380" s="63"/>
      <c r="H380" s="60"/>
      <c r="I380" s="60"/>
      <c r="J380" s="63"/>
      <c r="K380" s="61" t="str">
        <f aca="false">IF($P380=0,"",IF($F380="Baseline","— Baseline",IF($O380=0,"No result",IF($N380=0,"No Start (attainment only)",IF(OR($N380=1,$O380=1),"U – needs rule",INDEX(MxBody,MATCH($I380,MxCurr,0),MATCH($H380,MxStart,0)))))))</f>
        <v/>
      </c>
      <c r="L380" s="62" t="str">
        <f aca="false">IF(COUNTA($A380,$F380,$G380,$H380,$I380,$J380)=0,"",IF($M380=0,"✖ كود الصف غير موجود",IF(ISNA(MATCH($F380,Lists!$A$2:$A$5,0)),"✖ الفترة غير صحيحة",IF(ISNA(MATCH($G380,Lists!$B$2:$B$7,0)),"✖ المجموعة غير صحيحة",IF(NOT(OR($H380="",$N380&gt;0)),"✖ Start غير صحيح",IF(NOT(OR($I380="",$I380="NR",$O380&gt;0)),"✖ Current غير صحيح",IF(NOT(IF(ISNUMBER($J380),AND($J380&gt;=0,$J380=INT($J380)),FALSE())),"✖ العدد يجب أن يكون صحيحًا ≥ 0",IF(AND($F380="Baseline",$H380&lt;&gt;""),"⚠ Baseline: Start لا يدخل في التقدم",IF($K380="No Start (attainment only)","ℹ تحصيل فقط (بدون Start)",IF($K380="U – needs rule","ℹ حالة U تحتاج قاعدة معتمدة",IF($K380="No result","ℹ بدون نتيجة (يُستبعد من التحصيل)","OK")))))))))))</f>
        <v/>
      </c>
      <c r="M380" s="64" t="n">
        <f aca="false">IF($A380="",0,IFERROR(MATCH($A380,Classes!$A$6:$A$420,0),0))</f>
        <v>0</v>
      </c>
      <c r="N380" s="64" t="n">
        <f aca="false">IF($H380="",0,IFERROR(MATCH($H380,GradeList,0),0))</f>
        <v>0</v>
      </c>
      <c r="O380" s="64" t="n">
        <f aca="false">IF(OR($I380="",$I380="NR"),0,IFERROR(MATCH($I380,GradeList,0),0))</f>
        <v>0</v>
      </c>
      <c r="P380" s="64" t="n">
        <f aca="false">IF(AND($M380&gt;0,ISNUMBER(MATCH($F380,Lists!$A$2:$A$5,0)),ISNUMBER(MATCH($G380,Lists!$B$2:$B$7,0)),OR($H380="",$N380&gt;0),OR($I380="",$I380="NR",$O380&gt;0),IF(ISNUMBER($J380),AND($J380&gt;=0,$J380=INT($J380)),FALSE())),$J380,0)</f>
        <v>0</v>
      </c>
      <c r="Q380" s="64" t="n">
        <f aca="false">IF(AND($P380&gt;0,$O380&gt;0),$P380,0)</f>
        <v>0</v>
      </c>
      <c r="R380" s="64" t="n">
        <f aca="false">IF(AND($Q380&gt;0,$O380&gt;=AtRank),$Q380,0)</f>
        <v>0</v>
      </c>
      <c r="S380" s="64" t="n">
        <f aca="false">IF(AND($Q380&gt;0,$O380&gt;=AboveRank),$Q380,0)</f>
        <v>0</v>
      </c>
      <c r="T380" s="64" t="n">
        <f aca="false">IF($K380="Less",$P380,0)</f>
        <v>0</v>
      </c>
      <c r="U380" s="64" t="n">
        <f aca="false">IF($K380="Expected",$P380,0)</f>
        <v>0</v>
      </c>
      <c r="V380" s="64" t="n">
        <f aca="false">IF($K380="Better",$P380,0)</f>
        <v>0</v>
      </c>
      <c r="W380" s="64" t="n">
        <f aca="false">IF($K380="U – needs rule",$P380,0)</f>
        <v>0</v>
      </c>
      <c r="X380" s="64" t="n">
        <f aca="false">IF($K380="No Start (attainment only)",$P380,0)</f>
        <v>0</v>
      </c>
    </row>
    <row r="381" customFormat="false" ht="15" hidden="false" customHeight="false" outlineLevel="0" collapsed="false">
      <c r="A381" s="60"/>
      <c r="B381" s="61" t="str">
        <f aca="false">IF($M381=0,"",INDEX(Classes!$E$6:$E$420,$M381))</f>
        <v/>
      </c>
      <c r="C381" s="62" t="str">
        <f aca="false">IF($M381=0,"",INDEX(Classes!$H$6:$H$420,$M381))</f>
        <v/>
      </c>
      <c r="D381" s="61" t="str">
        <f aca="false">IF($M381=0,"",INDEX(Classes!$B$6:$B$420,$M381))</f>
        <v/>
      </c>
      <c r="E381" s="61" t="str">
        <f aca="false">IF($M381=0,"",INDEX(Classes!$C$6:$C$420,$M381))</f>
        <v/>
      </c>
      <c r="F381" s="63"/>
      <c r="G381" s="63"/>
      <c r="H381" s="60"/>
      <c r="I381" s="60"/>
      <c r="J381" s="63"/>
      <c r="K381" s="61" t="str">
        <f aca="false">IF($P381=0,"",IF($F381="Baseline","— Baseline",IF($O381=0,"No result",IF($N381=0,"No Start (attainment only)",IF(OR($N381=1,$O381=1),"U – needs rule",INDEX(MxBody,MATCH($I381,MxCurr,0),MATCH($H381,MxStart,0)))))))</f>
        <v/>
      </c>
      <c r="L381" s="62" t="str">
        <f aca="false">IF(COUNTA($A381,$F381,$G381,$H381,$I381,$J381)=0,"",IF($M381=0,"✖ كود الصف غير موجود",IF(ISNA(MATCH($F381,Lists!$A$2:$A$5,0)),"✖ الفترة غير صحيحة",IF(ISNA(MATCH($G381,Lists!$B$2:$B$7,0)),"✖ المجموعة غير صحيحة",IF(NOT(OR($H381="",$N381&gt;0)),"✖ Start غير صحيح",IF(NOT(OR($I381="",$I381="NR",$O381&gt;0)),"✖ Current غير صحيح",IF(NOT(IF(ISNUMBER($J381),AND($J381&gt;=0,$J381=INT($J381)),FALSE())),"✖ العدد يجب أن يكون صحيحًا ≥ 0",IF(AND($F381="Baseline",$H381&lt;&gt;""),"⚠ Baseline: Start لا يدخل في التقدم",IF($K381="No Start (attainment only)","ℹ تحصيل فقط (بدون Start)",IF($K381="U – needs rule","ℹ حالة U تحتاج قاعدة معتمدة",IF($K381="No result","ℹ بدون نتيجة (يُستبعد من التحصيل)","OK")))))))))))</f>
        <v/>
      </c>
      <c r="M381" s="64" t="n">
        <f aca="false">IF($A381="",0,IFERROR(MATCH($A381,Classes!$A$6:$A$420,0),0))</f>
        <v>0</v>
      </c>
      <c r="N381" s="64" t="n">
        <f aca="false">IF($H381="",0,IFERROR(MATCH($H381,GradeList,0),0))</f>
        <v>0</v>
      </c>
      <c r="O381" s="64" t="n">
        <f aca="false">IF(OR($I381="",$I381="NR"),0,IFERROR(MATCH($I381,GradeList,0),0))</f>
        <v>0</v>
      </c>
      <c r="P381" s="64" t="n">
        <f aca="false">IF(AND($M381&gt;0,ISNUMBER(MATCH($F381,Lists!$A$2:$A$5,0)),ISNUMBER(MATCH($G381,Lists!$B$2:$B$7,0)),OR($H381="",$N381&gt;0),OR($I381="",$I381="NR",$O381&gt;0),IF(ISNUMBER($J381),AND($J381&gt;=0,$J381=INT($J381)),FALSE())),$J381,0)</f>
        <v>0</v>
      </c>
      <c r="Q381" s="64" t="n">
        <f aca="false">IF(AND($P381&gt;0,$O381&gt;0),$P381,0)</f>
        <v>0</v>
      </c>
      <c r="R381" s="64" t="n">
        <f aca="false">IF(AND($Q381&gt;0,$O381&gt;=AtRank),$Q381,0)</f>
        <v>0</v>
      </c>
      <c r="S381" s="64" t="n">
        <f aca="false">IF(AND($Q381&gt;0,$O381&gt;=AboveRank),$Q381,0)</f>
        <v>0</v>
      </c>
      <c r="T381" s="64" t="n">
        <f aca="false">IF($K381="Less",$P381,0)</f>
        <v>0</v>
      </c>
      <c r="U381" s="64" t="n">
        <f aca="false">IF($K381="Expected",$P381,0)</f>
        <v>0</v>
      </c>
      <c r="V381" s="64" t="n">
        <f aca="false">IF($K381="Better",$P381,0)</f>
        <v>0</v>
      </c>
      <c r="W381" s="64" t="n">
        <f aca="false">IF($K381="U – needs rule",$P381,0)</f>
        <v>0</v>
      </c>
      <c r="X381" s="64" t="n">
        <f aca="false">IF($K381="No Start (attainment only)",$P381,0)</f>
        <v>0</v>
      </c>
    </row>
    <row r="382" customFormat="false" ht="15" hidden="false" customHeight="false" outlineLevel="0" collapsed="false">
      <c r="A382" s="60"/>
      <c r="B382" s="61" t="str">
        <f aca="false">IF($M382=0,"",INDEX(Classes!$E$6:$E$420,$M382))</f>
        <v/>
      </c>
      <c r="C382" s="62" t="str">
        <f aca="false">IF($M382=0,"",INDEX(Classes!$H$6:$H$420,$M382))</f>
        <v/>
      </c>
      <c r="D382" s="61" t="str">
        <f aca="false">IF($M382=0,"",INDEX(Classes!$B$6:$B$420,$M382))</f>
        <v/>
      </c>
      <c r="E382" s="61" t="str">
        <f aca="false">IF($M382=0,"",INDEX(Classes!$C$6:$C$420,$M382))</f>
        <v/>
      </c>
      <c r="F382" s="63"/>
      <c r="G382" s="63"/>
      <c r="H382" s="60"/>
      <c r="I382" s="60"/>
      <c r="J382" s="63"/>
      <c r="K382" s="61" t="str">
        <f aca="false">IF($P382=0,"",IF($F382="Baseline","— Baseline",IF($O382=0,"No result",IF($N382=0,"No Start (attainment only)",IF(OR($N382=1,$O382=1),"U – needs rule",INDEX(MxBody,MATCH($I382,MxCurr,0),MATCH($H382,MxStart,0)))))))</f>
        <v/>
      </c>
      <c r="L382" s="62" t="str">
        <f aca="false">IF(COUNTA($A382,$F382,$G382,$H382,$I382,$J382)=0,"",IF($M382=0,"✖ كود الصف غير موجود",IF(ISNA(MATCH($F382,Lists!$A$2:$A$5,0)),"✖ الفترة غير صحيحة",IF(ISNA(MATCH($G382,Lists!$B$2:$B$7,0)),"✖ المجموعة غير صحيحة",IF(NOT(OR($H382="",$N382&gt;0)),"✖ Start غير صحيح",IF(NOT(OR($I382="",$I382="NR",$O382&gt;0)),"✖ Current غير صحيح",IF(NOT(IF(ISNUMBER($J382),AND($J382&gt;=0,$J382=INT($J382)),FALSE())),"✖ العدد يجب أن يكون صحيحًا ≥ 0",IF(AND($F382="Baseline",$H382&lt;&gt;""),"⚠ Baseline: Start لا يدخل في التقدم",IF($K382="No Start (attainment only)","ℹ تحصيل فقط (بدون Start)",IF($K382="U – needs rule","ℹ حالة U تحتاج قاعدة معتمدة",IF($K382="No result","ℹ بدون نتيجة (يُستبعد من التحصيل)","OK")))))))))))</f>
        <v/>
      </c>
      <c r="M382" s="64" t="n">
        <f aca="false">IF($A382="",0,IFERROR(MATCH($A382,Classes!$A$6:$A$420,0),0))</f>
        <v>0</v>
      </c>
      <c r="N382" s="64" t="n">
        <f aca="false">IF($H382="",0,IFERROR(MATCH($H382,GradeList,0),0))</f>
        <v>0</v>
      </c>
      <c r="O382" s="64" t="n">
        <f aca="false">IF(OR($I382="",$I382="NR"),0,IFERROR(MATCH($I382,GradeList,0),0))</f>
        <v>0</v>
      </c>
      <c r="P382" s="64" t="n">
        <f aca="false">IF(AND($M382&gt;0,ISNUMBER(MATCH($F382,Lists!$A$2:$A$5,0)),ISNUMBER(MATCH($G382,Lists!$B$2:$B$7,0)),OR($H382="",$N382&gt;0),OR($I382="",$I382="NR",$O382&gt;0),IF(ISNUMBER($J382),AND($J382&gt;=0,$J382=INT($J382)),FALSE())),$J382,0)</f>
        <v>0</v>
      </c>
      <c r="Q382" s="64" t="n">
        <f aca="false">IF(AND($P382&gt;0,$O382&gt;0),$P382,0)</f>
        <v>0</v>
      </c>
      <c r="R382" s="64" t="n">
        <f aca="false">IF(AND($Q382&gt;0,$O382&gt;=AtRank),$Q382,0)</f>
        <v>0</v>
      </c>
      <c r="S382" s="64" t="n">
        <f aca="false">IF(AND($Q382&gt;0,$O382&gt;=AboveRank),$Q382,0)</f>
        <v>0</v>
      </c>
      <c r="T382" s="64" t="n">
        <f aca="false">IF($K382="Less",$P382,0)</f>
        <v>0</v>
      </c>
      <c r="U382" s="64" t="n">
        <f aca="false">IF($K382="Expected",$P382,0)</f>
        <v>0</v>
      </c>
      <c r="V382" s="64" t="n">
        <f aca="false">IF($K382="Better",$P382,0)</f>
        <v>0</v>
      </c>
      <c r="W382" s="64" t="n">
        <f aca="false">IF($K382="U – needs rule",$P382,0)</f>
        <v>0</v>
      </c>
      <c r="X382" s="64" t="n">
        <f aca="false">IF($K382="No Start (attainment only)",$P382,0)</f>
        <v>0</v>
      </c>
    </row>
    <row r="383" customFormat="false" ht="15" hidden="false" customHeight="false" outlineLevel="0" collapsed="false">
      <c r="A383" s="60"/>
      <c r="B383" s="61" t="str">
        <f aca="false">IF($M383=0,"",INDEX(Classes!$E$6:$E$420,$M383))</f>
        <v/>
      </c>
      <c r="C383" s="62" t="str">
        <f aca="false">IF($M383=0,"",INDEX(Classes!$H$6:$H$420,$M383))</f>
        <v/>
      </c>
      <c r="D383" s="61" t="str">
        <f aca="false">IF($M383=0,"",INDEX(Classes!$B$6:$B$420,$M383))</f>
        <v/>
      </c>
      <c r="E383" s="61" t="str">
        <f aca="false">IF($M383=0,"",INDEX(Classes!$C$6:$C$420,$M383))</f>
        <v/>
      </c>
      <c r="F383" s="63"/>
      <c r="G383" s="63"/>
      <c r="H383" s="60"/>
      <c r="I383" s="60"/>
      <c r="J383" s="63"/>
      <c r="K383" s="61" t="str">
        <f aca="false">IF($P383=0,"",IF($F383="Baseline","— Baseline",IF($O383=0,"No result",IF($N383=0,"No Start (attainment only)",IF(OR($N383=1,$O383=1),"U – needs rule",INDEX(MxBody,MATCH($I383,MxCurr,0),MATCH($H383,MxStart,0)))))))</f>
        <v/>
      </c>
      <c r="L383" s="62" t="str">
        <f aca="false">IF(COUNTA($A383,$F383,$G383,$H383,$I383,$J383)=0,"",IF($M383=0,"✖ كود الصف غير موجود",IF(ISNA(MATCH($F383,Lists!$A$2:$A$5,0)),"✖ الفترة غير صحيحة",IF(ISNA(MATCH($G383,Lists!$B$2:$B$7,0)),"✖ المجموعة غير صحيحة",IF(NOT(OR($H383="",$N383&gt;0)),"✖ Start غير صحيح",IF(NOT(OR($I383="",$I383="NR",$O383&gt;0)),"✖ Current غير صحيح",IF(NOT(IF(ISNUMBER($J383),AND($J383&gt;=0,$J383=INT($J383)),FALSE())),"✖ العدد يجب أن يكون صحيحًا ≥ 0",IF(AND($F383="Baseline",$H383&lt;&gt;""),"⚠ Baseline: Start لا يدخل في التقدم",IF($K383="No Start (attainment only)","ℹ تحصيل فقط (بدون Start)",IF($K383="U – needs rule","ℹ حالة U تحتاج قاعدة معتمدة",IF($K383="No result","ℹ بدون نتيجة (يُستبعد من التحصيل)","OK")))))))))))</f>
        <v/>
      </c>
      <c r="M383" s="64" t="n">
        <f aca="false">IF($A383="",0,IFERROR(MATCH($A383,Classes!$A$6:$A$420,0),0))</f>
        <v>0</v>
      </c>
      <c r="N383" s="64" t="n">
        <f aca="false">IF($H383="",0,IFERROR(MATCH($H383,GradeList,0),0))</f>
        <v>0</v>
      </c>
      <c r="O383" s="64" t="n">
        <f aca="false">IF(OR($I383="",$I383="NR"),0,IFERROR(MATCH($I383,GradeList,0),0))</f>
        <v>0</v>
      </c>
      <c r="P383" s="64" t="n">
        <f aca="false">IF(AND($M383&gt;0,ISNUMBER(MATCH($F383,Lists!$A$2:$A$5,0)),ISNUMBER(MATCH($G383,Lists!$B$2:$B$7,0)),OR($H383="",$N383&gt;0),OR($I383="",$I383="NR",$O383&gt;0),IF(ISNUMBER($J383),AND($J383&gt;=0,$J383=INT($J383)),FALSE())),$J383,0)</f>
        <v>0</v>
      </c>
      <c r="Q383" s="64" t="n">
        <f aca="false">IF(AND($P383&gt;0,$O383&gt;0),$P383,0)</f>
        <v>0</v>
      </c>
      <c r="R383" s="64" t="n">
        <f aca="false">IF(AND($Q383&gt;0,$O383&gt;=AtRank),$Q383,0)</f>
        <v>0</v>
      </c>
      <c r="S383" s="64" t="n">
        <f aca="false">IF(AND($Q383&gt;0,$O383&gt;=AboveRank),$Q383,0)</f>
        <v>0</v>
      </c>
      <c r="T383" s="64" t="n">
        <f aca="false">IF($K383="Less",$P383,0)</f>
        <v>0</v>
      </c>
      <c r="U383" s="64" t="n">
        <f aca="false">IF($K383="Expected",$P383,0)</f>
        <v>0</v>
      </c>
      <c r="V383" s="64" t="n">
        <f aca="false">IF($K383="Better",$P383,0)</f>
        <v>0</v>
      </c>
      <c r="W383" s="64" t="n">
        <f aca="false">IF($K383="U – needs rule",$P383,0)</f>
        <v>0</v>
      </c>
      <c r="X383" s="64" t="n">
        <f aca="false">IF($K383="No Start (attainment only)",$P383,0)</f>
        <v>0</v>
      </c>
    </row>
    <row r="384" customFormat="false" ht="15" hidden="false" customHeight="false" outlineLevel="0" collapsed="false">
      <c r="A384" s="60"/>
      <c r="B384" s="61" t="str">
        <f aca="false">IF($M384=0,"",INDEX(Classes!$E$6:$E$420,$M384))</f>
        <v/>
      </c>
      <c r="C384" s="62" t="str">
        <f aca="false">IF($M384=0,"",INDEX(Classes!$H$6:$H$420,$M384))</f>
        <v/>
      </c>
      <c r="D384" s="61" t="str">
        <f aca="false">IF($M384=0,"",INDEX(Classes!$B$6:$B$420,$M384))</f>
        <v/>
      </c>
      <c r="E384" s="61" t="str">
        <f aca="false">IF($M384=0,"",INDEX(Classes!$C$6:$C$420,$M384))</f>
        <v/>
      </c>
      <c r="F384" s="63"/>
      <c r="G384" s="63"/>
      <c r="H384" s="60"/>
      <c r="I384" s="60"/>
      <c r="J384" s="63"/>
      <c r="K384" s="61" t="str">
        <f aca="false">IF($P384=0,"",IF($F384="Baseline","— Baseline",IF($O384=0,"No result",IF($N384=0,"No Start (attainment only)",IF(OR($N384=1,$O384=1),"U – needs rule",INDEX(MxBody,MATCH($I384,MxCurr,0),MATCH($H384,MxStart,0)))))))</f>
        <v/>
      </c>
      <c r="L384" s="62" t="str">
        <f aca="false">IF(COUNTA($A384,$F384,$G384,$H384,$I384,$J384)=0,"",IF($M384=0,"✖ كود الصف غير موجود",IF(ISNA(MATCH($F384,Lists!$A$2:$A$5,0)),"✖ الفترة غير صحيحة",IF(ISNA(MATCH($G384,Lists!$B$2:$B$7,0)),"✖ المجموعة غير صحيحة",IF(NOT(OR($H384="",$N384&gt;0)),"✖ Start غير صحيح",IF(NOT(OR($I384="",$I384="NR",$O384&gt;0)),"✖ Current غير صحيح",IF(NOT(IF(ISNUMBER($J384),AND($J384&gt;=0,$J384=INT($J384)),FALSE())),"✖ العدد يجب أن يكون صحيحًا ≥ 0",IF(AND($F384="Baseline",$H384&lt;&gt;""),"⚠ Baseline: Start لا يدخل في التقدم",IF($K384="No Start (attainment only)","ℹ تحصيل فقط (بدون Start)",IF($K384="U – needs rule","ℹ حالة U تحتاج قاعدة معتمدة",IF($K384="No result","ℹ بدون نتيجة (يُستبعد من التحصيل)","OK")))))))))))</f>
        <v/>
      </c>
      <c r="M384" s="64" t="n">
        <f aca="false">IF($A384="",0,IFERROR(MATCH($A384,Classes!$A$6:$A$420,0),0))</f>
        <v>0</v>
      </c>
      <c r="N384" s="64" t="n">
        <f aca="false">IF($H384="",0,IFERROR(MATCH($H384,GradeList,0),0))</f>
        <v>0</v>
      </c>
      <c r="O384" s="64" t="n">
        <f aca="false">IF(OR($I384="",$I384="NR"),0,IFERROR(MATCH($I384,GradeList,0),0))</f>
        <v>0</v>
      </c>
      <c r="P384" s="64" t="n">
        <f aca="false">IF(AND($M384&gt;0,ISNUMBER(MATCH($F384,Lists!$A$2:$A$5,0)),ISNUMBER(MATCH($G384,Lists!$B$2:$B$7,0)),OR($H384="",$N384&gt;0),OR($I384="",$I384="NR",$O384&gt;0),IF(ISNUMBER($J384),AND($J384&gt;=0,$J384=INT($J384)),FALSE())),$J384,0)</f>
        <v>0</v>
      </c>
      <c r="Q384" s="64" t="n">
        <f aca="false">IF(AND($P384&gt;0,$O384&gt;0),$P384,0)</f>
        <v>0</v>
      </c>
      <c r="R384" s="64" t="n">
        <f aca="false">IF(AND($Q384&gt;0,$O384&gt;=AtRank),$Q384,0)</f>
        <v>0</v>
      </c>
      <c r="S384" s="64" t="n">
        <f aca="false">IF(AND($Q384&gt;0,$O384&gt;=AboveRank),$Q384,0)</f>
        <v>0</v>
      </c>
      <c r="T384" s="64" t="n">
        <f aca="false">IF($K384="Less",$P384,0)</f>
        <v>0</v>
      </c>
      <c r="U384" s="64" t="n">
        <f aca="false">IF($K384="Expected",$P384,0)</f>
        <v>0</v>
      </c>
      <c r="V384" s="64" t="n">
        <f aca="false">IF($K384="Better",$P384,0)</f>
        <v>0</v>
      </c>
      <c r="W384" s="64" t="n">
        <f aca="false">IF($K384="U – needs rule",$P384,0)</f>
        <v>0</v>
      </c>
      <c r="X384" s="64" t="n">
        <f aca="false">IF($K384="No Start (attainment only)",$P384,0)</f>
        <v>0</v>
      </c>
    </row>
    <row r="385" customFormat="false" ht="15" hidden="false" customHeight="false" outlineLevel="0" collapsed="false">
      <c r="A385" s="60"/>
      <c r="B385" s="61" t="str">
        <f aca="false">IF($M385=0,"",INDEX(Classes!$E$6:$E$420,$M385))</f>
        <v/>
      </c>
      <c r="C385" s="62" t="str">
        <f aca="false">IF($M385=0,"",INDEX(Classes!$H$6:$H$420,$M385))</f>
        <v/>
      </c>
      <c r="D385" s="61" t="str">
        <f aca="false">IF($M385=0,"",INDEX(Classes!$B$6:$B$420,$M385))</f>
        <v/>
      </c>
      <c r="E385" s="61" t="str">
        <f aca="false">IF($M385=0,"",INDEX(Classes!$C$6:$C$420,$M385))</f>
        <v/>
      </c>
      <c r="F385" s="63"/>
      <c r="G385" s="63"/>
      <c r="H385" s="60"/>
      <c r="I385" s="60"/>
      <c r="J385" s="63"/>
      <c r="K385" s="61" t="str">
        <f aca="false">IF($P385=0,"",IF($F385="Baseline","— Baseline",IF($O385=0,"No result",IF($N385=0,"No Start (attainment only)",IF(OR($N385=1,$O385=1),"U – needs rule",INDEX(MxBody,MATCH($I385,MxCurr,0),MATCH($H385,MxStart,0)))))))</f>
        <v/>
      </c>
      <c r="L385" s="62" t="str">
        <f aca="false">IF(COUNTA($A385,$F385,$G385,$H385,$I385,$J385)=0,"",IF($M385=0,"✖ كود الصف غير موجود",IF(ISNA(MATCH($F385,Lists!$A$2:$A$5,0)),"✖ الفترة غير صحيحة",IF(ISNA(MATCH($G385,Lists!$B$2:$B$7,0)),"✖ المجموعة غير صحيحة",IF(NOT(OR($H385="",$N385&gt;0)),"✖ Start غير صحيح",IF(NOT(OR($I385="",$I385="NR",$O385&gt;0)),"✖ Current غير صحيح",IF(NOT(IF(ISNUMBER($J385),AND($J385&gt;=0,$J385=INT($J385)),FALSE())),"✖ العدد يجب أن يكون صحيحًا ≥ 0",IF(AND($F385="Baseline",$H385&lt;&gt;""),"⚠ Baseline: Start لا يدخل في التقدم",IF($K385="No Start (attainment only)","ℹ تحصيل فقط (بدون Start)",IF($K385="U – needs rule","ℹ حالة U تحتاج قاعدة معتمدة",IF($K385="No result","ℹ بدون نتيجة (يُستبعد من التحصيل)","OK")))))))))))</f>
        <v/>
      </c>
      <c r="M385" s="64" t="n">
        <f aca="false">IF($A385="",0,IFERROR(MATCH($A385,Classes!$A$6:$A$420,0),0))</f>
        <v>0</v>
      </c>
      <c r="N385" s="64" t="n">
        <f aca="false">IF($H385="",0,IFERROR(MATCH($H385,GradeList,0),0))</f>
        <v>0</v>
      </c>
      <c r="O385" s="64" t="n">
        <f aca="false">IF(OR($I385="",$I385="NR"),0,IFERROR(MATCH($I385,GradeList,0),0))</f>
        <v>0</v>
      </c>
      <c r="P385" s="64" t="n">
        <f aca="false">IF(AND($M385&gt;0,ISNUMBER(MATCH($F385,Lists!$A$2:$A$5,0)),ISNUMBER(MATCH($G385,Lists!$B$2:$B$7,0)),OR($H385="",$N385&gt;0),OR($I385="",$I385="NR",$O385&gt;0),IF(ISNUMBER($J385),AND($J385&gt;=0,$J385=INT($J385)),FALSE())),$J385,0)</f>
        <v>0</v>
      </c>
      <c r="Q385" s="64" t="n">
        <f aca="false">IF(AND($P385&gt;0,$O385&gt;0),$P385,0)</f>
        <v>0</v>
      </c>
      <c r="R385" s="64" t="n">
        <f aca="false">IF(AND($Q385&gt;0,$O385&gt;=AtRank),$Q385,0)</f>
        <v>0</v>
      </c>
      <c r="S385" s="64" t="n">
        <f aca="false">IF(AND($Q385&gt;0,$O385&gt;=AboveRank),$Q385,0)</f>
        <v>0</v>
      </c>
      <c r="T385" s="64" t="n">
        <f aca="false">IF($K385="Less",$P385,0)</f>
        <v>0</v>
      </c>
      <c r="U385" s="64" t="n">
        <f aca="false">IF($K385="Expected",$P385,0)</f>
        <v>0</v>
      </c>
      <c r="V385" s="64" t="n">
        <f aca="false">IF($K385="Better",$P385,0)</f>
        <v>0</v>
      </c>
      <c r="W385" s="64" t="n">
        <f aca="false">IF($K385="U – needs rule",$P385,0)</f>
        <v>0</v>
      </c>
      <c r="X385" s="64" t="n">
        <f aca="false">IF($K385="No Start (attainment only)",$P385,0)</f>
        <v>0</v>
      </c>
    </row>
    <row r="386" customFormat="false" ht="15" hidden="false" customHeight="false" outlineLevel="0" collapsed="false">
      <c r="A386" s="60"/>
      <c r="B386" s="61" t="str">
        <f aca="false">IF($M386=0,"",INDEX(Classes!$E$6:$E$420,$M386))</f>
        <v/>
      </c>
      <c r="C386" s="62" t="str">
        <f aca="false">IF($M386=0,"",INDEX(Classes!$H$6:$H$420,$M386))</f>
        <v/>
      </c>
      <c r="D386" s="61" t="str">
        <f aca="false">IF($M386=0,"",INDEX(Classes!$B$6:$B$420,$M386))</f>
        <v/>
      </c>
      <c r="E386" s="61" t="str">
        <f aca="false">IF($M386=0,"",INDEX(Classes!$C$6:$C$420,$M386))</f>
        <v/>
      </c>
      <c r="F386" s="63"/>
      <c r="G386" s="63"/>
      <c r="H386" s="60"/>
      <c r="I386" s="60"/>
      <c r="J386" s="63"/>
      <c r="K386" s="61" t="str">
        <f aca="false">IF($P386=0,"",IF($F386="Baseline","— Baseline",IF($O386=0,"No result",IF($N386=0,"No Start (attainment only)",IF(OR($N386=1,$O386=1),"U – needs rule",INDEX(MxBody,MATCH($I386,MxCurr,0),MATCH($H386,MxStart,0)))))))</f>
        <v/>
      </c>
      <c r="L386" s="62" t="str">
        <f aca="false">IF(COUNTA($A386,$F386,$G386,$H386,$I386,$J386)=0,"",IF($M386=0,"✖ كود الصف غير موجود",IF(ISNA(MATCH($F386,Lists!$A$2:$A$5,0)),"✖ الفترة غير صحيحة",IF(ISNA(MATCH($G386,Lists!$B$2:$B$7,0)),"✖ المجموعة غير صحيحة",IF(NOT(OR($H386="",$N386&gt;0)),"✖ Start غير صحيح",IF(NOT(OR($I386="",$I386="NR",$O386&gt;0)),"✖ Current غير صحيح",IF(NOT(IF(ISNUMBER($J386),AND($J386&gt;=0,$J386=INT($J386)),FALSE())),"✖ العدد يجب أن يكون صحيحًا ≥ 0",IF(AND($F386="Baseline",$H386&lt;&gt;""),"⚠ Baseline: Start لا يدخل في التقدم",IF($K386="No Start (attainment only)","ℹ تحصيل فقط (بدون Start)",IF($K386="U – needs rule","ℹ حالة U تحتاج قاعدة معتمدة",IF($K386="No result","ℹ بدون نتيجة (يُستبعد من التحصيل)","OK")))))))))))</f>
        <v/>
      </c>
      <c r="M386" s="64" t="n">
        <f aca="false">IF($A386="",0,IFERROR(MATCH($A386,Classes!$A$6:$A$420,0),0))</f>
        <v>0</v>
      </c>
      <c r="N386" s="64" t="n">
        <f aca="false">IF($H386="",0,IFERROR(MATCH($H386,GradeList,0),0))</f>
        <v>0</v>
      </c>
      <c r="O386" s="64" t="n">
        <f aca="false">IF(OR($I386="",$I386="NR"),0,IFERROR(MATCH($I386,GradeList,0),0))</f>
        <v>0</v>
      </c>
      <c r="P386" s="64" t="n">
        <f aca="false">IF(AND($M386&gt;0,ISNUMBER(MATCH($F386,Lists!$A$2:$A$5,0)),ISNUMBER(MATCH($G386,Lists!$B$2:$B$7,0)),OR($H386="",$N386&gt;0),OR($I386="",$I386="NR",$O386&gt;0),IF(ISNUMBER($J386),AND($J386&gt;=0,$J386=INT($J386)),FALSE())),$J386,0)</f>
        <v>0</v>
      </c>
      <c r="Q386" s="64" t="n">
        <f aca="false">IF(AND($P386&gt;0,$O386&gt;0),$P386,0)</f>
        <v>0</v>
      </c>
      <c r="R386" s="64" t="n">
        <f aca="false">IF(AND($Q386&gt;0,$O386&gt;=AtRank),$Q386,0)</f>
        <v>0</v>
      </c>
      <c r="S386" s="64" t="n">
        <f aca="false">IF(AND($Q386&gt;0,$O386&gt;=AboveRank),$Q386,0)</f>
        <v>0</v>
      </c>
      <c r="T386" s="64" t="n">
        <f aca="false">IF($K386="Less",$P386,0)</f>
        <v>0</v>
      </c>
      <c r="U386" s="64" t="n">
        <f aca="false">IF($K386="Expected",$P386,0)</f>
        <v>0</v>
      </c>
      <c r="V386" s="64" t="n">
        <f aca="false">IF($K386="Better",$P386,0)</f>
        <v>0</v>
      </c>
      <c r="W386" s="64" t="n">
        <f aca="false">IF($K386="U – needs rule",$P386,0)</f>
        <v>0</v>
      </c>
      <c r="X386" s="64" t="n">
        <f aca="false">IF($K386="No Start (attainment only)",$P386,0)</f>
        <v>0</v>
      </c>
    </row>
    <row r="387" customFormat="false" ht="15" hidden="false" customHeight="false" outlineLevel="0" collapsed="false">
      <c r="A387" s="60"/>
      <c r="B387" s="61" t="str">
        <f aca="false">IF($M387=0,"",INDEX(Classes!$E$6:$E$420,$M387))</f>
        <v/>
      </c>
      <c r="C387" s="62" t="str">
        <f aca="false">IF($M387=0,"",INDEX(Classes!$H$6:$H$420,$M387))</f>
        <v/>
      </c>
      <c r="D387" s="61" t="str">
        <f aca="false">IF($M387=0,"",INDEX(Classes!$B$6:$B$420,$M387))</f>
        <v/>
      </c>
      <c r="E387" s="61" t="str">
        <f aca="false">IF($M387=0,"",INDEX(Classes!$C$6:$C$420,$M387))</f>
        <v/>
      </c>
      <c r="F387" s="63"/>
      <c r="G387" s="63"/>
      <c r="H387" s="60"/>
      <c r="I387" s="60"/>
      <c r="J387" s="63"/>
      <c r="K387" s="61" t="str">
        <f aca="false">IF($P387=0,"",IF($F387="Baseline","— Baseline",IF($O387=0,"No result",IF($N387=0,"No Start (attainment only)",IF(OR($N387=1,$O387=1),"U – needs rule",INDEX(MxBody,MATCH($I387,MxCurr,0),MATCH($H387,MxStart,0)))))))</f>
        <v/>
      </c>
      <c r="L387" s="62" t="str">
        <f aca="false">IF(COUNTA($A387,$F387,$G387,$H387,$I387,$J387)=0,"",IF($M387=0,"✖ كود الصف غير موجود",IF(ISNA(MATCH($F387,Lists!$A$2:$A$5,0)),"✖ الفترة غير صحيحة",IF(ISNA(MATCH($G387,Lists!$B$2:$B$7,0)),"✖ المجموعة غير صحيحة",IF(NOT(OR($H387="",$N387&gt;0)),"✖ Start غير صحيح",IF(NOT(OR($I387="",$I387="NR",$O387&gt;0)),"✖ Current غير صحيح",IF(NOT(IF(ISNUMBER($J387),AND($J387&gt;=0,$J387=INT($J387)),FALSE())),"✖ العدد يجب أن يكون صحيحًا ≥ 0",IF(AND($F387="Baseline",$H387&lt;&gt;""),"⚠ Baseline: Start لا يدخل في التقدم",IF($K387="No Start (attainment only)","ℹ تحصيل فقط (بدون Start)",IF($K387="U – needs rule","ℹ حالة U تحتاج قاعدة معتمدة",IF($K387="No result","ℹ بدون نتيجة (يُستبعد من التحصيل)","OK")))))))))))</f>
        <v/>
      </c>
      <c r="M387" s="64" t="n">
        <f aca="false">IF($A387="",0,IFERROR(MATCH($A387,Classes!$A$6:$A$420,0),0))</f>
        <v>0</v>
      </c>
      <c r="N387" s="64" t="n">
        <f aca="false">IF($H387="",0,IFERROR(MATCH($H387,GradeList,0),0))</f>
        <v>0</v>
      </c>
      <c r="O387" s="64" t="n">
        <f aca="false">IF(OR($I387="",$I387="NR"),0,IFERROR(MATCH($I387,GradeList,0),0))</f>
        <v>0</v>
      </c>
      <c r="P387" s="64" t="n">
        <f aca="false">IF(AND($M387&gt;0,ISNUMBER(MATCH($F387,Lists!$A$2:$A$5,0)),ISNUMBER(MATCH($G387,Lists!$B$2:$B$7,0)),OR($H387="",$N387&gt;0),OR($I387="",$I387="NR",$O387&gt;0),IF(ISNUMBER($J387),AND($J387&gt;=0,$J387=INT($J387)),FALSE())),$J387,0)</f>
        <v>0</v>
      </c>
      <c r="Q387" s="64" t="n">
        <f aca="false">IF(AND($P387&gt;0,$O387&gt;0),$P387,0)</f>
        <v>0</v>
      </c>
      <c r="R387" s="64" t="n">
        <f aca="false">IF(AND($Q387&gt;0,$O387&gt;=AtRank),$Q387,0)</f>
        <v>0</v>
      </c>
      <c r="S387" s="64" t="n">
        <f aca="false">IF(AND($Q387&gt;0,$O387&gt;=AboveRank),$Q387,0)</f>
        <v>0</v>
      </c>
      <c r="T387" s="64" t="n">
        <f aca="false">IF($K387="Less",$P387,0)</f>
        <v>0</v>
      </c>
      <c r="U387" s="64" t="n">
        <f aca="false">IF($K387="Expected",$P387,0)</f>
        <v>0</v>
      </c>
      <c r="V387" s="64" t="n">
        <f aca="false">IF($K387="Better",$P387,0)</f>
        <v>0</v>
      </c>
      <c r="W387" s="64" t="n">
        <f aca="false">IF($K387="U – needs rule",$P387,0)</f>
        <v>0</v>
      </c>
      <c r="X387" s="64" t="n">
        <f aca="false">IF($K387="No Start (attainment only)",$P387,0)</f>
        <v>0</v>
      </c>
    </row>
    <row r="388" customFormat="false" ht="15" hidden="false" customHeight="false" outlineLevel="0" collapsed="false">
      <c r="A388" s="60"/>
      <c r="B388" s="61" t="str">
        <f aca="false">IF($M388=0,"",INDEX(Classes!$E$6:$E$420,$M388))</f>
        <v/>
      </c>
      <c r="C388" s="62" t="str">
        <f aca="false">IF($M388=0,"",INDEX(Classes!$H$6:$H$420,$M388))</f>
        <v/>
      </c>
      <c r="D388" s="61" t="str">
        <f aca="false">IF($M388=0,"",INDEX(Classes!$B$6:$B$420,$M388))</f>
        <v/>
      </c>
      <c r="E388" s="61" t="str">
        <f aca="false">IF($M388=0,"",INDEX(Classes!$C$6:$C$420,$M388))</f>
        <v/>
      </c>
      <c r="F388" s="63"/>
      <c r="G388" s="63"/>
      <c r="H388" s="60"/>
      <c r="I388" s="60"/>
      <c r="J388" s="63"/>
      <c r="K388" s="61" t="str">
        <f aca="false">IF($P388=0,"",IF($F388="Baseline","— Baseline",IF($O388=0,"No result",IF($N388=0,"No Start (attainment only)",IF(OR($N388=1,$O388=1),"U – needs rule",INDEX(MxBody,MATCH($I388,MxCurr,0),MATCH($H388,MxStart,0)))))))</f>
        <v/>
      </c>
      <c r="L388" s="62" t="str">
        <f aca="false">IF(COUNTA($A388,$F388,$G388,$H388,$I388,$J388)=0,"",IF($M388=0,"✖ كود الصف غير موجود",IF(ISNA(MATCH($F388,Lists!$A$2:$A$5,0)),"✖ الفترة غير صحيحة",IF(ISNA(MATCH($G388,Lists!$B$2:$B$7,0)),"✖ المجموعة غير صحيحة",IF(NOT(OR($H388="",$N388&gt;0)),"✖ Start غير صحيح",IF(NOT(OR($I388="",$I388="NR",$O388&gt;0)),"✖ Current غير صحيح",IF(NOT(IF(ISNUMBER($J388),AND($J388&gt;=0,$J388=INT($J388)),FALSE())),"✖ العدد يجب أن يكون صحيحًا ≥ 0",IF(AND($F388="Baseline",$H388&lt;&gt;""),"⚠ Baseline: Start لا يدخل في التقدم",IF($K388="No Start (attainment only)","ℹ تحصيل فقط (بدون Start)",IF($K388="U – needs rule","ℹ حالة U تحتاج قاعدة معتمدة",IF($K388="No result","ℹ بدون نتيجة (يُستبعد من التحصيل)","OK")))))))))))</f>
        <v/>
      </c>
      <c r="M388" s="64" t="n">
        <f aca="false">IF($A388="",0,IFERROR(MATCH($A388,Classes!$A$6:$A$420,0),0))</f>
        <v>0</v>
      </c>
      <c r="N388" s="64" t="n">
        <f aca="false">IF($H388="",0,IFERROR(MATCH($H388,GradeList,0),0))</f>
        <v>0</v>
      </c>
      <c r="O388" s="64" t="n">
        <f aca="false">IF(OR($I388="",$I388="NR"),0,IFERROR(MATCH($I388,GradeList,0),0))</f>
        <v>0</v>
      </c>
      <c r="P388" s="64" t="n">
        <f aca="false">IF(AND($M388&gt;0,ISNUMBER(MATCH($F388,Lists!$A$2:$A$5,0)),ISNUMBER(MATCH($G388,Lists!$B$2:$B$7,0)),OR($H388="",$N388&gt;0),OR($I388="",$I388="NR",$O388&gt;0),IF(ISNUMBER($J388),AND($J388&gt;=0,$J388=INT($J388)),FALSE())),$J388,0)</f>
        <v>0</v>
      </c>
      <c r="Q388" s="64" t="n">
        <f aca="false">IF(AND($P388&gt;0,$O388&gt;0),$P388,0)</f>
        <v>0</v>
      </c>
      <c r="R388" s="64" t="n">
        <f aca="false">IF(AND($Q388&gt;0,$O388&gt;=AtRank),$Q388,0)</f>
        <v>0</v>
      </c>
      <c r="S388" s="64" t="n">
        <f aca="false">IF(AND($Q388&gt;0,$O388&gt;=AboveRank),$Q388,0)</f>
        <v>0</v>
      </c>
      <c r="T388" s="64" t="n">
        <f aca="false">IF($K388="Less",$P388,0)</f>
        <v>0</v>
      </c>
      <c r="U388" s="64" t="n">
        <f aca="false">IF($K388="Expected",$P388,0)</f>
        <v>0</v>
      </c>
      <c r="V388" s="64" t="n">
        <f aca="false">IF($K388="Better",$P388,0)</f>
        <v>0</v>
      </c>
      <c r="W388" s="64" t="n">
        <f aca="false">IF($K388="U – needs rule",$P388,0)</f>
        <v>0</v>
      </c>
      <c r="X388" s="64" t="n">
        <f aca="false">IF($K388="No Start (attainment only)",$P388,0)</f>
        <v>0</v>
      </c>
    </row>
    <row r="389" customFormat="false" ht="15" hidden="false" customHeight="false" outlineLevel="0" collapsed="false">
      <c r="A389" s="60"/>
      <c r="B389" s="61" t="str">
        <f aca="false">IF($M389=0,"",INDEX(Classes!$E$6:$E$420,$M389))</f>
        <v/>
      </c>
      <c r="C389" s="62" t="str">
        <f aca="false">IF($M389=0,"",INDEX(Classes!$H$6:$H$420,$M389))</f>
        <v/>
      </c>
      <c r="D389" s="61" t="str">
        <f aca="false">IF($M389=0,"",INDEX(Classes!$B$6:$B$420,$M389))</f>
        <v/>
      </c>
      <c r="E389" s="61" t="str">
        <f aca="false">IF($M389=0,"",INDEX(Classes!$C$6:$C$420,$M389))</f>
        <v/>
      </c>
      <c r="F389" s="63"/>
      <c r="G389" s="63"/>
      <c r="H389" s="60"/>
      <c r="I389" s="60"/>
      <c r="J389" s="63"/>
      <c r="K389" s="61" t="str">
        <f aca="false">IF($P389=0,"",IF($F389="Baseline","— Baseline",IF($O389=0,"No result",IF($N389=0,"No Start (attainment only)",IF(OR($N389=1,$O389=1),"U – needs rule",INDEX(MxBody,MATCH($I389,MxCurr,0),MATCH($H389,MxStart,0)))))))</f>
        <v/>
      </c>
      <c r="L389" s="62" t="str">
        <f aca="false">IF(COUNTA($A389,$F389,$G389,$H389,$I389,$J389)=0,"",IF($M389=0,"✖ كود الصف غير موجود",IF(ISNA(MATCH($F389,Lists!$A$2:$A$5,0)),"✖ الفترة غير صحيحة",IF(ISNA(MATCH($G389,Lists!$B$2:$B$7,0)),"✖ المجموعة غير صحيحة",IF(NOT(OR($H389="",$N389&gt;0)),"✖ Start غير صحيح",IF(NOT(OR($I389="",$I389="NR",$O389&gt;0)),"✖ Current غير صحيح",IF(NOT(IF(ISNUMBER($J389),AND($J389&gt;=0,$J389=INT($J389)),FALSE())),"✖ العدد يجب أن يكون صحيحًا ≥ 0",IF(AND($F389="Baseline",$H389&lt;&gt;""),"⚠ Baseline: Start لا يدخل في التقدم",IF($K389="No Start (attainment only)","ℹ تحصيل فقط (بدون Start)",IF($K389="U – needs rule","ℹ حالة U تحتاج قاعدة معتمدة",IF($K389="No result","ℹ بدون نتيجة (يُستبعد من التحصيل)","OK")))))))))))</f>
        <v/>
      </c>
      <c r="M389" s="64" t="n">
        <f aca="false">IF($A389="",0,IFERROR(MATCH($A389,Classes!$A$6:$A$420,0),0))</f>
        <v>0</v>
      </c>
      <c r="N389" s="64" t="n">
        <f aca="false">IF($H389="",0,IFERROR(MATCH($H389,GradeList,0),0))</f>
        <v>0</v>
      </c>
      <c r="O389" s="64" t="n">
        <f aca="false">IF(OR($I389="",$I389="NR"),0,IFERROR(MATCH($I389,GradeList,0),0))</f>
        <v>0</v>
      </c>
      <c r="P389" s="64" t="n">
        <f aca="false">IF(AND($M389&gt;0,ISNUMBER(MATCH($F389,Lists!$A$2:$A$5,0)),ISNUMBER(MATCH($G389,Lists!$B$2:$B$7,0)),OR($H389="",$N389&gt;0),OR($I389="",$I389="NR",$O389&gt;0),IF(ISNUMBER($J389),AND($J389&gt;=0,$J389=INT($J389)),FALSE())),$J389,0)</f>
        <v>0</v>
      </c>
      <c r="Q389" s="64" t="n">
        <f aca="false">IF(AND($P389&gt;0,$O389&gt;0),$P389,0)</f>
        <v>0</v>
      </c>
      <c r="R389" s="64" t="n">
        <f aca="false">IF(AND($Q389&gt;0,$O389&gt;=AtRank),$Q389,0)</f>
        <v>0</v>
      </c>
      <c r="S389" s="64" t="n">
        <f aca="false">IF(AND($Q389&gt;0,$O389&gt;=AboveRank),$Q389,0)</f>
        <v>0</v>
      </c>
      <c r="T389" s="64" t="n">
        <f aca="false">IF($K389="Less",$P389,0)</f>
        <v>0</v>
      </c>
      <c r="U389" s="64" t="n">
        <f aca="false">IF($K389="Expected",$P389,0)</f>
        <v>0</v>
      </c>
      <c r="V389" s="64" t="n">
        <f aca="false">IF($K389="Better",$P389,0)</f>
        <v>0</v>
      </c>
      <c r="W389" s="64" t="n">
        <f aca="false">IF($K389="U – needs rule",$P389,0)</f>
        <v>0</v>
      </c>
      <c r="X389" s="64" t="n">
        <f aca="false">IF($K389="No Start (attainment only)",$P389,0)</f>
        <v>0</v>
      </c>
    </row>
    <row r="390" customFormat="false" ht="15" hidden="false" customHeight="false" outlineLevel="0" collapsed="false">
      <c r="A390" s="60"/>
      <c r="B390" s="61" t="str">
        <f aca="false">IF($M390=0,"",INDEX(Classes!$E$6:$E$420,$M390))</f>
        <v/>
      </c>
      <c r="C390" s="62" t="str">
        <f aca="false">IF($M390=0,"",INDEX(Classes!$H$6:$H$420,$M390))</f>
        <v/>
      </c>
      <c r="D390" s="61" t="str">
        <f aca="false">IF($M390=0,"",INDEX(Classes!$B$6:$B$420,$M390))</f>
        <v/>
      </c>
      <c r="E390" s="61" t="str">
        <f aca="false">IF($M390=0,"",INDEX(Classes!$C$6:$C$420,$M390))</f>
        <v/>
      </c>
      <c r="F390" s="63"/>
      <c r="G390" s="63"/>
      <c r="H390" s="60"/>
      <c r="I390" s="60"/>
      <c r="J390" s="63"/>
      <c r="K390" s="61" t="str">
        <f aca="false">IF($P390=0,"",IF($F390="Baseline","— Baseline",IF($O390=0,"No result",IF($N390=0,"No Start (attainment only)",IF(OR($N390=1,$O390=1),"U – needs rule",INDEX(MxBody,MATCH($I390,MxCurr,0),MATCH($H390,MxStart,0)))))))</f>
        <v/>
      </c>
      <c r="L390" s="62" t="str">
        <f aca="false">IF(COUNTA($A390,$F390,$G390,$H390,$I390,$J390)=0,"",IF($M390=0,"✖ كود الصف غير موجود",IF(ISNA(MATCH($F390,Lists!$A$2:$A$5,0)),"✖ الفترة غير صحيحة",IF(ISNA(MATCH($G390,Lists!$B$2:$B$7,0)),"✖ المجموعة غير صحيحة",IF(NOT(OR($H390="",$N390&gt;0)),"✖ Start غير صحيح",IF(NOT(OR($I390="",$I390="NR",$O390&gt;0)),"✖ Current غير صحيح",IF(NOT(IF(ISNUMBER($J390),AND($J390&gt;=0,$J390=INT($J390)),FALSE())),"✖ العدد يجب أن يكون صحيحًا ≥ 0",IF(AND($F390="Baseline",$H390&lt;&gt;""),"⚠ Baseline: Start لا يدخل في التقدم",IF($K390="No Start (attainment only)","ℹ تحصيل فقط (بدون Start)",IF($K390="U – needs rule","ℹ حالة U تحتاج قاعدة معتمدة",IF($K390="No result","ℹ بدون نتيجة (يُستبعد من التحصيل)","OK")))))))))))</f>
        <v/>
      </c>
      <c r="M390" s="64" t="n">
        <f aca="false">IF($A390="",0,IFERROR(MATCH($A390,Classes!$A$6:$A$420,0),0))</f>
        <v>0</v>
      </c>
      <c r="N390" s="64" t="n">
        <f aca="false">IF($H390="",0,IFERROR(MATCH($H390,GradeList,0),0))</f>
        <v>0</v>
      </c>
      <c r="O390" s="64" t="n">
        <f aca="false">IF(OR($I390="",$I390="NR"),0,IFERROR(MATCH($I390,GradeList,0),0))</f>
        <v>0</v>
      </c>
      <c r="P390" s="64" t="n">
        <f aca="false">IF(AND($M390&gt;0,ISNUMBER(MATCH($F390,Lists!$A$2:$A$5,0)),ISNUMBER(MATCH($G390,Lists!$B$2:$B$7,0)),OR($H390="",$N390&gt;0),OR($I390="",$I390="NR",$O390&gt;0),IF(ISNUMBER($J390),AND($J390&gt;=0,$J390=INT($J390)),FALSE())),$J390,0)</f>
        <v>0</v>
      </c>
      <c r="Q390" s="64" t="n">
        <f aca="false">IF(AND($P390&gt;0,$O390&gt;0),$P390,0)</f>
        <v>0</v>
      </c>
      <c r="R390" s="64" t="n">
        <f aca="false">IF(AND($Q390&gt;0,$O390&gt;=AtRank),$Q390,0)</f>
        <v>0</v>
      </c>
      <c r="S390" s="64" t="n">
        <f aca="false">IF(AND($Q390&gt;0,$O390&gt;=AboveRank),$Q390,0)</f>
        <v>0</v>
      </c>
      <c r="T390" s="64" t="n">
        <f aca="false">IF($K390="Less",$P390,0)</f>
        <v>0</v>
      </c>
      <c r="U390" s="64" t="n">
        <f aca="false">IF($K390="Expected",$P390,0)</f>
        <v>0</v>
      </c>
      <c r="V390" s="64" t="n">
        <f aca="false">IF($K390="Better",$P390,0)</f>
        <v>0</v>
      </c>
      <c r="W390" s="64" t="n">
        <f aca="false">IF($K390="U – needs rule",$P390,0)</f>
        <v>0</v>
      </c>
      <c r="X390" s="64" t="n">
        <f aca="false">IF($K390="No Start (attainment only)",$P390,0)</f>
        <v>0</v>
      </c>
    </row>
    <row r="391" customFormat="false" ht="15" hidden="false" customHeight="false" outlineLevel="0" collapsed="false">
      <c r="A391" s="60"/>
      <c r="B391" s="61" t="str">
        <f aca="false">IF($M391=0,"",INDEX(Classes!$E$6:$E$420,$M391))</f>
        <v/>
      </c>
      <c r="C391" s="62" t="str">
        <f aca="false">IF($M391=0,"",INDEX(Classes!$H$6:$H$420,$M391))</f>
        <v/>
      </c>
      <c r="D391" s="61" t="str">
        <f aca="false">IF($M391=0,"",INDEX(Classes!$B$6:$B$420,$M391))</f>
        <v/>
      </c>
      <c r="E391" s="61" t="str">
        <f aca="false">IF($M391=0,"",INDEX(Classes!$C$6:$C$420,$M391))</f>
        <v/>
      </c>
      <c r="F391" s="63"/>
      <c r="G391" s="63"/>
      <c r="H391" s="60"/>
      <c r="I391" s="60"/>
      <c r="J391" s="63"/>
      <c r="K391" s="61" t="str">
        <f aca="false">IF($P391=0,"",IF($F391="Baseline","— Baseline",IF($O391=0,"No result",IF($N391=0,"No Start (attainment only)",IF(OR($N391=1,$O391=1),"U – needs rule",INDEX(MxBody,MATCH($I391,MxCurr,0),MATCH($H391,MxStart,0)))))))</f>
        <v/>
      </c>
      <c r="L391" s="62" t="str">
        <f aca="false">IF(COUNTA($A391,$F391,$G391,$H391,$I391,$J391)=0,"",IF($M391=0,"✖ كود الصف غير موجود",IF(ISNA(MATCH($F391,Lists!$A$2:$A$5,0)),"✖ الفترة غير صحيحة",IF(ISNA(MATCH($G391,Lists!$B$2:$B$7,0)),"✖ المجموعة غير صحيحة",IF(NOT(OR($H391="",$N391&gt;0)),"✖ Start غير صحيح",IF(NOT(OR($I391="",$I391="NR",$O391&gt;0)),"✖ Current غير صحيح",IF(NOT(IF(ISNUMBER($J391),AND($J391&gt;=0,$J391=INT($J391)),FALSE())),"✖ العدد يجب أن يكون صحيحًا ≥ 0",IF(AND($F391="Baseline",$H391&lt;&gt;""),"⚠ Baseline: Start لا يدخل في التقدم",IF($K391="No Start (attainment only)","ℹ تحصيل فقط (بدون Start)",IF($K391="U – needs rule","ℹ حالة U تحتاج قاعدة معتمدة",IF($K391="No result","ℹ بدون نتيجة (يُستبعد من التحصيل)","OK")))))))))))</f>
        <v/>
      </c>
      <c r="M391" s="64" t="n">
        <f aca="false">IF($A391="",0,IFERROR(MATCH($A391,Classes!$A$6:$A$420,0),0))</f>
        <v>0</v>
      </c>
      <c r="N391" s="64" t="n">
        <f aca="false">IF($H391="",0,IFERROR(MATCH($H391,GradeList,0),0))</f>
        <v>0</v>
      </c>
      <c r="O391" s="64" t="n">
        <f aca="false">IF(OR($I391="",$I391="NR"),0,IFERROR(MATCH($I391,GradeList,0),0))</f>
        <v>0</v>
      </c>
      <c r="P391" s="64" t="n">
        <f aca="false">IF(AND($M391&gt;0,ISNUMBER(MATCH($F391,Lists!$A$2:$A$5,0)),ISNUMBER(MATCH($G391,Lists!$B$2:$B$7,0)),OR($H391="",$N391&gt;0),OR($I391="",$I391="NR",$O391&gt;0),IF(ISNUMBER($J391),AND($J391&gt;=0,$J391=INT($J391)),FALSE())),$J391,0)</f>
        <v>0</v>
      </c>
      <c r="Q391" s="64" t="n">
        <f aca="false">IF(AND($P391&gt;0,$O391&gt;0),$P391,0)</f>
        <v>0</v>
      </c>
      <c r="R391" s="64" t="n">
        <f aca="false">IF(AND($Q391&gt;0,$O391&gt;=AtRank),$Q391,0)</f>
        <v>0</v>
      </c>
      <c r="S391" s="64" t="n">
        <f aca="false">IF(AND($Q391&gt;0,$O391&gt;=AboveRank),$Q391,0)</f>
        <v>0</v>
      </c>
      <c r="T391" s="64" t="n">
        <f aca="false">IF($K391="Less",$P391,0)</f>
        <v>0</v>
      </c>
      <c r="U391" s="64" t="n">
        <f aca="false">IF($K391="Expected",$P391,0)</f>
        <v>0</v>
      </c>
      <c r="V391" s="64" t="n">
        <f aca="false">IF($K391="Better",$P391,0)</f>
        <v>0</v>
      </c>
      <c r="W391" s="64" t="n">
        <f aca="false">IF($K391="U – needs rule",$P391,0)</f>
        <v>0</v>
      </c>
      <c r="X391" s="64" t="n">
        <f aca="false">IF($K391="No Start (attainment only)",$P391,0)</f>
        <v>0</v>
      </c>
    </row>
    <row r="392" customFormat="false" ht="15" hidden="false" customHeight="false" outlineLevel="0" collapsed="false">
      <c r="A392" s="60"/>
      <c r="B392" s="61" t="str">
        <f aca="false">IF($M392=0,"",INDEX(Classes!$E$6:$E$420,$M392))</f>
        <v/>
      </c>
      <c r="C392" s="62" t="str">
        <f aca="false">IF($M392=0,"",INDEX(Classes!$H$6:$H$420,$M392))</f>
        <v/>
      </c>
      <c r="D392" s="61" t="str">
        <f aca="false">IF($M392=0,"",INDEX(Classes!$B$6:$B$420,$M392))</f>
        <v/>
      </c>
      <c r="E392" s="61" t="str">
        <f aca="false">IF($M392=0,"",INDEX(Classes!$C$6:$C$420,$M392))</f>
        <v/>
      </c>
      <c r="F392" s="63"/>
      <c r="G392" s="63"/>
      <c r="H392" s="60"/>
      <c r="I392" s="60"/>
      <c r="J392" s="63"/>
      <c r="K392" s="61" t="str">
        <f aca="false">IF($P392=0,"",IF($F392="Baseline","— Baseline",IF($O392=0,"No result",IF($N392=0,"No Start (attainment only)",IF(OR($N392=1,$O392=1),"U – needs rule",INDEX(MxBody,MATCH($I392,MxCurr,0),MATCH($H392,MxStart,0)))))))</f>
        <v/>
      </c>
      <c r="L392" s="62" t="str">
        <f aca="false">IF(COUNTA($A392,$F392,$G392,$H392,$I392,$J392)=0,"",IF($M392=0,"✖ كود الصف غير موجود",IF(ISNA(MATCH($F392,Lists!$A$2:$A$5,0)),"✖ الفترة غير صحيحة",IF(ISNA(MATCH($G392,Lists!$B$2:$B$7,0)),"✖ المجموعة غير صحيحة",IF(NOT(OR($H392="",$N392&gt;0)),"✖ Start غير صحيح",IF(NOT(OR($I392="",$I392="NR",$O392&gt;0)),"✖ Current غير صحيح",IF(NOT(IF(ISNUMBER($J392),AND($J392&gt;=0,$J392=INT($J392)),FALSE())),"✖ العدد يجب أن يكون صحيحًا ≥ 0",IF(AND($F392="Baseline",$H392&lt;&gt;""),"⚠ Baseline: Start لا يدخل في التقدم",IF($K392="No Start (attainment only)","ℹ تحصيل فقط (بدون Start)",IF($K392="U – needs rule","ℹ حالة U تحتاج قاعدة معتمدة",IF($K392="No result","ℹ بدون نتيجة (يُستبعد من التحصيل)","OK")))))))))))</f>
        <v/>
      </c>
      <c r="M392" s="64" t="n">
        <f aca="false">IF($A392="",0,IFERROR(MATCH($A392,Classes!$A$6:$A$420,0),0))</f>
        <v>0</v>
      </c>
      <c r="N392" s="64" t="n">
        <f aca="false">IF($H392="",0,IFERROR(MATCH($H392,GradeList,0),0))</f>
        <v>0</v>
      </c>
      <c r="O392" s="64" t="n">
        <f aca="false">IF(OR($I392="",$I392="NR"),0,IFERROR(MATCH($I392,GradeList,0),0))</f>
        <v>0</v>
      </c>
      <c r="P392" s="64" t="n">
        <f aca="false">IF(AND($M392&gt;0,ISNUMBER(MATCH($F392,Lists!$A$2:$A$5,0)),ISNUMBER(MATCH($G392,Lists!$B$2:$B$7,0)),OR($H392="",$N392&gt;0),OR($I392="",$I392="NR",$O392&gt;0),IF(ISNUMBER($J392),AND($J392&gt;=0,$J392=INT($J392)),FALSE())),$J392,0)</f>
        <v>0</v>
      </c>
      <c r="Q392" s="64" t="n">
        <f aca="false">IF(AND($P392&gt;0,$O392&gt;0),$P392,0)</f>
        <v>0</v>
      </c>
      <c r="R392" s="64" t="n">
        <f aca="false">IF(AND($Q392&gt;0,$O392&gt;=AtRank),$Q392,0)</f>
        <v>0</v>
      </c>
      <c r="S392" s="64" t="n">
        <f aca="false">IF(AND($Q392&gt;0,$O392&gt;=AboveRank),$Q392,0)</f>
        <v>0</v>
      </c>
      <c r="T392" s="64" t="n">
        <f aca="false">IF($K392="Less",$P392,0)</f>
        <v>0</v>
      </c>
      <c r="U392" s="64" t="n">
        <f aca="false">IF($K392="Expected",$P392,0)</f>
        <v>0</v>
      </c>
      <c r="V392" s="64" t="n">
        <f aca="false">IF($K392="Better",$P392,0)</f>
        <v>0</v>
      </c>
      <c r="W392" s="64" t="n">
        <f aca="false">IF($K392="U – needs rule",$P392,0)</f>
        <v>0</v>
      </c>
      <c r="X392" s="64" t="n">
        <f aca="false">IF($K392="No Start (attainment only)",$P392,0)</f>
        <v>0</v>
      </c>
    </row>
    <row r="393" customFormat="false" ht="15" hidden="false" customHeight="false" outlineLevel="0" collapsed="false">
      <c r="A393" s="60"/>
      <c r="B393" s="61" t="str">
        <f aca="false">IF($M393=0,"",INDEX(Classes!$E$6:$E$420,$M393))</f>
        <v/>
      </c>
      <c r="C393" s="62" t="str">
        <f aca="false">IF($M393=0,"",INDEX(Classes!$H$6:$H$420,$M393))</f>
        <v/>
      </c>
      <c r="D393" s="61" t="str">
        <f aca="false">IF($M393=0,"",INDEX(Classes!$B$6:$B$420,$M393))</f>
        <v/>
      </c>
      <c r="E393" s="61" t="str">
        <f aca="false">IF($M393=0,"",INDEX(Classes!$C$6:$C$420,$M393))</f>
        <v/>
      </c>
      <c r="F393" s="63"/>
      <c r="G393" s="63"/>
      <c r="H393" s="60"/>
      <c r="I393" s="60"/>
      <c r="J393" s="63"/>
      <c r="K393" s="61" t="str">
        <f aca="false">IF($P393=0,"",IF($F393="Baseline","— Baseline",IF($O393=0,"No result",IF($N393=0,"No Start (attainment only)",IF(OR($N393=1,$O393=1),"U – needs rule",INDEX(MxBody,MATCH($I393,MxCurr,0),MATCH($H393,MxStart,0)))))))</f>
        <v/>
      </c>
      <c r="L393" s="62" t="str">
        <f aca="false">IF(COUNTA($A393,$F393,$G393,$H393,$I393,$J393)=0,"",IF($M393=0,"✖ كود الصف غير موجود",IF(ISNA(MATCH($F393,Lists!$A$2:$A$5,0)),"✖ الفترة غير صحيحة",IF(ISNA(MATCH($G393,Lists!$B$2:$B$7,0)),"✖ المجموعة غير صحيحة",IF(NOT(OR($H393="",$N393&gt;0)),"✖ Start غير صحيح",IF(NOT(OR($I393="",$I393="NR",$O393&gt;0)),"✖ Current غير صحيح",IF(NOT(IF(ISNUMBER($J393),AND($J393&gt;=0,$J393=INT($J393)),FALSE())),"✖ العدد يجب أن يكون صحيحًا ≥ 0",IF(AND($F393="Baseline",$H393&lt;&gt;""),"⚠ Baseline: Start لا يدخل في التقدم",IF($K393="No Start (attainment only)","ℹ تحصيل فقط (بدون Start)",IF($K393="U – needs rule","ℹ حالة U تحتاج قاعدة معتمدة",IF($K393="No result","ℹ بدون نتيجة (يُستبعد من التحصيل)","OK")))))))))))</f>
        <v/>
      </c>
      <c r="M393" s="64" t="n">
        <f aca="false">IF($A393="",0,IFERROR(MATCH($A393,Classes!$A$6:$A$420,0),0))</f>
        <v>0</v>
      </c>
      <c r="N393" s="64" t="n">
        <f aca="false">IF($H393="",0,IFERROR(MATCH($H393,GradeList,0),0))</f>
        <v>0</v>
      </c>
      <c r="O393" s="64" t="n">
        <f aca="false">IF(OR($I393="",$I393="NR"),0,IFERROR(MATCH($I393,GradeList,0),0))</f>
        <v>0</v>
      </c>
      <c r="P393" s="64" t="n">
        <f aca="false">IF(AND($M393&gt;0,ISNUMBER(MATCH($F393,Lists!$A$2:$A$5,0)),ISNUMBER(MATCH($G393,Lists!$B$2:$B$7,0)),OR($H393="",$N393&gt;0),OR($I393="",$I393="NR",$O393&gt;0),IF(ISNUMBER($J393),AND($J393&gt;=0,$J393=INT($J393)),FALSE())),$J393,0)</f>
        <v>0</v>
      </c>
      <c r="Q393" s="64" t="n">
        <f aca="false">IF(AND($P393&gt;0,$O393&gt;0),$P393,0)</f>
        <v>0</v>
      </c>
      <c r="R393" s="64" t="n">
        <f aca="false">IF(AND($Q393&gt;0,$O393&gt;=AtRank),$Q393,0)</f>
        <v>0</v>
      </c>
      <c r="S393" s="64" t="n">
        <f aca="false">IF(AND($Q393&gt;0,$O393&gt;=AboveRank),$Q393,0)</f>
        <v>0</v>
      </c>
      <c r="T393" s="64" t="n">
        <f aca="false">IF($K393="Less",$P393,0)</f>
        <v>0</v>
      </c>
      <c r="U393" s="64" t="n">
        <f aca="false">IF($K393="Expected",$P393,0)</f>
        <v>0</v>
      </c>
      <c r="V393" s="64" t="n">
        <f aca="false">IF($K393="Better",$P393,0)</f>
        <v>0</v>
      </c>
      <c r="W393" s="64" t="n">
        <f aca="false">IF($K393="U – needs rule",$P393,0)</f>
        <v>0</v>
      </c>
      <c r="X393" s="64" t="n">
        <f aca="false">IF($K393="No Start (attainment only)",$P393,0)</f>
        <v>0</v>
      </c>
    </row>
    <row r="394" customFormat="false" ht="15" hidden="false" customHeight="false" outlineLevel="0" collapsed="false">
      <c r="A394" s="60"/>
      <c r="B394" s="61" t="str">
        <f aca="false">IF($M394=0,"",INDEX(Classes!$E$6:$E$420,$M394))</f>
        <v/>
      </c>
      <c r="C394" s="62" t="str">
        <f aca="false">IF($M394=0,"",INDEX(Classes!$H$6:$H$420,$M394))</f>
        <v/>
      </c>
      <c r="D394" s="61" t="str">
        <f aca="false">IF($M394=0,"",INDEX(Classes!$B$6:$B$420,$M394))</f>
        <v/>
      </c>
      <c r="E394" s="61" t="str">
        <f aca="false">IF($M394=0,"",INDEX(Classes!$C$6:$C$420,$M394))</f>
        <v/>
      </c>
      <c r="F394" s="63"/>
      <c r="G394" s="63"/>
      <c r="H394" s="60"/>
      <c r="I394" s="60"/>
      <c r="J394" s="63"/>
      <c r="K394" s="61" t="str">
        <f aca="false">IF($P394=0,"",IF($F394="Baseline","— Baseline",IF($O394=0,"No result",IF($N394=0,"No Start (attainment only)",IF(OR($N394=1,$O394=1),"U – needs rule",INDEX(MxBody,MATCH($I394,MxCurr,0),MATCH($H394,MxStart,0)))))))</f>
        <v/>
      </c>
      <c r="L394" s="62" t="str">
        <f aca="false">IF(COUNTA($A394,$F394,$G394,$H394,$I394,$J394)=0,"",IF($M394=0,"✖ كود الصف غير موجود",IF(ISNA(MATCH($F394,Lists!$A$2:$A$5,0)),"✖ الفترة غير صحيحة",IF(ISNA(MATCH($G394,Lists!$B$2:$B$7,0)),"✖ المجموعة غير صحيحة",IF(NOT(OR($H394="",$N394&gt;0)),"✖ Start غير صحيح",IF(NOT(OR($I394="",$I394="NR",$O394&gt;0)),"✖ Current غير صحيح",IF(NOT(IF(ISNUMBER($J394),AND($J394&gt;=0,$J394=INT($J394)),FALSE())),"✖ العدد يجب أن يكون صحيحًا ≥ 0",IF(AND($F394="Baseline",$H394&lt;&gt;""),"⚠ Baseline: Start لا يدخل في التقدم",IF($K394="No Start (attainment only)","ℹ تحصيل فقط (بدون Start)",IF($K394="U – needs rule","ℹ حالة U تحتاج قاعدة معتمدة",IF($K394="No result","ℹ بدون نتيجة (يُستبعد من التحصيل)","OK")))))))))))</f>
        <v/>
      </c>
      <c r="M394" s="64" t="n">
        <f aca="false">IF($A394="",0,IFERROR(MATCH($A394,Classes!$A$6:$A$420,0),0))</f>
        <v>0</v>
      </c>
      <c r="N394" s="64" t="n">
        <f aca="false">IF($H394="",0,IFERROR(MATCH($H394,GradeList,0),0))</f>
        <v>0</v>
      </c>
      <c r="O394" s="64" t="n">
        <f aca="false">IF(OR($I394="",$I394="NR"),0,IFERROR(MATCH($I394,GradeList,0),0))</f>
        <v>0</v>
      </c>
      <c r="P394" s="64" t="n">
        <f aca="false">IF(AND($M394&gt;0,ISNUMBER(MATCH($F394,Lists!$A$2:$A$5,0)),ISNUMBER(MATCH($G394,Lists!$B$2:$B$7,0)),OR($H394="",$N394&gt;0),OR($I394="",$I394="NR",$O394&gt;0),IF(ISNUMBER($J394),AND($J394&gt;=0,$J394=INT($J394)),FALSE())),$J394,0)</f>
        <v>0</v>
      </c>
      <c r="Q394" s="64" t="n">
        <f aca="false">IF(AND($P394&gt;0,$O394&gt;0),$P394,0)</f>
        <v>0</v>
      </c>
      <c r="R394" s="64" t="n">
        <f aca="false">IF(AND($Q394&gt;0,$O394&gt;=AtRank),$Q394,0)</f>
        <v>0</v>
      </c>
      <c r="S394" s="64" t="n">
        <f aca="false">IF(AND($Q394&gt;0,$O394&gt;=AboveRank),$Q394,0)</f>
        <v>0</v>
      </c>
      <c r="T394" s="64" t="n">
        <f aca="false">IF($K394="Less",$P394,0)</f>
        <v>0</v>
      </c>
      <c r="U394" s="64" t="n">
        <f aca="false">IF($K394="Expected",$P394,0)</f>
        <v>0</v>
      </c>
      <c r="V394" s="64" t="n">
        <f aca="false">IF($K394="Better",$P394,0)</f>
        <v>0</v>
      </c>
      <c r="W394" s="64" t="n">
        <f aca="false">IF($K394="U – needs rule",$P394,0)</f>
        <v>0</v>
      </c>
      <c r="X394" s="64" t="n">
        <f aca="false">IF($K394="No Start (attainment only)",$P394,0)</f>
        <v>0</v>
      </c>
    </row>
    <row r="395" customFormat="false" ht="15" hidden="false" customHeight="false" outlineLevel="0" collapsed="false">
      <c r="A395" s="60"/>
      <c r="B395" s="61" t="str">
        <f aca="false">IF($M395=0,"",INDEX(Classes!$E$6:$E$420,$M395))</f>
        <v/>
      </c>
      <c r="C395" s="62" t="str">
        <f aca="false">IF($M395=0,"",INDEX(Classes!$H$6:$H$420,$M395))</f>
        <v/>
      </c>
      <c r="D395" s="61" t="str">
        <f aca="false">IF($M395=0,"",INDEX(Classes!$B$6:$B$420,$M395))</f>
        <v/>
      </c>
      <c r="E395" s="61" t="str">
        <f aca="false">IF($M395=0,"",INDEX(Classes!$C$6:$C$420,$M395))</f>
        <v/>
      </c>
      <c r="F395" s="63"/>
      <c r="G395" s="63"/>
      <c r="H395" s="60"/>
      <c r="I395" s="60"/>
      <c r="J395" s="63"/>
      <c r="K395" s="61" t="str">
        <f aca="false">IF($P395=0,"",IF($F395="Baseline","— Baseline",IF($O395=0,"No result",IF($N395=0,"No Start (attainment only)",IF(OR($N395=1,$O395=1),"U – needs rule",INDEX(MxBody,MATCH($I395,MxCurr,0),MATCH($H395,MxStart,0)))))))</f>
        <v/>
      </c>
      <c r="L395" s="62" t="str">
        <f aca="false">IF(COUNTA($A395,$F395,$G395,$H395,$I395,$J395)=0,"",IF($M395=0,"✖ كود الصف غير موجود",IF(ISNA(MATCH($F395,Lists!$A$2:$A$5,0)),"✖ الفترة غير صحيحة",IF(ISNA(MATCH($G395,Lists!$B$2:$B$7,0)),"✖ المجموعة غير صحيحة",IF(NOT(OR($H395="",$N395&gt;0)),"✖ Start غير صحيح",IF(NOT(OR($I395="",$I395="NR",$O395&gt;0)),"✖ Current غير صحيح",IF(NOT(IF(ISNUMBER($J395),AND($J395&gt;=0,$J395=INT($J395)),FALSE())),"✖ العدد يجب أن يكون صحيحًا ≥ 0",IF(AND($F395="Baseline",$H395&lt;&gt;""),"⚠ Baseline: Start لا يدخل في التقدم",IF($K395="No Start (attainment only)","ℹ تحصيل فقط (بدون Start)",IF($K395="U – needs rule","ℹ حالة U تحتاج قاعدة معتمدة",IF($K395="No result","ℹ بدون نتيجة (يُستبعد من التحصيل)","OK")))))))))))</f>
        <v/>
      </c>
      <c r="M395" s="64" t="n">
        <f aca="false">IF($A395="",0,IFERROR(MATCH($A395,Classes!$A$6:$A$420,0),0))</f>
        <v>0</v>
      </c>
      <c r="N395" s="64" t="n">
        <f aca="false">IF($H395="",0,IFERROR(MATCH($H395,GradeList,0),0))</f>
        <v>0</v>
      </c>
      <c r="O395" s="64" t="n">
        <f aca="false">IF(OR($I395="",$I395="NR"),0,IFERROR(MATCH($I395,GradeList,0),0))</f>
        <v>0</v>
      </c>
      <c r="P395" s="64" t="n">
        <f aca="false">IF(AND($M395&gt;0,ISNUMBER(MATCH($F395,Lists!$A$2:$A$5,0)),ISNUMBER(MATCH($G395,Lists!$B$2:$B$7,0)),OR($H395="",$N395&gt;0),OR($I395="",$I395="NR",$O395&gt;0),IF(ISNUMBER($J395),AND($J395&gt;=0,$J395=INT($J395)),FALSE())),$J395,0)</f>
        <v>0</v>
      </c>
      <c r="Q395" s="64" t="n">
        <f aca="false">IF(AND($P395&gt;0,$O395&gt;0),$P395,0)</f>
        <v>0</v>
      </c>
      <c r="R395" s="64" t="n">
        <f aca="false">IF(AND($Q395&gt;0,$O395&gt;=AtRank),$Q395,0)</f>
        <v>0</v>
      </c>
      <c r="S395" s="64" t="n">
        <f aca="false">IF(AND($Q395&gt;0,$O395&gt;=AboveRank),$Q395,0)</f>
        <v>0</v>
      </c>
      <c r="T395" s="64" t="n">
        <f aca="false">IF($K395="Less",$P395,0)</f>
        <v>0</v>
      </c>
      <c r="U395" s="64" t="n">
        <f aca="false">IF($K395="Expected",$P395,0)</f>
        <v>0</v>
      </c>
      <c r="V395" s="64" t="n">
        <f aca="false">IF($K395="Better",$P395,0)</f>
        <v>0</v>
      </c>
      <c r="W395" s="64" t="n">
        <f aca="false">IF($K395="U – needs rule",$P395,0)</f>
        <v>0</v>
      </c>
      <c r="X395" s="64" t="n">
        <f aca="false">IF($K395="No Start (attainment only)",$P395,0)</f>
        <v>0</v>
      </c>
    </row>
    <row r="396" customFormat="false" ht="15" hidden="false" customHeight="false" outlineLevel="0" collapsed="false">
      <c r="A396" s="60"/>
      <c r="B396" s="61" t="str">
        <f aca="false">IF($M396=0,"",INDEX(Classes!$E$6:$E$420,$M396))</f>
        <v/>
      </c>
      <c r="C396" s="62" t="str">
        <f aca="false">IF($M396=0,"",INDEX(Classes!$H$6:$H$420,$M396))</f>
        <v/>
      </c>
      <c r="D396" s="61" t="str">
        <f aca="false">IF($M396=0,"",INDEX(Classes!$B$6:$B$420,$M396))</f>
        <v/>
      </c>
      <c r="E396" s="61" t="str">
        <f aca="false">IF($M396=0,"",INDEX(Classes!$C$6:$C$420,$M396))</f>
        <v/>
      </c>
      <c r="F396" s="63"/>
      <c r="G396" s="63"/>
      <c r="H396" s="60"/>
      <c r="I396" s="60"/>
      <c r="J396" s="63"/>
      <c r="K396" s="61" t="str">
        <f aca="false">IF($P396=0,"",IF($F396="Baseline","— Baseline",IF($O396=0,"No result",IF($N396=0,"No Start (attainment only)",IF(OR($N396=1,$O396=1),"U – needs rule",INDEX(MxBody,MATCH($I396,MxCurr,0),MATCH($H396,MxStart,0)))))))</f>
        <v/>
      </c>
      <c r="L396" s="62" t="str">
        <f aca="false">IF(COUNTA($A396,$F396,$G396,$H396,$I396,$J396)=0,"",IF($M396=0,"✖ كود الصف غير موجود",IF(ISNA(MATCH($F396,Lists!$A$2:$A$5,0)),"✖ الفترة غير صحيحة",IF(ISNA(MATCH($G396,Lists!$B$2:$B$7,0)),"✖ المجموعة غير صحيحة",IF(NOT(OR($H396="",$N396&gt;0)),"✖ Start غير صحيح",IF(NOT(OR($I396="",$I396="NR",$O396&gt;0)),"✖ Current غير صحيح",IF(NOT(IF(ISNUMBER($J396),AND($J396&gt;=0,$J396=INT($J396)),FALSE())),"✖ العدد يجب أن يكون صحيحًا ≥ 0",IF(AND($F396="Baseline",$H396&lt;&gt;""),"⚠ Baseline: Start لا يدخل في التقدم",IF($K396="No Start (attainment only)","ℹ تحصيل فقط (بدون Start)",IF($K396="U – needs rule","ℹ حالة U تحتاج قاعدة معتمدة",IF($K396="No result","ℹ بدون نتيجة (يُستبعد من التحصيل)","OK")))))))))))</f>
        <v/>
      </c>
      <c r="M396" s="64" t="n">
        <f aca="false">IF($A396="",0,IFERROR(MATCH($A396,Classes!$A$6:$A$420,0),0))</f>
        <v>0</v>
      </c>
      <c r="N396" s="64" t="n">
        <f aca="false">IF($H396="",0,IFERROR(MATCH($H396,GradeList,0),0))</f>
        <v>0</v>
      </c>
      <c r="O396" s="64" t="n">
        <f aca="false">IF(OR($I396="",$I396="NR"),0,IFERROR(MATCH($I396,GradeList,0),0))</f>
        <v>0</v>
      </c>
      <c r="P396" s="64" t="n">
        <f aca="false">IF(AND($M396&gt;0,ISNUMBER(MATCH($F396,Lists!$A$2:$A$5,0)),ISNUMBER(MATCH($G396,Lists!$B$2:$B$7,0)),OR($H396="",$N396&gt;0),OR($I396="",$I396="NR",$O396&gt;0),IF(ISNUMBER($J396),AND($J396&gt;=0,$J396=INT($J396)),FALSE())),$J396,0)</f>
        <v>0</v>
      </c>
      <c r="Q396" s="64" t="n">
        <f aca="false">IF(AND($P396&gt;0,$O396&gt;0),$P396,0)</f>
        <v>0</v>
      </c>
      <c r="R396" s="64" t="n">
        <f aca="false">IF(AND($Q396&gt;0,$O396&gt;=AtRank),$Q396,0)</f>
        <v>0</v>
      </c>
      <c r="S396" s="64" t="n">
        <f aca="false">IF(AND($Q396&gt;0,$O396&gt;=AboveRank),$Q396,0)</f>
        <v>0</v>
      </c>
      <c r="T396" s="64" t="n">
        <f aca="false">IF($K396="Less",$P396,0)</f>
        <v>0</v>
      </c>
      <c r="U396" s="64" t="n">
        <f aca="false">IF($K396="Expected",$P396,0)</f>
        <v>0</v>
      </c>
      <c r="V396" s="64" t="n">
        <f aca="false">IF($K396="Better",$P396,0)</f>
        <v>0</v>
      </c>
      <c r="W396" s="64" t="n">
        <f aca="false">IF($K396="U – needs rule",$P396,0)</f>
        <v>0</v>
      </c>
      <c r="X396" s="64" t="n">
        <f aca="false">IF($K396="No Start (attainment only)",$P396,0)</f>
        <v>0</v>
      </c>
    </row>
    <row r="397" customFormat="false" ht="15" hidden="false" customHeight="false" outlineLevel="0" collapsed="false">
      <c r="A397" s="60"/>
      <c r="B397" s="61" t="str">
        <f aca="false">IF($M397=0,"",INDEX(Classes!$E$6:$E$420,$M397))</f>
        <v/>
      </c>
      <c r="C397" s="62" t="str">
        <f aca="false">IF($M397=0,"",INDEX(Classes!$H$6:$H$420,$M397))</f>
        <v/>
      </c>
      <c r="D397" s="61" t="str">
        <f aca="false">IF($M397=0,"",INDEX(Classes!$B$6:$B$420,$M397))</f>
        <v/>
      </c>
      <c r="E397" s="61" t="str">
        <f aca="false">IF($M397=0,"",INDEX(Classes!$C$6:$C$420,$M397))</f>
        <v/>
      </c>
      <c r="F397" s="63"/>
      <c r="G397" s="63"/>
      <c r="H397" s="60"/>
      <c r="I397" s="60"/>
      <c r="J397" s="63"/>
      <c r="K397" s="61" t="str">
        <f aca="false">IF($P397=0,"",IF($F397="Baseline","— Baseline",IF($O397=0,"No result",IF($N397=0,"No Start (attainment only)",IF(OR($N397=1,$O397=1),"U – needs rule",INDEX(MxBody,MATCH($I397,MxCurr,0),MATCH($H397,MxStart,0)))))))</f>
        <v/>
      </c>
      <c r="L397" s="62" t="str">
        <f aca="false">IF(COUNTA($A397,$F397,$G397,$H397,$I397,$J397)=0,"",IF($M397=0,"✖ كود الصف غير موجود",IF(ISNA(MATCH($F397,Lists!$A$2:$A$5,0)),"✖ الفترة غير صحيحة",IF(ISNA(MATCH($G397,Lists!$B$2:$B$7,0)),"✖ المجموعة غير صحيحة",IF(NOT(OR($H397="",$N397&gt;0)),"✖ Start غير صحيح",IF(NOT(OR($I397="",$I397="NR",$O397&gt;0)),"✖ Current غير صحيح",IF(NOT(IF(ISNUMBER($J397),AND($J397&gt;=0,$J397=INT($J397)),FALSE())),"✖ العدد يجب أن يكون صحيحًا ≥ 0",IF(AND($F397="Baseline",$H397&lt;&gt;""),"⚠ Baseline: Start لا يدخل في التقدم",IF($K397="No Start (attainment only)","ℹ تحصيل فقط (بدون Start)",IF($K397="U – needs rule","ℹ حالة U تحتاج قاعدة معتمدة",IF($K397="No result","ℹ بدون نتيجة (يُستبعد من التحصيل)","OK")))))))))))</f>
        <v/>
      </c>
      <c r="M397" s="64" t="n">
        <f aca="false">IF($A397="",0,IFERROR(MATCH($A397,Classes!$A$6:$A$420,0),0))</f>
        <v>0</v>
      </c>
      <c r="N397" s="64" t="n">
        <f aca="false">IF($H397="",0,IFERROR(MATCH($H397,GradeList,0),0))</f>
        <v>0</v>
      </c>
      <c r="O397" s="64" t="n">
        <f aca="false">IF(OR($I397="",$I397="NR"),0,IFERROR(MATCH($I397,GradeList,0),0))</f>
        <v>0</v>
      </c>
      <c r="P397" s="64" t="n">
        <f aca="false">IF(AND($M397&gt;0,ISNUMBER(MATCH($F397,Lists!$A$2:$A$5,0)),ISNUMBER(MATCH($G397,Lists!$B$2:$B$7,0)),OR($H397="",$N397&gt;0),OR($I397="",$I397="NR",$O397&gt;0),IF(ISNUMBER($J397),AND($J397&gt;=0,$J397=INT($J397)),FALSE())),$J397,0)</f>
        <v>0</v>
      </c>
      <c r="Q397" s="64" t="n">
        <f aca="false">IF(AND($P397&gt;0,$O397&gt;0),$P397,0)</f>
        <v>0</v>
      </c>
      <c r="R397" s="64" t="n">
        <f aca="false">IF(AND($Q397&gt;0,$O397&gt;=AtRank),$Q397,0)</f>
        <v>0</v>
      </c>
      <c r="S397" s="64" t="n">
        <f aca="false">IF(AND($Q397&gt;0,$O397&gt;=AboveRank),$Q397,0)</f>
        <v>0</v>
      </c>
      <c r="T397" s="64" t="n">
        <f aca="false">IF($K397="Less",$P397,0)</f>
        <v>0</v>
      </c>
      <c r="U397" s="64" t="n">
        <f aca="false">IF($K397="Expected",$P397,0)</f>
        <v>0</v>
      </c>
      <c r="V397" s="64" t="n">
        <f aca="false">IF($K397="Better",$P397,0)</f>
        <v>0</v>
      </c>
      <c r="W397" s="64" t="n">
        <f aca="false">IF($K397="U – needs rule",$P397,0)</f>
        <v>0</v>
      </c>
      <c r="X397" s="64" t="n">
        <f aca="false">IF($K397="No Start (attainment only)",$P397,0)</f>
        <v>0</v>
      </c>
    </row>
    <row r="398" customFormat="false" ht="15" hidden="false" customHeight="false" outlineLevel="0" collapsed="false">
      <c r="A398" s="60"/>
      <c r="B398" s="61" t="str">
        <f aca="false">IF($M398=0,"",INDEX(Classes!$E$6:$E$420,$M398))</f>
        <v/>
      </c>
      <c r="C398" s="62" t="str">
        <f aca="false">IF($M398=0,"",INDEX(Classes!$H$6:$H$420,$M398))</f>
        <v/>
      </c>
      <c r="D398" s="61" t="str">
        <f aca="false">IF($M398=0,"",INDEX(Classes!$B$6:$B$420,$M398))</f>
        <v/>
      </c>
      <c r="E398" s="61" t="str">
        <f aca="false">IF($M398=0,"",INDEX(Classes!$C$6:$C$420,$M398))</f>
        <v/>
      </c>
      <c r="F398" s="63"/>
      <c r="G398" s="63"/>
      <c r="H398" s="60"/>
      <c r="I398" s="60"/>
      <c r="J398" s="63"/>
      <c r="K398" s="61" t="str">
        <f aca="false">IF($P398=0,"",IF($F398="Baseline","— Baseline",IF($O398=0,"No result",IF($N398=0,"No Start (attainment only)",IF(OR($N398=1,$O398=1),"U – needs rule",INDEX(MxBody,MATCH($I398,MxCurr,0),MATCH($H398,MxStart,0)))))))</f>
        <v/>
      </c>
      <c r="L398" s="62" t="str">
        <f aca="false">IF(COUNTA($A398,$F398,$G398,$H398,$I398,$J398)=0,"",IF($M398=0,"✖ كود الصف غير موجود",IF(ISNA(MATCH($F398,Lists!$A$2:$A$5,0)),"✖ الفترة غير صحيحة",IF(ISNA(MATCH($G398,Lists!$B$2:$B$7,0)),"✖ المجموعة غير صحيحة",IF(NOT(OR($H398="",$N398&gt;0)),"✖ Start غير صحيح",IF(NOT(OR($I398="",$I398="NR",$O398&gt;0)),"✖ Current غير صحيح",IF(NOT(IF(ISNUMBER($J398),AND($J398&gt;=0,$J398=INT($J398)),FALSE())),"✖ العدد يجب أن يكون صحيحًا ≥ 0",IF(AND($F398="Baseline",$H398&lt;&gt;""),"⚠ Baseline: Start لا يدخل في التقدم",IF($K398="No Start (attainment only)","ℹ تحصيل فقط (بدون Start)",IF($K398="U – needs rule","ℹ حالة U تحتاج قاعدة معتمدة",IF($K398="No result","ℹ بدون نتيجة (يُستبعد من التحصيل)","OK")))))))))))</f>
        <v/>
      </c>
      <c r="M398" s="64" t="n">
        <f aca="false">IF($A398="",0,IFERROR(MATCH($A398,Classes!$A$6:$A$420,0),0))</f>
        <v>0</v>
      </c>
      <c r="N398" s="64" t="n">
        <f aca="false">IF($H398="",0,IFERROR(MATCH($H398,GradeList,0),0))</f>
        <v>0</v>
      </c>
      <c r="O398" s="64" t="n">
        <f aca="false">IF(OR($I398="",$I398="NR"),0,IFERROR(MATCH($I398,GradeList,0),0))</f>
        <v>0</v>
      </c>
      <c r="P398" s="64" t="n">
        <f aca="false">IF(AND($M398&gt;0,ISNUMBER(MATCH($F398,Lists!$A$2:$A$5,0)),ISNUMBER(MATCH($G398,Lists!$B$2:$B$7,0)),OR($H398="",$N398&gt;0),OR($I398="",$I398="NR",$O398&gt;0),IF(ISNUMBER($J398),AND($J398&gt;=0,$J398=INT($J398)),FALSE())),$J398,0)</f>
        <v>0</v>
      </c>
      <c r="Q398" s="64" t="n">
        <f aca="false">IF(AND($P398&gt;0,$O398&gt;0),$P398,0)</f>
        <v>0</v>
      </c>
      <c r="R398" s="64" t="n">
        <f aca="false">IF(AND($Q398&gt;0,$O398&gt;=AtRank),$Q398,0)</f>
        <v>0</v>
      </c>
      <c r="S398" s="64" t="n">
        <f aca="false">IF(AND($Q398&gt;0,$O398&gt;=AboveRank),$Q398,0)</f>
        <v>0</v>
      </c>
      <c r="T398" s="64" t="n">
        <f aca="false">IF($K398="Less",$P398,0)</f>
        <v>0</v>
      </c>
      <c r="U398" s="64" t="n">
        <f aca="false">IF($K398="Expected",$P398,0)</f>
        <v>0</v>
      </c>
      <c r="V398" s="64" t="n">
        <f aca="false">IF($K398="Better",$P398,0)</f>
        <v>0</v>
      </c>
      <c r="W398" s="64" t="n">
        <f aca="false">IF($K398="U – needs rule",$P398,0)</f>
        <v>0</v>
      </c>
      <c r="X398" s="64" t="n">
        <f aca="false">IF($K398="No Start (attainment only)",$P398,0)</f>
        <v>0</v>
      </c>
    </row>
    <row r="399" customFormat="false" ht="15" hidden="false" customHeight="false" outlineLevel="0" collapsed="false">
      <c r="A399" s="60"/>
      <c r="B399" s="61" t="str">
        <f aca="false">IF($M399=0,"",INDEX(Classes!$E$6:$E$420,$M399))</f>
        <v/>
      </c>
      <c r="C399" s="62" t="str">
        <f aca="false">IF($M399=0,"",INDEX(Classes!$H$6:$H$420,$M399))</f>
        <v/>
      </c>
      <c r="D399" s="61" t="str">
        <f aca="false">IF($M399=0,"",INDEX(Classes!$B$6:$B$420,$M399))</f>
        <v/>
      </c>
      <c r="E399" s="61" t="str">
        <f aca="false">IF($M399=0,"",INDEX(Classes!$C$6:$C$420,$M399))</f>
        <v/>
      </c>
      <c r="F399" s="63"/>
      <c r="G399" s="63"/>
      <c r="H399" s="60"/>
      <c r="I399" s="60"/>
      <c r="J399" s="63"/>
      <c r="K399" s="61" t="str">
        <f aca="false">IF($P399=0,"",IF($F399="Baseline","— Baseline",IF($O399=0,"No result",IF($N399=0,"No Start (attainment only)",IF(OR($N399=1,$O399=1),"U – needs rule",INDEX(MxBody,MATCH($I399,MxCurr,0),MATCH($H399,MxStart,0)))))))</f>
        <v/>
      </c>
      <c r="L399" s="62" t="str">
        <f aca="false">IF(COUNTA($A399,$F399,$G399,$H399,$I399,$J399)=0,"",IF($M399=0,"✖ كود الصف غير موجود",IF(ISNA(MATCH($F399,Lists!$A$2:$A$5,0)),"✖ الفترة غير صحيحة",IF(ISNA(MATCH($G399,Lists!$B$2:$B$7,0)),"✖ المجموعة غير صحيحة",IF(NOT(OR($H399="",$N399&gt;0)),"✖ Start غير صحيح",IF(NOT(OR($I399="",$I399="NR",$O399&gt;0)),"✖ Current غير صحيح",IF(NOT(IF(ISNUMBER($J399),AND($J399&gt;=0,$J399=INT($J399)),FALSE())),"✖ العدد يجب أن يكون صحيحًا ≥ 0",IF(AND($F399="Baseline",$H399&lt;&gt;""),"⚠ Baseline: Start لا يدخل في التقدم",IF($K399="No Start (attainment only)","ℹ تحصيل فقط (بدون Start)",IF($K399="U – needs rule","ℹ حالة U تحتاج قاعدة معتمدة",IF($K399="No result","ℹ بدون نتيجة (يُستبعد من التحصيل)","OK")))))))))))</f>
        <v/>
      </c>
      <c r="M399" s="64" t="n">
        <f aca="false">IF($A399="",0,IFERROR(MATCH($A399,Classes!$A$6:$A$420,0),0))</f>
        <v>0</v>
      </c>
      <c r="N399" s="64" t="n">
        <f aca="false">IF($H399="",0,IFERROR(MATCH($H399,GradeList,0),0))</f>
        <v>0</v>
      </c>
      <c r="O399" s="64" t="n">
        <f aca="false">IF(OR($I399="",$I399="NR"),0,IFERROR(MATCH($I399,GradeList,0),0))</f>
        <v>0</v>
      </c>
      <c r="P399" s="64" t="n">
        <f aca="false">IF(AND($M399&gt;0,ISNUMBER(MATCH($F399,Lists!$A$2:$A$5,0)),ISNUMBER(MATCH($G399,Lists!$B$2:$B$7,0)),OR($H399="",$N399&gt;0),OR($I399="",$I399="NR",$O399&gt;0),IF(ISNUMBER($J399),AND($J399&gt;=0,$J399=INT($J399)),FALSE())),$J399,0)</f>
        <v>0</v>
      </c>
      <c r="Q399" s="64" t="n">
        <f aca="false">IF(AND($P399&gt;0,$O399&gt;0),$P399,0)</f>
        <v>0</v>
      </c>
      <c r="R399" s="64" t="n">
        <f aca="false">IF(AND($Q399&gt;0,$O399&gt;=AtRank),$Q399,0)</f>
        <v>0</v>
      </c>
      <c r="S399" s="64" t="n">
        <f aca="false">IF(AND($Q399&gt;0,$O399&gt;=AboveRank),$Q399,0)</f>
        <v>0</v>
      </c>
      <c r="T399" s="64" t="n">
        <f aca="false">IF($K399="Less",$P399,0)</f>
        <v>0</v>
      </c>
      <c r="U399" s="64" t="n">
        <f aca="false">IF($K399="Expected",$P399,0)</f>
        <v>0</v>
      </c>
      <c r="V399" s="64" t="n">
        <f aca="false">IF($K399="Better",$P399,0)</f>
        <v>0</v>
      </c>
      <c r="W399" s="64" t="n">
        <f aca="false">IF($K399="U – needs rule",$P399,0)</f>
        <v>0</v>
      </c>
      <c r="X399" s="64" t="n">
        <f aca="false">IF($K399="No Start (attainment only)",$P399,0)</f>
        <v>0</v>
      </c>
    </row>
    <row r="400" customFormat="false" ht="15" hidden="false" customHeight="false" outlineLevel="0" collapsed="false">
      <c r="A400" s="60"/>
      <c r="B400" s="61" t="str">
        <f aca="false">IF($M400=0,"",INDEX(Classes!$E$6:$E$420,$M400))</f>
        <v/>
      </c>
      <c r="C400" s="62" t="str">
        <f aca="false">IF($M400=0,"",INDEX(Classes!$H$6:$H$420,$M400))</f>
        <v/>
      </c>
      <c r="D400" s="61" t="str">
        <f aca="false">IF($M400=0,"",INDEX(Classes!$B$6:$B$420,$M400))</f>
        <v/>
      </c>
      <c r="E400" s="61" t="str">
        <f aca="false">IF($M400=0,"",INDEX(Classes!$C$6:$C$420,$M400))</f>
        <v/>
      </c>
      <c r="F400" s="63"/>
      <c r="G400" s="63"/>
      <c r="H400" s="60"/>
      <c r="I400" s="60"/>
      <c r="J400" s="63"/>
      <c r="K400" s="61" t="str">
        <f aca="false">IF($P400=0,"",IF($F400="Baseline","— Baseline",IF($O400=0,"No result",IF($N400=0,"No Start (attainment only)",IF(OR($N400=1,$O400=1),"U – needs rule",INDEX(MxBody,MATCH($I400,MxCurr,0),MATCH($H400,MxStart,0)))))))</f>
        <v/>
      </c>
      <c r="L400" s="62" t="str">
        <f aca="false">IF(COUNTA($A400,$F400,$G400,$H400,$I400,$J400)=0,"",IF($M400=0,"✖ كود الصف غير موجود",IF(ISNA(MATCH($F400,Lists!$A$2:$A$5,0)),"✖ الفترة غير صحيحة",IF(ISNA(MATCH($G400,Lists!$B$2:$B$7,0)),"✖ المجموعة غير صحيحة",IF(NOT(OR($H400="",$N400&gt;0)),"✖ Start غير صحيح",IF(NOT(OR($I400="",$I400="NR",$O400&gt;0)),"✖ Current غير صحيح",IF(NOT(IF(ISNUMBER($J400),AND($J400&gt;=0,$J400=INT($J400)),FALSE())),"✖ العدد يجب أن يكون صحيحًا ≥ 0",IF(AND($F400="Baseline",$H400&lt;&gt;""),"⚠ Baseline: Start لا يدخل في التقدم",IF($K400="No Start (attainment only)","ℹ تحصيل فقط (بدون Start)",IF($K400="U – needs rule","ℹ حالة U تحتاج قاعدة معتمدة",IF($K400="No result","ℹ بدون نتيجة (يُستبعد من التحصيل)","OK")))))))))))</f>
        <v/>
      </c>
      <c r="M400" s="64" t="n">
        <f aca="false">IF($A400="",0,IFERROR(MATCH($A400,Classes!$A$6:$A$420,0),0))</f>
        <v>0</v>
      </c>
      <c r="N400" s="64" t="n">
        <f aca="false">IF($H400="",0,IFERROR(MATCH($H400,GradeList,0),0))</f>
        <v>0</v>
      </c>
      <c r="O400" s="64" t="n">
        <f aca="false">IF(OR($I400="",$I400="NR"),0,IFERROR(MATCH($I400,GradeList,0),0))</f>
        <v>0</v>
      </c>
      <c r="P400" s="64" t="n">
        <f aca="false">IF(AND($M400&gt;0,ISNUMBER(MATCH($F400,Lists!$A$2:$A$5,0)),ISNUMBER(MATCH($G400,Lists!$B$2:$B$7,0)),OR($H400="",$N400&gt;0),OR($I400="",$I400="NR",$O400&gt;0),IF(ISNUMBER($J400),AND($J400&gt;=0,$J400=INT($J400)),FALSE())),$J400,0)</f>
        <v>0</v>
      </c>
      <c r="Q400" s="64" t="n">
        <f aca="false">IF(AND($P400&gt;0,$O400&gt;0),$P400,0)</f>
        <v>0</v>
      </c>
      <c r="R400" s="64" t="n">
        <f aca="false">IF(AND($Q400&gt;0,$O400&gt;=AtRank),$Q400,0)</f>
        <v>0</v>
      </c>
      <c r="S400" s="64" t="n">
        <f aca="false">IF(AND($Q400&gt;0,$O400&gt;=AboveRank),$Q400,0)</f>
        <v>0</v>
      </c>
      <c r="T400" s="64" t="n">
        <f aca="false">IF($K400="Less",$P400,0)</f>
        <v>0</v>
      </c>
      <c r="U400" s="64" t="n">
        <f aca="false">IF($K400="Expected",$P400,0)</f>
        <v>0</v>
      </c>
      <c r="V400" s="64" t="n">
        <f aca="false">IF($K400="Better",$P400,0)</f>
        <v>0</v>
      </c>
      <c r="W400" s="64" t="n">
        <f aca="false">IF($K400="U – needs rule",$P400,0)</f>
        <v>0</v>
      </c>
      <c r="X400" s="64" t="n">
        <f aca="false">IF($K400="No Start (attainment only)",$P400,0)</f>
        <v>0</v>
      </c>
    </row>
    <row r="401" customFormat="false" ht="15" hidden="false" customHeight="false" outlineLevel="0" collapsed="false">
      <c r="A401" s="60"/>
      <c r="B401" s="61" t="str">
        <f aca="false">IF($M401=0,"",INDEX(Classes!$E$6:$E$420,$M401))</f>
        <v/>
      </c>
      <c r="C401" s="62" t="str">
        <f aca="false">IF($M401=0,"",INDEX(Classes!$H$6:$H$420,$M401))</f>
        <v/>
      </c>
      <c r="D401" s="61" t="str">
        <f aca="false">IF($M401=0,"",INDEX(Classes!$B$6:$B$420,$M401))</f>
        <v/>
      </c>
      <c r="E401" s="61" t="str">
        <f aca="false">IF($M401=0,"",INDEX(Classes!$C$6:$C$420,$M401))</f>
        <v/>
      </c>
      <c r="F401" s="63"/>
      <c r="G401" s="63"/>
      <c r="H401" s="60"/>
      <c r="I401" s="60"/>
      <c r="J401" s="63"/>
      <c r="K401" s="61" t="str">
        <f aca="false">IF($P401=0,"",IF($F401="Baseline","— Baseline",IF($O401=0,"No result",IF($N401=0,"No Start (attainment only)",IF(OR($N401=1,$O401=1),"U – needs rule",INDEX(MxBody,MATCH($I401,MxCurr,0),MATCH($H401,MxStart,0)))))))</f>
        <v/>
      </c>
      <c r="L401" s="62" t="str">
        <f aca="false">IF(COUNTA($A401,$F401,$G401,$H401,$I401,$J401)=0,"",IF($M401=0,"✖ كود الصف غير موجود",IF(ISNA(MATCH($F401,Lists!$A$2:$A$5,0)),"✖ الفترة غير صحيحة",IF(ISNA(MATCH($G401,Lists!$B$2:$B$7,0)),"✖ المجموعة غير صحيحة",IF(NOT(OR($H401="",$N401&gt;0)),"✖ Start غير صحيح",IF(NOT(OR($I401="",$I401="NR",$O401&gt;0)),"✖ Current غير صحيح",IF(NOT(IF(ISNUMBER($J401),AND($J401&gt;=0,$J401=INT($J401)),FALSE())),"✖ العدد يجب أن يكون صحيحًا ≥ 0",IF(AND($F401="Baseline",$H401&lt;&gt;""),"⚠ Baseline: Start لا يدخل في التقدم",IF($K401="No Start (attainment only)","ℹ تحصيل فقط (بدون Start)",IF($K401="U – needs rule","ℹ حالة U تحتاج قاعدة معتمدة",IF($K401="No result","ℹ بدون نتيجة (يُستبعد من التحصيل)","OK")))))))))))</f>
        <v/>
      </c>
      <c r="M401" s="64" t="n">
        <f aca="false">IF($A401="",0,IFERROR(MATCH($A401,Classes!$A$6:$A$420,0),0))</f>
        <v>0</v>
      </c>
      <c r="N401" s="64" t="n">
        <f aca="false">IF($H401="",0,IFERROR(MATCH($H401,GradeList,0),0))</f>
        <v>0</v>
      </c>
      <c r="O401" s="64" t="n">
        <f aca="false">IF(OR($I401="",$I401="NR"),0,IFERROR(MATCH($I401,GradeList,0),0))</f>
        <v>0</v>
      </c>
      <c r="P401" s="64" t="n">
        <f aca="false">IF(AND($M401&gt;0,ISNUMBER(MATCH($F401,Lists!$A$2:$A$5,0)),ISNUMBER(MATCH($G401,Lists!$B$2:$B$7,0)),OR($H401="",$N401&gt;0),OR($I401="",$I401="NR",$O401&gt;0),IF(ISNUMBER($J401),AND($J401&gt;=0,$J401=INT($J401)),FALSE())),$J401,0)</f>
        <v>0</v>
      </c>
      <c r="Q401" s="64" t="n">
        <f aca="false">IF(AND($P401&gt;0,$O401&gt;0),$P401,0)</f>
        <v>0</v>
      </c>
      <c r="R401" s="64" t="n">
        <f aca="false">IF(AND($Q401&gt;0,$O401&gt;=AtRank),$Q401,0)</f>
        <v>0</v>
      </c>
      <c r="S401" s="64" t="n">
        <f aca="false">IF(AND($Q401&gt;0,$O401&gt;=AboveRank),$Q401,0)</f>
        <v>0</v>
      </c>
      <c r="T401" s="64" t="n">
        <f aca="false">IF($K401="Less",$P401,0)</f>
        <v>0</v>
      </c>
      <c r="U401" s="64" t="n">
        <f aca="false">IF($K401="Expected",$P401,0)</f>
        <v>0</v>
      </c>
      <c r="V401" s="64" t="n">
        <f aca="false">IF($K401="Better",$P401,0)</f>
        <v>0</v>
      </c>
      <c r="W401" s="64" t="n">
        <f aca="false">IF($K401="U – needs rule",$P401,0)</f>
        <v>0</v>
      </c>
      <c r="X401" s="64" t="n">
        <f aca="false">IF($K401="No Start (attainment only)",$P401,0)</f>
        <v>0</v>
      </c>
    </row>
    <row r="402" customFormat="false" ht="15" hidden="false" customHeight="false" outlineLevel="0" collapsed="false">
      <c r="A402" s="60"/>
      <c r="B402" s="61" t="str">
        <f aca="false">IF($M402=0,"",INDEX(Classes!$E$6:$E$420,$M402))</f>
        <v/>
      </c>
      <c r="C402" s="62" t="str">
        <f aca="false">IF($M402=0,"",INDEX(Classes!$H$6:$H$420,$M402))</f>
        <v/>
      </c>
      <c r="D402" s="61" t="str">
        <f aca="false">IF($M402=0,"",INDEX(Classes!$B$6:$B$420,$M402))</f>
        <v/>
      </c>
      <c r="E402" s="61" t="str">
        <f aca="false">IF($M402=0,"",INDEX(Classes!$C$6:$C$420,$M402))</f>
        <v/>
      </c>
      <c r="F402" s="63"/>
      <c r="G402" s="63"/>
      <c r="H402" s="60"/>
      <c r="I402" s="60"/>
      <c r="J402" s="63"/>
      <c r="K402" s="61" t="str">
        <f aca="false">IF($P402=0,"",IF($F402="Baseline","— Baseline",IF($O402=0,"No result",IF($N402=0,"No Start (attainment only)",IF(OR($N402=1,$O402=1),"U – needs rule",INDEX(MxBody,MATCH($I402,MxCurr,0),MATCH($H402,MxStart,0)))))))</f>
        <v/>
      </c>
      <c r="L402" s="62" t="str">
        <f aca="false">IF(COUNTA($A402,$F402,$G402,$H402,$I402,$J402)=0,"",IF($M402=0,"✖ كود الصف غير موجود",IF(ISNA(MATCH($F402,Lists!$A$2:$A$5,0)),"✖ الفترة غير صحيحة",IF(ISNA(MATCH($G402,Lists!$B$2:$B$7,0)),"✖ المجموعة غير صحيحة",IF(NOT(OR($H402="",$N402&gt;0)),"✖ Start غير صحيح",IF(NOT(OR($I402="",$I402="NR",$O402&gt;0)),"✖ Current غير صحيح",IF(NOT(IF(ISNUMBER($J402),AND($J402&gt;=0,$J402=INT($J402)),FALSE())),"✖ العدد يجب أن يكون صحيحًا ≥ 0",IF(AND($F402="Baseline",$H402&lt;&gt;""),"⚠ Baseline: Start لا يدخل في التقدم",IF($K402="No Start (attainment only)","ℹ تحصيل فقط (بدون Start)",IF($K402="U – needs rule","ℹ حالة U تحتاج قاعدة معتمدة",IF($K402="No result","ℹ بدون نتيجة (يُستبعد من التحصيل)","OK")))))))))))</f>
        <v/>
      </c>
      <c r="M402" s="64" t="n">
        <f aca="false">IF($A402="",0,IFERROR(MATCH($A402,Classes!$A$6:$A$420,0),0))</f>
        <v>0</v>
      </c>
      <c r="N402" s="64" t="n">
        <f aca="false">IF($H402="",0,IFERROR(MATCH($H402,GradeList,0),0))</f>
        <v>0</v>
      </c>
      <c r="O402" s="64" t="n">
        <f aca="false">IF(OR($I402="",$I402="NR"),0,IFERROR(MATCH($I402,GradeList,0),0))</f>
        <v>0</v>
      </c>
      <c r="P402" s="64" t="n">
        <f aca="false">IF(AND($M402&gt;0,ISNUMBER(MATCH($F402,Lists!$A$2:$A$5,0)),ISNUMBER(MATCH($G402,Lists!$B$2:$B$7,0)),OR($H402="",$N402&gt;0),OR($I402="",$I402="NR",$O402&gt;0),IF(ISNUMBER($J402),AND($J402&gt;=0,$J402=INT($J402)),FALSE())),$J402,0)</f>
        <v>0</v>
      </c>
      <c r="Q402" s="64" t="n">
        <f aca="false">IF(AND($P402&gt;0,$O402&gt;0),$P402,0)</f>
        <v>0</v>
      </c>
      <c r="R402" s="64" t="n">
        <f aca="false">IF(AND($Q402&gt;0,$O402&gt;=AtRank),$Q402,0)</f>
        <v>0</v>
      </c>
      <c r="S402" s="64" t="n">
        <f aca="false">IF(AND($Q402&gt;0,$O402&gt;=AboveRank),$Q402,0)</f>
        <v>0</v>
      </c>
      <c r="T402" s="64" t="n">
        <f aca="false">IF($K402="Less",$P402,0)</f>
        <v>0</v>
      </c>
      <c r="U402" s="64" t="n">
        <f aca="false">IF($K402="Expected",$P402,0)</f>
        <v>0</v>
      </c>
      <c r="V402" s="64" t="n">
        <f aca="false">IF($K402="Better",$P402,0)</f>
        <v>0</v>
      </c>
      <c r="W402" s="64" t="n">
        <f aca="false">IF($K402="U – needs rule",$P402,0)</f>
        <v>0</v>
      </c>
      <c r="X402" s="64" t="n">
        <f aca="false">IF($K402="No Start (attainment only)",$P402,0)</f>
        <v>0</v>
      </c>
    </row>
    <row r="403" customFormat="false" ht="15" hidden="false" customHeight="false" outlineLevel="0" collapsed="false">
      <c r="A403" s="60"/>
      <c r="B403" s="61" t="str">
        <f aca="false">IF($M403=0,"",INDEX(Classes!$E$6:$E$420,$M403))</f>
        <v/>
      </c>
      <c r="C403" s="62" t="str">
        <f aca="false">IF($M403=0,"",INDEX(Classes!$H$6:$H$420,$M403))</f>
        <v/>
      </c>
      <c r="D403" s="61" t="str">
        <f aca="false">IF($M403=0,"",INDEX(Classes!$B$6:$B$420,$M403))</f>
        <v/>
      </c>
      <c r="E403" s="61" t="str">
        <f aca="false">IF($M403=0,"",INDEX(Classes!$C$6:$C$420,$M403))</f>
        <v/>
      </c>
      <c r="F403" s="63"/>
      <c r="G403" s="63"/>
      <c r="H403" s="60"/>
      <c r="I403" s="60"/>
      <c r="J403" s="63"/>
      <c r="K403" s="61" t="str">
        <f aca="false">IF($P403=0,"",IF($F403="Baseline","— Baseline",IF($O403=0,"No result",IF($N403=0,"No Start (attainment only)",IF(OR($N403=1,$O403=1),"U – needs rule",INDEX(MxBody,MATCH($I403,MxCurr,0),MATCH($H403,MxStart,0)))))))</f>
        <v/>
      </c>
      <c r="L403" s="62" t="str">
        <f aca="false">IF(COUNTA($A403,$F403,$G403,$H403,$I403,$J403)=0,"",IF($M403=0,"✖ كود الصف غير موجود",IF(ISNA(MATCH($F403,Lists!$A$2:$A$5,0)),"✖ الفترة غير صحيحة",IF(ISNA(MATCH($G403,Lists!$B$2:$B$7,0)),"✖ المجموعة غير صحيحة",IF(NOT(OR($H403="",$N403&gt;0)),"✖ Start غير صحيح",IF(NOT(OR($I403="",$I403="NR",$O403&gt;0)),"✖ Current غير صحيح",IF(NOT(IF(ISNUMBER($J403),AND($J403&gt;=0,$J403=INT($J403)),FALSE())),"✖ العدد يجب أن يكون صحيحًا ≥ 0",IF(AND($F403="Baseline",$H403&lt;&gt;""),"⚠ Baseline: Start لا يدخل في التقدم",IF($K403="No Start (attainment only)","ℹ تحصيل فقط (بدون Start)",IF($K403="U – needs rule","ℹ حالة U تحتاج قاعدة معتمدة",IF($K403="No result","ℹ بدون نتيجة (يُستبعد من التحصيل)","OK")))))))))))</f>
        <v/>
      </c>
      <c r="M403" s="64" t="n">
        <f aca="false">IF($A403="",0,IFERROR(MATCH($A403,Classes!$A$6:$A$420,0),0))</f>
        <v>0</v>
      </c>
      <c r="N403" s="64" t="n">
        <f aca="false">IF($H403="",0,IFERROR(MATCH($H403,GradeList,0),0))</f>
        <v>0</v>
      </c>
      <c r="O403" s="64" t="n">
        <f aca="false">IF(OR($I403="",$I403="NR"),0,IFERROR(MATCH($I403,GradeList,0),0))</f>
        <v>0</v>
      </c>
      <c r="P403" s="64" t="n">
        <f aca="false">IF(AND($M403&gt;0,ISNUMBER(MATCH($F403,Lists!$A$2:$A$5,0)),ISNUMBER(MATCH($G403,Lists!$B$2:$B$7,0)),OR($H403="",$N403&gt;0),OR($I403="",$I403="NR",$O403&gt;0),IF(ISNUMBER($J403),AND($J403&gt;=0,$J403=INT($J403)),FALSE())),$J403,0)</f>
        <v>0</v>
      </c>
      <c r="Q403" s="64" t="n">
        <f aca="false">IF(AND($P403&gt;0,$O403&gt;0),$P403,0)</f>
        <v>0</v>
      </c>
      <c r="R403" s="64" t="n">
        <f aca="false">IF(AND($Q403&gt;0,$O403&gt;=AtRank),$Q403,0)</f>
        <v>0</v>
      </c>
      <c r="S403" s="64" t="n">
        <f aca="false">IF(AND($Q403&gt;0,$O403&gt;=AboveRank),$Q403,0)</f>
        <v>0</v>
      </c>
      <c r="T403" s="64" t="n">
        <f aca="false">IF($K403="Less",$P403,0)</f>
        <v>0</v>
      </c>
      <c r="U403" s="64" t="n">
        <f aca="false">IF($K403="Expected",$P403,0)</f>
        <v>0</v>
      </c>
      <c r="V403" s="64" t="n">
        <f aca="false">IF($K403="Better",$P403,0)</f>
        <v>0</v>
      </c>
      <c r="W403" s="64" t="n">
        <f aca="false">IF($K403="U – needs rule",$P403,0)</f>
        <v>0</v>
      </c>
      <c r="X403" s="64" t="n">
        <f aca="false">IF($K403="No Start (attainment only)",$P403,0)</f>
        <v>0</v>
      </c>
    </row>
    <row r="404" customFormat="false" ht="15" hidden="false" customHeight="false" outlineLevel="0" collapsed="false">
      <c r="A404" s="60"/>
      <c r="B404" s="61" t="str">
        <f aca="false">IF($M404=0,"",INDEX(Classes!$E$6:$E$420,$M404))</f>
        <v/>
      </c>
      <c r="C404" s="62" t="str">
        <f aca="false">IF($M404=0,"",INDEX(Classes!$H$6:$H$420,$M404))</f>
        <v/>
      </c>
      <c r="D404" s="61" t="str">
        <f aca="false">IF($M404=0,"",INDEX(Classes!$B$6:$B$420,$M404))</f>
        <v/>
      </c>
      <c r="E404" s="61" t="str">
        <f aca="false">IF($M404=0,"",INDEX(Classes!$C$6:$C$420,$M404))</f>
        <v/>
      </c>
      <c r="F404" s="63"/>
      <c r="G404" s="63"/>
      <c r="H404" s="60"/>
      <c r="I404" s="60"/>
      <c r="J404" s="63"/>
      <c r="K404" s="61" t="str">
        <f aca="false">IF($P404=0,"",IF($F404="Baseline","— Baseline",IF($O404=0,"No result",IF($N404=0,"No Start (attainment only)",IF(OR($N404=1,$O404=1),"U – needs rule",INDEX(MxBody,MATCH($I404,MxCurr,0),MATCH($H404,MxStart,0)))))))</f>
        <v/>
      </c>
      <c r="L404" s="62" t="str">
        <f aca="false">IF(COUNTA($A404,$F404,$G404,$H404,$I404,$J404)=0,"",IF($M404=0,"✖ كود الصف غير موجود",IF(ISNA(MATCH($F404,Lists!$A$2:$A$5,0)),"✖ الفترة غير صحيحة",IF(ISNA(MATCH($G404,Lists!$B$2:$B$7,0)),"✖ المجموعة غير صحيحة",IF(NOT(OR($H404="",$N404&gt;0)),"✖ Start غير صحيح",IF(NOT(OR($I404="",$I404="NR",$O404&gt;0)),"✖ Current غير صحيح",IF(NOT(IF(ISNUMBER($J404),AND($J404&gt;=0,$J404=INT($J404)),FALSE())),"✖ العدد يجب أن يكون صحيحًا ≥ 0",IF(AND($F404="Baseline",$H404&lt;&gt;""),"⚠ Baseline: Start لا يدخل في التقدم",IF($K404="No Start (attainment only)","ℹ تحصيل فقط (بدون Start)",IF($K404="U – needs rule","ℹ حالة U تحتاج قاعدة معتمدة",IF($K404="No result","ℹ بدون نتيجة (يُستبعد من التحصيل)","OK")))))))))))</f>
        <v/>
      </c>
      <c r="M404" s="64" t="n">
        <f aca="false">IF($A404="",0,IFERROR(MATCH($A404,Classes!$A$6:$A$420,0),0))</f>
        <v>0</v>
      </c>
      <c r="N404" s="64" t="n">
        <f aca="false">IF($H404="",0,IFERROR(MATCH($H404,GradeList,0),0))</f>
        <v>0</v>
      </c>
      <c r="O404" s="64" t="n">
        <f aca="false">IF(OR($I404="",$I404="NR"),0,IFERROR(MATCH($I404,GradeList,0),0))</f>
        <v>0</v>
      </c>
      <c r="P404" s="64" t="n">
        <f aca="false">IF(AND($M404&gt;0,ISNUMBER(MATCH($F404,Lists!$A$2:$A$5,0)),ISNUMBER(MATCH($G404,Lists!$B$2:$B$7,0)),OR($H404="",$N404&gt;0),OR($I404="",$I404="NR",$O404&gt;0),IF(ISNUMBER($J404),AND($J404&gt;=0,$J404=INT($J404)),FALSE())),$J404,0)</f>
        <v>0</v>
      </c>
      <c r="Q404" s="64" t="n">
        <f aca="false">IF(AND($P404&gt;0,$O404&gt;0),$P404,0)</f>
        <v>0</v>
      </c>
      <c r="R404" s="64" t="n">
        <f aca="false">IF(AND($Q404&gt;0,$O404&gt;=AtRank),$Q404,0)</f>
        <v>0</v>
      </c>
      <c r="S404" s="64" t="n">
        <f aca="false">IF(AND($Q404&gt;0,$O404&gt;=AboveRank),$Q404,0)</f>
        <v>0</v>
      </c>
      <c r="T404" s="64" t="n">
        <f aca="false">IF($K404="Less",$P404,0)</f>
        <v>0</v>
      </c>
      <c r="U404" s="64" t="n">
        <f aca="false">IF($K404="Expected",$P404,0)</f>
        <v>0</v>
      </c>
      <c r="V404" s="64" t="n">
        <f aca="false">IF($K404="Better",$P404,0)</f>
        <v>0</v>
      </c>
      <c r="W404" s="64" t="n">
        <f aca="false">IF($K404="U – needs rule",$P404,0)</f>
        <v>0</v>
      </c>
      <c r="X404" s="64" t="n">
        <f aca="false">IF($K404="No Start (attainment only)",$P404,0)</f>
        <v>0</v>
      </c>
    </row>
    <row r="405" customFormat="false" ht="15" hidden="false" customHeight="false" outlineLevel="0" collapsed="false">
      <c r="A405" s="60"/>
      <c r="B405" s="61" t="str">
        <f aca="false">IF($M405=0,"",INDEX(Classes!$E$6:$E$420,$M405))</f>
        <v/>
      </c>
      <c r="C405" s="62" t="str">
        <f aca="false">IF($M405=0,"",INDEX(Classes!$H$6:$H$420,$M405))</f>
        <v/>
      </c>
      <c r="D405" s="61" t="str">
        <f aca="false">IF($M405=0,"",INDEX(Classes!$B$6:$B$420,$M405))</f>
        <v/>
      </c>
      <c r="E405" s="61" t="str">
        <f aca="false">IF($M405=0,"",INDEX(Classes!$C$6:$C$420,$M405))</f>
        <v/>
      </c>
      <c r="F405" s="63"/>
      <c r="G405" s="63"/>
      <c r="H405" s="60"/>
      <c r="I405" s="60"/>
      <c r="J405" s="63"/>
      <c r="K405" s="61" t="str">
        <f aca="false">IF($P405=0,"",IF($F405="Baseline","— Baseline",IF($O405=0,"No result",IF($N405=0,"No Start (attainment only)",IF(OR($N405=1,$O405=1),"U – needs rule",INDEX(MxBody,MATCH($I405,MxCurr,0),MATCH($H405,MxStart,0)))))))</f>
        <v/>
      </c>
      <c r="L405" s="62" t="str">
        <f aca="false">IF(COUNTA($A405,$F405,$G405,$H405,$I405,$J405)=0,"",IF($M405=0,"✖ كود الصف غير موجود",IF(ISNA(MATCH($F405,Lists!$A$2:$A$5,0)),"✖ الفترة غير صحيحة",IF(ISNA(MATCH($G405,Lists!$B$2:$B$7,0)),"✖ المجموعة غير صحيحة",IF(NOT(OR($H405="",$N405&gt;0)),"✖ Start غير صحيح",IF(NOT(OR($I405="",$I405="NR",$O405&gt;0)),"✖ Current غير صحيح",IF(NOT(IF(ISNUMBER($J405),AND($J405&gt;=0,$J405=INT($J405)),FALSE())),"✖ العدد يجب أن يكون صحيحًا ≥ 0",IF(AND($F405="Baseline",$H405&lt;&gt;""),"⚠ Baseline: Start لا يدخل في التقدم",IF($K405="No Start (attainment only)","ℹ تحصيل فقط (بدون Start)",IF($K405="U – needs rule","ℹ حالة U تحتاج قاعدة معتمدة",IF($K405="No result","ℹ بدون نتيجة (يُستبعد من التحصيل)","OK")))))))))))</f>
        <v/>
      </c>
      <c r="M405" s="64" t="n">
        <f aca="false">IF($A405="",0,IFERROR(MATCH($A405,Classes!$A$6:$A$420,0),0))</f>
        <v>0</v>
      </c>
      <c r="N405" s="64" t="n">
        <f aca="false">IF($H405="",0,IFERROR(MATCH($H405,GradeList,0),0))</f>
        <v>0</v>
      </c>
      <c r="O405" s="64" t="n">
        <f aca="false">IF(OR($I405="",$I405="NR"),0,IFERROR(MATCH($I405,GradeList,0),0))</f>
        <v>0</v>
      </c>
      <c r="P405" s="64" t="n">
        <f aca="false">IF(AND($M405&gt;0,ISNUMBER(MATCH($F405,Lists!$A$2:$A$5,0)),ISNUMBER(MATCH($G405,Lists!$B$2:$B$7,0)),OR($H405="",$N405&gt;0),OR($I405="",$I405="NR",$O405&gt;0),IF(ISNUMBER($J405),AND($J405&gt;=0,$J405=INT($J405)),FALSE())),$J405,0)</f>
        <v>0</v>
      </c>
      <c r="Q405" s="64" t="n">
        <f aca="false">IF(AND($P405&gt;0,$O405&gt;0),$P405,0)</f>
        <v>0</v>
      </c>
      <c r="R405" s="64" t="n">
        <f aca="false">IF(AND($Q405&gt;0,$O405&gt;=AtRank),$Q405,0)</f>
        <v>0</v>
      </c>
      <c r="S405" s="64" t="n">
        <f aca="false">IF(AND($Q405&gt;0,$O405&gt;=AboveRank),$Q405,0)</f>
        <v>0</v>
      </c>
      <c r="T405" s="64" t="n">
        <f aca="false">IF($K405="Less",$P405,0)</f>
        <v>0</v>
      </c>
      <c r="U405" s="64" t="n">
        <f aca="false">IF($K405="Expected",$P405,0)</f>
        <v>0</v>
      </c>
      <c r="V405" s="64" t="n">
        <f aca="false">IF($K405="Better",$P405,0)</f>
        <v>0</v>
      </c>
      <c r="W405" s="64" t="n">
        <f aca="false">IF($K405="U – needs rule",$P405,0)</f>
        <v>0</v>
      </c>
      <c r="X405" s="64" t="n">
        <f aca="false">IF($K405="No Start (attainment only)",$P405,0)</f>
        <v>0</v>
      </c>
    </row>
    <row r="406" customFormat="false" ht="15" hidden="false" customHeight="false" outlineLevel="0" collapsed="false">
      <c r="A406" s="60"/>
      <c r="B406" s="61" t="str">
        <f aca="false">IF($M406=0,"",INDEX(Classes!$E$6:$E$420,$M406))</f>
        <v/>
      </c>
      <c r="C406" s="62" t="str">
        <f aca="false">IF($M406=0,"",INDEX(Classes!$H$6:$H$420,$M406))</f>
        <v/>
      </c>
      <c r="D406" s="61" t="str">
        <f aca="false">IF($M406=0,"",INDEX(Classes!$B$6:$B$420,$M406))</f>
        <v/>
      </c>
      <c r="E406" s="61" t="str">
        <f aca="false">IF($M406=0,"",INDEX(Classes!$C$6:$C$420,$M406))</f>
        <v/>
      </c>
      <c r="F406" s="63"/>
      <c r="G406" s="63"/>
      <c r="H406" s="60"/>
      <c r="I406" s="60"/>
      <c r="J406" s="63"/>
      <c r="K406" s="61" t="str">
        <f aca="false">IF($P406=0,"",IF($F406="Baseline","— Baseline",IF($O406=0,"No result",IF($N406=0,"No Start (attainment only)",IF(OR($N406=1,$O406=1),"U – needs rule",INDEX(MxBody,MATCH($I406,MxCurr,0),MATCH($H406,MxStart,0)))))))</f>
        <v/>
      </c>
      <c r="L406" s="62" t="str">
        <f aca="false">IF(COUNTA($A406,$F406,$G406,$H406,$I406,$J406)=0,"",IF($M406=0,"✖ كود الصف غير موجود",IF(ISNA(MATCH($F406,Lists!$A$2:$A$5,0)),"✖ الفترة غير صحيحة",IF(ISNA(MATCH($G406,Lists!$B$2:$B$7,0)),"✖ المجموعة غير صحيحة",IF(NOT(OR($H406="",$N406&gt;0)),"✖ Start غير صحيح",IF(NOT(OR($I406="",$I406="NR",$O406&gt;0)),"✖ Current غير صحيح",IF(NOT(IF(ISNUMBER($J406),AND($J406&gt;=0,$J406=INT($J406)),FALSE())),"✖ العدد يجب أن يكون صحيحًا ≥ 0",IF(AND($F406="Baseline",$H406&lt;&gt;""),"⚠ Baseline: Start لا يدخل في التقدم",IF($K406="No Start (attainment only)","ℹ تحصيل فقط (بدون Start)",IF($K406="U – needs rule","ℹ حالة U تحتاج قاعدة معتمدة",IF($K406="No result","ℹ بدون نتيجة (يُستبعد من التحصيل)","OK")))))))))))</f>
        <v/>
      </c>
      <c r="M406" s="64" t="n">
        <f aca="false">IF($A406="",0,IFERROR(MATCH($A406,Classes!$A$6:$A$420,0),0))</f>
        <v>0</v>
      </c>
      <c r="N406" s="64" t="n">
        <f aca="false">IF($H406="",0,IFERROR(MATCH($H406,GradeList,0),0))</f>
        <v>0</v>
      </c>
      <c r="O406" s="64" t="n">
        <f aca="false">IF(OR($I406="",$I406="NR"),0,IFERROR(MATCH($I406,GradeList,0),0))</f>
        <v>0</v>
      </c>
      <c r="P406" s="64" t="n">
        <f aca="false">IF(AND($M406&gt;0,ISNUMBER(MATCH($F406,Lists!$A$2:$A$5,0)),ISNUMBER(MATCH($G406,Lists!$B$2:$B$7,0)),OR($H406="",$N406&gt;0),OR($I406="",$I406="NR",$O406&gt;0),IF(ISNUMBER($J406),AND($J406&gt;=0,$J406=INT($J406)),FALSE())),$J406,0)</f>
        <v>0</v>
      </c>
      <c r="Q406" s="64" t="n">
        <f aca="false">IF(AND($P406&gt;0,$O406&gt;0),$P406,0)</f>
        <v>0</v>
      </c>
      <c r="R406" s="64" t="n">
        <f aca="false">IF(AND($Q406&gt;0,$O406&gt;=AtRank),$Q406,0)</f>
        <v>0</v>
      </c>
      <c r="S406" s="64" t="n">
        <f aca="false">IF(AND($Q406&gt;0,$O406&gt;=AboveRank),$Q406,0)</f>
        <v>0</v>
      </c>
      <c r="T406" s="64" t="n">
        <f aca="false">IF($K406="Less",$P406,0)</f>
        <v>0</v>
      </c>
      <c r="U406" s="64" t="n">
        <f aca="false">IF($K406="Expected",$P406,0)</f>
        <v>0</v>
      </c>
      <c r="V406" s="64" t="n">
        <f aca="false">IF($K406="Better",$P406,0)</f>
        <v>0</v>
      </c>
      <c r="W406" s="64" t="n">
        <f aca="false">IF($K406="U – needs rule",$P406,0)</f>
        <v>0</v>
      </c>
      <c r="X406" s="64" t="n">
        <f aca="false">IF($K406="No Start (attainment only)",$P406,0)</f>
        <v>0</v>
      </c>
    </row>
    <row r="407" customFormat="false" ht="15" hidden="false" customHeight="false" outlineLevel="0" collapsed="false">
      <c r="A407" s="60"/>
      <c r="B407" s="61" t="str">
        <f aca="false">IF($M407=0,"",INDEX(Classes!$E$6:$E$420,$M407))</f>
        <v/>
      </c>
      <c r="C407" s="62" t="str">
        <f aca="false">IF($M407=0,"",INDEX(Classes!$H$6:$H$420,$M407))</f>
        <v/>
      </c>
      <c r="D407" s="61" t="str">
        <f aca="false">IF($M407=0,"",INDEX(Classes!$B$6:$B$420,$M407))</f>
        <v/>
      </c>
      <c r="E407" s="61" t="str">
        <f aca="false">IF($M407=0,"",INDEX(Classes!$C$6:$C$420,$M407))</f>
        <v/>
      </c>
      <c r="F407" s="63"/>
      <c r="G407" s="63"/>
      <c r="H407" s="60"/>
      <c r="I407" s="60"/>
      <c r="J407" s="63"/>
      <c r="K407" s="61" t="str">
        <f aca="false">IF($P407=0,"",IF($F407="Baseline","— Baseline",IF($O407=0,"No result",IF($N407=0,"No Start (attainment only)",IF(OR($N407=1,$O407=1),"U – needs rule",INDEX(MxBody,MATCH($I407,MxCurr,0),MATCH($H407,MxStart,0)))))))</f>
        <v/>
      </c>
      <c r="L407" s="62" t="str">
        <f aca="false">IF(COUNTA($A407,$F407,$G407,$H407,$I407,$J407)=0,"",IF($M407=0,"✖ كود الصف غير موجود",IF(ISNA(MATCH($F407,Lists!$A$2:$A$5,0)),"✖ الفترة غير صحيحة",IF(ISNA(MATCH($G407,Lists!$B$2:$B$7,0)),"✖ المجموعة غير صحيحة",IF(NOT(OR($H407="",$N407&gt;0)),"✖ Start غير صحيح",IF(NOT(OR($I407="",$I407="NR",$O407&gt;0)),"✖ Current غير صحيح",IF(NOT(IF(ISNUMBER($J407),AND($J407&gt;=0,$J407=INT($J407)),FALSE())),"✖ العدد يجب أن يكون صحيحًا ≥ 0",IF(AND($F407="Baseline",$H407&lt;&gt;""),"⚠ Baseline: Start لا يدخل في التقدم",IF($K407="No Start (attainment only)","ℹ تحصيل فقط (بدون Start)",IF($K407="U – needs rule","ℹ حالة U تحتاج قاعدة معتمدة",IF($K407="No result","ℹ بدون نتيجة (يُستبعد من التحصيل)","OK")))))))))))</f>
        <v/>
      </c>
      <c r="M407" s="64" t="n">
        <f aca="false">IF($A407="",0,IFERROR(MATCH($A407,Classes!$A$6:$A$420,0),0))</f>
        <v>0</v>
      </c>
      <c r="N407" s="64" t="n">
        <f aca="false">IF($H407="",0,IFERROR(MATCH($H407,GradeList,0),0))</f>
        <v>0</v>
      </c>
      <c r="O407" s="64" t="n">
        <f aca="false">IF(OR($I407="",$I407="NR"),0,IFERROR(MATCH($I407,GradeList,0),0))</f>
        <v>0</v>
      </c>
      <c r="P407" s="64" t="n">
        <f aca="false">IF(AND($M407&gt;0,ISNUMBER(MATCH($F407,Lists!$A$2:$A$5,0)),ISNUMBER(MATCH($G407,Lists!$B$2:$B$7,0)),OR($H407="",$N407&gt;0),OR($I407="",$I407="NR",$O407&gt;0),IF(ISNUMBER($J407),AND($J407&gt;=0,$J407=INT($J407)),FALSE())),$J407,0)</f>
        <v>0</v>
      </c>
      <c r="Q407" s="64" t="n">
        <f aca="false">IF(AND($P407&gt;0,$O407&gt;0),$P407,0)</f>
        <v>0</v>
      </c>
      <c r="R407" s="64" t="n">
        <f aca="false">IF(AND($Q407&gt;0,$O407&gt;=AtRank),$Q407,0)</f>
        <v>0</v>
      </c>
      <c r="S407" s="64" t="n">
        <f aca="false">IF(AND($Q407&gt;0,$O407&gt;=AboveRank),$Q407,0)</f>
        <v>0</v>
      </c>
      <c r="T407" s="64" t="n">
        <f aca="false">IF($K407="Less",$P407,0)</f>
        <v>0</v>
      </c>
      <c r="U407" s="64" t="n">
        <f aca="false">IF($K407="Expected",$P407,0)</f>
        <v>0</v>
      </c>
      <c r="V407" s="64" t="n">
        <f aca="false">IF($K407="Better",$P407,0)</f>
        <v>0</v>
      </c>
      <c r="W407" s="64" t="n">
        <f aca="false">IF($K407="U – needs rule",$P407,0)</f>
        <v>0</v>
      </c>
      <c r="X407" s="64" t="n">
        <f aca="false">IF($K407="No Start (attainment only)",$P407,0)</f>
        <v>0</v>
      </c>
    </row>
    <row r="408" customFormat="false" ht="15" hidden="false" customHeight="false" outlineLevel="0" collapsed="false">
      <c r="A408" s="60"/>
      <c r="B408" s="61" t="str">
        <f aca="false">IF($M408=0,"",INDEX(Classes!$E$6:$E$420,$M408))</f>
        <v/>
      </c>
      <c r="C408" s="62" t="str">
        <f aca="false">IF($M408=0,"",INDEX(Classes!$H$6:$H$420,$M408))</f>
        <v/>
      </c>
      <c r="D408" s="61" t="str">
        <f aca="false">IF($M408=0,"",INDEX(Classes!$B$6:$B$420,$M408))</f>
        <v/>
      </c>
      <c r="E408" s="61" t="str">
        <f aca="false">IF($M408=0,"",INDEX(Classes!$C$6:$C$420,$M408))</f>
        <v/>
      </c>
      <c r="F408" s="63"/>
      <c r="G408" s="63"/>
      <c r="H408" s="60"/>
      <c r="I408" s="60"/>
      <c r="J408" s="63"/>
      <c r="K408" s="61" t="str">
        <f aca="false">IF($P408=0,"",IF($F408="Baseline","— Baseline",IF($O408=0,"No result",IF($N408=0,"No Start (attainment only)",IF(OR($N408=1,$O408=1),"U – needs rule",INDEX(MxBody,MATCH($I408,MxCurr,0),MATCH($H408,MxStart,0)))))))</f>
        <v/>
      </c>
      <c r="L408" s="62" t="str">
        <f aca="false">IF(COUNTA($A408,$F408,$G408,$H408,$I408,$J408)=0,"",IF($M408=0,"✖ كود الصف غير موجود",IF(ISNA(MATCH($F408,Lists!$A$2:$A$5,0)),"✖ الفترة غير صحيحة",IF(ISNA(MATCH($G408,Lists!$B$2:$B$7,0)),"✖ المجموعة غير صحيحة",IF(NOT(OR($H408="",$N408&gt;0)),"✖ Start غير صحيح",IF(NOT(OR($I408="",$I408="NR",$O408&gt;0)),"✖ Current غير صحيح",IF(NOT(IF(ISNUMBER($J408),AND($J408&gt;=0,$J408=INT($J408)),FALSE())),"✖ العدد يجب أن يكون صحيحًا ≥ 0",IF(AND($F408="Baseline",$H408&lt;&gt;""),"⚠ Baseline: Start لا يدخل في التقدم",IF($K408="No Start (attainment only)","ℹ تحصيل فقط (بدون Start)",IF($K408="U – needs rule","ℹ حالة U تحتاج قاعدة معتمدة",IF($K408="No result","ℹ بدون نتيجة (يُستبعد من التحصيل)","OK")))))))))))</f>
        <v/>
      </c>
      <c r="M408" s="64" t="n">
        <f aca="false">IF($A408="",0,IFERROR(MATCH($A408,Classes!$A$6:$A$420,0),0))</f>
        <v>0</v>
      </c>
      <c r="N408" s="64" t="n">
        <f aca="false">IF($H408="",0,IFERROR(MATCH($H408,GradeList,0),0))</f>
        <v>0</v>
      </c>
      <c r="O408" s="64" t="n">
        <f aca="false">IF(OR($I408="",$I408="NR"),0,IFERROR(MATCH($I408,GradeList,0),0))</f>
        <v>0</v>
      </c>
      <c r="P408" s="64" t="n">
        <f aca="false">IF(AND($M408&gt;0,ISNUMBER(MATCH($F408,Lists!$A$2:$A$5,0)),ISNUMBER(MATCH($G408,Lists!$B$2:$B$7,0)),OR($H408="",$N408&gt;0),OR($I408="",$I408="NR",$O408&gt;0),IF(ISNUMBER($J408),AND($J408&gt;=0,$J408=INT($J408)),FALSE())),$J408,0)</f>
        <v>0</v>
      </c>
      <c r="Q408" s="64" t="n">
        <f aca="false">IF(AND($P408&gt;0,$O408&gt;0),$P408,0)</f>
        <v>0</v>
      </c>
      <c r="R408" s="64" t="n">
        <f aca="false">IF(AND($Q408&gt;0,$O408&gt;=AtRank),$Q408,0)</f>
        <v>0</v>
      </c>
      <c r="S408" s="64" t="n">
        <f aca="false">IF(AND($Q408&gt;0,$O408&gt;=AboveRank),$Q408,0)</f>
        <v>0</v>
      </c>
      <c r="T408" s="64" t="n">
        <f aca="false">IF($K408="Less",$P408,0)</f>
        <v>0</v>
      </c>
      <c r="U408" s="64" t="n">
        <f aca="false">IF($K408="Expected",$P408,0)</f>
        <v>0</v>
      </c>
      <c r="V408" s="64" t="n">
        <f aca="false">IF($K408="Better",$P408,0)</f>
        <v>0</v>
      </c>
      <c r="W408" s="64" t="n">
        <f aca="false">IF($K408="U – needs rule",$P408,0)</f>
        <v>0</v>
      </c>
      <c r="X408" s="64" t="n">
        <f aca="false">IF($K408="No Start (attainment only)",$P408,0)</f>
        <v>0</v>
      </c>
    </row>
    <row r="409" customFormat="false" ht="15" hidden="false" customHeight="false" outlineLevel="0" collapsed="false">
      <c r="A409" s="60"/>
      <c r="B409" s="61" t="str">
        <f aca="false">IF($M409=0,"",INDEX(Classes!$E$6:$E$420,$M409))</f>
        <v/>
      </c>
      <c r="C409" s="62" t="str">
        <f aca="false">IF($M409=0,"",INDEX(Classes!$H$6:$H$420,$M409))</f>
        <v/>
      </c>
      <c r="D409" s="61" t="str">
        <f aca="false">IF($M409=0,"",INDEX(Classes!$B$6:$B$420,$M409))</f>
        <v/>
      </c>
      <c r="E409" s="61" t="str">
        <f aca="false">IF($M409=0,"",INDEX(Classes!$C$6:$C$420,$M409))</f>
        <v/>
      </c>
      <c r="F409" s="63"/>
      <c r="G409" s="63"/>
      <c r="H409" s="60"/>
      <c r="I409" s="60"/>
      <c r="J409" s="63"/>
      <c r="K409" s="61" t="str">
        <f aca="false">IF($P409=0,"",IF($F409="Baseline","— Baseline",IF($O409=0,"No result",IF($N409=0,"No Start (attainment only)",IF(OR($N409=1,$O409=1),"U – needs rule",INDEX(MxBody,MATCH($I409,MxCurr,0),MATCH($H409,MxStart,0)))))))</f>
        <v/>
      </c>
      <c r="L409" s="62" t="str">
        <f aca="false">IF(COUNTA($A409,$F409,$G409,$H409,$I409,$J409)=0,"",IF($M409=0,"✖ كود الصف غير موجود",IF(ISNA(MATCH($F409,Lists!$A$2:$A$5,0)),"✖ الفترة غير صحيحة",IF(ISNA(MATCH($G409,Lists!$B$2:$B$7,0)),"✖ المجموعة غير صحيحة",IF(NOT(OR($H409="",$N409&gt;0)),"✖ Start غير صحيح",IF(NOT(OR($I409="",$I409="NR",$O409&gt;0)),"✖ Current غير صحيح",IF(NOT(IF(ISNUMBER($J409),AND($J409&gt;=0,$J409=INT($J409)),FALSE())),"✖ العدد يجب أن يكون صحيحًا ≥ 0",IF(AND($F409="Baseline",$H409&lt;&gt;""),"⚠ Baseline: Start لا يدخل في التقدم",IF($K409="No Start (attainment only)","ℹ تحصيل فقط (بدون Start)",IF($K409="U – needs rule","ℹ حالة U تحتاج قاعدة معتمدة",IF($K409="No result","ℹ بدون نتيجة (يُستبعد من التحصيل)","OK")))))))))))</f>
        <v/>
      </c>
      <c r="M409" s="64" t="n">
        <f aca="false">IF($A409="",0,IFERROR(MATCH($A409,Classes!$A$6:$A$420,0),0))</f>
        <v>0</v>
      </c>
      <c r="N409" s="64" t="n">
        <f aca="false">IF($H409="",0,IFERROR(MATCH($H409,GradeList,0),0))</f>
        <v>0</v>
      </c>
      <c r="O409" s="64" t="n">
        <f aca="false">IF(OR($I409="",$I409="NR"),0,IFERROR(MATCH($I409,GradeList,0),0))</f>
        <v>0</v>
      </c>
      <c r="P409" s="64" t="n">
        <f aca="false">IF(AND($M409&gt;0,ISNUMBER(MATCH($F409,Lists!$A$2:$A$5,0)),ISNUMBER(MATCH($G409,Lists!$B$2:$B$7,0)),OR($H409="",$N409&gt;0),OR($I409="",$I409="NR",$O409&gt;0),IF(ISNUMBER($J409),AND($J409&gt;=0,$J409=INT($J409)),FALSE())),$J409,0)</f>
        <v>0</v>
      </c>
      <c r="Q409" s="64" t="n">
        <f aca="false">IF(AND($P409&gt;0,$O409&gt;0),$P409,0)</f>
        <v>0</v>
      </c>
      <c r="R409" s="64" t="n">
        <f aca="false">IF(AND($Q409&gt;0,$O409&gt;=AtRank),$Q409,0)</f>
        <v>0</v>
      </c>
      <c r="S409" s="64" t="n">
        <f aca="false">IF(AND($Q409&gt;0,$O409&gt;=AboveRank),$Q409,0)</f>
        <v>0</v>
      </c>
      <c r="T409" s="64" t="n">
        <f aca="false">IF($K409="Less",$P409,0)</f>
        <v>0</v>
      </c>
      <c r="U409" s="64" t="n">
        <f aca="false">IF($K409="Expected",$P409,0)</f>
        <v>0</v>
      </c>
      <c r="V409" s="64" t="n">
        <f aca="false">IF($K409="Better",$P409,0)</f>
        <v>0</v>
      </c>
      <c r="W409" s="64" t="n">
        <f aca="false">IF($K409="U – needs rule",$P409,0)</f>
        <v>0</v>
      </c>
      <c r="X409" s="64" t="n">
        <f aca="false">IF($K409="No Start (attainment only)",$P409,0)</f>
        <v>0</v>
      </c>
    </row>
    <row r="410" customFormat="false" ht="15" hidden="false" customHeight="false" outlineLevel="0" collapsed="false">
      <c r="A410" s="60"/>
      <c r="B410" s="61" t="str">
        <f aca="false">IF($M410=0,"",INDEX(Classes!$E$6:$E$420,$M410))</f>
        <v/>
      </c>
      <c r="C410" s="62" t="str">
        <f aca="false">IF($M410=0,"",INDEX(Classes!$H$6:$H$420,$M410))</f>
        <v/>
      </c>
      <c r="D410" s="61" t="str">
        <f aca="false">IF($M410=0,"",INDEX(Classes!$B$6:$B$420,$M410))</f>
        <v/>
      </c>
      <c r="E410" s="61" t="str">
        <f aca="false">IF($M410=0,"",INDEX(Classes!$C$6:$C$420,$M410))</f>
        <v/>
      </c>
      <c r="F410" s="63"/>
      <c r="G410" s="63"/>
      <c r="H410" s="60"/>
      <c r="I410" s="60"/>
      <c r="J410" s="63"/>
      <c r="K410" s="61" t="str">
        <f aca="false">IF($P410=0,"",IF($F410="Baseline","— Baseline",IF($O410=0,"No result",IF($N410=0,"No Start (attainment only)",IF(OR($N410=1,$O410=1),"U – needs rule",INDEX(MxBody,MATCH($I410,MxCurr,0),MATCH($H410,MxStart,0)))))))</f>
        <v/>
      </c>
      <c r="L410" s="62" t="str">
        <f aca="false">IF(COUNTA($A410,$F410,$G410,$H410,$I410,$J410)=0,"",IF($M410=0,"✖ كود الصف غير موجود",IF(ISNA(MATCH($F410,Lists!$A$2:$A$5,0)),"✖ الفترة غير صحيحة",IF(ISNA(MATCH($G410,Lists!$B$2:$B$7,0)),"✖ المجموعة غير صحيحة",IF(NOT(OR($H410="",$N410&gt;0)),"✖ Start غير صحيح",IF(NOT(OR($I410="",$I410="NR",$O410&gt;0)),"✖ Current غير صحيح",IF(NOT(IF(ISNUMBER($J410),AND($J410&gt;=0,$J410=INT($J410)),FALSE())),"✖ العدد يجب أن يكون صحيحًا ≥ 0",IF(AND($F410="Baseline",$H410&lt;&gt;""),"⚠ Baseline: Start لا يدخل في التقدم",IF($K410="No Start (attainment only)","ℹ تحصيل فقط (بدون Start)",IF($K410="U – needs rule","ℹ حالة U تحتاج قاعدة معتمدة",IF($K410="No result","ℹ بدون نتيجة (يُستبعد من التحصيل)","OK")))))))))))</f>
        <v/>
      </c>
      <c r="M410" s="64" t="n">
        <f aca="false">IF($A410="",0,IFERROR(MATCH($A410,Classes!$A$6:$A$420,0),0))</f>
        <v>0</v>
      </c>
      <c r="N410" s="64" t="n">
        <f aca="false">IF($H410="",0,IFERROR(MATCH($H410,GradeList,0),0))</f>
        <v>0</v>
      </c>
      <c r="O410" s="64" t="n">
        <f aca="false">IF(OR($I410="",$I410="NR"),0,IFERROR(MATCH($I410,GradeList,0),0))</f>
        <v>0</v>
      </c>
      <c r="P410" s="64" t="n">
        <f aca="false">IF(AND($M410&gt;0,ISNUMBER(MATCH($F410,Lists!$A$2:$A$5,0)),ISNUMBER(MATCH($G410,Lists!$B$2:$B$7,0)),OR($H410="",$N410&gt;0),OR($I410="",$I410="NR",$O410&gt;0),IF(ISNUMBER($J410),AND($J410&gt;=0,$J410=INT($J410)),FALSE())),$J410,0)</f>
        <v>0</v>
      </c>
      <c r="Q410" s="64" t="n">
        <f aca="false">IF(AND($P410&gt;0,$O410&gt;0),$P410,0)</f>
        <v>0</v>
      </c>
      <c r="R410" s="64" t="n">
        <f aca="false">IF(AND($Q410&gt;0,$O410&gt;=AtRank),$Q410,0)</f>
        <v>0</v>
      </c>
      <c r="S410" s="64" t="n">
        <f aca="false">IF(AND($Q410&gt;0,$O410&gt;=AboveRank),$Q410,0)</f>
        <v>0</v>
      </c>
      <c r="T410" s="64" t="n">
        <f aca="false">IF($K410="Less",$P410,0)</f>
        <v>0</v>
      </c>
      <c r="U410" s="64" t="n">
        <f aca="false">IF($K410="Expected",$P410,0)</f>
        <v>0</v>
      </c>
      <c r="V410" s="64" t="n">
        <f aca="false">IF($K410="Better",$P410,0)</f>
        <v>0</v>
      </c>
      <c r="W410" s="64" t="n">
        <f aca="false">IF($K410="U – needs rule",$P410,0)</f>
        <v>0</v>
      </c>
      <c r="X410" s="64" t="n">
        <f aca="false">IF($K410="No Start (attainment only)",$P410,0)</f>
        <v>0</v>
      </c>
    </row>
    <row r="411" customFormat="false" ht="15" hidden="false" customHeight="false" outlineLevel="0" collapsed="false">
      <c r="A411" s="60"/>
      <c r="B411" s="61" t="str">
        <f aca="false">IF($M411=0,"",INDEX(Classes!$E$6:$E$420,$M411))</f>
        <v/>
      </c>
      <c r="C411" s="62" t="str">
        <f aca="false">IF($M411=0,"",INDEX(Classes!$H$6:$H$420,$M411))</f>
        <v/>
      </c>
      <c r="D411" s="61" t="str">
        <f aca="false">IF($M411=0,"",INDEX(Classes!$B$6:$B$420,$M411))</f>
        <v/>
      </c>
      <c r="E411" s="61" t="str">
        <f aca="false">IF($M411=0,"",INDEX(Classes!$C$6:$C$420,$M411))</f>
        <v/>
      </c>
      <c r="F411" s="63"/>
      <c r="G411" s="63"/>
      <c r="H411" s="60"/>
      <c r="I411" s="60"/>
      <c r="J411" s="63"/>
      <c r="K411" s="61" t="str">
        <f aca="false">IF($P411=0,"",IF($F411="Baseline","— Baseline",IF($O411=0,"No result",IF($N411=0,"No Start (attainment only)",IF(OR($N411=1,$O411=1),"U – needs rule",INDEX(MxBody,MATCH($I411,MxCurr,0),MATCH($H411,MxStart,0)))))))</f>
        <v/>
      </c>
      <c r="L411" s="62" t="str">
        <f aca="false">IF(COUNTA($A411,$F411,$G411,$H411,$I411,$J411)=0,"",IF($M411=0,"✖ كود الصف غير موجود",IF(ISNA(MATCH($F411,Lists!$A$2:$A$5,0)),"✖ الفترة غير صحيحة",IF(ISNA(MATCH($G411,Lists!$B$2:$B$7,0)),"✖ المجموعة غير صحيحة",IF(NOT(OR($H411="",$N411&gt;0)),"✖ Start غير صحيح",IF(NOT(OR($I411="",$I411="NR",$O411&gt;0)),"✖ Current غير صحيح",IF(NOT(IF(ISNUMBER($J411),AND($J411&gt;=0,$J411=INT($J411)),FALSE())),"✖ العدد يجب أن يكون صحيحًا ≥ 0",IF(AND($F411="Baseline",$H411&lt;&gt;""),"⚠ Baseline: Start لا يدخل في التقدم",IF($K411="No Start (attainment only)","ℹ تحصيل فقط (بدون Start)",IF($K411="U – needs rule","ℹ حالة U تحتاج قاعدة معتمدة",IF($K411="No result","ℹ بدون نتيجة (يُستبعد من التحصيل)","OK")))))))))))</f>
        <v/>
      </c>
      <c r="M411" s="64" t="n">
        <f aca="false">IF($A411="",0,IFERROR(MATCH($A411,Classes!$A$6:$A$420,0),0))</f>
        <v>0</v>
      </c>
      <c r="N411" s="64" t="n">
        <f aca="false">IF($H411="",0,IFERROR(MATCH($H411,GradeList,0),0))</f>
        <v>0</v>
      </c>
      <c r="O411" s="64" t="n">
        <f aca="false">IF(OR($I411="",$I411="NR"),0,IFERROR(MATCH($I411,GradeList,0),0))</f>
        <v>0</v>
      </c>
      <c r="P411" s="64" t="n">
        <f aca="false">IF(AND($M411&gt;0,ISNUMBER(MATCH($F411,Lists!$A$2:$A$5,0)),ISNUMBER(MATCH($G411,Lists!$B$2:$B$7,0)),OR($H411="",$N411&gt;0),OR($I411="",$I411="NR",$O411&gt;0),IF(ISNUMBER($J411),AND($J411&gt;=0,$J411=INT($J411)),FALSE())),$J411,0)</f>
        <v>0</v>
      </c>
      <c r="Q411" s="64" t="n">
        <f aca="false">IF(AND($P411&gt;0,$O411&gt;0),$P411,0)</f>
        <v>0</v>
      </c>
      <c r="R411" s="64" t="n">
        <f aca="false">IF(AND($Q411&gt;0,$O411&gt;=AtRank),$Q411,0)</f>
        <v>0</v>
      </c>
      <c r="S411" s="64" t="n">
        <f aca="false">IF(AND($Q411&gt;0,$O411&gt;=AboveRank),$Q411,0)</f>
        <v>0</v>
      </c>
      <c r="T411" s="64" t="n">
        <f aca="false">IF($K411="Less",$P411,0)</f>
        <v>0</v>
      </c>
      <c r="U411" s="64" t="n">
        <f aca="false">IF($K411="Expected",$P411,0)</f>
        <v>0</v>
      </c>
      <c r="V411" s="64" t="n">
        <f aca="false">IF($K411="Better",$P411,0)</f>
        <v>0</v>
      </c>
      <c r="W411" s="64" t="n">
        <f aca="false">IF($K411="U – needs rule",$P411,0)</f>
        <v>0</v>
      </c>
      <c r="X411" s="64" t="n">
        <f aca="false">IF($K411="No Start (attainment only)",$P411,0)</f>
        <v>0</v>
      </c>
    </row>
    <row r="412" customFormat="false" ht="15" hidden="false" customHeight="false" outlineLevel="0" collapsed="false">
      <c r="A412" s="60"/>
      <c r="B412" s="61" t="str">
        <f aca="false">IF($M412=0,"",INDEX(Classes!$E$6:$E$420,$M412))</f>
        <v/>
      </c>
      <c r="C412" s="62" t="str">
        <f aca="false">IF($M412=0,"",INDEX(Classes!$H$6:$H$420,$M412))</f>
        <v/>
      </c>
      <c r="D412" s="61" t="str">
        <f aca="false">IF($M412=0,"",INDEX(Classes!$B$6:$B$420,$M412))</f>
        <v/>
      </c>
      <c r="E412" s="61" t="str">
        <f aca="false">IF($M412=0,"",INDEX(Classes!$C$6:$C$420,$M412))</f>
        <v/>
      </c>
      <c r="F412" s="63"/>
      <c r="G412" s="63"/>
      <c r="H412" s="60"/>
      <c r="I412" s="60"/>
      <c r="J412" s="63"/>
      <c r="K412" s="61" t="str">
        <f aca="false">IF($P412=0,"",IF($F412="Baseline","— Baseline",IF($O412=0,"No result",IF($N412=0,"No Start (attainment only)",IF(OR($N412=1,$O412=1),"U – needs rule",INDEX(MxBody,MATCH($I412,MxCurr,0),MATCH($H412,MxStart,0)))))))</f>
        <v/>
      </c>
      <c r="L412" s="62" t="str">
        <f aca="false">IF(COUNTA($A412,$F412,$G412,$H412,$I412,$J412)=0,"",IF($M412=0,"✖ كود الصف غير موجود",IF(ISNA(MATCH($F412,Lists!$A$2:$A$5,0)),"✖ الفترة غير صحيحة",IF(ISNA(MATCH($G412,Lists!$B$2:$B$7,0)),"✖ المجموعة غير صحيحة",IF(NOT(OR($H412="",$N412&gt;0)),"✖ Start غير صحيح",IF(NOT(OR($I412="",$I412="NR",$O412&gt;0)),"✖ Current غير صحيح",IF(NOT(IF(ISNUMBER($J412),AND($J412&gt;=0,$J412=INT($J412)),FALSE())),"✖ العدد يجب أن يكون صحيحًا ≥ 0",IF(AND($F412="Baseline",$H412&lt;&gt;""),"⚠ Baseline: Start لا يدخل في التقدم",IF($K412="No Start (attainment only)","ℹ تحصيل فقط (بدون Start)",IF($K412="U – needs rule","ℹ حالة U تحتاج قاعدة معتمدة",IF($K412="No result","ℹ بدون نتيجة (يُستبعد من التحصيل)","OK")))))))))))</f>
        <v/>
      </c>
      <c r="M412" s="64" t="n">
        <f aca="false">IF($A412="",0,IFERROR(MATCH($A412,Classes!$A$6:$A$420,0),0))</f>
        <v>0</v>
      </c>
      <c r="N412" s="64" t="n">
        <f aca="false">IF($H412="",0,IFERROR(MATCH($H412,GradeList,0),0))</f>
        <v>0</v>
      </c>
      <c r="O412" s="64" t="n">
        <f aca="false">IF(OR($I412="",$I412="NR"),0,IFERROR(MATCH($I412,GradeList,0),0))</f>
        <v>0</v>
      </c>
      <c r="P412" s="64" t="n">
        <f aca="false">IF(AND($M412&gt;0,ISNUMBER(MATCH($F412,Lists!$A$2:$A$5,0)),ISNUMBER(MATCH($G412,Lists!$B$2:$B$7,0)),OR($H412="",$N412&gt;0),OR($I412="",$I412="NR",$O412&gt;0),IF(ISNUMBER($J412),AND($J412&gt;=0,$J412=INT($J412)),FALSE())),$J412,0)</f>
        <v>0</v>
      </c>
      <c r="Q412" s="64" t="n">
        <f aca="false">IF(AND($P412&gt;0,$O412&gt;0),$P412,0)</f>
        <v>0</v>
      </c>
      <c r="R412" s="64" t="n">
        <f aca="false">IF(AND($Q412&gt;0,$O412&gt;=AtRank),$Q412,0)</f>
        <v>0</v>
      </c>
      <c r="S412" s="64" t="n">
        <f aca="false">IF(AND($Q412&gt;0,$O412&gt;=AboveRank),$Q412,0)</f>
        <v>0</v>
      </c>
      <c r="T412" s="64" t="n">
        <f aca="false">IF($K412="Less",$P412,0)</f>
        <v>0</v>
      </c>
      <c r="U412" s="64" t="n">
        <f aca="false">IF($K412="Expected",$P412,0)</f>
        <v>0</v>
      </c>
      <c r="V412" s="64" t="n">
        <f aca="false">IF($K412="Better",$P412,0)</f>
        <v>0</v>
      </c>
      <c r="W412" s="64" t="n">
        <f aca="false">IF($K412="U – needs rule",$P412,0)</f>
        <v>0</v>
      </c>
      <c r="X412" s="64" t="n">
        <f aca="false">IF($K412="No Start (attainment only)",$P412,0)</f>
        <v>0</v>
      </c>
    </row>
    <row r="413" customFormat="false" ht="15" hidden="false" customHeight="false" outlineLevel="0" collapsed="false">
      <c r="A413" s="60"/>
      <c r="B413" s="61" t="str">
        <f aca="false">IF($M413=0,"",INDEX(Classes!$E$6:$E$420,$M413))</f>
        <v/>
      </c>
      <c r="C413" s="62" t="str">
        <f aca="false">IF($M413=0,"",INDEX(Classes!$H$6:$H$420,$M413))</f>
        <v/>
      </c>
      <c r="D413" s="61" t="str">
        <f aca="false">IF($M413=0,"",INDEX(Classes!$B$6:$B$420,$M413))</f>
        <v/>
      </c>
      <c r="E413" s="61" t="str">
        <f aca="false">IF($M413=0,"",INDEX(Classes!$C$6:$C$420,$M413))</f>
        <v/>
      </c>
      <c r="F413" s="63"/>
      <c r="G413" s="63"/>
      <c r="H413" s="60"/>
      <c r="I413" s="60"/>
      <c r="J413" s="63"/>
      <c r="K413" s="61" t="str">
        <f aca="false">IF($P413=0,"",IF($F413="Baseline","— Baseline",IF($O413=0,"No result",IF($N413=0,"No Start (attainment only)",IF(OR($N413=1,$O413=1),"U – needs rule",INDEX(MxBody,MATCH($I413,MxCurr,0),MATCH($H413,MxStart,0)))))))</f>
        <v/>
      </c>
      <c r="L413" s="62" t="str">
        <f aca="false">IF(COUNTA($A413,$F413,$G413,$H413,$I413,$J413)=0,"",IF($M413=0,"✖ كود الصف غير موجود",IF(ISNA(MATCH($F413,Lists!$A$2:$A$5,0)),"✖ الفترة غير صحيحة",IF(ISNA(MATCH($G413,Lists!$B$2:$B$7,0)),"✖ المجموعة غير صحيحة",IF(NOT(OR($H413="",$N413&gt;0)),"✖ Start غير صحيح",IF(NOT(OR($I413="",$I413="NR",$O413&gt;0)),"✖ Current غير صحيح",IF(NOT(IF(ISNUMBER($J413),AND($J413&gt;=0,$J413=INT($J413)),FALSE())),"✖ العدد يجب أن يكون صحيحًا ≥ 0",IF(AND($F413="Baseline",$H413&lt;&gt;""),"⚠ Baseline: Start لا يدخل في التقدم",IF($K413="No Start (attainment only)","ℹ تحصيل فقط (بدون Start)",IF($K413="U – needs rule","ℹ حالة U تحتاج قاعدة معتمدة",IF($K413="No result","ℹ بدون نتيجة (يُستبعد من التحصيل)","OK")))))))))))</f>
        <v/>
      </c>
      <c r="M413" s="64" t="n">
        <f aca="false">IF($A413="",0,IFERROR(MATCH($A413,Classes!$A$6:$A$420,0),0))</f>
        <v>0</v>
      </c>
      <c r="N413" s="64" t="n">
        <f aca="false">IF($H413="",0,IFERROR(MATCH($H413,GradeList,0),0))</f>
        <v>0</v>
      </c>
      <c r="O413" s="64" t="n">
        <f aca="false">IF(OR($I413="",$I413="NR"),0,IFERROR(MATCH($I413,GradeList,0),0))</f>
        <v>0</v>
      </c>
      <c r="P413" s="64" t="n">
        <f aca="false">IF(AND($M413&gt;0,ISNUMBER(MATCH($F413,Lists!$A$2:$A$5,0)),ISNUMBER(MATCH($G413,Lists!$B$2:$B$7,0)),OR($H413="",$N413&gt;0),OR($I413="",$I413="NR",$O413&gt;0),IF(ISNUMBER($J413),AND($J413&gt;=0,$J413=INT($J413)),FALSE())),$J413,0)</f>
        <v>0</v>
      </c>
      <c r="Q413" s="64" t="n">
        <f aca="false">IF(AND($P413&gt;0,$O413&gt;0),$P413,0)</f>
        <v>0</v>
      </c>
      <c r="R413" s="64" t="n">
        <f aca="false">IF(AND($Q413&gt;0,$O413&gt;=AtRank),$Q413,0)</f>
        <v>0</v>
      </c>
      <c r="S413" s="64" t="n">
        <f aca="false">IF(AND($Q413&gt;0,$O413&gt;=AboveRank),$Q413,0)</f>
        <v>0</v>
      </c>
      <c r="T413" s="64" t="n">
        <f aca="false">IF($K413="Less",$P413,0)</f>
        <v>0</v>
      </c>
      <c r="U413" s="64" t="n">
        <f aca="false">IF($K413="Expected",$P413,0)</f>
        <v>0</v>
      </c>
      <c r="V413" s="64" t="n">
        <f aca="false">IF($K413="Better",$P413,0)</f>
        <v>0</v>
      </c>
      <c r="W413" s="64" t="n">
        <f aca="false">IF($K413="U – needs rule",$P413,0)</f>
        <v>0</v>
      </c>
      <c r="X413" s="64" t="n">
        <f aca="false">IF($K413="No Start (attainment only)",$P413,0)</f>
        <v>0</v>
      </c>
    </row>
    <row r="414" customFormat="false" ht="15" hidden="false" customHeight="false" outlineLevel="0" collapsed="false">
      <c r="A414" s="60"/>
      <c r="B414" s="61" t="str">
        <f aca="false">IF($M414=0,"",INDEX(Classes!$E$6:$E$420,$M414))</f>
        <v/>
      </c>
      <c r="C414" s="62" t="str">
        <f aca="false">IF($M414=0,"",INDEX(Classes!$H$6:$H$420,$M414))</f>
        <v/>
      </c>
      <c r="D414" s="61" t="str">
        <f aca="false">IF($M414=0,"",INDEX(Classes!$B$6:$B$420,$M414))</f>
        <v/>
      </c>
      <c r="E414" s="61" t="str">
        <f aca="false">IF($M414=0,"",INDEX(Classes!$C$6:$C$420,$M414))</f>
        <v/>
      </c>
      <c r="F414" s="63"/>
      <c r="G414" s="63"/>
      <c r="H414" s="60"/>
      <c r="I414" s="60"/>
      <c r="J414" s="63"/>
      <c r="K414" s="61" t="str">
        <f aca="false">IF($P414=0,"",IF($F414="Baseline","— Baseline",IF($O414=0,"No result",IF($N414=0,"No Start (attainment only)",IF(OR($N414=1,$O414=1),"U – needs rule",INDEX(MxBody,MATCH($I414,MxCurr,0),MATCH($H414,MxStart,0)))))))</f>
        <v/>
      </c>
      <c r="L414" s="62" t="str">
        <f aca="false">IF(COUNTA($A414,$F414,$G414,$H414,$I414,$J414)=0,"",IF($M414=0,"✖ كود الصف غير موجود",IF(ISNA(MATCH($F414,Lists!$A$2:$A$5,0)),"✖ الفترة غير صحيحة",IF(ISNA(MATCH($G414,Lists!$B$2:$B$7,0)),"✖ المجموعة غير صحيحة",IF(NOT(OR($H414="",$N414&gt;0)),"✖ Start غير صحيح",IF(NOT(OR($I414="",$I414="NR",$O414&gt;0)),"✖ Current غير صحيح",IF(NOT(IF(ISNUMBER($J414),AND($J414&gt;=0,$J414=INT($J414)),FALSE())),"✖ العدد يجب أن يكون صحيحًا ≥ 0",IF(AND($F414="Baseline",$H414&lt;&gt;""),"⚠ Baseline: Start لا يدخل في التقدم",IF($K414="No Start (attainment only)","ℹ تحصيل فقط (بدون Start)",IF($K414="U – needs rule","ℹ حالة U تحتاج قاعدة معتمدة",IF($K414="No result","ℹ بدون نتيجة (يُستبعد من التحصيل)","OK")))))))))))</f>
        <v/>
      </c>
      <c r="M414" s="64" t="n">
        <f aca="false">IF($A414="",0,IFERROR(MATCH($A414,Classes!$A$6:$A$420,0),0))</f>
        <v>0</v>
      </c>
      <c r="N414" s="64" t="n">
        <f aca="false">IF($H414="",0,IFERROR(MATCH($H414,GradeList,0),0))</f>
        <v>0</v>
      </c>
      <c r="O414" s="64" t="n">
        <f aca="false">IF(OR($I414="",$I414="NR"),0,IFERROR(MATCH($I414,GradeList,0),0))</f>
        <v>0</v>
      </c>
      <c r="P414" s="64" t="n">
        <f aca="false">IF(AND($M414&gt;0,ISNUMBER(MATCH($F414,Lists!$A$2:$A$5,0)),ISNUMBER(MATCH($G414,Lists!$B$2:$B$7,0)),OR($H414="",$N414&gt;0),OR($I414="",$I414="NR",$O414&gt;0),IF(ISNUMBER($J414),AND($J414&gt;=0,$J414=INT($J414)),FALSE())),$J414,0)</f>
        <v>0</v>
      </c>
      <c r="Q414" s="64" t="n">
        <f aca="false">IF(AND($P414&gt;0,$O414&gt;0),$P414,0)</f>
        <v>0</v>
      </c>
      <c r="R414" s="64" t="n">
        <f aca="false">IF(AND($Q414&gt;0,$O414&gt;=AtRank),$Q414,0)</f>
        <v>0</v>
      </c>
      <c r="S414" s="64" t="n">
        <f aca="false">IF(AND($Q414&gt;0,$O414&gt;=AboveRank),$Q414,0)</f>
        <v>0</v>
      </c>
      <c r="T414" s="64" t="n">
        <f aca="false">IF($K414="Less",$P414,0)</f>
        <v>0</v>
      </c>
      <c r="U414" s="64" t="n">
        <f aca="false">IF($K414="Expected",$P414,0)</f>
        <v>0</v>
      </c>
      <c r="V414" s="64" t="n">
        <f aca="false">IF($K414="Better",$P414,0)</f>
        <v>0</v>
      </c>
      <c r="W414" s="64" t="n">
        <f aca="false">IF($K414="U – needs rule",$P414,0)</f>
        <v>0</v>
      </c>
      <c r="X414" s="64" t="n">
        <f aca="false">IF($K414="No Start (attainment only)",$P414,0)</f>
        <v>0</v>
      </c>
    </row>
    <row r="415" customFormat="false" ht="15" hidden="false" customHeight="false" outlineLevel="0" collapsed="false">
      <c r="A415" s="60"/>
      <c r="B415" s="61" t="str">
        <f aca="false">IF($M415=0,"",INDEX(Classes!$E$6:$E$420,$M415))</f>
        <v/>
      </c>
      <c r="C415" s="62" t="str">
        <f aca="false">IF($M415=0,"",INDEX(Classes!$H$6:$H$420,$M415))</f>
        <v/>
      </c>
      <c r="D415" s="61" t="str">
        <f aca="false">IF($M415=0,"",INDEX(Classes!$B$6:$B$420,$M415))</f>
        <v/>
      </c>
      <c r="E415" s="61" t="str">
        <f aca="false">IF($M415=0,"",INDEX(Classes!$C$6:$C$420,$M415))</f>
        <v/>
      </c>
      <c r="F415" s="63"/>
      <c r="G415" s="63"/>
      <c r="H415" s="60"/>
      <c r="I415" s="60"/>
      <c r="J415" s="63"/>
      <c r="K415" s="61" t="str">
        <f aca="false">IF($P415=0,"",IF($F415="Baseline","— Baseline",IF($O415=0,"No result",IF($N415=0,"No Start (attainment only)",IF(OR($N415=1,$O415=1),"U – needs rule",INDEX(MxBody,MATCH($I415,MxCurr,0),MATCH($H415,MxStart,0)))))))</f>
        <v/>
      </c>
      <c r="L415" s="62" t="str">
        <f aca="false">IF(COUNTA($A415,$F415,$G415,$H415,$I415,$J415)=0,"",IF($M415=0,"✖ كود الصف غير موجود",IF(ISNA(MATCH($F415,Lists!$A$2:$A$5,0)),"✖ الفترة غير صحيحة",IF(ISNA(MATCH($G415,Lists!$B$2:$B$7,0)),"✖ المجموعة غير صحيحة",IF(NOT(OR($H415="",$N415&gt;0)),"✖ Start غير صحيح",IF(NOT(OR($I415="",$I415="NR",$O415&gt;0)),"✖ Current غير صحيح",IF(NOT(IF(ISNUMBER($J415),AND($J415&gt;=0,$J415=INT($J415)),FALSE())),"✖ العدد يجب أن يكون صحيحًا ≥ 0",IF(AND($F415="Baseline",$H415&lt;&gt;""),"⚠ Baseline: Start لا يدخل في التقدم",IF($K415="No Start (attainment only)","ℹ تحصيل فقط (بدون Start)",IF($K415="U – needs rule","ℹ حالة U تحتاج قاعدة معتمدة",IF($K415="No result","ℹ بدون نتيجة (يُستبعد من التحصيل)","OK")))))))))))</f>
        <v/>
      </c>
      <c r="M415" s="64" t="n">
        <f aca="false">IF($A415="",0,IFERROR(MATCH($A415,Classes!$A$6:$A$420,0),0))</f>
        <v>0</v>
      </c>
      <c r="N415" s="64" t="n">
        <f aca="false">IF($H415="",0,IFERROR(MATCH($H415,GradeList,0),0))</f>
        <v>0</v>
      </c>
      <c r="O415" s="64" t="n">
        <f aca="false">IF(OR($I415="",$I415="NR"),0,IFERROR(MATCH($I415,GradeList,0),0))</f>
        <v>0</v>
      </c>
      <c r="P415" s="64" t="n">
        <f aca="false">IF(AND($M415&gt;0,ISNUMBER(MATCH($F415,Lists!$A$2:$A$5,0)),ISNUMBER(MATCH($G415,Lists!$B$2:$B$7,0)),OR($H415="",$N415&gt;0),OR($I415="",$I415="NR",$O415&gt;0),IF(ISNUMBER($J415),AND($J415&gt;=0,$J415=INT($J415)),FALSE())),$J415,0)</f>
        <v>0</v>
      </c>
      <c r="Q415" s="64" t="n">
        <f aca="false">IF(AND($P415&gt;0,$O415&gt;0),$P415,0)</f>
        <v>0</v>
      </c>
      <c r="R415" s="64" t="n">
        <f aca="false">IF(AND($Q415&gt;0,$O415&gt;=AtRank),$Q415,0)</f>
        <v>0</v>
      </c>
      <c r="S415" s="64" t="n">
        <f aca="false">IF(AND($Q415&gt;0,$O415&gt;=AboveRank),$Q415,0)</f>
        <v>0</v>
      </c>
      <c r="T415" s="64" t="n">
        <f aca="false">IF($K415="Less",$P415,0)</f>
        <v>0</v>
      </c>
      <c r="U415" s="64" t="n">
        <f aca="false">IF($K415="Expected",$P415,0)</f>
        <v>0</v>
      </c>
      <c r="V415" s="64" t="n">
        <f aca="false">IF($K415="Better",$P415,0)</f>
        <v>0</v>
      </c>
      <c r="W415" s="64" t="n">
        <f aca="false">IF($K415="U – needs rule",$P415,0)</f>
        <v>0</v>
      </c>
      <c r="X415" s="64" t="n">
        <f aca="false">IF($K415="No Start (attainment only)",$P415,0)</f>
        <v>0</v>
      </c>
    </row>
    <row r="416" customFormat="false" ht="15" hidden="false" customHeight="false" outlineLevel="0" collapsed="false">
      <c r="A416" s="60"/>
      <c r="B416" s="61" t="str">
        <f aca="false">IF($M416=0,"",INDEX(Classes!$E$6:$E$420,$M416))</f>
        <v/>
      </c>
      <c r="C416" s="62" t="str">
        <f aca="false">IF($M416=0,"",INDEX(Classes!$H$6:$H$420,$M416))</f>
        <v/>
      </c>
      <c r="D416" s="61" t="str">
        <f aca="false">IF($M416=0,"",INDEX(Classes!$B$6:$B$420,$M416))</f>
        <v/>
      </c>
      <c r="E416" s="61" t="str">
        <f aca="false">IF($M416=0,"",INDEX(Classes!$C$6:$C$420,$M416))</f>
        <v/>
      </c>
      <c r="F416" s="63"/>
      <c r="G416" s="63"/>
      <c r="H416" s="60"/>
      <c r="I416" s="60"/>
      <c r="J416" s="63"/>
      <c r="K416" s="61" t="str">
        <f aca="false">IF($P416=0,"",IF($F416="Baseline","— Baseline",IF($O416=0,"No result",IF($N416=0,"No Start (attainment only)",IF(OR($N416=1,$O416=1),"U – needs rule",INDEX(MxBody,MATCH($I416,MxCurr,0),MATCH($H416,MxStart,0)))))))</f>
        <v/>
      </c>
      <c r="L416" s="62" t="str">
        <f aca="false">IF(COUNTA($A416,$F416,$G416,$H416,$I416,$J416)=0,"",IF($M416=0,"✖ كود الصف غير موجود",IF(ISNA(MATCH($F416,Lists!$A$2:$A$5,0)),"✖ الفترة غير صحيحة",IF(ISNA(MATCH($G416,Lists!$B$2:$B$7,0)),"✖ المجموعة غير صحيحة",IF(NOT(OR($H416="",$N416&gt;0)),"✖ Start غير صحيح",IF(NOT(OR($I416="",$I416="NR",$O416&gt;0)),"✖ Current غير صحيح",IF(NOT(IF(ISNUMBER($J416),AND($J416&gt;=0,$J416=INT($J416)),FALSE())),"✖ العدد يجب أن يكون صحيحًا ≥ 0",IF(AND($F416="Baseline",$H416&lt;&gt;""),"⚠ Baseline: Start لا يدخل في التقدم",IF($K416="No Start (attainment only)","ℹ تحصيل فقط (بدون Start)",IF($K416="U – needs rule","ℹ حالة U تحتاج قاعدة معتمدة",IF($K416="No result","ℹ بدون نتيجة (يُستبعد من التحصيل)","OK")))))))))))</f>
        <v/>
      </c>
      <c r="M416" s="64" t="n">
        <f aca="false">IF($A416="",0,IFERROR(MATCH($A416,Classes!$A$6:$A$420,0),0))</f>
        <v>0</v>
      </c>
      <c r="N416" s="64" t="n">
        <f aca="false">IF($H416="",0,IFERROR(MATCH($H416,GradeList,0),0))</f>
        <v>0</v>
      </c>
      <c r="O416" s="64" t="n">
        <f aca="false">IF(OR($I416="",$I416="NR"),0,IFERROR(MATCH($I416,GradeList,0),0))</f>
        <v>0</v>
      </c>
      <c r="P416" s="64" t="n">
        <f aca="false">IF(AND($M416&gt;0,ISNUMBER(MATCH($F416,Lists!$A$2:$A$5,0)),ISNUMBER(MATCH($G416,Lists!$B$2:$B$7,0)),OR($H416="",$N416&gt;0),OR($I416="",$I416="NR",$O416&gt;0),IF(ISNUMBER($J416),AND($J416&gt;=0,$J416=INT($J416)),FALSE())),$J416,0)</f>
        <v>0</v>
      </c>
      <c r="Q416" s="64" t="n">
        <f aca="false">IF(AND($P416&gt;0,$O416&gt;0),$P416,0)</f>
        <v>0</v>
      </c>
      <c r="R416" s="64" t="n">
        <f aca="false">IF(AND($Q416&gt;0,$O416&gt;=AtRank),$Q416,0)</f>
        <v>0</v>
      </c>
      <c r="S416" s="64" t="n">
        <f aca="false">IF(AND($Q416&gt;0,$O416&gt;=AboveRank),$Q416,0)</f>
        <v>0</v>
      </c>
      <c r="T416" s="64" t="n">
        <f aca="false">IF($K416="Less",$P416,0)</f>
        <v>0</v>
      </c>
      <c r="U416" s="64" t="n">
        <f aca="false">IF($K416="Expected",$P416,0)</f>
        <v>0</v>
      </c>
      <c r="V416" s="64" t="n">
        <f aca="false">IF($K416="Better",$P416,0)</f>
        <v>0</v>
      </c>
      <c r="W416" s="64" t="n">
        <f aca="false">IF($K416="U – needs rule",$P416,0)</f>
        <v>0</v>
      </c>
      <c r="X416" s="64" t="n">
        <f aca="false">IF($K416="No Start (attainment only)",$P416,0)</f>
        <v>0</v>
      </c>
    </row>
    <row r="417" customFormat="false" ht="15" hidden="false" customHeight="false" outlineLevel="0" collapsed="false">
      <c r="A417" s="60"/>
      <c r="B417" s="61" t="str">
        <f aca="false">IF($M417=0,"",INDEX(Classes!$E$6:$E$420,$M417))</f>
        <v/>
      </c>
      <c r="C417" s="62" t="str">
        <f aca="false">IF($M417=0,"",INDEX(Classes!$H$6:$H$420,$M417))</f>
        <v/>
      </c>
      <c r="D417" s="61" t="str">
        <f aca="false">IF($M417=0,"",INDEX(Classes!$B$6:$B$420,$M417))</f>
        <v/>
      </c>
      <c r="E417" s="61" t="str">
        <f aca="false">IF($M417=0,"",INDEX(Classes!$C$6:$C$420,$M417))</f>
        <v/>
      </c>
      <c r="F417" s="63"/>
      <c r="G417" s="63"/>
      <c r="H417" s="60"/>
      <c r="I417" s="60"/>
      <c r="J417" s="63"/>
      <c r="K417" s="61" t="str">
        <f aca="false">IF($P417=0,"",IF($F417="Baseline","— Baseline",IF($O417=0,"No result",IF($N417=0,"No Start (attainment only)",IF(OR($N417=1,$O417=1),"U – needs rule",INDEX(MxBody,MATCH($I417,MxCurr,0),MATCH($H417,MxStart,0)))))))</f>
        <v/>
      </c>
      <c r="L417" s="62" t="str">
        <f aca="false">IF(COUNTA($A417,$F417,$G417,$H417,$I417,$J417)=0,"",IF($M417=0,"✖ كود الصف غير موجود",IF(ISNA(MATCH($F417,Lists!$A$2:$A$5,0)),"✖ الفترة غير صحيحة",IF(ISNA(MATCH($G417,Lists!$B$2:$B$7,0)),"✖ المجموعة غير صحيحة",IF(NOT(OR($H417="",$N417&gt;0)),"✖ Start غير صحيح",IF(NOT(OR($I417="",$I417="NR",$O417&gt;0)),"✖ Current غير صحيح",IF(NOT(IF(ISNUMBER($J417),AND($J417&gt;=0,$J417=INT($J417)),FALSE())),"✖ العدد يجب أن يكون صحيحًا ≥ 0",IF(AND($F417="Baseline",$H417&lt;&gt;""),"⚠ Baseline: Start لا يدخل في التقدم",IF($K417="No Start (attainment only)","ℹ تحصيل فقط (بدون Start)",IF($K417="U – needs rule","ℹ حالة U تحتاج قاعدة معتمدة",IF($K417="No result","ℹ بدون نتيجة (يُستبعد من التحصيل)","OK")))))))))))</f>
        <v/>
      </c>
      <c r="M417" s="64" t="n">
        <f aca="false">IF($A417="",0,IFERROR(MATCH($A417,Classes!$A$6:$A$420,0),0))</f>
        <v>0</v>
      </c>
      <c r="N417" s="64" t="n">
        <f aca="false">IF($H417="",0,IFERROR(MATCH($H417,GradeList,0),0))</f>
        <v>0</v>
      </c>
      <c r="O417" s="64" t="n">
        <f aca="false">IF(OR($I417="",$I417="NR"),0,IFERROR(MATCH($I417,GradeList,0),0))</f>
        <v>0</v>
      </c>
      <c r="P417" s="64" t="n">
        <f aca="false">IF(AND($M417&gt;0,ISNUMBER(MATCH($F417,Lists!$A$2:$A$5,0)),ISNUMBER(MATCH($G417,Lists!$B$2:$B$7,0)),OR($H417="",$N417&gt;0),OR($I417="",$I417="NR",$O417&gt;0),IF(ISNUMBER($J417),AND($J417&gt;=0,$J417=INT($J417)),FALSE())),$J417,0)</f>
        <v>0</v>
      </c>
      <c r="Q417" s="64" t="n">
        <f aca="false">IF(AND($P417&gt;0,$O417&gt;0),$P417,0)</f>
        <v>0</v>
      </c>
      <c r="R417" s="64" t="n">
        <f aca="false">IF(AND($Q417&gt;0,$O417&gt;=AtRank),$Q417,0)</f>
        <v>0</v>
      </c>
      <c r="S417" s="64" t="n">
        <f aca="false">IF(AND($Q417&gt;0,$O417&gt;=AboveRank),$Q417,0)</f>
        <v>0</v>
      </c>
      <c r="T417" s="64" t="n">
        <f aca="false">IF($K417="Less",$P417,0)</f>
        <v>0</v>
      </c>
      <c r="U417" s="64" t="n">
        <f aca="false">IF($K417="Expected",$P417,0)</f>
        <v>0</v>
      </c>
      <c r="V417" s="64" t="n">
        <f aca="false">IF($K417="Better",$P417,0)</f>
        <v>0</v>
      </c>
      <c r="W417" s="64" t="n">
        <f aca="false">IF($K417="U – needs rule",$P417,0)</f>
        <v>0</v>
      </c>
      <c r="X417" s="64" t="n">
        <f aca="false">IF($K417="No Start (attainment only)",$P417,0)</f>
        <v>0</v>
      </c>
    </row>
    <row r="418" customFormat="false" ht="15" hidden="false" customHeight="false" outlineLevel="0" collapsed="false">
      <c r="A418" s="60"/>
      <c r="B418" s="61" t="str">
        <f aca="false">IF($M418=0,"",INDEX(Classes!$E$6:$E$420,$M418))</f>
        <v/>
      </c>
      <c r="C418" s="62" t="str">
        <f aca="false">IF($M418=0,"",INDEX(Classes!$H$6:$H$420,$M418))</f>
        <v/>
      </c>
      <c r="D418" s="61" t="str">
        <f aca="false">IF($M418=0,"",INDEX(Classes!$B$6:$B$420,$M418))</f>
        <v/>
      </c>
      <c r="E418" s="61" t="str">
        <f aca="false">IF($M418=0,"",INDEX(Classes!$C$6:$C$420,$M418))</f>
        <v/>
      </c>
      <c r="F418" s="63"/>
      <c r="G418" s="63"/>
      <c r="H418" s="60"/>
      <c r="I418" s="60"/>
      <c r="J418" s="63"/>
      <c r="K418" s="61" t="str">
        <f aca="false">IF($P418=0,"",IF($F418="Baseline","— Baseline",IF($O418=0,"No result",IF($N418=0,"No Start (attainment only)",IF(OR($N418=1,$O418=1),"U – needs rule",INDEX(MxBody,MATCH($I418,MxCurr,0),MATCH($H418,MxStart,0)))))))</f>
        <v/>
      </c>
      <c r="L418" s="62" t="str">
        <f aca="false">IF(COUNTA($A418,$F418,$G418,$H418,$I418,$J418)=0,"",IF($M418=0,"✖ كود الصف غير موجود",IF(ISNA(MATCH($F418,Lists!$A$2:$A$5,0)),"✖ الفترة غير صحيحة",IF(ISNA(MATCH($G418,Lists!$B$2:$B$7,0)),"✖ المجموعة غير صحيحة",IF(NOT(OR($H418="",$N418&gt;0)),"✖ Start غير صحيح",IF(NOT(OR($I418="",$I418="NR",$O418&gt;0)),"✖ Current غير صحيح",IF(NOT(IF(ISNUMBER($J418),AND($J418&gt;=0,$J418=INT($J418)),FALSE())),"✖ العدد يجب أن يكون صحيحًا ≥ 0",IF(AND($F418="Baseline",$H418&lt;&gt;""),"⚠ Baseline: Start لا يدخل في التقدم",IF($K418="No Start (attainment only)","ℹ تحصيل فقط (بدون Start)",IF($K418="U – needs rule","ℹ حالة U تحتاج قاعدة معتمدة",IF($K418="No result","ℹ بدون نتيجة (يُستبعد من التحصيل)","OK")))))))))))</f>
        <v/>
      </c>
      <c r="M418" s="64" t="n">
        <f aca="false">IF($A418="",0,IFERROR(MATCH($A418,Classes!$A$6:$A$420,0),0))</f>
        <v>0</v>
      </c>
      <c r="N418" s="64" t="n">
        <f aca="false">IF($H418="",0,IFERROR(MATCH($H418,GradeList,0),0))</f>
        <v>0</v>
      </c>
      <c r="O418" s="64" t="n">
        <f aca="false">IF(OR($I418="",$I418="NR"),0,IFERROR(MATCH($I418,GradeList,0),0))</f>
        <v>0</v>
      </c>
      <c r="P418" s="64" t="n">
        <f aca="false">IF(AND($M418&gt;0,ISNUMBER(MATCH($F418,Lists!$A$2:$A$5,0)),ISNUMBER(MATCH($G418,Lists!$B$2:$B$7,0)),OR($H418="",$N418&gt;0),OR($I418="",$I418="NR",$O418&gt;0),IF(ISNUMBER($J418),AND($J418&gt;=0,$J418=INT($J418)),FALSE())),$J418,0)</f>
        <v>0</v>
      </c>
      <c r="Q418" s="64" t="n">
        <f aca="false">IF(AND($P418&gt;0,$O418&gt;0),$P418,0)</f>
        <v>0</v>
      </c>
      <c r="R418" s="64" t="n">
        <f aca="false">IF(AND($Q418&gt;0,$O418&gt;=AtRank),$Q418,0)</f>
        <v>0</v>
      </c>
      <c r="S418" s="64" t="n">
        <f aca="false">IF(AND($Q418&gt;0,$O418&gt;=AboveRank),$Q418,0)</f>
        <v>0</v>
      </c>
      <c r="T418" s="64" t="n">
        <f aca="false">IF($K418="Less",$P418,0)</f>
        <v>0</v>
      </c>
      <c r="U418" s="64" t="n">
        <f aca="false">IF($K418="Expected",$P418,0)</f>
        <v>0</v>
      </c>
      <c r="V418" s="64" t="n">
        <f aca="false">IF($K418="Better",$P418,0)</f>
        <v>0</v>
      </c>
      <c r="W418" s="64" t="n">
        <f aca="false">IF($K418="U – needs rule",$P418,0)</f>
        <v>0</v>
      </c>
      <c r="X418" s="64" t="n">
        <f aca="false">IF($K418="No Start (attainment only)",$P418,0)</f>
        <v>0</v>
      </c>
    </row>
    <row r="419" customFormat="false" ht="15" hidden="false" customHeight="false" outlineLevel="0" collapsed="false">
      <c r="A419" s="60"/>
      <c r="B419" s="61" t="str">
        <f aca="false">IF($M419=0,"",INDEX(Classes!$E$6:$E$420,$M419))</f>
        <v/>
      </c>
      <c r="C419" s="62" t="str">
        <f aca="false">IF($M419=0,"",INDEX(Classes!$H$6:$H$420,$M419))</f>
        <v/>
      </c>
      <c r="D419" s="61" t="str">
        <f aca="false">IF($M419=0,"",INDEX(Classes!$B$6:$B$420,$M419))</f>
        <v/>
      </c>
      <c r="E419" s="61" t="str">
        <f aca="false">IF($M419=0,"",INDEX(Classes!$C$6:$C$420,$M419))</f>
        <v/>
      </c>
      <c r="F419" s="63"/>
      <c r="G419" s="63"/>
      <c r="H419" s="60"/>
      <c r="I419" s="60"/>
      <c r="J419" s="63"/>
      <c r="K419" s="61" t="str">
        <f aca="false">IF($P419=0,"",IF($F419="Baseline","— Baseline",IF($O419=0,"No result",IF($N419=0,"No Start (attainment only)",IF(OR($N419=1,$O419=1),"U – needs rule",INDEX(MxBody,MATCH($I419,MxCurr,0),MATCH($H419,MxStart,0)))))))</f>
        <v/>
      </c>
      <c r="L419" s="62" t="str">
        <f aca="false">IF(COUNTA($A419,$F419,$G419,$H419,$I419,$J419)=0,"",IF($M419=0,"✖ كود الصف غير موجود",IF(ISNA(MATCH($F419,Lists!$A$2:$A$5,0)),"✖ الفترة غير صحيحة",IF(ISNA(MATCH($G419,Lists!$B$2:$B$7,0)),"✖ المجموعة غير صحيحة",IF(NOT(OR($H419="",$N419&gt;0)),"✖ Start غير صحيح",IF(NOT(OR($I419="",$I419="NR",$O419&gt;0)),"✖ Current غير صحيح",IF(NOT(IF(ISNUMBER($J419),AND($J419&gt;=0,$J419=INT($J419)),FALSE())),"✖ العدد يجب أن يكون صحيحًا ≥ 0",IF(AND($F419="Baseline",$H419&lt;&gt;""),"⚠ Baseline: Start لا يدخل في التقدم",IF($K419="No Start (attainment only)","ℹ تحصيل فقط (بدون Start)",IF($K419="U – needs rule","ℹ حالة U تحتاج قاعدة معتمدة",IF($K419="No result","ℹ بدون نتيجة (يُستبعد من التحصيل)","OK")))))))))))</f>
        <v/>
      </c>
      <c r="M419" s="64" t="n">
        <f aca="false">IF($A419="",0,IFERROR(MATCH($A419,Classes!$A$6:$A$420,0),0))</f>
        <v>0</v>
      </c>
      <c r="N419" s="64" t="n">
        <f aca="false">IF($H419="",0,IFERROR(MATCH($H419,GradeList,0),0))</f>
        <v>0</v>
      </c>
      <c r="O419" s="64" t="n">
        <f aca="false">IF(OR($I419="",$I419="NR"),0,IFERROR(MATCH($I419,GradeList,0),0))</f>
        <v>0</v>
      </c>
      <c r="P419" s="64" t="n">
        <f aca="false">IF(AND($M419&gt;0,ISNUMBER(MATCH($F419,Lists!$A$2:$A$5,0)),ISNUMBER(MATCH($G419,Lists!$B$2:$B$7,0)),OR($H419="",$N419&gt;0),OR($I419="",$I419="NR",$O419&gt;0),IF(ISNUMBER($J419),AND($J419&gt;=0,$J419=INT($J419)),FALSE())),$J419,0)</f>
        <v>0</v>
      </c>
      <c r="Q419" s="64" t="n">
        <f aca="false">IF(AND($P419&gt;0,$O419&gt;0),$P419,0)</f>
        <v>0</v>
      </c>
      <c r="R419" s="64" t="n">
        <f aca="false">IF(AND($Q419&gt;0,$O419&gt;=AtRank),$Q419,0)</f>
        <v>0</v>
      </c>
      <c r="S419" s="64" t="n">
        <f aca="false">IF(AND($Q419&gt;0,$O419&gt;=AboveRank),$Q419,0)</f>
        <v>0</v>
      </c>
      <c r="T419" s="64" t="n">
        <f aca="false">IF($K419="Less",$P419,0)</f>
        <v>0</v>
      </c>
      <c r="U419" s="64" t="n">
        <f aca="false">IF($K419="Expected",$P419,0)</f>
        <v>0</v>
      </c>
      <c r="V419" s="64" t="n">
        <f aca="false">IF($K419="Better",$P419,0)</f>
        <v>0</v>
      </c>
      <c r="W419" s="64" t="n">
        <f aca="false">IF($K419="U – needs rule",$P419,0)</f>
        <v>0</v>
      </c>
      <c r="X419" s="64" t="n">
        <f aca="false">IF($K419="No Start (attainment only)",$P419,0)</f>
        <v>0</v>
      </c>
    </row>
    <row r="420" customFormat="false" ht="15" hidden="false" customHeight="false" outlineLevel="0" collapsed="false">
      <c r="A420" s="60"/>
      <c r="B420" s="61" t="str">
        <f aca="false">IF($M420=0,"",INDEX(Classes!$E$6:$E$420,$M420))</f>
        <v/>
      </c>
      <c r="C420" s="62" t="str">
        <f aca="false">IF($M420=0,"",INDEX(Classes!$H$6:$H$420,$M420))</f>
        <v/>
      </c>
      <c r="D420" s="61" t="str">
        <f aca="false">IF($M420=0,"",INDEX(Classes!$B$6:$B$420,$M420))</f>
        <v/>
      </c>
      <c r="E420" s="61" t="str">
        <f aca="false">IF($M420=0,"",INDEX(Classes!$C$6:$C$420,$M420))</f>
        <v/>
      </c>
      <c r="F420" s="63"/>
      <c r="G420" s="63"/>
      <c r="H420" s="60"/>
      <c r="I420" s="60"/>
      <c r="J420" s="63"/>
      <c r="K420" s="61" t="str">
        <f aca="false">IF($P420=0,"",IF($F420="Baseline","— Baseline",IF($O420=0,"No result",IF($N420=0,"No Start (attainment only)",IF(OR($N420=1,$O420=1),"U – needs rule",INDEX(MxBody,MATCH($I420,MxCurr,0),MATCH($H420,MxStart,0)))))))</f>
        <v/>
      </c>
      <c r="L420" s="62" t="str">
        <f aca="false">IF(COUNTA($A420,$F420,$G420,$H420,$I420,$J420)=0,"",IF($M420=0,"✖ كود الصف غير موجود",IF(ISNA(MATCH($F420,Lists!$A$2:$A$5,0)),"✖ الفترة غير صحيحة",IF(ISNA(MATCH($G420,Lists!$B$2:$B$7,0)),"✖ المجموعة غير صحيحة",IF(NOT(OR($H420="",$N420&gt;0)),"✖ Start غير صحيح",IF(NOT(OR($I420="",$I420="NR",$O420&gt;0)),"✖ Current غير صحيح",IF(NOT(IF(ISNUMBER($J420),AND($J420&gt;=0,$J420=INT($J420)),FALSE())),"✖ العدد يجب أن يكون صحيحًا ≥ 0",IF(AND($F420="Baseline",$H420&lt;&gt;""),"⚠ Baseline: Start لا يدخل في التقدم",IF($K420="No Start (attainment only)","ℹ تحصيل فقط (بدون Start)",IF($K420="U – needs rule","ℹ حالة U تحتاج قاعدة معتمدة",IF($K420="No result","ℹ بدون نتيجة (يُستبعد من التحصيل)","OK")))))))))))</f>
        <v/>
      </c>
      <c r="M420" s="64" t="n">
        <f aca="false">IF($A420="",0,IFERROR(MATCH($A420,Classes!$A$6:$A$420,0),0))</f>
        <v>0</v>
      </c>
      <c r="N420" s="64" t="n">
        <f aca="false">IF($H420="",0,IFERROR(MATCH($H420,GradeList,0),0))</f>
        <v>0</v>
      </c>
      <c r="O420" s="64" t="n">
        <f aca="false">IF(OR($I420="",$I420="NR"),0,IFERROR(MATCH($I420,GradeList,0),0))</f>
        <v>0</v>
      </c>
      <c r="P420" s="64" t="n">
        <f aca="false">IF(AND($M420&gt;0,ISNUMBER(MATCH($F420,Lists!$A$2:$A$5,0)),ISNUMBER(MATCH($G420,Lists!$B$2:$B$7,0)),OR($H420="",$N420&gt;0),OR($I420="",$I420="NR",$O420&gt;0),IF(ISNUMBER($J420),AND($J420&gt;=0,$J420=INT($J420)),FALSE())),$J420,0)</f>
        <v>0</v>
      </c>
      <c r="Q420" s="64" t="n">
        <f aca="false">IF(AND($P420&gt;0,$O420&gt;0),$P420,0)</f>
        <v>0</v>
      </c>
      <c r="R420" s="64" t="n">
        <f aca="false">IF(AND($Q420&gt;0,$O420&gt;=AtRank),$Q420,0)</f>
        <v>0</v>
      </c>
      <c r="S420" s="64" t="n">
        <f aca="false">IF(AND($Q420&gt;0,$O420&gt;=AboveRank),$Q420,0)</f>
        <v>0</v>
      </c>
      <c r="T420" s="64" t="n">
        <f aca="false">IF($K420="Less",$P420,0)</f>
        <v>0</v>
      </c>
      <c r="U420" s="64" t="n">
        <f aca="false">IF($K420="Expected",$P420,0)</f>
        <v>0</v>
      </c>
      <c r="V420" s="64" t="n">
        <f aca="false">IF($K420="Better",$P420,0)</f>
        <v>0</v>
      </c>
      <c r="W420" s="64" t="n">
        <f aca="false">IF($K420="U – needs rule",$P420,0)</f>
        <v>0</v>
      </c>
      <c r="X420" s="64" t="n">
        <f aca="false">IF($K420="No Start (attainment only)",$P420,0)</f>
        <v>0</v>
      </c>
    </row>
    <row r="421" customFormat="false" ht="15" hidden="false" customHeight="false" outlineLevel="0" collapsed="false">
      <c r="A421" s="60"/>
      <c r="B421" s="61" t="str">
        <f aca="false">IF($M421=0,"",INDEX(Classes!$E$6:$E$420,$M421))</f>
        <v/>
      </c>
      <c r="C421" s="62" t="str">
        <f aca="false">IF($M421=0,"",INDEX(Classes!$H$6:$H$420,$M421))</f>
        <v/>
      </c>
      <c r="D421" s="61" t="str">
        <f aca="false">IF($M421=0,"",INDEX(Classes!$B$6:$B$420,$M421))</f>
        <v/>
      </c>
      <c r="E421" s="61" t="str">
        <f aca="false">IF($M421=0,"",INDEX(Classes!$C$6:$C$420,$M421))</f>
        <v/>
      </c>
      <c r="F421" s="63"/>
      <c r="G421" s="63"/>
      <c r="H421" s="60"/>
      <c r="I421" s="60"/>
      <c r="J421" s="63"/>
      <c r="K421" s="61" t="str">
        <f aca="false">IF($P421=0,"",IF($F421="Baseline","— Baseline",IF($O421=0,"No result",IF($N421=0,"No Start (attainment only)",IF(OR($N421=1,$O421=1),"U – needs rule",INDEX(MxBody,MATCH($I421,MxCurr,0),MATCH($H421,MxStart,0)))))))</f>
        <v/>
      </c>
      <c r="L421" s="62" t="str">
        <f aca="false">IF(COUNTA($A421,$F421,$G421,$H421,$I421,$J421)=0,"",IF($M421=0,"✖ كود الصف غير موجود",IF(ISNA(MATCH($F421,Lists!$A$2:$A$5,0)),"✖ الفترة غير صحيحة",IF(ISNA(MATCH($G421,Lists!$B$2:$B$7,0)),"✖ المجموعة غير صحيحة",IF(NOT(OR($H421="",$N421&gt;0)),"✖ Start غير صحيح",IF(NOT(OR($I421="",$I421="NR",$O421&gt;0)),"✖ Current غير صحيح",IF(NOT(IF(ISNUMBER($J421),AND($J421&gt;=0,$J421=INT($J421)),FALSE())),"✖ العدد يجب أن يكون صحيحًا ≥ 0",IF(AND($F421="Baseline",$H421&lt;&gt;""),"⚠ Baseline: Start لا يدخل في التقدم",IF($K421="No Start (attainment only)","ℹ تحصيل فقط (بدون Start)",IF($K421="U – needs rule","ℹ حالة U تحتاج قاعدة معتمدة",IF($K421="No result","ℹ بدون نتيجة (يُستبعد من التحصيل)","OK")))))))))))</f>
        <v/>
      </c>
      <c r="M421" s="64" t="n">
        <f aca="false">IF($A421="",0,IFERROR(MATCH($A421,Classes!$A$6:$A$420,0),0))</f>
        <v>0</v>
      </c>
      <c r="N421" s="64" t="n">
        <f aca="false">IF($H421="",0,IFERROR(MATCH($H421,GradeList,0),0))</f>
        <v>0</v>
      </c>
      <c r="O421" s="64" t="n">
        <f aca="false">IF(OR($I421="",$I421="NR"),0,IFERROR(MATCH($I421,GradeList,0),0))</f>
        <v>0</v>
      </c>
      <c r="P421" s="64" t="n">
        <f aca="false">IF(AND($M421&gt;0,ISNUMBER(MATCH($F421,Lists!$A$2:$A$5,0)),ISNUMBER(MATCH($G421,Lists!$B$2:$B$7,0)),OR($H421="",$N421&gt;0),OR($I421="",$I421="NR",$O421&gt;0),IF(ISNUMBER($J421),AND($J421&gt;=0,$J421=INT($J421)),FALSE())),$J421,0)</f>
        <v>0</v>
      </c>
      <c r="Q421" s="64" t="n">
        <f aca="false">IF(AND($P421&gt;0,$O421&gt;0),$P421,0)</f>
        <v>0</v>
      </c>
      <c r="R421" s="64" t="n">
        <f aca="false">IF(AND($Q421&gt;0,$O421&gt;=AtRank),$Q421,0)</f>
        <v>0</v>
      </c>
      <c r="S421" s="64" t="n">
        <f aca="false">IF(AND($Q421&gt;0,$O421&gt;=AboveRank),$Q421,0)</f>
        <v>0</v>
      </c>
      <c r="T421" s="64" t="n">
        <f aca="false">IF($K421="Less",$P421,0)</f>
        <v>0</v>
      </c>
      <c r="U421" s="64" t="n">
        <f aca="false">IF($K421="Expected",$P421,0)</f>
        <v>0</v>
      </c>
      <c r="V421" s="64" t="n">
        <f aca="false">IF($K421="Better",$P421,0)</f>
        <v>0</v>
      </c>
      <c r="W421" s="64" t="n">
        <f aca="false">IF($K421="U – needs rule",$P421,0)</f>
        <v>0</v>
      </c>
      <c r="X421" s="64" t="n">
        <f aca="false">IF($K421="No Start (attainment only)",$P421,0)</f>
        <v>0</v>
      </c>
    </row>
    <row r="422" customFormat="false" ht="15" hidden="false" customHeight="false" outlineLevel="0" collapsed="false">
      <c r="A422" s="60"/>
      <c r="B422" s="61" t="str">
        <f aca="false">IF($M422=0,"",INDEX(Classes!$E$6:$E$420,$M422))</f>
        <v/>
      </c>
      <c r="C422" s="62" t="str">
        <f aca="false">IF($M422=0,"",INDEX(Classes!$H$6:$H$420,$M422))</f>
        <v/>
      </c>
      <c r="D422" s="61" t="str">
        <f aca="false">IF($M422=0,"",INDEX(Classes!$B$6:$B$420,$M422))</f>
        <v/>
      </c>
      <c r="E422" s="61" t="str">
        <f aca="false">IF($M422=0,"",INDEX(Classes!$C$6:$C$420,$M422))</f>
        <v/>
      </c>
      <c r="F422" s="63"/>
      <c r="G422" s="63"/>
      <c r="H422" s="60"/>
      <c r="I422" s="60"/>
      <c r="J422" s="63"/>
      <c r="K422" s="61" t="str">
        <f aca="false">IF($P422=0,"",IF($F422="Baseline","— Baseline",IF($O422=0,"No result",IF($N422=0,"No Start (attainment only)",IF(OR($N422=1,$O422=1),"U – needs rule",INDEX(MxBody,MATCH($I422,MxCurr,0),MATCH($H422,MxStart,0)))))))</f>
        <v/>
      </c>
      <c r="L422" s="62" t="str">
        <f aca="false">IF(COUNTA($A422,$F422,$G422,$H422,$I422,$J422)=0,"",IF($M422=0,"✖ كود الصف غير موجود",IF(ISNA(MATCH($F422,Lists!$A$2:$A$5,0)),"✖ الفترة غير صحيحة",IF(ISNA(MATCH($G422,Lists!$B$2:$B$7,0)),"✖ المجموعة غير صحيحة",IF(NOT(OR($H422="",$N422&gt;0)),"✖ Start غير صحيح",IF(NOT(OR($I422="",$I422="NR",$O422&gt;0)),"✖ Current غير صحيح",IF(NOT(IF(ISNUMBER($J422),AND($J422&gt;=0,$J422=INT($J422)),FALSE())),"✖ العدد يجب أن يكون صحيحًا ≥ 0",IF(AND($F422="Baseline",$H422&lt;&gt;""),"⚠ Baseline: Start لا يدخل في التقدم",IF($K422="No Start (attainment only)","ℹ تحصيل فقط (بدون Start)",IF($K422="U – needs rule","ℹ حالة U تحتاج قاعدة معتمدة",IF($K422="No result","ℹ بدون نتيجة (يُستبعد من التحصيل)","OK")))))))))))</f>
        <v/>
      </c>
      <c r="M422" s="64" t="n">
        <f aca="false">IF($A422="",0,IFERROR(MATCH($A422,Classes!$A$6:$A$420,0),0))</f>
        <v>0</v>
      </c>
      <c r="N422" s="64" t="n">
        <f aca="false">IF($H422="",0,IFERROR(MATCH($H422,GradeList,0),0))</f>
        <v>0</v>
      </c>
      <c r="O422" s="64" t="n">
        <f aca="false">IF(OR($I422="",$I422="NR"),0,IFERROR(MATCH($I422,GradeList,0),0))</f>
        <v>0</v>
      </c>
      <c r="P422" s="64" t="n">
        <f aca="false">IF(AND($M422&gt;0,ISNUMBER(MATCH($F422,Lists!$A$2:$A$5,0)),ISNUMBER(MATCH($G422,Lists!$B$2:$B$7,0)),OR($H422="",$N422&gt;0),OR($I422="",$I422="NR",$O422&gt;0),IF(ISNUMBER($J422),AND($J422&gt;=0,$J422=INT($J422)),FALSE())),$J422,0)</f>
        <v>0</v>
      </c>
      <c r="Q422" s="64" t="n">
        <f aca="false">IF(AND($P422&gt;0,$O422&gt;0),$P422,0)</f>
        <v>0</v>
      </c>
      <c r="R422" s="64" t="n">
        <f aca="false">IF(AND($Q422&gt;0,$O422&gt;=AtRank),$Q422,0)</f>
        <v>0</v>
      </c>
      <c r="S422" s="64" t="n">
        <f aca="false">IF(AND($Q422&gt;0,$O422&gt;=AboveRank),$Q422,0)</f>
        <v>0</v>
      </c>
      <c r="T422" s="64" t="n">
        <f aca="false">IF($K422="Less",$P422,0)</f>
        <v>0</v>
      </c>
      <c r="U422" s="64" t="n">
        <f aca="false">IF($K422="Expected",$P422,0)</f>
        <v>0</v>
      </c>
      <c r="V422" s="64" t="n">
        <f aca="false">IF($K422="Better",$P422,0)</f>
        <v>0</v>
      </c>
      <c r="W422" s="64" t="n">
        <f aca="false">IF($K422="U – needs rule",$P422,0)</f>
        <v>0</v>
      </c>
      <c r="X422" s="64" t="n">
        <f aca="false">IF($K422="No Start (attainment only)",$P422,0)</f>
        <v>0</v>
      </c>
    </row>
    <row r="423" customFormat="false" ht="15" hidden="false" customHeight="false" outlineLevel="0" collapsed="false">
      <c r="A423" s="60"/>
      <c r="B423" s="61" t="str">
        <f aca="false">IF($M423=0,"",INDEX(Classes!$E$6:$E$420,$M423))</f>
        <v/>
      </c>
      <c r="C423" s="62" t="str">
        <f aca="false">IF($M423=0,"",INDEX(Classes!$H$6:$H$420,$M423))</f>
        <v/>
      </c>
      <c r="D423" s="61" t="str">
        <f aca="false">IF($M423=0,"",INDEX(Classes!$B$6:$B$420,$M423))</f>
        <v/>
      </c>
      <c r="E423" s="61" t="str">
        <f aca="false">IF($M423=0,"",INDEX(Classes!$C$6:$C$420,$M423))</f>
        <v/>
      </c>
      <c r="F423" s="63"/>
      <c r="G423" s="63"/>
      <c r="H423" s="60"/>
      <c r="I423" s="60"/>
      <c r="J423" s="63"/>
      <c r="K423" s="61" t="str">
        <f aca="false">IF($P423=0,"",IF($F423="Baseline","— Baseline",IF($O423=0,"No result",IF($N423=0,"No Start (attainment only)",IF(OR($N423=1,$O423=1),"U – needs rule",INDEX(MxBody,MATCH($I423,MxCurr,0),MATCH($H423,MxStart,0)))))))</f>
        <v/>
      </c>
      <c r="L423" s="62" t="str">
        <f aca="false">IF(COUNTA($A423,$F423,$G423,$H423,$I423,$J423)=0,"",IF($M423=0,"✖ كود الصف غير موجود",IF(ISNA(MATCH($F423,Lists!$A$2:$A$5,0)),"✖ الفترة غير صحيحة",IF(ISNA(MATCH($G423,Lists!$B$2:$B$7,0)),"✖ المجموعة غير صحيحة",IF(NOT(OR($H423="",$N423&gt;0)),"✖ Start غير صحيح",IF(NOT(OR($I423="",$I423="NR",$O423&gt;0)),"✖ Current غير صحيح",IF(NOT(IF(ISNUMBER($J423),AND($J423&gt;=0,$J423=INT($J423)),FALSE())),"✖ العدد يجب أن يكون صحيحًا ≥ 0",IF(AND($F423="Baseline",$H423&lt;&gt;""),"⚠ Baseline: Start لا يدخل في التقدم",IF($K423="No Start (attainment only)","ℹ تحصيل فقط (بدون Start)",IF($K423="U – needs rule","ℹ حالة U تحتاج قاعدة معتمدة",IF($K423="No result","ℹ بدون نتيجة (يُستبعد من التحصيل)","OK")))))))))))</f>
        <v/>
      </c>
      <c r="M423" s="64" t="n">
        <f aca="false">IF($A423="",0,IFERROR(MATCH($A423,Classes!$A$6:$A$420,0),0))</f>
        <v>0</v>
      </c>
      <c r="N423" s="64" t="n">
        <f aca="false">IF($H423="",0,IFERROR(MATCH($H423,GradeList,0),0))</f>
        <v>0</v>
      </c>
      <c r="O423" s="64" t="n">
        <f aca="false">IF(OR($I423="",$I423="NR"),0,IFERROR(MATCH($I423,GradeList,0),0))</f>
        <v>0</v>
      </c>
      <c r="P423" s="64" t="n">
        <f aca="false">IF(AND($M423&gt;0,ISNUMBER(MATCH($F423,Lists!$A$2:$A$5,0)),ISNUMBER(MATCH($G423,Lists!$B$2:$B$7,0)),OR($H423="",$N423&gt;0),OR($I423="",$I423="NR",$O423&gt;0),IF(ISNUMBER($J423),AND($J423&gt;=0,$J423=INT($J423)),FALSE())),$J423,0)</f>
        <v>0</v>
      </c>
      <c r="Q423" s="64" t="n">
        <f aca="false">IF(AND($P423&gt;0,$O423&gt;0),$P423,0)</f>
        <v>0</v>
      </c>
      <c r="R423" s="64" t="n">
        <f aca="false">IF(AND($Q423&gt;0,$O423&gt;=AtRank),$Q423,0)</f>
        <v>0</v>
      </c>
      <c r="S423" s="64" t="n">
        <f aca="false">IF(AND($Q423&gt;0,$O423&gt;=AboveRank),$Q423,0)</f>
        <v>0</v>
      </c>
      <c r="T423" s="64" t="n">
        <f aca="false">IF($K423="Less",$P423,0)</f>
        <v>0</v>
      </c>
      <c r="U423" s="64" t="n">
        <f aca="false">IF($K423="Expected",$P423,0)</f>
        <v>0</v>
      </c>
      <c r="V423" s="64" t="n">
        <f aca="false">IF($K423="Better",$P423,0)</f>
        <v>0</v>
      </c>
      <c r="W423" s="64" t="n">
        <f aca="false">IF($K423="U – needs rule",$P423,0)</f>
        <v>0</v>
      </c>
      <c r="X423" s="64" t="n">
        <f aca="false">IF($K423="No Start (attainment only)",$P423,0)</f>
        <v>0</v>
      </c>
    </row>
    <row r="424" customFormat="false" ht="15" hidden="false" customHeight="false" outlineLevel="0" collapsed="false">
      <c r="A424" s="60"/>
      <c r="B424" s="61" t="str">
        <f aca="false">IF($M424=0,"",INDEX(Classes!$E$6:$E$420,$M424))</f>
        <v/>
      </c>
      <c r="C424" s="62" t="str">
        <f aca="false">IF($M424=0,"",INDEX(Classes!$H$6:$H$420,$M424))</f>
        <v/>
      </c>
      <c r="D424" s="61" t="str">
        <f aca="false">IF($M424=0,"",INDEX(Classes!$B$6:$B$420,$M424))</f>
        <v/>
      </c>
      <c r="E424" s="61" t="str">
        <f aca="false">IF($M424=0,"",INDEX(Classes!$C$6:$C$420,$M424))</f>
        <v/>
      </c>
      <c r="F424" s="63"/>
      <c r="G424" s="63"/>
      <c r="H424" s="60"/>
      <c r="I424" s="60"/>
      <c r="J424" s="63"/>
      <c r="K424" s="61" t="str">
        <f aca="false">IF($P424=0,"",IF($F424="Baseline","— Baseline",IF($O424=0,"No result",IF($N424=0,"No Start (attainment only)",IF(OR($N424=1,$O424=1),"U – needs rule",INDEX(MxBody,MATCH($I424,MxCurr,0),MATCH($H424,MxStart,0)))))))</f>
        <v/>
      </c>
      <c r="L424" s="62" t="str">
        <f aca="false">IF(COUNTA($A424,$F424,$G424,$H424,$I424,$J424)=0,"",IF($M424=0,"✖ كود الصف غير موجود",IF(ISNA(MATCH($F424,Lists!$A$2:$A$5,0)),"✖ الفترة غير صحيحة",IF(ISNA(MATCH($G424,Lists!$B$2:$B$7,0)),"✖ المجموعة غير صحيحة",IF(NOT(OR($H424="",$N424&gt;0)),"✖ Start غير صحيح",IF(NOT(OR($I424="",$I424="NR",$O424&gt;0)),"✖ Current غير صحيح",IF(NOT(IF(ISNUMBER($J424),AND($J424&gt;=0,$J424=INT($J424)),FALSE())),"✖ العدد يجب أن يكون صحيحًا ≥ 0",IF(AND($F424="Baseline",$H424&lt;&gt;""),"⚠ Baseline: Start لا يدخل في التقدم",IF($K424="No Start (attainment only)","ℹ تحصيل فقط (بدون Start)",IF($K424="U – needs rule","ℹ حالة U تحتاج قاعدة معتمدة",IF($K424="No result","ℹ بدون نتيجة (يُستبعد من التحصيل)","OK")))))))))))</f>
        <v/>
      </c>
      <c r="M424" s="64" t="n">
        <f aca="false">IF($A424="",0,IFERROR(MATCH($A424,Classes!$A$6:$A$420,0),0))</f>
        <v>0</v>
      </c>
      <c r="N424" s="64" t="n">
        <f aca="false">IF($H424="",0,IFERROR(MATCH($H424,GradeList,0),0))</f>
        <v>0</v>
      </c>
      <c r="O424" s="64" t="n">
        <f aca="false">IF(OR($I424="",$I424="NR"),0,IFERROR(MATCH($I424,GradeList,0),0))</f>
        <v>0</v>
      </c>
      <c r="P424" s="64" t="n">
        <f aca="false">IF(AND($M424&gt;0,ISNUMBER(MATCH($F424,Lists!$A$2:$A$5,0)),ISNUMBER(MATCH($G424,Lists!$B$2:$B$7,0)),OR($H424="",$N424&gt;0),OR($I424="",$I424="NR",$O424&gt;0),IF(ISNUMBER($J424),AND($J424&gt;=0,$J424=INT($J424)),FALSE())),$J424,0)</f>
        <v>0</v>
      </c>
      <c r="Q424" s="64" t="n">
        <f aca="false">IF(AND($P424&gt;0,$O424&gt;0),$P424,0)</f>
        <v>0</v>
      </c>
      <c r="R424" s="64" t="n">
        <f aca="false">IF(AND($Q424&gt;0,$O424&gt;=AtRank),$Q424,0)</f>
        <v>0</v>
      </c>
      <c r="S424" s="64" t="n">
        <f aca="false">IF(AND($Q424&gt;0,$O424&gt;=AboveRank),$Q424,0)</f>
        <v>0</v>
      </c>
      <c r="T424" s="64" t="n">
        <f aca="false">IF($K424="Less",$P424,0)</f>
        <v>0</v>
      </c>
      <c r="U424" s="64" t="n">
        <f aca="false">IF($K424="Expected",$P424,0)</f>
        <v>0</v>
      </c>
      <c r="V424" s="64" t="n">
        <f aca="false">IF($K424="Better",$P424,0)</f>
        <v>0</v>
      </c>
      <c r="W424" s="64" t="n">
        <f aca="false">IF($K424="U – needs rule",$P424,0)</f>
        <v>0</v>
      </c>
      <c r="X424" s="64" t="n">
        <f aca="false">IF($K424="No Start (attainment only)",$P424,0)</f>
        <v>0</v>
      </c>
    </row>
    <row r="425" customFormat="false" ht="15" hidden="false" customHeight="false" outlineLevel="0" collapsed="false">
      <c r="A425" s="60"/>
      <c r="B425" s="61" t="str">
        <f aca="false">IF($M425=0,"",INDEX(Classes!$E$6:$E$420,$M425))</f>
        <v/>
      </c>
      <c r="C425" s="62" t="str">
        <f aca="false">IF($M425=0,"",INDEX(Classes!$H$6:$H$420,$M425))</f>
        <v/>
      </c>
      <c r="D425" s="61" t="str">
        <f aca="false">IF($M425=0,"",INDEX(Classes!$B$6:$B$420,$M425))</f>
        <v/>
      </c>
      <c r="E425" s="61" t="str">
        <f aca="false">IF($M425=0,"",INDEX(Classes!$C$6:$C$420,$M425))</f>
        <v/>
      </c>
      <c r="F425" s="63"/>
      <c r="G425" s="63"/>
      <c r="H425" s="60"/>
      <c r="I425" s="60"/>
      <c r="J425" s="63"/>
      <c r="K425" s="61" t="str">
        <f aca="false">IF($P425=0,"",IF($F425="Baseline","— Baseline",IF($O425=0,"No result",IF($N425=0,"No Start (attainment only)",IF(OR($N425=1,$O425=1),"U – needs rule",INDEX(MxBody,MATCH($I425,MxCurr,0),MATCH($H425,MxStart,0)))))))</f>
        <v/>
      </c>
      <c r="L425" s="62" t="str">
        <f aca="false">IF(COUNTA($A425,$F425,$G425,$H425,$I425,$J425)=0,"",IF($M425=0,"✖ كود الصف غير موجود",IF(ISNA(MATCH($F425,Lists!$A$2:$A$5,0)),"✖ الفترة غير صحيحة",IF(ISNA(MATCH($G425,Lists!$B$2:$B$7,0)),"✖ المجموعة غير صحيحة",IF(NOT(OR($H425="",$N425&gt;0)),"✖ Start غير صحيح",IF(NOT(OR($I425="",$I425="NR",$O425&gt;0)),"✖ Current غير صحيح",IF(NOT(IF(ISNUMBER($J425),AND($J425&gt;=0,$J425=INT($J425)),FALSE())),"✖ العدد يجب أن يكون صحيحًا ≥ 0",IF(AND($F425="Baseline",$H425&lt;&gt;""),"⚠ Baseline: Start لا يدخل في التقدم",IF($K425="No Start (attainment only)","ℹ تحصيل فقط (بدون Start)",IF($K425="U – needs rule","ℹ حالة U تحتاج قاعدة معتمدة",IF($K425="No result","ℹ بدون نتيجة (يُستبعد من التحصيل)","OK")))))))))))</f>
        <v/>
      </c>
      <c r="M425" s="64" t="n">
        <f aca="false">IF($A425="",0,IFERROR(MATCH($A425,Classes!$A$6:$A$420,0),0))</f>
        <v>0</v>
      </c>
      <c r="N425" s="64" t="n">
        <f aca="false">IF($H425="",0,IFERROR(MATCH($H425,GradeList,0),0))</f>
        <v>0</v>
      </c>
      <c r="O425" s="64" t="n">
        <f aca="false">IF(OR($I425="",$I425="NR"),0,IFERROR(MATCH($I425,GradeList,0),0))</f>
        <v>0</v>
      </c>
      <c r="P425" s="64" t="n">
        <f aca="false">IF(AND($M425&gt;0,ISNUMBER(MATCH($F425,Lists!$A$2:$A$5,0)),ISNUMBER(MATCH($G425,Lists!$B$2:$B$7,0)),OR($H425="",$N425&gt;0),OR($I425="",$I425="NR",$O425&gt;0),IF(ISNUMBER($J425),AND($J425&gt;=0,$J425=INT($J425)),FALSE())),$J425,0)</f>
        <v>0</v>
      </c>
      <c r="Q425" s="64" t="n">
        <f aca="false">IF(AND($P425&gt;0,$O425&gt;0),$P425,0)</f>
        <v>0</v>
      </c>
      <c r="R425" s="64" t="n">
        <f aca="false">IF(AND($Q425&gt;0,$O425&gt;=AtRank),$Q425,0)</f>
        <v>0</v>
      </c>
      <c r="S425" s="64" t="n">
        <f aca="false">IF(AND($Q425&gt;0,$O425&gt;=AboveRank),$Q425,0)</f>
        <v>0</v>
      </c>
      <c r="T425" s="64" t="n">
        <f aca="false">IF($K425="Less",$P425,0)</f>
        <v>0</v>
      </c>
      <c r="U425" s="64" t="n">
        <f aca="false">IF($K425="Expected",$P425,0)</f>
        <v>0</v>
      </c>
      <c r="V425" s="64" t="n">
        <f aca="false">IF($K425="Better",$P425,0)</f>
        <v>0</v>
      </c>
      <c r="W425" s="64" t="n">
        <f aca="false">IF($K425="U – needs rule",$P425,0)</f>
        <v>0</v>
      </c>
      <c r="X425" s="64" t="n">
        <f aca="false">IF($K425="No Start (attainment only)",$P425,0)</f>
        <v>0</v>
      </c>
    </row>
    <row r="426" customFormat="false" ht="15" hidden="false" customHeight="false" outlineLevel="0" collapsed="false">
      <c r="A426" s="60"/>
      <c r="B426" s="61" t="str">
        <f aca="false">IF($M426=0,"",INDEX(Classes!$E$6:$E$420,$M426))</f>
        <v/>
      </c>
      <c r="C426" s="62" t="str">
        <f aca="false">IF($M426=0,"",INDEX(Classes!$H$6:$H$420,$M426))</f>
        <v/>
      </c>
      <c r="D426" s="61" t="str">
        <f aca="false">IF($M426=0,"",INDEX(Classes!$B$6:$B$420,$M426))</f>
        <v/>
      </c>
      <c r="E426" s="61" t="str">
        <f aca="false">IF($M426=0,"",INDEX(Classes!$C$6:$C$420,$M426))</f>
        <v/>
      </c>
      <c r="F426" s="63"/>
      <c r="G426" s="63"/>
      <c r="H426" s="60"/>
      <c r="I426" s="60"/>
      <c r="J426" s="63"/>
      <c r="K426" s="61" t="str">
        <f aca="false">IF($P426=0,"",IF($F426="Baseline","— Baseline",IF($O426=0,"No result",IF($N426=0,"No Start (attainment only)",IF(OR($N426=1,$O426=1),"U – needs rule",INDEX(MxBody,MATCH($I426,MxCurr,0),MATCH($H426,MxStart,0)))))))</f>
        <v/>
      </c>
      <c r="L426" s="62" t="str">
        <f aca="false">IF(COUNTA($A426,$F426,$G426,$H426,$I426,$J426)=0,"",IF($M426=0,"✖ كود الصف غير موجود",IF(ISNA(MATCH($F426,Lists!$A$2:$A$5,0)),"✖ الفترة غير صحيحة",IF(ISNA(MATCH($G426,Lists!$B$2:$B$7,0)),"✖ المجموعة غير صحيحة",IF(NOT(OR($H426="",$N426&gt;0)),"✖ Start غير صحيح",IF(NOT(OR($I426="",$I426="NR",$O426&gt;0)),"✖ Current غير صحيح",IF(NOT(IF(ISNUMBER($J426),AND($J426&gt;=0,$J426=INT($J426)),FALSE())),"✖ العدد يجب أن يكون صحيحًا ≥ 0",IF(AND($F426="Baseline",$H426&lt;&gt;""),"⚠ Baseline: Start لا يدخل في التقدم",IF($K426="No Start (attainment only)","ℹ تحصيل فقط (بدون Start)",IF($K426="U – needs rule","ℹ حالة U تحتاج قاعدة معتمدة",IF($K426="No result","ℹ بدون نتيجة (يُستبعد من التحصيل)","OK")))))))))))</f>
        <v/>
      </c>
      <c r="M426" s="64" t="n">
        <f aca="false">IF($A426="",0,IFERROR(MATCH($A426,Classes!$A$6:$A$420,0),0))</f>
        <v>0</v>
      </c>
      <c r="N426" s="64" t="n">
        <f aca="false">IF($H426="",0,IFERROR(MATCH($H426,GradeList,0),0))</f>
        <v>0</v>
      </c>
      <c r="O426" s="64" t="n">
        <f aca="false">IF(OR($I426="",$I426="NR"),0,IFERROR(MATCH($I426,GradeList,0),0))</f>
        <v>0</v>
      </c>
      <c r="P426" s="64" t="n">
        <f aca="false">IF(AND($M426&gt;0,ISNUMBER(MATCH($F426,Lists!$A$2:$A$5,0)),ISNUMBER(MATCH($G426,Lists!$B$2:$B$7,0)),OR($H426="",$N426&gt;0),OR($I426="",$I426="NR",$O426&gt;0),IF(ISNUMBER($J426),AND($J426&gt;=0,$J426=INT($J426)),FALSE())),$J426,0)</f>
        <v>0</v>
      </c>
      <c r="Q426" s="64" t="n">
        <f aca="false">IF(AND($P426&gt;0,$O426&gt;0),$P426,0)</f>
        <v>0</v>
      </c>
      <c r="R426" s="64" t="n">
        <f aca="false">IF(AND($Q426&gt;0,$O426&gt;=AtRank),$Q426,0)</f>
        <v>0</v>
      </c>
      <c r="S426" s="64" t="n">
        <f aca="false">IF(AND($Q426&gt;0,$O426&gt;=AboveRank),$Q426,0)</f>
        <v>0</v>
      </c>
      <c r="T426" s="64" t="n">
        <f aca="false">IF($K426="Less",$P426,0)</f>
        <v>0</v>
      </c>
      <c r="U426" s="64" t="n">
        <f aca="false">IF($K426="Expected",$P426,0)</f>
        <v>0</v>
      </c>
      <c r="V426" s="64" t="n">
        <f aca="false">IF($K426="Better",$P426,0)</f>
        <v>0</v>
      </c>
      <c r="W426" s="64" t="n">
        <f aca="false">IF($K426="U – needs rule",$P426,0)</f>
        <v>0</v>
      </c>
      <c r="X426" s="64" t="n">
        <f aca="false">IF($K426="No Start (attainment only)",$P426,0)</f>
        <v>0</v>
      </c>
    </row>
    <row r="427" customFormat="false" ht="15" hidden="false" customHeight="false" outlineLevel="0" collapsed="false">
      <c r="A427" s="60"/>
      <c r="B427" s="61" t="str">
        <f aca="false">IF($M427=0,"",INDEX(Classes!$E$6:$E$420,$M427))</f>
        <v/>
      </c>
      <c r="C427" s="62" t="str">
        <f aca="false">IF($M427=0,"",INDEX(Classes!$H$6:$H$420,$M427))</f>
        <v/>
      </c>
      <c r="D427" s="61" t="str">
        <f aca="false">IF($M427=0,"",INDEX(Classes!$B$6:$B$420,$M427))</f>
        <v/>
      </c>
      <c r="E427" s="61" t="str">
        <f aca="false">IF($M427=0,"",INDEX(Classes!$C$6:$C$420,$M427))</f>
        <v/>
      </c>
      <c r="F427" s="63"/>
      <c r="G427" s="63"/>
      <c r="H427" s="60"/>
      <c r="I427" s="60"/>
      <c r="J427" s="63"/>
      <c r="K427" s="61" t="str">
        <f aca="false">IF($P427=0,"",IF($F427="Baseline","— Baseline",IF($O427=0,"No result",IF($N427=0,"No Start (attainment only)",IF(OR($N427=1,$O427=1),"U – needs rule",INDEX(MxBody,MATCH($I427,MxCurr,0),MATCH($H427,MxStart,0)))))))</f>
        <v/>
      </c>
      <c r="L427" s="62" t="str">
        <f aca="false">IF(COUNTA($A427,$F427,$G427,$H427,$I427,$J427)=0,"",IF($M427=0,"✖ كود الصف غير موجود",IF(ISNA(MATCH($F427,Lists!$A$2:$A$5,0)),"✖ الفترة غير صحيحة",IF(ISNA(MATCH($G427,Lists!$B$2:$B$7,0)),"✖ المجموعة غير صحيحة",IF(NOT(OR($H427="",$N427&gt;0)),"✖ Start غير صحيح",IF(NOT(OR($I427="",$I427="NR",$O427&gt;0)),"✖ Current غير صحيح",IF(NOT(IF(ISNUMBER($J427),AND($J427&gt;=0,$J427=INT($J427)),FALSE())),"✖ العدد يجب أن يكون صحيحًا ≥ 0",IF(AND($F427="Baseline",$H427&lt;&gt;""),"⚠ Baseline: Start لا يدخل في التقدم",IF($K427="No Start (attainment only)","ℹ تحصيل فقط (بدون Start)",IF($K427="U – needs rule","ℹ حالة U تحتاج قاعدة معتمدة",IF($K427="No result","ℹ بدون نتيجة (يُستبعد من التحصيل)","OK")))))))))))</f>
        <v/>
      </c>
      <c r="M427" s="64" t="n">
        <f aca="false">IF($A427="",0,IFERROR(MATCH($A427,Classes!$A$6:$A$420,0),0))</f>
        <v>0</v>
      </c>
      <c r="N427" s="64" t="n">
        <f aca="false">IF($H427="",0,IFERROR(MATCH($H427,GradeList,0),0))</f>
        <v>0</v>
      </c>
      <c r="O427" s="64" t="n">
        <f aca="false">IF(OR($I427="",$I427="NR"),0,IFERROR(MATCH($I427,GradeList,0),0))</f>
        <v>0</v>
      </c>
      <c r="P427" s="64" t="n">
        <f aca="false">IF(AND($M427&gt;0,ISNUMBER(MATCH($F427,Lists!$A$2:$A$5,0)),ISNUMBER(MATCH($G427,Lists!$B$2:$B$7,0)),OR($H427="",$N427&gt;0),OR($I427="",$I427="NR",$O427&gt;0),IF(ISNUMBER($J427),AND($J427&gt;=0,$J427=INT($J427)),FALSE())),$J427,0)</f>
        <v>0</v>
      </c>
      <c r="Q427" s="64" t="n">
        <f aca="false">IF(AND($P427&gt;0,$O427&gt;0),$P427,0)</f>
        <v>0</v>
      </c>
      <c r="R427" s="64" t="n">
        <f aca="false">IF(AND($Q427&gt;0,$O427&gt;=AtRank),$Q427,0)</f>
        <v>0</v>
      </c>
      <c r="S427" s="64" t="n">
        <f aca="false">IF(AND($Q427&gt;0,$O427&gt;=AboveRank),$Q427,0)</f>
        <v>0</v>
      </c>
      <c r="T427" s="64" t="n">
        <f aca="false">IF($K427="Less",$P427,0)</f>
        <v>0</v>
      </c>
      <c r="U427" s="64" t="n">
        <f aca="false">IF($K427="Expected",$P427,0)</f>
        <v>0</v>
      </c>
      <c r="V427" s="64" t="n">
        <f aca="false">IF($K427="Better",$P427,0)</f>
        <v>0</v>
      </c>
      <c r="W427" s="64" t="n">
        <f aca="false">IF($K427="U – needs rule",$P427,0)</f>
        <v>0</v>
      </c>
      <c r="X427" s="64" t="n">
        <f aca="false">IF($K427="No Start (attainment only)",$P427,0)</f>
        <v>0</v>
      </c>
    </row>
    <row r="428" customFormat="false" ht="15" hidden="false" customHeight="false" outlineLevel="0" collapsed="false">
      <c r="A428" s="60"/>
      <c r="B428" s="61" t="str">
        <f aca="false">IF($M428=0,"",INDEX(Classes!$E$6:$E$420,$M428))</f>
        <v/>
      </c>
      <c r="C428" s="62" t="str">
        <f aca="false">IF($M428=0,"",INDEX(Classes!$H$6:$H$420,$M428))</f>
        <v/>
      </c>
      <c r="D428" s="61" t="str">
        <f aca="false">IF($M428=0,"",INDEX(Classes!$B$6:$B$420,$M428))</f>
        <v/>
      </c>
      <c r="E428" s="61" t="str">
        <f aca="false">IF($M428=0,"",INDEX(Classes!$C$6:$C$420,$M428))</f>
        <v/>
      </c>
      <c r="F428" s="63"/>
      <c r="G428" s="63"/>
      <c r="H428" s="60"/>
      <c r="I428" s="60"/>
      <c r="J428" s="63"/>
      <c r="K428" s="61" t="str">
        <f aca="false">IF($P428=0,"",IF($F428="Baseline","— Baseline",IF($O428=0,"No result",IF($N428=0,"No Start (attainment only)",IF(OR($N428=1,$O428=1),"U – needs rule",INDEX(MxBody,MATCH($I428,MxCurr,0),MATCH($H428,MxStart,0)))))))</f>
        <v/>
      </c>
      <c r="L428" s="62" t="str">
        <f aca="false">IF(COUNTA($A428,$F428,$G428,$H428,$I428,$J428)=0,"",IF($M428=0,"✖ كود الصف غير موجود",IF(ISNA(MATCH($F428,Lists!$A$2:$A$5,0)),"✖ الفترة غير صحيحة",IF(ISNA(MATCH($G428,Lists!$B$2:$B$7,0)),"✖ المجموعة غير صحيحة",IF(NOT(OR($H428="",$N428&gt;0)),"✖ Start غير صحيح",IF(NOT(OR($I428="",$I428="NR",$O428&gt;0)),"✖ Current غير صحيح",IF(NOT(IF(ISNUMBER($J428),AND($J428&gt;=0,$J428=INT($J428)),FALSE())),"✖ العدد يجب أن يكون صحيحًا ≥ 0",IF(AND($F428="Baseline",$H428&lt;&gt;""),"⚠ Baseline: Start لا يدخل في التقدم",IF($K428="No Start (attainment only)","ℹ تحصيل فقط (بدون Start)",IF($K428="U – needs rule","ℹ حالة U تحتاج قاعدة معتمدة",IF($K428="No result","ℹ بدون نتيجة (يُستبعد من التحصيل)","OK")))))))))))</f>
        <v/>
      </c>
      <c r="M428" s="64" t="n">
        <f aca="false">IF($A428="",0,IFERROR(MATCH($A428,Classes!$A$6:$A$420,0),0))</f>
        <v>0</v>
      </c>
      <c r="N428" s="64" t="n">
        <f aca="false">IF($H428="",0,IFERROR(MATCH($H428,GradeList,0),0))</f>
        <v>0</v>
      </c>
      <c r="O428" s="64" t="n">
        <f aca="false">IF(OR($I428="",$I428="NR"),0,IFERROR(MATCH($I428,GradeList,0),0))</f>
        <v>0</v>
      </c>
      <c r="P428" s="64" t="n">
        <f aca="false">IF(AND($M428&gt;0,ISNUMBER(MATCH($F428,Lists!$A$2:$A$5,0)),ISNUMBER(MATCH($G428,Lists!$B$2:$B$7,0)),OR($H428="",$N428&gt;0),OR($I428="",$I428="NR",$O428&gt;0),IF(ISNUMBER($J428),AND($J428&gt;=0,$J428=INT($J428)),FALSE())),$J428,0)</f>
        <v>0</v>
      </c>
      <c r="Q428" s="64" t="n">
        <f aca="false">IF(AND($P428&gt;0,$O428&gt;0),$P428,0)</f>
        <v>0</v>
      </c>
      <c r="R428" s="64" t="n">
        <f aca="false">IF(AND($Q428&gt;0,$O428&gt;=AtRank),$Q428,0)</f>
        <v>0</v>
      </c>
      <c r="S428" s="64" t="n">
        <f aca="false">IF(AND($Q428&gt;0,$O428&gt;=AboveRank),$Q428,0)</f>
        <v>0</v>
      </c>
      <c r="T428" s="64" t="n">
        <f aca="false">IF($K428="Less",$P428,0)</f>
        <v>0</v>
      </c>
      <c r="U428" s="64" t="n">
        <f aca="false">IF($K428="Expected",$P428,0)</f>
        <v>0</v>
      </c>
      <c r="V428" s="64" t="n">
        <f aca="false">IF($K428="Better",$P428,0)</f>
        <v>0</v>
      </c>
      <c r="W428" s="64" t="n">
        <f aca="false">IF($K428="U – needs rule",$P428,0)</f>
        <v>0</v>
      </c>
      <c r="X428" s="64" t="n">
        <f aca="false">IF($K428="No Start (attainment only)",$P428,0)</f>
        <v>0</v>
      </c>
    </row>
    <row r="429" customFormat="false" ht="15" hidden="false" customHeight="false" outlineLevel="0" collapsed="false">
      <c r="A429" s="60"/>
      <c r="B429" s="61" t="str">
        <f aca="false">IF($M429=0,"",INDEX(Classes!$E$6:$E$420,$M429))</f>
        <v/>
      </c>
      <c r="C429" s="62" t="str">
        <f aca="false">IF($M429=0,"",INDEX(Classes!$H$6:$H$420,$M429))</f>
        <v/>
      </c>
      <c r="D429" s="61" t="str">
        <f aca="false">IF($M429=0,"",INDEX(Classes!$B$6:$B$420,$M429))</f>
        <v/>
      </c>
      <c r="E429" s="61" t="str">
        <f aca="false">IF($M429=0,"",INDEX(Classes!$C$6:$C$420,$M429))</f>
        <v/>
      </c>
      <c r="F429" s="63"/>
      <c r="G429" s="63"/>
      <c r="H429" s="60"/>
      <c r="I429" s="60"/>
      <c r="J429" s="63"/>
      <c r="K429" s="61" t="str">
        <f aca="false">IF($P429=0,"",IF($F429="Baseline","— Baseline",IF($O429=0,"No result",IF($N429=0,"No Start (attainment only)",IF(OR($N429=1,$O429=1),"U – needs rule",INDEX(MxBody,MATCH($I429,MxCurr,0),MATCH($H429,MxStart,0)))))))</f>
        <v/>
      </c>
      <c r="L429" s="62" t="str">
        <f aca="false">IF(COUNTA($A429,$F429,$G429,$H429,$I429,$J429)=0,"",IF($M429=0,"✖ كود الصف غير موجود",IF(ISNA(MATCH($F429,Lists!$A$2:$A$5,0)),"✖ الفترة غير صحيحة",IF(ISNA(MATCH($G429,Lists!$B$2:$B$7,0)),"✖ المجموعة غير صحيحة",IF(NOT(OR($H429="",$N429&gt;0)),"✖ Start غير صحيح",IF(NOT(OR($I429="",$I429="NR",$O429&gt;0)),"✖ Current غير صحيح",IF(NOT(IF(ISNUMBER($J429),AND($J429&gt;=0,$J429=INT($J429)),FALSE())),"✖ العدد يجب أن يكون صحيحًا ≥ 0",IF(AND($F429="Baseline",$H429&lt;&gt;""),"⚠ Baseline: Start لا يدخل في التقدم",IF($K429="No Start (attainment only)","ℹ تحصيل فقط (بدون Start)",IF($K429="U – needs rule","ℹ حالة U تحتاج قاعدة معتمدة",IF($K429="No result","ℹ بدون نتيجة (يُستبعد من التحصيل)","OK")))))))))))</f>
        <v/>
      </c>
      <c r="M429" s="64" t="n">
        <f aca="false">IF($A429="",0,IFERROR(MATCH($A429,Classes!$A$6:$A$420,0),0))</f>
        <v>0</v>
      </c>
      <c r="N429" s="64" t="n">
        <f aca="false">IF($H429="",0,IFERROR(MATCH($H429,GradeList,0),0))</f>
        <v>0</v>
      </c>
      <c r="O429" s="64" t="n">
        <f aca="false">IF(OR($I429="",$I429="NR"),0,IFERROR(MATCH($I429,GradeList,0),0))</f>
        <v>0</v>
      </c>
      <c r="P429" s="64" t="n">
        <f aca="false">IF(AND($M429&gt;0,ISNUMBER(MATCH($F429,Lists!$A$2:$A$5,0)),ISNUMBER(MATCH($G429,Lists!$B$2:$B$7,0)),OR($H429="",$N429&gt;0),OR($I429="",$I429="NR",$O429&gt;0),IF(ISNUMBER($J429),AND($J429&gt;=0,$J429=INT($J429)),FALSE())),$J429,0)</f>
        <v>0</v>
      </c>
      <c r="Q429" s="64" t="n">
        <f aca="false">IF(AND($P429&gt;0,$O429&gt;0),$P429,0)</f>
        <v>0</v>
      </c>
      <c r="R429" s="64" t="n">
        <f aca="false">IF(AND($Q429&gt;0,$O429&gt;=AtRank),$Q429,0)</f>
        <v>0</v>
      </c>
      <c r="S429" s="64" t="n">
        <f aca="false">IF(AND($Q429&gt;0,$O429&gt;=AboveRank),$Q429,0)</f>
        <v>0</v>
      </c>
      <c r="T429" s="64" t="n">
        <f aca="false">IF($K429="Less",$P429,0)</f>
        <v>0</v>
      </c>
      <c r="U429" s="64" t="n">
        <f aca="false">IF($K429="Expected",$P429,0)</f>
        <v>0</v>
      </c>
      <c r="V429" s="64" t="n">
        <f aca="false">IF($K429="Better",$P429,0)</f>
        <v>0</v>
      </c>
      <c r="W429" s="64" t="n">
        <f aca="false">IF($K429="U – needs rule",$P429,0)</f>
        <v>0</v>
      </c>
      <c r="X429" s="64" t="n">
        <f aca="false">IF($K429="No Start (attainment only)",$P429,0)</f>
        <v>0</v>
      </c>
    </row>
    <row r="430" customFormat="false" ht="15" hidden="false" customHeight="false" outlineLevel="0" collapsed="false">
      <c r="A430" s="60"/>
      <c r="B430" s="61" t="str">
        <f aca="false">IF($M430=0,"",INDEX(Classes!$E$6:$E$420,$M430))</f>
        <v/>
      </c>
      <c r="C430" s="62" t="str">
        <f aca="false">IF($M430=0,"",INDEX(Classes!$H$6:$H$420,$M430))</f>
        <v/>
      </c>
      <c r="D430" s="61" t="str">
        <f aca="false">IF($M430=0,"",INDEX(Classes!$B$6:$B$420,$M430))</f>
        <v/>
      </c>
      <c r="E430" s="61" t="str">
        <f aca="false">IF($M430=0,"",INDEX(Classes!$C$6:$C$420,$M430))</f>
        <v/>
      </c>
      <c r="F430" s="63"/>
      <c r="G430" s="63"/>
      <c r="H430" s="60"/>
      <c r="I430" s="60"/>
      <c r="J430" s="63"/>
      <c r="K430" s="61" t="str">
        <f aca="false">IF($P430=0,"",IF($F430="Baseline","— Baseline",IF($O430=0,"No result",IF($N430=0,"No Start (attainment only)",IF(OR($N430=1,$O430=1),"U – needs rule",INDEX(MxBody,MATCH($I430,MxCurr,0),MATCH($H430,MxStart,0)))))))</f>
        <v/>
      </c>
      <c r="L430" s="62" t="str">
        <f aca="false">IF(COUNTA($A430,$F430,$G430,$H430,$I430,$J430)=0,"",IF($M430=0,"✖ كود الصف غير موجود",IF(ISNA(MATCH($F430,Lists!$A$2:$A$5,0)),"✖ الفترة غير صحيحة",IF(ISNA(MATCH($G430,Lists!$B$2:$B$7,0)),"✖ المجموعة غير صحيحة",IF(NOT(OR($H430="",$N430&gt;0)),"✖ Start غير صحيح",IF(NOT(OR($I430="",$I430="NR",$O430&gt;0)),"✖ Current غير صحيح",IF(NOT(IF(ISNUMBER($J430),AND($J430&gt;=0,$J430=INT($J430)),FALSE())),"✖ العدد يجب أن يكون صحيحًا ≥ 0",IF(AND($F430="Baseline",$H430&lt;&gt;""),"⚠ Baseline: Start لا يدخل في التقدم",IF($K430="No Start (attainment only)","ℹ تحصيل فقط (بدون Start)",IF($K430="U – needs rule","ℹ حالة U تحتاج قاعدة معتمدة",IF($K430="No result","ℹ بدون نتيجة (يُستبعد من التحصيل)","OK")))))))))))</f>
        <v/>
      </c>
      <c r="M430" s="64" t="n">
        <f aca="false">IF($A430="",0,IFERROR(MATCH($A430,Classes!$A$6:$A$420,0),0))</f>
        <v>0</v>
      </c>
      <c r="N430" s="64" t="n">
        <f aca="false">IF($H430="",0,IFERROR(MATCH($H430,GradeList,0),0))</f>
        <v>0</v>
      </c>
      <c r="O430" s="64" t="n">
        <f aca="false">IF(OR($I430="",$I430="NR"),0,IFERROR(MATCH($I430,GradeList,0),0))</f>
        <v>0</v>
      </c>
      <c r="P430" s="64" t="n">
        <f aca="false">IF(AND($M430&gt;0,ISNUMBER(MATCH($F430,Lists!$A$2:$A$5,0)),ISNUMBER(MATCH($G430,Lists!$B$2:$B$7,0)),OR($H430="",$N430&gt;0),OR($I430="",$I430="NR",$O430&gt;0),IF(ISNUMBER($J430),AND($J430&gt;=0,$J430=INT($J430)),FALSE())),$J430,0)</f>
        <v>0</v>
      </c>
      <c r="Q430" s="64" t="n">
        <f aca="false">IF(AND($P430&gt;0,$O430&gt;0),$P430,0)</f>
        <v>0</v>
      </c>
      <c r="R430" s="64" t="n">
        <f aca="false">IF(AND($Q430&gt;0,$O430&gt;=AtRank),$Q430,0)</f>
        <v>0</v>
      </c>
      <c r="S430" s="64" t="n">
        <f aca="false">IF(AND($Q430&gt;0,$O430&gt;=AboveRank),$Q430,0)</f>
        <v>0</v>
      </c>
      <c r="T430" s="64" t="n">
        <f aca="false">IF($K430="Less",$P430,0)</f>
        <v>0</v>
      </c>
      <c r="U430" s="64" t="n">
        <f aca="false">IF($K430="Expected",$P430,0)</f>
        <v>0</v>
      </c>
      <c r="V430" s="64" t="n">
        <f aca="false">IF($K430="Better",$P430,0)</f>
        <v>0</v>
      </c>
      <c r="W430" s="64" t="n">
        <f aca="false">IF($K430="U – needs rule",$P430,0)</f>
        <v>0</v>
      </c>
      <c r="X430" s="64" t="n">
        <f aca="false">IF($K430="No Start (attainment only)",$P430,0)</f>
        <v>0</v>
      </c>
    </row>
    <row r="431" customFormat="false" ht="15" hidden="false" customHeight="false" outlineLevel="0" collapsed="false">
      <c r="A431" s="60"/>
      <c r="B431" s="61" t="str">
        <f aca="false">IF($M431=0,"",INDEX(Classes!$E$6:$E$420,$M431))</f>
        <v/>
      </c>
      <c r="C431" s="62" t="str">
        <f aca="false">IF($M431=0,"",INDEX(Classes!$H$6:$H$420,$M431))</f>
        <v/>
      </c>
      <c r="D431" s="61" t="str">
        <f aca="false">IF($M431=0,"",INDEX(Classes!$B$6:$B$420,$M431))</f>
        <v/>
      </c>
      <c r="E431" s="61" t="str">
        <f aca="false">IF($M431=0,"",INDEX(Classes!$C$6:$C$420,$M431))</f>
        <v/>
      </c>
      <c r="F431" s="63"/>
      <c r="G431" s="63"/>
      <c r="H431" s="60"/>
      <c r="I431" s="60"/>
      <c r="J431" s="63"/>
      <c r="K431" s="61" t="str">
        <f aca="false">IF($P431=0,"",IF($F431="Baseline","— Baseline",IF($O431=0,"No result",IF($N431=0,"No Start (attainment only)",IF(OR($N431=1,$O431=1),"U – needs rule",INDEX(MxBody,MATCH($I431,MxCurr,0),MATCH($H431,MxStart,0)))))))</f>
        <v/>
      </c>
      <c r="L431" s="62" t="str">
        <f aca="false">IF(COUNTA($A431,$F431,$G431,$H431,$I431,$J431)=0,"",IF($M431=0,"✖ كود الصف غير موجود",IF(ISNA(MATCH($F431,Lists!$A$2:$A$5,0)),"✖ الفترة غير صحيحة",IF(ISNA(MATCH($G431,Lists!$B$2:$B$7,0)),"✖ المجموعة غير صحيحة",IF(NOT(OR($H431="",$N431&gt;0)),"✖ Start غير صحيح",IF(NOT(OR($I431="",$I431="NR",$O431&gt;0)),"✖ Current غير صحيح",IF(NOT(IF(ISNUMBER($J431),AND($J431&gt;=0,$J431=INT($J431)),FALSE())),"✖ العدد يجب أن يكون صحيحًا ≥ 0",IF(AND($F431="Baseline",$H431&lt;&gt;""),"⚠ Baseline: Start لا يدخل في التقدم",IF($K431="No Start (attainment only)","ℹ تحصيل فقط (بدون Start)",IF($K431="U – needs rule","ℹ حالة U تحتاج قاعدة معتمدة",IF($K431="No result","ℹ بدون نتيجة (يُستبعد من التحصيل)","OK")))))))))))</f>
        <v/>
      </c>
      <c r="M431" s="64" t="n">
        <f aca="false">IF($A431="",0,IFERROR(MATCH($A431,Classes!$A$6:$A$420,0),0))</f>
        <v>0</v>
      </c>
      <c r="N431" s="64" t="n">
        <f aca="false">IF($H431="",0,IFERROR(MATCH($H431,GradeList,0),0))</f>
        <v>0</v>
      </c>
      <c r="O431" s="64" t="n">
        <f aca="false">IF(OR($I431="",$I431="NR"),0,IFERROR(MATCH($I431,GradeList,0),0))</f>
        <v>0</v>
      </c>
      <c r="P431" s="64" t="n">
        <f aca="false">IF(AND($M431&gt;0,ISNUMBER(MATCH($F431,Lists!$A$2:$A$5,0)),ISNUMBER(MATCH($G431,Lists!$B$2:$B$7,0)),OR($H431="",$N431&gt;0),OR($I431="",$I431="NR",$O431&gt;0),IF(ISNUMBER($J431),AND($J431&gt;=0,$J431=INT($J431)),FALSE())),$J431,0)</f>
        <v>0</v>
      </c>
      <c r="Q431" s="64" t="n">
        <f aca="false">IF(AND($P431&gt;0,$O431&gt;0),$P431,0)</f>
        <v>0</v>
      </c>
      <c r="R431" s="64" t="n">
        <f aca="false">IF(AND($Q431&gt;0,$O431&gt;=AtRank),$Q431,0)</f>
        <v>0</v>
      </c>
      <c r="S431" s="64" t="n">
        <f aca="false">IF(AND($Q431&gt;0,$O431&gt;=AboveRank),$Q431,0)</f>
        <v>0</v>
      </c>
      <c r="T431" s="64" t="n">
        <f aca="false">IF($K431="Less",$P431,0)</f>
        <v>0</v>
      </c>
      <c r="U431" s="64" t="n">
        <f aca="false">IF($K431="Expected",$P431,0)</f>
        <v>0</v>
      </c>
      <c r="V431" s="64" t="n">
        <f aca="false">IF($K431="Better",$P431,0)</f>
        <v>0</v>
      </c>
      <c r="W431" s="64" t="n">
        <f aca="false">IF($K431="U – needs rule",$P431,0)</f>
        <v>0</v>
      </c>
      <c r="X431" s="64" t="n">
        <f aca="false">IF($K431="No Start (attainment only)",$P431,0)</f>
        <v>0</v>
      </c>
    </row>
    <row r="432" customFormat="false" ht="15" hidden="false" customHeight="false" outlineLevel="0" collapsed="false">
      <c r="A432" s="60"/>
      <c r="B432" s="61" t="str">
        <f aca="false">IF($M432=0,"",INDEX(Classes!$E$6:$E$420,$M432))</f>
        <v/>
      </c>
      <c r="C432" s="62" t="str">
        <f aca="false">IF($M432=0,"",INDEX(Classes!$H$6:$H$420,$M432))</f>
        <v/>
      </c>
      <c r="D432" s="61" t="str">
        <f aca="false">IF($M432=0,"",INDEX(Classes!$B$6:$B$420,$M432))</f>
        <v/>
      </c>
      <c r="E432" s="61" t="str">
        <f aca="false">IF($M432=0,"",INDEX(Classes!$C$6:$C$420,$M432))</f>
        <v/>
      </c>
      <c r="F432" s="63"/>
      <c r="G432" s="63"/>
      <c r="H432" s="60"/>
      <c r="I432" s="60"/>
      <c r="J432" s="63"/>
      <c r="K432" s="61" t="str">
        <f aca="false">IF($P432=0,"",IF($F432="Baseline","— Baseline",IF($O432=0,"No result",IF($N432=0,"No Start (attainment only)",IF(OR($N432=1,$O432=1),"U – needs rule",INDEX(MxBody,MATCH($I432,MxCurr,0),MATCH($H432,MxStart,0)))))))</f>
        <v/>
      </c>
      <c r="L432" s="62" t="str">
        <f aca="false">IF(COUNTA($A432,$F432,$G432,$H432,$I432,$J432)=0,"",IF($M432=0,"✖ كود الصف غير موجود",IF(ISNA(MATCH($F432,Lists!$A$2:$A$5,0)),"✖ الفترة غير صحيحة",IF(ISNA(MATCH($G432,Lists!$B$2:$B$7,0)),"✖ المجموعة غير صحيحة",IF(NOT(OR($H432="",$N432&gt;0)),"✖ Start غير صحيح",IF(NOT(OR($I432="",$I432="NR",$O432&gt;0)),"✖ Current غير صحيح",IF(NOT(IF(ISNUMBER($J432),AND($J432&gt;=0,$J432=INT($J432)),FALSE())),"✖ العدد يجب أن يكون صحيحًا ≥ 0",IF(AND($F432="Baseline",$H432&lt;&gt;""),"⚠ Baseline: Start لا يدخل في التقدم",IF($K432="No Start (attainment only)","ℹ تحصيل فقط (بدون Start)",IF($K432="U – needs rule","ℹ حالة U تحتاج قاعدة معتمدة",IF($K432="No result","ℹ بدون نتيجة (يُستبعد من التحصيل)","OK")))))))))))</f>
        <v/>
      </c>
      <c r="M432" s="64" t="n">
        <f aca="false">IF($A432="",0,IFERROR(MATCH($A432,Classes!$A$6:$A$420,0),0))</f>
        <v>0</v>
      </c>
      <c r="N432" s="64" t="n">
        <f aca="false">IF($H432="",0,IFERROR(MATCH($H432,GradeList,0),0))</f>
        <v>0</v>
      </c>
      <c r="O432" s="64" t="n">
        <f aca="false">IF(OR($I432="",$I432="NR"),0,IFERROR(MATCH($I432,GradeList,0),0))</f>
        <v>0</v>
      </c>
      <c r="P432" s="64" t="n">
        <f aca="false">IF(AND($M432&gt;0,ISNUMBER(MATCH($F432,Lists!$A$2:$A$5,0)),ISNUMBER(MATCH($G432,Lists!$B$2:$B$7,0)),OR($H432="",$N432&gt;0),OR($I432="",$I432="NR",$O432&gt;0),IF(ISNUMBER($J432),AND($J432&gt;=0,$J432=INT($J432)),FALSE())),$J432,0)</f>
        <v>0</v>
      </c>
      <c r="Q432" s="64" t="n">
        <f aca="false">IF(AND($P432&gt;0,$O432&gt;0),$P432,0)</f>
        <v>0</v>
      </c>
      <c r="R432" s="64" t="n">
        <f aca="false">IF(AND($Q432&gt;0,$O432&gt;=AtRank),$Q432,0)</f>
        <v>0</v>
      </c>
      <c r="S432" s="64" t="n">
        <f aca="false">IF(AND($Q432&gt;0,$O432&gt;=AboveRank),$Q432,0)</f>
        <v>0</v>
      </c>
      <c r="T432" s="64" t="n">
        <f aca="false">IF($K432="Less",$P432,0)</f>
        <v>0</v>
      </c>
      <c r="U432" s="64" t="n">
        <f aca="false">IF($K432="Expected",$P432,0)</f>
        <v>0</v>
      </c>
      <c r="V432" s="64" t="n">
        <f aca="false">IF($K432="Better",$P432,0)</f>
        <v>0</v>
      </c>
      <c r="W432" s="64" t="n">
        <f aca="false">IF($K432="U – needs rule",$P432,0)</f>
        <v>0</v>
      </c>
      <c r="X432" s="64" t="n">
        <f aca="false">IF($K432="No Start (attainment only)",$P432,0)</f>
        <v>0</v>
      </c>
    </row>
    <row r="433" customFormat="false" ht="15" hidden="false" customHeight="false" outlineLevel="0" collapsed="false">
      <c r="A433" s="60"/>
      <c r="B433" s="61" t="str">
        <f aca="false">IF($M433=0,"",INDEX(Classes!$E$6:$E$420,$M433))</f>
        <v/>
      </c>
      <c r="C433" s="62" t="str">
        <f aca="false">IF($M433=0,"",INDEX(Classes!$H$6:$H$420,$M433))</f>
        <v/>
      </c>
      <c r="D433" s="61" t="str">
        <f aca="false">IF($M433=0,"",INDEX(Classes!$B$6:$B$420,$M433))</f>
        <v/>
      </c>
      <c r="E433" s="61" t="str">
        <f aca="false">IF($M433=0,"",INDEX(Classes!$C$6:$C$420,$M433))</f>
        <v/>
      </c>
      <c r="F433" s="63"/>
      <c r="G433" s="63"/>
      <c r="H433" s="60"/>
      <c r="I433" s="60"/>
      <c r="J433" s="63"/>
      <c r="K433" s="61" t="str">
        <f aca="false">IF($P433=0,"",IF($F433="Baseline","— Baseline",IF($O433=0,"No result",IF($N433=0,"No Start (attainment only)",IF(OR($N433=1,$O433=1),"U – needs rule",INDEX(MxBody,MATCH($I433,MxCurr,0),MATCH($H433,MxStart,0)))))))</f>
        <v/>
      </c>
      <c r="L433" s="62" t="str">
        <f aca="false">IF(COUNTA($A433,$F433,$G433,$H433,$I433,$J433)=0,"",IF($M433=0,"✖ كود الصف غير موجود",IF(ISNA(MATCH($F433,Lists!$A$2:$A$5,0)),"✖ الفترة غير صحيحة",IF(ISNA(MATCH($G433,Lists!$B$2:$B$7,0)),"✖ المجموعة غير صحيحة",IF(NOT(OR($H433="",$N433&gt;0)),"✖ Start غير صحيح",IF(NOT(OR($I433="",$I433="NR",$O433&gt;0)),"✖ Current غير صحيح",IF(NOT(IF(ISNUMBER($J433),AND($J433&gt;=0,$J433=INT($J433)),FALSE())),"✖ العدد يجب أن يكون صحيحًا ≥ 0",IF(AND($F433="Baseline",$H433&lt;&gt;""),"⚠ Baseline: Start لا يدخل في التقدم",IF($K433="No Start (attainment only)","ℹ تحصيل فقط (بدون Start)",IF($K433="U – needs rule","ℹ حالة U تحتاج قاعدة معتمدة",IF($K433="No result","ℹ بدون نتيجة (يُستبعد من التحصيل)","OK")))))))))))</f>
        <v/>
      </c>
      <c r="M433" s="64" t="n">
        <f aca="false">IF($A433="",0,IFERROR(MATCH($A433,Classes!$A$6:$A$420,0),0))</f>
        <v>0</v>
      </c>
      <c r="N433" s="64" t="n">
        <f aca="false">IF($H433="",0,IFERROR(MATCH($H433,GradeList,0),0))</f>
        <v>0</v>
      </c>
      <c r="O433" s="64" t="n">
        <f aca="false">IF(OR($I433="",$I433="NR"),0,IFERROR(MATCH($I433,GradeList,0),0))</f>
        <v>0</v>
      </c>
      <c r="P433" s="64" t="n">
        <f aca="false">IF(AND($M433&gt;0,ISNUMBER(MATCH($F433,Lists!$A$2:$A$5,0)),ISNUMBER(MATCH($G433,Lists!$B$2:$B$7,0)),OR($H433="",$N433&gt;0),OR($I433="",$I433="NR",$O433&gt;0),IF(ISNUMBER($J433),AND($J433&gt;=0,$J433=INT($J433)),FALSE())),$J433,0)</f>
        <v>0</v>
      </c>
      <c r="Q433" s="64" t="n">
        <f aca="false">IF(AND($P433&gt;0,$O433&gt;0),$P433,0)</f>
        <v>0</v>
      </c>
      <c r="R433" s="64" t="n">
        <f aca="false">IF(AND($Q433&gt;0,$O433&gt;=AtRank),$Q433,0)</f>
        <v>0</v>
      </c>
      <c r="S433" s="64" t="n">
        <f aca="false">IF(AND($Q433&gt;0,$O433&gt;=AboveRank),$Q433,0)</f>
        <v>0</v>
      </c>
      <c r="T433" s="64" t="n">
        <f aca="false">IF($K433="Less",$P433,0)</f>
        <v>0</v>
      </c>
      <c r="U433" s="64" t="n">
        <f aca="false">IF($K433="Expected",$P433,0)</f>
        <v>0</v>
      </c>
      <c r="V433" s="64" t="n">
        <f aca="false">IF($K433="Better",$P433,0)</f>
        <v>0</v>
      </c>
      <c r="W433" s="64" t="n">
        <f aca="false">IF($K433="U – needs rule",$P433,0)</f>
        <v>0</v>
      </c>
      <c r="X433" s="64" t="n">
        <f aca="false">IF($K433="No Start (attainment only)",$P433,0)</f>
        <v>0</v>
      </c>
    </row>
    <row r="434" customFormat="false" ht="15" hidden="false" customHeight="false" outlineLevel="0" collapsed="false">
      <c r="A434" s="60"/>
      <c r="B434" s="61" t="str">
        <f aca="false">IF($M434=0,"",INDEX(Classes!$E$6:$E$420,$M434))</f>
        <v/>
      </c>
      <c r="C434" s="62" t="str">
        <f aca="false">IF($M434=0,"",INDEX(Classes!$H$6:$H$420,$M434))</f>
        <v/>
      </c>
      <c r="D434" s="61" t="str">
        <f aca="false">IF($M434=0,"",INDEX(Classes!$B$6:$B$420,$M434))</f>
        <v/>
      </c>
      <c r="E434" s="61" t="str">
        <f aca="false">IF($M434=0,"",INDEX(Classes!$C$6:$C$420,$M434))</f>
        <v/>
      </c>
      <c r="F434" s="63"/>
      <c r="G434" s="63"/>
      <c r="H434" s="60"/>
      <c r="I434" s="60"/>
      <c r="J434" s="63"/>
      <c r="K434" s="61" t="str">
        <f aca="false">IF($P434=0,"",IF($F434="Baseline","— Baseline",IF($O434=0,"No result",IF($N434=0,"No Start (attainment only)",IF(OR($N434=1,$O434=1),"U – needs rule",INDEX(MxBody,MATCH($I434,MxCurr,0),MATCH($H434,MxStart,0)))))))</f>
        <v/>
      </c>
      <c r="L434" s="62" t="str">
        <f aca="false">IF(COUNTA($A434,$F434,$G434,$H434,$I434,$J434)=0,"",IF($M434=0,"✖ كود الصف غير موجود",IF(ISNA(MATCH($F434,Lists!$A$2:$A$5,0)),"✖ الفترة غير صحيحة",IF(ISNA(MATCH($G434,Lists!$B$2:$B$7,0)),"✖ المجموعة غير صحيحة",IF(NOT(OR($H434="",$N434&gt;0)),"✖ Start غير صحيح",IF(NOT(OR($I434="",$I434="NR",$O434&gt;0)),"✖ Current غير صحيح",IF(NOT(IF(ISNUMBER($J434),AND($J434&gt;=0,$J434=INT($J434)),FALSE())),"✖ العدد يجب أن يكون صحيحًا ≥ 0",IF(AND($F434="Baseline",$H434&lt;&gt;""),"⚠ Baseline: Start لا يدخل في التقدم",IF($K434="No Start (attainment only)","ℹ تحصيل فقط (بدون Start)",IF($K434="U – needs rule","ℹ حالة U تحتاج قاعدة معتمدة",IF($K434="No result","ℹ بدون نتيجة (يُستبعد من التحصيل)","OK")))))))))))</f>
        <v/>
      </c>
      <c r="M434" s="64" t="n">
        <f aca="false">IF($A434="",0,IFERROR(MATCH($A434,Classes!$A$6:$A$420,0),0))</f>
        <v>0</v>
      </c>
      <c r="N434" s="64" t="n">
        <f aca="false">IF($H434="",0,IFERROR(MATCH($H434,GradeList,0),0))</f>
        <v>0</v>
      </c>
      <c r="O434" s="64" t="n">
        <f aca="false">IF(OR($I434="",$I434="NR"),0,IFERROR(MATCH($I434,GradeList,0),0))</f>
        <v>0</v>
      </c>
      <c r="P434" s="64" t="n">
        <f aca="false">IF(AND($M434&gt;0,ISNUMBER(MATCH($F434,Lists!$A$2:$A$5,0)),ISNUMBER(MATCH($G434,Lists!$B$2:$B$7,0)),OR($H434="",$N434&gt;0),OR($I434="",$I434="NR",$O434&gt;0),IF(ISNUMBER($J434),AND($J434&gt;=0,$J434=INT($J434)),FALSE())),$J434,0)</f>
        <v>0</v>
      </c>
      <c r="Q434" s="64" t="n">
        <f aca="false">IF(AND($P434&gt;0,$O434&gt;0),$P434,0)</f>
        <v>0</v>
      </c>
      <c r="R434" s="64" t="n">
        <f aca="false">IF(AND($Q434&gt;0,$O434&gt;=AtRank),$Q434,0)</f>
        <v>0</v>
      </c>
      <c r="S434" s="64" t="n">
        <f aca="false">IF(AND($Q434&gt;0,$O434&gt;=AboveRank),$Q434,0)</f>
        <v>0</v>
      </c>
      <c r="T434" s="64" t="n">
        <f aca="false">IF($K434="Less",$P434,0)</f>
        <v>0</v>
      </c>
      <c r="U434" s="64" t="n">
        <f aca="false">IF($K434="Expected",$P434,0)</f>
        <v>0</v>
      </c>
      <c r="V434" s="64" t="n">
        <f aca="false">IF($K434="Better",$P434,0)</f>
        <v>0</v>
      </c>
      <c r="W434" s="64" t="n">
        <f aca="false">IF($K434="U – needs rule",$P434,0)</f>
        <v>0</v>
      </c>
      <c r="X434" s="64" t="n">
        <f aca="false">IF($K434="No Start (attainment only)",$P434,0)</f>
        <v>0</v>
      </c>
    </row>
    <row r="435" customFormat="false" ht="15" hidden="false" customHeight="false" outlineLevel="0" collapsed="false">
      <c r="A435" s="60"/>
      <c r="B435" s="61" t="str">
        <f aca="false">IF($M435=0,"",INDEX(Classes!$E$6:$E$420,$M435))</f>
        <v/>
      </c>
      <c r="C435" s="62" t="str">
        <f aca="false">IF($M435=0,"",INDEX(Classes!$H$6:$H$420,$M435))</f>
        <v/>
      </c>
      <c r="D435" s="61" t="str">
        <f aca="false">IF($M435=0,"",INDEX(Classes!$B$6:$B$420,$M435))</f>
        <v/>
      </c>
      <c r="E435" s="61" t="str">
        <f aca="false">IF($M435=0,"",INDEX(Classes!$C$6:$C$420,$M435))</f>
        <v/>
      </c>
      <c r="F435" s="63"/>
      <c r="G435" s="63"/>
      <c r="H435" s="60"/>
      <c r="I435" s="60"/>
      <c r="J435" s="63"/>
      <c r="K435" s="61" t="str">
        <f aca="false">IF($P435=0,"",IF($F435="Baseline","— Baseline",IF($O435=0,"No result",IF($N435=0,"No Start (attainment only)",IF(OR($N435=1,$O435=1),"U – needs rule",INDEX(MxBody,MATCH($I435,MxCurr,0),MATCH($H435,MxStart,0)))))))</f>
        <v/>
      </c>
      <c r="L435" s="62" t="str">
        <f aca="false">IF(COUNTA($A435,$F435,$G435,$H435,$I435,$J435)=0,"",IF($M435=0,"✖ كود الصف غير موجود",IF(ISNA(MATCH($F435,Lists!$A$2:$A$5,0)),"✖ الفترة غير صحيحة",IF(ISNA(MATCH($G435,Lists!$B$2:$B$7,0)),"✖ المجموعة غير صحيحة",IF(NOT(OR($H435="",$N435&gt;0)),"✖ Start غير صحيح",IF(NOT(OR($I435="",$I435="NR",$O435&gt;0)),"✖ Current غير صحيح",IF(NOT(IF(ISNUMBER($J435),AND($J435&gt;=0,$J435=INT($J435)),FALSE())),"✖ العدد يجب أن يكون صحيحًا ≥ 0",IF(AND($F435="Baseline",$H435&lt;&gt;""),"⚠ Baseline: Start لا يدخل في التقدم",IF($K435="No Start (attainment only)","ℹ تحصيل فقط (بدون Start)",IF($K435="U – needs rule","ℹ حالة U تحتاج قاعدة معتمدة",IF($K435="No result","ℹ بدون نتيجة (يُستبعد من التحصيل)","OK")))))))))))</f>
        <v/>
      </c>
      <c r="M435" s="64" t="n">
        <f aca="false">IF($A435="",0,IFERROR(MATCH($A435,Classes!$A$6:$A$420,0),0))</f>
        <v>0</v>
      </c>
      <c r="N435" s="64" t="n">
        <f aca="false">IF($H435="",0,IFERROR(MATCH($H435,GradeList,0),0))</f>
        <v>0</v>
      </c>
      <c r="O435" s="64" t="n">
        <f aca="false">IF(OR($I435="",$I435="NR"),0,IFERROR(MATCH($I435,GradeList,0),0))</f>
        <v>0</v>
      </c>
      <c r="P435" s="64" t="n">
        <f aca="false">IF(AND($M435&gt;0,ISNUMBER(MATCH($F435,Lists!$A$2:$A$5,0)),ISNUMBER(MATCH($G435,Lists!$B$2:$B$7,0)),OR($H435="",$N435&gt;0),OR($I435="",$I435="NR",$O435&gt;0),IF(ISNUMBER($J435),AND($J435&gt;=0,$J435=INT($J435)),FALSE())),$J435,0)</f>
        <v>0</v>
      </c>
      <c r="Q435" s="64" t="n">
        <f aca="false">IF(AND($P435&gt;0,$O435&gt;0),$P435,0)</f>
        <v>0</v>
      </c>
      <c r="R435" s="64" t="n">
        <f aca="false">IF(AND($Q435&gt;0,$O435&gt;=AtRank),$Q435,0)</f>
        <v>0</v>
      </c>
      <c r="S435" s="64" t="n">
        <f aca="false">IF(AND($Q435&gt;0,$O435&gt;=AboveRank),$Q435,0)</f>
        <v>0</v>
      </c>
      <c r="T435" s="64" t="n">
        <f aca="false">IF($K435="Less",$P435,0)</f>
        <v>0</v>
      </c>
      <c r="U435" s="64" t="n">
        <f aca="false">IF($K435="Expected",$P435,0)</f>
        <v>0</v>
      </c>
      <c r="V435" s="64" t="n">
        <f aca="false">IF($K435="Better",$P435,0)</f>
        <v>0</v>
      </c>
      <c r="W435" s="64" t="n">
        <f aca="false">IF($K435="U – needs rule",$P435,0)</f>
        <v>0</v>
      </c>
      <c r="X435" s="64" t="n">
        <f aca="false">IF($K435="No Start (attainment only)",$P435,0)</f>
        <v>0</v>
      </c>
    </row>
    <row r="436" customFormat="false" ht="15" hidden="false" customHeight="false" outlineLevel="0" collapsed="false">
      <c r="A436" s="60"/>
      <c r="B436" s="61" t="str">
        <f aca="false">IF($M436=0,"",INDEX(Classes!$E$6:$E$420,$M436))</f>
        <v/>
      </c>
      <c r="C436" s="62" t="str">
        <f aca="false">IF($M436=0,"",INDEX(Classes!$H$6:$H$420,$M436))</f>
        <v/>
      </c>
      <c r="D436" s="61" t="str">
        <f aca="false">IF($M436=0,"",INDEX(Classes!$B$6:$B$420,$M436))</f>
        <v/>
      </c>
      <c r="E436" s="61" t="str">
        <f aca="false">IF($M436=0,"",INDEX(Classes!$C$6:$C$420,$M436))</f>
        <v/>
      </c>
      <c r="F436" s="63"/>
      <c r="G436" s="63"/>
      <c r="H436" s="60"/>
      <c r="I436" s="60"/>
      <c r="J436" s="63"/>
      <c r="K436" s="61" t="str">
        <f aca="false">IF($P436=0,"",IF($F436="Baseline","— Baseline",IF($O436=0,"No result",IF($N436=0,"No Start (attainment only)",IF(OR($N436=1,$O436=1),"U – needs rule",INDEX(MxBody,MATCH($I436,MxCurr,0),MATCH($H436,MxStart,0)))))))</f>
        <v/>
      </c>
      <c r="L436" s="62" t="str">
        <f aca="false">IF(COUNTA($A436,$F436,$G436,$H436,$I436,$J436)=0,"",IF($M436=0,"✖ كود الصف غير موجود",IF(ISNA(MATCH($F436,Lists!$A$2:$A$5,0)),"✖ الفترة غير صحيحة",IF(ISNA(MATCH($G436,Lists!$B$2:$B$7,0)),"✖ المجموعة غير صحيحة",IF(NOT(OR($H436="",$N436&gt;0)),"✖ Start غير صحيح",IF(NOT(OR($I436="",$I436="NR",$O436&gt;0)),"✖ Current غير صحيح",IF(NOT(IF(ISNUMBER($J436),AND($J436&gt;=0,$J436=INT($J436)),FALSE())),"✖ العدد يجب أن يكون صحيحًا ≥ 0",IF(AND($F436="Baseline",$H436&lt;&gt;""),"⚠ Baseline: Start لا يدخل في التقدم",IF($K436="No Start (attainment only)","ℹ تحصيل فقط (بدون Start)",IF($K436="U – needs rule","ℹ حالة U تحتاج قاعدة معتمدة",IF($K436="No result","ℹ بدون نتيجة (يُستبعد من التحصيل)","OK")))))))))))</f>
        <v/>
      </c>
      <c r="M436" s="64" t="n">
        <f aca="false">IF($A436="",0,IFERROR(MATCH($A436,Classes!$A$6:$A$420,0),0))</f>
        <v>0</v>
      </c>
      <c r="N436" s="64" t="n">
        <f aca="false">IF($H436="",0,IFERROR(MATCH($H436,GradeList,0),0))</f>
        <v>0</v>
      </c>
      <c r="O436" s="64" t="n">
        <f aca="false">IF(OR($I436="",$I436="NR"),0,IFERROR(MATCH($I436,GradeList,0),0))</f>
        <v>0</v>
      </c>
      <c r="P436" s="64" t="n">
        <f aca="false">IF(AND($M436&gt;0,ISNUMBER(MATCH($F436,Lists!$A$2:$A$5,0)),ISNUMBER(MATCH($G436,Lists!$B$2:$B$7,0)),OR($H436="",$N436&gt;0),OR($I436="",$I436="NR",$O436&gt;0),IF(ISNUMBER($J436),AND($J436&gt;=0,$J436=INT($J436)),FALSE())),$J436,0)</f>
        <v>0</v>
      </c>
      <c r="Q436" s="64" t="n">
        <f aca="false">IF(AND($P436&gt;0,$O436&gt;0),$P436,0)</f>
        <v>0</v>
      </c>
      <c r="R436" s="64" t="n">
        <f aca="false">IF(AND($Q436&gt;0,$O436&gt;=AtRank),$Q436,0)</f>
        <v>0</v>
      </c>
      <c r="S436" s="64" t="n">
        <f aca="false">IF(AND($Q436&gt;0,$O436&gt;=AboveRank),$Q436,0)</f>
        <v>0</v>
      </c>
      <c r="T436" s="64" t="n">
        <f aca="false">IF($K436="Less",$P436,0)</f>
        <v>0</v>
      </c>
      <c r="U436" s="64" t="n">
        <f aca="false">IF($K436="Expected",$P436,0)</f>
        <v>0</v>
      </c>
      <c r="V436" s="64" t="n">
        <f aca="false">IF($K436="Better",$P436,0)</f>
        <v>0</v>
      </c>
      <c r="W436" s="64" t="n">
        <f aca="false">IF($K436="U – needs rule",$P436,0)</f>
        <v>0</v>
      </c>
      <c r="X436" s="64" t="n">
        <f aca="false">IF($K436="No Start (attainment only)",$P436,0)</f>
        <v>0</v>
      </c>
    </row>
    <row r="437" customFormat="false" ht="15" hidden="false" customHeight="false" outlineLevel="0" collapsed="false">
      <c r="A437" s="60"/>
      <c r="B437" s="61" t="str">
        <f aca="false">IF($M437=0,"",INDEX(Classes!$E$6:$E$420,$M437))</f>
        <v/>
      </c>
      <c r="C437" s="62" t="str">
        <f aca="false">IF($M437=0,"",INDEX(Classes!$H$6:$H$420,$M437))</f>
        <v/>
      </c>
      <c r="D437" s="61" t="str">
        <f aca="false">IF($M437=0,"",INDEX(Classes!$B$6:$B$420,$M437))</f>
        <v/>
      </c>
      <c r="E437" s="61" t="str">
        <f aca="false">IF($M437=0,"",INDEX(Classes!$C$6:$C$420,$M437))</f>
        <v/>
      </c>
      <c r="F437" s="63"/>
      <c r="G437" s="63"/>
      <c r="H437" s="60"/>
      <c r="I437" s="60"/>
      <c r="J437" s="63"/>
      <c r="K437" s="61" t="str">
        <f aca="false">IF($P437=0,"",IF($F437="Baseline","— Baseline",IF($O437=0,"No result",IF($N437=0,"No Start (attainment only)",IF(OR($N437=1,$O437=1),"U – needs rule",INDEX(MxBody,MATCH($I437,MxCurr,0),MATCH($H437,MxStart,0)))))))</f>
        <v/>
      </c>
      <c r="L437" s="62" t="str">
        <f aca="false">IF(COUNTA($A437,$F437,$G437,$H437,$I437,$J437)=0,"",IF($M437=0,"✖ كود الصف غير موجود",IF(ISNA(MATCH($F437,Lists!$A$2:$A$5,0)),"✖ الفترة غير صحيحة",IF(ISNA(MATCH($G437,Lists!$B$2:$B$7,0)),"✖ المجموعة غير صحيحة",IF(NOT(OR($H437="",$N437&gt;0)),"✖ Start غير صحيح",IF(NOT(OR($I437="",$I437="NR",$O437&gt;0)),"✖ Current غير صحيح",IF(NOT(IF(ISNUMBER($J437),AND($J437&gt;=0,$J437=INT($J437)),FALSE())),"✖ العدد يجب أن يكون صحيحًا ≥ 0",IF(AND($F437="Baseline",$H437&lt;&gt;""),"⚠ Baseline: Start لا يدخل في التقدم",IF($K437="No Start (attainment only)","ℹ تحصيل فقط (بدون Start)",IF($K437="U – needs rule","ℹ حالة U تحتاج قاعدة معتمدة",IF($K437="No result","ℹ بدون نتيجة (يُستبعد من التحصيل)","OK")))))))))))</f>
        <v/>
      </c>
      <c r="M437" s="64" t="n">
        <f aca="false">IF($A437="",0,IFERROR(MATCH($A437,Classes!$A$6:$A$420,0),0))</f>
        <v>0</v>
      </c>
      <c r="N437" s="64" t="n">
        <f aca="false">IF($H437="",0,IFERROR(MATCH($H437,GradeList,0),0))</f>
        <v>0</v>
      </c>
      <c r="O437" s="64" t="n">
        <f aca="false">IF(OR($I437="",$I437="NR"),0,IFERROR(MATCH($I437,GradeList,0),0))</f>
        <v>0</v>
      </c>
      <c r="P437" s="64" t="n">
        <f aca="false">IF(AND($M437&gt;0,ISNUMBER(MATCH($F437,Lists!$A$2:$A$5,0)),ISNUMBER(MATCH($G437,Lists!$B$2:$B$7,0)),OR($H437="",$N437&gt;0),OR($I437="",$I437="NR",$O437&gt;0),IF(ISNUMBER($J437),AND($J437&gt;=0,$J437=INT($J437)),FALSE())),$J437,0)</f>
        <v>0</v>
      </c>
      <c r="Q437" s="64" t="n">
        <f aca="false">IF(AND($P437&gt;0,$O437&gt;0),$P437,0)</f>
        <v>0</v>
      </c>
      <c r="R437" s="64" t="n">
        <f aca="false">IF(AND($Q437&gt;0,$O437&gt;=AtRank),$Q437,0)</f>
        <v>0</v>
      </c>
      <c r="S437" s="64" t="n">
        <f aca="false">IF(AND($Q437&gt;0,$O437&gt;=AboveRank),$Q437,0)</f>
        <v>0</v>
      </c>
      <c r="T437" s="64" t="n">
        <f aca="false">IF($K437="Less",$P437,0)</f>
        <v>0</v>
      </c>
      <c r="U437" s="64" t="n">
        <f aca="false">IF($K437="Expected",$P437,0)</f>
        <v>0</v>
      </c>
      <c r="V437" s="64" t="n">
        <f aca="false">IF($K437="Better",$P437,0)</f>
        <v>0</v>
      </c>
      <c r="W437" s="64" t="n">
        <f aca="false">IF($K437="U – needs rule",$P437,0)</f>
        <v>0</v>
      </c>
      <c r="X437" s="64" t="n">
        <f aca="false">IF($K437="No Start (attainment only)",$P437,0)</f>
        <v>0</v>
      </c>
    </row>
    <row r="438" customFormat="false" ht="15" hidden="false" customHeight="false" outlineLevel="0" collapsed="false">
      <c r="A438" s="60"/>
      <c r="B438" s="61" t="str">
        <f aca="false">IF($M438=0,"",INDEX(Classes!$E$6:$E$420,$M438))</f>
        <v/>
      </c>
      <c r="C438" s="62" t="str">
        <f aca="false">IF($M438=0,"",INDEX(Classes!$H$6:$H$420,$M438))</f>
        <v/>
      </c>
      <c r="D438" s="61" t="str">
        <f aca="false">IF($M438=0,"",INDEX(Classes!$B$6:$B$420,$M438))</f>
        <v/>
      </c>
      <c r="E438" s="61" t="str">
        <f aca="false">IF($M438=0,"",INDEX(Classes!$C$6:$C$420,$M438))</f>
        <v/>
      </c>
      <c r="F438" s="63"/>
      <c r="G438" s="63"/>
      <c r="H438" s="60"/>
      <c r="I438" s="60"/>
      <c r="J438" s="63"/>
      <c r="K438" s="61" t="str">
        <f aca="false">IF($P438=0,"",IF($F438="Baseline","— Baseline",IF($O438=0,"No result",IF($N438=0,"No Start (attainment only)",IF(OR($N438=1,$O438=1),"U – needs rule",INDEX(MxBody,MATCH($I438,MxCurr,0),MATCH($H438,MxStart,0)))))))</f>
        <v/>
      </c>
      <c r="L438" s="62" t="str">
        <f aca="false">IF(COUNTA($A438,$F438,$G438,$H438,$I438,$J438)=0,"",IF($M438=0,"✖ كود الصف غير موجود",IF(ISNA(MATCH($F438,Lists!$A$2:$A$5,0)),"✖ الفترة غير صحيحة",IF(ISNA(MATCH($G438,Lists!$B$2:$B$7,0)),"✖ المجموعة غير صحيحة",IF(NOT(OR($H438="",$N438&gt;0)),"✖ Start غير صحيح",IF(NOT(OR($I438="",$I438="NR",$O438&gt;0)),"✖ Current غير صحيح",IF(NOT(IF(ISNUMBER($J438),AND($J438&gt;=0,$J438=INT($J438)),FALSE())),"✖ العدد يجب أن يكون صحيحًا ≥ 0",IF(AND($F438="Baseline",$H438&lt;&gt;""),"⚠ Baseline: Start لا يدخل في التقدم",IF($K438="No Start (attainment only)","ℹ تحصيل فقط (بدون Start)",IF($K438="U – needs rule","ℹ حالة U تحتاج قاعدة معتمدة",IF($K438="No result","ℹ بدون نتيجة (يُستبعد من التحصيل)","OK")))))))))))</f>
        <v/>
      </c>
      <c r="M438" s="64" t="n">
        <f aca="false">IF($A438="",0,IFERROR(MATCH($A438,Classes!$A$6:$A$420,0),0))</f>
        <v>0</v>
      </c>
      <c r="N438" s="64" t="n">
        <f aca="false">IF($H438="",0,IFERROR(MATCH($H438,GradeList,0),0))</f>
        <v>0</v>
      </c>
      <c r="O438" s="64" t="n">
        <f aca="false">IF(OR($I438="",$I438="NR"),0,IFERROR(MATCH($I438,GradeList,0),0))</f>
        <v>0</v>
      </c>
      <c r="P438" s="64" t="n">
        <f aca="false">IF(AND($M438&gt;0,ISNUMBER(MATCH($F438,Lists!$A$2:$A$5,0)),ISNUMBER(MATCH($G438,Lists!$B$2:$B$7,0)),OR($H438="",$N438&gt;0),OR($I438="",$I438="NR",$O438&gt;0),IF(ISNUMBER($J438),AND($J438&gt;=0,$J438=INT($J438)),FALSE())),$J438,0)</f>
        <v>0</v>
      </c>
      <c r="Q438" s="64" t="n">
        <f aca="false">IF(AND($P438&gt;0,$O438&gt;0),$P438,0)</f>
        <v>0</v>
      </c>
      <c r="R438" s="64" t="n">
        <f aca="false">IF(AND($Q438&gt;0,$O438&gt;=AtRank),$Q438,0)</f>
        <v>0</v>
      </c>
      <c r="S438" s="64" t="n">
        <f aca="false">IF(AND($Q438&gt;0,$O438&gt;=AboveRank),$Q438,0)</f>
        <v>0</v>
      </c>
      <c r="T438" s="64" t="n">
        <f aca="false">IF($K438="Less",$P438,0)</f>
        <v>0</v>
      </c>
      <c r="U438" s="64" t="n">
        <f aca="false">IF($K438="Expected",$P438,0)</f>
        <v>0</v>
      </c>
      <c r="V438" s="64" t="n">
        <f aca="false">IF($K438="Better",$P438,0)</f>
        <v>0</v>
      </c>
      <c r="W438" s="64" t="n">
        <f aca="false">IF($K438="U – needs rule",$P438,0)</f>
        <v>0</v>
      </c>
      <c r="X438" s="64" t="n">
        <f aca="false">IF($K438="No Start (attainment only)",$P438,0)</f>
        <v>0</v>
      </c>
    </row>
    <row r="439" customFormat="false" ht="15" hidden="false" customHeight="false" outlineLevel="0" collapsed="false">
      <c r="A439" s="60"/>
      <c r="B439" s="61" t="str">
        <f aca="false">IF($M439=0,"",INDEX(Classes!$E$6:$E$420,$M439))</f>
        <v/>
      </c>
      <c r="C439" s="62" t="str">
        <f aca="false">IF($M439=0,"",INDEX(Classes!$H$6:$H$420,$M439))</f>
        <v/>
      </c>
      <c r="D439" s="61" t="str">
        <f aca="false">IF($M439=0,"",INDEX(Classes!$B$6:$B$420,$M439))</f>
        <v/>
      </c>
      <c r="E439" s="61" t="str">
        <f aca="false">IF($M439=0,"",INDEX(Classes!$C$6:$C$420,$M439))</f>
        <v/>
      </c>
      <c r="F439" s="63"/>
      <c r="G439" s="63"/>
      <c r="H439" s="60"/>
      <c r="I439" s="60"/>
      <c r="J439" s="63"/>
      <c r="K439" s="61" t="str">
        <f aca="false">IF($P439=0,"",IF($F439="Baseline","— Baseline",IF($O439=0,"No result",IF($N439=0,"No Start (attainment only)",IF(OR($N439=1,$O439=1),"U – needs rule",INDEX(MxBody,MATCH($I439,MxCurr,0),MATCH($H439,MxStart,0)))))))</f>
        <v/>
      </c>
      <c r="L439" s="62" t="str">
        <f aca="false">IF(COUNTA($A439,$F439,$G439,$H439,$I439,$J439)=0,"",IF($M439=0,"✖ كود الصف غير موجود",IF(ISNA(MATCH($F439,Lists!$A$2:$A$5,0)),"✖ الفترة غير صحيحة",IF(ISNA(MATCH($G439,Lists!$B$2:$B$7,0)),"✖ المجموعة غير صحيحة",IF(NOT(OR($H439="",$N439&gt;0)),"✖ Start غير صحيح",IF(NOT(OR($I439="",$I439="NR",$O439&gt;0)),"✖ Current غير صحيح",IF(NOT(IF(ISNUMBER($J439),AND($J439&gt;=0,$J439=INT($J439)),FALSE())),"✖ العدد يجب أن يكون صحيحًا ≥ 0",IF(AND($F439="Baseline",$H439&lt;&gt;""),"⚠ Baseline: Start لا يدخل في التقدم",IF($K439="No Start (attainment only)","ℹ تحصيل فقط (بدون Start)",IF($K439="U – needs rule","ℹ حالة U تحتاج قاعدة معتمدة",IF($K439="No result","ℹ بدون نتيجة (يُستبعد من التحصيل)","OK")))))))))))</f>
        <v/>
      </c>
      <c r="M439" s="64" t="n">
        <f aca="false">IF($A439="",0,IFERROR(MATCH($A439,Classes!$A$6:$A$420,0),0))</f>
        <v>0</v>
      </c>
      <c r="N439" s="64" t="n">
        <f aca="false">IF($H439="",0,IFERROR(MATCH($H439,GradeList,0),0))</f>
        <v>0</v>
      </c>
      <c r="O439" s="64" t="n">
        <f aca="false">IF(OR($I439="",$I439="NR"),0,IFERROR(MATCH($I439,GradeList,0),0))</f>
        <v>0</v>
      </c>
      <c r="P439" s="64" t="n">
        <f aca="false">IF(AND($M439&gt;0,ISNUMBER(MATCH($F439,Lists!$A$2:$A$5,0)),ISNUMBER(MATCH($G439,Lists!$B$2:$B$7,0)),OR($H439="",$N439&gt;0),OR($I439="",$I439="NR",$O439&gt;0),IF(ISNUMBER($J439),AND($J439&gt;=0,$J439=INT($J439)),FALSE())),$J439,0)</f>
        <v>0</v>
      </c>
      <c r="Q439" s="64" t="n">
        <f aca="false">IF(AND($P439&gt;0,$O439&gt;0),$P439,0)</f>
        <v>0</v>
      </c>
      <c r="R439" s="64" t="n">
        <f aca="false">IF(AND($Q439&gt;0,$O439&gt;=AtRank),$Q439,0)</f>
        <v>0</v>
      </c>
      <c r="S439" s="64" t="n">
        <f aca="false">IF(AND($Q439&gt;0,$O439&gt;=AboveRank),$Q439,0)</f>
        <v>0</v>
      </c>
      <c r="T439" s="64" t="n">
        <f aca="false">IF($K439="Less",$P439,0)</f>
        <v>0</v>
      </c>
      <c r="U439" s="64" t="n">
        <f aca="false">IF($K439="Expected",$P439,0)</f>
        <v>0</v>
      </c>
      <c r="V439" s="64" t="n">
        <f aca="false">IF($K439="Better",$P439,0)</f>
        <v>0</v>
      </c>
      <c r="W439" s="64" t="n">
        <f aca="false">IF($K439="U – needs rule",$P439,0)</f>
        <v>0</v>
      </c>
      <c r="X439" s="64" t="n">
        <f aca="false">IF($K439="No Start (attainment only)",$P439,0)</f>
        <v>0</v>
      </c>
    </row>
    <row r="440" customFormat="false" ht="15" hidden="false" customHeight="false" outlineLevel="0" collapsed="false">
      <c r="A440" s="60"/>
      <c r="B440" s="61" t="str">
        <f aca="false">IF($M440=0,"",INDEX(Classes!$E$6:$E$420,$M440))</f>
        <v/>
      </c>
      <c r="C440" s="62" t="str">
        <f aca="false">IF($M440=0,"",INDEX(Classes!$H$6:$H$420,$M440))</f>
        <v/>
      </c>
      <c r="D440" s="61" t="str">
        <f aca="false">IF($M440=0,"",INDEX(Classes!$B$6:$B$420,$M440))</f>
        <v/>
      </c>
      <c r="E440" s="61" t="str">
        <f aca="false">IF($M440=0,"",INDEX(Classes!$C$6:$C$420,$M440))</f>
        <v/>
      </c>
      <c r="F440" s="63"/>
      <c r="G440" s="63"/>
      <c r="H440" s="60"/>
      <c r="I440" s="60"/>
      <c r="J440" s="63"/>
      <c r="K440" s="61" t="str">
        <f aca="false">IF($P440=0,"",IF($F440="Baseline","— Baseline",IF($O440=0,"No result",IF($N440=0,"No Start (attainment only)",IF(OR($N440=1,$O440=1),"U – needs rule",INDEX(MxBody,MATCH($I440,MxCurr,0),MATCH($H440,MxStart,0)))))))</f>
        <v/>
      </c>
      <c r="L440" s="62" t="str">
        <f aca="false">IF(COUNTA($A440,$F440,$G440,$H440,$I440,$J440)=0,"",IF($M440=0,"✖ كود الصف غير موجود",IF(ISNA(MATCH($F440,Lists!$A$2:$A$5,0)),"✖ الفترة غير صحيحة",IF(ISNA(MATCH($G440,Lists!$B$2:$B$7,0)),"✖ المجموعة غير صحيحة",IF(NOT(OR($H440="",$N440&gt;0)),"✖ Start غير صحيح",IF(NOT(OR($I440="",$I440="NR",$O440&gt;0)),"✖ Current غير صحيح",IF(NOT(IF(ISNUMBER($J440),AND($J440&gt;=0,$J440=INT($J440)),FALSE())),"✖ العدد يجب أن يكون صحيحًا ≥ 0",IF(AND($F440="Baseline",$H440&lt;&gt;""),"⚠ Baseline: Start لا يدخل في التقدم",IF($K440="No Start (attainment only)","ℹ تحصيل فقط (بدون Start)",IF($K440="U – needs rule","ℹ حالة U تحتاج قاعدة معتمدة",IF($K440="No result","ℹ بدون نتيجة (يُستبعد من التحصيل)","OK")))))))))))</f>
        <v/>
      </c>
      <c r="M440" s="64" t="n">
        <f aca="false">IF($A440="",0,IFERROR(MATCH($A440,Classes!$A$6:$A$420,0),0))</f>
        <v>0</v>
      </c>
      <c r="N440" s="64" t="n">
        <f aca="false">IF($H440="",0,IFERROR(MATCH($H440,GradeList,0),0))</f>
        <v>0</v>
      </c>
      <c r="O440" s="64" t="n">
        <f aca="false">IF(OR($I440="",$I440="NR"),0,IFERROR(MATCH($I440,GradeList,0),0))</f>
        <v>0</v>
      </c>
      <c r="P440" s="64" t="n">
        <f aca="false">IF(AND($M440&gt;0,ISNUMBER(MATCH($F440,Lists!$A$2:$A$5,0)),ISNUMBER(MATCH($G440,Lists!$B$2:$B$7,0)),OR($H440="",$N440&gt;0),OR($I440="",$I440="NR",$O440&gt;0),IF(ISNUMBER($J440),AND($J440&gt;=0,$J440=INT($J440)),FALSE())),$J440,0)</f>
        <v>0</v>
      </c>
      <c r="Q440" s="64" t="n">
        <f aca="false">IF(AND($P440&gt;0,$O440&gt;0),$P440,0)</f>
        <v>0</v>
      </c>
      <c r="R440" s="64" t="n">
        <f aca="false">IF(AND($Q440&gt;0,$O440&gt;=AtRank),$Q440,0)</f>
        <v>0</v>
      </c>
      <c r="S440" s="64" t="n">
        <f aca="false">IF(AND($Q440&gt;0,$O440&gt;=AboveRank),$Q440,0)</f>
        <v>0</v>
      </c>
      <c r="T440" s="64" t="n">
        <f aca="false">IF($K440="Less",$P440,0)</f>
        <v>0</v>
      </c>
      <c r="U440" s="64" t="n">
        <f aca="false">IF($K440="Expected",$P440,0)</f>
        <v>0</v>
      </c>
      <c r="V440" s="64" t="n">
        <f aca="false">IF($K440="Better",$P440,0)</f>
        <v>0</v>
      </c>
      <c r="W440" s="64" t="n">
        <f aca="false">IF($K440="U – needs rule",$P440,0)</f>
        <v>0</v>
      </c>
      <c r="X440" s="64" t="n">
        <f aca="false">IF($K440="No Start (attainment only)",$P440,0)</f>
        <v>0</v>
      </c>
    </row>
    <row r="441" customFormat="false" ht="15" hidden="false" customHeight="false" outlineLevel="0" collapsed="false">
      <c r="A441" s="60"/>
      <c r="B441" s="61" t="str">
        <f aca="false">IF($M441=0,"",INDEX(Classes!$E$6:$E$420,$M441))</f>
        <v/>
      </c>
      <c r="C441" s="62" t="str">
        <f aca="false">IF($M441=0,"",INDEX(Classes!$H$6:$H$420,$M441))</f>
        <v/>
      </c>
      <c r="D441" s="61" t="str">
        <f aca="false">IF($M441=0,"",INDEX(Classes!$B$6:$B$420,$M441))</f>
        <v/>
      </c>
      <c r="E441" s="61" t="str">
        <f aca="false">IF($M441=0,"",INDEX(Classes!$C$6:$C$420,$M441))</f>
        <v/>
      </c>
      <c r="F441" s="63"/>
      <c r="G441" s="63"/>
      <c r="H441" s="60"/>
      <c r="I441" s="60"/>
      <c r="J441" s="63"/>
      <c r="K441" s="61" t="str">
        <f aca="false">IF($P441=0,"",IF($F441="Baseline","— Baseline",IF($O441=0,"No result",IF($N441=0,"No Start (attainment only)",IF(OR($N441=1,$O441=1),"U – needs rule",INDEX(MxBody,MATCH($I441,MxCurr,0),MATCH($H441,MxStart,0)))))))</f>
        <v/>
      </c>
      <c r="L441" s="62" t="str">
        <f aca="false">IF(COUNTA($A441,$F441,$G441,$H441,$I441,$J441)=0,"",IF($M441=0,"✖ كود الصف غير موجود",IF(ISNA(MATCH($F441,Lists!$A$2:$A$5,0)),"✖ الفترة غير صحيحة",IF(ISNA(MATCH($G441,Lists!$B$2:$B$7,0)),"✖ المجموعة غير صحيحة",IF(NOT(OR($H441="",$N441&gt;0)),"✖ Start غير صحيح",IF(NOT(OR($I441="",$I441="NR",$O441&gt;0)),"✖ Current غير صحيح",IF(NOT(IF(ISNUMBER($J441),AND($J441&gt;=0,$J441=INT($J441)),FALSE())),"✖ العدد يجب أن يكون صحيحًا ≥ 0",IF(AND($F441="Baseline",$H441&lt;&gt;""),"⚠ Baseline: Start لا يدخل في التقدم",IF($K441="No Start (attainment only)","ℹ تحصيل فقط (بدون Start)",IF($K441="U – needs rule","ℹ حالة U تحتاج قاعدة معتمدة",IF($K441="No result","ℹ بدون نتيجة (يُستبعد من التحصيل)","OK")))))))))))</f>
        <v/>
      </c>
      <c r="M441" s="64" t="n">
        <f aca="false">IF($A441="",0,IFERROR(MATCH($A441,Classes!$A$6:$A$420,0),0))</f>
        <v>0</v>
      </c>
      <c r="N441" s="64" t="n">
        <f aca="false">IF($H441="",0,IFERROR(MATCH($H441,GradeList,0),0))</f>
        <v>0</v>
      </c>
      <c r="O441" s="64" t="n">
        <f aca="false">IF(OR($I441="",$I441="NR"),0,IFERROR(MATCH($I441,GradeList,0),0))</f>
        <v>0</v>
      </c>
      <c r="P441" s="64" t="n">
        <f aca="false">IF(AND($M441&gt;0,ISNUMBER(MATCH($F441,Lists!$A$2:$A$5,0)),ISNUMBER(MATCH($G441,Lists!$B$2:$B$7,0)),OR($H441="",$N441&gt;0),OR($I441="",$I441="NR",$O441&gt;0),IF(ISNUMBER($J441),AND($J441&gt;=0,$J441=INT($J441)),FALSE())),$J441,0)</f>
        <v>0</v>
      </c>
      <c r="Q441" s="64" t="n">
        <f aca="false">IF(AND($P441&gt;0,$O441&gt;0),$P441,0)</f>
        <v>0</v>
      </c>
      <c r="R441" s="64" t="n">
        <f aca="false">IF(AND($Q441&gt;0,$O441&gt;=AtRank),$Q441,0)</f>
        <v>0</v>
      </c>
      <c r="S441" s="64" t="n">
        <f aca="false">IF(AND($Q441&gt;0,$O441&gt;=AboveRank),$Q441,0)</f>
        <v>0</v>
      </c>
      <c r="T441" s="64" t="n">
        <f aca="false">IF($K441="Less",$P441,0)</f>
        <v>0</v>
      </c>
      <c r="U441" s="64" t="n">
        <f aca="false">IF($K441="Expected",$P441,0)</f>
        <v>0</v>
      </c>
      <c r="V441" s="64" t="n">
        <f aca="false">IF($K441="Better",$P441,0)</f>
        <v>0</v>
      </c>
      <c r="W441" s="64" t="n">
        <f aca="false">IF($K441="U – needs rule",$P441,0)</f>
        <v>0</v>
      </c>
      <c r="X441" s="64" t="n">
        <f aca="false">IF($K441="No Start (attainment only)",$P441,0)</f>
        <v>0</v>
      </c>
    </row>
    <row r="442" customFormat="false" ht="15" hidden="false" customHeight="false" outlineLevel="0" collapsed="false">
      <c r="A442" s="60"/>
      <c r="B442" s="61" t="str">
        <f aca="false">IF($M442=0,"",INDEX(Classes!$E$6:$E$420,$M442))</f>
        <v/>
      </c>
      <c r="C442" s="62" t="str">
        <f aca="false">IF($M442=0,"",INDEX(Classes!$H$6:$H$420,$M442))</f>
        <v/>
      </c>
      <c r="D442" s="61" t="str">
        <f aca="false">IF($M442=0,"",INDEX(Classes!$B$6:$B$420,$M442))</f>
        <v/>
      </c>
      <c r="E442" s="61" t="str">
        <f aca="false">IF($M442=0,"",INDEX(Classes!$C$6:$C$420,$M442))</f>
        <v/>
      </c>
      <c r="F442" s="63"/>
      <c r="G442" s="63"/>
      <c r="H442" s="60"/>
      <c r="I442" s="60"/>
      <c r="J442" s="63"/>
      <c r="K442" s="61" t="str">
        <f aca="false">IF($P442=0,"",IF($F442="Baseline","— Baseline",IF($O442=0,"No result",IF($N442=0,"No Start (attainment only)",IF(OR($N442=1,$O442=1),"U – needs rule",INDEX(MxBody,MATCH($I442,MxCurr,0),MATCH($H442,MxStart,0)))))))</f>
        <v/>
      </c>
      <c r="L442" s="62" t="str">
        <f aca="false">IF(COUNTA($A442,$F442,$G442,$H442,$I442,$J442)=0,"",IF($M442=0,"✖ كود الصف غير موجود",IF(ISNA(MATCH($F442,Lists!$A$2:$A$5,0)),"✖ الفترة غير صحيحة",IF(ISNA(MATCH($G442,Lists!$B$2:$B$7,0)),"✖ المجموعة غير صحيحة",IF(NOT(OR($H442="",$N442&gt;0)),"✖ Start غير صحيح",IF(NOT(OR($I442="",$I442="NR",$O442&gt;0)),"✖ Current غير صحيح",IF(NOT(IF(ISNUMBER($J442),AND($J442&gt;=0,$J442=INT($J442)),FALSE())),"✖ العدد يجب أن يكون صحيحًا ≥ 0",IF(AND($F442="Baseline",$H442&lt;&gt;""),"⚠ Baseline: Start لا يدخل في التقدم",IF($K442="No Start (attainment only)","ℹ تحصيل فقط (بدون Start)",IF($K442="U – needs rule","ℹ حالة U تحتاج قاعدة معتمدة",IF($K442="No result","ℹ بدون نتيجة (يُستبعد من التحصيل)","OK")))))))))))</f>
        <v/>
      </c>
      <c r="M442" s="64" t="n">
        <f aca="false">IF($A442="",0,IFERROR(MATCH($A442,Classes!$A$6:$A$420,0),0))</f>
        <v>0</v>
      </c>
      <c r="N442" s="64" t="n">
        <f aca="false">IF($H442="",0,IFERROR(MATCH($H442,GradeList,0),0))</f>
        <v>0</v>
      </c>
      <c r="O442" s="64" t="n">
        <f aca="false">IF(OR($I442="",$I442="NR"),0,IFERROR(MATCH($I442,GradeList,0),0))</f>
        <v>0</v>
      </c>
      <c r="P442" s="64" t="n">
        <f aca="false">IF(AND($M442&gt;0,ISNUMBER(MATCH($F442,Lists!$A$2:$A$5,0)),ISNUMBER(MATCH($G442,Lists!$B$2:$B$7,0)),OR($H442="",$N442&gt;0),OR($I442="",$I442="NR",$O442&gt;0),IF(ISNUMBER($J442),AND($J442&gt;=0,$J442=INT($J442)),FALSE())),$J442,0)</f>
        <v>0</v>
      </c>
      <c r="Q442" s="64" t="n">
        <f aca="false">IF(AND($P442&gt;0,$O442&gt;0),$P442,0)</f>
        <v>0</v>
      </c>
      <c r="R442" s="64" t="n">
        <f aca="false">IF(AND($Q442&gt;0,$O442&gt;=AtRank),$Q442,0)</f>
        <v>0</v>
      </c>
      <c r="S442" s="64" t="n">
        <f aca="false">IF(AND($Q442&gt;0,$O442&gt;=AboveRank),$Q442,0)</f>
        <v>0</v>
      </c>
      <c r="T442" s="64" t="n">
        <f aca="false">IF($K442="Less",$P442,0)</f>
        <v>0</v>
      </c>
      <c r="U442" s="64" t="n">
        <f aca="false">IF($K442="Expected",$P442,0)</f>
        <v>0</v>
      </c>
      <c r="V442" s="64" t="n">
        <f aca="false">IF($K442="Better",$P442,0)</f>
        <v>0</v>
      </c>
      <c r="W442" s="64" t="n">
        <f aca="false">IF($K442="U – needs rule",$P442,0)</f>
        <v>0</v>
      </c>
      <c r="X442" s="64" t="n">
        <f aca="false">IF($K442="No Start (attainment only)",$P442,0)</f>
        <v>0</v>
      </c>
    </row>
    <row r="443" customFormat="false" ht="15" hidden="false" customHeight="false" outlineLevel="0" collapsed="false">
      <c r="A443" s="60"/>
      <c r="B443" s="61" t="str">
        <f aca="false">IF($M443=0,"",INDEX(Classes!$E$6:$E$420,$M443))</f>
        <v/>
      </c>
      <c r="C443" s="62" t="str">
        <f aca="false">IF($M443=0,"",INDEX(Classes!$H$6:$H$420,$M443))</f>
        <v/>
      </c>
      <c r="D443" s="61" t="str">
        <f aca="false">IF($M443=0,"",INDEX(Classes!$B$6:$B$420,$M443))</f>
        <v/>
      </c>
      <c r="E443" s="61" t="str">
        <f aca="false">IF($M443=0,"",INDEX(Classes!$C$6:$C$420,$M443))</f>
        <v/>
      </c>
      <c r="F443" s="63"/>
      <c r="G443" s="63"/>
      <c r="H443" s="60"/>
      <c r="I443" s="60"/>
      <c r="J443" s="63"/>
      <c r="K443" s="61" t="str">
        <f aca="false">IF($P443=0,"",IF($F443="Baseline","— Baseline",IF($O443=0,"No result",IF($N443=0,"No Start (attainment only)",IF(OR($N443=1,$O443=1),"U – needs rule",INDEX(MxBody,MATCH($I443,MxCurr,0),MATCH($H443,MxStart,0)))))))</f>
        <v/>
      </c>
      <c r="L443" s="62" t="str">
        <f aca="false">IF(COUNTA($A443,$F443,$G443,$H443,$I443,$J443)=0,"",IF($M443=0,"✖ كود الصف غير موجود",IF(ISNA(MATCH($F443,Lists!$A$2:$A$5,0)),"✖ الفترة غير صحيحة",IF(ISNA(MATCH($G443,Lists!$B$2:$B$7,0)),"✖ المجموعة غير صحيحة",IF(NOT(OR($H443="",$N443&gt;0)),"✖ Start غير صحيح",IF(NOT(OR($I443="",$I443="NR",$O443&gt;0)),"✖ Current غير صحيح",IF(NOT(IF(ISNUMBER($J443),AND($J443&gt;=0,$J443=INT($J443)),FALSE())),"✖ العدد يجب أن يكون صحيحًا ≥ 0",IF(AND($F443="Baseline",$H443&lt;&gt;""),"⚠ Baseline: Start لا يدخل في التقدم",IF($K443="No Start (attainment only)","ℹ تحصيل فقط (بدون Start)",IF($K443="U – needs rule","ℹ حالة U تحتاج قاعدة معتمدة",IF($K443="No result","ℹ بدون نتيجة (يُستبعد من التحصيل)","OK")))))))))))</f>
        <v/>
      </c>
      <c r="M443" s="64" t="n">
        <f aca="false">IF($A443="",0,IFERROR(MATCH($A443,Classes!$A$6:$A$420,0),0))</f>
        <v>0</v>
      </c>
      <c r="N443" s="64" t="n">
        <f aca="false">IF($H443="",0,IFERROR(MATCH($H443,GradeList,0),0))</f>
        <v>0</v>
      </c>
      <c r="O443" s="64" t="n">
        <f aca="false">IF(OR($I443="",$I443="NR"),0,IFERROR(MATCH($I443,GradeList,0),0))</f>
        <v>0</v>
      </c>
      <c r="P443" s="64" t="n">
        <f aca="false">IF(AND($M443&gt;0,ISNUMBER(MATCH($F443,Lists!$A$2:$A$5,0)),ISNUMBER(MATCH($G443,Lists!$B$2:$B$7,0)),OR($H443="",$N443&gt;0),OR($I443="",$I443="NR",$O443&gt;0),IF(ISNUMBER($J443),AND($J443&gt;=0,$J443=INT($J443)),FALSE())),$J443,0)</f>
        <v>0</v>
      </c>
      <c r="Q443" s="64" t="n">
        <f aca="false">IF(AND($P443&gt;0,$O443&gt;0),$P443,0)</f>
        <v>0</v>
      </c>
      <c r="R443" s="64" t="n">
        <f aca="false">IF(AND($Q443&gt;0,$O443&gt;=AtRank),$Q443,0)</f>
        <v>0</v>
      </c>
      <c r="S443" s="64" t="n">
        <f aca="false">IF(AND($Q443&gt;0,$O443&gt;=AboveRank),$Q443,0)</f>
        <v>0</v>
      </c>
      <c r="T443" s="64" t="n">
        <f aca="false">IF($K443="Less",$P443,0)</f>
        <v>0</v>
      </c>
      <c r="U443" s="64" t="n">
        <f aca="false">IF($K443="Expected",$P443,0)</f>
        <v>0</v>
      </c>
      <c r="V443" s="64" t="n">
        <f aca="false">IF($K443="Better",$P443,0)</f>
        <v>0</v>
      </c>
      <c r="W443" s="64" t="n">
        <f aca="false">IF($K443="U – needs rule",$P443,0)</f>
        <v>0</v>
      </c>
      <c r="X443" s="64" t="n">
        <f aca="false">IF($K443="No Start (attainment only)",$P443,0)</f>
        <v>0</v>
      </c>
    </row>
    <row r="444" customFormat="false" ht="15" hidden="false" customHeight="false" outlineLevel="0" collapsed="false">
      <c r="A444" s="60"/>
      <c r="B444" s="61" t="str">
        <f aca="false">IF($M444=0,"",INDEX(Classes!$E$6:$E$420,$M444))</f>
        <v/>
      </c>
      <c r="C444" s="62" t="str">
        <f aca="false">IF($M444=0,"",INDEX(Classes!$H$6:$H$420,$M444))</f>
        <v/>
      </c>
      <c r="D444" s="61" t="str">
        <f aca="false">IF($M444=0,"",INDEX(Classes!$B$6:$B$420,$M444))</f>
        <v/>
      </c>
      <c r="E444" s="61" t="str">
        <f aca="false">IF($M444=0,"",INDEX(Classes!$C$6:$C$420,$M444))</f>
        <v/>
      </c>
      <c r="F444" s="63"/>
      <c r="G444" s="63"/>
      <c r="H444" s="60"/>
      <c r="I444" s="60"/>
      <c r="J444" s="63"/>
      <c r="K444" s="61" t="str">
        <f aca="false">IF($P444=0,"",IF($F444="Baseline","— Baseline",IF($O444=0,"No result",IF($N444=0,"No Start (attainment only)",IF(OR($N444=1,$O444=1),"U – needs rule",INDEX(MxBody,MATCH($I444,MxCurr,0),MATCH($H444,MxStart,0)))))))</f>
        <v/>
      </c>
      <c r="L444" s="62" t="str">
        <f aca="false">IF(COUNTA($A444,$F444,$G444,$H444,$I444,$J444)=0,"",IF($M444=0,"✖ كود الصف غير موجود",IF(ISNA(MATCH($F444,Lists!$A$2:$A$5,0)),"✖ الفترة غير صحيحة",IF(ISNA(MATCH($G444,Lists!$B$2:$B$7,0)),"✖ المجموعة غير صحيحة",IF(NOT(OR($H444="",$N444&gt;0)),"✖ Start غير صحيح",IF(NOT(OR($I444="",$I444="NR",$O444&gt;0)),"✖ Current غير صحيح",IF(NOT(IF(ISNUMBER($J444),AND($J444&gt;=0,$J444=INT($J444)),FALSE())),"✖ العدد يجب أن يكون صحيحًا ≥ 0",IF(AND($F444="Baseline",$H444&lt;&gt;""),"⚠ Baseline: Start لا يدخل في التقدم",IF($K444="No Start (attainment only)","ℹ تحصيل فقط (بدون Start)",IF($K444="U – needs rule","ℹ حالة U تحتاج قاعدة معتمدة",IF($K444="No result","ℹ بدون نتيجة (يُستبعد من التحصيل)","OK")))))))))))</f>
        <v/>
      </c>
      <c r="M444" s="64" t="n">
        <f aca="false">IF($A444="",0,IFERROR(MATCH($A444,Classes!$A$6:$A$420,0),0))</f>
        <v>0</v>
      </c>
      <c r="N444" s="64" t="n">
        <f aca="false">IF($H444="",0,IFERROR(MATCH($H444,GradeList,0),0))</f>
        <v>0</v>
      </c>
      <c r="O444" s="64" t="n">
        <f aca="false">IF(OR($I444="",$I444="NR"),0,IFERROR(MATCH($I444,GradeList,0),0))</f>
        <v>0</v>
      </c>
      <c r="P444" s="64" t="n">
        <f aca="false">IF(AND($M444&gt;0,ISNUMBER(MATCH($F444,Lists!$A$2:$A$5,0)),ISNUMBER(MATCH($G444,Lists!$B$2:$B$7,0)),OR($H444="",$N444&gt;0),OR($I444="",$I444="NR",$O444&gt;0),IF(ISNUMBER($J444),AND($J444&gt;=0,$J444=INT($J444)),FALSE())),$J444,0)</f>
        <v>0</v>
      </c>
      <c r="Q444" s="64" t="n">
        <f aca="false">IF(AND($P444&gt;0,$O444&gt;0),$P444,0)</f>
        <v>0</v>
      </c>
      <c r="R444" s="64" t="n">
        <f aca="false">IF(AND($Q444&gt;0,$O444&gt;=AtRank),$Q444,0)</f>
        <v>0</v>
      </c>
      <c r="S444" s="64" t="n">
        <f aca="false">IF(AND($Q444&gt;0,$O444&gt;=AboveRank),$Q444,0)</f>
        <v>0</v>
      </c>
      <c r="T444" s="64" t="n">
        <f aca="false">IF($K444="Less",$P444,0)</f>
        <v>0</v>
      </c>
      <c r="U444" s="64" t="n">
        <f aca="false">IF($K444="Expected",$P444,0)</f>
        <v>0</v>
      </c>
      <c r="V444" s="64" t="n">
        <f aca="false">IF($K444="Better",$P444,0)</f>
        <v>0</v>
      </c>
      <c r="W444" s="64" t="n">
        <f aca="false">IF($K444="U – needs rule",$P444,0)</f>
        <v>0</v>
      </c>
      <c r="X444" s="64" t="n">
        <f aca="false">IF($K444="No Start (attainment only)",$P444,0)</f>
        <v>0</v>
      </c>
    </row>
    <row r="445" customFormat="false" ht="15" hidden="false" customHeight="false" outlineLevel="0" collapsed="false">
      <c r="A445" s="60"/>
      <c r="B445" s="61" t="str">
        <f aca="false">IF($M445=0,"",INDEX(Classes!$E$6:$E$420,$M445))</f>
        <v/>
      </c>
      <c r="C445" s="62" t="str">
        <f aca="false">IF($M445=0,"",INDEX(Classes!$H$6:$H$420,$M445))</f>
        <v/>
      </c>
      <c r="D445" s="61" t="str">
        <f aca="false">IF($M445=0,"",INDEX(Classes!$B$6:$B$420,$M445))</f>
        <v/>
      </c>
      <c r="E445" s="61" t="str">
        <f aca="false">IF($M445=0,"",INDEX(Classes!$C$6:$C$420,$M445))</f>
        <v/>
      </c>
      <c r="F445" s="63"/>
      <c r="G445" s="63"/>
      <c r="H445" s="60"/>
      <c r="I445" s="60"/>
      <c r="J445" s="63"/>
      <c r="K445" s="61" t="str">
        <f aca="false">IF($P445=0,"",IF($F445="Baseline","— Baseline",IF($O445=0,"No result",IF($N445=0,"No Start (attainment only)",IF(OR($N445=1,$O445=1),"U – needs rule",INDEX(MxBody,MATCH($I445,MxCurr,0),MATCH($H445,MxStart,0)))))))</f>
        <v/>
      </c>
      <c r="L445" s="62" t="str">
        <f aca="false">IF(COUNTA($A445,$F445,$G445,$H445,$I445,$J445)=0,"",IF($M445=0,"✖ كود الصف غير موجود",IF(ISNA(MATCH($F445,Lists!$A$2:$A$5,0)),"✖ الفترة غير صحيحة",IF(ISNA(MATCH($G445,Lists!$B$2:$B$7,0)),"✖ المجموعة غير صحيحة",IF(NOT(OR($H445="",$N445&gt;0)),"✖ Start غير صحيح",IF(NOT(OR($I445="",$I445="NR",$O445&gt;0)),"✖ Current غير صحيح",IF(NOT(IF(ISNUMBER($J445),AND($J445&gt;=0,$J445=INT($J445)),FALSE())),"✖ العدد يجب أن يكون صحيحًا ≥ 0",IF(AND($F445="Baseline",$H445&lt;&gt;""),"⚠ Baseline: Start لا يدخل في التقدم",IF($K445="No Start (attainment only)","ℹ تحصيل فقط (بدون Start)",IF($K445="U – needs rule","ℹ حالة U تحتاج قاعدة معتمدة",IF($K445="No result","ℹ بدون نتيجة (يُستبعد من التحصيل)","OK")))))))))))</f>
        <v/>
      </c>
      <c r="M445" s="64" t="n">
        <f aca="false">IF($A445="",0,IFERROR(MATCH($A445,Classes!$A$6:$A$420,0),0))</f>
        <v>0</v>
      </c>
      <c r="N445" s="64" t="n">
        <f aca="false">IF($H445="",0,IFERROR(MATCH($H445,GradeList,0),0))</f>
        <v>0</v>
      </c>
      <c r="O445" s="64" t="n">
        <f aca="false">IF(OR($I445="",$I445="NR"),0,IFERROR(MATCH($I445,GradeList,0),0))</f>
        <v>0</v>
      </c>
      <c r="P445" s="64" t="n">
        <f aca="false">IF(AND($M445&gt;0,ISNUMBER(MATCH($F445,Lists!$A$2:$A$5,0)),ISNUMBER(MATCH($G445,Lists!$B$2:$B$7,0)),OR($H445="",$N445&gt;0),OR($I445="",$I445="NR",$O445&gt;0),IF(ISNUMBER($J445),AND($J445&gt;=0,$J445=INT($J445)),FALSE())),$J445,0)</f>
        <v>0</v>
      </c>
      <c r="Q445" s="64" t="n">
        <f aca="false">IF(AND($P445&gt;0,$O445&gt;0),$P445,0)</f>
        <v>0</v>
      </c>
      <c r="R445" s="64" t="n">
        <f aca="false">IF(AND($Q445&gt;0,$O445&gt;=AtRank),$Q445,0)</f>
        <v>0</v>
      </c>
      <c r="S445" s="64" t="n">
        <f aca="false">IF(AND($Q445&gt;0,$O445&gt;=AboveRank),$Q445,0)</f>
        <v>0</v>
      </c>
      <c r="T445" s="64" t="n">
        <f aca="false">IF($K445="Less",$P445,0)</f>
        <v>0</v>
      </c>
      <c r="U445" s="64" t="n">
        <f aca="false">IF($K445="Expected",$P445,0)</f>
        <v>0</v>
      </c>
      <c r="V445" s="64" t="n">
        <f aca="false">IF($K445="Better",$P445,0)</f>
        <v>0</v>
      </c>
      <c r="W445" s="64" t="n">
        <f aca="false">IF($K445="U – needs rule",$P445,0)</f>
        <v>0</v>
      </c>
      <c r="X445" s="64" t="n">
        <f aca="false">IF($K445="No Start (attainment only)",$P445,0)</f>
        <v>0</v>
      </c>
    </row>
    <row r="446" customFormat="false" ht="15" hidden="false" customHeight="false" outlineLevel="0" collapsed="false">
      <c r="A446" s="60"/>
      <c r="B446" s="61" t="str">
        <f aca="false">IF($M446=0,"",INDEX(Classes!$E$6:$E$420,$M446))</f>
        <v/>
      </c>
      <c r="C446" s="62" t="str">
        <f aca="false">IF($M446=0,"",INDEX(Classes!$H$6:$H$420,$M446))</f>
        <v/>
      </c>
      <c r="D446" s="61" t="str">
        <f aca="false">IF($M446=0,"",INDEX(Classes!$B$6:$B$420,$M446))</f>
        <v/>
      </c>
      <c r="E446" s="61" t="str">
        <f aca="false">IF($M446=0,"",INDEX(Classes!$C$6:$C$420,$M446))</f>
        <v/>
      </c>
      <c r="F446" s="63"/>
      <c r="G446" s="63"/>
      <c r="H446" s="60"/>
      <c r="I446" s="60"/>
      <c r="J446" s="63"/>
      <c r="K446" s="61" t="str">
        <f aca="false">IF($P446=0,"",IF($F446="Baseline","— Baseline",IF($O446=0,"No result",IF($N446=0,"No Start (attainment only)",IF(OR($N446=1,$O446=1),"U – needs rule",INDEX(MxBody,MATCH($I446,MxCurr,0),MATCH($H446,MxStart,0)))))))</f>
        <v/>
      </c>
      <c r="L446" s="62" t="str">
        <f aca="false">IF(COUNTA($A446,$F446,$G446,$H446,$I446,$J446)=0,"",IF($M446=0,"✖ كود الصف غير موجود",IF(ISNA(MATCH($F446,Lists!$A$2:$A$5,0)),"✖ الفترة غير صحيحة",IF(ISNA(MATCH($G446,Lists!$B$2:$B$7,0)),"✖ المجموعة غير صحيحة",IF(NOT(OR($H446="",$N446&gt;0)),"✖ Start غير صحيح",IF(NOT(OR($I446="",$I446="NR",$O446&gt;0)),"✖ Current غير صحيح",IF(NOT(IF(ISNUMBER($J446),AND($J446&gt;=0,$J446=INT($J446)),FALSE())),"✖ العدد يجب أن يكون صحيحًا ≥ 0",IF(AND($F446="Baseline",$H446&lt;&gt;""),"⚠ Baseline: Start لا يدخل في التقدم",IF($K446="No Start (attainment only)","ℹ تحصيل فقط (بدون Start)",IF($K446="U – needs rule","ℹ حالة U تحتاج قاعدة معتمدة",IF($K446="No result","ℹ بدون نتيجة (يُستبعد من التحصيل)","OK")))))))))))</f>
        <v/>
      </c>
      <c r="M446" s="64" t="n">
        <f aca="false">IF($A446="",0,IFERROR(MATCH($A446,Classes!$A$6:$A$420,0),0))</f>
        <v>0</v>
      </c>
      <c r="N446" s="64" t="n">
        <f aca="false">IF($H446="",0,IFERROR(MATCH($H446,GradeList,0),0))</f>
        <v>0</v>
      </c>
      <c r="O446" s="64" t="n">
        <f aca="false">IF(OR($I446="",$I446="NR"),0,IFERROR(MATCH($I446,GradeList,0),0))</f>
        <v>0</v>
      </c>
      <c r="P446" s="64" t="n">
        <f aca="false">IF(AND($M446&gt;0,ISNUMBER(MATCH($F446,Lists!$A$2:$A$5,0)),ISNUMBER(MATCH($G446,Lists!$B$2:$B$7,0)),OR($H446="",$N446&gt;0),OR($I446="",$I446="NR",$O446&gt;0),IF(ISNUMBER($J446),AND($J446&gt;=0,$J446=INT($J446)),FALSE())),$J446,0)</f>
        <v>0</v>
      </c>
      <c r="Q446" s="64" t="n">
        <f aca="false">IF(AND($P446&gt;0,$O446&gt;0),$P446,0)</f>
        <v>0</v>
      </c>
      <c r="R446" s="64" t="n">
        <f aca="false">IF(AND($Q446&gt;0,$O446&gt;=AtRank),$Q446,0)</f>
        <v>0</v>
      </c>
      <c r="S446" s="64" t="n">
        <f aca="false">IF(AND($Q446&gt;0,$O446&gt;=AboveRank),$Q446,0)</f>
        <v>0</v>
      </c>
      <c r="T446" s="64" t="n">
        <f aca="false">IF($K446="Less",$P446,0)</f>
        <v>0</v>
      </c>
      <c r="U446" s="64" t="n">
        <f aca="false">IF($K446="Expected",$P446,0)</f>
        <v>0</v>
      </c>
      <c r="V446" s="64" t="n">
        <f aca="false">IF($K446="Better",$P446,0)</f>
        <v>0</v>
      </c>
      <c r="W446" s="64" t="n">
        <f aca="false">IF($K446="U – needs rule",$P446,0)</f>
        <v>0</v>
      </c>
      <c r="X446" s="64" t="n">
        <f aca="false">IF($K446="No Start (attainment only)",$P446,0)</f>
        <v>0</v>
      </c>
    </row>
    <row r="447" customFormat="false" ht="15" hidden="false" customHeight="false" outlineLevel="0" collapsed="false">
      <c r="A447" s="60"/>
      <c r="B447" s="61" t="str">
        <f aca="false">IF($M447=0,"",INDEX(Classes!$E$6:$E$420,$M447))</f>
        <v/>
      </c>
      <c r="C447" s="62" t="str">
        <f aca="false">IF($M447=0,"",INDEX(Classes!$H$6:$H$420,$M447))</f>
        <v/>
      </c>
      <c r="D447" s="61" t="str">
        <f aca="false">IF($M447=0,"",INDEX(Classes!$B$6:$B$420,$M447))</f>
        <v/>
      </c>
      <c r="E447" s="61" t="str">
        <f aca="false">IF($M447=0,"",INDEX(Classes!$C$6:$C$420,$M447))</f>
        <v/>
      </c>
      <c r="F447" s="63"/>
      <c r="G447" s="63"/>
      <c r="H447" s="60"/>
      <c r="I447" s="60"/>
      <c r="J447" s="63"/>
      <c r="K447" s="61" t="str">
        <f aca="false">IF($P447=0,"",IF($F447="Baseline","— Baseline",IF($O447=0,"No result",IF($N447=0,"No Start (attainment only)",IF(OR($N447=1,$O447=1),"U – needs rule",INDEX(MxBody,MATCH($I447,MxCurr,0),MATCH($H447,MxStart,0)))))))</f>
        <v/>
      </c>
      <c r="L447" s="62" t="str">
        <f aca="false">IF(COUNTA($A447,$F447,$G447,$H447,$I447,$J447)=0,"",IF($M447=0,"✖ كود الصف غير موجود",IF(ISNA(MATCH($F447,Lists!$A$2:$A$5,0)),"✖ الفترة غير صحيحة",IF(ISNA(MATCH($G447,Lists!$B$2:$B$7,0)),"✖ المجموعة غير صحيحة",IF(NOT(OR($H447="",$N447&gt;0)),"✖ Start غير صحيح",IF(NOT(OR($I447="",$I447="NR",$O447&gt;0)),"✖ Current غير صحيح",IF(NOT(IF(ISNUMBER($J447),AND($J447&gt;=0,$J447=INT($J447)),FALSE())),"✖ العدد يجب أن يكون صحيحًا ≥ 0",IF(AND($F447="Baseline",$H447&lt;&gt;""),"⚠ Baseline: Start لا يدخل في التقدم",IF($K447="No Start (attainment only)","ℹ تحصيل فقط (بدون Start)",IF($K447="U – needs rule","ℹ حالة U تحتاج قاعدة معتمدة",IF($K447="No result","ℹ بدون نتيجة (يُستبعد من التحصيل)","OK")))))))))))</f>
        <v/>
      </c>
      <c r="M447" s="64" t="n">
        <f aca="false">IF($A447="",0,IFERROR(MATCH($A447,Classes!$A$6:$A$420,0),0))</f>
        <v>0</v>
      </c>
      <c r="N447" s="64" t="n">
        <f aca="false">IF($H447="",0,IFERROR(MATCH($H447,GradeList,0),0))</f>
        <v>0</v>
      </c>
      <c r="O447" s="64" t="n">
        <f aca="false">IF(OR($I447="",$I447="NR"),0,IFERROR(MATCH($I447,GradeList,0),0))</f>
        <v>0</v>
      </c>
      <c r="P447" s="64" t="n">
        <f aca="false">IF(AND($M447&gt;0,ISNUMBER(MATCH($F447,Lists!$A$2:$A$5,0)),ISNUMBER(MATCH($G447,Lists!$B$2:$B$7,0)),OR($H447="",$N447&gt;0),OR($I447="",$I447="NR",$O447&gt;0),IF(ISNUMBER($J447),AND($J447&gt;=0,$J447=INT($J447)),FALSE())),$J447,0)</f>
        <v>0</v>
      </c>
      <c r="Q447" s="64" t="n">
        <f aca="false">IF(AND($P447&gt;0,$O447&gt;0),$P447,0)</f>
        <v>0</v>
      </c>
      <c r="R447" s="64" t="n">
        <f aca="false">IF(AND($Q447&gt;0,$O447&gt;=AtRank),$Q447,0)</f>
        <v>0</v>
      </c>
      <c r="S447" s="64" t="n">
        <f aca="false">IF(AND($Q447&gt;0,$O447&gt;=AboveRank),$Q447,0)</f>
        <v>0</v>
      </c>
      <c r="T447" s="64" t="n">
        <f aca="false">IF($K447="Less",$P447,0)</f>
        <v>0</v>
      </c>
      <c r="U447" s="64" t="n">
        <f aca="false">IF($K447="Expected",$P447,0)</f>
        <v>0</v>
      </c>
      <c r="V447" s="64" t="n">
        <f aca="false">IF($K447="Better",$P447,0)</f>
        <v>0</v>
      </c>
      <c r="W447" s="64" t="n">
        <f aca="false">IF($K447="U – needs rule",$P447,0)</f>
        <v>0</v>
      </c>
      <c r="X447" s="64" t="n">
        <f aca="false">IF($K447="No Start (attainment only)",$P447,0)</f>
        <v>0</v>
      </c>
    </row>
    <row r="448" customFormat="false" ht="15" hidden="false" customHeight="false" outlineLevel="0" collapsed="false">
      <c r="A448" s="60"/>
      <c r="B448" s="61" t="str">
        <f aca="false">IF($M448=0,"",INDEX(Classes!$E$6:$E$420,$M448))</f>
        <v/>
      </c>
      <c r="C448" s="62" t="str">
        <f aca="false">IF($M448=0,"",INDEX(Classes!$H$6:$H$420,$M448))</f>
        <v/>
      </c>
      <c r="D448" s="61" t="str">
        <f aca="false">IF($M448=0,"",INDEX(Classes!$B$6:$B$420,$M448))</f>
        <v/>
      </c>
      <c r="E448" s="61" t="str">
        <f aca="false">IF($M448=0,"",INDEX(Classes!$C$6:$C$420,$M448))</f>
        <v/>
      </c>
      <c r="F448" s="63"/>
      <c r="G448" s="63"/>
      <c r="H448" s="60"/>
      <c r="I448" s="60"/>
      <c r="J448" s="63"/>
      <c r="K448" s="61" t="str">
        <f aca="false">IF($P448=0,"",IF($F448="Baseline","— Baseline",IF($O448=0,"No result",IF($N448=0,"No Start (attainment only)",IF(OR($N448=1,$O448=1),"U – needs rule",INDEX(MxBody,MATCH($I448,MxCurr,0),MATCH($H448,MxStart,0)))))))</f>
        <v/>
      </c>
      <c r="L448" s="62" t="str">
        <f aca="false">IF(COUNTA($A448,$F448,$G448,$H448,$I448,$J448)=0,"",IF($M448=0,"✖ كود الصف غير موجود",IF(ISNA(MATCH($F448,Lists!$A$2:$A$5,0)),"✖ الفترة غير صحيحة",IF(ISNA(MATCH($G448,Lists!$B$2:$B$7,0)),"✖ المجموعة غير صحيحة",IF(NOT(OR($H448="",$N448&gt;0)),"✖ Start غير صحيح",IF(NOT(OR($I448="",$I448="NR",$O448&gt;0)),"✖ Current غير صحيح",IF(NOT(IF(ISNUMBER($J448),AND($J448&gt;=0,$J448=INT($J448)),FALSE())),"✖ العدد يجب أن يكون صحيحًا ≥ 0",IF(AND($F448="Baseline",$H448&lt;&gt;""),"⚠ Baseline: Start لا يدخل في التقدم",IF($K448="No Start (attainment only)","ℹ تحصيل فقط (بدون Start)",IF($K448="U – needs rule","ℹ حالة U تحتاج قاعدة معتمدة",IF($K448="No result","ℹ بدون نتيجة (يُستبعد من التحصيل)","OK")))))))))))</f>
        <v/>
      </c>
      <c r="M448" s="64" t="n">
        <f aca="false">IF($A448="",0,IFERROR(MATCH($A448,Classes!$A$6:$A$420,0),0))</f>
        <v>0</v>
      </c>
      <c r="N448" s="64" t="n">
        <f aca="false">IF($H448="",0,IFERROR(MATCH($H448,GradeList,0),0))</f>
        <v>0</v>
      </c>
      <c r="O448" s="64" t="n">
        <f aca="false">IF(OR($I448="",$I448="NR"),0,IFERROR(MATCH($I448,GradeList,0),0))</f>
        <v>0</v>
      </c>
      <c r="P448" s="64" t="n">
        <f aca="false">IF(AND($M448&gt;0,ISNUMBER(MATCH($F448,Lists!$A$2:$A$5,0)),ISNUMBER(MATCH($G448,Lists!$B$2:$B$7,0)),OR($H448="",$N448&gt;0),OR($I448="",$I448="NR",$O448&gt;0),IF(ISNUMBER($J448),AND($J448&gt;=0,$J448=INT($J448)),FALSE())),$J448,0)</f>
        <v>0</v>
      </c>
      <c r="Q448" s="64" t="n">
        <f aca="false">IF(AND($P448&gt;0,$O448&gt;0),$P448,0)</f>
        <v>0</v>
      </c>
      <c r="R448" s="64" t="n">
        <f aca="false">IF(AND($Q448&gt;0,$O448&gt;=AtRank),$Q448,0)</f>
        <v>0</v>
      </c>
      <c r="S448" s="64" t="n">
        <f aca="false">IF(AND($Q448&gt;0,$O448&gt;=AboveRank),$Q448,0)</f>
        <v>0</v>
      </c>
      <c r="T448" s="64" t="n">
        <f aca="false">IF($K448="Less",$P448,0)</f>
        <v>0</v>
      </c>
      <c r="U448" s="64" t="n">
        <f aca="false">IF($K448="Expected",$P448,0)</f>
        <v>0</v>
      </c>
      <c r="V448" s="64" t="n">
        <f aca="false">IF($K448="Better",$P448,0)</f>
        <v>0</v>
      </c>
      <c r="W448" s="64" t="n">
        <f aca="false">IF($K448="U – needs rule",$P448,0)</f>
        <v>0</v>
      </c>
      <c r="X448" s="64" t="n">
        <f aca="false">IF($K448="No Start (attainment only)",$P448,0)</f>
        <v>0</v>
      </c>
    </row>
    <row r="449" customFormat="false" ht="15" hidden="false" customHeight="false" outlineLevel="0" collapsed="false">
      <c r="A449" s="60"/>
      <c r="B449" s="61" t="str">
        <f aca="false">IF($M449=0,"",INDEX(Classes!$E$6:$E$420,$M449))</f>
        <v/>
      </c>
      <c r="C449" s="62" t="str">
        <f aca="false">IF($M449=0,"",INDEX(Classes!$H$6:$H$420,$M449))</f>
        <v/>
      </c>
      <c r="D449" s="61" t="str">
        <f aca="false">IF($M449=0,"",INDEX(Classes!$B$6:$B$420,$M449))</f>
        <v/>
      </c>
      <c r="E449" s="61" t="str">
        <f aca="false">IF($M449=0,"",INDEX(Classes!$C$6:$C$420,$M449))</f>
        <v/>
      </c>
      <c r="F449" s="63"/>
      <c r="G449" s="63"/>
      <c r="H449" s="60"/>
      <c r="I449" s="60"/>
      <c r="J449" s="63"/>
      <c r="K449" s="61" t="str">
        <f aca="false">IF($P449=0,"",IF($F449="Baseline","— Baseline",IF($O449=0,"No result",IF($N449=0,"No Start (attainment only)",IF(OR($N449=1,$O449=1),"U – needs rule",INDEX(MxBody,MATCH($I449,MxCurr,0),MATCH($H449,MxStart,0)))))))</f>
        <v/>
      </c>
      <c r="L449" s="62" t="str">
        <f aca="false">IF(COUNTA($A449,$F449,$G449,$H449,$I449,$J449)=0,"",IF($M449=0,"✖ كود الصف غير موجود",IF(ISNA(MATCH($F449,Lists!$A$2:$A$5,0)),"✖ الفترة غير صحيحة",IF(ISNA(MATCH($G449,Lists!$B$2:$B$7,0)),"✖ المجموعة غير صحيحة",IF(NOT(OR($H449="",$N449&gt;0)),"✖ Start غير صحيح",IF(NOT(OR($I449="",$I449="NR",$O449&gt;0)),"✖ Current غير صحيح",IF(NOT(IF(ISNUMBER($J449),AND($J449&gt;=0,$J449=INT($J449)),FALSE())),"✖ العدد يجب أن يكون صحيحًا ≥ 0",IF(AND($F449="Baseline",$H449&lt;&gt;""),"⚠ Baseline: Start لا يدخل في التقدم",IF($K449="No Start (attainment only)","ℹ تحصيل فقط (بدون Start)",IF($K449="U – needs rule","ℹ حالة U تحتاج قاعدة معتمدة",IF($K449="No result","ℹ بدون نتيجة (يُستبعد من التحصيل)","OK")))))))))))</f>
        <v/>
      </c>
      <c r="M449" s="64" t="n">
        <f aca="false">IF($A449="",0,IFERROR(MATCH($A449,Classes!$A$6:$A$420,0),0))</f>
        <v>0</v>
      </c>
      <c r="N449" s="64" t="n">
        <f aca="false">IF($H449="",0,IFERROR(MATCH($H449,GradeList,0),0))</f>
        <v>0</v>
      </c>
      <c r="O449" s="64" t="n">
        <f aca="false">IF(OR($I449="",$I449="NR"),0,IFERROR(MATCH($I449,GradeList,0),0))</f>
        <v>0</v>
      </c>
      <c r="P449" s="64" t="n">
        <f aca="false">IF(AND($M449&gt;0,ISNUMBER(MATCH($F449,Lists!$A$2:$A$5,0)),ISNUMBER(MATCH($G449,Lists!$B$2:$B$7,0)),OR($H449="",$N449&gt;0),OR($I449="",$I449="NR",$O449&gt;0),IF(ISNUMBER($J449),AND($J449&gt;=0,$J449=INT($J449)),FALSE())),$J449,0)</f>
        <v>0</v>
      </c>
      <c r="Q449" s="64" t="n">
        <f aca="false">IF(AND($P449&gt;0,$O449&gt;0),$P449,0)</f>
        <v>0</v>
      </c>
      <c r="R449" s="64" t="n">
        <f aca="false">IF(AND($Q449&gt;0,$O449&gt;=AtRank),$Q449,0)</f>
        <v>0</v>
      </c>
      <c r="S449" s="64" t="n">
        <f aca="false">IF(AND($Q449&gt;0,$O449&gt;=AboveRank),$Q449,0)</f>
        <v>0</v>
      </c>
      <c r="T449" s="64" t="n">
        <f aca="false">IF($K449="Less",$P449,0)</f>
        <v>0</v>
      </c>
      <c r="U449" s="64" t="n">
        <f aca="false">IF($K449="Expected",$P449,0)</f>
        <v>0</v>
      </c>
      <c r="V449" s="64" t="n">
        <f aca="false">IF($K449="Better",$P449,0)</f>
        <v>0</v>
      </c>
      <c r="W449" s="64" t="n">
        <f aca="false">IF($K449="U – needs rule",$P449,0)</f>
        <v>0</v>
      </c>
      <c r="X449" s="64" t="n">
        <f aca="false">IF($K449="No Start (attainment only)",$P449,0)</f>
        <v>0</v>
      </c>
    </row>
    <row r="450" customFormat="false" ht="15" hidden="false" customHeight="false" outlineLevel="0" collapsed="false">
      <c r="A450" s="60"/>
      <c r="B450" s="61" t="str">
        <f aca="false">IF($M450=0,"",INDEX(Classes!$E$6:$E$420,$M450))</f>
        <v/>
      </c>
      <c r="C450" s="62" t="str">
        <f aca="false">IF($M450=0,"",INDEX(Classes!$H$6:$H$420,$M450))</f>
        <v/>
      </c>
      <c r="D450" s="61" t="str">
        <f aca="false">IF($M450=0,"",INDEX(Classes!$B$6:$B$420,$M450))</f>
        <v/>
      </c>
      <c r="E450" s="61" t="str">
        <f aca="false">IF($M450=0,"",INDEX(Classes!$C$6:$C$420,$M450))</f>
        <v/>
      </c>
      <c r="F450" s="63"/>
      <c r="G450" s="63"/>
      <c r="H450" s="60"/>
      <c r="I450" s="60"/>
      <c r="J450" s="63"/>
      <c r="K450" s="61" t="str">
        <f aca="false">IF($P450=0,"",IF($F450="Baseline","— Baseline",IF($O450=0,"No result",IF($N450=0,"No Start (attainment only)",IF(OR($N450=1,$O450=1),"U – needs rule",INDEX(MxBody,MATCH($I450,MxCurr,0),MATCH($H450,MxStart,0)))))))</f>
        <v/>
      </c>
      <c r="L450" s="62" t="str">
        <f aca="false">IF(COUNTA($A450,$F450,$G450,$H450,$I450,$J450)=0,"",IF($M450=0,"✖ كود الصف غير موجود",IF(ISNA(MATCH($F450,Lists!$A$2:$A$5,0)),"✖ الفترة غير صحيحة",IF(ISNA(MATCH($G450,Lists!$B$2:$B$7,0)),"✖ المجموعة غير صحيحة",IF(NOT(OR($H450="",$N450&gt;0)),"✖ Start غير صحيح",IF(NOT(OR($I450="",$I450="NR",$O450&gt;0)),"✖ Current غير صحيح",IF(NOT(IF(ISNUMBER($J450),AND($J450&gt;=0,$J450=INT($J450)),FALSE())),"✖ العدد يجب أن يكون صحيحًا ≥ 0",IF(AND($F450="Baseline",$H450&lt;&gt;""),"⚠ Baseline: Start لا يدخل في التقدم",IF($K450="No Start (attainment only)","ℹ تحصيل فقط (بدون Start)",IF($K450="U – needs rule","ℹ حالة U تحتاج قاعدة معتمدة",IF($K450="No result","ℹ بدون نتيجة (يُستبعد من التحصيل)","OK")))))))))))</f>
        <v/>
      </c>
      <c r="M450" s="64" t="n">
        <f aca="false">IF($A450="",0,IFERROR(MATCH($A450,Classes!$A$6:$A$420,0),0))</f>
        <v>0</v>
      </c>
      <c r="N450" s="64" t="n">
        <f aca="false">IF($H450="",0,IFERROR(MATCH($H450,GradeList,0),0))</f>
        <v>0</v>
      </c>
      <c r="O450" s="64" t="n">
        <f aca="false">IF(OR($I450="",$I450="NR"),0,IFERROR(MATCH($I450,GradeList,0),0))</f>
        <v>0</v>
      </c>
      <c r="P450" s="64" t="n">
        <f aca="false">IF(AND($M450&gt;0,ISNUMBER(MATCH($F450,Lists!$A$2:$A$5,0)),ISNUMBER(MATCH($G450,Lists!$B$2:$B$7,0)),OR($H450="",$N450&gt;0),OR($I450="",$I450="NR",$O450&gt;0),IF(ISNUMBER($J450),AND($J450&gt;=0,$J450=INT($J450)),FALSE())),$J450,0)</f>
        <v>0</v>
      </c>
      <c r="Q450" s="64" t="n">
        <f aca="false">IF(AND($P450&gt;0,$O450&gt;0),$P450,0)</f>
        <v>0</v>
      </c>
      <c r="R450" s="64" t="n">
        <f aca="false">IF(AND($Q450&gt;0,$O450&gt;=AtRank),$Q450,0)</f>
        <v>0</v>
      </c>
      <c r="S450" s="64" t="n">
        <f aca="false">IF(AND($Q450&gt;0,$O450&gt;=AboveRank),$Q450,0)</f>
        <v>0</v>
      </c>
      <c r="T450" s="64" t="n">
        <f aca="false">IF($K450="Less",$P450,0)</f>
        <v>0</v>
      </c>
      <c r="U450" s="64" t="n">
        <f aca="false">IF($K450="Expected",$P450,0)</f>
        <v>0</v>
      </c>
      <c r="V450" s="64" t="n">
        <f aca="false">IF($K450="Better",$P450,0)</f>
        <v>0</v>
      </c>
      <c r="W450" s="64" t="n">
        <f aca="false">IF($K450="U – needs rule",$P450,0)</f>
        <v>0</v>
      </c>
      <c r="X450" s="64" t="n">
        <f aca="false">IF($K450="No Start (attainment only)",$P450,0)</f>
        <v>0</v>
      </c>
    </row>
    <row r="451" customFormat="false" ht="15" hidden="false" customHeight="false" outlineLevel="0" collapsed="false">
      <c r="A451" s="60"/>
      <c r="B451" s="61" t="str">
        <f aca="false">IF($M451=0,"",INDEX(Classes!$E$6:$E$420,$M451))</f>
        <v/>
      </c>
      <c r="C451" s="62" t="str">
        <f aca="false">IF($M451=0,"",INDEX(Classes!$H$6:$H$420,$M451))</f>
        <v/>
      </c>
      <c r="D451" s="61" t="str">
        <f aca="false">IF($M451=0,"",INDEX(Classes!$B$6:$B$420,$M451))</f>
        <v/>
      </c>
      <c r="E451" s="61" t="str">
        <f aca="false">IF($M451=0,"",INDEX(Classes!$C$6:$C$420,$M451))</f>
        <v/>
      </c>
      <c r="F451" s="63"/>
      <c r="G451" s="63"/>
      <c r="H451" s="60"/>
      <c r="I451" s="60"/>
      <c r="J451" s="63"/>
      <c r="K451" s="61" t="str">
        <f aca="false">IF($P451=0,"",IF($F451="Baseline","— Baseline",IF($O451=0,"No result",IF($N451=0,"No Start (attainment only)",IF(OR($N451=1,$O451=1),"U – needs rule",INDEX(MxBody,MATCH($I451,MxCurr,0),MATCH($H451,MxStart,0)))))))</f>
        <v/>
      </c>
      <c r="L451" s="62" t="str">
        <f aca="false">IF(COUNTA($A451,$F451,$G451,$H451,$I451,$J451)=0,"",IF($M451=0,"✖ كود الصف غير موجود",IF(ISNA(MATCH($F451,Lists!$A$2:$A$5,0)),"✖ الفترة غير صحيحة",IF(ISNA(MATCH($G451,Lists!$B$2:$B$7,0)),"✖ المجموعة غير صحيحة",IF(NOT(OR($H451="",$N451&gt;0)),"✖ Start غير صحيح",IF(NOT(OR($I451="",$I451="NR",$O451&gt;0)),"✖ Current غير صحيح",IF(NOT(IF(ISNUMBER($J451),AND($J451&gt;=0,$J451=INT($J451)),FALSE())),"✖ العدد يجب أن يكون صحيحًا ≥ 0",IF(AND($F451="Baseline",$H451&lt;&gt;""),"⚠ Baseline: Start لا يدخل في التقدم",IF($K451="No Start (attainment only)","ℹ تحصيل فقط (بدون Start)",IF($K451="U – needs rule","ℹ حالة U تحتاج قاعدة معتمدة",IF($K451="No result","ℹ بدون نتيجة (يُستبعد من التحصيل)","OK")))))))))))</f>
        <v/>
      </c>
      <c r="M451" s="64" t="n">
        <f aca="false">IF($A451="",0,IFERROR(MATCH($A451,Classes!$A$6:$A$420,0),0))</f>
        <v>0</v>
      </c>
      <c r="N451" s="64" t="n">
        <f aca="false">IF($H451="",0,IFERROR(MATCH($H451,GradeList,0),0))</f>
        <v>0</v>
      </c>
      <c r="O451" s="64" t="n">
        <f aca="false">IF(OR($I451="",$I451="NR"),0,IFERROR(MATCH($I451,GradeList,0),0))</f>
        <v>0</v>
      </c>
      <c r="P451" s="64" t="n">
        <f aca="false">IF(AND($M451&gt;0,ISNUMBER(MATCH($F451,Lists!$A$2:$A$5,0)),ISNUMBER(MATCH($G451,Lists!$B$2:$B$7,0)),OR($H451="",$N451&gt;0),OR($I451="",$I451="NR",$O451&gt;0),IF(ISNUMBER($J451),AND($J451&gt;=0,$J451=INT($J451)),FALSE())),$J451,0)</f>
        <v>0</v>
      </c>
      <c r="Q451" s="64" t="n">
        <f aca="false">IF(AND($P451&gt;0,$O451&gt;0),$P451,0)</f>
        <v>0</v>
      </c>
      <c r="R451" s="64" t="n">
        <f aca="false">IF(AND($Q451&gt;0,$O451&gt;=AtRank),$Q451,0)</f>
        <v>0</v>
      </c>
      <c r="S451" s="64" t="n">
        <f aca="false">IF(AND($Q451&gt;0,$O451&gt;=AboveRank),$Q451,0)</f>
        <v>0</v>
      </c>
      <c r="T451" s="64" t="n">
        <f aca="false">IF($K451="Less",$P451,0)</f>
        <v>0</v>
      </c>
      <c r="U451" s="64" t="n">
        <f aca="false">IF($K451="Expected",$P451,0)</f>
        <v>0</v>
      </c>
      <c r="V451" s="64" t="n">
        <f aca="false">IF($K451="Better",$P451,0)</f>
        <v>0</v>
      </c>
      <c r="W451" s="64" t="n">
        <f aca="false">IF($K451="U – needs rule",$P451,0)</f>
        <v>0</v>
      </c>
      <c r="X451" s="64" t="n">
        <f aca="false">IF($K451="No Start (attainment only)",$P451,0)</f>
        <v>0</v>
      </c>
    </row>
    <row r="452" customFormat="false" ht="15" hidden="false" customHeight="false" outlineLevel="0" collapsed="false">
      <c r="A452" s="60"/>
      <c r="B452" s="61" t="str">
        <f aca="false">IF($M452=0,"",INDEX(Classes!$E$6:$E$420,$M452))</f>
        <v/>
      </c>
      <c r="C452" s="62" t="str">
        <f aca="false">IF($M452=0,"",INDEX(Classes!$H$6:$H$420,$M452))</f>
        <v/>
      </c>
      <c r="D452" s="61" t="str">
        <f aca="false">IF($M452=0,"",INDEX(Classes!$B$6:$B$420,$M452))</f>
        <v/>
      </c>
      <c r="E452" s="61" t="str">
        <f aca="false">IF($M452=0,"",INDEX(Classes!$C$6:$C$420,$M452))</f>
        <v/>
      </c>
      <c r="F452" s="63"/>
      <c r="G452" s="63"/>
      <c r="H452" s="60"/>
      <c r="I452" s="60"/>
      <c r="J452" s="63"/>
      <c r="K452" s="61" t="str">
        <f aca="false">IF($P452=0,"",IF($F452="Baseline","— Baseline",IF($O452=0,"No result",IF($N452=0,"No Start (attainment only)",IF(OR($N452=1,$O452=1),"U – needs rule",INDEX(MxBody,MATCH($I452,MxCurr,0),MATCH($H452,MxStart,0)))))))</f>
        <v/>
      </c>
      <c r="L452" s="62" t="str">
        <f aca="false">IF(COUNTA($A452,$F452,$G452,$H452,$I452,$J452)=0,"",IF($M452=0,"✖ كود الصف غير موجود",IF(ISNA(MATCH($F452,Lists!$A$2:$A$5,0)),"✖ الفترة غير صحيحة",IF(ISNA(MATCH($G452,Lists!$B$2:$B$7,0)),"✖ المجموعة غير صحيحة",IF(NOT(OR($H452="",$N452&gt;0)),"✖ Start غير صحيح",IF(NOT(OR($I452="",$I452="NR",$O452&gt;0)),"✖ Current غير صحيح",IF(NOT(IF(ISNUMBER($J452),AND($J452&gt;=0,$J452=INT($J452)),FALSE())),"✖ العدد يجب أن يكون صحيحًا ≥ 0",IF(AND($F452="Baseline",$H452&lt;&gt;""),"⚠ Baseline: Start لا يدخل في التقدم",IF($K452="No Start (attainment only)","ℹ تحصيل فقط (بدون Start)",IF($K452="U – needs rule","ℹ حالة U تحتاج قاعدة معتمدة",IF($K452="No result","ℹ بدون نتيجة (يُستبعد من التحصيل)","OK")))))))))))</f>
        <v/>
      </c>
      <c r="M452" s="64" t="n">
        <f aca="false">IF($A452="",0,IFERROR(MATCH($A452,Classes!$A$6:$A$420,0),0))</f>
        <v>0</v>
      </c>
      <c r="N452" s="64" t="n">
        <f aca="false">IF($H452="",0,IFERROR(MATCH($H452,GradeList,0),0))</f>
        <v>0</v>
      </c>
      <c r="O452" s="64" t="n">
        <f aca="false">IF(OR($I452="",$I452="NR"),0,IFERROR(MATCH($I452,GradeList,0),0))</f>
        <v>0</v>
      </c>
      <c r="P452" s="64" t="n">
        <f aca="false">IF(AND($M452&gt;0,ISNUMBER(MATCH($F452,Lists!$A$2:$A$5,0)),ISNUMBER(MATCH($G452,Lists!$B$2:$B$7,0)),OR($H452="",$N452&gt;0),OR($I452="",$I452="NR",$O452&gt;0),IF(ISNUMBER($J452),AND($J452&gt;=0,$J452=INT($J452)),FALSE())),$J452,0)</f>
        <v>0</v>
      </c>
      <c r="Q452" s="64" t="n">
        <f aca="false">IF(AND($P452&gt;0,$O452&gt;0),$P452,0)</f>
        <v>0</v>
      </c>
      <c r="R452" s="64" t="n">
        <f aca="false">IF(AND($Q452&gt;0,$O452&gt;=AtRank),$Q452,0)</f>
        <v>0</v>
      </c>
      <c r="S452" s="64" t="n">
        <f aca="false">IF(AND($Q452&gt;0,$O452&gt;=AboveRank),$Q452,0)</f>
        <v>0</v>
      </c>
      <c r="T452" s="64" t="n">
        <f aca="false">IF($K452="Less",$P452,0)</f>
        <v>0</v>
      </c>
      <c r="U452" s="64" t="n">
        <f aca="false">IF($K452="Expected",$P452,0)</f>
        <v>0</v>
      </c>
      <c r="V452" s="64" t="n">
        <f aca="false">IF($K452="Better",$P452,0)</f>
        <v>0</v>
      </c>
      <c r="W452" s="64" t="n">
        <f aca="false">IF($K452="U – needs rule",$P452,0)</f>
        <v>0</v>
      </c>
      <c r="X452" s="64" t="n">
        <f aca="false">IF($K452="No Start (attainment only)",$P452,0)</f>
        <v>0</v>
      </c>
    </row>
    <row r="453" customFormat="false" ht="15" hidden="false" customHeight="false" outlineLevel="0" collapsed="false">
      <c r="A453" s="60"/>
      <c r="B453" s="61" t="str">
        <f aca="false">IF($M453=0,"",INDEX(Classes!$E$6:$E$420,$M453))</f>
        <v/>
      </c>
      <c r="C453" s="62" t="str">
        <f aca="false">IF($M453=0,"",INDEX(Classes!$H$6:$H$420,$M453))</f>
        <v/>
      </c>
      <c r="D453" s="61" t="str">
        <f aca="false">IF($M453=0,"",INDEX(Classes!$B$6:$B$420,$M453))</f>
        <v/>
      </c>
      <c r="E453" s="61" t="str">
        <f aca="false">IF($M453=0,"",INDEX(Classes!$C$6:$C$420,$M453))</f>
        <v/>
      </c>
      <c r="F453" s="63"/>
      <c r="G453" s="63"/>
      <c r="H453" s="60"/>
      <c r="I453" s="60"/>
      <c r="J453" s="63"/>
      <c r="K453" s="61" t="str">
        <f aca="false">IF($P453=0,"",IF($F453="Baseline","— Baseline",IF($O453=0,"No result",IF($N453=0,"No Start (attainment only)",IF(OR($N453=1,$O453=1),"U – needs rule",INDEX(MxBody,MATCH($I453,MxCurr,0),MATCH($H453,MxStart,0)))))))</f>
        <v/>
      </c>
      <c r="L453" s="62" t="str">
        <f aca="false">IF(COUNTA($A453,$F453,$G453,$H453,$I453,$J453)=0,"",IF($M453=0,"✖ كود الصف غير موجود",IF(ISNA(MATCH($F453,Lists!$A$2:$A$5,0)),"✖ الفترة غير صحيحة",IF(ISNA(MATCH($G453,Lists!$B$2:$B$7,0)),"✖ المجموعة غير صحيحة",IF(NOT(OR($H453="",$N453&gt;0)),"✖ Start غير صحيح",IF(NOT(OR($I453="",$I453="NR",$O453&gt;0)),"✖ Current غير صحيح",IF(NOT(IF(ISNUMBER($J453),AND($J453&gt;=0,$J453=INT($J453)),FALSE())),"✖ العدد يجب أن يكون صحيحًا ≥ 0",IF(AND($F453="Baseline",$H453&lt;&gt;""),"⚠ Baseline: Start لا يدخل في التقدم",IF($K453="No Start (attainment only)","ℹ تحصيل فقط (بدون Start)",IF($K453="U – needs rule","ℹ حالة U تحتاج قاعدة معتمدة",IF($K453="No result","ℹ بدون نتيجة (يُستبعد من التحصيل)","OK")))))))))))</f>
        <v/>
      </c>
      <c r="M453" s="64" t="n">
        <f aca="false">IF($A453="",0,IFERROR(MATCH($A453,Classes!$A$6:$A$420,0),0))</f>
        <v>0</v>
      </c>
      <c r="N453" s="64" t="n">
        <f aca="false">IF($H453="",0,IFERROR(MATCH($H453,GradeList,0),0))</f>
        <v>0</v>
      </c>
      <c r="O453" s="64" t="n">
        <f aca="false">IF(OR($I453="",$I453="NR"),0,IFERROR(MATCH($I453,GradeList,0),0))</f>
        <v>0</v>
      </c>
      <c r="P453" s="64" t="n">
        <f aca="false">IF(AND($M453&gt;0,ISNUMBER(MATCH($F453,Lists!$A$2:$A$5,0)),ISNUMBER(MATCH($G453,Lists!$B$2:$B$7,0)),OR($H453="",$N453&gt;0),OR($I453="",$I453="NR",$O453&gt;0),IF(ISNUMBER($J453),AND($J453&gt;=0,$J453=INT($J453)),FALSE())),$J453,0)</f>
        <v>0</v>
      </c>
      <c r="Q453" s="64" t="n">
        <f aca="false">IF(AND($P453&gt;0,$O453&gt;0),$P453,0)</f>
        <v>0</v>
      </c>
      <c r="R453" s="64" t="n">
        <f aca="false">IF(AND($Q453&gt;0,$O453&gt;=AtRank),$Q453,0)</f>
        <v>0</v>
      </c>
      <c r="S453" s="64" t="n">
        <f aca="false">IF(AND($Q453&gt;0,$O453&gt;=AboveRank),$Q453,0)</f>
        <v>0</v>
      </c>
      <c r="T453" s="64" t="n">
        <f aca="false">IF($K453="Less",$P453,0)</f>
        <v>0</v>
      </c>
      <c r="U453" s="64" t="n">
        <f aca="false">IF($K453="Expected",$P453,0)</f>
        <v>0</v>
      </c>
      <c r="V453" s="64" t="n">
        <f aca="false">IF($K453="Better",$P453,0)</f>
        <v>0</v>
      </c>
      <c r="W453" s="64" t="n">
        <f aca="false">IF($K453="U – needs rule",$P453,0)</f>
        <v>0</v>
      </c>
      <c r="X453" s="64" t="n">
        <f aca="false">IF($K453="No Start (attainment only)",$P453,0)</f>
        <v>0</v>
      </c>
    </row>
    <row r="454" customFormat="false" ht="15" hidden="false" customHeight="false" outlineLevel="0" collapsed="false">
      <c r="A454" s="60"/>
      <c r="B454" s="61" t="str">
        <f aca="false">IF($M454=0,"",INDEX(Classes!$E$6:$E$420,$M454))</f>
        <v/>
      </c>
      <c r="C454" s="62" t="str">
        <f aca="false">IF($M454=0,"",INDEX(Classes!$H$6:$H$420,$M454))</f>
        <v/>
      </c>
      <c r="D454" s="61" t="str">
        <f aca="false">IF($M454=0,"",INDEX(Classes!$B$6:$B$420,$M454))</f>
        <v/>
      </c>
      <c r="E454" s="61" t="str">
        <f aca="false">IF($M454=0,"",INDEX(Classes!$C$6:$C$420,$M454))</f>
        <v/>
      </c>
      <c r="F454" s="63"/>
      <c r="G454" s="63"/>
      <c r="H454" s="60"/>
      <c r="I454" s="60"/>
      <c r="J454" s="63"/>
      <c r="K454" s="61" t="str">
        <f aca="false">IF($P454=0,"",IF($F454="Baseline","— Baseline",IF($O454=0,"No result",IF($N454=0,"No Start (attainment only)",IF(OR($N454=1,$O454=1),"U – needs rule",INDEX(MxBody,MATCH($I454,MxCurr,0),MATCH($H454,MxStart,0)))))))</f>
        <v/>
      </c>
      <c r="L454" s="62" t="str">
        <f aca="false">IF(COUNTA($A454,$F454,$G454,$H454,$I454,$J454)=0,"",IF($M454=0,"✖ كود الصف غير موجود",IF(ISNA(MATCH($F454,Lists!$A$2:$A$5,0)),"✖ الفترة غير صحيحة",IF(ISNA(MATCH($G454,Lists!$B$2:$B$7,0)),"✖ المجموعة غير صحيحة",IF(NOT(OR($H454="",$N454&gt;0)),"✖ Start غير صحيح",IF(NOT(OR($I454="",$I454="NR",$O454&gt;0)),"✖ Current غير صحيح",IF(NOT(IF(ISNUMBER($J454),AND($J454&gt;=0,$J454=INT($J454)),FALSE())),"✖ العدد يجب أن يكون صحيحًا ≥ 0",IF(AND($F454="Baseline",$H454&lt;&gt;""),"⚠ Baseline: Start لا يدخل في التقدم",IF($K454="No Start (attainment only)","ℹ تحصيل فقط (بدون Start)",IF($K454="U – needs rule","ℹ حالة U تحتاج قاعدة معتمدة",IF($K454="No result","ℹ بدون نتيجة (يُستبعد من التحصيل)","OK")))))))))))</f>
        <v/>
      </c>
      <c r="M454" s="64" t="n">
        <f aca="false">IF($A454="",0,IFERROR(MATCH($A454,Classes!$A$6:$A$420,0),0))</f>
        <v>0</v>
      </c>
      <c r="N454" s="64" t="n">
        <f aca="false">IF($H454="",0,IFERROR(MATCH($H454,GradeList,0),0))</f>
        <v>0</v>
      </c>
      <c r="O454" s="64" t="n">
        <f aca="false">IF(OR($I454="",$I454="NR"),0,IFERROR(MATCH($I454,GradeList,0),0))</f>
        <v>0</v>
      </c>
      <c r="P454" s="64" t="n">
        <f aca="false">IF(AND($M454&gt;0,ISNUMBER(MATCH($F454,Lists!$A$2:$A$5,0)),ISNUMBER(MATCH($G454,Lists!$B$2:$B$7,0)),OR($H454="",$N454&gt;0),OR($I454="",$I454="NR",$O454&gt;0),IF(ISNUMBER($J454),AND($J454&gt;=0,$J454=INT($J454)),FALSE())),$J454,0)</f>
        <v>0</v>
      </c>
      <c r="Q454" s="64" t="n">
        <f aca="false">IF(AND($P454&gt;0,$O454&gt;0),$P454,0)</f>
        <v>0</v>
      </c>
      <c r="R454" s="64" t="n">
        <f aca="false">IF(AND($Q454&gt;0,$O454&gt;=AtRank),$Q454,0)</f>
        <v>0</v>
      </c>
      <c r="S454" s="64" t="n">
        <f aca="false">IF(AND($Q454&gt;0,$O454&gt;=AboveRank),$Q454,0)</f>
        <v>0</v>
      </c>
      <c r="T454" s="64" t="n">
        <f aca="false">IF($K454="Less",$P454,0)</f>
        <v>0</v>
      </c>
      <c r="U454" s="64" t="n">
        <f aca="false">IF($K454="Expected",$P454,0)</f>
        <v>0</v>
      </c>
      <c r="V454" s="64" t="n">
        <f aca="false">IF($K454="Better",$P454,0)</f>
        <v>0</v>
      </c>
      <c r="W454" s="64" t="n">
        <f aca="false">IF($K454="U – needs rule",$P454,0)</f>
        <v>0</v>
      </c>
      <c r="X454" s="64" t="n">
        <f aca="false">IF($K454="No Start (attainment only)",$P454,0)</f>
        <v>0</v>
      </c>
    </row>
    <row r="455" customFormat="false" ht="15" hidden="false" customHeight="false" outlineLevel="0" collapsed="false">
      <c r="A455" s="60"/>
      <c r="B455" s="61" t="str">
        <f aca="false">IF($M455=0,"",INDEX(Classes!$E$6:$E$420,$M455))</f>
        <v/>
      </c>
      <c r="C455" s="62" t="str">
        <f aca="false">IF($M455=0,"",INDEX(Classes!$H$6:$H$420,$M455))</f>
        <v/>
      </c>
      <c r="D455" s="61" t="str">
        <f aca="false">IF($M455=0,"",INDEX(Classes!$B$6:$B$420,$M455))</f>
        <v/>
      </c>
      <c r="E455" s="61" t="str">
        <f aca="false">IF($M455=0,"",INDEX(Classes!$C$6:$C$420,$M455))</f>
        <v/>
      </c>
      <c r="F455" s="63"/>
      <c r="G455" s="63"/>
      <c r="H455" s="60"/>
      <c r="I455" s="60"/>
      <c r="J455" s="63"/>
      <c r="K455" s="61" t="str">
        <f aca="false">IF($P455=0,"",IF($F455="Baseline","— Baseline",IF($O455=0,"No result",IF($N455=0,"No Start (attainment only)",IF(OR($N455=1,$O455=1),"U – needs rule",INDEX(MxBody,MATCH($I455,MxCurr,0),MATCH($H455,MxStart,0)))))))</f>
        <v/>
      </c>
      <c r="L455" s="62" t="str">
        <f aca="false">IF(COUNTA($A455,$F455,$G455,$H455,$I455,$J455)=0,"",IF($M455=0,"✖ كود الصف غير موجود",IF(ISNA(MATCH($F455,Lists!$A$2:$A$5,0)),"✖ الفترة غير صحيحة",IF(ISNA(MATCH($G455,Lists!$B$2:$B$7,0)),"✖ المجموعة غير صحيحة",IF(NOT(OR($H455="",$N455&gt;0)),"✖ Start غير صحيح",IF(NOT(OR($I455="",$I455="NR",$O455&gt;0)),"✖ Current غير صحيح",IF(NOT(IF(ISNUMBER($J455),AND($J455&gt;=0,$J455=INT($J455)),FALSE())),"✖ العدد يجب أن يكون صحيحًا ≥ 0",IF(AND($F455="Baseline",$H455&lt;&gt;""),"⚠ Baseline: Start لا يدخل في التقدم",IF($K455="No Start (attainment only)","ℹ تحصيل فقط (بدون Start)",IF($K455="U – needs rule","ℹ حالة U تحتاج قاعدة معتمدة",IF($K455="No result","ℹ بدون نتيجة (يُستبعد من التحصيل)","OK")))))))))))</f>
        <v/>
      </c>
      <c r="M455" s="64" t="n">
        <f aca="false">IF($A455="",0,IFERROR(MATCH($A455,Classes!$A$6:$A$420,0),0))</f>
        <v>0</v>
      </c>
      <c r="N455" s="64" t="n">
        <f aca="false">IF($H455="",0,IFERROR(MATCH($H455,GradeList,0),0))</f>
        <v>0</v>
      </c>
      <c r="O455" s="64" t="n">
        <f aca="false">IF(OR($I455="",$I455="NR"),0,IFERROR(MATCH($I455,GradeList,0),0))</f>
        <v>0</v>
      </c>
      <c r="P455" s="64" t="n">
        <f aca="false">IF(AND($M455&gt;0,ISNUMBER(MATCH($F455,Lists!$A$2:$A$5,0)),ISNUMBER(MATCH($G455,Lists!$B$2:$B$7,0)),OR($H455="",$N455&gt;0),OR($I455="",$I455="NR",$O455&gt;0),IF(ISNUMBER($J455),AND($J455&gt;=0,$J455=INT($J455)),FALSE())),$J455,0)</f>
        <v>0</v>
      </c>
      <c r="Q455" s="64" t="n">
        <f aca="false">IF(AND($P455&gt;0,$O455&gt;0),$P455,0)</f>
        <v>0</v>
      </c>
      <c r="R455" s="64" t="n">
        <f aca="false">IF(AND($Q455&gt;0,$O455&gt;=AtRank),$Q455,0)</f>
        <v>0</v>
      </c>
      <c r="S455" s="64" t="n">
        <f aca="false">IF(AND($Q455&gt;0,$O455&gt;=AboveRank),$Q455,0)</f>
        <v>0</v>
      </c>
      <c r="T455" s="64" t="n">
        <f aca="false">IF($K455="Less",$P455,0)</f>
        <v>0</v>
      </c>
      <c r="U455" s="64" t="n">
        <f aca="false">IF($K455="Expected",$P455,0)</f>
        <v>0</v>
      </c>
      <c r="V455" s="64" t="n">
        <f aca="false">IF($K455="Better",$P455,0)</f>
        <v>0</v>
      </c>
      <c r="W455" s="64" t="n">
        <f aca="false">IF($K455="U – needs rule",$P455,0)</f>
        <v>0</v>
      </c>
      <c r="X455" s="64" t="n">
        <f aca="false">IF($K455="No Start (attainment only)",$P455,0)</f>
        <v>0</v>
      </c>
    </row>
    <row r="456" customFormat="false" ht="15" hidden="false" customHeight="false" outlineLevel="0" collapsed="false">
      <c r="A456" s="60"/>
      <c r="B456" s="61" t="str">
        <f aca="false">IF($M456=0,"",INDEX(Classes!$E$6:$E$420,$M456))</f>
        <v/>
      </c>
      <c r="C456" s="62" t="str">
        <f aca="false">IF($M456=0,"",INDEX(Classes!$H$6:$H$420,$M456))</f>
        <v/>
      </c>
      <c r="D456" s="61" t="str">
        <f aca="false">IF($M456=0,"",INDEX(Classes!$B$6:$B$420,$M456))</f>
        <v/>
      </c>
      <c r="E456" s="61" t="str">
        <f aca="false">IF($M456=0,"",INDEX(Classes!$C$6:$C$420,$M456))</f>
        <v/>
      </c>
      <c r="F456" s="63"/>
      <c r="G456" s="63"/>
      <c r="H456" s="60"/>
      <c r="I456" s="60"/>
      <c r="J456" s="63"/>
      <c r="K456" s="61" t="str">
        <f aca="false">IF($P456=0,"",IF($F456="Baseline","— Baseline",IF($O456=0,"No result",IF($N456=0,"No Start (attainment only)",IF(OR($N456=1,$O456=1),"U – needs rule",INDEX(MxBody,MATCH($I456,MxCurr,0),MATCH($H456,MxStart,0)))))))</f>
        <v/>
      </c>
      <c r="L456" s="62" t="str">
        <f aca="false">IF(COUNTA($A456,$F456,$G456,$H456,$I456,$J456)=0,"",IF($M456=0,"✖ كود الصف غير موجود",IF(ISNA(MATCH($F456,Lists!$A$2:$A$5,0)),"✖ الفترة غير صحيحة",IF(ISNA(MATCH($G456,Lists!$B$2:$B$7,0)),"✖ المجموعة غير صحيحة",IF(NOT(OR($H456="",$N456&gt;0)),"✖ Start غير صحيح",IF(NOT(OR($I456="",$I456="NR",$O456&gt;0)),"✖ Current غير صحيح",IF(NOT(IF(ISNUMBER($J456),AND($J456&gt;=0,$J456=INT($J456)),FALSE())),"✖ العدد يجب أن يكون صحيحًا ≥ 0",IF(AND($F456="Baseline",$H456&lt;&gt;""),"⚠ Baseline: Start لا يدخل في التقدم",IF($K456="No Start (attainment only)","ℹ تحصيل فقط (بدون Start)",IF($K456="U – needs rule","ℹ حالة U تحتاج قاعدة معتمدة",IF($K456="No result","ℹ بدون نتيجة (يُستبعد من التحصيل)","OK")))))))))))</f>
        <v/>
      </c>
      <c r="M456" s="64" t="n">
        <f aca="false">IF($A456="",0,IFERROR(MATCH($A456,Classes!$A$6:$A$420,0),0))</f>
        <v>0</v>
      </c>
      <c r="N456" s="64" t="n">
        <f aca="false">IF($H456="",0,IFERROR(MATCH($H456,GradeList,0),0))</f>
        <v>0</v>
      </c>
      <c r="O456" s="64" t="n">
        <f aca="false">IF(OR($I456="",$I456="NR"),0,IFERROR(MATCH($I456,GradeList,0),0))</f>
        <v>0</v>
      </c>
      <c r="P456" s="64" t="n">
        <f aca="false">IF(AND($M456&gt;0,ISNUMBER(MATCH($F456,Lists!$A$2:$A$5,0)),ISNUMBER(MATCH($G456,Lists!$B$2:$B$7,0)),OR($H456="",$N456&gt;0),OR($I456="",$I456="NR",$O456&gt;0),IF(ISNUMBER($J456),AND($J456&gt;=0,$J456=INT($J456)),FALSE())),$J456,0)</f>
        <v>0</v>
      </c>
      <c r="Q456" s="64" t="n">
        <f aca="false">IF(AND($P456&gt;0,$O456&gt;0),$P456,0)</f>
        <v>0</v>
      </c>
      <c r="R456" s="64" t="n">
        <f aca="false">IF(AND($Q456&gt;0,$O456&gt;=AtRank),$Q456,0)</f>
        <v>0</v>
      </c>
      <c r="S456" s="64" t="n">
        <f aca="false">IF(AND($Q456&gt;0,$O456&gt;=AboveRank),$Q456,0)</f>
        <v>0</v>
      </c>
      <c r="T456" s="64" t="n">
        <f aca="false">IF($K456="Less",$P456,0)</f>
        <v>0</v>
      </c>
      <c r="U456" s="64" t="n">
        <f aca="false">IF($K456="Expected",$P456,0)</f>
        <v>0</v>
      </c>
      <c r="V456" s="64" t="n">
        <f aca="false">IF($K456="Better",$P456,0)</f>
        <v>0</v>
      </c>
      <c r="W456" s="64" t="n">
        <f aca="false">IF($K456="U – needs rule",$P456,0)</f>
        <v>0</v>
      </c>
      <c r="X456" s="64" t="n">
        <f aca="false">IF($K456="No Start (attainment only)",$P456,0)</f>
        <v>0</v>
      </c>
    </row>
    <row r="457" customFormat="false" ht="15" hidden="false" customHeight="false" outlineLevel="0" collapsed="false">
      <c r="A457" s="60"/>
      <c r="B457" s="61" t="str">
        <f aca="false">IF($M457=0,"",INDEX(Classes!$E$6:$E$420,$M457))</f>
        <v/>
      </c>
      <c r="C457" s="62" t="str">
        <f aca="false">IF($M457=0,"",INDEX(Classes!$H$6:$H$420,$M457))</f>
        <v/>
      </c>
      <c r="D457" s="61" t="str">
        <f aca="false">IF($M457=0,"",INDEX(Classes!$B$6:$B$420,$M457))</f>
        <v/>
      </c>
      <c r="E457" s="61" t="str">
        <f aca="false">IF($M457=0,"",INDEX(Classes!$C$6:$C$420,$M457))</f>
        <v/>
      </c>
      <c r="F457" s="63"/>
      <c r="G457" s="63"/>
      <c r="H457" s="60"/>
      <c r="I457" s="60"/>
      <c r="J457" s="63"/>
      <c r="K457" s="61" t="str">
        <f aca="false">IF($P457=0,"",IF($F457="Baseline","— Baseline",IF($O457=0,"No result",IF($N457=0,"No Start (attainment only)",IF(OR($N457=1,$O457=1),"U – needs rule",INDEX(MxBody,MATCH($I457,MxCurr,0),MATCH($H457,MxStart,0)))))))</f>
        <v/>
      </c>
      <c r="L457" s="62" t="str">
        <f aca="false">IF(COUNTA($A457,$F457,$G457,$H457,$I457,$J457)=0,"",IF($M457=0,"✖ كود الصف غير موجود",IF(ISNA(MATCH($F457,Lists!$A$2:$A$5,0)),"✖ الفترة غير صحيحة",IF(ISNA(MATCH($G457,Lists!$B$2:$B$7,0)),"✖ المجموعة غير صحيحة",IF(NOT(OR($H457="",$N457&gt;0)),"✖ Start غير صحيح",IF(NOT(OR($I457="",$I457="NR",$O457&gt;0)),"✖ Current غير صحيح",IF(NOT(IF(ISNUMBER($J457),AND($J457&gt;=0,$J457=INT($J457)),FALSE())),"✖ العدد يجب أن يكون صحيحًا ≥ 0",IF(AND($F457="Baseline",$H457&lt;&gt;""),"⚠ Baseline: Start لا يدخل في التقدم",IF($K457="No Start (attainment only)","ℹ تحصيل فقط (بدون Start)",IF($K457="U – needs rule","ℹ حالة U تحتاج قاعدة معتمدة",IF($K457="No result","ℹ بدون نتيجة (يُستبعد من التحصيل)","OK")))))))))))</f>
        <v/>
      </c>
      <c r="M457" s="64" t="n">
        <f aca="false">IF($A457="",0,IFERROR(MATCH($A457,Classes!$A$6:$A$420,0),0))</f>
        <v>0</v>
      </c>
      <c r="N457" s="64" t="n">
        <f aca="false">IF($H457="",0,IFERROR(MATCH($H457,GradeList,0),0))</f>
        <v>0</v>
      </c>
      <c r="O457" s="64" t="n">
        <f aca="false">IF(OR($I457="",$I457="NR"),0,IFERROR(MATCH($I457,GradeList,0),0))</f>
        <v>0</v>
      </c>
      <c r="P457" s="64" t="n">
        <f aca="false">IF(AND($M457&gt;0,ISNUMBER(MATCH($F457,Lists!$A$2:$A$5,0)),ISNUMBER(MATCH($G457,Lists!$B$2:$B$7,0)),OR($H457="",$N457&gt;0),OR($I457="",$I457="NR",$O457&gt;0),IF(ISNUMBER($J457),AND($J457&gt;=0,$J457=INT($J457)),FALSE())),$J457,0)</f>
        <v>0</v>
      </c>
      <c r="Q457" s="64" t="n">
        <f aca="false">IF(AND($P457&gt;0,$O457&gt;0),$P457,0)</f>
        <v>0</v>
      </c>
      <c r="R457" s="64" t="n">
        <f aca="false">IF(AND($Q457&gt;0,$O457&gt;=AtRank),$Q457,0)</f>
        <v>0</v>
      </c>
      <c r="S457" s="64" t="n">
        <f aca="false">IF(AND($Q457&gt;0,$O457&gt;=AboveRank),$Q457,0)</f>
        <v>0</v>
      </c>
      <c r="T457" s="64" t="n">
        <f aca="false">IF($K457="Less",$P457,0)</f>
        <v>0</v>
      </c>
      <c r="U457" s="64" t="n">
        <f aca="false">IF($K457="Expected",$P457,0)</f>
        <v>0</v>
      </c>
      <c r="V457" s="64" t="n">
        <f aca="false">IF($K457="Better",$P457,0)</f>
        <v>0</v>
      </c>
      <c r="W457" s="64" t="n">
        <f aca="false">IF($K457="U – needs rule",$P457,0)</f>
        <v>0</v>
      </c>
      <c r="X457" s="64" t="n">
        <f aca="false">IF($K457="No Start (attainment only)",$P457,0)</f>
        <v>0</v>
      </c>
    </row>
    <row r="458" customFormat="false" ht="15" hidden="false" customHeight="false" outlineLevel="0" collapsed="false">
      <c r="A458" s="60"/>
      <c r="B458" s="61" t="str">
        <f aca="false">IF($M458=0,"",INDEX(Classes!$E$6:$E$420,$M458))</f>
        <v/>
      </c>
      <c r="C458" s="62" t="str">
        <f aca="false">IF($M458=0,"",INDEX(Classes!$H$6:$H$420,$M458))</f>
        <v/>
      </c>
      <c r="D458" s="61" t="str">
        <f aca="false">IF($M458=0,"",INDEX(Classes!$B$6:$B$420,$M458))</f>
        <v/>
      </c>
      <c r="E458" s="61" t="str">
        <f aca="false">IF($M458=0,"",INDEX(Classes!$C$6:$C$420,$M458))</f>
        <v/>
      </c>
      <c r="F458" s="63"/>
      <c r="G458" s="63"/>
      <c r="H458" s="60"/>
      <c r="I458" s="60"/>
      <c r="J458" s="63"/>
      <c r="K458" s="61" t="str">
        <f aca="false">IF($P458=0,"",IF($F458="Baseline","— Baseline",IF($O458=0,"No result",IF($N458=0,"No Start (attainment only)",IF(OR($N458=1,$O458=1),"U – needs rule",INDEX(MxBody,MATCH($I458,MxCurr,0),MATCH($H458,MxStart,0)))))))</f>
        <v/>
      </c>
      <c r="L458" s="62" t="str">
        <f aca="false">IF(COUNTA($A458,$F458,$G458,$H458,$I458,$J458)=0,"",IF($M458=0,"✖ كود الصف غير موجود",IF(ISNA(MATCH($F458,Lists!$A$2:$A$5,0)),"✖ الفترة غير صحيحة",IF(ISNA(MATCH($G458,Lists!$B$2:$B$7,0)),"✖ المجموعة غير صحيحة",IF(NOT(OR($H458="",$N458&gt;0)),"✖ Start غير صحيح",IF(NOT(OR($I458="",$I458="NR",$O458&gt;0)),"✖ Current غير صحيح",IF(NOT(IF(ISNUMBER($J458),AND($J458&gt;=0,$J458=INT($J458)),FALSE())),"✖ العدد يجب أن يكون صحيحًا ≥ 0",IF(AND($F458="Baseline",$H458&lt;&gt;""),"⚠ Baseline: Start لا يدخل في التقدم",IF($K458="No Start (attainment only)","ℹ تحصيل فقط (بدون Start)",IF($K458="U – needs rule","ℹ حالة U تحتاج قاعدة معتمدة",IF($K458="No result","ℹ بدون نتيجة (يُستبعد من التحصيل)","OK")))))))))))</f>
        <v/>
      </c>
      <c r="M458" s="64" t="n">
        <f aca="false">IF($A458="",0,IFERROR(MATCH($A458,Classes!$A$6:$A$420,0),0))</f>
        <v>0</v>
      </c>
      <c r="N458" s="64" t="n">
        <f aca="false">IF($H458="",0,IFERROR(MATCH($H458,GradeList,0),0))</f>
        <v>0</v>
      </c>
      <c r="O458" s="64" t="n">
        <f aca="false">IF(OR($I458="",$I458="NR"),0,IFERROR(MATCH($I458,GradeList,0),0))</f>
        <v>0</v>
      </c>
      <c r="P458" s="64" t="n">
        <f aca="false">IF(AND($M458&gt;0,ISNUMBER(MATCH($F458,Lists!$A$2:$A$5,0)),ISNUMBER(MATCH($G458,Lists!$B$2:$B$7,0)),OR($H458="",$N458&gt;0),OR($I458="",$I458="NR",$O458&gt;0),IF(ISNUMBER($J458),AND($J458&gt;=0,$J458=INT($J458)),FALSE())),$J458,0)</f>
        <v>0</v>
      </c>
      <c r="Q458" s="64" t="n">
        <f aca="false">IF(AND($P458&gt;0,$O458&gt;0),$P458,0)</f>
        <v>0</v>
      </c>
      <c r="R458" s="64" t="n">
        <f aca="false">IF(AND($Q458&gt;0,$O458&gt;=AtRank),$Q458,0)</f>
        <v>0</v>
      </c>
      <c r="S458" s="64" t="n">
        <f aca="false">IF(AND($Q458&gt;0,$O458&gt;=AboveRank),$Q458,0)</f>
        <v>0</v>
      </c>
      <c r="T458" s="64" t="n">
        <f aca="false">IF($K458="Less",$P458,0)</f>
        <v>0</v>
      </c>
      <c r="U458" s="64" t="n">
        <f aca="false">IF($K458="Expected",$P458,0)</f>
        <v>0</v>
      </c>
      <c r="V458" s="64" t="n">
        <f aca="false">IF($K458="Better",$P458,0)</f>
        <v>0</v>
      </c>
      <c r="W458" s="64" t="n">
        <f aca="false">IF($K458="U – needs rule",$P458,0)</f>
        <v>0</v>
      </c>
      <c r="X458" s="64" t="n">
        <f aca="false">IF($K458="No Start (attainment only)",$P458,0)</f>
        <v>0</v>
      </c>
    </row>
    <row r="459" customFormat="false" ht="15" hidden="false" customHeight="false" outlineLevel="0" collapsed="false">
      <c r="A459" s="60"/>
      <c r="B459" s="61" t="str">
        <f aca="false">IF($M459=0,"",INDEX(Classes!$E$6:$E$420,$M459))</f>
        <v/>
      </c>
      <c r="C459" s="62" t="str">
        <f aca="false">IF($M459=0,"",INDEX(Classes!$H$6:$H$420,$M459))</f>
        <v/>
      </c>
      <c r="D459" s="61" t="str">
        <f aca="false">IF($M459=0,"",INDEX(Classes!$B$6:$B$420,$M459))</f>
        <v/>
      </c>
      <c r="E459" s="61" t="str">
        <f aca="false">IF($M459=0,"",INDEX(Classes!$C$6:$C$420,$M459))</f>
        <v/>
      </c>
      <c r="F459" s="63"/>
      <c r="G459" s="63"/>
      <c r="H459" s="60"/>
      <c r="I459" s="60"/>
      <c r="J459" s="63"/>
      <c r="K459" s="61" t="str">
        <f aca="false">IF($P459=0,"",IF($F459="Baseline","— Baseline",IF($O459=0,"No result",IF($N459=0,"No Start (attainment only)",IF(OR($N459=1,$O459=1),"U – needs rule",INDEX(MxBody,MATCH($I459,MxCurr,0),MATCH($H459,MxStart,0)))))))</f>
        <v/>
      </c>
      <c r="L459" s="62" t="str">
        <f aca="false">IF(COUNTA($A459,$F459,$G459,$H459,$I459,$J459)=0,"",IF($M459=0,"✖ كود الصف غير موجود",IF(ISNA(MATCH($F459,Lists!$A$2:$A$5,0)),"✖ الفترة غير صحيحة",IF(ISNA(MATCH($G459,Lists!$B$2:$B$7,0)),"✖ المجموعة غير صحيحة",IF(NOT(OR($H459="",$N459&gt;0)),"✖ Start غير صحيح",IF(NOT(OR($I459="",$I459="NR",$O459&gt;0)),"✖ Current غير صحيح",IF(NOT(IF(ISNUMBER($J459),AND($J459&gt;=0,$J459=INT($J459)),FALSE())),"✖ العدد يجب أن يكون صحيحًا ≥ 0",IF(AND($F459="Baseline",$H459&lt;&gt;""),"⚠ Baseline: Start لا يدخل في التقدم",IF($K459="No Start (attainment only)","ℹ تحصيل فقط (بدون Start)",IF($K459="U – needs rule","ℹ حالة U تحتاج قاعدة معتمدة",IF($K459="No result","ℹ بدون نتيجة (يُستبعد من التحصيل)","OK")))))))))))</f>
        <v/>
      </c>
      <c r="M459" s="64" t="n">
        <f aca="false">IF($A459="",0,IFERROR(MATCH($A459,Classes!$A$6:$A$420,0),0))</f>
        <v>0</v>
      </c>
      <c r="N459" s="64" t="n">
        <f aca="false">IF($H459="",0,IFERROR(MATCH($H459,GradeList,0),0))</f>
        <v>0</v>
      </c>
      <c r="O459" s="64" t="n">
        <f aca="false">IF(OR($I459="",$I459="NR"),0,IFERROR(MATCH($I459,GradeList,0),0))</f>
        <v>0</v>
      </c>
      <c r="P459" s="64" t="n">
        <f aca="false">IF(AND($M459&gt;0,ISNUMBER(MATCH($F459,Lists!$A$2:$A$5,0)),ISNUMBER(MATCH($G459,Lists!$B$2:$B$7,0)),OR($H459="",$N459&gt;0),OR($I459="",$I459="NR",$O459&gt;0),IF(ISNUMBER($J459),AND($J459&gt;=0,$J459=INT($J459)),FALSE())),$J459,0)</f>
        <v>0</v>
      </c>
      <c r="Q459" s="64" t="n">
        <f aca="false">IF(AND($P459&gt;0,$O459&gt;0),$P459,0)</f>
        <v>0</v>
      </c>
      <c r="R459" s="64" t="n">
        <f aca="false">IF(AND($Q459&gt;0,$O459&gt;=AtRank),$Q459,0)</f>
        <v>0</v>
      </c>
      <c r="S459" s="64" t="n">
        <f aca="false">IF(AND($Q459&gt;0,$O459&gt;=AboveRank),$Q459,0)</f>
        <v>0</v>
      </c>
      <c r="T459" s="64" t="n">
        <f aca="false">IF($K459="Less",$P459,0)</f>
        <v>0</v>
      </c>
      <c r="U459" s="64" t="n">
        <f aca="false">IF($K459="Expected",$P459,0)</f>
        <v>0</v>
      </c>
      <c r="V459" s="64" t="n">
        <f aca="false">IF($K459="Better",$P459,0)</f>
        <v>0</v>
      </c>
      <c r="W459" s="64" t="n">
        <f aca="false">IF($K459="U – needs rule",$P459,0)</f>
        <v>0</v>
      </c>
      <c r="X459" s="64" t="n">
        <f aca="false">IF($K459="No Start (attainment only)",$P459,0)</f>
        <v>0</v>
      </c>
    </row>
    <row r="460" customFormat="false" ht="15" hidden="false" customHeight="false" outlineLevel="0" collapsed="false">
      <c r="A460" s="60"/>
      <c r="B460" s="61" t="str">
        <f aca="false">IF($M460=0,"",INDEX(Classes!$E$6:$E$420,$M460))</f>
        <v/>
      </c>
      <c r="C460" s="62" t="str">
        <f aca="false">IF($M460=0,"",INDEX(Classes!$H$6:$H$420,$M460))</f>
        <v/>
      </c>
      <c r="D460" s="61" t="str">
        <f aca="false">IF($M460=0,"",INDEX(Classes!$B$6:$B$420,$M460))</f>
        <v/>
      </c>
      <c r="E460" s="61" t="str">
        <f aca="false">IF($M460=0,"",INDEX(Classes!$C$6:$C$420,$M460))</f>
        <v/>
      </c>
      <c r="F460" s="63"/>
      <c r="G460" s="63"/>
      <c r="H460" s="60"/>
      <c r="I460" s="60"/>
      <c r="J460" s="63"/>
      <c r="K460" s="61" t="str">
        <f aca="false">IF($P460=0,"",IF($F460="Baseline","— Baseline",IF($O460=0,"No result",IF($N460=0,"No Start (attainment only)",IF(OR($N460=1,$O460=1),"U – needs rule",INDEX(MxBody,MATCH($I460,MxCurr,0),MATCH($H460,MxStart,0)))))))</f>
        <v/>
      </c>
      <c r="L460" s="62" t="str">
        <f aca="false">IF(COUNTA($A460,$F460,$G460,$H460,$I460,$J460)=0,"",IF($M460=0,"✖ كود الصف غير موجود",IF(ISNA(MATCH($F460,Lists!$A$2:$A$5,0)),"✖ الفترة غير صحيحة",IF(ISNA(MATCH($G460,Lists!$B$2:$B$7,0)),"✖ المجموعة غير صحيحة",IF(NOT(OR($H460="",$N460&gt;0)),"✖ Start غير صحيح",IF(NOT(OR($I460="",$I460="NR",$O460&gt;0)),"✖ Current غير صحيح",IF(NOT(IF(ISNUMBER($J460),AND($J460&gt;=0,$J460=INT($J460)),FALSE())),"✖ العدد يجب أن يكون صحيحًا ≥ 0",IF(AND($F460="Baseline",$H460&lt;&gt;""),"⚠ Baseline: Start لا يدخل في التقدم",IF($K460="No Start (attainment only)","ℹ تحصيل فقط (بدون Start)",IF($K460="U – needs rule","ℹ حالة U تحتاج قاعدة معتمدة",IF($K460="No result","ℹ بدون نتيجة (يُستبعد من التحصيل)","OK")))))))))))</f>
        <v/>
      </c>
      <c r="M460" s="64" t="n">
        <f aca="false">IF($A460="",0,IFERROR(MATCH($A460,Classes!$A$6:$A$420,0),0))</f>
        <v>0</v>
      </c>
      <c r="N460" s="64" t="n">
        <f aca="false">IF($H460="",0,IFERROR(MATCH($H460,GradeList,0),0))</f>
        <v>0</v>
      </c>
      <c r="O460" s="64" t="n">
        <f aca="false">IF(OR($I460="",$I460="NR"),0,IFERROR(MATCH($I460,GradeList,0),0))</f>
        <v>0</v>
      </c>
      <c r="P460" s="64" t="n">
        <f aca="false">IF(AND($M460&gt;0,ISNUMBER(MATCH($F460,Lists!$A$2:$A$5,0)),ISNUMBER(MATCH($G460,Lists!$B$2:$B$7,0)),OR($H460="",$N460&gt;0),OR($I460="",$I460="NR",$O460&gt;0),IF(ISNUMBER($J460),AND($J460&gt;=0,$J460=INT($J460)),FALSE())),$J460,0)</f>
        <v>0</v>
      </c>
      <c r="Q460" s="64" t="n">
        <f aca="false">IF(AND($P460&gt;0,$O460&gt;0),$P460,0)</f>
        <v>0</v>
      </c>
      <c r="R460" s="64" t="n">
        <f aca="false">IF(AND($Q460&gt;0,$O460&gt;=AtRank),$Q460,0)</f>
        <v>0</v>
      </c>
      <c r="S460" s="64" t="n">
        <f aca="false">IF(AND($Q460&gt;0,$O460&gt;=AboveRank),$Q460,0)</f>
        <v>0</v>
      </c>
      <c r="T460" s="64" t="n">
        <f aca="false">IF($K460="Less",$P460,0)</f>
        <v>0</v>
      </c>
      <c r="U460" s="64" t="n">
        <f aca="false">IF($K460="Expected",$P460,0)</f>
        <v>0</v>
      </c>
      <c r="V460" s="64" t="n">
        <f aca="false">IF($K460="Better",$P460,0)</f>
        <v>0</v>
      </c>
      <c r="W460" s="64" t="n">
        <f aca="false">IF($K460="U – needs rule",$P460,0)</f>
        <v>0</v>
      </c>
      <c r="X460" s="64" t="n">
        <f aca="false">IF($K460="No Start (attainment only)",$P460,0)</f>
        <v>0</v>
      </c>
    </row>
    <row r="461" customFormat="false" ht="15" hidden="false" customHeight="false" outlineLevel="0" collapsed="false">
      <c r="A461" s="60"/>
      <c r="B461" s="61" t="str">
        <f aca="false">IF($M461=0,"",INDEX(Classes!$E$6:$E$420,$M461))</f>
        <v/>
      </c>
      <c r="C461" s="62" t="str">
        <f aca="false">IF($M461=0,"",INDEX(Classes!$H$6:$H$420,$M461))</f>
        <v/>
      </c>
      <c r="D461" s="61" t="str">
        <f aca="false">IF($M461=0,"",INDEX(Classes!$B$6:$B$420,$M461))</f>
        <v/>
      </c>
      <c r="E461" s="61" t="str">
        <f aca="false">IF($M461=0,"",INDEX(Classes!$C$6:$C$420,$M461))</f>
        <v/>
      </c>
      <c r="F461" s="63"/>
      <c r="G461" s="63"/>
      <c r="H461" s="60"/>
      <c r="I461" s="60"/>
      <c r="J461" s="63"/>
      <c r="K461" s="61" t="str">
        <f aca="false">IF($P461=0,"",IF($F461="Baseline","— Baseline",IF($O461=0,"No result",IF($N461=0,"No Start (attainment only)",IF(OR($N461=1,$O461=1),"U – needs rule",INDEX(MxBody,MATCH($I461,MxCurr,0),MATCH($H461,MxStart,0)))))))</f>
        <v/>
      </c>
      <c r="L461" s="62" t="str">
        <f aca="false">IF(COUNTA($A461,$F461,$G461,$H461,$I461,$J461)=0,"",IF($M461=0,"✖ كود الصف غير موجود",IF(ISNA(MATCH($F461,Lists!$A$2:$A$5,0)),"✖ الفترة غير صحيحة",IF(ISNA(MATCH($G461,Lists!$B$2:$B$7,0)),"✖ المجموعة غير صحيحة",IF(NOT(OR($H461="",$N461&gt;0)),"✖ Start غير صحيح",IF(NOT(OR($I461="",$I461="NR",$O461&gt;0)),"✖ Current غير صحيح",IF(NOT(IF(ISNUMBER($J461),AND($J461&gt;=0,$J461=INT($J461)),FALSE())),"✖ العدد يجب أن يكون صحيحًا ≥ 0",IF(AND($F461="Baseline",$H461&lt;&gt;""),"⚠ Baseline: Start لا يدخل في التقدم",IF($K461="No Start (attainment only)","ℹ تحصيل فقط (بدون Start)",IF($K461="U – needs rule","ℹ حالة U تحتاج قاعدة معتمدة",IF($K461="No result","ℹ بدون نتيجة (يُستبعد من التحصيل)","OK")))))))))))</f>
        <v/>
      </c>
      <c r="M461" s="64" t="n">
        <f aca="false">IF($A461="",0,IFERROR(MATCH($A461,Classes!$A$6:$A$420,0),0))</f>
        <v>0</v>
      </c>
      <c r="N461" s="64" t="n">
        <f aca="false">IF($H461="",0,IFERROR(MATCH($H461,GradeList,0),0))</f>
        <v>0</v>
      </c>
      <c r="O461" s="64" t="n">
        <f aca="false">IF(OR($I461="",$I461="NR"),0,IFERROR(MATCH($I461,GradeList,0),0))</f>
        <v>0</v>
      </c>
      <c r="P461" s="64" t="n">
        <f aca="false">IF(AND($M461&gt;0,ISNUMBER(MATCH($F461,Lists!$A$2:$A$5,0)),ISNUMBER(MATCH($G461,Lists!$B$2:$B$7,0)),OR($H461="",$N461&gt;0),OR($I461="",$I461="NR",$O461&gt;0),IF(ISNUMBER($J461),AND($J461&gt;=0,$J461=INT($J461)),FALSE())),$J461,0)</f>
        <v>0</v>
      </c>
      <c r="Q461" s="64" t="n">
        <f aca="false">IF(AND($P461&gt;0,$O461&gt;0),$P461,0)</f>
        <v>0</v>
      </c>
      <c r="R461" s="64" t="n">
        <f aca="false">IF(AND($Q461&gt;0,$O461&gt;=AtRank),$Q461,0)</f>
        <v>0</v>
      </c>
      <c r="S461" s="64" t="n">
        <f aca="false">IF(AND($Q461&gt;0,$O461&gt;=AboveRank),$Q461,0)</f>
        <v>0</v>
      </c>
      <c r="T461" s="64" t="n">
        <f aca="false">IF($K461="Less",$P461,0)</f>
        <v>0</v>
      </c>
      <c r="U461" s="64" t="n">
        <f aca="false">IF($K461="Expected",$P461,0)</f>
        <v>0</v>
      </c>
      <c r="V461" s="64" t="n">
        <f aca="false">IF($K461="Better",$P461,0)</f>
        <v>0</v>
      </c>
      <c r="W461" s="64" t="n">
        <f aca="false">IF($K461="U – needs rule",$P461,0)</f>
        <v>0</v>
      </c>
      <c r="X461" s="64" t="n">
        <f aca="false">IF($K461="No Start (attainment only)",$P461,0)</f>
        <v>0</v>
      </c>
    </row>
    <row r="462" customFormat="false" ht="15" hidden="false" customHeight="false" outlineLevel="0" collapsed="false">
      <c r="A462" s="60"/>
      <c r="B462" s="61" t="str">
        <f aca="false">IF($M462=0,"",INDEX(Classes!$E$6:$E$420,$M462))</f>
        <v/>
      </c>
      <c r="C462" s="62" t="str">
        <f aca="false">IF($M462=0,"",INDEX(Classes!$H$6:$H$420,$M462))</f>
        <v/>
      </c>
      <c r="D462" s="61" t="str">
        <f aca="false">IF($M462=0,"",INDEX(Classes!$B$6:$B$420,$M462))</f>
        <v/>
      </c>
      <c r="E462" s="61" t="str">
        <f aca="false">IF($M462=0,"",INDEX(Classes!$C$6:$C$420,$M462))</f>
        <v/>
      </c>
      <c r="F462" s="63"/>
      <c r="G462" s="63"/>
      <c r="H462" s="60"/>
      <c r="I462" s="60"/>
      <c r="J462" s="63"/>
      <c r="K462" s="61" t="str">
        <f aca="false">IF($P462=0,"",IF($F462="Baseline","— Baseline",IF($O462=0,"No result",IF($N462=0,"No Start (attainment only)",IF(OR($N462=1,$O462=1),"U – needs rule",INDEX(MxBody,MATCH($I462,MxCurr,0),MATCH($H462,MxStart,0)))))))</f>
        <v/>
      </c>
      <c r="L462" s="62" t="str">
        <f aca="false">IF(COUNTA($A462,$F462,$G462,$H462,$I462,$J462)=0,"",IF($M462=0,"✖ كود الصف غير موجود",IF(ISNA(MATCH($F462,Lists!$A$2:$A$5,0)),"✖ الفترة غير صحيحة",IF(ISNA(MATCH($G462,Lists!$B$2:$B$7,0)),"✖ المجموعة غير صحيحة",IF(NOT(OR($H462="",$N462&gt;0)),"✖ Start غير صحيح",IF(NOT(OR($I462="",$I462="NR",$O462&gt;0)),"✖ Current غير صحيح",IF(NOT(IF(ISNUMBER($J462),AND($J462&gt;=0,$J462=INT($J462)),FALSE())),"✖ العدد يجب أن يكون صحيحًا ≥ 0",IF(AND($F462="Baseline",$H462&lt;&gt;""),"⚠ Baseline: Start لا يدخل في التقدم",IF($K462="No Start (attainment only)","ℹ تحصيل فقط (بدون Start)",IF($K462="U – needs rule","ℹ حالة U تحتاج قاعدة معتمدة",IF($K462="No result","ℹ بدون نتيجة (يُستبعد من التحصيل)","OK")))))))))))</f>
        <v/>
      </c>
      <c r="M462" s="64" t="n">
        <f aca="false">IF($A462="",0,IFERROR(MATCH($A462,Classes!$A$6:$A$420,0),0))</f>
        <v>0</v>
      </c>
      <c r="N462" s="64" t="n">
        <f aca="false">IF($H462="",0,IFERROR(MATCH($H462,GradeList,0),0))</f>
        <v>0</v>
      </c>
      <c r="O462" s="64" t="n">
        <f aca="false">IF(OR($I462="",$I462="NR"),0,IFERROR(MATCH($I462,GradeList,0),0))</f>
        <v>0</v>
      </c>
      <c r="P462" s="64" t="n">
        <f aca="false">IF(AND($M462&gt;0,ISNUMBER(MATCH($F462,Lists!$A$2:$A$5,0)),ISNUMBER(MATCH($G462,Lists!$B$2:$B$7,0)),OR($H462="",$N462&gt;0),OR($I462="",$I462="NR",$O462&gt;0),IF(ISNUMBER($J462),AND($J462&gt;=0,$J462=INT($J462)),FALSE())),$J462,0)</f>
        <v>0</v>
      </c>
      <c r="Q462" s="64" t="n">
        <f aca="false">IF(AND($P462&gt;0,$O462&gt;0),$P462,0)</f>
        <v>0</v>
      </c>
      <c r="R462" s="64" t="n">
        <f aca="false">IF(AND($Q462&gt;0,$O462&gt;=AtRank),$Q462,0)</f>
        <v>0</v>
      </c>
      <c r="S462" s="64" t="n">
        <f aca="false">IF(AND($Q462&gt;0,$O462&gt;=AboveRank),$Q462,0)</f>
        <v>0</v>
      </c>
      <c r="T462" s="64" t="n">
        <f aca="false">IF($K462="Less",$P462,0)</f>
        <v>0</v>
      </c>
      <c r="U462" s="64" t="n">
        <f aca="false">IF($K462="Expected",$P462,0)</f>
        <v>0</v>
      </c>
      <c r="V462" s="64" t="n">
        <f aca="false">IF($K462="Better",$P462,0)</f>
        <v>0</v>
      </c>
      <c r="W462" s="64" t="n">
        <f aca="false">IF($K462="U – needs rule",$P462,0)</f>
        <v>0</v>
      </c>
      <c r="X462" s="64" t="n">
        <f aca="false">IF($K462="No Start (attainment only)",$P462,0)</f>
        <v>0</v>
      </c>
    </row>
    <row r="463" customFormat="false" ht="15" hidden="false" customHeight="false" outlineLevel="0" collapsed="false">
      <c r="A463" s="60"/>
      <c r="B463" s="61" t="str">
        <f aca="false">IF($M463=0,"",INDEX(Classes!$E$6:$E$420,$M463))</f>
        <v/>
      </c>
      <c r="C463" s="62" t="str">
        <f aca="false">IF($M463=0,"",INDEX(Classes!$H$6:$H$420,$M463))</f>
        <v/>
      </c>
      <c r="D463" s="61" t="str">
        <f aca="false">IF($M463=0,"",INDEX(Classes!$B$6:$B$420,$M463))</f>
        <v/>
      </c>
      <c r="E463" s="61" t="str">
        <f aca="false">IF($M463=0,"",INDEX(Classes!$C$6:$C$420,$M463))</f>
        <v/>
      </c>
      <c r="F463" s="63"/>
      <c r="G463" s="63"/>
      <c r="H463" s="60"/>
      <c r="I463" s="60"/>
      <c r="J463" s="63"/>
      <c r="K463" s="61" t="str">
        <f aca="false">IF($P463=0,"",IF($F463="Baseline","— Baseline",IF($O463=0,"No result",IF($N463=0,"No Start (attainment only)",IF(OR($N463=1,$O463=1),"U – needs rule",INDEX(MxBody,MATCH($I463,MxCurr,0),MATCH($H463,MxStart,0)))))))</f>
        <v/>
      </c>
      <c r="L463" s="62" t="str">
        <f aca="false">IF(COUNTA($A463,$F463,$G463,$H463,$I463,$J463)=0,"",IF($M463=0,"✖ كود الصف غير موجود",IF(ISNA(MATCH($F463,Lists!$A$2:$A$5,0)),"✖ الفترة غير صحيحة",IF(ISNA(MATCH($G463,Lists!$B$2:$B$7,0)),"✖ المجموعة غير صحيحة",IF(NOT(OR($H463="",$N463&gt;0)),"✖ Start غير صحيح",IF(NOT(OR($I463="",$I463="NR",$O463&gt;0)),"✖ Current غير صحيح",IF(NOT(IF(ISNUMBER($J463),AND($J463&gt;=0,$J463=INT($J463)),FALSE())),"✖ العدد يجب أن يكون صحيحًا ≥ 0",IF(AND($F463="Baseline",$H463&lt;&gt;""),"⚠ Baseline: Start لا يدخل في التقدم",IF($K463="No Start (attainment only)","ℹ تحصيل فقط (بدون Start)",IF($K463="U – needs rule","ℹ حالة U تحتاج قاعدة معتمدة",IF($K463="No result","ℹ بدون نتيجة (يُستبعد من التحصيل)","OK")))))))))))</f>
        <v/>
      </c>
      <c r="M463" s="64" t="n">
        <f aca="false">IF($A463="",0,IFERROR(MATCH($A463,Classes!$A$6:$A$420,0),0))</f>
        <v>0</v>
      </c>
      <c r="N463" s="64" t="n">
        <f aca="false">IF($H463="",0,IFERROR(MATCH($H463,GradeList,0),0))</f>
        <v>0</v>
      </c>
      <c r="O463" s="64" t="n">
        <f aca="false">IF(OR($I463="",$I463="NR"),0,IFERROR(MATCH($I463,GradeList,0),0))</f>
        <v>0</v>
      </c>
      <c r="P463" s="64" t="n">
        <f aca="false">IF(AND($M463&gt;0,ISNUMBER(MATCH($F463,Lists!$A$2:$A$5,0)),ISNUMBER(MATCH($G463,Lists!$B$2:$B$7,0)),OR($H463="",$N463&gt;0),OR($I463="",$I463="NR",$O463&gt;0),IF(ISNUMBER($J463),AND($J463&gt;=0,$J463=INT($J463)),FALSE())),$J463,0)</f>
        <v>0</v>
      </c>
      <c r="Q463" s="64" t="n">
        <f aca="false">IF(AND($P463&gt;0,$O463&gt;0),$P463,0)</f>
        <v>0</v>
      </c>
      <c r="R463" s="64" t="n">
        <f aca="false">IF(AND($Q463&gt;0,$O463&gt;=AtRank),$Q463,0)</f>
        <v>0</v>
      </c>
      <c r="S463" s="64" t="n">
        <f aca="false">IF(AND($Q463&gt;0,$O463&gt;=AboveRank),$Q463,0)</f>
        <v>0</v>
      </c>
      <c r="T463" s="64" t="n">
        <f aca="false">IF($K463="Less",$P463,0)</f>
        <v>0</v>
      </c>
      <c r="U463" s="64" t="n">
        <f aca="false">IF($K463="Expected",$P463,0)</f>
        <v>0</v>
      </c>
      <c r="V463" s="64" t="n">
        <f aca="false">IF($K463="Better",$P463,0)</f>
        <v>0</v>
      </c>
      <c r="W463" s="64" t="n">
        <f aca="false">IF($K463="U – needs rule",$P463,0)</f>
        <v>0</v>
      </c>
      <c r="X463" s="64" t="n">
        <f aca="false">IF($K463="No Start (attainment only)",$P463,0)</f>
        <v>0</v>
      </c>
    </row>
    <row r="464" customFormat="false" ht="15" hidden="false" customHeight="false" outlineLevel="0" collapsed="false">
      <c r="A464" s="60"/>
      <c r="B464" s="61" t="str">
        <f aca="false">IF($M464=0,"",INDEX(Classes!$E$6:$E$420,$M464))</f>
        <v/>
      </c>
      <c r="C464" s="62" t="str">
        <f aca="false">IF($M464=0,"",INDEX(Classes!$H$6:$H$420,$M464))</f>
        <v/>
      </c>
      <c r="D464" s="61" t="str">
        <f aca="false">IF($M464=0,"",INDEX(Classes!$B$6:$B$420,$M464))</f>
        <v/>
      </c>
      <c r="E464" s="61" t="str">
        <f aca="false">IF($M464=0,"",INDEX(Classes!$C$6:$C$420,$M464))</f>
        <v/>
      </c>
      <c r="F464" s="63"/>
      <c r="G464" s="63"/>
      <c r="H464" s="60"/>
      <c r="I464" s="60"/>
      <c r="J464" s="63"/>
      <c r="K464" s="61" t="str">
        <f aca="false">IF($P464=0,"",IF($F464="Baseline","— Baseline",IF($O464=0,"No result",IF($N464=0,"No Start (attainment only)",IF(OR($N464=1,$O464=1),"U – needs rule",INDEX(MxBody,MATCH($I464,MxCurr,0),MATCH($H464,MxStart,0)))))))</f>
        <v/>
      </c>
      <c r="L464" s="62" t="str">
        <f aca="false">IF(COUNTA($A464,$F464,$G464,$H464,$I464,$J464)=0,"",IF($M464=0,"✖ كود الصف غير موجود",IF(ISNA(MATCH($F464,Lists!$A$2:$A$5,0)),"✖ الفترة غير صحيحة",IF(ISNA(MATCH($G464,Lists!$B$2:$B$7,0)),"✖ المجموعة غير صحيحة",IF(NOT(OR($H464="",$N464&gt;0)),"✖ Start غير صحيح",IF(NOT(OR($I464="",$I464="NR",$O464&gt;0)),"✖ Current غير صحيح",IF(NOT(IF(ISNUMBER($J464),AND($J464&gt;=0,$J464=INT($J464)),FALSE())),"✖ العدد يجب أن يكون صحيحًا ≥ 0",IF(AND($F464="Baseline",$H464&lt;&gt;""),"⚠ Baseline: Start لا يدخل في التقدم",IF($K464="No Start (attainment only)","ℹ تحصيل فقط (بدون Start)",IF($K464="U – needs rule","ℹ حالة U تحتاج قاعدة معتمدة",IF($K464="No result","ℹ بدون نتيجة (يُستبعد من التحصيل)","OK")))))))))))</f>
        <v/>
      </c>
      <c r="M464" s="64" t="n">
        <f aca="false">IF($A464="",0,IFERROR(MATCH($A464,Classes!$A$6:$A$420,0),0))</f>
        <v>0</v>
      </c>
      <c r="N464" s="64" t="n">
        <f aca="false">IF($H464="",0,IFERROR(MATCH($H464,GradeList,0),0))</f>
        <v>0</v>
      </c>
      <c r="O464" s="64" t="n">
        <f aca="false">IF(OR($I464="",$I464="NR"),0,IFERROR(MATCH($I464,GradeList,0),0))</f>
        <v>0</v>
      </c>
      <c r="P464" s="64" t="n">
        <f aca="false">IF(AND($M464&gt;0,ISNUMBER(MATCH($F464,Lists!$A$2:$A$5,0)),ISNUMBER(MATCH($G464,Lists!$B$2:$B$7,0)),OR($H464="",$N464&gt;0),OR($I464="",$I464="NR",$O464&gt;0),IF(ISNUMBER($J464),AND($J464&gt;=0,$J464=INT($J464)),FALSE())),$J464,0)</f>
        <v>0</v>
      </c>
      <c r="Q464" s="64" t="n">
        <f aca="false">IF(AND($P464&gt;0,$O464&gt;0),$P464,0)</f>
        <v>0</v>
      </c>
      <c r="R464" s="64" t="n">
        <f aca="false">IF(AND($Q464&gt;0,$O464&gt;=AtRank),$Q464,0)</f>
        <v>0</v>
      </c>
      <c r="S464" s="64" t="n">
        <f aca="false">IF(AND($Q464&gt;0,$O464&gt;=AboveRank),$Q464,0)</f>
        <v>0</v>
      </c>
      <c r="T464" s="64" t="n">
        <f aca="false">IF($K464="Less",$P464,0)</f>
        <v>0</v>
      </c>
      <c r="U464" s="64" t="n">
        <f aca="false">IF($K464="Expected",$P464,0)</f>
        <v>0</v>
      </c>
      <c r="V464" s="64" t="n">
        <f aca="false">IF($K464="Better",$P464,0)</f>
        <v>0</v>
      </c>
      <c r="W464" s="64" t="n">
        <f aca="false">IF($K464="U – needs rule",$P464,0)</f>
        <v>0</v>
      </c>
      <c r="X464" s="64" t="n">
        <f aca="false">IF($K464="No Start (attainment only)",$P464,0)</f>
        <v>0</v>
      </c>
    </row>
    <row r="465" customFormat="false" ht="15" hidden="false" customHeight="false" outlineLevel="0" collapsed="false">
      <c r="A465" s="60"/>
      <c r="B465" s="61" t="str">
        <f aca="false">IF($M465=0,"",INDEX(Classes!$E$6:$E$420,$M465))</f>
        <v/>
      </c>
      <c r="C465" s="62" t="str">
        <f aca="false">IF($M465=0,"",INDEX(Classes!$H$6:$H$420,$M465))</f>
        <v/>
      </c>
      <c r="D465" s="61" t="str">
        <f aca="false">IF($M465=0,"",INDEX(Classes!$B$6:$B$420,$M465))</f>
        <v/>
      </c>
      <c r="E465" s="61" t="str">
        <f aca="false">IF($M465=0,"",INDEX(Classes!$C$6:$C$420,$M465))</f>
        <v/>
      </c>
      <c r="F465" s="63"/>
      <c r="G465" s="63"/>
      <c r="H465" s="60"/>
      <c r="I465" s="60"/>
      <c r="J465" s="63"/>
      <c r="K465" s="61" t="str">
        <f aca="false">IF($P465=0,"",IF($F465="Baseline","— Baseline",IF($O465=0,"No result",IF($N465=0,"No Start (attainment only)",IF(OR($N465=1,$O465=1),"U – needs rule",INDEX(MxBody,MATCH($I465,MxCurr,0),MATCH($H465,MxStart,0)))))))</f>
        <v/>
      </c>
      <c r="L465" s="62" t="str">
        <f aca="false">IF(COUNTA($A465,$F465,$G465,$H465,$I465,$J465)=0,"",IF($M465=0,"✖ كود الصف غير موجود",IF(ISNA(MATCH($F465,Lists!$A$2:$A$5,0)),"✖ الفترة غير صحيحة",IF(ISNA(MATCH($G465,Lists!$B$2:$B$7,0)),"✖ المجموعة غير صحيحة",IF(NOT(OR($H465="",$N465&gt;0)),"✖ Start غير صحيح",IF(NOT(OR($I465="",$I465="NR",$O465&gt;0)),"✖ Current غير صحيح",IF(NOT(IF(ISNUMBER($J465),AND($J465&gt;=0,$J465=INT($J465)),FALSE())),"✖ العدد يجب أن يكون صحيحًا ≥ 0",IF(AND($F465="Baseline",$H465&lt;&gt;""),"⚠ Baseline: Start لا يدخل في التقدم",IF($K465="No Start (attainment only)","ℹ تحصيل فقط (بدون Start)",IF($K465="U – needs rule","ℹ حالة U تحتاج قاعدة معتمدة",IF($K465="No result","ℹ بدون نتيجة (يُستبعد من التحصيل)","OK")))))))))))</f>
        <v/>
      </c>
      <c r="M465" s="64" t="n">
        <f aca="false">IF($A465="",0,IFERROR(MATCH($A465,Classes!$A$6:$A$420,0),0))</f>
        <v>0</v>
      </c>
      <c r="N465" s="64" t="n">
        <f aca="false">IF($H465="",0,IFERROR(MATCH($H465,GradeList,0),0))</f>
        <v>0</v>
      </c>
      <c r="O465" s="64" t="n">
        <f aca="false">IF(OR($I465="",$I465="NR"),0,IFERROR(MATCH($I465,GradeList,0),0))</f>
        <v>0</v>
      </c>
      <c r="P465" s="64" t="n">
        <f aca="false">IF(AND($M465&gt;0,ISNUMBER(MATCH($F465,Lists!$A$2:$A$5,0)),ISNUMBER(MATCH($G465,Lists!$B$2:$B$7,0)),OR($H465="",$N465&gt;0),OR($I465="",$I465="NR",$O465&gt;0),IF(ISNUMBER($J465),AND($J465&gt;=0,$J465=INT($J465)),FALSE())),$J465,0)</f>
        <v>0</v>
      </c>
      <c r="Q465" s="64" t="n">
        <f aca="false">IF(AND($P465&gt;0,$O465&gt;0),$P465,0)</f>
        <v>0</v>
      </c>
      <c r="R465" s="64" t="n">
        <f aca="false">IF(AND($Q465&gt;0,$O465&gt;=AtRank),$Q465,0)</f>
        <v>0</v>
      </c>
      <c r="S465" s="64" t="n">
        <f aca="false">IF(AND($Q465&gt;0,$O465&gt;=AboveRank),$Q465,0)</f>
        <v>0</v>
      </c>
      <c r="T465" s="64" t="n">
        <f aca="false">IF($K465="Less",$P465,0)</f>
        <v>0</v>
      </c>
      <c r="U465" s="64" t="n">
        <f aca="false">IF($K465="Expected",$P465,0)</f>
        <v>0</v>
      </c>
      <c r="V465" s="64" t="n">
        <f aca="false">IF($K465="Better",$P465,0)</f>
        <v>0</v>
      </c>
      <c r="W465" s="64" t="n">
        <f aca="false">IF($K465="U – needs rule",$P465,0)</f>
        <v>0</v>
      </c>
      <c r="X465" s="64" t="n">
        <f aca="false">IF($K465="No Start (attainment only)",$P465,0)</f>
        <v>0</v>
      </c>
    </row>
    <row r="466" customFormat="false" ht="15" hidden="false" customHeight="false" outlineLevel="0" collapsed="false">
      <c r="A466" s="60"/>
      <c r="B466" s="61" t="str">
        <f aca="false">IF($M466=0,"",INDEX(Classes!$E$6:$E$420,$M466))</f>
        <v/>
      </c>
      <c r="C466" s="62" t="str">
        <f aca="false">IF($M466=0,"",INDEX(Classes!$H$6:$H$420,$M466))</f>
        <v/>
      </c>
      <c r="D466" s="61" t="str">
        <f aca="false">IF($M466=0,"",INDEX(Classes!$B$6:$B$420,$M466))</f>
        <v/>
      </c>
      <c r="E466" s="61" t="str">
        <f aca="false">IF($M466=0,"",INDEX(Classes!$C$6:$C$420,$M466))</f>
        <v/>
      </c>
      <c r="F466" s="63"/>
      <c r="G466" s="63"/>
      <c r="H466" s="60"/>
      <c r="I466" s="60"/>
      <c r="J466" s="63"/>
      <c r="K466" s="61" t="str">
        <f aca="false">IF($P466=0,"",IF($F466="Baseline","— Baseline",IF($O466=0,"No result",IF($N466=0,"No Start (attainment only)",IF(OR($N466=1,$O466=1),"U – needs rule",INDEX(MxBody,MATCH($I466,MxCurr,0),MATCH($H466,MxStart,0)))))))</f>
        <v/>
      </c>
      <c r="L466" s="62" t="str">
        <f aca="false">IF(COUNTA($A466,$F466,$G466,$H466,$I466,$J466)=0,"",IF($M466=0,"✖ كود الصف غير موجود",IF(ISNA(MATCH($F466,Lists!$A$2:$A$5,0)),"✖ الفترة غير صحيحة",IF(ISNA(MATCH($G466,Lists!$B$2:$B$7,0)),"✖ المجموعة غير صحيحة",IF(NOT(OR($H466="",$N466&gt;0)),"✖ Start غير صحيح",IF(NOT(OR($I466="",$I466="NR",$O466&gt;0)),"✖ Current غير صحيح",IF(NOT(IF(ISNUMBER($J466),AND($J466&gt;=0,$J466=INT($J466)),FALSE())),"✖ العدد يجب أن يكون صحيحًا ≥ 0",IF(AND($F466="Baseline",$H466&lt;&gt;""),"⚠ Baseline: Start لا يدخل في التقدم",IF($K466="No Start (attainment only)","ℹ تحصيل فقط (بدون Start)",IF($K466="U – needs rule","ℹ حالة U تحتاج قاعدة معتمدة",IF($K466="No result","ℹ بدون نتيجة (يُستبعد من التحصيل)","OK")))))))))))</f>
        <v/>
      </c>
      <c r="M466" s="64" t="n">
        <f aca="false">IF($A466="",0,IFERROR(MATCH($A466,Classes!$A$6:$A$420,0),0))</f>
        <v>0</v>
      </c>
      <c r="N466" s="64" t="n">
        <f aca="false">IF($H466="",0,IFERROR(MATCH($H466,GradeList,0),0))</f>
        <v>0</v>
      </c>
      <c r="O466" s="64" t="n">
        <f aca="false">IF(OR($I466="",$I466="NR"),0,IFERROR(MATCH($I466,GradeList,0),0))</f>
        <v>0</v>
      </c>
      <c r="P466" s="64" t="n">
        <f aca="false">IF(AND($M466&gt;0,ISNUMBER(MATCH($F466,Lists!$A$2:$A$5,0)),ISNUMBER(MATCH($G466,Lists!$B$2:$B$7,0)),OR($H466="",$N466&gt;0),OR($I466="",$I466="NR",$O466&gt;0),IF(ISNUMBER($J466),AND($J466&gt;=0,$J466=INT($J466)),FALSE())),$J466,0)</f>
        <v>0</v>
      </c>
      <c r="Q466" s="64" t="n">
        <f aca="false">IF(AND($P466&gt;0,$O466&gt;0),$P466,0)</f>
        <v>0</v>
      </c>
      <c r="R466" s="64" t="n">
        <f aca="false">IF(AND($Q466&gt;0,$O466&gt;=AtRank),$Q466,0)</f>
        <v>0</v>
      </c>
      <c r="S466" s="64" t="n">
        <f aca="false">IF(AND($Q466&gt;0,$O466&gt;=AboveRank),$Q466,0)</f>
        <v>0</v>
      </c>
      <c r="T466" s="64" t="n">
        <f aca="false">IF($K466="Less",$P466,0)</f>
        <v>0</v>
      </c>
      <c r="U466" s="64" t="n">
        <f aca="false">IF($K466="Expected",$P466,0)</f>
        <v>0</v>
      </c>
      <c r="V466" s="64" t="n">
        <f aca="false">IF($K466="Better",$P466,0)</f>
        <v>0</v>
      </c>
      <c r="W466" s="64" t="n">
        <f aca="false">IF($K466="U – needs rule",$P466,0)</f>
        <v>0</v>
      </c>
      <c r="X466" s="64" t="n">
        <f aca="false">IF($K466="No Start (attainment only)",$P466,0)</f>
        <v>0</v>
      </c>
    </row>
    <row r="467" customFormat="false" ht="15" hidden="false" customHeight="false" outlineLevel="0" collapsed="false">
      <c r="A467" s="60"/>
      <c r="B467" s="61" t="str">
        <f aca="false">IF($M467=0,"",INDEX(Classes!$E$6:$E$420,$M467))</f>
        <v/>
      </c>
      <c r="C467" s="62" t="str">
        <f aca="false">IF($M467=0,"",INDEX(Classes!$H$6:$H$420,$M467))</f>
        <v/>
      </c>
      <c r="D467" s="61" t="str">
        <f aca="false">IF($M467=0,"",INDEX(Classes!$B$6:$B$420,$M467))</f>
        <v/>
      </c>
      <c r="E467" s="61" t="str">
        <f aca="false">IF($M467=0,"",INDEX(Classes!$C$6:$C$420,$M467))</f>
        <v/>
      </c>
      <c r="F467" s="63"/>
      <c r="G467" s="63"/>
      <c r="H467" s="60"/>
      <c r="I467" s="60"/>
      <c r="J467" s="63"/>
      <c r="K467" s="61" t="str">
        <f aca="false">IF($P467=0,"",IF($F467="Baseline","— Baseline",IF($O467=0,"No result",IF($N467=0,"No Start (attainment only)",IF(OR($N467=1,$O467=1),"U – needs rule",INDEX(MxBody,MATCH($I467,MxCurr,0),MATCH($H467,MxStart,0)))))))</f>
        <v/>
      </c>
      <c r="L467" s="62" t="str">
        <f aca="false">IF(COUNTA($A467,$F467,$G467,$H467,$I467,$J467)=0,"",IF($M467=0,"✖ كود الصف غير موجود",IF(ISNA(MATCH($F467,Lists!$A$2:$A$5,0)),"✖ الفترة غير صحيحة",IF(ISNA(MATCH($G467,Lists!$B$2:$B$7,0)),"✖ المجموعة غير صحيحة",IF(NOT(OR($H467="",$N467&gt;0)),"✖ Start غير صحيح",IF(NOT(OR($I467="",$I467="NR",$O467&gt;0)),"✖ Current غير صحيح",IF(NOT(IF(ISNUMBER($J467),AND($J467&gt;=0,$J467=INT($J467)),FALSE())),"✖ العدد يجب أن يكون صحيحًا ≥ 0",IF(AND($F467="Baseline",$H467&lt;&gt;""),"⚠ Baseline: Start لا يدخل في التقدم",IF($K467="No Start (attainment only)","ℹ تحصيل فقط (بدون Start)",IF($K467="U – needs rule","ℹ حالة U تحتاج قاعدة معتمدة",IF($K467="No result","ℹ بدون نتيجة (يُستبعد من التحصيل)","OK")))))))))))</f>
        <v/>
      </c>
      <c r="M467" s="64" t="n">
        <f aca="false">IF($A467="",0,IFERROR(MATCH($A467,Classes!$A$6:$A$420,0),0))</f>
        <v>0</v>
      </c>
      <c r="N467" s="64" t="n">
        <f aca="false">IF($H467="",0,IFERROR(MATCH($H467,GradeList,0),0))</f>
        <v>0</v>
      </c>
      <c r="O467" s="64" t="n">
        <f aca="false">IF(OR($I467="",$I467="NR"),0,IFERROR(MATCH($I467,GradeList,0),0))</f>
        <v>0</v>
      </c>
      <c r="P467" s="64" t="n">
        <f aca="false">IF(AND($M467&gt;0,ISNUMBER(MATCH($F467,Lists!$A$2:$A$5,0)),ISNUMBER(MATCH($G467,Lists!$B$2:$B$7,0)),OR($H467="",$N467&gt;0),OR($I467="",$I467="NR",$O467&gt;0),IF(ISNUMBER($J467),AND($J467&gt;=0,$J467=INT($J467)),FALSE())),$J467,0)</f>
        <v>0</v>
      </c>
      <c r="Q467" s="64" t="n">
        <f aca="false">IF(AND($P467&gt;0,$O467&gt;0),$P467,0)</f>
        <v>0</v>
      </c>
      <c r="R467" s="64" t="n">
        <f aca="false">IF(AND($Q467&gt;0,$O467&gt;=AtRank),$Q467,0)</f>
        <v>0</v>
      </c>
      <c r="S467" s="64" t="n">
        <f aca="false">IF(AND($Q467&gt;0,$O467&gt;=AboveRank),$Q467,0)</f>
        <v>0</v>
      </c>
      <c r="T467" s="64" t="n">
        <f aca="false">IF($K467="Less",$P467,0)</f>
        <v>0</v>
      </c>
      <c r="U467" s="64" t="n">
        <f aca="false">IF($K467="Expected",$P467,0)</f>
        <v>0</v>
      </c>
      <c r="V467" s="64" t="n">
        <f aca="false">IF($K467="Better",$P467,0)</f>
        <v>0</v>
      </c>
      <c r="W467" s="64" t="n">
        <f aca="false">IF($K467="U – needs rule",$P467,0)</f>
        <v>0</v>
      </c>
      <c r="X467" s="64" t="n">
        <f aca="false">IF($K467="No Start (attainment only)",$P467,0)</f>
        <v>0</v>
      </c>
    </row>
    <row r="468" customFormat="false" ht="15" hidden="false" customHeight="false" outlineLevel="0" collapsed="false">
      <c r="A468" s="60"/>
      <c r="B468" s="61" t="str">
        <f aca="false">IF($M468=0,"",INDEX(Classes!$E$6:$E$420,$M468))</f>
        <v/>
      </c>
      <c r="C468" s="62" t="str">
        <f aca="false">IF($M468=0,"",INDEX(Classes!$H$6:$H$420,$M468))</f>
        <v/>
      </c>
      <c r="D468" s="61" t="str">
        <f aca="false">IF($M468=0,"",INDEX(Classes!$B$6:$B$420,$M468))</f>
        <v/>
      </c>
      <c r="E468" s="61" t="str">
        <f aca="false">IF($M468=0,"",INDEX(Classes!$C$6:$C$420,$M468))</f>
        <v/>
      </c>
      <c r="F468" s="63"/>
      <c r="G468" s="63"/>
      <c r="H468" s="60"/>
      <c r="I468" s="60"/>
      <c r="J468" s="63"/>
      <c r="K468" s="61" t="str">
        <f aca="false">IF($P468=0,"",IF($F468="Baseline","— Baseline",IF($O468=0,"No result",IF($N468=0,"No Start (attainment only)",IF(OR($N468=1,$O468=1),"U – needs rule",INDEX(MxBody,MATCH($I468,MxCurr,0),MATCH($H468,MxStart,0)))))))</f>
        <v/>
      </c>
      <c r="L468" s="62" t="str">
        <f aca="false">IF(COUNTA($A468,$F468,$G468,$H468,$I468,$J468)=0,"",IF($M468=0,"✖ كود الصف غير موجود",IF(ISNA(MATCH($F468,Lists!$A$2:$A$5,0)),"✖ الفترة غير صحيحة",IF(ISNA(MATCH($G468,Lists!$B$2:$B$7,0)),"✖ المجموعة غير صحيحة",IF(NOT(OR($H468="",$N468&gt;0)),"✖ Start غير صحيح",IF(NOT(OR($I468="",$I468="NR",$O468&gt;0)),"✖ Current غير صحيح",IF(NOT(IF(ISNUMBER($J468),AND($J468&gt;=0,$J468=INT($J468)),FALSE())),"✖ العدد يجب أن يكون صحيحًا ≥ 0",IF(AND($F468="Baseline",$H468&lt;&gt;""),"⚠ Baseline: Start لا يدخل في التقدم",IF($K468="No Start (attainment only)","ℹ تحصيل فقط (بدون Start)",IF($K468="U – needs rule","ℹ حالة U تحتاج قاعدة معتمدة",IF($K468="No result","ℹ بدون نتيجة (يُستبعد من التحصيل)","OK")))))))))))</f>
        <v/>
      </c>
      <c r="M468" s="64" t="n">
        <f aca="false">IF($A468="",0,IFERROR(MATCH($A468,Classes!$A$6:$A$420,0),0))</f>
        <v>0</v>
      </c>
      <c r="N468" s="64" t="n">
        <f aca="false">IF($H468="",0,IFERROR(MATCH($H468,GradeList,0),0))</f>
        <v>0</v>
      </c>
      <c r="O468" s="64" t="n">
        <f aca="false">IF(OR($I468="",$I468="NR"),0,IFERROR(MATCH($I468,GradeList,0),0))</f>
        <v>0</v>
      </c>
      <c r="P468" s="64" t="n">
        <f aca="false">IF(AND($M468&gt;0,ISNUMBER(MATCH($F468,Lists!$A$2:$A$5,0)),ISNUMBER(MATCH($G468,Lists!$B$2:$B$7,0)),OR($H468="",$N468&gt;0),OR($I468="",$I468="NR",$O468&gt;0),IF(ISNUMBER($J468),AND($J468&gt;=0,$J468=INT($J468)),FALSE())),$J468,0)</f>
        <v>0</v>
      </c>
      <c r="Q468" s="64" t="n">
        <f aca="false">IF(AND($P468&gt;0,$O468&gt;0),$P468,0)</f>
        <v>0</v>
      </c>
      <c r="R468" s="64" t="n">
        <f aca="false">IF(AND($Q468&gt;0,$O468&gt;=AtRank),$Q468,0)</f>
        <v>0</v>
      </c>
      <c r="S468" s="64" t="n">
        <f aca="false">IF(AND($Q468&gt;0,$O468&gt;=AboveRank),$Q468,0)</f>
        <v>0</v>
      </c>
      <c r="T468" s="64" t="n">
        <f aca="false">IF($K468="Less",$P468,0)</f>
        <v>0</v>
      </c>
      <c r="U468" s="64" t="n">
        <f aca="false">IF($K468="Expected",$P468,0)</f>
        <v>0</v>
      </c>
      <c r="V468" s="64" t="n">
        <f aca="false">IF($K468="Better",$P468,0)</f>
        <v>0</v>
      </c>
      <c r="W468" s="64" t="n">
        <f aca="false">IF($K468="U – needs rule",$P468,0)</f>
        <v>0</v>
      </c>
      <c r="X468" s="64" t="n">
        <f aca="false">IF($K468="No Start (attainment only)",$P468,0)</f>
        <v>0</v>
      </c>
    </row>
    <row r="469" customFormat="false" ht="15" hidden="false" customHeight="false" outlineLevel="0" collapsed="false">
      <c r="A469" s="60"/>
      <c r="B469" s="61" t="str">
        <f aca="false">IF($M469=0,"",INDEX(Classes!$E$6:$E$420,$M469))</f>
        <v/>
      </c>
      <c r="C469" s="62" t="str">
        <f aca="false">IF($M469=0,"",INDEX(Classes!$H$6:$H$420,$M469))</f>
        <v/>
      </c>
      <c r="D469" s="61" t="str">
        <f aca="false">IF($M469=0,"",INDEX(Classes!$B$6:$B$420,$M469))</f>
        <v/>
      </c>
      <c r="E469" s="61" t="str">
        <f aca="false">IF($M469=0,"",INDEX(Classes!$C$6:$C$420,$M469))</f>
        <v/>
      </c>
      <c r="F469" s="63"/>
      <c r="G469" s="63"/>
      <c r="H469" s="60"/>
      <c r="I469" s="60"/>
      <c r="J469" s="63"/>
      <c r="K469" s="61" t="str">
        <f aca="false">IF($P469=0,"",IF($F469="Baseline","— Baseline",IF($O469=0,"No result",IF($N469=0,"No Start (attainment only)",IF(OR($N469=1,$O469=1),"U – needs rule",INDEX(MxBody,MATCH($I469,MxCurr,0),MATCH($H469,MxStart,0)))))))</f>
        <v/>
      </c>
      <c r="L469" s="62" t="str">
        <f aca="false">IF(COUNTA($A469,$F469,$G469,$H469,$I469,$J469)=0,"",IF($M469=0,"✖ كود الصف غير موجود",IF(ISNA(MATCH($F469,Lists!$A$2:$A$5,0)),"✖ الفترة غير صحيحة",IF(ISNA(MATCH($G469,Lists!$B$2:$B$7,0)),"✖ المجموعة غير صحيحة",IF(NOT(OR($H469="",$N469&gt;0)),"✖ Start غير صحيح",IF(NOT(OR($I469="",$I469="NR",$O469&gt;0)),"✖ Current غير صحيح",IF(NOT(IF(ISNUMBER($J469),AND($J469&gt;=0,$J469=INT($J469)),FALSE())),"✖ العدد يجب أن يكون صحيحًا ≥ 0",IF(AND($F469="Baseline",$H469&lt;&gt;""),"⚠ Baseline: Start لا يدخل في التقدم",IF($K469="No Start (attainment only)","ℹ تحصيل فقط (بدون Start)",IF($K469="U – needs rule","ℹ حالة U تحتاج قاعدة معتمدة",IF($K469="No result","ℹ بدون نتيجة (يُستبعد من التحصيل)","OK")))))))))))</f>
        <v/>
      </c>
      <c r="M469" s="64" t="n">
        <f aca="false">IF($A469="",0,IFERROR(MATCH($A469,Classes!$A$6:$A$420,0),0))</f>
        <v>0</v>
      </c>
      <c r="N469" s="64" t="n">
        <f aca="false">IF($H469="",0,IFERROR(MATCH($H469,GradeList,0),0))</f>
        <v>0</v>
      </c>
      <c r="O469" s="64" t="n">
        <f aca="false">IF(OR($I469="",$I469="NR"),0,IFERROR(MATCH($I469,GradeList,0),0))</f>
        <v>0</v>
      </c>
      <c r="P469" s="64" t="n">
        <f aca="false">IF(AND($M469&gt;0,ISNUMBER(MATCH($F469,Lists!$A$2:$A$5,0)),ISNUMBER(MATCH($G469,Lists!$B$2:$B$7,0)),OR($H469="",$N469&gt;0),OR($I469="",$I469="NR",$O469&gt;0),IF(ISNUMBER($J469),AND($J469&gt;=0,$J469=INT($J469)),FALSE())),$J469,0)</f>
        <v>0</v>
      </c>
      <c r="Q469" s="64" t="n">
        <f aca="false">IF(AND($P469&gt;0,$O469&gt;0),$P469,0)</f>
        <v>0</v>
      </c>
      <c r="R469" s="64" t="n">
        <f aca="false">IF(AND($Q469&gt;0,$O469&gt;=AtRank),$Q469,0)</f>
        <v>0</v>
      </c>
      <c r="S469" s="64" t="n">
        <f aca="false">IF(AND($Q469&gt;0,$O469&gt;=AboveRank),$Q469,0)</f>
        <v>0</v>
      </c>
      <c r="T469" s="64" t="n">
        <f aca="false">IF($K469="Less",$P469,0)</f>
        <v>0</v>
      </c>
      <c r="U469" s="64" t="n">
        <f aca="false">IF($K469="Expected",$P469,0)</f>
        <v>0</v>
      </c>
      <c r="V469" s="64" t="n">
        <f aca="false">IF($K469="Better",$P469,0)</f>
        <v>0</v>
      </c>
      <c r="W469" s="64" t="n">
        <f aca="false">IF($K469="U – needs rule",$P469,0)</f>
        <v>0</v>
      </c>
      <c r="X469" s="64" t="n">
        <f aca="false">IF($K469="No Start (attainment only)",$P469,0)</f>
        <v>0</v>
      </c>
    </row>
    <row r="470" customFormat="false" ht="15" hidden="false" customHeight="false" outlineLevel="0" collapsed="false">
      <c r="A470" s="60"/>
      <c r="B470" s="61" t="str">
        <f aca="false">IF($M470=0,"",INDEX(Classes!$E$6:$E$420,$M470))</f>
        <v/>
      </c>
      <c r="C470" s="62" t="str">
        <f aca="false">IF($M470=0,"",INDEX(Classes!$H$6:$H$420,$M470))</f>
        <v/>
      </c>
      <c r="D470" s="61" t="str">
        <f aca="false">IF($M470=0,"",INDEX(Classes!$B$6:$B$420,$M470))</f>
        <v/>
      </c>
      <c r="E470" s="61" t="str">
        <f aca="false">IF($M470=0,"",INDEX(Classes!$C$6:$C$420,$M470))</f>
        <v/>
      </c>
      <c r="F470" s="63"/>
      <c r="G470" s="63"/>
      <c r="H470" s="60"/>
      <c r="I470" s="60"/>
      <c r="J470" s="63"/>
      <c r="K470" s="61" t="str">
        <f aca="false">IF($P470=0,"",IF($F470="Baseline","— Baseline",IF($O470=0,"No result",IF($N470=0,"No Start (attainment only)",IF(OR($N470=1,$O470=1),"U – needs rule",INDEX(MxBody,MATCH($I470,MxCurr,0),MATCH($H470,MxStart,0)))))))</f>
        <v/>
      </c>
      <c r="L470" s="62" t="str">
        <f aca="false">IF(COUNTA($A470,$F470,$G470,$H470,$I470,$J470)=0,"",IF($M470=0,"✖ كود الصف غير موجود",IF(ISNA(MATCH($F470,Lists!$A$2:$A$5,0)),"✖ الفترة غير صحيحة",IF(ISNA(MATCH($G470,Lists!$B$2:$B$7,0)),"✖ المجموعة غير صحيحة",IF(NOT(OR($H470="",$N470&gt;0)),"✖ Start غير صحيح",IF(NOT(OR($I470="",$I470="NR",$O470&gt;0)),"✖ Current غير صحيح",IF(NOT(IF(ISNUMBER($J470),AND($J470&gt;=0,$J470=INT($J470)),FALSE())),"✖ العدد يجب أن يكون صحيحًا ≥ 0",IF(AND($F470="Baseline",$H470&lt;&gt;""),"⚠ Baseline: Start لا يدخل في التقدم",IF($K470="No Start (attainment only)","ℹ تحصيل فقط (بدون Start)",IF($K470="U – needs rule","ℹ حالة U تحتاج قاعدة معتمدة",IF($K470="No result","ℹ بدون نتيجة (يُستبعد من التحصيل)","OK")))))))))))</f>
        <v/>
      </c>
      <c r="M470" s="64" t="n">
        <f aca="false">IF($A470="",0,IFERROR(MATCH($A470,Classes!$A$6:$A$420,0),0))</f>
        <v>0</v>
      </c>
      <c r="N470" s="64" t="n">
        <f aca="false">IF($H470="",0,IFERROR(MATCH($H470,GradeList,0),0))</f>
        <v>0</v>
      </c>
      <c r="O470" s="64" t="n">
        <f aca="false">IF(OR($I470="",$I470="NR"),0,IFERROR(MATCH($I470,GradeList,0),0))</f>
        <v>0</v>
      </c>
      <c r="P470" s="64" t="n">
        <f aca="false">IF(AND($M470&gt;0,ISNUMBER(MATCH($F470,Lists!$A$2:$A$5,0)),ISNUMBER(MATCH($G470,Lists!$B$2:$B$7,0)),OR($H470="",$N470&gt;0),OR($I470="",$I470="NR",$O470&gt;0),IF(ISNUMBER($J470),AND($J470&gt;=0,$J470=INT($J470)),FALSE())),$J470,0)</f>
        <v>0</v>
      </c>
      <c r="Q470" s="64" t="n">
        <f aca="false">IF(AND($P470&gt;0,$O470&gt;0),$P470,0)</f>
        <v>0</v>
      </c>
      <c r="R470" s="64" t="n">
        <f aca="false">IF(AND($Q470&gt;0,$O470&gt;=AtRank),$Q470,0)</f>
        <v>0</v>
      </c>
      <c r="S470" s="64" t="n">
        <f aca="false">IF(AND($Q470&gt;0,$O470&gt;=AboveRank),$Q470,0)</f>
        <v>0</v>
      </c>
      <c r="T470" s="64" t="n">
        <f aca="false">IF($K470="Less",$P470,0)</f>
        <v>0</v>
      </c>
      <c r="U470" s="64" t="n">
        <f aca="false">IF($K470="Expected",$P470,0)</f>
        <v>0</v>
      </c>
      <c r="V470" s="64" t="n">
        <f aca="false">IF($K470="Better",$P470,0)</f>
        <v>0</v>
      </c>
      <c r="W470" s="64" t="n">
        <f aca="false">IF($K470="U – needs rule",$P470,0)</f>
        <v>0</v>
      </c>
      <c r="X470" s="64" t="n">
        <f aca="false">IF($K470="No Start (attainment only)",$P470,0)</f>
        <v>0</v>
      </c>
    </row>
    <row r="471" customFormat="false" ht="15" hidden="false" customHeight="false" outlineLevel="0" collapsed="false">
      <c r="A471" s="60"/>
      <c r="B471" s="61" t="str">
        <f aca="false">IF($M471=0,"",INDEX(Classes!$E$6:$E$420,$M471))</f>
        <v/>
      </c>
      <c r="C471" s="62" t="str">
        <f aca="false">IF($M471=0,"",INDEX(Classes!$H$6:$H$420,$M471))</f>
        <v/>
      </c>
      <c r="D471" s="61" t="str">
        <f aca="false">IF($M471=0,"",INDEX(Classes!$B$6:$B$420,$M471))</f>
        <v/>
      </c>
      <c r="E471" s="61" t="str">
        <f aca="false">IF($M471=0,"",INDEX(Classes!$C$6:$C$420,$M471))</f>
        <v/>
      </c>
      <c r="F471" s="63"/>
      <c r="G471" s="63"/>
      <c r="H471" s="60"/>
      <c r="I471" s="60"/>
      <c r="J471" s="63"/>
      <c r="K471" s="61" t="str">
        <f aca="false">IF($P471=0,"",IF($F471="Baseline","— Baseline",IF($O471=0,"No result",IF($N471=0,"No Start (attainment only)",IF(OR($N471=1,$O471=1),"U – needs rule",INDEX(MxBody,MATCH($I471,MxCurr,0),MATCH($H471,MxStart,0)))))))</f>
        <v/>
      </c>
      <c r="L471" s="62" t="str">
        <f aca="false">IF(COUNTA($A471,$F471,$G471,$H471,$I471,$J471)=0,"",IF($M471=0,"✖ كود الصف غير موجود",IF(ISNA(MATCH($F471,Lists!$A$2:$A$5,0)),"✖ الفترة غير صحيحة",IF(ISNA(MATCH($G471,Lists!$B$2:$B$7,0)),"✖ المجموعة غير صحيحة",IF(NOT(OR($H471="",$N471&gt;0)),"✖ Start غير صحيح",IF(NOT(OR($I471="",$I471="NR",$O471&gt;0)),"✖ Current غير صحيح",IF(NOT(IF(ISNUMBER($J471),AND($J471&gt;=0,$J471=INT($J471)),FALSE())),"✖ العدد يجب أن يكون صحيحًا ≥ 0",IF(AND($F471="Baseline",$H471&lt;&gt;""),"⚠ Baseline: Start لا يدخل في التقدم",IF($K471="No Start (attainment only)","ℹ تحصيل فقط (بدون Start)",IF($K471="U – needs rule","ℹ حالة U تحتاج قاعدة معتمدة",IF($K471="No result","ℹ بدون نتيجة (يُستبعد من التحصيل)","OK")))))))))))</f>
        <v/>
      </c>
      <c r="M471" s="64" t="n">
        <f aca="false">IF($A471="",0,IFERROR(MATCH($A471,Classes!$A$6:$A$420,0),0))</f>
        <v>0</v>
      </c>
      <c r="N471" s="64" t="n">
        <f aca="false">IF($H471="",0,IFERROR(MATCH($H471,GradeList,0),0))</f>
        <v>0</v>
      </c>
      <c r="O471" s="64" t="n">
        <f aca="false">IF(OR($I471="",$I471="NR"),0,IFERROR(MATCH($I471,GradeList,0),0))</f>
        <v>0</v>
      </c>
      <c r="P471" s="64" t="n">
        <f aca="false">IF(AND($M471&gt;0,ISNUMBER(MATCH($F471,Lists!$A$2:$A$5,0)),ISNUMBER(MATCH($G471,Lists!$B$2:$B$7,0)),OR($H471="",$N471&gt;0),OR($I471="",$I471="NR",$O471&gt;0),IF(ISNUMBER($J471),AND($J471&gt;=0,$J471=INT($J471)),FALSE())),$J471,0)</f>
        <v>0</v>
      </c>
      <c r="Q471" s="64" t="n">
        <f aca="false">IF(AND($P471&gt;0,$O471&gt;0),$P471,0)</f>
        <v>0</v>
      </c>
      <c r="R471" s="64" t="n">
        <f aca="false">IF(AND($Q471&gt;0,$O471&gt;=AtRank),$Q471,0)</f>
        <v>0</v>
      </c>
      <c r="S471" s="64" t="n">
        <f aca="false">IF(AND($Q471&gt;0,$O471&gt;=AboveRank),$Q471,0)</f>
        <v>0</v>
      </c>
      <c r="T471" s="64" t="n">
        <f aca="false">IF($K471="Less",$P471,0)</f>
        <v>0</v>
      </c>
      <c r="U471" s="64" t="n">
        <f aca="false">IF($K471="Expected",$P471,0)</f>
        <v>0</v>
      </c>
      <c r="V471" s="64" t="n">
        <f aca="false">IF($K471="Better",$P471,0)</f>
        <v>0</v>
      </c>
      <c r="W471" s="64" t="n">
        <f aca="false">IF($K471="U – needs rule",$P471,0)</f>
        <v>0</v>
      </c>
      <c r="X471" s="64" t="n">
        <f aca="false">IF($K471="No Start (attainment only)",$P471,0)</f>
        <v>0</v>
      </c>
    </row>
    <row r="472" customFormat="false" ht="15" hidden="false" customHeight="false" outlineLevel="0" collapsed="false">
      <c r="A472" s="60"/>
      <c r="B472" s="61" t="str">
        <f aca="false">IF($M472=0,"",INDEX(Classes!$E$6:$E$420,$M472))</f>
        <v/>
      </c>
      <c r="C472" s="62" t="str">
        <f aca="false">IF($M472=0,"",INDEX(Classes!$H$6:$H$420,$M472))</f>
        <v/>
      </c>
      <c r="D472" s="61" t="str">
        <f aca="false">IF($M472=0,"",INDEX(Classes!$B$6:$B$420,$M472))</f>
        <v/>
      </c>
      <c r="E472" s="61" t="str">
        <f aca="false">IF($M472=0,"",INDEX(Classes!$C$6:$C$420,$M472))</f>
        <v/>
      </c>
      <c r="F472" s="63"/>
      <c r="G472" s="63"/>
      <c r="H472" s="60"/>
      <c r="I472" s="60"/>
      <c r="J472" s="63"/>
      <c r="K472" s="61" t="str">
        <f aca="false">IF($P472=0,"",IF($F472="Baseline","— Baseline",IF($O472=0,"No result",IF($N472=0,"No Start (attainment only)",IF(OR($N472=1,$O472=1),"U – needs rule",INDEX(MxBody,MATCH($I472,MxCurr,0),MATCH($H472,MxStart,0)))))))</f>
        <v/>
      </c>
      <c r="L472" s="62" t="str">
        <f aca="false">IF(COUNTA($A472,$F472,$G472,$H472,$I472,$J472)=0,"",IF($M472=0,"✖ كود الصف غير موجود",IF(ISNA(MATCH($F472,Lists!$A$2:$A$5,0)),"✖ الفترة غير صحيحة",IF(ISNA(MATCH($G472,Lists!$B$2:$B$7,0)),"✖ المجموعة غير صحيحة",IF(NOT(OR($H472="",$N472&gt;0)),"✖ Start غير صحيح",IF(NOT(OR($I472="",$I472="NR",$O472&gt;0)),"✖ Current غير صحيح",IF(NOT(IF(ISNUMBER($J472),AND($J472&gt;=0,$J472=INT($J472)),FALSE())),"✖ العدد يجب أن يكون صحيحًا ≥ 0",IF(AND($F472="Baseline",$H472&lt;&gt;""),"⚠ Baseline: Start لا يدخل في التقدم",IF($K472="No Start (attainment only)","ℹ تحصيل فقط (بدون Start)",IF($K472="U – needs rule","ℹ حالة U تحتاج قاعدة معتمدة",IF($K472="No result","ℹ بدون نتيجة (يُستبعد من التحصيل)","OK")))))))))))</f>
        <v/>
      </c>
      <c r="M472" s="64" t="n">
        <f aca="false">IF($A472="",0,IFERROR(MATCH($A472,Classes!$A$6:$A$420,0),0))</f>
        <v>0</v>
      </c>
      <c r="N472" s="64" t="n">
        <f aca="false">IF($H472="",0,IFERROR(MATCH($H472,GradeList,0),0))</f>
        <v>0</v>
      </c>
      <c r="O472" s="64" t="n">
        <f aca="false">IF(OR($I472="",$I472="NR"),0,IFERROR(MATCH($I472,GradeList,0),0))</f>
        <v>0</v>
      </c>
      <c r="P472" s="64" t="n">
        <f aca="false">IF(AND($M472&gt;0,ISNUMBER(MATCH($F472,Lists!$A$2:$A$5,0)),ISNUMBER(MATCH($G472,Lists!$B$2:$B$7,0)),OR($H472="",$N472&gt;0),OR($I472="",$I472="NR",$O472&gt;0),IF(ISNUMBER($J472),AND($J472&gt;=0,$J472=INT($J472)),FALSE())),$J472,0)</f>
        <v>0</v>
      </c>
      <c r="Q472" s="64" t="n">
        <f aca="false">IF(AND($P472&gt;0,$O472&gt;0),$P472,0)</f>
        <v>0</v>
      </c>
      <c r="R472" s="64" t="n">
        <f aca="false">IF(AND($Q472&gt;0,$O472&gt;=AtRank),$Q472,0)</f>
        <v>0</v>
      </c>
      <c r="S472" s="64" t="n">
        <f aca="false">IF(AND($Q472&gt;0,$O472&gt;=AboveRank),$Q472,0)</f>
        <v>0</v>
      </c>
      <c r="T472" s="64" t="n">
        <f aca="false">IF($K472="Less",$P472,0)</f>
        <v>0</v>
      </c>
      <c r="U472" s="64" t="n">
        <f aca="false">IF($K472="Expected",$P472,0)</f>
        <v>0</v>
      </c>
      <c r="V472" s="64" t="n">
        <f aca="false">IF($K472="Better",$P472,0)</f>
        <v>0</v>
      </c>
      <c r="W472" s="64" t="n">
        <f aca="false">IF($K472="U – needs rule",$P472,0)</f>
        <v>0</v>
      </c>
      <c r="X472" s="64" t="n">
        <f aca="false">IF($K472="No Start (attainment only)",$P472,0)</f>
        <v>0</v>
      </c>
    </row>
    <row r="473" customFormat="false" ht="15" hidden="false" customHeight="false" outlineLevel="0" collapsed="false">
      <c r="A473" s="60"/>
      <c r="B473" s="61" t="str">
        <f aca="false">IF($M473=0,"",INDEX(Classes!$E$6:$E$420,$M473))</f>
        <v/>
      </c>
      <c r="C473" s="62" t="str">
        <f aca="false">IF($M473=0,"",INDEX(Classes!$H$6:$H$420,$M473))</f>
        <v/>
      </c>
      <c r="D473" s="61" t="str">
        <f aca="false">IF($M473=0,"",INDEX(Classes!$B$6:$B$420,$M473))</f>
        <v/>
      </c>
      <c r="E473" s="61" t="str">
        <f aca="false">IF($M473=0,"",INDEX(Classes!$C$6:$C$420,$M473))</f>
        <v/>
      </c>
      <c r="F473" s="63"/>
      <c r="G473" s="63"/>
      <c r="H473" s="60"/>
      <c r="I473" s="60"/>
      <c r="J473" s="63"/>
      <c r="K473" s="61" t="str">
        <f aca="false">IF($P473=0,"",IF($F473="Baseline","— Baseline",IF($O473=0,"No result",IF($N473=0,"No Start (attainment only)",IF(OR($N473=1,$O473=1),"U – needs rule",INDEX(MxBody,MATCH($I473,MxCurr,0),MATCH($H473,MxStart,0)))))))</f>
        <v/>
      </c>
      <c r="L473" s="62" t="str">
        <f aca="false">IF(COUNTA($A473,$F473,$G473,$H473,$I473,$J473)=0,"",IF($M473=0,"✖ كود الصف غير موجود",IF(ISNA(MATCH($F473,Lists!$A$2:$A$5,0)),"✖ الفترة غير صحيحة",IF(ISNA(MATCH($G473,Lists!$B$2:$B$7,0)),"✖ المجموعة غير صحيحة",IF(NOT(OR($H473="",$N473&gt;0)),"✖ Start غير صحيح",IF(NOT(OR($I473="",$I473="NR",$O473&gt;0)),"✖ Current غير صحيح",IF(NOT(IF(ISNUMBER($J473),AND($J473&gt;=0,$J473=INT($J473)),FALSE())),"✖ العدد يجب أن يكون صحيحًا ≥ 0",IF(AND($F473="Baseline",$H473&lt;&gt;""),"⚠ Baseline: Start لا يدخل في التقدم",IF($K473="No Start (attainment only)","ℹ تحصيل فقط (بدون Start)",IF($K473="U – needs rule","ℹ حالة U تحتاج قاعدة معتمدة",IF($K473="No result","ℹ بدون نتيجة (يُستبعد من التحصيل)","OK")))))))))))</f>
        <v/>
      </c>
      <c r="M473" s="64" t="n">
        <f aca="false">IF($A473="",0,IFERROR(MATCH($A473,Classes!$A$6:$A$420,0),0))</f>
        <v>0</v>
      </c>
      <c r="N473" s="64" t="n">
        <f aca="false">IF($H473="",0,IFERROR(MATCH($H473,GradeList,0),0))</f>
        <v>0</v>
      </c>
      <c r="O473" s="64" t="n">
        <f aca="false">IF(OR($I473="",$I473="NR"),0,IFERROR(MATCH($I473,GradeList,0),0))</f>
        <v>0</v>
      </c>
      <c r="P473" s="64" t="n">
        <f aca="false">IF(AND($M473&gt;0,ISNUMBER(MATCH($F473,Lists!$A$2:$A$5,0)),ISNUMBER(MATCH($G473,Lists!$B$2:$B$7,0)),OR($H473="",$N473&gt;0),OR($I473="",$I473="NR",$O473&gt;0),IF(ISNUMBER($J473),AND($J473&gt;=0,$J473=INT($J473)),FALSE())),$J473,0)</f>
        <v>0</v>
      </c>
      <c r="Q473" s="64" t="n">
        <f aca="false">IF(AND($P473&gt;0,$O473&gt;0),$P473,0)</f>
        <v>0</v>
      </c>
      <c r="R473" s="64" t="n">
        <f aca="false">IF(AND($Q473&gt;0,$O473&gt;=AtRank),$Q473,0)</f>
        <v>0</v>
      </c>
      <c r="S473" s="64" t="n">
        <f aca="false">IF(AND($Q473&gt;0,$O473&gt;=AboveRank),$Q473,0)</f>
        <v>0</v>
      </c>
      <c r="T473" s="64" t="n">
        <f aca="false">IF($K473="Less",$P473,0)</f>
        <v>0</v>
      </c>
      <c r="U473" s="64" t="n">
        <f aca="false">IF($K473="Expected",$P473,0)</f>
        <v>0</v>
      </c>
      <c r="V473" s="64" t="n">
        <f aca="false">IF($K473="Better",$P473,0)</f>
        <v>0</v>
      </c>
      <c r="W473" s="64" t="n">
        <f aca="false">IF($K473="U – needs rule",$P473,0)</f>
        <v>0</v>
      </c>
      <c r="X473" s="64" t="n">
        <f aca="false">IF($K473="No Start (attainment only)",$P473,0)</f>
        <v>0</v>
      </c>
    </row>
    <row r="474" customFormat="false" ht="15" hidden="false" customHeight="false" outlineLevel="0" collapsed="false">
      <c r="A474" s="60"/>
      <c r="B474" s="61" t="str">
        <f aca="false">IF($M474=0,"",INDEX(Classes!$E$6:$E$420,$M474))</f>
        <v/>
      </c>
      <c r="C474" s="62" t="str">
        <f aca="false">IF($M474=0,"",INDEX(Classes!$H$6:$H$420,$M474))</f>
        <v/>
      </c>
      <c r="D474" s="61" t="str">
        <f aca="false">IF($M474=0,"",INDEX(Classes!$B$6:$B$420,$M474))</f>
        <v/>
      </c>
      <c r="E474" s="61" t="str">
        <f aca="false">IF($M474=0,"",INDEX(Classes!$C$6:$C$420,$M474))</f>
        <v/>
      </c>
      <c r="F474" s="63"/>
      <c r="G474" s="63"/>
      <c r="H474" s="60"/>
      <c r="I474" s="60"/>
      <c r="J474" s="63"/>
      <c r="K474" s="61" t="str">
        <f aca="false">IF($P474=0,"",IF($F474="Baseline","— Baseline",IF($O474=0,"No result",IF($N474=0,"No Start (attainment only)",IF(OR($N474=1,$O474=1),"U – needs rule",INDEX(MxBody,MATCH($I474,MxCurr,0),MATCH($H474,MxStart,0)))))))</f>
        <v/>
      </c>
      <c r="L474" s="62" t="str">
        <f aca="false">IF(COUNTA($A474,$F474,$G474,$H474,$I474,$J474)=0,"",IF($M474=0,"✖ كود الصف غير موجود",IF(ISNA(MATCH($F474,Lists!$A$2:$A$5,0)),"✖ الفترة غير صحيحة",IF(ISNA(MATCH($G474,Lists!$B$2:$B$7,0)),"✖ المجموعة غير صحيحة",IF(NOT(OR($H474="",$N474&gt;0)),"✖ Start غير صحيح",IF(NOT(OR($I474="",$I474="NR",$O474&gt;0)),"✖ Current غير صحيح",IF(NOT(IF(ISNUMBER($J474),AND($J474&gt;=0,$J474=INT($J474)),FALSE())),"✖ العدد يجب أن يكون صحيحًا ≥ 0",IF(AND($F474="Baseline",$H474&lt;&gt;""),"⚠ Baseline: Start لا يدخل في التقدم",IF($K474="No Start (attainment only)","ℹ تحصيل فقط (بدون Start)",IF($K474="U – needs rule","ℹ حالة U تحتاج قاعدة معتمدة",IF($K474="No result","ℹ بدون نتيجة (يُستبعد من التحصيل)","OK")))))))))))</f>
        <v/>
      </c>
      <c r="M474" s="64" t="n">
        <f aca="false">IF($A474="",0,IFERROR(MATCH($A474,Classes!$A$6:$A$420,0),0))</f>
        <v>0</v>
      </c>
      <c r="N474" s="64" t="n">
        <f aca="false">IF($H474="",0,IFERROR(MATCH($H474,GradeList,0),0))</f>
        <v>0</v>
      </c>
      <c r="O474" s="64" t="n">
        <f aca="false">IF(OR($I474="",$I474="NR"),0,IFERROR(MATCH($I474,GradeList,0),0))</f>
        <v>0</v>
      </c>
      <c r="P474" s="64" t="n">
        <f aca="false">IF(AND($M474&gt;0,ISNUMBER(MATCH($F474,Lists!$A$2:$A$5,0)),ISNUMBER(MATCH($G474,Lists!$B$2:$B$7,0)),OR($H474="",$N474&gt;0),OR($I474="",$I474="NR",$O474&gt;0),IF(ISNUMBER($J474),AND($J474&gt;=0,$J474=INT($J474)),FALSE())),$J474,0)</f>
        <v>0</v>
      </c>
      <c r="Q474" s="64" t="n">
        <f aca="false">IF(AND($P474&gt;0,$O474&gt;0),$P474,0)</f>
        <v>0</v>
      </c>
      <c r="R474" s="64" t="n">
        <f aca="false">IF(AND($Q474&gt;0,$O474&gt;=AtRank),$Q474,0)</f>
        <v>0</v>
      </c>
      <c r="S474" s="64" t="n">
        <f aca="false">IF(AND($Q474&gt;0,$O474&gt;=AboveRank),$Q474,0)</f>
        <v>0</v>
      </c>
      <c r="T474" s="64" t="n">
        <f aca="false">IF($K474="Less",$P474,0)</f>
        <v>0</v>
      </c>
      <c r="U474" s="64" t="n">
        <f aca="false">IF($K474="Expected",$P474,0)</f>
        <v>0</v>
      </c>
      <c r="V474" s="64" t="n">
        <f aca="false">IF($K474="Better",$P474,0)</f>
        <v>0</v>
      </c>
      <c r="W474" s="64" t="n">
        <f aca="false">IF($K474="U – needs rule",$P474,0)</f>
        <v>0</v>
      </c>
      <c r="X474" s="64" t="n">
        <f aca="false">IF($K474="No Start (attainment only)",$P474,0)</f>
        <v>0</v>
      </c>
    </row>
    <row r="475" customFormat="false" ht="15" hidden="false" customHeight="false" outlineLevel="0" collapsed="false">
      <c r="A475" s="60"/>
      <c r="B475" s="61" t="str">
        <f aca="false">IF($M475=0,"",INDEX(Classes!$E$6:$E$420,$M475))</f>
        <v/>
      </c>
      <c r="C475" s="62" t="str">
        <f aca="false">IF($M475=0,"",INDEX(Classes!$H$6:$H$420,$M475))</f>
        <v/>
      </c>
      <c r="D475" s="61" t="str">
        <f aca="false">IF($M475=0,"",INDEX(Classes!$B$6:$B$420,$M475))</f>
        <v/>
      </c>
      <c r="E475" s="61" t="str">
        <f aca="false">IF($M475=0,"",INDEX(Classes!$C$6:$C$420,$M475))</f>
        <v/>
      </c>
      <c r="F475" s="63"/>
      <c r="G475" s="63"/>
      <c r="H475" s="60"/>
      <c r="I475" s="60"/>
      <c r="J475" s="63"/>
      <c r="K475" s="61" t="str">
        <f aca="false">IF($P475=0,"",IF($F475="Baseline","— Baseline",IF($O475=0,"No result",IF($N475=0,"No Start (attainment only)",IF(OR($N475=1,$O475=1),"U – needs rule",INDEX(MxBody,MATCH($I475,MxCurr,0),MATCH($H475,MxStart,0)))))))</f>
        <v/>
      </c>
      <c r="L475" s="62" t="str">
        <f aca="false">IF(COUNTA($A475,$F475,$G475,$H475,$I475,$J475)=0,"",IF($M475=0,"✖ كود الصف غير موجود",IF(ISNA(MATCH($F475,Lists!$A$2:$A$5,0)),"✖ الفترة غير صحيحة",IF(ISNA(MATCH($G475,Lists!$B$2:$B$7,0)),"✖ المجموعة غير صحيحة",IF(NOT(OR($H475="",$N475&gt;0)),"✖ Start غير صحيح",IF(NOT(OR($I475="",$I475="NR",$O475&gt;0)),"✖ Current غير صحيح",IF(NOT(IF(ISNUMBER($J475),AND($J475&gt;=0,$J475=INT($J475)),FALSE())),"✖ العدد يجب أن يكون صحيحًا ≥ 0",IF(AND($F475="Baseline",$H475&lt;&gt;""),"⚠ Baseline: Start لا يدخل في التقدم",IF($K475="No Start (attainment only)","ℹ تحصيل فقط (بدون Start)",IF($K475="U – needs rule","ℹ حالة U تحتاج قاعدة معتمدة",IF($K475="No result","ℹ بدون نتيجة (يُستبعد من التحصيل)","OK")))))))))))</f>
        <v/>
      </c>
      <c r="M475" s="64" t="n">
        <f aca="false">IF($A475="",0,IFERROR(MATCH($A475,Classes!$A$6:$A$420,0),0))</f>
        <v>0</v>
      </c>
      <c r="N475" s="64" t="n">
        <f aca="false">IF($H475="",0,IFERROR(MATCH($H475,GradeList,0),0))</f>
        <v>0</v>
      </c>
      <c r="O475" s="64" t="n">
        <f aca="false">IF(OR($I475="",$I475="NR"),0,IFERROR(MATCH($I475,GradeList,0),0))</f>
        <v>0</v>
      </c>
      <c r="P475" s="64" t="n">
        <f aca="false">IF(AND($M475&gt;0,ISNUMBER(MATCH($F475,Lists!$A$2:$A$5,0)),ISNUMBER(MATCH($G475,Lists!$B$2:$B$7,0)),OR($H475="",$N475&gt;0),OR($I475="",$I475="NR",$O475&gt;0),IF(ISNUMBER($J475),AND($J475&gt;=0,$J475=INT($J475)),FALSE())),$J475,0)</f>
        <v>0</v>
      </c>
      <c r="Q475" s="64" t="n">
        <f aca="false">IF(AND($P475&gt;0,$O475&gt;0),$P475,0)</f>
        <v>0</v>
      </c>
      <c r="R475" s="64" t="n">
        <f aca="false">IF(AND($Q475&gt;0,$O475&gt;=AtRank),$Q475,0)</f>
        <v>0</v>
      </c>
      <c r="S475" s="64" t="n">
        <f aca="false">IF(AND($Q475&gt;0,$O475&gt;=AboveRank),$Q475,0)</f>
        <v>0</v>
      </c>
      <c r="T475" s="64" t="n">
        <f aca="false">IF($K475="Less",$P475,0)</f>
        <v>0</v>
      </c>
      <c r="U475" s="64" t="n">
        <f aca="false">IF($K475="Expected",$P475,0)</f>
        <v>0</v>
      </c>
      <c r="V475" s="64" t="n">
        <f aca="false">IF($K475="Better",$P475,0)</f>
        <v>0</v>
      </c>
      <c r="W475" s="64" t="n">
        <f aca="false">IF($K475="U – needs rule",$P475,0)</f>
        <v>0</v>
      </c>
      <c r="X475" s="64" t="n">
        <f aca="false">IF($K475="No Start (attainment only)",$P475,0)</f>
        <v>0</v>
      </c>
    </row>
    <row r="476" customFormat="false" ht="15" hidden="false" customHeight="false" outlineLevel="0" collapsed="false">
      <c r="A476" s="60"/>
      <c r="B476" s="61" t="str">
        <f aca="false">IF($M476=0,"",INDEX(Classes!$E$6:$E$420,$M476))</f>
        <v/>
      </c>
      <c r="C476" s="62" t="str">
        <f aca="false">IF($M476=0,"",INDEX(Classes!$H$6:$H$420,$M476))</f>
        <v/>
      </c>
      <c r="D476" s="61" t="str">
        <f aca="false">IF($M476=0,"",INDEX(Classes!$B$6:$B$420,$M476))</f>
        <v/>
      </c>
      <c r="E476" s="61" t="str">
        <f aca="false">IF($M476=0,"",INDEX(Classes!$C$6:$C$420,$M476))</f>
        <v/>
      </c>
      <c r="F476" s="63"/>
      <c r="G476" s="63"/>
      <c r="H476" s="60"/>
      <c r="I476" s="60"/>
      <c r="J476" s="63"/>
      <c r="K476" s="61" t="str">
        <f aca="false">IF($P476=0,"",IF($F476="Baseline","— Baseline",IF($O476=0,"No result",IF($N476=0,"No Start (attainment only)",IF(OR($N476=1,$O476=1),"U – needs rule",INDEX(MxBody,MATCH($I476,MxCurr,0),MATCH($H476,MxStart,0)))))))</f>
        <v/>
      </c>
      <c r="L476" s="62" t="str">
        <f aca="false">IF(COUNTA($A476,$F476,$G476,$H476,$I476,$J476)=0,"",IF($M476=0,"✖ كود الصف غير موجود",IF(ISNA(MATCH($F476,Lists!$A$2:$A$5,0)),"✖ الفترة غير صحيحة",IF(ISNA(MATCH($G476,Lists!$B$2:$B$7,0)),"✖ المجموعة غير صحيحة",IF(NOT(OR($H476="",$N476&gt;0)),"✖ Start غير صحيح",IF(NOT(OR($I476="",$I476="NR",$O476&gt;0)),"✖ Current غير صحيح",IF(NOT(IF(ISNUMBER($J476),AND($J476&gt;=0,$J476=INT($J476)),FALSE())),"✖ العدد يجب أن يكون صحيحًا ≥ 0",IF(AND($F476="Baseline",$H476&lt;&gt;""),"⚠ Baseline: Start لا يدخل في التقدم",IF($K476="No Start (attainment only)","ℹ تحصيل فقط (بدون Start)",IF($K476="U – needs rule","ℹ حالة U تحتاج قاعدة معتمدة",IF($K476="No result","ℹ بدون نتيجة (يُستبعد من التحصيل)","OK")))))))))))</f>
        <v/>
      </c>
      <c r="M476" s="64" t="n">
        <f aca="false">IF($A476="",0,IFERROR(MATCH($A476,Classes!$A$6:$A$420,0),0))</f>
        <v>0</v>
      </c>
      <c r="N476" s="64" t="n">
        <f aca="false">IF($H476="",0,IFERROR(MATCH($H476,GradeList,0),0))</f>
        <v>0</v>
      </c>
      <c r="O476" s="64" t="n">
        <f aca="false">IF(OR($I476="",$I476="NR"),0,IFERROR(MATCH($I476,GradeList,0),0))</f>
        <v>0</v>
      </c>
      <c r="P476" s="64" t="n">
        <f aca="false">IF(AND($M476&gt;0,ISNUMBER(MATCH($F476,Lists!$A$2:$A$5,0)),ISNUMBER(MATCH($G476,Lists!$B$2:$B$7,0)),OR($H476="",$N476&gt;0),OR($I476="",$I476="NR",$O476&gt;0),IF(ISNUMBER($J476),AND($J476&gt;=0,$J476=INT($J476)),FALSE())),$J476,0)</f>
        <v>0</v>
      </c>
      <c r="Q476" s="64" t="n">
        <f aca="false">IF(AND($P476&gt;0,$O476&gt;0),$P476,0)</f>
        <v>0</v>
      </c>
      <c r="R476" s="64" t="n">
        <f aca="false">IF(AND($Q476&gt;0,$O476&gt;=AtRank),$Q476,0)</f>
        <v>0</v>
      </c>
      <c r="S476" s="64" t="n">
        <f aca="false">IF(AND($Q476&gt;0,$O476&gt;=AboveRank),$Q476,0)</f>
        <v>0</v>
      </c>
      <c r="T476" s="64" t="n">
        <f aca="false">IF($K476="Less",$P476,0)</f>
        <v>0</v>
      </c>
      <c r="U476" s="64" t="n">
        <f aca="false">IF($K476="Expected",$P476,0)</f>
        <v>0</v>
      </c>
      <c r="V476" s="64" t="n">
        <f aca="false">IF($K476="Better",$P476,0)</f>
        <v>0</v>
      </c>
      <c r="W476" s="64" t="n">
        <f aca="false">IF($K476="U – needs rule",$P476,0)</f>
        <v>0</v>
      </c>
      <c r="X476" s="64" t="n">
        <f aca="false">IF($K476="No Start (attainment only)",$P476,0)</f>
        <v>0</v>
      </c>
    </row>
    <row r="477" customFormat="false" ht="15" hidden="false" customHeight="false" outlineLevel="0" collapsed="false">
      <c r="A477" s="60"/>
      <c r="B477" s="61" t="str">
        <f aca="false">IF($M477=0,"",INDEX(Classes!$E$6:$E$420,$M477))</f>
        <v/>
      </c>
      <c r="C477" s="62" t="str">
        <f aca="false">IF($M477=0,"",INDEX(Classes!$H$6:$H$420,$M477))</f>
        <v/>
      </c>
      <c r="D477" s="61" t="str">
        <f aca="false">IF($M477=0,"",INDEX(Classes!$B$6:$B$420,$M477))</f>
        <v/>
      </c>
      <c r="E477" s="61" t="str">
        <f aca="false">IF($M477=0,"",INDEX(Classes!$C$6:$C$420,$M477))</f>
        <v/>
      </c>
      <c r="F477" s="63"/>
      <c r="G477" s="63"/>
      <c r="H477" s="60"/>
      <c r="I477" s="60"/>
      <c r="J477" s="63"/>
      <c r="K477" s="61" t="str">
        <f aca="false">IF($P477=0,"",IF($F477="Baseline","— Baseline",IF($O477=0,"No result",IF($N477=0,"No Start (attainment only)",IF(OR($N477=1,$O477=1),"U – needs rule",INDEX(MxBody,MATCH($I477,MxCurr,0),MATCH($H477,MxStart,0)))))))</f>
        <v/>
      </c>
      <c r="L477" s="62" t="str">
        <f aca="false">IF(COUNTA($A477,$F477,$G477,$H477,$I477,$J477)=0,"",IF($M477=0,"✖ كود الصف غير موجود",IF(ISNA(MATCH($F477,Lists!$A$2:$A$5,0)),"✖ الفترة غير صحيحة",IF(ISNA(MATCH($G477,Lists!$B$2:$B$7,0)),"✖ المجموعة غير صحيحة",IF(NOT(OR($H477="",$N477&gt;0)),"✖ Start غير صحيح",IF(NOT(OR($I477="",$I477="NR",$O477&gt;0)),"✖ Current غير صحيح",IF(NOT(IF(ISNUMBER($J477),AND($J477&gt;=0,$J477=INT($J477)),FALSE())),"✖ العدد يجب أن يكون صحيحًا ≥ 0",IF(AND($F477="Baseline",$H477&lt;&gt;""),"⚠ Baseline: Start لا يدخل في التقدم",IF($K477="No Start (attainment only)","ℹ تحصيل فقط (بدون Start)",IF($K477="U – needs rule","ℹ حالة U تحتاج قاعدة معتمدة",IF($K477="No result","ℹ بدون نتيجة (يُستبعد من التحصيل)","OK")))))))))))</f>
        <v/>
      </c>
      <c r="M477" s="64" t="n">
        <f aca="false">IF($A477="",0,IFERROR(MATCH($A477,Classes!$A$6:$A$420,0),0))</f>
        <v>0</v>
      </c>
      <c r="N477" s="64" t="n">
        <f aca="false">IF($H477="",0,IFERROR(MATCH($H477,GradeList,0),0))</f>
        <v>0</v>
      </c>
      <c r="O477" s="64" t="n">
        <f aca="false">IF(OR($I477="",$I477="NR"),0,IFERROR(MATCH($I477,GradeList,0),0))</f>
        <v>0</v>
      </c>
      <c r="P477" s="64" t="n">
        <f aca="false">IF(AND($M477&gt;0,ISNUMBER(MATCH($F477,Lists!$A$2:$A$5,0)),ISNUMBER(MATCH($G477,Lists!$B$2:$B$7,0)),OR($H477="",$N477&gt;0),OR($I477="",$I477="NR",$O477&gt;0),IF(ISNUMBER($J477),AND($J477&gt;=0,$J477=INT($J477)),FALSE())),$J477,0)</f>
        <v>0</v>
      </c>
      <c r="Q477" s="64" t="n">
        <f aca="false">IF(AND($P477&gt;0,$O477&gt;0),$P477,0)</f>
        <v>0</v>
      </c>
      <c r="R477" s="64" t="n">
        <f aca="false">IF(AND($Q477&gt;0,$O477&gt;=AtRank),$Q477,0)</f>
        <v>0</v>
      </c>
      <c r="S477" s="64" t="n">
        <f aca="false">IF(AND($Q477&gt;0,$O477&gt;=AboveRank),$Q477,0)</f>
        <v>0</v>
      </c>
      <c r="T477" s="64" t="n">
        <f aca="false">IF($K477="Less",$P477,0)</f>
        <v>0</v>
      </c>
      <c r="U477" s="64" t="n">
        <f aca="false">IF($K477="Expected",$P477,0)</f>
        <v>0</v>
      </c>
      <c r="V477" s="64" t="n">
        <f aca="false">IF($K477="Better",$P477,0)</f>
        <v>0</v>
      </c>
      <c r="W477" s="64" t="n">
        <f aca="false">IF($K477="U – needs rule",$P477,0)</f>
        <v>0</v>
      </c>
      <c r="X477" s="64" t="n">
        <f aca="false">IF($K477="No Start (attainment only)",$P477,0)</f>
        <v>0</v>
      </c>
    </row>
    <row r="478" customFormat="false" ht="15" hidden="false" customHeight="false" outlineLevel="0" collapsed="false">
      <c r="A478" s="60"/>
      <c r="B478" s="61" t="str">
        <f aca="false">IF($M478=0,"",INDEX(Classes!$E$6:$E$420,$M478))</f>
        <v/>
      </c>
      <c r="C478" s="62" t="str">
        <f aca="false">IF($M478=0,"",INDEX(Classes!$H$6:$H$420,$M478))</f>
        <v/>
      </c>
      <c r="D478" s="61" t="str">
        <f aca="false">IF($M478=0,"",INDEX(Classes!$B$6:$B$420,$M478))</f>
        <v/>
      </c>
      <c r="E478" s="61" t="str">
        <f aca="false">IF($M478=0,"",INDEX(Classes!$C$6:$C$420,$M478))</f>
        <v/>
      </c>
      <c r="F478" s="63"/>
      <c r="G478" s="63"/>
      <c r="H478" s="60"/>
      <c r="I478" s="60"/>
      <c r="J478" s="63"/>
      <c r="K478" s="61" t="str">
        <f aca="false">IF($P478=0,"",IF($F478="Baseline","— Baseline",IF($O478=0,"No result",IF($N478=0,"No Start (attainment only)",IF(OR($N478=1,$O478=1),"U – needs rule",INDEX(MxBody,MATCH($I478,MxCurr,0),MATCH($H478,MxStart,0)))))))</f>
        <v/>
      </c>
      <c r="L478" s="62" t="str">
        <f aca="false">IF(COUNTA($A478,$F478,$G478,$H478,$I478,$J478)=0,"",IF($M478=0,"✖ كود الصف غير موجود",IF(ISNA(MATCH($F478,Lists!$A$2:$A$5,0)),"✖ الفترة غير صحيحة",IF(ISNA(MATCH($G478,Lists!$B$2:$B$7,0)),"✖ المجموعة غير صحيحة",IF(NOT(OR($H478="",$N478&gt;0)),"✖ Start غير صحيح",IF(NOT(OR($I478="",$I478="NR",$O478&gt;0)),"✖ Current غير صحيح",IF(NOT(IF(ISNUMBER($J478),AND($J478&gt;=0,$J478=INT($J478)),FALSE())),"✖ العدد يجب أن يكون صحيحًا ≥ 0",IF(AND($F478="Baseline",$H478&lt;&gt;""),"⚠ Baseline: Start لا يدخل في التقدم",IF($K478="No Start (attainment only)","ℹ تحصيل فقط (بدون Start)",IF($K478="U – needs rule","ℹ حالة U تحتاج قاعدة معتمدة",IF($K478="No result","ℹ بدون نتيجة (يُستبعد من التحصيل)","OK")))))))))))</f>
        <v/>
      </c>
      <c r="M478" s="64" t="n">
        <f aca="false">IF($A478="",0,IFERROR(MATCH($A478,Classes!$A$6:$A$420,0),0))</f>
        <v>0</v>
      </c>
      <c r="N478" s="64" t="n">
        <f aca="false">IF($H478="",0,IFERROR(MATCH($H478,GradeList,0),0))</f>
        <v>0</v>
      </c>
      <c r="O478" s="64" t="n">
        <f aca="false">IF(OR($I478="",$I478="NR"),0,IFERROR(MATCH($I478,GradeList,0),0))</f>
        <v>0</v>
      </c>
      <c r="P478" s="64" t="n">
        <f aca="false">IF(AND($M478&gt;0,ISNUMBER(MATCH($F478,Lists!$A$2:$A$5,0)),ISNUMBER(MATCH($G478,Lists!$B$2:$B$7,0)),OR($H478="",$N478&gt;0),OR($I478="",$I478="NR",$O478&gt;0),IF(ISNUMBER($J478),AND($J478&gt;=0,$J478=INT($J478)),FALSE())),$J478,0)</f>
        <v>0</v>
      </c>
      <c r="Q478" s="64" t="n">
        <f aca="false">IF(AND($P478&gt;0,$O478&gt;0),$P478,0)</f>
        <v>0</v>
      </c>
      <c r="R478" s="64" t="n">
        <f aca="false">IF(AND($Q478&gt;0,$O478&gt;=AtRank),$Q478,0)</f>
        <v>0</v>
      </c>
      <c r="S478" s="64" t="n">
        <f aca="false">IF(AND($Q478&gt;0,$O478&gt;=AboveRank),$Q478,0)</f>
        <v>0</v>
      </c>
      <c r="T478" s="64" t="n">
        <f aca="false">IF($K478="Less",$P478,0)</f>
        <v>0</v>
      </c>
      <c r="U478" s="64" t="n">
        <f aca="false">IF($K478="Expected",$P478,0)</f>
        <v>0</v>
      </c>
      <c r="V478" s="64" t="n">
        <f aca="false">IF($K478="Better",$P478,0)</f>
        <v>0</v>
      </c>
      <c r="W478" s="64" t="n">
        <f aca="false">IF($K478="U – needs rule",$P478,0)</f>
        <v>0</v>
      </c>
      <c r="X478" s="64" t="n">
        <f aca="false">IF($K478="No Start (attainment only)",$P478,0)</f>
        <v>0</v>
      </c>
    </row>
    <row r="479" customFormat="false" ht="15" hidden="false" customHeight="false" outlineLevel="0" collapsed="false">
      <c r="A479" s="60"/>
      <c r="B479" s="61" t="str">
        <f aca="false">IF($M479=0,"",INDEX(Classes!$E$6:$E$420,$M479))</f>
        <v/>
      </c>
      <c r="C479" s="62" t="str">
        <f aca="false">IF($M479=0,"",INDEX(Classes!$H$6:$H$420,$M479))</f>
        <v/>
      </c>
      <c r="D479" s="61" t="str">
        <f aca="false">IF($M479=0,"",INDEX(Classes!$B$6:$B$420,$M479))</f>
        <v/>
      </c>
      <c r="E479" s="61" t="str">
        <f aca="false">IF($M479=0,"",INDEX(Classes!$C$6:$C$420,$M479))</f>
        <v/>
      </c>
      <c r="F479" s="63"/>
      <c r="G479" s="63"/>
      <c r="H479" s="60"/>
      <c r="I479" s="60"/>
      <c r="J479" s="63"/>
      <c r="K479" s="61" t="str">
        <f aca="false">IF($P479=0,"",IF($F479="Baseline","— Baseline",IF($O479=0,"No result",IF($N479=0,"No Start (attainment only)",IF(OR($N479=1,$O479=1),"U – needs rule",INDEX(MxBody,MATCH($I479,MxCurr,0),MATCH($H479,MxStart,0)))))))</f>
        <v/>
      </c>
      <c r="L479" s="62" t="str">
        <f aca="false">IF(COUNTA($A479,$F479,$G479,$H479,$I479,$J479)=0,"",IF($M479=0,"✖ كود الصف غير موجود",IF(ISNA(MATCH($F479,Lists!$A$2:$A$5,0)),"✖ الفترة غير صحيحة",IF(ISNA(MATCH($G479,Lists!$B$2:$B$7,0)),"✖ المجموعة غير صحيحة",IF(NOT(OR($H479="",$N479&gt;0)),"✖ Start غير صحيح",IF(NOT(OR($I479="",$I479="NR",$O479&gt;0)),"✖ Current غير صحيح",IF(NOT(IF(ISNUMBER($J479),AND($J479&gt;=0,$J479=INT($J479)),FALSE())),"✖ العدد يجب أن يكون صحيحًا ≥ 0",IF(AND($F479="Baseline",$H479&lt;&gt;""),"⚠ Baseline: Start لا يدخل في التقدم",IF($K479="No Start (attainment only)","ℹ تحصيل فقط (بدون Start)",IF($K479="U – needs rule","ℹ حالة U تحتاج قاعدة معتمدة",IF($K479="No result","ℹ بدون نتيجة (يُستبعد من التحصيل)","OK")))))))))))</f>
        <v/>
      </c>
      <c r="M479" s="64" t="n">
        <f aca="false">IF($A479="",0,IFERROR(MATCH($A479,Classes!$A$6:$A$420,0),0))</f>
        <v>0</v>
      </c>
      <c r="N479" s="64" t="n">
        <f aca="false">IF($H479="",0,IFERROR(MATCH($H479,GradeList,0),0))</f>
        <v>0</v>
      </c>
      <c r="O479" s="64" t="n">
        <f aca="false">IF(OR($I479="",$I479="NR"),0,IFERROR(MATCH($I479,GradeList,0),0))</f>
        <v>0</v>
      </c>
      <c r="P479" s="64" t="n">
        <f aca="false">IF(AND($M479&gt;0,ISNUMBER(MATCH($F479,Lists!$A$2:$A$5,0)),ISNUMBER(MATCH($G479,Lists!$B$2:$B$7,0)),OR($H479="",$N479&gt;0),OR($I479="",$I479="NR",$O479&gt;0),IF(ISNUMBER($J479),AND($J479&gt;=0,$J479=INT($J479)),FALSE())),$J479,0)</f>
        <v>0</v>
      </c>
      <c r="Q479" s="64" t="n">
        <f aca="false">IF(AND($P479&gt;0,$O479&gt;0),$P479,0)</f>
        <v>0</v>
      </c>
      <c r="R479" s="64" t="n">
        <f aca="false">IF(AND($Q479&gt;0,$O479&gt;=AtRank),$Q479,0)</f>
        <v>0</v>
      </c>
      <c r="S479" s="64" t="n">
        <f aca="false">IF(AND($Q479&gt;0,$O479&gt;=AboveRank),$Q479,0)</f>
        <v>0</v>
      </c>
      <c r="T479" s="64" t="n">
        <f aca="false">IF($K479="Less",$P479,0)</f>
        <v>0</v>
      </c>
      <c r="U479" s="64" t="n">
        <f aca="false">IF($K479="Expected",$P479,0)</f>
        <v>0</v>
      </c>
      <c r="V479" s="64" t="n">
        <f aca="false">IF($K479="Better",$P479,0)</f>
        <v>0</v>
      </c>
      <c r="W479" s="64" t="n">
        <f aca="false">IF($K479="U – needs rule",$P479,0)</f>
        <v>0</v>
      </c>
      <c r="X479" s="64" t="n">
        <f aca="false">IF($K479="No Start (attainment only)",$P479,0)</f>
        <v>0</v>
      </c>
    </row>
    <row r="480" customFormat="false" ht="15" hidden="false" customHeight="false" outlineLevel="0" collapsed="false">
      <c r="A480" s="60"/>
      <c r="B480" s="61" t="str">
        <f aca="false">IF($M480=0,"",INDEX(Classes!$E$6:$E$420,$M480))</f>
        <v/>
      </c>
      <c r="C480" s="62" t="str">
        <f aca="false">IF($M480=0,"",INDEX(Classes!$H$6:$H$420,$M480))</f>
        <v/>
      </c>
      <c r="D480" s="61" t="str">
        <f aca="false">IF($M480=0,"",INDEX(Classes!$B$6:$B$420,$M480))</f>
        <v/>
      </c>
      <c r="E480" s="61" t="str">
        <f aca="false">IF($M480=0,"",INDEX(Classes!$C$6:$C$420,$M480))</f>
        <v/>
      </c>
      <c r="F480" s="63"/>
      <c r="G480" s="63"/>
      <c r="H480" s="60"/>
      <c r="I480" s="60"/>
      <c r="J480" s="63"/>
      <c r="K480" s="61" t="str">
        <f aca="false">IF($P480=0,"",IF($F480="Baseline","— Baseline",IF($O480=0,"No result",IF($N480=0,"No Start (attainment only)",IF(OR($N480=1,$O480=1),"U – needs rule",INDEX(MxBody,MATCH($I480,MxCurr,0),MATCH($H480,MxStart,0)))))))</f>
        <v/>
      </c>
      <c r="L480" s="62" t="str">
        <f aca="false">IF(COUNTA($A480,$F480,$G480,$H480,$I480,$J480)=0,"",IF($M480=0,"✖ كود الصف غير موجود",IF(ISNA(MATCH($F480,Lists!$A$2:$A$5,0)),"✖ الفترة غير صحيحة",IF(ISNA(MATCH($G480,Lists!$B$2:$B$7,0)),"✖ المجموعة غير صحيحة",IF(NOT(OR($H480="",$N480&gt;0)),"✖ Start غير صحيح",IF(NOT(OR($I480="",$I480="NR",$O480&gt;0)),"✖ Current غير صحيح",IF(NOT(IF(ISNUMBER($J480),AND($J480&gt;=0,$J480=INT($J480)),FALSE())),"✖ العدد يجب أن يكون صحيحًا ≥ 0",IF(AND($F480="Baseline",$H480&lt;&gt;""),"⚠ Baseline: Start لا يدخل في التقدم",IF($K480="No Start (attainment only)","ℹ تحصيل فقط (بدون Start)",IF($K480="U – needs rule","ℹ حالة U تحتاج قاعدة معتمدة",IF($K480="No result","ℹ بدون نتيجة (يُستبعد من التحصيل)","OK")))))))))))</f>
        <v/>
      </c>
      <c r="M480" s="64" t="n">
        <f aca="false">IF($A480="",0,IFERROR(MATCH($A480,Classes!$A$6:$A$420,0),0))</f>
        <v>0</v>
      </c>
      <c r="N480" s="64" t="n">
        <f aca="false">IF($H480="",0,IFERROR(MATCH($H480,GradeList,0),0))</f>
        <v>0</v>
      </c>
      <c r="O480" s="64" t="n">
        <f aca="false">IF(OR($I480="",$I480="NR"),0,IFERROR(MATCH($I480,GradeList,0),0))</f>
        <v>0</v>
      </c>
      <c r="P480" s="64" t="n">
        <f aca="false">IF(AND($M480&gt;0,ISNUMBER(MATCH($F480,Lists!$A$2:$A$5,0)),ISNUMBER(MATCH($G480,Lists!$B$2:$B$7,0)),OR($H480="",$N480&gt;0),OR($I480="",$I480="NR",$O480&gt;0),IF(ISNUMBER($J480),AND($J480&gt;=0,$J480=INT($J480)),FALSE())),$J480,0)</f>
        <v>0</v>
      </c>
      <c r="Q480" s="64" t="n">
        <f aca="false">IF(AND($P480&gt;0,$O480&gt;0),$P480,0)</f>
        <v>0</v>
      </c>
      <c r="R480" s="64" t="n">
        <f aca="false">IF(AND($Q480&gt;0,$O480&gt;=AtRank),$Q480,0)</f>
        <v>0</v>
      </c>
      <c r="S480" s="64" t="n">
        <f aca="false">IF(AND($Q480&gt;0,$O480&gt;=AboveRank),$Q480,0)</f>
        <v>0</v>
      </c>
      <c r="T480" s="64" t="n">
        <f aca="false">IF($K480="Less",$P480,0)</f>
        <v>0</v>
      </c>
      <c r="U480" s="64" t="n">
        <f aca="false">IF($K480="Expected",$P480,0)</f>
        <v>0</v>
      </c>
      <c r="V480" s="64" t="n">
        <f aca="false">IF($K480="Better",$P480,0)</f>
        <v>0</v>
      </c>
      <c r="W480" s="64" t="n">
        <f aca="false">IF($K480="U – needs rule",$P480,0)</f>
        <v>0</v>
      </c>
      <c r="X480" s="64" t="n">
        <f aca="false">IF($K480="No Start (attainment only)",$P480,0)</f>
        <v>0</v>
      </c>
    </row>
    <row r="481" customFormat="false" ht="15" hidden="false" customHeight="false" outlineLevel="0" collapsed="false">
      <c r="A481" s="60"/>
      <c r="B481" s="61" t="str">
        <f aca="false">IF($M481=0,"",INDEX(Classes!$E$6:$E$420,$M481))</f>
        <v/>
      </c>
      <c r="C481" s="62" t="str">
        <f aca="false">IF($M481=0,"",INDEX(Classes!$H$6:$H$420,$M481))</f>
        <v/>
      </c>
      <c r="D481" s="61" t="str">
        <f aca="false">IF($M481=0,"",INDEX(Classes!$B$6:$B$420,$M481))</f>
        <v/>
      </c>
      <c r="E481" s="61" t="str">
        <f aca="false">IF($M481=0,"",INDEX(Classes!$C$6:$C$420,$M481))</f>
        <v/>
      </c>
      <c r="F481" s="63"/>
      <c r="G481" s="63"/>
      <c r="H481" s="60"/>
      <c r="I481" s="60"/>
      <c r="J481" s="63"/>
      <c r="K481" s="61" t="str">
        <f aca="false">IF($P481=0,"",IF($F481="Baseline","— Baseline",IF($O481=0,"No result",IF($N481=0,"No Start (attainment only)",IF(OR($N481=1,$O481=1),"U – needs rule",INDEX(MxBody,MATCH($I481,MxCurr,0),MATCH($H481,MxStart,0)))))))</f>
        <v/>
      </c>
      <c r="L481" s="62" t="str">
        <f aca="false">IF(COUNTA($A481,$F481,$G481,$H481,$I481,$J481)=0,"",IF($M481=0,"✖ كود الصف غير موجود",IF(ISNA(MATCH($F481,Lists!$A$2:$A$5,0)),"✖ الفترة غير صحيحة",IF(ISNA(MATCH($G481,Lists!$B$2:$B$7,0)),"✖ المجموعة غير صحيحة",IF(NOT(OR($H481="",$N481&gt;0)),"✖ Start غير صحيح",IF(NOT(OR($I481="",$I481="NR",$O481&gt;0)),"✖ Current غير صحيح",IF(NOT(IF(ISNUMBER($J481),AND($J481&gt;=0,$J481=INT($J481)),FALSE())),"✖ العدد يجب أن يكون صحيحًا ≥ 0",IF(AND($F481="Baseline",$H481&lt;&gt;""),"⚠ Baseline: Start لا يدخل في التقدم",IF($K481="No Start (attainment only)","ℹ تحصيل فقط (بدون Start)",IF($K481="U – needs rule","ℹ حالة U تحتاج قاعدة معتمدة",IF($K481="No result","ℹ بدون نتيجة (يُستبعد من التحصيل)","OK")))))))))))</f>
        <v/>
      </c>
      <c r="M481" s="64" t="n">
        <f aca="false">IF($A481="",0,IFERROR(MATCH($A481,Classes!$A$6:$A$420,0),0))</f>
        <v>0</v>
      </c>
      <c r="N481" s="64" t="n">
        <f aca="false">IF($H481="",0,IFERROR(MATCH($H481,GradeList,0),0))</f>
        <v>0</v>
      </c>
      <c r="O481" s="64" t="n">
        <f aca="false">IF(OR($I481="",$I481="NR"),0,IFERROR(MATCH($I481,GradeList,0),0))</f>
        <v>0</v>
      </c>
      <c r="P481" s="64" t="n">
        <f aca="false">IF(AND($M481&gt;0,ISNUMBER(MATCH($F481,Lists!$A$2:$A$5,0)),ISNUMBER(MATCH($G481,Lists!$B$2:$B$7,0)),OR($H481="",$N481&gt;0),OR($I481="",$I481="NR",$O481&gt;0),IF(ISNUMBER($J481),AND($J481&gt;=0,$J481=INT($J481)),FALSE())),$J481,0)</f>
        <v>0</v>
      </c>
      <c r="Q481" s="64" t="n">
        <f aca="false">IF(AND($P481&gt;0,$O481&gt;0),$P481,0)</f>
        <v>0</v>
      </c>
      <c r="R481" s="64" t="n">
        <f aca="false">IF(AND($Q481&gt;0,$O481&gt;=AtRank),$Q481,0)</f>
        <v>0</v>
      </c>
      <c r="S481" s="64" t="n">
        <f aca="false">IF(AND($Q481&gt;0,$O481&gt;=AboveRank),$Q481,0)</f>
        <v>0</v>
      </c>
      <c r="T481" s="64" t="n">
        <f aca="false">IF($K481="Less",$P481,0)</f>
        <v>0</v>
      </c>
      <c r="U481" s="64" t="n">
        <f aca="false">IF($K481="Expected",$P481,0)</f>
        <v>0</v>
      </c>
      <c r="V481" s="64" t="n">
        <f aca="false">IF($K481="Better",$P481,0)</f>
        <v>0</v>
      </c>
      <c r="W481" s="64" t="n">
        <f aca="false">IF($K481="U – needs rule",$P481,0)</f>
        <v>0</v>
      </c>
      <c r="X481" s="64" t="n">
        <f aca="false">IF($K481="No Start (attainment only)",$P481,0)</f>
        <v>0</v>
      </c>
    </row>
    <row r="482" customFormat="false" ht="15" hidden="false" customHeight="false" outlineLevel="0" collapsed="false">
      <c r="A482" s="60"/>
      <c r="B482" s="61" t="str">
        <f aca="false">IF($M482=0,"",INDEX(Classes!$E$6:$E$420,$M482))</f>
        <v/>
      </c>
      <c r="C482" s="62" t="str">
        <f aca="false">IF($M482=0,"",INDEX(Classes!$H$6:$H$420,$M482))</f>
        <v/>
      </c>
      <c r="D482" s="61" t="str">
        <f aca="false">IF($M482=0,"",INDEX(Classes!$B$6:$B$420,$M482))</f>
        <v/>
      </c>
      <c r="E482" s="61" t="str">
        <f aca="false">IF($M482=0,"",INDEX(Classes!$C$6:$C$420,$M482))</f>
        <v/>
      </c>
      <c r="F482" s="63"/>
      <c r="G482" s="63"/>
      <c r="H482" s="60"/>
      <c r="I482" s="60"/>
      <c r="J482" s="63"/>
      <c r="K482" s="61" t="str">
        <f aca="false">IF($P482=0,"",IF($F482="Baseline","— Baseline",IF($O482=0,"No result",IF($N482=0,"No Start (attainment only)",IF(OR($N482=1,$O482=1),"U – needs rule",INDEX(MxBody,MATCH($I482,MxCurr,0),MATCH($H482,MxStart,0)))))))</f>
        <v/>
      </c>
      <c r="L482" s="62" t="str">
        <f aca="false">IF(COUNTA($A482,$F482,$G482,$H482,$I482,$J482)=0,"",IF($M482=0,"✖ كود الصف غير موجود",IF(ISNA(MATCH($F482,Lists!$A$2:$A$5,0)),"✖ الفترة غير صحيحة",IF(ISNA(MATCH($G482,Lists!$B$2:$B$7,0)),"✖ المجموعة غير صحيحة",IF(NOT(OR($H482="",$N482&gt;0)),"✖ Start غير صحيح",IF(NOT(OR($I482="",$I482="NR",$O482&gt;0)),"✖ Current غير صحيح",IF(NOT(IF(ISNUMBER($J482),AND($J482&gt;=0,$J482=INT($J482)),FALSE())),"✖ العدد يجب أن يكون صحيحًا ≥ 0",IF(AND($F482="Baseline",$H482&lt;&gt;""),"⚠ Baseline: Start لا يدخل في التقدم",IF($K482="No Start (attainment only)","ℹ تحصيل فقط (بدون Start)",IF($K482="U – needs rule","ℹ حالة U تحتاج قاعدة معتمدة",IF($K482="No result","ℹ بدون نتيجة (يُستبعد من التحصيل)","OK")))))))))))</f>
        <v/>
      </c>
      <c r="M482" s="64" t="n">
        <f aca="false">IF($A482="",0,IFERROR(MATCH($A482,Classes!$A$6:$A$420,0),0))</f>
        <v>0</v>
      </c>
      <c r="N482" s="64" t="n">
        <f aca="false">IF($H482="",0,IFERROR(MATCH($H482,GradeList,0),0))</f>
        <v>0</v>
      </c>
      <c r="O482" s="64" t="n">
        <f aca="false">IF(OR($I482="",$I482="NR"),0,IFERROR(MATCH($I482,GradeList,0),0))</f>
        <v>0</v>
      </c>
      <c r="P482" s="64" t="n">
        <f aca="false">IF(AND($M482&gt;0,ISNUMBER(MATCH($F482,Lists!$A$2:$A$5,0)),ISNUMBER(MATCH($G482,Lists!$B$2:$B$7,0)),OR($H482="",$N482&gt;0),OR($I482="",$I482="NR",$O482&gt;0),IF(ISNUMBER($J482),AND($J482&gt;=0,$J482=INT($J482)),FALSE())),$J482,0)</f>
        <v>0</v>
      </c>
      <c r="Q482" s="64" t="n">
        <f aca="false">IF(AND($P482&gt;0,$O482&gt;0),$P482,0)</f>
        <v>0</v>
      </c>
      <c r="R482" s="64" t="n">
        <f aca="false">IF(AND($Q482&gt;0,$O482&gt;=AtRank),$Q482,0)</f>
        <v>0</v>
      </c>
      <c r="S482" s="64" t="n">
        <f aca="false">IF(AND($Q482&gt;0,$O482&gt;=AboveRank),$Q482,0)</f>
        <v>0</v>
      </c>
      <c r="T482" s="64" t="n">
        <f aca="false">IF($K482="Less",$P482,0)</f>
        <v>0</v>
      </c>
      <c r="U482" s="64" t="n">
        <f aca="false">IF($K482="Expected",$P482,0)</f>
        <v>0</v>
      </c>
      <c r="V482" s="64" t="n">
        <f aca="false">IF($K482="Better",$P482,0)</f>
        <v>0</v>
      </c>
      <c r="W482" s="64" t="n">
        <f aca="false">IF($K482="U – needs rule",$P482,0)</f>
        <v>0</v>
      </c>
      <c r="X482" s="64" t="n">
        <f aca="false">IF($K482="No Start (attainment only)",$P482,0)</f>
        <v>0</v>
      </c>
    </row>
    <row r="483" customFormat="false" ht="15" hidden="false" customHeight="false" outlineLevel="0" collapsed="false">
      <c r="A483" s="60"/>
      <c r="B483" s="61" t="str">
        <f aca="false">IF($M483=0,"",INDEX(Classes!$E$6:$E$420,$M483))</f>
        <v/>
      </c>
      <c r="C483" s="62" t="str">
        <f aca="false">IF($M483=0,"",INDEX(Classes!$H$6:$H$420,$M483))</f>
        <v/>
      </c>
      <c r="D483" s="61" t="str">
        <f aca="false">IF($M483=0,"",INDEX(Classes!$B$6:$B$420,$M483))</f>
        <v/>
      </c>
      <c r="E483" s="61" t="str">
        <f aca="false">IF($M483=0,"",INDEX(Classes!$C$6:$C$420,$M483))</f>
        <v/>
      </c>
      <c r="F483" s="63"/>
      <c r="G483" s="63"/>
      <c r="H483" s="60"/>
      <c r="I483" s="60"/>
      <c r="J483" s="63"/>
      <c r="K483" s="61" t="str">
        <f aca="false">IF($P483=0,"",IF($F483="Baseline","— Baseline",IF($O483=0,"No result",IF($N483=0,"No Start (attainment only)",IF(OR($N483=1,$O483=1),"U – needs rule",INDEX(MxBody,MATCH($I483,MxCurr,0),MATCH($H483,MxStart,0)))))))</f>
        <v/>
      </c>
      <c r="L483" s="62" t="str">
        <f aca="false">IF(COUNTA($A483,$F483,$G483,$H483,$I483,$J483)=0,"",IF($M483=0,"✖ كود الصف غير موجود",IF(ISNA(MATCH($F483,Lists!$A$2:$A$5,0)),"✖ الفترة غير صحيحة",IF(ISNA(MATCH($G483,Lists!$B$2:$B$7,0)),"✖ المجموعة غير صحيحة",IF(NOT(OR($H483="",$N483&gt;0)),"✖ Start غير صحيح",IF(NOT(OR($I483="",$I483="NR",$O483&gt;0)),"✖ Current غير صحيح",IF(NOT(IF(ISNUMBER($J483),AND($J483&gt;=0,$J483=INT($J483)),FALSE())),"✖ العدد يجب أن يكون صحيحًا ≥ 0",IF(AND($F483="Baseline",$H483&lt;&gt;""),"⚠ Baseline: Start لا يدخل في التقدم",IF($K483="No Start (attainment only)","ℹ تحصيل فقط (بدون Start)",IF($K483="U – needs rule","ℹ حالة U تحتاج قاعدة معتمدة",IF($K483="No result","ℹ بدون نتيجة (يُستبعد من التحصيل)","OK")))))))))))</f>
        <v/>
      </c>
      <c r="M483" s="64" t="n">
        <f aca="false">IF($A483="",0,IFERROR(MATCH($A483,Classes!$A$6:$A$420,0),0))</f>
        <v>0</v>
      </c>
      <c r="N483" s="64" t="n">
        <f aca="false">IF($H483="",0,IFERROR(MATCH($H483,GradeList,0),0))</f>
        <v>0</v>
      </c>
      <c r="O483" s="64" t="n">
        <f aca="false">IF(OR($I483="",$I483="NR"),0,IFERROR(MATCH($I483,GradeList,0),0))</f>
        <v>0</v>
      </c>
      <c r="P483" s="64" t="n">
        <f aca="false">IF(AND($M483&gt;0,ISNUMBER(MATCH($F483,Lists!$A$2:$A$5,0)),ISNUMBER(MATCH($G483,Lists!$B$2:$B$7,0)),OR($H483="",$N483&gt;0),OR($I483="",$I483="NR",$O483&gt;0),IF(ISNUMBER($J483),AND($J483&gt;=0,$J483=INT($J483)),FALSE())),$J483,0)</f>
        <v>0</v>
      </c>
      <c r="Q483" s="64" t="n">
        <f aca="false">IF(AND($P483&gt;0,$O483&gt;0),$P483,0)</f>
        <v>0</v>
      </c>
      <c r="R483" s="64" t="n">
        <f aca="false">IF(AND($Q483&gt;0,$O483&gt;=AtRank),$Q483,0)</f>
        <v>0</v>
      </c>
      <c r="S483" s="64" t="n">
        <f aca="false">IF(AND($Q483&gt;0,$O483&gt;=AboveRank),$Q483,0)</f>
        <v>0</v>
      </c>
      <c r="T483" s="64" t="n">
        <f aca="false">IF($K483="Less",$P483,0)</f>
        <v>0</v>
      </c>
      <c r="U483" s="64" t="n">
        <f aca="false">IF($K483="Expected",$P483,0)</f>
        <v>0</v>
      </c>
      <c r="V483" s="64" t="n">
        <f aca="false">IF($K483="Better",$P483,0)</f>
        <v>0</v>
      </c>
      <c r="W483" s="64" t="n">
        <f aca="false">IF($K483="U – needs rule",$P483,0)</f>
        <v>0</v>
      </c>
      <c r="X483" s="64" t="n">
        <f aca="false">IF($K483="No Start (attainment only)",$P483,0)</f>
        <v>0</v>
      </c>
    </row>
    <row r="484" customFormat="false" ht="15" hidden="false" customHeight="false" outlineLevel="0" collapsed="false">
      <c r="A484" s="60"/>
      <c r="B484" s="61" t="str">
        <f aca="false">IF($M484=0,"",INDEX(Classes!$E$6:$E$420,$M484))</f>
        <v/>
      </c>
      <c r="C484" s="62" t="str">
        <f aca="false">IF($M484=0,"",INDEX(Classes!$H$6:$H$420,$M484))</f>
        <v/>
      </c>
      <c r="D484" s="61" t="str">
        <f aca="false">IF($M484=0,"",INDEX(Classes!$B$6:$B$420,$M484))</f>
        <v/>
      </c>
      <c r="E484" s="61" t="str">
        <f aca="false">IF($M484=0,"",INDEX(Classes!$C$6:$C$420,$M484))</f>
        <v/>
      </c>
      <c r="F484" s="63"/>
      <c r="G484" s="63"/>
      <c r="H484" s="60"/>
      <c r="I484" s="60"/>
      <c r="J484" s="63"/>
      <c r="K484" s="61" t="str">
        <f aca="false">IF($P484=0,"",IF($F484="Baseline","— Baseline",IF($O484=0,"No result",IF($N484=0,"No Start (attainment only)",IF(OR($N484=1,$O484=1),"U – needs rule",INDEX(MxBody,MATCH($I484,MxCurr,0),MATCH($H484,MxStart,0)))))))</f>
        <v/>
      </c>
      <c r="L484" s="62" t="str">
        <f aca="false">IF(COUNTA($A484,$F484,$G484,$H484,$I484,$J484)=0,"",IF($M484=0,"✖ كود الصف غير موجود",IF(ISNA(MATCH($F484,Lists!$A$2:$A$5,0)),"✖ الفترة غير صحيحة",IF(ISNA(MATCH($G484,Lists!$B$2:$B$7,0)),"✖ المجموعة غير صحيحة",IF(NOT(OR($H484="",$N484&gt;0)),"✖ Start غير صحيح",IF(NOT(OR($I484="",$I484="NR",$O484&gt;0)),"✖ Current غير صحيح",IF(NOT(IF(ISNUMBER($J484),AND($J484&gt;=0,$J484=INT($J484)),FALSE())),"✖ العدد يجب أن يكون صحيحًا ≥ 0",IF(AND($F484="Baseline",$H484&lt;&gt;""),"⚠ Baseline: Start لا يدخل في التقدم",IF($K484="No Start (attainment only)","ℹ تحصيل فقط (بدون Start)",IF($K484="U – needs rule","ℹ حالة U تحتاج قاعدة معتمدة",IF($K484="No result","ℹ بدون نتيجة (يُستبعد من التحصيل)","OK")))))))))))</f>
        <v/>
      </c>
      <c r="M484" s="64" t="n">
        <f aca="false">IF($A484="",0,IFERROR(MATCH($A484,Classes!$A$6:$A$420,0),0))</f>
        <v>0</v>
      </c>
      <c r="N484" s="64" t="n">
        <f aca="false">IF($H484="",0,IFERROR(MATCH($H484,GradeList,0),0))</f>
        <v>0</v>
      </c>
      <c r="O484" s="64" t="n">
        <f aca="false">IF(OR($I484="",$I484="NR"),0,IFERROR(MATCH($I484,GradeList,0),0))</f>
        <v>0</v>
      </c>
      <c r="P484" s="64" t="n">
        <f aca="false">IF(AND($M484&gt;0,ISNUMBER(MATCH($F484,Lists!$A$2:$A$5,0)),ISNUMBER(MATCH($G484,Lists!$B$2:$B$7,0)),OR($H484="",$N484&gt;0),OR($I484="",$I484="NR",$O484&gt;0),IF(ISNUMBER($J484),AND($J484&gt;=0,$J484=INT($J484)),FALSE())),$J484,0)</f>
        <v>0</v>
      </c>
      <c r="Q484" s="64" t="n">
        <f aca="false">IF(AND($P484&gt;0,$O484&gt;0),$P484,0)</f>
        <v>0</v>
      </c>
      <c r="R484" s="64" t="n">
        <f aca="false">IF(AND($Q484&gt;0,$O484&gt;=AtRank),$Q484,0)</f>
        <v>0</v>
      </c>
      <c r="S484" s="64" t="n">
        <f aca="false">IF(AND($Q484&gt;0,$O484&gt;=AboveRank),$Q484,0)</f>
        <v>0</v>
      </c>
      <c r="T484" s="64" t="n">
        <f aca="false">IF($K484="Less",$P484,0)</f>
        <v>0</v>
      </c>
      <c r="U484" s="64" t="n">
        <f aca="false">IF($K484="Expected",$P484,0)</f>
        <v>0</v>
      </c>
      <c r="V484" s="64" t="n">
        <f aca="false">IF($K484="Better",$P484,0)</f>
        <v>0</v>
      </c>
      <c r="W484" s="64" t="n">
        <f aca="false">IF($K484="U – needs rule",$P484,0)</f>
        <v>0</v>
      </c>
      <c r="X484" s="64" t="n">
        <f aca="false">IF($K484="No Start (attainment only)",$P484,0)</f>
        <v>0</v>
      </c>
    </row>
    <row r="485" customFormat="false" ht="15" hidden="false" customHeight="false" outlineLevel="0" collapsed="false">
      <c r="A485" s="60"/>
      <c r="B485" s="61" t="str">
        <f aca="false">IF($M485=0,"",INDEX(Classes!$E$6:$E$420,$M485))</f>
        <v/>
      </c>
      <c r="C485" s="62" t="str">
        <f aca="false">IF($M485=0,"",INDEX(Classes!$H$6:$H$420,$M485))</f>
        <v/>
      </c>
      <c r="D485" s="61" t="str">
        <f aca="false">IF($M485=0,"",INDEX(Classes!$B$6:$B$420,$M485))</f>
        <v/>
      </c>
      <c r="E485" s="61" t="str">
        <f aca="false">IF($M485=0,"",INDEX(Classes!$C$6:$C$420,$M485))</f>
        <v/>
      </c>
      <c r="F485" s="63"/>
      <c r="G485" s="63"/>
      <c r="H485" s="60"/>
      <c r="I485" s="60"/>
      <c r="J485" s="63"/>
      <c r="K485" s="61" t="str">
        <f aca="false">IF($P485=0,"",IF($F485="Baseline","— Baseline",IF($O485=0,"No result",IF($N485=0,"No Start (attainment only)",IF(OR($N485=1,$O485=1),"U – needs rule",INDEX(MxBody,MATCH($I485,MxCurr,0),MATCH($H485,MxStart,0)))))))</f>
        <v/>
      </c>
      <c r="L485" s="62" t="str">
        <f aca="false">IF(COUNTA($A485,$F485,$G485,$H485,$I485,$J485)=0,"",IF($M485=0,"✖ كود الصف غير موجود",IF(ISNA(MATCH($F485,Lists!$A$2:$A$5,0)),"✖ الفترة غير صحيحة",IF(ISNA(MATCH($G485,Lists!$B$2:$B$7,0)),"✖ المجموعة غير صحيحة",IF(NOT(OR($H485="",$N485&gt;0)),"✖ Start غير صحيح",IF(NOT(OR($I485="",$I485="NR",$O485&gt;0)),"✖ Current غير صحيح",IF(NOT(IF(ISNUMBER($J485),AND($J485&gt;=0,$J485=INT($J485)),FALSE())),"✖ العدد يجب أن يكون صحيحًا ≥ 0",IF(AND($F485="Baseline",$H485&lt;&gt;""),"⚠ Baseline: Start لا يدخل في التقدم",IF($K485="No Start (attainment only)","ℹ تحصيل فقط (بدون Start)",IF($K485="U – needs rule","ℹ حالة U تحتاج قاعدة معتمدة",IF($K485="No result","ℹ بدون نتيجة (يُستبعد من التحصيل)","OK")))))))))))</f>
        <v/>
      </c>
      <c r="M485" s="64" t="n">
        <f aca="false">IF($A485="",0,IFERROR(MATCH($A485,Classes!$A$6:$A$420,0),0))</f>
        <v>0</v>
      </c>
      <c r="N485" s="64" t="n">
        <f aca="false">IF($H485="",0,IFERROR(MATCH($H485,GradeList,0),0))</f>
        <v>0</v>
      </c>
      <c r="O485" s="64" t="n">
        <f aca="false">IF(OR($I485="",$I485="NR"),0,IFERROR(MATCH($I485,GradeList,0),0))</f>
        <v>0</v>
      </c>
      <c r="P485" s="64" t="n">
        <f aca="false">IF(AND($M485&gt;0,ISNUMBER(MATCH($F485,Lists!$A$2:$A$5,0)),ISNUMBER(MATCH($G485,Lists!$B$2:$B$7,0)),OR($H485="",$N485&gt;0),OR($I485="",$I485="NR",$O485&gt;0),IF(ISNUMBER($J485),AND($J485&gt;=0,$J485=INT($J485)),FALSE())),$J485,0)</f>
        <v>0</v>
      </c>
      <c r="Q485" s="64" t="n">
        <f aca="false">IF(AND($P485&gt;0,$O485&gt;0),$P485,0)</f>
        <v>0</v>
      </c>
      <c r="R485" s="64" t="n">
        <f aca="false">IF(AND($Q485&gt;0,$O485&gt;=AtRank),$Q485,0)</f>
        <v>0</v>
      </c>
      <c r="S485" s="64" t="n">
        <f aca="false">IF(AND($Q485&gt;0,$O485&gt;=AboveRank),$Q485,0)</f>
        <v>0</v>
      </c>
      <c r="T485" s="64" t="n">
        <f aca="false">IF($K485="Less",$P485,0)</f>
        <v>0</v>
      </c>
      <c r="U485" s="64" t="n">
        <f aca="false">IF($K485="Expected",$P485,0)</f>
        <v>0</v>
      </c>
      <c r="V485" s="64" t="n">
        <f aca="false">IF($K485="Better",$P485,0)</f>
        <v>0</v>
      </c>
      <c r="W485" s="64" t="n">
        <f aca="false">IF($K485="U – needs rule",$P485,0)</f>
        <v>0</v>
      </c>
      <c r="X485" s="64" t="n">
        <f aca="false">IF($K485="No Start (attainment only)",$P485,0)</f>
        <v>0</v>
      </c>
    </row>
    <row r="486" customFormat="false" ht="15" hidden="false" customHeight="false" outlineLevel="0" collapsed="false">
      <c r="A486" s="60"/>
      <c r="B486" s="61" t="str">
        <f aca="false">IF($M486=0,"",INDEX(Classes!$E$6:$E$420,$M486))</f>
        <v/>
      </c>
      <c r="C486" s="62" t="str">
        <f aca="false">IF($M486=0,"",INDEX(Classes!$H$6:$H$420,$M486))</f>
        <v/>
      </c>
      <c r="D486" s="61" t="str">
        <f aca="false">IF($M486=0,"",INDEX(Classes!$B$6:$B$420,$M486))</f>
        <v/>
      </c>
      <c r="E486" s="61" t="str">
        <f aca="false">IF($M486=0,"",INDEX(Classes!$C$6:$C$420,$M486))</f>
        <v/>
      </c>
      <c r="F486" s="63"/>
      <c r="G486" s="63"/>
      <c r="H486" s="60"/>
      <c r="I486" s="60"/>
      <c r="J486" s="63"/>
      <c r="K486" s="61" t="str">
        <f aca="false">IF($P486=0,"",IF($F486="Baseline","— Baseline",IF($O486=0,"No result",IF($N486=0,"No Start (attainment only)",IF(OR($N486=1,$O486=1),"U – needs rule",INDEX(MxBody,MATCH($I486,MxCurr,0),MATCH($H486,MxStart,0)))))))</f>
        <v/>
      </c>
      <c r="L486" s="62" t="str">
        <f aca="false">IF(COUNTA($A486,$F486,$G486,$H486,$I486,$J486)=0,"",IF($M486=0,"✖ كود الصف غير موجود",IF(ISNA(MATCH($F486,Lists!$A$2:$A$5,0)),"✖ الفترة غير صحيحة",IF(ISNA(MATCH($G486,Lists!$B$2:$B$7,0)),"✖ المجموعة غير صحيحة",IF(NOT(OR($H486="",$N486&gt;0)),"✖ Start غير صحيح",IF(NOT(OR($I486="",$I486="NR",$O486&gt;0)),"✖ Current غير صحيح",IF(NOT(IF(ISNUMBER($J486),AND($J486&gt;=0,$J486=INT($J486)),FALSE())),"✖ العدد يجب أن يكون صحيحًا ≥ 0",IF(AND($F486="Baseline",$H486&lt;&gt;""),"⚠ Baseline: Start لا يدخل في التقدم",IF($K486="No Start (attainment only)","ℹ تحصيل فقط (بدون Start)",IF($K486="U – needs rule","ℹ حالة U تحتاج قاعدة معتمدة",IF($K486="No result","ℹ بدون نتيجة (يُستبعد من التحصيل)","OK")))))))))))</f>
        <v/>
      </c>
      <c r="M486" s="64" t="n">
        <f aca="false">IF($A486="",0,IFERROR(MATCH($A486,Classes!$A$6:$A$420,0),0))</f>
        <v>0</v>
      </c>
      <c r="N486" s="64" t="n">
        <f aca="false">IF($H486="",0,IFERROR(MATCH($H486,GradeList,0),0))</f>
        <v>0</v>
      </c>
      <c r="O486" s="64" t="n">
        <f aca="false">IF(OR($I486="",$I486="NR"),0,IFERROR(MATCH($I486,GradeList,0),0))</f>
        <v>0</v>
      </c>
      <c r="P486" s="64" t="n">
        <f aca="false">IF(AND($M486&gt;0,ISNUMBER(MATCH($F486,Lists!$A$2:$A$5,0)),ISNUMBER(MATCH($G486,Lists!$B$2:$B$7,0)),OR($H486="",$N486&gt;0),OR($I486="",$I486="NR",$O486&gt;0),IF(ISNUMBER($J486),AND($J486&gt;=0,$J486=INT($J486)),FALSE())),$J486,0)</f>
        <v>0</v>
      </c>
      <c r="Q486" s="64" t="n">
        <f aca="false">IF(AND($P486&gt;0,$O486&gt;0),$P486,0)</f>
        <v>0</v>
      </c>
      <c r="R486" s="64" t="n">
        <f aca="false">IF(AND($Q486&gt;0,$O486&gt;=AtRank),$Q486,0)</f>
        <v>0</v>
      </c>
      <c r="S486" s="64" t="n">
        <f aca="false">IF(AND($Q486&gt;0,$O486&gt;=AboveRank),$Q486,0)</f>
        <v>0</v>
      </c>
      <c r="T486" s="64" t="n">
        <f aca="false">IF($K486="Less",$P486,0)</f>
        <v>0</v>
      </c>
      <c r="U486" s="64" t="n">
        <f aca="false">IF($K486="Expected",$P486,0)</f>
        <v>0</v>
      </c>
      <c r="V486" s="64" t="n">
        <f aca="false">IF($K486="Better",$P486,0)</f>
        <v>0</v>
      </c>
      <c r="W486" s="64" t="n">
        <f aca="false">IF($K486="U – needs rule",$P486,0)</f>
        <v>0</v>
      </c>
      <c r="X486" s="64" t="n">
        <f aca="false">IF($K486="No Start (attainment only)",$P486,0)</f>
        <v>0</v>
      </c>
    </row>
    <row r="487" customFormat="false" ht="15" hidden="false" customHeight="false" outlineLevel="0" collapsed="false">
      <c r="A487" s="60"/>
      <c r="B487" s="61" t="str">
        <f aca="false">IF($M487=0,"",INDEX(Classes!$E$6:$E$420,$M487))</f>
        <v/>
      </c>
      <c r="C487" s="62" t="str">
        <f aca="false">IF($M487=0,"",INDEX(Classes!$H$6:$H$420,$M487))</f>
        <v/>
      </c>
      <c r="D487" s="61" t="str">
        <f aca="false">IF($M487=0,"",INDEX(Classes!$B$6:$B$420,$M487))</f>
        <v/>
      </c>
      <c r="E487" s="61" t="str">
        <f aca="false">IF($M487=0,"",INDEX(Classes!$C$6:$C$420,$M487))</f>
        <v/>
      </c>
      <c r="F487" s="63"/>
      <c r="G487" s="63"/>
      <c r="H487" s="60"/>
      <c r="I487" s="60"/>
      <c r="J487" s="63"/>
      <c r="K487" s="61" t="str">
        <f aca="false">IF($P487=0,"",IF($F487="Baseline","— Baseline",IF($O487=0,"No result",IF($N487=0,"No Start (attainment only)",IF(OR($N487=1,$O487=1),"U – needs rule",INDEX(MxBody,MATCH($I487,MxCurr,0),MATCH($H487,MxStart,0)))))))</f>
        <v/>
      </c>
      <c r="L487" s="62" t="str">
        <f aca="false">IF(COUNTA($A487,$F487,$G487,$H487,$I487,$J487)=0,"",IF($M487=0,"✖ كود الصف غير موجود",IF(ISNA(MATCH($F487,Lists!$A$2:$A$5,0)),"✖ الفترة غير صحيحة",IF(ISNA(MATCH($G487,Lists!$B$2:$B$7,0)),"✖ المجموعة غير صحيحة",IF(NOT(OR($H487="",$N487&gt;0)),"✖ Start غير صحيح",IF(NOT(OR($I487="",$I487="NR",$O487&gt;0)),"✖ Current غير صحيح",IF(NOT(IF(ISNUMBER($J487),AND($J487&gt;=0,$J487=INT($J487)),FALSE())),"✖ العدد يجب أن يكون صحيحًا ≥ 0",IF(AND($F487="Baseline",$H487&lt;&gt;""),"⚠ Baseline: Start لا يدخل في التقدم",IF($K487="No Start (attainment only)","ℹ تحصيل فقط (بدون Start)",IF($K487="U – needs rule","ℹ حالة U تحتاج قاعدة معتمدة",IF($K487="No result","ℹ بدون نتيجة (يُستبعد من التحصيل)","OK")))))))))))</f>
        <v/>
      </c>
      <c r="M487" s="64" t="n">
        <f aca="false">IF($A487="",0,IFERROR(MATCH($A487,Classes!$A$6:$A$420,0),0))</f>
        <v>0</v>
      </c>
      <c r="N487" s="64" t="n">
        <f aca="false">IF($H487="",0,IFERROR(MATCH($H487,GradeList,0),0))</f>
        <v>0</v>
      </c>
      <c r="O487" s="64" t="n">
        <f aca="false">IF(OR($I487="",$I487="NR"),0,IFERROR(MATCH($I487,GradeList,0),0))</f>
        <v>0</v>
      </c>
      <c r="P487" s="64" t="n">
        <f aca="false">IF(AND($M487&gt;0,ISNUMBER(MATCH($F487,Lists!$A$2:$A$5,0)),ISNUMBER(MATCH($G487,Lists!$B$2:$B$7,0)),OR($H487="",$N487&gt;0),OR($I487="",$I487="NR",$O487&gt;0),IF(ISNUMBER($J487),AND($J487&gt;=0,$J487=INT($J487)),FALSE())),$J487,0)</f>
        <v>0</v>
      </c>
      <c r="Q487" s="64" t="n">
        <f aca="false">IF(AND($P487&gt;0,$O487&gt;0),$P487,0)</f>
        <v>0</v>
      </c>
      <c r="R487" s="64" t="n">
        <f aca="false">IF(AND($Q487&gt;0,$O487&gt;=AtRank),$Q487,0)</f>
        <v>0</v>
      </c>
      <c r="S487" s="64" t="n">
        <f aca="false">IF(AND($Q487&gt;0,$O487&gt;=AboveRank),$Q487,0)</f>
        <v>0</v>
      </c>
      <c r="T487" s="64" t="n">
        <f aca="false">IF($K487="Less",$P487,0)</f>
        <v>0</v>
      </c>
      <c r="U487" s="64" t="n">
        <f aca="false">IF($K487="Expected",$P487,0)</f>
        <v>0</v>
      </c>
      <c r="V487" s="64" t="n">
        <f aca="false">IF($K487="Better",$P487,0)</f>
        <v>0</v>
      </c>
      <c r="W487" s="64" t="n">
        <f aca="false">IF($K487="U – needs rule",$P487,0)</f>
        <v>0</v>
      </c>
      <c r="X487" s="64" t="n">
        <f aca="false">IF($K487="No Start (attainment only)",$P487,0)</f>
        <v>0</v>
      </c>
    </row>
    <row r="488" customFormat="false" ht="15" hidden="false" customHeight="false" outlineLevel="0" collapsed="false">
      <c r="A488" s="60"/>
      <c r="B488" s="61" t="str">
        <f aca="false">IF($M488=0,"",INDEX(Classes!$E$6:$E$420,$M488))</f>
        <v/>
      </c>
      <c r="C488" s="62" t="str">
        <f aca="false">IF($M488=0,"",INDEX(Classes!$H$6:$H$420,$M488))</f>
        <v/>
      </c>
      <c r="D488" s="61" t="str">
        <f aca="false">IF($M488=0,"",INDEX(Classes!$B$6:$B$420,$M488))</f>
        <v/>
      </c>
      <c r="E488" s="61" t="str">
        <f aca="false">IF($M488=0,"",INDEX(Classes!$C$6:$C$420,$M488))</f>
        <v/>
      </c>
      <c r="F488" s="63"/>
      <c r="G488" s="63"/>
      <c r="H488" s="60"/>
      <c r="I488" s="60"/>
      <c r="J488" s="63"/>
      <c r="K488" s="61" t="str">
        <f aca="false">IF($P488=0,"",IF($F488="Baseline","— Baseline",IF($O488=0,"No result",IF($N488=0,"No Start (attainment only)",IF(OR($N488=1,$O488=1),"U – needs rule",INDEX(MxBody,MATCH($I488,MxCurr,0),MATCH($H488,MxStart,0)))))))</f>
        <v/>
      </c>
      <c r="L488" s="62" t="str">
        <f aca="false">IF(COUNTA($A488,$F488,$G488,$H488,$I488,$J488)=0,"",IF($M488=0,"✖ كود الصف غير موجود",IF(ISNA(MATCH($F488,Lists!$A$2:$A$5,0)),"✖ الفترة غير صحيحة",IF(ISNA(MATCH($G488,Lists!$B$2:$B$7,0)),"✖ المجموعة غير صحيحة",IF(NOT(OR($H488="",$N488&gt;0)),"✖ Start غير صحيح",IF(NOT(OR($I488="",$I488="NR",$O488&gt;0)),"✖ Current غير صحيح",IF(NOT(IF(ISNUMBER($J488),AND($J488&gt;=0,$J488=INT($J488)),FALSE())),"✖ العدد يجب أن يكون صحيحًا ≥ 0",IF(AND($F488="Baseline",$H488&lt;&gt;""),"⚠ Baseline: Start لا يدخل في التقدم",IF($K488="No Start (attainment only)","ℹ تحصيل فقط (بدون Start)",IF($K488="U – needs rule","ℹ حالة U تحتاج قاعدة معتمدة",IF($K488="No result","ℹ بدون نتيجة (يُستبعد من التحصيل)","OK")))))))))))</f>
        <v/>
      </c>
      <c r="M488" s="64" t="n">
        <f aca="false">IF($A488="",0,IFERROR(MATCH($A488,Classes!$A$6:$A$420,0),0))</f>
        <v>0</v>
      </c>
      <c r="N488" s="64" t="n">
        <f aca="false">IF($H488="",0,IFERROR(MATCH($H488,GradeList,0),0))</f>
        <v>0</v>
      </c>
      <c r="O488" s="64" t="n">
        <f aca="false">IF(OR($I488="",$I488="NR"),0,IFERROR(MATCH($I488,GradeList,0),0))</f>
        <v>0</v>
      </c>
      <c r="P488" s="64" t="n">
        <f aca="false">IF(AND($M488&gt;0,ISNUMBER(MATCH($F488,Lists!$A$2:$A$5,0)),ISNUMBER(MATCH($G488,Lists!$B$2:$B$7,0)),OR($H488="",$N488&gt;0),OR($I488="",$I488="NR",$O488&gt;0),IF(ISNUMBER($J488),AND($J488&gt;=0,$J488=INT($J488)),FALSE())),$J488,0)</f>
        <v>0</v>
      </c>
      <c r="Q488" s="64" t="n">
        <f aca="false">IF(AND($P488&gt;0,$O488&gt;0),$P488,0)</f>
        <v>0</v>
      </c>
      <c r="R488" s="64" t="n">
        <f aca="false">IF(AND($Q488&gt;0,$O488&gt;=AtRank),$Q488,0)</f>
        <v>0</v>
      </c>
      <c r="S488" s="64" t="n">
        <f aca="false">IF(AND($Q488&gt;0,$O488&gt;=AboveRank),$Q488,0)</f>
        <v>0</v>
      </c>
      <c r="T488" s="64" t="n">
        <f aca="false">IF($K488="Less",$P488,0)</f>
        <v>0</v>
      </c>
      <c r="U488" s="64" t="n">
        <f aca="false">IF($K488="Expected",$P488,0)</f>
        <v>0</v>
      </c>
      <c r="V488" s="64" t="n">
        <f aca="false">IF($K488="Better",$P488,0)</f>
        <v>0</v>
      </c>
      <c r="W488" s="64" t="n">
        <f aca="false">IF($K488="U – needs rule",$P488,0)</f>
        <v>0</v>
      </c>
      <c r="X488" s="64" t="n">
        <f aca="false">IF($K488="No Start (attainment only)",$P488,0)</f>
        <v>0</v>
      </c>
    </row>
    <row r="489" customFormat="false" ht="15" hidden="false" customHeight="false" outlineLevel="0" collapsed="false">
      <c r="A489" s="60"/>
      <c r="B489" s="61" t="str">
        <f aca="false">IF($M489=0,"",INDEX(Classes!$E$6:$E$420,$M489))</f>
        <v/>
      </c>
      <c r="C489" s="62" t="str">
        <f aca="false">IF($M489=0,"",INDEX(Classes!$H$6:$H$420,$M489))</f>
        <v/>
      </c>
      <c r="D489" s="61" t="str">
        <f aca="false">IF($M489=0,"",INDEX(Classes!$B$6:$B$420,$M489))</f>
        <v/>
      </c>
      <c r="E489" s="61" t="str">
        <f aca="false">IF($M489=0,"",INDEX(Classes!$C$6:$C$420,$M489))</f>
        <v/>
      </c>
      <c r="F489" s="63"/>
      <c r="G489" s="63"/>
      <c r="H489" s="60"/>
      <c r="I489" s="60"/>
      <c r="J489" s="63"/>
      <c r="K489" s="61" t="str">
        <f aca="false">IF($P489=0,"",IF($F489="Baseline","— Baseline",IF($O489=0,"No result",IF($N489=0,"No Start (attainment only)",IF(OR($N489=1,$O489=1),"U – needs rule",INDEX(MxBody,MATCH($I489,MxCurr,0),MATCH($H489,MxStart,0)))))))</f>
        <v/>
      </c>
      <c r="L489" s="62" t="str">
        <f aca="false">IF(COUNTA($A489,$F489,$G489,$H489,$I489,$J489)=0,"",IF($M489=0,"✖ كود الصف غير موجود",IF(ISNA(MATCH($F489,Lists!$A$2:$A$5,0)),"✖ الفترة غير صحيحة",IF(ISNA(MATCH($G489,Lists!$B$2:$B$7,0)),"✖ المجموعة غير صحيحة",IF(NOT(OR($H489="",$N489&gt;0)),"✖ Start غير صحيح",IF(NOT(OR($I489="",$I489="NR",$O489&gt;0)),"✖ Current غير صحيح",IF(NOT(IF(ISNUMBER($J489),AND($J489&gt;=0,$J489=INT($J489)),FALSE())),"✖ العدد يجب أن يكون صحيحًا ≥ 0",IF(AND($F489="Baseline",$H489&lt;&gt;""),"⚠ Baseline: Start لا يدخل في التقدم",IF($K489="No Start (attainment only)","ℹ تحصيل فقط (بدون Start)",IF($K489="U – needs rule","ℹ حالة U تحتاج قاعدة معتمدة",IF($K489="No result","ℹ بدون نتيجة (يُستبعد من التحصيل)","OK")))))))))))</f>
        <v/>
      </c>
      <c r="M489" s="64" t="n">
        <f aca="false">IF($A489="",0,IFERROR(MATCH($A489,Classes!$A$6:$A$420,0),0))</f>
        <v>0</v>
      </c>
      <c r="N489" s="64" t="n">
        <f aca="false">IF($H489="",0,IFERROR(MATCH($H489,GradeList,0),0))</f>
        <v>0</v>
      </c>
      <c r="O489" s="64" t="n">
        <f aca="false">IF(OR($I489="",$I489="NR"),0,IFERROR(MATCH($I489,GradeList,0),0))</f>
        <v>0</v>
      </c>
      <c r="P489" s="64" t="n">
        <f aca="false">IF(AND($M489&gt;0,ISNUMBER(MATCH($F489,Lists!$A$2:$A$5,0)),ISNUMBER(MATCH($G489,Lists!$B$2:$B$7,0)),OR($H489="",$N489&gt;0),OR($I489="",$I489="NR",$O489&gt;0),IF(ISNUMBER($J489),AND($J489&gt;=0,$J489=INT($J489)),FALSE())),$J489,0)</f>
        <v>0</v>
      </c>
      <c r="Q489" s="64" t="n">
        <f aca="false">IF(AND($P489&gt;0,$O489&gt;0),$P489,0)</f>
        <v>0</v>
      </c>
      <c r="R489" s="64" t="n">
        <f aca="false">IF(AND($Q489&gt;0,$O489&gt;=AtRank),$Q489,0)</f>
        <v>0</v>
      </c>
      <c r="S489" s="64" t="n">
        <f aca="false">IF(AND($Q489&gt;0,$O489&gt;=AboveRank),$Q489,0)</f>
        <v>0</v>
      </c>
      <c r="T489" s="64" t="n">
        <f aca="false">IF($K489="Less",$P489,0)</f>
        <v>0</v>
      </c>
      <c r="U489" s="64" t="n">
        <f aca="false">IF($K489="Expected",$P489,0)</f>
        <v>0</v>
      </c>
      <c r="V489" s="64" t="n">
        <f aca="false">IF($K489="Better",$P489,0)</f>
        <v>0</v>
      </c>
      <c r="W489" s="64" t="n">
        <f aca="false">IF($K489="U – needs rule",$P489,0)</f>
        <v>0</v>
      </c>
      <c r="X489" s="64" t="n">
        <f aca="false">IF($K489="No Start (attainment only)",$P489,0)</f>
        <v>0</v>
      </c>
    </row>
    <row r="490" customFormat="false" ht="15" hidden="false" customHeight="false" outlineLevel="0" collapsed="false">
      <c r="A490" s="60"/>
      <c r="B490" s="61" t="str">
        <f aca="false">IF($M490=0,"",INDEX(Classes!$E$6:$E$420,$M490))</f>
        <v/>
      </c>
      <c r="C490" s="62" t="str">
        <f aca="false">IF($M490=0,"",INDEX(Classes!$H$6:$H$420,$M490))</f>
        <v/>
      </c>
      <c r="D490" s="61" t="str">
        <f aca="false">IF($M490=0,"",INDEX(Classes!$B$6:$B$420,$M490))</f>
        <v/>
      </c>
      <c r="E490" s="61" t="str">
        <f aca="false">IF($M490=0,"",INDEX(Classes!$C$6:$C$420,$M490))</f>
        <v/>
      </c>
      <c r="F490" s="63"/>
      <c r="G490" s="63"/>
      <c r="H490" s="60"/>
      <c r="I490" s="60"/>
      <c r="J490" s="63"/>
      <c r="K490" s="61" t="str">
        <f aca="false">IF($P490=0,"",IF($F490="Baseline","— Baseline",IF($O490=0,"No result",IF($N490=0,"No Start (attainment only)",IF(OR($N490=1,$O490=1),"U – needs rule",INDEX(MxBody,MATCH($I490,MxCurr,0),MATCH($H490,MxStart,0)))))))</f>
        <v/>
      </c>
      <c r="L490" s="62" t="str">
        <f aca="false">IF(COUNTA($A490,$F490,$G490,$H490,$I490,$J490)=0,"",IF($M490=0,"✖ كود الصف غير موجود",IF(ISNA(MATCH($F490,Lists!$A$2:$A$5,0)),"✖ الفترة غير صحيحة",IF(ISNA(MATCH($G490,Lists!$B$2:$B$7,0)),"✖ المجموعة غير صحيحة",IF(NOT(OR($H490="",$N490&gt;0)),"✖ Start غير صحيح",IF(NOT(OR($I490="",$I490="NR",$O490&gt;0)),"✖ Current غير صحيح",IF(NOT(IF(ISNUMBER($J490),AND($J490&gt;=0,$J490=INT($J490)),FALSE())),"✖ العدد يجب أن يكون صحيحًا ≥ 0",IF(AND($F490="Baseline",$H490&lt;&gt;""),"⚠ Baseline: Start لا يدخل في التقدم",IF($K490="No Start (attainment only)","ℹ تحصيل فقط (بدون Start)",IF($K490="U – needs rule","ℹ حالة U تحتاج قاعدة معتمدة",IF($K490="No result","ℹ بدون نتيجة (يُستبعد من التحصيل)","OK")))))))))))</f>
        <v/>
      </c>
      <c r="M490" s="64" t="n">
        <f aca="false">IF($A490="",0,IFERROR(MATCH($A490,Classes!$A$6:$A$420,0),0))</f>
        <v>0</v>
      </c>
      <c r="N490" s="64" t="n">
        <f aca="false">IF($H490="",0,IFERROR(MATCH($H490,GradeList,0),0))</f>
        <v>0</v>
      </c>
      <c r="O490" s="64" t="n">
        <f aca="false">IF(OR($I490="",$I490="NR"),0,IFERROR(MATCH($I490,GradeList,0),0))</f>
        <v>0</v>
      </c>
      <c r="P490" s="64" t="n">
        <f aca="false">IF(AND($M490&gt;0,ISNUMBER(MATCH($F490,Lists!$A$2:$A$5,0)),ISNUMBER(MATCH($G490,Lists!$B$2:$B$7,0)),OR($H490="",$N490&gt;0),OR($I490="",$I490="NR",$O490&gt;0),IF(ISNUMBER($J490),AND($J490&gt;=0,$J490=INT($J490)),FALSE())),$J490,0)</f>
        <v>0</v>
      </c>
      <c r="Q490" s="64" t="n">
        <f aca="false">IF(AND($P490&gt;0,$O490&gt;0),$P490,0)</f>
        <v>0</v>
      </c>
      <c r="R490" s="64" t="n">
        <f aca="false">IF(AND($Q490&gt;0,$O490&gt;=AtRank),$Q490,0)</f>
        <v>0</v>
      </c>
      <c r="S490" s="64" t="n">
        <f aca="false">IF(AND($Q490&gt;0,$O490&gt;=AboveRank),$Q490,0)</f>
        <v>0</v>
      </c>
      <c r="T490" s="64" t="n">
        <f aca="false">IF($K490="Less",$P490,0)</f>
        <v>0</v>
      </c>
      <c r="U490" s="64" t="n">
        <f aca="false">IF($K490="Expected",$P490,0)</f>
        <v>0</v>
      </c>
      <c r="V490" s="64" t="n">
        <f aca="false">IF($K490="Better",$P490,0)</f>
        <v>0</v>
      </c>
      <c r="W490" s="64" t="n">
        <f aca="false">IF($K490="U – needs rule",$P490,0)</f>
        <v>0</v>
      </c>
      <c r="X490" s="64" t="n">
        <f aca="false">IF($K490="No Start (attainment only)",$P490,0)</f>
        <v>0</v>
      </c>
    </row>
    <row r="491" customFormat="false" ht="15" hidden="false" customHeight="false" outlineLevel="0" collapsed="false">
      <c r="A491" s="60"/>
      <c r="B491" s="61" t="str">
        <f aca="false">IF($M491=0,"",INDEX(Classes!$E$6:$E$420,$M491))</f>
        <v/>
      </c>
      <c r="C491" s="62" t="str">
        <f aca="false">IF($M491=0,"",INDEX(Classes!$H$6:$H$420,$M491))</f>
        <v/>
      </c>
      <c r="D491" s="61" t="str">
        <f aca="false">IF($M491=0,"",INDEX(Classes!$B$6:$B$420,$M491))</f>
        <v/>
      </c>
      <c r="E491" s="61" t="str">
        <f aca="false">IF($M491=0,"",INDEX(Classes!$C$6:$C$420,$M491))</f>
        <v/>
      </c>
      <c r="F491" s="63"/>
      <c r="G491" s="63"/>
      <c r="H491" s="60"/>
      <c r="I491" s="60"/>
      <c r="J491" s="63"/>
      <c r="K491" s="61" t="str">
        <f aca="false">IF($P491=0,"",IF($F491="Baseline","— Baseline",IF($O491=0,"No result",IF($N491=0,"No Start (attainment only)",IF(OR($N491=1,$O491=1),"U – needs rule",INDEX(MxBody,MATCH($I491,MxCurr,0),MATCH($H491,MxStart,0)))))))</f>
        <v/>
      </c>
      <c r="L491" s="62" t="str">
        <f aca="false">IF(COUNTA($A491,$F491,$G491,$H491,$I491,$J491)=0,"",IF($M491=0,"✖ كود الصف غير موجود",IF(ISNA(MATCH($F491,Lists!$A$2:$A$5,0)),"✖ الفترة غير صحيحة",IF(ISNA(MATCH($G491,Lists!$B$2:$B$7,0)),"✖ المجموعة غير صحيحة",IF(NOT(OR($H491="",$N491&gt;0)),"✖ Start غير صحيح",IF(NOT(OR($I491="",$I491="NR",$O491&gt;0)),"✖ Current غير صحيح",IF(NOT(IF(ISNUMBER($J491),AND($J491&gt;=0,$J491=INT($J491)),FALSE())),"✖ العدد يجب أن يكون صحيحًا ≥ 0",IF(AND($F491="Baseline",$H491&lt;&gt;""),"⚠ Baseline: Start لا يدخل في التقدم",IF($K491="No Start (attainment only)","ℹ تحصيل فقط (بدون Start)",IF($K491="U – needs rule","ℹ حالة U تحتاج قاعدة معتمدة",IF($K491="No result","ℹ بدون نتيجة (يُستبعد من التحصيل)","OK")))))))))))</f>
        <v/>
      </c>
      <c r="M491" s="64" t="n">
        <f aca="false">IF($A491="",0,IFERROR(MATCH($A491,Classes!$A$6:$A$420,0),0))</f>
        <v>0</v>
      </c>
      <c r="N491" s="64" t="n">
        <f aca="false">IF($H491="",0,IFERROR(MATCH($H491,GradeList,0),0))</f>
        <v>0</v>
      </c>
      <c r="O491" s="64" t="n">
        <f aca="false">IF(OR($I491="",$I491="NR"),0,IFERROR(MATCH($I491,GradeList,0),0))</f>
        <v>0</v>
      </c>
      <c r="P491" s="64" t="n">
        <f aca="false">IF(AND($M491&gt;0,ISNUMBER(MATCH($F491,Lists!$A$2:$A$5,0)),ISNUMBER(MATCH($G491,Lists!$B$2:$B$7,0)),OR($H491="",$N491&gt;0),OR($I491="",$I491="NR",$O491&gt;0),IF(ISNUMBER($J491),AND($J491&gt;=0,$J491=INT($J491)),FALSE())),$J491,0)</f>
        <v>0</v>
      </c>
      <c r="Q491" s="64" t="n">
        <f aca="false">IF(AND($P491&gt;0,$O491&gt;0),$P491,0)</f>
        <v>0</v>
      </c>
      <c r="R491" s="64" t="n">
        <f aca="false">IF(AND($Q491&gt;0,$O491&gt;=AtRank),$Q491,0)</f>
        <v>0</v>
      </c>
      <c r="S491" s="64" t="n">
        <f aca="false">IF(AND($Q491&gt;0,$O491&gt;=AboveRank),$Q491,0)</f>
        <v>0</v>
      </c>
      <c r="T491" s="64" t="n">
        <f aca="false">IF($K491="Less",$P491,0)</f>
        <v>0</v>
      </c>
      <c r="U491" s="64" t="n">
        <f aca="false">IF($K491="Expected",$P491,0)</f>
        <v>0</v>
      </c>
      <c r="V491" s="64" t="n">
        <f aca="false">IF($K491="Better",$P491,0)</f>
        <v>0</v>
      </c>
      <c r="W491" s="64" t="n">
        <f aca="false">IF($K491="U – needs rule",$P491,0)</f>
        <v>0</v>
      </c>
      <c r="X491" s="64" t="n">
        <f aca="false">IF($K491="No Start (attainment only)",$P491,0)</f>
        <v>0</v>
      </c>
    </row>
    <row r="492" customFormat="false" ht="15" hidden="false" customHeight="false" outlineLevel="0" collapsed="false">
      <c r="A492" s="60"/>
      <c r="B492" s="61" t="str">
        <f aca="false">IF($M492=0,"",INDEX(Classes!$E$6:$E$420,$M492))</f>
        <v/>
      </c>
      <c r="C492" s="62" t="str">
        <f aca="false">IF($M492=0,"",INDEX(Classes!$H$6:$H$420,$M492))</f>
        <v/>
      </c>
      <c r="D492" s="61" t="str">
        <f aca="false">IF($M492=0,"",INDEX(Classes!$B$6:$B$420,$M492))</f>
        <v/>
      </c>
      <c r="E492" s="61" t="str">
        <f aca="false">IF($M492=0,"",INDEX(Classes!$C$6:$C$420,$M492))</f>
        <v/>
      </c>
      <c r="F492" s="63"/>
      <c r="G492" s="63"/>
      <c r="H492" s="60"/>
      <c r="I492" s="60"/>
      <c r="J492" s="63"/>
      <c r="K492" s="61" t="str">
        <f aca="false">IF($P492=0,"",IF($F492="Baseline","— Baseline",IF($O492=0,"No result",IF($N492=0,"No Start (attainment only)",IF(OR($N492=1,$O492=1),"U – needs rule",INDEX(MxBody,MATCH($I492,MxCurr,0),MATCH($H492,MxStart,0)))))))</f>
        <v/>
      </c>
      <c r="L492" s="62" t="str">
        <f aca="false">IF(COUNTA($A492,$F492,$G492,$H492,$I492,$J492)=0,"",IF($M492=0,"✖ كود الصف غير موجود",IF(ISNA(MATCH($F492,Lists!$A$2:$A$5,0)),"✖ الفترة غير صحيحة",IF(ISNA(MATCH($G492,Lists!$B$2:$B$7,0)),"✖ المجموعة غير صحيحة",IF(NOT(OR($H492="",$N492&gt;0)),"✖ Start غير صحيح",IF(NOT(OR($I492="",$I492="NR",$O492&gt;0)),"✖ Current غير صحيح",IF(NOT(IF(ISNUMBER($J492),AND($J492&gt;=0,$J492=INT($J492)),FALSE())),"✖ العدد يجب أن يكون صحيحًا ≥ 0",IF(AND($F492="Baseline",$H492&lt;&gt;""),"⚠ Baseline: Start لا يدخل في التقدم",IF($K492="No Start (attainment only)","ℹ تحصيل فقط (بدون Start)",IF($K492="U – needs rule","ℹ حالة U تحتاج قاعدة معتمدة",IF($K492="No result","ℹ بدون نتيجة (يُستبعد من التحصيل)","OK")))))))))))</f>
        <v/>
      </c>
      <c r="M492" s="64" t="n">
        <f aca="false">IF($A492="",0,IFERROR(MATCH($A492,Classes!$A$6:$A$420,0),0))</f>
        <v>0</v>
      </c>
      <c r="N492" s="64" t="n">
        <f aca="false">IF($H492="",0,IFERROR(MATCH($H492,GradeList,0),0))</f>
        <v>0</v>
      </c>
      <c r="O492" s="64" t="n">
        <f aca="false">IF(OR($I492="",$I492="NR"),0,IFERROR(MATCH($I492,GradeList,0),0))</f>
        <v>0</v>
      </c>
      <c r="P492" s="64" t="n">
        <f aca="false">IF(AND($M492&gt;0,ISNUMBER(MATCH($F492,Lists!$A$2:$A$5,0)),ISNUMBER(MATCH($G492,Lists!$B$2:$B$7,0)),OR($H492="",$N492&gt;0),OR($I492="",$I492="NR",$O492&gt;0),IF(ISNUMBER($J492),AND($J492&gt;=0,$J492=INT($J492)),FALSE())),$J492,0)</f>
        <v>0</v>
      </c>
      <c r="Q492" s="64" t="n">
        <f aca="false">IF(AND($P492&gt;0,$O492&gt;0),$P492,0)</f>
        <v>0</v>
      </c>
      <c r="R492" s="64" t="n">
        <f aca="false">IF(AND($Q492&gt;0,$O492&gt;=AtRank),$Q492,0)</f>
        <v>0</v>
      </c>
      <c r="S492" s="64" t="n">
        <f aca="false">IF(AND($Q492&gt;0,$O492&gt;=AboveRank),$Q492,0)</f>
        <v>0</v>
      </c>
      <c r="T492" s="64" t="n">
        <f aca="false">IF($K492="Less",$P492,0)</f>
        <v>0</v>
      </c>
      <c r="U492" s="64" t="n">
        <f aca="false">IF($K492="Expected",$P492,0)</f>
        <v>0</v>
      </c>
      <c r="V492" s="64" t="n">
        <f aca="false">IF($K492="Better",$P492,0)</f>
        <v>0</v>
      </c>
      <c r="W492" s="64" t="n">
        <f aca="false">IF($K492="U – needs rule",$P492,0)</f>
        <v>0</v>
      </c>
      <c r="X492" s="64" t="n">
        <f aca="false">IF($K492="No Start (attainment only)",$P492,0)</f>
        <v>0</v>
      </c>
    </row>
    <row r="493" customFormat="false" ht="15" hidden="false" customHeight="false" outlineLevel="0" collapsed="false">
      <c r="A493" s="60"/>
      <c r="B493" s="61" t="str">
        <f aca="false">IF($M493=0,"",INDEX(Classes!$E$6:$E$420,$M493))</f>
        <v/>
      </c>
      <c r="C493" s="62" t="str">
        <f aca="false">IF($M493=0,"",INDEX(Classes!$H$6:$H$420,$M493))</f>
        <v/>
      </c>
      <c r="D493" s="61" t="str">
        <f aca="false">IF($M493=0,"",INDEX(Classes!$B$6:$B$420,$M493))</f>
        <v/>
      </c>
      <c r="E493" s="61" t="str">
        <f aca="false">IF($M493=0,"",INDEX(Classes!$C$6:$C$420,$M493))</f>
        <v/>
      </c>
      <c r="F493" s="63"/>
      <c r="G493" s="63"/>
      <c r="H493" s="60"/>
      <c r="I493" s="60"/>
      <c r="J493" s="63"/>
      <c r="K493" s="61" t="str">
        <f aca="false">IF($P493=0,"",IF($F493="Baseline","— Baseline",IF($O493=0,"No result",IF($N493=0,"No Start (attainment only)",IF(OR($N493=1,$O493=1),"U – needs rule",INDEX(MxBody,MATCH($I493,MxCurr,0),MATCH($H493,MxStart,0)))))))</f>
        <v/>
      </c>
      <c r="L493" s="62" t="str">
        <f aca="false">IF(COUNTA($A493,$F493,$G493,$H493,$I493,$J493)=0,"",IF($M493=0,"✖ كود الصف غير موجود",IF(ISNA(MATCH($F493,Lists!$A$2:$A$5,0)),"✖ الفترة غير صحيحة",IF(ISNA(MATCH($G493,Lists!$B$2:$B$7,0)),"✖ المجموعة غير صحيحة",IF(NOT(OR($H493="",$N493&gt;0)),"✖ Start غير صحيح",IF(NOT(OR($I493="",$I493="NR",$O493&gt;0)),"✖ Current غير صحيح",IF(NOT(IF(ISNUMBER($J493),AND($J493&gt;=0,$J493=INT($J493)),FALSE())),"✖ العدد يجب أن يكون صحيحًا ≥ 0",IF(AND($F493="Baseline",$H493&lt;&gt;""),"⚠ Baseline: Start لا يدخل في التقدم",IF($K493="No Start (attainment only)","ℹ تحصيل فقط (بدون Start)",IF($K493="U – needs rule","ℹ حالة U تحتاج قاعدة معتمدة",IF($K493="No result","ℹ بدون نتيجة (يُستبعد من التحصيل)","OK")))))))))))</f>
        <v/>
      </c>
      <c r="M493" s="64" t="n">
        <f aca="false">IF($A493="",0,IFERROR(MATCH($A493,Classes!$A$6:$A$420,0),0))</f>
        <v>0</v>
      </c>
      <c r="N493" s="64" t="n">
        <f aca="false">IF($H493="",0,IFERROR(MATCH($H493,GradeList,0),0))</f>
        <v>0</v>
      </c>
      <c r="O493" s="64" t="n">
        <f aca="false">IF(OR($I493="",$I493="NR"),0,IFERROR(MATCH($I493,GradeList,0),0))</f>
        <v>0</v>
      </c>
      <c r="P493" s="64" t="n">
        <f aca="false">IF(AND($M493&gt;0,ISNUMBER(MATCH($F493,Lists!$A$2:$A$5,0)),ISNUMBER(MATCH($G493,Lists!$B$2:$B$7,0)),OR($H493="",$N493&gt;0),OR($I493="",$I493="NR",$O493&gt;0),IF(ISNUMBER($J493),AND($J493&gt;=0,$J493=INT($J493)),FALSE())),$J493,0)</f>
        <v>0</v>
      </c>
      <c r="Q493" s="64" t="n">
        <f aca="false">IF(AND($P493&gt;0,$O493&gt;0),$P493,0)</f>
        <v>0</v>
      </c>
      <c r="R493" s="64" t="n">
        <f aca="false">IF(AND($Q493&gt;0,$O493&gt;=AtRank),$Q493,0)</f>
        <v>0</v>
      </c>
      <c r="S493" s="64" t="n">
        <f aca="false">IF(AND($Q493&gt;0,$O493&gt;=AboveRank),$Q493,0)</f>
        <v>0</v>
      </c>
      <c r="T493" s="64" t="n">
        <f aca="false">IF($K493="Less",$P493,0)</f>
        <v>0</v>
      </c>
      <c r="U493" s="64" t="n">
        <f aca="false">IF($K493="Expected",$P493,0)</f>
        <v>0</v>
      </c>
      <c r="V493" s="64" t="n">
        <f aca="false">IF($K493="Better",$P493,0)</f>
        <v>0</v>
      </c>
      <c r="W493" s="64" t="n">
        <f aca="false">IF($K493="U – needs rule",$P493,0)</f>
        <v>0</v>
      </c>
      <c r="X493" s="64" t="n">
        <f aca="false">IF($K493="No Start (attainment only)",$P493,0)</f>
        <v>0</v>
      </c>
    </row>
    <row r="494" customFormat="false" ht="15" hidden="false" customHeight="false" outlineLevel="0" collapsed="false">
      <c r="A494" s="60"/>
      <c r="B494" s="61" t="str">
        <f aca="false">IF($M494=0,"",INDEX(Classes!$E$6:$E$420,$M494))</f>
        <v/>
      </c>
      <c r="C494" s="62" t="str">
        <f aca="false">IF($M494=0,"",INDEX(Classes!$H$6:$H$420,$M494))</f>
        <v/>
      </c>
      <c r="D494" s="61" t="str">
        <f aca="false">IF($M494=0,"",INDEX(Classes!$B$6:$B$420,$M494))</f>
        <v/>
      </c>
      <c r="E494" s="61" t="str">
        <f aca="false">IF($M494=0,"",INDEX(Classes!$C$6:$C$420,$M494))</f>
        <v/>
      </c>
      <c r="F494" s="63"/>
      <c r="G494" s="63"/>
      <c r="H494" s="60"/>
      <c r="I494" s="60"/>
      <c r="J494" s="63"/>
      <c r="K494" s="61" t="str">
        <f aca="false">IF($P494=0,"",IF($F494="Baseline","— Baseline",IF($O494=0,"No result",IF($N494=0,"No Start (attainment only)",IF(OR($N494=1,$O494=1),"U – needs rule",INDEX(MxBody,MATCH($I494,MxCurr,0),MATCH($H494,MxStart,0)))))))</f>
        <v/>
      </c>
      <c r="L494" s="62" t="str">
        <f aca="false">IF(COUNTA($A494,$F494,$G494,$H494,$I494,$J494)=0,"",IF($M494=0,"✖ كود الصف غير موجود",IF(ISNA(MATCH($F494,Lists!$A$2:$A$5,0)),"✖ الفترة غير صحيحة",IF(ISNA(MATCH($G494,Lists!$B$2:$B$7,0)),"✖ المجموعة غير صحيحة",IF(NOT(OR($H494="",$N494&gt;0)),"✖ Start غير صحيح",IF(NOT(OR($I494="",$I494="NR",$O494&gt;0)),"✖ Current غير صحيح",IF(NOT(IF(ISNUMBER($J494),AND($J494&gt;=0,$J494=INT($J494)),FALSE())),"✖ العدد يجب أن يكون صحيحًا ≥ 0",IF(AND($F494="Baseline",$H494&lt;&gt;""),"⚠ Baseline: Start لا يدخل في التقدم",IF($K494="No Start (attainment only)","ℹ تحصيل فقط (بدون Start)",IF($K494="U – needs rule","ℹ حالة U تحتاج قاعدة معتمدة",IF($K494="No result","ℹ بدون نتيجة (يُستبعد من التحصيل)","OK")))))))))))</f>
        <v/>
      </c>
      <c r="M494" s="64" t="n">
        <f aca="false">IF($A494="",0,IFERROR(MATCH($A494,Classes!$A$6:$A$420,0),0))</f>
        <v>0</v>
      </c>
      <c r="N494" s="64" t="n">
        <f aca="false">IF($H494="",0,IFERROR(MATCH($H494,GradeList,0),0))</f>
        <v>0</v>
      </c>
      <c r="O494" s="64" t="n">
        <f aca="false">IF(OR($I494="",$I494="NR"),0,IFERROR(MATCH($I494,GradeList,0),0))</f>
        <v>0</v>
      </c>
      <c r="P494" s="64" t="n">
        <f aca="false">IF(AND($M494&gt;0,ISNUMBER(MATCH($F494,Lists!$A$2:$A$5,0)),ISNUMBER(MATCH($G494,Lists!$B$2:$B$7,0)),OR($H494="",$N494&gt;0),OR($I494="",$I494="NR",$O494&gt;0),IF(ISNUMBER($J494),AND($J494&gt;=0,$J494=INT($J494)),FALSE())),$J494,0)</f>
        <v>0</v>
      </c>
      <c r="Q494" s="64" t="n">
        <f aca="false">IF(AND($P494&gt;0,$O494&gt;0),$P494,0)</f>
        <v>0</v>
      </c>
      <c r="R494" s="64" t="n">
        <f aca="false">IF(AND($Q494&gt;0,$O494&gt;=AtRank),$Q494,0)</f>
        <v>0</v>
      </c>
      <c r="S494" s="64" t="n">
        <f aca="false">IF(AND($Q494&gt;0,$O494&gt;=AboveRank),$Q494,0)</f>
        <v>0</v>
      </c>
      <c r="T494" s="64" t="n">
        <f aca="false">IF($K494="Less",$P494,0)</f>
        <v>0</v>
      </c>
      <c r="U494" s="64" t="n">
        <f aca="false">IF($K494="Expected",$P494,0)</f>
        <v>0</v>
      </c>
      <c r="V494" s="64" t="n">
        <f aca="false">IF($K494="Better",$P494,0)</f>
        <v>0</v>
      </c>
      <c r="W494" s="64" t="n">
        <f aca="false">IF($K494="U – needs rule",$P494,0)</f>
        <v>0</v>
      </c>
      <c r="X494" s="64" t="n">
        <f aca="false">IF($K494="No Start (attainment only)",$P494,0)</f>
        <v>0</v>
      </c>
    </row>
    <row r="495" customFormat="false" ht="15" hidden="false" customHeight="false" outlineLevel="0" collapsed="false">
      <c r="A495" s="60"/>
      <c r="B495" s="61" t="str">
        <f aca="false">IF($M495=0,"",INDEX(Classes!$E$6:$E$420,$M495))</f>
        <v/>
      </c>
      <c r="C495" s="62" t="str">
        <f aca="false">IF($M495=0,"",INDEX(Classes!$H$6:$H$420,$M495))</f>
        <v/>
      </c>
      <c r="D495" s="61" t="str">
        <f aca="false">IF($M495=0,"",INDEX(Classes!$B$6:$B$420,$M495))</f>
        <v/>
      </c>
      <c r="E495" s="61" t="str">
        <f aca="false">IF($M495=0,"",INDEX(Classes!$C$6:$C$420,$M495))</f>
        <v/>
      </c>
      <c r="F495" s="63"/>
      <c r="G495" s="63"/>
      <c r="H495" s="60"/>
      <c r="I495" s="60"/>
      <c r="J495" s="63"/>
      <c r="K495" s="61" t="str">
        <f aca="false">IF($P495=0,"",IF($F495="Baseline","— Baseline",IF($O495=0,"No result",IF($N495=0,"No Start (attainment only)",IF(OR($N495=1,$O495=1),"U – needs rule",INDEX(MxBody,MATCH($I495,MxCurr,0),MATCH($H495,MxStart,0)))))))</f>
        <v/>
      </c>
      <c r="L495" s="62" t="str">
        <f aca="false">IF(COUNTA($A495,$F495,$G495,$H495,$I495,$J495)=0,"",IF($M495=0,"✖ كود الصف غير موجود",IF(ISNA(MATCH($F495,Lists!$A$2:$A$5,0)),"✖ الفترة غير صحيحة",IF(ISNA(MATCH($G495,Lists!$B$2:$B$7,0)),"✖ المجموعة غير صحيحة",IF(NOT(OR($H495="",$N495&gt;0)),"✖ Start غير صحيح",IF(NOT(OR($I495="",$I495="NR",$O495&gt;0)),"✖ Current غير صحيح",IF(NOT(IF(ISNUMBER($J495),AND($J495&gt;=0,$J495=INT($J495)),FALSE())),"✖ العدد يجب أن يكون صحيحًا ≥ 0",IF(AND($F495="Baseline",$H495&lt;&gt;""),"⚠ Baseline: Start لا يدخل في التقدم",IF($K495="No Start (attainment only)","ℹ تحصيل فقط (بدون Start)",IF($K495="U – needs rule","ℹ حالة U تحتاج قاعدة معتمدة",IF($K495="No result","ℹ بدون نتيجة (يُستبعد من التحصيل)","OK")))))))))))</f>
        <v/>
      </c>
      <c r="M495" s="64" t="n">
        <f aca="false">IF($A495="",0,IFERROR(MATCH($A495,Classes!$A$6:$A$420,0),0))</f>
        <v>0</v>
      </c>
      <c r="N495" s="64" t="n">
        <f aca="false">IF($H495="",0,IFERROR(MATCH($H495,GradeList,0),0))</f>
        <v>0</v>
      </c>
      <c r="O495" s="64" t="n">
        <f aca="false">IF(OR($I495="",$I495="NR"),0,IFERROR(MATCH($I495,GradeList,0),0))</f>
        <v>0</v>
      </c>
      <c r="P495" s="64" t="n">
        <f aca="false">IF(AND($M495&gt;0,ISNUMBER(MATCH($F495,Lists!$A$2:$A$5,0)),ISNUMBER(MATCH($G495,Lists!$B$2:$B$7,0)),OR($H495="",$N495&gt;0),OR($I495="",$I495="NR",$O495&gt;0),IF(ISNUMBER($J495),AND($J495&gt;=0,$J495=INT($J495)),FALSE())),$J495,0)</f>
        <v>0</v>
      </c>
      <c r="Q495" s="64" t="n">
        <f aca="false">IF(AND($P495&gt;0,$O495&gt;0),$P495,0)</f>
        <v>0</v>
      </c>
      <c r="R495" s="64" t="n">
        <f aca="false">IF(AND($Q495&gt;0,$O495&gt;=AtRank),$Q495,0)</f>
        <v>0</v>
      </c>
      <c r="S495" s="64" t="n">
        <f aca="false">IF(AND($Q495&gt;0,$O495&gt;=AboveRank),$Q495,0)</f>
        <v>0</v>
      </c>
      <c r="T495" s="64" t="n">
        <f aca="false">IF($K495="Less",$P495,0)</f>
        <v>0</v>
      </c>
      <c r="U495" s="64" t="n">
        <f aca="false">IF($K495="Expected",$P495,0)</f>
        <v>0</v>
      </c>
      <c r="V495" s="64" t="n">
        <f aca="false">IF($K495="Better",$P495,0)</f>
        <v>0</v>
      </c>
      <c r="W495" s="64" t="n">
        <f aca="false">IF($K495="U – needs rule",$P495,0)</f>
        <v>0</v>
      </c>
      <c r="X495" s="64" t="n">
        <f aca="false">IF($K495="No Start (attainment only)",$P495,0)</f>
        <v>0</v>
      </c>
    </row>
    <row r="496" customFormat="false" ht="15" hidden="false" customHeight="false" outlineLevel="0" collapsed="false">
      <c r="A496" s="60"/>
      <c r="B496" s="61" t="str">
        <f aca="false">IF($M496=0,"",INDEX(Classes!$E$6:$E$420,$M496))</f>
        <v/>
      </c>
      <c r="C496" s="62" t="str">
        <f aca="false">IF($M496=0,"",INDEX(Classes!$H$6:$H$420,$M496))</f>
        <v/>
      </c>
      <c r="D496" s="61" t="str">
        <f aca="false">IF($M496=0,"",INDEX(Classes!$B$6:$B$420,$M496))</f>
        <v/>
      </c>
      <c r="E496" s="61" t="str">
        <f aca="false">IF($M496=0,"",INDEX(Classes!$C$6:$C$420,$M496))</f>
        <v/>
      </c>
      <c r="F496" s="63"/>
      <c r="G496" s="63"/>
      <c r="H496" s="60"/>
      <c r="I496" s="60"/>
      <c r="J496" s="63"/>
      <c r="K496" s="61" t="str">
        <f aca="false">IF($P496=0,"",IF($F496="Baseline","— Baseline",IF($O496=0,"No result",IF($N496=0,"No Start (attainment only)",IF(OR($N496=1,$O496=1),"U – needs rule",INDEX(MxBody,MATCH($I496,MxCurr,0),MATCH($H496,MxStart,0)))))))</f>
        <v/>
      </c>
      <c r="L496" s="62" t="str">
        <f aca="false">IF(COUNTA($A496,$F496,$G496,$H496,$I496,$J496)=0,"",IF($M496=0,"✖ كود الصف غير موجود",IF(ISNA(MATCH($F496,Lists!$A$2:$A$5,0)),"✖ الفترة غير صحيحة",IF(ISNA(MATCH($G496,Lists!$B$2:$B$7,0)),"✖ المجموعة غير صحيحة",IF(NOT(OR($H496="",$N496&gt;0)),"✖ Start غير صحيح",IF(NOT(OR($I496="",$I496="NR",$O496&gt;0)),"✖ Current غير صحيح",IF(NOT(IF(ISNUMBER($J496),AND($J496&gt;=0,$J496=INT($J496)),FALSE())),"✖ العدد يجب أن يكون صحيحًا ≥ 0",IF(AND($F496="Baseline",$H496&lt;&gt;""),"⚠ Baseline: Start لا يدخل في التقدم",IF($K496="No Start (attainment only)","ℹ تحصيل فقط (بدون Start)",IF($K496="U – needs rule","ℹ حالة U تحتاج قاعدة معتمدة",IF($K496="No result","ℹ بدون نتيجة (يُستبعد من التحصيل)","OK")))))))))))</f>
        <v/>
      </c>
      <c r="M496" s="64" t="n">
        <f aca="false">IF($A496="",0,IFERROR(MATCH($A496,Classes!$A$6:$A$420,0),0))</f>
        <v>0</v>
      </c>
      <c r="N496" s="64" t="n">
        <f aca="false">IF($H496="",0,IFERROR(MATCH($H496,GradeList,0),0))</f>
        <v>0</v>
      </c>
      <c r="O496" s="64" t="n">
        <f aca="false">IF(OR($I496="",$I496="NR"),0,IFERROR(MATCH($I496,GradeList,0),0))</f>
        <v>0</v>
      </c>
      <c r="P496" s="64" t="n">
        <f aca="false">IF(AND($M496&gt;0,ISNUMBER(MATCH($F496,Lists!$A$2:$A$5,0)),ISNUMBER(MATCH($G496,Lists!$B$2:$B$7,0)),OR($H496="",$N496&gt;0),OR($I496="",$I496="NR",$O496&gt;0),IF(ISNUMBER($J496),AND($J496&gt;=0,$J496=INT($J496)),FALSE())),$J496,0)</f>
        <v>0</v>
      </c>
      <c r="Q496" s="64" t="n">
        <f aca="false">IF(AND($P496&gt;0,$O496&gt;0),$P496,0)</f>
        <v>0</v>
      </c>
      <c r="R496" s="64" t="n">
        <f aca="false">IF(AND($Q496&gt;0,$O496&gt;=AtRank),$Q496,0)</f>
        <v>0</v>
      </c>
      <c r="S496" s="64" t="n">
        <f aca="false">IF(AND($Q496&gt;0,$O496&gt;=AboveRank),$Q496,0)</f>
        <v>0</v>
      </c>
      <c r="T496" s="64" t="n">
        <f aca="false">IF($K496="Less",$P496,0)</f>
        <v>0</v>
      </c>
      <c r="U496" s="64" t="n">
        <f aca="false">IF($K496="Expected",$P496,0)</f>
        <v>0</v>
      </c>
      <c r="V496" s="64" t="n">
        <f aca="false">IF($K496="Better",$P496,0)</f>
        <v>0</v>
      </c>
      <c r="W496" s="64" t="n">
        <f aca="false">IF($K496="U – needs rule",$P496,0)</f>
        <v>0</v>
      </c>
      <c r="X496" s="64" t="n">
        <f aca="false">IF($K496="No Start (attainment only)",$P496,0)</f>
        <v>0</v>
      </c>
    </row>
    <row r="497" customFormat="false" ht="15" hidden="false" customHeight="false" outlineLevel="0" collapsed="false">
      <c r="A497" s="60"/>
      <c r="B497" s="61" t="str">
        <f aca="false">IF($M497=0,"",INDEX(Classes!$E$6:$E$420,$M497))</f>
        <v/>
      </c>
      <c r="C497" s="62" t="str">
        <f aca="false">IF($M497=0,"",INDEX(Classes!$H$6:$H$420,$M497))</f>
        <v/>
      </c>
      <c r="D497" s="61" t="str">
        <f aca="false">IF($M497=0,"",INDEX(Classes!$B$6:$B$420,$M497))</f>
        <v/>
      </c>
      <c r="E497" s="61" t="str">
        <f aca="false">IF($M497=0,"",INDEX(Classes!$C$6:$C$420,$M497))</f>
        <v/>
      </c>
      <c r="F497" s="63"/>
      <c r="G497" s="63"/>
      <c r="H497" s="60"/>
      <c r="I497" s="60"/>
      <c r="J497" s="63"/>
      <c r="K497" s="61" t="str">
        <f aca="false">IF($P497=0,"",IF($F497="Baseline","— Baseline",IF($O497=0,"No result",IF($N497=0,"No Start (attainment only)",IF(OR($N497=1,$O497=1),"U – needs rule",INDEX(MxBody,MATCH($I497,MxCurr,0),MATCH($H497,MxStart,0)))))))</f>
        <v/>
      </c>
      <c r="L497" s="62" t="str">
        <f aca="false">IF(COUNTA($A497,$F497,$G497,$H497,$I497,$J497)=0,"",IF($M497=0,"✖ كود الصف غير موجود",IF(ISNA(MATCH($F497,Lists!$A$2:$A$5,0)),"✖ الفترة غير صحيحة",IF(ISNA(MATCH($G497,Lists!$B$2:$B$7,0)),"✖ المجموعة غير صحيحة",IF(NOT(OR($H497="",$N497&gt;0)),"✖ Start غير صحيح",IF(NOT(OR($I497="",$I497="NR",$O497&gt;0)),"✖ Current غير صحيح",IF(NOT(IF(ISNUMBER($J497),AND($J497&gt;=0,$J497=INT($J497)),FALSE())),"✖ العدد يجب أن يكون صحيحًا ≥ 0",IF(AND($F497="Baseline",$H497&lt;&gt;""),"⚠ Baseline: Start لا يدخل في التقدم",IF($K497="No Start (attainment only)","ℹ تحصيل فقط (بدون Start)",IF($K497="U – needs rule","ℹ حالة U تحتاج قاعدة معتمدة",IF($K497="No result","ℹ بدون نتيجة (يُستبعد من التحصيل)","OK")))))))))))</f>
        <v/>
      </c>
      <c r="M497" s="64" t="n">
        <f aca="false">IF($A497="",0,IFERROR(MATCH($A497,Classes!$A$6:$A$420,0),0))</f>
        <v>0</v>
      </c>
      <c r="N497" s="64" t="n">
        <f aca="false">IF($H497="",0,IFERROR(MATCH($H497,GradeList,0),0))</f>
        <v>0</v>
      </c>
      <c r="O497" s="64" t="n">
        <f aca="false">IF(OR($I497="",$I497="NR"),0,IFERROR(MATCH($I497,GradeList,0),0))</f>
        <v>0</v>
      </c>
      <c r="P497" s="64" t="n">
        <f aca="false">IF(AND($M497&gt;0,ISNUMBER(MATCH($F497,Lists!$A$2:$A$5,0)),ISNUMBER(MATCH($G497,Lists!$B$2:$B$7,0)),OR($H497="",$N497&gt;0),OR($I497="",$I497="NR",$O497&gt;0),IF(ISNUMBER($J497),AND($J497&gt;=0,$J497=INT($J497)),FALSE())),$J497,0)</f>
        <v>0</v>
      </c>
      <c r="Q497" s="64" t="n">
        <f aca="false">IF(AND($P497&gt;0,$O497&gt;0),$P497,0)</f>
        <v>0</v>
      </c>
      <c r="R497" s="64" t="n">
        <f aca="false">IF(AND($Q497&gt;0,$O497&gt;=AtRank),$Q497,0)</f>
        <v>0</v>
      </c>
      <c r="S497" s="64" t="n">
        <f aca="false">IF(AND($Q497&gt;0,$O497&gt;=AboveRank),$Q497,0)</f>
        <v>0</v>
      </c>
      <c r="T497" s="64" t="n">
        <f aca="false">IF($K497="Less",$P497,0)</f>
        <v>0</v>
      </c>
      <c r="U497" s="64" t="n">
        <f aca="false">IF($K497="Expected",$P497,0)</f>
        <v>0</v>
      </c>
      <c r="V497" s="64" t="n">
        <f aca="false">IF($K497="Better",$P497,0)</f>
        <v>0</v>
      </c>
      <c r="W497" s="64" t="n">
        <f aca="false">IF($K497="U – needs rule",$P497,0)</f>
        <v>0</v>
      </c>
      <c r="X497" s="64" t="n">
        <f aca="false">IF($K497="No Start (attainment only)",$P497,0)</f>
        <v>0</v>
      </c>
    </row>
    <row r="498" customFormat="false" ht="15" hidden="false" customHeight="false" outlineLevel="0" collapsed="false">
      <c r="A498" s="60"/>
      <c r="B498" s="61" t="str">
        <f aca="false">IF($M498=0,"",INDEX(Classes!$E$6:$E$420,$M498))</f>
        <v/>
      </c>
      <c r="C498" s="62" t="str">
        <f aca="false">IF($M498=0,"",INDEX(Classes!$H$6:$H$420,$M498))</f>
        <v/>
      </c>
      <c r="D498" s="61" t="str">
        <f aca="false">IF($M498=0,"",INDEX(Classes!$B$6:$B$420,$M498))</f>
        <v/>
      </c>
      <c r="E498" s="61" t="str">
        <f aca="false">IF($M498=0,"",INDEX(Classes!$C$6:$C$420,$M498))</f>
        <v/>
      </c>
      <c r="F498" s="63"/>
      <c r="G498" s="63"/>
      <c r="H498" s="60"/>
      <c r="I498" s="60"/>
      <c r="J498" s="63"/>
      <c r="K498" s="61" t="str">
        <f aca="false">IF($P498=0,"",IF($F498="Baseline","— Baseline",IF($O498=0,"No result",IF($N498=0,"No Start (attainment only)",IF(OR($N498=1,$O498=1),"U – needs rule",INDEX(MxBody,MATCH($I498,MxCurr,0),MATCH($H498,MxStart,0)))))))</f>
        <v/>
      </c>
      <c r="L498" s="62" t="str">
        <f aca="false">IF(COUNTA($A498,$F498,$G498,$H498,$I498,$J498)=0,"",IF($M498=0,"✖ كود الصف غير موجود",IF(ISNA(MATCH($F498,Lists!$A$2:$A$5,0)),"✖ الفترة غير صحيحة",IF(ISNA(MATCH($G498,Lists!$B$2:$B$7,0)),"✖ المجموعة غير صحيحة",IF(NOT(OR($H498="",$N498&gt;0)),"✖ Start غير صحيح",IF(NOT(OR($I498="",$I498="NR",$O498&gt;0)),"✖ Current غير صحيح",IF(NOT(IF(ISNUMBER($J498),AND($J498&gt;=0,$J498=INT($J498)),FALSE())),"✖ العدد يجب أن يكون صحيحًا ≥ 0",IF(AND($F498="Baseline",$H498&lt;&gt;""),"⚠ Baseline: Start لا يدخل في التقدم",IF($K498="No Start (attainment only)","ℹ تحصيل فقط (بدون Start)",IF($K498="U – needs rule","ℹ حالة U تحتاج قاعدة معتمدة",IF($K498="No result","ℹ بدون نتيجة (يُستبعد من التحصيل)","OK")))))))))))</f>
        <v/>
      </c>
      <c r="M498" s="64" t="n">
        <f aca="false">IF($A498="",0,IFERROR(MATCH($A498,Classes!$A$6:$A$420,0),0))</f>
        <v>0</v>
      </c>
      <c r="N498" s="64" t="n">
        <f aca="false">IF($H498="",0,IFERROR(MATCH($H498,GradeList,0),0))</f>
        <v>0</v>
      </c>
      <c r="O498" s="64" t="n">
        <f aca="false">IF(OR($I498="",$I498="NR"),0,IFERROR(MATCH($I498,GradeList,0),0))</f>
        <v>0</v>
      </c>
      <c r="P498" s="64" t="n">
        <f aca="false">IF(AND($M498&gt;0,ISNUMBER(MATCH($F498,Lists!$A$2:$A$5,0)),ISNUMBER(MATCH($G498,Lists!$B$2:$B$7,0)),OR($H498="",$N498&gt;0),OR($I498="",$I498="NR",$O498&gt;0),IF(ISNUMBER($J498),AND($J498&gt;=0,$J498=INT($J498)),FALSE())),$J498,0)</f>
        <v>0</v>
      </c>
      <c r="Q498" s="64" t="n">
        <f aca="false">IF(AND($P498&gt;0,$O498&gt;0),$P498,0)</f>
        <v>0</v>
      </c>
      <c r="R498" s="64" t="n">
        <f aca="false">IF(AND($Q498&gt;0,$O498&gt;=AtRank),$Q498,0)</f>
        <v>0</v>
      </c>
      <c r="S498" s="64" t="n">
        <f aca="false">IF(AND($Q498&gt;0,$O498&gt;=AboveRank),$Q498,0)</f>
        <v>0</v>
      </c>
      <c r="T498" s="64" t="n">
        <f aca="false">IF($K498="Less",$P498,0)</f>
        <v>0</v>
      </c>
      <c r="U498" s="64" t="n">
        <f aca="false">IF($K498="Expected",$P498,0)</f>
        <v>0</v>
      </c>
      <c r="V498" s="64" t="n">
        <f aca="false">IF($K498="Better",$P498,0)</f>
        <v>0</v>
      </c>
      <c r="W498" s="64" t="n">
        <f aca="false">IF($K498="U – needs rule",$P498,0)</f>
        <v>0</v>
      </c>
      <c r="X498" s="64" t="n">
        <f aca="false">IF($K498="No Start (attainment only)",$P498,0)</f>
        <v>0</v>
      </c>
    </row>
    <row r="499" customFormat="false" ht="15" hidden="false" customHeight="false" outlineLevel="0" collapsed="false">
      <c r="A499" s="60"/>
      <c r="B499" s="61" t="str">
        <f aca="false">IF($M499=0,"",INDEX(Classes!$E$6:$E$420,$M499))</f>
        <v/>
      </c>
      <c r="C499" s="62" t="str">
        <f aca="false">IF($M499=0,"",INDEX(Classes!$H$6:$H$420,$M499))</f>
        <v/>
      </c>
      <c r="D499" s="61" t="str">
        <f aca="false">IF($M499=0,"",INDEX(Classes!$B$6:$B$420,$M499))</f>
        <v/>
      </c>
      <c r="E499" s="61" t="str">
        <f aca="false">IF($M499=0,"",INDEX(Classes!$C$6:$C$420,$M499))</f>
        <v/>
      </c>
      <c r="F499" s="63"/>
      <c r="G499" s="63"/>
      <c r="H499" s="60"/>
      <c r="I499" s="60"/>
      <c r="J499" s="63"/>
      <c r="K499" s="61" t="str">
        <f aca="false">IF($P499=0,"",IF($F499="Baseline","— Baseline",IF($O499=0,"No result",IF($N499=0,"No Start (attainment only)",IF(OR($N499=1,$O499=1),"U – needs rule",INDEX(MxBody,MATCH($I499,MxCurr,0),MATCH($H499,MxStart,0)))))))</f>
        <v/>
      </c>
      <c r="L499" s="62" t="str">
        <f aca="false">IF(COUNTA($A499,$F499,$G499,$H499,$I499,$J499)=0,"",IF($M499=0,"✖ كود الصف غير موجود",IF(ISNA(MATCH($F499,Lists!$A$2:$A$5,0)),"✖ الفترة غير صحيحة",IF(ISNA(MATCH($G499,Lists!$B$2:$B$7,0)),"✖ المجموعة غير صحيحة",IF(NOT(OR($H499="",$N499&gt;0)),"✖ Start غير صحيح",IF(NOT(OR($I499="",$I499="NR",$O499&gt;0)),"✖ Current غير صحيح",IF(NOT(IF(ISNUMBER($J499),AND($J499&gt;=0,$J499=INT($J499)),FALSE())),"✖ العدد يجب أن يكون صحيحًا ≥ 0",IF(AND($F499="Baseline",$H499&lt;&gt;""),"⚠ Baseline: Start لا يدخل في التقدم",IF($K499="No Start (attainment only)","ℹ تحصيل فقط (بدون Start)",IF($K499="U – needs rule","ℹ حالة U تحتاج قاعدة معتمدة",IF($K499="No result","ℹ بدون نتيجة (يُستبعد من التحصيل)","OK")))))))))))</f>
        <v/>
      </c>
      <c r="M499" s="64" t="n">
        <f aca="false">IF($A499="",0,IFERROR(MATCH($A499,Classes!$A$6:$A$420,0),0))</f>
        <v>0</v>
      </c>
      <c r="N499" s="64" t="n">
        <f aca="false">IF($H499="",0,IFERROR(MATCH($H499,GradeList,0),0))</f>
        <v>0</v>
      </c>
      <c r="O499" s="64" t="n">
        <f aca="false">IF(OR($I499="",$I499="NR"),0,IFERROR(MATCH($I499,GradeList,0),0))</f>
        <v>0</v>
      </c>
      <c r="P499" s="64" t="n">
        <f aca="false">IF(AND($M499&gt;0,ISNUMBER(MATCH($F499,Lists!$A$2:$A$5,0)),ISNUMBER(MATCH($G499,Lists!$B$2:$B$7,0)),OR($H499="",$N499&gt;0),OR($I499="",$I499="NR",$O499&gt;0),IF(ISNUMBER($J499),AND($J499&gt;=0,$J499=INT($J499)),FALSE())),$J499,0)</f>
        <v>0</v>
      </c>
      <c r="Q499" s="64" t="n">
        <f aca="false">IF(AND($P499&gt;0,$O499&gt;0),$P499,0)</f>
        <v>0</v>
      </c>
      <c r="R499" s="64" t="n">
        <f aca="false">IF(AND($Q499&gt;0,$O499&gt;=AtRank),$Q499,0)</f>
        <v>0</v>
      </c>
      <c r="S499" s="64" t="n">
        <f aca="false">IF(AND($Q499&gt;0,$O499&gt;=AboveRank),$Q499,0)</f>
        <v>0</v>
      </c>
      <c r="T499" s="64" t="n">
        <f aca="false">IF($K499="Less",$P499,0)</f>
        <v>0</v>
      </c>
      <c r="U499" s="64" t="n">
        <f aca="false">IF($K499="Expected",$P499,0)</f>
        <v>0</v>
      </c>
      <c r="V499" s="64" t="n">
        <f aca="false">IF($K499="Better",$P499,0)</f>
        <v>0</v>
      </c>
      <c r="W499" s="64" t="n">
        <f aca="false">IF($K499="U – needs rule",$P499,0)</f>
        <v>0</v>
      </c>
      <c r="X499" s="64" t="n">
        <f aca="false">IF($K499="No Start (attainment only)",$P499,0)</f>
        <v>0</v>
      </c>
    </row>
    <row r="500" customFormat="false" ht="15" hidden="false" customHeight="false" outlineLevel="0" collapsed="false">
      <c r="A500" s="60"/>
      <c r="B500" s="61" t="str">
        <f aca="false">IF($M500=0,"",INDEX(Classes!$E$6:$E$420,$M500))</f>
        <v/>
      </c>
      <c r="C500" s="62" t="str">
        <f aca="false">IF($M500=0,"",INDEX(Classes!$H$6:$H$420,$M500))</f>
        <v/>
      </c>
      <c r="D500" s="61" t="str">
        <f aca="false">IF($M500=0,"",INDEX(Classes!$B$6:$B$420,$M500))</f>
        <v/>
      </c>
      <c r="E500" s="61" t="str">
        <f aca="false">IF($M500=0,"",INDEX(Classes!$C$6:$C$420,$M500))</f>
        <v/>
      </c>
      <c r="F500" s="63"/>
      <c r="G500" s="63"/>
      <c r="H500" s="60"/>
      <c r="I500" s="60"/>
      <c r="J500" s="63"/>
      <c r="K500" s="61" t="str">
        <f aca="false">IF($P500=0,"",IF($F500="Baseline","— Baseline",IF($O500=0,"No result",IF($N500=0,"No Start (attainment only)",IF(OR($N500=1,$O500=1),"U – needs rule",INDEX(MxBody,MATCH($I500,MxCurr,0),MATCH($H500,MxStart,0)))))))</f>
        <v/>
      </c>
      <c r="L500" s="62" t="str">
        <f aca="false">IF(COUNTA($A500,$F500,$G500,$H500,$I500,$J500)=0,"",IF($M500=0,"✖ كود الصف غير موجود",IF(ISNA(MATCH($F500,Lists!$A$2:$A$5,0)),"✖ الفترة غير صحيحة",IF(ISNA(MATCH($G500,Lists!$B$2:$B$7,0)),"✖ المجموعة غير صحيحة",IF(NOT(OR($H500="",$N500&gt;0)),"✖ Start غير صحيح",IF(NOT(OR($I500="",$I500="NR",$O500&gt;0)),"✖ Current غير صحيح",IF(NOT(IF(ISNUMBER($J500),AND($J500&gt;=0,$J500=INT($J500)),FALSE())),"✖ العدد يجب أن يكون صحيحًا ≥ 0",IF(AND($F500="Baseline",$H500&lt;&gt;""),"⚠ Baseline: Start لا يدخل في التقدم",IF($K500="No Start (attainment only)","ℹ تحصيل فقط (بدون Start)",IF($K500="U – needs rule","ℹ حالة U تحتاج قاعدة معتمدة",IF($K500="No result","ℹ بدون نتيجة (يُستبعد من التحصيل)","OK")))))))))))</f>
        <v/>
      </c>
      <c r="M500" s="64" t="n">
        <f aca="false">IF($A500="",0,IFERROR(MATCH($A500,Classes!$A$6:$A$420,0),0))</f>
        <v>0</v>
      </c>
      <c r="N500" s="64" t="n">
        <f aca="false">IF($H500="",0,IFERROR(MATCH($H500,GradeList,0),0))</f>
        <v>0</v>
      </c>
      <c r="O500" s="64" t="n">
        <f aca="false">IF(OR($I500="",$I500="NR"),0,IFERROR(MATCH($I500,GradeList,0),0))</f>
        <v>0</v>
      </c>
      <c r="P500" s="64" t="n">
        <f aca="false">IF(AND($M500&gt;0,ISNUMBER(MATCH($F500,Lists!$A$2:$A$5,0)),ISNUMBER(MATCH($G500,Lists!$B$2:$B$7,0)),OR($H500="",$N500&gt;0),OR($I500="",$I500="NR",$O500&gt;0),IF(ISNUMBER($J500),AND($J500&gt;=0,$J500=INT($J500)),FALSE())),$J500,0)</f>
        <v>0</v>
      </c>
      <c r="Q500" s="64" t="n">
        <f aca="false">IF(AND($P500&gt;0,$O500&gt;0),$P500,0)</f>
        <v>0</v>
      </c>
      <c r="R500" s="64" t="n">
        <f aca="false">IF(AND($Q500&gt;0,$O500&gt;=AtRank),$Q500,0)</f>
        <v>0</v>
      </c>
      <c r="S500" s="64" t="n">
        <f aca="false">IF(AND($Q500&gt;0,$O500&gt;=AboveRank),$Q500,0)</f>
        <v>0</v>
      </c>
      <c r="T500" s="64" t="n">
        <f aca="false">IF($K500="Less",$P500,0)</f>
        <v>0</v>
      </c>
      <c r="U500" s="64" t="n">
        <f aca="false">IF($K500="Expected",$P500,0)</f>
        <v>0</v>
      </c>
      <c r="V500" s="64" t="n">
        <f aca="false">IF($K500="Better",$P500,0)</f>
        <v>0</v>
      </c>
      <c r="W500" s="64" t="n">
        <f aca="false">IF($K500="U – needs rule",$P500,0)</f>
        <v>0</v>
      </c>
      <c r="X500" s="64" t="n">
        <f aca="false">IF($K500="No Start (attainment only)",$P500,0)</f>
        <v>0</v>
      </c>
    </row>
    <row r="501" customFormat="false" ht="15" hidden="false" customHeight="false" outlineLevel="0" collapsed="false">
      <c r="A501" s="60"/>
      <c r="B501" s="61" t="str">
        <f aca="false">IF($M501=0,"",INDEX(Classes!$E$6:$E$420,$M501))</f>
        <v/>
      </c>
      <c r="C501" s="62" t="str">
        <f aca="false">IF($M501=0,"",INDEX(Classes!$H$6:$H$420,$M501))</f>
        <v/>
      </c>
      <c r="D501" s="61" t="str">
        <f aca="false">IF($M501=0,"",INDEX(Classes!$B$6:$B$420,$M501))</f>
        <v/>
      </c>
      <c r="E501" s="61" t="str">
        <f aca="false">IF($M501=0,"",INDEX(Classes!$C$6:$C$420,$M501))</f>
        <v/>
      </c>
      <c r="F501" s="63"/>
      <c r="G501" s="63"/>
      <c r="H501" s="60"/>
      <c r="I501" s="60"/>
      <c r="J501" s="63"/>
      <c r="K501" s="61" t="str">
        <f aca="false">IF($P501=0,"",IF($F501="Baseline","— Baseline",IF($O501=0,"No result",IF($N501=0,"No Start (attainment only)",IF(OR($N501=1,$O501=1),"U – needs rule",INDEX(MxBody,MATCH($I501,MxCurr,0),MATCH($H501,MxStart,0)))))))</f>
        <v/>
      </c>
      <c r="L501" s="62" t="str">
        <f aca="false">IF(COUNTA($A501,$F501,$G501,$H501,$I501,$J501)=0,"",IF($M501=0,"✖ كود الصف غير موجود",IF(ISNA(MATCH($F501,Lists!$A$2:$A$5,0)),"✖ الفترة غير صحيحة",IF(ISNA(MATCH($G501,Lists!$B$2:$B$7,0)),"✖ المجموعة غير صحيحة",IF(NOT(OR($H501="",$N501&gt;0)),"✖ Start غير صحيح",IF(NOT(OR($I501="",$I501="NR",$O501&gt;0)),"✖ Current غير صحيح",IF(NOT(IF(ISNUMBER($J501),AND($J501&gt;=0,$J501=INT($J501)),FALSE())),"✖ العدد يجب أن يكون صحيحًا ≥ 0",IF(AND($F501="Baseline",$H501&lt;&gt;""),"⚠ Baseline: Start لا يدخل في التقدم",IF($K501="No Start (attainment only)","ℹ تحصيل فقط (بدون Start)",IF($K501="U – needs rule","ℹ حالة U تحتاج قاعدة معتمدة",IF($K501="No result","ℹ بدون نتيجة (يُستبعد من التحصيل)","OK")))))))))))</f>
        <v/>
      </c>
      <c r="M501" s="64" t="n">
        <f aca="false">IF($A501="",0,IFERROR(MATCH($A501,Classes!$A$6:$A$420,0),0))</f>
        <v>0</v>
      </c>
      <c r="N501" s="64" t="n">
        <f aca="false">IF($H501="",0,IFERROR(MATCH($H501,GradeList,0),0))</f>
        <v>0</v>
      </c>
      <c r="O501" s="64" t="n">
        <f aca="false">IF(OR($I501="",$I501="NR"),0,IFERROR(MATCH($I501,GradeList,0),0))</f>
        <v>0</v>
      </c>
      <c r="P501" s="64" t="n">
        <f aca="false">IF(AND($M501&gt;0,ISNUMBER(MATCH($F501,Lists!$A$2:$A$5,0)),ISNUMBER(MATCH($G501,Lists!$B$2:$B$7,0)),OR($H501="",$N501&gt;0),OR($I501="",$I501="NR",$O501&gt;0),IF(ISNUMBER($J501),AND($J501&gt;=0,$J501=INT($J501)),FALSE())),$J501,0)</f>
        <v>0</v>
      </c>
      <c r="Q501" s="64" t="n">
        <f aca="false">IF(AND($P501&gt;0,$O501&gt;0),$P501,0)</f>
        <v>0</v>
      </c>
      <c r="R501" s="64" t="n">
        <f aca="false">IF(AND($Q501&gt;0,$O501&gt;=AtRank),$Q501,0)</f>
        <v>0</v>
      </c>
      <c r="S501" s="64" t="n">
        <f aca="false">IF(AND($Q501&gt;0,$O501&gt;=AboveRank),$Q501,0)</f>
        <v>0</v>
      </c>
      <c r="T501" s="64" t="n">
        <f aca="false">IF($K501="Less",$P501,0)</f>
        <v>0</v>
      </c>
      <c r="U501" s="64" t="n">
        <f aca="false">IF($K501="Expected",$P501,0)</f>
        <v>0</v>
      </c>
      <c r="V501" s="64" t="n">
        <f aca="false">IF($K501="Better",$P501,0)</f>
        <v>0</v>
      </c>
      <c r="W501" s="64" t="n">
        <f aca="false">IF($K501="U – needs rule",$P501,0)</f>
        <v>0</v>
      </c>
      <c r="X501" s="64" t="n">
        <f aca="false">IF($K501="No Start (attainment only)",$P501,0)</f>
        <v>0</v>
      </c>
    </row>
    <row r="502" customFormat="false" ht="15" hidden="false" customHeight="false" outlineLevel="0" collapsed="false">
      <c r="A502" s="60"/>
      <c r="B502" s="61" t="str">
        <f aca="false">IF($M502=0,"",INDEX(Classes!$E$6:$E$420,$M502))</f>
        <v/>
      </c>
      <c r="C502" s="62" t="str">
        <f aca="false">IF($M502=0,"",INDEX(Classes!$H$6:$H$420,$M502))</f>
        <v/>
      </c>
      <c r="D502" s="61" t="str">
        <f aca="false">IF($M502=0,"",INDEX(Classes!$B$6:$B$420,$M502))</f>
        <v/>
      </c>
      <c r="E502" s="61" t="str">
        <f aca="false">IF($M502=0,"",INDEX(Classes!$C$6:$C$420,$M502))</f>
        <v/>
      </c>
      <c r="F502" s="63"/>
      <c r="G502" s="63"/>
      <c r="H502" s="60"/>
      <c r="I502" s="60"/>
      <c r="J502" s="63"/>
      <c r="K502" s="61" t="str">
        <f aca="false">IF($P502=0,"",IF($F502="Baseline","— Baseline",IF($O502=0,"No result",IF($N502=0,"No Start (attainment only)",IF(OR($N502=1,$O502=1),"U – needs rule",INDEX(MxBody,MATCH($I502,MxCurr,0),MATCH($H502,MxStart,0)))))))</f>
        <v/>
      </c>
      <c r="L502" s="62" t="str">
        <f aca="false">IF(COUNTA($A502,$F502,$G502,$H502,$I502,$J502)=0,"",IF($M502=0,"✖ كود الصف غير موجود",IF(ISNA(MATCH($F502,Lists!$A$2:$A$5,0)),"✖ الفترة غير صحيحة",IF(ISNA(MATCH($G502,Lists!$B$2:$B$7,0)),"✖ المجموعة غير صحيحة",IF(NOT(OR($H502="",$N502&gt;0)),"✖ Start غير صحيح",IF(NOT(OR($I502="",$I502="NR",$O502&gt;0)),"✖ Current غير صحيح",IF(NOT(IF(ISNUMBER($J502),AND($J502&gt;=0,$J502=INT($J502)),FALSE())),"✖ العدد يجب أن يكون صحيحًا ≥ 0",IF(AND($F502="Baseline",$H502&lt;&gt;""),"⚠ Baseline: Start لا يدخل في التقدم",IF($K502="No Start (attainment only)","ℹ تحصيل فقط (بدون Start)",IF($K502="U – needs rule","ℹ حالة U تحتاج قاعدة معتمدة",IF($K502="No result","ℹ بدون نتيجة (يُستبعد من التحصيل)","OK")))))))))))</f>
        <v/>
      </c>
      <c r="M502" s="64" t="n">
        <f aca="false">IF($A502="",0,IFERROR(MATCH($A502,Classes!$A$6:$A$420,0),0))</f>
        <v>0</v>
      </c>
      <c r="N502" s="64" t="n">
        <f aca="false">IF($H502="",0,IFERROR(MATCH($H502,GradeList,0),0))</f>
        <v>0</v>
      </c>
      <c r="O502" s="64" t="n">
        <f aca="false">IF(OR($I502="",$I502="NR"),0,IFERROR(MATCH($I502,GradeList,0),0))</f>
        <v>0</v>
      </c>
      <c r="P502" s="64" t="n">
        <f aca="false">IF(AND($M502&gt;0,ISNUMBER(MATCH($F502,Lists!$A$2:$A$5,0)),ISNUMBER(MATCH($G502,Lists!$B$2:$B$7,0)),OR($H502="",$N502&gt;0),OR($I502="",$I502="NR",$O502&gt;0),IF(ISNUMBER($J502),AND($J502&gt;=0,$J502=INT($J502)),FALSE())),$J502,0)</f>
        <v>0</v>
      </c>
      <c r="Q502" s="64" t="n">
        <f aca="false">IF(AND($P502&gt;0,$O502&gt;0),$P502,0)</f>
        <v>0</v>
      </c>
      <c r="R502" s="64" t="n">
        <f aca="false">IF(AND($Q502&gt;0,$O502&gt;=AtRank),$Q502,0)</f>
        <v>0</v>
      </c>
      <c r="S502" s="64" t="n">
        <f aca="false">IF(AND($Q502&gt;0,$O502&gt;=AboveRank),$Q502,0)</f>
        <v>0</v>
      </c>
      <c r="T502" s="64" t="n">
        <f aca="false">IF($K502="Less",$P502,0)</f>
        <v>0</v>
      </c>
      <c r="U502" s="64" t="n">
        <f aca="false">IF($K502="Expected",$P502,0)</f>
        <v>0</v>
      </c>
      <c r="V502" s="64" t="n">
        <f aca="false">IF($K502="Better",$P502,0)</f>
        <v>0</v>
      </c>
      <c r="W502" s="64" t="n">
        <f aca="false">IF($K502="U – needs rule",$P502,0)</f>
        <v>0</v>
      </c>
      <c r="X502" s="64" t="n">
        <f aca="false">IF($K502="No Start (attainment only)",$P502,0)</f>
        <v>0</v>
      </c>
    </row>
    <row r="503" customFormat="false" ht="15" hidden="false" customHeight="false" outlineLevel="0" collapsed="false">
      <c r="A503" s="60"/>
      <c r="B503" s="61" t="str">
        <f aca="false">IF($M503=0,"",INDEX(Classes!$E$6:$E$420,$M503))</f>
        <v/>
      </c>
      <c r="C503" s="62" t="str">
        <f aca="false">IF($M503=0,"",INDEX(Classes!$H$6:$H$420,$M503))</f>
        <v/>
      </c>
      <c r="D503" s="61" t="str">
        <f aca="false">IF($M503=0,"",INDEX(Classes!$B$6:$B$420,$M503))</f>
        <v/>
      </c>
      <c r="E503" s="61" t="str">
        <f aca="false">IF($M503=0,"",INDEX(Classes!$C$6:$C$420,$M503))</f>
        <v/>
      </c>
      <c r="F503" s="63"/>
      <c r="G503" s="63"/>
      <c r="H503" s="60"/>
      <c r="I503" s="60"/>
      <c r="J503" s="63"/>
      <c r="K503" s="61" t="str">
        <f aca="false">IF($P503=0,"",IF($F503="Baseline","— Baseline",IF($O503=0,"No result",IF($N503=0,"No Start (attainment only)",IF(OR($N503=1,$O503=1),"U – needs rule",INDEX(MxBody,MATCH($I503,MxCurr,0),MATCH($H503,MxStart,0)))))))</f>
        <v/>
      </c>
      <c r="L503" s="62" t="str">
        <f aca="false">IF(COUNTA($A503,$F503,$G503,$H503,$I503,$J503)=0,"",IF($M503=0,"✖ كود الصف غير موجود",IF(ISNA(MATCH($F503,Lists!$A$2:$A$5,0)),"✖ الفترة غير صحيحة",IF(ISNA(MATCH($G503,Lists!$B$2:$B$7,0)),"✖ المجموعة غير صحيحة",IF(NOT(OR($H503="",$N503&gt;0)),"✖ Start غير صحيح",IF(NOT(OR($I503="",$I503="NR",$O503&gt;0)),"✖ Current غير صحيح",IF(NOT(IF(ISNUMBER($J503),AND($J503&gt;=0,$J503=INT($J503)),FALSE())),"✖ العدد يجب أن يكون صحيحًا ≥ 0",IF(AND($F503="Baseline",$H503&lt;&gt;""),"⚠ Baseline: Start لا يدخل في التقدم",IF($K503="No Start (attainment only)","ℹ تحصيل فقط (بدون Start)",IF($K503="U – needs rule","ℹ حالة U تحتاج قاعدة معتمدة",IF($K503="No result","ℹ بدون نتيجة (يُستبعد من التحصيل)","OK")))))))))))</f>
        <v/>
      </c>
      <c r="M503" s="64" t="n">
        <f aca="false">IF($A503="",0,IFERROR(MATCH($A503,Classes!$A$6:$A$420,0),0))</f>
        <v>0</v>
      </c>
      <c r="N503" s="64" t="n">
        <f aca="false">IF($H503="",0,IFERROR(MATCH($H503,GradeList,0),0))</f>
        <v>0</v>
      </c>
      <c r="O503" s="64" t="n">
        <f aca="false">IF(OR($I503="",$I503="NR"),0,IFERROR(MATCH($I503,GradeList,0),0))</f>
        <v>0</v>
      </c>
      <c r="P503" s="64" t="n">
        <f aca="false">IF(AND($M503&gt;0,ISNUMBER(MATCH($F503,Lists!$A$2:$A$5,0)),ISNUMBER(MATCH($G503,Lists!$B$2:$B$7,0)),OR($H503="",$N503&gt;0),OR($I503="",$I503="NR",$O503&gt;0),IF(ISNUMBER($J503),AND($J503&gt;=0,$J503=INT($J503)),FALSE())),$J503,0)</f>
        <v>0</v>
      </c>
      <c r="Q503" s="64" t="n">
        <f aca="false">IF(AND($P503&gt;0,$O503&gt;0),$P503,0)</f>
        <v>0</v>
      </c>
      <c r="R503" s="64" t="n">
        <f aca="false">IF(AND($Q503&gt;0,$O503&gt;=AtRank),$Q503,0)</f>
        <v>0</v>
      </c>
      <c r="S503" s="64" t="n">
        <f aca="false">IF(AND($Q503&gt;0,$O503&gt;=AboveRank),$Q503,0)</f>
        <v>0</v>
      </c>
      <c r="T503" s="64" t="n">
        <f aca="false">IF($K503="Less",$P503,0)</f>
        <v>0</v>
      </c>
      <c r="U503" s="64" t="n">
        <f aca="false">IF($K503="Expected",$P503,0)</f>
        <v>0</v>
      </c>
      <c r="V503" s="64" t="n">
        <f aca="false">IF($K503="Better",$P503,0)</f>
        <v>0</v>
      </c>
      <c r="W503" s="64" t="n">
        <f aca="false">IF($K503="U – needs rule",$P503,0)</f>
        <v>0</v>
      </c>
      <c r="X503" s="64" t="n">
        <f aca="false">IF($K503="No Start (attainment only)",$P503,0)</f>
        <v>0</v>
      </c>
    </row>
    <row r="504" customFormat="false" ht="15" hidden="false" customHeight="false" outlineLevel="0" collapsed="false">
      <c r="A504" s="60"/>
      <c r="B504" s="61" t="str">
        <f aca="false">IF($M504=0,"",INDEX(Classes!$E$6:$E$420,$M504))</f>
        <v/>
      </c>
      <c r="C504" s="62" t="str">
        <f aca="false">IF($M504=0,"",INDEX(Classes!$H$6:$H$420,$M504))</f>
        <v/>
      </c>
      <c r="D504" s="61" t="str">
        <f aca="false">IF($M504=0,"",INDEX(Classes!$B$6:$B$420,$M504))</f>
        <v/>
      </c>
      <c r="E504" s="61" t="str">
        <f aca="false">IF($M504=0,"",INDEX(Classes!$C$6:$C$420,$M504))</f>
        <v/>
      </c>
      <c r="F504" s="63"/>
      <c r="G504" s="63"/>
      <c r="H504" s="60"/>
      <c r="I504" s="60"/>
      <c r="J504" s="63"/>
      <c r="K504" s="61" t="str">
        <f aca="false">IF($P504=0,"",IF($F504="Baseline","— Baseline",IF($O504=0,"No result",IF($N504=0,"No Start (attainment only)",IF(OR($N504=1,$O504=1),"U – needs rule",INDEX(MxBody,MATCH($I504,MxCurr,0),MATCH($H504,MxStart,0)))))))</f>
        <v/>
      </c>
      <c r="L504" s="62" t="str">
        <f aca="false">IF(COUNTA($A504,$F504,$G504,$H504,$I504,$J504)=0,"",IF($M504=0,"✖ كود الصف غير موجود",IF(ISNA(MATCH($F504,Lists!$A$2:$A$5,0)),"✖ الفترة غير صحيحة",IF(ISNA(MATCH($G504,Lists!$B$2:$B$7,0)),"✖ المجموعة غير صحيحة",IF(NOT(OR($H504="",$N504&gt;0)),"✖ Start غير صحيح",IF(NOT(OR($I504="",$I504="NR",$O504&gt;0)),"✖ Current غير صحيح",IF(NOT(IF(ISNUMBER($J504),AND($J504&gt;=0,$J504=INT($J504)),FALSE())),"✖ العدد يجب أن يكون صحيحًا ≥ 0",IF(AND($F504="Baseline",$H504&lt;&gt;""),"⚠ Baseline: Start لا يدخل في التقدم",IF($K504="No Start (attainment only)","ℹ تحصيل فقط (بدون Start)",IF($K504="U – needs rule","ℹ حالة U تحتاج قاعدة معتمدة",IF($K504="No result","ℹ بدون نتيجة (يُستبعد من التحصيل)","OK")))))))))))</f>
        <v/>
      </c>
      <c r="M504" s="64" t="n">
        <f aca="false">IF($A504="",0,IFERROR(MATCH($A504,Classes!$A$6:$A$420,0),0))</f>
        <v>0</v>
      </c>
      <c r="N504" s="64" t="n">
        <f aca="false">IF($H504="",0,IFERROR(MATCH($H504,GradeList,0),0))</f>
        <v>0</v>
      </c>
      <c r="O504" s="64" t="n">
        <f aca="false">IF(OR($I504="",$I504="NR"),0,IFERROR(MATCH($I504,GradeList,0),0))</f>
        <v>0</v>
      </c>
      <c r="P504" s="64" t="n">
        <f aca="false">IF(AND($M504&gt;0,ISNUMBER(MATCH($F504,Lists!$A$2:$A$5,0)),ISNUMBER(MATCH($G504,Lists!$B$2:$B$7,0)),OR($H504="",$N504&gt;0),OR($I504="",$I504="NR",$O504&gt;0),IF(ISNUMBER($J504),AND($J504&gt;=0,$J504=INT($J504)),FALSE())),$J504,0)</f>
        <v>0</v>
      </c>
      <c r="Q504" s="64" t="n">
        <f aca="false">IF(AND($P504&gt;0,$O504&gt;0),$P504,0)</f>
        <v>0</v>
      </c>
      <c r="R504" s="64" t="n">
        <f aca="false">IF(AND($Q504&gt;0,$O504&gt;=AtRank),$Q504,0)</f>
        <v>0</v>
      </c>
      <c r="S504" s="64" t="n">
        <f aca="false">IF(AND($Q504&gt;0,$O504&gt;=AboveRank),$Q504,0)</f>
        <v>0</v>
      </c>
      <c r="T504" s="64" t="n">
        <f aca="false">IF($K504="Less",$P504,0)</f>
        <v>0</v>
      </c>
      <c r="U504" s="64" t="n">
        <f aca="false">IF($K504="Expected",$P504,0)</f>
        <v>0</v>
      </c>
      <c r="V504" s="64" t="n">
        <f aca="false">IF($K504="Better",$P504,0)</f>
        <v>0</v>
      </c>
      <c r="W504" s="64" t="n">
        <f aca="false">IF($K504="U – needs rule",$P504,0)</f>
        <v>0</v>
      </c>
      <c r="X504" s="64" t="n">
        <f aca="false">IF($K504="No Start (attainment only)",$P504,0)</f>
        <v>0</v>
      </c>
    </row>
    <row r="505" customFormat="false" ht="15" hidden="false" customHeight="false" outlineLevel="0" collapsed="false">
      <c r="A505" s="60"/>
      <c r="B505" s="61" t="str">
        <f aca="false">IF($M505=0,"",INDEX(Classes!$E$6:$E$420,$M505))</f>
        <v/>
      </c>
      <c r="C505" s="62" t="str">
        <f aca="false">IF($M505=0,"",INDEX(Classes!$H$6:$H$420,$M505))</f>
        <v/>
      </c>
      <c r="D505" s="61" t="str">
        <f aca="false">IF($M505=0,"",INDEX(Classes!$B$6:$B$420,$M505))</f>
        <v/>
      </c>
      <c r="E505" s="61" t="str">
        <f aca="false">IF($M505=0,"",INDEX(Classes!$C$6:$C$420,$M505))</f>
        <v/>
      </c>
      <c r="F505" s="63"/>
      <c r="G505" s="63"/>
      <c r="H505" s="60"/>
      <c r="I505" s="60"/>
      <c r="J505" s="63"/>
      <c r="K505" s="61" t="str">
        <f aca="false">IF($P505=0,"",IF($F505="Baseline","— Baseline",IF($O505=0,"No result",IF($N505=0,"No Start (attainment only)",IF(OR($N505=1,$O505=1),"U – needs rule",INDEX(MxBody,MATCH($I505,MxCurr,0),MATCH($H505,MxStart,0)))))))</f>
        <v/>
      </c>
      <c r="L505" s="62" t="str">
        <f aca="false">IF(COUNTA($A505,$F505,$G505,$H505,$I505,$J505)=0,"",IF($M505=0,"✖ كود الصف غير موجود",IF(ISNA(MATCH($F505,Lists!$A$2:$A$5,0)),"✖ الفترة غير صحيحة",IF(ISNA(MATCH($G505,Lists!$B$2:$B$7,0)),"✖ المجموعة غير صحيحة",IF(NOT(OR($H505="",$N505&gt;0)),"✖ Start غير صحيح",IF(NOT(OR($I505="",$I505="NR",$O505&gt;0)),"✖ Current غير صحيح",IF(NOT(IF(ISNUMBER($J505),AND($J505&gt;=0,$J505=INT($J505)),FALSE())),"✖ العدد يجب أن يكون صحيحًا ≥ 0",IF(AND($F505="Baseline",$H505&lt;&gt;""),"⚠ Baseline: Start لا يدخل في التقدم",IF($K505="No Start (attainment only)","ℹ تحصيل فقط (بدون Start)",IF($K505="U – needs rule","ℹ حالة U تحتاج قاعدة معتمدة",IF($K505="No result","ℹ بدون نتيجة (يُستبعد من التحصيل)","OK")))))))))))</f>
        <v/>
      </c>
      <c r="M505" s="64" t="n">
        <f aca="false">IF($A505="",0,IFERROR(MATCH($A505,Classes!$A$6:$A$420,0),0))</f>
        <v>0</v>
      </c>
      <c r="N505" s="64" t="n">
        <f aca="false">IF($H505="",0,IFERROR(MATCH($H505,GradeList,0),0))</f>
        <v>0</v>
      </c>
      <c r="O505" s="64" t="n">
        <f aca="false">IF(OR($I505="",$I505="NR"),0,IFERROR(MATCH($I505,GradeList,0),0))</f>
        <v>0</v>
      </c>
      <c r="P505" s="64" t="n">
        <f aca="false">IF(AND($M505&gt;0,ISNUMBER(MATCH($F505,Lists!$A$2:$A$5,0)),ISNUMBER(MATCH($G505,Lists!$B$2:$B$7,0)),OR($H505="",$N505&gt;0),OR($I505="",$I505="NR",$O505&gt;0),IF(ISNUMBER($J505),AND($J505&gt;=0,$J505=INT($J505)),FALSE())),$J505,0)</f>
        <v>0</v>
      </c>
      <c r="Q505" s="64" t="n">
        <f aca="false">IF(AND($P505&gt;0,$O505&gt;0),$P505,0)</f>
        <v>0</v>
      </c>
      <c r="R505" s="64" t="n">
        <f aca="false">IF(AND($Q505&gt;0,$O505&gt;=AtRank),$Q505,0)</f>
        <v>0</v>
      </c>
      <c r="S505" s="64" t="n">
        <f aca="false">IF(AND($Q505&gt;0,$O505&gt;=AboveRank),$Q505,0)</f>
        <v>0</v>
      </c>
      <c r="T505" s="64" t="n">
        <f aca="false">IF($K505="Less",$P505,0)</f>
        <v>0</v>
      </c>
      <c r="U505" s="64" t="n">
        <f aca="false">IF($K505="Expected",$P505,0)</f>
        <v>0</v>
      </c>
      <c r="V505" s="64" t="n">
        <f aca="false">IF($K505="Better",$P505,0)</f>
        <v>0</v>
      </c>
      <c r="W505" s="64" t="n">
        <f aca="false">IF($K505="U – needs rule",$P505,0)</f>
        <v>0</v>
      </c>
      <c r="X505" s="64" t="n">
        <f aca="false">IF($K505="No Start (attainment only)",$P505,0)</f>
        <v>0</v>
      </c>
    </row>
    <row r="506" customFormat="false" ht="15" hidden="false" customHeight="false" outlineLevel="0" collapsed="false">
      <c r="A506" s="60"/>
      <c r="B506" s="61" t="str">
        <f aca="false">IF($M506=0,"",INDEX(Classes!$E$6:$E$420,$M506))</f>
        <v/>
      </c>
      <c r="C506" s="62" t="str">
        <f aca="false">IF($M506=0,"",INDEX(Classes!$H$6:$H$420,$M506))</f>
        <v/>
      </c>
      <c r="D506" s="61" t="str">
        <f aca="false">IF($M506=0,"",INDEX(Classes!$B$6:$B$420,$M506))</f>
        <v/>
      </c>
      <c r="E506" s="61" t="str">
        <f aca="false">IF($M506=0,"",INDEX(Classes!$C$6:$C$420,$M506))</f>
        <v/>
      </c>
      <c r="F506" s="63"/>
      <c r="G506" s="63"/>
      <c r="H506" s="60"/>
      <c r="I506" s="60"/>
      <c r="J506" s="63"/>
      <c r="K506" s="61" t="str">
        <f aca="false">IF($P506=0,"",IF($F506="Baseline","— Baseline",IF($O506=0,"No result",IF($N506=0,"No Start (attainment only)",IF(OR($N506=1,$O506=1),"U – needs rule",INDEX(MxBody,MATCH($I506,MxCurr,0),MATCH($H506,MxStart,0)))))))</f>
        <v/>
      </c>
      <c r="L506" s="62" t="str">
        <f aca="false">IF(COUNTA($A506,$F506,$G506,$H506,$I506,$J506)=0,"",IF($M506=0,"✖ كود الصف غير موجود",IF(ISNA(MATCH($F506,Lists!$A$2:$A$5,0)),"✖ الفترة غير صحيحة",IF(ISNA(MATCH($G506,Lists!$B$2:$B$7,0)),"✖ المجموعة غير صحيحة",IF(NOT(OR($H506="",$N506&gt;0)),"✖ Start غير صحيح",IF(NOT(OR($I506="",$I506="NR",$O506&gt;0)),"✖ Current غير صحيح",IF(NOT(IF(ISNUMBER($J506),AND($J506&gt;=0,$J506=INT($J506)),FALSE())),"✖ العدد يجب أن يكون صحيحًا ≥ 0",IF(AND($F506="Baseline",$H506&lt;&gt;""),"⚠ Baseline: Start لا يدخل في التقدم",IF($K506="No Start (attainment only)","ℹ تحصيل فقط (بدون Start)",IF($K506="U – needs rule","ℹ حالة U تحتاج قاعدة معتمدة",IF($K506="No result","ℹ بدون نتيجة (يُستبعد من التحصيل)","OK")))))))))))</f>
        <v/>
      </c>
      <c r="M506" s="64" t="n">
        <f aca="false">IF($A506="",0,IFERROR(MATCH($A506,Classes!$A$6:$A$420,0),0))</f>
        <v>0</v>
      </c>
      <c r="N506" s="64" t="n">
        <f aca="false">IF($H506="",0,IFERROR(MATCH($H506,GradeList,0),0))</f>
        <v>0</v>
      </c>
      <c r="O506" s="64" t="n">
        <f aca="false">IF(OR($I506="",$I506="NR"),0,IFERROR(MATCH($I506,GradeList,0),0))</f>
        <v>0</v>
      </c>
      <c r="P506" s="64" t="n">
        <f aca="false">IF(AND($M506&gt;0,ISNUMBER(MATCH($F506,Lists!$A$2:$A$5,0)),ISNUMBER(MATCH($G506,Lists!$B$2:$B$7,0)),OR($H506="",$N506&gt;0),OR($I506="",$I506="NR",$O506&gt;0),IF(ISNUMBER($J506),AND($J506&gt;=0,$J506=INT($J506)),FALSE())),$J506,0)</f>
        <v>0</v>
      </c>
      <c r="Q506" s="64" t="n">
        <f aca="false">IF(AND($P506&gt;0,$O506&gt;0),$P506,0)</f>
        <v>0</v>
      </c>
      <c r="R506" s="64" t="n">
        <f aca="false">IF(AND($Q506&gt;0,$O506&gt;=AtRank),$Q506,0)</f>
        <v>0</v>
      </c>
      <c r="S506" s="64" t="n">
        <f aca="false">IF(AND($Q506&gt;0,$O506&gt;=AboveRank),$Q506,0)</f>
        <v>0</v>
      </c>
      <c r="T506" s="64" t="n">
        <f aca="false">IF($K506="Less",$P506,0)</f>
        <v>0</v>
      </c>
      <c r="U506" s="64" t="n">
        <f aca="false">IF($K506="Expected",$P506,0)</f>
        <v>0</v>
      </c>
      <c r="V506" s="64" t="n">
        <f aca="false">IF($K506="Better",$P506,0)</f>
        <v>0</v>
      </c>
      <c r="W506" s="64" t="n">
        <f aca="false">IF($K506="U – needs rule",$P506,0)</f>
        <v>0</v>
      </c>
      <c r="X506" s="64" t="n">
        <f aca="false">IF($K506="No Start (attainment only)",$P506,0)</f>
        <v>0</v>
      </c>
    </row>
    <row r="507" customFormat="false" ht="15" hidden="false" customHeight="false" outlineLevel="0" collapsed="false">
      <c r="A507" s="60"/>
      <c r="B507" s="61" t="str">
        <f aca="false">IF($M507=0,"",INDEX(Classes!$E$6:$E$420,$M507))</f>
        <v/>
      </c>
      <c r="C507" s="62" t="str">
        <f aca="false">IF($M507=0,"",INDEX(Classes!$H$6:$H$420,$M507))</f>
        <v/>
      </c>
      <c r="D507" s="61" t="str">
        <f aca="false">IF($M507=0,"",INDEX(Classes!$B$6:$B$420,$M507))</f>
        <v/>
      </c>
      <c r="E507" s="61" t="str">
        <f aca="false">IF($M507=0,"",INDEX(Classes!$C$6:$C$420,$M507))</f>
        <v/>
      </c>
      <c r="F507" s="63"/>
      <c r="G507" s="63"/>
      <c r="H507" s="60"/>
      <c r="I507" s="60"/>
      <c r="J507" s="63"/>
      <c r="K507" s="61" t="str">
        <f aca="false">IF($P507=0,"",IF($F507="Baseline","— Baseline",IF($O507=0,"No result",IF($N507=0,"No Start (attainment only)",IF(OR($N507=1,$O507=1),"U – needs rule",INDEX(MxBody,MATCH($I507,MxCurr,0),MATCH($H507,MxStart,0)))))))</f>
        <v/>
      </c>
      <c r="L507" s="62" t="str">
        <f aca="false">IF(COUNTA($A507,$F507,$G507,$H507,$I507,$J507)=0,"",IF($M507=0,"✖ كود الصف غير موجود",IF(ISNA(MATCH($F507,Lists!$A$2:$A$5,0)),"✖ الفترة غير صحيحة",IF(ISNA(MATCH($G507,Lists!$B$2:$B$7,0)),"✖ المجموعة غير صحيحة",IF(NOT(OR($H507="",$N507&gt;0)),"✖ Start غير صحيح",IF(NOT(OR($I507="",$I507="NR",$O507&gt;0)),"✖ Current غير صحيح",IF(NOT(IF(ISNUMBER($J507),AND($J507&gt;=0,$J507=INT($J507)),FALSE())),"✖ العدد يجب أن يكون صحيحًا ≥ 0",IF(AND($F507="Baseline",$H507&lt;&gt;""),"⚠ Baseline: Start لا يدخل في التقدم",IF($K507="No Start (attainment only)","ℹ تحصيل فقط (بدون Start)",IF($K507="U – needs rule","ℹ حالة U تحتاج قاعدة معتمدة",IF($K507="No result","ℹ بدون نتيجة (يُستبعد من التحصيل)","OK")))))))))))</f>
        <v/>
      </c>
      <c r="M507" s="64" t="n">
        <f aca="false">IF($A507="",0,IFERROR(MATCH($A507,Classes!$A$6:$A$420,0),0))</f>
        <v>0</v>
      </c>
      <c r="N507" s="64" t="n">
        <f aca="false">IF($H507="",0,IFERROR(MATCH($H507,GradeList,0),0))</f>
        <v>0</v>
      </c>
      <c r="O507" s="64" t="n">
        <f aca="false">IF(OR($I507="",$I507="NR"),0,IFERROR(MATCH($I507,GradeList,0),0))</f>
        <v>0</v>
      </c>
      <c r="P507" s="64" t="n">
        <f aca="false">IF(AND($M507&gt;0,ISNUMBER(MATCH($F507,Lists!$A$2:$A$5,0)),ISNUMBER(MATCH($G507,Lists!$B$2:$B$7,0)),OR($H507="",$N507&gt;0),OR($I507="",$I507="NR",$O507&gt;0),IF(ISNUMBER($J507),AND($J507&gt;=0,$J507=INT($J507)),FALSE())),$J507,0)</f>
        <v>0</v>
      </c>
      <c r="Q507" s="64" t="n">
        <f aca="false">IF(AND($P507&gt;0,$O507&gt;0),$P507,0)</f>
        <v>0</v>
      </c>
      <c r="R507" s="64" t="n">
        <f aca="false">IF(AND($Q507&gt;0,$O507&gt;=AtRank),$Q507,0)</f>
        <v>0</v>
      </c>
      <c r="S507" s="64" t="n">
        <f aca="false">IF(AND($Q507&gt;0,$O507&gt;=AboveRank),$Q507,0)</f>
        <v>0</v>
      </c>
      <c r="T507" s="64" t="n">
        <f aca="false">IF($K507="Less",$P507,0)</f>
        <v>0</v>
      </c>
      <c r="U507" s="64" t="n">
        <f aca="false">IF($K507="Expected",$P507,0)</f>
        <v>0</v>
      </c>
      <c r="V507" s="64" t="n">
        <f aca="false">IF($K507="Better",$P507,0)</f>
        <v>0</v>
      </c>
      <c r="W507" s="64" t="n">
        <f aca="false">IF($K507="U – needs rule",$P507,0)</f>
        <v>0</v>
      </c>
      <c r="X507" s="64" t="n">
        <f aca="false">IF($K507="No Start (attainment only)",$P507,0)</f>
        <v>0</v>
      </c>
    </row>
    <row r="508" customFormat="false" ht="15" hidden="false" customHeight="false" outlineLevel="0" collapsed="false">
      <c r="A508" s="60"/>
      <c r="B508" s="61" t="str">
        <f aca="false">IF($M508=0,"",INDEX(Classes!$E$6:$E$420,$M508))</f>
        <v/>
      </c>
      <c r="C508" s="62" t="str">
        <f aca="false">IF($M508=0,"",INDEX(Classes!$H$6:$H$420,$M508))</f>
        <v/>
      </c>
      <c r="D508" s="61" t="str">
        <f aca="false">IF($M508=0,"",INDEX(Classes!$B$6:$B$420,$M508))</f>
        <v/>
      </c>
      <c r="E508" s="61" t="str">
        <f aca="false">IF($M508=0,"",INDEX(Classes!$C$6:$C$420,$M508))</f>
        <v/>
      </c>
      <c r="F508" s="63"/>
      <c r="G508" s="63"/>
      <c r="H508" s="60"/>
      <c r="I508" s="60"/>
      <c r="J508" s="63"/>
      <c r="K508" s="61" t="str">
        <f aca="false">IF($P508=0,"",IF($F508="Baseline","— Baseline",IF($O508=0,"No result",IF($N508=0,"No Start (attainment only)",IF(OR($N508=1,$O508=1),"U – needs rule",INDEX(MxBody,MATCH($I508,MxCurr,0),MATCH($H508,MxStart,0)))))))</f>
        <v/>
      </c>
      <c r="L508" s="62" t="str">
        <f aca="false">IF(COUNTA($A508,$F508,$G508,$H508,$I508,$J508)=0,"",IF($M508=0,"✖ كود الصف غير موجود",IF(ISNA(MATCH($F508,Lists!$A$2:$A$5,0)),"✖ الفترة غير صحيحة",IF(ISNA(MATCH($G508,Lists!$B$2:$B$7,0)),"✖ المجموعة غير صحيحة",IF(NOT(OR($H508="",$N508&gt;0)),"✖ Start غير صحيح",IF(NOT(OR($I508="",$I508="NR",$O508&gt;0)),"✖ Current غير صحيح",IF(NOT(IF(ISNUMBER($J508),AND($J508&gt;=0,$J508=INT($J508)),FALSE())),"✖ العدد يجب أن يكون صحيحًا ≥ 0",IF(AND($F508="Baseline",$H508&lt;&gt;""),"⚠ Baseline: Start لا يدخل في التقدم",IF($K508="No Start (attainment only)","ℹ تحصيل فقط (بدون Start)",IF($K508="U – needs rule","ℹ حالة U تحتاج قاعدة معتمدة",IF($K508="No result","ℹ بدون نتيجة (يُستبعد من التحصيل)","OK")))))))))))</f>
        <v/>
      </c>
      <c r="M508" s="64" t="n">
        <f aca="false">IF($A508="",0,IFERROR(MATCH($A508,Classes!$A$6:$A$420,0),0))</f>
        <v>0</v>
      </c>
      <c r="N508" s="64" t="n">
        <f aca="false">IF($H508="",0,IFERROR(MATCH($H508,GradeList,0),0))</f>
        <v>0</v>
      </c>
      <c r="O508" s="64" t="n">
        <f aca="false">IF(OR($I508="",$I508="NR"),0,IFERROR(MATCH($I508,GradeList,0),0))</f>
        <v>0</v>
      </c>
      <c r="P508" s="64" t="n">
        <f aca="false">IF(AND($M508&gt;0,ISNUMBER(MATCH($F508,Lists!$A$2:$A$5,0)),ISNUMBER(MATCH($G508,Lists!$B$2:$B$7,0)),OR($H508="",$N508&gt;0),OR($I508="",$I508="NR",$O508&gt;0),IF(ISNUMBER($J508),AND($J508&gt;=0,$J508=INT($J508)),FALSE())),$J508,0)</f>
        <v>0</v>
      </c>
      <c r="Q508" s="64" t="n">
        <f aca="false">IF(AND($P508&gt;0,$O508&gt;0),$P508,0)</f>
        <v>0</v>
      </c>
      <c r="R508" s="64" t="n">
        <f aca="false">IF(AND($Q508&gt;0,$O508&gt;=AtRank),$Q508,0)</f>
        <v>0</v>
      </c>
      <c r="S508" s="64" t="n">
        <f aca="false">IF(AND($Q508&gt;0,$O508&gt;=AboveRank),$Q508,0)</f>
        <v>0</v>
      </c>
      <c r="T508" s="64" t="n">
        <f aca="false">IF($K508="Less",$P508,0)</f>
        <v>0</v>
      </c>
      <c r="U508" s="64" t="n">
        <f aca="false">IF($K508="Expected",$P508,0)</f>
        <v>0</v>
      </c>
      <c r="V508" s="64" t="n">
        <f aca="false">IF($K508="Better",$P508,0)</f>
        <v>0</v>
      </c>
      <c r="W508" s="64" t="n">
        <f aca="false">IF($K508="U – needs rule",$P508,0)</f>
        <v>0</v>
      </c>
      <c r="X508" s="64" t="n">
        <f aca="false">IF($K508="No Start (attainment only)",$P508,0)</f>
        <v>0</v>
      </c>
    </row>
    <row r="509" customFormat="false" ht="15" hidden="false" customHeight="false" outlineLevel="0" collapsed="false">
      <c r="A509" s="60"/>
      <c r="B509" s="61" t="str">
        <f aca="false">IF($M509=0,"",INDEX(Classes!$E$6:$E$420,$M509))</f>
        <v/>
      </c>
      <c r="C509" s="62" t="str">
        <f aca="false">IF($M509=0,"",INDEX(Classes!$H$6:$H$420,$M509))</f>
        <v/>
      </c>
      <c r="D509" s="61" t="str">
        <f aca="false">IF($M509=0,"",INDEX(Classes!$B$6:$B$420,$M509))</f>
        <v/>
      </c>
      <c r="E509" s="61" t="str">
        <f aca="false">IF($M509=0,"",INDEX(Classes!$C$6:$C$420,$M509))</f>
        <v/>
      </c>
      <c r="F509" s="63"/>
      <c r="G509" s="63"/>
      <c r="H509" s="60"/>
      <c r="I509" s="60"/>
      <c r="J509" s="63"/>
      <c r="K509" s="61" t="str">
        <f aca="false">IF($P509=0,"",IF($F509="Baseline","— Baseline",IF($O509=0,"No result",IF($N509=0,"No Start (attainment only)",IF(OR($N509=1,$O509=1),"U – needs rule",INDEX(MxBody,MATCH($I509,MxCurr,0),MATCH($H509,MxStart,0)))))))</f>
        <v/>
      </c>
      <c r="L509" s="62" t="str">
        <f aca="false">IF(COUNTA($A509,$F509,$G509,$H509,$I509,$J509)=0,"",IF($M509=0,"✖ كود الصف غير موجود",IF(ISNA(MATCH($F509,Lists!$A$2:$A$5,0)),"✖ الفترة غير صحيحة",IF(ISNA(MATCH($G509,Lists!$B$2:$B$7,0)),"✖ المجموعة غير صحيحة",IF(NOT(OR($H509="",$N509&gt;0)),"✖ Start غير صحيح",IF(NOT(OR($I509="",$I509="NR",$O509&gt;0)),"✖ Current غير صحيح",IF(NOT(IF(ISNUMBER($J509),AND($J509&gt;=0,$J509=INT($J509)),FALSE())),"✖ العدد يجب أن يكون صحيحًا ≥ 0",IF(AND($F509="Baseline",$H509&lt;&gt;""),"⚠ Baseline: Start لا يدخل في التقدم",IF($K509="No Start (attainment only)","ℹ تحصيل فقط (بدون Start)",IF($K509="U – needs rule","ℹ حالة U تحتاج قاعدة معتمدة",IF($K509="No result","ℹ بدون نتيجة (يُستبعد من التحصيل)","OK")))))))))))</f>
        <v/>
      </c>
      <c r="M509" s="64" t="n">
        <f aca="false">IF($A509="",0,IFERROR(MATCH($A509,Classes!$A$6:$A$420,0),0))</f>
        <v>0</v>
      </c>
      <c r="N509" s="64" t="n">
        <f aca="false">IF($H509="",0,IFERROR(MATCH($H509,GradeList,0),0))</f>
        <v>0</v>
      </c>
      <c r="O509" s="64" t="n">
        <f aca="false">IF(OR($I509="",$I509="NR"),0,IFERROR(MATCH($I509,GradeList,0),0))</f>
        <v>0</v>
      </c>
      <c r="P509" s="64" t="n">
        <f aca="false">IF(AND($M509&gt;0,ISNUMBER(MATCH($F509,Lists!$A$2:$A$5,0)),ISNUMBER(MATCH($G509,Lists!$B$2:$B$7,0)),OR($H509="",$N509&gt;0),OR($I509="",$I509="NR",$O509&gt;0),IF(ISNUMBER($J509),AND($J509&gt;=0,$J509=INT($J509)),FALSE())),$J509,0)</f>
        <v>0</v>
      </c>
      <c r="Q509" s="64" t="n">
        <f aca="false">IF(AND($P509&gt;0,$O509&gt;0),$P509,0)</f>
        <v>0</v>
      </c>
      <c r="R509" s="64" t="n">
        <f aca="false">IF(AND($Q509&gt;0,$O509&gt;=AtRank),$Q509,0)</f>
        <v>0</v>
      </c>
      <c r="S509" s="64" t="n">
        <f aca="false">IF(AND($Q509&gt;0,$O509&gt;=AboveRank),$Q509,0)</f>
        <v>0</v>
      </c>
      <c r="T509" s="64" t="n">
        <f aca="false">IF($K509="Less",$P509,0)</f>
        <v>0</v>
      </c>
      <c r="U509" s="64" t="n">
        <f aca="false">IF($K509="Expected",$P509,0)</f>
        <v>0</v>
      </c>
      <c r="V509" s="64" t="n">
        <f aca="false">IF($K509="Better",$P509,0)</f>
        <v>0</v>
      </c>
      <c r="W509" s="64" t="n">
        <f aca="false">IF($K509="U – needs rule",$P509,0)</f>
        <v>0</v>
      </c>
      <c r="X509" s="64" t="n">
        <f aca="false">IF($K509="No Start (attainment only)",$P509,0)</f>
        <v>0</v>
      </c>
    </row>
    <row r="510" customFormat="false" ht="15" hidden="false" customHeight="false" outlineLevel="0" collapsed="false">
      <c r="A510" s="60"/>
      <c r="B510" s="61" t="str">
        <f aca="false">IF($M510=0,"",INDEX(Classes!$E$6:$E$420,$M510))</f>
        <v/>
      </c>
      <c r="C510" s="62" t="str">
        <f aca="false">IF($M510=0,"",INDEX(Classes!$H$6:$H$420,$M510))</f>
        <v/>
      </c>
      <c r="D510" s="61" t="str">
        <f aca="false">IF($M510=0,"",INDEX(Classes!$B$6:$B$420,$M510))</f>
        <v/>
      </c>
      <c r="E510" s="61" t="str">
        <f aca="false">IF($M510=0,"",INDEX(Classes!$C$6:$C$420,$M510))</f>
        <v/>
      </c>
      <c r="F510" s="63"/>
      <c r="G510" s="63"/>
      <c r="H510" s="60"/>
      <c r="I510" s="60"/>
      <c r="J510" s="63"/>
      <c r="K510" s="61" t="str">
        <f aca="false">IF($P510=0,"",IF($F510="Baseline","— Baseline",IF($O510=0,"No result",IF($N510=0,"No Start (attainment only)",IF(OR($N510=1,$O510=1),"U – needs rule",INDEX(MxBody,MATCH($I510,MxCurr,0),MATCH($H510,MxStart,0)))))))</f>
        <v/>
      </c>
      <c r="L510" s="62" t="str">
        <f aca="false">IF(COUNTA($A510,$F510,$G510,$H510,$I510,$J510)=0,"",IF($M510=0,"✖ كود الصف غير موجود",IF(ISNA(MATCH($F510,Lists!$A$2:$A$5,0)),"✖ الفترة غير صحيحة",IF(ISNA(MATCH($G510,Lists!$B$2:$B$7,0)),"✖ المجموعة غير صحيحة",IF(NOT(OR($H510="",$N510&gt;0)),"✖ Start غير صحيح",IF(NOT(OR($I510="",$I510="NR",$O510&gt;0)),"✖ Current غير صحيح",IF(NOT(IF(ISNUMBER($J510),AND($J510&gt;=0,$J510=INT($J510)),FALSE())),"✖ العدد يجب أن يكون صحيحًا ≥ 0",IF(AND($F510="Baseline",$H510&lt;&gt;""),"⚠ Baseline: Start لا يدخل في التقدم",IF($K510="No Start (attainment only)","ℹ تحصيل فقط (بدون Start)",IF($K510="U – needs rule","ℹ حالة U تحتاج قاعدة معتمدة",IF($K510="No result","ℹ بدون نتيجة (يُستبعد من التحصيل)","OK")))))))))))</f>
        <v/>
      </c>
      <c r="M510" s="64" t="n">
        <f aca="false">IF($A510="",0,IFERROR(MATCH($A510,Classes!$A$6:$A$420,0),0))</f>
        <v>0</v>
      </c>
      <c r="N510" s="64" t="n">
        <f aca="false">IF($H510="",0,IFERROR(MATCH($H510,GradeList,0),0))</f>
        <v>0</v>
      </c>
      <c r="O510" s="64" t="n">
        <f aca="false">IF(OR($I510="",$I510="NR"),0,IFERROR(MATCH($I510,GradeList,0),0))</f>
        <v>0</v>
      </c>
      <c r="P510" s="64" t="n">
        <f aca="false">IF(AND($M510&gt;0,ISNUMBER(MATCH($F510,Lists!$A$2:$A$5,0)),ISNUMBER(MATCH($G510,Lists!$B$2:$B$7,0)),OR($H510="",$N510&gt;0),OR($I510="",$I510="NR",$O510&gt;0),IF(ISNUMBER($J510),AND($J510&gt;=0,$J510=INT($J510)),FALSE())),$J510,0)</f>
        <v>0</v>
      </c>
      <c r="Q510" s="64" t="n">
        <f aca="false">IF(AND($P510&gt;0,$O510&gt;0),$P510,0)</f>
        <v>0</v>
      </c>
      <c r="R510" s="64" t="n">
        <f aca="false">IF(AND($Q510&gt;0,$O510&gt;=AtRank),$Q510,0)</f>
        <v>0</v>
      </c>
      <c r="S510" s="64" t="n">
        <f aca="false">IF(AND($Q510&gt;0,$O510&gt;=AboveRank),$Q510,0)</f>
        <v>0</v>
      </c>
      <c r="T510" s="64" t="n">
        <f aca="false">IF($K510="Less",$P510,0)</f>
        <v>0</v>
      </c>
      <c r="U510" s="64" t="n">
        <f aca="false">IF($K510="Expected",$P510,0)</f>
        <v>0</v>
      </c>
      <c r="V510" s="64" t="n">
        <f aca="false">IF($K510="Better",$P510,0)</f>
        <v>0</v>
      </c>
      <c r="W510" s="64" t="n">
        <f aca="false">IF($K510="U – needs rule",$P510,0)</f>
        <v>0</v>
      </c>
      <c r="X510" s="64" t="n">
        <f aca="false">IF($K510="No Start (attainment only)",$P510,0)</f>
        <v>0</v>
      </c>
    </row>
    <row r="511" customFormat="false" ht="15" hidden="false" customHeight="false" outlineLevel="0" collapsed="false">
      <c r="A511" s="60"/>
      <c r="B511" s="61" t="str">
        <f aca="false">IF($M511=0,"",INDEX(Classes!$E$6:$E$420,$M511))</f>
        <v/>
      </c>
      <c r="C511" s="62" t="str">
        <f aca="false">IF($M511=0,"",INDEX(Classes!$H$6:$H$420,$M511))</f>
        <v/>
      </c>
      <c r="D511" s="61" t="str">
        <f aca="false">IF($M511=0,"",INDEX(Classes!$B$6:$B$420,$M511))</f>
        <v/>
      </c>
      <c r="E511" s="61" t="str">
        <f aca="false">IF($M511=0,"",INDEX(Classes!$C$6:$C$420,$M511))</f>
        <v/>
      </c>
      <c r="F511" s="63"/>
      <c r="G511" s="63"/>
      <c r="H511" s="60"/>
      <c r="I511" s="60"/>
      <c r="J511" s="63"/>
      <c r="K511" s="61" t="str">
        <f aca="false">IF($P511=0,"",IF($F511="Baseline","— Baseline",IF($O511=0,"No result",IF($N511=0,"No Start (attainment only)",IF(OR($N511=1,$O511=1),"U – needs rule",INDEX(MxBody,MATCH($I511,MxCurr,0),MATCH($H511,MxStart,0)))))))</f>
        <v/>
      </c>
      <c r="L511" s="62" t="str">
        <f aca="false">IF(COUNTA($A511,$F511,$G511,$H511,$I511,$J511)=0,"",IF($M511=0,"✖ كود الصف غير موجود",IF(ISNA(MATCH($F511,Lists!$A$2:$A$5,0)),"✖ الفترة غير صحيحة",IF(ISNA(MATCH($G511,Lists!$B$2:$B$7,0)),"✖ المجموعة غير صحيحة",IF(NOT(OR($H511="",$N511&gt;0)),"✖ Start غير صحيح",IF(NOT(OR($I511="",$I511="NR",$O511&gt;0)),"✖ Current غير صحيح",IF(NOT(IF(ISNUMBER($J511),AND($J511&gt;=0,$J511=INT($J511)),FALSE())),"✖ العدد يجب أن يكون صحيحًا ≥ 0",IF(AND($F511="Baseline",$H511&lt;&gt;""),"⚠ Baseline: Start لا يدخل في التقدم",IF($K511="No Start (attainment only)","ℹ تحصيل فقط (بدون Start)",IF($K511="U – needs rule","ℹ حالة U تحتاج قاعدة معتمدة",IF($K511="No result","ℹ بدون نتيجة (يُستبعد من التحصيل)","OK")))))))))))</f>
        <v/>
      </c>
      <c r="M511" s="64" t="n">
        <f aca="false">IF($A511="",0,IFERROR(MATCH($A511,Classes!$A$6:$A$420,0),0))</f>
        <v>0</v>
      </c>
      <c r="N511" s="64" t="n">
        <f aca="false">IF($H511="",0,IFERROR(MATCH($H511,GradeList,0),0))</f>
        <v>0</v>
      </c>
      <c r="O511" s="64" t="n">
        <f aca="false">IF(OR($I511="",$I511="NR"),0,IFERROR(MATCH($I511,GradeList,0),0))</f>
        <v>0</v>
      </c>
      <c r="P511" s="64" t="n">
        <f aca="false">IF(AND($M511&gt;0,ISNUMBER(MATCH($F511,Lists!$A$2:$A$5,0)),ISNUMBER(MATCH($G511,Lists!$B$2:$B$7,0)),OR($H511="",$N511&gt;0),OR($I511="",$I511="NR",$O511&gt;0),IF(ISNUMBER($J511),AND($J511&gt;=0,$J511=INT($J511)),FALSE())),$J511,0)</f>
        <v>0</v>
      </c>
      <c r="Q511" s="64" t="n">
        <f aca="false">IF(AND($P511&gt;0,$O511&gt;0),$P511,0)</f>
        <v>0</v>
      </c>
      <c r="R511" s="64" t="n">
        <f aca="false">IF(AND($Q511&gt;0,$O511&gt;=AtRank),$Q511,0)</f>
        <v>0</v>
      </c>
      <c r="S511" s="64" t="n">
        <f aca="false">IF(AND($Q511&gt;0,$O511&gt;=AboveRank),$Q511,0)</f>
        <v>0</v>
      </c>
      <c r="T511" s="64" t="n">
        <f aca="false">IF($K511="Less",$P511,0)</f>
        <v>0</v>
      </c>
      <c r="U511" s="64" t="n">
        <f aca="false">IF($K511="Expected",$P511,0)</f>
        <v>0</v>
      </c>
      <c r="V511" s="64" t="n">
        <f aca="false">IF($K511="Better",$P511,0)</f>
        <v>0</v>
      </c>
      <c r="W511" s="64" t="n">
        <f aca="false">IF($K511="U – needs rule",$P511,0)</f>
        <v>0</v>
      </c>
      <c r="X511" s="64" t="n">
        <f aca="false">IF($K511="No Start (attainment only)",$P511,0)</f>
        <v>0</v>
      </c>
    </row>
    <row r="512" customFormat="false" ht="15" hidden="false" customHeight="false" outlineLevel="0" collapsed="false">
      <c r="A512" s="60"/>
      <c r="B512" s="61" t="str">
        <f aca="false">IF($M512=0,"",INDEX(Classes!$E$6:$E$420,$M512))</f>
        <v/>
      </c>
      <c r="C512" s="62" t="str">
        <f aca="false">IF($M512=0,"",INDEX(Classes!$H$6:$H$420,$M512))</f>
        <v/>
      </c>
      <c r="D512" s="61" t="str">
        <f aca="false">IF($M512=0,"",INDEX(Classes!$B$6:$B$420,$M512))</f>
        <v/>
      </c>
      <c r="E512" s="61" t="str">
        <f aca="false">IF($M512=0,"",INDEX(Classes!$C$6:$C$420,$M512))</f>
        <v/>
      </c>
      <c r="F512" s="63"/>
      <c r="G512" s="63"/>
      <c r="H512" s="60"/>
      <c r="I512" s="60"/>
      <c r="J512" s="63"/>
      <c r="K512" s="61" t="str">
        <f aca="false">IF($P512=0,"",IF($F512="Baseline","— Baseline",IF($O512=0,"No result",IF($N512=0,"No Start (attainment only)",IF(OR($N512=1,$O512=1),"U – needs rule",INDEX(MxBody,MATCH($I512,MxCurr,0),MATCH($H512,MxStart,0)))))))</f>
        <v/>
      </c>
      <c r="L512" s="62" t="str">
        <f aca="false">IF(COUNTA($A512,$F512,$G512,$H512,$I512,$J512)=0,"",IF($M512=0,"✖ كود الصف غير موجود",IF(ISNA(MATCH($F512,Lists!$A$2:$A$5,0)),"✖ الفترة غير صحيحة",IF(ISNA(MATCH($G512,Lists!$B$2:$B$7,0)),"✖ المجموعة غير صحيحة",IF(NOT(OR($H512="",$N512&gt;0)),"✖ Start غير صحيح",IF(NOT(OR($I512="",$I512="NR",$O512&gt;0)),"✖ Current غير صحيح",IF(NOT(IF(ISNUMBER($J512),AND($J512&gt;=0,$J512=INT($J512)),FALSE())),"✖ العدد يجب أن يكون صحيحًا ≥ 0",IF(AND($F512="Baseline",$H512&lt;&gt;""),"⚠ Baseline: Start لا يدخل في التقدم",IF($K512="No Start (attainment only)","ℹ تحصيل فقط (بدون Start)",IF($K512="U – needs rule","ℹ حالة U تحتاج قاعدة معتمدة",IF($K512="No result","ℹ بدون نتيجة (يُستبعد من التحصيل)","OK")))))))))))</f>
        <v/>
      </c>
      <c r="M512" s="64" t="n">
        <f aca="false">IF($A512="",0,IFERROR(MATCH($A512,Classes!$A$6:$A$420,0),0))</f>
        <v>0</v>
      </c>
      <c r="N512" s="64" t="n">
        <f aca="false">IF($H512="",0,IFERROR(MATCH($H512,GradeList,0),0))</f>
        <v>0</v>
      </c>
      <c r="O512" s="64" t="n">
        <f aca="false">IF(OR($I512="",$I512="NR"),0,IFERROR(MATCH($I512,GradeList,0),0))</f>
        <v>0</v>
      </c>
      <c r="P512" s="64" t="n">
        <f aca="false">IF(AND($M512&gt;0,ISNUMBER(MATCH($F512,Lists!$A$2:$A$5,0)),ISNUMBER(MATCH($G512,Lists!$B$2:$B$7,0)),OR($H512="",$N512&gt;0),OR($I512="",$I512="NR",$O512&gt;0),IF(ISNUMBER($J512),AND($J512&gt;=0,$J512=INT($J512)),FALSE())),$J512,0)</f>
        <v>0</v>
      </c>
      <c r="Q512" s="64" t="n">
        <f aca="false">IF(AND($P512&gt;0,$O512&gt;0),$P512,0)</f>
        <v>0</v>
      </c>
      <c r="R512" s="64" t="n">
        <f aca="false">IF(AND($Q512&gt;0,$O512&gt;=AtRank),$Q512,0)</f>
        <v>0</v>
      </c>
      <c r="S512" s="64" t="n">
        <f aca="false">IF(AND($Q512&gt;0,$O512&gt;=AboveRank),$Q512,0)</f>
        <v>0</v>
      </c>
      <c r="T512" s="64" t="n">
        <f aca="false">IF($K512="Less",$P512,0)</f>
        <v>0</v>
      </c>
      <c r="U512" s="64" t="n">
        <f aca="false">IF($K512="Expected",$P512,0)</f>
        <v>0</v>
      </c>
      <c r="V512" s="64" t="n">
        <f aca="false">IF($K512="Better",$P512,0)</f>
        <v>0</v>
      </c>
      <c r="W512" s="64" t="n">
        <f aca="false">IF($K512="U – needs rule",$P512,0)</f>
        <v>0</v>
      </c>
      <c r="X512" s="64" t="n">
        <f aca="false">IF($K512="No Start (attainment only)",$P512,0)</f>
        <v>0</v>
      </c>
    </row>
    <row r="513" customFormat="false" ht="15" hidden="false" customHeight="false" outlineLevel="0" collapsed="false">
      <c r="A513" s="60"/>
      <c r="B513" s="61" t="str">
        <f aca="false">IF($M513=0,"",INDEX(Classes!$E$6:$E$420,$M513))</f>
        <v/>
      </c>
      <c r="C513" s="62" t="str">
        <f aca="false">IF($M513=0,"",INDEX(Classes!$H$6:$H$420,$M513))</f>
        <v/>
      </c>
      <c r="D513" s="61" t="str">
        <f aca="false">IF($M513=0,"",INDEX(Classes!$B$6:$B$420,$M513))</f>
        <v/>
      </c>
      <c r="E513" s="61" t="str">
        <f aca="false">IF($M513=0,"",INDEX(Classes!$C$6:$C$420,$M513))</f>
        <v/>
      </c>
      <c r="F513" s="63"/>
      <c r="G513" s="63"/>
      <c r="H513" s="60"/>
      <c r="I513" s="60"/>
      <c r="J513" s="63"/>
      <c r="K513" s="61" t="str">
        <f aca="false">IF($P513=0,"",IF($F513="Baseline","— Baseline",IF($O513=0,"No result",IF($N513=0,"No Start (attainment only)",IF(OR($N513=1,$O513=1),"U – needs rule",INDEX(MxBody,MATCH($I513,MxCurr,0),MATCH($H513,MxStart,0)))))))</f>
        <v/>
      </c>
      <c r="L513" s="62" t="str">
        <f aca="false">IF(COUNTA($A513,$F513,$G513,$H513,$I513,$J513)=0,"",IF($M513=0,"✖ كود الصف غير موجود",IF(ISNA(MATCH($F513,Lists!$A$2:$A$5,0)),"✖ الفترة غير صحيحة",IF(ISNA(MATCH($G513,Lists!$B$2:$B$7,0)),"✖ المجموعة غير صحيحة",IF(NOT(OR($H513="",$N513&gt;0)),"✖ Start غير صحيح",IF(NOT(OR($I513="",$I513="NR",$O513&gt;0)),"✖ Current غير صحيح",IF(NOT(IF(ISNUMBER($J513),AND($J513&gt;=0,$J513=INT($J513)),FALSE())),"✖ العدد يجب أن يكون صحيحًا ≥ 0",IF(AND($F513="Baseline",$H513&lt;&gt;""),"⚠ Baseline: Start لا يدخل في التقدم",IF($K513="No Start (attainment only)","ℹ تحصيل فقط (بدون Start)",IF($K513="U – needs rule","ℹ حالة U تحتاج قاعدة معتمدة",IF($K513="No result","ℹ بدون نتيجة (يُستبعد من التحصيل)","OK")))))))))))</f>
        <v/>
      </c>
      <c r="M513" s="64" t="n">
        <f aca="false">IF($A513="",0,IFERROR(MATCH($A513,Classes!$A$6:$A$420,0),0))</f>
        <v>0</v>
      </c>
      <c r="N513" s="64" t="n">
        <f aca="false">IF($H513="",0,IFERROR(MATCH($H513,GradeList,0),0))</f>
        <v>0</v>
      </c>
      <c r="O513" s="64" t="n">
        <f aca="false">IF(OR($I513="",$I513="NR"),0,IFERROR(MATCH($I513,GradeList,0),0))</f>
        <v>0</v>
      </c>
      <c r="P513" s="64" t="n">
        <f aca="false">IF(AND($M513&gt;0,ISNUMBER(MATCH($F513,Lists!$A$2:$A$5,0)),ISNUMBER(MATCH($G513,Lists!$B$2:$B$7,0)),OR($H513="",$N513&gt;0),OR($I513="",$I513="NR",$O513&gt;0),IF(ISNUMBER($J513),AND($J513&gt;=0,$J513=INT($J513)),FALSE())),$J513,0)</f>
        <v>0</v>
      </c>
      <c r="Q513" s="64" t="n">
        <f aca="false">IF(AND($P513&gt;0,$O513&gt;0),$P513,0)</f>
        <v>0</v>
      </c>
      <c r="R513" s="64" t="n">
        <f aca="false">IF(AND($Q513&gt;0,$O513&gt;=AtRank),$Q513,0)</f>
        <v>0</v>
      </c>
      <c r="S513" s="64" t="n">
        <f aca="false">IF(AND($Q513&gt;0,$O513&gt;=AboveRank),$Q513,0)</f>
        <v>0</v>
      </c>
      <c r="T513" s="64" t="n">
        <f aca="false">IF($K513="Less",$P513,0)</f>
        <v>0</v>
      </c>
      <c r="U513" s="64" t="n">
        <f aca="false">IF($K513="Expected",$P513,0)</f>
        <v>0</v>
      </c>
      <c r="V513" s="64" t="n">
        <f aca="false">IF($K513="Better",$P513,0)</f>
        <v>0</v>
      </c>
      <c r="W513" s="64" t="n">
        <f aca="false">IF($K513="U – needs rule",$P513,0)</f>
        <v>0</v>
      </c>
      <c r="X513" s="64" t="n">
        <f aca="false">IF($K513="No Start (attainment only)",$P513,0)</f>
        <v>0</v>
      </c>
    </row>
    <row r="514" customFormat="false" ht="15" hidden="false" customHeight="false" outlineLevel="0" collapsed="false">
      <c r="A514" s="60"/>
      <c r="B514" s="61" t="str">
        <f aca="false">IF($M514=0,"",INDEX(Classes!$E$6:$E$420,$M514))</f>
        <v/>
      </c>
      <c r="C514" s="62" t="str">
        <f aca="false">IF($M514=0,"",INDEX(Classes!$H$6:$H$420,$M514))</f>
        <v/>
      </c>
      <c r="D514" s="61" t="str">
        <f aca="false">IF($M514=0,"",INDEX(Classes!$B$6:$B$420,$M514))</f>
        <v/>
      </c>
      <c r="E514" s="61" t="str">
        <f aca="false">IF($M514=0,"",INDEX(Classes!$C$6:$C$420,$M514))</f>
        <v/>
      </c>
      <c r="F514" s="63"/>
      <c r="G514" s="63"/>
      <c r="H514" s="60"/>
      <c r="I514" s="60"/>
      <c r="J514" s="63"/>
      <c r="K514" s="61" t="str">
        <f aca="false">IF($P514=0,"",IF($F514="Baseline","— Baseline",IF($O514=0,"No result",IF($N514=0,"No Start (attainment only)",IF(OR($N514=1,$O514=1),"U – needs rule",INDEX(MxBody,MATCH($I514,MxCurr,0),MATCH($H514,MxStart,0)))))))</f>
        <v/>
      </c>
      <c r="L514" s="62" t="str">
        <f aca="false">IF(COUNTA($A514,$F514,$G514,$H514,$I514,$J514)=0,"",IF($M514=0,"✖ كود الصف غير موجود",IF(ISNA(MATCH($F514,Lists!$A$2:$A$5,0)),"✖ الفترة غير صحيحة",IF(ISNA(MATCH($G514,Lists!$B$2:$B$7,0)),"✖ المجموعة غير صحيحة",IF(NOT(OR($H514="",$N514&gt;0)),"✖ Start غير صحيح",IF(NOT(OR($I514="",$I514="NR",$O514&gt;0)),"✖ Current غير صحيح",IF(NOT(IF(ISNUMBER($J514),AND($J514&gt;=0,$J514=INT($J514)),FALSE())),"✖ العدد يجب أن يكون صحيحًا ≥ 0",IF(AND($F514="Baseline",$H514&lt;&gt;""),"⚠ Baseline: Start لا يدخل في التقدم",IF($K514="No Start (attainment only)","ℹ تحصيل فقط (بدون Start)",IF($K514="U – needs rule","ℹ حالة U تحتاج قاعدة معتمدة",IF($K514="No result","ℹ بدون نتيجة (يُستبعد من التحصيل)","OK")))))))))))</f>
        <v/>
      </c>
      <c r="M514" s="64" t="n">
        <f aca="false">IF($A514="",0,IFERROR(MATCH($A514,Classes!$A$6:$A$420,0),0))</f>
        <v>0</v>
      </c>
      <c r="N514" s="64" t="n">
        <f aca="false">IF($H514="",0,IFERROR(MATCH($H514,GradeList,0),0))</f>
        <v>0</v>
      </c>
      <c r="O514" s="64" t="n">
        <f aca="false">IF(OR($I514="",$I514="NR"),0,IFERROR(MATCH($I514,GradeList,0),0))</f>
        <v>0</v>
      </c>
      <c r="P514" s="64" t="n">
        <f aca="false">IF(AND($M514&gt;0,ISNUMBER(MATCH($F514,Lists!$A$2:$A$5,0)),ISNUMBER(MATCH($G514,Lists!$B$2:$B$7,0)),OR($H514="",$N514&gt;0),OR($I514="",$I514="NR",$O514&gt;0),IF(ISNUMBER($J514),AND($J514&gt;=0,$J514=INT($J514)),FALSE())),$J514,0)</f>
        <v>0</v>
      </c>
      <c r="Q514" s="64" t="n">
        <f aca="false">IF(AND($P514&gt;0,$O514&gt;0),$P514,0)</f>
        <v>0</v>
      </c>
      <c r="R514" s="64" t="n">
        <f aca="false">IF(AND($Q514&gt;0,$O514&gt;=AtRank),$Q514,0)</f>
        <v>0</v>
      </c>
      <c r="S514" s="64" t="n">
        <f aca="false">IF(AND($Q514&gt;0,$O514&gt;=AboveRank),$Q514,0)</f>
        <v>0</v>
      </c>
      <c r="T514" s="64" t="n">
        <f aca="false">IF($K514="Less",$P514,0)</f>
        <v>0</v>
      </c>
      <c r="U514" s="64" t="n">
        <f aca="false">IF($K514="Expected",$P514,0)</f>
        <v>0</v>
      </c>
      <c r="V514" s="64" t="n">
        <f aca="false">IF($K514="Better",$P514,0)</f>
        <v>0</v>
      </c>
      <c r="W514" s="64" t="n">
        <f aca="false">IF($K514="U – needs rule",$P514,0)</f>
        <v>0</v>
      </c>
      <c r="X514" s="64" t="n">
        <f aca="false">IF($K514="No Start (attainment only)",$P514,0)</f>
        <v>0</v>
      </c>
    </row>
    <row r="515" customFormat="false" ht="15" hidden="false" customHeight="false" outlineLevel="0" collapsed="false">
      <c r="A515" s="60"/>
      <c r="B515" s="61" t="str">
        <f aca="false">IF($M515=0,"",INDEX(Classes!$E$6:$E$420,$M515))</f>
        <v/>
      </c>
      <c r="C515" s="62" t="str">
        <f aca="false">IF($M515=0,"",INDEX(Classes!$H$6:$H$420,$M515))</f>
        <v/>
      </c>
      <c r="D515" s="61" t="str">
        <f aca="false">IF($M515=0,"",INDEX(Classes!$B$6:$B$420,$M515))</f>
        <v/>
      </c>
      <c r="E515" s="61" t="str">
        <f aca="false">IF($M515=0,"",INDEX(Classes!$C$6:$C$420,$M515))</f>
        <v/>
      </c>
      <c r="F515" s="63"/>
      <c r="G515" s="63"/>
      <c r="H515" s="60"/>
      <c r="I515" s="60"/>
      <c r="J515" s="63"/>
      <c r="K515" s="61" t="str">
        <f aca="false">IF($P515=0,"",IF($F515="Baseline","— Baseline",IF($O515=0,"No result",IF($N515=0,"No Start (attainment only)",IF(OR($N515=1,$O515=1),"U – needs rule",INDEX(MxBody,MATCH($I515,MxCurr,0),MATCH($H515,MxStart,0)))))))</f>
        <v/>
      </c>
      <c r="L515" s="62" t="str">
        <f aca="false">IF(COUNTA($A515,$F515,$G515,$H515,$I515,$J515)=0,"",IF($M515=0,"✖ كود الصف غير موجود",IF(ISNA(MATCH($F515,Lists!$A$2:$A$5,0)),"✖ الفترة غير صحيحة",IF(ISNA(MATCH($G515,Lists!$B$2:$B$7,0)),"✖ المجموعة غير صحيحة",IF(NOT(OR($H515="",$N515&gt;0)),"✖ Start غير صحيح",IF(NOT(OR($I515="",$I515="NR",$O515&gt;0)),"✖ Current غير صحيح",IF(NOT(IF(ISNUMBER($J515),AND($J515&gt;=0,$J515=INT($J515)),FALSE())),"✖ العدد يجب أن يكون صحيحًا ≥ 0",IF(AND($F515="Baseline",$H515&lt;&gt;""),"⚠ Baseline: Start لا يدخل في التقدم",IF($K515="No Start (attainment only)","ℹ تحصيل فقط (بدون Start)",IF($K515="U – needs rule","ℹ حالة U تحتاج قاعدة معتمدة",IF($K515="No result","ℹ بدون نتيجة (يُستبعد من التحصيل)","OK")))))))))))</f>
        <v/>
      </c>
      <c r="M515" s="64" t="n">
        <f aca="false">IF($A515="",0,IFERROR(MATCH($A515,Classes!$A$6:$A$420,0),0))</f>
        <v>0</v>
      </c>
      <c r="N515" s="64" t="n">
        <f aca="false">IF($H515="",0,IFERROR(MATCH($H515,GradeList,0),0))</f>
        <v>0</v>
      </c>
      <c r="O515" s="64" t="n">
        <f aca="false">IF(OR($I515="",$I515="NR"),0,IFERROR(MATCH($I515,GradeList,0),0))</f>
        <v>0</v>
      </c>
      <c r="P515" s="64" t="n">
        <f aca="false">IF(AND($M515&gt;0,ISNUMBER(MATCH($F515,Lists!$A$2:$A$5,0)),ISNUMBER(MATCH($G515,Lists!$B$2:$B$7,0)),OR($H515="",$N515&gt;0),OR($I515="",$I515="NR",$O515&gt;0),IF(ISNUMBER($J515),AND($J515&gt;=0,$J515=INT($J515)),FALSE())),$J515,0)</f>
        <v>0</v>
      </c>
      <c r="Q515" s="64" t="n">
        <f aca="false">IF(AND($P515&gt;0,$O515&gt;0),$P515,0)</f>
        <v>0</v>
      </c>
      <c r="R515" s="64" t="n">
        <f aca="false">IF(AND($Q515&gt;0,$O515&gt;=AtRank),$Q515,0)</f>
        <v>0</v>
      </c>
      <c r="S515" s="64" t="n">
        <f aca="false">IF(AND($Q515&gt;0,$O515&gt;=AboveRank),$Q515,0)</f>
        <v>0</v>
      </c>
      <c r="T515" s="64" t="n">
        <f aca="false">IF($K515="Less",$P515,0)</f>
        <v>0</v>
      </c>
      <c r="U515" s="64" t="n">
        <f aca="false">IF($K515="Expected",$P515,0)</f>
        <v>0</v>
      </c>
      <c r="V515" s="64" t="n">
        <f aca="false">IF($K515="Better",$P515,0)</f>
        <v>0</v>
      </c>
      <c r="W515" s="64" t="n">
        <f aca="false">IF($K515="U – needs rule",$P515,0)</f>
        <v>0</v>
      </c>
      <c r="X515" s="64" t="n">
        <f aca="false">IF($K515="No Start (attainment only)",$P515,0)</f>
        <v>0</v>
      </c>
    </row>
    <row r="516" customFormat="false" ht="15" hidden="false" customHeight="false" outlineLevel="0" collapsed="false">
      <c r="A516" s="60"/>
      <c r="B516" s="61" t="str">
        <f aca="false">IF($M516=0,"",INDEX(Classes!$E$6:$E$420,$M516))</f>
        <v/>
      </c>
      <c r="C516" s="62" t="str">
        <f aca="false">IF($M516=0,"",INDEX(Classes!$H$6:$H$420,$M516))</f>
        <v/>
      </c>
      <c r="D516" s="61" t="str">
        <f aca="false">IF($M516=0,"",INDEX(Classes!$B$6:$B$420,$M516))</f>
        <v/>
      </c>
      <c r="E516" s="61" t="str">
        <f aca="false">IF($M516=0,"",INDEX(Classes!$C$6:$C$420,$M516))</f>
        <v/>
      </c>
      <c r="F516" s="63"/>
      <c r="G516" s="63"/>
      <c r="H516" s="60"/>
      <c r="I516" s="60"/>
      <c r="J516" s="63"/>
      <c r="K516" s="61" t="str">
        <f aca="false">IF($P516=0,"",IF($F516="Baseline","— Baseline",IF($O516=0,"No result",IF($N516=0,"No Start (attainment only)",IF(OR($N516=1,$O516=1),"U – needs rule",INDEX(MxBody,MATCH($I516,MxCurr,0),MATCH($H516,MxStart,0)))))))</f>
        <v/>
      </c>
      <c r="L516" s="62" t="str">
        <f aca="false">IF(COUNTA($A516,$F516,$G516,$H516,$I516,$J516)=0,"",IF($M516=0,"✖ كود الصف غير موجود",IF(ISNA(MATCH($F516,Lists!$A$2:$A$5,0)),"✖ الفترة غير صحيحة",IF(ISNA(MATCH($G516,Lists!$B$2:$B$7,0)),"✖ المجموعة غير صحيحة",IF(NOT(OR($H516="",$N516&gt;0)),"✖ Start غير صحيح",IF(NOT(OR($I516="",$I516="NR",$O516&gt;0)),"✖ Current غير صحيح",IF(NOT(IF(ISNUMBER($J516),AND($J516&gt;=0,$J516=INT($J516)),FALSE())),"✖ العدد يجب أن يكون صحيحًا ≥ 0",IF(AND($F516="Baseline",$H516&lt;&gt;""),"⚠ Baseline: Start لا يدخل في التقدم",IF($K516="No Start (attainment only)","ℹ تحصيل فقط (بدون Start)",IF($K516="U – needs rule","ℹ حالة U تحتاج قاعدة معتمدة",IF($K516="No result","ℹ بدون نتيجة (يُستبعد من التحصيل)","OK")))))))))))</f>
        <v/>
      </c>
      <c r="M516" s="64" t="n">
        <f aca="false">IF($A516="",0,IFERROR(MATCH($A516,Classes!$A$6:$A$420,0),0))</f>
        <v>0</v>
      </c>
      <c r="N516" s="64" t="n">
        <f aca="false">IF($H516="",0,IFERROR(MATCH($H516,GradeList,0),0))</f>
        <v>0</v>
      </c>
      <c r="O516" s="64" t="n">
        <f aca="false">IF(OR($I516="",$I516="NR"),0,IFERROR(MATCH($I516,GradeList,0),0))</f>
        <v>0</v>
      </c>
      <c r="P516" s="64" t="n">
        <f aca="false">IF(AND($M516&gt;0,ISNUMBER(MATCH($F516,Lists!$A$2:$A$5,0)),ISNUMBER(MATCH($G516,Lists!$B$2:$B$7,0)),OR($H516="",$N516&gt;0),OR($I516="",$I516="NR",$O516&gt;0),IF(ISNUMBER($J516),AND($J516&gt;=0,$J516=INT($J516)),FALSE())),$J516,0)</f>
        <v>0</v>
      </c>
      <c r="Q516" s="64" t="n">
        <f aca="false">IF(AND($P516&gt;0,$O516&gt;0),$P516,0)</f>
        <v>0</v>
      </c>
      <c r="R516" s="64" t="n">
        <f aca="false">IF(AND($Q516&gt;0,$O516&gt;=AtRank),$Q516,0)</f>
        <v>0</v>
      </c>
      <c r="S516" s="64" t="n">
        <f aca="false">IF(AND($Q516&gt;0,$O516&gt;=AboveRank),$Q516,0)</f>
        <v>0</v>
      </c>
      <c r="T516" s="64" t="n">
        <f aca="false">IF($K516="Less",$P516,0)</f>
        <v>0</v>
      </c>
      <c r="U516" s="64" t="n">
        <f aca="false">IF($K516="Expected",$P516,0)</f>
        <v>0</v>
      </c>
      <c r="V516" s="64" t="n">
        <f aca="false">IF($K516="Better",$P516,0)</f>
        <v>0</v>
      </c>
      <c r="W516" s="64" t="n">
        <f aca="false">IF($K516="U – needs rule",$P516,0)</f>
        <v>0</v>
      </c>
      <c r="X516" s="64" t="n">
        <f aca="false">IF($K516="No Start (attainment only)",$P516,0)</f>
        <v>0</v>
      </c>
    </row>
    <row r="517" customFormat="false" ht="15" hidden="false" customHeight="false" outlineLevel="0" collapsed="false">
      <c r="A517" s="60"/>
      <c r="B517" s="61" t="str">
        <f aca="false">IF($M517=0,"",INDEX(Classes!$E$6:$E$420,$M517))</f>
        <v/>
      </c>
      <c r="C517" s="62" t="str">
        <f aca="false">IF($M517=0,"",INDEX(Classes!$H$6:$H$420,$M517))</f>
        <v/>
      </c>
      <c r="D517" s="61" t="str">
        <f aca="false">IF($M517=0,"",INDEX(Classes!$B$6:$B$420,$M517))</f>
        <v/>
      </c>
      <c r="E517" s="61" t="str">
        <f aca="false">IF($M517=0,"",INDEX(Classes!$C$6:$C$420,$M517))</f>
        <v/>
      </c>
      <c r="F517" s="63"/>
      <c r="G517" s="63"/>
      <c r="H517" s="60"/>
      <c r="I517" s="60"/>
      <c r="J517" s="63"/>
      <c r="K517" s="61" t="str">
        <f aca="false">IF($P517=0,"",IF($F517="Baseline","— Baseline",IF($O517=0,"No result",IF($N517=0,"No Start (attainment only)",IF(OR($N517=1,$O517=1),"U – needs rule",INDEX(MxBody,MATCH($I517,MxCurr,0),MATCH($H517,MxStart,0)))))))</f>
        <v/>
      </c>
      <c r="L517" s="62" t="str">
        <f aca="false">IF(COUNTA($A517,$F517,$G517,$H517,$I517,$J517)=0,"",IF($M517=0,"✖ كود الصف غير موجود",IF(ISNA(MATCH($F517,Lists!$A$2:$A$5,0)),"✖ الفترة غير صحيحة",IF(ISNA(MATCH($G517,Lists!$B$2:$B$7,0)),"✖ المجموعة غير صحيحة",IF(NOT(OR($H517="",$N517&gt;0)),"✖ Start غير صحيح",IF(NOT(OR($I517="",$I517="NR",$O517&gt;0)),"✖ Current غير صحيح",IF(NOT(IF(ISNUMBER($J517),AND($J517&gt;=0,$J517=INT($J517)),FALSE())),"✖ العدد يجب أن يكون صحيحًا ≥ 0",IF(AND($F517="Baseline",$H517&lt;&gt;""),"⚠ Baseline: Start لا يدخل في التقدم",IF($K517="No Start (attainment only)","ℹ تحصيل فقط (بدون Start)",IF($K517="U – needs rule","ℹ حالة U تحتاج قاعدة معتمدة",IF($K517="No result","ℹ بدون نتيجة (يُستبعد من التحصيل)","OK")))))))))))</f>
        <v/>
      </c>
      <c r="M517" s="64" t="n">
        <f aca="false">IF($A517="",0,IFERROR(MATCH($A517,Classes!$A$6:$A$420,0),0))</f>
        <v>0</v>
      </c>
      <c r="N517" s="64" t="n">
        <f aca="false">IF($H517="",0,IFERROR(MATCH($H517,GradeList,0),0))</f>
        <v>0</v>
      </c>
      <c r="O517" s="64" t="n">
        <f aca="false">IF(OR($I517="",$I517="NR"),0,IFERROR(MATCH($I517,GradeList,0),0))</f>
        <v>0</v>
      </c>
      <c r="P517" s="64" t="n">
        <f aca="false">IF(AND($M517&gt;0,ISNUMBER(MATCH($F517,Lists!$A$2:$A$5,0)),ISNUMBER(MATCH($G517,Lists!$B$2:$B$7,0)),OR($H517="",$N517&gt;0),OR($I517="",$I517="NR",$O517&gt;0),IF(ISNUMBER($J517),AND($J517&gt;=0,$J517=INT($J517)),FALSE())),$J517,0)</f>
        <v>0</v>
      </c>
      <c r="Q517" s="64" t="n">
        <f aca="false">IF(AND($P517&gt;0,$O517&gt;0),$P517,0)</f>
        <v>0</v>
      </c>
      <c r="R517" s="64" t="n">
        <f aca="false">IF(AND($Q517&gt;0,$O517&gt;=AtRank),$Q517,0)</f>
        <v>0</v>
      </c>
      <c r="S517" s="64" t="n">
        <f aca="false">IF(AND($Q517&gt;0,$O517&gt;=AboveRank),$Q517,0)</f>
        <v>0</v>
      </c>
      <c r="T517" s="64" t="n">
        <f aca="false">IF($K517="Less",$P517,0)</f>
        <v>0</v>
      </c>
      <c r="U517" s="64" t="n">
        <f aca="false">IF($K517="Expected",$P517,0)</f>
        <v>0</v>
      </c>
      <c r="V517" s="64" t="n">
        <f aca="false">IF($K517="Better",$P517,0)</f>
        <v>0</v>
      </c>
      <c r="W517" s="64" t="n">
        <f aca="false">IF($K517="U – needs rule",$P517,0)</f>
        <v>0</v>
      </c>
      <c r="X517" s="64" t="n">
        <f aca="false">IF($K517="No Start (attainment only)",$P517,0)</f>
        <v>0</v>
      </c>
    </row>
    <row r="518" customFormat="false" ht="15" hidden="false" customHeight="false" outlineLevel="0" collapsed="false">
      <c r="A518" s="60"/>
      <c r="B518" s="61" t="str">
        <f aca="false">IF($M518=0,"",INDEX(Classes!$E$6:$E$420,$M518))</f>
        <v/>
      </c>
      <c r="C518" s="62" t="str">
        <f aca="false">IF($M518=0,"",INDEX(Classes!$H$6:$H$420,$M518))</f>
        <v/>
      </c>
      <c r="D518" s="61" t="str">
        <f aca="false">IF($M518=0,"",INDEX(Classes!$B$6:$B$420,$M518))</f>
        <v/>
      </c>
      <c r="E518" s="61" t="str">
        <f aca="false">IF($M518=0,"",INDEX(Classes!$C$6:$C$420,$M518))</f>
        <v/>
      </c>
      <c r="F518" s="63"/>
      <c r="G518" s="63"/>
      <c r="H518" s="60"/>
      <c r="I518" s="60"/>
      <c r="J518" s="63"/>
      <c r="K518" s="61" t="str">
        <f aca="false">IF($P518=0,"",IF($F518="Baseline","— Baseline",IF($O518=0,"No result",IF($N518=0,"No Start (attainment only)",IF(OR($N518=1,$O518=1),"U – needs rule",INDEX(MxBody,MATCH($I518,MxCurr,0),MATCH($H518,MxStart,0)))))))</f>
        <v/>
      </c>
      <c r="L518" s="62" t="str">
        <f aca="false">IF(COUNTA($A518,$F518,$G518,$H518,$I518,$J518)=0,"",IF($M518=0,"✖ كود الصف غير موجود",IF(ISNA(MATCH($F518,Lists!$A$2:$A$5,0)),"✖ الفترة غير صحيحة",IF(ISNA(MATCH($G518,Lists!$B$2:$B$7,0)),"✖ المجموعة غير صحيحة",IF(NOT(OR($H518="",$N518&gt;0)),"✖ Start غير صحيح",IF(NOT(OR($I518="",$I518="NR",$O518&gt;0)),"✖ Current غير صحيح",IF(NOT(IF(ISNUMBER($J518),AND($J518&gt;=0,$J518=INT($J518)),FALSE())),"✖ العدد يجب أن يكون صحيحًا ≥ 0",IF(AND($F518="Baseline",$H518&lt;&gt;""),"⚠ Baseline: Start لا يدخل في التقدم",IF($K518="No Start (attainment only)","ℹ تحصيل فقط (بدون Start)",IF($K518="U – needs rule","ℹ حالة U تحتاج قاعدة معتمدة",IF($K518="No result","ℹ بدون نتيجة (يُستبعد من التحصيل)","OK")))))))))))</f>
        <v/>
      </c>
      <c r="M518" s="64" t="n">
        <f aca="false">IF($A518="",0,IFERROR(MATCH($A518,Classes!$A$6:$A$420,0),0))</f>
        <v>0</v>
      </c>
      <c r="N518" s="64" t="n">
        <f aca="false">IF($H518="",0,IFERROR(MATCH($H518,GradeList,0),0))</f>
        <v>0</v>
      </c>
      <c r="O518" s="64" t="n">
        <f aca="false">IF(OR($I518="",$I518="NR"),0,IFERROR(MATCH($I518,GradeList,0),0))</f>
        <v>0</v>
      </c>
      <c r="P518" s="64" t="n">
        <f aca="false">IF(AND($M518&gt;0,ISNUMBER(MATCH($F518,Lists!$A$2:$A$5,0)),ISNUMBER(MATCH($G518,Lists!$B$2:$B$7,0)),OR($H518="",$N518&gt;0),OR($I518="",$I518="NR",$O518&gt;0),IF(ISNUMBER($J518),AND($J518&gt;=0,$J518=INT($J518)),FALSE())),$J518,0)</f>
        <v>0</v>
      </c>
      <c r="Q518" s="64" t="n">
        <f aca="false">IF(AND($P518&gt;0,$O518&gt;0),$P518,0)</f>
        <v>0</v>
      </c>
      <c r="R518" s="64" t="n">
        <f aca="false">IF(AND($Q518&gt;0,$O518&gt;=AtRank),$Q518,0)</f>
        <v>0</v>
      </c>
      <c r="S518" s="64" t="n">
        <f aca="false">IF(AND($Q518&gt;0,$O518&gt;=AboveRank),$Q518,0)</f>
        <v>0</v>
      </c>
      <c r="T518" s="64" t="n">
        <f aca="false">IF($K518="Less",$P518,0)</f>
        <v>0</v>
      </c>
      <c r="U518" s="64" t="n">
        <f aca="false">IF($K518="Expected",$P518,0)</f>
        <v>0</v>
      </c>
      <c r="V518" s="64" t="n">
        <f aca="false">IF($K518="Better",$P518,0)</f>
        <v>0</v>
      </c>
      <c r="W518" s="64" t="n">
        <f aca="false">IF($K518="U – needs rule",$P518,0)</f>
        <v>0</v>
      </c>
      <c r="X518" s="64" t="n">
        <f aca="false">IF($K518="No Start (attainment only)",$P518,0)</f>
        <v>0</v>
      </c>
    </row>
    <row r="519" customFormat="false" ht="15" hidden="false" customHeight="false" outlineLevel="0" collapsed="false">
      <c r="A519" s="60"/>
      <c r="B519" s="61" t="str">
        <f aca="false">IF($M519=0,"",INDEX(Classes!$E$6:$E$420,$M519))</f>
        <v/>
      </c>
      <c r="C519" s="62" t="str">
        <f aca="false">IF($M519=0,"",INDEX(Classes!$H$6:$H$420,$M519))</f>
        <v/>
      </c>
      <c r="D519" s="61" t="str">
        <f aca="false">IF($M519=0,"",INDEX(Classes!$B$6:$B$420,$M519))</f>
        <v/>
      </c>
      <c r="E519" s="61" t="str">
        <f aca="false">IF($M519=0,"",INDEX(Classes!$C$6:$C$420,$M519))</f>
        <v/>
      </c>
      <c r="F519" s="63"/>
      <c r="G519" s="63"/>
      <c r="H519" s="60"/>
      <c r="I519" s="60"/>
      <c r="J519" s="63"/>
      <c r="K519" s="61" t="str">
        <f aca="false">IF($P519=0,"",IF($F519="Baseline","— Baseline",IF($O519=0,"No result",IF($N519=0,"No Start (attainment only)",IF(OR($N519=1,$O519=1),"U – needs rule",INDEX(MxBody,MATCH($I519,MxCurr,0),MATCH($H519,MxStart,0)))))))</f>
        <v/>
      </c>
      <c r="L519" s="62" t="str">
        <f aca="false">IF(COUNTA($A519,$F519,$G519,$H519,$I519,$J519)=0,"",IF($M519=0,"✖ كود الصف غير موجود",IF(ISNA(MATCH($F519,Lists!$A$2:$A$5,0)),"✖ الفترة غير صحيحة",IF(ISNA(MATCH($G519,Lists!$B$2:$B$7,0)),"✖ المجموعة غير صحيحة",IF(NOT(OR($H519="",$N519&gt;0)),"✖ Start غير صحيح",IF(NOT(OR($I519="",$I519="NR",$O519&gt;0)),"✖ Current غير صحيح",IF(NOT(IF(ISNUMBER($J519),AND($J519&gt;=0,$J519=INT($J519)),FALSE())),"✖ العدد يجب أن يكون صحيحًا ≥ 0",IF(AND($F519="Baseline",$H519&lt;&gt;""),"⚠ Baseline: Start لا يدخل في التقدم",IF($K519="No Start (attainment only)","ℹ تحصيل فقط (بدون Start)",IF($K519="U – needs rule","ℹ حالة U تحتاج قاعدة معتمدة",IF($K519="No result","ℹ بدون نتيجة (يُستبعد من التحصيل)","OK")))))))))))</f>
        <v/>
      </c>
      <c r="M519" s="64" t="n">
        <f aca="false">IF($A519="",0,IFERROR(MATCH($A519,Classes!$A$6:$A$420,0),0))</f>
        <v>0</v>
      </c>
      <c r="N519" s="64" t="n">
        <f aca="false">IF($H519="",0,IFERROR(MATCH($H519,GradeList,0),0))</f>
        <v>0</v>
      </c>
      <c r="O519" s="64" t="n">
        <f aca="false">IF(OR($I519="",$I519="NR"),0,IFERROR(MATCH($I519,GradeList,0),0))</f>
        <v>0</v>
      </c>
      <c r="P519" s="64" t="n">
        <f aca="false">IF(AND($M519&gt;0,ISNUMBER(MATCH($F519,Lists!$A$2:$A$5,0)),ISNUMBER(MATCH($G519,Lists!$B$2:$B$7,0)),OR($H519="",$N519&gt;0),OR($I519="",$I519="NR",$O519&gt;0),IF(ISNUMBER($J519),AND($J519&gt;=0,$J519=INT($J519)),FALSE())),$J519,0)</f>
        <v>0</v>
      </c>
      <c r="Q519" s="64" t="n">
        <f aca="false">IF(AND($P519&gt;0,$O519&gt;0),$P519,0)</f>
        <v>0</v>
      </c>
      <c r="R519" s="64" t="n">
        <f aca="false">IF(AND($Q519&gt;0,$O519&gt;=AtRank),$Q519,0)</f>
        <v>0</v>
      </c>
      <c r="S519" s="64" t="n">
        <f aca="false">IF(AND($Q519&gt;0,$O519&gt;=AboveRank),$Q519,0)</f>
        <v>0</v>
      </c>
      <c r="T519" s="64" t="n">
        <f aca="false">IF($K519="Less",$P519,0)</f>
        <v>0</v>
      </c>
      <c r="U519" s="64" t="n">
        <f aca="false">IF($K519="Expected",$P519,0)</f>
        <v>0</v>
      </c>
      <c r="V519" s="64" t="n">
        <f aca="false">IF($K519="Better",$P519,0)</f>
        <v>0</v>
      </c>
      <c r="W519" s="64" t="n">
        <f aca="false">IF($K519="U – needs rule",$P519,0)</f>
        <v>0</v>
      </c>
      <c r="X519" s="64" t="n">
        <f aca="false">IF($K519="No Start (attainment only)",$P519,0)</f>
        <v>0</v>
      </c>
    </row>
    <row r="520" customFormat="false" ht="15" hidden="false" customHeight="false" outlineLevel="0" collapsed="false">
      <c r="A520" s="60"/>
      <c r="B520" s="61" t="str">
        <f aca="false">IF($M520=0,"",INDEX(Classes!$E$6:$E$420,$M520))</f>
        <v/>
      </c>
      <c r="C520" s="62" t="str">
        <f aca="false">IF($M520=0,"",INDEX(Classes!$H$6:$H$420,$M520))</f>
        <v/>
      </c>
      <c r="D520" s="61" t="str">
        <f aca="false">IF($M520=0,"",INDEX(Classes!$B$6:$B$420,$M520))</f>
        <v/>
      </c>
      <c r="E520" s="61" t="str">
        <f aca="false">IF($M520=0,"",INDEX(Classes!$C$6:$C$420,$M520))</f>
        <v/>
      </c>
      <c r="F520" s="63"/>
      <c r="G520" s="63"/>
      <c r="H520" s="60"/>
      <c r="I520" s="60"/>
      <c r="J520" s="63"/>
      <c r="K520" s="61" t="str">
        <f aca="false">IF($P520=0,"",IF($F520="Baseline","— Baseline",IF($O520=0,"No result",IF($N520=0,"No Start (attainment only)",IF(OR($N520=1,$O520=1),"U – needs rule",INDEX(MxBody,MATCH($I520,MxCurr,0),MATCH($H520,MxStart,0)))))))</f>
        <v/>
      </c>
      <c r="L520" s="62" t="str">
        <f aca="false">IF(COUNTA($A520,$F520,$G520,$H520,$I520,$J520)=0,"",IF($M520=0,"✖ كود الصف غير موجود",IF(ISNA(MATCH($F520,Lists!$A$2:$A$5,0)),"✖ الفترة غير صحيحة",IF(ISNA(MATCH($G520,Lists!$B$2:$B$7,0)),"✖ المجموعة غير صحيحة",IF(NOT(OR($H520="",$N520&gt;0)),"✖ Start غير صحيح",IF(NOT(OR($I520="",$I520="NR",$O520&gt;0)),"✖ Current غير صحيح",IF(NOT(IF(ISNUMBER($J520),AND($J520&gt;=0,$J520=INT($J520)),FALSE())),"✖ العدد يجب أن يكون صحيحًا ≥ 0",IF(AND($F520="Baseline",$H520&lt;&gt;""),"⚠ Baseline: Start لا يدخل في التقدم",IF($K520="No Start (attainment only)","ℹ تحصيل فقط (بدون Start)",IF($K520="U – needs rule","ℹ حالة U تحتاج قاعدة معتمدة",IF($K520="No result","ℹ بدون نتيجة (يُستبعد من التحصيل)","OK")))))))))))</f>
        <v/>
      </c>
      <c r="M520" s="64" t="n">
        <f aca="false">IF($A520="",0,IFERROR(MATCH($A520,Classes!$A$6:$A$420,0),0))</f>
        <v>0</v>
      </c>
      <c r="N520" s="64" t="n">
        <f aca="false">IF($H520="",0,IFERROR(MATCH($H520,GradeList,0),0))</f>
        <v>0</v>
      </c>
      <c r="O520" s="64" t="n">
        <f aca="false">IF(OR($I520="",$I520="NR"),0,IFERROR(MATCH($I520,GradeList,0),0))</f>
        <v>0</v>
      </c>
      <c r="P520" s="64" t="n">
        <f aca="false">IF(AND($M520&gt;0,ISNUMBER(MATCH($F520,Lists!$A$2:$A$5,0)),ISNUMBER(MATCH($G520,Lists!$B$2:$B$7,0)),OR($H520="",$N520&gt;0),OR($I520="",$I520="NR",$O520&gt;0),IF(ISNUMBER($J520),AND($J520&gt;=0,$J520=INT($J520)),FALSE())),$J520,0)</f>
        <v>0</v>
      </c>
      <c r="Q520" s="64" t="n">
        <f aca="false">IF(AND($P520&gt;0,$O520&gt;0),$P520,0)</f>
        <v>0</v>
      </c>
      <c r="R520" s="64" t="n">
        <f aca="false">IF(AND($Q520&gt;0,$O520&gt;=AtRank),$Q520,0)</f>
        <v>0</v>
      </c>
      <c r="S520" s="64" t="n">
        <f aca="false">IF(AND($Q520&gt;0,$O520&gt;=AboveRank),$Q520,0)</f>
        <v>0</v>
      </c>
      <c r="T520" s="64" t="n">
        <f aca="false">IF($K520="Less",$P520,0)</f>
        <v>0</v>
      </c>
      <c r="U520" s="64" t="n">
        <f aca="false">IF($K520="Expected",$P520,0)</f>
        <v>0</v>
      </c>
      <c r="V520" s="64" t="n">
        <f aca="false">IF($K520="Better",$P520,0)</f>
        <v>0</v>
      </c>
      <c r="W520" s="64" t="n">
        <f aca="false">IF($K520="U – needs rule",$P520,0)</f>
        <v>0</v>
      </c>
      <c r="X520" s="64" t="n">
        <f aca="false">IF($K520="No Start (attainment only)",$P520,0)</f>
        <v>0</v>
      </c>
    </row>
    <row r="521" customFormat="false" ht="15" hidden="false" customHeight="false" outlineLevel="0" collapsed="false">
      <c r="A521" s="60"/>
      <c r="B521" s="61" t="str">
        <f aca="false">IF($M521=0,"",INDEX(Classes!$E$6:$E$420,$M521))</f>
        <v/>
      </c>
      <c r="C521" s="62" t="str">
        <f aca="false">IF($M521=0,"",INDEX(Classes!$H$6:$H$420,$M521))</f>
        <v/>
      </c>
      <c r="D521" s="61" t="str">
        <f aca="false">IF($M521=0,"",INDEX(Classes!$B$6:$B$420,$M521))</f>
        <v/>
      </c>
      <c r="E521" s="61" t="str">
        <f aca="false">IF($M521=0,"",INDEX(Classes!$C$6:$C$420,$M521))</f>
        <v/>
      </c>
      <c r="F521" s="63"/>
      <c r="G521" s="63"/>
      <c r="H521" s="60"/>
      <c r="I521" s="60"/>
      <c r="J521" s="63"/>
      <c r="K521" s="61" t="str">
        <f aca="false">IF($P521=0,"",IF($F521="Baseline","— Baseline",IF($O521=0,"No result",IF($N521=0,"No Start (attainment only)",IF(OR($N521=1,$O521=1),"U – needs rule",INDEX(MxBody,MATCH($I521,MxCurr,0),MATCH($H521,MxStart,0)))))))</f>
        <v/>
      </c>
      <c r="L521" s="62" t="str">
        <f aca="false">IF(COUNTA($A521,$F521,$G521,$H521,$I521,$J521)=0,"",IF($M521=0,"✖ كود الصف غير موجود",IF(ISNA(MATCH($F521,Lists!$A$2:$A$5,0)),"✖ الفترة غير صحيحة",IF(ISNA(MATCH($G521,Lists!$B$2:$B$7,0)),"✖ المجموعة غير صحيحة",IF(NOT(OR($H521="",$N521&gt;0)),"✖ Start غير صحيح",IF(NOT(OR($I521="",$I521="NR",$O521&gt;0)),"✖ Current غير صحيح",IF(NOT(IF(ISNUMBER($J521),AND($J521&gt;=0,$J521=INT($J521)),FALSE())),"✖ العدد يجب أن يكون صحيحًا ≥ 0",IF(AND($F521="Baseline",$H521&lt;&gt;""),"⚠ Baseline: Start لا يدخل في التقدم",IF($K521="No Start (attainment only)","ℹ تحصيل فقط (بدون Start)",IF($K521="U – needs rule","ℹ حالة U تحتاج قاعدة معتمدة",IF($K521="No result","ℹ بدون نتيجة (يُستبعد من التحصيل)","OK")))))))))))</f>
        <v/>
      </c>
      <c r="M521" s="64" t="n">
        <f aca="false">IF($A521="",0,IFERROR(MATCH($A521,Classes!$A$6:$A$420,0),0))</f>
        <v>0</v>
      </c>
      <c r="N521" s="64" t="n">
        <f aca="false">IF($H521="",0,IFERROR(MATCH($H521,GradeList,0),0))</f>
        <v>0</v>
      </c>
      <c r="O521" s="64" t="n">
        <f aca="false">IF(OR($I521="",$I521="NR"),0,IFERROR(MATCH($I521,GradeList,0),0))</f>
        <v>0</v>
      </c>
      <c r="P521" s="64" t="n">
        <f aca="false">IF(AND($M521&gt;0,ISNUMBER(MATCH($F521,Lists!$A$2:$A$5,0)),ISNUMBER(MATCH($G521,Lists!$B$2:$B$7,0)),OR($H521="",$N521&gt;0),OR($I521="",$I521="NR",$O521&gt;0),IF(ISNUMBER($J521),AND($J521&gt;=0,$J521=INT($J521)),FALSE())),$J521,0)</f>
        <v>0</v>
      </c>
      <c r="Q521" s="64" t="n">
        <f aca="false">IF(AND($P521&gt;0,$O521&gt;0),$P521,0)</f>
        <v>0</v>
      </c>
      <c r="R521" s="64" t="n">
        <f aca="false">IF(AND($Q521&gt;0,$O521&gt;=AtRank),$Q521,0)</f>
        <v>0</v>
      </c>
      <c r="S521" s="64" t="n">
        <f aca="false">IF(AND($Q521&gt;0,$O521&gt;=AboveRank),$Q521,0)</f>
        <v>0</v>
      </c>
      <c r="T521" s="64" t="n">
        <f aca="false">IF($K521="Less",$P521,0)</f>
        <v>0</v>
      </c>
      <c r="U521" s="64" t="n">
        <f aca="false">IF($K521="Expected",$P521,0)</f>
        <v>0</v>
      </c>
      <c r="V521" s="64" t="n">
        <f aca="false">IF($K521="Better",$P521,0)</f>
        <v>0</v>
      </c>
      <c r="W521" s="64" t="n">
        <f aca="false">IF($K521="U – needs rule",$P521,0)</f>
        <v>0</v>
      </c>
      <c r="X521" s="64" t="n">
        <f aca="false">IF($K521="No Start (attainment only)",$P521,0)</f>
        <v>0</v>
      </c>
    </row>
    <row r="522" customFormat="false" ht="15" hidden="false" customHeight="false" outlineLevel="0" collapsed="false">
      <c r="A522" s="60"/>
      <c r="B522" s="61" t="str">
        <f aca="false">IF($M522=0,"",INDEX(Classes!$E$6:$E$420,$M522))</f>
        <v/>
      </c>
      <c r="C522" s="62" t="str">
        <f aca="false">IF($M522=0,"",INDEX(Classes!$H$6:$H$420,$M522))</f>
        <v/>
      </c>
      <c r="D522" s="61" t="str">
        <f aca="false">IF($M522=0,"",INDEX(Classes!$B$6:$B$420,$M522))</f>
        <v/>
      </c>
      <c r="E522" s="61" t="str">
        <f aca="false">IF($M522=0,"",INDEX(Classes!$C$6:$C$420,$M522))</f>
        <v/>
      </c>
      <c r="F522" s="63"/>
      <c r="G522" s="63"/>
      <c r="H522" s="60"/>
      <c r="I522" s="60"/>
      <c r="J522" s="63"/>
      <c r="K522" s="61" t="str">
        <f aca="false">IF($P522=0,"",IF($F522="Baseline","— Baseline",IF($O522=0,"No result",IF($N522=0,"No Start (attainment only)",IF(OR($N522=1,$O522=1),"U – needs rule",INDEX(MxBody,MATCH($I522,MxCurr,0),MATCH($H522,MxStart,0)))))))</f>
        <v/>
      </c>
      <c r="L522" s="62" t="str">
        <f aca="false">IF(COUNTA($A522,$F522,$G522,$H522,$I522,$J522)=0,"",IF($M522=0,"✖ كود الصف غير موجود",IF(ISNA(MATCH($F522,Lists!$A$2:$A$5,0)),"✖ الفترة غير صحيحة",IF(ISNA(MATCH($G522,Lists!$B$2:$B$7,0)),"✖ المجموعة غير صحيحة",IF(NOT(OR($H522="",$N522&gt;0)),"✖ Start غير صحيح",IF(NOT(OR($I522="",$I522="NR",$O522&gt;0)),"✖ Current غير صحيح",IF(NOT(IF(ISNUMBER($J522),AND($J522&gt;=0,$J522=INT($J522)),FALSE())),"✖ العدد يجب أن يكون صحيحًا ≥ 0",IF(AND($F522="Baseline",$H522&lt;&gt;""),"⚠ Baseline: Start لا يدخل في التقدم",IF($K522="No Start (attainment only)","ℹ تحصيل فقط (بدون Start)",IF($K522="U – needs rule","ℹ حالة U تحتاج قاعدة معتمدة",IF($K522="No result","ℹ بدون نتيجة (يُستبعد من التحصيل)","OK")))))))))))</f>
        <v/>
      </c>
      <c r="M522" s="64" t="n">
        <f aca="false">IF($A522="",0,IFERROR(MATCH($A522,Classes!$A$6:$A$420,0),0))</f>
        <v>0</v>
      </c>
      <c r="N522" s="64" t="n">
        <f aca="false">IF($H522="",0,IFERROR(MATCH($H522,GradeList,0),0))</f>
        <v>0</v>
      </c>
      <c r="O522" s="64" t="n">
        <f aca="false">IF(OR($I522="",$I522="NR"),0,IFERROR(MATCH($I522,GradeList,0),0))</f>
        <v>0</v>
      </c>
      <c r="P522" s="64" t="n">
        <f aca="false">IF(AND($M522&gt;0,ISNUMBER(MATCH($F522,Lists!$A$2:$A$5,0)),ISNUMBER(MATCH($G522,Lists!$B$2:$B$7,0)),OR($H522="",$N522&gt;0),OR($I522="",$I522="NR",$O522&gt;0),IF(ISNUMBER($J522),AND($J522&gt;=0,$J522=INT($J522)),FALSE())),$J522,0)</f>
        <v>0</v>
      </c>
      <c r="Q522" s="64" t="n">
        <f aca="false">IF(AND($P522&gt;0,$O522&gt;0),$P522,0)</f>
        <v>0</v>
      </c>
      <c r="R522" s="64" t="n">
        <f aca="false">IF(AND($Q522&gt;0,$O522&gt;=AtRank),$Q522,0)</f>
        <v>0</v>
      </c>
      <c r="S522" s="64" t="n">
        <f aca="false">IF(AND($Q522&gt;0,$O522&gt;=AboveRank),$Q522,0)</f>
        <v>0</v>
      </c>
      <c r="T522" s="64" t="n">
        <f aca="false">IF($K522="Less",$P522,0)</f>
        <v>0</v>
      </c>
      <c r="U522" s="64" t="n">
        <f aca="false">IF($K522="Expected",$P522,0)</f>
        <v>0</v>
      </c>
      <c r="V522" s="64" t="n">
        <f aca="false">IF($K522="Better",$P522,0)</f>
        <v>0</v>
      </c>
      <c r="W522" s="64" t="n">
        <f aca="false">IF($K522="U – needs rule",$P522,0)</f>
        <v>0</v>
      </c>
      <c r="X522" s="64" t="n">
        <f aca="false">IF($K522="No Start (attainment only)",$P522,0)</f>
        <v>0</v>
      </c>
    </row>
    <row r="523" customFormat="false" ht="15" hidden="false" customHeight="false" outlineLevel="0" collapsed="false">
      <c r="A523" s="60"/>
      <c r="B523" s="61" t="str">
        <f aca="false">IF($M523=0,"",INDEX(Classes!$E$6:$E$420,$M523))</f>
        <v/>
      </c>
      <c r="C523" s="62" t="str">
        <f aca="false">IF($M523=0,"",INDEX(Classes!$H$6:$H$420,$M523))</f>
        <v/>
      </c>
      <c r="D523" s="61" t="str">
        <f aca="false">IF($M523=0,"",INDEX(Classes!$B$6:$B$420,$M523))</f>
        <v/>
      </c>
      <c r="E523" s="61" t="str">
        <f aca="false">IF($M523=0,"",INDEX(Classes!$C$6:$C$420,$M523))</f>
        <v/>
      </c>
      <c r="F523" s="63"/>
      <c r="G523" s="63"/>
      <c r="H523" s="60"/>
      <c r="I523" s="60"/>
      <c r="J523" s="63"/>
      <c r="K523" s="61" t="str">
        <f aca="false">IF($P523=0,"",IF($F523="Baseline","— Baseline",IF($O523=0,"No result",IF($N523=0,"No Start (attainment only)",IF(OR($N523=1,$O523=1),"U – needs rule",INDEX(MxBody,MATCH($I523,MxCurr,0),MATCH($H523,MxStart,0)))))))</f>
        <v/>
      </c>
      <c r="L523" s="62" t="str">
        <f aca="false">IF(COUNTA($A523,$F523,$G523,$H523,$I523,$J523)=0,"",IF($M523=0,"✖ كود الصف غير موجود",IF(ISNA(MATCH($F523,Lists!$A$2:$A$5,0)),"✖ الفترة غير صحيحة",IF(ISNA(MATCH($G523,Lists!$B$2:$B$7,0)),"✖ المجموعة غير صحيحة",IF(NOT(OR($H523="",$N523&gt;0)),"✖ Start غير صحيح",IF(NOT(OR($I523="",$I523="NR",$O523&gt;0)),"✖ Current غير صحيح",IF(NOT(IF(ISNUMBER($J523),AND($J523&gt;=0,$J523=INT($J523)),FALSE())),"✖ العدد يجب أن يكون صحيحًا ≥ 0",IF(AND($F523="Baseline",$H523&lt;&gt;""),"⚠ Baseline: Start لا يدخل في التقدم",IF($K523="No Start (attainment only)","ℹ تحصيل فقط (بدون Start)",IF($K523="U – needs rule","ℹ حالة U تحتاج قاعدة معتمدة",IF($K523="No result","ℹ بدون نتيجة (يُستبعد من التحصيل)","OK")))))))))))</f>
        <v/>
      </c>
      <c r="M523" s="64" t="n">
        <f aca="false">IF($A523="",0,IFERROR(MATCH($A523,Classes!$A$6:$A$420,0),0))</f>
        <v>0</v>
      </c>
      <c r="N523" s="64" t="n">
        <f aca="false">IF($H523="",0,IFERROR(MATCH($H523,GradeList,0),0))</f>
        <v>0</v>
      </c>
      <c r="O523" s="64" t="n">
        <f aca="false">IF(OR($I523="",$I523="NR"),0,IFERROR(MATCH($I523,GradeList,0),0))</f>
        <v>0</v>
      </c>
      <c r="P523" s="64" t="n">
        <f aca="false">IF(AND($M523&gt;0,ISNUMBER(MATCH($F523,Lists!$A$2:$A$5,0)),ISNUMBER(MATCH($G523,Lists!$B$2:$B$7,0)),OR($H523="",$N523&gt;0),OR($I523="",$I523="NR",$O523&gt;0),IF(ISNUMBER($J523),AND($J523&gt;=0,$J523=INT($J523)),FALSE())),$J523,0)</f>
        <v>0</v>
      </c>
      <c r="Q523" s="64" t="n">
        <f aca="false">IF(AND($P523&gt;0,$O523&gt;0),$P523,0)</f>
        <v>0</v>
      </c>
      <c r="R523" s="64" t="n">
        <f aca="false">IF(AND($Q523&gt;0,$O523&gt;=AtRank),$Q523,0)</f>
        <v>0</v>
      </c>
      <c r="S523" s="64" t="n">
        <f aca="false">IF(AND($Q523&gt;0,$O523&gt;=AboveRank),$Q523,0)</f>
        <v>0</v>
      </c>
      <c r="T523" s="64" t="n">
        <f aca="false">IF($K523="Less",$P523,0)</f>
        <v>0</v>
      </c>
      <c r="U523" s="64" t="n">
        <f aca="false">IF($K523="Expected",$P523,0)</f>
        <v>0</v>
      </c>
      <c r="V523" s="64" t="n">
        <f aca="false">IF($K523="Better",$P523,0)</f>
        <v>0</v>
      </c>
      <c r="W523" s="64" t="n">
        <f aca="false">IF($K523="U – needs rule",$P523,0)</f>
        <v>0</v>
      </c>
      <c r="X523" s="64" t="n">
        <f aca="false">IF($K523="No Start (attainment only)",$P523,0)</f>
        <v>0</v>
      </c>
    </row>
    <row r="524" customFormat="false" ht="15" hidden="false" customHeight="false" outlineLevel="0" collapsed="false">
      <c r="A524" s="60"/>
      <c r="B524" s="61" t="str">
        <f aca="false">IF($M524=0,"",INDEX(Classes!$E$6:$E$420,$M524))</f>
        <v/>
      </c>
      <c r="C524" s="62" t="str">
        <f aca="false">IF($M524=0,"",INDEX(Classes!$H$6:$H$420,$M524))</f>
        <v/>
      </c>
      <c r="D524" s="61" t="str">
        <f aca="false">IF($M524=0,"",INDEX(Classes!$B$6:$B$420,$M524))</f>
        <v/>
      </c>
      <c r="E524" s="61" t="str">
        <f aca="false">IF($M524=0,"",INDEX(Classes!$C$6:$C$420,$M524))</f>
        <v/>
      </c>
      <c r="F524" s="63"/>
      <c r="G524" s="63"/>
      <c r="H524" s="60"/>
      <c r="I524" s="60"/>
      <c r="J524" s="63"/>
      <c r="K524" s="61" t="str">
        <f aca="false">IF($P524=0,"",IF($F524="Baseline","— Baseline",IF($O524=0,"No result",IF($N524=0,"No Start (attainment only)",IF(OR($N524=1,$O524=1),"U – needs rule",INDEX(MxBody,MATCH($I524,MxCurr,0),MATCH($H524,MxStart,0)))))))</f>
        <v/>
      </c>
      <c r="L524" s="62" t="str">
        <f aca="false">IF(COUNTA($A524,$F524,$G524,$H524,$I524,$J524)=0,"",IF($M524=0,"✖ كود الصف غير موجود",IF(ISNA(MATCH($F524,Lists!$A$2:$A$5,0)),"✖ الفترة غير صحيحة",IF(ISNA(MATCH($G524,Lists!$B$2:$B$7,0)),"✖ المجموعة غير صحيحة",IF(NOT(OR($H524="",$N524&gt;0)),"✖ Start غير صحيح",IF(NOT(OR($I524="",$I524="NR",$O524&gt;0)),"✖ Current غير صحيح",IF(NOT(IF(ISNUMBER($J524),AND($J524&gt;=0,$J524=INT($J524)),FALSE())),"✖ العدد يجب أن يكون صحيحًا ≥ 0",IF(AND($F524="Baseline",$H524&lt;&gt;""),"⚠ Baseline: Start لا يدخل في التقدم",IF($K524="No Start (attainment only)","ℹ تحصيل فقط (بدون Start)",IF($K524="U – needs rule","ℹ حالة U تحتاج قاعدة معتمدة",IF($K524="No result","ℹ بدون نتيجة (يُستبعد من التحصيل)","OK")))))))))))</f>
        <v/>
      </c>
      <c r="M524" s="64" t="n">
        <f aca="false">IF($A524="",0,IFERROR(MATCH($A524,Classes!$A$6:$A$420,0),0))</f>
        <v>0</v>
      </c>
      <c r="N524" s="64" t="n">
        <f aca="false">IF($H524="",0,IFERROR(MATCH($H524,GradeList,0),0))</f>
        <v>0</v>
      </c>
      <c r="O524" s="64" t="n">
        <f aca="false">IF(OR($I524="",$I524="NR"),0,IFERROR(MATCH($I524,GradeList,0),0))</f>
        <v>0</v>
      </c>
      <c r="P524" s="64" t="n">
        <f aca="false">IF(AND($M524&gt;0,ISNUMBER(MATCH($F524,Lists!$A$2:$A$5,0)),ISNUMBER(MATCH($G524,Lists!$B$2:$B$7,0)),OR($H524="",$N524&gt;0),OR($I524="",$I524="NR",$O524&gt;0),IF(ISNUMBER($J524),AND($J524&gt;=0,$J524=INT($J524)),FALSE())),$J524,0)</f>
        <v>0</v>
      </c>
      <c r="Q524" s="64" t="n">
        <f aca="false">IF(AND($P524&gt;0,$O524&gt;0),$P524,0)</f>
        <v>0</v>
      </c>
      <c r="R524" s="64" t="n">
        <f aca="false">IF(AND($Q524&gt;0,$O524&gt;=AtRank),$Q524,0)</f>
        <v>0</v>
      </c>
      <c r="S524" s="64" t="n">
        <f aca="false">IF(AND($Q524&gt;0,$O524&gt;=AboveRank),$Q524,0)</f>
        <v>0</v>
      </c>
      <c r="T524" s="64" t="n">
        <f aca="false">IF($K524="Less",$P524,0)</f>
        <v>0</v>
      </c>
      <c r="U524" s="64" t="n">
        <f aca="false">IF($K524="Expected",$P524,0)</f>
        <v>0</v>
      </c>
      <c r="V524" s="64" t="n">
        <f aca="false">IF($K524="Better",$P524,0)</f>
        <v>0</v>
      </c>
      <c r="W524" s="64" t="n">
        <f aca="false">IF($K524="U – needs rule",$P524,0)</f>
        <v>0</v>
      </c>
      <c r="X524" s="64" t="n">
        <f aca="false">IF($K524="No Start (attainment only)",$P524,0)</f>
        <v>0</v>
      </c>
    </row>
    <row r="525" customFormat="false" ht="15" hidden="false" customHeight="false" outlineLevel="0" collapsed="false">
      <c r="A525" s="60"/>
      <c r="B525" s="61" t="str">
        <f aca="false">IF($M525=0,"",INDEX(Classes!$E$6:$E$420,$M525))</f>
        <v/>
      </c>
      <c r="C525" s="62" t="str">
        <f aca="false">IF($M525=0,"",INDEX(Classes!$H$6:$H$420,$M525))</f>
        <v/>
      </c>
      <c r="D525" s="61" t="str">
        <f aca="false">IF($M525=0,"",INDEX(Classes!$B$6:$B$420,$M525))</f>
        <v/>
      </c>
      <c r="E525" s="61" t="str">
        <f aca="false">IF($M525=0,"",INDEX(Classes!$C$6:$C$420,$M525))</f>
        <v/>
      </c>
      <c r="F525" s="63"/>
      <c r="G525" s="63"/>
      <c r="H525" s="60"/>
      <c r="I525" s="60"/>
      <c r="J525" s="63"/>
      <c r="K525" s="61" t="str">
        <f aca="false">IF($P525=0,"",IF($F525="Baseline","— Baseline",IF($O525=0,"No result",IF($N525=0,"No Start (attainment only)",IF(OR($N525=1,$O525=1),"U – needs rule",INDEX(MxBody,MATCH($I525,MxCurr,0),MATCH($H525,MxStart,0)))))))</f>
        <v/>
      </c>
      <c r="L525" s="62" t="str">
        <f aca="false">IF(COUNTA($A525,$F525,$G525,$H525,$I525,$J525)=0,"",IF($M525=0,"✖ كود الصف غير موجود",IF(ISNA(MATCH($F525,Lists!$A$2:$A$5,0)),"✖ الفترة غير صحيحة",IF(ISNA(MATCH($G525,Lists!$B$2:$B$7,0)),"✖ المجموعة غير صحيحة",IF(NOT(OR($H525="",$N525&gt;0)),"✖ Start غير صحيح",IF(NOT(OR($I525="",$I525="NR",$O525&gt;0)),"✖ Current غير صحيح",IF(NOT(IF(ISNUMBER($J525),AND($J525&gt;=0,$J525=INT($J525)),FALSE())),"✖ العدد يجب أن يكون صحيحًا ≥ 0",IF(AND($F525="Baseline",$H525&lt;&gt;""),"⚠ Baseline: Start لا يدخل في التقدم",IF($K525="No Start (attainment only)","ℹ تحصيل فقط (بدون Start)",IF($K525="U – needs rule","ℹ حالة U تحتاج قاعدة معتمدة",IF($K525="No result","ℹ بدون نتيجة (يُستبعد من التحصيل)","OK")))))))))))</f>
        <v/>
      </c>
      <c r="M525" s="64" t="n">
        <f aca="false">IF($A525="",0,IFERROR(MATCH($A525,Classes!$A$6:$A$420,0),0))</f>
        <v>0</v>
      </c>
      <c r="N525" s="64" t="n">
        <f aca="false">IF($H525="",0,IFERROR(MATCH($H525,GradeList,0),0))</f>
        <v>0</v>
      </c>
      <c r="O525" s="64" t="n">
        <f aca="false">IF(OR($I525="",$I525="NR"),0,IFERROR(MATCH($I525,GradeList,0),0))</f>
        <v>0</v>
      </c>
      <c r="P525" s="64" t="n">
        <f aca="false">IF(AND($M525&gt;0,ISNUMBER(MATCH($F525,Lists!$A$2:$A$5,0)),ISNUMBER(MATCH($G525,Lists!$B$2:$B$7,0)),OR($H525="",$N525&gt;0),OR($I525="",$I525="NR",$O525&gt;0),IF(ISNUMBER($J525),AND($J525&gt;=0,$J525=INT($J525)),FALSE())),$J525,0)</f>
        <v>0</v>
      </c>
      <c r="Q525" s="64" t="n">
        <f aca="false">IF(AND($P525&gt;0,$O525&gt;0),$P525,0)</f>
        <v>0</v>
      </c>
      <c r="R525" s="64" t="n">
        <f aca="false">IF(AND($Q525&gt;0,$O525&gt;=AtRank),$Q525,0)</f>
        <v>0</v>
      </c>
      <c r="S525" s="64" t="n">
        <f aca="false">IF(AND($Q525&gt;0,$O525&gt;=AboveRank),$Q525,0)</f>
        <v>0</v>
      </c>
      <c r="T525" s="64" t="n">
        <f aca="false">IF($K525="Less",$P525,0)</f>
        <v>0</v>
      </c>
      <c r="U525" s="64" t="n">
        <f aca="false">IF($K525="Expected",$P525,0)</f>
        <v>0</v>
      </c>
      <c r="V525" s="64" t="n">
        <f aca="false">IF($K525="Better",$P525,0)</f>
        <v>0</v>
      </c>
      <c r="W525" s="64" t="n">
        <f aca="false">IF($K525="U – needs rule",$P525,0)</f>
        <v>0</v>
      </c>
      <c r="X525" s="64" t="n">
        <f aca="false">IF($K525="No Start (attainment only)",$P525,0)</f>
        <v>0</v>
      </c>
    </row>
    <row r="526" customFormat="false" ht="15" hidden="false" customHeight="false" outlineLevel="0" collapsed="false">
      <c r="A526" s="60"/>
      <c r="B526" s="61" t="str">
        <f aca="false">IF($M526=0,"",INDEX(Classes!$E$6:$E$420,$M526))</f>
        <v/>
      </c>
      <c r="C526" s="62" t="str">
        <f aca="false">IF($M526=0,"",INDEX(Classes!$H$6:$H$420,$M526))</f>
        <v/>
      </c>
      <c r="D526" s="61" t="str">
        <f aca="false">IF($M526=0,"",INDEX(Classes!$B$6:$B$420,$M526))</f>
        <v/>
      </c>
      <c r="E526" s="61" t="str">
        <f aca="false">IF($M526=0,"",INDEX(Classes!$C$6:$C$420,$M526))</f>
        <v/>
      </c>
      <c r="F526" s="63"/>
      <c r="G526" s="63"/>
      <c r="H526" s="60"/>
      <c r="I526" s="60"/>
      <c r="J526" s="63"/>
      <c r="K526" s="61" t="str">
        <f aca="false">IF($P526=0,"",IF($F526="Baseline","— Baseline",IF($O526=0,"No result",IF($N526=0,"No Start (attainment only)",IF(OR($N526=1,$O526=1),"U – needs rule",INDEX(MxBody,MATCH($I526,MxCurr,0),MATCH($H526,MxStart,0)))))))</f>
        <v/>
      </c>
      <c r="L526" s="62" t="str">
        <f aca="false">IF(COUNTA($A526,$F526,$G526,$H526,$I526,$J526)=0,"",IF($M526=0,"✖ كود الصف غير موجود",IF(ISNA(MATCH($F526,Lists!$A$2:$A$5,0)),"✖ الفترة غير صحيحة",IF(ISNA(MATCH($G526,Lists!$B$2:$B$7,0)),"✖ المجموعة غير صحيحة",IF(NOT(OR($H526="",$N526&gt;0)),"✖ Start غير صحيح",IF(NOT(OR($I526="",$I526="NR",$O526&gt;0)),"✖ Current غير صحيح",IF(NOT(IF(ISNUMBER($J526),AND($J526&gt;=0,$J526=INT($J526)),FALSE())),"✖ العدد يجب أن يكون صحيحًا ≥ 0",IF(AND($F526="Baseline",$H526&lt;&gt;""),"⚠ Baseline: Start لا يدخل في التقدم",IF($K526="No Start (attainment only)","ℹ تحصيل فقط (بدون Start)",IF($K526="U – needs rule","ℹ حالة U تحتاج قاعدة معتمدة",IF($K526="No result","ℹ بدون نتيجة (يُستبعد من التحصيل)","OK")))))))))))</f>
        <v/>
      </c>
      <c r="M526" s="64" t="n">
        <f aca="false">IF($A526="",0,IFERROR(MATCH($A526,Classes!$A$6:$A$420,0),0))</f>
        <v>0</v>
      </c>
      <c r="N526" s="64" t="n">
        <f aca="false">IF($H526="",0,IFERROR(MATCH($H526,GradeList,0),0))</f>
        <v>0</v>
      </c>
      <c r="O526" s="64" t="n">
        <f aca="false">IF(OR($I526="",$I526="NR"),0,IFERROR(MATCH($I526,GradeList,0),0))</f>
        <v>0</v>
      </c>
      <c r="P526" s="64" t="n">
        <f aca="false">IF(AND($M526&gt;0,ISNUMBER(MATCH($F526,Lists!$A$2:$A$5,0)),ISNUMBER(MATCH($G526,Lists!$B$2:$B$7,0)),OR($H526="",$N526&gt;0),OR($I526="",$I526="NR",$O526&gt;0),IF(ISNUMBER($J526),AND($J526&gt;=0,$J526=INT($J526)),FALSE())),$J526,0)</f>
        <v>0</v>
      </c>
      <c r="Q526" s="64" t="n">
        <f aca="false">IF(AND($P526&gt;0,$O526&gt;0),$P526,0)</f>
        <v>0</v>
      </c>
      <c r="R526" s="64" t="n">
        <f aca="false">IF(AND($Q526&gt;0,$O526&gt;=AtRank),$Q526,0)</f>
        <v>0</v>
      </c>
      <c r="S526" s="64" t="n">
        <f aca="false">IF(AND($Q526&gt;0,$O526&gt;=AboveRank),$Q526,0)</f>
        <v>0</v>
      </c>
      <c r="T526" s="64" t="n">
        <f aca="false">IF($K526="Less",$P526,0)</f>
        <v>0</v>
      </c>
      <c r="U526" s="64" t="n">
        <f aca="false">IF($K526="Expected",$P526,0)</f>
        <v>0</v>
      </c>
      <c r="V526" s="64" t="n">
        <f aca="false">IF($K526="Better",$P526,0)</f>
        <v>0</v>
      </c>
      <c r="W526" s="64" t="n">
        <f aca="false">IF($K526="U – needs rule",$P526,0)</f>
        <v>0</v>
      </c>
      <c r="X526" s="64" t="n">
        <f aca="false">IF($K526="No Start (attainment only)",$P526,0)</f>
        <v>0</v>
      </c>
    </row>
    <row r="527" customFormat="false" ht="15" hidden="false" customHeight="false" outlineLevel="0" collapsed="false">
      <c r="A527" s="60"/>
      <c r="B527" s="61" t="str">
        <f aca="false">IF($M527=0,"",INDEX(Classes!$E$6:$E$420,$M527))</f>
        <v/>
      </c>
      <c r="C527" s="62" t="str">
        <f aca="false">IF($M527=0,"",INDEX(Classes!$H$6:$H$420,$M527))</f>
        <v/>
      </c>
      <c r="D527" s="61" t="str">
        <f aca="false">IF($M527=0,"",INDEX(Classes!$B$6:$B$420,$M527))</f>
        <v/>
      </c>
      <c r="E527" s="61" t="str">
        <f aca="false">IF($M527=0,"",INDEX(Classes!$C$6:$C$420,$M527))</f>
        <v/>
      </c>
      <c r="F527" s="63"/>
      <c r="G527" s="63"/>
      <c r="H527" s="60"/>
      <c r="I527" s="60"/>
      <c r="J527" s="63"/>
      <c r="K527" s="61" t="str">
        <f aca="false">IF($P527=0,"",IF($F527="Baseline","— Baseline",IF($O527=0,"No result",IF($N527=0,"No Start (attainment only)",IF(OR($N527=1,$O527=1),"U – needs rule",INDEX(MxBody,MATCH($I527,MxCurr,0),MATCH($H527,MxStart,0)))))))</f>
        <v/>
      </c>
      <c r="L527" s="62" t="str">
        <f aca="false">IF(COUNTA($A527,$F527,$G527,$H527,$I527,$J527)=0,"",IF($M527=0,"✖ كود الصف غير موجود",IF(ISNA(MATCH($F527,Lists!$A$2:$A$5,0)),"✖ الفترة غير صحيحة",IF(ISNA(MATCH($G527,Lists!$B$2:$B$7,0)),"✖ المجموعة غير صحيحة",IF(NOT(OR($H527="",$N527&gt;0)),"✖ Start غير صحيح",IF(NOT(OR($I527="",$I527="NR",$O527&gt;0)),"✖ Current غير صحيح",IF(NOT(IF(ISNUMBER($J527),AND($J527&gt;=0,$J527=INT($J527)),FALSE())),"✖ العدد يجب أن يكون صحيحًا ≥ 0",IF(AND($F527="Baseline",$H527&lt;&gt;""),"⚠ Baseline: Start لا يدخل في التقدم",IF($K527="No Start (attainment only)","ℹ تحصيل فقط (بدون Start)",IF($K527="U – needs rule","ℹ حالة U تحتاج قاعدة معتمدة",IF($K527="No result","ℹ بدون نتيجة (يُستبعد من التحصيل)","OK")))))))))))</f>
        <v/>
      </c>
      <c r="M527" s="64" t="n">
        <f aca="false">IF($A527="",0,IFERROR(MATCH($A527,Classes!$A$6:$A$420,0),0))</f>
        <v>0</v>
      </c>
      <c r="N527" s="64" t="n">
        <f aca="false">IF($H527="",0,IFERROR(MATCH($H527,GradeList,0),0))</f>
        <v>0</v>
      </c>
      <c r="O527" s="64" t="n">
        <f aca="false">IF(OR($I527="",$I527="NR"),0,IFERROR(MATCH($I527,GradeList,0),0))</f>
        <v>0</v>
      </c>
      <c r="P527" s="64" t="n">
        <f aca="false">IF(AND($M527&gt;0,ISNUMBER(MATCH($F527,Lists!$A$2:$A$5,0)),ISNUMBER(MATCH($G527,Lists!$B$2:$B$7,0)),OR($H527="",$N527&gt;0),OR($I527="",$I527="NR",$O527&gt;0),IF(ISNUMBER($J527),AND($J527&gt;=0,$J527=INT($J527)),FALSE())),$J527,0)</f>
        <v>0</v>
      </c>
      <c r="Q527" s="64" t="n">
        <f aca="false">IF(AND($P527&gt;0,$O527&gt;0),$P527,0)</f>
        <v>0</v>
      </c>
      <c r="R527" s="64" t="n">
        <f aca="false">IF(AND($Q527&gt;0,$O527&gt;=AtRank),$Q527,0)</f>
        <v>0</v>
      </c>
      <c r="S527" s="64" t="n">
        <f aca="false">IF(AND($Q527&gt;0,$O527&gt;=AboveRank),$Q527,0)</f>
        <v>0</v>
      </c>
      <c r="T527" s="64" t="n">
        <f aca="false">IF($K527="Less",$P527,0)</f>
        <v>0</v>
      </c>
      <c r="U527" s="64" t="n">
        <f aca="false">IF($K527="Expected",$P527,0)</f>
        <v>0</v>
      </c>
      <c r="V527" s="64" t="n">
        <f aca="false">IF($K527="Better",$P527,0)</f>
        <v>0</v>
      </c>
      <c r="W527" s="64" t="n">
        <f aca="false">IF($K527="U – needs rule",$P527,0)</f>
        <v>0</v>
      </c>
      <c r="X527" s="64" t="n">
        <f aca="false">IF($K527="No Start (attainment only)",$P527,0)</f>
        <v>0</v>
      </c>
    </row>
    <row r="528" customFormat="false" ht="15" hidden="false" customHeight="false" outlineLevel="0" collapsed="false">
      <c r="A528" s="60"/>
      <c r="B528" s="61" t="str">
        <f aca="false">IF($M528=0,"",INDEX(Classes!$E$6:$E$420,$M528))</f>
        <v/>
      </c>
      <c r="C528" s="62" t="str">
        <f aca="false">IF($M528=0,"",INDEX(Classes!$H$6:$H$420,$M528))</f>
        <v/>
      </c>
      <c r="D528" s="61" t="str">
        <f aca="false">IF($M528=0,"",INDEX(Classes!$B$6:$B$420,$M528))</f>
        <v/>
      </c>
      <c r="E528" s="61" t="str">
        <f aca="false">IF($M528=0,"",INDEX(Classes!$C$6:$C$420,$M528))</f>
        <v/>
      </c>
      <c r="F528" s="63"/>
      <c r="G528" s="63"/>
      <c r="H528" s="60"/>
      <c r="I528" s="60"/>
      <c r="J528" s="63"/>
      <c r="K528" s="61" t="str">
        <f aca="false">IF($P528=0,"",IF($F528="Baseline","— Baseline",IF($O528=0,"No result",IF($N528=0,"No Start (attainment only)",IF(OR($N528=1,$O528=1),"U – needs rule",INDEX(MxBody,MATCH($I528,MxCurr,0),MATCH($H528,MxStart,0)))))))</f>
        <v/>
      </c>
      <c r="L528" s="62" t="str">
        <f aca="false">IF(COUNTA($A528,$F528,$G528,$H528,$I528,$J528)=0,"",IF($M528=0,"✖ كود الصف غير موجود",IF(ISNA(MATCH($F528,Lists!$A$2:$A$5,0)),"✖ الفترة غير صحيحة",IF(ISNA(MATCH($G528,Lists!$B$2:$B$7,0)),"✖ المجموعة غير صحيحة",IF(NOT(OR($H528="",$N528&gt;0)),"✖ Start غير صحيح",IF(NOT(OR($I528="",$I528="NR",$O528&gt;0)),"✖ Current غير صحيح",IF(NOT(IF(ISNUMBER($J528),AND($J528&gt;=0,$J528=INT($J528)),FALSE())),"✖ العدد يجب أن يكون صحيحًا ≥ 0",IF(AND($F528="Baseline",$H528&lt;&gt;""),"⚠ Baseline: Start لا يدخل في التقدم",IF($K528="No Start (attainment only)","ℹ تحصيل فقط (بدون Start)",IF($K528="U – needs rule","ℹ حالة U تحتاج قاعدة معتمدة",IF($K528="No result","ℹ بدون نتيجة (يُستبعد من التحصيل)","OK")))))))))))</f>
        <v/>
      </c>
      <c r="M528" s="64" t="n">
        <f aca="false">IF($A528="",0,IFERROR(MATCH($A528,Classes!$A$6:$A$420,0),0))</f>
        <v>0</v>
      </c>
      <c r="N528" s="64" t="n">
        <f aca="false">IF($H528="",0,IFERROR(MATCH($H528,GradeList,0),0))</f>
        <v>0</v>
      </c>
      <c r="O528" s="64" t="n">
        <f aca="false">IF(OR($I528="",$I528="NR"),0,IFERROR(MATCH($I528,GradeList,0),0))</f>
        <v>0</v>
      </c>
      <c r="P528" s="64" t="n">
        <f aca="false">IF(AND($M528&gt;0,ISNUMBER(MATCH($F528,Lists!$A$2:$A$5,0)),ISNUMBER(MATCH($G528,Lists!$B$2:$B$7,0)),OR($H528="",$N528&gt;0),OR($I528="",$I528="NR",$O528&gt;0),IF(ISNUMBER($J528),AND($J528&gt;=0,$J528=INT($J528)),FALSE())),$J528,0)</f>
        <v>0</v>
      </c>
      <c r="Q528" s="64" t="n">
        <f aca="false">IF(AND($P528&gt;0,$O528&gt;0),$P528,0)</f>
        <v>0</v>
      </c>
      <c r="R528" s="64" t="n">
        <f aca="false">IF(AND($Q528&gt;0,$O528&gt;=AtRank),$Q528,0)</f>
        <v>0</v>
      </c>
      <c r="S528" s="64" t="n">
        <f aca="false">IF(AND($Q528&gt;0,$O528&gt;=AboveRank),$Q528,0)</f>
        <v>0</v>
      </c>
      <c r="T528" s="64" t="n">
        <f aca="false">IF($K528="Less",$P528,0)</f>
        <v>0</v>
      </c>
      <c r="U528" s="64" t="n">
        <f aca="false">IF($K528="Expected",$P528,0)</f>
        <v>0</v>
      </c>
      <c r="V528" s="64" t="n">
        <f aca="false">IF($K528="Better",$P528,0)</f>
        <v>0</v>
      </c>
      <c r="W528" s="64" t="n">
        <f aca="false">IF($K528="U – needs rule",$P528,0)</f>
        <v>0</v>
      </c>
      <c r="X528" s="64" t="n">
        <f aca="false">IF($K528="No Start (attainment only)",$P528,0)</f>
        <v>0</v>
      </c>
    </row>
    <row r="529" customFormat="false" ht="15" hidden="false" customHeight="false" outlineLevel="0" collapsed="false">
      <c r="A529" s="60"/>
      <c r="B529" s="61" t="str">
        <f aca="false">IF($M529=0,"",INDEX(Classes!$E$6:$E$420,$M529))</f>
        <v/>
      </c>
      <c r="C529" s="62" t="str">
        <f aca="false">IF($M529=0,"",INDEX(Classes!$H$6:$H$420,$M529))</f>
        <v/>
      </c>
      <c r="D529" s="61" t="str">
        <f aca="false">IF($M529=0,"",INDEX(Classes!$B$6:$B$420,$M529))</f>
        <v/>
      </c>
      <c r="E529" s="61" t="str">
        <f aca="false">IF($M529=0,"",INDEX(Classes!$C$6:$C$420,$M529))</f>
        <v/>
      </c>
      <c r="F529" s="63"/>
      <c r="G529" s="63"/>
      <c r="H529" s="60"/>
      <c r="I529" s="60"/>
      <c r="J529" s="63"/>
      <c r="K529" s="61" t="str">
        <f aca="false">IF($P529=0,"",IF($F529="Baseline","— Baseline",IF($O529=0,"No result",IF($N529=0,"No Start (attainment only)",IF(OR($N529=1,$O529=1),"U – needs rule",INDEX(MxBody,MATCH($I529,MxCurr,0),MATCH($H529,MxStart,0)))))))</f>
        <v/>
      </c>
      <c r="L529" s="62" t="str">
        <f aca="false">IF(COUNTA($A529,$F529,$G529,$H529,$I529,$J529)=0,"",IF($M529=0,"✖ كود الصف غير موجود",IF(ISNA(MATCH($F529,Lists!$A$2:$A$5,0)),"✖ الفترة غير صحيحة",IF(ISNA(MATCH($G529,Lists!$B$2:$B$7,0)),"✖ المجموعة غير صحيحة",IF(NOT(OR($H529="",$N529&gt;0)),"✖ Start غير صحيح",IF(NOT(OR($I529="",$I529="NR",$O529&gt;0)),"✖ Current غير صحيح",IF(NOT(IF(ISNUMBER($J529),AND($J529&gt;=0,$J529=INT($J529)),FALSE())),"✖ العدد يجب أن يكون صحيحًا ≥ 0",IF(AND($F529="Baseline",$H529&lt;&gt;""),"⚠ Baseline: Start لا يدخل في التقدم",IF($K529="No Start (attainment only)","ℹ تحصيل فقط (بدون Start)",IF($K529="U – needs rule","ℹ حالة U تحتاج قاعدة معتمدة",IF($K529="No result","ℹ بدون نتيجة (يُستبعد من التحصيل)","OK")))))))))))</f>
        <v/>
      </c>
      <c r="M529" s="64" t="n">
        <f aca="false">IF($A529="",0,IFERROR(MATCH($A529,Classes!$A$6:$A$420,0),0))</f>
        <v>0</v>
      </c>
      <c r="N529" s="64" t="n">
        <f aca="false">IF($H529="",0,IFERROR(MATCH($H529,GradeList,0),0))</f>
        <v>0</v>
      </c>
      <c r="O529" s="64" t="n">
        <f aca="false">IF(OR($I529="",$I529="NR"),0,IFERROR(MATCH($I529,GradeList,0),0))</f>
        <v>0</v>
      </c>
      <c r="P529" s="64" t="n">
        <f aca="false">IF(AND($M529&gt;0,ISNUMBER(MATCH($F529,Lists!$A$2:$A$5,0)),ISNUMBER(MATCH($G529,Lists!$B$2:$B$7,0)),OR($H529="",$N529&gt;0),OR($I529="",$I529="NR",$O529&gt;0),IF(ISNUMBER($J529),AND($J529&gt;=0,$J529=INT($J529)),FALSE())),$J529,0)</f>
        <v>0</v>
      </c>
      <c r="Q529" s="64" t="n">
        <f aca="false">IF(AND($P529&gt;0,$O529&gt;0),$P529,0)</f>
        <v>0</v>
      </c>
      <c r="R529" s="64" t="n">
        <f aca="false">IF(AND($Q529&gt;0,$O529&gt;=AtRank),$Q529,0)</f>
        <v>0</v>
      </c>
      <c r="S529" s="64" t="n">
        <f aca="false">IF(AND($Q529&gt;0,$O529&gt;=AboveRank),$Q529,0)</f>
        <v>0</v>
      </c>
      <c r="T529" s="64" t="n">
        <f aca="false">IF($K529="Less",$P529,0)</f>
        <v>0</v>
      </c>
      <c r="U529" s="64" t="n">
        <f aca="false">IF($K529="Expected",$P529,0)</f>
        <v>0</v>
      </c>
      <c r="V529" s="64" t="n">
        <f aca="false">IF($K529="Better",$P529,0)</f>
        <v>0</v>
      </c>
      <c r="W529" s="64" t="n">
        <f aca="false">IF($K529="U – needs rule",$P529,0)</f>
        <v>0</v>
      </c>
      <c r="X529" s="64" t="n">
        <f aca="false">IF($K529="No Start (attainment only)",$P529,0)</f>
        <v>0</v>
      </c>
    </row>
    <row r="530" customFormat="false" ht="15" hidden="false" customHeight="false" outlineLevel="0" collapsed="false">
      <c r="A530" s="60"/>
      <c r="B530" s="61" t="str">
        <f aca="false">IF($M530=0,"",INDEX(Classes!$E$6:$E$420,$M530))</f>
        <v/>
      </c>
      <c r="C530" s="62" t="str">
        <f aca="false">IF($M530=0,"",INDEX(Classes!$H$6:$H$420,$M530))</f>
        <v/>
      </c>
      <c r="D530" s="61" t="str">
        <f aca="false">IF($M530=0,"",INDEX(Classes!$B$6:$B$420,$M530))</f>
        <v/>
      </c>
      <c r="E530" s="61" t="str">
        <f aca="false">IF($M530=0,"",INDEX(Classes!$C$6:$C$420,$M530))</f>
        <v/>
      </c>
      <c r="F530" s="63"/>
      <c r="G530" s="63"/>
      <c r="H530" s="60"/>
      <c r="I530" s="60"/>
      <c r="J530" s="63"/>
      <c r="K530" s="61" t="str">
        <f aca="false">IF($P530=0,"",IF($F530="Baseline","— Baseline",IF($O530=0,"No result",IF($N530=0,"No Start (attainment only)",IF(OR($N530=1,$O530=1),"U – needs rule",INDEX(MxBody,MATCH($I530,MxCurr,0),MATCH($H530,MxStart,0)))))))</f>
        <v/>
      </c>
      <c r="L530" s="62" t="str">
        <f aca="false">IF(COUNTA($A530,$F530,$G530,$H530,$I530,$J530)=0,"",IF($M530=0,"✖ كود الصف غير موجود",IF(ISNA(MATCH($F530,Lists!$A$2:$A$5,0)),"✖ الفترة غير صحيحة",IF(ISNA(MATCH($G530,Lists!$B$2:$B$7,0)),"✖ المجموعة غير صحيحة",IF(NOT(OR($H530="",$N530&gt;0)),"✖ Start غير صحيح",IF(NOT(OR($I530="",$I530="NR",$O530&gt;0)),"✖ Current غير صحيح",IF(NOT(IF(ISNUMBER($J530),AND($J530&gt;=0,$J530=INT($J530)),FALSE())),"✖ العدد يجب أن يكون صحيحًا ≥ 0",IF(AND($F530="Baseline",$H530&lt;&gt;""),"⚠ Baseline: Start لا يدخل في التقدم",IF($K530="No Start (attainment only)","ℹ تحصيل فقط (بدون Start)",IF($K530="U – needs rule","ℹ حالة U تحتاج قاعدة معتمدة",IF($K530="No result","ℹ بدون نتيجة (يُستبعد من التحصيل)","OK")))))))))))</f>
        <v/>
      </c>
      <c r="M530" s="64" t="n">
        <f aca="false">IF($A530="",0,IFERROR(MATCH($A530,Classes!$A$6:$A$420,0),0))</f>
        <v>0</v>
      </c>
      <c r="N530" s="64" t="n">
        <f aca="false">IF($H530="",0,IFERROR(MATCH($H530,GradeList,0),0))</f>
        <v>0</v>
      </c>
      <c r="O530" s="64" t="n">
        <f aca="false">IF(OR($I530="",$I530="NR"),0,IFERROR(MATCH($I530,GradeList,0),0))</f>
        <v>0</v>
      </c>
      <c r="P530" s="64" t="n">
        <f aca="false">IF(AND($M530&gt;0,ISNUMBER(MATCH($F530,Lists!$A$2:$A$5,0)),ISNUMBER(MATCH($G530,Lists!$B$2:$B$7,0)),OR($H530="",$N530&gt;0),OR($I530="",$I530="NR",$O530&gt;0),IF(ISNUMBER($J530),AND($J530&gt;=0,$J530=INT($J530)),FALSE())),$J530,0)</f>
        <v>0</v>
      </c>
      <c r="Q530" s="64" t="n">
        <f aca="false">IF(AND($P530&gt;0,$O530&gt;0),$P530,0)</f>
        <v>0</v>
      </c>
      <c r="R530" s="64" t="n">
        <f aca="false">IF(AND($Q530&gt;0,$O530&gt;=AtRank),$Q530,0)</f>
        <v>0</v>
      </c>
      <c r="S530" s="64" t="n">
        <f aca="false">IF(AND($Q530&gt;0,$O530&gt;=AboveRank),$Q530,0)</f>
        <v>0</v>
      </c>
      <c r="T530" s="64" t="n">
        <f aca="false">IF($K530="Less",$P530,0)</f>
        <v>0</v>
      </c>
      <c r="U530" s="64" t="n">
        <f aca="false">IF($K530="Expected",$P530,0)</f>
        <v>0</v>
      </c>
      <c r="V530" s="64" t="n">
        <f aca="false">IF($K530="Better",$P530,0)</f>
        <v>0</v>
      </c>
      <c r="W530" s="64" t="n">
        <f aca="false">IF($K530="U – needs rule",$P530,0)</f>
        <v>0</v>
      </c>
      <c r="X530" s="64" t="n">
        <f aca="false">IF($K530="No Start (attainment only)",$P530,0)</f>
        <v>0</v>
      </c>
    </row>
    <row r="531" customFormat="false" ht="15" hidden="false" customHeight="false" outlineLevel="0" collapsed="false">
      <c r="A531" s="60"/>
      <c r="B531" s="61" t="str">
        <f aca="false">IF($M531=0,"",INDEX(Classes!$E$6:$E$420,$M531))</f>
        <v/>
      </c>
      <c r="C531" s="62" t="str">
        <f aca="false">IF($M531=0,"",INDEX(Classes!$H$6:$H$420,$M531))</f>
        <v/>
      </c>
      <c r="D531" s="61" t="str">
        <f aca="false">IF($M531=0,"",INDEX(Classes!$B$6:$B$420,$M531))</f>
        <v/>
      </c>
      <c r="E531" s="61" t="str">
        <f aca="false">IF($M531=0,"",INDEX(Classes!$C$6:$C$420,$M531))</f>
        <v/>
      </c>
      <c r="F531" s="63"/>
      <c r="G531" s="63"/>
      <c r="H531" s="60"/>
      <c r="I531" s="60"/>
      <c r="J531" s="63"/>
      <c r="K531" s="61" t="str">
        <f aca="false">IF($P531=0,"",IF($F531="Baseline","— Baseline",IF($O531=0,"No result",IF($N531=0,"No Start (attainment only)",IF(OR($N531=1,$O531=1),"U – needs rule",INDEX(MxBody,MATCH($I531,MxCurr,0),MATCH($H531,MxStart,0)))))))</f>
        <v/>
      </c>
      <c r="L531" s="62" t="str">
        <f aca="false">IF(COUNTA($A531,$F531,$G531,$H531,$I531,$J531)=0,"",IF($M531=0,"✖ كود الصف غير موجود",IF(ISNA(MATCH($F531,Lists!$A$2:$A$5,0)),"✖ الفترة غير صحيحة",IF(ISNA(MATCH($G531,Lists!$B$2:$B$7,0)),"✖ المجموعة غير صحيحة",IF(NOT(OR($H531="",$N531&gt;0)),"✖ Start غير صحيح",IF(NOT(OR($I531="",$I531="NR",$O531&gt;0)),"✖ Current غير صحيح",IF(NOT(IF(ISNUMBER($J531),AND($J531&gt;=0,$J531=INT($J531)),FALSE())),"✖ العدد يجب أن يكون صحيحًا ≥ 0",IF(AND($F531="Baseline",$H531&lt;&gt;""),"⚠ Baseline: Start لا يدخل في التقدم",IF($K531="No Start (attainment only)","ℹ تحصيل فقط (بدون Start)",IF($K531="U – needs rule","ℹ حالة U تحتاج قاعدة معتمدة",IF($K531="No result","ℹ بدون نتيجة (يُستبعد من التحصيل)","OK")))))))))))</f>
        <v/>
      </c>
      <c r="M531" s="64" t="n">
        <f aca="false">IF($A531="",0,IFERROR(MATCH($A531,Classes!$A$6:$A$420,0),0))</f>
        <v>0</v>
      </c>
      <c r="N531" s="64" t="n">
        <f aca="false">IF($H531="",0,IFERROR(MATCH($H531,GradeList,0),0))</f>
        <v>0</v>
      </c>
      <c r="O531" s="64" t="n">
        <f aca="false">IF(OR($I531="",$I531="NR"),0,IFERROR(MATCH($I531,GradeList,0),0))</f>
        <v>0</v>
      </c>
      <c r="P531" s="64" t="n">
        <f aca="false">IF(AND($M531&gt;0,ISNUMBER(MATCH($F531,Lists!$A$2:$A$5,0)),ISNUMBER(MATCH($G531,Lists!$B$2:$B$7,0)),OR($H531="",$N531&gt;0),OR($I531="",$I531="NR",$O531&gt;0),IF(ISNUMBER($J531),AND($J531&gt;=0,$J531=INT($J531)),FALSE())),$J531,0)</f>
        <v>0</v>
      </c>
      <c r="Q531" s="64" t="n">
        <f aca="false">IF(AND($P531&gt;0,$O531&gt;0),$P531,0)</f>
        <v>0</v>
      </c>
      <c r="R531" s="64" t="n">
        <f aca="false">IF(AND($Q531&gt;0,$O531&gt;=AtRank),$Q531,0)</f>
        <v>0</v>
      </c>
      <c r="S531" s="64" t="n">
        <f aca="false">IF(AND($Q531&gt;0,$O531&gt;=AboveRank),$Q531,0)</f>
        <v>0</v>
      </c>
      <c r="T531" s="64" t="n">
        <f aca="false">IF($K531="Less",$P531,0)</f>
        <v>0</v>
      </c>
      <c r="U531" s="64" t="n">
        <f aca="false">IF($K531="Expected",$P531,0)</f>
        <v>0</v>
      </c>
      <c r="V531" s="64" t="n">
        <f aca="false">IF($K531="Better",$P531,0)</f>
        <v>0</v>
      </c>
      <c r="W531" s="64" t="n">
        <f aca="false">IF($K531="U – needs rule",$P531,0)</f>
        <v>0</v>
      </c>
      <c r="X531" s="64" t="n">
        <f aca="false">IF($K531="No Start (attainment only)",$P531,0)</f>
        <v>0</v>
      </c>
    </row>
    <row r="532" customFormat="false" ht="15" hidden="false" customHeight="false" outlineLevel="0" collapsed="false">
      <c r="A532" s="60"/>
      <c r="B532" s="61" t="str">
        <f aca="false">IF($M532=0,"",INDEX(Classes!$E$6:$E$420,$M532))</f>
        <v/>
      </c>
      <c r="C532" s="62" t="str">
        <f aca="false">IF($M532=0,"",INDEX(Classes!$H$6:$H$420,$M532))</f>
        <v/>
      </c>
      <c r="D532" s="61" t="str">
        <f aca="false">IF($M532=0,"",INDEX(Classes!$B$6:$B$420,$M532))</f>
        <v/>
      </c>
      <c r="E532" s="61" t="str">
        <f aca="false">IF($M532=0,"",INDEX(Classes!$C$6:$C$420,$M532))</f>
        <v/>
      </c>
      <c r="F532" s="63"/>
      <c r="G532" s="63"/>
      <c r="H532" s="60"/>
      <c r="I532" s="60"/>
      <c r="J532" s="63"/>
      <c r="K532" s="61" t="str">
        <f aca="false">IF($P532=0,"",IF($F532="Baseline","— Baseline",IF($O532=0,"No result",IF($N532=0,"No Start (attainment only)",IF(OR($N532=1,$O532=1),"U – needs rule",INDEX(MxBody,MATCH($I532,MxCurr,0),MATCH($H532,MxStart,0)))))))</f>
        <v/>
      </c>
      <c r="L532" s="62" t="str">
        <f aca="false">IF(COUNTA($A532,$F532,$G532,$H532,$I532,$J532)=0,"",IF($M532=0,"✖ كود الصف غير موجود",IF(ISNA(MATCH($F532,Lists!$A$2:$A$5,0)),"✖ الفترة غير صحيحة",IF(ISNA(MATCH($G532,Lists!$B$2:$B$7,0)),"✖ المجموعة غير صحيحة",IF(NOT(OR($H532="",$N532&gt;0)),"✖ Start غير صحيح",IF(NOT(OR($I532="",$I532="NR",$O532&gt;0)),"✖ Current غير صحيح",IF(NOT(IF(ISNUMBER($J532),AND($J532&gt;=0,$J532=INT($J532)),FALSE())),"✖ العدد يجب أن يكون صحيحًا ≥ 0",IF(AND($F532="Baseline",$H532&lt;&gt;""),"⚠ Baseline: Start لا يدخل في التقدم",IF($K532="No Start (attainment only)","ℹ تحصيل فقط (بدون Start)",IF($K532="U – needs rule","ℹ حالة U تحتاج قاعدة معتمدة",IF($K532="No result","ℹ بدون نتيجة (يُستبعد من التحصيل)","OK")))))))))))</f>
        <v/>
      </c>
      <c r="M532" s="64" t="n">
        <f aca="false">IF($A532="",0,IFERROR(MATCH($A532,Classes!$A$6:$A$420,0),0))</f>
        <v>0</v>
      </c>
      <c r="N532" s="64" t="n">
        <f aca="false">IF($H532="",0,IFERROR(MATCH($H532,GradeList,0),0))</f>
        <v>0</v>
      </c>
      <c r="O532" s="64" t="n">
        <f aca="false">IF(OR($I532="",$I532="NR"),0,IFERROR(MATCH($I532,GradeList,0),0))</f>
        <v>0</v>
      </c>
      <c r="P532" s="64" t="n">
        <f aca="false">IF(AND($M532&gt;0,ISNUMBER(MATCH($F532,Lists!$A$2:$A$5,0)),ISNUMBER(MATCH($G532,Lists!$B$2:$B$7,0)),OR($H532="",$N532&gt;0),OR($I532="",$I532="NR",$O532&gt;0),IF(ISNUMBER($J532),AND($J532&gt;=0,$J532=INT($J532)),FALSE())),$J532,0)</f>
        <v>0</v>
      </c>
      <c r="Q532" s="64" t="n">
        <f aca="false">IF(AND($P532&gt;0,$O532&gt;0),$P532,0)</f>
        <v>0</v>
      </c>
      <c r="R532" s="64" t="n">
        <f aca="false">IF(AND($Q532&gt;0,$O532&gt;=AtRank),$Q532,0)</f>
        <v>0</v>
      </c>
      <c r="S532" s="64" t="n">
        <f aca="false">IF(AND($Q532&gt;0,$O532&gt;=AboveRank),$Q532,0)</f>
        <v>0</v>
      </c>
      <c r="T532" s="64" t="n">
        <f aca="false">IF($K532="Less",$P532,0)</f>
        <v>0</v>
      </c>
      <c r="U532" s="64" t="n">
        <f aca="false">IF($K532="Expected",$P532,0)</f>
        <v>0</v>
      </c>
      <c r="V532" s="64" t="n">
        <f aca="false">IF($K532="Better",$P532,0)</f>
        <v>0</v>
      </c>
      <c r="W532" s="64" t="n">
        <f aca="false">IF($K532="U – needs rule",$P532,0)</f>
        <v>0</v>
      </c>
      <c r="X532" s="64" t="n">
        <f aca="false">IF($K532="No Start (attainment only)",$P532,0)</f>
        <v>0</v>
      </c>
    </row>
    <row r="533" customFormat="false" ht="15" hidden="false" customHeight="false" outlineLevel="0" collapsed="false">
      <c r="A533" s="60"/>
      <c r="B533" s="61" t="str">
        <f aca="false">IF($M533=0,"",INDEX(Classes!$E$6:$E$420,$M533))</f>
        <v/>
      </c>
      <c r="C533" s="62" t="str">
        <f aca="false">IF($M533=0,"",INDEX(Classes!$H$6:$H$420,$M533))</f>
        <v/>
      </c>
      <c r="D533" s="61" t="str">
        <f aca="false">IF($M533=0,"",INDEX(Classes!$B$6:$B$420,$M533))</f>
        <v/>
      </c>
      <c r="E533" s="61" t="str">
        <f aca="false">IF($M533=0,"",INDEX(Classes!$C$6:$C$420,$M533))</f>
        <v/>
      </c>
      <c r="F533" s="63"/>
      <c r="G533" s="63"/>
      <c r="H533" s="60"/>
      <c r="I533" s="60"/>
      <c r="J533" s="63"/>
      <c r="K533" s="61" t="str">
        <f aca="false">IF($P533=0,"",IF($F533="Baseline","— Baseline",IF($O533=0,"No result",IF($N533=0,"No Start (attainment only)",IF(OR($N533=1,$O533=1),"U – needs rule",INDEX(MxBody,MATCH($I533,MxCurr,0),MATCH($H533,MxStart,0)))))))</f>
        <v/>
      </c>
      <c r="L533" s="62" t="str">
        <f aca="false">IF(COUNTA($A533,$F533,$G533,$H533,$I533,$J533)=0,"",IF($M533=0,"✖ كود الصف غير موجود",IF(ISNA(MATCH($F533,Lists!$A$2:$A$5,0)),"✖ الفترة غير صحيحة",IF(ISNA(MATCH($G533,Lists!$B$2:$B$7,0)),"✖ المجموعة غير صحيحة",IF(NOT(OR($H533="",$N533&gt;0)),"✖ Start غير صحيح",IF(NOT(OR($I533="",$I533="NR",$O533&gt;0)),"✖ Current غير صحيح",IF(NOT(IF(ISNUMBER($J533),AND($J533&gt;=0,$J533=INT($J533)),FALSE())),"✖ العدد يجب أن يكون صحيحًا ≥ 0",IF(AND($F533="Baseline",$H533&lt;&gt;""),"⚠ Baseline: Start لا يدخل في التقدم",IF($K533="No Start (attainment only)","ℹ تحصيل فقط (بدون Start)",IF($K533="U – needs rule","ℹ حالة U تحتاج قاعدة معتمدة",IF($K533="No result","ℹ بدون نتيجة (يُستبعد من التحصيل)","OK")))))))))))</f>
        <v/>
      </c>
      <c r="M533" s="64" t="n">
        <f aca="false">IF($A533="",0,IFERROR(MATCH($A533,Classes!$A$6:$A$420,0),0))</f>
        <v>0</v>
      </c>
      <c r="N533" s="64" t="n">
        <f aca="false">IF($H533="",0,IFERROR(MATCH($H533,GradeList,0),0))</f>
        <v>0</v>
      </c>
      <c r="O533" s="64" t="n">
        <f aca="false">IF(OR($I533="",$I533="NR"),0,IFERROR(MATCH($I533,GradeList,0),0))</f>
        <v>0</v>
      </c>
      <c r="P533" s="64" t="n">
        <f aca="false">IF(AND($M533&gt;0,ISNUMBER(MATCH($F533,Lists!$A$2:$A$5,0)),ISNUMBER(MATCH($G533,Lists!$B$2:$B$7,0)),OR($H533="",$N533&gt;0),OR($I533="",$I533="NR",$O533&gt;0),IF(ISNUMBER($J533),AND($J533&gt;=0,$J533=INT($J533)),FALSE())),$J533,0)</f>
        <v>0</v>
      </c>
      <c r="Q533" s="64" t="n">
        <f aca="false">IF(AND($P533&gt;0,$O533&gt;0),$P533,0)</f>
        <v>0</v>
      </c>
      <c r="R533" s="64" t="n">
        <f aca="false">IF(AND($Q533&gt;0,$O533&gt;=AtRank),$Q533,0)</f>
        <v>0</v>
      </c>
      <c r="S533" s="64" t="n">
        <f aca="false">IF(AND($Q533&gt;0,$O533&gt;=AboveRank),$Q533,0)</f>
        <v>0</v>
      </c>
      <c r="T533" s="64" t="n">
        <f aca="false">IF($K533="Less",$P533,0)</f>
        <v>0</v>
      </c>
      <c r="U533" s="64" t="n">
        <f aca="false">IF($K533="Expected",$P533,0)</f>
        <v>0</v>
      </c>
      <c r="V533" s="64" t="n">
        <f aca="false">IF($K533="Better",$P533,0)</f>
        <v>0</v>
      </c>
      <c r="W533" s="64" t="n">
        <f aca="false">IF($K533="U – needs rule",$P533,0)</f>
        <v>0</v>
      </c>
      <c r="X533" s="64" t="n">
        <f aca="false">IF($K533="No Start (attainment only)",$P533,0)</f>
        <v>0</v>
      </c>
    </row>
    <row r="534" customFormat="false" ht="15" hidden="false" customHeight="false" outlineLevel="0" collapsed="false">
      <c r="A534" s="60"/>
      <c r="B534" s="61" t="str">
        <f aca="false">IF($M534=0,"",INDEX(Classes!$E$6:$E$420,$M534))</f>
        <v/>
      </c>
      <c r="C534" s="62" t="str">
        <f aca="false">IF($M534=0,"",INDEX(Classes!$H$6:$H$420,$M534))</f>
        <v/>
      </c>
      <c r="D534" s="61" t="str">
        <f aca="false">IF($M534=0,"",INDEX(Classes!$B$6:$B$420,$M534))</f>
        <v/>
      </c>
      <c r="E534" s="61" t="str">
        <f aca="false">IF($M534=0,"",INDEX(Classes!$C$6:$C$420,$M534))</f>
        <v/>
      </c>
      <c r="F534" s="63"/>
      <c r="G534" s="63"/>
      <c r="H534" s="60"/>
      <c r="I534" s="60"/>
      <c r="J534" s="63"/>
      <c r="K534" s="61" t="str">
        <f aca="false">IF($P534=0,"",IF($F534="Baseline","— Baseline",IF($O534=0,"No result",IF($N534=0,"No Start (attainment only)",IF(OR($N534=1,$O534=1),"U – needs rule",INDEX(MxBody,MATCH($I534,MxCurr,0),MATCH($H534,MxStart,0)))))))</f>
        <v/>
      </c>
      <c r="L534" s="62" t="str">
        <f aca="false">IF(COUNTA($A534,$F534,$G534,$H534,$I534,$J534)=0,"",IF($M534=0,"✖ كود الصف غير موجود",IF(ISNA(MATCH($F534,Lists!$A$2:$A$5,0)),"✖ الفترة غير صحيحة",IF(ISNA(MATCH($G534,Lists!$B$2:$B$7,0)),"✖ المجموعة غير صحيحة",IF(NOT(OR($H534="",$N534&gt;0)),"✖ Start غير صحيح",IF(NOT(OR($I534="",$I534="NR",$O534&gt;0)),"✖ Current غير صحيح",IF(NOT(IF(ISNUMBER($J534),AND($J534&gt;=0,$J534=INT($J534)),FALSE())),"✖ العدد يجب أن يكون صحيحًا ≥ 0",IF(AND($F534="Baseline",$H534&lt;&gt;""),"⚠ Baseline: Start لا يدخل في التقدم",IF($K534="No Start (attainment only)","ℹ تحصيل فقط (بدون Start)",IF($K534="U – needs rule","ℹ حالة U تحتاج قاعدة معتمدة",IF($K534="No result","ℹ بدون نتيجة (يُستبعد من التحصيل)","OK")))))))))))</f>
        <v/>
      </c>
      <c r="M534" s="64" t="n">
        <f aca="false">IF($A534="",0,IFERROR(MATCH($A534,Classes!$A$6:$A$420,0),0))</f>
        <v>0</v>
      </c>
      <c r="N534" s="64" t="n">
        <f aca="false">IF($H534="",0,IFERROR(MATCH($H534,GradeList,0),0))</f>
        <v>0</v>
      </c>
      <c r="O534" s="64" t="n">
        <f aca="false">IF(OR($I534="",$I534="NR"),0,IFERROR(MATCH($I534,GradeList,0),0))</f>
        <v>0</v>
      </c>
      <c r="P534" s="64" t="n">
        <f aca="false">IF(AND($M534&gt;0,ISNUMBER(MATCH($F534,Lists!$A$2:$A$5,0)),ISNUMBER(MATCH($G534,Lists!$B$2:$B$7,0)),OR($H534="",$N534&gt;0),OR($I534="",$I534="NR",$O534&gt;0),IF(ISNUMBER($J534),AND($J534&gt;=0,$J534=INT($J534)),FALSE())),$J534,0)</f>
        <v>0</v>
      </c>
      <c r="Q534" s="64" t="n">
        <f aca="false">IF(AND($P534&gt;0,$O534&gt;0),$P534,0)</f>
        <v>0</v>
      </c>
      <c r="R534" s="64" t="n">
        <f aca="false">IF(AND($Q534&gt;0,$O534&gt;=AtRank),$Q534,0)</f>
        <v>0</v>
      </c>
      <c r="S534" s="64" t="n">
        <f aca="false">IF(AND($Q534&gt;0,$O534&gt;=AboveRank),$Q534,0)</f>
        <v>0</v>
      </c>
      <c r="T534" s="64" t="n">
        <f aca="false">IF($K534="Less",$P534,0)</f>
        <v>0</v>
      </c>
      <c r="U534" s="64" t="n">
        <f aca="false">IF($K534="Expected",$P534,0)</f>
        <v>0</v>
      </c>
      <c r="V534" s="64" t="n">
        <f aca="false">IF($K534="Better",$P534,0)</f>
        <v>0</v>
      </c>
      <c r="W534" s="64" t="n">
        <f aca="false">IF($K534="U – needs rule",$P534,0)</f>
        <v>0</v>
      </c>
      <c r="X534" s="64" t="n">
        <f aca="false">IF($K534="No Start (attainment only)",$P534,0)</f>
        <v>0</v>
      </c>
    </row>
    <row r="535" customFormat="false" ht="15" hidden="false" customHeight="false" outlineLevel="0" collapsed="false">
      <c r="A535" s="60"/>
      <c r="B535" s="61" t="str">
        <f aca="false">IF($M535=0,"",INDEX(Classes!$E$6:$E$420,$M535))</f>
        <v/>
      </c>
      <c r="C535" s="62" t="str">
        <f aca="false">IF($M535=0,"",INDEX(Classes!$H$6:$H$420,$M535))</f>
        <v/>
      </c>
      <c r="D535" s="61" t="str">
        <f aca="false">IF($M535=0,"",INDEX(Classes!$B$6:$B$420,$M535))</f>
        <v/>
      </c>
      <c r="E535" s="61" t="str">
        <f aca="false">IF($M535=0,"",INDEX(Classes!$C$6:$C$420,$M535))</f>
        <v/>
      </c>
      <c r="F535" s="63"/>
      <c r="G535" s="63"/>
      <c r="H535" s="60"/>
      <c r="I535" s="60"/>
      <c r="J535" s="63"/>
      <c r="K535" s="61" t="str">
        <f aca="false">IF($P535=0,"",IF($F535="Baseline","— Baseline",IF($O535=0,"No result",IF($N535=0,"No Start (attainment only)",IF(OR($N535=1,$O535=1),"U – needs rule",INDEX(MxBody,MATCH($I535,MxCurr,0),MATCH($H535,MxStart,0)))))))</f>
        <v/>
      </c>
      <c r="L535" s="62" t="str">
        <f aca="false">IF(COUNTA($A535,$F535,$G535,$H535,$I535,$J535)=0,"",IF($M535=0,"✖ كود الصف غير موجود",IF(ISNA(MATCH($F535,Lists!$A$2:$A$5,0)),"✖ الفترة غير صحيحة",IF(ISNA(MATCH($G535,Lists!$B$2:$B$7,0)),"✖ المجموعة غير صحيحة",IF(NOT(OR($H535="",$N535&gt;0)),"✖ Start غير صحيح",IF(NOT(OR($I535="",$I535="NR",$O535&gt;0)),"✖ Current غير صحيح",IF(NOT(IF(ISNUMBER($J535),AND($J535&gt;=0,$J535=INT($J535)),FALSE())),"✖ العدد يجب أن يكون صحيحًا ≥ 0",IF(AND($F535="Baseline",$H535&lt;&gt;""),"⚠ Baseline: Start لا يدخل في التقدم",IF($K535="No Start (attainment only)","ℹ تحصيل فقط (بدون Start)",IF($K535="U – needs rule","ℹ حالة U تحتاج قاعدة معتمدة",IF($K535="No result","ℹ بدون نتيجة (يُستبعد من التحصيل)","OK")))))))))))</f>
        <v/>
      </c>
      <c r="M535" s="64" t="n">
        <f aca="false">IF($A535="",0,IFERROR(MATCH($A535,Classes!$A$6:$A$420,0),0))</f>
        <v>0</v>
      </c>
      <c r="N535" s="64" t="n">
        <f aca="false">IF($H535="",0,IFERROR(MATCH($H535,GradeList,0),0))</f>
        <v>0</v>
      </c>
      <c r="O535" s="64" t="n">
        <f aca="false">IF(OR($I535="",$I535="NR"),0,IFERROR(MATCH($I535,GradeList,0),0))</f>
        <v>0</v>
      </c>
      <c r="P535" s="64" t="n">
        <f aca="false">IF(AND($M535&gt;0,ISNUMBER(MATCH($F535,Lists!$A$2:$A$5,0)),ISNUMBER(MATCH($G535,Lists!$B$2:$B$7,0)),OR($H535="",$N535&gt;0),OR($I535="",$I535="NR",$O535&gt;0),IF(ISNUMBER($J535),AND($J535&gt;=0,$J535=INT($J535)),FALSE())),$J535,0)</f>
        <v>0</v>
      </c>
      <c r="Q535" s="64" t="n">
        <f aca="false">IF(AND($P535&gt;0,$O535&gt;0),$P535,0)</f>
        <v>0</v>
      </c>
      <c r="R535" s="64" t="n">
        <f aca="false">IF(AND($Q535&gt;0,$O535&gt;=AtRank),$Q535,0)</f>
        <v>0</v>
      </c>
      <c r="S535" s="64" t="n">
        <f aca="false">IF(AND($Q535&gt;0,$O535&gt;=AboveRank),$Q535,0)</f>
        <v>0</v>
      </c>
      <c r="T535" s="64" t="n">
        <f aca="false">IF($K535="Less",$P535,0)</f>
        <v>0</v>
      </c>
      <c r="U535" s="64" t="n">
        <f aca="false">IF($K535="Expected",$P535,0)</f>
        <v>0</v>
      </c>
      <c r="V535" s="64" t="n">
        <f aca="false">IF($K535="Better",$P535,0)</f>
        <v>0</v>
      </c>
      <c r="W535" s="64" t="n">
        <f aca="false">IF($K535="U – needs rule",$P535,0)</f>
        <v>0</v>
      </c>
      <c r="X535" s="64" t="n">
        <f aca="false">IF($K535="No Start (attainment only)",$P535,0)</f>
        <v>0</v>
      </c>
    </row>
    <row r="536" customFormat="false" ht="15" hidden="false" customHeight="false" outlineLevel="0" collapsed="false">
      <c r="A536" s="60"/>
      <c r="B536" s="61" t="str">
        <f aca="false">IF($M536=0,"",INDEX(Classes!$E$6:$E$420,$M536))</f>
        <v/>
      </c>
      <c r="C536" s="62" t="str">
        <f aca="false">IF($M536=0,"",INDEX(Classes!$H$6:$H$420,$M536))</f>
        <v/>
      </c>
      <c r="D536" s="61" t="str">
        <f aca="false">IF($M536=0,"",INDEX(Classes!$B$6:$B$420,$M536))</f>
        <v/>
      </c>
      <c r="E536" s="61" t="str">
        <f aca="false">IF($M536=0,"",INDEX(Classes!$C$6:$C$420,$M536))</f>
        <v/>
      </c>
      <c r="F536" s="63"/>
      <c r="G536" s="63"/>
      <c r="H536" s="60"/>
      <c r="I536" s="60"/>
      <c r="J536" s="63"/>
      <c r="K536" s="61" t="str">
        <f aca="false">IF($P536=0,"",IF($F536="Baseline","— Baseline",IF($O536=0,"No result",IF($N536=0,"No Start (attainment only)",IF(OR($N536=1,$O536=1),"U – needs rule",INDEX(MxBody,MATCH($I536,MxCurr,0),MATCH($H536,MxStart,0)))))))</f>
        <v/>
      </c>
      <c r="L536" s="62" t="str">
        <f aca="false">IF(COUNTA($A536,$F536,$G536,$H536,$I536,$J536)=0,"",IF($M536=0,"✖ كود الصف غير موجود",IF(ISNA(MATCH($F536,Lists!$A$2:$A$5,0)),"✖ الفترة غير صحيحة",IF(ISNA(MATCH($G536,Lists!$B$2:$B$7,0)),"✖ المجموعة غير صحيحة",IF(NOT(OR($H536="",$N536&gt;0)),"✖ Start غير صحيح",IF(NOT(OR($I536="",$I536="NR",$O536&gt;0)),"✖ Current غير صحيح",IF(NOT(IF(ISNUMBER($J536),AND($J536&gt;=0,$J536=INT($J536)),FALSE())),"✖ العدد يجب أن يكون صحيحًا ≥ 0",IF(AND($F536="Baseline",$H536&lt;&gt;""),"⚠ Baseline: Start لا يدخل في التقدم",IF($K536="No Start (attainment only)","ℹ تحصيل فقط (بدون Start)",IF($K536="U – needs rule","ℹ حالة U تحتاج قاعدة معتمدة",IF($K536="No result","ℹ بدون نتيجة (يُستبعد من التحصيل)","OK")))))))))))</f>
        <v/>
      </c>
      <c r="M536" s="64" t="n">
        <f aca="false">IF($A536="",0,IFERROR(MATCH($A536,Classes!$A$6:$A$420,0),0))</f>
        <v>0</v>
      </c>
      <c r="N536" s="64" t="n">
        <f aca="false">IF($H536="",0,IFERROR(MATCH($H536,GradeList,0),0))</f>
        <v>0</v>
      </c>
      <c r="O536" s="64" t="n">
        <f aca="false">IF(OR($I536="",$I536="NR"),0,IFERROR(MATCH($I536,GradeList,0),0))</f>
        <v>0</v>
      </c>
      <c r="P536" s="64" t="n">
        <f aca="false">IF(AND($M536&gt;0,ISNUMBER(MATCH($F536,Lists!$A$2:$A$5,0)),ISNUMBER(MATCH($G536,Lists!$B$2:$B$7,0)),OR($H536="",$N536&gt;0),OR($I536="",$I536="NR",$O536&gt;0),IF(ISNUMBER($J536),AND($J536&gt;=0,$J536=INT($J536)),FALSE())),$J536,0)</f>
        <v>0</v>
      </c>
      <c r="Q536" s="64" t="n">
        <f aca="false">IF(AND($P536&gt;0,$O536&gt;0),$P536,0)</f>
        <v>0</v>
      </c>
      <c r="R536" s="64" t="n">
        <f aca="false">IF(AND($Q536&gt;0,$O536&gt;=AtRank),$Q536,0)</f>
        <v>0</v>
      </c>
      <c r="S536" s="64" t="n">
        <f aca="false">IF(AND($Q536&gt;0,$O536&gt;=AboveRank),$Q536,0)</f>
        <v>0</v>
      </c>
      <c r="T536" s="64" t="n">
        <f aca="false">IF($K536="Less",$P536,0)</f>
        <v>0</v>
      </c>
      <c r="U536" s="64" t="n">
        <f aca="false">IF($K536="Expected",$P536,0)</f>
        <v>0</v>
      </c>
      <c r="V536" s="64" t="n">
        <f aca="false">IF($K536="Better",$P536,0)</f>
        <v>0</v>
      </c>
      <c r="W536" s="64" t="n">
        <f aca="false">IF($K536="U – needs rule",$P536,0)</f>
        <v>0</v>
      </c>
      <c r="X536" s="64" t="n">
        <f aca="false">IF($K536="No Start (attainment only)",$P536,0)</f>
        <v>0</v>
      </c>
    </row>
    <row r="537" customFormat="false" ht="15" hidden="false" customHeight="false" outlineLevel="0" collapsed="false">
      <c r="A537" s="60"/>
      <c r="B537" s="61" t="str">
        <f aca="false">IF($M537=0,"",INDEX(Classes!$E$6:$E$420,$M537))</f>
        <v/>
      </c>
      <c r="C537" s="62" t="str">
        <f aca="false">IF($M537=0,"",INDEX(Classes!$H$6:$H$420,$M537))</f>
        <v/>
      </c>
      <c r="D537" s="61" t="str">
        <f aca="false">IF($M537=0,"",INDEX(Classes!$B$6:$B$420,$M537))</f>
        <v/>
      </c>
      <c r="E537" s="61" t="str">
        <f aca="false">IF($M537=0,"",INDEX(Classes!$C$6:$C$420,$M537))</f>
        <v/>
      </c>
      <c r="F537" s="63"/>
      <c r="G537" s="63"/>
      <c r="H537" s="60"/>
      <c r="I537" s="60"/>
      <c r="J537" s="63"/>
      <c r="K537" s="61" t="str">
        <f aca="false">IF($P537=0,"",IF($F537="Baseline","— Baseline",IF($O537=0,"No result",IF($N537=0,"No Start (attainment only)",IF(OR($N537=1,$O537=1),"U – needs rule",INDEX(MxBody,MATCH($I537,MxCurr,0),MATCH($H537,MxStart,0)))))))</f>
        <v/>
      </c>
      <c r="L537" s="62" t="str">
        <f aca="false">IF(COUNTA($A537,$F537,$G537,$H537,$I537,$J537)=0,"",IF($M537=0,"✖ كود الصف غير موجود",IF(ISNA(MATCH($F537,Lists!$A$2:$A$5,0)),"✖ الفترة غير صحيحة",IF(ISNA(MATCH($G537,Lists!$B$2:$B$7,0)),"✖ المجموعة غير صحيحة",IF(NOT(OR($H537="",$N537&gt;0)),"✖ Start غير صحيح",IF(NOT(OR($I537="",$I537="NR",$O537&gt;0)),"✖ Current غير صحيح",IF(NOT(IF(ISNUMBER($J537),AND($J537&gt;=0,$J537=INT($J537)),FALSE())),"✖ العدد يجب أن يكون صحيحًا ≥ 0",IF(AND($F537="Baseline",$H537&lt;&gt;""),"⚠ Baseline: Start لا يدخل في التقدم",IF($K537="No Start (attainment only)","ℹ تحصيل فقط (بدون Start)",IF($K537="U – needs rule","ℹ حالة U تحتاج قاعدة معتمدة",IF($K537="No result","ℹ بدون نتيجة (يُستبعد من التحصيل)","OK")))))))))))</f>
        <v/>
      </c>
      <c r="M537" s="64" t="n">
        <f aca="false">IF($A537="",0,IFERROR(MATCH($A537,Classes!$A$6:$A$420,0),0))</f>
        <v>0</v>
      </c>
      <c r="N537" s="64" t="n">
        <f aca="false">IF($H537="",0,IFERROR(MATCH($H537,GradeList,0),0))</f>
        <v>0</v>
      </c>
      <c r="O537" s="64" t="n">
        <f aca="false">IF(OR($I537="",$I537="NR"),0,IFERROR(MATCH($I537,GradeList,0),0))</f>
        <v>0</v>
      </c>
      <c r="P537" s="64" t="n">
        <f aca="false">IF(AND($M537&gt;0,ISNUMBER(MATCH($F537,Lists!$A$2:$A$5,0)),ISNUMBER(MATCH($G537,Lists!$B$2:$B$7,0)),OR($H537="",$N537&gt;0),OR($I537="",$I537="NR",$O537&gt;0),IF(ISNUMBER($J537),AND($J537&gt;=0,$J537=INT($J537)),FALSE())),$J537,0)</f>
        <v>0</v>
      </c>
      <c r="Q537" s="64" t="n">
        <f aca="false">IF(AND($P537&gt;0,$O537&gt;0),$P537,0)</f>
        <v>0</v>
      </c>
      <c r="R537" s="64" t="n">
        <f aca="false">IF(AND($Q537&gt;0,$O537&gt;=AtRank),$Q537,0)</f>
        <v>0</v>
      </c>
      <c r="S537" s="64" t="n">
        <f aca="false">IF(AND($Q537&gt;0,$O537&gt;=AboveRank),$Q537,0)</f>
        <v>0</v>
      </c>
      <c r="T537" s="64" t="n">
        <f aca="false">IF($K537="Less",$P537,0)</f>
        <v>0</v>
      </c>
      <c r="U537" s="64" t="n">
        <f aca="false">IF($K537="Expected",$P537,0)</f>
        <v>0</v>
      </c>
      <c r="V537" s="64" t="n">
        <f aca="false">IF($K537="Better",$P537,0)</f>
        <v>0</v>
      </c>
      <c r="W537" s="64" t="n">
        <f aca="false">IF($K537="U – needs rule",$P537,0)</f>
        <v>0</v>
      </c>
      <c r="X537" s="64" t="n">
        <f aca="false">IF($K537="No Start (attainment only)",$P537,0)</f>
        <v>0</v>
      </c>
    </row>
    <row r="538" customFormat="false" ht="15" hidden="false" customHeight="false" outlineLevel="0" collapsed="false">
      <c r="A538" s="60"/>
      <c r="B538" s="61" t="str">
        <f aca="false">IF($M538=0,"",INDEX(Classes!$E$6:$E$420,$M538))</f>
        <v/>
      </c>
      <c r="C538" s="62" t="str">
        <f aca="false">IF($M538=0,"",INDEX(Classes!$H$6:$H$420,$M538))</f>
        <v/>
      </c>
      <c r="D538" s="61" t="str">
        <f aca="false">IF($M538=0,"",INDEX(Classes!$B$6:$B$420,$M538))</f>
        <v/>
      </c>
      <c r="E538" s="61" t="str">
        <f aca="false">IF($M538=0,"",INDEX(Classes!$C$6:$C$420,$M538))</f>
        <v/>
      </c>
      <c r="F538" s="63"/>
      <c r="G538" s="63"/>
      <c r="H538" s="60"/>
      <c r="I538" s="60"/>
      <c r="J538" s="63"/>
      <c r="K538" s="61" t="str">
        <f aca="false">IF($P538=0,"",IF($F538="Baseline","— Baseline",IF($O538=0,"No result",IF($N538=0,"No Start (attainment only)",IF(OR($N538=1,$O538=1),"U – needs rule",INDEX(MxBody,MATCH($I538,MxCurr,0),MATCH($H538,MxStart,0)))))))</f>
        <v/>
      </c>
      <c r="L538" s="62" t="str">
        <f aca="false">IF(COUNTA($A538,$F538,$G538,$H538,$I538,$J538)=0,"",IF($M538=0,"✖ كود الصف غير موجود",IF(ISNA(MATCH($F538,Lists!$A$2:$A$5,0)),"✖ الفترة غير صحيحة",IF(ISNA(MATCH($G538,Lists!$B$2:$B$7,0)),"✖ المجموعة غير صحيحة",IF(NOT(OR($H538="",$N538&gt;0)),"✖ Start غير صحيح",IF(NOT(OR($I538="",$I538="NR",$O538&gt;0)),"✖ Current غير صحيح",IF(NOT(IF(ISNUMBER($J538),AND($J538&gt;=0,$J538=INT($J538)),FALSE())),"✖ العدد يجب أن يكون صحيحًا ≥ 0",IF(AND($F538="Baseline",$H538&lt;&gt;""),"⚠ Baseline: Start لا يدخل في التقدم",IF($K538="No Start (attainment only)","ℹ تحصيل فقط (بدون Start)",IF($K538="U – needs rule","ℹ حالة U تحتاج قاعدة معتمدة",IF($K538="No result","ℹ بدون نتيجة (يُستبعد من التحصيل)","OK")))))))))))</f>
        <v/>
      </c>
      <c r="M538" s="64" t="n">
        <f aca="false">IF($A538="",0,IFERROR(MATCH($A538,Classes!$A$6:$A$420,0),0))</f>
        <v>0</v>
      </c>
      <c r="N538" s="64" t="n">
        <f aca="false">IF($H538="",0,IFERROR(MATCH($H538,GradeList,0),0))</f>
        <v>0</v>
      </c>
      <c r="O538" s="64" t="n">
        <f aca="false">IF(OR($I538="",$I538="NR"),0,IFERROR(MATCH($I538,GradeList,0),0))</f>
        <v>0</v>
      </c>
      <c r="P538" s="64" t="n">
        <f aca="false">IF(AND($M538&gt;0,ISNUMBER(MATCH($F538,Lists!$A$2:$A$5,0)),ISNUMBER(MATCH($G538,Lists!$B$2:$B$7,0)),OR($H538="",$N538&gt;0),OR($I538="",$I538="NR",$O538&gt;0),IF(ISNUMBER($J538),AND($J538&gt;=0,$J538=INT($J538)),FALSE())),$J538,0)</f>
        <v>0</v>
      </c>
      <c r="Q538" s="64" t="n">
        <f aca="false">IF(AND($P538&gt;0,$O538&gt;0),$P538,0)</f>
        <v>0</v>
      </c>
      <c r="R538" s="64" t="n">
        <f aca="false">IF(AND($Q538&gt;0,$O538&gt;=AtRank),$Q538,0)</f>
        <v>0</v>
      </c>
      <c r="S538" s="64" t="n">
        <f aca="false">IF(AND($Q538&gt;0,$O538&gt;=AboveRank),$Q538,0)</f>
        <v>0</v>
      </c>
      <c r="T538" s="64" t="n">
        <f aca="false">IF($K538="Less",$P538,0)</f>
        <v>0</v>
      </c>
      <c r="U538" s="64" t="n">
        <f aca="false">IF($K538="Expected",$P538,0)</f>
        <v>0</v>
      </c>
      <c r="V538" s="64" t="n">
        <f aca="false">IF($K538="Better",$P538,0)</f>
        <v>0</v>
      </c>
      <c r="W538" s="64" t="n">
        <f aca="false">IF($K538="U – needs rule",$P538,0)</f>
        <v>0</v>
      </c>
      <c r="X538" s="64" t="n">
        <f aca="false">IF($K538="No Start (attainment only)",$P538,0)</f>
        <v>0</v>
      </c>
    </row>
    <row r="539" customFormat="false" ht="15" hidden="false" customHeight="false" outlineLevel="0" collapsed="false">
      <c r="A539" s="60"/>
      <c r="B539" s="61" t="str">
        <f aca="false">IF($M539=0,"",INDEX(Classes!$E$6:$E$420,$M539))</f>
        <v/>
      </c>
      <c r="C539" s="62" t="str">
        <f aca="false">IF($M539=0,"",INDEX(Classes!$H$6:$H$420,$M539))</f>
        <v/>
      </c>
      <c r="D539" s="61" t="str">
        <f aca="false">IF($M539=0,"",INDEX(Classes!$B$6:$B$420,$M539))</f>
        <v/>
      </c>
      <c r="E539" s="61" t="str">
        <f aca="false">IF($M539=0,"",INDEX(Classes!$C$6:$C$420,$M539))</f>
        <v/>
      </c>
      <c r="F539" s="63"/>
      <c r="G539" s="63"/>
      <c r="H539" s="60"/>
      <c r="I539" s="60"/>
      <c r="J539" s="63"/>
      <c r="K539" s="61" t="str">
        <f aca="false">IF($P539=0,"",IF($F539="Baseline","— Baseline",IF($O539=0,"No result",IF($N539=0,"No Start (attainment only)",IF(OR($N539=1,$O539=1),"U – needs rule",INDEX(MxBody,MATCH($I539,MxCurr,0),MATCH($H539,MxStart,0)))))))</f>
        <v/>
      </c>
      <c r="L539" s="62" t="str">
        <f aca="false">IF(COUNTA($A539,$F539,$G539,$H539,$I539,$J539)=0,"",IF($M539=0,"✖ كود الصف غير موجود",IF(ISNA(MATCH($F539,Lists!$A$2:$A$5,0)),"✖ الفترة غير صحيحة",IF(ISNA(MATCH($G539,Lists!$B$2:$B$7,0)),"✖ المجموعة غير صحيحة",IF(NOT(OR($H539="",$N539&gt;0)),"✖ Start غير صحيح",IF(NOT(OR($I539="",$I539="NR",$O539&gt;0)),"✖ Current غير صحيح",IF(NOT(IF(ISNUMBER($J539),AND($J539&gt;=0,$J539=INT($J539)),FALSE())),"✖ العدد يجب أن يكون صحيحًا ≥ 0",IF(AND($F539="Baseline",$H539&lt;&gt;""),"⚠ Baseline: Start لا يدخل في التقدم",IF($K539="No Start (attainment only)","ℹ تحصيل فقط (بدون Start)",IF($K539="U – needs rule","ℹ حالة U تحتاج قاعدة معتمدة",IF($K539="No result","ℹ بدون نتيجة (يُستبعد من التحصيل)","OK")))))))))))</f>
        <v/>
      </c>
      <c r="M539" s="64" t="n">
        <f aca="false">IF($A539="",0,IFERROR(MATCH($A539,Classes!$A$6:$A$420,0),0))</f>
        <v>0</v>
      </c>
      <c r="N539" s="64" t="n">
        <f aca="false">IF($H539="",0,IFERROR(MATCH($H539,GradeList,0),0))</f>
        <v>0</v>
      </c>
      <c r="O539" s="64" t="n">
        <f aca="false">IF(OR($I539="",$I539="NR"),0,IFERROR(MATCH($I539,GradeList,0),0))</f>
        <v>0</v>
      </c>
      <c r="P539" s="64" t="n">
        <f aca="false">IF(AND($M539&gt;0,ISNUMBER(MATCH($F539,Lists!$A$2:$A$5,0)),ISNUMBER(MATCH($G539,Lists!$B$2:$B$7,0)),OR($H539="",$N539&gt;0),OR($I539="",$I539="NR",$O539&gt;0),IF(ISNUMBER($J539),AND($J539&gt;=0,$J539=INT($J539)),FALSE())),$J539,0)</f>
        <v>0</v>
      </c>
      <c r="Q539" s="64" t="n">
        <f aca="false">IF(AND($P539&gt;0,$O539&gt;0),$P539,0)</f>
        <v>0</v>
      </c>
      <c r="R539" s="64" t="n">
        <f aca="false">IF(AND($Q539&gt;0,$O539&gt;=AtRank),$Q539,0)</f>
        <v>0</v>
      </c>
      <c r="S539" s="64" t="n">
        <f aca="false">IF(AND($Q539&gt;0,$O539&gt;=AboveRank),$Q539,0)</f>
        <v>0</v>
      </c>
      <c r="T539" s="64" t="n">
        <f aca="false">IF($K539="Less",$P539,0)</f>
        <v>0</v>
      </c>
      <c r="U539" s="64" t="n">
        <f aca="false">IF($K539="Expected",$P539,0)</f>
        <v>0</v>
      </c>
      <c r="V539" s="64" t="n">
        <f aca="false">IF($K539="Better",$P539,0)</f>
        <v>0</v>
      </c>
      <c r="W539" s="64" t="n">
        <f aca="false">IF($K539="U – needs rule",$P539,0)</f>
        <v>0</v>
      </c>
      <c r="X539" s="64" t="n">
        <f aca="false">IF($K539="No Start (attainment only)",$P539,0)</f>
        <v>0</v>
      </c>
    </row>
    <row r="540" customFormat="false" ht="15" hidden="false" customHeight="false" outlineLevel="0" collapsed="false">
      <c r="A540" s="60"/>
      <c r="B540" s="61" t="str">
        <f aca="false">IF($M540=0,"",INDEX(Classes!$E$6:$E$420,$M540))</f>
        <v/>
      </c>
      <c r="C540" s="62" t="str">
        <f aca="false">IF($M540=0,"",INDEX(Classes!$H$6:$H$420,$M540))</f>
        <v/>
      </c>
      <c r="D540" s="61" t="str">
        <f aca="false">IF($M540=0,"",INDEX(Classes!$B$6:$B$420,$M540))</f>
        <v/>
      </c>
      <c r="E540" s="61" t="str">
        <f aca="false">IF($M540=0,"",INDEX(Classes!$C$6:$C$420,$M540))</f>
        <v/>
      </c>
      <c r="F540" s="63"/>
      <c r="G540" s="63"/>
      <c r="H540" s="60"/>
      <c r="I540" s="60"/>
      <c r="J540" s="63"/>
      <c r="K540" s="61" t="str">
        <f aca="false">IF($P540=0,"",IF($F540="Baseline","— Baseline",IF($O540=0,"No result",IF($N540=0,"No Start (attainment only)",IF(OR($N540=1,$O540=1),"U – needs rule",INDEX(MxBody,MATCH($I540,MxCurr,0),MATCH($H540,MxStart,0)))))))</f>
        <v/>
      </c>
      <c r="L540" s="62" t="str">
        <f aca="false">IF(COUNTA($A540,$F540,$G540,$H540,$I540,$J540)=0,"",IF($M540=0,"✖ كود الصف غير موجود",IF(ISNA(MATCH($F540,Lists!$A$2:$A$5,0)),"✖ الفترة غير صحيحة",IF(ISNA(MATCH($G540,Lists!$B$2:$B$7,0)),"✖ المجموعة غير صحيحة",IF(NOT(OR($H540="",$N540&gt;0)),"✖ Start غير صحيح",IF(NOT(OR($I540="",$I540="NR",$O540&gt;0)),"✖ Current غير صحيح",IF(NOT(IF(ISNUMBER($J540),AND($J540&gt;=0,$J540=INT($J540)),FALSE())),"✖ العدد يجب أن يكون صحيحًا ≥ 0",IF(AND($F540="Baseline",$H540&lt;&gt;""),"⚠ Baseline: Start لا يدخل في التقدم",IF($K540="No Start (attainment only)","ℹ تحصيل فقط (بدون Start)",IF($K540="U – needs rule","ℹ حالة U تحتاج قاعدة معتمدة",IF($K540="No result","ℹ بدون نتيجة (يُستبعد من التحصيل)","OK")))))))))))</f>
        <v/>
      </c>
      <c r="M540" s="64" t="n">
        <f aca="false">IF($A540="",0,IFERROR(MATCH($A540,Classes!$A$6:$A$420,0),0))</f>
        <v>0</v>
      </c>
      <c r="N540" s="64" t="n">
        <f aca="false">IF($H540="",0,IFERROR(MATCH($H540,GradeList,0),0))</f>
        <v>0</v>
      </c>
      <c r="O540" s="64" t="n">
        <f aca="false">IF(OR($I540="",$I540="NR"),0,IFERROR(MATCH($I540,GradeList,0),0))</f>
        <v>0</v>
      </c>
      <c r="P540" s="64" t="n">
        <f aca="false">IF(AND($M540&gt;0,ISNUMBER(MATCH($F540,Lists!$A$2:$A$5,0)),ISNUMBER(MATCH($G540,Lists!$B$2:$B$7,0)),OR($H540="",$N540&gt;0),OR($I540="",$I540="NR",$O540&gt;0),IF(ISNUMBER($J540),AND($J540&gt;=0,$J540=INT($J540)),FALSE())),$J540,0)</f>
        <v>0</v>
      </c>
      <c r="Q540" s="64" t="n">
        <f aca="false">IF(AND($P540&gt;0,$O540&gt;0),$P540,0)</f>
        <v>0</v>
      </c>
      <c r="R540" s="64" t="n">
        <f aca="false">IF(AND($Q540&gt;0,$O540&gt;=AtRank),$Q540,0)</f>
        <v>0</v>
      </c>
      <c r="S540" s="64" t="n">
        <f aca="false">IF(AND($Q540&gt;0,$O540&gt;=AboveRank),$Q540,0)</f>
        <v>0</v>
      </c>
      <c r="T540" s="64" t="n">
        <f aca="false">IF($K540="Less",$P540,0)</f>
        <v>0</v>
      </c>
      <c r="U540" s="64" t="n">
        <f aca="false">IF($K540="Expected",$P540,0)</f>
        <v>0</v>
      </c>
      <c r="V540" s="64" t="n">
        <f aca="false">IF($K540="Better",$P540,0)</f>
        <v>0</v>
      </c>
      <c r="W540" s="64" t="n">
        <f aca="false">IF($K540="U – needs rule",$P540,0)</f>
        <v>0</v>
      </c>
      <c r="X540" s="64" t="n">
        <f aca="false">IF($K540="No Start (attainment only)",$P540,0)</f>
        <v>0</v>
      </c>
    </row>
    <row r="541" customFormat="false" ht="15" hidden="false" customHeight="false" outlineLevel="0" collapsed="false">
      <c r="A541" s="60"/>
      <c r="B541" s="61" t="str">
        <f aca="false">IF($M541=0,"",INDEX(Classes!$E$6:$E$420,$M541))</f>
        <v/>
      </c>
      <c r="C541" s="62" t="str">
        <f aca="false">IF($M541=0,"",INDEX(Classes!$H$6:$H$420,$M541))</f>
        <v/>
      </c>
      <c r="D541" s="61" t="str">
        <f aca="false">IF($M541=0,"",INDEX(Classes!$B$6:$B$420,$M541))</f>
        <v/>
      </c>
      <c r="E541" s="61" t="str">
        <f aca="false">IF($M541=0,"",INDEX(Classes!$C$6:$C$420,$M541))</f>
        <v/>
      </c>
      <c r="F541" s="63"/>
      <c r="G541" s="63"/>
      <c r="H541" s="60"/>
      <c r="I541" s="60"/>
      <c r="J541" s="63"/>
      <c r="K541" s="61" t="str">
        <f aca="false">IF($P541=0,"",IF($F541="Baseline","— Baseline",IF($O541=0,"No result",IF($N541=0,"No Start (attainment only)",IF(OR($N541=1,$O541=1),"U – needs rule",INDEX(MxBody,MATCH($I541,MxCurr,0),MATCH($H541,MxStart,0)))))))</f>
        <v/>
      </c>
      <c r="L541" s="62" t="str">
        <f aca="false">IF(COUNTA($A541,$F541,$G541,$H541,$I541,$J541)=0,"",IF($M541=0,"✖ كود الصف غير موجود",IF(ISNA(MATCH($F541,Lists!$A$2:$A$5,0)),"✖ الفترة غير صحيحة",IF(ISNA(MATCH($G541,Lists!$B$2:$B$7,0)),"✖ المجموعة غير صحيحة",IF(NOT(OR($H541="",$N541&gt;0)),"✖ Start غير صحيح",IF(NOT(OR($I541="",$I541="NR",$O541&gt;0)),"✖ Current غير صحيح",IF(NOT(IF(ISNUMBER($J541),AND($J541&gt;=0,$J541=INT($J541)),FALSE())),"✖ العدد يجب أن يكون صحيحًا ≥ 0",IF(AND($F541="Baseline",$H541&lt;&gt;""),"⚠ Baseline: Start لا يدخل في التقدم",IF($K541="No Start (attainment only)","ℹ تحصيل فقط (بدون Start)",IF($K541="U – needs rule","ℹ حالة U تحتاج قاعدة معتمدة",IF($K541="No result","ℹ بدون نتيجة (يُستبعد من التحصيل)","OK")))))))))))</f>
        <v/>
      </c>
      <c r="M541" s="64" t="n">
        <f aca="false">IF($A541="",0,IFERROR(MATCH($A541,Classes!$A$6:$A$420,0),0))</f>
        <v>0</v>
      </c>
      <c r="N541" s="64" t="n">
        <f aca="false">IF($H541="",0,IFERROR(MATCH($H541,GradeList,0),0))</f>
        <v>0</v>
      </c>
      <c r="O541" s="64" t="n">
        <f aca="false">IF(OR($I541="",$I541="NR"),0,IFERROR(MATCH($I541,GradeList,0),0))</f>
        <v>0</v>
      </c>
      <c r="P541" s="64" t="n">
        <f aca="false">IF(AND($M541&gt;0,ISNUMBER(MATCH($F541,Lists!$A$2:$A$5,0)),ISNUMBER(MATCH($G541,Lists!$B$2:$B$7,0)),OR($H541="",$N541&gt;0),OR($I541="",$I541="NR",$O541&gt;0),IF(ISNUMBER($J541),AND($J541&gt;=0,$J541=INT($J541)),FALSE())),$J541,0)</f>
        <v>0</v>
      </c>
      <c r="Q541" s="64" t="n">
        <f aca="false">IF(AND($P541&gt;0,$O541&gt;0),$P541,0)</f>
        <v>0</v>
      </c>
      <c r="R541" s="64" t="n">
        <f aca="false">IF(AND($Q541&gt;0,$O541&gt;=AtRank),$Q541,0)</f>
        <v>0</v>
      </c>
      <c r="S541" s="64" t="n">
        <f aca="false">IF(AND($Q541&gt;0,$O541&gt;=AboveRank),$Q541,0)</f>
        <v>0</v>
      </c>
      <c r="T541" s="64" t="n">
        <f aca="false">IF($K541="Less",$P541,0)</f>
        <v>0</v>
      </c>
      <c r="U541" s="64" t="n">
        <f aca="false">IF($K541="Expected",$P541,0)</f>
        <v>0</v>
      </c>
      <c r="V541" s="64" t="n">
        <f aca="false">IF($K541="Better",$P541,0)</f>
        <v>0</v>
      </c>
      <c r="W541" s="64" t="n">
        <f aca="false">IF($K541="U – needs rule",$P541,0)</f>
        <v>0</v>
      </c>
      <c r="X541" s="64" t="n">
        <f aca="false">IF($K541="No Start (attainment only)",$P541,0)</f>
        <v>0</v>
      </c>
    </row>
    <row r="542" customFormat="false" ht="15" hidden="false" customHeight="false" outlineLevel="0" collapsed="false">
      <c r="A542" s="60"/>
      <c r="B542" s="61" t="str">
        <f aca="false">IF($M542=0,"",INDEX(Classes!$E$6:$E$420,$M542))</f>
        <v/>
      </c>
      <c r="C542" s="62" t="str">
        <f aca="false">IF($M542=0,"",INDEX(Classes!$H$6:$H$420,$M542))</f>
        <v/>
      </c>
      <c r="D542" s="61" t="str">
        <f aca="false">IF($M542=0,"",INDEX(Classes!$B$6:$B$420,$M542))</f>
        <v/>
      </c>
      <c r="E542" s="61" t="str">
        <f aca="false">IF($M542=0,"",INDEX(Classes!$C$6:$C$420,$M542))</f>
        <v/>
      </c>
      <c r="F542" s="63"/>
      <c r="G542" s="63"/>
      <c r="H542" s="60"/>
      <c r="I542" s="60"/>
      <c r="J542" s="63"/>
      <c r="K542" s="61" t="str">
        <f aca="false">IF($P542=0,"",IF($F542="Baseline","— Baseline",IF($O542=0,"No result",IF($N542=0,"No Start (attainment only)",IF(OR($N542=1,$O542=1),"U – needs rule",INDEX(MxBody,MATCH($I542,MxCurr,0),MATCH($H542,MxStart,0)))))))</f>
        <v/>
      </c>
      <c r="L542" s="62" t="str">
        <f aca="false">IF(COUNTA($A542,$F542,$G542,$H542,$I542,$J542)=0,"",IF($M542=0,"✖ كود الصف غير موجود",IF(ISNA(MATCH($F542,Lists!$A$2:$A$5,0)),"✖ الفترة غير صحيحة",IF(ISNA(MATCH($G542,Lists!$B$2:$B$7,0)),"✖ المجموعة غير صحيحة",IF(NOT(OR($H542="",$N542&gt;0)),"✖ Start غير صحيح",IF(NOT(OR($I542="",$I542="NR",$O542&gt;0)),"✖ Current غير صحيح",IF(NOT(IF(ISNUMBER($J542),AND($J542&gt;=0,$J542=INT($J542)),FALSE())),"✖ العدد يجب أن يكون صحيحًا ≥ 0",IF(AND($F542="Baseline",$H542&lt;&gt;""),"⚠ Baseline: Start لا يدخل في التقدم",IF($K542="No Start (attainment only)","ℹ تحصيل فقط (بدون Start)",IF($K542="U – needs rule","ℹ حالة U تحتاج قاعدة معتمدة",IF($K542="No result","ℹ بدون نتيجة (يُستبعد من التحصيل)","OK")))))))))))</f>
        <v/>
      </c>
      <c r="M542" s="64" t="n">
        <f aca="false">IF($A542="",0,IFERROR(MATCH($A542,Classes!$A$6:$A$420,0),0))</f>
        <v>0</v>
      </c>
      <c r="N542" s="64" t="n">
        <f aca="false">IF($H542="",0,IFERROR(MATCH($H542,GradeList,0),0))</f>
        <v>0</v>
      </c>
      <c r="O542" s="64" t="n">
        <f aca="false">IF(OR($I542="",$I542="NR"),0,IFERROR(MATCH($I542,GradeList,0),0))</f>
        <v>0</v>
      </c>
      <c r="P542" s="64" t="n">
        <f aca="false">IF(AND($M542&gt;0,ISNUMBER(MATCH($F542,Lists!$A$2:$A$5,0)),ISNUMBER(MATCH($G542,Lists!$B$2:$B$7,0)),OR($H542="",$N542&gt;0),OR($I542="",$I542="NR",$O542&gt;0),IF(ISNUMBER($J542),AND($J542&gt;=0,$J542=INT($J542)),FALSE())),$J542,0)</f>
        <v>0</v>
      </c>
      <c r="Q542" s="64" t="n">
        <f aca="false">IF(AND($P542&gt;0,$O542&gt;0),$P542,0)</f>
        <v>0</v>
      </c>
      <c r="R542" s="64" t="n">
        <f aca="false">IF(AND($Q542&gt;0,$O542&gt;=AtRank),$Q542,0)</f>
        <v>0</v>
      </c>
      <c r="S542" s="64" t="n">
        <f aca="false">IF(AND($Q542&gt;0,$O542&gt;=AboveRank),$Q542,0)</f>
        <v>0</v>
      </c>
      <c r="T542" s="64" t="n">
        <f aca="false">IF($K542="Less",$P542,0)</f>
        <v>0</v>
      </c>
      <c r="U542" s="64" t="n">
        <f aca="false">IF($K542="Expected",$P542,0)</f>
        <v>0</v>
      </c>
      <c r="V542" s="64" t="n">
        <f aca="false">IF($K542="Better",$P542,0)</f>
        <v>0</v>
      </c>
      <c r="W542" s="64" t="n">
        <f aca="false">IF($K542="U – needs rule",$P542,0)</f>
        <v>0</v>
      </c>
      <c r="X542" s="64" t="n">
        <f aca="false">IF($K542="No Start (attainment only)",$P542,0)</f>
        <v>0</v>
      </c>
    </row>
    <row r="543" customFormat="false" ht="15" hidden="false" customHeight="false" outlineLevel="0" collapsed="false">
      <c r="A543" s="60"/>
      <c r="B543" s="61" t="str">
        <f aca="false">IF($M543=0,"",INDEX(Classes!$E$6:$E$420,$M543))</f>
        <v/>
      </c>
      <c r="C543" s="62" t="str">
        <f aca="false">IF($M543=0,"",INDEX(Classes!$H$6:$H$420,$M543))</f>
        <v/>
      </c>
      <c r="D543" s="61" t="str">
        <f aca="false">IF($M543=0,"",INDEX(Classes!$B$6:$B$420,$M543))</f>
        <v/>
      </c>
      <c r="E543" s="61" t="str">
        <f aca="false">IF($M543=0,"",INDEX(Classes!$C$6:$C$420,$M543))</f>
        <v/>
      </c>
      <c r="F543" s="63"/>
      <c r="G543" s="63"/>
      <c r="H543" s="60"/>
      <c r="I543" s="60"/>
      <c r="J543" s="63"/>
      <c r="K543" s="61" t="str">
        <f aca="false">IF($P543=0,"",IF($F543="Baseline","— Baseline",IF($O543=0,"No result",IF($N543=0,"No Start (attainment only)",IF(OR($N543=1,$O543=1),"U – needs rule",INDEX(MxBody,MATCH($I543,MxCurr,0),MATCH($H543,MxStart,0)))))))</f>
        <v/>
      </c>
      <c r="L543" s="62" t="str">
        <f aca="false">IF(COUNTA($A543,$F543,$G543,$H543,$I543,$J543)=0,"",IF($M543=0,"✖ كود الصف غير موجود",IF(ISNA(MATCH($F543,Lists!$A$2:$A$5,0)),"✖ الفترة غير صحيحة",IF(ISNA(MATCH($G543,Lists!$B$2:$B$7,0)),"✖ المجموعة غير صحيحة",IF(NOT(OR($H543="",$N543&gt;0)),"✖ Start غير صحيح",IF(NOT(OR($I543="",$I543="NR",$O543&gt;0)),"✖ Current غير صحيح",IF(NOT(IF(ISNUMBER($J543),AND($J543&gt;=0,$J543=INT($J543)),FALSE())),"✖ العدد يجب أن يكون صحيحًا ≥ 0",IF(AND($F543="Baseline",$H543&lt;&gt;""),"⚠ Baseline: Start لا يدخل في التقدم",IF($K543="No Start (attainment only)","ℹ تحصيل فقط (بدون Start)",IF($K543="U – needs rule","ℹ حالة U تحتاج قاعدة معتمدة",IF($K543="No result","ℹ بدون نتيجة (يُستبعد من التحصيل)","OK")))))))))))</f>
        <v/>
      </c>
      <c r="M543" s="64" t="n">
        <f aca="false">IF($A543="",0,IFERROR(MATCH($A543,Classes!$A$6:$A$420,0),0))</f>
        <v>0</v>
      </c>
      <c r="N543" s="64" t="n">
        <f aca="false">IF($H543="",0,IFERROR(MATCH($H543,GradeList,0),0))</f>
        <v>0</v>
      </c>
      <c r="O543" s="64" t="n">
        <f aca="false">IF(OR($I543="",$I543="NR"),0,IFERROR(MATCH($I543,GradeList,0),0))</f>
        <v>0</v>
      </c>
      <c r="P543" s="64" t="n">
        <f aca="false">IF(AND($M543&gt;0,ISNUMBER(MATCH($F543,Lists!$A$2:$A$5,0)),ISNUMBER(MATCH($G543,Lists!$B$2:$B$7,0)),OR($H543="",$N543&gt;0),OR($I543="",$I543="NR",$O543&gt;0),IF(ISNUMBER($J543),AND($J543&gt;=0,$J543=INT($J543)),FALSE())),$J543,0)</f>
        <v>0</v>
      </c>
      <c r="Q543" s="64" t="n">
        <f aca="false">IF(AND($P543&gt;0,$O543&gt;0),$P543,0)</f>
        <v>0</v>
      </c>
      <c r="R543" s="64" t="n">
        <f aca="false">IF(AND($Q543&gt;0,$O543&gt;=AtRank),$Q543,0)</f>
        <v>0</v>
      </c>
      <c r="S543" s="64" t="n">
        <f aca="false">IF(AND($Q543&gt;0,$O543&gt;=AboveRank),$Q543,0)</f>
        <v>0</v>
      </c>
      <c r="T543" s="64" t="n">
        <f aca="false">IF($K543="Less",$P543,0)</f>
        <v>0</v>
      </c>
      <c r="U543" s="64" t="n">
        <f aca="false">IF($K543="Expected",$P543,0)</f>
        <v>0</v>
      </c>
      <c r="V543" s="64" t="n">
        <f aca="false">IF($K543="Better",$P543,0)</f>
        <v>0</v>
      </c>
      <c r="W543" s="64" t="n">
        <f aca="false">IF($K543="U – needs rule",$P543,0)</f>
        <v>0</v>
      </c>
      <c r="X543" s="64" t="n">
        <f aca="false">IF($K543="No Start (attainment only)",$P543,0)</f>
        <v>0</v>
      </c>
    </row>
    <row r="544" customFormat="false" ht="15" hidden="false" customHeight="false" outlineLevel="0" collapsed="false">
      <c r="A544" s="60"/>
      <c r="B544" s="61" t="str">
        <f aca="false">IF($M544=0,"",INDEX(Classes!$E$6:$E$420,$M544))</f>
        <v/>
      </c>
      <c r="C544" s="62" t="str">
        <f aca="false">IF($M544=0,"",INDEX(Classes!$H$6:$H$420,$M544))</f>
        <v/>
      </c>
      <c r="D544" s="61" t="str">
        <f aca="false">IF($M544=0,"",INDEX(Classes!$B$6:$B$420,$M544))</f>
        <v/>
      </c>
      <c r="E544" s="61" t="str">
        <f aca="false">IF($M544=0,"",INDEX(Classes!$C$6:$C$420,$M544))</f>
        <v/>
      </c>
      <c r="F544" s="63"/>
      <c r="G544" s="63"/>
      <c r="H544" s="60"/>
      <c r="I544" s="60"/>
      <c r="J544" s="63"/>
      <c r="K544" s="61" t="str">
        <f aca="false">IF($P544=0,"",IF($F544="Baseline","— Baseline",IF($O544=0,"No result",IF($N544=0,"No Start (attainment only)",IF(OR($N544=1,$O544=1),"U – needs rule",INDEX(MxBody,MATCH($I544,MxCurr,0),MATCH($H544,MxStart,0)))))))</f>
        <v/>
      </c>
      <c r="L544" s="62" t="str">
        <f aca="false">IF(COUNTA($A544,$F544,$G544,$H544,$I544,$J544)=0,"",IF($M544=0,"✖ كود الصف غير موجود",IF(ISNA(MATCH($F544,Lists!$A$2:$A$5,0)),"✖ الفترة غير صحيحة",IF(ISNA(MATCH($G544,Lists!$B$2:$B$7,0)),"✖ المجموعة غير صحيحة",IF(NOT(OR($H544="",$N544&gt;0)),"✖ Start غير صحيح",IF(NOT(OR($I544="",$I544="NR",$O544&gt;0)),"✖ Current غير صحيح",IF(NOT(IF(ISNUMBER($J544),AND($J544&gt;=0,$J544=INT($J544)),FALSE())),"✖ العدد يجب أن يكون صحيحًا ≥ 0",IF(AND($F544="Baseline",$H544&lt;&gt;""),"⚠ Baseline: Start لا يدخل في التقدم",IF($K544="No Start (attainment only)","ℹ تحصيل فقط (بدون Start)",IF($K544="U – needs rule","ℹ حالة U تحتاج قاعدة معتمدة",IF($K544="No result","ℹ بدون نتيجة (يُستبعد من التحصيل)","OK")))))))))))</f>
        <v/>
      </c>
      <c r="M544" s="64" t="n">
        <f aca="false">IF($A544="",0,IFERROR(MATCH($A544,Classes!$A$6:$A$420,0),0))</f>
        <v>0</v>
      </c>
      <c r="N544" s="64" t="n">
        <f aca="false">IF($H544="",0,IFERROR(MATCH($H544,GradeList,0),0))</f>
        <v>0</v>
      </c>
      <c r="O544" s="64" t="n">
        <f aca="false">IF(OR($I544="",$I544="NR"),0,IFERROR(MATCH($I544,GradeList,0),0))</f>
        <v>0</v>
      </c>
      <c r="P544" s="64" t="n">
        <f aca="false">IF(AND($M544&gt;0,ISNUMBER(MATCH($F544,Lists!$A$2:$A$5,0)),ISNUMBER(MATCH($G544,Lists!$B$2:$B$7,0)),OR($H544="",$N544&gt;0),OR($I544="",$I544="NR",$O544&gt;0),IF(ISNUMBER($J544),AND($J544&gt;=0,$J544=INT($J544)),FALSE())),$J544,0)</f>
        <v>0</v>
      </c>
      <c r="Q544" s="64" t="n">
        <f aca="false">IF(AND($P544&gt;0,$O544&gt;0),$P544,0)</f>
        <v>0</v>
      </c>
      <c r="R544" s="64" t="n">
        <f aca="false">IF(AND($Q544&gt;0,$O544&gt;=AtRank),$Q544,0)</f>
        <v>0</v>
      </c>
      <c r="S544" s="64" t="n">
        <f aca="false">IF(AND($Q544&gt;0,$O544&gt;=AboveRank),$Q544,0)</f>
        <v>0</v>
      </c>
      <c r="T544" s="64" t="n">
        <f aca="false">IF($K544="Less",$P544,0)</f>
        <v>0</v>
      </c>
      <c r="U544" s="64" t="n">
        <f aca="false">IF($K544="Expected",$P544,0)</f>
        <v>0</v>
      </c>
      <c r="V544" s="64" t="n">
        <f aca="false">IF($K544="Better",$P544,0)</f>
        <v>0</v>
      </c>
      <c r="W544" s="64" t="n">
        <f aca="false">IF($K544="U – needs rule",$P544,0)</f>
        <v>0</v>
      </c>
      <c r="X544" s="64" t="n">
        <f aca="false">IF($K544="No Start (attainment only)",$P544,0)</f>
        <v>0</v>
      </c>
    </row>
    <row r="545" customFormat="false" ht="15" hidden="false" customHeight="false" outlineLevel="0" collapsed="false">
      <c r="A545" s="60"/>
      <c r="B545" s="61" t="str">
        <f aca="false">IF($M545=0,"",INDEX(Classes!$E$6:$E$420,$M545))</f>
        <v/>
      </c>
      <c r="C545" s="62" t="str">
        <f aca="false">IF($M545=0,"",INDEX(Classes!$H$6:$H$420,$M545))</f>
        <v/>
      </c>
      <c r="D545" s="61" t="str">
        <f aca="false">IF($M545=0,"",INDEX(Classes!$B$6:$B$420,$M545))</f>
        <v/>
      </c>
      <c r="E545" s="61" t="str">
        <f aca="false">IF($M545=0,"",INDEX(Classes!$C$6:$C$420,$M545))</f>
        <v/>
      </c>
      <c r="F545" s="63"/>
      <c r="G545" s="63"/>
      <c r="H545" s="60"/>
      <c r="I545" s="60"/>
      <c r="J545" s="63"/>
      <c r="K545" s="61" t="str">
        <f aca="false">IF($P545=0,"",IF($F545="Baseline","— Baseline",IF($O545=0,"No result",IF($N545=0,"No Start (attainment only)",IF(OR($N545=1,$O545=1),"U – needs rule",INDEX(MxBody,MATCH($I545,MxCurr,0),MATCH($H545,MxStart,0)))))))</f>
        <v/>
      </c>
      <c r="L545" s="62" t="str">
        <f aca="false">IF(COUNTA($A545,$F545,$G545,$H545,$I545,$J545)=0,"",IF($M545=0,"✖ كود الصف غير موجود",IF(ISNA(MATCH($F545,Lists!$A$2:$A$5,0)),"✖ الفترة غير صحيحة",IF(ISNA(MATCH($G545,Lists!$B$2:$B$7,0)),"✖ المجموعة غير صحيحة",IF(NOT(OR($H545="",$N545&gt;0)),"✖ Start غير صحيح",IF(NOT(OR($I545="",$I545="NR",$O545&gt;0)),"✖ Current غير صحيح",IF(NOT(IF(ISNUMBER($J545),AND($J545&gt;=0,$J545=INT($J545)),FALSE())),"✖ العدد يجب أن يكون صحيحًا ≥ 0",IF(AND($F545="Baseline",$H545&lt;&gt;""),"⚠ Baseline: Start لا يدخل في التقدم",IF($K545="No Start (attainment only)","ℹ تحصيل فقط (بدون Start)",IF($K545="U – needs rule","ℹ حالة U تحتاج قاعدة معتمدة",IF($K545="No result","ℹ بدون نتيجة (يُستبعد من التحصيل)","OK")))))))))))</f>
        <v/>
      </c>
      <c r="M545" s="64" t="n">
        <f aca="false">IF($A545="",0,IFERROR(MATCH($A545,Classes!$A$6:$A$420,0),0))</f>
        <v>0</v>
      </c>
      <c r="N545" s="64" t="n">
        <f aca="false">IF($H545="",0,IFERROR(MATCH($H545,GradeList,0),0))</f>
        <v>0</v>
      </c>
      <c r="O545" s="64" t="n">
        <f aca="false">IF(OR($I545="",$I545="NR"),0,IFERROR(MATCH($I545,GradeList,0),0))</f>
        <v>0</v>
      </c>
      <c r="P545" s="64" t="n">
        <f aca="false">IF(AND($M545&gt;0,ISNUMBER(MATCH($F545,Lists!$A$2:$A$5,0)),ISNUMBER(MATCH($G545,Lists!$B$2:$B$7,0)),OR($H545="",$N545&gt;0),OR($I545="",$I545="NR",$O545&gt;0),IF(ISNUMBER($J545),AND($J545&gt;=0,$J545=INT($J545)),FALSE())),$J545,0)</f>
        <v>0</v>
      </c>
      <c r="Q545" s="64" t="n">
        <f aca="false">IF(AND($P545&gt;0,$O545&gt;0),$P545,0)</f>
        <v>0</v>
      </c>
      <c r="R545" s="64" t="n">
        <f aca="false">IF(AND($Q545&gt;0,$O545&gt;=AtRank),$Q545,0)</f>
        <v>0</v>
      </c>
      <c r="S545" s="64" t="n">
        <f aca="false">IF(AND($Q545&gt;0,$O545&gt;=AboveRank),$Q545,0)</f>
        <v>0</v>
      </c>
      <c r="T545" s="64" t="n">
        <f aca="false">IF($K545="Less",$P545,0)</f>
        <v>0</v>
      </c>
      <c r="U545" s="64" t="n">
        <f aca="false">IF($K545="Expected",$P545,0)</f>
        <v>0</v>
      </c>
      <c r="V545" s="64" t="n">
        <f aca="false">IF($K545="Better",$P545,0)</f>
        <v>0</v>
      </c>
      <c r="W545" s="64" t="n">
        <f aca="false">IF($K545="U – needs rule",$P545,0)</f>
        <v>0</v>
      </c>
      <c r="X545" s="64" t="n">
        <f aca="false">IF($K545="No Start (attainment only)",$P545,0)</f>
        <v>0</v>
      </c>
    </row>
    <row r="546" customFormat="false" ht="15" hidden="false" customHeight="false" outlineLevel="0" collapsed="false">
      <c r="A546" s="60"/>
      <c r="B546" s="61" t="str">
        <f aca="false">IF($M546=0,"",INDEX(Classes!$E$6:$E$420,$M546))</f>
        <v/>
      </c>
      <c r="C546" s="62" t="str">
        <f aca="false">IF($M546=0,"",INDEX(Classes!$H$6:$H$420,$M546))</f>
        <v/>
      </c>
      <c r="D546" s="61" t="str">
        <f aca="false">IF($M546=0,"",INDEX(Classes!$B$6:$B$420,$M546))</f>
        <v/>
      </c>
      <c r="E546" s="61" t="str">
        <f aca="false">IF($M546=0,"",INDEX(Classes!$C$6:$C$420,$M546))</f>
        <v/>
      </c>
      <c r="F546" s="63"/>
      <c r="G546" s="63"/>
      <c r="H546" s="60"/>
      <c r="I546" s="60"/>
      <c r="J546" s="63"/>
      <c r="K546" s="61" t="str">
        <f aca="false">IF($P546=0,"",IF($F546="Baseline","— Baseline",IF($O546=0,"No result",IF($N546=0,"No Start (attainment only)",IF(OR($N546=1,$O546=1),"U – needs rule",INDEX(MxBody,MATCH($I546,MxCurr,0),MATCH($H546,MxStart,0)))))))</f>
        <v/>
      </c>
      <c r="L546" s="62" t="str">
        <f aca="false">IF(COUNTA($A546,$F546,$G546,$H546,$I546,$J546)=0,"",IF($M546=0,"✖ كود الصف غير موجود",IF(ISNA(MATCH($F546,Lists!$A$2:$A$5,0)),"✖ الفترة غير صحيحة",IF(ISNA(MATCH($G546,Lists!$B$2:$B$7,0)),"✖ المجموعة غير صحيحة",IF(NOT(OR($H546="",$N546&gt;0)),"✖ Start غير صحيح",IF(NOT(OR($I546="",$I546="NR",$O546&gt;0)),"✖ Current غير صحيح",IF(NOT(IF(ISNUMBER($J546),AND($J546&gt;=0,$J546=INT($J546)),FALSE())),"✖ العدد يجب أن يكون صحيحًا ≥ 0",IF(AND($F546="Baseline",$H546&lt;&gt;""),"⚠ Baseline: Start لا يدخل في التقدم",IF($K546="No Start (attainment only)","ℹ تحصيل فقط (بدون Start)",IF($K546="U – needs rule","ℹ حالة U تحتاج قاعدة معتمدة",IF($K546="No result","ℹ بدون نتيجة (يُستبعد من التحصيل)","OK")))))))))))</f>
        <v/>
      </c>
      <c r="M546" s="64" t="n">
        <f aca="false">IF($A546="",0,IFERROR(MATCH($A546,Classes!$A$6:$A$420,0),0))</f>
        <v>0</v>
      </c>
      <c r="N546" s="64" t="n">
        <f aca="false">IF($H546="",0,IFERROR(MATCH($H546,GradeList,0),0))</f>
        <v>0</v>
      </c>
      <c r="O546" s="64" t="n">
        <f aca="false">IF(OR($I546="",$I546="NR"),0,IFERROR(MATCH($I546,GradeList,0),0))</f>
        <v>0</v>
      </c>
      <c r="P546" s="64" t="n">
        <f aca="false">IF(AND($M546&gt;0,ISNUMBER(MATCH($F546,Lists!$A$2:$A$5,0)),ISNUMBER(MATCH($G546,Lists!$B$2:$B$7,0)),OR($H546="",$N546&gt;0),OR($I546="",$I546="NR",$O546&gt;0),IF(ISNUMBER($J546),AND($J546&gt;=0,$J546=INT($J546)),FALSE())),$J546,0)</f>
        <v>0</v>
      </c>
      <c r="Q546" s="64" t="n">
        <f aca="false">IF(AND($P546&gt;0,$O546&gt;0),$P546,0)</f>
        <v>0</v>
      </c>
      <c r="R546" s="64" t="n">
        <f aca="false">IF(AND($Q546&gt;0,$O546&gt;=AtRank),$Q546,0)</f>
        <v>0</v>
      </c>
      <c r="S546" s="64" t="n">
        <f aca="false">IF(AND($Q546&gt;0,$O546&gt;=AboveRank),$Q546,0)</f>
        <v>0</v>
      </c>
      <c r="T546" s="64" t="n">
        <f aca="false">IF($K546="Less",$P546,0)</f>
        <v>0</v>
      </c>
      <c r="U546" s="64" t="n">
        <f aca="false">IF($K546="Expected",$P546,0)</f>
        <v>0</v>
      </c>
      <c r="V546" s="64" t="n">
        <f aca="false">IF($K546="Better",$P546,0)</f>
        <v>0</v>
      </c>
      <c r="W546" s="64" t="n">
        <f aca="false">IF($K546="U – needs rule",$P546,0)</f>
        <v>0</v>
      </c>
      <c r="X546" s="64" t="n">
        <f aca="false">IF($K546="No Start (attainment only)",$P546,0)</f>
        <v>0</v>
      </c>
    </row>
    <row r="547" customFormat="false" ht="15" hidden="false" customHeight="false" outlineLevel="0" collapsed="false">
      <c r="A547" s="60"/>
      <c r="B547" s="61" t="str">
        <f aca="false">IF($M547=0,"",INDEX(Classes!$E$6:$E$420,$M547))</f>
        <v/>
      </c>
      <c r="C547" s="62" t="str">
        <f aca="false">IF($M547=0,"",INDEX(Classes!$H$6:$H$420,$M547))</f>
        <v/>
      </c>
      <c r="D547" s="61" t="str">
        <f aca="false">IF($M547=0,"",INDEX(Classes!$B$6:$B$420,$M547))</f>
        <v/>
      </c>
      <c r="E547" s="61" t="str">
        <f aca="false">IF($M547=0,"",INDEX(Classes!$C$6:$C$420,$M547))</f>
        <v/>
      </c>
      <c r="F547" s="63"/>
      <c r="G547" s="63"/>
      <c r="H547" s="60"/>
      <c r="I547" s="60"/>
      <c r="J547" s="63"/>
      <c r="K547" s="61" t="str">
        <f aca="false">IF($P547=0,"",IF($F547="Baseline","— Baseline",IF($O547=0,"No result",IF($N547=0,"No Start (attainment only)",IF(OR($N547=1,$O547=1),"U – needs rule",INDEX(MxBody,MATCH($I547,MxCurr,0),MATCH($H547,MxStart,0)))))))</f>
        <v/>
      </c>
      <c r="L547" s="62" t="str">
        <f aca="false">IF(COUNTA($A547,$F547,$G547,$H547,$I547,$J547)=0,"",IF($M547=0,"✖ كود الصف غير موجود",IF(ISNA(MATCH($F547,Lists!$A$2:$A$5,0)),"✖ الفترة غير صحيحة",IF(ISNA(MATCH($G547,Lists!$B$2:$B$7,0)),"✖ المجموعة غير صحيحة",IF(NOT(OR($H547="",$N547&gt;0)),"✖ Start غير صحيح",IF(NOT(OR($I547="",$I547="NR",$O547&gt;0)),"✖ Current غير صحيح",IF(NOT(IF(ISNUMBER($J547),AND($J547&gt;=0,$J547=INT($J547)),FALSE())),"✖ العدد يجب أن يكون صحيحًا ≥ 0",IF(AND($F547="Baseline",$H547&lt;&gt;""),"⚠ Baseline: Start لا يدخل في التقدم",IF($K547="No Start (attainment only)","ℹ تحصيل فقط (بدون Start)",IF($K547="U – needs rule","ℹ حالة U تحتاج قاعدة معتمدة",IF($K547="No result","ℹ بدون نتيجة (يُستبعد من التحصيل)","OK")))))))))))</f>
        <v/>
      </c>
      <c r="M547" s="64" t="n">
        <f aca="false">IF($A547="",0,IFERROR(MATCH($A547,Classes!$A$6:$A$420,0),0))</f>
        <v>0</v>
      </c>
      <c r="N547" s="64" t="n">
        <f aca="false">IF($H547="",0,IFERROR(MATCH($H547,GradeList,0),0))</f>
        <v>0</v>
      </c>
      <c r="O547" s="64" t="n">
        <f aca="false">IF(OR($I547="",$I547="NR"),0,IFERROR(MATCH($I547,GradeList,0),0))</f>
        <v>0</v>
      </c>
      <c r="P547" s="64" t="n">
        <f aca="false">IF(AND($M547&gt;0,ISNUMBER(MATCH($F547,Lists!$A$2:$A$5,0)),ISNUMBER(MATCH($G547,Lists!$B$2:$B$7,0)),OR($H547="",$N547&gt;0),OR($I547="",$I547="NR",$O547&gt;0),IF(ISNUMBER($J547),AND($J547&gt;=0,$J547=INT($J547)),FALSE())),$J547,0)</f>
        <v>0</v>
      </c>
      <c r="Q547" s="64" t="n">
        <f aca="false">IF(AND($P547&gt;0,$O547&gt;0),$P547,0)</f>
        <v>0</v>
      </c>
      <c r="R547" s="64" t="n">
        <f aca="false">IF(AND($Q547&gt;0,$O547&gt;=AtRank),$Q547,0)</f>
        <v>0</v>
      </c>
      <c r="S547" s="64" t="n">
        <f aca="false">IF(AND($Q547&gt;0,$O547&gt;=AboveRank),$Q547,0)</f>
        <v>0</v>
      </c>
      <c r="T547" s="64" t="n">
        <f aca="false">IF($K547="Less",$P547,0)</f>
        <v>0</v>
      </c>
      <c r="U547" s="64" t="n">
        <f aca="false">IF($K547="Expected",$P547,0)</f>
        <v>0</v>
      </c>
      <c r="V547" s="64" t="n">
        <f aca="false">IF($K547="Better",$P547,0)</f>
        <v>0</v>
      </c>
      <c r="W547" s="64" t="n">
        <f aca="false">IF($K547="U – needs rule",$P547,0)</f>
        <v>0</v>
      </c>
      <c r="X547" s="64" t="n">
        <f aca="false">IF($K547="No Start (attainment only)",$P547,0)</f>
        <v>0</v>
      </c>
    </row>
    <row r="548" customFormat="false" ht="15" hidden="false" customHeight="false" outlineLevel="0" collapsed="false">
      <c r="A548" s="60"/>
      <c r="B548" s="61" t="str">
        <f aca="false">IF($M548=0,"",INDEX(Classes!$E$6:$E$420,$M548))</f>
        <v/>
      </c>
      <c r="C548" s="62" t="str">
        <f aca="false">IF($M548=0,"",INDEX(Classes!$H$6:$H$420,$M548))</f>
        <v/>
      </c>
      <c r="D548" s="61" t="str">
        <f aca="false">IF($M548=0,"",INDEX(Classes!$B$6:$B$420,$M548))</f>
        <v/>
      </c>
      <c r="E548" s="61" t="str">
        <f aca="false">IF($M548=0,"",INDEX(Classes!$C$6:$C$420,$M548))</f>
        <v/>
      </c>
      <c r="F548" s="63"/>
      <c r="G548" s="63"/>
      <c r="H548" s="60"/>
      <c r="I548" s="60"/>
      <c r="J548" s="63"/>
      <c r="K548" s="61" t="str">
        <f aca="false">IF($P548=0,"",IF($F548="Baseline","— Baseline",IF($O548=0,"No result",IF($N548=0,"No Start (attainment only)",IF(OR($N548=1,$O548=1),"U – needs rule",INDEX(MxBody,MATCH($I548,MxCurr,0),MATCH($H548,MxStart,0)))))))</f>
        <v/>
      </c>
      <c r="L548" s="62" t="str">
        <f aca="false">IF(COUNTA($A548,$F548,$G548,$H548,$I548,$J548)=0,"",IF($M548=0,"✖ كود الصف غير موجود",IF(ISNA(MATCH($F548,Lists!$A$2:$A$5,0)),"✖ الفترة غير صحيحة",IF(ISNA(MATCH($G548,Lists!$B$2:$B$7,0)),"✖ المجموعة غير صحيحة",IF(NOT(OR($H548="",$N548&gt;0)),"✖ Start غير صحيح",IF(NOT(OR($I548="",$I548="NR",$O548&gt;0)),"✖ Current غير صحيح",IF(NOT(IF(ISNUMBER($J548),AND($J548&gt;=0,$J548=INT($J548)),FALSE())),"✖ العدد يجب أن يكون صحيحًا ≥ 0",IF(AND($F548="Baseline",$H548&lt;&gt;""),"⚠ Baseline: Start لا يدخل في التقدم",IF($K548="No Start (attainment only)","ℹ تحصيل فقط (بدون Start)",IF($K548="U – needs rule","ℹ حالة U تحتاج قاعدة معتمدة",IF($K548="No result","ℹ بدون نتيجة (يُستبعد من التحصيل)","OK")))))))))))</f>
        <v/>
      </c>
      <c r="M548" s="64" t="n">
        <f aca="false">IF($A548="",0,IFERROR(MATCH($A548,Classes!$A$6:$A$420,0),0))</f>
        <v>0</v>
      </c>
      <c r="N548" s="64" t="n">
        <f aca="false">IF($H548="",0,IFERROR(MATCH($H548,GradeList,0),0))</f>
        <v>0</v>
      </c>
      <c r="O548" s="64" t="n">
        <f aca="false">IF(OR($I548="",$I548="NR"),0,IFERROR(MATCH($I548,GradeList,0),0))</f>
        <v>0</v>
      </c>
      <c r="P548" s="64" t="n">
        <f aca="false">IF(AND($M548&gt;0,ISNUMBER(MATCH($F548,Lists!$A$2:$A$5,0)),ISNUMBER(MATCH($G548,Lists!$B$2:$B$7,0)),OR($H548="",$N548&gt;0),OR($I548="",$I548="NR",$O548&gt;0),IF(ISNUMBER($J548),AND($J548&gt;=0,$J548=INT($J548)),FALSE())),$J548,0)</f>
        <v>0</v>
      </c>
      <c r="Q548" s="64" t="n">
        <f aca="false">IF(AND($P548&gt;0,$O548&gt;0),$P548,0)</f>
        <v>0</v>
      </c>
      <c r="R548" s="64" t="n">
        <f aca="false">IF(AND($Q548&gt;0,$O548&gt;=AtRank),$Q548,0)</f>
        <v>0</v>
      </c>
      <c r="S548" s="64" t="n">
        <f aca="false">IF(AND($Q548&gt;0,$O548&gt;=AboveRank),$Q548,0)</f>
        <v>0</v>
      </c>
      <c r="T548" s="64" t="n">
        <f aca="false">IF($K548="Less",$P548,0)</f>
        <v>0</v>
      </c>
      <c r="U548" s="64" t="n">
        <f aca="false">IF($K548="Expected",$P548,0)</f>
        <v>0</v>
      </c>
      <c r="V548" s="64" t="n">
        <f aca="false">IF($K548="Better",$P548,0)</f>
        <v>0</v>
      </c>
      <c r="W548" s="64" t="n">
        <f aca="false">IF($K548="U – needs rule",$P548,0)</f>
        <v>0</v>
      </c>
      <c r="X548" s="64" t="n">
        <f aca="false">IF($K548="No Start (attainment only)",$P548,0)</f>
        <v>0</v>
      </c>
    </row>
    <row r="549" customFormat="false" ht="15" hidden="false" customHeight="false" outlineLevel="0" collapsed="false">
      <c r="A549" s="60"/>
      <c r="B549" s="61" t="str">
        <f aca="false">IF($M549=0,"",INDEX(Classes!$E$6:$E$420,$M549))</f>
        <v/>
      </c>
      <c r="C549" s="62" t="str">
        <f aca="false">IF($M549=0,"",INDEX(Classes!$H$6:$H$420,$M549))</f>
        <v/>
      </c>
      <c r="D549" s="61" t="str">
        <f aca="false">IF($M549=0,"",INDEX(Classes!$B$6:$B$420,$M549))</f>
        <v/>
      </c>
      <c r="E549" s="61" t="str">
        <f aca="false">IF($M549=0,"",INDEX(Classes!$C$6:$C$420,$M549))</f>
        <v/>
      </c>
      <c r="F549" s="63"/>
      <c r="G549" s="63"/>
      <c r="H549" s="60"/>
      <c r="I549" s="60"/>
      <c r="J549" s="63"/>
      <c r="K549" s="61" t="str">
        <f aca="false">IF($P549=0,"",IF($F549="Baseline","— Baseline",IF($O549=0,"No result",IF($N549=0,"No Start (attainment only)",IF(OR($N549=1,$O549=1),"U – needs rule",INDEX(MxBody,MATCH($I549,MxCurr,0),MATCH($H549,MxStart,0)))))))</f>
        <v/>
      </c>
      <c r="L549" s="62" t="str">
        <f aca="false">IF(COUNTA($A549,$F549,$G549,$H549,$I549,$J549)=0,"",IF($M549=0,"✖ كود الصف غير موجود",IF(ISNA(MATCH($F549,Lists!$A$2:$A$5,0)),"✖ الفترة غير صحيحة",IF(ISNA(MATCH($G549,Lists!$B$2:$B$7,0)),"✖ المجموعة غير صحيحة",IF(NOT(OR($H549="",$N549&gt;0)),"✖ Start غير صحيح",IF(NOT(OR($I549="",$I549="NR",$O549&gt;0)),"✖ Current غير صحيح",IF(NOT(IF(ISNUMBER($J549),AND($J549&gt;=0,$J549=INT($J549)),FALSE())),"✖ العدد يجب أن يكون صحيحًا ≥ 0",IF(AND($F549="Baseline",$H549&lt;&gt;""),"⚠ Baseline: Start لا يدخل في التقدم",IF($K549="No Start (attainment only)","ℹ تحصيل فقط (بدون Start)",IF($K549="U – needs rule","ℹ حالة U تحتاج قاعدة معتمدة",IF($K549="No result","ℹ بدون نتيجة (يُستبعد من التحصيل)","OK")))))))))))</f>
        <v/>
      </c>
      <c r="M549" s="64" t="n">
        <f aca="false">IF($A549="",0,IFERROR(MATCH($A549,Classes!$A$6:$A$420,0),0))</f>
        <v>0</v>
      </c>
      <c r="N549" s="64" t="n">
        <f aca="false">IF($H549="",0,IFERROR(MATCH($H549,GradeList,0),0))</f>
        <v>0</v>
      </c>
      <c r="O549" s="64" t="n">
        <f aca="false">IF(OR($I549="",$I549="NR"),0,IFERROR(MATCH($I549,GradeList,0),0))</f>
        <v>0</v>
      </c>
      <c r="P549" s="64" t="n">
        <f aca="false">IF(AND($M549&gt;0,ISNUMBER(MATCH($F549,Lists!$A$2:$A$5,0)),ISNUMBER(MATCH($G549,Lists!$B$2:$B$7,0)),OR($H549="",$N549&gt;0),OR($I549="",$I549="NR",$O549&gt;0),IF(ISNUMBER($J549),AND($J549&gt;=0,$J549=INT($J549)),FALSE())),$J549,0)</f>
        <v>0</v>
      </c>
      <c r="Q549" s="64" t="n">
        <f aca="false">IF(AND($P549&gt;0,$O549&gt;0),$P549,0)</f>
        <v>0</v>
      </c>
      <c r="R549" s="64" t="n">
        <f aca="false">IF(AND($Q549&gt;0,$O549&gt;=AtRank),$Q549,0)</f>
        <v>0</v>
      </c>
      <c r="S549" s="64" t="n">
        <f aca="false">IF(AND($Q549&gt;0,$O549&gt;=AboveRank),$Q549,0)</f>
        <v>0</v>
      </c>
      <c r="T549" s="64" t="n">
        <f aca="false">IF($K549="Less",$P549,0)</f>
        <v>0</v>
      </c>
      <c r="U549" s="64" t="n">
        <f aca="false">IF($K549="Expected",$P549,0)</f>
        <v>0</v>
      </c>
      <c r="V549" s="64" t="n">
        <f aca="false">IF($K549="Better",$P549,0)</f>
        <v>0</v>
      </c>
      <c r="W549" s="64" t="n">
        <f aca="false">IF($K549="U – needs rule",$P549,0)</f>
        <v>0</v>
      </c>
      <c r="X549" s="64" t="n">
        <f aca="false">IF($K549="No Start (attainment only)",$P549,0)</f>
        <v>0</v>
      </c>
    </row>
    <row r="550" customFormat="false" ht="15" hidden="false" customHeight="false" outlineLevel="0" collapsed="false">
      <c r="A550" s="60"/>
      <c r="B550" s="61" t="str">
        <f aca="false">IF($M550=0,"",INDEX(Classes!$E$6:$E$420,$M550))</f>
        <v/>
      </c>
      <c r="C550" s="62" t="str">
        <f aca="false">IF($M550=0,"",INDEX(Classes!$H$6:$H$420,$M550))</f>
        <v/>
      </c>
      <c r="D550" s="61" t="str">
        <f aca="false">IF($M550=0,"",INDEX(Classes!$B$6:$B$420,$M550))</f>
        <v/>
      </c>
      <c r="E550" s="61" t="str">
        <f aca="false">IF($M550=0,"",INDEX(Classes!$C$6:$C$420,$M550))</f>
        <v/>
      </c>
      <c r="F550" s="63"/>
      <c r="G550" s="63"/>
      <c r="H550" s="60"/>
      <c r="I550" s="60"/>
      <c r="J550" s="63"/>
      <c r="K550" s="61" t="str">
        <f aca="false">IF($P550=0,"",IF($F550="Baseline","— Baseline",IF($O550=0,"No result",IF($N550=0,"No Start (attainment only)",IF(OR($N550=1,$O550=1),"U – needs rule",INDEX(MxBody,MATCH($I550,MxCurr,0),MATCH($H550,MxStart,0)))))))</f>
        <v/>
      </c>
      <c r="L550" s="62" t="str">
        <f aca="false">IF(COUNTA($A550,$F550,$G550,$H550,$I550,$J550)=0,"",IF($M550=0,"✖ كود الصف غير موجود",IF(ISNA(MATCH($F550,Lists!$A$2:$A$5,0)),"✖ الفترة غير صحيحة",IF(ISNA(MATCH($G550,Lists!$B$2:$B$7,0)),"✖ المجموعة غير صحيحة",IF(NOT(OR($H550="",$N550&gt;0)),"✖ Start غير صحيح",IF(NOT(OR($I550="",$I550="NR",$O550&gt;0)),"✖ Current غير صحيح",IF(NOT(IF(ISNUMBER($J550),AND($J550&gt;=0,$J550=INT($J550)),FALSE())),"✖ العدد يجب أن يكون صحيحًا ≥ 0",IF(AND($F550="Baseline",$H550&lt;&gt;""),"⚠ Baseline: Start لا يدخل في التقدم",IF($K550="No Start (attainment only)","ℹ تحصيل فقط (بدون Start)",IF($K550="U – needs rule","ℹ حالة U تحتاج قاعدة معتمدة",IF($K550="No result","ℹ بدون نتيجة (يُستبعد من التحصيل)","OK")))))))))))</f>
        <v/>
      </c>
      <c r="M550" s="64" t="n">
        <f aca="false">IF($A550="",0,IFERROR(MATCH($A550,Classes!$A$6:$A$420,0),0))</f>
        <v>0</v>
      </c>
      <c r="N550" s="64" t="n">
        <f aca="false">IF($H550="",0,IFERROR(MATCH($H550,GradeList,0),0))</f>
        <v>0</v>
      </c>
      <c r="O550" s="64" t="n">
        <f aca="false">IF(OR($I550="",$I550="NR"),0,IFERROR(MATCH($I550,GradeList,0),0))</f>
        <v>0</v>
      </c>
      <c r="P550" s="64" t="n">
        <f aca="false">IF(AND($M550&gt;0,ISNUMBER(MATCH($F550,Lists!$A$2:$A$5,0)),ISNUMBER(MATCH($G550,Lists!$B$2:$B$7,0)),OR($H550="",$N550&gt;0),OR($I550="",$I550="NR",$O550&gt;0),IF(ISNUMBER($J550),AND($J550&gt;=0,$J550=INT($J550)),FALSE())),$J550,0)</f>
        <v>0</v>
      </c>
      <c r="Q550" s="64" t="n">
        <f aca="false">IF(AND($P550&gt;0,$O550&gt;0),$P550,0)</f>
        <v>0</v>
      </c>
      <c r="R550" s="64" t="n">
        <f aca="false">IF(AND($Q550&gt;0,$O550&gt;=AtRank),$Q550,0)</f>
        <v>0</v>
      </c>
      <c r="S550" s="64" t="n">
        <f aca="false">IF(AND($Q550&gt;0,$O550&gt;=AboveRank),$Q550,0)</f>
        <v>0</v>
      </c>
      <c r="T550" s="64" t="n">
        <f aca="false">IF($K550="Less",$P550,0)</f>
        <v>0</v>
      </c>
      <c r="U550" s="64" t="n">
        <f aca="false">IF($K550="Expected",$P550,0)</f>
        <v>0</v>
      </c>
      <c r="V550" s="64" t="n">
        <f aca="false">IF($K550="Better",$P550,0)</f>
        <v>0</v>
      </c>
      <c r="W550" s="64" t="n">
        <f aca="false">IF($K550="U – needs rule",$P550,0)</f>
        <v>0</v>
      </c>
      <c r="X550" s="64" t="n">
        <f aca="false">IF($K550="No Start (attainment only)",$P550,0)</f>
        <v>0</v>
      </c>
    </row>
    <row r="551" customFormat="false" ht="15" hidden="false" customHeight="false" outlineLevel="0" collapsed="false">
      <c r="A551" s="60"/>
      <c r="B551" s="61" t="str">
        <f aca="false">IF($M551=0,"",INDEX(Classes!$E$6:$E$420,$M551))</f>
        <v/>
      </c>
      <c r="C551" s="62" t="str">
        <f aca="false">IF($M551=0,"",INDEX(Classes!$H$6:$H$420,$M551))</f>
        <v/>
      </c>
      <c r="D551" s="61" t="str">
        <f aca="false">IF($M551=0,"",INDEX(Classes!$B$6:$B$420,$M551))</f>
        <v/>
      </c>
      <c r="E551" s="61" t="str">
        <f aca="false">IF($M551=0,"",INDEX(Classes!$C$6:$C$420,$M551))</f>
        <v/>
      </c>
      <c r="F551" s="63"/>
      <c r="G551" s="63"/>
      <c r="H551" s="60"/>
      <c r="I551" s="60"/>
      <c r="J551" s="63"/>
      <c r="K551" s="61" t="str">
        <f aca="false">IF($P551=0,"",IF($F551="Baseline","— Baseline",IF($O551=0,"No result",IF($N551=0,"No Start (attainment only)",IF(OR($N551=1,$O551=1),"U – needs rule",INDEX(MxBody,MATCH($I551,MxCurr,0),MATCH($H551,MxStart,0)))))))</f>
        <v/>
      </c>
      <c r="L551" s="62" t="str">
        <f aca="false">IF(COUNTA($A551,$F551,$G551,$H551,$I551,$J551)=0,"",IF($M551=0,"✖ كود الصف غير موجود",IF(ISNA(MATCH($F551,Lists!$A$2:$A$5,0)),"✖ الفترة غير صحيحة",IF(ISNA(MATCH($G551,Lists!$B$2:$B$7,0)),"✖ المجموعة غير صحيحة",IF(NOT(OR($H551="",$N551&gt;0)),"✖ Start غير صحيح",IF(NOT(OR($I551="",$I551="NR",$O551&gt;0)),"✖ Current غير صحيح",IF(NOT(IF(ISNUMBER($J551),AND($J551&gt;=0,$J551=INT($J551)),FALSE())),"✖ العدد يجب أن يكون صحيحًا ≥ 0",IF(AND($F551="Baseline",$H551&lt;&gt;""),"⚠ Baseline: Start لا يدخل في التقدم",IF($K551="No Start (attainment only)","ℹ تحصيل فقط (بدون Start)",IF($K551="U – needs rule","ℹ حالة U تحتاج قاعدة معتمدة",IF($K551="No result","ℹ بدون نتيجة (يُستبعد من التحصيل)","OK")))))))))))</f>
        <v/>
      </c>
      <c r="M551" s="64" t="n">
        <f aca="false">IF($A551="",0,IFERROR(MATCH($A551,Classes!$A$6:$A$420,0),0))</f>
        <v>0</v>
      </c>
      <c r="N551" s="64" t="n">
        <f aca="false">IF($H551="",0,IFERROR(MATCH($H551,GradeList,0),0))</f>
        <v>0</v>
      </c>
      <c r="O551" s="64" t="n">
        <f aca="false">IF(OR($I551="",$I551="NR"),0,IFERROR(MATCH($I551,GradeList,0),0))</f>
        <v>0</v>
      </c>
      <c r="P551" s="64" t="n">
        <f aca="false">IF(AND($M551&gt;0,ISNUMBER(MATCH($F551,Lists!$A$2:$A$5,0)),ISNUMBER(MATCH($G551,Lists!$B$2:$B$7,0)),OR($H551="",$N551&gt;0),OR($I551="",$I551="NR",$O551&gt;0),IF(ISNUMBER($J551),AND($J551&gt;=0,$J551=INT($J551)),FALSE())),$J551,0)</f>
        <v>0</v>
      </c>
      <c r="Q551" s="64" t="n">
        <f aca="false">IF(AND($P551&gt;0,$O551&gt;0),$P551,0)</f>
        <v>0</v>
      </c>
      <c r="R551" s="64" t="n">
        <f aca="false">IF(AND($Q551&gt;0,$O551&gt;=AtRank),$Q551,0)</f>
        <v>0</v>
      </c>
      <c r="S551" s="64" t="n">
        <f aca="false">IF(AND($Q551&gt;0,$O551&gt;=AboveRank),$Q551,0)</f>
        <v>0</v>
      </c>
      <c r="T551" s="64" t="n">
        <f aca="false">IF($K551="Less",$P551,0)</f>
        <v>0</v>
      </c>
      <c r="U551" s="64" t="n">
        <f aca="false">IF($K551="Expected",$P551,0)</f>
        <v>0</v>
      </c>
      <c r="V551" s="64" t="n">
        <f aca="false">IF($K551="Better",$P551,0)</f>
        <v>0</v>
      </c>
      <c r="W551" s="64" t="n">
        <f aca="false">IF($K551="U – needs rule",$P551,0)</f>
        <v>0</v>
      </c>
      <c r="X551" s="64" t="n">
        <f aca="false">IF($K551="No Start (attainment only)",$P551,0)</f>
        <v>0</v>
      </c>
    </row>
    <row r="552" customFormat="false" ht="15" hidden="false" customHeight="false" outlineLevel="0" collapsed="false">
      <c r="A552" s="60"/>
      <c r="B552" s="61" t="str">
        <f aca="false">IF($M552=0,"",INDEX(Classes!$E$6:$E$420,$M552))</f>
        <v/>
      </c>
      <c r="C552" s="62" t="str">
        <f aca="false">IF($M552=0,"",INDEX(Classes!$H$6:$H$420,$M552))</f>
        <v/>
      </c>
      <c r="D552" s="61" t="str">
        <f aca="false">IF($M552=0,"",INDEX(Classes!$B$6:$B$420,$M552))</f>
        <v/>
      </c>
      <c r="E552" s="61" t="str">
        <f aca="false">IF($M552=0,"",INDEX(Classes!$C$6:$C$420,$M552))</f>
        <v/>
      </c>
      <c r="F552" s="63"/>
      <c r="G552" s="63"/>
      <c r="H552" s="60"/>
      <c r="I552" s="60"/>
      <c r="J552" s="63"/>
      <c r="K552" s="61" t="str">
        <f aca="false">IF($P552=0,"",IF($F552="Baseline","— Baseline",IF($O552=0,"No result",IF($N552=0,"No Start (attainment only)",IF(OR($N552=1,$O552=1),"U – needs rule",INDEX(MxBody,MATCH($I552,MxCurr,0),MATCH($H552,MxStart,0)))))))</f>
        <v/>
      </c>
      <c r="L552" s="62" t="str">
        <f aca="false">IF(COUNTA($A552,$F552,$G552,$H552,$I552,$J552)=0,"",IF($M552=0,"✖ كود الصف غير موجود",IF(ISNA(MATCH($F552,Lists!$A$2:$A$5,0)),"✖ الفترة غير صحيحة",IF(ISNA(MATCH($G552,Lists!$B$2:$B$7,0)),"✖ المجموعة غير صحيحة",IF(NOT(OR($H552="",$N552&gt;0)),"✖ Start غير صحيح",IF(NOT(OR($I552="",$I552="NR",$O552&gt;0)),"✖ Current غير صحيح",IF(NOT(IF(ISNUMBER($J552),AND($J552&gt;=0,$J552=INT($J552)),FALSE())),"✖ العدد يجب أن يكون صحيحًا ≥ 0",IF(AND($F552="Baseline",$H552&lt;&gt;""),"⚠ Baseline: Start لا يدخل في التقدم",IF($K552="No Start (attainment only)","ℹ تحصيل فقط (بدون Start)",IF($K552="U – needs rule","ℹ حالة U تحتاج قاعدة معتمدة",IF($K552="No result","ℹ بدون نتيجة (يُستبعد من التحصيل)","OK")))))))))))</f>
        <v/>
      </c>
      <c r="M552" s="64" t="n">
        <f aca="false">IF($A552="",0,IFERROR(MATCH($A552,Classes!$A$6:$A$420,0),0))</f>
        <v>0</v>
      </c>
      <c r="N552" s="64" t="n">
        <f aca="false">IF($H552="",0,IFERROR(MATCH($H552,GradeList,0),0))</f>
        <v>0</v>
      </c>
      <c r="O552" s="64" t="n">
        <f aca="false">IF(OR($I552="",$I552="NR"),0,IFERROR(MATCH($I552,GradeList,0),0))</f>
        <v>0</v>
      </c>
      <c r="P552" s="64" t="n">
        <f aca="false">IF(AND($M552&gt;0,ISNUMBER(MATCH($F552,Lists!$A$2:$A$5,0)),ISNUMBER(MATCH($G552,Lists!$B$2:$B$7,0)),OR($H552="",$N552&gt;0),OR($I552="",$I552="NR",$O552&gt;0),IF(ISNUMBER($J552),AND($J552&gt;=0,$J552=INT($J552)),FALSE())),$J552,0)</f>
        <v>0</v>
      </c>
      <c r="Q552" s="64" t="n">
        <f aca="false">IF(AND($P552&gt;0,$O552&gt;0),$P552,0)</f>
        <v>0</v>
      </c>
      <c r="R552" s="64" t="n">
        <f aca="false">IF(AND($Q552&gt;0,$O552&gt;=AtRank),$Q552,0)</f>
        <v>0</v>
      </c>
      <c r="S552" s="64" t="n">
        <f aca="false">IF(AND($Q552&gt;0,$O552&gt;=AboveRank),$Q552,0)</f>
        <v>0</v>
      </c>
      <c r="T552" s="64" t="n">
        <f aca="false">IF($K552="Less",$P552,0)</f>
        <v>0</v>
      </c>
      <c r="U552" s="64" t="n">
        <f aca="false">IF($K552="Expected",$P552,0)</f>
        <v>0</v>
      </c>
      <c r="V552" s="64" t="n">
        <f aca="false">IF($K552="Better",$P552,0)</f>
        <v>0</v>
      </c>
      <c r="W552" s="64" t="n">
        <f aca="false">IF($K552="U – needs rule",$P552,0)</f>
        <v>0</v>
      </c>
      <c r="X552" s="64" t="n">
        <f aca="false">IF($K552="No Start (attainment only)",$P552,0)</f>
        <v>0</v>
      </c>
    </row>
    <row r="553" customFormat="false" ht="15" hidden="false" customHeight="false" outlineLevel="0" collapsed="false">
      <c r="A553" s="60"/>
      <c r="B553" s="61" t="str">
        <f aca="false">IF($M553=0,"",INDEX(Classes!$E$6:$E$420,$M553))</f>
        <v/>
      </c>
      <c r="C553" s="62" t="str">
        <f aca="false">IF($M553=0,"",INDEX(Classes!$H$6:$H$420,$M553))</f>
        <v/>
      </c>
      <c r="D553" s="61" t="str">
        <f aca="false">IF($M553=0,"",INDEX(Classes!$B$6:$B$420,$M553))</f>
        <v/>
      </c>
      <c r="E553" s="61" t="str">
        <f aca="false">IF($M553=0,"",INDEX(Classes!$C$6:$C$420,$M553))</f>
        <v/>
      </c>
      <c r="F553" s="63"/>
      <c r="G553" s="63"/>
      <c r="H553" s="60"/>
      <c r="I553" s="60"/>
      <c r="J553" s="63"/>
      <c r="K553" s="61" t="str">
        <f aca="false">IF($P553=0,"",IF($F553="Baseline","— Baseline",IF($O553=0,"No result",IF($N553=0,"No Start (attainment only)",IF(OR($N553=1,$O553=1),"U – needs rule",INDEX(MxBody,MATCH($I553,MxCurr,0),MATCH($H553,MxStart,0)))))))</f>
        <v/>
      </c>
      <c r="L553" s="62" t="str">
        <f aca="false">IF(COUNTA($A553,$F553,$G553,$H553,$I553,$J553)=0,"",IF($M553=0,"✖ كود الصف غير موجود",IF(ISNA(MATCH($F553,Lists!$A$2:$A$5,0)),"✖ الفترة غير صحيحة",IF(ISNA(MATCH($G553,Lists!$B$2:$B$7,0)),"✖ المجموعة غير صحيحة",IF(NOT(OR($H553="",$N553&gt;0)),"✖ Start غير صحيح",IF(NOT(OR($I553="",$I553="NR",$O553&gt;0)),"✖ Current غير صحيح",IF(NOT(IF(ISNUMBER($J553),AND($J553&gt;=0,$J553=INT($J553)),FALSE())),"✖ العدد يجب أن يكون صحيحًا ≥ 0",IF(AND($F553="Baseline",$H553&lt;&gt;""),"⚠ Baseline: Start لا يدخل في التقدم",IF($K553="No Start (attainment only)","ℹ تحصيل فقط (بدون Start)",IF($K553="U – needs rule","ℹ حالة U تحتاج قاعدة معتمدة",IF($K553="No result","ℹ بدون نتيجة (يُستبعد من التحصيل)","OK")))))))))))</f>
        <v/>
      </c>
      <c r="M553" s="64" t="n">
        <f aca="false">IF($A553="",0,IFERROR(MATCH($A553,Classes!$A$6:$A$420,0),0))</f>
        <v>0</v>
      </c>
      <c r="N553" s="64" t="n">
        <f aca="false">IF($H553="",0,IFERROR(MATCH($H553,GradeList,0),0))</f>
        <v>0</v>
      </c>
      <c r="O553" s="64" t="n">
        <f aca="false">IF(OR($I553="",$I553="NR"),0,IFERROR(MATCH($I553,GradeList,0),0))</f>
        <v>0</v>
      </c>
      <c r="P553" s="64" t="n">
        <f aca="false">IF(AND($M553&gt;0,ISNUMBER(MATCH($F553,Lists!$A$2:$A$5,0)),ISNUMBER(MATCH($G553,Lists!$B$2:$B$7,0)),OR($H553="",$N553&gt;0),OR($I553="",$I553="NR",$O553&gt;0),IF(ISNUMBER($J553),AND($J553&gt;=0,$J553=INT($J553)),FALSE())),$J553,0)</f>
        <v>0</v>
      </c>
      <c r="Q553" s="64" t="n">
        <f aca="false">IF(AND($P553&gt;0,$O553&gt;0),$P553,0)</f>
        <v>0</v>
      </c>
      <c r="R553" s="64" t="n">
        <f aca="false">IF(AND($Q553&gt;0,$O553&gt;=AtRank),$Q553,0)</f>
        <v>0</v>
      </c>
      <c r="S553" s="64" t="n">
        <f aca="false">IF(AND($Q553&gt;0,$O553&gt;=AboveRank),$Q553,0)</f>
        <v>0</v>
      </c>
      <c r="T553" s="64" t="n">
        <f aca="false">IF($K553="Less",$P553,0)</f>
        <v>0</v>
      </c>
      <c r="U553" s="64" t="n">
        <f aca="false">IF($K553="Expected",$P553,0)</f>
        <v>0</v>
      </c>
      <c r="V553" s="64" t="n">
        <f aca="false">IF($K553="Better",$P553,0)</f>
        <v>0</v>
      </c>
      <c r="W553" s="64" t="n">
        <f aca="false">IF($K553="U – needs rule",$P553,0)</f>
        <v>0</v>
      </c>
      <c r="X553" s="64" t="n">
        <f aca="false">IF($K553="No Start (attainment only)",$P553,0)</f>
        <v>0</v>
      </c>
    </row>
    <row r="554" customFormat="false" ht="15" hidden="false" customHeight="false" outlineLevel="0" collapsed="false">
      <c r="A554" s="60"/>
      <c r="B554" s="61" t="str">
        <f aca="false">IF($M554=0,"",INDEX(Classes!$E$6:$E$420,$M554))</f>
        <v/>
      </c>
      <c r="C554" s="62" t="str">
        <f aca="false">IF($M554=0,"",INDEX(Classes!$H$6:$H$420,$M554))</f>
        <v/>
      </c>
      <c r="D554" s="61" t="str">
        <f aca="false">IF($M554=0,"",INDEX(Classes!$B$6:$B$420,$M554))</f>
        <v/>
      </c>
      <c r="E554" s="61" t="str">
        <f aca="false">IF($M554=0,"",INDEX(Classes!$C$6:$C$420,$M554))</f>
        <v/>
      </c>
      <c r="F554" s="63"/>
      <c r="G554" s="63"/>
      <c r="H554" s="60"/>
      <c r="I554" s="60"/>
      <c r="J554" s="63"/>
      <c r="K554" s="61" t="str">
        <f aca="false">IF($P554=0,"",IF($F554="Baseline","— Baseline",IF($O554=0,"No result",IF($N554=0,"No Start (attainment only)",IF(OR($N554=1,$O554=1),"U – needs rule",INDEX(MxBody,MATCH($I554,MxCurr,0),MATCH($H554,MxStart,0)))))))</f>
        <v/>
      </c>
      <c r="L554" s="62" t="str">
        <f aca="false">IF(COUNTA($A554,$F554,$G554,$H554,$I554,$J554)=0,"",IF($M554=0,"✖ كود الصف غير موجود",IF(ISNA(MATCH($F554,Lists!$A$2:$A$5,0)),"✖ الفترة غير صحيحة",IF(ISNA(MATCH($G554,Lists!$B$2:$B$7,0)),"✖ المجموعة غير صحيحة",IF(NOT(OR($H554="",$N554&gt;0)),"✖ Start غير صحيح",IF(NOT(OR($I554="",$I554="NR",$O554&gt;0)),"✖ Current غير صحيح",IF(NOT(IF(ISNUMBER($J554),AND($J554&gt;=0,$J554=INT($J554)),FALSE())),"✖ العدد يجب أن يكون صحيحًا ≥ 0",IF(AND($F554="Baseline",$H554&lt;&gt;""),"⚠ Baseline: Start لا يدخل في التقدم",IF($K554="No Start (attainment only)","ℹ تحصيل فقط (بدون Start)",IF($K554="U – needs rule","ℹ حالة U تحتاج قاعدة معتمدة",IF($K554="No result","ℹ بدون نتيجة (يُستبعد من التحصيل)","OK")))))))))))</f>
        <v/>
      </c>
      <c r="M554" s="64" t="n">
        <f aca="false">IF($A554="",0,IFERROR(MATCH($A554,Classes!$A$6:$A$420,0),0))</f>
        <v>0</v>
      </c>
      <c r="N554" s="64" t="n">
        <f aca="false">IF($H554="",0,IFERROR(MATCH($H554,GradeList,0),0))</f>
        <v>0</v>
      </c>
      <c r="O554" s="64" t="n">
        <f aca="false">IF(OR($I554="",$I554="NR"),0,IFERROR(MATCH($I554,GradeList,0),0))</f>
        <v>0</v>
      </c>
      <c r="P554" s="64" t="n">
        <f aca="false">IF(AND($M554&gt;0,ISNUMBER(MATCH($F554,Lists!$A$2:$A$5,0)),ISNUMBER(MATCH($G554,Lists!$B$2:$B$7,0)),OR($H554="",$N554&gt;0),OR($I554="",$I554="NR",$O554&gt;0),IF(ISNUMBER($J554),AND($J554&gt;=0,$J554=INT($J554)),FALSE())),$J554,0)</f>
        <v>0</v>
      </c>
      <c r="Q554" s="64" t="n">
        <f aca="false">IF(AND($P554&gt;0,$O554&gt;0),$P554,0)</f>
        <v>0</v>
      </c>
      <c r="R554" s="64" t="n">
        <f aca="false">IF(AND($Q554&gt;0,$O554&gt;=AtRank),$Q554,0)</f>
        <v>0</v>
      </c>
      <c r="S554" s="64" t="n">
        <f aca="false">IF(AND($Q554&gt;0,$O554&gt;=AboveRank),$Q554,0)</f>
        <v>0</v>
      </c>
      <c r="T554" s="64" t="n">
        <f aca="false">IF($K554="Less",$P554,0)</f>
        <v>0</v>
      </c>
      <c r="U554" s="64" t="n">
        <f aca="false">IF($K554="Expected",$P554,0)</f>
        <v>0</v>
      </c>
      <c r="V554" s="64" t="n">
        <f aca="false">IF($K554="Better",$P554,0)</f>
        <v>0</v>
      </c>
      <c r="W554" s="64" t="n">
        <f aca="false">IF($K554="U – needs rule",$P554,0)</f>
        <v>0</v>
      </c>
      <c r="X554" s="64" t="n">
        <f aca="false">IF($K554="No Start (attainment only)",$P554,0)</f>
        <v>0</v>
      </c>
    </row>
    <row r="555" customFormat="false" ht="15" hidden="false" customHeight="false" outlineLevel="0" collapsed="false">
      <c r="A555" s="60"/>
      <c r="B555" s="61" t="str">
        <f aca="false">IF($M555=0,"",INDEX(Classes!$E$6:$E$420,$M555))</f>
        <v/>
      </c>
      <c r="C555" s="62" t="str">
        <f aca="false">IF($M555=0,"",INDEX(Classes!$H$6:$H$420,$M555))</f>
        <v/>
      </c>
      <c r="D555" s="61" t="str">
        <f aca="false">IF($M555=0,"",INDEX(Classes!$B$6:$B$420,$M555))</f>
        <v/>
      </c>
      <c r="E555" s="61" t="str">
        <f aca="false">IF($M555=0,"",INDEX(Classes!$C$6:$C$420,$M555))</f>
        <v/>
      </c>
      <c r="F555" s="63"/>
      <c r="G555" s="63"/>
      <c r="H555" s="60"/>
      <c r="I555" s="60"/>
      <c r="J555" s="63"/>
      <c r="K555" s="61" t="str">
        <f aca="false">IF($P555=0,"",IF($F555="Baseline","— Baseline",IF($O555=0,"No result",IF($N555=0,"No Start (attainment only)",IF(OR($N555=1,$O555=1),"U – needs rule",INDEX(MxBody,MATCH($I555,MxCurr,0),MATCH($H555,MxStart,0)))))))</f>
        <v/>
      </c>
      <c r="L555" s="62" t="str">
        <f aca="false">IF(COUNTA($A555,$F555,$G555,$H555,$I555,$J555)=0,"",IF($M555=0,"✖ كود الصف غير موجود",IF(ISNA(MATCH($F555,Lists!$A$2:$A$5,0)),"✖ الفترة غير صحيحة",IF(ISNA(MATCH($G555,Lists!$B$2:$B$7,0)),"✖ المجموعة غير صحيحة",IF(NOT(OR($H555="",$N555&gt;0)),"✖ Start غير صحيح",IF(NOT(OR($I555="",$I555="NR",$O555&gt;0)),"✖ Current غير صحيح",IF(NOT(IF(ISNUMBER($J555),AND($J555&gt;=0,$J555=INT($J555)),FALSE())),"✖ العدد يجب أن يكون صحيحًا ≥ 0",IF(AND($F555="Baseline",$H555&lt;&gt;""),"⚠ Baseline: Start لا يدخل في التقدم",IF($K555="No Start (attainment only)","ℹ تحصيل فقط (بدون Start)",IF($K555="U – needs rule","ℹ حالة U تحتاج قاعدة معتمدة",IF($K555="No result","ℹ بدون نتيجة (يُستبعد من التحصيل)","OK")))))))))))</f>
        <v/>
      </c>
      <c r="M555" s="64" t="n">
        <f aca="false">IF($A555="",0,IFERROR(MATCH($A555,Classes!$A$6:$A$420,0),0))</f>
        <v>0</v>
      </c>
      <c r="N555" s="64" t="n">
        <f aca="false">IF($H555="",0,IFERROR(MATCH($H555,GradeList,0),0))</f>
        <v>0</v>
      </c>
      <c r="O555" s="64" t="n">
        <f aca="false">IF(OR($I555="",$I555="NR"),0,IFERROR(MATCH($I555,GradeList,0),0))</f>
        <v>0</v>
      </c>
      <c r="P555" s="64" t="n">
        <f aca="false">IF(AND($M555&gt;0,ISNUMBER(MATCH($F555,Lists!$A$2:$A$5,0)),ISNUMBER(MATCH($G555,Lists!$B$2:$B$7,0)),OR($H555="",$N555&gt;0),OR($I555="",$I555="NR",$O555&gt;0),IF(ISNUMBER($J555),AND($J555&gt;=0,$J555=INT($J555)),FALSE())),$J555,0)</f>
        <v>0</v>
      </c>
      <c r="Q555" s="64" t="n">
        <f aca="false">IF(AND($P555&gt;0,$O555&gt;0),$P555,0)</f>
        <v>0</v>
      </c>
      <c r="R555" s="64" t="n">
        <f aca="false">IF(AND($Q555&gt;0,$O555&gt;=AtRank),$Q555,0)</f>
        <v>0</v>
      </c>
      <c r="S555" s="64" t="n">
        <f aca="false">IF(AND($Q555&gt;0,$O555&gt;=AboveRank),$Q555,0)</f>
        <v>0</v>
      </c>
      <c r="T555" s="64" t="n">
        <f aca="false">IF($K555="Less",$P555,0)</f>
        <v>0</v>
      </c>
      <c r="U555" s="64" t="n">
        <f aca="false">IF($K555="Expected",$P555,0)</f>
        <v>0</v>
      </c>
      <c r="V555" s="64" t="n">
        <f aca="false">IF($K555="Better",$P555,0)</f>
        <v>0</v>
      </c>
      <c r="W555" s="64" t="n">
        <f aca="false">IF($K555="U – needs rule",$P555,0)</f>
        <v>0</v>
      </c>
      <c r="X555" s="64" t="n">
        <f aca="false">IF($K555="No Start (attainment only)",$P555,0)</f>
        <v>0</v>
      </c>
    </row>
    <row r="556" customFormat="false" ht="15" hidden="false" customHeight="false" outlineLevel="0" collapsed="false">
      <c r="A556" s="60"/>
      <c r="B556" s="61" t="str">
        <f aca="false">IF($M556=0,"",INDEX(Classes!$E$6:$E$420,$M556))</f>
        <v/>
      </c>
      <c r="C556" s="62" t="str">
        <f aca="false">IF($M556=0,"",INDEX(Classes!$H$6:$H$420,$M556))</f>
        <v/>
      </c>
      <c r="D556" s="61" t="str">
        <f aca="false">IF($M556=0,"",INDEX(Classes!$B$6:$B$420,$M556))</f>
        <v/>
      </c>
      <c r="E556" s="61" t="str">
        <f aca="false">IF($M556=0,"",INDEX(Classes!$C$6:$C$420,$M556))</f>
        <v/>
      </c>
      <c r="F556" s="63"/>
      <c r="G556" s="63"/>
      <c r="H556" s="60"/>
      <c r="I556" s="60"/>
      <c r="J556" s="63"/>
      <c r="K556" s="61" t="str">
        <f aca="false">IF($P556=0,"",IF($F556="Baseline","— Baseline",IF($O556=0,"No result",IF($N556=0,"No Start (attainment only)",IF(OR($N556=1,$O556=1),"U – needs rule",INDEX(MxBody,MATCH($I556,MxCurr,0),MATCH($H556,MxStart,0)))))))</f>
        <v/>
      </c>
      <c r="L556" s="62" t="str">
        <f aca="false">IF(COUNTA($A556,$F556,$G556,$H556,$I556,$J556)=0,"",IF($M556=0,"✖ كود الصف غير موجود",IF(ISNA(MATCH($F556,Lists!$A$2:$A$5,0)),"✖ الفترة غير صحيحة",IF(ISNA(MATCH($G556,Lists!$B$2:$B$7,0)),"✖ المجموعة غير صحيحة",IF(NOT(OR($H556="",$N556&gt;0)),"✖ Start غير صحيح",IF(NOT(OR($I556="",$I556="NR",$O556&gt;0)),"✖ Current غير صحيح",IF(NOT(IF(ISNUMBER($J556),AND($J556&gt;=0,$J556=INT($J556)),FALSE())),"✖ العدد يجب أن يكون صحيحًا ≥ 0",IF(AND($F556="Baseline",$H556&lt;&gt;""),"⚠ Baseline: Start لا يدخل في التقدم",IF($K556="No Start (attainment only)","ℹ تحصيل فقط (بدون Start)",IF($K556="U – needs rule","ℹ حالة U تحتاج قاعدة معتمدة",IF($K556="No result","ℹ بدون نتيجة (يُستبعد من التحصيل)","OK")))))))))))</f>
        <v/>
      </c>
      <c r="M556" s="64" t="n">
        <f aca="false">IF($A556="",0,IFERROR(MATCH($A556,Classes!$A$6:$A$420,0),0))</f>
        <v>0</v>
      </c>
      <c r="N556" s="64" t="n">
        <f aca="false">IF($H556="",0,IFERROR(MATCH($H556,GradeList,0),0))</f>
        <v>0</v>
      </c>
      <c r="O556" s="64" t="n">
        <f aca="false">IF(OR($I556="",$I556="NR"),0,IFERROR(MATCH($I556,GradeList,0),0))</f>
        <v>0</v>
      </c>
      <c r="P556" s="64" t="n">
        <f aca="false">IF(AND($M556&gt;0,ISNUMBER(MATCH($F556,Lists!$A$2:$A$5,0)),ISNUMBER(MATCH($G556,Lists!$B$2:$B$7,0)),OR($H556="",$N556&gt;0),OR($I556="",$I556="NR",$O556&gt;0),IF(ISNUMBER($J556),AND($J556&gt;=0,$J556=INT($J556)),FALSE())),$J556,0)</f>
        <v>0</v>
      </c>
      <c r="Q556" s="64" t="n">
        <f aca="false">IF(AND($P556&gt;0,$O556&gt;0),$P556,0)</f>
        <v>0</v>
      </c>
      <c r="R556" s="64" t="n">
        <f aca="false">IF(AND($Q556&gt;0,$O556&gt;=AtRank),$Q556,0)</f>
        <v>0</v>
      </c>
      <c r="S556" s="64" t="n">
        <f aca="false">IF(AND($Q556&gt;0,$O556&gt;=AboveRank),$Q556,0)</f>
        <v>0</v>
      </c>
      <c r="T556" s="64" t="n">
        <f aca="false">IF($K556="Less",$P556,0)</f>
        <v>0</v>
      </c>
      <c r="U556" s="64" t="n">
        <f aca="false">IF($K556="Expected",$P556,0)</f>
        <v>0</v>
      </c>
      <c r="V556" s="64" t="n">
        <f aca="false">IF($K556="Better",$P556,0)</f>
        <v>0</v>
      </c>
      <c r="W556" s="64" t="n">
        <f aca="false">IF($K556="U – needs rule",$P556,0)</f>
        <v>0</v>
      </c>
      <c r="X556" s="64" t="n">
        <f aca="false">IF($K556="No Start (attainment only)",$P556,0)</f>
        <v>0</v>
      </c>
    </row>
    <row r="557" customFormat="false" ht="15" hidden="false" customHeight="false" outlineLevel="0" collapsed="false">
      <c r="A557" s="60"/>
      <c r="B557" s="61" t="str">
        <f aca="false">IF($M557=0,"",INDEX(Classes!$E$6:$E$420,$M557))</f>
        <v/>
      </c>
      <c r="C557" s="62" t="str">
        <f aca="false">IF($M557=0,"",INDEX(Classes!$H$6:$H$420,$M557))</f>
        <v/>
      </c>
      <c r="D557" s="61" t="str">
        <f aca="false">IF($M557=0,"",INDEX(Classes!$B$6:$B$420,$M557))</f>
        <v/>
      </c>
      <c r="E557" s="61" t="str">
        <f aca="false">IF($M557=0,"",INDEX(Classes!$C$6:$C$420,$M557))</f>
        <v/>
      </c>
      <c r="F557" s="63"/>
      <c r="G557" s="63"/>
      <c r="H557" s="60"/>
      <c r="I557" s="60"/>
      <c r="J557" s="63"/>
      <c r="K557" s="61" t="str">
        <f aca="false">IF($P557=0,"",IF($F557="Baseline","— Baseline",IF($O557=0,"No result",IF($N557=0,"No Start (attainment only)",IF(OR($N557=1,$O557=1),"U – needs rule",INDEX(MxBody,MATCH($I557,MxCurr,0),MATCH($H557,MxStart,0)))))))</f>
        <v/>
      </c>
      <c r="L557" s="62" t="str">
        <f aca="false">IF(COUNTA($A557,$F557,$G557,$H557,$I557,$J557)=0,"",IF($M557=0,"✖ كود الصف غير موجود",IF(ISNA(MATCH($F557,Lists!$A$2:$A$5,0)),"✖ الفترة غير صحيحة",IF(ISNA(MATCH($G557,Lists!$B$2:$B$7,0)),"✖ المجموعة غير صحيحة",IF(NOT(OR($H557="",$N557&gt;0)),"✖ Start غير صحيح",IF(NOT(OR($I557="",$I557="NR",$O557&gt;0)),"✖ Current غير صحيح",IF(NOT(IF(ISNUMBER($J557),AND($J557&gt;=0,$J557=INT($J557)),FALSE())),"✖ العدد يجب أن يكون صحيحًا ≥ 0",IF(AND($F557="Baseline",$H557&lt;&gt;""),"⚠ Baseline: Start لا يدخل في التقدم",IF($K557="No Start (attainment only)","ℹ تحصيل فقط (بدون Start)",IF($K557="U – needs rule","ℹ حالة U تحتاج قاعدة معتمدة",IF($K557="No result","ℹ بدون نتيجة (يُستبعد من التحصيل)","OK")))))))))))</f>
        <v/>
      </c>
      <c r="M557" s="64" t="n">
        <f aca="false">IF($A557="",0,IFERROR(MATCH($A557,Classes!$A$6:$A$420,0),0))</f>
        <v>0</v>
      </c>
      <c r="N557" s="64" t="n">
        <f aca="false">IF($H557="",0,IFERROR(MATCH($H557,GradeList,0),0))</f>
        <v>0</v>
      </c>
      <c r="O557" s="64" t="n">
        <f aca="false">IF(OR($I557="",$I557="NR"),0,IFERROR(MATCH($I557,GradeList,0),0))</f>
        <v>0</v>
      </c>
      <c r="P557" s="64" t="n">
        <f aca="false">IF(AND($M557&gt;0,ISNUMBER(MATCH($F557,Lists!$A$2:$A$5,0)),ISNUMBER(MATCH($G557,Lists!$B$2:$B$7,0)),OR($H557="",$N557&gt;0),OR($I557="",$I557="NR",$O557&gt;0),IF(ISNUMBER($J557),AND($J557&gt;=0,$J557=INT($J557)),FALSE())),$J557,0)</f>
        <v>0</v>
      </c>
      <c r="Q557" s="64" t="n">
        <f aca="false">IF(AND($P557&gt;0,$O557&gt;0),$P557,0)</f>
        <v>0</v>
      </c>
      <c r="R557" s="64" t="n">
        <f aca="false">IF(AND($Q557&gt;0,$O557&gt;=AtRank),$Q557,0)</f>
        <v>0</v>
      </c>
      <c r="S557" s="64" t="n">
        <f aca="false">IF(AND($Q557&gt;0,$O557&gt;=AboveRank),$Q557,0)</f>
        <v>0</v>
      </c>
      <c r="T557" s="64" t="n">
        <f aca="false">IF($K557="Less",$P557,0)</f>
        <v>0</v>
      </c>
      <c r="U557" s="64" t="n">
        <f aca="false">IF($K557="Expected",$P557,0)</f>
        <v>0</v>
      </c>
      <c r="V557" s="64" t="n">
        <f aca="false">IF($K557="Better",$P557,0)</f>
        <v>0</v>
      </c>
      <c r="W557" s="64" t="n">
        <f aca="false">IF($K557="U – needs rule",$P557,0)</f>
        <v>0</v>
      </c>
      <c r="X557" s="64" t="n">
        <f aca="false">IF($K557="No Start (attainment only)",$P557,0)</f>
        <v>0</v>
      </c>
    </row>
    <row r="558" customFormat="false" ht="15" hidden="false" customHeight="false" outlineLevel="0" collapsed="false">
      <c r="A558" s="60"/>
      <c r="B558" s="61" t="str">
        <f aca="false">IF($M558=0,"",INDEX(Classes!$E$6:$E$420,$M558))</f>
        <v/>
      </c>
      <c r="C558" s="62" t="str">
        <f aca="false">IF($M558=0,"",INDEX(Classes!$H$6:$H$420,$M558))</f>
        <v/>
      </c>
      <c r="D558" s="61" t="str">
        <f aca="false">IF($M558=0,"",INDEX(Classes!$B$6:$B$420,$M558))</f>
        <v/>
      </c>
      <c r="E558" s="61" t="str">
        <f aca="false">IF($M558=0,"",INDEX(Classes!$C$6:$C$420,$M558))</f>
        <v/>
      </c>
      <c r="F558" s="63"/>
      <c r="G558" s="63"/>
      <c r="H558" s="60"/>
      <c r="I558" s="60"/>
      <c r="J558" s="63"/>
      <c r="K558" s="61" t="str">
        <f aca="false">IF($P558=0,"",IF($F558="Baseline","— Baseline",IF($O558=0,"No result",IF($N558=0,"No Start (attainment only)",IF(OR($N558=1,$O558=1),"U – needs rule",INDEX(MxBody,MATCH($I558,MxCurr,0),MATCH($H558,MxStart,0)))))))</f>
        <v/>
      </c>
      <c r="L558" s="62" t="str">
        <f aca="false">IF(COUNTA($A558,$F558,$G558,$H558,$I558,$J558)=0,"",IF($M558=0,"✖ كود الصف غير موجود",IF(ISNA(MATCH($F558,Lists!$A$2:$A$5,0)),"✖ الفترة غير صحيحة",IF(ISNA(MATCH($G558,Lists!$B$2:$B$7,0)),"✖ المجموعة غير صحيحة",IF(NOT(OR($H558="",$N558&gt;0)),"✖ Start غير صحيح",IF(NOT(OR($I558="",$I558="NR",$O558&gt;0)),"✖ Current غير صحيح",IF(NOT(IF(ISNUMBER($J558),AND($J558&gt;=0,$J558=INT($J558)),FALSE())),"✖ العدد يجب أن يكون صحيحًا ≥ 0",IF(AND($F558="Baseline",$H558&lt;&gt;""),"⚠ Baseline: Start لا يدخل في التقدم",IF($K558="No Start (attainment only)","ℹ تحصيل فقط (بدون Start)",IF($K558="U – needs rule","ℹ حالة U تحتاج قاعدة معتمدة",IF($K558="No result","ℹ بدون نتيجة (يُستبعد من التحصيل)","OK")))))))))))</f>
        <v/>
      </c>
      <c r="M558" s="64" t="n">
        <f aca="false">IF($A558="",0,IFERROR(MATCH($A558,Classes!$A$6:$A$420,0),0))</f>
        <v>0</v>
      </c>
      <c r="N558" s="64" t="n">
        <f aca="false">IF($H558="",0,IFERROR(MATCH($H558,GradeList,0),0))</f>
        <v>0</v>
      </c>
      <c r="O558" s="64" t="n">
        <f aca="false">IF(OR($I558="",$I558="NR"),0,IFERROR(MATCH($I558,GradeList,0),0))</f>
        <v>0</v>
      </c>
      <c r="P558" s="64" t="n">
        <f aca="false">IF(AND($M558&gt;0,ISNUMBER(MATCH($F558,Lists!$A$2:$A$5,0)),ISNUMBER(MATCH($G558,Lists!$B$2:$B$7,0)),OR($H558="",$N558&gt;0),OR($I558="",$I558="NR",$O558&gt;0),IF(ISNUMBER($J558),AND($J558&gt;=0,$J558=INT($J558)),FALSE())),$J558,0)</f>
        <v>0</v>
      </c>
      <c r="Q558" s="64" t="n">
        <f aca="false">IF(AND($P558&gt;0,$O558&gt;0),$P558,0)</f>
        <v>0</v>
      </c>
      <c r="R558" s="64" t="n">
        <f aca="false">IF(AND($Q558&gt;0,$O558&gt;=AtRank),$Q558,0)</f>
        <v>0</v>
      </c>
      <c r="S558" s="64" t="n">
        <f aca="false">IF(AND($Q558&gt;0,$O558&gt;=AboveRank),$Q558,0)</f>
        <v>0</v>
      </c>
      <c r="T558" s="64" t="n">
        <f aca="false">IF($K558="Less",$P558,0)</f>
        <v>0</v>
      </c>
      <c r="U558" s="64" t="n">
        <f aca="false">IF($K558="Expected",$P558,0)</f>
        <v>0</v>
      </c>
      <c r="V558" s="64" t="n">
        <f aca="false">IF($K558="Better",$P558,0)</f>
        <v>0</v>
      </c>
      <c r="W558" s="64" t="n">
        <f aca="false">IF($K558="U – needs rule",$P558,0)</f>
        <v>0</v>
      </c>
      <c r="X558" s="64" t="n">
        <f aca="false">IF($K558="No Start (attainment only)",$P558,0)</f>
        <v>0</v>
      </c>
    </row>
    <row r="559" customFormat="false" ht="15" hidden="false" customHeight="false" outlineLevel="0" collapsed="false">
      <c r="A559" s="60"/>
      <c r="B559" s="61" t="str">
        <f aca="false">IF($M559=0,"",INDEX(Classes!$E$6:$E$420,$M559))</f>
        <v/>
      </c>
      <c r="C559" s="62" t="str">
        <f aca="false">IF($M559=0,"",INDEX(Classes!$H$6:$H$420,$M559))</f>
        <v/>
      </c>
      <c r="D559" s="61" t="str">
        <f aca="false">IF($M559=0,"",INDEX(Classes!$B$6:$B$420,$M559))</f>
        <v/>
      </c>
      <c r="E559" s="61" t="str">
        <f aca="false">IF($M559=0,"",INDEX(Classes!$C$6:$C$420,$M559))</f>
        <v/>
      </c>
      <c r="F559" s="63"/>
      <c r="G559" s="63"/>
      <c r="H559" s="60"/>
      <c r="I559" s="60"/>
      <c r="J559" s="63"/>
      <c r="K559" s="61" t="str">
        <f aca="false">IF($P559=0,"",IF($F559="Baseline","— Baseline",IF($O559=0,"No result",IF($N559=0,"No Start (attainment only)",IF(OR($N559=1,$O559=1),"U – needs rule",INDEX(MxBody,MATCH($I559,MxCurr,0),MATCH($H559,MxStart,0)))))))</f>
        <v/>
      </c>
      <c r="L559" s="62" t="str">
        <f aca="false">IF(COUNTA($A559,$F559,$G559,$H559,$I559,$J559)=0,"",IF($M559=0,"✖ كود الصف غير موجود",IF(ISNA(MATCH($F559,Lists!$A$2:$A$5,0)),"✖ الفترة غير صحيحة",IF(ISNA(MATCH($G559,Lists!$B$2:$B$7,0)),"✖ المجموعة غير صحيحة",IF(NOT(OR($H559="",$N559&gt;0)),"✖ Start غير صحيح",IF(NOT(OR($I559="",$I559="NR",$O559&gt;0)),"✖ Current غير صحيح",IF(NOT(IF(ISNUMBER($J559),AND($J559&gt;=0,$J559=INT($J559)),FALSE())),"✖ العدد يجب أن يكون صحيحًا ≥ 0",IF(AND($F559="Baseline",$H559&lt;&gt;""),"⚠ Baseline: Start لا يدخل في التقدم",IF($K559="No Start (attainment only)","ℹ تحصيل فقط (بدون Start)",IF($K559="U – needs rule","ℹ حالة U تحتاج قاعدة معتمدة",IF($K559="No result","ℹ بدون نتيجة (يُستبعد من التحصيل)","OK")))))))))))</f>
        <v/>
      </c>
      <c r="M559" s="64" t="n">
        <f aca="false">IF($A559="",0,IFERROR(MATCH($A559,Classes!$A$6:$A$420,0),0))</f>
        <v>0</v>
      </c>
      <c r="N559" s="64" t="n">
        <f aca="false">IF($H559="",0,IFERROR(MATCH($H559,GradeList,0),0))</f>
        <v>0</v>
      </c>
      <c r="O559" s="64" t="n">
        <f aca="false">IF(OR($I559="",$I559="NR"),0,IFERROR(MATCH($I559,GradeList,0),0))</f>
        <v>0</v>
      </c>
      <c r="P559" s="64" t="n">
        <f aca="false">IF(AND($M559&gt;0,ISNUMBER(MATCH($F559,Lists!$A$2:$A$5,0)),ISNUMBER(MATCH($G559,Lists!$B$2:$B$7,0)),OR($H559="",$N559&gt;0),OR($I559="",$I559="NR",$O559&gt;0),IF(ISNUMBER($J559),AND($J559&gt;=0,$J559=INT($J559)),FALSE())),$J559,0)</f>
        <v>0</v>
      </c>
      <c r="Q559" s="64" t="n">
        <f aca="false">IF(AND($P559&gt;0,$O559&gt;0),$P559,0)</f>
        <v>0</v>
      </c>
      <c r="R559" s="64" t="n">
        <f aca="false">IF(AND($Q559&gt;0,$O559&gt;=AtRank),$Q559,0)</f>
        <v>0</v>
      </c>
      <c r="S559" s="64" t="n">
        <f aca="false">IF(AND($Q559&gt;0,$O559&gt;=AboveRank),$Q559,0)</f>
        <v>0</v>
      </c>
      <c r="T559" s="64" t="n">
        <f aca="false">IF($K559="Less",$P559,0)</f>
        <v>0</v>
      </c>
      <c r="U559" s="64" t="n">
        <f aca="false">IF($K559="Expected",$P559,0)</f>
        <v>0</v>
      </c>
      <c r="V559" s="64" t="n">
        <f aca="false">IF($K559="Better",$P559,0)</f>
        <v>0</v>
      </c>
      <c r="W559" s="64" t="n">
        <f aca="false">IF($K559="U – needs rule",$P559,0)</f>
        <v>0</v>
      </c>
      <c r="X559" s="64" t="n">
        <f aca="false">IF($K559="No Start (attainment only)",$P559,0)</f>
        <v>0</v>
      </c>
    </row>
    <row r="560" customFormat="false" ht="15" hidden="false" customHeight="false" outlineLevel="0" collapsed="false">
      <c r="A560" s="60"/>
      <c r="B560" s="61" t="str">
        <f aca="false">IF($M560=0,"",INDEX(Classes!$E$6:$E$420,$M560))</f>
        <v/>
      </c>
      <c r="C560" s="62" t="str">
        <f aca="false">IF($M560=0,"",INDEX(Classes!$H$6:$H$420,$M560))</f>
        <v/>
      </c>
      <c r="D560" s="61" t="str">
        <f aca="false">IF($M560=0,"",INDEX(Classes!$B$6:$B$420,$M560))</f>
        <v/>
      </c>
      <c r="E560" s="61" t="str">
        <f aca="false">IF($M560=0,"",INDEX(Classes!$C$6:$C$420,$M560))</f>
        <v/>
      </c>
      <c r="F560" s="63"/>
      <c r="G560" s="63"/>
      <c r="H560" s="60"/>
      <c r="I560" s="60"/>
      <c r="J560" s="63"/>
      <c r="K560" s="61" t="str">
        <f aca="false">IF($P560=0,"",IF($F560="Baseline","— Baseline",IF($O560=0,"No result",IF($N560=0,"No Start (attainment only)",IF(OR($N560=1,$O560=1),"U – needs rule",INDEX(MxBody,MATCH($I560,MxCurr,0),MATCH($H560,MxStart,0)))))))</f>
        <v/>
      </c>
      <c r="L560" s="62" t="str">
        <f aca="false">IF(COUNTA($A560,$F560,$G560,$H560,$I560,$J560)=0,"",IF($M560=0,"✖ كود الصف غير موجود",IF(ISNA(MATCH($F560,Lists!$A$2:$A$5,0)),"✖ الفترة غير صحيحة",IF(ISNA(MATCH($G560,Lists!$B$2:$B$7,0)),"✖ المجموعة غير صحيحة",IF(NOT(OR($H560="",$N560&gt;0)),"✖ Start غير صحيح",IF(NOT(OR($I560="",$I560="NR",$O560&gt;0)),"✖ Current غير صحيح",IF(NOT(IF(ISNUMBER($J560),AND($J560&gt;=0,$J560=INT($J560)),FALSE())),"✖ العدد يجب أن يكون صحيحًا ≥ 0",IF(AND($F560="Baseline",$H560&lt;&gt;""),"⚠ Baseline: Start لا يدخل في التقدم",IF($K560="No Start (attainment only)","ℹ تحصيل فقط (بدون Start)",IF($K560="U – needs rule","ℹ حالة U تحتاج قاعدة معتمدة",IF($K560="No result","ℹ بدون نتيجة (يُستبعد من التحصيل)","OK")))))))))))</f>
        <v/>
      </c>
      <c r="M560" s="64" t="n">
        <f aca="false">IF($A560="",0,IFERROR(MATCH($A560,Classes!$A$6:$A$420,0),0))</f>
        <v>0</v>
      </c>
      <c r="N560" s="64" t="n">
        <f aca="false">IF($H560="",0,IFERROR(MATCH($H560,GradeList,0),0))</f>
        <v>0</v>
      </c>
      <c r="O560" s="64" t="n">
        <f aca="false">IF(OR($I560="",$I560="NR"),0,IFERROR(MATCH($I560,GradeList,0),0))</f>
        <v>0</v>
      </c>
      <c r="P560" s="64" t="n">
        <f aca="false">IF(AND($M560&gt;0,ISNUMBER(MATCH($F560,Lists!$A$2:$A$5,0)),ISNUMBER(MATCH($G560,Lists!$B$2:$B$7,0)),OR($H560="",$N560&gt;0),OR($I560="",$I560="NR",$O560&gt;0),IF(ISNUMBER($J560),AND($J560&gt;=0,$J560=INT($J560)),FALSE())),$J560,0)</f>
        <v>0</v>
      </c>
      <c r="Q560" s="64" t="n">
        <f aca="false">IF(AND($P560&gt;0,$O560&gt;0),$P560,0)</f>
        <v>0</v>
      </c>
      <c r="R560" s="64" t="n">
        <f aca="false">IF(AND($Q560&gt;0,$O560&gt;=AtRank),$Q560,0)</f>
        <v>0</v>
      </c>
      <c r="S560" s="64" t="n">
        <f aca="false">IF(AND($Q560&gt;0,$O560&gt;=AboveRank),$Q560,0)</f>
        <v>0</v>
      </c>
      <c r="T560" s="64" t="n">
        <f aca="false">IF($K560="Less",$P560,0)</f>
        <v>0</v>
      </c>
      <c r="U560" s="64" t="n">
        <f aca="false">IF($K560="Expected",$P560,0)</f>
        <v>0</v>
      </c>
      <c r="V560" s="64" t="n">
        <f aca="false">IF($K560="Better",$P560,0)</f>
        <v>0</v>
      </c>
      <c r="W560" s="64" t="n">
        <f aca="false">IF($K560="U – needs rule",$P560,0)</f>
        <v>0</v>
      </c>
      <c r="X560" s="64" t="n">
        <f aca="false">IF($K560="No Start (attainment only)",$P560,0)</f>
        <v>0</v>
      </c>
    </row>
    <row r="561" customFormat="false" ht="15" hidden="false" customHeight="false" outlineLevel="0" collapsed="false">
      <c r="A561" s="60"/>
      <c r="B561" s="61" t="str">
        <f aca="false">IF($M561=0,"",INDEX(Classes!$E$6:$E$420,$M561))</f>
        <v/>
      </c>
      <c r="C561" s="62" t="str">
        <f aca="false">IF($M561=0,"",INDEX(Classes!$H$6:$H$420,$M561))</f>
        <v/>
      </c>
      <c r="D561" s="61" t="str">
        <f aca="false">IF($M561=0,"",INDEX(Classes!$B$6:$B$420,$M561))</f>
        <v/>
      </c>
      <c r="E561" s="61" t="str">
        <f aca="false">IF($M561=0,"",INDEX(Classes!$C$6:$C$420,$M561))</f>
        <v/>
      </c>
      <c r="F561" s="63"/>
      <c r="G561" s="63"/>
      <c r="H561" s="60"/>
      <c r="I561" s="60"/>
      <c r="J561" s="63"/>
      <c r="K561" s="61" t="str">
        <f aca="false">IF($P561=0,"",IF($F561="Baseline","— Baseline",IF($O561=0,"No result",IF($N561=0,"No Start (attainment only)",IF(OR($N561=1,$O561=1),"U – needs rule",INDEX(MxBody,MATCH($I561,MxCurr,0),MATCH($H561,MxStart,0)))))))</f>
        <v/>
      </c>
      <c r="L561" s="62" t="str">
        <f aca="false">IF(COUNTA($A561,$F561,$G561,$H561,$I561,$J561)=0,"",IF($M561=0,"✖ كود الصف غير موجود",IF(ISNA(MATCH($F561,Lists!$A$2:$A$5,0)),"✖ الفترة غير صحيحة",IF(ISNA(MATCH($G561,Lists!$B$2:$B$7,0)),"✖ المجموعة غير صحيحة",IF(NOT(OR($H561="",$N561&gt;0)),"✖ Start غير صحيح",IF(NOT(OR($I561="",$I561="NR",$O561&gt;0)),"✖ Current غير صحيح",IF(NOT(IF(ISNUMBER($J561),AND($J561&gt;=0,$J561=INT($J561)),FALSE())),"✖ العدد يجب أن يكون صحيحًا ≥ 0",IF(AND($F561="Baseline",$H561&lt;&gt;""),"⚠ Baseline: Start لا يدخل في التقدم",IF($K561="No Start (attainment only)","ℹ تحصيل فقط (بدون Start)",IF($K561="U – needs rule","ℹ حالة U تحتاج قاعدة معتمدة",IF($K561="No result","ℹ بدون نتيجة (يُستبعد من التحصيل)","OK")))))))))))</f>
        <v/>
      </c>
      <c r="M561" s="64" t="n">
        <f aca="false">IF($A561="",0,IFERROR(MATCH($A561,Classes!$A$6:$A$420,0),0))</f>
        <v>0</v>
      </c>
      <c r="N561" s="64" t="n">
        <f aca="false">IF($H561="",0,IFERROR(MATCH($H561,GradeList,0),0))</f>
        <v>0</v>
      </c>
      <c r="O561" s="64" t="n">
        <f aca="false">IF(OR($I561="",$I561="NR"),0,IFERROR(MATCH($I561,GradeList,0),0))</f>
        <v>0</v>
      </c>
      <c r="P561" s="64" t="n">
        <f aca="false">IF(AND($M561&gt;0,ISNUMBER(MATCH($F561,Lists!$A$2:$A$5,0)),ISNUMBER(MATCH($G561,Lists!$B$2:$B$7,0)),OR($H561="",$N561&gt;0),OR($I561="",$I561="NR",$O561&gt;0),IF(ISNUMBER($J561),AND($J561&gt;=0,$J561=INT($J561)),FALSE())),$J561,0)</f>
        <v>0</v>
      </c>
      <c r="Q561" s="64" t="n">
        <f aca="false">IF(AND($P561&gt;0,$O561&gt;0),$P561,0)</f>
        <v>0</v>
      </c>
      <c r="R561" s="64" t="n">
        <f aca="false">IF(AND($Q561&gt;0,$O561&gt;=AtRank),$Q561,0)</f>
        <v>0</v>
      </c>
      <c r="S561" s="64" t="n">
        <f aca="false">IF(AND($Q561&gt;0,$O561&gt;=AboveRank),$Q561,0)</f>
        <v>0</v>
      </c>
      <c r="T561" s="64" t="n">
        <f aca="false">IF($K561="Less",$P561,0)</f>
        <v>0</v>
      </c>
      <c r="U561" s="64" t="n">
        <f aca="false">IF($K561="Expected",$P561,0)</f>
        <v>0</v>
      </c>
      <c r="V561" s="64" t="n">
        <f aca="false">IF($K561="Better",$P561,0)</f>
        <v>0</v>
      </c>
      <c r="W561" s="64" t="n">
        <f aca="false">IF($K561="U – needs rule",$P561,0)</f>
        <v>0</v>
      </c>
      <c r="X561" s="64" t="n">
        <f aca="false">IF($K561="No Start (attainment only)",$P561,0)</f>
        <v>0</v>
      </c>
    </row>
    <row r="562" customFormat="false" ht="15" hidden="false" customHeight="false" outlineLevel="0" collapsed="false">
      <c r="A562" s="60"/>
      <c r="B562" s="61" t="str">
        <f aca="false">IF($M562=0,"",INDEX(Classes!$E$6:$E$420,$M562))</f>
        <v/>
      </c>
      <c r="C562" s="62" t="str">
        <f aca="false">IF($M562=0,"",INDEX(Classes!$H$6:$H$420,$M562))</f>
        <v/>
      </c>
      <c r="D562" s="61" t="str">
        <f aca="false">IF($M562=0,"",INDEX(Classes!$B$6:$B$420,$M562))</f>
        <v/>
      </c>
      <c r="E562" s="61" t="str">
        <f aca="false">IF($M562=0,"",INDEX(Classes!$C$6:$C$420,$M562))</f>
        <v/>
      </c>
      <c r="F562" s="63"/>
      <c r="G562" s="63"/>
      <c r="H562" s="60"/>
      <c r="I562" s="60"/>
      <c r="J562" s="63"/>
      <c r="K562" s="61" t="str">
        <f aca="false">IF($P562=0,"",IF($F562="Baseline","— Baseline",IF($O562=0,"No result",IF($N562=0,"No Start (attainment only)",IF(OR($N562=1,$O562=1),"U – needs rule",INDEX(MxBody,MATCH($I562,MxCurr,0),MATCH($H562,MxStart,0)))))))</f>
        <v/>
      </c>
      <c r="L562" s="62" t="str">
        <f aca="false">IF(COUNTA($A562,$F562,$G562,$H562,$I562,$J562)=0,"",IF($M562=0,"✖ كود الصف غير موجود",IF(ISNA(MATCH($F562,Lists!$A$2:$A$5,0)),"✖ الفترة غير صحيحة",IF(ISNA(MATCH($G562,Lists!$B$2:$B$7,0)),"✖ المجموعة غير صحيحة",IF(NOT(OR($H562="",$N562&gt;0)),"✖ Start غير صحيح",IF(NOT(OR($I562="",$I562="NR",$O562&gt;0)),"✖ Current غير صحيح",IF(NOT(IF(ISNUMBER($J562),AND($J562&gt;=0,$J562=INT($J562)),FALSE())),"✖ العدد يجب أن يكون صحيحًا ≥ 0",IF(AND($F562="Baseline",$H562&lt;&gt;""),"⚠ Baseline: Start لا يدخل في التقدم",IF($K562="No Start (attainment only)","ℹ تحصيل فقط (بدون Start)",IF($K562="U – needs rule","ℹ حالة U تحتاج قاعدة معتمدة",IF($K562="No result","ℹ بدون نتيجة (يُستبعد من التحصيل)","OK")))))))))))</f>
        <v/>
      </c>
      <c r="M562" s="64" t="n">
        <f aca="false">IF($A562="",0,IFERROR(MATCH($A562,Classes!$A$6:$A$420,0),0))</f>
        <v>0</v>
      </c>
      <c r="N562" s="64" t="n">
        <f aca="false">IF($H562="",0,IFERROR(MATCH($H562,GradeList,0),0))</f>
        <v>0</v>
      </c>
      <c r="O562" s="64" t="n">
        <f aca="false">IF(OR($I562="",$I562="NR"),0,IFERROR(MATCH($I562,GradeList,0),0))</f>
        <v>0</v>
      </c>
      <c r="P562" s="64" t="n">
        <f aca="false">IF(AND($M562&gt;0,ISNUMBER(MATCH($F562,Lists!$A$2:$A$5,0)),ISNUMBER(MATCH($G562,Lists!$B$2:$B$7,0)),OR($H562="",$N562&gt;0),OR($I562="",$I562="NR",$O562&gt;0),IF(ISNUMBER($J562),AND($J562&gt;=0,$J562=INT($J562)),FALSE())),$J562,0)</f>
        <v>0</v>
      </c>
      <c r="Q562" s="64" t="n">
        <f aca="false">IF(AND($P562&gt;0,$O562&gt;0),$P562,0)</f>
        <v>0</v>
      </c>
      <c r="R562" s="64" t="n">
        <f aca="false">IF(AND($Q562&gt;0,$O562&gt;=AtRank),$Q562,0)</f>
        <v>0</v>
      </c>
      <c r="S562" s="64" t="n">
        <f aca="false">IF(AND($Q562&gt;0,$O562&gt;=AboveRank),$Q562,0)</f>
        <v>0</v>
      </c>
      <c r="T562" s="64" t="n">
        <f aca="false">IF($K562="Less",$P562,0)</f>
        <v>0</v>
      </c>
      <c r="U562" s="64" t="n">
        <f aca="false">IF($K562="Expected",$P562,0)</f>
        <v>0</v>
      </c>
      <c r="V562" s="64" t="n">
        <f aca="false">IF($K562="Better",$P562,0)</f>
        <v>0</v>
      </c>
      <c r="W562" s="64" t="n">
        <f aca="false">IF($K562="U – needs rule",$P562,0)</f>
        <v>0</v>
      </c>
      <c r="X562" s="64" t="n">
        <f aca="false">IF($K562="No Start (attainment only)",$P562,0)</f>
        <v>0</v>
      </c>
    </row>
    <row r="563" customFormat="false" ht="15" hidden="false" customHeight="false" outlineLevel="0" collapsed="false">
      <c r="A563" s="60"/>
      <c r="B563" s="61" t="str">
        <f aca="false">IF($M563=0,"",INDEX(Classes!$E$6:$E$420,$M563))</f>
        <v/>
      </c>
      <c r="C563" s="62" t="str">
        <f aca="false">IF($M563=0,"",INDEX(Classes!$H$6:$H$420,$M563))</f>
        <v/>
      </c>
      <c r="D563" s="61" t="str">
        <f aca="false">IF($M563=0,"",INDEX(Classes!$B$6:$B$420,$M563))</f>
        <v/>
      </c>
      <c r="E563" s="61" t="str">
        <f aca="false">IF($M563=0,"",INDEX(Classes!$C$6:$C$420,$M563))</f>
        <v/>
      </c>
      <c r="F563" s="63"/>
      <c r="G563" s="63"/>
      <c r="H563" s="60"/>
      <c r="I563" s="60"/>
      <c r="J563" s="63"/>
      <c r="K563" s="61" t="str">
        <f aca="false">IF($P563=0,"",IF($F563="Baseline","— Baseline",IF($O563=0,"No result",IF($N563=0,"No Start (attainment only)",IF(OR($N563=1,$O563=1),"U – needs rule",INDEX(MxBody,MATCH($I563,MxCurr,0),MATCH($H563,MxStart,0)))))))</f>
        <v/>
      </c>
      <c r="L563" s="62" t="str">
        <f aca="false">IF(COUNTA($A563,$F563,$G563,$H563,$I563,$J563)=0,"",IF($M563=0,"✖ كود الصف غير موجود",IF(ISNA(MATCH($F563,Lists!$A$2:$A$5,0)),"✖ الفترة غير صحيحة",IF(ISNA(MATCH($G563,Lists!$B$2:$B$7,0)),"✖ المجموعة غير صحيحة",IF(NOT(OR($H563="",$N563&gt;0)),"✖ Start غير صحيح",IF(NOT(OR($I563="",$I563="NR",$O563&gt;0)),"✖ Current غير صحيح",IF(NOT(IF(ISNUMBER($J563),AND($J563&gt;=0,$J563=INT($J563)),FALSE())),"✖ العدد يجب أن يكون صحيحًا ≥ 0",IF(AND($F563="Baseline",$H563&lt;&gt;""),"⚠ Baseline: Start لا يدخل في التقدم",IF($K563="No Start (attainment only)","ℹ تحصيل فقط (بدون Start)",IF($K563="U – needs rule","ℹ حالة U تحتاج قاعدة معتمدة",IF($K563="No result","ℹ بدون نتيجة (يُستبعد من التحصيل)","OK")))))))))))</f>
        <v/>
      </c>
      <c r="M563" s="64" t="n">
        <f aca="false">IF($A563="",0,IFERROR(MATCH($A563,Classes!$A$6:$A$420,0),0))</f>
        <v>0</v>
      </c>
      <c r="N563" s="64" t="n">
        <f aca="false">IF($H563="",0,IFERROR(MATCH($H563,GradeList,0),0))</f>
        <v>0</v>
      </c>
      <c r="O563" s="64" t="n">
        <f aca="false">IF(OR($I563="",$I563="NR"),0,IFERROR(MATCH($I563,GradeList,0),0))</f>
        <v>0</v>
      </c>
      <c r="P563" s="64" t="n">
        <f aca="false">IF(AND($M563&gt;0,ISNUMBER(MATCH($F563,Lists!$A$2:$A$5,0)),ISNUMBER(MATCH($G563,Lists!$B$2:$B$7,0)),OR($H563="",$N563&gt;0),OR($I563="",$I563="NR",$O563&gt;0),IF(ISNUMBER($J563),AND($J563&gt;=0,$J563=INT($J563)),FALSE())),$J563,0)</f>
        <v>0</v>
      </c>
      <c r="Q563" s="64" t="n">
        <f aca="false">IF(AND($P563&gt;0,$O563&gt;0),$P563,0)</f>
        <v>0</v>
      </c>
      <c r="R563" s="64" t="n">
        <f aca="false">IF(AND($Q563&gt;0,$O563&gt;=AtRank),$Q563,0)</f>
        <v>0</v>
      </c>
      <c r="S563" s="64" t="n">
        <f aca="false">IF(AND($Q563&gt;0,$O563&gt;=AboveRank),$Q563,0)</f>
        <v>0</v>
      </c>
      <c r="T563" s="64" t="n">
        <f aca="false">IF($K563="Less",$P563,0)</f>
        <v>0</v>
      </c>
      <c r="U563" s="64" t="n">
        <f aca="false">IF($K563="Expected",$P563,0)</f>
        <v>0</v>
      </c>
      <c r="V563" s="64" t="n">
        <f aca="false">IF($K563="Better",$P563,0)</f>
        <v>0</v>
      </c>
      <c r="W563" s="64" t="n">
        <f aca="false">IF($K563="U – needs rule",$P563,0)</f>
        <v>0</v>
      </c>
      <c r="X563" s="64" t="n">
        <f aca="false">IF($K563="No Start (attainment only)",$P563,0)</f>
        <v>0</v>
      </c>
    </row>
    <row r="564" customFormat="false" ht="15" hidden="false" customHeight="false" outlineLevel="0" collapsed="false">
      <c r="A564" s="60"/>
      <c r="B564" s="61" t="str">
        <f aca="false">IF($M564=0,"",INDEX(Classes!$E$6:$E$420,$M564))</f>
        <v/>
      </c>
      <c r="C564" s="62" t="str">
        <f aca="false">IF($M564=0,"",INDEX(Classes!$H$6:$H$420,$M564))</f>
        <v/>
      </c>
      <c r="D564" s="61" t="str">
        <f aca="false">IF($M564=0,"",INDEX(Classes!$B$6:$B$420,$M564))</f>
        <v/>
      </c>
      <c r="E564" s="61" t="str">
        <f aca="false">IF($M564=0,"",INDEX(Classes!$C$6:$C$420,$M564))</f>
        <v/>
      </c>
      <c r="F564" s="63"/>
      <c r="G564" s="63"/>
      <c r="H564" s="60"/>
      <c r="I564" s="60"/>
      <c r="J564" s="63"/>
      <c r="K564" s="61" t="str">
        <f aca="false">IF($P564=0,"",IF($F564="Baseline","— Baseline",IF($O564=0,"No result",IF($N564=0,"No Start (attainment only)",IF(OR($N564=1,$O564=1),"U – needs rule",INDEX(MxBody,MATCH($I564,MxCurr,0),MATCH($H564,MxStart,0)))))))</f>
        <v/>
      </c>
      <c r="L564" s="62" t="str">
        <f aca="false">IF(COUNTA($A564,$F564,$G564,$H564,$I564,$J564)=0,"",IF($M564=0,"✖ كود الصف غير موجود",IF(ISNA(MATCH($F564,Lists!$A$2:$A$5,0)),"✖ الفترة غير صحيحة",IF(ISNA(MATCH($G564,Lists!$B$2:$B$7,0)),"✖ المجموعة غير صحيحة",IF(NOT(OR($H564="",$N564&gt;0)),"✖ Start غير صحيح",IF(NOT(OR($I564="",$I564="NR",$O564&gt;0)),"✖ Current غير صحيح",IF(NOT(IF(ISNUMBER($J564),AND($J564&gt;=0,$J564=INT($J564)),FALSE())),"✖ العدد يجب أن يكون صحيحًا ≥ 0",IF(AND($F564="Baseline",$H564&lt;&gt;""),"⚠ Baseline: Start لا يدخل في التقدم",IF($K564="No Start (attainment only)","ℹ تحصيل فقط (بدون Start)",IF($K564="U – needs rule","ℹ حالة U تحتاج قاعدة معتمدة",IF($K564="No result","ℹ بدون نتيجة (يُستبعد من التحصيل)","OK")))))))))))</f>
        <v/>
      </c>
      <c r="M564" s="64" t="n">
        <f aca="false">IF($A564="",0,IFERROR(MATCH($A564,Classes!$A$6:$A$420,0),0))</f>
        <v>0</v>
      </c>
      <c r="N564" s="64" t="n">
        <f aca="false">IF($H564="",0,IFERROR(MATCH($H564,GradeList,0),0))</f>
        <v>0</v>
      </c>
      <c r="O564" s="64" t="n">
        <f aca="false">IF(OR($I564="",$I564="NR"),0,IFERROR(MATCH($I564,GradeList,0),0))</f>
        <v>0</v>
      </c>
      <c r="P564" s="64" t="n">
        <f aca="false">IF(AND($M564&gt;0,ISNUMBER(MATCH($F564,Lists!$A$2:$A$5,0)),ISNUMBER(MATCH($G564,Lists!$B$2:$B$7,0)),OR($H564="",$N564&gt;0),OR($I564="",$I564="NR",$O564&gt;0),IF(ISNUMBER($J564),AND($J564&gt;=0,$J564=INT($J564)),FALSE())),$J564,0)</f>
        <v>0</v>
      </c>
      <c r="Q564" s="64" t="n">
        <f aca="false">IF(AND($P564&gt;0,$O564&gt;0),$P564,0)</f>
        <v>0</v>
      </c>
      <c r="R564" s="64" t="n">
        <f aca="false">IF(AND($Q564&gt;0,$O564&gt;=AtRank),$Q564,0)</f>
        <v>0</v>
      </c>
      <c r="S564" s="64" t="n">
        <f aca="false">IF(AND($Q564&gt;0,$O564&gt;=AboveRank),$Q564,0)</f>
        <v>0</v>
      </c>
      <c r="T564" s="64" t="n">
        <f aca="false">IF($K564="Less",$P564,0)</f>
        <v>0</v>
      </c>
      <c r="U564" s="64" t="n">
        <f aca="false">IF($K564="Expected",$P564,0)</f>
        <v>0</v>
      </c>
      <c r="V564" s="64" t="n">
        <f aca="false">IF($K564="Better",$P564,0)</f>
        <v>0</v>
      </c>
      <c r="W564" s="64" t="n">
        <f aca="false">IF($K564="U – needs rule",$P564,0)</f>
        <v>0</v>
      </c>
      <c r="X564" s="64" t="n">
        <f aca="false">IF($K564="No Start (attainment only)",$P564,0)</f>
        <v>0</v>
      </c>
    </row>
    <row r="565" customFormat="false" ht="15" hidden="false" customHeight="false" outlineLevel="0" collapsed="false">
      <c r="A565" s="60"/>
      <c r="B565" s="61" t="str">
        <f aca="false">IF($M565=0,"",INDEX(Classes!$E$6:$E$420,$M565))</f>
        <v/>
      </c>
      <c r="C565" s="62" t="str">
        <f aca="false">IF($M565=0,"",INDEX(Classes!$H$6:$H$420,$M565))</f>
        <v/>
      </c>
      <c r="D565" s="61" t="str">
        <f aca="false">IF($M565=0,"",INDEX(Classes!$B$6:$B$420,$M565))</f>
        <v/>
      </c>
      <c r="E565" s="61" t="str">
        <f aca="false">IF($M565=0,"",INDEX(Classes!$C$6:$C$420,$M565))</f>
        <v/>
      </c>
      <c r="F565" s="63"/>
      <c r="G565" s="63"/>
      <c r="H565" s="60"/>
      <c r="I565" s="60"/>
      <c r="J565" s="63"/>
      <c r="K565" s="61" t="str">
        <f aca="false">IF($P565=0,"",IF($F565="Baseline","— Baseline",IF($O565=0,"No result",IF($N565=0,"No Start (attainment only)",IF(OR($N565=1,$O565=1),"U – needs rule",INDEX(MxBody,MATCH($I565,MxCurr,0),MATCH($H565,MxStart,0)))))))</f>
        <v/>
      </c>
      <c r="L565" s="62" t="str">
        <f aca="false">IF(COUNTA($A565,$F565,$G565,$H565,$I565,$J565)=0,"",IF($M565=0,"✖ كود الصف غير موجود",IF(ISNA(MATCH($F565,Lists!$A$2:$A$5,0)),"✖ الفترة غير صحيحة",IF(ISNA(MATCH($G565,Lists!$B$2:$B$7,0)),"✖ المجموعة غير صحيحة",IF(NOT(OR($H565="",$N565&gt;0)),"✖ Start غير صحيح",IF(NOT(OR($I565="",$I565="NR",$O565&gt;0)),"✖ Current غير صحيح",IF(NOT(IF(ISNUMBER($J565),AND($J565&gt;=0,$J565=INT($J565)),FALSE())),"✖ العدد يجب أن يكون صحيحًا ≥ 0",IF(AND($F565="Baseline",$H565&lt;&gt;""),"⚠ Baseline: Start لا يدخل في التقدم",IF($K565="No Start (attainment only)","ℹ تحصيل فقط (بدون Start)",IF($K565="U – needs rule","ℹ حالة U تحتاج قاعدة معتمدة",IF($K565="No result","ℹ بدون نتيجة (يُستبعد من التحصيل)","OK")))))))))))</f>
        <v/>
      </c>
      <c r="M565" s="64" t="n">
        <f aca="false">IF($A565="",0,IFERROR(MATCH($A565,Classes!$A$6:$A$420,0),0))</f>
        <v>0</v>
      </c>
      <c r="N565" s="64" t="n">
        <f aca="false">IF($H565="",0,IFERROR(MATCH($H565,GradeList,0),0))</f>
        <v>0</v>
      </c>
      <c r="O565" s="64" t="n">
        <f aca="false">IF(OR($I565="",$I565="NR"),0,IFERROR(MATCH($I565,GradeList,0),0))</f>
        <v>0</v>
      </c>
      <c r="P565" s="64" t="n">
        <f aca="false">IF(AND($M565&gt;0,ISNUMBER(MATCH($F565,Lists!$A$2:$A$5,0)),ISNUMBER(MATCH($G565,Lists!$B$2:$B$7,0)),OR($H565="",$N565&gt;0),OR($I565="",$I565="NR",$O565&gt;0),IF(ISNUMBER($J565),AND($J565&gt;=0,$J565=INT($J565)),FALSE())),$J565,0)</f>
        <v>0</v>
      </c>
      <c r="Q565" s="64" t="n">
        <f aca="false">IF(AND($P565&gt;0,$O565&gt;0),$P565,0)</f>
        <v>0</v>
      </c>
      <c r="R565" s="64" t="n">
        <f aca="false">IF(AND($Q565&gt;0,$O565&gt;=AtRank),$Q565,0)</f>
        <v>0</v>
      </c>
      <c r="S565" s="64" t="n">
        <f aca="false">IF(AND($Q565&gt;0,$O565&gt;=AboveRank),$Q565,0)</f>
        <v>0</v>
      </c>
      <c r="T565" s="64" t="n">
        <f aca="false">IF($K565="Less",$P565,0)</f>
        <v>0</v>
      </c>
      <c r="U565" s="64" t="n">
        <f aca="false">IF($K565="Expected",$P565,0)</f>
        <v>0</v>
      </c>
      <c r="V565" s="64" t="n">
        <f aca="false">IF($K565="Better",$P565,0)</f>
        <v>0</v>
      </c>
      <c r="W565" s="64" t="n">
        <f aca="false">IF($K565="U – needs rule",$P565,0)</f>
        <v>0</v>
      </c>
      <c r="X565" s="64" t="n">
        <f aca="false">IF($K565="No Start (attainment only)",$P565,0)</f>
        <v>0</v>
      </c>
    </row>
    <row r="566" customFormat="false" ht="15" hidden="false" customHeight="false" outlineLevel="0" collapsed="false">
      <c r="A566" s="60"/>
      <c r="B566" s="61" t="str">
        <f aca="false">IF($M566=0,"",INDEX(Classes!$E$6:$E$420,$M566))</f>
        <v/>
      </c>
      <c r="C566" s="62" t="str">
        <f aca="false">IF($M566=0,"",INDEX(Classes!$H$6:$H$420,$M566))</f>
        <v/>
      </c>
      <c r="D566" s="61" t="str">
        <f aca="false">IF($M566=0,"",INDEX(Classes!$B$6:$B$420,$M566))</f>
        <v/>
      </c>
      <c r="E566" s="61" t="str">
        <f aca="false">IF($M566=0,"",INDEX(Classes!$C$6:$C$420,$M566))</f>
        <v/>
      </c>
      <c r="F566" s="63"/>
      <c r="G566" s="63"/>
      <c r="H566" s="60"/>
      <c r="I566" s="60"/>
      <c r="J566" s="63"/>
      <c r="K566" s="61" t="str">
        <f aca="false">IF($P566=0,"",IF($F566="Baseline","— Baseline",IF($O566=0,"No result",IF($N566=0,"No Start (attainment only)",IF(OR($N566=1,$O566=1),"U – needs rule",INDEX(MxBody,MATCH($I566,MxCurr,0),MATCH($H566,MxStart,0)))))))</f>
        <v/>
      </c>
      <c r="L566" s="62" t="str">
        <f aca="false">IF(COUNTA($A566,$F566,$G566,$H566,$I566,$J566)=0,"",IF($M566=0,"✖ كود الصف غير موجود",IF(ISNA(MATCH($F566,Lists!$A$2:$A$5,0)),"✖ الفترة غير صحيحة",IF(ISNA(MATCH($G566,Lists!$B$2:$B$7,0)),"✖ المجموعة غير صحيحة",IF(NOT(OR($H566="",$N566&gt;0)),"✖ Start غير صحيح",IF(NOT(OR($I566="",$I566="NR",$O566&gt;0)),"✖ Current غير صحيح",IF(NOT(IF(ISNUMBER($J566),AND($J566&gt;=0,$J566=INT($J566)),FALSE())),"✖ العدد يجب أن يكون صحيحًا ≥ 0",IF(AND($F566="Baseline",$H566&lt;&gt;""),"⚠ Baseline: Start لا يدخل في التقدم",IF($K566="No Start (attainment only)","ℹ تحصيل فقط (بدون Start)",IF($K566="U – needs rule","ℹ حالة U تحتاج قاعدة معتمدة",IF($K566="No result","ℹ بدون نتيجة (يُستبعد من التحصيل)","OK")))))))))))</f>
        <v/>
      </c>
      <c r="M566" s="64" t="n">
        <f aca="false">IF($A566="",0,IFERROR(MATCH($A566,Classes!$A$6:$A$420,0),0))</f>
        <v>0</v>
      </c>
      <c r="N566" s="64" t="n">
        <f aca="false">IF($H566="",0,IFERROR(MATCH($H566,GradeList,0),0))</f>
        <v>0</v>
      </c>
      <c r="O566" s="64" t="n">
        <f aca="false">IF(OR($I566="",$I566="NR"),0,IFERROR(MATCH($I566,GradeList,0),0))</f>
        <v>0</v>
      </c>
      <c r="P566" s="64" t="n">
        <f aca="false">IF(AND($M566&gt;0,ISNUMBER(MATCH($F566,Lists!$A$2:$A$5,0)),ISNUMBER(MATCH($G566,Lists!$B$2:$B$7,0)),OR($H566="",$N566&gt;0),OR($I566="",$I566="NR",$O566&gt;0),IF(ISNUMBER($J566),AND($J566&gt;=0,$J566=INT($J566)),FALSE())),$J566,0)</f>
        <v>0</v>
      </c>
      <c r="Q566" s="64" t="n">
        <f aca="false">IF(AND($P566&gt;0,$O566&gt;0),$P566,0)</f>
        <v>0</v>
      </c>
      <c r="R566" s="64" t="n">
        <f aca="false">IF(AND($Q566&gt;0,$O566&gt;=AtRank),$Q566,0)</f>
        <v>0</v>
      </c>
      <c r="S566" s="64" t="n">
        <f aca="false">IF(AND($Q566&gt;0,$O566&gt;=AboveRank),$Q566,0)</f>
        <v>0</v>
      </c>
      <c r="T566" s="64" t="n">
        <f aca="false">IF($K566="Less",$P566,0)</f>
        <v>0</v>
      </c>
      <c r="U566" s="64" t="n">
        <f aca="false">IF($K566="Expected",$P566,0)</f>
        <v>0</v>
      </c>
      <c r="V566" s="64" t="n">
        <f aca="false">IF($K566="Better",$P566,0)</f>
        <v>0</v>
      </c>
      <c r="W566" s="64" t="n">
        <f aca="false">IF($K566="U – needs rule",$P566,0)</f>
        <v>0</v>
      </c>
      <c r="X566" s="64" t="n">
        <f aca="false">IF($K566="No Start (attainment only)",$P566,0)</f>
        <v>0</v>
      </c>
    </row>
    <row r="567" customFormat="false" ht="15" hidden="false" customHeight="false" outlineLevel="0" collapsed="false">
      <c r="A567" s="60"/>
      <c r="B567" s="61" t="str">
        <f aca="false">IF($M567=0,"",INDEX(Classes!$E$6:$E$420,$M567))</f>
        <v/>
      </c>
      <c r="C567" s="62" t="str">
        <f aca="false">IF($M567=0,"",INDEX(Classes!$H$6:$H$420,$M567))</f>
        <v/>
      </c>
      <c r="D567" s="61" t="str">
        <f aca="false">IF($M567=0,"",INDEX(Classes!$B$6:$B$420,$M567))</f>
        <v/>
      </c>
      <c r="E567" s="61" t="str">
        <f aca="false">IF($M567=0,"",INDEX(Classes!$C$6:$C$420,$M567))</f>
        <v/>
      </c>
      <c r="F567" s="63"/>
      <c r="G567" s="63"/>
      <c r="H567" s="60"/>
      <c r="I567" s="60"/>
      <c r="J567" s="63"/>
      <c r="K567" s="61" t="str">
        <f aca="false">IF($P567=0,"",IF($F567="Baseline","— Baseline",IF($O567=0,"No result",IF($N567=0,"No Start (attainment only)",IF(OR($N567=1,$O567=1),"U – needs rule",INDEX(MxBody,MATCH($I567,MxCurr,0),MATCH($H567,MxStart,0)))))))</f>
        <v/>
      </c>
      <c r="L567" s="62" t="str">
        <f aca="false">IF(COUNTA($A567,$F567,$G567,$H567,$I567,$J567)=0,"",IF($M567=0,"✖ كود الصف غير موجود",IF(ISNA(MATCH($F567,Lists!$A$2:$A$5,0)),"✖ الفترة غير صحيحة",IF(ISNA(MATCH($G567,Lists!$B$2:$B$7,0)),"✖ المجموعة غير صحيحة",IF(NOT(OR($H567="",$N567&gt;0)),"✖ Start غير صحيح",IF(NOT(OR($I567="",$I567="NR",$O567&gt;0)),"✖ Current غير صحيح",IF(NOT(IF(ISNUMBER($J567),AND($J567&gt;=0,$J567=INT($J567)),FALSE())),"✖ العدد يجب أن يكون صحيحًا ≥ 0",IF(AND($F567="Baseline",$H567&lt;&gt;""),"⚠ Baseline: Start لا يدخل في التقدم",IF($K567="No Start (attainment only)","ℹ تحصيل فقط (بدون Start)",IF($K567="U – needs rule","ℹ حالة U تحتاج قاعدة معتمدة",IF($K567="No result","ℹ بدون نتيجة (يُستبعد من التحصيل)","OK")))))))))))</f>
        <v/>
      </c>
      <c r="M567" s="64" t="n">
        <f aca="false">IF($A567="",0,IFERROR(MATCH($A567,Classes!$A$6:$A$420,0),0))</f>
        <v>0</v>
      </c>
      <c r="N567" s="64" t="n">
        <f aca="false">IF($H567="",0,IFERROR(MATCH($H567,GradeList,0),0))</f>
        <v>0</v>
      </c>
      <c r="O567" s="64" t="n">
        <f aca="false">IF(OR($I567="",$I567="NR"),0,IFERROR(MATCH($I567,GradeList,0),0))</f>
        <v>0</v>
      </c>
      <c r="P567" s="64" t="n">
        <f aca="false">IF(AND($M567&gt;0,ISNUMBER(MATCH($F567,Lists!$A$2:$A$5,0)),ISNUMBER(MATCH($G567,Lists!$B$2:$B$7,0)),OR($H567="",$N567&gt;0),OR($I567="",$I567="NR",$O567&gt;0),IF(ISNUMBER($J567),AND($J567&gt;=0,$J567=INT($J567)),FALSE())),$J567,0)</f>
        <v>0</v>
      </c>
      <c r="Q567" s="64" t="n">
        <f aca="false">IF(AND($P567&gt;0,$O567&gt;0),$P567,0)</f>
        <v>0</v>
      </c>
      <c r="R567" s="64" t="n">
        <f aca="false">IF(AND($Q567&gt;0,$O567&gt;=AtRank),$Q567,0)</f>
        <v>0</v>
      </c>
      <c r="S567" s="64" t="n">
        <f aca="false">IF(AND($Q567&gt;0,$O567&gt;=AboveRank),$Q567,0)</f>
        <v>0</v>
      </c>
      <c r="T567" s="64" t="n">
        <f aca="false">IF($K567="Less",$P567,0)</f>
        <v>0</v>
      </c>
      <c r="U567" s="64" t="n">
        <f aca="false">IF($K567="Expected",$P567,0)</f>
        <v>0</v>
      </c>
      <c r="V567" s="64" t="n">
        <f aca="false">IF($K567="Better",$P567,0)</f>
        <v>0</v>
      </c>
      <c r="W567" s="64" t="n">
        <f aca="false">IF($K567="U – needs rule",$P567,0)</f>
        <v>0</v>
      </c>
      <c r="X567" s="64" t="n">
        <f aca="false">IF($K567="No Start (attainment only)",$P567,0)</f>
        <v>0</v>
      </c>
    </row>
    <row r="568" customFormat="false" ht="15" hidden="false" customHeight="false" outlineLevel="0" collapsed="false">
      <c r="A568" s="60"/>
      <c r="B568" s="61" t="str">
        <f aca="false">IF($M568=0,"",INDEX(Classes!$E$6:$E$420,$M568))</f>
        <v/>
      </c>
      <c r="C568" s="62" t="str">
        <f aca="false">IF($M568=0,"",INDEX(Classes!$H$6:$H$420,$M568))</f>
        <v/>
      </c>
      <c r="D568" s="61" t="str">
        <f aca="false">IF($M568=0,"",INDEX(Classes!$B$6:$B$420,$M568))</f>
        <v/>
      </c>
      <c r="E568" s="61" t="str">
        <f aca="false">IF($M568=0,"",INDEX(Classes!$C$6:$C$420,$M568))</f>
        <v/>
      </c>
      <c r="F568" s="63"/>
      <c r="G568" s="63"/>
      <c r="H568" s="60"/>
      <c r="I568" s="60"/>
      <c r="J568" s="63"/>
      <c r="K568" s="61" t="str">
        <f aca="false">IF($P568=0,"",IF($F568="Baseline","— Baseline",IF($O568=0,"No result",IF($N568=0,"No Start (attainment only)",IF(OR($N568=1,$O568=1),"U – needs rule",INDEX(MxBody,MATCH($I568,MxCurr,0),MATCH($H568,MxStart,0)))))))</f>
        <v/>
      </c>
      <c r="L568" s="62" t="str">
        <f aca="false">IF(COUNTA($A568,$F568,$G568,$H568,$I568,$J568)=0,"",IF($M568=0,"✖ كود الصف غير موجود",IF(ISNA(MATCH($F568,Lists!$A$2:$A$5,0)),"✖ الفترة غير صحيحة",IF(ISNA(MATCH($G568,Lists!$B$2:$B$7,0)),"✖ المجموعة غير صحيحة",IF(NOT(OR($H568="",$N568&gt;0)),"✖ Start غير صحيح",IF(NOT(OR($I568="",$I568="NR",$O568&gt;0)),"✖ Current غير صحيح",IF(NOT(IF(ISNUMBER($J568),AND($J568&gt;=0,$J568=INT($J568)),FALSE())),"✖ العدد يجب أن يكون صحيحًا ≥ 0",IF(AND($F568="Baseline",$H568&lt;&gt;""),"⚠ Baseline: Start لا يدخل في التقدم",IF($K568="No Start (attainment only)","ℹ تحصيل فقط (بدون Start)",IF($K568="U – needs rule","ℹ حالة U تحتاج قاعدة معتمدة",IF($K568="No result","ℹ بدون نتيجة (يُستبعد من التحصيل)","OK")))))))))))</f>
        <v/>
      </c>
      <c r="M568" s="64" t="n">
        <f aca="false">IF($A568="",0,IFERROR(MATCH($A568,Classes!$A$6:$A$420,0),0))</f>
        <v>0</v>
      </c>
      <c r="N568" s="64" t="n">
        <f aca="false">IF($H568="",0,IFERROR(MATCH($H568,GradeList,0),0))</f>
        <v>0</v>
      </c>
      <c r="O568" s="64" t="n">
        <f aca="false">IF(OR($I568="",$I568="NR"),0,IFERROR(MATCH($I568,GradeList,0),0))</f>
        <v>0</v>
      </c>
      <c r="P568" s="64" t="n">
        <f aca="false">IF(AND($M568&gt;0,ISNUMBER(MATCH($F568,Lists!$A$2:$A$5,0)),ISNUMBER(MATCH($G568,Lists!$B$2:$B$7,0)),OR($H568="",$N568&gt;0),OR($I568="",$I568="NR",$O568&gt;0),IF(ISNUMBER($J568),AND($J568&gt;=0,$J568=INT($J568)),FALSE())),$J568,0)</f>
        <v>0</v>
      </c>
      <c r="Q568" s="64" t="n">
        <f aca="false">IF(AND($P568&gt;0,$O568&gt;0),$P568,0)</f>
        <v>0</v>
      </c>
      <c r="R568" s="64" t="n">
        <f aca="false">IF(AND($Q568&gt;0,$O568&gt;=AtRank),$Q568,0)</f>
        <v>0</v>
      </c>
      <c r="S568" s="64" t="n">
        <f aca="false">IF(AND($Q568&gt;0,$O568&gt;=AboveRank),$Q568,0)</f>
        <v>0</v>
      </c>
      <c r="T568" s="64" t="n">
        <f aca="false">IF($K568="Less",$P568,0)</f>
        <v>0</v>
      </c>
      <c r="U568" s="64" t="n">
        <f aca="false">IF($K568="Expected",$P568,0)</f>
        <v>0</v>
      </c>
      <c r="V568" s="64" t="n">
        <f aca="false">IF($K568="Better",$P568,0)</f>
        <v>0</v>
      </c>
      <c r="W568" s="64" t="n">
        <f aca="false">IF($K568="U – needs rule",$P568,0)</f>
        <v>0</v>
      </c>
      <c r="X568" s="64" t="n">
        <f aca="false">IF($K568="No Start (attainment only)",$P568,0)</f>
        <v>0</v>
      </c>
    </row>
    <row r="569" customFormat="false" ht="15" hidden="false" customHeight="false" outlineLevel="0" collapsed="false">
      <c r="A569" s="60"/>
      <c r="B569" s="61" t="str">
        <f aca="false">IF($M569=0,"",INDEX(Classes!$E$6:$E$420,$M569))</f>
        <v/>
      </c>
      <c r="C569" s="62" t="str">
        <f aca="false">IF($M569=0,"",INDEX(Classes!$H$6:$H$420,$M569))</f>
        <v/>
      </c>
      <c r="D569" s="61" t="str">
        <f aca="false">IF($M569=0,"",INDEX(Classes!$B$6:$B$420,$M569))</f>
        <v/>
      </c>
      <c r="E569" s="61" t="str">
        <f aca="false">IF($M569=0,"",INDEX(Classes!$C$6:$C$420,$M569))</f>
        <v/>
      </c>
      <c r="F569" s="63"/>
      <c r="G569" s="63"/>
      <c r="H569" s="60"/>
      <c r="I569" s="60"/>
      <c r="J569" s="63"/>
      <c r="K569" s="61" t="str">
        <f aca="false">IF($P569=0,"",IF($F569="Baseline","— Baseline",IF($O569=0,"No result",IF($N569=0,"No Start (attainment only)",IF(OR($N569=1,$O569=1),"U – needs rule",INDEX(MxBody,MATCH($I569,MxCurr,0),MATCH($H569,MxStart,0)))))))</f>
        <v/>
      </c>
      <c r="L569" s="62" t="str">
        <f aca="false">IF(COUNTA($A569,$F569,$G569,$H569,$I569,$J569)=0,"",IF($M569=0,"✖ كود الصف غير موجود",IF(ISNA(MATCH($F569,Lists!$A$2:$A$5,0)),"✖ الفترة غير صحيحة",IF(ISNA(MATCH($G569,Lists!$B$2:$B$7,0)),"✖ المجموعة غير صحيحة",IF(NOT(OR($H569="",$N569&gt;0)),"✖ Start غير صحيح",IF(NOT(OR($I569="",$I569="NR",$O569&gt;0)),"✖ Current غير صحيح",IF(NOT(IF(ISNUMBER($J569),AND($J569&gt;=0,$J569=INT($J569)),FALSE())),"✖ العدد يجب أن يكون صحيحًا ≥ 0",IF(AND($F569="Baseline",$H569&lt;&gt;""),"⚠ Baseline: Start لا يدخل في التقدم",IF($K569="No Start (attainment only)","ℹ تحصيل فقط (بدون Start)",IF($K569="U – needs rule","ℹ حالة U تحتاج قاعدة معتمدة",IF($K569="No result","ℹ بدون نتيجة (يُستبعد من التحصيل)","OK")))))))))))</f>
        <v/>
      </c>
      <c r="M569" s="64" t="n">
        <f aca="false">IF($A569="",0,IFERROR(MATCH($A569,Classes!$A$6:$A$420,0),0))</f>
        <v>0</v>
      </c>
      <c r="N569" s="64" t="n">
        <f aca="false">IF($H569="",0,IFERROR(MATCH($H569,GradeList,0),0))</f>
        <v>0</v>
      </c>
      <c r="O569" s="64" t="n">
        <f aca="false">IF(OR($I569="",$I569="NR"),0,IFERROR(MATCH($I569,GradeList,0),0))</f>
        <v>0</v>
      </c>
      <c r="P569" s="64" t="n">
        <f aca="false">IF(AND($M569&gt;0,ISNUMBER(MATCH($F569,Lists!$A$2:$A$5,0)),ISNUMBER(MATCH($G569,Lists!$B$2:$B$7,0)),OR($H569="",$N569&gt;0),OR($I569="",$I569="NR",$O569&gt;0),IF(ISNUMBER($J569),AND($J569&gt;=0,$J569=INT($J569)),FALSE())),$J569,0)</f>
        <v>0</v>
      </c>
      <c r="Q569" s="64" t="n">
        <f aca="false">IF(AND($P569&gt;0,$O569&gt;0),$P569,0)</f>
        <v>0</v>
      </c>
      <c r="R569" s="64" t="n">
        <f aca="false">IF(AND($Q569&gt;0,$O569&gt;=AtRank),$Q569,0)</f>
        <v>0</v>
      </c>
      <c r="S569" s="64" t="n">
        <f aca="false">IF(AND($Q569&gt;0,$O569&gt;=AboveRank),$Q569,0)</f>
        <v>0</v>
      </c>
      <c r="T569" s="64" t="n">
        <f aca="false">IF($K569="Less",$P569,0)</f>
        <v>0</v>
      </c>
      <c r="U569" s="64" t="n">
        <f aca="false">IF($K569="Expected",$P569,0)</f>
        <v>0</v>
      </c>
      <c r="V569" s="64" t="n">
        <f aca="false">IF($K569="Better",$P569,0)</f>
        <v>0</v>
      </c>
      <c r="W569" s="64" t="n">
        <f aca="false">IF($K569="U – needs rule",$P569,0)</f>
        <v>0</v>
      </c>
      <c r="X569" s="64" t="n">
        <f aca="false">IF($K569="No Start (attainment only)",$P569,0)</f>
        <v>0</v>
      </c>
    </row>
    <row r="570" customFormat="false" ht="15" hidden="false" customHeight="false" outlineLevel="0" collapsed="false">
      <c r="A570" s="60"/>
      <c r="B570" s="61" t="str">
        <f aca="false">IF($M570=0,"",INDEX(Classes!$E$6:$E$420,$M570))</f>
        <v/>
      </c>
      <c r="C570" s="62" t="str">
        <f aca="false">IF($M570=0,"",INDEX(Classes!$H$6:$H$420,$M570))</f>
        <v/>
      </c>
      <c r="D570" s="61" t="str">
        <f aca="false">IF($M570=0,"",INDEX(Classes!$B$6:$B$420,$M570))</f>
        <v/>
      </c>
      <c r="E570" s="61" t="str">
        <f aca="false">IF($M570=0,"",INDEX(Classes!$C$6:$C$420,$M570))</f>
        <v/>
      </c>
      <c r="F570" s="63"/>
      <c r="G570" s="63"/>
      <c r="H570" s="60"/>
      <c r="I570" s="60"/>
      <c r="J570" s="63"/>
      <c r="K570" s="61" t="str">
        <f aca="false">IF($P570=0,"",IF($F570="Baseline","— Baseline",IF($O570=0,"No result",IF($N570=0,"No Start (attainment only)",IF(OR($N570=1,$O570=1),"U – needs rule",INDEX(MxBody,MATCH($I570,MxCurr,0),MATCH($H570,MxStart,0)))))))</f>
        <v/>
      </c>
      <c r="L570" s="62" t="str">
        <f aca="false">IF(COUNTA($A570,$F570,$G570,$H570,$I570,$J570)=0,"",IF($M570=0,"✖ كود الصف غير موجود",IF(ISNA(MATCH($F570,Lists!$A$2:$A$5,0)),"✖ الفترة غير صحيحة",IF(ISNA(MATCH($G570,Lists!$B$2:$B$7,0)),"✖ المجموعة غير صحيحة",IF(NOT(OR($H570="",$N570&gt;0)),"✖ Start غير صحيح",IF(NOT(OR($I570="",$I570="NR",$O570&gt;0)),"✖ Current غير صحيح",IF(NOT(IF(ISNUMBER($J570),AND($J570&gt;=0,$J570=INT($J570)),FALSE())),"✖ العدد يجب أن يكون صحيحًا ≥ 0",IF(AND($F570="Baseline",$H570&lt;&gt;""),"⚠ Baseline: Start لا يدخل في التقدم",IF($K570="No Start (attainment only)","ℹ تحصيل فقط (بدون Start)",IF($K570="U – needs rule","ℹ حالة U تحتاج قاعدة معتمدة",IF($K570="No result","ℹ بدون نتيجة (يُستبعد من التحصيل)","OK")))))))))))</f>
        <v/>
      </c>
      <c r="M570" s="64" t="n">
        <f aca="false">IF($A570="",0,IFERROR(MATCH($A570,Classes!$A$6:$A$420,0),0))</f>
        <v>0</v>
      </c>
      <c r="N570" s="64" t="n">
        <f aca="false">IF($H570="",0,IFERROR(MATCH($H570,GradeList,0),0))</f>
        <v>0</v>
      </c>
      <c r="O570" s="64" t="n">
        <f aca="false">IF(OR($I570="",$I570="NR"),0,IFERROR(MATCH($I570,GradeList,0),0))</f>
        <v>0</v>
      </c>
      <c r="P570" s="64" t="n">
        <f aca="false">IF(AND($M570&gt;0,ISNUMBER(MATCH($F570,Lists!$A$2:$A$5,0)),ISNUMBER(MATCH($G570,Lists!$B$2:$B$7,0)),OR($H570="",$N570&gt;0),OR($I570="",$I570="NR",$O570&gt;0),IF(ISNUMBER($J570),AND($J570&gt;=0,$J570=INT($J570)),FALSE())),$J570,0)</f>
        <v>0</v>
      </c>
      <c r="Q570" s="64" t="n">
        <f aca="false">IF(AND($P570&gt;0,$O570&gt;0),$P570,0)</f>
        <v>0</v>
      </c>
      <c r="R570" s="64" t="n">
        <f aca="false">IF(AND($Q570&gt;0,$O570&gt;=AtRank),$Q570,0)</f>
        <v>0</v>
      </c>
      <c r="S570" s="64" t="n">
        <f aca="false">IF(AND($Q570&gt;0,$O570&gt;=AboveRank),$Q570,0)</f>
        <v>0</v>
      </c>
      <c r="T570" s="64" t="n">
        <f aca="false">IF($K570="Less",$P570,0)</f>
        <v>0</v>
      </c>
      <c r="U570" s="64" t="n">
        <f aca="false">IF($K570="Expected",$P570,0)</f>
        <v>0</v>
      </c>
      <c r="V570" s="64" t="n">
        <f aca="false">IF($K570="Better",$P570,0)</f>
        <v>0</v>
      </c>
      <c r="W570" s="64" t="n">
        <f aca="false">IF($K570="U – needs rule",$P570,0)</f>
        <v>0</v>
      </c>
      <c r="X570" s="64" t="n">
        <f aca="false">IF($K570="No Start (attainment only)",$P570,0)</f>
        <v>0</v>
      </c>
    </row>
    <row r="571" customFormat="false" ht="15" hidden="false" customHeight="false" outlineLevel="0" collapsed="false">
      <c r="A571" s="60"/>
      <c r="B571" s="61" t="str">
        <f aca="false">IF($M571=0,"",INDEX(Classes!$E$6:$E$420,$M571))</f>
        <v/>
      </c>
      <c r="C571" s="62" t="str">
        <f aca="false">IF($M571=0,"",INDEX(Classes!$H$6:$H$420,$M571))</f>
        <v/>
      </c>
      <c r="D571" s="61" t="str">
        <f aca="false">IF($M571=0,"",INDEX(Classes!$B$6:$B$420,$M571))</f>
        <v/>
      </c>
      <c r="E571" s="61" t="str">
        <f aca="false">IF($M571=0,"",INDEX(Classes!$C$6:$C$420,$M571))</f>
        <v/>
      </c>
      <c r="F571" s="63"/>
      <c r="G571" s="63"/>
      <c r="H571" s="60"/>
      <c r="I571" s="60"/>
      <c r="J571" s="63"/>
      <c r="K571" s="61" t="str">
        <f aca="false">IF($P571=0,"",IF($F571="Baseline","— Baseline",IF($O571=0,"No result",IF($N571=0,"No Start (attainment only)",IF(OR($N571=1,$O571=1),"U – needs rule",INDEX(MxBody,MATCH($I571,MxCurr,0),MATCH($H571,MxStart,0)))))))</f>
        <v/>
      </c>
      <c r="L571" s="62" t="str">
        <f aca="false">IF(COUNTA($A571,$F571,$G571,$H571,$I571,$J571)=0,"",IF($M571=0,"✖ كود الصف غير موجود",IF(ISNA(MATCH($F571,Lists!$A$2:$A$5,0)),"✖ الفترة غير صحيحة",IF(ISNA(MATCH($G571,Lists!$B$2:$B$7,0)),"✖ المجموعة غير صحيحة",IF(NOT(OR($H571="",$N571&gt;0)),"✖ Start غير صحيح",IF(NOT(OR($I571="",$I571="NR",$O571&gt;0)),"✖ Current غير صحيح",IF(NOT(IF(ISNUMBER($J571),AND($J571&gt;=0,$J571=INT($J571)),FALSE())),"✖ العدد يجب أن يكون صحيحًا ≥ 0",IF(AND($F571="Baseline",$H571&lt;&gt;""),"⚠ Baseline: Start لا يدخل في التقدم",IF($K571="No Start (attainment only)","ℹ تحصيل فقط (بدون Start)",IF($K571="U – needs rule","ℹ حالة U تحتاج قاعدة معتمدة",IF($K571="No result","ℹ بدون نتيجة (يُستبعد من التحصيل)","OK")))))))))))</f>
        <v/>
      </c>
      <c r="M571" s="64" t="n">
        <f aca="false">IF($A571="",0,IFERROR(MATCH($A571,Classes!$A$6:$A$420,0),0))</f>
        <v>0</v>
      </c>
      <c r="N571" s="64" t="n">
        <f aca="false">IF($H571="",0,IFERROR(MATCH($H571,GradeList,0),0))</f>
        <v>0</v>
      </c>
      <c r="O571" s="64" t="n">
        <f aca="false">IF(OR($I571="",$I571="NR"),0,IFERROR(MATCH($I571,GradeList,0),0))</f>
        <v>0</v>
      </c>
      <c r="P571" s="64" t="n">
        <f aca="false">IF(AND($M571&gt;0,ISNUMBER(MATCH($F571,Lists!$A$2:$A$5,0)),ISNUMBER(MATCH($G571,Lists!$B$2:$B$7,0)),OR($H571="",$N571&gt;0),OR($I571="",$I571="NR",$O571&gt;0),IF(ISNUMBER($J571),AND($J571&gt;=0,$J571=INT($J571)),FALSE())),$J571,0)</f>
        <v>0</v>
      </c>
      <c r="Q571" s="64" t="n">
        <f aca="false">IF(AND($P571&gt;0,$O571&gt;0),$P571,0)</f>
        <v>0</v>
      </c>
      <c r="R571" s="64" t="n">
        <f aca="false">IF(AND($Q571&gt;0,$O571&gt;=AtRank),$Q571,0)</f>
        <v>0</v>
      </c>
      <c r="S571" s="64" t="n">
        <f aca="false">IF(AND($Q571&gt;0,$O571&gt;=AboveRank),$Q571,0)</f>
        <v>0</v>
      </c>
      <c r="T571" s="64" t="n">
        <f aca="false">IF($K571="Less",$P571,0)</f>
        <v>0</v>
      </c>
      <c r="U571" s="64" t="n">
        <f aca="false">IF($K571="Expected",$P571,0)</f>
        <v>0</v>
      </c>
      <c r="V571" s="64" t="n">
        <f aca="false">IF($K571="Better",$P571,0)</f>
        <v>0</v>
      </c>
      <c r="W571" s="64" t="n">
        <f aca="false">IF($K571="U – needs rule",$P571,0)</f>
        <v>0</v>
      </c>
      <c r="X571" s="64" t="n">
        <f aca="false">IF($K571="No Start (attainment only)",$P571,0)</f>
        <v>0</v>
      </c>
    </row>
    <row r="572" customFormat="false" ht="15" hidden="false" customHeight="false" outlineLevel="0" collapsed="false">
      <c r="A572" s="60"/>
      <c r="B572" s="61" t="str">
        <f aca="false">IF($M572=0,"",INDEX(Classes!$E$6:$E$420,$M572))</f>
        <v/>
      </c>
      <c r="C572" s="62" t="str">
        <f aca="false">IF($M572=0,"",INDEX(Classes!$H$6:$H$420,$M572))</f>
        <v/>
      </c>
      <c r="D572" s="61" t="str">
        <f aca="false">IF($M572=0,"",INDEX(Classes!$B$6:$B$420,$M572))</f>
        <v/>
      </c>
      <c r="E572" s="61" t="str">
        <f aca="false">IF($M572=0,"",INDEX(Classes!$C$6:$C$420,$M572))</f>
        <v/>
      </c>
      <c r="F572" s="63"/>
      <c r="G572" s="63"/>
      <c r="H572" s="60"/>
      <c r="I572" s="60"/>
      <c r="J572" s="63"/>
      <c r="K572" s="61" t="str">
        <f aca="false">IF($P572=0,"",IF($F572="Baseline","— Baseline",IF($O572=0,"No result",IF($N572=0,"No Start (attainment only)",IF(OR($N572=1,$O572=1),"U – needs rule",INDEX(MxBody,MATCH($I572,MxCurr,0),MATCH($H572,MxStart,0)))))))</f>
        <v/>
      </c>
      <c r="L572" s="62" t="str">
        <f aca="false">IF(COUNTA($A572,$F572,$G572,$H572,$I572,$J572)=0,"",IF($M572=0,"✖ كود الصف غير موجود",IF(ISNA(MATCH($F572,Lists!$A$2:$A$5,0)),"✖ الفترة غير صحيحة",IF(ISNA(MATCH($G572,Lists!$B$2:$B$7,0)),"✖ المجموعة غير صحيحة",IF(NOT(OR($H572="",$N572&gt;0)),"✖ Start غير صحيح",IF(NOT(OR($I572="",$I572="NR",$O572&gt;0)),"✖ Current غير صحيح",IF(NOT(IF(ISNUMBER($J572),AND($J572&gt;=0,$J572=INT($J572)),FALSE())),"✖ العدد يجب أن يكون صحيحًا ≥ 0",IF(AND($F572="Baseline",$H572&lt;&gt;""),"⚠ Baseline: Start لا يدخل في التقدم",IF($K572="No Start (attainment only)","ℹ تحصيل فقط (بدون Start)",IF($K572="U – needs rule","ℹ حالة U تحتاج قاعدة معتمدة",IF($K572="No result","ℹ بدون نتيجة (يُستبعد من التحصيل)","OK")))))))))))</f>
        <v/>
      </c>
      <c r="M572" s="64" t="n">
        <f aca="false">IF($A572="",0,IFERROR(MATCH($A572,Classes!$A$6:$A$420,0),0))</f>
        <v>0</v>
      </c>
      <c r="N572" s="64" t="n">
        <f aca="false">IF($H572="",0,IFERROR(MATCH($H572,GradeList,0),0))</f>
        <v>0</v>
      </c>
      <c r="O572" s="64" t="n">
        <f aca="false">IF(OR($I572="",$I572="NR"),0,IFERROR(MATCH($I572,GradeList,0),0))</f>
        <v>0</v>
      </c>
      <c r="P572" s="64" t="n">
        <f aca="false">IF(AND($M572&gt;0,ISNUMBER(MATCH($F572,Lists!$A$2:$A$5,0)),ISNUMBER(MATCH($G572,Lists!$B$2:$B$7,0)),OR($H572="",$N572&gt;0),OR($I572="",$I572="NR",$O572&gt;0),IF(ISNUMBER($J572),AND($J572&gt;=0,$J572=INT($J572)),FALSE())),$J572,0)</f>
        <v>0</v>
      </c>
      <c r="Q572" s="64" t="n">
        <f aca="false">IF(AND($P572&gt;0,$O572&gt;0),$P572,0)</f>
        <v>0</v>
      </c>
      <c r="R572" s="64" t="n">
        <f aca="false">IF(AND($Q572&gt;0,$O572&gt;=AtRank),$Q572,0)</f>
        <v>0</v>
      </c>
      <c r="S572" s="64" t="n">
        <f aca="false">IF(AND($Q572&gt;0,$O572&gt;=AboveRank),$Q572,0)</f>
        <v>0</v>
      </c>
      <c r="T572" s="64" t="n">
        <f aca="false">IF($K572="Less",$P572,0)</f>
        <v>0</v>
      </c>
      <c r="U572" s="64" t="n">
        <f aca="false">IF($K572="Expected",$P572,0)</f>
        <v>0</v>
      </c>
      <c r="V572" s="64" t="n">
        <f aca="false">IF($K572="Better",$P572,0)</f>
        <v>0</v>
      </c>
      <c r="W572" s="64" t="n">
        <f aca="false">IF($K572="U – needs rule",$P572,0)</f>
        <v>0</v>
      </c>
      <c r="X572" s="64" t="n">
        <f aca="false">IF($K572="No Start (attainment only)",$P572,0)</f>
        <v>0</v>
      </c>
    </row>
    <row r="573" customFormat="false" ht="15" hidden="false" customHeight="false" outlineLevel="0" collapsed="false">
      <c r="A573" s="60"/>
      <c r="B573" s="61" t="str">
        <f aca="false">IF($M573=0,"",INDEX(Classes!$E$6:$E$420,$M573))</f>
        <v/>
      </c>
      <c r="C573" s="62" t="str">
        <f aca="false">IF($M573=0,"",INDEX(Classes!$H$6:$H$420,$M573))</f>
        <v/>
      </c>
      <c r="D573" s="61" t="str">
        <f aca="false">IF($M573=0,"",INDEX(Classes!$B$6:$B$420,$M573))</f>
        <v/>
      </c>
      <c r="E573" s="61" t="str">
        <f aca="false">IF($M573=0,"",INDEX(Classes!$C$6:$C$420,$M573))</f>
        <v/>
      </c>
      <c r="F573" s="63"/>
      <c r="G573" s="63"/>
      <c r="H573" s="60"/>
      <c r="I573" s="60"/>
      <c r="J573" s="63"/>
      <c r="K573" s="61" t="str">
        <f aca="false">IF($P573=0,"",IF($F573="Baseline","— Baseline",IF($O573=0,"No result",IF($N573=0,"No Start (attainment only)",IF(OR($N573=1,$O573=1),"U – needs rule",INDEX(MxBody,MATCH($I573,MxCurr,0),MATCH($H573,MxStart,0)))))))</f>
        <v/>
      </c>
      <c r="L573" s="62" t="str">
        <f aca="false">IF(COUNTA($A573,$F573,$G573,$H573,$I573,$J573)=0,"",IF($M573=0,"✖ كود الصف غير موجود",IF(ISNA(MATCH($F573,Lists!$A$2:$A$5,0)),"✖ الفترة غير صحيحة",IF(ISNA(MATCH($G573,Lists!$B$2:$B$7,0)),"✖ المجموعة غير صحيحة",IF(NOT(OR($H573="",$N573&gt;0)),"✖ Start غير صحيح",IF(NOT(OR($I573="",$I573="NR",$O573&gt;0)),"✖ Current غير صحيح",IF(NOT(IF(ISNUMBER($J573),AND($J573&gt;=0,$J573=INT($J573)),FALSE())),"✖ العدد يجب أن يكون صحيحًا ≥ 0",IF(AND($F573="Baseline",$H573&lt;&gt;""),"⚠ Baseline: Start لا يدخل في التقدم",IF($K573="No Start (attainment only)","ℹ تحصيل فقط (بدون Start)",IF($K573="U – needs rule","ℹ حالة U تحتاج قاعدة معتمدة",IF($K573="No result","ℹ بدون نتيجة (يُستبعد من التحصيل)","OK")))))))))))</f>
        <v/>
      </c>
      <c r="M573" s="64" t="n">
        <f aca="false">IF($A573="",0,IFERROR(MATCH($A573,Classes!$A$6:$A$420,0),0))</f>
        <v>0</v>
      </c>
      <c r="N573" s="64" t="n">
        <f aca="false">IF($H573="",0,IFERROR(MATCH($H573,GradeList,0),0))</f>
        <v>0</v>
      </c>
      <c r="O573" s="64" t="n">
        <f aca="false">IF(OR($I573="",$I573="NR"),0,IFERROR(MATCH($I573,GradeList,0),0))</f>
        <v>0</v>
      </c>
      <c r="P573" s="64" t="n">
        <f aca="false">IF(AND($M573&gt;0,ISNUMBER(MATCH($F573,Lists!$A$2:$A$5,0)),ISNUMBER(MATCH($G573,Lists!$B$2:$B$7,0)),OR($H573="",$N573&gt;0),OR($I573="",$I573="NR",$O573&gt;0),IF(ISNUMBER($J573),AND($J573&gt;=0,$J573=INT($J573)),FALSE())),$J573,0)</f>
        <v>0</v>
      </c>
      <c r="Q573" s="64" t="n">
        <f aca="false">IF(AND($P573&gt;0,$O573&gt;0),$P573,0)</f>
        <v>0</v>
      </c>
      <c r="R573" s="64" t="n">
        <f aca="false">IF(AND($Q573&gt;0,$O573&gt;=AtRank),$Q573,0)</f>
        <v>0</v>
      </c>
      <c r="S573" s="64" t="n">
        <f aca="false">IF(AND($Q573&gt;0,$O573&gt;=AboveRank),$Q573,0)</f>
        <v>0</v>
      </c>
      <c r="T573" s="64" t="n">
        <f aca="false">IF($K573="Less",$P573,0)</f>
        <v>0</v>
      </c>
      <c r="U573" s="64" t="n">
        <f aca="false">IF($K573="Expected",$P573,0)</f>
        <v>0</v>
      </c>
      <c r="V573" s="64" t="n">
        <f aca="false">IF($K573="Better",$P573,0)</f>
        <v>0</v>
      </c>
      <c r="W573" s="64" t="n">
        <f aca="false">IF($K573="U – needs rule",$P573,0)</f>
        <v>0</v>
      </c>
      <c r="X573" s="64" t="n">
        <f aca="false">IF($K573="No Start (attainment only)",$P573,0)</f>
        <v>0</v>
      </c>
    </row>
    <row r="574" customFormat="false" ht="15" hidden="false" customHeight="false" outlineLevel="0" collapsed="false">
      <c r="A574" s="60"/>
      <c r="B574" s="61" t="str">
        <f aca="false">IF($M574=0,"",INDEX(Classes!$E$6:$E$420,$M574))</f>
        <v/>
      </c>
      <c r="C574" s="62" t="str">
        <f aca="false">IF($M574=0,"",INDEX(Classes!$H$6:$H$420,$M574))</f>
        <v/>
      </c>
      <c r="D574" s="61" t="str">
        <f aca="false">IF($M574=0,"",INDEX(Classes!$B$6:$B$420,$M574))</f>
        <v/>
      </c>
      <c r="E574" s="61" t="str">
        <f aca="false">IF($M574=0,"",INDEX(Classes!$C$6:$C$420,$M574))</f>
        <v/>
      </c>
      <c r="F574" s="63"/>
      <c r="G574" s="63"/>
      <c r="H574" s="60"/>
      <c r="I574" s="60"/>
      <c r="J574" s="63"/>
      <c r="K574" s="61" t="str">
        <f aca="false">IF($P574=0,"",IF($F574="Baseline","— Baseline",IF($O574=0,"No result",IF($N574=0,"No Start (attainment only)",IF(OR($N574=1,$O574=1),"U – needs rule",INDEX(MxBody,MATCH($I574,MxCurr,0),MATCH($H574,MxStart,0)))))))</f>
        <v/>
      </c>
      <c r="L574" s="62" t="str">
        <f aca="false">IF(COUNTA($A574,$F574,$G574,$H574,$I574,$J574)=0,"",IF($M574=0,"✖ كود الصف غير موجود",IF(ISNA(MATCH($F574,Lists!$A$2:$A$5,0)),"✖ الفترة غير صحيحة",IF(ISNA(MATCH($G574,Lists!$B$2:$B$7,0)),"✖ المجموعة غير صحيحة",IF(NOT(OR($H574="",$N574&gt;0)),"✖ Start غير صحيح",IF(NOT(OR($I574="",$I574="NR",$O574&gt;0)),"✖ Current غير صحيح",IF(NOT(IF(ISNUMBER($J574),AND($J574&gt;=0,$J574=INT($J574)),FALSE())),"✖ العدد يجب أن يكون صحيحًا ≥ 0",IF(AND($F574="Baseline",$H574&lt;&gt;""),"⚠ Baseline: Start لا يدخل في التقدم",IF($K574="No Start (attainment only)","ℹ تحصيل فقط (بدون Start)",IF($K574="U – needs rule","ℹ حالة U تحتاج قاعدة معتمدة",IF($K574="No result","ℹ بدون نتيجة (يُستبعد من التحصيل)","OK")))))))))))</f>
        <v/>
      </c>
      <c r="M574" s="64" t="n">
        <f aca="false">IF($A574="",0,IFERROR(MATCH($A574,Classes!$A$6:$A$420,0),0))</f>
        <v>0</v>
      </c>
      <c r="N574" s="64" t="n">
        <f aca="false">IF($H574="",0,IFERROR(MATCH($H574,GradeList,0),0))</f>
        <v>0</v>
      </c>
      <c r="O574" s="64" t="n">
        <f aca="false">IF(OR($I574="",$I574="NR"),0,IFERROR(MATCH($I574,GradeList,0),0))</f>
        <v>0</v>
      </c>
      <c r="P574" s="64" t="n">
        <f aca="false">IF(AND($M574&gt;0,ISNUMBER(MATCH($F574,Lists!$A$2:$A$5,0)),ISNUMBER(MATCH($G574,Lists!$B$2:$B$7,0)),OR($H574="",$N574&gt;0),OR($I574="",$I574="NR",$O574&gt;0),IF(ISNUMBER($J574),AND($J574&gt;=0,$J574=INT($J574)),FALSE())),$J574,0)</f>
        <v>0</v>
      </c>
      <c r="Q574" s="64" t="n">
        <f aca="false">IF(AND($P574&gt;0,$O574&gt;0),$P574,0)</f>
        <v>0</v>
      </c>
      <c r="R574" s="64" t="n">
        <f aca="false">IF(AND($Q574&gt;0,$O574&gt;=AtRank),$Q574,0)</f>
        <v>0</v>
      </c>
      <c r="S574" s="64" t="n">
        <f aca="false">IF(AND($Q574&gt;0,$O574&gt;=AboveRank),$Q574,0)</f>
        <v>0</v>
      </c>
      <c r="T574" s="64" t="n">
        <f aca="false">IF($K574="Less",$P574,0)</f>
        <v>0</v>
      </c>
      <c r="U574" s="64" t="n">
        <f aca="false">IF($K574="Expected",$P574,0)</f>
        <v>0</v>
      </c>
      <c r="V574" s="64" t="n">
        <f aca="false">IF($K574="Better",$P574,0)</f>
        <v>0</v>
      </c>
      <c r="W574" s="64" t="n">
        <f aca="false">IF($K574="U – needs rule",$P574,0)</f>
        <v>0</v>
      </c>
      <c r="X574" s="64" t="n">
        <f aca="false">IF($K574="No Start (attainment only)",$P574,0)</f>
        <v>0</v>
      </c>
    </row>
    <row r="575" customFormat="false" ht="15" hidden="false" customHeight="false" outlineLevel="0" collapsed="false">
      <c r="A575" s="60"/>
      <c r="B575" s="61" t="str">
        <f aca="false">IF($M575=0,"",INDEX(Classes!$E$6:$E$420,$M575))</f>
        <v/>
      </c>
      <c r="C575" s="62" t="str">
        <f aca="false">IF($M575=0,"",INDEX(Classes!$H$6:$H$420,$M575))</f>
        <v/>
      </c>
      <c r="D575" s="61" t="str">
        <f aca="false">IF($M575=0,"",INDEX(Classes!$B$6:$B$420,$M575))</f>
        <v/>
      </c>
      <c r="E575" s="61" t="str">
        <f aca="false">IF($M575=0,"",INDEX(Classes!$C$6:$C$420,$M575))</f>
        <v/>
      </c>
      <c r="F575" s="63"/>
      <c r="G575" s="63"/>
      <c r="H575" s="60"/>
      <c r="I575" s="60"/>
      <c r="J575" s="63"/>
      <c r="K575" s="61" t="str">
        <f aca="false">IF($P575=0,"",IF($F575="Baseline","— Baseline",IF($O575=0,"No result",IF($N575=0,"No Start (attainment only)",IF(OR($N575=1,$O575=1),"U – needs rule",INDEX(MxBody,MATCH($I575,MxCurr,0),MATCH($H575,MxStart,0)))))))</f>
        <v/>
      </c>
      <c r="L575" s="62" t="str">
        <f aca="false">IF(COUNTA($A575,$F575,$G575,$H575,$I575,$J575)=0,"",IF($M575=0,"✖ كود الصف غير موجود",IF(ISNA(MATCH($F575,Lists!$A$2:$A$5,0)),"✖ الفترة غير صحيحة",IF(ISNA(MATCH($G575,Lists!$B$2:$B$7,0)),"✖ المجموعة غير صحيحة",IF(NOT(OR($H575="",$N575&gt;0)),"✖ Start غير صحيح",IF(NOT(OR($I575="",$I575="NR",$O575&gt;0)),"✖ Current غير صحيح",IF(NOT(IF(ISNUMBER($J575),AND($J575&gt;=0,$J575=INT($J575)),FALSE())),"✖ العدد يجب أن يكون صحيحًا ≥ 0",IF(AND($F575="Baseline",$H575&lt;&gt;""),"⚠ Baseline: Start لا يدخل في التقدم",IF($K575="No Start (attainment only)","ℹ تحصيل فقط (بدون Start)",IF($K575="U – needs rule","ℹ حالة U تحتاج قاعدة معتمدة",IF($K575="No result","ℹ بدون نتيجة (يُستبعد من التحصيل)","OK")))))))))))</f>
        <v/>
      </c>
      <c r="M575" s="64" t="n">
        <f aca="false">IF($A575="",0,IFERROR(MATCH($A575,Classes!$A$6:$A$420,0),0))</f>
        <v>0</v>
      </c>
      <c r="N575" s="64" t="n">
        <f aca="false">IF($H575="",0,IFERROR(MATCH($H575,GradeList,0),0))</f>
        <v>0</v>
      </c>
      <c r="O575" s="64" t="n">
        <f aca="false">IF(OR($I575="",$I575="NR"),0,IFERROR(MATCH($I575,GradeList,0),0))</f>
        <v>0</v>
      </c>
      <c r="P575" s="64" t="n">
        <f aca="false">IF(AND($M575&gt;0,ISNUMBER(MATCH($F575,Lists!$A$2:$A$5,0)),ISNUMBER(MATCH($G575,Lists!$B$2:$B$7,0)),OR($H575="",$N575&gt;0),OR($I575="",$I575="NR",$O575&gt;0),IF(ISNUMBER($J575),AND($J575&gt;=0,$J575=INT($J575)),FALSE())),$J575,0)</f>
        <v>0</v>
      </c>
      <c r="Q575" s="64" t="n">
        <f aca="false">IF(AND($P575&gt;0,$O575&gt;0),$P575,0)</f>
        <v>0</v>
      </c>
      <c r="R575" s="64" t="n">
        <f aca="false">IF(AND($Q575&gt;0,$O575&gt;=AtRank),$Q575,0)</f>
        <v>0</v>
      </c>
      <c r="S575" s="64" t="n">
        <f aca="false">IF(AND($Q575&gt;0,$O575&gt;=AboveRank),$Q575,0)</f>
        <v>0</v>
      </c>
      <c r="T575" s="64" t="n">
        <f aca="false">IF($K575="Less",$P575,0)</f>
        <v>0</v>
      </c>
      <c r="U575" s="64" t="n">
        <f aca="false">IF($K575="Expected",$P575,0)</f>
        <v>0</v>
      </c>
      <c r="V575" s="64" t="n">
        <f aca="false">IF($K575="Better",$P575,0)</f>
        <v>0</v>
      </c>
      <c r="W575" s="64" t="n">
        <f aca="false">IF($K575="U – needs rule",$P575,0)</f>
        <v>0</v>
      </c>
      <c r="X575" s="64" t="n">
        <f aca="false">IF($K575="No Start (attainment only)",$P575,0)</f>
        <v>0</v>
      </c>
    </row>
    <row r="576" customFormat="false" ht="15" hidden="false" customHeight="false" outlineLevel="0" collapsed="false">
      <c r="A576" s="60"/>
      <c r="B576" s="61" t="str">
        <f aca="false">IF($M576=0,"",INDEX(Classes!$E$6:$E$420,$M576))</f>
        <v/>
      </c>
      <c r="C576" s="62" t="str">
        <f aca="false">IF($M576=0,"",INDEX(Classes!$H$6:$H$420,$M576))</f>
        <v/>
      </c>
      <c r="D576" s="61" t="str">
        <f aca="false">IF($M576=0,"",INDEX(Classes!$B$6:$B$420,$M576))</f>
        <v/>
      </c>
      <c r="E576" s="61" t="str">
        <f aca="false">IF($M576=0,"",INDEX(Classes!$C$6:$C$420,$M576))</f>
        <v/>
      </c>
      <c r="F576" s="63"/>
      <c r="G576" s="63"/>
      <c r="H576" s="60"/>
      <c r="I576" s="60"/>
      <c r="J576" s="63"/>
      <c r="K576" s="61" t="str">
        <f aca="false">IF($P576=0,"",IF($F576="Baseline","— Baseline",IF($O576=0,"No result",IF($N576=0,"No Start (attainment only)",IF(OR($N576=1,$O576=1),"U – needs rule",INDEX(MxBody,MATCH($I576,MxCurr,0),MATCH($H576,MxStart,0)))))))</f>
        <v/>
      </c>
      <c r="L576" s="62" t="str">
        <f aca="false">IF(COUNTA($A576,$F576,$G576,$H576,$I576,$J576)=0,"",IF($M576=0,"✖ كود الصف غير موجود",IF(ISNA(MATCH($F576,Lists!$A$2:$A$5,0)),"✖ الفترة غير صحيحة",IF(ISNA(MATCH($G576,Lists!$B$2:$B$7,0)),"✖ المجموعة غير صحيحة",IF(NOT(OR($H576="",$N576&gt;0)),"✖ Start غير صحيح",IF(NOT(OR($I576="",$I576="NR",$O576&gt;0)),"✖ Current غير صحيح",IF(NOT(IF(ISNUMBER($J576),AND($J576&gt;=0,$J576=INT($J576)),FALSE())),"✖ العدد يجب أن يكون صحيحًا ≥ 0",IF(AND($F576="Baseline",$H576&lt;&gt;""),"⚠ Baseline: Start لا يدخل في التقدم",IF($K576="No Start (attainment only)","ℹ تحصيل فقط (بدون Start)",IF($K576="U – needs rule","ℹ حالة U تحتاج قاعدة معتمدة",IF($K576="No result","ℹ بدون نتيجة (يُستبعد من التحصيل)","OK")))))))))))</f>
        <v/>
      </c>
      <c r="M576" s="64" t="n">
        <f aca="false">IF($A576="",0,IFERROR(MATCH($A576,Classes!$A$6:$A$420,0),0))</f>
        <v>0</v>
      </c>
      <c r="N576" s="64" t="n">
        <f aca="false">IF($H576="",0,IFERROR(MATCH($H576,GradeList,0),0))</f>
        <v>0</v>
      </c>
      <c r="O576" s="64" t="n">
        <f aca="false">IF(OR($I576="",$I576="NR"),0,IFERROR(MATCH($I576,GradeList,0),0))</f>
        <v>0</v>
      </c>
      <c r="P576" s="64" t="n">
        <f aca="false">IF(AND($M576&gt;0,ISNUMBER(MATCH($F576,Lists!$A$2:$A$5,0)),ISNUMBER(MATCH($G576,Lists!$B$2:$B$7,0)),OR($H576="",$N576&gt;0),OR($I576="",$I576="NR",$O576&gt;0),IF(ISNUMBER($J576),AND($J576&gt;=0,$J576=INT($J576)),FALSE())),$J576,0)</f>
        <v>0</v>
      </c>
      <c r="Q576" s="64" t="n">
        <f aca="false">IF(AND($P576&gt;0,$O576&gt;0),$P576,0)</f>
        <v>0</v>
      </c>
      <c r="R576" s="64" t="n">
        <f aca="false">IF(AND($Q576&gt;0,$O576&gt;=AtRank),$Q576,0)</f>
        <v>0</v>
      </c>
      <c r="S576" s="64" t="n">
        <f aca="false">IF(AND($Q576&gt;0,$O576&gt;=AboveRank),$Q576,0)</f>
        <v>0</v>
      </c>
      <c r="T576" s="64" t="n">
        <f aca="false">IF($K576="Less",$P576,0)</f>
        <v>0</v>
      </c>
      <c r="U576" s="64" t="n">
        <f aca="false">IF($K576="Expected",$P576,0)</f>
        <v>0</v>
      </c>
      <c r="V576" s="64" t="n">
        <f aca="false">IF($K576="Better",$P576,0)</f>
        <v>0</v>
      </c>
      <c r="W576" s="64" t="n">
        <f aca="false">IF($K576="U – needs rule",$P576,0)</f>
        <v>0</v>
      </c>
      <c r="X576" s="64" t="n">
        <f aca="false">IF($K576="No Start (attainment only)",$P576,0)</f>
        <v>0</v>
      </c>
    </row>
    <row r="577" customFormat="false" ht="15" hidden="false" customHeight="false" outlineLevel="0" collapsed="false">
      <c r="A577" s="60"/>
      <c r="B577" s="61" t="str">
        <f aca="false">IF($M577=0,"",INDEX(Classes!$E$6:$E$420,$M577))</f>
        <v/>
      </c>
      <c r="C577" s="62" t="str">
        <f aca="false">IF($M577=0,"",INDEX(Classes!$H$6:$H$420,$M577))</f>
        <v/>
      </c>
      <c r="D577" s="61" t="str">
        <f aca="false">IF($M577=0,"",INDEX(Classes!$B$6:$B$420,$M577))</f>
        <v/>
      </c>
      <c r="E577" s="61" t="str">
        <f aca="false">IF($M577=0,"",INDEX(Classes!$C$6:$C$420,$M577))</f>
        <v/>
      </c>
      <c r="F577" s="63"/>
      <c r="G577" s="63"/>
      <c r="H577" s="60"/>
      <c r="I577" s="60"/>
      <c r="J577" s="63"/>
      <c r="K577" s="61" t="str">
        <f aca="false">IF($P577=0,"",IF($F577="Baseline","— Baseline",IF($O577=0,"No result",IF($N577=0,"No Start (attainment only)",IF(OR($N577=1,$O577=1),"U – needs rule",INDEX(MxBody,MATCH($I577,MxCurr,0),MATCH($H577,MxStart,0)))))))</f>
        <v/>
      </c>
      <c r="L577" s="62" t="str">
        <f aca="false">IF(COUNTA($A577,$F577,$G577,$H577,$I577,$J577)=0,"",IF($M577=0,"✖ كود الصف غير موجود",IF(ISNA(MATCH($F577,Lists!$A$2:$A$5,0)),"✖ الفترة غير صحيحة",IF(ISNA(MATCH($G577,Lists!$B$2:$B$7,0)),"✖ المجموعة غير صحيحة",IF(NOT(OR($H577="",$N577&gt;0)),"✖ Start غير صحيح",IF(NOT(OR($I577="",$I577="NR",$O577&gt;0)),"✖ Current غير صحيح",IF(NOT(IF(ISNUMBER($J577),AND($J577&gt;=0,$J577=INT($J577)),FALSE())),"✖ العدد يجب أن يكون صحيحًا ≥ 0",IF(AND($F577="Baseline",$H577&lt;&gt;""),"⚠ Baseline: Start لا يدخل في التقدم",IF($K577="No Start (attainment only)","ℹ تحصيل فقط (بدون Start)",IF($K577="U – needs rule","ℹ حالة U تحتاج قاعدة معتمدة",IF($K577="No result","ℹ بدون نتيجة (يُستبعد من التحصيل)","OK")))))))))))</f>
        <v/>
      </c>
      <c r="M577" s="64" t="n">
        <f aca="false">IF($A577="",0,IFERROR(MATCH($A577,Classes!$A$6:$A$420,0),0))</f>
        <v>0</v>
      </c>
      <c r="N577" s="64" t="n">
        <f aca="false">IF($H577="",0,IFERROR(MATCH($H577,GradeList,0),0))</f>
        <v>0</v>
      </c>
      <c r="O577" s="64" t="n">
        <f aca="false">IF(OR($I577="",$I577="NR"),0,IFERROR(MATCH($I577,GradeList,0),0))</f>
        <v>0</v>
      </c>
      <c r="P577" s="64" t="n">
        <f aca="false">IF(AND($M577&gt;0,ISNUMBER(MATCH($F577,Lists!$A$2:$A$5,0)),ISNUMBER(MATCH($G577,Lists!$B$2:$B$7,0)),OR($H577="",$N577&gt;0),OR($I577="",$I577="NR",$O577&gt;0),IF(ISNUMBER($J577),AND($J577&gt;=0,$J577=INT($J577)),FALSE())),$J577,0)</f>
        <v>0</v>
      </c>
      <c r="Q577" s="64" t="n">
        <f aca="false">IF(AND($P577&gt;0,$O577&gt;0),$P577,0)</f>
        <v>0</v>
      </c>
      <c r="R577" s="64" t="n">
        <f aca="false">IF(AND($Q577&gt;0,$O577&gt;=AtRank),$Q577,0)</f>
        <v>0</v>
      </c>
      <c r="S577" s="64" t="n">
        <f aca="false">IF(AND($Q577&gt;0,$O577&gt;=AboveRank),$Q577,0)</f>
        <v>0</v>
      </c>
      <c r="T577" s="64" t="n">
        <f aca="false">IF($K577="Less",$P577,0)</f>
        <v>0</v>
      </c>
      <c r="U577" s="64" t="n">
        <f aca="false">IF($K577="Expected",$P577,0)</f>
        <v>0</v>
      </c>
      <c r="V577" s="64" t="n">
        <f aca="false">IF($K577="Better",$P577,0)</f>
        <v>0</v>
      </c>
      <c r="W577" s="64" t="n">
        <f aca="false">IF($K577="U – needs rule",$P577,0)</f>
        <v>0</v>
      </c>
      <c r="X577" s="64" t="n">
        <f aca="false">IF($K577="No Start (attainment only)",$P577,0)</f>
        <v>0</v>
      </c>
    </row>
    <row r="578" customFormat="false" ht="15" hidden="false" customHeight="false" outlineLevel="0" collapsed="false">
      <c r="A578" s="60"/>
      <c r="B578" s="61" t="str">
        <f aca="false">IF($M578=0,"",INDEX(Classes!$E$6:$E$420,$M578))</f>
        <v/>
      </c>
      <c r="C578" s="62" t="str">
        <f aca="false">IF($M578=0,"",INDEX(Classes!$H$6:$H$420,$M578))</f>
        <v/>
      </c>
      <c r="D578" s="61" t="str">
        <f aca="false">IF($M578=0,"",INDEX(Classes!$B$6:$B$420,$M578))</f>
        <v/>
      </c>
      <c r="E578" s="61" t="str">
        <f aca="false">IF($M578=0,"",INDEX(Classes!$C$6:$C$420,$M578))</f>
        <v/>
      </c>
      <c r="F578" s="63"/>
      <c r="G578" s="63"/>
      <c r="H578" s="60"/>
      <c r="I578" s="60"/>
      <c r="J578" s="63"/>
      <c r="K578" s="61" t="str">
        <f aca="false">IF($P578=0,"",IF($F578="Baseline","— Baseline",IF($O578=0,"No result",IF($N578=0,"No Start (attainment only)",IF(OR($N578=1,$O578=1),"U – needs rule",INDEX(MxBody,MATCH($I578,MxCurr,0),MATCH($H578,MxStart,0)))))))</f>
        <v/>
      </c>
      <c r="L578" s="62" t="str">
        <f aca="false">IF(COUNTA($A578,$F578,$G578,$H578,$I578,$J578)=0,"",IF($M578=0,"✖ كود الصف غير موجود",IF(ISNA(MATCH($F578,Lists!$A$2:$A$5,0)),"✖ الفترة غير صحيحة",IF(ISNA(MATCH($G578,Lists!$B$2:$B$7,0)),"✖ المجموعة غير صحيحة",IF(NOT(OR($H578="",$N578&gt;0)),"✖ Start غير صحيح",IF(NOT(OR($I578="",$I578="NR",$O578&gt;0)),"✖ Current غير صحيح",IF(NOT(IF(ISNUMBER($J578),AND($J578&gt;=0,$J578=INT($J578)),FALSE())),"✖ العدد يجب أن يكون صحيحًا ≥ 0",IF(AND($F578="Baseline",$H578&lt;&gt;""),"⚠ Baseline: Start لا يدخل في التقدم",IF($K578="No Start (attainment only)","ℹ تحصيل فقط (بدون Start)",IF($K578="U – needs rule","ℹ حالة U تحتاج قاعدة معتمدة",IF($K578="No result","ℹ بدون نتيجة (يُستبعد من التحصيل)","OK")))))))))))</f>
        <v/>
      </c>
      <c r="M578" s="64" t="n">
        <f aca="false">IF($A578="",0,IFERROR(MATCH($A578,Classes!$A$6:$A$420,0),0))</f>
        <v>0</v>
      </c>
      <c r="N578" s="64" t="n">
        <f aca="false">IF($H578="",0,IFERROR(MATCH($H578,GradeList,0),0))</f>
        <v>0</v>
      </c>
      <c r="O578" s="64" t="n">
        <f aca="false">IF(OR($I578="",$I578="NR"),0,IFERROR(MATCH($I578,GradeList,0),0))</f>
        <v>0</v>
      </c>
      <c r="P578" s="64" t="n">
        <f aca="false">IF(AND($M578&gt;0,ISNUMBER(MATCH($F578,Lists!$A$2:$A$5,0)),ISNUMBER(MATCH($G578,Lists!$B$2:$B$7,0)),OR($H578="",$N578&gt;0),OR($I578="",$I578="NR",$O578&gt;0),IF(ISNUMBER($J578),AND($J578&gt;=0,$J578=INT($J578)),FALSE())),$J578,0)</f>
        <v>0</v>
      </c>
      <c r="Q578" s="64" t="n">
        <f aca="false">IF(AND($P578&gt;0,$O578&gt;0),$P578,0)</f>
        <v>0</v>
      </c>
      <c r="R578" s="64" t="n">
        <f aca="false">IF(AND($Q578&gt;0,$O578&gt;=AtRank),$Q578,0)</f>
        <v>0</v>
      </c>
      <c r="S578" s="64" t="n">
        <f aca="false">IF(AND($Q578&gt;0,$O578&gt;=AboveRank),$Q578,0)</f>
        <v>0</v>
      </c>
      <c r="T578" s="64" t="n">
        <f aca="false">IF($K578="Less",$P578,0)</f>
        <v>0</v>
      </c>
      <c r="U578" s="64" t="n">
        <f aca="false">IF($K578="Expected",$P578,0)</f>
        <v>0</v>
      </c>
      <c r="V578" s="64" t="n">
        <f aca="false">IF($K578="Better",$P578,0)</f>
        <v>0</v>
      </c>
      <c r="W578" s="64" t="n">
        <f aca="false">IF($K578="U – needs rule",$P578,0)</f>
        <v>0</v>
      </c>
      <c r="X578" s="64" t="n">
        <f aca="false">IF($K578="No Start (attainment only)",$P578,0)</f>
        <v>0</v>
      </c>
    </row>
    <row r="579" customFormat="false" ht="15" hidden="false" customHeight="false" outlineLevel="0" collapsed="false">
      <c r="A579" s="60"/>
      <c r="B579" s="61" t="str">
        <f aca="false">IF($M579=0,"",INDEX(Classes!$E$6:$E$420,$M579))</f>
        <v/>
      </c>
      <c r="C579" s="62" t="str">
        <f aca="false">IF($M579=0,"",INDEX(Classes!$H$6:$H$420,$M579))</f>
        <v/>
      </c>
      <c r="D579" s="61" t="str">
        <f aca="false">IF($M579=0,"",INDEX(Classes!$B$6:$B$420,$M579))</f>
        <v/>
      </c>
      <c r="E579" s="61" t="str">
        <f aca="false">IF($M579=0,"",INDEX(Classes!$C$6:$C$420,$M579))</f>
        <v/>
      </c>
      <c r="F579" s="63"/>
      <c r="G579" s="63"/>
      <c r="H579" s="60"/>
      <c r="I579" s="60"/>
      <c r="J579" s="63"/>
      <c r="K579" s="61" t="str">
        <f aca="false">IF($P579=0,"",IF($F579="Baseline","— Baseline",IF($O579=0,"No result",IF($N579=0,"No Start (attainment only)",IF(OR($N579=1,$O579=1),"U – needs rule",INDEX(MxBody,MATCH($I579,MxCurr,0),MATCH($H579,MxStart,0)))))))</f>
        <v/>
      </c>
      <c r="L579" s="62" t="str">
        <f aca="false">IF(COUNTA($A579,$F579,$G579,$H579,$I579,$J579)=0,"",IF($M579=0,"✖ كود الصف غير موجود",IF(ISNA(MATCH($F579,Lists!$A$2:$A$5,0)),"✖ الفترة غير صحيحة",IF(ISNA(MATCH($G579,Lists!$B$2:$B$7,0)),"✖ المجموعة غير صحيحة",IF(NOT(OR($H579="",$N579&gt;0)),"✖ Start غير صحيح",IF(NOT(OR($I579="",$I579="NR",$O579&gt;0)),"✖ Current غير صحيح",IF(NOT(IF(ISNUMBER($J579),AND($J579&gt;=0,$J579=INT($J579)),FALSE())),"✖ العدد يجب أن يكون صحيحًا ≥ 0",IF(AND($F579="Baseline",$H579&lt;&gt;""),"⚠ Baseline: Start لا يدخل في التقدم",IF($K579="No Start (attainment only)","ℹ تحصيل فقط (بدون Start)",IF($K579="U – needs rule","ℹ حالة U تحتاج قاعدة معتمدة",IF($K579="No result","ℹ بدون نتيجة (يُستبعد من التحصيل)","OK")))))))))))</f>
        <v/>
      </c>
      <c r="M579" s="64" t="n">
        <f aca="false">IF($A579="",0,IFERROR(MATCH($A579,Classes!$A$6:$A$420,0),0))</f>
        <v>0</v>
      </c>
      <c r="N579" s="64" t="n">
        <f aca="false">IF($H579="",0,IFERROR(MATCH($H579,GradeList,0),0))</f>
        <v>0</v>
      </c>
      <c r="O579" s="64" t="n">
        <f aca="false">IF(OR($I579="",$I579="NR"),0,IFERROR(MATCH($I579,GradeList,0),0))</f>
        <v>0</v>
      </c>
      <c r="P579" s="64" t="n">
        <f aca="false">IF(AND($M579&gt;0,ISNUMBER(MATCH($F579,Lists!$A$2:$A$5,0)),ISNUMBER(MATCH($G579,Lists!$B$2:$B$7,0)),OR($H579="",$N579&gt;0),OR($I579="",$I579="NR",$O579&gt;0),IF(ISNUMBER($J579),AND($J579&gt;=0,$J579=INT($J579)),FALSE())),$J579,0)</f>
        <v>0</v>
      </c>
      <c r="Q579" s="64" t="n">
        <f aca="false">IF(AND($P579&gt;0,$O579&gt;0),$P579,0)</f>
        <v>0</v>
      </c>
      <c r="R579" s="64" t="n">
        <f aca="false">IF(AND($Q579&gt;0,$O579&gt;=AtRank),$Q579,0)</f>
        <v>0</v>
      </c>
      <c r="S579" s="64" t="n">
        <f aca="false">IF(AND($Q579&gt;0,$O579&gt;=AboveRank),$Q579,0)</f>
        <v>0</v>
      </c>
      <c r="T579" s="64" t="n">
        <f aca="false">IF($K579="Less",$P579,0)</f>
        <v>0</v>
      </c>
      <c r="U579" s="64" t="n">
        <f aca="false">IF($K579="Expected",$P579,0)</f>
        <v>0</v>
      </c>
      <c r="V579" s="64" t="n">
        <f aca="false">IF($K579="Better",$P579,0)</f>
        <v>0</v>
      </c>
      <c r="W579" s="64" t="n">
        <f aca="false">IF($K579="U – needs rule",$P579,0)</f>
        <v>0</v>
      </c>
      <c r="X579" s="64" t="n">
        <f aca="false">IF($K579="No Start (attainment only)",$P579,0)</f>
        <v>0</v>
      </c>
    </row>
    <row r="580" customFormat="false" ht="15" hidden="false" customHeight="false" outlineLevel="0" collapsed="false">
      <c r="A580" s="60"/>
      <c r="B580" s="61" t="str">
        <f aca="false">IF($M580=0,"",INDEX(Classes!$E$6:$E$420,$M580))</f>
        <v/>
      </c>
      <c r="C580" s="62" t="str">
        <f aca="false">IF($M580=0,"",INDEX(Classes!$H$6:$H$420,$M580))</f>
        <v/>
      </c>
      <c r="D580" s="61" t="str">
        <f aca="false">IF($M580=0,"",INDEX(Classes!$B$6:$B$420,$M580))</f>
        <v/>
      </c>
      <c r="E580" s="61" t="str">
        <f aca="false">IF($M580=0,"",INDEX(Classes!$C$6:$C$420,$M580))</f>
        <v/>
      </c>
      <c r="F580" s="63"/>
      <c r="G580" s="63"/>
      <c r="H580" s="60"/>
      <c r="I580" s="60"/>
      <c r="J580" s="63"/>
      <c r="K580" s="61" t="str">
        <f aca="false">IF($P580=0,"",IF($F580="Baseline","— Baseline",IF($O580=0,"No result",IF($N580=0,"No Start (attainment only)",IF(OR($N580=1,$O580=1),"U – needs rule",INDEX(MxBody,MATCH($I580,MxCurr,0),MATCH($H580,MxStart,0)))))))</f>
        <v/>
      </c>
      <c r="L580" s="62" t="str">
        <f aca="false">IF(COUNTA($A580,$F580,$G580,$H580,$I580,$J580)=0,"",IF($M580=0,"✖ كود الصف غير موجود",IF(ISNA(MATCH($F580,Lists!$A$2:$A$5,0)),"✖ الفترة غير صحيحة",IF(ISNA(MATCH($G580,Lists!$B$2:$B$7,0)),"✖ المجموعة غير صحيحة",IF(NOT(OR($H580="",$N580&gt;0)),"✖ Start غير صحيح",IF(NOT(OR($I580="",$I580="NR",$O580&gt;0)),"✖ Current غير صحيح",IF(NOT(IF(ISNUMBER($J580),AND($J580&gt;=0,$J580=INT($J580)),FALSE())),"✖ العدد يجب أن يكون صحيحًا ≥ 0",IF(AND($F580="Baseline",$H580&lt;&gt;""),"⚠ Baseline: Start لا يدخل في التقدم",IF($K580="No Start (attainment only)","ℹ تحصيل فقط (بدون Start)",IF($K580="U – needs rule","ℹ حالة U تحتاج قاعدة معتمدة",IF($K580="No result","ℹ بدون نتيجة (يُستبعد من التحصيل)","OK")))))))))))</f>
        <v/>
      </c>
      <c r="M580" s="64" t="n">
        <f aca="false">IF($A580="",0,IFERROR(MATCH($A580,Classes!$A$6:$A$420,0),0))</f>
        <v>0</v>
      </c>
      <c r="N580" s="64" t="n">
        <f aca="false">IF($H580="",0,IFERROR(MATCH($H580,GradeList,0),0))</f>
        <v>0</v>
      </c>
      <c r="O580" s="64" t="n">
        <f aca="false">IF(OR($I580="",$I580="NR"),0,IFERROR(MATCH($I580,GradeList,0),0))</f>
        <v>0</v>
      </c>
      <c r="P580" s="64" t="n">
        <f aca="false">IF(AND($M580&gt;0,ISNUMBER(MATCH($F580,Lists!$A$2:$A$5,0)),ISNUMBER(MATCH($G580,Lists!$B$2:$B$7,0)),OR($H580="",$N580&gt;0),OR($I580="",$I580="NR",$O580&gt;0),IF(ISNUMBER($J580),AND($J580&gt;=0,$J580=INT($J580)),FALSE())),$J580,0)</f>
        <v>0</v>
      </c>
      <c r="Q580" s="64" t="n">
        <f aca="false">IF(AND($P580&gt;0,$O580&gt;0),$P580,0)</f>
        <v>0</v>
      </c>
      <c r="R580" s="64" t="n">
        <f aca="false">IF(AND($Q580&gt;0,$O580&gt;=AtRank),$Q580,0)</f>
        <v>0</v>
      </c>
      <c r="S580" s="64" t="n">
        <f aca="false">IF(AND($Q580&gt;0,$O580&gt;=AboveRank),$Q580,0)</f>
        <v>0</v>
      </c>
      <c r="T580" s="64" t="n">
        <f aca="false">IF($K580="Less",$P580,0)</f>
        <v>0</v>
      </c>
      <c r="U580" s="64" t="n">
        <f aca="false">IF($K580="Expected",$P580,0)</f>
        <v>0</v>
      </c>
      <c r="V580" s="64" t="n">
        <f aca="false">IF($K580="Better",$P580,0)</f>
        <v>0</v>
      </c>
      <c r="W580" s="64" t="n">
        <f aca="false">IF($K580="U – needs rule",$P580,0)</f>
        <v>0</v>
      </c>
      <c r="X580" s="64" t="n">
        <f aca="false">IF($K580="No Start (attainment only)",$P580,0)</f>
        <v>0</v>
      </c>
    </row>
    <row r="581" customFormat="false" ht="15" hidden="false" customHeight="false" outlineLevel="0" collapsed="false">
      <c r="A581" s="60"/>
      <c r="B581" s="61" t="str">
        <f aca="false">IF($M581=0,"",INDEX(Classes!$E$6:$E$420,$M581))</f>
        <v/>
      </c>
      <c r="C581" s="62" t="str">
        <f aca="false">IF($M581=0,"",INDEX(Classes!$H$6:$H$420,$M581))</f>
        <v/>
      </c>
      <c r="D581" s="61" t="str">
        <f aca="false">IF($M581=0,"",INDEX(Classes!$B$6:$B$420,$M581))</f>
        <v/>
      </c>
      <c r="E581" s="61" t="str">
        <f aca="false">IF($M581=0,"",INDEX(Classes!$C$6:$C$420,$M581))</f>
        <v/>
      </c>
      <c r="F581" s="63"/>
      <c r="G581" s="63"/>
      <c r="H581" s="60"/>
      <c r="I581" s="60"/>
      <c r="J581" s="63"/>
      <c r="K581" s="61" t="str">
        <f aca="false">IF($P581=0,"",IF($F581="Baseline","— Baseline",IF($O581=0,"No result",IF($N581=0,"No Start (attainment only)",IF(OR($N581=1,$O581=1),"U – needs rule",INDEX(MxBody,MATCH($I581,MxCurr,0),MATCH($H581,MxStart,0)))))))</f>
        <v/>
      </c>
      <c r="L581" s="62" t="str">
        <f aca="false">IF(COUNTA($A581,$F581,$G581,$H581,$I581,$J581)=0,"",IF($M581=0,"✖ كود الصف غير موجود",IF(ISNA(MATCH($F581,Lists!$A$2:$A$5,0)),"✖ الفترة غير صحيحة",IF(ISNA(MATCH($G581,Lists!$B$2:$B$7,0)),"✖ المجموعة غير صحيحة",IF(NOT(OR($H581="",$N581&gt;0)),"✖ Start غير صحيح",IF(NOT(OR($I581="",$I581="NR",$O581&gt;0)),"✖ Current غير صحيح",IF(NOT(IF(ISNUMBER($J581),AND($J581&gt;=0,$J581=INT($J581)),FALSE())),"✖ العدد يجب أن يكون صحيحًا ≥ 0",IF(AND($F581="Baseline",$H581&lt;&gt;""),"⚠ Baseline: Start لا يدخل في التقدم",IF($K581="No Start (attainment only)","ℹ تحصيل فقط (بدون Start)",IF($K581="U – needs rule","ℹ حالة U تحتاج قاعدة معتمدة",IF($K581="No result","ℹ بدون نتيجة (يُستبعد من التحصيل)","OK")))))))))))</f>
        <v/>
      </c>
      <c r="M581" s="64" t="n">
        <f aca="false">IF($A581="",0,IFERROR(MATCH($A581,Classes!$A$6:$A$420,0),0))</f>
        <v>0</v>
      </c>
      <c r="N581" s="64" t="n">
        <f aca="false">IF($H581="",0,IFERROR(MATCH($H581,GradeList,0),0))</f>
        <v>0</v>
      </c>
      <c r="O581" s="64" t="n">
        <f aca="false">IF(OR($I581="",$I581="NR"),0,IFERROR(MATCH($I581,GradeList,0),0))</f>
        <v>0</v>
      </c>
      <c r="P581" s="64" t="n">
        <f aca="false">IF(AND($M581&gt;0,ISNUMBER(MATCH($F581,Lists!$A$2:$A$5,0)),ISNUMBER(MATCH($G581,Lists!$B$2:$B$7,0)),OR($H581="",$N581&gt;0),OR($I581="",$I581="NR",$O581&gt;0),IF(ISNUMBER($J581),AND($J581&gt;=0,$J581=INT($J581)),FALSE())),$J581,0)</f>
        <v>0</v>
      </c>
      <c r="Q581" s="64" t="n">
        <f aca="false">IF(AND($P581&gt;0,$O581&gt;0),$P581,0)</f>
        <v>0</v>
      </c>
      <c r="R581" s="64" t="n">
        <f aca="false">IF(AND($Q581&gt;0,$O581&gt;=AtRank),$Q581,0)</f>
        <v>0</v>
      </c>
      <c r="S581" s="64" t="n">
        <f aca="false">IF(AND($Q581&gt;0,$O581&gt;=AboveRank),$Q581,0)</f>
        <v>0</v>
      </c>
      <c r="T581" s="64" t="n">
        <f aca="false">IF($K581="Less",$P581,0)</f>
        <v>0</v>
      </c>
      <c r="U581" s="64" t="n">
        <f aca="false">IF($K581="Expected",$P581,0)</f>
        <v>0</v>
      </c>
      <c r="V581" s="64" t="n">
        <f aca="false">IF($K581="Better",$P581,0)</f>
        <v>0</v>
      </c>
      <c r="W581" s="64" t="n">
        <f aca="false">IF($K581="U – needs rule",$P581,0)</f>
        <v>0</v>
      </c>
      <c r="X581" s="64" t="n">
        <f aca="false">IF($K581="No Start (attainment only)",$P581,0)</f>
        <v>0</v>
      </c>
    </row>
    <row r="582" customFormat="false" ht="15" hidden="false" customHeight="false" outlineLevel="0" collapsed="false">
      <c r="A582" s="60"/>
      <c r="B582" s="61" t="str">
        <f aca="false">IF($M582=0,"",INDEX(Classes!$E$6:$E$420,$M582))</f>
        <v/>
      </c>
      <c r="C582" s="62" t="str">
        <f aca="false">IF($M582=0,"",INDEX(Classes!$H$6:$H$420,$M582))</f>
        <v/>
      </c>
      <c r="D582" s="61" t="str">
        <f aca="false">IF($M582=0,"",INDEX(Classes!$B$6:$B$420,$M582))</f>
        <v/>
      </c>
      <c r="E582" s="61" t="str">
        <f aca="false">IF($M582=0,"",INDEX(Classes!$C$6:$C$420,$M582))</f>
        <v/>
      </c>
      <c r="F582" s="63"/>
      <c r="G582" s="63"/>
      <c r="H582" s="60"/>
      <c r="I582" s="60"/>
      <c r="J582" s="63"/>
      <c r="K582" s="61" t="str">
        <f aca="false">IF($P582=0,"",IF($F582="Baseline","— Baseline",IF($O582=0,"No result",IF($N582=0,"No Start (attainment only)",IF(OR($N582=1,$O582=1),"U – needs rule",INDEX(MxBody,MATCH($I582,MxCurr,0),MATCH($H582,MxStart,0)))))))</f>
        <v/>
      </c>
      <c r="L582" s="62" t="str">
        <f aca="false">IF(COUNTA($A582,$F582,$G582,$H582,$I582,$J582)=0,"",IF($M582=0,"✖ كود الصف غير موجود",IF(ISNA(MATCH($F582,Lists!$A$2:$A$5,0)),"✖ الفترة غير صحيحة",IF(ISNA(MATCH($G582,Lists!$B$2:$B$7,0)),"✖ المجموعة غير صحيحة",IF(NOT(OR($H582="",$N582&gt;0)),"✖ Start غير صحيح",IF(NOT(OR($I582="",$I582="NR",$O582&gt;0)),"✖ Current غير صحيح",IF(NOT(IF(ISNUMBER($J582),AND($J582&gt;=0,$J582=INT($J582)),FALSE())),"✖ العدد يجب أن يكون صحيحًا ≥ 0",IF(AND($F582="Baseline",$H582&lt;&gt;""),"⚠ Baseline: Start لا يدخل في التقدم",IF($K582="No Start (attainment only)","ℹ تحصيل فقط (بدون Start)",IF($K582="U – needs rule","ℹ حالة U تحتاج قاعدة معتمدة",IF($K582="No result","ℹ بدون نتيجة (يُستبعد من التحصيل)","OK")))))))))))</f>
        <v/>
      </c>
      <c r="M582" s="64" t="n">
        <f aca="false">IF($A582="",0,IFERROR(MATCH($A582,Classes!$A$6:$A$420,0),0))</f>
        <v>0</v>
      </c>
      <c r="N582" s="64" t="n">
        <f aca="false">IF($H582="",0,IFERROR(MATCH($H582,GradeList,0),0))</f>
        <v>0</v>
      </c>
      <c r="O582" s="64" t="n">
        <f aca="false">IF(OR($I582="",$I582="NR"),0,IFERROR(MATCH($I582,GradeList,0),0))</f>
        <v>0</v>
      </c>
      <c r="P582" s="64" t="n">
        <f aca="false">IF(AND($M582&gt;0,ISNUMBER(MATCH($F582,Lists!$A$2:$A$5,0)),ISNUMBER(MATCH($G582,Lists!$B$2:$B$7,0)),OR($H582="",$N582&gt;0),OR($I582="",$I582="NR",$O582&gt;0),IF(ISNUMBER($J582),AND($J582&gt;=0,$J582=INT($J582)),FALSE())),$J582,0)</f>
        <v>0</v>
      </c>
      <c r="Q582" s="64" t="n">
        <f aca="false">IF(AND($P582&gt;0,$O582&gt;0),$P582,0)</f>
        <v>0</v>
      </c>
      <c r="R582" s="64" t="n">
        <f aca="false">IF(AND($Q582&gt;0,$O582&gt;=AtRank),$Q582,0)</f>
        <v>0</v>
      </c>
      <c r="S582" s="64" t="n">
        <f aca="false">IF(AND($Q582&gt;0,$O582&gt;=AboveRank),$Q582,0)</f>
        <v>0</v>
      </c>
      <c r="T582" s="64" t="n">
        <f aca="false">IF($K582="Less",$P582,0)</f>
        <v>0</v>
      </c>
      <c r="U582" s="64" t="n">
        <f aca="false">IF($K582="Expected",$P582,0)</f>
        <v>0</v>
      </c>
      <c r="V582" s="64" t="n">
        <f aca="false">IF($K582="Better",$P582,0)</f>
        <v>0</v>
      </c>
      <c r="W582" s="64" t="n">
        <f aca="false">IF($K582="U – needs rule",$P582,0)</f>
        <v>0</v>
      </c>
      <c r="X582" s="64" t="n">
        <f aca="false">IF($K582="No Start (attainment only)",$P582,0)</f>
        <v>0</v>
      </c>
    </row>
    <row r="583" customFormat="false" ht="15" hidden="false" customHeight="false" outlineLevel="0" collapsed="false">
      <c r="A583" s="60"/>
      <c r="B583" s="61" t="str">
        <f aca="false">IF($M583=0,"",INDEX(Classes!$E$6:$E$420,$M583))</f>
        <v/>
      </c>
      <c r="C583" s="62" t="str">
        <f aca="false">IF($M583=0,"",INDEX(Classes!$H$6:$H$420,$M583))</f>
        <v/>
      </c>
      <c r="D583" s="61" t="str">
        <f aca="false">IF($M583=0,"",INDEX(Classes!$B$6:$B$420,$M583))</f>
        <v/>
      </c>
      <c r="E583" s="61" t="str">
        <f aca="false">IF($M583=0,"",INDEX(Classes!$C$6:$C$420,$M583))</f>
        <v/>
      </c>
      <c r="F583" s="63"/>
      <c r="G583" s="63"/>
      <c r="H583" s="60"/>
      <c r="I583" s="60"/>
      <c r="J583" s="63"/>
      <c r="K583" s="61" t="str">
        <f aca="false">IF($P583=0,"",IF($F583="Baseline","— Baseline",IF($O583=0,"No result",IF($N583=0,"No Start (attainment only)",IF(OR($N583=1,$O583=1),"U – needs rule",INDEX(MxBody,MATCH($I583,MxCurr,0),MATCH($H583,MxStart,0)))))))</f>
        <v/>
      </c>
      <c r="L583" s="62" t="str">
        <f aca="false">IF(COUNTA($A583,$F583,$G583,$H583,$I583,$J583)=0,"",IF($M583=0,"✖ كود الصف غير موجود",IF(ISNA(MATCH($F583,Lists!$A$2:$A$5,0)),"✖ الفترة غير صحيحة",IF(ISNA(MATCH($G583,Lists!$B$2:$B$7,0)),"✖ المجموعة غير صحيحة",IF(NOT(OR($H583="",$N583&gt;0)),"✖ Start غير صحيح",IF(NOT(OR($I583="",$I583="NR",$O583&gt;0)),"✖ Current غير صحيح",IF(NOT(IF(ISNUMBER($J583),AND($J583&gt;=0,$J583=INT($J583)),FALSE())),"✖ العدد يجب أن يكون صحيحًا ≥ 0",IF(AND($F583="Baseline",$H583&lt;&gt;""),"⚠ Baseline: Start لا يدخل في التقدم",IF($K583="No Start (attainment only)","ℹ تحصيل فقط (بدون Start)",IF($K583="U – needs rule","ℹ حالة U تحتاج قاعدة معتمدة",IF($K583="No result","ℹ بدون نتيجة (يُستبعد من التحصيل)","OK")))))))))))</f>
        <v/>
      </c>
      <c r="M583" s="64" t="n">
        <f aca="false">IF($A583="",0,IFERROR(MATCH($A583,Classes!$A$6:$A$420,0),0))</f>
        <v>0</v>
      </c>
      <c r="N583" s="64" t="n">
        <f aca="false">IF($H583="",0,IFERROR(MATCH($H583,GradeList,0),0))</f>
        <v>0</v>
      </c>
      <c r="O583" s="64" t="n">
        <f aca="false">IF(OR($I583="",$I583="NR"),0,IFERROR(MATCH($I583,GradeList,0),0))</f>
        <v>0</v>
      </c>
      <c r="P583" s="64" t="n">
        <f aca="false">IF(AND($M583&gt;0,ISNUMBER(MATCH($F583,Lists!$A$2:$A$5,0)),ISNUMBER(MATCH($G583,Lists!$B$2:$B$7,0)),OR($H583="",$N583&gt;0),OR($I583="",$I583="NR",$O583&gt;0),IF(ISNUMBER($J583),AND($J583&gt;=0,$J583=INT($J583)),FALSE())),$J583,0)</f>
        <v>0</v>
      </c>
      <c r="Q583" s="64" t="n">
        <f aca="false">IF(AND($P583&gt;0,$O583&gt;0),$P583,0)</f>
        <v>0</v>
      </c>
      <c r="R583" s="64" t="n">
        <f aca="false">IF(AND($Q583&gt;0,$O583&gt;=AtRank),$Q583,0)</f>
        <v>0</v>
      </c>
      <c r="S583" s="64" t="n">
        <f aca="false">IF(AND($Q583&gt;0,$O583&gt;=AboveRank),$Q583,0)</f>
        <v>0</v>
      </c>
      <c r="T583" s="64" t="n">
        <f aca="false">IF($K583="Less",$P583,0)</f>
        <v>0</v>
      </c>
      <c r="U583" s="64" t="n">
        <f aca="false">IF($K583="Expected",$P583,0)</f>
        <v>0</v>
      </c>
      <c r="V583" s="64" t="n">
        <f aca="false">IF($K583="Better",$P583,0)</f>
        <v>0</v>
      </c>
      <c r="W583" s="64" t="n">
        <f aca="false">IF($K583="U – needs rule",$P583,0)</f>
        <v>0</v>
      </c>
      <c r="X583" s="64" t="n">
        <f aca="false">IF($K583="No Start (attainment only)",$P583,0)</f>
        <v>0</v>
      </c>
    </row>
    <row r="584" customFormat="false" ht="15" hidden="false" customHeight="false" outlineLevel="0" collapsed="false">
      <c r="A584" s="60"/>
      <c r="B584" s="61" t="str">
        <f aca="false">IF($M584=0,"",INDEX(Classes!$E$6:$E$420,$M584))</f>
        <v/>
      </c>
      <c r="C584" s="62" t="str">
        <f aca="false">IF($M584=0,"",INDEX(Classes!$H$6:$H$420,$M584))</f>
        <v/>
      </c>
      <c r="D584" s="61" t="str">
        <f aca="false">IF($M584=0,"",INDEX(Classes!$B$6:$B$420,$M584))</f>
        <v/>
      </c>
      <c r="E584" s="61" t="str">
        <f aca="false">IF($M584=0,"",INDEX(Classes!$C$6:$C$420,$M584))</f>
        <v/>
      </c>
      <c r="F584" s="63"/>
      <c r="G584" s="63"/>
      <c r="H584" s="60"/>
      <c r="I584" s="60"/>
      <c r="J584" s="63"/>
      <c r="K584" s="61" t="str">
        <f aca="false">IF($P584=0,"",IF($F584="Baseline","— Baseline",IF($O584=0,"No result",IF($N584=0,"No Start (attainment only)",IF(OR($N584=1,$O584=1),"U – needs rule",INDEX(MxBody,MATCH($I584,MxCurr,0),MATCH($H584,MxStart,0)))))))</f>
        <v/>
      </c>
      <c r="L584" s="62" t="str">
        <f aca="false">IF(COUNTA($A584,$F584,$G584,$H584,$I584,$J584)=0,"",IF($M584=0,"✖ كود الصف غير موجود",IF(ISNA(MATCH($F584,Lists!$A$2:$A$5,0)),"✖ الفترة غير صحيحة",IF(ISNA(MATCH($G584,Lists!$B$2:$B$7,0)),"✖ المجموعة غير صحيحة",IF(NOT(OR($H584="",$N584&gt;0)),"✖ Start غير صحيح",IF(NOT(OR($I584="",$I584="NR",$O584&gt;0)),"✖ Current غير صحيح",IF(NOT(IF(ISNUMBER($J584),AND($J584&gt;=0,$J584=INT($J584)),FALSE())),"✖ العدد يجب أن يكون صحيحًا ≥ 0",IF(AND($F584="Baseline",$H584&lt;&gt;""),"⚠ Baseline: Start لا يدخل في التقدم",IF($K584="No Start (attainment only)","ℹ تحصيل فقط (بدون Start)",IF($K584="U – needs rule","ℹ حالة U تحتاج قاعدة معتمدة",IF($K584="No result","ℹ بدون نتيجة (يُستبعد من التحصيل)","OK")))))))))))</f>
        <v/>
      </c>
      <c r="M584" s="64" t="n">
        <f aca="false">IF($A584="",0,IFERROR(MATCH($A584,Classes!$A$6:$A$420,0),0))</f>
        <v>0</v>
      </c>
      <c r="N584" s="64" t="n">
        <f aca="false">IF($H584="",0,IFERROR(MATCH($H584,GradeList,0),0))</f>
        <v>0</v>
      </c>
      <c r="O584" s="64" t="n">
        <f aca="false">IF(OR($I584="",$I584="NR"),0,IFERROR(MATCH($I584,GradeList,0),0))</f>
        <v>0</v>
      </c>
      <c r="P584" s="64" t="n">
        <f aca="false">IF(AND($M584&gt;0,ISNUMBER(MATCH($F584,Lists!$A$2:$A$5,0)),ISNUMBER(MATCH($G584,Lists!$B$2:$B$7,0)),OR($H584="",$N584&gt;0),OR($I584="",$I584="NR",$O584&gt;0),IF(ISNUMBER($J584),AND($J584&gt;=0,$J584=INT($J584)),FALSE())),$J584,0)</f>
        <v>0</v>
      </c>
      <c r="Q584" s="64" t="n">
        <f aca="false">IF(AND($P584&gt;0,$O584&gt;0),$P584,0)</f>
        <v>0</v>
      </c>
      <c r="R584" s="64" t="n">
        <f aca="false">IF(AND($Q584&gt;0,$O584&gt;=AtRank),$Q584,0)</f>
        <v>0</v>
      </c>
      <c r="S584" s="64" t="n">
        <f aca="false">IF(AND($Q584&gt;0,$O584&gt;=AboveRank),$Q584,0)</f>
        <v>0</v>
      </c>
      <c r="T584" s="64" t="n">
        <f aca="false">IF($K584="Less",$P584,0)</f>
        <v>0</v>
      </c>
      <c r="U584" s="64" t="n">
        <f aca="false">IF($K584="Expected",$P584,0)</f>
        <v>0</v>
      </c>
      <c r="V584" s="64" t="n">
        <f aca="false">IF($K584="Better",$P584,0)</f>
        <v>0</v>
      </c>
      <c r="W584" s="64" t="n">
        <f aca="false">IF($K584="U – needs rule",$P584,0)</f>
        <v>0</v>
      </c>
      <c r="X584" s="64" t="n">
        <f aca="false">IF($K584="No Start (attainment only)",$P584,0)</f>
        <v>0</v>
      </c>
    </row>
    <row r="585" customFormat="false" ht="15" hidden="false" customHeight="false" outlineLevel="0" collapsed="false">
      <c r="A585" s="60"/>
      <c r="B585" s="61" t="str">
        <f aca="false">IF($M585=0,"",INDEX(Classes!$E$6:$E$420,$M585))</f>
        <v/>
      </c>
      <c r="C585" s="62" t="str">
        <f aca="false">IF($M585=0,"",INDEX(Classes!$H$6:$H$420,$M585))</f>
        <v/>
      </c>
      <c r="D585" s="61" t="str">
        <f aca="false">IF($M585=0,"",INDEX(Classes!$B$6:$B$420,$M585))</f>
        <v/>
      </c>
      <c r="E585" s="61" t="str">
        <f aca="false">IF($M585=0,"",INDEX(Classes!$C$6:$C$420,$M585))</f>
        <v/>
      </c>
      <c r="F585" s="63"/>
      <c r="G585" s="63"/>
      <c r="H585" s="60"/>
      <c r="I585" s="60"/>
      <c r="J585" s="63"/>
      <c r="K585" s="61" t="str">
        <f aca="false">IF($P585=0,"",IF($F585="Baseline","— Baseline",IF($O585=0,"No result",IF($N585=0,"No Start (attainment only)",IF(OR($N585=1,$O585=1),"U – needs rule",INDEX(MxBody,MATCH($I585,MxCurr,0),MATCH($H585,MxStart,0)))))))</f>
        <v/>
      </c>
      <c r="L585" s="62" t="str">
        <f aca="false">IF(COUNTA($A585,$F585,$G585,$H585,$I585,$J585)=0,"",IF($M585=0,"✖ كود الصف غير موجود",IF(ISNA(MATCH($F585,Lists!$A$2:$A$5,0)),"✖ الفترة غير صحيحة",IF(ISNA(MATCH($G585,Lists!$B$2:$B$7,0)),"✖ المجموعة غير صحيحة",IF(NOT(OR($H585="",$N585&gt;0)),"✖ Start غير صحيح",IF(NOT(OR($I585="",$I585="NR",$O585&gt;0)),"✖ Current غير صحيح",IF(NOT(IF(ISNUMBER($J585),AND($J585&gt;=0,$J585=INT($J585)),FALSE())),"✖ العدد يجب أن يكون صحيحًا ≥ 0",IF(AND($F585="Baseline",$H585&lt;&gt;""),"⚠ Baseline: Start لا يدخل في التقدم",IF($K585="No Start (attainment only)","ℹ تحصيل فقط (بدون Start)",IF($K585="U – needs rule","ℹ حالة U تحتاج قاعدة معتمدة",IF($K585="No result","ℹ بدون نتيجة (يُستبعد من التحصيل)","OK")))))))))))</f>
        <v/>
      </c>
      <c r="M585" s="64" t="n">
        <f aca="false">IF($A585="",0,IFERROR(MATCH($A585,Classes!$A$6:$A$420,0),0))</f>
        <v>0</v>
      </c>
      <c r="N585" s="64" t="n">
        <f aca="false">IF($H585="",0,IFERROR(MATCH($H585,GradeList,0),0))</f>
        <v>0</v>
      </c>
      <c r="O585" s="64" t="n">
        <f aca="false">IF(OR($I585="",$I585="NR"),0,IFERROR(MATCH($I585,GradeList,0),0))</f>
        <v>0</v>
      </c>
      <c r="P585" s="64" t="n">
        <f aca="false">IF(AND($M585&gt;0,ISNUMBER(MATCH($F585,Lists!$A$2:$A$5,0)),ISNUMBER(MATCH($G585,Lists!$B$2:$B$7,0)),OR($H585="",$N585&gt;0),OR($I585="",$I585="NR",$O585&gt;0),IF(ISNUMBER($J585),AND($J585&gt;=0,$J585=INT($J585)),FALSE())),$J585,0)</f>
        <v>0</v>
      </c>
      <c r="Q585" s="64" t="n">
        <f aca="false">IF(AND($P585&gt;0,$O585&gt;0),$P585,0)</f>
        <v>0</v>
      </c>
      <c r="R585" s="64" t="n">
        <f aca="false">IF(AND($Q585&gt;0,$O585&gt;=AtRank),$Q585,0)</f>
        <v>0</v>
      </c>
      <c r="S585" s="64" t="n">
        <f aca="false">IF(AND($Q585&gt;0,$O585&gt;=AboveRank),$Q585,0)</f>
        <v>0</v>
      </c>
      <c r="T585" s="64" t="n">
        <f aca="false">IF($K585="Less",$P585,0)</f>
        <v>0</v>
      </c>
      <c r="U585" s="64" t="n">
        <f aca="false">IF($K585="Expected",$P585,0)</f>
        <v>0</v>
      </c>
      <c r="V585" s="64" t="n">
        <f aca="false">IF($K585="Better",$P585,0)</f>
        <v>0</v>
      </c>
      <c r="W585" s="64" t="n">
        <f aca="false">IF($K585="U – needs rule",$P585,0)</f>
        <v>0</v>
      </c>
      <c r="X585" s="64" t="n">
        <f aca="false">IF($K585="No Start (attainment only)",$P585,0)</f>
        <v>0</v>
      </c>
    </row>
    <row r="586" customFormat="false" ht="15" hidden="false" customHeight="false" outlineLevel="0" collapsed="false">
      <c r="A586" s="60"/>
      <c r="B586" s="61" t="str">
        <f aca="false">IF($M586=0,"",INDEX(Classes!$E$6:$E$420,$M586))</f>
        <v/>
      </c>
      <c r="C586" s="62" t="str">
        <f aca="false">IF($M586=0,"",INDEX(Classes!$H$6:$H$420,$M586))</f>
        <v/>
      </c>
      <c r="D586" s="61" t="str">
        <f aca="false">IF($M586=0,"",INDEX(Classes!$B$6:$B$420,$M586))</f>
        <v/>
      </c>
      <c r="E586" s="61" t="str">
        <f aca="false">IF($M586=0,"",INDEX(Classes!$C$6:$C$420,$M586))</f>
        <v/>
      </c>
      <c r="F586" s="63"/>
      <c r="G586" s="63"/>
      <c r="H586" s="60"/>
      <c r="I586" s="60"/>
      <c r="J586" s="63"/>
      <c r="K586" s="61" t="str">
        <f aca="false">IF($P586=0,"",IF($F586="Baseline","— Baseline",IF($O586=0,"No result",IF($N586=0,"No Start (attainment only)",IF(OR($N586=1,$O586=1),"U – needs rule",INDEX(MxBody,MATCH($I586,MxCurr,0),MATCH($H586,MxStart,0)))))))</f>
        <v/>
      </c>
      <c r="L586" s="62" t="str">
        <f aca="false">IF(COUNTA($A586,$F586,$G586,$H586,$I586,$J586)=0,"",IF($M586=0,"✖ كود الصف غير موجود",IF(ISNA(MATCH($F586,Lists!$A$2:$A$5,0)),"✖ الفترة غير صحيحة",IF(ISNA(MATCH($G586,Lists!$B$2:$B$7,0)),"✖ المجموعة غير صحيحة",IF(NOT(OR($H586="",$N586&gt;0)),"✖ Start غير صحيح",IF(NOT(OR($I586="",$I586="NR",$O586&gt;0)),"✖ Current غير صحيح",IF(NOT(IF(ISNUMBER($J586),AND($J586&gt;=0,$J586=INT($J586)),FALSE())),"✖ العدد يجب أن يكون صحيحًا ≥ 0",IF(AND($F586="Baseline",$H586&lt;&gt;""),"⚠ Baseline: Start لا يدخل في التقدم",IF($K586="No Start (attainment only)","ℹ تحصيل فقط (بدون Start)",IF($K586="U – needs rule","ℹ حالة U تحتاج قاعدة معتمدة",IF($K586="No result","ℹ بدون نتيجة (يُستبعد من التحصيل)","OK")))))))))))</f>
        <v/>
      </c>
      <c r="M586" s="64" t="n">
        <f aca="false">IF($A586="",0,IFERROR(MATCH($A586,Classes!$A$6:$A$420,0),0))</f>
        <v>0</v>
      </c>
      <c r="N586" s="64" t="n">
        <f aca="false">IF($H586="",0,IFERROR(MATCH($H586,GradeList,0),0))</f>
        <v>0</v>
      </c>
      <c r="O586" s="64" t="n">
        <f aca="false">IF(OR($I586="",$I586="NR"),0,IFERROR(MATCH($I586,GradeList,0),0))</f>
        <v>0</v>
      </c>
      <c r="P586" s="64" t="n">
        <f aca="false">IF(AND($M586&gt;0,ISNUMBER(MATCH($F586,Lists!$A$2:$A$5,0)),ISNUMBER(MATCH($G586,Lists!$B$2:$B$7,0)),OR($H586="",$N586&gt;0),OR($I586="",$I586="NR",$O586&gt;0),IF(ISNUMBER($J586),AND($J586&gt;=0,$J586=INT($J586)),FALSE())),$J586,0)</f>
        <v>0</v>
      </c>
      <c r="Q586" s="64" t="n">
        <f aca="false">IF(AND($P586&gt;0,$O586&gt;0),$P586,0)</f>
        <v>0</v>
      </c>
      <c r="R586" s="64" t="n">
        <f aca="false">IF(AND($Q586&gt;0,$O586&gt;=AtRank),$Q586,0)</f>
        <v>0</v>
      </c>
      <c r="S586" s="64" t="n">
        <f aca="false">IF(AND($Q586&gt;0,$O586&gt;=AboveRank),$Q586,0)</f>
        <v>0</v>
      </c>
      <c r="T586" s="64" t="n">
        <f aca="false">IF($K586="Less",$P586,0)</f>
        <v>0</v>
      </c>
      <c r="U586" s="64" t="n">
        <f aca="false">IF($K586="Expected",$P586,0)</f>
        <v>0</v>
      </c>
      <c r="V586" s="64" t="n">
        <f aca="false">IF($K586="Better",$P586,0)</f>
        <v>0</v>
      </c>
      <c r="W586" s="64" t="n">
        <f aca="false">IF($K586="U – needs rule",$P586,0)</f>
        <v>0</v>
      </c>
      <c r="X586" s="64" t="n">
        <f aca="false">IF($K586="No Start (attainment only)",$P586,0)</f>
        <v>0</v>
      </c>
    </row>
    <row r="587" customFormat="false" ht="15" hidden="false" customHeight="false" outlineLevel="0" collapsed="false">
      <c r="A587" s="60"/>
      <c r="B587" s="61" t="str">
        <f aca="false">IF($M587=0,"",INDEX(Classes!$E$6:$E$420,$M587))</f>
        <v/>
      </c>
      <c r="C587" s="62" t="str">
        <f aca="false">IF($M587=0,"",INDEX(Classes!$H$6:$H$420,$M587))</f>
        <v/>
      </c>
      <c r="D587" s="61" t="str">
        <f aca="false">IF($M587=0,"",INDEX(Classes!$B$6:$B$420,$M587))</f>
        <v/>
      </c>
      <c r="E587" s="61" t="str">
        <f aca="false">IF($M587=0,"",INDEX(Classes!$C$6:$C$420,$M587))</f>
        <v/>
      </c>
      <c r="F587" s="63"/>
      <c r="G587" s="63"/>
      <c r="H587" s="60"/>
      <c r="I587" s="60"/>
      <c r="J587" s="63"/>
      <c r="K587" s="61" t="str">
        <f aca="false">IF($P587=0,"",IF($F587="Baseline","— Baseline",IF($O587=0,"No result",IF($N587=0,"No Start (attainment only)",IF(OR($N587=1,$O587=1),"U – needs rule",INDEX(MxBody,MATCH($I587,MxCurr,0),MATCH($H587,MxStart,0)))))))</f>
        <v/>
      </c>
      <c r="L587" s="62" t="str">
        <f aca="false">IF(COUNTA($A587,$F587,$G587,$H587,$I587,$J587)=0,"",IF($M587=0,"✖ كود الصف غير موجود",IF(ISNA(MATCH($F587,Lists!$A$2:$A$5,0)),"✖ الفترة غير صحيحة",IF(ISNA(MATCH($G587,Lists!$B$2:$B$7,0)),"✖ المجموعة غير صحيحة",IF(NOT(OR($H587="",$N587&gt;0)),"✖ Start غير صحيح",IF(NOT(OR($I587="",$I587="NR",$O587&gt;0)),"✖ Current غير صحيح",IF(NOT(IF(ISNUMBER($J587),AND($J587&gt;=0,$J587=INT($J587)),FALSE())),"✖ العدد يجب أن يكون صحيحًا ≥ 0",IF(AND($F587="Baseline",$H587&lt;&gt;""),"⚠ Baseline: Start لا يدخل في التقدم",IF($K587="No Start (attainment only)","ℹ تحصيل فقط (بدون Start)",IF($K587="U – needs rule","ℹ حالة U تحتاج قاعدة معتمدة",IF($K587="No result","ℹ بدون نتيجة (يُستبعد من التحصيل)","OK")))))))))))</f>
        <v/>
      </c>
      <c r="M587" s="64" t="n">
        <f aca="false">IF($A587="",0,IFERROR(MATCH($A587,Classes!$A$6:$A$420,0),0))</f>
        <v>0</v>
      </c>
      <c r="N587" s="64" t="n">
        <f aca="false">IF($H587="",0,IFERROR(MATCH($H587,GradeList,0),0))</f>
        <v>0</v>
      </c>
      <c r="O587" s="64" t="n">
        <f aca="false">IF(OR($I587="",$I587="NR"),0,IFERROR(MATCH($I587,GradeList,0),0))</f>
        <v>0</v>
      </c>
      <c r="P587" s="64" t="n">
        <f aca="false">IF(AND($M587&gt;0,ISNUMBER(MATCH($F587,Lists!$A$2:$A$5,0)),ISNUMBER(MATCH($G587,Lists!$B$2:$B$7,0)),OR($H587="",$N587&gt;0),OR($I587="",$I587="NR",$O587&gt;0),IF(ISNUMBER($J587),AND($J587&gt;=0,$J587=INT($J587)),FALSE())),$J587,0)</f>
        <v>0</v>
      </c>
      <c r="Q587" s="64" t="n">
        <f aca="false">IF(AND($P587&gt;0,$O587&gt;0),$P587,0)</f>
        <v>0</v>
      </c>
      <c r="R587" s="64" t="n">
        <f aca="false">IF(AND($Q587&gt;0,$O587&gt;=AtRank),$Q587,0)</f>
        <v>0</v>
      </c>
      <c r="S587" s="64" t="n">
        <f aca="false">IF(AND($Q587&gt;0,$O587&gt;=AboveRank),$Q587,0)</f>
        <v>0</v>
      </c>
      <c r="T587" s="64" t="n">
        <f aca="false">IF($K587="Less",$P587,0)</f>
        <v>0</v>
      </c>
      <c r="U587" s="64" t="n">
        <f aca="false">IF($K587="Expected",$P587,0)</f>
        <v>0</v>
      </c>
      <c r="V587" s="64" t="n">
        <f aca="false">IF($K587="Better",$P587,0)</f>
        <v>0</v>
      </c>
      <c r="W587" s="64" t="n">
        <f aca="false">IF($K587="U – needs rule",$P587,0)</f>
        <v>0</v>
      </c>
      <c r="X587" s="64" t="n">
        <f aca="false">IF($K587="No Start (attainment only)",$P587,0)</f>
        <v>0</v>
      </c>
    </row>
    <row r="588" customFormat="false" ht="15" hidden="false" customHeight="false" outlineLevel="0" collapsed="false">
      <c r="A588" s="60"/>
      <c r="B588" s="61" t="str">
        <f aca="false">IF($M588=0,"",INDEX(Classes!$E$6:$E$420,$M588))</f>
        <v/>
      </c>
      <c r="C588" s="62" t="str">
        <f aca="false">IF($M588=0,"",INDEX(Classes!$H$6:$H$420,$M588))</f>
        <v/>
      </c>
      <c r="D588" s="61" t="str">
        <f aca="false">IF($M588=0,"",INDEX(Classes!$B$6:$B$420,$M588))</f>
        <v/>
      </c>
      <c r="E588" s="61" t="str">
        <f aca="false">IF($M588=0,"",INDEX(Classes!$C$6:$C$420,$M588))</f>
        <v/>
      </c>
      <c r="F588" s="63"/>
      <c r="G588" s="63"/>
      <c r="H588" s="60"/>
      <c r="I588" s="60"/>
      <c r="J588" s="63"/>
      <c r="K588" s="61" t="str">
        <f aca="false">IF($P588=0,"",IF($F588="Baseline","— Baseline",IF($O588=0,"No result",IF($N588=0,"No Start (attainment only)",IF(OR($N588=1,$O588=1),"U – needs rule",INDEX(MxBody,MATCH($I588,MxCurr,0),MATCH($H588,MxStart,0)))))))</f>
        <v/>
      </c>
      <c r="L588" s="62" t="str">
        <f aca="false">IF(COUNTA($A588,$F588,$G588,$H588,$I588,$J588)=0,"",IF($M588=0,"✖ كود الصف غير موجود",IF(ISNA(MATCH($F588,Lists!$A$2:$A$5,0)),"✖ الفترة غير صحيحة",IF(ISNA(MATCH($G588,Lists!$B$2:$B$7,0)),"✖ المجموعة غير صحيحة",IF(NOT(OR($H588="",$N588&gt;0)),"✖ Start غير صحيح",IF(NOT(OR($I588="",$I588="NR",$O588&gt;0)),"✖ Current غير صحيح",IF(NOT(IF(ISNUMBER($J588),AND($J588&gt;=0,$J588=INT($J588)),FALSE())),"✖ العدد يجب أن يكون صحيحًا ≥ 0",IF(AND($F588="Baseline",$H588&lt;&gt;""),"⚠ Baseline: Start لا يدخل في التقدم",IF($K588="No Start (attainment only)","ℹ تحصيل فقط (بدون Start)",IF($K588="U – needs rule","ℹ حالة U تحتاج قاعدة معتمدة",IF($K588="No result","ℹ بدون نتيجة (يُستبعد من التحصيل)","OK")))))))))))</f>
        <v/>
      </c>
      <c r="M588" s="64" t="n">
        <f aca="false">IF($A588="",0,IFERROR(MATCH($A588,Classes!$A$6:$A$420,0),0))</f>
        <v>0</v>
      </c>
      <c r="N588" s="64" t="n">
        <f aca="false">IF($H588="",0,IFERROR(MATCH($H588,GradeList,0),0))</f>
        <v>0</v>
      </c>
      <c r="O588" s="64" t="n">
        <f aca="false">IF(OR($I588="",$I588="NR"),0,IFERROR(MATCH($I588,GradeList,0),0))</f>
        <v>0</v>
      </c>
      <c r="P588" s="64" t="n">
        <f aca="false">IF(AND($M588&gt;0,ISNUMBER(MATCH($F588,Lists!$A$2:$A$5,0)),ISNUMBER(MATCH($G588,Lists!$B$2:$B$7,0)),OR($H588="",$N588&gt;0),OR($I588="",$I588="NR",$O588&gt;0),IF(ISNUMBER($J588),AND($J588&gt;=0,$J588=INT($J588)),FALSE())),$J588,0)</f>
        <v>0</v>
      </c>
      <c r="Q588" s="64" t="n">
        <f aca="false">IF(AND($P588&gt;0,$O588&gt;0),$P588,0)</f>
        <v>0</v>
      </c>
      <c r="R588" s="64" t="n">
        <f aca="false">IF(AND($Q588&gt;0,$O588&gt;=AtRank),$Q588,0)</f>
        <v>0</v>
      </c>
      <c r="S588" s="64" t="n">
        <f aca="false">IF(AND($Q588&gt;0,$O588&gt;=AboveRank),$Q588,0)</f>
        <v>0</v>
      </c>
      <c r="T588" s="64" t="n">
        <f aca="false">IF($K588="Less",$P588,0)</f>
        <v>0</v>
      </c>
      <c r="U588" s="64" t="n">
        <f aca="false">IF($K588="Expected",$P588,0)</f>
        <v>0</v>
      </c>
      <c r="V588" s="64" t="n">
        <f aca="false">IF($K588="Better",$P588,0)</f>
        <v>0</v>
      </c>
      <c r="W588" s="64" t="n">
        <f aca="false">IF($K588="U – needs rule",$P588,0)</f>
        <v>0</v>
      </c>
      <c r="X588" s="64" t="n">
        <f aca="false">IF($K588="No Start (attainment only)",$P588,0)</f>
        <v>0</v>
      </c>
    </row>
    <row r="589" customFormat="false" ht="15" hidden="false" customHeight="false" outlineLevel="0" collapsed="false">
      <c r="A589" s="60"/>
      <c r="B589" s="61" t="str">
        <f aca="false">IF($M589=0,"",INDEX(Classes!$E$6:$E$420,$M589))</f>
        <v/>
      </c>
      <c r="C589" s="62" t="str">
        <f aca="false">IF($M589=0,"",INDEX(Classes!$H$6:$H$420,$M589))</f>
        <v/>
      </c>
      <c r="D589" s="61" t="str">
        <f aca="false">IF($M589=0,"",INDEX(Classes!$B$6:$B$420,$M589))</f>
        <v/>
      </c>
      <c r="E589" s="61" t="str">
        <f aca="false">IF($M589=0,"",INDEX(Classes!$C$6:$C$420,$M589))</f>
        <v/>
      </c>
      <c r="F589" s="63"/>
      <c r="G589" s="63"/>
      <c r="H589" s="60"/>
      <c r="I589" s="60"/>
      <c r="J589" s="63"/>
      <c r="K589" s="61" t="str">
        <f aca="false">IF($P589=0,"",IF($F589="Baseline","— Baseline",IF($O589=0,"No result",IF($N589=0,"No Start (attainment only)",IF(OR($N589=1,$O589=1),"U – needs rule",INDEX(MxBody,MATCH($I589,MxCurr,0),MATCH($H589,MxStart,0)))))))</f>
        <v/>
      </c>
      <c r="L589" s="62" t="str">
        <f aca="false">IF(COUNTA($A589,$F589,$G589,$H589,$I589,$J589)=0,"",IF($M589=0,"✖ كود الصف غير موجود",IF(ISNA(MATCH($F589,Lists!$A$2:$A$5,0)),"✖ الفترة غير صحيحة",IF(ISNA(MATCH($G589,Lists!$B$2:$B$7,0)),"✖ المجموعة غير صحيحة",IF(NOT(OR($H589="",$N589&gt;0)),"✖ Start غير صحيح",IF(NOT(OR($I589="",$I589="NR",$O589&gt;0)),"✖ Current غير صحيح",IF(NOT(IF(ISNUMBER($J589),AND($J589&gt;=0,$J589=INT($J589)),FALSE())),"✖ العدد يجب أن يكون صحيحًا ≥ 0",IF(AND($F589="Baseline",$H589&lt;&gt;""),"⚠ Baseline: Start لا يدخل في التقدم",IF($K589="No Start (attainment only)","ℹ تحصيل فقط (بدون Start)",IF($K589="U – needs rule","ℹ حالة U تحتاج قاعدة معتمدة",IF($K589="No result","ℹ بدون نتيجة (يُستبعد من التحصيل)","OK")))))))))))</f>
        <v/>
      </c>
      <c r="M589" s="64" t="n">
        <f aca="false">IF($A589="",0,IFERROR(MATCH($A589,Classes!$A$6:$A$420,0),0))</f>
        <v>0</v>
      </c>
      <c r="N589" s="64" t="n">
        <f aca="false">IF($H589="",0,IFERROR(MATCH($H589,GradeList,0),0))</f>
        <v>0</v>
      </c>
      <c r="O589" s="64" t="n">
        <f aca="false">IF(OR($I589="",$I589="NR"),0,IFERROR(MATCH($I589,GradeList,0),0))</f>
        <v>0</v>
      </c>
      <c r="P589" s="64" t="n">
        <f aca="false">IF(AND($M589&gt;0,ISNUMBER(MATCH($F589,Lists!$A$2:$A$5,0)),ISNUMBER(MATCH($G589,Lists!$B$2:$B$7,0)),OR($H589="",$N589&gt;0),OR($I589="",$I589="NR",$O589&gt;0),IF(ISNUMBER($J589),AND($J589&gt;=0,$J589=INT($J589)),FALSE())),$J589,0)</f>
        <v>0</v>
      </c>
      <c r="Q589" s="64" t="n">
        <f aca="false">IF(AND($P589&gt;0,$O589&gt;0),$P589,0)</f>
        <v>0</v>
      </c>
      <c r="R589" s="64" t="n">
        <f aca="false">IF(AND($Q589&gt;0,$O589&gt;=AtRank),$Q589,0)</f>
        <v>0</v>
      </c>
      <c r="S589" s="64" t="n">
        <f aca="false">IF(AND($Q589&gt;0,$O589&gt;=AboveRank),$Q589,0)</f>
        <v>0</v>
      </c>
      <c r="T589" s="64" t="n">
        <f aca="false">IF($K589="Less",$P589,0)</f>
        <v>0</v>
      </c>
      <c r="U589" s="64" t="n">
        <f aca="false">IF($K589="Expected",$P589,0)</f>
        <v>0</v>
      </c>
      <c r="V589" s="64" t="n">
        <f aca="false">IF($K589="Better",$P589,0)</f>
        <v>0</v>
      </c>
      <c r="W589" s="64" t="n">
        <f aca="false">IF($K589="U – needs rule",$P589,0)</f>
        <v>0</v>
      </c>
      <c r="X589" s="64" t="n">
        <f aca="false">IF($K589="No Start (attainment only)",$P589,0)</f>
        <v>0</v>
      </c>
    </row>
    <row r="590" customFormat="false" ht="15" hidden="false" customHeight="false" outlineLevel="0" collapsed="false">
      <c r="A590" s="60"/>
      <c r="B590" s="61" t="str">
        <f aca="false">IF($M590=0,"",INDEX(Classes!$E$6:$E$420,$M590))</f>
        <v/>
      </c>
      <c r="C590" s="62" t="str">
        <f aca="false">IF($M590=0,"",INDEX(Classes!$H$6:$H$420,$M590))</f>
        <v/>
      </c>
      <c r="D590" s="61" t="str">
        <f aca="false">IF($M590=0,"",INDEX(Classes!$B$6:$B$420,$M590))</f>
        <v/>
      </c>
      <c r="E590" s="61" t="str">
        <f aca="false">IF($M590=0,"",INDEX(Classes!$C$6:$C$420,$M590))</f>
        <v/>
      </c>
      <c r="F590" s="63"/>
      <c r="G590" s="63"/>
      <c r="H590" s="60"/>
      <c r="I590" s="60"/>
      <c r="J590" s="63"/>
      <c r="K590" s="61" t="str">
        <f aca="false">IF($P590=0,"",IF($F590="Baseline","— Baseline",IF($O590=0,"No result",IF($N590=0,"No Start (attainment only)",IF(OR($N590=1,$O590=1),"U – needs rule",INDEX(MxBody,MATCH($I590,MxCurr,0),MATCH($H590,MxStart,0)))))))</f>
        <v/>
      </c>
      <c r="L590" s="62" t="str">
        <f aca="false">IF(COUNTA($A590,$F590,$G590,$H590,$I590,$J590)=0,"",IF($M590=0,"✖ كود الصف غير موجود",IF(ISNA(MATCH($F590,Lists!$A$2:$A$5,0)),"✖ الفترة غير صحيحة",IF(ISNA(MATCH($G590,Lists!$B$2:$B$7,0)),"✖ المجموعة غير صحيحة",IF(NOT(OR($H590="",$N590&gt;0)),"✖ Start غير صحيح",IF(NOT(OR($I590="",$I590="NR",$O590&gt;0)),"✖ Current غير صحيح",IF(NOT(IF(ISNUMBER($J590),AND($J590&gt;=0,$J590=INT($J590)),FALSE())),"✖ العدد يجب أن يكون صحيحًا ≥ 0",IF(AND($F590="Baseline",$H590&lt;&gt;""),"⚠ Baseline: Start لا يدخل في التقدم",IF($K590="No Start (attainment only)","ℹ تحصيل فقط (بدون Start)",IF($K590="U – needs rule","ℹ حالة U تحتاج قاعدة معتمدة",IF($K590="No result","ℹ بدون نتيجة (يُستبعد من التحصيل)","OK")))))))))))</f>
        <v/>
      </c>
      <c r="M590" s="64" t="n">
        <f aca="false">IF($A590="",0,IFERROR(MATCH($A590,Classes!$A$6:$A$420,0),0))</f>
        <v>0</v>
      </c>
      <c r="N590" s="64" t="n">
        <f aca="false">IF($H590="",0,IFERROR(MATCH($H590,GradeList,0),0))</f>
        <v>0</v>
      </c>
      <c r="O590" s="64" t="n">
        <f aca="false">IF(OR($I590="",$I590="NR"),0,IFERROR(MATCH($I590,GradeList,0),0))</f>
        <v>0</v>
      </c>
      <c r="P590" s="64" t="n">
        <f aca="false">IF(AND($M590&gt;0,ISNUMBER(MATCH($F590,Lists!$A$2:$A$5,0)),ISNUMBER(MATCH($G590,Lists!$B$2:$B$7,0)),OR($H590="",$N590&gt;0),OR($I590="",$I590="NR",$O590&gt;0),IF(ISNUMBER($J590),AND($J590&gt;=0,$J590=INT($J590)),FALSE())),$J590,0)</f>
        <v>0</v>
      </c>
      <c r="Q590" s="64" t="n">
        <f aca="false">IF(AND($P590&gt;0,$O590&gt;0),$P590,0)</f>
        <v>0</v>
      </c>
      <c r="R590" s="64" t="n">
        <f aca="false">IF(AND($Q590&gt;0,$O590&gt;=AtRank),$Q590,0)</f>
        <v>0</v>
      </c>
      <c r="S590" s="64" t="n">
        <f aca="false">IF(AND($Q590&gt;0,$O590&gt;=AboveRank),$Q590,0)</f>
        <v>0</v>
      </c>
      <c r="T590" s="64" t="n">
        <f aca="false">IF($K590="Less",$P590,0)</f>
        <v>0</v>
      </c>
      <c r="U590" s="64" t="n">
        <f aca="false">IF($K590="Expected",$P590,0)</f>
        <v>0</v>
      </c>
      <c r="V590" s="64" t="n">
        <f aca="false">IF($K590="Better",$P590,0)</f>
        <v>0</v>
      </c>
      <c r="W590" s="64" t="n">
        <f aca="false">IF($K590="U – needs rule",$P590,0)</f>
        <v>0</v>
      </c>
      <c r="X590" s="64" t="n">
        <f aca="false">IF($K590="No Start (attainment only)",$P590,0)</f>
        <v>0</v>
      </c>
    </row>
    <row r="591" customFormat="false" ht="15" hidden="false" customHeight="false" outlineLevel="0" collapsed="false">
      <c r="A591" s="60"/>
      <c r="B591" s="61" t="str">
        <f aca="false">IF($M591=0,"",INDEX(Classes!$E$6:$E$420,$M591))</f>
        <v/>
      </c>
      <c r="C591" s="62" t="str">
        <f aca="false">IF($M591=0,"",INDEX(Classes!$H$6:$H$420,$M591))</f>
        <v/>
      </c>
      <c r="D591" s="61" t="str">
        <f aca="false">IF($M591=0,"",INDEX(Classes!$B$6:$B$420,$M591))</f>
        <v/>
      </c>
      <c r="E591" s="61" t="str">
        <f aca="false">IF($M591=0,"",INDEX(Classes!$C$6:$C$420,$M591))</f>
        <v/>
      </c>
      <c r="F591" s="63"/>
      <c r="G591" s="63"/>
      <c r="H591" s="60"/>
      <c r="I591" s="60"/>
      <c r="J591" s="63"/>
      <c r="K591" s="61" t="str">
        <f aca="false">IF($P591=0,"",IF($F591="Baseline","— Baseline",IF($O591=0,"No result",IF($N591=0,"No Start (attainment only)",IF(OR($N591=1,$O591=1),"U – needs rule",INDEX(MxBody,MATCH($I591,MxCurr,0),MATCH($H591,MxStart,0)))))))</f>
        <v/>
      </c>
      <c r="L591" s="62" t="str">
        <f aca="false">IF(COUNTA($A591,$F591,$G591,$H591,$I591,$J591)=0,"",IF($M591=0,"✖ كود الصف غير موجود",IF(ISNA(MATCH($F591,Lists!$A$2:$A$5,0)),"✖ الفترة غير صحيحة",IF(ISNA(MATCH($G591,Lists!$B$2:$B$7,0)),"✖ المجموعة غير صحيحة",IF(NOT(OR($H591="",$N591&gt;0)),"✖ Start غير صحيح",IF(NOT(OR($I591="",$I591="NR",$O591&gt;0)),"✖ Current غير صحيح",IF(NOT(IF(ISNUMBER($J591),AND($J591&gt;=0,$J591=INT($J591)),FALSE())),"✖ العدد يجب أن يكون صحيحًا ≥ 0",IF(AND($F591="Baseline",$H591&lt;&gt;""),"⚠ Baseline: Start لا يدخل في التقدم",IF($K591="No Start (attainment only)","ℹ تحصيل فقط (بدون Start)",IF($K591="U – needs rule","ℹ حالة U تحتاج قاعدة معتمدة",IF($K591="No result","ℹ بدون نتيجة (يُستبعد من التحصيل)","OK")))))))))))</f>
        <v/>
      </c>
      <c r="M591" s="64" t="n">
        <f aca="false">IF($A591="",0,IFERROR(MATCH($A591,Classes!$A$6:$A$420,0),0))</f>
        <v>0</v>
      </c>
      <c r="N591" s="64" t="n">
        <f aca="false">IF($H591="",0,IFERROR(MATCH($H591,GradeList,0),0))</f>
        <v>0</v>
      </c>
      <c r="O591" s="64" t="n">
        <f aca="false">IF(OR($I591="",$I591="NR"),0,IFERROR(MATCH($I591,GradeList,0),0))</f>
        <v>0</v>
      </c>
      <c r="P591" s="64" t="n">
        <f aca="false">IF(AND($M591&gt;0,ISNUMBER(MATCH($F591,Lists!$A$2:$A$5,0)),ISNUMBER(MATCH($G591,Lists!$B$2:$B$7,0)),OR($H591="",$N591&gt;0),OR($I591="",$I591="NR",$O591&gt;0),IF(ISNUMBER($J591),AND($J591&gt;=0,$J591=INT($J591)),FALSE())),$J591,0)</f>
        <v>0</v>
      </c>
      <c r="Q591" s="64" t="n">
        <f aca="false">IF(AND($P591&gt;0,$O591&gt;0),$P591,0)</f>
        <v>0</v>
      </c>
      <c r="R591" s="64" t="n">
        <f aca="false">IF(AND($Q591&gt;0,$O591&gt;=AtRank),$Q591,0)</f>
        <v>0</v>
      </c>
      <c r="S591" s="64" t="n">
        <f aca="false">IF(AND($Q591&gt;0,$O591&gt;=AboveRank),$Q591,0)</f>
        <v>0</v>
      </c>
      <c r="T591" s="64" t="n">
        <f aca="false">IF($K591="Less",$P591,0)</f>
        <v>0</v>
      </c>
      <c r="U591" s="64" t="n">
        <f aca="false">IF($K591="Expected",$P591,0)</f>
        <v>0</v>
      </c>
      <c r="V591" s="64" t="n">
        <f aca="false">IF($K591="Better",$P591,0)</f>
        <v>0</v>
      </c>
      <c r="W591" s="64" t="n">
        <f aca="false">IF($K591="U – needs rule",$P591,0)</f>
        <v>0</v>
      </c>
      <c r="X591" s="64" t="n">
        <f aca="false">IF($K591="No Start (attainment only)",$P591,0)</f>
        <v>0</v>
      </c>
    </row>
    <row r="592" customFormat="false" ht="15" hidden="false" customHeight="false" outlineLevel="0" collapsed="false">
      <c r="A592" s="60"/>
      <c r="B592" s="61" t="str">
        <f aca="false">IF($M592=0,"",INDEX(Classes!$E$6:$E$420,$M592))</f>
        <v/>
      </c>
      <c r="C592" s="62" t="str">
        <f aca="false">IF($M592=0,"",INDEX(Classes!$H$6:$H$420,$M592))</f>
        <v/>
      </c>
      <c r="D592" s="61" t="str">
        <f aca="false">IF($M592=0,"",INDEX(Classes!$B$6:$B$420,$M592))</f>
        <v/>
      </c>
      <c r="E592" s="61" t="str">
        <f aca="false">IF($M592=0,"",INDEX(Classes!$C$6:$C$420,$M592))</f>
        <v/>
      </c>
      <c r="F592" s="63"/>
      <c r="G592" s="63"/>
      <c r="H592" s="60"/>
      <c r="I592" s="60"/>
      <c r="J592" s="63"/>
      <c r="K592" s="61" t="str">
        <f aca="false">IF($P592=0,"",IF($F592="Baseline","— Baseline",IF($O592=0,"No result",IF($N592=0,"No Start (attainment only)",IF(OR($N592=1,$O592=1),"U – needs rule",INDEX(MxBody,MATCH($I592,MxCurr,0),MATCH($H592,MxStart,0)))))))</f>
        <v/>
      </c>
      <c r="L592" s="62" t="str">
        <f aca="false">IF(COUNTA($A592,$F592,$G592,$H592,$I592,$J592)=0,"",IF($M592=0,"✖ كود الصف غير موجود",IF(ISNA(MATCH($F592,Lists!$A$2:$A$5,0)),"✖ الفترة غير صحيحة",IF(ISNA(MATCH($G592,Lists!$B$2:$B$7,0)),"✖ المجموعة غير صحيحة",IF(NOT(OR($H592="",$N592&gt;0)),"✖ Start غير صحيح",IF(NOT(OR($I592="",$I592="NR",$O592&gt;0)),"✖ Current غير صحيح",IF(NOT(IF(ISNUMBER($J592),AND($J592&gt;=0,$J592=INT($J592)),FALSE())),"✖ العدد يجب أن يكون صحيحًا ≥ 0",IF(AND($F592="Baseline",$H592&lt;&gt;""),"⚠ Baseline: Start لا يدخل في التقدم",IF($K592="No Start (attainment only)","ℹ تحصيل فقط (بدون Start)",IF($K592="U – needs rule","ℹ حالة U تحتاج قاعدة معتمدة",IF($K592="No result","ℹ بدون نتيجة (يُستبعد من التحصيل)","OK")))))))))))</f>
        <v/>
      </c>
      <c r="M592" s="64" t="n">
        <f aca="false">IF($A592="",0,IFERROR(MATCH($A592,Classes!$A$6:$A$420,0),0))</f>
        <v>0</v>
      </c>
      <c r="N592" s="64" t="n">
        <f aca="false">IF($H592="",0,IFERROR(MATCH($H592,GradeList,0),0))</f>
        <v>0</v>
      </c>
      <c r="O592" s="64" t="n">
        <f aca="false">IF(OR($I592="",$I592="NR"),0,IFERROR(MATCH($I592,GradeList,0),0))</f>
        <v>0</v>
      </c>
      <c r="P592" s="64" t="n">
        <f aca="false">IF(AND($M592&gt;0,ISNUMBER(MATCH($F592,Lists!$A$2:$A$5,0)),ISNUMBER(MATCH($G592,Lists!$B$2:$B$7,0)),OR($H592="",$N592&gt;0),OR($I592="",$I592="NR",$O592&gt;0),IF(ISNUMBER($J592),AND($J592&gt;=0,$J592=INT($J592)),FALSE())),$J592,0)</f>
        <v>0</v>
      </c>
      <c r="Q592" s="64" t="n">
        <f aca="false">IF(AND($P592&gt;0,$O592&gt;0),$P592,0)</f>
        <v>0</v>
      </c>
      <c r="R592" s="64" t="n">
        <f aca="false">IF(AND($Q592&gt;0,$O592&gt;=AtRank),$Q592,0)</f>
        <v>0</v>
      </c>
      <c r="S592" s="64" t="n">
        <f aca="false">IF(AND($Q592&gt;0,$O592&gt;=AboveRank),$Q592,0)</f>
        <v>0</v>
      </c>
      <c r="T592" s="64" t="n">
        <f aca="false">IF($K592="Less",$P592,0)</f>
        <v>0</v>
      </c>
      <c r="U592" s="64" t="n">
        <f aca="false">IF($K592="Expected",$P592,0)</f>
        <v>0</v>
      </c>
      <c r="V592" s="64" t="n">
        <f aca="false">IF($K592="Better",$P592,0)</f>
        <v>0</v>
      </c>
      <c r="W592" s="64" t="n">
        <f aca="false">IF($K592="U – needs rule",$P592,0)</f>
        <v>0</v>
      </c>
      <c r="X592" s="64" t="n">
        <f aca="false">IF($K592="No Start (attainment only)",$P592,0)</f>
        <v>0</v>
      </c>
    </row>
    <row r="593" customFormat="false" ht="15" hidden="false" customHeight="false" outlineLevel="0" collapsed="false">
      <c r="A593" s="60"/>
      <c r="B593" s="61" t="str">
        <f aca="false">IF($M593=0,"",INDEX(Classes!$E$6:$E$420,$M593))</f>
        <v/>
      </c>
      <c r="C593" s="62" t="str">
        <f aca="false">IF($M593=0,"",INDEX(Classes!$H$6:$H$420,$M593))</f>
        <v/>
      </c>
      <c r="D593" s="61" t="str">
        <f aca="false">IF($M593=0,"",INDEX(Classes!$B$6:$B$420,$M593))</f>
        <v/>
      </c>
      <c r="E593" s="61" t="str">
        <f aca="false">IF($M593=0,"",INDEX(Classes!$C$6:$C$420,$M593))</f>
        <v/>
      </c>
      <c r="F593" s="63"/>
      <c r="G593" s="63"/>
      <c r="H593" s="60"/>
      <c r="I593" s="60"/>
      <c r="J593" s="63"/>
      <c r="K593" s="61" t="str">
        <f aca="false">IF($P593=0,"",IF($F593="Baseline","— Baseline",IF($O593=0,"No result",IF($N593=0,"No Start (attainment only)",IF(OR($N593=1,$O593=1),"U – needs rule",INDEX(MxBody,MATCH($I593,MxCurr,0),MATCH($H593,MxStart,0)))))))</f>
        <v/>
      </c>
      <c r="L593" s="62" t="str">
        <f aca="false">IF(COUNTA($A593,$F593,$G593,$H593,$I593,$J593)=0,"",IF($M593=0,"✖ كود الصف غير موجود",IF(ISNA(MATCH($F593,Lists!$A$2:$A$5,0)),"✖ الفترة غير صحيحة",IF(ISNA(MATCH($G593,Lists!$B$2:$B$7,0)),"✖ المجموعة غير صحيحة",IF(NOT(OR($H593="",$N593&gt;0)),"✖ Start غير صحيح",IF(NOT(OR($I593="",$I593="NR",$O593&gt;0)),"✖ Current غير صحيح",IF(NOT(IF(ISNUMBER($J593),AND($J593&gt;=0,$J593=INT($J593)),FALSE())),"✖ العدد يجب أن يكون صحيحًا ≥ 0",IF(AND($F593="Baseline",$H593&lt;&gt;""),"⚠ Baseline: Start لا يدخل في التقدم",IF($K593="No Start (attainment only)","ℹ تحصيل فقط (بدون Start)",IF($K593="U – needs rule","ℹ حالة U تحتاج قاعدة معتمدة",IF($K593="No result","ℹ بدون نتيجة (يُستبعد من التحصيل)","OK")))))))))))</f>
        <v/>
      </c>
      <c r="M593" s="64" t="n">
        <f aca="false">IF($A593="",0,IFERROR(MATCH($A593,Classes!$A$6:$A$420,0),0))</f>
        <v>0</v>
      </c>
      <c r="N593" s="64" t="n">
        <f aca="false">IF($H593="",0,IFERROR(MATCH($H593,GradeList,0),0))</f>
        <v>0</v>
      </c>
      <c r="O593" s="64" t="n">
        <f aca="false">IF(OR($I593="",$I593="NR"),0,IFERROR(MATCH($I593,GradeList,0),0))</f>
        <v>0</v>
      </c>
      <c r="P593" s="64" t="n">
        <f aca="false">IF(AND($M593&gt;0,ISNUMBER(MATCH($F593,Lists!$A$2:$A$5,0)),ISNUMBER(MATCH($G593,Lists!$B$2:$B$7,0)),OR($H593="",$N593&gt;0),OR($I593="",$I593="NR",$O593&gt;0),IF(ISNUMBER($J593),AND($J593&gt;=0,$J593=INT($J593)),FALSE())),$J593,0)</f>
        <v>0</v>
      </c>
      <c r="Q593" s="64" t="n">
        <f aca="false">IF(AND($P593&gt;0,$O593&gt;0),$P593,0)</f>
        <v>0</v>
      </c>
      <c r="R593" s="64" t="n">
        <f aca="false">IF(AND($Q593&gt;0,$O593&gt;=AtRank),$Q593,0)</f>
        <v>0</v>
      </c>
      <c r="S593" s="64" t="n">
        <f aca="false">IF(AND($Q593&gt;0,$O593&gt;=AboveRank),$Q593,0)</f>
        <v>0</v>
      </c>
      <c r="T593" s="64" t="n">
        <f aca="false">IF($K593="Less",$P593,0)</f>
        <v>0</v>
      </c>
      <c r="U593" s="64" t="n">
        <f aca="false">IF($K593="Expected",$P593,0)</f>
        <v>0</v>
      </c>
      <c r="V593" s="64" t="n">
        <f aca="false">IF($K593="Better",$P593,0)</f>
        <v>0</v>
      </c>
      <c r="W593" s="64" t="n">
        <f aca="false">IF($K593="U – needs rule",$P593,0)</f>
        <v>0</v>
      </c>
      <c r="X593" s="64" t="n">
        <f aca="false">IF($K593="No Start (attainment only)",$P593,0)</f>
        <v>0</v>
      </c>
    </row>
    <row r="594" customFormat="false" ht="15" hidden="false" customHeight="false" outlineLevel="0" collapsed="false">
      <c r="A594" s="60"/>
      <c r="B594" s="61" t="str">
        <f aca="false">IF($M594=0,"",INDEX(Classes!$E$6:$E$420,$M594))</f>
        <v/>
      </c>
      <c r="C594" s="62" t="str">
        <f aca="false">IF($M594=0,"",INDEX(Classes!$H$6:$H$420,$M594))</f>
        <v/>
      </c>
      <c r="D594" s="61" t="str">
        <f aca="false">IF($M594=0,"",INDEX(Classes!$B$6:$B$420,$M594))</f>
        <v/>
      </c>
      <c r="E594" s="61" t="str">
        <f aca="false">IF($M594=0,"",INDEX(Classes!$C$6:$C$420,$M594))</f>
        <v/>
      </c>
      <c r="F594" s="63"/>
      <c r="G594" s="63"/>
      <c r="H594" s="60"/>
      <c r="I594" s="60"/>
      <c r="J594" s="63"/>
      <c r="K594" s="61" t="str">
        <f aca="false">IF($P594=0,"",IF($F594="Baseline","— Baseline",IF($O594=0,"No result",IF($N594=0,"No Start (attainment only)",IF(OR($N594=1,$O594=1),"U – needs rule",INDEX(MxBody,MATCH($I594,MxCurr,0),MATCH($H594,MxStart,0)))))))</f>
        <v/>
      </c>
      <c r="L594" s="62" t="str">
        <f aca="false">IF(COUNTA($A594,$F594,$G594,$H594,$I594,$J594)=0,"",IF($M594=0,"✖ كود الصف غير موجود",IF(ISNA(MATCH($F594,Lists!$A$2:$A$5,0)),"✖ الفترة غير صحيحة",IF(ISNA(MATCH($G594,Lists!$B$2:$B$7,0)),"✖ المجموعة غير صحيحة",IF(NOT(OR($H594="",$N594&gt;0)),"✖ Start غير صحيح",IF(NOT(OR($I594="",$I594="NR",$O594&gt;0)),"✖ Current غير صحيح",IF(NOT(IF(ISNUMBER($J594),AND($J594&gt;=0,$J594=INT($J594)),FALSE())),"✖ العدد يجب أن يكون صحيحًا ≥ 0",IF(AND($F594="Baseline",$H594&lt;&gt;""),"⚠ Baseline: Start لا يدخل في التقدم",IF($K594="No Start (attainment only)","ℹ تحصيل فقط (بدون Start)",IF($K594="U – needs rule","ℹ حالة U تحتاج قاعدة معتمدة",IF($K594="No result","ℹ بدون نتيجة (يُستبعد من التحصيل)","OK")))))))))))</f>
        <v/>
      </c>
      <c r="M594" s="64" t="n">
        <f aca="false">IF($A594="",0,IFERROR(MATCH($A594,Classes!$A$6:$A$420,0),0))</f>
        <v>0</v>
      </c>
      <c r="N594" s="64" t="n">
        <f aca="false">IF($H594="",0,IFERROR(MATCH($H594,GradeList,0),0))</f>
        <v>0</v>
      </c>
      <c r="O594" s="64" t="n">
        <f aca="false">IF(OR($I594="",$I594="NR"),0,IFERROR(MATCH($I594,GradeList,0),0))</f>
        <v>0</v>
      </c>
      <c r="P594" s="64" t="n">
        <f aca="false">IF(AND($M594&gt;0,ISNUMBER(MATCH($F594,Lists!$A$2:$A$5,0)),ISNUMBER(MATCH($G594,Lists!$B$2:$B$7,0)),OR($H594="",$N594&gt;0),OR($I594="",$I594="NR",$O594&gt;0),IF(ISNUMBER($J594),AND($J594&gt;=0,$J594=INT($J594)),FALSE())),$J594,0)</f>
        <v>0</v>
      </c>
      <c r="Q594" s="64" t="n">
        <f aca="false">IF(AND($P594&gt;0,$O594&gt;0),$P594,0)</f>
        <v>0</v>
      </c>
      <c r="R594" s="64" t="n">
        <f aca="false">IF(AND($Q594&gt;0,$O594&gt;=AtRank),$Q594,0)</f>
        <v>0</v>
      </c>
      <c r="S594" s="64" t="n">
        <f aca="false">IF(AND($Q594&gt;0,$O594&gt;=AboveRank),$Q594,0)</f>
        <v>0</v>
      </c>
      <c r="T594" s="64" t="n">
        <f aca="false">IF($K594="Less",$P594,0)</f>
        <v>0</v>
      </c>
      <c r="U594" s="64" t="n">
        <f aca="false">IF($K594="Expected",$P594,0)</f>
        <v>0</v>
      </c>
      <c r="V594" s="64" t="n">
        <f aca="false">IF($K594="Better",$P594,0)</f>
        <v>0</v>
      </c>
      <c r="W594" s="64" t="n">
        <f aca="false">IF($K594="U – needs rule",$P594,0)</f>
        <v>0</v>
      </c>
      <c r="X594" s="64" t="n">
        <f aca="false">IF($K594="No Start (attainment only)",$P594,0)</f>
        <v>0</v>
      </c>
    </row>
    <row r="595" customFormat="false" ht="15" hidden="false" customHeight="false" outlineLevel="0" collapsed="false">
      <c r="A595" s="60"/>
      <c r="B595" s="61" t="str">
        <f aca="false">IF($M595=0,"",INDEX(Classes!$E$6:$E$420,$M595))</f>
        <v/>
      </c>
      <c r="C595" s="62" t="str">
        <f aca="false">IF($M595=0,"",INDEX(Classes!$H$6:$H$420,$M595))</f>
        <v/>
      </c>
      <c r="D595" s="61" t="str">
        <f aca="false">IF($M595=0,"",INDEX(Classes!$B$6:$B$420,$M595))</f>
        <v/>
      </c>
      <c r="E595" s="61" t="str">
        <f aca="false">IF($M595=0,"",INDEX(Classes!$C$6:$C$420,$M595))</f>
        <v/>
      </c>
      <c r="F595" s="63"/>
      <c r="G595" s="63"/>
      <c r="H595" s="60"/>
      <c r="I595" s="60"/>
      <c r="J595" s="63"/>
      <c r="K595" s="61" t="str">
        <f aca="false">IF($P595=0,"",IF($F595="Baseline","— Baseline",IF($O595=0,"No result",IF($N595=0,"No Start (attainment only)",IF(OR($N595=1,$O595=1),"U – needs rule",INDEX(MxBody,MATCH($I595,MxCurr,0),MATCH($H595,MxStart,0)))))))</f>
        <v/>
      </c>
      <c r="L595" s="62" t="str">
        <f aca="false">IF(COUNTA($A595,$F595,$G595,$H595,$I595,$J595)=0,"",IF($M595=0,"✖ كود الصف غير موجود",IF(ISNA(MATCH($F595,Lists!$A$2:$A$5,0)),"✖ الفترة غير صحيحة",IF(ISNA(MATCH($G595,Lists!$B$2:$B$7,0)),"✖ المجموعة غير صحيحة",IF(NOT(OR($H595="",$N595&gt;0)),"✖ Start غير صحيح",IF(NOT(OR($I595="",$I595="NR",$O595&gt;0)),"✖ Current غير صحيح",IF(NOT(IF(ISNUMBER($J595),AND($J595&gt;=0,$J595=INT($J595)),FALSE())),"✖ العدد يجب أن يكون صحيحًا ≥ 0",IF(AND($F595="Baseline",$H595&lt;&gt;""),"⚠ Baseline: Start لا يدخل في التقدم",IF($K595="No Start (attainment only)","ℹ تحصيل فقط (بدون Start)",IF($K595="U – needs rule","ℹ حالة U تحتاج قاعدة معتمدة",IF($K595="No result","ℹ بدون نتيجة (يُستبعد من التحصيل)","OK")))))))))))</f>
        <v/>
      </c>
      <c r="M595" s="64" t="n">
        <f aca="false">IF($A595="",0,IFERROR(MATCH($A595,Classes!$A$6:$A$420,0),0))</f>
        <v>0</v>
      </c>
      <c r="N595" s="64" t="n">
        <f aca="false">IF($H595="",0,IFERROR(MATCH($H595,GradeList,0),0))</f>
        <v>0</v>
      </c>
      <c r="O595" s="64" t="n">
        <f aca="false">IF(OR($I595="",$I595="NR"),0,IFERROR(MATCH($I595,GradeList,0),0))</f>
        <v>0</v>
      </c>
      <c r="P595" s="64" t="n">
        <f aca="false">IF(AND($M595&gt;0,ISNUMBER(MATCH($F595,Lists!$A$2:$A$5,0)),ISNUMBER(MATCH($G595,Lists!$B$2:$B$7,0)),OR($H595="",$N595&gt;0),OR($I595="",$I595="NR",$O595&gt;0),IF(ISNUMBER($J595),AND($J595&gt;=0,$J595=INT($J595)),FALSE())),$J595,0)</f>
        <v>0</v>
      </c>
      <c r="Q595" s="64" t="n">
        <f aca="false">IF(AND($P595&gt;0,$O595&gt;0),$P595,0)</f>
        <v>0</v>
      </c>
      <c r="R595" s="64" t="n">
        <f aca="false">IF(AND($Q595&gt;0,$O595&gt;=AtRank),$Q595,0)</f>
        <v>0</v>
      </c>
      <c r="S595" s="64" t="n">
        <f aca="false">IF(AND($Q595&gt;0,$O595&gt;=AboveRank),$Q595,0)</f>
        <v>0</v>
      </c>
      <c r="T595" s="64" t="n">
        <f aca="false">IF($K595="Less",$P595,0)</f>
        <v>0</v>
      </c>
      <c r="U595" s="64" t="n">
        <f aca="false">IF($K595="Expected",$P595,0)</f>
        <v>0</v>
      </c>
      <c r="V595" s="64" t="n">
        <f aca="false">IF($K595="Better",$P595,0)</f>
        <v>0</v>
      </c>
      <c r="W595" s="64" t="n">
        <f aca="false">IF($K595="U – needs rule",$P595,0)</f>
        <v>0</v>
      </c>
      <c r="X595" s="64" t="n">
        <f aca="false">IF($K595="No Start (attainment only)",$P595,0)</f>
        <v>0</v>
      </c>
    </row>
    <row r="596" customFormat="false" ht="15" hidden="false" customHeight="false" outlineLevel="0" collapsed="false">
      <c r="A596" s="60"/>
      <c r="B596" s="61" t="str">
        <f aca="false">IF($M596=0,"",INDEX(Classes!$E$6:$E$420,$M596))</f>
        <v/>
      </c>
      <c r="C596" s="62" t="str">
        <f aca="false">IF($M596=0,"",INDEX(Classes!$H$6:$H$420,$M596))</f>
        <v/>
      </c>
      <c r="D596" s="61" t="str">
        <f aca="false">IF($M596=0,"",INDEX(Classes!$B$6:$B$420,$M596))</f>
        <v/>
      </c>
      <c r="E596" s="61" t="str">
        <f aca="false">IF($M596=0,"",INDEX(Classes!$C$6:$C$420,$M596))</f>
        <v/>
      </c>
      <c r="F596" s="63"/>
      <c r="G596" s="63"/>
      <c r="H596" s="60"/>
      <c r="I596" s="60"/>
      <c r="J596" s="63"/>
      <c r="K596" s="61" t="str">
        <f aca="false">IF($P596=0,"",IF($F596="Baseline","— Baseline",IF($O596=0,"No result",IF($N596=0,"No Start (attainment only)",IF(OR($N596=1,$O596=1),"U – needs rule",INDEX(MxBody,MATCH($I596,MxCurr,0),MATCH($H596,MxStart,0)))))))</f>
        <v/>
      </c>
      <c r="L596" s="62" t="str">
        <f aca="false">IF(COUNTA($A596,$F596,$G596,$H596,$I596,$J596)=0,"",IF($M596=0,"✖ كود الصف غير موجود",IF(ISNA(MATCH($F596,Lists!$A$2:$A$5,0)),"✖ الفترة غير صحيحة",IF(ISNA(MATCH($G596,Lists!$B$2:$B$7,0)),"✖ المجموعة غير صحيحة",IF(NOT(OR($H596="",$N596&gt;0)),"✖ Start غير صحيح",IF(NOT(OR($I596="",$I596="NR",$O596&gt;0)),"✖ Current غير صحيح",IF(NOT(IF(ISNUMBER($J596),AND($J596&gt;=0,$J596=INT($J596)),FALSE())),"✖ العدد يجب أن يكون صحيحًا ≥ 0",IF(AND($F596="Baseline",$H596&lt;&gt;""),"⚠ Baseline: Start لا يدخل في التقدم",IF($K596="No Start (attainment only)","ℹ تحصيل فقط (بدون Start)",IF($K596="U – needs rule","ℹ حالة U تحتاج قاعدة معتمدة",IF($K596="No result","ℹ بدون نتيجة (يُستبعد من التحصيل)","OK")))))))))))</f>
        <v/>
      </c>
      <c r="M596" s="64" t="n">
        <f aca="false">IF($A596="",0,IFERROR(MATCH($A596,Classes!$A$6:$A$420,0),0))</f>
        <v>0</v>
      </c>
      <c r="N596" s="64" t="n">
        <f aca="false">IF($H596="",0,IFERROR(MATCH($H596,GradeList,0),0))</f>
        <v>0</v>
      </c>
      <c r="O596" s="64" t="n">
        <f aca="false">IF(OR($I596="",$I596="NR"),0,IFERROR(MATCH($I596,GradeList,0),0))</f>
        <v>0</v>
      </c>
      <c r="P596" s="64" t="n">
        <f aca="false">IF(AND($M596&gt;0,ISNUMBER(MATCH($F596,Lists!$A$2:$A$5,0)),ISNUMBER(MATCH($G596,Lists!$B$2:$B$7,0)),OR($H596="",$N596&gt;0),OR($I596="",$I596="NR",$O596&gt;0),IF(ISNUMBER($J596),AND($J596&gt;=0,$J596=INT($J596)),FALSE())),$J596,0)</f>
        <v>0</v>
      </c>
      <c r="Q596" s="64" t="n">
        <f aca="false">IF(AND($P596&gt;0,$O596&gt;0),$P596,0)</f>
        <v>0</v>
      </c>
      <c r="R596" s="64" t="n">
        <f aca="false">IF(AND($Q596&gt;0,$O596&gt;=AtRank),$Q596,0)</f>
        <v>0</v>
      </c>
      <c r="S596" s="64" t="n">
        <f aca="false">IF(AND($Q596&gt;0,$O596&gt;=AboveRank),$Q596,0)</f>
        <v>0</v>
      </c>
      <c r="T596" s="64" t="n">
        <f aca="false">IF($K596="Less",$P596,0)</f>
        <v>0</v>
      </c>
      <c r="U596" s="64" t="n">
        <f aca="false">IF($K596="Expected",$P596,0)</f>
        <v>0</v>
      </c>
      <c r="V596" s="64" t="n">
        <f aca="false">IF($K596="Better",$P596,0)</f>
        <v>0</v>
      </c>
      <c r="W596" s="64" t="n">
        <f aca="false">IF($K596="U – needs rule",$P596,0)</f>
        <v>0</v>
      </c>
      <c r="X596" s="64" t="n">
        <f aca="false">IF($K596="No Start (attainment only)",$P596,0)</f>
        <v>0</v>
      </c>
    </row>
    <row r="597" customFormat="false" ht="15" hidden="false" customHeight="false" outlineLevel="0" collapsed="false">
      <c r="A597" s="60"/>
      <c r="B597" s="61" t="str">
        <f aca="false">IF($M597=0,"",INDEX(Classes!$E$6:$E$420,$M597))</f>
        <v/>
      </c>
      <c r="C597" s="62" t="str">
        <f aca="false">IF($M597=0,"",INDEX(Classes!$H$6:$H$420,$M597))</f>
        <v/>
      </c>
      <c r="D597" s="61" t="str">
        <f aca="false">IF($M597=0,"",INDEX(Classes!$B$6:$B$420,$M597))</f>
        <v/>
      </c>
      <c r="E597" s="61" t="str">
        <f aca="false">IF($M597=0,"",INDEX(Classes!$C$6:$C$420,$M597))</f>
        <v/>
      </c>
      <c r="F597" s="63"/>
      <c r="G597" s="63"/>
      <c r="H597" s="60"/>
      <c r="I597" s="60"/>
      <c r="J597" s="63"/>
      <c r="K597" s="61" t="str">
        <f aca="false">IF($P597=0,"",IF($F597="Baseline","— Baseline",IF($O597=0,"No result",IF($N597=0,"No Start (attainment only)",IF(OR($N597=1,$O597=1),"U – needs rule",INDEX(MxBody,MATCH($I597,MxCurr,0),MATCH($H597,MxStart,0)))))))</f>
        <v/>
      </c>
      <c r="L597" s="62" t="str">
        <f aca="false">IF(COUNTA($A597,$F597,$G597,$H597,$I597,$J597)=0,"",IF($M597=0,"✖ كود الصف غير موجود",IF(ISNA(MATCH($F597,Lists!$A$2:$A$5,0)),"✖ الفترة غير صحيحة",IF(ISNA(MATCH($G597,Lists!$B$2:$B$7,0)),"✖ المجموعة غير صحيحة",IF(NOT(OR($H597="",$N597&gt;0)),"✖ Start غير صحيح",IF(NOT(OR($I597="",$I597="NR",$O597&gt;0)),"✖ Current غير صحيح",IF(NOT(IF(ISNUMBER($J597),AND($J597&gt;=0,$J597=INT($J597)),FALSE())),"✖ العدد يجب أن يكون صحيحًا ≥ 0",IF(AND($F597="Baseline",$H597&lt;&gt;""),"⚠ Baseline: Start لا يدخل في التقدم",IF($K597="No Start (attainment only)","ℹ تحصيل فقط (بدون Start)",IF($K597="U – needs rule","ℹ حالة U تحتاج قاعدة معتمدة",IF($K597="No result","ℹ بدون نتيجة (يُستبعد من التحصيل)","OK")))))))))))</f>
        <v/>
      </c>
      <c r="M597" s="64" t="n">
        <f aca="false">IF($A597="",0,IFERROR(MATCH($A597,Classes!$A$6:$A$420,0),0))</f>
        <v>0</v>
      </c>
      <c r="N597" s="64" t="n">
        <f aca="false">IF($H597="",0,IFERROR(MATCH($H597,GradeList,0),0))</f>
        <v>0</v>
      </c>
      <c r="O597" s="64" t="n">
        <f aca="false">IF(OR($I597="",$I597="NR"),0,IFERROR(MATCH($I597,GradeList,0),0))</f>
        <v>0</v>
      </c>
      <c r="P597" s="64" t="n">
        <f aca="false">IF(AND($M597&gt;0,ISNUMBER(MATCH($F597,Lists!$A$2:$A$5,0)),ISNUMBER(MATCH($G597,Lists!$B$2:$B$7,0)),OR($H597="",$N597&gt;0),OR($I597="",$I597="NR",$O597&gt;0),IF(ISNUMBER($J597),AND($J597&gt;=0,$J597=INT($J597)),FALSE())),$J597,0)</f>
        <v>0</v>
      </c>
      <c r="Q597" s="64" t="n">
        <f aca="false">IF(AND($P597&gt;0,$O597&gt;0),$P597,0)</f>
        <v>0</v>
      </c>
      <c r="R597" s="64" t="n">
        <f aca="false">IF(AND($Q597&gt;0,$O597&gt;=AtRank),$Q597,0)</f>
        <v>0</v>
      </c>
      <c r="S597" s="64" t="n">
        <f aca="false">IF(AND($Q597&gt;0,$O597&gt;=AboveRank),$Q597,0)</f>
        <v>0</v>
      </c>
      <c r="T597" s="64" t="n">
        <f aca="false">IF($K597="Less",$P597,0)</f>
        <v>0</v>
      </c>
      <c r="U597" s="64" t="n">
        <f aca="false">IF($K597="Expected",$P597,0)</f>
        <v>0</v>
      </c>
      <c r="V597" s="64" t="n">
        <f aca="false">IF($K597="Better",$P597,0)</f>
        <v>0</v>
      </c>
      <c r="W597" s="64" t="n">
        <f aca="false">IF($K597="U – needs rule",$P597,0)</f>
        <v>0</v>
      </c>
      <c r="X597" s="64" t="n">
        <f aca="false">IF($K597="No Start (attainment only)",$P597,0)</f>
        <v>0</v>
      </c>
    </row>
    <row r="598" customFormat="false" ht="15" hidden="false" customHeight="false" outlineLevel="0" collapsed="false">
      <c r="A598" s="60"/>
      <c r="B598" s="61" t="str">
        <f aca="false">IF($M598=0,"",INDEX(Classes!$E$6:$E$420,$M598))</f>
        <v/>
      </c>
      <c r="C598" s="62" t="str">
        <f aca="false">IF($M598=0,"",INDEX(Classes!$H$6:$H$420,$M598))</f>
        <v/>
      </c>
      <c r="D598" s="61" t="str">
        <f aca="false">IF($M598=0,"",INDEX(Classes!$B$6:$B$420,$M598))</f>
        <v/>
      </c>
      <c r="E598" s="61" t="str">
        <f aca="false">IF($M598=0,"",INDEX(Classes!$C$6:$C$420,$M598))</f>
        <v/>
      </c>
      <c r="F598" s="63"/>
      <c r="G598" s="63"/>
      <c r="H598" s="60"/>
      <c r="I598" s="60"/>
      <c r="J598" s="63"/>
      <c r="K598" s="61" t="str">
        <f aca="false">IF($P598=0,"",IF($F598="Baseline","— Baseline",IF($O598=0,"No result",IF($N598=0,"No Start (attainment only)",IF(OR($N598=1,$O598=1),"U – needs rule",INDEX(MxBody,MATCH($I598,MxCurr,0),MATCH($H598,MxStart,0)))))))</f>
        <v/>
      </c>
      <c r="L598" s="62" t="str">
        <f aca="false">IF(COUNTA($A598,$F598,$G598,$H598,$I598,$J598)=0,"",IF($M598=0,"✖ كود الصف غير موجود",IF(ISNA(MATCH($F598,Lists!$A$2:$A$5,0)),"✖ الفترة غير صحيحة",IF(ISNA(MATCH($G598,Lists!$B$2:$B$7,0)),"✖ المجموعة غير صحيحة",IF(NOT(OR($H598="",$N598&gt;0)),"✖ Start غير صحيح",IF(NOT(OR($I598="",$I598="NR",$O598&gt;0)),"✖ Current غير صحيح",IF(NOT(IF(ISNUMBER($J598),AND($J598&gt;=0,$J598=INT($J598)),FALSE())),"✖ العدد يجب أن يكون صحيحًا ≥ 0",IF(AND($F598="Baseline",$H598&lt;&gt;""),"⚠ Baseline: Start لا يدخل في التقدم",IF($K598="No Start (attainment only)","ℹ تحصيل فقط (بدون Start)",IF($K598="U – needs rule","ℹ حالة U تحتاج قاعدة معتمدة",IF($K598="No result","ℹ بدون نتيجة (يُستبعد من التحصيل)","OK")))))))))))</f>
        <v/>
      </c>
      <c r="M598" s="64" t="n">
        <f aca="false">IF($A598="",0,IFERROR(MATCH($A598,Classes!$A$6:$A$420,0),0))</f>
        <v>0</v>
      </c>
      <c r="N598" s="64" t="n">
        <f aca="false">IF($H598="",0,IFERROR(MATCH($H598,GradeList,0),0))</f>
        <v>0</v>
      </c>
      <c r="O598" s="64" t="n">
        <f aca="false">IF(OR($I598="",$I598="NR"),0,IFERROR(MATCH($I598,GradeList,0),0))</f>
        <v>0</v>
      </c>
      <c r="P598" s="64" t="n">
        <f aca="false">IF(AND($M598&gt;0,ISNUMBER(MATCH($F598,Lists!$A$2:$A$5,0)),ISNUMBER(MATCH($G598,Lists!$B$2:$B$7,0)),OR($H598="",$N598&gt;0),OR($I598="",$I598="NR",$O598&gt;0),IF(ISNUMBER($J598),AND($J598&gt;=0,$J598=INT($J598)),FALSE())),$J598,0)</f>
        <v>0</v>
      </c>
      <c r="Q598" s="64" t="n">
        <f aca="false">IF(AND($P598&gt;0,$O598&gt;0),$P598,0)</f>
        <v>0</v>
      </c>
      <c r="R598" s="64" t="n">
        <f aca="false">IF(AND($Q598&gt;0,$O598&gt;=AtRank),$Q598,0)</f>
        <v>0</v>
      </c>
      <c r="S598" s="64" t="n">
        <f aca="false">IF(AND($Q598&gt;0,$O598&gt;=AboveRank),$Q598,0)</f>
        <v>0</v>
      </c>
      <c r="T598" s="64" t="n">
        <f aca="false">IF($K598="Less",$P598,0)</f>
        <v>0</v>
      </c>
      <c r="U598" s="64" t="n">
        <f aca="false">IF($K598="Expected",$P598,0)</f>
        <v>0</v>
      </c>
      <c r="V598" s="64" t="n">
        <f aca="false">IF($K598="Better",$P598,0)</f>
        <v>0</v>
      </c>
      <c r="W598" s="64" t="n">
        <f aca="false">IF($K598="U – needs rule",$P598,0)</f>
        <v>0</v>
      </c>
      <c r="X598" s="64" t="n">
        <f aca="false">IF($K598="No Start (attainment only)",$P598,0)</f>
        <v>0</v>
      </c>
    </row>
    <row r="599" customFormat="false" ht="15" hidden="false" customHeight="false" outlineLevel="0" collapsed="false">
      <c r="A599" s="60"/>
      <c r="B599" s="61" t="str">
        <f aca="false">IF($M599=0,"",INDEX(Classes!$E$6:$E$420,$M599))</f>
        <v/>
      </c>
      <c r="C599" s="62" t="str">
        <f aca="false">IF($M599=0,"",INDEX(Classes!$H$6:$H$420,$M599))</f>
        <v/>
      </c>
      <c r="D599" s="61" t="str">
        <f aca="false">IF($M599=0,"",INDEX(Classes!$B$6:$B$420,$M599))</f>
        <v/>
      </c>
      <c r="E599" s="61" t="str">
        <f aca="false">IF($M599=0,"",INDEX(Classes!$C$6:$C$420,$M599))</f>
        <v/>
      </c>
      <c r="F599" s="63"/>
      <c r="G599" s="63"/>
      <c r="H599" s="60"/>
      <c r="I599" s="60"/>
      <c r="J599" s="63"/>
      <c r="K599" s="61" t="str">
        <f aca="false">IF($P599=0,"",IF($F599="Baseline","— Baseline",IF($O599=0,"No result",IF($N599=0,"No Start (attainment only)",IF(OR($N599=1,$O599=1),"U – needs rule",INDEX(MxBody,MATCH($I599,MxCurr,0),MATCH($H599,MxStart,0)))))))</f>
        <v/>
      </c>
      <c r="L599" s="62" t="str">
        <f aca="false">IF(COUNTA($A599,$F599,$G599,$H599,$I599,$J599)=0,"",IF($M599=0,"✖ كود الصف غير موجود",IF(ISNA(MATCH($F599,Lists!$A$2:$A$5,0)),"✖ الفترة غير صحيحة",IF(ISNA(MATCH($G599,Lists!$B$2:$B$7,0)),"✖ المجموعة غير صحيحة",IF(NOT(OR($H599="",$N599&gt;0)),"✖ Start غير صحيح",IF(NOT(OR($I599="",$I599="NR",$O599&gt;0)),"✖ Current غير صحيح",IF(NOT(IF(ISNUMBER($J599),AND($J599&gt;=0,$J599=INT($J599)),FALSE())),"✖ العدد يجب أن يكون صحيحًا ≥ 0",IF(AND($F599="Baseline",$H599&lt;&gt;""),"⚠ Baseline: Start لا يدخل في التقدم",IF($K599="No Start (attainment only)","ℹ تحصيل فقط (بدون Start)",IF($K599="U – needs rule","ℹ حالة U تحتاج قاعدة معتمدة",IF($K599="No result","ℹ بدون نتيجة (يُستبعد من التحصيل)","OK")))))))))))</f>
        <v/>
      </c>
      <c r="M599" s="64" t="n">
        <f aca="false">IF($A599="",0,IFERROR(MATCH($A599,Classes!$A$6:$A$420,0),0))</f>
        <v>0</v>
      </c>
      <c r="N599" s="64" t="n">
        <f aca="false">IF($H599="",0,IFERROR(MATCH($H599,GradeList,0),0))</f>
        <v>0</v>
      </c>
      <c r="O599" s="64" t="n">
        <f aca="false">IF(OR($I599="",$I599="NR"),0,IFERROR(MATCH($I599,GradeList,0),0))</f>
        <v>0</v>
      </c>
      <c r="P599" s="64" t="n">
        <f aca="false">IF(AND($M599&gt;0,ISNUMBER(MATCH($F599,Lists!$A$2:$A$5,0)),ISNUMBER(MATCH($G599,Lists!$B$2:$B$7,0)),OR($H599="",$N599&gt;0),OR($I599="",$I599="NR",$O599&gt;0),IF(ISNUMBER($J599),AND($J599&gt;=0,$J599=INT($J599)),FALSE())),$J599,0)</f>
        <v>0</v>
      </c>
      <c r="Q599" s="64" t="n">
        <f aca="false">IF(AND($P599&gt;0,$O599&gt;0),$P599,0)</f>
        <v>0</v>
      </c>
      <c r="R599" s="64" t="n">
        <f aca="false">IF(AND($Q599&gt;0,$O599&gt;=AtRank),$Q599,0)</f>
        <v>0</v>
      </c>
      <c r="S599" s="64" t="n">
        <f aca="false">IF(AND($Q599&gt;0,$O599&gt;=AboveRank),$Q599,0)</f>
        <v>0</v>
      </c>
      <c r="T599" s="64" t="n">
        <f aca="false">IF($K599="Less",$P599,0)</f>
        <v>0</v>
      </c>
      <c r="U599" s="64" t="n">
        <f aca="false">IF($K599="Expected",$P599,0)</f>
        <v>0</v>
      </c>
      <c r="V599" s="64" t="n">
        <f aca="false">IF($K599="Better",$P599,0)</f>
        <v>0</v>
      </c>
      <c r="W599" s="64" t="n">
        <f aca="false">IF($K599="U – needs rule",$P599,0)</f>
        <v>0</v>
      </c>
      <c r="X599" s="64" t="n">
        <f aca="false">IF($K599="No Start (attainment only)",$P599,0)</f>
        <v>0</v>
      </c>
    </row>
    <row r="600" customFormat="false" ht="15" hidden="false" customHeight="false" outlineLevel="0" collapsed="false">
      <c r="A600" s="60"/>
      <c r="B600" s="61" t="str">
        <f aca="false">IF($M600=0,"",INDEX(Classes!$E$6:$E$420,$M600))</f>
        <v/>
      </c>
      <c r="C600" s="62" t="str">
        <f aca="false">IF($M600=0,"",INDEX(Classes!$H$6:$H$420,$M600))</f>
        <v/>
      </c>
      <c r="D600" s="61" t="str">
        <f aca="false">IF($M600=0,"",INDEX(Classes!$B$6:$B$420,$M600))</f>
        <v/>
      </c>
      <c r="E600" s="61" t="str">
        <f aca="false">IF($M600=0,"",INDEX(Classes!$C$6:$C$420,$M600))</f>
        <v/>
      </c>
      <c r="F600" s="63"/>
      <c r="G600" s="63"/>
      <c r="H600" s="60"/>
      <c r="I600" s="60"/>
      <c r="J600" s="63"/>
      <c r="K600" s="61" t="str">
        <f aca="false">IF($P600=0,"",IF($F600="Baseline","— Baseline",IF($O600=0,"No result",IF($N600=0,"No Start (attainment only)",IF(OR($N600=1,$O600=1),"U – needs rule",INDEX(MxBody,MATCH($I600,MxCurr,0),MATCH($H600,MxStart,0)))))))</f>
        <v/>
      </c>
      <c r="L600" s="62" t="str">
        <f aca="false">IF(COUNTA($A600,$F600,$G600,$H600,$I600,$J600)=0,"",IF($M600=0,"✖ كود الصف غير موجود",IF(ISNA(MATCH($F600,Lists!$A$2:$A$5,0)),"✖ الفترة غير صحيحة",IF(ISNA(MATCH($G600,Lists!$B$2:$B$7,0)),"✖ المجموعة غير صحيحة",IF(NOT(OR($H600="",$N600&gt;0)),"✖ Start غير صحيح",IF(NOT(OR($I600="",$I600="NR",$O600&gt;0)),"✖ Current غير صحيح",IF(NOT(IF(ISNUMBER($J600),AND($J600&gt;=0,$J600=INT($J600)),FALSE())),"✖ العدد يجب أن يكون صحيحًا ≥ 0",IF(AND($F600="Baseline",$H600&lt;&gt;""),"⚠ Baseline: Start لا يدخل في التقدم",IF($K600="No Start (attainment only)","ℹ تحصيل فقط (بدون Start)",IF($K600="U – needs rule","ℹ حالة U تحتاج قاعدة معتمدة",IF($K600="No result","ℹ بدون نتيجة (يُستبعد من التحصيل)","OK")))))))))))</f>
        <v/>
      </c>
      <c r="M600" s="64" t="n">
        <f aca="false">IF($A600="",0,IFERROR(MATCH($A600,Classes!$A$6:$A$420,0),0))</f>
        <v>0</v>
      </c>
      <c r="N600" s="64" t="n">
        <f aca="false">IF($H600="",0,IFERROR(MATCH($H600,GradeList,0),0))</f>
        <v>0</v>
      </c>
      <c r="O600" s="64" t="n">
        <f aca="false">IF(OR($I600="",$I600="NR"),0,IFERROR(MATCH($I600,GradeList,0),0))</f>
        <v>0</v>
      </c>
      <c r="P600" s="64" t="n">
        <f aca="false">IF(AND($M600&gt;0,ISNUMBER(MATCH($F600,Lists!$A$2:$A$5,0)),ISNUMBER(MATCH($G600,Lists!$B$2:$B$7,0)),OR($H600="",$N600&gt;0),OR($I600="",$I600="NR",$O600&gt;0),IF(ISNUMBER($J600),AND($J600&gt;=0,$J600=INT($J600)),FALSE())),$J600,0)</f>
        <v>0</v>
      </c>
      <c r="Q600" s="64" t="n">
        <f aca="false">IF(AND($P600&gt;0,$O600&gt;0),$P600,0)</f>
        <v>0</v>
      </c>
      <c r="R600" s="64" t="n">
        <f aca="false">IF(AND($Q600&gt;0,$O600&gt;=AtRank),$Q600,0)</f>
        <v>0</v>
      </c>
      <c r="S600" s="64" t="n">
        <f aca="false">IF(AND($Q600&gt;0,$O600&gt;=AboveRank),$Q600,0)</f>
        <v>0</v>
      </c>
      <c r="T600" s="64" t="n">
        <f aca="false">IF($K600="Less",$P600,0)</f>
        <v>0</v>
      </c>
      <c r="U600" s="64" t="n">
        <f aca="false">IF($K600="Expected",$P600,0)</f>
        <v>0</v>
      </c>
      <c r="V600" s="64" t="n">
        <f aca="false">IF($K600="Better",$P600,0)</f>
        <v>0</v>
      </c>
      <c r="W600" s="64" t="n">
        <f aca="false">IF($K600="U – needs rule",$P600,0)</f>
        <v>0</v>
      </c>
      <c r="X600" s="64" t="n">
        <f aca="false">IF($K600="No Start (attainment only)",$P600,0)</f>
        <v>0</v>
      </c>
    </row>
    <row r="601" customFormat="false" ht="15" hidden="false" customHeight="false" outlineLevel="0" collapsed="false">
      <c r="A601" s="60"/>
      <c r="B601" s="61" t="str">
        <f aca="false">IF($M601=0,"",INDEX(Classes!$E$6:$E$420,$M601))</f>
        <v/>
      </c>
      <c r="C601" s="62" t="str">
        <f aca="false">IF($M601=0,"",INDEX(Classes!$H$6:$H$420,$M601))</f>
        <v/>
      </c>
      <c r="D601" s="61" t="str">
        <f aca="false">IF($M601=0,"",INDEX(Classes!$B$6:$B$420,$M601))</f>
        <v/>
      </c>
      <c r="E601" s="61" t="str">
        <f aca="false">IF($M601=0,"",INDEX(Classes!$C$6:$C$420,$M601))</f>
        <v/>
      </c>
      <c r="F601" s="63"/>
      <c r="G601" s="63"/>
      <c r="H601" s="60"/>
      <c r="I601" s="60"/>
      <c r="J601" s="63"/>
      <c r="K601" s="61" t="str">
        <f aca="false">IF($P601=0,"",IF($F601="Baseline","— Baseline",IF($O601=0,"No result",IF($N601=0,"No Start (attainment only)",IF(OR($N601=1,$O601=1),"U – needs rule",INDEX(MxBody,MATCH($I601,MxCurr,0),MATCH($H601,MxStart,0)))))))</f>
        <v/>
      </c>
      <c r="L601" s="62" t="str">
        <f aca="false">IF(COUNTA($A601,$F601,$G601,$H601,$I601,$J601)=0,"",IF($M601=0,"✖ كود الصف غير موجود",IF(ISNA(MATCH($F601,Lists!$A$2:$A$5,0)),"✖ الفترة غير صحيحة",IF(ISNA(MATCH($G601,Lists!$B$2:$B$7,0)),"✖ المجموعة غير صحيحة",IF(NOT(OR($H601="",$N601&gt;0)),"✖ Start غير صحيح",IF(NOT(OR($I601="",$I601="NR",$O601&gt;0)),"✖ Current غير صحيح",IF(NOT(IF(ISNUMBER($J601),AND($J601&gt;=0,$J601=INT($J601)),FALSE())),"✖ العدد يجب أن يكون صحيحًا ≥ 0",IF(AND($F601="Baseline",$H601&lt;&gt;""),"⚠ Baseline: Start لا يدخل في التقدم",IF($K601="No Start (attainment only)","ℹ تحصيل فقط (بدون Start)",IF($K601="U – needs rule","ℹ حالة U تحتاج قاعدة معتمدة",IF($K601="No result","ℹ بدون نتيجة (يُستبعد من التحصيل)","OK")))))))))))</f>
        <v/>
      </c>
      <c r="M601" s="64" t="n">
        <f aca="false">IF($A601="",0,IFERROR(MATCH($A601,Classes!$A$6:$A$420,0),0))</f>
        <v>0</v>
      </c>
      <c r="N601" s="64" t="n">
        <f aca="false">IF($H601="",0,IFERROR(MATCH($H601,GradeList,0),0))</f>
        <v>0</v>
      </c>
      <c r="O601" s="64" t="n">
        <f aca="false">IF(OR($I601="",$I601="NR"),0,IFERROR(MATCH($I601,GradeList,0),0))</f>
        <v>0</v>
      </c>
      <c r="P601" s="64" t="n">
        <f aca="false">IF(AND($M601&gt;0,ISNUMBER(MATCH($F601,Lists!$A$2:$A$5,0)),ISNUMBER(MATCH($G601,Lists!$B$2:$B$7,0)),OR($H601="",$N601&gt;0),OR($I601="",$I601="NR",$O601&gt;0),IF(ISNUMBER($J601),AND($J601&gt;=0,$J601=INT($J601)),FALSE())),$J601,0)</f>
        <v>0</v>
      </c>
      <c r="Q601" s="64" t="n">
        <f aca="false">IF(AND($P601&gt;0,$O601&gt;0),$P601,0)</f>
        <v>0</v>
      </c>
      <c r="R601" s="64" t="n">
        <f aca="false">IF(AND($Q601&gt;0,$O601&gt;=AtRank),$Q601,0)</f>
        <v>0</v>
      </c>
      <c r="S601" s="64" t="n">
        <f aca="false">IF(AND($Q601&gt;0,$O601&gt;=AboveRank),$Q601,0)</f>
        <v>0</v>
      </c>
      <c r="T601" s="64" t="n">
        <f aca="false">IF($K601="Less",$P601,0)</f>
        <v>0</v>
      </c>
      <c r="U601" s="64" t="n">
        <f aca="false">IF($K601="Expected",$P601,0)</f>
        <v>0</v>
      </c>
      <c r="V601" s="64" t="n">
        <f aca="false">IF($K601="Better",$P601,0)</f>
        <v>0</v>
      </c>
      <c r="W601" s="64" t="n">
        <f aca="false">IF($K601="U – needs rule",$P601,0)</f>
        <v>0</v>
      </c>
      <c r="X601" s="64" t="n">
        <f aca="false">IF($K601="No Start (attainment only)",$P601,0)</f>
        <v>0</v>
      </c>
    </row>
    <row r="602" customFormat="false" ht="15" hidden="false" customHeight="false" outlineLevel="0" collapsed="false">
      <c r="A602" s="60"/>
      <c r="B602" s="61" t="str">
        <f aca="false">IF($M602=0,"",INDEX(Classes!$E$6:$E$420,$M602))</f>
        <v/>
      </c>
      <c r="C602" s="62" t="str">
        <f aca="false">IF($M602=0,"",INDEX(Classes!$H$6:$H$420,$M602))</f>
        <v/>
      </c>
      <c r="D602" s="61" t="str">
        <f aca="false">IF($M602=0,"",INDEX(Classes!$B$6:$B$420,$M602))</f>
        <v/>
      </c>
      <c r="E602" s="61" t="str">
        <f aca="false">IF($M602=0,"",INDEX(Classes!$C$6:$C$420,$M602))</f>
        <v/>
      </c>
      <c r="F602" s="63"/>
      <c r="G602" s="63"/>
      <c r="H602" s="60"/>
      <c r="I602" s="60"/>
      <c r="J602" s="63"/>
      <c r="K602" s="61" t="str">
        <f aca="false">IF($P602=0,"",IF($F602="Baseline","— Baseline",IF($O602=0,"No result",IF($N602=0,"No Start (attainment only)",IF(OR($N602=1,$O602=1),"U – needs rule",INDEX(MxBody,MATCH($I602,MxCurr,0),MATCH($H602,MxStart,0)))))))</f>
        <v/>
      </c>
      <c r="L602" s="62" t="str">
        <f aca="false">IF(COUNTA($A602,$F602,$G602,$H602,$I602,$J602)=0,"",IF($M602=0,"✖ كود الصف غير موجود",IF(ISNA(MATCH($F602,Lists!$A$2:$A$5,0)),"✖ الفترة غير صحيحة",IF(ISNA(MATCH($G602,Lists!$B$2:$B$7,0)),"✖ المجموعة غير صحيحة",IF(NOT(OR($H602="",$N602&gt;0)),"✖ Start غير صحيح",IF(NOT(OR($I602="",$I602="NR",$O602&gt;0)),"✖ Current غير صحيح",IF(NOT(IF(ISNUMBER($J602),AND($J602&gt;=0,$J602=INT($J602)),FALSE())),"✖ العدد يجب أن يكون صحيحًا ≥ 0",IF(AND($F602="Baseline",$H602&lt;&gt;""),"⚠ Baseline: Start لا يدخل في التقدم",IF($K602="No Start (attainment only)","ℹ تحصيل فقط (بدون Start)",IF($K602="U – needs rule","ℹ حالة U تحتاج قاعدة معتمدة",IF($K602="No result","ℹ بدون نتيجة (يُستبعد من التحصيل)","OK")))))))))))</f>
        <v/>
      </c>
      <c r="M602" s="64" t="n">
        <f aca="false">IF($A602="",0,IFERROR(MATCH($A602,Classes!$A$6:$A$420,0),0))</f>
        <v>0</v>
      </c>
      <c r="N602" s="64" t="n">
        <f aca="false">IF($H602="",0,IFERROR(MATCH($H602,GradeList,0),0))</f>
        <v>0</v>
      </c>
      <c r="O602" s="64" t="n">
        <f aca="false">IF(OR($I602="",$I602="NR"),0,IFERROR(MATCH($I602,GradeList,0),0))</f>
        <v>0</v>
      </c>
      <c r="P602" s="64" t="n">
        <f aca="false">IF(AND($M602&gt;0,ISNUMBER(MATCH($F602,Lists!$A$2:$A$5,0)),ISNUMBER(MATCH($G602,Lists!$B$2:$B$7,0)),OR($H602="",$N602&gt;0),OR($I602="",$I602="NR",$O602&gt;0),IF(ISNUMBER($J602),AND($J602&gt;=0,$J602=INT($J602)),FALSE())),$J602,0)</f>
        <v>0</v>
      </c>
      <c r="Q602" s="64" t="n">
        <f aca="false">IF(AND($P602&gt;0,$O602&gt;0),$P602,0)</f>
        <v>0</v>
      </c>
      <c r="R602" s="64" t="n">
        <f aca="false">IF(AND($Q602&gt;0,$O602&gt;=AtRank),$Q602,0)</f>
        <v>0</v>
      </c>
      <c r="S602" s="64" t="n">
        <f aca="false">IF(AND($Q602&gt;0,$O602&gt;=AboveRank),$Q602,0)</f>
        <v>0</v>
      </c>
      <c r="T602" s="64" t="n">
        <f aca="false">IF($K602="Less",$P602,0)</f>
        <v>0</v>
      </c>
      <c r="U602" s="64" t="n">
        <f aca="false">IF($K602="Expected",$P602,0)</f>
        <v>0</v>
      </c>
      <c r="V602" s="64" t="n">
        <f aca="false">IF($K602="Better",$P602,0)</f>
        <v>0</v>
      </c>
      <c r="W602" s="64" t="n">
        <f aca="false">IF($K602="U – needs rule",$P602,0)</f>
        <v>0</v>
      </c>
      <c r="X602" s="64" t="n">
        <f aca="false">IF($K602="No Start (attainment only)",$P602,0)</f>
        <v>0</v>
      </c>
    </row>
    <row r="603" customFormat="false" ht="15" hidden="false" customHeight="false" outlineLevel="0" collapsed="false">
      <c r="A603" s="60"/>
      <c r="B603" s="61" t="str">
        <f aca="false">IF($M603=0,"",INDEX(Classes!$E$6:$E$420,$M603))</f>
        <v/>
      </c>
      <c r="C603" s="62" t="str">
        <f aca="false">IF($M603=0,"",INDEX(Classes!$H$6:$H$420,$M603))</f>
        <v/>
      </c>
      <c r="D603" s="61" t="str">
        <f aca="false">IF($M603=0,"",INDEX(Classes!$B$6:$B$420,$M603))</f>
        <v/>
      </c>
      <c r="E603" s="61" t="str">
        <f aca="false">IF($M603=0,"",INDEX(Classes!$C$6:$C$420,$M603))</f>
        <v/>
      </c>
      <c r="F603" s="63"/>
      <c r="G603" s="63"/>
      <c r="H603" s="60"/>
      <c r="I603" s="60"/>
      <c r="J603" s="63"/>
      <c r="K603" s="61" t="str">
        <f aca="false">IF($P603=0,"",IF($F603="Baseline","— Baseline",IF($O603=0,"No result",IF($N603=0,"No Start (attainment only)",IF(OR($N603=1,$O603=1),"U – needs rule",INDEX(MxBody,MATCH($I603,MxCurr,0),MATCH($H603,MxStart,0)))))))</f>
        <v/>
      </c>
      <c r="L603" s="62" t="str">
        <f aca="false">IF(COUNTA($A603,$F603,$G603,$H603,$I603,$J603)=0,"",IF($M603=0,"✖ كود الصف غير موجود",IF(ISNA(MATCH($F603,Lists!$A$2:$A$5,0)),"✖ الفترة غير صحيحة",IF(ISNA(MATCH($G603,Lists!$B$2:$B$7,0)),"✖ المجموعة غير صحيحة",IF(NOT(OR($H603="",$N603&gt;0)),"✖ Start غير صحيح",IF(NOT(OR($I603="",$I603="NR",$O603&gt;0)),"✖ Current غير صحيح",IF(NOT(IF(ISNUMBER($J603),AND($J603&gt;=0,$J603=INT($J603)),FALSE())),"✖ العدد يجب أن يكون صحيحًا ≥ 0",IF(AND($F603="Baseline",$H603&lt;&gt;""),"⚠ Baseline: Start لا يدخل في التقدم",IF($K603="No Start (attainment only)","ℹ تحصيل فقط (بدون Start)",IF($K603="U – needs rule","ℹ حالة U تحتاج قاعدة معتمدة",IF($K603="No result","ℹ بدون نتيجة (يُستبعد من التحصيل)","OK")))))))))))</f>
        <v/>
      </c>
      <c r="M603" s="64" t="n">
        <f aca="false">IF($A603="",0,IFERROR(MATCH($A603,Classes!$A$6:$A$420,0),0))</f>
        <v>0</v>
      </c>
      <c r="N603" s="64" t="n">
        <f aca="false">IF($H603="",0,IFERROR(MATCH($H603,GradeList,0),0))</f>
        <v>0</v>
      </c>
      <c r="O603" s="64" t="n">
        <f aca="false">IF(OR($I603="",$I603="NR"),0,IFERROR(MATCH($I603,GradeList,0),0))</f>
        <v>0</v>
      </c>
      <c r="P603" s="64" t="n">
        <f aca="false">IF(AND($M603&gt;0,ISNUMBER(MATCH($F603,Lists!$A$2:$A$5,0)),ISNUMBER(MATCH($G603,Lists!$B$2:$B$7,0)),OR($H603="",$N603&gt;0),OR($I603="",$I603="NR",$O603&gt;0),IF(ISNUMBER($J603),AND($J603&gt;=0,$J603=INT($J603)),FALSE())),$J603,0)</f>
        <v>0</v>
      </c>
      <c r="Q603" s="64" t="n">
        <f aca="false">IF(AND($P603&gt;0,$O603&gt;0),$P603,0)</f>
        <v>0</v>
      </c>
      <c r="R603" s="64" t="n">
        <f aca="false">IF(AND($Q603&gt;0,$O603&gt;=AtRank),$Q603,0)</f>
        <v>0</v>
      </c>
      <c r="S603" s="64" t="n">
        <f aca="false">IF(AND($Q603&gt;0,$O603&gt;=AboveRank),$Q603,0)</f>
        <v>0</v>
      </c>
      <c r="T603" s="64" t="n">
        <f aca="false">IF($K603="Less",$P603,0)</f>
        <v>0</v>
      </c>
      <c r="U603" s="64" t="n">
        <f aca="false">IF($K603="Expected",$P603,0)</f>
        <v>0</v>
      </c>
      <c r="V603" s="64" t="n">
        <f aca="false">IF($K603="Better",$P603,0)</f>
        <v>0</v>
      </c>
      <c r="W603" s="64" t="n">
        <f aca="false">IF($K603="U – needs rule",$P603,0)</f>
        <v>0</v>
      </c>
      <c r="X603" s="64" t="n">
        <f aca="false">IF($K603="No Start (attainment only)",$P603,0)</f>
        <v>0</v>
      </c>
    </row>
    <row r="604" customFormat="false" ht="15" hidden="false" customHeight="false" outlineLevel="0" collapsed="false">
      <c r="A604" s="60"/>
      <c r="B604" s="61" t="str">
        <f aca="false">IF($M604=0,"",INDEX(Classes!$E$6:$E$420,$M604))</f>
        <v/>
      </c>
      <c r="C604" s="62" t="str">
        <f aca="false">IF($M604=0,"",INDEX(Classes!$H$6:$H$420,$M604))</f>
        <v/>
      </c>
      <c r="D604" s="61" t="str">
        <f aca="false">IF($M604=0,"",INDEX(Classes!$B$6:$B$420,$M604))</f>
        <v/>
      </c>
      <c r="E604" s="61" t="str">
        <f aca="false">IF($M604=0,"",INDEX(Classes!$C$6:$C$420,$M604))</f>
        <v/>
      </c>
      <c r="F604" s="63"/>
      <c r="G604" s="63"/>
      <c r="H604" s="60"/>
      <c r="I604" s="60"/>
      <c r="J604" s="63"/>
      <c r="K604" s="61" t="str">
        <f aca="false">IF($P604=0,"",IF($F604="Baseline","— Baseline",IF($O604=0,"No result",IF($N604=0,"No Start (attainment only)",IF(OR($N604=1,$O604=1),"U – needs rule",INDEX(MxBody,MATCH($I604,MxCurr,0),MATCH($H604,MxStart,0)))))))</f>
        <v/>
      </c>
      <c r="L604" s="62" t="str">
        <f aca="false">IF(COUNTA($A604,$F604,$G604,$H604,$I604,$J604)=0,"",IF($M604=0,"✖ كود الصف غير موجود",IF(ISNA(MATCH($F604,Lists!$A$2:$A$5,0)),"✖ الفترة غير صحيحة",IF(ISNA(MATCH($G604,Lists!$B$2:$B$7,0)),"✖ المجموعة غير صحيحة",IF(NOT(OR($H604="",$N604&gt;0)),"✖ Start غير صحيح",IF(NOT(OR($I604="",$I604="NR",$O604&gt;0)),"✖ Current غير صحيح",IF(NOT(IF(ISNUMBER($J604),AND($J604&gt;=0,$J604=INT($J604)),FALSE())),"✖ العدد يجب أن يكون صحيحًا ≥ 0",IF(AND($F604="Baseline",$H604&lt;&gt;""),"⚠ Baseline: Start لا يدخل في التقدم",IF($K604="No Start (attainment only)","ℹ تحصيل فقط (بدون Start)",IF($K604="U – needs rule","ℹ حالة U تحتاج قاعدة معتمدة",IF($K604="No result","ℹ بدون نتيجة (يُستبعد من التحصيل)","OK")))))))))))</f>
        <v/>
      </c>
      <c r="M604" s="64" t="n">
        <f aca="false">IF($A604="",0,IFERROR(MATCH($A604,Classes!$A$6:$A$420,0),0))</f>
        <v>0</v>
      </c>
      <c r="N604" s="64" t="n">
        <f aca="false">IF($H604="",0,IFERROR(MATCH($H604,GradeList,0),0))</f>
        <v>0</v>
      </c>
      <c r="O604" s="64" t="n">
        <f aca="false">IF(OR($I604="",$I604="NR"),0,IFERROR(MATCH($I604,GradeList,0),0))</f>
        <v>0</v>
      </c>
      <c r="P604" s="64" t="n">
        <f aca="false">IF(AND($M604&gt;0,ISNUMBER(MATCH($F604,Lists!$A$2:$A$5,0)),ISNUMBER(MATCH($G604,Lists!$B$2:$B$7,0)),OR($H604="",$N604&gt;0),OR($I604="",$I604="NR",$O604&gt;0),IF(ISNUMBER($J604),AND($J604&gt;=0,$J604=INT($J604)),FALSE())),$J604,0)</f>
        <v>0</v>
      </c>
      <c r="Q604" s="64" t="n">
        <f aca="false">IF(AND($P604&gt;0,$O604&gt;0),$P604,0)</f>
        <v>0</v>
      </c>
      <c r="R604" s="64" t="n">
        <f aca="false">IF(AND($Q604&gt;0,$O604&gt;=AtRank),$Q604,0)</f>
        <v>0</v>
      </c>
      <c r="S604" s="64" t="n">
        <f aca="false">IF(AND($Q604&gt;0,$O604&gt;=AboveRank),$Q604,0)</f>
        <v>0</v>
      </c>
      <c r="T604" s="64" t="n">
        <f aca="false">IF($K604="Less",$P604,0)</f>
        <v>0</v>
      </c>
      <c r="U604" s="64" t="n">
        <f aca="false">IF($K604="Expected",$P604,0)</f>
        <v>0</v>
      </c>
      <c r="V604" s="64" t="n">
        <f aca="false">IF($K604="Better",$P604,0)</f>
        <v>0</v>
      </c>
      <c r="W604" s="64" t="n">
        <f aca="false">IF($K604="U – needs rule",$P604,0)</f>
        <v>0</v>
      </c>
      <c r="X604" s="64" t="n">
        <f aca="false">IF($K604="No Start (attainment only)",$P604,0)</f>
        <v>0</v>
      </c>
    </row>
    <row r="605" customFormat="false" ht="15" hidden="false" customHeight="false" outlineLevel="0" collapsed="false">
      <c r="A605" s="60"/>
      <c r="B605" s="61" t="str">
        <f aca="false">IF($M605=0,"",INDEX(Classes!$E$6:$E$420,$M605))</f>
        <v/>
      </c>
      <c r="C605" s="62" t="str">
        <f aca="false">IF($M605=0,"",INDEX(Classes!$H$6:$H$420,$M605))</f>
        <v/>
      </c>
      <c r="D605" s="61" t="str">
        <f aca="false">IF($M605=0,"",INDEX(Classes!$B$6:$B$420,$M605))</f>
        <v/>
      </c>
      <c r="E605" s="61" t="str">
        <f aca="false">IF($M605=0,"",INDEX(Classes!$C$6:$C$420,$M605))</f>
        <v/>
      </c>
      <c r="F605" s="63"/>
      <c r="G605" s="63"/>
      <c r="H605" s="60"/>
      <c r="I605" s="60"/>
      <c r="J605" s="63"/>
      <c r="K605" s="61" t="str">
        <f aca="false">IF($P605=0,"",IF($F605="Baseline","— Baseline",IF($O605=0,"No result",IF($N605=0,"No Start (attainment only)",IF(OR($N605=1,$O605=1),"U – needs rule",INDEX(MxBody,MATCH($I605,MxCurr,0),MATCH($H605,MxStart,0)))))))</f>
        <v/>
      </c>
      <c r="L605" s="62" t="str">
        <f aca="false">IF(COUNTA($A605,$F605,$G605,$H605,$I605,$J605)=0,"",IF($M605=0,"✖ كود الصف غير موجود",IF(ISNA(MATCH($F605,Lists!$A$2:$A$5,0)),"✖ الفترة غير صحيحة",IF(ISNA(MATCH($G605,Lists!$B$2:$B$7,0)),"✖ المجموعة غير صحيحة",IF(NOT(OR($H605="",$N605&gt;0)),"✖ Start غير صحيح",IF(NOT(OR($I605="",$I605="NR",$O605&gt;0)),"✖ Current غير صحيح",IF(NOT(IF(ISNUMBER($J605),AND($J605&gt;=0,$J605=INT($J605)),FALSE())),"✖ العدد يجب أن يكون صحيحًا ≥ 0",IF(AND($F605="Baseline",$H605&lt;&gt;""),"⚠ Baseline: Start لا يدخل في التقدم",IF($K605="No Start (attainment only)","ℹ تحصيل فقط (بدون Start)",IF($K605="U – needs rule","ℹ حالة U تحتاج قاعدة معتمدة",IF($K605="No result","ℹ بدون نتيجة (يُستبعد من التحصيل)","OK")))))))))))</f>
        <v/>
      </c>
      <c r="M605" s="64" t="n">
        <f aca="false">IF($A605="",0,IFERROR(MATCH($A605,Classes!$A$6:$A$420,0),0))</f>
        <v>0</v>
      </c>
      <c r="N605" s="64" t="n">
        <f aca="false">IF($H605="",0,IFERROR(MATCH($H605,GradeList,0),0))</f>
        <v>0</v>
      </c>
      <c r="O605" s="64" t="n">
        <f aca="false">IF(OR($I605="",$I605="NR"),0,IFERROR(MATCH($I605,GradeList,0),0))</f>
        <v>0</v>
      </c>
      <c r="P605" s="64" t="n">
        <f aca="false">IF(AND($M605&gt;0,ISNUMBER(MATCH($F605,Lists!$A$2:$A$5,0)),ISNUMBER(MATCH($G605,Lists!$B$2:$B$7,0)),OR($H605="",$N605&gt;0),OR($I605="",$I605="NR",$O605&gt;0),IF(ISNUMBER($J605),AND($J605&gt;=0,$J605=INT($J605)),FALSE())),$J605,0)</f>
        <v>0</v>
      </c>
      <c r="Q605" s="64" t="n">
        <f aca="false">IF(AND($P605&gt;0,$O605&gt;0),$P605,0)</f>
        <v>0</v>
      </c>
      <c r="R605" s="64" t="n">
        <f aca="false">IF(AND($Q605&gt;0,$O605&gt;=AtRank),$Q605,0)</f>
        <v>0</v>
      </c>
      <c r="S605" s="64" t="n">
        <f aca="false">IF(AND($Q605&gt;0,$O605&gt;=AboveRank),$Q605,0)</f>
        <v>0</v>
      </c>
      <c r="T605" s="64" t="n">
        <f aca="false">IF($K605="Less",$P605,0)</f>
        <v>0</v>
      </c>
      <c r="U605" s="64" t="n">
        <f aca="false">IF($K605="Expected",$P605,0)</f>
        <v>0</v>
      </c>
      <c r="V605" s="64" t="n">
        <f aca="false">IF($K605="Better",$P605,0)</f>
        <v>0</v>
      </c>
      <c r="W605" s="64" t="n">
        <f aca="false">IF($K605="U – needs rule",$P605,0)</f>
        <v>0</v>
      </c>
      <c r="X605" s="64" t="n">
        <f aca="false">IF($K605="No Start (attainment only)",$P605,0)</f>
        <v>0</v>
      </c>
    </row>
    <row r="606" customFormat="false" ht="15" hidden="false" customHeight="false" outlineLevel="0" collapsed="false">
      <c r="A606" s="60"/>
      <c r="B606" s="61" t="str">
        <f aca="false">IF($M606=0,"",INDEX(Classes!$E$6:$E$420,$M606))</f>
        <v/>
      </c>
      <c r="C606" s="62" t="str">
        <f aca="false">IF($M606=0,"",INDEX(Classes!$H$6:$H$420,$M606))</f>
        <v/>
      </c>
      <c r="D606" s="61" t="str">
        <f aca="false">IF($M606=0,"",INDEX(Classes!$B$6:$B$420,$M606))</f>
        <v/>
      </c>
      <c r="E606" s="61" t="str">
        <f aca="false">IF($M606=0,"",INDEX(Classes!$C$6:$C$420,$M606))</f>
        <v/>
      </c>
      <c r="F606" s="63"/>
      <c r="G606" s="63"/>
      <c r="H606" s="60"/>
      <c r="I606" s="60"/>
      <c r="J606" s="63"/>
      <c r="K606" s="61" t="str">
        <f aca="false">IF($P606=0,"",IF($F606="Baseline","— Baseline",IF($O606=0,"No result",IF($N606=0,"No Start (attainment only)",IF(OR($N606=1,$O606=1),"U – needs rule",INDEX(MxBody,MATCH($I606,MxCurr,0),MATCH($H606,MxStart,0)))))))</f>
        <v/>
      </c>
      <c r="L606" s="62" t="str">
        <f aca="false">IF(COUNTA($A606,$F606,$G606,$H606,$I606,$J606)=0,"",IF($M606=0,"✖ كود الصف غير موجود",IF(ISNA(MATCH($F606,Lists!$A$2:$A$5,0)),"✖ الفترة غير صحيحة",IF(ISNA(MATCH($G606,Lists!$B$2:$B$7,0)),"✖ المجموعة غير صحيحة",IF(NOT(OR($H606="",$N606&gt;0)),"✖ Start غير صحيح",IF(NOT(OR($I606="",$I606="NR",$O606&gt;0)),"✖ Current غير صحيح",IF(NOT(IF(ISNUMBER($J606),AND($J606&gt;=0,$J606=INT($J606)),FALSE())),"✖ العدد يجب أن يكون صحيحًا ≥ 0",IF(AND($F606="Baseline",$H606&lt;&gt;""),"⚠ Baseline: Start لا يدخل في التقدم",IF($K606="No Start (attainment only)","ℹ تحصيل فقط (بدون Start)",IF($K606="U – needs rule","ℹ حالة U تحتاج قاعدة معتمدة",IF($K606="No result","ℹ بدون نتيجة (يُستبعد من التحصيل)","OK")))))))))))</f>
        <v/>
      </c>
      <c r="M606" s="64" t="n">
        <f aca="false">IF($A606="",0,IFERROR(MATCH($A606,Classes!$A$6:$A$420,0),0))</f>
        <v>0</v>
      </c>
      <c r="N606" s="64" t="n">
        <f aca="false">IF($H606="",0,IFERROR(MATCH($H606,GradeList,0),0))</f>
        <v>0</v>
      </c>
      <c r="O606" s="64" t="n">
        <f aca="false">IF(OR($I606="",$I606="NR"),0,IFERROR(MATCH($I606,GradeList,0),0))</f>
        <v>0</v>
      </c>
      <c r="P606" s="64" t="n">
        <f aca="false">IF(AND($M606&gt;0,ISNUMBER(MATCH($F606,Lists!$A$2:$A$5,0)),ISNUMBER(MATCH($G606,Lists!$B$2:$B$7,0)),OR($H606="",$N606&gt;0),OR($I606="",$I606="NR",$O606&gt;0),IF(ISNUMBER($J606),AND($J606&gt;=0,$J606=INT($J606)),FALSE())),$J606,0)</f>
        <v>0</v>
      </c>
      <c r="Q606" s="64" t="n">
        <f aca="false">IF(AND($P606&gt;0,$O606&gt;0),$P606,0)</f>
        <v>0</v>
      </c>
      <c r="R606" s="64" t="n">
        <f aca="false">IF(AND($Q606&gt;0,$O606&gt;=AtRank),$Q606,0)</f>
        <v>0</v>
      </c>
      <c r="S606" s="64" t="n">
        <f aca="false">IF(AND($Q606&gt;0,$O606&gt;=AboveRank),$Q606,0)</f>
        <v>0</v>
      </c>
      <c r="T606" s="64" t="n">
        <f aca="false">IF($K606="Less",$P606,0)</f>
        <v>0</v>
      </c>
      <c r="U606" s="64" t="n">
        <f aca="false">IF($K606="Expected",$P606,0)</f>
        <v>0</v>
      </c>
      <c r="V606" s="64" t="n">
        <f aca="false">IF($K606="Better",$P606,0)</f>
        <v>0</v>
      </c>
      <c r="W606" s="64" t="n">
        <f aca="false">IF($K606="U – needs rule",$P606,0)</f>
        <v>0</v>
      </c>
      <c r="X606" s="64" t="n">
        <f aca="false">IF($K606="No Start (attainment only)",$P606,0)</f>
        <v>0</v>
      </c>
    </row>
    <row r="607" customFormat="false" ht="15" hidden="false" customHeight="false" outlineLevel="0" collapsed="false">
      <c r="A607" s="60"/>
      <c r="B607" s="61" t="str">
        <f aca="false">IF($M607=0,"",INDEX(Classes!$E$6:$E$420,$M607))</f>
        <v/>
      </c>
      <c r="C607" s="62" t="str">
        <f aca="false">IF($M607=0,"",INDEX(Classes!$H$6:$H$420,$M607))</f>
        <v/>
      </c>
      <c r="D607" s="61" t="str">
        <f aca="false">IF($M607=0,"",INDEX(Classes!$B$6:$B$420,$M607))</f>
        <v/>
      </c>
      <c r="E607" s="61" t="str">
        <f aca="false">IF($M607=0,"",INDEX(Classes!$C$6:$C$420,$M607))</f>
        <v/>
      </c>
      <c r="F607" s="63"/>
      <c r="G607" s="63"/>
      <c r="H607" s="60"/>
      <c r="I607" s="60"/>
      <c r="J607" s="63"/>
      <c r="K607" s="61" t="str">
        <f aca="false">IF($P607=0,"",IF($F607="Baseline","— Baseline",IF($O607=0,"No result",IF($N607=0,"No Start (attainment only)",IF(OR($N607=1,$O607=1),"U – needs rule",INDEX(MxBody,MATCH($I607,MxCurr,0),MATCH($H607,MxStart,0)))))))</f>
        <v/>
      </c>
      <c r="L607" s="62" t="str">
        <f aca="false">IF(COUNTA($A607,$F607,$G607,$H607,$I607,$J607)=0,"",IF($M607=0,"✖ كود الصف غير موجود",IF(ISNA(MATCH($F607,Lists!$A$2:$A$5,0)),"✖ الفترة غير صحيحة",IF(ISNA(MATCH($G607,Lists!$B$2:$B$7,0)),"✖ المجموعة غير صحيحة",IF(NOT(OR($H607="",$N607&gt;0)),"✖ Start غير صحيح",IF(NOT(OR($I607="",$I607="NR",$O607&gt;0)),"✖ Current غير صحيح",IF(NOT(IF(ISNUMBER($J607),AND($J607&gt;=0,$J607=INT($J607)),FALSE())),"✖ العدد يجب أن يكون صحيحًا ≥ 0",IF(AND($F607="Baseline",$H607&lt;&gt;""),"⚠ Baseline: Start لا يدخل في التقدم",IF($K607="No Start (attainment only)","ℹ تحصيل فقط (بدون Start)",IF($K607="U – needs rule","ℹ حالة U تحتاج قاعدة معتمدة",IF($K607="No result","ℹ بدون نتيجة (يُستبعد من التحصيل)","OK")))))))))))</f>
        <v/>
      </c>
      <c r="M607" s="64" t="n">
        <f aca="false">IF($A607="",0,IFERROR(MATCH($A607,Classes!$A$6:$A$420,0),0))</f>
        <v>0</v>
      </c>
      <c r="N607" s="64" t="n">
        <f aca="false">IF($H607="",0,IFERROR(MATCH($H607,GradeList,0),0))</f>
        <v>0</v>
      </c>
      <c r="O607" s="64" t="n">
        <f aca="false">IF(OR($I607="",$I607="NR"),0,IFERROR(MATCH($I607,GradeList,0),0))</f>
        <v>0</v>
      </c>
      <c r="P607" s="64" t="n">
        <f aca="false">IF(AND($M607&gt;0,ISNUMBER(MATCH($F607,Lists!$A$2:$A$5,0)),ISNUMBER(MATCH($G607,Lists!$B$2:$B$7,0)),OR($H607="",$N607&gt;0),OR($I607="",$I607="NR",$O607&gt;0),IF(ISNUMBER($J607),AND($J607&gt;=0,$J607=INT($J607)),FALSE())),$J607,0)</f>
        <v>0</v>
      </c>
      <c r="Q607" s="64" t="n">
        <f aca="false">IF(AND($P607&gt;0,$O607&gt;0),$P607,0)</f>
        <v>0</v>
      </c>
      <c r="R607" s="64" t="n">
        <f aca="false">IF(AND($Q607&gt;0,$O607&gt;=AtRank),$Q607,0)</f>
        <v>0</v>
      </c>
      <c r="S607" s="64" t="n">
        <f aca="false">IF(AND($Q607&gt;0,$O607&gt;=AboveRank),$Q607,0)</f>
        <v>0</v>
      </c>
      <c r="T607" s="64" t="n">
        <f aca="false">IF($K607="Less",$P607,0)</f>
        <v>0</v>
      </c>
      <c r="U607" s="64" t="n">
        <f aca="false">IF($K607="Expected",$P607,0)</f>
        <v>0</v>
      </c>
      <c r="V607" s="64" t="n">
        <f aca="false">IF($K607="Better",$P607,0)</f>
        <v>0</v>
      </c>
      <c r="W607" s="64" t="n">
        <f aca="false">IF($K607="U – needs rule",$P607,0)</f>
        <v>0</v>
      </c>
      <c r="X607" s="64" t="n">
        <f aca="false">IF($K607="No Start (attainment only)",$P607,0)</f>
        <v>0</v>
      </c>
    </row>
    <row r="608" customFormat="false" ht="15" hidden="false" customHeight="false" outlineLevel="0" collapsed="false">
      <c r="A608" s="60"/>
      <c r="B608" s="61" t="str">
        <f aca="false">IF($M608=0,"",INDEX(Classes!$E$6:$E$420,$M608))</f>
        <v/>
      </c>
      <c r="C608" s="62" t="str">
        <f aca="false">IF($M608=0,"",INDEX(Classes!$H$6:$H$420,$M608))</f>
        <v/>
      </c>
      <c r="D608" s="61" t="str">
        <f aca="false">IF($M608=0,"",INDEX(Classes!$B$6:$B$420,$M608))</f>
        <v/>
      </c>
      <c r="E608" s="61" t="str">
        <f aca="false">IF($M608=0,"",INDEX(Classes!$C$6:$C$420,$M608))</f>
        <v/>
      </c>
      <c r="F608" s="63"/>
      <c r="G608" s="63"/>
      <c r="H608" s="60"/>
      <c r="I608" s="60"/>
      <c r="J608" s="63"/>
      <c r="K608" s="61" t="str">
        <f aca="false">IF($P608=0,"",IF($F608="Baseline","— Baseline",IF($O608=0,"No result",IF($N608=0,"No Start (attainment only)",IF(OR($N608=1,$O608=1),"U – needs rule",INDEX(MxBody,MATCH($I608,MxCurr,0),MATCH($H608,MxStart,0)))))))</f>
        <v/>
      </c>
      <c r="L608" s="62" t="str">
        <f aca="false">IF(COUNTA($A608,$F608,$G608,$H608,$I608,$J608)=0,"",IF($M608=0,"✖ كود الصف غير موجود",IF(ISNA(MATCH($F608,Lists!$A$2:$A$5,0)),"✖ الفترة غير صحيحة",IF(ISNA(MATCH($G608,Lists!$B$2:$B$7,0)),"✖ المجموعة غير صحيحة",IF(NOT(OR($H608="",$N608&gt;0)),"✖ Start غير صحيح",IF(NOT(OR($I608="",$I608="NR",$O608&gt;0)),"✖ Current غير صحيح",IF(NOT(IF(ISNUMBER($J608),AND($J608&gt;=0,$J608=INT($J608)),FALSE())),"✖ العدد يجب أن يكون صحيحًا ≥ 0",IF(AND($F608="Baseline",$H608&lt;&gt;""),"⚠ Baseline: Start لا يدخل في التقدم",IF($K608="No Start (attainment only)","ℹ تحصيل فقط (بدون Start)",IF($K608="U – needs rule","ℹ حالة U تحتاج قاعدة معتمدة",IF($K608="No result","ℹ بدون نتيجة (يُستبعد من التحصيل)","OK")))))))))))</f>
        <v/>
      </c>
      <c r="M608" s="64" t="n">
        <f aca="false">IF($A608="",0,IFERROR(MATCH($A608,Classes!$A$6:$A$420,0),0))</f>
        <v>0</v>
      </c>
      <c r="N608" s="64" t="n">
        <f aca="false">IF($H608="",0,IFERROR(MATCH($H608,GradeList,0),0))</f>
        <v>0</v>
      </c>
      <c r="O608" s="64" t="n">
        <f aca="false">IF(OR($I608="",$I608="NR"),0,IFERROR(MATCH($I608,GradeList,0),0))</f>
        <v>0</v>
      </c>
      <c r="P608" s="64" t="n">
        <f aca="false">IF(AND($M608&gt;0,ISNUMBER(MATCH($F608,Lists!$A$2:$A$5,0)),ISNUMBER(MATCH($G608,Lists!$B$2:$B$7,0)),OR($H608="",$N608&gt;0),OR($I608="",$I608="NR",$O608&gt;0),IF(ISNUMBER($J608),AND($J608&gt;=0,$J608=INT($J608)),FALSE())),$J608,0)</f>
        <v>0</v>
      </c>
      <c r="Q608" s="64" t="n">
        <f aca="false">IF(AND($P608&gt;0,$O608&gt;0),$P608,0)</f>
        <v>0</v>
      </c>
      <c r="R608" s="64" t="n">
        <f aca="false">IF(AND($Q608&gt;0,$O608&gt;=AtRank),$Q608,0)</f>
        <v>0</v>
      </c>
      <c r="S608" s="64" t="n">
        <f aca="false">IF(AND($Q608&gt;0,$O608&gt;=AboveRank),$Q608,0)</f>
        <v>0</v>
      </c>
      <c r="T608" s="64" t="n">
        <f aca="false">IF($K608="Less",$P608,0)</f>
        <v>0</v>
      </c>
      <c r="U608" s="64" t="n">
        <f aca="false">IF($K608="Expected",$P608,0)</f>
        <v>0</v>
      </c>
      <c r="V608" s="64" t="n">
        <f aca="false">IF($K608="Better",$P608,0)</f>
        <v>0</v>
      </c>
      <c r="W608" s="64" t="n">
        <f aca="false">IF($K608="U – needs rule",$P608,0)</f>
        <v>0</v>
      </c>
      <c r="X608" s="64" t="n">
        <f aca="false">IF($K608="No Start (attainment only)",$P608,0)</f>
        <v>0</v>
      </c>
    </row>
    <row r="609" customFormat="false" ht="15" hidden="false" customHeight="false" outlineLevel="0" collapsed="false">
      <c r="A609" s="60"/>
      <c r="B609" s="61" t="str">
        <f aca="false">IF($M609=0,"",INDEX(Classes!$E$6:$E$420,$M609))</f>
        <v/>
      </c>
      <c r="C609" s="62" t="str">
        <f aca="false">IF($M609=0,"",INDEX(Classes!$H$6:$H$420,$M609))</f>
        <v/>
      </c>
      <c r="D609" s="61" t="str">
        <f aca="false">IF($M609=0,"",INDEX(Classes!$B$6:$B$420,$M609))</f>
        <v/>
      </c>
      <c r="E609" s="61" t="str">
        <f aca="false">IF($M609=0,"",INDEX(Classes!$C$6:$C$420,$M609))</f>
        <v/>
      </c>
      <c r="F609" s="63"/>
      <c r="G609" s="63"/>
      <c r="H609" s="60"/>
      <c r="I609" s="60"/>
      <c r="J609" s="63"/>
      <c r="K609" s="61" t="str">
        <f aca="false">IF($P609=0,"",IF($F609="Baseline","— Baseline",IF($O609=0,"No result",IF($N609=0,"No Start (attainment only)",IF(OR($N609=1,$O609=1),"U – needs rule",INDEX(MxBody,MATCH($I609,MxCurr,0),MATCH($H609,MxStart,0)))))))</f>
        <v/>
      </c>
      <c r="L609" s="62" t="str">
        <f aca="false">IF(COUNTA($A609,$F609,$G609,$H609,$I609,$J609)=0,"",IF($M609=0,"✖ كود الصف غير موجود",IF(ISNA(MATCH($F609,Lists!$A$2:$A$5,0)),"✖ الفترة غير صحيحة",IF(ISNA(MATCH($G609,Lists!$B$2:$B$7,0)),"✖ المجموعة غير صحيحة",IF(NOT(OR($H609="",$N609&gt;0)),"✖ Start غير صحيح",IF(NOT(OR($I609="",$I609="NR",$O609&gt;0)),"✖ Current غير صحيح",IF(NOT(IF(ISNUMBER($J609),AND($J609&gt;=0,$J609=INT($J609)),FALSE())),"✖ العدد يجب أن يكون صحيحًا ≥ 0",IF(AND($F609="Baseline",$H609&lt;&gt;""),"⚠ Baseline: Start لا يدخل في التقدم",IF($K609="No Start (attainment only)","ℹ تحصيل فقط (بدون Start)",IF($K609="U – needs rule","ℹ حالة U تحتاج قاعدة معتمدة",IF($K609="No result","ℹ بدون نتيجة (يُستبعد من التحصيل)","OK")))))))))))</f>
        <v/>
      </c>
      <c r="M609" s="64" t="n">
        <f aca="false">IF($A609="",0,IFERROR(MATCH($A609,Classes!$A$6:$A$420,0),0))</f>
        <v>0</v>
      </c>
      <c r="N609" s="64" t="n">
        <f aca="false">IF($H609="",0,IFERROR(MATCH($H609,GradeList,0),0))</f>
        <v>0</v>
      </c>
      <c r="O609" s="64" t="n">
        <f aca="false">IF(OR($I609="",$I609="NR"),0,IFERROR(MATCH($I609,GradeList,0),0))</f>
        <v>0</v>
      </c>
      <c r="P609" s="64" t="n">
        <f aca="false">IF(AND($M609&gt;0,ISNUMBER(MATCH($F609,Lists!$A$2:$A$5,0)),ISNUMBER(MATCH($G609,Lists!$B$2:$B$7,0)),OR($H609="",$N609&gt;0),OR($I609="",$I609="NR",$O609&gt;0),IF(ISNUMBER($J609),AND($J609&gt;=0,$J609=INT($J609)),FALSE())),$J609,0)</f>
        <v>0</v>
      </c>
      <c r="Q609" s="64" t="n">
        <f aca="false">IF(AND($P609&gt;0,$O609&gt;0),$P609,0)</f>
        <v>0</v>
      </c>
      <c r="R609" s="64" t="n">
        <f aca="false">IF(AND($Q609&gt;0,$O609&gt;=AtRank),$Q609,0)</f>
        <v>0</v>
      </c>
      <c r="S609" s="64" t="n">
        <f aca="false">IF(AND($Q609&gt;0,$O609&gt;=AboveRank),$Q609,0)</f>
        <v>0</v>
      </c>
      <c r="T609" s="64" t="n">
        <f aca="false">IF($K609="Less",$P609,0)</f>
        <v>0</v>
      </c>
      <c r="U609" s="64" t="n">
        <f aca="false">IF($K609="Expected",$P609,0)</f>
        <v>0</v>
      </c>
      <c r="V609" s="64" t="n">
        <f aca="false">IF($K609="Better",$P609,0)</f>
        <v>0</v>
      </c>
      <c r="W609" s="64" t="n">
        <f aca="false">IF($K609="U – needs rule",$P609,0)</f>
        <v>0</v>
      </c>
      <c r="X609" s="64" t="n">
        <f aca="false">IF($K609="No Start (attainment only)",$P609,0)</f>
        <v>0</v>
      </c>
    </row>
    <row r="610" customFormat="false" ht="15" hidden="false" customHeight="false" outlineLevel="0" collapsed="false">
      <c r="A610" s="60"/>
      <c r="B610" s="61" t="str">
        <f aca="false">IF($M610=0,"",INDEX(Classes!$E$6:$E$420,$M610))</f>
        <v/>
      </c>
      <c r="C610" s="62" t="str">
        <f aca="false">IF($M610=0,"",INDEX(Classes!$H$6:$H$420,$M610))</f>
        <v/>
      </c>
      <c r="D610" s="61" t="str">
        <f aca="false">IF($M610=0,"",INDEX(Classes!$B$6:$B$420,$M610))</f>
        <v/>
      </c>
      <c r="E610" s="61" t="str">
        <f aca="false">IF($M610=0,"",INDEX(Classes!$C$6:$C$420,$M610))</f>
        <v/>
      </c>
      <c r="F610" s="63"/>
      <c r="G610" s="63"/>
      <c r="H610" s="60"/>
      <c r="I610" s="60"/>
      <c r="J610" s="63"/>
      <c r="K610" s="61" t="str">
        <f aca="false">IF($P610=0,"",IF($F610="Baseline","— Baseline",IF($O610=0,"No result",IF($N610=0,"No Start (attainment only)",IF(OR($N610=1,$O610=1),"U – needs rule",INDEX(MxBody,MATCH($I610,MxCurr,0),MATCH($H610,MxStart,0)))))))</f>
        <v/>
      </c>
      <c r="L610" s="62" t="str">
        <f aca="false">IF(COUNTA($A610,$F610,$G610,$H610,$I610,$J610)=0,"",IF($M610=0,"✖ كود الصف غير موجود",IF(ISNA(MATCH($F610,Lists!$A$2:$A$5,0)),"✖ الفترة غير صحيحة",IF(ISNA(MATCH($G610,Lists!$B$2:$B$7,0)),"✖ المجموعة غير صحيحة",IF(NOT(OR($H610="",$N610&gt;0)),"✖ Start غير صحيح",IF(NOT(OR($I610="",$I610="NR",$O610&gt;0)),"✖ Current غير صحيح",IF(NOT(IF(ISNUMBER($J610),AND($J610&gt;=0,$J610=INT($J610)),FALSE())),"✖ العدد يجب أن يكون صحيحًا ≥ 0",IF(AND($F610="Baseline",$H610&lt;&gt;""),"⚠ Baseline: Start لا يدخل في التقدم",IF($K610="No Start (attainment only)","ℹ تحصيل فقط (بدون Start)",IF($K610="U – needs rule","ℹ حالة U تحتاج قاعدة معتمدة",IF($K610="No result","ℹ بدون نتيجة (يُستبعد من التحصيل)","OK")))))))))))</f>
        <v/>
      </c>
      <c r="M610" s="64" t="n">
        <f aca="false">IF($A610="",0,IFERROR(MATCH($A610,Classes!$A$6:$A$420,0),0))</f>
        <v>0</v>
      </c>
      <c r="N610" s="64" t="n">
        <f aca="false">IF($H610="",0,IFERROR(MATCH($H610,GradeList,0),0))</f>
        <v>0</v>
      </c>
      <c r="O610" s="64" t="n">
        <f aca="false">IF(OR($I610="",$I610="NR"),0,IFERROR(MATCH($I610,GradeList,0),0))</f>
        <v>0</v>
      </c>
      <c r="P610" s="64" t="n">
        <f aca="false">IF(AND($M610&gt;0,ISNUMBER(MATCH($F610,Lists!$A$2:$A$5,0)),ISNUMBER(MATCH($G610,Lists!$B$2:$B$7,0)),OR($H610="",$N610&gt;0),OR($I610="",$I610="NR",$O610&gt;0),IF(ISNUMBER($J610),AND($J610&gt;=0,$J610=INT($J610)),FALSE())),$J610,0)</f>
        <v>0</v>
      </c>
      <c r="Q610" s="64" t="n">
        <f aca="false">IF(AND($P610&gt;0,$O610&gt;0),$P610,0)</f>
        <v>0</v>
      </c>
      <c r="R610" s="64" t="n">
        <f aca="false">IF(AND($Q610&gt;0,$O610&gt;=AtRank),$Q610,0)</f>
        <v>0</v>
      </c>
      <c r="S610" s="64" t="n">
        <f aca="false">IF(AND($Q610&gt;0,$O610&gt;=AboveRank),$Q610,0)</f>
        <v>0</v>
      </c>
      <c r="T610" s="64" t="n">
        <f aca="false">IF($K610="Less",$P610,0)</f>
        <v>0</v>
      </c>
      <c r="U610" s="64" t="n">
        <f aca="false">IF($K610="Expected",$P610,0)</f>
        <v>0</v>
      </c>
      <c r="V610" s="64" t="n">
        <f aca="false">IF($K610="Better",$P610,0)</f>
        <v>0</v>
      </c>
      <c r="W610" s="64" t="n">
        <f aca="false">IF($K610="U – needs rule",$P610,0)</f>
        <v>0</v>
      </c>
      <c r="X610" s="64" t="n">
        <f aca="false">IF($K610="No Start (attainment only)",$P610,0)</f>
        <v>0</v>
      </c>
    </row>
    <row r="611" customFormat="false" ht="15" hidden="false" customHeight="false" outlineLevel="0" collapsed="false">
      <c r="A611" s="60"/>
      <c r="B611" s="61" t="str">
        <f aca="false">IF($M611=0,"",INDEX(Classes!$E$6:$E$420,$M611))</f>
        <v/>
      </c>
      <c r="C611" s="62" t="str">
        <f aca="false">IF($M611=0,"",INDEX(Classes!$H$6:$H$420,$M611))</f>
        <v/>
      </c>
      <c r="D611" s="61" t="str">
        <f aca="false">IF($M611=0,"",INDEX(Classes!$B$6:$B$420,$M611))</f>
        <v/>
      </c>
      <c r="E611" s="61" t="str">
        <f aca="false">IF($M611=0,"",INDEX(Classes!$C$6:$C$420,$M611))</f>
        <v/>
      </c>
      <c r="F611" s="63"/>
      <c r="G611" s="63"/>
      <c r="H611" s="60"/>
      <c r="I611" s="60"/>
      <c r="J611" s="63"/>
      <c r="K611" s="61" t="str">
        <f aca="false">IF($P611=0,"",IF($F611="Baseline","— Baseline",IF($O611=0,"No result",IF($N611=0,"No Start (attainment only)",IF(OR($N611=1,$O611=1),"U – needs rule",INDEX(MxBody,MATCH($I611,MxCurr,0),MATCH($H611,MxStart,0)))))))</f>
        <v/>
      </c>
      <c r="L611" s="62" t="str">
        <f aca="false">IF(COUNTA($A611,$F611,$G611,$H611,$I611,$J611)=0,"",IF($M611=0,"✖ كود الصف غير موجود",IF(ISNA(MATCH($F611,Lists!$A$2:$A$5,0)),"✖ الفترة غير صحيحة",IF(ISNA(MATCH($G611,Lists!$B$2:$B$7,0)),"✖ المجموعة غير صحيحة",IF(NOT(OR($H611="",$N611&gt;0)),"✖ Start غير صحيح",IF(NOT(OR($I611="",$I611="NR",$O611&gt;0)),"✖ Current غير صحيح",IF(NOT(IF(ISNUMBER($J611),AND($J611&gt;=0,$J611=INT($J611)),FALSE())),"✖ العدد يجب أن يكون صحيحًا ≥ 0",IF(AND($F611="Baseline",$H611&lt;&gt;""),"⚠ Baseline: Start لا يدخل في التقدم",IF($K611="No Start (attainment only)","ℹ تحصيل فقط (بدون Start)",IF($K611="U – needs rule","ℹ حالة U تحتاج قاعدة معتمدة",IF($K611="No result","ℹ بدون نتيجة (يُستبعد من التحصيل)","OK")))))))))))</f>
        <v/>
      </c>
      <c r="M611" s="64" t="n">
        <f aca="false">IF($A611="",0,IFERROR(MATCH($A611,Classes!$A$6:$A$420,0),0))</f>
        <v>0</v>
      </c>
      <c r="N611" s="64" t="n">
        <f aca="false">IF($H611="",0,IFERROR(MATCH($H611,GradeList,0),0))</f>
        <v>0</v>
      </c>
      <c r="O611" s="64" t="n">
        <f aca="false">IF(OR($I611="",$I611="NR"),0,IFERROR(MATCH($I611,GradeList,0),0))</f>
        <v>0</v>
      </c>
      <c r="P611" s="64" t="n">
        <f aca="false">IF(AND($M611&gt;0,ISNUMBER(MATCH($F611,Lists!$A$2:$A$5,0)),ISNUMBER(MATCH($G611,Lists!$B$2:$B$7,0)),OR($H611="",$N611&gt;0),OR($I611="",$I611="NR",$O611&gt;0),IF(ISNUMBER($J611),AND($J611&gt;=0,$J611=INT($J611)),FALSE())),$J611,0)</f>
        <v>0</v>
      </c>
      <c r="Q611" s="64" t="n">
        <f aca="false">IF(AND($P611&gt;0,$O611&gt;0),$P611,0)</f>
        <v>0</v>
      </c>
      <c r="R611" s="64" t="n">
        <f aca="false">IF(AND($Q611&gt;0,$O611&gt;=AtRank),$Q611,0)</f>
        <v>0</v>
      </c>
      <c r="S611" s="64" t="n">
        <f aca="false">IF(AND($Q611&gt;0,$O611&gt;=AboveRank),$Q611,0)</f>
        <v>0</v>
      </c>
      <c r="T611" s="64" t="n">
        <f aca="false">IF($K611="Less",$P611,0)</f>
        <v>0</v>
      </c>
      <c r="U611" s="64" t="n">
        <f aca="false">IF($K611="Expected",$P611,0)</f>
        <v>0</v>
      </c>
      <c r="V611" s="64" t="n">
        <f aca="false">IF($K611="Better",$P611,0)</f>
        <v>0</v>
      </c>
      <c r="W611" s="64" t="n">
        <f aca="false">IF($K611="U – needs rule",$P611,0)</f>
        <v>0</v>
      </c>
      <c r="X611" s="64" t="n">
        <f aca="false">IF($K611="No Start (attainment only)",$P611,0)</f>
        <v>0</v>
      </c>
    </row>
    <row r="612" customFormat="false" ht="15" hidden="false" customHeight="false" outlineLevel="0" collapsed="false">
      <c r="A612" s="60"/>
      <c r="B612" s="61" t="str">
        <f aca="false">IF($M612=0,"",INDEX(Classes!$E$6:$E$420,$M612))</f>
        <v/>
      </c>
      <c r="C612" s="62" t="str">
        <f aca="false">IF($M612=0,"",INDEX(Classes!$H$6:$H$420,$M612))</f>
        <v/>
      </c>
      <c r="D612" s="61" t="str">
        <f aca="false">IF($M612=0,"",INDEX(Classes!$B$6:$B$420,$M612))</f>
        <v/>
      </c>
      <c r="E612" s="61" t="str">
        <f aca="false">IF($M612=0,"",INDEX(Classes!$C$6:$C$420,$M612))</f>
        <v/>
      </c>
      <c r="F612" s="63"/>
      <c r="G612" s="63"/>
      <c r="H612" s="60"/>
      <c r="I612" s="60"/>
      <c r="J612" s="63"/>
      <c r="K612" s="61" t="str">
        <f aca="false">IF($P612=0,"",IF($F612="Baseline","— Baseline",IF($O612=0,"No result",IF($N612=0,"No Start (attainment only)",IF(OR($N612=1,$O612=1),"U – needs rule",INDEX(MxBody,MATCH($I612,MxCurr,0),MATCH($H612,MxStart,0)))))))</f>
        <v/>
      </c>
      <c r="L612" s="62" t="str">
        <f aca="false">IF(COUNTA($A612,$F612,$G612,$H612,$I612,$J612)=0,"",IF($M612=0,"✖ كود الصف غير موجود",IF(ISNA(MATCH($F612,Lists!$A$2:$A$5,0)),"✖ الفترة غير صحيحة",IF(ISNA(MATCH($G612,Lists!$B$2:$B$7,0)),"✖ المجموعة غير صحيحة",IF(NOT(OR($H612="",$N612&gt;0)),"✖ Start غير صحيح",IF(NOT(OR($I612="",$I612="NR",$O612&gt;0)),"✖ Current غير صحيح",IF(NOT(IF(ISNUMBER($J612),AND($J612&gt;=0,$J612=INT($J612)),FALSE())),"✖ العدد يجب أن يكون صحيحًا ≥ 0",IF(AND($F612="Baseline",$H612&lt;&gt;""),"⚠ Baseline: Start لا يدخل في التقدم",IF($K612="No Start (attainment only)","ℹ تحصيل فقط (بدون Start)",IF($K612="U – needs rule","ℹ حالة U تحتاج قاعدة معتمدة",IF($K612="No result","ℹ بدون نتيجة (يُستبعد من التحصيل)","OK")))))))))))</f>
        <v/>
      </c>
      <c r="M612" s="64" t="n">
        <f aca="false">IF($A612="",0,IFERROR(MATCH($A612,Classes!$A$6:$A$420,0),0))</f>
        <v>0</v>
      </c>
      <c r="N612" s="64" t="n">
        <f aca="false">IF($H612="",0,IFERROR(MATCH($H612,GradeList,0),0))</f>
        <v>0</v>
      </c>
      <c r="O612" s="64" t="n">
        <f aca="false">IF(OR($I612="",$I612="NR"),0,IFERROR(MATCH($I612,GradeList,0),0))</f>
        <v>0</v>
      </c>
      <c r="P612" s="64" t="n">
        <f aca="false">IF(AND($M612&gt;0,ISNUMBER(MATCH($F612,Lists!$A$2:$A$5,0)),ISNUMBER(MATCH($G612,Lists!$B$2:$B$7,0)),OR($H612="",$N612&gt;0),OR($I612="",$I612="NR",$O612&gt;0),IF(ISNUMBER($J612),AND($J612&gt;=0,$J612=INT($J612)),FALSE())),$J612,0)</f>
        <v>0</v>
      </c>
      <c r="Q612" s="64" t="n">
        <f aca="false">IF(AND($P612&gt;0,$O612&gt;0),$P612,0)</f>
        <v>0</v>
      </c>
      <c r="R612" s="64" t="n">
        <f aca="false">IF(AND($Q612&gt;0,$O612&gt;=AtRank),$Q612,0)</f>
        <v>0</v>
      </c>
      <c r="S612" s="64" t="n">
        <f aca="false">IF(AND($Q612&gt;0,$O612&gt;=AboveRank),$Q612,0)</f>
        <v>0</v>
      </c>
      <c r="T612" s="64" t="n">
        <f aca="false">IF($K612="Less",$P612,0)</f>
        <v>0</v>
      </c>
      <c r="U612" s="64" t="n">
        <f aca="false">IF($K612="Expected",$P612,0)</f>
        <v>0</v>
      </c>
      <c r="V612" s="64" t="n">
        <f aca="false">IF($K612="Better",$P612,0)</f>
        <v>0</v>
      </c>
      <c r="W612" s="64" t="n">
        <f aca="false">IF($K612="U – needs rule",$P612,0)</f>
        <v>0</v>
      </c>
      <c r="X612" s="64" t="n">
        <f aca="false">IF($K612="No Start (attainment only)",$P612,0)</f>
        <v>0</v>
      </c>
    </row>
    <row r="613" customFormat="false" ht="15" hidden="false" customHeight="false" outlineLevel="0" collapsed="false">
      <c r="A613" s="60"/>
      <c r="B613" s="61" t="str">
        <f aca="false">IF($M613=0,"",INDEX(Classes!$E$6:$E$420,$M613))</f>
        <v/>
      </c>
      <c r="C613" s="62" t="str">
        <f aca="false">IF($M613=0,"",INDEX(Classes!$H$6:$H$420,$M613))</f>
        <v/>
      </c>
      <c r="D613" s="61" t="str">
        <f aca="false">IF($M613=0,"",INDEX(Classes!$B$6:$B$420,$M613))</f>
        <v/>
      </c>
      <c r="E613" s="61" t="str">
        <f aca="false">IF($M613=0,"",INDEX(Classes!$C$6:$C$420,$M613))</f>
        <v/>
      </c>
      <c r="F613" s="63"/>
      <c r="G613" s="63"/>
      <c r="H613" s="60"/>
      <c r="I613" s="60"/>
      <c r="J613" s="63"/>
      <c r="K613" s="61" t="str">
        <f aca="false">IF($P613=0,"",IF($F613="Baseline","— Baseline",IF($O613=0,"No result",IF($N613=0,"No Start (attainment only)",IF(OR($N613=1,$O613=1),"U – needs rule",INDEX(MxBody,MATCH($I613,MxCurr,0),MATCH($H613,MxStart,0)))))))</f>
        <v/>
      </c>
      <c r="L613" s="62" t="str">
        <f aca="false">IF(COUNTA($A613,$F613,$G613,$H613,$I613,$J613)=0,"",IF($M613=0,"✖ كود الصف غير موجود",IF(ISNA(MATCH($F613,Lists!$A$2:$A$5,0)),"✖ الفترة غير صحيحة",IF(ISNA(MATCH($G613,Lists!$B$2:$B$7,0)),"✖ المجموعة غير صحيحة",IF(NOT(OR($H613="",$N613&gt;0)),"✖ Start غير صحيح",IF(NOT(OR($I613="",$I613="NR",$O613&gt;0)),"✖ Current غير صحيح",IF(NOT(IF(ISNUMBER($J613),AND($J613&gt;=0,$J613=INT($J613)),FALSE())),"✖ العدد يجب أن يكون صحيحًا ≥ 0",IF(AND($F613="Baseline",$H613&lt;&gt;""),"⚠ Baseline: Start لا يدخل في التقدم",IF($K613="No Start (attainment only)","ℹ تحصيل فقط (بدون Start)",IF($K613="U – needs rule","ℹ حالة U تحتاج قاعدة معتمدة",IF($K613="No result","ℹ بدون نتيجة (يُستبعد من التحصيل)","OK")))))))))))</f>
        <v/>
      </c>
      <c r="M613" s="64" t="n">
        <f aca="false">IF($A613="",0,IFERROR(MATCH($A613,Classes!$A$6:$A$420,0),0))</f>
        <v>0</v>
      </c>
      <c r="N613" s="64" t="n">
        <f aca="false">IF($H613="",0,IFERROR(MATCH($H613,GradeList,0),0))</f>
        <v>0</v>
      </c>
      <c r="O613" s="64" t="n">
        <f aca="false">IF(OR($I613="",$I613="NR"),0,IFERROR(MATCH($I613,GradeList,0),0))</f>
        <v>0</v>
      </c>
      <c r="P613" s="64" t="n">
        <f aca="false">IF(AND($M613&gt;0,ISNUMBER(MATCH($F613,Lists!$A$2:$A$5,0)),ISNUMBER(MATCH($G613,Lists!$B$2:$B$7,0)),OR($H613="",$N613&gt;0),OR($I613="",$I613="NR",$O613&gt;0),IF(ISNUMBER($J613),AND($J613&gt;=0,$J613=INT($J613)),FALSE())),$J613,0)</f>
        <v>0</v>
      </c>
      <c r="Q613" s="64" t="n">
        <f aca="false">IF(AND($P613&gt;0,$O613&gt;0),$P613,0)</f>
        <v>0</v>
      </c>
      <c r="R613" s="64" t="n">
        <f aca="false">IF(AND($Q613&gt;0,$O613&gt;=AtRank),$Q613,0)</f>
        <v>0</v>
      </c>
      <c r="S613" s="64" t="n">
        <f aca="false">IF(AND($Q613&gt;0,$O613&gt;=AboveRank),$Q613,0)</f>
        <v>0</v>
      </c>
      <c r="T613" s="64" t="n">
        <f aca="false">IF($K613="Less",$P613,0)</f>
        <v>0</v>
      </c>
      <c r="U613" s="64" t="n">
        <f aca="false">IF($K613="Expected",$P613,0)</f>
        <v>0</v>
      </c>
      <c r="V613" s="64" t="n">
        <f aca="false">IF($K613="Better",$P613,0)</f>
        <v>0</v>
      </c>
      <c r="W613" s="64" t="n">
        <f aca="false">IF($K613="U – needs rule",$P613,0)</f>
        <v>0</v>
      </c>
      <c r="X613" s="64" t="n">
        <f aca="false">IF($K613="No Start (attainment only)",$P613,0)</f>
        <v>0</v>
      </c>
    </row>
    <row r="614" customFormat="false" ht="15" hidden="false" customHeight="false" outlineLevel="0" collapsed="false">
      <c r="A614" s="60"/>
      <c r="B614" s="61" t="str">
        <f aca="false">IF($M614=0,"",INDEX(Classes!$E$6:$E$420,$M614))</f>
        <v/>
      </c>
      <c r="C614" s="62" t="str">
        <f aca="false">IF($M614=0,"",INDEX(Classes!$H$6:$H$420,$M614))</f>
        <v/>
      </c>
      <c r="D614" s="61" t="str">
        <f aca="false">IF($M614=0,"",INDEX(Classes!$B$6:$B$420,$M614))</f>
        <v/>
      </c>
      <c r="E614" s="61" t="str">
        <f aca="false">IF($M614=0,"",INDEX(Classes!$C$6:$C$420,$M614))</f>
        <v/>
      </c>
      <c r="F614" s="63"/>
      <c r="G614" s="63"/>
      <c r="H614" s="60"/>
      <c r="I614" s="60"/>
      <c r="J614" s="63"/>
      <c r="K614" s="61" t="str">
        <f aca="false">IF($P614=0,"",IF($F614="Baseline","— Baseline",IF($O614=0,"No result",IF($N614=0,"No Start (attainment only)",IF(OR($N614=1,$O614=1),"U – needs rule",INDEX(MxBody,MATCH($I614,MxCurr,0),MATCH($H614,MxStart,0)))))))</f>
        <v/>
      </c>
      <c r="L614" s="62" t="str">
        <f aca="false">IF(COUNTA($A614,$F614,$G614,$H614,$I614,$J614)=0,"",IF($M614=0,"✖ كود الصف غير موجود",IF(ISNA(MATCH($F614,Lists!$A$2:$A$5,0)),"✖ الفترة غير صحيحة",IF(ISNA(MATCH($G614,Lists!$B$2:$B$7,0)),"✖ المجموعة غير صحيحة",IF(NOT(OR($H614="",$N614&gt;0)),"✖ Start غير صحيح",IF(NOT(OR($I614="",$I614="NR",$O614&gt;0)),"✖ Current غير صحيح",IF(NOT(IF(ISNUMBER($J614),AND($J614&gt;=0,$J614=INT($J614)),FALSE())),"✖ العدد يجب أن يكون صحيحًا ≥ 0",IF(AND($F614="Baseline",$H614&lt;&gt;""),"⚠ Baseline: Start لا يدخل في التقدم",IF($K614="No Start (attainment only)","ℹ تحصيل فقط (بدون Start)",IF($K614="U – needs rule","ℹ حالة U تحتاج قاعدة معتمدة",IF($K614="No result","ℹ بدون نتيجة (يُستبعد من التحصيل)","OK")))))))))))</f>
        <v/>
      </c>
      <c r="M614" s="64" t="n">
        <f aca="false">IF($A614="",0,IFERROR(MATCH($A614,Classes!$A$6:$A$420,0),0))</f>
        <v>0</v>
      </c>
      <c r="N614" s="64" t="n">
        <f aca="false">IF($H614="",0,IFERROR(MATCH($H614,GradeList,0),0))</f>
        <v>0</v>
      </c>
      <c r="O614" s="64" t="n">
        <f aca="false">IF(OR($I614="",$I614="NR"),0,IFERROR(MATCH($I614,GradeList,0),0))</f>
        <v>0</v>
      </c>
      <c r="P614" s="64" t="n">
        <f aca="false">IF(AND($M614&gt;0,ISNUMBER(MATCH($F614,Lists!$A$2:$A$5,0)),ISNUMBER(MATCH($G614,Lists!$B$2:$B$7,0)),OR($H614="",$N614&gt;0),OR($I614="",$I614="NR",$O614&gt;0),IF(ISNUMBER($J614),AND($J614&gt;=0,$J614=INT($J614)),FALSE())),$J614,0)</f>
        <v>0</v>
      </c>
      <c r="Q614" s="64" t="n">
        <f aca="false">IF(AND($P614&gt;0,$O614&gt;0),$P614,0)</f>
        <v>0</v>
      </c>
      <c r="R614" s="64" t="n">
        <f aca="false">IF(AND($Q614&gt;0,$O614&gt;=AtRank),$Q614,0)</f>
        <v>0</v>
      </c>
      <c r="S614" s="64" t="n">
        <f aca="false">IF(AND($Q614&gt;0,$O614&gt;=AboveRank),$Q614,0)</f>
        <v>0</v>
      </c>
      <c r="T614" s="64" t="n">
        <f aca="false">IF($K614="Less",$P614,0)</f>
        <v>0</v>
      </c>
      <c r="U614" s="64" t="n">
        <f aca="false">IF($K614="Expected",$P614,0)</f>
        <v>0</v>
      </c>
      <c r="V614" s="64" t="n">
        <f aca="false">IF($K614="Better",$P614,0)</f>
        <v>0</v>
      </c>
      <c r="W614" s="64" t="n">
        <f aca="false">IF($K614="U – needs rule",$P614,0)</f>
        <v>0</v>
      </c>
      <c r="X614" s="64" t="n">
        <f aca="false">IF($K614="No Start (attainment only)",$P614,0)</f>
        <v>0</v>
      </c>
    </row>
    <row r="615" customFormat="false" ht="15" hidden="false" customHeight="false" outlineLevel="0" collapsed="false">
      <c r="A615" s="60"/>
      <c r="B615" s="61" t="str">
        <f aca="false">IF($M615=0,"",INDEX(Classes!$E$6:$E$420,$M615))</f>
        <v/>
      </c>
      <c r="C615" s="62" t="str">
        <f aca="false">IF($M615=0,"",INDEX(Classes!$H$6:$H$420,$M615))</f>
        <v/>
      </c>
      <c r="D615" s="61" t="str">
        <f aca="false">IF($M615=0,"",INDEX(Classes!$B$6:$B$420,$M615))</f>
        <v/>
      </c>
      <c r="E615" s="61" t="str">
        <f aca="false">IF($M615=0,"",INDEX(Classes!$C$6:$C$420,$M615))</f>
        <v/>
      </c>
      <c r="F615" s="63"/>
      <c r="G615" s="63"/>
      <c r="H615" s="60"/>
      <c r="I615" s="60"/>
      <c r="J615" s="63"/>
      <c r="K615" s="61" t="str">
        <f aca="false">IF($P615=0,"",IF($F615="Baseline","— Baseline",IF($O615=0,"No result",IF($N615=0,"No Start (attainment only)",IF(OR($N615=1,$O615=1),"U – needs rule",INDEX(MxBody,MATCH($I615,MxCurr,0),MATCH($H615,MxStart,0)))))))</f>
        <v/>
      </c>
      <c r="L615" s="62" t="str">
        <f aca="false">IF(COUNTA($A615,$F615,$G615,$H615,$I615,$J615)=0,"",IF($M615=0,"✖ كود الصف غير موجود",IF(ISNA(MATCH($F615,Lists!$A$2:$A$5,0)),"✖ الفترة غير صحيحة",IF(ISNA(MATCH($G615,Lists!$B$2:$B$7,0)),"✖ المجموعة غير صحيحة",IF(NOT(OR($H615="",$N615&gt;0)),"✖ Start غير صحيح",IF(NOT(OR($I615="",$I615="NR",$O615&gt;0)),"✖ Current غير صحيح",IF(NOT(IF(ISNUMBER($J615),AND($J615&gt;=0,$J615=INT($J615)),FALSE())),"✖ العدد يجب أن يكون صحيحًا ≥ 0",IF(AND($F615="Baseline",$H615&lt;&gt;""),"⚠ Baseline: Start لا يدخل في التقدم",IF($K615="No Start (attainment only)","ℹ تحصيل فقط (بدون Start)",IF($K615="U – needs rule","ℹ حالة U تحتاج قاعدة معتمدة",IF($K615="No result","ℹ بدون نتيجة (يُستبعد من التحصيل)","OK")))))))))))</f>
        <v/>
      </c>
      <c r="M615" s="64" t="n">
        <f aca="false">IF($A615="",0,IFERROR(MATCH($A615,Classes!$A$6:$A$420,0),0))</f>
        <v>0</v>
      </c>
      <c r="N615" s="64" t="n">
        <f aca="false">IF($H615="",0,IFERROR(MATCH($H615,GradeList,0),0))</f>
        <v>0</v>
      </c>
      <c r="O615" s="64" t="n">
        <f aca="false">IF(OR($I615="",$I615="NR"),0,IFERROR(MATCH($I615,GradeList,0),0))</f>
        <v>0</v>
      </c>
      <c r="P615" s="64" t="n">
        <f aca="false">IF(AND($M615&gt;0,ISNUMBER(MATCH($F615,Lists!$A$2:$A$5,0)),ISNUMBER(MATCH($G615,Lists!$B$2:$B$7,0)),OR($H615="",$N615&gt;0),OR($I615="",$I615="NR",$O615&gt;0),IF(ISNUMBER($J615),AND($J615&gt;=0,$J615=INT($J615)),FALSE())),$J615,0)</f>
        <v>0</v>
      </c>
      <c r="Q615" s="64" t="n">
        <f aca="false">IF(AND($P615&gt;0,$O615&gt;0),$P615,0)</f>
        <v>0</v>
      </c>
      <c r="R615" s="64" t="n">
        <f aca="false">IF(AND($Q615&gt;0,$O615&gt;=AtRank),$Q615,0)</f>
        <v>0</v>
      </c>
      <c r="S615" s="64" t="n">
        <f aca="false">IF(AND($Q615&gt;0,$O615&gt;=AboveRank),$Q615,0)</f>
        <v>0</v>
      </c>
      <c r="T615" s="64" t="n">
        <f aca="false">IF($K615="Less",$P615,0)</f>
        <v>0</v>
      </c>
      <c r="U615" s="64" t="n">
        <f aca="false">IF($K615="Expected",$P615,0)</f>
        <v>0</v>
      </c>
      <c r="V615" s="64" t="n">
        <f aca="false">IF($K615="Better",$P615,0)</f>
        <v>0</v>
      </c>
      <c r="W615" s="64" t="n">
        <f aca="false">IF($K615="U – needs rule",$P615,0)</f>
        <v>0</v>
      </c>
      <c r="X615" s="64" t="n">
        <f aca="false">IF($K615="No Start (attainment only)",$P615,0)</f>
        <v>0</v>
      </c>
    </row>
    <row r="616" customFormat="false" ht="15" hidden="false" customHeight="false" outlineLevel="0" collapsed="false">
      <c r="A616" s="60"/>
      <c r="B616" s="61" t="str">
        <f aca="false">IF($M616=0,"",INDEX(Classes!$E$6:$E$420,$M616))</f>
        <v/>
      </c>
      <c r="C616" s="62" t="str">
        <f aca="false">IF($M616=0,"",INDEX(Classes!$H$6:$H$420,$M616))</f>
        <v/>
      </c>
      <c r="D616" s="61" t="str">
        <f aca="false">IF($M616=0,"",INDEX(Classes!$B$6:$B$420,$M616))</f>
        <v/>
      </c>
      <c r="E616" s="61" t="str">
        <f aca="false">IF($M616=0,"",INDEX(Classes!$C$6:$C$420,$M616))</f>
        <v/>
      </c>
      <c r="F616" s="63"/>
      <c r="G616" s="63"/>
      <c r="H616" s="60"/>
      <c r="I616" s="60"/>
      <c r="J616" s="63"/>
      <c r="K616" s="61" t="str">
        <f aca="false">IF($P616=0,"",IF($F616="Baseline","— Baseline",IF($O616=0,"No result",IF($N616=0,"No Start (attainment only)",IF(OR($N616=1,$O616=1),"U – needs rule",INDEX(MxBody,MATCH($I616,MxCurr,0),MATCH($H616,MxStart,0)))))))</f>
        <v/>
      </c>
      <c r="L616" s="62" t="str">
        <f aca="false">IF(COUNTA($A616,$F616,$G616,$H616,$I616,$J616)=0,"",IF($M616=0,"✖ كود الصف غير موجود",IF(ISNA(MATCH($F616,Lists!$A$2:$A$5,0)),"✖ الفترة غير صحيحة",IF(ISNA(MATCH($G616,Lists!$B$2:$B$7,0)),"✖ المجموعة غير صحيحة",IF(NOT(OR($H616="",$N616&gt;0)),"✖ Start غير صحيح",IF(NOT(OR($I616="",$I616="NR",$O616&gt;0)),"✖ Current غير صحيح",IF(NOT(IF(ISNUMBER($J616),AND($J616&gt;=0,$J616=INT($J616)),FALSE())),"✖ العدد يجب أن يكون صحيحًا ≥ 0",IF(AND($F616="Baseline",$H616&lt;&gt;""),"⚠ Baseline: Start لا يدخل في التقدم",IF($K616="No Start (attainment only)","ℹ تحصيل فقط (بدون Start)",IF($K616="U – needs rule","ℹ حالة U تحتاج قاعدة معتمدة",IF($K616="No result","ℹ بدون نتيجة (يُستبعد من التحصيل)","OK")))))))))))</f>
        <v/>
      </c>
      <c r="M616" s="64" t="n">
        <f aca="false">IF($A616="",0,IFERROR(MATCH($A616,Classes!$A$6:$A$420,0),0))</f>
        <v>0</v>
      </c>
      <c r="N616" s="64" t="n">
        <f aca="false">IF($H616="",0,IFERROR(MATCH($H616,GradeList,0),0))</f>
        <v>0</v>
      </c>
      <c r="O616" s="64" t="n">
        <f aca="false">IF(OR($I616="",$I616="NR"),0,IFERROR(MATCH($I616,GradeList,0),0))</f>
        <v>0</v>
      </c>
      <c r="P616" s="64" t="n">
        <f aca="false">IF(AND($M616&gt;0,ISNUMBER(MATCH($F616,Lists!$A$2:$A$5,0)),ISNUMBER(MATCH($G616,Lists!$B$2:$B$7,0)),OR($H616="",$N616&gt;0),OR($I616="",$I616="NR",$O616&gt;0),IF(ISNUMBER($J616),AND($J616&gt;=0,$J616=INT($J616)),FALSE())),$J616,0)</f>
        <v>0</v>
      </c>
      <c r="Q616" s="64" t="n">
        <f aca="false">IF(AND($P616&gt;0,$O616&gt;0),$P616,0)</f>
        <v>0</v>
      </c>
      <c r="R616" s="64" t="n">
        <f aca="false">IF(AND($Q616&gt;0,$O616&gt;=AtRank),$Q616,0)</f>
        <v>0</v>
      </c>
      <c r="S616" s="64" t="n">
        <f aca="false">IF(AND($Q616&gt;0,$O616&gt;=AboveRank),$Q616,0)</f>
        <v>0</v>
      </c>
      <c r="T616" s="64" t="n">
        <f aca="false">IF($K616="Less",$P616,0)</f>
        <v>0</v>
      </c>
      <c r="U616" s="64" t="n">
        <f aca="false">IF($K616="Expected",$P616,0)</f>
        <v>0</v>
      </c>
      <c r="V616" s="64" t="n">
        <f aca="false">IF($K616="Better",$P616,0)</f>
        <v>0</v>
      </c>
      <c r="W616" s="64" t="n">
        <f aca="false">IF($K616="U – needs rule",$P616,0)</f>
        <v>0</v>
      </c>
      <c r="X616" s="64" t="n">
        <f aca="false">IF($K616="No Start (attainment only)",$P616,0)</f>
        <v>0</v>
      </c>
    </row>
    <row r="617" customFormat="false" ht="15" hidden="false" customHeight="false" outlineLevel="0" collapsed="false">
      <c r="A617" s="60"/>
      <c r="B617" s="61" t="str">
        <f aca="false">IF($M617=0,"",INDEX(Classes!$E$6:$E$420,$M617))</f>
        <v/>
      </c>
      <c r="C617" s="62" t="str">
        <f aca="false">IF($M617=0,"",INDEX(Classes!$H$6:$H$420,$M617))</f>
        <v/>
      </c>
      <c r="D617" s="61" t="str">
        <f aca="false">IF($M617=0,"",INDEX(Classes!$B$6:$B$420,$M617))</f>
        <v/>
      </c>
      <c r="E617" s="61" t="str">
        <f aca="false">IF($M617=0,"",INDEX(Classes!$C$6:$C$420,$M617))</f>
        <v/>
      </c>
      <c r="F617" s="63"/>
      <c r="G617" s="63"/>
      <c r="H617" s="60"/>
      <c r="I617" s="60"/>
      <c r="J617" s="63"/>
      <c r="K617" s="61" t="str">
        <f aca="false">IF($P617=0,"",IF($F617="Baseline","— Baseline",IF($O617=0,"No result",IF($N617=0,"No Start (attainment only)",IF(OR($N617=1,$O617=1),"U – needs rule",INDEX(MxBody,MATCH($I617,MxCurr,0),MATCH($H617,MxStart,0)))))))</f>
        <v/>
      </c>
      <c r="L617" s="62" t="str">
        <f aca="false">IF(COUNTA($A617,$F617,$G617,$H617,$I617,$J617)=0,"",IF($M617=0,"✖ كود الصف غير موجود",IF(ISNA(MATCH($F617,Lists!$A$2:$A$5,0)),"✖ الفترة غير صحيحة",IF(ISNA(MATCH($G617,Lists!$B$2:$B$7,0)),"✖ المجموعة غير صحيحة",IF(NOT(OR($H617="",$N617&gt;0)),"✖ Start غير صحيح",IF(NOT(OR($I617="",$I617="NR",$O617&gt;0)),"✖ Current غير صحيح",IF(NOT(IF(ISNUMBER($J617),AND($J617&gt;=0,$J617=INT($J617)),FALSE())),"✖ العدد يجب أن يكون صحيحًا ≥ 0",IF(AND($F617="Baseline",$H617&lt;&gt;""),"⚠ Baseline: Start لا يدخل في التقدم",IF($K617="No Start (attainment only)","ℹ تحصيل فقط (بدون Start)",IF($K617="U – needs rule","ℹ حالة U تحتاج قاعدة معتمدة",IF($K617="No result","ℹ بدون نتيجة (يُستبعد من التحصيل)","OK")))))))))))</f>
        <v/>
      </c>
      <c r="M617" s="64" t="n">
        <f aca="false">IF($A617="",0,IFERROR(MATCH($A617,Classes!$A$6:$A$420,0),0))</f>
        <v>0</v>
      </c>
      <c r="N617" s="64" t="n">
        <f aca="false">IF($H617="",0,IFERROR(MATCH($H617,GradeList,0),0))</f>
        <v>0</v>
      </c>
      <c r="O617" s="64" t="n">
        <f aca="false">IF(OR($I617="",$I617="NR"),0,IFERROR(MATCH($I617,GradeList,0),0))</f>
        <v>0</v>
      </c>
      <c r="P617" s="64" t="n">
        <f aca="false">IF(AND($M617&gt;0,ISNUMBER(MATCH($F617,Lists!$A$2:$A$5,0)),ISNUMBER(MATCH($G617,Lists!$B$2:$B$7,0)),OR($H617="",$N617&gt;0),OR($I617="",$I617="NR",$O617&gt;0),IF(ISNUMBER($J617),AND($J617&gt;=0,$J617=INT($J617)),FALSE())),$J617,0)</f>
        <v>0</v>
      </c>
      <c r="Q617" s="64" t="n">
        <f aca="false">IF(AND($P617&gt;0,$O617&gt;0),$P617,0)</f>
        <v>0</v>
      </c>
      <c r="R617" s="64" t="n">
        <f aca="false">IF(AND($Q617&gt;0,$O617&gt;=AtRank),$Q617,0)</f>
        <v>0</v>
      </c>
      <c r="S617" s="64" t="n">
        <f aca="false">IF(AND($Q617&gt;0,$O617&gt;=AboveRank),$Q617,0)</f>
        <v>0</v>
      </c>
      <c r="T617" s="64" t="n">
        <f aca="false">IF($K617="Less",$P617,0)</f>
        <v>0</v>
      </c>
      <c r="U617" s="64" t="n">
        <f aca="false">IF($K617="Expected",$P617,0)</f>
        <v>0</v>
      </c>
      <c r="V617" s="64" t="n">
        <f aca="false">IF($K617="Better",$P617,0)</f>
        <v>0</v>
      </c>
      <c r="W617" s="64" t="n">
        <f aca="false">IF($K617="U – needs rule",$P617,0)</f>
        <v>0</v>
      </c>
      <c r="X617" s="64" t="n">
        <f aca="false">IF($K617="No Start (attainment only)",$P617,0)</f>
        <v>0</v>
      </c>
    </row>
    <row r="618" customFormat="false" ht="15" hidden="false" customHeight="false" outlineLevel="0" collapsed="false">
      <c r="A618" s="60"/>
      <c r="B618" s="61" t="str">
        <f aca="false">IF($M618=0,"",INDEX(Classes!$E$6:$E$420,$M618))</f>
        <v/>
      </c>
      <c r="C618" s="62" t="str">
        <f aca="false">IF($M618=0,"",INDEX(Classes!$H$6:$H$420,$M618))</f>
        <v/>
      </c>
      <c r="D618" s="61" t="str">
        <f aca="false">IF($M618=0,"",INDEX(Classes!$B$6:$B$420,$M618))</f>
        <v/>
      </c>
      <c r="E618" s="61" t="str">
        <f aca="false">IF($M618=0,"",INDEX(Classes!$C$6:$C$420,$M618))</f>
        <v/>
      </c>
      <c r="F618" s="63"/>
      <c r="G618" s="63"/>
      <c r="H618" s="60"/>
      <c r="I618" s="60"/>
      <c r="J618" s="63"/>
      <c r="K618" s="61" t="str">
        <f aca="false">IF($P618=0,"",IF($F618="Baseline","— Baseline",IF($O618=0,"No result",IF($N618=0,"No Start (attainment only)",IF(OR($N618=1,$O618=1),"U – needs rule",INDEX(MxBody,MATCH($I618,MxCurr,0),MATCH($H618,MxStart,0)))))))</f>
        <v/>
      </c>
      <c r="L618" s="62" t="str">
        <f aca="false">IF(COUNTA($A618,$F618,$G618,$H618,$I618,$J618)=0,"",IF($M618=0,"✖ كود الصف غير موجود",IF(ISNA(MATCH($F618,Lists!$A$2:$A$5,0)),"✖ الفترة غير صحيحة",IF(ISNA(MATCH($G618,Lists!$B$2:$B$7,0)),"✖ المجموعة غير صحيحة",IF(NOT(OR($H618="",$N618&gt;0)),"✖ Start غير صحيح",IF(NOT(OR($I618="",$I618="NR",$O618&gt;0)),"✖ Current غير صحيح",IF(NOT(IF(ISNUMBER($J618),AND($J618&gt;=0,$J618=INT($J618)),FALSE())),"✖ العدد يجب أن يكون صحيحًا ≥ 0",IF(AND($F618="Baseline",$H618&lt;&gt;""),"⚠ Baseline: Start لا يدخل في التقدم",IF($K618="No Start (attainment only)","ℹ تحصيل فقط (بدون Start)",IF($K618="U – needs rule","ℹ حالة U تحتاج قاعدة معتمدة",IF($K618="No result","ℹ بدون نتيجة (يُستبعد من التحصيل)","OK")))))))))))</f>
        <v/>
      </c>
      <c r="M618" s="64" t="n">
        <f aca="false">IF($A618="",0,IFERROR(MATCH($A618,Classes!$A$6:$A$420,0),0))</f>
        <v>0</v>
      </c>
      <c r="N618" s="64" t="n">
        <f aca="false">IF($H618="",0,IFERROR(MATCH($H618,GradeList,0),0))</f>
        <v>0</v>
      </c>
      <c r="O618" s="64" t="n">
        <f aca="false">IF(OR($I618="",$I618="NR"),0,IFERROR(MATCH($I618,GradeList,0),0))</f>
        <v>0</v>
      </c>
      <c r="P618" s="64" t="n">
        <f aca="false">IF(AND($M618&gt;0,ISNUMBER(MATCH($F618,Lists!$A$2:$A$5,0)),ISNUMBER(MATCH($G618,Lists!$B$2:$B$7,0)),OR($H618="",$N618&gt;0),OR($I618="",$I618="NR",$O618&gt;0),IF(ISNUMBER($J618),AND($J618&gt;=0,$J618=INT($J618)),FALSE())),$J618,0)</f>
        <v>0</v>
      </c>
      <c r="Q618" s="64" t="n">
        <f aca="false">IF(AND($P618&gt;0,$O618&gt;0),$P618,0)</f>
        <v>0</v>
      </c>
      <c r="R618" s="64" t="n">
        <f aca="false">IF(AND($Q618&gt;0,$O618&gt;=AtRank),$Q618,0)</f>
        <v>0</v>
      </c>
      <c r="S618" s="64" t="n">
        <f aca="false">IF(AND($Q618&gt;0,$O618&gt;=AboveRank),$Q618,0)</f>
        <v>0</v>
      </c>
      <c r="T618" s="64" t="n">
        <f aca="false">IF($K618="Less",$P618,0)</f>
        <v>0</v>
      </c>
      <c r="U618" s="64" t="n">
        <f aca="false">IF($K618="Expected",$P618,0)</f>
        <v>0</v>
      </c>
      <c r="V618" s="64" t="n">
        <f aca="false">IF($K618="Better",$P618,0)</f>
        <v>0</v>
      </c>
      <c r="W618" s="64" t="n">
        <f aca="false">IF($K618="U – needs rule",$P618,0)</f>
        <v>0</v>
      </c>
      <c r="X618" s="64" t="n">
        <f aca="false">IF($K618="No Start (attainment only)",$P618,0)</f>
        <v>0</v>
      </c>
    </row>
    <row r="619" customFormat="false" ht="15" hidden="false" customHeight="false" outlineLevel="0" collapsed="false">
      <c r="A619" s="60"/>
      <c r="B619" s="61" t="str">
        <f aca="false">IF($M619=0,"",INDEX(Classes!$E$6:$E$420,$M619))</f>
        <v/>
      </c>
      <c r="C619" s="62" t="str">
        <f aca="false">IF($M619=0,"",INDEX(Classes!$H$6:$H$420,$M619))</f>
        <v/>
      </c>
      <c r="D619" s="61" t="str">
        <f aca="false">IF($M619=0,"",INDEX(Classes!$B$6:$B$420,$M619))</f>
        <v/>
      </c>
      <c r="E619" s="61" t="str">
        <f aca="false">IF($M619=0,"",INDEX(Classes!$C$6:$C$420,$M619))</f>
        <v/>
      </c>
      <c r="F619" s="63"/>
      <c r="G619" s="63"/>
      <c r="H619" s="60"/>
      <c r="I619" s="60"/>
      <c r="J619" s="63"/>
      <c r="K619" s="61" t="str">
        <f aca="false">IF($P619=0,"",IF($F619="Baseline","— Baseline",IF($O619=0,"No result",IF($N619=0,"No Start (attainment only)",IF(OR($N619=1,$O619=1),"U – needs rule",INDEX(MxBody,MATCH($I619,MxCurr,0),MATCH($H619,MxStart,0)))))))</f>
        <v/>
      </c>
      <c r="L619" s="62" t="str">
        <f aca="false">IF(COUNTA($A619,$F619,$G619,$H619,$I619,$J619)=0,"",IF($M619=0,"✖ كود الصف غير موجود",IF(ISNA(MATCH($F619,Lists!$A$2:$A$5,0)),"✖ الفترة غير صحيحة",IF(ISNA(MATCH($G619,Lists!$B$2:$B$7,0)),"✖ المجموعة غير صحيحة",IF(NOT(OR($H619="",$N619&gt;0)),"✖ Start غير صحيح",IF(NOT(OR($I619="",$I619="NR",$O619&gt;0)),"✖ Current غير صحيح",IF(NOT(IF(ISNUMBER($J619),AND($J619&gt;=0,$J619=INT($J619)),FALSE())),"✖ العدد يجب أن يكون صحيحًا ≥ 0",IF(AND($F619="Baseline",$H619&lt;&gt;""),"⚠ Baseline: Start لا يدخل في التقدم",IF($K619="No Start (attainment only)","ℹ تحصيل فقط (بدون Start)",IF($K619="U – needs rule","ℹ حالة U تحتاج قاعدة معتمدة",IF($K619="No result","ℹ بدون نتيجة (يُستبعد من التحصيل)","OK")))))))))))</f>
        <v/>
      </c>
      <c r="M619" s="64" t="n">
        <f aca="false">IF($A619="",0,IFERROR(MATCH($A619,Classes!$A$6:$A$420,0),0))</f>
        <v>0</v>
      </c>
      <c r="N619" s="64" t="n">
        <f aca="false">IF($H619="",0,IFERROR(MATCH($H619,GradeList,0),0))</f>
        <v>0</v>
      </c>
      <c r="O619" s="64" t="n">
        <f aca="false">IF(OR($I619="",$I619="NR"),0,IFERROR(MATCH($I619,GradeList,0),0))</f>
        <v>0</v>
      </c>
      <c r="P619" s="64" t="n">
        <f aca="false">IF(AND($M619&gt;0,ISNUMBER(MATCH($F619,Lists!$A$2:$A$5,0)),ISNUMBER(MATCH($G619,Lists!$B$2:$B$7,0)),OR($H619="",$N619&gt;0),OR($I619="",$I619="NR",$O619&gt;0),IF(ISNUMBER($J619),AND($J619&gt;=0,$J619=INT($J619)),FALSE())),$J619,0)</f>
        <v>0</v>
      </c>
      <c r="Q619" s="64" t="n">
        <f aca="false">IF(AND($P619&gt;0,$O619&gt;0),$P619,0)</f>
        <v>0</v>
      </c>
      <c r="R619" s="64" t="n">
        <f aca="false">IF(AND($Q619&gt;0,$O619&gt;=AtRank),$Q619,0)</f>
        <v>0</v>
      </c>
      <c r="S619" s="64" t="n">
        <f aca="false">IF(AND($Q619&gt;0,$O619&gt;=AboveRank),$Q619,0)</f>
        <v>0</v>
      </c>
      <c r="T619" s="64" t="n">
        <f aca="false">IF($K619="Less",$P619,0)</f>
        <v>0</v>
      </c>
      <c r="U619" s="64" t="n">
        <f aca="false">IF($K619="Expected",$P619,0)</f>
        <v>0</v>
      </c>
      <c r="V619" s="64" t="n">
        <f aca="false">IF($K619="Better",$P619,0)</f>
        <v>0</v>
      </c>
      <c r="W619" s="64" t="n">
        <f aca="false">IF($K619="U – needs rule",$P619,0)</f>
        <v>0</v>
      </c>
      <c r="X619" s="64" t="n">
        <f aca="false">IF($K619="No Start (attainment only)",$P619,0)</f>
        <v>0</v>
      </c>
    </row>
    <row r="620" customFormat="false" ht="15" hidden="false" customHeight="false" outlineLevel="0" collapsed="false">
      <c r="A620" s="60"/>
      <c r="B620" s="61" t="str">
        <f aca="false">IF($M620=0,"",INDEX(Classes!$E$6:$E$420,$M620))</f>
        <v/>
      </c>
      <c r="C620" s="62" t="str">
        <f aca="false">IF($M620=0,"",INDEX(Classes!$H$6:$H$420,$M620))</f>
        <v/>
      </c>
      <c r="D620" s="61" t="str">
        <f aca="false">IF($M620=0,"",INDEX(Classes!$B$6:$B$420,$M620))</f>
        <v/>
      </c>
      <c r="E620" s="61" t="str">
        <f aca="false">IF($M620=0,"",INDEX(Classes!$C$6:$C$420,$M620))</f>
        <v/>
      </c>
      <c r="F620" s="63"/>
      <c r="G620" s="63"/>
      <c r="H620" s="60"/>
      <c r="I620" s="60"/>
      <c r="J620" s="63"/>
      <c r="K620" s="61" t="str">
        <f aca="false">IF($P620=0,"",IF($F620="Baseline","— Baseline",IF($O620=0,"No result",IF($N620=0,"No Start (attainment only)",IF(OR($N620=1,$O620=1),"U – needs rule",INDEX(MxBody,MATCH($I620,MxCurr,0),MATCH($H620,MxStart,0)))))))</f>
        <v/>
      </c>
      <c r="L620" s="62" t="str">
        <f aca="false">IF(COUNTA($A620,$F620,$G620,$H620,$I620,$J620)=0,"",IF($M620=0,"✖ كود الصف غير موجود",IF(ISNA(MATCH($F620,Lists!$A$2:$A$5,0)),"✖ الفترة غير صحيحة",IF(ISNA(MATCH($G620,Lists!$B$2:$B$7,0)),"✖ المجموعة غير صحيحة",IF(NOT(OR($H620="",$N620&gt;0)),"✖ Start غير صحيح",IF(NOT(OR($I620="",$I620="NR",$O620&gt;0)),"✖ Current غير صحيح",IF(NOT(IF(ISNUMBER($J620),AND($J620&gt;=0,$J620=INT($J620)),FALSE())),"✖ العدد يجب أن يكون صحيحًا ≥ 0",IF(AND($F620="Baseline",$H620&lt;&gt;""),"⚠ Baseline: Start لا يدخل في التقدم",IF($K620="No Start (attainment only)","ℹ تحصيل فقط (بدون Start)",IF($K620="U – needs rule","ℹ حالة U تحتاج قاعدة معتمدة",IF($K620="No result","ℹ بدون نتيجة (يُستبعد من التحصيل)","OK")))))))))))</f>
        <v/>
      </c>
      <c r="M620" s="64" t="n">
        <f aca="false">IF($A620="",0,IFERROR(MATCH($A620,Classes!$A$6:$A$420,0),0))</f>
        <v>0</v>
      </c>
      <c r="N620" s="64" t="n">
        <f aca="false">IF($H620="",0,IFERROR(MATCH($H620,GradeList,0),0))</f>
        <v>0</v>
      </c>
      <c r="O620" s="64" t="n">
        <f aca="false">IF(OR($I620="",$I620="NR"),0,IFERROR(MATCH($I620,GradeList,0),0))</f>
        <v>0</v>
      </c>
      <c r="P620" s="64" t="n">
        <f aca="false">IF(AND($M620&gt;0,ISNUMBER(MATCH($F620,Lists!$A$2:$A$5,0)),ISNUMBER(MATCH($G620,Lists!$B$2:$B$7,0)),OR($H620="",$N620&gt;0),OR($I620="",$I620="NR",$O620&gt;0),IF(ISNUMBER($J620),AND($J620&gt;=0,$J620=INT($J620)),FALSE())),$J620,0)</f>
        <v>0</v>
      </c>
      <c r="Q620" s="64" t="n">
        <f aca="false">IF(AND($P620&gt;0,$O620&gt;0),$P620,0)</f>
        <v>0</v>
      </c>
      <c r="R620" s="64" t="n">
        <f aca="false">IF(AND($Q620&gt;0,$O620&gt;=AtRank),$Q620,0)</f>
        <v>0</v>
      </c>
      <c r="S620" s="64" t="n">
        <f aca="false">IF(AND($Q620&gt;0,$O620&gt;=AboveRank),$Q620,0)</f>
        <v>0</v>
      </c>
      <c r="T620" s="64" t="n">
        <f aca="false">IF($K620="Less",$P620,0)</f>
        <v>0</v>
      </c>
      <c r="U620" s="64" t="n">
        <f aca="false">IF($K620="Expected",$P620,0)</f>
        <v>0</v>
      </c>
      <c r="V620" s="64" t="n">
        <f aca="false">IF($K620="Better",$P620,0)</f>
        <v>0</v>
      </c>
      <c r="W620" s="64" t="n">
        <f aca="false">IF($K620="U – needs rule",$P620,0)</f>
        <v>0</v>
      </c>
      <c r="X620" s="64" t="n">
        <f aca="false">IF($K620="No Start (attainment only)",$P620,0)</f>
        <v>0</v>
      </c>
    </row>
    <row r="621" customFormat="false" ht="15" hidden="false" customHeight="false" outlineLevel="0" collapsed="false">
      <c r="A621" s="60"/>
      <c r="B621" s="61" t="str">
        <f aca="false">IF($M621=0,"",INDEX(Classes!$E$6:$E$420,$M621))</f>
        <v/>
      </c>
      <c r="C621" s="62" t="str">
        <f aca="false">IF($M621=0,"",INDEX(Classes!$H$6:$H$420,$M621))</f>
        <v/>
      </c>
      <c r="D621" s="61" t="str">
        <f aca="false">IF($M621=0,"",INDEX(Classes!$B$6:$B$420,$M621))</f>
        <v/>
      </c>
      <c r="E621" s="61" t="str">
        <f aca="false">IF($M621=0,"",INDEX(Classes!$C$6:$C$420,$M621))</f>
        <v/>
      </c>
      <c r="F621" s="63"/>
      <c r="G621" s="63"/>
      <c r="H621" s="60"/>
      <c r="I621" s="60"/>
      <c r="J621" s="63"/>
      <c r="K621" s="61" t="str">
        <f aca="false">IF($P621=0,"",IF($F621="Baseline","— Baseline",IF($O621=0,"No result",IF($N621=0,"No Start (attainment only)",IF(OR($N621=1,$O621=1),"U – needs rule",INDEX(MxBody,MATCH($I621,MxCurr,0),MATCH($H621,MxStart,0)))))))</f>
        <v/>
      </c>
      <c r="L621" s="62" t="str">
        <f aca="false">IF(COUNTA($A621,$F621,$G621,$H621,$I621,$J621)=0,"",IF($M621=0,"✖ كود الصف غير موجود",IF(ISNA(MATCH($F621,Lists!$A$2:$A$5,0)),"✖ الفترة غير صحيحة",IF(ISNA(MATCH($G621,Lists!$B$2:$B$7,0)),"✖ المجموعة غير صحيحة",IF(NOT(OR($H621="",$N621&gt;0)),"✖ Start غير صحيح",IF(NOT(OR($I621="",$I621="NR",$O621&gt;0)),"✖ Current غير صحيح",IF(NOT(IF(ISNUMBER($J621),AND($J621&gt;=0,$J621=INT($J621)),FALSE())),"✖ العدد يجب أن يكون صحيحًا ≥ 0",IF(AND($F621="Baseline",$H621&lt;&gt;""),"⚠ Baseline: Start لا يدخل في التقدم",IF($K621="No Start (attainment only)","ℹ تحصيل فقط (بدون Start)",IF($K621="U – needs rule","ℹ حالة U تحتاج قاعدة معتمدة",IF($K621="No result","ℹ بدون نتيجة (يُستبعد من التحصيل)","OK")))))))))))</f>
        <v/>
      </c>
      <c r="M621" s="64" t="n">
        <f aca="false">IF($A621="",0,IFERROR(MATCH($A621,Classes!$A$6:$A$420,0),0))</f>
        <v>0</v>
      </c>
      <c r="N621" s="64" t="n">
        <f aca="false">IF($H621="",0,IFERROR(MATCH($H621,GradeList,0),0))</f>
        <v>0</v>
      </c>
      <c r="O621" s="64" t="n">
        <f aca="false">IF(OR($I621="",$I621="NR"),0,IFERROR(MATCH($I621,GradeList,0),0))</f>
        <v>0</v>
      </c>
      <c r="P621" s="64" t="n">
        <f aca="false">IF(AND($M621&gt;0,ISNUMBER(MATCH($F621,Lists!$A$2:$A$5,0)),ISNUMBER(MATCH($G621,Lists!$B$2:$B$7,0)),OR($H621="",$N621&gt;0),OR($I621="",$I621="NR",$O621&gt;0),IF(ISNUMBER($J621),AND($J621&gt;=0,$J621=INT($J621)),FALSE())),$J621,0)</f>
        <v>0</v>
      </c>
      <c r="Q621" s="64" t="n">
        <f aca="false">IF(AND($P621&gt;0,$O621&gt;0),$P621,0)</f>
        <v>0</v>
      </c>
      <c r="R621" s="64" t="n">
        <f aca="false">IF(AND($Q621&gt;0,$O621&gt;=AtRank),$Q621,0)</f>
        <v>0</v>
      </c>
      <c r="S621" s="64" t="n">
        <f aca="false">IF(AND($Q621&gt;0,$O621&gt;=AboveRank),$Q621,0)</f>
        <v>0</v>
      </c>
      <c r="T621" s="64" t="n">
        <f aca="false">IF($K621="Less",$P621,0)</f>
        <v>0</v>
      </c>
      <c r="U621" s="64" t="n">
        <f aca="false">IF($K621="Expected",$P621,0)</f>
        <v>0</v>
      </c>
      <c r="V621" s="64" t="n">
        <f aca="false">IF($K621="Better",$P621,0)</f>
        <v>0</v>
      </c>
      <c r="W621" s="64" t="n">
        <f aca="false">IF($K621="U – needs rule",$P621,0)</f>
        <v>0</v>
      </c>
      <c r="X621" s="64" t="n">
        <f aca="false">IF($K621="No Start (attainment only)",$P621,0)</f>
        <v>0</v>
      </c>
    </row>
    <row r="622" customFormat="false" ht="15" hidden="false" customHeight="false" outlineLevel="0" collapsed="false">
      <c r="A622" s="60"/>
      <c r="B622" s="61" t="str">
        <f aca="false">IF($M622=0,"",INDEX(Classes!$E$6:$E$420,$M622))</f>
        <v/>
      </c>
      <c r="C622" s="62" t="str">
        <f aca="false">IF($M622=0,"",INDEX(Classes!$H$6:$H$420,$M622))</f>
        <v/>
      </c>
      <c r="D622" s="61" t="str">
        <f aca="false">IF($M622=0,"",INDEX(Classes!$B$6:$B$420,$M622))</f>
        <v/>
      </c>
      <c r="E622" s="61" t="str">
        <f aca="false">IF($M622=0,"",INDEX(Classes!$C$6:$C$420,$M622))</f>
        <v/>
      </c>
      <c r="F622" s="63"/>
      <c r="G622" s="63"/>
      <c r="H622" s="60"/>
      <c r="I622" s="60"/>
      <c r="J622" s="63"/>
      <c r="K622" s="61" t="str">
        <f aca="false">IF($P622=0,"",IF($F622="Baseline","— Baseline",IF($O622=0,"No result",IF($N622=0,"No Start (attainment only)",IF(OR($N622=1,$O622=1),"U – needs rule",INDEX(MxBody,MATCH($I622,MxCurr,0),MATCH($H622,MxStart,0)))))))</f>
        <v/>
      </c>
      <c r="L622" s="62" t="str">
        <f aca="false">IF(COUNTA($A622,$F622,$G622,$H622,$I622,$J622)=0,"",IF($M622=0,"✖ كود الصف غير موجود",IF(ISNA(MATCH($F622,Lists!$A$2:$A$5,0)),"✖ الفترة غير صحيحة",IF(ISNA(MATCH($G622,Lists!$B$2:$B$7,0)),"✖ المجموعة غير صحيحة",IF(NOT(OR($H622="",$N622&gt;0)),"✖ Start غير صحيح",IF(NOT(OR($I622="",$I622="NR",$O622&gt;0)),"✖ Current غير صحيح",IF(NOT(IF(ISNUMBER($J622),AND($J622&gt;=0,$J622=INT($J622)),FALSE())),"✖ العدد يجب أن يكون صحيحًا ≥ 0",IF(AND($F622="Baseline",$H622&lt;&gt;""),"⚠ Baseline: Start لا يدخل في التقدم",IF($K622="No Start (attainment only)","ℹ تحصيل فقط (بدون Start)",IF($K622="U – needs rule","ℹ حالة U تحتاج قاعدة معتمدة",IF($K622="No result","ℹ بدون نتيجة (يُستبعد من التحصيل)","OK")))))))))))</f>
        <v/>
      </c>
      <c r="M622" s="64" t="n">
        <f aca="false">IF($A622="",0,IFERROR(MATCH($A622,Classes!$A$6:$A$420,0),0))</f>
        <v>0</v>
      </c>
      <c r="N622" s="64" t="n">
        <f aca="false">IF($H622="",0,IFERROR(MATCH($H622,GradeList,0),0))</f>
        <v>0</v>
      </c>
      <c r="O622" s="64" t="n">
        <f aca="false">IF(OR($I622="",$I622="NR"),0,IFERROR(MATCH($I622,GradeList,0),0))</f>
        <v>0</v>
      </c>
      <c r="P622" s="64" t="n">
        <f aca="false">IF(AND($M622&gt;0,ISNUMBER(MATCH($F622,Lists!$A$2:$A$5,0)),ISNUMBER(MATCH($G622,Lists!$B$2:$B$7,0)),OR($H622="",$N622&gt;0),OR($I622="",$I622="NR",$O622&gt;0),IF(ISNUMBER($J622),AND($J622&gt;=0,$J622=INT($J622)),FALSE())),$J622,0)</f>
        <v>0</v>
      </c>
      <c r="Q622" s="64" t="n">
        <f aca="false">IF(AND($P622&gt;0,$O622&gt;0),$P622,0)</f>
        <v>0</v>
      </c>
      <c r="R622" s="64" t="n">
        <f aca="false">IF(AND($Q622&gt;0,$O622&gt;=AtRank),$Q622,0)</f>
        <v>0</v>
      </c>
      <c r="S622" s="64" t="n">
        <f aca="false">IF(AND($Q622&gt;0,$O622&gt;=AboveRank),$Q622,0)</f>
        <v>0</v>
      </c>
      <c r="T622" s="64" t="n">
        <f aca="false">IF($K622="Less",$P622,0)</f>
        <v>0</v>
      </c>
      <c r="U622" s="64" t="n">
        <f aca="false">IF($K622="Expected",$P622,0)</f>
        <v>0</v>
      </c>
      <c r="V622" s="64" t="n">
        <f aca="false">IF($K622="Better",$P622,0)</f>
        <v>0</v>
      </c>
      <c r="W622" s="64" t="n">
        <f aca="false">IF($K622="U – needs rule",$P622,0)</f>
        <v>0</v>
      </c>
      <c r="X622" s="64" t="n">
        <f aca="false">IF($K622="No Start (attainment only)",$P622,0)</f>
        <v>0</v>
      </c>
    </row>
    <row r="623" customFormat="false" ht="15" hidden="false" customHeight="false" outlineLevel="0" collapsed="false">
      <c r="A623" s="60"/>
      <c r="B623" s="61" t="str">
        <f aca="false">IF($M623=0,"",INDEX(Classes!$E$6:$E$420,$M623))</f>
        <v/>
      </c>
      <c r="C623" s="62" t="str">
        <f aca="false">IF($M623=0,"",INDEX(Classes!$H$6:$H$420,$M623))</f>
        <v/>
      </c>
      <c r="D623" s="61" t="str">
        <f aca="false">IF($M623=0,"",INDEX(Classes!$B$6:$B$420,$M623))</f>
        <v/>
      </c>
      <c r="E623" s="61" t="str">
        <f aca="false">IF($M623=0,"",INDEX(Classes!$C$6:$C$420,$M623))</f>
        <v/>
      </c>
      <c r="F623" s="63"/>
      <c r="G623" s="63"/>
      <c r="H623" s="60"/>
      <c r="I623" s="60"/>
      <c r="J623" s="63"/>
      <c r="K623" s="61" t="str">
        <f aca="false">IF($P623=0,"",IF($F623="Baseline","— Baseline",IF($O623=0,"No result",IF($N623=0,"No Start (attainment only)",IF(OR($N623=1,$O623=1),"U – needs rule",INDEX(MxBody,MATCH($I623,MxCurr,0),MATCH($H623,MxStart,0)))))))</f>
        <v/>
      </c>
      <c r="L623" s="62" t="str">
        <f aca="false">IF(COUNTA($A623,$F623,$G623,$H623,$I623,$J623)=0,"",IF($M623=0,"✖ كود الصف غير موجود",IF(ISNA(MATCH($F623,Lists!$A$2:$A$5,0)),"✖ الفترة غير صحيحة",IF(ISNA(MATCH($G623,Lists!$B$2:$B$7,0)),"✖ المجموعة غير صحيحة",IF(NOT(OR($H623="",$N623&gt;0)),"✖ Start غير صحيح",IF(NOT(OR($I623="",$I623="NR",$O623&gt;0)),"✖ Current غير صحيح",IF(NOT(IF(ISNUMBER($J623),AND($J623&gt;=0,$J623=INT($J623)),FALSE())),"✖ العدد يجب أن يكون صحيحًا ≥ 0",IF(AND($F623="Baseline",$H623&lt;&gt;""),"⚠ Baseline: Start لا يدخل في التقدم",IF($K623="No Start (attainment only)","ℹ تحصيل فقط (بدون Start)",IF($K623="U – needs rule","ℹ حالة U تحتاج قاعدة معتمدة",IF($K623="No result","ℹ بدون نتيجة (يُستبعد من التحصيل)","OK")))))))))))</f>
        <v/>
      </c>
      <c r="M623" s="64" t="n">
        <f aca="false">IF($A623="",0,IFERROR(MATCH($A623,Classes!$A$6:$A$420,0),0))</f>
        <v>0</v>
      </c>
      <c r="N623" s="64" t="n">
        <f aca="false">IF($H623="",0,IFERROR(MATCH($H623,GradeList,0),0))</f>
        <v>0</v>
      </c>
      <c r="O623" s="64" t="n">
        <f aca="false">IF(OR($I623="",$I623="NR"),0,IFERROR(MATCH($I623,GradeList,0),0))</f>
        <v>0</v>
      </c>
      <c r="P623" s="64" t="n">
        <f aca="false">IF(AND($M623&gt;0,ISNUMBER(MATCH($F623,Lists!$A$2:$A$5,0)),ISNUMBER(MATCH($G623,Lists!$B$2:$B$7,0)),OR($H623="",$N623&gt;0),OR($I623="",$I623="NR",$O623&gt;0),IF(ISNUMBER($J623),AND($J623&gt;=0,$J623=INT($J623)),FALSE())),$J623,0)</f>
        <v>0</v>
      </c>
      <c r="Q623" s="64" t="n">
        <f aca="false">IF(AND($P623&gt;0,$O623&gt;0),$P623,0)</f>
        <v>0</v>
      </c>
      <c r="R623" s="64" t="n">
        <f aca="false">IF(AND($Q623&gt;0,$O623&gt;=AtRank),$Q623,0)</f>
        <v>0</v>
      </c>
      <c r="S623" s="64" t="n">
        <f aca="false">IF(AND($Q623&gt;0,$O623&gt;=AboveRank),$Q623,0)</f>
        <v>0</v>
      </c>
      <c r="T623" s="64" t="n">
        <f aca="false">IF($K623="Less",$P623,0)</f>
        <v>0</v>
      </c>
      <c r="U623" s="64" t="n">
        <f aca="false">IF($K623="Expected",$P623,0)</f>
        <v>0</v>
      </c>
      <c r="V623" s="64" t="n">
        <f aca="false">IF($K623="Better",$P623,0)</f>
        <v>0</v>
      </c>
      <c r="W623" s="64" t="n">
        <f aca="false">IF($K623="U – needs rule",$P623,0)</f>
        <v>0</v>
      </c>
      <c r="X623" s="64" t="n">
        <f aca="false">IF($K623="No Start (attainment only)",$P623,0)</f>
        <v>0</v>
      </c>
    </row>
    <row r="624" customFormat="false" ht="15" hidden="false" customHeight="false" outlineLevel="0" collapsed="false">
      <c r="A624" s="60"/>
      <c r="B624" s="61" t="str">
        <f aca="false">IF($M624=0,"",INDEX(Classes!$E$6:$E$420,$M624))</f>
        <v/>
      </c>
      <c r="C624" s="62" t="str">
        <f aca="false">IF($M624=0,"",INDEX(Classes!$H$6:$H$420,$M624))</f>
        <v/>
      </c>
      <c r="D624" s="61" t="str">
        <f aca="false">IF($M624=0,"",INDEX(Classes!$B$6:$B$420,$M624))</f>
        <v/>
      </c>
      <c r="E624" s="61" t="str">
        <f aca="false">IF($M624=0,"",INDEX(Classes!$C$6:$C$420,$M624))</f>
        <v/>
      </c>
      <c r="F624" s="63"/>
      <c r="G624" s="63"/>
      <c r="H624" s="60"/>
      <c r="I624" s="60"/>
      <c r="J624" s="63"/>
      <c r="K624" s="61" t="str">
        <f aca="false">IF($P624=0,"",IF($F624="Baseline","— Baseline",IF($O624=0,"No result",IF($N624=0,"No Start (attainment only)",IF(OR($N624=1,$O624=1),"U – needs rule",INDEX(MxBody,MATCH($I624,MxCurr,0),MATCH($H624,MxStart,0)))))))</f>
        <v/>
      </c>
      <c r="L624" s="62" t="str">
        <f aca="false">IF(COUNTA($A624,$F624,$G624,$H624,$I624,$J624)=0,"",IF($M624=0,"✖ كود الصف غير موجود",IF(ISNA(MATCH($F624,Lists!$A$2:$A$5,0)),"✖ الفترة غير صحيحة",IF(ISNA(MATCH($G624,Lists!$B$2:$B$7,0)),"✖ المجموعة غير صحيحة",IF(NOT(OR($H624="",$N624&gt;0)),"✖ Start غير صحيح",IF(NOT(OR($I624="",$I624="NR",$O624&gt;0)),"✖ Current غير صحيح",IF(NOT(IF(ISNUMBER($J624),AND($J624&gt;=0,$J624=INT($J624)),FALSE())),"✖ العدد يجب أن يكون صحيحًا ≥ 0",IF(AND($F624="Baseline",$H624&lt;&gt;""),"⚠ Baseline: Start لا يدخل في التقدم",IF($K624="No Start (attainment only)","ℹ تحصيل فقط (بدون Start)",IF($K624="U – needs rule","ℹ حالة U تحتاج قاعدة معتمدة",IF($K624="No result","ℹ بدون نتيجة (يُستبعد من التحصيل)","OK")))))))))))</f>
        <v/>
      </c>
      <c r="M624" s="64" t="n">
        <f aca="false">IF($A624="",0,IFERROR(MATCH($A624,Classes!$A$6:$A$420,0),0))</f>
        <v>0</v>
      </c>
      <c r="N624" s="64" t="n">
        <f aca="false">IF($H624="",0,IFERROR(MATCH($H624,GradeList,0),0))</f>
        <v>0</v>
      </c>
      <c r="O624" s="64" t="n">
        <f aca="false">IF(OR($I624="",$I624="NR"),0,IFERROR(MATCH($I624,GradeList,0),0))</f>
        <v>0</v>
      </c>
      <c r="P624" s="64" t="n">
        <f aca="false">IF(AND($M624&gt;0,ISNUMBER(MATCH($F624,Lists!$A$2:$A$5,0)),ISNUMBER(MATCH($G624,Lists!$B$2:$B$7,0)),OR($H624="",$N624&gt;0),OR($I624="",$I624="NR",$O624&gt;0),IF(ISNUMBER($J624),AND($J624&gt;=0,$J624=INT($J624)),FALSE())),$J624,0)</f>
        <v>0</v>
      </c>
      <c r="Q624" s="64" t="n">
        <f aca="false">IF(AND($P624&gt;0,$O624&gt;0),$P624,0)</f>
        <v>0</v>
      </c>
      <c r="R624" s="64" t="n">
        <f aca="false">IF(AND($Q624&gt;0,$O624&gt;=AtRank),$Q624,0)</f>
        <v>0</v>
      </c>
      <c r="S624" s="64" t="n">
        <f aca="false">IF(AND($Q624&gt;0,$O624&gt;=AboveRank),$Q624,0)</f>
        <v>0</v>
      </c>
      <c r="T624" s="64" t="n">
        <f aca="false">IF($K624="Less",$P624,0)</f>
        <v>0</v>
      </c>
      <c r="U624" s="64" t="n">
        <f aca="false">IF($K624="Expected",$P624,0)</f>
        <v>0</v>
      </c>
      <c r="V624" s="64" t="n">
        <f aca="false">IF($K624="Better",$P624,0)</f>
        <v>0</v>
      </c>
      <c r="W624" s="64" t="n">
        <f aca="false">IF($K624="U – needs rule",$P624,0)</f>
        <v>0</v>
      </c>
      <c r="X624" s="64" t="n">
        <f aca="false">IF($K624="No Start (attainment only)",$P624,0)</f>
        <v>0</v>
      </c>
    </row>
    <row r="625" customFormat="false" ht="15" hidden="false" customHeight="false" outlineLevel="0" collapsed="false">
      <c r="A625" s="60"/>
      <c r="B625" s="61" t="str">
        <f aca="false">IF($M625=0,"",INDEX(Classes!$E$6:$E$420,$M625))</f>
        <v/>
      </c>
      <c r="C625" s="62" t="str">
        <f aca="false">IF($M625=0,"",INDEX(Classes!$H$6:$H$420,$M625))</f>
        <v/>
      </c>
      <c r="D625" s="61" t="str">
        <f aca="false">IF($M625=0,"",INDEX(Classes!$B$6:$B$420,$M625))</f>
        <v/>
      </c>
      <c r="E625" s="61" t="str">
        <f aca="false">IF($M625=0,"",INDEX(Classes!$C$6:$C$420,$M625))</f>
        <v/>
      </c>
      <c r="F625" s="63"/>
      <c r="G625" s="63"/>
      <c r="H625" s="60"/>
      <c r="I625" s="60"/>
      <c r="J625" s="63"/>
      <c r="K625" s="61" t="str">
        <f aca="false">IF($P625=0,"",IF($F625="Baseline","— Baseline",IF($O625=0,"No result",IF($N625=0,"No Start (attainment only)",IF(OR($N625=1,$O625=1),"U – needs rule",INDEX(MxBody,MATCH($I625,MxCurr,0),MATCH($H625,MxStart,0)))))))</f>
        <v/>
      </c>
      <c r="L625" s="62" t="str">
        <f aca="false">IF(COUNTA($A625,$F625,$G625,$H625,$I625,$J625)=0,"",IF($M625=0,"✖ كود الصف غير موجود",IF(ISNA(MATCH($F625,Lists!$A$2:$A$5,0)),"✖ الفترة غير صحيحة",IF(ISNA(MATCH($G625,Lists!$B$2:$B$7,0)),"✖ المجموعة غير صحيحة",IF(NOT(OR($H625="",$N625&gt;0)),"✖ Start غير صحيح",IF(NOT(OR($I625="",$I625="NR",$O625&gt;0)),"✖ Current غير صحيح",IF(NOT(IF(ISNUMBER($J625),AND($J625&gt;=0,$J625=INT($J625)),FALSE())),"✖ العدد يجب أن يكون صحيحًا ≥ 0",IF(AND($F625="Baseline",$H625&lt;&gt;""),"⚠ Baseline: Start لا يدخل في التقدم",IF($K625="No Start (attainment only)","ℹ تحصيل فقط (بدون Start)",IF($K625="U – needs rule","ℹ حالة U تحتاج قاعدة معتمدة",IF($K625="No result","ℹ بدون نتيجة (يُستبعد من التحصيل)","OK")))))))))))</f>
        <v/>
      </c>
      <c r="M625" s="64" t="n">
        <f aca="false">IF($A625="",0,IFERROR(MATCH($A625,Classes!$A$6:$A$420,0),0))</f>
        <v>0</v>
      </c>
      <c r="N625" s="64" t="n">
        <f aca="false">IF($H625="",0,IFERROR(MATCH($H625,GradeList,0),0))</f>
        <v>0</v>
      </c>
      <c r="O625" s="64" t="n">
        <f aca="false">IF(OR($I625="",$I625="NR"),0,IFERROR(MATCH($I625,GradeList,0),0))</f>
        <v>0</v>
      </c>
      <c r="P625" s="64" t="n">
        <f aca="false">IF(AND($M625&gt;0,ISNUMBER(MATCH($F625,Lists!$A$2:$A$5,0)),ISNUMBER(MATCH($G625,Lists!$B$2:$B$7,0)),OR($H625="",$N625&gt;0),OR($I625="",$I625="NR",$O625&gt;0),IF(ISNUMBER($J625),AND($J625&gt;=0,$J625=INT($J625)),FALSE())),$J625,0)</f>
        <v>0</v>
      </c>
      <c r="Q625" s="64" t="n">
        <f aca="false">IF(AND($P625&gt;0,$O625&gt;0),$P625,0)</f>
        <v>0</v>
      </c>
      <c r="R625" s="64" t="n">
        <f aca="false">IF(AND($Q625&gt;0,$O625&gt;=AtRank),$Q625,0)</f>
        <v>0</v>
      </c>
      <c r="S625" s="64" t="n">
        <f aca="false">IF(AND($Q625&gt;0,$O625&gt;=AboveRank),$Q625,0)</f>
        <v>0</v>
      </c>
      <c r="T625" s="64" t="n">
        <f aca="false">IF($K625="Less",$P625,0)</f>
        <v>0</v>
      </c>
      <c r="U625" s="64" t="n">
        <f aca="false">IF($K625="Expected",$P625,0)</f>
        <v>0</v>
      </c>
      <c r="V625" s="64" t="n">
        <f aca="false">IF($K625="Better",$P625,0)</f>
        <v>0</v>
      </c>
      <c r="W625" s="64" t="n">
        <f aca="false">IF($K625="U – needs rule",$P625,0)</f>
        <v>0</v>
      </c>
      <c r="X625" s="64" t="n">
        <f aca="false">IF($K625="No Start (attainment only)",$P625,0)</f>
        <v>0</v>
      </c>
    </row>
    <row r="626" customFormat="false" ht="15" hidden="false" customHeight="false" outlineLevel="0" collapsed="false">
      <c r="A626" s="60"/>
      <c r="B626" s="61" t="str">
        <f aca="false">IF($M626=0,"",INDEX(Classes!$E$6:$E$420,$M626))</f>
        <v/>
      </c>
      <c r="C626" s="62" t="str">
        <f aca="false">IF($M626=0,"",INDEX(Classes!$H$6:$H$420,$M626))</f>
        <v/>
      </c>
      <c r="D626" s="61" t="str">
        <f aca="false">IF($M626=0,"",INDEX(Classes!$B$6:$B$420,$M626))</f>
        <v/>
      </c>
      <c r="E626" s="61" t="str">
        <f aca="false">IF($M626=0,"",INDEX(Classes!$C$6:$C$420,$M626))</f>
        <v/>
      </c>
      <c r="F626" s="63"/>
      <c r="G626" s="63"/>
      <c r="H626" s="60"/>
      <c r="I626" s="60"/>
      <c r="J626" s="63"/>
      <c r="K626" s="61" t="str">
        <f aca="false">IF($P626=0,"",IF($F626="Baseline","— Baseline",IF($O626=0,"No result",IF($N626=0,"No Start (attainment only)",IF(OR($N626=1,$O626=1),"U – needs rule",INDEX(MxBody,MATCH($I626,MxCurr,0),MATCH($H626,MxStart,0)))))))</f>
        <v/>
      </c>
      <c r="L626" s="62" t="str">
        <f aca="false">IF(COUNTA($A626,$F626,$G626,$H626,$I626,$J626)=0,"",IF($M626=0,"✖ كود الصف غير موجود",IF(ISNA(MATCH($F626,Lists!$A$2:$A$5,0)),"✖ الفترة غير صحيحة",IF(ISNA(MATCH($G626,Lists!$B$2:$B$7,0)),"✖ المجموعة غير صحيحة",IF(NOT(OR($H626="",$N626&gt;0)),"✖ Start غير صحيح",IF(NOT(OR($I626="",$I626="NR",$O626&gt;0)),"✖ Current غير صحيح",IF(NOT(IF(ISNUMBER($J626),AND($J626&gt;=0,$J626=INT($J626)),FALSE())),"✖ العدد يجب أن يكون صحيحًا ≥ 0",IF(AND($F626="Baseline",$H626&lt;&gt;""),"⚠ Baseline: Start لا يدخل في التقدم",IF($K626="No Start (attainment only)","ℹ تحصيل فقط (بدون Start)",IF($K626="U – needs rule","ℹ حالة U تحتاج قاعدة معتمدة",IF($K626="No result","ℹ بدون نتيجة (يُستبعد من التحصيل)","OK")))))))))))</f>
        <v/>
      </c>
      <c r="M626" s="64" t="n">
        <f aca="false">IF($A626="",0,IFERROR(MATCH($A626,Classes!$A$6:$A$420,0),0))</f>
        <v>0</v>
      </c>
      <c r="N626" s="64" t="n">
        <f aca="false">IF($H626="",0,IFERROR(MATCH($H626,GradeList,0),0))</f>
        <v>0</v>
      </c>
      <c r="O626" s="64" t="n">
        <f aca="false">IF(OR($I626="",$I626="NR"),0,IFERROR(MATCH($I626,GradeList,0),0))</f>
        <v>0</v>
      </c>
      <c r="P626" s="64" t="n">
        <f aca="false">IF(AND($M626&gt;0,ISNUMBER(MATCH($F626,Lists!$A$2:$A$5,0)),ISNUMBER(MATCH($G626,Lists!$B$2:$B$7,0)),OR($H626="",$N626&gt;0),OR($I626="",$I626="NR",$O626&gt;0),IF(ISNUMBER($J626),AND($J626&gt;=0,$J626=INT($J626)),FALSE())),$J626,0)</f>
        <v>0</v>
      </c>
      <c r="Q626" s="64" t="n">
        <f aca="false">IF(AND($P626&gt;0,$O626&gt;0),$P626,0)</f>
        <v>0</v>
      </c>
      <c r="R626" s="64" t="n">
        <f aca="false">IF(AND($Q626&gt;0,$O626&gt;=AtRank),$Q626,0)</f>
        <v>0</v>
      </c>
      <c r="S626" s="64" t="n">
        <f aca="false">IF(AND($Q626&gt;0,$O626&gt;=AboveRank),$Q626,0)</f>
        <v>0</v>
      </c>
      <c r="T626" s="64" t="n">
        <f aca="false">IF($K626="Less",$P626,0)</f>
        <v>0</v>
      </c>
      <c r="U626" s="64" t="n">
        <f aca="false">IF($K626="Expected",$P626,0)</f>
        <v>0</v>
      </c>
      <c r="V626" s="64" t="n">
        <f aca="false">IF($K626="Better",$P626,0)</f>
        <v>0</v>
      </c>
      <c r="W626" s="64" t="n">
        <f aca="false">IF($K626="U – needs rule",$P626,0)</f>
        <v>0</v>
      </c>
      <c r="X626" s="64" t="n">
        <f aca="false">IF($K626="No Start (attainment only)",$P626,0)</f>
        <v>0</v>
      </c>
    </row>
    <row r="627" customFormat="false" ht="15" hidden="false" customHeight="false" outlineLevel="0" collapsed="false">
      <c r="A627" s="60"/>
      <c r="B627" s="61" t="str">
        <f aca="false">IF($M627=0,"",INDEX(Classes!$E$6:$E$420,$M627))</f>
        <v/>
      </c>
      <c r="C627" s="62" t="str">
        <f aca="false">IF($M627=0,"",INDEX(Classes!$H$6:$H$420,$M627))</f>
        <v/>
      </c>
      <c r="D627" s="61" t="str">
        <f aca="false">IF($M627=0,"",INDEX(Classes!$B$6:$B$420,$M627))</f>
        <v/>
      </c>
      <c r="E627" s="61" t="str">
        <f aca="false">IF($M627=0,"",INDEX(Classes!$C$6:$C$420,$M627))</f>
        <v/>
      </c>
      <c r="F627" s="63"/>
      <c r="G627" s="63"/>
      <c r="H627" s="60"/>
      <c r="I627" s="60"/>
      <c r="J627" s="63"/>
      <c r="K627" s="61" t="str">
        <f aca="false">IF($P627=0,"",IF($F627="Baseline","— Baseline",IF($O627=0,"No result",IF($N627=0,"No Start (attainment only)",IF(OR($N627=1,$O627=1),"U – needs rule",INDEX(MxBody,MATCH($I627,MxCurr,0),MATCH($H627,MxStart,0)))))))</f>
        <v/>
      </c>
      <c r="L627" s="62" t="str">
        <f aca="false">IF(COUNTA($A627,$F627,$G627,$H627,$I627,$J627)=0,"",IF($M627=0,"✖ كود الصف غير موجود",IF(ISNA(MATCH($F627,Lists!$A$2:$A$5,0)),"✖ الفترة غير صحيحة",IF(ISNA(MATCH($G627,Lists!$B$2:$B$7,0)),"✖ المجموعة غير صحيحة",IF(NOT(OR($H627="",$N627&gt;0)),"✖ Start غير صحيح",IF(NOT(OR($I627="",$I627="NR",$O627&gt;0)),"✖ Current غير صحيح",IF(NOT(IF(ISNUMBER($J627),AND($J627&gt;=0,$J627=INT($J627)),FALSE())),"✖ العدد يجب أن يكون صحيحًا ≥ 0",IF(AND($F627="Baseline",$H627&lt;&gt;""),"⚠ Baseline: Start لا يدخل في التقدم",IF($K627="No Start (attainment only)","ℹ تحصيل فقط (بدون Start)",IF($K627="U – needs rule","ℹ حالة U تحتاج قاعدة معتمدة",IF($K627="No result","ℹ بدون نتيجة (يُستبعد من التحصيل)","OK")))))))))))</f>
        <v/>
      </c>
      <c r="M627" s="64" t="n">
        <f aca="false">IF($A627="",0,IFERROR(MATCH($A627,Classes!$A$6:$A$420,0),0))</f>
        <v>0</v>
      </c>
      <c r="N627" s="64" t="n">
        <f aca="false">IF($H627="",0,IFERROR(MATCH($H627,GradeList,0),0))</f>
        <v>0</v>
      </c>
      <c r="O627" s="64" t="n">
        <f aca="false">IF(OR($I627="",$I627="NR"),0,IFERROR(MATCH($I627,GradeList,0),0))</f>
        <v>0</v>
      </c>
      <c r="P627" s="64" t="n">
        <f aca="false">IF(AND($M627&gt;0,ISNUMBER(MATCH($F627,Lists!$A$2:$A$5,0)),ISNUMBER(MATCH($G627,Lists!$B$2:$B$7,0)),OR($H627="",$N627&gt;0),OR($I627="",$I627="NR",$O627&gt;0),IF(ISNUMBER($J627),AND($J627&gt;=0,$J627=INT($J627)),FALSE())),$J627,0)</f>
        <v>0</v>
      </c>
      <c r="Q627" s="64" t="n">
        <f aca="false">IF(AND($P627&gt;0,$O627&gt;0),$P627,0)</f>
        <v>0</v>
      </c>
      <c r="R627" s="64" t="n">
        <f aca="false">IF(AND($Q627&gt;0,$O627&gt;=AtRank),$Q627,0)</f>
        <v>0</v>
      </c>
      <c r="S627" s="64" t="n">
        <f aca="false">IF(AND($Q627&gt;0,$O627&gt;=AboveRank),$Q627,0)</f>
        <v>0</v>
      </c>
      <c r="T627" s="64" t="n">
        <f aca="false">IF($K627="Less",$P627,0)</f>
        <v>0</v>
      </c>
      <c r="U627" s="64" t="n">
        <f aca="false">IF($K627="Expected",$P627,0)</f>
        <v>0</v>
      </c>
      <c r="V627" s="64" t="n">
        <f aca="false">IF($K627="Better",$P627,0)</f>
        <v>0</v>
      </c>
      <c r="W627" s="64" t="n">
        <f aca="false">IF($K627="U – needs rule",$P627,0)</f>
        <v>0</v>
      </c>
      <c r="X627" s="64" t="n">
        <f aca="false">IF($K627="No Start (attainment only)",$P627,0)</f>
        <v>0</v>
      </c>
    </row>
    <row r="628" customFormat="false" ht="15" hidden="false" customHeight="false" outlineLevel="0" collapsed="false">
      <c r="A628" s="60"/>
      <c r="B628" s="61" t="str">
        <f aca="false">IF($M628=0,"",INDEX(Classes!$E$6:$E$420,$M628))</f>
        <v/>
      </c>
      <c r="C628" s="62" t="str">
        <f aca="false">IF($M628=0,"",INDEX(Classes!$H$6:$H$420,$M628))</f>
        <v/>
      </c>
      <c r="D628" s="61" t="str">
        <f aca="false">IF($M628=0,"",INDEX(Classes!$B$6:$B$420,$M628))</f>
        <v/>
      </c>
      <c r="E628" s="61" t="str">
        <f aca="false">IF($M628=0,"",INDEX(Classes!$C$6:$C$420,$M628))</f>
        <v/>
      </c>
      <c r="F628" s="63"/>
      <c r="G628" s="63"/>
      <c r="H628" s="60"/>
      <c r="I628" s="60"/>
      <c r="J628" s="63"/>
      <c r="K628" s="61" t="str">
        <f aca="false">IF($P628=0,"",IF($F628="Baseline","— Baseline",IF($O628=0,"No result",IF($N628=0,"No Start (attainment only)",IF(OR($N628=1,$O628=1),"U – needs rule",INDEX(MxBody,MATCH($I628,MxCurr,0),MATCH($H628,MxStart,0)))))))</f>
        <v/>
      </c>
      <c r="L628" s="62" t="str">
        <f aca="false">IF(COUNTA($A628,$F628,$G628,$H628,$I628,$J628)=0,"",IF($M628=0,"✖ كود الصف غير موجود",IF(ISNA(MATCH($F628,Lists!$A$2:$A$5,0)),"✖ الفترة غير صحيحة",IF(ISNA(MATCH($G628,Lists!$B$2:$B$7,0)),"✖ المجموعة غير صحيحة",IF(NOT(OR($H628="",$N628&gt;0)),"✖ Start غير صحيح",IF(NOT(OR($I628="",$I628="NR",$O628&gt;0)),"✖ Current غير صحيح",IF(NOT(IF(ISNUMBER($J628),AND($J628&gt;=0,$J628=INT($J628)),FALSE())),"✖ العدد يجب أن يكون صحيحًا ≥ 0",IF(AND($F628="Baseline",$H628&lt;&gt;""),"⚠ Baseline: Start لا يدخل في التقدم",IF($K628="No Start (attainment only)","ℹ تحصيل فقط (بدون Start)",IF($K628="U – needs rule","ℹ حالة U تحتاج قاعدة معتمدة",IF($K628="No result","ℹ بدون نتيجة (يُستبعد من التحصيل)","OK")))))))))))</f>
        <v/>
      </c>
      <c r="M628" s="64" t="n">
        <f aca="false">IF($A628="",0,IFERROR(MATCH($A628,Classes!$A$6:$A$420,0),0))</f>
        <v>0</v>
      </c>
      <c r="N628" s="64" t="n">
        <f aca="false">IF($H628="",0,IFERROR(MATCH($H628,GradeList,0),0))</f>
        <v>0</v>
      </c>
      <c r="O628" s="64" t="n">
        <f aca="false">IF(OR($I628="",$I628="NR"),0,IFERROR(MATCH($I628,GradeList,0),0))</f>
        <v>0</v>
      </c>
      <c r="P628" s="64" t="n">
        <f aca="false">IF(AND($M628&gt;0,ISNUMBER(MATCH($F628,Lists!$A$2:$A$5,0)),ISNUMBER(MATCH($G628,Lists!$B$2:$B$7,0)),OR($H628="",$N628&gt;0),OR($I628="",$I628="NR",$O628&gt;0),IF(ISNUMBER($J628),AND($J628&gt;=0,$J628=INT($J628)),FALSE())),$J628,0)</f>
        <v>0</v>
      </c>
      <c r="Q628" s="64" t="n">
        <f aca="false">IF(AND($P628&gt;0,$O628&gt;0),$P628,0)</f>
        <v>0</v>
      </c>
      <c r="R628" s="64" t="n">
        <f aca="false">IF(AND($Q628&gt;0,$O628&gt;=AtRank),$Q628,0)</f>
        <v>0</v>
      </c>
      <c r="S628" s="64" t="n">
        <f aca="false">IF(AND($Q628&gt;0,$O628&gt;=AboveRank),$Q628,0)</f>
        <v>0</v>
      </c>
      <c r="T628" s="64" t="n">
        <f aca="false">IF($K628="Less",$P628,0)</f>
        <v>0</v>
      </c>
      <c r="U628" s="64" t="n">
        <f aca="false">IF($K628="Expected",$P628,0)</f>
        <v>0</v>
      </c>
      <c r="V628" s="64" t="n">
        <f aca="false">IF($K628="Better",$P628,0)</f>
        <v>0</v>
      </c>
      <c r="W628" s="64" t="n">
        <f aca="false">IF($K628="U – needs rule",$P628,0)</f>
        <v>0</v>
      </c>
      <c r="X628" s="64" t="n">
        <f aca="false">IF($K628="No Start (attainment only)",$P628,0)</f>
        <v>0</v>
      </c>
    </row>
    <row r="629" customFormat="false" ht="15" hidden="false" customHeight="false" outlineLevel="0" collapsed="false">
      <c r="A629" s="60"/>
      <c r="B629" s="61" t="str">
        <f aca="false">IF($M629=0,"",INDEX(Classes!$E$6:$E$420,$M629))</f>
        <v/>
      </c>
      <c r="C629" s="62" t="str">
        <f aca="false">IF($M629=0,"",INDEX(Classes!$H$6:$H$420,$M629))</f>
        <v/>
      </c>
      <c r="D629" s="61" t="str">
        <f aca="false">IF($M629=0,"",INDEX(Classes!$B$6:$B$420,$M629))</f>
        <v/>
      </c>
      <c r="E629" s="61" t="str">
        <f aca="false">IF($M629=0,"",INDEX(Classes!$C$6:$C$420,$M629))</f>
        <v/>
      </c>
      <c r="F629" s="63"/>
      <c r="G629" s="63"/>
      <c r="H629" s="60"/>
      <c r="I629" s="60"/>
      <c r="J629" s="63"/>
      <c r="K629" s="61" t="str">
        <f aca="false">IF($P629=0,"",IF($F629="Baseline","— Baseline",IF($O629=0,"No result",IF($N629=0,"No Start (attainment only)",IF(OR($N629=1,$O629=1),"U – needs rule",INDEX(MxBody,MATCH($I629,MxCurr,0),MATCH($H629,MxStart,0)))))))</f>
        <v/>
      </c>
      <c r="L629" s="62" t="str">
        <f aca="false">IF(COUNTA($A629,$F629,$G629,$H629,$I629,$J629)=0,"",IF($M629=0,"✖ كود الصف غير موجود",IF(ISNA(MATCH($F629,Lists!$A$2:$A$5,0)),"✖ الفترة غير صحيحة",IF(ISNA(MATCH($G629,Lists!$B$2:$B$7,0)),"✖ المجموعة غير صحيحة",IF(NOT(OR($H629="",$N629&gt;0)),"✖ Start غير صحيح",IF(NOT(OR($I629="",$I629="NR",$O629&gt;0)),"✖ Current غير صحيح",IF(NOT(IF(ISNUMBER($J629),AND($J629&gt;=0,$J629=INT($J629)),FALSE())),"✖ العدد يجب أن يكون صحيحًا ≥ 0",IF(AND($F629="Baseline",$H629&lt;&gt;""),"⚠ Baseline: Start لا يدخل في التقدم",IF($K629="No Start (attainment only)","ℹ تحصيل فقط (بدون Start)",IF($K629="U – needs rule","ℹ حالة U تحتاج قاعدة معتمدة",IF($K629="No result","ℹ بدون نتيجة (يُستبعد من التحصيل)","OK")))))))))))</f>
        <v/>
      </c>
      <c r="M629" s="64" t="n">
        <f aca="false">IF($A629="",0,IFERROR(MATCH($A629,Classes!$A$6:$A$420,0),0))</f>
        <v>0</v>
      </c>
      <c r="N629" s="64" t="n">
        <f aca="false">IF($H629="",0,IFERROR(MATCH($H629,GradeList,0),0))</f>
        <v>0</v>
      </c>
      <c r="O629" s="64" t="n">
        <f aca="false">IF(OR($I629="",$I629="NR"),0,IFERROR(MATCH($I629,GradeList,0),0))</f>
        <v>0</v>
      </c>
      <c r="P629" s="64" t="n">
        <f aca="false">IF(AND($M629&gt;0,ISNUMBER(MATCH($F629,Lists!$A$2:$A$5,0)),ISNUMBER(MATCH($G629,Lists!$B$2:$B$7,0)),OR($H629="",$N629&gt;0),OR($I629="",$I629="NR",$O629&gt;0),IF(ISNUMBER($J629),AND($J629&gt;=0,$J629=INT($J629)),FALSE())),$J629,0)</f>
        <v>0</v>
      </c>
      <c r="Q629" s="64" t="n">
        <f aca="false">IF(AND($P629&gt;0,$O629&gt;0),$P629,0)</f>
        <v>0</v>
      </c>
      <c r="R629" s="64" t="n">
        <f aca="false">IF(AND($Q629&gt;0,$O629&gt;=AtRank),$Q629,0)</f>
        <v>0</v>
      </c>
      <c r="S629" s="64" t="n">
        <f aca="false">IF(AND($Q629&gt;0,$O629&gt;=AboveRank),$Q629,0)</f>
        <v>0</v>
      </c>
      <c r="T629" s="64" t="n">
        <f aca="false">IF($K629="Less",$P629,0)</f>
        <v>0</v>
      </c>
      <c r="U629" s="64" t="n">
        <f aca="false">IF($K629="Expected",$P629,0)</f>
        <v>0</v>
      </c>
      <c r="V629" s="64" t="n">
        <f aca="false">IF($K629="Better",$P629,0)</f>
        <v>0</v>
      </c>
      <c r="W629" s="64" t="n">
        <f aca="false">IF($K629="U – needs rule",$P629,0)</f>
        <v>0</v>
      </c>
      <c r="X629" s="64" t="n">
        <f aca="false">IF($K629="No Start (attainment only)",$P629,0)</f>
        <v>0</v>
      </c>
    </row>
    <row r="630" customFormat="false" ht="15" hidden="false" customHeight="false" outlineLevel="0" collapsed="false">
      <c r="A630" s="60"/>
      <c r="B630" s="61" t="str">
        <f aca="false">IF($M630=0,"",INDEX(Classes!$E$6:$E$420,$M630))</f>
        <v/>
      </c>
      <c r="C630" s="62" t="str">
        <f aca="false">IF($M630=0,"",INDEX(Classes!$H$6:$H$420,$M630))</f>
        <v/>
      </c>
      <c r="D630" s="61" t="str">
        <f aca="false">IF($M630=0,"",INDEX(Classes!$B$6:$B$420,$M630))</f>
        <v/>
      </c>
      <c r="E630" s="61" t="str">
        <f aca="false">IF($M630=0,"",INDEX(Classes!$C$6:$C$420,$M630))</f>
        <v/>
      </c>
      <c r="F630" s="63"/>
      <c r="G630" s="63"/>
      <c r="H630" s="60"/>
      <c r="I630" s="60"/>
      <c r="J630" s="63"/>
      <c r="K630" s="61" t="str">
        <f aca="false">IF($P630=0,"",IF($F630="Baseline","— Baseline",IF($O630=0,"No result",IF($N630=0,"No Start (attainment only)",IF(OR($N630=1,$O630=1),"U – needs rule",INDEX(MxBody,MATCH($I630,MxCurr,0),MATCH($H630,MxStart,0)))))))</f>
        <v/>
      </c>
      <c r="L630" s="62" t="str">
        <f aca="false">IF(COUNTA($A630,$F630,$G630,$H630,$I630,$J630)=0,"",IF($M630=0,"✖ كود الصف غير موجود",IF(ISNA(MATCH($F630,Lists!$A$2:$A$5,0)),"✖ الفترة غير صحيحة",IF(ISNA(MATCH($G630,Lists!$B$2:$B$7,0)),"✖ المجموعة غير صحيحة",IF(NOT(OR($H630="",$N630&gt;0)),"✖ Start غير صحيح",IF(NOT(OR($I630="",$I630="NR",$O630&gt;0)),"✖ Current غير صحيح",IF(NOT(IF(ISNUMBER($J630),AND($J630&gt;=0,$J630=INT($J630)),FALSE())),"✖ العدد يجب أن يكون صحيحًا ≥ 0",IF(AND($F630="Baseline",$H630&lt;&gt;""),"⚠ Baseline: Start لا يدخل في التقدم",IF($K630="No Start (attainment only)","ℹ تحصيل فقط (بدون Start)",IF($K630="U – needs rule","ℹ حالة U تحتاج قاعدة معتمدة",IF($K630="No result","ℹ بدون نتيجة (يُستبعد من التحصيل)","OK")))))))))))</f>
        <v/>
      </c>
      <c r="M630" s="64" t="n">
        <f aca="false">IF($A630="",0,IFERROR(MATCH($A630,Classes!$A$6:$A$420,0),0))</f>
        <v>0</v>
      </c>
      <c r="N630" s="64" t="n">
        <f aca="false">IF($H630="",0,IFERROR(MATCH($H630,GradeList,0),0))</f>
        <v>0</v>
      </c>
      <c r="O630" s="64" t="n">
        <f aca="false">IF(OR($I630="",$I630="NR"),0,IFERROR(MATCH($I630,GradeList,0),0))</f>
        <v>0</v>
      </c>
      <c r="P630" s="64" t="n">
        <f aca="false">IF(AND($M630&gt;0,ISNUMBER(MATCH($F630,Lists!$A$2:$A$5,0)),ISNUMBER(MATCH($G630,Lists!$B$2:$B$7,0)),OR($H630="",$N630&gt;0),OR($I630="",$I630="NR",$O630&gt;0),IF(ISNUMBER($J630),AND($J630&gt;=0,$J630=INT($J630)),FALSE())),$J630,0)</f>
        <v>0</v>
      </c>
      <c r="Q630" s="64" t="n">
        <f aca="false">IF(AND($P630&gt;0,$O630&gt;0),$P630,0)</f>
        <v>0</v>
      </c>
      <c r="R630" s="64" t="n">
        <f aca="false">IF(AND($Q630&gt;0,$O630&gt;=AtRank),$Q630,0)</f>
        <v>0</v>
      </c>
      <c r="S630" s="64" t="n">
        <f aca="false">IF(AND($Q630&gt;0,$O630&gt;=AboveRank),$Q630,0)</f>
        <v>0</v>
      </c>
      <c r="T630" s="64" t="n">
        <f aca="false">IF($K630="Less",$P630,0)</f>
        <v>0</v>
      </c>
      <c r="U630" s="64" t="n">
        <f aca="false">IF($K630="Expected",$P630,0)</f>
        <v>0</v>
      </c>
      <c r="V630" s="64" t="n">
        <f aca="false">IF($K630="Better",$P630,0)</f>
        <v>0</v>
      </c>
      <c r="W630" s="64" t="n">
        <f aca="false">IF($K630="U – needs rule",$P630,0)</f>
        <v>0</v>
      </c>
      <c r="X630" s="64" t="n">
        <f aca="false">IF($K630="No Start (attainment only)",$P630,0)</f>
        <v>0</v>
      </c>
    </row>
    <row r="631" customFormat="false" ht="15" hidden="false" customHeight="false" outlineLevel="0" collapsed="false">
      <c r="A631" s="60"/>
      <c r="B631" s="61" t="str">
        <f aca="false">IF($M631=0,"",INDEX(Classes!$E$6:$E$420,$M631))</f>
        <v/>
      </c>
      <c r="C631" s="62" t="str">
        <f aca="false">IF($M631=0,"",INDEX(Classes!$H$6:$H$420,$M631))</f>
        <v/>
      </c>
      <c r="D631" s="61" t="str">
        <f aca="false">IF($M631=0,"",INDEX(Classes!$B$6:$B$420,$M631))</f>
        <v/>
      </c>
      <c r="E631" s="61" t="str">
        <f aca="false">IF($M631=0,"",INDEX(Classes!$C$6:$C$420,$M631))</f>
        <v/>
      </c>
      <c r="F631" s="63"/>
      <c r="G631" s="63"/>
      <c r="H631" s="60"/>
      <c r="I631" s="60"/>
      <c r="J631" s="63"/>
      <c r="K631" s="61" t="str">
        <f aca="false">IF($P631=0,"",IF($F631="Baseline","— Baseline",IF($O631=0,"No result",IF($N631=0,"No Start (attainment only)",IF(OR($N631=1,$O631=1),"U – needs rule",INDEX(MxBody,MATCH($I631,MxCurr,0),MATCH($H631,MxStart,0)))))))</f>
        <v/>
      </c>
      <c r="L631" s="62" t="str">
        <f aca="false">IF(COUNTA($A631,$F631,$G631,$H631,$I631,$J631)=0,"",IF($M631=0,"✖ كود الصف غير موجود",IF(ISNA(MATCH($F631,Lists!$A$2:$A$5,0)),"✖ الفترة غير صحيحة",IF(ISNA(MATCH($G631,Lists!$B$2:$B$7,0)),"✖ المجموعة غير صحيحة",IF(NOT(OR($H631="",$N631&gt;0)),"✖ Start غير صحيح",IF(NOT(OR($I631="",$I631="NR",$O631&gt;0)),"✖ Current غير صحيح",IF(NOT(IF(ISNUMBER($J631),AND($J631&gt;=0,$J631=INT($J631)),FALSE())),"✖ العدد يجب أن يكون صحيحًا ≥ 0",IF(AND($F631="Baseline",$H631&lt;&gt;""),"⚠ Baseline: Start لا يدخل في التقدم",IF($K631="No Start (attainment only)","ℹ تحصيل فقط (بدون Start)",IF($K631="U – needs rule","ℹ حالة U تحتاج قاعدة معتمدة",IF($K631="No result","ℹ بدون نتيجة (يُستبعد من التحصيل)","OK")))))))))))</f>
        <v/>
      </c>
      <c r="M631" s="64" t="n">
        <f aca="false">IF($A631="",0,IFERROR(MATCH($A631,Classes!$A$6:$A$420,0),0))</f>
        <v>0</v>
      </c>
      <c r="N631" s="64" t="n">
        <f aca="false">IF($H631="",0,IFERROR(MATCH($H631,GradeList,0),0))</f>
        <v>0</v>
      </c>
      <c r="O631" s="64" t="n">
        <f aca="false">IF(OR($I631="",$I631="NR"),0,IFERROR(MATCH($I631,GradeList,0),0))</f>
        <v>0</v>
      </c>
      <c r="P631" s="64" t="n">
        <f aca="false">IF(AND($M631&gt;0,ISNUMBER(MATCH($F631,Lists!$A$2:$A$5,0)),ISNUMBER(MATCH($G631,Lists!$B$2:$B$7,0)),OR($H631="",$N631&gt;0),OR($I631="",$I631="NR",$O631&gt;0),IF(ISNUMBER($J631),AND($J631&gt;=0,$J631=INT($J631)),FALSE())),$J631,0)</f>
        <v>0</v>
      </c>
      <c r="Q631" s="64" t="n">
        <f aca="false">IF(AND($P631&gt;0,$O631&gt;0),$P631,0)</f>
        <v>0</v>
      </c>
      <c r="R631" s="64" t="n">
        <f aca="false">IF(AND($Q631&gt;0,$O631&gt;=AtRank),$Q631,0)</f>
        <v>0</v>
      </c>
      <c r="S631" s="64" t="n">
        <f aca="false">IF(AND($Q631&gt;0,$O631&gt;=AboveRank),$Q631,0)</f>
        <v>0</v>
      </c>
      <c r="T631" s="64" t="n">
        <f aca="false">IF($K631="Less",$P631,0)</f>
        <v>0</v>
      </c>
      <c r="U631" s="64" t="n">
        <f aca="false">IF($K631="Expected",$P631,0)</f>
        <v>0</v>
      </c>
      <c r="V631" s="64" t="n">
        <f aca="false">IF($K631="Better",$P631,0)</f>
        <v>0</v>
      </c>
      <c r="W631" s="64" t="n">
        <f aca="false">IF($K631="U – needs rule",$P631,0)</f>
        <v>0</v>
      </c>
      <c r="X631" s="64" t="n">
        <f aca="false">IF($K631="No Start (attainment only)",$P631,0)</f>
        <v>0</v>
      </c>
    </row>
    <row r="632" customFormat="false" ht="15" hidden="false" customHeight="false" outlineLevel="0" collapsed="false">
      <c r="A632" s="60"/>
      <c r="B632" s="61" t="str">
        <f aca="false">IF($M632=0,"",INDEX(Classes!$E$6:$E$420,$M632))</f>
        <v/>
      </c>
      <c r="C632" s="62" t="str">
        <f aca="false">IF($M632=0,"",INDEX(Classes!$H$6:$H$420,$M632))</f>
        <v/>
      </c>
      <c r="D632" s="61" t="str">
        <f aca="false">IF($M632=0,"",INDEX(Classes!$B$6:$B$420,$M632))</f>
        <v/>
      </c>
      <c r="E632" s="61" t="str">
        <f aca="false">IF($M632=0,"",INDEX(Classes!$C$6:$C$420,$M632))</f>
        <v/>
      </c>
      <c r="F632" s="63"/>
      <c r="G632" s="63"/>
      <c r="H632" s="60"/>
      <c r="I632" s="60"/>
      <c r="J632" s="63"/>
      <c r="K632" s="61" t="str">
        <f aca="false">IF($P632=0,"",IF($F632="Baseline","— Baseline",IF($O632=0,"No result",IF($N632=0,"No Start (attainment only)",IF(OR($N632=1,$O632=1),"U – needs rule",INDEX(MxBody,MATCH($I632,MxCurr,0),MATCH($H632,MxStart,0)))))))</f>
        <v/>
      </c>
      <c r="L632" s="62" t="str">
        <f aca="false">IF(COUNTA($A632,$F632,$G632,$H632,$I632,$J632)=0,"",IF($M632=0,"✖ كود الصف غير موجود",IF(ISNA(MATCH($F632,Lists!$A$2:$A$5,0)),"✖ الفترة غير صحيحة",IF(ISNA(MATCH($G632,Lists!$B$2:$B$7,0)),"✖ المجموعة غير صحيحة",IF(NOT(OR($H632="",$N632&gt;0)),"✖ Start غير صحيح",IF(NOT(OR($I632="",$I632="NR",$O632&gt;0)),"✖ Current غير صحيح",IF(NOT(IF(ISNUMBER($J632),AND($J632&gt;=0,$J632=INT($J632)),FALSE())),"✖ العدد يجب أن يكون صحيحًا ≥ 0",IF(AND($F632="Baseline",$H632&lt;&gt;""),"⚠ Baseline: Start لا يدخل في التقدم",IF($K632="No Start (attainment only)","ℹ تحصيل فقط (بدون Start)",IF($K632="U – needs rule","ℹ حالة U تحتاج قاعدة معتمدة",IF($K632="No result","ℹ بدون نتيجة (يُستبعد من التحصيل)","OK")))))))))))</f>
        <v/>
      </c>
      <c r="M632" s="64" t="n">
        <f aca="false">IF($A632="",0,IFERROR(MATCH($A632,Classes!$A$6:$A$420,0),0))</f>
        <v>0</v>
      </c>
      <c r="N632" s="64" t="n">
        <f aca="false">IF($H632="",0,IFERROR(MATCH($H632,GradeList,0),0))</f>
        <v>0</v>
      </c>
      <c r="O632" s="64" t="n">
        <f aca="false">IF(OR($I632="",$I632="NR"),0,IFERROR(MATCH($I632,GradeList,0),0))</f>
        <v>0</v>
      </c>
      <c r="P632" s="64" t="n">
        <f aca="false">IF(AND($M632&gt;0,ISNUMBER(MATCH($F632,Lists!$A$2:$A$5,0)),ISNUMBER(MATCH($G632,Lists!$B$2:$B$7,0)),OR($H632="",$N632&gt;0),OR($I632="",$I632="NR",$O632&gt;0),IF(ISNUMBER($J632),AND($J632&gt;=0,$J632=INT($J632)),FALSE())),$J632,0)</f>
        <v>0</v>
      </c>
      <c r="Q632" s="64" t="n">
        <f aca="false">IF(AND($P632&gt;0,$O632&gt;0),$P632,0)</f>
        <v>0</v>
      </c>
      <c r="R632" s="64" t="n">
        <f aca="false">IF(AND($Q632&gt;0,$O632&gt;=AtRank),$Q632,0)</f>
        <v>0</v>
      </c>
      <c r="S632" s="64" t="n">
        <f aca="false">IF(AND($Q632&gt;0,$O632&gt;=AboveRank),$Q632,0)</f>
        <v>0</v>
      </c>
      <c r="T632" s="64" t="n">
        <f aca="false">IF($K632="Less",$P632,0)</f>
        <v>0</v>
      </c>
      <c r="U632" s="64" t="n">
        <f aca="false">IF($K632="Expected",$P632,0)</f>
        <v>0</v>
      </c>
      <c r="V632" s="64" t="n">
        <f aca="false">IF($K632="Better",$P632,0)</f>
        <v>0</v>
      </c>
      <c r="W632" s="64" t="n">
        <f aca="false">IF($K632="U – needs rule",$P632,0)</f>
        <v>0</v>
      </c>
      <c r="X632" s="64" t="n">
        <f aca="false">IF($K632="No Start (attainment only)",$P632,0)</f>
        <v>0</v>
      </c>
    </row>
    <row r="633" customFormat="false" ht="15" hidden="false" customHeight="false" outlineLevel="0" collapsed="false">
      <c r="A633" s="60"/>
      <c r="B633" s="61" t="str">
        <f aca="false">IF($M633=0,"",INDEX(Classes!$E$6:$E$420,$M633))</f>
        <v/>
      </c>
      <c r="C633" s="62" t="str">
        <f aca="false">IF($M633=0,"",INDEX(Classes!$H$6:$H$420,$M633))</f>
        <v/>
      </c>
      <c r="D633" s="61" t="str">
        <f aca="false">IF($M633=0,"",INDEX(Classes!$B$6:$B$420,$M633))</f>
        <v/>
      </c>
      <c r="E633" s="61" t="str">
        <f aca="false">IF($M633=0,"",INDEX(Classes!$C$6:$C$420,$M633))</f>
        <v/>
      </c>
      <c r="F633" s="63"/>
      <c r="G633" s="63"/>
      <c r="H633" s="60"/>
      <c r="I633" s="60"/>
      <c r="J633" s="63"/>
      <c r="K633" s="61" t="str">
        <f aca="false">IF($P633=0,"",IF($F633="Baseline","— Baseline",IF($O633=0,"No result",IF($N633=0,"No Start (attainment only)",IF(OR($N633=1,$O633=1),"U – needs rule",INDEX(MxBody,MATCH($I633,MxCurr,0),MATCH($H633,MxStart,0)))))))</f>
        <v/>
      </c>
      <c r="L633" s="62" t="str">
        <f aca="false">IF(COUNTA($A633,$F633,$G633,$H633,$I633,$J633)=0,"",IF($M633=0,"✖ كود الصف غير موجود",IF(ISNA(MATCH($F633,Lists!$A$2:$A$5,0)),"✖ الفترة غير صحيحة",IF(ISNA(MATCH($G633,Lists!$B$2:$B$7,0)),"✖ المجموعة غير صحيحة",IF(NOT(OR($H633="",$N633&gt;0)),"✖ Start غير صحيح",IF(NOT(OR($I633="",$I633="NR",$O633&gt;0)),"✖ Current غير صحيح",IF(NOT(IF(ISNUMBER($J633),AND($J633&gt;=0,$J633=INT($J633)),FALSE())),"✖ العدد يجب أن يكون صحيحًا ≥ 0",IF(AND($F633="Baseline",$H633&lt;&gt;""),"⚠ Baseline: Start لا يدخل في التقدم",IF($K633="No Start (attainment only)","ℹ تحصيل فقط (بدون Start)",IF($K633="U – needs rule","ℹ حالة U تحتاج قاعدة معتمدة",IF($K633="No result","ℹ بدون نتيجة (يُستبعد من التحصيل)","OK")))))))))))</f>
        <v/>
      </c>
      <c r="M633" s="64" t="n">
        <f aca="false">IF($A633="",0,IFERROR(MATCH($A633,Classes!$A$6:$A$420,0),0))</f>
        <v>0</v>
      </c>
      <c r="N633" s="64" t="n">
        <f aca="false">IF($H633="",0,IFERROR(MATCH($H633,GradeList,0),0))</f>
        <v>0</v>
      </c>
      <c r="O633" s="64" t="n">
        <f aca="false">IF(OR($I633="",$I633="NR"),0,IFERROR(MATCH($I633,GradeList,0),0))</f>
        <v>0</v>
      </c>
      <c r="P633" s="64" t="n">
        <f aca="false">IF(AND($M633&gt;0,ISNUMBER(MATCH($F633,Lists!$A$2:$A$5,0)),ISNUMBER(MATCH($G633,Lists!$B$2:$B$7,0)),OR($H633="",$N633&gt;0),OR($I633="",$I633="NR",$O633&gt;0),IF(ISNUMBER($J633),AND($J633&gt;=0,$J633=INT($J633)),FALSE())),$J633,0)</f>
        <v>0</v>
      </c>
      <c r="Q633" s="64" t="n">
        <f aca="false">IF(AND($P633&gt;0,$O633&gt;0),$P633,0)</f>
        <v>0</v>
      </c>
      <c r="R633" s="64" t="n">
        <f aca="false">IF(AND($Q633&gt;0,$O633&gt;=AtRank),$Q633,0)</f>
        <v>0</v>
      </c>
      <c r="S633" s="64" t="n">
        <f aca="false">IF(AND($Q633&gt;0,$O633&gt;=AboveRank),$Q633,0)</f>
        <v>0</v>
      </c>
      <c r="T633" s="64" t="n">
        <f aca="false">IF($K633="Less",$P633,0)</f>
        <v>0</v>
      </c>
      <c r="U633" s="64" t="n">
        <f aca="false">IF($K633="Expected",$P633,0)</f>
        <v>0</v>
      </c>
      <c r="V633" s="64" t="n">
        <f aca="false">IF($K633="Better",$P633,0)</f>
        <v>0</v>
      </c>
      <c r="W633" s="64" t="n">
        <f aca="false">IF($K633="U – needs rule",$P633,0)</f>
        <v>0</v>
      </c>
      <c r="X633" s="64" t="n">
        <f aca="false">IF($K633="No Start (attainment only)",$P633,0)</f>
        <v>0</v>
      </c>
    </row>
    <row r="634" customFormat="false" ht="15" hidden="false" customHeight="false" outlineLevel="0" collapsed="false">
      <c r="A634" s="60"/>
      <c r="B634" s="61" t="str">
        <f aca="false">IF($M634=0,"",INDEX(Classes!$E$6:$E$420,$M634))</f>
        <v/>
      </c>
      <c r="C634" s="62" t="str">
        <f aca="false">IF($M634=0,"",INDEX(Classes!$H$6:$H$420,$M634))</f>
        <v/>
      </c>
      <c r="D634" s="61" t="str">
        <f aca="false">IF($M634=0,"",INDEX(Classes!$B$6:$B$420,$M634))</f>
        <v/>
      </c>
      <c r="E634" s="61" t="str">
        <f aca="false">IF($M634=0,"",INDEX(Classes!$C$6:$C$420,$M634))</f>
        <v/>
      </c>
      <c r="F634" s="63"/>
      <c r="G634" s="63"/>
      <c r="H634" s="60"/>
      <c r="I634" s="60"/>
      <c r="J634" s="63"/>
      <c r="K634" s="61" t="str">
        <f aca="false">IF($P634=0,"",IF($F634="Baseline","— Baseline",IF($O634=0,"No result",IF($N634=0,"No Start (attainment only)",IF(OR($N634=1,$O634=1),"U – needs rule",INDEX(MxBody,MATCH($I634,MxCurr,0),MATCH($H634,MxStart,0)))))))</f>
        <v/>
      </c>
      <c r="L634" s="62" t="str">
        <f aca="false">IF(COUNTA($A634,$F634,$G634,$H634,$I634,$J634)=0,"",IF($M634=0,"✖ كود الصف غير موجود",IF(ISNA(MATCH($F634,Lists!$A$2:$A$5,0)),"✖ الفترة غير صحيحة",IF(ISNA(MATCH($G634,Lists!$B$2:$B$7,0)),"✖ المجموعة غير صحيحة",IF(NOT(OR($H634="",$N634&gt;0)),"✖ Start غير صحيح",IF(NOT(OR($I634="",$I634="NR",$O634&gt;0)),"✖ Current غير صحيح",IF(NOT(IF(ISNUMBER($J634),AND($J634&gt;=0,$J634=INT($J634)),FALSE())),"✖ العدد يجب أن يكون صحيحًا ≥ 0",IF(AND($F634="Baseline",$H634&lt;&gt;""),"⚠ Baseline: Start لا يدخل في التقدم",IF($K634="No Start (attainment only)","ℹ تحصيل فقط (بدون Start)",IF($K634="U – needs rule","ℹ حالة U تحتاج قاعدة معتمدة",IF($K634="No result","ℹ بدون نتيجة (يُستبعد من التحصيل)","OK")))))))))))</f>
        <v/>
      </c>
      <c r="M634" s="64" t="n">
        <f aca="false">IF($A634="",0,IFERROR(MATCH($A634,Classes!$A$6:$A$420,0),0))</f>
        <v>0</v>
      </c>
      <c r="N634" s="64" t="n">
        <f aca="false">IF($H634="",0,IFERROR(MATCH($H634,GradeList,0),0))</f>
        <v>0</v>
      </c>
      <c r="O634" s="64" t="n">
        <f aca="false">IF(OR($I634="",$I634="NR"),0,IFERROR(MATCH($I634,GradeList,0),0))</f>
        <v>0</v>
      </c>
      <c r="P634" s="64" t="n">
        <f aca="false">IF(AND($M634&gt;0,ISNUMBER(MATCH($F634,Lists!$A$2:$A$5,0)),ISNUMBER(MATCH($G634,Lists!$B$2:$B$7,0)),OR($H634="",$N634&gt;0),OR($I634="",$I634="NR",$O634&gt;0),IF(ISNUMBER($J634),AND($J634&gt;=0,$J634=INT($J634)),FALSE())),$J634,0)</f>
        <v>0</v>
      </c>
      <c r="Q634" s="64" t="n">
        <f aca="false">IF(AND($P634&gt;0,$O634&gt;0),$P634,0)</f>
        <v>0</v>
      </c>
      <c r="R634" s="64" t="n">
        <f aca="false">IF(AND($Q634&gt;0,$O634&gt;=AtRank),$Q634,0)</f>
        <v>0</v>
      </c>
      <c r="S634" s="64" t="n">
        <f aca="false">IF(AND($Q634&gt;0,$O634&gt;=AboveRank),$Q634,0)</f>
        <v>0</v>
      </c>
      <c r="T634" s="64" t="n">
        <f aca="false">IF($K634="Less",$P634,0)</f>
        <v>0</v>
      </c>
      <c r="U634" s="64" t="n">
        <f aca="false">IF($K634="Expected",$P634,0)</f>
        <v>0</v>
      </c>
      <c r="V634" s="64" t="n">
        <f aca="false">IF($K634="Better",$P634,0)</f>
        <v>0</v>
      </c>
      <c r="W634" s="64" t="n">
        <f aca="false">IF($K634="U – needs rule",$P634,0)</f>
        <v>0</v>
      </c>
      <c r="X634" s="64" t="n">
        <f aca="false">IF($K634="No Start (attainment only)",$P634,0)</f>
        <v>0</v>
      </c>
    </row>
    <row r="635" customFormat="false" ht="15" hidden="false" customHeight="false" outlineLevel="0" collapsed="false">
      <c r="A635" s="60"/>
      <c r="B635" s="61" t="str">
        <f aca="false">IF($M635=0,"",INDEX(Classes!$E$6:$E$420,$M635))</f>
        <v/>
      </c>
      <c r="C635" s="62" t="str">
        <f aca="false">IF($M635=0,"",INDEX(Classes!$H$6:$H$420,$M635))</f>
        <v/>
      </c>
      <c r="D635" s="61" t="str">
        <f aca="false">IF($M635=0,"",INDEX(Classes!$B$6:$B$420,$M635))</f>
        <v/>
      </c>
      <c r="E635" s="61" t="str">
        <f aca="false">IF($M635=0,"",INDEX(Classes!$C$6:$C$420,$M635))</f>
        <v/>
      </c>
      <c r="F635" s="63"/>
      <c r="G635" s="63"/>
      <c r="H635" s="60"/>
      <c r="I635" s="60"/>
      <c r="J635" s="63"/>
      <c r="K635" s="61" t="str">
        <f aca="false">IF($P635=0,"",IF($F635="Baseline","— Baseline",IF($O635=0,"No result",IF($N635=0,"No Start (attainment only)",IF(OR($N635=1,$O635=1),"U – needs rule",INDEX(MxBody,MATCH($I635,MxCurr,0),MATCH($H635,MxStart,0)))))))</f>
        <v/>
      </c>
      <c r="L635" s="62" t="str">
        <f aca="false">IF(COUNTA($A635,$F635,$G635,$H635,$I635,$J635)=0,"",IF($M635=0,"✖ كود الصف غير موجود",IF(ISNA(MATCH($F635,Lists!$A$2:$A$5,0)),"✖ الفترة غير صحيحة",IF(ISNA(MATCH($G635,Lists!$B$2:$B$7,0)),"✖ المجموعة غير صحيحة",IF(NOT(OR($H635="",$N635&gt;0)),"✖ Start غير صحيح",IF(NOT(OR($I635="",$I635="NR",$O635&gt;0)),"✖ Current غير صحيح",IF(NOT(IF(ISNUMBER($J635),AND($J635&gt;=0,$J635=INT($J635)),FALSE())),"✖ العدد يجب أن يكون صحيحًا ≥ 0",IF(AND($F635="Baseline",$H635&lt;&gt;""),"⚠ Baseline: Start لا يدخل في التقدم",IF($K635="No Start (attainment only)","ℹ تحصيل فقط (بدون Start)",IF($K635="U – needs rule","ℹ حالة U تحتاج قاعدة معتمدة",IF($K635="No result","ℹ بدون نتيجة (يُستبعد من التحصيل)","OK")))))))))))</f>
        <v/>
      </c>
      <c r="M635" s="64" t="n">
        <f aca="false">IF($A635="",0,IFERROR(MATCH($A635,Classes!$A$6:$A$420,0),0))</f>
        <v>0</v>
      </c>
      <c r="N635" s="64" t="n">
        <f aca="false">IF($H635="",0,IFERROR(MATCH($H635,GradeList,0),0))</f>
        <v>0</v>
      </c>
      <c r="O635" s="64" t="n">
        <f aca="false">IF(OR($I635="",$I635="NR"),0,IFERROR(MATCH($I635,GradeList,0),0))</f>
        <v>0</v>
      </c>
      <c r="P635" s="64" t="n">
        <f aca="false">IF(AND($M635&gt;0,ISNUMBER(MATCH($F635,Lists!$A$2:$A$5,0)),ISNUMBER(MATCH($G635,Lists!$B$2:$B$7,0)),OR($H635="",$N635&gt;0),OR($I635="",$I635="NR",$O635&gt;0),IF(ISNUMBER($J635),AND($J635&gt;=0,$J635=INT($J635)),FALSE())),$J635,0)</f>
        <v>0</v>
      </c>
      <c r="Q635" s="64" t="n">
        <f aca="false">IF(AND($P635&gt;0,$O635&gt;0),$P635,0)</f>
        <v>0</v>
      </c>
      <c r="R635" s="64" t="n">
        <f aca="false">IF(AND($Q635&gt;0,$O635&gt;=AtRank),$Q635,0)</f>
        <v>0</v>
      </c>
      <c r="S635" s="64" t="n">
        <f aca="false">IF(AND($Q635&gt;0,$O635&gt;=AboveRank),$Q635,0)</f>
        <v>0</v>
      </c>
      <c r="T635" s="64" t="n">
        <f aca="false">IF($K635="Less",$P635,0)</f>
        <v>0</v>
      </c>
      <c r="U635" s="64" t="n">
        <f aca="false">IF($K635="Expected",$P635,0)</f>
        <v>0</v>
      </c>
      <c r="V635" s="64" t="n">
        <f aca="false">IF($K635="Better",$P635,0)</f>
        <v>0</v>
      </c>
      <c r="W635" s="64" t="n">
        <f aca="false">IF($K635="U – needs rule",$P635,0)</f>
        <v>0</v>
      </c>
      <c r="X635" s="64" t="n">
        <f aca="false">IF($K635="No Start (attainment only)",$P635,0)</f>
        <v>0</v>
      </c>
    </row>
    <row r="636" customFormat="false" ht="15" hidden="false" customHeight="false" outlineLevel="0" collapsed="false">
      <c r="A636" s="60"/>
      <c r="B636" s="61" t="str">
        <f aca="false">IF($M636=0,"",INDEX(Classes!$E$6:$E$420,$M636))</f>
        <v/>
      </c>
      <c r="C636" s="62" t="str">
        <f aca="false">IF($M636=0,"",INDEX(Classes!$H$6:$H$420,$M636))</f>
        <v/>
      </c>
      <c r="D636" s="61" t="str">
        <f aca="false">IF($M636=0,"",INDEX(Classes!$B$6:$B$420,$M636))</f>
        <v/>
      </c>
      <c r="E636" s="61" t="str">
        <f aca="false">IF($M636=0,"",INDEX(Classes!$C$6:$C$420,$M636))</f>
        <v/>
      </c>
      <c r="F636" s="63"/>
      <c r="G636" s="63"/>
      <c r="H636" s="60"/>
      <c r="I636" s="60"/>
      <c r="J636" s="63"/>
      <c r="K636" s="61" t="str">
        <f aca="false">IF($P636=0,"",IF($F636="Baseline","— Baseline",IF($O636=0,"No result",IF($N636=0,"No Start (attainment only)",IF(OR($N636=1,$O636=1),"U – needs rule",INDEX(MxBody,MATCH($I636,MxCurr,0),MATCH($H636,MxStart,0)))))))</f>
        <v/>
      </c>
      <c r="L636" s="62" t="str">
        <f aca="false">IF(COUNTA($A636,$F636,$G636,$H636,$I636,$J636)=0,"",IF($M636=0,"✖ كود الصف غير موجود",IF(ISNA(MATCH($F636,Lists!$A$2:$A$5,0)),"✖ الفترة غير صحيحة",IF(ISNA(MATCH($G636,Lists!$B$2:$B$7,0)),"✖ المجموعة غير صحيحة",IF(NOT(OR($H636="",$N636&gt;0)),"✖ Start غير صحيح",IF(NOT(OR($I636="",$I636="NR",$O636&gt;0)),"✖ Current غير صحيح",IF(NOT(IF(ISNUMBER($J636),AND($J636&gt;=0,$J636=INT($J636)),FALSE())),"✖ العدد يجب أن يكون صحيحًا ≥ 0",IF(AND($F636="Baseline",$H636&lt;&gt;""),"⚠ Baseline: Start لا يدخل في التقدم",IF($K636="No Start (attainment only)","ℹ تحصيل فقط (بدون Start)",IF($K636="U – needs rule","ℹ حالة U تحتاج قاعدة معتمدة",IF($K636="No result","ℹ بدون نتيجة (يُستبعد من التحصيل)","OK")))))))))))</f>
        <v/>
      </c>
      <c r="M636" s="64" t="n">
        <f aca="false">IF($A636="",0,IFERROR(MATCH($A636,Classes!$A$6:$A$420,0),0))</f>
        <v>0</v>
      </c>
      <c r="N636" s="64" t="n">
        <f aca="false">IF($H636="",0,IFERROR(MATCH($H636,GradeList,0),0))</f>
        <v>0</v>
      </c>
      <c r="O636" s="64" t="n">
        <f aca="false">IF(OR($I636="",$I636="NR"),0,IFERROR(MATCH($I636,GradeList,0),0))</f>
        <v>0</v>
      </c>
      <c r="P636" s="64" t="n">
        <f aca="false">IF(AND($M636&gt;0,ISNUMBER(MATCH($F636,Lists!$A$2:$A$5,0)),ISNUMBER(MATCH($G636,Lists!$B$2:$B$7,0)),OR($H636="",$N636&gt;0),OR($I636="",$I636="NR",$O636&gt;0),IF(ISNUMBER($J636),AND($J636&gt;=0,$J636=INT($J636)),FALSE())),$J636,0)</f>
        <v>0</v>
      </c>
      <c r="Q636" s="64" t="n">
        <f aca="false">IF(AND($P636&gt;0,$O636&gt;0),$P636,0)</f>
        <v>0</v>
      </c>
      <c r="R636" s="64" t="n">
        <f aca="false">IF(AND($Q636&gt;0,$O636&gt;=AtRank),$Q636,0)</f>
        <v>0</v>
      </c>
      <c r="S636" s="64" t="n">
        <f aca="false">IF(AND($Q636&gt;0,$O636&gt;=AboveRank),$Q636,0)</f>
        <v>0</v>
      </c>
      <c r="T636" s="64" t="n">
        <f aca="false">IF($K636="Less",$P636,0)</f>
        <v>0</v>
      </c>
      <c r="U636" s="64" t="n">
        <f aca="false">IF($K636="Expected",$P636,0)</f>
        <v>0</v>
      </c>
      <c r="V636" s="64" t="n">
        <f aca="false">IF($K636="Better",$P636,0)</f>
        <v>0</v>
      </c>
      <c r="W636" s="64" t="n">
        <f aca="false">IF($K636="U – needs rule",$P636,0)</f>
        <v>0</v>
      </c>
      <c r="X636" s="64" t="n">
        <f aca="false">IF($K636="No Start (attainment only)",$P636,0)</f>
        <v>0</v>
      </c>
    </row>
    <row r="637" customFormat="false" ht="15" hidden="false" customHeight="false" outlineLevel="0" collapsed="false">
      <c r="A637" s="60"/>
      <c r="B637" s="61" t="str">
        <f aca="false">IF($M637=0,"",INDEX(Classes!$E$6:$E$420,$M637))</f>
        <v/>
      </c>
      <c r="C637" s="62" t="str">
        <f aca="false">IF($M637=0,"",INDEX(Classes!$H$6:$H$420,$M637))</f>
        <v/>
      </c>
      <c r="D637" s="61" t="str">
        <f aca="false">IF($M637=0,"",INDEX(Classes!$B$6:$B$420,$M637))</f>
        <v/>
      </c>
      <c r="E637" s="61" t="str">
        <f aca="false">IF($M637=0,"",INDEX(Classes!$C$6:$C$420,$M637))</f>
        <v/>
      </c>
      <c r="F637" s="63"/>
      <c r="G637" s="63"/>
      <c r="H637" s="60"/>
      <c r="I637" s="60"/>
      <c r="J637" s="63"/>
      <c r="K637" s="61" t="str">
        <f aca="false">IF($P637=0,"",IF($F637="Baseline","— Baseline",IF($O637=0,"No result",IF($N637=0,"No Start (attainment only)",IF(OR($N637=1,$O637=1),"U – needs rule",INDEX(MxBody,MATCH($I637,MxCurr,0),MATCH($H637,MxStart,0)))))))</f>
        <v/>
      </c>
      <c r="L637" s="62" t="str">
        <f aca="false">IF(COUNTA($A637,$F637,$G637,$H637,$I637,$J637)=0,"",IF($M637=0,"✖ كود الصف غير موجود",IF(ISNA(MATCH($F637,Lists!$A$2:$A$5,0)),"✖ الفترة غير صحيحة",IF(ISNA(MATCH($G637,Lists!$B$2:$B$7,0)),"✖ المجموعة غير صحيحة",IF(NOT(OR($H637="",$N637&gt;0)),"✖ Start غير صحيح",IF(NOT(OR($I637="",$I637="NR",$O637&gt;0)),"✖ Current غير صحيح",IF(NOT(IF(ISNUMBER($J637),AND($J637&gt;=0,$J637=INT($J637)),FALSE())),"✖ العدد يجب أن يكون صحيحًا ≥ 0",IF(AND($F637="Baseline",$H637&lt;&gt;""),"⚠ Baseline: Start لا يدخل في التقدم",IF($K637="No Start (attainment only)","ℹ تحصيل فقط (بدون Start)",IF($K637="U – needs rule","ℹ حالة U تحتاج قاعدة معتمدة",IF($K637="No result","ℹ بدون نتيجة (يُستبعد من التحصيل)","OK")))))))))))</f>
        <v/>
      </c>
      <c r="M637" s="64" t="n">
        <f aca="false">IF($A637="",0,IFERROR(MATCH($A637,Classes!$A$6:$A$420,0),0))</f>
        <v>0</v>
      </c>
      <c r="N637" s="64" t="n">
        <f aca="false">IF($H637="",0,IFERROR(MATCH($H637,GradeList,0),0))</f>
        <v>0</v>
      </c>
      <c r="O637" s="64" t="n">
        <f aca="false">IF(OR($I637="",$I637="NR"),0,IFERROR(MATCH($I637,GradeList,0),0))</f>
        <v>0</v>
      </c>
      <c r="P637" s="64" t="n">
        <f aca="false">IF(AND($M637&gt;0,ISNUMBER(MATCH($F637,Lists!$A$2:$A$5,0)),ISNUMBER(MATCH($G637,Lists!$B$2:$B$7,0)),OR($H637="",$N637&gt;0),OR($I637="",$I637="NR",$O637&gt;0),IF(ISNUMBER($J637),AND($J637&gt;=0,$J637=INT($J637)),FALSE())),$J637,0)</f>
        <v>0</v>
      </c>
      <c r="Q637" s="64" t="n">
        <f aca="false">IF(AND($P637&gt;0,$O637&gt;0),$P637,0)</f>
        <v>0</v>
      </c>
      <c r="R637" s="64" t="n">
        <f aca="false">IF(AND($Q637&gt;0,$O637&gt;=AtRank),$Q637,0)</f>
        <v>0</v>
      </c>
      <c r="S637" s="64" t="n">
        <f aca="false">IF(AND($Q637&gt;0,$O637&gt;=AboveRank),$Q637,0)</f>
        <v>0</v>
      </c>
      <c r="T637" s="64" t="n">
        <f aca="false">IF($K637="Less",$P637,0)</f>
        <v>0</v>
      </c>
      <c r="U637" s="64" t="n">
        <f aca="false">IF($K637="Expected",$P637,0)</f>
        <v>0</v>
      </c>
      <c r="V637" s="64" t="n">
        <f aca="false">IF($K637="Better",$P637,0)</f>
        <v>0</v>
      </c>
      <c r="W637" s="64" t="n">
        <f aca="false">IF($K637="U – needs rule",$P637,0)</f>
        <v>0</v>
      </c>
      <c r="X637" s="64" t="n">
        <f aca="false">IF($K637="No Start (attainment only)",$P637,0)</f>
        <v>0</v>
      </c>
    </row>
    <row r="638" customFormat="false" ht="15" hidden="false" customHeight="false" outlineLevel="0" collapsed="false">
      <c r="A638" s="60"/>
      <c r="B638" s="61" t="str">
        <f aca="false">IF($M638=0,"",INDEX(Classes!$E$6:$E$420,$M638))</f>
        <v/>
      </c>
      <c r="C638" s="62" t="str">
        <f aca="false">IF($M638=0,"",INDEX(Classes!$H$6:$H$420,$M638))</f>
        <v/>
      </c>
      <c r="D638" s="61" t="str">
        <f aca="false">IF($M638=0,"",INDEX(Classes!$B$6:$B$420,$M638))</f>
        <v/>
      </c>
      <c r="E638" s="61" t="str">
        <f aca="false">IF($M638=0,"",INDEX(Classes!$C$6:$C$420,$M638))</f>
        <v/>
      </c>
      <c r="F638" s="63"/>
      <c r="G638" s="63"/>
      <c r="H638" s="60"/>
      <c r="I638" s="60"/>
      <c r="J638" s="63"/>
      <c r="K638" s="61" t="str">
        <f aca="false">IF($P638=0,"",IF($F638="Baseline","— Baseline",IF($O638=0,"No result",IF($N638=0,"No Start (attainment only)",IF(OR($N638=1,$O638=1),"U – needs rule",INDEX(MxBody,MATCH($I638,MxCurr,0),MATCH($H638,MxStart,0)))))))</f>
        <v/>
      </c>
      <c r="L638" s="62" t="str">
        <f aca="false">IF(COUNTA($A638,$F638,$G638,$H638,$I638,$J638)=0,"",IF($M638=0,"✖ كود الصف غير موجود",IF(ISNA(MATCH($F638,Lists!$A$2:$A$5,0)),"✖ الفترة غير صحيحة",IF(ISNA(MATCH($G638,Lists!$B$2:$B$7,0)),"✖ المجموعة غير صحيحة",IF(NOT(OR($H638="",$N638&gt;0)),"✖ Start غير صحيح",IF(NOT(OR($I638="",$I638="NR",$O638&gt;0)),"✖ Current غير صحيح",IF(NOT(IF(ISNUMBER($J638),AND($J638&gt;=0,$J638=INT($J638)),FALSE())),"✖ العدد يجب أن يكون صحيحًا ≥ 0",IF(AND($F638="Baseline",$H638&lt;&gt;""),"⚠ Baseline: Start لا يدخل في التقدم",IF($K638="No Start (attainment only)","ℹ تحصيل فقط (بدون Start)",IF($K638="U – needs rule","ℹ حالة U تحتاج قاعدة معتمدة",IF($K638="No result","ℹ بدون نتيجة (يُستبعد من التحصيل)","OK")))))))))))</f>
        <v/>
      </c>
      <c r="M638" s="64" t="n">
        <f aca="false">IF($A638="",0,IFERROR(MATCH($A638,Classes!$A$6:$A$420,0),0))</f>
        <v>0</v>
      </c>
      <c r="N638" s="64" t="n">
        <f aca="false">IF($H638="",0,IFERROR(MATCH($H638,GradeList,0),0))</f>
        <v>0</v>
      </c>
      <c r="O638" s="64" t="n">
        <f aca="false">IF(OR($I638="",$I638="NR"),0,IFERROR(MATCH($I638,GradeList,0),0))</f>
        <v>0</v>
      </c>
      <c r="P638" s="64" t="n">
        <f aca="false">IF(AND($M638&gt;0,ISNUMBER(MATCH($F638,Lists!$A$2:$A$5,0)),ISNUMBER(MATCH($G638,Lists!$B$2:$B$7,0)),OR($H638="",$N638&gt;0),OR($I638="",$I638="NR",$O638&gt;0),IF(ISNUMBER($J638),AND($J638&gt;=0,$J638=INT($J638)),FALSE())),$J638,0)</f>
        <v>0</v>
      </c>
      <c r="Q638" s="64" t="n">
        <f aca="false">IF(AND($P638&gt;0,$O638&gt;0),$P638,0)</f>
        <v>0</v>
      </c>
      <c r="R638" s="64" t="n">
        <f aca="false">IF(AND($Q638&gt;0,$O638&gt;=AtRank),$Q638,0)</f>
        <v>0</v>
      </c>
      <c r="S638" s="64" t="n">
        <f aca="false">IF(AND($Q638&gt;0,$O638&gt;=AboveRank),$Q638,0)</f>
        <v>0</v>
      </c>
      <c r="T638" s="64" t="n">
        <f aca="false">IF($K638="Less",$P638,0)</f>
        <v>0</v>
      </c>
      <c r="U638" s="64" t="n">
        <f aca="false">IF($K638="Expected",$P638,0)</f>
        <v>0</v>
      </c>
      <c r="V638" s="64" t="n">
        <f aca="false">IF($K638="Better",$P638,0)</f>
        <v>0</v>
      </c>
      <c r="W638" s="64" t="n">
        <f aca="false">IF($K638="U – needs rule",$P638,0)</f>
        <v>0</v>
      </c>
      <c r="X638" s="64" t="n">
        <f aca="false">IF($K638="No Start (attainment only)",$P638,0)</f>
        <v>0</v>
      </c>
    </row>
    <row r="639" customFormat="false" ht="15" hidden="false" customHeight="false" outlineLevel="0" collapsed="false">
      <c r="A639" s="60"/>
      <c r="B639" s="61" t="str">
        <f aca="false">IF($M639=0,"",INDEX(Classes!$E$6:$E$420,$M639))</f>
        <v/>
      </c>
      <c r="C639" s="62" t="str">
        <f aca="false">IF($M639=0,"",INDEX(Classes!$H$6:$H$420,$M639))</f>
        <v/>
      </c>
      <c r="D639" s="61" t="str">
        <f aca="false">IF($M639=0,"",INDEX(Classes!$B$6:$B$420,$M639))</f>
        <v/>
      </c>
      <c r="E639" s="61" t="str">
        <f aca="false">IF($M639=0,"",INDEX(Classes!$C$6:$C$420,$M639))</f>
        <v/>
      </c>
      <c r="F639" s="63"/>
      <c r="G639" s="63"/>
      <c r="H639" s="60"/>
      <c r="I639" s="60"/>
      <c r="J639" s="63"/>
      <c r="K639" s="61" t="str">
        <f aca="false">IF($P639=0,"",IF($F639="Baseline","— Baseline",IF($O639=0,"No result",IF($N639=0,"No Start (attainment only)",IF(OR($N639=1,$O639=1),"U – needs rule",INDEX(MxBody,MATCH($I639,MxCurr,0),MATCH($H639,MxStart,0)))))))</f>
        <v/>
      </c>
      <c r="L639" s="62" t="str">
        <f aca="false">IF(COUNTA($A639,$F639,$G639,$H639,$I639,$J639)=0,"",IF($M639=0,"✖ كود الصف غير موجود",IF(ISNA(MATCH($F639,Lists!$A$2:$A$5,0)),"✖ الفترة غير صحيحة",IF(ISNA(MATCH($G639,Lists!$B$2:$B$7,0)),"✖ المجموعة غير صحيحة",IF(NOT(OR($H639="",$N639&gt;0)),"✖ Start غير صحيح",IF(NOT(OR($I639="",$I639="NR",$O639&gt;0)),"✖ Current غير صحيح",IF(NOT(IF(ISNUMBER($J639),AND($J639&gt;=0,$J639=INT($J639)),FALSE())),"✖ العدد يجب أن يكون صحيحًا ≥ 0",IF(AND($F639="Baseline",$H639&lt;&gt;""),"⚠ Baseline: Start لا يدخل في التقدم",IF($K639="No Start (attainment only)","ℹ تحصيل فقط (بدون Start)",IF($K639="U – needs rule","ℹ حالة U تحتاج قاعدة معتمدة",IF($K639="No result","ℹ بدون نتيجة (يُستبعد من التحصيل)","OK")))))))))))</f>
        <v/>
      </c>
      <c r="M639" s="64" t="n">
        <f aca="false">IF($A639="",0,IFERROR(MATCH($A639,Classes!$A$6:$A$420,0),0))</f>
        <v>0</v>
      </c>
      <c r="N639" s="64" t="n">
        <f aca="false">IF($H639="",0,IFERROR(MATCH($H639,GradeList,0),0))</f>
        <v>0</v>
      </c>
      <c r="O639" s="64" t="n">
        <f aca="false">IF(OR($I639="",$I639="NR"),0,IFERROR(MATCH($I639,GradeList,0),0))</f>
        <v>0</v>
      </c>
      <c r="P639" s="64" t="n">
        <f aca="false">IF(AND($M639&gt;0,ISNUMBER(MATCH($F639,Lists!$A$2:$A$5,0)),ISNUMBER(MATCH($G639,Lists!$B$2:$B$7,0)),OR($H639="",$N639&gt;0),OR($I639="",$I639="NR",$O639&gt;0),IF(ISNUMBER($J639),AND($J639&gt;=0,$J639=INT($J639)),FALSE())),$J639,0)</f>
        <v>0</v>
      </c>
      <c r="Q639" s="64" t="n">
        <f aca="false">IF(AND($P639&gt;0,$O639&gt;0),$P639,0)</f>
        <v>0</v>
      </c>
      <c r="R639" s="64" t="n">
        <f aca="false">IF(AND($Q639&gt;0,$O639&gt;=AtRank),$Q639,0)</f>
        <v>0</v>
      </c>
      <c r="S639" s="64" t="n">
        <f aca="false">IF(AND($Q639&gt;0,$O639&gt;=AboveRank),$Q639,0)</f>
        <v>0</v>
      </c>
      <c r="T639" s="64" t="n">
        <f aca="false">IF($K639="Less",$P639,0)</f>
        <v>0</v>
      </c>
      <c r="U639" s="64" t="n">
        <f aca="false">IF($K639="Expected",$P639,0)</f>
        <v>0</v>
      </c>
      <c r="V639" s="64" t="n">
        <f aca="false">IF($K639="Better",$P639,0)</f>
        <v>0</v>
      </c>
      <c r="W639" s="64" t="n">
        <f aca="false">IF($K639="U – needs rule",$P639,0)</f>
        <v>0</v>
      </c>
      <c r="X639" s="64" t="n">
        <f aca="false">IF($K639="No Start (attainment only)",$P639,0)</f>
        <v>0</v>
      </c>
    </row>
    <row r="640" customFormat="false" ht="15" hidden="false" customHeight="false" outlineLevel="0" collapsed="false">
      <c r="A640" s="60"/>
      <c r="B640" s="61" t="str">
        <f aca="false">IF($M640=0,"",INDEX(Classes!$E$6:$E$420,$M640))</f>
        <v/>
      </c>
      <c r="C640" s="62" t="str">
        <f aca="false">IF($M640=0,"",INDEX(Classes!$H$6:$H$420,$M640))</f>
        <v/>
      </c>
      <c r="D640" s="61" t="str">
        <f aca="false">IF($M640=0,"",INDEX(Classes!$B$6:$B$420,$M640))</f>
        <v/>
      </c>
      <c r="E640" s="61" t="str">
        <f aca="false">IF($M640=0,"",INDEX(Classes!$C$6:$C$420,$M640))</f>
        <v/>
      </c>
      <c r="F640" s="63"/>
      <c r="G640" s="63"/>
      <c r="H640" s="60"/>
      <c r="I640" s="60"/>
      <c r="J640" s="63"/>
      <c r="K640" s="61" t="str">
        <f aca="false">IF($P640=0,"",IF($F640="Baseline","— Baseline",IF($O640=0,"No result",IF($N640=0,"No Start (attainment only)",IF(OR($N640=1,$O640=1),"U – needs rule",INDEX(MxBody,MATCH($I640,MxCurr,0),MATCH($H640,MxStart,0)))))))</f>
        <v/>
      </c>
      <c r="L640" s="62" t="str">
        <f aca="false">IF(COUNTA($A640,$F640,$G640,$H640,$I640,$J640)=0,"",IF($M640=0,"✖ كود الصف غير موجود",IF(ISNA(MATCH($F640,Lists!$A$2:$A$5,0)),"✖ الفترة غير صحيحة",IF(ISNA(MATCH($G640,Lists!$B$2:$B$7,0)),"✖ المجموعة غير صحيحة",IF(NOT(OR($H640="",$N640&gt;0)),"✖ Start غير صحيح",IF(NOT(OR($I640="",$I640="NR",$O640&gt;0)),"✖ Current غير صحيح",IF(NOT(IF(ISNUMBER($J640),AND($J640&gt;=0,$J640=INT($J640)),FALSE())),"✖ العدد يجب أن يكون صحيحًا ≥ 0",IF(AND($F640="Baseline",$H640&lt;&gt;""),"⚠ Baseline: Start لا يدخل في التقدم",IF($K640="No Start (attainment only)","ℹ تحصيل فقط (بدون Start)",IF($K640="U – needs rule","ℹ حالة U تحتاج قاعدة معتمدة",IF($K640="No result","ℹ بدون نتيجة (يُستبعد من التحصيل)","OK")))))))))))</f>
        <v/>
      </c>
      <c r="M640" s="64" t="n">
        <f aca="false">IF($A640="",0,IFERROR(MATCH($A640,Classes!$A$6:$A$420,0),0))</f>
        <v>0</v>
      </c>
      <c r="N640" s="64" t="n">
        <f aca="false">IF($H640="",0,IFERROR(MATCH($H640,GradeList,0),0))</f>
        <v>0</v>
      </c>
      <c r="O640" s="64" t="n">
        <f aca="false">IF(OR($I640="",$I640="NR"),0,IFERROR(MATCH($I640,GradeList,0),0))</f>
        <v>0</v>
      </c>
      <c r="P640" s="64" t="n">
        <f aca="false">IF(AND($M640&gt;0,ISNUMBER(MATCH($F640,Lists!$A$2:$A$5,0)),ISNUMBER(MATCH($G640,Lists!$B$2:$B$7,0)),OR($H640="",$N640&gt;0),OR($I640="",$I640="NR",$O640&gt;0),IF(ISNUMBER($J640),AND($J640&gt;=0,$J640=INT($J640)),FALSE())),$J640,0)</f>
        <v>0</v>
      </c>
      <c r="Q640" s="64" t="n">
        <f aca="false">IF(AND($P640&gt;0,$O640&gt;0),$P640,0)</f>
        <v>0</v>
      </c>
      <c r="R640" s="64" t="n">
        <f aca="false">IF(AND($Q640&gt;0,$O640&gt;=AtRank),$Q640,0)</f>
        <v>0</v>
      </c>
      <c r="S640" s="64" t="n">
        <f aca="false">IF(AND($Q640&gt;0,$O640&gt;=AboveRank),$Q640,0)</f>
        <v>0</v>
      </c>
      <c r="T640" s="64" t="n">
        <f aca="false">IF($K640="Less",$P640,0)</f>
        <v>0</v>
      </c>
      <c r="U640" s="64" t="n">
        <f aca="false">IF($K640="Expected",$P640,0)</f>
        <v>0</v>
      </c>
      <c r="V640" s="64" t="n">
        <f aca="false">IF($K640="Better",$P640,0)</f>
        <v>0</v>
      </c>
      <c r="W640" s="64" t="n">
        <f aca="false">IF($K640="U – needs rule",$P640,0)</f>
        <v>0</v>
      </c>
      <c r="X640" s="64" t="n">
        <f aca="false">IF($K640="No Start (attainment only)",$P640,0)</f>
        <v>0</v>
      </c>
    </row>
    <row r="641" customFormat="false" ht="15" hidden="false" customHeight="false" outlineLevel="0" collapsed="false">
      <c r="A641" s="60"/>
      <c r="B641" s="61" t="str">
        <f aca="false">IF($M641=0,"",INDEX(Classes!$E$6:$E$420,$M641))</f>
        <v/>
      </c>
      <c r="C641" s="62" t="str">
        <f aca="false">IF($M641=0,"",INDEX(Classes!$H$6:$H$420,$M641))</f>
        <v/>
      </c>
      <c r="D641" s="61" t="str">
        <f aca="false">IF($M641=0,"",INDEX(Classes!$B$6:$B$420,$M641))</f>
        <v/>
      </c>
      <c r="E641" s="61" t="str">
        <f aca="false">IF($M641=0,"",INDEX(Classes!$C$6:$C$420,$M641))</f>
        <v/>
      </c>
      <c r="F641" s="63"/>
      <c r="G641" s="63"/>
      <c r="H641" s="60"/>
      <c r="I641" s="60"/>
      <c r="J641" s="63"/>
      <c r="K641" s="61" t="str">
        <f aca="false">IF($P641=0,"",IF($F641="Baseline","— Baseline",IF($O641=0,"No result",IF($N641=0,"No Start (attainment only)",IF(OR($N641=1,$O641=1),"U – needs rule",INDEX(MxBody,MATCH($I641,MxCurr,0),MATCH($H641,MxStart,0)))))))</f>
        <v/>
      </c>
      <c r="L641" s="62" t="str">
        <f aca="false">IF(COUNTA($A641,$F641,$G641,$H641,$I641,$J641)=0,"",IF($M641=0,"✖ كود الصف غير موجود",IF(ISNA(MATCH($F641,Lists!$A$2:$A$5,0)),"✖ الفترة غير صحيحة",IF(ISNA(MATCH($G641,Lists!$B$2:$B$7,0)),"✖ المجموعة غير صحيحة",IF(NOT(OR($H641="",$N641&gt;0)),"✖ Start غير صحيح",IF(NOT(OR($I641="",$I641="NR",$O641&gt;0)),"✖ Current غير صحيح",IF(NOT(IF(ISNUMBER($J641),AND($J641&gt;=0,$J641=INT($J641)),FALSE())),"✖ العدد يجب أن يكون صحيحًا ≥ 0",IF(AND($F641="Baseline",$H641&lt;&gt;""),"⚠ Baseline: Start لا يدخل في التقدم",IF($K641="No Start (attainment only)","ℹ تحصيل فقط (بدون Start)",IF($K641="U – needs rule","ℹ حالة U تحتاج قاعدة معتمدة",IF($K641="No result","ℹ بدون نتيجة (يُستبعد من التحصيل)","OK")))))))))))</f>
        <v/>
      </c>
      <c r="M641" s="64" t="n">
        <f aca="false">IF($A641="",0,IFERROR(MATCH($A641,Classes!$A$6:$A$420,0),0))</f>
        <v>0</v>
      </c>
      <c r="N641" s="64" t="n">
        <f aca="false">IF($H641="",0,IFERROR(MATCH($H641,GradeList,0),0))</f>
        <v>0</v>
      </c>
      <c r="O641" s="64" t="n">
        <f aca="false">IF(OR($I641="",$I641="NR"),0,IFERROR(MATCH($I641,GradeList,0),0))</f>
        <v>0</v>
      </c>
      <c r="P641" s="64" t="n">
        <f aca="false">IF(AND($M641&gt;0,ISNUMBER(MATCH($F641,Lists!$A$2:$A$5,0)),ISNUMBER(MATCH($G641,Lists!$B$2:$B$7,0)),OR($H641="",$N641&gt;0),OR($I641="",$I641="NR",$O641&gt;0),IF(ISNUMBER($J641),AND($J641&gt;=0,$J641=INT($J641)),FALSE())),$J641,0)</f>
        <v>0</v>
      </c>
      <c r="Q641" s="64" t="n">
        <f aca="false">IF(AND($P641&gt;0,$O641&gt;0),$P641,0)</f>
        <v>0</v>
      </c>
      <c r="R641" s="64" t="n">
        <f aca="false">IF(AND($Q641&gt;0,$O641&gt;=AtRank),$Q641,0)</f>
        <v>0</v>
      </c>
      <c r="S641" s="64" t="n">
        <f aca="false">IF(AND($Q641&gt;0,$O641&gt;=AboveRank),$Q641,0)</f>
        <v>0</v>
      </c>
      <c r="T641" s="64" t="n">
        <f aca="false">IF($K641="Less",$P641,0)</f>
        <v>0</v>
      </c>
      <c r="U641" s="64" t="n">
        <f aca="false">IF($K641="Expected",$P641,0)</f>
        <v>0</v>
      </c>
      <c r="V641" s="64" t="n">
        <f aca="false">IF($K641="Better",$P641,0)</f>
        <v>0</v>
      </c>
      <c r="W641" s="64" t="n">
        <f aca="false">IF($K641="U – needs rule",$P641,0)</f>
        <v>0</v>
      </c>
      <c r="X641" s="64" t="n">
        <f aca="false">IF($K641="No Start (attainment only)",$P641,0)</f>
        <v>0</v>
      </c>
    </row>
    <row r="642" customFormat="false" ht="15" hidden="false" customHeight="false" outlineLevel="0" collapsed="false">
      <c r="A642" s="60"/>
      <c r="B642" s="61" t="str">
        <f aca="false">IF($M642=0,"",INDEX(Classes!$E$6:$E$420,$M642))</f>
        <v/>
      </c>
      <c r="C642" s="62" t="str">
        <f aca="false">IF($M642=0,"",INDEX(Classes!$H$6:$H$420,$M642))</f>
        <v/>
      </c>
      <c r="D642" s="61" t="str">
        <f aca="false">IF($M642=0,"",INDEX(Classes!$B$6:$B$420,$M642))</f>
        <v/>
      </c>
      <c r="E642" s="61" t="str">
        <f aca="false">IF($M642=0,"",INDEX(Classes!$C$6:$C$420,$M642))</f>
        <v/>
      </c>
      <c r="F642" s="63"/>
      <c r="G642" s="63"/>
      <c r="H642" s="60"/>
      <c r="I642" s="60"/>
      <c r="J642" s="63"/>
      <c r="K642" s="61" t="str">
        <f aca="false">IF($P642=0,"",IF($F642="Baseline","— Baseline",IF($O642=0,"No result",IF($N642=0,"No Start (attainment only)",IF(OR($N642=1,$O642=1),"U – needs rule",INDEX(MxBody,MATCH($I642,MxCurr,0),MATCH($H642,MxStart,0)))))))</f>
        <v/>
      </c>
      <c r="L642" s="62" t="str">
        <f aca="false">IF(COUNTA($A642,$F642,$G642,$H642,$I642,$J642)=0,"",IF($M642=0,"✖ كود الصف غير موجود",IF(ISNA(MATCH($F642,Lists!$A$2:$A$5,0)),"✖ الفترة غير صحيحة",IF(ISNA(MATCH($G642,Lists!$B$2:$B$7,0)),"✖ المجموعة غير صحيحة",IF(NOT(OR($H642="",$N642&gt;0)),"✖ Start غير صحيح",IF(NOT(OR($I642="",$I642="NR",$O642&gt;0)),"✖ Current غير صحيح",IF(NOT(IF(ISNUMBER($J642),AND($J642&gt;=0,$J642=INT($J642)),FALSE())),"✖ العدد يجب أن يكون صحيحًا ≥ 0",IF(AND($F642="Baseline",$H642&lt;&gt;""),"⚠ Baseline: Start لا يدخل في التقدم",IF($K642="No Start (attainment only)","ℹ تحصيل فقط (بدون Start)",IF($K642="U – needs rule","ℹ حالة U تحتاج قاعدة معتمدة",IF($K642="No result","ℹ بدون نتيجة (يُستبعد من التحصيل)","OK")))))))))))</f>
        <v/>
      </c>
      <c r="M642" s="64" t="n">
        <f aca="false">IF($A642="",0,IFERROR(MATCH($A642,Classes!$A$6:$A$420,0),0))</f>
        <v>0</v>
      </c>
      <c r="N642" s="64" t="n">
        <f aca="false">IF($H642="",0,IFERROR(MATCH($H642,GradeList,0),0))</f>
        <v>0</v>
      </c>
      <c r="O642" s="64" t="n">
        <f aca="false">IF(OR($I642="",$I642="NR"),0,IFERROR(MATCH($I642,GradeList,0),0))</f>
        <v>0</v>
      </c>
      <c r="P642" s="64" t="n">
        <f aca="false">IF(AND($M642&gt;0,ISNUMBER(MATCH($F642,Lists!$A$2:$A$5,0)),ISNUMBER(MATCH($G642,Lists!$B$2:$B$7,0)),OR($H642="",$N642&gt;0),OR($I642="",$I642="NR",$O642&gt;0),IF(ISNUMBER($J642),AND($J642&gt;=0,$J642=INT($J642)),FALSE())),$J642,0)</f>
        <v>0</v>
      </c>
      <c r="Q642" s="64" t="n">
        <f aca="false">IF(AND($P642&gt;0,$O642&gt;0),$P642,0)</f>
        <v>0</v>
      </c>
      <c r="R642" s="64" t="n">
        <f aca="false">IF(AND($Q642&gt;0,$O642&gt;=AtRank),$Q642,0)</f>
        <v>0</v>
      </c>
      <c r="S642" s="64" t="n">
        <f aca="false">IF(AND($Q642&gt;0,$O642&gt;=AboveRank),$Q642,0)</f>
        <v>0</v>
      </c>
      <c r="T642" s="64" t="n">
        <f aca="false">IF($K642="Less",$P642,0)</f>
        <v>0</v>
      </c>
      <c r="U642" s="64" t="n">
        <f aca="false">IF($K642="Expected",$P642,0)</f>
        <v>0</v>
      </c>
      <c r="V642" s="64" t="n">
        <f aca="false">IF($K642="Better",$P642,0)</f>
        <v>0</v>
      </c>
      <c r="W642" s="64" t="n">
        <f aca="false">IF($K642="U – needs rule",$P642,0)</f>
        <v>0</v>
      </c>
      <c r="X642" s="64" t="n">
        <f aca="false">IF($K642="No Start (attainment only)",$P642,0)</f>
        <v>0</v>
      </c>
    </row>
    <row r="643" customFormat="false" ht="15" hidden="false" customHeight="false" outlineLevel="0" collapsed="false">
      <c r="A643" s="60"/>
      <c r="B643" s="61" t="str">
        <f aca="false">IF($M643=0,"",INDEX(Classes!$E$6:$E$420,$M643))</f>
        <v/>
      </c>
      <c r="C643" s="62" t="str">
        <f aca="false">IF($M643=0,"",INDEX(Classes!$H$6:$H$420,$M643))</f>
        <v/>
      </c>
      <c r="D643" s="61" t="str">
        <f aca="false">IF($M643=0,"",INDEX(Classes!$B$6:$B$420,$M643))</f>
        <v/>
      </c>
      <c r="E643" s="61" t="str">
        <f aca="false">IF($M643=0,"",INDEX(Classes!$C$6:$C$420,$M643))</f>
        <v/>
      </c>
      <c r="F643" s="63"/>
      <c r="G643" s="63"/>
      <c r="H643" s="60"/>
      <c r="I643" s="60"/>
      <c r="J643" s="63"/>
      <c r="K643" s="61" t="str">
        <f aca="false">IF($P643=0,"",IF($F643="Baseline","— Baseline",IF($O643=0,"No result",IF($N643=0,"No Start (attainment only)",IF(OR($N643=1,$O643=1),"U – needs rule",INDEX(MxBody,MATCH($I643,MxCurr,0),MATCH($H643,MxStart,0)))))))</f>
        <v/>
      </c>
      <c r="L643" s="62" t="str">
        <f aca="false">IF(COUNTA($A643,$F643,$G643,$H643,$I643,$J643)=0,"",IF($M643=0,"✖ كود الصف غير موجود",IF(ISNA(MATCH($F643,Lists!$A$2:$A$5,0)),"✖ الفترة غير صحيحة",IF(ISNA(MATCH($G643,Lists!$B$2:$B$7,0)),"✖ المجموعة غير صحيحة",IF(NOT(OR($H643="",$N643&gt;0)),"✖ Start غير صحيح",IF(NOT(OR($I643="",$I643="NR",$O643&gt;0)),"✖ Current غير صحيح",IF(NOT(IF(ISNUMBER($J643),AND($J643&gt;=0,$J643=INT($J643)),FALSE())),"✖ العدد يجب أن يكون صحيحًا ≥ 0",IF(AND($F643="Baseline",$H643&lt;&gt;""),"⚠ Baseline: Start لا يدخل في التقدم",IF($K643="No Start (attainment only)","ℹ تحصيل فقط (بدون Start)",IF($K643="U – needs rule","ℹ حالة U تحتاج قاعدة معتمدة",IF($K643="No result","ℹ بدون نتيجة (يُستبعد من التحصيل)","OK")))))))))))</f>
        <v/>
      </c>
      <c r="M643" s="64" t="n">
        <f aca="false">IF($A643="",0,IFERROR(MATCH($A643,Classes!$A$6:$A$420,0),0))</f>
        <v>0</v>
      </c>
      <c r="N643" s="64" t="n">
        <f aca="false">IF($H643="",0,IFERROR(MATCH($H643,GradeList,0),0))</f>
        <v>0</v>
      </c>
      <c r="O643" s="64" t="n">
        <f aca="false">IF(OR($I643="",$I643="NR"),0,IFERROR(MATCH($I643,GradeList,0),0))</f>
        <v>0</v>
      </c>
      <c r="P643" s="64" t="n">
        <f aca="false">IF(AND($M643&gt;0,ISNUMBER(MATCH($F643,Lists!$A$2:$A$5,0)),ISNUMBER(MATCH($G643,Lists!$B$2:$B$7,0)),OR($H643="",$N643&gt;0),OR($I643="",$I643="NR",$O643&gt;0),IF(ISNUMBER($J643),AND($J643&gt;=0,$J643=INT($J643)),FALSE())),$J643,0)</f>
        <v>0</v>
      </c>
      <c r="Q643" s="64" t="n">
        <f aca="false">IF(AND($P643&gt;0,$O643&gt;0),$P643,0)</f>
        <v>0</v>
      </c>
      <c r="R643" s="64" t="n">
        <f aca="false">IF(AND($Q643&gt;0,$O643&gt;=AtRank),$Q643,0)</f>
        <v>0</v>
      </c>
      <c r="S643" s="64" t="n">
        <f aca="false">IF(AND($Q643&gt;0,$O643&gt;=AboveRank),$Q643,0)</f>
        <v>0</v>
      </c>
      <c r="T643" s="64" t="n">
        <f aca="false">IF($K643="Less",$P643,0)</f>
        <v>0</v>
      </c>
      <c r="U643" s="64" t="n">
        <f aca="false">IF($K643="Expected",$P643,0)</f>
        <v>0</v>
      </c>
      <c r="V643" s="64" t="n">
        <f aca="false">IF($K643="Better",$P643,0)</f>
        <v>0</v>
      </c>
      <c r="W643" s="64" t="n">
        <f aca="false">IF($K643="U – needs rule",$P643,0)</f>
        <v>0</v>
      </c>
      <c r="X643" s="64" t="n">
        <f aca="false">IF($K643="No Start (attainment only)",$P643,0)</f>
        <v>0</v>
      </c>
    </row>
    <row r="644" customFormat="false" ht="15" hidden="false" customHeight="false" outlineLevel="0" collapsed="false">
      <c r="A644" s="60"/>
      <c r="B644" s="61" t="str">
        <f aca="false">IF($M644=0,"",INDEX(Classes!$E$6:$E$420,$M644))</f>
        <v/>
      </c>
      <c r="C644" s="62" t="str">
        <f aca="false">IF($M644=0,"",INDEX(Classes!$H$6:$H$420,$M644))</f>
        <v/>
      </c>
      <c r="D644" s="61" t="str">
        <f aca="false">IF($M644=0,"",INDEX(Classes!$B$6:$B$420,$M644))</f>
        <v/>
      </c>
      <c r="E644" s="61" t="str">
        <f aca="false">IF($M644=0,"",INDEX(Classes!$C$6:$C$420,$M644))</f>
        <v/>
      </c>
      <c r="F644" s="63"/>
      <c r="G644" s="63"/>
      <c r="H644" s="60"/>
      <c r="I644" s="60"/>
      <c r="J644" s="63"/>
      <c r="K644" s="61" t="str">
        <f aca="false">IF($P644=0,"",IF($F644="Baseline","— Baseline",IF($O644=0,"No result",IF($N644=0,"No Start (attainment only)",IF(OR($N644=1,$O644=1),"U – needs rule",INDEX(MxBody,MATCH($I644,MxCurr,0),MATCH($H644,MxStart,0)))))))</f>
        <v/>
      </c>
      <c r="L644" s="62" t="str">
        <f aca="false">IF(COUNTA($A644,$F644,$G644,$H644,$I644,$J644)=0,"",IF($M644=0,"✖ كود الصف غير موجود",IF(ISNA(MATCH($F644,Lists!$A$2:$A$5,0)),"✖ الفترة غير صحيحة",IF(ISNA(MATCH($G644,Lists!$B$2:$B$7,0)),"✖ المجموعة غير صحيحة",IF(NOT(OR($H644="",$N644&gt;0)),"✖ Start غير صحيح",IF(NOT(OR($I644="",$I644="NR",$O644&gt;0)),"✖ Current غير صحيح",IF(NOT(IF(ISNUMBER($J644),AND($J644&gt;=0,$J644=INT($J644)),FALSE())),"✖ العدد يجب أن يكون صحيحًا ≥ 0",IF(AND($F644="Baseline",$H644&lt;&gt;""),"⚠ Baseline: Start لا يدخل في التقدم",IF($K644="No Start (attainment only)","ℹ تحصيل فقط (بدون Start)",IF($K644="U – needs rule","ℹ حالة U تحتاج قاعدة معتمدة",IF($K644="No result","ℹ بدون نتيجة (يُستبعد من التحصيل)","OK")))))))))))</f>
        <v/>
      </c>
      <c r="M644" s="64" t="n">
        <f aca="false">IF($A644="",0,IFERROR(MATCH($A644,Classes!$A$6:$A$420,0),0))</f>
        <v>0</v>
      </c>
      <c r="N644" s="64" t="n">
        <f aca="false">IF($H644="",0,IFERROR(MATCH($H644,GradeList,0),0))</f>
        <v>0</v>
      </c>
      <c r="O644" s="64" t="n">
        <f aca="false">IF(OR($I644="",$I644="NR"),0,IFERROR(MATCH($I644,GradeList,0),0))</f>
        <v>0</v>
      </c>
      <c r="P644" s="64" t="n">
        <f aca="false">IF(AND($M644&gt;0,ISNUMBER(MATCH($F644,Lists!$A$2:$A$5,0)),ISNUMBER(MATCH($G644,Lists!$B$2:$B$7,0)),OR($H644="",$N644&gt;0),OR($I644="",$I644="NR",$O644&gt;0),IF(ISNUMBER($J644),AND($J644&gt;=0,$J644=INT($J644)),FALSE())),$J644,0)</f>
        <v>0</v>
      </c>
      <c r="Q644" s="64" t="n">
        <f aca="false">IF(AND($P644&gt;0,$O644&gt;0),$P644,0)</f>
        <v>0</v>
      </c>
      <c r="R644" s="64" t="n">
        <f aca="false">IF(AND($Q644&gt;0,$O644&gt;=AtRank),$Q644,0)</f>
        <v>0</v>
      </c>
      <c r="S644" s="64" t="n">
        <f aca="false">IF(AND($Q644&gt;0,$O644&gt;=AboveRank),$Q644,0)</f>
        <v>0</v>
      </c>
      <c r="T644" s="64" t="n">
        <f aca="false">IF($K644="Less",$P644,0)</f>
        <v>0</v>
      </c>
      <c r="U644" s="64" t="n">
        <f aca="false">IF($K644="Expected",$P644,0)</f>
        <v>0</v>
      </c>
      <c r="V644" s="64" t="n">
        <f aca="false">IF($K644="Better",$P644,0)</f>
        <v>0</v>
      </c>
      <c r="W644" s="64" t="n">
        <f aca="false">IF($K644="U – needs rule",$P644,0)</f>
        <v>0</v>
      </c>
      <c r="X644" s="64" t="n">
        <f aca="false">IF($K644="No Start (attainment only)",$P644,0)</f>
        <v>0</v>
      </c>
    </row>
    <row r="645" customFormat="false" ht="15" hidden="false" customHeight="false" outlineLevel="0" collapsed="false">
      <c r="A645" s="60"/>
      <c r="B645" s="61" t="str">
        <f aca="false">IF($M645=0,"",INDEX(Classes!$E$6:$E$420,$M645))</f>
        <v/>
      </c>
      <c r="C645" s="62" t="str">
        <f aca="false">IF($M645=0,"",INDEX(Classes!$H$6:$H$420,$M645))</f>
        <v/>
      </c>
      <c r="D645" s="61" t="str">
        <f aca="false">IF($M645=0,"",INDEX(Classes!$B$6:$B$420,$M645))</f>
        <v/>
      </c>
      <c r="E645" s="61" t="str">
        <f aca="false">IF($M645=0,"",INDEX(Classes!$C$6:$C$420,$M645))</f>
        <v/>
      </c>
      <c r="F645" s="63"/>
      <c r="G645" s="63"/>
      <c r="H645" s="60"/>
      <c r="I645" s="60"/>
      <c r="J645" s="63"/>
      <c r="K645" s="61" t="str">
        <f aca="false">IF($P645=0,"",IF($F645="Baseline","— Baseline",IF($O645=0,"No result",IF($N645=0,"No Start (attainment only)",IF(OR($N645=1,$O645=1),"U – needs rule",INDEX(MxBody,MATCH($I645,MxCurr,0),MATCH($H645,MxStart,0)))))))</f>
        <v/>
      </c>
      <c r="L645" s="62" t="str">
        <f aca="false">IF(COUNTA($A645,$F645,$G645,$H645,$I645,$J645)=0,"",IF($M645=0,"✖ كود الصف غير موجود",IF(ISNA(MATCH($F645,Lists!$A$2:$A$5,0)),"✖ الفترة غير صحيحة",IF(ISNA(MATCH($G645,Lists!$B$2:$B$7,0)),"✖ المجموعة غير صحيحة",IF(NOT(OR($H645="",$N645&gt;0)),"✖ Start غير صحيح",IF(NOT(OR($I645="",$I645="NR",$O645&gt;0)),"✖ Current غير صحيح",IF(NOT(IF(ISNUMBER($J645),AND($J645&gt;=0,$J645=INT($J645)),FALSE())),"✖ العدد يجب أن يكون صحيحًا ≥ 0",IF(AND($F645="Baseline",$H645&lt;&gt;""),"⚠ Baseline: Start لا يدخل في التقدم",IF($K645="No Start (attainment only)","ℹ تحصيل فقط (بدون Start)",IF($K645="U – needs rule","ℹ حالة U تحتاج قاعدة معتمدة",IF($K645="No result","ℹ بدون نتيجة (يُستبعد من التحصيل)","OK")))))))))))</f>
        <v/>
      </c>
      <c r="M645" s="64" t="n">
        <f aca="false">IF($A645="",0,IFERROR(MATCH($A645,Classes!$A$6:$A$420,0),0))</f>
        <v>0</v>
      </c>
      <c r="N645" s="64" t="n">
        <f aca="false">IF($H645="",0,IFERROR(MATCH($H645,GradeList,0),0))</f>
        <v>0</v>
      </c>
      <c r="O645" s="64" t="n">
        <f aca="false">IF(OR($I645="",$I645="NR"),0,IFERROR(MATCH($I645,GradeList,0),0))</f>
        <v>0</v>
      </c>
      <c r="P645" s="64" t="n">
        <f aca="false">IF(AND($M645&gt;0,ISNUMBER(MATCH($F645,Lists!$A$2:$A$5,0)),ISNUMBER(MATCH($G645,Lists!$B$2:$B$7,0)),OR($H645="",$N645&gt;0),OR($I645="",$I645="NR",$O645&gt;0),IF(ISNUMBER($J645),AND($J645&gt;=0,$J645=INT($J645)),FALSE())),$J645,0)</f>
        <v>0</v>
      </c>
      <c r="Q645" s="64" t="n">
        <f aca="false">IF(AND($P645&gt;0,$O645&gt;0),$P645,0)</f>
        <v>0</v>
      </c>
      <c r="R645" s="64" t="n">
        <f aca="false">IF(AND($Q645&gt;0,$O645&gt;=AtRank),$Q645,0)</f>
        <v>0</v>
      </c>
      <c r="S645" s="64" t="n">
        <f aca="false">IF(AND($Q645&gt;0,$O645&gt;=AboveRank),$Q645,0)</f>
        <v>0</v>
      </c>
      <c r="T645" s="64" t="n">
        <f aca="false">IF($K645="Less",$P645,0)</f>
        <v>0</v>
      </c>
      <c r="U645" s="64" t="n">
        <f aca="false">IF($K645="Expected",$P645,0)</f>
        <v>0</v>
      </c>
      <c r="V645" s="64" t="n">
        <f aca="false">IF($K645="Better",$P645,0)</f>
        <v>0</v>
      </c>
      <c r="W645" s="64" t="n">
        <f aca="false">IF($K645="U – needs rule",$P645,0)</f>
        <v>0</v>
      </c>
      <c r="X645" s="64" t="n">
        <f aca="false">IF($K645="No Start (attainment only)",$P645,0)</f>
        <v>0</v>
      </c>
    </row>
    <row r="646" customFormat="false" ht="15" hidden="false" customHeight="false" outlineLevel="0" collapsed="false">
      <c r="A646" s="60"/>
      <c r="B646" s="61" t="str">
        <f aca="false">IF($M646=0,"",INDEX(Classes!$E$6:$E$420,$M646))</f>
        <v/>
      </c>
      <c r="C646" s="62" t="str">
        <f aca="false">IF($M646=0,"",INDEX(Classes!$H$6:$H$420,$M646))</f>
        <v/>
      </c>
      <c r="D646" s="61" t="str">
        <f aca="false">IF($M646=0,"",INDEX(Classes!$B$6:$B$420,$M646))</f>
        <v/>
      </c>
      <c r="E646" s="61" t="str">
        <f aca="false">IF($M646=0,"",INDEX(Classes!$C$6:$C$420,$M646))</f>
        <v/>
      </c>
      <c r="F646" s="63"/>
      <c r="G646" s="63"/>
      <c r="H646" s="60"/>
      <c r="I646" s="60"/>
      <c r="J646" s="63"/>
      <c r="K646" s="61" t="str">
        <f aca="false">IF($P646=0,"",IF($F646="Baseline","— Baseline",IF($O646=0,"No result",IF($N646=0,"No Start (attainment only)",IF(OR($N646=1,$O646=1),"U – needs rule",INDEX(MxBody,MATCH($I646,MxCurr,0),MATCH($H646,MxStart,0)))))))</f>
        <v/>
      </c>
      <c r="L646" s="62" t="str">
        <f aca="false">IF(COUNTA($A646,$F646,$G646,$H646,$I646,$J646)=0,"",IF($M646=0,"✖ كود الصف غير موجود",IF(ISNA(MATCH($F646,Lists!$A$2:$A$5,0)),"✖ الفترة غير صحيحة",IF(ISNA(MATCH($G646,Lists!$B$2:$B$7,0)),"✖ المجموعة غير صحيحة",IF(NOT(OR($H646="",$N646&gt;0)),"✖ Start غير صحيح",IF(NOT(OR($I646="",$I646="NR",$O646&gt;0)),"✖ Current غير صحيح",IF(NOT(IF(ISNUMBER($J646),AND($J646&gt;=0,$J646=INT($J646)),FALSE())),"✖ العدد يجب أن يكون صحيحًا ≥ 0",IF(AND($F646="Baseline",$H646&lt;&gt;""),"⚠ Baseline: Start لا يدخل في التقدم",IF($K646="No Start (attainment only)","ℹ تحصيل فقط (بدون Start)",IF($K646="U – needs rule","ℹ حالة U تحتاج قاعدة معتمدة",IF($K646="No result","ℹ بدون نتيجة (يُستبعد من التحصيل)","OK")))))))))))</f>
        <v/>
      </c>
      <c r="M646" s="64" t="n">
        <f aca="false">IF($A646="",0,IFERROR(MATCH($A646,Classes!$A$6:$A$420,0),0))</f>
        <v>0</v>
      </c>
      <c r="N646" s="64" t="n">
        <f aca="false">IF($H646="",0,IFERROR(MATCH($H646,GradeList,0),0))</f>
        <v>0</v>
      </c>
      <c r="O646" s="64" t="n">
        <f aca="false">IF(OR($I646="",$I646="NR"),0,IFERROR(MATCH($I646,GradeList,0),0))</f>
        <v>0</v>
      </c>
      <c r="P646" s="64" t="n">
        <f aca="false">IF(AND($M646&gt;0,ISNUMBER(MATCH($F646,Lists!$A$2:$A$5,0)),ISNUMBER(MATCH($G646,Lists!$B$2:$B$7,0)),OR($H646="",$N646&gt;0),OR($I646="",$I646="NR",$O646&gt;0),IF(ISNUMBER($J646),AND($J646&gt;=0,$J646=INT($J646)),FALSE())),$J646,0)</f>
        <v>0</v>
      </c>
      <c r="Q646" s="64" t="n">
        <f aca="false">IF(AND($P646&gt;0,$O646&gt;0),$P646,0)</f>
        <v>0</v>
      </c>
      <c r="R646" s="64" t="n">
        <f aca="false">IF(AND($Q646&gt;0,$O646&gt;=AtRank),$Q646,0)</f>
        <v>0</v>
      </c>
      <c r="S646" s="64" t="n">
        <f aca="false">IF(AND($Q646&gt;0,$O646&gt;=AboveRank),$Q646,0)</f>
        <v>0</v>
      </c>
      <c r="T646" s="64" t="n">
        <f aca="false">IF($K646="Less",$P646,0)</f>
        <v>0</v>
      </c>
      <c r="U646" s="64" t="n">
        <f aca="false">IF($K646="Expected",$P646,0)</f>
        <v>0</v>
      </c>
      <c r="V646" s="64" t="n">
        <f aca="false">IF($K646="Better",$P646,0)</f>
        <v>0</v>
      </c>
      <c r="W646" s="64" t="n">
        <f aca="false">IF($K646="U – needs rule",$P646,0)</f>
        <v>0</v>
      </c>
      <c r="X646" s="64" t="n">
        <f aca="false">IF($K646="No Start (attainment only)",$P646,0)</f>
        <v>0</v>
      </c>
    </row>
    <row r="647" customFormat="false" ht="15" hidden="false" customHeight="false" outlineLevel="0" collapsed="false">
      <c r="A647" s="60"/>
      <c r="B647" s="61" t="str">
        <f aca="false">IF($M647=0,"",INDEX(Classes!$E$6:$E$420,$M647))</f>
        <v/>
      </c>
      <c r="C647" s="62" t="str">
        <f aca="false">IF($M647=0,"",INDEX(Classes!$H$6:$H$420,$M647))</f>
        <v/>
      </c>
      <c r="D647" s="61" t="str">
        <f aca="false">IF($M647=0,"",INDEX(Classes!$B$6:$B$420,$M647))</f>
        <v/>
      </c>
      <c r="E647" s="61" t="str">
        <f aca="false">IF($M647=0,"",INDEX(Classes!$C$6:$C$420,$M647))</f>
        <v/>
      </c>
      <c r="F647" s="63"/>
      <c r="G647" s="63"/>
      <c r="H647" s="60"/>
      <c r="I647" s="60"/>
      <c r="J647" s="63"/>
      <c r="K647" s="61" t="str">
        <f aca="false">IF($P647=0,"",IF($F647="Baseline","— Baseline",IF($O647=0,"No result",IF($N647=0,"No Start (attainment only)",IF(OR($N647=1,$O647=1),"U – needs rule",INDEX(MxBody,MATCH($I647,MxCurr,0),MATCH($H647,MxStart,0)))))))</f>
        <v/>
      </c>
      <c r="L647" s="62" t="str">
        <f aca="false">IF(COUNTA($A647,$F647,$G647,$H647,$I647,$J647)=0,"",IF($M647=0,"✖ كود الصف غير موجود",IF(ISNA(MATCH($F647,Lists!$A$2:$A$5,0)),"✖ الفترة غير صحيحة",IF(ISNA(MATCH($G647,Lists!$B$2:$B$7,0)),"✖ المجموعة غير صحيحة",IF(NOT(OR($H647="",$N647&gt;0)),"✖ Start غير صحيح",IF(NOT(OR($I647="",$I647="NR",$O647&gt;0)),"✖ Current غير صحيح",IF(NOT(IF(ISNUMBER($J647),AND($J647&gt;=0,$J647=INT($J647)),FALSE())),"✖ العدد يجب أن يكون صحيحًا ≥ 0",IF(AND($F647="Baseline",$H647&lt;&gt;""),"⚠ Baseline: Start لا يدخل في التقدم",IF($K647="No Start (attainment only)","ℹ تحصيل فقط (بدون Start)",IF($K647="U – needs rule","ℹ حالة U تحتاج قاعدة معتمدة",IF($K647="No result","ℹ بدون نتيجة (يُستبعد من التحصيل)","OK")))))))))))</f>
        <v/>
      </c>
      <c r="M647" s="64" t="n">
        <f aca="false">IF($A647="",0,IFERROR(MATCH($A647,Classes!$A$6:$A$420,0),0))</f>
        <v>0</v>
      </c>
      <c r="N647" s="64" t="n">
        <f aca="false">IF($H647="",0,IFERROR(MATCH($H647,GradeList,0),0))</f>
        <v>0</v>
      </c>
      <c r="O647" s="64" t="n">
        <f aca="false">IF(OR($I647="",$I647="NR"),0,IFERROR(MATCH($I647,GradeList,0),0))</f>
        <v>0</v>
      </c>
      <c r="P647" s="64" t="n">
        <f aca="false">IF(AND($M647&gt;0,ISNUMBER(MATCH($F647,Lists!$A$2:$A$5,0)),ISNUMBER(MATCH($G647,Lists!$B$2:$B$7,0)),OR($H647="",$N647&gt;0),OR($I647="",$I647="NR",$O647&gt;0),IF(ISNUMBER($J647),AND($J647&gt;=0,$J647=INT($J647)),FALSE())),$J647,0)</f>
        <v>0</v>
      </c>
      <c r="Q647" s="64" t="n">
        <f aca="false">IF(AND($P647&gt;0,$O647&gt;0),$P647,0)</f>
        <v>0</v>
      </c>
      <c r="R647" s="64" t="n">
        <f aca="false">IF(AND($Q647&gt;0,$O647&gt;=AtRank),$Q647,0)</f>
        <v>0</v>
      </c>
      <c r="S647" s="64" t="n">
        <f aca="false">IF(AND($Q647&gt;0,$O647&gt;=AboveRank),$Q647,0)</f>
        <v>0</v>
      </c>
      <c r="T647" s="64" t="n">
        <f aca="false">IF($K647="Less",$P647,0)</f>
        <v>0</v>
      </c>
      <c r="U647" s="64" t="n">
        <f aca="false">IF($K647="Expected",$P647,0)</f>
        <v>0</v>
      </c>
      <c r="V647" s="64" t="n">
        <f aca="false">IF($K647="Better",$P647,0)</f>
        <v>0</v>
      </c>
      <c r="W647" s="64" t="n">
        <f aca="false">IF($K647="U – needs rule",$P647,0)</f>
        <v>0</v>
      </c>
      <c r="X647" s="64" t="n">
        <f aca="false">IF($K647="No Start (attainment only)",$P647,0)</f>
        <v>0</v>
      </c>
    </row>
    <row r="648" customFormat="false" ht="15" hidden="false" customHeight="false" outlineLevel="0" collapsed="false">
      <c r="A648" s="60"/>
      <c r="B648" s="61" t="str">
        <f aca="false">IF($M648=0,"",INDEX(Classes!$E$6:$E$420,$M648))</f>
        <v/>
      </c>
      <c r="C648" s="62" t="str">
        <f aca="false">IF($M648=0,"",INDEX(Classes!$H$6:$H$420,$M648))</f>
        <v/>
      </c>
      <c r="D648" s="61" t="str">
        <f aca="false">IF($M648=0,"",INDEX(Classes!$B$6:$B$420,$M648))</f>
        <v/>
      </c>
      <c r="E648" s="61" t="str">
        <f aca="false">IF($M648=0,"",INDEX(Classes!$C$6:$C$420,$M648))</f>
        <v/>
      </c>
      <c r="F648" s="63"/>
      <c r="G648" s="63"/>
      <c r="H648" s="60"/>
      <c r="I648" s="60"/>
      <c r="J648" s="63"/>
      <c r="K648" s="61" t="str">
        <f aca="false">IF($P648=0,"",IF($F648="Baseline","— Baseline",IF($O648=0,"No result",IF($N648=0,"No Start (attainment only)",IF(OR($N648=1,$O648=1),"U – needs rule",INDEX(MxBody,MATCH($I648,MxCurr,0),MATCH($H648,MxStart,0)))))))</f>
        <v/>
      </c>
      <c r="L648" s="62" t="str">
        <f aca="false">IF(COUNTA($A648,$F648,$G648,$H648,$I648,$J648)=0,"",IF($M648=0,"✖ كود الصف غير موجود",IF(ISNA(MATCH($F648,Lists!$A$2:$A$5,0)),"✖ الفترة غير صحيحة",IF(ISNA(MATCH($G648,Lists!$B$2:$B$7,0)),"✖ المجموعة غير صحيحة",IF(NOT(OR($H648="",$N648&gt;0)),"✖ Start غير صحيح",IF(NOT(OR($I648="",$I648="NR",$O648&gt;0)),"✖ Current غير صحيح",IF(NOT(IF(ISNUMBER($J648),AND($J648&gt;=0,$J648=INT($J648)),FALSE())),"✖ العدد يجب أن يكون صحيحًا ≥ 0",IF(AND($F648="Baseline",$H648&lt;&gt;""),"⚠ Baseline: Start لا يدخل في التقدم",IF($K648="No Start (attainment only)","ℹ تحصيل فقط (بدون Start)",IF($K648="U – needs rule","ℹ حالة U تحتاج قاعدة معتمدة",IF($K648="No result","ℹ بدون نتيجة (يُستبعد من التحصيل)","OK")))))))))))</f>
        <v/>
      </c>
      <c r="M648" s="64" t="n">
        <f aca="false">IF($A648="",0,IFERROR(MATCH($A648,Classes!$A$6:$A$420,0),0))</f>
        <v>0</v>
      </c>
      <c r="N648" s="64" t="n">
        <f aca="false">IF($H648="",0,IFERROR(MATCH($H648,GradeList,0),0))</f>
        <v>0</v>
      </c>
      <c r="O648" s="64" t="n">
        <f aca="false">IF(OR($I648="",$I648="NR"),0,IFERROR(MATCH($I648,GradeList,0),0))</f>
        <v>0</v>
      </c>
      <c r="P648" s="64" t="n">
        <f aca="false">IF(AND($M648&gt;0,ISNUMBER(MATCH($F648,Lists!$A$2:$A$5,0)),ISNUMBER(MATCH($G648,Lists!$B$2:$B$7,0)),OR($H648="",$N648&gt;0),OR($I648="",$I648="NR",$O648&gt;0),IF(ISNUMBER($J648),AND($J648&gt;=0,$J648=INT($J648)),FALSE())),$J648,0)</f>
        <v>0</v>
      </c>
      <c r="Q648" s="64" t="n">
        <f aca="false">IF(AND($P648&gt;0,$O648&gt;0),$P648,0)</f>
        <v>0</v>
      </c>
      <c r="R648" s="64" t="n">
        <f aca="false">IF(AND($Q648&gt;0,$O648&gt;=AtRank),$Q648,0)</f>
        <v>0</v>
      </c>
      <c r="S648" s="64" t="n">
        <f aca="false">IF(AND($Q648&gt;0,$O648&gt;=AboveRank),$Q648,0)</f>
        <v>0</v>
      </c>
      <c r="T648" s="64" t="n">
        <f aca="false">IF($K648="Less",$P648,0)</f>
        <v>0</v>
      </c>
      <c r="U648" s="64" t="n">
        <f aca="false">IF($K648="Expected",$P648,0)</f>
        <v>0</v>
      </c>
      <c r="V648" s="64" t="n">
        <f aca="false">IF($K648="Better",$P648,0)</f>
        <v>0</v>
      </c>
      <c r="W648" s="64" t="n">
        <f aca="false">IF($K648="U – needs rule",$P648,0)</f>
        <v>0</v>
      </c>
      <c r="X648" s="64" t="n">
        <f aca="false">IF($K648="No Start (attainment only)",$P648,0)</f>
        <v>0</v>
      </c>
    </row>
    <row r="649" customFormat="false" ht="15" hidden="false" customHeight="false" outlineLevel="0" collapsed="false">
      <c r="A649" s="60"/>
      <c r="B649" s="61" t="str">
        <f aca="false">IF($M649=0,"",INDEX(Classes!$E$6:$E$420,$M649))</f>
        <v/>
      </c>
      <c r="C649" s="62" t="str">
        <f aca="false">IF($M649=0,"",INDEX(Classes!$H$6:$H$420,$M649))</f>
        <v/>
      </c>
      <c r="D649" s="61" t="str">
        <f aca="false">IF($M649=0,"",INDEX(Classes!$B$6:$B$420,$M649))</f>
        <v/>
      </c>
      <c r="E649" s="61" t="str">
        <f aca="false">IF($M649=0,"",INDEX(Classes!$C$6:$C$420,$M649))</f>
        <v/>
      </c>
      <c r="F649" s="63"/>
      <c r="G649" s="63"/>
      <c r="H649" s="60"/>
      <c r="I649" s="60"/>
      <c r="J649" s="63"/>
      <c r="K649" s="61" t="str">
        <f aca="false">IF($P649=0,"",IF($F649="Baseline","— Baseline",IF($O649=0,"No result",IF($N649=0,"No Start (attainment only)",IF(OR($N649=1,$O649=1),"U – needs rule",INDEX(MxBody,MATCH($I649,MxCurr,0),MATCH($H649,MxStart,0)))))))</f>
        <v/>
      </c>
      <c r="L649" s="62" t="str">
        <f aca="false">IF(COUNTA($A649,$F649,$G649,$H649,$I649,$J649)=0,"",IF($M649=0,"✖ كود الصف غير موجود",IF(ISNA(MATCH($F649,Lists!$A$2:$A$5,0)),"✖ الفترة غير صحيحة",IF(ISNA(MATCH($G649,Lists!$B$2:$B$7,0)),"✖ المجموعة غير صحيحة",IF(NOT(OR($H649="",$N649&gt;0)),"✖ Start غير صحيح",IF(NOT(OR($I649="",$I649="NR",$O649&gt;0)),"✖ Current غير صحيح",IF(NOT(IF(ISNUMBER($J649),AND($J649&gt;=0,$J649=INT($J649)),FALSE())),"✖ العدد يجب أن يكون صحيحًا ≥ 0",IF(AND($F649="Baseline",$H649&lt;&gt;""),"⚠ Baseline: Start لا يدخل في التقدم",IF($K649="No Start (attainment only)","ℹ تحصيل فقط (بدون Start)",IF($K649="U – needs rule","ℹ حالة U تحتاج قاعدة معتمدة",IF($K649="No result","ℹ بدون نتيجة (يُستبعد من التحصيل)","OK")))))))))))</f>
        <v/>
      </c>
      <c r="M649" s="64" t="n">
        <f aca="false">IF($A649="",0,IFERROR(MATCH($A649,Classes!$A$6:$A$420,0),0))</f>
        <v>0</v>
      </c>
      <c r="N649" s="64" t="n">
        <f aca="false">IF($H649="",0,IFERROR(MATCH($H649,GradeList,0),0))</f>
        <v>0</v>
      </c>
      <c r="O649" s="64" t="n">
        <f aca="false">IF(OR($I649="",$I649="NR"),0,IFERROR(MATCH($I649,GradeList,0),0))</f>
        <v>0</v>
      </c>
      <c r="P649" s="64" t="n">
        <f aca="false">IF(AND($M649&gt;0,ISNUMBER(MATCH($F649,Lists!$A$2:$A$5,0)),ISNUMBER(MATCH($G649,Lists!$B$2:$B$7,0)),OR($H649="",$N649&gt;0),OR($I649="",$I649="NR",$O649&gt;0),IF(ISNUMBER($J649),AND($J649&gt;=0,$J649=INT($J649)),FALSE())),$J649,0)</f>
        <v>0</v>
      </c>
      <c r="Q649" s="64" t="n">
        <f aca="false">IF(AND($P649&gt;0,$O649&gt;0),$P649,0)</f>
        <v>0</v>
      </c>
      <c r="R649" s="64" t="n">
        <f aca="false">IF(AND($Q649&gt;0,$O649&gt;=AtRank),$Q649,0)</f>
        <v>0</v>
      </c>
      <c r="S649" s="64" t="n">
        <f aca="false">IF(AND($Q649&gt;0,$O649&gt;=AboveRank),$Q649,0)</f>
        <v>0</v>
      </c>
      <c r="T649" s="64" t="n">
        <f aca="false">IF($K649="Less",$P649,0)</f>
        <v>0</v>
      </c>
      <c r="U649" s="64" t="n">
        <f aca="false">IF($K649="Expected",$P649,0)</f>
        <v>0</v>
      </c>
      <c r="V649" s="64" t="n">
        <f aca="false">IF($K649="Better",$P649,0)</f>
        <v>0</v>
      </c>
      <c r="W649" s="64" t="n">
        <f aca="false">IF($K649="U – needs rule",$P649,0)</f>
        <v>0</v>
      </c>
      <c r="X649" s="64" t="n">
        <f aca="false">IF($K649="No Start (attainment only)",$P649,0)</f>
        <v>0</v>
      </c>
    </row>
    <row r="650" customFormat="false" ht="15" hidden="false" customHeight="false" outlineLevel="0" collapsed="false">
      <c r="A650" s="60"/>
      <c r="B650" s="61" t="str">
        <f aca="false">IF($M650=0,"",INDEX(Classes!$E$6:$E$420,$M650))</f>
        <v/>
      </c>
      <c r="C650" s="62" t="str">
        <f aca="false">IF($M650=0,"",INDEX(Classes!$H$6:$H$420,$M650))</f>
        <v/>
      </c>
      <c r="D650" s="61" t="str">
        <f aca="false">IF($M650=0,"",INDEX(Classes!$B$6:$B$420,$M650))</f>
        <v/>
      </c>
      <c r="E650" s="61" t="str">
        <f aca="false">IF($M650=0,"",INDEX(Classes!$C$6:$C$420,$M650))</f>
        <v/>
      </c>
      <c r="F650" s="63"/>
      <c r="G650" s="63"/>
      <c r="H650" s="60"/>
      <c r="I650" s="60"/>
      <c r="J650" s="63"/>
      <c r="K650" s="61" t="str">
        <f aca="false">IF($P650=0,"",IF($F650="Baseline","— Baseline",IF($O650=0,"No result",IF($N650=0,"No Start (attainment only)",IF(OR($N650=1,$O650=1),"U – needs rule",INDEX(MxBody,MATCH($I650,MxCurr,0),MATCH($H650,MxStart,0)))))))</f>
        <v/>
      </c>
      <c r="L650" s="62" t="str">
        <f aca="false">IF(COUNTA($A650,$F650,$G650,$H650,$I650,$J650)=0,"",IF($M650=0,"✖ كود الصف غير موجود",IF(ISNA(MATCH($F650,Lists!$A$2:$A$5,0)),"✖ الفترة غير صحيحة",IF(ISNA(MATCH($G650,Lists!$B$2:$B$7,0)),"✖ المجموعة غير صحيحة",IF(NOT(OR($H650="",$N650&gt;0)),"✖ Start غير صحيح",IF(NOT(OR($I650="",$I650="NR",$O650&gt;0)),"✖ Current غير صحيح",IF(NOT(IF(ISNUMBER($J650),AND($J650&gt;=0,$J650=INT($J650)),FALSE())),"✖ العدد يجب أن يكون صحيحًا ≥ 0",IF(AND($F650="Baseline",$H650&lt;&gt;""),"⚠ Baseline: Start لا يدخل في التقدم",IF($K650="No Start (attainment only)","ℹ تحصيل فقط (بدون Start)",IF($K650="U – needs rule","ℹ حالة U تحتاج قاعدة معتمدة",IF($K650="No result","ℹ بدون نتيجة (يُستبعد من التحصيل)","OK")))))))))))</f>
        <v/>
      </c>
      <c r="M650" s="64" t="n">
        <f aca="false">IF($A650="",0,IFERROR(MATCH($A650,Classes!$A$6:$A$420,0),0))</f>
        <v>0</v>
      </c>
      <c r="N650" s="64" t="n">
        <f aca="false">IF($H650="",0,IFERROR(MATCH($H650,GradeList,0),0))</f>
        <v>0</v>
      </c>
      <c r="O650" s="64" t="n">
        <f aca="false">IF(OR($I650="",$I650="NR"),0,IFERROR(MATCH($I650,GradeList,0),0))</f>
        <v>0</v>
      </c>
      <c r="P650" s="64" t="n">
        <f aca="false">IF(AND($M650&gt;0,ISNUMBER(MATCH($F650,Lists!$A$2:$A$5,0)),ISNUMBER(MATCH($G650,Lists!$B$2:$B$7,0)),OR($H650="",$N650&gt;0),OR($I650="",$I650="NR",$O650&gt;0),IF(ISNUMBER($J650),AND($J650&gt;=0,$J650=INT($J650)),FALSE())),$J650,0)</f>
        <v>0</v>
      </c>
      <c r="Q650" s="64" t="n">
        <f aca="false">IF(AND($P650&gt;0,$O650&gt;0),$P650,0)</f>
        <v>0</v>
      </c>
      <c r="R650" s="64" t="n">
        <f aca="false">IF(AND($Q650&gt;0,$O650&gt;=AtRank),$Q650,0)</f>
        <v>0</v>
      </c>
      <c r="S650" s="64" t="n">
        <f aca="false">IF(AND($Q650&gt;0,$O650&gt;=AboveRank),$Q650,0)</f>
        <v>0</v>
      </c>
      <c r="T650" s="64" t="n">
        <f aca="false">IF($K650="Less",$P650,0)</f>
        <v>0</v>
      </c>
      <c r="U650" s="64" t="n">
        <f aca="false">IF($K650="Expected",$P650,0)</f>
        <v>0</v>
      </c>
      <c r="V650" s="64" t="n">
        <f aca="false">IF($K650="Better",$P650,0)</f>
        <v>0</v>
      </c>
      <c r="W650" s="64" t="n">
        <f aca="false">IF($K650="U – needs rule",$P650,0)</f>
        <v>0</v>
      </c>
      <c r="X650" s="64" t="n">
        <f aca="false">IF($K650="No Start (attainment only)",$P650,0)</f>
        <v>0</v>
      </c>
    </row>
    <row r="651" customFormat="false" ht="15" hidden="false" customHeight="false" outlineLevel="0" collapsed="false">
      <c r="A651" s="60"/>
      <c r="B651" s="61" t="str">
        <f aca="false">IF($M651=0,"",INDEX(Classes!$E$6:$E$420,$M651))</f>
        <v/>
      </c>
      <c r="C651" s="62" t="str">
        <f aca="false">IF($M651=0,"",INDEX(Classes!$H$6:$H$420,$M651))</f>
        <v/>
      </c>
      <c r="D651" s="61" t="str">
        <f aca="false">IF($M651=0,"",INDEX(Classes!$B$6:$B$420,$M651))</f>
        <v/>
      </c>
      <c r="E651" s="61" t="str">
        <f aca="false">IF($M651=0,"",INDEX(Classes!$C$6:$C$420,$M651))</f>
        <v/>
      </c>
      <c r="F651" s="63"/>
      <c r="G651" s="63"/>
      <c r="H651" s="60"/>
      <c r="I651" s="60"/>
      <c r="J651" s="63"/>
      <c r="K651" s="61" t="str">
        <f aca="false">IF($P651=0,"",IF($F651="Baseline","— Baseline",IF($O651=0,"No result",IF($N651=0,"No Start (attainment only)",IF(OR($N651=1,$O651=1),"U – needs rule",INDEX(MxBody,MATCH($I651,MxCurr,0),MATCH($H651,MxStart,0)))))))</f>
        <v/>
      </c>
      <c r="L651" s="62" t="str">
        <f aca="false">IF(COUNTA($A651,$F651,$G651,$H651,$I651,$J651)=0,"",IF($M651=0,"✖ كود الصف غير موجود",IF(ISNA(MATCH($F651,Lists!$A$2:$A$5,0)),"✖ الفترة غير صحيحة",IF(ISNA(MATCH($G651,Lists!$B$2:$B$7,0)),"✖ المجموعة غير صحيحة",IF(NOT(OR($H651="",$N651&gt;0)),"✖ Start غير صحيح",IF(NOT(OR($I651="",$I651="NR",$O651&gt;0)),"✖ Current غير صحيح",IF(NOT(IF(ISNUMBER($J651),AND($J651&gt;=0,$J651=INT($J651)),FALSE())),"✖ العدد يجب أن يكون صحيحًا ≥ 0",IF(AND($F651="Baseline",$H651&lt;&gt;""),"⚠ Baseline: Start لا يدخل في التقدم",IF($K651="No Start (attainment only)","ℹ تحصيل فقط (بدون Start)",IF($K651="U – needs rule","ℹ حالة U تحتاج قاعدة معتمدة",IF($K651="No result","ℹ بدون نتيجة (يُستبعد من التحصيل)","OK")))))))))))</f>
        <v/>
      </c>
      <c r="M651" s="64" t="n">
        <f aca="false">IF($A651="",0,IFERROR(MATCH($A651,Classes!$A$6:$A$420,0),0))</f>
        <v>0</v>
      </c>
      <c r="N651" s="64" t="n">
        <f aca="false">IF($H651="",0,IFERROR(MATCH($H651,GradeList,0),0))</f>
        <v>0</v>
      </c>
      <c r="O651" s="64" t="n">
        <f aca="false">IF(OR($I651="",$I651="NR"),0,IFERROR(MATCH($I651,GradeList,0),0))</f>
        <v>0</v>
      </c>
      <c r="P651" s="64" t="n">
        <f aca="false">IF(AND($M651&gt;0,ISNUMBER(MATCH($F651,Lists!$A$2:$A$5,0)),ISNUMBER(MATCH($G651,Lists!$B$2:$B$7,0)),OR($H651="",$N651&gt;0),OR($I651="",$I651="NR",$O651&gt;0),IF(ISNUMBER($J651),AND($J651&gt;=0,$J651=INT($J651)),FALSE())),$J651,0)</f>
        <v>0</v>
      </c>
      <c r="Q651" s="64" t="n">
        <f aca="false">IF(AND($P651&gt;0,$O651&gt;0),$P651,0)</f>
        <v>0</v>
      </c>
      <c r="R651" s="64" t="n">
        <f aca="false">IF(AND($Q651&gt;0,$O651&gt;=AtRank),$Q651,0)</f>
        <v>0</v>
      </c>
      <c r="S651" s="64" t="n">
        <f aca="false">IF(AND($Q651&gt;0,$O651&gt;=AboveRank),$Q651,0)</f>
        <v>0</v>
      </c>
      <c r="T651" s="64" t="n">
        <f aca="false">IF($K651="Less",$P651,0)</f>
        <v>0</v>
      </c>
      <c r="U651" s="64" t="n">
        <f aca="false">IF($K651="Expected",$P651,0)</f>
        <v>0</v>
      </c>
      <c r="V651" s="64" t="n">
        <f aca="false">IF($K651="Better",$P651,0)</f>
        <v>0</v>
      </c>
      <c r="W651" s="64" t="n">
        <f aca="false">IF($K651="U – needs rule",$P651,0)</f>
        <v>0</v>
      </c>
      <c r="X651" s="64" t="n">
        <f aca="false">IF($K651="No Start (attainment only)",$P651,0)</f>
        <v>0</v>
      </c>
    </row>
    <row r="652" customFormat="false" ht="15" hidden="false" customHeight="false" outlineLevel="0" collapsed="false">
      <c r="A652" s="60"/>
      <c r="B652" s="61" t="str">
        <f aca="false">IF($M652=0,"",INDEX(Classes!$E$6:$E$420,$M652))</f>
        <v/>
      </c>
      <c r="C652" s="62" t="str">
        <f aca="false">IF($M652=0,"",INDEX(Classes!$H$6:$H$420,$M652))</f>
        <v/>
      </c>
      <c r="D652" s="61" t="str">
        <f aca="false">IF($M652=0,"",INDEX(Classes!$B$6:$B$420,$M652))</f>
        <v/>
      </c>
      <c r="E652" s="61" t="str">
        <f aca="false">IF($M652=0,"",INDEX(Classes!$C$6:$C$420,$M652))</f>
        <v/>
      </c>
      <c r="F652" s="63"/>
      <c r="G652" s="63"/>
      <c r="H652" s="60"/>
      <c r="I652" s="60"/>
      <c r="J652" s="63"/>
      <c r="K652" s="61" t="str">
        <f aca="false">IF($P652=0,"",IF($F652="Baseline","— Baseline",IF($O652=0,"No result",IF($N652=0,"No Start (attainment only)",IF(OR($N652=1,$O652=1),"U – needs rule",INDEX(MxBody,MATCH($I652,MxCurr,0),MATCH($H652,MxStart,0)))))))</f>
        <v/>
      </c>
      <c r="L652" s="62" t="str">
        <f aca="false">IF(COUNTA($A652,$F652,$G652,$H652,$I652,$J652)=0,"",IF($M652=0,"✖ كود الصف غير موجود",IF(ISNA(MATCH($F652,Lists!$A$2:$A$5,0)),"✖ الفترة غير صحيحة",IF(ISNA(MATCH($G652,Lists!$B$2:$B$7,0)),"✖ المجموعة غير صحيحة",IF(NOT(OR($H652="",$N652&gt;0)),"✖ Start غير صحيح",IF(NOT(OR($I652="",$I652="NR",$O652&gt;0)),"✖ Current غير صحيح",IF(NOT(IF(ISNUMBER($J652),AND($J652&gt;=0,$J652=INT($J652)),FALSE())),"✖ العدد يجب أن يكون صحيحًا ≥ 0",IF(AND($F652="Baseline",$H652&lt;&gt;""),"⚠ Baseline: Start لا يدخل في التقدم",IF($K652="No Start (attainment only)","ℹ تحصيل فقط (بدون Start)",IF($K652="U – needs rule","ℹ حالة U تحتاج قاعدة معتمدة",IF($K652="No result","ℹ بدون نتيجة (يُستبعد من التحصيل)","OK")))))))))))</f>
        <v/>
      </c>
      <c r="M652" s="64" t="n">
        <f aca="false">IF($A652="",0,IFERROR(MATCH($A652,Classes!$A$6:$A$420,0),0))</f>
        <v>0</v>
      </c>
      <c r="N652" s="64" t="n">
        <f aca="false">IF($H652="",0,IFERROR(MATCH($H652,GradeList,0),0))</f>
        <v>0</v>
      </c>
      <c r="O652" s="64" t="n">
        <f aca="false">IF(OR($I652="",$I652="NR"),0,IFERROR(MATCH($I652,GradeList,0),0))</f>
        <v>0</v>
      </c>
      <c r="P652" s="64" t="n">
        <f aca="false">IF(AND($M652&gt;0,ISNUMBER(MATCH($F652,Lists!$A$2:$A$5,0)),ISNUMBER(MATCH($G652,Lists!$B$2:$B$7,0)),OR($H652="",$N652&gt;0),OR($I652="",$I652="NR",$O652&gt;0),IF(ISNUMBER($J652),AND($J652&gt;=0,$J652=INT($J652)),FALSE())),$J652,0)</f>
        <v>0</v>
      </c>
      <c r="Q652" s="64" t="n">
        <f aca="false">IF(AND($P652&gt;0,$O652&gt;0),$P652,0)</f>
        <v>0</v>
      </c>
      <c r="R652" s="64" t="n">
        <f aca="false">IF(AND($Q652&gt;0,$O652&gt;=AtRank),$Q652,0)</f>
        <v>0</v>
      </c>
      <c r="S652" s="64" t="n">
        <f aca="false">IF(AND($Q652&gt;0,$O652&gt;=AboveRank),$Q652,0)</f>
        <v>0</v>
      </c>
      <c r="T652" s="64" t="n">
        <f aca="false">IF($K652="Less",$P652,0)</f>
        <v>0</v>
      </c>
      <c r="U652" s="64" t="n">
        <f aca="false">IF($K652="Expected",$P652,0)</f>
        <v>0</v>
      </c>
      <c r="V652" s="64" t="n">
        <f aca="false">IF($K652="Better",$P652,0)</f>
        <v>0</v>
      </c>
      <c r="W652" s="64" t="n">
        <f aca="false">IF($K652="U – needs rule",$P652,0)</f>
        <v>0</v>
      </c>
      <c r="X652" s="64" t="n">
        <f aca="false">IF($K652="No Start (attainment only)",$P652,0)</f>
        <v>0</v>
      </c>
    </row>
    <row r="653" customFormat="false" ht="15" hidden="false" customHeight="false" outlineLevel="0" collapsed="false">
      <c r="A653" s="60"/>
      <c r="B653" s="61" t="str">
        <f aca="false">IF($M653=0,"",INDEX(Classes!$E$6:$E$420,$M653))</f>
        <v/>
      </c>
      <c r="C653" s="62" t="str">
        <f aca="false">IF($M653=0,"",INDEX(Classes!$H$6:$H$420,$M653))</f>
        <v/>
      </c>
      <c r="D653" s="61" t="str">
        <f aca="false">IF($M653=0,"",INDEX(Classes!$B$6:$B$420,$M653))</f>
        <v/>
      </c>
      <c r="E653" s="61" t="str">
        <f aca="false">IF($M653=0,"",INDEX(Classes!$C$6:$C$420,$M653))</f>
        <v/>
      </c>
      <c r="F653" s="63"/>
      <c r="G653" s="63"/>
      <c r="H653" s="60"/>
      <c r="I653" s="60"/>
      <c r="J653" s="63"/>
      <c r="K653" s="61" t="str">
        <f aca="false">IF($P653=0,"",IF($F653="Baseline","— Baseline",IF($O653=0,"No result",IF($N653=0,"No Start (attainment only)",IF(OR($N653=1,$O653=1),"U – needs rule",INDEX(MxBody,MATCH($I653,MxCurr,0),MATCH($H653,MxStart,0)))))))</f>
        <v/>
      </c>
      <c r="L653" s="62" t="str">
        <f aca="false">IF(COUNTA($A653,$F653,$G653,$H653,$I653,$J653)=0,"",IF($M653=0,"✖ كود الصف غير موجود",IF(ISNA(MATCH($F653,Lists!$A$2:$A$5,0)),"✖ الفترة غير صحيحة",IF(ISNA(MATCH($G653,Lists!$B$2:$B$7,0)),"✖ المجموعة غير صحيحة",IF(NOT(OR($H653="",$N653&gt;0)),"✖ Start غير صحيح",IF(NOT(OR($I653="",$I653="NR",$O653&gt;0)),"✖ Current غير صحيح",IF(NOT(IF(ISNUMBER($J653),AND($J653&gt;=0,$J653=INT($J653)),FALSE())),"✖ العدد يجب أن يكون صحيحًا ≥ 0",IF(AND($F653="Baseline",$H653&lt;&gt;""),"⚠ Baseline: Start لا يدخل في التقدم",IF($K653="No Start (attainment only)","ℹ تحصيل فقط (بدون Start)",IF($K653="U – needs rule","ℹ حالة U تحتاج قاعدة معتمدة",IF($K653="No result","ℹ بدون نتيجة (يُستبعد من التحصيل)","OK")))))))))))</f>
        <v/>
      </c>
      <c r="M653" s="64" t="n">
        <f aca="false">IF($A653="",0,IFERROR(MATCH($A653,Classes!$A$6:$A$420,0),0))</f>
        <v>0</v>
      </c>
      <c r="N653" s="64" t="n">
        <f aca="false">IF($H653="",0,IFERROR(MATCH($H653,GradeList,0),0))</f>
        <v>0</v>
      </c>
      <c r="O653" s="64" t="n">
        <f aca="false">IF(OR($I653="",$I653="NR"),0,IFERROR(MATCH($I653,GradeList,0),0))</f>
        <v>0</v>
      </c>
      <c r="P653" s="64" t="n">
        <f aca="false">IF(AND($M653&gt;0,ISNUMBER(MATCH($F653,Lists!$A$2:$A$5,0)),ISNUMBER(MATCH($G653,Lists!$B$2:$B$7,0)),OR($H653="",$N653&gt;0),OR($I653="",$I653="NR",$O653&gt;0),IF(ISNUMBER($J653),AND($J653&gt;=0,$J653=INT($J653)),FALSE())),$J653,0)</f>
        <v>0</v>
      </c>
      <c r="Q653" s="64" t="n">
        <f aca="false">IF(AND($P653&gt;0,$O653&gt;0),$P653,0)</f>
        <v>0</v>
      </c>
      <c r="R653" s="64" t="n">
        <f aca="false">IF(AND($Q653&gt;0,$O653&gt;=AtRank),$Q653,0)</f>
        <v>0</v>
      </c>
      <c r="S653" s="64" t="n">
        <f aca="false">IF(AND($Q653&gt;0,$O653&gt;=AboveRank),$Q653,0)</f>
        <v>0</v>
      </c>
      <c r="T653" s="64" t="n">
        <f aca="false">IF($K653="Less",$P653,0)</f>
        <v>0</v>
      </c>
      <c r="U653" s="64" t="n">
        <f aca="false">IF($K653="Expected",$P653,0)</f>
        <v>0</v>
      </c>
      <c r="V653" s="64" t="n">
        <f aca="false">IF($K653="Better",$P653,0)</f>
        <v>0</v>
      </c>
      <c r="W653" s="64" t="n">
        <f aca="false">IF($K653="U – needs rule",$P653,0)</f>
        <v>0</v>
      </c>
      <c r="X653" s="64" t="n">
        <f aca="false">IF($K653="No Start (attainment only)",$P653,0)</f>
        <v>0</v>
      </c>
    </row>
    <row r="654" customFormat="false" ht="15" hidden="false" customHeight="false" outlineLevel="0" collapsed="false">
      <c r="A654" s="60"/>
      <c r="B654" s="61" t="str">
        <f aca="false">IF($M654=0,"",INDEX(Classes!$E$6:$E$420,$M654))</f>
        <v/>
      </c>
      <c r="C654" s="62" t="str">
        <f aca="false">IF($M654=0,"",INDEX(Classes!$H$6:$H$420,$M654))</f>
        <v/>
      </c>
      <c r="D654" s="61" t="str">
        <f aca="false">IF($M654=0,"",INDEX(Classes!$B$6:$B$420,$M654))</f>
        <v/>
      </c>
      <c r="E654" s="61" t="str">
        <f aca="false">IF($M654=0,"",INDEX(Classes!$C$6:$C$420,$M654))</f>
        <v/>
      </c>
      <c r="F654" s="63"/>
      <c r="G654" s="63"/>
      <c r="H654" s="60"/>
      <c r="I654" s="60"/>
      <c r="J654" s="63"/>
      <c r="K654" s="61" t="str">
        <f aca="false">IF($P654=0,"",IF($F654="Baseline","— Baseline",IF($O654=0,"No result",IF($N654=0,"No Start (attainment only)",IF(OR($N654=1,$O654=1),"U – needs rule",INDEX(MxBody,MATCH($I654,MxCurr,0),MATCH($H654,MxStart,0)))))))</f>
        <v/>
      </c>
      <c r="L654" s="62" t="str">
        <f aca="false">IF(COUNTA($A654,$F654,$G654,$H654,$I654,$J654)=0,"",IF($M654=0,"✖ كود الصف غير موجود",IF(ISNA(MATCH($F654,Lists!$A$2:$A$5,0)),"✖ الفترة غير صحيحة",IF(ISNA(MATCH($G654,Lists!$B$2:$B$7,0)),"✖ المجموعة غير صحيحة",IF(NOT(OR($H654="",$N654&gt;0)),"✖ Start غير صحيح",IF(NOT(OR($I654="",$I654="NR",$O654&gt;0)),"✖ Current غير صحيح",IF(NOT(IF(ISNUMBER($J654),AND($J654&gt;=0,$J654=INT($J654)),FALSE())),"✖ العدد يجب أن يكون صحيحًا ≥ 0",IF(AND($F654="Baseline",$H654&lt;&gt;""),"⚠ Baseline: Start لا يدخل في التقدم",IF($K654="No Start (attainment only)","ℹ تحصيل فقط (بدون Start)",IF($K654="U – needs rule","ℹ حالة U تحتاج قاعدة معتمدة",IF($K654="No result","ℹ بدون نتيجة (يُستبعد من التحصيل)","OK")))))))))))</f>
        <v/>
      </c>
      <c r="M654" s="64" t="n">
        <f aca="false">IF($A654="",0,IFERROR(MATCH($A654,Classes!$A$6:$A$420,0),0))</f>
        <v>0</v>
      </c>
      <c r="N654" s="64" t="n">
        <f aca="false">IF($H654="",0,IFERROR(MATCH($H654,GradeList,0),0))</f>
        <v>0</v>
      </c>
      <c r="O654" s="64" t="n">
        <f aca="false">IF(OR($I654="",$I654="NR"),0,IFERROR(MATCH($I654,GradeList,0),0))</f>
        <v>0</v>
      </c>
      <c r="P654" s="64" t="n">
        <f aca="false">IF(AND($M654&gt;0,ISNUMBER(MATCH($F654,Lists!$A$2:$A$5,0)),ISNUMBER(MATCH($G654,Lists!$B$2:$B$7,0)),OR($H654="",$N654&gt;0),OR($I654="",$I654="NR",$O654&gt;0),IF(ISNUMBER($J654),AND($J654&gt;=0,$J654=INT($J654)),FALSE())),$J654,0)</f>
        <v>0</v>
      </c>
      <c r="Q654" s="64" t="n">
        <f aca="false">IF(AND($P654&gt;0,$O654&gt;0),$P654,0)</f>
        <v>0</v>
      </c>
      <c r="R654" s="64" t="n">
        <f aca="false">IF(AND($Q654&gt;0,$O654&gt;=AtRank),$Q654,0)</f>
        <v>0</v>
      </c>
      <c r="S654" s="64" t="n">
        <f aca="false">IF(AND($Q654&gt;0,$O654&gt;=AboveRank),$Q654,0)</f>
        <v>0</v>
      </c>
      <c r="T654" s="64" t="n">
        <f aca="false">IF($K654="Less",$P654,0)</f>
        <v>0</v>
      </c>
      <c r="U654" s="64" t="n">
        <f aca="false">IF($K654="Expected",$P654,0)</f>
        <v>0</v>
      </c>
      <c r="V654" s="64" t="n">
        <f aca="false">IF($K654="Better",$P654,0)</f>
        <v>0</v>
      </c>
      <c r="W654" s="64" t="n">
        <f aca="false">IF($K654="U – needs rule",$P654,0)</f>
        <v>0</v>
      </c>
      <c r="X654" s="64" t="n">
        <f aca="false">IF($K654="No Start (attainment only)",$P654,0)</f>
        <v>0</v>
      </c>
    </row>
    <row r="655" customFormat="false" ht="15" hidden="false" customHeight="false" outlineLevel="0" collapsed="false">
      <c r="A655" s="60"/>
      <c r="B655" s="61" t="str">
        <f aca="false">IF($M655=0,"",INDEX(Classes!$E$6:$E$420,$M655))</f>
        <v/>
      </c>
      <c r="C655" s="62" t="str">
        <f aca="false">IF($M655=0,"",INDEX(Classes!$H$6:$H$420,$M655))</f>
        <v/>
      </c>
      <c r="D655" s="61" t="str">
        <f aca="false">IF($M655=0,"",INDEX(Classes!$B$6:$B$420,$M655))</f>
        <v/>
      </c>
      <c r="E655" s="61" t="str">
        <f aca="false">IF($M655=0,"",INDEX(Classes!$C$6:$C$420,$M655))</f>
        <v/>
      </c>
      <c r="F655" s="63"/>
      <c r="G655" s="63"/>
      <c r="H655" s="60"/>
      <c r="I655" s="60"/>
      <c r="J655" s="63"/>
      <c r="K655" s="61" t="str">
        <f aca="false">IF($P655=0,"",IF($F655="Baseline","— Baseline",IF($O655=0,"No result",IF($N655=0,"No Start (attainment only)",IF(OR($N655=1,$O655=1),"U – needs rule",INDEX(MxBody,MATCH($I655,MxCurr,0),MATCH($H655,MxStart,0)))))))</f>
        <v/>
      </c>
      <c r="L655" s="62" t="str">
        <f aca="false">IF(COUNTA($A655,$F655,$G655,$H655,$I655,$J655)=0,"",IF($M655=0,"✖ كود الصف غير موجود",IF(ISNA(MATCH($F655,Lists!$A$2:$A$5,0)),"✖ الفترة غير صحيحة",IF(ISNA(MATCH($G655,Lists!$B$2:$B$7,0)),"✖ المجموعة غير صحيحة",IF(NOT(OR($H655="",$N655&gt;0)),"✖ Start غير صحيح",IF(NOT(OR($I655="",$I655="NR",$O655&gt;0)),"✖ Current غير صحيح",IF(NOT(IF(ISNUMBER($J655),AND($J655&gt;=0,$J655=INT($J655)),FALSE())),"✖ العدد يجب أن يكون صحيحًا ≥ 0",IF(AND($F655="Baseline",$H655&lt;&gt;""),"⚠ Baseline: Start لا يدخل في التقدم",IF($K655="No Start (attainment only)","ℹ تحصيل فقط (بدون Start)",IF($K655="U – needs rule","ℹ حالة U تحتاج قاعدة معتمدة",IF($K655="No result","ℹ بدون نتيجة (يُستبعد من التحصيل)","OK")))))))))))</f>
        <v/>
      </c>
      <c r="M655" s="64" t="n">
        <f aca="false">IF($A655="",0,IFERROR(MATCH($A655,Classes!$A$6:$A$420,0),0))</f>
        <v>0</v>
      </c>
      <c r="N655" s="64" t="n">
        <f aca="false">IF($H655="",0,IFERROR(MATCH($H655,GradeList,0),0))</f>
        <v>0</v>
      </c>
      <c r="O655" s="64" t="n">
        <f aca="false">IF(OR($I655="",$I655="NR"),0,IFERROR(MATCH($I655,GradeList,0),0))</f>
        <v>0</v>
      </c>
      <c r="P655" s="64" t="n">
        <f aca="false">IF(AND($M655&gt;0,ISNUMBER(MATCH($F655,Lists!$A$2:$A$5,0)),ISNUMBER(MATCH($G655,Lists!$B$2:$B$7,0)),OR($H655="",$N655&gt;0),OR($I655="",$I655="NR",$O655&gt;0),IF(ISNUMBER($J655),AND($J655&gt;=0,$J655=INT($J655)),FALSE())),$J655,0)</f>
        <v>0</v>
      </c>
      <c r="Q655" s="64" t="n">
        <f aca="false">IF(AND($P655&gt;0,$O655&gt;0),$P655,0)</f>
        <v>0</v>
      </c>
      <c r="R655" s="64" t="n">
        <f aca="false">IF(AND($Q655&gt;0,$O655&gt;=AtRank),$Q655,0)</f>
        <v>0</v>
      </c>
      <c r="S655" s="64" t="n">
        <f aca="false">IF(AND($Q655&gt;0,$O655&gt;=AboveRank),$Q655,0)</f>
        <v>0</v>
      </c>
      <c r="T655" s="64" t="n">
        <f aca="false">IF($K655="Less",$P655,0)</f>
        <v>0</v>
      </c>
      <c r="U655" s="64" t="n">
        <f aca="false">IF($K655="Expected",$P655,0)</f>
        <v>0</v>
      </c>
      <c r="V655" s="64" t="n">
        <f aca="false">IF($K655="Better",$P655,0)</f>
        <v>0</v>
      </c>
      <c r="W655" s="64" t="n">
        <f aca="false">IF($K655="U – needs rule",$P655,0)</f>
        <v>0</v>
      </c>
      <c r="X655" s="64" t="n">
        <f aca="false">IF($K655="No Start (attainment only)",$P655,0)</f>
        <v>0</v>
      </c>
    </row>
    <row r="656" customFormat="false" ht="15" hidden="false" customHeight="false" outlineLevel="0" collapsed="false">
      <c r="A656" s="60"/>
      <c r="B656" s="61" t="str">
        <f aca="false">IF($M656=0,"",INDEX(Classes!$E$6:$E$420,$M656))</f>
        <v/>
      </c>
      <c r="C656" s="62" t="str">
        <f aca="false">IF($M656=0,"",INDEX(Classes!$H$6:$H$420,$M656))</f>
        <v/>
      </c>
      <c r="D656" s="61" t="str">
        <f aca="false">IF($M656=0,"",INDEX(Classes!$B$6:$B$420,$M656))</f>
        <v/>
      </c>
      <c r="E656" s="61" t="str">
        <f aca="false">IF($M656=0,"",INDEX(Classes!$C$6:$C$420,$M656))</f>
        <v/>
      </c>
      <c r="F656" s="63"/>
      <c r="G656" s="63"/>
      <c r="H656" s="60"/>
      <c r="I656" s="60"/>
      <c r="J656" s="63"/>
      <c r="K656" s="61" t="str">
        <f aca="false">IF($P656=0,"",IF($F656="Baseline","— Baseline",IF($O656=0,"No result",IF($N656=0,"No Start (attainment only)",IF(OR($N656=1,$O656=1),"U – needs rule",INDEX(MxBody,MATCH($I656,MxCurr,0),MATCH($H656,MxStart,0)))))))</f>
        <v/>
      </c>
      <c r="L656" s="62" t="str">
        <f aca="false">IF(COUNTA($A656,$F656,$G656,$H656,$I656,$J656)=0,"",IF($M656=0,"✖ كود الصف غير موجود",IF(ISNA(MATCH($F656,Lists!$A$2:$A$5,0)),"✖ الفترة غير صحيحة",IF(ISNA(MATCH($G656,Lists!$B$2:$B$7,0)),"✖ المجموعة غير صحيحة",IF(NOT(OR($H656="",$N656&gt;0)),"✖ Start غير صحيح",IF(NOT(OR($I656="",$I656="NR",$O656&gt;0)),"✖ Current غير صحيح",IF(NOT(IF(ISNUMBER($J656),AND($J656&gt;=0,$J656=INT($J656)),FALSE())),"✖ العدد يجب أن يكون صحيحًا ≥ 0",IF(AND($F656="Baseline",$H656&lt;&gt;""),"⚠ Baseline: Start لا يدخل في التقدم",IF($K656="No Start (attainment only)","ℹ تحصيل فقط (بدون Start)",IF($K656="U – needs rule","ℹ حالة U تحتاج قاعدة معتمدة",IF($K656="No result","ℹ بدون نتيجة (يُستبعد من التحصيل)","OK")))))))))))</f>
        <v/>
      </c>
      <c r="M656" s="64" t="n">
        <f aca="false">IF($A656="",0,IFERROR(MATCH($A656,Classes!$A$6:$A$420,0),0))</f>
        <v>0</v>
      </c>
      <c r="N656" s="64" t="n">
        <f aca="false">IF($H656="",0,IFERROR(MATCH($H656,GradeList,0),0))</f>
        <v>0</v>
      </c>
      <c r="O656" s="64" t="n">
        <f aca="false">IF(OR($I656="",$I656="NR"),0,IFERROR(MATCH($I656,GradeList,0),0))</f>
        <v>0</v>
      </c>
      <c r="P656" s="64" t="n">
        <f aca="false">IF(AND($M656&gt;0,ISNUMBER(MATCH($F656,Lists!$A$2:$A$5,0)),ISNUMBER(MATCH($G656,Lists!$B$2:$B$7,0)),OR($H656="",$N656&gt;0),OR($I656="",$I656="NR",$O656&gt;0),IF(ISNUMBER($J656),AND($J656&gt;=0,$J656=INT($J656)),FALSE())),$J656,0)</f>
        <v>0</v>
      </c>
      <c r="Q656" s="64" t="n">
        <f aca="false">IF(AND($P656&gt;0,$O656&gt;0),$P656,0)</f>
        <v>0</v>
      </c>
      <c r="R656" s="64" t="n">
        <f aca="false">IF(AND($Q656&gt;0,$O656&gt;=AtRank),$Q656,0)</f>
        <v>0</v>
      </c>
      <c r="S656" s="64" t="n">
        <f aca="false">IF(AND($Q656&gt;0,$O656&gt;=AboveRank),$Q656,0)</f>
        <v>0</v>
      </c>
      <c r="T656" s="64" t="n">
        <f aca="false">IF($K656="Less",$P656,0)</f>
        <v>0</v>
      </c>
      <c r="U656" s="64" t="n">
        <f aca="false">IF($K656="Expected",$P656,0)</f>
        <v>0</v>
      </c>
      <c r="V656" s="64" t="n">
        <f aca="false">IF($K656="Better",$P656,0)</f>
        <v>0</v>
      </c>
      <c r="W656" s="64" t="n">
        <f aca="false">IF($K656="U – needs rule",$P656,0)</f>
        <v>0</v>
      </c>
      <c r="X656" s="64" t="n">
        <f aca="false">IF($K656="No Start (attainment only)",$P656,0)</f>
        <v>0</v>
      </c>
    </row>
    <row r="657" customFormat="false" ht="15" hidden="false" customHeight="false" outlineLevel="0" collapsed="false">
      <c r="A657" s="60"/>
      <c r="B657" s="61" t="str">
        <f aca="false">IF($M657=0,"",INDEX(Classes!$E$6:$E$420,$M657))</f>
        <v/>
      </c>
      <c r="C657" s="62" t="str">
        <f aca="false">IF($M657=0,"",INDEX(Classes!$H$6:$H$420,$M657))</f>
        <v/>
      </c>
      <c r="D657" s="61" t="str">
        <f aca="false">IF($M657=0,"",INDEX(Classes!$B$6:$B$420,$M657))</f>
        <v/>
      </c>
      <c r="E657" s="61" t="str">
        <f aca="false">IF($M657=0,"",INDEX(Classes!$C$6:$C$420,$M657))</f>
        <v/>
      </c>
      <c r="F657" s="63"/>
      <c r="G657" s="63"/>
      <c r="H657" s="60"/>
      <c r="I657" s="60"/>
      <c r="J657" s="63"/>
      <c r="K657" s="61" t="str">
        <f aca="false">IF($P657=0,"",IF($F657="Baseline","— Baseline",IF($O657=0,"No result",IF($N657=0,"No Start (attainment only)",IF(OR($N657=1,$O657=1),"U – needs rule",INDEX(MxBody,MATCH($I657,MxCurr,0),MATCH($H657,MxStart,0)))))))</f>
        <v/>
      </c>
      <c r="L657" s="62" t="str">
        <f aca="false">IF(COUNTA($A657,$F657,$G657,$H657,$I657,$J657)=0,"",IF($M657=0,"✖ كود الصف غير موجود",IF(ISNA(MATCH($F657,Lists!$A$2:$A$5,0)),"✖ الفترة غير صحيحة",IF(ISNA(MATCH($G657,Lists!$B$2:$B$7,0)),"✖ المجموعة غير صحيحة",IF(NOT(OR($H657="",$N657&gt;0)),"✖ Start غير صحيح",IF(NOT(OR($I657="",$I657="NR",$O657&gt;0)),"✖ Current غير صحيح",IF(NOT(IF(ISNUMBER($J657),AND($J657&gt;=0,$J657=INT($J657)),FALSE())),"✖ العدد يجب أن يكون صحيحًا ≥ 0",IF(AND($F657="Baseline",$H657&lt;&gt;""),"⚠ Baseline: Start لا يدخل في التقدم",IF($K657="No Start (attainment only)","ℹ تحصيل فقط (بدون Start)",IF($K657="U – needs rule","ℹ حالة U تحتاج قاعدة معتمدة",IF($K657="No result","ℹ بدون نتيجة (يُستبعد من التحصيل)","OK")))))))))))</f>
        <v/>
      </c>
      <c r="M657" s="64" t="n">
        <f aca="false">IF($A657="",0,IFERROR(MATCH($A657,Classes!$A$6:$A$420,0),0))</f>
        <v>0</v>
      </c>
      <c r="N657" s="64" t="n">
        <f aca="false">IF($H657="",0,IFERROR(MATCH($H657,GradeList,0),0))</f>
        <v>0</v>
      </c>
      <c r="O657" s="64" t="n">
        <f aca="false">IF(OR($I657="",$I657="NR"),0,IFERROR(MATCH($I657,GradeList,0),0))</f>
        <v>0</v>
      </c>
      <c r="P657" s="64" t="n">
        <f aca="false">IF(AND($M657&gt;0,ISNUMBER(MATCH($F657,Lists!$A$2:$A$5,0)),ISNUMBER(MATCH($G657,Lists!$B$2:$B$7,0)),OR($H657="",$N657&gt;0),OR($I657="",$I657="NR",$O657&gt;0),IF(ISNUMBER($J657),AND($J657&gt;=0,$J657=INT($J657)),FALSE())),$J657,0)</f>
        <v>0</v>
      </c>
      <c r="Q657" s="64" t="n">
        <f aca="false">IF(AND($P657&gt;0,$O657&gt;0),$P657,0)</f>
        <v>0</v>
      </c>
      <c r="R657" s="64" t="n">
        <f aca="false">IF(AND($Q657&gt;0,$O657&gt;=AtRank),$Q657,0)</f>
        <v>0</v>
      </c>
      <c r="S657" s="64" t="n">
        <f aca="false">IF(AND($Q657&gt;0,$O657&gt;=AboveRank),$Q657,0)</f>
        <v>0</v>
      </c>
      <c r="T657" s="64" t="n">
        <f aca="false">IF($K657="Less",$P657,0)</f>
        <v>0</v>
      </c>
      <c r="U657" s="64" t="n">
        <f aca="false">IF($K657="Expected",$P657,0)</f>
        <v>0</v>
      </c>
      <c r="V657" s="64" t="n">
        <f aca="false">IF($K657="Better",$P657,0)</f>
        <v>0</v>
      </c>
      <c r="W657" s="64" t="n">
        <f aca="false">IF($K657="U – needs rule",$P657,0)</f>
        <v>0</v>
      </c>
      <c r="X657" s="64" t="n">
        <f aca="false">IF($K657="No Start (attainment only)",$P657,0)</f>
        <v>0</v>
      </c>
    </row>
    <row r="658" customFormat="false" ht="15" hidden="false" customHeight="false" outlineLevel="0" collapsed="false">
      <c r="A658" s="60"/>
      <c r="B658" s="61" t="str">
        <f aca="false">IF($M658=0,"",INDEX(Classes!$E$6:$E$420,$M658))</f>
        <v/>
      </c>
      <c r="C658" s="62" t="str">
        <f aca="false">IF($M658=0,"",INDEX(Classes!$H$6:$H$420,$M658))</f>
        <v/>
      </c>
      <c r="D658" s="61" t="str">
        <f aca="false">IF($M658=0,"",INDEX(Classes!$B$6:$B$420,$M658))</f>
        <v/>
      </c>
      <c r="E658" s="61" t="str">
        <f aca="false">IF($M658=0,"",INDEX(Classes!$C$6:$C$420,$M658))</f>
        <v/>
      </c>
      <c r="F658" s="63"/>
      <c r="G658" s="63"/>
      <c r="H658" s="60"/>
      <c r="I658" s="60"/>
      <c r="J658" s="63"/>
      <c r="K658" s="61" t="str">
        <f aca="false">IF($P658=0,"",IF($F658="Baseline","— Baseline",IF($O658=0,"No result",IF($N658=0,"No Start (attainment only)",IF(OR($N658=1,$O658=1),"U – needs rule",INDEX(MxBody,MATCH($I658,MxCurr,0),MATCH($H658,MxStart,0)))))))</f>
        <v/>
      </c>
      <c r="L658" s="62" t="str">
        <f aca="false">IF(COUNTA($A658,$F658,$G658,$H658,$I658,$J658)=0,"",IF($M658=0,"✖ كود الصف غير موجود",IF(ISNA(MATCH($F658,Lists!$A$2:$A$5,0)),"✖ الفترة غير صحيحة",IF(ISNA(MATCH($G658,Lists!$B$2:$B$7,0)),"✖ المجموعة غير صحيحة",IF(NOT(OR($H658="",$N658&gt;0)),"✖ Start غير صحيح",IF(NOT(OR($I658="",$I658="NR",$O658&gt;0)),"✖ Current غير صحيح",IF(NOT(IF(ISNUMBER($J658),AND($J658&gt;=0,$J658=INT($J658)),FALSE())),"✖ العدد يجب أن يكون صحيحًا ≥ 0",IF(AND($F658="Baseline",$H658&lt;&gt;""),"⚠ Baseline: Start لا يدخل في التقدم",IF($K658="No Start (attainment only)","ℹ تحصيل فقط (بدون Start)",IF($K658="U – needs rule","ℹ حالة U تحتاج قاعدة معتمدة",IF($K658="No result","ℹ بدون نتيجة (يُستبعد من التحصيل)","OK")))))))))))</f>
        <v/>
      </c>
      <c r="M658" s="64" t="n">
        <f aca="false">IF($A658="",0,IFERROR(MATCH($A658,Classes!$A$6:$A$420,0),0))</f>
        <v>0</v>
      </c>
      <c r="N658" s="64" t="n">
        <f aca="false">IF($H658="",0,IFERROR(MATCH($H658,GradeList,0),0))</f>
        <v>0</v>
      </c>
      <c r="O658" s="64" t="n">
        <f aca="false">IF(OR($I658="",$I658="NR"),0,IFERROR(MATCH($I658,GradeList,0),0))</f>
        <v>0</v>
      </c>
      <c r="P658" s="64" t="n">
        <f aca="false">IF(AND($M658&gt;0,ISNUMBER(MATCH($F658,Lists!$A$2:$A$5,0)),ISNUMBER(MATCH($G658,Lists!$B$2:$B$7,0)),OR($H658="",$N658&gt;0),OR($I658="",$I658="NR",$O658&gt;0),IF(ISNUMBER($J658),AND($J658&gt;=0,$J658=INT($J658)),FALSE())),$J658,0)</f>
        <v>0</v>
      </c>
      <c r="Q658" s="64" t="n">
        <f aca="false">IF(AND($P658&gt;0,$O658&gt;0),$P658,0)</f>
        <v>0</v>
      </c>
      <c r="R658" s="64" t="n">
        <f aca="false">IF(AND($Q658&gt;0,$O658&gt;=AtRank),$Q658,0)</f>
        <v>0</v>
      </c>
      <c r="S658" s="64" t="n">
        <f aca="false">IF(AND($Q658&gt;0,$O658&gt;=AboveRank),$Q658,0)</f>
        <v>0</v>
      </c>
      <c r="T658" s="64" t="n">
        <f aca="false">IF($K658="Less",$P658,0)</f>
        <v>0</v>
      </c>
      <c r="U658" s="64" t="n">
        <f aca="false">IF($K658="Expected",$P658,0)</f>
        <v>0</v>
      </c>
      <c r="V658" s="64" t="n">
        <f aca="false">IF($K658="Better",$P658,0)</f>
        <v>0</v>
      </c>
      <c r="W658" s="64" t="n">
        <f aca="false">IF($K658="U – needs rule",$P658,0)</f>
        <v>0</v>
      </c>
      <c r="X658" s="64" t="n">
        <f aca="false">IF($K658="No Start (attainment only)",$P658,0)</f>
        <v>0</v>
      </c>
    </row>
    <row r="659" customFormat="false" ht="15" hidden="false" customHeight="false" outlineLevel="0" collapsed="false">
      <c r="A659" s="60"/>
      <c r="B659" s="61" t="str">
        <f aca="false">IF($M659=0,"",INDEX(Classes!$E$6:$E$420,$M659))</f>
        <v/>
      </c>
      <c r="C659" s="62" t="str">
        <f aca="false">IF($M659=0,"",INDEX(Classes!$H$6:$H$420,$M659))</f>
        <v/>
      </c>
      <c r="D659" s="61" t="str">
        <f aca="false">IF($M659=0,"",INDEX(Classes!$B$6:$B$420,$M659))</f>
        <v/>
      </c>
      <c r="E659" s="61" t="str">
        <f aca="false">IF($M659=0,"",INDEX(Classes!$C$6:$C$420,$M659))</f>
        <v/>
      </c>
      <c r="F659" s="63"/>
      <c r="G659" s="63"/>
      <c r="H659" s="60"/>
      <c r="I659" s="60"/>
      <c r="J659" s="63"/>
      <c r="K659" s="61" t="str">
        <f aca="false">IF($P659=0,"",IF($F659="Baseline","— Baseline",IF($O659=0,"No result",IF($N659=0,"No Start (attainment only)",IF(OR($N659=1,$O659=1),"U – needs rule",INDEX(MxBody,MATCH($I659,MxCurr,0),MATCH($H659,MxStart,0)))))))</f>
        <v/>
      </c>
      <c r="L659" s="62" t="str">
        <f aca="false">IF(COUNTA($A659,$F659,$G659,$H659,$I659,$J659)=0,"",IF($M659=0,"✖ كود الصف غير موجود",IF(ISNA(MATCH($F659,Lists!$A$2:$A$5,0)),"✖ الفترة غير صحيحة",IF(ISNA(MATCH($G659,Lists!$B$2:$B$7,0)),"✖ المجموعة غير صحيحة",IF(NOT(OR($H659="",$N659&gt;0)),"✖ Start غير صحيح",IF(NOT(OR($I659="",$I659="NR",$O659&gt;0)),"✖ Current غير صحيح",IF(NOT(IF(ISNUMBER($J659),AND($J659&gt;=0,$J659=INT($J659)),FALSE())),"✖ العدد يجب أن يكون صحيحًا ≥ 0",IF(AND($F659="Baseline",$H659&lt;&gt;""),"⚠ Baseline: Start لا يدخل في التقدم",IF($K659="No Start (attainment only)","ℹ تحصيل فقط (بدون Start)",IF($K659="U – needs rule","ℹ حالة U تحتاج قاعدة معتمدة",IF($K659="No result","ℹ بدون نتيجة (يُستبعد من التحصيل)","OK")))))))))))</f>
        <v/>
      </c>
      <c r="M659" s="64" t="n">
        <f aca="false">IF($A659="",0,IFERROR(MATCH($A659,Classes!$A$6:$A$420,0),0))</f>
        <v>0</v>
      </c>
      <c r="N659" s="64" t="n">
        <f aca="false">IF($H659="",0,IFERROR(MATCH($H659,GradeList,0),0))</f>
        <v>0</v>
      </c>
      <c r="O659" s="64" t="n">
        <f aca="false">IF(OR($I659="",$I659="NR"),0,IFERROR(MATCH($I659,GradeList,0),0))</f>
        <v>0</v>
      </c>
      <c r="P659" s="64" t="n">
        <f aca="false">IF(AND($M659&gt;0,ISNUMBER(MATCH($F659,Lists!$A$2:$A$5,0)),ISNUMBER(MATCH($G659,Lists!$B$2:$B$7,0)),OR($H659="",$N659&gt;0),OR($I659="",$I659="NR",$O659&gt;0),IF(ISNUMBER($J659),AND($J659&gt;=0,$J659=INT($J659)),FALSE())),$J659,0)</f>
        <v>0</v>
      </c>
      <c r="Q659" s="64" t="n">
        <f aca="false">IF(AND($P659&gt;0,$O659&gt;0),$P659,0)</f>
        <v>0</v>
      </c>
      <c r="R659" s="64" t="n">
        <f aca="false">IF(AND($Q659&gt;0,$O659&gt;=AtRank),$Q659,0)</f>
        <v>0</v>
      </c>
      <c r="S659" s="64" t="n">
        <f aca="false">IF(AND($Q659&gt;0,$O659&gt;=AboveRank),$Q659,0)</f>
        <v>0</v>
      </c>
      <c r="T659" s="64" t="n">
        <f aca="false">IF($K659="Less",$P659,0)</f>
        <v>0</v>
      </c>
      <c r="U659" s="64" t="n">
        <f aca="false">IF($K659="Expected",$P659,0)</f>
        <v>0</v>
      </c>
      <c r="V659" s="64" t="n">
        <f aca="false">IF($K659="Better",$P659,0)</f>
        <v>0</v>
      </c>
      <c r="W659" s="64" t="n">
        <f aca="false">IF($K659="U – needs rule",$P659,0)</f>
        <v>0</v>
      </c>
      <c r="X659" s="64" t="n">
        <f aca="false">IF($K659="No Start (attainment only)",$P659,0)</f>
        <v>0</v>
      </c>
    </row>
    <row r="660" customFormat="false" ht="15" hidden="false" customHeight="false" outlineLevel="0" collapsed="false">
      <c r="A660" s="60"/>
      <c r="B660" s="61" t="str">
        <f aca="false">IF($M660=0,"",INDEX(Classes!$E$6:$E$420,$M660))</f>
        <v/>
      </c>
      <c r="C660" s="62" t="str">
        <f aca="false">IF($M660=0,"",INDEX(Classes!$H$6:$H$420,$M660))</f>
        <v/>
      </c>
      <c r="D660" s="61" t="str">
        <f aca="false">IF($M660=0,"",INDEX(Classes!$B$6:$B$420,$M660))</f>
        <v/>
      </c>
      <c r="E660" s="61" t="str">
        <f aca="false">IF($M660=0,"",INDEX(Classes!$C$6:$C$420,$M660))</f>
        <v/>
      </c>
      <c r="F660" s="63"/>
      <c r="G660" s="63"/>
      <c r="H660" s="60"/>
      <c r="I660" s="60"/>
      <c r="J660" s="63"/>
      <c r="K660" s="61" t="str">
        <f aca="false">IF($P660=0,"",IF($F660="Baseline","— Baseline",IF($O660=0,"No result",IF($N660=0,"No Start (attainment only)",IF(OR($N660=1,$O660=1),"U – needs rule",INDEX(MxBody,MATCH($I660,MxCurr,0),MATCH($H660,MxStart,0)))))))</f>
        <v/>
      </c>
      <c r="L660" s="62" t="str">
        <f aca="false">IF(COUNTA($A660,$F660,$G660,$H660,$I660,$J660)=0,"",IF($M660=0,"✖ كود الصف غير موجود",IF(ISNA(MATCH($F660,Lists!$A$2:$A$5,0)),"✖ الفترة غير صحيحة",IF(ISNA(MATCH($G660,Lists!$B$2:$B$7,0)),"✖ المجموعة غير صحيحة",IF(NOT(OR($H660="",$N660&gt;0)),"✖ Start غير صحيح",IF(NOT(OR($I660="",$I660="NR",$O660&gt;0)),"✖ Current غير صحيح",IF(NOT(IF(ISNUMBER($J660),AND($J660&gt;=0,$J660=INT($J660)),FALSE())),"✖ العدد يجب أن يكون صحيحًا ≥ 0",IF(AND($F660="Baseline",$H660&lt;&gt;""),"⚠ Baseline: Start لا يدخل في التقدم",IF($K660="No Start (attainment only)","ℹ تحصيل فقط (بدون Start)",IF($K660="U – needs rule","ℹ حالة U تحتاج قاعدة معتمدة",IF($K660="No result","ℹ بدون نتيجة (يُستبعد من التحصيل)","OK")))))))))))</f>
        <v/>
      </c>
      <c r="M660" s="64" t="n">
        <f aca="false">IF($A660="",0,IFERROR(MATCH($A660,Classes!$A$6:$A$420,0),0))</f>
        <v>0</v>
      </c>
      <c r="N660" s="64" t="n">
        <f aca="false">IF($H660="",0,IFERROR(MATCH($H660,GradeList,0),0))</f>
        <v>0</v>
      </c>
      <c r="O660" s="64" t="n">
        <f aca="false">IF(OR($I660="",$I660="NR"),0,IFERROR(MATCH($I660,GradeList,0),0))</f>
        <v>0</v>
      </c>
      <c r="P660" s="64" t="n">
        <f aca="false">IF(AND($M660&gt;0,ISNUMBER(MATCH($F660,Lists!$A$2:$A$5,0)),ISNUMBER(MATCH($G660,Lists!$B$2:$B$7,0)),OR($H660="",$N660&gt;0),OR($I660="",$I660="NR",$O660&gt;0),IF(ISNUMBER($J660),AND($J660&gt;=0,$J660=INT($J660)),FALSE())),$J660,0)</f>
        <v>0</v>
      </c>
      <c r="Q660" s="64" t="n">
        <f aca="false">IF(AND($P660&gt;0,$O660&gt;0),$P660,0)</f>
        <v>0</v>
      </c>
      <c r="R660" s="64" t="n">
        <f aca="false">IF(AND($Q660&gt;0,$O660&gt;=AtRank),$Q660,0)</f>
        <v>0</v>
      </c>
      <c r="S660" s="64" t="n">
        <f aca="false">IF(AND($Q660&gt;0,$O660&gt;=AboveRank),$Q660,0)</f>
        <v>0</v>
      </c>
      <c r="T660" s="64" t="n">
        <f aca="false">IF($K660="Less",$P660,0)</f>
        <v>0</v>
      </c>
      <c r="U660" s="64" t="n">
        <f aca="false">IF($K660="Expected",$P660,0)</f>
        <v>0</v>
      </c>
      <c r="V660" s="64" t="n">
        <f aca="false">IF($K660="Better",$P660,0)</f>
        <v>0</v>
      </c>
      <c r="W660" s="64" t="n">
        <f aca="false">IF($K660="U – needs rule",$P660,0)</f>
        <v>0</v>
      </c>
      <c r="X660" s="64" t="n">
        <f aca="false">IF($K660="No Start (attainment only)",$P660,0)</f>
        <v>0</v>
      </c>
    </row>
    <row r="661" customFormat="false" ht="15" hidden="false" customHeight="false" outlineLevel="0" collapsed="false">
      <c r="A661" s="60"/>
      <c r="B661" s="61" t="str">
        <f aca="false">IF($M661=0,"",INDEX(Classes!$E$6:$E$420,$M661))</f>
        <v/>
      </c>
      <c r="C661" s="62" t="str">
        <f aca="false">IF($M661=0,"",INDEX(Classes!$H$6:$H$420,$M661))</f>
        <v/>
      </c>
      <c r="D661" s="61" t="str">
        <f aca="false">IF($M661=0,"",INDEX(Classes!$B$6:$B$420,$M661))</f>
        <v/>
      </c>
      <c r="E661" s="61" t="str">
        <f aca="false">IF($M661=0,"",INDEX(Classes!$C$6:$C$420,$M661))</f>
        <v/>
      </c>
      <c r="F661" s="63"/>
      <c r="G661" s="63"/>
      <c r="H661" s="60"/>
      <c r="I661" s="60"/>
      <c r="J661" s="63"/>
      <c r="K661" s="61" t="str">
        <f aca="false">IF($P661=0,"",IF($F661="Baseline","— Baseline",IF($O661=0,"No result",IF($N661=0,"No Start (attainment only)",IF(OR($N661=1,$O661=1),"U – needs rule",INDEX(MxBody,MATCH($I661,MxCurr,0),MATCH($H661,MxStart,0)))))))</f>
        <v/>
      </c>
      <c r="L661" s="62" t="str">
        <f aca="false">IF(COUNTA($A661,$F661,$G661,$H661,$I661,$J661)=0,"",IF($M661=0,"✖ كود الصف غير موجود",IF(ISNA(MATCH($F661,Lists!$A$2:$A$5,0)),"✖ الفترة غير صحيحة",IF(ISNA(MATCH($G661,Lists!$B$2:$B$7,0)),"✖ المجموعة غير صحيحة",IF(NOT(OR($H661="",$N661&gt;0)),"✖ Start غير صحيح",IF(NOT(OR($I661="",$I661="NR",$O661&gt;0)),"✖ Current غير صحيح",IF(NOT(IF(ISNUMBER($J661),AND($J661&gt;=0,$J661=INT($J661)),FALSE())),"✖ العدد يجب أن يكون صحيحًا ≥ 0",IF(AND($F661="Baseline",$H661&lt;&gt;""),"⚠ Baseline: Start لا يدخل في التقدم",IF($K661="No Start (attainment only)","ℹ تحصيل فقط (بدون Start)",IF($K661="U – needs rule","ℹ حالة U تحتاج قاعدة معتمدة",IF($K661="No result","ℹ بدون نتيجة (يُستبعد من التحصيل)","OK")))))))))))</f>
        <v/>
      </c>
      <c r="M661" s="64" t="n">
        <f aca="false">IF($A661="",0,IFERROR(MATCH($A661,Classes!$A$6:$A$420,0),0))</f>
        <v>0</v>
      </c>
      <c r="N661" s="64" t="n">
        <f aca="false">IF($H661="",0,IFERROR(MATCH($H661,GradeList,0),0))</f>
        <v>0</v>
      </c>
      <c r="O661" s="64" t="n">
        <f aca="false">IF(OR($I661="",$I661="NR"),0,IFERROR(MATCH($I661,GradeList,0),0))</f>
        <v>0</v>
      </c>
      <c r="P661" s="64" t="n">
        <f aca="false">IF(AND($M661&gt;0,ISNUMBER(MATCH($F661,Lists!$A$2:$A$5,0)),ISNUMBER(MATCH($G661,Lists!$B$2:$B$7,0)),OR($H661="",$N661&gt;0),OR($I661="",$I661="NR",$O661&gt;0),IF(ISNUMBER($J661),AND($J661&gt;=0,$J661=INT($J661)),FALSE())),$J661,0)</f>
        <v>0</v>
      </c>
      <c r="Q661" s="64" t="n">
        <f aca="false">IF(AND($P661&gt;0,$O661&gt;0),$P661,0)</f>
        <v>0</v>
      </c>
      <c r="R661" s="64" t="n">
        <f aca="false">IF(AND($Q661&gt;0,$O661&gt;=AtRank),$Q661,0)</f>
        <v>0</v>
      </c>
      <c r="S661" s="64" t="n">
        <f aca="false">IF(AND($Q661&gt;0,$O661&gt;=AboveRank),$Q661,0)</f>
        <v>0</v>
      </c>
      <c r="T661" s="64" t="n">
        <f aca="false">IF($K661="Less",$P661,0)</f>
        <v>0</v>
      </c>
      <c r="U661" s="64" t="n">
        <f aca="false">IF($K661="Expected",$P661,0)</f>
        <v>0</v>
      </c>
      <c r="V661" s="64" t="n">
        <f aca="false">IF($K661="Better",$P661,0)</f>
        <v>0</v>
      </c>
      <c r="W661" s="64" t="n">
        <f aca="false">IF($K661="U – needs rule",$P661,0)</f>
        <v>0</v>
      </c>
      <c r="X661" s="64" t="n">
        <f aca="false">IF($K661="No Start (attainment only)",$P661,0)</f>
        <v>0</v>
      </c>
    </row>
    <row r="662" customFormat="false" ht="15" hidden="false" customHeight="false" outlineLevel="0" collapsed="false">
      <c r="A662" s="60"/>
      <c r="B662" s="61" t="str">
        <f aca="false">IF($M662=0,"",INDEX(Classes!$E$6:$E$420,$M662))</f>
        <v/>
      </c>
      <c r="C662" s="62" t="str">
        <f aca="false">IF($M662=0,"",INDEX(Classes!$H$6:$H$420,$M662))</f>
        <v/>
      </c>
      <c r="D662" s="61" t="str">
        <f aca="false">IF($M662=0,"",INDEX(Classes!$B$6:$B$420,$M662))</f>
        <v/>
      </c>
      <c r="E662" s="61" t="str">
        <f aca="false">IF($M662=0,"",INDEX(Classes!$C$6:$C$420,$M662))</f>
        <v/>
      </c>
      <c r="F662" s="63"/>
      <c r="G662" s="63"/>
      <c r="H662" s="60"/>
      <c r="I662" s="60"/>
      <c r="J662" s="63"/>
      <c r="K662" s="61" t="str">
        <f aca="false">IF($P662=0,"",IF($F662="Baseline","— Baseline",IF($O662=0,"No result",IF($N662=0,"No Start (attainment only)",IF(OR($N662=1,$O662=1),"U – needs rule",INDEX(MxBody,MATCH($I662,MxCurr,0),MATCH($H662,MxStart,0)))))))</f>
        <v/>
      </c>
      <c r="L662" s="62" t="str">
        <f aca="false">IF(COUNTA($A662,$F662,$G662,$H662,$I662,$J662)=0,"",IF($M662=0,"✖ كود الصف غير موجود",IF(ISNA(MATCH($F662,Lists!$A$2:$A$5,0)),"✖ الفترة غير صحيحة",IF(ISNA(MATCH($G662,Lists!$B$2:$B$7,0)),"✖ المجموعة غير صحيحة",IF(NOT(OR($H662="",$N662&gt;0)),"✖ Start غير صحيح",IF(NOT(OR($I662="",$I662="NR",$O662&gt;0)),"✖ Current غير صحيح",IF(NOT(IF(ISNUMBER($J662),AND($J662&gt;=0,$J662=INT($J662)),FALSE())),"✖ العدد يجب أن يكون صحيحًا ≥ 0",IF(AND($F662="Baseline",$H662&lt;&gt;""),"⚠ Baseline: Start لا يدخل في التقدم",IF($K662="No Start (attainment only)","ℹ تحصيل فقط (بدون Start)",IF($K662="U – needs rule","ℹ حالة U تحتاج قاعدة معتمدة",IF($K662="No result","ℹ بدون نتيجة (يُستبعد من التحصيل)","OK")))))))))))</f>
        <v/>
      </c>
      <c r="M662" s="64" t="n">
        <f aca="false">IF($A662="",0,IFERROR(MATCH($A662,Classes!$A$6:$A$420,0),0))</f>
        <v>0</v>
      </c>
      <c r="N662" s="64" t="n">
        <f aca="false">IF($H662="",0,IFERROR(MATCH($H662,GradeList,0),0))</f>
        <v>0</v>
      </c>
      <c r="O662" s="64" t="n">
        <f aca="false">IF(OR($I662="",$I662="NR"),0,IFERROR(MATCH($I662,GradeList,0),0))</f>
        <v>0</v>
      </c>
      <c r="P662" s="64" t="n">
        <f aca="false">IF(AND($M662&gt;0,ISNUMBER(MATCH($F662,Lists!$A$2:$A$5,0)),ISNUMBER(MATCH($G662,Lists!$B$2:$B$7,0)),OR($H662="",$N662&gt;0),OR($I662="",$I662="NR",$O662&gt;0),IF(ISNUMBER($J662),AND($J662&gt;=0,$J662=INT($J662)),FALSE())),$J662,0)</f>
        <v>0</v>
      </c>
      <c r="Q662" s="64" t="n">
        <f aca="false">IF(AND($P662&gt;0,$O662&gt;0),$P662,0)</f>
        <v>0</v>
      </c>
      <c r="R662" s="64" t="n">
        <f aca="false">IF(AND($Q662&gt;0,$O662&gt;=AtRank),$Q662,0)</f>
        <v>0</v>
      </c>
      <c r="S662" s="64" t="n">
        <f aca="false">IF(AND($Q662&gt;0,$O662&gt;=AboveRank),$Q662,0)</f>
        <v>0</v>
      </c>
      <c r="T662" s="64" t="n">
        <f aca="false">IF($K662="Less",$P662,0)</f>
        <v>0</v>
      </c>
      <c r="U662" s="64" t="n">
        <f aca="false">IF($K662="Expected",$P662,0)</f>
        <v>0</v>
      </c>
      <c r="V662" s="64" t="n">
        <f aca="false">IF($K662="Better",$P662,0)</f>
        <v>0</v>
      </c>
      <c r="W662" s="64" t="n">
        <f aca="false">IF($K662="U – needs rule",$P662,0)</f>
        <v>0</v>
      </c>
      <c r="X662" s="64" t="n">
        <f aca="false">IF($K662="No Start (attainment only)",$P662,0)</f>
        <v>0</v>
      </c>
    </row>
    <row r="663" customFormat="false" ht="15" hidden="false" customHeight="false" outlineLevel="0" collapsed="false">
      <c r="A663" s="60"/>
      <c r="B663" s="61" t="str">
        <f aca="false">IF($M663=0,"",INDEX(Classes!$E$6:$E$420,$M663))</f>
        <v/>
      </c>
      <c r="C663" s="62" t="str">
        <f aca="false">IF($M663=0,"",INDEX(Classes!$H$6:$H$420,$M663))</f>
        <v/>
      </c>
      <c r="D663" s="61" t="str">
        <f aca="false">IF($M663=0,"",INDEX(Classes!$B$6:$B$420,$M663))</f>
        <v/>
      </c>
      <c r="E663" s="61" t="str">
        <f aca="false">IF($M663=0,"",INDEX(Classes!$C$6:$C$420,$M663))</f>
        <v/>
      </c>
      <c r="F663" s="63"/>
      <c r="G663" s="63"/>
      <c r="H663" s="60"/>
      <c r="I663" s="60"/>
      <c r="J663" s="63"/>
      <c r="K663" s="61" t="str">
        <f aca="false">IF($P663=0,"",IF($F663="Baseline","— Baseline",IF($O663=0,"No result",IF($N663=0,"No Start (attainment only)",IF(OR($N663=1,$O663=1),"U – needs rule",INDEX(MxBody,MATCH($I663,MxCurr,0),MATCH($H663,MxStart,0)))))))</f>
        <v/>
      </c>
      <c r="L663" s="62" t="str">
        <f aca="false">IF(COUNTA($A663,$F663,$G663,$H663,$I663,$J663)=0,"",IF($M663=0,"✖ كود الصف غير موجود",IF(ISNA(MATCH($F663,Lists!$A$2:$A$5,0)),"✖ الفترة غير صحيحة",IF(ISNA(MATCH($G663,Lists!$B$2:$B$7,0)),"✖ المجموعة غير صحيحة",IF(NOT(OR($H663="",$N663&gt;0)),"✖ Start غير صحيح",IF(NOT(OR($I663="",$I663="NR",$O663&gt;0)),"✖ Current غير صحيح",IF(NOT(IF(ISNUMBER($J663),AND($J663&gt;=0,$J663=INT($J663)),FALSE())),"✖ العدد يجب أن يكون صحيحًا ≥ 0",IF(AND($F663="Baseline",$H663&lt;&gt;""),"⚠ Baseline: Start لا يدخل في التقدم",IF($K663="No Start (attainment only)","ℹ تحصيل فقط (بدون Start)",IF($K663="U – needs rule","ℹ حالة U تحتاج قاعدة معتمدة",IF($K663="No result","ℹ بدون نتيجة (يُستبعد من التحصيل)","OK")))))))))))</f>
        <v/>
      </c>
      <c r="M663" s="64" t="n">
        <f aca="false">IF($A663="",0,IFERROR(MATCH($A663,Classes!$A$6:$A$420,0),0))</f>
        <v>0</v>
      </c>
      <c r="N663" s="64" t="n">
        <f aca="false">IF($H663="",0,IFERROR(MATCH($H663,GradeList,0),0))</f>
        <v>0</v>
      </c>
      <c r="O663" s="64" t="n">
        <f aca="false">IF(OR($I663="",$I663="NR"),0,IFERROR(MATCH($I663,GradeList,0),0))</f>
        <v>0</v>
      </c>
      <c r="P663" s="64" t="n">
        <f aca="false">IF(AND($M663&gt;0,ISNUMBER(MATCH($F663,Lists!$A$2:$A$5,0)),ISNUMBER(MATCH($G663,Lists!$B$2:$B$7,0)),OR($H663="",$N663&gt;0),OR($I663="",$I663="NR",$O663&gt;0),IF(ISNUMBER($J663),AND($J663&gt;=0,$J663=INT($J663)),FALSE())),$J663,0)</f>
        <v>0</v>
      </c>
      <c r="Q663" s="64" t="n">
        <f aca="false">IF(AND($P663&gt;0,$O663&gt;0),$P663,0)</f>
        <v>0</v>
      </c>
      <c r="R663" s="64" t="n">
        <f aca="false">IF(AND($Q663&gt;0,$O663&gt;=AtRank),$Q663,0)</f>
        <v>0</v>
      </c>
      <c r="S663" s="64" t="n">
        <f aca="false">IF(AND($Q663&gt;0,$O663&gt;=AboveRank),$Q663,0)</f>
        <v>0</v>
      </c>
      <c r="T663" s="64" t="n">
        <f aca="false">IF($K663="Less",$P663,0)</f>
        <v>0</v>
      </c>
      <c r="U663" s="64" t="n">
        <f aca="false">IF($K663="Expected",$P663,0)</f>
        <v>0</v>
      </c>
      <c r="V663" s="64" t="n">
        <f aca="false">IF($K663="Better",$P663,0)</f>
        <v>0</v>
      </c>
      <c r="W663" s="64" t="n">
        <f aca="false">IF($K663="U – needs rule",$P663,0)</f>
        <v>0</v>
      </c>
      <c r="X663" s="64" t="n">
        <f aca="false">IF($K663="No Start (attainment only)",$P663,0)</f>
        <v>0</v>
      </c>
    </row>
    <row r="664" customFormat="false" ht="15" hidden="false" customHeight="false" outlineLevel="0" collapsed="false">
      <c r="A664" s="60"/>
      <c r="B664" s="61" t="str">
        <f aca="false">IF($M664=0,"",INDEX(Classes!$E$6:$E$420,$M664))</f>
        <v/>
      </c>
      <c r="C664" s="62" t="str">
        <f aca="false">IF($M664=0,"",INDEX(Classes!$H$6:$H$420,$M664))</f>
        <v/>
      </c>
      <c r="D664" s="61" t="str">
        <f aca="false">IF($M664=0,"",INDEX(Classes!$B$6:$B$420,$M664))</f>
        <v/>
      </c>
      <c r="E664" s="61" t="str">
        <f aca="false">IF($M664=0,"",INDEX(Classes!$C$6:$C$420,$M664))</f>
        <v/>
      </c>
      <c r="F664" s="63"/>
      <c r="G664" s="63"/>
      <c r="H664" s="60"/>
      <c r="I664" s="60"/>
      <c r="J664" s="63"/>
      <c r="K664" s="61" t="str">
        <f aca="false">IF($P664=0,"",IF($F664="Baseline","— Baseline",IF($O664=0,"No result",IF($N664=0,"No Start (attainment only)",IF(OR($N664=1,$O664=1),"U – needs rule",INDEX(MxBody,MATCH($I664,MxCurr,0),MATCH($H664,MxStart,0)))))))</f>
        <v/>
      </c>
      <c r="L664" s="62" t="str">
        <f aca="false">IF(COUNTA($A664,$F664,$G664,$H664,$I664,$J664)=0,"",IF($M664=0,"✖ كود الصف غير موجود",IF(ISNA(MATCH($F664,Lists!$A$2:$A$5,0)),"✖ الفترة غير صحيحة",IF(ISNA(MATCH($G664,Lists!$B$2:$B$7,0)),"✖ المجموعة غير صحيحة",IF(NOT(OR($H664="",$N664&gt;0)),"✖ Start غير صحيح",IF(NOT(OR($I664="",$I664="NR",$O664&gt;0)),"✖ Current غير صحيح",IF(NOT(IF(ISNUMBER($J664),AND($J664&gt;=0,$J664=INT($J664)),FALSE())),"✖ العدد يجب أن يكون صحيحًا ≥ 0",IF(AND($F664="Baseline",$H664&lt;&gt;""),"⚠ Baseline: Start لا يدخل في التقدم",IF($K664="No Start (attainment only)","ℹ تحصيل فقط (بدون Start)",IF($K664="U – needs rule","ℹ حالة U تحتاج قاعدة معتمدة",IF($K664="No result","ℹ بدون نتيجة (يُستبعد من التحصيل)","OK")))))))))))</f>
        <v/>
      </c>
      <c r="M664" s="64" t="n">
        <f aca="false">IF($A664="",0,IFERROR(MATCH($A664,Classes!$A$6:$A$420,0),0))</f>
        <v>0</v>
      </c>
      <c r="N664" s="64" t="n">
        <f aca="false">IF($H664="",0,IFERROR(MATCH($H664,GradeList,0),0))</f>
        <v>0</v>
      </c>
      <c r="O664" s="64" t="n">
        <f aca="false">IF(OR($I664="",$I664="NR"),0,IFERROR(MATCH($I664,GradeList,0),0))</f>
        <v>0</v>
      </c>
      <c r="P664" s="64" t="n">
        <f aca="false">IF(AND($M664&gt;0,ISNUMBER(MATCH($F664,Lists!$A$2:$A$5,0)),ISNUMBER(MATCH($G664,Lists!$B$2:$B$7,0)),OR($H664="",$N664&gt;0),OR($I664="",$I664="NR",$O664&gt;0),IF(ISNUMBER($J664),AND($J664&gt;=0,$J664=INT($J664)),FALSE())),$J664,0)</f>
        <v>0</v>
      </c>
      <c r="Q664" s="64" t="n">
        <f aca="false">IF(AND($P664&gt;0,$O664&gt;0),$P664,0)</f>
        <v>0</v>
      </c>
      <c r="R664" s="64" t="n">
        <f aca="false">IF(AND($Q664&gt;0,$O664&gt;=AtRank),$Q664,0)</f>
        <v>0</v>
      </c>
      <c r="S664" s="64" t="n">
        <f aca="false">IF(AND($Q664&gt;0,$O664&gt;=AboveRank),$Q664,0)</f>
        <v>0</v>
      </c>
      <c r="T664" s="64" t="n">
        <f aca="false">IF($K664="Less",$P664,0)</f>
        <v>0</v>
      </c>
      <c r="U664" s="64" t="n">
        <f aca="false">IF($K664="Expected",$P664,0)</f>
        <v>0</v>
      </c>
      <c r="V664" s="64" t="n">
        <f aca="false">IF($K664="Better",$P664,0)</f>
        <v>0</v>
      </c>
      <c r="W664" s="64" t="n">
        <f aca="false">IF($K664="U – needs rule",$P664,0)</f>
        <v>0</v>
      </c>
      <c r="X664" s="64" t="n">
        <f aca="false">IF($K664="No Start (attainment only)",$P664,0)</f>
        <v>0</v>
      </c>
    </row>
    <row r="665" customFormat="false" ht="15" hidden="false" customHeight="false" outlineLevel="0" collapsed="false">
      <c r="A665" s="60"/>
      <c r="B665" s="61" t="str">
        <f aca="false">IF($M665=0,"",INDEX(Classes!$E$6:$E$420,$M665))</f>
        <v/>
      </c>
      <c r="C665" s="62" t="str">
        <f aca="false">IF($M665=0,"",INDEX(Classes!$H$6:$H$420,$M665))</f>
        <v/>
      </c>
      <c r="D665" s="61" t="str">
        <f aca="false">IF($M665=0,"",INDEX(Classes!$B$6:$B$420,$M665))</f>
        <v/>
      </c>
      <c r="E665" s="61" t="str">
        <f aca="false">IF($M665=0,"",INDEX(Classes!$C$6:$C$420,$M665))</f>
        <v/>
      </c>
      <c r="F665" s="63"/>
      <c r="G665" s="63"/>
      <c r="H665" s="60"/>
      <c r="I665" s="60"/>
      <c r="J665" s="63"/>
      <c r="K665" s="61" t="str">
        <f aca="false">IF($P665=0,"",IF($F665="Baseline","— Baseline",IF($O665=0,"No result",IF($N665=0,"No Start (attainment only)",IF(OR($N665=1,$O665=1),"U – needs rule",INDEX(MxBody,MATCH($I665,MxCurr,0),MATCH($H665,MxStart,0)))))))</f>
        <v/>
      </c>
      <c r="L665" s="62" t="str">
        <f aca="false">IF(COUNTA($A665,$F665,$G665,$H665,$I665,$J665)=0,"",IF($M665=0,"✖ كود الصف غير موجود",IF(ISNA(MATCH($F665,Lists!$A$2:$A$5,0)),"✖ الفترة غير صحيحة",IF(ISNA(MATCH($G665,Lists!$B$2:$B$7,0)),"✖ المجموعة غير صحيحة",IF(NOT(OR($H665="",$N665&gt;0)),"✖ Start غير صحيح",IF(NOT(OR($I665="",$I665="NR",$O665&gt;0)),"✖ Current غير صحيح",IF(NOT(IF(ISNUMBER($J665),AND($J665&gt;=0,$J665=INT($J665)),FALSE())),"✖ العدد يجب أن يكون صحيحًا ≥ 0",IF(AND($F665="Baseline",$H665&lt;&gt;""),"⚠ Baseline: Start لا يدخل في التقدم",IF($K665="No Start (attainment only)","ℹ تحصيل فقط (بدون Start)",IF($K665="U – needs rule","ℹ حالة U تحتاج قاعدة معتمدة",IF($K665="No result","ℹ بدون نتيجة (يُستبعد من التحصيل)","OK")))))))))))</f>
        <v/>
      </c>
      <c r="M665" s="64" t="n">
        <f aca="false">IF($A665="",0,IFERROR(MATCH($A665,Classes!$A$6:$A$420,0),0))</f>
        <v>0</v>
      </c>
      <c r="N665" s="64" t="n">
        <f aca="false">IF($H665="",0,IFERROR(MATCH($H665,GradeList,0),0))</f>
        <v>0</v>
      </c>
      <c r="O665" s="64" t="n">
        <f aca="false">IF(OR($I665="",$I665="NR"),0,IFERROR(MATCH($I665,GradeList,0),0))</f>
        <v>0</v>
      </c>
      <c r="P665" s="64" t="n">
        <f aca="false">IF(AND($M665&gt;0,ISNUMBER(MATCH($F665,Lists!$A$2:$A$5,0)),ISNUMBER(MATCH($G665,Lists!$B$2:$B$7,0)),OR($H665="",$N665&gt;0),OR($I665="",$I665="NR",$O665&gt;0),IF(ISNUMBER($J665),AND($J665&gt;=0,$J665=INT($J665)),FALSE())),$J665,0)</f>
        <v>0</v>
      </c>
      <c r="Q665" s="64" t="n">
        <f aca="false">IF(AND($P665&gt;0,$O665&gt;0),$P665,0)</f>
        <v>0</v>
      </c>
      <c r="R665" s="64" t="n">
        <f aca="false">IF(AND($Q665&gt;0,$O665&gt;=AtRank),$Q665,0)</f>
        <v>0</v>
      </c>
      <c r="S665" s="64" t="n">
        <f aca="false">IF(AND($Q665&gt;0,$O665&gt;=AboveRank),$Q665,0)</f>
        <v>0</v>
      </c>
      <c r="T665" s="64" t="n">
        <f aca="false">IF($K665="Less",$P665,0)</f>
        <v>0</v>
      </c>
      <c r="U665" s="64" t="n">
        <f aca="false">IF($K665="Expected",$P665,0)</f>
        <v>0</v>
      </c>
      <c r="V665" s="64" t="n">
        <f aca="false">IF($K665="Better",$P665,0)</f>
        <v>0</v>
      </c>
      <c r="W665" s="64" t="n">
        <f aca="false">IF($K665="U – needs rule",$P665,0)</f>
        <v>0</v>
      </c>
      <c r="X665" s="64" t="n">
        <f aca="false">IF($K665="No Start (attainment only)",$P665,0)</f>
        <v>0</v>
      </c>
    </row>
    <row r="666" customFormat="false" ht="15" hidden="false" customHeight="false" outlineLevel="0" collapsed="false">
      <c r="A666" s="60"/>
      <c r="B666" s="61" t="str">
        <f aca="false">IF($M666=0,"",INDEX(Classes!$E$6:$E$420,$M666))</f>
        <v/>
      </c>
      <c r="C666" s="62" t="str">
        <f aca="false">IF($M666=0,"",INDEX(Classes!$H$6:$H$420,$M666))</f>
        <v/>
      </c>
      <c r="D666" s="61" t="str">
        <f aca="false">IF($M666=0,"",INDEX(Classes!$B$6:$B$420,$M666))</f>
        <v/>
      </c>
      <c r="E666" s="61" t="str">
        <f aca="false">IF($M666=0,"",INDEX(Classes!$C$6:$C$420,$M666))</f>
        <v/>
      </c>
      <c r="F666" s="63"/>
      <c r="G666" s="63"/>
      <c r="H666" s="60"/>
      <c r="I666" s="60"/>
      <c r="J666" s="63"/>
      <c r="K666" s="61" t="str">
        <f aca="false">IF($P666=0,"",IF($F666="Baseline","— Baseline",IF($O666=0,"No result",IF($N666=0,"No Start (attainment only)",IF(OR($N666=1,$O666=1),"U – needs rule",INDEX(MxBody,MATCH($I666,MxCurr,0),MATCH($H666,MxStart,0)))))))</f>
        <v/>
      </c>
      <c r="L666" s="62" t="str">
        <f aca="false">IF(COUNTA($A666,$F666,$G666,$H666,$I666,$J666)=0,"",IF($M666=0,"✖ كود الصف غير موجود",IF(ISNA(MATCH($F666,Lists!$A$2:$A$5,0)),"✖ الفترة غير صحيحة",IF(ISNA(MATCH($G666,Lists!$B$2:$B$7,0)),"✖ المجموعة غير صحيحة",IF(NOT(OR($H666="",$N666&gt;0)),"✖ Start غير صحيح",IF(NOT(OR($I666="",$I666="NR",$O666&gt;0)),"✖ Current غير صحيح",IF(NOT(IF(ISNUMBER($J666),AND($J666&gt;=0,$J666=INT($J666)),FALSE())),"✖ العدد يجب أن يكون صحيحًا ≥ 0",IF(AND($F666="Baseline",$H666&lt;&gt;""),"⚠ Baseline: Start لا يدخل في التقدم",IF($K666="No Start (attainment only)","ℹ تحصيل فقط (بدون Start)",IF($K666="U – needs rule","ℹ حالة U تحتاج قاعدة معتمدة",IF($K666="No result","ℹ بدون نتيجة (يُستبعد من التحصيل)","OK")))))))))))</f>
        <v/>
      </c>
      <c r="M666" s="64" t="n">
        <f aca="false">IF($A666="",0,IFERROR(MATCH($A666,Classes!$A$6:$A$420,0),0))</f>
        <v>0</v>
      </c>
      <c r="N666" s="64" t="n">
        <f aca="false">IF($H666="",0,IFERROR(MATCH($H666,GradeList,0),0))</f>
        <v>0</v>
      </c>
      <c r="O666" s="64" t="n">
        <f aca="false">IF(OR($I666="",$I666="NR"),0,IFERROR(MATCH($I666,GradeList,0),0))</f>
        <v>0</v>
      </c>
      <c r="P666" s="64" t="n">
        <f aca="false">IF(AND($M666&gt;0,ISNUMBER(MATCH($F666,Lists!$A$2:$A$5,0)),ISNUMBER(MATCH($G666,Lists!$B$2:$B$7,0)),OR($H666="",$N666&gt;0),OR($I666="",$I666="NR",$O666&gt;0),IF(ISNUMBER($J666),AND($J666&gt;=0,$J666=INT($J666)),FALSE())),$J666,0)</f>
        <v>0</v>
      </c>
      <c r="Q666" s="64" t="n">
        <f aca="false">IF(AND($P666&gt;0,$O666&gt;0),$P666,0)</f>
        <v>0</v>
      </c>
      <c r="R666" s="64" t="n">
        <f aca="false">IF(AND($Q666&gt;0,$O666&gt;=AtRank),$Q666,0)</f>
        <v>0</v>
      </c>
      <c r="S666" s="64" t="n">
        <f aca="false">IF(AND($Q666&gt;0,$O666&gt;=AboveRank),$Q666,0)</f>
        <v>0</v>
      </c>
      <c r="T666" s="64" t="n">
        <f aca="false">IF($K666="Less",$P666,0)</f>
        <v>0</v>
      </c>
      <c r="U666" s="64" t="n">
        <f aca="false">IF($K666="Expected",$P666,0)</f>
        <v>0</v>
      </c>
      <c r="V666" s="64" t="n">
        <f aca="false">IF($K666="Better",$P666,0)</f>
        <v>0</v>
      </c>
      <c r="W666" s="64" t="n">
        <f aca="false">IF($K666="U – needs rule",$P666,0)</f>
        <v>0</v>
      </c>
      <c r="X666" s="64" t="n">
        <f aca="false">IF($K666="No Start (attainment only)",$P666,0)</f>
        <v>0</v>
      </c>
    </row>
    <row r="667" customFormat="false" ht="15" hidden="false" customHeight="false" outlineLevel="0" collapsed="false">
      <c r="A667" s="60"/>
      <c r="B667" s="61" t="str">
        <f aca="false">IF($M667=0,"",INDEX(Classes!$E$6:$E$420,$M667))</f>
        <v/>
      </c>
      <c r="C667" s="62" t="str">
        <f aca="false">IF($M667=0,"",INDEX(Classes!$H$6:$H$420,$M667))</f>
        <v/>
      </c>
      <c r="D667" s="61" t="str">
        <f aca="false">IF($M667=0,"",INDEX(Classes!$B$6:$B$420,$M667))</f>
        <v/>
      </c>
      <c r="E667" s="61" t="str">
        <f aca="false">IF($M667=0,"",INDEX(Classes!$C$6:$C$420,$M667))</f>
        <v/>
      </c>
      <c r="F667" s="63"/>
      <c r="G667" s="63"/>
      <c r="H667" s="60"/>
      <c r="I667" s="60"/>
      <c r="J667" s="63"/>
      <c r="K667" s="61" t="str">
        <f aca="false">IF($P667=0,"",IF($F667="Baseline","— Baseline",IF($O667=0,"No result",IF($N667=0,"No Start (attainment only)",IF(OR($N667=1,$O667=1),"U – needs rule",INDEX(MxBody,MATCH($I667,MxCurr,0),MATCH($H667,MxStart,0)))))))</f>
        <v/>
      </c>
      <c r="L667" s="62" t="str">
        <f aca="false">IF(COUNTA($A667,$F667,$G667,$H667,$I667,$J667)=0,"",IF($M667=0,"✖ كود الصف غير موجود",IF(ISNA(MATCH($F667,Lists!$A$2:$A$5,0)),"✖ الفترة غير صحيحة",IF(ISNA(MATCH($G667,Lists!$B$2:$B$7,0)),"✖ المجموعة غير صحيحة",IF(NOT(OR($H667="",$N667&gt;0)),"✖ Start غير صحيح",IF(NOT(OR($I667="",$I667="NR",$O667&gt;0)),"✖ Current غير صحيح",IF(NOT(IF(ISNUMBER($J667),AND($J667&gt;=0,$J667=INT($J667)),FALSE())),"✖ العدد يجب أن يكون صحيحًا ≥ 0",IF(AND($F667="Baseline",$H667&lt;&gt;""),"⚠ Baseline: Start لا يدخل في التقدم",IF($K667="No Start (attainment only)","ℹ تحصيل فقط (بدون Start)",IF($K667="U – needs rule","ℹ حالة U تحتاج قاعدة معتمدة",IF($K667="No result","ℹ بدون نتيجة (يُستبعد من التحصيل)","OK")))))))))))</f>
        <v/>
      </c>
      <c r="M667" s="64" t="n">
        <f aca="false">IF($A667="",0,IFERROR(MATCH($A667,Classes!$A$6:$A$420,0),0))</f>
        <v>0</v>
      </c>
      <c r="N667" s="64" t="n">
        <f aca="false">IF($H667="",0,IFERROR(MATCH($H667,GradeList,0),0))</f>
        <v>0</v>
      </c>
      <c r="O667" s="64" t="n">
        <f aca="false">IF(OR($I667="",$I667="NR"),0,IFERROR(MATCH($I667,GradeList,0),0))</f>
        <v>0</v>
      </c>
      <c r="P667" s="64" t="n">
        <f aca="false">IF(AND($M667&gt;0,ISNUMBER(MATCH($F667,Lists!$A$2:$A$5,0)),ISNUMBER(MATCH($G667,Lists!$B$2:$B$7,0)),OR($H667="",$N667&gt;0),OR($I667="",$I667="NR",$O667&gt;0),IF(ISNUMBER($J667),AND($J667&gt;=0,$J667=INT($J667)),FALSE())),$J667,0)</f>
        <v>0</v>
      </c>
      <c r="Q667" s="64" t="n">
        <f aca="false">IF(AND($P667&gt;0,$O667&gt;0),$P667,0)</f>
        <v>0</v>
      </c>
      <c r="R667" s="64" t="n">
        <f aca="false">IF(AND($Q667&gt;0,$O667&gt;=AtRank),$Q667,0)</f>
        <v>0</v>
      </c>
      <c r="S667" s="64" t="n">
        <f aca="false">IF(AND($Q667&gt;0,$O667&gt;=AboveRank),$Q667,0)</f>
        <v>0</v>
      </c>
      <c r="T667" s="64" t="n">
        <f aca="false">IF($K667="Less",$P667,0)</f>
        <v>0</v>
      </c>
      <c r="U667" s="64" t="n">
        <f aca="false">IF($K667="Expected",$P667,0)</f>
        <v>0</v>
      </c>
      <c r="V667" s="64" t="n">
        <f aca="false">IF($K667="Better",$P667,0)</f>
        <v>0</v>
      </c>
      <c r="W667" s="64" t="n">
        <f aca="false">IF($K667="U – needs rule",$P667,0)</f>
        <v>0</v>
      </c>
      <c r="X667" s="64" t="n">
        <f aca="false">IF($K667="No Start (attainment only)",$P667,0)</f>
        <v>0</v>
      </c>
    </row>
    <row r="668" customFormat="false" ht="15" hidden="false" customHeight="false" outlineLevel="0" collapsed="false">
      <c r="A668" s="60"/>
      <c r="B668" s="61" t="str">
        <f aca="false">IF($M668=0,"",INDEX(Classes!$E$6:$E$420,$M668))</f>
        <v/>
      </c>
      <c r="C668" s="62" t="str">
        <f aca="false">IF($M668=0,"",INDEX(Classes!$H$6:$H$420,$M668))</f>
        <v/>
      </c>
      <c r="D668" s="61" t="str">
        <f aca="false">IF($M668=0,"",INDEX(Classes!$B$6:$B$420,$M668))</f>
        <v/>
      </c>
      <c r="E668" s="61" t="str">
        <f aca="false">IF($M668=0,"",INDEX(Classes!$C$6:$C$420,$M668))</f>
        <v/>
      </c>
      <c r="F668" s="63"/>
      <c r="G668" s="63"/>
      <c r="H668" s="60"/>
      <c r="I668" s="60"/>
      <c r="J668" s="63"/>
      <c r="K668" s="61" t="str">
        <f aca="false">IF($P668=0,"",IF($F668="Baseline","— Baseline",IF($O668=0,"No result",IF($N668=0,"No Start (attainment only)",IF(OR($N668=1,$O668=1),"U – needs rule",INDEX(MxBody,MATCH($I668,MxCurr,0),MATCH($H668,MxStart,0)))))))</f>
        <v/>
      </c>
      <c r="L668" s="62" t="str">
        <f aca="false">IF(COUNTA($A668,$F668,$G668,$H668,$I668,$J668)=0,"",IF($M668=0,"✖ كود الصف غير موجود",IF(ISNA(MATCH($F668,Lists!$A$2:$A$5,0)),"✖ الفترة غير صحيحة",IF(ISNA(MATCH($G668,Lists!$B$2:$B$7,0)),"✖ المجموعة غير صحيحة",IF(NOT(OR($H668="",$N668&gt;0)),"✖ Start غير صحيح",IF(NOT(OR($I668="",$I668="NR",$O668&gt;0)),"✖ Current غير صحيح",IF(NOT(IF(ISNUMBER($J668),AND($J668&gt;=0,$J668=INT($J668)),FALSE())),"✖ العدد يجب أن يكون صحيحًا ≥ 0",IF(AND($F668="Baseline",$H668&lt;&gt;""),"⚠ Baseline: Start لا يدخل في التقدم",IF($K668="No Start (attainment only)","ℹ تحصيل فقط (بدون Start)",IF($K668="U – needs rule","ℹ حالة U تحتاج قاعدة معتمدة",IF($K668="No result","ℹ بدون نتيجة (يُستبعد من التحصيل)","OK")))))))))))</f>
        <v/>
      </c>
      <c r="M668" s="64" t="n">
        <f aca="false">IF($A668="",0,IFERROR(MATCH($A668,Classes!$A$6:$A$420,0),0))</f>
        <v>0</v>
      </c>
      <c r="N668" s="64" t="n">
        <f aca="false">IF($H668="",0,IFERROR(MATCH($H668,GradeList,0),0))</f>
        <v>0</v>
      </c>
      <c r="O668" s="64" t="n">
        <f aca="false">IF(OR($I668="",$I668="NR"),0,IFERROR(MATCH($I668,GradeList,0),0))</f>
        <v>0</v>
      </c>
      <c r="P668" s="64" t="n">
        <f aca="false">IF(AND($M668&gt;0,ISNUMBER(MATCH($F668,Lists!$A$2:$A$5,0)),ISNUMBER(MATCH($G668,Lists!$B$2:$B$7,0)),OR($H668="",$N668&gt;0),OR($I668="",$I668="NR",$O668&gt;0),IF(ISNUMBER($J668),AND($J668&gt;=0,$J668=INT($J668)),FALSE())),$J668,0)</f>
        <v>0</v>
      </c>
      <c r="Q668" s="64" t="n">
        <f aca="false">IF(AND($P668&gt;0,$O668&gt;0),$P668,0)</f>
        <v>0</v>
      </c>
      <c r="R668" s="64" t="n">
        <f aca="false">IF(AND($Q668&gt;0,$O668&gt;=AtRank),$Q668,0)</f>
        <v>0</v>
      </c>
      <c r="S668" s="64" t="n">
        <f aca="false">IF(AND($Q668&gt;0,$O668&gt;=AboveRank),$Q668,0)</f>
        <v>0</v>
      </c>
      <c r="T668" s="64" t="n">
        <f aca="false">IF($K668="Less",$P668,0)</f>
        <v>0</v>
      </c>
      <c r="U668" s="64" t="n">
        <f aca="false">IF($K668="Expected",$P668,0)</f>
        <v>0</v>
      </c>
      <c r="V668" s="64" t="n">
        <f aca="false">IF($K668="Better",$P668,0)</f>
        <v>0</v>
      </c>
      <c r="W668" s="64" t="n">
        <f aca="false">IF($K668="U – needs rule",$P668,0)</f>
        <v>0</v>
      </c>
      <c r="X668" s="64" t="n">
        <f aca="false">IF($K668="No Start (attainment only)",$P668,0)</f>
        <v>0</v>
      </c>
    </row>
    <row r="669" customFormat="false" ht="15" hidden="false" customHeight="false" outlineLevel="0" collapsed="false">
      <c r="A669" s="60"/>
      <c r="B669" s="61" t="str">
        <f aca="false">IF($M669=0,"",INDEX(Classes!$E$6:$E$420,$M669))</f>
        <v/>
      </c>
      <c r="C669" s="62" t="str">
        <f aca="false">IF($M669=0,"",INDEX(Classes!$H$6:$H$420,$M669))</f>
        <v/>
      </c>
      <c r="D669" s="61" t="str">
        <f aca="false">IF($M669=0,"",INDEX(Classes!$B$6:$B$420,$M669))</f>
        <v/>
      </c>
      <c r="E669" s="61" t="str">
        <f aca="false">IF($M669=0,"",INDEX(Classes!$C$6:$C$420,$M669))</f>
        <v/>
      </c>
      <c r="F669" s="63"/>
      <c r="G669" s="63"/>
      <c r="H669" s="60"/>
      <c r="I669" s="60"/>
      <c r="J669" s="63"/>
      <c r="K669" s="61" t="str">
        <f aca="false">IF($P669=0,"",IF($F669="Baseline","— Baseline",IF($O669=0,"No result",IF($N669=0,"No Start (attainment only)",IF(OR($N669=1,$O669=1),"U – needs rule",INDEX(MxBody,MATCH($I669,MxCurr,0),MATCH($H669,MxStart,0)))))))</f>
        <v/>
      </c>
      <c r="L669" s="62" t="str">
        <f aca="false">IF(COUNTA($A669,$F669,$G669,$H669,$I669,$J669)=0,"",IF($M669=0,"✖ كود الصف غير موجود",IF(ISNA(MATCH($F669,Lists!$A$2:$A$5,0)),"✖ الفترة غير صحيحة",IF(ISNA(MATCH($G669,Lists!$B$2:$B$7,0)),"✖ المجموعة غير صحيحة",IF(NOT(OR($H669="",$N669&gt;0)),"✖ Start غير صحيح",IF(NOT(OR($I669="",$I669="NR",$O669&gt;0)),"✖ Current غير صحيح",IF(NOT(IF(ISNUMBER($J669),AND($J669&gt;=0,$J669=INT($J669)),FALSE())),"✖ العدد يجب أن يكون صحيحًا ≥ 0",IF(AND($F669="Baseline",$H669&lt;&gt;""),"⚠ Baseline: Start لا يدخل في التقدم",IF($K669="No Start (attainment only)","ℹ تحصيل فقط (بدون Start)",IF($K669="U – needs rule","ℹ حالة U تحتاج قاعدة معتمدة",IF($K669="No result","ℹ بدون نتيجة (يُستبعد من التحصيل)","OK")))))))))))</f>
        <v/>
      </c>
      <c r="M669" s="64" t="n">
        <f aca="false">IF($A669="",0,IFERROR(MATCH($A669,Classes!$A$6:$A$420,0),0))</f>
        <v>0</v>
      </c>
      <c r="N669" s="64" t="n">
        <f aca="false">IF($H669="",0,IFERROR(MATCH($H669,GradeList,0),0))</f>
        <v>0</v>
      </c>
      <c r="O669" s="64" t="n">
        <f aca="false">IF(OR($I669="",$I669="NR"),0,IFERROR(MATCH($I669,GradeList,0),0))</f>
        <v>0</v>
      </c>
      <c r="P669" s="64" t="n">
        <f aca="false">IF(AND($M669&gt;0,ISNUMBER(MATCH($F669,Lists!$A$2:$A$5,0)),ISNUMBER(MATCH($G669,Lists!$B$2:$B$7,0)),OR($H669="",$N669&gt;0),OR($I669="",$I669="NR",$O669&gt;0),IF(ISNUMBER($J669),AND($J669&gt;=0,$J669=INT($J669)),FALSE())),$J669,0)</f>
        <v>0</v>
      </c>
      <c r="Q669" s="64" t="n">
        <f aca="false">IF(AND($P669&gt;0,$O669&gt;0),$P669,0)</f>
        <v>0</v>
      </c>
      <c r="R669" s="64" t="n">
        <f aca="false">IF(AND($Q669&gt;0,$O669&gt;=AtRank),$Q669,0)</f>
        <v>0</v>
      </c>
      <c r="S669" s="64" t="n">
        <f aca="false">IF(AND($Q669&gt;0,$O669&gt;=AboveRank),$Q669,0)</f>
        <v>0</v>
      </c>
      <c r="T669" s="64" t="n">
        <f aca="false">IF($K669="Less",$P669,0)</f>
        <v>0</v>
      </c>
      <c r="U669" s="64" t="n">
        <f aca="false">IF($K669="Expected",$P669,0)</f>
        <v>0</v>
      </c>
      <c r="V669" s="64" t="n">
        <f aca="false">IF($K669="Better",$P669,0)</f>
        <v>0</v>
      </c>
      <c r="W669" s="64" t="n">
        <f aca="false">IF($K669="U – needs rule",$P669,0)</f>
        <v>0</v>
      </c>
      <c r="X669" s="64" t="n">
        <f aca="false">IF($K669="No Start (attainment only)",$P669,0)</f>
        <v>0</v>
      </c>
    </row>
    <row r="670" customFormat="false" ht="15" hidden="false" customHeight="false" outlineLevel="0" collapsed="false">
      <c r="A670" s="60"/>
      <c r="B670" s="61" t="str">
        <f aca="false">IF($M670=0,"",INDEX(Classes!$E$6:$E$420,$M670))</f>
        <v/>
      </c>
      <c r="C670" s="62" t="str">
        <f aca="false">IF($M670=0,"",INDEX(Classes!$H$6:$H$420,$M670))</f>
        <v/>
      </c>
      <c r="D670" s="61" t="str">
        <f aca="false">IF($M670=0,"",INDEX(Classes!$B$6:$B$420,$M670))</f>
        <v/>
      </c>
      <c r="E670" s="61" t="str">
        <f aca="false">IF($M670=0,"",INDEX(Classes!$C$6:$C$420,$M670))</f>
        <v/>
      </c>
      <c r="F670" s="63"/>
      <c r="G670" s="63"/>
      <c r="H670" s="60"/>
      <c r="I670" s="60"/>
      <c r="J670" s="63"/>
      <c r="K670" s="61" t="str">
        <f aca="false">IF($P670=0,"",IF($F670="Baseline","— Baseline",IF($O670=0,"No result",IF($N670=0,"No Start (attainment only)",IF(OR($N670=1,$O670=1),"U – needs rule",INDEX(MxBody,MATCH($I670,MxCurr,0),MATCH($H670,MxStart,0)))))))</f>
        <v/>
      </c>
      <c r="L670" s="62" t="str">
        <f aca="false">IF(COUNTA($A670,$F670,$G670,$H670,$I670,$J670)=0,"",IF($M670=0,"✖ كود الصف غير موجود",IF(ISNA(MATCH($F670,Lists!$A$2:$A$5,0)),"✖ الفترة غير صحيحة",IF(ISNA(MATCH($G670,Lists!$B$2:$B$7,0)),"✖ المجموعة غير صحيحة",IF(NOT(OR($H670="",$N670&gt;0)),"✖ Start غير صحيح",IF(NOT(OR($I670="",$I670="NR",$O670&gt;0)),"✖ Current غير صحيح",IF(NOT(IF(ISNUMBER($J670),AND($J670&gt;=0,$J670=INT($J670)),FALSE())),"✖ العدد يجب أن يكون صحيحًا ≥ 0",IF(AND($F670="Baseline",$H670&lt;&gt;""),"⚠ Baseline: Start لا يدخل في التقدم",IF($K670="No Start (attainment only)","ℹ تحصيل فقط (بدون Start)",IF($K670="U – needs rule","ℹ حالة U تحتاج قاعدة معتمدة",IF($K670="No result","ℹ بدون نتيجة (يُستبعد من التحصيل)","OK")))))))))))</f>
        <v/>
      </c>
      <c r="M670" s="64" t="n">
        <f aca="false">IF($A670="",0,IFERROR(MATCH($A670,Classes!$A$6:$A$420,0),0))</f>
        <v>0</v>
      </c>
      <c r="N670" s="64" t="n">
        <f aca="false">IF($H670="",0,IFERROR(MATCH($H670,GradeList,0),0))</f>
        <v>0</v>
      </c>
      <c r="O670" s="64" t="n">
        <f aca="false">IF(OR($I670="",$I670="NR"),0,IFERROR(MATCH($I670,GradeList,0),0))</f>
        <v>0</v>
      </c>
      <c r="P670" s="64" t="n">
        <f aca="false">IF(AND($M670&gt;0,ISNUMBER(MATCH($F670,Lists!$A$2:$A$5,0)),ISNUMBER(MATCH($G670,Lists!$B$2:$B$7,0)),OR($H670="",$N670&gt;0),OR($I670="",$I670="NR",$O670&gt;0),IF(ISNUMBER($J670),AND($J670&gt;=0,$J670=INT($J670)),FALSE())),$J670,0)</f>
        <v>0</v>
      </c>
      <c r="Q670" s="64" t="n">
        <f aca="false">IF(AND($P670&gt;0,$O670&gt;0),$P670,0)</f>
        <v>0</v>
      </c>
      <c r="R670" s="64" t="n">
        <f aca="false">IF(AND($Q670&gt;0,$O670&gt;=AtRank),$Q670,0)</f>
        <v>0</v>
      </c>
      <c r="S670" s="64" t="n">
        <f aca="false">IF(AND($Q670&gt;0,$O670&gt;=AboveRank),$Q670,0)</f>
        <v>0</v>
      </c>
      <c r="T670" s="64" t="n">
        <f aca="false">IF($K670="Less",$P670,0)</f>
        <v>0</v>
      </c>
      <c r="U670" s="64" t="n">
        <f aca="false">IF($K670="Expected",$P670,0)</f>
        <v>0</v>
      </c>
      <c r="V670" s="64" t="n">
        <f aca="false">IF($K670="Better",$P670,0)</f>
        <v>0</v>
      </c>
      <c r="W670" s="64" t="n">
        <f aca="false">IF($K670="U – needs rule",$P670,0)</f>
        <v>0</v>
      </c>
      <c r="X670" s="64" t="n">
        <f aca="false">IF($K670="No Start (attainment only)",$P670,0)</f>
        <v>0</v>
      </c>
    </row>
    <row r="671" customFormat="false" ht="15" hidden="false" customHeight="false" outlineLevel="0" collapsed="false">
      <c r="A671" s="60"/>
      <c r="B671" s="61" t="str">
        <f aca="false">IF($M671=0,"",INDEX(Classes!$E$6:$E$420,$M671))</f>
        <v/>
      </c>
      <c r="C671" s="62" t="str">
        <f aca="false">IF($M671=0,"",INDEX(Classes!$H$6:$H$420,$M671))</f>
        <v/>
      </c>
      <c r="D671" s="61" t="str">
        <f aca="false">IF($M671=0,"",INDEX(Classes!$B$6:$B$420,$M671))</f>
        <v/>
      </c>
      <c r="E671" s="61" t="str">
        <f aca="false">IF($M671=0,"",INDEX(Classes!$C$6:$C$420,$M671))</f>
        <v/>
      </c>
      <c r="F671" s="63"/>
      <c r="G671" s="63"/>
      <c r="H671" s="60"/>
      <c r="I671" s="60"/>
      <c r="J671" s="63"/>
      <c r="K671" s="61" t="str">
        <f aca="false">IF($P671=0,"",IF($F671="Baseline","— Baseline",IF($O671=0,"No result",IF($N671=0,"No Start (attainment only)",IF(OR($N671=1,$O671=1),"U – needs rule",INDEX(MxBody,MATCH($I671,MxCurr,0),MATCH($H671,MxStart,0)))))))</f>
        <v/>
      </c>
      <c r="L671" s="62" t="str">
        <f aca="false">IF(COUNTA($A671,$F671,$G671,$H671,$I671,$J671)=0,"",IF($M671=0,"✖ كود الصف غير موجود",IF(ISNA(MATCH($F671,Lists!$A$2:$A$5,0)),"✖ الفترة غير صحيحة",IF(ISNA(MATCH($G671,Lists!$B$2:$B$7,0)),"✖ المجموعة غير صحيحة",IF(NOT(OR($H671="",$N671&gt;0)),"✖ Start غير صحيح",IF(NOT(OR($I671="",$I671="NR",$O671&gt;0)),"✖ Current غير صحيح",IF(NOT(IF(ISNUMBER($J671),AND($J671&gt;=0,$J671=INT($J671)),FALSE())),"✖ العدد يجب أن يكون صحيحًا ≥ 0",IF(AND($F671="Baseline",$H671&lt;&gt;""),"⚠ Baseline: Start لا يدخل في التقدم",IF($K671="No Start (attainment only)","ℹ تحصيل فقط (بدون Start)",IF($K671="U – needs rule","ℹ حالة U تحتاج قاعدة معتمدة",IF($K671="No result","ℹ بدون نتيجة (يُستبعد من التحصيل)","OK")))))))))))</f>
        <v/>
      </c>
      <c r="M671" s="64" t="n">
        <f aca="false">IF($A671="",0,IFERROR(MATCH($A671,Classes!$A$6:$A$420,0),0))</f>
        <v>0</v>
      </c>
      <c r="N671" s="64" t="n">
        <f aca="false">IF($H671="",0,IFERROR(MATCH($H671,GradeList,0),0))</f>
        <v>0</v>
      </c>
      <c r="O671" s="64" t="n">
        <f aca="false">IF(OR($I671="",$I671="NR"),0,IFERROR(MATCH($I671,GradeList,0),0))</f>
        <v>0</v>
      </c>
      <c r="P671" s="64" t="n">
        <f aca="false">IF(AND($M671&gt;0,ISNUMBER(MATCH($F671,Lists!$A$2:$A$5,0)),ISNUMBER(MATCH($G671,Lists!$B$2:$B$7,0)),OR($H671="",$N671&gt;0),OR($I671="",$I671="NR",$O671&gt;0),IF(ISNUMBER($J671),AND($J671&gt;=0,$J671=INT($J671)),FALSE())),$J671,0)</f>
        <v>0</v>
      </c>
      <c r="Q671" s="64" t="n">
        <f aca="false">IF(AND($P671&gt;0,$O671&gt;0),$P671,0)</f>
        <v>0</v>
      </c>
      <c r="R671" s="64" t="n">
        <f aca="false">IF(AND($Q671&gt;0,$O671&gt;=AtRank),$Q671,0)</f>
        <v>0</v>
      </c>
      <c r="S671" s="64" t="n">
        <f aca="false">IF(AND($Q671&gt;0,$O671&gt;=AboveRank),$Q671,0)</f>
        <v>0</v>
      </c>
      <c r="T671" s="64" t="n">
        <f aca="false">IF($K671="Less",$P671,0)</f>
        <v>0</v>
      </c>
      <c r="U671" s="64" t="n">
        <f aca="false">IF($K671="Expected",$P671,0)</f>
        <v>0</v>
      </c>
      <c r="V671" s="64" t="n">
        <f aca="false">IF($K671="Better",$P671,0)</f>
        <v>0</v>
      </c>
      <c r="W671" s="64" t="n">
        <f aca="false">IF($K671="U – needs rule",$P671,0)</f>
        <v>0</v>
      </c>
      <c r="X671" s="64" t="n">
        <f aca="false">IF($K671="No Start (attainment only)",$P671,0)</f>
        <v>0</v>
      </c>
    </row>
    <row r="672" customFormat="false" ht="15" hidden="false" customHeight="false" outlineLevel="0" collapsed="false">
      <c r="A672" s="60"/>
      <c r="B672" s="61" t="str">
        <f aca="false">IF($M672=0,"",INDEX(Classes!$E$6:$E$420,$M672))</f>
        <v/>
      </c>
      <c r="C672" s="62" t="str">
        <f aca="false">IF($M672=0,"",INDEX(Classes!$H$6:$H$420,$M672))</f>
        <v/>
      </c>
      <c r="D672" s="61" t="str">
        <f aca="false">IF($M672=0,"",INDEX(Classes!$B$6:$B$420,$M672))</f>
        <v/>
      </c>
      <c r="E672" s="61" t="str">
        <f aca="false">IF($M672=0,"",INDEX(Classes!$C$6:$C$420,$M672))</f>
        <v/>
      </c>
      <c r="F672" s="63"/>
      <c r="G672" s="63"/>
      <c r="H672" s="60"/>
      <c r="I672" s="60"/>
      <c r="J672" s="63"/>
      <c r="K672" s="61" t="str">
        <f aca="false">IF($P672=0,"",IF($F672="Baseline","— Baseline",IF($O672=0,"No result",IF($N672=0,"No Start (attainment only)",IF(OR($N672=1,$O672=1),"U – needs rule",INDEX(MxBody,MATCH($I672,MxCurr,0),MATCH($H672,MxStart,0)))))))</f>
        <v/>
      </c>
      <c r="L672" s="62" t="str">
        <f aca="false">IF(COUNTA($A672,$F672,$G672,$H672,$I672,$J672)=0,"",IF($M672=0,"✖ كود الصف غير موجود",IF(ISNA(MATCH($F672,Lists!$A$2:$A$5,0)),"✖ الفترة غير صحيحة",IF(ISNA(MATCH($G672,Lists!$B$2:$B$7,0)),"✖ المجموعة غير صحيحة",IF(NOT(OR($H672="",$N672&gt;0)),"✖ Start غير صحيح",IF(NOT(OR($I672="",$I672="NR",$O672&gt;0)),"✖ Current غير صحيح",IF(NOT(IF(ISNUMBER($J672),AND($J672&gt;=0,$J672=INT($J672)),FALSE())),"✖ العدد يجب أن يكون صحيحًا ≥ 0",IF(AND($F672="Baseline",$H672&lt;&gt;""),"⚠ Baseline: Start لا يدخل في التقدم",IF($K672="No Start (attainment only)","ℹ تحصيل فقط (بدون Start)",IF($K672="U – needs rule","ℹ حالة U تحتاج قاعدة معتمدة",IF($K672="No result","ℹ بدون نتيجة (يُستبعد من التحصيل)","OK")))))))))))</f>
        <v/>
      </c>
      <c r="M672" s="64" t="n">
        <f aca="false">IF($A672="",0,IFERROR(MATCH($A672,Classes!$A$6:$A$420,0),0))</f>
        <v>0</v>
      </c>
      <c r="N672" s="64" t="n">
        <f aca="false">IF($H672="",0,IFERROR(MATCH($H672,GradeList,0),0))</f>
        <v>0</v>
      </c>
      <c r="O672" s="64" t="n">
        <f aca="false">IF(OR($I672="",$I672="NR"),0,IFERROR(MATCH($I672,GradeList,0),0))</f>
        <v>0</v>
      </c>
      <c r="P672" s="64" t="n">
        <f aca="false">IF(AND($M672&gt;0,ISNUMBER(MATCH($F672,Lists!$A$2:$A$5,0)),ISNUMBER(MATCH($G672,Lists!$B$2:$B$7,0)),OR($H672="",$N672&gt;0),OR($I672="",$I672="NR",$O672&gt;0),IF(ISNUMBER($J672),AND($J672&gt;=0,$J672=INT($J672)),FALSE())),$J672,0)</f>
        <v>0</v>
      </c>
      <c r="Q672" s="64" t="n">
        <f aca="false">IF(AND($P672&gt;0,$O672&gt;0),$P672,0)</f>
        <v>0</v>
      </c>
      <c r="R672" s="64" t="n">
        <f aca="false">IF(AND($Q672&gt;0,$O672&gt;=AtRank),$Q672,0)</f>
        <v>0</v>
      </c>
      <c r="S672" s="64" t="n">
        <f aca="false">IF(AND($Q672&gt;0,$O672&gt;=AboveRank),$Q672,0)</f>
        <v>0</v>
      </c>
      <c r="T672" s="64" t="n">
        <f aca="false">IF($K672="Less",$P672,0)</f>
        <v>0</v>
      </c>
      <c r="U672" s="64" t="n">
        <f aca="false">IF($K672="Expected",$P672,0)</f>
        <v>0</v>
      </c>
      <c r="V672" s="64" t="n">
        <f aca="false">IF($K672="Better",$P672,0)</f>
        <v>0</v>
      </c>
      <c r="W672" s="64" t="n">
        <f aca="false">IF($K672="U – needs rule",$P672,0)</f>
        <v>0</v>
      </c>
      <c r="X672" s="64" t="n">
        <f aca="false">IF($K672="No Start (attainment only)",$P672,0)</f>
        <v>0</v>
      </c>
    </row>
    <row r="673" customFormat="false" ht="15" hidden="false" customHeight="false" outlineLevel="0" collapsed="false">
      <c r="A673" s="60"/>
      <c r="B673" s="61" t="str">
        <f aca="false">IF($M673=0,"",INDEX(Classes!$E$6:$E$420,$M673))</f>
        <v/>
      </c>
      <c r="C673" s="62" t="str">
        <f aca="false">IF($M673=0,"",INDEX(Classes!$H$6:$H$420,$M673))</f>
        <v/>
      </c>
      <c r="D673" s="61" t="str">
        <f aca="false">IF($M673=0,"",INDEX(Classes!$B$6:$B$420,$M673))</f>
        <v/>
      </c>
      <c r="E673" s="61" t="str">
        <f aca="false">IF($M673=0,"",INDEX(Classes!$C$6:$C$420,$M673))</f>
        <v/>
      </c>
      <c r="F673" s="63"/>
      <c r="G673" s="63"/>
      <c r="H673" s="60"/>
      <c r="I673" s="60"/>
      <c r="J673" s="63"/>
      <c r="K673" s="61" t="str">
        <f aca="false">IF($P673=0,"",IF($F673="Baseline","— Baseline",IF($O673=0,"No result",IF($N673=0,"No Start (attainment only)",IF(OR($N673=1,$O673=1),"U – needs rule",INDEX(MxBody,MATCH($I673,MxCurr,0),MATCH($H673,MxStart,0)))))))</f>
        <v/>
      </c>
      <c r="L673" s="62" t="str">
        <f aca="false">IF(COUNTA($A673,$F673,$G673,$H673,$I673,$J673)=0,"",IF($M673=0,"✖ كود الصف غير موجود",IF(ISNA(MATCH($F673,Lists!$A$2:$A$5,0)),"✖ الفترة غير صحيحة",IF(ISNA(MATCH($G673,Lists!$B$2:$B$7,0)),"✖ المجموعة غير صحيحة",IF(NOT(OR($H673="",$N673&gt;0)),"✖ Start غير صحيح",IF(NOT(OR($I673="",$I673="NR",$O673&gt;0)),"✖ Current غير صحيح",IF(NOT(IF(ISNUMBER($J673),AND($J673&gt;=0,$J673=INT($J673)),FALSE())),"✖ العدد يجب أن يكون صحيحًا ≥ 0",IF(AND($F673="Baseline",$H673&lt;&gt;""),"⚠ Baseline: Start لا يدخل في التقدم",IF($K673="No Start (attainment only)","ℹ تحصيل فقط (بدون Start)",IF($K673="U – needs rule","ℹ حالة U تحتاج قاعدة معتمدة",IF($K673="No result","ℹ بدون نتيجة (يُستبعد من التحصيل)","OK")))))))))))</f>
        <v/>
      </c>
      <c r="M673" s="64" t="n">
        <f aca="false">IF($A673="",0,IFERROR(MATCH($A673,Classes!$A$6:$A$420,0),0))</f>
        <v>0</v>
      </c>
      <c r="N673" s="64" t="n">
        <f aca="false">IF($H673="",0,IFERROR(MATCH($H673,GradeList,0),0))</f>
        <v>0</v>
      </c>
      <c r="O673" s="64" t="n">
        <f aca="false">IF(OR($I673="",$I673="NR"),0,IFERROR(MATCH($I673,GradeList,0),0))</f>
        <v>0</v>
      </c>
      <c r="P673" s="64" t="n">
        <f aca="false">IF(AND($M673&gt;0,ISNUMBER(MATCH($F673,Lists!$A$2:$A$5,0)),ISNUMBER(MATCH($G673,Lists!$B$2:$B$7,0)),OR($H673="",$N673&gt;0),OR($I673="",$I673="NR",$O673&gt;0),IF(ISNUMBER($J673),AND($J673&gt;=0,$J673=INT($J673)),FALSE())),$J673,0)</f>
        <v>0</v>
      </c>
      <c r="Q673" s="64" t="n">
        <f aca="false">IF(AND($P673&gt;0,$O673&gt;0),$P673,0)</f>
        <v>0</v>
      </c>
      <c r="R673" s="64" t="n">
        <f aca="false">IF(AND($Q673&gt;0,$O673&gt;=AtRank),$Q673,0)</f>
        <v>0</v>
      </c>
      <c r="S673" s="64" t="n">
        <f aca="false">IF(AND($Q673&gt;0,$O673&gt;=AboveRank),$Q673,0)</f>
        <v>0</v>
      </c>
      <c r="T673" s="64" t="n">
        <f aca="false">IF($K673="Less",$P673,0)</f>
        <v>0</v>
      </c>
      <c r="U673" s="64" t="n">
        <f aca="false">IF($K673="Expected",$P673,0)</f>
        <v>0</v>
      </c>
      <c r="V673" s="64" t="n">
        <f aca="false">IF($K673="Better",$P673,0)</f>
        <v>0</v>
      </c>
      <c r="W673" s="64" t="n">
        <f aca="false">IF($K673="U – needs rule",$P673,0)</f>
        <v>0</v>
      </c>
      <c r="X673" s="64" t="n">
        <f aca="false">IF($K673="No Start (attainment only)",$P673,0)</f>
        <v>0</v>
      </c>
    </row>
    <row r="674" customFormat="false" ht="15" hidden="false" customHeight="false" outlineLevel="0" collapsed="false">
      <c r="A674" s="60"/>
      <c r="B674" s="61" t="str">
        <f aca="false">IF($M674=0,"",INDEX(Classes!$E$6:$E$420,$M674))</f>
        <v/>
      </c>
      <c r="C674" s="62" t="str">
        <f aca="false">IF($M674=0,"",INDEX(Classes!$H$6:$H$420,$M674))</f>
        <v/>
      </c>
      <c r="D674" s="61" t="str">
        <f aca="false">IF($M674=0,"",INDEX(Classes!$B$6:$B$420,$M674))</f>
        <v/>
      </c>
      <c r="E674" s="61" t="str">
        <f aca="false">IF($M674=0,"",INDEX(Classes!$C$6:$C$420,$M674))</f>
        <v/>
      </c>
      <c r="F674" s="63"/>
      <c r="G674" s="63"/>
      <c r="H674" s="60"/>
      <c r="I674" s="60"/>
      <c r="J674" s="63"/>
      <c r="K674" s="61" t="str">
        <f aca="false">IF($P674=0,"",IF($F674="Baseline","— Baseline",IF($O674=0,"No result",IF($N674=0,"No Start (attainment only)",IF(OR($N674=1,$O674=1),"U – needs rule",INDEX(MxBody,MATCH($I674,MxCurr,0),MATCH($H674,MxStart,0)))))))</f>
        <v/>
      </c>
      <c r="L674" s="62" t="str">
        <f aca="false">IF(COUNTA($A674,$F674,$G674,$H674,$I674,$J674)=0,"",IF($M674=0,"✖ كود الصف غير موجود",IF(ISNA(MATCH($F674,Lists!$A$2:$A$5,0)),"✖ الفترة غير صحيحة",IF(ISNA(MATCH($G674,Lists!$B$2:$B$7,0)),"✖ المجموعة غير صحيحة",IF(NOT(OR($H674="",$N674&gt;0)),"✖ Start غير صحيح",IF(NOT(OR($I674="",$I674="NR",$O674&gt;0)),"✖ Current غير صحيح",IF(NOT(IF(ISNUMBER($J674),AND($J674&gt;=0,$J674=INT($J674)),FALSE())),"✖ العدد يجب أن يكون صحيحًا ≥ 0",IF(AND($F674="Baseline",$H674&lt;&gt;""),"⚠ Baseline: Start لا يدخل في التقدم",IF($K674="No Start (attainment only)","ℹ تحصيل فقط (بدون Start)",IF($K674="U – needs rule","ℹ حالة U تحتاج قاعدة معتمدة",IF($K674="No result","ℹ بدون نتيجة (يُستبعد من التحصيل)","OK")))))))))))</f>
        <v/>
      </c>
      <c r="M674" s="64" t="n">
        <f aca="false">IF($A674="",0,IFERROR(MATCH($A674,Classes!$A$6:$A$420,0),0))</f>
        <v>0</v>
      </c>
      <c r="N674" s="64" t="n">
        <f aca="false">IF($H674="",0,IFERROR(MATCH($H674,GradeList,0),0))</f>
        <v>0</v>
      </c>
      <c r="O674" s="64" t="n">
        <f aca="false">IF(OR($I674="",$I674="NR"),0,IFERROR(MATCH($I674,GradeList,0),0))</f>
        <v>0</v>
      </c>
      <c r="P674" s="64" t="n">
        <f aca="false">IF(AND($M674&gt;0,ISNUMBER(MATCH($F674,Lists!$A$2:$A$5,0)),ISNUMBER(MATCH($G674,Lists!$B$2:$B$7,0)),OR($H674="",$N674&gt;0),OR($I674="",$I674="NR",$O674&gt;0),IF(ISNUMBER($J674),AND($J674&gt;=0,$J674=INT($J674)),FALSE())),$J674,0)</f>
        <v>0</v>
      </c>
      <c r="Q674" s="64" t="n">
        <f aca="false">IF(AND($P674&gt;0,$O674&gt;0),$P674,0)</f>
        <v>0</v>
      </c>
      <c r="R674" s="64" t="n">
        <f aca="false">IF(AND($Q674&gt;0,$O674&gt;=AtRank),$Q674,0)</f>
        <v>0</v>
      </c>
      <c r="S674" s="64" t="n">
        <f aca="false">IF(AND($Q674&gt;0,$O674&gt;=AboveRank),$Q674,0)</f>
        <v>0</v>
      </c>
      <c r="T674" s="64" t="n">
        <f aca="false">IF($K674="Less",$P674,0)</f>
        <v>0</v>
      </c>
      <c r="U674" s="64" t="n">
        <f aca="false">IF($K674="Expected",$P674,0)</f>
        <v>0</v>
      </c>
      <c r="V674" s="64" t="n">
        <f aca="false">IF($K674="Better",$P674,0)</f>
        <v>0</v>
      </c>
      <c r="W674" s="64" t="n">
        <f aca="false">IF($K674="U – needs rule",$P674,0)</f>
        <v>0</v>
      </c>
      <c r="X674" s="64" t="n">
        <f aca="false">IF($K674="No Start (attainment only)",$P674,0)</f>
        <v>0</v>
      </c>
    </row>
    <row r="675" customFormat="false" ht="15" hidden="false" customHeight="false" outlineLevel="0" collapsed="false">
      <c r="A675" s="60"/>
      <c r="B675" s="61" t="str">
        <f aca="false">IF($M675=0,"",INDEX(Classes!$E$6:$E$420,$M675))</f>
        <v/>
      </c>
      <c r="C675" s="62" t="str">
        <f aca="false">IF($M675=0,"",INDEX(Classes!$H$6:$H$420,$M675))</f>
        <v/>
      </c>
      <c r="D675" s="61" t="str">
        <f aca="false">IF($M675=0,"",INDEX(Classes!$B$6:$B$420,$M675))</f>
        <v/>
      </c>
      <c r="E675" s="61" t="str">
        <f aca="false">IF($M675=0,"",INDEX(Classes!$C$6:$C$420,$M675))</f>
        <v/>
      </c>
      <c r="F675" s="63"/>
      <c r="G675" s="63"/>
      <c r="H675" s="60"/>
      <c r="I675" s="60"/>
      <c r="J675" s="63"/>
      <c r="K675" s="61" t="str">
        <f aca="false">IF($P675=0,"",IF($F675="Baseline","— Baseline",IF($O675=0,"No result",IF($N675=0,"No Start (attainment only)",IF(OR($N675=1,$O675=1),"U – needs rule",INDEX(MxBody,MATCH($I675,MxCurr,0),MATCH($H675,MxStart,0)))))))</f>
        <v/>
      </c>
      <c r="L675" s="62" t="str">
        <f aca="false">IF(COUNTA($A675,$F675,$G675,$H675,$I675,$J675)=0,"",IF($M675=0,"✖ كود الصف غير موجود",IF(ISNA(MATCH($F675,Lists!$A$2:$A$5,0)),"✖ الفترة غير صحيحة",IF(ISNA(MATCH($G675,Lists!$B$2:$B$7,0)),"✖ المجموعة غير صحيحة",IF(NOT(OR($H675="",$N675&gt;0)),"✖ Start غير صحيح",IF(NOT(OR($I675="",$I675="NR",$O675&gt;0)),"✖ Current غير صحيح",IF(NOT(IF(ISNUMBER($J675),AND($J675&gt;=0,$J675=INT($J675)),FALSE())),"✖ العدد يجب أن يكون صحيحًا ≥ 0",IF(AND($F675="Baseline",$H675&lt;&gt;""),"⚠ Baseline: Start لا يدخل في التقدم",IF($K675="No Start (attainment only)","ℹ تحصيل فقط (بدون Start)",IF($K675="U – needs rule","ℹ حالة U تحتاج قاعدة معتمدة",IF($K675="No result","ℹ بدون نتيجة (يُستبعد من التحصيل)","OK")))))))))))</f>
        <v/>
      </c>
      <c r="M675" s="64" t="n">
        <f aca="false">IF($A675="",0,IFERROR(MATCH($A675,Classes!$A$6:$A$420,0),0))</f>
        <v>0</v>
      </c>
      <c r="N675" s="64" t="n">
        <f aca="false">IF($H675="",0,IFERROR(MATCH($H675,GradeList,0),0))</f>
        <v>0</v>
      </c>
      <c r="O675" s="64" t="n">
        <f aca="false">IF(OR($I675="",$I675="NR"),0,IFERROR(MATCH($I675,GradeList,0),0))</f>
        <v>0</v>
      </c>
      <c r="P675" s="64" t="n">
        <f aca="false">IF(AND($M675&gt;0,ISNUMBER(MATCH($F675,Lists!$A$2:$A$5,0)),ISNUMBER(MATCH($G675,Lists!$B$2:$B$7,0)),OR($H675="",$N675&gt;0),OR($I675="",$I675="NR",$O675&gt;0),IF(ISNUMBER($J675),AND($J675&gt;=0,$J675=INT($J675)),FALSE())),$J675,0)</f>
        <v>0</v>
      </c>
      <c r="Q675" s="64" t="n">
        <f aca="false">IF(AND($P675&gt;0,$O675&gt;0),$P675,0)</f>
        <v>0</v>
      </c>
      <c r="R675" s="64" t="n">
        <f aca="false">IF(AND($Q675&gt;0,$O675&gt;=AtRank),$Q675,0)</f>
        <v>0</v>
      </c>
      <c r="S675" s="64" t="n">
        <f aca="false">IF(AND($Q675&gt;0,$O675&gt;=AboveRank),$Q675,0)</f>
        <v>0</v>
      </c>
      <c r="T675" s="64" t="n">
        <f aca="false">IF($K675="Less",$P675,0)</f>
        <v>0</v>
      </c>
      <c r="U675" s="64" t="n">
        <f aca="false">IF($K675="Expected",$P675,0)</f>
        <v>0</v>
      </c>
      <c r="V675" s="64" t="n">
        <f aca="false">IF($K675="Better",$P675,0)</f>
        <v>0</v>
      </c>
      <c r="W675" s="64" t="n">
        <f aca="false">IF($K675="U – needs rule",$P675,0)</f>
        <v>0</v>
      </c>
      <c r="X675" s="64" t="n">
        <f aca="false">IF($K675="No Start (attainment only)",$P675,0)</f>
        <v>0</v>
      </c>
    </row>
    <row r="676" customFormat="false" ht="15" hidden="false" customHeight="false" outlineLevel="0" collapsed="false">
      <c r="A676" s="60"/>
      <c r="B676" s="61" t="str">
        <f aca="false">IF($M676=0,"",INDEX(Classes!$E$6:$E$420,$M676))</f>
        <v/>
      </c>
      <c r="C676" s="62" t="str">
        <f aca="false">IF($M676=0,"",INDEX(Classes!$H$6:$H$420,$M676))</f>
        <v/>
      </c>
      <c r="D676" s="61" t="str">
        <f aca="false">IF($M676=0,"",INDEX(Classes!$B$6:$B$420,$M676))</f>
        <v/>
      </c>
      <c r="E676" s="61" t="str">
        <f aca="false">IF($M676=0,"",INDEX(Classes!$C$6:$C$420,$M676))</f>
        <v/>
      </c>
      <c r="F676" s="63"/>
      <c r="G676" s="63"/>
      <c r="H676" s="60"/>
      <c r="I676" s="60"/>
      <c r="J676" s="63"/>
      <c r="K676" s="61" t="str">
        <f aca="false">IF($P676=0,"",IF($F676="Baseline","— Baseline",IF($O676=0,"No result",IF($N676=0,"No Start (attainment only)",IF(OR($N676=1,$O676=1),"U – needs rule",INDEX(MxBody,MATCH($I676,MxCurr,0),MATCH($H676,MxStart,0)))))))</f>
        <v/>
      </c>
      <c r="L676" s="62" t="str">
        <f aca="false">IF(COUNTA($A676,$F676,$G676,$H676,$I676,$J676)=0,"",IF($M676=0,"✖ كود الصف غير موجود",IF(ISNA(MATCH($F676,Lists!$A$2:$A$5,0)),"✖ الفترة غير صحيحة",IF(ISNA(MATCH($G676,Lists!$B$2:$B$7,0)),"✖ المجموعة غير صحيحة",IF(NOT(OR($H676="",$N676&gt;0)),"✖ Start غير صحيح",IF(NOT(OR($I676="",$I676="NR",$O676&gt;0)),"✖ Current غير صحيح",IF(NOT(IF(ISNUMBER($J676),AND($J676&gt;=0,$J676=INT($J676)),FALSE())),"✖ العدد يجب أن يكون صحيحًا ≥ 0",IF(AND($F676="Baseline",$H676&lt;&gt;""),"⚠ Baseline: Start لا يدخل في التقدم",IF($K676="No Start (attainment only)","ℹ تحصيل فقط (بدون Start)",IF($K676="U – needs rule","ℹ حالة U تحتاج قاعدة معتمدة",IF($K676="No result","ℹ بدون نتيجة (يُستبعد من التحصيل)","OK")))))))))))</f>
        <v/>
      </c>
      <c r="M676" s="64" t="n">
        <f aca="false">IF($A676="",0,IFERROR(MATCH($A676,Classes!$A$6:$A$420,0),0))</f>
        <v>0</v>
      </c>
      <c r="N676" s="64" t="n">
        <f aca="false">IF($H676="",0,IFERROR(MATCH($H676,GradeList,0),0))</f>
        <v>0</v>
      </c>
      <c r="O676" s="64" t="n">
        <f aca="false">IF(OR($I676="",$I676="NR"),0,IFERROR(MATCH($I676,GradeList,0),0))</f>
        <v>0</v>
      </c>
      <c r="P676" s="64" t="n">
        <f aca="false">IF(AND($M676&gt;0,ISNUMBER(MATCH($F676,Lists!$A$2:$A$5,0)),ISNUMBER(MATCH($G676,Lists!$B$2:$B$7,0)),OR($H676="",$N676&gt;0),OR($I676="",$I676="NR",$O676&gt;0),IF(ISNUMBER($J676),AND($J676&gt;=0,$J676=INT($J676)),FALSE())),$J676,0)</f>
        <v>0</v>
      </c>
      <c r="Q676" s="64" t="n">
        <f aca="false">IF(AND($P676&gt;0,$O676&gt;0),$P676,0)</f>
        <v>0</v>
      </c>
      <c r="R676" s="64" t="n">
        <f aca="false">IF(AND($Q676&gt;0,$O676&gt;=AtRank),$Q676,0)</f>
        <v>0</v>
      </c>
      <c r="S676" s="64" t="n">
        <f aca="false">IF(AND($Q676&gt;0,$O676&gt;=AboveRank),$Q676,0)</f>
        <v>0</v>
      </c>
      <c r="T676" s="64" t="n">
        <f aca="false">IF($K676="Less",$P676,0)</f>
        <v>0</v>
      </c>
      <c r="U676" s="64" t="n">
        <f aca="false">IF($K676="Expected",$P676,0)</f>
        <v>0</v>
      </c>
      <c r="V676" s="64" t="n">
        <f aca="false">IF($K676="Better",$P676,0)</f>
        <v>0</v>
      </c>
      <c r="W676" s="64" t="n">
        <f aca="false">IF($K676="U – needs rule",$P676,0)</f>
        <v>0</v>
      </c>
      <c r="X676" s="64" t="n">
        <f aca="false">IF($K676="No Start (attainment only)",$P676,0)</f>
        <v>0</v>
      </c>
    </row>
    <row r="677" customFormat="false" ht="15" hidden="false" customHeight="false" outlineLevel="0" collapsed="false">
      <c r="A677" s="60"/>
      <c r="B677" s="61" t="str">
        <f aca="false">IF($M677=0,"",INDEX(Classes!$E$6:$E$420,$M677))</f>
        <v/>
      </c>
      <c r="C677" s="62" t="str">
        <f aca="false">IF($M677=0,"",INDEX(Classes!$H$6:$H$420,$M677))</f>
        <v/>
      </c>
      <c r="D677" s="61" t="str">
        <f aca="false">IF($M677=0,"",INDEX(Classes!$B$6:$B$420,$M677))</f>
        <v/>
      </c>
      <c r="E677" s="61" t="str">
        <f aca="false">IF($M677=0,"",INDEX(Classes!$C$6:$C$420,$M677))</f>
        <v/>
      </c>
      <c r="F677" s="63"/>
      <c r="G677" s="63"/>
      <c r="H677" s="60"/>
      <c r="I677" s="60"/>
      <c r="J677" s="63"/>
      <c r="K677" s="61" t="str">
        <f aca="false">IF($P677=0,"",IF($F677="Baseline","— Baseline",IF($O677=0,"No result",IF($N677=0,"No Start (attainment only)",IF(OR($N677=1,$O677=1),"U – needs rule",INDEX(MxBody,MATCH($I677,MxCurr,0),MATCH($H677,MxStart,0)))))))</f>
        <v/>
      </c>
      <c r="L677" s="62" t="str">
        <f aca="false">IF(COUNTA($A677,$F677,$G677,$H677,$I677,$J677)=0,"",IF($M677=0,"✖ كود الصف غير موجود",IF(ISNA(MATCH($F677,Lists!$A$2:$A$5,0)),"✖ الفترة غير صحيحة",IF(ISNA(MATCH($G677,Lists!$B$2:$B$7,0)),"✖ المجموعة غير صحيحة",IF(NOT(OR($H677="",$N677&gt;0)),"✖ Start غير صحيح",IF(NOT(OR($I677="",$I677="NR",$O677&gt;0)),"✖ Current غير صحيح",IF(NOT(IF(ISNUMBER($J677),AND($J677&gt;=0,$J677=INT($J677)),FALSE())),"✖ العدد يجب أن يكون صحيحًا ≥ 0",IF(AND($F677="Baseline",$H677&lt;&gt;""),"⚠ Baseline: Start لا يدخل في التقدم",IF($K677="No Start (attainment only)","ℹ تحصيل فقط (بدون Start)",IF($K677="U – needs rule","ℹ حالة U تحتاج قاعدة معتمدة",IF($K677="No result","ℹ بدون نتيجة (يُستبعد من التحصيل)","OK")))))))))))</f>
        <v/>
      </c>
      <c r="M677" s="64" t="n">
        <f aca="false">IF($A677="",0,IFERROR(MATCH($A677,Classes!$A$6:$A$420,0),0))</f>
        <v>0</v>
      </c>
      <c r="N677" s="64" t="n">
        <f aca="false">IF($H677="",0,IFERROR(MATCH($H677,GradeList,0),0))</f>
        <v>0</v>
      </c>
      <c r="O677" s="64" t="n">
        <f aca="false">IF(OR($I677="",$I677="NR"),0,IFERROR(MATCH($I677,GradeList,0),0))</f>
        <v>0</v>
      </c>
      <c r="P677" s="64" t="n">
        <f aca="false">IF(AND($M677&gt;0,ISNUMBER(MATCH($F677,Lists!$A$2:$A$5,0)),ISNUMBER(MATCH($G677,Lists!$B$2:$B$7,0)),OR($H677="",$N677&gt;0),OR($I677="",$I677="NR",$O677&gt;0),IF(ISNUMBER($J677),AND($J677&gt;=0,$J677=INT($J677)),FALSE())),$J677,0)</f>
        <v>0</v>
      </c>
      <c r="Q677" s="64" t="n">
        <f aca="false">IF(AND($P677&gt;0,$O677&gt;0),$P677,0)</f>
        <v>0</v>
      </c>
      <c r="R677" s="64" t="n">
        <f aca="false">IF(AND($Q677&gt;0,$O677&gt;=AtRank),$Q677,0)</f>
        <v>0</v>
      </c>
      <c r="S677" s="64" t="n">
        <f aca="false">IF(AND($Q677&gt;0,$O677&gt;=AboveRank),$Q677,0)</f>
        <v>0</v>
      </c>
      <c r="T677" s="64" t="n">
        <f aca="false">IF($K677="Less",$P677,0)</f>
        <v>0</v>
      </c>
      <c r="U677" s="64" t="n">
        <f aca="false">IF($K677="Expected",$P677,0)</f>
        <v>0</v>
      </c>
      <c r="V677" s="64" t="n">
        <f aca="false">IF($K677="Better",$P677,0)</f>
        <v>0</v>
      </c>
      <c r="W677" s="64" t="n">
        <f aca="false">IF($K677="U – needs rule",$P677,0)</f>
        <v>0</v>
      </c>
      <c r="X677" s="64" t="n">
        <f aca="false">IF($K677="No Start (attainment only)",$P677,0)</f>
        <v>0</v>
      </c>
    </row>
    <row r="678" customFormat="false" ht="15" hidden="false" customHeight="false" outlineLevel="0" collapsed="false">
      <c r="A678" s="60"/>
      <c r="B678" s="61" t="str">
        <f aca="false">IF($M678=0,"",INDEX(Classes!$E$6:$E$420,$M678))</f>
        <v/>
      </c>
      <c r="C678" s="62" t="str">
        <f aca="false">IF($M678=0,"",INDEX(Classes!$H$6:$H$420,$M678))</f>
        <v/>
      </c>
      <c r="D678" s="61" t="str">
        <f aca="false">IF($M678=0,"",INDEX(Classes!$B$6:$B$420,$M678))</f>
        <v/>
      </c>
      <c r="E678" s="61" t="str">
        <f aca="false">IF($M678=0,"",INDEX(Classes!$C$6:$C$420,$M678))</f>
        <v/>
      </c>
      <c r="F678" s="63"/>
      <c r="G678" s="63"/>
      <c r="H678" s="60"/>
      <c r="I678" s="60"/>
      <c r="J678" s="63"/>
      <c r="K678" s="61" t="str">
        <f aca="false">IF($P678=0,"",IF($F678="Baseline","— Baseline",IF($O678=0,"No result",IF($N678=0,"No Start (attainment only)",IF(OR($N678=1,$O678=1),"U – needs rule",INDEX(MxBody,MATCH($I678,MxCurr,0),MATCH($H678,MxStart,0)))))))</f>
        <v/>
      </c>
      <c r="L678" s="62" t="str">
        <f aca="false">IF(COUNTA($A678,$F678,$G678,$H678,$I678,$J678)=0,"",IF($M678=0,"✖ كود الصف غير موجود",IF(ISNA(MATCH($F678,Lists!$A$2:$A$5,0)),"✖ الفترة غير صحيحة",IF(ISNA(MATCH($G678,Lists!$B$2:$B$7,0)),"✖ المجموعة غير صحيحة",IF(NOT(OR($H678="",$N678&gt;0)),"✖ Start غير صحيح",IF(NOT(OR($I678="",$I678="NR",$O678&gt;0)),"✖ Current غير صحيح",IF(NOT(IF(ISNUMBER($J678),AND($J678&gt;=0,$J678=INT($J678)),FALSE())),"✖ العدد يجب أن يكون صحيحًا ≥ 0",IF(AND($F678="Baseline",$H678&lt;&gt;""),"⚠ Baseline: Start لا يدخل في التقدم",IF($K678="No Start (attainment only)","ℹ تحصيل فقط (بدون Start)",IF($K678="U – needs rule","ℹ حالة U تحتاج قاعدة معتمدة",IF($K678="No result","ℹ بدون نتيجة (يُستبعد من التحصيل)","OK")))))))))))</f>
        <v/>
      </c>
      <c r="M678" s="64" t="n">
        <f aca="false">IF($A678="",0,IFERROR(MATCH($A678,Classes!$A$6:$A$420,0),0))</f>
        <v>0</v>
      </c>
      <c r="N678" s="64" t="n">
        <f aca="false">IF($H678="",0,IFERROR(MATCH($H678,GradeList,0),0))</f>
        <v>0</v>
      </c>
      <c r="O678" s="64" t="n">
        <f aca="false">IF(OR($I678="",$I678="NR"),0,IFERROR(MATCH($I678,GradeList,0),0))</f>
        <v>0</v>
      </c>
      <c r="P678" s="64" t="n">
        <f aca="false">IF(AND($M678&gt;0,ISNUMBER(MATCH($F678,Lists!$A$2:$A$5,0)),ISNUMBER(MATCH($G678,Lists!$B$2:$B$7,0)),OR($H678="",$N678&gt;0),OR($I678="",$I678="NR",$O678&gt;0),IF(ISNUMBER($J678),AND($J678&gt;=0,$J678=INT($J678)),FALSE())),$J678,0)</f>
        <v>0</v>
      </c>
      <c r="Q678" s="64" t="n">
        <f aca="false">IF(AND($P678&gt;0,$O678&gt;0),$P678,0)</f>
        <v>0</v>
      </c>
      <c r="R678" s="64" t="n">
        <f aca="false">IF(AND($Q678&gt;0,$O678&gt;=AtRank),$Q678,0)</f>
        <v>0</v>
      </c>
      <c r="S678" s="64" t="n">
        <f aca="false">IF(AND($Q678&gt;0,$O678&gt;=AboveRank),$Q678,0)</f>
        <v>0</v>
      </c>
      <c r="T678" s="64" t="n">
        <f aca="false">IF($K678="Less",$P678,0)</f>
        <v>0</v>
      </c>
      <c r="U678" s="64" t="n">
        <f aca="false">IF($K678="Expected",$P678,0)</f>
        <v>0</v>
      </c>
      <c r="V678" s="64" t="n">
        <f aca="false">IF($K678="Better",$P678,0)</f>
        <v>0</v>
      </c>
      <c r="W678" s="64" t="n">
        <f aca="false">IF($K678="U – needs rule",$P678,0)</f>
        <v>0</v>
      </c>
      <c r="X678" s="64" t="n">
        <f aca="false">IF($K678="No Start (attainment only)",$P678,0)</f>
        <v>0</v>
      </c>
    </row>
    <row r="679" customFormat="false" ht="15" hidden="false" customHeight="false" outlineLevel="0" collapsed="false">
      <c r="A679" s="60"/>
      <c r="B679" s="61" t="str">
        <f aca="false">IF($M679=0,"",INDEX(Classes!$E$6:$E$420,$M679))</f>
        <v/>
      </c>
      <c r="C679" s="62" t="str">
        <f aca="false">IF($M679=0,"",INDEX(Classes!$H$6:$H$420,$M679))</f>
        <v/>
      </c>
      <c r="D679" s="61" t="str">
        <f aca="false">IF($M679=0,"",INDEX(Classes!$B$6:$B$420,$M679))</f>
        <v/>
      </c>
      <c r="E679" s="61" t="str">
        <f aca="false">IF($M679=0,"",INDEX(Classes!$C$6:$C$420,$M679))</f>
        <v/>
      </c>
      <c r="F679" s="63"/>
      <c r="G679" s="63"/>
      <c r="H679" s="60"/>
      <c r="I679" s="60"/>
      <c r="J679" s="63"/>
      <c r="K679" s="61" t="str">
        <f aca="false">IF($P679=0,"",IF($F679="Baseline","— Baseline",IF($O679=0,"No result",IF($N679=0,"No Start (attainment only)",IF(OR($N679=1,$O679=1),"U – needs rule",INDEX(MxBody,MATCH($I679,MxCurr,0),MATCH($H679,MxStart,0)))))))</f>
        <v/>
      </c>
      <c r="L679" s="62" t="str">
        <f aca="false">IF(COUNTA($A679,$F679,$G679,$H679,$I679,$J679)=0,"",IF($M679=0,"✖ كود الصف غير موجود",IF(ISNA(MATCH($F679,Lists!$A$2:$A$5,0)),"✖ الفترة غير صحيحة",IF(ISNA(MATCH($G679,Lists!$B$2:$B$7,0)),"✖ المجموعة غير صحيحة",IF(NOT(OR($H679="",$N679&gt;0)),"✖ Start غير صحيح",IF(NOT(OR($I679="",$I679="NR",$O679&gt;0)),"✖ Current غير صحيح",IF(NOT(IF(ISNUMBER($J679),AND($J679&gt;=0,$J679=INT($J679)),FALSE())),"✖ العدد يجب أن يكون صحيحًا ≥ 0",IF(AND($F679="Baseline",$H679&lt;&gt;""),"⚠ Baseline: Start لا يدخل في التقدم",IF($K679="No Start (attainment only)","ℹ تحصيل فقط (بدون Start)",IF($K679="U – needs rule","ℹ حالة U تحتاج قاعدة معتمدة",IF($K679="No result","ℹ بدون نتيجة (يُستبعد من التحصيل)","OK")))))))))))</f>
        <v/>
      </c>
      <c r="M679" s="64" t="n">
        <f aca="false">IF($A679="",0,IFERROR(MATCH($A679,Classes!$A$6:$A$420,0),0))</f>
        <v>0</v>
      </c>
      <c r="N679" s="64" t="n">
        <f aca="false">IF($H679="",0,IFERROR(MATCH($H679,GradeList,0),0))</f>
        <v>0</v>
      </c>
      <c r="O679" s="64" t="n">
        <f aca="false">IF(OR($I679="",$I679="NR"),0,IFERROR(MATCH($I679,GradeList,0),0))</f>
        <v>0</v>
      </c>
      <c r="P679" s="64" t="n">
        <f aca="false">IF(AND($M679&gt;0,ISNUMBER(MATCH($F679,Lists!$A$2:$A$5,0)),ISNUMBER(MATCH($G679,Lists!$B$2:$B$7,0)),OR($H679="",$N679&gt;0),OR($I679="",$I679="NR",$O679&gt;0),IF(ISNUMBER($J679),AND($J679&gt;=0,$J679=INT($J679)),FALSE())),$J679,0)</f>
        <v>0</v>
      </c>
      <c r="Q679" s="64" t="n">
        <f aca="false">IF(AND($P679&gt;0,$O679&gt;0),$P679,0)</f>
        <v>0</v>
      </c>
      <c r="R679" s="64" t="n">
        <f aca="false">IF(AND($Q679&gt;0,$O679&gt;=AtRank),$Q679,0)</f>
        <v>0</v>
      </c>
      <c r="S679" s="64" t="n">
        <f aca="false">IF(AND($Q679&gt;0,$O679&gt;=AboveRank),$Q679,0)</f>
        <v>0</v>
      </c>
      <c r="T679" s="64" t="n">
        <f aca="false">IF($K679="Less",$P679,0)</f>
        <v>0</v>
      </c>
      <c r="U679" s="64" t="n">
        <f aca="false">IF($K679="Expected",$P679,0)</f>
        <v>0</v>
      </c>
      <c r="V679" s="64" t="n">
        <f aca="false">IF($K679="Better",$P679,0)</f>
        <v>0</v>
      </c>
      <c r="W679" s="64" t="n">
        <f aca="false">IF($K679="U – needs rule",$P679,0)</f>
        <v>0</v>
      </c>
      <c r="X679" s="64" t="n">
        <f aca="false">IF($K679="No Start (attainment only)",$P679,0)</f>
        <v>0</v>
      </c>
    </row>
    <row r="680" customFormat="false" ht="15" hidden="false" customHeight="false" outlineLevel="0" collapsed="false">
      <c r="A680" s="60"/>
      <c r="B680" s="61" t="str">
        <f aca="false">IF($M680=0,"",INDEX(Classes!$E$6:$E$420,$M680))</f>
        <v/>
      </c>
      <c r="C680" s="62" t="str">
        <f aca="false">IF($M680=0,"",INDEX(Classes!$H$6:$H$420,$M680))</f>
        <v/>
      </c>
      <c r="D680" s="61" t="str">
        <f aca="false">IF($M680=0,"",INDEX(Classes!$B$6:$B$420,$M680))</f>
        <v/>
      </c>
      <c r="E680" s="61" t="str">
        <f aca="false">IF($M680=0,"",INDEX(Classes!$C$6:$C$420,$M680))</f>
        <v/>
      </c>
      <c r="F680" s="63"/>
      <c r="G680" s="63"/>
      <c r="H680" s="60"/>
      <c r="I680" s="60"/>
      <c r="J680" s="63"/>
      <c r="K680" s="61" t="str">
        <f aca="false">IF($P680=0,"",IF($F680="Baseline","— Baseline",IF($O680=0,"No result",IF($N680=0,"No Start (attainment only)",IF(OR($N680=1,$O680=1),"U – needs rule",INDEX(MxBody,MATCH($I680,MxCurr,0),MATCH($H680,MxStart,0)))))))</f>
        <v/>
      </c>
      <c r="L680" s="62" t="str">
        <f aca="false">IF(COUNTA($A680,$F680,$G680,$H680,$I680,$J680)=0,"",IF($M680=0,"✖ كود الصف غير موجود",IF(ISNA(MATCH($F680,Lists!$A$2:$A$5,0)),"✖ الفترة غير صحيحة",IF(ISNA(MATCH($G680,Lists!$B$2:$B$7,0)),"✖ المجموعة غير صحيحة",IF(NOT(OR($H680="",$N680&gt;0)),"✖ Start غير صحيح",IF(NOT(OR($I680="",$I680="NR",$O680&gt;0)),"✖ Current غير صحيح",IF(NOT(IF(ISNUMBER($J680),AND($J680&gt;=0,$J680=INT($J680)),FALSE())),"✖ العدد يجب أن يكون صحيحًا ≥ 0",IF(AND($F680="Baseline",$H680&lt;&gt;""),"⚠ Baseline: Start لا يدخل في التقدم",IF($K680="No Start (attainment only)","ℹ تحصيل فقط (بدون Start)",IF($K680="U – needs rule","ℹ حالة U تحتاج قاعدة معتمدة",IF($K680="No result","ℹ بدون نتيجة (يُستبعد من التحصيل)","OK")))))))))))</f>
        <v/>
      </c>
      <c r="M680" s="64" t="n">
        <f aca="false">IF($A680="",0,IFERROR(MATCH($A680,Classes!$A$6:$A$420,0),0))</f>
        <v>0</v>
      </c>
      <c r="N680" s="64" t="n">
        <f aca="false">IF($H680="",0,IFERROR(MATCH($H680,GradeList,0),0))</f>
        <v>0</v>
      </c>
      <c r="O680" s="64" t="n">
        <f aca="false">IF(OR($I680="",$I680="NR"),0,IFERROR(MATCH($I680,GradeList,0),0))</f>
        <v>0</v>
      </c>
      <c r="P680" s="64" t="n">
        <f aca="false">IF(AND($M680&gt;0,ISNUMBER(MATCH($F680,Lists!$A$2:$A$5,0)),ISNUMBER(MATCH($G680,Lists!$B$2:$B$7,0)),OR($H680="",$N680&gt;0),OR($I680="",$I680="NR",$O680&gt;0),IF(ISNUMBER($J680),AND($J680&gt;=0,$J680=INT($J680)),FALSE())),$J680,0)</f>
        <v>0</v>
      </c>
      <c r="Q680" s="64" t="n">
        <f aca="false">IF(AND($P680&gt;0,$O680&gt;0),$P680,0)</f>
        <v>0</v>
      </c>
      <c r="R680" s="64" t="n">
        <f aca="false">IF(AND($Q680&gt;0,$O680&gt;=AtRank),$Q680,0)</f>
        <v>0</v>
      </c>
      <c r="S680" s="64" t="n">
        <f aca="false">IF(AND($Q680&gt;0,$O680&gt;=AboveRank),$Q680,0)</f>
        <v>0</v>
      </c>
      <c r="T680" s="64" t="n">
        <f aca="false">IF($K680="Less",$P680,0)</f>
        <v>0</v>
      </c>
      <c r="U680" s="64" t="n">
        <f aca="false">IF($K680="Expected",$P680,0)</f>
        <v>0</v>
      </c>
      <c r="V680" s="64" t="n">
        <f aca="false">IF($K680="Better",$P680,0)</f>
        <v>0</v>
      </c>
      <c r="W680" s="64" t="n">
        <f aca="false">IF($K680="U – needs rule",$P680,0)</f>
        <v>0</v>
      </c>
      <c r="X680" s="64" t="n">
        <f aca="false">IF($K680="No Start (attainment only)",$P680,0)</f>
        <v>0</v>
      </c>
    </row>
    <row r="681" customFormat="false" ht="15" hidden="false" customHeight="false" outlineLevel="0" collapsed="false">
      <c r="A681" s="60"/>
      <c r="B681" s="61" t="str">
        <f aca="false">IF($M681=0,"",INDEX(Classes!$E$6:$E$420,$M681))</f>
        <v/>
      </c>
      <c r="C681" s="62" t="str">
        <f aca="false">IF($M681=0,"",INDEX(Classes!$H$6:$H$420,$M681))</f>
        <v/>
      </c>
      <c r="D681" s="61" t="str">
        <f aca="false">IF($M681=0,"",INDEX(Classes!$B$6:$B$420,$M681))</f>
        <v/>
      </c>
      <c r="E681" s="61" t="str">
        <f aca="false">IF($M681=0,"",INDEX(Classes!$C$6:$C$420,$M681))</f>
        <v/>
      </c>
      <c r="F681" s="63"/>
      <c r="G681" s="63"/>
      <c r="H681" s="60"/>
      <c r="I681" s="60"/>
      <c r="J681" s="63"/>
      <c r="K681" s="61" t="str">
        <f aca="false">IF($P681=0,"",IF($F681="Baseline","— Baseline",IF($O681=0,"No result",IF($N681=0,"No Start (attainment only)",IF(OR($N681=1,$O681=1),"U – needs rule",INDEX(MxBody,MATCH($I681,MxCurr,0),MATCH($H681,MxStart,0)))))))</f>
        <v/>
      </c>
      <c r="L681" s="62" t="str">
        <f aca="false">IF(COUNTA($A681,$F681,$G681,$H681,$I681,$J681)=0,"",IF($M681=0,"✖ كود الصف غير موجود",IF(ISNA(MATCH($F681,Lists!$A$2:$A$5,0)),"✖ الفترة غير صحيحة",IF(ISNA(MATCH($G681,Lists!$B$2:$B$7,0)),"✖ المجموعة غير صحيحة",IF(NOT(OR($H681="",$N681&gt;0)),"✖ Start غير صحيح",IF(NOT(OR($I681="",$I681="NR",$O681&gt;0)),"✖ Current غير صحيح",IF(NOT(IF(ISNUMBER($J681),AND($J681&gt;=0,$J681=INT($J681)),FALSE())),"✖ العدد يجب أن يكون صحيحًا ≥ 0",IF(AND($F681="Baseline",$H681&lt;&gt;""),"⚠ Baseline: Start لا يدخل في التقدم",IF($K681="No Start (attainment only)","ℹ تحصيل فقط (بدون Start)",IF($K681="U – needs rule","ℹ حالة U تحتاج قاعدة معتمدة",IF($K681="No result","ℹ بدون نتيجة (يُستبعد من التحصيل)","OK")))))))))))</f>
        <v/>
      </c>
      <c r="M681" s="64" t="n">
        <f aca="false">IF($A681="",0,IFERROR(MATCH($A681,Classes!$A$6:$A$420,0),0))</f>
        <v>0</v>
      </c>
      <c r="N681" s="64" t="n">
        <f aca="false">IF($H681="",0,IFERROR(MATCH($H681,GradeList,0),0))</f>
        <v>0</v>
      </c>
      <c r="O681" s="64" t="n">
        <f aca="false">IF(OR($I681="",$I681="NR"),0,IFERROR(MATCH($I681,GradeList,0),0))</f>
        <v>0</v>
      </c>
      <c r="P681" s="64" t="n">
        <f aca="false">IF(AND($M681&gt;0,ISNUMBER(MATCH($F681,Lists!$A$2:$A$5,0)),ISNUMBER(MATCH($G681,Lists!$B$2:$B$7,0)),OR($H681="",$N681&gt;0),OR($I681="",$I681="NR",$O681&gt;0),IF(ISNUMBER($J681),AND($J681&gt;=0,$J681=INT($J681)),FALSE())),$J681,0)</f>
        <v>0</v>
      </c>
      <c r="Q681" s="64" t="n">
        <f aca="false">IF(AND($P681&gt;0,$O681&gt;0),$P681,0)</f>
        <v>0</v>
      </c>
      <c r="R681" s="64" t="n">
        <f aca="false">IF(AND($Q681&gt;0,$O681&gt;=AtRank),$Q681,0)</f>
        <v>0</v>
      </c>
      <c r="S681" s="64" t="n">
        <f aca="false">IF(AND($Q681&gt;0,$O681&gt;=AboveRank),$Q681,0)</f>
        <v>0</v>
      </c>
      <c r="T681" s="64" t="n">
        <f aca="false">IF($K681="Less",$P681,0)</f>
        <v>0</v>
      </c>
      <c r="U681" s="64" t="n">
        <f aca="false">IF($K681="Expected",$P681,0)</f>
        <v>0</v>
      </c>
      <c r="V681" s="64" t="n">
        <f aca="false">IF($K681="Better",$P681,0)</f>
        <v>0</v>
      </c>
      <c r="W681" s="64" t="n">
        <f aca="false">IF($K681="U – needs rule",$P681,0)</f>
        <v>0</v>
      </c>
      <c r="X681" s="64" t="n">
        <f aca="false">IF($K681="No Start (attainment only)",$P681,0)</f>
        <v>0</v>
      </c>
    </row>
    <row r="682" customFormat="false" ht="15" hidden="false" customHeight="false" outlineLevel="0" collapsed="false">
      <c r="A682" s="60"/>
      <c r="B682" s="61" t="str">
        <f aca="false">IF($M682=0,"",INDEX(Classes!$E$6:$E$420,$M682))</f>
        <v/>
      </c>
      <c r="C682" s="62" t="str">
        <f aca="false">IF($M682=0,"",INDEX(Classes!$H$6:$H$420,$M682))</f>
        <v/>
      </c>
      <c r="D682" s="61" t="str">
        <f aca="false">IF($M682=0,"",INDEX(Classes!$B$6:$B$420,$M682))</f>
        <v/>
      </c>
      <c r="E682" s="61" t="str">
        <f aca="false">IF($M682=0,"",INDEX(Classes!$C$6:$C$420,$M682))</f>
        <v/>
      </c>
      <c r="F682" s="63"/>
      <c r="G682" s="63"/>
      <c r="H682" s="60"/>
      <c r="I682" s="60"/>
      <c r="J682" s="63"/>
      <c r="K682" s="61" t="str">
        <f aca="false">IF($P682=0,"",IF($F682="Baseline","— Baseline",IF($O682=0,"No result",IF($N682=0,"No Start (attainment only)",IF(OR($N682=1,$O682=1),"U – needs rule",INDEX(MxBody,MATCH($I682,MxCurr,0),MATCH($H682,MxStart,0)))))))</f>
        <v/>
      </c>
      <c r="L682" s="62" t="str">
        <f aca="false">IF(COUNTA($A682,$F682,$G682,$H682,$I682,$J682)=0,"",IF($M682=0,"✖ كود الصف غير موجود",IF(ISNA(MATCH($F682,Lists!$A$2:$A$5,0)),"✖ الفترة غير صحيحة",IF(ISNA(MATCH($G682,Lists!$B$2:$B$7,0)),"✖ المجموعة غير صحيحة",IF(NOT(OR($H682="",$N682&gt;0)),"✖ Start غير صحيح",IF(NOT(OR($I682="",$I682="NR",$O682&gt;0)),"✖ Current غير صحيح",IF(NOT(IF(ISNUMBER($J682),AND($J682&gt;=0,$J682=INT($J682)),FALSE())),"✖ العدد يجب أن يكون صحيحًا ≥ 0",IF(AND($F682="Baseline",$H682&lt;&gt;""),"⚠ Baseline: Start لا يدخل في التقدم",IF($K682="No Start (attainment only)","ℹ تحصيل فقط (بدون Start)",IF($K682="U – needs rule","ℹ حالة U تحتاج قاعدة معتمدة",IF($K682="No result","ℹ بدون نتيجة (يُستبعد من التحصيل)","OK")))))))))))</f>
        <v/>
      </c>
      <c r="M682" s="64" t="n">
        <f aca="false">IF($A682="",0,IFERROR(MATCH($A682,Classes!$A$6:$A$420,0),0))</f>
        <v>0</v>
      </c>
      <c r="N682" s="64" t="n">
        <f aca="false">IF($H682="",0,IFERROR(MATCH($H682,GradeList,0),0))</f>
        <v>0</v>
      </c>
      <c r="O682" s="64" t="n">
        <f aca="false">IF(OR($I682="",$I682="NR"),0,IFERROR(MATCH($I682,GradeList,0),0))</f>
        <v>0</v>
      </c>
      <c r="P682" s="64" t="n">
        <f aca="false">IF(AND($M682&gt;0,ISNUMBER(MATCH($F682,Lists!$A$2:$A$5,0)),ISNUMBER(MATCH($G682,Lists!$B$2:$B$7,0)),OR($H682="",$N682&gt;0),OR($I682="",$I682="NR",$O682&gt;0),IF(ISNUMBER($J682),AND($J682&gt;=0,$J682=INT($J682)),FALSE())),$J682,0)</f>
        <v>0</v>
      </c>
      <c r="Q682" s="64" t="n">
        <f aca="false">IF(AND($P682&gt;0,$O682&gt;0),$P682,0)</f>
        <v>0</v>
      </c>
      <c r="R682" s="64" t="n">
        <f aca="false">IF(AND($Q682&gt;0,$O682&gt;=AtRank),$Q682,0)</f>
        <v>0</v>
      </c>
      <c r="S682" s="64" t="n">
        <f aca="false">IF(AND($Q682&gt;0,$O682&gt;=AboveRank),$Q682,0)</f>
        <v>0</v>
      </c>
      <c r="T682" s="64" t="n">
        <f aca="false">IF($K682="Less",$P682,0)</f>
        <v>0</v>
      </c>
      <c r="U682" s="64" t="n">
        <f aca="false">IF($K682="Expected",$P682,0)</f>
        <v>0</v>
      </c>
      <c r="V682" s="64" t="n">
        <f aca="false">IF($K682="Better",$P682,0)</f>
        <v>0</v>
      </c>
      <c r="W682" s="64" t="n">
        <f aca="false">IF($K682="U – needs rule",$P682,0)</f>
        <v>0</v>
      </c>
      <c r="X682" s="64" t="n">
        <f aca="false">IF($K682="No Start (attainment only)",$P682,0)</f>
        <v>0</v>
      </c>
    </row>
    <row r="683" customFormat="false" ht="15" hidden="false" customHeight="false" outlineLevel="0" collapsed="false">
      <c r="A683" s="60"/>
      <c r="B683" s="61" t="str">
        <f aca="false">IF($M683=0,"",INDEX(Classes!$E$6:$E$420,$M683))</f>
        <v/>
      </c>
      <c r="C683" s="62" t="str">
        <f aca="false">IF($M683=0,"",INDEX(Classes!$H$6:$H$420,$M683))</f>
        <v/>
      </c>
      <c r="D683" s="61" t="str">
        <f aca="false">IF($M683=0,"",INDEX(Classes!$B$6:$B$420,$M683))</f>
        <v/>
      </c>
      <c r="E683" s="61" t="str">
        <f aca="false">IF($M683=0,"",INDEX(Classes!$C$6:$C$420,$M683))</f>
        <v/>
      </c>
      <c r="F683" s="63"/>
      <c r="G683" s="63"/>
      <c r="H683" s="60"/>
      <c r="I683" s="60"/>
      <c r="J683" s="63"/>
      <c r="K683" s="61" t="str">
        <f aca="false">IF($P683=0,"",IF($F683="Baseline","— Baseline",IF($O683=0,"No result",IF($N683=0,"No Start (attainment only)",IF(OR($N683=1,$O683=1),"U – needs rule",INDEX(MxBody,MATCH($I683,MxCurr,0),MATCH($H683,MxStart,0)))))))</f>
        <v/>
      </c>
      <c r="L683" s="62" t="str">
        <f aca="false">IF(COUNTA($A683,$F683,$G683,$H683,$I683,$J683)=0,"",IF($M683=0,"✖ كود الصف غير موجود",IF(ISNA(MATCH($F683,Lists!$A$2:$A$5,0)),"✖ الفترة غير صحيحة",IF(ISNA(MATCH($G683,Lists!$B$2:$B$7,0)),"✖ المجموعة غير صحيحة",IF(NOT(OR($H683="",$N683&gt;0)),"✖ Start غير صحيح",IF(NOT(OR($I683="",$I683="NR",$O683&gt;0)),"✖ Current غير صحيح",IF(NOT(IF(ISNUMBER($J683),AND($J683&gt;=0,$J683=INT($J683)),FALSE())),"✖ العدد يجب أن يكون صحيحًا ≥ 0",IF(AND($F683="Baseline",$H683&lt;&gt;""),"⚠ Baseline: Start لا يدخل في التقدم",IF($K683="No Start (attainment only)","ℹ تحصيل فقط (بدون Start)",IF($K683="U – needs rule","ℹ حالة U تحتاج قاعدة معتمدة",IF($K683="No result","ℹ بدون نتيجة (يُستبعد من التحصيل)","OK")))))))))))</f>
        <v/>
      </c>
      <c r="M683" s="64" t="n">
        <f aca="false">IF($A683="",0,IFERROR(MATCH($A683,Classes!$A$6:$A$420,0),0))</f>
        <v>0</v>
      </c>
      <c r="N683" s="64" t="n">
        <f aca="false">IF($H683="",0,IFERROR(MATCH($H683,GradeList,0),0))</f>
        <v>0</v>
      </c>
      <c r="O683" s="64" t="n">
        <f aca="false">IF(OR($I683="",$I683="NR"),0,IFERROR(MATCH($I683,GradeList,0),0))</f>
        <v>0</v>
      </c>
      <c r="P683" s="64" t="n">
        <f aca="false">IF(AND($M683&gt;0,ISNUMBER(MATCH($F683,Lists!$A$2:$A$5,0)),ISNUMBER(MATCH($G683,Lists!$B$2:$B$7,0)),OR($H683="",$N683&gt;0),OR($I683="",$I683="NR",$O683&gt;0),IF(ISNUMBER($J683),AND($J683&gt;=0,$J683=INT($J683)),FALSE())),$J683,0)</f>
        <v>0</v>
      </c>
      <c r="Q683" s="64" t="n">
        <f aca="false">IF(AND($P683&gt;0,$O683&gt;0),$P683,0)</f>
        <v>0</v>
      </c>
      <c r="R683" s="64" t="n">
        <f aca="false">IF(AND($Q683&gt;0,$O683&gt;=AtRank),$Q683,0)</f>
        <v>0</v>
      </c>
      <c r="S683" s="64" t="n">
        <f aca="false">IF(AND($Q683&gt;0,$O683&gt;=AboveRank),$Q683,0)</f>
        <v>0</v>
      </c>
      <c r="T683" s="64" t="n">
        <f aca="false">IF($K683="Less",$P683,0)</f>
        <v>0</v>
      </c>
      <c r="U683" s="64" t="n">
        <f aca="false">IF($K683="Expected",$P683,0)</f>
        <v>0</v>
      </c>
      <c r="V683" s="64" t="n">
        <f aca="false">IF($K683="Better",$P683,0)</f>
        <v>0</v>
      </c>
      <c r="W683" s="64" t="n">
        <f aca="false">IF($K683="U – needs rule",$P683,0)</f>
        <v>0</v>
      </c>
      <c r="X683" s="64" t="n">
        <f aca="false">IF($K683="No Start (attainment only)",$P683,0)</f>
        <v>0</v>
      </c>
    </row>
    <row r="684" customFormat="false" ht="15" hidden="false" customHeight="false" outlineLevel="0" collapsed="false">
      <c r="A684" s="60"/>
      <c r="B684" s="61" t="str">
        <f aca="false">IF($M684=0,"",INDEX(Classes!$E$6:$E$420,$M684))</f>
        <v/>
      </c>
      <c r="C684" s="62" t="str">
        <f aca="false">IF($M684=0,"",INDEX(Classes!$H$6:$H$420,$M684))</f>
        <v/>
      </c>
      <c r="D684" s="61" t="str">
        <f aca="false">IF($M684=0,"",INDEX(Classes!$B$6:$B$420,$M684))</f>
        <v/>
      </c>
      <c r="E684" s="61" t="str">
        <f aca="false">IF($M684=0,"",INDEX(Classes!$C$6:$C$420,$M684))</f>
        <v/>
      </c>
      <c r="F684" s="63"/>
      <c r="G684" s="63"/>
      <c r="H684" s="60"/>
      <c r="I684" s="60"/>
      <c r="J684" s="63"/>
      <c r="K684" s="61" t="str">
        <f aca="false">IF($P684=0,"",IF($F684="Baseline","— Baseline",IF($O684=0,"No result",IF($N684=0,"No Start (attainment only)",IF(OR($N684=1,$O684=1),"U – needs rule",INDEX(MxBody,MATCH($I684,MxCurr,0),MATCH($H684,MxStart,0)))))))</f>
        <v/>
      </c>
      <c r="L684" s="62" t="str">
        <f aca="false">IF(COUNTA($A684,$F684,$G684,$H684,$I684,$J684)=0,"",IF($M684=0,"✖ كود الصف غير موجود",IF(ISNA(MATCH($F684,Lists!$A$2:$A$5,0)),"✖ الفترة غير صحيحة",IF(ISNA(MATCH($G684,Lists!$B$2:$B$7,0)),"✖ المجموعة غير صحيحة",IF(NOT(OR($H684="",$N684&gt;0)),"✖ Start غير صحيح",IF(NOT(OR($I684="",$I684="NR",$O684&gt;0)),"✖ Current غير صحيح",IF(NOT(IF(ISNUMBER($J684),AND($J684&gt;=0,$J684=INT($J684)),FALSE())),"✖ العدد يجب أن يكون صحيحًا ≥ 0",IF(AND($F684="Baseline",$H684&lt;&gt;""),"⚠ Baseline: Start لا يدخل في التقدم",IF($K684="No Start (attainment only)","ℹ تحصيل فقط (بدون Start)",IF($K684="U – needs rule","ℹ حالة U تحتاج قاعدة معتمدة",IF($K684="No result","ℹ بدون نتيجة (يُستبعد من التحصيل)","OK")))))))))))</f>
        <v/>
      </c>
      <c r="M684" s="64" t="n">
        <f aca="false">IF($A684="",0,IFERROR(MATCH($A684,Classes!$A$6:$A$420,0),0))</f>
        <v>0</v>
      </c>
      <c r="N684" s="64" t="n">
        <f aca="false">IF($H684="",0,IFERROR(MATCH($H684,GradeList,0),0))</f>
        <v>0</v>
      </c>
      <c r="O684" s="64" t="n">
        <f aca="false">IF(OR($I684="",$I684="NR"),0,IFERROR(MATCH($I684,GradeList,0),0))</f>
        <v>0</v>
      </c>
      <c r="P684" s="64" t="n">
        <f aca="false">IF(AND($M684&gt;0,ISNUMBER(MATCH($F684,Lists!$A$2:$A$5,0)),ISNUMBER(MATCH($G684,Lists!$B$2:$B$7,0)),OR($H684="",$N684&gt;0),OR($I684="",$I684="NR",$O684&gt;0),IF(ISNUMBER($J684),AND($J684&gt;=0,$J684=INT($J684)),FALSE())),$J684,0)</f>
        <v>0</v>
      </c>
      <c r="Q684" s="64" t="n">
        <f aca="false">IF(AND($P684&gt;0,$O684&gt;0),$P684,0)</f>
        <v>0</v>
      </c>
      <c r="R684" s="64" t="n">
        <f aca="false">IF(AND($Q684&gt;0,$O684&gt;=AtRank),$Q684,0)</f>
        <v>0</v>
      </c>
      <c r="S684" s="64" t="n">
        <f aca="false">IF(AND($Q684&gt;0,$O684&gt;=AboveRank),$Q684,0)</f>
        <v>0</v>
      </c>
      <c r="T684" s="64" t="n">
        <f aca="false">IF($K684="Less",$P684,0)</f>
        <v>0</v>
      </c>
      <c r="U684" s="64" t="n">
        <f aca="false">IF($K684="Expected",$P684,0)</f>
        <v>0</v>
      </c>
      <c r="V684" s="64" t="n">
        <f aca="false">IF($K684="Better",$P684,0)</f>
        <v>0</v>
      </c>
      <c r="W684" s="64" t="n">
        <f aca="false">IF($K684="U – needs rule",$P684,0)</f>
        <v>0</v>
      </c>
      <c r="X684" s="64" t="n">
        <f aca="false">IF($K684="No Start (attainment only)",$P684,0)</f>
        <v>0</v>
      </c>
    </row>
    <row r="685" customFormat="false" ht="15" hidden="false" customHeight="false" outlineLevel="0" collapsed="false">
      <c r="A685" s="60"/>
      <c r="B685" s="61" t="str">
        <f aca="false">IF($M685=0,"",INDEX(Classes!$E$6:$E$420,$M685))</f>
        <v/>
      </c>
      <c r="C685" s="62" t="str">
        <f aca="false">IF($M685=0,"",INDEX(Classes!$H$6:$H$420,$M685))</f>
        <v/>
      </c>
      <c r="D685" s="61" t="str">
        <f aca="false">IF($M685=0,"",INDEX(Classes!$B$6:$B$420,$M685))</f>
        <v/>
      </c>
      <c r="E685" s="61" t="str">
        <f aca="false">IF($M685=0,"",INDEX(Classes!$C$6:$C$420,$M685))</f>
        <v/>
      </c>
      <c r="F685" s="63"/>
      <c r="G685" s="63"/>
      <c r="H685" s="60"/>
      <c r="I685" s="60"/>
      <c r="J685" s="63"/>
      <c r="K685" s="61" t="str">
        <f aca="false">IF($P685=0,"",IF($F685="Baseline","— Baseline",IF($O685=0,"No result",IF($N685=0,"No Start (attainment only)",IF(OR($N685=1,$O685=1),"U – needs rule",INDEX(MxBody,MATCH($I685,MxCurr,0),MATCH($H685,MxStart,0)))))))</f>
        <v/>
      </c>
      <c r="L685" s="62" t="str">
        <f aca="false">IF(COUNTA($A685,$F685,$G685,$H685,$I685,$J685)=0,"",IF($M685=0,"✖ كود الصف غير موجود",IF(ISNA(MATCH($F685,Lists!$A$2:$A$5,0)),"✖ الفترة غير صحيحة",IF(ISNA(MATCH($G685,Lists!$B$2:$B$7,0)),"✖ المجموعة غير صحيحة",IF(NOT(OR($H685="",$N685&gt;0)),"✖ Start غير صحيح",IF(NOT(OR($I685="",$I685="NR",$O685&gt;0)),"✖ Current غير صحيح",IF(NOT(IF(ISNUMBER($J685),AND($J685&gt;=0,$J685=INT($J685)),FALSE())),"✖ العدد يجب أن يكون صحيحًا ≥ 0",IF(AND($F685="Baseline",$H685&lt;&gt;""),"⚠ Baseline: Start لا يدخل في التقدم",IF($K685="No Start (attainment only)","ℹ تحصيل فقط (بدون Start)",IF($K685="U – needs rule","ℹ حالة U تحتاج قاعدة معتمدة",IF($K685="No result","ℹ بدون نتيجة (يُستبعد من التحصيل)","OK")))))))))))</f>
        <v/>
      </c>
      <c r="M685" s="64" t="n">
        <f aca="false">IF($A685="",0,IFERROR(MATCH($A685,Classes!$A$6:$A$420,0),0))</f>
        <v>0</v>
      </c>
      <c r="N685" s="64" t="n">
        <f aca="false">IF($H685="",0,IFERROR(MATCH($H685,GradeList,0),0))</f>
        <v>0</v>
      </c>
      <c r="O685" s="64" t="n">
        <f aca="false">IF(OR($I685="",$I685="NR"),0,IFERROR(MATCH($I685,GradeList,0),0))</f>
        <v>0</v>
      </c>
      <c r="P685" s="64" t="n">
        <f aca="false">IF(AND($M685&gt;0,ISNUMBER(MATCH($F685,Lists!$A$2:$A$5,0)),ISNUMBER(MATCH($G685,Lists!$B$2:$B$7,0)),OR($H685="",$N685&gt;0),OR($I685="",$I685="NR",$O685&gt;0),IF(ISNUMBER($J685),AND($J685&gt;=0,$J685=INT($J685)),FALSE())),$J685,0)</f>
        <v>0</v>
      </c>
      <c r="Q685" s="64" t="n">
        <f aca="false">IF(AND($P685&gt;0,$O685&gt;0),$P685,0)</f>
        <v>0</v>
      </c>
      <c r="R685" s="64" t="n">
        <f aca="false">IF(AND($Q685&gt;0,$O685&gt;=AtRank),$Q685,0)</f>
        <v>0</v>
      </c>
      <c r="S685" s="64" t="n">
        <f aca="false">IF(AND($Q685&gt;0,$O685&gt;=AboveRank),$Q685,0)</f>
        <v>0</v>
      </c>
      <c r="T685" s="64" t="n">
        <f aca="false">IF($K685="Less",$P685,0)</f>
        <v>0</v>
      </c>
      <c r="U685" s="64" t="n">
        <f aca="false">IF($K685="Expected",$P685,0)</f>
        <v>0</v>
      </c>
      <c r="V685" s="64" t="n">
        <f aca="false">IF($K685="Better",$P685,0)</f>
        <v>0</v>
      </c>
      <c r="W685" s="64" t="n">
        <f aca="false">IF($K685="U – needs rule",$P685,0)</f>
        <v>0</v>
      </c>
      <c r="X685" s="64" t="n">
        <f aca="false">IF($K685="No Start (attainment only)",$P685,0)</f>
        <v>0</v>
      </c>
    </row>
    <row r="686" customFormat="false" ht="15" hidden="false" customHeight="false" outlineLevel="0" collapsed="false">
      <c r="A686" s="60"/>
      <c r="B686" s="61" t="str">
        <f aca="false">IF($M686=0,"",INDEX(Classes!$E$6:$E$420,$M686))</f>
        <v/>
      </c>
      <c r="C686" s="62" t="str">
        <f aca="false">IF($M686=0,"",INDEX(Classes!$H$6:$H$420,$M686))</f>
        <v/>
      </c>
      <c r="D686" s="61" t="str">
        <f aca="false">IF($M686=0,"",INDEX(Classes!$B$6:$B$420,$M686))</f>
        <v/>
      </c>
      <c r="E686" s="61" t="str">
        <f aca="false">IF($M686=0,"",INDEX(Classes!$C$6:$C$420,$M686))</f>
        <v/>
      </c>
      <c r="F686" s="63"/>
      <c r="G686" s="63"/>
      <c r="H686" s="60"/>
      <c r="I686" s="60"/>
      <c r="J686" s="63"/>
      <c r="K686" s="61" t="str">
        <f aca="false">IF($P686=0,"",IF($F686="Baseline","— Baseline",IF($O686=0,"No result",IF($N686=0,"No Start (attainment only)",IF(OR($N686=1,$O686=1),"U – needs rule",INDEX(MxBody,MATCH($I686,MxCurr,0),MATCH($H686,MxStart,0)))))))</f>
        <v/>
      </c>
      <c r="L686" s="62" t="str">
        <f aca="false">IF(COUNTA($A686,$F686,$G686,$H686,$I686,$J686)=0,"",IF($M686=0,"✖ كود الصف غير موجود",IF(ISNA(MATCH($F686,Lists!$A$2:$A$5,0)),"✖ الفترة غير صحيحة",IF(ISNA(MATCH($G686,Lists!$B$2:$B$7,0)),"✖ المجموعة غير صحيحة",IF(NOT(OR($H686="",$N686&gt;0)),"✖ Start غير صحيح",IF(NOT(OR($I686="",$I686="NR",$O686&gt;0)),"✖ Current غير صحيح",IF(NOT(IF(ISNUMBER($J686),AND($J686&gt;=0,$J686=INT($J686)),FALSE())),"✖ العدد يجب أن يكون صحيحًا ≥ 0",IF(AND($F686="Baseline",$H686&lt;&gt;""),"⚠ Baseline: Start لا يدخل في التقدم",IF($K686="No Start (attainment only)","ℹ تحصيل فقط (بدون Start)",IF($K686="U – needs rule","ℹ حالة U تحتاج قاعدة معتمدة",IF($K686="No result","ℹ بدون نتيجة (يُستبعد من التحصيل)","OK")))))))))))</f>
        <v/>
      </c>
      <c r="M686" s="64" t="n">
        <f aca="false">IF($A686="",0,IFERROR(MATCH($A686,Classes!$A$6:$A$420,0),0))</f>
        <v>0</v>
      </c>
      <c r="N686" s="64" t="n">
        <f aca="false">IF($H686="",0,IFERROR(MATCH($H686,GradeList,0),0))</f>
        <v>0</v>
      </c>
      <c r="O686" s="64" t="n">
        <f aca="false">IF(OR($I686="",$I686="NR"),0,IFERROR(MATCH($I686,GradeList,0),0))</f>
        <v>0</v>
      </c>
      <c r="P686" s="64" t="n">
        <f aca="false">IF(AND($M686&gt;0,ISNUMBER(MATCH($F686,Lists!$A$2:$A$5,0)),ISNUMBER(MATCH($G686,Lists!$B$2:$B$7,0)),OR($H686="",$N686&gt;0),OR($I686="",$I686="NR",$O686&gt;0),IF(ISNUMBER($J686),AND($J686&gt;=0,$J686=INT($J686)),FALSE())),$J686,0)</f>
        <v>0</v>
      </c>
      <c r="Q686" s="64" t="n">
        <f aca="false">IF(AND($P686&gt;0,$O686&gt;0),$P686,0)</f>
        <v>0</v>
      </c>
      <c r="R686" s="64" t="n">
        <f aca="false">IF(AND($Q686&gt;0,$O686&gt;=AtRank),$Q686,0)</f>
        <v>0</v>
      </c>
      <c r="S686" s="64" t="n">
        <f aca="false">IF(AND($Q686&gt;0,$O686&gt;=AboveRank),$Q686,0)</f>
        <v>0</v>
      </c>
      <c r="T686" s="64" t="n">
        <f aca="false">IF($K686="Less",$P686,0)</f>
        <v>0</v>
      </c>
      <c r="U686" s="64" t="n">
        <f aca="false">IF($K686="Expected",$P686,0)</f>
        <v>0</v>
      </c>
      <c r="V686" s="64" t="n">
        <f aca="false">IF($K686="Better",$P686,0)</f>
        <v>0</v>
      </c>
      <c r="W686" s="64" t="n">
        <f aca="false">IF($K686="U – needs rule",$P686,0)</f>
        <v>0</v>
      </c>
      <c r="X686" s="64" t="n">
        <f aca="false">IF($K686="No Start (attainment only)",$P686,0)</f>
        <v>0</v>
      </c>
    </row>
    <row r="687" customFormat="false" ht="15" hidden="false" customHeight="false" outlineLevel="0" collapsed="false">
      <c r="A687" s="60"/>
      <c r="B687" s="61" t="str">
        <f aca="false">IF($M687=0,"",INDEX(Classes!$E$6:$E$420,$M687))</f>
        <v/>
      </c>
      <c r="C687" s="62" t="str">
        <f aca="false">IF($M687=0,"",INDEX(Classes!$H$6:$H$420,$M687))</f>
        <v/>
      </c>
      <c r="D687" s="61" t="str">
        <f aca="false">IF($M687=0,"",INDEX(Classes!$B$6:$B$420,$M687))</f>
        <v/>
      </c>
      <c r="E687" s="61" t="str">
        <f aca="false">IF($M687=0,"",INDEX(Classes!$C$6:$C$420,$M687))</f>
        <v/>
      </c>
      <c r="F687" s="63"/>
      <c r="G687" s="63"/>
      <c r="H687" s="60"/>
      <c r="I687" s="60"/>
      <c r="J687" s="63"/>
      <c r="K687" s="61" t="str">
        <f aca="false">IF($P687=0,"",IF($F687="Baseline","— Baseline",IF($O687=0,"No result",IF($N687=0,"No Start (attainment only)",IF(OR($N687=1,$O687=1),"U – needs rule",INDEX(MxBody,MATCH($I687,MxCurr,0),MATCH($H687,MxStart,0)))))))</f>
        <v/>
      </c>
      <c r="L687" s="62" t="str">
        <f aca="false">IF(COUNTA($A687,$F687,$G687,$H687,$I687,$J687)=0,"",IF($M687=0,"✖ كود الصف غير موجود",IF(ISNA(MATCH($F687,Lists!$A$2:$A$5,0)),"✖ الفترة غير صحيحة",IF(ISNA(MATCH($G687,Lists!$B$2:$B$7,0)),"✖ المجموعة غير صحيحة",IF(NOT(OR($H687="",$N687&gt;0)),"✖ Start غير صحيح",IF(NOT(OR($I687="",$I687="NR",$O687&gt;0)),"✖ Current غير صحيح",IF(NOT(IF(ISNUMBER($J687),AND($J687&gt;=0,$J687=INT($J687)),FALSE())),"✖ العدد يجب أن يكون صحيحًا ≥ 0",IF(AND($F687="Baseline",$H687&lt;&gt;""),"⚠ Baseline: Start لا يدخل في التقدم",IF($K687="No Start (attainment only)","ℹ تحصيل فقط (بدون Start)",IF($K687="U – needs rule","ℹ حالة U تحتاج قاعدة معتمدة",IF($K687="No result","ℹ بدون نتيجة (يُستبعد من التحصيل)","OK")))))))))))</f>
        <v/>
      </c>
      <c r="M687" s="64" t="n">
        <f aca="false">IF($A687="",0,IFERROR(MATCH($A687,Classes!$A$6:$A$420,0),0))</f>
        <v>0</v>
      </c>
      <c r="N687" s="64" t="n">
        <f aca="false">IF($H687="",0,IFERROR(MATCH($H687,GradeList,0),0))</f>
        <v>0</v>
      </c>
      <c r="O687" s="64" t="n">
        <f aca="false">IF(OR($I687="",$I687="NR"),0,IFERROR(MATCH($I687,GradeList,0),0))</f>
        <v>0</v>
      </c>
      <c r="P687" s="64" t="n">
        <f aca="false">IF(AND($M687&gt;0,ISNUMBER(MATCH($F687,Lists!$A$2:$A$5,0)),ISNUMBER(MATCH($G687,Lists!$B$2:$B$7,0)),OR($H687="",$N687&gt;0),OR($I687="",$I687="NR",$O687&gt;0),IF(ISNUMBER($J687),AND($J687&gt;=0,$J687=INT($J687)),FALSE())),$J687,0)</f>
        <v>0</v>
      </c>
      <c r="Q687" s="64" t="n">
        <f aca="false">IF(AND($P687&gt;0,$O687&gt;0),$P687,0)</f>
        <v>0</v>
      </c>
      <c r="R687" s="64" t="n">
        <f aca="false">IF(AND($Q687&gt;0,$O687&gt;=AtRank),$Q687,0)</f>
        <v>0</v>
      </c>
      <c r="S687" s="64" t="n">
        <f aca="false">IF(AND($Q687&gt;0,$O687&gt;=AboveRank),$Q687,0)</f>
        <v>0</v>
      </c>
      <c r="T687" s="64" t="n">
        <f aca="false">IF($K687="Less",$P687,0)</f>
        <v>0</v>
      </c>
      <c r="U687" s="64" t="n">
        <f aca="false">IF($K687="Expected",$P687,0)</f>
        <v>0</v>
      </c>
      <c r="V687" s="64" t="n">
        <f aca="false">IF($K687="Better",$P687,0)</f>
        <v>0</v>
      </c>
      <c r="W687" s="64" t="n">
        <f aca="false">IF($K687="U – needs rule",$P687,0)</f>
        <v>0</v>
      </c>
      <c r="X687" s="64" t="n">
        <f aca="false">IF($K687="No Start (attainment only)",$P687,0)</f>
        <v>0</v>
      </c>
    </row>
    <row r="688" customFormat="false" ht="15" hidden="false" customHeight="false" outlineLevel="0" collapsed="false">
      <c r="A688" s="60"/>
      <c r="B688" s="61" t="str">
        <f aca="false">IF($M688=0,"",INDEX(Classes!$E$6:$E$420,$M688))</f>
        <v/>
      </c>
      <c r="C688" s="62" t="str">
        <f aca="false">IF($M688=0,"",INDEX(Classes!$H$6:$H$420,$M688))</f>
        <v/>
      </c>
      <c r="D688" s="61" t="str">
        <f aca="false">IF($M688=0,"",INDEX(Classes!$B$6:$B$420,$M688))</f>
        <v/>
      </c>
      <c r="E688" s="61" t="str">
        <f aca="false">IF($M688=0,"",INDEX(Classes!$C$6:$C$420,$M688))</f>
        <v/>
      </c>
      <c r="F688" s="63"/>
      <c r="G688" s="63"/>
      <c r="H688" s="60"/>
      <c r="I688" s="60"/>
      <c r="J688" s="63"/>
      <c r="K688" s="61" t="str">
        <f aca="false">IF($P688=0,"",IF($F688="Baseline","— Baseline",IF($O688=0,"No result",IF($N688=0,"No Start (attainment only)",IF(OR($N688=1,$O688=1),"U – needs rule",INDEX(MxBody,MATCH($I688,MxCurr,0),MATCH($H688,MxStart,0)))))))</f>
        <v/>
      </c>
      <c r="L688" s="62" t="str">
        <f aca="false">IF(COUNTA($A688,$F688,$G688,$H688,$I688,$J688)=0,"",IF($M688=0,"✖ كود الصف غير موجود",IF(ISNA(MATCH($F688,Lists!$A$2:$A$5,0)),"✖ الفترة غير صحيحة",IF(ISNA(MATCH($G688,Lists!$B$2:$B$7,0)),"✖ المجموعة غير صحيحة",IF(NOT(OR($H688="",$N688&gt;0)),"✖ Start غير صحيح",IF(NOT(OR($I688="",$I688="NR",$O688&gt;0)),"✖ Current غير صحيح",IF(NOT(IF(ISNUMBER($J688),AND($J688&gt;=0,$J688=INT($J688)),FALSE())),"✖ العدد يجب أن يكون صحيحًا ≥ 0",IF(AND($F688="Baseline",$H688&lt;&gt;""),"⚠ Baseline: Start لا يدخل في التقدم",IF($K688="No Start (attainment only)","ℹ تحصيل فقط (بدون Start)",IF($K688="U – needs rule","ℹ حالة U تحتاج قاعدة معتمدة",IF($K688="No result","ℹ بدون نتيجة (يُستبعد من التحصيل)","OK")))))))))))</f>
        <v/>
      </c>
      <c r="M688" s="64" t="n">
        <f aca="false">IF($A688="",0,IFERROR(MATCH($A688,Classes!$A$6:$A$420,0),0))</f>
        <v>0</v>
      </c>
      <c r="N688" s="64" t="n">
        <f aca="false">IF($H688="",0,IFERROR(MATCH($H688,GradeList,0),0))</f>
        <v>0</v>
      </c>
      <c r="O688" s="64" t="n">
        <f aca="false">IF(OR($I688="",$I688="NR"),0,IFERROR(MATCH($I688,GradeList,0),0))</f>
        <v>0</v>
      </c>
      <c r="P688" s="64" t="n">
        <f aca="false">IF(AND($M688&gt;0,ISNUMBER(MATCH($F688,Lists!$A$2:$A$5,0)),ISNUMBER(MATCH($G688,Lists!$B$2:$B$7,0)),OR($H688="",$N688&gt;0),OR($I688="",$I688="NR",$O688&gt;0),IF(ISNUMBER($J688),AND($J688&gt;=0,$J688=INT($J688)),FALSE())),$J688,0)</f>
        <v>0</v>
      </c>
      <c r="Q688" s="64" t="n">
        <f aca="false">IF(AND($P688&gt;0,$O688&gt;0),$P688,0)</f>
        <v>0</v>
      </c>
      <c r="R688" s="64" t="n">
        <f aca="false">IF(AND($Q688&gt;0,$O688&gt;=AtRank),$Q688,0)</f>
        <v>0</v>
      </c>
      <c r="S688" s="64" t="n">
        <f aca="false">IF(AND($Q688&gt;0,$O688&gt;=AboveRank),$Q688,0)</f>
        <v>0</v>
      </c>
      <c r="T688" s="64" t="n">
        <f aca="false">IF($K688="Less",$P688,0)</f>
        <v>0</v>
      </c>
      <c r="U688" s="64" t="n">
        <f aca="false">IF($K688="Expected",$P688,0)</f>
        <v>0</v>
      </c>
      <c r="V688" s="64" t="n">
        <f aca="false">IF($K688="Better",$P688,0)</f>
        <v>0</v>
      </c>
      <c r="W688" s="64" t="n">
        <f aca="false">IF($K688="U – needs rule",$P688,0)</f>
        <v>0</v>
      </c>
      <c r="X688" s="64" t="n">
        <f aca="false">IF($K688="No Start (attainment only)",$P688,0)</f>
        <v>0</v>
      </c>
    </row>
    <row r="689" customFormat="false" ht="15" hidden="false" customHeight="false" outlineLevel="0" collapsed="false">
      <c r="A689" s="60"/>
      <c r="B689" s="61" t="str">
        <f aca="false">IF($M689=0,"",INDEX(Classes!$E$6:$E$420,$M689))</f>
        <v/>
      </c>
      <c r="C689" s="62" t="str">
        <f aca="false">IF($M689=0,"",INDEX(Classes!$H$6:$H$420,$M689))</f>
        <v/>
      </c>
      <c r="D689" s="61" t="str">
        <f aca="false">IF($M689=0,"",INDEX(Classes!$B$6:$B$420,$M689))</f>
        <v/>
      </c>
      <c r="E689" s="61" t="str">
        <f aca="false">IF($M689=0,"",INDEX(Classes!$C$6:$C$420,$M689))</f>
        <v/>
      </c>
      <c r="F689" s="63"/>
      <c r="G689" s="63"/>
      <c r="H689" s="60"/>
      <c r="I689" s="60"/>
      <c r="J689" s="63"/>
      <c r="K689" s="61" t="str">
        <f aca="false">IF($P689=0,"",IF($F689="Baseline","— Baseline",IF($O689=0,"No result",IF($N689=0,"No Start (attainment only)",IF(OR($N689=1,$O689=1),"U – needs rule",INDEX(MxBody,MATCH($I689,MxCurr,0),MATCH($H689,MxStart,0)))))))</f>
        <v/>
      </c>
      <c r="L689" s="62" t="str">
        <f aca="false">IF(COUNTA($A689,$F689,$G689,$H689,$I689,$J689)=0,"",IF($M689=0,"✖ كود الصف غير موجود",IF(ISNA(MATCH($F689,Lists!$A$2:$A$5,0)),"✖ الفترة غير صحيحة",IF(ISNA(MATCH($G689,Lists!$B$2:$B$7,0)),"✖ المجموعة غير صحيحة",IF(NOT(OR($H689="",$N689&gt;0)),"✖ Start غير صحيح",IF(NOT(OR($I689="",$I689="NR",$O689&gt;0)),"✖ Current غير صحيح",IF(NOT(IF(ISNUMBER($J689),AND($J689&gt;=0,$J689=INT($J689)),FALSE())),"✖ العدد يجب أن يكون صحيحًا ≥ 0",IF(AND($F689="Baseline",$H689&lt;&gt;""),"⚠ Baseline: Start لا يدخل في التقدم",IF($K689="No Start (attainment only)","ℹ تحصيل فقط (بدون Start)",IF($K689="U – needs rule","ℹ حالة U تحتاج قاعدة معتمدة",IF($K689="No result","ℹ بدون نتيجة (يُستبعد من التحصيل)","OK")))))))))))</f>
        <v/>
      </c>
      <c r="M689" s="64" t="n">
        <f aca="false">IF($A689="",0,IFERROR(MATCH($A689,Classes!$A$6:$A$420,0),0))</f>
        <v>0</v>
      </c>
      <c r="N689" s="64" t="n">
        <f aca="false">IF($H689="",0,IFERROR(MATCH($H689,GradeList,0),0))</f>
        <v>0</v>
      </c>
      <c r="O689" s="64" t="n">
        <f aca="false">IF(OR($I689="",$I689="NR"),0,IFERROR(MATCH($I689,GradeList,0),0))</f>
        <v>0</v>
      </c>
      <c r="P689" s="64" t="n">
        <f aca="false">IF(AND($M689&gt;0,ISNUMBER(MATCH($F689,Lists!$A$2:$A$5,0)),ISNUMBER(MATCH($G689,Lists!$B$2:$B$7,0)),OR($H689="",$N689&gt;0),OR($I689="",$I689="NR",$O689&gt;0),IF(ISNUMBER($J689),AND($J689&gt;=0,$J689=INT($J689)),FALSE())),$J689,0)</f>
        <v>0</v>
      </c>
      <c r="Q689" s="64" t="n">
        <f aca="false">IF(AND($P689&gt;0,$O689&gt;0),$P689,0)</f>
        <v>0</v>
      </c>
      <c r="R689" s="64" t="n">
        <f aca="false">IF(AND($Q689&gt;0,$O689&gt;=AtRank),$Q689,0)</f>
        <v>0</v>
      </c>
      <c r="S689" s="64" t="n">
        <f aca="false">IF(AND($Q689&gt;0,$O689&gt;=AboveRank),$Q689,0)</f>
        <v>0</v>
      </c>
      <c r="T689" s="64" t="n">
        <f aca="false">IF($K689="Less",$P689,0)</f>
        <v>0</v>
      </c>
      <c r="U689" s="64" t="n">
        <f aca="false">IF($K689="Expected",$P689,0)</f>
        <v>0</v>
      </c>
      <c r="V689" s="64" t="n">
        <f aca="false">IF($K689="Better",$P689,0)</f>
        <v>0</v>
      </c>
      <c r="W689" s="64" t="n">
        <f aca="false">IF($K689="U – needs rule",$P689,0)</f>
        <v>0</v>
      </c>
      <c r="X689" s="64" t="n">
        <f aca="false">IF($K689="No Start (attainment only)",$P689,0)</f>
        <v>0</v>
      </c>
    </row>
    <row r="690" customFormat="false" ht="15" hidden="false" customHeight="false" outlineLevel="0" collapsed="false">
      <c r="A690" s="60"/>
      <c r="B690" s="61" t="str">
        <f aca="false">IF($M690=0,"",INDEX(Classes!$E$6:$E$420,$M690))</f>
        <v/>
      </c>
      <c r="C690" s="62" t="str">
        <f aca="false">IF($M690=0,"",INDEX(Classes!$H$6:$H$420,$M690))</f>
        <v/>
      </c>
      <c r="D690" s="61" t="str">
        <f aca="false">IF($M690=0,"",INDEX(Classes!$B$6:$B$420,$M690))</f>
        <v/>
      </c>
      <c r="E690" s="61" t="str">
        <f aca="false">IF($M690=0,"",INDEX(Classes!$C$6:$C$420,$M690))</f>
        <v/>
      </c>
      <c r="F690" s="63"/>
      <c r="G690" s="63"/>
      <c r="H690" s="60"/>
      <c r="I690" s="60"/>
      <c r="J690" s="63"/>
      <c r="K690" s="61" t="str">
        <f aca="false">IF($P690=0,"",IF($F690="Baseline","— Baseline",IF($O690=0,"No result",IF($N690=0,"No Start (attainment only)",IF(OR($N690=1,$O690=1),"U – needs rule",INDEX(MxBody,MATCH($I690,MxCurr,0),MATCH($H690,MxStart,0)))))))</f>
        <v/>
      </c>
      <c r="L690" s="62" t="str">
        <f aca="false">IF(COUNTA($A690,$F690,$G690,$H690,$I690,$J690)=0,"",IF($M690=0,"✖ كود الصف غير موجود",IF(ISNA(MATCH($F690,Lists!$A$2:$A$5,0)),"✖ الفترة غير صحيحة",IF(ISNA(MATCH($G690,Lists!$B$2:$B$7,0)),"✖ المجموعة غير صحيحة",IF(NOT(OR($H690="",$N690&gt;0)),"✖ Start غير صحيح",IF(NOT(OR($I690="",$I690="NR",$O690&gt;0)),"✖ Current غير صحيح",IF(NOT(IF(ISNUMBER($J690),AND($J690&gt;=0,$J690=INT($J690)),FALSE())),"✖ العدد يجب أن يكون صحيحًا ≥ 0",IF(AND($F690="Baseline",$H690&lt;&gt;""),"⚠ Baseline: Start لا يدخل في التقدم",IF($K690="No Start (attainment only)","ℹ تحصيل فقط (بدون Start)",IF($K690="U – needs rule","ℹ حالة U تحتاج قاعدة معتمدة",IF($K690="No result","ℹ بدون نتيجة (يُستبعد من التحصيل)","OK")))))))))))</f>
        <v/>
      </c>
      <c r="M690" s="64" t="n">
        <f aca="false">IF($A690="",0,IFERROR(MATCH($A690,Classes!$A$6:$A$420,0),0))</f>
        <v>0</v>
      </c>
      <c r="N690" s="64" t="n">
        <f aca="false">IF($H690="",0,IFERROR(MATCH($H690,GradeList,0),0))</f>
        <v>0</v>
      </c>
      <c r="O690" s="64" t="n">
        <f aca="false">IF(OR($I690="",$I690="NR"),0,IFERROR(MATCH($I690,GradeList,0),0))</f>
        <v>0</v>
      </c>
      <c r="P690" s="64" t="n">
        <f aca="false">IF(AND($M690&gt;0,ISNUMBER(MATCH($F690,Lists!$A$2:$A$5,0)),ISNUMBER(MATCH($G690,Lists!$B$2:$B$7,0)),OR($H690="",$N690&gt;0),OR($I690="",$I690="NR",$O690&gt;0),IF(ISNUMBER($J690),AND($J690&gt;=0,$J690=INT($J690)),FALSE())),$J690,0)</f>
        <v>0</v>
      </c>
      <c r="Q690" s="64" t="n">
        <f aca="false">IF(AND($P690&gt;0,$O690&gt;0),$P690,0)</f>
        <v>0</v>
      </c>
      <c r="R690" s="64" t="n">
        <f aca="false">IF(AND($Q690&gt;0,$O690&gt;=AtRank),$Q690,0)</f>
        <v>0</v>
      </c>
      <c r="S690" s="64" t="n">
        <f aca="false">IF(AND($Q690&gt;0,$O690&gt;=AboveRank),$Q690,0)</f>
        <v>0</v>
      </c>
      <c r="T690" s="64" t="n">
        <f aca="false">IF($K690="Less",$P690,0)</f>
        <v>0</v>
      </c>
      <c r="U690" s="64" t="n">
        <f aca="false">IF($K690="Expected",$P690,0)</f>
        <v>0</v>
      </c>
      <c r="V690" s="64" t="n">
        <f aca="false">IF($K690="Better",$P690,0)</f>
        <v>0</v>
      </c>
      <c r="W690" s="64" t="n">
        <f aca="false">IF($K690="U – needs rule",$P690,0)</f>
        <v>0</v>
      </c>
      <c r="X690" s="64" t="n">
        <f aca="false">IF($K690="No Start (attainment only)",$P690,0)</f>
        <v>0</v>
      </c>
    </row>
    <row r="691" customFormat="false" ht="15" hidden="false" customHeight="false" outlineLevel="0" collapsed="false">
      <c r="A691" s="60"/>
      <c r="B691" s="61" t="str">
        <f aca="false">IF($M691=0,"",INDEX(Classes!$E$6:$E$420,$M691))</f>
        <v/>
      </c>
      <c r="C691" s="62" t="str">
        <f aca="false">IF($M691=0,"",INDEX(Classes!$H$6:$H$420,$M691))</f>
        <v/>
      </c>
      <c r="D691" s="61" t="str">
        <f aca="false">IF($M691=0,"",INDEX(Classes!$B$6:$B$420,$M691))</f>
        <v/>
      </c>
      <c r="E691" s="61" t="str">
        <f aca="false">IF($M691=0,"",INDEX(Classes!$C$6:$C$420,$M691))</f>
        <v/>
      </c>
      <c r="F691" s="63"/>
      <c r="G691" s="63"/>
      <c r="H691" s="60"/>
      <c r="I691" s="60"/>
      <c r="J691" s="63"/>
      <c r="K691" s="61" t="str">
        <f aca="false">IF($P691=0,"",IF($F691="Baseline","— Baseline",IF($O691=0,"No result",IF($N691=0,"No Start (attainment only)",IF(OR($N691=1,$O691=1),"U – needs rule",INDEX(MxBody,MATCH($I691,MxCurr,0),MATCH($H691,MxStart,0)))))))</f>
        <v/>
      </c>
      <c r="L691" s="62" t="str">
        <f aca="false">IF(COUNTA($A691,$F691,$G691,$H691,$I691,$J691)=0,"",IF($M691=0,"✖ كود الصف غير موجود",IF(ISNA(MATCH($F691,Lists!$A$2:$A$5,0)),"✖ الفترة غير صحيحة",IF(ISNA(MATCH($G691,Lists!$B$2:$B$7,0)),"✖ المجموعة غير صحيحة",IF(NOT(OR($H691="",$N691&gt;0)),"✖ Start غير صحيح",IF(NOT(OR($I691="",$I691="NR",$O691&gt;0)),"✖ Current غير صحيح",IF(NOT(IF(ISNUMBER($J691),AND($J691&gt;=0,$J691=INT($J691)),FALSE())),"✖ العدد يجب أن يكون صحيحًا ≥ 0",IF(AND($F691="Baseline",$H691&lt;&gt;""),"⚠ Baseline: Start لا يدخل في التقدم",IF($K691="No Start (attainment only)","ℹ تحصيل فقط (بدون Start)",IF($K691="U – needs rule","ℹ حالة U تحتاج قاعدة معتمدة",IF($K691="No result","ℹ بدون نتيجة (يُستبعد من التحصيل)","OK")))))))))))</f>
        <v/>
      </c>
      <c r="M691" s="64" t="n">
        <f aca="false">IF($A691="",0,IFERROR(MATCH($A691,Classes!$A$6:$A$420,0),0))</f>
        <v>0</v>
      </c>
      <c r="N691" s="64" t="n">
        <f aca="false">IF($H691="",0,IFERROR(MATCH($H691,GradeList,0),0))</f>
        <v>0</v>
      </c>
      <c r="O691" s="64" t="n">
        <f aca="false">IF(OR($I691="",$I691="NR"),0,IFERROR(MATCH($I691,GradeList,0),0))</f>
        <v>0</v>
      </c>
      <c r="P691" s="64" t="n">
        <f aca="false">IF(AND($M691&gt;0,ISNUMBER(MATCH($F691,Lists!$A$2:$A$5,0)),ISNUMBER(MATCH($G691,Lists!$B$2:$B$7,0)),OR($H691="",$N691&gt;0),OR($I691="",$I691="NR",$O691&gt;0),IF(ISNUMBER($J691),AND($J691&gt;=0,$J691=INT($J691)),FALSE())),$J691,0)</f>
        <v>0</v>
      </c>
      <c r="Q691" s="64" t="n">
        <f aca="false">IF(AND($P691&gt;0,$O691&gt;0),$P691,0)</f>
        <v>0</v>
      </c>
      <c r="R691" s="64" t="n">
        <f aca="false">IF(AND($Q691&gt;0,$O691&gt;=AtRank),$Q691,0)</f>
        <v>0</v>
      </c>
      <c r="S691" s="64" t="n">
        <f aca="false">IF(AND($Q691&gt;0,$O691&gt;=AboveRank),$Q691,0)</f>
        <v>0</v>
      </c>
      <c r="T691" s="64" t="n">
        <f aca="false">IF($K691="Less",$P691,0)</f>
        <v>0</v>
      </c>
      <c r="U691" s="64" t="n">
        <f aca="false">IF($K691="Expected",$P691,0)</f>
        <v>0</v>
      </c>
      <c r="V691" s="64" t="n">
        <f aca="false">IF($K691="Better",$P691,0)</f>
        <v>0</v>
      </c>
      <c r="W691" s="64" t="n">
        <f aca="false">IF($K691="U – needs rule",$P691,0)</f>
        <v>0</v>
      </c>
      <c r="X691" s="64" t="n">
        <f aca="false">IF($K691="No Start (attainment only)",$P691,0)</f>
        <v>0</v>
      </c>
    </row>
    <row r="692" customFormat="false" ht="15" hidden="false" customHeight="false" outlineLevel="0" collapsed="false">
      <c r="A692" s="60"/>
      <c r="B692" s="61" t="str">
        <f aca="false">IF($M692=0,"",INDEX(Classes!$E$6:$E$420,$M692))</f>
        <v/>
      </c>
      <c r="C692" s="62" t="str">
        <f aca="false">IF($M692=0,"",INDEX(Classes!$H$6:$H$420,$M692))</f>
        <v/>
      </c>
      <c r="D692" s="61" t="str">
        <f aca="false">IF($M692=0,"",INDEX(Classes!$B$6:$B$420,$M692))</f>
        <v/>
      </c>
      <c r="E692" s="61" t="str">
        <f aca="false">IF($M692=0,"",INDEX(Classes!$C$6:$C$420,$M692))</f>
        <v/>
      </c>
      <c r="F692" s="63"/>
      <c r="G692" s="63"/>
      <c r="H692" s="60"/>
      <c r="I692" s="60"/>
      <c r="J692" s="63"/>
      <c r="K692" s="61" t="str">
        <f aca="false">IF($P692=0,"",IF($F692="Baseline","— Baseline",IF($O692=0,"No result",IF($N692=0,"No Start (attainment only)",IF(OR($N692=1,$O692=1),"U – needs rule",INDEX(MxBody,MATCH($I692,MxCurr,0),MATCH($H692,MxStart,0)))))))</f>
        <v/>
      </c>
      <c r="L692" s="62" t="str">
        <f aca="false">IF(COUNTA($A692,$F692,$G692,$H692,$I692,$J692)=0,"",IF($M692=0,"✖ كود الصف غير موجود",IF(ISNA(MATCH($F692,Lists!$A$2:$A$5,0)),"✖ الفترة غير صحيحة",IF(ISNA(MATCH($G692,Lists!$B$2:$B$7,0)),"✖ المجموعة غير صحيحة",IF(NOT(OR($H692="",$N692&gt;0)),"✖ Start غير صحيح",IF(NOT(OR($I692="",$I692="NR",$O692&gt;0)),"✖ Current غير صحيح",IF(NOT(IF(ISNUMBER($J692),AND($J692&gt;=0,$J692=INT($J692)),FALSE())),"✖ العدد يجب أن يكون صحيحًا ≥ 0",IF(AND($F692="Baseline",$H692&lt;&gt;""),"⚠ Baseline: Start لا يدخل في التقدم",IF($K692="No Start (attainment only)","ℹ تحصيل فقط (بدون Start)",IF($K692="U – needs rule","ℹ حالة U تحتاج قاعدة معتمدة",IF($K692="No result","ℹ بدون نتيجة (يُستبعد من التحصيل)","OK")))))))))))</f>
        <v/>
      </c>
      <c r="M692" s="64" t="n">
        <f aca="false">IF($A692="",0,IFERROR(MATCH($A692,Classes!$A$6:$A$420,0),0))</f>
        <v>0</v>
      </c>
      <c r="N692" s="64" t="n">
        <f aca="false">IF($H692="",0,IFERROR(MATCH($H692,GradeList,0),0))</f>
        <v>0</v>
      </c>
      <c r="O692" s="64" t="n">
        <f aca="false">IF(OR($I692="",$I692="NR"),0,IFERROR(MATCH($I692,GradeList,0),0))</f>
        <v>0</v>
      </c>
      <c r="P692" s="64" t="n">
        <f aca="false">IF(AND($M692&gt;0,ISNUMBER(MATCH($F692,Lists!$A$2:$A$5,0)),ISNUMBER(MATCH($G692,Lists!$B$2:$B$7,0)),OR($H692="",$N692&gt;0),OR($I692="",$I692="NR",$O692&gt;0),IF(ISNUMBER($J692),AND($J692&gt;=0,$J692=INT($J692)),FALSE())),$J692,0)</f>
        <v>0</v>
      </c>
      <c r="Q692" s="64" t="n">
        <f aca="false">IF(AND($P692&gt;0,$O692&gt;0),$P692,0)</f>
        <v>0</v>
      </c>
      <c r="R692" s="64" t="n">
        <f aca="false">IF(AND($Q692&gt;0,$O692&gt;=AtRank),$Q692,0)</f>
        <v>0</v>
      </c>
      <c r="S692" s="64" t="n">
        <f aca="false">IF(AND($Q692&gt;0,$O692&gt;=AboveRank),$Q692,0)</f>
        <v>0</v>
      </c>
      <c r="T692" s="64" t="n">
        <f aca="false">IF($K692="Less",$P692,0)</f>
        <v>0</v>
      </c>
      <c r="U692" s="64" t="n">
        <f aca="false">IF($K692="Expected",$P692,0)</f>
        <v>0</v>
      </c>
      <c r="V692" s="64" t="n">
        <f aca="false">IF($K692="Better",$P692,0)</f>
        <v>0</v>
      </c>
      <c r="W692" s="64" t="n">
        <f aca="false">IF($K692="U – needs rule",$P692,0)</f>
        <v>0</v>
      </c>
      <c r="X692" s="64" t="n">
        <f aca="false">IF($K692="No Start (attainment only)",$P692,0)</f>
        <v>0</v>
      </c>
    </row>
    <row r="693" customFormat="false" ht="15" hidden="false" customHeight="false" outlineLevel="0" collapsed="false">
      <c r="A693" s="60"/>
      <c r="B693" s="61" t="str">
        <f aca="false">IF($M693=0,"",INDEX(Classes!$E$6:$E$420,$M693))</f>
        <v/>
      </c>
      <c r="C693" s="62" t="str">
        <f aca="false">IF($M693=0,"",INDEX(Classes!$H$6:$H$420,$M693))</f>
        <v/>
      </c>
      <c r="D693" s="61" t="str">
        <f aca="false">IF($M693=0,"",INDEX(Classes!$B$6:$B$420,$M693))</f>
        <v/>
      </c>
      <c r="E693" s="61" t="str">
        <f aca="false">IF($M693=0,"",INDEX(Classes!$C$6:$C$420,$M693))</f>
        <v/>
      </c>
      <c r="F693" s="63"/>
      <c r="G693" s="63"/>
      <c r="H693" s="60"/>
      <c r="I693" s="60"/>
      <c r="J693" s="63"/>
      <c r="K693" s="61" t="str">
        <f aca="false">IF($P693=0,"",IF($F693="Baseline","— Baseline",IF($O693=0,"No result",IF($N693=0,"No Start (attainment only)",IF(OR($N693=1,$O693=1),"U – needs rule",INDEX(MxBody,MATCH($I693,MxCurr,0),MATCH($H693,MxStart,0)))))))</f>
        <v/>
      </c>
      <c r="L693" s="62" t="str">
        <f aca="false">IF(COUNTA($A693,$F693,$G693,$H693,$I693,$J693)=0,"",IF($M693=0,"✖ كود الصف غير موجود",IF(ISNA(MATCH($F693,Lists!$A$2:$A$5,0)),"✖ الفترة غير صحيحة",IF(ISNA(MATCH($G693,Lists!$B$2:$B$7,0)),"✖ المجموعة غير صحيحة",IF(NOT(OR($H693="",$N693&gt;0)),"✖ Start غير صحيح",IF(NOT(OR($I693="",$I693="NR",$O693&gt;0)),"✖ Current غير صحيح",IF(NOT(IF(ISNUMBER($J693),AND($J693&gt;=0,$J693=INT($J693)),FALSE())),"✖ العدد يجب أن يكون صحيحًا ≥ 0",IF(AND($F693="Baseline",$H693&lt;&gt;""),"⚠ Baseline: Start لا يدخل في التقدم",IF($K693="No Start (attainment only)","ℹ تحصيل فقط (بدون Start)",IF($K693="U – needs rule","ℹ حالة U تحتاج قاعدة معتمدة",IF($K693="No result","ℹ بدون نتيجة (يُستبعد من التحصيل)","OK")))))))))))</f>
        <v/>
      </c>
      <c r="M693" s="64" t="n">
        <f aca="false">IF($A693="",0,IFERROR(MATCH($A693,Classes!$A$6:$A$420,0),0))</f>
        <v>0</v>
      </c>
      <c r="N693" s="64" t="n">
        <f aca="false">IF($H693="",0,IFERROR(MATCH($H693,GradeList,0),0))</f>
        <v>0</v>
      </c>
      <c r="O693" s="64" t="n">
        <f aca="false">IF(OR($I693="",$I693="NR"),0,IFERROR(MATCH($I693,GradeList,0),0))</f>
        <v>0</v>
      </c>
      <c r="P693" s="64" t="n">
        <f aca="false">IF(AND($M693&gt;0,ISNUMBER(MATCH($F693,Lists!$A$2:$A$5,0)),ISNUMBER(MATCH($G693,Lists!$B$2:$B$7,0)),OR($H693="",$N693&gt;0),OR($I693="",$I693="NR",$O693&gt;0),IF(ISNUMBER($J693),AND($J693&gt;=0,$J693=INT($J693)),FALSE())),$J693,0)</f>
        <v>0</v>
      </c>
      <c r="Q693" s="64" t="n">
        <f aca="false">IF(AND($P693&gt;0,$O693&gt;0),$P693,0)</f>
        <v>0</v>
      </c>
      <c r="R693" s="64" t="n">
        <f aca="false">IF(AND($Q693&gt;0,$O693&gt;=AtRank),$Q693,0)</f>
        <v>0</v>
      </c>
      <c r="S693" s="64" t="n">
        <f aca="false">IF(AND($Q693&gt;0,$O693&gt;=AboveRank),$Q693,0)</f>
        <v>0</v>
      </c>
      <c r="T693" s="64" t="n">
        <f aca="false">IF($K693="Less",$P693,0)</f>
        <v>0</v>
      </c>
      <c r="U693" s="64" t="n">
        <f aca="false">IF($K693="Expected",$P693,0)</f>
        <v>0</v>
      </c>
      <c r="V693" s="64" t="n">
        <f aca="false">IF($K693="Better",$P693,0)</f>
        <v>0</v>
      </c>
      <c r="W693" s="64" t="n">
        <f aca="false">IF($K693="U – needs rule",$P693,0)</f>
        <v>0</v>
      </c>
      <c r="X693" s="64" t="n">
        <f aca="false">IF($K693="No Start (attainment only)",$P693,0)</f>
        <v>0</v>
      </c>
    </row>
    <row r="694" customFormat="false" ht="15" hidden="false" customHeight="false" outlineLevel="0" collapsed="false">
      <c r="A694" s="60"/>
      <c r="B694" s="61" t="str">
        <f aca="false">IF($M694=0,"",INDEX(Classes!$E$6:$E$420,$M694))</f>
        <v/>
      </c>
      <c r="C694" s="62" t="str">
        <f aca="false">IF($M694=0,"",INDEX(Classes!$H$6:$H$420,$M694))</f>
        <v/>
      </c>
      <c r="D694" s="61" t="str">
        <f aca="false">IF($M694=0,"",INDEX(Classes!$B$6:$B$420,$M694))</f>
        <v/>
      </c>
      <c r="E694" s="61" t="str">
        <f aca="false">IF($M694=0,"",INDEX(Classes!$C$6:$C$420,$M694))</f>
        <v/>
      </c>
      <c r="F694" s="63"/>
      <c r="G694" s="63"/>
      <c r="H694" s="60"/>
      <c r="I694" s="60"/>
      <c r="J694" s="63"/>
      <c r="K694" s="61" t="str">
        <f aca="false">IF($P694=0,"",IF($F694="Baseline","— Baseline",IF($O694=0,"No result",IF($N694=0,"No Start (attainment only)",IF(OR($N694=1,$O694=1),"U – needs rule",INDEX(MxBody,MATCH($I694,MxCurr,0),MATCH($H694,MxStart,0)))))))</f>
        <v/>
      </c>
      <c r="L694" s="62" t="str">
        <f aca="false">IF(COUNTA($A694,$F694,$G694,$H694,$I694,$J694)=0,"",IF($M694=0,"✖ كود الصف غير موجود",IF(ISNA(MATCH($F694,Lists!$A$2:$A$5,0)),"✖ الفترة غير صحيحة",IF(ISNA(MATCH($G694,Lists!$B$2:$B$7,0)),"✖ المجموعة غير صحيحة",IF(NOT(OR($H694="",$N694&gt;0)),"✖ Start غير صحيح",IF(NOT(OR($I694="",$I694="NR",$O694&gt;0)),"✖ Current غير صحيح",IF(NOT(IF(ISNUMBER($J694),AND($J694&gt;=0,$J694=INT($J694)),FALSE())),"✖ العدد يجب أن يكون صحيحًا ≥ 0",IF(AND($F694="Baseline",$H694&lt;&gt;""),"⚠ Baseline: Start لا يدخل في التقدم",IF($K694="No Start (attainment only)","ℹ تحصيل فقط (بدون Start)",IF($K694="U – needs rule","ℹ حالة U تحتاج قاعدة معتمدة",IF($K694="No result","ℹ بدون نتيجة (يُستبعد من التحصيل)","OK")))))))))))</f>
        <v/>
      </c>
      <c r="M694" s="64" t="n">
        <f aca="false">IF($A694="",0,IFERROR(MATCH($A694,Classes!$A$6:$A$420,0),0))</f>
        <v>0</v>
      </c>
      <c r="N694" s="64" t="n">
        <f aca="false">IF($H694="",0,IFERROR(MATCH($H694,GradeList,0),0))</f>
        <v>0</v>
      </c>
      <c r="O694" s="64" t="n">
        <f aca="false">IF(OR($I694="",$I694="NR"),0,IFERROR(MATCH($I694,GradeList,0),0))</f>
        <v>0</v>
      </c>
      <c r="P694" s="64" t="n">
        <f aca="false">IF(AND($M694&gt;0,ISNUMBER(MATCH($F694,Lists!$A$2:$A$5,0)),ISNUMBER(MATCH($G694,Lists!$B$2:$B$7,0)),OR($H694="",$N694&gt;0),OR($I694="",$I694="NR",$O694&gt;0),IF(ISNUMBER($J694),AND($J694&gt;=0,$J694=INT($J694)),FALSE())),$J694,0)</f>
        <v>0</v>
      </c>
      <c r="Q694" s="64" t="n">
        <f aca="false">IF(AND($P694&gt;0,$O694&gt;0),$P694,0)</f>
        <v>0</v>
      </c>
      <c r="R694" s="64" t="n">
        <f aca="false">IF(AND($Q694&gt;0,$O694&gt;=AtRank),$Q694,0)</f>
        <v>0</v>
      </c>
      <c r="S694" s="64" t="n">
        <f aca="false">IF(AND($Q694&gt;0,$O694&gt;=AboveRank),$Q694,0)</f>
        <v>0</v>
      </c>
      <c r="T694" s="64" t="n">
        <f aca="false">IF($K694="Less",$P694,0)</f>
        <v>0</v>
      </c>
      <c r="U694" s="64" t="n">
        <f aca="false">IF($K694="Expected",$P694,0)</f>
        <v>0</v>
      </c>
      <c r="V694" s="64" t="n">
        <f aca="false">IF($K694="Better",$P694,0)</f>
        <v>0</v>
      </c>
      <c r="W694" s="64" t="n">
        <f aca="false">IF($K694="U – needs rule",$P694,0)</f>
        <v>0</v>
      </c>
      <c r="X694" s="64" t="n">
        <f aca="false">IF($K694="No Start (attainment only)",$P694,0)</f>
        <v>0</v>
      </c>
    </row>
    <row r="695" customFormat="false" ht="15" hidden="false" customHeight="false" outlineLevel="0" collapsed="false">
      <c r="A695" s="60"/>
      <c r="B695" s="61" t="str">
        <f aca="false">IF($M695=0,"",INDEX(Classes!$E$6:$E$420,$M695))</f>
        <v/>
      </c>
      <c r="C695" s="62" t="str">
        <f aca="false">IF($M695=0,"",INDEX(Classes!$H$6:$H$420,$M695))</f>
        <v/>
      </c>
      <c r="D695" s="61" t="str">
        <f aca="false">IF($M695=0,"",INDEX(Classes!$B$6:$B$420,$M695))</f>
        <v/>
      </c>
      <c r="E695" s="61" t="str">
        <f aca="false">IF($M695=0,"",INDEX(Classes!$C$6:$C$420,$M695))</f>
        <v/>
      </c>
      <c r="F695" s="63"/>
      <c r="G695" s="63"/>
      <c r="H695" s="60"/>
      <c r="I695" s="60"/>
      <c r="J695" s="63"/>
      <c r="K695" s="61" t="str">
        <f aca="false">IF($P695=0,"",IF($F695="Baseline","— Baseline",IF($O695=0,"No result",IF($N695=0,"No Start (attainment only)",IF(OR($N695=1,$O695=1),"U – needs rule",INDEX(MxBody,MATCH($I695,MxCurr,0),MATCH($H695,MxStart,0)))))))</f>
        <v/>
      </c>
      <c r="L695" s="62" t="str">
        <f aca="false">IF(COUNTA($A695,$F695,$G695,$H695,$I695,$J695)=0,"",IF($M695=0,"✖ كود الصف غير موجود",IF(ISNA(MATCH($F695,Lists!$A$2:$A$5,0)),"✖ الفترة غير صحيحة",IF(ISNA(MATCH($G695,Lists!$B$2:$B$7,0)),"✖ المجموعة غير صحيحة",IF(NOT(OR($H695="",$N695&gt;0)),"✖ Start غير صحيح",IF(NOT(OR($I695="",$I695="NR",$O695&gt;0)),"✖ Current غير صحيح",IF(NOT(IF(ISNUMBER($J695),AND($J695&gt;=0,$J695=INT($J695)),FALSE())),"✖ العدد يجب أن يكون صحيحًا ≥ 0",IF(AND($F695="Baseline",$H695&lt;&gt;""),"⚠ Baseline: Start لا يدخل في التقدم",IF($K695="No Start (attainment only)","ℹ تحصيل فقط (بدون Start)",IF($K695="U – needs rule","ℹ حالة U تحتاج قاعدة معتمدة",IF($K695="No result","ℹ بدون نتيجة (يُستبعد من التحصيل)","OK")))))))))))</f>
        <v/>
      </c>
      <c r="M695" s="64" t="n">
        <f aca="false">IF($A695="",0,IFERROR(MATCH($A695,Classes!$A$6:$A$420,0),0))</f>
        <v>0</v>
      </c>
      <c r="N695" s="64" t="n">
        <f aca="false">IF($H695="",0,IFERROR(MATCH($H695,GradeList,0),0))</f>
        <v>0</v>
      </c>
      <c r="O695" s="64" t="n">
        <f aca="false">IF(OR($I695="",$I695="NR"),0,IFERROR(MATCH($I695,GradeList,0),0))</f>
        <v>0</v>
      </c>
      <c r="P695" s="64" t="n">
        <f aca="false">IF(AND($M695&gt;0,ISNUMBER(MATCH($F695,Lists!$A$2:$A$5,0)),ISNUMBER(MATCH($G695,Lists!$B$2:$B$7,0)),OR($H695="",$N695&gt;0),OR($I695="",$I695="NR",$O695&gt;0),IF(ISNUMBER($J695),AND($J695&gt;=0,$J695=INT($J695)),FALSE())),$J695,0)</f>
        <v>0</v>
      </c>
      <c r="Q695" s="64" t="n">
        <f aca="false">IF(AND($P695&gt;0,$O695&gt;0),$P695,0)</f>
        <v>0</v>
      </c>
      <c r="R695" s="64" t="n">
        <f aca="false">IF(AND($Q695&gt;0,$O695&gt;=AtRank),$Q695,0)</f>
        <v>0</v>
      </c>
      <c r="S695" s="64" t="n">
        <f aca="false">IF(AND($Q695&gt;0,$O695&gt;=AboveRank),$Q695,0)</f>
        <v>0</v>
      </c>
      <c r="T695" s="64" t="n">
        <f aca="false">IF($K695="Less",$P695,0)</f>
        <v>0</v>
      </c>
      <c r="U695" s="64" t="n">
        <f aca="false">IF($K695="Expected",$P695,0)</f>
        <v>0</v>
      </c>
      <c r="V695" s="64" t="n">
        <f aca="false">IF($K695="Better",$P695,0)</f>
        <v>0</v>
      </c>
      <c r="W695" s="64" t="n">
        <f aca="false">IF($K695="U – needs rule",$P695,0)</f>
        <v>0</v>
      </c>
      <c r="X695" s="64" t="n">
        <f aca="false">IF($K695="No Start (attainment only)",$P695,0)</f>
        <v>0</v>
      </c>
    </row>
    <row r="696" customFormat="false" ht="15" hidden="false" customHeight="false" outlineLevel="0" collapsed="false">
      <c r="A696" s="60"/>
      <c r="B696" s="61" t="str">
        <f aca="false">IF($M696=0,"",INDEX(Classes!$E$6:$E$420,$M696))</f>
        <v/>
      </c>
      <c r="C696" s="62" t="str">
        <f aca="false">IF($M696=0,"",INDEX(Classes!$H$6:$H$420,$M696))</f>
        <v/>
      </c>
      <c r="D696" s="61" t="str">
        <f aca="false">IF($M696=0,"",INDEX(Classes!$B$6:$B$420,$M696))</f>
        <v/>
      </c>
      <c r="E696" s="61" t="str">
        <f aca="false">IF($M696=0,"",INDEX(Classes!$C$6:$C$420,$M696))</f>
        <v/>
      </c>
      <c r="F696" s="63"/>
      <c r="G696" s="63"/>
      <c r="H696" s="60"/>
      <c r="I696" s="60"/>
      <c r="J696" s="63"/>
      <c r="K696" s="61" t="str">
        <f aca="false">IF($P696=0,"",IF($F696="Baseline","— Baseline",IF($O696=0,"No result",IF($N696=0,"No Start (attainment only)",IF(OR($N696=1,$O696=1),"U – needs rule",INDEX(MxBody,MATCH($I696,MxCurr,0),MATCH($H696,MxStart,0)))))))</f>
        <v/>
      </c>
      <c r="L696" s="62" t="str">
        <f aca="false">IF(COUNTA($A696,$F696,$G696,$H696,$I696,$J696)=0,"",IF($M696=0,"✖ كود الصف غير موجود",IF(ISNA(MATCH($F696,Lists!$A$2:$A$5,0)),"✖ الفترة غير صحيحة",IF(ISNA(MATCH($G696,Lists!$B$2:$B$7,0)),"✖ المجموعة غير صحيحة",IF(NOT(OR($H696="",$N696&gt;0)),"✖ Start غير صحيح",IF(NOT(OR($I696="",$I696="NR",$O696&gt;0)),"✖ Current غير صحيح",IF(NOT(IF(ISNUMBER($J696),AND($J696&gt;=0,$J696=INT($J696)),FALSE())),"✖ العدد يجب أن يكون صحيحًا ≥ 0",IF(AND($F696="Baseline",$H696&lt;&gt;""),"⚠ Baseline: Start لا يدخل في التقدم",IF($K696="No Start (attainment only)","ℹ تحصيل فقط (بدون Start)",IF($K696="U – needs rule","ℹ حالة U تحتاج قاعدة معتمدة",IF($K696="No result","ℹ بدون نتيجة (يُستبعد من التحصيل)","OK")))))))))))</f>
        <v/>
      </c>
      <c r="M696" s="64" t="n">
        <f aca="false">IF($A696="",0,IFERROR(MATCH($A696,Classes!$A$6:$A$420,0),0))</f>
        <v>0</v>
      </c>
      <c r="N696" s="64" t="n">
        <f aca="false">IF($H696="",0,IFERROR(MATCH($H696,GradeList,0),0))</f>
        <v>0</v>
      </c>
      <c r="O696" s="64" t="n">
        <f aca="false">IF(OR($I696="",$I696="NR"),0,IFERROR(MATCH($I696,GradeList,0),0))</f>
        <v>0</v>
      </c>
      <c r="P696" s="64" t="n">
        <f aca="false">IF(AND($M696&gt;0,ISNUMBER(MATCH($F696,Lists!$A$2:$A$5,0)),ISNUMBER(MATCH($G696,Lists!$B$2:$B$7,0)),OR($H696="",$N696&gt;0),OR($I696="",$I696="NR",$O696&gt;0),IF(ISNUMBER($J696),AND($J696&gt;=0,$J696=INT($J696)),FALSE())),$J696,0)</f>
        <v>0</v>
      </c>
      <c r="Q696" s="64" t="n">
        <f aca="false">IF(AND($P696&gt;0,$O696&gt;0),$P696,0)</f>
        <v>0</v>
      </c>
      <c r="R696" s="64" t="n">
        <f aca="false">IF(AND($Q696&gt;0,$O696&gt;=AtRank),$Q696,0)</f>
        <v>0</v>
      </c>
      <c r="S696" s="64" t="n">
        <f aca="false">IF(AND($Q696&gt;0,$O696&gt;=AboveRank),$Q696,0)</f>
        <v>0</v>
      </c>
      <c r="T696" s="64" t="n">
        <f aca="false">IF($K696="Less",$P696,0)</f>
        <v>0</v>
      </c>
      <c r="U696" s="64" t="n">
        <f aca="false">IF($K696="Expected",$P696,0)</f>
        <v>0</v>
      </c>
      <c r="V696" s="64" t="n">
        <f aca="false">IF($K696="Better",$P696,0)</f>
        <v>0</v>
      </c>
      <c r="W696" s="64" t="n">
        <f aca="false">IF($K696="U – needs rule",$P696,0)</f>
        <v>0</v>
      </c>
      <c r="X696" s="64" t="n">
        <f aca="false">IF($K696="No Start (attainment only)",$P696,0)</f>
        <v>0</v>
      </c>
    </row>
    <row r="697" customFormat="false" ht="15" hidden="false" customHeight="false" outlineLevel="0" collapsed="false">
      <c r="A697" s="60"/>
      <c r="B697" s="61" t="str">
        <f aca="false">IF($M697=0,"",INDEX(Classes!$E$6:$E$420,$M697))</f>
        <v/>
      </c>
      <c r="C697" s="62" t="str">
        <f aca="false">IF($M697=0,"",INDEX(Classes!$H$6:$H$420,$M697))</f>
        <v/>
      </c>
      <c r="D697" s="61" t="str">
        <f aca="false">IF($M697=0,"",INDEX(Classes!$B$6:$B$420,$M697))</f>
        <v/>
      </c>
      <c r="E697" s="61" t="str">
        <f aca="false">IF($M697=0,"",INDEX(Classes!$C$6:$C$420,$M697))</f>
        <v/>
      </c>
      <c r="F697" s="63"/>
      <c r="G697" s="63"/>
      <c r="H697" s="60"/>
      <c r="I697" s="60"/>
      <c r="J697" s="63"/>
      <c r="K697" s="61" t="str">
        <f aca="false">IF($P697=0,"",IF($F697="Baseline","— Baseline",IF($O697=0,"No result",IF($N697=0,"No Start (attainment only)",IF(OR($N697=1,$O697=1),"U – needs rule",INDEX(MxBody,MATCH($I697,MxCurr,0),MATCH($H697,MxStart,0)))))))</f>
        <v/>
      </c>
      <c r="L697" s="62" t="str">
        <f aca="false">IF(COUNTA($A697,$F697,$G697,$H697,$I697,$J697)=0,"",IF($M697=0,"✖ كود الصف غير موجود",IF(ISNA(MATCH($F697,Lists!$A$2:$A$5,0)),"✖ الفترة غير صحيحة",IF(ISNA(MATCH($G697,Lists!$B$2:$B$7,0)),"✖ المجموعة غير صحيحة",IF(NOT(OR($H697="",$N697&gt;0)),"✖ Start غير صحيح",IF(NOT(OR($I697="",$I697="NR",$O697&gt;0)),"✖ Current غير صحيح",IF(NOT(IF(ISNUMBER($J697),AND($J697&gt;=0,$J697=INT($J697)),FALSE())),"✖ العدد يجب أن يكون صحيحًا ≥ 0",IF(AND($F697="Baseline",$H697&lt;&gt;""),"⚠ Baseline: Start لا يدخل في التقدم",IF($K697="No Start (attainment only)","ℹ تحصيل فقط (بدون Start)",IF($K697="U – needs rule","ℹ حالة U تحتاج قاعدة معتمدة",IF($K697="No result","ℹ بدون نتيجة (يُستبعد من التحصيل)","OK")))))))))))</f>
        <v/>
      </c>
      <c r="M697" s="64" t="n">
        <f aca="false">IF($A697="",0,IFERROR(MATCH($A697,Classes!$A$6:$A$420,0),0))</f>
        <v>0</v>
      </c>
      <c r="N697" s="64" t="n">
        <f aca="false">IF($H697="",0,IFERROR(MATCH($H697,GradeList,0),0))</f>
        <v>0</v>
      </c>
      <c r="O697" s="64" t="n">
        <f aca="false">IF(OR($I697="",$I697="NR"),0,IFERROR(MATCH($I697,GradeList,0),0))</f>
        <v>0</v>
      </c>
      <c r="P697" s="64" t="n">
        <f aca="false">IF(AND($M697&gt;0,ISNUMBER(MATCH($F697,Lists!$A$2:$A$5,0)),ISNUMBER(MATCH($G697,Lists!$B$2:$B$7,0)),OR($H697="",$N697&gt;0),OR($I697="",$I697="NR",$O697&gt;0),IF(ISNUMBER($J697),AND($J697&gt;=0,$J697=INT($J697)),FALSE())),$J697,0)</f>
        <v>0</v>
      </c>
      <c r="Q697" s="64" t="n">
        <f aca="false">IF(AND($P697&gt;0,$O697&gt;0),$P697,0)</f>
        <v>0</v>
      </c>
      <c r="R697" s="64" t="n">
        <f aca="false">IF(AND($Q697&gt;0,$O697&gt;=AtRank),$Q697,0)</f>
        <v>0</v>
      </c>
      <c r="S697" s="64" t="n">
        <f aca="false">IF(AND($Q697&gt;0,$O697&gt;=AboveRank),$Q697,0)</f>
        <v>0</v>
      </c>
      <c r="T697" s="64" t="n">
        <f aca="false">IF($K697="Less",$P697,0)</f>
        <v>0</v>
      </c>
      <c r="U697" s="64" t="n">
        <f aca="false">IF($K697="Expected",$P697,0)</f>
        <v>0</v>
      </c>
      <c r="V697" s="64" t="n">
        <f aca="false">IF($K697="Better",$P697,0)</f>
        <v>0</v>
      </c>
      <c r="W697" s="64" t="n">
        <f aca="false">IF($K697="U – needs rule",$P697,0)</f>
        <v>0</v>
      </c>
      <c r="X697" s="64" t="n">
        <f aca="false">IF($K697="No Start (attainment only)",$P697,0)</f>
        <v>0</v>
      </c>
    </row>
    <row r="698" customFormat="false" ht="15" hidden="false" customHeight="false" outlineLevel="0" collapsed="false">
      <c r="A698" s="60"/>
      <c r="B698" s="61" t="str">
        <f aca="false">IF($M698=0,"",INDEX(Classes!$E$6:$E$420,$M698))</f>
        <v/>
      </c>
      <c r="C698" s="62" t="str">
        <f aca="false">IF($M698=0,"",INDEX(Classes!$H$6:$H$420,$M698))</f>
        <v/>
      </c>
      <c r="D698" s="61" t="str">
        <f aca="false">IF($M698=0,"",INDEX(Classes!$B$6:$B$420,$M698))</f>
        <v/>
      </c>
      <c r="E698" s="61" t="str">
        <f aca="false">IF($M698=0,"",INDEX(Classes!$C$6:$C$420,$M698))</f>
        <v/>
      </c>
      <c r="F698" s="63"/>
      <c r="G698" s="63"/>
      <c r="H698" s="60"/>
      <c r="I698" s="60"/>
      <c r="J698" s="63"/>
      <c r="K698" s="61" t="str">
        <f aca="false">IF($P698=0,"",IF($F698="Baseline","— Baseline",IF($O698=0,"No result",IF($N698=0,"No Start (attainment only)",IF(OR($N698=1,$O698=1),"U – needs rule",INDEX(MxBody,MATCH($I698,MxCurr,0),MATCH($H698,MxStart,0)))))))</f>
        <v/>
      </c>
      <c r="L698" s="62" t="str">
        <f aca="false">IF(COUNTA($A698,$F698,$G698,$H698,$I698,$J698)=0,"",IF($M698=0,"✖ كود الصف غير موجود",IF(ISNA(MATCH($F698,Lists!$A$2:$A$5,0)),"✖ الفترة غير صحيحة",IF(ISNA(MATCH($G698,Lists!$B$2:$B$7,0)),"✖ المجموعة غير صحيحة",IF(NOT(OR($H698="",$N698&gt;0)),"✖ Start غير صحيح",IF(NOT(OR($I698="",$I698="NR",$O698&gt;0)),"✖ Current غير صحيح",IF(NOT(IF(ISNUMBER($J698),AND($J698&gt;=0,$J698=INT($J698)),FALSE())),"✖ العدد يجب أن يكون صحيحًا ≥ 0",IF(AND($F698="Baseline",$H698&lt;&gt;""),"⚠ Baseline: Start لا يدخل في التقدم",IF($K698="No Start (attainment only)","ℹ تحصيل فقط (بدون Start)",IF($K698="U – needs rule","ℹ حالة U تحتاج قاعدة معتمدة",IF($K698="No result","ℹ بدون نتيجة (يُستبعد من التحصيل)","OK")))))))))))</f>
        <v/>
      </c>
      <c r="M698" s="64" t="n">
        <f aca="false">IF($A698="",0,IFERROR(MATCH($A698,Classes!$A$6:$A$420,0),0))</f>
        <v>0</v>
      </c>
      <c r="N698" s="64" t="n">
        <f aca="false">IF($H698="",0,IFERROR(MATCH($H698,GradeList,0),0))</f>
        <v>0</v>
      </c>
      <c r="O698" s="64" t="n">
        <f aca="false">IF(OR($I698="",$I698="NR"),0,IFERROR(MATCH($I698,GradeList,0),0))</f>
        <v>0</v>
      </c>
      <c r="P698" s="64" t="n">
        <f aca="false">IF(AND($M698&gt;0,ISNUMBER(MATCH($F698,Lists!$A$2:$A$5,0)),ISNUMBER(MATCH($G698,Lists!$B$2:$B$7,0)),OR($H698="",$N698&gt;0),OR($I698="",$I698="NR",$O698&gt;0),IF(ISNUMBER($J698),AND($J698&gt;=0,$J698=INT($J698)),FALSE())),$J698,0)</f>
        <v>0</v>
      </c>
      <c r="Q698" s="64" t="n">
        <f aca="false">IF(AND($P698&gt;0,$O698&gt;0),$P698,0)</f>
        <v>0</v>
      </c>
      <c r="R698" s="64" t="n">
        <f aca="false">IF(AND($Q698&gt;0,$O698&gt;=AtRank),$Q698,0)</f>
        <v>0</v>
      </c>
      <c r="S698" s="64" t="n">
        <f aca="false">IF(AND($Q698&gt;0,$O698&gt;=AboveRank),$Q698,0)</f>
        <v>0</v>
      </c>
      <c r="T698" s="64" t="n">
        <f aca="false">IF($K698="Less",$P698,0)</f>
        <v>0</v>
      </c>
      <c r="U698" s="64" t="n">
        <f aca="false">IF($K698="Expected",$P698,0)</f>
        <v>0</v>
      </c>
      <c r="V698" s="64" t="n">
        <f aca="false">IF($K698="Better",$P698,0)</f>
        <v>0</v>
      </c>
      <c r="W698" s="64" t="n">
        <f aca="false">IF($K698="U – needs rule",$P698,0)</f>
        <v>0</v>
      </c>
      <c r="X698" s="64" t="n">
        <f aca="false">IF($K698="No Start (attainment only)",$P698,0)</f>
        <v>0</v>
      </c>
    </row>
    <row r="699" customFormat="false" ht="15" hidden="false" customHeight="false" outlineLevel="0" collapsed="false">
      <c r="A699" s="60"/>
      <c r="B699" s="61" t="str">
        <f aca="false">IF($M699=0,"",INDEX(Classes!$E$6:$E$420,$M699))</f>
        <v/>
      </c>
      <c r="C699" s="62" t="str">
        <f aca="false">IF($M699=0,"",INDEX(Classes!$H$6:$H$420,$M699))</f>
        <v/>
      </c>
      <c r="D699" s="61" t="str">
        <f aca="false">IF($M699=0,"",INDEX(Classes!$B$6:$B$420,$M699))</f>
        <v/>
      </c>
      <c r="E699" s="61" t="str">
        <f aca="false">IF($M699=0,"",INDEX(Classes!$C$6:$C$420,$M699))</f>
        <v/>
      </c>
      <c r="F699" s="63"/>
      <c r="G699" s="63"/>
      <c r="H699" s="60"/>
      <c r="I699" s="60"/>
      <c r="J699" s="63"/>
      <c r="K699" s="61" t="str">
        <f aca="false">IF($P699=0,"",IF($F699="Baseline","— Baseline",IF($O699=0,"No result",IF($N699=0,"No Start (attainment only)",IF(OR($N699=1,$O699=1),"U – needs rule",INDEX(MxBody,MATCH($I699,MxCurr,0),MATCH($H699,MxStart,0)))))))</f>
        <v/>
      </c>
      <c r="L699" s="62" t="str">
        <f aca="false">IF(COUNTA($A699,$F699,$G699,$H699,$I699,$J699)=0,"",IF($M699=0,"✖ كود الصف غير موجود",IF(ISNA(MATCH($F699,Lists!$A$2:$A$5,0)),"✖ الفترة غير صحيحة",IF(ISNA(MATCH($G699,Lists!$B$2:$B$7,0)),"✖ المجموعة غير صحيحة",IF(NOT(OR($H699="",$N699&gt;0)),"✖ Start غير صحيح",IF(NOT(OR($I699="",$I699="NR",$O699&gt;0)),"✖ Current غير صحيح",IF(NOT(IF(ISNUMBER($J699),AND($J699&gt;=0,$J699=INT($J699)),FALSE())),"✖ العدد يجب أن يكون صحيحًا ≥ 0",IF(AND($F699="Baseline",$H699&lt;&gt;""),"⚠ Baseline: Start لا يدخل في التقدم",IF($K699="No Start (attainment only)","ℹ تحصيل فقط (بدون Start)",IF($K699="U – needs rule","ℹ حالة U تحتاج قاعدة معتمدة",IF($K699="No result","ℹ بدون نتيجة (يُستبعد من التحصيل)","OK")))))))))))</f>
        <v/>
      </c>
      <c r="M699" s="64" t="n">
        <f aca="false">IF($A699="",0,IFERROR(MATCH($A699,Classes!$A$6:$A$420,0),0))</f>
        <v>0</v>
      </c>
      <c r="N699" s="64" t="n">
        <f aca="false">IF($H699="",0,IFERROR(MATCH($H699,GradeList,0),0))</f>
        <v>0</v>
      </c>
      <c r="O699" s="64" t="n">
        <f aca="false">IF(OR($I699="",$I699="NR"),0,IFERROR(MATCH($I699,GradeList,0),0))</f>
        <v>0</v>
      </c>
      <c r="P699" s="64" t="n">
        <f aca="false">IF(AND($M699&gt;0,ISNUMBER(MATCH($F699,Lists!$A$2:$A$5,0)),ISNUMBER(MATCH($G699,Lists!$B$2:$B$7,0)),OR($H699="",$N699&gt;0),OR($I699="",$I699="NR",$O699&gt;0),IF(ISNUMBER($J699),AND($J699&gt;=0,$J699=INT($J699)),FALSE())),$J699,0)</f>
        <v>0</v>
      </c>
      <c r="Q699" s="64" t="n">
        <f aca="false">IF(AND($P699&gt;0,$O699&gt;0),$P699,0)</f>
        <v>0</v>
      </c>
      <c r="R699" s="64" t="n">
        <f aca="false">IF(AND($Q699&gt;0,$O699&gt;=AtRank),$Q699,0)</f>
        <v>0</v>
      </c>
      <c r="S699" s="64" t="n">
        <f aca="false">IF(AND($Q699&gt;0,$O699&gt;=AboveRank),$Q699,0)</f>
        <v>0</v>
      </c>
      <c r="T699" s="64" t="n">
        <f aca="false">IF($K699="Less",$P699,0)</f>
        <v>0</v>
      </c>
      <c r="U699" s="64" t="n">
        <f aca="false">IF($K699="Expected",$P699,0)</f>
        <v>0</v>
      </c>
      <c r="V699" s="64" t="n">
        <f aca="false">IF($K699="Better",$P699,0)</f>
        <v>0</v>
      </c>
      <c r="W699" s="64" t="n">
        <f aca="false">IF($K699="U – needs rule",$P699,0)</f>
        <v>0</v>
      </c>
      <c r="X699" s="64" t="n">
        <f aca="false">IF($K699="No Start (attainment only)",$P699,0)</f>
        <v>0</v>
      </c>
    </row>
    <row r="700" customFormat="false" ht="15" hidden="false" customHeight="false" outlineLevel="0" collapsed="false">
      <c r="A700" s="60"/>
      <c r="B700" s="61" t="str">
        <f aca="false">IF($M700=0,"",INDEX(Classes!$E$6:$E$420,$M700))</f>
        <v/>
      </c>
      <c r="C700" s="62" t="str">
        <f aca="false">IF($M700=0,"",INDEX(Classes!$H$6:$H$420,$M700))</f>
        <v/>
      </c>
      <c r="D700" s="61" t="str">
        <f aca="false">IF($M700=0,"",INDEX(Classes!$B$6:$B$420,$M700))</f>
        <v/>
      </c>
      <c r="E700" s="61" t="str">
        <f aca="false">IF($M700=0,"",INDEX(Classes!$C$6:$C$420,$M700))</f>
        <v/>
      </c>
      <c r="F700" s="63"/>
      <c r="G700" s="63"/>
      <c r="H700" s="60"/>
      <c r="I700" s="60"/>
      <c r="J700" s="63"/>
      <c r="K700" s="61" t="str">
        <f aca="false">IF($P700=0,"",IF($F700="Baseline","— Baseline",IF($O700=0,"No result",IF($N700=0,"No Start (attainment only)",IF(OR($N700=1,$O700=1),"U – needs rule",INDEX(MxBody,MATCH($I700,MxCurr,0),MATCH($H700,MxStart,0)))))))</f>
        <v/>
      </c>
      <c r="L700" s="62" t="str">
        <f aca="false">IF(COUNTA($A700,$F700,$G700,$H700,$I700,$J700)=0,"",IF($M700=0,"✖ كود الصف غير موجود",IF(ISNA(MATCH($F700,Lists!$A$2:$A$5,0)),"✖ الفترة غير صحيحة",IF(ISNA(MATCH($G700,Lists!$B$2:$B$7,0)),"✖ المجموعة غير صحيحة",IF(NOT(OR($H700="",$N700&gt;0)),"✖ Start غير صحيح",IF(NOT(OR($I700="",$I700="NR",$O700&gt;0)),"✖ Current غير صحيح",IF(NOT(IF(ISNUMBER($J700),AND($J700&gt;=0,$J700=INT($J700)),FALSE())),"✖ العدد يجب أن يكون صحيحًا ≥ 0",IF(AND($F700="Baseline",$H700&lt;&gt;""),"⚠ Baseline: Start لا يدخل في التقدم",IF($K700="No Start (attainment only)","ℹ تحصيل فقط (بدون Start)",IF($K700="U – needs rule","ℹ حالة U تحتاج قاعدة معتمدة",IF($K700="No result","ℹ بدون نتيجة (يُستبعد من التحصيل)","OK")))))))))))</f>
        <v/>
      </c>
      <c r="M700" s="64" t="n">
        <f aca="false">IF($A700="",0,IFERROR(MATCH($A700,Classes!$A$6:$A$420,0),0))</f>
        <v>0</v>
      </c>
      <c r="N700" s="64" t="n">
        <f aca="false">IF($H700="",0,IFERROR(MATCH($H700,GradeList,0),0))</f>
        <v>0</v>
      </c>
      <c r="O700" s="64" t="n">
        <f aca="false">IF(OR($I700="",$I700="NR"),0,IFERROR(MATCH($I700,GradeList,0),0))</f>
        <v>0</v>
      </c>
      <c r="P700" s="64" t="n">
        <f aca="false">IF(AND($M700&gt;0,ISNUMBER(MATCH($F700,Lists!$A$2:$A$5,0)),ISNUMBER(MATCH($G700,Lists!$B$2:$B$7,0)),OR($H700="",$N700&gt;0),OR($I700="",$I700="NR",$O700&gt;0),IF(ISNUMBER($J700),AND($J700&gt;=0,$J700=INT($J700)),FALSE())),$J700,0)</f>
        <v>0</v>
      </c>
      <c r="Q700" s="64" t="n">
        <f aca="false">IF(AND($P700&gt;0,$O700&gt;0),$P700,0)</f>
        <v>0</v>
      </c>
      <c r="R700" s="64" t="n">
        <f aca="false">IF(AND($Q700&gt;0,$O700&gt;=AtRank),$Q700,0)</f>
        <v>0</v>
      </c>
      <c r="S700" s="64" t="n">
        <f aca="false">IF(AND($Q700&gt;0,$O700&gt;=AboveRank),$Q700,0)</f>
        <v>0</v>
      </c>
      <c r="T700" s="64" t="n">
        <f aca="false">IF($K700="Less",$P700,0)</f>
        <v>0</v>
      </c>
      <c r="U700" s="64" t="n">
        <f aca="false">IF($K700="Expected",$P700,0)</f>
        <v>0</v>
      </c>
      <c r="V700" s="64" t="n">
        <f aca="false">IF($K700="Better",$P700,0)</f>
        <v>0</v>
      </c>
      <c r="W700" s="64" t="n">
        <f aca="false">IF($K700="U – needs rule",$P700,0)</f>
        <v>0</v>
      </c>
      <c r="X700" s="64" t="n">
        <f aca="false">IF($K700="No Start (attainment only)",$P700,0)</f>
        <v>0</v>
      </c>
    </row>
    <row r="701" customFormat="false" ht="15" hidden="false" customHeight="false" outlineLevel="0" collapsed="false">
      <c r="A701" s="60"/>
      <c r="B701" s="61" t="str">
        <f aca="false">IF($M701=0,"",INDEX(Classes!$E$6:$E$420,$M701))</f>
        <v/>
      </c>
      <c r="C701" s="62" t="str">
        <f aca="false">IF($M701=0,"",INDEX(Classes!$H$6:$H$420,$M701))</f>
        <v/>
      </c>
      <c r="D701" s="61" t="str">
        <f aca="false">IF($M701=0,"",INDEX(Classes!$B$6:$B$420,$M701))</f>
        <v/>
      </c>
      <c r="E701" s="61" t="str">
        <f aca="false">IF($M701=0,"",INDEX(Classes!$C$6:$C$420,$M701))</f>
        <v/>
      </c>
      <c r="F701" s="63"/>
      <c r="G701" s="63"/>
      <c r="H701" s="60"/>
      <c r="I701" s="60"/>
      <c r="J701" s="63"/>
      <c r="K701" s="61" t="str">
        <f aca="false">IF($P701=0,"",IF($F701="Baseline","— Baseline",IF($O701=0,"No result",IF($N701=0,"No Start (attainment only)",IF(OR($N701=1,$O701=1),"U – needs rule",INDEX(MxBody,MATCH($I701,MxCurr,0),MATCH($H701,MxStart,0)))))))</f>
        <v/>
      </c>
      <c r="L701" s="62" t="str">
        <f aca="false">IF(COUNTA($A701,$F701,$G701,$H701,$I701,$J701)=0,"",IF($M701=0,"✖ كود الصف غير موجود",IF(ISNA(MATCH($F701,Lists!$A$2:$A$5,0)),"✖ الفترة غير صحيحة",IF(ISNA(MATCH($G701,Lists!$B$2:$B$7,0)),"✖ المجموعة غير صحيحة",IF(NOT(OR($H701="",$N701&gt;0)),"✖ Start غير صحيح",IF(NOT(OR($I701="",$I701="NR",$O701&gt;0)),"✖ Current غير صحيح",IF(NOT(IF(ISNUMBER($J701),AND($J701&gt;=0,$J701=INT($J701)),FALSE())),"✖ العدد يجب أن يكون صحيحًا ≥ 0",IF(AND($F701="Baseline",$H701&lt;&gt;""),"⚠ Baseline: Start لا يدخل في التقدم",IF($K701="No Start (attainment only)","ℹ تحصيل فقط (بدون Start)",IF($K701="U – needs rule","ℹ حالة U تحتاج قاعدة معتمدة",IF($K701="No result","ℹ بدون نتيجة (يُستبعد من التحصيل)","OK")))))))))))</f>
        <v/>
      </c>
      <c r="M701" s="64" t="n">
        <f aca="false">IF($A701="",0,IFERROR(MATCH($A701,Classes!$A$6:$A$420,0),0))</f>
        <v>0</v>
      </c>
      <c r="N701" s="64" t="n">
        <f aca="false">IF($H701="",0,IFERROR(MATCH($H701,GradeList,0),0))</f>
        <v>0</v>
      </c>
      <c r="O701" s="64" t="n">
        <f aca="false">IF(OR($I701="",$I701="NR"),0,IFERROR(MATCH($I701,GradeList,0),0))</f>
        <v>0</v>
      </c>
      <c r="P701" s="64" t="n">
        <f aca="false">IF(AND($M701&gt;0,ISNUMBER(MATCH($F701,Lists!$A$2:$A$5,0)),ISNUMBER(MATCH($G701,Lists!$B$2:$B$7,0)),OR($H701="",$N701&gt;0),OR($I701="",$I701="NR",$O701&gt;0),IF(ISNUMBER($J701),AND($J701&gt;=0,$J701=INT($J701)),FALSE())),$J701,0)</f>
        <v>0</v>
      </c>
      <c r="Q701" s="64" t="n">
        <f aca="false">IF(AND($P701&gt;0,$O701&gt;0),$P701,0)</f>
        <v>0</v>
      </c>
      <c r="R701" s="64" t="n">
        <f aca="false">IF(AND($Q701&gt;0,$O701&gt;=AtRank),$Q701,0)</f>
        <v>0</v>
      </c>
      <c r="S701" s="64" t="n">
        <f aca="false">IF(AND($Q701&gt;0,$O701&gt;=AboveRank),$Q701,0)</f>
        <v>0</v>
      </c>
      <c r="T701" s="64" t="n">
        <f aca="false">IF($K701="Less",$P701,0)</f>
        <v>0</v>
      </c>
      <c r="U701" s="64" t="n">
        <f aca="false">IF($K701="Expected",$P701,0)</f>
        <v>0</v>
      </c>
      <c r="V701" s="64" t="n">
        <f aca="false">IF($K701="Better",$P701,0)</f>
        <v>0</v>
      </c>
      <c r="W701" s="64" t="n">
        <f aca="false">IF($K701="U – needs rule",$P701,0)</f>
        <v>0</v>
      </c>
      <c r="X701" s="64" t="n">
        <f aca="false">IF($K701="No Start (attainment only)",$P701,0)</f>
        <v>0</v>
      </c>
    </row>
    <row r="702" customFormat="false" ht="15" hidden="false" customHeight="false" outlineLevel="0" collapsed="false">
      <c r="A702" s="60"/>
      <c r="B702" s="61" t="str">
        <f aca="false">IF($M702=0,"",INDEX(Classes!$E$6:$E$420,$M702))</f>
        <v/>
      </c>
      <c r="C702" s="62" t="str">
        <f aca="false">IF($M702=0,"",INDEX(Classes!$H$6:$H$420,$M702))</f>
        <v/>
      </c>
      <c r="D702" s="61" t="str">
        <f aca="false">IF($M702=0,"",INDEX(Classes!$B$6:$B$420,$M702))</f>
        <v/>
      </c>
      <c r="E702" s="61" t="str">
        <f aca="false">IF($M702=0,"",INDEX(Classes!$C$6:$C$420,$M702))</f>
        <v/>
      </c>
      <c r="F702" s="63"/>
      <c r="G702" s="63"/>
      <c r="H702" s="60"/>
      <c r="I702" s="60"/>
      <c r="J702" s="63"/>
      <c r="K702" s="61" t="str">
        <f aca="false">IF($P702=0,"",IF($F702="Baseline","— Baseline",IF($O702=0,"No result",IF($N702=0,"No Start (attainment only)",IF(OR($N702=1,$O702=1),"U – needs rule",INDEX(MxBody,MATCH($I702,MxCurr,0),MATCH($H702,MxStart,0)))))))</f>
        <v/>
      </c>
      <c r="L702" s="62" t="str">
        <f aca="false">IF(COUNTA($A702,$F702,$G702,$H702,$I702,$J702)=0,"",IF($M702=0,"✖ كود الصف غير موجود",IF(ISNA(MATCH($F702,Lists!$A$2:$A$5,0)),"✖ الفترة غير صحيحة",IF(ISNA(MATCH($G702,Lists!$B$2:$B$7,0)),"✖ المجموعة غير صحيحة",IF(NOT(OR($H702="",$N702&gt;0)),"✖ Start غير صحيح",IF(NOT(OR($I702="",$I702="NR",$O702&gt;0)),"✖ Current غير صحيح",IF(NOT(IF(ISNUMBER($J702),AND($J702&gt;=0,$J702=INT($J702)),FALSE())),"✖ العدد يجب أن يكون صحيحًا ≥ 0",IF(AND($F702="Baseline",$H702&lt;&gt;""),"⚠ Baseline: Start لا يدخل في التقدم",IF($K702="No Start (attainment only)","ℹ تحصيل فقط (بدون Start)",IF($K702="U – needs rule","ℹ حالة U تحتاج قاعدة معتمدة",IF($K702="No result","ℹ بدون نتيجة (يُستبعد من التحصيل)","OK")))))))))))</f>
        <v/>
      </c>
      <c r="M702" s="64" t="n">
        <f aca="false">IF($A702="",0,IFERROR(MATCH($A702,Classes!$A$6:$A$420,0),0))</f>
        <v>0</v>
      </c>
      <c r="N702" s="64" t="n">
        <f aca="false">IF($H702="",0,IFERROR(MATCH($H702,GradeList,0),0))</f>
        <v>0</v>
      </c>
      <c r="O702" s="64" t="n">
        <f aca="false">IF(OR($I702="",$I702="NR"),0,IFERROR(MATCH($I702,GradeList,0),0))</f>
        <v>0</v>
      </c>
      <c r="P702" s="64" t="n">
        <f aca="false">IF(AND($M702&gt;0,ISNUMBER(MATCH($F702,Lists!$A$2:$A$5,0)),ISNUMBER(MATCH($G702,Lists!$B$2:$B$7,0)),OR($H702="",$N702&gt;0),OR($I702="",$I702="NR",$O702&gt;0),IF(ISNUMBER($J702),AND($J702&gt;=0,$J702=INT($J702)),FALSE())),$J702,0)</f>
        <v>0</v>
      </c>
      <c r="Q702" s="64" t="n">
        <f aca="false">IF(AND($P702&gt;0,$O702&gt;0),$P702,0)</f>
        <v>0</v>
      </c>
      <c r="R702" s="64" t="n">
        <f aca="false">IF(AND($Q702&gt;0,$O702&gt;=AtRank),$Q702,0)</f>
        <v>0</v>
      </c>
      <c r="S702" s="64" t="n">
        <f aca="false">IF(AND($Q702&gt;0,$O702&gt;=AboveRank),$Q702,0)</f>
        <v>0</v>
      </c>
      <c r="T702" s="64" t="n">
        <f aca="false">IF($K702="Less",$P702,0)</f>
        <v>0</v>
      </c>
      <c r="U702" s="64" t="n">
        <f aca="false">IF($K702="Expected",$P702,0)</f>
        <v>0</v>
      </c>
      <c r="V702" s="64" t="n">
        <f aca="false">IF($K702="Better",$P702,0)</f>
        <v>0</v>
      </c>
      <c r="W702" s="64" t="n">
        <f aca="false">IF($K702="U – needs rule",$P702,0)</f>
        <v>0</v>
      </c>
      <c r="X702" s="64" t="n">
        <f aca="false">IF($K702="No Start (attainment only)",$P702,0)</f>
        <v>0</v>
      </c>
    </row>
    <row r="703" customFormat="false" ht="15" hidden="false" customHeight="false" outlineLevel="0" collapsed="false">
      <c r="A703" s="60"/>
      <c r="B703" s="61" t="str">
        <f aca="false">IF($M703=0,"",INDEX(Classes!$E$6:$E$420,$M703))</f>
        <v/>
      </c>
      <c r="C703" s="62" t="str">
        <f aca="false">IF($M703=0,"",INDEX(Classes!$H$6:$H$420,$M703))</f>
        <v/>
      </c>
      <c r="D703" s="61" t="str">
        <f aca="false">IF($M703=0,"",INDEX(Classes!$B$6:$B$420,$M703))</f>
        <v/>
      </c>
      <c r="E703" s="61" t="str">
        <f aca="false">IF($M703=0,"",INDEX(Classes!$C$6:$C$420,$M703))</f>
        <v/>
      </c>
      <c r="F703" s="63"/>
      <c r="G703" s="63"/>
      <c r="H703" s="60"/>
      <c r="I703" s="60"/>
      <c r="J703" s="63"/>
      <c r="K703" s="61" t="str">
        <f aca="false">IF($P703=0,"",IF($F703="Baseline","— Baseline",IF($O703=0,"No result",IF($N703=0,"No Start (attainment only)",IF(OR($N703=1,$O703=1),"U – needs rule",INDEX(MxBody,MATCH($I703,MxCurr,0),MATCH($H703,MxStart,0)))))))</f>
        <v/>
      </c>
      <c r="L703" s="62" t="str">
        <f aca="false">IF(COUNTA($A703,$F703,$G703,$H703,$I703,$J703)=0,"",IF($M703=0,"✖ كود الصف غير موجود",IF(ISNA(MATCH($F703,Lists!$A$2:$A$5,0)),"✖ الفترة غير صحيحة",IF(ISNA(MATCH($G703,Lists!$B$2:$B$7,0)),"✖ المجموعة غير صحيحة",IF(NOT(OR($H703="",$N703&gt;0)),"✖ Start غير صحيح",IF(NOT(OR($I703="",$I703="NR",$O703&gt;0)),"✖ Current غير صحيح",IF(NOT(IF(ISNUMBER($J703),AND($J703&gt;=0,$J703=INT($J703)),FALSE())),"✖ العدد يجب أن يكون صحيحًا ≥ 0",IF(AND($F703="Baseline",$H703&lt;&gt;""),"⚠ Baseline: Start لا يدخل في التقدم",IF($K703="No Start (attainment only)","ℹ تحصيل فقط (بدون Start)",IF($K703="U – needs rule","ℹ حالة U تحتاج قاعدة معتمدة",IF($K703="No result","ℹ بدون نتيجة (يُستبعد من التحصيل)","OK")))))))))))</f>
        <v/>
      </c>
      <c r="M703" s="64" t="n">
        <f aca="false">IF($A703="",0,IFERROR(MATCH($A703,Classes!$A$6:$A$420,0),0))</f>
        <v>0</v>
      </c>
      <c r="N703" s="64" t="n">
        <f aca="false">IF($H703="",0,IFERROR(MATCH($H703,GradeList,0),0))</f>
        <v>0</v>
      </c>
      <c r="O703" s="64" t="n">
        <f aca="false">IF(OR($I703="",$I703="NR"),0,IFERROR(MATCH($I703,GradeList,0),0))</f>
        <v>0</v>
      </c>
      <c r="P703" s="64" t="n">
        <f aca="false">IF(AND($M703&gt;0,ISNUMBER(MATCH($F703,Lists!$A$2:$A$5,0)),ISNUMBER(MATCH($G703,Lists!$B$2:$B$7,0)),OR($H703="",$N703&gt;0),OR($I703="",$I703="NR",$O703&gt;0),IF(ISNUMBER($J703),AND($J703&gt;=0,$J703=INT($J703)),FALSE())),$J703,0)</f>
        <v>0</v>
      </c>
      <c r="Q703" s="64" t="n">
        <f aca="false">IF(AND($P703&gt;0,$O703&gt;0),$P703,0)</f>
        <v>0</v>
      </c>
      <c r="R703" s="64" t="n">
        <f aca="false">IF(AND($Q703&gt;0,$O703&gt;=AtRank),$Q703,0)</f>
        <v>0</v>
      </c>
      <c r="S703" s="64" t="n">
        <f aca="false">IF(AND($Q703&gt;0,$O703&gt;=AboveRank),$Q703,0)</f>
        <v>0</v>
      </c>
      <c r="T703" s="64" t="n">
        <f aca="false">IF($K703="Less",$P703,0)</f>
        <v>0</v>
      </c>
      <c r="U703" s="64" t="n">
        <f aca="false">IF($K703="Expected",$P703,0)</f>
        <v>0</v>
      </c>
      <c r="V703" s="64" t="n">
        <f aca="false">IF($K703="Better",$P703,0)</f>
        <v>0</v>
      </c>
      <c r="W703" s="64" t="n">
        <f aca="false">IF($K703="U – needs rule",$P703,0)</f>
        <v>0</v>
      </c>
      <c r="X703" s="64" t="n">
        <f aca="false">IF($K703="No Start (attainment only)",$P703,0)</f>
        <v>0</v>
      </c>
    </row>
    <row r="704" customFormat="false" ht="15" hidden="false" customHeight="false" outlineLevel="0" collapsed="false">
      <c r="A704" s="60"/>
      <c r="B704" s="61" t="str">
        <f aca="false">IF($M704=0,"",INDEX(Classes!$E$6:$E$420,$M704))</f>
        <v/>
      </c>
      <c r="C704" s="62" t="str">
        <f aca="false">IF($M704=0,"",INDEX(Classes!$H$6:$H$420,$M704))</f>
        <v/>
      </c>
      <c r="D704" s="61" t="str">
        <f aca="false">IF($M704=0,"",INDEX(Classes!$B$6:$B$420,$M704))</f>
        <v/>
      </c>
      <c r="E704" s="61" t="str">
        <f aca="false">IF($M704=0,"",INDEX(Classes!$C$6:$C$420,$M704))</f>
        <v/>
      </c>
      <c r="F704" s="63"/>
      <c r="G704" s="63"/>
      <c r="H704" s="60"/>
      <c r="I704" s="60"/>
      <c r="J704" s="63"/>
      <c r="K704" s="61" t="str">
        <f aca="false">IF($P704=0,"",IF($F704="Baseline","— Baseline",IF($O704=0,"No result",IF($N704=0,"No Start (attainment only)",IF(OR($N704=1,$O704=1),"U – needs rule",INDEX(MxBody,MATCH($I704,MxCurr,0),MATCH($H704,MxStart,0)))))))</f>
        <v/>
      </c>
      <c r="L704" s="62" t="str">
        <f aca="false">IF(COUNTA($A704,$F704,$G704,$H704,$I704,$J704)=0,"",IF($M704=0,"✖ كود الصف غير موجود",IF(ISNA(MATCH($F704,Lists!$A$2:$A$5,0)),"✖ الفترة غير صحيحة",IF(ISNA(MATCH($G704,Lists!$B$2:$B$7,0)),"✖ المجموعة غير صحيحة",IF(NOT(OR($H704="",$N704&gt;0)),"✖ Start غير صحيح",IF(NOT(OR($I704="",$I704="NR",$O704&gt;0)),"✖ Current غير صحيح",IF(NOT(IF(ISNUMBER($J704),AND($J704&gt;=0,$J704=INT($J704)),FALSE())),"✖ العدد يجب أن يكون صحيحًا ≥ 0",IF(AND($F704="Baseline",$H704&lt;&gt;""),"⚠ Baseline: Start لا يدخل في التقدم",IF($K704="No Start (attainment only)","ℹ تحصيل فقط (بدون Start)",IF($K704="U – needs rule","ℹ حالة U تحتاج قاعدة معتمدة",IF($K704="No result","ℹ بدون نتيجة (يُستبعد من التحصيل)","OK")))))))))))</f>
        <v/>
      </c>
      <c r="M704" s="64" t="n">
        <f aca="false">IF($A704="",0,IFERROR(MATCH($A704,Classes!$A$6:$A$420,0),0))</f>
        <v>0</v>
      </c>
      <c r="N704" s="64" t="n">
        <f aca="false">IF($H704="",0,IFERROR(MATCH($H704,GradeList,0),0))</f>
        <v>0</v>
      </c>
      <c r="O704" s="64" t="n">
        <f aca="false">IF(OR($I704="",$I704="NR"),0,IFERROR(MATCH($I704,GradeList,0),0))</f>
        <v>0</v>
      </c>
      <c r="P704" s="64" t="n">
        <f aca="false">IF(AND($M704&gt;0,ISNUMBER(MATCH($F704,Lists!$A$2:$A$5,0)),ISNUMBER(MATCH($G704,Lists!$B$2:$B$7,0)),OR($H704="",$N704&gt;0),OR($I704="",$I704="NR",$O704&gt;0),IF(ISNUMBER($J704),AND($J704&gt;=0,$J704=INT($J704)),FALSE())),$J704,0)</f>
        <v>0</v>
      </c>
      <c r="Q704" s="64" t="n">
        <f aca="false">IF(AND($P704&gt;0,$O704&gt;0),$P704,0)</f>
        <v>0</v>
      </c>
      <c r="R704" s="64" t="n">
        <f aca="false">IF(AND($Q704&gt;0,$O704&gt;=AtRank),$Q704,0)</f>
        <v>0</v>
      </c>
      <c r="S704" s="64" t="n">
        <f aca="false">IF(AND($Q704&gt;0,$O704&gt;=AboveRank),$Q704,0)</f>
        <v>0</v>
      </c>
      <c r="T704" s="64" t="n">
        <f aca="false">IF($K704="Less",$P704,0)</f>
        <v>0</v>
      </c>
      <c r="U704" s="64" t="n">
        <f aca="false">IF($K704="Expected",$P704,0)</f>
        <v>0</v>
      </c>
      <c r="V704" s="64" t="n">
        <f aca="false">IF($K704="Better",$P704,0)</f>
        <v>0</v>
      </c>
      <c r="W704" s="64" t="n">
        <f aca="false">IF($K704="U – needs rule",$P704,0)</f>
        <v>0</v>
      </c>
      <c r="X704" s="64" t="n">
        <f aca="false">IF($K704="No Start (attainment only)",$P704,0)</f>
        <v>0</v>
      </c>
    </row>
    <row r="705" customFormat="false" ht="15" hidden="false" customHeight="false" outlineLevel="0" collapsed="false">
      <c r="A705" s="60"/>
      <c r="B705" s="61" t="str">
        <f aca="false">IF($M705=0,"",INDEX(Classes!$E$6:$E$420,$M705))</f>
        <v/>
      </c>
      <c r="C705" s="62" t="str">
        <f aca="false">IF($M705=0,"",INDEX(Classes!$H$6:$H$420,$M705))</f>
        <v/>
      </c>
      <c r="D705" s="61" t="str">
        <f aca="false">IF($M705=0,"",INDEX(Classes!$B$6:$B$420,$M705))</f>
        <v/>
      </c>
      <c r="E705" s="61" t="str">
        <f aca="false">IF($M705=0,"",INDEX(Classes!$C$6:$C$420,$M705))</f>
        <v/>
      </c>
      <c r="F705" s="63"/>
      <c r="G705" s="63"/>
      <c r="H705" s="60"/>
      <c r="I705" s="60"/>
      <c r="J705" s="63"/>
      <c r="K705" s="61" t="str">
        <f aca="false">IF($P705=0,"",IF($F705="Baseline","— Baseline",IF($O705=0,"No result",IF($N705=0,"No Start (attainment only)",IF(OR($N705=1,$O705=1),"U – needs rule",INDEX(MxBody,MATCH($I705,MxCurr,0),MATCH($H705,MxStart,0)))))))</f>
        <v/>
      </c>
      <c r="L705" s="62" t="str">
        <f aca="false">IF(COUNTA($A705,$F705,$G705,$H705,$I705,$J705)=0,"",IF($M705=0,"✖ كود الصف غير موجود",IF(ISNA(MATCH($F705,Lists!$A$2:$A$5,0)),"✖ الفترة غير صحيحة",IF(ISNA(MATCH($G705,Lists!$B$2:$B$7,0)),"✖ المجموعة غير صحيحة",IF(NOT(OR($H705="",$N705&gt;0)),"✖ Start غير صحيح",IF(NOT(OR($I705="",$I705="NR",$O705&gt;0)),"✖ Current غير صحيح",IF(NOT(IF(ISNUMBER($J705),AND($J705&gt;=0,$J705=INT($J705)),FALSE())),"✖ العدد يجب أن يكون صحيحًا ≥ 0",IF(AND($F705="Baseline",$H705&lt;&gt;""),"⚠ Baseline: Start لا يدخل في التقدم",IF($K705="No Start (attainment only)","ℹ تحصيل فقط (بدون Start)",IF($K705="U – needs rule","ℹ حالة U تحتاج قاعدة معتمدة",IF($K705="No result","ℹ بدون نتيجة (يُستبعد من التحصيل)","OK")))))))))))</f>
        <v/>
      </c>
      <c r="M705" s="64" t="n">
        <f aca="false">IF($A705="",0,IFERROR(MATCH($A705,Classes!$A$6:$A$420,0),0))</f>
        <v>0</v>
      </c>
      <c r="N705" s="64" t="n">
        <f aca="false">IF($H705="",0,IFERROR(MATCH($H705,GradeList,0),0))</f>
        <v>0</v>
      </c>
      <c r="O705" s="64" t="n">
        <f aca="false">IF(OR($I705="",$I705="NR"),0,IFERROR(MATCH($I705,GradeList,0),0))</f>
        <v>0</v>
      </c>
      <c r="P705" s="64" t="n">
        <f aca="false">IF(AND($M705&gt;0,ISNUMBER(MATCH($F705,Lists!$A$2:$A$5,0)),ISNUMBER(MATCH($G705,Lists!$B$2:$B$7,0)),OR($H705="",$N705&gt;0),OR($I705="",$I705="NR",$O705&gt;0),IF(ISNUMBER($J705),AND($J705&gt;=0,$J705=INT($J705)),FALSE())),$J705,0)</f>
        <v>0</v>
      </c>
      <c r="Q705" s="64" t="n">
        <f aca="false">IF(AND($P705&gt;0,$O705&gt;0),$P705,0)</f>
        <v>0</v>
      </c>
      <c r="R705" s="64" t="n">
        <f aca="false">IF(AND($Q705&gt;0,$O705&gt;=AtRank),$Q705,0)</f>
        <v>0</v>
      </c>
      <c r="S705" s="64" t="n">
        <f aca="false">IF(AND($Q705&gt;0,$O705&gt;=AboveRank),$Q705,0)</f>
        <v>0</v>
      </c>
      <c r="T705" s="64" t="n">
        <f aca="false">IF($K705="Less",$P705,0)</f>
        <v>0</v>
      </c>
      <c r="U705" s="64" t="n">
        <f aca="false">IF($K705="Expected",$P705,0)</f>
        <v>0</v>
      </c>
      <c r="V705" s="64" t="n">
        <f aca="false">IF($K705="Better",$P705,0)</f>
        <v>0</v>
      </c>
      <c r="W705" s="64" t="n">
        <f aca="false">IF($K705="U – needs rule",$P705,0)</f>
        <v>0</v>
      </c>
      <c r="X705" s="64" t="n">
        <f aca="false">IF($K705="No Start (attainment only)",$P705,0)</f>
        <v>0</v>
      </c>
    </row>
    <row r="706" customFormat="false" ht="15" hidden="false" customHeight="false" outlineLevel="0" collapsed="false">
      <c r="A706" s="60"/>
      <c r="B706" s="61" t="str">
        <f aca="false">IF($M706=0,"",INDEX(Classes!$E$6:$E$420,$M706))</f>
        <v/>
      </c>
      <c r="C706" s="62" t="str">
        <f aca="false">IF($M706=0,"",INDEX(Classes!$H$6:$H$420,$M706))</f>
        <v/>
      </c>
      <c r="D706" s="61" t="str">
        <f aca="false">IF($M706=0,"",INDEX(Classes!$B$6:$B$420,$M706))</f>
        <v/>
      </c>
      <c r="E706" s="61" t="str">
        <f aca="false">IF($M706=0,"",INDEX(Classes!$C$6:$C$420,$M706))</f>
        <v/>
      </c>
      <c r="F706" s="63"/>
      <c r="G706" s="63"/>
      <c r="H706" s="60"/>
      <c r="I706" s="60"/>
      <c r="J706" s="63"/>
      <c r="K706" s="61" t="str">
        <f aca="false">IF($P706=0,"",IF($F706="Baseline","— Baseline",IF($O706=0,"No result",IF($N706=0,"No Start (attainment only)",IF(OR($N706=1,$O706=1),"U – needs rule",INDEX(MxBody,MATCH($I706,MxCurr,0),MATCH($H706,MxStart,0)))))))</f>
        <v/>
      </c>
      <c r="L706" s="62" t="str">
        <f aca="false">IF(COUNTA($A706,$F706,$G706,$H706,$I706,$J706)=0,"",IF($M706=0,"✖ كود الصف غير موجود",IF(ISNA(MATCH($F706,Lists!$A$2:$A$5,0)),"✖ الفترة غير صحيحة",IF(ISNA(MATCH($G706,Lists!$B$2:$B$7,0)),"✖ المجموعة غير صحيحة",IF(NOT(OR($H706="",$N706&gt;0)),"✖ Start غير صحيح",IF(NOT(OR($I706="",$I706="NR",$O706&gt;0)),"✖ Current غير صحيح",IF(NOT(IF(ISNUMBER($J706),AND($J706&gt;=0,$J706=INT($J706)),FALSE())),"✖ العدد يجب أن يكون صحيحًا ≥ 0",IF(AND($F706="Baseline",$H706&lt;&gt;""),"⚠ Baseline: Start لا يدخل في التقدم",IF($K706="No Start (attainment only)","ℹ تحصيل فقط (بدون Start)",IF($K706="U – needs rule","ℹ حالة U تحتاج قاعدة معتمدة",IF($K706="No result","ℹ بدون نتيجة (يُستبعد من التحصيل)","OK")))))))))))</f>
        <v/>
      </c>
      <c r="M706" s="64" t="n">
        <f aca="false">IF($A706="",0,IFERROR(MATCH($A706,Classes!$A$6:$A$420,0),0))</f>
        <v>0</v>
      </c>
      <c r="N706" s="64" t="n">
        <f aca="false">IF($H706="",0,IFERROR(MATCH($H706,GradeList,0),0))</f>
        <v>0</v>
      </c>
      <c r="O706" s="64" t="n">
        <f aca="false">IF(OR($I706="",$I706="NR"),0,IFERROR(MATCH($I706,GradeList,0),0))</f>
        <v>0</v>
      </c>
      <c r="P706" s="64" t="n">
        <f aca="false">IF(AND($M706&gt;0,ISNUMBER(MATCH($F706,Lists!$A$2:$A$5,0)),ISNUMBER(MATCH($G706,Lists!$B$2:$B$7,0)),OR($H706="",$N706&gt;0),OR($I706="",$I706="NR",$O706&gt;0),IF(ISNUMBER($J706),AND($J706&gt;=0,$J706=INT($J706)),FALSE())),$J706,0)</f>
        <v>0</v>
      </c>
      <c r="Q706" s="64" t="n">
        <f aca="false">IF(AND($P706&gt;0,$O706&gt;0),$P706,0)</f>
        <v>0</v>
      </c>
      <c r="R706" s="64" t="n">
        <f aca="false">IF(AND($Q706&gt;0,$O706&gt;=AtRank),$Q706,0)</f>
        <v>0</v>
      </c>
      <c r="S706" s="64" t="n">
        <f aca="false">IF(AND($Q706&gt;0,$O706&gt;=AboveRank),$Q706,0)</f>
        <v>0</v>
      </c>
      <c r="T706" s="64" t="n">
        <f aca="false">IF($K706="Less",$P706,0)</f>
        <v>0</v>
      </c>
      <c r="U706" s="64" t="n">
        <f aca="false">IF($K706="Expected",$P706,0)</f>
        <v>0</v>
      </c>
      <c r="V706" s="64" t="n">
        <f aca="false">IF($K706="Better",$P706,0)</f>
        <v>0</v>
      </c>
      <c r="W706" s="64" t="n">
        <f aca="false">IF($K706="U – needs rule",$P706,0)</f>
        <v>0</v>
      </c>
      <c r="X706" s="64" t="n">
        <f aca="false">IF($K706="No Start (attainment only)",$P706,0)</f>
        <v>0</v>
      </c>
    </row>
    <row r="707" customFormat="false" ht="15" hidden="false" customHeight="false" outlineLevel="0" collapsed="false">
      <c r="A707" s="60"/>
      <c r="B707" s="61" t="str">
        <f aca="false">IF($M707=0,"",INDEX(Classes!$E$6:$E$420,$M707))</f>
        <v/>
      </c>
      <c r="C707" s="62" t="str">
        <f aca="false">IF($M707=0,"",INDEX(Classes!$H$6:$H$420,$M707))</f>
        <v/>
      </c>
      <c r="D707" s="61" t="str">
        <f aca="false">IF($M707=0,"",INDEX(Classes!$B$6:$B$420,$M707))</f>
        <v/>
      </c>
      <c r="E707" s="61" t="str">
        <f aca="false">IF($M707=0,"",INDEX(Classes!$C$6:$C$420,$M707))</f>
        <v/>
      </c>
      <c r="F707" s="63"/>
      <c r="G707" s="63"/>
      <c r="H707" s="60"/>
      <c r="I707" s="60"/>
      <c r="J707" s="63"/>
      <c r="K707" s="61" t="str">
        <f aca="false">IF($P707=0,"",IF($F707="Baseline","— Baseline",IF($O707=0,"No result",IF($N707=0,"No Start (attainment only)",IF(OR($N707=1,$O707=1),"U – needs rule",INDEX(MxBody,MATCH($I707,MxCurr,0),MATCH($H707,MxStart,0)))))))</f>
        <v/>
      </c>
      <c r="L707" s="62" t="str">
        <f aca="false">IF(COUNTA($A707,$F707,$G707,$H707,$I707,$J707)=0,"",IF($M707=0,"✖ كود الصف غير موجود",IF(ISNA(MATCH($F707,Lists!$A$2:$A$5,0)),"✖ الفترة غير صحيحة",IF(ISNA(MATCH($G707,Lists!$B$2:$B$7,0)),"✖ المجموعة غير صحيحة",IF(NOT(OR($H707="",$N707&gt;0)),"✖ Start غير صحيح",IF(NOT(OR($I707="",$I707="NR",$O707&gt;0)),"✖ Current غير صحيح",IF(NOT(IF(ISNUMBER($J707),AND($J707&gt;=0,$J707=INT($J707)),FALSE())),"✖ العدد يجب أن يكون صحيحًا ≥ 0",IF(AND($F707="Baseline",$H707&lt;&gt;""),"⚠ Baseline: Start لا يدخل في التقدم",IF($K707="No Start (attainment only)","ℹ تحصيل فقط (بدون Start)",IF($K707="U – needs rule","ℹ حالة U تحتاج قاعدة معتمدة",IF($K707="No result","ℹ بدون نتيجة (يُستبعد من التحصيل)","OK")))))))))))</f>
        <v/>
      </c>
      <c r="M707" s="64" t="n">
        <f aca="false">IF($A707="",0,IFERROR(MATCH($A707,Classes!$A$6:$A$420,0),0))</f>
        <v>0</v>
      </c>
      <c r="N707" s="64" t="n">
        <f aca="false">IF($H707="",0,IFERROR(MATCH($H707,GradeList,0),0))</f>
        <v>0</v>
      </c>
      <c r="O707" s="64" t="n">
        <f aca="false">IF(OR($I707="",$I707="NR"),0,IFERROR(MATCH($I707,GradeList,0),0))</f>
        <v>0</v>
      </c>
      <c r="P707" s="64" t="n">
        <f aca="false">IF(AND($M707&gt;0,ISNUMBER(MATCH($F707,Lists!$A$2:$A$5,0)),ISNUMBER(MATCH($G707,Lists!$B$2:$B$7,0)),OR($H707="",$N707&gt;0),OR($I707="",$I707="NR",$O707&gt;0),IF(ISNUMBER($J707),AND($J707&gt;=0,$J707=INT($J707)),FALSE())),$J707,0)</f>
        <v>0</v>
      </c>
      <c r="Q707" s="64" t="n">
        <f aca="false">IF(AND($P707&gt;0,$O707&gt;0),$P707,0)</f>
        <v>0</v>
      </c>
      <c r="R707" s="64" t="n">
        <f aca="false">IF(AND($Q707&gt;0,$O707&gt;=AtRank),$Q707,0)</f>
        <v>0</v>
      </c>
      <c r="S707" s="64" t="n">
        <f aca="false">IF(AND($Q707&gt;0,$O707&gt;=AboveRank),$Q707,0)</f>
        <v>0</v>
      </c>
      <c r="T707" s="64" t="n">
        <f aca="false">IF($K707="Less",$P707,0)</f>
        <v>0</v>
      </c>
      <c r="U707" s="64" t="n">
        <f aca="false">IF($K707="Expected",$P707,0)</f>
        <v>0</v>
      </c>
      <c r="V707" s="64" t="n">
        <f aca="false">IF($K707="Better",$P707,0)</f>
        <v>0</v>
      </c>
      <c r="W707" s="64" t="n">
        <f aca="false">IF($K707="U – needs rule",$P707,0)</f>
        <v>0</v>
      </c>
      <c r="X707" s="64" t="n">
        <f aca="false">IF($K707="No Start (attainment only)",$P707,0)</f>
        <v>0</v>
      </c>
    </row>
    <row r="708" customFormat="false" ht="15" hidden="false" customHeight="false" outlineLevel="0" collapsed="false">
      <c r="A708" s="60"/>
      <c r="B708" s="61" t="str">
        <f aca="false">IF($M708=0,"",INDEX(Classes!$E$6:$E$420,$M708))</f>
        <v/>
      </c>
      <c r="C708" s="62" t="str">
        <f aca="false">IF($M708=0,"",INDEX(Classes!$H$6:$H$420,$M708))</f>
        <v/>
      </c>
      <c r="D708" s="61" t="str">
        <f aca="false">IF($M708=0,"",INDEX(Classes!$B$6:$B$420,$M708))</f>
        <v/>
      </c>
      <c r="E708" s="61" t="str">
        <f aca="false">IF($M708=0,"",INDEX(Classes!$C$6:$C$420,$M708))</f>
        <v/>
      </c>
      <c r="F708" s="63"/>
      <c r="G708" s="63"/>
      <c r="H708" s="60"/>
      <c r="I708" s="60"/>
      <c r="J708" s="63"/>
      <c r="K708" s="61" t="str">
        <f aca="false">IF($P708=0,"",IF($F708="Baseline","— Baseline",IF($O708=0,"No result",IF($N708=0,"No Start (attainment only)",IF(OR($N708=1,$O708=1),"U – needs rule",INDEX(MxBody,MATCH($I708,MxCurr,0),MATCH($H708,MxStart,0)))))))</f>
        <v/>
      </c>
      <c r="L708" s="62" t="str">
        <f aca="false">IF(COUNTA($A708,$F708,$G708,$H708,$I708,$J708)=0,"",IF($M708=0,"✖ كود الصف غير موجود",IF(ISNA(MATCH($F708,Lists!$A$2:$A$5,0)),"✖ الفترة غير صحيحة",IF(ISNA(MATCH($G708,Lists!$B$2:$B$7,0)),"✖ المجموعة غير صحيحة",IF(NOT(OR($H708="",$N708&gt;0)),"✖ Start غير صحيح",IF(NOT(OR($I708="",$I708="NR",$O708&gt;0)),"✖ Current غير صحيح",IF(NOT(IF(ISNUMBER($J708),AND($J708&gt;=0,$J708=INT($J708)),FALSE())),"✖ العدد يجب أن يكون صحيحًا ≥ 0",IF(AND($F708="Baseline",$H708&lt;&gt;""),"⚠ Baseline: Start لا يدخل في التقدم",IF($K708="No Start (attainment only)","ℹ تحصيل فقط (بدون Start)",IF($K708="U – needs rule","ℹ حالة U تحتاج قاعدة معتمدة",IF($K708="No result","ℹ بدون نتيجة (يُستبعد من التحصيل)","OK")))))))))))</f>
        <v/>
      </c>
      <c r="M708" s="64" t="n">
        <f aca="false">IF($A708="",0,IFERROR(MATCH($A708,Classes!$A$6:$A$420,0),0))</f>
        <v>0</v>
      </c>
      <c r="N708" s="64" t="n">
        <f aca="false">IF($H708="",0,IFERROR(MATCH($H708,GradeList,0),0))</f>
        <v>0</v>
      </c>
      <c r="O708" s="64" t="n">
        <f aca="false">IF(OR($I708="",$I708="NR"),0,IFERROR(MATCH($I708,GradeList,0),0))</f>
        <v>0</v>
      </c>
      <c r="P708" s="64" t="n">
        <f aca="false">IF(AND($M708&gt;0,ISNUMBER(MATCH($F708,Lists!$A$2:$A$5,0)),ISNUMBER(MATCH($G708,Lists!$B$2:$B$7,0)),OR($H708="",$N708&gt;0),OR($I708="",$I708="NR",$O708&gt;0),IF(ISNUMBER($J708),AND($J708&gt;=0,$J708=INT($J708)),FALSE())),$J708,0)</f>
        <v>0</v>
      </c>
      <c r="Q708" s="64" t="n">
        <f aca="false">IF(AND($P708&gt;0,$O708&gt;0),$P708,0)</f>
        <v>0</v>
      </c>
      <c r="R708" s="64" t="n">
        <f aca="false">IF(AND($Q708&gt;0,$O708&gt;=AtRank),$Q708,0)</f>
        <v>0</v>
      </c>
      <c r="S708" s="64" t="n">
        <f aca="false">IF(AND($Q708&gt;0,$O708&gt;=AboveRank),$Q708,0)</f>
        <v>0</v>
      </c>
      <c r="T708" s="64" t="n">
        <f aca="false">IF($K708="Less",$P708,0)</f>
        <v>0</v>
      </c>
      <c r="U708" s="64" t="n">
        <f aca="false">IF($K708="Expected",$P708,0)</f>
        <v>0</v>
      </c>
      <c r="V708" s="64" t="n">
        <f aca="false">IF($K708="Better",$P708,0)</f>
        <v>0</v>
      </c>
      <c r="W708" s="64" t="n">
        <f aca="false">IF($K708="U – needs rule",$P708,0)</f>
        <v>0</v>
      </c>
      <c r="X708" s="64" t="n">
        <f aca="false">IF($K708="No Start (attainment only)",$P708,0)</f>
        <v>0</v>
      </c>
    </row>
    <row r="709" customFormat="false" ht="15" hidden="false" customHeight="false" outlineLevel="0" collapsed="false">
      <c r="A709" s="60"/>
      <c r="B709" s="61" t="str">
        <f aca="false">IF($M709=0,"",INDEX(Classes!$E$6:$E$420,$M709))</f>
        <v/>
      </c>
      <c r="C709" s="62" t="str">
        <f aca="false">IF($M709=0,"",INDEX(Classes!$H$6:$H$420,$M709))</f>
        <v/>
      </c>
      <c r="D709" s="61" t="str">
        <f aca="false">IF($M709=0,"",INDEX(Classes!$B$6:$B$420,$M709))</f>
        <v/>
      </c>
      <c r="E709" s="61" t="str">
        <f aca="false">IF($M709=0,"",INDEX(Classes!$C$6:$C$420,$M709))</f>
        <v/>
      </c>
      <c r="F709" s="63"/>
      <c r="G709" s="63"/>
      <c r="H709" s="60"/>
      <c r="I709" s="60"/>
      <c r="J709" s="63"/>
      <c r="K709" s="61" t="str">
        <f aca="false">IF($P709=0,"",IF($F709="Baseline","— Baseline",IF($O709=0,"No result",IF($N709=0,"No Start (attainment only)",IF(OR($N709=1,$O709=1),"U – needs rule",INDEX(MxBody,MATCH($I709,MxCurr,0),MATCH($H709,MxStart,0)))))))</f>
        <v/>
      </c>
      <c r="L709" s="62" t="str">
        <f aca="false">IF(COUNTA($A709,$F709,$G709,$H709,$I709,$J709)=0,"",IF($M709=0,"✖ كود الصف غير موجود",IF(ISNA(MATCH($F709,Lists!$A$2:$A$5,0)),"✖ الفترة غير صحيحة",IF(ISNA(MATCH($G709,Lists!$B$2:$B$7,0)),"✖ المجموعة غير صحيحة",IF(NOT(OR($H709="",$N709&gt;0)),"✖ Start غير صحيح",IF(NOT(OR($I709="",$I709="NR",$O709&gt;0)),"✖ Current غير صحيح",IF(NOT(IF(ISNUMBER($J709),AND($J709&gt;=0,$J709=INT($J709)),FALSE())),"✖ العدد يجب أن يكون صحيحًا ≥ 0",IF(AND($F709="Baseline",$H709&lt;&gt;""),"⚠ Baseline: Start لا يدخل في التقدم",IF($K709="No Start (attainment only)","ℹ تحصيل فقط (بدون Start)",IF($K709="U – needs rule","ℹ حالة U تحتاج قاعدة معتمدة",IF($K709="No result","ℹ بدون نتيجة (يُستبعد من التحصيل)","OK")))))))))))</f>
        <v/>
      </c>
      <c r="M709" s="64" t="n">
        <f aca="false">IF($A709="",0,IFERROR(MATCH($A709,Classes!$A$6:$A$420,0),0))</f>
        <v>0</v>
      </c>
      <c r="N709" s="64" t="n">
        <f aca="false">IF($H709="",0,IFERROR(MATCH($H709,GradeList,0),0))</f>
        <v>0</v>
      </c>
      <c r="O709" s="64" t="n">
        <f aca="false">IF(OR($I709="",$I709="NR"),0,IFERROR(MATCH($I709,GradeList,0),0))</f>
        <v>0</v>
      </c>
      <c r="P709" s="64" t="n">
        <f aca="false">IF(AND($M709&gt;0,ISNUMBER(MATCH($F709,Lists!$A$2:$A$5,0)),ISNUMBER(MATCH($G709,Lists!$B$2:$B$7,0)),OR($H709="",$N709&gt;0),OR($I709="",$I709="NR",$O709&gt;0),IF(ISNUMBER($J709),AND($J709&gt;=0,$J709=INT($J709)),FALSE())),$J709,0)</f>
        <v>0</v>
      </c>
      <c r="Q709" s="64" t="n">
        <f aca="false">IF(AND($P709&gt;0,$O709&gt;0),$P709,0)</f>
        <v>0</v>
      </c>
      <c r="R709" s="64" t="n">
        <f aca="false">IF(AND($Q709&gt;0,$O709&gt;=AtRank),$Q709,0)</f>
        <v>0</v>
      </c>
      <c r="S709" s="64" t="n">
        <f aca="false">IF(AND($Q709&gt;0,$O709&gt;=AboveRank),$Q709,0)</f>
        <v>0</v>
      </c>
      <c r="T709" s="64" t="n">
        <f aca="false">IF($K709="Less",$P709,0)</f>
        <v>0</v>
      </c>
      <c r="U709" s="64" t="n">
        <f aca="false">IF($K709="Expected",$P709,0)</f>
        <v>0</v>
      </c>
      <c r="V709" s="64" t="n">
        <f aca="false">IF($K709="Better",$P709,0)</f>
        <v>0</v>
      </c>
      <c r="W709" s="64" t="n">
        <f aca="false">IF($K709="U – needs rule",$P709,0)</f>
        <v>0</v>
      </c>
      <c r="X709" s="64" t="n">
        <f aca="false">IF($K709="No Start (attainment only)",$P709,0)</f>
        <v>0</v>
      </c>
    </row>
    <row r="710" customFormat="false" ht="15" hidden="false" customHeight="false" outlineLevel="0" collapsed="false">
      <c r="A710" s="60"/>
      <c r="B710" s="61" t="str">
        <f aca="false">IF($M710=0,"",INDEX(Classes!$E$6:$E$420,$M710))</f>
        <v/>
      </c>
      <c r="C710" s="62" t="str">
        <f aca="false">IF($M710=0,"",INDEX(Classes!$H$6:$H$420,$M710))</f>
        <v/>
      </c>
      <c r="D710" s="61" t="str">
        <f aca="false">IF($M710=0,"",INDEX(Classes!$B$6:$B$420,$M710))</f>
        <v/>
      </c>
      <c r="E710" s="61" t="str">
        <f aca="false">IF($M710=0,"",INDEX(Classes!$C$6:$C$420,$M710))</f>
        <v/>
      </c>
      <c r="F710" s="63"/>
      <c r="G710" s="63"/>
      <c r="H710" s="60"/>
      <c r="I710" s="60"/>
      <c r="J710" s="63"/>
      <c r="K710" s="61" t="str">
        <f aca="false">IF($P710=0,"",IF($F710="Baseline","— Baseline",IF($O710=0,"No result",IF($N710=0,"No Start (attainment only)",IF(OR($N710=1,$O710=1),"U – needs rule",INDEX(MxBody,MATCH($I710,MxCurr,0),MATCH($H710,MxStart,0)))))))</f>
        <v/>
      </c>
      <c r="L710" s="62" t="str">
        <f aca="false">IF(COUNTA($A710,$F710,$G710,$H710,$I710,$J710)=0,"",IF($M710=0,"✖ كود الصف غير موجود",IF(ISNA(MATCH($F710,Lists!$A$2:$A$5,0)),"✖ الفترة غير صحيحة",IF(ISNA(MATCH($G710,Lists!$B$2:$B$7,0)),"✖ المجموعة غير صحيحة",IF(NOT(OR($H710="",$N710&gt;0)),"✖ Start غير صحيح",IF(NOT(OR($I710="",$I710="NR",$O710&gt;0)),"✖ Current غير صحيح",IF(NOT(IF(ISNUMBER($J710),AND($J710&gt;=0,$J710=INT($J710)),FALSE())),"✖ العدد يجب أن يكون صحيحًا ≥ 0",IF(AND($F710="Baseline",$H710&lt;&gt;""),"⚠ Baseline: Start لا يدخل في التقدم",IF($K710="No Start (attainment only)","ℹ تحصيل فقط (بدون Start)",IF($K710="U – needs rule","ℹ حالة U تحتاج قاعدة معتمدة",IF($K710="No result","ℹ بدون نتيجة (يُستبعد من التحصيل)","OK")))))))))))</f>
        <v/>
      </c>
      <c r="M710" s="64" t="n">
        <f aca="false">IF($A710="",0,IFERROR(MATCH($A710,Classes!$A$6:$A$420,0),0))</f>
        <v>0</v>
      </c>
      <c r="N710" s="64" t="n">
        <f aca="false">IF($H710="",0,IFERROR(MATCH($H710,GradeList,0),0))</f>
        <v>0</v>
      </c>
      <c r="O710" s="64" t="n">
        <f aca="false">IF(OR($I710="",$I710="NR"),0,IFERROR(MATCH($I710,GradeList,0),0))</f>
        <v>0</v>
      </c>
      <c r="P710" s="64" t="n">
        <f aca="false">IF(AND($M710&gt;0,ISNUMBER(MATCH($F710,Lists!$A$2:$A$5,0)),ISNUMBER(MATCH($G710,Lists!$B$2:$B$7,0)),OR($H710="",$N710&gt;0),OR($I710="",$I710="NR",$O710&gt;0),IF(ISNUMBER($J710),AND($J710&gt;=0,$J710=INT($J710)),FALSE())),$J710,0)</f>
        <v>0</v>
      </c>
      <c r="Q710" s="64" t="n">
        <f aca="false">IF(AND($P710&gt;0,$O710&gt;0),$P710,0)</f>
        <v>0</v>
      </c>
      <c r="R710" s="64" t="n">
        <f aca="false">IF(AND($Q710&gt;0,$O710&gt;=AtRank),$Q710,0)</f>
        <v>0</v>
      </c>
      <c r="S710" s="64" t="n">
        <f aca="false">IF(AND($Q710&gt;0,$O710&gt;=AboveRank),$Q710,0)</f>
        <v>0</v>
      </c>
      <c r="T710" s="64" t="n">
        <f aca="false">IF($K710="Less",$P710,0)</f>
        <v>0</v>
      </c>
      <c r="U710" s="64" t="n">
        <f aca="false">IF($K710="Expected",$P710,0)</f>
        <v>0</v>
      </c>
      <c r="V710" s="64" t="n">
        <f aca="false">IF($K710="Better",$P710,0)</f>
        <v>0</v>
      </c>
      <c r="W710" s="64" t="n">
        <f aca="false">IF($K710="U – needs rule",$P710,0)</f>
        <v>0</v>
      </c>
      <c r="X710" s="64" t="n">
        <f aca="false">IF($K710="No Start (attainment only)",$P710,0)</f>
        <v>0</v>
      </c>
    </row>
    <row r="711" customFormat="false" ht="15" hidden="false" customHeight="false" outlineLevel="0" collapsed="false">
      <c r="A711" s="60"/>
      <c r="B711" s="61" t="str">
        <f aca="false">IF($M711=0,"",INDEX(Classes!$E$6:$E$420,$M711))</f>
        <v/>
      </c>
      <c r="C711" s="62" t="str">
        <f aca="false">IF($M711=0,"",INDEX(Classes!$H$6:$H$420,$M711))</f>
        <v/>
      </c>
      <c r="D711" s="61" t="str">
        <f aca="false">IF($M711=0,"",INDEX(Classes!$B$6:$B$420,$M711))</f>
        <v/>
      </c>
      <c r="E711" s="61" t="str">
        <f aca="false">IF($M711=0,"",INDEX(Classes!$C$6:$C$420,$M711))</f>
        <v/>
      </c>
      <c r="F711" s="63"/>
      <c r="G711" s="63"/>
      <c r="H711" s="60"/>
      <c r="I711" s="60"/>
      <c r="J711" s="63"/>
      <c r="K711" s="61" t="str">
        <f aca="false">IF($P711=0,"",IF($F711="Baseline","— Baseline",IF($O711=0,"No result",IF($N711=0,"No Start (attainment only)",IF(OR($N711=1,$O711=1),"U – needs rule",INDEX(MxBody,MATCH($I711,MxCurr,0),MATCH($H711,MxStart,0)))))))</f>
        <v/>
      </c>
      <c r="L711" s="62" t="str">
        <f aca="false">IF(COUNTA($A711,$F711,$G711,$H711,$I711,$J711)=0,"",IF($M711=0,"✖ كود الصف غير موجود",IF(ISNA(MATCH($F711,Lists!$A$2:$A$5,0)),"✖ الفترة غير صحيحة",IF(ISNA(MATCH($G711,Lists!$B$2:$B$7,0)),"✖ المجموعة غير صحيحة",IF(NOT(OR($H711="",$N711&gt;0)),"✖ Start غير صحيح",IF(NOT(OR($I711="",$I711="NR",$O711&gt;0)),"✖ Current غير صحيح",IF(NOT(IF(ISNUMBER($J711),AND($J711&gt;=0,$J711=INT($J711)),FALSE())),"✖ العدد يجب أن يكون صحيحًا ≥ 0",IF(AND($F711="Baseline",$H711&lt;&gt;""),"⚠ Baseline: Start لا يدخل في التقدم",IF($K711="No Start (attainment only)","ℹ تحصيل فقط (بدون Start)",IF($K711="U – needs rule","ℹ حالة U تحتاج قاعدة معتمدة",IF($K711="No result","ℹ بدون نتيجة (يُستبعد من التحصيل)","OK")))))))))))</f>
        <v/>
      </c>
      <c r="M711" s="64" t="n">
        <f aca="false">IF($A711="",0,IFERROR(MATCH($A711,Classes!$A$6:$A$420,0),0))</f>
        <v>0</v>
      </c>
      <c r="N711" s="64" t="n">
        <f aca="false">IF($H711="",0,IFERROR(MATCH($H711,GradeList,0),0))</f>
        <v>0</v>
      </c>
      <c r="O711" s="64" t="n">
        <f aca="false">IF(OR($I711="",$I711="NR"),0,IFERROR(MATCH($I711,GradeList,0),0))</f>
        <v>0</v>
      </c>
      <c r="P711" s="64" t="n">
        <f aca="false">IF(AND($M711&gt;0,ISNUMBER(MATCH($F711,Lists!$A$2:$A$5,0)),ISNUMBER(MATCH($G711,Lists!$B$2:$B$7,0)),OR($H711="",$N711&gt;0),OR($I711="",$I711="NR",$O711&gt;0),IF(ISNUMBER($J711),AND($J711&gt;=0,$J711=INT($J711)),FALSE())),$J711,0)</f>
        <v>0</v>
      </c>
      <c r="Q711" s="64" t="n">
        <f aca="false">IF(AND($P711&gt;0,$O711&gt;0),$P711,0)</f>
        <v>0</v>
      </c>
      <c r="R711" s="64" t="n">
        <f aca="false">IF(AND($Q711&gt;0,$O711&gt;=AtRank),$Q711,0)</f>
        <v>0</v>
      </c>
      <c r="S711" s="64" t="n">
        <f aca="false">IF(AND($Q711&gt;0,$O711&gt;=AboveRank),$Q711,0)</f>
        <v>0</v>
      </c>
      <c r="T711" s="64" t="n">
        <f aca="false">IF($K711="Less",$P711,0)</f>
        <v>0</v>
      </c>
      <c r="U711" s="64" t="n">
        <f aca="false">IF($K711="Expected",$P711,0)</f>
        <v>0</v>
      </c>
      <c r="V711" s="64" t="n">
        <f aca="false">IF($K711="Better",$P711,0)</f>
        <v>0</v>
      </c>
      <c r="W711" s="64" t="n">
        <f aca="false">IF($K711="U – needs rule",$P711,0)</f>
        <v>0</v>
      </c>
      <c r="X711" s="64" t="n">
        <f aca="false">IF($K711="No Start (attainment only)",$P711,0)</f>
        <v>0</v>
      </c>
    </row>
    <row r="712" customFormat="false" ht="15" hidden="false" customHeight="false" outlineLevel="0" collapsed="false">
      <c r="A712" s="60"/>
      <c r="B712" s="61" t="str">
        <f aca="false">IF($M712=0,"",INDEX(Classes!$E$6:$E$420,$M712))</f>
        <v/>
      </c>
      <c r="C712" s="62" t="str">
        <f aca="false">IF($M712=0,"",INDEX(Classes!$H$6:$H$420,$M712))</f>
        <v/>
      </c>
      <c r="D712" s="61" t="str">
        <f aca="false">IF($M712=0,"",INDEX(Classes!$B$6:$B$420,$M712))</f>
        <v/>
      </c>
      <c r="E712" s="61" t="str">
        <f aca="false">IF($M712=0,"",INDEX(Classes!$C$6:$C$420,$M712))</f>
        <v/>
      </c>
      <c r="F712" s="63"/>
      <c r="G712" s="63"/>
      <c r="H712" s="60"/>
      <c r="I712" s="60"/>
      <c r="J712" s="63"/>
      <c r="K712" s="61" t="str">
        <f aca="false">IF($P712=0,"",IF($F712="Baseline","— Baseline",IF($O712=0,"No result",IF($N712=0,"No Start (attainment only)",IF(OR($N712=1,$O712=1),"U – needs rule",INDEX(MxBody,MATCH($I712,MxCurr,0),MATCH($H712,MxStart,0)))))))</f>
        <v/>
      </c>
      <c r="L712" s="62" t="str">
        <f aca="false">IF(COUNTA($A712,$F712,$G712,$H712,$I712,$J712)=0,"",IF($M712=0,"✖ كود الصف غير موجود",IF(ISNA(MATCH($F712,Lists!$A$2:$A$5,0)),"✖ الفترة غير صحيحة",IF(ISNA(MATCH($G712,Lists!$B$2:$B$7,0)),"✖ المجموعة غير صحيحة",IF(NOT(OR($H712="",$N712&gt;0)),"✖ Start غير صحيح",IF(NOT(OR($I712="",$I712="NR",$O712&gt;0)),"✖ Current غير صحيح",IF(NOT(IF(ISNUMBER($J712),AND($J712&gt;=0,$J712=INT($J712)),FALSE())),"✖ العدد يجب أن يكون صحيحًا ≥ 0",IF(AND($F712="Baseline",$H712&lt;&gt;""),"⚠ Baseline: Start لا يدخل في التقدم",IF($K712="No Start (attainment only)","ℹ تحصيل فقط (بدون Start)",IF($K712="U – needs rule","ℹ حالة U تحتاج قاعدة معتمدة",IF($K712="No result","ℹ بدون نتيجة (يُستبعد من التحصيل)","OK")))))))))))</f>
        <v/>
      </c>
      <c r="M712" s="64" t="n">
        <f aca="false">IF($A712="",0,IFERROR(MATCH($A712,Classes!$A$6:$A$420,0),0))</f>
        <v>0</v>
      </c>
      <c r="N712" s="64" t="n">
        <f aca="false">IF($H712="",0,IFERROR(MATCH($H712,GradeList,0),0))</f>
        <v>0</v>
      </c>
      <c r="O712" s="64" t="n">
        <f aca="false">IF(OR($I712="",$I712="NR"),0,IFERROR(MATCH($I712,GradeList,0),0))</f>
        <v>0</v>
      </c>
      <c r="P712" s="64" t="n">
        <f aca="false">IF(AND($M712&gt;0,ISNUMBER(MATCH($F712,Lists!$A$2:$A$5,0)),ISNUMBER(MATCH($G712,Lists!$B$2:$B$7,0)),OR($H712="",$N712&gt;0),OR($I712="",$I712="NR",$O712&gt;0),IF(ISNUMBER($J712),AND($J712&gt;=0,$J712=INT($J712)),FALSE())),$J712,0)</f>
        <v>0</v>
      </c>
      <c r="Q712" s="64" t="n">
        <f aca="false">IF(AND($P712&gt;0,$O712&gt;0),$P712,0)</f>
        <v>0</v>
      </c>
      <c r="R712" s="64" t="n">
        <f aca="false">IF(AND($Q712&gt;0,$O712&gt;=AtRank),$Q712,0)</f>
        <v>0</v>
      </c>
      <c r="S712" s="64" t="n">
        <f aca="false">IF(AND($Q712&gt;0,$O712&gt;=AboveRank),$Q712,0)</f>
        <v>0</v>
      </c>
      <c r="T712" s="64" t="n">
        <f aca="false">IF($K712="Less",$P712,0)</f>
        <v>0</v>
      </c>
      <c r="U712" s="64" t="n">
        <f aca="false">IF($K712="Expected",$P712,0)</f>
        <v>0</v>
      </c>
      <c r="V712" s="64" t="n">
        <f aca="false">IF($K712="Better",$P712,0)</f>
        <v>0</v>
      </c>
      <c r="W712" s="64" t="n">
        <f aca="false">IF($K712="U – needs rule",$P712,0)</f>
        <v>0</v>
      </c>
      <c r="X712" s="64" t="n">
        <f aca="false">IF($K712="No Start (attainment only)",$P712,0)</f>
        <v>0</v>
      </c>
    </row>
    <row r="713" customFormat="false" ht="15" hidden="false" customHeight="false" outlineLevel="0" collapsed="false">
      <c r="A713" s="60"/>
      <c r="B713" s="61" t="str">
        <f aca="false">IF($M713=0,"",INDEX(Classes!$E$6:$E$420,$M713))</f>
        <v/>
      </c>
      <c r="C713" s="62" t="str">
        <f aca="false">IF($M713=0,"",INDEX(Classes!$H$6:$H$420,$M713))</f>
        <v/>
      </c>
      <c r="D713" s="61" t="str">
        <f aca="false">IF($M713=0,"",INDEX(Classes!$B$6:$B$420,$M713))</f>
        <v/>
      </c>
      <c r="E713" s="61" t="str">
        <f aca="false">IF($M713=0,"",INDEX(Classes!$C$6:$C$420,$M713))</f>
        <v/>
      </c>
      <c r="F713" s="63"/>
      <c r="G713" s="63"/>
      <c r="H713" s="60"/>
      <c r="I713" s="60"/>
      <c r="J713" s="63"/>
      <c r="K713" s="61" t="str">
        <f aca="false">IF($P713=0,"",IF($F713="Baseline","— Baseline",IF($O713=0,"No result",IF($N713=0,"No Start (attainment only)",IF(OR($N713=1,$O713=1),"U – needs rule",INDEX(MxBody,MATCH($I713,MxCurr,0),MATCH($H713,MxStart,0)))))))</f>
        <v/>
      </c>
      <c r="L713" s="62" t="str">
        <f aca="false">IF(COUNTA($A713,$F713,$G713,$H713,$I713,$J713)=0,"",IF($M713=0,"✖ كود الصف غير موجود",IF(ISNA(MATCH($F713,Lists!$A$2:$A$5,0)),"✖ الفترة غير صحيحة",IF(ISNA(MATCH($G713,Lists!$B$2:$B$7,0)),"✖ المجموعة غير صحيحة",IF(NOT(OR($H713="",$N713&gt;0)),"✖ Start غير صحيح",IF(NOT(OR($I713="",$I713="NR",$O713&gt;0)),"✖ Current غير صحيح",IF(NOT(IF(ISNUMBER($J713),AND($J713&gt;=0,$J713=INT($J713)),FALSE())),"✖ العدد يجب أن يكون صحيحًا ≥ 0",IF(AND($F713="Baseline",$H713&lt;&gt;""),"⚠ Baseline: Start لا يدخل في التقدم",IF($K713="No Start (attainment only)","ℹ تحصيل فقط (بدون Start)",IF($K713="U – needs rule","ℹ حالة U تحتاج قاعدة معتمدة",IF($K713="No result","ℹ بدون نتيجة (يُستبعد من التحصيل)","OK")))))))))))</f>
        <v/>
      </c>
      <c r="M713" s="64" t="n">
        <f aca="false">IF($A713="",0,IFERROR(MATCH($A713,Classes!$A$6:$A$420,0),0))</f>
        <v>0</v>
      </c>
      <c r="N713" s="64" t="n">
        <f aca="false">IF($H713="",0,IFERROR(MATCH($H713,GradeList,0),0))</f>
        <v>0</v>
      </c>
      <c r="O713" s="64" t="n">
        <f aca="false">IF(OR($I713="",$I713="NR"),0,IFERROR(MATCH($I713,GradeList,0),0))</f>
        <v>0</v>
      </c>
      <c r="P713" s="64" t="n">
        <f aca="false">IF(AND($M713&gt;0,ISNUMBER(MATCH($F713,Lists!$A$2:$A$5,0)),ISNUMBER(MATCH($G713,Lists!$B$2:$B$7,0)),OR($H713="",$N713&gt;0),OR($I713="",$I713="NR",$O713&gt;0),IF(ISNUMBER($J713),AND($J713&gt;=0,$J713=INT($J713)),FALSE())),$J713,0)</f>
        <v>0</v>
      </c>
      <c r="Q713" s="64" t="n">
        <f aca="false">IF(AND($P713&gt;0,$O713&gt;0),$P713,0)</f>
        <v>0</v>
      </c>
      <c r="R713" s="64" t="n">
        <f aca="false">IF(AND($Q713&gt;0,$O713&gt;=AtRank),$Q713,0)</f>
        <v>0</v>
      </c>
      <c r="S713" s="64" t="n">
        <f aca="false">IF(AND($Q713&gt;0,$O713&gt;=AboveRank),$Q713,0)</f>
        <v>0</v>
      </c>
      <c r="T713" s="64" t="n">
        <f aca="false">IF($K713="Less",$P713,0)</f>
        <v>0</v>
      </c>
      <c r="U713" s="64" t="n">
        <f aca="false">IF($K713="Expected",$P713,0)</f>
        <v>0</v>
      </c>
      <c r="V713" s="64" t="n">
        <f aca="false">IF($K713="Better",$P713,0)</f>
        <v>0</v>
      </c>
      <c r="W713" s="64" t="n">
        <f aca="false">IF($K713="U – needs rule",$P713,0)</f>
        <v>0</v>
      </c>
      <c r="X713" s="64" t="n">
        <f aca="false">IF($K713="No Start (attainment only)",$P713,0)</f>
        <v>0</v>
      </c>
    </row>
    <row r="714" customFormat="false" ht="15" hidden="false" customHeight="false" outlineLevel="0" collapsed="false">
      <c r="A714" s="60"/>
      <c r="B714" s="61" t="str">
        <f aca="false">IF($M714=0,"",INDEX(Classes!$E$6:$E$420,$M714))</f>
        <v/>
      </c>
      <c r="C714" s="62" t="str">
        <f aca="false">IF($M714=0,"",INDEX(Classes!$H$6:$H$420,$M714))</f>
        <v/>
      </c>
      <c r="D714" s="61" t="str">
        <f aca="false">IF($M714=0,"",INDEX(Classes!$B$6:$B$420,$M714))</f>
        <v/>
      </c>
      <c r="E714" s="61" t="str">
        <f aca="false">IF($M714=0,"",INDEX(Classes!$C$6:$C$420,$M714))</f>
        <v/>
      </c>
      <c r="F714" s="63"/>
      <c r="G714" s="63"/>
      <c r="H714" s="60"/>
      <c r="I714" s="60"/>
      <c r="J714" s="63"/>
      <c r="K714" s="61" t="str">
        <f aca="false">IF($P714=0,"",IF($F714="Baseline","— Baseline",IF($O714=0,"No result",IF($N714=0,"No Start (attainment only)",IF(OR($N714=1,$O714=1),"U – needs rule",INDEX(MxBody,MATCH($I714,MxCurr,0),MATCH($H714,MxStart,0)))))))</f>
        <v/>
      </c>
      <c r="L714" s="62" t="str">
        <f aca="false">IF(COUNTA($A714,$F714,$G714,$H714,$I714,$J714)=0,"",IF($M714=0,"✖ كود الصف غير موجود",IF(ISNA(MATCH($F714,Lists!$A$2:$A$5,0)),"✖ الفترة غير صحيحة",IF(ISNA(MATCH($G714,Lists!$B$2:$B$7,0)),"✖ المجموعة غير صحيحة",IF(NOT(OR($H714="",$N714&gt;0)),"✖ Start غير صحيح",IF(NOT(OR($I714="",$I714="NR",$O714&gt;0)),"✖ Current غير صحيح",IF(NOT(IF(ISNUMBER($J714),AND($J714&gt;=0,$J714=INT($J714)),FALSE())),"✖ العدد يجب أن يكون صحيحًا ≥ 0",IF(AND($F714="Baseline",$H714&lt;&gt;""),"⚠ Baseline: Start لا يدخل في التقدم",IF($K714="No Start (attainment only)","ℹ تحصيل فقط (بدون Start)",IF($K714="U – needs rule","ℹ حالة U تحتاج قاعدة معتمدة",IF($K714="No result","ℹ بدون نتيجة (يُستبعد من التحصيل)","OK")))))))))))</f>
        <v/>
      </c>
      <c r="M714" s="64" t="n">
        <f aca="false">IF($A714="",0,IFERROR(MATCH($A714,Classes!$A$6:$A$420,0),0))</f>
        <v>0</v>
      </c>
      <c r="N714" s="64" t="n">
        <f aca="false">IF($H714="",0,IFERROR(MATCH($H714,GradeList,0),0))</f>
        <v>0</v>
      </c>
      <c r="O714" s="64" t="n">
        <f aca="false">IF(OR($I714="",$I714="NR"),0,IFERROR(MATCH($I714,GradeList,0),0))</f>
        <v>0</v>
      </c>
      <c r="P714" s="64" t="n">
        <f aca="false">IF(AND($M714&gt;0,ISNUMBER(MATCH($F714,Lists!$A$2:$A$5,0)),ISNUMBER(MATCH($G714,Lists!$B$2:$B$7,0)),OR($H714="",$N714&gt;0),OR($I714="",$I714="NR",$O714&gt;0),IF(ISNUMBER($J714),AND($J714&gt;=0,$J714=INT($J714)),FALSE())),$J714,0)</f>
        <v>0</v>
      </c>
      <c r="Q714" s="64" t="n">
        <f aca="false">IF(AND($P714&gt;0,$O714&gt;0),$P714,0)</f>
        <v>0</v>
      </c>
      <c r="R714" s="64" t="n">
        <f aca="false">IF(AND($Q714&gt;0,$O714&gt;=AtRank),$Q714,0)</f>
        <v>0</v>
      </c>
      <c r="S714" s="64" t="n">
        <f aca="false">IF(AND($Q714&gt;0,$O714&gt;=AboveRank),$Q714,0)</f>
        <v>0</v>
      </c>
      <c r="T714" s="64" t="n">
        <f aca="false">IF($K714="Less",$P714,0)</f>
        <v>0</v>
      </c>
      <c r="U714" s="64" t="n">
        <f aca="false">IF($K714="Expected",$P714,0)</f>
        <v>0</v>
      </c>
      <c r="V714" s="64" t="n">
        <f aca="false">IF($K714="Better",$P714,0)</f>
        <v>0</v>
      </c>
      <c r="W714" s="64" t="n">
        <f aca="false">IF($K714="U – needs rule",$P714,0)</f>
        <v>0</v>
      </c>
      <c r="X714" s="64" t="n">
        <f aca="false">IF($K714="No Start (attainment only)",$P714,0)</f>
        <v>0</v>
      </c>
    </row>
    <row r="715" customFormat="false" ht="15" hidden="false" customHeight="false" outlineLevel="0" collapsed="false">
      <c r="A715" s="60"/>
      <c r="B715" s="61" t="str">
        <f aca="false">IF($M715=0,"",INDEX(Classes!$E$6:$E$420,$M715))</f>
        <v/>
      </c>
      <c r="C715" s="62" t="str">
        <f aca="false">IF($M715=0,"",INDEX(Classes!$H$6:$H$420,$M715))</f>
        <v/>
      </c>
      <c r="D715" s="61" t="str">
        <f aca="false">IF($M715=0,"",INDEX(Classes!$B$6:$B$420,$M715))</f>
        <v/>
      </c>
      <c r="E715" s="61" t="str">
        <f aca="false">IF($M715=0,"",INDEX(Classes!$C$6:$C$420,$M715))</f>
        <v/>
      </c>
      <c r="F715" s="63"/>
      <c r="G715" s="63"/>
      <c r="H715" s="60"/>
      <c r="I715" s="60"/>
      <c r="J715" s="63"/>
      <c r="K715" s="61" t="str">
        <f aca="false">IF($P715=0,"",IF($F715="Baseline","— Baseline",IF($O715=0,"No result",IF($N715=0,"No Start (attainment only)",IF(OR($N715=1,$O715=1),"U – needs rule",INDEX(MxBody,MATCH($I715,MxCurr,0),MATCH($H715,MxStart,0)))))))</f>
        <v/>
      </c>
      <c r="L715" s="62" t="str">
        <f aca="false">IF(COUNTA($A715,$F715,$G715,$H715,$I715,$J715)=0,"",IF($M715=0,"✖ كود الصف غير موجود",IF(ISNA(MATCH($F715,Lists!$A$2:$A$5,0)),"✖ الفترة غير صحيحة",IF(ISNA(MATCH($G715,Lists!$B$2:$B$7,0)),"✖ المجموعة غير صحيحة",IF(NOT(OR($H715="",$N715&gt;0)),"✖ Start غير صحيح",IF(NOT(OR($I715="",$I715="NR",$O715&gt;0)),"✖ Current غير صحيح",IF(NOT(IF(ISNUMBER($J715),AND($J715&gt;=0,$J715=INT($J715)),FALSE())),"✖ العدد يجب أن يكون صحيحًا ≥ 0",IF(AND($F715="Baseline",$H715&lt;&gt;""),"⚠ Baseline: Start لا يدخل في التقدم",IF($K715="No Start (attainment only)","ℹ تحصيل فقط (بدون Start)",IF($K715="U – needs rule","ℹ حالة U تحتاج قاعدة معتمدة",IF($K715="No result","ℹ بدون نتيجة (يُستبعد من التحصيل)","OK")))))))))))</f>
        <v/>
      </c>
      <c r="M715" s="64" t="n">
        <f aca="false">IF($A715="",0,IFERROR(MATCH($A715,Classes!$A$6:$A$420,0),0))</f>
        <v>0</v>
      </c>
      <c r="N715" s="64" t="n">
        <f aca="false">IF($H715="",0,IFERROR(MATCH($H715,GradeList,0),0))</f>
        <v>0</v>
      </c>
      <c r="O715" s="64" t="n">
        <f aca="false">IF(OR($I715="",$I715="NR"),0,IFERROR(MATCH($I715,GradeList,0),0))</f>
        <v>0</v>
      </c>
      <c r="P715" s="64" t="n">
        <f aca="false">IF(AND($M715&gt;0,ISNUMBER(MATCH($F715,Lists!$A$2:$A$5,0)),ISNUMBER(MATCH($G715,Lists!$B$2:$B$7,0)),OR($H715="",$N715&gt;0),OR($I715="",$I715="NR",$O715&gt;0),IF(ISNUMBER($J715),AND($J715&gt;=0,$J715=INT($J715)),FALSE())),$J715,0)</f>
        <v>0</v>
      </c>
      <c r="Q715" s="64" t="n">
        <f aca="false">IF(AND($P715&gt;0,$O715&gt;0),$P715,0)</f>
        <v>0</v>
      </c>
      <c r="R715" s="64" t="n">
        <f aca="false">IF(AND($Q715&gt;0,$O715&gt;=AtRank),$Q715,0)</f>
        <v>0</v>
      </c>
      <c r="S715" s="64" t="n">
        <f aca="false">IF(AND($Q715&gt;0,$O715&gt;=AboveRank),$Q715,0)</f>
        <v>0</v>
      </c>
      <c r="T715" s="64" t="n">
        <f aca="false">IF($K715="Less",$P715,0)</f>
        <v>0</v>
      </c>
      <c r="U715" s="64" t="n">
        <f aca="false">IF($K715="Expected",$P715,0)</f>
        <v>0</v>
      </c>
      <c r="V715" s="64" t="n">
        <f aca="false">IF($K715="Better",$P715,0)</f>
        <v>0</v>
      </c>
      <c r="W715" s="64" t="n">
        <f aca="false">IF($K715="U – needs rule",$P715,0)</f>
        <v>0</v>
      </c>
      <c r="X715" s="64" t="n">
        <f aca="false">IF($K715="No Start (attainment only)",$P715,0)</f>
        <v>0</v>
      </c>
    </row>
    <row r="716" customFormat="false" ht="15" hidden="false" customHeight="false" outlineLevel="0" collapsed="false">
      <c r="A716" s="60"/>
      <c r="B716" s="61" t="str">
        <f aca="false">IF($M716=0,"",INDEX(Classes!$E$6:$E$420,$M716))</f>
        <v/>
      </c>
      <c r="C716" s="62" t="str">
        <f aca="false">IF($M716=0,"",INDEX(Classes!$H$6:$H$420,$M716))</f>
        <v/>
      </c>
      <c r="D716" s="61" t="str">
        <f aca="false">IF($M716=0,"",INDEX(Classes!$B$6:$B$420,$M716))</f>
        <v/>
      </c>
      <c r="E716" s="61" t="str">
        <f aca="false">IF($M716=0,"",INDEX(Classes!$C$6:$C$420,$M716))</f>
        <v/>
      </c>
      <c r="F716" s="63"/>
      <c r="G716" s="63"/>
      <c r="H716" s="60"/>
      <c r="I716" s="60"/>
      <c r="J716" s="63"/>
      <c r="K716" s="61" t="str">
        <f aca="false">IF($P716=0,"",IF($F716="Baseline","— Baseline",IF($O716=0,"No result",IF($N716=0,"No Start (attainment only)",IF(OR($N716=1,$O716=1),"U – needs rule",INDEX(MxBody,MATCH($I716,MxCurr,0),MATCH($H716,MxStart,0)))))))</f>
        <v/>
      </c>
      <c r="L716" s="62" t="str">
        <f aca="false">IF(COUNTA($A716,$F716,$G716,$H716,$I716,$J716)=0,"",IF($M716=0,"✖ كود الصف غير موجود",IF(ISNA(MATCH($F716,Lists!$A$2:$A$5,0)),"✖ الفترة غير صحيحة",IF(ISNA(MATCH($G716,Lists!$B$2:$B$7,0)),"✖ المجموعة غير صحيحة",IF(NOT(OR($H716="",$N716&gt;0)),"✖ Start غير صحيح",IF(NOT(OR($I716="",$I716="NR",$O716&gt;0)),"✖ Current غير صحيح",IF(NOT(IF(ISNUMBER($J716),AND($J716&gt;=0,$J716=INT($J716)),FALSE())),"✖ العدد يجب أن يكون صحيحًا ≥ 0",IF(AND($F716="Baseline",$H716&lt;&gt;""),"⚠ Baseline: Start لا يدخل في التقدم",IF($K716="No Start (attainment only)","ℹ تحصيل فقط (بدون Start)",IF($K716="U – needs rule","ℹ حالة U تحتاج قاعدة معتمدة",IF($K716="No result","ℹ بدون نتيجة (يُستبعد من التحصيل)","OK")))))))))))</f>
        <v/>
      </c>
      <c r="M716" s="64" t="n">
        <f aca="false">IF($A716="",0,IFERROR(MATCH($A716,Classes!$A$6:$A$420,0),0))</f>
        <v>0</v>
      </c>
      <c r="N716" s="64" t="n">
        <f aca="false">IF($H716="",0,IFERROR(MATCH($H716,GradeList,0),0))</f>
        <v>0</v>
      </c>
      <c r="O716" s="64" t="n">
        <f aca="false">IF(OR($I716="",$I716="NR"),0,IFERROR(MATCH($I716,GradeList,0),0))</f>
        <v>0</v>
      </c>
      <c r="P716" s="64" t="n">
        <f aca="false">IF(AND($M716&gt;0,ISNUMBER(MATCH($F716,Lists!$A$2:$A$5,0)),ISNUMBER(MATCH($G716,Lists!$B$2:$B$7,0)),OR($H716="",$N716&gt;0),OR($I716="",$I716="NR",$O716&gt;0),IF(ISNUMBER($J716),AND($J716&gt;=0,$J716=INT($J716)),FALSE())),$J716,0)</f>
        <v>0</v>
      </c>
      <c r="Q716" s="64" t="n">
        <f aca="false">IF(AND($P716&gt;0,$O716&gt;0),$P716,0)</f>
        <v>0</v>
      </c>
      <c r="R716" s="64" t="n">
        <f aca="false">IF(AND($Q716&gt;0,$O716&gt;=AtRank),$Q716,0)</f>
        <v>0</v>
      </c>
      <c r="S716" s="64" t="n">
        <f aca="false">IF(AND($Q716&gt;0,$O716&gt;=AboveRank),$Q716,0)</f>
        <v>0</v>
      </c>
      <c r="T716" s="64" t="n">
        <f aca="false">IF($K716="Less",$P716,0)</f>
        <v>0</v>
      </c>
      <c r="U716" s="64" t="n">
        <f aca="false">IF($K716="Expected",$P716,0)</f>
        <v>0</v>
      </c>
      <c r="V716" s="64" t="n">
        <f aca="false">IF($K716="Better",$P716,0)</f>
        <v>0</v>
      </c>
      <c r="W716" s="64" t="n">
        <f aca="false">IF($K716="U – needs rule",$P716,0)</f>
        <v>0</v>
      </c>
      <c r="X716" s="64" t="n">
        <f aca="false">IF($K716="No Start (attainment only)",$P716,0)</f>
        <v>0</v>
      </c>
    </row>
    <row r="717" customFormat="false" ht="15" hidden="false" customHeight="false" outlineLevel="0" collapsed="false">
      <c r="A717" s="60"/>
      <c r="B717" s="61" t="str">
        <f aca="false">IF($M717=0,"",INDEX(Classes!$E$6:$E$420,$M717))</f>
        <v/>
      </c>
      <c r="C717" s="62" t="str">
        <f aca="false">IF($M717=0,"",INDEX(Classes!$H$6:$H$420,$M717))</f>
        <v/>
      </c>
      <c r="D717" s="61" t="str">
        <f aca="false">IF($M717=0,"",INDEX(Classes!$B$6:$B$420,$M717))</f>
        <v/>
      </c>
      <c r="E717" s="61" t="str">
        <f aca="false">IF($M717=0,"",INDEX(Classes!$C$6:$C$420,$M717))</f>
        <v/>
      </c>
      <c r="F717" s="63"/>
      <c r="G717" s="63"/>
      <c r="H717" s="60"/>
      <c r="I717" s="60"/>
      <c r="J717" s="63"/>
      <c r="K717" s="61" t="str">
        <f aca="false">IF($P717=0,"",IF($F717="Baseline","— Baseline",IF($O717=0,"No result",IF($N717=0,"No Start (attainment only)",IF(OR($N717=1,$O717=1),"U – needs rule",INDEX(MxBody,MATCH($I717,MxCurr,0),MATCH($H717,MxStart,0)))))))</f>
        <v/>
      </c>
      <c r="L717" s="62" t="str">
        <f aca="false">IF(COUNTA($A717,$F717,$G717,$H717,$I717,$J717)=0,"",IF($M717=0,"✖ كود الصف غير موجود",IF(ISNA(MATCH($F717,Lists!$A$2:$A$5,0)),"✖ الفترة غير صحيحة",IF(ISNA(MATCH($G717,Lists!$B$2:$B$7,0)),"✖ المجموعة غير صحيحة",IF(NOT(OR($H717="",$N717&gt;0)),"✖ Start غير صحيح",IF(NOT(OR($I717="",$I717="NR",$O717&gt;0)),"✖ Current غير صحيح",IF(NOT(IF(ISNUMBER($J717),AND($J717&gt;=0,$J717=INT($J717)),FALSE())),"✖ العدد يجب أن يكون صحيحًا ≥ 0",IF(AND($F717="Baseline",$H717&lt;&gt;""),"⚠ Baseline: Start لا يدخل في التقدم",IF($K717="No Start (attainment only)","ℹ تحصيل فقط (بدون Start)",IF($K717="U – needs rule","ℹ حالة U تحتاج قاعدة معتمدة",IF($K717="No result","ℹ بدون نتيجة (يُستبعد من التحصيل)","OK")))))))))))</f>
        <v/>
      </c>
      <c r="M717" s="64" t="n">
        <f aca="false">IF($A717="",0,IFERROR(MATCH($A717,Classes!$A$6:$A$420,0),0))</f>
        <v>0</v>
      </c>
      <c r="N717" s="64" t="n">
        <f aca="false">IF($H717="",0,IFERROR(MATCH($H717,GradeList,0),0))</f>
        <v>0</v>
      </c>
      <c r="O717" s="64" t="n">
        <f aca="false">IF(OR($I717="",$I717="NR"),0,IFERROR(MATCH($I717,GradeList,0),0))</f>
        <v>0</v>
      </c>
      <c r="P717" s="64" t="n">
        <f aca="false">IF(AND($M717&gt;0,ISNUMBER(MATCH($F717,Lists!$A$2:$A$5,0)),ISNUMBER(MATCH($G717,Lists!$B$2:$B$7,0)),OR($H717="",$N717&gt;0),OR($I717="",$I717="NR",$O717&gt;0),IF(ISNUMBER($J717),AND($J717&gt;=0,$J717=INT($J717)),FALSE())),$J717,0)</f>
        <v>0</v>
      </c>
      <c r="Q717" s="64" t="n">
        <f aca="false">IF(AND($P717&gt;0,$O717&gt;0),$P717,0)</f>
        <v>0</v>
      </c>
      <c r="R717" s="64" t="n">
        <f aca="false">IF(AND($Q717&gt;0,$O717&gt;=AtRank),$Q717,0)</f>
        <v>0</v>
      </c>
      <c r="S717" s="64" t="n">
        <f aca="false">IF(AND($Q717&gt;0,$O717&gt;=AboveRank),$Q717,0)</f>
        <v>0</v>
      </c>
      <c r="T717" s="64" t="n">
        <f aca="false">IF($K717="Less",$P717,0)</f>
        <v>0</v>
      </c>
      <c r="U717" s="64" t="n">
        <f aca="false">IF($K717="Expected",$P717,0)</f>
        <v>0</v>
      </c>
      <c r="V717" s="64" t="n">
        <f aca="false">IF($K717="Better",$P717,0)</f>
        <v>0</v>
      </c>
      <c r="W717" s="64" t="n">
        <f aca="false">IF($K717="U – needs rule",$P717,0)</f>
        <v>0</v>
      </c>
      <c r="X717" s="64" t="n">
        <f aca="false">IF($K717="No Start (attainment only)",$P717,0)</f>
        <v>0</v>
      </c>
    </row>
    <row r="718" customFormat="false" ht="15" hidden="false" customHeight="false" outlineLevel="0" collapsed="false">
      <c r="A718" s="60"/>
      <c r="B718" s="61" t="str">
        <f aca="false">IF($M718=0,"",INDEX(Classes!$E$6:$E$420,$M718))</f>
        <v/>
      </c>
      <c r="C718" s="62" t="str">
        <f aca="false">IF($M718=0,"",INDEX(Classes!$H$6:$H$420,$M718))</f>
        <v/>
      </c>
      <c r="D718" s="61" t="str">
        <f aca="false">IF($M718=0,"",INDEX(Classes!$B$6:$B$420,$M718))</f>
        <v/>
      </c>
      <c r="E718" s="61" t="str">
        <f aca="false">IF($M718=0,"",INDEX(Classes!$C$6:$C$420,$M718))</f>
        <v/>
      </c>
      <c r="F718" s="63"/>
      <c r="G718" s="63"/>
      <c r="H718" s="60"/>
      <c r="I718" s="60"/>
      <c r="J718" s="63"/>
      <c r="K718" s="61" t="str">
        <f aca="false">IF($P718=0,"",IF($F718="Baseline","— Baseline",IF($O718=0,"No result",IF($N718=0,"No Start (attainment only)",IF(OR($N718=1,$O718=1),"U – needs rule",INDEX(MxBody,MATCH($I718,MxCurr,0),MATCH($H718,MxStart,0)))))))</f>
        <v/>
      </c>
      <c r="L718" s="62" t="str">
        <f aca="false">IF(COUNTA($A718,$F718,$G718,$H718,$I718,$J718)=0,"",IF($M718=0,"✖ كود الصف غير موجود",IF(ISNA(MATCH($F718,Lists!$A$2:$A$5,0)),"✖ الفترة غير صحيحة",IF(ISNA(MATCH($G718,Lists!$B$2:$B$7,0)),"✖ المجموعة غير صحيحة",IF(NOT(OR($H718="",$N718&gt;0)),"✖ Start غير صحيح",IF(NOT(OR($I718="",$I718="NR",$O718&gt;0)),"✖ Current غير صحيح",IF(NOT(IF(ISNUMBER($J718),AND($J718&gt;=0,$J718=INT($J718)),FALSE())),"✖ العدد يجب أن يكون صحيحًا ≥ 0",IF(AND($F718="Baseline",$H718&lt;&gt;""),"⚠ Baseline: Start لا يدخل في التقدم",IF($K718="No Start (attainment only)","ℹ تحصيل فقط (بدون Start)",IF($K718="U – needs rule","ℹ حالة U تحتاج قاعدة معتمدة",IF($K718="No result","ℹ بدون نتيجة (يُستبعد من التحصيل)","OK")))))))))))</f>
        <v/>
      </c>
      <c r="M718" s="64" t="n">
        <f aca="false">IF($A718="",0,IFERROR(MATCH($A718,Classes!$A$6:$A$420,0),0))</f>
        <v>0</v>
      </c>
      <c r="N718" s="64" t="n">
        <f aca="false">IF($H718="",0,IFERROR(MATCH($H718,GradeList,0),0))</f>
        <v>0</v>
      </c>
      <c r="O718" s="64" t="n">
        <f aca="false">IF(OR($I718="",$I718="NR"),0,IFERROR(MATCH($I718,GradeList,0),0))</f>
        <v>0</v>
      </c>
      <c r="P718" s="64" t="n">
        <f aca="false">IF(AND($M718&gt;0,ISNUMBER(MATCH($F718,Lists!$A$2:$A$5,0)),ISNUMBER(MATCH($G718,Lists!$B$2:$B$7,0)),OR($H718="",$N718&gt;0),OR($I718="",$I718="NR",$O718&gt;0),IF(ISNUMBER($J718),AND($J718&gt;=0,$J718=INT($J718)),FALSE())),$J718,0)</f>
        <v>0</v>
      </c>
      <c r="Q718" s="64" t="n">
        <f aca="false">IF(AND($P718&gt;0,$O718&gt;0),$P718,0)</f>
        <v>0</v>
      </c>
      <c r="R718" s="64" t="n">
        <f aca="false">IF(AND($Q718&gt;0,$O718&gt;=AtRank),$Q718,0)</f>
        <v>0</v>
      </c>
      <c r="S718" s="64" t="n">
        <f aca="false">IF(AND($Q718&gt;0,$O718&gt;=AboveRank),$Q718,0)</f>
        <v>0</v>
      </c>
      <c r="T718" s="64" t="n">
        <f aca="false">IF($K718="Less",$P718,0)</f>
        <v>0</v>
      </c>
      <c r="U718" s="64" t="n">
        <f aca="false">IF($K718="Expected",$P718,0)</f>
        <v>0</v>
      </c>
      <c r="V718" s="64" t="n">
        <f aca="false">IF($K718="Better",$P718,0)</f>
        <v>0</v>
      </c>
      <c r="W718" s="64" t="n">
        <f aca="false">IF($K718="U – needs rule",$P718,0)</f>
        <v>0</v>
      </c>
      <c r="X718" s="64" t="n">
        <f aca="false">IF($K718="No Start (attainment only)",$P718,0)</f>
        <v>0</v>
      </c>
    </row>
    <row r="719" customFormat="false" ht="15" hidden="false" customHeight="false" outlineLevel="0" collapsed="false">
      <c r="A719" s="60"/>
      <c r="B719" s="61" t="str">
        <f aca="false">IF($M719=0,"",INDEX(Classes!$E$6:$E$420,$M719))</f>
        <v/>
      </c>
      <c r="C719" s="62" t="str">
        <f aca="false">IF($M719=0,"",INDEX(Classes!$H$6:$H$420,$M719))</f>
        <v/>
      </c>
      <c r="D719" s="61" t="str">
        <f aca="false">IF($M719=0,"",INDEX(Classes!$B$6:$B$420,$M719))</f>
        <v/>
      </c>
      <c r="E719" s="61" t="str">
        <f aca="false">IF($M719=0,"",INDEX(Classes!$C$6:$C$420,$M719))</f>
        <v/>
      </c>
      <c r="F719" s="63"/>
      <c r="G719" s="63"/>
      <c r="H719" s="60"/>
      <c r="I719" s="60"/>
      <c r="J719" s="63"/>
      <c r="K719" s="61" t="str">
        <f aca="false">IF($P719=0,"",IF($F719="Baseline","— Baseline",IF($O719=0,"No result",IF($N719=0,"No Start (attainment only)",IF(OR($N719=1,$O719=1),"U – needs rule",INDEX(MxBody,MATCH($I719,MxCurr,0),MATCH($H719,MxStart,0)))))))</f>
        <v/>
      </c>
      <c r="L719" s="62" t="str">
        <f aca="false">IF(COUNTA($A719,$F719,$G719,$H719,$I719,$J719)=0,"",IF($M719=0,"✖ كود الصف غير موجود",IF(ISNA(MATCH($F719,Lists!$A$2:$A$5,0)),"✖ الفترة غير صحيحة",IF(ISNA(MATCH($G719,Lists!$B$2:$B$7,0)),"✖ المجموعة غير صحيحة",IF(NOT(OR($H719="",$N719&gt;0)),"✖ Start غير صحيح",IF(NOT(OR($I719="",$I719="NR",$O719&gt;0)),"✖ Current غير صحيح",IF(NOT(IF(ISNUMBER($J719),AND($J719&gt;=0,$J719=INT($J719)),FALSE())),"✖ العدد يجب أن يكون صحيحًا ≥ 0",IF(AND($F719="Baseline",$H719&lt;&gt;""),"⚠ Baseline: Start لا يدخل في التقدم",IF($K719="No Start (attainment only)","ℹ تحصيل فقط (بدون Start)",IF($K719="U – needs rule","ℹ حالة U تحتاج قاعدة معتمدة",IF($K719="No result","ℹ بدون نتيجة (يُستبعد من التحصيل)","OK")))))))))))</f>
        <v/>
      </c>
      <c r="M719" s="64" t="n">
        <f aca="false">IF($A719="",0,IFERROR(MATCH($A719,Classes!$A$6:$A$420,0),0))</f>
        <v>0</v>
      </c>
      <c r="N719" s="64" t="n">
        <f aca="false">IF($H719="",0,IFERROR(MATCH($H719,GradeList,0),0))</f>
        <v>0</v>
      </c>
      <c r="O719" s="64" t="n">
        <f aca="false">IF(OR($I719="",$I719="NR"),0,IFERROR(MATCH($I719,GradeList,0),0))</f>
        <v>0</v>
      </c>
      <c r="P719" s="64" t="n">
        <f aca="false">IF(AND($M719&gt;0,ISNUMBER(MATCH($F719,Lists!$A$2:$A$5,0)),ISNUMBER(MATCH($G719,Lists!$B$2:$B$7,0)),OR($H719="",$N719&gt;0),OR($I719="",$I719="NR",$O719&gt;0),IF(ISNUMBER($J719),AND($J719&gt;=0,$J719=INT($J719)),FALSE())),$J719,0)</f>
        <v>0</v>
      </c>
      <c r="Q719" s="64" t="n">
        <f aca="false">IF(AND($P719&gt;0,$O719&gt;0),$P719,0)</f>
        <v>0</v>
      </c>
      <c r="R719" s="64" t="n">
        <f aca="false">IF(AND($Q719&gt;0,$O719&gt;=AtRank),$Q719,0)</f>
        <v>0</v>
      </c>
      <c r="S719" s="64" t="n">
        <f aca="false">IF(AND($Q719&gt;0,$O719&gt;=AboveRank),$Q719,0)</f>
        <v>0</v>
      </c>
      <c r="T719" s="64" t="n">
        <f aca="false">IF($K719="Less",$P719,0)</f>
        <v>0</v>
      </c>
      <c r="U719" s="64" t="n">
        <f aca="false">IF($K719="Expected",$P719,0)</f>
        <v>0</v>
      </c>
      <c r="V719" s="64" t="n">
        <f aca="false">IF($K719="Better",$P719,0)</f>
        <v>0</v>
      </c>
      <c r="W719" s="64" t="n">
        <f aca="false">IF($K719="U – needs rule",$P719,0)</f>
        <v>0</v>
      </c>
      <c r="X719" s="64" t="n">
        <f aca="false">IF($K719="No Start (attainment only)",$P719,0)</f>
        <v>0</v>
      </c>
    </row>
    <row r="720" customFormat="false" ht="15" hidden="false" customHeight="false" outlineLevel="0" collapsed="false">
      <c r="A720" s="60"/>
      <c r="B720" s="61" t="str">
        <f aca="false">IF($M720=0,"",INDEX(Classes!$E$6:$E$420,$M720))</f>
        <v/>
      </c>
      <c r="C720" s="62" t="str">
        <f aca="false">IF($M720=0,"",INDEX(Classes!$H$6:$H$420,$M720))</f>
        <v/>
      </c>
      <c r="D720" s="61" t="str">
        <f aca="false">IF($M720=0,"",INDEX(Classes!$B$6:$B$420,$M720))</f>
        <v/>
      </c>
      <c r="E720" s="61" t="str">
        <f aca="false">IF($M720=0,"",INDEX(Classes!$C$6:$C$420,$M720))</f>
        <v/>
      </c>
      <c r="F720" s="63"/>
      <c r="G720" s="63"/>
      <c r="H720" s="60"/>
      <c r="I720" s="60"/>
      <c r="J720" s="63"/>
      <c r="K720" s="61" t="str">
        <f aca="false">IF($P720=0,"",IF($F720="Baseline","— Baseline",IF($O720=0,"No result",IF($N720=0,"No Start (attainment only)",IF(OR($N720=1,$O720=1),"U – needs rule",INDEX(MxBody,MATCH($I720,MxCurr,0),MATCH($H720,MxStart,0)))))))</f>
        <v/>
      </c>
      <c r="L720" s="62" t="str">
        <f aca="false">IF(COUNTA($A720,$F720,$G720,$H720,$I720,$J720)=0,"",IF($M720=0,"✖ كود الصف غير موجود",IF(ISNA(MATCH($F720,Lists!$A$2:$A$5,0)),"✖ الفترة غير صحيحة",IF(ISNA(MATCH($G720,Lists!$B$2:$B$7,0)),"✖ المجموعة غير صحيحة",IF(NOT(OR($H720="",$N720&gt;0)),"✖ Start غير صحيح",IF(NOT(OR($I720="",$I720="NR",$O720&gt;0)),"✖ Current غير صحيح",IF(NOT(IF(ISNUMBER($J720),AND($J720&gt;=0,$J720=INT($J720)),FALSE())),"✖ العدد يجب أن يكون صحيحًا ≥ 0",IF(AND($F720="Baseline",$H720&lt;&gt;""),"⚠ Baseline: Start لا يدخل في التقدم",IF($K720="No Start (attainment only)","ℹ تحصيل فقط (بدون Start)",IF($K720="U – needs rule","ℹ حالة U تحتاج قاعدة معتمدة",IF($K720="No result","ℹ بدون نتيجة (يُستبعد من التحصيل)","OK")))))))))))</f>
        <v/>
      </c>
      <c r="M720" s="64" t="n">
        <f aca="false">IF($A720="",0,IFERROR(MATCH($A720,Classes!$A$6:$A$420,0),0))</f>
        <v>0</v>
      </c>
      <c r="N720" s="64" t="n">
        <f aca="false">IF($H720="",0,IFERROR(MATCH($H720,GradeList,0),0))</f>
        <v>0</v>
      </c>
      <c r="O720" s="64" t="n">
        <f aca="false">IF(OR($I720="",$I720="NR"),0,IFERROR(MATCH($I720,GradeList,0),0))</f>
        <v>0</v>
      </c>
      <c r="P720" s="64" t="n">
        <f aca="false">IF(AND($M720&gt;0,ISNUMBER(MATCH($F720,Lists!$A$2:$A$5,0)),ISNUMBER(MATCH($G720,Lists!$B$2:$B$7,0)),OR($H720="",$N720&gt;0),OR($I720="",$I720="NR",$O720&gt;0),IF(ISNUMBER($J720),AND($J720&gt;=0,$J720=INT($J720)),FALSE())),$J720,0)</f>
        <v>0</v>
      </c>
      <c r="Q720" s="64" t="n">
        <f aca="false">IF(AND($P720&gt;0,$O720&gt;0),$P720,0)</f>
        <v>0</v>
      </c>
      <c r="R720" s="64" t="n">
        <f aca="false">IF(AND($Q720&gt;0,$O720&gt;=AtRank),$Q720,0)</f>
        <v>0</v>
      </c>
      <c r="S720" s="64" t="n">
        <f aca="false">IF(AND($Q720&gt;0,$O720&gt;=AboveRank),$Q720,0)</f>
        <v>0</v>
      </c>
      <c r="T720" s="64" t="n">
        <f aca="false">IF($K720="Less",$P720,0)</f>
        <v>0</v>
      </c>
      <c r="U720" s="64" t="n">
        <f aca="false">IF($K720="Expected",$P720,0)</f>
        <v>0</v>
      </c>
      <c r="V720" s="64" t="n">
        <f aca="false">IF($K720="Better",$P720,0)</f>
        <v>0</v>
      </c>
      <c r="W720" s="64" t="n">
        <f aca="false">IF($K720="U – needs rule",$P720,0)</f>
        <v>0</v>
      </c>
      <c r="X720" s="64" t="n">
        <f aca="false">IF($K720="No Start (attainment only)",$P720,0)</f>
        <v>0</v>
      </c>
    </row>
    <row r="721" customFormat="false" ht="15" hidden="false" customHeight="false" outlineLevel="0" collapsed="false">
      <c r="A721" s="60"/>
      <c r="B721" s="61" t="str">
        <f aca="false">IF($M721=0,"",INDEX(Classes!$E$6:$E$420,$M721))</f>
        <v/>
      </c>
      <c r="C721" s="62" t="str">
        <f aca="false">IF($M721=0,"",INDEX(Classes!$H$6:$H$420,$M721))</f>
        <v/>
      </c>
      <c r="D721" s="61" t="str">
        <f aca="false">IF($M721=0,"",INDEX(Classes!$B$6:$B$420,$M721))</f>
        <v/>
      </c>
      <c r="E721" s="61" t="str">
        <f aca="false">IF($M721=0,"",INDEX(Classes!$C$6:$C$420,$M721))</f>
        <v/>
      </c>
      <c r="F721" s="63"/>
      <c r="G721" s="63"/>
      <c r="H721" s="60"/>
      <c r="I721" s="60"/>
      <c r="J721" s="63"/>
      <c r="K721" s="61" t="str">
        <f aca="false">IF($P721=0,"",IF($F721="Baseline","— Baseline",IF($O721=0,"No result",IF($N721=0,"No Start (attainment only)",IF(OR($N721=1,$O721=1),"U – needs rule",INDEX(MxBody,MATCH($I721,MxCurr,0),MATCH($H721,MxStart,0)))))))</f>
        <v/>
      </c>
      <c r="L721" s="62" t="str">
        <f aca="false">IF(COUNTA($A721,$F721,$G721,$H721,$I721,$J721)=0,"",IF($M721=0,"✖ كود الصف غير موجود",IF(ISNA(MATCH($F721,Lists!$A$2:$A$5,0)),"✖ الفترة غير صحيحة",IF(ISNA(MATCH($G721,Lists!$B$2:$B$7,0)),"✖ المجموعة غير صحيحة",IF(NOT(OR($H721="",$N721&gt;0)),"✖ Start غير صحيح",IF(NOT(OR($I721="",$I721="NR",$O721&gt;0)),"✖ Current غير صحيح",IF(NOT(IF(ISNUMBER($J721),AND($J721&gt;=0,$J721=INT($J721)),FALSE())),"✖ العدد يجب أن يكون صحيحًا ≥ 0",IF(AND($F721="Baseline",$H721&lt;&gt;""),"⚠ Baseline: Start لا يدخل في التقدم",IF($K721="No Start (attainment only)","ℹ تحصيل فقط (بدون Start)",IF($K721="U – needs rule","ℹ حالة U تحتاج قاعدة معتمدة",IF($K721="No result","ℹ بدون نتيجة (يُستبعد من التحصيل)","OK")))))))))))</f>
        <v/>
      </c>
      <c r="M721" s="64" t="n">
        <f aca="false">IF($A721="",0,IFERROR(MATCH($A721,Classes!$A$6:$A$420,0),0))</f>
        <v>0</v>
      </c>
      <c r="N721" s="64" t="n">
        <f aca="false">IF($H721="",0,IFERROR(MATCH($H721,GradeList,0),0))</f>
        <v>0</v>
      </c>
      <c r="O721" s="64" t="n">
        <f aca="false">IF(OR($I721="",$I721="NR"),0,IFERROR(MATCH($I721,GradeList,0),0))</f>
        <v>0</v>
      </c>
      <c r="P721" s="64" t="n">
        <f aca="false">IF(AND($M721&gt;0,ISNUMBER(MATCH($F721,Lists!$A$2:$A$5,0)),ISNUMBER(MATCH($G721,Lists!$B$2:$B$7,0)),OR($H721="",$N721&gt;0),OR($I721="",$I721="NR",$O721&gt;0),IF(ISNUMBER($J721),AND($J721&gt;=0,$J721=INT($J721)),FALSE())),$J721,0)</f>
        <v>0</v>
      </c>
      <c r="Q721" s="64" t="n">
        <f aca="false">IF(AND($P721&gt;0,$O721&gt;0),$P721,0)</f>
        <v>0</v>
      </c>
      <c r="R721" s="64" t="n">
        <f aca="false">IF(AND($Q721&gt;0,$O721&gt;=AtRank),$Q721,0)</f>
        <v>0</v>
      </c>
      <c r="S721" s="64" t="n">
        <f aca="false">IF(AND($Q721&gt;0,$O721&gt;=AboveRank),$Q721,0)</f>
        <v>0</v>
      </c>
      <c r="T721" s="64" t="n">
        <f aca="false">IF($K721="Less",$P721,0)</f>
        <v>0</v>
      </c>
      <c r="U721" s="64" t="n">
        <f aca="false">IF($K721="Expected",$P721,0)</f>
        <v>0</v>
      </c>
      <c r="V721" s="64" t="n">
        <f aca="false">IF($K721="Better",$P721,0)</f>
        <v>0</v>
      </c>
      <c r="W721" s="64" t="n">
        <f aca="false">IF($K721="U – needs rule",$P721,0)</f>
        <v>0</v>
      </c>
      <c r="X721" s="64" t="n">
        <f aca="false">IF($K721="No Start (attainment only)",$P721,0)</f>
        <v>0</v>
      </c>
    </row>
    <row r="722" customFormat="false" ht="15" hidden="false" customHeight="false" outlineLevel="0" collapsed="false">
      <c r="A722" s="60"/>
      <c r="B722" s="61" t="str">
        <f aca="false">IF($M722=0,"",INDEX(Classes!$E$6:$E$420,$M722))</f>
        <v/>
      </c>
      <c r="C722" s="62" t="str">
        <f aca="false">IF($M722=0,"",INDEX(Classes!$H$6:$H$420,$M722))</f>
        <v/>
      </c>
      <c r="D722" s="61" t="str">
        <f aca="false">IF($M722=0,"",INDEX(Classes!$B$6:$B$420,$M722))</f>
        <v/>
      </c>
      <c r="E722" s="61" t="str">
        <f aca="false">IF($M722=0,"",INDEX(Classes!$C$6:$C$420,$M722))</f>
        <v/>
      </c>
      <c r="F722" s="63"/>
      <c r="G722" s="63"/>
      <c r="H722" s="60"/>
      <c r="I722" s="60"/>
      <c r="J722" s="63"/>
      <c r="K722" s="61" t="str">
        <f aca="false">IF($P722=0,"",IF($F722="Baseline","— Baseline",IF($O722=0,"No result",IF($N722=0,"No Start (attainment only)",IF(OR($N722=1,$O722=1),"U – needs rule",INDEX(MxBody,MATCH($I722,MxCurr,0),MATCH($H722,MxStart,0)))))))</f>
        <v/>
      </c>
      <c r="L722" s="62" t="str">
        <f aca="false">IF(COUNTA($A722,$F722,$G722,$H722,$I722,$J722)=0,"",IF($M722=0,"✖ كود الصف غير موجود",IF(ISNA(MATCH($F722,Lists!$A$2:$A$5,0)),"✖ الفترة غير صحيحة",IF(ISNA(MATCH($G722,Lists!$B$2:$B$7,0)),"✖ المجموعة غير صحيحة",IF(NOT(OR($H722="",$N722&gt;0)),"✖ Start غير صحيح",IF(NOT(OR($I722="",$I722="NR",$O722&gt;0)),"✖ Current غير صحيح",IF(NOT(IF(ISNUMBER($J722),AND($J722&gt;=0,$J722=INT($J722)),FALSE())),"✖ العدد يجب أن يكون صحيحًا ≥ 0",IF(AND($F722="Baseline",$H722&lt;&gt;""),"⚠ Baseline: Start لا يدخل في التقدم",IF($K722="No Start (attainment only)","ℹ تحصيل فقط (بدون Start)",IF($K722="U – needs rule","ℹ حالة U تحتاج قاعدة معتمدة",IF($K722="No result","ℹ بدون نتيجة (يُستبعد من التحصيل)","OK")))))))))))</f>
        <v/>
      </c>
      <c r="M722" s="64" t="n">
        <f aca="false">IF($A722="",0,IFERROR(MATCH($A722,Classes!$A$6:$A$420,0),0))</f>
        <v>0</v>
      </c>
      <c r="N722" s="64" t="n">
        <f aca="false">IF($H722="",0,IFERROR(MATCH($H722,GradeList,0),0))</f>
        <v>0</v>
      </c>
      <c r="O722" s="64" t="n">
        <f aca="false">IF(OR($I722="",$I722="NR"),0,IFERROR(MATCH($I722,GradeList,0),0))</f>
        <v>0</v>
      </c>
      <c r="P722" s="64" t="n">
        <f aca="false">IF(AND($M722&gt;0,ISNUMBER(MATCH($F722,Lists!$A$2:$A$5,0)),ISNUMBER(MATCH($G722,Lists!$B$2:$B$7,0)),OR($H722="",$N722&gt;0),OR($I722="",$I722="NR",$O722&gt;0),IF(ISNUMBER($J722),AND($J722&gt;=0,$J722=INT($J722)),FALSE())),$J722,0)</f>
        <v>0</v>
      </c>
      <c r="Q722" s="64" t="n">
        <f aca="false">IF(AND($P722&gt;0,$O722&gt;0),$P722,0)</f>
        <v>0</v>
      </c>
      <c r="R722" s="64" t="n">
        <f aca="false">IF(AND($Q722&gt;0,$O722&gt;=AtRank),$Q722,0)</f>
        <v>0</v>
      </c>
      <c r="S722" s="64" t="n">
        <f aca="false">IF(AND($Q722&gt;0,$O722&gt;=AboveRank),$Q722,0)</f>
        <v>0</v>
      </c>
      <c r="T722" s="64" t="n">
        <f aca="false">IF($K722="Less",$P722,0)</f>
        <v>0</v>
      </c>
      <c r="U722" s="64" t="n">
        <f aca="false">IF($K722="Expected",$P722,0)</f>
        <v>0</v>
      </c>
      <c r="V722" s="64" t="n">
        <f aca="false">IF($K722="Better",$P722,0)</f>
        <v>0</v>
      </c>
      <c r="W722" s="64" t="n">
        <f aca="false">IF($K722="U – needs rule",$P722,0)</f>
        <v>0</v>
      </c>
      <c r="X722" s="64" t="n">
        <f aca="false">IF($K722="No Start (attainment only)",$P722,0)</f>
        <v>0</v>
      </c>
    </row>
    <row r="723" customFormat="false" ht="15" hidden="false" customHeight="false" outlineLevel="0" collapsed="false">
      <c r="A723" s="60"/>
      <c r="B723" s="61" t="str">
        <f aca="false">IF($M723=0,"",INDEX(Classes!$E$6:$E$420,$M723))</f>
        <v/>
      </c>
      <c r="C723" s="62" t="str">
        <f aca="false">IF($M723=0,"",INDEX(Classes!$H$6:$H$420,$M723))</f>
        <v/>
      </c>
      <c r="D723" s="61" t="str">
        <f aca="false">IF($M723=0,"",INDEX(Classes!$B$6:$B$420,$M723))</f>
        <v/>
      </c>
      <c r="E723" s="61" t="str">
        <f aca="false">IF($M723=0,"",INDEX(Classes!$C$6:$C$420,$M723))</f>
        <v/>
      </c>
      <c r="F723" s="63"/>
      <c r="G723" s="63"/>
      <c r="H723" s="60"/>
      <c r="I723" s="60"/>
      <c r="J723" s="63"/>
      <c r="K723" s="61" t="str">
        <f aca="false">IF($P723=0,"",IF($F723="Baseline","— Baseline",IF($O723=0,"No result",IF($N723=0,"No Start (attainment only)",IF(OR($N723=1,$O723=1),"U – needs rule",INDEX(MxBody,MATCH($I723,MxCurr,0),MATCH($H723,MxStart,0)))))))</f>
        <v/>
      </c>
      <c r="L723" s="62" t="str">
        <f aca="false">IF(COUNTA($A723,$F723,$G723,$H723,$I723,$J723)=0,"",IF($M723=0,"✖ كود الصف غير موجود",IF(ISNA(MATCH($F723,Lists!$A$2:$A$5,0)),"✖ الفترة غير صحيحة",IF(ISNA(MATCH($G723,Lists!$B$2:$B$7,0)),"✖ المجموعة غير صحيحة",IF(NOT(OR($H723="",$N723&gt;0)),"✖ Start غير صحيح",IF(NOT(OR($I723="",$I723="NR",$O723&gt;0)),"✖ Current غير صحيح",IF(NOT(IF(ISNUMBER($J723),AND($J723&gt;=0,$J723=INT($J723)),FALSE())),"✖ العدد يجب أن يكون صحيحًا ≥ 0",IF(AND($F723="Baseline",$H723&lt;&gt;""),"⚠ Baseline: Start لا يدخل في التقدم",IF($K723="No Start (attainment only)","ℹ تحصيل فقط (بدون Start)",IF($K723="U – needs rule","ℹ حالة U تحتاج قاعدة معتمدة",IF($K723="No result","ℹ بدون نتيجة (يُستبعد من التحصيل)","OK")))))))))))</f>
        <v/>
      </c>
      <c r="M723" s="64" t="n">
        <f aca="false">IF($A723="",0,IFERROR(MATCH($A723,Classes!$A$6:$A$420,0),0))</f>
        <v>0</v>
      </c>
      <c r="N723" s="64" t="n">
        <f aca="false">IF($H723="",0,IFERROR(MATCH($H723,GradeList,0),0))</f>
        <v>0</v>
      </c>
      <c r="O723" s="64" t="n">
        <f aca="false">IF(OR($I723="",$I723="NR"),0,IFERROR(MATCH($I723,GradeList,0),0))</f>
        <v>0</v>
      </c>
      <c r="P723" s="64" t="n">
        <f aca="false">IF(AND($M723&gt;0,ISNUMBER(MATCH($F723,Lists!$A$2:$A$5,0)),ISNUMBER(MATCH($G723,Lists!$B$2:$B$7,0)),OR($H723="",$N723&gt;0),OR($I723="",$I723="NR",$O723&gt;0),IF(ISNUMBER($J723),AND($J723&gt;=0,$J723=INT($J723)),FALSE())),$J723,0)</f>
        <v>0</v>
      </c>
      <c r="Q723" s="64" t="n">
        <f aca="false">IF(AND($P723&gt;0,$O723&gt;0),$P723,0)</f>
        <v>0</v>
      </c>
      <c r="R723" s="64" t="n">
        <f aca="false">IF(AND($Q723&gt;0,$O723&gt;=AtRank),$Q723,0)</f>
        <v>0</v>
      </c>
      <c r="S723" s="64" t="n">
        <f aca="false">IF(AND($Q723&gt;0,$O723&gt;=AboveRank),$Q723,0)</f>
        <v>0</v>
      </c>
      <c r="T723" s="64" t="n">
        <f aca="false">IF($K723="Less",$P723,0)</f>
        <v>0</v>
      </c>
      <c r="U723" s="64" t="n">
        <f aca="false">IF($K723="Expected",$P723,0)</f>
        <v>0</v>
      </c>
      <c r="V723" s="64" t="n">
        <f aca="false">IF($K723="Better",$P723,0)</f>
        <v>0</v>
      </c>
      <c r="W723" s="64" t="n">
        <f aca="false">IF($K723="U – needs rule",$P723,0)</f>
        <v>0</v>
      </c>
      <c r="X723" s="64" t="n">
        <f aca="false">IF($K723="No Start (attainment only)",$P723,0)</f>
        <v>0</v>
      </c>
    </row>
    <row r="724" customFormat="false" ht="15" hidden="false" customHeight="false" outlineLevel="0" collapsed="false">
      <c r="A724" s="60"/>
      <c r="B724" s="61" t="str">
        <f aca="false">IF($M724=0,"",INDEX(Classes!$E$6:$E$420,$M724))</f>
        <v/>
      </c>
      <c r="C724" s="62" t="str">
        <f aca="false">IF($M724=0,"",INDEX(Classes!$H$6:$H$420,$M724))</f>
        <v/>
      </c>
      <c r="D724" s="61" t="str">
        <f aca="false">IF($M724=0,"",INDEX(Classes!$B$6:$B$420,$M724))</f>
        <v/>
      </c>
      <c r="E724" s="61" t="str">
        <f aca="false">IF($M724=0,"",INDEX(Classes!$C$6:$C$420,$M724))</f>
        <v/>
      </c>
      <c r="F724" s="63"/>
      <c r="G724" s="63"/>
      <c r="H724" s="60"/>
      <c r="I724" s="60"/>
      <c r="J724" s="63"/>
      <c r="K724" s="61" t="str">
        <f aca="false">IF($P724=0,"",IF($F724="Baseline","— Baseline",IF($O724=0,"No result",IF($N724=0,"No Start (attainment only)",IF(OR($N724=1,$O724=1),"U – needs rule",INDEX(MxBody,MATCH($I724,MxCurr,0),MATCH($H724,MxStart,0)))))))</f>
        <v/>
      </c>
      <c r="L724" s="62" t="str">
        <f aca="false">IF(COUNTA($A724,$F724,$G724,$H724,$I724,$J724)=0,"",IF($M724=0,"✖ كود الصف غير موجود",IF(ISNA(MATCH($F724,Lists!$A$2:$A$5,0)),"✖ الفترة غير صحيحة",IF(ISNA(MATCH($G724,Lists!$B$2:$B$7,0)),"✖ المجموعة غير صحيحة",IF(NOT(OR($H724="",$N724&gt;0)),"✖ Start غير صحيح",IF(NOT(OR($I724="",$I724="NR",$O724&gt;0)),"✖ Current غير صحيح",IF(NOT(IF(ISNUMBER($J724),AND($J724&gt;=0,$J724=INT($J724)),FALSE())),"✖ العدد يجب أن يكون صحيحًا ≥ 0",IF(AND($F724="Baseline",$H724&lt;&gt;""),"⚠ Baseline: Start لا يدخل في التقدم",IF($K724="No Start (attainment only)","ℹ تحصيل فقط (بدون Start)",IF($K724="U – needs rule","ℹ حالة U تحتاج قاعدة معتمدة",IF($K724="No result","ℹ بدون نتيجة (يُستبعد من التحصيل)","OK")))))))))))</f>
        <v/>
      </c>
      <c r="M724" s="64" t="n">
        <f aca="false">IF($A724="",0,IFERROR(MATCH($A724,Classes!$A$6:$A$420,0),0))</f>
        <v>0</v>
      </c>
      <c r="N724" s="64" t="n">
        <f aca="false">IF($H724="",0,IFERROR(MATCH($H724,GradeList,0),0))</f>
        <v>0</v>
      </c>
      <c r="O724" s="64" t="n">
        <f aca="false">IF(OR($I724="",$I724="NR"),0,IFERROR(MATCH($I724,GradeList,0),0))</f>
        <v>0</v>
      </c>
      <c r="P724" s="64" t="n">
        <f aca="false">IF(AND($M724&gt;0,ISNUMBER(MATCH($F724,Lists!$A$2:$A$5,0)),ISNUMBER(MATCH($G724,Lists!$B$2:$B$7,0)),OR($H724="",$N724&gt;0),OR($I724="",$I724="NR",$O724&gt;0),IF(ISNUMBER($J724),AND($J724&gt;=0,$J724=INT($J724)),FALSE())),$J724,0)</f>
        <v>0</v>
      </c>
      <c r="Q724" s="64" t="n">
        <f aca="false">IF(AND($P724&gt;0,$O724&gt;0),$P724,0)</f>
        <v>0</v>
      </c>
      <c r="R724" s="64" t="n">
        <f aca="false">IF(AND($Q724&gt;0,$O724&gt;=AtRank),$Q724,0)</f>
        <v>0</v>
      </c>
      <c r="S724" s="64" t="n">
        <f aca="false">IF(AND($Q724&gt;0,$O724&gt;=AboveRank),$Q724,0)</f>
        <v>0</v>
      </c>
      <c r="T724" s="64" t="n">
        <f aca="false">IF($K724="Less",$P724,0)</f>
        <v>0</v>
      </c>
      <c r="U724" s="64" t="n">
        <f aca="false">IF($K724="Expected",$P724,0)</f>
        <v>0</v>
      </c>
      <c r="V724" s="64" t="n">
        <f aca="false">IF($K724="Better",$P724,0)</f>
        <v>0</v>
      </c>
      <c r="W724" s="64" t="n">
        <f aca="false">IF($K724="U – needs rule",$P724,0)</f>
        <v>0</v>
      </c>
      <c r="X724" s="64" t="n">
        <f aca="false">IF($K724="No Start (attainment only)",$P724,0)</f>
        <v>0</v>
      </c>
    </row>
    <row r="725" customFormat="false" ht="15" hidden="false" customHeight="false" outlineLevel="0" collapsed="false">
      <c r="A725" s="60"/>
      <c r="B725" s="61" t="str">
        <f aca="false">IF($M725=0,"",INDEX(Classes!$E$6:$E$420,$M725))</f>
        <v/>
      </c>
      <c r="C725" s="62" t="str">
        <f aca="false">IF($M725=0,"",INDEX(Classes!$H$6:$H$420,$M725))</f>
        <v/>
      </c>
      <c r="D725" s="61" t="str">
        <f aca="false">IF($M725=0,"",INDEX(Classes!$B$6:$B$420,$M725))</f>
        <v/>
      </c>
      <c r="E725" s="61" t="str">
        <f aca="false">IF($M725=0,"",INDEX(Classes!$C$6:$C$420,$M725))</f>
        <v/>
      </c>
      <c r="F725" s="63"/>
      <c r="G725" s="63"/>
      <c r="H725" s="60"/>
      <c r="I725" s="60"/>
      <c r="J725" s="63"/>
      <c r="K725" s="61" t="str">
        <f aca="false">IF($P725=0,"",IF($F725="Baseline","— Baseline",IF($O725=0,"No result",IF($N725=0,"No Start (attainment only)",IF(OR($N725=1,$O725=1),"U – needs rule",INDEX(MxBody,MATCH($I725,MxCurr,0),MATCH($H725,MxStart,0)))))))</f>
        <v/>
      </c>
      <c r="L725" s="62" t="str">
        <f aca="false">IF(COUNTA($A725,$F725,$G725,$H725,$I725,$J725)=0,"",IF($M725=0,"✖ كود الصف غير موجود",IF(ISNA(MATCH($F725,Lists!$A$2:$A$5,0)),"✖ الفترة غير صحيحة",IF(ISNA(MATCH($G725,Lists!$B$2:$B$7,0)),"✖ المجموعة غير صحيحة",IF(NOT(OR($H725="",$N725&gt;0)),"✖ Start غير صحيح",IF(NOT(OR($I725="",$I725="NR",$O725&gt;0)),"✖ Current غير صحيح",IF(NOT(IF(ISNUMBER($J725),AND($J725&gt;=0,$J725=INT($J725)),FALSE())),"✖ العدد يجب أن يكون صحيحًا ≥ 0",IF(AND($F725="Baseline",$H725&lt;&gt;""),"⚠ Baseline: Start لا يدخل في التقدم",IF($K725="No Start (attainment only)","ℹ تحصيل فقط (بدون Start)",IF($K725="U – needs rule","ℹ حالة U تحتاج قاعدة معتمدة",IF($K725="No result","ℹ بدون نتيجة (يُستبعد من التحصيل)","OK")))))))))))</f>
        <v/>
      </c>
      <c r="M725" s="64" t="n">
        <f aca="false">IF($A725="",0,IFERROR(MATCH($A725,Classes!$A$6:$A$420,0),0))</f>
        <v>0</v>
      </c>
      <c r="N725" s="64" t="n">
        <f aca="false">IF($H725="",0,IFERROR(MATCH($H725,GradeList,0),0))</f>
        <v>0</v>
      </c>
      <c r="O725" s="64" t="n">
        <f aca="false">IF(OR($I725="",$I725="NR"),0,IFERROR(MATCH($I725,GradeList,0),0))</f>
        <v>0</v>
      </c>
      <c r="P725" s="64" t="n">
        <f aca="false">IF(AND($M725&gt;0,ISNUMBER(MATCH($F725,Lists!$A$2:$A$5,0)),ISNUMBER(MATCH($G725,Lists!$B$2:$B$7,0)),OR($H725="",$N725&gt;0),OR($I725="",$I725="NR",$O725&gt;0),IF(ISNUMBER($J725),AND($J725&gt;=0,$J725=INT($J725)),FALSE())),$J725,0)</f>
        <v>0</v>
      </c>
      <c r="Q725" s="64" t="n">
        <f aca="false">IF(AND($P725&gt;0,$O725&gt;0),$P725,0)</f>
        <v>0</v>
      </c>
      <c r="R725" s="64" t="n">
        <f aca="false">IF(AND($Q725&gt;0,$O725&gt;=AtRank),$Q725,0)</f>
        <v>0</v>
      </c>
      <c r="S725" s="64" t="n">
        <f aca="false">IF(AND($Q725&gt;0,$O725&gt;=AboveRank),$Q725,0)</f>
        <v>0</v>
      </c>
      <c r="T725" s="64" t="n">
        <f aca="false">IF($K725="Less",$P725,0)</f>
        <v>0</v>
      </c>
      <c r="U725" s="64" t="n">
        <f aca="false">IF($K725="Expected",$P725,0)</f>
        <v>0</v>
      </c>
      <c r="V725" s="64" t="n">
        <f aca="false">IF($K725="Better",$P725,0)</f>
        <v>0</v>
      </c>
      <c r="W725" s="64" t="n">
        <f aca="false">IF($K725="U – needs rule",$P725,0)</f>
        <v>0</v>
      </c>
      <c r="X725" s="64" t="n">
        <f aca="false">IF($K725="No Start (attainment only)",$P725,0)</f>
        <v>0</v>
      </c>
    </row>
    <row r="726" customFormat="false" ht="15" hidden="false" customHeight="false" outlineLevel="0" collapsed="false">
      <c r="A726" s="60"/>
      <c r="B726" s="61" t="str">
        <f aca="false">IF($M726=0,"",INDEX(Classes!$E$6:$E$420,$M726))</f>
        <v/>
      </c>
      <c r="C726" s="62" t="str">
        <f aca="false">IF($M726=0,"",INDEX(Classes!$H$6:$H$420,$M726))</f>
        <v/>
      </c>
      <c r="D726" s="61" t="str">
        <f aca="false">IF($M726=0,"",INDEX(Classes!$B$6:$B$420,$M726))</f>
        <v/>
      </c>
      <c r="E726" s="61" t="str">
        <f aca="false">IF($M726=0,"",INDEX(Classes!$C$6:$C$420,$M726))</f>
        <v/>
      </c>
      <c r="F726" s="63"/>
      <c r="G726" s="63"/>
      <c r="H726" s="60"/>
      <c r="I726" s="60"/>
      <c r="J726" s="63"/>
      <c r="K726" s="61" t="str">
        <f aca="false">IF($P726=0,"",IF($F726="Baseline","— Baseline",IF($O726=0,"No result",IF($N726=0,"No Start (attainment only)",IF(OR($N726=1,$O726=1),"U – needs rule",INDEX(MxBody,MATCH($I726,MxCurr,0),MATCH($H726,MxStart,0)))))))</f>
        <v/>
      </c>
      <c r="L726" s="62" t="str">
        <f aca="false">IF(COUNTA($A726,$F726,$G726,$H726,$I726,$J726)=0,"",IF($M726=0,"✖ كود الصف غير موجود",IF(ISNA(MATCH($F726,Lists!$A$2:$A$5,0)),"✖ الفترة غير صحيحة",IF(ISNA(MATCH($G726,Lists!$B$2:$B$7,0)),"✖ المجموعة غير صحيحة",IF(NOT(OR($H726="",$N726&gt;0)),"✖ Start غير صحيح",IF(NOT(OR($I726="",$I726="NR",$O726&gt;0)),"✖ Current غير صحيح",IF(NOT(IF(ISNUMBER($J726),AND($J726&gt;=0,$J726=INT($J726)),FALSE())),"✖ العدد يجب أن يكون صحيحًا ≥ 0",IF(AND($F726="Baseline",$H726&lt;&gt;""),"⚠ Baseline: Start لا يدخل في التقدم",IF($K726="No Start (attainment only)","ℹ تحصيل فقط (بدون Start)",IF($K726="U – needs rule","ℹ حالة U تحتاج قاعدة معتمدة",IF($K726="No result","ℹ بدون نتيجة (يُستبعد من التحصيل)","OK")))))))))))</f>
        <v/>
      </c>
      <c r="M726" s="64" t="n">
        <f aca="false">IF($A726="",0,IFERROR(MATCH($A726,Classes!$A$6:$A$420,0),0))</f>
        <v>0</v>
      </c>
      <c r="N726" s="64" t="n">
        <f aca="false">IF($H726="",0,IFERROR(MATCH($H726,GradeList,0),0))</f>
        <v>0</v>
      </c>
      <c r="O726" s="64" t="n">
        <f aca="false">IF(OR($I726="",$I726="NR"),0,IFERROR(MATCH($I726,GradeList,0),0))</f>
        <v>0</v>
      </c>
      <c r="P726" s="64" t="n">
        <f aca="false">IF(AND($M726&gt;0,ISNUMBER(MATCH($F726,Lists!$A$2:$A$5,0)),ISNUMBER(MATCH($G726,Lists!$B$2:$B$7,0)),OR($H726="",$N726&gt;0),OR($I726="",$I726="NR",$O726&gt;0),IF(ISNUMBER($J726),AND($J726&gt;=0,$J726=INT($J726)),FALSE())),$J726,0)</f>
        <v>0</v>
      </c>
      <c r="Q726" s="64" t="n">
        <f aca="false">IF(AND($P726&gt;0,$O726&gt;0),$P726,0)</f>
        <v>0</v>
      </c>
      <c r="R726" s="64" t="n">
        <f aca="false">IF(AND($Q726&gt;0,$O726&gt;=AtRank),$Q726,0)</f>
        <v>0</v>
      </c>
      <c r="S726" s="64" t="n">
        <f aca="false">IF(AND($Q726&gt;0,$O726&gt;=AboveRank),$Q726,0)</f>
        <v>0</v>
      </c>
      <c r="T726" s="64" t="n">
        <f aca="false">IF($K726="Less",$P726,0)</f>
        <v>0</v>
      </c>
      <c r="U726" s="64" t="n">
        <f aca="false">IF($K726="Expected",$P726,0)</f>
        <v>0</v>
      </c>
      <c r="V726" s="64" t="n">
        <f aca="false">IF($K726="Better",$P726,0)</f>
        <v>0</v>
      </c>
      <c r="W726" s="64" t="n">
        <f aca="false">IF($K726="U – needs rule",$P726,0)</f>
        <v>0</v>
      </c>
      <c r="X726" s="64" t="n">
        <f aca="false">IF($K726="No Start (attainment only)",$P726,0)</f>
        <v>0</v>
      </c>
    </row>
    <row r="727" customFormat="false" ht="15" hidden="false" customHeight="false" outlineLevel="0" collapsed="false">
      <c r="A727" s="60"/>
      <c r="B727" s="61" t="str">
        <f aca="false">IF($M727=0,"",INDEX(Classes!$E$6:$E$420,$M727))</f>
        <v/>
      </c>
      <c r="C727" s="62" t="str">
        <f aca="false">IF($M727=0,"",INDEX(Classes!$H$6:$H$420,$M727))</f>
        <v/>
      </c>
      <c r="D727" s="61" t="str">
        <f aca="false">IF($M727=0,"",INDEX(Classes!$B$6:$B$420,$M727))</f>
        <v/>
      </c>
      <c r="E727" s="61" t="str">
        <f aca="false">IF($M727=0,"",INDEX(Classes!$C$6:$C$420,$M727))</f>
        <v/>
      </c>
      <c r="F727" s="63"/>
      <c r="G727" s="63"/>
      <c r="H727" s="60"/>
      <c r="I727" s="60"/>
      <c r="J727" s="63"/>
      <c r="K727" s="61" t="str">
        <f aca="false">IF($P727=0,"",IF($F727="Baseline","— Baseline",IF($O727=0,"No result",IF($N727=0,"No Start (attainment only)",IF(OR($N727=1,$O727=1),"U – needs rule",INDEX(MxBody,MATCH($I727,MxCurr,0),MATCH($H727,MxStart,0)))))))</f>
        <v/>
      </c>
      <c r="L727" s="62" t="str">
        <f aca="false">IF(COUNTA($A727,$F727,$G727,$H727,$I727,$J727)=0,"",IF($M727=0,"✖ كود الصف غير موجود",IF(ISNA(MATCH($F727,Lists!$A$2:$A$5,0)),"✖ الفترة غير صحيحة",IF(ISNA(MATCH($G727,Lists!$B$2:$B$7,0)),"✖ المجموعة غير صحيحة",IF(NOT(OR($H727="",$N727&gt;0)),"✖ Start غير صحيح",IF(NOT(OR($I727="",$I727="NR",$O727&gt;0)),"✖ Current غير صحيح",IF(NOT(IF(ISNUMBER($J727),AND($J727&gt;=0,$J727=INT($J727)),FALSE())),"✖ العدد يجب أن يكون صحيحًا ≥ 0",IF(AND($F727="Baseline",$H727&lt;&gt;""),"⚠ Baseline: Start لا يدخل في التقدم",IF($K727="No Start (attainment only)","ℹ تحصيل فقط (بدون Start)",IF($K727="U – needs rule","ℹ حالة U تحتاج قاعدة معتمدة",IF($K727="No result","ℹ بدون نتيجة (يُستبعد من التحصيل)","OK")))))))))))</f>
        <v/>
      </c>
      <c r="M727" s="64" t="n">
        <f aca="false">IF($A727="",0,IFERROR(MATCH($A727,Classes!$A$6:$A$420,0),0))</f>
        <v>0</v>
      </c>
      <c r="N727" s="64" t="n">
        <f aca="false">IF($H727="",0,IFERROR(MATCH($H727,GradeList,0),0))</f>
        <v>0</v>
      </c>
      <c r="O727" s="64" t="n">
        <f aca="false">IF(OR($I727="",$I727="NR"),0,IFERROR(MATCH($I727,GradeList,0),0))</f>
        <v>0</v>
      </c>
      <c r="P727" s="64" t="n">
        <f aca="false">IF(AND($M727&gt;0,ISNUMBER(MATCH($F727,Lists!$A$2:$A$5,0)),ISNUMBER(MATCH($G727,Lists!$B$2:$B$7,0)),OR($H727="",$N727&gt;0),OR($I727="",$I727="NR",$O727&gt;0),IF(ISNUMBER($J727),AND($J727&gt;=0,$J727=INT($J727)),FALSE())),$J727,0)</f>
        <v>0</v>
      </c>
      <c r="Q727" s="64" t="n">
        <f aca="false">IF(AND($P727&gt;0,$O727&gt;0),$P727,0)</f>
        <v>0</v>
      </c>
      <c r="R727" s="64" t="n">
        <f aca="false">IF(AND($Q727&gt;0,$O727&gt;=AtRank),$Q727,0)</f>
        <v>0</v>
      </c>
      <c r="S727" s="64" t="n">
        <f aca="false">IF(AND($Q727&gt;0,$O727&gt;=AboveRank),$Q727,0)</f>
        <v>0</v>
      </c>
      <c r="T727" s="64" t="n">
        <f aca="false">IF($K727="Less",$P727,0)</f>
        <v>0</v>
      </c>
      <c r="U727" s="64" t="n">
        <f aca="false">IF($K727="Expected",$P727,0)</f>
        <v>0</v>
      </c>
      <c r="V727" s="64" t="n">
        <f aca="false">IF($K727="Better",$P727,0)</f>
        <v>0</v>
      </c>
      <c r="W727" s="64" t="n">
        <f aca="false">IF($K727="U – needs rule",$P727,0)</f>
        <v>0</v>
      </c>
      <c r="X727" s="64" t="n">
        <f aca="false">IF($K727="No Start (attainment only)",$P727,0)</f>
        <v>0</v>
      </c>
    </row>
    <row r="728" customFormat="false" ht="15" hidden="false" customHeight="false" outlineLevel="0" collapsed="false">
      <c r="A728" s="60"/>
      <c r="B728" s="61" t="str">
        <f aca="false">IF($M728=0,"",INDEX(Classes!$E$6:$E$420,$M728))</f>
        <v/>
      </c>
      <c r="C728" s="62" t="str">
        <f aca="false">IF($M728=0,"",INDEX(Classes!$H$6:$H$420,$M728))</f>
        <v/>
      </c>
      <c r="D728" s="61" t="str">
        <f aca="false">IF($M728=0,"",INDEX(Classes!$B$6:$B$420,$M728))</f>
        <v/>
      </c>
      <c r="E728" s="61" t="str">
        <f aca="false">IF($M728=0,"",INDEX(Classes!$C$6:$C$420,$M728))</f>
        <v/>
      </c>
      <c r="F728" s="63"/>
      <c r="G728" s="63"/>
      <c r="H728" s="60"/>
      <c r="I728" s="60"/>
      <c r="J728" s="63"/>
      <c r="K728" s="61" t="str">
        <f aca="false">IF($P728=0,"",IF($F728="Baseline","— Baseline",IF($O728=0,"No result",IF($N728=0,"No Start (attainment only)",IF(OR($N728=1,$O728=1),"U – needs rule",INDEX(MxBody,MATCH($I728,MxCurr,0),MATCH($H728,MxStart,0)))))))</f>
        <v/>
      </c>
      <c r="L728" s="62" t="str">
        <f aca="false">IF(COUNTA($A728,$F728,$G728,$H728,$I728,$J728)=0,"",IF($M728=0,"✖ كود الصف غير موجود",IF(ISNA(MATCH($F728,Lists!$A$2:$A$5,0)),"✖ الفترة غير صحيحة",IF(ISNA(MATCH($G728,Lists!$B$2:$B$7,0)),"✖ المجموعة غير صحيحة",IF(NOT(OR($H728="",$N728&gt;0)),"✖ Start غير صحيح",IF(NOT(OR($I728="",$I728="NR",$O728&gt;0)),"✖ Current غير صحيح",IF(NOT(IF(ISNUMBER($J728),AND($J728&gt;=0,$J728=INT($J728)),FALSE())),"✖ العدد يجب أن يكون صحيحًا ≥ 0",IF(AND($F728="Baseline",$H728&lt;&gt;""),"⚠ Baseline: Start لا يدخل في التقدم",IF($K728="No Start (attainment only)","ℹ تحصيل فقط (بدون Start)",IF($K728="U – needs rule","ℹ حالة U تحتاج قاعدة معتمدة",IF($K728="No result","ℹ بدون نتيجة (يُستبعد من التحصيل)","OK")))))))))))</f>
        <v/>
      </c>
      <c r="M728" s="64" t="n">
        <f aca="false">IF($A728="",0,IFERROR(MATCH($A728,Classes!$A$6:$A$420,0),0))</f>
        <v>0</v>
      </c>
      <c r="N728" s="64" t="n">
        <f aca="false">IF($H728="",0,IFERROR(MATCH($H728,GradeList,0),0))</f>
        <v>0</v>
      </c>
      <c r="O728" s="64" t="n">
        <f aca="false">IF(OR($I728="",$I728="NR"),0,IFERROR(MATCH($I728,GradeList,0),0))</f>
        <v>0</v>
      </c>
      <c r="P728" s="64" t="n">
        <f aca="false">IF(AND($M728&gt;0,ISNUMBER(MATCH($F728,Lists!$A$2:$A$5,0)),ISNUMBER(MATCH($G728,Lists!$B$2:$B$7,0)),OR($H728="",$N728&gt;0),OR($I728="",$I728="NR",$O728&gt;0),IF(ISNUMBER($J728),AND($J728&gt;=0,$J728=INT($J728)),FALSE())),$J728,0)</f>
        <v>0</v>
      </c>
      <c r="Q728" s="64" t="n">
        <f aca="false">IF(AND($P728&gt;0,$O728&gt;0),$P728,0)</f>
        <v>0</v>
      </c>
      <c r="R728" s="64" t="n">
        <f aca="false">IF(AND($Q728&gt;0,$O728&gt;=AtRank),$Q728,0)</f>
        <v>0</v>
      </c>
      <c r="S728" s="64" t="n">
        <f aca="false">IF(AND($Q728&gt;0,$O728&gt;=AboveRank),$Q728,0)</f>
        <v>0</v>
      </c>
      <c r="T728" s="64" t="n">
        <f aca="false">IF($K728="Less",$P728,0)</f>
        <v>0</v>
      </c>
      <c r="U728" s="64" t="n">
        <f aca="false">IF($K728="Expected",$P728,0)</f>
        <v>0</v>
      </c>
      <c r="V728" s="64" t="n">
        <f aca="false">IF($K728="Better",$P728,0)</f>
        <v>0</v>
      </c>
      <c r="W728" s="64" t="n">
        <f aca="false">IF($K728="U – needs rule",$P728,0)</f>
        <v>0</v>
      </c>
      <c r="X728" s="64" t="n">
        <f aca="false">IF($K728="No Start (attainment only)",$P728,0)</f>
        <v>0</v>
      </c>
    </row>
    <row r="729" customFormat="false" ht="15" hidden="false" customHeight="false" outlineLevel="0" collapsed="false">
      <c r="A729" s="60"/>
      <c r="B729" s="61" t="str">
        <f aca="false">IF($M729=0,"",INDEX(Classes!$E$6:$E$420,$M729))</f>
        <v/>
      </c>
      <c r="C729" s="62" t="str">
        <f aca="false">IF($M729=0,"",INDEX(Classes!$H$6:$H$420,$M729))</f>
        <v/>
      </c>
      <c r="D729" s="61" t="str">
        <f aca="false">IF($M729=0,"",INDEX(Classes!$B$6:$B$420,$M729))</f>
        <v/>
      </c>
      <c r="E729" s="61" t="str">
        <f aca="false">IF($M729=0,"",INDEX(Classes!$C$6:$C$420,$M729))</f>
        <v/>
      </c>
      <c r="F729" s="63"/>
      <c r="G729" s="63"/>
      <c r="H729" s="60"/>
      <c r="I729" s="60"/>
      <c r="J729" s="63"/>
      <c r="K729" s="61" t="str">
        <f aca="false">IF($P729=0,"",IF($F729="Baseline","— Baseline",IF($O729=0,"No result",IF($N729=0,"No Start (attainment only)",IF(OR($N729=1,$O729=1),"U – needs rule",INDEX(MxBody,MATCH($I729,MxCurr,0),MATCH($H729,MxStart,0)))))))</f>
        <v/>
      </c>
      <c r="L729" s="62" t="str">
        <f aca="false">IF(COUNTA($A729,$F729,$G729,$H729,$I729,$J729)=0,"",IF($M729=0,"✖ كود الصف غير موجود",IF(ISNA(MATCH($F729,Lists!$A$2:$A$5,0)),"✖ الفترة غير صحيحة",IF(ISNA(MATCH($G729,Lists!$B$2:$B$7,0)),"✖ المجموعة غير صحيحة",IF(NOT(OR($H729="",$N729&gt;0)),"✖ Start غير صحيح",IF(NOT(OR($I729="",$I729="NR",$O729&gt;0)),"✖ Current غير صحيح",IF(NOT(IF(ISNUMBER($J729),AND($J729&gt;=0,$J729=INT($J729)),FALSE())),"✖ العدد يجب أن يكون صحيحًا ≥ 0",IF(AND($F729="Baseline",$H729&lt;&gt;""),"⚠ Baseline: Start لا يدخل في التقدم",IF($K729="No Start (attainment only)","ℹ تحصيل فقط (بدون Start)",IF($K729="U – needs rule","ℹ حالة U تحتاج قاعدة معتمدة",IF($K729="No result","ℹ بدون نتيجة (يُستبعد من التحصيل)","OK")))))))))))</f>
        <v/>
      </c>
      <c r="M729" s="64" t="n">
        <f aca="false">IF($A729="",0,IFERROR(MATCH($A729,Classes!$A$6:$A$420,0),0))</f>
        <v>0</v>
      </c>
      <c r="N729" s="64" t="n">
        <f aca="false">IF($H729="",0,IFERROR(MATCH($H729,GradeList,0),0))</f>
        <v>0</v>
      </c>
      <c r="O729" s="64" t="n">
        <f aca="false">IF(OR($I729="",$I729="NR"),0,IFERROR(MATCH($I729,GradeList,0),0))</f>
        <v>0</v>
      </c>
      <c r="P729" s="64" t="n">
        <f aca="false">IF(AND($M729&gt;0,ISNUMBER(MATCH($F729,Lists!$A$2:$A$5,0)),ISNUMBER(MATCH($G729,Lists!$B$2:$B$7,0)),OR($H729="",$N729&gt;0),OR($I729="",$I729="NR",$O729&gt;0),IF(ISNUMBER($J729),AND($J729&gt;=0,$J729=INT($J729)),FALSE())),$J729,0)</f>
        <v>0</v>
      </c>
      <c r="Q729" s="64" t="n">
        <f aca="false">IF(AND($P729&gt;0,$O729&gt;0),$P729,0)</f>
        <v>0</v>
      </c>
      <c r="R729" s="64" t="n">
        <f aca="false">IF(AND($Q729&gt;0,$O729&gt;=AtRank),$Q729,0)</f>
        <v>0</v>
      </c>
      <c r="S729" s="64" t="n">
        <f aca="false">IF(AND($Q729&gt;0,$O729&gt;=AboveRank),$Q729,0)</f>
        <v>0</v>
      </c>
      <c r="T729" s="64" t="n">
        <f aca="false">IF($K729="Less",$P729,0)</f>
        <v>0</v>
      </c>
      <c r="U729" s="64" t="n">
        <f aca="false">IF($K729="Expected",$P729,0)</f>
        <v>0</v>
      </c>
      <c r="V729" s="64" t="n">
        <f aca="false">IF($K729="Better",$P729,0)</f>
        <v>0</v>
      </c>
      <c r="W729" s="64" t="n">
        <f aca="false">IF($K729="U – needs rule",$P729,0)</f>
        <v>0</v>
      </c>
      <c r="X729" s="64" t="n">
        <f aca="false">IF($K729="No Start (attainment only)",$P729,0)</f>
        <v>0</v>
      </c>
    </row>
    <row r="730" customFormat="false" ht="15" hidden="false" customHeight="false" outlineLevel="0" collapsed="false">
      <c r="A730" s="60"/>
      <c r="B730" s="61" t="str">
        <f aca="false">IF($M730=0,"",INDEX(Classes!$E$6:$E$420,$M730))</f>
        <v/>
      </c>
      <c r="C730" s="62" t="str">
        <f aca="false">IF($M730=0,"",INDEX(Classes!$H$6:$H$420,$M730))</f>
        <v/>
      </c>
      <c r="D730" s="61" t="str">
        <f aca="false">IF($M730=0,"",INDEX(Classes!$B$6:$B$420,$M730))</f>
        <v/>
      </c>
      <c r="E730" s="61" t="str">
        <f aca="false">IF($M730=0,"",INDEX(Classes!$C$6:$C$420,$M730))</f>
        <v/>
      </c>
      <c r="F730" s="63"/>
      <c r="G730" s="63"/>
      <c r="H730" s="60"/>
      <c r="I730" s="60"/>
      <c r="J730" s="63"/>
      <c r="K730" s="61" t="str">
        <f aca="false">IF($P730=0,"",IF($F730="Baseline","— Baseline",IF($O730=0,"No result",IF($N730=0,"No Start (attainment only)",IF(OR($N730=1,$O730=1),"U – needs rule",INDEX(MxBody,MATCH($I730,MxCurr,0),MATCH($H730,MxStart,0)))))))</f>
        <v/>
      </c>
      <c r="L730" s="62" t="str">
        <f aca="false">IF(COUNTA($A730,$F730,$G730,$H730,$I730,$J730)=0,"",IF($M730=0,"✖ كود الصف غير موجود",IF(ISNA(MATCH($F730,Lists!$A$2:$A$5,0)),"✖ الفترة غير صحيحة",IF(ISNA(MATCH($G730,Lists!$B$2:$B$7,0)),"✖ المجموعة غير صحيحة",IF(NOT(OR($H730="",$N730&gt;0)),"✖ Start غير صحيح",IF(NOT(OR($I730="",$I730="NR",$O730&gt;0)),"✖ Current غير صحيح",IF(NOT(IF(ISNUMBER($J730),AND($J730&gt;=0,$J730=INT($J730)),FALSE())),"✖ العدد يجب أن يكون صحيحًا ≥ 0",IF(AND($F730="Baseline",$H730&lt;&gt;""),"⚠ Baseline: Start لا يدخل في التقدم",IF($K730="No Start (attainment only)","ℹ تحصيل فقط (بدون Start)",IF($K730="U – needs rule","ℹ حالة U تحتاج قاعدة معتمدة",IF($K730="No result","ℹ بدون نتيجة (يُستبعد من التحصيل)","OK")))))))))))</f>
        <v/>
      </c>
      <c r="M730" s="64" t="n">
        <f aca="false">IF($A730="",0,IFERROR(MATCH($A730,Classes!$A$6:$A$420,0),0))</f>
        <v>0</v>
      </c>
      <c r="N730" s="64" t="n">
        <f aca="false">IF($H730="",0,IFERROR(MATCH($H730,GradeList,0),0))</f>
        <v>0</v>
      </c>
      <c r="O730" s="64" t="n">
        <f aca="false">IF(OR($I730="",$I730="NR"),0,IFERROR(MATCH($I730,GradeList,0),0))</f>
        <v>0</v>
      </c>
      <c r="P730" s="64" t="n">
        <f aca="false">IF(AND($M730&gt;0,ISNUMBER(MATCH($F730,Lists!$A$2:$A$5,0)),ISNUMBER(MATCH($G730,Lists!$B$2:$B$7,0)),OR($H730="",$N730&gt;0),OR($I730="",$I730="NR",$O730&gt;0),IF(ISNUMBER($J730),AND($J730&gt;=0,$J730=INT($J730)),FALSE())),$J730,0)</f>
        <v>0</v>
      </c>
      <c r="Q730" s="64" t="n">
        <f aca="false">IF(AND($P730&gt;0,$O730&gt;0),$P730,0)</f>
        <v>0</v>
      </c>
      <c r="R730" s="64" t="n">
        <f aca="false">IF(AND($Q730&gt;0,$O730&gt;=AtRank),$Q730,0)</f>
        <v>0</v>
      </c>
      <c r="S730" s="64" t="n">
        <f aca="false">IF(AND($Q730&gt;0,$O730&gt;=AboveRank),$Q730,0)</f>
        <v>0</v>
      </c>
      <c r="T730" s="64" t="n">
        <f aca="false">IF($K730="Less",$P730,0)</f>
        <v>0</v>
      </c>
      <c r="U730" s="64" t="n">
        <f aca="false">IF($K730="Expected",$P730,0)</f>
        <v>0</v>
      </c>
      <c r="V730" s="64" t="n">
        <f aca="false">IF($K730="Better",$P730,0)</f>
        <v>0</v>
      </c>
      <c r="W730" s="64" t="n">
        <f aca="false">IF($K730="U – needs rule",$P730,0)</f>
        <v>0</v>
      </c>
      <c r="X730" s="64" t="n">
        <f aca="false">IF($K730="No Start (attainment only)",$P730,0)</f>
        <v>0</v>
      </c>
    </row>
    <row r="731" customFormat="false" ht="15" hidden="false" customHeight="false" outlineLevel="0" collapsed="false">
      <c r="A731" s="60"/>
      <c r="B731" s="61" t="str">
        <f aca="false">IF($M731=0,"",INDEX(Classes!$E$6:$E$420,$M731))</f>
        <v/>
      </c>
      <c r="C731" s="62" t="str">
        <f aca="false">IF($M731=0,"",INDEX(Classes!$H$6:$H$420,$M731))</f>
        <v/>
      </c>
      <c r="D731" s="61" t="str">
        <f aca="false">IF($M731=0,"",INDEX(Classes!$B$6:$B$420,$M731))</f>
        <v/>
      </c>
      <c r="E731" s="61" t="str">
        <f aca="false">IF($M731=0,"",INDEX(Classes!$C$6:$C$420,$M731))</f>
        <v/>
      </c>
      <c r="F731" s="63"/>
      <c r="G731" s="63"/>
      <c r="H731" s="60"/>
      <c r="I731" s="60"/>
      <c r="J731" s="63"/>
      <c r="K731" s="61" t="str">
        <f aca="false">IF($P731=0,"",IF($F731="Baseline","— Baseline",IF($O731=0,"No result",IF($N731=0,"No Start (attainment only)",IF(OR($N731=1,$O731=1),"U – needs rule",INDEX(MxBody,MATCH($I731,MxCurr,0),MATCH($H731,MxStart,0)))))))</f>
        <v/>
      </c>
      <c r="L731" s="62" t="str">
        <f aca="false">IF(COUNTA($A731,$F731,$G731,$H731,$I731,$J731)=0,"",IF($M731=0,"✖ كود الصف غير موجود",IF(ISNA(MATCH($F731,Lists!$A$2:$A$5,0)),"✖ الفترة غير صحيحة",IF(ISNA(MATCH($G731,Lists!$B$2:$B$7,0)),"✖ المجموعة غير صحيحة",IF(NOT(OR($H731="",$N731&gt;0)),"✖ Start غير صحيح",IF(NOT(OR($I731="",$I731="NR",$O731&gt;0)),"✖ Current غير صحيح",IF(NOT(IF(ISNUMBER($J731),AND($J731&gt;=0,$J731=INT($J731)),FALSE())),"✖ العدد يجب أن يكون صحيحًا ≥ 0",IF(AND($F731="Baseline",$H731&lt;&gt;""),"⚠ Baseline: Start لا يدخل في التقدم",IF($K731="No Start (attainment only)","ℹ تحصيل فقط (بدون Start)",IF($K731="U – needs rule","ℹ حالة U تحتاج قاعدة معتمدة",IF($K731="No result","ℹ بدون نتيجة (يُستبعد من التحصيل)","OK")))))))))))</f>
        <v/>
      </c>
      <c r="M731" s="64" t="n">
        <f aca="false">IF($A731="",0,IFERROR(MATCH($A731,Classes!$A$6:$A$420,0),0))</f>
        <v>0</v>
      </c>
      <c r="N731" s="64" t="n">
        <f aca="false">IF($H731="",0,IFERROR(MATCH($H731,GradeList,0),0))</f>
        <v>0</v>
      </c>
      <c r="O731" s="64" t="n">
        <f aca="false">IF(OR($I731="",$I731="NR"),0,IFERROR(MATCH($I731,GradeList,0),0))</f>
        <v>0</v>
      </c>
      <c r="P731" s="64" t="n">
        <f aca="false">IF(AND($M731&gt;0,ISNUMBER(MATCH($F731,Lists!$A$2:$A$5,0)),ISNUMBER(MATCH($G731,Lists!$B$2:$B$7,0)),OR($H731="",$N731&gt;0),OR($I731="",$I731="NR",$O731&gt;0),IF(ISNUMBER($J731),AND($J731&gt;=0,$J731=INT($J731)),FALSE())),$J731,0)</f>
        <v>0</v>
      </c>
      <c r="Q731" s="64" t="n">
        <f aca="false">IF(AND($P731&gt;0,$O731&gt;0),$P731,0)</f>
        <v>0</v>
      </c>
      <c r="R731" s="64" t="n">
        <f aca="false">IF(AND($Q731&gt;0,$O731&gt;=AtRank),$Q731,0)</f>
        <v>0</v>
      </c>
      <c r="S731" s="64" t="n">
        <f aca="false">IF(AND($Q731&gt;0,$O731&gt;=AboveRank),$Q731,0)</f>
        <v>0</v>
      </c>
      <c r="T731" s="64" t="n">
        <f aca="false">IF($K731="Less",$P731,0)</f>
        <v>0</v>
      </c>
      <c r="U731" s="64" t="n">
        <f aca="false">IF($K731="Expected",$P731,0)</f>
        <v>0</v>
      </c>
      <c r="V731" s="64" t="n">
        <f aca="false">IF($K731="Better",$P731,0)</f>
        <v>0</v>
      </c>
      <c r="W731" s="64" t="n">
        <f aca="false">IF($K731="U – needs rule",$P731,0)</f>
        <v>0</v>
      </c>
      <c r="X731" s="64" t="n">
        <f aca="false">IF($K731="No Start (attainment only)",$P731,0)</f>
        <v>0</v>
      </c>
    </row>
    <row r="732" customFormat="false" ht="15" hidden="false" customHeight="false" outlineLevel="0" collapsed="false">
      <c r="A732" s="60"/>
      <c r="B732" s="61" t="str">
        <f aca="false">IF($M732=0,"",INDEX(Classes!$E$6:$E$420,$M732))</f>
        <v/>
      </c>
      <c r="C732" s="62" t="str">
        <f aca="false">IF($M732=0,"",INDEX(Classes!$H$6:$H$420,$M732))</f>
        <v/>
      </c>
      <c r="D732" s="61" t="str">
        <f aca="false">IF($M732=0,"",INDEX(Classes!$B$6:$B$420,$M732))</f>
        <v/>
      </c>
      <c r="E732" s="61" t="str">
        <f aca="false">IF($M732=0,"",INDEX(Classes!$C$6:$C$420,$M732))</f>
        <v/>
      </c>
      <c r="F732" s="63"/>
      <c r="G732" s="63"/>
      <c r="H732" s="60"/>
      <c r="I732" s="60"/>
      <c r="J732" s="63"/>
      <c r="K732" s="61" t="str">
        <f aca="false">IF($P732=0,"",IF($F732="Baseline","— Baseline",IF($O732=0,"No result",IF($N732=0,"No Start (attainment only)",IF(OR($N732=1,$O732=1),"U – needs rule",INDEX(MxBody,MATCH($I732,MxCurr,0),MATCH($H732,MxStart,0)))))))</f>
        <v/>
      </c>
      <c r="L732" s="62" t="str">
        <f aca="false">IF(COUNTA($A732,$F732,$G732,$H732,$I732,$J732)=0,"",IF($M732=0,"✖ كود الصف غير موجود",IF(ISNA(MATCH($F732,Lists!$A$2:$A$5,0)),"✖ الفترة غير صحيحة",IF(ISNA(MATCH($G732,Lists!$B$2:$B$7,0)),"✖ المجموعة غير صحيحة",IF(NOT(OR($H732="",$N732&gt;0)),"✖ Start غير صحيح",IF(NOT(OR($I732="",$I732="NR",$O732&gt;0)),"✖ Current غير صحيح",IF(NOT(IF(ISNUMBER($J732),AND($J732&gt;=0,$J732=INT($J732)),FALSE())),"✖ العدد يجب أن يكون صحيحًا ≥ 0",IF(AND($F732="Baseline",$H732&lt;&gt;""),"⚠ Baseline: Start لا يدخل في التقدم",IF($K732="No Start (attainment only)","ℹ تحصيل فقط (بدون Start)",IF($K732="U – needs rule","ℹ حالة U تحتاج قاعدة معتمدة",IF($K732="No result","ℹ بدون نتيجة (يُستبعد من التحصيل)","OK")))))))))))</f>
        <v/>
      </c>
      <c r="M732" s="64" t="n">
        <f aca="false">IF($A732="",0,IFERROR(MATCH($A732,Classes!$A$6:$A$420,0),0))</f>
        <v>0</v>
      </c>
      <c r="N732" s="64" t="n">
        <f aca="false">IF($H732="",0,IFERROR(MATCH($H732,GradeList,0),0))</f>
        <v>0</v>
      </c>
      <c r="O732" s="64" t="n">
        <f aca="false">IF(OR($I732="",$I732="NR"),0,IFERROR(MATCH($I732,GradeList,0),0))</f>
        <v>0</v>
      </c>
      <c r="P732" s="64" t="n">
        <f aca="false">IF(AND($M732&gt;0,ISNUMBER(MATCH($F732,Lists!$A$2:$A$5,0)),ISNUMBER(MATCH($G732,Lists!$B$2:$B$7,0)),OR($H732="",$N732&gt;0),OR($I732="",$I732="NR",$O732&gt;0),IF(ISNUMBER($J732),AND($J732&gt;=0,$J732=INT($J732)),FALSE())),$J732,0)</f>
        <v>0</v>
      </c>
      <c r="Q732" s="64" t="n">
        <f aca="false">IF(AND($P732&gt;0,$O732&gt;0),$P732,0)</f>
        <v>0</v>
      </c>
      <c r="R732" s="64" t="n">
        <f aca="false">IF(AND($Q732&gt;0,$O732&gt;=AtRank),$Q732,0)</f>
        <v>0</v>
      </c>
      <c r="S732" s="64" t="n">
        <f aca="false">IF(AND($Q732&gt;0,$O732&gt;=AboveRank),$Q732,0)</f>
        <v>0</v>
      </c>
      <c r="T732" s="64" t="n">
        <f aca="false">IF($K732="Less",$P732,0)</f>
        <v>0</v>
      </c>
      <c r="U732" s="64" t="n">
        <f aca="false">IF($K732="Expected",$P732,0)</f>
        <v>0</v>
      </c>
      <c r="V732" s="64" t="n">
        <f aca="false">IF($K732="Better",$P732,0)</f>
        <v>0</v>
      </c>
      <c r="W732" s="64" t="n">
        <f aca="false">IF($K732="U – needs rule",$P732,0)</f>
        <v>0</v>
      </c>
      <c r="X732" s="64" t="n">
        <f aca="false">IF($K732="No Start (attainment only)",$P732,0)</f>
        <v>0</v>
      </c>
    </row>
    <row r="733" customFormat="false" ht="15" hidden="false" customHeight="false" outlineLevel="0" collapsed="false">
      <c r="A733" s="60"/>
      <c r="B733" s="61" t="str">
        <f aca="false">IF($M733=0,"",INDEX(Classes!$E$6:$E$420,$M733))</f>
        <v/>
      </c>
      <c r="C733" s="62" t="str">
        <f aca="false">IF($M733=0,"",INDEX(Classes!$H$6:$H$420,$M733))</f>
        <v/>
      </c>
      <c r="D733" s="61" t="str">
        <f aca="false">IF($M733=0,"",INDEX(Classes!$B$6:$B$420,$M733))</f>
        <v/>
      </c>
      <c r="E733" s="61" t="str">
        <f aca="false">IF($M733=0,"",INDEX(Classes!$C$6:$C$420,$M733))</f>
        <v/>
      </c>
      <c r="F733" s="63"/>
      <c r="G733" s="63"/>
      <c r="H733" s="60"/>
      <c r="I733" s="60"/>
      <c r="J733" s="63"/>
      <c r="K733" s="61" t="str">
        <f aca="false">IF($P733=0,"",IF($F733="Baseline","— Baseline",IF($O733=0,"No result",IF($N733=0,"No Start (attainment only)",IF(OR($N733=1,$O733=1),"U – needs rule",INDEX(MxBody,MATCH($I733,MxCurr,0),MATCH($H733,MxStart,0)))))))</f>
        <v/>
      </c>
      <c r="L733" s="62" t="str">
        <f aca="false">IF(COUNTA($A733,$F733,$G733,$H733,$I733,$J733)=0,"",IF($M733=0,"✖ كود الصف غير موجود",IF(ISNA(MATCH($F733,Lists!$A$2:$A$5,0)),"✖ الفترة غير صحيحة",IF(ISNA(MATCH($G733,Lists!$B$2:$B$7,0)),"✖ المجموعة غير صحيحة",IF(NOT(OR($H733="",$N733&gt;0)),"✖ Start غير صحيح",IF(NOT(OR($I733="",$I733="NR",$O733&gt;0)),"✖ Current غير صحيح",IF(NOT(IF(ISNUMBER($J733),AND($J733&gt;=0,$J733=INT($J733)),FALSE())),"✖ العدد يجب أن يكون صحيحًا ≥ 0",IF(AND($F733="Baseline",$H733&lt;&gt;""),"⚠ Baseline: Start لا يدخل في التقدم",IF($K733="No Start (attainment only)","ℹ تحصيل فقط (بدون Start)",IF($K733="U – needs rule","ℹ حالة U تحتاج قاعدة معتمدة",IF($K733="No result","ℹ بدون نتيجة (يُستبعد من التحصيل)","OK")))))))))))</f>
        <v/>
      </c>
      <c r="M733" s="64" t="n">
        <f aca="false">IF($A733="",0,IFERROR(MATCH($A733,Classes!$A$6:$A$420,0),0))</f>
        <v>0</v>
      </c>
      <c r="N733" s="64" t="n">
        <f aca="false">IF($H733="",0,IFERROR(MATCH($H733,GradeList,0),0))</f>
        <v>0</v>
      </c>
      <c r="O733" s="64" t="n">
        <f aca="false">IF(OR($I733="",$I733="NR"),0,IFERROR(MATCH($I733,GradeList,0),0))</f>
        <v>0</v>
      </c>
      <c r="P733" s="64" t="n">
        <f aca="false">IF(AND($M733&gt;0,ISNUMBER(MATCH($F733,Lists!$A$2:$A$5,0)),ISNUMBER(MATCH($G733,Lists!$B$2:$B$7,0)),OR($H733="",$N733&gt;0),OR($I733="",$I733="NR",$O733&gt;0),IF(ISNUMBER($J733),AND($J733&gt;=0,$J733=INT($J733)),FALSE())),$J733,0)</f>
        <v>0</v>
      </c>
      <c r="Q733" s="64" t="n">
        <f aca="false">IF(AND($P733&gt;0,$O733&gt;0),$P733,0)</f>
        <v>0</v>
      </c>
      <c r="R733" s="64" t="n">
        <f aca="false">IF(AND($Q733&gt;0,$O733&gt;=AtRank),$Q733,0)</f>
        <v>0</v>
      </c>
      <c r="S733" s="64" t="n">
        <f aca="false">IF(AND($Q733&gt;0,$O733&gt;=AboveRank),$Q733,0)</f>
        <v>0</v>
      </c>
      <c r="T733" s="64" t="n">
        <f aca="false">IF($K733="Less",$P733,0)</f>
        <v>0</v>
      </c>
      <c r="U733" s="64" t="n">
        <f aca="false">IF($K733="Expected",$P733,0)</f>
        <v>0</v>
      </c>
      <c r="V733" s="64" t="n">
        <f aca="false">IF($K733="Better",$P733,0)</f>
        <v>0</v>
      </c>
      <c r="W733" s="64" t="n">
        <f aca="false">IF($K733="U – needs rule",$P733,0)</f>
        <v>0</v>
      </c>
      <c r="X733" s="64" t="n">
        <f aca="false">IF($K733="No Start (attainment only)",$P733,0)</f>
        <v>0</v>
      </c>
    </row>
    <row r="734" customFormat="false" ht="15" hidden="false" customHeight="false" outlineLevel="0" collapsed="false">
      <c r="A734" s="60"/>
      <c r="B734" s="61" t="str">
        <f aca="false">IF($M734=0,"",INDEX(Classes!$E$6:$E$420,$M734))</f>
        <v/>
      </c>
      <c r="C734" s="62" t="str">
        <f aca="false">IF($M734=0,"",INDEX(Classes!$H$6:$H$420,$M734))</f>
        <v/>
      </c>
      <c r="D734" s="61" t="str">
        <f aca="false">IF($M734=0,"",INDEX(Classes!$B$6:$B$420,$M734))</f>
        <v/>
      </c>
      <c r="E734" s="61" t="str">
        <f aca="false">IF($M734=0,"",INDEX(Classes!$C$6:$C$420,$M734))</f>
        <v/>
      </c>
      <c r="F734" s="63"/>
      <c r="G734" s="63"/>
      <c r="H734" s="60"/>
      <c r="I734" s="60"/>
      <c r="J734" s="63"/>
      <c r="K734" s="61" t="str">
        <f aca="false">IF($P734=0,"",IF($F734="Baseline","— Baseline",IF($O734=0,"No result",IF($N734=0,"No Start (attainment only)",IF(OR($N734=1,$O734=1),"U – needs rule",INDEX(MxBody,MATCH($I734,MxCurr,0),MATCH($H734,MxStart,0)))))))</f>
        <v/>
      </c>
      <c r="L734" s="62" t="str">
        <f aca="false">IF(COUNTA($A734,$F734,$G734,$H734,$I734,$J734)=0,"",IF($M734=0,"✖ كود الصف غير موجود",IF(ISNA(MATCH($F734,Lists!$A$2:$A$5,0)),"✖ الفترة غير صحيحة",IF(ISNA(MATCH($G734,Lists!$B$2:$B$7,0)),"✖ المجموعة غير صحيحة",IF(NOT(OR($H734="",$N734&gt;0)),"✖ Start غير صحيح",IF(NOT(OR($I734="",$I734="NR",$O734&gt;0)),"✖ Current غير صحيح",IF(NOT(IF(ISNUMBER($J734),AND($J734&gt;=0,$J734=INT($J734)),FALSE())),"✖ العدد يجب أن يكون صحيحًا ≥ 0",IF(AND($F734="Baseline",$H734&lt;&gt;""),"⚠ Baseline: Start لا يدخل في التقدم",IF($K734="No Start (attainment only)","ℹ تحصيل فقط (بدون Start)",IF($K734="U – needs rule","ℹ حالة U تحتاج قاعدة معتمدة",IF($K734="No result","ℹ بدون نتيجة (يُستبعد من التحصيل)","OK")))))))))))</f>
        <v/>
      </c>
      <c r="M734" s="64" t="n">
        <f aca="false">IF($A734="",0,IFERROR(MATCH($A734,Classes!$A$6:$A$420,0),0))</f>
        <v>0</v>
      </c>
      <c r="N734" s="64" t="n">
        <f aca="false">IF($H734="",0,IFERROR(MATCH($H734,GradeList,0),0))</f>
        <v>0</v>
      </c>
      <c r="O734" s="64" t="n">
        <f aca="false">IF(OR($I734="",$I734="NR"),0,IFERROR(MATCH($I734,GradeList,0),0))</f>
        <v>0</v>
      </c>
      <c r="P734" s="64" t="n">
        <f aca="false">IF(AND($M734&gt;0,ISNUMBER(MATCH($F734,Lists!$A$2:$A$5,0)),ISNUMBER(MATCH($G734,Lists!$B$2:$B$7,0)),OR($H734="",$N734&gt;0),OR($I734="",$I734="NR",$O734&gt;0),IF(ISNUMBER($J734),AND($J734&gt;=0,$J734=INT($J734)),FALSE())),$J734,0)</f>
        <v>0</v>
      </c>
      <c r="Q734" s="64" t="n">
        <f aca="false">IF(AND($P734&gt;0,$O734&gt;0),$P734,0)</f>
        <v>0</v>
      </c>
      <c r="R734" s="64" t="n">
        <f aca="false">IF(AND($Q734&gt;0,$O734&gt;=AtRank),$Q734,0)</f>
        <v>0</v>
      </c>
      <c r="S734" s="64" t="n">
        <f aca="false">IF(AND($Q734&gt;0,$O734&gt;=AboveRank),$Q734,0)</f>
        <v>0</v>
      </c>
      <c r="T734" s="64" t="n">
        <f aca="false">IF($K734="Less",$P734,0)</f>
        <v>0</v>
      </c>
      <c r="U734" s="64" t="n">
        <f aca="false">IF($K734="Expected",$P734,0)</f>
        <v>0</v>
      </c>
      <c r="V734" s="64" t="n">
        <f aca="false">IF($K734="Better",$P734,0)</f>
        <v>0</v>
      </c>
      <c r="W734" s="64" t="n">
        <f aca="false">IF($K734="U – needs rule",$P734,0)</f>
        <v>0</v>
      </c>
      <c r="X734" s="64" t="n">
        <f aca="false">IF($K734="No Start (attainment only)",$P734,0)</f>
        <v>0</v>
      </c>
    </row>
    <row r="735" customFormat="false" ht="15" hidden="false" customHeight="false" outlineLevel="0" collapsed="false">
      <c r="A735" s="60"/>
      <c r="B735" s="61" t="str">
        <f aca="false">IF($M735=0,"",INDEX(Classes!$E$6:$E$420,$M735))</f>
        <v/>
      </c>
      <c r="C735" s="62" t="str">
        <f aca="false">IF($M735=0,"",INDEX(Classes!$H$6:$H$420,$M735))</f>
        <v/>
      </c>
      <c r="D735" s="61" t="str">
        <f aca="false">IF($M735=0,"",INDEX(Classes!$B$6:$B$420,$M735))</f>
        <v/>
      </c>
      <c r="E735" s="61" t="str">
        <f aca="false">IF($M735=0,"",INDEX(Classes!$C$6:$C$420,$M735))</f>
        <v/>
      </c>
      <c r="F735" s="63"/>
      <c r="G735" s="63"/>
      <c r="H735" s="60"/>
      <c r="I735" s="60"/>
      <c r="J735" s="63"/>
      <c r="K735" s="61" t="str">
        <f aca="false">IF($P735=0,"",IF($F735="Baseline","— Baseline",IF($O735=0,"No result",IF($N735=0,"No Start (attainment only)",IF(OR($N735=1,$O735=1),"U – needs rule",INDEX(MxBody,MATCH($I735,MxCurr,0),MATCH($H735,MxStart,0)))))))</f>
        <v/>
      </c>
      <c r="L735" s="62" t="str">
        <f aca="false">IF(COUNTA($A735,$F735,$G735,$H735,$I735,$J735)=0,"",IF($M735=0,"✖ كود الصف غير موجود",IF(ISNA(MATCH($F735,Lists!$A$2:$A$5,0)),"✖ الفترة غير صحيحة",IF(ISNA(MATCH($G735,Lists!$B$2:$B$7,0)),"✖ المجموعة غير صحيحة",IF(NOT(OR($H735="",$N735&gt;0)),"✖ Start غير صحيح",IF(NOT(OR($I735="",$I735="NR",$O735&gt;0)),"✖ Current غير صحيح",IF(NOT(IF(ISNUMBER($J735),AND($J735&gt;=0,$J735=INT($J735)),FALSE())),"✖ العدد يجب أن يكون صحيحًا ≥ 0",IF(AND($F735="Baseline",$H735&lt;&gt;""),"⚠ Baseline: Start لا يدخل في التقدم",IF($K735="No Start (attainment only)","ℹ تحصيل فقط (بدون Start)",IF($K735="U – needs rule","ℹ حالة U تحتاج قاعدة معتمدة",IF($K735="No result","ℹ بدون نتيجة (يُستبعد من التحصيل)","OK")))))))))))</f>
        <v/>
      </c>
      <c r="M735" s="64" t="n">
        <f aca="false">IF($A735="",0,IFERROR(MATCH($A735,Classes!$A$6:$A$420,0),0))</f>
        <v>0</v>
      </c>
      <c r="N735" s="64" t="n">
        <f aca="false">IF($H735="",0,IFERROR(MATCH($H735,GradeList,0),0))</f>
        <v>0</v>
      </c>
      <c r="O735" s="64" t="n">
        <f aca="false">IF(OR($I735="",$I735="NR"),0,IFERROR(MATCH($I735,GradeList,0),0))</f>
        <v>0</v>
      </c>
      <c r="P735" s="64" t="n">
        <f aca="false">IF(AND($M735&gt;0,ISNUMBER(MATCH($F735,Lists!$A$2:$A$5,0)),ISNUMBER(MATCH($G735,Lists!$B$2:$B$7,0)),OR($H735="",$N735&gt;0),OR($I735="",$I735="NR",$O735&gt;0),IF(ISNUMBER($J735),AND($J735&gt;=0,$J735=INT($J735)),FALSE())),$J735,0)</f>
        <v>0</v>
      </c>
      <c r="Q735" s="64" t="n">
        <f aca="false">IF(AND($P735&gt;0,$O735&gt;0),$P735,0)</f>
        <v>0</v>
      </c>
      <c r="R735" s="64" t="n">
        <f aca="false">IF(AND($Q735&gt;0,$O735&gt;=AtRank),$Q735,0)</f>
        <v>0</v>
      </c>
      <c r="S735" s="64" t="n">
        <f aca="false">IF(AND($Q735&gt;0,$O735&gt;=AboveRank),$Q735,0)</f>
        <v>0</v>
      </c>
      <c r="T735" s="64" t="n">
        <f aca="false">IF($K735="Less",$P735,0)</f>
        <v>0</v>
      </c>
      <c r="U735" s="64" t="n">
        <f aca="false">IF($K735="Expected",$P735,0)</f>
        <v>0</v>
      </c>
      <c r="V735" s="64" t="n">
        <f aca="false">IF($K735="Better",$P735,0)</f>
        <v>0</v>
      </c>
      <c r="W735" s="64" t="n">
        <f aca="false">IF($K735="U – needs rule",$P735,0)</f>
        <v>0</v>
      </c>
      <c r="X735" s="64" t="n">
        <f aca="false">IF($K735="No Start (attainment only)",$P735,0)</f>
        <v>0</v>
      </c>
    </row>
    <row r="736" customFormat="false" ht="15" hidden="false" customHeight="false" outlineLevel="0" collapsed="false">
      <c r="A736" s="60"/>
      <c r="B736" s="61" t="str">
        <f aca="false">IF($M736=0,"",INDEX(Classes!$E$6:$E$420,$M736))</f>
        <v/>
      </c>
      <c r="C736" s="62" t="str">
        <f aca="false">IF($M736=0,"",INDEX(Classes!$H$6:$H$420,$M736))</f>
        <v/>
      </c>
      <c r="D736" s="61" t="str">
        <f aca="false">IF($M736=0,"",INDEX(Classes!$B$6:$B$420,$M736))</f>
        <v/>
      </c>
      <c r="E736" s="61" t="str">
        <f aca="false">IF($M736=0,"",INDEX(Classes!$C$6:$C$420,$M736))</f>
        <v/>
      </c>
      <c r="F736" s="63"/>
      <c r="G736" s="63"/>
      <c r="H736" s="60"/>
      <c r="I736" s="60"/>
      <c r="J736" s="63"/>
      <c r="K736" s="61" t="str">
        <f aca="false">IF($P736=0,"",IF($F736="Baseline","— Baseline",IF($O736=0,"No result",IF($N736=0,"No Start (attainment only)",IF(OR($N736=1,$O736=1),"U – needs rule",INDEX(MxBody,MATCH($I736,MxCurr,0),MATCH($H736,MxStart,0)))))))</f>
        <v/>
      </c>
      <c r="L736" s="62" t="str">
        <f aca="false">IF(COUNTA($A736,$F736,$G736,$H736,$I736,$J736)=0,"",IF($M736=0,"✖ كود الصف غير موجود",IF(ISNA(MATCH($F736,Lists!$A$2:$A$5,0)),"✖ الفترة غير صحيحة",IF(ISNA(MATCH($G736,Lists!$B$2:$B$7,0)),"✖ المجموعة غير صحيحة",IF(NOT(OR($H736="",$N736&gt;0)),"✖ Start غير صحيح",IF(NOT(OR($I736="",$I736="NR",$O736&gt;0)),"✖ Current غير صحيح",IF(NOT(IF(ISNUMBER($J736),AND($J736&gt;=0,$J736=INT($J736)),FALSE())),"✖ العدد يجب أن يكون صحيحًا ≥ 0",IF(AND($F736="Baseline",$H736&lt;&gt;""),"⚠ Baseline: Start لا يدخل في التقدم",IF($K736="No Start (attainment only)","ℹ تحصيل فقط (بدون Start)",IF($K736="U – needs rule","ℹ حالة U تحتاج قاعدة معتمدة",IF($K736="No result","ℹ بدون نتيجة (يُستبعد من التحصيل)","OK")))))))))))</f>
        <v/>
      </c>
      <c r="M736" s="64" t="n">
        <f aca="false">IF($A736="",0,IFERROR(MATCH($A736,Classes!$A$6:$A$420,0),0))</f>
        <v>0</v>
      </c>
      <c r="N736" s="64" t="n">
        <f aca="false">IF($H736="",0,IFERROR(MATCH($H736,GradeList,0),0))</f>
        <v>0</v>
      </c>
      <c r="O736" s="64" t="n">
        <f aca="false">IF(OR($I736="",$I736="NR"),0,IFERROR(MATCH($I736,GradeList,0),0))</f>
        <v>0</v>
      </c>
      <c r="P736" s="64" t="n">
        <f aca="false">IF(AND($M736&gt;0,ISNUMBER(MATCH($F736,Lists!$A$2:$A$5,0)),ISNUMBER(MATCH($G736,Lists!$B$2:$B$7,0)),OR($H736="",$N736&gt;0),OR($I736="",$I736="NR",$O736&gt;0),IF(ISNUMBER($J736),AND($J736&gt;=0,$J736=INT($J736)),FALSE())),$J736,0)</f>
        <v>0</v>
      </c>
      <c r="Q736" s="64" t="n">
        <f aca="false">IF(AND($P736&gt;0,$O736&gt;0),$P736,0)</f>
        <v>0</v>
      </c>
      <c r="R736" s="64" t="n">
        <f aca="false">IF(AND($Q736&gt;0,$O736&gt;=AtRank),$Q736,0)</f>
        <v>0</v>
      </c>
      <c r="S736" s="64" t="n">
        <f aca="false">IF(AND($Q736&gt;0,$O736&gt;=AboveRank),$Q736,0)</f>
        <v>0</v>
      </c>
      <c r="T736" s="64" t="n">
        <f aca="false">IF($K736="Less",$P736,0)</f>
        <v>0</v>
      </c>
      <c r="U736" s="64" t="n">
        <f aca="false">IF($K736="Expected",$P736,0)</f>
        <v>0</v>
      </c>
      <c r="V736" s="64" t="n">
        <f aca="false">IF($K736="Better",$P736,0)</f>
        <v>0</v>
      </c>
      <c r="W736" s="64" t="n">
        <f aca="false">IF($K736="U – needs rule",$P736,0)</f>
        <v>0</v>
      </c>
      <c r="X736" s="64" t="n">
        <f aca="false">IF($K736="No Start (attainment only)",$P736,0)</f>
        <v>0</v>
      </c>
    </row>
    <row r="737" customFormat="false" ht="15" hidden="false" customHeight="false" outlineLevel="0" collapsed="false">
      <c r="A737" s="60"/>
      <c r="B737" s="61" t="str">
        <f aca="false">IF($M737=0,"",INDEX(Classes!$E$6:$E$420,$M737))</f>
        <v/>
      </c>
      <c r="C737" s="62" t="str">
        <f aca="false">IF($M737=0,"",INDEX(Classes!$H$6:$H$420,$M737))</f>
        <v/>
      </c>
      <c r="D737" s="61" t="str">
        <f aca="false">IF($M737=0,"",INDEX(Classes!$B$6:$B$420,$M737))</f>
        <v/>
      </c>
      <c r="E737" s="61" t="str">
        <f aca="false">IF($M737=0,"",INDEX(Classes!$C$6:$C$420,$M737))</f>
        <v/>
      </c>
      <c r="F737" s="63"/>
      <c r="G737" s="63"/>
      <c r="H737" s="60"/>
      <c r="I737" s="60"/>
      <c r="J737" s="63"/>
      <c r="K737" s="61" t="str">
        <f aca="false">IF($P737=0,"",IF($F737="Baseline","— Baseline",IF($O737=0,"No result",IF($N737=0,"No Start (attainment only)",IF(OR($N737=1,$O737=1),"U – needs rule",INDEX(MxBody,MATCH($I737,MxCurr,0),MATCH($H737,MxStart,0)))))))</f>
        <v/>
      </c>
      <c r="L737" s="62" t="str">
        <f aca="false">IF(COUNTA($A737,$F737,$G737,$H737,$I737,$J737)=0,"",IF($M737=0,"✖ كود الصف غير موجود",IF(ISNA(MATCH($F737,Lists!$A$2:$A$5,0)),"✖ الفترة غير صحيحة",IF(ISNA(MATCH($G737,Lists!$B$2:$B$7,0)),"✖ المجموعة غير صحيحة",IF(NOT(OR($H737="",$N737&gt;0)),"✖ Start غير صحيح",IF(NOT(OR($I737="",$I737="NR",$O737&gt;0)),"✖ Current غير صحيح",IF(NOT(IF(ISNUMBER($J737),AND($J737&gt;=0,$J737=INT($J737)),FALSE())),"✖ العدد يجب أن يكون صحيحًا ≥ 0",IF(AND($F737="Baseline",$H737&lt;&gt;""),"⚠ Baseline: Start لا يدخل في التقدم",IF($K737="No Start (attainment only)","ℹ تحصيل فقط (بدون Start)",IF($K737="U – needs rule","ℹ حالة U تحتاج قاعدة معتمدة",IF($K737="No result","ℹ بدون نتيجة (يُستبعد من التحصيل)","OK")))))))))))</f>
        <v/>
      </c>
      <c r="M737" s="64" t="n">
        <f aca="false">IF($A737="",0,IFERROR(MATCH($A737,Classes!$A$6:$A$420,0),0))</f>
        <v>0</v>
      </c>
      <c r="N737" s="64" t="n">
        <f aca="false">IF($H737="",0,IFERROR(MATCH($H737,GradeList,0),0))</f>
        <v>0</v>
      </c>
      <c r="O737" s="64" t="n">
        <f aca="false">IF(OR($I737="",$I737="NR"),0,IFERROR(MATCH($I737,GradeList,0),0))</f>
        <v>0</v>
      </c>
      <c r="P737" s="64" t="n">
        <f aca="false">IF(AND($M737&gt;0,ISNUMBER(MATCH($F737,Lists!$A$2:$A$5,0)),ISNUMBER(MATCH($G737,Lists!$B$2:$B$7,0)),OR($H737="",$N737&gt;0),OR($I737="",$I737="NR",$O737&gt;0),IF(ISNUMBER($J737),AND($J737&gt;=0,$J737=INT($J737)),FALSE())),$J737,0)</f>
        <v>0</v>
      </c>
      <c r="Q737" s="64" t="n">
        <f aca="false">IF(AND($P737&gt;0,$O737&gt;0),$P737,0)</f>
        <v>0</v>
      </c>
      <c r="R737" s="64" t="n">
        <f aca="false">IF(AND($Q737&gt;0,$O737&gt;=AtRank),$Q737,0)</f>
        <v>0</v>
      </c>
      <c r="S737" s="64" t="n">
        <f aca="false">IF(AND($Q737&gt;0,$O737&gt;=AboveRank),$Q737,0)</f>
        <v>0</v>
      </c>
      <c r="T737" s="64" t="n">
        <f aca="false">IF($K737="Less",$P737,0)</f>
        <v>0</v>
      </c>
      <c r="U737" s="64" t="n">
        <f aca="false">IF($K737="Expected",$P737,0)</f>
        <v>0</v>
      </c>
      <c r="V737" s="64" t="n">
        <f aca="false">IF($K737="Better",$P737,0)</f>
        <v>0</v>
      </c>
      <c r="W737" s="64" t="n">
        <f aca="false">IF($K737="U – needs rule",$P737,0)</f>
        <v>0</v>
      </c>
      <c r="X737" s="64" t="n">
        <f aca="false">IF($K737="No Start (attainment only)",$P737,0)</f>
        <v>0</v>
      </c>
    </row>
    <row r="738" customFormat="false" ht="15" hidden="false" customHeight="false" outlineLevel="0" collapsed="false">
      <c r="A738" s="60"/>
      <c r="B738" s="61" t="str">
        <f aca="false">IF($M738=0,"",INDEX(Classes!$E$6:$E$420,$M738))</f>
        <v/>
      </c>
      <c r="C738" s="62" t="str">
        <f aca="false">IF($M738=0,"",INDEX(Classes!$H$6:$H$420,$M738))</f>
        <v/>
      </c>
      <c r="D738" s="61" t="str">
        <f aca="false">IF($M738=0,"",INDEX(Classes!$B$6:$B$420,$M738))</f>
        <v/>
      </c>
      <c r="E738" s="61" t="str">
        <f aca="false">IF($M738=0,"",INDEX(Classes!$C$6:$C$420,$M738))</f>
        <v/>
      </c>
      <c r="F738" s="63"/>
      <c r="G738" s="63"/>
      <c r="H738" s="60"/>
      <c r="I738" s="60"/>
      <c r="J738" s="63"/>
      <c r="K738" s="61" t="str">
        <f aca="false">IF($P738=0,"",IF($F738="Baseline","— Baseline",IF($O738=0,"No result",IF($N738=0,"No Start (attainment only)",IF(OR($N738=1,$O738=1),"U – needs rule",INDEX(MxBody,MATCH($I738,MxCurr,0),MATCH($H738,MxStart,0)))))))</f>
        <v/>
      </c>
      <c r="L738" s="62" t="str">
        <f aca="false">IF(COUNTA($A738,$F738,$G738,$H738,$I738,$J738)=0,"",IF($M738=0,"✖ كود الصف غير موجود",IF(ISNA(MATCH($F738,Lists!$A$2:$A$5,0)),"✖ الفترة غير صحيحة",IF(ISNA(MATCH($G738,Lists!$B$2:$B$7,0)),"✖ المجموعة غير صحيحة",IF(NOT(OR($H738="",$N738&gt;0)),"✖ Start غير صحيح",IF(NOT(OR($I738="",$I738="NR",$O738&gt;0)),"✖ Current غير صحيح",IF(NOT(IF(ISNUMBER($J738),AND($J738&gt;=0,$J738=INT($J738)),FALSE())),"✖ العدد يجب أن يكون صحيحًا ≥ 0",IF(AND($F738="Baseline",$H738&lt;&gt;""),"⚠ Baseline: Start لا يدخل في التقدم",IF($K738="No Start (attainment only)","ℹ تحصيل فقط (بدون Start)",IF($K738="U – needs rule","ℹ حالة U تحتاج قاعدة معتمدة",IF($K738="No result","ℹ بدون نتيجة (يُستبعد من التحصيل)","OK")))))))))))</f>
        <v/>
      </c>
      <c r="M738" s="64" t="n">
        <f aca="false">IF($A738="",0,IFERROR(MATCH($A738,Classes!$A$6:$A$420,0),0))</f>
        <v>0</v>
      </c>
      <c r="N738" s="64" t="n">
        <f aca="false">IF($H738="",0,IFERROR(MATCH($H738,GradeList,0),0))</f>
        <v>0</v>
      </c>
      <c r="O738" s="64" t="n">
        <f aca="false">IF(OR($I738="",$I738="NR"),0,IFERROR(MATCH($I738,GradeList,0),0))</f>
        <v>0</v>
      </c>
      <c r="P738" s="64" t="n">
        <f aca="false">IF(AND($M738&gt;0,ISNUMBER(MATCH($F738,Lists!$A$2:$A$5,0)),ISNUMBER(MATCH($G738,Lists!$B$2:$B$7,0)),OR($H738="",$N738&gt;0),OR($I738="",$I738="NR",$O738&gt;0),IF(ISNUMBER($J738),AND($J738&gt;=0,$J738=INT($J738)),FALSE())),$J738,0)</f>
        <v>0</v>
      </c>
      <c r="Q738" s="64" t="n">
        <f aca="false">IF(AND($P738&gt;0,$O738&gt;0),$P738,0)</f>
        <v>0</v>
      </c>
      <c r="R738" s="64" t="n">
        <f aca="false">IF(AND($Q738&gt;0,$O738&gt;=AtRank),$Q738,0)</f>
        <v>0</v>
      </c>
      <c r="S738" s="64" t="n">
        <f aca="false">IF(AND($Q738&gt;0,$O738&gt;=AboveRank),$Q738,0)</f>
        <v>0</v>
      </c>
      <c r="T738" s="64" t="n">
        <f aca="false">IF($K738="Less",$P738,0)</f>
        <v>0</v>
      </c>
      <c r="U738" s="64" t="n">
        <f aca="false">IF($K738="Expected",$P738,0)</f>
        <v>0</v>
      </c>
      <c r="V738" s="64" t="n">
        <f aca="false">IF($K738="Better",$P738,0)</f>
        <v>0</v>
      </c>
      <c r="W738" s="64" t="n">
        <f aca="false">IF($K738="U – needs rule",$P738,0)</f>
        <v>0</v>
      </c>
      <c r="X738" s="64" t="n">
        <f aca="false">IF($K738="No Start (attainment only)",$P738,0)</f>
        <v>0</v>
      </c>
    </row>
    <row r="739" customFormat="false" ht="15" hidden="false" customHeight="false" outlineLevel="0" collapsed="false">
      <c r="A739" s="60"/>
      <c r="B739" s="61" t="str">
        <f aca="false">IF($M739=0,"",INDEX(Classes!$E$6:$E$420,$M739))</f>
        <v/>
      </c>
      <c r="C739" s="62" t="str">
        <f aca="false">IF($M739=0,"",INDEX(Classes!$H$6:$H$420,$M739))</f>
        <v/>
      </c>
      <c r="D739" s="61" t="str">
        <f aca="false">IF($M739=0,"",INDEX(Classes!$B$6:$B$420,$M739))</f>
        <v/>
      </c>
      <c r="E739" s="61" t="str">
        <f aca="false">IF($M739=0,"",INDEX(Classes!$C$6:$C$420,$M739))</f>
        <v/>
      </c>
      <c r="F739" s="63"/>
      <c r="G739" s="63"/>
      <c r="H739" s="60"/>
      <c r="I739" s="60"/>
      <c r="J739" s="63"/>
      <c r="K739" s="61" t="str">
        <f aca="false">IF($P739=0,"",IF($F739="Baseline","— Baseline",IF($O739=0,"No result",IF($N739=0,"No Start (attainment only)",IF(OR($N739=1,$O739=1),"U – needs rule",INDEX(MxBody,MATCH($I739,MxCurr,0),MATCH($H739,MxStart,0)))))))</f>
        <v/>
      </c>
      <c r="L739" s="62" t="str">
        <f aca="false">IF(COUNTA($A739,$F739,$G739,$H739,$I739,$J739)=0,"",IF($M739=0,"✖ كود الصف غير موجود",IF(ISNA(MATCH($F739,Lists!$A$2:$A$5,0)),"✖ الفترة غير صحيحة",IF(ISNA(MATCH($G739,Lists!$B$2:$B$7,0)),"✖ المجموعة غير صحيحة",IF(NOT(OR($H739="",$N739&gt;0)),"✖ Start غير صحيح",IF(NOT(OR($I739="",$I739="NR",$O739&gt;0)),"✖ Current غير صحيح",IF(NOT(IF(ISNUMBER($J739),AND($J739&gt;=0,$J739=INT($J739)),FALSE())),"✖ العدد يجب أن يكون صحيحًا ≥ 0",IF(AND($F739="Baseline",$H739&lt;&gt;""),"⚠ Baseline: Start لا يدخل في التقدم",IF($K739="No Start (attainment only)","ℹ تحصيل فقط (بدون Start)",IF($K739="U – needs rule","ℹ حالة U تحتاج قاعدة معتمدة",IF($K739="No result","ℹ بدون نتيجة (يُستبعد من التحصيل)","OK")))))))))))</f>
        <v/>
      </c>
      <c r="M739" s="64" t="n">
        <f aca="false">IF($A739="",0,IFERROR(MATCH($A739,Classes!$A$6:$A$420,0),0))</f>
        <v>0</v>
      </c>
      <c r="N739" s="64" t="n">
        <f aca="false">IF($H739="",0,IFERROR(MATCH($H739,GradeList,0),0))</f>
        <v>0</v>
      </c>
      <c r="O739" s="64" t="n">
        <f aca="false">IF(OR($I739="",$I739="NR"),0,IFERROR(MATCH($I739,GradeList,0),0))</f>
        <v>0</v>
      </c>
      <c r="P739" s="64" t="n">
        <f aca="false">IF(AND($M739&gt;0,ISNUMBER(MATCH($F739,Lists!$A$2:$A$5,0)),ISNUMBER(MATCH($G739,Lists!$B$2:$B$7,0)),OR($H739="",$N739&gt;0),OR($I739="",$I739="NR",$O739&gt;0),IF(ISNUMBER($J739),AND($J739&gt;=0,$J739=INT($J739)),FALSE())),$J739,0)</f>
        <v>0</v>
      </c>
      <c r="Q739" s="64" t="n">
        <f aca="false">IF(AND($P739&gt;0,$O739&gt;0),$P739,0)</f>
        <v>0</v>
      </c>
      <c r="R739" s="64" t="n">
        <f aca="false">IF(AND($Q739&gt;0,$O739&gt;=AtRank),$Q739,0)</f>
        <v>0</v>
      </c>
      <c r="S739" s="64" t="n">
        <f aca="false">IF(AND($Q739&gt;0,$O739&gt;=AboveRank),$Q739,0)</f>
        <v>0</v>
      </c>
      <c r="T739" s="64" t="n">
        <f aca="false">IF($K739="Less",$P739,0)</f>
        <v>0</v>
      </c>
      <c r="U739" s="64" t="n">
        <f aca="false">IF($K739="Expected",$P739,0)</f>
        <v>0</v>
      </c>
      <c r="V739" s="64" t="n">
        <f aca="false">IF($K739="Better",$P739,0)</f>
        <v>0</v>
      </c>
      <c r="W739" s="64" t="n">
        <f aca="false">IF($K739="U – needs rule",$P739,0)</f>
        <v>0</v>
      </c>
      <c r="X739" s="64" t="n">
        <f aca="false">IF($K739="No Start (attainment only)",$P739,0)</f>
        <v>0</v>
      </c>
    </row>
    <row r="740" customFormat="false" ht="15" hidden="false" customHeight="false" outlineLevel="0" collapsed="false">
      <c r="A740" s="60"/>
      <c r="B740" s="61" t="str">
        <f aca="false">IF($M740=0,"",INDEX(Classes!$E$6:$E$420,$M740))</f>
        <v/>
      </c>
      <c r="C740" s="62" t="str">
        <f aca="false">IF($M740=0,"",INDEX(Classes!$H$6:$H$420,$M740))</f>
        <v/>
      </c>
      <c r="D740" s="61" t="str">
        <f aca="false">IF($M740=0,"",INDEX(Classes!$B$6:$B$420,$M740))</f>
        <v/>
      </c>
      <c r="E740" s="61" t="str">
        <f aca="false">IF($M740=0,"",INDEX(Classes!$C$6:$C$420,$M740))</f>
        <v/>
      </c>
      <c r="F740" s="63"/>
      <c r="G740" s="63"/>
      <c r="H740" s="60"/>
      <c r="I740" s="60"/>
      <c r="J740" s="63"/>
      <c r="K740" s="61" t="str">
        <f aca="false">IF($P740=0,"",IF($F740="Baseline","— Baseline",IF($O740=0,"No result",IF($N740=0,"No Start (attainment only)",IF(OR($N740=1,$O740=1),"U – needs rule",INDEX(MxBody,MATCH($I740,MxCurr,0),MATCH($H740,MxStart,0)))))))</f>
        <v/>
      </c>
      <c r="L740" s="62" t="str">
        <f aca="false">IF(COUNTA($A740,$F740,$G740,$H740,$I740,$J740)=0,"",IF($M740=0,"✖ كود الصف غير موجود",IF(ISNA(MATCH($F740,Lists!$A$2:$A$5,0)),"✖ الفترة غير صحيحة",IF(ISNA(MATCH($G740,Lists!$B$2:$B$7,0)),"✖ المجموعة غير صحيحة",IF(NOT(OR($H740="",$N740&gt;0)),"✖ Start غير صحيح",IF(NOT(OR($I740="",$I740="NR",$O740&gt;0)),"✖ Current غير صحيح",IF(NOT(IF(ISNUMBER($J740),AND($J740&gt;=0,$J740=INT($J740)),FALSE())),"✖ العدد يجب أن يكون صحيحًا ≥ 0",IF(AND($F740="Baseline",$H740&lt;&gt;""),"⚠ Baseline: Start لا يدخل في التقدم",IF($K740="No Start (attainment only)","ℹ تحصيل فقط (بدون Start)",IF($K740="U – needs rule","ℹ حالة U تحتاج قاعدة معتمدة",IF($K740="No result","ℹ بدون نتيجة (يُستبعد من التحصيل)","OK")))))))))))</f>
        <v/>
      </c>
      <c r="M740" s="64" t="n">
        <f aca="false">IF($A740="",0,IFERROR(MATCH($A740,Classes!$A$6:$A$420,0),0))</f>
        <v>0</v>
      </c>
      <c r="N740" s="64" t="n">
        <f aca="false">IF($H740="",0,IFERROR(MATCH($H740,GradeList,0),0))</f>
        <v>0</v>
      </c>
      <c r="O740" s="64" t="n">
        <f aca="false">IF(OR($I740="",$I740="NR"),0,IFERROR(MATCH($I740,GradeList,0),0))</f>
        <v>0</v>
      </c>
      <c r="P740" s="64" t="n">
        <f aca="false">IF(AND($M740&gt;0,ISNUMBER(MATCH($F740,Lists!$A$2:$A$5,0)),ISNUMBER(MATCH($G740,Lists!$B$2:$B$7,0)),OR($H740="",$N740&gt;0),OR($I740="",$I740="NR",$O740&gt;0),IF(ISNUMBER($J740),AND($J740&gt;=0,$J740=INT($J740)),FALSE())),$J740,0)</f>
        <v>0</v>
      </c>
      <c r="Q740" s="64" t="n">
        <f aca="false">IF(AND($P740&gt;0,$O740&gt;0),$P740,0)</f>
        <v>0</v>
      </c>
      <c r="R740" s="64" t="n">
        <f aca="false">IF(AND($Q740&gt;0,$O740&gt;=AtRank),$Q740,0)</f>
        <v>0</v>
      </c>
      <c r="S740" s="64" t="n">
        <f aca="false">IF(AND($Q740&gt;0,$O740&gt;=AboveRank),$Q740,0)</f>
        <v>0</v>
      </c>
      <c r="T740" s="64" t="n">
        <f aca="false">IF($K740="Less",$P740,0)</f>
        <v>0</v>
      </c>
      <c r="U740" s="64" t="n">
        <f aca="false">IF($K740="Expected",$P740,0)</f>
        <v>0</v>
      </c>
      <c r="V740" s="64" t="n">
        <f aca="false">IF($K740="Better",$P740,0)</f>
        <v>0</v>
      </c>
      <c r="W740" s="64" t="n">
        <f aca="false">IF($K740="U – needs rule",$P740,0)</f>
        <v>0</v>
      </c>
      <c r="X740" s="64" t="n">
        <f aca="false">IF($K740="No Start (attainment only)",$P740,0)</f>
        <v>0</v>
      </c>
    </row>
    <row r="741" customFormat="false" ht="15" hidden="false" customHeight="false" outlineLevel="0" collapsed="false">
      <c r="A741" s="60"/>
      <c r="B741" s="61" t="str">
        <f aca="false">IF($M741=0,"",INDEX(Classes!$E$6:$E$420,$M741))</f>
        <v/>
      </c>
      <c r="C741" s="62" t="str">
        <f aca="false">IF($M741=0,"",INDEX(Classes!$H$6:$H$420,$M741))</f>
        <v/>
      </c>
      <c r="D741" s="61" t="str">
        <f aca="false">IF($M741=0,"",INDEX(Classes!$B$6:$B$420,$M741))</f>
        <v/>
      </c>
      <c r="E741" s="61" t="str">
        <f aca="false">IF($M741=0,"",INDEX(Classes!$C$6:$C$420,$M741))</f>
        <v/>
      </c>
      <c r="F741" s="63"/>
      <c r="G741" s="63"/>
      <c r="H741" s="60"/>
      <c r="I741" s="60"/>
      <c r="J741" s="63"/>
      <c r="K741" s="61" t="str">
        <f aca="false">IF($P741=0,"",IF($F741="Baseline","— Baseline",IF($O741=0,"No result",IF($N741=0,"No Start (attainment only)",IF(OR($N741=1,$O741=1),"U – needs rule",INDEX(MxBody,MATCH($I741,MxCurr,0),MATCH($H741,MxStart,0)))))))</f>
        <v/>
      </c>
      <c r="L741" s="62" t="str">
        <f aca="false">IF(COUNTA($A741,$F741,$G741,$H741,$I741,$J741)=0,"",IF($M741=0,"✖ كود الصف غير موجود",IF(ISNA(MATCH($F741,Lists!$A$2:$A$5,0)),"✖ الفترة غير صحيحة",IF(ISNA(MATCH($G741,Lists!$B$2:$B$7,0)),"✖ المجموعة غير صحيحة",IF(NOT(OR($H741="",$N741&gt;0)),"✖ Start غير صحيح",IF(NOT(OR($I741="",$I741="NR",$O741&gt;0)),"✖ Current غير صحيح",IF(NOT(IF(ISNUMBER($J741),AND($J741&gt;=0,$J741=INT($J741)),FALSE())),"✖ العدد يجب أن يكون صحيحًا ≥ 0",IF(AND($F741="Baseline",$H741&lt;&gt;""),"⚠ Baseline: Start لا يدخل في التقدم",IF($K741="No Start (attainment only)","ℹ تحصيل فقط (بدون Start)",IF($K741="U – needs rule","ℹ حالة U تحتاج قاعدة معتمدة",IF($K741="No result","ℹ بدون نتيجة (يُستبعد من التحصيل)","OK")))))))))))</f>
        <v/>
      </c>
      <c r="M741" s="64" t="n">
        <f aca="false">IF($A741="",0,IFERROR(MATCH($A741,Classes!$A$6:$A$420,0),0))</f>
        <v>0</v>
      </c>
      <c r="N741" s="64" t="n">
        <f aca="false">IF($H741="",0,IFERROR(MATCH($H741,GradeList,0),0))</f>
        <v>0</v>
      </c>
      <c r="O741" s="64" t="n">
        <f aca="false">IF(OR($I741="",$I741="NR"),0,IFERROR(MATCH($I741,GradeList,0),0))</f>
        <v>0</v>
      </c>
      <c r="P741" s="64" t="n">
        <f aca="false">IF(AND($M741&gt;0,ISNUMBER(MATCH($F741,Lists!$A$2:$A$5,0)),ISNUMBER(MATCH($G741,Lists!$B$2:$B$7,0)),OR($H741="",$N741&gt;0),OR($I741="",$I741="NR",$O741&gt;0),IF(ISNUMBER($J741),AND($J741&gt;=0,$J741=INT($J741)),FALSE())),$J741,0)</f>
        <v>0</v>
      </c>
      <c r="Q741" s="64" t="n">
        <f aca="false">IF(AND($P741&gt;0,$O741&gt;0),$P741,0)</f>
        <v>0</v>
      </c>
      <c r="R741" s="64" t="n">
        <f aca="false">IF(AND($Q741&gt;0,$O741&gt;=AtRank),$Q741,0)</f>
        <v>0</v>
      </c>
      <c r="S741" s="64" t="n">
        <f aca="false">IF(AND($Q741&gt;0,$O741&gt;=AboveRank),$Q741,0)</f>
        <v>0</v>
      </c>
      <c r="T741" s="64" t="n">
        <f aca="false">IF($K741="Less",$P741,0)</f>
        <v>0</v>
      </c>
      <c r="U741" s="64" t="n">
        <f aca="false">IF($K741="Expected",$P741,0)</f>
        <v>0</v>
      </c>
      <c r="V741" s="64" t="n">
        <f aca="false">IF($K741="Better",$P741,0)</f>
        <v>0</v>
      </c>
      <c r="W741" s="64" t="n">
        <f aca="false">IF($K741="U – needs rule",$P741,0)</f>
        <v>0</v>
      </c>
      <c r="X741" s="64" t="n">
        <f aca="false">IF($K741="No Start (attainment only)",$P741,0)</f>
        <v>0</v>
      </c>
    </row>
    <row r="742" customFormat="false" ht="15" hidden="false" customHeight="false" outlineLevel="0" collapsed="false">
      <c r="A742" s="60"/>
      <c r="B742" s="61" t="str">
        <f aca="false">IF($M742=0,"",INDEX(Classes!$E$6:$E$420,$M742))</f>
        <v/>
      </c>
      <c r="C742" s="62" t="str">
        <f aca="false">IF($M742=0,"",INDEX(Classes!$H$6:$H$420,$M742))</f>
        <v/>
      </c>
      <c r="D742" s="61" t="str">
        <f aca="false">IF($M742=0,"",INDEX(Classes!$B$6:$B$420,$M742))</f>
        <v/>
      </c>
      <c r="E742" s="61" t="str">
        <f aca="false">IF($M742=0,"",INDEX(Classes!$C$6:$C$420,$M742))</f>
        <v/>
      </c>
      <c r="F742" s="63"/>
      <c r="G742" s="63"/>
      <c r="H742" s="60"/>
      <c r="I742" s="60"/>
      <c r="J742" s="63"/>
      <c r="K742" s="61" t="str">
        <f aca="false">IF($P742=0,"",IF($F742="Baseline","— Baseline",IF($O742=0,"No result",IF($N742=0,"No Start (attainment only)",IF(OR($N742=1,$O742=1),"U – needs rule",INDEX(MxBody,MATCH($I742,MxCurr,0),MATCH($H742,MxStart,0)))))))</f>
        <v/>
      </c>
      <c r="L742" s="62" t="str">
        <f aca="false">IF(COUNTA($A742,$F742,$G742,$H742,$I742,$J742)=0,"",IF($M742=0,"✖ كود الصف غير موجود",IF(ISNA(MATCH($F742,Lists!$A$2:$A$5,0)),"✖ الفترة غير صحيحة",IF(ISNA(MATCH($G742,Lists!$B$2:$B$7,0)),"✖ المجموعة غير صحيحة",IF(NOT(OR($H742="",$N742&gt;0)),"✖ Start غير صحيح",IF(NOT(OR($I742="",$I742="NR",$O742&gt;0)),"✖ Current غير صحيح",IF(NOT(IF(ISNUMBER($J742),AND($J742&gt;=0,$J742=INT($J742)),FALSE())),"✖ العدد يجب أن يكون صحيحًا ≥ 0",IF(AND($F742="Baseline",$H742&lt;&gt;""),"⚠ Baseline: Start لا يدخل في التقدم",IF($K742="No Start (attainment only)","ℹ تحصيل فقط (بدون Start)",IF($K742="U – needs rule","ℹ حالة U تحتاج قاعدة معتمدة",IF($K742="No result","ℹ بدون نتيجة (يُستبعد من التحصيل)","OK")))))))))))</f>
        <v/>
      </c>
      <c r="M742" s="64" t="n">
        <f aca="false">IF($A742="",0,IFERROR(MATCH($A742,Classes!$A$6:$A$420,0),0))</f>
        <v>0</v>
      </c>
      <c r="N742" s="64" t="n">
        <f aca="false">IF($H742="",0,IFERROR(MATCH($H742,GradeList,0),0))</f>
        <v>0</v>
      </c>
      <c r="O742" s="64" t="n">
        <f aca="false">IF(OR($I742="",$I742="NR"),0,IFERROR(MATCH($I742,GradeList,0),0))</f>
        <v>0</v>
      </c>
      <c r="P742" s="64" t="n">
        <f aca="false">IF(AND($M742&gt;0,ISNUMBER(MATCH($F742,Lists!$A$2:$A$5,0)),ISNUMBER(MATCH($G742,Lists!$B$2:$B$7,0)),OR($H742="",$N742&gt;0),OR($I742="",$I742="NR",$O742&gt;0),IF(ISNUMBER($J742),AND($J742&gt;=0,$J742=INT($J742)),FALSE())),$J742,0)</f>
        <v>0</v>
      </c>
      <c r="Q742" s="64" t="n">
        <f aca="false">IF(AND($P742&gt;0,$O742&gt;0),$P742,0)</f>
        <v>0</v>
      </c>
      <c r="R742" s="64" t="n">
        <f aca="false">IF(AND($Q742&gt;0,$O742&gt;=AtRank),$Q742,0)</f>
        <v>0</v>
      </c>
      <c r="S742" s="64" t="n">
        <f aca="false">IF(AND($Q742&gt;0,$O742&gt;=AboveRank),$Q742,0)</f>
        <v>0</v>
      </c>
      <c r="T742" s="64" t="n">
        <f aca="false">IF($K742="Less",$P742,0)</f>
        <v>0</v>
      </c>
      <c r="U742" s="64" t="n">
        <f aca="false">IF($K742="Expected",$P742,0)</f>
        <v>0</v>
      </c>
      <c r="V742" s="64" t="n">
        <f aca="false">IF($K742="Better",$P742,0)</f>
        <v>0</v>
      </c>
      <c r="W742" s="64" t="n">
        <f aca="false">IF($K742="U – needs rule",$P742,0)</f>
        <v>0</v>
      </c>
      <c r="X742" s="64" t="n">
        <f aca="false">IF($K742="No Start (attainment only)",$P742,0)</f>
        <v>0</v>
      </c>
    </row>
    <row r="743" customFormat="false" ht="15" hidden="false" customHeight="false" outlineLevel="0" collapsed="false">
      <c r="A743" s="60"/>
      <c r="B743" s="61" t="str">
        <f aca="false">IF($M743=0,"",INDEX(Classes!$E$6:$E$420,$M743))</f>
        <v/>
      </c>
      <c r="C743" s="62" t="str">
        <f aca="false">IF($M743=0,"",INDEX(Classes!$H$6:$H$420,$M743))</f>
        <v/>
      </c>
      <c r="D743" s="61" t="str">
        <f aca="false">IF($M743=0,"",INDEX(Classes!$B$6:$B$420,$M743))</f>
        <v/>
      </c>
      <c r="E743" s="61" t="str">
        <f aca="false">IF($M743=0,"",INDEX(Classes!$C$6:$C$420,$M743))</f>
        <v/>
      </c>
      <c r="F743" s="63"/>
      <c r="G743" s="63"/>
      <c r="H743" s="60"/>
      <c r="I743" s="60"/>
      <c r="J743" s="63"/>
      <c r="K743" s="61" t="str">
        <f aca="false">IF($P743=0,"",IF($F743="Baseline","— Baseline",IF($O743=0,"No result",IF($N743=0,"No Start (attainment only)",IF(OR($N743=1,$O743=1),"U – needs rule",INDEX(MxBody,MATCH($I743,MxCurr,0),MATCH($H743,MxStart,0)))))))</f>
        <v/>
      </c>
      <c r="L743" s="62" t="str">
        <f aca="false">IF(COUNTA($A743,$F743,$G743,$H743,$I743,$J743)=0,"",IF($M743=0,"✖ كود الصف غير موجود",IF(ISNA(MATCH($F743,Lists!$A$2:$A$5,0)),"✖ الفترة غير صحيحة",IF(ISNA(MATCH($G743,Lists!$B$2:$B$7,0)),"✖ المجموعة غير صحيحة",IF(NOT(OR($H743="",$N743&gt;0)),"✖ Start غير صحيح",IF(NOT(OR($I743="",$I743="NR",$O743&gt;0)),"✖ Current غير صحيح",IF(NOT(IF(ISNUMBER($J743),AND($J743&gt;=0,$J743=INT($J743)),FALSE())),"✖ العدد يجب أن يكون صحيحًا ≥ 0",IF(AND($F743="Baseline",$H743&lt;&gt;""),"⚠ Baseline: Start لا يدخل في التقدم",IF($K743="No Start (attainment only)","ℹ تحصيل فقط (بدون Start)",IF($K743="U – needs rule","ℹ حالة U تحتاج قاعدة معتمدة",IF($K743="No result","ℹ بدون نتيجة (يُستبعد من التحصيل)","OK")))))))))))</f>
        <v/>
      </c>
      <c r="M743" s="64" t="n">
        <f aca="false">IF($A743="",0,IFERROR(MATCH($A743,Classes!$A$6:$A$420,0),0))</f>
        <v>0</v>
      </c>
      <c r="N743" s="64" t="n">
        <f aca="false">IF($H743="",0,IFERROR(MATCH($H743,GradeList,0),0))</f>
        <v>0</v>
      </c>
      <c r="O743" s="64" t="n">
        <f aca="false">IF(OR($I743="",$I743="NR"),0,IFERROR(MATCH($I743,GradeList,0),0))</f>
        <v>0</v>
      </c>
      <c r="P743" s="64" t="n">
        <f aca="false">IF(AND($M743&gt;0,ISNUMBER(MATCH($F743,Lists!$A$2:$A$5,0)),ISNUMBER(MATCH($G743,Lists!$B$2:$B$7,0)),OR($H743="",$N743&gt;0),OR($I743="",$I743="NR",$O743&gt;0),IF(ISNUMBER($J743),AND($J743&gt;=0,$J743=INT($J743)),FALSE())),$J743,0)</f>
        <v>0</v>
      </c>
      <c r="Q743" s="64" t="n">
        <f aca="false">IF(AND($P743&gt;0,$O743&gt;0),$P743,0)</f>
        <v>0</v>
      </c>
      <c r="R743" s="64" t="n">
        <f aca="false">IF(AND($Q743&gt;0,$O743&gt;=AtRank),$Q743,0)</f>
        <v>0</v>
      </c>
      <c r="S743" s="64" t="n">
        <f aca="false">IF(AND($Q743&gt;0,$O743&gt;=AboveRank),$Q743,0)</f>
        <v>0</v>
      </c>
      <c r="T743" s="64" t="n">
        <f aca="false">IF($K743="Less",$P743,0)</f>
        <v>0</v>
      </c>
      <c r="U743" s="64" t="n">
        <f aca="false">IF($K743="Expected",$P743,0)</f>
        <v>0</v>
      </c>
      <c r="V743" s="64" t="n">
        <f aca="false">IF($K743="Better",$P743,0)</f>
        <v>0</v>
      </c>
      <c r="W743" s="64" t="n">
        <f aca="false">IF($K743="U – needs rule",$P743,0)</f>
        <v>0</v>
      </c>
      <c r="X743" s="64" t="n">
        <f aca="false">IF($K743="No Start (attainment only)",$P743,0)</f>
        <v>0</v>
      </c>
    </row>
    <row r="744" customFormat="false" ht="15" hidden="false" customHeight="false" outlineLevel="0" collapsed="false">
      <c r="A744" s="60"/>
      <c r="B744" s="61" t="str">
        <f aca="false">IF($M744=0,"",INDEX(Classes!$E$6:$E$420,$M744))</f>
        <v/>
      </c>
      <c r="C744" s="62" t="str">
        <f aca="false">IF($M744=0,"",INDEX(Classes!$H$6:$H$420,$M744))</f>
        <v/>
      </c>
      <c r="D744" s="61" t="str">
        <f aca="false">IF($M744=0,"",INDEX(Classes!$B$6:$B$420,$M744))</f>
        <v/>
      </c>
      <c r="E744" s="61" t="str">
        <f aca="false">IF($M744=0,"",INDEX(Classes!$C$6:$C$420,$M744))</f>
        <v/>
      </c>
      <c r="F744" s="63"/>
      <c r="G744" s="63"/>
      <c r="H744" s="60"/>
      <c r="I744" s="60"/>
      <c r="J744" s="63"/>
      <c r="K744" s="61" t="str">
        <f aca="false">IF($P744=0,"",IF($F744="Baseline","— Baseline",IF($O744=0,"No result",IF($N744=0,"No Start (attainment only)",IF(OR($N744=1,$O744=1),"U – needs rule",INDEX(MxBody,MATCH($I744,MxCurr,0),MATCH($H744,MxStart,0)))))))</f>
        <v/>
      </c>
      <c r="L744" s="62" t="str">
        <f aca="false">IF(COUNTA($A744,$F744,$G744,$H744,$I744,$J744)=0,"",IF($M744=0,"✖ كود الصف غير موجود",IF(ISNA(MATCH($F744,Lists!$A$2:$A$5,0)),"✖ الفترة غير صحيحة",IF(ISNA(MATCH($G744,Lists!$B$2:$B$7,0)),"✖ المجموعة غير صحيحة",IF(NOT(OR($H744="",$N744&gt;0)),"✖ Start غير صحيح",IF(NOT(OR($I744="",$I744="NR",$O744&gt;0)),"✖ Current غير صحيح",IF(NOT(IF(ISNUMBER($J744),AND($J744&gt;=0,$J744=INT($J744)),FALSE())),"✖ العدد يجب أن يكون صحيحًا ≥ 0",IF(AND($F744="Baseline",$H744&lt;&gt;""),"⚠ Baseline: Start لا يدخل في التقدم",IF($K744="No Start (attainment only)","ℹ تحصيل فقط (بدون Start)",IF($K744="U – needs rule","ℹ حالة U تحتاج قاعدة معتمدة",IF($K744="No result","ℹ بدون نتيجة (يُستبعد من التحصيل)","OK")))))))))))</f>
        <v/>
      </c>
      <c r="M744" s="64" t="n">
        <f aca="false">IF($A744="",0,IFERROR(MATCH($A744,Classes!$A$6:$A$420,0),0))</f>
        <v>0</v>
      </c>
      <c r="N744" s="64" t="n">
        <f aca="false">IF($H744="",0,IFERROR(MATCH($H744,GradeList,0),0))</f>
        <v>0</v>
      </c>
      <c r="O744" s="64" t="n">
        <f aca="false">IF(OR($I744="",$I744="NR"),0,IFERROR(MATCH($I744,GradeList,0),0))</f>
        <v>0</v>
      </c>
      <c r="P744" s="64" t="n">
        <f aca="false">IF(AND($M744&gt;0,ISNUMBER(MATCH($F744,Lists!$A$2:$A$5,0)),ISNUMBER(MATCH($G744,Lists!$B$2:$B$7,0)),OR($H744="",$N744&gt;0),OR($I744="",$I744="NR",$O744&gt;0),IF(ISNUMBER($J744),AND($J744&gt;=0,$J744=INT($J744)),FALSE())),$J744,0)</f>
        <v>0</v>
      </c>
      <c r="Q744" s="64" t="n">
        <f aca="false">IF(AND($P744&gt;0,$O744&gt;0),$P744,0)</f>
        <v>0</v>
      </c>
      <c r="R744" s="64" t="n">
        <f aca="false">IF(AND($Q744&gt;0,$O744&gt;=AtRank),$Q744,0)</f>
        <v>0</v>
      </c>
      <c r="S744" s="64" t="n">
        <f aca="false">IF(AND($Q744&gt;0,$O744&gt;=AboveRank),$Q744,0)</f>
        <v>0</v>
      </c>
      <c r="T744" s="64" t="n">
        <f aca="false">IF($K744="Less",$P744,0)</f>
        <v>0</v>
      </c>
      <c r="U744" s="64" t="n">
        <f aca="false">IF($K744="Expected",$P744,0)</f>
        <v>0</v>
      </c>
      <c r="V744" s="64" t="n">
        <f aca="false">IF($K744="Better",$P744,0)</f>
        <v>0</v>
      </c>
      <c r="W744" s="64" t="n">
        <f aca="false">IF($K744="U – needs rule",$P744,0)</f>
        <v>0</v>
      </c>
      <c r="X744" s="64" t="n">
        <f aca="false">IF($K744="No Start (attainment only)",$P744,0)</f>
        <v>0</v>
      </c>
    </row>
    <row r="745" customFormat="false" ht="15" hidden="false" customHeight="false" outlineLevel="0" collapsed="false">
      <c r="A745" s="60"/>
      <c r="B745" s="61" t="str">
        <f aca="false">IF($M745=0,"",INDEX(Classes!$E$6:$E$420,$M745))</f>
        <v/>
      </c>
      <c r="C745" s="62" t="str">
        <f aca="false">IF($M745=0,"",INDEX(Classes!$H$6:$H$420,$M745))</f>
        <v/>
      </c>
      <c r="D745" s="61" t="str">
        <f aca="false">IF($M745=0,"",INDEX(Classes!$B$6:$B$420,$M745))</f>
        <v/>
      </c>
      <c r="E745" s="61" t="str">
        <f aca="false">IF($M745=0,"",INDEX(Classes!$C$6:$C$420,$M745))</f>
        <v/>
      </c>
      <c r="F745" s="63"/>
      <c r="G745" s="63"/>
      <c r="H745" s="60"/>
      <c r="I745" s="60"/>
      <c r="J745" s="63"/>
      <c r="K745" s="61" t="str">
        <f aca="false">IF($P745=0,"",IF($F745="Baseline","— Baseline",IF($O745=0,"No result",IF($N745=0,"No Start (attainment only)",IF(OR($N745=1,$O745=1),"U – needs rule",INDEX(MxBody,MATCH($I745,MxCurr,0),MATCH($H745,MxStart,0)))))))</f>
        <v/>
      </c>
      <c r="L745" s="62" t="str">
        <f aca="false">IF(COUNTA($A745,$F745,$G745,$H745,$I745,$J745)=0,"",IF($M745=0,"✖ كود الصف غير موجود",IF(ISNA(MATCH($F745,Lists!$A$2:$A$5,0)),"✖ الفترة غير صحيحة",IF(ISNA(MATCH($G745,Lists!$B$2:$B$7,0)),"✖ المجموعة غير صحيحة",IF(NOT(OR($H745="",$N745&gt;0)),"✖ Start غير صحيح",IF(NOT(OR($I745="",$I745="NR",$O745&gt;0)),"✖ Current غير صحيح",IF(NOT(IF(ISNUMBER($J745),AND($J745&gt;=0,$J745=INT($J745)),FALSE())),"✖ العدد يجب أن يكون صحيحًا ≥ 0",IF(AND($F745="Baseline",$H745&lt;&gt;""),"⚠ Baseline: Start لا يدخل في التقدم",IF($K745="No Start (attainment only)","ℹ تحصيل فقط (بدون Start)",IF($K745="U – needs rule","ℹ حالة U تحتاج قاعدة معتمدة",IF($K745="No result","ℹ بدون نتيجة (يُستبعد من التحصيل)","OK")))))))))))</f>
        <v/>
      </c>
      <c r="M745" s="64" t="n">
        <f aca="false">IF($A745="",0,IFERROR(MATCH($A745,Classes!$A$6:$A$420,0),0))</f>
        <v>0</v>
      </c>
      <c r="N745" s="64" t="n">
        <f aca="false">IF($H745="",0,IFERROR(MATCH($H745,GradeList,0),0))</f>
        <v>0</v>
      </c>
      <c r="O745" s="64" t="n">
        <f aca="false">IF(OR($I745="",$I745="NR"),0,IFERROR(MATCH($I745,GradeList,0),0))</f>
        <v>0</v>
      </c>
      <c r="P745" s="64" t="n">
        <f aca="false">IF(AND($M745&gt;0,ISNUMBER(MATCH($F745,Lists!$A$2:$A$5,0)),ISNUMBER(MATCH($G745,Lists!$B$2:$B$7,0)),OR($H745="",$N745&gt;0),OR($I745="",$I745="NR",$O745&gt;0),IF(ISNUMBER($J745),AND($J745&gt;=0,$J745=INT($J745)),FALSE())),$J745,0)</f>
        <v>0</v>
      </c>
      <c r="Q745" s="64" t="n">
        <f aca="false">IF(AND($P745&gt;0,$O745&gt;0),$P745,0)</f>
        <v>0</v>
      </c>
      <c r="R745" s="64" t="n">
        <f aca="false">IF(AND($Q745&gt;0,$O745&gt;=AtRank),$Q745,0)</f>
        <v>0</v>
      </c>
      <c r="S745" s="64" t="n">
        <f aca="false">IF(AND($Q745&gt;0,$O745&gt;=AboveRank),$Q745,0)</f>
        <v>0</v>
      </c>
      <c r="T745" s="64" t="n">
        <f aca="false">IF($K745="Less",$P745,0)</f>
        <v>0</v>
      </c>
      <c r="U745" s="64" t="n">
        <f aca="false">IF($K745="Expected",$P745,0)</f>
        <v>0</v>
      </c>
      <c r="V745" s="64" t="n">
        <f aca="false">IF($K745="Better",$P745,0)</f>
        <v>0</v>
      </c>
      <c r="W745" s="64" t="n">
        <f aca="false">IF($K745="U – needs rule",$P745,0)</f>
        <v>0</v>
      </c>
      <c r="X745" s="64" t="n">
        <f aca="false">IF($K745="No Start (attainment only)",$P745,0)</f>
        <v>0</v>
      </c>
    </row>
    <row r="746" customFormat="false" ht="15" hidden="false" customHeight="false" outlineLevel="0" collapsed="false">
      <c r="A746" s="60"/>
      <c r="B746" s="61" t="str">
        <f aca="false">IF($M746=0,"",INDEX(Classes!$E$6:$E$420,$M746))</f>
        <v/>
      </c>
      <c r="C746" s="62" t="str">
        <f aca="false">IF($M746=0,"",INDEX(Classes!$H$6:$H$420,$M746))</f>
        <v/>
      </c>
      <c r="D746" s="61" t="str">
        <f aca="false">IF($M746=0,"",INDEX(Classes!$B$6:$B$420,$M746))</f>
        <v/>
      </c>
      <c r="E746" s="61" t="str">
        <f aca="false">IF($M746=0,"",INDEX(Classes!$C$6:$C$420,$M746))</f>
        <v/>
      </c>
      <c r="F746" s="63"/>
      <c r="G746" s="63"/>
      <c r="H746" s="60"/>
      <c r="I746" s="60"/>
      <c r="J746" s="63"/>
      <c r="K746" s="61" t="str">
        <f aca="false">IF($P746=0,"",IF($F746="Baseline","— Baseline",IF($O746=0,"No result",IF($N746=0,"No Start (attainment only)",IF(OR($N746=1,$O746=1),"U – needs rule",INDEX(MxBody,MATCH($I746,MxCurr,0),MATCH($H746,MxStart,0)))))))</f>
        <v/>
      </c>
      <c r="L746" s="62" t="str">
        <f aca="false">IF(COUNTA($A746,$F746,$G746,$H746,$I746,$J746)=0,"",IF($M746=0,"✖ كود الصف غير موجود",IF(ISNA(MATCH($F746,Lists!$A$2:$A$5,0)),"✖ الفترة غير صحيحة",IF(ISNA(MATCH($G746,Lists!$B$2:$B$7,0)),"✖ المجموعة غير صحيحة",IF(NOT(OR($H746="",$N746&gt;0)),"✖ Start غير صحيح",IF(NOT(OR($I746="",$I746="NR",$O746&gt;0)),"✖ Current غير صحيح",IF(NOT(IF(ISNUMBER($J746),AND($J746&gt;=0,$J746=INT($J746)),FALSE())),"✖ العدد يجب أن يكون صحيحًا ≥ 0",IF(AND($F746="Baseline",$H746&lt;&gt;""),"⚠ Baseline: Start لا يدخل في التقدم",IF($K746="No Start (attainment only)","ℹ تحصيل فقط (بدون Start)",IF($K746="U – needs rule","ℹ حالة U تحتاج قاعدة معتمدة",IF($K746="No result","ℹ بدون نتيجة (يُستبعد من التحصيل)","OK")))))))))))</f>
        <v/>
      </c>
      <c r="M746" s="64" t="n">
        <f aca="false">IF($A746="",0,IFERROR(MATCH($A746,Classes!$A$6:$A$420,0),0))</f>
        <v>0</v>
      </c>
      <c r="N746" s="64" t="n">
        <f aca="false">IF($H746="",0,IFERROR(MATCH($H746,GradeList,0),0))</f>
        <v>0</v>
      </c>
      <c r="O746" s="64" t="n">
        <f aca="false">IF(OR($I746="",$I746="NR"),0,IFERROR(MATCH($I746,GradeList,0),0))</f>
        <v>0</v>
      </c>
      <c r="P746" s="64" t="n">
        <f aca="false">IF(AND($M746&gt;0,ISNUMBER(MATCH($F746,Lists!$A$2:$A$5,0)),ISNUMBER(MATCH($G746,Lists!$B$2:$B$7,0)),OR($H746="",$N746&gt;0),OR($I746="",$I746="NR",$O746&gt;0),IF(ISNUMBER($J746),AND($J746&gt;=0,$J746=INT($J746)),FALSE())),$J746,0)</f>
        <v>0</v>
      </c>
      <c r="Q746" s="64" t="n">
        <f aca="false">IF(AND($P746&gt;0,$O746&gt;0),$P746,0)</f>
        <v>0</v>
      </c>
      <c r="R746" s="64" t="n">
        <f aca="false">IF(AND($Q746&gt;0,$O746&gt;=AtRank),$Q746,0)</f>
        <v>0</v>
      </c>
      <c r="S746" s="64" t="n">
        <f aca="false">IF(AND($Q746&gt;0,$O746&gt;=AboveRank),$Q746,0)</f>
        <v>0</v>
      </c>
      <c r="T746" s="64" t="n">
        <f aca="false">IF($K746="Less",$P746,0)</f>
        <v>0</v>
      </c>
      <c r="U746" s="64" t="n">
        <f aca="false">IF($K746="Expected",$P746,0)</f>
        <v>0</v>
      </c>
      <c r="V746" s="64" t="n">
        <f aca="false">IF($K746="Better",$P746,0)</f>
        <v>0</v>
      </c>
      <c r="W746" s="64" t="n">
        <f aca="false">IF($K746="U – needs rule",$P746,0)</f>
        <v>0</v>
      </c>
      <c r="X746" s="64" t="n">
        <f aca="false">IF($K746="No Start (attainment only)",$P746,0)</f>
        <v>0</v>
      </c>
    </row>
    <row r="747" customFormat="false" ht="15" hidden="false" customHeight="false" outlineLevel="0" collapsed="false">
      <c r="A747" s="60"/>
      <c r="B747" s="61" t="str">
        <f aca="false">IF($M747=0,"",INDEX(Classes!$E$6:$E$420,$M747))</f>
        <v/>
      </c>
      <c r="C747" s="62" t="str">
        <f aca="false">IF($M747=0,"",INDEX(Classes!$H$6:$H$420,$M747))</f>
        <v/>
      </c>
      <c r="D747" s="61" t="str">
        <f aca="false">IF($M747=0,"",INDEX(Classes!$B$6:$B$420,$M747))</f>
        <v/>
      </c>
      <c r="E747" s="61" t="str">
        <f aca="false">IF($M747=0,"",INDEX(Classes!$C$6:$C$420,$M747))</f>
        <v/>
      </c>
      <c r="F747" s="63"/>
      <c r="G747" s="63"/>
      <c r="H747" s="60"/>
      <c r="I747" s="60"/>
      <c r="J747" s="63"/>
      <c r="K747" s="61" t="str">
        <f aca="false">IF($P747=0,"",IF($F747="Baseline","— Baseline",IF($O747=0,"No result",IF($N747=0,"No Start (attainment only)",IF(OR($N747=1,$O747=1),"U – needs rule",INDEX(MxBody,MATCH($I747,MxCurr,0),MATCH($H747,MxStart,0)))))))</f>
        <v/>
      </c>
      <c r="L747" s="62" t="str">
        <f aca="false">IF(COUNTA($A747,$F747,$G747,$H747,$I747,$J747)=0,"",IF($M747=0,"✖ كود الصف غير موجود",IF(ISNA(MATCH($F747,Lists!$A$2:$A$5,0)),"✖ الفترة غير صحيحة",IF(ISNA(MATCH($G747,Lists!$B$2:$B$7,0)),"✖ المجموعة غير صحيحة",IF(NOT(OR($H747="",$N747&gt;0)),"✖ Start غير صحيح",IF(NOT(OR($I747="",$I747="NR",$O747&gt;0)),"✖ Current غير صحيح",IF(NOT(IF(ISNUMBER($J747),AND($J747&gt;=0,$J747=INT($J747)),FALSE())),"✖ العدد يجب أن يكون صحيحًا ≥ 0",IF(AND($F747="Baseline",$H747&lt;&gt;""),"⚠ Baseline: Start لا يدخل في التقدم",IF($K747="No Start (attainment only)","ℹ تحصيل فقط (بدون Start)",IF($K747="U – needs rule","ℹ حالة U تحتاج قاعدة معتمدة",IF($K747="No result","ℹ بدون نتيجة (يُستبعد من التحصيل)","OK")))))))))))</f>
        <v/>
      </c>
      <c r="M747" s="64" t="n">
        <f aca="false">IF($A747="",0,IFERROR(MATCH($A747,Classes!$A$6:$A$420,0),0))</f>
        <v>0</v>
      </c>
      <c r="N747" s="64" t="n">
        <f aca="false">IF($H747="",0,IFERROR(MATCH($H747,GradeList,0),0))</f>
        <v>0</v>
      </c>
      <c r="O747" s="64" t="n">
        <f aca="false">IF(OR($I747="",$I747="NR"),0,IFERROR(MATCH($I747,GradeList,0),0))</f>
        <v>0</v>
      </c>
      <c r="P747" s="64" t="n">
        <f aca="false">IF(AND($M747&gt;0,ISNUMBER(MATCH($F747,Lists!$A$2:$A$5,0)),ISNUMBER(MATCH($G747,Lists!$B$2:$B$7,0)),OR($H747="",$N747&gt;0),OR($I747="",$I747="NR",$O747&gt;0),IF(ISNUMBER($J747),AND($J747&gt;=0,$J747=INT($J747)),FALSE())),$J747,0)</f>
        <v>0</v>
      </c>
      <c r="Q747" s="64" t="n">
        <f aca="false">IF(AND($P747&gt;0,$O747&gt;0),$P747,0)</f>
        <v>0</v>
      </c>
      <c r="R747" s="64" t="n">
        <f aca="false">IF(AND($Q747&gt;0,$O747&gt;=AtRank),$Q747,0)</f>
        <v>0</v>
      </c>
      <c r="S747" s="64" t="n">
        <f aca="false">IF(AND($Q747&gt;0,$O747&gt;=AboveRank),$Q747,0)</f>
        <v>0</v>
      </c>
      <c r="T747" s="64" t="n">
        <f aca="false">IF($K747="Less",$P747,0)</f>
        <v>0</v>
      </c>
      <c r="U747" s="64" t="n">
        <f aca="false">IF($K747="Expected",$P747,0)</f>
        <v>0</v>
      </c>
      <c r="V747" s="64" t="n">
        <f aca="false">IF($K747="Better",$P747,0)</f>
        <v>0</v>
      </c>
      <c r="W747" s="64" t="n">
        <f aca="false">IF($K747="U – needs rule",$P747,0)</f>
        <v>0</v>
      </c>
      <c r="X747" s="64" t="n">
        <f aca="false">IF($K747="No Start (attainment only)",$P747,0)</f>
        <v>0</v>
      </c>
    </row>
    <row r="748" customFormat="false" ht="15" hidden="false" customHeight="false" outlineLevel="0" collapsed="false">
      <c r="A748" s="60"/>
      <c r="B748" s="61" t="str">
        <f aca="false">IF($M748=0,"",INDEX(Classes!$E$6:$E$420,$M748))</f>
        <v/>
      </c>
      <c r="C748" s="62" t="str">
        <f aca="false">IF($M748=0,"",INDEX(Classes!$H$6:$H$420,$M748))</f>
        <v/>
      </c>
      <c r="D748" s="61" t="str">
        <f aca="false">IF($M748=0,"",INDEX(Classes!$B$6:$B$420,$M748))</f>
        <v/>
      </c>
      <c r="E748" s="61" t="str">
        <f aca="false">IF($M748=0,"",INDEX(Classes!$C$6:$C$420,$M748))</f>
        <v/>
      </c>
      <c r="F748" s="63"/>
      <c r="G748" s="63"/>
      <c r="H748" s="60"/>
      <c r="I748" s="60"/>
      <c r="J748" s="63"/>
      <c r="K748" s="61" t="str">
        <f aca="false">IF($P748=0,"",IF($F748="Baseline","— Baseline",IF($O748=0,"No result",IF($N748=0,"No Start (attainment only)",IF(OR($N748=1,$O748=1),"U – needs rule",INDEX(MxBody,MATCH($I748,MxCurr,0),MATCH($H748,MxStart,0)))))))</f>
        <v/>
      </c>
      <c r="L748" s="62" t="str">
        <f aca="false">IF(COUNTA($A748,$F748,$G748,$H748,$I748,$J748)=0,"",IF($M748=0,"✖ كود الصف غير موجود",IF(ISNA(MATCH($F748,Lists!$A$2:$A$5,0)),"✖ الفترة غير صحيحة",IF(ISNA(MATCH($G748,Lists!$B$2:$B$7,0)),"✖ المجموعة غير صحيحة",IF(NOT(OR($H748="",$N748&gt;0)),"✖ Start غير صحيح",IF(NOT(OR($I748="",$I748="NR",$O748&gt;0)),"✖ Current غير صحيح",IF(NOT(IF(ISNUMBER($J748),AND($J748&gt;=0,$J748=INT($J748)),FALSE())),"✖ العدد يجب أن يكون صحيحًا ≥ 0",IF(AND($F748="Baseline",$H748&lt;&gt;""),"⚠ Baseline: Start لا يدخل في التقدم",IF($K748="No Start (attainment only)","ℹ تحصيل فقط (بدون Start)",IF($K748="U – needs rule","ℹ حالة U تحتاج قاعدة معتمدة",IF($K748="No result","ℹ بدون نتيجة (يُستبعد من التحصيل)","OK")))))))))))</f>
        <v/>
      </c>
      <c r="M748" s="64" t="n">
        <f aca="false">IF($A748="",0,IFERROR(MATCH($A748,Classes!$A$6:$A$420,0),0))</f>
        <v>0</v>
      </c>
      <c r="N748" s="64" t="n">
        <f aca="false">IF($H748="",0,IFERROR(MATCH($H748,GradeList,0),0))</f>
        <v>0</v>
      </c>
      <c r="O748" s="64" t="n">
        <f aca="false">IF(OR($I748="",$I748="NR"),0,IFERROR(MATCH($I748,GradeList,0),0))</f>
        <v>0</v>
      </c>
      <c r="P748" s="64" t="n">
        <f aca="false">IF(AND($M748&gt;0,ISNUMBER(MATCH($F748,Lists!$A$2:$A$5,0)),ISNUMBER(MATCH($G748,Lists!$B$2:$B$7,0)),OR($H748="",$N748&gt;0),OR($I748="",$I748="NR",$O748&gt;0),IF(ISNUMBER($J748),AND($J748&gt;=0,$J748=INT($J748)),FALSE())),$J748,0)</f>
        <v>0</v>
      </c>
      <c r="Q748" s="64" t="n">
        <f aca="false">IF(AND($P748&gt;0,$O748&gt;0),$P748,0)</f>
        <v>0</v>
      </c>
      <c r="R748" s="64" t="n">
        <f aca="false">IF(AND($Q748&gt;0,$O748&gt;=AtRank),$Q748,0)</f>
        <v>0</v>
      </c>
      <c r="S748" s="64" t="n">
        <f aca="false">IF(AND($Q748&gt;0,$O748&gt;=AboveRank),$Q748,0)</f>
        <v>0</v>
      </c>
      <c r="T748" s="64" t="n">
        <f aca="false">IF($K748="Less",$P748,0)</f>
        <v>0</v>
      </c>
      <c r="U748" s="64" t="n">
        <f aca="false">IF($K748="Expected",$P748,0)</f>
        <v>0</v>
      </c>
      <c r="V748" s="64" t="n">
        <f aca="false">IF($K748="Better",$P748,0)</f>
        <v>0</v>
      </c>
      <c r="W748" s="64" t="n">
        <f aca="false">IF($K748="U – needs rule",$P748,0)</f>
        <v>0</v>
      </c>
      <c r="X748" s="64" t="n">
        <f aca="false">IF($K748="No Start (attainment only)",$P748,0)</f>
        <v>0</v>
      </c>
    </row>
    <row r="749" customFormat="false" ht="15" hidden="false" customHeight="false" outlineLevel="0" collapsed="false">
      <c r="A749" s="60"/>
      <c r="B749" s="61" t="str">
        <f aca="false">IF($M749=0,"",INDEX(Classes!$E$6:$E$420,$M749))</f>
        <v/>
      </c>
      <c r="C749" s="62" t="str">
        <f aca="false">IF($M749=0,"",INDEX(Classes!$H$6:$H$420,$M749))</f>
        <v/>
      </c>
      <c r="D749" s="61" t="str">
        <f aca="false">IF($M749=0,"",INDEX(Classes!$B$6:$B$420,$M749))</f>
        <v/>
      </c>
      <c r="E749" s="61" t="str">
        <f aca="false">IF($M749=0,"",INDEX(Classes!$C$6:$C$420,$M749))</f>
        <v/>
      </c>
      <c r="F749" s="63"/>
      <c r="G749" s="63"/>
      <c r="H749" s="60"/>
      <c r="I749" s="60"/>
      <c r="J749" s="63"/>
      <c r="K749" s="61" t="str">
        <f aca="false">IF($P749=0,"",IF($F749="Baseline","— Baseline",IF($O749=0,"No result",IF($N749=0,"No Start (attainment only)",IF(OR($N749=1,$O749=1),"U – needs rule",INDEX(MxBody,MATCH($I749,MxCurr,0),MATCH($H749,MxStart,0)))))))</f>
        <v/>
      </c>
      <c r="L749" s="62" t="str">
        <f aca="false">IF(COUNTA($A749,$F749,$G749,$H749,$I749,$J749)=0,"",IF($M749=0,"✖ كود الصف غير موجود",IF(ISNA(MATCH($F749,Lists!$A$2:$A$5,0)),"✖ الفترة غير صحيحة",IF(ISNA(MATCH($G749,Lists!$B$2:$B$7,0)),"✖ المجموعة غير صحيحة",IF(NOT(OR($H749="",$N749&gt;0)),"✖ Start غير صحيح",IF(NOT(OR($I749="",$I749="NR",$O749&gt;0)),"✖ Current غير صحيح",IF(NOT(IF(ISNUMBER($J749),AND($J749&gt;=0,$J749=INT($J749)),FALSE())),"✖ العدد يجب أن يكون صحيحًا ≥ 0",IF(AND($F749="Baseline",$H749&lt;&gt;""),"⚠ Baseline: Start لا يدخل في التقدم",IF($K749="No Start (attainment only)","ℹ تحصيل فقط (بدون Start)",IF($K749="U – needs rule","ℹ حالة U تحتاج قاعدة معتمدة",IF($K749="No result","ℹ بدون نتيجة (يُستبعد من التحصيل)","OK")))))))))))</f>
        <v/>
      </c>
      <c r="M749" s="64" t="n">
        <f aca="false">IF($A749="",0,IFERROR(MATCH($A749,Classes!$A$6:$A$420,0),0))</f>
        <v>0</v>
      </c>
      <c r="N749" s="64" t="n">
        <f aca="false">IF($H749="",0,IFERROR(MATCH($H749,GradeList,0),0))</f>
        <v>0</v>
      </c>
      <c r="O749" s="64" t="n">
        <f aca="false">IF(OR($I749="",$I749="NR"),0,IFERROR(MATCH($I749,GradeList,0),0))</f>
        <v>0</v>
      </c>
      <c r="P749" s="64" t="n">
        <f aca="false">IF(AND($M749&gt;0,ISNUMBER(MATCH($F749,Lists!$A$2:$A$5,0)),ISNUMBER(MATCH($G749,Lists!$B$2:$B$7,0)),OR($H749="",$N749&gt;0),OR($I749="",$I749="NR",$O749&gt;0),IF(ISNUMBER($J749),AND($J749&gt;=0,$J749=INT($J749)),FALSE())),$J749,0)</f>
        <v>0</v>
      </c>
      <c r="Q749" s="64" t="n">
        <f aca="false">IF(AND($P749&gt;0,$O749&gt;0),$P749,0)</f>
        <v>0</v>
      </c>
      <c r="R749" s="64" t="n">
        <f aca="false">IF(AND($Q749&gt;0,$O749&gt;=AtRank),$Q749,0)</f>
        <v>0</v>
      </c>
      <c r="S749" s="64" t="n">
        <f aca="false">IF(AND($Q749&gt;0,$O749&gt;=AboveRank),$Q749,0)</f>
        <v>0</v>
      </c>
      <c r="T749" s="64" t="n">
        <f aca="false">IF($K749="Less",$P749,0)</f>
        <v>0</v>
      </c>
      <c r="U749" s="64" t="n">
        <f aca="false">IF($K749="Expected",$P749,0)</f>
        <v>0</v>
      </c>
      <c r="V749" s="64" t="n">
        <f aca="false">IF($K749="Better",$P749,0)</f>
        <v>0</v>
      </c>
      <c r="W749" s="64" t="n">
        <f aca="false">IF($K749="U – needs rule",$P749,0)</f>
        <v>0</v>
      </c>
      <c r="X749" s="64" t="n">
        <f aca="false">IF($K749="No Start (attainment only)",$P749,0)</f>
        <v>0</v>
      </c>
    </row>
    <row r="750" customFormat="false" ht="15" hidden="false" customHeight="false" outlineLevel="0" collapsed="false">
      <c r="A750" s="60"/>
      <c r="B750" s="61" t="str">
        <f aca="false">IF($M750=0,"",INDEX(Classes!$E$6:$E$420,$M750))</f>
        <v/>
      </c>
      <c r="C750" s="62" t="str">
        <f aca="false">IF($M750=0,"",INDEX(Classes!$H$6:$H$420,$M750))</f>
        <v/>
      </c>
      <c r="D750" s="61" t="str">
        <f aca="false">IF($M750=0,"",INDEX(Classes!$B$6:$B$420,$M750))</f>
        <v/>
      </c>
      <c r="E750" s="61" t="str">
        <f aca="false">IF($M750=0,"",INDEX(Classes!$C$6:$C$420,$M750))</f>
        <v/>
      </c>
      <c r="F750" s="63"/>
      <c r="G750" s="63"/>
      <c r="H750" s="60"/>
      <c r="I750" s="60"/>
      <c r="J750" s="63"/>
      <c r="K750" s="61" t="str">
        <f aca="false">IF($P750=0,"",IF($F750="Baseline","— Baseline",IF($O750=0,"No result",IF($N750=0,"No Start (attainment only)",IF(OR($N750=1,$O750=1),"U – needs rule",INDEX(MxBody,MATCH($I750,MxCurr,0),MATCH($H750,MxStart,0)))))))</f>
        <v/>
      </c>
      <c r="L750" s="62" t="str">
        <f aca="false">IF(COUNTA($A750,$F750,$G750,$H750,$I750,$J750)=0,"",IF($M750=0,"✖ كود الصف غير موجود",IF(ISNA(MATCH($F750,Lists!$A$2:$A$5,0)),"✖ الفترة غير صحيحة",IF(ISNA(MATCH($G750,Lists!$B$2:$B$7,0)),"✖ المجموعة غير صحيحة",IF(NOT(OR($H750="",$N750&gt;0)),"✖ Start غير صحيح",IF(NOT(OR($I750="",$I750="NR",$O750&gt;0)),"✖ Current غير صحيح",IF(NOT(IF(ISNUMBER($J750),AND($J750&gt;=0,$J750=INT($J750)),FALSE())),"✖ العدد يجب أن يكون صحيحًا ≥ 0",IF(AND($F750="Baseline",$H750&lt;&gt;""),"⚠ Baseline: Start لا يدخل في التقدم",IF($K750="No Start (attainment only)","ℹ تحصيل فقط (بدون Start)",IF($K750="U – needs rule","ℹ حالة U تحتاج قاعدة معتمدة",IF($K750="No result","ℹ بدون نتيجة (يُستبعد من التحصيل)","OK")))))))))))</f>
        <v/>
      </c>
      <c r="M750" s="64" t="n">
        <f aca="false">IF($A750="",0,IFERROR(MATCH($A750,Classes!$A$6:$A$420,0),0))</f>
        <v>0</v>
      </c>
      <c r="N750" s="64" t="n">
        <f aca="false">IF($H750="",0,IFERROR(MATCH($H750,GradeList,0),0))</f>
        <v>0</v>
      </c>
      <c r="O750" s="64" t="n">
        <f aca="false">IF(OR($I750="",$I750="NR"),0,IFERROR(MATCH($I750,GradeList,0),0))</f>
        <v>0</v>
      </c>
      <c r="P750" s="64" t="n">
        <f aca="false">IF(AND($M750&gt;0,ISNUMBER(MATCH($F750,Lists!$A$2:$A$5,0)),ISNUMBER(MATCH($G750,Lists!$B$2:$B$7,0)),OR($H750="",$N750&gt;0),OR($I750="",$I750="NR",$O750&gt;0),IF(ISNUMBER($J750),AND($J750&gt;=0,$J750=INT($J750)),FALSE())),$J750,0)</f>
        <v>0</v>
      </c>
      <c r="Q750" s="64" t="n">
        <f aca="false">IF(AND($P750&gt;0,$O750&gt;0),$P750,0)</f>
        <v>0</v>
      </c>
      <c r="R750" s="64" t="n">
        <f aca="false">IF(AND($Q750&gt;0,$O750&gt;=AtRank),$Q750,0)</f>
        <v>0</v>
      </c>
      <c r="S750" s="64" t="n">
        <f aca="false">IF(AND($Q750&gt;0,$O750&gt;=AboveRank),$Q750,0)</f>
        <v>0</v>
      </c>
      <c r="T750" s="64" t="n">
        <f aca="false">IF($K750="Less",$P750,0)</f>
        <v>0</v>
      </c>
      <c r="U750" s="64" t="n">
        <f aca="false">IF($K750="Expected",$P750,0)</f>
        <v>0</v>
      </c>
      <c r="V750" s="64" t="n">
        <f aca="false">IF($K750="Better",$P750,0)</f>
        <v>0</v>
      </c>
      <c r="W750" s="64" t="n">
        <f aca="false">IF($K750="U – needs rule",$P750,0)</f>
        <v>0</v>
      </c>
      <c r="X750" s="64" t="n">
        <f aca="false">IF($K750="No Start (attainment only)",$P750,0)</f>
        <v>0</v>
      </c>
    </row>
    <row r="751" customFormat="false" ht="15" hidden="false" customHeight="false" outlineLevel="0" collapsed="false">
      <c r="A751" s="60"/>
      <c r="B751" s="61" t="str">
        <f aca="false">IF($M751=0,"",INDEX(Classes!$E$6:$E$420,$M751))</f>
        <v/>
      </c>
      <c r="C751" s="62" t="str">
        <f aca="false">IF($M751=0,"",INDEX(Classes!$H$6:$H$420,$M751))</f>
        <v/>
      </c>
      <c r="D751" s="61" t="str">
        <f aca="false">IF($M751=0,"",INDEX(Classes!$B$6:$B$420,$M751))</f>
        <v/>
      </c>
      <c r="E751" s="61" t="str">
        <f aca="false">IF($M751=0,"",INDEX(Classes!$C$6:$C$420,$M751))</f>
        <v/>
      </c>
      <c r="F751" s="63"/>
      <c r="G751" s="63"/>
      <c r="H751" s="60"/>
      <c r="I751" s="60"/>
      <c r="J751" s="63"/>
      <c r="K751" s="61" t="str">
        <f aca="false">IF($P751=0,"",IF($F751="Baseline","— Baseline",IF($O751=0,"No result",IF($N751=0,"No Start (attainment only)",IF(OR($N751=1,$O751=1),"U – needs rule",INDEX(MxBody,MATCH($I751,MxCurr,0),MATCH($H751,MxStart,0)))))))</f>
        <v/>
      </c>
      <c r="L751" s="62" t="str">
        <f aca="false">IF(COUNTA($A751,$F751,$G751,$H751,$I751,$J751)=0,"",IF($M751=0,"✖ كود الصف غير موجود",IF(ISNA(MATCH($F751,Lists!$A$2:$A$5,0)),"✖ الفترة غير صحيحة",IF(ISNA(MATCH($G751,Lists!$B$2:$B$7,0)),"✖ المجموعة غير صحيحة",IF(NOT(OR($H751="",$N751&gt;0)),"✖ Start غير صحيح",IF(NOT(OR($I751="",$I751="NR",$O751&gt;0)),"✖ Current غير صحيح",IF(NOT(IF(ISNUMBER($J751),AND($J751&gt;=0,$J751=INT($J751)),FALSE())),"✖ العدد يجب أن يكون صحيحًا ≥ 0",IF(AND($F751="Baseline",$H751&lt;&gt;""),"⚠ Baseline: Start لا يدخل في التقدم",IF($K751="No Start (attainment only)","ℹ تحصيل فقط (بدون Start)",IF($K751="U – needs rule","ℹ حالة U تحتاج قاعدة معتمدة",IF($K751="No result","ℹ بدون نتيجة (يُستبعد من التحصيل)","OK")))))))))))</f>
        <v/>
      </c>
      <c r="M751" s="64" t="n">
        <f aca="false">IF($A751="",0,IFERROR(MATCH($A751,Classes!$A$6:$A$420,0),0))</f>
        <v>0</v>
      </c>
      <c r="N751" s="64" t="n">
        <f aca="false">IF($H751="",0,IFERROR(MATCH($H751,GradeList,0),0))</f>
        <v>0</v>
      </c>
      <c r="O751" s="64" t="n">
        <f aca="false">IF(OR($I751="",$I751="NR"),0,IFERROR(MATCH($I751,GradeList,0),0))</f>
        <v>0</v>
      </c>
      <c r="P751" s="64" t="n">
        <f aca="false">IF(AND($M751&gt;0,ISNUMBER(MATCH($F751,Lists!$A$2:$A$5,0)),ISNUMBER(MATCH($G751,Lists!$B$2:$B$7,0)),OR($H751="",$N751&gt;0),OR($I751="",$I751="NR",$O751&gt;0),IF(ISNUMBER($J751),AND($J751&gt;=0,$J751=INT($J751)),FALSE())),$J751,0)</f>
        <v>0</v>
      </c>
      <c r="Q751" s="64" t="n">
        <f aca="false">IF(AND($P751&gt;0,$O751&gt;0),$P751,0)</f>
        <v>0</v>
      </c>
      <c r="R751" s="64" t="n">
        <f aca="false">IF(AND($Q751&gt;0,$O751&gt;=AtRank),$Q751,0)</f>
        <v>0</v>
      </c>
      <c r="S751" s="64" t="n">
        <f aca="false">IF(AND($Q751&gt;0,$O751&gt;=AboveRank),$Q751,0)</f>
        <v>0</v>
      </c>
      <c r="T751" s="64" t="n">
        <f aca="false">IF($K751="Less",$P751,0)</f>
        <v>0</v>
      </c>
      <c r="U751" s="64" t="n">
        <f aca="false">IF($K751="Expected",$P751,0)</f>
        <v>0</v>
      </c>
      <c r="V751" s="64" t="n">
        <f aca="false">IF($K751="Better",$P751,0)</f>
        <v>0</v>
      </c>
      <c r="W751" s="64" t="n">
        <f aca="false">IF($K751="U – needs rule",$P751,0)</f>
        <v>0</v>
      </c>
      <c r="X751" s="64" t="n">
        <f aca="false">IF($K751="No Start (attainment only)",$P751,0)</f>
        <v>0</v>
      </c>
    </row>
    <row r="752" customFormat="false" ht="15" hidden="false" customHeight="false" outlineLevel="0" collapsed="false">
      <c r="A752" s="60"/>
      <c r="B752" s="61" t="str">
        <f aca="false">IF($M752=0,"",INDEX(Classes!$E$6:$E$420,$M752))</f>
        <v/>
      </c>
      <c r="C752" s="62" t="str">
        <f aca="false">IF($M752=0,"",INDEX(Classes!$H$6:$H$420,$M752))</f>
        <v/>
      </c>
      <c r="D752" s="61" t="str">
        <f aca="false">IF($M752=0,"",INDEX(Classes!$B$6:$B$420,$M752))</f>
        <v/>
      </c>
      <c r="E752" s="61" t="str">
        <f aca="false">IF($M752=0,"",INDEX(Classes!$C$6:$C$420,$M752))</f>
        <v/>
      </c>
      <c r="F752" s="63"/>
      <c r="G752" s="63"/>
      <c r="H752" s="60"/>
      <c r="I752" s="60"/>
      <c r="J752" s="63"/>
      <c r="K752" s="61" t="str">
        <f aca="false">IF($P752=0,"",IF($F752="Baseline","— Baseline",IF($O752=0,"No result",IF($N752=0,"No Start (attainment only)",IF(OR($N752=1,$O752=1),"U – needs rule",INDEX(MxBody,MATCH($I752,MxCurr,0),MATCH($H752,MxStart,0)))))))</f>
        <v/>
      </c>
      <c r="L752" s="62" t="str">
        <f aca="false">IF(COUNTA($A752,$F752,$G752,$H752,$I752,$J752)=0,"",IF($M752=0,"✖ كود الصف غير موجود",IF(ISNA(MATCH($F752,Lists!$A$2:$A$5,0)),"✖ الفترة غير صحيحة",IF(ISNA(MATCH($G752,Lists!$B$2:$B$7,0)),"✖ المجموعة غير صحيحة",IF(NOT(OR($H752="",$N752&gt;0)),"✖ Start غير صحيح",IF(NOT(OR($I752="",$I752="NR",$O752&gt;0)),"✖ Current غير صحيح",IF(NOT(IF(ISNUMBER($J752),AND($J752&gt;=0,$J752=INT($J752)),FALSE())),"✖ العدد يجب أن يكون صحيحًا ≥ 0",IF(AND($F752="Baseline",$H752&lt;&gt;""),"⚠ Baseline: Start لا يدخل في التقدم",IF($K752="No Start (attainment only)","ℹ تحصيل فقط (بدون Start)",IF($K752="U – needs rule","ℹ حالة U تحتاج قاعدة معتمدة",IF($K752="No result","ℹ بدون نتيجة (يُستبعد من التحصيل)","OK")))))))))))</f>
        <v/>
      </c>
      <c r="M752" s="64" t="n">
        <f aca="false">IF($A752="",0,IFERROR(MATCH($A752,Classes!$A$6:$A$420,0),0))</f>
        <v>0</v>
      </c>
      <c r="N752" s="64" t="n">
        <f aca="false">IF($H752="",0,IFERROR(MATCH($H752,GradeList,0),0))</f>
        <v>0</v>
      </c>
      <c r="O752" s="64" t="n">
        <f aca="false">IF(OR($I752="",$I752="NR"),0,IFERROR(MATCH($I752,GradeList,0),0))</f>
        <v>0</v>
      </c>
      <c r="P752" s="64" t="n">
        <f aca="false">IF(AND($M752&gt;0,ISNUMBER(MATCH($F752,Lists!$A$2:$A$5,0)),ISNUMBER(MATCH($G752,Lists!$B$2:$B$7,0)),OR($H752="",$N752&gt;0),OR($I752="",$I752="NR",$O752&gt;0),IF(ISNUMBER($J752),AND($J752&gt;=0,$J752=INT($J752)),FALSE())),$J752,0)</f>
        <v>0</v>
      </c>
      <c r="Q752" s="64" t="n">
        <f aca="false">IF(AND($P752&gt;0,$O752&gt;0),$P752,0)</f>
        <v>0</v>
      </c>
      <c r="R752" s="64" t="n">
        <f aca="false">IF(AND($Q752&gt;0,$O752&gt;=AtRank),$Q752,0)</f>
        <v>0</v>
      </c>
      <c r="S752" s="64" t="n">
        <f aca="false">IF(AND($Q752&gt;0,$O752&gt;=AboveRank),$Q752,0)</f>
        <v>0</v>
      </c>
      <c r="T752" s="64" t="n">
        <f aca="false">IF($K752="Less",$P752,0)</f>
        <v>0</v>
      </c>
      <c r="U752" s="64" t="n">
        <f aca="false">IF($K752="Expected",$P752,0)</f>
        <v>0</v>
      </c>
      <c r="V752" s="64" t="n">
        <f aca="false">IF($K752="Better",$P752,0)</f>
        <v>0</v>
      </c>
      <c r="W752" s="64" t="n">
        <f aca="false">IF($K752="U – needs rule",$P752,0)</f>
        <v>0</v>
      </c>
      <c r="X752" s="64" t="n">
        <f aca="false">IF($K752="No Start (attainment only)",$P752,0)</f>
        <v>0</v>
      </c>
    </row>
    <row r="753" customFormat="false" ht="15" hidden="false" customHeight="false" outlineLevel="0" collapsed="false">
      <c r="A753" s="60"/>
      <c r="B753" s="61" t="str">
        <f aca="false">IF($M753=0,"",INDEX(Classes!$E$6:$E$420,$M753))</f>
        <v/>
      </c>
      <c r="C753" s="62" t="str">
        <f aca="false">IF($M753=0,"",INDEX(Classes!$H$6:$H$420,$M753))</f>
        <v/>
      </c>
      <c r="D753" s="61" t="str">
        <f aca="false">IF($M753=0,"",INDEX(Classes!$B$6:$B$420,$M753))</f>
        <v/>
      </c>
      <c r="E753" s="61" t="str">
        <f aca="false">IF($M753=0,"",INDEX(Classes!$C$6:$C$420,$M753))</f>
        <v/>
      </c>
      <c r="F753" s="63"/>
      <c r="G753" s="63"/>
      <c r="H753" s="60"/>
      <c r="I753" s="60"/>
      <c r="J753" s="63"/>
      <c r="K753" s="61" t="str">
        <f aca="false">IF($P753=0,"",IF($F753="Baseline","— Baseline",IF($O753=0,"No result",IF($N753=0,"No Start (attainment only)",IF(OR($N753=1,$O753=1),"U – needs rule",INDEX(MxBody,MATCH($I753,MxCurr,0),MATCH($H753,MxStart,0)))))))</f>
        <v/>
      </c>
      <c r="L753" s="62" t="str">
        <f aca="false">IF(COUNTA($A753,$F753,$G753,$H753,$I753,$J753)=0,"",IF($M753=0,"✖ كود الصف غير موجود",IF(ISNA(MATCH($F753,Lists!$A$2:$A$5,0)),"✖ الفترة غير صحيحة",IF(ISNA(MATCH($G753,Lists!$B$2:$B$7,0)),"✖ المجموعة غير صحيحة",IF(NOT(OR($H753="",$N753&gt;0)),"✖ Start غير صحيح",IF(NOT(OR($I753="",$I753="NR",$O753&gt;0)),"✖ Current غير صحيح",IF(NOT(IF(ISNUMBER($J753),AND($J753&gt;=0,$J753=INT($J753)),FALSE())),"✖ العدد يجب أن يكون صحيحًا ≥ 0",IF(AND($F753="Baseline",$H753&lt;&gt;""),"⚠ Baseline: Start لا يدخل في التقدم",IF($K753="No Start (attainment only)","ℹ تحصيل فقط (بدون Start)",IF($K753="U – needs rule","ℹ حالة U تحتاج قاعدة معتمدة",IF($K753="No result","ℹ بدون نتيجة (يُستبعد من التحصيل)","OK")))))))))))</f>
        <v/>
      </c>
      <c r="M753" s="64" t="n">
        <f aca="false">IF($A753="",0,IFERROR(MATCH($A753,Classes!$A$6:$A$420,0),0))</f>
        <v>0</v>
      </c>
      <c r="N753" s="64" t="n">
        <f aca="false">IF($H753="",0,IFERROR(MATCH($H753,GradeList,0),0))</f>
        <v>0</v>
      </c>
      <c r="O753" s="64" t="n">
        <f aca="false">IF(OR($I753="",$I753="NR"),0,IFERROR(MATCH($I753,GradeList,0),0))</f>
        <v>0</v>
      </c>
      <c r="P753" s="64" t="n">
        <f aca="false">IF(AND($M753&gt;0,ISNUMBER(MATCH($F753,Lists!$A$2:$A$5,0)),ISNUMBER(MATCH($G753,Lists!$B$2:$B$7,0)),OR($H753="",$N753&gt;0),OR($I753="",$I753="NR",$O753&gt;0),IF(ISNUMBER($J753),AND($J753&gt;=0,$J753=INT($J753)),FALSE())),$J753,0)</f>
        <v>0</v>
      </c>
      <c r="Q753" s="64" t="n">
        <f aca="false">IF(AND($P753&gt;0,$O753&gt;0),$P753,0)</f>
        <v>0</v>
      </c>
      <c r="R753" s="64" t="n">
        <f aca="false">IF(AND($Q753&gt;0,$O753&gt;=AtRank),$Q753,0)</f>
        <v>0</v>
      </c>
      <c r="S753" s="64" t="n">
        <f aca="false">IF(AND($Q753&gt;0,$O753&gt;=AboveRank),$Q753,0)</f>
        <v>0</v>
      </c>
      <c r="T753" s="64" t="n">
        <f aca="false">IF($K753="Less",$P753,0)</f>
        <v>0</v>
      </c>
      <c r="U753" s="64" t="n">
        <f aca="false">IF($K753="Expected",$P753,0)</f>
        <v>0</v>
      </c>
      <c r="V753" s="64" t="n">
        <f aca="false">IF($K753="Better",$P753,0)</f>
        <v>0</v>
      </c>
      <c r="W753" s="64" t="n">
        <f aca="false">IF($K753="U – needs rule",$P753,0)</f>
        <v>0</v>
      </c>
      <c r="X753" s="64" t="n">
        <f aca="false">IF($K753="No Start (attainment only)",$P753,0)</f>
        <v>0</v>
      </c>
    </row>
    <row r="754" customFormat="false" ht="15" hidden="false" customHeight="false" outlineLevel="0" collapsed="false">
      <c r="A754" s="60"/>
      <c r="B754" s="61" t="str">
        <f aca="false">IF($M754=0,"",INDEX(Classes!$E$6:$E$420,$M754))</f>
        <v/>
      </c>
      <c r="C754" s="62" t="str">
        <f aca="false">IF($M754=0,"",INDEX(Classes!$H$6:$H$420,$M754))</f>
        <v/>
      </c>
      <c r="D754" s="61" t="str">
        <f aca="false">IF($M754=0,"",INDEX(Classes!$B$6:$B$420,$M754))</f>
        <v/>
      </c>
      <c r="E754" s="61" t="str">
        <f aca="false">IF($M754=0,"",INDEX(Classes!$C$6:$C$420,$M754))</f>
        <v/>
      </c>
      <c r="F754" s="63"/>
      <c r="G754" s="63"/>
      <c r="H754" s="60"/>
      <c r="I754" s="60"/>
      <c r="J754" s="63"/>
      <c r="K754" s="61" t="str">
        <f aca="false">IF($P754=0,"",IF($F754="Baseline","— Baseline",IF($O754=0,"No result",IF($N754=0,"No Start (attainment only)",IF(OR($N754=1,$O754=1),"U – needs rule",INDEX(MxBody,MATCH($I754,MxCurr,0),MATCH($H754,MxStart,0)))))))</f>
        <v/>
      </c>
      <c r="L754" s="62" t="str">
        <f aca="false">IF(COUNTA($A754,$F754,$G754,$H754,$I754,$J754)=0,"",IF($M754=0,"✖ كود الصف غير موجود",IF(ISNA(MATCH($F754,Lists!$A$2:$A$5,0)),"✖ الفترة غير صحيحة",IF(ISNA(MATCH($G754,Lists!$B$2:$B$7,0)),"✖ المجموعة غير صحيحة",IF(NOT(OR($H754="",$N754&gt;0)),"✖ Start غير صحيح",IF(NOT(OR($I754="",$I754="NR",$O754&gt;0)),"✖ Current غير صحيح",IF(NOT(IF(ISNUMBER($J754),AND($J754&gt;=0,$J754=INT($J754)),FALSE())),"✖ العدد يجب أن يكون صحيحًا ≥ 0",IF(AND($F754="Baseline",$H754&lt;&gt;""),"⚠ Baseline: Start لا يدخل في التقدم",IF($K754="No Start (attainment only)","ℹ تحصيل فقط (بدون Start)",IF($K754="U – needs rule","ℹ حالة U تحتاج قاعدة معتمدة",IF($K754="No result","ℹ بدون نتيجة (يُستبعد من التحصيل)","OK")))))))))))</f>
        <v/>
      </c>
      <c r="M754" s="64" t="n">
        <f aca="false">IF($A754="",0,IFERROR(MATCH($A754,Classes!$A$6:$A$420,0),0))</f>
        <v>0</v>
      </c>
      <c r="N754" s="64" t="n">
        <f aca="false">IF($H754="",0,IFERROR(MATCH($H754,GradeList,0),0))</f>
        <v>0</v>
      </c>
      <c r="O754" s="64" t="n">
        <f aca="false">IF(OR($I754="",$I754="NR"),0,IFERROR(MATCH($I754,GradeList,0),0))</f>
        <v>0</v>
      </c>
      <c r="P754" s="64" t="n">
        <f aca="false">IF(AND($M754&gt;0,ISNUMBER(MATCH($F754,Lists!$A$2:$A$5,0)),ISNUMBER(MATCH($G754,Lists!$B$2:$B$7,0)),OR($H754="",$N754&gt;0),OR($I754="",$I754="NR",$O754&gt;0),IF(ISNUMBER($J754),AND($J754&gt;=0,$J754=INT($J754)),FALSE())),$J754,0)</f>
        <v>0</v>
      </c>
      <c r="Q754" s="64" t="n">
        <f aca="false">IF(AND($P754&gt;0,$O754&gt;0),$P754,0)</f>
        <v>0</v>
      </c>
      <c r="R754" s="64" t="n">
        <f aca="false">IF(AND($Q754&gt;0,$O754&gt;=AtRank),$Q754,0)</f>
        <v>0</v>
      </c>
      <c r="S754" s="64" t="n">
        <f aca="false">IF(AND($Q754&gt;0,$O754&gt;=AboveRank),$Q754,0)</f>
        <v>0</v>
      </c>
      <c r="T754" s="64" t="n">
        <f aca="false">IF($K754="Less",$P754,0)</f>
        <v>0</v>
      </c>
      <c r="U754" s="64" t="n">
        <f aca="false">IF($K754="Expected",$P754,0)</f>
        <v>0</v>
      </c>
      <c r="V754" s="64" t="n">
        <f aca="false">IF($K754="Better",$P754,0)</f>
        <v>0</v>
      </c>
      <c r="W754" s="64" t="n">
        <f aca="false">IF($K754="U – needs rule",$P754,0)</f>
        <v>0</v>
      </c>
      <c r="X754" s="64" t="n">
        <f aca="false">IF($K754="No Start (attainment only)",$P754,0)</f>
        <v>0</v>
      </c>
    </row>
    <row r="755" customFormat="false" ht="15" hidden="false" customHeight="false" outlineLevel="0" collapsed="false">
      <c r="A755" s="60"/>
      <c r="B755" s="61" t="str">
        <f aca="false">IF($M755=0,"",INDEX(Classes!$E$6:$E$420,$M755))</f>
        <v/>
      </c>
      <c r="C755" s="62" t="str">
        <f aca="false">IF($M755=0,"",INDEX(Classes!$H$6:$H$420,$M755))</f>
        <v/>
      </c>
      <c r="D755" s="61" t="str">
        <f aca="false">IF($M755=0,"",INDEX(Classes!$B$6:$B$420,$M755))</f>
        <v/>
      </c>
      <c r="E755" s="61" t="str">
        <f aca="false">IF($M755=0,"",INDEX(Classes!$C$6:$C$420,$M755))</f>
        <v/>
      </c>
      <c r="F755" s="63"/>
      <c r="G755" s="63"/>
      <c r="H755" s="60"/>
      <c r="I755" s="60"/>
      <c r="J755" s="63"/>
      <c r="K755" s="61" t="str">
        <f aca="false">IF($P755=0,"",IF($F755="Baseline","— Baseline",IF($O755=0,"No result",IF($N755=0,"No Start (attainment only)",IF(OR($N755=1,$O755=1),"U – needs rule",INDEX(MxBody,MATCH($I755,MxCurr,0),MATCH($H755,MxStart,0)))))))</f>
        <v/>
      </c>
      <c r="L755" s="62" t="str">
        <f aca="false">IF(COUNTA($A755,$F755,$G755,$H755,$I755,$J755)=0,"",IF($M755=0,"✖ كود الصف غير موجود",IF(ISNA(MATCH($F755,Lists!$A$2:$A$5,0)),"✖ الفترة غير صحيحة",IF(ISNA(MATCH($G755,Lists!$B$2:$B$7,0)),"✖ المجموعة غير صحيحة",IF(NOT(OR($H755="",$N755&gt;0)),"✖ Start غير صحيح",IF(NOT(OR($I755="",$I755="NR",$O755&gt;0)),"✖ Current غير صحيح",IF(NOT(IF(ISNUMBER($J755),AND($J755&gt;=0,$J755=INT($J755)),FALSE())),"✖ العدد يجب أن يكون صحيحًا ≥ 0",IF(AND($F755="Baseline",$H755&lt;&gt;""),"⚠ Baseline: Start لا يدخل في التقدم",IF($K755="No Start (attainment only)","ℹ تحصيل فقط (بدون Start)",IF($K755="U – needs rule","ℹ حالة U تحتاج قاعدة معتمدة",IF($K755="No result","ℹ بدون نتيجة (يُستبعد من التحصيل)","OK")))))))))))</f>
        <v/>
      </c>
      <c r="M755" s="64" t="n">
        <f aca="false">IF($A755="",0,IFERROR(MATCH($A755,Classes!$A$6:$A$420,0),0))</f>
        <v>0</v>
      </c>
      <c r="N755" s="64" t="n">
        <f aca="false">IF($H755="",0,IFERROR(MATCH($H755,GradeList,0),0))</f>
        <v>0</v>
      </c>
      <c r="O755" s="64" t="n">
        <f aca="false">IF(OR($I755="",$I755="NR"),0,IFERROR(MATCH($I755,GradeList,0),0))</f>
        <v>0</v>
      </c>
      <c r="P755" s="64" t="n">
        <f aca="false">IF(AND($M755&gt;0,ISNUMBER(MATCH($F755,Lists!$A$2:$A$5,0)),ISNUMBER(MATCH($G755,Lists!$B$2:$B$7,0)),OR($H755="",$N755&gt;0),OR($I755="",$I755="NR",$O755&gt;0),IF(ISNUMBER($J755),AND($J755&gt;=0,$J755=INT($J755)),FALSE())),$J755,0)</f>
        <v>0</v>
      </c>
      <c r="Q755" s="64" t="n">
        <f aca="false">IF(AND($P755&gt;0,$O755&gt;0),$P755,0)</f>
        <v>0</v>
      </c>
      <c r="R755" s="64" t="n">
        <f aca="false">IF(AND($Q755&gt;0,$O755&gt;=AtRank),$Q755,0)</f>
        <v>0</v>
      </c>
      <c r="S755" s="64" t="n">
        <f aca="false">IF(AND($Q755&gt;0,$O755&gt;=AboveRank),$Q755,0)</f>
        <v>0</v>
      </c>
      <c r="T755" s="64" t="n">
        <f aca="false">IF($K755="Less",$P755,0)</f>
        <v>0</v>
      </c>
      <c r="U755" s="64" t="n">
        <f aca="false">IF($K755="Expected",$P755,0)</f>
        <v>0</v>
      </c>
      <c r="V755" s="64" t="n">
        <f aca="false">IF($K755="Better",$P755,0)</f>
        <v>0</v>
      </c>
      <c r="W755" s="64" t="n">
        <f aca="false">IF($K755="U – needs rule",$P755,0)</f>
        <v>0</v>
      </c>
      <c r="X755" s="64" t="n">
        <f aca="false">IF($K755="No Start (attainment only)",$P755,0)</f>
        <v>0</v>
      </c>
    </row>
    <row r="756" customFormat="false" ht="15" hidden="false" customHeight="false" outlineLevel="0" collapsed="false">
      <c r="A756" s="60"/>
      <c r="B756" s="61" t="str">
        <f aca="false">IF($M756=0,"",INDEX(Classes!$E$6:$E$420,$M756))</f>
        <v/>
      </c>
      <c r="C756" s="62" t="str">
        <f aca="false">IF($M756=0,"",INDEX(Classes!$H$6:$H$420,$M756))</f>
        <v/>
      </c>
      <c r="D756" s="61" t="str">
        <f aca="false">IF($M756=0,"",INDEX(Classes!$B$6:$B$420,$M756))</f>
        <v/>
      </c>
      <c r="E756" s="61" t="str">
        <f aca="false">IF($M756=0,"",INDEX(Classes!$C$6:$C$420,$M756))</f>
        <v/>
      </c>
      <c r="F756" s="63"/>
      <c r="G756" s="63"/>
      <c r="H756" s="60"/>
      <c r="I756" s="60"/>
      <c r="J756" s="63"/>
      <c r="K756" s="61" t="str">
        <f aca="false">IF($P756=0,"",IF($F756="Baseline","— Baseline",IF($O756=0,"No result",IF($N756=0,"No Start (attainment only)",IF(OR($N756=1,$O756=1),"U – needs rule",INDEX(MxBody,MATCH($I756,MxCurr,0),MATCH($H756,MxStart,0)))))))</f>
        <v/>
      </c>
      <c r="L756" s="62" t="str">
        <f aca="false">IF(COUNTA($A756,$F756,$G756,$H756,$I756,$J756)=0,"",IF($M756=0,"✖ كود الصف غير موجود",IF(ISNA(MATCH($F756,Lists!$A$2:$A$5,0)),"✖ الفترة غير صحيحة",IF(ISNA(MATCH($G756,Lists!$B$2:$B$7,0)),"✖ المجموعة غير صحيحة",IF(NOT(OR($H756="",$N756&gt;0)),"✖ Start غير صحيح",IF(NOT(OR($I756="",$I756="NR",$O756&gt;0)),"✖ Current غير صحيح",IF(NOT(IF(ISNUMBER($J756),AND($J756&gt;=0,$J756=INT($J756)),FALSE())),"✖ العدد يجب أن يكون صحيحًا ≥ 0",IF(AND($F756="Baseline",$H756&lt;&gt;""),"⚠ Baseline: Start لا يدخل في التقدم",IF($K756="No Start (attainment only)","ℹ تحصيل فقط (بدون Start)",IF($K756="U – needs rule","ℹ حالة U تحتاج قاعدة معتمدة",IF($K756="No result","ℹ بدون نتيجة (يُستبعد من التحصيل)","OK")))))))))))</f>
        <v/>
      </c>
      <c r="M756" s="64" t="n">
        <f aca="false">IF($A756="",0,IFERROR(MATCH($A756,Classes!$A$6:$A$420,0),0))</f>
        <v>0</v>
      </c>
      <c r="N756" s="64" t="n">
        <f aca="false">IF($H756="",0,IFERROR(MATCH($H756,GradeList,0),0))</f>
        <v>0</v>
      </c>
      <c r="O756" s="64" t="n">
        <f aca="false">IF(OR($I756="",$I756="NR"),0,IFERROR(MATCH($I756,GradeList,0),0))</f>
        <v>0</v>
      </c>
      <c r="P756" s="64" t="n">
        <f aca="false">IF(AND($M756&gt;0,ISNUMBER(MATCH($F756,Lists!$A$2:$A$5,0)),ISNUMBER(MATCH($G756,Lists!$B$2:$B$7,0)),OR($H756="",$N756&gt;0),OR($I756="",$I756="NR",$O756&gt;0),IF(ISNUMBER($J756),AND($J756&gt;=0,$J756=INT($J756)),FALSE())),$J756,0)</f>
        <v>0</v>
      </c>
      <c r="Q756" s="64" t="n">
        <f aca="false">IF(AND($P756&gt;0,$O756&gt;0),$P756,0)</f>
        <v>0</v>
      </c>
      <c r="R756" s="64" t="n">
        <f aca="false">IF(AND($Q756&gt;0,$O756&gt;=AtRank),$Q756,0)</f>
        <v>0</v>
      </c>
      <c r="S756" s="64" t="n">
        <f aca="false">IF(AND($Q756&gt;0,$O756&gt;=AboveRank),$Q756,0)</f>
        <v>0</v>
      </c>
      <c r="T756" s="64" t="n">
        <f aca="false">IF($K756="Less",$P756,0)</f>
        <v>0</v>
      </c>
      <c r="U756" s="64" t="n">
        <f aca="false">IF($K756="Expected",$P756,0)</f>
        <v>0</v>
      </c>
      <c r="V756" s="64" t="n">
        <f aca="false">IF($K756="Better",$P756,0)</f>
        <v>0</v>
      </c>
      <c r="W756" s="64" t="n">
        <f aca="false">IF($K756="U – needs rule",$P756,0)</f>
        <v>0</v>
      </c>
      <c r="X756" s="64" t="n">
        <f aca="false">IF($K756="No Start (attainment only)",$P756,0)</f>
        <v>0</v>
      </c>
    </row>
    <row r="757" customFormat="false" ht="15" hidden="false" customHeight="false" outlineLevel="0" collapsed="false">
      <c r="A757" s="60"/>
      <c r="B757" s="61" t="str">
        <f aca="false">IF($M757=0,"",INDEX(Classes!$E$6:$E$420,$M757))</f>
        <v/>
      </c>
      <c r="C757" s="62" t="str">
        <f aca="false">IF($M757=0,"",INDEX(Classes!$H$6:$H$420,$M757))</f>
        <v/>
      </c>
      <c r="D757" s="61" t="str">
        <f aca="false">IF($M757=0,"",INDEX(Classes!$B$6:$B$420,$M757))</f>
        <v/>
      </c>
      <c r="E757" s="61" t="str">
        <f aca="false">IF($M757=0,"",INDEX(Classes!$C$6:$C$420,$M757))</f>
        <v/>
      </c>
      <c r="F757" s="63"/>
      <c r="G757" s="63"/>
      <c r="H757" s="60"/>
      <c r="I757" s="60"/>
      <c r="J757" s="63"/>
      <c r="K757" s="61" t="str">
        <f aca="false">IF($P757=0,"",IF($F757="Baseline","— Baseline",IF($O757=0,"No result",IF($N757=0,"No Start (attainment only)",IF(OR($N757=1,$O757=1),"U – needs rule",INDEX(MxBody,MATCH($I757,MxCurr,0),MATCH($H757,MxStart,0)))))))</f>
        <v/>
      </c>
      <c r="L757" s="62" t="str">
        <f aca="false">IF(COUNTA($A757,$F757,$G757,$H757,$I757,$J757)=0,"",IF($M757=0,"✖ كود الصف غير موجود",IF(ISNA(MATCH($F757,Lists!$A$2:$A$5,0)),"✖ الفترة غير صحيحة",IF(ISNA(MATCH($G757,Lists!$B$2:$B$7,0)),"✖ المجموعة غير صحيحة",IF(NOT(OR($H757="",$N757&gt;0)),"✖ Start غير صحيح",IF(NOT(OR($I757="",$I757="NR",$O757&gt;0)),"✖ Current غير صحيح",IF(NOT(IF(ISNUMBER($J757),AND($J757&gt;=0,$J757=INT($J757)),FALSE())),"✖ العدد يجب أن يكون صحيحًا ≥ 0",IF(AND($F757="Baseline",$H757&lt;&gt;""),"⚠ Baseline: Start لا يدخل في التقدم",IF($K757="No Start (attainment only)","ℹ تحصيل فقط (بدون Start)",IF($K757="U – needs rule","ℹ حالة U تحتاج قاعدة معتمدة",IF($K757="No result","ℹ بدون نتيجة (يُستبعد من التحصيل)","OK")))))))))))</f>
        <v/>
      </c>
      <c r="M757" s="64" t="n">
        <f aca="false">IF($A757="",0,IFERROR(MATCH($A757,Classes!$A$6:$A$420,0),0))</f>
        <v>0</v>
      </c>
      <c r="N757" s="64" t="n">
        <f aca="false">IF($H757="",0,IFERROR(MATCH($H757,GradeList,0),0))</f>
        <v>0</v>
      </c>
      <c r="O757" s="64" t="n">
        <f aca="false">IF(OR($I757="",$I757="NR"),0,IFERROR(MATCH($I757,GradeList,0),0))</f>
        <v>0</v>
      </c>
      <c r="P757" s="64" t="n">
        <f aca="false">IF(AND($M757&gt;0,ISNUMBER(MATCH($F757,Lists!$A$2:$A$5,0)),ISNUMBER(MATCH($G757,Lists!$B$2:$B$7,0)),OR($H757="",$N757&gt;0),OR($I757="",$I757="NR",$O757&gt;0),IF(ISNUMBER($J757),AND($J757&gt;=0,$J757=INT($J757)),FALSE())),$J757,0)</f>
        <v>0</v>
      </c>
      <c r="Q757" s="64" t="n">
        <f aca="false">IF(AND($P757&gt;0,$O757&gt;0),$P757,0)</f>
        <v>0</v>
      </c>
      <c r="R757" s="64" t="n">
        <f aca="false">IF(AND($Q757&gt;0,$O757&gt;=AtRank),$Q757,0)</f>
        <v>0</v>
      </c>
      <c r="S757" s="64" t="n">
        <f aca="false">IF(AND($Q757&gt;0,$O757&gt;=AboveRank),$Q757,0)</f>
        <v>0</v>
      </c>
      <c r="T757" s="64" t="n">
        <f aca="false">IF($K757="Less",$P757,0)</f>
        <v>0</v>
      </c>
      <c r="U757" s="64" t="n">
        <f aca="false">IF($K757="Expected",$P757,0)</f>
        <v>0</v>
      </c>
      <c r="V757" s="64" t="n">
        <f aca="false">IF($K757="Better",$P757,0)</f>
        <v>0</v>
      </c>
      <c r="W757" s="64" t="n">
        <f aca="false">IF($K757="U – needs rule",$P757,0)</f>
        <v>0</v>
      </c>
      <c r="X757" s="64" t="n">
        <f aca="false">IF($K757="No Start (attainment only)",$P757,0)</f>
        <v>0</v>
      </c>
    </row>
    <row r="758" customFormat="false" ht="15" hidden="false" customHeight="false" outlineLevel="0" collapsed="false">
      <c r="A758" s="60"/>
      <c r="B758" s="61" t="str">
        <f aca="false">IF($M758=0,"",INDEX(Classes!$E$6:$E$420,$M758))</f>
        <v/>
      </c>
      <c r="C758" s="62" t="str">
        <f aca="false">IF($M758=0,"",INDEX(Classes!$H$6:$H$420,$M758))</f>
        <v/>
      </c>
      <c r="D758" s="61" t="str">
        <f aca="false">IF($M758=0,"",INDEX(Classes!$B$6:$B$420,$M758))</f>
        <v/>
      </c>
      <c r="E758" s="61" t="str">
        <f aca="false">IF($M758=0,"",INDEX(Classes!$C$6:$C$420,$M758))</f>
        <v/>
      </c>
      <c r="F758" s="63"/>
      <c r="G758" s="63"/>
      <c r="H758" s="60"/>
      <c r="I758" s="60"/>
      <c r="J758" s="63"/>
      <c r="K758" s="61" t="str">
        <f aca="false">IF($P758=0,"",IF($F758="Baseline","— Baseline",IF($O758=0,"No result",IF($N758=0,"No Start (attainment only)",IF(OR($N758=1,$O758=1),"U – needs rule",INDEX(MxBody,MATCH($I758,MxCurr,0),MATCH($H758,MxStart,0)))))))</f>
        <v/>
      </c>
      <c r="L758" s="62" t="str">
        <f aca="false">IF(COUNTA($A758,$F758,$G758,$H758,$I758,$J758)=0,"",IF($M758=0,"✖ كود الصف غير موجود",IF(ISNA(MATCH($F758,Lists!$A$2:$A$5,0)),"✖ الفترة غير صحيحة",IF(ISNA(MATCH($G758,Lists!$B$2:$B$7,0)),"✖ المجموعة غير صحيحة",IF(NOT(OR($H758="",$N758&gt;0)),"✖ Start غير صحيح",IF(NOT(OR($I758="",$I758="NR",$O758&gt;0)),"✖ Current غير صحيح",IF(NOT(IF(ISNUMBER($J758),AND($J758&gt;=0,$J758=INT($J758)),FALSE())),"✖ العدد يجب أن يكون صحيحًا ≥ 0",IF(AND($F758="Baseline",$H758&lt;&gt;""),"⚠ Baseline: Start لا يدخل في التقدم",IF($K758="No Start (attainment only)","ℹ تحصيل فقط (بدون Start)",IF($K758="U – needs rule","ℹ حالة U تحتاج قاعدة معتمدة",IF($K758="No result","ℹ بدون نتيجة (يُستبعد من التحصيل)","OK")))))))))))</f>
        <v/>
      </c>
      <c r="M758" s="64" t="n">
        <f aca="false">IF($A758="",0,IFERROR(MATCH($A758,Classes!$A$6:$A$420,0),0))</f>
        <v>0</v>
      </c>
      <c r="N758" s="64" t="n">
        <f aca="false">IF($H758="",0,IFERROR(MATCH($H758,GradeList,0),0))</f>
        <v>0</v>
      </c>
      <c r="O758" s="64" t="n">
        <f aca="false">IF(OR($I758="",$I758="NR"),0,IFERROR(MATCH($I758,GradeList,0),0))</f>
        <v>0</v>
      </c>
      <c r="P758" s="64" t="n">
        <f aca="false">IF(AND($M758&gt;0,ISNUMBER(MATCH($F758,Lists!$A$2:$A$5,0)),ISNUMBER(MATCH($G758,Lists!$B$2:$B$7,0)),OR($H758="",$N758&gt;0),OR($I758="",$I758="NR",$O758&gt;0),IF(ISNUMBER($J758),AND($J758&gt;=0,$J758=INT($J758)),FALSE())),$J758,0)</f>
        <v>0</v>
      </c>
      <c r="Q758" s="64" t="n">
        <f aca="false">IF(AND($P758&gt;0,$O758&gt;0),$P758,0)</f>
        <v>0</v>
      </c>
      <c r="R758" s="64" t="n">
        <f aca="false">IF(AND($Q758&gt;0,$O758&gt;=AtRank),$Q758,0)</f>
        <v>0</v>
      </c>
      <c r="S758" s="64" t="n">
        <f aca="false">IF(AND($Q758&gt;0,$O758&gt;=AboveRank),$Q758,0)</f>
        <v>0</v>
      </c>
      <c r="T758" s="64" t="n">
        <f aca="false">IF($K758="Less",$P758,0)</f>
        <v>0</v>
      </c>
      <c r="U758" s="64" t="n">
        <f aca="false">IF($K758="Expected",$P758,0)</f>
        <v>0</v>
      </c>
      <c r="V758" s="64" t="n">
        <f aca="false">IF($K758="Better",$P758,0)</f>
        <v>0</v>
      </c>
      <c r="W758" s="64" t="n">
        <f aca="false">IF($K758="U – needs rule",$P758,0)</f>
        <v>0</v>
      </c>
      <c r="X758" s="64" t="n">
        <f aca="false">IF($K758="No Start (attainment only)",$P758,0)</f>
        <v>0</v>
      </c>
    </row>
    <row r="759" customFormat="false" ht="15" hidden="false" customHeight="false" outlineLevel="0" collapsed="false">
      <c r="A759" s="60"/>
      <c r="B759" s="61" t="str">
        <f aca="false">IF($M759=0,"",INDEX(Classes!$E$6:$E$420,$M759))</f>
        <v/>
      </c>
      <c r="C759" s="62" t="str">
        <f aca="false">IF($M759=0,"",INDEX(Classes!$H$6:$H$420,$M759))</f>
        <v/>
      </c>
      <c r="D759" s="61" t="str">
        <f aca="false">IF($M759=0,"",INDEX(Classes!$B$6:$B$420,$M759))</f>
        <v/>
      </c>
      <c r="E759" s="61" t="str">
        <f aca="false">IF($M759=0,"",INDEX(Classes!$C$6:$C$420,$M759))</f>
        <v/>
      </c>
      <c r="F759" s="63"/>
      <c r="G759" s="63"/>
      <c r="H759" s="60"/>
      <c r="I759" s="60"/>
      <c r="J759" s="63"/>
      <c r="K759" s="61" t="str">
        <f aca="false">IF($P759=0,"",IF($F759="Baseline","— Baseline",IF($O759=0,"No result",IF($N759=0,"No Start (attainment only)",IF(OR($N759=1,$O759=1),"U – needs rule",INDEX(MxBody,MATCH($I759,MxCurr,0),MATCH($H759,MxStart,0)))))))</f>
        <v/>
      </c>
      <c r="L759" s="62" t="str">
        <f aca="false">IF(COUNTA($A759,$F759,$G759,$H759,$I759,$J759)=0,"",IF($M759=0,"✖ كود الصف غير موجود",IF(ISNA(MATCH($F759,Lists!$A$2:$A$5,0)),"✖ الفترة غير صحيحة",IF(ISNA(MATCH($G759,Lists!$B$2:$B$7,0)),"✖ المجموعة غير صحيحة",IF(NOT(OR($H759="",$N759&gt;0)),"✖ Start غير صحيح",IF(NOT(OR($I759="",$I759="NR",$O759&gt;0)),"✖ Current غير صحيح",IF(NOT(IF(ISNUMBER($J759),AND($J759&gt;=0,$J759=INT($J759)),FALSE())),"✖ العدد يجب أن يكون صحيحًا ≥ 0",IF(AND($F759="Baseline",$H759&lt;&gt;""),"⚠ Baseline: Start لا يدخل في التقدم",IF($K759="No Start (attainment only)","ℹ تحصيل فقط (بدون Start)",IF($K759="U – needs rule","ℹ حالة U تحتاج قاعدة معتمدة",IF($K759="No result","ℹ بدون نتيجة (يُستبعد من التحصيل)","OK")))))))))))</f>
        <v/>
      </c>
      <c r="M759" s="64" t="n">
        <f aca="false">IF($A759="",0,IFERROR(MATCH($A759,Classes!$A$6:$A$420,0),0))</f>
        <v>0</v>
      </c>
      <c r="N759" s="64" t="n">
        <f aca="false">IF($H759="",0,IFERROR(MATCH($H759,GradeList,0),0))</f>
        <v>0</v>
      </c>
      <c r="O759" s="64" t="n">
        <f aca="false">IF(OR($I759="",$I759="NR"),0,IFERROR(MATCH($I759,GradeList,0),0))</f>
        <v>0</v>
      </c>
      <c r="P759" s="64" t="n">
        <f aca="false">IF(AND($M759&gt;0,ISNUMBER(MATCH($F759,Lists!$A$2:$A$5,0)),ISNUMBER(MATCH($G759,Lists!$B$2:$B$7,0)),OR($H759="",$N759&gt;0),OR($I759="",$I759="NR",$O759&gt;0),IF(ISNUMBER($J759),AND($J759&gt;=0,$J759=INT($J759)),FALSE())),$J759,0)</f>
        <v>0</v>
      </c>
      <c r="Q759" s="64" t="n">
        <f aca="false">IF(AND($P759&gt;0,$O759&gt;0),$P759,0)</f>
        <v>0</v>
      </c>
      <c r="R759" s="64" t="n">
        <f aca="false">IF(AND($Q759&gt;0,$O759&gt;=AtRank),$Q759,0)</f>
        <v>0</v>
      </c>
      <c r="S759" s="64" t="n">
        <f aca="false">IF(AND($Q759&gt;0,$O759&gt;=AboveRank),$Q759,0)</f>
        <v>0</v>
      </c>
      <c r="T759" s="64" t="n">
        <f aca="false">IF($K759="Less",$P759,0)</f>
        <v>0</v>
      </c>
      <c r="U759" s="64" t="n">
        <f aca="false">IF($K759="Expected",$P759,0)</f>
        <v>0</v>
      </c>
      <c r="V759" s="64" t="n">
        <f aca="false">IF($K759="Better",$P759,0)</f>
        <v>0</v>
      </c>
      <c r="W759" s="64" t="n">
        <f aca="false">IF($K759="U – needs rule",$P759,0)</f>
        <v>0</v>
      </c>
      <c r="X759" s="64" t="n">
        <f aca="false">IF($K759="No Start (attainment only)",$P759,0)</f>
        <v>0</v>
      </c>
    </row>
    <row r="760" customFormat="false" ht="15" hidden="false" customHeight="false" outlineLevel="0" collapsed="false">
      <c r="A760" s="60"/>
      <c r="B760" s="61" t="str">
        <f aca="false">IF($M760=0,"",INDEX(Classes!$E$6:$E$420,$M760))</f>
        <v/>
      </c>
      <c r="C760" s="62" t="str">
        <f aca="false">IF($M760=0,"",INDEX(Classes!$H$6:$H$420,$M760))</f>
        <v/>
      </c>
      <c r="D760" s="61" t="str">
        <f aca="false">IF($M760=0,"",INDEX(Classes!$B$6:$B$420,$M760))</f>
        <v/>
      </c>
      <c r="E760" s="61" t="str">
        <f aca="false">IF($M760=0,"",INDEX(Classes!$C$6:$C$420,$M760))</f>
        <v/>
      </c>
      <c r="F760" s="63"/>
      <c r="G760" s="63"/>
      <c r="H760" s="60"/>
      <c r="I760" s="60"/>
      <c r="J760" s="63"/>
      <c r="K760" s="61" t="str">
        <f aca="false">IF($P760=0,"",IF($F760="Baseline","— Baseline",IF($O760=0,"No result",IF($N760=0,"No Start (attainment only)",IF(OR($N760=1,$O760=1),"U – needs rule",INDEX(MxBody,MATCH($I760,MxCurr,0),MATCH($H760,MxStart,0)))))))</f>
        <v/>
      </c>
      <c r="L760" s="62" t="str">
        <f aca="false">IF(COUNTA($A760,$F760,$G760,$H760,$I760,$J760)=0,"",IF($M760=0,"✖ كود الصف غير موجود",IF(ISNA(MATCH($F760,Lists!$A$2:$A$5,0)),"✖ الفترة غير صحيحة",IF(ISNA(MATCH($G760,Lists!$B$2:$B$7,0)),"✖ المجموعة غير صحيحة",IF(NOT(OR($H760="",$N760&gt;0)),"✖ Start غير صحيح",IF(NOT(OR($I760="",$I760="NR",$O760&gt;0)),"✖ Current غير صحيح",IF(NOT(IF(ISNUMBER($J760),AND($J760&gt;=0,$J760=INT($J760)),FALSE())),"✖ العدد يجب أن يكون صحيحًا ≥ 0",IF(AND($F760="Baseline",$H760&lt;&gt;""),"⚠ Baseline: Start لا يدخل في التقدم",IF($K760="No Start (attainment only)","ℹ تحصيل فقط (بدون Start)",IF($K760="U – needs rule","ℹ حالة U تحتاج قاعدة معتمدة",IF($K760="No result","ℹ بدون نتيجة (يُستبعد من التحصيل)","OK")))))))))))</f>
        <v/>
      </c>
      <c r="M760" s="64" t="n">
        <f aca="false">IF($A760="",0,IFERROR(MATCH($A760,Classes!$A$6:$A$420,0),0))</f>
        <v>0</v>
      </c>
      <c r="N760" s="64" t="n">
        <f aca="false">IF($H760="",0,IFERROR(MATCH($H760,GradeList,0),0))</f>
        <v>0</v>
      </c>
      <c r="O760" s="64" t="n">
        <f aca="false">IF(OR($I760="",$I760="NR"),0,IFERROR(MATCH($I760,GradeList,0),0))</f>
        <v>0</v>
      </c>
      <c r="P760" s="64" t="n">
        <f aca="false">IF(AND($M760&gt;0,ISNUMBER(MATCH($F760,Lists!$A$2:$A$5,0)),ISNUMBER(MATCH($G760,Lists!$B$2:$B$7,0)),OR($H760="",$N760&gt;0),OR($I760="",$I760="NR",$O760&gt;0),IF(ISNUMBER($J760),AND($J760&gt;=0,$J760=INT($J760)),FALSE())),$J760,0)</f>
        <v>0</v>
      </c>
      <c r="Q760" s="64" t="n">
        <f aca="false">IF(AND($P760&gt;0,$O760&gt;0),$P760,0)</f>
        <v>0</v>
      </c>
      <c r="R760" s="64" t="n">
        <f aca="false">IF(AND($Q760&gt;0,$O760&gt;=AtRank),$Q760,0)</f>
        <v>0</v>
      </c>
      <c r="S760" s="64" t="n">
        <f aca="false">IF(AND($Q760&gt;0,$O760&gt;=AboveRank),$Q760,0)</f>
        <v>0</v>
      </c>
      <c r="T760" s="64" t="n">
        <f aca="false">IF($K760="Less",$P760,0)</f>
        <v>0</v>
      </c>
      <c r="U760" s="64" t="n">
        <f aca="false">IF($K760="Expected",$P760,0)</f>
        <v>0</v>
      </c>
      <c r="V760" s="64" t="n">
        <f aca="false">IF($K760="Better",$P760,0)</f>
        <v>0</v>
      </c>
      <c r="W760" s="64" t="n">
        <f aca="false">IF($K760="U – needs rule",$P760,0)</f>
        <v>0</v>
      </c>
      <c r="X760" s="64" t="n">
        <f aca="false">IF($K760="No Start (attainment only)",$P760,0)</f>
        <v>0</v>
      </c>
    </row>
    <row r="761" customFormat="false" ht="15" hidden="false" customHeight="false" outlineLevel="0" collapsed="false">
      <c r="A761" s="60"/>
      <c r="B761" s="61" t="str">
        <f aca="false">IF($M761=0,"",INDEX(Classes!$E$6:$E$420,$M761))</f>
        <v/>
      </c>
      <c r="C761" s="62" t="str">
        <f aca="false">IF($M761=0,"",INDEX(Classes!$H$6:$H$420,$M761))</f>
        <v/>
      </c>
      <c r="D761" s="61" t="str">
        <f aca="false">IF($M761=0,"",INDEX(Classes!$B$6:$B$420,$M761))</f>
        <v/>
      </c>
      <c r="E761" s="61" t="str">
        <f aca="false">IF($M761=0,"",INDEX(Classes!$C$6:$C$420,$M761))</f>
        <v/>
      </c>
      <c r="F761" s="63"/>
      <c r="G761" s="63"/>
      <c r="H761" s="60"/>
      <c r="I761" s="60"/>
      <c r="J761" s="63"/>
      <c r="K761" s="61" t="str">
        <f aca="false">IF($P761=0,"",IF($F761="Baseline","— Baseline",IF($O761=0,"No result",IF($N761=0,"No Start (attainment only)",IF(OR($N761=1,$O761=1),"U – needs rule",INDEX(MxBody,MATCH($I761,MxCurr,0),MATCH($H761,MxStart,0)))))))</f>
        <v/>
      </c>
      <c r="L761" s="62" t="str">
        <f aca="false">IF(COUNTA($A761,$F761,$G761,$H761,$I761,$J761)=0,"",IF($M761=0,"✖ كود الصف غير موجود",IF(ISNA(MATCH($F761,Lists!$A$2:$A$5,0)),"✖ الفترة غير صحيحة",IF(ISNA(MATCH($G761,Lists!$B$2:$B$7,0)),"✖ المجموعة غير صحيحة",IF(NOT(OR($H761="",$N761&gt;0)),"✖ Start غير صحيح",IF(NOT(OR($I761="",$I761="NR",$O761&gt;0)),"✖ Current غير صحيح",IF(NOT(IF(ISNUMBER($J761),AND($J761&gt;=0,$J761=INT($J761)),FALSE())),"✖ العدد يجب أن يكون صحيحًا ≥ 0",IF(AND($F761="Baseline",$H761&lt;&gt;""),"⚠ Baseline: Start لا يدخل في التقدم",IF($K761="No Start (attainment only)","ℹ تحصيل فقط (بدون Start)",IF($K761="U – needs rule","ℹ حالة U تحتاج قاعدة معتمدة",IF($K761="No result","ℹ بدون نتيجة (يُستبعد من التحصيل)","OK")))))))))))</f>
        <v/>
      </c>
      <c r="M761" s="64" t="n">
        <f aca="false">IF($A761="",0,IFERROR(MATCH($A761,Classes!$A$6:$A$420,0),0))</f>
        <v>0</v>
      </c>
      <c r="N761" s="64" t="n">
        <f aca="false">IF($H761="",0,IFERROR(MATCH($H761,GradeList,0),0))</f>
        <v>0</v>
      </c>
      <c r="O761" s="64" t="n">
        <f aca="false">IF(OR($I761="",$I761="NR"),0,IFERROR(MATCH($I761,GradeList,0),0))</f>
        <v>0</v>
      </c>
      <c r="P761" s="64" t="n">
        <f aca="false">IF(AND($M761&gt;0,ISNUMBER(MATCH($F761,Lists!$A$2:$A$5,0)),ISNUMBER(MATCH($G761,Lists!$B$2:$B$7,0)),OR($H761="",$N761&gt;0),OR($I761="",$I761="NR",$O761&gt;0),IF(ISNUMBER($J761),AND($J761&gt;=0,$J761=INT($J761)),FALSE())),$J761,0)</f>
        <v>0</v>
      </c>
      <c r="Q761" s="64" t="n">
        <f aca="false">IF(AND($P761&gt;0,$O761&gt;0),$P761,0)</f>
        <v>0</v>
      </c>
      <c r="R761" s="64" t="n">
        <f aca="false">IF(AND($Q761&gt;0,$O761&gt;=AtRank),$Q761,0)</f>
        <v>0</v>
      </c>
      <c r="S761" s="64" t="n">
        <f aca="false">IF(AND($Q761&gt;0,$O761&gt;=AboveRank),$Q761,0)</f>
        <v>0</v>
      </c>
      <c r="T761" s="64" t="n">
        <f aca="false">IF($K761="Less",$P761,0)</f>
        <v>0</v>
      </c>
      <c r="U761" s="64" t="n">
        <f aca="false">IF($K761="Expected",$P761,0)</f>
        <v>0</v>
      </c>
      <c r="V761" s="64" t="n">
        <f aca="false">IF($K761="Better",$P761,0)</f>
        <v>0</v>
      </c>
      <c r="W761" s="64" t="n">
        <f aca="false">IF($K761="U – needs rule",$P761,0)</f>
        <v>0</v>
      </c>
      <c r="X761" s="64" t="n">
        <f aca="false">IF($K761="No Start (attainment only)",$P761,0)</f>
        <v>0</v>
      </c>
    </row>
    <row r="762" customFormat="false" ht="15" hidden="false" customHeight="false" outlineLevel="0" collapsed="false">
      <c r="A762" s="60"/>
      <c r="B762" s="61" t="str">
        <f aca="false">IF($M762=0,"",INDEX(Classes!$E$6:$E$420,$M762))</f>
        <v/>
      </c>
      <c r="C762" s="62" t="str">
        <f aca="false">IF($M762=0,"",INDEX(Classes!$H$6:$H$420,$M762))</f>
        <v/>
      </c>
      <c r="D762" s="61" t="str">
        <f aca="false">IF($M762=0,"",INDEX(Classes!$B$6:$B$420,$M762))</f>
        <v/>
      </c>
      <c r="E762" s="61" t="str">
        <f aca="false">IF($M762=0,"",INDEX(Classes!$C$6:$C$420,$M762))</f>
        <v/>
      </c>
      <c r="F762" s="63"/>
      <c r="G762" s="63"/>
      <c r="H762" s="60"/>
      <c r="I762" s="60"/>
      <c r="J762" s="63"/>
      <c r="K762" s="61" t="str">
        <f aca="false">IF($P762=0,"",IF($F762="Baseline","— Baseline",IF($O762=0,"No result",IF($N762=0,"No Start (attainment only)",IF(OR($N762=1,$O762=1),"U – needs rule",INDEX(MxBody,MATCH($I762,MxCurr,0),MATCH($H762,MxStart,0)))))))</f>
        <v/>
      </c>
      <c r="L762" s="62" t="str">
        <f aca="false">IF(COUNTA($A762,$F762,$G762,$H762,$I762,$J762)=0,"",IF($M762=0,"✖ كود الصف غير موجود",IF(ISNA(MATCH($F762,Lists!$A$2:$A$5,0)),"✖ الفترة غير صحيحة",IF(ISNA(MATCH($G762,Lists!$B$2:$B$7,0)),"✖ المجموعة غير صحيحة",IF(NOT(OR($H762="",$N762&gt;0)),"✖ Start غير صحيح",IF(NOT(OR($I762="",$I762="NR",$O762&gt;0)),"✖ Current غير صحيح",IF(NOT(IF(ISNUMBER($J762),AND($J762&gt;=0,$J762=INT($J762)),FALSE())),"✖ العدد يجب أن يكون صحيحًا ≥ 0",IF(AND($F762="Baseline",$H762&lt;&gt;""),"⚠ Baseline: Start لا يدخل في التقدم",IF($K762="No Start (attainment only)","ℹ تحصيل فقط (بدون Start)",IF($K762="U – needs rule","ℹ حالة U تحتاج قاعدة معتمدة",IF($K762="No result","ℹ بدون نتيجة (يُستبعد من التحصيل)","OK")))))))))))</f>
        <v/>
      </c>
      <c r="M762" s="64" t="n">
        <f aca="false">IF($A762="",0,IFERROR(MATCH($A762,Classes!$A$6:$A$420,0),0))</f>
        <v>0</v>
      </c>
      <c r="N762" s="64" t="n">
        <f aca="false">IF($H762="",0,IFERROR(MATCH($H762,GradeList,0),0))</f>
        <v>0</v>
      </c>
      <c r="O762" s="64" t="n">
        <f aca="false">IF(OR($I762="",$I762="NR"),0,IFERROR(MATCH($I762,GradeList,0),0))</f>
        <v>0</v>
      </c>
      <c r="P762" s="64" t="n">
        <f aca="false">IF(AND($M762&gt;0,ISNUMBER(MATCH($F762,Lists!$A$2:$A$5,0)),ISNUMBER(MATCH($G762,Lists!$B$2:$B$7,0)),OR($H762="",$N762&gt;0),OR($I762="",$I762="NR",$O762&gt;0),IF(ISNUMBER($J762),AND($J762&gt;=0,$J762=INT($J762)),FALSE())),$J762,0)</f>
        <v>0</v>
      </c>
      <c r="Q762" s="64" t="n">
        <f aca="false">IF(AND($P762&gt;0,$O762&gt;0),$P762,0)</f>
        <v>0</v>
      </c>
      <c r="R762" s="64" t="n">
        <f aca="false">IF(AND($Q762&gt;0,$O762&gt;=AtRank),$Q762,0)</f>
        <v>0</v>
      </c>
      <c r="S762" s="64" t="n">
        <f aca="false">IF(AND($Q762&gt;0,$O762&gt;=AboveRank),$Q762,0)</f>
        <v>0</v>
      </c>
      <c r="T762" s="64" t="n">
        <f aca="false">IF($K762="Less",$P762,0)</f>
        <v>0</v>
      </c>
      <c r="U762" s="64" t="n">
        <f aca="false">IF($K762="Expected",$P762,0)</f>
        <v>0</v>
      </c>
      <c r="V762" s="64" t="n">
        <f aca="false">IF($K762="Better",$P762,0)</f>
        <v>0</v>
      </c>
      <c r="W762" s="64" t="n">
        <f aca="false">IF($K762="U – needs rule",$P762,0)</f>
        <v>0</v>
      </c>
      <c r="X762" s="64" t="n">
        <f aca="false">IF($K762="No Start (attainment only)",$P762,0)</f>
        <v>0</v>
      </c>
    </row>
    <row r="763" customFormat="false" ht="15" hidden="false" customHeight="false" outlineLevel="0" collapsed="false">
      <c r="A763" s="60"/>
      <c r="B763" s="61" t="str">
        <f aca="false">IF($M763=0,"",INDEX(Classes!$E$6:$E$420,$M763))</f>
        <v/>
      </c>
      <c r="C763" s="62" t="str">
        <f aca="false">IF($M763=0,"",INDEX(Classes!$H$6:$H$420,$M763))</f>
        <v/>
      </c>
      <c r="D763" s="61" t="str">
        <f aca="false">IF($M763=0,"",INDEX(Classes!$B$6:$B$420,$M763))</f>
        <v/>
      </c>
      <c r="E763" s="61" t="str">
        <f aca="false">IF($M763=0,"",INDEX(Classes!$C$6:$C$420,$M763))</f>
        <v/>
      </c>
      <c r="F763" s="63"/>
      <c r="G763" s="63"/>
      <c r="H763" s="60"/>
      <c r="I763" s="60"/>
      <c r="J763" s="63"/>
      <c r="K763" s="61" t="str">
        <f aca="false">IF($P763=0,"",IF($F763="Baseline","— Baseline",IF($O763=0,"No result",IF($N763=0,"No Start (attainment only)",IF(OR($N763=1,$O763=1),"U – needs rule",INDEX(MxBody,MATCH($I763,MxCurr,0),MATCH($H763,MxStart,0)))))))</f>
        <v/>
      </c>
      <c r="L763" s="62" t="str">
        <f aca="false">IF(COUNTA($A763,$F763,$G763,$H763,$I763,$J763)=0,"",IF($M763=0,"✖ كود الصف غير موجود",IF(ISNA(MATCH($F763,Lists!$A$2:$A$5,0)),"✖ الفترة غير صحيحة",IF(ISNA(MATCH($G763,Lists!$B$2:$B$7,0)),"✖ المجموعة غير صحيحة",IF(NOT(OR($H763="",$N763&gt;0)),"✖ Start غير صحيح",IF(NOT(OR($I763="",$I763="NR",$O763&gt;0)),"✖ Current غير صحيح",IF(NOT(IF(ISNUMBER($J763),AND($J763&gt;=0,$J763=INT($J763)),FALSE())),"✖ العدد يجب أن يكون صحيحًا ≥ 0",IF(AND($F763="Baseline",$H763&lt;&gt;""),"⚠ Baseline: Start لا يدخل في التقدم",IF($K763="No Start (attainment only)","ℹ تحصيل فقط (بدون Start)",IF($K763="U – needs rule","ℹ حالة U تحتاج قاعدة معتمدة",IF($K763="No result","ℹ بدون نتيجة (يُستبعد من التحصيل)","OK")))))))))))</f>
        <v/>
      </c>
      <c r="M763" s="64" t="n">
        <f aca="false">IF($A763="",0,IFERROR(MATCH($A763,Classes!$A$6:$A$420,0),0))</f>
        <v>0</v>
      </c>
      <c r="N763" s="64" t="n">
        <f aca="false">IF($H763="",0,IFERROR(MATCH($H763,GradeList,0),0))</f>
        <v>0</v>
      </c>
      <c r="O763" s="64" t="n">
        <f aca="false">IF(OR($I763="",$I763="NR"),0,IFERROR(MATCH($I763,GradeList,0),0))</f>
        <v>0</v>
      </c>
      <c r="P763" s="64" t="n">
        <f aca="false">IF(AND($M763&gt;0,ISNUMBER(MATCH($F763,Lists!$A$2:$A$5,0)),ISNUMBER(MATCH($G763,Lists!$B$2:$B$7,0)),OR($H763="",$N763&gt;0),OR($I763="",$I763="NR",$O763&gt;0),IF(ISNUMBER($J763),AND($J763&gt;=0,$J763=INT($J763)),FALSE())),$J763,0)</f>
        <v>0</v>
      </c>
      <c r="Q763" s="64" t="n">
        <f aca="false">IF(AND($P763&gt;0,$O763&gt;0),$P763,0)</f>
        <v>0</v>
      </c>
      <c r="R763" s="64" t="n">
        <f aca="false">IF(AND($Q763&gt;0,$O763&gt;=AtRank),$Q763,0)</f>
        <v>0</v>
      </c>
      <c r="S763" s="64" t="n">
        <f aca="false">IF(AND($Q763&gt;0,$O763&gt;=AboveRank),$Q763,0)</f>
        <v>0</v>
      </c>
      <c r="T763" s="64" t="n">
        <f aca="false">IF($K763="Less",$P763,0)</f>
        <v>0</v>
      </c>
      <c r="U763" s="64" t="n">
        <f aca="false">IF($K763="Expected",$P763,0)</f>
        <v>0</v>
      </c>
      <c r="V763" s="64" t="n">
        <f aca="false">IF($K763="Better",$P763,0)</f>
        <v>0</v>
      </c>
      <c r="W763" s="64" t="n">
        <f aca="false">IF($K763="U – needs rule",$P763,0)</f>
        <v>0</v>
      </c>
      <c r="X763" s="64" t="n">
        <f aca="false">IF($K763="No Start (attainment only)",$P763,0)</f>
        <v>0</v>
      </c>
    </row>
    <row r="764" customFormat="false" ht="15" hidden="false" customHeight="false" outlineLevel="0" collapsed="false">
      <c r="A764" s="60"/>
      <c r="B764" s="61" t="str">
        <f aca="false">IF($M764=0,"",INDEX(Classes!$E$6:$E$420,$M764))</f>
        <v/>
      </c>
      <c r="C764" s="62" t="str">
        <f aca="false">IF($M764=0,"",INDEX(Classes!$H$6:$H$420,$M764))</f>
        <v/>
      </c>
      <c r="D764" s="61" t="str">
        <f aca="false">IF($M764=0,"",INDEX(Classes!$B$6:$B$420,$M764))</f>
        <v/>
      </c>
      <c r="E764" s="61" t="str">
        <f aca="false">IF($M764=0,"",INDEX(Classes!$C$6:$C$420,$M764))</f>
        <v/>
      </c>
      <c r="F764" s="63"/>
      <c r="G764" s="63"/>
      <c r="H764" s="60"/>
      <c r="I764" s="60"/>
      <c r="J764" s="63"/>
      <c r="K764" s="61" t="str">
        <f aca="false">IF($P764=0,"",IF($F764="Baseline","— Baseline",IF($O764=0,"No result",IF($N764=0,"No Start (attainment only)",IF(OR($N764=1,$O764=1),"U – needs rule",INDEX(MxBody,MATCH($I764,MxCurr,0),MATCH($H764,MxStart,0)))))))</f>
        <v/>
      </c>
      <c r="L764" s="62" t="str">
        <f aca="false">IF(COUNTA($A764,$F764,$G764,$H764,$I764,$J764)=0,"",IF($M764=0,"✖ كود الصف غير موجود",IF(ISNA(MATCH($F764,Lists!$A$2:$A$5,0)),"✖ الفترة غير صحيحة",IF(ISNA(MATCH($G764,Lists!$B$2:$B$7,0)),"✖ المجموعة غير صحيحة",IF(NOT(OR($H764="",$N764&gt;0)),"✖ Start غير صحيح",IF(NOT(OR($I764="",$I764="NR",$O764&gt;0)),"✖ Current غير صحيح",IF(NOT(IF(ISNUMBER($J764),AND($J764&gt;=0,$J764=INT($J764)),FALSE())),"✖ العدد يجب أن يكون صحيحًا ≥ 0",IF(AND($F764="Baseline",$H764&lt;&gt;""),"⚠ Baseline: Start لا يدخل في التقدم",IF($K764="No Start (attainment only)","ℹ تحصيل فقط (بدون Start)",IF($K764="U – needs rule","ℹ حالة U تحتاج قاعدة معتمدة",IF($K764="No result","ℹ بدون نتيجة (يُستبعد من التحصيل)","OK")))))))))))</f>
        <v/>
      </c>
      <c r="M764" s="64" t="n">
        <f aca="false">IF($A764="",0,IFERROR(MATCH($A764,Classes!$A$6:$A$420,0),0))</f>
        <v>0</v>
      </c>
      <c r="N764" s="64" t="n">
        <f aca="false">IF($H764="",0,IFERROR(MATCH($H764,GradeList,0),0))</f>
        <v>0</v>
      </c>
      <c r="O764" s="64" t="n">
        <f aca="false">IF(OR($I764="",$I764="NR"),0,IFERROR(MATCH($I764,GradeList,0),0))</f>
        <v>0</v>
      </c>
      <c r="P764" s="64" t="n">
        <f aca="false">IF(AND($M764&gt;0,ISNUMBER(MATCH($F764,Lists!$A$2:$A$5,0)),ISNUMBER(MATCH($G764,Lists!$B$2:$B$7,0)),OR($H764="",$N764&gt;0),OR($I764="",$I764="NR",$O764&gt;0),IF(ISNUMBER($J764),AND($J764&gt;=0,$J764=INT($J764)),FALSE())),$J764,0)</f>
        <v>0</v>
      </c>
      <c r="Q764" s="64" t="n">
        <f aca="false">IF(AND($P764&gt;0,$O764&gt;0),$P764,0)</f>
        <v>0</v>
      </c>
      <c r="R764" s="64" t="n">
        <f aca="false">IF(AND($Q764&gt;0,$O764&gt;=AtRank),$Q764,0)</f>
        <v>0</v>
      </c>
      <c r="S764" s="64" t="n">
        <f aca="false">IF(AND($Q764&gt;0,$O764&gt;=AboveRank),$Q764,0)</f>
        <v>0</v>
      </c>
      <c r="T764" s="64" t="n">
        <f aca="false">IF($K764="Less",$P764,0)</f>
        <v>0</v>
      </c>
      <c r="U764" s="64" t="n">
        <f aca="false">IF($K764="Expected",$P764,0)</f>
        <v>0</v>
      </c>
      <c r="V764" s="64" t="n">
        <f aca="false">IF($K764="Better",$P764,0)</f>
        <v>0</v>
      </c>
      <c r="W764" s="64" t="n">
        <f aca="false">IF($K764="U – needs rule",$P764,0)</f>
        <v>0</v>
      </c>
      <c r="X764" s="64" t="n">
        <f aca="false">IF($K764="No Start (attainment only)",$P764,0)</f>
        <v>0</v>
      </c>
    </row>
    <row r="765" customFormat="false" ht="15" hidden="false" customHeight="false" outlineLevel="0" collapsed="false">
      <c r="A765" s="60"/>
      <c r="B765" s="61" t="str">
        <f aca="false">IF($M765=0,"",INDEX(Classes!$E$6:$E$420,$M765))</f>
        <v/>
      </c>
      <c r="C765" s="62" t="str">
        <f aca="false">IF($M765=0,"",INDEX(Classes!$H$6:$H$420,$M765))</f>
        <v/>
      </c>
      <c r="D765" s="61" t="str">
        <f aca="false">IF($M765=0,"",INDEX(Classes!$B$6:$B$420,$M765))</f>
        <v/>
      </c>
      <c r="E765" s="61" t="str">
        <f aca="false">IF($M765=0,"",INDEX(Classes!$C$6:$C$420,$M765))</f>
        <v/>
      </c>
      <c r="F765" s="63"/>
      <c r="G765" s="63"/>
      <c r="H765" s="60"/>
      <c r="I765" s="60"/>
      <c r="J765" s="63"/>
      <c r="K765" s="61" t="str">
        <f aca="false">IF($P765=0,"",IF($F765="Baseline","— Baseline",IF($O765=0,"No result",IF($N765=0,"No Start (attainment only)",IF(OR($N765=1,$O765=1),"U – needs rule",INDEX(MxBody,MATCH($I765,MxCurr,0),MATCH($H765,MxStart,0)))))))</f>
        <v/>
      </c>
      <c r="L765" s="62" t="str">
        <f aca="false">IF(COUNTA($A765,$F765,$G765,$H765,$I765,$J765)=0,"",IF($M765=0,"✖ كود الصف غير موجود",IF(ISNA(MATCH($F765,Lists!$A$2:$A$5,0)),"✖ الفترة غير صحيحة",IF(ISNA(MATCH($G765,Lists!$B$2:$B$7,0)),"✖ المجموعة غير صحيحة",IF(NOT(OR($H765="",$N765&gt;0)),"✖ Start غير صحيح",IF(NOT(OR($I765="",$I765="NR",$O765&gt;0)),"✖ Current غير صحيح",IF(NOT(IF(ISNUMBER($J765),AND($J765&gt;=0,$J765=INT($J765)),FALSE())),"✖ العدد يجب أن يكون صحيحًا ≥ 0",IF(AND($F765="Baseline",$H765&lt;&gt;""),"⚠ Baseline: Start لا يدخل في التقدم",IF($K765="No Start (attainment only)","ℹ تحصيل فقط (بدون Start)",IF($K765="U – needs rule","ℹ حالة U تحتاج قاعدة معتمدة",IF($K765="No result","ℹ بدون نتيجة (يُستبعد من التحصيل)","OK")))))))))))</f>
        <v/>
      </c>
      <c r="M765" s="64" t="n">
        <f aca="false">IF($A765="",0,IFERROR(MATCH($A765,Classes!$A$6:$A$420,0),0))</f>
        <v>0</v>
      </c>
      <c r="N765" s="64" t="n">
        <f aca="false">IF($H765="",0,IFERROR(MATCH($H765,GradeList,0),0))</f>
        <v>0</v>
      </c>
      <c r="O765" s="64" t="n">
        <f aca="false">IF(OR($I765="",$I765="NR"),0,IFERROR(MATCH($I765,GradeList,0),0))</f>
        <v>0</v>
      </c>
      <c r="P765" s="64" t="n">
        <f aca="false">IF(AND($M765&gt;0,ISNUMBER(MATCH($F765,Lists!$A$2:$A$5,0)),ISNUMBER(MATCH($G765,Lists!$B$2:$B$7,0)),OR($H765="",$N765&gt;0),OR($I765="",$I765="NR",$O765&gt;0),IF(ISNUMBER($J765),AND($J765&gt;=0,$J765=INT($J765)),FALSE())),$J765,0)</f>
        <v>0</v>
      </c>
      <c r="Q765" s="64" t="n">
        <f aca="false">IF(AND($P765&gt;0,$O765&gt;0),$P765,0)</f>
        <v>0</v>
      </c>
      <c r="R765" s="64" t="n">
        <f aca="false">IF(AND($Q765&gt;0,$O765&gt;=AtRank),$Q765,0)</f>
        <v>0</v>
      </c>
      <c r="S765" s="64" t="n">
        <f aca="false">IF(AND($Q765&gt;0,$O765&gt;=AboveRank),$Q765,0)</f>
        <v>0</v>
      </c>
      <c r="T765" s="64" t="n">
        <f aca="false">IF($K765="Less",$P765,0)</f>
        <v>0</v>
      </c>
      <c r="U765" s="64" t="n">
        <f aca="false">IF($K765="Expected",$P765,0)</f>
        <v>0</v>
      </c>
      <c r="V765" s="64" t="n">
        <f aca="false">IF($K765="Better",$P765,0)</f>
        <v>0</v>
      </c>
      <c r="W765" s="64" t="n">
        <f aca="false">IF($K765="U – needs rule",$P765,0)</f>
        <v>0</v>
      </c>
      <c r="X765" s="64" t="n">
        <f aca="false">IF($K765="No Start (attainment only)",$P765,0)</f>
        <v>0</v>
      </c>
    </row>
    <row r="766" customFormat="false" ht="15" hidden="false" customHeight="false" outlineLevel="0" collapsed="false">
      <c r="A766" s="60"/>
      <c r="B766" s="61" t="str">
        <f aca="false">IF($M766=0,"",INDEX(Classes!$E$6:$E$420,$M766))</f>
        <v/>
      </c>
      <c r="C766" s="62" t="str">
        <f aca="false">IF($M766=0,"",INDEX(Classes!$H$6:$H$420,$M766))</f>
        <v/>
      </c>
      <c r="D766" s="61" t="str">
        <f aca="false">IF($M766=0,"",INDEX(Classes!$B$6:$B$420,$M766))</f>
        <v/>
      </c>
      <c r="E766" s="61" t="str">
        <f aca="false">IF($M766=0,"",INDEX(Classes!$C$6:$C$420,$M766))</f>
        <v/>
      </c>
      <c r="F766" s="63"/>
      <c r="G766" s="63"/>
      <c r="H766" s="60"/>
      <c r="I766" s="60"/>
      <c r="J766" s="63"/>
      <c r="K766" s="61" t="str">
        <f aca="false">IF($P766=0,"",IF($F766="Baseline","— Baseline",IF($O766=0,"No result",IF($N766=0,"No Start (attainment only)",IF(OR($N766=1,$O766=1),"U – needs rule",INDEX(MxBody,MATCH($I766,MxCurr,0),MATCH($H766,MxStart,0)))))))</f>
        <v/>
      </c>
      <c r="L766" s="62" t="str">
        <f aca="false">IF(COUNTA($A766,$F766,$G766,$H766,$I766,$J766)=0,"",IF($M766=0,"✖ كود الصف غير موجود",IF(ISNA(MATCH($F766,Lists!$A$2:$A$5,0)),"✖ الفترة غير صحيحة",IF(ISNA(MATCH($G766,Lists!$B$2:$B$7,0)),"✖ المجموعة غير صحيحة",IF(NOT(OR($H766="",$N766&gt;0)),"✖ Start غير صحيح",IF(NOT(OR($I766="",$I766="NR",$O766&gt;0)),"✖ Current غير صحيح",IF(NOT(IF(ISNUMBER($J766),AND($J766&gt;=0,$J766=INT($J766)),FALSE())),"✖ العدد يجب أن يكون صحيحًا ≥ 0",IF(AND($F766="Baseline",$H766&lt;&gt;""),"⚠ Baseline: Start لا يدخل في التقدم",IF($K766="No Start (attainment only)","ℹ تحصيل فقط (بدون Start)",IF($K766="U – needs rule","ℹ حالة U تحتاج قاعدة معتمدة",IF($K766="No result","ℹ بدون نتيجة (يُستبعد من التحصيل)","OK")))))))))))</f>
        <v/>
      </c>
      <c r="M766" s="64" t="n">
        <f aca="false">IF($A766="",0,IFERROR(MATCH($A766,Classes!$A$6:$A$420,0),0))</f>
        <v>0</v>
      </c>
      <c r="N766" s="64" t="n">
        <f aca="false">IF($H766="",0,IFERROR(MATCH($H766,GradeList,0),0))</f>
        <v>0</v>
      </c>
      <c r="O766" s="64" t="n">
        <f aca="false">IF(OR($I766="",$I766="NR"),0,IFERROR(MATCH($I766,GradeList,0),0))</f>
        <v>0</v>
      </c>
      <c r="P766" s="64" t="n">
        <f aca="false">IF(AND($M766&gt;0,ISNUMBER(MATCH($F766,Lists!$A$2:$A$5,0)),ISNUMBER(MATCH($G766,Lists!$B$2:$B$7,0)),OR($H766="",$N766&gt;0),OR($I766="",$I766="NR",$O766&gt;0),IF(ISNUMBER($J766),AND($J766&gt;=0,$J766=INT($J766)),FALSE())),$J766,0)</f>
        <v>0</v>
      </c>
      <c r="Q766" s="64" t="n">
        <f aca="false">IF(AND($P766&gt;0,$O766&gt;0),$P766,0)</f>
        <v>0</v>
      </c>
      <c r="R766" s="64" t="n">
        <f aca="false">IF(AND($Q766&gt;0,$O766&gt;=AtRank),$Q766,0)</f>
        <v>0</v>
      </c>
      <c r="S766" s="64" t="n">
        <f aca="false">IF(AND($Q766&gt;0,$O766&gt;=AboveRank),$Q766,0)</f>
        <v>0</v>
      </c>
      <c r="T766" s="64" t="n">
        <f aca="false">IF($K766="Less",$P766,0)</f>
        <v>0</v>
      </c>
      <c r="U766" s="64" t="n">
        <f aca="false">IF($K766="Expected",$P766,0)</f>
        <v>0</v>
      </c>
      <c r="V766" s="64" t="n">
        <f aca="false">IF($K766="Better",$P766,0)</f>
        <v>0</v>
      </c>
      <c r="W766" s="64" t="n">
        <f aca="false">IF($K766="U – needs rule",$P766,0)</f>
        <v>0</v>
      </c>
      <c r="X766" s="64" t="n">
        <f aca="false">IF($K766="No Start (attainment only)",$P766,0)</f>
        <v>0</v>
      </c>
    </row>
    <row r="767" customFormat="false" ht="15" hidden="false" customHeight="false" outlineLevel="0" collapsed="false">
      <c r="A767" s="60"/>
      <c r="B767" s="61" t="str">
        <f aca="false">IF($M767=0,"",INDEX(Classes!$E$6:$E$420,$M767))</f>
        <v/>
      </c>
      <c r="C767" s="62" t="str">
        <f aca="false">IF($M767=0,"",INDEX(Classes!$H$6:$H$420,$M767))</f>
        <v/>
      </c>
      <c r="D767" s="61" t="str">
        <f aca="false">IF($M767=0,"",INDEX(Classes!$B$6:$B$420,$M767))</f>
        <v/>
      </c>
      <c r="E767" s="61" t="str">
        <f aca="false">IF($M767=0,"",INDEX(Classes!$C$6:$C$420,$M767))</f>
        <v/>
      </c>
      <c r="F767" s="63"/>
      <c r="G767" s="63"/>
      <c r="H767" s="60"/>
      <c r="I767" s="60"/>
      <c r="J767" s="63"/>
      <c r="K767" s="61" t="str">
        <f aca="false">IF($P767=0,"",IF($F767="Baseline","— Baseline",IF($O767=0,"No result",IF($N767=0,"No Start (attainment only)",IF(OR($N767=1,$O767=1),"U – needs rule",INDEX(MxBody,MATCH($I767,MxCurr,0),MATCH($H767,MxStart,0)))))))</f>
        <v/>
      </c>
      <c r="L767" s="62" t="str">
        <f aca="false">IF(COUNTA($A767,$F767,$G767,$H767,$I767,$J767)=0,"",IF($M767=0,"✖ كود الصف غير موجود",IF(ISNA(MATCH($F767,Lists!$A$2:$A$5,0)),"✖ الفترة غير صحيحة",IF(ISNA(MATCH($G767,Lists!$B$2:$B$7,0)),"✖ المجموعة غير صحيحة",IF(NOT(OR($H767="",$N767&gt;0)),"✖ Start غير صحيح",IF(NOT(OR($I767="",$I767="NR",$O767&gt;0)),"✖ Current غير صحيح",IF(NOT(IF(ISNUMBER($J767),AND($J767&gt;=0,$J767=INT($J767)),FALSE())),"✖ العدد يجب أن يكون صحيحًا ≥ 0",IF(AND($F767="Baseline",$H767&lt;&gt;""),"⚠ Baseline: Start لا يدخل في التقدم",IF($K767="No Start (attainment only)","ℹ تحصيل فقط (بدون Start)",IF($K767="U – needs rule","ℹ حالة U تحتاج قاعدة معتمدة",IF($K767="No result","ℹ بدون نتيجة (يُستبعد من التحصيل)","OK")))))))))))</f>
        <v/>
      </c>
      <c r="M767" s="64" t="n">
        <f aca="false">IF($A767="",0,IFERROR(MATCH($A767,Classes!$A$6:$A$420,0),0))</f>
        <v>0</v>
      </c>
      <c r="N767" s="64" t="n">
        <f aca="false">IF($H767="",0,IFERROR(MATCH($H767,GradeList,0),0))</f>
        <v>0</v>
      </c>
      <c r="O767" s="64" t="n">
        <f aca="false">IF(OR($I767="",$I767="NR"),0,IFERROR(MATCH($I767,GradeList,0),0))</f>
        <v>0</v>
      </c>
      <c r="P767" s="64" t="n">
        <f aca="false">IF(AND($M767&gt;0,ISNUMBER(MATCH($F767,Lists!$A$2:$A$5,0)),ISNUMBER(MATCH($G767,Lists!$B$2:$B$7,0)),OR($H767="",$N767&gt;0),OR($I767="",$I767="NR",$O767&gt;0),IF(ISNUMBER($J767),AND($J767&gt;=0,$J767=INT($J767)),FALSE())),$J767,0)</f>
        <v>0</v>
      </c>
      <c r="Q767" s="64" t="n">
        <f aca="false">IF(AND($P767&gt;0,$O767&gt;0),$P767,0)</f>
        <v>0</v>
      </c>
      <c r="R767" s="64" t="n">
        <f aca="false">IF(AND($Q767&gt;0,$O767&gt;=AtRank),$Q767,0)</f>
        <v>0</v>
      </c>
      <c r="S767" s="64" t="n">
        <f aca="false">IF(AND($Q767&gt;0,$O767&gt;=AboveRank),$Q767,0)</f>
        <v>0</v>
      </c>
      <c r="T767" s="64" t="n">
        <f aca="false">IF($K767="Less",$P767,0)</f>
        <v>0</v>
      </c>
      <c r="U767" s="64" t="n">
        <f aca="false">IF($K767="Expected",$P767,0)</f>
        <v>0</v>
      </c>
      <c r="V767" s="64" t="n">
        <f aca="false">IF($K767="Better",$P767,0)</f>
        <v>0</v>
      </c>
      <c r="W767" s="64" t="n">
        <f aca="false">IF($K767="U – needs rule",$P767,0)</f>
        <v>0</v>
      </c>
      <c r="X767" s="64" t="n">
        <f aca="false">IF($K767="No Start (attainment only)",$P767,0)</f>
        <v>0</v>
      </c>
    </row>
    <row r="768" customFormat="false" ht="15" hidden="false" customHeight="false" outlineLevel="0" collapsed="false">
      <c r="A768" s="60"/>
      <c r="B768" s="61" t="str">
        <f aca="false">IF($M768=0,"",INDEX(Classes!$E$6:$E$420,$M768))</f>
        <v/>
      </c>
      <c r="C768" s="62" t="str">
        <f aca="false">IF($M768=0,"",INDEX(Classes!$H$6:$H$420,$M768))</f>
        <v/>
      </c>
      <c r="D768" s="61" t="str">
        <f aca="false">IF($M768=0,"",INDEX(Classes!$B$6:$B$420,$M768))</f>
        <v/>
      </c>
      <c r="E768" s="61" t="str">
        <f aca="false">IF($M768=0,"",INDEX(Classes!$C$6:$C$420,$M768))</f>
        <v/>
      </c>
      <c r="F768" s="63"/>
      <c r="G768" s="63"/>
      <c r="H768" s="60"/>
      <c r="I768" s="60"/>
      <c r="J768" s="63"/>
      <c r="K768" s="61" t="str">
        <f aca="false">IF($P768=0,"",IF($F768="Baseline","— Baseline",IF($O768=0,"No result",IF($N768=0,"No Start (attainment only)",IF(OR($N768=1,$O768=1),"U – needs rule",INDEX(MxBody,MATCH($I768,MxCurr,0),MATCH($H768,MxStart,0)))))))</f>
        <v/>
      </c>
      <c r="L768" s="62" t="str">
        <f aca="false">IF(COUNTA($A768,$F768,$G768,$H768,$I768,$J768)=0,"",IF($M768=0,"✖ كود الصف غير موجود",IF(ISNA(MATCH($F768,Lists!$A$2:$A$5,0)),"✖ الفترة غير صحيحة",IF(ISNA(MATCH($G768,Lists!$B$2:$B$7,0)),"✖ المجموعة غير صحيحة",IF(NOT(OR($H768="",$N768&gt;0)),"✖ Start غير صحيح",IF(NOT(OR($I768="",$I768="NR",$O768&gt;0)),"✖ Current غير صحيح",IF(NOT(IF(ISNUMBER($J768),AND($J768&gt;=0,$J768=INT($J768)),FALSE())),"✖ العدد يجب أن يكون صحيحًا ≥ 0",IF(AND($F768="Baseline",$H768&lt;&gt;""),"⚠ Baseline: Start لا يدخل في التقدم",IF($K768="No Start (attainment only)","ℹ تحصيل فقط (بدون Start)",IF($K768="U – needs rule","ℹ حالة U تحتاج قاعدة معتمدة",IF($K768="No result","ℹ بدون نتيجة (يُستبعد من التحصيل)","OK")))))))))))</f>
        <v/>
      </c>
      <c r="M768" s="64" t="n">
        <f aca="false">IF($A768="",0,IFERROR(MATCH($A768,Classes!$A$6:$A$420,0),0))</f>
        <v>0</v>
      </c>
      <c r="N768" s="64" t="n">
        <f aca="false">IF($H768="",0,IFERROR(MATCH($H768,GradeList,0),0))</f>
        <v>0</v>
      </c>
      <c r="O768" s="64" t="n">
        <f aca="false">IF(OR($I768="",$I768="NR"),0,IFERROR(MATCH($I768,GradeList,0),0))</f>
        <v>0</v>
      </c>
      <c r="P768" s="64" t="n">
        <f aca="false">IF(AND($M768&gt;0,ISNUMBER(MATCH($F768,Lists!$A$2:$A$5,0)),ISNUMBER(MATCH($G768,Lists!$B$2:$B$7,0)),OR($H768="",$N768&gt;0),OR($I768="",$I768="NR",$O768&gt;0),IF(ISNUMBER($J768),AND($J768&gt;=0,$J768=INT($J768)),FALSE())),$J768,0)</f>
        <v>0</v>
      </c>
      <c r="Q768" s="64" t="n">
        <f aca="false">IF(AND($P768&gt;0,$O768&gt;0),$P768,0)</f>
        <v>0</v>
      </c>
      <c r="R768" s="64" t="n">
        <f aca="false">IF(AND($Q768&gt;0,$O768&gt;=AtRank),$Q768,0)</f>
        <v>0</v>
      </c>
      <c r="S768" s="64" t="n">
        <f aca="false">IF(AND($Q768&gt;0,$O768&gt;=AboveRank),$Q768,0)</f>
        <v>0</v>
      </c>
      <c r="T768" s="64" t="n">
        <f aca="false">IF($K768="Less",$P768,0)</f>
        <v>0</v>
      </c>
      <c r="U768" s="64" t="n">
        <f aca="false">IF($K768="Expected",$P768,0)</f>
        <v>0</v>
      </c>
      <c r="V768" s="64" t="n">
        <f aca="false">IF($K768="Better",$P768,0)</f>
        <v>0</v>
      </c>
      <c r="W768" s="64" t="n">
        <f aca="false">IF($K768="U – needs rule",$P768,0)</f>
        <v>0</v>
      </c>
      <c r="X768" s="64" t="n">
        <f aca="false">IF($K768="No Start (attainment only)",$P768,0)</f>
        <v>0</v>
      </c>
    </row>
    <row r="769" customFormat="false" ht="15" hidden="false" customHeight="false" outlineLevel="0" collapsed="false">
      <c r="A769" s="60"/>
      <c r="B769" s="61" t="str">
        <f aca="false">IF($M769=0,"",INDEX(Classes!$E$6:$E$420,$M769))</f>
        <v/>
      </c>
      <c r="C769" s="62" t="str">
        <f aca="false">IF($M769=0,"",INDEX(Classes!$H$6:$H$420,$M769))</f>
        <v/>
      </c>
      <c r="D769" s="61" t="str">
        <f aca="false">IF($M769=0,"",INDEX(Classes!$B$6:$B$420,$M769))</f>
        <v/>
      </c>
      <c r="E769" s="61" t="str">
        <f aca="false">IF($M769=0,"",INDEX(Classes!$C$6:$C$420,$M769))</f>
        <v/>
      </c>
      <c r="F769" s="63"/>
      <c r="G769" s="63"/>
      <c r="H769" s="60"/>
      <c r="I769" s="60"/>
      <c r="J769" s="63"/>
      <c r="K769" s="61" t="str">
        <f aca="false">IF($P769=0,"",IF($F769="Baseline","— Baseline",IF($O769=0,"No result",IF($N769=0,"No Start (attainment only)",IF(OR($N769=1,$O769=1),"U – needs rule",INDEX(MxBody,MATCH($I769,MxCurr,0),MATCH($H769,MxStart,0)))))))</f>
        <v/>
      </c>
      <c r="L769" s="62" t="str">
        <f aca="false">IF(COUNTA($A769,$F769,$G769,$H769,$I769,$J769)=0,"",IF($M769=0,"✖ كود الصف غير موجود",IF(ISNA(MATCH($F769,Lists!$A$2:$A$5,0)),"✖ الفترة غير صحيحة",IF(ISNA(MATCH($G769,Lists!$B$2:$B$7,0)),"✖ المجموعة غير صحيحة",IF(NOT(OR($H769="",$N769&gt;0)),"✖ Start غير صحيح",IF(NOT(OR($I769="",$I769="NR",$O769&gt;0)),"✖ Current غير صحيح",IF(NOT(IF(ISNUMBER($J769),AND($J769&gt;=0,$J769=INT($J769)),FALSE())),"✖ العدد يجب أن يكون صحيحًا ≥ 0",IF(AND($F769="Baseline",$H769&lt;&gt;""),"⚠ Baseline: Start لا يدخل في التقدم",IF($K769="No Start (attainment only)","ℹ تحصيل فقط (بدون Start)",IF($K769="U – needs rule","ℹ حالة U تحتاج قاعدة معتمدة",IF($K769="No result","ℹ بدون نتيجة (يُستبعد من التحصيل)","OK")))))))))))</f>
        <v/>
      </c>
      <c r="M769" s="64" t="n">
        <f aca="false">IF($A769="",0,IFERROR(MATCH($A769,Classes!$A$6:$A$420,0),0))</f>
        <v>0</v>
      </c>
      <c r="N769" s="64" t="n">
        <f aca="false">IF($H769="",0,IFERROR(MATCH($H769,GradeList,0),0))</f>
        <v>0</v>
      </c>
      <c r="O769" s="64" t="n">
        <f aca="false">IF(OR($I769="",$I769="NR"),0,IFERROR(MATCH($I769,GradeList,0),0))</f>
        <v>0</v>
      </c>
      <c r="P769" s="64" t="n">
        <f aca="false">IF(AND($M769&gt;0,ISNUMBER(MATCH($F769,Lists!$A$2:$A$5,0)),ISNUMBER(MATCH($G769,Lists!$B$2:$B$7,0)),OR($H769="",$N769&gt;0),OR($I769="",$I769="NR",$O769&gt;0),IF(ISNUMBER($J769),AND($J769&gt;=0,$J769=INT($J769)),FALSE())),$J769,0)</f>
        <v>0</v>
      </c>
      <c r="Q769" s="64" t="n">
        <f aca="false">IF(AND($P769&gt;0,$O769&gt;0),$P769,0)</f>
        <v>0</v>
      </c>
      <c r="R769" s="64" t="n">
        <f aca="false">IF(AND($Q769&gt;0,$O769&gt;=AtRank),$Q769,0)</f>
        <v>0</v>
      </c>
      <c r="S769" s="64" t="n">
        <f aca="false">IF(AND($Q769&gt;0,$O769&gt;=AboveRank),$Q769,0)</f>
        <v>0</v>
      </c>
      <c r="T769" s="64" t="n">
        <f aca="false">IF($K769="Less",$P769,0)</f>
        <v>0</v>
      </c>
      <c r="U769" s="64" t="n">
        <f aca="false">IF($K769="Expected",$P769,0)</f>
        <v>0</v>
      </c>
      <c r="V769" s="64" t="n">
        <f aca="false">IF($K769="Better",$P769,0)</f>
        <v>0</v>
      </c>
      <c r="W769" s="64" t="n">
        <f aca="false">IF($K769="U – needs rule",$P769,0)</f>
        <v>0</v>
      </c>
      <c r="X769" s="64" t="n">
        <f aca="false">IF($K769="No Start (attainment only)",$P769,0)</f>
        <v>0</v>
      </c>
    </row>
    <row r="770" customFormat="false" ht="15" hidden="false" customHeight="false" outlineLevel="0" collapsed="false">
      <c r="A770" s="60"/>
      <c r="B770" s="61" t="str">
        <f aca="false">IF($M770=0,"",INDEX(Classes!$E$6:$E$420,$M770))</f>
        <v/>
      </c>
      <c r="C770" s="62" t="str">
        <f aca="false">IF($M770=0,"",INDEX(Classes!$H$6:$H$420,$M770))</f>
        <v/>
      </c>
      <c r="D770" s="61" t="str">
        <f aca="false">IF($M770=0,"",INDEX(Classes!$B$6:$B$420,$M770))</f>
        <v/>
      </c>
      <c r="E770" s="61" t="str">
        <f aca="false">IF($M770=0,"",INDEX(Classes!$C$6:$C$420,$M770))</f>
        <v/>
      </c>
      <c r="F770" s="63"/>
      <c r="G770" s="63"/>
      <c r="H770" s="60"/>
      <c r="I770" s="60"/>
      <c r="J770" s="63"/>
      <c r="K770" s="61" t="str">
        <f aca="false">IF($P770=0,"",IF($F770="Baseline","— Baseline",IF($O770=0,"No result",IF($N770=0,"No Start (attainment only)",IF(OR($N770=1,$O770=1),"U – needs rule",INDEX(MxBody,MATCH($I770,MxCurr,0),MATCH($H770,MxStart,0)))))))</f>
        <v/>
      </c>
      <c r="L770" s="62" t="str">
        <f aca="false">IF(COUNTA($A770,$F770,$G770,$H770,$I770,$J770)=0,"",IF($M770=0,"✖ كود الصف غير موجود",IF(ISNA(MATCH($F770,Lists!$A$2:$A$5,0)),"✖ الفترة غير صحيحة",IF(ISNA(MATCH($G770,Lists!$B$2:$B$7,0)),"✖ المجموعة غير صحيحة",IF(NOT(OR($H770="",$N770&gt;0)),"✖ Start غير صحيح",IF(NOT(OR($I770="",$I770="NR",$O770&gt;0)),"✖ Current غير صحيح",IF(NOT(IF(ISNUMBER($J770),AND($J770&gt;=0,$J770=INT($J770)),FALSE())),"✖ العدد يجب أن يكون صحيحًا ≥ 0",IF(AND($F770="Baseline",$H770&lt;&gt;""),"⚠ Baseline: Start لا يدخل في التقدم",IF($K770="No Start (attainment only)","ℹ تحصيل فقط (بدون Start)",IF($K770="U – needs rule","ℹ حالة U تحتاج قاعدة معتمدة",IF($K770="No result","ℹ بدون نتيجة (يُستبعد من التحصيل)","OK")))))))))))</f>
        <v/>
      </c>
      <c r="M770" s="64" t="n">
        <f aca="false">IF($A770="",0,IFERROR(MATCH($A770,Classes!$A$6:$A$420,0),0))</f>
        <v>0</v>
      </c>
      <c r="N770" s="64" t="n">
        <f aca="false">IF($H770="",0,IFERROR(MATCH($H770,GradeList,0),0))</f>
        <v>0</v>
      </c>
      <c r="O770" s="64" t="n">
        <f aca="false">IF(OR($I770="",$I770="NR"),0,IFERROR(MATCH($I770,GradeList,0),0))</f>
        <v>0</v>
      </c>
      <c r="P770" s="64" t="n">
        <f aca="false">IF(AND($M770&gt;0,ISNUMBER(MATCH($F770,Lists!$A$2:$A$5,0)),ISNUMBER(MATCH($G770,Lists!$B$2:$B$7,0)),OR($H770="",$N770&gt;0),OR($I770="",$I770="NR",$O770&gt;0),IF(ISNUMBER($J770),AND($J770&gt;=0,$J770=INT($J770)),FALSE())),$J770,0)</f>
        <v>0</v>
      </c>
      <c r="Q770" s="64" t="n">
        <f aca="false">IF(AND($P770&gt;0,$O770&gt;0),$P770,0)</f>
        <v>0</v>
      </c>
      <c r="R770" s="64" t="n">
        <f aca="false">IF(AND($Q770&gt;0,$O770&gt;=AtRank),$Q770,0)</f>
        <v>0</v>
      </c>
      <c r="S770" s="64" t="n">
        <f aca="false">IF(AND($Q770&gt;0,$O770&gt;=AboveRank),$Q770,0)</f>
        <v>0</v>
      </c>
      <c r="T770" s="64" t="n">
        <f aca="false">IF($K770="Less",$P770,0)</f>
        <v>0</v>
      </c>
      <c r="U770" s="64" t="n">
        <f aca="false">IF($K770="Expected",$P770,0)</f>
        <v>0</v>
      </c>
      <c r="V770" s="64" t="n">
        <f aca="false">IF($K770="Better",$P770,0)</f>
        <v>0</v>
      </c>
      <c r="W770" s="64" t="n">
        <f aca="false">IF($K770="U – needs rule",$P770,0)</f>
        <v>0</v>
      </c>
      <c r="X770" s="64" t="n">
        <f aca="false">IF($K770="No Start (attainment only)",$P770,0)</f>
        <v>0</v>
      </c>
    </row>
    <row r="771" customFormat="false" ht="15" hidden="false" customHeight="false" outlineLevel="0" collapsed="false">
      <c r="A771" s="60"/>
      <c r="B771" s="61" t="str">
        <f aca="false">IF($M771=0,"",INDEX(Classes!$E$6:$E$420,$M771))</f>
        <v/>
      </c>
      <c r="C771" s="62" t="str">
        <f aca="false">IF($M771=0,"",INDEX(Classes!$H$6:$H$420,$M771))</f>
        <v/>
      </c>
      <c r="D771" s="61" t="str">
        <f aca="false">IF($M771=0,"",INDEX(Classes!$B$6:$B$420,$M771))</f>
        <v/>
      </c>
      <c r="E771" s="61" t="str">
        <f aca="false">IF($M771=0,"",INDEX(Classes!$C$6:$C$420,$M771))</f>
        <v/>
      </c>
      <c r="F771" s="63"/>
      <c r="G771" s="63"/>
      <c r="H771" s="60"/>
      <c r="I771" s="60"/>
      <c r="J771" s="63"/>
      <c r="K771" s="61" t="str">
        <f aca="false">IF($P771=0,"",IF($F771="Baseline","— Baseline",IF($O771=0,"No result",IF($N771=0,"No Start (attainment only)",IF(OR($N771=1,$O771=1),"U – needs rule",INDEX(MxBody,MATCH($I771,MxCurr,0),MATCH($H771,MxStart,0)))))))</f>
        <v/>
      </c>
      <c r="L771" s="62" t="str">
        <f aca="false">IF(COUNTA($A771,$F771,$G771,$H771,$I771,$J771)=0,"",IF($M771=0,"✖ كود الصف غير موجود",IF(ISNA(MATCH($F771,Lists!$A$2:$A$5,0)),"✖ الفترة غير صحيحة",IF(ISNA(MATCH($G771,Lists!$B$2:$B$7,0)),"✖ المجموعة غير صحيحة",IF(NOT(OR($H771="",$N771&gt;0)),"✖ Start غير صحيح",IF(NOT(OR($I771="",$I771="NR",$O771&gt;0)),"✖ Current غير صحيح",IF(NOT(IF(ISNUMBER($J771),AND($J771&gt;=0,$J771=INT($J771)),FALSE())),"✖ العدد يجب أن يكون صحيحًا ≥ 0",IF(AND($F771="Baseline",$H771&lt;&gt;""),"⚠ Baseline: Start لا يدخل في التقدم",IF($K771="No Start (attainment only)","ℹ تحصيل فقط (بدون Start)",IF($K771="U – needs rule","ℹ حالة U تحتاج قاعدة معتمدة",IF($K771="No result","ℹ بدون نتيجة (يُستبعد من التحصيل)","OK")))))))))))</f>
        <v/>
      </c>
      <c r="M771" s="64" t="n">
        <f aca="false">IF($A771="",0,IFERROR(MATCH($A771,Classes!$A$6:$A$420,0),0))</f>
        <v>0</v>
      </c>
      <c r="N771" s="64" t="n">
        <f aca="false">IF($H771="",0,IFERROR(MATCH($H771,GradeList,0),0))</f>
        <v>0</v>
      </c>
      <c r="O771" s="64" t="n">
        <f aca="false">IF(OR($I771="",$I771="NR"),0,IFERROR(MATCH($I771,GradeList,0),0))</f>
        <v>0</v>
      </c>
      <c r="P771" s="64" t="n">
        <f aca="false">IF(AND($M771&gt;0,ISNUMBER(MATCH($F771,Lists!$A$2:$A$5,0)),ISNUMBER(MATCH($G771,Lists!$B$2:$B$7,0)),OR($H771="",$N771&gt;0),OR($I771="",$I771="NR",$O771&gt;0),IF(ISNUMBER($J771),AND($J771&gt;=0,$J771=INT($J771)),FALSE())),$J771,0)</f>
        <v>0</v>
      </c>
      <c r="Q771" s="64" t="n">
        <f aca="false">IF(AND($P771&gt;0,$O771&gt;0),$P771,0)</f>
        <v>0</v>
      </c>
      <c r="R771" s="64" t="n">
        <f aca="false">IF(AND($Q771&gt;0,$O771&gt;=AtRank),$Q771,0)</f>
        <v>0</v>
      </c>
      <c r="S771" s="64" t="n">
        <f aca="false">IF(AND($Q771&gt;0,$O771&gt;=AboveRank),$Q771,0)</f>
        <v>0</v>
      </c>
      <c r="T771" s="64" t="n">
        <f aca="false">IF($K771="Less",$P771,0)</f>
        <v>0</v>
      </c>
      <c r="U771" s="64" t="n">
        <f aca="false">IF($K771="Expected",$P771,0)</f>
        <v>0</v>
      </c>
      <c r="V771" s="64" t="n">
        <f aca="false">IF($K771="Better",$P771,0)</f>
        <v>0</v>
      </c>
      <c r="W771" s="64" t="n">
        <f aca="false">IF($K771="U – needs rule",$P771,0)</f>
        <v>0</v>
      </c>
      <c r="X771" s="64" t="n">
        <f aca="false">IF($K771="No Start (attainment only)",$P771,0)</f>
        <v>0</v>
      </c>
    </row>
    <row r="772" customFormat="false" ht="15" hidden="false" customHeight="false" outlineLevel="0" collapsed="false">
      <c r="A772" s="60"/>
      <c r="B772" s="61" t="str">
        <f aca="false">IF($M772=0,"",INDEX(Classes!$E$6:$E$420,$M772))</f>
        <v/>
      </c>
      <c r="C772" s="62" t="str">
        <f aca="false">IF($M772=0,"",INDEX(Classes!$H$6:$H$420,$M772))</f>
        <v/>
      </c>
      <c r="D772" s="61" t="str">
        <f aca="false">IF($M772=0,"",INDEX(Classes!$B$6:$B$420,$M772))</f>
        <v/>
      </c>
      <c r="E772" s="61" t="str">
        <f aca="false">IF($M772=0,"",INDEX(Classes!$C$6:$C$420,$M772))</f>
        <v/>
      </c>
      <c r="F772" s="63"/>
      <c r="G772" s="63"/>
      <c r="H772" s="60"/>
      <c r="I772" s="60"/>
      <c r="J772" s="63"/>
      <c r="K772" s="61" t="str">
        <f aca="false">IF($P772=0,"",IF($F772="Baseline","— Baseline",IF($O772=0,"No result",IF($N772=0,"No Start (attainment only)",IF(OR($N772=1,$O772=1),"U – needs rule",INDEX(MxBody,MATCH($I772,MxCurr,0),MATCH($H772,MxStart,0)))))))</f>
        <v/>
      </c>
      <c r="L772" s="62" t="str">
        <f aca="false">IF(COUNTA($A772,$F772,$G772,$H772,$I772,$J772)=0,"",IF($M772=0,"✖ كود الصف غير موجود",IF(ISNA(MATCH($F772,Lists!$A$2:$A$5,0)),"✖ الفترة غير صحيحة",IF(ISNA(MATCH($G772,Lists!$B$2:$B$7,0)),"✖ المجموعة غير صحيحة",IF(NOT(OR($H772="",$N772&gt;0)),"✖ Start غير صحيح",IF(NOT(OR($I772="",$I772="NR",$O772&gt;0)),"✖ Current غير صحيح",IF(NOT(IF(ISNUMBER($J772),AND($J772&gt;=0,$J772=INT($J772)),FALSE())),"✖ العدد يجب أن يكون صحيحًا ≥ 0",IF(AND($F772="Baseline",$H772&lt;&gt;""),"⚠ Baseline: Start لا يدخل في التقدم",IF($K772="No Start (attainment only)","ℹ تحصيل فقط (بدون Start)",IF($K772="U – needs rule","ℹ حالة U تحتاج قاعدة معتمدة",IF($K772="No result","ℹ بدون نتيجة (يُستبعد من التحصيل)","OK")))))))))))</f>
        <v/>
      </c>
      <c r="M772" s="64" t="n">
        <f aca="false">IF($A772="",0,IFERROR(MATCH($A772,Classes!$A$6:$A$420,0),0))</f>
        <v>0</v>
      </c>
      <c r="N772" s="64" t="n">
        <f aca="false">IF($H772="",0,IFERROR(MATCH($H772,GradeList,0),0))</f>
        <v>0</v>
      </c>
      <c r="O772" s="64" t="n">
        <f aca="false">IF(OR($I772="",$I772="NR"),0,IFERROR(MATCH($I772,GradeList,0),0))</f>
        <v>0</v>
      </c>
      <c r="P772" s="64" t="n">
        <f aca="false">IF(AND($M772&gt;0,ISNUMBER(MATCH($F772,Lists!$A$2:$A$5,0)),ISNUMBER(MATCH($G772,Lists!$B$2:$B$7,0)),OR($H772="",$N772&gt;0),OR($I772="",$I772="NR",$O772&gt;0),IF(ISNUMBER($J772),AND($J772&gt;=0,$J772=INT($J772)),FALSE())),$J772,0)</f>
        <v>0</v>
      </c>
      <c r="Q772" s="64" t="n">
        <f aca="false">IF(AND($P772&gt;0,$O772&gt;0),$P772,0)</f>
        <v>0</v>
      </c>
      <c r="R772" s="64" t="n">
        <f aca="false">IF(AND($Q772&gt;0,$O772&gt;=AtRank),$Q772,0)</f>
        <v>0</v>
      </c>
      <c r="S772" s="64" t="n">
        <f aca="false">IF(AND($Q772&gt;0,$O772&gt;=AboveRank),$Q772,0)</f>
        <v>0</v>
      </c>
      <c r="T772" s="64" t="n">
        <f aca="false">IF($K772="Less",$P772,0)</f>
        <v>0</v>
      </c>
      <c r="U772" s="64" t="n">
        <f aca="false">IF($K772="Expected",$P772,0)</f>
        <v>0</v>
      </c>
      <c r="V772" s="64" t="n">
        <f aca="false">IF($K772="Better",$P772,0)</f>
        <v>0</v>
      </c>
      <c r="W772" s="64" t="n">
        <f aca="false">IF($K772="U – needs rule",$P772,0)</f>
        <v>0</v>
      </c>
      <c r="X772" s="64" t="n">
        <f aca="false">IF($K772="No Start (attainment only)",$P772,0)</f>
        <v>0</v>
      </c>
    </row>
    <row r="773" customFormat="false" ht="15" hidden="false" customHeight="false" outlineLevel="0" collapsed="false">
      <c r="A773" s="60"/>
      <c r="B773" s="61" t="str">
        <f aca="false">IF($M773=0,"",INDEX(Classes!$E$6:$E$420,$M773))</f>
        <v/>
      </c>
      <c r="C773" s="62" t="str">
        <f aca="false">IF($M773=0,"",INDEX(Classes!$H$6:$H$420,$M773))</f>
        <v/>
      </c>
      <c r="D773" s="61" t="str">
        <f aca="false">IF($M773=0,"",INDEX(Classes!$B$6:$B$420,$M773))</f>
        <v/>
      </c>
      <c r="E773" s="61" t="str">
        <f aca="false">IF($M773=0,"",INDEX(Classes!$C$6:$C$420,$M773))</f>
        <v/>
      </c>
      <c r="F773" s="63"/>
      <c r="G773" s="63"/>
      <c r="H773" s="60"/>
      <c r="I773" s="60"/>
      <c r="J773" s="63"/>
      <c r="K773" s="61" t="str">
        <f aca="false">IF($P773=0,"",IF($F773="Baseline","— Baseline",IF($O773=0,"No result",IF($N773=0,"No Start (attainment only)",IF(OR($N773=1,$O773=1),"U – needs rule",INDEX(MxBody,MATCH($I773,MxCurr,0),MATCH($H773,MxStart,0)))))))</f>
        <v/>
      </c>
      <c r="L773" s="62" t="str">
        <f aca="false">IF(COUNTA($A773,$F773,$G773,$H773,$I773,$J773)=0,"",IF($M773=0,"✖ كود الصف غير موجود",IF(ISNA(MATCH($F773,Lists!$A$2:$A$5,0)),"✖ الفترة غير صحيحة",IF(ISNA(MATCH($G773,Lists!$B$2:$B$7,0)),"✖ المجموعة غير صحيحة",IF(NOT(OR($H773="",$N773&gt;0)),"✖ Start غير صحيح",IF(NOT(OR($I773="",$I773="NR",$O773&gt;0)),"✖ Current غير صحيح",IF(NOT(IF(ISNUMBER($J773),AND($J773&gt;=0,$J773=INT($J773)),FALSE())),"✖ العدد يجب أن يكون صحيحًا ≥ 0",IF(AND($F773="Baseline",$H773&lt;&gt;""),"⚠ Baseline: Start لا يدخل في التقدم",IF($K773="No Start (attainment only)","ℹ تحصيل فقط (بدون Start)",IF($K773="U – needs rule","ℹ حالة U تحتاج قاعدة معتمدة",IF($K773="No result","ℹ بدون نتيجة (يُستبعد من التحصيل)","OK")))))))))))</f>
        <v/>
      </c>
      <c r="M773" s="64" t="n">
        <f aca="false">IF($A773="",0,IFERROR(MATCH($A773,Classes!$A$6:$A$420,0),0))</f>
        <v>0</v>
      </c>
      <c r="N773" s="64" t="n">
        <f aca="false">IF($H773="",0,IFERROR(MATCH($H773,GradeList,0),0))</f>
        <v>0</v>
      </c>
      <c r="O773" s="64" t="n">
        <f aca="false">IF(OR($I773="",$I773="NR"),0,IFERROR(MATCH($I773,GradeList,0),0))</f>
        <v>0</v>
      </c>
      <c r="P773" s="64" t="n">
        <f aca="false">IF(AND($M773&gt;0,ISNUMBER(MATCH($F773,Lists!$A$2:$A$5,0)),ISNUMBER(MATCH($G773,Lists!$B$2:$B$7,0)),OR($H773="",$N773&gt;0),OR($I773="",$I773="NR",$O773&gt;0),IF(ISNUMBER($J773),AND($J773&gt;=0,$J773=INT($J773)),FALSE())),$J773,0)</f>
        <v>0</v>
      </c>
      <c r="Q773" s="64" t="n">
        <f aca="false">IF(AND($P773&gt;0,$O773&gt;0),$P773,0)</f>
        <v>0</v>
      </c>
      <c r="R773" s="64" t="n">
        <f aca="false">IF(AND($Q773&gt;0,$O773&gt;=AtRank),$Q773,0)</f>
        <v>0</v>
      </c>
      <c r="S773" s="64" t="n">
        <f aca="false">IF(AND($Q773&gt;0,$O773&gt;=AboveRank),$Q773,0)</f>
        <v>0</v>
      </c>
      <c r="T773" s="64" t="n">
        <f aca="false">IF($K773="Less",$P773,0)</f>
        <v>0</v>
      </c>
      <c r="U773" s="64" t="n">
        <f aca="false">IF($K773="Expected",$P773,0)</f>
        <v>0</v>
      </c>
      <c r="V773" s="64" t="n">
        <f aca="false">IF($K773="Better",$P773,0)</f>
        <v>0</v>
      </c>
      <c r="W773" s="64" t="n">
        <f aca="false">IF($K773="U – needs rule",$P773,0)</f>
        <v>0</v>
      </c>
      <c r="X773" s="64" t="n">
        <f aca="false">IF($K773="No Start (attainment only)",$P773,0)</f>
        <v>0</v>
      </c>
    </row>
    <row r="774" customFormat="false" ht="15" hidden="false" customHeight="false" outlineLevel="0" collapsed="false">
      <c r="A774" s="60"/>
      <c r="B774" s="61" t="str">
        <f aca="false">IF($M774=0,"",INDEX(Classes!$E$6:$E$420,$M774))</f>
        <v/>
      </c>
      <c r="C774" s="62" t="str">
        <f aca="false">IF($M774=0,"",INDEX(Classes!$H$6:$H$420,$M774))</f>
        <v/>
      </c>
      <c r="D774" s="61" t="str">
        <f aca="false">IF($M774=0,"",INDEX(Classes!$B$6:$B$420,$M774))</f>
        <v/>
      </c>
      <c r="E774" s="61" t="str">
        <f aca="false">IF($M774=0,"",INDEX(Classes!$C$6:$C$420,$M774))</f>
        <v/>
      </c>
      <c r="F774" s="63"/>
      <c r="G774" s="63"/>
      <c r="H774" s="60"/>
      <c r="I774" s="60"/>
      <c r="J774" s="63"/>
      <c r="K774" s="61" t="str">
        <f aca="false">IF($P774=0,"",IF($F774="Baseline","— Baseline",IF($O774=0,"No result",IF($N774=0,"No Start (attainment only)",IF(OR($N774=1,$O774=1),"U – needs rule",INDEX(MxBody,MATCH($I774,MxCurr,0),MATCH($H774,MxStart,0)))))))</f>
        <v/>
      </c>
      <c r="L774" s="62" t="str">
        <f aca="false">IF(COUNTA($A774,$F774,$G774,$H774,$I774,$J774)=0,"",IF($M774=0,"✖ كود الصف غير موجود",IF(ISNA(MATCH($F774,Lists!$A$2:$A$5,0)),"✖ الفترة غير صحيحة",IF(ISNA(MATCH($G774,Lists!$B$2:$B$7,0)),"✖ المجموعة غير صحيحة",IF(NOT(OR($H774="",$N774&gt;0)),"✖ Start غير صحيح",IF(NOT(OR($I774="",$I774="NR",$O774&gt;0)),"✖ Current غير صحيح",IF(NOT(IF(ISNUMBER($J774),AND($J774&gt;=0,$J774=INT($J774)),FALSE())),"✖ العدد يجب أن يكون صحيحًا ≥ 0",IF(AND($F774="Baseline",$H774&lt;&gt;""),"⚠ Baseline: Start لا يدخل في التقدم",IF($K774="No Start (attainment only)","ℹ تحصيل فقط (بدون Start)",IF($K774="U – needs rule","ℹ حالة U تحتاج قاعدة معتمدة",IF($K774="No result","ℹ بدون نتيجة (يُستبعد من التحصيل)","OK")))))))))))</f>
        <v/>
      </c>
      <c r="M774" s="64" t="n">
        <f aca="false">IF($A774="",0,IFERROR(MATCH($A774,Classes!$A$6:$A$420,0),0))</f>
        <v>0</v>
      </c>
      <c r="N774" s="64" t="n">
        <f aca="false">IF($H774="",0,IFERROR(MATCH($H774,GradeList,0),0))</f>
        <v>0</v>
      </c>
      <c r="O774" s="64" t="n">
        <f aca="false">IF(OR($I774="",$I774="NR"),0,IFERROR(MATCH($I774,GradeList,0),0))</f>
        <v>0</v>
      </c>
      <c r="P774" s="64" t="n">
        <f aca="false">IF(AND($M774&gt;0,ISNUMBER(MATCH($F774,Lists!$A$2:$A$5,0)),ISNUMBER(MATCH($G774,Lists!$B$2:$B$7,0)),OR($H774="",$N774&gt;0),OR($I774="",$I774="NR",$O774&gt;0),IF(ISNUMBER($J774),AND($J774&gt;=0,$J774=INT($J774)),FALSE())),$J774,0)</f>
        <v>0</v>
      </c>
      <c r="Q774" s="64" t="n">
        <f aca="false">IF(AND($P774&gt;0,$O774&gt;0),$P774,0)</f>
        <v>0</v>
      </c>
      <c r="R774" s="64" t="n">
        <f aca="false">IF(AND($Q774&gt;0,$O774&gt;=AtRank),$Q774,0)</f>
        <v>0</v>
      </c>
      <c r="S774" s="64" t="n">
        <f aca="false">IF(AND($Q774&gt;0,$O774&gt;=AboveRank),$Q774,0)</f>
        <v>0</v>
      </c>
      <c r="T774" s="64" t="n">
        <f aca="false">IF($K774="Less",$P774,0)</f>
        <v>0</v>
      </c>
      <c r="U774" s="64" t="n">
        <f aca="false">IF($K774="Expected",$P774,0)</f>
        <v>0</v>
      </c>
      <c r="V774" s="64" t="n">
        <f aca="false">IF($K774="Better",$P774,0)</f>
        <v>0</v>
      </c>
      <c r="W774" s="64" t="n">
        <f aca="false">IF($K774="U – needs rule",$P774,0)</f>
        <v>0</v>
      </c>
      <c r="X774" s="64" t="n">
        <f aca="false">IF($K774="No Start (attainment only)",$P774,0)</f>
        <v>0</v>
      </c>
    </row>
    <row r="775" customFormat="false" ht="15" hidden="false" customHeight="false" outlineLevel="0" collapsed="false">
      <c r="A775" s="60"/>
      <c r="B775" s="61" t="str">
        <f aca="false">IF($M775=0,"",INDEX(Classes!$E$6:$E$420,$M775))</f>
        <v/>
      </c>
      <c r="C775" s="62" t="str">
        <f aca="false">IF($M775=0,"",INDEX(Classes!$H$6:$H$420,$M775))</f>
        <v/>
      </c>
      <c r="D775" s="61" t="str">
        <f aca="false">IF($M775=0,"",INDEX(Classes!$B$6:$B$420,$M775))</f>
        <v/>
      </c>
      <c r="E775" s="61" t="str">
        <f aca="false">IF($M775=0,"",INDEX(Classes!$C$6:$C$420,$M775))</f>
        <v/>
      </c>
      <c r="F775" s="63"/>
      <c r="G775" s="63"/>
      <c r="H775" s="60"/>
      <c r="I775" s="60"/>
      <c r="J775" s="63"/>
      <c r="K775" s="61" t="str">
        <f aca="false">IF($P775=0,"",IF($F775="Baseline","— Baseline",IF($O775=0,"No result",IF($N775=0,"No Start (attainment only)",IF(OR($N775=1,$O775=1),"U – needs rule",INDEX(MxBody,MATCH($I775,MxCurr,0),MATCH($H775,MxStart,0)))))))</f>
        <v/>
      </c>
      <c r="L775" s="62" t="str">
        <f aca="false">IF(COUNTA($A775,$F775,$G775,$H775,$I775,$J775)=0,"",IF($M775=0,"✖ كود الصف غير موجود",IF(ISNA(MATCH($F775,Lists!$A$2:$A$5,0)),"✖ الفترة غير صحيحة",IF(ISNA(MATCH($G775,Lists!$B$2:$B$7,0)),"✖ المجموعة غير صحيحة",IF(NOT(OR($H775="",$N775&gt;0)),"✖ Start غير صحيح",IF(NOT(OR($I775="",$I775="NR",$O775&gt;0)),"✖ Current غير صحيح",IF(NOT(IF(ISNUMBER($J775),AND($J775&gt;=0,$J775=INT($J775)),FALSE())),"✖ العدد يجب أن يكون صحيحًا ≥ 0",IF(AND($F775="Baseline",$H775&lt;&gt;""),"⚠ Baseline: Start لا يدخل في التقدم",IF($K775="No Start (attainment only)","ℹ تحصيل فقط (بدون Start)",IF($K775="U – needs rule","ℹ حالة U تحتاج قاعدة معتمدة",IF($K775="No result","ℹ بدون نتيجة (يُستبعد من التحصيل)","OK")))))))))))</f>
        <v/>
      </c>
      <c r="M775" s="64" t="n">
        <f aca="false">IF($A775="",0,IFERROR(MATCH($A775,Classes!$A$6:$A$420,0),0))</f>
        <v>0</v>
      </c>
      <c r="N775" s="64" t="n">
        <f aca="false">IF($H775="",0,IFERROR(MATCH($H775,GradeList,0),0))</f>
        <v>0</v>
      </c>
      <c r="O775" s="64" t="n">
        <f aca="false">IF(OR($I775="",$I775="NR"),0,IFERROR(MATCH($I775,GradeList,0),0))</f>
        <v>0</v>
      </c>
      <c r="P775" s="64" t="n">
        <f aca="false">IF(AND($M775&gt;0,ISNUMBER(MATCH($F775,Lists!$A$2:$A$5,0)),ISNUMBER(MATCH($G775,Lists!$B$2:$B$7,0)),OR($H775="",$N775&gt;0),OR($I775="",$I775="NR",$O775&gt;0),IF(ISNUMBER($J775),AND($J775&gt;=0,$J775=INT($J775)),FALSE())),$J775,0)</f>
        <v>0</v>
      </c>
      <c r="Q775" s="64" t="n">
        <f aca="false">IF(AND($P775&gt;0,$O775&gt;0),$P775,0)</f>
        <v>0</v>
      </c>
      <c r="R775" s="64" t="n">
        <f aca="false">IF(AND($Q775&gt;0,$O775&gt;=AtRank),$Q775,0)</f>
        <v>0</v>
      </c>
      <c r="S775" s="64" t="n">
        <f aca="false">IF(AND($Q775&gt;0,$O775&gt;=AboveRank),$Q775,0)</f>
        <v>0</v>
      </c>
      <c r="T775" s="64" t="n">
        <f aca="false">IF($K775="Less",$P775,0)</f>
        <v>0</v>
      </c>
      <c r="U775" s="64" t="n">
        <f aca="false">IF($K775="Expected",$P775,0)</f>
        <v>0</v>
      </c>
      <c r="V775" s="64" t="n">
        <f aca="false">IF($K775="Better",$P775,0)</f>
        <v>0</v>
      </c>
      <c r="W775" s="64" t="n">
        <f aca="false">IF($K775="U – needs rule",$P775,0)</f>
        <v>0</v>
      </c>
      <c r="X775" s="64" t="n">
        <f aca="false">IF($K775="No Start (attainment only)",$P775,0)</f>
        <v>0</v>
      </c>
    </row>
    <row r="776" customFormat="false" ht="15" hidden="false" customHeight="false" outlineLevel="0" collapsed="false">
      <c r="A776" s="60"/>
      <c r="B776" s="61" t="str">
        <f aca="false">IF($M776=0,"",INDEX(Classes!$E$6:$E$420,$M776))</f>
        <v/>
      </c>
      <c r="C776" s="62" t="str">
        <f aca="false">IF($M776=0,"",INDEX(Classes!$H$6:$H$420,$M776))</f>
        <v/>
      </c>
      <c r="D776" s="61" t="str">
        <f aca="false">IF($M776=0,"",INDEX(Classes!$B$6:$B$420,$M776))</f>
        <v/>
      </c>
      <c r="E776" s="61" t="str">
        <f aca="false">IF($M776=0,"",INDEX(Classes!$C$6:$C$420,$M776))</f>
        <v/>
      </c>
      <c r="F776" s="63"/>
      <c r="G776" s="63"/>
      <c r="H776" s="60"/>
      <c r="I776" s="60"/>
      <c r="J776" s="63"/>
      <c r="K776" s="61" t="str">
        <f aca="false">IF($P776=0,"",IF($F776="Baseline","— Baseline",IF($O776=0,"No result",IF($N776=0,"No Start (attainment only)",IF(OR($N776=1,$O776=1),"U – needs rule",INDEX(MxBody,MATCH($I776,MxCurr,0),MATCH($H776,MxStart,0)))))))</f>
        <v/>
      </c>
      <c r="L776" s="62" t="str">
        <f aca="false">IF(COUNTA($A776,$F776,$G776,$H776,$I776,$J776)=0,"",IF($M776=0,"✖ كود الصف غير موجود",IF(ISNA(MATCH($F776,Lists!$A$2:$A$5,0)),"✖ الفترة غير صحيحة",IF(ISNA(MATCH($G776,Lists!$B$2:$B$7,0)),"✖ المجموعة غير صحيحة",IF(NOT(OR($H776="",$N776&gt;0)),"✖ Start غير صحيح",IF(NOT(OR($I776="",$I776="NR",$O776&gt;0)),"✖ Current غير صحيح",IF(NOT(IF(ISNUMBER($J776),AND($J776&gt;=0,$J776=INT($J776)),FALSE())),"✖ العدد يجب أن يكون صحيحًا ≥ 0",IF(AND($F776="Baseline",$H776&lt;&gt;""),"⚠ Baseline: Start لا يدخل في التقدم",IF($K776="No Start (attainment only)","ℹ تحصيل فقط (بدون Start)",IF($K776="U – needs rule","ℹ حالة U تحتاج قاعدة معتمدة",IF($K776="No result","ℹ بدون نتيجة (يُستبعد من التحصيل)","OK")))))))))))</f>
        <v/>
      </c>
      <c r="M776" s="64" t="n">
        <f aca="false">IF($A776="",0,IFERROR(MATCH($A776,Classes!$A$6:$A$420,0),0))</f>
        <v>0</v>
      </c>
      <c r="N776" s="64" t="n">
        <f aca="false">IF($H776="",0,IFERROR(MATCH($H776,GradeList,0),0))</f>
        <v>0</v>
      </c>
      <c r="O776" s="64" t="n">
        <f aca="false">IF(OR($I776="",$I776="NR"),0,IFERROR(MATCH($I776,GradeList,0),0))</f>
        <v>0</v>
      </c>
      <c r="P776" s="64" t="n">
        <f aca="false">IF(AND($M776&gt;0,ISNUMBER(MATCH($F776,Lists!$A$2:$A$5,0)),ISNUMBER(MATCH($G776,Lists!$B$2:$B$7,0)),OR($H776="",$N776&gt;0),OR($I776="",$I776="NR",$O776&gt;0),IF(ISNUMBER($J776),AND($J776&gt;=0,$J776=INT($J776)),FALSE())),$J776,0)</f>
        <v>0</v>
      </c>
      <c r="Q776" s="64" t="n">
        <f aca="false">IF(AND($P776&gt;0,$O776&gt;0),$P776,0)</f>
        <v>0</v>
      </c>
      <c r="R776" s="64" t="n">
        <f aca="false">IF(AND($Q776&gt;0,$O776&gt;=AtRank),$Q776,0)</f>
        <v>0</v>
      </c>
      <c r="S776" s="64" t="n">
        <f aca="false">IF(AND($Q776&gt;0,$O776&gt;=AboveRank),$Q776,0)</f>
        <v>0</v>
      </c>
      <c r="T776" s="64" t="n">
        <f aca="false">IF($K776="Less",$P776,0)</f>
        <v>0</v>
      </c>
      <c r="U776" s="64" t="n">
        <f aca="false">IF($K776="Expected",$P776,0)</f>
        <v>0</v>
      </c>
      <c r="V776" s="64" t="n">
        <f aca="false">IF($K776="Better",$P776,0)</f>
        <v>0</v>
      </c>
      <c r="W776" s="64" t="n">
        <f aca="false">IF($K776="U – needs rule",$P776,0)</f>
        <v>0</v>
      </c>
      <c r="X776" s="64" t="n">
        <f aca="false">IF($K776="No Start (attainment only)",$P776,0)</f>
        <v>0</v>
      </c>
    </row>
    <row r="777" customFormat="false" ht="15" hidden="false" customHeight="false" outlineLevel="0" collapsed="false">
      <c r="A777" s="60"/>
      <c r="B777" s="61" t="str">
        <f aca="false">IF($M777=0,"",INDEX(Classes!$E$6:$E$420,$M777))</f>
        <v/>
      </c>
      <c r="C777" s="62" t="str">
        <f aca="false">IF($M777=0,"",INDEX(Classes!$H$6:$H$420,$M777))</f>
        <v/>
      </c>
      <c r="D777" s="61" t="str">
        <f aca="false">IF($M777=0,"",INDEX(Classes!$B$6:$B$420,$M777))</f>
        <v/>
      </c>
      <c r="E777" s="61" t="str">
        <f aca="false">IF($M777=0,"",INDEX(Classes!$C$6:$C$420,$M777))</f>
        <v/>
      </c>
      <c r="F777" s="63"/>
      <c r="G777" s="63"/>
      <c r="H777" s="60"/>
      <c r="I777" s="60"/>
      <c r="J777" s="63"/>
      <c r="K777" s="61" t="str">
        <f aca="false">IF($P777=0,"",IF($F777="Baseline","— Baseline",IF($O777=0,"No result",IF($N777=0,"No Start (attainment only)",IF(OR($N777=1,$O777=1),"U – needs rule",INDEX(MxBody,MATCH($I777,MxCurr,0),MATCH($H777,MxStart,0)))))))</f>
        <v/>
      </c>
      <c r="L777" s="62" t="str">
        <f aca="false">IF(COUNTA($A777,$F777,$G777,$H777,$I777,$J777)=0,"",IF($M777=0,"✖ كود الصف غير موجود",IF(ISNA(MATCH($F777,Lists!$A$2:$A$5,0)),"✖ الفترة غير صحيحة",IF(ISNA(MATCH($G777,Lists!$B$2:$B$7,0)),"✖ المجموعة غير صحيحة",IF(NOT(OR($H777="",$N777&gt;0)),"✖ Start غير صحيح",IF(NOT(OR($I777="",$I777="NR",$O777&gt;0)),"✖ Current غير صحيح",IF(NOT(IF(ISNUMBER($J777),AND($J777&gt;=0,$J777=INT($J777)),FALSE())),"✖ العدد يجب أن يكون صحيحًا ≥ 0",IF(AND($F777="Baseline",$H777&lt;&gt;""),"⚠ Baseline: Start لا يدخل في التقدم",IF($K777="No Start (attainment only)","ℹ تحصيل فقط (بدون Start)",IF($K777="U – needs rule","ℹ حالة U تحتاج قاعدة معتمدة",IF($K777="No result","ℹ بدون نتيجة (يُستبعد من التحصيل)","OK")))))))))))</f>
        <v/>
      </c>
      <c r="M777" s="64" t="n">
        <f aca="false">IF($A777="",0,IFERROR(MATCH($A777,Classes!$A$6:$A$420,0),0))</f>
        <v>0</v>
      </c>
      <c r="N777" s="64" t="n">
        <f aca="false">IF($H777="",0,IFERROR(MATCH($H777,GradeList,0),0))</f>
        <v>0</v>
      </c>
      <c r="O777" s="64" t="n">
        <f aca="false">IF(OR($I777="",$I777="NR"),0,IFERROR(MATCH($I777,GradeList,0),0))</f>
        <v>0</v>
      </c>
      <c r="P777" s="64" t="n">
        <f aca="false">IF(AND($M777&gt;0,ISNUMBER(MATCH($F777,Lists!$A$2:$A$5,0)),ISNUMBER(MATCH($G777,Lists!$B$2:$B$7,0)),OR($H777="",$N777&gt;0),OR($I777="",$I777="NR",$O777&gt;0),IF(ISNUMBER($J777),AND($J777&gt;=0,$J777=INT($J777)),FALSE())),$J777,0)</f>
        <v>0</v>
      </c>
      <c r="Q777" s="64" t="n">
        <f aca="false">IF(AND($P777&gt;0,$O777&gt;0),$P777,0)</f>
        <v>0</v>
      </c>
      <c r="R777" s="64" t="n">
        <f aca="false">IF(AND($Q777&gt;0,$O777&gt;=AtRank),$Q777,0)</f>
        <v>0</v>
      </c>
      <c r="S777" s="64" t="n">
        <f aca="false">IF(AND($Q777&gt;0,$O777&gt;=AboveRank),$Q777,0)</f>
        <v>0</v>
      </c>
      <c r="T777" s="64" t="n">
        <f aca="false">IF($K777="Less",$P777,0)</f>
        <v>0</v>
      </c>
      <c r="U777" s="64" t="n">
        <f aca="false">IF($K777="Expected",$P777,0)</f>
        <v>0</v>
      </c>
      <c r="V777" s="64" t="n">
        <f aca="false">IF($K777="Better",$P777,0)</f>
        <v>0</v>
      </c>
      <c r="W777" s="64" t="n">
        <f aca="false">IF($K777="U – needs rule",$P777,0)</f>
        <v>0</v>
      </c>
      <c r="X777" s="64" t="n">
        <f aca="false">IF($K777="No Start (attainment only)",$P777,0)</f>
        <v>0</v>
      </c>
    </row>
    <row r="778" customFormat="false" ht="15" hidden="false" customHeight="false" outlineLevel="0" collapsed="false">
      <c r="A778" s="60"/>
      <c r="B778" s="61" t="str">
        <f aca="false">IF($M778=0,"",INDEX(Classes!$E$6:$E$420,$M778))</f>
        <v/>
      </c>
      <c r="C778" s="62" t="str">
        <f aca="false">IF($M778=0,"",INDEX(Classes!$H$6:$H$420,$M778))</f>
        <v/>
      </c>
      <c r="D778" s="61" t="str">
        <f aca="false">IF($M778=0,"",INDEX(Classes!$B$6:$B$420,$M778))</f>
        <v/>
      </c>
      <c r="E778" s="61" t="str">
        <f aca="false">IF($M778=0,"",INDEX(Classes!$C$6:$C$420,$M778))</f>
        <v/>
      </c>
      <c r="F778" s="63"/>
      <c r="G778" s="63"/>
      <c r="H778" s="60"/>
      <c r="I778" s="60"/>
      <c r="J778" s="63"/>
      <c r="K778" s="61" t="str">
        <f aca="false">IF($P778=0,"",IF($F778="Baseline","— Baseline",IF($O778=0,"No result",IF($N778=0,"No Start (attainment only)",IF(OR($N778=1,$O778=1),"U – needs rule",INDEX(MxBody,MATCH($I778,MxCurr,0),MATCH($H778,MxStart,0)))))))</f>
        <v/>
      </c>
      <c r="L778" s="62" t="str">
        <f aca="false">IF(COUNTA($A778,$F778,$G778,$H778,$I778,$J778)=0,"",IF($M778=0,"✖ كود الصف غير موجود",IF(ISNA(MATCH($F778,Lists!$A$2:$A$5,0)),"✖ الفترة غير صحيحة",IF(ISNA(MATCH($G778,Lists!$B$2:$B$7,0)),"✖ المجموعة غير صحيحة",IF(NOT(OR($H778="",$N778&gt;0)),"✖ Start غير صحيح",IF(NOT(OR($I778="",$I778="NR",$O778&gt;0)),"✖ Current غير صحيح",IF(NOT(IF(ISNUMBER($J778),AND($J778&gt;=0,$J778=INT($J778)),FALSE())),"✖ العدد يجب أن يكون صحيحًا ≥ 0",IF(AND($F778="Baseline",$H778&lt;&gt;""),"⚠ Baseline: Start لا يدخل في التقدم",IF($K778="No Start (attainment only)","ℹ تحصيل فقط (بدون Start)",IF($K778="U – needs rule","ℹ حالة U تحتاج قاعدة معتمدة",IF($K778="No result","ℹ بدون نتيجة (يُستبعد من التحصيل)","OK")))))))))))</f>
        <v/>
      </c>
      <c r="M778" s="64" t="n">
        <f aca="false">IF($A778="",0,IFERROR(MATCH($A778,Classes!$A$6:$A$420,0),0))</f>
        <v>0</v>
      </c>
      <c r="N778" s="64" t="n">
        <f aca="false">IF($H778="",0,IFERROR(MATCH($H778,GradeList,0),0))</f>
        <v>0</v>
      </c>
      <c r="O778" s="64" t="n">
        <f aca="false">IF(OR($I778="",$I778="NR"),0,IFERROR(MATCH($I778,GradeList,0),0))</f>
        <v>0</v>
      </c>
      <c r="P778" s="64" t="n">
        <f aca="false">IF(AND($M778&gt;0,ISNUMBER(MATCH($F778,Lists!$A$2:$A$5,0)),ISNUMBER(MATCH($G778,Lists!$B$2:$B$7,0)),OR($H778="",$N778&gt;0),OR($I778="",$I778="NR",$O778&gt;0),IF(ISNUMBER($J778),AND($J778&gt;=0,$J778=INT($J778)),FALSE())),$J778,0)</f>
        <v>0</v>
      </c>
      <c r="Q778" s="64" t="n">
        <f aca="false">IF(AND($P778&gt;0,$O778&gt;0),$P778,0)</f>
        <v>0</v>
      </c>
      <c r="R778" s="64" t="n">
        <f aca="false">IF(AND($Q778&gt;0,$O778&gt;=AtRank),$Q778,0)</f>
        <v>0</v>
      </c>
      <c r="S778" s="64" t="n">
        <f aca="false">IF(AND($Q778&gt;0,$O778&gt;=AboveRank),$Q778,0)</f>
        <v>0</v>
      </c>
      <c r="T778" s="64" t="n">
        <f aca="false">IF($K778="Less",$P778,0)</f>
        <v>0</v>
      </c>
      <c r="U778" s="64" t="n">
        <f aca="false">IF($K778="Expected",$P778,0)</f>
        <v>0</v>
      </c>
      <c r="V778" s="64" t="n">
        <f aca="false">IF($K778="Better",$P778,0)</f>
        <v>0</v>
      </c>
      <c r="W778" s="64" t="n">
        <f aca="false">IF($K778="U – needs rule",$P778,0)</f>
        <v>0</v>
      </c>
      <c r="X778" s="64" t="n">
        <f aca="false">IF($K778="No Start (attainment only)",$P778,0)</f>
        <v>0</v>
      </c>
    </row>
    <row r="779" customFormat="false" ht="15" hidden="false" customHeight="false" outlineLevel="0" collapsed="false">
      <c r="A779" s="60"/>
      <c r="B779" s="61" t="str">
        <f aca="false">IF($M779=0,"",INDEX(Classes!$E$6:$E$420,$M779))</f>
        <v/>
      </c>
      <c r="C779" s="62" t="str">
        <f aca="false">IF($M779=0,"",INDEX(Classes!$H$6:$H$420,$M779))</f>
        <v/>
      </c>
      <c r="D779" s="61" t="str">
        <f aca="false">IF($M779=0,"",INDEX(Classes!$B$6:$B$420,$M779))</f>
        <v/>
      </c>
      <c r="E779" s="61" t="str">
        <f aca="false">IF($M779=0,"",INDEX(Classes!$C$6:$C$420,$M779))</f>
        <v/>
      </c>
      <c r="F779" s="63"/>
      <c r="G779" s="63"/>
      <c r="H779" s="60"/>
      <c r="I779" s="60"/>
      <c r="J779" s="63"/>
      <c r="K779" s="61" t="str">
        <f aca="false">IF($P779=0,"",IF($F779="Baseline","— Baseline",IF($O779=0,"No result",IF($N779=0,"No Start (attainment only)",IF(OR($N779=1,$O779=1),"U – needs rule",INDEX(MxBody,MATCH($I779,MxCurr,0),MATCH($H779,MxStart,0)))))))</f>
        <v/>
      </c>
      <c r="L779" s="62" t="str">
        <f aca="false">IF(COUNTA($A779,$F779,$G779,$H779,$I779,$J779)=0,"",IF($M779=0,"✖ كود الصف غير موجود",IF(ISNA(MATCH($F779,Lists!$A$2:$A$5,0)),"✖ الفترة غير صحيحة",IF(ISNA(MATCH($G779,Lists!$B$2:$B$7,0)),"✖ المجموعة غير صحيحة",IF(NOT(OR($H779="",$N779&gt;0)),"✖ Start غير صحيح",IF(NOT(OR($I779="",$I779="NR",$O779&gt;0)),"✖ Current غير صحيح",IF(NOT(IF(ISNUMBER($J779),AND($J779&gt;=0,$J779=INT($J779)),FALSE())),"✖ العدد يجب أن يكون صحيحًا ≥ 0",IF(AND($F779="Baseline",$H779&lt;&gt;""),"⚠ Baseline: Start لا يدخل في التقدم",IF($K779="No Start (attainment only)","ℹ تحصيل فقط (بدون Start)",IF($K779="U – needs rule","ℹ حالة U تحتاج قاعدة معتمدة",IF($K779="No result","ℹ بدون نتيجة (يُستبعد من التحصيل)","OK")))))))))))</f>
        <v/>
      </c>
      <c r="M779" s="64" t="n">
        <f aca="false">IF($A779="",0,IFERROR(MATCH($A779,Classes!$A$6:$A$420,0),0))</f>
        <v>0</v>
      </c>
      <c r="N779" s="64" t="n">
        <f aca="false">IF($H779="",0,IFERROR(MATCH($H779,GradeList,0),0))</f>
        <v>0</v>
      </c>
      <c r="O779" s="64" t="n">
        <f aca="false">IF(OR($I779="",$I779="NR"),0,IFERROR(MATCH($I779,GradeList,0),0))</f>
        <v>0</v>
      </c>
      <c r="P779" s="64" t="n">
        <f aca="false">IF(AND($M779&gt;0,ISNUMBER(MATCH($F779,Lists!$A$2:$A$5,0)),ISNUMBER(MATCH($G779,Lists!$B$2:$B$7,0)),OR($H779="",$N779&gt;0),OR($I779="",$I779="NR",$O779&gt;0),IF(ISNUMBER($J779),AND($J779&gt;=0,$J779=INT($J779)),FALSE())),$J779,0)</f>
        <v>0</v>
      </c>
      <c r="Q779" s="64" t="n">
        <f aca="false">IF(AND($P779&gt;0,$O779&gt;0),$P779,0)</f>
        <v>0</v>
      </c>
      <c r="R779" s="64" t="n">
        <f aca="false">IF(AND($Q779&gt;0,$O779&gt;=AtRank),$Q779,0)</f>
        <v>0</v>
      </c>
      <c r="S779" s="64" t="n">
        <f aca="false">IF(AND($Q779&gt;0,$O779&gt;=AboveRank),$Q779,0)</f>
        <v>0</v>
      </c>
      <c r="T779" s="64" t="n">
        <f aca="false">IF($K779="Less",$P779,0)</f>
        <v>0</v>
      </c>
      <c r="U779" s="64" t="n">
        <f aca="false">IF($K779="Expected",$P779,0)</f>
        <v>0</v>
      </c>
      <c r="V779" s="64" t="n">
        <f aca="false">IF($K779="Better",$P779,0)</f>
        <v>0</v>
      </c>
      <c r="W779" s="64" t="n">
        <f aca="false">IF($K779="U – needs rule",$P779,0)</f>
        <v>0</v>
      </c>
      <c r="X779" s="64" t="n">
        <f aca="false">IF($K779="No Start (attainment only)",$P779,0)</f>
        <v>0</v>
      </c>
    </row>
    <row r="780" customFormat="false" ht="15" hidden="false" customHeight="false" outlineLevel="0" collapsed="false">
      <c r="A780" s="60"/>
      <c r="B780" s="61" t="str">
        <f aca="false">IF($M780=0,"",INDEX(Classes!$E$6:$E$420,$M780))</f>
        <v/>
      </c>
      <c r="C780" s="62" t="str">
        <f aca="false">IF($M780=0,"",INDEX(Classes!$H$6:$H$420,$M780))</f>
        <v/>
      </c>
      <c r="D780" s="61" t="str">
        <f aca="false">IF($M780=0,"",INDEX(Classes!$B$6:$B$420,$M780))</f>
        <v/>
      </c>
      <c r="E780" s="61" t="str">
        <f aca="false">IF($M780=0,"",INDEX(Classes!$C$6:$C$420,$M780))</f>
        <v/>
      </c>
      <c r="F780" s="63"/>
      <c r="G780" s="63"/>
      <c r="H780" s="60"/>
      <c r="I780" s="60"/>
      <c r="J780" s="63"/>
      <c r="K780" s="61" t="str">
        <f aca="false">IF($P780=0,"",IF($F780="Baseline","— Baseline",IF($O780=0,"No result",IF($N780=0,"No Start (attainment only)",IF(OR($N780=1,$O780=1),"U – needs rule",INDEX(MxBody,MATCH($I780,MxCurr,0),MATCH($H780,MxStart,0)))))))</f>
        <v/>
      </c>
      <c r="L780" s="62" t="str">
        <f aca="false">IF(COUNTA($A780,$F780,$G780,$H780,$I780,$J780)=0,"",IF($M780=0,"✖ كود الصف غير موجود",IF(ISNA(MATCH($F780,Lists!$A$2:$A$5,0)),"✖ الفترة غير صحيحة",IF(ISNA(MATCH($G780,Lists!$B$2:$B$7,0)),"✖ المجموعة غير صحيحة",IF(NOT(OR($H780="",$N780&gt;0)),"✖ Start غير صحيح",IF(NOT(OR($I780="",$I780="NR",$O780&gt;0)),"✖ Current غير صحيح",IF(NOT(IF(ISNUMBER($J780),AND($J780&gt;=0,$J780=INT($J780)),FALSE())),"✖ العدد يجب أن يكون صحيحًا ≥ 0",IF(AND($F780="Baseline",$H780&lt;&gt;""),"⚠ Baseline: Start لا يدخل في التقدم",IF($K780="No Start (attainment only)","ℹ تحصيل فقط (بدون Start)",IF($K780="U – needs rule","ℹ حالة U تحتاج قاعدة معتمدة",IF($K780="No result","ℹ بدون نتيجة (يُستبعد من التحصيل)","OK")))))))))))</f>
        <v/>
      </c>
      <c r="M780" s="64" t="n">
        <f aca="false">IF($A780="",0,IFERROR(MATCH($A780,Classes!$A$6:$A$420,0),0))</f>
        <v>0</v>
      </c>
      <c r="N780" s="64" t="n">
        <f aca="false">IF($H780="",0,IFERROR(MATCH($H780,GradeList,0),0))</f>
        <v>0</v>
      </c>
      <c r="O780" s="64" t="n">
        <f aca="false">IF(OR($I780="",$I780="NR"),0,IFERROR(MATCH($I780,GradeList,0),0))</f>
        <v>0</v>
      </c>
      <c r="P780" s="64" t="n">
        <f aca="false">IF(AND($M780&gt;0,ISNUMBER(MATCH($F780,Lists!$A$2:$A$5,0)),ISNUMBER(MATCH($G780,Lists!$B$2:$B$7,0)),OR($H780="",$N780&gt;0),OR($I780="",$I780="NR",$O780&gt;0),IF(ISNUMBER($J780),AND($J780&gt;=0,$J780=INT($J780)),FALSE())),$J780,0)</f>
        <v>0</v>
      </c>
      <c r="Q780" s="64" t="n">
        <f aca="false">IF(AND($P780&gt;0,$O780&gt;0),$P780,0)</f>
        <v>0</v>
      </c>
      <c r="R780" s="64" t="n">
        <f aca="false">IF(AND($Q780&gt;0,$O780&gt;=AtRank),$Q780,0)</f>
        <v>0</v>
      </c>
      <c r="S780" s="64" t="n">
        <f aca="false">IF(AND($Q780&gt;0,$O780&gt;=AboveRank),$Q780,0)</f>
        <v>0</v>
      </c>
      <c r="T780" s="64" t="n">
        <f aca="false">IF($K780="Less",$P780,0)</f>
        <v>0</v>
      </c>
      <c r="U780" s="64" t="n">
        <f aca="false">IF($K780="Expected",$P780,0)</f>
        <v>0</v>
      </c>
      <c r="V780" s="64" t="n">
        <f aca="false">IF($K780="Better",$P780,0)</f>
        <v>0</v>
      </c>
      <c r="W780" s="64" t="n">
        <f aca="false">IF($K780="U – needs rule",$P780,0)</f>
        <v>0</v>
      </c>
      <c r="X780" s="64" t="n">
        <f aca="false">IF($K780="No Start (attainment only)",$P780,0)</f>
        <v>0</v>
      </c>
    </row>
    <row r="781" customFormat="false" ht="15" hidden="false" customHeight="false" outlineLevel="0" collapsed="false">
      <c r="A781" s="60"/>
      <c r="B781" s="61" t="str">
        <f aca="false">IF($M781=0,"",INDEX(Classes!$E$6:$E$420,$M781))</f>
        <v/>
      </c>
      <c r="C781" s="62" t="str">
        <f aca="false">IF($M781=0,"",INDEX(Classes!$H$6:$H$420,$M781))</f>
        <v/>
      </c>
      <c r="D781" s="61" t="str">
        <f aca="false">IF($M781=0,"",INDEX(Classes!$B$6:$B$420,$M781))</f>
        <v/>
      </c>
      <c r="E781" s="61" t="str">
        <f aca="false">IF($M781=0,"",INDEX(Classes!$C$6:$C$420,$M781))</f>
        <v/>
      </c>
      <c r="F781" s="63"/>
      <c r="G781" s="63"/>
      <c r="H781" s="60"/>
      <c r="I781" s="60"/>
      <c r="J781" s="63"/>
      <c r="K781" s="61" t="str">
        <f aca="false">IF($P781=0,"",IF($F781="Baseline","— Baseline",IF($O781=0,"No result",IF($N781=0,"No Start (attainment only)",IF(OR($N781=1,$O781=1),"U – needs rule",INDEX(MxBody,MATCH($I781,MxCurr,0),MATCH($H781,MxStart,0)))))))</f>
        <v/>
      </c>
      <c r="L781" s="62" t="str">
        <f aca="false">IF(COUNTA($A781,$F781,$G781,$H781,$I781,$J781)=0,"",IF($M781=0,"✖ كود الصف غير موجود",IF(ISNA(MATCH($F781,Lists!$A$2:$A$5,0)),"✖ الفترة غير صحيحة",IF(ISNA(MATCH($G781,Lists!$B$2:$B$7,0)),"✖ المجموعة غير صحيحة",IF(NOT(OR($H781="",$N781&gt;0)),"✖ Start غير صحيح",IF(NOT(OR($I781="",$I781="NR",$O781&gt;0)),"✖ Current غير صحيح",IF(NOT(IF(ISNUMBER($J781),AND($J781&gt;=0,$J781=INT($J781)),FALSE())),"✖ العدد يجب أن يكون صحيحًا ≥ 0",IF(AND($F781="Baseline",$H781&lt;&gt;""),"⚠ Baseline: Start لا يدخل في التقدم",IF($K781="No Start (attainment only)","ℹ تحصيل فقط (بدون Start)",IF($K781="U – needs rule","ℹ حالة U تحتاج قاعدة معتمدة",IF($K781="No result","ℹ بدون نتيجة (يُستبعد من التحصيل)","OK")))))))))))</f>
        <v/>
      </c>
      <c r="M781" s="64" t="n">
        <f aca="false">IF($A781="",0,IFERROR(MATCH($A781,Classes!$A$6:$A$420,0),0))</f>
        <v>0</v>
      </c>
      <c r="N781" s="64" t="n">
        <f aca="false">IF($H781="",0,IFERROR(MATCH($H781,GradeList,0),0))</f>
        <v>0</v>
      </c>
      <c r="O781" s="64" t="n">
        <f aca="false">IF(OR($I781="",$I781="NR"),0,IFERROR(MATCH($I781,GradeList,0),0))</f>
        <v>0</v>
      </c>
      <c r="P781" s="64" t="n">
        <f aca="false">IF(AND($M781&gt;0,ISNUMBER(MATCH($F781,Lists!$A$2:$A$5,0)),ISNUMBER(MATCH($G781,Lists!$B$2:$B$7,0)),OR($H781="",$N781&gt;0),OR($I781="",$I781="NR",$O781&gt;0),IF(ISNUMBER($J781),AND($J781&gt;=0,$J781=INT($J781)),FALSE())),$J781,0)</f>
        <v>0</v>
      </c>
      <c r="Q781" s="64" t="n">
        <f aca="false">IF(AND($P781&gt;0,$O781&gt;0),$P781,0)</f>
        <v>0</v>
      </c>
      <c r="R781" s="64" t="n">
        <f aca="false">IF(AND($Q781&gt;0,$O781&gt;=AtRank),$Q781,0)</f>
        <v>0</v>
      </c>
      <c r="S781" s="64" t="n">
        <f aca="false">IF(AND($Q781&gt;0,$O781&gt;=AboveRank),$Q781,0)</f>
        <v>0</v>
      </c>
      <c r="T781" s="64" t="n">
        <f aca="false">IF($K781="Less",$P781,0)</f>
        <v>0</v>
      </c>
      <c r="U781" s="64" t="n">
        <f aca="false">IF($K781="Expected",$P781,0)</f>
        <v>0</v>
      </c>
      <c r="V781" s="64" t="n">
        <f aca="false">IF($K781="Better",$P781,0)</f>
        <v>0</v>
      </c>
      <c r="W781" s="64" t="n">
        <f aca="false">IF($K781="U – needs rule",$P781,0)</f>
        <v>0</v>
      </c>
      <c r="X781" s="64" t="n">
        <f aca="false">IF($K781="No Start (attainment only)",$P781,0)</f>
        <v>0</v>
      </c>
    </row>
    <row r="782" customFormat="false" ht="15" hidden="false" customHeight="false" outlineLevel="0" collapsed="false">
      <c r="A782" s="60"/>
      <c r="B782" s="61" t="str">
        <f aca="false">IF($M782=0,"",INDEX(Classes!$E$6:$E$420,$M782))</f>
        <v/>
      </c>
      <c r="C782" s="62" t="str">
        <f aca="false">IF($M782=0,"",INDEX(Classes!$H$6:$H$420,$M782))</f>
        <v/>
      </c>
      <c r="D782" s="61" t="str">
        <f aca="false">IF($M782=0,"",INDEX(Classes!$B$6:$B$420,$M782))</f>
        <v/>
      </c>
      <c r="E782" s="61" t="str">
        <f aca="false">IF($M782=0,"",INDEX(Classes!$C$6:$C$420,$M782))</f>
        <v/>
      </c>
      <c r="F782" s="63"/>
      <c r="G782" s="63"/>
      <c r="H782" s="60"/>
      <c r="I782" s="60"/>
      <c r="J782" s="63"/>
      <c r="K782" s="61" t="str">
        <f aca="false">IF($P782=0,"",IF($F782="Baseline","— Baseline",IF($O782=0,"No result",IF($N782=0,"No Start (attainment only)",IF(OR($N782=1,$O782=1),"U – needs rule",INDEX(MxBody,MATCH($I782,MxCurr,0),MATCH($H782,MxStart,0)))))))</f>
        <v/>
      </c>
      <c r="L782" s="62" t="str">
        <f aca="false">IF(COUNTA($A782,$F782,$G782,$H782,$I782,$J782)=0,"",IF($M782=0,"✖ كود الصف غير موجود",IF(ISNA(MATCH($F782,Lists!$A$2:$A$5,0)),"✖ الفترة غير صحيحة",IF(ISNA(MATCH($G782,Lists!$B$2:$B$7,0)),"✖ المجموعة غير صحيحة",IF(NOT(OR($H782="",$N782&gt;0)),"✖ Start غير صحيح",IF(NOT(OR($I782="",$I782="NR",$O782&gt;0)),"✖ Current غير صحيح",IF(NOT(IF(ISNUMBER($J782),AND($J782&gt;=0,$J782=INT($J782)),FALSE())),"✖ العدد يجب أن يكون صحيحًا ≥ 0",IF(AND($F782="Baseline",$H782&lt;&gt;""),"⚠ Baseline: Start لا يدخل في التقدم",IF($K782="No Start (attainment only)","ℹ تحصيل فقط (بدون Start)",IF($K782="U – needs rule","ℹ حالة U تحتاج قاعدة معتمدة",IF($K782="No result","ℹ بدون نتيجة (يُستبعد من التحصيل)","OK")))))))))))</f>
        <v/>
      </c>
      <c r="M782" s="64" t="n">
        <f aca="false">IF($A782="",0,IFERROR(MATCH($A782,Classes!$A$6:$A$420,0),0))</f>
        <v>0</v>
      </c>
      <c r="N782" s="64" t="n">
        <f aca="false">IF($H782="",0,IFERROR(MATCH($H782,GradeList,0),0))</f>
        <v>0</v>
      </c>
      <c r="O782" s="64" t="n">
        <f aca="false">IF(OR($I782="",$I782="NR"),0,IFERROR(MATCH($I782,GradeList,0),0))</f>
        <v>0</v>
      </c>
      <c r="P782" s="64" t="n">
        <f aca="false">IF(AND($M782&gt;0,ISNUMBER(MATCH($F782,Lists!$A$2:$A$5,0)),ISNUMBER(MATCH($G782,Lists!$B$2:$B$7,0)),OR($H782="",$N782&gt;0),OR($I782="",$I782="NR",$O782&gt;0),IF(ISNUMBER($J782),AND($J782&gt;=0,$J782=INT($J782)),FALSE())),$J782,0)</f>
        <v>0</v>
      </c>
      <c r="Q782" s="64" t="n">
        <f aca="false">IF(AND($P782&gt;0,$O782&gt;0),$P782,0)</f>
        <v>0</v>
      </c>
      <c r="R782" s="64" t="n">
        <f aca="false">IF(AND($Q782&gt;0,$O782&gt;=AtRank),$Q782,0)</f>
        <v>0</v>
      </c>
      <c r="S782" s="64" t="n">
        <f aca="false">IF(AND($Q782&gt;0,$O782&gt;=AboveRank),$Q782,0)</f>
        <v>0</v>
      </c>
      <c r="T782" s="64" t="n">
        <f aca="false">IF($K782="Less",$P782,0)</f>
        <v>0</v>
      </c>
      <c r="U782" s="64" t="n">
        <f aca="false">IF($K782="Expected",$P782,0)</f>
        <v>0</v>
      </c>
      <c r="V782" s="64" t="n">
        <f aca="false">IF($K782="Better",$P782,0)</f>
        <v>0</v>
      </c>
      <c r="W782" s="64" t="n">
        <f aca="false">IF($K782="U – needs rule",$P782,0)</f>
        <v>0</v>
      </c>
      <c r="X782" s="64" t="n">
        <f aca="false">IF($K782="No Start (attainment only)",$P782,0)</f>
        <v>0</v>
      </c>
    </row>
    <row r="783" customFormat="false" ht="15" hidden="false" customHeight="false" outlineLevel="0" collapsed="false">
      <c r="A783" s="60"/>
      <c r="B783" s="61" t="str">
        <f aca="false">IF($M783=0,"",INDEX(Classes!$E$6:$E$420,$M783))</f>
        <v/>
      </c>
      <c r="C783" s="62" t="str">
        <f aca="false">IF($M783=0,"",INDEX(Classes!$H$6:$H$420,$M783))</f>
        <v/>
      </c>
      <c r="D783" s="61" t="str">
        <f aca="false">IF($M783=0,"",INDEX(Classes!$B$6:$B$420,$M783))</f>
        <v/>
      </c>
      <c r="E783" s="61" t="str">
        <f aca="false">IF($M783=0,"",INDEX(Classes!$C$6:$C$420,$M783))</f>
        <v/>
      </c>
      <c r="F783" s="63"/>
      <c r="G783" s="63"/>
      <c r="H783" s="60"/>
      <c r="I783" s="60"/>
      <c r="J783" s="63"/>
      <c r="K783" s="61" t="str">
        <f aca="false">IF($P783=0,"",IF($F783="Baseline","— Baseline",IF($O783=0,"No result",IF($N783=0,"No Start (attainment only)",IF(OR($N783=1,$O783=1),"U – needs rule",INDEX(MxBody,MATCH($I783,MxCurr,0),MATCH($H783,MxStart,0)))))))</f>
        <v/>
      </c>
      <c r="L783" s="62" t="str">
        <f aca="false">IF(COUNTA($A783,$F783,$G783,$H783,$I783,$J783)=0,"",IF($M783=0,"✖ كود الصف غير موجود",IF(ISNA(MATCH($F783,Lists!$A$2:$A$5,0)),"✖ الفترة غير صحيحة",IF(ISNA(MATCH($G783,Lists!$B$2:$B$7,0)),"✖ المجموعة غير صحيحة",IF(NOT(OR($H783="",$N783&gt;0)),"✖ Start غير صحيح",IF(NOT(OR($I783="",$I783="NR",$O783&gt;0)),"✖ Current غير صحيح",IF(NOT(IF(ISNUMBER($J783),AND($J783&gt;=0,$J783=INT($J783)),FALSE())),"✖ العدد يجب أن يكون صحيحًا ≥ 0",IF(AND($F783="Baseline",$H783&lt;&gt;""),"⚠ Baseline: Start لا يدخل في التقدم",IF($K783="No Start (attainment only)","ℹ تحصيل فقط (بدون Start)",IF($K783="U – needs rule","ℹ حالة U تحتاج قاعدة معتمدة",IF($K783="No result","ℹ بدون نتيجة (يُستبعد من التحصيل)","OK")))))))))))</f>
        <v/>
      </c>
      <c r="M783" s="64" t="n">
        <f aca="false">IF($A783="",0,IFERROR(MATCH($A783,Classes!$A$6:$A$420,0),0))</f>
        <v>0</v>
      </c>
      <c r="N783" s="64" t="n">
        <f aca="false">IF($H783="",0,IFERROR(MATCH($H783,GradeList,0),0))</f>
        <v>0</v>
      </c>
      <c r="O783" s="64" t="n">
        <f aca="false">IF(OR($I783="",$I783="NR"),0,IFERROR(MATCH($I783,GradeList,0),0))</f>
        <v>0</v>
      </c>
      <c r="P783" s="64" t="n">
        <f aca="false">IF(AND($M783&gt;0,ISNUMBER(MATCH($F783,Lists!$A$2:$A$5,0)),ISNUMBER(MATCH($G783,Lists!$B$2:$B$7,0)),OR($H783="",$N783&gt;0),OR($I783="",$I783="NR",$O783&gt;0),IF(ISNUMBER($J783),AND($J783&gt;=0,$J783=INT($J783)),FALSE())),$J783,0)</f>
        <v>0</v>
      </c>
      <c r="Q783" s="64" t="n">
        <f aca="false">IF(AND($P783&gt;0,$O783&gt;0),$P783,0)</f>
        <v>0</v>
      </c>
      <c r="R783" s="64" t="n">
        <f aca="false">IF(AND($Q783&gt;0,$O783&gt;=AtRank),$Q783,0)</f>
        <v>0</v>
      </c>
      <c r="S783" s="64" t="n">
        <f aca="false">IF(AND($Q783&gt;0,$O783&gt;=AboveRank),$Q783,0)</f>
        <v>0</v>
      </c>
      <c r="T783" s="64" t="n">
        <f aca="false">IF($K783="Less",$P783,0)</f>
        <v>0</v>
      </c>
      <c r="U783" s="64" t="n">
        <f aca="false">IF($K783="Expected",$P783,0)</f>
        <v>0</v>
      </c>
      <c r="V783" s="64" t="n">
        <f aca="false">IF($K783="Better",$P783,0)</f>
        <v>0</v>
      </c>
      <c r="W783" s="64" t="n">
        <f aca="false">IF($K783="U – needs rule",$P783,0)</f>
        <v>0</v>
      </c>
      <c r="X783" s="64" t="n">
        <f aca="false">IF($K783="No Start (attainment only)",$P783,0)</f>
        <v>0</v>
      </c>
    </row>
    <row r="784" customFormat="false" ht="15" hidden="false" customHeight="false" outlineLevel="0" collapsed="false">
      <c r="A784" s="60"/>
      <c r="B784" s="61" t="str">
        <f aca="false">IF($M784=0,"",INDEX(Classes!$E$6:$E$420,$M784))</f>
        <v/>
      </c>
      <c r="C784" s="62" t="str">
        <f aca="false">IF($M784=0,"",INDEX(Classes!$H$6:$H$420,$M784))</f>
        <v/>
      </c>
      <c r="D784" s="61" t="str">
        <f aca="false">IF($M784=0,"",INDEX(Classes!$B$6:$B$420,$M784))</f>
        <v/>
      </c>
      <c r="E784" s="61" t="str">
        <f aca="false">IF($M784=0,"",INDEX(Classes!$C$6:$C$420,$M784))</f>
        <v/>
      </c>
      <c r="F784" s="63"/>
      <c r="G784" s="63"/>
      <c r="H784" s="60"/>
      <c r="I784" s="60"/>
      <c r="J784" s="63"/>
      <c r="K784" s="61" t="str">
        <f aca="false">IF($P784=0,"",IF($F784="Baseline","— Baseline",IF($O784=0,"No result",IF($N784=0,"No Start (attainment only)",IF(OR($N784=1,$O784=1),"U – needs rule",INDEX(MxBody,MATCH($I784,MxCurr,0),MATCH($H784,MxStart,0)))))))</f>
        <v/>
      </c>
      <c r="L784" s="62" t="str">
        <f aca="false">IF(COUNTA($A784,$F784,$G784,$H784,$I784,$J784)=0,"",IF($M784=0,"✖ كود الصف غير موجود",IF(ISNA(MATCH($F784,Lists!$A$2:$A$5,0)),"✖ الفترة غير صحيحة",IF(ISNA(MATCH($G784,Lists!$B$2:$B$7,0)),"✖ المجموعة غير صحيحة",IF(NOT(OR($H784="",$N784&gt;0)),"✖ Start غير صحيح",IF(NOT(OR($I784="",$I784="NR",$O784&gt;0)),"✖ Current غير صحيح",IF(NOT(IF(ISNUMBER($J784),AND($J784&gt;=0,$J784=INT($J784)),FALSE())),"✖ العدد يجب أن يكون صحيحًا ≥ 0",IF(AND($F784="Baseline",$H784&lt;&gt;""),"⚠ Baseline: Start لا يدخل في التقدم",IF($K784="No Start (attainment only)","ℹ تحصيل فقط (بدون Start)",IF($K784="U – needs rule","ℹ حالة U تحتاج قاعدة معتمدة",IF($K784="No result","ℹ بدون نتيجة (يُستبعد من التحصيل)","OK")))))))))))</f>
        <v/>
      </c>
      <c r="M784" s="64" t="n">
        <f aca="false">IF($A784="",0,IFERROR(MATCH($A784,Classes!$A$6:$A$420,0),0))</f>
        <v>0</v>
      </c>
      <c r="N784" s="64" t="n">
        <f aca="false">IF($H784="",0,IFERROR(MATCH($H784,GradeList,0),0))</f>
        <v>0</v>
      </c>
      <c r="O784" s="64" t="n">
        <f aca="false">IF(OR($I784="",$I784="NR"),0,IFERROR(MATCH($I784,GradeList,0),0))</f>
        <v>0</v>
      </c>
      <c r="P784" s="64" t="n">
        <f aca="false">IF(AND($M784&gt;0,ISNUMBER(MATCH($F784,Lists!$A$2:$A$5,0)),ISNUMBER(MATCH($G784,Lists!$B$2:$B$7,0)),OR($H784="",$N784&gt;0),OR($I784="",$I784="NR",$O784&gt;0),IF(ISNUMBER($J784),AND($J784&gt;=0,$J784=INT($J784)),FALSE())),$J784,0)</f>
        <v>0</v>
      </c>
      <c r="Q784" s="64" t="n">
        <f aca="false">IF(AND($P784&gt;0,$O784&gt;0),$P784,0)</f>
        <v>0</v>
      </c>
      <c r="R784" s="64" t="n">
        <f aca="false">IF(AND($Q784&gt;0,$O784&gt;=AtRank),$Q784,0)</f>
        <v>0</v>
      </c>
      <c r="S784" s="64" t="n">
        <f aca="false">IF(AND($Q784&gt;0,$O784&gt;=AboveRank),$Q784,0)</f>
        <v>0</v>
      </c>
      <c r="T784" s="64" t="n">
        <f aca="false">IF($K784="Less",$P784,0)</f>
        <v>0</v>
      </c>
      <c r="U784" s="64" t="n">
        <f aca="false">IF($K784="Expected",$P784,0)</f>
        <v>0</v>
      </c>
      <c r="V784" s="64" t="n">
        <f aca="false">IF($K784="Better",$P784,0)</f>
        <v>0</v>
      </c>
      <c r="W784" s="64" t="n">
        <f aca="false">IF($K784="U – needs rule",$P784,0)</f>
        <v>0</v>
      </c>
      <c r="X784" s="64" t="n">
        <f aca="false">IF($K784="No Start (attainment only)",$P784,0)</f>
        <v>0</v>
      </c>
    </row>
    <row r="785" customFormat="false" ht="15" hidden="false" customHeight="false" outlineLevel="0" collapsed="false">
      <c r="A785" s="60"/>
      <c r="B785" s="61" t="str">
        <f aca="false">IF($M785=0,"",INDEX(Classes!$E$6:$E$420,$M785))</f>
        <v/>
      </c>
      <c r="C785" s="62" t="str">
        <f aca="false">IF($M785=0,"",INDEX(Classes!$H$6:$H$420,$M785))</f>
        <v/>
      </c>
      <c r="D785" s="61" t="str">
        <f aca="false">IF($M785=0,"",INDEX(Classes!$B$6:$B$420,$M785))</f>
        <v/>
      </c>
      <c r="E785" s="61" t="str">
        <f aca="false">IF($M785=0,"",INDEX(Classes!$C$6:$C$420,$M785))</f>
        <v/>
      </c>
      <c r="F785" s="63"/>
      <c r="G785" s="63"/>
      <c r="H785" s="60"/>
      <c r="I785" s="60"/>
      <c r="J785" s="63"/>
      <c r="K785" s="61" t="str">
        <f aca="false">IF($P785=0,"",IF($F785="Baseline","— Baseline",IF($O785=0,"No result",IF($N785=0,"No Start (attainment only)",IF(OR($N785=1,$O785=1),"U – needs rule",INDEX(MxBody,MATCH($I785,MxCurr,0),MATCH($H785,MxStart,0)))))))</f>
        <v/>
      </c>
      <c r="L785" s="62" t="str">
        <f aca="false">IF(COUNTA($A785,$F785,$G785,$H785,$I785,$J785)=0,"",IF($M785=0,"✖ كود الصف غير موجود",IF(ISNA(MATCH($F785,Lists!$A$2:$A$5,0)),"✖ الفترة غير صحيحة",IF(ISNA(MATCH($G785,Lists!$B$2:$B$7,0)),"✖ المجموعة غير صحيحة",IF(NOT(OR($H785="",$N785&gt;0)),"✖ Start غير صحيح",IF(NOT(OR($I785="",$I785="NR",$O785&gt;0)),"✖ Current غير صحيح",IF(NOT(IF(ISNUMBER($J785),AND($J785&gt;=0,$J785=INT($J785)),FALSE())),"✖ العدد يجب أن يكون صحيحًا ≥ 0",IF(AND($F785="Baseline",$H785&lt;&gt;""),"⚠ Baseline: Start لا يدخل في التقدم",IF($K785="No Start (attainment only)","ℹ تحصيل فقط (بدون Start)",IF($K785="U – needs rule","ℹ حالة U تحتاج قاعدة معتمدة",IF($K785="No result","ℹ بدون نتيجة (يُستبعد من التحصيل)","OK")))))))))))</f>
        <v/>
      </c>
      <c r="M785" s="64" t="n">
        <f aca="false">IF($A785="",0,IFERROR(MATCH($A785,Classes!$A$6:$A$420,0),0))</f>
        <v>0</v>
      </c>
      <c r="N785" s="64" t="n">
        <f aca="false">IF($H785="",0,IFERROR(MATCH($H785,GradeList,0),0))</f>
        <v>0</v>
      </c>
      <c r="O785" s="64" t="n">
        <f aca="false">IF(OR($I785="",$I785="NR"),0,IFERROR(MATCH($I785,GradeList,0),0))</f>
        <v>0</v>
      </c>
      <c r="P785" s="64" t="n">
        <f aca="false">IF(AND($M785&gt;0,ISNUMBER(MATCH($F785,Lists!$A$2:$A$5,0)),ISNUMBER(MATCH($G785,Lists!$B$2:$B$7,0)),OR($H785="",$N785&gt;0),OR($I785="",$I785="NR",$O785&gt;0),IF(ISNUMBER($J785),AND($J785&gt;=0,$J785=INT($J785)),FALSE())),$J785,0)</f>
        <v>0</v>
      </c>
      <c r="Q785" s="64" t="n">
        <f aca="false">IF(AND($P785&gt;0,$O785&gt;0),$P785,0)</f>
        <v>0</v>
      </c>
      <c r="R785" s="64" t="n">
        <f aca="false">IF(AND($Q785&gt;0,$O785&gt;=AtRank),$Q785,0)</f>
        <v>0</v>
      </c>
      <c r="S785" s="64" t="n">
        <f aca="false">IF(AND($Q785&gt;0,$O785&gt;=AboveRank),$Q785,0)</f>
        <v>0</v>
      </c>
      <c r="T785" s="64" t="n">
        <f aca="false">IF($K785="Less",$P785,0)</f>
        <v>0</v>
      </c>
      <c r="U785" s="64" t="n">
        <f aca="false">IF($K785="Expected",$P785,0)</f>
        <v>0</v>
      </c>
      <c r="V785" s="64" t="n">
        <f aca="false">IF($K785="Better",$P785,0)</f>
        <v>0</v>
      </c>
      <c r="W785" s="64" t="n">
        <f aca="false">IF($K785="U – needs rule",$P785,0)</f>
        <v>0</v>
      </c>
      <c r="X785" s="64" t="n">
        <f aca="false">IF($K785="No Start (attainment only)",$P785,0)</f>
        <v>0</v>
      </c>
    </row>
    <row r="786" customFormat="false" ht="15" hidden="false" customHeight="false" outlineLevel="0" collapsed="false">
      <c r="A786" s="60"/>
      <c r="B786" s="61" t="str">
        <f aca="false">IF($M786=0,"",INDEX(Classes!$E$6:$E$420,$M786))</f>
        <v/>
      </c>
      <c r="C786" s="62" t="str">
        <f aca="false">IF($M786=0,"",INDEX(Classes!$H$6:$H$420,$M786))</f>
        <v/>
      </c>
      <c r="D786" s="61" t="str">
        <f aca="false">IF($M786=0,"",INDEX(Classes!$B$6:$B$420,$M786))</f>
        <v/>
      </c>
      <c r="E786" s="61" t="str">
        <f aca="false">IF($M786=0,"",INDEX(Classes!$C$6:$C$420,$M786))</f>
        <v/>
      </c>
      <c r="F786" s="63"/>
      <c r="G786" s="63"/>
      <c r="H786" s="60"/>
      <c r="I786" s="60"/>
      <c r="J786" s="63"/>
      <c r="K786" s="61" t="str">
        <f aca="false">IF($P786=0,"",IF($F786="Baseline","— Baseline",IF($O786=0,"No result",IF($N786=0,"No Start (attainment only)",IF(OR($N786=1,$O786=1),"U – needs rule",INDEX(MxBody,MATCH($I786,MxCurr,0),MATCH($H786,MxStart,0)))))))</f>
        <v/>
      </c>
      <c r="L786" s="62" t="str">
        <f aca="false">IF(COUNTA($A786,$F786,$G786,$H786,$I786,$J786)=0,"",IF($M786=0,"✖ كود الصف غير موجود",IF(ISNA(MATCH($F786,Lists!$A$2:$A$5,0)),"✖ الفترة غير صحيحة",IF(ISNA(MATCH($G786,Lists!$B$2:$B$7,0)),"✖ المجموعة غير صحيحة",IF(NOT(OR($H786="",$N786&gt;0)),"✖ Start غير صحيح",IF(NOT(OR($I786="",$I786="NR",$O786&gt;0)),"✖ Current غير صحيح",IF(NOT(IF(ISNUMBER($J786),AND($J786&gt;=0,$J786=INT($J786)),FALSE())),"✖ العدد يجب أن يكون صحيحًا ≥ 0",IF(AND($F786="Baseline",$H786&lt;&gt;""),"⚠ Baseline: Start لا يدخل في التقدم",IF($K786="No Start (attainment only)","ℹ تحصيل فقط (بدون Start)",IF($K786="U – needs rule","ℹ حالة U تحتاج قاعدة معتمدة",IF($K786="No result","ℹ بدون نتيجة (يُستبعد من التحصيل)","OK")))))))))))</f>
        <v/>
      </c>
      <c r="M786" s="64" t="n">
        <f aca="false">IF($A786="",0,IFERROR(MATCH($A786,Classes!$A$6:$A$420,0),0))</f>
        <v>0</v>
      </c>
      <c r="N786" s="64" t="n">
        <f aca="false">IF($H786="",0,IFERROR(MATCH($H786,GradeList,0),0))</f>
        <v>0</v>
      </c>
      <c r="O786" s="64" t="n">
        <f aca="false">IF(OR($I786="",$I786="NR"),0,IFERROR(MATCH($I786,GradeList,0),0))</f>
        <v>0</v>
      </c>
      <c r="P786" s="64" t="n">
        <f aca="false">IF(AND($M786&gt;0,ISNUMBER(MATCH($F786,Lists!$A$2:$A$5,0)),ISNUMBER(MATCH($G786,Lists!$B$2:$B$7,0)),OR($H786="",$N786&gt;0),OR($I786="",$I786="NR",$O786&gt;0),IF(ISNUMBER($J786),AND($J786&gt;=0,$J786=INT($J786)),FALSE())),$J786,0)</f>
        <v>0</v>
      </c>
      <c r="Q786" s="64" t="n">
        <f aca="false">IF(AND($P786&gt;0,$O786&gt;0),$P786,0)</f>
        <v>0</v>
      </c>
      <c r="R786" s="64" t="n">
        <f aca="false">IF(AND($Q786&gt;0,$O786&gt;=AtRank),$Q786,0)</f>
        <v>0</v>
      </c>
      <c r="S786" s="64" t="n">
        <f aca="false">IF(AND($Q786&gt;0,$O786&gt;=AboveRank),$Q786,0)</f>
        <v>0</v>
      </c>
      <c r="T786" s="64" t="n">
        <f aca="false">IF($K786="Less",$P786,0)</f>
        <v>0</v>
      </c>
      <c r="U786" s="64" t="n">
        <f aca="false">IF($K786="Expected",$P786,0)</f>
        <v>0</v>
      </c>
      <c r="V786" s="64" t="n">
        <f aca="false">IF($K786="Better",$P786,0)</f>
        <v>0</v>
      </c>
      <c r="W786" s="64" t="n">
        <f aca="false">IF($K786="U – needs rule",$P786,0)</f>
        <v>0</v>
      </c>
      <c r="X786" s="64" t="n">
        <f aca="false">IF($K786="No Start (attainment only)",$P786,0)</f>
        <v>0</v>
      </c>
    </row>
    <row r="787" customFormat="false" ht="15" hidden="false" customHeight="false" outlineLevel="0" collapsed="false">
      <c r="A787" s="60"/>
      <c r="B787" s="61" t="str">
        <f aca="false">IF($M787=0,"",INDEX(Classes!$E$6:$E$420,$M787))</f>
        <v/>
      </c>
      <c r="C787" s="62" t="str">
        <f aca="false">IF($M787=0,"",INDEX(Classes!$H$6:$H$420,$M787))</f>
        <v/>
      </c>
      <c r="D787" s="61" t="str">
        <f aca="false">IF($M787=0,"",INDEX(Classes!$B$6:$B$420,$M787))</f>
        <v/>
      </c>
      <c r="E787" s="61" t="str">
        <f aca="false">IF($M787=0,"",INDEX(Classes!$C$6:$C$420,$M787))</f>
        <v/>
      </c>
      <c r="F787" s="63"/>
      <c r="G787" s="63"/>
      <c r="H787" s="60"/>
      <c r="I787" s="60"/>
      <c r="J787" s="63"/>
      <c r="K787" s="61" t="str">
        <f aca="false">IF($P787=0,"",IF($F787="Baseline","— Baseline",IF($O787=0,"No result",IF($N787=0,"No Start (attainment only)",IF(OR($N787=1,$O787=1),"U – needs rule",INDEX(MxBody,MATCH($I787,MxCurr,0),MATCH($H787,MxStart,0)))))))</f>
        <v/>
      </c>
      <c r="L787" s="62" t="str">
        <f aca="false">IF(COUNTA($A787,$F787,$G787,$H787,$I787,$J787)=0,"",IF($M787=0,"✖ كود الصف غير موجود",IF(ISNA(MATCH($F787,Lists!$A$2:$A$5,0)),"✖ الفترة غير صحيحة",IF(ISNA(MATCH($G787,Lists!$B$2:$B$7,0)),"✖ المجموعة غير صحيحة",IF(NOT(OR($H787="",$N787&gt;0)),"✖ Start غير صحيح",IF(NOT(OR($I787="",$I787="NR",$O787&gt;0)),"✖ Current غير صحيح",IF(NOT(IF(ISNUMBER($J787),AND($J787&gt;=0,$J787=INT($J787)),FALSE())),"✖ العدد يجب أن يكون صحيحًا ≥ 0",IF(AND($F787="Baseline",$H787&lt;&gt;""),"⚠ Baseline: Start لا يدخل في التقدم",IF($K787="No Start (attainment only)","ℹ تحصيل فقط (بدون Start)",IF($K787="U – needs rule","ℹ حالة U تحتاج قاعدة معتمدة",IF($K787="No result","ℹ بدون نتيجة (يُستبعد من التحصيل)","OK")))))))))))</f>
        <v/>
      </c>
      <c r="M787" s="64" t="n">
        <f aca="false">IF($A787="",0,IFERROR(MATCH($A787,Classes!$A$6:$A$420,0),0))</f>
        <v>0</v>
      </c>
      <c r="N787" s="64" t="n">
        <f aca="false">IF($H787="",0,IFERROR(MATCH($H787,GradeList,0),0))</f>
        <v>0</v>
      </c>
      <c r="O787" s="64" t="n">
        <f aca="false">IF(OR($I787="",$I787="NR"),0,IFERROR(MATCH($I787,GradeList,0),0))</f>
        <v>0</v>
      </c>
      <c r="P787" s="64" t="n">
        <f aca="false">IF(AND($M787&gt;0,ISNUMBER(MATCH($F787,Lists!$A$2:$A$5,0)),ISNUMBER(MATCH($G787,Lists!$B$2:$B$7,0)),OR($H787="",$N787&gt;0),OR($I787="",$I787="NR",$O787&gt;0),IF(ISNUMBER($J787),AND($J787&gt;=0,$J787=INT($J787)),FALSE())),$J787,0)</f>
        <v>0</v>
      </c>
      <c r="Q787" s="64" t="n">
        <f aca="false">IF(AND($P787&gt;0,$O787&gt;0),$P787,0)</f>
        <v>0</v>
      </c>
      <c r="R787" s="64" t="n">
        <f aca="false">IF(AND($Q787&gt;0,$O787&gt;=AtRank),$Q787,0)</f>
        <v>0</v>
      </c>
      <c r="S787" s="64" t="n">
        <f aca="false">IF(AND($Q787&gt;0,$O787&gt;=AboveRank),$Q787,0)</f>
        <v>0</v>
      </c>
      <c r="T787" s="64" t="n">
        <f aca="false">IF($K787="Less",$P787,0)</f>
        <v>0</v>
      </c>
      <c r="U787" s="64" t="n">
        <f aca="false">IF($K787="Expected",$P787,0)</f>
        <v>0</v>
      </c>
      <c r="V787" s="64" t="n">
        <f aca="false">IF($K787="Better",$P787,0)</f>
        <v>0</v>
      </c>
      <c r="W787" s="64" t="n">
        <f aca="false">IF($K787="U – needs rule",$P787,0)</f>
        <v>0</v>
      </c>
      <c r="X787" s="64" t="n">
        <f aca="false">IF($K787="No Start (attainment only)",$P787,0)</f>
        <v>0</v>
      </c>
    </row>
    <row r="788" customFormat="false" ht="15" hidden="false" customHeight="false" outlineLevel="0" collapsed="false">
      <c r="A788" s="60"/>
      <c r="B788" s="61" t="str">
        <f aca="false">IF($M788=0,"",INDEX(Classes!$E$6:$E$420,$M788))</f>
        <v/>
      </c>
      <c r="C788" s="62" t="str">
        <f aca="false">IF($M788=0,"",INDEX(Classes!$H$6:$H$420,$M788))</f>
        <v/>
      </c>
      <c r="D788" s="61" t="str">
        <f aca="false">IF($M788=0,"",INDEX(Classes!$B$6:$B$420,$M788))</f>
        <v/>
      </c>
      <c r="E788" s="61" t="str">
        <f aca="false">IF($M788=0,"",INDEX(Classes!$C$6:$C$420,$M788))</f>
        <v/>
      </c>
      <c r="F788" s="63"/>
      <c r="G788" s="63"/>
      <c r="H788" s="60"/>
      <c r="I788" s="60"/>
      <c r="J788" s="63"/>
      <c r="K788" s="61" t="str">
        <f aca="false">IF($P788=0,"",IF($F788="Baseline","— Baseline",IF($O788=0,"No result",IF($N788=0,"No Start (attainment only)",IF(OR($N788=1,$O788=1),"U – needs rule",INDEX(MxBody,MATCH($I788,MxCurr,0),MATCH($H788,MxStart,0)))))))</f>
        <v/>
      </c>
      <c r="L788" s="62" t="str">
        <f aca="false">IF(COUNTA($A788,$F788,$G788,$H788,$I788,$J788)=0,"",IF($M788=0,"✖ كود الصف غير موجود",IF(ISNA(MATCH($F788,Lists!$A$2:$A$5,0)),"✖ الفترة غير صحيحة",IF(ISNA(MATCH($G788,Lists!$B$2:$B$7,0)),"✖ المجموعة غير صحيحة",IF(NOT(OR($H788="",$N788&gt;0)),"✖ Start غير صحيح",IF(NOT(OR($I788="",$I788="NR",$O788&gt;0)),"✖ Current غير صحيح",IF(NOT(IF(ISNUMBER($J788),AND($J788&gt;=0,$J788=INT($J788)),FALSE())),"✖ العدد يجب أن يكون صحيحًا ≥ 0",IF(AND($F788="Baseline",$H788&lt;&gt;""),"⚠ Baseline: Start لا يدخل في التقدم",IF($K788="No Start (attainment only)","ℹ تحصيل فقط (بدون Start)",IF($K788="U – needs rule","ℹ حالة U تحتاج قاعدة معتمدة",IF($K788="No result","ℹ بدون نتيجة (يُستبعد من التحصيل)","OK")))))))))))</f>
        <v/>
      </c>
      <c r="M788" s="64" t="n">
        <f aca="false">IF($A788="",0,IFERROR(MATCH($A788,Classes!$A$6:$A$420,0),0))</f>
        <v>0</v>
      </c>
      <c r="N788" s="64" t="n">
        <f aca="false">IF($H788="",0,IFERROR(MATCH($H788,GradeList,0),0))</f>
        <v>0</v>
      </c>
      <c r="O788" s="64" t="n">
        <f aca="false">IF(OR($I788="",$I788="NR"),0,IFERROR(MATCH($I788,GradeList,0),0))</f>
        <v>0</v>
      </c>
      <c r="P788" s="64" t="n">
        <f aca="false">IF(AND($M788&gt;0,ISNUMBER(MATCH($F788,Lists!$A$2:$A$5,0)),ISNUMBER(MATCH($G788,Lists!$B$2:$B$7,0)),OR($H788="",$N788&gt;0),OR($I788="",$I788="NR",$O788&gt;0),IF(ISNUMBER($J788),AND($J788&gt;=0,$J788=INT($J788)),FALSE())),$J788,0)</f>
        <v>0</v>
      </c>
      <c r="Q788" s="64" t="n">
        <f aca="false">IF(AND($P788&gt;0,$O788&gt;0),$P788,0)</f>
        <v>0</v>
      </c>
      <c r="R788" s="64" t="n">
        <f aca="false">IF(AND($Q788&gt;0,$O788&gt;=AtRank),$Q788,0)</f>
        <v>0</v>
      </c>
      <c r="S788" s="64" t="n">
        <f aca="false">IF(AND($Q788&gt;0,$O788&gt;=AboveRank),$Q788,0)</f>
        <v>0</v>
      </c>
      <c r="T788" s="64" t="n">
        <f aca="false">IF($K788="Less",$P788,0)</f>
        <v>0</v>
      </c>
      <c r="U788" s="64" t="n">
        <f aca="false">IF($K788="Expected",$P788,0)</f>
        <v>0</v>
      </c>
      <c r="V788" s="64" t="n">
        <f aca="false">IF($K788="Better",$P788,0)</f>
        <v>0</v>
      </c>
      <c r="W788" s="64" t="n">
        <f aca="false">IF($K788="U – needs rule",$P788,0)</f>
        <v>0</v>
      </c>
      <c r="X788" s="64" t="n">
        <f aca="false">IF($K788="No Start (attainment only)",$P788,0)</f>
        <v>0</v>
      </c>
    </row>
    <row r="789" customFormat="false" ht="15" hidden="false" customHeight="false" outlineLevel="0" collapsed="false">
      <c r="A789" s="60"/>
      <c r="B789" s="61" t="str">
        <f aca="false">IF($M789=0,"",INDEX(Classes!$E$6:$E$420,$M789))</f>
        <v/>
      </c>
      <c r="C789" s="62" t="str">
        <f aca="false">IF($M789=0,"",INDEX(Classes!$H$6:$H$420,$M789))</f>
        <v/>
      </c>
      <c r="D789" s="61" t="str">
        <f aca="false">IF($M789=0,"",INDEX(Classes!$B$6:$B$420,$M789))</f>
        <v/>
      </c>
      <c r="E789" s="61" t="str">
        <f aca="false">IF($M789=0,"",INDEX(Classes!$C$6:$C$420,$M789))</f>
        <v/>
      </c>
      <c r="F789" s="63"/>
      <c r="G789" s="63"/>
      <c r="H789" s="60"/>
      <c r="I789" s="60"/>
      <c r="J789" s="63"/>
      <c r="K789" s="61" t="str">
        <f aca="false">IF($P789=0,"",IF($F789="Baseline","— Baseline",IF($O789=0,"No result",IF($N789=0,"No Start (attainment only)",IF(OR($N789=1,$O789=1),"U – needs rule",INDEX(MxBody,MATCH($I789,MxCurr,0),MATCH($H789,MxStart,0)))))))</f>
        <v/>
      </c>
      <c r="L789" s="62" t="str">
        <f aca="false">IF(COUNTA($A789,$F789,$G789,$H789,$I789,$J789)=0,"",IF($M789=0,"✖ كود الصف غير موجود",IF(ISNA(MATCH($F789,Lists!$A$2:$A$5,0)),"✖ الفترة غير صحيحة",IF(ISNA(MATCH($G789,Lists!$B$2:$B$7,0)),"✖ المجموعة غير صحيحة",IF(NOT(OR($H789="",$N789&gt;0)),"✖ Start غير صحيح",IF(NOT(OR($I789="",$I789="NR",$O789&gt;0)),"✖ Current غير صحيح",IF(NOT(IF(ISNUMBER($J789),AND($J789&gt;=0,$J789=INT($J789)),FALSE())),"✖ العدد يجب أن يكون صحيحًا ≥ 0",IF(AND($F789="Baseline",$H789&lt;&gt;""),"⚠ Baseline: Start لا يدخل في التقدم",IF($K789="No Start (attainment only)","ℹ تحصيل فقط (بدون Start)",IF($K789="U – needs rule","ℹ حالة U تحتاج قاعدة معتمدة",IF($K789="No result","ℹ بدون نتيجة (يُستبعد من التحصيل)","OK")))))))))))</f>
        <v/>
      </c>
      <c r="M789" s="64" t="n">
        <f aca="false">IF($A789="",0,IFERROR(MATCH($A789,Classes!$A$6:$A$420,0),0))</f>
        <v>0</v>
      </c>
      <c r="N789" s="64" t="n">
        <f aca="false">IF($H789="",0,IFERROR(MATCH($H789,GradeList,0),0))</f>
        <v>0</v>
      </c>
      <c r="O789" s="64" t="n">
        <f aca="false">IF(OR($I789="",$I789="NR"),0,IFERROR(MATCH($I789,GradeList,0),0))</f>
        <v>0</v>
      </c>
      <c r="P789" s="64" t="n">
        <f aca="false">IF(AND($M789&gt;0,ISNUMBER(MATCH($F789,Lists!$A$2:$A$5,0)),ISNUMBER(MATCH($G789,Lists!$B$2:$B$7,0)),OR($H789="",$N789&gt;0),OR($I789="",$I789="NR",$O789&gt;0),IF(ISNUMBER($J789),AND($J789&gt;=0,$J789=INT($J789)),FALSE())),$J789,0)</f>
        <v>0</v>
      </c>
      <c r="Q789" s="64" t="n">
        <f aca="false">IF(AND($P789&gt;0,$O789&gt;0),$P789,0)</f>
        <v>0</v>
      </c>
      <c r="R789" s="64" t="n">
        <f aca="false">IF(AND($Q789&gt;0,$O789&gt;=AtRank),$Q789,0)</f>
        <v>0</v>
      </c>
      <c r="S789" s="64" t="n">
        <f aca="false">IF(AND($Q789&gt;0,$O789&gt;=AboveRank),$Q789,0)</f>
        <v>0</v>
      </c>
      <c r="T789" s="64" t="n">
        <f aca="false">IF($K789="Less",$P789,0)</f>
        <v>0</v>
      </c>
      <c r="U789" s="64" t="n">
        <f aca="false">IF($K789="Expected",$P789,0)</f>
        <v>0</v>
      </c>
      <c r="V789" s="64" t="n">
        <f aca="false">IF($K789="Better",$P789,0)</f>
        <v>0</v>
      </c>
      <c r="W789" s="64" t="n">
        <f aca="false">IF($K789="U – needs rule",$P789,0)</f>
        <v>0</v>
      </c>
      <c r="X789" s="64" t="n">
        <f aca="false">IF($K789="No Start (attainment only)",$P789,0)</f>
        <v>0</v>
      </c>
    </row>
    <row r="790" customFormat="false" ht="15" hidden="false" customHeight="false" outlineLevel="0" collapsed="false">
      <c r="A790" s="60"/>
      <c r="B790" s="61" t="str">
        <f aca="false">IF($M790=0,"",INDEX(Classes!$E$6:$E$420,$M790))</f>
        <v/>
      </c>
      <c r="C790" s="62" t="str">
        <f aca="false">IF($M790=0,"",INDEX(Classes!$H$6:$H$420,$M790))</f>
        <v/>
      </c>
      <c r="D790" s="61" t="str">
        <f aca="false">IF($M790=0,"",INDEX(Classes!$B$6:$B$420,$M790))</f>
        <v/>
      </c>
      <c r="E790" s="61" t="str">
        <f aca="false">IF($M790=0,"",INDEX(Classes!$C$6:$C$420,$M790))</f>
        <v/>
      </c>
      <c r="F790" s="63"/>
      <c r="G790" s="63"/>
      <c r="H790" s="60"/>
      <c r="I790" s="60"/>
      <c r="J790" s="63"/>
      <c r="K790" s="61" t="str">
        <f aca="false">IF($P790=0,"",IF($F790="Baseline","— Baseline",IF($O790=0,"No result",IF($N790=0,"No Start (attainment only)",IF(OR($N790=1,$O790=1),"U – needs rule",INDEX(MxBody,MATCH($I790,MxCurr,0),MATCH($H790,MxStart,0)))))))</f>
        <v/>
      </c>
      <c r="L790" s="62" t="str">
        <f aca="false">IF(COUNTA($A790,$F790,$G790,$H790,$I790,$J790)=0,"",IF($M790=0,"✖ كود الصف غير موجود",IF(ISNA(MATCH($F790,Lists!$A$2:$A$5,0)),"✖ الفترة غير صحيحة",IF(ISNA(MATCH($G790,Lists!$B$2:$B$7,0)),"✖ المجموعة غير صحيحة",IF(NOT(OR($H790="",$N790&gt;0)),"✖ Start غير صحيح",IF(NOT(OR($I790="",$I790="NR",$O790&gt;0)),"✖ Current غير صحيح",IF(NOT(IF(ISNUMBER($J790),AND($J790&gt;=0,$J790=INT($J790)),FALSE())),"✖ العدد يجب أن يكون صحيحًا ≥ 0",IF(AND($F790="Baseline",$H790&lt;&gt;""),"⚠ Baseline: Start لا يدخل في التقدم",IF($K790="No Start (attainment only)","ℹ تحصيل فقط (بدون Start)",IF($K790="U – needs rule","ℹ حالة U تحتاج قاعدة معتمدة",IF($K790="No result","ℹ بدون نتيجة (يُستبعد من التحصيل)","OK")))))))))))</f>
        <v/>
      </c>
      <c r="M790" s="64" t="n">
        <f aca="false">IF($A790="",0,IFERROR(MATCH($A790,Classes!$A$6:$A$420,0),0))</f>
        <v>0</v>
      </c>
      <c r="N790" s="64" t="n">
        <f aca="false">IF($H790="",0,IFERROR(MATCH($H790,GradeList,0),0))</f>
        <v>0</v>
      </c>
      <c r="O790" s="64" t="n">
        <f aca="false">IF(OR($I790="",$I790="NR"),0,IFERROR(MATCH($I790,GradeList,0),0))</f>
        <v>0</v>
      </c>
      <c r="P790" s="64" t="n">
        <f aca="false">IF(AND($M790&gt;0,ISNUMBER(MATCH($F790,Lists!$A$2:$A$5,0)),ISNUMBER(MATCH($G790,Lists!$B$2:$B$7,0)),OR($H790="",$N790&gt;0),OR($I790="",$I790="NR",$O790&gt;0),IF(ISNUMBER($J790),AND($J790&gt;=0,$J790=INT($J790)),FALSE())),$J790,0)</f>
        <v>0</v>
      </c>
      <c r="Q790" s="64" t="n">
        <f aca="false">IF(AND($P790&gt;0,$O790&gt;0),$P790,0)</f>
        <v>0</v>
      </c>
      <c r="R790" s="64" t="n">
        <f aca="false">IF(AND($Q790&gt;0,$O790&gt;=AtRank),$Q790,0)</f>
        <v>0</v>
      </c>
      <c r="S790" s="64" t="n">
        <f aca="false">IF(AND($Q790&gt;0,$O790&gt;=AboveRank),$Q790,0)</f>
        <v>0</v>
      </c>
      <c r="T790" s="64" t="n">
        <f aca="false">IF($K790="Less",$P790,0)</f>
        <v>0</v>
      </c>
      <c r="U790" s="64" t="n">
        <f aca="false">IF($K790="Expected",$P790,0)</f>
        <v>0</v>
      </c>
      <c r="V790" s="64" t="n">
        <f aca="false">IF($K790="Better",$P790,0)</f>
        <v>0</v>
      </c>
      <c r="W790" s="64" t="n">
        <f aca="false">IF($K790="U – needs rule",$P790,0)</f>
        <v>0</v>
      </c>
      <c r="X790" s="64" t="n">
        <f aca="false">IF($K790="No Start (attainment only)",$P790,0)</f>
        <v>0</v>
      </c>
    </row>
    <row r="791" customFormat="false" ht="15" hidden="false" customHeight="false" outlineLevel="0" collapsed="false">
      <c r="A791" s="60"/>
      <c r="B791" s="61" t="str">
        <f aca="false">IF($M791=0,"",INDEX(Classes!$E$6:$E$420,$M791))</f>
        <v/>
      </c>
      <c r="C791" s="62" t="str">
        <f aca="false">IF($M791=0,"",INDEX(Classes!$H$6:$H$420,$M791))</f>
        <v/>
      </c>
      <c r="D791" s="61" t="str">
        <f aca="false">IF($M791=0,"",INDEX(Classes!$B$6:$B$420,$M791))</f>
        <v/>
      </c>
      <c r="E791" s="61" t="str">
        <f aca="false">IF($M791=0,"",INDEX(Classes!$C$6:$C$420,$M791))</f>
        <v/>
      </c>
      <c r="F791" s="63"/>
      <c r="G791" s="63"/>
      <c r="H791" s="60"/>
      <c r="I791" s="60"/>
      <c r="J791" s="63"/>
      <c r="K791" s="61" t="str">
        <f aca="false">IF($P791=0,"",IF($F791="Baseline","— Baseline",IF($O791=0,"No result",IF($N791=0,"No Start (attainment only)",IF(OR($N791=1,$O791=1),"U – needs rule",INDEX(MxBody,MATCH($I791,MxCurr,0),MATCH($H791,MxStart,0)))))))</f>
        <v/>
      </c>
      <c r="L791" s="62" t="str">
        <f aca="false">IF(COUNTA($A791,$F791,$G791,$H791,$I791,$J791)=0,"",IF($M791=0,"✖ كود الصف غير موجود",IF(ISNA(MATCH($F791,Lists!$A$2:$A$5,0)),"✖ الفترة غير صحيحة",IF(ISNA(MATCH($G791,Lists!$B$2:$B$7,0)),"✖ المجموعة غير صحيحة",IF(NOT(OR($H791="",$N791&gt;0)),"✖ Start غير صحيح",IF(NOT(OR($I791="",$I791="NR",$O791&gt;0)),"✖ Current غير صحيح",IF(NOT(IF(ISNUMBER($J791),AND($J791&gt;=0,$J791=INT($J791)),FALSE())),"✖ العدد يجب أن يكون صحيحًا ≥ 0",IF(AND($F791="Baseline",$H791&lt;&gt;""),"⚠ Baseline: Start لا يدخل في التقدم",IF($K791="No Start (attainment only)","ℹ تحصيل فقط (بدون Start)",IF($K791="U – needs rule","ℹ حالة U تحتاج قاعدة معتمدة",IF($K791="No result","ℹ بدون نتيجة (يُستبعد من التحصيل)","OK")))))))))))</f>
        <v/>
      </c>
      <c r="M791" s="64" t="n">
        <f aca="false">IF($A791="",0,IFERROR(MATCH($A791,Classes!$A$6:$A$420,0),0))</f>
        <v>0</v>
      </c>
      <c r="N791" s="64" t="n">
        <f aca="false">IF($H791="",0,IFERROR(MATCH($H791,GradeList,0),0))</f>
        <v>0</v>
      </c>
      <c r="O791" s="64" t="n">
        <f aca="false">IF(OR($I791="",$I791="NR"),0,IFERROR(MATCH($I791,GradeList,0),0))</f>
        <v>0</v>
      </c>
      <c r="P791" s="64" t="n">
        <f aca="false">IF(AND($M791&gt;0,ISNUMBER(MATCH($F791,Lists!$A$2:$A$5,0)),ISNUMBER(MATCH($G791,Lists!$B$2:$B$7,0)),OR($H791="",$N791&gt;0),OR($I791="",$I791="NR",$O791&gt;0),IF(ISNUMBER($J791),AND($J791&gt;=0,$J791=INT($J791)),FALSE())),$J791,0)</f>
        <v>0</v>
      </c>
      <c r="Q791" s="64" t="n">
        <f aca="false">IF(AND($P791&gt;0,$O791&gt;0),$P791,0)</f>
        <v>0</v>
      </c>
      <c r="R791" s="64" t="n">
        <f aca="false">IF(AND($Q791&gt;0,$O791&gt;=AtRank),$Q791,0)</f>
        <v>0</v>
      </c>
      <c r="S791" s="64" t="n">
        <f aca="false">IF(AND($Q791&gt;0,$O791&gt;=AboveRank),$Q791,0)</f>
        <v>0</v>
      </c>
      <c r="T791" s="64" t="n">
        <f aca="false">IF($K791="Less",$P791,0)</f>
        <v>0</v>
      </c>
      <c r="U791" s="64" t="n">
        <f aca="false">IF($K791="Expected",$P791,0)</f>
        <v>0</v>
      </c>
      <c r="V791" s="64" t="n">
        <f aca="false">IF($K791="Better",$P791,0)</f>
        <v>0</v>
      </c>
      <c r="W791" s="64" t="n">
        <f aca="false">IF($K791="U – needs rule",$P791,0)</f>
        <v>0</v>
      </c>
      <c r="X791" s="64" t="n">
        <f aca="false">IF($K791="No Start (attainment only)",$P791,0)</f>
        <v>0</v>
      </c>
    </row>
    <row r="792" customFormat="false" ht="15" hidden="false" customHeight="false" outlineLevel="0" collapsed="false">
      <c r="A792" s="60"/>
      <c r="B792" s="61" t="str">
        <f aca="false">IF($M792=0,"",INDEX(Classes!$E$6:$E$420,$M792))</f>
        <v/>
      </c>
      <c r="C792" s="62" t="str">
        <f aca="false">IF($M792=0,"",INDEX(Classes!$H$6:$H$420,$M792))</f>
        <v/>
      </c>
      <c r="D792" s="61" t="str">
        <f aca="false">IF($M792=0,"",INDEX(Classes!$B$6:$B$420,$M792))</f>
        <v/>
      </c>
      <c r="E792" s="61" t="str">
        <f aca="false">IF($M792=0,"",INDEX(Classes!$C$6:$C$420,$M792))</f>
        <v/>
      </c>
      <c r="F792" s="63"/>
      <c r="G792" s="63"/>
      <c r="H792" s="60"/>
      <c r="I792" s="60"/>
      <c r="J792" s="63"/>
      <c r="K792" s="61" t="str">
        <f aca="false">IF($P792=0,"",IF($F792="Baseline","— Baseline",IF($O792=0,"No result",IF($N792=0,"No Start (attainment only)",IF(OR($N792=1,$O792=1),"U – needs rule",INDEX(MxBody,MATCH($I792,MxCurr,0),MATCH($H792,MxStart,0)))))))</f>
        <v/>
      </c>
      <c r="L792" s="62" t="str">
        <f aca="false">IF(COUNTA($A792,$F792,$G792,$H792,$I792,$J792)=0,"",IF($M792=0,"✖ كود الصف غير موجود",IF(ISNA(MATCH($F792,Lists!$A$2:$A$5,0)),"✖ الفترة غير صحيحة",IF(ISNA(MATCH($G792,Lists!$B$2:$B$7,0)),"✖ المجموعة غير صحيحة",IF(NOT(OR($H792="",$N792&gt;0)),"✖ Start غير صحيح",IF(NOT(OR($I792="",$I792="NR",$O792&gt;0)),"✖ Current غير صحيح",IF(NOT(IF(ISNUMBER($J792),AND($J792&gt;=0,$J792=INT($J792)),FALSE())),"✖ العدد يجب أن يكون صحيحًا ≥ 0",IF(AND($F792="Baseline",$H792&lt;&gt;""),"⚠ Baseline: Start لا يدخل في التقدم",IF($K792="No Start (attainment only)","ℹ تحصيل فقط (بدون Start)",IF($K792="U – needs rule","ℹ حالة U تحتاج قاعدة معتمدة",IF($K792="No result","ℹ بدون نتيجة (يُستبعد من التحصيل)","OK")))))))))))</f>
        <v/>
      </c>
      <c r="M792" s="64" t="n">
        <f aca="false">IF($A792="",0,IFERROR(MATCH($A792,Classes!$A$6:$A$420,0),0))</f>
        <v>0</v>
      </c>
      <c r="N792" s="64" t="n">
        <f aca="false">IF($H792="",0,IFERROR(MATCH($H792,GradeList,0),0))</f>
        <v>0</v>
      </c>
      <c r="O792" s="64" t="n">
        <f aca="false">IF(OR($I792="",$I792="NR"),0,IFERROR(MATCH($I792,GradeList,0),0))</f>
        <v>0</v>
      </c>
      <c r="P792" s="64" t="n">
        <f aca="false">IF(AND($M792&gt;0,ISNUMBER(MATCH($F792,Lists!$A$2:$A$5,0)),ISNUMBER(MATCH($G792,Lists!$B$2:$B$7,0)),OR($H792="",$N792&gt;0),OR($I792="",$I792="NR",$O792&gt;0),IF(ISNUMBER($J792),AND($J792&gt;=0,$J792=INT($J792)),FALSE())),$J792,0)</f>
        <v>0</v>
      </c>
      <c r="Q792" s="64" t="n">
        <f aca="false">IF(AND($P792&gt;0,$O792&gt;0),$P792,0)</f>
        <v>0</v>
      </c>
      <c r="R792" s="64" t="n">
        <f aca="false">IF(AND($Q792&gt;0,$O792&gt;=AtRank),$Q792,0)</f>
        <v>0</v>
      </c>
      <c r="S792" s="64" t="n">
        <f aca="false">IF(AND($Q792&gt;0,$O792&gt;=AboveRank),$Q792,0)</f>
        <v>0</v>
      </c>
      <c r="T792" s="64" t="n">
        <f aca="false">IF($K792="Less",$P792,0)</f>
        <v>0</v>
      </c>
      <c r="U792" s="64" t="n">
        <f aca="false">IF($K792="Expected",$P792,0)</f>
        <v>0</v>
      </c>
      <c r="V792" s="64" t="n">
        <f aca="false">IF($K792="Better",$P792,0)</f>
        <v>0</v>
      </c>
      <c r="W792" s="64" t="n">
        <f aca="false">IF($K792="U – needs rule",$P792,0)</f>
        <v>0</v>
      </c>
      <c r="X792" s="64" t="n">
        <f aca="false">IF($K792="No Start (attainment only)",$P792,0)</f>
        <v>0</v>
      </c>
    </row>
    <row r="793" customFormat="false" ht="15" hidden="false" customHeight="false" outlineLevel="0" collapsed="false">
      <c r="A793" s="60"/>
      <c r="B793" s="61" t="str">
        <f aca="false">IF($M793=0,"",INDEX(Classes!$E$6:$E$420,$M793))</f>
        <v/>
      </c>
      <c r="C793" s="62" t="str">
        <f aca="false">IF($M793=0,"",INDEX(Classes!$H$6:$H$420,$M793))</f>
        <v/>
      </c>
      <c r="D793" s="61" t="str">
        <f aca="false">IF($M793=0,"",INDEX(Classes!$B$6:$B$420,$M793))</f>
        <v/>
      </c>
      <c r="E793" s="61" t="str">
        <f aca="false">IF($M793=0,"",INDEX(Classes!$C$6:$C$420,$M793))</f>
        <v/>
      </c>
      <c r="F793" s="63"/>
      <c r="G793" s="63"/>
      <c r="H793" s="60"/>
      <c r="I793" s="60"/>
      <c r="J793" s="63"/>
      <c r="K793" s="61" t="str">
        <f aca="false">IF($P793=0,"",IF($F793="Baseline","— Baseline",IF($O793=0,"No result",IF($N793=0,"No Start (attainment only)",IF(OR($N793=1,$O793=1),"U – needs rule",INDEX(MxBody,MATCH($I793,MxCurr,0),MATCH($H793,MxStart,0)))))))</f>
        <v/>
      </c>
      <c r="L793" s="62" t="str">
        <f aca="false">IF(COUNTA($A793,$F793,$G793,$H793,$I793,$J793)=0,"",IF($M793=0,"✖ كود الصف غير موجود",IF(ISNA(MATCH($F793,Lists!$A$2:$A$5,0)),"✖ الفترة غير صحيحة",IF(ISNA(MATCH($G793,Lists!$B$2:$B$7,0)),"✖ المجموعة غير صحيحة",IF(NOT(OR($H793="",$N793&gt;0)),"✖ Start غير صحيح",IF(NOT(OR($I793="",$I793="NR",$O793&gt;0)),"✖ Current غير صحيح",IF(NOT(IF(ISNUMBER($J793),AND($J793&gt;=0,$J793=INT($J793)),FALSE())),"✖ العدد يجب أن يكون صحيحًا ≥ 0",IF(AND($F793="Baseline",$H793&lt;&gt;""),"⚠ Baseline: Start لا يدخل في التقدم",IF($K793="No Start (attainment only)","ℹ تحصيل فقط (بدون Start)",IF($K793="U – needs rule","ℹ حالة U تحتاج قاعدة معتمدة",IF($K793="No result","ℹ بدون نتيجة (يُستبعد من التحصيل)","OK")))))))))))</f>
        <v/>
      </c>
      <c r="M793" s="64" t="n">
        <f aca="false">IF($A793="",0,IFERROR(MATCH($A793,Classes!$A$6:$A$420,0),0))</f>
        <v>0</v>
      </c>
      <c r="N793" s="64" t="n">
        <f aca="false">IF($H793="",0,IFERROR(MATCH($H793,GradeList,0),0))</f>
        <v>0</v>
      </c>
      <c r="O793" s="64" t="n">
        <f aca="false">IF(OR($I793="",$I793="NR"),0,IFERROR(MATCH($I793,GradeList,0),0))</f>
        <v>0</v>
      </c>
      <c r="P793" s="64" t="n">
        <f aca="false">IF(AND($M793&gt;0,ISNUMBER(MATCH($F793,Lists!$A$2:$A$5,0)),ISNUMBER(MATCH($G793,Lists!$B$2:$B$7,0)),OR($H793="",$N793&gt;0),OR($I793="",$I793="NR",$O793&gt;0),IF(ISNUMBER($J793),AND($J793&gt;=0,$J793=INT($J793)),FALSE())),$J793,0)</f>
        <v>0</v>
      </c>
      <c r="Q793" s="64" t="n">
        <f aca="false">IF(AND($P793&gt;0,$O793&gt;0),$P793,0)</f>
        <v>0</v>
      </c>
      <c r="R793" s="64" t="n">
        <f aca="false">IF(AND($Q793&gt;0,$O793&gt;=AtRank),$Q793,0)</f>
        <v>0</v>
      </c>
      <c r="S793" s="64" t="n">
        <f aca="false">IF(AND($Q793&gt;0,$O793&gt;=AboveRank),$Q793,0)</f>
        <v>0</v>
      </c>
      <c r="T793" s="64" t="n">
        <f aca="false">IF($K793="Less",$P793,0)</f>
        <v>0</v>
      </c>
      <c r="U793" s="64" t="n">
        <f aca="false">IF($K793="Expected",$P793,0)</f>
        <v>0</v>
      </c>
      <c r="V793" s="64" t="n">
        <f aca="false">IF($K793="Better",$P793,0)</f>
        <v>0</v>
      </c>
      <c r="W793" s="64" t="n">
        <f aca="false">IF($K793="U – needs rule",$P793,0)</f>
        <v>0</v>
      </c>
      <c r="X793" s="64" t="n">
        <f aca="false">IF($K793="No Start (attainment only)",$P793,0)</f>
        <v>0</v>
      </c>
    </row>
    <row r="794" customFormat="false" ht="15" hidden="false" customHeight="false" outlineLevel="0" collapsed="false">
      <c r="A794" s="60"/>
      <c r="B794" s="61" t="str">
        <f aca="false">IF($M794=0,"",INDEX(Classes!$E$6:$E$420,$M794))</f>
        <v/>
      </c>
      <c r="C794" s="62" t="str">
        <f aca="false">IF($M794=0,"",INDEX(Classes!$H$6:$H$420,$M794))</f>
        <v/>
      </c>
      <c r="D794" s="61" t="str">
        <f aca="false">IF($M794=0,"",INDEX(Classes!$B$6:$B$420,$M794))</f>
        <v/>
      </c>
      <c r="E794" s="61" t="str">
        <f aca="false">IF($M794=0,"",INDEX(Classes!$C$6:$C$420,$M794))</f>
        <v/>
      </c>
      <c r="F794" s="63"/>
      <c r="G794" s="63"/>
      <c r="H794" s="60"/>
      <c r="I794" s="60"/>
      <c r="J794" s="63"/>
      <c r="K794" s="61" t="str">
        <f aca="false">IF($P794=0,"",IF($F794="Baseline","— Baseline",IF($O794=0,"No result",IF($N794=0,"No Start (attainment only)",IF(OR($N794=1,$O794=1),"U – needs rule",INDEX(MxBody,MATCH($I794,MxCurr,0),MATCH($H794,MxStart,0)))))))</f>
        <v/>
      </c>
      <c r="L794" s="62" t="str">
        <f aca="false">IF(COUNTA($A794,$F794,$G794,$H794,$I794,$J794)=0,"",IF($M794=0,"✖ كود الصف غير موجود",IF(ISNA(MATCH($F794,Lists!$A$2:$A$5,0)),"✖ الفترة غير صحيحة",IF(ISNA(MATCH($G794,Lists!$B$2:$B$7,0)),"✖ المجموعة غير صحيحة",IF(NOT(OR($H794="",$N794&gt;0)),"✖ Start غير صحيح",IF(NOT(OR($I794="",$I794="NR",$O794&gt;0)),"✖ Current غير صحيح",IF(NOT(IF(ISNUMBER($J794),AND($J794&gt;=0,$J794=INT($J794)),FALSE())),"✖ العدد يجب أن يكون صحيحًا ≥ 0",IF(AND($F794="Baseline",$H794&lt;&gt;""),"⚠ Baseline: Start لا يدخل في التقدم",IF($K794="No Start (attainment only)","ℹ تحصيل فقط (بدون Start)",IF($K794="U – needs rule","ℹ حالة U تحتاج قاعدة معتمدة",IF($K794="No result","ℹ بدون نتيجة (يُستبعد من التحصيل)","OK")))))))))))</f>
        <v/>
      </c>
      <c r="M794" s="64" t="n">
        <f aca="false">IF($A794="",0,IFERROR(MATCH($A794,Classes!$A$6:$A$420,0),0))</f>
        <v>0</v>
      </c>
      <c r="N794" s="64" t="n">
        <f aca="false">IF($H794="",0,IFERROR(MATCH($H794,GradeList,0),0))</f>
        <v>0</v>
      </c>
      <c r="O794" s="64" t="n">
        <f aca="false">IF(OR($I794="",$I794="NR"),0,IFERROR(MATCH($I794,GradeList,0),0))</f>
        <v>0</v>
      </c>
      <c r="P794" s="64" t="n">
        <f aca="false">IF(AND($M794&gt;0,ISNUMBER(MATCH($F794,Lists!$A$2:$A$5,0)),ISNUMBER(MATCH($G794,Lists!$B$2:$B$7,0)),OR($H794="",$N794&gt;0),OR($I794="",$I794="NR",$O794&gt;0),IF(ISNUMBER($J794),AND($J794&gt;=0,$J794=INT($J794)),FALSE())),$J794,0)</f>
        <v>0</v>
      </c>
      <c r="Q794" s="64" t="n">
        <f aca="false">IF(AND($P794&gt;0,$O794&gt;0),$P794,0)</f>
        <v>0</v>
      </c>
      <c r="R794" s="64" t="n">
        <f aca="false">IF(AND($Q794&gt;0,$O794&gt;=AtRank),$Q794,0)</f>
        <v>0</v>
      </c>
      <c r="S794" s="64" t="n">
        <f aca="false">IF(AND($Q794&gt;0,$O794&gt;=AboveRank),$Q794,0)</f>
        <v>0</v>
      </c>
      <c r="T794" s="64" t="n">
        <f aca="false">IF($K794="Less",$P794,0)</f>
        <v>0</v>
      </c>
      <c r="U794" s="64" t="n">
        <f aca="false">IF($K794="Expected",$P794,0)</f>
        <v>0</v>
      </c>
      <c r="V794" s="64" t="n">
        <f aca="false">IF($K794="Better",$P794,0)</f>
        <v>0</v>
      </c>
      <c r="W794" s="64" t="n">
        <f aca="false">IF($K794="U – needs rule",$P794,0)</f>
        <v>0</v>
      </c>
      <c r="X794" s="64" t="n">
        <f aca="false">IF($K794="No Start (attainment only)",$P794,0)</f>
        <v>0</v>
      </c>
    </row>
    <row r="795" customFormat="false" ht="15" hidden="false" customHeight="false" outlineLevel="0" collapsed="false">
      <c r="A795" s="60"/>
      <c r="B795" s="61" t="str">
        <f aca="false">IF($M795=0,"",INDEX(Classes!$E$6:$E$420,$M795))</f>
        <v/>
      </c>
      <c r="C795" s="62" t="str">
        <f aca="false">IF($M795=0,"",INDEX(Classes!$H$6:$H$420,$M795))</f>
        <v/>
      </c>
      <c r="D795" s="61" t="str">
        <f aca="false">IF($M795=0,"",INDEX(Classes!$B$6:$B$420,$M795))</f>
        <v/>
      </c>
      <c r="E795" s="61" t="str">
        <f aca="false">IF($M795=0,"",INDEX(Classes!$C$6:$C$420,$M795))</f>
        <v/>
      </c>
      <c r="F795" s="63"/>
      <c r="G795" s="63"/>
      <c r="H795" s="60"/>
      <c r="I795" s="60"/>
      <c r="J795" s="63"/>
      <c r="K795" s="61" t="str">
        <f aca="false">IF($P795=0,"",IF($F795="Baseline","— Baseline",IF($O795=0,"No result",IF($N795=0,"No Start (attainment only)",IF(OR($N795=1,$O795=1),"U – needs rule",INDEX(MxBody,MATCH($I795,MxCurr,0),MATCH($H795,MxStart,0)))))))</f>
        <v/>
      </c>
      <c r="L795" s="62" t="str">
        <f aca="false">IF(COUNTA($A795,$F795,$G795,$H795,$I795,$J795)=0,"",IF($M795=0,"✖ كود الصف غير موجود",IF(ISNA(MATCH($F795,Lists!$A$2:$A$5,0)),"✖ الفترة غير صحيحة",IF(ISNA(MATCH($G795,Lists!$B$2:$B$7,0)),"✖ المجموعة غير صحيحة",IF(NOT(OR($H795="",$N795&gt;0)),"✖ Start غير صحيح",IF(NOT(OR($I795="",$I795="NR",$O795&gt;0)),"✖ Current غير صحيح",IF(NOT(IF(ISNUMBER($J795),AND($J795&gt;=0,$J795=INT($J795)),FALSE())),"✖ العدد يجب أن يكون صحيحًا ≥ 0",IF(AND($F795="Baseline",$H795&lt;&gt;""),"⚠ Baseline: Start لا يدخل في التقدم",IF($K795="No Start (attainment only)","ℹ تحصيل فقط (بدون Start)",IF($K795="U – needs rule","ℹ حالة U تحتاج قاعدة معتمدة",IF($K795="No result","ℹ بدون نتيجة (يُستبعد من التحصيل)","OK")))))))))))</f>
        <v/>
      </c>
      <c r="M795" s="64" t="n">
        <f aca="false">IF($A795="",0,IFERROR(MATCH($A795,Classes!$A$6:$A$420,0),0))</f>
        <v>0</v>
      </c>
      <c r="N795" s="64" t="n">
        <f aca="false">IF($H795="",0,IFERROR(MATCH($H795,GradeList,0),0))</f>
        <v>0</v>
      </c>
      <c r="O795" s="64" t="n">
        <f aca="false">IF(OR($I795="",$I795="NR"),0,IFERROR(MATCH($I795,GradeList,0),0))</f>
        <v>0</v>
      </c>
      <c r="P795" s="64" t="n">
        <f aca="false">IF(AND($M795&gt;0,ISNUMBER(MATCH($F795,Lists!$A$2:$A$5,0)),ISNUMBER(MATCH($G795,Lists!$B$2:$B$7,0)),OR($H795="",$N795&gt;0),OR($I795="",$I795="NR",$O795&gt;0),IF(ISNUMBER($J795),AND($J795&gt;=0,$J795=INT($J795)),FALSE())),$J795,0)</f>
        <v>0</v>
      </c>
      <c r="Q795" s="64" t="n">
        <f aca="false">IF(AND($P795&gt;0,$O795&gt;0),$P795,0)</f>
        <v>0</v>
      </c>
      <c r="R795" s="64" t="n">
        <f aca="false">IF(AND($Q795&gt;0,$O795&gt;=AtRank),$Q795,0)</f>
        <v>0</v>
      </c>
      <c r="S795" s="64" t="n">
        <f aca="false">IF(AND($Q795&gt;0,$O795&gt;=AboveRank),$Q795,0)</f>
        <v>0</v>
      </c>
      <c r="T795" s="64" t="n">
        <f aca="false">IF($K795="Less",$P795,0)</f>
        <v>0</v>
      </c>
      <c r="U795" s="64" t="n">
        <f aca="false">IF($K795="Expected",$P795,0)</f>
        <v>0</v>
      </c>
      <c r="V795" s="64" t="n">
        <f aca="false">IF($K795="Better",$P795,0)</f>
        <v>0</v>
      </c>
      <c r="W795" s="64" t="n">
        <f aca="false">IF($K795="U – needs rule",$P795,0)</f>
        <v>0</v>
      </c>
      <c r="X795" s="64" t="n">
        <f aca="false">IF($K795="No Start (attainment only)",$P795,0)</f>
        <v>0</v>
      </c>
    </row>
    <row r="796" customFormat="false" ht="15" hidden="false" customHeight="false" outlineLevel="0" collapsed="false">
      <c r="A796" s="60"/>
      <c r="B796" s="61" t="str">
        <f aca="false">IF($M796=0,"",INDEX(Classes!$E$6:$E$420,$M796))</f>
        <v/>
      </c>
      <c r="C796" s="62" t="str">
        <f aca="false">IF($M796=0,"",INDEX(Classes!$H$6:$H$420,$M796))</f>
        <v/>
      </c>
      <c r="D796" s="61" t="str">
        <f aca="false">IF($M796=0,"",INDEX(Classes!$B$6:$B$420,$M796))</f>
        <v/>
      </c>
      <c r="E796" s="61" t="str">
        <f aca="false">IF($M796=0,"",INDEX(Classes!$C$6:$C$420,$M796))</f>
        <v/>
      </c>
      <c r="F796" s="63"/>
      <c r="G796" s="63"/>
      <c r="H796" s="60"/>
      <c r="I796" s="60"/>
      <c r="J796" s="63"/>
      <c r="K796" s="61" t="str">
        <f aca="false">IF($P796=0,"",IF($F796="Baseline","— Baseline",IF($O796=0,"No result",IF($N796=0,"No Start (attainment only)",IF(OR($N796=1,$O796=1),"U – needs rule",INDEX(MxBody,MATCH($I796,MxCurr,0),MATCH($H796,MxStart,0)))))))</f>
        <v/>
      </c>
      <c r="L796" s="62" t="str">
        <f aca="false">IF(COUNTA($A796,$F796,$G796,$H796,$I796,$J796)=0,"",IF($M796=0,"✖ كود الصف غير موجود",IF(ISNA(MATCH($F796,Lists!$A$2:$A$5,0)),"✖ الفترة غير صحيحة",IF(ISNA(MATCH($G796,Lists!$B$2:$B$7,0)),"✖ المجموعة غير صحيحة",IF(NOT(OR($H796="",$N796&gt;0)),"✖ Start غير صحيح",IF(NOT(OR($I796="",$I796="NR",$O796&gt;0)),"✖ Current غير صحيح",IF(NOT(IF(ISNUMBER($J796),AND($J796&gt;=0,$J796=INT($J796)),FALSE())),"✖ العدد يجب أن يكون صحيحًا ≥ 0",IF(AND($F796="Baseline",$H796&lt;&gt;""),"⚠ Baseline: Start لا يدخل في التقدم",IF($K796="No Start (attainment only)","ℹ تحصيل فقط (بدون Start)",IF($K796="U – needs rule","ℹ حالة U تحتاج قاعدة معتمدة",IF($K796="No result","ℹ بدون نتيجة (يُستبعد من التحصيل)","OK")))))))))))</f>
        <v/>
      </c>
      <c r="M796" s="64" t="n">
        <f aca="false">IF($A796="",0,IFERROR(MATCH($A796,Classes!$A$6:$A$420,0),0))</f>
        <v>0</v>
      </c>
      <c r="N796" s="64" t="n">
        <f aca="false">IF($H796="",0,IFERROR(MATCH($H796,GradeList,0),0))</f>
        <v>0</v>
      </c>
      <c r="O796" s="64" t="n">
        <f aca="false">IF(OR($I796="",$I796="NR"),0,IFERROR(MATCH($I796,GradeList,0),0))</f>
        <v>0</v>
      </c>
      <c r="P796" s="64" t="n">
        <f aca="false">IF(AND($M796&gt;0,ISNUMBER(MATCH($F796,Lists!$A$2:$A$5,0)),ISNUMBER(MATCH($G796,Lists!$B$2:$B$7,0)),OR($H796="",$N796&gt;0),OR($I796="",$I796="NR",$O796&gt;0),IF(ISNUMBER($J796),AND($J796&gt;=0,$J796=INT($J796)),FALSE())),$J796,0)</f>
        <v>0</v>
      </c>
      <c r="Q796" s="64" t="n">
        <f aca="false">IF(AND($P796&gt;0,$O796&gt;0),$P796,0)</f>
        <v>0</v>
      </c>
      <c r="R796" s="64" t="n">
        <f aca="false">IF(AND($Q796&gt;0,$O796&gt;=AtRank),$Q796,0)</f>
        <v>0</v>
      </c>
      <c r="S796" s="64" t="n">
        <f aca="false">IF(AND($Q796&gt;0,$O796&gt;=AboveRank),$Q796,0)</f>
        <v>0</v>
      </c>
      <c r="T796" s="64" t="n">
        <f aca="false">IF($K796="Less",$P796,0)</f>
        <v>0</v>
      </c>
      <c r="U796" s="64" t="n">
        <f aca="false">IF($K796="Expected",$P796,0)</f>
        <v>0</v>
      </c>
      <c r="V796" s="64" t="n">
        <f aca="false">IF($K796="Better",$P796,0)</f>
        <v>0</v>
      </c>
      <c r="W796" s="64" t="n">
        <f aca="false">IF($K796="U – needs rule",$P796,0)</f>
        <v>0</v>
      </c>
      <c r="X796" s="64" t="n">
        <f aca="false">IF($K796="No Start (attainment only)",$P796,0)</f>
        <v>0</v>
      </c>
    </row>
    <row r="797" customFormat="false" ht="15" hidden="false" customHeight="false" outlineLevel="0" collapsed="false">
      <c r="A797" s="60"/>
      <c r="B797" s="61" t="str">
        <f aca="false">IF($M797=0,"",INDEX(Classes!$E$6:$E$420,$M797))</f>
        <v/>
      </c>
      <c r="C797" s="62" t="str">
        <f aca="false">IF($M797=0,"",INDEX(Classes!$H$6:$H$420,$M797))</f>
        <v/>
      </c>
      <c r="D797" s="61" t="str">
        <f aca="false">IF($M797=0,"",INDEX(Classes!$B$6:$B$420,$M797))</f>
        <v/>
      </c>
      <c r="E797" s="61" t="str">
        <f aca="false">IF($M797=0,"",INDEX(Classes!$C$6:$C$420,$M797))</f>
        <v/>
      </c>
      <c r="F797" s="63"/>
      <c r="G797" s="63"/>
      <c r="H797" s="60"/>
      <c r="I797" s="60"/>
      <c r="J797" s="63"/>
      <c r="K797" s="61" t="str">
        <f aca="false">IF($P797=0,"",IF($F797="Baseline","— Baseline",IF($O797=0,"No result",IF($N797=0,"No Start (attainment only)",IF(OR($N797=1,$O797=1),"U – needs rule",INDEX(MxBody,MATCH($I797,MxCurr,0),MATCH($H797,MxStart,0)))))))</f>
        <v/>
      </c>
      <c r="L797" s="62" t="str">
        <f aca="false">IF(COUNTA($A797,$F797,$G797,$H797,$I797,$J797)=0,"",IF($M797=0,"✖ كود الصف غير موجود",IF(ISNA(MATCH($F797,Lists!$A$2:$A$5,0)),"✖ الفترة غير صحيحة",IF(ISNA(MATCH($G797,Lists!$B$2:$B$7,0)),"✖ المجموعة غير صحيحة",IF(NOT(OR($H797="",$N797&gt;0)),"✖ Start غير صحيح",IF(NOT(OR($I797="",$I797="NR",$O797&gt;0)),"✖ Current غير صحيح",IF(NOT(IF(ISNUMBER($J797),AND($J797&gt;=0,$J797=INT($J797)),FALSE())),"✖ العدد يجب أن يكون صحيحًا ≥ 0",IF(AND($F797="Baseline",$H797&lt;&gt;""),"⚠ Baseline: Start لا يدخل في التقدم",IF($K797="No Start (attainment only)","ℹ تحصيل فقط (بدون Start)",IF($K797="U – needs rule","ℹ حالة U تحتاج قاعدة معتمدة",IF($K797="No result","ℹ بدون نتيجة (يُستبعد من التحصيل)","OK")))))))))))</f>
        <v/>
      </c>
      <c r="M797" s="64" t="n">
        <f aca="false">IF($A797="",0,IFERROR(MATCH($A797,Classes!$A$6:$A$420,0),0))</f>
        <v>0</v>
      </c>
      <c r="N797" s="64" t="n">
        <f aca="false">IF($H797="",0,IFERROR(MATCH($H797,GradeList,0),0))</f>
        <v>0</v>
      </c>
      <c r="O797" s="64" t="n">
        <f aca="false">IF(OR($I797="",$I797="NR"),0,IFERROR(MATCH($I797,GradeList,0),0))</f>
        <v>0</v>
      </c>
      <c r="P797" s="64" t="n">
        <f aca="false">IF(AND($M797&gt;0,ISNUMBER(MATCH($F797,Lists!$A$2:$A$5,0)),ISNUMBER(MATCH($G797,Lists!$B$2:$B$7,0)),OR($H797="",$N797&gt;0),OR($I797="",$I797="NR",$O797&gt;0),IF(ISNUMBER($J797),AND($J797&gt;=0,$J797=INT($J797)),FALSE())),$J797,0)</f>
        <v>0</v>
      </c>
      <c r="Q797" s="64" t="n">
        <f aca="false">IF(AND($P797&gt;0,$O797&gt;0),$P797,0)</f>
        <v>0</v>
      </c>
      <c r="R797" s="64" t="n">
        <f aca="false">IF(AND($Q797&gt;0,$O797&gt;=AtRank),$Q797,0)</f>
        <v>0</v>
      </c>
      <c r="S797" s="64" t="n">
        <f aca="false">IF(AND($Q797&gt;0,$O797&gt;=AboveRank),$Q797,0)</f>
        <v>0</v>
      </c>
      <c r="T797" s="64" t="n">
        <f aca="false">IF($K797="Less",$P797,0)</f>
        <v>0</v>
      </c>
      <c r="U797" s="64" t="n">
        <f aca="false">IF($K797="Expected",$P797,0)</f>
        <v>0</v>
      </c>
      <c r="V797" s="64" t="n">
        <f aca="false">IF($K797="Better",$P797,0)</f>
        <v>0</v>
      </c>
      <c r="W797" s="64" t="n">
        <f aca="false">IF($K797="U – needs rule",$P797,0)</f>
        <v>0</v>
      </c>
      <c r="X797" s="64" t="n">
        <f aca="false">IF($K797="No Start (attainment only)",$P797,0)</f>
        <v>0</v>
      </c>
    </row>
    <row r="798" customFormat="false" ht="15" hidden="false" customHeight="false" outlineLevel="0" collapsed="false">
      <c r="A798" s="60"/>
      <c r="B798" s="61" t="str">
        <f aca="false">IF($M798=0,"",INDEX(Classes!$E$6:$E$420,$M798))</f>
        <v/>
      </c>
      <c r="C798" s="62" t="str">
        <f aca="false">IF($M798=0,"",INDEX(Classes!$H$6:$H$420,$M798))</f>
        <v/>
      </c>
      <c r="D798" s="61" t="str">
        <f aca="false">IF($M798=0,"",INDEX(Classes!$B$6:$B$420,$M798))</f>
        <v/>
      </c>
      <c r="E798" s="61" t="str">
        <f aca="false">IF($M798=0,"",INDEX(Classes!$C$6:$C$420,$M798))</f>
        <v/>
      </c>
      <c r="F798" s="63"/>
      <c r="G798" s="63"/>
      <c r="H798" s="60"/>
      <c r="I798" s="60"/>
      <c r="J798" s="63"/>
      <c r="K798" s="61" t="str">
        <f aca="false">IF($P798=0,"",IF($F798="Baseline","— Baseline",IF($O798=0,"No result",IF($N798=0,"No Start (attainment only)",IF(OR($N798=1,$O798=1),"U – needs rule",INDEX(MxBody,MATCH($I798,MxCurr,0),MATCH($H798,MxStart,0)))))))</f>
        <v/>
      </c>
      <c r="L798" s="62" t="str">
        <f aca="false">IF(COUNTA($A798,$F798,$G798,$H798,$I798,$J798)=0,"",IF($M798=0,"✖ كود الصف غير موجود",IF(ISNA(MATCH($F798,Lists!$A$2:$A$5,0)),"✖ الفترة غير صحيحة",IF(ISNA(MATCH($G798,Lists!$B$2:$B$7,0)),"✖ المجموعة غير صحيحة",IF(NOT(OR($H798="",$N798&gt;0)),"✖ Start غير صحيح",IF(NOT(OR($I798="",$I798="NR",$O798&gt;0)),"✖ Current غير صحيح",IF(NOT(IF(ISNUMBER($J798),AND($J798&gt;=0,$J798=INT($J798)),FALSE())),"✖ العدد يجب أن يكون صحيحًا ≥ 0",IF(AND($F798="Baseline",$H798&lt;&gt;""),"⚠ Baseline: Start لا يدخل في التقدم",IF($K798="No Start (attainment only)","ℹ تحصيل فقط (بدون Start)",IF($K798="U – needs rule","ℹ حالة U تحتاج قاعدة معتمدة",IF($K798="No result","ℹ بدون نتيجة (يُستبعد من التحصيل)","OK")))))))))))</f>
        <v/>
      </c>
      <c r="M798" s="64" t="n">
        <f aca="false">IF($A798="",0,IFERROR(MATCH($A798,Classes!$A$6:$A$420,0),0))</f>
        <v>0</v>
      </c>
      <c r="N798" s="64" t="n">
        <f aca="false">IF($H798="",0,IFERROR(MATCH($H798,GradeList,0),0))</f>
        <v>0</v>
      </c>
      <c r="O798" s="64" t="n">
        <f aca="false">IF(OR($I798="",$I798="NR"),0,IFERROR(MATCH($I798,GradeList,0),0))</f>
        <v>0</v>
      </c>
      <c r="P798" s="64" t="n">
        <f aca="false">IF(AND($M798&gt;0,ISNUMBER(MATCH($F798,Lists!$A$2:$A$5,0)),ISNUMBER(MATCH($G798,Lists!$B$2:$B$7,0)),OR($H798="",$N798&gt;0),OR($I798="",$I798="NR",$O798&gt;0),IF(ISNUMBER($J798),AND($J798&gt;=0,$J798=INT($J798)),FALSE())),$J798,0)</f>
        <v>0</v>
      </c>
      <c r="Q798" s="64" t="n">
        <f aca="false">IF(AND($P798&gt;0,$O798&gt;0),$P798,0)</f>
        <v>0</v>
      </c>
      <c r="R798" s="64" t="n">
        <f aca="false">IF(AND($Q798&gt;0,$O798&gt;=AtRank),$Q798,0)</f>
        <v>0</v>
      </c>
      <c r="S798" s="64" t="n">
        <f aca="false">IF(AND($Q798&gt;0,$O798&gt;=AboveRank),$Q798,0)</f>
        <v>0</v>
      </c>
      <c r="T798" s="64" t="n">
        <f aca="false">IF($K798="Less",$P798,0)</f>
        <v>0</v>
      </c>
      <c r="U798" s="64" t="n">
        <f aca="false">IF($K798="Expected",$P798,0)</f>
        <v>0</v>
      </c>
      <c r="V798" s="64" t="n">
        <f aca="false">IF($K798="Better",$P798,0)</f>
        <v>0</v>
      </c>
      <c r="W798" s="64" t="n">
        <f aca="false">IF($K798="U – needs rule",$P798,0)</f>
        <v>0</v>
      </c>
      <c r="X798" s="64" t="n">
        <f aca="false">IF($K798="No Start (attainment only)",$P798,0)</f>
        <v>0</v>
      </c>
    </row>
    <row r="799" customFormat="false" ht="15" hidden="false" customHeight="false" outlineLevel="0" collapsed="false">
      <c r="A799" s="60"/>
      <c r="B799" s="61" t="str">
        <f aca="false">IF($M799=0,"",INDEX(Classes!$E$6:$E$420,$M799))</f>
        <v/>
      </c>
      <c r="C799" s="62" t="str">
        <f aca="false">IF($M799=0,"",INDEX(Classes!$H$6:$H$420,$M799))</f>
        <v/>
      </c>
      <c r="D799" s="61" t="str">
        <f aca="false">IF($M799=0,"",INDEX(Classes!$B$6:$B$420,$M799))</f>
        <v/>
      </c>
      <c r="E799" s="61" t="str">
        <f aca="false">IF($M799=0,"",INDEX(Classes!$C$6:$C$420,$M799))</f>
        <v/>
      </c>
      <c r="F799" s="63"/>
      <c r="G799" s="63"/>
      <c r="H799" s="60"/>
      <c r="I799" s="60"/>
      <c r="J799" s="63"/>
      <c r="K799" s="61" t="str">
        <f aca="false">IF($P799=0,"",IF($F799="Baseline","— Baseline",IF($O799=0,"No result",IF($N799=0,"No Start (attainment only)",IF(OR($N799=1,$O799=1),"U – needs rule",INDEX(MxBody,MATCH($I799,MxCurr,0),MATCH($H799,MxStart,0)))))))</f>
        <v/>
      </c>
      <c r="L799" s="62" t="str">
        <f aca="false">IF(COUNTA($A799,$F799,$G799,$H799,$I799,$J799)=0,"",IF($M799=0,"✖ كود الصف غير موجود",IF(ISNA(MATCH($F799,Lists!$A$2:$A$5,0)),"✖ الفترة غير صحيحة",IF(ISNA(MATCH($G799,Lists!$B$2:$B$7,0)),"✖ المجموعة غير صحيحة",IF(NOT(OR($H799="",$N799&gt;0)),"✖ Start غير صحيح",IF(NOT(OR($I799="",$I799="NR",$O799&gt;0)),"✖ Current غير صحيح",IF(NOT(IF(ISNUMBER($J799),AND($J799&gt;=0,$J799=INT($J799)),FALSE())),"✖ العدد يجب أن يكون صحيحًا ≥ 0",IF(AND($F799="Baseline",$H799&lt;&gt;""),"⚠ Baseline: Start لا يدخل في التقدم",IF($K799="No Start (attainment only)","ℹ تحصيل فقط (بدون Start)",IF($K799="U – needs rule","ℹ حالة U تحتاج قاعدة معتمدة",IF($K799="No result","ℹ بدون نتيجة (يُستبعد من التحصيل)","OK")))))))))))</f>
        <v/>
      </c>
      <c r="M799" s="64" t="n">
        <f aca="false">IF($A799="",0,IFERROR(MATCH($A799,Classes!$A$6:$A$420,0),0))</f>
        <v>0</v>
      </c>
      <c r="N799" s="64" t="n">
        <f aca="false">IF($H799="",0,IFERROR(MATCH($H799,GradeList,0),0))</f>
        <v>0</v>
      </c>
      <c r="O799" s="64" t="n">
        <f aca="false">IF(OR($I799="",$I799="NR"),0,IFERROR(MATCH($I799,GradeList,0),0))</f>
        <v>0</v>
      </c>
      <c r="P799" s="64" t="n">
        <f aca="false">IF(AND($M799&gt;0,ISNUMBER(MATCH($F799,Lists!$A$2:$A$5,0)),ISNUMBER(MATCH($G799,Lists!$B$2:$B$7,0)),OR($H799="",$N799&gt;0),OR($I799="",$I799="NR",$O799&gt;0),IF(ISNUMBER($J799),AND($J799&gt;=0,$J799=INT($J799)),FALSE())),$J799,0)</f>
        <v>0</v>
      </c>
      <c r="Q799" s="64" t="n">
        <f aca="false">IF(AND($P799&gt;0,$O799&gt;0),$P799,0)</f>
        <v>0</v>
      </c>
      <c r="R799" s="64" t="n">
        <f aca="false">IF(AND($Q799&gt;0,$O799&gt;=AtRank),$Q799,0)</f>
        <v>0</v>
      </c>
      <c r="S799" s="64" t="n">
        <f aca="false">IF(AND($Q799&gt;0,$O799&gt;=AboveRank),$Q799,0)</f>
        <v>0</v>
      </c>
      <c r="T799" s="64" t="n">
        <f aca="false">IF($K799="Less",$P799,0)</f>
        <v>0</v>
      </c>
      <c r="U799" s="64" t="n">
        <f aca="false">IF($K799="Expected",$P799,0)</f>
        <v>0</v>
      </c>
      <c r="V799" s="64" t="n">
        <f aca="false">IF($K799="Better",$P799,0)</f>
        <v>0</v>
      </c>
      <c r="W799" s="64" t="n">
        <f aca="false">IF($K799="U – needs rule",$P799,0)</f>
        <v>0</v>
      </c>
      <c r="X799" s="64" t="n">
        <f aca="false">IF($K799="No Start (attainment only)",$P799,0)</f>
        <v>0</v>
      </c>
    </row>
    <row r="800" customFormat="false" ht="15" hidden="false" customHeight="false" outlineLevel="0" collapsed="false">
      <c r="A800" s="60"/>
      <c r="B800" s="61" t="str">
        <f aca="false">IF($M800=0,"",INDEX(Classes!$E$6:$E$420,$M800))</f>
        <v/>
      </c>
      <c r="C800" s="62" t="str">
        <f aca="false">IF($M800=0,"",INDEX(Classes!$H$6:$H$420,$M800))</f>
        <v/>
      </c>
      <c r="D800" s="61" t="str">
        <f aca="false">IF($M800=0,"",INDEX(Classes!$B$6:$B$420,$M800))</f>
        <v/>
      </c>
      <c r="E800" s="61" t="str">
        <f aca="false">IF($M800=0,"",INDEX(Classes!$C$6:$C$420,$M800))</f>
        <v/>
      </c>
      <c r="F800" s="63"/>
      <c r="G800" s="63"/>
      <c r="H800" s="60"/>
      <c r="I800" s="60"/>
      <c r="J800" s="63"/>
      <c r="K800" s="61" t="str">
        <f aca="false">IF($P800=0,"",IF($F800="Baseline","— Baseline",IF($O800=0,"No result",IF($N800=0,"No Start (attainment only)",IF(OR($N800=1,$O800=1),"U – needs rule",INDEX(MxBody,MATCH($I800,MxCurr,0),MATCH($H800,MxStart,0)))))))</f>
        <v/>
      </c>
      <c r="L800" s="62" t="str">
        <f aca="false">IF(COUNTA($A800,$F800,$G800,$H800,$I800,$J800)=0,"",IF($M800=0,"✖ كود الصف غير موجود",IF(ISNA(MATCH($F800,Lists!$A$2:$A$5,0)),"✖ الفترة غير صحيحة",IF(ISNA(MATCH($G800,Lists!$B$2:$B$7,0)),"✖ المجموعة غير صحيحة",IF(NOT(OR($H800="",$N800&gt;0)),"✖ Start غير صحيح",IF(NOT(OR($I800="",$I800="NR",$O800&gt;0)),"✖ Current غير صحيح",IF(NOT(IF(ISNUMBER($J800),AND($J800&gt;=0,$J800=INT($J800)),FALSE())),"✖ العدد يجب أن يكون صحيحًا ≥ 0",IF(AND($F800="Baseline",$H800&lt;&gt;""),"⚠ Baseline: Start لا يدخل في التقدم",IF($K800="No Start (attainment only)","ℹ تحصيل فقط (بدون Start)",IF($K800="U – needs rule","ℹ حالة U تحتاج قاعدة معتمدة",IF($K800="No result","ℹ بدون نتيجة (يُستبعد من التحصيل)","OK")))))))))))</f>
        <v/>
      </c>
      <c r="M800" s="64" t="n">
        <f aca="false">IF($A800="",0,IFERROR(MATCH($A800,Classes!$A$6:$A$420,0),0))</f>
        <v>0</v>
      </c>
      <c r="N800" s="64" t="n">
        <f aca="false">IF($H800="",0,IFERROR(MATCH($H800,GradeList,0),0))</f>
        <v>0</v>
      </c>
      <c r="O800" s="64" t="n">
        <f aca="false">IF(OR($I800="",$I800="NR"),0,IFERROR(MATCH($I800,GradeList,0),0))</f>
        <v>0</v>
      </c>
      <c r="P800" s="64" t="n">
        <f aca="false">IF(AND($M800&gt;0,ISNUMBER(MATCH($F800,Lists!$A$2:$A$5,0)),ISNUMBER(MATCH($G800,Lists!$B$2:$B$7,0)),OR($H800="",$N800&gt;0),OR($I800="",$I800="NR",$O800&gt;0),IF(ISNUMBER($J800),AND($J800&gt;=0,$J800=INT($J800)),FALSE())),$J800,0)</f>
        <v>0</v>
      </c>
      <c r="Q800" s="64" t="n">
        <f aca="false">IF(AND($P800&gt;0,$O800&gt;0),$P800,0)</f>
        <v>0</v>
      </c>
      <c r="R800" s="64" t="n">
        <f aca="false">IF(AND($Q800&gt;0,$O800&gt;=AtRank),$Q800,0)</f>
        <v>0</v>
      </c>
      <c r="S800" s="64" t="n">
        <f aca="false">IF(AND($Q800&gt;0,$O800&gt;=AboveRank),$Q800,0)</f>
        <v>0</v>
      </c>
      <c r="T800" s="64" t="n">
        <f aca="false">IF($K800="Less",$P800,0)</f>
        <v>0</v>
      </c>
      <c r="U800" s="64" t="n">
        <f aca="false">IF($K800="Expected",$P800,0)</f>
        <v>0</v>
      </c>
      <c r="V800" s="64" t="n">
        <f aca="false">IF($K800="Better",$P800,0)</f>
        <v>0</v>
      </c>
      <c r="W800" s="64" t="n">
        <f aca="false">IF($K800="U – needs rule",$P800,0)</f>
        <v>0</v>
      </c>
      <c r="X800" s="64" t="n">
        <f aca="false">IF($K800="No Start (attainment only)",$P800,0)</f>
        <v>0</v>
      </c>
    </row>
    <row r="801" customFormat="false" ht="15" hidden="false" customHeight="false" outlineLevel="0" collapsed="false">
      <c r="A801" s="60"/>
      <c r="B801" s="61" t="str">
        <f aca="false">IF($M801=0,"",INDEX(Classes!$E$6:$E$420,$M801))</f>
        <v/>
      </c>
      <c r="C801" s="62" t="str">
        <f aca="false">IF($M801=0,"",INDEX(Classes!$H$6:$H$420,$M801))</f>
        <v/>
      </c>
      <c r="D801" s="61" t="str">
        <f aca="false">IF($M801=0,"",INDEX(Classes!$B$6:$B$420,$M801))</f>
        <v/>
      </c>
      <c r="E801" s="61" t="str">
        <f aca="false">IF($M801=0,"",INDEX(Classes!$C$6:$C$420,$M801))</f>
        <v/>
      </c>
      <c r="F801" s="63"/>
      <c r="G801" s="63"/>
      <c r="H801" s="60"/>
      <c r="I801" s="60"/>
      <c r="J801" s="63"/>
      <c r="K801" s="61" t="str">
        <f aca="false">IF($P801=0,"",IF($F801="Baseline","— Baseline",IF($O801=0,"No result",IF($N801=0,"No Start (attainment only)",IF(OR($N801=1,$O801=1),"U – needs rule",INDEX(MxBody,MATCH($I801,MxCurr,0),MATCH($H801,MxStart,0)))))))</f>
        <v/>
      </c>
      <c r="L801" s="62" t="str">
        <f aca="false">IF(COUNTA($A801,$F801,$G801,$H801,$I801,$J801)=0,"",IF($M801=0,"✖ كود الصف غير موجود",IF(ISNA(MATCH($F801,Lists!$A$2:$A$5,0)),"✖ الفترة غير صحيحة",IF(ISNA(MATCH($G801,Lists!$B$2:$B$7,0)),"✖ المجموعة غير صحيحة",IF(NOT(OR($H801="",$N801&gt;0)),"✖ Start غير صحيح",IF(NOT(OR($I801="",$I801="NR",$O801&gt;0)),"✖ Current غير صحيح",IF(NOT(IF(ISNUMBER($J801),AND($J801&gt;=0,$J801=INT($J801)),FALSE())),"✖ العدد يجب أن يكون صحيحًا ≥ 0",IF(AND($F801="Baseline",$H801&lt;&gt;""),"⚠ Baseline: Start لا يدخل في التقدم",IF($K801="No Start (attainment only)","ℹ تحصيل فقط (بدون Start)",IF($K801="U – needs rule","ℹ حالة U تحتاج قاعدة معتمدة",IF($K801="No result","ℹ بدون نتيجة (يُستبعد من التحصيل)","OK")))))))))))</f>
        <v/>
      </c>
      <c r="M801" s="64" t="n">
        <f aca="false">IF($A801="",0,IFERROR(MATCH($A801,Classes!$A$6:$A$420,0),0))</f>
        <v>0</v>
      </c>
      <c r="N801" s="64" t="n">
        <f aca="false">IF($H801="",0,IFERROR(MATCH($H801,GradeList,0),0))</f>
        <v>0</v>
      </c>
      <c r="O801" s="64" t="n">
        <f aca="false">IF(OR($I801="",$I801="NR"),0,IFERROR(MATCH($I801,GradeList,0),0))</f>
        <v>0</v>
      </c>
      <c r="P801" s="64" t="n">
        <f aca="false">IF(AND($M801&gt;0,ISNUMBER(MATCH($F801,Lists!$A$2:$A$5,0)),ISNUMBER(MATCH($G801,Lists!$B$2:$B$7,0)),OR($H801="",$N801&gt;0),OR($I801="",$I801="NR",$O801&gt;0),IF(ISNUMBER($J801),AND($J801&gt;=0,$J801=INT($J801)),FALSE())),$J801,0)</f>
        <v>0</v>
      </c>
      <c r="Q801" s="64" t="n">
        <f aca="false">IF(AND($P801&gt;0,$O801&gt;0),$P801,0)</f>
        <v>0</v>
      </c>
      <c r="R801" s="64" t="n">
        <f aca="false">IF(AND($Q801&gt;0,$O801&gt;=AtRank),$Q801,0)</f>
        <v>0</v>
      </c>
      <c r="S801" s="64" t="n">
        <f aca="false">IF(AND($Q801&gt;0,$O801&gt;=AboveRank),$Q801,0)</f>
        <v>0</v>
      </c>
      <c r="T801" s="64" t="n">
        <f aca="false">IF($K801="Less",$P801,0)</f>
        <v>0</v>
      </c>
      <c r="U801" s="64" t="n">
        <f aca="false">IF($K801="Expected",$P801,0)</f>
        <v>0</v>
      </c>
      <c r="V801" s="64" t="n">
        <f aca="false">IF($K801="Better",$P801,0)</f>
        <v>0</v>
      </c>
      <c r="W801" s="64" t="n">
        <f aca="false">IF($K801="U – needs rule",$P801,0)</f>
        <v>0</v>
      </c>
      <c r="X801" s="64" t="n">
        <f aca="false">IF($K801="No Start (attainment only)",$P801,0)</f>
        <v>0</v>
      </c>
    </row>
    <row r="802" customFormat="false" ht="15" hidden="false" customHeight="false" outlineLevel="0" collapsed="false">
      <c r="A802" s="60"/>
      <c r="B802" s="61" t="str">
        <f aca="false">IF($M802=0,"",INDEX(Classes!$E$6:$E$420,$M802))</f>
        <v/>
      </c>
      <c r="C802" s="62" t="str">
        <f aca="false">IF($M802=0,"",INDEX(Classes!$H$6:$H$420,$M802))</f>
        <v/>
      </c>
      <c r="D802" s="61" t="str">
        <f aca="false">IF($M802=0,"",INDEX(Classes!$B$6:$B$420,$M802))</f>
        <v/>
      </c>
      <c r="E802" s="61" t="str">
        <f aca="false">IF($M802=0,"",INDEX(Classes!$C$6:$C$420,$M802))</f>
        <v/>
      </c>
      <c r="F802" s="63"/>
      <c r="G802" s="63"/>
      <c r="H802" s="60"/>
      <c r="I802" s="60"/>
      <c r="J802" s="63"/>
      <c r="K802" s="61" t="str">
        <f aca="false">IF($P802=0,"",IF($F802="Baseline","— Baseline",IF($O802=0,"No result",IF($N802=0,"No Start (attainment only)",IF(OR($N802=1,$O802=1),"U – needs rule",INDEX(MxBody,MATCH($I802,MxCurr,0),MATCH($H802,MxStart,0)))))))</f>
        <v/>
      </c>
      <c r="L802" s="62" t="str">
        <f aca="false">IF(COUNTA($A802,$F802,$G802,$H802,$I802,$J802)=0,"",IF($M802=0,"✖ كود الصف غير موجود",IF(ISNA(MATCH($F802,Lists!$A$2:$A$5,0)),"✖ الفترة غير صحيحة",IF(ISNA(MATCH($G802,Lists!$B$2:$B$7,0)),"✖ المجموعة غير صحيحة",IF(NOT(OR($H802="",$N802&gt;0)),"✖ Start غير صحيح",IF(NOT(OR($I802="",$I802="NR",$O802&gt;0)),"✖ Current غير صحيح",IF(NOT(IF(ISNUMBER($J802),AND($J802&gt;=0,$J802=INT($J802)),FALSE())),"✖ العدد يجب أن يكون صحيحًا ≥ 0",IF(AND($F802="Baseline",$H802&lt;&gt;""),"⚠ Baseline: Start لا يدخل في التقدم",IF($K802="No Start (attainment only)","ℹ تحصيل فقط (بدون Start)",IF($K802="U – needs rule","ℹ حالة U تحتاج قاعدة معتمدة",IF($K802="No result","ℹ بدون نتيجة (يُستبعد من التحصيل)","OK")))))))))))</f>
        <v/>
      </c>
      <c r="M802" s="64" t="n">
        <f aca="false">IF($A802="",0,IFERROR(MATCH($A802,Classes!$A$6:$A$420,0),0))</f>
        <v>0</v>
      </c>
      <c r="N802" s="64" t="n">
        <f aca="false">IF($H802="",0,IFERROR(MATCH($H802,GradeList,0),0))</f>
        <v>0</v>
      </c>
      <c r="O802" s="64" t="n">
        <f aca="false">IF(OR($I802="",$I802="NR"),0,IFERROR(MATCH($I802,GradeList,0),0))</f>
        <v>0</v>
      </c>
      <c r="P802" s="64" t="n">
        <f aca="false">IF(AND($M802&gt;0,ISNUMBER(MATCH($F802,Lists!$A$2:$A$5,0)),ISNUMBER(MATCH($G802,Lists!$B$2:$B$7,0)),OR($H802="",$N802&gt;0),OR($I802="",$I802="NR",$O802&gt;0),IF(ISNUMBER($J802),AND($J802&gt;=0,$J802=INT($J802)),FALSE())),$J802,0)</f>
        <v>0</v>
      </c>
      <c r="Q802" s="64" t="n">
        <f aca="false">IF(AND($P802&gt;0,$O802&gt;0),$P802,0)</f>
        <v>0</v>
      </c>
      <c r="R802" s="64" t="n">
        <f aca="false">IF(AND($Q802&gt;0,$O802&gt;=AtRank),$Q802,0)</f>
        <v>0</v>
      </c>
      <c r="S802" s="64" t="n">
        <f aca="false">IF(AND($Q802&gt;0,$O802&gt;=AboveRank),$Q802,0)</f>
        <v>0</v>
      </c>
      <c r="T802" s="64" t="n">
        <f aca="false">IF($K802="Less",$P802,0)</f>
        <v>0</v>
      </c>
      <c r="U802" s="64" t="n">
        <f aca="false">IF($K802="Expected",$P802,0)</f>
        <v>0</v>
      </c>
      <c r="V802" s="64" t="n">
        <f aca="false">IF($K802="Better",$P802,0)</f>
        <v>0</v>
      </c>
      <c r="W802" s="64" t="n">
        <f aca="false">IF($K802="U – needs rule",$P802,0)</f>
        <v>0</v>
      </c>
      <c r="X802" s="64" t="n">
        <f aca="false">IF($K802="No Start (attainment only)",$P802,0)</f>
        <v>0</v>
      </c>
    </row>
    <row r="803" customFormat="false" ht="15" hidden="false" customHeight="false" outlineLevel="0" collapsed="false">
      <c r="A803" s="60"/>
      <c r="B803" s="61" t="str">
        <f aca="false">IF($M803=0,"",INDEX(Classes!$E$6:$E$420,$M803))</f>
        <v/>
      </c>
      <c r="C803" s="62" t="str">
        <f aca="false">IF($M803=0,"",INDEX(Classes!$H$6:$H$420,$M803))</f>
        <v/>
      </c>
      <c r="D803" s="61" t="str">
        <f aca="false">IF($M803=0,"",INDEX(Classes!$B$6:$B$420,$M803))</f>
        <v/>
      </c>
      <c r="E803" s="61" t="str">
        <f aca="false">IF($M803=0,"",INDEX(Classes!$C$6:$C$420,$M803))</f>
        <v/>
      </c>
      <c r="F803" s="63"/>
      <c r="G803" s="63"/>
      <c r="H803" s="60"/>
      <c r="I803" s="60"/>
      <c r="J803" s="63"/>
      <c r="K803" s="61" t="str">
        <f aca="false">IF($P803=0,"",IF($F803="Baseline","— Baseline",IF($O803=0,"No result",IF($N803=0,"No Start (attainment only)",IF(OR($N803=1,$O803=1),"U – needs rule",INDEX(MxBody,MATCH($I803,MxCurr,0),MATCH($H803,MxStart,0)))))))</f>
        <v/>
      </c>
      <c r="L803" s="62" t="str">
        <f aca="false">IF(COUNTA($A803,$F803,$G803,$H803,$I803,$J803)=0,"",IF($M803=0,"✖ كود الصف غير موجود",IF(ISNA(MATCH($F803,Lists!$A$2:$A$5,0)),"✖ الفترة غير صحيحة",IF(ISNA(MATCH($G803,Lists!$B$2:$B$7,0)),"✖ المجموعة غير صحيحة",IF(NOT(OR($H803="",$N803&gt;0)),"✖ Start غير صحيح",IF(NOT(OR($I803="",$I803="NR",$O803&gt;0)),"✖ Current غير صحيح",IF(NOT(IF(ISNUMBER($J803),AND($J803&gt;=0,$J803=INT($J803)),FALSE())),"✖ العدد يجب أن يكون صحيحًا ≥ 0",IF(AND($F803="Baseline",$H803&lt;&gt;""),"⚠ Baseline: Start لا يدخل في التقدم",IF($K803="No Start (attainment only)","ℹ تحصيل فقط (بدون Start)",IF($K803="U – needs rule","ℹ حالة U تحتاج قاعدة معتمدة",IF($K803="No result","ℹ بدون نتيجة (يُستبعد من التحصيل)","OK")))))))))))</f>
        <v/>
      </c>
      <c r="M803" s="64" t="n">
        <f aca="false">IF($A803="",0,IFERROR(MATCH($A803,Classes!$A$6:$A$420,0),0))</f>
        <v>0</v>
      </c>
      <c r="N803" s="64" t="n">
        <f aca="false">IF($H803="",0,IFERROR(MATCH($H803,GradeList,0),0))</f>
        <v>0</v>
      </c>
      <c r="O803" s="64" t="n">
        <f aca="false">IF(OR($I803="",$I803="NR"),0,IFERROR(MATCH($I803,GradeList,0),0))</f>
        <v>0</v>
      </c>
      <c r="P803" s="64" t="n">
        <f aca="false">IF(AND($M803&gt;0,ISNUMBER(MATCH($F803,Lists!$A$2:$A$5,0)),ISNUMBER(MATCH($G803,Lists!$B$2:$B$7,0)),OR($H803="",$N803&gt;0),OR($I803="",$I803="NR",$O803&gt;0),IF(ISNUMBER($J803),AND($J803&gt;=0,$J803=INT($J803)),FALSE())),$J803,0)</f>
        <v>0</v>
      </c>
      <c r="Q803" s="64" t="n">
        <f aca="false">IF(AND($P803&gt;0,$O803&gt;0),$P803,0)</f>
        <v>0</v>
      </c>
      <c r="R803" s="64" t="n">
        <f aca="false">IF(AND($Q803&gt;0,$O803&gt;=AtRank),$Q803,0)</f>
        <v>0</v>
      </c>
      <c r="S803" s="64" t="n">
        <f aca="false">IF(AND($Q803&gt;0,$O803&gt;=AboveRank),$Q803,0)</f>
        <v>0</v>
      </c>
      <c r="T803" s="64" t="n">
        <f aca="false">IF($K803="Less",$P803,0)</f>
        <v>0</v>
      </c>
      <c r="U803" s="64" t="n">
        <f aca="false">IF($K803="Expected",$P803,0)</f>
        <v>0</v>
      </c>
      <c r="V803" s="64" t="n">
        <f aca="false">IF($K803="Better",$P803,0)</f>
        <v>0</v>
      </c>
      <c r="W803" s="64" t="n">
        <f aca="false">IF($K803="U – needs rule",$P803,0)</f>
        <v>0</v>
      </c>
      <c r="X803" s="64" t="n">
        <f aca="false">IF($K803="No Start (attainment only)",$P803,0)</f>
        <v>0</v>
      </c>
    </row>
    <row r="804" customFormat="false" ht="15" hidden="false" customHeight="false" outlineLevel="0" collapsed="false">
      <c r="A804" s="60"/>
      <c r="B804" s="61" t="str">
        <f aca="false">IF($M804=0,"",INDEX(Classes!$E$6:$E$420,$M804))</f>
        <v/>
      </c>
      <c r="C804" s="62" t="str">
        <f aca="false">IF($M804=0,"",INDEX(Classes!$H$6:$H$420,$M804))</f>
        <v/>
      </c>
      <c r="D804" s="61" t="str">
        <f aca="false">IF($M804=0,"",INDEX(Classes!$B$6:$B$420,$M804))</f>
        <v/>
      </c>
      <c r="E804" s="61" t="str">
        <f aca="false">IF($M804=0,"",INDEX(Classes!$C$6:$C$420,$M804))</f>
        <v/>
      </c>
      <c r="F804" s="63"/>
      <c r="G804" s="63"/>
      <c r="H804" s="60"/>
      <c r="I804" s="60"/>
      <c r="J804" s="63"/>
      <c r="K804" s="61" t="str">
        <f aca="false">IF($P804=0,"",IF($F804="Baseline","— Baseline",IF($O804=0,"No result",IF($N804=0,"No Start (attainment only)",IF(OR($N804=1,$O804=1),"U – needs rule",INDEX(MxBody,MATCH($I804,MxCurr,0),MATCH($H804,MxStart,0)))))))</f>
        <v/>
      </c>
      <c r="L804" s="62" t="str">
        <f aca="false">IF(COUNTA($A804,$F804,$G804,$H804,$I804,$J804)=0,"",IF($M804=0,"✖ كود الصف غير موجود",IF(ISNA(MATCH($F804,Lists!$A$2:$A$5,0)),"✖ الفترة غير صحيحة",IF(ISNA(MATCH($G804,Lists!$B$2:$B$7,0)),"✖ المجموعة غير صحيحة",IF(NOT(OR($H804="",$N804&gt;0)),"✖ Start غير صحيح",IF(NOT(OR($I804="",$I804="NR",$O804&gt;0)),"✖ Current غير صحيح",IF(NOT(IF(ISNUMBER($J804),AND($J804&gt;=0,$J804=INT($J804)),FALSE())),"✖ العدد يجب أن يكون صحيحًا ≥ 0",IF(AND($F804="Baseline",$H804&lt;&gt;""),"⚠ Baseline: Start لا يدخل في التقدم",IF($K804="No Start (attainment only)","ℹ تحصيل فقط (بدون Start)",IF($K804="U – needs rule","ℹ حالة U تحتاج قاعدة معتمدة",IF($K804="No result","ℹ بدون نتيجة (يُستبعد من التحصيل)","OK")))))))))))</f>
        <v/>
      </c>
      <c r="M804" s="64" t="n">
        <f aca="false">IF($A804="",0,IFERROR(MATCH($A804,Classes!$A$6:$A$420,0),0))</f>
        <v>0</v>
      </c>
      <c r="N804" s="64" t="n">
        <f aca="false">IF($H804="",0,IFERROR(MATCH($H804,GradeList,0),0))</f>
        <v>0</v>
      </c>
      <c r="O804" s="64" t="n">
        <f aca="false">IF(OR($I804="",$I804="NR"),0,IFERROR(MATCH($I804,GradeList,0),0))</f>
        <v>0</v>
      </c>
      <c r="P804" s="64" t="n">
        <f aca="false">IF(AND($M804&gt;0,ISNUMBER(MATCH($F804,Lists!$A$2:$A$5,0)),ISNUMBER(MATCH($G804,Lists!$B$2:$B$7,0)),OR($H804="",$N804&gt;0),OR($I804="",$I804="NR",$O804&gt;0),IF(ISNUMBER($J804),AND($J804&gt;=0,$J804=INT($J804)),FALSE())),$J804,0)</f>
        <v>0</v>
      </c>
      <c r="Q804" s="64" t="n">
        <f aca="false">IF(AND($P804&gt;0,$O804&gt;0),$P804,0)</f>
        <v>0</v>
      </c>
      <c r="R804" s="64" t="n">
        <f aca="false">IF(AND($Q804&gt;0,$O804&gt;=AtRank),$Q804,0)</f>
        <v>0</v>
      </c>
      <c r="S804" s="64" t="n">
        <f aca="false">IF(AND($Q804&gt;0,$O804&gt;=AboveRank),$Q804,0)</f>
        <v>0</v>
      </c>
      <c r="T804" s="64" t="n">
        <f aca="false">IF($K804="Less",$P804,0)</f>
        <v>0</v>
      </c>
      <c r="U804" s="64" t="n">
        <f aca="false">IF($K804="Expected",$P804,0)</f>
        <v>0</v>
      </c>
      <c r="V804" s="64" t="n">
        <f aca="false">IF($K804="Better",$P804,0)</f>
        <v>0</v>
      </c>
      <c r="W804" s="64" t="n">
        <f aca="false">IF($K804="U – needs rule",$P804,0)</f>
        <v>0</v>
      </c>
      <c r="X804" s="64" t="n">
        <f aca="false">IF($K804="No Start (attainment only)",$P804,0)</f>
        <v>0</v>
      </c>
    </row>
    <row r="805" customFormat="false" ht="15" hidden="false" customHeight="false" outlineLevel="0" collapsed="false">
      <c r="A805" s="60"/>
      <c r="B805" s="61" t="str">
        <f aca="false">IF($M805=0,"",INDEX(Classes!$E$6:$E$420,$M805))</f>
        <v/>
      </c>
      <c r="C805" s="62" t="str">
        <f aca="false">IF($M805=0,"",INDEX(Classes!$H$6:$H$420,$M805))</f>
        <v/>
      </c>
      <c r="D805" s="61" t="str">
        <f aca="false">IF($M805=0,"",INDEX(Classes!$B$6:$B$420,$M805))</f>
        <v/>
      </c>
      <c r="E805" s="61" t="str">
        <f aca="false">IF($M805=0,"",INDEX(Classes!$C$6:$C$420,$M805))</f>
        <v/>
      </c>
      <c r="F805" s="63"/>
      <c r="G805" s="63"/>
      <c r="H805" s="60"/>
      <c r="I805" s="60"/>
      <c r="J805" s="63"/>
      <c r="K805" s="61" t="str">
        <f aca="false">IF($P805=0,"",IF($F805="Baseline","— Baseline",IF($O805=0,"No result",IF($N805=0,"No Start (attainment only)",IF(OR($N805=1,$O805=1),"U – needs rule",INDEX(MxBody,MATCH($I805,MxCurr,0),MATCH($H805,MxStart,0)))))))</f>
        <v/>
      </c>
      <c r="L805" s="62" t="str">
        <f aca="false">IF(COUNTA($A805,$F805,$G805,$H805,$I805,$J805)=0,"",IF($M805=0,"✖ كود الصف غير موجود",IF(ISNA(MATCH($F805,Lists!$A$2:$A$5,0)),"✖ الفترة غير صحيحة",IF(ISNA(MATCH($G805,Lists!$B$2:$B$7,0)),"✖ المجموعة غير صحيحة",IF(NOT(OR($H805="",$N805&gt;0)),"✖ Start غير صحيح",IF(NOT(OR($I805="",$I805="NR",$O805&gt;0)),"✖ Current غير صحيح",IF(NOT(IF(ISNUMBER($J805),AND($J805&gt;=0,$J805=INT($J805)),FALSE())),"✖ العدد يجب أن يكون صحيحًا ≥ 0",IF(AND($F805="Baseline",$H805&lt;&gt;""),"⚠ Baseline: Start لا يدخل في التقدم",IF($K805="No Start (attainment only)","ℹ تحصيل فقط (بدون Start)",IF($K805="U – needs rule","ℹ حالة U تحتاج قاعدة معتمدة",IF($K805="No result","ℹ بدون نتيجة (يُستبعد من التحصيل)","OK")))))))))))</f>
        <v/>
      </c>
      <c r="M805" s="64" t="n">
        <f aca="false">IF($A805="",0,IFERROR(MATCH($A805,Classes!$A$6:$A$420,0),0))</f>
        <v>0</v>
      </c>
      <c r="N805" s="64" t="n">
        <f aca="false">IF($H805="",0,IFERROR(MATCH($H805,GradeList,0),0))</f>
        <v>0</v>
      </c>
      <c r="O805" s="64" t="n">
        <f aca="false">IF(OR($I805="",$I805="NR"),0,IFERROR(MATCH($I805,GradeList,0),0))</f>
        <v>0</v>
      </c>
      <c r="P805" s="64" t="n">
        <f aca="false">IF(AND($M805&gt;0,ISNUMBER(MATCH($F805,Lists!$A$2:$A$5,0)),ISNUMBER(MATCH($G805,Lists!$B$2:$B$7,0)),OR($H805="",$N805&gt;0),OR($I805="",$I805="NR",$O805&gt;0),IF(ISNUMBER($J805),AND($J805&gt;=0,$J805=INT($J805)),FALSE())),$J805,0)</f>
        <v>0</v>
      </c>
      <c r="Q805" s="64" t="n">
        <f aca="false">IF(AND($P805&gt;0,$O805&gt;0),$P805,0)</f>
        <v>0</v>
      </c>
      <c r="R805" s="64" t="n">
        <f aca="false">IF(AND($Q805&gt;0,$O805&gt;=AtRank),$Q805,0)</f>
        <v>0</v>
      </c>
      <c r="S805" s="64" t="n">
        <f aca="false">IF(AND($Q805&gt;0,$O805&gt;=AboveRank),$Q805,0)</f>
        <v>0</v>
      </c>
      <c r="T805" s="64" t="n">
        <f aca="false">IF($K805="Less",$P805,0)</f>
        <v>0</v>
      </c>
      <c r="U805" s="64" t="n">
        <f aca="false">IF($K805="Expected",$P805,0)</f>
        <v>0</v>
      </c>
      <c r="V805" s="64" t="n">
        <f aca="false">IF($K805="Better",$P805,0)</f>
        <v>0</v>
      </c>
      <c r="W805" s="64" t="n">
        <f aca="false">IF($K805="U – needs rule",$P805,0)</f>
        <v>0</v>
      </c>
      <c r="X805" s="64" t="n">
        <f aca="false">IF($K805="No Start (attainment only)",$P805,0)</f>
        <v>0</v>
      </c>
    </row>
    <row r="806" customFormat="false" ht="15" hidden="false" customHeight="false" outlineLevel="0" collapsed="false">
      <c r="A806" s="60"/>
      <c r="B806" s="61" t="str">
        <f aca="false">IF($M806=0,"",INDEX(Classes!$E$6:$E$420,$M806))</f>
        <v/>
      </c>
      <c r="C806" s="62" t="str">
        <f aca="false">IF($M806=0,"",INDEX(Classes!$H$6:$H$420,$M806))</f>
        <v/>
      </c>
      <c r="D806" s="61" t="str">
        <f aca="false">IF($M806=0,"",INDEX(Classes!$B$6:$B$420,$M806))</f>
        <v/>
      </c>
      <c r="E806" s="61" t="str">
        <f aca="false">IF($M806=0,"",INDEX(Classes!$C$6:$C$420,$M806))</f>
        <v/>
      </c>
      <c r="F806" s="63"/>
      <c r="G806" s="63"/>
      <c r="H806" s="60"/>
      <c r="I806" s="60"/>
      <c r="J806" s="63"/>
      <c r="K806" s="61" t="str">
        <f aca="false">IF($P806=0,"",IF($F806="Baseline","— Baseline",IF($O806=0,"No result",IF($N806=0,"No Start (attainment only)",IF(OR($N806=1,$O806=1),"U – needs rule",INDEX(MxBody,MATCH($I806,MxCurr,0),MATCH($H806,MxStart,0)))))))</f>
        <v/>
      </c>
      <c r="L806" s="62" t="str">
        <f aca="false">IF(COUNTA($A806,$F806,$G806,$H806,$I806,$J806)=0,"",IF($M806=0,"✖ كود الصف غير موجود",IF(ISNA(MATCH($F806,Lists!$A$2:$A$5,0)),"✖ الفترة غير صحيحة",IF(ISNA(MATCH($G806,Lists!$B$2:$B$7,0)),"✖ المجموعة غير صحيحة",IF(NOT(OR($H806="",$N806&gt;0)),"✖ Start غير صحيح",IF(NOT(OR($I806="",$I806="NR",$O806&gt;0)),"✖ Current غير صحيح",IF(NOT(IF(ISNUMBER($J806),AND($J806&gt;=0,$J806=INT($J806)),FALSE())),"✖ العدد يجب أن يكون صحيحًا ≥ 0",IF(AND($F806="Baseline",$H806&lt;&gt;""),"⚠ Baseline: Start لا يدخل في التقدم",IF($K806="No Start (attainment only)","ℹ تحصيل فقط (بدون Start)",IF($K806="U – needs rule","ℹ حالة U تحتاج قاعدة معتمدة",IF($K806="No result","ℹ بدون نتيجة (يُستبعد من التحصيل)","OK")))))))))))</f>
        <v/>
      </c>
      <c r="M806" s="64" t="n">
        <f aca="false">IF($A806="",0,IFERROR(MATCH($A806,Classes!$A$6:$A$420,0),0))</f>
        <v>0</v>
      </c>
      <c r="N806" s="64" t="n">
        <f aca="false">IF($H806="",0,IFERROR(MATCH($H806,GradeList,0),0))</f>
        <v>0</v>
      </c>
      <c r="O806" s="64" t="n">
        <f aca="false">IF(OR($I806="",$I806="NR"),0,IFERROR(MATCH($I806,GradeList,0),0))</f>
        <v>0</v>
      </c>
      <c r="P806" s="64" t="n">
        <f aca="false">IF(AND($M806&gt;0,ISNUMBER(MATCH($F806,Lists!$A$2:$A$5,0)),ISNUMBER(MATCH($G806,Lists!$B$2:$B$7,0)),OR($H806="",$N806&gt;0),OR($I806="",$I806="NR",$O806&gt;0),IF(ISNUMBER($J806),AND($J806&gt;=0,$J806=INT($J806)),FALSE())),$J806,0)</f>
        <v>0</v>
      </c>
      <c r="Q806" s="64" t="n">
        <f aca="false">IF(AND($P806&gt;0,$O806&gt;0),$P806,0)</f>
        <v>0</v>
      </c>
      <c r="R806" s="64" t="n">
        <f aca="false">IF(AND($Q806&gt;0,$O806&gt;=AtRank),$Q806,0)</f>
        <v>0</v>
      </c>
      <c r="S806" s="64" t="n">
        <f aca="false">IF(AND($Q806&gt;0,$O806&gt;=AboveRank),$Q806,0)</f>
        <v>0</v>
      </c>
      <c r="T806" s="64" t="n">
        <f aca="false">IF($K806="Less",$P806,0)</f>
        <v>0</v>
      </c>
      <c r="U806" s="64" t="n">
        <f aca="false">IF($K806="Expected",$P806,0)</f>
        <v>0</v>
      </c>
      <c r="V806" s="64" t="n">
        <f aca="false">IF($K806="Better",$P806,0)</f>
        <v>0</v>
      </c>
      <c r="W806" s="64" t="n">
        <f aca="false">IF($K806="U – needs rule",$P806,0)</f>
        <v>0</v>
      </c>
      <c r="X806" s="64" t="n">
        <f aca="false">IF($K806="No Start (attainment only)",$P806,0)</f>
        <v>0</v>
      </c>
    </row>
    <row r="807" customFormat="false" ht="15" hidden="false" customHeight="false" outlineLevel="0" collapsed="false">
      <c r="A807" s="60"/>
      <c r="B807" s="61" t="str">
        <f aca="false">IF($M807=0,"",INDEX(Classes!$E$6:$E$420,$M807))</f>
        <v/>
      </c>
      <c r="C807" s="62" t="str">
        <f aca="false">IF($M807=0,"",INDEX(Classes!$H$6:$H$420,$M807))</f>
        <v/>
      </c>
      <c r="D807" s="61" t="str">
        <f aca="false">IF($M807=0,"",INDEX(Classes!$B$6:$B$420,$M807))</f>
        <v/>
      </c>
      <c r="E807" s="61" t="str">
        <f aca="false">IF($M807=0,"",INDEX(Classes!$C$6:$C$420,$M807))</f>
        <v/>
      </c>
      <c r="F807" s="63"/>
      <c r="G807" s="63"/>
      <c r="H807" s="60"/>
      <c r="I807" s="60"/>
      <c r="J807" s="63"/>
      <c r="K807" s="61" t="str">
        <f aca="false">IF($P807=0,"",IF($F807="Baseline","— Baseline",IF($O807=0,"No result",IF($N807=0,"No Start (attainment only)",IF(OR($N807=1,$O807=1),"U – needs rule",INDEX(MxBody,MATCH($I807,MxCurr,0),MATCH($H807,MxStart,0)))))))</f>
        <v/>
      </c>
      <c r="L807" s="62" t="str">
        <f aca="false">IF(COUNTA($A807,$F807,$G807,$H807,$I807,$J807)=0,"",IF($M807=0,"✖ كود الصف غير موجود",IF(ISNA(MATCH($F807,Lists!$A$2:$A$5,0)),"✖ الفترة غير صحيحة",IF(ISNA(MATCH($G807,Lists!$B$2:$B$7,0)),"✖ المجموعة غير صحيحة",IF(NOT(OR($H807="",$N807&gt;0)),"✖ Start غير صحيح",IF(NOT(OR($I807="",$I807="NR",$O807&gt;0)),"✖ Current غير صحيح",IF(NOT(IF(ISNUMBER($J807),AND($J807&gt;=0,$J807=INT($J807)),FALSE())),"✖ العدد يجب أن يكون صحيحًا ≥ 0",IF(AND($F807="Baseline",$H807&lt;&gt;""),"⚠ Baseline: Start لا يدخل في التقدم",IF($K807="No Start (attainment only)","ℹ تحصيل فقط (بدون Start)",IF($K807="U – needs rule","ℹ حالة U تحتاج قاعدة معتمدة",IF($K807="No result","ℹ بدون نتيجة (يُستبعد من التحصيل)","OK")))))))))))</f>
        <v/>
      </c>
      <c r="M807" s="64" t="n">
        <f aca="false">IF($A807="",0,IFERROR(MATCH($A807,Classes!$A$6:$A$420,0),0))</f>
        <v>0</v>
      </c>
      <c r="N807" s="64" t="n">
        <f aca="false">IF($H807="",0,IFERROR(MATCH($H807,GradeList,0),0))</f>
        <v>0</v>
      </c>
      <c r="O807" s="64" t="n">
        <f aca="false">IF(OR($I807="",$I807="NR"),0,IFERROR(MATCH($I807,GradeList,0),0))</f>
        <v>0</v>
      </c>
      <c r="P807" s="64" t="n">
        <f aca="false">IF(AND($M807&gt;0,ISNUMBER(MATCH($F807,Lists!$A$2:$A$5,0)),ISNUMBER(MATCH($G807,Lists!$B$2:$B$7,0)),OR($H807="",$N807&gt;0),OR($I807="",$I807="NR",$O807&gt;0),IF(ISNUMBER($J807),AND($J807&gt;=0,$J807=INT($J807)),FALSE())),$J807,0)</f>
        <v>0</v>
      </c>
      <c r="Q807" s="64" t="n">
        <f aca="false">IF(AND($P807&gt;0,$O807&gt;0),$P807,0)</f>
        <v>0</v>
      </c>
      <c r="R807" s="64" t="n">
        <f aca="false">IF(AND($Q807&gt;0,$O807&gt;=AtRank),$Q807,0)</f>
        <v>0</v>
      </c>
      <c r="S807" s="64" t="n">
        <f aca="false">IF(AND($Q807&gt;0,$O807&gt;=AboveRank),$Q807,0)</f>
        <v>0</v>
      </c>
      <c r="T807" s="64" t="n">
        <f aca="false">IF($K807="Less",$P807,0)</f>
        <v>0</v>
      </c>
      <c r="U807" s="64" t="n">
        <f aca="false">IF($K807="Expected",$P807,0)</f>
        <v>0</v>
      </c>
      <c r="V807" s="64" t="n">
        <f aca="false">IF($K807="Better",$P807,0)</f>
        <v>0</v>
      </c>
      <c r="W807" s="64" t="n">
        <f aca="false">IF($K807="U – needs rule",$P807,0)</f>
        <v>0</v>
      </c>
      <c r="X807" s="64" t="n">
        <f aca="false">IF($K807="No Start (attainment only)",$P807,0)</f>
        <v>0</v>
      </c>
    </row>
    <row r="808" customFormat="false" ht="15" hidden="false" customHeight="false" outlineLevel="0" collapsed="false">
      <c r="A808" s="60"/>
      <c r="B808" s="61" t="str">
        <f aca="false">IF($M808=0,"",INDEX(Classes!$E$6:$E$420,$M808))</f>
        <v/>
      </c>
      <c r="C808" s="62" t="str">
        <f aca="false">IF($M808=0,"",INDEX(Classes!$H$6:$H$420,$M808))</f>
        <v/>
      </c>
      <c r="D808" s="61" t="str">
        <f aca="false">IF($M808=0,"",INDEX(Classes!$B$6:$B$420,$M808))</f>
        <v/>
      </c>
      <c r="E808" s="61" t="str">
        <f aca="false">IF($M808=0,"",INDEX(Classes!$C$6:$C$420,$M808))</f>
        <v/>
      </c>
      <c r="F808" s="63"/>
      <c r="G808" s="63"/>
      <c r="H808" s="60"/>
      <c r="I808" s="60"/>
      <c r="J808" s="63"/>
      <c r="K808" s="61" t="str">
        <f aca="false">IF($P808=0,"",IF($F808="Baseline","— Baseline",IF($O808=0,"No result",IF($N808=0,"No Start (attainment only)",IF(OR($N808=1,$O808=1),"U – needs rule",INDEX(MxBody,MATCH($I808,MxCurr,0),MATCH($H808,MxStart,0)))))))</f>
        <v/>
      </c>
      <c r="L808" s="62" t="str">
        <f aca="false">IF(COUNTA($A808,$F808,$G808,$H808,$I808,$J808)=0,"",IF($M808=0,"✖ كود الصف غير موجود",IF(ISNA(MATCH($F808,Lists!$A$2:$A$5,0)),"✖ الفترة غير صحيحة",IF(ISNA(MATCH($G808,Lists!$B$2:$B$7,0)),"✖ المجموعة غير صحيحة",IF(NOT(OR($H808="",$N808&gt;0)),"✖ Start غير صحيح",IF(NOT(OR($I808="",$I808="NR",$O808&gt;0)),"✖ Current غير صحيح",IF(NOT(IF(ISNUMBER($J808),AND($J808&gt;=0,$J808=INT($J808)),FALSE())),"✖ العدد يجب أن يكون صحيحًا ≥ 0",IF(AND($F808="Baseline",$H808&lt;&gt;""),"⚠ Baseline: Start لا يدخل في التقدم",IF($K808="No Start (attainment only)","ℹ تحصيل فقط (بدون Start)",IF($K808="U – needs rule","ℹ حالة U تحتاج قاعدة معتمدة",IF($K808="No result","ℹ بدون نتيجة (يُستبعد من التحصيل)","OK")))))))))))</f>
        <v/>
      </c>
      <c r="M808" s="64" t="n">
        <f aca="false">IF($A808="",0,IFERROR(MATCH($A808,Classes!$A$6:$A$420,0),0))</f>
        <v>0</v>
      </c>
      <c r="N808" s="64" t="n">
        <f aca="false">IF($H808="",0,IFERROR(MATCH($H808,GradeList,0),0))</f>
        <v>0</v>
      </c>
      <c r="O808" s="64" t="n">
        <f aca="false">IF(OR($I808="",$I808="NR"),0,IFERROR(MATCH($I808,GradeList,0),0))</f>
        <v>0</v>
      </c>
      <c r="P808" s="64" t="n">
        <f aca="false">IF(AND($M808&gt;0,ISNUMBER(MATCH($F808,Lists!$A$2:$A$5,0)),ISNUMBER(MATCH($G808,Lists!$B$2:$B$7,0)),OR($H808="",$N808&gt;0),OR($I808="",$I808="NR",$O808&gt;0),IF(ISNUMBER($J808),AND($J808&gt;=0,$J808=INT($J808)),FALSE())),$J808,0)</f>
        <v>0</v>
      </c>
      <c r="Q808" s="64" t="n">
        <f aca="false">IF(AND($P808&gt;0,$O808&gt;0),$P808,0)</f>
        <v>0</v>
      </c>
      <c r="R808" s="64" t="n">
        <f aca="false">IF(AND($Q808&gt;0,$O808&gt;=AtRank),$Q808,0)</f>
        <v>0</v>
      </c>
      <c r="S808" s="64" t="n">
        <f aca="false">IF(AND($Q808&gt;0,$O808&gt;=AboveRank),$Q808,0)</f>
        <v>0</v>
      </c>
      <c r="T808" s="64" t="n">
        <f aca="false">IF($K808="Less",$P808,0)</f>
        <v>0</v>
      </c>
      <c r="U808" s="64" t="n">
        <f aca="false">IF($K808="Expected",$P808,0)</f>
        <v>0</v>
      </c>
      <c r="V808" s="64" t="n">
        <f aca="false">IF($K808="Better",$P808,0)</f>
        <v>0</v>
      </c>
      <c r="W808" s="64" t="n">
        <f aca="false">IF($K808="U – needs rule",$P808,0)</f>
        <v>0</v>
      </c>
      <c r="X808" s="64" t="n">
        <f aca="false">IF($K808="No Start (attainment only)",$P808,0)</f>
        <v>0</v>
      </c>
    </row>
    <row r="809" customFormat="false" ht="15" hidden="false" customHeight="false" outlineLevel="0" collapsed="false">
      <c r="A809" s="60"/>
      <c r="B809" s="61" t="str">
        <f aca="false">IF($M809=0,"",INDEX(Classes!$E$6:$E$420,$M809))</f>
        <v/>
      </c>
      <c r="C809" s="62" t="str">
        <f aca="false">IF($M809=0,"",INDEX(Classes!$H$6:$H$420,$M809))</f>
        <v/>
      </c>
      <c r="D809" s="61" t="str">
        <f aca="false">IF($M809=0,"",INDEX(Classes!$B$6:$B$420,$M809))</f>
        <v/>
      </c>
      <c r="E809" s="61" t="str">
        <f aca="false">IF($M809=0,"",INDEX(Classes!$C$6:$C$420,$M809))</f>
        <v/>
      </c>
      <c r="F809" s="63"/>
      <c r="G809" s="63"/>
      <c r="H809" s="60"/>
      <c r="I809" s="60"/>
      <c r="J809" s="63"/>
      <c r="K809" s="61" t="str">
        <f aca="false">IF($P809=0,"",IF($F809="Baseline","— Baseline",IF($O809=0,"No result",IF($N809=0,"No Start (attainment only)",IF(OR($N809=1,$O809=1),"U – needs rule",INDEX(MxBody,MATCH($I809,MxCurr,0),MATCH($H809,MxStart,0)))))))</f>
        <v/>
      </c>
      <c r="L809" s="62" t="str">
        <f aca="false">IF(COUNTA($A809,$F809,$G809,$H809,$I809,$J809)=0,"",IF($M809=0,"✖ كود الصف غير موجود",IF(ISNA(MATCH($F809,Lists!$A$2:$A$5,0)),"✖ الفترة غير صحيحة",IF(ISNA(MATCH($G809,Lists!$B$2:$B$7,0)),"✖ المجموعة غير صحيحة",IF(NOT(OR($H809="",$N809&gt;0)),"✖ Start غير صحيح",IF(NOT(OR($I809="",$I809="NR",$O809&gt;0)),"✖ Current غير صحيح",IF(NOT(IF(ISNUMBER($J809),AND($J809&gt;=0,$J809=INT($J809)),FALSE())),"✖ العدد يجب أن يكون صحيحًا ≥ 0",IF(AND($F809="Baseline",$H809&lt;&gt;""),"⚠ Baseline: Start لا يدخل في التقدم",IF($K809="No Start (attainment only)","ℹ تحصيل فقط (بدون Start)",IF($K809="U – needs rule","ℹ حالة U تحتاج قاعدة معتمدة",IF($K809="No result","ℹ بدون نتيجة (يُستبعد من التحصيل)","OK")))))))))))</f>
        <v/>
      </c>
      <c r="M809" s="64" t="n">
        <f aca="false">IF($A809="",0,IFERROR(MATCH($A809,Classes!$A$6:$A$420,0),0))</f>
        <v>0</v>
      </c>
      <c r="N809" s="64" t="n">
        <f aca="false">IF($H809="",0,IFERROR(MATCH($H809,GradeList,0),0))</f>
        <v>0</v>
      </c>
      <c r="O809" s="64" t="n">
        <f aca="false">IF(OR($I809="",$I809="NR"),0,IFERROR(MATCH($I809,GradeList,0),0))</f>
        <v>0</v>
      </c>
      <c r="P809" s="64" t="n">
        <f aca="false">IF(AND($M809&gt;0,ISNUMBER(MATCH($F809,Lists!$A$2:$A$5,0)),ISNUMBER(MATCH($G809,Lists!$B$2:$B$7,0)),OR($H809="",$N809&gt;0),OR($I809="",$I809="NR",$O809&gt;0),IF(ISNUMBER($J809),AND($J809&gt;=0,$J809=INT($J809)),FALSE())),$J809,0)</f>
        <v>0</v>
      </c>
      <c r="Q809" s="64" t="n">
        <f aca="false">IF(AND($P809&gt;0,$O809&gt;0),$P809,0)</f>
        <v>0</v>
      </c>
      <c r="R809" s="64" t="n">
        <f aca="false">IF(AND($Q809&gt;0,$O809&gt;=AtRank),$Q809,0)</f>
        <v>0</v>
      </c>
      <c r="S809" s="64" t="n">
        <f aca="false">IF(AND($Q809&gt;0,$O809&gt;=AboveRank),$Q809,0)</f>
        <v>0</v>
      </c>
      <c r="T809" s="64" t="n">
        <f aca="false">IF($K809="Less",$P809,0)</f>
        <v>0</v>
      </c>
      <c r="U809" s="64" t="n">
        <f aca="false">IF($K809="Expected",$P809,0)</f>
        <v>0</v>
      </c>
      <c r="V809" s="64" t="n">
        <f aca="false">IF($K809="Better",$P809,0)</f>
        <v>0</v>
      </c>
      <c r="W809" s="64" t="n">
        <f aca="false">IF($K809="U – needs rule",$P809,0)</f>
        <v>0</v>
      </c>
      <c r="X809" s="64" t="n">
        <f aca="false">IF($K809="No Start (attainment only)",$P809,0)</f>
        <v>0</v>
      </c>
    </row>
    <row r="810" customFormat="false" ht="15" hidden="false" customHeight="false" outlineLevel="0" collapsed="false">
      <c r="A810" s="60"/>
      <c r="B810" s="61" t="str">
        <f aca="false">IF($M810=0,"",INDEX(Classes!$E$6:$E$420,$M810))</f>
        <v/>
      </c>
      <c r="C810" s="62" t="str">
        <f aca="false">IF($M810=0,"",INDEX(Classes!$H$6:$H$420,$M810))</f>
        <v/>
      </c>
      <c r="D810" s="61" t="str">
        <f aca="false">IF($M810=0,"",INDEX(Classes!$B$6:$B$420,$M810))</f>
        <v/>
      </c>
      <c r="E810" s="61" t="str">
        <f aca="false">IF($M810=0,"",INDEX(Classes!$C$6:$C$420,$M810))</f>
        <v/>
      </c>
      <c r="F810" s="63"/>
      <c r="G810" s="63"/>
      <c r="H810" s="60"/>
      <c r="I810" s="60"/>
      <c r="J810" s="63"/>
      <c r="K810" s="61" t="str">
        <f aca="false">IF($P810=0,"",IF($F810="Baseline","— Baseline",IF($O810=0,"No result",IF($N810=0,"No Start (attainment only)",IF(OR($N810=1,$O810=1),"U – needs rule",INDEX(MxBody,MATCH($I810,MxCurr,0),MATCH($H810,MxStart,0)))))))</f>
        <v/>
      </c>
      <c r="L810" s="62" t="str">
        <f aca="false">IF(COUNTA($A810,$F810,$G810,$H810,$I810,$J810)=0,"",IF($M810=0,"✖ كود الصف غير موجود",IF(ISNA(MATCH($F810,Lists!$A$2:$A$5,0)),"✖ الفترة غير صحيحة",IF(ISNA(MATCH($G810,Lists!$B$2:$B$7,0)),"✖ المجموعة غير صحيحة",IF(NOT(OR($H810="",$N810&gt;0)),"✖ Start غير صحيح",IF(NOT(OR($I810="",$I810="NR",$O810&gt;0)),"✖ Current غير صحيح",IF(NOT(IF(ISNUMBER($J810),AND($J810&gt;=0,$J810=INT($J810)),FALSE())),"✖ العدد يجب أن يكون صحيحًا ≥ 0",IF(AND($F810="Baseline",$H810&lt;&gt;""),"⚠ Baseline: Start لا يدخل في التقدم",IF($K810="No Start (attainment only)","ℹ تحصيل فقط (بدون Start)",IF($K810="U – needs rule","ℹ حالة U تحتاج قاعدة معتمدة",IF($K810="No result","ℹ بدون نتيجة (يُستبعد من التحصيل)","OK")))))))))))</f>
        <v/>
      </c>
      <c r="M810" s="64" t="n">
        <f aca="false">IF($A810="",0,IFERROR(MATCH($A810,Classes!$A$6:$A$420,0),0))</f>
        <v>0</v>
      </c>
      <c r="N810" s="64" t="n">
        <f aca="false">IF($H810="",0,IFERROR(MATCH($H810,GradeList,0),0))</f>
        <v>0</v>
      </c>
      <c r="O810" s="64" t="n">
        <f aca="false">IF(OR($I810="",$I810="NR"),0,IFERROR(MATCH($I810,GradeList,0),0))</f>
        <v>0</v>
      </c>
      <c r="P810" s="64" t="n">
        <f aca="false">IF(AND($M810&gt;0,ISNUMBER(MATCH($F810,Lists!$A$2:$A$5,0)),ISNUMBER(MATCH($G810,Lists!$B$2:$B$7,0)),OR($H810="",$N810&gt;0),OR($I810="",$I810="NR",$O810&gt;0),IF(ISNUMBER($J810),AND($J810&gt;=0,$J810=INT($J810)),FALSE())),$J810,0)</f>
        <v>0</v>
      </c>
      <c r="Q810" s="64" t="n">
        <f aca="false">IF(AND($P810&gt;0,$O810&gt;0),$P810,0)</f>
        <v>0</v>
      </c>
      <c r="R810" s="64" t="n">
        <f aca="false">IF(AND($Q810&gt;0,$O810&gt;=AtRank),$Q810,0)</f>
        <v>0</v>
      </c>
      <c r="S810" s="64" t="n">
        <f aca="false">IF(AND($Q810&gt;0,$O810&gt;=AboveRank),$Q810,0)</f>
        <v>0</v>
      </c>
      <c r="T810" s="64" t="n">
        <f aca="false">IF($K810="Less",$P810,0)</f>
        <v>0</v>
      </c>
      <c r="U810" s="64" t="n">
        <f aca="false">IF($K810="Expected",$P810,0)</f>
        <v>0</v>
      </c>
      <c r="V810" s="64" t="n">
        <f aca="false">IF($K810="Better",$P810,0)</f>
        <v>0</v>
      </c>
      <c r="W810" s="64" t="n">
        <f aca="false">IF($K810="U – needs rule",$P810,0)</f>
        <v>0</v>
      </c>
      <c r="X810" s="64" t="n">
        <f aca="false">IF($K810="No Start (attainment only)",$P810,0)</f>
        <v>0</v>
      </c>
    </row>
    <row r="811" customFormat="false" ht="15" hidden="false" customHeight="false" outlineLevel="0" collapsed="false">
      <c r="A811" s="60"/>
      <c r="B811" s="61" t="str">
        <f aca="false">IF($M811=0,"",INDEX(Classes!$E$6:$E$420,$M811))</f>
        <v/>
      </c>
      <c r="C811" s="62" t="str">
        <f aca="false">IF($M811=0,"",INDEX(Classes!$H$6:$H$420,$M811))</f>
        <v/>
      </c>
      <c r="D811" s="61" t="str">
        <f aca="false">IF($M811=0,"",INDEX(Classes!$B$6:$B$420,$M811))</f>
        <v/>
      </c>
      <c r="E811" s="61" t="str">
        <f aca="false">IF($M811=0,"",INDEX(Classes!$C$6:$C$420,$M811))</f>
        <v/>
      </c>
      <c r="F811" s="63"/>
      <c r="G811" s="63"/>
      <c r="H811" s="60"/>
      <c r="I811" s="60"/>
      <c r="J811" s="63"/>
      <c r="K811" s="61" t="str">
        <f aca="false">IF($P811=0,"",IF($F811="Baseline","— Baseline",IF($O811=0,"No result",IF($N811=0,"No Start (attainment only)",IF(OR($N811=1,$O811=1),"U – needs rule",INDEX(MxBody,MATCH($I811,MxCurr,0),MATCH($H811,MxStart,0)))))))</f>
        <v/>
      </c>
      <c r="L811" s="62" t="str">
        <f aca="false">IF(COUNTA($A811,$F811,$G811,$H811,$I811,$J811)=0,"",IF($M811=0,"✖ كود الصف غير موجود",IF(ISNA(MATCH($F811,Lists!$A$2:$A$5,0)),"✖ الفترة غير صحيحة",IF(ISNA(MATCH($G811,Lists!$B$2:$B$7,0)),"✖ المجموعة غير صحيحة",IF(NOT(OR($H811="",$N811&gt;0)),"✖ Start غير صحيح",IF(NOT(OR($I811="",$I811="NR",$O811&gt;0)),"✖ Current غير صحيح",IF(NOT(IF(ISNUMBER($J811),AND($J811&gt;=0,$J811=INT($J811)),FALSE())),"✖ العدد يجب أن يكون صحيحًا ≥ 0",IF(AND($F811="Baseline",$H811&lt;&gt;""),"⚠ Baseline: Start لا يدخل في التقدم",IF($K811="No Start (attainment only)","ℹ تحصيل فقط (بدون Start)",IF($K811="U – needs rule","ℹ حالة U تحتاج قاعدة معتمدة",IF($K811="No result","ℹ بدون نتيجة (يُستبعد من التحصيل)","OK")))))))))))</f>
        <v/>
      </c>
      <c r="M811" s="64" t="n">
        <f aca="false">IF($A811="",0,IFERROR(MATCH($A811,Classes!$A$6:$A$420,0),0))</f>
        <v>0</v>
      </c>
      <c r="N811" s="64" t="n">
        <f aca="false">IF($H811="",0,IFERROR(MATCH($H811,GradeList,0),0))</f>
        <v>0</v>
      </c>
      <c r="O811" s="64" t="n">
        <f aca="false">IF(OR($I811="",$I811="NR"),0,IFERROR(MATCH($I811,GradeList,0),0))</f>
        <v>0</v>
      </c>
      <c r="P811" s="64" t="n">
        <f aca="false">IF(AND($M811&gt;0,ISNUMBER(MATCH($F811,Lists!$A$2:$A$5,0)),ISNUMBER(MATCH($G811,Lists!$B$2:$B$7,0)),OR($H811="",$N811&gt;0),OR($I811="",$I811="NR",$O811&gt;0),IF(ISNUMBER($J811),AND($J811&gt;=0,$J811=INT($J811)),FALSE())),$J811,0)</f>
        <v>0</v>
      </c>
      <c r="Q811" s="64" t="n">
        <f aca="false">IF(AND($P811&gt;0,$O811&gt;0),$P811,0)</f>
        <v>0</v>
      </c>
      <c r="R811" s="64" t="n">
        <f aca="false">IF(AND($Q811&gt;0,$O811&gt;=AtRank),$Q811,0)</f>
        <v>0</v>
      </c>
      <c r="S811" s="64" t="n">
        <f aca="false">IF(AND($Q811&gt;0,$O811&gt;=AboveRank),$Q811,0)</f>
        <v>0</v>
      </c>
      <c r="T811" s="64" t="n">
        <f aca="false">IF($K811="Less",$P811,0)</f>
        <v>0</v>
      </c>
      <c r="U811" s="64" t="n">
        <f aca="false">IF($K811="Expected",$P811,0)</f>
        <v>0</v>
      </c>
      <c r="V811" s="64" t="n">
        <f aca="false">IF($K811="Better",$P811,0)</f>
        <v>0</v>
      </c>
      <c r="W811" s="64" t="n">
        <f aca="false">IF($K811="U – needs rule",$P811,0)</f>
        <v>0</v>
      </c>
      <c r="X811" s="64" t="n">
        <f aca="false">IF($K811="No Start (attainment only)",$P811,0)</f>
        <v>0</v>
      </c>
    </row>
    <row r="812" customFormat="false" ht="15" hidden="false" customHeight="false" outlineLevel="0" collapsed="false">
      <c r="A812" s="60"/>
      <c r="B812" s="61" t="str">
        <f aca="false">IF($M812=0,"",INDEX(Classes!$E$6:$E$420,$M812))</f>
        <v/>
      </c>
      <c r="C812" s="62" t="str">
        <f aca="false">IF($M812=0,"",INDEX(Classes!$H$6:$H$420,$M812))</f>
        <v/>
      </c>
      <c r="D812" s="61" t="str">
        <f aca="false">IF($M812=0,"",INDEX(Classes!$B$6:$B$420,$M812))</f>
        <v/>
      </c>
      <c r="E812" s="61" t="str">
        <f aca="false">IF($M812=0,"",INDEX(Classes!$C$6:$C$420,$M812))</f>
        <v/>
      </c>
      <c r="F812" s="63"/>
      <c r="G812" s="63"/>
      <c r="H812" s="60"/>
      <c r="I812" s="60"/>
      <c r="J812" s="63"/>
      <c r="K812" s="61" t="str">
        <f aca="false">IF($P812=0,"",IF($F812="Baseline","— Baseline",IF($O812=0,"No result",IF($N812=0,"No Start (attainment only)",IF(OR($N812=1,$O812=1),"U – needs rule",INDEX(MxBody,MATCH($I812,MxCurr,0),MATCH($H812,MxStart,0)))))))</f>
        <v/>
      </c>
      <c r="L812" s="62" t="str">
        <f aca="false">IF(COUNTA($A812,$F812,$G812,$H812,$I812,$J812)=0,"",IF($M812=0,"✖ كود الصف غير موجود",IF(ISNA(MATCH($F812,Lists!$A$2:$A$5,0)),"✖ الفترة غير صحيحة",IF(ISNA(MATCH($G812,Lists!$B$2:$B$7,0)),"✖ المجموعة غير صحيحة",IF(NOT(OR($H812="",$N812&gt;0)),"✖ Start غير صحيح",IF(NOT(OR($I812="",$I812="NR",$O812&gt;0)),"✖ Current غير صحيح",IF(NOT(IF(ISNUMBER($J812),AND($J812&gt;=0,$J812=INT($J812)),FALSE())),"✖ العدد يجب أن يكون صحيحًا ≥ 0",IF(AND($F812="Baseline",$H812&lt;&gt;""),"⚠ Baseline: Start لا يدخل في التقدم",IF($K812="No Start (attainment only)","ℹ تحصيل فقط (بدون Start)",IF($K812="U – needs rule","ℹ حالة U تحتاج قاعدة معتمدة",IF($K812="No result","ℹ بدون نتيجة (يُستبعد من التحصيل)","OK")))))))))))</f>
        <v/>
      </c>
      <c r="M812" s="64" t="n">
        <f aca="false">IF($A812="",0,IFERROR(MATCH($A812,Classes!$A$6:$A$420,0),0))</f>
        <v>0</v>
      </c>
      <c r="N812" s="64" t="n">
        <f aca="false">IF($H812="",0,IFERROR(MATCH($H812,GradeList,0),0))</f>
        <v>0</v>
      </c>
      <c r="O812" s="64" t="n">
        <f aca="false">IF(OR($I812="",$I812="NR"),0,IFERROR(MATCH($I812,GradeList,0),0))</f>
        <v>0</v>
      </c>
      <c r="P812" s="64" t="n">
        <f aca="false">IF(AND($M812&gt;0,ISNUMBER(MATCH($F812,Lists!$A$2:$A$5,0)),ISNUMBER(MATCH($G812,Lists!$B$2:$B$7,0)),OR($H812="",$N812&gt;0),OR($I812="",$I812="NR",$O812&gt;0),IF(ISNUMBER($J812),AND($J812&gt;=0,$J812=INT($J812)),FALSE())),$J812,0)</f>
        <v>0</v>
      </c>
      <c r="Q812" s="64" t="n">
        <f aca="false">IF(AND($P812&gt;0,$O812&gt;0),$P812,0)</f>
        <v>0</v>
      </c>
      <c r="R812" s="64" t="n">
        <f aca="false">IF(AND($Q812&gt;0,$O812&gt;=AtRank),$Q812,0)</f>
        <v>0</v>
      </c>
      <c r="S812" s="64" t="n">
        <f aca="false">IF(AND($Q812&gt;0,$O812&gt;=AboveRank),$Q812,0)</f>
        <v>0</v>
      </c>
      <c r="T812" s="64" t="n">
        <f aca="false">IF($K812="Less",$P812,0)</f>
        <v>0</v>
      </c>
      <c r="U812" s="64" t="n">
        <f aca="false">IF($K812="Expected",$P812,0)</f>
        <v>0</v>
      </c>
      <c r="V812" s="64" t="n">
        <f aca="false">IF($K812="Better",$P812,0)</f>
        <v>0</v>
      </c>
      <c r="W812" s="64" t="n">
        <f aca="false">IF($K812="U – needs rule",$P812,0)</f>
        <v>0</v>
      </c>
      <c r="X812" s="64" t="n">
        <f aca="false">IF($K812="No Start (attainment only)",$P812,0)</f>
        <v>0</v>
      </c>
    </row>
    <row r="813" customFormat="false" ht="15" hidden="false" customHeight="false" outlineLevel="0" collapsed="false">
      <c r="A813" s="60"/>
      <c r="B813" s="61" t="str">
        <f aca="false">IF($M813=0,"",INDEX(Classes!$E$6:$E$420,$M813))</f>
        <v/>
      </c>
      <c r="C813" s="62" t="str">
        <f aca="false">IF($M813=0,"",INDEX(Classes!$H$6:$H$420,$M813))</f>
        <v/>
      </c>
      <c r="D813" s="61" t="str">
        <f aca="false">IF($M813=0,"",INDEX(Classes!$B$6:$B$420,$M813))</f>
        <v/>
      </c>
      <c r="E813" s="61" t="str">
        <f aca="false">IF($M813=0,"",INDEX(Classes!$C$6:$C$420,$M813))</f>
        <v/>
      </c>
      <c r="F813" s="63"/>
      <c r="G813" s="63"/>
      <c r="H813" s="60"/>
      <c r="I813" s="60"/>
      <c r="J813" s="63"/>
      <c r="K813" s="61" t="str">
        <f aca="false">IF($P813=0,"",IF($F813="Baseline","— Baseline",IF($O813=0,"No result",IF($N813=0,"No Start (attainment only)",IF(OR($N813=1,$O813=1),"U – needs rule",INDEX(MxBody,MATCH($I813,MxCurr,0),MATCH($H813,MxStart,0)))))))</f>
        <v/>
      </c>
      <c r="L813" s="62" t="str">
        <f aca="false">IF(COUNTA($A813,$F813,$G813,$H813,$I813,$J813)=0,"",IF($M813=0,"✖ كود الصف غير موجود",IF(ISNA(MATCH($F813,Lists!$A$2:$A$5,0)),"✖ الفترة غير صحيحة",IF(ISNA(MATCH($G813,Lists!$B$2:$B$7,0)),"✖ المجموعة غير صحيحة",IF(NOT(OR($H813="",$N813&gt;0)),"✖ Start غير صحيح",IF(NOT(OR($I813="",$I813="NR",$O813&gt;0)),"✖ Current غير صحيح",IF(NOT(IF(ISNUMBER($J813),AND($J813&gt;=0,$J813=INT($J813)),FALSE())),"✖ العدد يجب أن يكون صحيحًا ≥ 0",IF(AND($F813="Baseline",$H813&lt;&gt;""),"⚠ Baseline: Start لا يدخل في التقدم",IF($K813="No Start (attainment only)","ℹ تحصيل فقط (بدون Start)",IF($K813="U – needs rule","ℹ حالة U تحتاج قاعدة معتمدة",IF($K813="No result","ℹ بدون نتيجة (يُستبعد من التحصيل)","OK")))))))))))</f>
        <v/>
      </c>
      <c r="M813" s="64" t="n">
        <f aca="false">IF($A813="",0,IFERROR(MATCH($A813,Classes!$A$6:$A$420,0),0))</f>
        <v>0</v>
      </c>
      <c r="N813" s="64" t="n">
        <f aca="false">IF($H813="",0,IFERROR(MATCH($H813,GradeList,0),0))</f>
        <v>0</v>
      </c>
      <c r="O813" s="64" t="n">
        <f aca="false">IF(OR($I813="",$I813="NR"),0,IFERROR(MATCH($I813,GradeList,0),0))</f>
        <v>0</v>
      </c>
      <c r="P813" s="64" t="n">
        <f aca="false">IF(AND($M813&gt;0,ISNUMBER(MATCH($F813,Lists!$A$2:$A$5,0)),ISNUMBER(MATCH($G813,Lists!$B$2:$B$7,0)),OR($H813="",$N813&gt;0),OR($I813="",$I813="NR",$O813&gt;0),IF(ISNUMBER($J813),AND($J813&gt;=0,$J813=INT($J813)),FALSE())),$J813,0)</f>
        <v>0</v>
      </c>
      <c r="Q813" s="64" t="n">
        <f aca="false">IF(AND($P813&gt;0,$O813&gt;0),$P813,0)</f>
        <v>0</v>
      </c>
      <c r="R813" s="64" t="n">
        <f aca="false">IF(AND($Q813&gt;0,$O813&gt;=AtRank),$Q813,0)</f>
        <v>0</v>
      </c>
      <c r="S813" s="64" t="n">
        <f aca="false">IF(AND($Q813&gt;0,$O813&gt;=AboveRank),$Q813,0)</f>
        <v>0</v>
      </c>
      <c r="T813" s="64" t="n">
        <f aca="false">IF($K813="Less",$P813,0)</f>
        <v>0</v>
      </c>
      <c r="U813" s="64" t="n">
        <f aca="false">IF($K813="Expected",$P813,0)</f>
        <v>0</v>
      </c>
      <c r="V813" s="64" t="n">
        <f aca="false">IF($K813="Better",$P813,0)</f>
        <v>0</v>
      </c>
      <c r="W813" s="64" t="n">
        <f aca="false">IF($K813="U – needs rule",$P813,0)</f>
        <v>0</v>
      </c>
      <c r="X813" s="64" t="n">
        <f aca="false">IF($K813="No Start (attainment only)",$P813,0)</f>
        <v>0</v>
      </c>
    </row>
    <row r="814" customFormat="false" ht="15" hidden="false" customHeight="false" outlineLevel="0" collapsed="false">
      <c r="A814" s="60"/>
      <c r="B814" s="61" t="str">
        <f aca="false">IF($M814=0,"",INDEX(Classes!$E$6:$E$420,$M814))</f>
        <v/>
      </c>
      <c r="C814" s="62" t="str">
        <f aca="false">IF($M814=0,"",INDEX(Classes!$H$6:$H$420,$M814))</f>
        <v/>
      </c>
      <c r="D814" s="61" t="str">
        <f aca="false">IF($M814=0,"",INDEX(Classes!$B$6:$B$420,$M814))</f>
        <v/>
      </c>
      <c r="E814" s="61" t="str">
        <f aca="false">IF($M814=0,"",INDEX(Classes!$C$6:$C$420,$M814))</f>
        <v/>
      </c>
      <c r="F814" s="63"/>
      <c r="G814" s="63"/>
      <c r="H814" s="60"/>
      <c r="I814" s="60"/>
      <c r="J814" s="63"/>
      <c r="K814" s="61" t="str">
        <f aca="false">IF($P814=0,"",IF($F814="Baseline","— Baseline",IF($O814=0,"No result",IF($N814=0,"No Start (attainment only)",IF(OR($N814=1,$O814=1),"U – needs rule",INDEX(MxBody,MATCH($I814,MxCurr,0),MATCH($H814,MxStart,0)))))))</f>
        <v/>
      </c>
      <c r="L814" s="62" t="str">
        <f aca="false">IF(COUNTA($A814,$F814,$G814,$H814,$I814,$J814)=0,"",IF($M814=0,"✖ كود الصف غير موجود",IF(ISNA(MATCH($F814,Lists!$A$2:$A$5,0)),"✖ الفترة غير صحيحة",IF(ISNA(MATCH($G814,Lists!$B$2:$B$7,0)),"✖ المجموعة غير صحيحة",IF(NOT(OR($H814="",$N814&gt;0)),"✖ Start غير صحيح",IF(NOT(OR($I814="",$I814="NR",$O814&gt;0)),"✖ Current غير صحيح",IF(NOT(IF(ISNUMBER($J814),AND($J814&gt;=0,$J814=INT($J814)),FALSE())),"✖ العدد يجب أن يكون صحيحًا ≥ 0",IF(AND($F814="Baseline",$H814&lt;&gt;""),"⚠ Baseline: Start لا يدخل في التقدم",IF($K814="No Start (attainment only)","ℹ تحصيل فقط (بدون Start)",IF($K814="U – needs rule","ℹ حالة U تحتاج قاعدة معتمدة",IF($K814="No result","ℹ بدون نتيجة (يُستبعد من التحصيل)","OK")))))))))))</f>
        <v/>
      </c>
      <c r="M814" s="64" t="n">
        <f aca="false">IF($A814="",0,IFERROR(MATCH($A814,Classes!$A$6:$A$420,0),0))</f>
        <v>0</v>
      </c>
      <c r="N814" s="64" t="n">
        <f aca="false">IF($H814="",0,IFERROR(MATCH($H814,GradeList,0),0))</f>
        <v>0</v>
      </c>
      <c r="O814" s="64" t="n">
        <f aca="false">IF(OR($I814="",$I814="NR"),0,IFERROR(MATCH($I814,GradeList,0),0))</f>
        <v>0</v>
      </c>
      <c r="P814" s="64" t="n">
        <f aca="false">IF(AND($M814&gt;0,ISNUMBER(MATCH($F814,Lists!$A$2:$A$5,0)),ISNUMBER(MATCH($G814,Lists!$B$2:$B$7,0)),OR($H814="",$N814&gt;0),OR($I814="",$I814="NR",$O814&gt;0),IF(ISNUMBER($J814),AND($J814&gt;=0,$J814=INT($J814)),FALSE())),$J814,0)</f>
        <v>0</v>
      </c>
      <c r="Q814" s="64" t="n">
        <f aca="false">IF(AND($P814&gt;0,$O814&gt;0),$P814,0)</f>
        <v>0</v>
      </c>
      <c r="R814" s="64" t="n">
        <f aca="false">IF(AND($Q814&gt;0,$O814&gt;=AtRank),$Q814,0)</f>
        <v>0</v>
      </c>
      <c r="S814" s="64" t="n">
        <f aca="false">IF(AND($Q814&gt;0,$O814&gt;=AboveRank),$Q814,0)</f>
        <v>0</v>
      </c>
      <c r="T814" s="64" t="n">
        <f aca="false">IF($K814="Less",$P814,0)</f>
        <v>0</v>
      </c>
      <c r="U814" s="64" t="n">
        <f aca="false">IF($K814="Expected",$P814,0)</f>
        <v>0</v>
      </c>
      <c r="V814" s="64" t="n">
        <f aca="false">IF($K814="Better",$P814,0)</f>
        <v>0</v>
      </c>
      <c r="W814" s="64" t="n">
        <f aca="false">IF($K814="U – needs rule",$P814,0)</f>
        <v>0</v>
      </c>
      <c r="X814" s="64" t="n">
        <f aca="false">IF($K814="No Start (attainment only)",$P814,0)</f>
        <v>0</v>
      </c>
    </row>
    <row r="815" customFormat="false" ht="15" hidden="false" customHeight="false" outlineLevel="0" collapsed="false">
      <c r="A815" s="60"/>
      <c r="B815" s="61" t="str">
        <f aca="false">IF($M815=0,"",INDEX(Classes!$E$6:$E$420,$M815))</f>
        <v/>
      </c>
      <c r="C815" s="62" t="str">
        <f aca="false">IF($M815=0,"",INDEX(Classes!$H$6:$H$420,$M815))</f>
        <v/>
      </c>
      <c r="D815" s="61" t="str">
        <f aca="false">IF($M815=0,"",INDEX(Classes!$B$6:$B$420,$M815))</f>
        <v/>
      </c>
      <c r="E815" s="61" t="str">
        <f aca="false">IF($M815=0,"",INDEX(Classes!$C$6:$C$420,$M815))</f>
        <v/>
      </c>
      <c r="F815" s="63"/>
      <c r="G815" s="63"/>
      <c r="H815" s="60"/>
      <c r="I815" s="60"/>
      <c r="J815" s="63"/>
      <c r="K815" s="61" t="str">
        <f aca="false">IF($P815=0,"",IF($F815="Baseline","— Baseline",IF($O815=0,"No result",IF($N815=0,"No Start (attainment only)",IF(OR($N815=1,$O815=1),"U – needs rule",INDEX(MxBody,MATCH($I815,MxCurr,0),MATCH($H815,MxStart,0)))))))</f>
        <v/>
      </c>
      <c r="L815" s="62" t="str">
        <f aca="false">IF(COUNTA($A815,$F815,$G815,$H815,$I815,$J815)=0,"",IF($M815=0,"✖ كود الصف غير موجود",IF(ISNA(MATCH($F815,Lists!$A$2:$A$5,0)),"✖ الفترة غير صحيحة",IF(ISNA(MATCH($G815,Lists!$B$2:$B$7,0)),"✖ المجموعة غير صحيحة",IF(NOT(OR($H815="",$N815&gt;0)),"✖ Start غير صحيح",IF(NOT(OR($I815="",$I815="NR",$O815&gt;0)),"✖ Current غير صحيح",IF(NOT(IF(ISNUMBER($J815),AND($J815&gt;=0,$J815=INT($J815)),FALSE())),"✖ العدد يجب أن يكون صحيحًا ≥ 0",IF(AND($F815="Baseline",$H815&lt;&gt;""),"⚠ Baseline: Start لا يدخل في التقدم",IF($K815="No Start (attainment only)","ℹ تحصيل فقط (بدون Start)",IF($K815="U – needs rule","ℹ حالة U تحتاج قاعدة معتمدة",IF($K815="No result","ℹ بدون نتيجة (يُستبعد من التحصيل)","OK")))))))))))</f>
        <v/>
      </c>
      <c r="M815" s="64" t="n">
        <f aca="false">IF($A815="",0,IFERROR(MATCH($A815,Classes!$A$6:$A$420,0),0))</f>
        <v>0</v>
      </c>
      <c r="N815" s="64" t="n">
        <f aca="false">IF($H815="",0,IFERROR(MATCH($H815,GradeList,0),0))</f>
        <v>0</v>
      </c>
      <c r="O815" s="64" t="n">
        <f aca="false">IF(OR($I815="",$I815="NR"),0,IFERROR(MATCH($I815,GradeList,0),0))</f>
        <v>0</v>
      </c>
      <c r="P815" s="64" t="n">
        <f aca="false">IF(AND($M815&gt;0,ISNUMBER(MATCH($F815,Lists!$A$2:$A$5,0)),ISNUMBER(MATCH($G815,Lists!$B$2:$B$7,0)),OR($H815="",$N815&gt;0),OR($I815="",$I815="NR",$O815&gt;0),IF(ISNUMBER($J815),AND($J815&gt;=0,$J815=INT($J815)),FALSE())),$J815,0)</f>
        <v>0</v>
      </c>
      <c r="Q815" s="64" t="n">
        <f aca="false">IF(AND($P815&gt;0,$O815&gt;0),$P815,0)</f>
        <v>0</v>
      </c>
      <c r="R815" s="64" t="n">
        <f aca="false">IF(AND($Q815&gt;0,$O815&gt;=AtRank),$Q815,0)</f>
        <v>0</v>
      </c>
      <c r="S815" s="64" t="n">
        <f aca="false">IF(AND($Q815&gt;0,$O815&gt;=AboveRank),$Q815,0)</f>
        <v>0</v>
      </c>
      <c r="T815" s="64" t="n">
        <f aca="false">IF($K815="Less",$P815,0)</f>
        <v>0</v>
      </c>
      <c r="U815" s="64" t="n">
        <f aca="false">IF($K815="Expected",$P815,0)</f>
        <v>0</v>
      </c>
      <c r="V815" s="64" t="n">
        <f aca="false">IF($K815="Better",$P815,0)</f>
        <v>0</v>
      </c>
      <c r="W815" s="64" t="n">
        <f aca="false">IF($K815="U – needs rule",$P815,0)</f>
        <v>0</v>
      </c>
      <c r="X815" s="64" t="n">
        <f aca="false">IF($K815="No Start (attainment only)",$P815,0)</f>
        <v>0</v>
      </c>
    </row>
    <row r="816" customFormat="false" ht="15" hidden="false" customHeight="false" outlineLevel="0" collapsed="false">
      <c r="A816" s="60"/>
      <c r="B816" s="61" t="str">
        <f aca="false">IF($M816=0,"",INDEX(Classes!$E$6:$E$420,$M816))</f>
        <v/>
      </c>
      <c r="C816" s="62" t="str">
        <f aca="false">IF($M816=0,"",INDEX(Classes!$H$6:$H$420,$M816))</f>
        <v/>
      </c>
      <c r="D816" s="61" t="str">
        <f aca="false">IF($M816=0,"",INDEX(Classes!$B$6:$B$420,$M816))</f>
        <v/>
      </c>
      <c r="E816" s="61" t="str">
        <f aca="false">IF($M816=0,"",INDEX(Classes!$C$6:$C$420,$M816))</f>
        <v/>
      </c>
      <c r="F816" s="63"/>
      <c r="G816" s="63"/>
      <c r="H816" s="60"/>
      <c r="I816" s="60"/>
      <c r="J816" s="63"/>
      <c r="K816" s="61" t="str">
        <f aca="false">IF($P816=0,"",IF($F816="Baseline","— Baseline",IF($O816=0,"No result",IF($N816=0,"No Start (attainment only)",IF(OR($N816=1,$O816=1),"U – needs rule",INDEX(MxBody,MATCH($I816,MxCurr,0),MATCH($H816,MxStart,0)))))))</f>
        <v/>
      </c>
      <c r="L816" s="62" t="str">
        <f aca="false">IF(COUNTA($A816,$F816,$G816,$H816,$I816,$J816)=0,"",IF($M816=0,"✖ كود الصف غير موجود",IF(ISNA(MATCH($F816,Lists!$A$2:$A$5,0)),"✖ الفترة غير صحيحة",IF(ISNA(MATCH($G816,Lists!$B$2:$B$7,0)),"✖ المجموعة غير صحيحة",IF(NOT(OR($H816="",$N816&gt;0)),"✖ Start غير صحيح",IF(NOT(OR($I816="",$I816="NR",$O816&gt;0)),"✖ Current غير صحيح",IF(NOT(IF(ISNUMBER($J816),AND($J816&gt;=0,$J816=INT($J816)),FALSE())),"✖ العدد يجب أن يكون صحيحًا ≥ 0",IF(AND($F816="Baseline",$H816&lt;&gt;""),"⚠ Baseline: Start لا يدخل في التقدم",IF($K816="No Start (attainment only)","ℹ تحصيل فقط (بدون Start)",IF($K816="U – needs rule","ℹ حالة U تحتاج قاعدة معتمدة",IF($K816="No result","ℹ بدون نتيجة (يُستبعد من التحصيل)","OK")))))))))))</f>
        <v/>
      </c>
      <c r="M816" s="64" t="n">
        <f aca="false">IF($A816="",0,IFERROR(MATCH($A816,Classes!$A$6:$A$420,0),0))</f>
        <v>0</v>
      </c>
      <c r="N816" s="64" t="n">
        <f aca="false">IF($H816="",0,IFERROR(MATCH($H816,GradeList,0),0))</f>
        <v>0</v>
      </c>
      <c r="O816" s="64" t="n">
        <f aca="false">IF(OR($I816="",$I816="NR"),0,IFERROR(MATCH($I816,GradeList,0),0))</f>
        <v>0</v>
      </c>
      <c r="P816" s="64" t="n">
        <f aca="false">IF(AND($M816&gt;0,ISNUMBER(MATCH($F816,Lists!$A$2:$A$5,0)),ISNUMBER(MATCH($G816,Lists!$B$2:$B$7,0)),OR($H816="",$N816&gt;0),OR($I816="",$I816="NR",$O816&gt;0),IF(ISNUMBER($J816),AND($J816&gt;=0,$J816=INT($J816)),FALSE())),$J816,0)</f>
        <v>0</v>
      </c>
      <c r="Q816" s="64" t="n">
        <f aca="false">IF(AND($P816&gt;0,$O816&gt;0),$P816,0)</f>
        <v>0</v>
      </c>
      <c r="R816" s="64" t="n">
        <f aca="false">IF(AND($Q816&gt;0,$O816&gt;=AtRank),$Q816,0)</f>
        <v>0</v>
      </c>
      <c r="S816" s="64" t="n">
        <f aca="false">IF(AND($Q816&gt;0,$O816&gt;=AboveRank),$Q816,0)</f>
        <v>0</v>
      </c>
      <c r="T816" s="64" t="n">
        <f aca="false">IF($K816="Less",$P816,0)</f>
        <v>0</v>
      </c>
      <c r="U816" s="64" t="n">
        <f aca="false">IF($K816="Expected",$P816,0)</f>
        <v>0</v>
      </c>
      <c r="V816" s="64" t="n">
        <f aca="false">IF($K816="Better",$P816,0)</f>
        <v>0</v>
      </c>
      <c r="W816" s="64" t="n">
        <f aca="false">IF($K816="U – needs rule",$P816,0)</f>
        <v>0</v>
      </c>
      <c r="X816" s="64" t="n">
        <f aca="false">IF($K816="No Start (attainment only)",$P816,0)</f>
        <v>0</v>
      </c>
    </row>
    <row r="817" customFormat="false" ht="15" hidden="false" customHeight="false" outlineLevel="0" collapsed="false">
      <c r="A817" s="60"/>
      <c r="B817" s="61" t="str">
        <f aca="false">IF($M817=0,"",INDEX(Classes!$E$6:$E$420,$M817))</f>
        <v/>
      </c>
      <c r="C817" s="62" t="str">
        <f aca="false">IF($M817=0,"",INDEX(Classes!$H$6:$H$420,$M817))</f>
        <v/>
      </c>
      <c r="D817" s="61" t="str">
        <f aca="false">IF($M817=0,"",INDEX(Classes!$B$6:$B$420,$M817))</f>
        <v/>
      </c>
      <c r="E817" s="61" t="str">
        <f aca="false">IF($M817=0,"",INDEX(Classes!$C$6:$C$420,$M817))</f>
        <v/>
      </c>
      <c r="F817" s="63"/>
      <c r="G817" s="63"/>
      <c r="H817" s="60"/>
      <c r="I817" s="60"/>
      <c r="J817" s="63"/>
      <c r="K817" s="61" t="str">
        <f aca="false">IF($P817=0,"",IF($F817="Baseline","— Baseline",IF($O817=0,"No result",IF($N817=0,"No Start (attainment only)",IF(OR($N817=1,$O817=1),"U – needs rule",INDEX(MxBody,MATCH($I817,MxCurr,0),MATCH($H817,MxStart,0)))))))</f>
        <v/>
      </c>
      <c r="L817" s="62" t="str">
        <f aca="false">IF(COUNTA($A817,$F817,$G817,$H817,$I817,$J817)=0,"",IF($M817=0,"✖ كود الصف غير موجود",IF(ISNA(MATCH($F817,Lists!$A$2:$A$5,0)),"✖ الفترة غير صحيحة",IF(ISNA(MATCH($G817,Lists!$B$2:$B$7,0)),"✖ المجموعة غير صحيحة",IF(NOT(OR($H817="",$N817&gt;0)),"✖ Start غير صحيح",IF(NOT(OR($I817="",$I817="NR",$O817&gt;0)),"✖ Current غير صحيح",IF(NOT(IF(ISNUMBER($J817),AND($J817&gt;=0,$J817=INT($J817)),FALSE())),"✖ العدد يجب أن يكون صحيحًا ≥ 0",IF(AND($F817="Baseline",$H817&lt;&gt;""),"⚠ Baseline: Start لا يدخل في التقدم",IF($K817="No Start (attainment only)","ℹ تحصيل فقط (بدون Start)",IF($K817="U – needs rule","ℹ حالة U تحتاج قاعدة معتمدة",IF($K817="No result","ℹ بدون نتيجة (يُستبعد من التحصيل)","OK")))))))))))</f>
        <v/>
      </c>
      <c r="M817" s="64" t="n">
        <f aca="false">IF($A817="",0,IFERROR(MATCH($A817,Classes!$A$6:$A$420,0),0))</f>
        <v>0</v>
      </c>
      <c r="N817" s="64" t="n">
        <f aca="false">IF($H817="",0,IFERROR(MATCH($H817,GradeList,0),0))</f>
        <v>0</v>
      </c>
      <c r="O817" s="64" t="n">
        <f aca="false">IF(OR($I817="",$I817="NR"),0,IFERROR(MATCH($I817,GradeList,0),0))</f>
        <v>0</v>
      </c>
      <c r="P817" s="64" t="n">
        <f aca="false">IF(AND($M817&gt;0,ISNUMBER(MATCH($F817,Lists!$A$2:$A$5,0)),ISNUMBER(MATCH($G817,Lists!$B$2:$B$7,0)),OR($H817="",$N817&gt;0),OR($I817="",$I817="NR",$O817&gt;0),IF(ISNUMBER($J817),AND($J817&gt;=0,$J817=INT($J817)),FALSE())),$J817,0)</f>
        <v>0</v>
      </c>
      <c r="Q817" s="64" t="n">
        <f aca="false">IF(AND($P817&gt;0,$O817&gt;0),$P817,0)</f>
        <v>0</v>
      </c>
      <c r="R817" s="64" t="n">
        <f aca="false">IF(AND($Q817&gt;0,$O817&gt;=AtRank),$Q817,0)</f>
        <v>0</v>
      </c>
      <c r="S817" s="64" t="n">
        <f aca="false">IF(AND($Q817&gt;0,$O817&gt;=AboveRank),$Q817,0)</f>
        <v>0</v>
      </c>
      <c r="T817" s="64" t="n">
        <f aca="false">IF($K817="Less",$P817,0)</f>
        <v>0</v>
      </c>
      <c r="U817" s="64" t="n">
        <f aca="false">IF($K817="Expected",$P817,0)</f>
        <v>0</v>
      </c>
      <c r="V817" s="64" t="n">
        <f aca="false">IF($K817="Better",$P817,0)</f>
        <v>0</v>
      </c>
      <c r="W817" s="64" t="n">
        <f aca="false">IF($K817="U – needs rule",$P817,0)</f>
        <v>0</v>
      </c>
      <c r="X817" s="64" t="n">
        <f aca="false">IF($K817="No Start (attainment only)",$P817,0)</f>
        <v>0</v>
      </c>
    </row>
    <row r="818" customFormat="false" ht="15" hidden="false" customHeight="false" outlineLevel="0" collapsed="false">
      <c r="A818" s="60"/>
      <c r="B818" s="61" t="str">
        <f aca="false">IF($M818=0,"",INDEX(Classes!$E$6:$E$420,$M818))</f>
        <v/>
      </c>
      <c r="C818" s="62" t="str">
        <f aca="false">IF($M818=0,"",INDEX(Classes!$H$6:$H$420,$M818))</f>
        <v/>
      </c>
      <c r="D818" s="61" t="str">
        <f aca="false">IF($M818=0,"",INDEX(Classes!$B$6:$B$420,$M818))</f>
        <v/>
      </c>
      <c r="E818" s="61" t="str">
        <f aca="false">IF($M818=0,"",INDEX(Classes!$C$6:$C$420,$M818))</f>
        <v/>
      </c>
      <c r="F818" s="63"/>
      <c r="G818" s="63"/>
      <c r="H818" s="60"/>
      <c r="I818" s="60"/>
      <c r="J818" s="63"/>
      <c r="K818" s="61" t="str">
        <f aca="false">IF($P818=0,"",IF($F818="Baseline","— Baseline",IF($O818=0,"No result",IF($N818=0,"No Start (attainment only)",IF(OR($N818=1,$O818=1),"U – needs rule",INDEX(MxBody,MATCH($I818,MxCurr,0),MATCH($H818,MxStart,0)))))))</f>
        <v/>
      </c>
      <c r="L818" s="62" t="str">
        <f aca="false">IF(COUNTA($A818,$F818,$G818,$H818,$I818,$J818)=0,"",IF($M818=0,"✖ كود الصف غير موجود",IF(ISNA(MATCH($F818,Lists!$A$2:$A$5,0)),"✖ الفترة غير صحيحة",IF(ISNA(MATCH($G818,Lists!$B$2:$B$7,0)),"✖ المجموعة غير صحيحة",IF(NOT(OR($H818="",$N818&gt;0)),"✖ Start غير صحيح",IF(NOT(OR($I818="",$I818="NR",$O818&gt;0)),"✖ Current غير صحيح",IF(NOT(IF(ISNUMBER($J818),AND($J818&gt;=0,$J818=INT($J818)),FALSE())),"✖ العدد يجب أن يكون صحيحًا ≥ 0",IF(AND($F818="Baseline",$H818&lt;&gt;""),"⚠ Baseline: Start لا يدخل في التقدم",IF($K818="No Start (attainment only)","ℹ تحصيل فقط (بدون Start)",IF($K818="U – needs rule","ℹ حالة U تحتاج قاعدة معتمدة",IF($K818="No result","ℹ بدون نتيجة (يُستبعد من التحصيل)","OK")))))))))))</f>
        <v/>
      </c>
      <c r="M818" s="64" t="n">
        <f aca="false">IF($A818="",0,IFERROR(MATCH($A818,Classes!$A$6:$A$420,0),0))</f>
        <v>0</v>
      </c>
      <c r="N818" s="64" t="n">
        <f aca="false">IF($H818="",0,IFERROR(MATCH($H818,GradeList,0),0))</f>
        <v>0</v>
      </c>
      <c r="O818" s="64" t="n">
        <f aca="false">IF(OR($I818="",$I818="NR"),0,IFERROR(MATCH($I818,GradeList,0),0))</f>
        <v>0</v>
      </c>
      <c r="P818" s="64" t="n">
        <f aca="false">IF(AND($M818&gt;0,ISNUMBER(MATCH($F818,Lists!$A$2:$A$5,0)),ISNUMBER(MATCH($G818,Lists!$B$2:$B$7,0)),OR($H818="",$N818&gt;0),OR($I818="",$I818="NR",$O818&gt;0),IF(ISNUMBER($J818),AND($J818&gt;=0,$J818=INT($J818)),FALSE())),$J818,0)</f>
        <v>0</v>
      </c>
      <c r="Q818" s="64" t="n">
        <f aca="false">IF(AND($P818&gt;0,$O818&gt;0),$P818,0)</f>
        <v>0</v>
      </c>
      <c r="R818" s="64" t="n">
        <f aca="false">IF(AND($Q818&gt;0,$O818&gt;=AtRank),$Q818,0)</f>
        <v>0</v>
      </c>
      <c r="S818" s="64" t="n">
        <f aca="false">IF(AND($Q818&gt;0,$O818&gt;=AboveRank),$Q818,0)</f>
        <v>0</v>
      </c>
      <c r="T818" s="64" t="n">
        <f aca="false">IF($K818="Less",$P818,0)</f>
        <v>0</v>
      </c>
      <c r="U818" s="64" t="n">
        <f aca="false">IF($K818="Expected",$P818,0)</f>
        <v>0</v>
      </c>
      <c r="V818" s="64" t="n">
        <f aca="false">IF($K818="Better",$P818,0)</f>
        <v>0</v>
      </c>
      <c r="W818" s="64" t="n">
        <f aca="false">IF($K818="U – needs rule",$P818,0)</f>
        <v>0</v>
      </c>
      <c r="X818" s="64" t="n">
        <f aca="false">IF($K818="No Start (attainment only)",$P818,0)</f>
        <v>0</v>
      </c>
    </row>
    <row r="819" customFormat="false" ht="15" hidden="false" customHeight="false" outlineLevel="0" collapsed="false">
      <c r="A819" s="60"/>
      <c r="B819" s="61" t="str">
        <f aca="false">IF($M819=0,"",INDEX(Classes!$E$6:$E$420,$M819))</f>
        <v/>
      </c>
      <c r="C819" s="62" t="str">
        <f aca="false">IF($M819=0,"",INDEX(Classes!$H$6:$H$420,$M819))</f>
        <v/>
      </c>
      <c r="D819" s="61" t="str">
        <f aca="false">IF($M819=0,"",INDEX(Classes!$B$6:$B$420,$M819))</f>
        <v/>
      </c>
      <c r="E819" s="61" t="str">
        <f aca="false">IF($M819=0,"",INDEX(Classes!$C$6:$C$420,$M819))</f>
        <v/>
      </c>
      <c r="F819" s="63"/>
      <c r="G819" s="63"/>
      <c r="H819" s="60"/>
      <c r="I819" s="60"/>
      <c r="J819" s="63"/>
      <c r="K819" s="61" t="str">
        <f aca="false">IF($P819=0,"",IF($F819="Baseline","— Baseline",IF($O819=0,"No result",IF($N819=0,"No Start (attainment only)",IF(OR($N819=1,$O819=1),"U – needs rule",INDEX(MxBody,MATCH($I819,MxCurr,0),MATCH($H819,MxStart,0)))))))</f>
        <v/>
      </c>
      <c r="L819" s="62" t="str">
        <f aca="false">IF(COUNTA($A819,$F819,$G819,$H819,$I819,$J819)=0,"",IF($M819=0,"✖ كود الصف غير موجود",IF(ISNA(MATCH($F819,Lists!$A$2:$A$5,0)),"✖ الفترة غير صحيحة",IF(ISNA(MATCH($G819,Lists!$B$2:$B$7,0)),"✖ المجموعة غير صحيحة",IF(NOT(OR($H819="",$N819&gt;0)),"✖ Start غير صحيح",IF(NOT(OR($I819="",$I819="NR",$O819&gt;0)),"✖ Current غير صحيح",IF(NOT(IF(ISNUMBER($J819),AND($J819&gt;=0,$J819=INT($J819)),FALSE())),"✖ العدد يجب أن يكون صحيحًا ≥ 0",IF(AND($F819="Baseline",$H819&lt;&gt;""),"⚠ Baseline: Start لا يدخل في التقدم",IF($K819="No Start (attainment only)","ℹ تحصيل فقط (بدون Start)",IF($K819="U – needs rule","ℹ حالة U تحتاج قاعدة معتمدة",IF($K819="No result","ℹ بدون نتيجة (يُستبعد من التحصيل)","OK")))))))))))</f>
        <v/>
      </c>
      <c r="M819" s="64" t="n">
        <f aca="false">IF($A819="",0,IFERROR(MATCH($A819,Classes!$A$6:$A$420,0),0))</f>
        <v>0</v>
      </c>
      <c r="N819" s="64" t="n">
        <f aca="false">IF($H819="",0,IFERROR(MATCH($H819,GradeList,0),0))</f>
        <v>0</v>
      </c>
      <c r="O819" s="64" t="n">
        <f aca="false">IF(OR($I819="",$I819="NR"),0,IFERROR(MATCH($I819,GradeList,0),0))</f>
        <v>0</v>
      </c>
      <c r="P819" s="64" t="n">
        <f aca="false">IF(AND($M819&gt;0,ISNUMBER(MATCH($F819,Lists!$A$2:$A$5,0)),ISNUMBER(MATCH($G819,Lists!$B$2:$B$7,0)),OR($H819="",$N819&gt;0),OR($I819="",$I819="NR",$O819&gt;0),IF(ISNUMBER($J819),AND($J819&gt;=0,$J819=INT($J819)),FALSE())),$J819,0)</f>
        <v>0</v>
      </c>
      <c r="Q819" s="64" t="n">
        <f aca="false">IF(AND($P819&gt;0,$O819&gt;0),$P819,0)</f>
        <v>0</v>
      </c>
      <c r="R819" s="64" t="n">
        <f aca="false">IF(AND($Q819&gt;0,$O819&gt;=AtRank),$Q819,0)</f>
        <v>0</v>
      </c>
      <c r="S819" s="64" t="n">
        <f aca="false">IF(AND($Q819&gt;0,$O819&gt;=AboveRank),$Q819,0)</f>
        <v>0</v>
      </c>
      <c r="T819" s="64" t="n">
        <f aca="false">IF($K819="Less",$P819,0)</f>
        <v>0</v>
      </c>
      <c r="U819" s="64" t="n">
        <f aca="false">IF($K819="Expected",$P819,0)</f>
        <v>0</v>
      </c>
      <c r="V819" s="64" t="n">
        <f aca="false">IF($K819="Better",$P819,0)</f>
        <v>0</v>
      </c>
      <c r="W819" s="64" t="n">
        <f aca="false">IF($K819="U – needs rule",$P819,0)</f>
        <v>0</v>
      </c>
      <c r="X819" s="64" t="n">
        <f aca="false">IF($K819="No Start (attainment only)",$P819,0)</f>
        <v>0</v>
      </c>
    </row>
    <row r="820" customFormat="false" ht="15" hidden="false" customHeight="false" outlineLevel="0" collapsed="false">
      <c r="A820" s="60"/>
      <c r="B820" s="61" t="str">
        <f aca="false">IF($M820=0,"",INDEX(Classes!$E$6:$E$420,$M820))</f>
        <v/>
      </c>
      <c r="C820" s="62" t="str">
        <f aca="false">IF($M820=0,"",INDEX(Classes!$H$6:$H$420,$M820))</f>
        <v/>
      </c>
      <c r="D820" s="61" t="str">
        <f aca="false">IF($M820=0,"",INDEX(Classes!$B$6:$B$420,$M820))</f>
        <v/>
      </c>
      <c r="E820" s="61" t="str">
        <f aca="false">IF($M820=0,"",INDEX(Classes!$C$6:$C$420,$M820))</f>
        <v/>
      </c>
      <c r="F820" s="63"/>
      <c r="G820" s="63"/>
      <c r="H820" s="60"/>
      <c r="I820" s="60"/>
      <c r="J820" s="63"/>
      <c r="K820" s="61" t="str">
        <f aca="false">IF($P820=0,"",IF($F820="Baseline","— Baseline",IF($O820=0,"No result",IF($N820=0,"No Start (attainment only)",IF(OR($N820=1,$O820=1),"U – needs rule",INDEX(MxBody,MATCH($I820,MxCurr,0),MATCH($H820,MxStart,0)))))))</f>
        <v/>
      </c>
      <c r="L820" s="62" t="str">
        <f aca="false">IF(COUNTA($A820,$F820,$G820,$H820,$I820,$J820)=0,"",IF($M820=0,"✖ كود الصف غير موجود",IF(ISNA(MATCH($F820,Lists!$A$2:$A$5,0)),"✖ الفترة غير صحيحة",IF(ISNA(MATCH($G820,Lists!$B$2:$B$7,0)),"✖ المجموعة غير صحيحة",IF(NOT(OR($H820="",$N820&gt;0)),"✖ Start غير صحيح",IF(NOT(OR($I820="",$I820="NR",$O820&gt;0)),"✖ Current غير صحيح",IF(NOT(IF(ISNUMBER($J820),AND($J820&gt;=0,$J820=INT($J820)),FALSE())),"✖ العدد يجب أن يكون صحيحًا ≥ 0",IF(AND($F820="Baseline",$H820&lt;&gt;""),"⚠ Baseline: Start لا يدخل في التقدم",IF($K820="No Start (attainment only)","ℹ تحصيل فقط (بدون Start)",IF($K820="U – needs rule","ℹ حالة U تحتاج قاعدة معتمدة",IF($K820="No result","ℹ بدون نتيجة (يُستبعد من التحصيل)","OK")))))))))))</f>
        <v/>
      </c>
      <c r="M820" s="64" t="n">
        <f aca="false">IF($A820="",0,IFERROR(MATCH($A820,Classes!$A$6:$A$420,0),0))</f>
        <v>0</v>
      </c>
      <c r="N820" s="64" t="n">
        <f aca="false">IF($H820="",0,IFERROR(MATCH($H820,GradeList,0),0))</f>
        <v>0</v>
      </c>
      <c r="O820" s="64" t="n">
        <f aca="false">IF(OR($I820="",$I820="NR"),0,IFERROR(MATCH($I820,GradeList,0),0))</f>
        <v>0</v>
      </c>
      <c r="P820" s="64" t="n">
        <f aca="false">IF(AND($M820&gt;0,ISNUMBER(MATCH($F820,Lists!$A$2:$A$5,0)),ISNUMBER(MATCH($G820,Lists!$B$2:$B$7,0)),OR($H820="",$N820&gt;0),OR($I820="",$I820="NR",$O820&gt;0),IF(ISNUMBER($J820),AND($J820&gt;=0,$J820=INT($J820)),FALSE())),$J820,0)</f>
        <v>0</v>
      </c>
      <c r="Q820" s="64" t="n">
        <f aca="false">IF(AND($P820&gt;0,$O820&gt;0),$P820,0)</f>
        <v>0</v>
      </c>
      <c r="R820" s="64" t="n">
        <f aca="false">IF(AND($Q820&gt;0,$O820&gt;=AtRank),$Q820,0)</f>
        <v>0</v>
      </c>
      <c r="S820" s="64" t="n">
        <f aca="false">IF(AND($Q820&gt;0,$O820&gt;=AboveRank),$Q820,0)</f>
        <v>0</v>
      </c>
      <c r="T820" s="64" t="n">
        <f aca="false">IF($K820="Less",$P820,0)</f>
        <v>0</v>
      </c>
      <c r="U820" s="64" t="n">
        <f aca="false">IF($K820="Expected",$P820,0)</f>
        <v>0</v>
      </c>
      <c r="V820" s="64" t="n">
        <f aca="false">IF($K820="Better",$P820,0)</f>
        <v>0</v>
      </c>
      <c r="W820" s="64" t="n">
        <f aca="false">IF($K820="U – needs rule",$P820,0)</f>
        <v>0</v>
      </c>
      <c r="X820" s="64" t="n">
        <f aca="false">IF($K820="No Start (attainment only)",$P820,0)</f>
        <v>0</v>
      </c>
    </row>
    <row r="821" customFormat="false" ht="15" hidden="false" customHeight="false" outlineLevel="0" collapsed="false">
      <c r="A821" s="60"/>
      <c r="B821" s="61" t="str">
        <f aca="false">IF($M821=0,"",INDEX(Classes!$E$6:$E$420,$M821))</f>
        <v/>
      </c>
      <c r="C821" s="62" t="str">
        <f aca="false">IF($M821=0,"",INDEX(Classes!$H$6:$H$420,$M821))</f>
        <v/>
      </c>
      <c r="D821" s="61" t="str">
        <f aca="false">IF($M821=0,"",INDEX(Classes!$B$6:$B$420,$M821))</f>
        <v/>
      </c>
      <c r="E821" s="61" t="str">
        <f aca="false">IF($M821=0,"",INDEX(Classes!$C$6:$C$420,$M821))</f>
        <v/>
      </c>
      <c r="F821" s="63"/>
      <c r="G821" s="63"/>
      <c r="H821" s="60"/>
      <c r="I821" s="60"/>
      <c r="J821" s="63"/>
      <c r="K821" s="61" t="str">
        <f aca="false">IF($P821=0,"",IF($F821="Baseline","— Baseline",IF($O821=0,"No result",IF($N821=0,"No Start (attainment only)",IF(OR($N821=1,$O821=1),"U – needs rule",INDEX(MxBody,MATCH($I821,MxCurr,0),MATCH($H821,MxStart,0)))))))</f>
        <v/>
      </c>
      <c r="L821" s="62" t="str">
        <f aca="false">IF(COUNTA($A821,$F821,$G821,$H821,$I821,$J821)=0,"",IF($M821=0,"✖ كود الصف غير موجود",IF(ISNA(MATCH($F821,Lists!$A$2:$A$5,0)),"✖ الفترة غير صحيحة",IF(ISNA(MATCH($G821,Lists!$B$2:$B$7,0)),"✖ المجموعة غير صحيحة",IF(NOT(OR($H821="",$N821&gt;0)),"✖ Start غير صحيح",IF(NOT(OR($I821="",$I821="NR",$O821&gt;0)),"✖ Current غير صحيح",IF(NOT(IF(ISNUMBER($J821),AND($J821&gt;=0,$J821=INT($J821)),FALSE())),"✖ العدد يجب أن يكون صحيحًا ≥ 0",IF(AND($F821="Baseline",$H821&lt;&gt;""),"⚠ Baseline: Start لا يدخل في التقدم",IF($K821="No Start (attainment only)","ℹ تحصيل فقط (بدون Start)",IF($K821="U – needs rule","ℹ حالة U تحتاج قاعدة معتمدة",IF($K821="No result","ℹ بدون نتيجة (يُستبعد من التحصيل)","OK")))))))))))</f>
        <v/>
      </c>
      <c r="M821" s="64" t="n">
        <f aca="false">IF($A821="",0,IFERROR(MATCH($A821,Classes!$A$6:$A$420,0),0))</f>
        <v>0</v>
      </c>
      <c r="N821" s="64" t="n">
        <f aca="false">IF($H821="",0,IFERROR(MATCH($H821,GradeList,0),0))</f>
        <v>0</v>
      </c>
      <c r="O821" s="64" t="n">
        <f aca="false">IF(OR($I821="",$I821="NR"),0,IFERROR(MATCH($I821,GradeList,0),0))</f>
        <v>0</v>
      </c>
      <c r="P821" s="64" t="n">
        <f aca="false">IF(AND($M821&gt;0,ISNUMBER(MATCH($F821,Lists!$A$2:$A$5,0)),ISNUMBER(MATCH($G821,Lists!$B$2:$B$7,0)),OR($H821="",$N821&gt;0),OR($I821="",$I821="NR",$O821&gt;0),IF(ISNUMBER($J821),AND($J821&gt;=0,$J821=INT($J821)),FALSE())),$J821,0)</f>
        <v>0</v>
      </c>
      <c r="Q821" s="64" t="n">
        <f aca="false">IF(AND($P821&gt;0,$O821&gt;0),$P821,0)</f>
        <v>0</v>
      </c>
      <c r="R821" s="64" t="n">
        <f aca="false">IF(AND($Q821&gt;0,$O821&gt;=AtRank),$Q821,0)</f>
        <v>0</v>
      </c>
      <c r="S821" s="64" t="n">
        <f aca="false">IF(AND($Q821&gt;0,$O821&gt;=AboveRank),$Q821,0)</f>
        <v>0</v>
      </c>
      <c r="T821" s="64" t="n">
        <f aca="false">IF($K821="Less",$P821,0)</f>
        <v>0</v>
      </c>
      <c r="U821" s="64" t="n">
        <f aca="false">IF($K821="Expected",$P821,0)</f>
        <v>0</v>
      </c>
      <c r="V821" s="64" t="n">
        <f aca="false">IF($K821="Better",$P821,0)</f>
        <v>0</v>
      </c>
      <c r="W821" s="64" t="n">
        <f aca="false">IF($K821="U – needs rule",$P821,0)</f>
        <v>0</v>
      </c>
      <c r="X821" s="64" t="n">
        <f aca="false">IF($K821="No Start (attainment only)",$P821,0)</f>
        <v>0</v>
      </c>
    </row>
    <row r="822" customFormat="false" ht="15" hidden="false" customHeight="false" outlineLevel="0" collapsed="false">
      <c r="A822" s="60"/>
      <c r="B822" s="61" t="str">
        <f aca="false">IF($M822=0,"",INDEX(Classes!$E$6:$E$420,$M822))</f>
        <v/>
      </c>
      <c r="C822" s="62" t="str">
        <f aca="false">IF($M822=0,"",INDEX(Classes!$H$6:$H$420,$M822))</f>
        <v/>
      </c>
      <c r="D822" s="61" t="str">
        <f aca="false">IF($M822=0,"",INDEX(Classes!$B$6:$B$420,$M822))</f>
        <v/>
      </c>
      <c r="E822" s="61" t="str">
        <f aca="false">IF($M822=0,"",INDEX(Classes!$C$6:$C$420,$M822))</f>
        <v/>
      </c>
      <c r="F822" s="63"/>
      <c r="G822" s="63"/>
      <c r="H822" s="60"/>
      <c r="I822" s="60"/>
      <c r="J822" s="63"/>
      <c r="K822" s="61" t="str">
        <f aca="false">IF($P822=0,"",IF($F822="Baseline","— Baseline",IF($O822=0,"No result",IF($N822=0,"No Start (attainment only)",IF(OR($N822=1,$O822=1),"U – needs rule",INDEX(MxBody,MATCH($I822,MxCurr,0),MATCH($H822,MxStart,0)))))))</f>
        <v/>
      </c>
      <c r="L822" s="62" t="str">
        <f aca="false">IF(COUNTA($A822,$F822,$G822,$H822,$I822,$J822)=0,"",IF($M822=0,"✖ كود الصف غير موجود",IF(ISNA(MATCH($F822,Lists!$A$2:$A$5,0)),"✖ الفترة غير صحيحة",IF(ISNA(MATCH($G822,Lists!$B$2:$B$7,0)),"✖ المجموعة غير صحيحة",IF(NOT(OR($H822="",$N822&gt;0)),"✖ Start غير صحيح",IF(NOT(OR($I822="",$I822="NR",$O822&gt;0)),"✖ Current غير صحيح",IF(NOT(IF(ISNUMBER($J822),AND($J822&gt;=0,$J822=INT($J822)),FALSE())),"✖ العدد يجب أن يكون صحيحًا ≥ 0",IF(AND($F822="Baseline",$H822&lt;&gt;""),"⚠ Baseline: Start لا يدخل في التقدم",IF($K822="No Start (attainment only)","ℹ تحصيل فقط (بدون Start)",IF($K822="U – needs rule","ℹ حالة U تحتاج قاعدة معتمدة",IF($K822="No result","ℹ بدون نتيجة (يُستبعد من التحصيل)","OK")))))))))))</f>
        <v/>
      </c>
      <c r="M822" s="64" t="n">
        <f aca="false">IF($A822="",0,IFERROR(MATCH($A822,Classes!$A$6:$A$420,0),0))</f>
        <v>0</v>
      </c>
      <c r="N822" s="64" t="n">
        <f aca="false">IF($H822="",0,IFERROR(MATCH($H822,GradeList,0),0))</f>
        <v>0</v>
      </c>
      <c r="O822" s="64" t="n">
        <f aca="false">IF(OR($I822="",$I822="NR"),0,IFERROR(MATCH($I822,GradeList,0),0))</f>
        <v>0</v>
      </c>
      <c r="P822" s="64" t="n">
        <f aca="false">IF(AND($M822&gt;0,ISNUMBER(MATCH($F822,Lists!$A$2:$A$5,0)),ISNUMBER(MATCH($G822,Lists!$B$2:$B$7,0)),OR($H822="",$N822&gt;0),OR($I822="",$I822="NR",$O822&gt;0),IF(ISNUMBER($J822),AND($J822&gt;=0,$J822=INT($J822)),FALSE())),$J822,0)</f>
        <v>0</v>
      </c>
      <c r="Q822" s="64" t="n">
        <f aca="false">IF(AND($P822&gt;0,$O822&gt;0),$P822,0)</f>
        <v>0</v>
      </c>
      <c r="R822" s="64" t="n">
        <f aca="false">IF(AND($Q822&gt;0,$O822&gt;=AtRank),$Q822,0)</f>
        <v>0</v>
      </c>
      <c r="S822" s="64" t="n">
        <f aca="false">IF(AND($Q822&gt;0,$O822&gt;=AboveRank),$Q822,0)</f>
        <v>0</v>
      </c>
      <c r="T822" s="64" t="n">
        <f aca="false">IF($K822="Less",$P822,0)</f>
        <v>0</v>
      </c>
      <c r="U822" s="64" t="n">
        <f aca="false">IF($K822="Expected",$P822,0)</f>
        <v>0</v>
      </c>
      <c r="V822" s="64" t="n">
        <f aca="false">IF($K822="Better",$P822,0)</f>
        <v>0</v>
      </c>
      <c r="W822" s="64" t="n">
        <f aca="false">IF($K822="U – needs rule",$P822,0)</f>
        <v>0</v>
      </c>
      <c r="X822" s="64" t="n">
        <f aca="false">IF($K822="No Start (attainment only)",$P822,0)</f>
        <v>0</v>
      </c>
    </row>
    <row r="823" customFormat="false" ht="15" hidden="false" customHeight="false" outlineLevel="0" collapsed="false">
      <c r="A823" s="60"/>
      <c r="B823" s="61" t="str">
        <f aca="false">IF($M823=0,"",INDEX(Classes!$E$6:$E$420,$M823))</f>
        <v/>
      </c>
      <c r="C823" s="62" t="str">
        <f aca="false">IF($M823=0,"",INDEX(Classes!$H$6:$H$420,$M823))</f>
        <v/>
      </c>
      <c r="D823" s="61" t="str">
        <f aca="false">IF($M823=0,"",INDEX(Classes!$B$6:$B$420,$M823))</f>
        <v/>
      </c>
      <c r="E823" s="61" t="str">
        <f aca="false">IF($M823=0,"",INDEX(Classes!$C$6:$C$420,$M823))</f>
        <v/>
      </c>
      <c r="F823" s="63"/>
      <c r="G823" s="63"/>
      <c r="H823" s="60"/>
      <c r="I823" s="60"/>
      <c r="J823" s="63"/>
      <c r="K823" s="61" t="str">
        <f aca="false">IF($P823=0,"",IF($F823="Baseline","— Baseline",IF($O823=0,"No result",IF($N823=0,"No Start (attainment only)",IF(OR($N823=1,$O823=1),"U – needs rule",INDEX(MxBody,MATCH($I823,MxCurr,0),MATCH($H823,MxStart,0)))))))</f>
        <v/>
      </c>
      <c r="L823" s="62" t="str">
        <f aca="false">IF(COUNTA($A823,$F823,$G823,$H823,$I823,$J823)=0,"",IF($M823=0,"✖ كود الصف غير موجود",IF(ISNA(MATCH($F823,Lists!$A$2:$A$5,0)),"✖ الفترة غير صحيحة",IF(ISNA(MATCH($G823,Lists!$B$2:$B$7,0)),"✖ المجموعة غير صحيحة",IF(NOT(OR($H823="",$N823&gt;0)),"✖ Start غير صحيح",IF(NOT(OR($I823="",$I823="NR",$O823&gt;0)),"✖ Current غير صحيح",IF(NOT(IF(ISNUMBER($J823),AND($J823&gt;=0,$J823=INT($J823)),FALSE())),"✖ العدد يجب أن يكون صحيحًا ≥ 0",IF(AND($F823="Baseline",$H823&lt;&gt;""),"⚠ Baseline: Start لا يدخل في التقدم",IF($K823="No Start (attainment only)","ℹ تحصيل فقط (بدون Start)",IF($K823="U – needs rule","ℹ حالة U تحتاج قاعدة معتمدة",IF($K823="No result","ℹ بدون نتيجة (يُستبعد من التحصيل)","OK")))))))))))</f>
        <v/>
      </c>
      <c r="M823" s="64" t="n">
        <f aca="false">IF($A823="",0,IFERROR(MATCH($A823,Classes!$A$6:$A$420,0),0))</f>
        <v>0</v>
      </c>
      <c r="N823" s="64" t="n">
        <f aca="false">IF($H823="",0,IFERROR(MATCH($H823,GradeList,0),0))</f>
        <v>0</v>
      </c>
      <c r="O823" s="64" t="n">
        <f aca="false">IF(OR($I823="",$I823="NR"),0,IFERROR(MATCH($I823,GradeList,0),0))</f>
        <v>0</v>
      </c>
      <c r="P823" s="64" t="n">
        <f aca="false">IF(AND($M823&gt;0,ISNUMBER(MATCH($F823,Lists!$A$2:$A$5,0)),ISNUMBER(MATCH($G823,Lists!$B$2:$B$7,0)),OR($H823="",$N823&gt;0),OR($I823="",$I823="NR",$O823&gt;0),IF(ISNUMBER($J823),AND($J823&gt;=0,$J823=INT($J823)),FALSE())),$J823,0)</f>
        <v>0</v>
      </c>
      <c r="Q823" s="64" t="n">
        <f aca="false">IF(AND($P823&gt;0,$O823&gt;0),$P823,0)</f>
        <v>0</v>
      </c>
      <c r="R823" s="64" t="n">
        <f aca="false">IF(AND($Q823&gt;0,$O823&gt;=AtRank),$Q823,0)</f>
        <v>0</v>
      </c>
      <c r="S823" s="64" t="n">
        <f aca="false">IF(AND($Q823&gt;0,$O823&gt;=AboveRank),$Q823,0)</f>
        <v>0</v>
      </c>
      <c r="T823" s="64" t="n">
        <f aca="false">IF($K823="Less",$P823,0)</f>
        <v>0</v>
      </c>
      <c r="U823" s="64" t="n">
        <f aca="false">IF($K823="Expected",$P823,0)</f>
        <v>0</v>
      </c>
      <c r="V823" s="64" t="n">
        <f aca="false">IF($K823="Better",$P823,0)</f>
        <v>0</v>
      </c>
      <c r="W823" s="64" t="n">
        <f aca="false">IF($K823="U – needs rule",$P823,0)</f>
        <v>0</v>
      </c>
      <c r="X823" s="64" t="n">
        <f aca="false">IF($K823="No Start (attainment only)",$P823,0)</f>
        <v>0</v>
      </c>
    </row>
    <row r="824" customFormat="false" ht="15" hidden="false" customHeight="false" outlineLevel="0" collapsed="false">
      <c r="A824" s="60"/>
      <c r="B824" s="61" t="str">
        <f aca="false">IF($M824=0,"",INDEX(Classes!$E$6:$E$420,$M824))</f>
        <v/>
      </c>
      <c r="C824" s="62" t="str">
        <f aca="false">IF($M824=0,"",INDEX(Classes!$H$6:$H$420,$M824))</f>
        <v/>
      </c>
      <c r="D824" s="61" t="str">
        <f aca="false">IF($M824=0,"",INDEX(Classes!$B$6:$B$420,$M824))</f>
        <v/>
      </c>
      <c r="E824" s="61" t="str">
        <f aca="false">IF($M824=0,"",INDEX(Classes!$C$6:$C$420,$M824))</f>
        <v/>
      </c>
      <c r="F824" s="63"/>
      <c r="G824" s="63"/>
      <c r="H824" s="60"/>
      <c r="I824" s="60"/>
      <c r="J824" s="63"/>
      <c r="K824" s="61" t="str">
        <f aca="false">IF($P824=0,"",IF($F824="Baseline","— Baseline",IF($O824=0,"No result",IF($N824=0,"No Start (attainment only)",IF(OR($N824=1,$O824=1),"U – needs rule",INDEX(MxBody,MATCH($I824,MxCurr,0),MATCH($H824,MxStart,0)))))))</f>
        <v/>
      </c>
      <c r="L824" s="62" t="str">
        <f aca="false">IF(COUNTA($A824,$F824,$G824,$H824,$I824,$J824)=0,"",IF($M824=0,"✖ كود الصف غير موجود",IF(ISNA(MATCH($F824,Lists!$A$2:$A$5,0)),"✖ الفترة غير صحيحة",IF(ISNA(MATCH($G824,Lists!$B$2:$B$7,0)),"✖ المجموعة غير صحيحة",IF(NOT(OR($H824="",$N824&gt;0)),"✖ Start غير صحيح",IF(NOT(OR($I824="",$I824="NR",$O824&gt;0)),"✖ Current غير صحيح",IF(NOT(IF(ISNUMBER($J824),AND($J824&gt;=0,$J824=INT($J824)),FALSE())),"✖ العدد يجب أن يكون صحيحًا ≥ 0",IF(AND($F824="Baseline",$H824&lt;&gt;""),"⚠ Baseline: Start لا يدخل في التقدم",IF($K824="No Start (attainment only)","ℹ تحصيل فقط (بدون Start)",IF($K824="U – needs rule","ℹ حالة U تحتاج قاعدة معتمدة",IF($K824="No result","ℹ بدون نتيجة (يُستبعد من التحصيل)","OK")))))))))))</f>
        <v/>
      </c>
      <c r="M824" s="64" t="n">
        <f aca="false">IF($A824="",0,IFERROR(MATCH($A824,Classes!$A$6:$A$420,0),0))</f>
        <v>0</v>
      </c>
      <c r="N824" s="64" t="n">
        <f aca="false">IF($H824="",0,IFERROR(MATCH($H824,GradeList,0),0))</f>
        <v>0</v>
      </c>
      <c r="O824" s="64" t="n">
        <f aca="false">IF(OR($I824="",$I824="NR"),0,IFERROR(MATCH($I824,GradeList,0),0))</f>
        <v>0</v>
      </c>
      <c r="P824" s="64" t="n">
        <f aca="false">IF(AND($M824&gt;0,ISNUMBER(MATCH($F824,Lists!$A$2:$A$5,0)),ISNUMBER(MATCH($G824,Lists!$B$2:$B$7,0)),OR($H824="",$N824&gt;0),OR($I824="",$I824="NR",$O824&gt;0),IF(ISNUMBER($J824),AND($J824&gt;=0,$J824=INT($J824)),FALSE())),$J824,0)</f>
        <v>0</v>
      </c>
      <c r="Q824" s="64" t="n">
        <f aca="false">IF(AND($P824&gt;0,$O824&gt;0),$P824,0)</f>
        <v>0</v>
      </c>
      <c r="R824" s="64" t="n">
        <f aca="false">IF(AND($Q824&gt;0,$O824&gt;=AtRank),$Q824,0)</f>
        <v>0</v>
      </c>
      <c r="S824" s="64" t="n">
        <f aca="false">IF(AND($Q824&gt;0,$O824&gt;=AboveRank),$Q824,0)</f>
        <v>0</v>
      </c>
      <c r="T824" s="64" t="n">
        <f aca="false">IF($K824="Less",$P824,0)</f>
        <v>0</v>
      </c>
      <c r="U824" s="64" t="n">
        <f aca="false">IF($K824="Expected",$P824,0)</f>
        <v>0</v>
      </c>
      <c r="V824" s="64" t="n">
        <f aca="false">IF($K824="Better",$P824,0)</f>
        <v>0</v>
      </c>
      <c r="W824" s="64" t="n">
        <f aca="false">IF($K824="U – needs rule",$P824,0)</f>
        <v>0</v>
      </c>
      <c r="X824" s="64" t="n">
        <f aca="false">IF($K824="No Start (attainment only)",$P824,0)</f>
        <v>0</v>
      </c>
    </row>
    <row r="825" customFormat="false" ht="15" hidden="false" customHeight="false" outlineLevel="0" collapsed="false">
      <c r="A825" s="60"/>
      <c r="B825" s="61" t="str">
        <f aca="false">IF($M825=0,"",INDEX(Classes!$E$6:$E$420,$M825))</f>
        <v/>
      </c>
      <c r="C825" s="62" t="str">
        <f aca="false">IF($M825=0,"",INDEX(Classes!$H$6:$H$420,$M825))</f>
        <v/>
      </c>
      <c r="D825" s="61" t="str">
        <f aca="false">IF($M825=0,"",INDEX(Classes!$B$6:$B$420,$M825))</f>
        <v/>
      </c>
      <c r="E825" s="61" t="str">
        <f aca="false">IF($M825=0,"",INDEX(Classes!$C$6:$C$420,$M825))</f>
        <v/>
      </c>
      <c r="F825" s="63"/>
      <c r="G825" s="63"/>
      <c r="H825" s="60"/>
      <c r="I825" s="60"/>
      <c r="J825" s="63"/>
      <c r="K825" s="61" t="str">
        <f aca="false">IF($P825=0,"",IF($F825="Baseline","— Baseline",IF($O825=0,"No result",IF($N825=0,"No Start (attainment only)",IF(OR($N825=1,$O825=1),"U – needs rule",INDEX(MxBody,MATCH($I825,MxCurr,0),MATCH($H825,MxStart,0)))))))</f>
        <v/>
      </c>
      <c r="L825" s="62" t="str">
        <f aca="false">IF(COUNTA($A825,$F825,$G825,$H825,$I825,$J825)=0,"",IF($M825=0,"✖ كود الصف غير موجود",IF(ISNA(MATCH($F825,Lists!$A$2:$A$5,0)),"✖ الفترة غير صحيحة",IF(ISNA(MATCH($G825,Lists!$B$2:$B$7,0)),"✖ المجموعة غير صحيحة",IF(NOT(OR($H825="",$N825&gt;0)),"✖ Start غير صحيح",IF(NOT(OR($I825="",$I825="NR",$O825&gt;0)),"✖ Current غير صحيح",IF(NOT(IF(ISNUMBER($J825),AND($J825&gt;=0,$J825=INT($J825)),FALSE())),"✖ العدد يجب أن يكون صحيحًا ≥ 0",IF(AND($F825="Baseline",$H825&lt;&gt;""),"⚠ Baseline: Start لا يدخل في التقدم",IF($K825="No Start (attainment only)","ℹ تحصيل فقط (بدون Start)",IF($K825="U – needs rule","ℹ حالة U تحتاج قاعدة معتمدة",IF($K825="No result","ℹ بدون نتيجة (يُستبعد من التحصيل)","OK")))))))))))</f>
        <v/>
      </c>
      <c r="M825" s="64" t="n">
        <f aca="false">IF($A825="",0,IFERROR(MATCH($A825,Classes!$A$6:$A$420,0),0))</f>
        <v>0</v>
      </c>
      <c r="N825" s="64" t="n">
        <f aca="false">IF($H825="",0,IFERROR(MATCH($H825,GradeList,0),0))</f>
        <v>0</v>
      </c>
      <c r="O825" s="64" t="n">
        <f aca="false">IF(OR($I825="",$I825="NR"),0,IFERROR(MATCH($I825,GradeList,0),0))</f>
        <v>0</v>
      </c>
      <c r="P825" s="64" t="n">
        <f aca="false">IF(AND($M825&gt;0,ISNUMBER(MATCH($F825,Lists!$A$2:$A$5,0)),ISNUMBER(MATCH($G825,Lists!$B$2:$B$7,0)),OR($H825="",$N825&gt;0),OR($I825="",$I825="NR",$O825&gt;0),IF(ISNUMBER($J825),AND($J825&gt;=0,$J825=INT($J825)),FALSE())),$J825,0)</f>
        <v>0</v>
      </c>
      <c r="Q825" s="64" t="n">
        <f aca="false">IF(AND($P825&gt;0,$O825&gt;0),$P825,0)</f>
        <v>0</v>
      </c>
      <c r="R825" s="64" t="n">
        <f aca="false">IF(AND($Q825&gt;0,$O825&gt;=AtRank),$Q825,0)</f>
        <v>0</v>
      </c>
      <c r="S825" s="64" t="n">
        <f aca="false">IF(AND($Q825&gt;0,$O825&gt;=AboveRank),$Q825,0)</f>
        <v>0</v>
      </c>
      <c r="T825" s="64" t="n">
        <f aca="false">IF($K825="Less",$P825,0)</f>
        <v>0</v>
      </c>
      <c r="U825" s="64" t="n">
        <f aca="false">IF($K825="Expected",$P825,0)</f>
        <v>0</v>
      </c>
      <c r="V825" s="64" t="n">
        <f aca="false">IF($K825="Better",$P825,0)</f>
        <v>0</v>
      </c>
      <c r="W825" s="64" t="n">
        <f aca="false">IF($K825="U – needs rule",$P825,0)</f>
        <v>0</v>
      </c>
      <c r="X825" s="64" t="n">
        <f aca="false">IF($K825="No Start (attainment only)",$P825,0)</f>
        <v>0</v>
      </c>
    </row>
    <row r="826" customFormat="false" ht="15" hidden="false" customHeight="false" outlineLevel="0" collapsed="false">
      <c r="A826" s="60"/>
      <c r="B826" s="61" t="str">
        <f aca="false">IF($M826=0,"",INDEX(Classes!$E$6:$E$420,$M826))</f>
        <v/>
      </c>
      <c r="C826" s="62" t="str">
        <f aca="false">IF($M826=0,"",INDEX(Classes!$H$6:$H$420,$M826))</f>
        <v/>
      </c>
      <c r="D826" s="61" t="str">
        <f aca="false">IF($M826=0,"",INDEX(Classes!$B$6:$B$420,$M826))</f>
        <v/>
      </c>
      <c r="E826" s="61" t="str">
        <f aca="false">IF($M826=0,"",INDEX(Classes!$C$6:$C$420,$M826))</f>
        <v/>
      </c>
      <c r="F826" s="63"/>
      <c r="G826" s="63"/>
      <c r="H826" s="60"/>
      <c r="I826" s="60"/>
      <c r="J826" s="63"/>
      <c r="K826" s="61" t="str">
        <f aca="false">IF($P826=0,"",IF($F826="Baseline","— Baseline",IF($O826=0,"No result",IF($N826=0,"No Start (attainment only)",IF(OR($N826=1,$O826=1),"U – needs rule",INDEX(MxBody,MATCH($I826,MxCurr,0),MATCH($H826,MxStart,0)))))))</f>
        <v/>
      </c>
      <c r="L826" s="62" t="str">
        <f aca="false">IF(COUNTA($A826,$F826,$G826,$H826,$I826,$J826)=0,"",IF($M826=0,"✖ كود الصف غير موجود",IF(ISNA(MATCH($F826,Lists!$A$2:$A$5,0)),"✖ الفترة غير صحيحة",IF(ISNA(MATCH($G826,Lists!$B$2:$B$7,0)),"✖ المجموعة غير صحيحة",IF(NOT(OR($H826="",$N826&gt;0)),"✖ Start غير صحيح",IF(NOT(OR($I826="",$I826="NR",$O826&gt;0)),"✖ Current غير صحيح",IF(NOT(IF(ISNUMBER($J826),AND($J826&gt;=0,$J826=INT($J826)),FALSE())),"✖ العدد يجب أن يكون صحيحًا ≥ 0",IF(AND($F826="Baseline",$H826&lt;&gt;""),"⚠ Baseline: Start لا يدخل في التقدم",IF($K826="No Start (attainment only)","ℹ تحصيل فقط (بدون Start)",IF($K826="U – needs rule","ℹ حالة U تحتاج قاعدة معتمدة",IF($K826="No result","ℹ بدون نتيجة (يُستبعد من التحصيل)","OK")))))))))))</f>
        <v/>
      </c>
      <c r="M826" s="64" t="n">
        <f aca="false">IF($A826="",0,IFERROR(MATCH($A826,Classes!$A$6:$A$420,0),0))</f>
        <v>0</v>
      </c>
      <c r="N826" s="64" t="n">
        <f aca="false">IF($H826="",0,IFERROR(MATCH($H826,GradeList,0),0))</f>
        <v>0</v>
      </c>
      <c r="O826" s="64" t="n">
        <f aca="false">IF(OR($I826="",$I826="NR"),0,IFERROR(MATCH($I826,GradeList,0),0))</f>
        <v>0</v>
      </c>
      <c r="P826" s="64" t="n">
        <f aca="false">IF(AND($M826&gt;0,ISNUMBER(MATCH($F826,Lists!$A$2:$A$5,0)),ISNUMBER(MATCH($G826,Lists!$B$2:$B$7,0)),OR($H826="",$N826&gt;0),OR($I826="",$I826="NR",$O826&gt;0),IF(ISNUMBER($J826),AND($J826&gt;=0,$J826=INT($J826)),FALSE())),$J826,0)</f>
        <v>0</v>
      </c>
      <c r="Q826" s="64" t="n">
        <f aca="false">IF(AND($P826&gt;0,$O826&gt;0),$P826,0)</f>
        <v>0</v>
      </c>
      <c r="R826" s="64" t="n">
        <f aca="false">IF(AND($Q826&gt;0,$O826&gt;=AtRank),$Q826,0)</f>
        <v>0</v>
      </c>
      <c r="S826" s="64" t="n">
        <f aca="false">IF(AND($Q826&gt;0,$O826&gt;=AboveRank),$Q826,0)</f>
        <v>0</v>
      </c>
      <c r="T826" s="64" t="n">
        <f aca="false">IF($K826="Less",$P826,0)</f>
        <v>0</v>
      </c>
      <c r="U826" s="64" t="n">
        <f aca="false">IF($K826="Expected",$P826,0)</f>
        <v>0</v>
      </c>
      <c r="V826" s="64" t="n">
        <f aca="false">IF($K826="Better",$P826,0)</f>
        <v>0</v>
      </c>
      <c r="W826" s="64" t="n">
        <f aca="false">IF($K826="U – needs rule",$P826,0)</f>
        <v>0</v>
      </c>
      <c r="X826" s="64" t="n">
        <f aca="false">IF($K826="No Start (attainment only)",$P826,0)</f>
        <v>0</v>
      </c>
    </row>
    <row r="827" customFormat="false" ht="15" hidden="false" customHeight="false" outlineLevel="0" collapsed="false">
      <c r="A827" s="60"/>
      <c r="B827" s="61" t="str">
        <f aca="false">IF($M827=0,"",INDEX(Classes!$E$6:$E$420,$M827))</f>
        <v/>
      </c>
      <c r="C827" s="62" t="str">
        <f aca="false">IF($M827=0,"",INDEX(Classes!$H$6:$H$420,$M827))</f>
        <v/>
      </c>
      <c r="D827" s="61" t="str">
        <f aca="false">IF($M827=0,"",INDEX(Classes!$B$6:$B$420,$M827))</f>
        <v/>
      </c>
      <c r="E827" s="61" t="str">
        <f aca="false">IF($M827=0,"",INDEX(Classes!$C$6:$C$420,$M827))</f>
        <v/>
      </c>
      <c r="F827" s="63"/>
      <c r="G827" s="63"/>
      <c r="H827" s="60"/>
      <c r="I827" s="60"/>
      <c r="J827" s="63"/>
      <c r="K827" s="61" t="str">
        <f aca="false">IF($P827=0,"",IF($F827="Baseline","— Baseline",IF($O827=0,"No result",IF($N827=0,"No Start (attainment only)",IF(OR($N827=1,$O827=1),"U – needs rule",INDEX(MxBody,MATCH($I827,MxCurr,0),MATCH($H827,MxStart,0)))))))</f>
        <v/>
      </c>
      <c r="L827" s="62" t="str">
        <f aca="false">IF(COUNTA($A827,$F827,$G827,$H827,$I827,$J827)=0,"",IF($M827=0,"✖ كود الصف غير موجود",IF(ISNA(MATCH($F827,Lists!$A$2:$A$5,0)),"✖ الفترة غير صحيحة",IF(ISNA(MATCH($G827,Lists!$B$2:$B$7,0)),"✖ المجموعة غير صحيحة",IF(NOT(OR($H827="",$N827&gt;0)),"✖ Start غير صحيح",IF(NOT(OR($I827="",$I827="NR",$O827&gt;0)),"✖ Current غير صحيح",IF(NOT(IF(ISNUMBER($J827),AND($J827&gt;=0,$J827=INT($J827)),FALSE())),"✖ العدد يجب أن يكون صحيحًا ≥ 0",IF(AND($F827="Baseline",$H827&lt;&gt;""),"⚠ Baseline: Start لا يدخل في التقدم",IF($K827="No Start (attainment only)","ℹ تحصيل فقط (بدون Start)",IF($K827="U – needs rule","ℹ حالة U تحتاج قاعدة معتمدة",IF($K827="No result","ℹ بدون نتيجة (يُستبعد من التحصيل)","OK")))))))))))</f>
        <v/>
      </c>
      <c r="M827" s="64" t="n">
        <f aca="false">IF($A827="",0,IFERROR(MATCH($A827,Classes!$A$6:$A$420,0),0))</f>
        <v>0</v>
      </c>
      <c r="N827" s="64" t="n">
        <f aca="false">IF($H827="",0,IFERROR(MATCH($H827,GradeList,0),0))</f>
        <v>0</v>
      </c>
      <c r="O827" s="64" t="n">
        <f aca="false">IF(OR($I827="",$I827="NR"),0,IFERROR(MATCH($I827,GradeList,0),0))</f>
        <v>0</v>
      </c>
      <c r="P827" s="64" t="n">
        <f aca="false">IF(AND($M827&gt;0,ISNUMBER(MATCH($F827,Lists!$A$2:$A$5,0)),ISNUMBER(MATCH($G827,Lists!$B$2:$B$7,0)),OR($H827="",$N827&gt;0),OR($I827="",$I827="NR",$O827&gt;0),IF(ISNUMBER($J827),AND($J827&gt;=0,$J827=INT($J827)),FALSE())),$J827,0)</f>
        <v>0</v>
      </c>
      <c r="Q827" s="64" t="n">
        <f aca="false">IF(AND($P827&gt;0,$O827&gt;0),$P827,0)</f>
        <v>0</v>
      </c>
      <c r="R827" s="64" t="n">
        <f aca="false">IF(AND($Q827&gt;0,$O827&gt;=AtRank),$Q827,0)</f>
        <v>0</v>
      </c>
      <c r="S827" s="64" t="n">
        <f aca="false">IF(AND($Q827&gt;0,$O827&gt;=AboveRank),$Q827,0)</f>
        <v>0</v>
      </c>
      <c r="T827" s="64" t="n">
        <f aca="false">IF($K827="Less",$P827,0)</f>
        <v>0</v>
      </c>
      <c r="U827" s="64" t="n">
        <f aca="false">IF($K827="Expected",$P827,0)</f>
        <v>0</v>
      </c>
      <c r="V827" s="64" t="n">
        <f aca="false">IF($K827="Better",$P827,0)</f>
        <v>0</v>
      </c>
      <c r="W827" s="64" t="n">
        <f aca="false">IF($K827="U – needs rule",$P827,0)</f>
        <v>0</v>
      </c>
      <c r="X827" s="64" t="n">
        <f aca="false">IF($K827="No Start (attainment only)",$P827,0)</f>
        <v>0</v>
      </c>
    </row>
    <row r="828" customFormat="false" ht="15" hidden="false" customHeight="false" outlineLevel="0" collapsed="false">
      <c r="A828" s="60"/>
      <c r="B828" s="61" t="str">
        <f aca="false">IF($M828=0,"",INDEX(Classes!$E$6:$E$420,$M828))</f>
        <v/>
      </c>
      <c r="C828" s="62" t="str">
        <f aca="false">IF($M828=0,"",INDEX(Classes!$H$6:$H$420,$M828))</f>
        <v/>
      </c>
      <c r="D828" s="61" t="str">
        <f aca="false">IF($M828=0,"",INDEX(Classes!$B$6:$B$420,$M828))</f>
        <v/>
      </c>
      <c r="E828" s="61" t="str">
        <f aca="false">IF($M828=0,"",INDEX(Classes!$C$6:$C$420,$M828))</f>
        <v/>
      </c>
      <c r="F828" s="63"/>
      <c r="G828" s="63"/>
      <c r="H828" s="60"/>
      <c r="I828" s="60"/>
      <c r="J828" s="63"/>
      <c r="K828" s="61" t="str">
        <f aca="false">IF($P828=0,"",IF($F828="Baseline","— Baseline",IF($O828=0,"No result",IF($N828=0,"No Start (attainment only)",IF(OR($N828=1,$O828=1),"U – needs rule",INDEX(MxBody,MATCH($I828,MxCurr,0),MATCH($H828,MxStart,0)))))))</f>
        <v/>
      </c>
      <c r="L828" s="62" t="str">
        <f aca="false">IF(COUNTA($A828,$F828,$G828,$H828,$I828,$J828)=0,"",IF($M828=0,"✖ كود الصف غير موجود",IF(ISNA(MATCH($F828,Lists!$A$2:$A$5,0)),"✖ الفترة غير صحيحة",IF(ISNA(MATCH($G828,Lists!$B$2:$B$7,0)),"✖ المجموعة غير صحيحة",IF(NOT(OR($H828="",$N828&gt;0)),"✖ Start غير صحيح",IF(NOT(OR($I828="",$I828="NR",$O828&gt;0)),"✖ Current غير صحيح",IF(NOT(IF(ISNUMBER($J828),AND($J828&gt;=0,$J828=INT($J828)),FALSE())),"✖ العدد يجب أن يكون صحيحًا ≥ 0",IF(AND($F828="Baseline",$H828&lt;&gt;""),"⚠ Baseline: Start لا يدخل في التقدم",IF($K828="No Start (attainment only)","ℹ تحصيل فقط (بدون Start)",IF($K828="U – needs rule","ℹ حالة U تحتاج قاعدة معتمدة",IF($K828="No result","ℹ بدون نتيجة (يُستبعد من التحصيل)","OK")))))))))))</f>
        <v/>
      </c>
      <c r="M828" s="64" t="n">
        <f aca="false">IF($A828="",0,IFERROR(MATCH($A828,Classes!$A$6:$A$420,0),0))</f>
        <v>0</v>
      </c>
      <c r="N828" s="64" t="n">
        <f aca="false">IF($H828="",0,IFERROR(MATCH($H828,GradeList,0),0))</f>
        <v>0</v>
      </c>
      <c r="O828" s="64" t="n">
        <f aca="false">IF(OR($I828="",$I828="NR"),0,IFERROR(MATCH($I828,GradeList,0),0))</f>
        <v>0</v>
      </c>
      <c r="P828" s="64" t="n">
        <f aca="false">IF(AND($M828&gt;0,ISNUMBER(MATCH($F828,Lists!$A$2:$A$5,0)),ISNUMBER(MATCH($G828,Lists!$B$2:$B$7,0)),OR($H828="",$N828&gt;0),OR($I828="",$I828="NR",$O828&gt;0),IF(ISNUMBER($J828),AND($J828&gt;=0,$J828=INT($J828)),FALSE())),$J828,0)</f>
        <v>0</v>
      </c>
      <c r="Q828" s="64" t="n">
        <f aca="false">IF(AND($P828&gt;0,$O828&gt;0),$P828,0)</f>
        <v>0</v>
      </c>
      <c r="R828" s="64" t="n">
        <f aca="false">IF(AND($Q828&gt;0,$O828&gt;=AtRank),$Q828,0)</f>
        <v>0</v>
      </c>
      <c r="S828" s="64" t="n">
        <f aca="false">IF(AND($Q828&gt;0,$O828&gt;=AboveRank),$Q828,0)</f>
        <v>0</v>
      </c>
      <c r="T828" s="64" t="n">
        <f aca="false">IF($K828="Less",$P828,0)</f>
        <v>0</v>
      </c>
      <c r="U828" s="64" t="n">
        <f aca="false">IF($K828="Expected",$P828,0)</f>
        <v>0</v>
      </c>
      <c r="V828" s="64" t="n">
        <f aca="false">IF($K828="Better",$P828,0)</f>
        <v>0</v>
      </c>
      <c r="W828" s="64" t="n">
        <f aca="false">IF($K828="U – needs rule",$P828,0)</f>
        <v>0</v>
      </c>
      <c r="X828" s="64" t="n">
        <f aca="false">IF($K828="No Start (attainment only)",$P828,0)</f>
        <v>0</v>
      </c>
    </row>
    <row r="829" customFormat="false" ht="15" hidden="false" customHeight="false" outlineLevel="0" collapsed="false">
      <c r="A829" s="60"/>
      <c r="B829" s="61" t="str">
        <f aca="false">IF($M829=0,"",INDEX(Classes!$E$6:$E$420,$M829))</f>
        <v/>
      </c>
      <c r="C829" s="62" t="str">
        <f aca="false">IF($M829=0,"",INDEX(Classes!$H$6:$H$420,$M829))</f>
        <v/>
      </c>
      <c r="D829" s="61" t="str">
        <f aca="false">IF($M829=0,"",INDEX(Classes!$B$6:$B$420,$M829))</f>
        <v/>
      </c>
      <c r="E829" s="61" t="str">
        <f aca="false">IF($M829=0,"",INDEX(Classes!$C$6:$C$420,$M829))</f>
        <v/>
      </c>
      <c r="F829" s="63"/>
      <c r="G829" s="63"/>
      <c r="H829" s="60"/>
      <c r="I829" s="60"/>
      <c r="J829" s="63"/>
      <c r="K829" s="61" t="str">
        <f aca="false">IF($P829=0,"",IF($F829="Baseline","— Baseline",IF($O829=0,"No result",IF($N829=0,"No Start (attainment only)",IF(OR($N829=1,$O829=1),"U – needs rule",INDEX(MxBody,MATCH($I829,MxCurr,0),MATCH($H829,MxStart,0)))))))</f>
        <v/>
      </c>
      <c r="L829" s="62" t="str">
        <f aca="false">IF(COUNTA($A829,$F829,$G829,$H829,$I829,$J829)=0,"",IF($M829=0,"✖ كود الصف غير موجود",IF(ISNA(MATCH($F829,Lists!$A$2:$A$5,0)),"✖ الفترة غير صحيحة",IF(ISNA(MATCH($G829,Lists!$B$2:$B$7,0)),"✖ المجموعة غير صحيحة",IF(NOT(OR($H829="",$N829&gt;0)),"✖ Start غير صحيح",IF(NOT(OR($I829="",$I829="NR",$O829&gt;0)),"✖ Current غير صحيح",IF(NOT(IF(ISNUMBER($J829),AND($J829&gt;=0,$J829=INT($J829)),FALSE())),"✖ العدد يجب أن يكون صحيحًا ≥ 0",IF(AND($F829="Baseline",$H829&lt;&gt;""),"⚠ Baseline: Start لا يدخل في التقدم",IF($K829="No Start (attainment only)","ℹ تحصيل فقط (بدون Start)",IF($K829="U – needs rule","ℹ حالة U تحتاج قاعدة معتمدة",IF($K829="No result","ℹ بدون نتيجة (يُستبعد من التحصيل)","OK")))))))))))</f>
        <v/>
      </c>
      <c r="M829" s="64" t="n">
        <f aca="false">IF($A829="",0,IFERROR(MATCH($A829,Classes!$A$6:$A$420,0),0))</f>
        <v>0</v>
      </c>
      <c r="N829" s="64" t="n">
        <f aca="false">IF($H829="",0,IFERROR(MATCH($H829,GradeList,0),0))</f>
        <v>0</v>
      </c>
      <c r="O829" s="64" t="n">
        <f aca="false">IF(OR($I829="",$I829="NR"),0,IFERROR(MATCH($I829,GradeList,0),0))</f>
        <v>0</v>
      </c>
      <c r="P829" s="64" t="n">
        <f aca="false">IF(AND($M829&gt;0,ISNUMBER(MATCH($F829,Lists!$A$2:$A$5,0)),ISNUMBER(MATCH($G829,Lists!$B$2:$B$7,0)),OR($H829="",$N829&gt;0),OR($I829="",$I829="NR",$O829&gt;0),IF(ISNUMBER($J829),AND($J829&gt;=0,$J829=INT($J829)),FALSE())),$J829,0)</f>
        <v>0</v>
      </c>
      <c r="Q829" s="64" t="n">
        <f aca="false">IF(AND($P829&gt;0,$O829&gt;0),$P829,0)</f>
        <v>0</v>
      </c>
      <c r="R829" s="64" t="n">
        <f aca="false">IF(AND($Q829&gt;0,$O829&gt;=AtRank),$Q829,0)</f>
        <v>0</v>
      </c>
      <c r="S829" s="64" t="n">
        <f aca="false">IF(AND($Q829&gt;0,$O829&gt;=AboveRank),$Q829,0)</f>
        <v>0</v>
      </c>
      <c r="T829" s="64" t="n">
        <f aca="false">IF($K829="Less",$P829,0)</f>
        <v>0</v>
      </c>
      <c r="U829" s="64" t="n">
        <f aca="false">IF($K829="Expected",$P829,0)</f>
        <v>0</v>
      </c>
      <c r="V829" s="64" t="n">
        <f aca="false">IF($K829="Better",$P829,0)</f>
        <v>0</v>
      </c>
      <c r="W829" s="64" t="n">
        <f aca="false">IF($K829="U – needs rule",$P829,0)</f>
        <v>0</v>
      </c>
      <c r="X829" s="64" t="n">
        <f aca="false">IF($K829="No Start (attainment only)",$P829,0)</f>
        <v>0</v>
      </c>
    </row>
    <row r="830" customFormat="false" ht="15" hidden="false" customHeight="false" outlineLevel="0" collapsed="false">
      <c r="A830" s="60"/>
      <c r="B830" s="61" t="str">
        <f aca="false">IF($M830=0,"",INDEX(Classes!$E$6:$E$420,$M830))</f>
        <v/>
      </c>
      <c r="C830" s="62" t="str">
        <f aca="false">IF($M830=0,"",INDEX(Classes!$H$6:$H$420,$M830))</f>
        <v/>
      </c>
      <c r="D830" s="61" t="str">
        <f aca="false">IF($M830=0,"",INDEX(Classes!$B$6:$B$420,$M830))</f>
        <v/>
      </c>
      <c r="E830" s="61" t="str">
        <f aca="false">IF($M830=0,"",INDEX(Classes!$C$6:$C$420,$M830))</f>
        <v/>
      </c>
      <c r="F830" s="63"/>
      <c r="G830" s="63"/>
      <c r="H830" s="60"/>
      <c r="I830" s="60"/>
      <c r="J830" s="63"/>
      <c r="K830" s="61" t="str">
        <f aca="false">IF($P830=0,"",IF($F830="Baseline","— Baseline",IF($O830=0,"No result",IF($N830=0,"No Start (attainment only)",IF(OR($N830=1,$O830=1),"U – needs rule",INDEX(MxBody,MATCH($I830,MxCurr,0),MATCH($H830,MxStart,0)))))))</f>
        <v/>
      </c>
      <c r="L830" s="62" t="str">
        <f aca="false">IF(COUNTA($A830,$F830,$G830,$H830,$I830,$J830)=0,"",IF($M830=0,"✖ كود الصف غير موجود",IF(ISNA(MATCH($F830,Lists!$A$2:$A$5,0)),"✖ الفترة غير صحيحة",IF(ISNA(MATCH($G830,Lists!$B$2:$B$7,0)),"✖ المجموعة غير صحيحة",IF(NOT(OR($H830="",$N830&gt;0)),"✖ Start غير صحيح",IF(NOT(OR($I830="",$I830="NR",$O830&gt;0)),"✖ Current غير صحيح",IF(NOT(IF(ISNUMBER($J830),AND($J830&gt;=0,$J830=INT($J830)),FALSE())),"✖ العدد يجب أن يكون صحيحًا ≥ 0",IF(AND($F830="Baseline",$H830&lt;&gt;""),"⚠ Baseline: Start لا يدخل في التقدم",IF($K830="No Start (attainment only)","ℹ تحصيل فقط (بدون Start)",IF($K830="U – needs rule","ℹ حالة U تحتاج قاعدة معتمدة",IF($K830="No result","ℹ بدون نتيجة (يُستبعد من التحصيل)","OK")))))))))))</f>
        <v/>
      </c>
      <c r="M830" s="64" t="n">
        <f aca="false">IF($A830="",0,IFERROR(MATCH($A830,Classes!$A$6:$A$420,0),0))</f>
        <v>0</v>
      </c>
      <c r="N830" s="64" t="n">
        <f aca="false">IF($H830="",0,IFERROR(MATCH($H830,GradeList,0),0))</f>
        <v>0</v>
      </c>
      <c r="O830" s="64" t="n">
        <f aca="false">IF(OR($I830="",$I830="NR"),0,IFERROR(MATCH($I830,GradeList,0),0))</f>
        <v>0</v>
      </c>
      <c r="P830" s="64" t="n">
        <f aca="false">IF(AND($M830&gt;0,ISNUMBER(MATCH($F830,Lists!$A$2:$A$5,0)),ISNUMBER(MATCH($G830,Lists!$B$2:$B$7,0)),OR($H830="",$N830&gt;0),OR($I830="",$I830="NR",$O830&gt;0),IF(ISNUMBER($J830),AND($J830&gt;=0,$J830=INT($J830)),FALSE())),$J830,0)</f>
        <v>0</v>
      </c>
      <c r="Q830" s="64" t="n">
        <f aca="false">IF(AND($P830&gt;0,$O830&gt;0),$P830,0)</f>
        <v>0</v>
      </c>
      <c r="R830" s="64" t="n">
        <f aca="false">IF(AND($Q830&gt;0,$O830&gt;=AtRank),$Q830,0)</f>
        <v>0</v>
      </c>
      <c r="S830" s="64" t="n">
        <f aca="false">IF(AND($Q830&gt;0,$O830&gt;=AboveRank),$Q830,0)</f>
        <v>0</v>
      </c>
      <c r="T830" s="64" t="n">
        <f aca="false">IF($K830="Less",$P830,0)</f>
        <v>0</v>
      </c>
      <c r="U830" s="64" t="n">
        <f aca="false">IF($K830="Expected",$P830,0)</f>
        <v>0</v>
      </c>
      <c r="V830" s="64" t="n">
        <f aca="false">IF($K830="Better",$P830,0)</f>
        <v>0</v>
      </c>
      <c r="W830" s="64" t="n">
        <f aca="false">IF($K830="U – needs rule",$P830,0)</f>
        <v>0</v>
      </c>
      <c r="X830" s="64" t="n">
        <f aca="false">IF($K830="No Start (attainment only)",$P830,0)</f>
        <v>0</v>
      </c>
    </row>
    <row r="831" customFormat="false" ht="15" hidden="false" customHeight="false" outlineLevel="0" collapsed="false">
      <c r="A831" s="60"/>
      <c r="B831" s="61" t="str">
        <f aca="false">IF($M831=0,"",INDEX(Classes!$E$6:$E$420,$M831))</f>
        <v/>
      </c>
      <c r="C831" s="62" t="str">
        <f aca="false">IF($M831=0,"",INDEX(Classes!$H$6:$H$420,$M831))</f>
        <v/>
      </c>
      <c r="D831" s="61" t="str">
        <f aca="false">IF($M831=0,"",INDEX(Classes!$B$6:$B$420,$M831))</f>
        <v/>
      </c>
      <c r="E831" s="61" t="str">
        <f aca="false">IF($M831=0,"",INDEX(Classes!$C$6:$C$420,$M831))</f>
        <v/>
      </c>
      <c r="F831" s="63"/>
      <c r="G831" s="63"/>
      <c r="H831" s="60"/>
      <c r="I831" s="60"/>
      <c r="J831" s="63"/>
      <c r="K831" s="61" t="str">
        <f aca="false">IF($P831=0,"",IF($F831="Baseline","— Baseline",IF($O831=0,"No result",IF($N831=0,"No Start (attainment only)",IF(OR($N831=1,$O831=1),"U – needs rule",INDEX(MxBody,MATCH($I831,MxCurr,0),MATCH($H831,MxStart,0)))))))</f>
        <v/>
      </c>
      <c r="L831" s="62" t="str">
        <f aca="false">IF(COUNTA($A831,$F831,$G831,$H831,$I831,$J831)=0,"",IF($M831=0,"✖ كود الصف غير موجود",IF(ISNA(MATCH($F831,Lists!$A$2:$A$5,0)),"✖ الفترة غير صحيحة",IF(ISNA(MATCH($G831,Lists!$B$2:$B$7,0)),"✖ المجموعة غير صحيحة",IF(NOT(OR($H831="",$N831&gt;0)),"✖ Start غير صحيح",IF(NOT(OR($I831="",$I831="NR",$O831&gt;0)),"✖ Current غير صحيح",IF(NOT(IF(ISNUMBER($J831),AND($J831&gt;=0,$J831=INT($J831)),FALSE())),"✖ العدد يجب أن يكون صحيحًا ≥ 0",IF(AND($F831="Baseline",$H831&lt;&gt;""),"⚠ Baseline: Start لا يدخل في التقدم",IF($K831="No Start (attainment only)","ℹ تحصيل فقط (بدون Start)",IF($K831="U – needs rule","ℹ حالة U تحتاج قاعدة معتمدة",IF($K831="No result","ℹ بدون نتيجة (يُستبعد من التحصيل)","OK")))))))))))</f>
        <v/>
      </c>
      <c r="M831" s="64" t="n">
        <f aca="false">IF($A831="",0,IFERROR(MATCH($A831,Classes!$A$6:$A$420,0),0))</f>
        <v>0</v>
      </c>
      <c r="N831" s="64" t="n">
        <f aca="false">IF($H831="",0,IFERROR(MATCH($H831,GradeList,0),0))</f>
        <v>0</v>
      </c>
      <c r="O831" s="64" t="n">
        <f aca="false">IF(OR($I831="",$I831="NR"),0,IFERROR(MATCH($I831,GradeList,0),0))</f>
        <v>0</v>
      </c>
      <c r="P831" s="64" t="n">
        <f aca="false">IF(AND($M831&gt;0,ISNUMBER(MATCH($F831,Lists!$A$2:$A$5,0)),ISNUMBER(MATCH($G831,Lists!$B$2:$B$7,0)),OR($H831="",$N831&gt;0),OR($I831="",$I831="NR",$O831&gt;0),IF(ISNUMBER($J831),AND($J831&gt;=0,$J831=INT($J831)),FALSE())),$J831,0)</f>
        <v>0</v>
      </c>
      <c r="Q831" s="64" t="n">
        <f aca="false">IF(AND($P831&gt;0,$O831&gt;0),$P831,0)</f>
        <v>0</v>
      </c>
      <c r="R831" s="64" t="n">
        <f aca="false">IF(AND($Q831&gt;0,$O831&gt;=AtRank),$Q831,0)</f>
        <v>0</v>
      </c>
      <c r="S831" s="64" t="n">
        <f aca="false">IF(AND($Q831&gt;0,$O831&gt;=AboveRank),$Q831,0)</f>
        <v>0</v>
      </c>
      <c r="T831" s="64" t="n">
        <f aca="false">IF($K831="Less",$P831,0)</f>
        <v>0</v>
      </c>
      <c r="U831" s="64" t="n">
        <f aca="false">IF($K831="Expected",$P831,0)</f>
        <v>0</v>
      </c>
      <c r="V831" s="64" t="n">
        <f aca="false">IF($K831="Better",$P831,0)</f>
        <v>0</v>
      </c>
      <c r="W831" s="64" t="n">
        <f aca="false">IF($K831="U – needs rule",$P831,0)</f>
        <v>0</v>
      </c>
      <c r="X831" s="64" t="n">
        <f aca="false">IF($K831="No Start (attainment only)",$P831,0)</f>
        <v>0</v>
      </c>
    </row>
    <row r="832" customFormat="false" ht="15" hidden="false" customHeight="false" outlineLevel="0" collapsed="false">
      <c r="A832" s="60"/>
      <c r="B832" s="61" t="str">
        <f aca="false">IF($M832=0,"",INDEX(Classes!$E$6:$E$420,$M832))</f>
        <v/>
      </c>
      <c r="C832" s="62" t="str">
        <f aca="false">IF($M832=0,"",INDEX(Classes!$H$6:$H$420,$M832))</f>
        <v/>
      </c>
      <c r="D832" s="61" t="str">
        <f aca="false">IF($M832=0,"",INDEX(Classes!$B$6:$B$420,$M832))</f>
        <v/>
      </c>
      <c r="E832" s="61" t="str">
        <f aca="false">IF($M832=0,"",INDEX(Classes!$C$6:$C$420,$M832))</f>
        <v/>
      </c>
      <c r="F832" s="63"/>
      <c r="G832" s="63"/>
      <c r="H832" s="60"/>
      <c r="I832" s="60"/>
      <c r="J832" s="63"/>
      <c r="K832" s="61" t="str">
        <f aca="false">IF($P832=0,"",IF($F832="Baseline","— Baseline",IF($O832=0,"No result",IF($N832=0,"No Start (attainment only)",IF(OR($N832=1,$O832=1),"U – needs rule",INDEX(MxBody,MATCH($I832,MxCurr,0),MATCH($H832,MxStart,0)))))))</f>
        <v/>
      </c>
      <c r="L832" s="62" t="str">
        <f aca="false">IF(COUNTA($A832,$F832,$G832,$H832,$I832,$J832)=0,"",IF($M832=0,"✖ كود الصف غير موجود",IF(ISNA(MATCH($F832,Lists!$A$2:$A$5,0)),"✖ الفترة غير صحيحة",IF(ISNA(MATCH($G832,Lists!$B$2:$B$7,0)),"✖ المجموعة غير صحيحة",IF(NOT(OR($H832="",$N832&gt;0)),"✖ Start غير صحيح",IF(NOT(OR($I832="",$I832="NR",$O832&gt;0)),"✖ Current غير صحيح",IF(NOT(IF(ISNUMBER($J832),AND($J832&gt;=0,$J832=INT($J832)),FALSE())),"✖ العدد يجب أن يكون صحيحًا ≥ 0",IF(AND($F832="Baseline",$H832&lt;&gt;""),"⚠ Baseline: Start لا يدخل في التقدم",IF($K832="No Start (attainment only)","ℹ تحصيل فقط (بدون Start)",IF($K832="U – needs rule","ℹ حالة U تحتاج قاعدة معتمدة",IF($K832="No result","ℹ بدون نتيجة (يُستبعد من التحصيل)","OK")))))))))))</f>
        <v/>
      </c>
      <c r="M832" s="64" t="n">
        <f aca="false">IF($A832="",0,IFERROR(MATCH($A832,Classes!$A$6:$A$420,0),0))</f>
        <v>0</v>
      </c>
      <c r="N832" s="64" t="n">
        <f aca="false">IF($H832="",0,IFERROR(MATCH($H832,GradeList,0),0))</f>
        <v>0</v>
      </c>
      <c r="O832" s="64" t="n">
        <f aca="false">IF(OR($I832="",$I832="NR"),0,IFERROR(MATCH($I832,GradeList,0),0))</f>
        <v>0</v>
      </c>
      <c r="P832" s="64" t="n">
        <f aca="false">IF(AND($M832&gt;0,ISNUMBER(MATCH($F832,Lists!$A$2:$A$5,0)),ISNUMBER(MATCH($G832,Lists!$B$2:$B$7,0)),OR($H832="",$N832&gt;0),OR($I832="",$I832="NR",$O832&gt;0),IF(ISNUMBER($J832),AND($J832&gt;=0,$J832=INT($J832)),FALSE())),$J832,0)</f>
        <v>0</v>
      </c>
      <c r="Q832" s="64" t="n">
        <f aca="false">IF(AND($P832&gt;0,$O832&gt;0),$P832,0)</f>
        <v>0</v>
      </c>
      <c r="R832" s="64" t="n">
        <f aca="false">IF(AND($Q832&gt;0,$O832&gt;=AtRank),$Q832,0)</f>
        <v>0</v>
      </c>
      <c r="S832" s="64" t="n">
        <f aca="false">IF(AND($Q832&gt;0,$O832&gt;=AboveRank),$Q832,0)</f>
        <v>0</v>
      </c>
      <c r="T832" s="64" t="n">
        <f aca="false">IF($K832="Less",$P832,0)</f>
        <v>0</v>
      </c>
      <c r="U832" s="64" t="n">
        <f aca="false">IF($K832="Expected",$P832,0)</f>
        <v>0</v>
      </c>
      <c r="V832" s="64" t="n">
        <f aca="false">IF($K832="Better",$P832,0)</f>
        <v>0</v>
      </c>
      <c r="W832" s="64" t="n">
        <f aca="false">IF($K832="U – needs rule",$P832,0)</f>
        <v>0</v>
      </c>
      <c r="X832" s="64" t="n">
        <f aca="false">IF($K832="No Start (attainment only)",$P832,0)</f>
        <v>0</v>
      </c>
    </row>
    <row r="833" customFormat="false" ht="15" hidden="false" customHeight="false" outlineLevel="0" collapsed="false">
      <c r="A833" s="60"/>
      <c r="B833" s="61" t="str">
        <f aca="false">IF($M833=0,"",INDEX(Classes!$E$6:$E$420,$M833))</f>
        <v/>
      </c>
      <c r="C833" s="62" t="str">
        <f aca="false">IF($M833=0,"",INDEX(Classes!$H$6:$H$420,$M833))</f>
        <v/>
      </c>
      <c r="D833" s="61" t="str">
        <f aca="false">IF($M833=0,"",INDEX(Classes!$B$6:$B$420,$M833))</f>
        <v/>
      </c>
      <c r="E833" s="61" t="str">
        <f aca="false">IF($M833=0,"",INDEX(Classes!$C$6:$C$420,$M833))</f>
        <v/>
      </c>
      <c r="F833" s="63"/>
      <c r="G833" s="63"/>
      <c r="H833" s="60"/>
      <c r="I833" s="60"/>
      <c r="J833" s="63"/>
      <c r="K833" s="61" t="str">
        <f aca="false">IF($P833=0,"",IF($F833="Baseline","— Baseline",IF($O833=0,"No result",IF($N833=0,"No Start (attainment only)",IF(OR($N833=1,$O833=1),"U – needs rule",INDEX(MxBody,MATCH($I833,MxCurr,0),MATCH($H833,MxStart,0)))))))</f>
        <v/>
      </c>
      <c r="L833" s="62" t="str">
        <f aca="false">IF(COUNTA($A833,$F833,$G833,$H833,$I833,$J833)=0,"",IF($M833=0,"✖ كود الصف غير موجود",IF(ISNA(MATCH($F833,Lists!$A$2:$A$5,0)),"✖ الفترة غير صحيحة",IF(ISNA(MATCH($G833,Lists!$B$2:$B$7,0)),"✖ المجموعة غير صحيحة",IF(NOT(OR($H833="",$N833&gt;0)),"✖ Start غير صحيح",IF(NOT(OR($I833="",$I833="NR",$O833&gt;0)),"✖ Current غير صحيح",IF(NOT(IF(ISNUMBER($J833),AND($J833&gt;=0,$J833=INT($J833)),FALSE())),"✖ العدد يجب أن يكون صحيحًا ≥ 0",IF(AND($F833="Baseline",$H833&lt;&gt;""),"⚠ Baseline: Start لا يدخل في التقدم",IF($K833="No Start (attainment only)","ℹ تحصيل فقط (بدون Start)",IF($K833="U – needs rule","ℹ حالة U تحتاج قاعدة معتمدة",IF($K833="No result","ℹ بدون نتيجة (يُستبعد من التحصيل)","OK")))))))))))</f>
        <v/>
      </c>
      <c r="M833" s="64" t="n">
        <f aca="false">IF($A833="",0,IFERROR(MATCH($A833,Classes!$A$6:$A$420,0),0))</f>
        <v>0</v>
      </c>
      <c r="N833" s="64" t="n">
        <f aca="false">IF($H833="",0,IFERROR(MATCH($H833,GradeList,0),0))</f>
        <v>0</v>
      </c>
      <c r="O833" s="64" t="n">
        <f aca="false">IF(OR($I833="",$I833="NR"),0,IFERROR(MATCH($I833,GradeList,0),0))</f>
        <v>0</v>
      </c>
      <c r="P833" s="64" t="n">
        <f aca="false">IF(AND($M833&gt;0,ISNUMBER(MATCH($F833,Lists!$A$2:$A$5,0)),ISNUMBER(MATCH($G833,Lists!$B$2:$B$7,0)),OR($H833="",$N833&gt;0),OR($I833="",$I833="NR",$O833&gt;0),IF(ISNUMBER($J833),AND($J833&gt;=0,$J833=INT($J833)),FALSE())),$J833,0)</f>
        <v>0</v>
      </c>
      <c r="Q833" s="64" t="n">
        <f aca="false">IF(AND($P833&gt;0,$O833&gt;0),$P833,0)</f>
        <v>0</v>
      </c>
      <c r="R833" s="64" t="n">
        <f aca="false">IF(AND($Q833&gt;0,$O833&gt;=AtRank),$Q833,0)</f>
        <v>0</v>
      </c>
      <c r="S833" s="64" t="n">
        <f aca="false">IF(AND($Q833&gt;0,$O833&gt;=AboveRank),$Q833,0)</f>
        <v>0</v>
      </c>
      <c r="T833" s="64" t="n">
        <f aca="false">IF($K833="Less",$P833,0)</f>
        <v>0</v>
      </c>
      <c r="U833" s="64" t="n">
        <f aca="false">IF($K833="Expected",$P833,0)</f>
        <v>0</v>
      </c>
      <c r="V833" s="64" t="n">
        <f aca="false">IF($K833="Better",$P833,0)</f>
        <v>0</v>
      </c>
      <c r="W833" s="64" t="n">
        <f aca="false">IF($K833="U – needs rule",$P833,0)</f>
        <v>0</v>
      </c>
      <c r="X833" s="64" t="n">
        <f aca="false">IF($K833="No Start (attainment only)",$P833,0)</f>
        <v>0</v>
      </c>
    </row>
    <row r="834" customFormat="false" ht="15" hidden="false" customHeight="false" outlineLevel="0" collapsed="false">
      <c r="A834" s="60"/>
      <c r="B834" s="61" t="str">
        <f aca="false">IF($M834=0,"",INDEX(Classes!$E$6:$E$420,$M834))</f>
        <v/>
      </c>
      <c r="C834" s="62" t="str">
        <f aca="false">IF($M834=0,"",INDEX(Classes!$H$6:$H$420,$M834))</f>
        <v/>
      </c>
      <c r="D834" s="61" t="str">
        <f aca="false">IF($M834=0,"",INDEX(Classes!$B$6:$B$420,$M834))</f>
        <v/>
      </c>
      <c r="E834" s="61" t="str">
        <f aca="false">IF($M834=0,"",INDEX(Classes!$C$6:$C$420,$M834))</f>
        <v/>
      </c>
      <c r="F834" s="63"/>
      <c r="G834" s="63"/>
      <c r="H834" s="60"/>
      <c r="I834" s="60"/>
      <c r="J834" s="63"/>
      <c r="K834" s="61" t="str">
        <f aca="false">IF($P834=0,"",IF($F834="Baseline","— Baseline",IF($O834=0,"No result",IF($N834=0,"No Start (attainment only)",IF(OR($N834=1,$O834=1),"U – needs rule",INDEX(MxBody,MATCH($I834,MxCurr,0),MATCH($H834,MxStart,0)))))))</f>
        <v/>
      </c>
      <c r="L834" s="62" t="str">
        <f aca="false">IF(COUNTA($A834,$F834,$G834,$H834,$I834,$J834)=0,"",IF($M834=0,"✖ كود الصف غير موجود",IF(ISNA(MATCH($F834,Lists!$A$2:$A$5,0)),"✖ الفترة غير صحيحة",IF(ISNA(MATCH($G834,Lists!$B$2:$B$7,0)),"✖ المجموعة غير صحيحة",IF(NOT(OR($H834="",$N834&gt;0)),"✖ Start غير صحيح",IF(NOT(OR($I834="",$I834="NR",$O834&gt;0)),"✖ Current غير صحيح",IF(NOT(IF(ISNUMBER($J834),AND($J834&gt;=0,$J834=INT($J834)),FALSE())),"✖ العدد يجب أن يكون صحيحًا ≥ 0",IF(AND($F834="Baseline",$H834&lt;&gt;""),"⚠ Baseline: Start لا يدخل في التقدم",IF($K834="No Start (attainment only)","ℹ تحصيل فقط (بدون Start)",IF($K834="U – needs rule","ℹ حالة U تحتاج قاعدة معتمدة",IF($K834="No result","ℹ بدون نتيجة (يُستبعد من التحصيل)","OK")))))))))))</f>
        <v/>
      </c>
      <c r="M834" s="64" t="n">
        <f aca="false">IF($A834="",0,IFERROR(MATCH($A834,Classes!$A$6:$A$420,0),0))</f>
        <v>0</v>
      </c>
      <c r="N834" s="64" t="n">
        <f aca="false">IF($H834="",0,IFERROR(MATCH($H834,GradeList,0),0))</f>
        <v>0</v>
      </c>
      <c r="O834" s="64" t="n">
        <f aca="false">IF(OR($I834="",$I834="NR"),0,IFERROR(MATCH($I834,GradeList,0),0))</f>
        <v>0</v>
      </c>
      <c r="P834" s="64" t="n">
        <f aca="false">IF(AND($M834&gt;0,ISNUMBER(MATCH($F834,Lists!$A$2:$A$5,0)),ISNUMBER(MATCH($G834,Lists!$B$2:$B$7,0)),OR($H834="",$N834&gt;0),OR($I834="",$I834="NR",$O834&gt;0),IF(ISNUMBER($J834),AND($J834&gt;=0,$J834=INT($J834)),FALSE())),$J834,0)</f>
        <v>0</v>
      </c>
      <c r="Q834" s="64" t="n">
        <f aca="false">IF(AND($P834&gt;0,$O834&gt;0),$P834,0)</f>
        <v>0</v>
      </c>
      <c r="R834" s="64" t="n">
        <f aca="false">IF(AND($Q834&gt;0,$O834&gt;=AtRank),$Q834,0)</f>
        <v>0</v>
      </c>
      <c r="S834" s="64" t="n">
        <f aca="false">IF(AND($Q834&gt;0,$O834&gt;=AboveRank),$Q834,0)</f>
        <v>0</v>
      </c>
      <c r="T834" s="64" t="n">
        <f aca="false">IF($K834="Less",$P834,0)</f>
        <v>0</v>
      </c>
      <c r="U834" s="64" t="n">
        <f aca="false">IF($K834="Expected",$P834,0)</f>
        <v>0</v>
      </c>
      <c r="V834" s="64" t="n">
        <f aca="false">IF($K834="Better",$P834,0)</f>
        <v>0</v>
      </c>
      <c r="W834" s="64" t="n">
        <f aca="false">IF($K834="U – needs rule",$P834,0)</f>
        <v>0</v>
      </c>
      <c r="X834" s="64" t="n">
        <f aca="false">IF($K834="No Start (attainment only)",$P834,0)</f>
        <v>0</v>
      </c>
    </row>
    <row r="835" customFormat="false" ht="15" hidden="false" customHeight="false" outlineLevel="0" collapsed="false">
      <c r="A835" s="60"/>
      <c r="B835" s="61" t="str">
        <f aca="false">IF($M835=0,"",INDEX(Classes!$E$6:$E$420,$M835))</f>
        <v/>
      </c>
      <c r="C835" s="62" t="str">
        <f aca="false">IF($M835=0,"",INDEX(Classes!$H$6:$H$420,$M835))</f>
        <v/>
      </c>
      <c r="D835" s="61" t="str">
        <f aca="false">IF($M835=0,"",INDEX(Classes!$B$6:$B$420,$M835))</f>
        <v/>
      </c>
      <c r="E835" s="61" t="str">
        <f aca="false">IF($M835=0,"",INDEX(Classes!$C$6:$C$420,$M835))</f>
        <v/>
      </c>
      <c r="F835" s="63"/>
      <c r="G835" s="63"/>
      <c r="H835" s="60"/>
      <c r="I835" s="60"/>
      <c r="J835" s="63"/>
      <c r="K835" s="61" t="str">
        <f aca="false">IF($P835=0,"",IF($F835="Baseline","— Baseline",IF($O835=0,"No result",IF($N835=0,"No Start (attainment only)",IF(OR($N835=1,$O835=1),"U – needs rule",INDEX(MxBody,MATCH($I835,MxCurr,0),MATCH($H835,MxStart,0)))))))</f>
        <v/>
      </c>
      <c r="L835" s="62" t="str">
        <f aca="false">IF(COUNTA($A835,$F835,$G835,$H835,$I835,$J835)=0,"",IF($M835=0,"✖ كود الصف غير موجود",IF(ISNA(MATCH($F835,Lists!$A$2:$A$5,0)),"✖ الفترة غير صحيحة",IF(ISNA(MATCH($G835,Lists!$B$2:$B$7,0)),"✖ المجموعة غير صحيحة",IF(NOT(OR($H835="",$N835&gt;0)),"✖ Start غير صحيح",IF(NOT(OR($I835="",$I835="NR",$O835&gt;0)),"✖ Current غير صحيح",IF(NOT(IF(ISNUMBER($J835),AND($J835&gt;=0,$J835=INT($J835)),FALSE())),"✖ العدد يجب أن يكون صحيحًا ≥ 0",IF(AND($F835="Baseline",$H835&lt;&gt;""),"⚠ Baseline: Start لا يدخل في التقدم",IF($K835="No Start (attainment only)","ℹ تحصيل فقط (بدون Start)",IF($K835="U – needs rule","ℹ حالة U تحتاج قاعدة معتمدة",IF($K835="No result","ℹ بدون نتيجة (يُستبعد من التحصيل)","OK")))))))))))</f>
        <v/>
      </c>
      <c r="M835" s="64" t="n">
        <f aca="false">IF($A835="",0,IFERROR(MATCH($A835,Classes!$A$6:$A$420,0),0))</f>
        <v>0</v>
      </c>
      <c r="N835" s="64" t="n">
        <f aca="false">IF($H835="",0,IFERROR(MATCH($H835,GradeList,0),0))</f>
        <v>0</v>
      </c>
      <c r="O835" s="64" t="n">
        <f aca="false">IF(OR($I835="",$I835="NR"),0,IFERROR(MATCH($I835,GradeList,0),0))</f>
        <v>0</v>
      </c>
      <c r="P835" s="64" t="n">
        <f aca="false">IF(AND($M835&gt;0,ISNUMBER(MATCH($F835,Lists!$A$2:$A$5,0)),ISNUMBER(MATCH($G835,Lists!$B$2:$B$7,0)),OR($H835="",$N835&gt;0),OR($I835="",$I835="NR",$O835&gt;0),IF(ISNUMBER($J835),AND($J835&gt;=0,$J835=INT($J835)),FALSE())),$J835,0)</f>
        <v>0</v>
      </c>
      <c r="Q835" s="64" t="n">
        <f aca="false">IF(AND($P835&gt;0,$O835&gt;0),$P835,0)</f>
        <v>0</v>
      </c>
      <c r="R835" s="64" t="n">
        <f aca="false">IF(AND($Q835&gt;0,$O835&gt;=AtRank),$Q835,0)</f>
        <v>0</v>
      </c>
      <c r="S835" s="64" t="n">
        <f aca="false">IF(AND($Q835&gt;0,$O835&gt;=AboveRank),$Q835,0)</f>
        <v>0</v>
      </c>
      <c r="T835" s="64" t="n">
        <f aca="false">IF($K835="Less",$P835,0)</f>
        <v>0</v>
      </c>
      <c r="U835" s="64" t="n">
        <f aca="false">IF($K835="Expected",$P835,0)</f>
        <v>0</v>
      </c>
      <c r="V835" s="64" t="n">
        <f aca="false">IF($K835="Better",$P835,0)</f>
        <v>0</v>
      </c>
      <c r="W835" s="64" t="n">
        <f aca="false">IF($K835="U – needs rule",$P835,0)</f>
        <v>0</v>
      </c>
      <c r="X835" s="64" t="n">
        <f aca="false">IF($K835="No Start (attainment only)",$P835,0)</f>
        <v>0</v>
      </c>
    </row>
    <row r="836" customFormat="false" ht="15" hidden="false" customHeight="false" outlineLevel="0" collapsed="false">
      <c r="A836" s="60"/>
      <c r="B836" s="61" t="str">
        <f aca="false">IF($M836=0,"",INDEX(Classes!$E$6:$E$420,$M836))</f>
        <v/>
      </c>
      <c r="C836" s="62" t="str">
        <f aca="false">IF($M836=0,"",INDEX(Classes!$H$6:$H$420,$M836))</f>
        <v/>
      </c>
      <c r="D836" s="61" t="str">
        <f aca="false">IF($M836=0,"",INDEX(Classes!$B$6:$B$420,$M836))</f>
        <v/>
      </c>
      <c r="E836" s="61" t="str">
        <f aca="false">IF($M836=0,"",INDEX(Classes!$C$6:$C$420,$M836))</f>
        <v/>
      </c>
      <c r="F836" s="63"/>
      <c r="G836" s="63"/>
      <c r="H836" s="60"/>
      <c r="I836" s="60"/>
      <c r="J836" s="63"/>
      <c r="K836" s="61" t="str">
        <f aca="false">IF($P836=0,"",IF($F836="Baseline","— Baseline",IF($O836=0,"No result",IF($N836=0,"No Start (attainment only)",IF(OR($N836=1,$O836=1),"U – needs rule",INDEX(MxBody,MATCH($I836,MxCurr,0),MATCH($H836,MxStart,0)))))))</f>
        <v/>
      </c>
      <c r="L836" s="62" t="str">
        <f aca="false">IF(COUNTA($A836,$F836,$G836,$H836,$I836,$J836)=0,"",IF($M836=0,"✖ كود الصف غير موجود",IF(ISNA(MATCH($F836,Lists!$A$2:$A$5,0)),"✖ الفترة غير صحيحة",IF(ISNA(MATCH($G836,Lists!$B$2:$B$7,0)),"✖ المجموعة غير صحيحة",IF(NOT(OR($H836="",$N836&gt;0)),"✖ Start غير صحيح",IF(NOT(OR($I836="",$I836="NR",$O836&gt;0)),"✖ Current غير صحيح",IF(NOT(IF(ISNUMBER($J836),AND($J836&gt;=0,$J836=INT($J836)),FALSE())),"✖ العدد يجب أن يكون صحيحًا ≥ 0",IF(AND($F836="Baseline",$H836&lt;&gt;""),"⚠ Baseline: Start لا يدخل في التقدم",IF($K836="No Start (attainment only)","ℹ تحصيل فقط (بدون Start)",IF($K836="U – needs rule","ℹ حالة U تحتاج قاعدة معتمدة",IF($K836="No result","ℹ بدون نتيجة (يُستبعد من التحصيل)","OK")))))))))))</f>
        <v/>
      </c>
      <c r="M836" s="64" t="n">
        <f aca="false">IF($A836="",0,IFERROR(MATCH($A836,Classes!$A$6:$A$420,0),0))</f>
        <v>0</v>
      </c>
      <c r="N836" s="64" t="n">
        <f aca="false">IF($H836="",0,IFERROR(MATCH($H836,GradeList,0),0))</f>
        <v>0</v>
      </c>
      <c r="O836" s="64" t="n">
        <f aca="false">IF(OR($I836="",$I836="NR"),0,IFERROR(MATCH($I836,GradeList,0),0))</f>
        <v>0</v>
      </c>
      <c r="P836" s="64" t="n">
        <f aca="false">IF(AND($M836&gt;0,ISNUMBER(MATCH($F836,Lists!$A$2:$A$5,0)),ISNUMBER(MATCH($G836,Lists!$B$2:$B$7,0)),OR($H836="",$N836&gt;0),OR($I836="",$I836="NR",$O836&gt;0),IF(ISNUMBER($J836),AND($J836&gt;=0,$J836=INT($J836)),FALSE())),$J836,0)</f>
        <v>0</v>
      </c>
      <c r="Q836" s="64" t="n">
        <f aca="false">IF(AND($P836&gt;0,$O836&gt;0),$P836,0)</f>
        <v>0</v>
      </c>
      <c r="R836" s="64" t="n">
        <f aca="false">IF(AND($Q836&gt;0,$O836&gt;=AtRank),$Q836,0)</f>
        <v>0</v>
      </c>
      <c r="S836" s="64" t="n">
        <f aca="false">IF(AND($Q836&gt;0,$O836&gt;=AboveRank),$Q836,0)</f>
        <v>0</v>
      </c>
      <c r="T836" s="64" t="n">
        <f aca="false">IF($K836="Less",$P836,0)</f>
        <v>0</v>
      </c>
      <c r="U836" s="64" t="n">
        <f aca="false">IF($K836="Expected",$P836,0)</f>
        <v>0</v>
      </c>
      <c r="V836" s="64" t="n">
        <f aca="false">IF($K836="Better",$P836,0)</f>
        <v>0</v>
      </c>
      <c r="W836" s="64" t="n">
        <f aca="false">IF($K836="U – needs rule",$P836,0)</f>
        <v>0</v>
      </c>
      <c r="X836" s="64" t="n">
        <f aca="false">IF($K836="No Start (attainment only)",$P836,0)</f>
        <v>0</v>
      </c>
    </row>
    <row r="837" customFormat="false" ht="15" hidden="false" customHeight="false" outlineLevel="0" collapsed="false">
      <c r="A837" s="60"/>
      <c r="B837" s="61" t="str">
        <f aca="false">IF($M837=0,"",INDEX(Classes!$E$6:$E$420,$M837))</f>
        <v/>
      </c>
      <c r="C837" s="62" t="str">
        <f aca="false">IF($M837=0,"",INDEX(Classes!$H$6:$H$420,$M837))</f>
        <v/>
      </c>
      <c r="D837" s="61" t="str">
        <f aca="false">IF($M837=0,"",INDEX(Classes!$B$6:$B$420,$M837))</f>
        <v/>
      </c>
      <c r="E837" s="61" t="str">
        <f aca="false">IF($M837=0,"",INDEX(Classes!$C$6:$C$420,$M837))</f>
        <v/>
      </c>
      <c r="F837" s="63"/>
      <c r="G837" s="63"/>
      <c r="H837" s="60"/>
      <c r="I837" s="60"/>
      <c r="J837" s="63"/>
      <c r="K837" s="61" t="str">
        <f aca="false">IF($P837=0,"",IF($F837="Baseline","— Baseline",IF($O837=0,"No result",IF($N837=0,"No Start (attainment only)",IF(OR($N837=1,$O837=1),"U – needs rule",INDEX(MxBody,MATCH($I837,MxCurr,0),MATCH($H837,MxStart,0)))))))</f>
        <v/>
      </c>
      <c r="L837" s="62" t="str">
        <f aca="false">IF(COUNTA($A837,$F837,$G837,$H837,$I837,$J837)=0,"",IF($M837=0,"✖ كود الصف غير موجود",IF(ISNA(MATCH($F837,Lists!$A$2:$A$5,0)),"✖ الفترة غير صحيحة",IF(ISNA(MATCH($G837,Lists!$B$2:$B$7,0)),"✖ المجموعة غير صحيحة",IF(NOT(OR($H837="",$N837&gt;0)),"✖ Start غير صحيح",IF(NOT(OR($I837="",$I837="NR",$O837&gt;0)),"✖ Current غير صحيح",IF(NOT(IF(ISNUMBER($J837),AND($J837&gt;=0,$J837=INT($J837)),FALSE())),"✖ العدد يجب أن يكون صحيحًا ≥ 0",IF(AND($F837="Baseline",$H837&lt;&gt;""),"⚠ Baseline: Start لا يدخل في التقدم",IF($K837="No Start (attainment only)","ℹ تحصيل فقط (بدون Start)",IF($K837="U – needs rule","ℹ حالة U تحتاج قاعدة معتمدة",IF($K837="No result","ℹ بدون نتيجة (يُستبعد من التحصيل)","OK")))))))))))</f>
        <v/>
      </c>
      <c r="M837" s="64" t="n">
        <f aca="false">IF($A837="",0,IFERROR(MATCH($A837,Classes!$A$6:$A$420,0),0))</f>
        <v>0</v>
      </c>
      <c r="N837" s="64" t="n">
        <f aca="false">IF($H837="",0,IFERROR(MATCH($H837,GradeList,0),0))</f>
        <v>0</v>
      </c>
      <c r="O837" s="64" t="n">
        <f aca="false">IF(OR($I837="",$I837="NR"),0,IFERROR(MATCH($I837,GradeList,0),0))</f>
        <v>0</v>
      </c>
      <c r="P837" s="64" t="n">
        <f aca="false">IF(AND($M837&gt;0,ISNUMBER(MATCH($F837,Lists!$A$2:$A$5,0)),ISNUMBER(MATCH($G837,Lists!$B$2:$B$7,0)),OR($H837="",$N837&gt;0),OR($I837="",$I837="NR",$O837&gt;0),IF(ISNUMBER($J837),AND($J837&gt;=0,$J837=INT($J837)),FALSE())),$J837,0)</f>
        <v>0</v>
      </c>
      <c r="Q837" s="64" t="n">
        <f aca="false">IF(AND($P837&gt;0,$O837&gt;0),$P837,0)</f>
        <v>0</v>
      </c>
      <c r="R837" s="64" t="n">
        <f aca="false">IF(AND($Q837&gt;0,$O837&gt;=AtRank),$Q837,0)</f>
        <v>0</v>
      </c>
      <c r="S837" s="64" t="n">
        <f aca="false">IF(AND($Q837&gt;0,$O837&gt;=AboveRank),$Q837,0)</f>
        <v>0</v>
      </c>
      <c r="T837" s="64" t="n">
        <f aca="false">IF($K837="Less",$P837,0)</f>
        <v>0</v>
      </c>
      <c r="U837" s="64" t="n">
        <f aca="false">IF($K837="Expected",$P837,0)</f>
        <v>0</v>
      </c>
      <c r="V837" s="64" t="n">
        <f aca="false">IF($K837="Better",$P837,0)</f>
        <v>0</v>
      </c>
      <c r="W837" s="64" t="n">
        <f aca="false">IF($K837="U – needs rule",$P837,0)</f>
        <v>0</v>
      </c>
      <c r="X837" s="64" t="n">
        <f aca="false">IF($K837="No Start (attainment only)",$P837,0)</f>
        <v>0</v>
      </c>
    </row>
    <row r="838" customFormat="false" ht="15" hidden="false" customHeight="false" outlineLevel="0" collapsed="false">
      <c r="A838" s="60"/>
      <c r="B838" s="61" t="str">
        <f aca="false">IF($M838=0,"",INDEX(Classes!$E$6:$E$420,$M838))</f>
        <v/>
      </c>
      <c r="C838" s="62" t="str">
        <f aca="false">IF($M838=0,"",INDEX(Classes!$H$6:$H$420,$M838))</f>
        <v/>
      </c>
      <c r="D838" s="61" t="str">
        <f aca="false">IF($M838=0,"",INDEX(Classes!$B$6:$B$420,$M838))</f>
        <v/>
      </c>
      <c r="E838" s="61" t="str">
        <f aca="false">IF($M838=0,"",INDEX(Classes!$C$6:$C$420,$M838))</f>
        <v/>
      </c>
      <c r="F838" s="63"/>
      <c r="G838" s="63"/>
      <c r="H838" s="60"/>
      <c r="I838" s="60"/>
      <c r="J838" s="63"/>
      <c r="K838" s="61" t="str">
        <f aca="false">IF($P838=0,"",IF($F838="Baseline","— Baseline",IF($O838=0,"No result",IF($N838=0,"No Start (attainment only)",IF(OR($N838=1,$O838=1),"U – needs rule",INDEX(MxBody,MATCH($I838,MxCurr,0),MATCH($H838,MxStart,0)))))))</f>
        <v/>
      </c>
      <c r="L838" s="62" t="str">
        <f aca="false">IF(COUNTA($A838,$F838,$G838,$H838,$I838,$J838)=0,"",IF($M838=0,"✖ كود الصف غير موجود",IF(ISNA(MATCH($F838,Lists!$A$2:$A$5,0)),"✖ الفترة غير صحيحة",IF(ISNA(MATCH($G838,Lists!$B$2:$B$7,0)),"✖ المجموعة غير صحيحة",IF(NOT(OR($H838="",$N838&gt;0)),"✖ Start غير صحيح",IF(NOT(OR($I838="",$I838="NR",$O838&gt;0)),"✖ Current غير صحيح",IF(NOT(IF(ISNUMBER($J838),AND($J838&gt;=0,$J838=INT($J838)),FALSE())),"✖ العدد يجب أن يكون صحيحًا ≥ 0",IF(AND($F838="Baseline",$H838&lt;&gt;""),"⚠ Baseline: Start لا يدخل في التقدم",IF($K838="No Start (attainment only)","ℹ تحصيل فقط (بدون Start)",IF($K838="U – needs rule","ℹ حالة U تحتاج قاعدة معتمدة",IF($K838="No result","ℹ بدون نتيجة (يُستبعد من التحصيل)","OK")))))))))))</f>
        <v/>
      </c>
      <c r="M838" s="64" t="n">
        <f aca="false">IF($A838="",0,IFERROR(MATCH($A838,Classes!$A$6:$A$420,0),0))</f>
        <v>0</v>
      </c>
      <c r="N838" s="64" t="n">
        <f aca="false">IF($H838="",0,IFERROR(MATCH($H838,GradeList,0),0))</f>
        <v>0</v>
      </c>
      <c r="O838" s="64" t="n">
        <f aca="false">IF(OR($I838="",$I838="NR"),0,IFERROR(MATCH($I838,GradeList,0),0))</f>
        <v>0</v>
      </c>
      <c r="P838" s="64" t="n">
        <f aca="false">IF(AND($M838&gt;0,ISNUMBER(MATCH($F838,Lists!$A$2:$A$5,0)),ISNUMBER(MATCH($G838,Lists!$B$2:$B$7,0)),OR($H838="",$N838&gt;0),OR($I838="",$I838="NR",$O838&gt;0),IF(ISNUMBER($J838),AND($J838&gt;=0,$J838=INT($J838)),FALSE())),$J838,0)</f>
        <v>0</v>
      </c>
      <c r="Q838" s="64" t="n">
        <f aca="false">IF(AND($P838&gt;0,$O838&gt;0),$P838,0)</f>
        <v>0</v>
      </c>
      <c r="R838" s="64" t="n">
        <f aca="false">IF(AND($Q838&gt;0,$O838&gt;=AtRank),$Q838,0)</f>
        <v>0</v>
      </c>
      <c r="S838" s="64" t="n">
        <f aca="false">IF(AND($Q838&gt;0,$O838&gt;=AboveRank),$Q838,0)</f>
        <v>0</v>
      </c>
      <c r="T838" s="64" t="n">
        <f aca="false">IF($K838="Less",$P838,0)</f>
        <v>0</v>
      </c>
      <c r="U838" s="64" t="n">
        <f aca="false">IF($K838="Expected",$P838,0)</f>
        <v>0</v>
      </c>
      <c r="V838" s="64" t="n">
        <f aca="false">IF($K838="Better",$P838,0)</f>
        <v>0</v>
      </c>
      <c r="W838" s="64" t="n">
        <f aca="false">IF($K838="U – needs rule",$P838,0)</f>
        <v>0</v>
      </c>
      <c r="X838" s="64" t="n">
        <f aca="false">IF($K838="No Start (attainment only)",$P838,0)</f>
        <v>0</v>
      </c>
    </row>
    <row r="839" customFormat="false" ht="15" hidden="false" customHeight="false" outlineLevel="0" collapsed="false">
      <c r="A839" s="60"/>
      <c r="B839" s="61" t="str">
        <f aca="false">IF($M839=0,"",INDEX(Classes!$E$6:$E$420,$M839))</f>
        <v/>
      </c>
      <c r="C839" s="62" t="str">
        <f aca="false">IF($M839=0,"",INDEX(Classes!$H$6:$H$420,$M839))</f>
        <v/>
      </c>
      <c r="D839" s="61" t="str">
        <f aca="false">IF($M839=0,"",INDEX(Classes!$B$6:$B$420,$M839))</f>
        <v/>
      </c>
      <c r="E839" s="61" t="str">
        <f aca="false">IF($M839=0,"",INDEX(Classes!$C$6:$C$420,$M839))</f>
        <v/>
      </c>
      <c r="F839" s="63"/>
      <c r="G839" s="63"/>
      <c r="H839" s="60"/>
      <c r="I839" s="60"/>
      <c r="J839" s="63"/>
      <c r="K839" s="61" t="str">
        <f aca="false">IF($P839=0,"",IF($F839="Baseline","— Baseline",IF($O839=0,"No result",IF($N839=0,"No Start (attainment only)",IF(OR($N839=1,$O839=1),"U – needs rule",INDEX(MxBody,MATCH($I839,MxCurr,0),MATCH($H839,MxStart,0)))))))</f>
        <v/>
      </c>
      <c r="L839" s="62" t="str">
        <f aca="false">IF(COUNTA($A839,$F839,$G839,$H839,$I839,$J839)=0,"",IF($M839=0,"✖ كود الصف غير موجود",IF(ISNA(MATCH($F839,Lists!$A$2:$A$5,0)),"✖ الفترة غير صحيحة",IF(ISNA(MATCH($G839,Lists!$B$2:$B$7,0)),"✖ المجموعة غير صحيحة",IF(NOT(OR($H839="",$N839&gt;0)),"✖ Start غير صحيح",IF(NOT(OR($I839="",$I839="NR",$O839&gt;0)),"✖ Current غير صحيح",IF(NOT(IF(ISNUMBER($J839),AND($J839&gt;=0,$J839=INT($J839)),FALSE())),"✖ العدد يجب أن يكون صحيحًا ≥ 0",IF(AND($F839="Baseline",$H839&lt;&gt;""),"⚠ Baseline: Start لا يدخل في التقدم",IF($K839="No Start (attainment only)","ℹ تحصيل فقط (بدون Start)",IF($K839="U – needs rule","ℹ حالة U تحتاج قاعدة معتمدة",IF($K839="No result","ℹ بدون نتيجة (يُستبعد من التحصيل)","OK")))))))))))</f>
        <v/>
      </c>
      <c r="M839" s="64" t="n">
        <f aca="false">IF($A839="",0,IFERROR(MATCH($A839,Classes!$A$6:$A$420,0),0))</f>
        <v>0</v>
      </c>
      <c r="N839" s="64" t="n">
        <f aca="false">IF($H839="",0,IFERROR(MATCH($H839,GradeList,0),0))</f>
        <v>0</v>
      </c>
      <c r="O839" s="64" t="n">
        <f aca="false">IF(OR($I839="",$I839="NR"),0,IFERROR(MATCH($I839,GradeList,0),0))</f>
        <v>0</v>
      </c>
      <c r="P839" s="64" t="n">
        <f aca="false">IF(AND($M839&gt;0,ISNUMBER(MATCH($F839,Lists!$A$2:$A$5,0)),ISNUMBER(MATCH($G839,Lists!$B$2:$B$7,0)),OR($H839="",$N839&gt;0),OR($I839="",$I839="NR",$O839&gt;0),IF(ISNUMBER($J839),AND($J839&gt;=0,$J839=INT($J839)),FALSE())),$J839,0)</f>
        <v>0</v>
      </c>
      <c r="Q839" s="64" t="n">
        <f aca="false">IF(AND($P839&gt;0,$O839&gt;0),$P839,0)</f>
        <v>0</v>
      </c>
      <c r="R839" s="64" t="n">
        <f aca="false">IF(AND($Q839&gt;0,$O839&gt;=AtRank),$Q839,0)</f>
        <v>0</v>
      </c>
      <c r="S839" s="64" t="n">
        <f aca="false">IF(AND($Q839&gt;0,$O839&gt;=AboveRank),$Q839,0)</f>
        <v>0</v>
      </c>
      <c r="T839" s="64" t="n">
        <f aca="false">IF($K839="Less",$P839,0)</f>
        <v>0</v>
      </c>
      <c r="U839" s="64" t="n">
        <f aca="false">IF($K839="Expected",$P839,0)</f>
        <v>0</v>
      </c>
      <c r="V839" s="64" t="n">
        <f aca="false">IF($K839="Better",$P839,0)</f>
        <v>0</v>
      </c>
      <c r="W839" s="64" t="n">
        <f aca="false">IF($K839="U – needs rule",$P839,0)</f>
        <v>0</v>
      </c>
      <c r="X839" s="64" t="n">
        <f aca="false">IF($K839="No Start (attainment only)",$P839,0)</f>
        <v>0</v>
      </c>
    </row>
    <row r="840" customFormat="false" ht="15" hidden="false" customHeight="false" outlineLevel="0" collapsed="false">
      <c r="A840" s="60"/>
      <c r="B840" s="61" t="str">
        <f aca="false">IF($M840=0,"",INDEX(Classes!$E$6:$E$420,$M840))</f>
        <v/>
      </c>
      <c r="C840" s="62" t="str">
        <f aca="false">IF($M840=0,"",INDEX(Classes!$H$6:$H$420,$M840))</f>
        <v/>
      </c>
      <c r="D840" s="61" t="str">
        <f aca="false">IF($M840=0,"",INDEX(Classes!$B$6:$B$420,$M840))</f>
        <v/>
      </c>
      <c r="E840" s="61" t="str">
        <f aca="false">IF($M840=0,"",INDEX(Classes!$C$6:$C$420,$M840))</f>
        <v/>
      </c>
      <c r="F840" s="63"/>
      <c r="G840" s="63"/>
      <c r="H840" s="60"/>
      <c r="I840" s="60"/>
      <c r="J840" s="63"/>
      <c r="K840" s="61" t="str">
        <f aca="false">IF($P840=0,"",IF($F840="Baseline","— Baseline",IF($O840=0,"No result",IF($N840=0,"No Start (attainment only)",IF(OR($N840=1,$O840=1),"U – needs rule",INDEX(MxBody,MATCH($I840,MxCurr,0),MATCH($H840,MxStart,0)))))))</f>
        <v/>
      </c>
      <c r="L840" s="62" t="str">
        <f aca="false">IF(COUNTA($A840,$F840,$G840,$H840,$I840,$J840)=0,"",IF($M840=0,"✖ كود الصف غير موجود",IF(ISNA(MATCH($F840,Lists!$A$2:$A$5,0)),"✖ الفترة غير صحيحة",IF(ISNA(MATCH($G840,Lists!$B$2:$B$7,0)),"✖ المجموعة غير صحيحة",IF(NOT(OR($H840="",$N840&gt;0)),"✖ Start غير صحيح",IF(NOT(OR($I840="",$I840="NR",$O840&gt;0)),"✖ Current غير صحيح",IF(NOT(IF(ISNUMBER($J840),AND($J840&gt;=0,$J840=INT($J840)),FALSE())),"✖ العدد يجب أن يكون صحيحًا ≥ 0",IF(AND($F840="Baseline",$H840&lt;&gt;""),"⚠ Baseline: Start لا يدخل في التقدم",IF($K840="No Start (attainment only)","ℹ تحصيل فقط (بدون Start)",IF($K840="U – needs rule","ℹ حالة U تحتاج قاعدة معتمدة",IF($K840="No result","ℹ بدون نتيجة (يُستبعد من التحصيل)","OK")))))))))))</f>
        <v/>
      </c>
      <c r="M840" s="64" t="n">
        <f aca="false">IF($A840="",0,IFERROR(MATCH($A840,Classes!$A$6:$A$420,0),0))</f>
        <v>0</v>
      </c>
      <c r="N840" s="64" t="n">
        <f aca="false">IF($H840="",0,IFERROR(MATCH($H840,GradeList,0),0))</f>
        <v>0</v>
      </c>
      <c r="O840" s="64" t="n">
        <f aca="false">IF(OR($I840="",$I840="NR"),0,IFERROR(MATCH($I840,GradeList,0),0))</f>
        <v>0</v>
      </c>
      <c r="P840" s="64" t="n">
        <f aca="false">IF(AND($M840&gt;0,ISNUMBER(MATCH($F840,Lists!$A$2:$A$5,0)),ISNUMBER(MATCH($G840,Lists!$B$2:$B$7,0)),OR($H840="",$N840&gt;0),OR($I840="",$I840="NR",$O840&gt;0),IF(ISNUMBER($J840),AND($J840&gt;=0,$J840=INT($J840)),FALSE())),$J840,0)</f>
        <v>0</v>
      </c>
      <c r="Q840" s="64" t="n">
        <f aca="false">IF(AND($P840&gt;0,$O840&gt;0),$P840,0)</f>
        <v>0</v>
      </c>
      <c r="R840" s="64" t="n">
        <f aca="false">IF(AND($Q840&gt;0,$O840&gt;=AtRank),$Q840,0)</f>
        <v>0</v>
      </c>
      <c r="S840" s="64" t="n">
        <f aca="false">IF(AND($Q840&gt;0,$O840&gt;=AboveRank),$Q840,0)</f>
        <v>0</v>
      </c>
      <c r="T840" s="64" t="n">
        <f aca="false">IF($K840="Less",$P840,0)</f>
        <v>0</v>
      </c>
      <c r="U840" s="64" t="n">
        <f aca="false">IF($K840="Expected",$P840,0)</f>
        <v>0</v>
      </c>
      <c r="V840" s="64" t="n">
        <f aca="false">IF($K840="Better",$P840,0)</f>
        <v>0</v>
      </c>
      <c r="W840" s="64" t="n">
        <f aca="false">IF($K840="U – needs rule",$P840,0)</f>
        <v>0</v>
      </c>
      <c r="X840" s="64" t="n">
        <f aca="false">IF($K840="No Start (attainment only)",$P840,0)</f>
        <v>0</v>
      </c>
    </row>
    <row r="841" customFormat="false" ht="15" hidden="false" customHeight="false" outlineLevel="0" collapsed="false">
      <c r="A841" s="60"/>
      <c r="B841" s="61" t="str">
        <f aca="false">IF($M841=0,"",INDEX(Classes!$E$6:$E$420,$M841))</f>
        <v/>
      </c>
      <c r="C841" s="62" t="str">
        <f aca="false">IF($M841=0,"",INDEX(Classes!$H$6:$H$420,$M841))</f>
        <v/>
      </c>
      <c r="D841" s="61" t="str">
        <f aca="false">IF($M841=0,"",INDEX(Classes!$B$6:$B$420,$M841))</f>
        <v/>
      </c>
      <c r="E841" s="61" t="str">
        <f aca="false">IF($M841=0,"",INDEX(Classes!$C$6:$C$420,$M841))</f>
        <v/>
      </c>
      <c r="F841" s="63"/>
      <c r="G841" s="63"/>
      <c r="H841" s="60"/>
      <c r="I841" s="60"/>
      <c r="J841" s="63"/>
      <c r="K841" s="61" t="str">
        <f aca="false">IF($P841=0,"",IF($F841="Baseline","— Baseline",IF($O841=0,"No result",IF($N841=0,"No Start (attainment only)",IF(OR($N841=1,$O841=1),"U – needs rule",INDEX(MxBody,MATCH($I841,MxCurr,0),MATCH($H841,MxStart,0)))))))</f>
        <v/>
      </c>
      <c r="L841" s="62" t="str">
        <f aca="false">IF(COUNTA($A841,$F841,$G841,$H841,$I841,$J841)=0,"",IF($M841=0,"✖ كود الصف غير موجود",IF(ISNA(MATCH($F841,Lists!$A$2:$A$5,0)),"✖ الفترة غير صحيحة",IF(ISNA(MATCH($G841,Lists!$B$2:$B$7,0)),"✖ المجموعة غير صحيحة",IF(NOT(OR($H841="",$N841&gt;0)),"✖ Start غير صحيح",IF(NOT(OR($I841="",$I841="NR",$O841&gt;0)),"✖ Current غير صحيح",IF(NOT(IF(ISNUMBER($J841),AND($J841&gt;=0,$J841=INT($J841)),FALSE())),"✖ العدد يجب أن يكون صحيحًا ≥ 0",IF(AND($F841="Baseline",$H841&lt;&gt;""),"⚠ Baseline: Start لا يدخل في التقدم",IF($K841="No Start (attainment only)","ℹ تحصيل فقط (بدون Start)",IF($K841="U – needs rule","ℹ حالة U تحتاج قاعدة معتمدة",IF($K841="No result","ℹ بدون نتيجة (يُستبعد من التحصيل)","OK")))))))))))</f>
        <v/>
      </c>
      <c r="M841" s="64" t="n">
        <f aca="false">IF($A841="",0,IFERROR(MATCH($A841,Classes!$A$6:$A$420,0),0))</f>
        <v>0</v>
      </c>
      <c r="N841" s="64" t="n">
        <f aca="false">IF($H841="",0,IFERROR(MATCH($H841,GradeList,0),0))</f>
        <v>0</v>
      </c>
      <c r="O841" s="64" t="n">
        <f aca="false">IF(OR($I841="",$I841="NR"),0,IFERROR(MATCH($I841,GradeList,0),0))</f>
        <v>0</v>
      </c>
      <c r="P841" s="64" t="n">
        <f aca="false">IF(AND($M841&gt;0,ISNUMBER(MATCH($F841,Lists!$A$2:$A$5,0)),ISNUMBER(MATCH($G841,Lists!$B$2:$B$7,0)),OR($H841="",$N841&gt;0),OR($I841="",$I841="NR",$O841&gt;0),IF(ISNUMBER($J841),AND($J841&gt;=0,$J841=INT($J841)),FALSE())),$J841,0)</f>
        <v>0</v>
      </c>
      <c r="Q841" s="64" t="n">
        <f aca="false">IF(AND($P841&gt;0,$O841&gt;0),$P841,0)</f>
        <v>0</v>
      </c>
      <c r="R841" s="64" t="n">
        <f aca="false">IF(AND($Q841&gt;0,$O841&gt;=AtRank),$Q841,0)</f>
        <v>0</v>
      </c>
      <c r="S841" s="64" t="n">
        <f aca="false">IF(AND($Q841&gt;0,$O841&gt;=AboveRank),$Q841,0)</f>
        <v>0</v>
      </c>
      <c r="T841" s="64" t="n">
        <f aca="false">IF($K841="Less",$P841,0)</f>
        <v>0</v>
      </c>
      <c r="U841" s="64" t="n">
        <f aca="false">IF($K841="Expected",$P841,0)</f>
        <v>0</v>
      </c>
      <c r="V841" s="64" t="n">
        <f aca="false">IF($K841="Better",$P841,0)</f>
        <v>0</v>
      </c>
      <c r="W841" s="64" t="n">
        <f aca="false">IF($K841="U – needs rule",$P841,0)</f>
        <v>0</v>
      </c>
      <c r="X841" s="64" t="n">
        <f aca="false">IF($K841="No Start (attainment only)",$P841,0)</f>
        <v>0</v>
      </c>
    </row>
    <row r="842" customFormat="false" ht="15" hidden="false" customHeight="false" outlineLevel="0" collapsed="false">
      <c r="A842" s="60"/>
      <c r="B842" s="61" t="str">
        <f aca="false">IF($M842=0,"",INDEX(Classes!$E$6:$E$420,$M842))</f>
        <v/>
      </c>
      <c r="C842" s="62" t="str">
        <f aca="false">IF($M842=0,"",INDEX(Classes!$H$6:$H$420,$M842))</f>
        <v/>
      </c>
      <c r="D842" s="61" t="str">
        <f aca="false">IF($M842=0,"",INDEX(Classes!$B$6:$B$420,$M842))</f>
        <v/>
      </c>
      <c r="E842" s="61" t="str">
        <f aca="false">IF($M842=0,"",INDEX(Classes!$C$6:$C$420,$M842))</f>
        <v/>
      </c>
      <c r="F842" s="63"/>
      <c r="G842" s="63"/>
      <c r="H842" s="60"/>
      <c r="I842" s="60"/>
      <c r="J842" s="63"/>
      <c r="K842" s="61" t="str">
        <f aca="false">IF($P842=0,"",IF($F842="Baseline","— Baseline",IF($O842=0,"No result",IF($N842=0,"No Start (attainment only)",IF(OR($N842=1,$O842=1),"U – needs rule",INDEX(MxBody,MATCH($I842,MxCurr,0),MATCH($H842,MxStart,0)))))))</f>
        <v/>
      </c>
      <c r="L842" s="62" t="str">
        <f aca="false">IF(COUNTA($A842,$F842,$G842,$H842,$I842,$J842)=0,"",IF($M842=0,"✖ كود الصف غير موجود",IF(ISNA(MATCH($F842,Lists!$A$2:$A$5,0)),"✖ الفترة غير صحيحة",IF(ISNA(MATCH($G842,Lists!$B$2:$B$7,0)),"✖ المجموعة غير صحيحة",IF(NOT(OR($H842="",$N842&gt;0)),"✖ Start غير صحيح",IF(NOT(OR($I842="",$I842="NR",$O842&gt;0)),"✖ Current غير صحيح",IF(NOT(IF(ISNUMBER($J842),AND($J842&gt;=0,$J842=INT($J842)),FALSE())),"✖ العدد يجب أن يكون صحيحًا ≥ 0",IF(AND($F842="Baseline",$H842&lt;&gt;""),"⚠ Baseline: Start لا يدخل في التقدم",IF($K842="No Start (attainment only)","ℹ تحصيل فقط (بدون Start)",IF($K842="U – needs rule","ℹ حالة U تحتاج قاعدة معتمدة",IF($K842="No result","ℹ بدون نتيجة (يُستبعد من التحصيل)","OK")))))))))))</f>
        <v/>
      </c>
      <c r="M842" s="64" t="n">
        <f aca="false">IF($A842="",0,IFERROR(MATCH($A842,Classes!$A$6:$A$420,0),0))</f>
        <v>0</v>
      </c>
      <c r="N842" s="64" t="n">
        <f aca="false">IF($H842="",0,IFERROR(MATCH($H842,GradeList,0),0))</f>
        <v>0</v>
      </c>
      <c r="O842" s="64" t="n">
        <f aca="false">IF(OR($I842="",$I842="NR"),0,IFERROR(MATCH($I842,GradeList,0),0))</f>
        <v>0</v>
      </c>
      <c r="P842" s="64" t="n">
        <f aca="false">IF(AND($M842&gt;0,ISNUMBER(MATCH($F842,Lists!$A$2:$A$5,0)),ISNUMBER(MATCH($G842,Lists!$B$2:$B$7,0)),OR($H842="",$N842&gt;0),OR($I842="",$I842="NR",$O842&gt;0),IF(ISNUMBER($J842),AND($J842&gt;=0,$J842=INT($J842)),FALSE())),$J842,0)</f>
        <v>0</v>
      </c>
      <c r="Q842" s="64" t="n">
        <f aca="false">IF(AND($P842&gt;0,$O842&gt;0),$P842,0)</f>
        <v>0</v>
      </c>
      <c r="R842" s="64" t="n">
        <f aca="false">IF(AND($Q842&gt;0,$O842&gt;=AtRank),$Q842,0)</f>
        <v>0</v>
      </c>
      <c r="S842" s="64" t="n">
        <f aca="false">IF(AND($Q842&gt;0,$O842&gt;=AboveRank),$Q842,0)</f>
        <v>0</v>
      </c>
      <c r="T842" s="64" t="n">
        <f aca="false">IF($K842="Less",$P842,0)</f>
        <v>0</v>
      </c>
      <c r="U842" s="64" t="n">
        <f aca="false">IF($K842="Expected",$P842,0)</f>
        <v>0</v>
      </c>
      <c r="V842" s="64" t="n">
        <f aca="false">IF($K842="Better",$P842,0)</f>
        <v>0</v>
      </c>
      <c r="W842" s="64" t="n">
        <f aca="false">IF($K842="U – needs rule",$P842,0)</f>
        <v>0</v>
      </c>
      <c r="X842" s="64" t="n">
        <f aca="false">IF($K842="No Start (attainment only)",$P842,0)</f>
        <v>0</v>
      </c>
    </row>
    <row r="843" customFormat="false" ht="15" hidden="false" customHeight="false" outlineLevel="0" collapsed="false">
      <c r="A843" s="60"/>
      <c r="B843" s="61" t="str">
        <f aca="false">IF($M843=0,"",INDEX(Classes!$E$6:$E$420,$M843))</f>
        <v/>
      </c>
      <c r="C843" s="62" t="str">
        <f aca="false">IF($M843=0,"",INDEX(Classes!$H$6:$H$420,$M843))</f>
        <v/>
      </c>
      <c r="D843" s="61" t="str">
        <f aca="false">IF($M843=0,"",INDEX(Classes!$B$6:$B$420,$M843))</f>
        <v/>
      </c>
      <c r="E843" s="61" t="str">
        <f aca="false">IF($M843=0,"",INDEX(Classes!$C$6:$C$420,$M843))</f>
        <v/>
      </c>
      <c r="F843" s="63"/>
      <c r="G843" s="63"/>
      <c r="H843" s="60"/>
      <c r="I843" s="60"/>
      <c r="J843" s="63"/>
      <c r="K843" s="61" t="str">
        <f aca="false">IF($P843=0,"",IF($F843="Baseline","— Baseline",IF($O843=0,"No result",IF($N843=0,"No Start (attainment only)",IF(OR($N843=1,$O843=1),"U – needs rule",INDEX(MxBody,MATCH($I843,MxCurr,0),MATCH($H843,MxStart,0)))))))</f>
        <v/>
      </c>
      <c r="L843" s="62" t="str">
        <f aca="false">IF(COUNTA($A843,$F843,$G843,$H843,$I843,$J843)=0,"",IF($M843=0,"✖ كود الصف غير موجود",IF(ISNA(MATCH($F843,Lists!$A$2:$A$5,0)),"✖ الفترة غير صحيحة",IF(ISNA(MATCH($G843,Lists!$B$2:$B$7,0)),"✖ المجموعة غير صحيحة",IF(NOT(OR($H843="",$N843&gt;0)),"✖ Start غير صحيح",IF(NOT(OR($I843="",$I843="NR",$O843&gt;0)),"✖ Current غير صحيح",IF(NOT(IF(ISNUMBER($J843),AND($J843&gt;=0,$J843=INT($J843)),FALSE())),"✖ العدد يجب أن يكون صحيحًا ≥ 0",IF(AND($F843="Baseline",$H843&lt;&gt;""),"⚠ Baseline: Start لا يدخل في التقدم",IF($K843="No Start (attainment only)","ℹ تحصيل فقط (بدون Start)",IF($K843="U – needs rule","ℹ حالة U تحتاج قاعدة معتمدة",IF($K843="No result","ℹ بدون نتيجة (يُستبعد من التحصيل)","OK")))))))))))</f>
        <v/>
      </c>
      <c r="M843" s="64" t="n">
        <f aca="false">IF($A843="",0,IFERROR(MATCH($A843,Classes!$A$6:$A$420,0),0))</f>
        <v>0</v>
      </c>
      <c r="N843" s="64" t="n">
        <f aca="false">IF($H843="",0,IFERROR(MATCH($H843,GradeList,0),0))</f>
        <v>0</v>
      </c>
      <c r="O843" s="64" t="n">
        <f aca="false">IF(OR($I843="",$I843="NR"),0,IFERROR(MATCH($I843,GradeList,0),0))</f>
        <v>0</v>
      </c>
      <c r="P843" s="64" t="n">
        <f aca="false">IF(AND($M843&gt;0,ISNUMBER(MATCH($F843,Lists!$A$2:$A$5,0)),ISNUMBER(MATCH($G843,Lists!$B$2:$B$7,0)),OR($H843="",$N843&gt;0),OR($I843="",$I843="NR",$O843&gt;0),IF(ISNUMBER($J843),AND($J843&gt;=0,$J843=INT($J843)),FALSE())),$J843,0)</f>
        <v>0</v>
      </c>
      <c r="Q843" s="64" t="n">
        <f aca="false">IF(AND($P843&gt;0,$O843&gt;0),$P843,0)</f>
        <v>0</v>
      </c>
      <c r="R843" s="64" t="n">
        <f aca="false">IF(AND($Q843&gt;0,$O843&gt;=AtRank),$Q843,0)</f>
        <v>0</v>
      </c>
      <c r="S843" s="64" t="n">
        <f aca="false">IF(AND($Q843&gt;0,$O843&gt;=AboveRank),$Q843,0)</f>
        <v>0</v>
      </c>
      <c r="T843" s="64" t="n">
        <f aca="false">IF($K843="Less",$P843,0)</f>
        <v>0</v>
      </c>
      <c r="U843" s="64" t="n">
        <f aca="false">IF($K843="Expected",$P843,0)</f>
        <v>0</v>
      </c>
      <c r="V843" s="64" t="n">
        <f aca="false">IF($K843="Better",$P843,0)</f>
        <v>0</v>
      </c>
      <c r="W843" s="64" t="n">
        <f aca="false">IF($K843="U – needs rule",$P843,0)</f>
        <v>0</v>
      </c>
      <c r="X843" s="64" t="n">
        <f aca="false">IF($K843="No Start (attainment only)",$P843,0)</f>
        <v>0</v>
      </c>
    </row>
    <row r="844" customFormat="false" ht="15" hidden="false" customHeight="false" outlineLevel="0" collapsed="false">
      <c r="A844" s="60"/>
      <c r="B844" s="61" t="str">
        <f aca="false">IF($M844=0,"",INDEX(Classes!$E$6:$E$420,$M844))</f>
        <v/>
      </c>
      <c r="C844" s="62" t="str">
        <f aca="false">IF($M844=0,"",INDEX(Classes!$H$6:$H$420,$M844))</f>
        <v/>
      </c>
      <c r="D844" s="61" t="str">
        <f aca="false">IF($M844=0,"",INDEX(Classes!$B$6:$B$420,$M844))</f>
        <v/>
      </c>
      <c r="E844" s="61" t="str">
        <f aca="false">IF($M844=0,"",INDEX(Classes!$C$6:$C$420,$M844))</f>
        <v/>
      </c>
      <c r="F844" s="63"/>
      <c r="G844" s="63"/>
      <c r="H844" s="60"/>
      <c r="I844" s="60"/>
      <c r="J844" s="63"/>
      <c r="K844" s="61" t="str">
        <f aca="false">IF($P844=0,"",IF($F844="Baseline","— Baseline",IF($O844=0,"No result",IF($N844=0,"No Start (attainment only)",IF(OR($N844=1,$O844=1),"U – needs rule",INDEX(MxBody,MATCH($I844,MxCurr,0),MATCH($H844,MxStart,0)))))))</f>
        <v/>
      </c>
      <c r="L844" s="62" t="str">
        <f aca="false">IF(COUNTA($A844,$F844,$G844,$H844,$I844,$J844)=0,"",IF($M844=0,"✖ كود الصف غير موجود",IF(ISNA(MATCH($F844,Lists!$A$2:$A$5,0)),"✖ الفترة غير صحيحة",IF(ISNA(MATCH($G844,Lists!$B$2:$B$7,0)),"✖ المجموعة غير صحيحة",IF(NOT(OR($H844="",$N844&gt;0)),"✖ Start غير صحيح",IF(NOT(OR($I844="",$I844="NR",$O844&gt;0)),"✖ Current غير صحيح",IF(NOT(IF(ISNUMBER($J844),AND($J844&gt;=0,$J844=INT($J844)),FALSE())),"✖ العدد يجب أن يكون صحيحًا ≥ 0",IF(AND($F844="Baseline",$H844&lt;&gt;""),"⚠ Baseline: Start لا يدخل في التقدم",IF($K844="No Start (attainment only)","ℹ تحصيل فقط (بدون Start)",IF($K844="U – needs rule","ℹ حالة U تحتاج قاعدة معتمدة",IF($K844="No result","ℹ بدون نتيجة (يُستبعد من التحصيل)","OK")))))))))))</f>
        <v/>
      </c>
      <c r="M844" s="64" t="n">
        <f aca="false">IF($A844="",0,IFERROR(MATCH($A844,Classes!$A$6:$A$420,0),0))</f>
        <v>0</v>
      </c>
      <c r="N844" s="64" t="n">
        <f aca="false">IF($H844="",0,IFERROR(MATCH($H844,GradeList,0),0))</f>
        <v>0</v>
      </c>
      <c r="O844" s="64" t="n">
        <f aca="false">IF(OR($I844="",$I844="NR"),0,IFERROR(MATCH($I844,GradeList,0),0))</f>
        <v>0</v>
      </c>
      <c r="P844" s="64" t="n">
        <f aca="false">IF(AND($M844&gt;0,ISNUMBER(MATCH($F844,Lists!$A$2:$A$5,0)),ISNUMBER(MATCH($G844,Lists!$B$2:$B$7,0)),OR($H844="",$N844&gt;0),OR($I844="",$I844="NR",$O844&gt;0),IF(ISNUMBER($J844),AND($J844&gt;=0,$J844=INT($J844)),FALSE())),$J844,0)</f>
        <v>0</v>
      </c>
      <c r="Q844" s="64" t="n">
        <f aca="false">IF(AND($P844&gt;0,$O844&gt;0),$P844,0)</f>
        <v>0</v>
      </c>
      <c r="R844" s="64" t="n">
        <f aca="false">IF(AND($Q844&gt;0,$O844&gt;=AtRank),$Q844,0)</f>
        <v>0</v>
      </c>
      <c r="S844" s="64" t="n">
        <f aca="false">IF(AND($Q844&gt;0,$O844&gt;=AboveRank),$Q844,0)</f>
        <v>0</v>
      </c>
      <c r="T844" s="64" t="n">
        <f aca="false">IF($K844="Less",$P844,0)</f>
        <v>0</v>
      </c>
      <c r="U844" s="64" t="n">
        <f aca="false">IF($K844="Expected",$P844,0)</f>
        <v>0</v>
      </c>
      <c r="V844" s="64" t="n">
        <f aca="false">IF($K844="Better",$P844,0)</f>
        <v>0</v>
      </c>
      <c r="W844" s="64" t="n">
        <f aca="false">IF($K844="U – needs rule",$P844,0)</f>
        <v>0</v>
      </c>
      <c r="X844" s="64" t="n">
        <f aca="false">IF($K844="No Start (attainment only)",$P844,0)</f>
        <v>0</v>
      </c>
    </row>
    <row r="845" customFormat="false" ht="15" hidden="false" customHeight="false" outlineLevel="0" collapsed="false">
      <c r="A845" s="60"/>
      <c r="B845" s="61" t="str">
        <f aca="false">IF($M845=0,"",INDEX(Classes!$E$6:$E$420,$M845))</f>
        <v/>
      </c>
      <c r="C845" s="62" t="str">
        <f aca="false">IF($M845=0,"",INDEX(Classes!$H$6:$H$420,$M845))</f>
        <v/>
      </c>
      <c r="D845" s="61" t="str">
        <f aca="false">IF($M845=0,"",INDEX(Classes!$B$6:$B$420,$M845))</f>
        <v/>
      </c>
      <c r="E845" s="61" t="str">
        <f aca="false">IF($M845=0,"",INDEX(Classes!$C$6:$C$420,$M845))</f>
        <v/>
      </c>
      <c r="F845" s="63"/>
      <c r="G845" s="63"/>
      <c r="H845" s="60"/>
      <c r="I845" s="60"/>
      <c r="J845" s="63"/>
      <c r="K845" s="61" t="str">
        <f aca="false">IF($P845=0,"",IF($F845="Baseline","— Baseline",IF($O845=0,"No result",IF($N845=0,"No Start (attainment only)",IF(OR($N845=1,$O845=1),"U – needs rule",INDEX(MxBody,MATCH($I845,MxCurr,0),MATCH($H845,MxStart,0)))))))</f>
        <v/>
      </c>
      <c r="L845" s="62" t="str">
        <f aca="false">IF(COUNTA($A845,$F845,$G845,$H845,$I845,$J845)=0,"",IF($M845=0,"✖ كود الصف غير موجود",IF(ISNA(MATCH($F845,Lists!$A$2:$A$5,0)),"✖ الفترة غير صحيحة",IF(ISNA(MATCH($G845,Lists!$B$2:$B$7,0)),"✖ المجموعة غير صحيحة",IF(NOT(OR($H845="",$N845&gt;0)),"✖ Start غير صحيح",IF(NOT(OR($I845="",$I845="NR",$O845&gt;0)),"✖ Current غير صحيح",IF(NOT(IF(ISNUMBER($J845),AND($J845&gt;=0,$J845=INT($J845)),FALSE())),"✖ العدد يجب أن يكون صحيحًا ≥ 0",IF(AND($F845="Baseline",$H845&lt;&gt;""),"⚠ Baseline: Start لا يدخل في التقدم",IF($K845="No Start (attainment only)","ℹ تحصيل فقط (بدون Start)",IF($K845="U – needs rule","ℹ حالة U تحتاج قاعدة معتمدة",IF($K845="No result","ℹ بدون نتيجة (يُستبعد من التحصيل)","OK")))))))))))</f>
        <v/>
      </c>
      <c r="M845" s="64" t="n">
        <f aca="false">IF($A845="",0,IFERROR(MATCH($A845,Classes!$A$6:$A$420,0),0))</f>
        <v>0</v>
      </c>
      <c r="N845" s="64" t="n">
        <f aca="false">IF($H845="",0,IFERROR(MATCH($H845,GradeList,0),0))</f>
        <v>0</v>
      </c>
      <c r="O845" s="64" t="n">
        <f aca="false">IF(OR($I845="",$I845="NR"),0,IFERROR(MATCH($I845,GradeList,0),0))</f>
        <v>0</v>
      </c>
      <c r="P845" s="64" t="n">
        <f aca="false">IF(AND($M845&gt;0,ISNUMBER(MATCH($F845,Lists!$A$2:$A$5,0)),ISNUMBER(MATCH($G845,Lists!$B$2:$B$7,0)),OR($H845="",$N845&gt;0),OR($I845="",$I845="NR",$O845&gt;0),IF(ISNUMBER($J845),AND($J845&gt;=0,$J845=INT($J845)),FALSE())),$J845,0)</f>
        <v>0</v>
      </c>
      <c r="Q845" s="64" t="n">
        <f aca="false">IF(AND($P845&gt;0,$O845&gt;0),$P845,0)</f>
        <v>0</v>
      </c>
      <c r="R845" s="64" t="n">
        <f aca="false">IF(AND($Q845&gt;0,$O845&gt;=AtRank),$Q845,0)</f>
        <v>0</v>
      </c>
      <c r="S845" s="64" t="n">
        <f aca="false">IF(AND($Q845&gt;0,$O845&gt;=AboveRank),$Q845,0)</f>
        <v>0</v>
      </c>
      <c r="T845" s="64" t="n">
        <f aca="false">IF($K845="Less",$P845,0)</f>
        <v>0</v>
      </c>
      <c r="U845" s="64" t="n">
        <f aca="false">IF($K845="Expected",$P845,0)</f>
        <v>0</v>
      </c>
      <c r="V845" s="64" t="n">
        <f aca="false">IF($K845="Better",$P845,0)</f>
        <v>0</v>
      </c>
      <c r="W845" s="64" t="n">
        <f aca="false">IF($K845="U – needs rule",$P845,0)</f>
        <v>0</v>
      </c>
      <c r="X845" s="64" t="n">
        <f aca="false">IF($K845="No Start (attainment only)",$P845,0)</f>
        <v>0</v>
      </c>
    </row>
    <row r="846" customFormat="false" ht="15" hidden="false" customHeight="false" outlineLevel="0" collapsed="false">
      <c r="A846" s="60"/>
      <c r="B846" s="61" t="str">
        <f aca="false">IF($M846=0,"",INDEX(Classes!$E$6:$E$420,$M846))</f>
        <v/>
      </c>
      <c r="C846" s="62" t="str">
        <f aca="false">IF($M846=0,"",INDEX(Classes!$H$6:$H$420,$M846))</f>
        <v/>
      </c>
      <c r="D846" s="61" t="str">
        <f aca="false">IF($M846=0,"",INDEX(Classes!$B$6:$B$420,$M846))</f>
        <v/>
      </c>
      <c r="E846" s="61" t="str">
        <f aca="false">IF($M846=0,"",INDEX(Classes!$C$6:$C$420,$M846))</f>
        <v/>
      </c>
      <c r="F846" s="63"/>
      <c r="G846" s="63"/>
      <c r="H846" s="60"/>
      <c r="I846" s="60"/>
      <c r="J846" s="63"/>
      <c r="K846" s="61" t="str">
        <f aca="false">IF($P846=0,"",IF($F846="Baseline","— Baseline",IF($O846=0,"No result",IF($N846=0,"No Start (attainment only)",IF(OR($N846=1,$O846=1),"U – needs rule",INDEX(MxBody,MATCH($I846,MxCurr,0),MATCH($H846,MxStart,0)))))))</f>
        <v/>
      </c>
      <c r="L846" s="62" t="str">
        <f aca="false">IF(COUNTA($A846,$F846,$G846,$H846,$I846,$J846)=0,"",IF($M846=0,"✖ كود الصف غير موجود",IF(ISNA(MATCH($F846,Lists!$A$2:$A$5,0)),"✖ الفترة غير صحيحة",IF(ISNA(MATCH($G846,Lists!$B$2:$B$7,0)),"✖ المجموعة غير صحيحة",IF(NOT(OR($H846="",$N846&gt;0)),"✖ Start غير صحيح",IF(NOT(OR($I846="",$I846="NR",$O846&gt;0)),"✖ Current غير صحيح",IF(NOT(IF(ISNUMBER($J846),AND($J846&gt;=0,$J846=INT($J846)),FALSE())),"✖ العدد يجب أن يكون صحيحًا ≥ 0",IF(AND($F846="Baseline",$H846&lt;&gt;""),"⚠ Baseline: Start لا يدخل في التقدم",IF($K846="No Start (attainment only)","ℹ تحصيل فقط (بدون Start)",IF($K846="U – needs rule","ℹ حالة U تحتاج قاعدة معتمدة",IF($K846="No result","ℹ بدون نتيجة (يُستبعد من التحصيل)","OK")))))))))))</f>
        <v/>
      </c>
      <c r="M846" s="64" t="n">
        <f aca="false">IF($A846="",0,IFERROR(MATCH($A846,Classes!$A$6:$A$420,0),0))</f>
        <v>0</v>
      </c>
      <c r="N846" s="64" t="n">
        <f aca="false">IF($H846="",0,IFERROR(MATCH($H846,GradeList,0),0))</f>
        <v>0</v>
      </c>
      <c r="O846" s="64" t="n">
        <f aca="false">IF(OR($I846="",$I846="NR"),0,IFERROR(MATCH($I846,GradeList,0),0))</f>
        <v>0</v>
      </c>
      <c r="P846" s="64" t="n">
        <f aca="false">IF(AND($M846&gt;0,ISNUMBER(MATCH($F846,Lists!$A$2:$A$5,0)),ISNUMBER(MATCH($G846,Lists!$B$2:$B$7,0)),OR($H846="",$N846&gt;0),OR($I846="",$I846="NR",$O846&gt;0),IF(ISNUMBER($J846),AND($J846&gt;=0,$J846=INT($J846)),FALSE())),$J846,0)</f>
        <v>0</v>
      </c>
      <c r="Q846" s="64" t="n">
        <f aca="false">IF(AND($P846&gt;0,$O846&gt;0),$P846,0)</f>
        <v>0</v>
      </c>
      <c r="R846" s="64" t="n">
        <f aca="false">IF(AND($Q846&gt;0,$O846&gt;=AtRank),$Q846,0)</f>
        <v>0</v>
      </c>
      <c r="S846" s="64" t="n">
        <f aca="false">IF(AND($Q846&gt;0,$O846&gt;=AboveRank),$Q846,0)</f>
        <v>0</v>
      </c>
      <c r="T846" s="64" t="n">
        <f aca="false">IF($K846="Less",$P846,0)</f>
        <v>0</v>
      </c>
      <c r="U846" s="64" t="n">
        <f aca="false">IF($K846="Expected",$P846,0)</f>
        <v>0</v>
      </c>
      <c r="V846" s="64" t="n">
        <f aca="false">IF($K846="Better",$P846,0)</f>
        <v>0</v>
      </c>
      <c r="W846" s="64" t="n">
        <f aca="false">IF($K846="U – needs rule",$P846,0)</f>
        <v>0</v>
      </c>
      <c r="X846" s="64" t="n">
        <f aca="false">IF($K846="No Start (attainment only)",$P846,0)</f>
        <v>0</v>
      </c>
    </row>
    <row r="847" customFormat="false" ht="15" hidden="false" customHeight="false" outlineLevel="0" collapsed="false">
      <c r="A847" s="60"/>
      <c r="B847" s="61" t="str">
        <f aca="false">IF($M847=0,"",INDEX(Classes!$E$6:$E$420,$M847))</f>
        <v/>
      </c>
      <c r="C847" s="62" t="str">
        <f aca="false">IF($M847=0,"",INDEX(Classes!$H$6:$H$420,$M847))</f>
        <v/>
      </c>
      <c r="D847" s="61" t="str">
        <f aca="false">IF($M847=0,"",INDEX(Classes!$B$6:$B$420,$M847))</f>
        <v/>
      </c>
      <c r="E847" s="61" t="str">
        <f aca="false">IF($M847=0,"",INDEX(Classes!$C$6:$C$420,$M847))</f>
        <v/>
      </c>
      <c r="F847" s="63"/>
      <c r="G847" s="63"/>
      <c r="H847" s="60"/>
      <c r="I847" s="60"/>
      <c r="J847" s="63"/>
      <c r="K847" s="61" t="str">
        <f aca="false">IF($P847=0,"",IF($F847="Baseline","— Baseline",IF($O847=0,"No result",IF($N847=0,"No Start (attainment only)",IF(OR($N847=1,$O847=1),"U – needs rule",INDEX(MxBody,MATCH($I847,MxCurr,0),MATCH($H847,MxStart,0)))))))</f>
        <v/>
      </c>
      <c r="L847" s="62" t="str">
        <f aca="false">IF(COUNTA($A847,$F847,$G847,$H847,$I847,$J847)=0,"",IF($M847=0,"✖ كود الصف غير موجود",IF(ISNA(MATCH($F847,Lists!$A$2:$A$5,0)),"✖ الفترة غير صحيحة",IF(ISNA(MATCH($G847,Lists!$B$2:$B$7,0)),"✖ المجموعة غير صحيحة",IF(NOT(OR($H847="",$N847&gt;0)),"✖ Start غير صحيح",IF(NOT(OR($I847="",$I847="NR",$O847&gt;0)),"✖ Current غير صحيح",IF(NOT(IF(ISNUMBER($J847),AND($J847&gt;=0,$J847=INT($J847)),FALSE())),"✖ العدد يجب أن يكون صحيحًا ≥ 0",IF(AND($F847="Baseline",$H847&lt;&gt;""),"⚠ Baseline: Start لا يدخل في التقدم",IF($K847="No Start (attainment only)","ℹ تحصيل فقط (بدون Start)",IF($K847="U – needs rule","ℹ حالة U تحتاج قاعدة معتمدة",IF($K847="No result","ℹ بدون نتيجة (يُستبعد من التحصيل)","OK")))))))))))</f>
        <v/>
      </c>
      <c r="M847" s="64" t="n">
        <f aca="false">IF($A847="",0,IFERROR(MATCH($A847,Classes!$A$6:$A$420,0),0))</f>
        <v>0</v>
      </c>
      <c r="N847" s="64" t="n">
        <f aca="false">IF($H847="",0,IFERROR(MATCH($H847,GradeList,0),0))</f>
        <v>0</v>
      </c>
      <c r="O847" s="64" t="n">
        <f aca="false">IF(OR($I847="",$I847="NR"),0,IFERROR(MATCH($I847,GradeList,0),0))</f>
        <v>0</v>
      </c>
      <c r="P847" s="64" t="n">
        <f aca="false">IF(AND($M847&gt;0,ISNUMBER(MATCH($F847,Lists!$A$2:$A$5,0)),ISNUMBER(MATCH($G847,Lists!$B$2:$B$7,0)),OR($H847="",$N847&gt;0),OR($I847="",$I847="NR",$O847&gt;0),IF(ISNUMBER($J847),AND($J847&gt;=0,$J847=INT($J847)),FALSE())),$J847,0)</f>
        <v>0</v>
      </c>
      <c r="Q847" s="64" t="n">
        <f aca="false">IF(AND($P847&gt;0,$O847&gt;0),$P847,0)</f>
        <v>0</v>
      </c>
      <c r="R847" s="64" t="n">
        <f aca="false">IF(AND($Q847&gt;0,$O847&gt;=AtRank),$Q847,0)</f>
        <v>0</v>
      </c>
      <c r="S847" s="64" t="n">
        <f aca="false">IF(AND($Q847&gt;0,$O847&gt;=AboveRank),$Q847,0)</f>
        <v>0</v>
      </c>
      <c r="T847" s="64" t="n">
        <f aca="false">IF($K847="Less",$P847,0)</f>
        <v>0</v>
      </c>
      <c r="U847" s="64" t="n">
        <f aca="false">IF($K847="Expected",$P847,0)</f>
        <v>0</v>
      </c>
      <c r="V847" s="64" t="n">
        <f aca="false">IF($K847="Better",$P847,0)</f>
        <v>0</v>
      </c>
      <c r="W847" s="64" t="n">
        <f aca="false">IF($K847="U – needs rule",$P847,0)</f>
        <v>0</v>
      </c>
      <c r="X847" s="64" t="n">
        <f aca="false">IF($K847="No Start (attainment only)",$P847,0)</f>
        <v>0</v>
      </c>
    </row>
    <row r="848" customFormat="false" ht="15" hidden="false" customHeight="false" outlineLevel="0" collapsed="false">
      <c r="A848" s="60"/>
      <c r="B848" s="61" t="str">
        <f aca="false">IF($M848=0,"",INDEX(Classes!$E$6:$E$420,$M848))</f>
        <v/>
      </c>
      <c r="C848" s="62" t="str">
        <f aca="false">IF($M848=0,"",INDEX(Classes!$H$6:$H$420,$M848))</f>
        <v/>
      </c>
      <c r="D848" s="61" t="str">
        <f aca="false">IF($M848=0,"",INDEX(Classes!$B$6:$B$420,$M848))</f>
        <v/>
      </c>
      <c r="E848" s="61" t="str">
        <f aca="false">IF($M848=0,"",INDEX(Classes!$C$6:$C$420,$M848))</f>
        <v/>
      </c>
      <c r="F848" s="63"/>
      <c r="G848" s="63"/>
      <c r="H848" s="60"/>
      <c r="I848" s="60"/>
      <c r="J848" s="63"/>
      <c r="K848" s="61" t="str">
        <f aca="false">IF($P848=0,"",IF($F848="Baseline","— Baseline",IF($O848=0,"No result",IF($N848=0,"No Start (attainment only)",IF(OR($N848=1,$O848=1),"U – needs rule",INDEX(MxBody,MATCH($I848,MxCurr,0),MATCH($H848,MxStart,0)))))))</f>
        <v/>
      </c>
      <c r="L848" s="62" t="str">
        <f aca="false">IF(COUNTA($A848,$F848,$G848,$H848,$I848,$J848)=0,"",IF($M848=0,"✖ كود الصف غير موجود",IF(ISNA(MATCH($F848,Lists!$A$2:$A$5,0)),"✖ الفترة غير صحيحة",IF(ISNA(MATCH($G848,Lists!$B$2:$B$7,0)),"✖ المجموعة غير صحيحة",IF(NOT(OR($H848="",$N848&gt;0)),"✖ Start غير صحيح",IF(NOT(OR($I848="",$I848="NR",$O848&gt;0)),"✖ Current غير صحيح",IF(NOT(IF(ISNUMBER($J848),AND($J848&gt;=0,$J848=INT($J848)),FALSE())),"✖ العدد يجب أن يكون صحيحًا ≥ 0",IF(AND($F848="Baseline",$H848&lt;&gt;""),"⚠ Baseline: Start لا يدخل في التقدم",IF($K848="No Start (attainment only)","ℹ تحصيل فقط (بدون Start)",IF($K848="U – needs rule","ℹ حالة U تحتاج قاعدة معتمدة",IF($K848="No result","ℹ بدون نتيجة (يُستبعد من التحصيل)","OK")))))))))))</f>
        <v/>
      </c>
      <c r="M848" s="64" t="n">
        <f aca="false">IF($A848="",0,IFERROR(MATCH($A848,Classes!$A$6:$A$420,0),0))</f>
        <v>0</v>
      </c>
      <c r="N848" s="64" t="n">
        <f aca="false">IF($H848="",0,IFERROR(MATCH($H848,GradeList,0),0))</f>
        <v>0</v>
      </c>
      <c r="O848" s="64" t="n">
        <f aca="false">IF(OR($I848="",$I848="NR"),0,IFERROR(MATCH($I848,GradeList,0),0))</f>
        <v>0</v>
      </c>
      <c r="P848" s="64" t="n">
        <f aca="false">IF(AND($M848&gt;0,ISNUMBER(MATCH($F848,Lists!$A$2:$A$5,0)),ISNUMBER(MATCH($G848,Lists!$B$2:$B$7,0)),OR($H848="",$N848&gt;0),OR($I848="",$I848="NR",$O848&gt;0),IF(ISNUMBER($J848),AND($J848&gt;=0,$J848=INT($J848)),FALSE())),$J848,0)</f>
        <v>0</v>
      </c>
      <c r="Q848" s="64" t="n">
        <f aca="false">IF(AND($P848&gt;0,$O848&gt;0),$P848,0)</f>
        <v>0</v>
      </c>
      <c r="R848" s="64" t="n">
        <f aca="false">IF(AND($Q848&gt;0,$O848&gt;=AtRank),$Q848,0)</f>
        <v>0</v>
      </c>
      <c r="S848" s="64" t="n">
        <f aca="false">IF(AND($Q848&gt;0,$O848&gt;=AboveRank),$Q848,0)</f>
        <v>0</v>
      </c>
      <c r="T848" s="64" t="n">
        <f aca="false">IF($K848="Less",$P848,0)</f>
        <v>0</v>
      </c>
      <c r="U848" s="64" t="n">
        <f aca="false">IF($K848="Expected",$P848,0)</f>
        <v>0</v>
      </c>
      <c r="V848" s="64" t="n">
        <f aca="false">IF($K848="Better",$P848,0)</f>
        <v>0</v>
      </c>
      <c r="W848" s="64" t="n">
        <f aca="false">IF($K848="U – needs rule",$P848,0)</f>
        <v>0</v>
      </c>
      <c r="X848" s="64" t="n">
        <f aca="false">IF($K848="No Start (attainment only)",$P848,0)</f>
        <v>0</v>
      </c>
    </row>
    <row r="849" customFormat="false" ht="15" hidden="false" customHeight="false" outlineLevel="0" collapsed="false">
      <c r="A849" s="60"/>
      <c r="B849" s="61" t="str">
        <f aca="false">IF($M849=0,"",INDEX(Classes!$E$6:$E$420,$M849))</f>
        <v/>
      </c>
      <c r="C849" s="62" t="str">
        <f aca="false">IF($M849=0,"",INDEX(Classes!$H$6:$H$420,$M849))</f>
        <v/>
      </c>
      <c r="D849" s="61" t="str">
        <f aca="false">IF($M849=0,"",INDEX(Classes!$B$6:$B$420,$M849))</f>
        <v/>
      </c>
      <c r="E849" s="61" t="str">
        <f aca="false">IF($M849=0,"",INDEX(Classes!$C$6:$C$420,$M849))</f>
        <v/>
      </c>
      <c r="F849" s="63"/>
      <c r="G849" s="63"/>
      <c r="H849" s="60"/>
      <c r="I849" s="60"/>
      <c r="J849" s="63"/>
      <c r="K849" s="61" t="str">
        <f aca="false">IF($P849=0,"",IF($F849="Baseline","— Baseline",IF($O849=0,"No result",IF($N849=0,"No Start (attainment only)",IF(OR($N849=1,$O849=1),"U – needs rule",INDEX(MxBody,MATCH($I849,MxCurr,0),MATCH($H849,MxStart,0)))))))</f>
        <v/>
      </c>
      <c r="L849" s="62" t="str">
        <f aca="false">IF(COUNTA($A849,$F849,$G849,$H849,$I849,$J849)=0,"",IF($M849=0,"✖ كود الصف غير موجود",IF(ISNA(MATCH($F849,Lists!$A$2:$A$5,0)),"✖ الفترة غير صحيحة",IF(ISNA(MATCH($G849,Lists!$B$2:$B$7,0)),"✖ المجموعة غير صحيحة",IF(NOT(OR($H849="",$N849&gt;0)),"✖ Start غير صحيح",IF(NOT(OR($I849="",$I849="NR",$O849&gt;0)),"✖ Current غير صحيح",IF(NOT(IF(ISNUMBER($J849),AND($J849&gt;=0,$J849=INT($J849)),FALSE())),"✖ العدد يجب أن يكون صحيحًا ≥ 0",IF(AND($F849="Baseline",$H849&lt;&gt;""),"⚠ Baseline: Start لا يدخل في التقدم",IF($K849="No Start (attainment only)","ℹ تحصيل فقط (بدون Start)",IF($K849="U – needs rule","ℹ حالة U تحتاج قاعدة معتمدة",IF($K849="No result","ℹ بدون نتيجة (يُستبعد من التحصيل)","OK")))))))))))</f>
        <v/>
      </c>
      <c r="M849" s="64" t="n">
        <f aca="false">IF($A849="",0,IFERROR(MATCH($A849,Classes!$A$6:$A$420,0),0))</f>
        <v>0</v>
      </c>
      <c r="N849" s="64" t="n">
        <f aca="false">IF($H849="",0,IFERROR(MATCH($H849,GradeList,0),0))</f>
        <v>0</v>
      </c>
      <c r="O849" s="64" t="n">
        <f aca="false">IF(OR($I849="",$I849="NR"),0,IFERROR(MATCH($I849,GradeList,0),0))</f>
        <v>0</v>
      </c>
      <c r="P849" s="64" t="n">
        <f aca="false">IF(AND($M849&gt;0,ISNUMBER(MATCH($F849,Lists!$A$2:$A$5,0)),ISNUMBER(MATCH($G849,Lists!$B$2:$B$7,0)),OR($H849="",$N849&gt;0),OR($I849="",$I849="NR",$O849&gt;0),IF(ISNUMBER($J849),AND($J849&gt;=0,$J849=INT($J849)),FALSE())),$J849,0)</f>
        <v>0</v>
      </c>
      <c r="Q849" s="64" t="n">
        <f aca="false">IF(AND($P849&gt;0,$O849&gt;0),$P849,0)</f>
        <v>0</v>
      </c>
      <c r="R849" s="64" t="n">
        <f aca="false">IF(AND($Q849&gt;0,$O849&gt;=AtRank),$Q849,0)</f>
        <v>0</v>
      </c>
      <c r="S849" s="64" t="n">
        <f aca="false">IF(AND($Q849&gt;0,$O849&gt;=AboveRank),$Q849,0)</f>
        <v>0</v>
      </c>
      <c r="T849" s="64" t="n">
        <f aca="false">IF($K849="Less",$P849,0)</f>
        <v>0</v>
      </c>
      <c r="U849" s="64" t="n">
        <f aca="false">IF($K849="Expected",$P849,0)</f>
        <v>0</v>
      </c>
      <c r="V849" s="64" t="n">
        <f aca="false">IF($K849="Better",$P849,0)</f>
        <v>0</v>
      </c>
      <c r="W849" s="64" t="n">
        <f aca="false">IF($K849="U – needs rule",$P849,0)</f>
        <v>0</v>
      </c>
      <c r="X849" s="64" t="n">
        <f aca="false">IF($K849="No Start (attainment only)",$P849,0)</f>
        <v>0</v>
      </c>
    </row>
    <row r="850" customFormat="false" ht="15" hidden="false" customHeight="false" outlineLevel="0" collapsed="false">
      <c r="A850" s="60"/>
      <c r="B850" s="61" t="str">
        <f aca="false">IF($M850=0,"",INDEX(Classes!$E$6:$E$420,$M850))</f>
        <v/>
      </c>
      <c r="C850" s="62" t="str">
        <f aca="false">IF($M850=0,"",INDEX(Classes!$H$6:$H$420,$M850))</f>
        <v/>
      </c>
      <c r="D850" s="61" t="str">
        <f aca="false">IF($M850=0,"",INDEX(Classes!$B$6:$B$420,$M850))</f>
        <v/>
      </c>
      <c r="E850" s="61" t="str">
        <f aca="false">IF($M850=0,"",INDEX(Classes!$C$6:$C$420,$M850))</f>
        <v/>
      </c>
      <c r="F850" s="63"/>
      <c r="G850" s="63"/>
      <c r="H850" s="60"/>
      <c r="I850" s="60"/>
      <c r="J850" s="63"/>
      <c r="K850" s="61" t="str">
        <f aca="false">IF($P850=0,"",IF($F850="Baseline","— Baseline",IF($O850=0,"No result",IF($N850=0,"No Start (attainment only)",IF(OR($N850=1,$O850=1),"U – needs rule",INDEX(MxBody,MATCH($I850,MxCurr,0),MATCH($H850,MxStart,0)))))))</f>
        <v/>
      </c>
      <c r="L850" s="62" t="str">
        <f aca="false">IF(COUNTA($A850,$F850,$G850,$H850,$I850,$J850)=0,"",IF($M850=0,"✖ كود الصف غير موجود",IF(ISNA(MATCH($F850,Lists!$A$2:$A$5,0)),"✖ الفترة غير صحيحة",IF(ISNA(MATCH($G850,Lists!$B$2:$B$7,0)),"✖ المجموعة غير صحيحة",IF(NOT(OR($H850="",$N850&gt;0)),"✖ Start غير صحيح",IF(NOT(OR($I850="",$I850="NR",$O850&gt;0)),"✖ Current غير صحيح",IF(NOT(IF(ISNUMBER($J850),AND($J850&gt;=0,$J850=INT($J850)),FALSE())),"✖ العدد يجب أن يكون صحيحًا ≥ 0",IF(AND($F850="Baseline",$H850&lt;&gt;""),"⚠ Baseline: Start لا يدخل في التقدم",IF($K850="No Start (attainment only)","ℹ تحصيل فقط (بدون Start)",IF($K850="U – needs rule","ℹ حالة U تحتاج قاعدة معتمدة",IF($K850="No result","ℹ بدون نتيجة (يُستبعد من التحصيل)","OK")))))))))))</f>
        <v/>
      </c>
      <c r="M850" s="64" t="n">
        <f aca="false">IF($A850="",0,IFERROR(MATCH($A850,Classes!$A$6:$A$420,0),0))</f>
        <v>0</v>
      </c>
      <c r="N850" s="64" t="n">
        <f aca="false">IF($H850="",0,IFERROR(MATCH($H850,GradeList,0),0))</f>
        <v>0</v>
      </c>
      <c r="O850" s="64" t="n">
        <f aca="false">IF(OR($I850="",$I850="NR"),0,IFERROR(MATCH($I850,GradeList,0),0))</f>
        <v>0</v>
      </c>
      <c r="P850" s="64" t="n">
        <f aca="false">IF(AND($M850&gt;0,ISNUMBER(MATCH($F850,Lists!$A$2:$A$5,0)),ISNUMBER(MATCH($G850,Lists!$B$2:$B$7,0)),OR($H850="",$N850&gt;0),OR($I850="",$I850="NR",$O850&gt;0),IF(ISNUMBER($J850),AND($J850&gt;=0,$J850=INT($J850)),FALSE())),$J850,0)</f>
        <v>0</v>
      </c>
      <c r="Q850" s="64" t="n">
        <f aca="false">IF(AND($P850&gt;0,$O850&gt;0),$P850,0)</f>
        <v>0</v>
      </c>
      <c r="R850" s="64" t="n">
        <f aca="false">IF(AND($Q850&gt;0,$O850&gt;=AtRank),$Q850,0)</f>
        <v>0</v>
      </c>
      <c r="S850" s="64" t="n">
        <f aca="false">IF(AND($Q850&gt;0,$O850&gt;=AboveRank),$Q850,0)</f>
        <v>0</v>
      </c>
      <c r="T850" s="64" t="n">
        <f aca="false">IF($K850="Less",$P850,0)</f>
        <v>0</v>
      </c>
      <c r="U850" s="64" t="n">
        <f aca="false">IF($K850="Expected",$P850,0)</f>
        <v>0</v>
      </c>
      <c r="V850" s="64" t="n">
        <f aca="false">IF($K850="Better",$P850,0)</f>
        <v>0</v>
      </c>
      <c r="W850" s="64" t="n">
        <f aca="false">IF($K850="U – needs rule",$P850,0)</f>
        <v>0</v>
      </c>
      <c r="X850" s="64" t="n">
        <f aca="false">IF($K850="No Start (attainment only)",$P850,0)</f>
        <v>0</v>
      </c>
    </row>
    <row r="851" customFormat="false" ht="15" hidden="false" customHeight="false" outlineLevel="0" collapsed="false">
      <c r="A851" s="60"/>
      <c r="B851" s="61" t="str">
        <f aca="false">IF($M851=0,"",INDEX(Classes!$E$6:$E$420,$M851))</f>
        <v/>
      </c>
      <c r="C851" s="62" t="str">
        <f aca="false">IF($M851=0,"",INDEX(Classes!$H$6:$H$420,$M851))</f>
        <v/>
      </c>
      <c r="D851" s="61" t="str">
        <f aca="false">IF($M851=0,"",INDEX(Classes!$B$6:$B$420,$M851))</f>
        <v/>
      </c>
      <c r="E851" s="61" t="str">
        <f aca="false">IF($M851=0,"",INDEX(Classes!$C$6:$C$420,$M851))</f>
        <v/>
      </c>
      <c r="F851" s="63"/>
      <c r="G851" s="63"/>
      <c r="H851" s="60"/>
      <c r="I851" s="60"/>
      <c r="J851" s="63"/>
      <c r="K851" s="61" t="str">
        <f aca="false">IF($P851=0,"",IF($F851="Baseline","— Baseline",IF($O851=0,"No result",IF($N851=0,"No Start (attainment only)",IF(OR($N851=1,$O851=1),"U – needs rule",INDEX(MxBody,MATCH($I851,MxCurr,0),MATCH($H851,MxStart,0)))))))</f>
        <v/>
      </c>
      <c r="L851" s="62" t="str">
        <f aca="false">IF(COUNTA($A851,$F851,$G851,$H851,$I851,$J851)=0,"",IF($M851=0,"✖ كود الصف غير موجود",IF(ISNA(MATCH($F851,Lists!$A$2:$A$5,0)),"✖ الفترة غير صحيحة",IF(ISNA(MATCH($G851,Lists!$B$2:$B$7,0)),"✖ المجموعة غير صحيحة",IF(NOT(OR($H851="",$N851&gt;0)),"✖ Start غير صحيح",IF(NOT(OR($I851="",$I851="NR",$O851&gt;0)),"✖ Current غير صحيح",IF(NOT(IF(ISNUMBER($J851),AND($J851&gt;=0,$J851=INT($J851)),FALSE())),"✖ العدد يجب أن يكون صحيحًا ≥ 0",IF(AND($F851="Baseline",$H851&lt;&gt;""),"⚠ Baseline: Start لا يدخل في التقدم",IF($K851="No Start (attainment only)","ℹ تحصيل فقط (بدون Start)",IF($K851="U – needs rule","ℹ حالة U تحتاج قاعدة معتمدة",IF($K851="No result","ℹ بدون نتيجة (يُستبعد من التحصيل)","OK")))))))))))</f>
        <v/>
      </c>
      <c r="M851" s="64" t="n">
        <f aca="false">IF($A851="",0,IFERROR(MATCH($A851,Classes!$A$6:$A$420,0),0))</f>
        <v>0</v>
      </c>
      <c r="N851" s="64" t="n">
        <f aca="false">IF($H851="",0,IFERROR(MATCH($H851,GradeList,0),0))</f>
        <v>0</v>
      </c>
      <c r="O851" s="64" t="n">
        <f aca="false">IF(OR($I851="",$I851="NR"),0,IFERROR(MATCH($I851,GradeList,0),0))</f>
        <v>0</v>
      </c>
      <c r="P851" s="64" t="n">
        <f aca="false">IF(AND($M851&gt;0,ISNUMBER(MATCH($F851,Lists!$A$2:$A$5,0)),ISNUMBER(MATCH($G851,Lists!$B$2:$B$7,0)),OR($H851="",$N851&gt;0),OR($I851="",$I851="NR",$O851&gt;0),IF(ISNUMBER($J851),AND($J851&gt;=0,$J851=INT($J851)),FALSE())),$J851,0)</f>
        <v>0</v>
      </c>
      <c r="Q851" s="64" t="n">
        <f aca="false">IF(AND($P851&gt;0,$O851&gt;0),$P851,0)</f>
        <v>0</v>
      </c>
      <c r="R851" s="64" t="n">
        <f aca="false">IF(AND($Q851&gt;0,$O851&gt;=AtRank),$Q851,0)</f>
        <v>0</v>
      </c>
      <c r="S851" s="64" t="n">
        <f aca="false">IF(AND($Q851&gt;0,$O851&gt;=AboveRank),$Q851,0)</f>
        <v>0</v>
      </c>
      <c r="T851" s="64" t="n">
        <f aca="false">IF($K851="Less",$P851,0)</f>
        <v>0</v>
      </c>
      <c r="U851" s="64" t="n">
        <f aca="false">IF($K851="Expected",$P851,0)</f>
        <v>0</v>
      </c>
      <c r="V851" s="64" t="n">
        <f aca="false">IF($K851="Better",$P851,0)</f>
        <v>0</v>
      </c>
      <c r="W851" s="64" t="n">
        <f aca="false">IF($K851="U – needs rule",$P851,0)</f>
        <v>0</v>
      </c>
      <c r="X851" s="64" t="n">
        <f aca="false">IF($K851="No Start (attainment only)",$P851,0)</f>
        <v>0</v>
      </c>
    </row>
    <row r="852" customFormat="false" ht="15" hidden="false" customHeight="false" outlineLevel="0" collapsed="false">
      <c r="A852" s="60"/>
      <c r="B852" s="61" t="str">
        <f aca="false">IF($M852=0,"",INDEX(Classes!$E$6:$E$420,$M852))</f>
        <v/>
      </c>
      <c r="C852" s="62" t="str">
        <f aca="false">IF($M852=0,"",INDEX(Classes!$H$6:$H$420,$M852))</f>
        <v/>
      </c>
      <c r="D852" s="61" t="str">
        <f aca="false">IF($M852=0,"",INDEX(Classes!$B$6:$B$420,$M852))</f>
        <v/>
      </c>
      <c r="E852" s="61" t="str">
        <f aca="false">IF($M852=0,"",INDEX(Classes!$C$6:$C$420,$M852))</f>
        <v/>
      </c>
      <c r="F852" s="63"/>
      <c r="G852" s="63"/>
      <c r="H852" s="60"/>
      <c r="I852" s="60"/>
      <c r="J852" s="63"/>
      <c r="K852" s="61" t="str">
        <f aca="false">IF($P852=0,"",IF($F852="Baseline","— Baseline",IF($O852=0,"No result",IF($N852=0,"No Start (attainment only)",IF(OR($N852=1,$O852=1),"U – needs rule",INDEX(MxBody,MATCH($I852,MxCurr,0),MATCH($H852,MxStart,0)))))))</f>
        <v/>
      </c>
      <c r="L852" s="62" t="str">
        <f aca="false">IF(COUNTA($A852,$F852,$G852,$H852,$I852,$J852)=0,"",IF($M852=0,"✖ كود الصف غير موجود",IF(ISNA(MATCH($F852,Lists!$A$2:$A$5,0)),"✖ الفترة غير صحيحة",IF(ISNA(MATCH($G852,Lists!$B$2:$B$7,0)),"✖ المجموعة غير صحيحة",IF(NOT(OR($H852="",$N852&gt;0)),"✖ Start غير صحيح",IF(NOT(OR($I852="",$I852="NR",$O852&gt;0)),"✖ Current غير صحيح",IF(NOT(IF(ISNUMBER($J852),AND($J852&gt;=0,$J852=INT($J852)),FALSE())),"✖ العدد يجب أن يكون صحيحًا ≥ 0",IF(AND($F852="Baseline",$H852&lt;&gt;""),"⚠ Baseline: Start لا يدخل في التقدم",IF($K852="No Start (attainment only)","ℹ تحصيل فقط (بدون Start)",IF($K852="U – needs rule","ℹ حالة U تحتاج قاعدة معتمدة",IF($K852="No result","ℹ بدون نتيجة (يُستبعد من التحصيل)","OK")))))))))))</f>
        <v/>
      </c>
      <c r="M852" s="64" t="n">
        <f aca="false">IF($A852="",0,IFERROR(MATCH($A852,Classes!$A$6:$A$420,0),0))</f>
        <v>0</v>
      </c>
      <c r="N852" s="64" t="n">
        <f aca="false">IF($H852="",0,IFERROR(MATCH($H852,GradeList,0),0))</f>
        <v>0</v>
      </c>
      <c r="O852" s="64" t="n">
        <f aca="false">IF(OR($I852="",$I852="NR"),0,IFERROR(MATCH($I852,GradeList,0),0))</f>
        <v>0</v>
      </c>
      <c r="P852" s="64" t="n">
        <f aca="false">IF(AND($M852&gt;0,ISNUMBER(MATCH($F852,Lists!$A$2:$A$5,0)),ISNUMBER(MATCH($G852,Lists!$B$2:$B$7,0)),OR($H852="",$N852&gt;0),OR($I852="",$I852="NR",$O852&gt;0),IF(ISNUMBER($J852),AND($J852&gt;=0,$J852=INT($J852)),FALSE())),$J852,0)</f>
        <v>0</v>
      </c>
      <c r="Q852" s="64" t="n">
        <f aca="false">IF(AND($P852&gt;0,$O852&gt;0),$P852,0)</f>
        <v>0</v>
      </c>
      <c r="R852" s="64" t="n">
        <f aca="false">IF(AND($Q852&gt;0,$O852&gt;=AtRank),$Q852,0)</f>
        <v>0</v>
      </c>
      <c r="S852" s="64" t="n">
        <f aca="false">IF(AND($Q852&gt;0,$O852&gt;=AboveRank),$Q852,0)</f>
        <v>0</v>
      </c>
      <c r="T852" s="64" t="n">
        <f aca="false">IF($K852="Less",$P852,0)</f>
        <v>0</v>
      </c>
      <c r="U852" s="64" t="n">
        <f aca="false">IF($K852="Expected",$P852,0)</f>
        <v>0</v>
      </c>
      <c r="V852" s="64" t="n">
        <f aca="false">IF($K852="Better",$P852,0)</f>
        <v>0</v>
      </c>
      <c r="W852" s="64" t="n">
        <f aca="false">IF($K852="U – needs rule",$P852,0)</f>
        <v>0</v>
      </c>
      <c r="X852" s="64" t="n">
        <f aca="false">IF($K852="No Start (attainment only)",$P852,0)</f>
        <v>0</v>
      </c>
    </row>
    <row r="853" customFormat="false" ht="15" hidden="false" customHeight="false" outlineLevel="0" collapsed="false">
      <c r="A853" s="60"/>
      <c r="B853" s="61" t="str">
        <f aca="false">IF($M853=0,"",INDEX(Classes!$E$6:$E$420,$M853))</f>
        <v/>
      </c>
      <c r="C853" s="62" t="str">
        <f aca="false">IF($M853=0,"",INDEX(Classes!$H$6:$H$420,$M853))</f>
        <v/>
      </c>
      <c r="D853" s="61" t="str">
        <f aca="false">IF($M853=0,"",INDEX(Classes!$B$6:$B$420,$M853))</f>
        <v/>
      </c>
      <c r="E853" s="61" t="str">
        <f aca="false">IF($M853=0,"",INDEX(Classes!$C$6:$C$420,$M853))</f>
        <v/>
      </c>
      <c r="F853" s="63"/>
      <c r="G853" s="63"/>
      <c r="H853" s="60"/>
      <c r="I853" s="60"/>
      <c r="J853" s="63"/>
      <c r="K853" s="61" t="str">
        <f aca="false">IF($P853=0,"",IF($F853="Baseline","— Baseline",IF($O853=0,"No result",IF($N853=0,"No Start (attainment only)",IF(OR($N853=1,$O853=1),"U – needs rule",INDEX(MxBody,MATCH($I853,MxCurr,0),MATCH($H853,MxStart,0)))))))</f>
        <v/>
      </c>
      <c r="L853" s="62" t="str">
        <f aca="false">IF(COUNTA($A853,$F853,$G853,$H853,$I853,$J853)=0,"",IF($M853=0,"✖ كود الصف غير موجود",IF(ISNA(MATCH($F853,Lists!$A$2:$A$5,0)),"✖ الفترة غير صحيحة",IF(ISNA(MATCH($G853,Lists!$B$2:$B$7,0)),"✖ المجموعة غير صحيحة",IF(NOT(OR($H853="",$N853&gt;0)),"✖ Start غير صحيح",IF(NOT(OR($I853="",$I853="NR",$O853&gt;0)),"✖ Current غير صحيح",IF(NOT(IF(ISNUMBER($J853),AND($J853&gt;=0,$J853=INT($J853)),FALSE())),"✖ العدد يجب أن يكون صحيحًا ≥ 0",IF(AND($F853="Baseline",$H853&lt;&gt;""),"⚠ Baseline: Start لا يدخل في التقدم",IF($K853="No Start (attainment only)","ℹ تحصيل فقط (بدون Start)",IF($K853="U – needs rule","ℹ حالة U تحتاج قاعدة معتمدة",IF($K853="No result","ℹ بدون نتيجة (يُستبعد من التحصيل)","OK")))))))))))</f>
        <v/>
      </c>
      <c r="M853" s="64" t="n">
        <f aca="false">IF($A853="",0,IFERROR(MATCH($A853,Classes!$A$6:$A$420,0),0))</f>
        <v>0</v>
      </c>
      <c r="N853" s="64" t="n">
        <f aca="false">IF($H853="",0,IFERROR(MATCH($H853,GradeList,0),0))</f>
        <v>0</v>
      </c>
      <c r="O853" s="64" t="n">
        <f aca="false">IF(OR($I853="",$I853="NR"),0,IFERROR(MATCH($I853,GradeList,0),0))</f>
        <v>0</v>
      </c>
      <c r="P853" s="64" t="n">
        <f aca="false">IF(AND($M853&gt;0,ISNUMBER(MATCH($F853,Lists!$A$2:$A$5,0)),ISNUMBER(MATCH($G853,Lists!$B$2:$B$7,0)),OR($H853="",$N853&gt;0),OR($I853="",$I853="NR",$O853&gt;0),IF(ISNUMBER($J853),AND($J853&gt;=0,$J853=INT($J853)),FALSE())),$J853,0)</f>
        <v>0</v>
      </c>
      <c r="Q853" s="64" t="n">
        <f aca="false">IF(AND($P853&gt;0,$O853&gt;0),$P853,0)</f>
        <v>0</v>
      </c>
      <c r="R853" s="64" t="n">
        <f aca="false">IF(AND($Q853&gt;0,$O853&gt;=AtRank),$Q853,0)</f>
        <v>0</v>
      </c>
      <c r="S853" s="64" t="n">
        <f aca="false">IF(AND($Q853&gt;0,$O853&gt;=AboveRank),$Q853,0)</f>
        <v>0</v>
      </c>
      <c r="T853" s="64" t="n">
        <f aca="false">IF($K853="Less",$P853,0)</f>
        <v>0</v>
      </c>
      <c r="U853" s="64" t="n">
        <f aca="false">IF($K853="Expected",$P853,0)</f>
        <v>0</v>
      </c>
      <c r="V853" s="64" t="n">
        <f aca="false">IF($K853="Better",$P853,0)</f>
        <v>0</v>
      </c>
      <c r="W853" s="64" t="n">
        <f aca="false">IF($K853="U – needs rule",$P853,0)</f>
        <v>0</v>
      </c>
      <c r="X853" s="64" t="n">
        <f aca="false">IF($K853="No Start (attainment only)",$P853,0)</f>
        <v>0</v>
      </c>
    </row>
    <row r="854" customFormat="false" ht="15" hidden="false" customHeight="false" outlineLevel="0" collapsed="false">
      <c r="A854" s="60"/>
      <c r="B854" s="61" t="str">
        <f aca="false">IF($M854=0,"",INDEX(Classes!$E$6:$E$420,$M854))</f>
        <v/>
      </c>
      <c r="C854" s="62" t="str">
        <f aca="false">IF($M854=0,"",INDEX(Classes!$H$6:$H$420,$M854))</f>
        <v/>
      </c>
      <c r="D854" s="61" t="str">
        <f aca="false">IF($M854=0,"",INDEX(Classes!$B$6:$B$420,$M854))</f>
        <v/>
      </c>
      <c r="E854" s="61" t="str">
        <f aca="false">IF($M854=0,"",INDEX(Classes!$C$6:$C$420,$M854))</f>
        <v/>
      </c>
      <c r="F854" s="63"/>
      <c r="G854" s="63"/>
      <c r="H854" s="60"/>
      <c r="I854" s="60"/>
      <c r="J854" s="63"/>
      <c r="K854" s="61" t="str">
        <f aca="false">IF($P854=0,"",IF($F854="Baseline","— Baseline",IF($O854=0,"No result",IF($N854=0,"No Start (attainment only)",IF(OR($N854=1,$O854=1),"U – needs rule",INDEX(MxBody,MATCH($I854,MxCurr,0),MATCH($H854,MxStart,0)))))))</f>
        <v/>
      </c>
      <c r="L854" s="62" t="str">
        <f aca="false">IF(COUNTA($A854,$F854,$G854,$H854,$I854,$J854)=0,"",IF($M854=0,"✖ كود الصف غير موجود",IF(ISNA(MATCH($F854,Lists!$A$2:$A$5,0)),"✖ الفترة غير صحيحة",IF(ISNA(MATCH($G854,Lists!$B$2:$B$7,0)),"✖ المجموعة غير صحيحة",IF(NOT(OR($H854="",$N854&gt;0)),"✖ Start غير صحيح",IF(NOT(OR($I854="",$I854="NR",$O854&gt;0)),"✖ Current غير صحيح",IF(NOT(IF(ISNUMBER($J854),AND($J854&gt;=0,$J854=INT($J854)),FALSE())),"✖ العدد يجب أن يكون صحيحًا ≥ 0",IF(AND($F854="Baseline",$H854&lt;&gt;""),"⚠ Baseline: Start لا يدخل في التقدم",IF($K854="No Start (attainment only)","ℹ تحصيل فقط (بدون Start)",IF($K854="U – needs rule","ℹ حالة U تحتاج قاعدة معتمدة",IF($K854="No result","ℹ بدون نتيجة (يُستبعد من التحصيل)","OK")))))))))))</f>
        <v/>
      </c>
      <c r="M854" s="64" t="n">
        <f aca="false">IF($A854="",0,IFERROR(MATCH($A854,Classes!$A$6:$A$420,0),0))</f>
        <v>0</v>
      </c>
      <c r="N854" s="64" t="n">
        <f aca="false">IF($H854="",0,IFERROR(MATCH($H854,GradeList,0),0))</f>
        <v>0</v>
      </c>
      <c r="O854" s="64" t="n">
        <f aca="false">IF(OR($I854="",$I854="NR"),0,IFERROR(MATCH($I854,GradeList,0),0))</f>
        <v>0</v>
      </c>
      <c r="P854" s="64" t="n">
        <f aca="false">IF(AND($M854&gt;0,ISNUMBER(MATCH($F854,Lists!$A$2:$A$5,0)),ISNUMBER(MATCH($G854,Lists!$B$2:$B$7,0)),OR($H854="",$N854&gt;0),OR($I854="",$I854="NR",$O854&gt;0),IF(ISNUMBER($J854),AND($J854&gt;=0,$J854=INT($J854)),FALSE())),$J854,0)</f>
        <v>0</v>
      </c>
      <c r="Q854" s="64" t="n">
        <f aca="false">IF(AND($P854&gt;0,$O854&gt;0),$P854,0)</f>
        <v>0</v>
      </c>
      <c r="R854" s="64" t="n">
        <f aca="false">IF(AND($Q854&gt;0,$O854&gt;=AtRank),$Q854,0)</f>
        <v>0</v>
      </c>
      <c r="S854" s="64" t="n">
        <f aca="false">IF(AND($Q854&gt;0,$O854&gt;=AboveRank),$Q854,0)</f>
        <v>0</v>
      </c>
      <c r="T854" s="64" t="n">
        <f aca="false">IF($K854="Less",$P854,0)</f>
        <v>0</v>
      </c>
      <c r="U854" s="64" t="n">
        <f aca="false">IF($K854="Expected",$P854,0)</f>
        <v>0</v>
      </c>
      <c r="V854" s="64" t="n">
        <f aca="false">IF($K854="Better",$P854,0)</f>
        <v>0</v>
      </c>
      <c r="W854" s="64" t="n">
        <f aca="false">IF($K854="U – needs rule",$P854,0)</f>
        <v>0</v>
      </c>
      <c r="X854" s="64" t="n">
        <f aca="false">IF($K854="No Start (attainment only)",$P854,0)</f>
        <v>0</v>
      </c>
    </row>
    <row r="855" customFormat="false" ht="15" hidden="false" customHeight="false" outlineLevel="0" collapsed="false">
      <c r="A855" s="60"/>
      <c r="B855" s="61" t="str">
        <f aca="false">IF($M855=0,"",INDEX(Classes!$E$6:$E$420,$M855))</f>
        <v/>
      </c>
      <c r="C855" s="62" t="str">
        <f aca="false">IF($M855=0,"",INDEX(Classes!$H$6:$H$420,$M855))</f>
        <v/>
      </c>
      <c r="D855" s="61" t="str">
        <f aca="false">IF($M855=0,"",INDEX(Classes!$B$6:$B$420,$M855))</f>
        <v/>
      </c>
      <c r="E855" s="61" t="str">
        <f aca="false">IF($M855=0,"",INDEX(Classes!$C$6:$C$420,$M855))</f>
        <v/>
      </c>
      <c r="F855" s="63"/>
      <c r="G855" s="63"/>
      <c r="H855" s="60"/>
      <c r="I855" s="60"/>
      <c r="J855" s="63"/>
      <c r="K855" s="61" t="str">
        <f aca="false">IF($P855=0,"",IF($F855="Baseline","— Baseline",IF($O855=0,"No result",IF($N855=0,"No Start (attainment only)",IF(OR($N855=1,$O855=1),"U – needs rule",INDEX(MxBody,MATCH($I855,MxCurr,0),MATCH($H855,MxStart,0)))))))</f>
        <v/>
      </c>
      <c r="L855" s="62" t="str">
        <f aca="false">IF(COUNTA($A855,$F855,$G855,$H855,$I855,$J855)=0,"",IF($M855=0,"✖ كود الصف غير موجود",IF(ISNA(MATCH($F855,Lists!$A$2:$A$5,0)),"✖ الفترة غير صحيحة",IF(ISNA(MATCH($G855,Lists!$B$2:$B$7,0)),"✖ المجموعة غير صحيحة",IF(NOT(OR($H855="",$N855&gt;0)),"✖ Start غير صحيح",IF(NOT(OR($I855="",$I855="NR",$O855&gt;0)),"✖ Current غير صحيح",IF(NOT(IF(ISNUMBER($J855),AND($J855&gt;=0,$J855=INT($J855)),FALSE())),"✖ العدد يجب أن يكون صحيحًا ≥ 0",IF(AND($F855="Baseline",$H855&lt;&gt;""),"⚠ Baseline: Start لا يدخل في التقدم",IF($K855="No Start (attainment only)","ℹ تحصيل فقط (بدون Start)",IF($K855="U – needs rule","ℹ حالة U تحتاج قاعدة معتمدة",IF($K855="No result","ℹ بدون نتيجة (يُستبعد من التحصيل)","OK")))))))))))</f>
        <v/>
      </c>
      <c r="M855" s="64" t="n">
        <f aca="false">IF($A855="",0,IFERROR(MATCH($A855,Classes!$A$6:$A$420,0),0))</f>
        <v>0</v>
      </c>
      <c r="N855" s="64" t="n">
        <f aca="false">IF($H855="",0,IFERROR(MATCH($H855,GradeList,0),0))</f>
        <v>0</v>
      </c>
      <c r="O855" s="64" t="n">
        <f aca="false">IF(OR($I855="",$I855="NR"),0,IFERROR(MATCH($I855,GradeList,0),0))</f>
        <v>0</v>
      </c>
      <c r="P855" s="64" t="n">
        <f aca="false">IF(AND($M855&gt;0,ISNUMBER(MATCH($F855,Lists!$A$2:$A$5,0)),ISNUMBER(MATCH($G855,Lists!$B$2:$B$7,0)),OR($H855="",$N855&gt;0),OR($I855="",$I855="NR",$O855&gt;0),IF(ISNUMBER($J855),AND($J855&gt;=0,$J855=INT($J855)),FALSE())),$J855,0)</f>
        <v>0</v>
      </c>
      <c r="Q855" s="64" t="n">
        <f aca="false">IF(AND($P855&gt;0,$O855&gt;0),$P855,0)</f>
        <v>0</v>
      </c>
      <c r="R855" s="64" t="n">
        <f aca="false">IF(AND($Q855&gt;0,$O855&gt;=AtRank),$Q855,0)</f>
        <v>0</v>
      </c>
      <c r="S855" s="64" t="n">
        <f aca="false">IF(AND($Q855&gt;0,$O855&gt;=AboveRank),$Q855,0)</f>
        <v>0</v>
      </c>
      <c r="T855" s="64" t="n">
        <f aca="false">IF($K855="Less",$P855,0)</f>
        <v>0</v>
      </c>
      <c r="U855" s="64" t="n">
        <f aca="false">IF($K855="Expected",$P855,0)</f>
        <v>0</v>
      </c>
      <c r="V855" s="64" t="n">
        <f aca="false">IF($K855="Better",$P855,0)</f>
        <v>0</v>
      </c>
      <c r="W855" s="64" t="n">
        <f aca="false">IF($K855="U – needs rule",$P855,0)</f>
        <v>0</v>
      </c>
      <c r="X855" s="64" t="n">
        <f aca="false">IF($K855="No Start (attainment only)",$P855,0)</f>
        <v>0</v>
      </c>
    </row>
    <row r="856" customFormat="false" ht="15" hidden="false" customHeight="false" outlineLevel="0" collapsed="false">
      <c r="A856" s="60"/>
      <c r="B856" s="61" t="str">
        <f aca="false">IF($M856=0,"",INDEX(Classes!$E$6:$E$420,$M856))</f>
        <v/>
      </c>
      <c r="C856" s="62" t="str">
        <f aca="false">IF($M856=0,"",INDEX(Classes!$H$6:$H$420,$M856))</f>
        <v/>
      </c>
      <c r="D856" s="61" t="str">
        <f aca="false">IF($M856=0,"",INDEX(Classes!$B$6:$B$420,$M856))</f>
        <v/>
      </c>
      <c r="E856" s="61" t="str">
        <f aca="false">IF($M856=0,"",INDEX(Classes!$C$6:$C$420,$M856))</f>
        <v/>
      </c>
      <c r="F856" s="63"/>
      <c r="G856" s="63"/>
      <c r="H856" s="60"/>
      <c r="I856" s="60"/>
      <c r="J856" s="63"/>
      <c r="K856" s="61" t="str">
        <f aca="false">IF($P856=0,"",IF($F856="Baseline","— Baseline",IF($O856=0,"No result",IF($N856=0,"No Start (attainment only)",IF(OR($N856=1,$O856=1),"U – needs rule",INDEX(MxBody,MATCH($I856,MxCurr,0),MATCH($H856,MxStart,0)))))))</f>
        <v/>
      </c>
      <c r="L856" s="62" t="str">
        <f aca="false">IF(COUNTA($A856,$F856,$G856,$H856,$I856,$J856)=0,"",IF($M856=0,"✖ كود الصف غير موجود",IF(ISNA(MATCH($F856,Lists!$A$2:$A$5,0)),"✖ الفترة غير صحيحة",IF(ISNA(MATCH($G856,Lists!$B$2:$B$7,0)),"✖ المجموعة غير صحيحة",IF(NOT(OR($H856="",$N856&gt;0)),"✖ Start غير صحيح",IF(NOT(OR($I856="",$I856="NR",$O856&gt;0)),"✖ Current غير صحيح",IF(NOT(IF(ISNUMBER($J856),AND($J856&gt;=0,$J856=INT($J856)),FALSE())),"✖ العدد يجب أن يكون صحيحًا ≥ 0",IF(AND($F856="Baseline",$H856&lt;&gt;""),"⚠ Baseline: Start لا يدخل في التقدم",IF($K856="No Start (attainment only)","ℹ تحصيل فقط (بدون Start)",IF($K856="U – needs rule","ℹ حالة U تحتاج قاعدة معتمدة",IF($K856="No result","ℹ بدون نتيجة (يُستبعد من التحصيل)","OK")))))))))))</f>
        <v/>
      </c>
      <c r="M856" s="64" t="n">
        <f aca="false">IF($A856="",0,IFERROR(MATCH($A856,Classes!$A$6:$A$420,0),0))</f>
        <v>0</v>
      </c>
      <c r="N856" s="64" t="n">
        <f aca="false">IF($H856="",0,IFERROR(MATCH($H856,GradeList,0),0))</f>
        <v>0</v>
      </c>
      <c r="O856" s="64" t="n">
        <f aca="false">IF(OR($I856="",$I856="NR"),0,IFERROR(MATCH($I856,GradeList,0),0))</f>
        <v>0</v>
      </c>
      <c r="P856" s="64" t="n">
        <f aca="false">IF(AND($M856&gt;0,ISNUMBER(MATCH($F856,Lists!$A$2:$A$5,0)),ISNUMBER(MATCH($G856,Lists!$B$2:$B$7,0)),OR($H856="",$N856&gt;0),OR($I856="",$I856="NR",$O856&gt;0),IF(ISNUMBER($J856),AND($J856&gt;=0,$J856=INT($J856)),FALSE())),$J856,0)</f>
        <v>0</v>
      </c>
      <c r="Q856" s="64" t="n">
        <f aca="false">IF(AND($P856&gt;0,$O856&gt;0),$P856,0)</f>
        <v>0</v>
      </c>
      <c r="R856" s="64" t="n">
        <f aca="false">IF(AND($Q856&gt;0,$O856&gt;=AtRank),$Q856,0)</f>
        <v>0</v>
      </c>
      <c r="S856" s="64" t="n">
        <f aca="false">IF(AND($Q856&gt;0,$O856&gt;=AboveRank),$Q856,0)</f>
        <v>0</v>
      </c>
      <c r="T856" s="64" t="n">
        <f aca="false">IF($K856="Less",$P856,0)</f>
        <v>0</v>
      </c>
      <c r="U856" s="64" t="n">
        <f aca="false">IF($K856="Expected",$P856,0)</f>
        <v>0</v>
      </c>
      <c r="V856" s="64" t="n">
        <f aca="false">IF($K856="Better",$P856,0)</f>
        <v>0</v>
      </c>
      <c r="W856" s="64" t="n">
        <f aca="false">IF($K856="U – needs rule",$P856,0)</f>
        <v>0</v>
      </c>
      <c r="X856" s="64" t="n">
        <f aca="false">IF($K856="No Start (attainment only)",$P856,0)</f>
        <v>0</v>
      </c>
    </row>
    <row r="857" customFormat="false" ht="15" hidden="false" customHeight="false" outlineLevel="0" collapsed="false">
      <c r="A857" s="60"/>
      <c r="B857" s="61" t="str">
        <f aca="false">IF($M857=0,"",INDEX(Classes!$E$6:$E$420,$M857))</f>
        <v/>
      </c>
      <c r="C857" s="62" t="str">
        <f aca="false">IF($M857=0,"",INDEX(Classes!$H$6:$H$420,$M857))</f>
        <v/>
      </c>
      <c r="D857" s="61" t="str">
        <f aca="false">IF($M857=0,"",INDEX(Classes!$B$6:$B$420,$M857))</f>
        <v/>
      </c>
      <c r="E857" s="61" t="str">
        <f aca="false">IF($M857=0,"",INDEX(Classes!$C$6:$C$420,$M857))</f>
        <v/>
      </c>
      <c r="F857" s="63"/>
      <c r="G857" s="63"/>
      <c r="H857" s="60"/>
      <c r="I857" s="60"/>
      <c r="J857" s="63"/>
      <c r="K857" s="61" t="str">
        <f aca="false">IF($P857=0,"",IF($F857="Baseline","— Baseline",IF($O857=0,"No result",IF($N857=0,"No Start (attainment only)",IF(OR($N857=1,$O857=1),"U – needs rule",INDEX(MxBody,MATCH($I857,MxCurr,0),MATCH($H857,MxStart,0)))))))</f>
        <v/>
      </c>
      <c r="L857" s="62" t="str">
        <f aca="false">IF(COUNTA($A857,$F857,$G857,$H857,$I857,$J857)=0,"",IF($M857=0,"✖ كود الصف غير موجود",IF(ISNA(MATCH($F857,Lists!$A$2:$A$5,0)),"✖ الفترة غير صحيحة",IF(ISNA(MATCH($G857,Lists!$B$2:$B$7,0)),"✖ المجموعة غير صحيحة",IF(NOT(OR($H857="",$N857&gt;0)),"✖ Start غير صحيح",IF(NOT(OR($I857="",$I857="NR",$O857&gt;0)),"✖ Current غير صحيح",IF(NOT(IF(ISNUMBER($J857),AND($J857&gt;=0,$J857=INT($J857)),FALSE())),"✖ العدد يجب أن يكون صحيحًا ≥ 0",IF(AND($F857="Baseline",$H857&lt;&gt;""),"⚠ Baseline: Start لا يدخل في التقدم",IF($K857="No Start (attainment only)","ℹ تحصيل فقط (بدون Start)",IF($K857="U – needs rule","ℹ حالة U تحتاج قاعدة معتمدة",IF($K857="No result","ℹ بدون نتيجة (يُستبعد من التحصيل)","OK")))))))))))</f>
        <v/>
      </c>
      <c r="M857" s="64" t="n">
        <f aca="false">IF($A857="",0,IFERROR(MATCH($A857,Classes!$A$6:$A$420,0),0))</f>
        <v>0</v>
      </c>
      <c r="N857" s="64" t="n">
        <f aca="false">IF($H857="",0,IFERROR(MATCH($H857,GradeList,0),0))</f>
        <v>0</v>
      </c>
      <c r="O857" s="64" t="n">
        <f aca="false">IF(OR($I857="",$I857="NR"),0,IFERROR(MATCH($I857,GradeList,0),0))</f>
        <v>0</v>
      </c>
      <c r="P857" s="64" t="n">
        <f aca="false">IF(AND($M857&gt;0,ISNUMBER(MATCH($F857,Lists!$A$2:$A$5,0)),ISNUMBER(MATCH($G857,Lists!$B$2:$B$7,0)),OR($H857="",$N857&gt;0),OR($I857="",$I857="NR",$O857&gt;0),IF(ISNUMBER($J857),AND($J857&gt;=0,$J857=INT($J857)),FALSE())),$J857,0)</f>
        <v>0</v>
      </c>
      <c r="Q857" s="64" t="n">
        <f aca="false">IF(AND($P857&gt;0,$O857&gt;0),$P857,0)</f>
        <v>0</v>
      </c>
      <c r="R857" s="64" t="n">
        <f aca="false">IF(AND($Q857&gt;0,$O857&gt;=AtRank),$Q857,0)</f>
        <v>0</v>
      </c>
      <c r="S857" s="64" t="n">
        <f aca="false">IF(AND($Q857&gt;0,$O857&gt;=AboveRank),$Q857,0)</f>
        <v>0</v>
      </c>
      <c r="T857" s="64" t="n">
        <f aca="false">IF($K857="Less",$P857,0)</f>
        <v>0</v>
      </c>
      <c r="U857" s="64" t="n">
        <f aca="false">IF($K857="Expected",$P857,0)</f>
        <v>0</v>
      </c>
      <c r="V857" s="64" t="n">
        <f aca="false">IF($K857="Better",$P857,0)</f>
        <v>0</v>
      </c>
      <c r="W857" s="64" t="n">
        <f aca="false">IF($K857="U – needs rule",$P857,0)</f>
        <v>0</v>
      </c>
      <c r="X857" s="64" t="n">
        <f aca="false">IF($K857="No Start (attainment only)",$P857,0)</f>
        <v>0</v>
      </c>
    </row>
    <row r="858" customFormat="false" ht="15" hidden="false" customHeight="false" outlineLevel="0" collapsed="false">
      <c r="A858" s="60"/>
      <c r="B858" s="61" t="str">
        <f aca="false">IF($M858=0,"",INDEX(Classes!$E$6:$E$420,$M858))</f>
        <v/>
      </c>
      <c r="C858" s="62" t="str">
        <f aca="false">IF($M858=0,"",INDEX(Classes!$H$6:$H$420,$M858))</f>
        <v/>
      </c>
      <c r="D858" s="61" t="str">
        <f aca="false">IF($M858=0,"",INDEX(Classes!$B$6:$B$420,$M858))</f>
        <v/>
      </c>
      <c r="E858" s="61" t="str">
        <f aca="false">IF($M858=0,"",INDEX(Classes!$C$6:$C$420,$M858))</f>
        <v/>
      </c>
      <c r="F858" s="63"/>
      <c r="G858" s="63"/>
      <c r="H858" s="60"/>
      <c r="I858" s="60"/>
      <c r="J858" s="63"/>
      <c r="K858" s="61" t="str">
        <f aca="false">IF($P858=0,"",IF($F858="Baseline","— Baseline",IF($O858=0,"No result",IF($N858=0,"No Start (attainment only)",IF(OR($N858=1,$O858=1),"U – needs rule",INDEX(MxBody,MATCH($I858,MxCurr,0),MATCH($H858,MxStart,0)))))))</f>
        <v/>
      </c>
      <c r="L858" s="62" t="str">
        <f aca="false">IF(COUNTA($A858,$F858,$G858,$H858,$I858,$J858)=0,"",IF($M858=0,"✖ كود الصف غير موجود",IF(ISNA(MATCH($F858,Lists!$A$2:$A$5,0)),"✖ الفترة غير صحيحة",IF(ISNA(MATCH($G858,Lists!$B$2:$B$7,0)),"✖ المجموعة غير صحيحة",IF(NOT(OR($H858="",$N858&gt;0)),"✖ Start غير صحيح",IF(NOT(OR($I858="",$I858="NR",$O858&gt;0)),"✖ Current غير صحيح",IF(NOT(IF(ISNUMBER($J858),AND($J858&gt;=0,$J858=INT($J858)),FALSE())),"✖ العدد يجب أن يكون صحيحًا ≥ 0",IF(AND($F858="Baseline",$H858&lt;&gt;""),"⚠ Baseline: Start لا يدخل في التقدم",IF($K858="No Start (attainment only)","ℹ تحصيل فقط (بدون Start)",IF($K858="U – needs rule","ℹ حالة U تحتاج قاعدة معتمدة",IF($K858="No result","ℹ بدون نتيجة (يُستبعد من التحصيل)","OK")))))))))))</f>
        <v/>
      </c>
      <c r="M858" s="64" t="n">
        <f aca="false">IF($A858="",0,IFERROR(MATCH($A858,Classes!$A$6:$A$420,0),0))</f>
        <v>0</v>
      </c>
      <c r="N858" s="64" t="n">
        <f aca="false">IF($H858="",0,IFERROR(MATCH($H858,GradeList,0),0))</f>
        <v>0</v>
      </c>
      <c r="O858" s="64" t="n">
        <f aca="false">IF(OR($I858="",$I858="NR"),0,IFERROR(MATCH($I858,GradeList,0),0))</f>
        <v>0</v>
      </c>
      <c r="P858" s="64" t="n">
        <f aca="false">IF(AND($M858&gt;0,ISNUMBER(MATCH($F858,Lists!$A$2:$A$5,0)),ISNUMBER(MATCH($G858,Lists!$B$2:$B$7,0)),OR($H858="",$N858&gt;0),OR($I858="",$I858="NR",$O858&gt;0),IF(ISNUMBER($J858),AND($J858&gt;=0,$J858=INT($J858)),FALSE())),$J858,0)</f>
        <v>0</v>
      </c>
      <c r="Q858" s="64" t="n">
        <f aca="false">IF(AND($P858&gt;0,$O858&gt;0),$P858,0)</f>
        <v>0</v>
      </c>
      <c r="R858" s="64" t="n">
        <f aca="false">IF(AND($Q858&gt;0,$O858&gt;=AtRank),$Q858,0)</f>
        <v>0</v>
      </c>
      <c r="S858" s="64" t="n">
        <f aca="false">IF(AND($Q858&gt;0,$O858&gt;=AboveRank),$Q858,0)</f>
        <v>0</v>
      </c>
      <c r="T858" s="64" t="n">
        <f aca="false">IF($K858="Less",$P858,0)</f>
        <v>0</v>
      </c>
      <c r="U858" s="64" t="n">
        <f aca="false">IF($K858="Expected",$P858,0)</f>
        <v>0</v>
      </c>
      <c r="V858" s="64" t="n">
        <f aca="false">IF($K858="Better",$P858,0)</f>
        <v>0</v>
      </c>
      <c r="W858" s="64" t="n">
        <f aca="false">IF($K858="U – needs rule",$P858,0)</f>
        <v>0</v>
      </c>
      <c r="X858" s="64" t="n">
        <f aca="false">IF($K858="No Start (attainment only)",$P858,0)</f>
        <v>0</v>
      </c>
    </row>
    <row r="859" customFormat="false" ht="15" hidden="false" customHeight="false" outlineLevel="0" collapsed="false">
      <c r="A859" s="60"/>
      <c r="B859" s="61" t="str">
        <f aca="false">IF($M859=0,"",INDEX(Classes!$E$6:$E$420,$M859))</f>
        <v/>
      </c>
      <c r="C859" s="62" t="str">
        <f aca="false">IF($M859=0,"",INDEX(Classes!$H$6:$H$420,$M859))</f>
        <v/>
      </c>
      <c r="D859" s="61" t="str">
        <f aca="false">IF($M859=0,"",INDEX(Classes!$B$6:$B$420,$M859))</f>
        <v/>
      </c>
      <c r="E859" s="61" t="str">
        <f aca="false">IF($M859=0,"",INDEX(Classes!$C$6:$C$420,$M859))</f>
        <v/>
      </c>
      <c r="F859" s="63"/>
      <c r="G859" s="63"/>
      <c r="H859" s="60"/>
      <c r="I859" s="60"/>
      <c r="J859" s="63"/>
      <c r="K859" s="61" t="str">
        <f aca="false">IF($P859=0,"",IF($F859="Baseline","— Baseline",IF($O859=0,"No result",IF($N859=0,"No Start (attainment only)",IF(OR($N859=1,$O859=1),"U – needs rule",INDEX(MxBody,MATCH($I859,MxCurr,0),MATCH($H859,MxStart,0)))))))</f>
        <v/>
      </c>
      <c r="L859" s="62" t="str">
        <f aca="false">IF(COUNTA($A859,$F859,$G859,$H859,$I859,$J859)=0,"",IF($M859=0,"✖ كود الصف غير موجود",IF(ISNA(MATCH($F859,Lists!$A$2:$A$5,0)),"✖ الفترة غير صحيحة",IF(ISNA(MATCH($G859,Lists!$B$2:$B$7,0)),"✖ المجموعة غير صحيحة",IF(NOT(OR($H859="",$N859&gt;0)),"✖ Start غير صحيح",IF(NOT(OR($I859="",$I859="NR",$O859&gt;0)),"✖ Current غير صحيح",IF(NOT(IF(ISNUMBER($J859),AND($J859&gt;=0,$J859=INT($J859)),FALSE())),"✖ العدد يجب أن يكون صحيحًا ≥ 0",IF(AND($F859="Baseline",$H859&lt;&gt;""),"⚠ Baseline: Start لا يدخل في التقدم",IF($K859="No Start (attainment only)","ℹ تحصيل فقط (بدون Start)",IF($K859="U – needs rule","ℹ حالة U تحتاج قاعدة معتمدة",IF($K859="No result","ℹ بدون نتيجة (يُستبعد من التحصيل)","OK")))))))))))</f>
        <v/>
      </c>
      <c r="M859" s="64" t="n">
        <f aca="false">IF($A859="",0,IFERROR(MATCH($A859,Classes!$A$6:$A$420,0),0))</f>
        <v>0</v>
      </c>
      <c r="N859" s="64" t="n">
        <f aca="false">IF($H859="",0,IFERROR(MATCH($H859,GradeList,0),0))</f>
        <v>0</v>
      </c>
      <c r="O859" s="64" t="n">
        <f aca="false">IF(OR($I859="",$I859="NR"),0,IFERROR(MATCH($I859,GradeList,0),0))</f>
        <v>0</v>
      </c>
      <c r="P859" s="64" t="n">
        <f aca="false">IF(AND($M859&gt;0,ISNUMBER(MATCH($F859,Lists!$A$2:$A$5,0)),ISNUMBER(MATCH($G859,Lists!$B$2:$B$7,0)),OR($H859="",$N859&gt;0),OR($I859="",$I859="NR",$O859&gt;0),IF(ISNUMBER($J859),AND($J859&gt;=0,$J859=INT($J859)),FALSE())),$J859,0)</f>
        <v>0</v>
      </c>
      <c r="Q859" s="64" t="n">
        <f aca="false">IF(AND($P859&gt;0,$O859&gt;0),$P859,0)</f>
        <v>0</v>
      </c>
      <c r="R859" s="64" t="n">
        <f aca="false">IF(AND($Q859&gt;0,$O859&gt;=AtRank),$Q859,0)</f>
        <v>0</v>
      </c>
      <c r="S859" s="64" t="n">
        <f aca="false">IF(AND($Q859&gt;0,$O859&gt;=AboveRank),$Q859,0)</f>
        <v>0</v>
      </c>
      <c r="T859" s="64" t="n">
        <f aca="false">IF($K859="Less",$P859,0)</f>
        <v>0</v>
      </c>
      <c r="U859" s="64" t="n">
        <f aca="false">IF($K859="Expected",$P859,0)</f>
        <v>0</v>
      </c>
      <c r="V859" s="64" t="n">
        <f aca="false">IF($K859="Better",$P859,0)</f>
        <v>0</v>
      </c>
      <c r="W859" s="64" t="n">
        <f aca="false">IF($K859="U – needs rule",$P859,0)</f>
        <v>0</v>
      </c>
      <c r="X859" s="64" t="n">
        <f aca="false">IF($K859="No Start (attainment only)",$P859,0)</f>
        <v>0</v>
      </c>
    </row>
    <row r="860" customFormat="false" ht="15" hidden="false" customHeight="false" outlineLevel="0" collapsed="false">
      <c r="A860" s="60"/>
      <c r="B860" s="61" t="str">
        <f aca="false">IF($M860=0,"",INDEX(Classes!$E$6:$E$420,$M860))</f>
        <v/>
      </c>
      <c r="C860" s="62" t="str">
        <f aca="false">IF($M860=0,"",INDEX(Classes!$H$6:$H$420,$M860))</f>
        <v/>
      </c>
      <c r="D860" s="61" t="str">
        <f aca="false">IF($M860=0,"",INDEX(Classes!$B$6:$B$420,$M860))</f>
        <v/>
      </c>
      <c r="E860" s="61" t="str">
        <f aca="false">IF($M860=0,"",INDEX(Classes!$C$6:$C$420,$M860))</f>
        <v/>
      </c>
      <c r="F860" s="63"/>
      <c r="G860" s="63"/>
      <c r="H860" s="60"/>
      <c r="I860" s="60"/>
      <c r="J860" s="63"/>
      <c r="K860" s="61" t="str">
        <f aca="false">IF($P860=0,"",IF($F860="Baseline","— Baseline",IF($O860=0,"No result",IF($N860=0,"No Start (attainment only)",IF(OR($N860=1,$O860=1),"U – needs rule",INDEX(MxBody,MATCH($I860,MxCurr,0),MATCH($H860,MxStart,0)))))))</f>
        <v/>
      </c>
      <c r="L860" s="62" t="str">
        <f aca="false">IF(COUNTA($A860,$F860,$G860,$H860,$I860,$J860)=0,"",IF($M860=0,"✖ كود الصف غير موجود",IF(ISNA(MATCH($F860,Lists!$A$2:$A$5,0)),"✖ الفترة غير صحيحة",IF(ISNA(MATCH($G860,Lists!$B$2:$B$7,0)),"✖ المجموعة غير صحيحة",IF(NOT(OR($H860="",$N860&gt;0)),"✖ Start غير صحيح",IF(NOT(OR($I860="",$I860="NR",$O860&gt;0)),"✖ Current غير صحيح",IF(NOT(IF(ISNUMBER($J860),AND($J860&gt;=0,$J860=INT($J860)),FALSE())),"✖ العدد يجب أن يكون صحيحًا ≥ 0",IF(AND($F860="Baseline",$H860&lt;&gt;""),"⚠ Baseline: Start لا يدخل في التقدم",IF($K860="No Start (attainment only)","ℹ تحصيل فقط (بدون Start)",IF($K860="U – needs rule","ℹ حالة U تحتاج قاعدة معتمدة",IF($K860="No result","ℹ بدون نتيجة (يُستبعد من التحصيل)","OK")))))))))))</f>
        <v/>
      </c>
      <c r="M860" s="64" t="n">
        <f aca="false">IF($A860="",0,IFERROR(MATCH($A860,Classes!$A$6:$A$420,0),0))</f>
        <v>0</v>
      </c>
      <c r="N860" s="64" t="n">
        <f aca="false">IF($H860="",0,IFERROR(MATCH($H860,GradeList,0),0))</f>
        <v>0</v>
      </c>
      <c r="O860" s="64" t="n">
        <f aca="false">IF(OR($I860="",$I860="NR"),0,IFERROR(MATCH($I860,GradeList,0),0))</f>
        <v>0</v>
      </c>
      <c r="P860" s="64" t="n">
        <f aca="false">IF(AND($M860&gt;0,ISNUMBER(MATCH($F860,Lists!$A$2:$A$5,0)),ISNUMBER(MATCH($G860,Lists!$B$2:$B$7,0)),OR($H860="",$N860&gt;0),OR($I860="",$I860="NR",$O860&gt;0),IF(ISNUMBER($J860),AND($J860&gt;=0,$J860=INT($J860)),FALSE())),$J860,0)</f>
        <v>0</v>
      </c>
      <c r="Q860" s="64" t="n">
        <f aca="false">IF(AND($P860&gt;0,$O860&gt;0),$P860,0)</f>
        <v>0</v>
      </c>
      <c r="R860" s="64" t="n">
        <f aca="false">IF(AND($Q860&gt;0,$O860&gt;=AtRank),$Q860,0)</f>
        <v>0</v>
      </c>
      <c r="S860" s="64" t="n">
        <f aca="false">IF(AND($Q860&gt;0,$O860&gt;=AboveRank),$Q860,0)</f>
        <v>0</v>
      </c>
      <c r="T860" s="64" t="n">
        <f aca="false">IF($K860="Less",$P860,0)</f>
        <v>0</v>
      </c>
      <c r="U860" s="64" t="n">
        <f aca="false">IF($K860="Expected",$P860,0)</f>
        <v>0</v>
      </c>
      <c r="V860" s="64" t="n">
        <f aca="false">IF($K860="Better",$P860,0)</f>
        <v>0</v>
      </c>
      <c r="W860" s="64" t="n">
        <f aca="false">IF($K860="U – needs rule",$P860,0)</f>
        <v>0</v>
      </c>
      <c r="X860" s="64" t="n">
        <f aca="false">IF($K860="No Start (attainment only)",$P860,0)</f>
        <v>0</v>
      </c>
    </row>
    <row r="861" customFormat="false" ht="15" hidden="false" customHeight="false" outlineLevel="0" collapsed="false">
      <c r="A861" s="60"/>
      <c r="B861" s="61" t="str">
        <f aca="false">IF($M861=0,"",INDEX(Classes!$E$6:$E$420,$M861))</f>
        <v/>
      </c>
      <c r="C861" s="62" t="str">
        <f aca="false">IF($M861=0,"",INDEX(Classes!$H$6:$H$420,$M861))</f>
        <v/>
      </c>
      <c r="D861" s="61" t="str">
        <f aca="false">IF($M861=0,"",INDEX(Classes!$B$6:$B$420,$M861))</f>
        <v/>
      </c>
      <c r="E861" s="61" t="str">
        <f aca="false">IF($M861=0,"",INDEX(Classes!$C$6:$C$420,$M861))</f>
        <v/>
      </c>
      <c r="F861" s="63"/>
      <c r="G861" s="63"/>
      <c r="H861" s="60"/>
      <c r="I861" s="60"/>
      <c r="J861" s="63"/>
      <c r="K861" s="61" t="str">
        <f aca="false">IF($P861=0,"",IF($F861="Baseline","— Baseline",IF($O861=0,"No result",IF($N861=0,"No Start (attainment only)",IF(OR($N861=1,$O861=1),"U – needs rule",INDEX(MxBody,MATCH($I861,MxCurr,0),MATCH($H861,MxStart,0)))))))</f>
        <v/>
      </c>
      <c r="L861" s="62" t="str">
        <f aca="false">IF(COUNTA($A861,$F861,$G861,$H861,$I861,$J861)=0,"",IF($M861=0,"✖ كود الصف غير موجود",IF(ISNA(MATCH($F861,Lists!$A$2:$A$5,0)),"✖ الفترة غير صحيحة",IF(ISNA(MATCH($G861,Lists!$B$2:$B$7,0)),"✖ المجموعة غير صحيحة",IF(NOT(OR($H861="",$N861&gt;0)),"✖ Start غير صحيح",IF(NOT(OR($I861="",$I861="NR",$O861&gt;0)),"✖ Current غير صحيح",IF(NOT(IF(ISNUMBER($J861),AND($J861&gt;=0,$J861=INT($J861)),FALSE())),"✖ العدد يجب أن يكون صحيحًا ≥ 0",IF(AND($F861="Baseline",$H861&lt;&gt;""),"⚠ Baseline: Start لا يدخل في التقدم",IF($K861="No Start (attainment only)","ℹ تحصيل فقط (بدون Start)",IF($K861="U – needs rule","ℹ حالة U تحتاج قاعدة معتمدة",IF($K861="No result","ℹ بدون نتيجة (يُستبعد من التحصيل)","OK")))))))))))</f>
        <v/>
      </c>
      <c r="M861" s="64" t="n">
        <f aca="false">IF($A861="",0,IFERROR(MATCH($A861,Classes!$A$6:$A$420,0),0))</f>
        <v>0</v>
      </c>
      <c r="N861" s="64" t="n">
        <f aca="false">IF($H861="",0,IFERROR(MATCH($H861,GradeList,0),0))</f>
        <v>0</v>
      </c>
      <c r="O861" s="64" t="n">
        <f aca="false">IF(OR($I861="",$I861="NR"),0,IFERROR(MATCH($I861,GradeList,0),0))</f>
        <v>0</v>
      </c>
      <c r="P861" s="64" t="n">
        <f aca="false">IF(AND($M861&gt;0,ISNUMBER(MATCH($F861,Lists!$A$2:$A$5,0)),ISNUMBER(MATCH($G861,Lists!$B$2:$B$7,0)),OR($H861="",$N861&gt;0),OR($I861="",$I861="NR",$O861&gt;0),IF(ISNUMBER($J861),AND($J861&gt;=0,$J861=INT($J861)),FALSE())),$J861,0)</f>
        <v>0</v>
      </c>
      <c r="Q861" s="64" t="n">
        <f aca="false">IF(AND($P861&gt;0,$O861&gt;0),$P861,0)</f>
        <v>0</v>
      </c>
      <c r="R861" s="64" t="n">
        <f aca="false">IF(AND($Q861&gt;0,$O861&gt;=AtRank),$Q861,0)</f>
        <v>0</v>
      </c>
      <c r="S861" s="64" t="n">
        <f aca="false">IF(AND($Q861&gt;0,$O861&gt;=AboveRank),$Q861,0)</f>
        <v>0</v>
      </c>
      <c r="T861" s="64" t="n">
        <f aca="false">IF($K861="Less",$P861,0)</f>
        <v>0</v>
      </c>
      <c r="U861" s="64" t="n">
        <f aca="false">IF($K861="Expected",$P861,0)</f>
        <v>0</v>
      </c>
      <c r="V861" s="64" t="n">
        <f aca="false">IF($K861="Better",$P861,0)</f>
        <v>0</v>
      </c>
      <c r="W861" s="64" t="n">
        <f aca="false">IF($K861="U – needs rule",$P861,0)</f>
        <v>0</v>
      </c>
      <c r="X861" s="64" t="n">
        <f aca="false">IF($K861="No Start (attainment only)",$P861,0)</f>
        <v>0</v>
      </c>
    </row>
    <row r="862" customFormat="false" ht="15" hidden="false" customHeight="false" outlineLevel="0" collapsed="false">
      <c r="A862" s="60"/>
      <c r="B862" s="61" t="str">
        <f aca="false">IF($M862=0,"",INDEX(Classes!$E$6:$E$420,$M862))</f>
        <v/>
      </c>
      <c r="C862" s="62" t="str">
        <f aca="false">IF($M862=0,"",INDEX(Classes!$H$6:$H$420,$M862))</f>
        <v/>
      </c>
      <c r="D862" s="61" t="str">
        <f aca="false">IF($M862=0,"",INDEX(Classes!$B$6:$B$420,$M862))</f>
        <v/>
      </c>
      <c r="E862" s="61" t="str">
        <f aca="false">IF($M862=0,"",INDEX(Classes!$C$6:$C$420,$M862))</f>
        <v/>
      </c>
      <c r="F862" s="63"/>
      <c r="G862" s="63"/>
      <c r="H862" s="60"/>
      <c r="I862" s="60"/>
      <c r="J862" s="63"/>
      <c r="K862" s="61" t="str">
        <f aca="false">IF($P862=0,"",IF($F862="Baseline","— Baseline",IF($O862=0,"No result",IF($N862=0,"No Start (attainment only)",IF(OR($N862=1,$O862=1),"U – needs rule",INDEX(MxBody,MATCH($I862,MxCurr,0),MATCH($H862,MxStart,0)))))))</f>
        <v/>
      </c>
      <c r="L862" s="62" t="str">
        <f aca="false">IF(COUNTA($A862,$F862,$G862,$H862,$I862,$J862)=0,"",IF($M862=0,"✖ كود الصف غير موجود",IF(ISNA(MATCH($F862,Lists!$A$2:$A$5,0)),"✖ الفترة غير صحيحة",IF(ISNA(MATCH($G862,Lists!$B$2:$B$7,0)),"✖ المجموعة غير صحيحة",IF(NOT(OR($H862="",$N862&gt;0)),"✖ Start غير صحيح",IF(NOT(OR($I862="",$I862="NR",$O862&gt;0)),"✖ Current غير صحيح",IF(NOT(IF(ISNUMBER($J862),AND($J862&gt;=0,$J862=INT($J862)),FALSE())),"✖ العدد يجب أن يكون صحيحًا ≥ 0",IF(AND($F862="Baseline",$H862&lt;&gt;""),"⚠ Baseline: Start لا يدخل في التقدم",IF($K862="No Start (attainment only)","ℹ تحصيل فقط (بدون Start)",IF($K862="U – needs rule","ℹ حالة U تحتاج قاعدة معتمدة",IF($K862="No result","ℹ بدون نتيجة (يُستبعد من التحصيل)","OK")))))))))))</f>
        <v/>
      </c>
      <c r="M862" s="64" t="n">
        <f aca="false">IF($A862="",0,IFERROR(MATCH($A862,Classes!$A$6:$A$420,0),0))</f>
        <v>0</v>
      </c>
      <c r="N862" s="64" t="n">
        <f aca="false">IF($H862="",0,IFERROR(MATCH($H862,GradeList,0),0))</f>
        <v>0</v>
      </c>
      <c r="O862" s="64" t="n">
        <f aca="false">IF(OR($I862="",$I862="NR"),0,IFERROR(MATCH($I862,GradeList,0),0))</f>
        <v>0</v>
      </c>
      <c r="P862" s="64" t="n">
        <f aca="false">IF(AND($M862&gt;0,ISNUMBER(MATCH($F862,Lists!$A$2:$A$5,0)),ISNUMBER(MATCH($G862,Lists!$B$2:$B$7,0)),OR($H862="",$N862&gt;0),OR($I862="",$I862="NR",$O862&gt;0),IF(ISNUMBER($J862),AND($J862&gt;=0,$J862=INT($J862)),FALSE())),$J862,0)</f>
        <v>0</v>
      </c>
      <c r="Q862" s="64" t="n">
        <f aca="false">IF(AND($P862&gt;0,$O862&gt;0),$P862,0)</f>
        <v>0</v>
      </c>
      <c r="R862" s="64" t="n">
        <f aca="false">IF(AND($Q862&gt;0,$O862&gt;=AtRank),$Q862,0)</f>
        <v>0</v>
      </c>
      <c r="S862" s="64" t="n">
        <f aca="false">IF(AND($Q862&gt;0,$O862&gt;=AboveRank),$Q862,0)</f>
        <v>0</v>
      </c>
      <c r="T862" s="64" t="n">
        <f aca="false">IF($K862="Less",$P862,0)</f>
        <v>0</v>
      </c>
      <c r="U862" s="64" t="n">
        <f aca="false">IF($K862="Expected",$P862,0)</f>
        <v>0</v>
      </c>
      <c r="V862" s="64" t="n">
        <f aca="false">IF($K862="Better",$P862,0)</f>
        <v>0</v>
      </c>
      <c r="W862" s="64" t="n">
        <f aca="false">IF($K862="U – needs rule",$P862,0)</f>
        <v>0</v>
      </c>
      <c r="X862" s="64" t="n">
        <f aca="false">IF($K862="No Start (attainment only)",$P862,0)</f>
        <v>0</v>
      </c>
    </row>
    <row r="863" customFormat="false" ht="15" hidden="false" customHeight="false" outlineLevel="0" collapsed="false">
      <c r="A863" s="60"/>
      <c r="B863" s="61" t="str">
        <f aca="false">IF($M863=0,"",INDEX(Classes!$E$6:$E$420,$M863))</f>
        <v/>
      </c>
      <c r="C863" s="62" t="str">
        <f aca="false">IF($M863=0,"",INDEX(Classes!$H$6:$H$420,$M863))</f>
        <v/>
      </c>
      <c r="D863" s="61" t="str">
        <f aca="false">IF($M863=0,"",INDEX(Classes!$B$6:$B$420,$M863))</f>
        <v/>
      </c>
      <c r="E863" s="61" t="str">
        <f aca="false">IF($M863=0,"",INDEX(Classes!$C$6:$C$420,$M863))</f>
        <v/>
      </c>
      <c r="F863" s="63"/>
      <c r="G863" s="63"/>
      <c r="H863" s="60"/>
      <c r="I863" s="60"/>
      <c r="J863" s="63"/>
      <c r="K863" s="61" t="str">
        <f aca="false">IF($P863=0,"",IF($F863="Baseline","— Baseline",IF($O863=0,"No result",IF($N863=0,"No Start (attainment only)",IF(OR($N863=1,$O863=1),"U – needs rule",INDEX(MxBody,MATCH($I863,MxCurr,0),MATCH($H863,MxStart,0)))))))</f>
        <v/>
      </c>
      <c r="L863" s="62" t="str">
        <f aca="false">IF(COUNTA($A863,$F863,$G863,$H863,$I863,$J863)=0,"",IF($M863=0,"✖ كود الصف غير موجود",IF(ISNA(MATCH($F863,Lists!$A$2:$A$5,0)),"✖ الفترة غير صحيحة",IF(ISNA(MATCH($G863,Lists!$B$2:$B$7,0)),"✖ المجموعة غير صحيحة",IF(NOT(OR($H863="",$N863&gt;0)),"✖ Start غير صحيح",IF(NOT(OR($I863="",$I863="NR",$O863&gt;0)),"✖ Current غير صحيح",IF(NOT(IF(ISNUMBER($J863),AND($J863&gt;=0,$J863=INT($J863)),FALSE())),"✖ العدد يجب أن يكون صحيحًا ≥ 0",IF(AND($F863="Baseline",$H863&lt;&gt;""),"⚠ Baseline: Start لا يدخل في التقدم",IF($K863="No Start (attainment only)","ℹ تحصيل فقط (بدون Start)",IF($K863="U – needs rule","ℹ حالة U تحتاج قاعدة معتمدة",IF($K863="No result","ℹ بدون نتيجة (يُستبعد من التحصيل)","OK")))))))))))</f>
        <v/>
      </c>
      <c r="M863" s="64" t="n">
        <f aca="false">IF($A863="",0,IFERROR(MATCH($A863,Classes!$A$6:$A$420,0),0))</f>
        <v>0</v>
      </c>
      <c r="N863" s="64" t="n">
        <f aca="false">IF($H863="",0,IFERROR(MATCH($H863,GradeList,0),0))</f>
        <v>0</v>
      </c>
      <c r="O863" s="64" t="n">
        <f aca="false">IF(OR($I863="",$I863="NR"),0,IFERROR(MATCH($I863,GradeList,0),0))</f>
        <v>0</v>
      </c>
      <c r="P863" s="64" t="n">
        <f aca="false">IF(AND($M863&gt;0,ISNUMBER(MATCH($F863,Lists!$A$2:$A$5,0)),ISNUMBER(MATCH($G863,Lists!$B$2:$B$7,0)),OR($H863="",$N863&gt;0),OR($I863="",$I863="NR",$O863&gt;0),IF(ISNUMBER($J863),AND($J863&gt;=0,$J863=INT($J863)),FALSE())),$J863,0)</f>
        <v>0</v>
      </c>
      <c r="Q863" s="64" t="n">
        <f aca="false">IF(AND($P863&gt;0,$O863&gt;0),$P863,0)</f>
        <v>0</v>
      </c>
      <c r="R863" s="64" t="n">
        <f aca="false">IF(AND($Q863&gt;0,$O863&gt;=AtRank),$Q863,0)</f>
        <v>0</v>
      </c>
      <c r="S863" s="64" t="n">
        <f aca="false">IF(AND($Q863&gt;0,$O863&gt;=AboveRank),$Q863,0)</f>
        <v>0</v>
      </c>
      <c r="T863" s="64" t="n">
        <f aca="false">IF($K863="Less",$P863,0)</f>
        <v>0</v>
      </c>
      <c r="U863" s="64" t="n">
        <f aca="false">IF($K863="Expected",$P863,0)</f>
        <v>0</v>
      </c>
      <c r="V863" s="64" t="n">
        <f aca="false">IF($K863="Better",$P863,0)</f>
        <v>0</v>
      </c>
      <c r="W863" s="64" t="n">
        <f aca="false">IF($K863="U – needs rule",$P863,0)</f>
        <v>0</v>
      </c>
      <c r="X863" s="64" t="n">
        <f aca="false">IF($K863="No Start (attainment only)",$P863,0)</f>
        <v>0</v>
      </c>
    </row>
    <row r="864" customFormat="false" ht="15" hidden="false" customHeight="false" outlineLevel="0" collapsed="false">
      <c r="A864" s="60"/>
      <c r="B864" s="61" t="str">
        <f aca="false">IF($M864=0,"",INDEX(Classes!$E$6:$E$420,$M864))</f>
        <v/>
      </c>
      <c r="C864" s="62" t="str">
        <f aca="false">IF($M864=0,"",INDEX(Classes!$H$6:$H$420,$M864))</f>
        <v/>
      </c>
      <c r="D864" s="61" t="str">
        <f aca="false">IF($M864=0,"",INDEX(Classes!$B$6:$B$420,$M864))</f>
        <v/>
      </c>
      <c r="E864" s="61" t="str">
        <f aca="false">IF($M864=0,"",INDEX(Classes!$C$6:$C$420,$M864))</f>
        <v/>
      </c>
      <c r="F864" s="63"/>
      <c r="G864" s="63"/>
      <c r="H864" s="60"/>
      <c r="I864" s="60"/>
      <c r="J864" s="63"/>
      <c r="K864" s="61" t="str">
        <f aca="false">IF($P864=0,"",IF($F864="Baseline","— Baseline",IF($O864=0,"No result",IF($N864=0,"No Start (attainment only)",IF(OR($N864=1,$O864=1),"U – needs rule",INDEX(MxBody,MATCH($I864,MxCurr,0),MATCH($H864,MxStart,0)))))))</f>
        <v/>
      </c>
      <c r="L864" s="62" t="str">
        <f aca="false">IF(COUNTA($A864,$F864,$G864,$H864,$I864,$J864)=0,"",IF($M864=0,"✖ كود الصف غير موجود",IF(ISNA(MATCH($F864,Lists!$A$2:$A$5,0)),"✖ الفترة غير صحيحة",IF(ISNA(MATCH($G864,Lists!$B$2:$B$7,0)),"✖ المجموعة غير صحيحة",IF(NOT(OR($H864="",$N864&gt;0)),"✖ Start غير صحيح",IF(NOT(OR($I864="",$I864="NR",$O864&gt;0)),"✖ Current غير صحيح",IF(NOT(IF(ISNUMBER($J864),AND($J864&gt;=0,$J864=INT($J864)),FALSE())),"✖ العدد يجب أن يكون صحيحًا ≥ 0",IF(AND($F864="Baseline",$H864&lt;&gt;""),"⚠ Baseline: Start لا يدخل في التقدم",IF($K864="No Start (attainment only)","ℹ تحصيل فقط (بدون Start)",IF($K864="U – needs rule","ℹ حالة U تحتاج قاعدة معتمدة",IF($K864="No result","ℹ بدون نتيجة (يُستبعد من التحصيل)","OK")))))))))))</f>
        <v/>
      </c>
      <c r="M864" s="64" t="n">
        <f aca="false">IF($A864="",0,IFERROR(MATCH($A864,Classes!$A$6:$A$420,0),0))</f>
        <v>0</v>
      </c>
      <c r="N864" s="64" t="n">
        <f aca="false">IF($H864="",0,IFERROR(MATCH($H864,GradeList,0),0))</f>
        <v>0</v>
      </c>
      <c r="O864" s="64" t="n">
        <f aca="false">IF(OR($I864="",$I864="NR"),0,IFERROR(MATCH($I864,GradeList,0),0))</f>
        <v>0</v>
      </c>
      <c r="P864" s="64" t="n">
        <f aca="false">IF(AND($M864&gt;0,ISNUMBER(MATCH($F864,Lists!$A$2:$A$5,0)),ISNUMBER(MATCH($G864,Lists!$B$2:$B$7,0)),OR($H864="",$N864&gt;0),OR($I864="",$I864="NR",$O864&gt;0),IF(ISNUMBER($J864),AND($J864&gt;=0,$J864=INT($J864)),FALSE())),$J864,0)</f>
        <v>0</v>
      </c>
      <c r="Q864" s="64" t="n">
        <f aca="false">IF(AND($P864&gt;0,$O864&gt;0),$P864,0)</f>
        <v>0</v>
      </c>
      <c r="R864" s="64" t="n">
        <f aca="false">IF(AND($Q864&gt;0,$O864&gt;=AtRank),$Q864,0)</f>
        <v>0</v>
      </c>
      <c r="S864" s="64" t="n">
        <f aca="false">IF(AND($Q864&gt;0,$O864&gt;=AboveRank),$Q864,0)</f>
        <v>0</v>
      </c>
      <c r="T864" s="64" t="n">
        <f aca="false">IF($K864="Less",$P864,0)</f>
        <v>0</v>
      </c>
      <c r="U864" s="64" t="n">
        <f aca="false">IF($K864="Expected",$P864,0)</f>
        <v>0</v>
      </c>
      <c r="V864" s="64" t="n">
        <f aca="false">IF($K864="Better",$P864,0)</f>
        <v>0</v>
      </c>
      <c r="W864" s="64" t="n">
        <f aca="false">IF($K864="U – needs rule",$P864,0)</f>
        <v>0</v>
      </c>
      <c r="X864" s="64" t="n">
        <f aca="false">IF($K864="No Start (attainment only)",$P864,0)</f>
        <v>0</v>
      </c>
    </row>
    <row r="865" customFormat="false" ht="15" hidden="false" customHeight="false" outlineLevel="0" collapsed="false">
      <c r="A865" s="60"/>
      <c r="B865" s="61" t="str">
        <f aca="false">IF($M865=0,"",INDEX(Classes!$E$6:$E$420,$M865))</f>
        <v/>
      </c>
      <c r="C865" s="62" t="str">
        <f aca="false">IF($M865=0,"",INDEX(Classes!$H$6:$H$420,$M865))</f>
        <v/>
      </c>
      <c r="D865" s="61" t="str">
        <f aca="false">IF($M865=0,"",INDEX(Classes!$B$6:$B$420,$M865))</f>
        <v/>
      </c>
      <c r="E865" s="61" t="str">
        <f aca="false">IF($M865=0,"",INDEX(Classes!$C$6:$C$420,$M865))</f>
        <v/>
      </c>
      <c r="F865" s="63"/>
      <c r="G865" s="63"/>
      <c r="H865" s="60"/>
      <c r="I865" s="60"/>
      <c r="J865" s="63"/>
      <c r="K865" s="61" t="str">
        <f aca="false">IF($P865=0,"",IF($F865="Baseline","— Baseline",IF($O865=0,"No result",IF($N865=0,"No Start (attainment only)",IF(OR($N865=1,$O865=1),"U – needs rule",INDEX(MxBody,MATCH($I865,MxCurr,0),MATCH($H865,MxStart,0)))))))</f>
        <v/>
      </c>
      <c r="L865" s="62" t="str">
        <f aca="false">IF(COUNTA($A865,$F865,$G865,$H865,$I865,$J865)=0,"",IF($M865=0,"✖ كود الصف غير موجود",IF(ISNA(MATCH($F865,Lists!$A$2:$A$5,0)),"✖ الفترة غير صحيحة",IF(ISNA(MATCH($G865,Lists!$B$2:$B$7,0)),"✖ المجموعة غير صحيحة",IF(NOT(OR($H865="",$N865&gt;0)),"✖ Start غير صحيح",IF(NOT(OR($I865="",$I865="NR",$O865&gt;0)),"✖ Current غير صحيح",IF(NOT(IF(ISNUMBER($J865),AND($J865&gt;=0,$J865=INT($J865)),FALSE())),"✖ العدد يجب أن يكون صحيحًا ≥ 0",IF(AND($F865="Baseline",$H865&lt;&gt;""),"⚠ Baseline: Start لا يدخل في التقدم",IF($K865="No Start (attainment only)","ℹ تحصيل فقط (بدون Start)",IF($K865="U – needs rule","ℹ حالة U تحتاج قاعدة معتمدة",IF($K865="No result","ℹ بدون نتيجة (يُستبعد من التحصيل)","OK")))))))))))</f>
        <v/>
      </c>
      <c r="M865" s="64" t="n">
        <f aca="false">IF($A865="",0,IFERROR(MATCH($A865,Classes!$A$6:$A$420,0),0))</f>
        <v>0</v>
      </c>
      <c r="N865" s="64" t="n">
        <f aca="false">IF($H865="",0,IFERROR(MATCH($H865,GradeList,0),0))</f>
        <v>0</v>
      </c>
      <c r="O865" s="64" t="n">
        <f aca="false">IF(OR($I865="",$I865="NR"),0,IFERROR(MATCH($I865,GradeList,0),0))</f>
        <v>0</v>
      </c>
      <c r="P865" s="64" t="n">
        <f aca="false">IF(AND($M865&gt;0,ISNUMBER(MATCH($F865,Lists!$A$2:$A$5,0)),ISNUMBER(MATCH($G865,Lists!$B$2:$B$7,0)),OR($H865="",$N865&gt;0),OR($I865="",$I865="NR",$O865&gt;0),IF(ISNUMBER($J865),AND($J865&gt;=0,$J865=INT($J865)),FALSE())),$J865,0)</f>
        <v>0</v>
      </c>
      <c r="Q865" s="64" t="n">
        <f aca="false">IF(AND($P865&gt;0,$O865&gt;0),$P865,0)</f>
        <v>0</v>
      </c>
      <c r="R865" s="64" t="n">
        <f aca="false">IF(AND($Q865&gt;0,$O865&gt;=AtRank),$Q865,0)</f>
        <v>0</v>
      </c>
      <c r="S865" s="64" t="n">
        <f aca="false">IF(AND($Q865&gt;0,$O865&gt;=AboveRank),$Q865,0)</f>
        <v>0</v>
      </c>
      <c r="T865" s="64" t="n">
        <f aca="false">IF($K865="Less",$P865,0)</f>
        <v>0</v>
      </c>
      <c r="U865" s="64" t="n">
        <f aca="false">IF($K865="Expected",$P865,0)</f>
        <v>0</v>
      </c>
      <c r="V865" s="64" t="n">
        <f aca="false">IF($K865="Better",$P865,0)</f>
        <v>0</v>
      </c>
      <c r="W865" s="64" t="n">
        <f aca="false">IF($K865="U – needs rule",$P865,0)</f>
        <v>0</v>
      </c>
      <c r="X865" s="64" t="n">
        <f aca="false">IF($K865="No Start (attainment only)",$P865,0)</f>
        <v>0</v>
      </c>
    </row>
    <row r="866" customFormat="false" ht="15" hidden="false" customHeight="false" outlineLevel="0" collapsed="false">
      <c r="A866" s="60"/>
      <c r="B866" s="61" t="str">
        <f aca="false">IF($M866=0,"",INDEX(Classes!$E$6:$E$420,$M866))</f>
        <v/>
      </c>
      <c r="C866" s="62" t="str">
        <f aca="false">IF($M866=0,"",INDEX(Classes!$H$6:$H$420,$M866))</f>
        <v/>
      </c>
      <c r="D866" s="61" t="str">
        <f aca="false">IF($M866=0,"",INDEX(Classes!$B$6:$B$420,$M866))</f>
        <v/>
      </c>
      <c r="E866" s="61" t="str">
        <f aca="false">IF($M866=0,"",INDEX(Classes!$C$6:$C$420,$M866))</f>
        <v/>
      </c>
      <c r="F866" s="63"/>
      <c r="G866" s="63"/>
      <c r="H866" s="60"/>
      <c r="I866" s="60"/>
      <c r="J866" s="63"/>
      <c r="K866" s="61" t="str">
        <f aca="false">IF($P866=0,"",IF($F866="Baseline","— Baseline",IF($O866=0,"No result",IF($N866=0,"No Start (attainment only)",IF(OR($N866=1,$O866=1),"U – needs rule",INDEX(MxBody,MATCH($I866,MxCurr,0),MATCH($H866,MxStart,0)))))))</f>
        <v/>
      </c>
      <c r="L866" s="62" t="str">
        <f aca="false">IF(COUNTA($A866,$F866,$G866,$H866,$I866,$J866)=0,"",IF($M866=0,"✖ كود الصف غير موجود",IF(ISNA(MATCH($F866,Lists!$A$2:$A$5,0)),"✖ الفترة غير صحيحة",IF(ISNA(MATCH($G866,Lists!$B$2:$B$7,0)),"✖ المجموعة غير صحيحة",IF(NOT(OR($H866="",$N866&gt;0)),"✖ Start غير صحيح",IF(NOT(OR($I866="",$I866="NR",$O866&gt;0)),"✖ Current غير صحيح",IF(NOT(IF(ISNUMBER($J866),AND($J866&gt;=0,$J866=INT($J866)),FALSE())),"✖ العدد يجب أن يكون صحيحًا ≥ 0",IF(AND($F866="Baseline",$H866&lt;&gt;""),"⚠ Baseline: Start لا يدخل في التقدم",IF($K866="No Start (attainment only)","ℹ تحصيل فقط (بدون Start)",IF($K866="U – needs rule","ℹ حالة U تحتاج قاعدة معتمدة",IF($K866="No result","ℹ بدون نتيجة (يُستبعد من التحصيل)","OK")))))))))))</f>
        <v/>
      </c>
      <c r="M866" s="64" t="n">
        <f aca="false">IF($A866="",0,IFERROR(MATCH($A866,Classes!$A$6:$A$420,0),0))</f>
        <v>0</v>
      </c>
      <c r="N866" s="64" t="n">
        <f aca="false">IF($H866="",0,IFERROR(MATCH($H866,GradeList,0),0))</f>
        <v>0</v>
      </c>
      <c r="O866" s="64" t="n">
        <f aca="false">IF(OR($I866="",$I866="NR"),0,IFERROR(MATCH($I866,GradeList,0),0))</f>
        <v>0</v>
      </c>
      <c r="P866" s="64" t="n">
        <f aca="false">IF(AND($M866&gt;0,ISNUMBER(MATCH($F866,Lists!$A$2:$A$5,0)),ISNUMBER(MATCH($G866,Lists!$B$2:$B$7,0)),OR($H866="",$N866&gt;0),OR($I866="",$I866="NR",$O866&gt;0),IF(ISNUMBER($J866),AND($J866&gt;=0,$J866=INT($J866)),FALSE())),$J866,0)</f>
        <v>0</v>
      </c>
      <c r="Q866" s="64" t="n">
        <f aca="false">IF(AND($P866&gt;0,$O866&gt;0),$P866,0)</f>
        <v>0</v>
      </c>
      <c r="R866" s="64" t="n">
        <f aca="false">IF(AND($Q866&gt;0,$O866&gt;=AtRank),$Q866,0)</f>
        <v>0</v>
      </c>
      <c r="S866" s="64" t="n">
        <f aca="false">IF(AND($Q866&gt;0,$O866&gt;=AboveRank),$Q866,0)</f>
        <v>0</v>
      </c>
      <c r="T866" s="64" t="n">
        <f aca="false">IF($K866="Less",$P866,0)</f>
        <v>0</v>
      </c>
      <c r="U866" s="64" t="n">
        <f aca="false">IF($K866="Expected",$P866,0)</f>
        <v>0</v>
      </c>
      <c r="V866" s="64" t="n">
        <f aca="false">IF($K866="Better",$P866,0)</f>
        <v>0</v>
      </c>
      <c r="W866" s="64" t="n">
        <f aca="false">IF($K866="U – needs rule",$P866,0)</f>
        <v>0</v>
      </c>
      <c r="X866" s="64" t="n">
        <f aca="false">IF($K866="No Start (attainment only)",$P866,0)</f>
        <v>0</v>
      </c>
    </row>
    <row r="867" customFormat="false" ht="15" hidden="false" customHeight="false" outlineLevel="0" collapsed="false">
      <c r="A867" s="60"/>
      <c r="B867" s="61" t="str">
        <f aca="false">IF($M867=0,"",INDEX(Classes!$E$6:$E$420,$M867))</f>
        <v/>
      </c>
      <c r="C867" s="62" t="str">
        <f aca="false">IF($M867=0,"",INDEX(Classes!$H$6:$H$420,$M867))</f>
        <v/>
      </c>
      <c r="D867" s="61" t="str">
        <f aca="false">IF($M867=0,"",INDEX(Classes!$B$6:$B$420,$M867))</f>
        <v/>
      </c>
      <c r="E867" s="61" t="str">
        <f aca="false">IF($M867=0,"",INDEX(Classes!$C$6:$C$420,$M867))</f>
        <v/>
      </c>
      <c r="F867" s="63"/>
      <c r="G867" s="63"/>
      <c r="H867" s="60"/>
      <c r="I867" s="60"/>
      <c r="J867" s="63"/>
      <c r="K867" s="61" t="str">
        <f aca="false">IF($P867=0,"",IF($F867="Baseline","— Baseline",IF($O867=0,"No result",IF($N867=0,"No Start (attainment only)",IF(OR($N867=1,$O867=1),"U – needs rule",INDEX(MxBody,MATCH($I867,MxCurr,0),MATCH($H867,MxStart,0)))))))</f>
        <v/>
      </c>
      <c r="L867" s="62" t="str">
        <f aca="false">IF(COUNTA($A867,$F867,$G867,$H867,$I867,$J867)=0,"",IF($M867=0,"✖ كود الصف غير موجود",IF(ISNA(MATCH($F867,Lists!$A$2:$A$5,0)),"✖ الفترة غير صحيحة",IF(ISNA(MATCH($G867,Lists!$B$2:$B$7,0)),"✖ المجموعة غير صحيحة",IF(NOT(OR($H867="",$N867&gt;0)),"✖ Start غير صحيح",IF(NOT(OR($I867="",$I867="NR",$O867&gt;0)),"✖ Current غير صحيح",IF(NOT(IF(ISNUMBER($J867),AND($J867&gt;=0,$J867=INT($J867)),FALSE())),"✖ العدد يجب أن يكون صحيحًا ≥ 0",IF(AND($F867="Baseline",$H867&lt;&gt;""),"⚠ Baseline: Start لا يدخل في التقدم",IF($K867="No Start (attainment only)","ℹ تحصيل فقط (بدون Start)",IF($K867="U – needs rule","ℹ حالة U تحتاج قاعدة معتمدة",IF($K867="No result","ℹ بدون نتيجة (يُستبعد من التحصيل)","OK")))))))))))</f>
        <v/>
      </c>
      <c r="M867" s="64" t="n">
        <f aca="false">IF($A867="",0,IFERROR(MATCH($A867,Classes!$A$6:$A$420,0),0))</f>
        <v>0</v>
      </c>
      <c r="N867" s="64" t="n">
        <f aca="false">IF($H867="",0,IFERROR(MATCH($H867,GradeList,0),0))</f>
        <v>0</v>
      </c>
      <c r="O867" s="64" t="n">
        <f aca="false">IF(OR($I867="",$I867="NR"),0,IFERROR(MATCH($I867,GradeList,0),0))</f>
        <v>0</v>
      </c>
      <c r="P867" s="64" t="n">
        <f aca="false">IF(AND($M867&gt;0,ISNUMBER(MATCH($F867,Lists!$A$2:$A$5,0)),ISNUMBER(MATCH($G867,Lists!$B$2:$B$7,0)),OR($H867="",$N867&gt;0),OR($I867="",$I867="NR",$O867&gt;0),IF(ISNUMBER($J867),AND($J867&gt;=0,$J867=INT($J867)),FALSE())),$J867,0)</f>
        <v>0</v>
      </c>
      <c r="Q867" s="64" t="n">
        <f aca="false">IF(AND($P867&gt;0,$O867&gt;0),$P867,0)</f>
        <v>0</v>
      </c>
      <c r="R867" s="64" t="n">
        <f aca="false">IF(AND($Q867&gt;0,$O867&gt;=AtRank),$Q867,0)</f>
        <v>0</v>
      </c>
      <c r="S867" s="64" t="n">
        <f aca="false">IF(AND($Q867&gt;0,$O867&gt;=AboveRank),$Q867,0)</f>
        <v>0</v>
      </c>
      <c r="T867" s="64" t="n">
        <f aca="false">IF($K867="Less",$P867,0)</f>
        <v>0</v>
      </c>
      <c r="U867" s="64" t="n">
        <f aca="false">IF($K867="Expected",$P867,0)</f>
        <v>0</v>
      </c>
      <c r="V867" s="64" t="n">
        <f aca="false">IF($K867="Better",$P867,0)</f>
        <v>0</v>
      </c>
      <c r="W867" s="64" t="n">
        <f aca="false">IF($K867="U – needs rule",$P867,0)</f>
        <v>0</v>
      </c>
      <c r="X867" s="64" t="n">
        <f aca="false">IF($K867="No Start (attainment only)",$P867,0)</f>
        <v>0</v>
      </c>
    </row>
    <row r="868" customFormat="false" ht="15" hidden="false" customHeight="false" outlineLevel="0" collapsed="false">
      <c r="A868" s="60"/>
      <c r="B868" s="61" t="str">
        <f aca="false">IF($M868=0,"",INDEX(Classes!$E$6:$E$420,$M868))</f>
        <v/>
      </c>
      <c r="C868" s="62" t="str">
        <f aca="false">IF($M868=0,"",INDEX(Classes!$H$6:$H$420,$M868))</f>
        <v/>
      </c>
      <c r="D868" s="61" t="str">
        <f aca="false">IF($M868=0,"",INDEX(Classes!$B$6:$B$420,$M868))</f>
        <v/>
      </c>
      <c r="E868" s="61" t="str">
        <f aca="false">IF($M868=0,"",INDEX(Classes!$C$6:$C$420,$M868))</f>
        <v/>
      </c>
      <c r="F868" s="63"/>
      <c r="G868" s="63"/>
      <c r="H868" s="60"/>
      <c r="I868" s="60"/>
      <c r="J868" s="63"/>
      <c r="K868" s="61" t="str">
        <f aca="false">IF($P868=0,"",IF($F868="Baseline","— Baseline",IF($O868=0,"No result",IF($N868=0,"No Start (attainment only)",IF(OR($N868=1,$O868=1),"U – needs rule",INDEX(MxBody,MATCH($I868,MxCurr,0),MATCH($H868,MxStart,0)))))))</f>
        <v/>
      </c>
      <c r="L868" s="62" t="str">
        <f aca="false">IF(COUNTA($A868,$F868,$G868,$H868,$I868,$J868)=0,"",IF($M868=0,"✖ كود الصف غير موجود",IF(ISNA(MATCH($F868,Lists!$A$2:$A$5,0)),"✖ الفترة غير صحيحة",IF(ISNA(MATCH($G868,Lists!$B$2:$B$7,0)),"✖ المجموعة غير صحيحة",IF(NOT(OR($H868="",$N868&gt;0)),"✖ Start غير صحيح",IF(NOT(OR($I868="",$I868="NR",$O868&gt;0)),"✖ Current غير صحيح",IF(NOT(IF(ISNUMBER($J868),AND($J868&gt;=0,$J868=INT($J868)),FALSE())),"✖ العدد يجب أن يكون صحيحًا ≥ 0",IF(AND($F868="Baseline",$H868&lt;&gt;""),"⚠ Baseline: Start لا يدخل في التقدم",IF($K868="No Start (attainment only)","ℹ تحصيل فقط (بدون Start)",IF($K868="U – needs rule","ℹ حالة U تحتاج قاعدة معتمدة",IF($K868="No result","ℹ بدون نتيجة (يُستبعد من التحصيل)","OK")))))))))))</f>
        <v/>
      </c>
      <c r="M868" s="64" t="n">
        <f aca="false">IF($A868="",0,IFERROR(MATCH($A868,Classes!$A$6:$A$420,0),0))</f>
        <v>0</v>
      </c>
      <c r="N868" s="64" t="n">
        <f aca="false">IF($H868="",0,IFERROR(MATCH($H868,GradeList,0),0))</f>
        <v>0</v>
      </c>
      <c r="O868" s="64" t="n">
        <f aca="false">IF(OR($I868="",$I868="NR"),0,IFERROR(MATCH($I868,GradeList,0),0))</f>
        <v>0</v>
      </c>
      <c r="P868" s="64" t="n">
        <f aca="false">IF(AND($M868&gt;0,ISNUMBER(MATCH($F868,Lists!$A$2:$A$5,0)),ISNUMBER(MATCH($G868,Lists!$B$2:$B$7,0)),OR($H868="",$N868&gt;0),OR($I868="",$I868="NR",$O868&gt;0),IF(ISNUMBER($J868),AND($J868&gt;=0,$J868=INT($J868)),FALSE())),$J868,0)</f>
        <v>0</v>
      </c>
      <c r="Q868" s="64" t="n">
        <f aca="false">IF(AND($P868&gt;0,$O868&gt;0),$P868,0)</f>
        <v>0</v>
      </c>
      <c r="R868" s="64" t="n">
        <f aca="false">IF(AND($Q868&gt;0,$O868&gt;=AtRank),$Q868,0)</f>
        <v>0</v>
      </c>
      <c r="S868" s="64" t="n">
        <f aca="false">IF(AND($Q868&gt;0,$O868&gt;=AboveRank),$Q868,0)</f>
        <v>0</v>
      </c>
      <c r="T868" s="64" t="n">
        <f aca="false">IF($K868="Less",$P868,0)</f>
        <v>0</v>
      </c>
      <c r="U868" s="64" t="n">
        <f aca="false">IF($K868="Expected",$P868,0)</f>
        <v>0</v>
      </c>
      <c r="V868" s="64" t="n">
        <f aca="false">IF($K868="Better",$P868,0)</f>
        <v>0</v>
      </c>
      <c r="W868" s="64" t="n">
        <f aca="false">IF($K868="U – needs rule",$P868,0)</f>
        <v>0</v>
      </c>
      <c r="X868" s="64" t="n">
        <f aca="false">IF($K868="No Start (attainment only)",$P868,0)</f>
        <v>0</v>
      </c>
    </row>
    <row r="869" customFormat="false" ht="15" hidden="false" customHeight="false" outlineLevel="0" collapsed="false">
      <c r="A869" s="60"/>
      <c r="B869" s="61" t="str">
        <f aca="false">IF($M869=0,"",INDEX(Classes!$E$6:$E$420,$M869))</f>
        <v/>
      </c>
      <c r="C869" s="62" t="str">
        <f aca="false">IF($M869=0,"",INDEX(Classes!$H$6:$H$420,$M869))</f>
        <v/>
      </c>
      <c r="D869" s="61" t="str">
        <f aca="false">IF($M869=0,"",INDEX(Classes!$B$6:$B$420,$M869))</f>
        <v/>
      </c>
      <c r="E869" s="61" t="str">
        <f aca="false">IF($M869=0,"",INDEX(Classes!$C$6:$C$420,$M869))</f>
        <v/>
      </c>
      <c r="F869" s="63"/>
      <c r="G869" s="63"/>
      <c r="H869" s="60"/>
      <c r="I869" s="60"/>
      <c r="J869" s="63"/>
      <c r="K869" s="61" t="str">
        <f aca="false">IF($P869=0,"",IF($F869="Baseline","— Baseline",IF($O869=0,"No result",IF($N869=0,"No Start (attainment only)",IF(OR($N869=1,$O869=1),"U – needs rule",INDEX(MxBody,MATCH($I869,MxCurr,0),MATCH($H869,MxStart,0)))))))</f>
        <v/>
      </c>
      <c r="L869" s="62" t="str">
        <f aca="false">IF(COUNTA($A869,$F869,$G869,$H869,$I869,$J869)=0,"",IF($M869=0,"✖ كود الصف غير موجود",IF(ISNA(MATCH($F869,Lists!$A$2:$A$5,0)),"✖ الفترة غير صحيحة",IF(ISNA(MATCH($G869,Lists!$B$2:$B$7,0)),"✖ المجموعة غير صحيحة",IF(NOT(OR($H869="",$N869&gt;0)),"✖ Start غير صحيح",IF(NOT(OR($I869="",$I869="NR",$O869&gt;0)),"✖ Current غير صحيح",IF(NOT(IF(ISNUMBER($J869),AND($J869&gt;=0,$J869=INT($J869)),FALSE())),"✖ العدد يجب أن يكون صحيحًا ≥ 0",IF(AND($F869="Baseline",$H869&lt;&gt;""),"⚠ Baseline: Start لا يدخل في التقدم",IF($K869="No Start (attainment only)","ℹ تحصيل فقط (بدون Start)",IF($K869="U – needs rule","ℹ حالة U تحتاج قاعدة معتمدة",IF($K869="No result","ℹ بدون نتيجة (يُستبعد من التحصيل)","OK")))))))))))</f>
        <v/>
      </c>
      <c r="M869" s="64" t="n">
        <f aca="false">IF($A869="",0,IFERROR(MATCH($A869,Classes!$A$6:$A$420,0),0))</f>
        <v>0</v>
      </c>
      <c r="N869" s="64" t="n">
        <f aca="false">IF($H869="",0,IFERROR(MATCH($H869,GradeList,0),0))</f>
        <v>0</v>
      </c>
      <c r="O869" s="64" t="n">
        <f aca="false">IF(OR($I869="",$I869="NR"),0,IFERROR(MATCH($I869,GradeList,0),0))</f>
        <v>0</v>
      </c>
      <c r="P869" s="64" t="n">
        <f aca="false">IF(AND($M869&gt;0,ISNUMBER(MATCH($F869,Lists!$A$2:$A$5,0)),ISNUMBER(MATCH($G869,Lists!$B$2:$B$7,0)),OR($H869="",$N869&gt;0),OR($I869="",$I869="NR",$O869&gt;0),IF(ISNUMBER($J869),AND($J869&gt;=0,$J869=INT($J869)),FALSE())),$J869,0)</f>
        <v>0</v>
      </c>
      <c r="Q869" s="64" t="n">
        <f aca="false">IF(AND($P869&gt;0,$O869&gt;0),$P869,0)</f>
        <v>0</v>
      </c>
      <c r="R869" s="64" t="n">
        <f aca="false">IF(AND($Q869&gt;0,$O869&gt;=AtRank),$Q869,0)</f>
        <v>0</v>
      </c>
      <c r="S869" s="64" t="n">
        <f aca="false">IF(AND($Q869&gt;0,$O869&gt;=AboveRank),$Q869,0)</f>
        <v>0</v>
      </c>
      <c r="T869" s="64" t="n">
        <f aca="false">IF($K869="Less",$P869,0)</f>
        <v>0</v>
      </c>
      <c r="U869" s="64" t="n">
        <f aca="false">IF($K869="Expected",$P869,0)</f>
        <v>0</v>
      </c>
      <c r="V869" s="64" t="n">
        <f aca="false">IF($K869="Better",$P869,0)</f>
        <v>0</v>
      </c>
      <c r="W869" s="64" t="n">
        <f aca="false">IF($K869="U – needs rule",$P869,0)</f>
        <v>0</v>
      </c>
      <c r="X869" s="64" t="n">
        <f aca="false">IF($K869="No Start (attainment only)",$P869,0)</f>
        <v>0</v>
      </c>
    </row>
    <row r="870" customFormat="false" ht="15" hidden="false" customHeight="false" outlineLevel="0" collapsed="false">
      <c r="A870" s="60"/>
      <c r="B870" s="61" t="str">
        <f aca="false">IF($M870=0,"",INDEX(Classes!$E$6:$E$420,$M870))</f>
        <v/>
      </c>
      <c r="C870" s="62" t="str">
        <f aca="false">IF($M870=0,"",INDEX(Classes!$H$6:$H$420,$M870))</f>
        <v/>
      </c>
      <c r="D870" s="61" t="str">
        <f aca="false">IF($M870=0,"",INDEX(Classes!$B$6:$B$420,$M870))</f>
        <v/>
      </c>
      <c r="E870" s="61" t="str">
        <f aca="false">IF($M870=0,"",INDEX(Classes!$C$6:$C$420,$M870))</f>
        <v/>
      </c>
      <c r="F870" s="63"/>
      <c r="G870" s="63"/>
      <c r="H870" s="60"/>
      <c r="I870" s="60"/>
      <c r="J870" s="63"/>
      <c r="K870" s="61" t="str">
        <f aca="false">IF($P870=0,"",IF($F870="Baseline","— Baseline",IF($O870=0,"No result",IF($N870=0,"No Start (attainment only)",IF(OR($N870=1,$O870=1),"U – needs rule",INDEX(MxBody,MATCH($I870,MxCurr,0),MATCH($H870,MxStart,0)))))))</f>
        <v/>
      </c>
      <c r="L870" s="62" t="str">
        <f aca="false">IF(COUNTA($A870,$F870,$G870,$H870,$I870,$J870)=0,"",IF($M870=0,"✖ كود الصف غير موجود",IF(ISNA(MATCH($F870,Lists!$A$2:$A$5,0)),"✖ الفترة غير صحيحة",IF(ISNA(MATCH($G870,Lists!$B$2:$B$7,0)),"✖ المجموعة غير صحيحة",IF(NOT(OR($H870="",$N870&gt;0)),"✖ Start غير صحيح",IF(NOT(OR($I870="",$I870="NR",$O870&gt;0)),"✖ Current غير صحيح",IF(NOT(IF(ISNUMBER($J870),AND($J870&gt;=0,$J870=INT($J870)),FALSE())),"✖ العدد يجب أن يكون صحيحًا ≥ 0",IF(AND($F870="Baseline",$H870&lt;&gt;""),"⚠ Baseline: Start لا يدخل في التقدم",IF($K870="No Start (attainment only)","ℹ تحصيل فقط (بدون Start)",IF($K870="U – needs rule","ℹ حالة U تحتاج قاعدة معتمدة",IF($K870="No result","ℹ بدون نتيجة (يُستبعد من التحصيل)","OK")))))))))))</f>
        <v/>
      </c>
      <c r="M870" s="64" t="n">
        <f aca="false">IF($A870="",0,IFERROR(MATCH($A870,Classes!$A$6:$A$420,0),0))</f>
        <v>0</v>
      </c>
      <c r="N870" s="64" t="n">
        <f aca="false">IF($H870="",0,IFERROR(MATCH($H870,GradeList,0),0))</f>
        <v>0</v>
      </c>
      <c r="O870" s="64" t="n">
        <f aca="false">IF(OR($I870="",$I870="NR"),0,IFERROR(MATCH($I870,GradeList,0),0))</f>
        <v>0</v>
      </c>
      <c r="P870" s="64" t="n">
        <f aca="false">IF(AND($M870&gt;0,ISNUMBER(MATCH($F870,Lists!$A$2:$A$5,0)),ISNUMBER(MATCH($G870,Lists!$B$2:$B$7,0)),OR($H870="",$N870&gt;0),OR($I870="",$I870="NR",$O870&gt;0),IF(ISNUMBER($J870),AND($J870&gt;=0,$J870=INT($J870)),FALSE())),$J870,0)</f>
        <v>0</v>
      </c>
      <c r="Q870" s="64" t="n">
        <f aca="false">IF(AND($P870&gt;0,$O870&gt;0),$P870,0)</f>
        <v>0</v>
      </c>
      <c r="R870" s="64" t="n">
        <f aca="false">IF(AND($Q870&gt;0,$O870&gt;=AtRank),$Q870,0)</f>
        <v>0</v>
      </c>
      <c r="S870" s="64" t="n">
        <f aca="false">IF(AND($Q870&gt;0,$O870&gt;=AboveRank),$Q870,0)</f>
        <v>0</v>
      </c>
      <c r="T870" s="64" t="n">
        <f aca="false">IF($K870="Less",$P870,0)</f>
        <v>0</v>
      </c>
      <c r="U870" s="64" t="n">
        <f aca="false">IF($K870="Expected",$P870,0)</f>
        <v>0</v>
      </c>
      <c r="V870" s="64" t="n">
        <f aca="false">IF($K870="Better",$P870,0)</f>
        <v>0</v>
      </c>
      <c r="W870" s="64" t="n">
        <f aca="false">IF($K870="U – needs rule",$P870,0)</f>
        <v>0</v>
      </c>
      <c r="X870" s="64" t="n">
        <f aca="false">IF($K870="No Start (attainment only)",$P870,0)</f>
        <v>0</v>
      </c>
    </row>
    <row r="871" customFormat="false" ht="15" hidden="false" customHeight="false" outlineLevel="0" collapsed="false">
      <c r="A871" s="60"/>
      <c r="B871" s="61" t="str">
        <f aca="false">IF($M871=0,"",INDEX(Classes!$E$6:$E$420,$M871))</f>
        <v/>
      </c>
      <c r="C871" s="62" t="str">
        <f aca="false">IF($M871=0,"",INDEX(Classes!$H$6:$H$420,$M871))</f>
        <v/>
      </c>
      <c r="D871" s="61" t="str">
        <f aca="false">IF($M871=0,"",INDEX(Classes!$B$6:$B$420,$M871))</f>
        <v/>
      </c>
      <c r="E871" s="61" t="str">
        <f aca="false">IF($M871=0,"",INDEX(Classes!$C$6:$C$420,$M871))</f>
        <v/>
      </c>
      <c r="F871" s="63"/>
      <c r="G871" s="63"/>
      <c r="H871" s="60"/>
      <c r="I871" s="60"/>
      <c r="J871" s="63"/>
      <c r="K871" s="61" t="str">
        <f aca="false">IF($P871=0,"",IF($F871="Baseline","— Baseline",IF($O871=0,"No result",IF($N871=0,"No Start (attainment only)",IF(OR($N871=1,$O871=1),"U – needs rule",INDEX(MxBody,MATCH($I871,MxCurr,0),MATCH($H871,MxStart,0)))))))</f>
        <v/>
      </c>
      <c r="L871" s="62" t="str">
        <f aca="false">IF(COUNTA($A871,$F871,$G871,$H871,$I871,$J871)=0,"",IF($M871=0,"✖ كود الصف غير موجود",IF(ISNA(MATCH($F871,Lists!$A$2:$A$5,0)),"✖ الفترة غير صحيحة",IF(ISNA(MATCH($G871,Lists!$B$2:$B$7,0)),"✖ المجموعة غير صحيحة",IF(NOT(OR($H871="",$N871&gt;0)),"✖ Start غير صحيح",IF(NOT(OR($I871="",$I871="NR",$O871&gt;0)),"✖ Current غير صحيح",IF(NOT(IF(ISNUMBER($J871),AND($J871&gt;=0,$J871=INT($J871)),FALSE())),"✖ العدد يجب أن يكون صحيحًا ≥ 0",IF(AND($F871="Baseline",$H871&lt;&gt;""),"⚠ Baseline: Start لا يدخل في التقدم",IF($K871="No Start (attainment only)","ℹ تحصيل فقط (بدون Start)",IF($K871="U – needs rule","ℹ حالة U تحتاج قاعدة معتمدة",IF($K871="No result","ℹ بدون نتيجة (يُستبعد من التحصيل)","OK")))))))))))</f>
        <v/>
      </c>
      <c r="M871" s="64" t="n">
        <f aca="false">IF($A871="",0,IFERROR(MATCH($A871,Classes!$A$6:$A$420,0),0))</f>
        <v>0</v>
      </c>
      <c r="N871" s="64" t="n">
        <f aca="false">IF($H871="",0,IFERROR(MATCH($H871,GradeList,0),0))</f>
        <v>0</v>
      </c>
      <c r="O871" s="64" t="n">
        <f aca="false">IF(OR($I871="",$I871="NR"),0,IFERROR(MATCH($I871,GradeList,0),0))</f>
        <v>0</v>
      </c>
      <c r="P871" s="64" t="n">
        <f aca="false">IF(AND($M871&gt;0,ISNUMBER(MATCH($F871,Lists!$A$2:$A$5,0)),ISNUMBER(MATCH($G871,Lists!$B$2:$B$7,0)),OR($H871="",$N871&gt;0),OR($I871="",$I871="NR",$O871&gt;0),IF(ISNUMBER($J871),AND($J871&gt;=0,$J871=INT($J871)),FALSE())),$J871,0)</f>
        <v>0</v>
      </c>
      <c r="Q871" s="64" t="n">
        <f aca="false">IF(AND($P871&gt;0,$O871&gt;0),$P871,0)</f>
        <v>0</v>
      </c>
      <c r="R871" s="64" t="n">
        <f aca="false">IF(AND($Q871&gt;0,$O871&gt;=AtRank),$Q871,0)</f>
        <v>0</v>
      </c>
      <c r="S871" s="64" t="n">
        <f aca="false">IF(AND($Q871&gt;0,$O871&gt;=AboveRank),$Q871,0)</f>
        <v>0</v>
      </c>
      <c r="T871" s="64" t="n">
        <f aca="false">IF($K871="Less",$P871,0)</f>
        <v>0</v>
      </c>
      <c r="U871" s="64" t="n">
        <f aca="false">IF($K871="Expected",$P871,0)</f>
        <v>0</v>
      </c>
      <c r="V871" s="64" t="n">
        <f aca="false">IF($K871="Better",$P871,0)</f>
        <v>0</v>
      </c>
      <c r="W871" s="64" t="n">
        <f aca="false">IF($K871="U – needs rule",$P871,0)</f>
        <v>0</v>
      </c>
      <c r="X871" s="64" t="n">
        <f aca="false">IF($K871="No Start (attainment only)",$P871,0)</f>
        <v>0</v>
      </c>
    </row>
    <row r="872" customFormat="false" ht="15" hidden="false" customHeight="false" outlineLevel="0" collapsed="false">
      <c r="A872" s="60"/>
      <c r="B872" s="61" t="str">
        <f aca="false">IF($M872=0,"",INDEX(Classes!$E$6:$E$420,$M872))</f>
        <v/>
      </c>
      <c r="C872" s="62" t="str">
        <f aca="false">IF($M872=0,"",INDEX(Classes!$H$6:$H$420,$M872))</f>
        <v/>
      </c>
      <c r="D872" s="61" t="str">
        <f aca="false">IF($M872=0,"",INDEX(Classes!$B$6:$B$420,$M872))</f>
        <v/>
      </c>
      <c r="E872" s="61" t="str">
        <f aca="false">IF($M872=0,"",INDEX(Classes!$C$6:$C$420,$M872))</f>
        <v/>
      </c>
      <c r="F872" s="63"/>
      <c r="G872" s="63"/>
      <c r="H872" s="60"/>
      <c r="I872" s="60"/>
      <c r="J872" s="63"/>
      <c r="K872" s="61" t="str">
        <f aca="false">IF($P872=0,"",IF($F872="Baseline","— Baseline",IF($O872=0,"No result",IF($N872=0,"No Start (attainment only)",IF(OR($N872=1,$O872=1),"U – needs rule",INDEX(MxBody,MATCH($I872,MxCurr,0),MATCH($H872,MxStart,0)))))))</f>
        <v/>
      </c>
      <c r="L872" s="62" t="str">
        <f aca="false">IF(COUNTA($A872,$F872,$G872,$H872,$I872,$J872)=0,"",IF($M872=0,"✖ كود الصف غير موجود",IF(ISNA(MATCH($F872,Lists!$A$2:$A$5,0)),"✖ الفترة غير صحيحة",IF(ISNA(MATCH($G872,Lists!$B$2:$B$7,0)),"✖ المجموعة غير صحيحة",IF(NOT(OR($H872="",$N872&gt;0)),"✖ Start غير صحيح",IF(NOT(OR($I872="",$I872="NR",$O872&gt;0)),"✖ Current غير صحيح",IF(NOT(IF(ISNUMBER($J872),AND($J872&gt;=0,$J872=INT($J872)),FALSE())),"✖ العدد يجب أن يكون صحيحًا ≥ 0",IF(AND($F872="Baseline",$H872&lt;&gt;""),"⚠ Baseline: Start لا يدخل في التقدم",IF($K872="No Start (attainment only)","ℹ تحصيل فقط (بدون Start)",IF($K872="U – needs rule","ℹ حالة U تحتاج قاعدة معتمدة",IF($K872="No result","ℹ بدون نتيجة (يُستبعد من التحصيل)","OK")))))))))))</f>
        <v/>
      </c>
      <c r="M872" s="64" t="n">
        <f aca="false">IF($A872="",0,IFERROR(MATCH($A872,Classes!$A$6:$A$420,0),0))</f>
        <v>0</v>
      </c>
      <c r="N872" s="64" t="n">
        <f aca="false">IF($H872="",0,IFERROR(MATCH($H872,GradeList,0),0))</f>
        <v>0</v>
      </c>
      <c r="O872" s="64" t="n">
        <f aca="false">IF(OR($I872="",$I872="NR"),0,IFERROR(MATCH($I872,GradeList,0),0))</f>
        <v>0</v>
      </c>
      <c r="P872" s="64" t="n">
        <f aca="false">IF(AND($M872&gt;0,ISNUMBER(MATCH($F872,Lists!$A$2:$A$5,0)),ISNUMBER(MATCH($G872,Lists!$B$2:$B$7,0)),OR($H872="",$N872&gt;0),OR($I872="",$I872="NR",$O872&gt;0),IF(ISNUMBER($J872),AND($J872&gt;=0,$J872=INT($J872)),FALSE())),$J872,0)</f>
        <v>0</v>
      </c>
      <c r="Q872" s="64" t="n">
        <f aca="false">IF(AND($P872&gt;0,$O872&gt;0),$P872,0)</f>
        <v>0</v>
      </c>
      <c r="R872" s="64" t="n">
        <f aca="false">IF(AND($Q872&gt;0,$O872&gt;=AtRank),$Q872,0)</f>
        <v>0</v>
      </c>
      <c r="S872" s="64" t="n">
        <f aca="false">IF(AND($Q872&gt;0,$O872&gt;=AboveRank),$Q872,0)</f>
        <v>0</v>
      </c>
      <c r="T872" s="64" t="n">
        <f aca="false">IF($K872="Less",$P872,0)</f>
        <v>0</v>
      </c>
      <c r="U872" s="64" t="n">
        <f aca="false">IF($K872="Expected",$P872,0)</f>
        <v>0</v>
      </c>
      <c r="V872" s="64" t="n">
        <f aca="false">IF($K872="Better",$P872,0)</f>
        <v>0</v>
      </c>
      <c r="W872" s="64" t="n">
        <f aca="false">IF($K872="U – needs rule",$P872,0)</f>
        <v>0</v>
      </c>
      <c r="X872" s="64" t="n">
        <f aca="false">IF($K872="No Start (attainment only)",$P872,0)</f>
        <v>0</v>
      </c>
    </row>
    <row r="873" customFormat="false" ht="15" hidden="false" customHeight="false" outlineLevel="0" collapsed="false">
      <c r="A873" s="60"/>
      <c r="B873" s="61" t="str">
        <f aca="false">IF($M873=0,"",INDEX(Classes!$E$6:$E$420,$M873))</f>
        <v/>
      </c>
      <c r="C873" s="62" t="str">
        <f aca="false">IF($M873=0,"",INDEX(Classes!$H$6:$H$420,$M873))</f>
        <v/>
      </c>
      <c r="D873" s="61" t="str">
        <f aca="false">IF($M873=0,"",INDEX(Classes!$B$6:$B$420,$M873))</f>
        <v/>
      </c>
      <c r="E873" s="61" t="str">
        <f aca="false">IF($M873=0,"",INDEX(Classes!$C$6:$C$420,$M873))</f>
        <v/>
      </c>
      <c r="F873" s="63"/>
      <c r="G873" s="63"/>
      <c r="H873" s="60"/>
      <c r="I873" s="60"/>
      <c r="J873" s="63"/>
      <c r="K873" s="61" t="str">
        <f aca="false">IF($P873=0,"",IF($F873="Baseline","— Baseline",IF($O873=0,"No result",IF($N873=0,"No Start (attainment only)",IF(OR($N873=1,$O873=1),"U – needs rule",INDEX(MxBody,MATCH($I873,MxCurr,0),MATCH($H873,MxStart,0)))))))</f>
        <v/>
      </c>
      <c r="L873" s="62" t="str">
        <f aca="false">IF(COUNTA($A873,$F873,$G873,$H873,$I873,$J873)=0,"",IF($M873=0,"✖ كود الصف غير موجود",IF(ISNA(MATCH($F873,Lists!$A$2:$A$5,0)),"✖ الفترة غير صحيحة",IF(ISNA(MATCH($G873,Lists!$B$2:$B$7,0)),"✖ المجموعة غير صحيحة",IF(NOT(OR($H873="",$N873&gt;0)),"✖ Start غير صحيح",IF(NOT(OR($I873="",$I873="NR",$O873&gt;0)),"✖ Current غير صحيح",IF(NOT(IF(ISNUMBER($J873),AND($J873&gt;=0,$J873=INT($J873)),FALSE())),"✖ العدد يجب أن يكون صحيحًا ≥ 0",IF(AND($F873="Baseline",$H873&lt;&gt;""),"⚠ Baseline: Start لا يدخل في التقدم",IF($K873="No Start (attainment only)","ℹ تحصيل فقط (بدون Start)",IF($K873="U – needs rule","ℹ حالة U تحتاج قاعدة معتمدة",IF($K873="No result","ℹ بدون نتيجة (يُستبعد من التحصيل)","OK")))))))))))</f>
        <v/>
      </c>
      <c r="M873" s="64" t="n">
        <f aca="false">IF($A873="",0,IFERROR(MATCH($A873,Classes!$A$6:$A$420,0),0))</f>
        <v>0</v>
      </c>
      <c r="N873" s="64" t="n">
        <f aca="false">IF($H873="",0,IFERROR(MATCH($H873,GradeList,0),0))</f>
        <v>0</v>
      </c>
      <c r="O873" s="64" t="n">
        <f aca="false">IF(OR($I873="",$I873="NR"),0,IFERROR(MATCH($I873,GradeList,0),0))</f>
        <v>0</v>
      </c>
      <c r="P873" s="64" t="n">
        <f aca="false">IF(AND($M873&gt;0,ISNUMBER(MATCH($F873,Lists!$A$2:$A$5,0)),ISNUMBER(MATCH($G873,Lists!$B$2:$B$7,0)),OR($H873="",$N873&gt;0),OR($I873="",$I873="NR",$O873&gt;0),IF(ISNUMBER($J873),AND($J873&gt;=0,$J873=INT($J873)),FALSE())),$J873,0)</f>
        <v>0</v>
      </c>
      <c r="Q873" s="64" t="n">
        <f aca="false">IF(AND($P873&gt;0,$O873&gt;0),$P873,0)</f>
        <v>0</v>
      </c>
      <c r="R873" s="64" t="n">
        <f aca="false">IF(AND($Q873&gt;0,$O873&gt;=AtRank),$Q873,0)</f>
        <v>0</v>
      </c>
      <c r="S873" s="64" t="n">
        <f aca="false">IF(AND($Q873&gt;0,$O873&gt;=AboveRank),$Q873,0)</f>
        <v>0</v>
      </c>
      <c r="T873" s="64" t="n">
        <f aca="false">IF($K873="Less",$P873,0)</f>
        <v>0</v>
      </c>
      <c r="U873" s="64" t="n">
        <f aca="false">IF($K873="Expected",$P873,0)</f>
        <v>0</v>
      </c>
      <c r="V873" s="64" t="n">
        <f aca="false">IF($K873="Better",$P873,0)</f>
        <v>0</v>
      </c>
      <c r="W873" s="64" t="n">
        <f aca="false">IF($K873="U – needs rule",$P873,0)</f>
        <v>0</v>
      </c>
      <c r="X873" s="64" t="n">
        <f aca="false">IF($K873="No Start (attainment only)",$P873,0)</f>
        <v>0</v>
      </c>
    </row>
    <row r="874" customFormat="false" ht="15" hidden="false" customHeight="false" outlineLevel="0" collapsed="false">
      <c r="A874" s="60"/>
      <c r="B874" s="61" t="str">
        <f aca="false">IF($M874=0,"",INDEX(Classes!$E$6:$E$420,$M874))</f>
        <v/>
      </c>
      <c r="C874" s="62" t="str">
        <f aca="false">IF($M874=0,"",INDEX(Classes!$H$6:$H$420,$M874))</f>
        <v/>
      </c>
      <c r="D874" s="61" t="str">
        <f aca="false">IF($M874=0,"",INDEX(Classes!$B$6:$B$420,$M874))</f>
        <v/>
      </c>
      <c r="E874" s="61" t="str">
        <f aca="false">IF($M874=0,"",INDEX(Classes!$C$6:$C$420,$M874))</f>
        <v/>
      </c>
      <c r="F874" s="63"/>
      <c r="G874" s="63"/>
      <c r="H874" s="60"/>
      <c r="I874" s="60"/>
      <c r="J874" s="63"/>
      <c r="K874" s="61" t="str">
        <f aca="false">IF($P874=0,"",IF($F874="Baseline","— Baseline",IF($O874=0,"No result",IF($N874=0,"No Start (attainment only)",IF(OR($N874=1,$O874=1),"U – needs rule",INDEX(MxBody,MATCH($I874,MxCurr,0),MATCH($H874,MxStart,0)))))))</f>
        <v/>
      </c>
      <c r="L874" s="62" t="str">
        <f aca="false">IF(COUNTA($A874,$F874,$G874,$H874,$I874,$J874)=0,"",IF($M874=0,"✖ كود الصف غير موجود",IF(ISNA(MATCH($F874,Lists!$A$2:$A$5,0)),"✖ الفترة غير صحيحة",IF(ISNA(MATCH($G874,Lists!$B$2:$B$7,0)),"✖ المجموعة غير صحيحة",IF(NOT(OR($H874="",$N874&gt;0)),"✖ Start غير صحيح",IF(NOT(OR($I874="",$I874="NR",$O874&gt;0)),"✖ Current غير صحيح",IF(NOT(IF(ISNUMBER($J874),AND($J874&gt;=0,$J874=INT($J874)),FALSE())),"✖ العدد يجب أن يكون صحيحًا ≥ 0",IF(AND($F874="Baseline",$H874&lt;&gt;""),"⚠ Baseline: Start لا يدخل في التقدم",IF($K874="No Start (attainment only)","ℹ تحصيل فقط (بدون Start)",IF($K874="U – needs rule","ℹ حالة U تحتاج قاعدة معتمدة",IF($K874="No result","ℹ بدون نتيجة (يُستبعد من التحصيل)","OK")))))))))))</f>
        <v/>
      </c>
      <c r="M874" s="64" t="n">
        <f aca="false">IF($A874="",0,IFERROR(MATCH($A874,Classes!$A$6:$A$420,0),0))</f>
        <v>0</v>
      </c>
      <c r="N874" s="64" t="n">
        <f aca="false">IF($H874="",0,IFERROR(MATCH($H874,GradeList,0),0))</f>
        <v>0</v>
      </c>
      <c r="O874" s="64" t="n">
        <f aca="false">IF(OR($I874="",$I874="NR"),0,IFERROR(MATCH($I874,GradeList,0),0))</f>
        <v>0</v>
      </c>
      <c r="P874" s="64" t="n">
        <f aca="false">IF(AND($M874&gt;0,ISNUMBER(MATCH($F874,Lists!$A$2:$A$5,0)),ISNUMBER(MATCH($G874,Lists!$B$2:$B$7,0)),OR($H874="",$N874&gt;0),OR($I874="",$I874="NR",$O874&gt;0),IF(ISNUMBER($J874),AND($J874&gt;=0,$J874=INT($J874)),FALSE())),$J874,0)</f>
        <v>0</v>
      </c>
      <c r="Q874" s="64" t="n">
        <f aca="false">IF(AND($P874&gt;0,$O874&gt;0),$P874,0)</f>
        <v>0</v>
      </c>
      <c r="R874" s="64" t="n">
        <f aca="false">IF(AND($Q874&gt;0,$O874&gt;=AtRank),$Q874,0)</f>
        <v>0</v>
      </c>
      <c r="S874" s="64" t="n">
        <f aca="false">IF(AND($Q874&gt;0,$O874&gt;=AboveRank),$Q874,0)</f>
        <v>0</v>
      </c>
      <c r="T874" s="64" t="n">
        <f aca="false">IF($K874="Less",$P874,0)</f>
        <v>0</v>
      </c>
      <c r="U874" s="64" t="n">
        <f aca="false">IF($K874="Expected",$P874,0)</f>
        <v>0</v>
      </c>
      <c r="V874" s="64" t="n">
        <f aca="false">IF($K874="Better",$P874,0)</f>
        <v>0</v>
      </c>
      <c r="W874" s="64" t="n">
        <f aca="false">IF($K874="U – needs rule",$P874,0)</f>
        <v>0</v>
      </c>
      <c r="X874" s="64" t="n">
        <f aca="false">IF($K874="No Start (attainment only)",$P874,0)</f>
        <v>0</v>
      </c>
    </row>
    <row r="875" customFormat="false" ht="15" hidden="false" customHeight="false" outlineLevel="0" collapsed="false">
      <c r="A875" s="60"/>
      <c r="B875" s="61" t="str">
        <f aca="false">IF($M875=0,"",INDEX(Classes!$E$6:$E$420,$M875))</f>
        <v/>
      </c>
      <c r="C875" s="62" t="str">
        <f aca="false">IF($M875=0,"",INDEX(Classes!$H$6:$H$420,$M875))</f>
        <v/>
      </c>
      <c r="D875" s="61" t="str">
        <f aca="false">IF($M875=0,"",INDEX(Classes!$B$6:$B$420,$M875))</f>
        <v/>
      </c>
      <c r="E875" s="61" t="str">
        <f aca="false">IF($M875=0,"",INDEX(Classes!$C$6:$C$420,$M875))</f>
        <v/>
      </c>
      <c r="F875" s="63"/>
      <c r="G875" s="63"/>
      <c r="H875" s="60"/>
      <c r="I875" s="60"/>
      <c r="J875" s="63"/>
      <c r="K875" s="61" t="str">
        <f aca="false">IF($P875=0,"",IF($F875="Baseline","— Baseline",IF($O875=0,"No result",IF($N875=0,"No Start (attainment only)",IF(OR($N875=1,$O875=1),"U – needs rule",INDEX(MxBody,MATCH($I875,MxCurr,0),MATCH($H875,MxStart,0)))))))</f>
        <v/>
      </c>
      <c r="L875" s="62" t="str">
        <f aca="false">IF(COUNTA($A875,$F875,$G875,$H875,$I875,$J875)=0,"",IF($M875=0,"✖ كود الصف غير موجود",IF(ISNA(MATCH($F875,Lists!$A$2:$A$5,0)),"✖ الفترة غير صحيحة",IF(ISNA(MATCH($G875,Lists!$B$2:$B$7,0)),"✖ المجموعة غير صحيحة",IF(NOT(OR($H875="",$N875&gt;0)),"✖ Start غير صحيح",IF(NOT(OR($I875="",$I875="NR",$O875&gt;0)),"✖ Current غير صحيح",IF(NOT(IF(ISNUMBER($J875),AND($J875&gt;=0,$J875=INT($J875)),FALSE())),"✖ العدد يجب أن يكون صحيحًا ≥ 0",IF(AND($F875="Baseline",$H875&lt;&gt;""),"⚠ Baseline: Start لا يدخل في التقدم",IF($K875="No Start (attainment only)","ℹ تحصيل فقط (بدون Start)",IF($K875="U – needs rule","ℹ حالة U تحتاج قاعدة معتمدة",IF($K875="No result","ℹ بدون نتيجة (يُستبعد من التحصيل)","OK")))))))))))</f>
        <v/>
      </c>
      <c r="M875" s="64" t="n">
        <f aca="false">IF($A875="",0,IFERROR(MATCH($A875,Classes!$A$6:$A$420,0),0))</f>
        <v>0</v>
      </c>
      <c r="N875" s="64" t="n">
        <f aca="false">IF($H875="",0,IFERROR(MATCH($H875,GradeList,0),0))</f>
        <v>0</v>
      </c>
      <c r="O875" s="64" t="n">
        <f aca="false">IF(OR($I875="",$I875="NR"),0,IFERROR(MATCH($I875,GradeList,0),0))</f>
        <v>0</v>
      </c>
      <c r="P875" s="64" t="n">
        <f aca="false">IF(AND($M875&gt;0,ISNUMBER(MATCH($F875,Lists!$A$2:$A$5,0)),ISNUMBER(MATCH($G875,Lists!$B$2:$B$7,0)),OR($H875="",$N875&gt;0),OR($I875="",$I875="NR",$O875&gt;0),IF(ISNUMBER($J875),AND($J875&gt;=0,$J875=INT($J875)),FALSE())),$J875,0)</f>
        <v>0</v>
      </c>
      <c r="Q875" s="64" t="n">
        <f aca="false">IF(AND($P875&gt;0,$O875&gt;0),$P875,0)</f>
        <v>0</v>
      </c>
      <c r="R875" s="64" t="n">
        <f aca="false">IF(AND($Q875&gt;0,$O875&gt;=AtRank),$Q875,0)</f>
        <v>0</v>
      </c>
      <c r="S875" s="64" t="n">
        <f aca="false">IF(AND($Q875&gt;0,$O875&gt;=AboveRank),$Q875,0)</f>
        <v>0</v>
      </c>
      <c r="T875" s="64" t="n">
        <f aca="false">IF($K875="Less",$P875,0)</f>
        <v>0</v>
      </c>
      <c r="U875" s="64" t="n">
        <f aca="false">IF($K875="Expected",$P875,0)</f>
        <v>0</v>
      </c>
      <c r="V875" s="64" t="n">
        <f aca="false">IF($K875="Better",$P875,0)</f>
        <v>0</v>
      </c>
      <c r="W875" s="64" t="n">
        <f aca="false">IF($K875="U – needs rule",$P875,0)</f>
        <v>0</v>
      </c>
      <c r="X875" s="64" t="n">
        <f aca="false">IF($K875="No Start (attainment only)",$P875,0)</f>
        <v>0</v>
      </c>
    </row>
    <row r="876" customFormat="false" ht="15" hidden="false" customHeight="false" outlineLevel="0" collapsed="false">
      <c r="A876" s="60"/>
      <c r="B876" s="61" t="str">
        <f aca="false">IF($M876=0,"",INDEX(Classes!$E$6:$E$420,$M876))</f>
        <v/>
      </c>
      <c r="C876" s="62" t="str">
        <f aca="false">IF($M876=0,"",INDEX(Classes!$H$6:$H$420,$M876))</f>
        <v/>
      </c>
      <c r="D876" s="61" t="str">
        <f aca="false">IF($M876=0,"",INDEX(Classes!$B$6:$B$420,$M876))</f>
        <v/>
      </c>
      <c r="E876" s="61" t="str">
        <f aca="false">IF($M876=0,"",INDEX(Classes!$C$6:$C$420,$M876))</f>
        <v/>
      </c>
      <c r="F876" s="63"/>
      <c r="G876" s="63"/>
      <c r="H876" s="60"/>
      <c r="I876" s="60"/>
      <c r="J876" s="63"/>
      <c r="K876" s="61" t="str">
        <f aca="false">IF($P876=0,"",IF($F876="Baseline","— Baseline",IF($O876=0,"No result",IF($N876=0,"No Start (attainment only)",IF(OR($N876=1,$O876=1),"U – needs rule",INDEX(MxBody,MATCH($I876,MxCurr,0),MATCH($H876,MxStart,0)))))))</f>
        <v/>
      </c>
      <c r="L876" s="62" t="str">
        <f aca="false">IF(COUNTA($A876,$F876,$G876,$H876,$I876,$J876)=0,"",IF($M876=0,"✖ كود الصف غير موجود",IF(ISNA(MATCH($F876,Lists!$A$2:$A$5,0)),"✖ الفترة غير صحيحة",IF(ISNA(MATCH($G876,Lists!$B$2:$B$7,0)),"✖ المجموعة غير صحيحة",IF(NOT(OR($H876="",$N876&gt;0)),"✖ Start غير صحيح",IF(NOT(OR($I876="",$I876="NR",$O876&gt;0)),"✖ Current غير صحيح",IF(NOT(IF(ISNUMBER($J876),AND($J876&gt;=0,$J876=INT($J876)),FALSE())),"✖ العدد يجب أن يكون صحيحًا ≥ 0",IF(AND($F876="Baseline",$H876&lt;&gt;""),"⚠ Baseline: Start لا يدخل في التقدم",IF($K876="No Start (attainment only)","ℹ تحصيل فقط (بدون Start)",IF($K876="U – needs rule","ℹ حالة U تحتاج قاعدة معتمدة",IF($K876="No result","ℹ بدون نتيجة (يُستبعد من التحصيل)","OK")))))))))))</f>
        <v/>
      </c>
      <c r="M876" s="64" t="n">
        <f aca="false">IF($A876="",0,IFERROR(MATCH($A876,Classes!$A$6:$A$420,0),0))</f>
        <v>0</v>
      </c>
      <c r="N876" s="64" t="n">
        <f aca="false">IF($H876="",0,IFERROR(MATCH($H876,GradeList,0),0))</f>
        <v>0</v>
      </c>
      <c r="O876" s="64" t="n">
        <f aca="false">IF(OR($I876="",$I876="NR"),0,IFERROR(MATCH($I876,GradeList,0),0))</f>
        <v>0</v>
      </c>
      <c r="P876" s="64" t="n">
        <f aca="false">IF(AND($M876&gt;0,ISNUMBER(MATCH($F876,Lists!$A$2:$A$5,0)),ISNUMBER(MATCH($G876,Lists!$B$2:$B$7,0)),OR($H876="",$N876&gt;0),OR($I876="",$I876="NR",$O876&gt;0),IF(ISNUMBER($J876),AND($J876&gt;=0,$J876=INT($J876)),FALSE())),$J876,0)</f>
        <v>0</v>
      </c>
      <c r="Q876" s="64" t="n">
        <f aca="false">IF(AND($P876&gt;0,$O876&gt;0),$P876,0)</f>
        <v>0</v>
      </c>
      <c r="R876" s="64" t="n">
        <f aca="false">IF(AND($Q876&gt;0,$O876&gt;=AtRank),$Q876,0)</f>
        <v>0</v>
      </c>
      <c r="S876" s="64" t="n">
        <f aca="false">IF(AND($Q876&gt;0,$O876&gt;=AboveRank),$Q876,0)</f>
        <v>0</v>
      </c>
      <c r="T876" s="64" t="n">
        <f aca="false">IF($K876="Less",$P876,0)</f>
        <v>0</v>
      </c>
      <c r="U876" s="64" t="n">
        <f aca="false">IF($K876="Expected",$P876,0)</f>
        <v>0</v>
      </c>
      <c r="V876" s="64" t="n">
        <f aca="false">IF($K876="Better",$P876,0)</f>
        <v>0</v>
      </c>
      <c r="W876" s="64" t="n">
        <f aca="false">IF($K876="U – needs rule",$P876,0)</f>
        <v>0</v>
      </c>
      <c r="X876" s="64" t="n">
        <f aca="false">IF($K876="No Start (attainment only)",$P876,0)</f>
        <v>0</v>
      </c>
    </row>
    <row r="877" customFormat="false" ht="15" hidden="false" customHeight="false" outlineLevel="0" collapsed="false">
      <c r="A877" s="60"/>
      <c r="B877" s="61" t="str">
        <f aca="false">IF($M877=0,"",INDEX(Classes!$E$6:$E$420,$M877))</f>
        <v/>
      </c>
      <c r="C877" s="62" t="str">
        <f aca="false">IF($M877=0,"",INDEX(Classes!$H$6:$H$420,$M877))</f>
        <v/>
      </c>
      <c r="D877" s="61" t="str">
        <f aca="false">IF($M877=0,"",INDEX(Classes!$B$6:$B$420,$M877))</f>
        <v/>
      </c>
      <c r="E877" s="61" t="str">
        <f aca="false">IF($M877=0,"",INDEX(Classes!$C$6:$C$420,$M877))</f>
        <v/>
      </c>
      <c r="F877" s="63"/>
      <c r="G877" s="63"/>
      <c r="H877" s="60"/>
      <c r="I877" s="60"/>
      <c r="J877" s="63"/>
      <c r="K877" s="61" t="str">
        <f aca="false">IF($P877=0,"",IF($F877="Baseline","— Baseline",IF($O877=0,"No result",IF($N877=0,"No Start (attainment only)",IF(OR($N877=1,$O877=1),"U – needs rule",INDEX(MxBody,MATCH($I877,MxCurr,0),MATCH($H877,MxStart,0)))))))</f>
        <v/>
      </c>
      <c r="L877" s="62" t="str">
        <f aca="false">IF(COUNTA($A877,$F877,$G877,$H877,$I877,$J877)=0,"",IF($M877=0,"✖ كود الصف غير موجود",IF(ISNA(MATCH($F877,Lists!$A$2:$A$5,0)),"✖ الفترة غير صحيحة",IF(ISNA(MATCH($G877,Lists!$B$2:$B$7,0)),"✖ المجموعة غير صحيحة",IF(NOT(OR($H877="",$N877&gt;0)),"✖ Start غير صحيح",IF(NOT(OR($I877="",$I877="NR",$O877&gt;0)),"✖ Current غير صحيح",IF(NOT(IF(ISNUMBER($J877),AND($J877&gt;=0,$J877=INT($J877)),FALSE())),"✖ العدد يجب أن يكون صحيحًا ≥ 0",IF(AND($F877="Baseline",$H877&lt;&gt;""),"⚠ Baseline: Start لا يدخل في التقدم",IF($K877="No Start (attainment only)","ℹ تحصيل فقط (بدون Start)",IF($K877="U – needs rule","ℹ حالة U تحتاج قاعدة معتمدة",IF($K877="No result","ℹ بدون نتيجة (يُستبعد من التحصيل)","OK")))))))))))</f>
        <v/>
      </c>
      <c r="M877" s="64" t="n">
        <f aca="false">IF($A877="",0,IFERROR(MATCH($A877,Classes!$A$6:$A$420,0),0))</f>
        <v>0</v>
      </c>
      <c r="N877" s="64" t="n">
        <f aca="false">IF($H877="",0,IFERROR(MATCH($H877,GradeList,0),0))</f>
        <v>0</v>
      </c>
      <c r="O877" s="64" t="n">
        <f aca="false">IF(OR($I877="",$I877="NR"),0,IFERROR(MATCH($I877,GradeList,0),0))</f>
        <v>0</v>
      </c>
      <c r="P877" s="64" t="n">
        <f aca="false">IF(AND($M877&gt;0,ISNUMBER(MATCH($F877,Lists!$A$2:$A$5,0)),ISNUMBER(MATCH($G877,Lists!$B$2:$B$7,0)),OR($H877="",$N877&gt;0),OR($I877="",$I877="NR",$O877&gt;0),IF(ISNUMBER($J877),AND($J877&gt;=0,$J877=INT($J877)),FALSE())),$J877,0)</f>
        <v>0</v>
      </c>
      <c r="Q877" s="64" t="n">
        <f aca="false">IF(AND($P877&gt;0,$O877&gt;0),$P877,0)</f>
        <v>0</v>
      </c>
      <c r="R877" s="64" t="n">
        <f aca="false">IF(AND($Q877&gt;0,$O877&gt;=AtRank),$Q877,0)</f>
        <v>0</v>
      </c>
      <c r="S877" s="64" t="n">
        <f aca="false">IF(AND($Q877&gt;0,$O877&gt;=AboveRank),$Q877,0)</f>
        <v>0</v>
      </c>
      <c r="T877" s="64" t="n">
        <f aca="false">IF($K877="Less",$P877,0)</f>
        <v>0</v>
      </c>
      <c r="U877" s="64" t="n">
        <f aca="false">IF($K877="Expected",$P877,0)</f>
        <v>0</v>
      </c>
      <c r="V877" s="64" t="n">
        <f aca="false">IF($K877="Better",$P877,0)</f>
        <v>0</v>
      </c>
      <c r="W877" s="64" t="n">
        <f aca="false">IF($K877="U – needs rule",$P877,0)</f>
        <v>0</v>
      </c>
      <c r="X877" s="64" t="n">
        <f aca="false">IF($K877="No Start (attainment only)",$P877,0)</f>
        <v>0</v>
      </c>
    </row>
    <row r="878" customFormat="false" ht="15" hidden="false" customHeight="false" outlineLevel="0" collapsed="false">
      <c r="A878" s="60"/>
      <c r="B878" s="61" t="str">
        <f aca="false">IF($M878=0,"",INDEX(Classes!$E$6:$E$420,$M878))</f>
        <v/>
      </c>
      <c r="C878" s="62" t="str">
        <f aca="false">IF($M878=0,"",INDEX(Classes!$H$6:$H$420,$M878))</f>
        <v/>
      </c>
      <c r="D878" s="61" t="str">
        <f aca="false">IF($M878=0,"",INDEX(Classes!$B$6:$B$420,$M878))</f>
        <v/>
      </c>
      <c r="E878" s="61" t="str">
        <f aca="false">IF($M878=0,"",INDEX(Classes!$C$6:$C$420,$M878))</f>
        <v/>
      </c>
      <c r="F878" s="63"/>
      <c r="G878" s="63"/>
      <c r="H878" s="60"/>
      <c r="I878" s="60"/>
      <c r="J878" s="63"/>
      <c r="K878" s="61" t="str">
        <f aca="false">IF($P878=0,"",IF($F878="Baseline","— Baseline",IF($O878=0,"No result",IF($N878=0,"No Start (attainment only)",IF(OR($N878=1,$O878=1),"U – needs rule",INDEX(MxBody,MATCH($I878,MxCurr,0),MATCH($H878,MxStart,0)))))))</f>
        <v/>
      </c>
      <c r="L878" s="62" t="str">
        <f aca="false">IF(COUNTA($A878,$F878,$G878,$H878,$I878,$J878)=0,"",IF($M878=0,"✖ كود الصف غير موجود",IF(ISNA(MATCH($F878,Lists!$A$2:$A$5,0)),"✖ الفترة غير صحيحة",IF(ISNA(MATCH($G878,Lists!$B$2:$B$7,0)),"✖ المجموعة غير صحيحة",IF(NOT(OR($H878="",$N878&gt;0)),"✖ Start غير صحيح",IF(NOT(OR($I878="",$I878="NR",$O878&gt;0)),"✖ Current غير صحيح",IF(NOT(IF(ISNUMBER($J878),AND($J878&gt;=0,$J878=INT($J878)),FALSE())),"✖ العدد يجب أن يكون صحيحًا ≥ 0",IF(AND($F878="Baseline",$H878&lt;&gt;""),"⚠ Baseline: Start لا يدخل في التقدم",IF($K878="No Start (attainment only)","ℹ تحصيل فقط (بدون Start)",IF($K878="U – needs rule","ℹ حالة U تحتاج قاعدة معتمدة",IF($K878="No result","ℹ بدون نتيجة (يُستبعد من التحصيل)","OK")))))))))))</f>
        <v/>
      </c>
      <c r="M878" s="64" t="n">
        <f aca="false">IF($A878="",0,IFERROR(MATCH($A878,Classes!$A$6:$A$420,0),0))</f>
        <v>0</v>
      </c>
      <c r="N878" s="64" t="n">
        <f aca="false">IF($H878="",0,IFERROR(MATCH($H878,GradeList,0),0))</f>
        <v>0</v>
      </c>
      <c r="O878" s="64" t="n">
        <f aca="false">IF(OR($I878="",$I878="NR"),0,IFERROR(MATCH($I878,GradeList,0),0))</f>
        <v>0</v>
      </c>
      <c r="P878" s="64" t="n">
        <f aca="false">IF(AND($M878&gt;0,ISNUMBER(MATCH($F878,Lists!$A$2:$A$5,0)),ISNUMBER(MATCH($G878,Lists!$B$2:$B$7,0)),OR($H878="",$N878&gt;0),OR($I878="",$I878="NR",$O878&gt;0),IF(ISNUMBER($J878),AND($J878&gt;=0,$J878=INT($J878)),FALSE())),$J878,0)</f>
        <v>0</v>
      </c>
      <c r="Q878" s="64" t="n">
        <f aca="false">IF(AND($P878&gt;0,$O878&gt;0),$P878,0)</f>
        <v>0</v>
      </c>
      <c r="R878" s="64" t="n">
        <f aca="false">IF(AND($Q878&gt;0,$O878&gt;=AtRank),$Q878,0)</f>
        <v>0</v>
      </c>
      <c r="S878" s="64" t="n">
        <f aca="false">IF(AND($Q878&gt;0,$O878&gt;=AboveRank),$Q878,0)</f>
        <v>0</v>
      </c>
      <c r="T878" s="64" t="n">
        <f aca="false">IF($K878="Less",$P878,0)</f>
        <v>0</v>
      </c>
      <c r="U878" s="64" t="n">
        <f aca="false">IF($K878="Expected",$P878,0)</f>
        <v>0</v>
      </c>
      <c r="V878" s="64" t="n">
        <f aca="false">IF($K878="Better",$P878,0)</f>
        <v>0</v>
      </c>
      <c r="W878" s="64" t="n">
        <f aca="false">IF($K878="U – needs rule",$P878,0)</f>
        <v>0</v>
      </c>
      <c r="X878" s="64" t="n">
        <f aca="false">IF($K878="No Start (attainment only)",$P878,0)</f>
        <v>0</v>
      </c>
    </row>
    <row r="879" customFormat="false" ht="15" hidden="false" customHeight="false" outlineLevel="0" collapsed="false">
      <c r="A879" s="60"/>
      <c r="B879" s="61" t="str">
        <f aca="false">IF($M879=0,"",INDEX(Classes!$E$6:$E$420,$M879))</f>
        <v/>
      </c>
      <c r="C879" s="62" t="str">
        <f aca="false">IF($M879=0,"",INDEX(Classes!$H$6:$H$420,$M879))</f>
        <v/>
      </c>
      <c r="D879" s="61" t="str">
        <f aca="false">IF($M879=0,"",INDEX(Classes!$B$6:$B$420,$M879))</f>
        <v/>
      </c>
      <c r="E879" s="61" t="str">
        <f aca="false">IF($M879=0,"",INDEX(Classes!$C$6:$C$420,$M879))</f>
        <v/>
      </c>
      <c r="F879" s="63"/>
      <c r="G879" s="63"/>
      <c r="H879" s="60"/>
      <c r="I879" s="60"/>
      <c r="J879" s="63"/>
      <c r="K879" s="61" t="str">
        <f aca="false">IF($P879=0,"",IF($F879="Baseline","— Baseline",IF($O879=0,"No result",IF($N879=0,"No Start (attainment only)",IF(OR($N879=1,$O879=1),"U – needs rule",INDEX(MxBody,MATCH($I879,MxCurr,0),MATCH($H879,MxStart,0)))))))</f>
        <v/>
      </c>
      <c r="L879" s="62" t="str">
        <f aca="false">IF(COUNTA($A879,$F879,$G879,$H879,$I879,$J879)=0,"",IF($M879=0,"✖ كود الصف غير موجود",IF(ISNA(MATCH($F879,Lists!$A$2:$A$5,0)),"✖ الفترة غير صحيحة",IF(ISNA(MATCH($G879,Lists!$B$2:$B$7,0)),"✖ المجموعة غير صحيحة",IF(NOT(OR($H879="",$N879&gt;0)),"✖ Start غير صحيح",IF(NOT(OR($I879="",$I879="NR",$O879&gt;0)),"✖ Current غير صحيح",IF(NOT(IF(ISNUMBER($J879),AND($J879&gt;=0,$J879=INT($J879)),FALSE())),"✖ العدد يجب أن يكون صحيحًا ≥ 0",IF(AND($F879="Baseline",$H879&lt;&gt;""),"⚠ Baseline: Start لا يدخل في التقدم",IF($K879="No Start (attainment only)","ℹ تحصيل فقط (بدون Start)",IF($K879="U – needs rule","ℹ حالة U تحتاج قاعدة معتمدة",IF($K879="No result","ℹ بدون نتيجة (يُستبعد من التحصيل)","OK")))))))))))</f>
        <v/>
      </c>
      <c r="M879" s="64" t="n">
        <f aca="false">IF($A879="",0,IFERROR(MATCH($A879,Classes!$A$6:$A$420,0),0))</f>
        <v>0</v>
      </c>
      <c r="N879" s="64" t="n">
        <f aca="false">IF($H879="",0,IFERROR(MATCH($H879,GradeList,0),0))</f>
        <v>0</v>
      </c>
      <c r="O879" s="64" t="n">
        <f aca="false">IF(OR($I879="",$I879="NR"),0,IFERROR(MATCH($I879,GradeList,0),0))</f>
        <v>0</v>
      </c>
      <c r="P879" s="64" t="n">
        <f aca="false">IF(AND($M879&gt;0,ISNUMBER(MATCH($F879,Lists!$A$2:$A$5,0)),ISNUMBER(MATCH($G879,Lists!$B$2:$B$7,0)),OR($H879="",$N879&gt;0),OR($I879="",$I879="NR",$O879&gt;0),IF(ISNUMBER($J879),AND($J879&gt;=0,$J879=INT($J879)),FALSE())),$J879,0)</f>
        <v>0</v>
      </c>
      <c r="Q879" s="64" t="n">
        <f aca="false">IF(AND($P879&gt;0,$O879&gt;0),$P879,0)</f>
        <v>0</v>
      </c>
      <c r="R879" s="64" t="n">
        <f aca="false">IF(AND($Q879&gt;0,$O879&gt;=AtRank),$Q879,0)</f>
        <v>0</v>
      </c>
      <c r="S879" s="64" t="n">
        <f aca="false">IF(AND($Q879&gt;0,$O879&gt;=AboveRank),$Q879,0)</f>
        <v>0</v>
      </c>
      <c r="T879" s="64" t="n">
        <f aca="false">IF($K879="Less",$P879,0)</f>
        <v>0</v>
      </c>
      <c r="U879" s="64" t="n">
        <f aca="false">IF($K879="Expected",$P879,0)</f>
        <v>0</v>
      </c>
      <c r="V879" s="64" t="n">
        <f aca="false">IF($K879="Better",$P879,0)</f>
        <v>0</v>
      </c>
      <c r="W879" s="64" t="n">
        <f aca="false">IF($K879="U – needs rule",$P879,0)</f>
        <v>0</v>
      </c>
      <c r="X879" s="64" t="n">
        <f aca="false">IF($K879="No Start (attainment only)",$P879,0)</f>
        <v>0</v>
      </c>
    </row>
    <row r="880" customFormat="false" ht="15" hidden="false" customHeight="false" outlineLevel="0" collapsed="false">
      <c r="A880" s="60"/>
      <c r="B880" s="61" t="str">
        <f aca="false">IF($M880=0,"",INDEX(Classes!$E$6:$E$420,$M880))</f>
        <v/>
      </c>
      <c r="C880" s="62" t="str">
        <f aca="false">IF($M880=0,"",INDEX(Classes!$H$6:$H$420,$M880))</f>
        <v/>
      </c>
      <c r="D880" s="61" t="str">
        <f aca="false">IF($M880=0,"",INDEX(Classes!$B$6:$B$420,$M880))</f>
        <v/>
      </c>
      <c r="E880" s="61" t="str">
        <f aca="false">IF($M880=0,"",INDEX(Classes!$C$6:$C$420,$M880))</f>
        <v/>
      </c>
      <c r="F880" s="63"/>
      <c r="G880" s="63"/>
      <c r="H880" s="60"/>
      <c r="I880" s="60"/>
      <c r="J880" s="63"/>
      <c r="K880" s="61" t="str">
        <f aca="false">IF($P880=0,"",IF($F880="Baseline","— Baseline",IF($O880=0,"No result",IF($N880=0,"No Start (attainment only)",IF(OR($N880=1,$O880=1),"U – needs rule",INDEX(MxBody,MATCH($I880,MxCurr,0),MATCH($H880,MxStart,0)))))))</f>
        <v/>
      </c>
      <c r="L880" s="62" t="str">
        <f aca="false">IF(COUNTA($A880,$F880,$G880,$H880,$I880,$J880)=0,"",IF($M880=0,"✖ كود الصف غير موجود",IF(ISNA(MATCH($F880,Lists!$A$2:$A$5,0)),"✖ الفترة غير صحيحة",IF(ISNA(MATCH($G880,Lists!$B$2:$B$7,0)),"✖ المجموعة غير صحيحة",IF(NOT(OR($H880="",$N880&gt;0)),"✖ Start غير صحيح",IF(NOT(OR($I880="",$I880="NR",$O880&gt;0)),"✖ Current غير صحيح",IF(NOT(IF(ISNUMBER($J880),AND($J880&gt;=0,$J880=INT($J880)),FALSE())),"✖ العدد يجب أن يكون صحيحًا ≥ 0",IF(AND($F880="Baseline",$H880&lt;&gt;""),"⚠ Baseline: Start لا يدخل في التقدم",IF($K880="No Start (attainment only)","ℹ تحصيل فقط (بدون Start)",IF($K880="U – needs rule","ℹ حالة U تحتاج قاعدة معتمدة",IF($K880="No result","ℹ بدون نتيجة (يُستبعد من التحصيل)","OK")))))))))))</f>
        <v/>
      </c>
      <c r="M880" s="64" t="n">
        <f aca="false">IF($A880="",0,IFERROR(MATCH($A880,Classes!$A$6:$A$420,0),0))</f>
        <v>0</v>
      </c>
      <c r="N880" s="64" t="n">
        <f aca="false">IF($H880="",0,IFERROR(MATCH($H880,GradeList,0),0))</f>
        <v>0</v>
      </c>
      <c r="O880" s="64" t="n">
        <f aca="false">IF(OR($I880="",$I880="NR"),0,IFERROR(MATCH($I880,GradeList,0),0))</f>
        <v>0</v>
      </c>
      <c r="P880" s="64" t="n">
        <f aca="false">IF(AND($M880&gt;0,ISNUMBER(MATCH($F880,Lists!$A$2:$A$5,0)),ISNUMBER(MATCH($G880,Lists!$B$2:$B$7,0)),OR($H880="",$N880&gt;0),OR($I880="",$I880="NR",$O880&gt;0),IF(ISNUMBER($J880),AND($J880&gt;=0,$J880=INT($J880)),FALSE())),$J880,0)</f>
        <v>0</v>
      </c>
      <c r="Q880" s="64" t="n">
        <f aca="false">IF(AND($P880&gt;0,$O880&gt;0),$P880,0)</f>
        <v>0</v>
      </c>
      <c r="R880" s="64" t="n">
        <f aca="false">IF(AND($Q880&gt;0,$O880&gt;=AtRank),$Q880,0)</f>
        <v>0</v>
      </c>
      <c r="S880" s="64" t="n">
        <f aca="false">IF(AND($Q880&gt;0,$O880&gt;=AboveRank),$Q880,0)</f>
        <v>0</v>
      </c>
      <c r="T880" s="64" t="n">
        <f aca="false">IF($K880="Less",$P880,0)</f>
        <v>0</v>
      </c>
      <c r="U880" s="64" t="n">
        <f aca="false">IF($K880="Expected",$P880,0)</f>
        <v>0</v>
      </c>
      <c r="V880" s="64" t="n">
        <f aca="false">IF($K880="Better",$P880,0)</f>
        <v>0</v>
      </c>
      <c r="W880" s="64" t="n">
        <f aca="false">IF($K880="U – needs rule",$P880,0)</f>
        <v>0</v>
      </c>
      <c r="X880" s="64" t="n">
        <f aca="false">IF($K880="No Start (attainment only)",$P880,0)</f>
        <v>0</v>
      </c>
    </row>
    <row r="881" customFormat="false" ht="15" hidden="false" customHeight="false" outlineLevel="0" collapsed="false">
      <c r="A881" s="60"/>
      <c r="B881" s="61" t="str">
        <f aca="false">IF($M881=0,"",INDEX(Classes!$E$6:$E$420,$M881))</f>
        <v/>
      </c>
      <c r="C881" s="62" t="str">
        <f aca="false">IF($M881=0,"",INDEX(Classes!$H$6:$H$420,$M881))</f>
        <v/>
      </c>
      <c r="D881" s="61" t="str">
        <f aca="false">IF($M881=0,"",INDEX(Classes!$B$6:$B$420,$M881))</f>
        <v/>
      </c>
      <c r="E881" s="61" t="str">
        <f aca="false">IF($M881=0,"",INDEX(Classes!$C$6:$C$420,$M881))</f>
        <v/>
      </c>
      <c r="F881" s="63"/>
      <c r="G881" s="63"/>
      <c r="H881" s="60"/>
      <c r="I881" s="60"/>
      <c r="J881" s="63"/>
      <c r="K881" s="61" t="str">
        <f aca="false">IF($P881=0,"",IF($F881="Baseline","— Baseline",IF($O881=0,"No result",IF($N881=0,"No Start (attainment only)",IF(OR($N881=1,$O881=1),"U – needs rule",INDEX(MxBody,MATCH($I881,MxCurr,0),MATCH($H881,MxStart,0)))))))</f>
        <v/>
      </c>
      <c r="L881" s="62" t="str">
        <f aca="false">IF(COUNTA($A881,$F881,$G881,$H881,$I881,$J881)=0,"",IF($M881=0,"✖ كود الصف غير موجود",IF(ISNA(MATCH($F881,Lists!$A$2:$A$5,0)),"✖ الفترة غير صحيحة",IF(ISNA(MATCH($G881,Lists!$B$2:$B$7,0)),"✖ المجموعة غير صحيحة",IF(NOT(OR($H881="",$N881&gt;0)),"✖ Start غير صحيح",IF(NOT(OR($I881="",$I881="NR",$O881&gt;0)),"✖ Current غير صحيح",IF(NOT(IF(ISNUMBER($J881),AND($J881&gt;=0,$J881=INT($J881)),FALSE())),"✖ العدد يجب أن يكون صحيحًا ≥ 0",IF(AND($F881="Baseline",$H881&lt;&gt;""),"⚠ Baseline: Start لا يدخل في التقدم",IF($K881="No Start (attainment only)","ℹ تحصيل فقط (بدون Start)",IF($K881="U – needs rule","ℹ حالة U تحتاج قاعدة معتمدة",IF($K881="No result","ℹ بدون نتيجة (يُستبعد من التحصيل)","OK")))))))))))</f>
        <v/>
      </c>
      <c r="M881" s="64" t="n">
        <f aca="false">IF($A881="",0,IFERROR(MATCH($A881,Classes!$A$6:$A$420,0),0))</f>
        <v>0</v>
      </c>
      <c r="N881" s="64" t="n">
        <f aca="false">IF($H881="",0,IFERROR(MATCH($H881,GradeList,0),0))</f>
        <v>0</v>
      </c>
      <c r="O881" s="64" t="n">
        <f aca="false">IF(OR($I881="",$I881="NR"),0,IFERROR(MATCH($I881,GradeList,0),0))</f>
        <v>0</v>
      </c>
      <c r="P881" s="64" t="n">
        <f aca="false">IF(AND($M881&gt;0,ISNUMBER(MATCH($F881,Lists!$A$2:$A$5,0)),ISNUMBER(MATCH($G881,Lists!$B$2:$B$7,0)),OR($H881="",$N881&gt;0),OR($I881="",$I881="NR",$O881&gt;0),IF(ISNUMBER($J881),AND($J881&gt;=0,$J881=INT($J881)),FALSE())),$J881,0)</f>
        <v>0</v>
      </c>
      <c r="Q881" s="64" t="n">
        <f aca="false">IF(AND($P881&gt;0,$O881&gt;0),$P881,0)</f>
        <v>0</v>
      </c>
      <c r="R881" s="64" t="n">
        <f aca="false">IF(AND($Q881&gt;0,$O881&gt;=AtRank),$Q881,0)</f>
        <v>0</v>
      </c>
      <c r="S881" s="64" t="n">
        <f aca="false">IF(AND($Q881&gt;0,$O881&gt;=AboveRank),$Q881,0)</f>
        <v>0</v>
      </c>
      <c r="T881" s="64" t="n">
        <f aca="false">IF($K881="Less",$P881,0)</f>
        <v>0</v>
      </c>
      <c r="U881" s="64" t="n">
        <f aca="false">IF($K881="Expected",$P881,0)</f>
        <v>0</v>
      </c>
      <c r="V881" s="64" t="n">
        <f aca="false">IF($K881="Better",$P881,0)</f>
        <v>0</v>
      </c>
      <c r="W881" s="64" t="n">
        <f aca="false">IF($K881="U – needs rule",$P881,0)</f>
        <v>0</v>
      </c>
      <c r="X881" s="64" t="n">
        <f aca="false">IF($K881="No Start (attainment only)",$P881,0)</f>
        <v>0</v>
      </c>
    </row>
    <row r="882" customFormat="false" ht="15" hidden="false" customHeight="false" outlineLevel="0" collapsed="false">
      <c r="A882" s="60"/>
      <c r="B882" s="61" t="str">
        <f aca="false">IF($M882=0,"",INDEX(Classes!$E$6:$E$420,$M882))</f>
        <v/>
      </c>
      <c r="C882" s="62" t="str">
        <f aca="false">IF($M882=0,"",INDEX(Classes!$H$6:$H$420,$M882))</f>
        <v/>
      </c>
      <c r="D882" s="61" t="str">
        <f aca="false">IF($M882=0,"",INDEX(Classes!$B$6:$B$420,$M882))</f>
        <v/>
      </c>
      <c r="E882" s="61" t="str">
        <f aca="false">IF($M882=0,"",INDEX(Classes!$C$6:$C$420,$M882))</f>
        <v/>
      </c>
      <c r="F882" s="63"/>
      <c r="G882" s="63"/>
      <c r="H882" s="60"/>
      <c r="I882" s="60"/>
      <c r="J882" s="63"/>
      <c r="K882" s="61" t="str">
        <f aca="false">IF($P882=0,"",IF($F882="Baseline","— Baseline",IF($O882=0,"No result",IF($N882=0,"No Start (attainment only)",IF(OR($N882=1,$O882=1),"U – needs rule",INDEX(MxBody,MATCH($I882,MxCurr,0),MATCH($H882,MxStart,0)))))))</f>
        <v/>
      </c>
      <c r="L882" s="62" t="str">
        <f aca="false">IF(COUNTA($A882,$F882,$G882,$H882,$I882,$J882)=0,"",IF($M882=0,"✖ كود الصف غير موجود",IF(ISNA(MATCH($F882,Lists!$A$2:$A$5,0)),"✖ الفترة غير صحيحة",IF(ISNA(MATCH($G882,Lists!$B$2:$B$7,0)),"✖ المجموعة غير صحيحة",IF(NOT(OR($H882="",$N882&gt;0)),"✖ Start غير صحيح",IF(NOT(OR($I882="",$I882="NR",$O882&gt;0)),"✖ Current غير صحيح",IF(NOT(IF(ISNUMBER($J882),AND($J882&gt;=0,$J882=INT($J882)),FALSE())),"✖ العدد يجب أن يكون صحيحًا ≥ 0",IF(AND($F882="Baseline",$H882&lt;&gt;""),"⚠ Baseline: Start لا يدخل في التقدم",IF($K882="No Start (attainment only)","ℹ تحصيل فقط (بدون Start)",IF($K882="U – needs rule","ℹ حالة U تحتاج قاعدة معتمدة",IF($K882="No result","ℹ بدون نتيجة (يُستبعد من التحصيل)","OK")))))))))))</f>
        <v/>
      </c>
      <c r="M882" s="64" t="n">
        <f aca="false">IF($A882="",0,IFERROR(MATCH($A882,Classes!$A$6:$A$420,0),0))</f>
        <v>0</v>
      </c>
      <c r="N882" s="64" t="n">
        <f aca="false">IF($H882="",0,IFERROR(MATCH($H882,GradeList,0),0))</f>
        <v>0</v>
      </c>
      <c r="O882" s="64" t="n">
        <f aca="false">IF(OR($I882="",$I882="NR"),0,IFERROR(MATCH($I882,GradeList,0),0))</f>
        <v>0</v>
      </c>
      <c r="P882" s="64" t="n">
        <f aca="false">IF(AND($M882&gt;0,ISNUMBER(MATCH($F882,Lists!$A$2:$A$5,0)),ISNUMBER(MATCH($G882,Lists!$B$2:$B$7,0)),OR($H882="",$N882&gt;0),OR($I882="",$I882="NR",$O882&gt;0),IF(ISNUMBER($J882),AND($J882&gt;=0,$J882=INT($J882)),FALSE())),$J882,0)</f>
        <v>0</v>
      </c>
      <c r="Q882" s="64" t="n">
        <f aca="false">IF(AND($P882&gt;0,$O882&gt;0),$P882,0)</f>
        <v>0</v>
      </c>
      <c r="R882" s="64" t="n">
        <f aca="false">IF(AND($Q882&gt;0,$O882&gt;=AtRank),$Q882,0)</f>
        <v>0</v>
      </c>
      <c r="S882" s="64" t="n">
        <f aca="false">IF(AND($Q882&gt;0,$O882&gt;=AboveRank),$Q882,0)</f>
        <v>0</v>
      </c>
      <c r="T882" s="64" t="n">
        <f aca="false">IF($K882="Less",$P882,0)</f>
        <v>0</v>
      </c>
      <c r="U882" s="64" t="n">
        <f aca="false">IF($K882="Expected",$P882,0)</f>
        <v>0</v>
      </c>
      <c r="V882" s="64" t="n">
        <f aca="false">IF($K882="Better",$P882,0)</f>
        <v>0</v>
      </c>
      <c r="W882" s="64" t="n">
        <f aca="false">IF($K882="U – needs rule",$P882,0)</f>
        <v>0</v>
      </c>
      <c r="X882" s="64" t="n">
        <f aca="false">IF($K882="No Start (attainment only)",$P882,0)</f>
        <v>0</v>
      </c>
    </row>
    <row r="883" customFormat="false" ht="15" hidden="false" customHeight="false" outlineLevel="0" collapsed="false">
      <c r="A883" s="60"/>
      <c r="B883" s="61" t="str">
        <f aca="false">IF($M883=0,"",INDEX(Classes!$E$6:$E$420,$M883))</f>
        <v/>
      </c>
      <c r="C883" s="62" t="str">
        <f aca="false">IF($M883=0,"",INDEX(Classes!$H$6:$H$420,$M883))</f>
        <v/>
      </c>
      <c r="D883" s="61" t="str">
        <f aca="false">IF($M883=0,"",INDEX(Classes!$B$6:$B$420,$M883))</f>
        <v/>
      </c>
      <c r="E883" s="61" t="str">
        <f aca="false">IF($M883=0,"",INDEX(Classes!$C$6:$C$420,$M883))</f>
        <v/>
      </c>
      <c r="F883" s="63"/>
      <c r="G883" s="63"/>
      <c r="H883" s="60"/>
      <c r="I883" s="60"/>
      <c r="J883" s="63"/>
      <c r="K883" s="61" t="str">
        <f aca="false">IF($P883=0,"",IF($F883="Baseline","— Baseline",IF($O883=0,"No result",IF($N883=0,"No Start (attainment only)",IF(OR($N883=1,$O883=1),"U – needs rule",INDEX(MxBody,MATCH($I883,MxCurr,0),MATCH($H883,MxStart,0)))))))</f>
        <v/>
      </c>
      <c r="L883" s="62" t="str">
        <f aca="false">IF(COUNTA($A883,$F883,$G883,$H883,$I883,$J883)=0,"",IF($M883=0,"✖ كود الصف غير موجود",IF(ISNA(MATCH($F883,Lists!$A$2:$A$5,0)),"✖ الفترة غير صحيحة",IF(ISNA(MATCH($G883,Lists!$B$2:$B$7,0)),"✖ المجموعة غير صحيحة",IF(NOT(OR($H883="",$N883&gt;0)),"✖ Start غير صحيح",IF(NOT(OR($I883="",$I883="NR",$O883&gt;0)),"✖ Current غير صحيح",IF(NOT(IF(ISNUMBER($J883),AND($J883&gt;=0,$J883=INT($J883)),FALSE())),"✖ العدد يجب أن يكون صحيحًا ≥ 0",IF(AND($F883="Baseline",$H883&lt;&gt;""),"⚠ Baseline: Start لا يدخل في التقدم",IF($K883="No Start (attainment only)","ℹ تحصيل فقط (بدون Start)",IF($K883="U – needs rule","ℹ حالة U تحتاج قاعدة معتمدة",IF($K883="No result","ℹ بدون نتيجة (يُستبعد من التحصيل)","OK")))))))))))</f>
        <v/>
      </c>
      <c r="M883" s="64" t="n">
        <f aca="false">IF($A883="",0,IFERROR(MATCH($A883,Classes!$A$6:$A$420,0),0))</f>
        <v>0</v>
      </c>
      <c r="N883" s="64" t="n">
        <f aca="false">IF($H883="",0,IFERROR(MATCH($H883,GradeList,0),0))</f>
        <v>0</v>
      </c>
      <c r="O883" s="64" t="n">
        <f aca="false">IF(OR($I883="",$I883="NR"),0,IFERROR(MATCH($I883,GradeList,0),0))</f>
        <v>0</v>
      </c>
      <c r="P883" s="64" t="n">
        <f aca="false">IF(AND($M883&gt;0,ISNUMBER(MATCH($F883,Lists!$A$2:$A$5,0)),ISNUMBER(MATCH($G883,Lists!$B$2:$B$7,0)),OR($H883="",$N883&gt;0),OR($I883="",$I883="NR",$O883&gt;0),IF(ISNUMBER($J883),AND($J883&gt;=0,$J883=INT($J883)),FALSE())),$J883,0)</f>
        <v>0</v>
      </c>
      <c r="Q883" s="64" t="n">
        <f aca="false">IF(AND($P883&gt;0,$O883&gt;0),$P883,0)</f>
        <v>0</v>
      </c>
      <c r="R883" s="64" t="n">
        <f aca="false">IF(AND($Q883&gt;0,$O883&gt;=AtRank),$Q883,0)</f>
        <v>0</v>
      </c>
      <c r="S883" s="64" t="n">
        <f aca="false">IF(AND($Q883&gt;0,$O883&gt;=AboveRank),$Q883,0)</f>
        <v>0</v>
      </c>
      <c r="T883" s="64" t="n">
        <f aca="false">IF($K883="Less",$P883,0)</f>
        <v>0</v>
      </c>
      <c r="U883" s="64" t="n">
        <f aca="false">IF($K883="Expected",$P883,0)</f>
        <v>0</v>
      </c>
      <c r="V883" s="64" t="n">
        <f aca="false">IF($K883="Better",$P883,0)</f>
        <v>0</v>
      </c>
      <c r="W883" s="64" t="n">
        <f aca="false">IF($K883="U – needs rule",$P883,0)</f>
        <v>0</v>
      </c>
      <c r="X883" s="64" t="n">
        <f aca="false">IF($K883="No Start (attainment only)",$P883,0)</f>
        <v>0</v>
      </c>
    </row>
    <row r="884" customFormat="false" ht="15" hidden="false" customHeight="false" outlineLevel="0" collapsed="false">
      <c r="A884" s="60"/>
      <c r="B884" s="61" t="str">
        <f aca="false">IF($M884=0,"",INDEX(Classes!$E$6:$E$420,$M884))</f>
        <v/>
      </c>
      <c r="C884" s="62" t="str">
        <f aca="false">IF($M884=0,"",INDEX(Classes!$H$6:$H$420,$M884))</f>
        <v/>
      </c>
      <c r="D884" s="61" t="str">
        <f aca="false">IF($M884=0,"",INDEX(Classes!$B$6:$B$420,$M884))</f>
        <v/>
      </c>
      <c r="E884" s="61" t="str">
        <f aca="false">IF($M884=0,"",INDEX(Classes!$C$6:$C$420,$M884))</f>
        <v/>
      </c>
      <c r="F884" s="63"/>
      <c r="G884" s="63"/>
      <c r="H884" s="60"/>
      <c r="I884" s="60"/>
      <c r="J884" s="63"/>
      <c r="K884" s="61" t="str">
        <f aca="false">IF($P884=0,"",IF($F884="Baseline","— Baseline",IF($O884=0,"No result",IF($N884=0,"No Start (attainment only)",IF(OR($N884=1,$O884=1),"U – needs rule",INDEX(MxBody,MATCH($I884,MxCurr,0),MATCH($H884,MxStart,0)))))))</f>
        <v/>
      </c>
      <c r="L884" s="62" t="str">
        <f aca="false">IF(COUNTA($A884,$F884,$G884,$H884,$I884,$J884)=0,"",IF($M884=0,"✖ كود الصف غير موجود",IF(ISNA(MATCH($F884,Lists!$A$2:$A$5,0)),"✖ الفترة غير صحيحة",IF(ISNA(MATCH($G884,Lists!$B$2:$B$7,0)),"✖ المجموعة غير صحيحة",IF(NOT(OR($H884="",$N884&gt;0)),"✖ Start غير صحيح",IF(NOT(OR($I884="",$I884="NR",$O884&gt;0)),"✖ Current غير صحيح",IF(NOT(IF(ISNUMBER($J884),AND($J884&gt;=0,$J884=INT($J884)),FALSE())),"✖ العدد يجب أن يكون صحيحًا ≥ 0",IF(AND($F884="Baseline",$H884&lt;&gt;""),"⚠ Baseline: Start لا يدخل في التقدم",IF($K884="No Start (attainment only)","ℹ تحصيل فقط (بدون Start)",IF($K884="U – needs rule","ℹ حالة U تحتاج قاعدة معتمدة",IF($K884="No result","ℹ بدون نتيجة (يُستبعد من التحصيل)","OK")))))))))))</f>
        <v/>
      </c>
      <c r="M884" s="64" t="n">
        <f aca="false">IF($A884="",0,IFERROR(MATCH($A884,Classes!$A$6:$A$420,0),0))</f>
        <v>0</v>
      </c>
      <c r="N884" s="64" t="n">
        <f aca="false">IF($H884="",0,IFERROR(MATCH($H884,GradeList,0),0))</f>
        <v>0</v>
      </c>
      <c r="O884" s="64" t="n">
        <f aca="false">IF(OR($I884="",$I884="NR"),0,IFERROR(MATCH($I884,GradeList,0),0))</f>
        <v>0</v>
      </c>
      <c r="P884" s="64" t="n">
        <f aca="false">IF(AND($M884&gt;0,ISNUMBER(MATCH($F884,Lists!$A$2:$A$5,0)),ISNUMBER(MATCH($G884,Lists!$B$2:$B$7,0)),OR($H884="",$N884&gt;0),OR($I884="",$I884="NR",$O884&gt;0),IF(ISNUMBER($J884),AND($J884&gt;=0,$J884=INT($J884)),FALSE())),$J884,0)</f>
        <v>0</v>
      </c>
      <c r="Q884" s="64" t="n">
        <f aca="false">IF(AND($P884&gt;0,$O884&gt;0),$P884,0)</f>
        <v>0</v>
      </c>
      <c r="R884" s="64" t="n">
        <f aca="false">IF(AND($Q884&gt;0,$O884&gt;=AtRank),$Q884,0)</f>
        <v>0</v>
      </c>
      <c r="S884" s="64" t="n">
        <f aca="false">IF(AND($Q884&gt;0,$O884&gt;=AboveRank),$Q884,0)</f>
        <v>0</v>
      </c>
      <c r="T884" s="64" t="n">
        <f aca="false">IF($K884="Less",$P884,0)</f>
        <v>0</v>
      </c>
      <c r="U884" s="64" t="n">
        <f aca="false">IF($K884="Expected",$P884,0)</f>
        <v>0</v>
      </c>
      <c r="V884" s="64" t="n">
        <f aca="false">IF($K884="Better",$P884,0)</f>
        <v>0</v>
      </c>
      <c r="W884" s="64" t="n">
        <f aca="false">IF($K884="U – needs rule",$P884,0)</f>
        <v>0</v>
      </c>
      <c r="X884" s="64" t="n">
        <f aca="false">IF($K884="No Start (attainment only)",$P884,0)</f>
        <v>0</v>
      </c>
    </row>
    <row r="885" customFormat="false" ht="15" hidden="false" customHeight="false" outlineLevel="0" collapsed="false">
      <c r="A885" s="60"/>
      <c r="B885" s="61" t="str">
        <f aca="false">IF($M885=0,"",INDEX(Classes!$E$6:$E$420,$M885))</f>
        <v/>
      </c>
      <c r="C885" s="62" t="str">
        <f aca="false">IF($M885=0,"",INDEX(Classes!$H$6:$H$420,$M885))</f>
        <v/>
      </c>
      <c r="D885" s="61" t="str">
        <f aca="false">IF($M885=0,"",INDEX(Classes!$B$6:$B$420,$M885))</f>
        <v/>
      </c>
      <c r="E885" s="61" t="str">
        <f aca="false">IF($M885=0,"",INDEX(Classes!$C$6:$C$420,$M885))</f>
        <v/>
      </c>
      <c r="F885" s="63"/>
      <c r="G885" s="63"/>
      <c r="H885" s="60"/>
      <c r="I885" s="60"/>
      <c r="J885" s="63"/>
      <c r="K885" s="61" t="str">
        <f aca="false">IF($P885=0,"",IF($F885="Baseline","— Baseline",IF($O885=0,"No result",IF($N885=0,"No Start (attainment only)",IF(OR($N885=1,$O885=1),"U – needs rule",INDEX(MxBody,MATCH($I885,MxCurr,0),MATCH($H885,MxStart,0)))))))</f>
        <v/>
      </c>
      <c r="L885" s="62" t="str">
        <f aca="false">IF(COUNTA($A885,$F885,$G885,$H885,$I885,$J885)=0,"",IF($M885=0,"✖ كود الصف غير موجود",IF(ISNA(MATCH($F885,Lists!$A$2:$A$5,0)),"✖ الفترة غير صحيحة",IF(ISNA(MATCH($G885,Lists!$B$2:$B$7,0)),"✖ المجموعة غير صحيحة",IF(NOT(OR($H885="",$N885&gt;0)),"✖ Start غير صحيح",IF(NOT(OR($I885="",$I885="NR",$O885&gt;0)),"✖ Current غير صحيح",IF(NOT(IF(ISNUMBER($J885),AND($J885&gt;=0,$J885=INT($J885)),FALSE())),"✖ العدد يجب أن يكون صحيحًا ≥ 0",IF(AND($F885="Baseline",$H885&lt;&gt;""),"⚠ Baseline: Start لا يدخل في التقدم",IF($K885="No Start (attainment only)","ℹ تحصيل فقط (بدون Start)",IF($K885="U – needs rule","ℹ حالة U تحتاج قاعدة معتمدة",IF($K885="No result","ℹ بدون نتيجة (يُستبعد من التحصيل)","OK")))))))))))</f>
        <v/>
      </c>
      <c r="M885" s="64" t="n">
        <f aca="false">IF($A885="",0,IFERROR(MATCH($A885,Classes!$A$6:$A$420,0),0))</f>
        <v>0</v>
      </c>
      <c r="N885" s="64" t="n">
        <f aca="false">IF($H885="",0,IFERROR(MATCH($H885,GradeList,0),0))</f>
        <v>0</v>
      </c>
      <c r="O885" s="64" t="n">
        <f aca="false">IF(OR($I885="",$I885="NR"),0,IFERROR(MATCH($I885,GradeList,0),0))</f>
        <v>0</v>
      </c>
      <c r="P885" s="64" t="n">
        <f aca="false">IF(AND($M885&gt;0,ISNUMBER(MATCH($F885,Lists!$A$2:$A$5,0)),ISNUMBER(MATCH($G885,Lists!$B$2:$B$7,0)),OR($H885="",$N885&gt;0),OR($I885="",$I885="NR",$O885&gt;0),IF(ISNUMBER($J885),AND($J885&gt;=0,$J885=INT($J885)),FALSE())),$J885,0)</f>
        <v>0</v>
      </c>
      <c r="Q885" s="64" t="n">
        <f aca="false">IF(AND($P885&gt;0,$O885&gt;0),$P885,0)</f>
        <v>0</v>
      </c>
      <c r="R885" s="64" t="n">
        <f aca="false">IF(AND($Q885&gt;0,$O885&gt;=AtRank),$Q885,0)</f>
        <v>0</v>
      </c>
      <c r="S885" s="64" t="n">
        <f aca="false">IF(AND($Q885&gt;0,$O885&gt;=AboveRank),$Q885,0)</f>
        <v>0</v>
      </c>
      <c r="T885" s="64" t="n">
        <f aca="false">IF($K885="Less",$P885,0)</f>
        <v>0</v>
      </c>
      <c r="U885" s="64" t="n">
        <f aca="false">IF($K885="Expected",$P885,0)</f>
        <v>0</v>
      </c>
      <c r="V885" s="64" t="n">
        <f aca="false">IF($K885="Better",$P885,0)</f>
        <v>0</v>
      </c>
      <c r="W885" s="64" t="n">
        <f aca="false">IF($K885="U – needs rule",$P885,0)</f>
        <v>0</v>
      </c>
      <c r="X885" s="64" t="n">
        <f aca="false">IF($K885="No Start (attainment only)",$P885,0)</f>
        <v>0</v>
      </c>
    </row>
    <row r="886" customFormat="false" ht="15" hidden="false" customHeight="false" outlineLevel="0" collapsed="false">
      <c r="A886" s="60"/>
      <c r="B886" s="61" t="str">
        <f aca="false">IF($M886=0,"",INDEX(Classes!$E$6:$E$420,$M886))</f>
        <v/>
      </c>
      <c r="C886" s="62" t="str">
        <f aca="false">IF($M886=0,"",INDEX(Classes!$H$6:$H$420,$M886))</f>
        <v/>
      </c>
      <c r="D886" s="61" t="str">
        <f aca="false">IF($M886=0,"",INDEX(Classes!$B$6:$B$420,$M886))</f>
        <v/>
      </c>
      <c r="E886" s="61" t="str">
        <f aca="false">IF($M886=0,"",INDEX(Classes!$C$6:$C$420,$M886))</f>
        <v/>
      </c>
      <c r="F886" s="63"/>
      <c r="G886" s="63"/>
      <c r="H886" s="60"/>
      <c r="I886" s="60"/>
      <c r="J886" s="63"/>
      <c r="K886" s="61" t="str">
        <f aca="false">IF($P886=0,"",IF($F886="Baseline","— Baseline",IF($O886=0,"No result",IF($N886=0,"No Start (attainment only)",IF(OR($N886=1,$O886=1),"U – needs rule",INDEX(MxBody,MATCH($I886,MxCurr,0),MATCH($H886,MxStart,0)))))))</f>
        <v/>
      </c>
      <c r="L886" s="62" t="str">
        <f aca="false">IF(COUNTA($A886,$F886,$G886,$H886,$I886,$J886)=0,"",IF($M886=0,"✖ كود الصف غير موجود",IF(ISNA(MATCH($F886,Lists!$A$2:$A$5,0)),"✖ الفترة غير صحيحة",IF(ISNA(MATCH($G886,Lists!$B$2:$B$7,0)),"✖ المجموعة غير صحيحة",IF(NOT(OR($H886="",$N886&gt;0)),"✖ Start غير صحيح",IF(NOT(OR($I886="",$I886="NR",$O886&gt;0)),"✖ Current غير صحيح",IF(NOT(IF(ISNUMBER($J886),AND($J886&gt;=0,$J886=INT($J886)),FALSE())),"✖ العدد يجب أن يكون صحيحًا ≥ 0",IF(AND($F886="Baseline",$H886&lt;&gt;""),"⚠ Baseline: Start لا يدخل في التقدم",IF($K886="No Start (attainment only)","ℹ تحصيل فقط (بدون Start)",IF($K886="U – needs rule","ℹ حالة U تحتاج قاعدة معتمدة",IF($K886="No result","ℹ بدون نتيجة (يُستبعد من التحصيل)","OK")))))))))))</f>
        <v/>
      </c>
      <c r="M886" s="64" t="n">
        <f aca="false">IF($A886="",0,IFERROR(MATCH($A886,Classes!$A$6:$A$420,0),0))</f>
        <v>0</v>
      </c>
      <c r="N886" s="64" t="n">
        <f aca="false">IF($H886="",0,IFERROR(MATCH($H886,GradeList,0),0))</f>
        <v>0</v>
      </c>
      <c r="O886" s="64" t="n">
        <f aca="false">IF(OR($I886="",$I886="NR"),0,IFERROR(MATCH($I886,GradeList,0),0))</f>
        <v>0</v>
      </c>
      <c r="P886" s="64" t="n">
        <f aca="false">IF(AND($M886&gt;0,ISNUMBER(MATCH($F886,Lists!$A$2:$A$5,0)),ISNUMBER(MATCH($G886,Lists!$B$2:$B$7,0)),OR($H886="",$N886&gt;0),OR($I886="",$I886="NR",$O886&gt;0),IF(ISNUMBER($J886),AND($J886&gt;=0,$J886=INT($J886)),FALSE())),$J886,0)</f>
        <v>0</v>
      </c>
      <c r="Q886" s="64" t="n">
        <f aca="false">IF(AND($P886&gt;0,$O886&gt;0),$P886,0)</f>
        <v>0</v>
      </c>
      <c r="R886" s="64" t="n">
        <f aca="false">IF(AND($Q886&gt;0,$O886&gt;=AtRank),$Q886,0)</f>
        <v>0</v>
      </c>
      <c r="S886" s="64" t="n">
        <f aca="false">IF(AND($Q886&gt;0,$O886&gt;=AboveRank),$Q886,0)</f>
        <v>0</v>
      </c>
      <c r="T886" s="64" t="n">
        <f aca="false">IF($K886="Less",$P886,0)</f>
        <v>0</v>
      </c>
      <c r="U886" s="64" t="n">
        <f aca="false">IF($K886="Expected",$P886,0)</f>
        <v>0</v>
      </c>
      <c r="V886" s="64" t="n">
        <f aca="false">IF($K886="Better",$P886,0)</f>
        <v>0</v>
      </c>
      <c r="W886" s="64" t="n">
        <f aca="false">IF($K886="U – needs rule",$P886,0)</f>
        <v>0</v>
      </c>
      <c r="X886" s="64" t="n">
        <f aca="false">IF($K886="No Start (attainment only)",$P886,0)</f>
        <v>0</v>
      </c>
    </row>
    <row r="887" customFormat="false" ht="15" hidden="false" customHeight="false" outlineLevel="0" collapsed="false">
      <c r="A887" s="60"/>
      <c r="B887" s="61" t="str">
        <f aca="false">IF($M887=0,"",INDEX(Classes!$E$6:$E$420,$M887))</f>
        <v/>
      </c>
      <c r="C887" s="62" t="str">
        <f aca="false">IF($M887=0,"",INDEX(Classes!$H$6:$H$420,$M887))</f>
        <v/>
      </c>
      <c r="D887" s="61" t="str">
        <f aca="false">IF($M887=0,"",INDEX(Classes!$B$6:$B$420,$M887))</f>
        <v/>
      </c>
      <c r="E887" s="61" t="str">
        <f aca="false">IF($M887=0,"",INDEX(Classes!$C$6:$C$420,$M887))</f>
        <v/>
      </c>
      <c r="F887" s="63"/>
      <c r="G887" s="63"/>
      <c r="H887" s="60"/>
      <c r="I887" s="60"/>
      <c r="J887" s="63"/>
      <c r="K887" s="61" t="str">
        <f aca="false">IF($P887=0,"",IF($F887="Baseline","— Baseline",IF($O887=0,"No result",IF($N887=0,"No Start (attainment only)",IF(OR($N887=1,$O887=1),"U – needs rule",INDEX(MxBody,MATCH($I887,MxCurr,0),MATCH($H887,MxStart,0)))))))</f>
        <v/>
      </c>
      <c r="L887" s="62" t="str">
        <f aca="false">IF(COUNTA($A887,$F887,$G887,$H887,$I887,$J887)=0,"",IF($M887=0,"✖ كود الصف غير موجود",IF(ISNA(MATCH($F887,Lists!$A$2:$A$5,0)),"✖ الفترة غير صحيحة",IF(ISNA(MATCH($G887,Lists!$B$2:$B$7,0)),"✖ المجموعة غير صحيحة",IF(NOT(OR($H887="",$N887&gt;0)),"✖ Start غير صحيح",IF(NOT(OR($I887="",$I887="NR",$O887&gt;0)),"✖ Current غير صحيح",IF(NOT(IF(ISNUMBER($J887),AND($J887&gt;=0,$J887=INT($J887)),FALSE())),"✖ العدد يجب أن يكون صحيحًا ≥ 0",IF(AND($F887="Baseline",$H887&lt;&gt;""),"⚠ Baseline: Start لا يدخل في التقدم",IF($K887="No Start (attainment only)","ℹ تحصيل فقط (بدون Start)",IF($K887="U – needs rule","ℹ حالة U تحتاج قاعدة معتمدة",IF($K887="No result","ℹ بدون نتيجة (يُستبعد من التحصيل)","OK")))))))))))</f>
        <v/>
      </c>
      <c r="M887" s="64" t="n">
        <f aca="false">IF($A887="",0,IFERROR(MATCH($A887,Classes!$A$6:$A$420,0),0))</f>
        <v>0</v>
      </c>
      <c r="N887" s="64" t="n">
        <f aca="false">IF($H887="",0,IFERROR(MATCH($H887,GradeList,0),0))</f>
        <v>0</v>
      </c>
      <c r="O887" s="64" t="n">
        <f aca="false">IF(OR($I887="",$I887="NR"),0,IFERROR(MATCH($I887,GradeList,0),0))</f>
        <v>0</v>
      </c>
      <c r="P887" s="64" t="n">
        <f aca="false">IF(AND($M887&gt;0,ISNUMBER(MATCH($F887,Lists!$A$2:$A$5,0)),ISNUMBER(MATCH($G887,Lists!$B$2:$B$7,0)),OR($H887="",$N887&gt;0),OR($I887="",$I887="NR",$O887&gt;0),IF(ISNUMBER($J887),AND($J887&gt;=0,$J887=INT($J887)),FALSE())),$J887,0)</f>
        <v>0</v>
      </c>
      <c r="Q887" s="64" t="n">
        <f aca="false">IF(AND($P887&gt;0,$O887&gt;0),$P887,0)</f>
        <v>0</v>
      </c>
      <c r="R887" s="64" t="n">
        <f aca="false">IF(AND($Q887&gt;0,$O887&gt;=AtRank),$Q887,0)</f>
        <v>0</v>
      </c>
      <c r="S887" s="64" t="n">
        <f aca="false">IF(AND($Q887&gt;0,$O887&gt;=AboveRank),$Q887,0)</f>
        <v>0</v>
      </c>
      <c r="T887" s="64" t="n">
        <f aca="false">IF($K887="Less",$P887,0)</f>
        <v>0</v>
      </c>
      <c r="U887" s="64" t="n">
        <f aca="false">IF($K887="Expected",$P887,0)</f>
        <v>0</v>
      </c>
      <c r="V887" s="64" t="n">
        <f aca="false">IF($K887="Better",$P887,0)</f>
        <v>0</v>
      </c>
      <c r="W887" s="64" t="n">
        <f aca="false">IF($K887="U – needs rule",$P887,0)</f>
        <v>0</v>
      </c>
      <c r="X887" s="64" t="n">
        <f aca="false">IF($K887="No Start (attainment only)",$P887,0)</f>
        <v>0</v>
      </c>
    </row>
    <row r="888" customFormat="false" ht="15" hidden="false" customHeight="false" outlineLevel="0" collapsed="false">
      <c r="A888" s="60"/>
      <c r="B888" s="61" t="str">
        <f aca="false">IF($M888=0,"",INDEX(Classes!$E$6:$E$420,$M888))</f>
        <v/>
      </c>
      <c r="C888" s="62" t="str">
        <f aca="false">IF($M888=0,"",INDEX(Classes!$H$6:$H$420,$M888))</f>
        <v/>
      </c>
      <c r="D888" s="61" t="str">
        <f aca="false">IF($M888=0,"",INDEX(Classes!$B$6:$B$420,$M888))</f>
        <v/>
      </c>
      <c r="E888" s="61" t="str">
        <f aca="false">IF($M888=0,"",INDEX(Classes!$C$6:$C$420,$M888))</f>
        <v/>
      </c>
      <c r="F888" s="63"/>
      <c r="G888" s="63"/>
      <c r="H888" s="60"/>
      <c r="I888" s="60"/>
      <c r="J888" s="63"/>
      <c r="K888" s="61" t="str">
        <f aca="false">IF($P888=0,"",IF($F888="Baseline","— Baseline",IF($O888=0,"No result",IF($N888=0,"No Start (attainment only)",IF(OR($N888=1,$O888=1),"U – needs rule",INDEX(MxBody,MATCH($I888,MxCurr,0),MATCH($H888,MxStart,0)))))))</f>
        <v/>
      </c>
      <c r="L888" s="62" t="str">
        <f aca="false">IF(COUNTA($A888,$F888,$G888,$H888,$I888,$J888)=0,"",IF($M888=0,"✖ كود الصف غير موجود",IF(ISNA(MATCH($F888,Lists!$A$2:$A$5,0)),"✖ الفترة غير صحيحة",IF(ISNA(MATCH($G888,Lists!$B$2:$B$7,0)),"✖ المجموعة غير صحيحة",IF(NOT(OR($H888="",$N888&gt;0)),"✖ Start غير صحيح",IF(NOT(OR($I888="",$I888="NR",$O888&gt;0)),"✖ Current غير صحيح",IF(NOT(IF(ISNUMBER($J888),AND($J888&gt;=0,$J888=INT($J888)),FALSE())),"✖ العدد يجب أن يكون صحيحًا ≥ 0",IF(AND($F888="Baseline",$H888&lt;&gt;""),"⚠ Baseline: Start لا يدخل في التقدم",IF($K888="No Start (attainment only)","ℹ تحصيل فقط (بدون Start)",IF($K888="U – needs rule","ℹ حالة U تحتاج قاعدة معتمدة",IF($K888="No result","ℹ بدون نتيجة (يُستبعد من التحصيل)","OK")))))))))))</f>
        <v/>
      </c>
      <c r="M888" s="64" t="n">
        <f aca="false">IF($A888="",0,IFERROR(MATCH($A888,Classes!$A$6:$A$420,0),0))</f>
        <v>0</v>
      </c>
      <c r="N888" s="64" t="n">
        <f aca="false">IF($H888="",0,IFERROR(MATCH($H888,GradeList,0),0))</f>
        <v>0</v>
      </c>
      <c r="O888" s="64" t="n">
        <f aca="false">IF(OR($I888="",$I888="NR"),0,IFERROR(MATCH($I888,GradeList,0),0))</f>
        <v>0</v>
      </c>
      <c r="P888" s="64" t="n">
        <f aca="false">IF(AND($M888&gt;0,ISNUMBER(MATCH($F888,Lists!$A$2:$A$5,0)),ISNUMBER(MATCH($G888,Lists!$B$2:$B$7,0)),OR($H888="",$N888&gt;0),OR($I888="",$I888="NR",$O888&gt;0),IF(ISNUMBER($J888),AND($J888&gt;=0,$J888=INT($J888)),FALSE())),$J888,0)</f>
        <v>0</v>
      </c>
      <c r="Q888" s="64" t="n">
        <f aca="false">IF(AND($P888&gt;0,$O888&gt;0),$P888,0)</f>
        <v>0</v>
      </c>
      <c r="R888" s="64" t="n">
        <f aca="false">IF(AND($Q888&gt;0,$O888&gt;=AtRank),$Q888,0)</f>
        <v>0</v>
      </c>
      <c r="S888" s="64" t="n">
        <f aca="false">IF(AND($Q888&gt;0,$O888&gt;=AboveRank),$Q888,0)</f>
        <v>0</v>
      </c>
      <c r="T888" s="64" t="n">
        <f aca="false">IF($K888="Less",$P888,0)</f>
        <v>0</v>
      </c>
      <c r="U888" s="64" t="n">
        <f aca="false">IF($K888="Expected",$P888,0)</f>
        <v>0</v>
      </c>
      <c r="V888" s="64" t="n">
        <f aca="false">IF($K888="Better",$P888,0)</f>
        <v>0</v>
      </c>
      <c r="W888" s="64" t="n">
        <f aca="false">IF($K888="U – needs rule",$P888,0)</f>
        <v>0</v>
      </c>
      <c r="X888" s="64" t="n">
        <f aca="false">IF($K888="No Start (attainment only)",$P888,0)</f>
        <v>0</v>
      </c>
    </row>
    <row r="889" customFormat="false" ht="15" hidden="false" customHeight="false" outlineLevel="0" collapsed="false">
      <c r="A889" s="60"/>
      <c r="B889" s="61" t="str">
        <f aca="false">IF($M889=0,"",INDEX(Classes!$E$6:$E$420,$M889))</f>
        <v/>
      </c>
      <c r="C889" s="62" t="str">
        <f aca="false">IF($M889=0,"",INDEX(Classes!$H$6:$H$420,$M889))</f>
        <v/>
      </c>
      <c r="D889" s="61" t="str">
        <f aca="false">IF($M889=0,"",INDEX(Classes!$B$6:$B$420,$M889))</f>
        <v/>
      </c>
      <c r="E889" s="61" t="str">
        <f aca="false">IF($M889=0,"",INDEX(Classes!$C$6:$C$420,$M889))</f>
        <v/>
      </c>
      <c r="F889" s="63"/>
      <c r="G889" s="63"/>
      <c r="H889" s="60"/>
      <c r="I889" s="60"/>
      <c r="J889" s="63"/>
      <c r="K889" s="61" t="str">
        <f aca="false">IF($P889=0,"",IF($F889="Baseline","— Baseline",IF($O889=0,"No result",IF($N889=0,"No Start (attainment only)",IF(OR($N889=1,$O889=1),"U – needs rule",INDEX(MxBody,MATCH($I889,MxCurr,0),MATCH($H889,MxStart,0)))))))</f>
        <v/>
      </c>
      <c r="L889" s="62" t="str">
        <f aca="false">IF(COUNTA($A889,$F889,$G889,$H889,$I889,$J889)=0,"",IF($M889=0,"✖ كود الصف غير موجود",IF(ISNA(MATCH($F889,Lists!$A$2:$A$5,0)),"✖ الفترة غير صحيحة",IF(ISNA(MATCH($G889,Lists!$B$2:$B$7,0)),"✖ المجموعة غير صحيحة",IF(NOT(OR($H889="",$N889&gt;0)),"✖ Start غير صحيح",IF(NOT(OR($I889="",$I889="NR",$O889&gt;0)),"✖ Current غير صحيح",IF(NOT(IF(ISNUMBER($J889),AND($J889&gt;=0,$J889=INT($J889)),FALSE())),"✖ العدد يجب أن يكون صحيحًا ≥ 0",IF(AND($F889="Baseline",$H889&lt;&gt;""),"⚠ Baseline: Start لا يدخل في التقدم",IF($K889="No Start (attainment only)","ℹ تحصيل فقط (بدون Start)",IF($K889="U – needs rule","ℹ حالة U تحتاج قاعدة معتمدة",IF($K889="No result","ℹ بدون نتيجة (يُستبعد من التحصيل)","OK")))))))))))</f>
        <v/>
      </c>
      <c r="M889" s="64" t="n">
        <f aca="false">IF($A889="",0,IFERROR(MATCH($A889,Classes!$A$6:$A$420,0),0))</f>
        <v>0</v>
      </c>
      <c r="N889" s="64" t="n">
        <f aca="false">IF($H889="",0,IFERROR(MATCH($H889,GradeList,0),0))</f>
        <v>0</v>
      </c>
      <c r="O889" s="64" t="n">
        <f aca="false">IF(OR($I889="",$I889="NR"),0,IFERROR(MATCH($I889,GradeList,0),0))</f>
        <v>0</v>
      </c>
      <c r="P889" s="64" t="n">
        <f aca="false">IF(AND($M889&gt;0,ISNUMBER(MATCH($F889,Lists!$A$2:$A$5,0)),ISNUMBER(MATCH($G889,Lists!$B$2:$B$7,0)),OR($H889="",$N889&gt;0),OR($I889="",$I889="NR",$O889&gt;0),IF(ISNUMBER($J889),AND($J889&gt;=0,$J889=INT($J889)),FALSE())),$J889,0)</f>
        <v>0</v>
      </c>
      <c r="Q889" s="64" t="n">
        <f aca="false">IF(AND($P889&gt;0,$O889&gt;0),$P889,0)</f>
        <v>0</v>
      </c>
      <c r="R889" s="64" t="n">
        <f aca="false">IF(AND($Q889&gt;0,$O889&gt;=AtRank),$Q889,0)</f>
        <v>0</v>
      </c>
      <c r="S889" s="64" t="n">
        <f aca="false">IF(AND($Q889&gt;0,$O889&gt;=AboveRank),$Q889,0)</f>
        <v>0</v>
      </c>
      <c r="T889" s="64" t="n">
        <f aca="false">IF($K889="Less",$P889,0)</f>
        <v>0</v>
      </c>
      <c r="U889" s="64" t="n">
        <f aca="false">IF($K889="Expected",$P889,0)</f>
        <v>0</v>
      </c>
      <c r="V889" s="64" t="n">
        <f aca="false">IF($K889="Better",$P889,0)</f>
        <v>0</v>
      </c>
      <c r="W889" s="64" t="n">
        <f aca="false">IF($K889="U – needs rule",$P889,0)</f>
        <v>0</v>
      </c>
      <c r="X889" s="64" t="n">
        <f aca="false">IF($K889="No Start (attainment only)",$P889,0)</f>
        <v>0</v>
      </c>
    </row>
    <row r="890" customFormat="false" ht="15" hidden="false" customHeight="false" outlineLevel="0" collapsed="false">
      <c r="A890" s="60"/>
      <c r="B890" s="61" t="str">
        <f aca="false">IF($M890=0,"",INDEX(Classes!$E$6:$E$420,$M890))</f>
        <v/>
      </c>
      <c r="C890" s="62" t="str">
        <f aca="false">IF($M890=0,"",INDEX(Classes!$H$6:$H$420,$M890))</f>
        <v/>
      </c>
      <c r="D890" s="61" t="str">
        <f aca="false">IF($M890=0,"",INDEX(Classes!$B$6:$B$420,$M890))</f>
        <v/>
      </c>
      <c r="E890" s="61" t="str">
        <f aca="false">IF($M890=0,"",INDEX(Classes!$C$6:$C$420,$M890))</f>
        <v/>
      </c>
      <c r="F890" s="63"/>
      <c r="G890" s="63"/>
      <c r="H890" s="60"/>
      <c r="I890" s="60"/>
      <c r="J890" s="63"/>
      <c r="K890" s="61" t="str">
        <f aca="false">IF($P890=0,"",IF($F890="Baseline","— Baseline",IF($O890=0,"No result",IF($N890=0,"No Start (attainment only)",IF(OR($N890=1,$O890=1),"U – needs rule",INDEX(MxBody,MATCH($I890,MxCurr,0),MATCH($H890,MxStart,0)))))))</f>
        <v/>
      </c>
      <c r="L890" s="62" t="str">
        <f aca="false">IF(COUNTA($A890,$F890,$G890,$H890,$I890,$J890)=0,"",IF($M890=0,"✖ كود الصف غير موجود",IF(ISNA(MATCH($F890,Lists!$A$2:$A$5,0)),"✖ الفترة غير صحيحة",IF(ISNA(MATCH($G890,Lists!$B$2:$B$7,0)),"✖ المجموعة غير صحيحة",IF(NOT(OR($H890="",$N890&gt;0)),"✖ Start غير صحيح",IF(NOT(OR($I890="",$I890="NR",$O890&gt;0)),"✖ Current غير صحيح",IF(NOT(IF(ISNUMBER($J890),AND($J890&gt;=0,$J890=INT($J890)),FALSE())),"✖ العدد يجب أن يكون صحيحًا ≥ 0",IF(AND($F890="Baseline",$H890&lt;&gt;""),"⚠ Baseline: Start لا يدخل في التقدم",IF($K890="No Start (attainment only)","ℹ تحصيل فقط (بدون Start)",IF($K890="U – needs rule","ℹ حالة U تحتاج قاعدة معتمدة",IF($K890="No result","ℹ بدون نتيجة (يُستبعد من التحصيل)","OK")))))))))))</f>
        <v/>
      </c>
      <c r="M890" s="64" t="n">
        <f aca="false">IF($A890="",0,IFERROR(MATCH($A890,Classes!$A$6:$A$420,0),0))</f>
        <v>0</v>
      </c>
      <c r="N890" s="64" t="n">
        <f aca="false">IF($H890="",0,IFERROR(MATCH($H890,GradeList,0),0))</f>
        <v>0</v>
      </c>
      <c r="O890" s="64" t="n">
        <f aca="false">IF(OR($I890="",$I890="NR"),0,IFERROR(MATCH($I890,GradeList,0),0))</f>
        <v>0</v>
      </c>
      <c r="P890" s="64" t="n">
        <f aca="false">IF(AND($M890&gt;0,ISNUMBER(MATCH($F890,Lists!$A$2:$A$5,0)),ISNUMBER(MATCH($G890,Lists!$B$2:$B$7,0)),OR($H890="",$N890&gt;0),OR($I890="",$I890="NR",$O890&gt;0),IF(ISNUMBER($J890),AND($J890&gt;=0,$J890=INT($J890)),FALSE())),$J890,0)</f>
        <v>0</v>
      </c>
      <c r="Q890" s="64" t="n">
        <f aca="false">IF(AND($P890&gt;0,$O890&gt;0),$P890,0)</f>
        <v>0</v>
      </c>
      <c r="R890" s="64" t="n">
        <f aca="false">IF(AND($Q890&gt;0,$O890&gt;=AtRank),$Q890,0)</f>
        <v>0</v>
      </c>
      <c r="S890" s="64" t="n">
        <f aca="false">IF(AND($Q890&gt;0,$O890&gt;=AboveRank),$Q890,0)</f>
        <v>0</v>
      </c>
      <c r="T890" s="64" t="n">
        <f aca="false">IF($K890="Less",$P890,0)</f>
        <v>0</v>
      </c>
      <c r="U890" s="64" t="n">
        <f aca="false">IF($K890="Expected",$P890,0)</f>
        <v>0</v>
      </c>
      <c r="V890" s="64" t="n">
        <f aca="false">IF($K890="Better",$P890,0)</f>
        <v>0</v>
      </c>
      <c r="W890" s="64" t="n">
        <f aca="false">IF($K890="U – needs rule",$P890,0)</f>
        <v>0</v>
      </c>
      <c r="X890" s="64" t="n">
        <f aca="false">IF($K890="No Start (attainment only)",$P890,0)</f>
        <v>0</v>
      </c>
    </row>
    <row r="891" customFormat="false" ht="15" hidden="false" customHeight="false" outlineLevel="0" collapsed="false">
      <c r="A891" s="60"/>
      <c r="B891" s="61" t="str">
        <f aca="false">IF($M891=0,"",INDEX(Classes!$E$6:$E$420,$M891))</f>
        <v/>
      </c>
      <c r="C891" s="62" t="str">
        <f aca="false">IF($M891=0,"",INDEX(Classes!$H$6:$H$420,$M891))</f>
        <v/>
      </c>
      <c r="D891" s="61" t="str">
        <f aca="false">IF($M891=0,"",INDEX(Classes!$B$6:$B$420,$M891))</f>
        <v/>
      </c>
      <c r="E891" s="61" t="str">
        <f aca="false">IF($M891=0,"",INDEX(Classes!$C$6:$C$420,$M891))</f>
        <v/>
      </c>
      <c r="F891" s="63"/>
      <c r="G891" s="63"/>
      <c r="H891" s="60"/>
      <c r="I891" s="60"/>
      <c r="J891" s="63"/>
      <c r="K891" s="61" t="str">
        <f aca="false">IF($P891=0,"",IF($F891="Baseline","— Baseline",IF($O891=0,"No result",IF($N891=0,"No Start (attainment only)",IF(OR($N891=1,$O891=1),"U – needs rule",INDEX(MxBody,MATCH($I891,MxCurr,0),MATCH($H891,MxStart,0)))))))</f>
        <v/>
      </c>
      <c r="L891" s="62" t="str">
        <f aca="false">IF(COUNTA($A891,$F891,$G891,$H891,$I891,$J891)=0,"",IF($M891=0,"✖ كود الصف غير موجود",IF(ISNA(MATCH($F891,Lists!$A$2:$A$5,0)),"✖ الفترة غير صحيحة",IF(ISNA(MATCH($G891,Lists!$B$2:$B$7,0)),"✖ المجموعة غير صحيحة",IF(NOT(OR($H891="",$N891&gt;0)),"✖ Start غير صحيح",IF(NOT(OR($I891="",$I891="NR",$O891&gt;0)),"✖ Current غير صحيح",IF(NOT(IF(ISNUMBER($J891),AND($J891&gt;=0,$J891=INT($J891)),FALSE())),"✖ العدد يجب أن يكون صحيحًا ≥ 0",IF(AND($F891="Baseline",$H891&lt;&gt;""),"⚠ Baseline: Start لا يدخل في التقدم",IF($K891="No Start (attainment only)","ℹ تحصيل فقط (بدون Start)",IF($K891="U – needs rule","ℹ حالة U تحتاج قاعدة معتمدة",IF($K891="No result","ℹ بدون نتيجة (يُستبعد من التحصيل)","OK")))))))))))</f>
        <v/>
      </c>
      <c r="M891" s="64" t="n">
        <f aca="false">IF($A891="",0,IFERROR(MATCH($A891,Classes!$A$6:$A$420,0),0))</f>
        <v>0</v>
      </c>
      <c r="N891" s="64" t="n">
        <f aca="false">IF($H891="",0,IFERROR(MATCH($H891,GradeList,0),0))</f>
        <v>0</v>
      </c>
      <c r="O891" s="64" t="n">
        <f aca="false">IF(OR($I891="",$I891="NR"),0,IFERROR(MATCH($I891,GradeList,0),0))</f>
        <v>0</v>
      </c>
      <c r="P891" s="64" t="n">
        <f aca="false">IF(AND($M891&gt;0,ISNUMBER(MATCH($F891,Lists!$A$2:$A$5,0)),ISNUMBER(MATCH($G891,Lists!$B$2:$B$7,0)),OR($H891="",$N891&gt;0),OR($I891="",$I891="NR",$O891&gt;0),IF(ISNUMBER($J891),AND($J891&gt;=0,$J891=INT($J891)),FALSE())),$J891,0)</f>
        <v>0</v>
      </c>
      <c r="Q891" s="64" t="n">
        <f aca="false">IF(AND($P891&gt;0,$O891&gt;0),$P891,0)</f>
        <v>0</v>
      </c>
      <c r="R891" s="64" t="n">
        <f aca="false">IF(AND($Q891&gt;0,$O891&gt;=AtRank),$Q891,0)</f>
        <v>0</v>
      </c>
      <c r="S891" s="64" t="n">
        <f aca="false">IF(AND($Q891&gt;0,$O891&gt;=AboveRank),$Q891,0)</f>
        <v>0</v>
      </c>
      <c r="T891" s="64" t="n">
        <f aca="false">IF($K891="Less",$P891,0)</f>
        <v>0</v>
      </c>
      <c r="U891" s="64" t="n">
        <f aca="false">IF($K891="Expected",$P891,0)</f>
        <v>0</v>
      </c>
      <c r="V891" s="64" t="n">
        <f aca="false">IF($K891="Better",$P891,0)</f>
        <v>0</v>
      </c>
      <c r="W891" s="64" t="n">
        <f aca="false">IF($K891="U – needs rule",$P891,0)</f>
        <v>0</v>
      </c>
      <c r="X891" s="64" t="n">
        <f aca="false">IF($K891="No Start (attainment only)",$P891,0)</f>
        <v>0</v>
      </c>
    </row>
    <row r="892" customFormat="false" ht="15" hidden="false" customHeight="false" outlineLevel="0" collapsed="false">
      <c r="A892" s="60"/>
      <c r="B892" s="61" t="str">
        <f aca="false">IF($M892=0,"",INDEX(Classes!$E$6:$E$420,$M892))</f>
        <v/>
      </c>
      <c r="C892" s="62" t="str">
        <f aca="false">IF($M892=0,"",INDEX(Classes!$H$6:$H$420,$M892))</f>
        <v/>
      </c>
      <c r="D892" s="61" t="str">
        <f aca="false">IF($M892=0,"",INDEX(Classes!$B$6:$B$420,$M892))</f>
        <v/>
      </c>
      <c r="E892" s="61" t="str">
        <f aca="false">IF($M892=0,"",INDEX(Classes!$C$6:$C$420,$M892))</f>
        <v/>
      </c>
      <c r="F892" s="63"/>
      <c r="G892" s="63"/>
      <c r="H892" s="60"/>
      <c r="I892" s="60"/>
      <c r="J892" s="63"/>
      <c r="K892" s="61" t="str">
        <f aca="false">IF($P892=0,"",IF($F892="Baseline","— Baseline",IF($O892=0,"No result",IF($N892=0,"No Start (attainment only)",IF(OR($N892=1,$O892=1),"U – needs rule",INDEX(MxBody,MATCH($I892,MxCurr,0),MATCH($H892,MxStart,0)))))))</f>
        <v/>
      </c>
      <c r="L892" s="62" t="str">
        <f aca="false">IF(COUNTA($A892,$F892,$G892,$H892,$I892,$J892)=0,"",IF($M892=0,"✖ كود الصف غير موجود",IF(ISNA(MATCH($F892,Lists!$A$2:$A$5,0)),"✖ الفترة غير صحيحة",IF(ISNA(MATCH($G892,Lists!$B$2:$B$7,0)),"✖ المجموعة غير صحيحة",IF(NOT(OR($H892="",$N892&gt;0)),"✖ Start غير صحيح",IF(NOT(OR($I892="",$I892="NR",$O892&gt;0)),"✖ Current غير صحيح",IF(NOT(IF(ISNUMBER($J892),AND($J892&gt;=0,$J892=INT($J892)),FALSE())),"✖ العدد يجب أن يكون صحيحًا ≥ 0",IF(AND($F892="Baseline",$H892&lt;&gt;""),"⚠ Baseline: Start لا يدخل في التقدم",IF($K892="No Start (attainment only)","ℹ تحصيل فقط (بدون Start)",IF($K892="U – needs rule","ℹ حالة U تحتاج قاعدة معتمدة",IF($K892="No result","ℹ بدون نتيجة (يُستبعد من التحصيل)","OK")))))))))))</f>
        <v/>
      </c>
      <c r="M892" s="64" t="n">
        <f aca="false">IF($A892="",0,IFERROR(MATCH($A892,Classes!$A$6:$A$420,0),0))</f>
        <v>0</v>
      </c>
      <c r="N892" s="64" t="n">
        <f aca="false">IF($H892="",0,IFERROR(MATCH($H892,GradeList,0),0))</f>
        <v>0</v>
      </c>
      <c r="O892" s="64" t="n">
        <f aca="false">IF(OR($I892="",$I892="NR"),0,IFERROR(MATCH($I892,GradeList,0),0))</f>
        <v>0</v>
      </c>
      <c r="P892" s="64" t="n">
        <f aca="false">IF(AND($M892&gt;0,ISNUMBER(MATCH($F892,Lists!$A$2:$A$5,0)),ISNUMBER(MATCH($G892,Lists!$B$2:$B$7,0)),OR($H892="",$N892&gt;0),OR($I892="",$I892="NR",$O892&gt;0),IF(ISNUMBER($J892),AND($J892&gt;=0,$J892=INT($J892)),FALSE())),$J892,0)</f>
        <v>0</v>
      </c>
      <c r="Q892" s="64" t="n">
        <f aca="false">IF(AND($P892&gt;0,$O892&gt;0),$P892,0)</f>
        <v>0</v>
      </c>
      <c r="R892" s="64" t="n">
        <f aca="false">IF(AND($Q892&gt;0,$O892&gt;=AtRank),$Q892,0)</f>
        <v>0</v>
      </c>
      <c r="S892" s="64" t="n">
        <f aca="false">IF(AND($Q892&gt;0,$O892&gt;=AboveRank),$Q892,0)</f>
        <v>0</v>
      </c>
      <c r="T892" s="64" t="n">
        <f aca="false">IF($K892="Less",$P892,0)</f>
        <v>0</v>
      </c>
      <c r="U892" s="64" t="n">
        <f aca="false">IF($K892="Expected",$P892,0)</f>
        <v>0</v>
      </c>
      <c r="V892" s="64" t="n">
        <f aca="false">IF($K892="Better",$P892,0)</f>
        <v>0</v>
      </c>
      <c r="W892" s="64" t="n">
        <f aca="false">IF($K892="U – needs rule",$P892,0)</f>
        <v>0</v>
      </c>
      <c r="X892" s="64" t="n">
        <f aca="false">IF($K892="No Start (attainment only)",$P892,0)</f>
        <v>0</v>
      </c>
    </row>
    <row r="893" customFormat="false" ht="15" hidden="false" customHeight="false" outlineLevel="0" collapsed="false">
      <c r="A893" s="60"/>
      <c r="B893" s="61" t="str">
        <f aca="false">IF($M893=0,"",INDEX(Classes!$E$6:$E$420,$M893))</f>
        <v/>
      </c>
      <c r="C893" s="62" t="str">
        <f aca="false">IF($M893=0,"",INDEX(Classes!$H$6:$H$420,$M893))</f>
        <v/>
      </c>
      <c r="D893" s="61" t="str">
        <f aca="false">IF($M893=0,"",INDEX(Classes!$B$6:$B$420,$M893))</f>
        <v/>
      </c>
      <c r="E893" s="61" t="str">
        <f aca="false">IF($M893=0,"",INDEX(Classes!$C$6:$C$420,$M893))</f>
        <v/>
      </c>
      <c r="F893" s="63"/>
      <c r="G893" s="63"/>
      <c r="H893" s="60"/>
      <c r="I893" s="60"/>
      <c r="J893" s="63"/>
      <c r="K893" s="61" t="str">
        <f aca="false">IF($P893=0,"",IF($F893="Baseline","— Baseline",IF($O893=0,"No result",IF($N893=0,"No Start (attainment only)",IF(OR($N893=1,$O893=1),"U – needs rule",INDEX(MxBody,MATCH($I893,MxCurr,0),MATCH($H893,MxStart,0)))))))</f>
        <v/>
      </c>
      <c r="L893" s="62" t="str">
        <f aca="false">IF(COUNTA($A893,$F893,$G893,$H893,$I893,$J893)=0,"",IF($M893=0,"✖ كود الصف غير موجود",IF(ISNA(MATCH($F893,Lists!$A$2:$A$5,0)),"✖ الفترة غير صحيحة",IF(ISNA(MATCH($G893,Lists!$B$2:$B$7,0)),"✖ المجموعة غير صحيحة",IF(NOT(OR($H893="",$N893&gt;0)),"✖ Start غير صحيح",IF(NOT(OR($I893="",$I893="NR",$O893&gt;0)),"✖ Current غير صحيح",IF(NOT(IF(ISNUMBER($J893),AND($J893&gt;=0,$J893=INT($J893)),FALSE())),"✖ العدد يجب أن يكون صحيحًا ≥ 0",IF(AND($F893="Baseline",$H893&lt;&gt;""),"⚠ Baseline: Start لا يدخل في التقدم",IF($K893="No Start (attainment only)","ℹ تحصيل فقط (بدون Start)",IF($K893="U – needs rule","ℹ حالة U تحتاج قاعدة معتمدة",IF($K893="No result","ℹ بدون نتيجة (يُستبعد من التحصيل)","OK")))))))))))</f>
        <v/>
      </c>
      <c r="M893" s="64" t="n">
        <f aca="false">IF($A893="",0,IFERROR(MATCH($A893,Classes!$A$6:$A$420,0),0))</f>
        <v>0</v>
      </c>
      <c r="N893" s="64" t="n">
        <f aca="false">IF($H893="",0,IFERROR(MATCH($H893,GradeList,0),0))</f>
        <v>0</v>
      </c>
      <c r="O893" s="64" t="n">
        <f aca="false">IF(OR($I893="",$I893="NR"),0,IFERROR(MATCH($I893,GradeList,0),0))</f>
        <v>0</v>
      </c>
      <c r="P893" s="64" t="n">
        <f aca="false">IF(AND($M893&gt;0,ISNUMBER(MATCH($F893,Lists!$A$2:$A$5,0)),ISNUMBER(MATCH($G893,Lists!$B$2:$B$7,0)),OR($H893="",$N893&gt;0),OR($I893="",$I893="NR",$O893&gt;0),IF(ISNUMBER($J893),AND($J893&gt;=0,$J893=INT($J893)),FALSE())),$J893,0)</f>
        <v>0</v>
      </c>
      <c r="Q893" s="64" t="n">
        <f aca="false">IF(AND($P893&gt;0,$O893&gt;0),$P893,0)</f>
        <v>0</v>
      </c>
      <c r="R893" s="64" t="n">
        <f aca="false">IF(AND($Q893&gt;0,$O893&gt;=AtRank),$Q893,0)</f>
        <v>0</v>
      </c>
      <c r="S893" s="64" t="n">
        <f aca="false">IF(AND($Q893&gt;0,$O893&gt;=AboveRank),$Q893,0)</f>
        <v>0</v>
      </c>
      <c r="T893" s="64" t="n">
        <f aca="false">IF($K893="Less",$P893,0)</f>
        <v>0</v>
      </c>
      <c r="U893" s="64" t="n">
        <f aca="false">IF($K893="Expected",$P893,0)</f>
        <v>0</v>
      </c>
      <c r="V893" s="64" t="n">
        <f aca="false">IF($K893="Better",$P893,0)</f>
        <v>0</v>
      </c>
      <c r="W893" s="64" t="n">
        <f aca="false">IF($K893="U – needs rule",$P893,0)</f>
        <v>0</v>
      </c>
      <c r="X893" s="64" t="n">
        <f aca="false">IF($K893="No Start (attainment only)",$P893,0)</f>
        <v>0</v>
      </c>
    </row>
    <row r="894" customFormat="false" ht="15" hidden="false" customHeight="false" outlineLevel="0" collapsed="false">
      <c r="A894" s="60"/>
      <c r="B894" s="61" t="str">
        <f aca="false">IF($M894=0,"",INDEX(Classes!$E$6:$E$420,$M894))</f>
        <v/>
      </c>
      <c r="C894" s="62" t="str">
        <f aca="false">IF($M894=0,"",INDEX(Classes!$H$6:$H$420,$M894))</f>
        <v/>
      </c>
      <c r="D894" s="61" t="str">
        <f aca="false">IF($M894=0,"",INDEX(Classes!$B$6:$B$420,$M894))</f>
        <v/>
      </c>
      <c r="E894" s="61" t="str">
        <f aca="false">IF($M894=0,"",INDEX(Classes!$C$6:$C$420,$M894))</f>
        <v/>
      </c>
      <c r="F894" s="63"/>
      <c r="G894" s="63"/>
      <c r="H894" s="60"/>
      <c r="I894" s="60"/>
      <c r="J894" s="63"/>
      <c r="K894" s="61" t="str">
        <f aca="false">IF($P894=0,"",IF($F894="Baseline","— Baseline",IF($O894=0,"No result",IF($N894=0,"No Start (attainment only)",IF(OR($N894=1,$O894=1),"U – needs rule",INDEX(MxBody,MATCH($I894,MxCurr,0),MATCH($H894,MxStart,0)))))))</f>
        <v/>
      </c>
      <c r="L894" s="62" t="str">
        <f aca="false">IF(COUNTA($A894,$F894,$G894,$H894,$I894,$J894)=0,"",IF($M894=0,"✖ كود الصف غير موجود",IF(ISNA(MATCH($F894,Lists!$A$2:$A$5,0)),"✖ الفترة غير صحيحة",IF(ISNA(MATCH($G894,Lists!$B$2:$B$7,0)),"✖ المجموعة غير صحيحة",IF(NOT(OR($H894="",$N894&gt;0)),"✖ Start غير صحيح",IF(NOT(OR($I894="",$I894="NR",$O894&gt;0)),"✖ Current غير صحيح",IF(NOT(IF(ISNUMBER($J894),AND($J894&gt;=0,$J894=INT($J894)),FALSE())),"✖ العدد يجب أن يكون صحيحًا ≥ 0",IF(AND($F894="Baseline",$H894&lt;&gt;""),"⚠ Baseline: Start لا يدخل في التقدم",IF($K894="No Start (attainment only)","ℹ تحصيل فقط (بدون Start)",IF($K894="U – needs rule","ℹ حالة U تحتاج قاعدة معتمدة",IF($K894="No result","ℹ بدون نتيجة (يُستبعد من التحصيل)","OK")))))))))))</f>
        <v/>
      </c>
      <c r="M894" s="64" t="n">
        <f aca="false">IF($A894="",0,IFERROR(MATCH($A894,Classes!$A$6:$A$420,0),0))</f>
        <v>0</v>
      </c>
      <c r="N894" s="64" t="n">
        <f aca="false">IF($H894="",0,IFERROR(MATCH($H894,GradeList,0),0))</f>
        <v>0</v>
      </c>
      <c r="O894" s="64" t="n">
        <f aca="false">IF(OR($I894="",$I894="NR"),0,IFERROR(MATCH($I894,GradeList,0),0))</f>
        <v>0</v>
      </c>
      <c r="P894" s="64" t="n">
        <f aca="false">IF(AND($M894&gt;0,ISNUMBER(MATCH($F894,Lists!$A$2:$A$5,0)),ISNUMBER(MATCH($G894,Lists!$B$2:$B$7,0)),OR($H894="",$N894&gt;0),OR($I894="",$I894="NR",$O894&gt;0),IF(ISNUMBER($J894),AND($J894&gt;=0,$J894=INT($J894)),FALSE())),$J894,0)</f>
        <v>0</v>
      </c>
      <c r="Q894" s="64" t="n">
        <f aca="false">IF(AND($P894&gt;0,$O894&gt;0),$P894,0)</f>
        <v>0</v>
      </c>
      <c r="R894" s="64" t="n">
        <f aca="false">IF(AND($Q894&gt;0,$O894&gt;=AtRank),$Q894,0)</f>
        <v>0</v>
      </c>
      <c r="S894" s="64" t="n">
        <f aca="false">IF(AND($Q894&gt;0,$O894&gt;=AboveRank),$Q894,0)</f>
        <v>0</v>
      </c>
      <c r="T894" s="64" t="n">
        <f aca="false">IF($K894="Less",$P894,0)</f>
        <v>0</v>
      </c>
      <c r="U894" s="64" t="n">
        <f aca="false">IF($K894="Expected",$P894,0)</f>
        <v>0</v>
      </c>
      <c r="V894" s="64" t="n">
        <f aca="false">IF($K894="Better",$P894,0)</f>
        <v>0</v>
      </c>
      <c r="W894" s="64" t="n">
        <f aca="false">IF($K894="U – needs rule",$P894,0)</f>
        <v>0</v>
      </c>
      <c r="X894" s="64" t="n">
        <f aca="false">IF($K894="No Start (attainment only)",$P894,0)</f>
        <v>0</v>
      </c>
    </row>
    <row r="895" customFormat="false" ht="15" hidden="false" customHeight="false" outlineLevel="0" collapsed="false">
      <c r="A895" s="60"/>
      <c r="B895" s="61" t="str">
        <f aca="false">IF($M895=0,"",INDEX(Classes!$E$6:$E$420,$M895))</f>
        <v/>
      </c>
      <c r="C895" s="62" t="str">
        <f aca="false">IF($M895=0,"",INDEX(Classes!$H$6:$H$420,$M895))</f>
        <v/>
      </c>
      <c r="D895" s="61" t="str">
        <f aca="false">IF($M895=0,"",INDEX(Classes!$B$6:$B$420,$M895))</f>
        <v/>
      </c>
      <c r="E895" s="61" t="str">
        <f aca="false">IF($M895=0,"",INDEX(Classes!$C$6:$C$420,$M895))</f>
        <v/>
      </c>
      <c r="F895" s="63"/>
      <c r="G895" s="63"/>
      <c r="H895" s="60"/>
      <c r="I895" s="60"/>
      <c r="J895" s="63"/>
      <c r="K895" s="61" t="str">
        <f aca="false">IF($P895=0,"",IF($F895="Baseline","— Baseline",IF($O895=0,"No result",IF($N895=0,"No Start (attainment only)",IF(OR($N895=1,$O895=1),"U – needs rule",INDEX(MxBody,MATCH($I895,MxCurr,0),MATCH($H895,MxStart,0)))))))</f>
        <v/>
      </c>
      <c r="L895" s="62" t="str">
        <f aca="false">IF(COUNTA($A895,$F895,$G895,$H895,$I895,$J895)=0,"",IF($M895=0,"✖ كود الصف غير موجود",IF(ISNA(MATCH($F895,Lists!$A$2:$A$5,0)),"✖ الفترة غير صحيحة",IF(ISNA(MATCH($G895,Lists!$B$2:$B$7,0)),"✖ المجموعة غير صحيحة",IF(NOT(OR($H895="",$N895&gt;0)),"✖ Start غير صحيح",IF(NOT(OR($I895="",$I895="NR",$O895&gt;0)),"✖ Current غير صحيح",IF(NOT(IF(ISNUMBER($J895),AND($J895&gt;=0,$J895=INT($J895)),FALSE())),"✖ العدد يجب أن يكون صحيحًا ≥ 0",IF(AND($F895="Baseline",$H895&lt;&gt;""),"⚠ Baseline: Start لا يدخل في التقدم",IF($K895="No Start (attainment only)","ℹ تحصيل فقط (بدون Start)",IF($K895="U – needs rule","ℹ حالة U تحتاج قاعدة معتمدة",IF($K895="No result","ℹ بدون نتيجة (يُستبعد من التحصيل)","OK")))))))))))</f>
        <v/>
      </c>
      <c r="M895" s="64" t="n">
        <f aca="false">IF($A895="",0,IFERROR(MATCH($A895,Classes!$A$6:$A$420,0),0))</f>
        <v>0</v>
      </c>
      <c r="N895" s="64" t="n">
        <f aca="false">IF($H895="",0,IFERROR(MATCH($H895,GradeList,0),0))</f>
        <v>0</v>
      </c>
      <c r="O895" s="64" t="n">
        <f aca="false">IF(OR($I895="",$I895="NR"),0,IFERROR(MATCH($I895,GradeList,0),0))</f>
        <v>0</v>
      </c>
      <c r="P895" s="64" t="n">
        <f aca="false">IF(AND($M895&gt;0,ISNUMBER(MATCH($F895,Lists!$A$2:$A$5,0)),ISNUMBER(MATCH($G895,Lists!$B$2:$B$7,0)),OR($H895="",$N895&gt;0),OR($I895="",$I895="NR",$O895&gt;0),IF(ISNUMBER($J895),AND($J895&gt;=0,$J895=INT($J895)),FALSE())),$J895,0)</f>
        <v>0</v>
      </c>
      <c r="Q895" s="64" t="n">
        <f aca="false">IF(AND($P895&gt;0,$O895&gt;0),$P895,0)</f>
        <v>0</v>
      </c>
      <c r="R895" s="64" t="n">
        <f aca="false">IF(AND($Q895&gt;0,$O895&gt;=AtRank),$Q895,0)</f>
        <v>0</v>
      </c>
      <c r="S895" s="64" t="n">
        <f aca="false">IF(AND($Q895&gt;0,$O895&gt;=AboveRank),$Q895,0)</f>
        <v>0</v>
      </c>
      <c r="T895" s="64" t="n">
        <f aca="false">IF($K895="Less",$P895,0)</f>
        <v>0</v>
      </c>
      <c r="U895" s="64" t="n">
        <f aca="false">IF($K895="Expected",$P895,0)</f>
        <v>0</v>
      </c>
      <c r="V895" s="64" t="n">
        <f aca="false">IF($K895="Better",$P895,0)</f>
        <v>0</v>
      </c>
      <c r="W895" s="64" t="n">
        <f aca="false">IF($K895="U – needs rule",$P895,0)</f>
        <v>0</v>
      </c>
      <c r="X895" s="64" t="n">
        <f aca="false">IF($K895="No Start (attainment only)",$P895,0)</f>
        <v>0</v>
      </c>
    </row>
    <row r="896" customFormat="false" ht="15" hidden="false" customHeight="false" outlineLevel="0" collapsed="false">
      <c r="A896" s="60"/>
      <c r="B896" s="61" t="str">
        <f aca="false">IF($M896=0,"",INDEX(Classes!$E$6:$E$420,$M896))</f>
        <v/>
      </c>
      <c r="C896" s="62" t="str">
        <f aca="false">IF($M896=0,"",INDEX(Classes!$H$6:$H$420,$M896))</f>
        <v/>
      </c>
      <c r="D896" s="61" t="str">
        <f aca="false">IF($M896=0,"",INDEX(Classes!$B$6:$B$420,$M896))</f>
        <v/>
      </c>
      <c r="E896" s="61" t="str">
        <f aca="false">IF($M896=0,"",INDEX(Classes!$C$6:$C$420,$M896))</f>
        <v/>
      </c>
      <c r="F896" s="63"/>
      <c r="G896" s="63"/>
      <c r="H896" s="60"/>
      <c r="I896" s="60"/>
      <c r="J896" s="63"/>
      <c r="K896" s="61" t="str">
        <f aca="false">IF($P896=0,"",IF($F896="Baseline","— Baseline",IF($O896=0,"No result",IF($N896=0,"No Start (attainment only)",IF(OR($N896=1,$O896=1),"U – needs rule",INDEX(MxBody,MATCH($I896,MxCurr,0),MATCH($H896,MxStart,0)))))))</f>
        <v/>
      </c>
      <c r="L896" s="62" t="str">
        <f aca="false">IF(COUNTA($A896,$F896,$G896,$H896,$I896,$J896)=0,"",IF($M896=0,"✖ كود الصف غير موجود",IF(ISNA(MATCH($F896,Lists!$A$2:$A$5,0)),"✖ الفترة غير صحيحة",IF(ISNA(MATCH($G896,Lists!$B$2:$B$7,0)),"✖ المجموعة غير صحيحة",IF(NOT(OR($H896="",$N896&gt;0)),"✖ Start غير صحيح",IF(NOT(OR($I896="",$I896="NR",$O896&gt;0)),"✖ Current غير صحيح",IF(NOT(IF(ISNUMBER($J896),AND($J896&gt;=0,$J896=INT($J896)),FALSE())),"✖ العدد يجب أن يكون صحيحًا ≥ 0",IF(AND($F896="Baseline",$H896&lt;&gt;""),"⚠ Baseline: Start لا يدخل في التقدم",IF($K896="No Start (attainment only)","ℹ تحصيل فقط (بدون Start)",IF($K896="U – needs rule","ℹ حالة U تحتاج قاعدة معتمدة",IF($K896="No result","ℹ بدون نتيجة (يُستبعد من التحصيل)","OK")))))))))))</f>
        <v/>
      </c>
      <c r="M896" s="64" t="n">
        <f aca="false">IF($A896="",0,IFERROR(MATCH($A896,Classes!$A$6:$A$420,0),0))</f>
        <v>0</v>
      </c>
      <c r="N896" s="64" t="n">
        <f aca="false">IF($H896="",0,IFERROR(MATCH($H896,GradeList,0),0))</f>
        <v>0</v>
      </c>
      <c r="O896" s="64" t="n">
        <f aca="false">IF(OR($I896="",$I896="NR"),0,IFERROR(MATCH($I896,GradeList,0),0))</f>
        <v>0</v>
      </c>
      <c r="P896" s="64" t="n">
        <f aca="false">IF(AND($M896&gt;0,ISNUMBER(MATCH($F896,Lists!$A$2:$A$5,0)),ISNUMBER(MATCH($G896,Lists!$B$2:$B$7,0)),OR($H896="",$N896&gt;0),OR($I896="",$I896="NR",$O896&gt;0),IF(ISNUMBER($J896),AND($J896&gt;=0,$J896=INT($J896)),FALSE())),$J896,0)</f>
        <v>0</v>
      </c>
      <c r="Q896" s="64" t="n">
        <f aca="false">IF(AND($P896&gt;0,$O896&gt;0),$P896,0)</f>
        <v>0</v>
      </c>
      <c r="R896" s="64" t="n">
        <f aca="false">IF(AND($Q896&gt;0,$O896&gt;=AtRank),$Q896,0)</f>
        <v>0</v>
      </c>
      <c r="S896" s="64" t="n">
        <f aca="false">IF(AND($Q896&gt;0,$O896&gt;=AboveRank),$Q896,0)</f>
        <v>0</v>
      </c>
      <c r="T896" s="64" t="n">
        <f aca="false">IF($K896="Less",$P896,0)</f>
        <v>0</v>
      </c>
      <c r="U896" s="64" t="n">
        <f aca="false">IF($K896="Expected",$P896,0)</f>
        <v>0</v>
      </c>
      <c r="V896" s="64" t="n">
        <f aca="false">IF($K896="Better",$P896,0)</f>
        <v>0</v>
      </c>
      <c r="W896" s="64" t="n">
        <f aca="false">IF($K896="U – needs rule",$P896,0)</f>
        <v>0</v>
      </c>
      <c r="X896" s="64" t="n">
        <f aca="false">IF($K896="No Start (attainment only)",$P896,0)</f>
        <v>0</v>
      </c>
    </row>
    <row r="897" customFormat="false" ht="15" hidden="false" customHeight="false" outlineLevel="0" collapsed="false">
      <c r="A897" s="60"/>
      <c r="B897" s="61" t="str">
        <f aca="false">IF($M897=0,"",INDEX(Classes!$E$6:$E$420,$M897))</f>
        <v/>
      </c>
      <c r="C897" s="62" t="str">
        <f aca="false">IF($M897=0,"",INDEX(Classes!$H$6:$H$420,$M897))</f>
        <v/>
      </c>
      <c r="D897" s="61" t="str">
        <f aca="false">IF($M897=0,"",INDEX(Classes!$B$6:$B$420,$M897))</f>
        <v/>
      </c>
      <c r="E897" s="61" t="str">
        <f aca="false">IF($M897=0,"",INDEX(Classes!$C$6:$C$420,$M897))</f>
        <v/>
      </c>
      <c r="F897" s="63"/>
      <c r="G897" s="63"/>
      <c r="H897" s="60"/>
      <c r="I897" s="60"/>
      <c r="J897" s="63"/>
      <c r="K897" s="61" t="str">
        <f aca="false">IF($P897=0,"",IF($F897="Baseline","— Baseline",IF($O897=0,"No result",IF($N897=0,"No Start (attainment only)",IF(OR($N897=1,$O897=1),"U – needs rule",INDEX(MxBody,MATCH($I897,MxCurr,0),MATCH($H897,MxStart,0)))))))</f>
        <v/>
      </c>
      <c r="L897" s="62" t="str">
        <f aca="false">IF(COUNTA($A897,$F897,$G897,$H897,$I897,$J897)=0,"",IF($M897=0,"✖ كود الصف غير موجود",IF(ISNA(MATCH($F897,Lists!$A$2:$A$5,0)),"✖ الفترة غير صحيحة",IF(ISNA(MATCH($G897,Lists!$B$2:$B$7,0)),"✖ المجموعة غير صحيحة",IF(NOT(OR($H897="",$N897&gt;0)),"✖ Start غير صحيح",IF(NOT(OR($I897="",$I897="NR",$O897&gt;0)),"✖ Current غير صحيح",IF(NOT(IF(ISNUMBER($J897),AND($J897&gt;=0,$J897=INT($J897)),FALSE())),"✖ العدد يجب أن يكون صحيحًا ≥ 0",IF(AND($F897="Baseline",$H897&lt;&gt;""),"⚠ Baseline: Start لا يدخل في التقدم",IF($K897="No Start (attainment only)","ℹ تحصيل فقط (بدون Start)",IF($K897="U – needs rule","ℹ حالة U تحتاج قاعدة معتمدة",IF($K897="No result","ℹ بدون نتيجة (يُستبعد من التحصيل)","OK")))))))))))</f>
        <v/>
      </c>
      <c r="M897" s="64" t="n">
        <f aca="false">IF($A897="",0,IFERROR(MATCH($A897,Classes!$A$6:$A$420,0),0))</f>
        <v>0</v>
      </c>
      <c r="N897" s="64" t="n">
        <f aca="false">IF($H897="",0,IFERROR(MATCH($H897,GradeList,0),0))</f>
        <v>0</v>
      </c>
      <c r="O897" s="64" t="n">
        <f aca="false">IF(OR($I897="",$I897="NR"),0,IFERROR(MATCH($I897,GradeList,0),0))</f>
        <v>0</v>
      </c>
      <c r="P897" s="64" t="n">
        <f aca="false">IF(AND($M897&gt;0,ISNUMBER(MATCH($F897,Lists!$A$2:$A$5,0)),ISNUMBER(MATCH($G897,Lists!$B$2:$B$7,0)),OR($H897="",$N897&gt;0),OR($I897="",$I897="NR",$O897&gt;0),IF(ISNUMBER($J897),AND($J897&gt;=0,$J897=INT($J897)),FALSE())),$J897,0)</f>
        <v>0</v>
      </c>
      <c r="Q897" s="64" t="n">
        <f aca="false">IF(AND($P897&gt;0,$O897&gt;0),$P897,0)</f>
        <v>0</v>
      </c>
      <c r="R897" s="64" t="n">
        <f aca="false">IF(AND($Q897&gt;0,$O897&gt;=AtRank),$Q897,0)</f>
        <v>0</v>
      </c>
      <c r="S897" s="64" t="n">
        <f aca="false">IF(AND($Q897&gt;0,$O897&gt;=AboveRank),$Q897,0)</f>
        <v>0</v>
      </c>
      <c r="T897" s="64" t="n">
        <f aca="false">IF($K897="Less",$P897,0)</f>
        <v>0</v>
      </c>
      <c r="U897" s="64" t="n">
        <f aca="false">IF($K897="Expected",$P897,0)</f>
        <v>0</v>
      </c>
      <c r="V897" s="64" t="n">
        <f aca="false">IF($K897="Better",$P897,0)</f>
        <v>0</v>
      </c>
      <c r="W897" s="64" t="n">
        <f aca="false">IF($K897="U – needs rule",$P897,0)</f>
        <v>0</v>
      </c>
      <c r="X897" s="64" t="n">
        <f aca="false">IF($K897="No Start (attainment only)",$P897,0)</f>
        <v>0</v>
      </c>
    </row>
    <row r="898" customFormat="false" ht="15" hidden="false" customHeight="false" outlineLevel="0" collapsed="false">
      <c r="A898" s="60"/>
      <c r="B898" s="61" t="str">
        <f aca="false">IF($M898=0,"",INDEX(Classes!$E$6:$E$420,$M898))</f>
        <v/>
      </c>
      <c r="C898" s="62" t="str">
        <f aca="false">IF($M898=0,"",INDEX(Classes!$H$6:$H$420,$M898))</f>
        <v/>
      </c>
      <c r="D898" s="61" t="str">
        <f aca="false">IF($M898=0,"",INDEX(Classes!$B$6:$B$420,$M898))</f>
        <v/>
      </c>
      <c r="E898" s="61" t="str">
        <f aca="false">IF($M898=0,"",INDEX(Classes!$C$6:$C$420,$M898))</f>
        <v/>
      </c>
      <c r="F898" s="63"/>
      <c r="G898" s="63"/>
      <c r="H898" s="60"/>
      <c r="I898" s="60"/>
      <c r="J898" s="63"/>
      <c r="K898" s="61" t="str">
        <f aca="false">IF($P898=0,"",IF($F898="Baseline","— Baseline",IF($O898=0,"No result",IF($N898=0,"No Start (attainment only)",IF(OR($N898=1,$O898=1),"U – needs rule",INDEX(MxBody,MATCH($I898,MxCurr,0),MATCH($H898,MxStart,0)))))))</f>
        <v/>
      </c>
      <c r="L898" s="62" t="str">
        <f aca="false">IF(COUNTA($A898,$F898,$G898,$H898,$I898,$J898)=0,"",IF($M898=0,"✖ كود الصف غير موجود",IF(ISNA(MATCH($F898,Lists!$A$2:$A$5,0)),"✖ الفترة غير صحيحة",IF(ISNA(MATCH($G898,Lists!$B$2:$B$7,0)),"✖ المجموعة غير صحيحة",IF(NOT(OR($H898="",$N898&gt;0)),"✖ Start غير صحيح",IF(NOT(OR($I898="",$I898="NR",$O898&gt;0)),"✖ Current غير صحيح",IF(NOT(IF(ISNUMBER($J898),AND($J898&gt;=0,$J898=INT($J898)),FALSE())),"✖ العدد يجب أن يكون صحيحًا ≥ 0",IF(AND($F898="Baseline",$H898&lt;&gt;""),"⚠ Baseline: Start لا يدخل في التقدم",IF($K898="No Start (attainment only)","ℹ تحصيل فقط (بدون Start)",IF($K898="U – needs rule","ℹ حالة U تحتاج قاعدة معتمدة",IF($K898="No result","ℹ بدون نتيجة (يُستبعد من التحصيل)","OK")))))))))))</f>
        <v/>
      </c>
      <c r="M898" s="64" t="n">
        <f aca="false">IF($A898="",0,IFERROR(MATCH($A898,Classes!$A$6:$A$420,0),0))</f>
        <v>0</v>
      </c>
      <c r="N898" s="64" t="n">
        <f aca="false">IF($H898="",0,IFERROR(MATCH($H898,GradeList,0),0))</f>
        <v>0</v>
      </c>
      <c r="O898" s="64" t="n">
        <f aca="false">IF(OR($I898="",$I898="NR"),0,IFERROR(MATCH($I898,GradeList,0),0))</f>
        <v>0</v>
      </c>
      <c r="P898" s="64" t="n">
        <f aca="false">IF(AND($M898&gt;0,ISNUMBER(MATCH($F898,Lists!$A$2:$A$5,0)),ISNUMBER(MATCH($G898,Lists!$B$2:$B$7,0)),OR($H898="",$N898&gt;0),OR($I898="",$I898="NR",$O898&gt;0),IF(ISNUMBER($J898),AND($J898&gt;=0,$J898=INT($J898)),FALSE())),$J898,0)</f>
        <v>0</v>
      </c>
      <c r="Q898" s="64" t="n">
        <f aca="false">IF(AND($P898&gt;0,$O898&gt;0),$P898,0)</f>
        <v>0</v>
      </c>
      <c r="R898" s="64" t="n">
        <f aca="false">IF(AND($Q898&gt;0,$O898&gt;=AtRank),$Q898,0)</f>
        <v>0</v>
      </c>
      <c r="S898" s="64" t="n">
        <f aca="false">IF(AND($Q898&gt;0,$O898&gt;=AboveRank),$Q898,0)</f>
        <v>0</v>
      </c>
      <c r="T898" s="64" t="n">
        <f aca="false">IF($K898="Less",$P898,0)</f>
        <v>0</v>
      </c>
      <c r="U898" s="64" t="n">
        <f aca="false">IF($K898="Expected",$P898,0)</f>
        <v>0</v>
      </c>
      <c r="V898" s="64" t="n">
        <f aca="false">IF($K898="Better",$P898,0)</f>
        <v>0</v>
      </c>
      <c r="W898" s="64" t="n">
        <f aca="false">IF($K898="U – needs rule",$P898,0)</f>
        <v>0</v>
      </c>
      <c r="X898" s="64" t="n">
        <f aca="false">IF($K898="No Start (attainment only)",$P898,0)</f>
        <v>0</v>
      </c>
    </row>
    <row r="899" customFormat="false" ht="15" hidden="false" customHeight="false" outlineLevel="0" collapsed="false">
      <c r="A899" s="60"/>
      <c r="B899" s="61" t="str">
        <f aca="false">IF($M899=0,"",INDEX(Classes!$E$6:$E$420,$M899))</f>
        <v/>
      </c>
      <c r="C899" s="62" t="str">
        <f aca="false">IF($M899=0,"",INDEX(Classes!$H$6:$H$420,$M899))</f>
        <v/>
      </c>
      <c r="D899" s="61" t="str">
        <f aca="false">IF($M899=0,"",INDEX(Classes!$B$6:$B$420,$M899))</f>
        <v/>
      </c>
      <c r="E899" s="61" t="str">
        <f aca="false">IF($M899=0,"",INDEX(Classes!$C$6:$C$420,$M899))</f>
        <v/>
      </c>
      <c r="F899" s="63"/>
      <c r="G899" s="63"/>
      <c r="H899" s="60"/>
      <c r="I899" s="60"/>
      <c r="J899" s="63"/>
      <c r="K899" s="61" t="str">
        <f aca="false">IF($P899=0,"",IF($F899="Baseline","— Baseline",IF($O899=0,"No result",IF($N899=0,"No Start (attainment only)",IF(OR($N899=1,$O899=1),"U – needs rule",INDEX(MxBody,MATCH($I899,MxCurr,0),MATCH($H899,MxStart,0)))))))</f>
        <v/>
      </c>
      <c r="L899" s="62" t="str">
        <f aca="false">IF(COUNTA($A899,$F899,$G899,$H899,$I899,$J899)=0,"",IF($M899=0,"✖ كود الصف غير موجود",IF(ISNA(MATCH($F899,Lists!$A$2:$A$5,0)),"✖ الفترة غير صحيحة",IF(ISNA(MATCH($G899,Lists!$B$2:$B$7,0)),"✖ المجموعة غير صحيحة",IF(NOT(OR($H899="",$N899&gt;0)),"✖ Start غير صحيح",IF(NOT(OR($I899="",$I899="NR",$O899&gt;0)),"✖ Current غير صحيح",IF(NOT(IF(ISNUMBER($J899),AND($J899&gt;=0,$J899=INT($J899)),FALSE())),"✖ العدد يجب أن يكون صحيحًا ≥ 0",IF(AND($F899="Baseline",$H899&lt;&gt;""),"⚠ Baseline: Start لا يدخل في التقدم",IF($K899="No Start (attainment only)","ℹ تحصيل فقط (بدون Start)",IF($K899="U – needs rule","ℹ حالة U تحتاج قاعدة معتمدة",IF($K899="No result","ℹ بدون نتيجة (يُستبعد من التحصيل)","OK")))))))))))</f>
        <v/>
      </c>
      <c r="M899" s="64" t="n">
        <f aca="false">IF($A899="",0,IFERROR(MATCH($A899,Classes!$A$6:$A$420,0),0))</f>
        <v>0</v>
      </c>
      <c r="N899" s="64" t="n">
        <f aca="false">IF($H899="",0,IFERROR(MATCH($H899,GradeList,0),0))</f>
        <v>0</v>
      </c>
      <c r="O899" s="64" t="n">
        <f aca="false">IF(OR($I899="",$I899="NR"),0,IFERROR(MATCH($I899,GradeList,0),0))</f>
        <v>0</v>
      </c>
      <c r="P899" s="64" t="n">
        <f aca="false">IF(AND($M899&gt;0,ISNUMBER(MATCH($F899,Lists!$A$2:$A$5,0)),ISNUMBER(MATCH($G899,Lists!$B$2:$B$7,0)),OR($H899="",$N899&gt;0),OR($I899="",$I899="NR",$O899&gt;0),IF(ISNUMBER($J899),AND($J899&gt;=0,$J899=INT($J899)),FALSE())),$J899,0)</f>
        <v>0</v>
      </c>
      <c r="Q899" s="64" t="n">
        <f aca="false">IF(AND($P899&gt;0,$O899&gt;0),$P899,0)</f>
        <v>0</v>
      </c>
      <c r="R899" s="64" t="n">
        <f aca="false">IF(AND($Q899&gt;0,$O899&gt;=AtRank),$Q899,0)</f>
        <v>0</v>
      </c>
      <c r="S899" s="64" t="n">
        <f aca="false">IF(AND($Q899&gt;0,$O899&gt;=AboveRank),$Q899,0)</f>
        <v>0</v>
      </c>
      <c r="T899" s="64" t="n">
        <f aca="false">IF($K899="Less",$P899,0)</f>
        <v>0</v>
      </c>
      <c r="U899" s="64" t="n">
        <f aca="false">IF($K899="Expected",$P899,0)</f>
        <v>0</v>
      </c>
      <c r="V899" s="64" t="n">
        <f aca="false">IF($K899="Better",$P899,0)</f>
        <v>0</v>
      </c>
      <c r="W899" s="64" t="n">
        <f aca="false">IF($K899="U – needs rule",$P899,0)</f>
        <v>0</v>
      </c>
      <c r="X899" s="64" t="n">
        <f aca="false">IF($K899="No Start (attainment only)",$P899,0)</f>
        <v>0</v>
      </c>
    </row>
    <row r="900" customFormat="false" ht="15" hidden="false" customHeight="false" outlineLevel="0" collapsed="false">
      <c r="A900" s="60"/>
      <c r="B900" s="61" t="str">
        <f aca="false">IF($M900=0,"",INDEX(Classes!$E$6:$E$420,$M900))</f>
        <v/>
      </c>
      <c r="C900" s="62" t="str">
        <f aca="false">IF($M900=0,"",INDEX(Classes!$H$6:$H$420,$M900))</f>
        <v/>
      </c>
      <c r="D900" s="61" t="str">
        <f aca="false">IF($M900=0,"",INDEX(Classes!$B$6:$B$420,$M900))</f>
        <v/>
      </c>
      <c r="E900" s="61" t="str">
        <f aca="false">IF($M900=0,"",INDEX(Classes!$C$6:$C$420,$M900))</f>
        <v/>
      </c>
      <c r="F900" s="63"/>
      <c r="G900" s="63"/>
      <c r="H900" s="60"/>
      <c r="I900" s="60"/>
      <c r="J900" s="63"/>
      <c r="K900" s="61" t="str">
        <f aca="false">IF($P900=0,"",IF($F900="Baseline","— Baseline",IF($O900=0,"No result",IF($N900=0,"No Start (attainment only)",IF(OR($N900=1,$O900=1),"U – needs rule",INDEX(MxBody,MATCH($I900,MxCurr,0),MATCH($H900,MxStart,0)))))))</f>
        <v/>
      </c>
      <c r="L900" s="62" t="str">
        <f aca="false">IF(COUNTA($A900,$F900,$G900,$H900,$I900,$J900)=0,"",IF($M900=0,"✖ كود الصف غير موجود",IF(ISNA(MATCH($F900,Lists!$A$2:$A$5,0)),"✖ الفترة غير صحيحة",IF(ISNA(MATCH($G900,Lists!$B$2:$B$7,0)),"✖ المجموعة غير صحيحة",IF(NOT(OR($H900="",$N900&gt;0)),"✖ Start غير صحيح",IF(NOT(OR($I900="",$I900="NR",$O900&gt;0)),"✖ Current غير صحيح",IF(NOT(IF(ISNUMBER($J900),AND($J900&gt;=0,$J900=INT($J900)),FALSE())),"✖ العدد يجب أن يكون صحيحًا ≥ 0",IF(AND($F900="Baseline",$H900&lt;&gt;""),"⚠ Baseline: Start لا يدخل في التقدم",IF($K900="No Start (attainment only)","ℹ تحصيل فقط (بدون Start)",IF($K900="U – needs rule","ℹ حالة U تحتاج قاعدة معتمدة",IF($K900="No result","ℹ بدون نتيجة (يُستبعد من التحصيل)","OK")))))))))))</f>
        <v/>
      </c>
      <c r="M900" s="64" t="n">
        <f aca="false">IF($A900="",0,IFERROR(MATCH($A900,Classes!$A$6:$A$420,0),0))</f>
        <v>0</v>
      </c>
      <c r="N900" s="64" t="n">
        <f aca="false">IF($H900="",0,IFERROR(MATCH($H900,GradeList,0),0))</f>
        <v>0</v>
      </c>
      <c r="O900" s="64" t="n">
        <f aca="false">IF(OR($I900="",$I900="NR"),0,IFERROR(MATCH($I900,GradeList,0),0))</f>
        <v>0</v>
      </c>
      <c r="P900" s="64" t="n">
        <f aca="false">IF(AND($M900&gt;0,ISNUMBER(MATCH($F900,Lists!$A$2:$A$5,0)),ISNUMBER(MATCH($G900,Lists!$B$2:$B$7,0)),OR($H900="",$N900&gt;0),OR($I900="",$I900="NR",$O900&gt;0),IF(ISNUMBER($J900),AND($J900&gt;=0,$J900=INT($J900)),FALSE())),$J900,0)</f>
        <v>0</v>
      </c>
      <c r="Q900" s="64" t="n">
        <f aca="false">IF(AND($P900&gt;0,$O900&gt;0),$P900,0)</f>
        <v>0</v>
      </c>
      <c r="R900" s="64" t="n">
        <f aca="false">IF(AND($Q900&gt;0,$O900&gt;=AtRank),$Q900,0)</f>
        <v>0</v>
      </c>
      <c r="S900" s="64" t="n">
        <f aca="false">IF(AND($Q900&gt;0,$O900&gt;=AboveRank),$Q900,0)</f>
        <v>0</v>
      </c>
      <c r="T900" s="64" t="n">
        <f aca="false">IF($K900="Less",$P900,0)</f>
        <v>0</v>
      </c>
      <c r="U900" s="64" t="n">
        <f aca="false">IF($K900="Expected",$P900,0)</f>
        <v>0</v>
      </c>
      <c r="V900" s="64" t="n">
        <f aca="false">IF($K900="Better",$P900,0)</f>
        <v>0</v>
      </c>
      <c r="W900" s="64" t="n">
        <f aca="false">IF($K900="U – needs rule",$P900,0)</f>
        <v>0</v>
      </c>
      <c r="X900" s="64" t="n">
        <f aca="false">IF($K900="No Start (attainment only)",$P900,0)</f>
        <v>0</v>
      </c>
    </row>
    <row r="901" customFormat="false" ht="15" hidden="false" customHeight="false" outlineLevel="0" collapsed="false">
      <c r="A901" s="60"/>
      <c r="B901" s="61" t="str">
        <f aca="false">IF($M901=0,"",INDEX(Classes!$E$6:$E$420,$M901))</f>
        <v/>
      </c>
      <c r="C901" s="62" t="str">
        <f aca="false">IF($M901=0,"",INDEX(Classes!$H$6:$H$420,$M901))</f>
        <v/>
      </c>
      <c r="D901" s="61" t="str">
        <f aca="false">IF($M901=0,"",INDEX(Classes!$B$6:$B$420,$M901))</f>
        <v/>
      </c>
      <c r="E901" s="61" t="str">
        <f aca="false">IF($M901=0,"",INDEX(Classes!$C$6:$C$420,$M901))</f>
        <v/>
      </c>
      <c r="F901" s="63"/>
      <c r="G901" s="63"/>
      <c r="H901" s="60"/>
      <c r="I901" s="60"/>
      <c r="J901" s="63"/>
      <c r="K901" s="61" t="str">
        <f aca="false">IF($P901=0,"",IF($F901="Baseline","— Baseline",IF($O901=0,"No result",IF($N901=0,"No Start (attainment only)",IF(OR($N901=1,$O901=1),"U – needs rule",INDEX(MxBody,MATCH($I901,MxCurr,0),MATCH($H901,MxStart,0)))))))</f>
        <v/>
      </c>
      <c r="L901" s="62" t="str">
        <f aca="false">IF(COUNTA($A901,$F901,$G901,$H901,$I901,$J901)=0,"",IF($M901=0,"✖ كود الصف غير موجود",IF(ISNA(MATCH($F901,Lists!$A$2:$A$5,0)),"✖ الفترة غير صحيحة",IF(ISNA(MATCH($G901,Lists!$B$2:$B$7,0)),"✖ المجموعة غير صحيحة",IF(NOT(OR($H901="",$N901&gt;0)),"✖ Start غير صحيح",IF(NOT(OR($I901="",$I901="NR",$O901&gt;0)),"✖ Current غير صحيح",IF(NOT(IF(ISNUMBER($J901),AND($J901&gt;=0,$J901=INT($J901)),FALSE())),"✖ العدد يجب أن يكون صحيحًا ≥ 0",IF(AND($F901="Baseline",$H901&lt;&gt;""),"⚠ Baseline: Start لا يدخل في التقدم",IF($K901="No Start (attainment only)","ℹ تحصيل فقط (بدون Start)",IF($K901="U – needs rule","ℹ حالة U تحتاج قاعدة معتمدة",IF($K901="No result","ℹ بدون نتيجة (يُستبعد من التحصيل)","OK")))))))))))</f>
        <v/>
      </c>
      <c r="M901" s="64" t="n">
        <f aca="false">IF($A901="",0,IFERROR(MATCH($A901,Classes!$A$6:$A$420,0),0))</f>
        <v>0</v>
      </c>
      <c r="N901" s="64" t="n">
        <f aca="false">IF($H901="",0,IFERROR(MATCH($H901,GradeList,0),0))</f>
        <v>0</v>
      </c>
      <c r="O901" s="64" t="n">
        <f aca="false">IF(OR($I901="",$I901="NR"),0,IFERROR(MATCH($I901,GradeList,0),0))</f>
        <v>0</v>
      </c>
      <c r="P901" s="64" t="n">
        <f aca="false">IF(AND($M901&gt;0,ISNUMBER(MATCH($F901,Lists!$A$2:$A$5,0)),ISNUMBER(MATCH($G901,Lists!$B$2:$B$7,0)),OR($H901="",$N901&gt;0),OR($I901="",$I901="NR",$O901&gt;0),IF(ISNUMBER($J901),AND($J901&gt;=0,$J901=INT($J901)),FALSE())),$J901,0)</f>
        <v>0</v>
      </c>
      <c r="Q901" s="64" t="n">
        <f aca="false">IF(AND($P901&gt;0,$O901&gt;0),$P901,0)</f>
        <v>0</v>
      </c>
      <c r="R901" s="64" t="n">
        <f aca="false">IF(AND($Q901&gt;0,$O901&gt;=AtRank),$Q901,0)</f>
        <v>0</v>
      </c>
      <c r="S901" s="64" t="n">
        <f aca="false">IF(AND($Q901&gt;0,$O901&gt;=AboveRank),$Q901,0)</f>
        <v>0</v>
      </c>
      <c r="T901" s="64" t="n">
        <f aca="false">IF($K901="Less",$P901,0)</f>
        <v>0</v>
      </c>
      <c r="U901" s="64" t="n">
        <f aca="false">IF($K901="Expected",$P901,0)</f>
        <v>0</v>
      </c>
      <c r="V901" s="64" t="n">
        <f aca="false">IF($K901="Better",$P901,0)</f>
        <v>0</v>
      </c>
      <c r="W901" s="64" t="n">
        <f aca="false">IF($K901="U – needs rule",$P901,0)</f>
        <v>0</v>
      </c>
      <c r="X901" s="64" t="n">
        <f aca="false">IF($K901="No Start (attainment only)",$P901,0)</f>
        <v>0</v>
      </c>
    </row>
    <row r="902" customFormat="false" ht="15" hidden="false" customHeight="false" outlineLevel="0" collapsed="false">
      <c r="A902" s="60"/>
      <c r="B902" s="61" t="str">
        <f aca="false">IF($M902=0,"",INDEX(Classes!$E$6:$E$420,$M902))</f>
        <v/>
      </c>
      <c r="C902" s="62" t="str">
        <f aca="false">IF($M902=0,"",INDEX(Classes!$H$6:$H$420,$M902))</f>
        <v/>
      </c>
      <c r="D902" s="61" t="str">
        <f aca="false">IF($M902=0,"",INDEX(Classes!$B$6:$B$420,$M902))</f>
        <v/>
      </c>
      <c r="E902" s="61" t="str">
        <f aca="false">IF($M902=0,"",INDEX(Classes!$C$6:$C$420,$M902))</f>
        <v/>
      </c>
      <c r="F902" s="63"/>
      <c r="G902" s="63"/>
      <c r="H902" s="60"/>
      <c r="I902" s="60"/>
      <c r="J902" s="63"/>
      <c r="K902" s="61" t="str">
        <f aca="false">IF($P902=0,"",IF($F902="Baseline","— Baseline",IF($O902=0,"No result",IF($N902=0,"No Start (attainment only)",IF(OR($N902=1,$O902=1),"U – needs rule",INDEX(MxBody,MATCH($I902,MxCurr,0),MATCH($H902,MxStart,0)))))))</f>
        <v/>
      </c>
      <c r="L902" s="62" t="str">
        <f aca="false">IF(COUNTA($A902,$F902,$G902,$H902,$I902,$J902)=0,"",IF($M902=0,"✖ كود الصف غير موجود",IF(ISNA(MATCH($F902,Lists!$A$2:$A$5,0)),"✖ الفترة غير صحيحة",IF(ISNA(MATCH($G902,Lists!$B$2:$B$7,0)),"✖ المجموعة غير صحيحة",IF(NOT(OR($H902="",$N902&gt;0)),"✖ Start غير صحيح",IF(NOT(OR($I902="",$I902="NR",$O902&gt;0)),"✖ Current غير صحيح",IF(NOT(IF(ISNUMBER($J902),AND($J902&gt;=0,$J902=INT($J902)),FALSE())),"✖ العدد يجب أن يكون صحيحًا ≥ 0",IF(AND($F902="Baseline",$H902&lt;&gt;""),"⚠ Baseline: Start لا يدخل في التقدم",IF($K902="No Start (attainment only)","ℹ تحصيل فقط (بدون Start)",IF($K902="U – needs rule","ℹ حالة U تحتاج قاعدة معتمدة",IF($K902="No result","ℹ بدون نتيجة (يُستبعد من التحصيل)","OK")))))))))))</f>
        <v/>
      </c>
      <c r="M902" s="64" t="n">
        <f aca="false">IF($A902="",0,IFERROR(MATCH($A902,Classes!$A$6:$A$420,0),0))</f>
        <v>0</v>
      </c>
      <c r="N902" s="64" t="n">
        <f aca="false">IF($H902="",0,IFERROR(MATCH($H902,GradeList,0),0))</f>
        <v>0</v>
      </c>
      <c r="O902" s="64" t="n">
        <f aca="false">IF(OR($I902="",$I902="NR"),0,IFERROR(MATCH($I902,GradeList,0),0))</f>
        <v>0</v>
      </c>
      <c r="P902" s="64" t="n">
        <f aca="false">IF(AND($M902&gt;0,ISNUMBER(MATCH($F902,Lists!$A$2:$A$5,0)),ISNUMBER(MATCH($G902,Lists!$B$2:$B$7,0)),OR($H902="",$N902&gt;0),OR($I902="",$I902="NR",$O902&gt;0),IF(ISNUMBER($J902),AND($J902&gt;=0,$J902=INT($J902)),FALSE())),$J902,0)</f>
        <v>0</v>
      </c>
      <c r="Q902" s="64" t="n">
        <f aca="false">IF(AND($P902&gt;0,$O902&gt;0),$P902,0)</f>
        <v>0</v>
      </c>
      <c r="R902" s="64" t="n">
        <f aca="false">IF(AND($Q902&gt;0,$O902&gt;=AtRank),$Q902,0)</f>
        <v>0</v>
      </c>
      <c r="S902" s="64" t="n">
        <f aca="false">IF(AND($Q902&gt;0,$O902&gt;=AboveRank),$Q902,0)</f>
        <v>0</v>
      </c>
      <c r="T902" s="64" t="n">
        <f aca="false">IF($K902="Less",$P902,0)</f>
        <v>0</v>
      </c>
      <c r="U902" s="64" t="n">
        <f aca="false">IF($K902="Expected",$P902,0)</f>
        <v>0</v>
      </c>
      <c r="V902" s="64" t="n">
        <f aca="false">IF($K902="Better",$P902,0)</f>
        <v>0</v>
      </c>
      <c r="W902" s="64" t="n">
        <f aca="false">IF($K902="U – needs rule",$P902,0)</f>
        <v>0</v>
      </c>
      <c r="X902" s="64" t="n">
        <f aca="false">IF($K902="No Start (attainment only)",$P902,0)</f>
        <v>0</v>
      </c>
    </row>
    <row r="903" customFormat="false" ht="15" hidden="false" customHeight="false" outlineLevel="0" collapsed="false">
      <c r="A903" s="60"/>
      <c r="B903" s="61" t="str">
        <f aca="false">IF($M903=0,"",INDEX(Classes!$E$6:$E$420,$M903))</f>
        <v/>
      </c>
      <c r="C903" s="62" t="str">
        <f aca="false">IF($M903=0,"",INDEX(Classes!$H$6:$H$420,$M903))</f>
        <v/>
      </c>
      <c r="D903" s="61" t="str">
        <f aca="false">IF($M903=0,"",INDEX(Classes!$B$6:$B$420,$M903))</f>
        <v/>
      </c>
      <c r="E903" s="61" t="str">
        <f aca="false">IF($M903=0,"",INDEX(Classes!$C$6:$C$420,$M903))</f>
        <v/>
      </c>
      <c r="F903" s="63"/>
      <c r="G903" s="63"/>
      <c r="H903" s="60"/>
      <c r="I903" s="60"/>
      <c r="J903" s="63"/>
      <c r="K903" s="61" t="str">
        <f aca="false">IF($P903=0,"",IF($F903="Baseline","— Baseline",IF($O903=0,"No result",IF($N903=0,"No Start (attainment only)",IF(OR($N903=1,$O903=1),"U – needs rule",INDEX(MxBody,MATCH($I903,MxCurr,0),MATCH($H903,MxStart,0)))))))</f>
        <v/>
      </c>
      <c r="L903" s="62" t="str">
        <f aca="false">IF(COUNTA($A903,$F903,$G903,$H903,$I903,$J903)=0,"",IF($M903=0,"✖ كود الصف غير موجود",IF(ISNA(MATCH($F903,Lists!$A$2:$A$5,0)),"✖ الفترة غير صحيحة",IF(ISNA(MATCH($G903,Lists!$B$2:$B$7,0)),"✖ المجموعة غير صحيحة",IF(NOT(OR($H903="",$N903&gt;0)),"✖ Start غير صحيح",IF(NOT(OR($I903="",$I903="NR",$O903&gt;0)),"✖ Current غير صحيح",IF(NOT(IF(ISNUMBER($J903),AND($J903&gt;=0,$J903=INT($J903)),FALSE())),"✖ العدد يجب أن يكون صحيحًا ≥ 0",IF(AND($F903="Baseline",$H903&lt;&gt;""),"⚠ Baseline: Start لا يدخل في التقدم",IF($K903="No Start (attainment only)","ℹ تحصيل فقط (بدون Start)",IF($K903="U – needs rule","ℹ حالة U تحتاج قاعدة معتمدة",IF($K903="No result","ℹ بدون نتيجة (يُستبعد من التحصيل)","OK")))))))))))</f>
        <v/>
      </c>
      <c r="M903" s="64" t="n">
        <f aca="false">IF($A903="",0,IFERROR(MATCH($A903,Classes!$A$6:$A$420,0),0))</f>
        <v>0</v>
      </c>
      <c r="N903" s="64" t="n">
        <f aca="false">IF($H903="",0,IFERROR(MATCH($H903,GradeList,0),0))</f>
        <v>0</v>
      </c>
      <c r="O903" s="64" t="n">
        <f aca="false">IF(OR($I903="",$I903="NR"),0,IFERROR(MATCH($I903,GradeList,0),0))</f>
        <v>0</v>
      </c>
      <c r="P903" s="64" t="n">
        <f aca="false">IF(AND($M903&gt;0,ISNUMBER(MATCH($F903,Lists!$A$2:$A$5,0)),ISNUMBER(MATCH($G903,Lists!$B$2:$B$7,0)),OR($H903="",$N903&gt;0),OR($I903="",$I903="NR",$O903&gt;0),IF(ISNUMBER($J903),AND($J903&gt;=0,$J903=INT($J903)),FALSE())),$J903,0)</f>
        <v>0</v>
      </c>
      <c r="Q903" s="64" t="n">
        <f aca="false">IF(AND($P903&gt;0,$O903&gt;0),$P903,0)</f>
        <v>0</v>
      </c>
      <c r="R903" s="64" t="n">
        <f aca="false">IF(AND($Q903&gt;0,$O903&gt;=AtRank),$Q903,0)</f>
        <v>0</v>
      </c>
      <c r="S903" s="64" t="n">
        <f aca="false">IF(AND($Q903&gt;0,$O903&gt;=AboveRank),$Q903,0)</f>
        <v>0</v>
      </c>
      <c r="T903" s="64" t="n">
        <f aca="false">IF($K903="Less",$P903,0)</f>
        <v>0</v>
      </c>
      <c r="U903" s="64" t="n">
        <f aca="false">IF($K903="Expected",$P903,0)</f>
        <v>0</v>
      </c>
      <c r="V903" s="64" t="n">
        <f aca="false">IF($K903="Better",$P903,0)</f>
        <v>0</v>
      </c>
      <c r="W903" s="64" t="n">
        <f aca="false">IF($K903="U – needs rule",$P903,0)</f>
        <v>0</v>
      </c>
      <c r="X903" s="64" t="n">
        <f aca="false">IF($K903="No Start (attainment only)",$P903,0)</f>
        <v>0</v>
      </c>
    </row>
    <row r="904" customFormat="false" ht="15" hidden="false" customHeight="false" outlineLevel="0" collapsed="false">
      <c r="A904" s="60"/>
      <c r="B904" s="61" t="str">
        <f aca="false">IF($M904=0,"",INDEX(Classes!$E$6:$E$420,$M904))</f>
        <v/>
      </c>
      <c r="C904" s="62" t="str">
        <f aca="false">IF($M904=0,"",INDEX(Classes!$H$6:$H$420,$M904))</f>
        <v/>
      </c>
      <c r="D904" s="61" t="str">
        <f aca="false">IF($M904=0,"",INDEX(Classes!$B$6:$B$420,$M904))</f>
        <v/>
      </c>
      <c r="E904" s="61" t="str">
        <f aca="false">IF($M904=0,"",INDEX(Classes!$C$6:$C$420,$M904))</f>
        <v/>
      </c>
      <c r="F904" s="63"/>
      <c r="G904" s="63"/>
      <c r="H904" s="60"/>
      <c r="I904" s="60"/>
      <c r="J904" s="63"/>
      <c r="K904" s="61" t="str">
        <f aca="false">IF($P904=0,"",IF($F904="Baseline","— Baseline",IF($O904=0,"No result",IF($N904=0,"No Start (attainment only)",IF(OR($N904=1,$O904=1),"U – needs rule",INDEX(MxBody,MATCH($I904,MxCurr,0),MATCH($H904,MxStart,0)))))))</f>
        <v/>
      </c>
      <c r="L904" s="62" t="str">
        <f aca="false">IF(COUNTA($A904,$F904,$G904,$H904,$I904,$J904)=0,"",IF($M904=0,"✖ كود الصف غير موجود",IF(ISNA(MATCH($F904,Lists!$A$2:$A$5,0)),"✖ الفترة غير صحيحة",IF(ISNA(MATCH($G904,Lists!$B$2:$B$7,0)),"✖ المجموعة غير صحيحة",IF(NOT(OR($H904="",$N904&gt;0)),"✖ Start غير صحيح",IF(NOT(OR($I904="",$I904="NR",$O904&gt;0)),"✖ Current غير صحيح",IF(NOT(IF(ISNUMBER($J904),AND($J904&gt;=0,$J904=INT($J904)),FALSE())),"✖ العدد يجب أن يكون صحيحًا ≥ 0",IF(AND($F904="Baseline",$H904&lt;&gt;""),"⚠ Baseline: Start لا يدخل في التقدم",IF($K904="No Start (attainment only)","ℹ تحصيل فقط (بدون Start)",IF($K904="U – needs rule","ℹ حالة U تحتاج قاعدة معتمدة",IF($K904="No result","ℹ بدون نتيجة (يُستبعد من التحصيل)","OK")))))))))))</f>
        <v/>
      </c>
      <c r="M904" s="64" t="n">
        <f aca="false">IF($A904="",0,IFERROR(MATCH($A904,Classes!$A$6:$A$420,0),0))</f>
        <v>0</v>
      </c>
      <c r="N904" s="64" t="n">
        <f aca="false">IF($H904="",0,IFERROR(MATCH($H904,GradeList,0),0))</f>
        <v>0</v>
      </c>
      <c r="O904" s="64" t="n">
        <f aca="false">IF(OR($I904="",$I904="NR"),0,IFERROR(MATCH($I904,GradeList,0),0))</f>
        <v>0</v>
      </c>
      <c r="P904" s="64" t="n">
        <f aca="false">IF(AND($M904&gt;0,ISNUMBER(MATCH($F904,Lists!$A$2:$A$5,0)),ISNUMBER(MATCH($G904,Lists!$B$2:$B$7,0)),OR($H904="",$N904&gt;0),OR($I904="",$I904="NR",$O904&gt;0),IF(ISNUMBER($J904),AND($J904&gt;=0,$J904=INT($J904)),FALSE())),$J904,0)</f>
        <v>0</v>
      </c>
      <c r="Q904" s="64" t="n">
        <f aca="false">IF(AND($P904&gt;0,$O904&gt;0),$P904,0)</f>
        <v>0</v>
      </c>
      <c r="R904" s="64" t="n">
        <f aca="false">IF(AND($Q904&gt;0,$O904&gt;=AtRank),$Q904,0)</f>
        <v>0</v>
      </c>
      <c r="S904" s="64" t="n">
        <f aca="false">IF(AND($Q904&gt;0,$O904&gt;=AboveRank),$Q904,0)</f>
        <v>0</v>
      </c>
      <c r="T904" s="64" t="n">
        <f aca="false">IF($K904="Less",$P904,0)</f>
        <v>0</v>
      </c>
      <c r="U904" s="64" t="n">
        <f aca="false">IF($K904="Expected",$P904,0)</f>
        <v>0</v>
      </c>
      <c r="V904" s="64" t="n">
        <f aca="false">IF($K904="Better",$P904,0)</f>
        <v>0</v>
      </c>
      <c r="W904" s="64" t="n">
        <f aca="false">IF($K904="U – needs rule",$P904,0)</f>
        <v>0</v>
      </c>
      <c r="X904" s="64" t="n">
        <f aca="false">IF($K904="No Start (attainment only)",$P904,0)</f>
        <v>0</v>
      </c>
    </row>
    <row r="905" customFormat="false" ht="15" hidden="false" customHeight="false" outlineLevel="0" collapsed="false">
      <c r="A905" s="60"/>
      <c r="B905" s="61" t="str">
        <f aca="false">IF($M905=0,"",INDEX(Classes!$E$6:$E$420,$M905))</f>
        <v/>
      </c>
      <c r="C905" s="62" t="str">
        <f aca="false">IF($M905=0,"",INDEX(Classes!$H$6:$H$420,$M905))</f>
        <v/>
      </c>
      <c r="D905" s="61" t="str">
        <f aca="false">IF($M905=0,"",INDEX(Classes!$B$6:$B$420,$M905))</f>
        <v/>
      </c>
      <c r="E905" s="61" t="str">
        <f aca="false">IF($M905=0,"",INDEX(Classes!$C$6:$C$420,$M905))</f>
        <v/>
      </c>
      <c r="F905" s="63"/>
      <c r="G905" s="63"/>
      <c r="H905" s="60"/>
      <c r="I905" s="60"/>
      <c r="J905" s="63"/>
      <c r="K905" s="61" t="str">
        <f aca="false">IF($P905=0,"",IF($F905="Baseline","— Baseline",IF($O905=0,"No result",IF($N905=0,"No Start (attainment only)",IF(OR($N905=1,$O905=1),"U – needs rule",INDEX(MxBody,MATCH($I905,MxCurr,0),MATCH($H905,MxStart,0)))))))</f>
        <v/>
      </c>
      <c r="L905" s="62" t="str">
        <f aca="false">IF(COUNTA($A905,$F905,$G905,$H905,$I905,$J905)=0,"",IF($M905=0,"✖ كود الصف غير موجود",IF(ISNA(MATCH($F905,Lists!$A$2:$A$5,0)),"✖ الفترة غير صحيحة",IF(ISNA(MATCH($G905,Lists!$B$2:$B$7,0)),"✖ المجموعة غير صحيحة",IF(NOT(OR($H905="",$N905&gt;0)),"✖ Start غير صحيح",IF(NOT(OR($I905="",$I905="NR",$O905&gt;0)),"✖ Current غير صحيح",IF(NOT(IF(ISNUMBER($J905),AND($J905&gt;=0,$J905=INT($J905)),FALSE())),"✖ العدد يجب أن يكون صحيحًا ≥ 0",IF(AND($F905="Baseline",$H905&lt;&gt;""),"⚠ Baseline: Start لا يدخل في التقدم",IF($K905="No Start (attainment only)","ℹ تحصيل فقط (بدون Start)",IF($K905="U – needs rule","ℹ حالة U تحتاج قاعدة معتمدة",IF($K905="No result","ℹ بدون نتيجة (يُستبعد من التحصيل)","OK")))))))))))</f>
        <v/>
      </c>
      <c r="M905" s="64" t="n">
        <f aca="false">IF($A905="",0,IFERROR(MATCH($A905,Classes!$A$6:$A$420,0),0))</f>
        <v>0</v>
      </c>
      <c r="N905" s="64" t="n">
        <f aca="false">IF($H905="",0,IFERROR(MATCH($H905,GradeList,0),0))</f>
        <v>0</v>
      </c>
      <c r="O905" s="64" t="n">
        <f aca="false">IF(OR($I905="",$I905="NR"),0,IFERROR(MATCH($I905,GradeList,0),0))</f>
        <v>0</v>
      </c>
      <c r="P905" s="64" t="n">
        <f aca="false">IF(AND($M905&gt;0,ISNUMBER(MATCH($F905,Lists!$A$2:$A$5,0)),ISNUMBER(MATCH($G905,Lists!$B$2:$B$7,0)),OR($H905="",$N905&gt;0),OR($I905="",$I905="NR",$O905&gt;0),IF(ISNUMBER($J905),AND($J905&gt;=0,$J905=INT($J905)),FALSE())),$J905,0)</f>
        <v>0</v>
      </c>
      <c r="Q905" s="64" t="n">
        <f aca="false">IF(AND($P905&gt;0,$O905&gt;0),$P905,0)</f>
        <v>0</v>
      </c>
      <c r="R905" s="64" t="n">
        <f aca="false">IF(AND($Q905&gt;0,$O905&gt;=AtRank),$Q905,0)</f>
        <v>0</v>
      </c>
      <c r="S905" s="64" t="n">
        <f aca="false">IF(AND($Q905&gt;0,$O905&gt;=AboveRank),$Q905,0)</f>
        <v>0</v>
      </c>
      <c r="T905" s="64" t="n">
        <f aca="false">IF($K905="Less",$P905,0)</f>
        <v>0</v>
      </c>
      <c r="U905" s="64" t="n">
        <f aca="false">IF($K905="Expected",$P905,0)</f>
        <v>0</v>
      </c>
      <c r="V905" s="64" t="n">
        <f aca="false">IF($K905="Better",$P905,0)</f>
        <v>0</v>
      </c>
      <c r="W905" s="64" t="n">
        <f aca="false">IF($K905="U – needs rule",$P905,0)</f>
        <v>0</v>
      </c>
      <c r="X905" s="64" t="n">
        <f aca="false">IF($K905="No Start (attainment only)",$P905,0)</f>
        <v>0</v>
      </c>
    </row>
    <row r="906" customFormat="false" ht="15" hidden="false" customHeight="false" outlineLevel="0" collapsed="false">
      <c r="A906" s="60"/>
      <c r="B906" s="61" t="str">
        <f aca="false">IF($M906=0,"",INDEX(Classes!$E$6:$E$420,$M906))</f>
        <v/>
      </c>
      <c r="C906" s="62" t="str">
        <f aca="false">IF($M906=0,"",INDEX(Classes!$H$6:$H$420,$M906))</f>
        <v/>
      </c>
      <c r="D906" s="61" t="str">
        <f aca="false">IF($M906=0,"",INDEX(Classes!$B$6:$B$420,$M906))</f>
        <v/>
      </c>
      <c r="E906" s="61" t="str">
        <f aca="false">IF($M906=0,"",INDEX(Classes!$C$6:$C$420,$M906))</f>
        <v/>
      </c>
      <c r="F906" s="63"/>
      <c r="G906" s="63"/>
      <c r="H906" s="60"/>
      <c r="I906" s="60"/>
      <c r="J906" s="63"/>
      <c r="K906" s="61" t="str">
        <f aca="false">IF($P906=0,"",IF($F906="Baseline","— Baseline",IF($O906=0,"No result",IF($N906=0,"No Start (attainment only)",IF(OR($N906=1,$O906=1),"U – needs rule",INDEX(MxBody,MATCH($I906,MxCurr,0),MATCH($H906,MxStart,0)))))))</f>
        <v/>
      </c>
      <c r="L906" s="62" t="str">
        <f aca="false">IF(COUNTA($A906,$F906,$G906,$H906,$I906,$J906)=0,"",IF($M906=0,"✖ كود الصف غير موجود",IF(ISNA(MATCH($F906,Lists!$A$2:$A$5,0)),"✖ الفترة غير صحيحة",IF(ISNA(MATCH($G906,Lists!$B$2:$B$7,0)),"✖ المجموعة غير صحيحة",IF(NOT(OR($H906="",$N906&gt;0)),"✖ Start غير صحيح",IF(NOT(OR($I906="",$I906="NR",$O906&gt;0)),"✖ Current غير صحيح",IF(NOT(IF(ISNUMBER($J906),AND($J906&gt;=0,$J906=INT($J906)),FALSE())),"✖ العدد يجب أن يكون صحيحًا ≥ 0",IF(AND($F906="Baseline",$H906&lt;&gt;""),"⚠ Baseline: Start لا يدخل في التقدم",IF($K906="No Start (attainment only)","ℹ تحصيل فقط (بدون Start)",IF($K906="U – needs rule","ℹ حالة U تحتاج قاعدة معتمدة",IF($K906="No result","ℹ بدون نتيجة (يُستبعد من التحصيل)","OK")))))))))))</f>
        <v/>
      </c>
      <c r="M906" s="64" t="n">
        <f aca="false">IF($A906="",0,IFERROR(MATCH($A906,Classes!$A$6:$A$420,0),0))</f>
        <v>0</v>
      </c>
      <c r="N906" s="64" t="n">
        <f aca="false">IF($H906="",0,IFERROR(MATCH($H906,GradeList,0),0))</f>
        <v>0</v>
      </c>
      <c r="O906" s="64" t="n">
        <f aca="false">IF(OR($I906="",$I906="NR"),0,IFERROR(MATCH($I906,GradeList,0),0))</f>
        <v>0</v>
      </c>
      <c r="P906" s="64" t="n">
        <f aca="false">IF(AND($M906&gt;0,ISNUMBER(MATCH($F906,Lists!$A$2:$A$5,0)),ISNUMBER(MATCH($G906,Lists!$B$2:$B$7,0)),OR($H906="",$N906&gt;0),OR($I906="",$I906="NR",$O906&gt;0),IF(ISNUMBER($J906),AND($J906&gt;=0,$J906=INT($J906)),FALSE())),$J906,0)</f>
        <v>0</v>
      </c>
      <c r="Q906" s="64" t="n">
        <f aca="false">IF(AND($P906&gt;0,$O906&gt;0),$P906,0)</f>
        <v>0</v>
      </c>
      <c r="R906" s="64" t="n">
        <f aca="false">IF(AND($Q906&gt;0,$O906&gt;=AtRank),$Q906,0)</f>
        <v>0</v>
      </c>
      <c r="S906" s="64" t="n">
        <f aca="false">IF(AND($Q906&gt;0,$O906&gt;=AboveRank),$Q906,0)</f>
        <v>0</v>
      </c>
      <c r="T906" s="64" t="n">
        <f aca="false">IF($K906="Less",$P906,0)</f>
        <v>0</v>
      </c>
      <c r="U906" s="64" t="n">
        <f aca="false">IF($K906="Expected",$P906,0)</f>
        <v>0</v>
      </c>
      <c r="V906" s="64" t="n">
        <f aca="false">IF($K906="Better",$P906,0)</f>
        <v>0</v>
      </c>
      <c r="W906" s="64" t="n">
        <f aca="false">IF($K906="U – needs rule",$P906,0)</f>
        <v>0</v>
      </c>
      <c r="X906" s="64" t="n">
        <f aca="false">IF($K906="No Start (attainment only)",$P906,0)</f>
        <v>0</v>
      </c>
    </row>
    <row r="907" customFormat="false" ht="15" hidden="false" customHeight="false" outlineLevel="0" collapsed="false">
      <c r="A907" s="60"/>
      <c r="B907" s="61" t="str">
        <f aca="false">IF($M907=0,"",INDEX(Classes!$E$6:$E$420,$M907))</f>
        <v/>
      </c>
      <c r="C907" s="62" t="str">
        <f aca="false">IF($M907=0,"",INDEX(Classes!$H$6:$H$420,$M907))</f>
        <v/>
      </c>
      <c r="D907" s="61" t="str">
        <f aca="false">IF($M907=0,"",INDEX(Classes!$B$6:$B$420,$M907))</f>
        <v/>
      </c>
      <c r="E907" s="61" t="str">
        <f aca="false">IF($M907=0,"",INDEX(Classes!$C$6:$C$420,$M907))</f>
        <v/>
      </c>
      <c r="F907" s="63"/>
      <c r="G907" s="63"/>
      <c r="H907" s="60"/>
      <c r="I907" s="60"/>
      <c r="J907" s="63"/>
      <c r="K907" s="61" t="str">
        <f aca="false">IF($P907=0,"",IF($F907="Baseline","— Baseline",IF($O907=0,"No result",IF($N907=0,"No Start (attainment only)",IF(OR($N907=1,$O907=1),"U – needs rule",INDEX(MxBody,MATCH($I907,MxCurr,0),MATCH($H907,MxStart,0)))))))</f>
        <v/>
      </c>
      <c r="L907" s="62" t="str">
        <f aca="false">IF(COUNTA($A907,$F907,$G907,$H907,$I907,$J907)=0,"",IF($M907=0,"✖ كود الصف غير موجود",IF(ISNA(MATCH($F907,Lists!$A$2:$A$5,0)),"✖ الفترة غير صحيحة",IF(ISNA(MATCH($G907,Lists!$B$2:$B$7,0)),"✖ المجموعة غير صحيحة",IF(NOT(OR($H907="",$N907&gt;0)),"✖ Start غير صحيح",IF(NOT(OR($I907="",$I907="NR",$O907&gt;0)),"✖ Current غير صحيح",IF(NOT(IF(ISNUMBER($J907),AND($J907&gt;=0,$J907=INT($J907)),FALSE())),"✖ العدد يجب أن يكون صحيحًا ≥ 0",IF(AND($F907="Baseline",$H907&lt;&gt;""),"⚠ Baseline: Start لا يدخل في التقدم",IF($K907="No Start (attainment only)","ℹ تحصيل فقط (بدون Start)",IF($K907="U – needs rule","ℹ حالة U تحتاج قاعدة معتمدة",IF($K907="No result","ℹ بدون نتيجة (يُستبعد من التحصيل)","OK")))))))))))</f>
        <v/>
      </c>
      <c r="M907" s="64" t="n">
        <f aca="false">IF($A907="",0,IFERROR(MATCH($A907,Classes!$A$6:$A$420,0),0))</f>
        <v>0</v>
      </c>
      <c r="N907" s="64" t="n">
        <f aca="false">IF($H907="",0,IFERROR(MATCH($H907,GradeList,0),0))</f>
        <v>0</v>
      </c>
      <c r="O907" s="64" t="n">
        <f aca="false">IF(OR($I907="",$I907="NR"),0,IFERROR(MATCH($I907,GradeList,0),0))</f>
        <v>0</v>
      </c>
      <c r="P907" s="64" t="n">
        <f aca="false">IF(AND($M907&gt;0,ISNUMBER(MATCH($F907,Lists!$A$2:$A$5,0)),ISNUMBER(MATCH($G907,Lists!$B$2:$B$7,0)),OR($H907="",$N907&gt;0),OR($I907="",$I907="NR",$O907&gt;0),IF(ISNUMBER($J907),AND($J907&gt;=0,$J907=INT($J907)),FALSE())),$J907,0)</f>
        <v>0</v>
      </c>
      <c r="Q907" s="64" t="n">
        <f aca="false">IF(AND($P907&gt;0,$O907&gt;0),$P907,0)</f>
        <v>0</v>
      </c>
      <c r="R907" s="64" t="n">
        <f aca="false">IF(AND($Q907&gt;0,$O907&gt;=AtRank),$Q907,0)</f>
        <v>0</v>
      </c>
      <c r="S907" s="64" t="n">
        <f aca="false">IF(AND($Q907&gt;0,$O907&gt;=AboveRank),$Q907,0)</f>
        <v>0</v>
      </c>
      <c r="T907" s="64" t="n">
        <f aca="false">IF($K907="Less",$P907,0)</f>
        <v>0</v>
      </c>
      <c r="U907" s="64" t="n">
        <f aca="false">IF($K907="Expected",$P907,0)</f>
        <v>0</v>
      </c>
      <c r="V907" s="64" t="n">
        <f aca="false">IF($K907="Better",$P907,0)</f>
        <v>0</v>
      </c>
      <c r="W907" s="64" t="n">
        <f aca="false">IF($K907="U – needs rule",$P907,0)</f>
        <v>0</v>
      </c>
      <c r="X907" s="64" t="n">
        <f aca="false">IF($K907="No Start (attainment only)",$P907,0)</f>
        <v>0</v>
      </c>
    </row>
    <row r="908" customFormat="false" ht="15" hidden="false" customHeight="false" outlineLevel="0" collapsed="false">
      <c r="A908" s="60"/>
      <c r="B908" s="61" t="str">
        <f aca="false">IF($M908=0,"",INDEX(Classes!$E$6:$E$420,$M908))</f>
        <v/>
      </c>
      <c r="C908" s="62" t="str">
        <f aca="false">IF($M908=0,"",INDEX(Classes!$H$6:$H$420,$M908))</f>
        <v/>
      </c>
      <c r="D908" s="61" t="str">
        <f aca="false">IF($M908=0,"",INDEX(Classes!$B$6:$B$420,$M908))</f>
        <v/>
      </c>
      <c r="E908" s="61" t="str">
        <f aca="false">IF($M908=0,"",INDEX(Classes!$C$6:$C$420,$M908))</f>
        <v/>
      </c>
      <c r="F908" s="63"/>
      <c r="G908" s="63"/>
      <c r="H908" s="60"/>
      <c r="I908" s="60"/>
      <c r="J908" s="63"/>
      <c r="K908" s="61" t="str">
        <f aca="false">IF($P908=0,"",IF($F908="Baseline","— Baseline",IF($O908=0,"No result",IF($N908=0,"No Start (attainment only)",IF(OR($N908=1,$O908=1),"U – needs rule",INDEX(MxBody,MATCH($I908,MxCurr,0),MATCH($H908,MxStart,0)))))))</f>
        <v/>
      </c>
      <c r="L908" s="62" t="str">
        <f aca="false">IF(COUNTA($A908,$F908,$G908,$H908,$I908,$J908)=0,"",IF($M908=0,"✖ كود الصف غير موجود",IF(ISNA(MATCH($F908,Lists!$A$2:$A$5,0)),"✖ الفترة غير صحيحة",IF(ISNA(MATCH($G908,Lists!$B$2:$B$7,0)),"✖ المجموعة غير صحيحة",IF(NOT(OR($H908="",$N908&gt;0)),"✖ Start غير صحيح",IF(NOT(OR($I908="",$I908="NR",$O908&gt;0)),"✖ Current غير صحيح",IF(NOT(IF(ISNUMBER($J908),AND($J908&gt;=0,$J908=INT($J908)),FALSE())),"✖ العدد يجب أن يكون صحيحًا ≥ 0",IF(AND($F908="Baseline",$H908&lt;&gt;""),"⚠ Baseline: Start لا يدخل في التقدم",IF($K908="No Start (attainment only)","ℹ تحصيل فقط (بدون Start)",IF($K908="U – needs rule","ℹ حالة U تحتاج قاعدة معتمدة",IF($K908="No result","ℹ بدون نتيجة (يُستبعد من التحصيل)","OK")))))))))))</f>
        <v/>
      </c>
      <c r="M908" s="64" t="n">
        <f aca="false">IF($A908="",0,IFERROR(MATCH($A908,Classes!$A$6:$A$420,0),0))</f>
        <v>0</v>
      </c>
      <c r="N908" s="64" t="n">
        <f aca="false">IF($H908="",0,IFERROR(MATCH($H908,GradeList,0),0))</f>
        <v>0</v>
      </c>
      <c r="O908" s="64" t="n">
        <f aca="false">IF(OR($I908="",$I908="NR"),0,IFERROR(MATCH($I908,GradeList,0),0))</f>
        <v>0</v>
      </c>
      <c r="P908" s="64" t="n">
        <f aca="false">IF(AND($M908&gt;0,ISNUMBER(MATCH($F908,Lists!$A$2:$A$5,0)),ISNUMBER(MATCH($G908,Lists!$B$2:$B$7,0)),OR($H908="",$N908&gt;0),OR($I908="",$I908="NR",$O908&gt;0),IF(ISNUMBER($J908),AND($J908&gt;=0,$J908=INT($J908)),FALSE())),$J908,0)</f>
        <v>0</v>
      </c>
      <c r="Q908" s="64" t="n">
        <f aca="false">IF(AND($P908&gt;0,$O908&gt;0),$P908,0)</f>
        <v>0</v>
      </c>
      <c r="R908" s="64" t="n">
        <f aca="false">IF(AND($Q908&gt;0,$O908&gt;=AtRank),$Q908,0)</f>
        <v>0</v>
      </c>
      <c r="S908" s="64" t="n">
        <f aca="false">IF(AND($Q908&gt;0,$O908&gt;=AboveRank),$Q908,0)</f>
        <v>0</v>
      </c>
      <c r="T908" s="64" t="n">
        <f aca="false">IF($K908="Less",$P908,0)</f>
        <v>0</v>
      </c>
      <c r="U908" s="64" t="n">
        <f aca="false">IF($K908="Expected",$P908,0)</f>
        <v>0</v>
      </c>
      <c r="V908" s="64" t="n">
        <f aca="false">IF($K908="Better",$P908,0)</f>
        <v>0</v>
      </c>
      <c r="W908" s="64" t="n">
        <f aca="false">IF($K908="U – needs rule",$P908,0)</f>
        <v>0</v>
      </c>
      <c r="X908" s="64" t="n">
        <f aca="false">IF($K908="No Start (attainment only)",$P908,0)</f>
        <v>0</v>
      </c>
    </row>
    <row r="909" customFormat="false" ht="15" hidden="false" customHeight="false" outlineLevel="0" collapsed="false">
      <c r="A909" s="60"/>
      <c r="B909" s="61" t="str">
        <f aca="false">IF($M909=0,"",INDEX(Classes!$E$6:$E$420,$M909))</f>
        <v/>
      </c>
      <c r="C909" s="62" t="str">
        <f aca="false">IF($M909=0,"",INDEX(Classes!$H$6:$H$420,$M909))</f>
        <v/>
      </c>
      <c r="D909" s="61" t="str">
        <f aca="false">IF($M909=0,"",INDEX(Classes!$B$6:$B$420,$M909))</f>
        <v/>
      </c>
      <c r="E909" s="61" t="str">
        <f aca="false">IF($M909=0,"",INDEX(Classes!$C$6:$C$420,$M909))</f>
        <v/>
      </c>
      <c r="F909" s="63"/>
      <c r="G909" s="63"/>
      <c r="H909" s="60"/>
      <c r="I909" s="60"/>
      <c r="J909" s="63"/>
      <c r="K909" s="61" t="str">
        <f aca="false">IF($P909=0,"",IF($F909="Baseline","— Baseline",IF($O909=0,"No result",IF($N909=0,"No Start (attainment only)",IF(OR($N909=1,$O909=1),"U – needs rule",INDEX(MxBody,MATCH($I909,MxCurr,0),MATCH($H909,MxStart,0)))))))</f>
        <v/>
      </c>
      <c r="L909" s="62" t="str">
        <f aca="false">IF(COUNTA($A909,$F909,$G909,$H909,$I909,$J909)=0,"",IF($M909=0,"✖ كود الصف غير موجود",IF(ISNA(MATCH($F909,Lists!$A$2:$A$5,0)),"✖ الفترة غير صحيحة",IF(ISNA(MATCH($G909,Lists!$B$2:$B$7,0)),"✖ المجموعة غير صحيحة",IF(NOT(OR($H909="",$N909&gt;0)),"✖ Start غير صحيح",IF(NOT(OR($I909="",$I909="NR",$O909&gt;0)),"✖ Current غير صحيح",IF(NOT(IF(ISNUMBER($J909),AND($J909&gt;=0,$J909=INT($J909)),FALSE())),"✖ العدد يجب أن يكون صحيحًا ≥ 0",IF(AND($F909="Baseline",$H909&lt;&gt;""),"⚠ Baseline: Start لا يدخل في التقدم",IF($K909="No Start (attainment only)","ℹ تحصيل فقط (بدون Start)",IF($K909="U – needs rule","ℹ حالة U تحتاج قاعدة معتمدة",IF($K909="No result","ℹ بدون نتيجة (يُستبعد من التحصيل)","OK")))))))))))</f>
        <v/>
      </c>
      <c r="M909" s="64" t="n">
        <f aca="false">IF($A909="",0,IFERROR(MATCH($A909,Classes!$A$6:$A$420,0),0))</f>
        <v>0</v>
      </c>
      <c r="N909" s="64" t="n">
        <f aca="false">IF($H909="",0,IFERROR(MATCH($H909,GradeList,0),0))</f>
        <v>0</v>
      </c>
      <c r="O909" s="64" t="n">
        <f aca="false">IF(OR($I909="",$I909="NR"),0,IFERROR(MATCH($I909,GradeList,0),0))</f>
        <v>0</v>
      </c>
      <c r="P909" s="64" t="n">
        <f aca="false">IF(AND($M909&gt;0,ISNUMBER(MATCH($F909,Lists!$A$2:$A$5,0)),ISNUMBER(MATCH($G909,Lists!$B$2:$B$7,0)),OR($H909="",$N909&gt;0),OR($I909="",$I909="NR",$O909&gt;0),IF(ISNUMBER($J909),AND($J909&gt;=0,$J909=INT($J909)),FALSE())),$J909,0)</f>
        <v>0</v>
      </c>
      <c r="Q909" s="64" t="n">
        <f aca="false">IF(AND($P909&gt;0,$O909&gt;0),$P909,0)</f>
        <v>0</v>
      </c>
      <c r="R909" s="64" t="n">
        <f aca="false">IF(AND($Q909&gt;0,$O909&gt;=AtRank),$Q909,0)</f>
        <v>0</v>
      </c>
      <c r="S909" s="64" t="n">
        <f aca="false">IF(AND($Q909&gt;0,$O909&gt;=AboveRank),$Q909,0)</f>
        <v>0</v>
      </c>
      <c r="T909" s="64" t="n">
        <f aca="false">IF($K909="Less",$P909,0)</f>
        <v>0</v>
      </c>
      <c r="U909" s="64" t="n">
        <f aca="false">IF($K909="Expected",$P909,0)</f>
        <v>0</v>
      </c>
      <c r="V909" s="64" t="n">
        <f aca="false">IF($K909="Better",$P909,0)</f>
        <v>0</v>
      </c>
      <c r="W909" s="64" t="n">
        <f aca="false">IF($K909="U – needs rule",$P909,0)</f>
        <v>0</v>
      </c>
      <c r="X909" s="64" t="n">
        <f aca="false">IF($K909="No Start (attainment only)",$P909,0)</f>
        <v>0</v>
      </c>
    </row>
    <row r="910" customFormat="false" ht="15" hidden="false" customHeight="false" outlineLevel="0" collapsed="false">
      <c r="A910" s="60"/>
      <c r="B910" s="61" t="str">
        <f aca="false">IF($M910=0,"",INDEX(Classes!$E$6:$E$420,$M910))</f>
        <v/>
      </c>
      <c r="C910" s="62" t="str">
        <f aca="false">IF($M910=0,"",INDEX(Classes!$H$6:$H$420,$M910))</f>
        <v/>
      </c>
      <c r="D910" s="61" t="str">
        <f aca="false">IF($M910=0,"",INDEX(Classes!$B$6:$B$420,$M910))</f>
        <v/>
      </c>
      <c r="E910" s="61" t="str">
        <f aca="false">IF($M910=0,"",INDEX(Classes!$C$6:$C$420,$M910))</f>
        <v/>
      </c>
      <c r="F910" s="63"/>
      <c r="G910" s="63"/>
      <c r="H910" s="60"/>
      <c r="I910" s="60"/>
      <c r="J910" s="63"/>
      <c r="K910" s="61" t="str">
        <f aca="false">IF($P910=0,"",IF($F910="Baseline","— Baseline",IF($O910=0,"No result",IF($N910=0,"No Start (attainment only)",IF(OR($N910=1,$O910=1),"U – needs rule",INDEX(MxBody,MATCH($I910,MxCurr,0),MATCH($H910,MxStart,0)))))))</f>
        <v/>
      </c>
      <c r="L910" s="62" t="str">
        <f aca="false">IF(COUNTA($A910,$F910,$G910,$H910,$I910,$J910)=0,"",IF($M910=0,"✖ كود الصف غير موجود",IF(ISNA(MATCH($F910,Lists!$A$2:$A$5,0)),"✖ الفترة غير صحيحة",IF(ISNA(MATCH($G910,Lists!$B$2:$B$7,0)),"✖ المجموعة غير صحيحة",IF(NOT(OR($H910="",$N910&gt;0)),"✖ Start غير صحيح",IF(NOT(OR($I910="",$I910="NR",$O910&gt;0)),"✖ Current غير صحيح",IF(NOT(IF(ISNUMBER($J910),AND($J910&gt;=0,$J910=INT($J910)),FALSE())),"✖ العدد يجب أن يكون صحيحًا ≥ 0",IF(AND($F910="Baseline",$H910&lt;&gt;""),"⚠ Baseline: Start لا يدخل في التقدم",IF($K910="No Start (attainment only)","ℹ تحصيل فقط (بدون Start)",IF($K910="U – needs rule","ℹ حالة U تحتاج قاعدة معتمدة",IF($K910="No result","ℹ بدون نتيجة (يُستبعد من التحصيل)","OK")))))))))))</f>
        <v/>
      </c>
      <c r="M910" s="64" t="n">
        <f aca="false">IF($A910="",0,IFERROR(MATCH($A910,Classes!$A$6:$A$420,0),0))</f>
        <v>0</v>
      </c>
      <c r="N910" s="64" t="n">
        <f aca="false">IF($H910="",0,IFERROR(MATCH($H910,GradeList,0),0))</f>
        <v>0</v>
      </c>
      <c r="O910" s="64" t="n">
        <f aca="false">IF(OR($I910="",$I910="NR"),0,IFERROR(MATCH($I910,GradeList,0),0))</f>
        <v>0</v>
      </c>
      <c r="P910" s="64" t="n">
        <f aca="false">IF(AND($M910&gt;0,ISNUMBER(MATCH($F910,Lists!$A$2:$A$5,0)),ISNUMBER(MATCH($G910,Lists!$B$2:$B$7,0)),OR($H910="",$N910&gt;0),OR($I910="",$I910="NR",$O910&gt;0),IF(ISNUMBER($J910),AND($J910&gt;=0,$J910=INT($J910)),FALSE())),$J910,0)</f>
        <v>0</v>
      </c>
      <c r="Q910" s="64" t="n">
        <f aca="false">IF(AND($P910&gt;0,$O910&gt;0),$P910,0)</f>
        <v>0</v>
      </c>
      <c r="R910" s="64" t="n">
        <f aca="false">IF(AND($Q910&gt;0,$O910&gt;=AtRank),$Q910,0)</f>
        <v>0</v>
      </c>
      <c r="S910" s="64" t="n">
        <f aca="false">IF(AND($Q910&gt;0,$O910&gt;=AboveRank),$Q910,0)</f>
        <v>0</v>
      </c>
      <c r="T910" s="64" t="n">
        <f aca="false">IF($K910="Less",$P910,0)</f>
        <v>0</v>
      </c>
      <c r="U910" s="64" t="n">
        <f aca="false">IF($K910="Expected",$P910,0)</f>
        <v>0</v>
      </c>
      <c r="V910" s="64" t="n">
        <f aca="false">IF($K910="Better",$P910,0)</f>
        <v>0</v>
      </c>
      <c r="W910" s="64" t="n">
        <f aca="false">IF($K910="U – needs rule",$P910,0)</f>
        <v>0</v>
      </c>
      <c r="X910" s="64" t="n">
        <f aca="false">IF($K910="No Start (attainment only)",$P910,0)</f>
        <v>0</v>
      </c>
    </row>
    <row r="911" customFormat="false" ht="15" hidden="false" customHeight="false" outlineLevel="0" collapsed="false">
      <c r="A911" s="60"/>
      <c r="B911" s="61" t="str">
        <f aca="false">IF($M911=0,"",INDEX(Classes!$E$6:$E$420,$M911))</f>
        <v/>
      </c>
      <c r="C911" s="62" t="str">
        <f aca="false">IF($M911=0,"",INDEX(Classes!$H$6:$H$420,$M911))</f>
        <v/>
      </c>
      <c r="D911" s="61" t="str">
        <f aca="false">IF($M911=0,"",INDEX(Classes!$B$6:$B$420,$M911))</f>
        <v/>
      </c>
      <c r="E911" s="61" t="str">
        <f aca="false">IF($M911=0,"",INDEX(Classes!$C$6:$C$420,$M911))</f>
        <v/>
      </c>
      <c r="F911" s="63"/>
      <c r="G911" s="63"/>
      <c r="H911" s="60"/>
      <c r="I911" s="60"/>
      <c r="J911" s="63"/>
      <c r="K911" s="61" t="str">
        <f aca="false">IF($P911=0,"",IF($F911="Baseline","— Baseline",IF($O911=0,"No result",IF($N911=0,"No Start (attainment only)",IF(OR($N911=1,$O911=1),"U – needs rule",INDEX(MxBody,MATCH($I911,MxCurr,0),MATCH($H911,MxStart,0)))))))</f>
        <v/>
      </c>
      <c r="L911" s="62" t="str">
        <f aca="false">IF(COUNTA($A911,$F911,$G911,$H911,$I911,$J911)=0,"",IF($M911=0,"✖ كود الصف غير موجود",IF(ISNA(MATCH($F911,Lists!$A$2:$A$5,0)),"✖ الفترة غير صحيحة",IF(ISNA(MATCH($G911,Lists!$B$2:$B$7,0)),"✖ المجموعة غير صحيحة",IF(NOT(OR($H911="",$N911&gt;0)),"✖ Start غير صحيح",IF(NOT(OR($I911="",$I911="NR",$O911&gt;0)),"✖ Current غير صحيح",IF(NOT(IF(ISNUMBER($J911),AND($J911&gt;=0,$J911=INT($J911)),FALSE())),"✖ العدد يجب أن يكون صحيحًا ≥ 0",IF(AND($F911="Baseline",$H911&lt;&gt;""),"⚠ Baseline: Start لا يدخل في التقدم",IF($K911="No Start (attainment only)","ℹ تحصيل فقط (بدون Start)",IF($K911="U – needs rule","ℹ حالة U تحتاج قاعدة معتمدة",IF($K911="No result","ℹ بدون نتيجة (يُستبعد من التحصيل)","OK")))))))))))</f>
        <v/>
      </c>
      <c r="M911" s="64" t="n">
        <f aca="false">IF($A911="",0,IFERROR(MATCH($A911,Classes!$A$6:$A$420,0),0))</f>
        <v>0</v>
      </c>
      <c r="N911" s="64" t="n">
        <f aca="false">IF($H911="",0,IFERROR(MATCH($H911,GradeList,0),0))</f>
        <v>0</v>
      </c>
      <c r="O911" s="64" t="n">
        <f aca="false">IF(OR($I911="",$I911="NR"),0,IFERROR(MATCH($I911,GradeList,0),0))</f>
        <v>0</v>
      </c>
      <c r="P911" s="64" t="n">
        <f aca="false">IF(AND($M911&gt;0,ISNUMBER(MATCH($F911,Lists!$A$2:$A$5,0)),ISNUMBER(MATCH($G911,Lists!$B$2:$B$7,0)),OR($H911="",$N911&gt;0),OR($I911="",$I911="NR",$O911&gt;0),IF(ISNUMBER($J911),AND($J911&gt;=0,$J911=INT($J911)),FALSE())),$J911,0)</f>
        <v>0</v>
      </c>
      <c r="Q911" s="64" t="n">
        <f aca="false">IF(AND($P911&gt;0,$O911&gt;0),$P911,0)</f>
        <v>0</v>
      </c>
      <c r="R911" s="64" t="n">
        <f aca="false">IF(AND($Q911&gt;0,$O911&gt;=AtRank),$Q911,0)</f>
        <v>0</v>
      </c>
      <c r="S911" s="64" t="n">
        <f aca="false">IF(AND($Q911&gt;0,$O911&gt;=AboveRank),$Q911,0)</f>
        <v>0</v>
      </c>
      <c r="T911" s="64" t="n">
        <f aca="false">IF($K911="Less",$P911,0)</f>
        <v>0</v>
      </c>
      <c r="U911" s="64" t="n">
        <f aca="false">IF($K911="Expected",$P911,0)</f>
        <v>0</v>
      </c>
      <c r="V911" s="64" t="n">
        <f aca="false">IF($K911="Better",$P911,0)</f>
        <v>0</v>
      </c>
      <c r="W911" s="64" t="n">
        <f aca="false">IF($K911="U – needs rule",$P911,0)</f>
        <v>0</v>
      </c>
      <c r="X911" s="64" t="n">
        <f aca="false">IF($K911="No Start (attainment only)",$P911,0)</f>
        <v>0</v>
      </c>
    </row>
    <row r="912" customFormat="false" ht="15" hidden="false" customHeight="false" outlineLevel="0" collapsed="false">
      <c r="A912" s="60"/>
      <c r="B912" s="61" t="str">
        <f aca="false">IF($M912=0,"",INDEX(Classes!$E$6:$E$420,$M912))</f>
        <v/>
      </c>
      <c r="C912" s="62" t="str">
        <f aca="false">IF($M912=0,"",INDEX(Classes!$H$6:$H$420,$M912))</f>
        <v/>
      </c>
      <c r="D912" s="61" t="str">
        <f aca="false">IF($M912=0,"",INDEX(Classes!$B$6:$B$420,$M912))</f>
        <v/>
      </c>
      <c r="E912" s="61" t="str">
        <f aca="false">IF($M912=0,"",INDEX(Classes!$C$6:$C$420,$M912))</f>
        <v/>
      </c>
      <c r="F912" s="63"/>
      <c r="G912" s="63"/>
      <c r="H912" s="60"/>
      <c r="I912" s="60"/>
      <c r="J912" s="63"/>
      <c r="K912" s="61" t="str">
        <f aca="false">IF($P912=0,"",IF($F912="Baseline","— Baseline",IF($O912=0,"No result",IF($N912=0,"No Start (attainment only)",IF(OR($N912=1,$O912=1),"U – needs rule",INDEX(MxBody,MATCH($I912,MxCurr,0),MATCH($H912,MxStart,0)))))))</f>
        <v/>
      </c>
      <c r="L912" s="62" t="str">
        <f aca="false">IF(COUNTA($A912,$F912,$G912,$H912,$I912,$J912)=0,"",IF($M912=0,"✖ كود الصف غير موجود",IF(ISNA(MATCH($F912,Lists!$A$2:$A$5,0)),"✖ الفترة غير صحيحة",IF(ISNA(MATCH($G912,Lists!$B$2:$B$7,0)),"✖ المجموعة غير صحيحة",IF(NOT(OR($H912="",$N912&gt;0)),"✖ Start غير صحيح",IF(NOT(OR($I912="",$I912="NR",$O912&gt;0)),"✖ Current غير صحيح",IF(NOT(IF(ISNUMBER($J912),AND($J912&gt;=0,$J912=INT($J912)),FALSE())),"✖ العدد يجب أن يكون صحيحًا ≥ 0",IF(AND($F912="Baseline",$H912&lt;&gt;""),"⚠ Baseline: Start لا يدخل في التقدم",IF($K912="No Start (attainment only)","ℹ تحصيل فقط (بدون Start)",IF($K912="U – needs rule","ℹ حالة U تحتاج قاعدة معتمدة",IF($K912="No result","ℹ بدون نتيجة (يُستبعد من التحصيل)","OK")))))))))))</f>
        <v/>
      </c>
      <c r="M912" s="64" t="n">
        <f aca="false">IF($A912="",0,IFERROR(MATCH($A912,Classes!$A$6:$A$420,0),0))</f>
        <v>0</v>
      </c>
      <c r="N912" s="64" t="n">
        <f aca="false">IF($H912="",0,IFERROR(MATCH($H912,GradeList,0),0))</f>
        <v>0</v>
      </c>
      <c r="O912" s="64" t="n">
        <f aca="false">IF(OR($I912="",$I912="NR"),0,IFERROR(MATCH($I912,GradeList,0),0))</f>
        <v>0</v>
      </c>
      <c r="P912" s="64" t="n">
        <f aca="false">IF(AND($M912&gt;0,ISNUMBER(MATCH($F912,Lists!$A$2:$A$5,0)),ISNUMBER(MATCH($G912,Lists!$B$2:$B$7,0)),OR($H912="",$N912&gt;0),OR($I912="",$I912="NR",$O912&gt;0),IF(ISNUMBER($J912),AND($J912&gt;=0,$J912=INT($J912)),FALSE())),$J912,0)</f>
        <v>0</v>
      </c>
      <c r="Q912" s="64" t="n">
        <f aca="false">IF(AND($P912&gt;0,$O912&gt;0),$P912,0)</f>
        <v>0</v>
      </c>
      <c r="R912" s="64" t="n">
        <f aca="false">IF(AND($Q912&gt;0,$O912&gt;=AtRank),$Q912,0)</f>
        <v>0</v>
      </c>
      <c r="S912" s="64" t="n">
        <f aca="false">IF(AND($Q912&gt;0,$O912&gt;=AboveRank),$Q912,0)</f>
        <v>0</v>
      </c>
      <c r="T912" s="64" t="n">
        <f aca="false">IF($K912="Less",$P912,0)</f>
        <v>0</v>
      </c>
      <c r="U912" s="64" t="n">
        <f aca="false">IF($K912="Expected",$P912,0)</f>
        <v>0</v>
      </c>
      <c r="V912" s="64" t="n">
        <f aca="false">IF($K912="Better",$P912,0)</f>
        <v>0</v>
      </c>
      <c r="W912" s="64" t="n">
        <f aca="false">IF($K912="U – needs rule",$P912,0)</f>
        <v>0</v>
      </c>
      <c r="X912" s="64" t="n">
        <f aca="false">IF($K912="No Start (attainment only)",$P912,0)</f>
        <v>0</v>
      </c>
    </row>
    <row r="913" customFormat="false" ht="15" hidden="false" customHeight="false" outlineLevel="0" collapsed="false">
      <c r="A913" s="60"/>
      <c r="B913" s="61" t="str">
        <f aca="false">IF($M913=0,"",INDEX(Classes!$E$6:$E$420,$M913))</f>
        <v/>
      </c>
      <c r="C913" s="62" t="str">
        <f aca="false">IF($M913=0,"",INDEX(Classes!$H$6:$H$420,$M913))</f>
        <v/>
      </c>
      <c r="D913" s="61" t="str">
        <f aca="false">IF($M913=0,"",INDEX(Classes!$B$6:$B$420,$M913))</f>
        <v/>
      </c>
      <c r="E913" s="61" t="str">
        <f aca="false">IF($M913=0,"",INDEX(Classes!$C$6:$C$420,$M913))</f>
        <v/>
      </c>
      <c r="F913" s="63"/>
      <c r="G913" s="63"/>
      <c r="H913" s="60"/>
      <c r="I913" s="60"/>
      <c r="J913" s="63"/>
      <c r="K913" s="61" t="str">
        <f aca="false">IF($P913=0,"",IF($F913="Baseline","— Baseline",IF($O913=0,"No result",IF($N913=0,"No Start (attainment only)",IF(OR($N913=1,$O913=1),"U – needs rule",INDEX(MxBody,MATCH($I913,MxCurr,0),MATCH($H913,MxStart,0)))))))</f>
        <v/>
      </c>
      <c r="L913" s="62" t="str">
        <f aca="false">IF(COUNTA($A913,$F913,$G913,$H913,$I913,$J913)=0,"",IF($M913=0,"✖ كود الصف غير موجود",IF(ISNA(MATCH($F913,Lists!$A$2:$A$5,0)),"✖ الفترة غير صحيحة",IF(ISNA(MATCH($G913,Lists!$B$2:$B$7,0)),"✖ المجموعة غير صحيحة",IF(NOT(OR($H913="",$N913&gt;0)),"✖ Start غير صحيح",IF(NOT(OR($I913="",$I913="NR",$O913&gt;0)),"✖ Current غير صحيح",IF(NOT(IF(ISNUMBER($J913),AND($J913&gt;=0,$J913=INT($J913)),FALSE())),"✖ العدد يجب أن يكون صحيحًا ≥ 0",IF(AND($F913="Baseline",$H913&lt;&gt;""),"⚠ Baseline: Start لا يدخل في التقدم",IF($K913="No Start (attainment only)","ℹ تحصيل فقط (بدون Start)",IF($K913="U – needs rule","ℹ حالة U تحتاج قاعدة معتمدة",IF($K913="No result","ℹ بدون نتيجة (يُستبعد من التحصيل)","OK")))))))))))</f>
        <v/>
      </c>
      <c r="M913" s="64" t="n">
        <f aca="false">IF($A913="",0,IFERROR(MATCH($A913,Classes!$A$6:$A$420,0),0))</f>
        <v>0</v>
      </c>
      <c r="N913" s="64" t="n">
        <f aca="false">IF($H913="",0,IFERROR(MATCH($H913,GradeList,0),0))</f>
        <v>0</v>
      </c>
      <c r="O913" s="64" t="n">
        <f aca="false">IF(OR($I913="",$I913="NR"),0,IFERROR(MATCH($I913,GradeList,0),0))</f>
        <v>0</v>
      </c>
      <c r="P913" s="64" t="n">
        <f aca="false">IF(AND($M913&gt;0,ISNUMBER(MATCH($F913,Lists!$A$2:$A$5,0)),ISNUMBER(MATCH($G913,Lists!$B$2:$B$7,0)),OR($H913="",$N913&gt;0),OR($I913="",$I913="NR",$O913&gt;0),IF(ISNUMBER($J913),AND($J913&gt;=0,$J913=INT($J913)),FALSE())),$J913,0)</f>
        <v>0</v>
      </c>
      <c r="Q913" s="64" t="n">
        <f aca="false">IF(AND($P913&gt;0,$O913&gt;0),$P913,0)</f>
        <v>0</v>
      </c>
      <c r="R913" s="64" t="n">
        <f aca="false">IF(AND($Q913&gt;0,$O913&gt;=AtRank),$Q913,0)</f>
        <v>0</v>
      </c>
      <c r="S913" s="64" t="n">
        <f aca="false">IF(AND($Q913&gt;0,$O913&gt;=AboveRank),$Q913,0)</f>
        <v>0</v>
      </c>
      <c r="T913" s="64" t="n">
        <f aca="false">IF($K913="Less",$P913,0)</f>
        <v>0</v>
      </c>
      <c r="U913" s="64" t="n">
        <f aca="false">IF($K913="Expected",$P913,0)</f>
        <v>0</v>
      </c>
      <c r="V913" s="64" t="n">
        <f aca="false">IF($K913="Better",$P913,0)</f>
        <v>0</v>
      </c>
      <c r="W913" s="64" t="n">
        <f aca="false">IF($K913="U – needs rule",$P913,0)</f>
        <v>0</v>
      </c>
      <c r="X913" s="64" t="n">
        <f aca="false">IF($K913="No Start (attainment only)",$P913,0)</f>
        <v>0</v>
      </c>
    </row>
    <row r="914" customFormat="false" ht="15" hidden="false" customHeight="false" outlineLevel="0" collapsed="false">
      <c r="A914" s="60"/>
      <c r="B914" s="61" t="str">
        <f aca="false">IF($M914=0,"",INDEX(Classes!$E$6:$E$420,$M914))</f>
        <v/>
      </c>
      <c r="C914" s="62" t="str">
        <f aca="false">IF($M914=0,"",INDEX(Classes!$H$6:$H$420,$M914))</f>
        <v/>
      </c>
      <c r="D914" s="61" t="str">
        <f aca="false">IF($M914=0,"",INDEX(Classes!$B$6:$B$420,$M914))</f>
        <v/>
      </c>
      <c r="E914" s="61" t="str">
        <f aca="false">IF($M914=0,"",INDEX(Classes!$C$6:$C$420,$M914))</f>
        <v/>
      </c>
      <c r="F914" s="63"/>
      <c r="G914" s="63"/>
      <c r="H914" s="60"/>
      <c r="I914" s="60"/>
      <c r="J914" s="63"/>
      <c r="K914" s="61" t="str">
        <f aca="false">IF($P914=0,"",IF($F914="Baseline","— Baseline",IF($O914=0,"No result",IF($N914=0,"No Start (attainment only)",IF(OR($N914=1,$O914=1),"U – needs rule",INDEX(MxBody,MATCH($I914,MxCurr,0),MATCH($H914,MxStart,0)))))))</f>
        <v/>
      </c>
      <c r="L914" s="62" t="str">
        <f aca="false">IF(COUNTA($A914,$F914,$G914,$H914,$I914,$J914)=0,"",IF($M914=0,"✖ كود الصف غير موجود",IF(ISNA(MATCH($F914,Lists!$A$2:$A$5,0)),"✖ الفترة غير صحيحة",IF(ISNA(MATCH($G914,Lists!$B$2:$B$7,0)),"✖ المجموعة غير صحيحة",IF(NOT(OR($H914="",$N914&gt;0)),"✖ Start غير صحيح",IF(NOT(OR($I914="",$I914="NR",$O914&gt;0)),"✖ Current غير صحيح",IF(NOT(IF(ISNUMBER($J914),AND($J914&gt;=0,$J914=INT($J914)),FALSE())),"✖ العدد يجب أن يكون صحيحًا ≥ 0",IF(AND($F914="Baseline",$H914&lt;&gt;""),"⚠ Baseline: Start لا يدخل في التقدم",IF($K914="No Start (attainment only)","ℹ تحصيل فقط (بدون Start)",IF($K914="U – needs rule","ℹ حالة U تحتاج قاعدة معتمدة",IF($K914="No result","ℹ بدون نتيجة (يُستبعد من التحصيل)","OK")))))))))))</f>
        <v/>
      </c>
      <c r="M914" s="64" t="n">
        <f aca="false">IF($A914="",0,IFERROR(MATCH($A914,Classes!$A$6:$A$420,0),0))</f>
        <v>0</v>
      </c>
      <c r="N914" s="64" t="n">
        <f aca="false">IF($H914="",0,IFERROR(MATCH($H914,GradeList,0),0))</f>
        <v>0</v>
      </c>
      <c r="O914" s="64" t="n">
        <f aca="false">IF(OR($I914="",$I914="NR"),0,IFERROR(MATCH($I914,GradeList,0),0))</f>
        <v>0</v>
      </c>
      <c r="P914" s="64" t="n">
        <f aca="false">IF(AND($M914&gt;0,ISNUMBER(MATCH($F914,Lists!$A$2:$A$5,0)),ISNUMBER(MATCH($G914,Lists!$B$2:$B$7,0)),OR($H914="",$N914&gt;0),OR($I914="",$I914="NR",$O914&gt;0),IF(ISNUMBER($J914),AND($J914&gt;=0,$J914=INT($J914)),FALSE())),$J914,0)</f>
        <v>0</v>
      </c>
      <c r="Q914" s="64" t="n">
        <f aca="false">IF(AND($P914&gt;0,$O914&gt;0),$P914,0)</f>
        <v>0</v>
      </c>
      <c r="R914" s="64" t="n">
        <f aca="false">IF(AND($Q914&gt;0,$O914&gt;=AtRank),$Q914,0)</f>
        <v>0</v>
      </c>
      <c r="S914" s="64" t="n">
        <f aca="false">IF(AND($Q914&gt;0,$O914&gt;=AboveRank),$Q914,0)</f>
        <v>0</v>
      </c>
      <c r="T914" s="64" t="n">
        <f aca="false">IF($K914="Less",$P914,0)</f>
        <v>0</v>
      </c>
      <c r="U914" s="64" t="n">
        <f aca="false">IF($K914="Expected",$P914,0)</f>
        <v>0</v>
      </c>
      <c r="V914" s="64" t="n">
        <f aca="false">IF($K914="Better",$P914,0)</f>
        <v>0</v>
      </c>
      <c r="W914" s="64" t="n">
        <f aca="false">IF($K914="U – needs rule",$P914,0)</f>
        <v>0</v>
      </c>
      <c r="X914" s="64" t="n">
        <f aca="false">IF($K914="No Start (attainment only)",$P914,0)</f>
        <v>0</v>
      </c>
    </row>
    <row r="915" customFormat="false" ht="15" hidden="false" customHeight="false" outlineLevel="0" collapsed="false">
      <c r="A915" s="60"/>
      <c r="B915" s="61" t="str">
        <f aca="false">IF($M915=0,"",INDEX(Classes!$E$6:$E$420,$M915))</f>
        <v/>
      </c>
      <c r="C915" s="62" t="str">
        <f aca="false">IF($M915=0,"",INDEX(Classes!$H$6:$H$420,$M915))</f>
        <v/>
      </c>
      <c r="D915" s="61" t="str">
        <f aca="false">IF($M915=0,"",INDEX(Classes!$B$6:$B$420,$M915))</f>
        <v/>
      </c>
      <c r="E915" s="61" t="str">
        <f aca="false">IF($M915=0,"",INDEX(Classes!$C$6:$C$420,$M915))</f>
        <v/>
      </c>
      <c r="F915" s="63"/>
      <c r="G915" s="63"/>
      <c r="H915" s="60"/>
      <c r="I915" s="60"/>
      <c r="J915" s="63"/>
      <c r="K915" s="61" t="str">
        <f aca="false">IF($P915=0,"",IF($F915="Baseline","— Baseline",IF($O915=0,"No result",IF($N915=0,"No Start (attainment only)",IF(OR($N915=1,$O915=1),"U – needs rule",INDEX(MxBody,MATCH($I915,MxCurr,0),MATCH($H915,MxStart,0)))))))</f>
        <v/>
      </c>
      <c r="L915" s="62" t="str">
        <f aca="false">IF(COUNTA($A915,$F915,$G915,$H915,$I915,$J915)=0,"",IF($M915=0,"✖ كود الصف غير موجود",IF(ISNA(MATCH($F915,Lists!$A$2:$A$5,0)),"✖ الفترة غير صحيحة",IF(ISNA(MATCH($G915,Lists!$B$2:$B$7,0)),"✖ المجموعة غير صحيحة",IF(NOT(OR($H915="",$N915&gt;0)),"✖ Start غير صحيح",IF(NOT(OR($I915="",$I915="NR",$O915&gt;0)),"✖ Current غير صحيح",IF(NOT(IF(ISNUMBER($J915),AND($J915&gt;=0,$J915=INT($J915)),FALSE())),"✖ العدد يجب أن يكون صحيحًا ≥ 0",IF(AND($F915="Baseline",$H915&lt;&gt;""),"⚠ Baseline: Start لا يدخل في التقدم",IF($K915="No Start (attainment only)","ℹ تحصيل فقط (بدون Start)",IF($K915="U – needs rule","ℹ حالة U تحتاج قاعدة معتمدة",IF($K915="No result","ℹ بدون نتيجة (يُستبعد من التحصيل)","OK")))))))))))</f>
        <v/>
      </c>
      <c r="M915" s="64" t="n">
        <f aca="false">IF($A915="",0,IFERROR(MATCH($A915,Classes!$A$6:$A$420,0),0))</f>
        <v>0</v>
      </c>
      <c r="N915" s="64" t="n">
        <f aca="false">IF($H915="",0,IFERROR(MATCH($H915,GradeList,0),0))</f>
        <v>0</v>
      </c>
      <c r="O915" s="64" t="n">
        <f aca="false">IF(OR($I915="",$I915="NR"),0,IFERROR(MATCH($I915,GradeList,0),0))</f>
        <v>0</v>
      </c>
      <c r="P915" s="64" t="n">
        <f aca="false">IF(AND($M915&gt;0,ISNUMBER(MATCH($F915,Lists!$A$2:$A$5,0)),ISNUMBER(MATCH($G915,Lists!$B$2:$B$7,0)),OR($H915="",$N915&gt;0),OR($I915="",$I915="NR",$O915&gt;0),IF(ISNUMBER($J915),AND($J915&gt;=0,$J915=INT($J915)),FALSE())),$J915,0)</f>
        <v>0</v>
      </c>
      <c r="Q915" s="64" t="n">
        <f aca="false">IF(AND($P915&gt;0,$O915&gt;0),$P915,0)</f>
        <v>0</v>
      </c>
      <c r="R915" s="64" t="n">
        <f aca="false">IF(AND($Q915&gt;0,$O915&gt;=AtRank),$Q915,0)</f>
        <v>0</v>
      </c>
      <c r="S915" s="64" t="n">
        <f aca="false">IF(AND($Q915&gt;0,$O915&gt;=AboveRank),$Q915,0)</f>
        <v>0</v>
      </c>
      <c r="T915" s="64" t="n">
        <f aca="false">IF($K915="Less",$P915,0)</f>
        <v>0</v>
      </c>
      <c r="U915" s="64" t="n">
        <f aca="false">IF($K915="Expected",$P915,0)</f>
        <v>0</v>
      </c>
      <c r="V915" s="64" t="n">
        <f aca="false">IF($K915="Better",$P915,0)</f>
        <v>0</v>
      </c>
      <c r="W915" s="64" t="n">
        <f aca="false">IF($K915="U – needs rule",$P915,0)</f>
        <v>0</v>
      </c>
      <c r="X915" s="64" t="n">
        <f aca="false">IF($K915="No Start (attainment only)",$P915,0)</f>
        <v>0</v>
      </c>
    </row>
    <row r="916" customFormat="false" ht="15" hidden="false" customHeight="false" outlineLevel="0" collapsed="false">
      <c r="A916" s="60"/>
      <c r="B916" s="61" t="str">
        <f aca="false">IF($M916=0,"",INDEX(Classes!$E$6:$E$420,$M916))</f>
        <v/>
      </c>
      <c r="C916" s="62" t="str">
        <f aca="false">IF($M916=0,"",INDEX(Classes!$H$6:$H$420,$M916))</f>
        <v/>
      </c>
      <c r="D916" s="61" t="str">
        <f aca="false">IF($M916=0,"",INDEX(Classes!$B$6:$B$420,$M916))</f>
        <v/>
      </c>
      <c r="E916" s="61" t="str">
        <f aca="false">IF($M916=0,"",INDEX(Classes!$C$6:$C$420,$M916))</f>
        <v/>
      </c>
      <c r="F916" s="63"/>
      <c r="G916" s="63"/>
      <c r="H916" s="60"/>
      <c r="I916" s="60"/>
      <c r="J916" s="63"/>
      <c r="K916" s="61" t="str">
        <f aca="false">IF($P916=0,"",IF($F916="Baseline","— Baseline",IF($O916=0,"No result",IF($N916=0,"No Start (attainment only)",IF(OR($N916=1,$O916=1),"U – needs rule",INDEX(MxBody,MATCH($I916,MxCurr,0),MATCH($H916,MxStart,0)))))))</f>
        <v/>
      </c>
      <c r="L916" s="62" t="str">
        <f aca="false">IF(COUNTA($A916,$F916,$G916,$H916,$I916,$J916)=0,"",IF($M916=0,"✖ كود الصف غير موجود",IF(ISNA(MATCH($F916,Lists!$A$2:$A$5,0)),"✖ الفترة غير صحيحة",IF(ISNA(MATCH($G916,Lists!$B$2:$B$7,0)),"✖ المجموعة غير صحيحة",IF(NOT(OR($H916="",$N916&gt;0)),"✖ Start غير صحيح",IF(NOT(OR($I916="",$I916="NR",$O916&gt;0)),"✖ Current غير صحيح",IF(NOT(IF(ISNUMBER($J916),AND($J916&gt;=0,$J916=INT($J916)),FALSE())),"✖ العدد يجب أن يكون صحيحًا ≥ 0",IF(AND($F916="Baseline",$H916&lt;&gt;""),"⚠ Baseline: Start لا يدخل في التقدم",IF($K916="No Start (attainment only)","ℹ تحصيل فقط (بدون Start)",IF($K916="U – needs rule","ℹ حالة U تحتاج قاعدة معتمدة",IF($K916="No result","ℹ بدون نتيجة (يُستبعد من التحصيل)","OK")))))))))))</f>
        <v/>
      </c>
      <c r="M916" s="64" t="n">
        <f aca="false">IF($A916="",0,IFERROR(MATCH($A916,Classes!$A$6:$A$420,0),0))</f>
        <v>0</v>
      </c>
      <c r="N916" s="64" t="n">
        <f aca="false">IF($H916="",0,IFERROR(MATCH($H916,GradeList,0),0))</f>
        <v>0</v>
      </c>
      <c r="O916" s="64" t="n">
        <f aca="false">IF(OR($I916="",$I916="NR"),0,IFERROR(MATCH($I916,GradeList,0),0))</f>
        <v>0</v>
      </c>
      <c r="P916" s="64" t="n">
        <f aca="false">IF(AND($M916&gt;0,ISNUMBER(MATCH($F916,Lists!$A$2:$A$5,0)),ISNUMBER(MATCH($G916,Lists!$B$2:$B$7,0)),OR($H916="",$N916&gt;0),OR($I916="",$I916="NR",$O916&gt;0),IF(ISNUMBER($J916),AND($J916&gt;=0,$J916=INT($J916)),FALSE())),$J916,0)</f>
        <v>0</v>
      </c>
      <c r="Q916" s="64" t="n">
        <f aca="false">IF(AND($P916&gt;0,$O916&gt;0),$P916,0)</f>
        <v>0</v>
      </c>
      <c r="R916" s="64" t="n">
        <f aca="false">IF(AND($Q916&gt;0,$O916&gt;=AtRank),$Q916,0)</f>
        <v>0</v>
      </c>
      <c r="S916" s="64" t="n">
        <f aca="false">IF(AND($Q916&gt;0,$O916&gt;=AboveRank),$Q916,0)</f>
        <v>0</v>
      </c>
      <c r="T916" s="64" t="n">
        <f aca="false">IF($K916="Less",$P916,0)</f>
        <v>0</v>
      </c>
      <c r="U916" s="64" t="n">
        <f aca="false">IF($K916="Expected",$P916,0)</f>
        <v>0</v>
      </c>
      <c r="V916" s="64" t="n">
        <f aca="false">IF($K916="Better",$P916,0)</f>
        <v>0</v>
      </c>
      <c r="W916" s="64" t="n">
        <f aca="false">IF($K916="U – needs rule",$P916,0)</f>
        <v>0</v>
      </c>
      <c r="X916" s="64" t="n">
        <f aca="false">IF($K916="No Start (attainment only)",$P916,0)</f>
        <v>0</v>
      </c>
    </row>
    <row r="917" customFormat="false" ht="15" hidden="false" customHeight="false" outlineLevel="0" collapsed="false">
      <c r="A917" s="60"/>
      <c r="B917" s="61" t="str">
        <f aca="false">IF($M917=0,"",INDEX(Classes!$E$6:$E$420,$M917))</f>
        <v/>
      </c>
      <c r="C917" s="62" t="str">
        <f aca="false">IF($M917=0,"",INDEX(Classes!$H$6:$H$420,$M917))</f>
        <v/>
      </c>
      <c r="D917" s="61" t="str">
        <f aca="false">IF($M917=0,"",INDEX(Classes!$B$6:$B$420,$M917))</f>
        <v/>
      </c>
      <c r="E917" s="61" t="str">
        <f aca="false">IF($M917=0,"",INDEX(Classes!$C$6:$C$420,$M917))</f>
        <v/>
      </c>
      <c r="F917" s="63"/>
      <c r="G917" s="63"/>
      <c r="H917" s="60"/>
      <c r="I917" s="60"/>
      <c r="J917" s="63"/>
      <c r="K917" s="61" t="str">
        <f aca="false">IF($P917=0,"",IF($F917="Baseline","— Baseline",IF($O917=0,"No result",IF($N917=0,"No Start (attainment only)",IF(OR($N917=1,$O917=1),"U – needs rule",INDEX(MxBody,MATCH($I917,MxCurr,0),MATCH($H917,MxStart,0)))))))</f>
        <v/>
      </c>
      <c r="L917" s="62" t="str">
        <f aca="false">IF(COUNTA($A917,$F917,$G917,$H917,$I917,$J917)=0,"",IF($M917=0,"✖ كود الصف غير موجود",IF(ISNA(MATCH($F917,Lists!$A$2:$A$5,0)),"✖ الفترة غير صحيحة",IF(ISNA(MATCH($G917,Lists!$B$2:$B$7,0)),"✖ المجموعة غير صحيحة",IF(NOT(OR($H917="",$N917&gt;0)),"✖ Start غير صحيح",IF(NOT(OR($I917="",$I917="NR",$O917&gt;0)),"✖ Current غير صحيح",IF(NOT(IF(ISNUMBER($J917),AND($J917&gt;=0,$J917=INT($J917)),FALSE())),"✖ العدد يجب أن يكون صحيحًا ≥ 0",IF(AND($F917="Baseline",$H917&lt;&gt;""),"⚠ Baseline: Start لا يدخل في التقدم",IF($K917="No Start (attainment only)","ℹ تحصيل فقط (بدون Start)",IF($K917="U – needs rule","ℹ حالة U تحتاج قاعدة معتمدة",IF($K917="No result","ℹ بدون نتيجة (يُستبعد من التحصيل)","OK")))))))))))</f>
        <v/>
      </c>
      <c r="M917" s="64" t="n">
        <f aca="false">IF($A917="",0,IFERROR(MATCH($A917,Classes!$A$6:$A$420,0),0))</f>
        <v>0</v>
      </c>
      <c r="N917" s="64" t="n">
        <f aca="false">IF($H917="",0,IFERROR(MATCH($H917,GradeList,0),0))</f>
        <v>0</v>
      </c>
      <c r="O917" s="64" t="n">
        <f aca="false">IF(OR($I917="",$I917="NR"),0,IFERROR(MATCH($I917,GradeList,0),0))</f>
        <v>0</v>
      </c>
      <c r="P917" s="64" t="n">
        <f aca="false">IF(AND($M917&gt;0,ISNUMBER(MATCH($F917,Lists!$A$2:$A$5,0)),ISNUMBER(MATCH($G917,Lists!$B$2:$B$7,0)),OR($H917="",$N917&gt;0),OR($I917="",$I917="NR",$O917&gt;0),IF(ISNUMBER($J917),AND($J917&gt;=0,$J917=INT($J917)),FALSE())),$J917,0)</f>
        <v>0</v>
      </c>
      <c r="Q917" s="64" t="n">
        <f aca="false">IF(AND($P917&gt;0,$O917&gt;0),$P917,0)</f>
        <v>0</v>
      </c>
      <c r="R917" s="64" t="n">
        <f aca="false">IF(AND($Q917&gt;0,$O917&gt;=AtRank),$Q917,0)</f>
        <v>0</v>
      </c>
      <c r="S917" s="64" t="n">
        <f aca="false">IF(AND($Q917&gt;0,$O917&gt;=AboveRank),$Q917,0)</f>
        <v>0</v>
      </c>
      <c r="T917" s="64" t="n">
        <f aca="false">IF($K917="Less",$P917,0)</f>
        <v>0</v>
      </c>
      <c r="U917" s="64" t="n">
        <f aca="false">IF($K917="Expected",$P917,0)</f>
        <v>0</v>
      </c>
      <c r="V917" s="64" t="n">
        <f aca="false">IF($K917="Better",$P917,0)</f>
        <v>0</v>
      </c>
      <c r="W917" s="64" t="n">
        <f aca="false">IF($K917="U – needs rule",$P917,0)</f>
        <v>0</v>
      </c>
      <c r="X917" s="64" t="n">
        <f aca="false">IF($K917="No Start (attainment only)",$P917,0)</f>
        <v>0</v>
      </c>
    </row>
    <row r="918" customFormat="false" ht="15" hidden="false" customHeight="false" outlineLevel="0" collapsed="false">
      <c r="A918" s="60"/>
      <c r="B918" s="61" t="str">
        <f aca="false">IF($M918=0,"",INDEX(Classes!$E$6:$E$420,$M918))</f>
        <v/>
      </c>
      <c r="C918" s="62" t="str">
        <f aca="false">IF($M918=0,"",INDEX(Classes!$H$6:$H$420,$M918))</f>
        <v/>
      </c>
      <c r="D918" s="61" t="str">
        <f aca="false">IF($M918=0,"",INDEX(Classes!$B$6:$B$420,$M918))</f>
        <v/>
      </c>
      <c r="E918" s="61" t="str">
        <f aca="false">IF($M918=0,"",INDEX(Classes!$C$6:$C$420,$M918))</f>
        <v/>
      </c>
      <c r="F918" s="63"/>
      <c r="G918" s="63"/>
      <c r="H918" s="60"/>
      <c r="I918" s="60"/>
      <c r="J918" s="63"/>
      <c r="K918" s="61" t="str">
        <f aca="false">IF($P918=0,"",IF($F918="Baseline","— Baseline",IF($O918=0,"No result",IF($N918=0,"No Start (attainment only)",IF(OR($N918=1,$O918=1),"U – needs rule",INDEX(MxBody,MATCH($I918,MxCurr,0),MATCH($H918,MxStart,0)))))))</f>
        <v/>
      </c>
      <c r="L918" s="62" t="str">
        <f aca="false">IF(COUNTA($A918,$F918,$G918,$H918,$I918,$J918)=0,"",IF($M918=0,"✖ كود الصف غير موجود",IF(ISNA(MATCH($F918,Lists!$A$2:$A$5,0)),"✖ الفترة غير صحيحة",IF(ISNA(MATCH($G918,Lists!$B$2:$B$7,0)),"✖ المجموعة غير صحيحة",IF(NOT(OR($H918="",$N918&gt;0)),"✖ Start غير صحيح",IF(NOT(OR($I918="",$I918="NR",$O918&gt;0)),"✖ Current غير صحيح",IF(NOT(IF(ISNUMBER($J918),AND($J918&gt;=0,$J918=INT($J918)),FALSE())),"✖ العدد يجب أن يكون صحيحًا ≥ 0",IF(AND($F918="Baseline",$H918&lt;&gt;""),"⚠ Baseline: Start لا يدخل في التقدم",IF($K918="No Start (attainment only)","ℹ تحصيل فقط (بدون Start)",IF($K918="U – needs rule","ℹ حالة U تحتاج قاعدة معتمدة",IF($K918="No result","ℹ بدون نتيجة (يُستبعد من التحصيل)","OK")))))))))))</f>
        <v/>
      </c>
      <c r="M918" s="64" t="n">
        <f aca="false">IF($A918="",0,IFERROR(MATCH($A918,Classes!$A$6:$A$420,0),0))</f>
        <v>0</v>
      </c>
      <c r="N918" s="64" t="n">
        <f aca="false">IF($H918="",0,IFERROR(MATCH($H918,GradeList,0),0))</f>
        <v>0</v>
      </c>
      <c r="O918" s="64" t="n">
        <f aca="false">IF(OR($I918="",$I918="NR"),0,IFERROR(MATCH($I918,GradeList,0),0))</f>
        <v>0</v>
      </c>
      <c r="P918" s="64" t="n">
        <f aca="false">IF(AND($M918&gt;0,ISNUMBER(MATCH($F918,Lists!$A$2:$A$5,0)),ISNUMBER(MATCH($G918,Lists!$B$2:$B$7,0)),OR($H918="",$N918&gt;0),OR($I918="",$I918="NR",$O918&gt;0),IF(ISNUMBER($J918),AND($J918&gt;=0,$J918=INT($J918)),FALSE())),$J918,0)</f>
        <v>0</v>
      </c>
      <c r="Q918" s="64" t="n">
        <f aca="false">IF(AND($P918&gt;0,$O918&gt;0),$P918,0)</f>
        <v>0</v>
      </c>
      <c r="R918" s="64" t="n">
        <f aca="false">IF(AND($Q918&gt;0,$O918&gt;=AtRank),$Q918,0)</f>
        <v>0</v>
      </c>
      <c r="S918" s="64" t="n">
        <f aca="false">IF(AND($Q918&gt;0,$O918&gt;=AboveRank),$Q918,0)</f>
        <v>0</v>
      </c>
      <c r="T918" s="64" t="n">
        <f aca="false">IF($K918="Less",$P918,0)</f>
        <v>0</v>
      </c>
      <c r="U918" s="64" t="n">
        <f aca="false">IF($K918="Expected",$P918,0)</f>
        <v>0</v>
      </c>
      <c r="V918" s="64" t="n">
        <f aca="false">IF($K918="Better",$P918,0)</f>
        <v>0</v>
      </c>
      <c r="W918" s="64" t="n">
        <f aca="false">IF($K918="U – needs rule",$P918,0)</f>
        <v>0</v>
      </c>
      <c r="X918" s="64" t="n">
        <f aca="false">IF($K918="No Start (attainment only)",$P918,0)</f>
        <v>0</v>
      </c>
    </row>
    <row r="919" customFormat="false" ht="15" hidden="false" customHeight="false" outlineLevel="0" collapsed="false">
      <c r="A919" s="60"/>
      <c r="B919" s="61" t="str">
        <f aca="false">IF($M919=0,"",INDEX(Classes!$E$6:$E$420,$M919))</f>
        <v/>
      </c>
      <c r="C919" s="62" t="str">
        <f aca="false">IF($M919=0,"",INDEX(Classes!$H$6:$H$420,$M919))</f>
        <v/>
      </c>
      <c r="D919" s="61" t="str">
        <f aca="false">IF($M919=0,"",INDEX(Classes!$B$6:$B$420,$M919))</f>
        <v/>
      </c>
      <c r="E919" s="61" t="str">
        <f aca="false">IF($M919=0,"",INDEX(Classes!$C$6:$C$420,$M919))</f>
        <v/>
      </c>
      <c r="F919" s="63"/>
      <c r="G919" s="63"/>
      <c r="H919" s="60"/>
      <c r="I919" s="60"/>
      <c r="J919" s="63"/>
      <c r="K919" s="61" t="str">
        <f aca="false">IF($P919=0,"",IF($F919="Baseline","— Baseline",IF($O919=0,"No result",IF($N919=0,"No Start (attainment only)",IF(OR($N919=1,$O919=1),"U – needs rule",INDEX(MxBody,MATCH($I919,MxCurr,0),MATCH($H919,MxStart,0)))))))</f>
        <v/>
      </c>
      <c r="L919" s="62" t="str">
        <f aca="false">IF(COUNTA($A919,$F919,$G919,$H919,$I919,$J919)=0,"",IF($M919=0,"✖ كود الصف غير موجود",IF(ISNA(MATCH($F919,Lists!$A$2:$A$5,0)),"✖ الفترة غير صحيحة",IF(ISNA(MATCH($G919,Lists!$B$2:$B$7,0)),"✖ المجموعة غير صحيحة",IF(NOT(OR($H919="",$N919&gt;0)),"✖ Start غير صحيح",IF(NOT(OR($I919="",$I919="NR",$O919&gt;0)),"✖ Current غير صحيح",IF(NOT(IF(ISNUMBER($J919),AND($J919&gt;=0,$J919=INT($J919)),FALSE())),"✖ العدد يجب أن يكون صحيحًا ≥ 0",IF(AND($F919="Baseline",$H919&lt;&gt;""),"⚠ Baseline: Start لا يدخل في التقدم",IF($K919="No Start (attainment only)","ℹ تحصيل فقط (بدون Start)",IF($K919="U – needs rule","ℹ حالة U تحتاج قاعدة معتمدة",IF($K919="No result","ℹ بدون نتيجة (يُستبعد من التحصيل)","OK")))))))))))</f>
        <v/>
      </c>
      <c r="M919" s="64" t="n">
        <f aca="false">IF($A919="",0,IFERROR(MATCH($A919,Classes!$A$6:$A$420,0),0))</f>
        <v>0</v>
      </c>
      <c r="N919" s="64" t="n">
        <f aca="false">IF($H919="",0,IFERROR(MATCH($H919,GradeList,0),0))</f>
        <v>0</v>
      </c>
      <c r="O919" s="64" t="n">
        <f aca="false">IF(OR($I919="",$I919="NR"),0,IFERROR(MATCH($I919,GradeList,0),0))</f>
        <v>0</v>
      </c>
      <c r="P919" s="64" t="n">
        <f aca="false">IF(AND($M919&gt;0,ISNUMBER(MATCH($F919,Lists!$A$2:$A$5,0)),ISNUMBER(MATCH($G919,Lists!$B$2:$B$7,0)),OR($H919="",$N919&gt;0),OR($I919="",$I919="NR",$O919&gt;0),IF(ISNUMBER($J919),AND($J919&gt;=0,$J919=INT($J919)),FALSE())),$J919,0)</f>
        <v>0</v>
      </c>
      <c r="Q919" s="64" t="n">
        <f aca="false">IF(AND($P919&gt;0,$O919&gt;0),$P919,0)</f>
        <v>0</v>
      </c>
      <c r="R919" s="64" t="n">
        <f aca="false">IF(AND($Q919&gt;0,$O919&gt;=AtRank),$Q919,0)</f>
        <v>0</v>
      </c>
      <c r="S919" s="64" t="n">
        <f aca="false">IF(AND($Q919&gt;0,$O919&gt;=AboveRank),$Q919,0)</f>
        <v>0</v>
      </c>
      <c r="T919" s="64" t="n">
        <f aca="false">IF($K919="Less",$P919,0)</f>
        <v>0</v>
      </c>
      <c r="U919" s="64" t="n">
        <f aca="false">IF($K919="Expected",$P919,0)</f>
        <v>0</v>
      </c>
      <c r="V919" s="64" t="n">
        <f aca="false">IF($K919="Better",$P919,0)</f>
        <v>0</v>
      </c>
      <c r="W919" s="64" t="n">
        <f aca="false">IF($K919="U – needs rule",$P919,0)</f>
        <v>0</v>
      </c>
      <c r="X919" s="64" t="n">
        <f aca="false">IF($K919="No Start (attainment only)",$P919,0)</f>
        <v>0</v>
      </c>
    </row>
    <row r="920" customFormat="false" ht="15" hidden="false" customHeight="false" outlineLevel="0" collapsed="false">
      <c r="A920" s="60"/>
      <c r="B920" s="61" t="str">
        <f aca="false">IF($M920=0,"",INDEX(Classes!$E$6:$E$420,$M920))</f>
        <v/>
      </c>
      <c r="C920" s="62" t="str">
        <f aca="false">IF($M920=0,"",INDEX(Classes!$H$6:$H$420,$M920))</f>
        <v/>
      </c>
      <c r="D920" s="61" t="str">
        <f aca="false">IF($M920=0,"",INDEX(Classes!$B$6:$B$420,$M920))</f>
        <v/>
      </c>
      <c r="E920" s="61" t="str">
        <f aca="false">IF($M920=0,"",INDEX(Classes!$C$6:$C$420,$M920))</f>
        <v/>
      </c>
      <c r="F920" s="63"/>
      <c r="G920" s="63"/>
      <c r="H920" s="60"/>
      <c r="I920" s="60"/>
      <c r="J920" s="63"/>
      <c r="K920" s="61" t="str">
        <f aca="false">IF($P920=0,"",IF($F920="Baseline","— Baseline",IF($O920=0,"No result",IF($N920=0,"No Start (attainment only)",IF(OR($N920=1,$O920=1),"U – needs rule",INDEX(MxBody,MATCH($I920,MxCurr,0),MATCH($H920,MxStart,0)))))))</f>
        <v/>
      </c>
      <c r="L920" s="62" t="str">
        <f aca="false">IF(COUNTA($A920,$F920,$G920,$H920,$I920,$J920)=0,"",IF($M920=0,"✖ كود الصف غير موجود",IF(ISNA(MATCH($F920,Lists!$A$2:$A$5,0)),"✖ الفترة غير صحيحة",IF(ISNA(MATCH($G920,Lists!$B$2:$B$7,0)),"✖ المجموعة غير صحيحة",IF(NOT(OR($H920="",$N920&gt;0)),"✖ Start غير صحيح",IF(NOT(OR($I920="",$I920="NR",$O920&gt;0)),"✖ Current غير صحيح",IF(NOT(IF(ISNUMBER($J920),AND($J920&gt;=0,$J920=INT($J920)),FALSE())),"✖ العدد يجب أن يكون صحيحًا ≥ 0",IF(AND($F920="Baseline",$H920&lt;&gt;""),"⚠ Baseline: Start لا يدخل في التقدم",IF($K920="No Start (attainment only)","ℹ تحصيل فقط (بدون Start)",IF($K920="U – needs rule","ℹ حالة U تحتاج قاعدة معتمدة",IF($K920="No result","ℹ بدون نتيجة (يُستبعد من التحصيل)","OK")))))))))))</f>
        <v/>
      </c>
      <c r="M920" s="64" t="n">
        <f aca="false">IF($A920="",0,IFERROR(MATCH($A920,Classes!$A$6:$A$420,0),0))</f>
        <v>0</v>
      </c>
      <c r="N920" s="64" t="n">
        <f aca="false">IF($H920="",0,IFERROR(MATCH($H920,GradeList,0),0))</f>
        <v>0</v>
      </c>
      <c r="O920" s="64" t="n">
        <f aca="false">IF(OR($I920="",$I920="NR"),0,IFERROR(MATCH($I920,GradeList,0),0))</f>
        <v>0</v>
      </c>
      <c r="P920" s="64" t="n">
        <f aca="false">IF(AND($M920&gt;0,ISNUMBER(MATCH($F920,Lists!$A$2:$A$5,0)),ISNUMBER(MATCH($G920,Lists!$B$2:$B$7,0)),OR($H920="",$N920&gt;0),OR($I920="",$I920="NR",$O920&gt;0),IF(ISNUMBER($J920),AND($J920&gt;=0,$J920=INT($J920)),FALSE())),$J920,0)</f>
        <v>0</v>
      </c>
      <c r="Q920" s="64" t="n">
        <f aca="false">IF(AND($P920&gt;0,$O920&gt;0),$P920,0)</f>
        <v>0</v>
      </c>
      <c r="R920" s="64" t="n">
        <f aca="false">IF(AND($Q920&gt;0,$O920&gt;=AtRank),$Q920,0)</f>
        <v>0</v>
      </c>
      <c r="S920" s="64" t="n">
        <f aca="false">IF(AND($Q920&gt;0,$O920&gt;=AboveRank),$Q920,0)</f>
        <v>0</v>
      </c>
      <c r="T920" s="64" t="n">
        <f aca="false">IF($K920="Less",$P920,0)</f>
        <v>0</v>
      </c>
      <c r="U920" s="64" t="n">
        <f aca="false">IF($K920="Expected",$P920,0)</f>
        <v>0</v>
      </c>
      <c r="V920" s="64" t="n">
        <f aca="false">IF($K920="Better",$P920,0)</f>
        <v>0</v>
      </c>
      <c r="W920" s="64" t="n">
        <f aca="false">IF($K920="U – needs rule",$P920,0)</f>
        <v>0</v>
      </c>
      <c r="X920" s="64" t="n">
        <f aca="false">IF($K920="No Start (attainment only)",$P920,0)</f>
        <v>0</v>
      </c>
    </row>
    <row r="921" customFormat="false" ht="15" hidden="false" customHeight="false" outlineLevel="0" collapsed="false">
      <c r="A921" s="60"/>
      <c r="B921" s="61" t="str">
        <f aca="false">IF($M921=0,"",INDEX(Classes!$E$6:$E$420,$M921))</f>
        <v/>
      </c>
      <c r="C921" s="62" t="str">
        <f aca="false">IF($M921=0,"",INDEX(Classes!$H$6:$H$420,$M921))</f>
        <v/>
      </c>
      <c r="D921" s="61" t="str">
        <f aca="false">IF($M921=0,"",INDEX(Classes!$B$6:$B$420,$M921))</f>
        <v/>
      </c>
      <c r="E921" s="61" t="str">
        <f aca="false">IF($M921=0,"",INDEX(Classes!$C$6:$C$420,$M921))</f>
        <v/>
      </c>
      <c r="F921" s="63"/>
      <c r="G921" s="63"/>
      <c r="H921" s="60"/>
      <c r="I921" s="60"/>
      <c r="J921" s="63"/>
      <c r="K921" s="61" t="str">
        <f aca="false">IF($P921=0,"",IF($F921="Baseline","— Baseline",IF($O921=0,"No result",IF($N921=0,"No Start (attainment only)",IF(OR($N921=1,$O921=1),"U – needs rule",INDEX(MxBody,MATCH($I921,MxCurr,0),MATCH($H921,MxStart,0)))))))</f>
        <v/>
      </c>
      <c r="L921" s="62" t="str">
        <f aca="false">IF(COUNTA($A921,$F921,$G921,$H921,$I921,$J921)=0,"",IF($M921=0,"✖ كود الصف غير موجود",IF(ISNA(MATCH($F921,Lists!$A$2:$A$5,0)),"✖ الفترة غير صحيحة",IF(ISNA(MATCH($G921,Lists!$B$2:$B$7,0)),"✖ المجموعة غير صحيحة",IF(NOT(OR($H921="",$N921&gt;0)),"✖ Start غير صحيح",IF(NOT(OR($I921="",$I921="NR",$O921&gt;0)),"✖ Current غير صحيح",IF(NOT(IF(ISNUMBER($J921),AND($J921&gt;=0,$J921=INT($J921)),FALSE())),"✖ العدد يجب أن يكون صحيحًا ≥ 0",IF(AND($F921="Baseline",$H921&lt;&gt;""),"⚠ Baseline: Start لا يدخل في التقدم",IF($K921="No Start (attainment only)","ℹ تحصيل فقط (بدون Start)",IF($K921="U – needs rule","ℹ حالة U تحتاج قاعدة معتمدة",IF($K921="No result","ℹ بدون نتيجة (يُستبعد من التحصيل)","OK")))))))))))</f>
        <v/>
      </c>
      <c r="M921" s="64" t="n">
        <f aca="false">IF($A921="",0,IFERROR(MATCH($A921,Classes!$A$6:$A$420,0),0))</f>
        <v>0</v>
      </c>
      <c r="N921" s="64" t="n">
        <f aca="false">IF($H921="",0,IFERROR(MATCH($H921,GradeList,0),0))</f>
        <v>0</v>
      </c>
      <c r="O921" s="64" t="n">
        <f aca="false">IF(OR($I921="",$I921="NR"),0,IFERROR(MATCH($I921,GradeList,0),0))</f>
        <v>0</v>
      </c>
      <c r="P921" s="64" t="n">
        <f aca="false">IF(AND($M921&gt;0,ISNUMBER(MATCH($F921,Lists!$A$2:$A$5,0)),ISNUMBER(MATCH($G921,Lists!$B$2:$B$7,0)),OR($H921="",$N921&gt;0),OR($I921="",$I921="NR",$O921&gt;0),IF(ISNUMBER($J921),AND($J921&gt;=0,$J921=INT($J921)),FALSE())),$J921,0)</f>
        <v>0</v>
      </c>
      <c r="Q921" s="64" t="n">
        <f aca="false">IF(AND($P921&gt;0,$O921&gt;0),$P921,0)</f>
        <v>0</v>
      </c>
      <c r="R921" s="64" t="n">
        <f aca="false">IF(AND($Q921&gt;0,$O921&gt;=AtRank),$Q921,0)</f>
        <v>0</v>
      </c>
      <c r="S921" s="64" t="n">
        <f aca="false">IF(AND($Q921&gt;0,$O921&gt;=AboveRank),$Q921,0)</f>
        <v>0</v>
      </c>
      <c r="T921" s="64" t="n">
        <f aca="false">IF($K921="Less",$P921,0)</f>
        <v>0</v>
      </c>
      <c r="U921" s="64" t="n">
        <f aca="false">IF($K921="Expected",$P921,0)</f>
        <v>0</v>
      </c>
      <c r="V921" s="64" t="n">
        <f aca="false">IF($K921="Better",$P921,0)</f>
        <v>0</v>
      </c>
      <c r="W921" s="64" t="n">
        <f aca="false">IF($K921="U – needs rule",$P921,0)</f>
        <v>0</v>
      </c>
      <c r="X921" s="64" t="n">
        <f aca="false">IF($K921="No Start (attainment only)",$P921,0)</f>
        <v>0</v>
      </c>
    </row>
    <row r="922" customFormat="false" ht="15" hidden="false" customHeight="false" outlineLevel="0" collapsed="false">
      <c r="A922" s="60"/>
      <c r="B922" s="61" t="str">
        <f aca="false">IF($M922=0,"",INDEX(Classes!$E$6:$E$420,$M922))</f>
        <v/>
      </c>
      <c r="C922" s="62" t="str">
        <f aca="false">IF($M922=0,"",INDEX(Classes!$H$6:$H$420,$M922))</f>
        <v/>
      </c>
      <c r="D922" s="61" t="str">
        <f aca="false">IF($M922=0,"",INDEX(Classes!$B$6:$B$420,$M922))</f>
        <v/>
      </c>
      <c r="E922" s="61" t="str">
        <f aca="false">IF($M922=0,"",INDEX(Classes!$C$6:$C$420,$M922))</f>
        <v/>
      </c>
      <c r="F922" s="63"/>
      <c r="G922" s="63"/>
      <c r="H922" s="60"/>
      <c r="I922" s="60"/>
      <c r="J922" s="63"/>
      <c r="K922" s="61" t="str">
        <f aca="false">IF($P922=0,"",IF($F922="Baseline","— Baseline",IF($O922=0,"No result",IF($N922=0,"No Start (attainment only)",IF(OR($N922=1,$O922=1),"U – needs rule",INDEX(MxBody,MATCH($I922,MxCurr,0),MATCH($H922,MxStart,0)))))))</f>
        <v/>
      </c>
      <c r="L922" s="62" t="str">
        <f aca="false">IF(COUNTA($A922,$F922,$G922,$H922,$I922,$J922)=0,"",IF($M922=0,"✖ كود الصف غير موجود",IF(ISNA(MATCH($F922,Lists!$A$2:$A$5,0)),"✖ الفترة غير صحيحة",IF(ISNA(MATCH($G922,Lists!$B$2:$B$7,0)),"✖ المجموعة غير صحيحة",IF(NOT(OR($H922="",$N922&gt;0)),"✖ Start غير صحيح",IF(NOT(OR($I922="",$I922="NR",$O922&gt;0)),"✖ Current غير صحيح",IF(NOT(IF(ISNUMBER($J922),AND($J922&gt;=0,$J922=INT($J922)),FALSE())),"✖ العدد يجب أن يكون صحيحًا ≥ 0",IF(AND($F922="Baseline",$H922&lt;&gt;""),"⚠ Baseline: Start لا يدخل في التقدم",IF($K922="No Start (attainment only)","ℹ تحصيل فقط (بدون Start)",IF($K922="U – needs rule","ℹ حالة U تحتاج قاعدة معتمدة",IF($K922="No result","ℹ بدون نتيجة (يُستبعد من التحصيل)","OK")))))))))))</f>
        <v/>
      </c>
      <c r="M922" s="64" t="n">
        <f aca="false">IF($A922="",0,IFERROR(MATCH($A922,Classes!$A$6:$A$420,0),0))</f>
        <v>0</v>
      </c>
      <c r="N922" s="64" t="n">
        <f aca="false">IF($H922="",0,IFERROR(MATCH($H922,GradeList,0),0))</f>
        <v>0</v>
      </c>
      <c r="O922" s="64" t="n">
        <f aca="false">IF(OR($I922="",$I922="NR"),0,IFERROR(MATCH($I922,GradeList,0),0))</f>
        <v>0</v>
      </c>
      <c r="P922" s="64" t="n">
        <f aca="false">IF(AND($M922&gt;0,ISNUMBER(MATCH($F922,Lists!$A$2:$A$5,0)),ISNUMBER(MATCH($G922,Lists!$B$2:$B$7,0)),OR($H922="",$N922&gt;0),OR($I922="",$I922="NR",$O922&gt;0),IF(ISNUMBER($J922),AND($J922&gt;=0,$J922=INT($J922)),FALSE())),$J922,0)</f>
        <v>0</v>
      </c>
      <c r="Q922" s="64" t="n">
        <f aca="false">IF(AND($P922&gt;0,$O922&gt;0),$P922,0)</f>
        <v>0</v>
      </c>
      <c r="R922" s="64" t="n">
        <f aca="false">IF(AND($Q922&gt;0,$O922&gt;=AtRank),$Q922,0)</f>
        <v>0</v>
      </c>
      <c r="S922" s="64" t="n">
        <f aca="false">IF(AND($Q922&gt;0,$O922&gt;=AboveRank),$Q922,0)</f>
        <v>0</v>
      </c>
      <c r="T922" s="64" t="n">
        <f aca="false">IF($K922="Less",$P922,0)</f>
        <v>0</v>
      </c>
      <c r="U922" s="64" t="n">
        <f aca="false">IF($K922="Expected",$P922,0)</f>
        <v>0</v>
      </c>
      <c r="V922" s="64" t="n">
        <f aca="false">IF($K922="Better",$P922,0)</f>
        <v>0</v>
      </c>
      <c r="W922" s="64" t="n">
        <f aca="false">IF($K922="U – needs rule",$P922,0)</f>
        <v>0</v>
      </c>
      <c r="X922" s="64" t="n">
        <f aca="false">IF($K922="No Start (attainment only)",$P922,0)</f>
        <v>0</v>
      </c>
    </row>
    <row r="923" customFormat="false" ht="15" hidden="false" customHeight="false" outlineLevel="0" collapsed="false">
      <c r="A923" s="60"/>
      <c r="B923" s="61" t="str">
        <f aca="false">IF($M923=0,"",INDEX(Classes!$E$6:$E$420,$M923))</f>
        <v/>
      </c>
      <c r="C923" s="62" t="str">
        <f aca="false">IF($M923=0,"",INDEX(Classes!$H$6:$H$420,$M923))</f>
        <v/>
      </c>
      <c r="D923" s="61" t="str">
        <f aca="false">IF($M923=0,"",INDEX(Classes!$B$6:$B$420,$M923))</f>
        <v/>
      </c>
      <c r="E923" s="61" t="str">
        <f aca="false">IF($M923=0,"",INDEX(Classes!$C$6:$C$420,$M923))</f>
        <v/>
      </c>
      <c r="F923" s="63"/>
      <c r="G923" s="63"/>
      <c r="H923" s="60"/>
      <c r="I923" s="60"/>
      <c r="J923" s="63"/>
      <c r="K923" s="61" t="str">
        <f aca="false">IF($P923=0,"",IF($F923="Baseline","— Baseline",IF($O923=0,"No result",IF($N923=0,"No Start (attainment only)",IF(OR($N923=1,$O923=1),"U – needs rule",INDEX(MxBody,MATCH($I923,MxCurr,0),MATCH($H923,MxStart,0)))))))</f>
        <v/>
      </c>
      <c r="L923" s="62" t="str">
        <f aca="false">IF(COUNTA($A923,$F923,$G923,$H923,$I923,$J923)=0,"",IF($M923=0,"✖ كود الصف غير موجود",IF(ISNA(MATCH($F923,Lists!$A$2:$A$5,0)),"✖ الفترة غير صحيحة",IF(ISNA(MATCH($G923,Lists!$B$2:$B$7,0)),"✖ المجموعة غير صحيحة",IF(NOT(OR($H923="",$N923&gt;0)),"✖ Start غير صحيح",IF(NOT(OR($I923="",$I923="NR",$O923&gt;0)),"✖ Current غير صحيح",IF(NOT(IF(ISNUMBER($J923),AND($J923&gt;=0,$J923=INT($J923)),FALSE())),"✖ العدد يجب أن يكون صحيحًا ≥ 0",IF(AND($F923="Baseline",$H923&lt;&gt;""),"⚠ Baseline: Start لا يدخل في التقدم",IF($K923="No Start (attainment only)","ℹ تحصيل فقط (بدون Start)",IF($K923="U – needs rule","ℹ حالة U تحتاج قاعدة معتمدة",IF($K923="No result","ℹ بدون نتيجة (يُستبعد من التحصيل)","OK")))))))))))</f>
        <v/>
      </c>
      <c r="M923" s="64" t="n">
        <f aca="false">IF($A923="",0,IFERROR(MATCH($A923,Classes!$A$6:$A$420,0),0))</f>
        <v>0</v>
      </c>
      <c r="N923" s="64" t="n">
        <f aca="false">IF($H923="",0,IFERROR(MATCH($H923,GradeList,0),0))</f>
        <v>0</v>
      </c>
      <c r="O923" s="64" t="n">
        <f aca="false">IF(OR($I923="",$I923="NR"),0,IFERROR(MATCH($I923,GradeList,0),0))</f>
        <v>0</v>
      </c>
      <c r="P923" s="64" t="n">
        <f aca="false">IF(AND($M923&gt;0,ISNUMBER(MATCH($F923,Lists!$A$2:$A$5,0)),ISNUMBER(MATCH($G923,Lists!$B$2:$B$7,0)),OR($H923="",$N923&gt;0),OR($I923="",$I923="NR",$O923&gt;0),IF(ISNUMBER($J923),AND($J923&gt;=0,$J923=INT($J923)),FALSE())),$J923,0)</f>
        <v>0</v>
      </c>
      <c r="Q923" s="64" t="n">
        <f aca="false">IF(AND($P923&gt;0,$O923&gt;0),$P923,0)</f>
        <v>0</v>
      </c>
      <c r="R923" s="64" t="n">
        <f aca="false">IF(AND($Q923&gt;0,$O923&gt;=AtRank),$Q923,0)</f>
        <v>0</v>
      </c>
      <c r="S923" s="64" t="n">
        <f aca="false">IF(AND($Q923&gt;0,$O923&gt;=AboveRank),$Q923,0)</f>
        <v>0</v>
      </c>
      <c r="T923" s="64" t="n">
        <f aca="false">IF($K923="Less",$P923,0)</f>
        <v>0</v>
      </c>
      <c r="U923" s="64" t="n">
        <f aca="false">IF($K923="Expected",$P923,0)</f>
        <v>0</v>
      </c>
      <c r="V923" s="64" t="n">
        <f aca="false">IF($K923="Better",$P923,0)</f>
        <v>0</v>
      </c>
      <c r="W923" s="64" t="n">
        <f aca="false">IF($K923="U – needs rule",$P923,0)</f>
        <v>0</v>
      </c>
      <c r="X923" s="64" t="n">
        <f aca="false">IF($K923="No Start (attainment only)",$P923,0)</f>
        <v>0</v>
      </c>
    </row>
    <row r="924" customFormat="false" ht="15" hidden="false" customHeight="false" outlineLevel="0" collapsed="false">
      <c r="A924" s="60"/>
      <c r="B924" s="61" t="str">
        <f aca="false">IF($M924=0,"",INDEX(Classes!$E$6:$E$420,$M924))</f>
        <v/>
      </c>
      <c r="C924" s="62" t="str">
        <f aca="false">IF($M924=0,"",INDEX(Classes!$H$6:$H$420,$M924))</f>
        <v/>
      </c>
      <c r="D924" s="61" t="str">
        <f aca="false">IF($M924=0,"",INDEX(Classes!$B$6:$B$420,$M924))</f>
        <v/>
      </c>
      <c r="E924" s="61" t="str">
        <f aca="false">IF($M924=0,"",INDEX(Classes!$C$6:$C$420,$M924))</f>
        <v/>
      </c>
      <c r="F924" s="63"/>
      <c r="G924" s="63"/>
      <c r="H924" s="60"/>
      <c r="I924" s="60"/>
      <c r="J924" s="63"/>
      <c r="K924" s="61" t="str">
        <f aca="false">IF($P924=0,"",IF($F924="Baseline","— Baseline",IF($O924=0,"No result",IF($N924=0,"No Start (attainment only)",IF(OR($N924=1,$O924=1),"U – needs rule",INDEX(MxBody,MATCH($I924,MxCurr,0),MATCH($H924,MxStart,0)))))))</f>
        <v/>
      </c>
      <c r="L924" s="62" t="str">
        <f aca="false">IF(COUNTA($A924,$F924,$G924,$H924,$I924,$J924)=0,"",IF($M924=0,"✖ كود الصف غير موجود",IF(ISNA(MATCH($F924,Lists!$A$2:$A$5,0)),"✖ الفترة غير صحيحة",IF(ISNA(MATCH($G924,Lists!$B$2:$B$7,0)),"✖ المجموعة غير صحيحة",IF(NOT(OR($H924="",$N924&gt;0)),"✖ Start غير صحيح",IF(NOT(OR($I924="",$I924="NR",$O924&gt;0)),"✖ Current غير صحيح",IF(NOT(IF(ISNUMBER($J924),AND($J924&gt;=0,$J924=INT($J924)),FALSE())),"✖ العدد يجب أن يكون صحيحًا ≥ 0",IF(AND($F924="Baseline",$H924&lt;&gt;""),"⚠ Baseline: Start لا يدخل في التقدم",IF($K924="No Start (attainment only)","ℹ تحصيل فقط (بدون Start)",IF($K924="U – needs rule","ℹ حالة U تحتاج قاعدة معتمدة",IF($K924="No result","ℹ بدون نتيجة (يُستبعد من التحصيل)","OK")))))))))))</f>
        <v/>
      </c>
      <c r="M924" s="64" t="n">
        <f aca="false">IF($A924="",0,IFERROR(MATCH($A924,Classes!$A$6:$A$420,0),0))</f>
        <v>0</v>
      </c>
      <c r="N924" s="64" t="n">
        <f aca="false">IF($H924="",0,IFERROR(MATCH($H924,GradeList,0),0))</f>
        <v>0</v>
      </c>
      <c r="O924" s="64" t="n">
        <f aca="false">IF(OR($I924="",$I924="NR"),0,IFERROR(MATCH($I924,GradeList,0),0))</f>
        <v>0</v>
      </c>
      <c r="P924" s="64" t="n">
        <f aca="false">IF(AND($M924&gt;0,ISNUMBER(MATCH($F924,Lists!$A$2:$A$5,0)),ISNUMBER(MATCH($G924,Lists!$B$2:$B$7,0)),OR($H924="",$N924&gt;0),OR($I924="",$I924="NR",$O924&gt;0),IF(ISNUMBER($J924),AND($J924&gt;=0,$J924=INT($J924)),FALSE())),$J924,0)</f>
        <v>0</v>
      </c>
      <c r="Q924" s="64" t="n">
        <f aca="false">IF(AND($P924&gt;0,$O924&gt;0),$P924,0)</f>
        <v>0</v>
      </c>
      <c r="R924" s="64" t="n">
        <f aca="false">IF(AND($Q924&gt;0,$O924&gt;=AtRank),$Q924,0)</f>
        <v>0</v>
      </c>
      <c r="S924" s="64" t="n">
        <f aca="false">IF(AND($Q924&gt;0,$O924&gt;=AboveRank),$Q924,0)</f>
        <v>0</v>
      </c>
      <c r="T924" s="64" t="n">
        <f aca="false">IF($K924="Less",$P924,0)</f>
        <v>0</v>
      </c>
      <c r="U924" s="64" t="n">
        <f aca="false">IF($K924="Expected",$P924,0)</f>
        <v>0</v>
      </c>
      <c r="V924" s="64" t="n">
        <f aca="false">IF($K924="Better",$P924,0)</f>
        <v>0</v>
      </c>
      <c r="W924" s="64" t="n">
        <f aca="false">IF($K924="U – needs rule",$P924,0)</f>
        <v>0</v>
      </c>
      <c r="X924" s="64" t="n">
        <f aca="false">IF($K924="No Start (attainment only)",$P924,0)</f>
        <v>0</v>
      </c>
    </row>
    <row r="925" customFormat="false" ht="15" hidden="false" customHeight="false" outlineLevel="0" collapsed="false">
      <c r="A925" s="60"/>
      <c r="B925" s="61" t="str">
        <f aca="false">IF($M925=0,"",INDEX(Classes!$E$6:$E$420,$M925))</f>
        <v/>
      </c>
      <c r="C925" s="62" t="str">
        <f aca="false">IF($M925=0,"",INDEX(Classes!$H$6:$H$420,$M925))</f>
        <v/>
      </c>
      <c r="D925" s="61" t="str">
        <f aca="false">IF($M925=0,"",INDEX(Classes!$B$6:$B$420,$M925))</f>
        <v/>
      </c>
      <c r="E925" s="61" t="str">
        <f aca="false">IF($M925=0,"",INDEX(Classes!$C$6:$C$420,$M925))</f>
        <v/>
      </c>
      <c r="F925" s="63"/>
      <c r="G925" s="63"/>
      <c r="H925" s="60"/>
      <c r="I925" s="60"/>
      <c r="J925" s="63"/>
      <c r="K925" s="61" t="str">
        <f aca="false">IF($P925=0,"",IF($F925="Baseline","— Baseline",IF($O925=0,"No result",IF($N925=0,"No Start (attainment only)",IF(OR($N925=1,$O925=1),"U – needs rule",INDEX(MxBody,MATCH($I925,MxCurr,0),MATCH($H925,MxStart,0)))))))</f>
        <v/>
      </c>
      <c r="L925" s="62" t="str">
        <f aca="false">IF(COUNTA($A925,$F925,$G925,$H925,$I925,$J925)=0,"",IF($M925=0,"✖ كود الصف غير موجود",IF(ISNA(MATCH($F925,Lists!$A$2:$A$5,0)),"✖ الفترة غير صحيحة",IF(ISNA(MATCH($G925,Lists!$B$2:$B$7,0)),"✖ المجموعة غير صحيحة",IF(NOT(OR($H925="",$N925&gt;0)),"✖ Start غير صحيح",IF(NOT(OR($I925="",$I925="NR",$O925&gt;0)),"✖ Current غير صحيح",IF(NOT(IF(ISNUMBER($J925),AND($J925&gt;=0,$J925=INT($J925)),FALSE())),"✖ العدد يجب أن يكون صحيحًا ≥ 0",IF(AND($F925="Baseline",$H925&lt;&gt;""),"⚠ Baseline: Start لا يدخل في التقدم",IF($K925="No Start (attainment only)","ℹ تحصيل فقط (بدون Start)",IF($K925="U – needs rule","ℹ حالة U تحتاج قاعدة معتمدة",IF($K925="No result","ℹ بدون نتيجة (يُستبعد من التحصيل)","OK")))))))))))</f>
        <v/>
      </c>
      <c r="M925" s="64" t="n">
        <f aca="false">IF($A925="",0,IFERROR(MATCH($A925,Classes!$A$6:$A$420,0),0))</f>
        <v>0</v>
      </c>
      <c r="N925" s="64" t="n">
        <f aca="false">IF($H925="",0,IFERROR(MATCH($H925,GradeList,0),0))</f>
        <v>0</v>
      </c>
      <c r="O925" s="64" t="n">
        <f aca="false">IF(OR($I925="",$I925="NR"),0,IFERROR(MATCH($I925,GradeList,0),0))</f>
        <v>0</v>
      </c>
      <c r="P925" s="64" t="n">
        <f aca="false">IF(AND($M925&gt;0,ISNUMBER(MATCH($F925,Lists!$A$2:$A$5,0)),ISNUMBER(MATCH($G925,Lists!$B$2:$B$7,0)),OR($H925="",$N925&gt;0),OR($I925="",$I925="NR",$O925&gt;0),IF(ISNUMBER($J925),AND($J925&gt;=0,$J925=INT($J925)),FALSE())),$J925,0)</f>
        <v>0</v>
      </c>
      <c r="Q925" s="64" t="n">
        <f aca="false">IF(AND($P925&gt;0,$O925&gt;0),$P925,0)</f>
        <v>0</v>
      </c>
      <c r="R925" s="64" t="n">
        <f aca="false">IF(AND($Q925&gt;0,$O925&gt;=AtRank),$Q925,0)</f>
        <v>0</v>
      </c>
      <c r="S925" s="64" t="n">
        <f aca="false">IF(AND($Q925&gt;0,$O925&gt;=AboveRank),$Q925,0)</f>
        <v>0</v>
      </c>
      <c r="T925" s="64" t="n">
        <f aca="false">IF($K925="Less",$P925,0)</f>
        <v>0</v>
      </c>
      <c r="U925" s="64" t="n">
        <f aca="false">IF($K925="Expected",$P925,0)</f>
        <v>0</v>
      </c>
      <c r="V925" s="64" t="n">
        <f aca="false">IF($K925="Better",$P925,0)</f>
        <v>0</v>
      </c>
      <c r="W925" s="64" t="n">
        <f aca="false">IF($K925="U – needs rule",$P925,0)</f>
        <v>0</v>
      </c>
      <c r="X925" s="64" t="n">
        <f aca="false">IF($K925="No Start (attainment only)",$P925,0)</f>
        <v>0</v>
      </c>
    </row>
    <row r="926" customFormat="false" ht="15" hidden="false" customHeight="false" outlineLevel="0" collapsed="false">
      <c r="A926" s="60"/>
      <c r="B926" s="61" t="str">
        <f aca="false">IF($M926=0,"",INDEX(Classes!$E$6:$E$420,$M926))</f>
        <v/>
      </c>
      <c r="C926" s="62" t="str">
        <f aca="false">IF($M926=0,"",INDEX(Classes!$H$6:$H$420,$M926))</f>
        <v/>
      </c>
      <c r="D926" s="61" t="str">
        <f aca="false">IF($M926=0,"",INDEX(Classes!$B$6:$B$420,$M926))</f>
        <v/>
      </c>
      <c r="E926" s="61" t="str">
        <f aca="false">IF($M926=0,"",INDEX(Classes!$C$6:$C$420,$M926))</f>
        <v/>
      </c>
      <c r="F926" s="63"/>
      <c r="G926" s="63"/>
      <c r="H926" s="60"/>
      <c r="I926" s="60"/>
      <c r="J926" s="63"/>
      <c r="K926" s="61" t="str">
        <f aca="false">IF($P926=0,"",IF($F926="Baseline","— Baseline",IF($O926=0,"No result",IF($N926=0,"No Start (attainment only)",IF(OR($N926=1,$O926=1),"U – needs rule",INDEX(MxBody,MATCH($I926,MxCurr,0),MATCH($H926,MxStart,0)))))))</f>
        <v/>
      </c>
      <c r="L926" s="62" t="str">
        <f aca="false">IF(COUNTA($A926,$F926,$G926,$H926,$I926,$J926)=0,"",IF($M926=0,"✖ كود الصف غير موجود",IF(ISNA(MATCH($F926,Lists!$A$2:$A$5,0)),"✖ الفترة غير صحيحة",IF(ISNA(MATCH($G926,Lists!$B$2:$B$7,0)),"✖ المجموعة غير صحيحة",IF(NOT(OR($H926="",$N926&gt;0)),"✖ Start غير صحيح",IF(NOT(OR($I926="",$I926="NR",$O926&gt;0)),"✖ Current غير صحيح",IF(NOT(IF(ISNUMBER($J926),AND($J926&gt;=0,$J926=INT($J926)),FALSE())),"✖ العدد يجب أن يكون صحيحًا ≥ 0",IF(AND($F926="Baseline",$H926&lt;&gt;""),"⚠ Baseline: Start لا يدخل في التقدم",IF($K926="No Start (attainment only)","ℹ تحصيل فقط (بدون Start)",IF($K926="U – needs rule","ℹ حالة U تحتاج قاعدة معتمدة",IF($K926="No result","ℹ بدون نتيجة (يُستبعد من التحصيل)","OK")))))))))))</f>
        <v/>
      </c>
      <c r="M926" s="64" t="n">
        <f aca="false">IF($A926="",0,IFERROR(MATCH($A926,Classes!$A$6:$A$420,0),0))</f>
        <v>0</v>
      </c>
      <c r="N926" s="64" t="n">
        <f aca="false">IF($H926="",0,IFERROR(MATCH($H926,GradeList,0),0))</f>
        <v>0</v>
      </c>
      <c r="O926" s="64" t="n">
        <f aca="false">IF(OR($I926="",$I926="NR"),0,IFERROR(MATCH($I926,GradeList,0),0))</f>
        <v>0</v>
      </c>
      <c r="P926" s="64" t="n">
        <f aca="false">IF(AND($M926&gt;0,ISNUMBER(MATCH($F926,Lists!$A$2:$A$5,0)),ISNUMBER(MATCH($G926,Lists!$B$2:$B$7,0)),OR($H926="",$N926&gt;0),OR($I926="",$I926="NR",$O926&gt;0),IF(ISNUMBER($J926),AND($J926&gt;=0,$J926=INT($J926)),FALSE())),$J926,0)</f>
        <v>0</v>
      </c>
      <c r="Q926" s="64" t="n">
        <f aca="false">IF(AND($P926&gt;0,$O926&gt;0),$P926,0)</f>
        <v>0</v>
      </c>
      <c r="R926" s="64" t="n">
        <f aca="false">IF(AND($Q926&gt;0,$O926&gt;=AtRank),$Q926,0)</f>
        <v>0</v>
      </c>
      <c r="S926" s="64" t="n">
        <f aca="false">IF(AND($Q926&gt;0,$O926&gt;=AboveRank),$Q926,0)</f>
        <v>0</v>
      </c>
      <c r="T926" s="64" t="n">
        <f aca="false">IF($K926="Less",$P926,0)</f>
        <v>0</v>
      </c>
      <c r="U926" s="64" t="n">
        <f aca="false">IF($K926="Expected",$P926,0)</f>
        <v>0</v>
      </c>
      <c r="V926" s="64" t="n">
        <f aca="false">IF($K926="Better",$P926,0)</f>
        <v>0</v>
      </c>
      <c r="W926" s="64" t="n">
        <f aca="false">IF($K926="U – needs rule",$P926,0)</f>
        <v>0</v>
      </c>
      <c r="X926" s="64" t="n">
        <f aca="false">IF($K926="No Start (attainment only)",$P926,0)</f>
        <v>0</v>
      </c>
    </row>
    <row r="927" customFormat="false" ht="15" hidden="false" customHeight="false" outlineLevel="0" collapsed="false">
      <c r="A927" s="60"/>
      <c r="B927" s="61" t="str">
        <f aca="false">IF($M927=0,"",INDEX(Classes!$E$6:$E$420,$M927))</f>
        <v/>
      </c>
      <c r="C927" s="62" t="str">
        <f aca="false">IF($M927=0,"",INDEX(Classes!$H$6:$H$420,$M927))</f>
        <v/>
      </c>
      <c r="D927" s="61" t="str">
        <f aca="false">IF($M927=0,"",INDEX(Classes!$B$6:$B$420,$M927))</f>
        <v/>
      </c>
      <c r="E927" s="61" t="str">
        <f aca="false">IF($M927=0,"",INDEX(Classes!$C$6:$C$420,$M927))</f>
        <v/>
      </c>
      <c r="F927" s="63"/>
      <c r="G927" s="63"/>
      <c r="H927" s="60"/>
      <c r="I927" s="60"/>
      <c r="J927" s="63"/>
      <c r="K927" s="61" t="str">
        <f aca="false">IF($P927=0,"",IF($F927="Baseline","— Baseline",IF($O927=0,"No result",IF($N927=0,"No Start (attainment only)",IF(OR($N927=1,$O927=1),"U – needs rule",INDEX(MxBody,MATCH($I927,MxCurr,0),MATCH($H927,MxStart,0)))))))</f>
        <v/>
      </c>
      <c r="L927" s="62" t="str">
        <f aca="false">IF(COUNTA($A927,$F927,$G927,$H927,$I927,$J927)=0,"",IF($M927=0,"✖ كود الصف غير موجود",IF(ISNA(MATCH($F927,Lists!$A$2:$A$5,0)),"✖ الفترة غير صحيحة",IF(ISNA(MATCH($G927,Lists!$B$2:$B$7,0)),"✖ المجموعة غير صحيحة",IF(NOT(OR($H927="",$N927&gt;0)),"✖ Start غير صحيح",IF(NOT(OR($I927="",$I927="NR",$O927&gt;0)),"✖ Current غير صحيح",IF(NOT(IF(ISNUMBER($J927),AND($J927&gt;=0,$J927=INT($J927)),FALSE())),"✖ العدد يجب أن يكون صحيحًا ≥ 0",IF(AND($F927="Baseline",$H927&lt;&gt;""),"⚠ Baseline: Start لا يدخل في التقدم",IF($K927="No Start (attainment only)","ℹ تحصيل فقط (بدون Start)",IF($K927="U – needs rule","ℹ حالة U تحتاج قاعدة معتمدة",IF($K927="No result","ℹ بدون نتيجة (يُستبعد من التحصيل)","OK")))))))))))</f>
        <v/>
      </c>
      <c r="M927" s="64" t="n">
        <f aca="false">IF($A927="",0,IFERROR(MATCH($A927,Classes!$A$6:$A$420,0),0))</f>
        <v>0</v>
      </c>
      <c r="N927" s="64" t="n">
        <f aca="false">IF($H927="",0,IFERROR(MATCH($H927,GradeList,0),0))</f>
        <v>0</v>
      </c>
      <c r="O927" s="64" t="n">
        <f aca="false">IF(OR($I927="",$I927="NR"),0,IFERROR(MATCH($I927,GradeList,0),0))</f>
        <v>0</v>
      </c>
      <c r="P927" s="64" t="n">
        <f aca="false">IF(AND($M927&gt;0,ISNUMBER(MATCH($F927,Lists!$A$2:$A$5,0)),ISNUMBER(MATCH($G927,Lists!$B$2:$B$7,0)),OR($H927="",$N927&gt;0),OR($I927="",$I927="NR",$O927&gt;0),IF(ISNUMBER($J927),AND($J927&gt;=0,$J927=INT($J927)),FALSE())),$J927,0)</f>
        <v>0</v>
      </c>
      <c r="Q927" s="64" t="n">
        <f aca="false">IF(AND($P927&gt;0,$O927&gt;0),$P927,0)</f>
        <v>0</v>
      </c>
      <c r="R927" s="64" t="n">
        <f aca="false">IF(AND($Q927&gt;0,$O927&gt;=AtRank),$Q927,0)</f>
        <v>0</v>
      </c>
      <c r="S927" s="64" t="n">
        <f aca="false">IF(AND($Q927&gt;0,$O927&gt;=AboveRank),$Q927,0)</f>
        <v>0</v>
      </c>
      <c r="T927" s="64" t="n">
        <f aca="false">IF($K927="Less",$P927,0)</f>
        <v>0</v>
      </c>
      <c r="U927" s="64" t="n">
        <f aca="false">IF($K927="Expected",$P927,0)</f>
        <v>0</v>
      </c>
      <c r="V927" s="64" t="n">
        <f aca="false">IF($K927="Better",$P927,0)</f>
        <v>0</v>
      </c>
      <c r="W927" s="64" t="n">
        <f aca="false">IF($K927="U – needs rule",$P927,0)</f>
        <v>0</v>
      </c>
      <c r="X927" s="64" t="n">
        <f aca="false">IF($K927="No Start (attainment only)",$P927,0)</f>
        <v>0</v>
      </c>
    </row>
    <row r="928" customFormat="false" ht="15" hidden="false" customHeight="false" outlineLevel="0" collapsed="false">
      <c r="A928" s="60"/>
      <c r="B928" s="61" t="str">
        <f aca="false">IF($M928=0,"",INDEX(Classes!$E$6:$E$420,$M928))</f>
        <v/>
      </c>
      <c r="C928" s="62" t="str">
        <f aca="false">IF($M928=0,"",INDEX(Classes!$H$6:$H$420,$M928))</f>
        <v/>
      </c>
      <c r="D928" s="61" t="str">
        <f aca="false">IF($M928=0,"",INDEX(Classes!$B$6:$B$420,$M928))</f>
        <v/>
      </c>
      <c r="E928" s="61" t="str">
        <f aca="false">IF($M928=0,"",INDEX(Classes!$C$6:$C$420,$M928))</f>
        <v/>
      </c>
      <c r="F928" s="63"/>
      <c r="G928" s="63"/>
      <c r="H928" s="60"/>
      <c r="I928" s="60"/>
      <c r="J928" s="63"/>
      <c r="K928" s="61" t="str">
        <f aca="false">IF($P928=0,"",IF($F928="Baseline","— Baseline",IF($O928=0,"No result",IF($N928=0,"No Start (attainment only)",IF(OR($N928=1,$O928=1),"U – needs rule",INDEX(MxBody,MATCH($I928,MxCurr,0),MATCH($H928,MxStart,0)))))))</f>
        <v/>
      </c>
      <c r="L928" s="62" t="str">
        <f aca="false">IF(COUNTA($A928,$F928,$G928,$H928,$I928,$J928)=0,"",IF($M928=0,"✖ كود الصف غير موجود",IF(ISNA(MATCH($F928,Lists!$A$2:$A$5,0)),"✖ الفترة غير صحيحة",IF(ISNA(MATCH($G928,Lists!$B$2:$B$7,0)),"✖ المجموعة غير صحيحة",IF(NOT(OR($H928="",$N928&gt;0)),"✖ Start غير صحيح",IF(NOT(OR($I928="",$I928="NR",$O928&gt;0)),"✖ Current غير صحيح",IF(NOT(IF(ISNUMBER($J928),AND($J928&gt;=0,$J928=INT($J928)),FALSE())),"✖ العدد يجب أن يكون صحيحًا ≥ 0",IF(AND($F928="Baseline",$H928&lt;&gt;""),"⚠ Baseline: Start لا يدخل في التقدم",IF($K928="No Start (attainment only)","ℹ تحصيل فقط (بدون Start)",IF($K928="U – needs rule","ℹ حالة U تحتاج قاعدة معتمدة",IF($K928="No result","ℹ بدون نتيجة (يُستبعد من التحصيل)","OK")))))))))))</f>
        <v/>
      </c>
      <c r="M928" s="64" t="n">
        <f aca="false">IF($A928="",0,IFERROR(MATCH($A928,Classes!$A$6:$A$420,0),0))</f>
        <v>0</v>
      </c>
      <c r="N928" s="64" t="n">
        <f aca="false">IF($H928="",0,IFERROR(MATCH($H928,GradeList,0),0))</f>
        <v>0</v>
      </c>
      <c r="O928" s="64" t="n">
        <f aca="false">IF(OR($I928="",$I928="NR"),0,IFERROR(MATCH($I928,GradeList,0),0))</f>
        <v>0</v>
      </c>
      <c r="P928" s="64" t="n">
        <f aca="false">IF(AND($M928&gt;0,ISNUMBER(MATCH($F928,Lists!$A$2:$A$5,0)),ISNUMBER(MATCH($G928,Lists!$B$2:$B$7,0)),OR($H928="",$N928&gt;0),OR($I928="",$I928="NR",$O928&gt;0),IF(ISNUMBER($J928),AND($J928&gt;=0,$J928=INT($J928)),FALSE())),$J928,0)</f>
        <v>0</v>
      </c>
      <c r="Q928" s="64" t="n">
        <f aca="false">IF(AND($P928&gt;0,$O928&gt;0),$P928,0)</f>
        <v>0</v>
      </c>
      <c r="R928" s="64" t="n">
        <f aca="false">IF(AND($Q928&gt;0,$O928&gt;=AtRank),$Q928,0)</f>
        <v>0</v>
      </c>
      <c r="S928" s="64" t="n">
        <f aca="false">IF(AND($Q928&gt;0,$O928&gt;=AboveRank),$Q928,0)</f>
        <v>0</v>
      </c>
      <c r="T928" s="64" t="n">
        <f aca="false">IF($K928="Less",$P928,0)</f>
        <v>0</v>
      </c>
      <c r="U928" s="64" t="n">
        <f aca="false">IF($K928="Expected",$P928,0)</f>
        <v>0</v>
      </c>
      <c r="V928" s="64" t="n">
        <f aca="false">IF($K928="Better",$P928,0)</f>
        <v>0</v>
      </c>
      <c r="W928" s="64" t="n">
        <f aca="false">IF($K928="U – needs rule",$P928,0)</f>
        <v>0</v>
      </c>
      <c r="X928" s="64" t="n">
        <f aca="false">IF($K928="No Start (attainment only)",$P928,0)</f>
        <v>0</v>
      </c>
    </row>
    <row r="929" customFormat="false" ht="15" hidden="false" customHeight="false" outlineLevel="0" collapsed="false">
      <c r="A929" s="60"/>
      <c r="B929" s="61" t="str">
        <f aca="false">IF($M929=0,"",INDEX(Classes!$E$6:$E$420,$M929))</f>
        <v/>
      </c>
      <c r="C929" s="62" t="str">
        <f aca="false">IF($M929=0,"",INDEX(Classes!$H$6:$H$420,$M929))</f>
        <v/>
      </c>
      <c r="D929" s="61" t="str">
        <f aca="false">IF($M929=0,"",INDEX(Classes!$B$6:$B$420,$M929))</f>
        <v/>
      </c>
      <c r="E929" s="61" t="str">
        <f aca="false">IF($M929=0,"",INDEX(Classes!$C$6:$C$420,$M929))</f>
        <v/>
      </c>
      <c r="F929" s="63"/>
      <c r="G929" s="63"/>
      <c r="H929" s="60"/>
      <c r="I929" s="60"/>
      <c r="J929" s="63"/>
      <c r="K929" s="61" t="str">
        <f aca="false">IF($P929=0,"",IF($F929="Baseline","— Baseline",IF($O929=0,"No result",IF($N929=0,"No Start (attainment only)",IF(OR($N929=1,$O929=1),"U – needs rule",INDEX(MxBody,MATCH($I929,MxCurr,0),MATCH($H929,MxStart,0)))))))</f>
        <v/>
      </c>
      <c r="L929" s="62" t="str">
        <f aca="false">IF(COUNTA($A929,$F929,$G929,$H929,$I929,$J929)=0,"",IF($M929=0,"✖ كود الصف غير موجود",IF(ISNA(MATCH($F929,Lists!$A$2:$A$5,0)),"✖ الفترة غير صحيحة",IF(ISNA(MATCH($G929,Lists!$B$2:$B$7,0)),"✖ المجموعة غير صحيحة",IF(NOT(OR($H929="",$N929&gt;0)),"✖ Start غير صحيح",IF(NOT(OR($I929="",$I929="NR",$O929&gt;0)),"✖ Current غير صحيح",IF(NOT(IF(ISNUMBER($J929),AND($J929&gt;=0,$J929=INT($J929)),FALSE())),"✖ العدد يجب أن يكون صحيحًا ≥ 0",IF(AND($F929="Baseline",$H929&lt;&gt;""),"⚠ Baseline: Start لا يدخل في التقدم",IF($K929="No Start (attainment only)","ℹ تحصيل فقط (بدون Start)",IF($K929="U – needs rule","ℹ حالة U تحتاج قاعدة معتمدة",IF($K929="No result","ℹ بدون نتيجة (يُستبعد من التحصيل)","OK")))))))))))</f>
        <v/>
      </c>
      <c r="M929" s="64" t="n">
        <f aca="false">IF($A929="",0,IFERROR(MATCH($A929,Classes!$A$6:$A$420,0),0))</f>
        <v>0</v>
      </c>
      <c r="N929" s="64" t="n">
        <f aca="false">IF($H929="",0,IFERROR(MATCH($H929,GradeList,0),0))</f>
        <v>0</v>
      </c>
      <c r="O929" s="64" t="n">
        <f aca="false">IF(OR($I929="",$I929="NR"),0,IFERROR(MATCH($I929,GradeList,0),0))</f>
        <v>0</v>
      </c>
      <c r="P929" s="64" t="n">
        <f aca="false">IF(AND($M929&gt;0,ISNUMBER(MATCH($F929,Lists!$A$2:$A$5,0)),ISNUMBER(MATCH($G929,Lists!$B$2:$B$7,0)),OR($H929="",$N929&gt;0),OR($I929="",$I929="NR",$O929&gt;0),IF(ISNUMBER($J929),AND($J929&gt;=0,$J929=INT($J929)),FALSE())),$J929,0)</f>
        <v>0</v>
      </c>
      <c r="Q929" s="64" t="n">
        <f aca="false">IF(AND($P929&gt;0,$O929&gt;0),$P929,0)</f>
        <v>0</v>
      </c>
      <c r="R929" s="64" t="n">
        <f aca="false">IF(AND($Q929&gt;0,$O929&gt;=AtRank),$Q929,0)</f>
        <v>0</v>
      </c>
      <c r="S929" s="64" t="n">
        <f aca="false">IF(AND($Q929&gt;0,$O929&gt;=AboveRank),$Q929,0)</f>
        <v>0</v>
      </c>
      <c r="T929" s="64" t="n">
        <f aca="false">IF($K929="Less",$P929,0)</f>
        <v>0</v>
      </c>
      <c r="U929" s="64" t="n">
        <f aca="false">IF($K929="Expected",$P929,0)</f>
        <v>0</v>
      </c>
      <c r="V929" s="64" t="n">
        <f aca="false">IF($K929="Better",$P929,0)</f>
        <v>0</v>
      </c>
      <c r="W929" s="64" t="n">
        <f aca="false">IF($K929="U – needs rule",$P929,0)</f>
        <v>0</v>
      </c>
      <c r="X929" s="64" t="n">
        <f aca="false">IF($K929="No Start (attainment only)",$P929,0)</f>
        <v>0</v>
      </c>
    </row>
    <row r="930" customFormat="false" ht="15" hidden="false" customHeight="false" outlineLevel="0" collapsed="false">
      <c r="A930" s="60"/>
      <c r="B930" s="61" t="str">
        <f aca="false">IF($M930=0,"",INDEX(Classes!$E$6:$E$420,$M930))</f>
        <v/>
      </c>
      <c r="C930" s="62" t="str">
        <f aca="false">IF($M930=0,"",INDEX(Classes!$H$6:$H$420,$M930))</f>
        <v/>
      </c>
      <c r="D930" s="61" t="str">
        <f aca="false">IF($M930=0,"",INDEX(Classes!$B$6:$B$420,$M930))</f>
        <v/>
      </c>
      <c r="E930" s="61" t="str">
        <f aca="false">IF($M930=0,"",INDEX(Classes!$C$6:$C$420,$M930))</f>
        <v/>
      </c>
      <c r="F930" s="63"/>
      <c r="G930" s="63"/>
      <c r="H930" s="60"/>
      <c r="I930" s="60"/>
      <c r="J930" s="63"/>
      <c r="K930" s="61" t="str">
        <f aca="false">IF($P930=0,"",IF($F930="Baseline","— Baseline",IF($O930=0,"No result",IF($N930=0,"No Start (attainment only)",IF(OR($N930=1,$O930=1),"U – needs rule",INDEX(MxBody,MATCH($I930,MxCurr,0),MATCH($H930,MxStart,0)))))))</f>
        <v/>
      </c>
      <c r="L930" s="62" t="str">
        <f aca="false">IF(COUNTA($A930,$F930,$G930,$H930,$I930,$J930)=0,"",IF($M930=0,"✖ كود الصف غير موجود",IF(ISNA(MATCH($F930,Lists!$A$2:$A$5,0)),"✖ الفترة غير صحيحة",IF(ISNA(MATCH($G930,Lists!$B$2:$B$7,0)),"✖ المجموعة غير صحيحة",IF(NOT(OR($H930="",$N930&gt;0)),"✖ Start غير صحيح",IF(NOT(OR($I930="",$I930="NR",$O930&gt;0)),"✖ Current غير صحيح",IF(NOT(IF(ISNUMBER($J930),AND($J930&gt;=0,$J930=INT($J930)),FALSE())),"✖ العدد يجب أن يكون صحيحًا ≥ 0",IF(AND($F930="Baseline",$H930&lt;&gt;""),"⚠ Baseline: Start لا يدخل في التقدم",IF($K930="No Start (attainment only)","ℹ تحصيل فقط (بدون Start)",IF($K930="U – needs rule","ℹ حالة U تحتاج قاعدة معتمدة",IF($K930="No result","ℹ بدون نتيجة (يُستبعد من التحصيل)","OK")))))))))))</f>
        <v/>
      </c>
      <c r="M930" s="64" t="n">
        <f aca="false">IF($A930="",0,IFERROR(MATCH($A930,Classes!$A$6:$A$420,0),0))</f>
        <v>0</v>
      </c>
      <c r="N930" s="64" t="n">
        <f aca="false">IF($H930="",0,IFERROR(MATCH($H930,GradeList,0),0))</f>
        <v>0</v>
      </c>
      <c r="O930" s="64" t="n">
        <f aca="false">IF(OR($I930="",$I930="NR"),0,IFERROR(MATCH($I930,GradeList,0),0))</f>
        <v>0</v>
      </c>
      <c r="P930" s="64" t="n">
        <f aca="false">IF(AND($M930&gt;0,ISNUMBER(MATCH($F930,Lists!$A$2:$A$5,0)),ISNUMBER(MATCH($G930,Lists!$B$2:$B$7,0)),OR($H930="",$N930&gt;0),OR($I930="",$I930="NR",$O930&gt;0),IF(ISNUMBER($J930),AND($J930&gt;=0,$J930=INT($J930)),FALSE())),$J930,0)</f>
        <v>0</v>
      </c>
      <c r="Q930" s="64" t="n">
        <f aca="false">IF(AND($P930&gt;0,$O930&gt;0),$P930,0)</f>
        <v>0</v>
      </c>
      <c r="R930" s="64" t="n">
        <f aca="false">IF(AND($Q930&gt;0,$O930&gt;=AtRank),$Q930,0)</f>
        <v>0</v>
      </c>
      <c r="S930" s="64" t="n">
        <f aca="false">IF(AND($Q930&gt;0,$O930&gt;=AboveRank),$Q930,0)</f>
        <v>0</v>
      </c>
      <c r="T930" s="64" t="n">
        <f aca="false">IF($K930="Less",$P930,0)</f>
        <v>0</v>
      </c>
      <c r="U930" s="64" t="n">
        <f aca="false">IF($K930="Expected",$P930,0)</f>
        <v>0</v>
      </c>
      <c r="V930" s="64" t="n">
        <f aca="false">IF($K930="Better",$P930,0)</f>
        <v>0</v>
      </c>
      <c r="W930" s="64" t="n">
        <f aca="false">IF($K930="U – needs rule",$P930,0)</f>
        <v>0</v>
      </c>
      <c r="X930" s="64" t="n">
        <f aca="false">IF($K930="No Start (attainment only)",$P930,0)</f>
        <v>0</v>
      </c>
    </row>
    <row r="931" customFormat="false" ht="15" hidden="false" customHeight="false" outlineLevel="0" collapsed="false">
      <c r="A931" s="60"/>
      <c r="B931" s="61" t="str">
        <f aca="false">IF($M931=0,"",INDEX(Classes!$E$6:$E$420,$M931))</f>
        <v/>
      </c>
      <c r="C931" s="62" t="str">
        <f aca="false">IF($M931=0,"",INDEX(Classes!$H$6:$H$420,$M931))</f>
        <v/>
      </c>
      <c r="D931" s="61" t="str">
        <f aca="false">IF($M931=0,"",INDEX(Classes!$B$6:$B$420,$M931))</f>
        <v/>
      </c>
      <c r="E931" s="61" t="str">
        <f aca="false">IF($M931=0,"",INDEX(Classes!$C$6:$C$420,$M931))</f>
        <v/>
      </c>
      <c r="F931" s="63"/>
      <c r="G931" s="63"/>
      <c r="H931" s="60"/>
      <c r="I931" s="60"/>
      <c r="J931" s="63"/>
      <c r="K931" s="61" t="str">
        <f aca="false">IF($P931=0,"",IF($F931="Baseline","— Baseline",IF($O931=0,"No result",IF($N931=0,"No Start (attainment only)",IF(OR($N931=1,$O931=1),"U – needs rule",INDEX(MxBody,MATCH($I931,MxCurr,0),MATCH($H931,MxStart,0)))))))</f>
        <v/>
      </c>
      <c r="L931" s="62" t="str">
        <f aca="false">IF(COUNTA($A931,$F931,$G931,$H931,$I931,$J931)=0,"",IF($M931=0,"✖ كود الصف غير موجود",IF(ISNA(MATCH($F931,Lists!$A$2:$A$5,0)),"✖ الفترة غير صحيحة",IF(ISNA(MATCH($G931,Lists!$B$2:$B$7,0)),"✖ المجموعة غير صحيحة",IF(NOT(OR($H931="",$N931&gt;0)),"✖ Start غير صحيح",IF(NOT(OR($I931="",$I931="NR",$O931&gt;0)),"✖ Current غير صحيح",IF(NOT(IF(ISNUMBER($J931),AND($J931&gt;=0,$J931=INT($J931)),FALSE())),"✖ العدد يجب أن يكون صحيحًا ≥ 0",IF(AND($F931="Baseline",$H931&lt;&gt;""),"⚠ Baseline: Start لا يدخل في التقدم",IF($K931="No Start (attainment only)","ℹ تحصيل فقط (بدون Start)",IF($K931="U – needs rule","ℹ حالة U تحتاج قاعدة معتمدة",IF($K931="No result","ℹ بدون نتيجة (يُستبعد من التحصيل)","OK")))))))))))</f>
        <v/>
      </c>
      <c r="M931" s="64" t="n">
        <f aca="false">IF($A931="",0,IFERROR(MATCH($A931,Classes!$A$6:$A$420,0),0))</f>
        <v>0</v>
      </c>
      <c r="N931" s="64" t="n">
        <f aca="false">IF($H931="",0,IFERROR(MATCH($H931,GradeList,0),0))</f>
        <v>0</v>
      </c>
      <c r="O931" s="64" t="n">
        <f aca="false">IF(OR($I931="",$I931="NR"),0,IFERROR(MATCH($I931,GradeList,0),0))</f>
        <v>0</v>
      </c>
      <c r="P931" s="64" t="n">
        <f aca="false">IF(AND($M931&gt;0,ISNUMBER(MATCH($F931,Lists!$A$2:$A$5,0)),ISNUMBER(MATCH($G931,Lists!$B$2:$B$7,0)),OR($H931="",$N931&gt;0),OR($I931="",$I931="NR",$O931&gt;0),IF(ISNUMBER($J931),AND($J931&gt;=0,$J931=INT($J931)),FALSE())),$J931,0)</f>
        <v>0</v>
      </c>
      <c r="Q931" s="64" t="n">
        <f aca="false">IF(AND($P931&gt;0,$O931&gt;0),$P931,0)</f>
        <v>0</v>
      </c>
      <c r="R931" s="64" t="n">
        <f aca="false">IF(AND($Q931&gt;0,$O931&gt;=AtRank),$Q931,0)</f>
        <v>0</v>
      </c>
      <c r="S931" s="64" t="n">
        <f aca="false">IF(AND($Q931&gt;0,$O931&gt;=AboveRank),$Q931,0)</f>
        <v>0</v>
      </c>
      <c r="T931" s="64" t="n">
        <f aca="false">IF($K931="Less",$P931,0)</f>
        <v>0</v>
      </c>
      <c r="U931" s="64" t="n">
        <f aca="false">IF($K931="Expected",$P931,0)</f>
        <v>0</v>
      </c>
      <c r="V931" s="64" t="n">
        <f aca="false">IF($K931="Better",$P931,0)</f>
        <v>0</v>
      </c>
      <c r="W931" s="64" t="n">
        <f aca="false">IF($K931="U – needs rule",$P931,0)</f>
        <v>0</v>
      </c>
      <c r="X931" s="64" t="n">
        <f aca="false">IF($K931="No Start (attainment only)",$P931,0)</f>
        <v>0</v>
      </c>
    </row>
    <row r="932" customFormat="false" ht="15" hidden="false" customHeight="false" outlineLevel="0" collapsed="false">
      <c r="A932" s="60"/>
      <c r="B932" s="61" t="str">
        <f aca="false">IF($M932=0,"",INDEX(Classes!$E$6:$E$420,$M932))</f>
        <v/>
      </c>
      <c r="C932" s="62" t="str">
        <f aca="false">IF($M932=0,"",INDEX(Classes!$H$6:$H$420,$M932))</f>
        <v/>
      </c>
      <c r="D932" s="61" t="str">
        <f aca="false">IF($M932=0,"",INDEX(Classes!$B$6:$B$420,$M932))</f>
        <v/>
      </c>
      <c r="E932" s="61" t="str">
        <f aca="false">IF($M932=0,"",INDEX(Classes!$C$6:$C$420,$M932))</f>
        <v/>
      </c>
      <c r="F932" s="63"/>
      <c r="G932" s="63"/>
      <c r="H932" s="60"/>
      <c r="I932" s="60"/>
      <c r="J932" s="63"/>
      <c r="K932" s="61" t="str">
        <f aca="false">IF($P932=0,"",IF($F932="Baseline","— Baseline",IF($O932=0,"No result",IF($N932=0,"No Start (attainment only)",IF(OR($N932=1,$O932=1),"U – needs rule",INDEX(MxBody,MATCH($I932,MxCurr,0),MATCH($H932,MxStart,0)))))))</f>
        <v/>
      </c>
      <c r="L932" s="62" t="str">
        <f aca="false">IF(COUNTA($A932,$F932,$G932,$H932,$I932,$J932)=0,"",IF($M932=0,"✖ كود الصف غير موجود",IF(ISNA(MATCH($F932,Lists!$A$2:$A$5,0)),"✖ الفترة غير صحيحة",IF(ISNA(MATCH($G932,Lists!$B$2:$B$7,0)),"✖ المجموعة غير صحيحة",IF(NOT(OR($H932="",$N932&gt;0)),"✖ Start غير صحيح",IF(NOT(OR($I932="",$I932="NR",$O932&gt;0)),"✖ Current غير صحيح",IF(NOT(IF(ISNUMBER($J932),AND($J932&gt;=0,$J932=INT($J932)),FALSE())),"✖ العدد يجب أن يكون صحيحًا ≥ 0",IF(AND($F932="Baseline",$H932&lt;&gt;""),"⚠ Baseline: Start لا يدخل في التقدم",IF($K932="No Start (attainment only)","ℹ تحصيل فقط (بدون Start)",IF($K932="U – needs rule","ℹ حالة U تحتاج قاعدة معتمدة",IF($K932="No result","ℹ بدون نتيجة (يُستبعد من التحصيل)","OK")))))))))))</f>
        <v/>
      </c>
      <c r="M932" s="64" t="n">
        <f aca="false">IF($A932="",0,IFERROR(MATCH($A932,Classes!$A$6:$A$420,0),0))</f>
        <v>0</v>
      </c>
      <c r="N932" s="64" t="n">
        <f aca="false">IF($H932="",0,IFERROR(MATCH($H932,GradeList,0),0))</f>
        <v>0</v>
      </c>
      <c r="O932" s="64" t="n">
        <f aca="false">IF(OR($I932="",$I932="NR"),0,IFERROR(MATCH($I932,GradeList,0),0))</f>
        <v>0</v>
      </c>
      <c r="P932" s="64" t="n">
        <f aca="false">IF(AND($M932&gt;0,ISNUMBER(MATCH($F932,Lists!$A$2:$A$5,0)),ISNUMBER(MATCH($G932,Lists!$B$2:$B$7,0)),OR($H932="",$N932&gt;0),OR($I932="",$I932="NR",$O932&gt;0),IF(ISNUMBER($J932),AND($J932&gt;=0,$J932=INT($J932)),FALSE())),$J932,0)</f>
        <v>0</v>
      </c>
      <c r="Q932" s="64" t="n">
        <f aca="false">IF(AND($P932&gt;0,$O932&gt;0),$P932,0)</f>
        <v>0</v>
      </c>
      <c r="R932" s="64" t="n">
        <f aca="false">IF(AND($Q932&gt;0,$O932&gt;=AtRank),$Q932,0)</f>
        <v>0</v>
      </c>
      <c r="S932" s="64" t="n">
        <f aca="false">IF(AND($Q932&gt;0,$O932&gt;=AboveRank),$Q932,0)</f>
        <v>0</v>
      </c>
      <c r="T932" s="64" t="n">
        <f aca="false">IF($K932="Less",$P932,0)</f>
        <v>0</v>
      </c>
      <c r="U932" s="64" t="n">
        <f aca="false">IF($K932="Expected",$P932,0)</f>
        <v>0</v>
      </c>
      <c r="V932" s="64" t="n">
        <f aca="false">IF($K932="Better",$P932,0)</f>
        <v>0</v>
      </c>
      <c r="W932" s="64" t="n">
        <f aca="false">IF($K932="U – needs rule",$P932,0)</f>
        <v>0</v>
      </c>
      <c r="X932" s="64" t="n">
        <f aca="false">IF($K932="No Start (attainment only)",$P932,0)</f>
        <v>0</v>
      </c>
    </row>
    <row r="933" customFormat="false" ht="15" hidden="false" customHeight="false" outlineLevel="0" collapsed="false">
      <c r="A933" s="60"/>
      <c r="B933" s="61" t="str">
        <f aca="false">IF($M933=0,"",INDEX(Classes!$E$6:$E$420,$M933))</f>
        <v/>
      </c>
      <c r="C933" s="62" t="str">
        <f aca="false">IF($M933=0,"",INDEX(Classes!$H$6:$H$420,$M933))</f>
        <v/>
      </c>
      <c r="D933" s="61" t="str">
        <f aca="false">IF($M933=0,"",INDEX(Classes!$B$6:$B$420,$M933))</f>
        <v/>
      </c>
      <c r="E933" s="61" t="str">
        <f aca="false">IF($M933=0,"",INDEX(Classes!$C$6:$C$420,$M933))</f>
        <v/>
      </c>
      <c r="F933" s="63"/>
      <c r="G933" s="63"/>
      <c r="H933" s="60"/>
      <c r="I933" s="60"/>
      <c r="J933" s="63"/>
      <c r="K933" s="61" t="str">
        <f aca="false">IF($P933=0,"",IF($F933="Baseline","— Baseline",IF($O933=0,"No result",IF($N933=0,"No Start (attainment only)",IF(OR($N933=1,$O933=1),"U – needs rule",INDEX(MxBody,MATCH($I933,MxCurr,0),MATCH($H933,MxStart,0)))))))</f>
        <v/>
      </c>
      <c r="L933" s="62" t="str">
        <f aca="false">IF(COUNTA($A933,$F933,$G933,$H933,$I933,$J933)=0,"",IF($M933=0,"✖ كود الصف غير موجود",IF(ISNA(MATCH($F933,Lists!$A$2:$A$5,0)),"✖ الفترة غير صحيحة",IF(ISNA(MATCH($G933,Lists!$B$2:$B$7,0)),"✖ المجموعة غير صحيحة",IF(NOT(OR($H933="",$N933&gt;0)),"✖ Start غير صحيح",IF(NOT(OR($I933="",$I933="NR",$O933&gt;0)),"✖ Current غير صحيح",IF(NOT(IF(ISNUMBER($J933),AND($J933&gt;=0,$J933=INT($J933)),FALSE())),"✖ العدد يجب أن يكون صحيحًا ≥ 0",IF(AND($F933="Baseline",$H933&lt;&gt;""),"⚠ Baseline: Start لا يدخل في التقدم",IF($K933="No Start (attainment only)","ℹ تحصيل فقط (بدون Start)",IF($K933="U – needs rule","ℹ حالة U تحتاج قاعدة معتمدة",IF($K933="No result","ℹ بدون نتيجة (يُستبعد من التحصيل)","OK")))))))))))</f>
        <v/>
      </c>
      <c r="M933" s="64" t="n">
        <f aca="false">IF($A933="",0,IFERROR(MATCH($A933,Classes!$A$6:$A$420,0),0))</f>
        <v>0</v>
      </c>
      <c r="N933" s="64" t="n">
        <f aca="false">IF($H933="",0,IFERROR(MATCH($H933,GradeList,0),0))</f>
        <v>0</v>
      </c>
      <c r="O933" s="64" t="n">
        <f aca="false">IF(OR($I933="",$I933="NR"),0,IFERROR(MATCH($I933,GradeList,0),0))</f>
        <v>0</v>
      </c>
      <c r="P933" s="64" t="n">
        <f aca="false">IF(AND($M933&gt;0,ISNUMBER(MATCH($F933,Lists!$A$2:$A$5,0)),ISNUMBER(MATCH($G933,Lists!$B$2:$B$7,0)),OR($H933="",$N933&gt;0),OR($I933="",$I933="NR",$O933&gt;0),IF(ISNUMBER($J933),AND($J933&gt;=0,$J933=INT($J933)),FALSE())),$J933,0)</f>
        <v>0</v>
      </c>
      <c r="Q933" s="64" t="n">
        <f aca="false">IF(AND($P933&gt;0,$O933&gt;0),$P933,0)</f>
        <v>0</v>
      </c>
      <c r="R933" s="64" t="n">
        <f aca="false">IF(AND($Q933&gt;0,$O933&gt;=AtRank),$Q933,0)</f>
        <v>0</v>
      </c>
      <c r="S933" s="64" t="n">
        <f aca="false">IF(AND($Q933&gt;0,$O933&gt;=AboveRank),$Q933,0)</f>
        <v>0</v>
      </c>
      <c r="T933" s="64" t="n">
        <f aca="false">IF($K933="Less",$P933,0)</f>
        <v>0</v>
      </c>
      <c r="U933" s="64" t="n">
        <f aca="false">IF($K933="Expected",$P933,0)</f>
        <v>0</v>
      </c>
      <c r="V933" s="64" t="n">
        <f aca="false">IF($K933="Better",$P933,0)</f>
        <v>0</v>
      </c>
      <c r="W933" s="64" t="n">
        <f aca="false">IF($K933="U – needs rule",$P933,0)</f>
        <v>0</v>
      </c>
      <c r="X933" s="64" t="n">
        <f aca="false">IF($K933="No Start (attainment only)",$P933,0)</f>
        <v>0</v>
      </c>
    </row>
    <row r="934" customFormat="false" ht="15" hidden="false" customHeight="false" outlineLevel="0" collapsed="false">
      <c r="A934" s="60"/>
      <c r="B934" s="61" t="str">
        <f aca="false">IF($M934=0,"",INDEX(Classes!$E$6:$E$420,$M934))</f>
        <v/>
      </c>
      <c r="C934" s="62" t="str">
        <f aca="false">IF($M934=0,"",INDEX(Classes!$H$6:$H$420,$M934))</f>
        <v/>
      </c>
      <c r="D934" s="61" t="str">
        <f aca="false">IF($M934=0,"",INDEX(Classes!$B$6:$B$420,$M934))</f>
        <v/>
      </c>
      <c r="E934" s="61" t="str">
        <f aca="false">IF($M934=0,"",INDEX(Classes!$C$6:$C$420,$M934))</f>
        <v/>
      </c>
      <c r="F934" s="63"/>
      <c r="G934" s="63"/>
      <c r="H934" s="60"/>
      <c r="I934" s="60"/>
      <c r="J934" s="63"/>
      <c r="K934" s="61" t="str">
        <f aca="false">IF($P934=0,"",IF($F934="Baseline","— Baseline",IF($O934=0,"No result",IF($N934=0,"No Start (attainment only)",IF(OR($N934=1,$O934=1),"U – needs rule",INDEX(MxBody,MATCH($I934,MxCurr,0),MATCH($H934,MxStart,0)))))))</f>
        <v/>
      </c>
      <c r="L934" s="62" t="str">
        <f aca="false">IF(COUNTA($A934,$F934,$G934,$H934,$I934,$J934)=0,"",IF($M934=0,"✖ كود الصف غير موجود",IF(ISNA(MATCH($F934,Lists!$A$2:$A$5,0)),"✖ الفترة غير صحيحة",IF(ISNA(MATCH($G934,Lists!$B$2:$B$7,0)),"✖ المجموعة غير صحيحة",IF(NOT(OR($H934="",$N934&gt;0)),"✖ Start غير صحيح",IF(NOT(OR($I934="",$I934="NR",$O934&gt;0)),"✖ Current غير صحيح",IF(NOT(IF(ISNUMBER($J934),AND($J934&gt;=0,$J934=INT($J934)),FALSE())),"✖ العدد يجب أن يكون صحيحًا ≥ 0",IF(AND($F934="Baseline",$H934&lt;&gt;""),"⚠ Baseline: Start لا يدخل في التقدم",IF($K934="No Start (attainment only)","ℹ تحصيل فقط (بدون Start)",IF($K934="U – needs rule","ℹ حالة U تحتاج قاعدة معتمدة",IF($K934="No result","ℹ بدون نتيجة (يُستبعد من التحصيل)","OK")))))))))))</f>
        <v/>
      </c>
      <c r="M934" s="64" t="n">
        <f aca="false">IF($A934="",0,IFERROR(MATCH($A934,Classes!$A$6:$A$420,0),0))</f>
        <v>0</v>
      </c>
      <c r="N934" s="64" t="n">
        <f aca="false">IF($H934="",0,IFERROR(MATCH($H934,GradeList,0),0))</f>
        <v>0</v>
      </c>
      <c r="O934" s="64" t="n">
        <f aca="false">IF(OR($I934="",$I934="NR"),0,IFERROR(MATCH($I934,GradeList,0),0))</f>
        <v>0</v>
      </c>
      <c r="P934" s="64" t="n">
        <f aca="false">IF(AND($M934&gt;0,ISNUMBER(MATCH($F934,Lists!$A$2:$A$5,0)),ISNUMBER(MATCH($G934,Lists!$B$2:$B$7,0)),OR($H934="",$N934&gt;0),OR($I934="",$I934="NR",$O934&gt;0),IF(ISNUMBER($J934),AND($J934&gt;=0,$J934=INT($J934)),FALSE())),$J934,0)</f>
        <v>0</v>
      </c>
      <c r="Q934" s="64" t="n">
        <f aca="false">IF(AND($P934&gt;0,$O934&gt;0),$P934,0)</f>
        <v>0</v>
      </c>
      <c r="R934" s="64" t="n">
        <f aca="false">IF(AND($Q934&gt;0,$O934&gt;=AtRank),$Q934,0)</f>
        <v>0</v>
      </c>
      <c r="S934" s="64" t="n">
        <f aca="false">IF(AND($Q934&gt;0,$O934&gt;=AboveRank),$Q934,0)</f>
        <v>0</v>
      </c>
      <c r="T934" s="64" t="n">
        <f aca="false">IF($K934="Less",$P934,0)</f>
        <v>0</v>
      </c>
      <c r="U934" s="64" t="n">
        <f aca="false">IF($K934="Expected",$P934,0)</f>
        <v>0</v>
      </c>
      <c r="V934" s="64" t="n">
        <f aca="false">IF($K934="Better",$P934,0)</f>
        <v>0</v>
      </c>
      <c r="W934" s="64" t="n">
        <f aca="false">IF($K934="U – needs rule",$P934,0)</f>
        <v>0</v>
      </c>
      <c r="X934" s="64" t="n">
        <f aca="false">IF($K934="No Start (attainment only)",$P934,0)</f>
        <v>0</v>
      </c>
    </row>
    <row r="935" customFormat="false" ht="15" hidden="false" customHeight="false" outlineLevel="0" collapsed="false">
      <c r="A935" s="60"/>
      <c r="B935" s="61" t="str">
        <f aca="false">IF($M935=0,"",INDEX(Classes!$E$6:$E$420,$M935))</f>
        <v/>
      </c>
      <c r="C935" s="62" t="str">
        <f aca="false">IF($M935=0,"",INDEX(Classes!$H$6:$H$420,$M935))</f>
        <v/>
      </c>
      <c r="D935" s="61" t="str">
        <f aca="false">IF($M935=0,"",INDEX(Classes!$B$6:$B$420,$M935))</f>
        <v/>
      </c>
      <c r="E935" s="61" t="str">
        <f aca="false">IF($M935=0,"",INDEX(Classes!$C$6:$C$420,$M935))</f>
        <v/>
      </c>
      <c r="F935" s="63"/>
      <c r="G935" s="63"/>
      <c r="H935" s="60"/>
      <c r="I935" s="60"/>
      <c r="J935" s="63"/>
      <c r="K935" s="61" t="str">
        <f aca="false">IF($P935=0,"",IF($F935="Baseline","— Baseline",IF($O935=0,"No result",IF($N935=0,"No Start (attainment only)",IF(OR($N935=1,$O935=1),"U – needs rule",INDEX(MxBody,MATCH($I935,MxCurr,0),MATCH($H935,MxStart,0)))))))</f>
        <v/>
      </c>
      <c r="L935" s="62" t="str">
        <f aca="false">IF(COUNTA($A935,$F935,$G935,$H935,$I935,$J935)=0,"",IF($M935=0,"✖ كود الصف غير موجود",IF(ISNA(MATCH($F935,Lists!$A$2:$A$5,0)),"✖ الفترة غير صحيحة",IF(ISNA(MATCH($G935,Lists!$B$2:$B$7,0)),"✖ المجموعة غير صحيحة",IF(NOT(OR($H935="",$N935&gt;0)),"✖ Start غير صحيح",IF(NOT(OR($I935="",$I935="NR",$O935&gt;0)),"✖ Current غير صحيح",IF(NOT(IF(ISNUMBER($J935),AND($J935&gt;=0,$J935=INT($J935)),FALSE())),"✖ العدد يجب أن يكون صحيحًا ≥ 0",IF(AND($F935="Baseline",$H935&lt;&gt;""),"⚠ Baseline: Start لا يدخل في التقدم",IF($K935="No Start (attainment only)","ℹ تحصيل فقط (بدون Start)",IF($K935="U – needs rule","ℹ حالة U تحتاج قاعدة معتمدة",IF($K935="No result","ℹ بدون نتيجة (يُستبعد من التحصيل)","OK")))))))))))</f>
        <v/>
      </c>
      <c r="M935" s="64" t="n">
        <f aca="false">IF($A935="",0,IFERROR(MATCH($A935,Classes!$A$6:$A$420,0),0))</f>
        <v>0</v>
      </c>
      <c r="N935" s="64" t="n">
        <f aca="false">IF($H935="",0,IFERROR(MATCH($H935,GradeList,0),0))</f>
        <v>0</v>
      </c>
      <c r="O935" s="64" t="n">
        <f aca="false">IF(OR($I935="",$I935="NR"),0,IFERROR(MATCH($I935,GradeList,0),0))</f>
        <v>0</v>
      </c>
      <c r="P935" s="64" t="n">
        <f aca="false">IF(AND($M935&gt;0,ISNUMBER(MATCH($F935,Lists!$A$2:$A$5,0)),ISNUMBER(MATCH($G935,Lists!$B$2:$B$7,0)),OR($H935="",$N935&gt;0),OR($I935="",$I935="NR",$O935&gt;0),IF(ISNUMBER($J935),AND($J935&gt;=0,$J935=INT($J935)),FALSE())),$J935,0)</f>
        <v>0</v>
      </c>
      <c r="Q935" s="64" t="n">
        <f aca="false">IF(AND($P935&gt;0,$O935&gt;0),$P935,0)</f>
        <v>0</v>
      </c>
      <c r="R935" s="64" t="n">
        <f aca="false">IF(AND($Q935&gt;0,$O935&gt;=AtRank),$Q935,0)</f>
        <v>0</v>
      </c>
      <c r="S935" s="64" t="n">
        <f aca="false">IF(AND($Q935&gt;0,$O935&gt;=AboveRank),$Q935,0)</f>
        <v>0</v>
      </c>
      <c r="T935" s="64" t="n">
        <f aca="false">IF($K935="Less",$P935,0)</f>
        <v>0</v>
      </c>
      <c r="U935" s="64" t="n">
        <f aca="false">IF($K935="Expected",$P935,0)</f>
        <v>0</v>
      </c>
      <c r="V935" s="64" t="n">
        <f aca="false">IF($K935="Better",$P935,0)</f>
        <v>0</v>
      </c>
      <c r="W935" s="64" t="n">
        <f aca="false">IF($K935="U – needs rule",$P935,0)</f>
        <v>0</v>
      </c>
      <c r="X935" s="64" t="n">
        <f aca="false">IF($K935="No Start (attainment only)",$P935,0)</f>
        <v>0</v>
      </c>
    </row>
    <row r="936" customFormat="false" ht="15" hidden="false" customHeight="false" outlineLevel="0" collapsed="false">
      <c r="A936" s="60"/>
      <c r="B936" s="61" t="str">
        <f aca="false">IF($M936=0,"",INDEX(Classes!$E$6:$E$420,$M936))</f>
        <v/>
      </c>
      <c r="C936" s="62" t="str">
        <f aca="false">IF($M936=0,"",INDEX(Classes!$H$6:$H$420,$M936))</f>
        <v/>
      </c>
      <c r="D936" s="61" t="str">
        <f aca="false">IF($M936=0,"",INDEX(Classes!$B$6:$B$420,$M936))</f>
        <v/>
      </c>
      <c r="E936" s="61" t="str">
        <f aca="false">IF($M936=0,"",INDEX(Classes!$C$6:$C$420,$M936))</f>
        <v/>
      </c>
      <c r="F936" s="63"/>
      <c r="G936" s="63"/>
      <c r="H936" s="60"/>
      <c r="I936" s="60"/>
      <c r="J936" s="63"/>
      <c r="K936" s="61" t="str">
        <f aca="false">IF($P936=0,"",IF($F936="Baseline","— Baseline",IF($O936=0,"No result",IF($N936=0,"No Start (attainment only)",IF(OR($N936=1,$O936=1),"U – needs rule",INDEX(MxBody,MATCH($I936,MxCurr,0),MATCH($H936,MxStart,0)))))))</f>
        <v/>
      </c>
      <c r="L936" s="62" t="str">
        <f aca="false">IF(COUNTA($A936,$F936,$G936,$H936,$I936,$J936)=0,"",IF($M936=0,"✖ كود الصف غير موجود",IF(ISNA(MATCH($F936,Lists!$A$2:$A$5,0)),"✖ الفترة غير صحيحة",IF(ISNA(MATCH($G936,Lists!$B$2:$B$7,0)),"✖ المجموعة غير صحيحة",IF(NOT(OR($H936="",$N936&gt;0)),"✖ Start غير صحيح",IF(NOT(OR($I936="",$I936="NR",$O936&gt;0)),"✖ Current غير صحيح",IF(NOT(IF(ISNUMBER($J936),AND($J936&gt;=0,$J936=INT($J936)),FALSE())),"✖ العدد يجب أن يكون صحيحًا ≥ 0",IF(AND($F936="Baseline",$H936&lt;&gt;""),"⚠ Baseline: Start لا يدخل في التقدم",IF($K936="No Start (attainment only)","ℹ تحصيل فقط (بدون Start)",IF($K936="U – needs rule","ℹ حالة U تحتاج قاعدة معتمدة",IF($K936="No result","ℹ بدون نتيجة (يُستبعد من التحصيل)","OK")))))))))))</f>
        <v/>
      </c>
      <c r="M936" s="64" t="n">
        <f aca="false">IF($A936="",0,IFERROR(MATCH($A936,Classes!$A$6:$A$420,0),0))</f>
        <v>0</v>
      </c>
      <c r="N936" s="64" t="n">
        <f aca="false">IF($H936="",0,IFERROR(MATCH($H936,GradeList,0),0))</f>
        <v>0</v>
      </c>
      <c r="O936" s="64" t="n">
        <f aca="false">IF(OR($I936="",$I936="NR"),0,IFERROR(MATCH($I936,GradeList,0),0))</f>
        <v>0</v>
      </c>
      <c r="P936" s="64" t="n">
        <f aca="false">IF(AND($M936&gt;0,ISNUMBER(MATCH($F936,Lists!$A$2:$A$5,0)),ISNUMBER(MATCH($G936,Lists!$B$2:$B$7,0)),OR($H936="",$N936&gt;0),OR($I936="",$I936="NR",$O936&gt;0),IF(ISNUMBER($J936),AND($J936&gt;=0,$J936=INT($J936)),FALSE())),$J936,0)</f>
        <v>0</v>
      </c>
      <c r="Q936" s="64" t="n">
        <f aca="false">IF(AND($P936&gt;0,$O936&gt;0),$P936,0)</f>
        <v>0</v>
      </c>
      <c r="R936" s="64" t="n">
        <f aca="false">IF(AND($Q936&gt;0,$O936&gt;=AtRank),$Q936,0)</f>
        <v>0</v>
      </c>
      <c r="S936" s="64" t="n">
        <f aca="false">IF(AND($Q936&gt;0,$O936&gt;=AboveRank),$Q936,0)</f>
        <v>0</v>
      </c>
      <c r="T936" s="64" t="n">
        <f aca="false">IF($K936="Less",$P936,0)</f>
        <v>0</v>
      </c>
      <c r="U936" s="64" t="n">
        <f aca="false">IF($K936="Expected",$P936,0)</f>
        <v>0</v>
      </c>
      <c r="V936" s="64" t="n">
        <f aca="false">IF($K936="Better",$P936,0)</f>
        <v>0</v>
      </c>
      <c r="W936" s="64" t="n">
        <f aca="false">IF($K936="U – needs rule",$P936,0)</f>
        <v>0</v>
      </c>
      <c r="X936" s="64" t="n">
        <f aca="false">IF($K936="No Start (attainment only)",$P936,0)</f>
        <v>0</v>
      </c>
    </row>
    <row r="937" customFormat="false" ht="15" hidden="false" customHeight="false" outlineLevel="0" collapsed="false">
      <c r="A937" s="60"/>
      <c r="B937" s="61" t="str">
        <f aca="false">IF($M937=0,"",INDEX(Classes!$E$6:$E$420,$M937))</f>
        <v/>
      </c>
      <c r="C937" s="62" t="str">
        <f aca="false">IF($M937=0,"",INDEX(Classes!$H$6:$H$420,$M937))</f>
        <v/>
      </c>
      <c r="D937" s="61" t="str">
        <f aca="false">IF($M937=0,"",INDEX(Classes!$B$6:$B$420,$M937))</f>
        <v/>
      </c>
      <c r="E937" s="61" t="str">
        <f aca="false">IF($M937=0,"",INDEX(Classes!$C$6:$C$420,$M937))</f>
        <v/>
      </c>
      <c r="F937" s="63"/>
      <c r="G937" s="63"/>
      <c r="H937" s="60"/>
      <c r="I937" s="60"/>
      <c r="J937" s="63"/>
      <c r="K937" s="61" t="str">
        <f aca="false">IF($P937=0,"",IF($F937="Baseline","— Baseline",IF($O937=0,"No result",IF($N937=0,"No Start (attainment only)",IF(OR($N937=1,$O937=1),"U – needs rule",INDEX(MxBody,MATCH($I937,MxCurr,0),MATCH($H937,MxStart,0)))))))</f>
        <v/>
      </c>
      <c r="L937" s="62" t="str">
        <f aca="false">IF(COUNTA($A937,$F937,$G937,$H937,$I937,$J937)=0,"",IF($M937=0,"✖ كود الصف غير موجود",IF(ISNA(MATCH($F937,Lists!$A$2:$A$5,0)),"✖ الفترة غير صحيحة",IF(ISNA(MATCH($G937,Lists!$B$2:$B$7,0)),"✖ المجموعة غير صحيحة",IF(NOT(OR($H937="",$N937&gt;0)),"✖ Start غير صحيح",IF(NOT(OR($I937="",$I937="NR",$O937&gt;0)),"✖ Current غير صحيح",IF(NOT(IF(ISNUMBER($J937),AND($J937&gt;=0,$J937=INT($J937)),FALSE())),"✖ العدد يجب أن يكون صحيحًا ≥ 0",IF(AND($F937="Baseline",$H937&lt;&gt;""),"⚠ Baseline: Start لا يدخل في التقدم",IF($K937="No Start (attainment only)","ℹ تحصيل فقط (بدون Start)",IF($K937="U – needs rule","ℹ حالة U تحتاج قاعدة معتمدة",IF($K937="No result","ℹ بدون نتيجة (يُستبعد من التحصيل)","OK")))))))))))</f>
        <v/>
      </c>
      <c r="M937" s="64" t="n">
        <f aca="false">IF($A937="",0,IFERROR(MATCH($A937,Classes!$A$6:$A$420,0),0))</f>
        <v>0</v>
      </c>
      <c r="N937" s="64" t="n">
        <f aca="false">IF($H937="",0,IFERROR(MATCH($H937,GradeList,0),0))</f>
        <v>0</v>
      </c>
      <c r="O937" s="64" t="n">
        <f aca="false">IF(OR($I937="",$I937="NR"),0,IFERROR(MATCH($I937,GradeList,0),0))</f>
        <v>0</v>
      </c>
      <c r="P937" s="64" t="n">
        <f aca="false">IF(AND($M937&gt;0,ISNUMBER(MATCH($F937,Lists!$A$2:$A$5,0)),ISNUMBER(MATCH($G937,Lists!$B$2:$B$7,0)),OR($H937="",$N937&gt;0),OR($I937="",$I937="NR",$O937&gt;0),IF(ISNUMBER($J937),AND($J937&gt;=0,$J937=INT($J937)),FALSE())),$J937,0)</f>
        <v>0</v>
      </c>
      <c r="Q937" s="64" t="n">
        <f aca="false">IF(AND($P937&gt;0,$O937&gt;0),$P937,0)</f>
        <v>0</v>
      </c>
      <c r="R937" s="64" t="n">
        <f aca="false">IF(AND($Q937&gt;0,$O937&gt;=AtRank),$Q937,0)</f>
        <v>0</v>
      </c>
      <c r="S937" s="64" t="n">
        <f aca="false">IF(AND($Q937&gt;0,$O937&gt;=AboveRank),$Q937,0)</f>
        <v>0</v>
      </c>
      <c r="T937" s="64" t="n">
        <f aca="false">IF($K937="Less",$P937,0)</f>
        <v>0</v>
      </c>
      <c r="U937" s="64" t="n">
        <f aca="false">IF($K937="Expected",$P937,0)</f>
        <v>0</v>
      </c>
      <c r="V937" s="64" t="n">
        <f aca="false">IF($K937="Better",$P937,0)</f>
        <v>0</v>
      </c>
      <c r="W937" s="64" t="n">
        <f aca="false">IF($K937="U – needs rule",$P937,0)</f>
        <v>0</v>
      </c>
      <c r="X937" s="64" t="n">
        <f aca="false">IF($K937="No Start (attainment only)",$P937,0)</f>
        <v>0</v>
      </c>
    </row>
    <row r="938" customFormat="false" ht="15" hidden="false" customHeight="false" outlineLevel="0" collapsed="false">
      <c r="A938" s="60"/>
      <c r="B938" s="61" t="str">
        <f aca="false">IF($M938=0,"",INDEX(Classes!$E$6:$E$420,$M938))</f>
        <v/>
      </c>
      <c r="C938" s="62" t="str">
        <f aca="false">IF($M938=0,"",INDEX(Classes!$H$6:$H$420,$M938))</f>
        <v/>
      </c>
      <c r="D938" s="61" t="str">
        <f aca="false">IF($M938=0,"",INDEX(Classes!$B$6:$B$420,$M938))</f>
        <v/>
      </c>
      <c r="E938" s="61" t="str">
        <f aca="false">IF($M938=0,"",INDEX(Classes!$C$6:$C$420,$M938))</f>
        <v/>
      </c>
      <c r="F938" s="63"/>
      <c r="G938" s="63"/>
      <c r="H938" s="60"/>
      <c r="I938" s="60"/>
      <c r="J938" s="63"/>
      <c r="K938" s="61" t="str">
        <f aca="false">IF($P938=0,"",IF($F938="Baseline","— Baseline",IF($O938=0,"No result",IF($N938=0,"No Start (attainment only)",IF(OR($N938=1,$O938=1),"U – needs rule",INDEX(MxBody,MATCH($I938,MxCurr,0),MATCH($H938,MxStart,0)))))))</f>
        <v/>
      </c>
      <c r="L938" s="62" t="str">
        <f aca="false">IF(COUNTA($A938,$F938,$G938,$H938,$I938,$J938)=0,"",IF($M938=0,"✖ كود الصف غير موجود",IF(ISNA(MATCH($F938,Lists!$A$2:$A$5,0)),"✖ الفترة غير صحيحة",IF(ISNA(MATCH($G938,Lists!$B$2:$B$7,0)),"✖ المجموعة غير صحيحة",IF(NOT(OR($H938="",$N938&gt;0)),"✖ Start غير صحيح",IF(NOT(OR($I938="",$I938="NR",$O938&gt;0)),"✖ Current غير صحيح",IF(NOT(IF(ISNUMBER($J938),AND($J938&gt;=0,$J938=INT($J938)),FALSE())),"✖ العدد يجب أن يكون صحيحًا ≥ 0",IF(AND($F938="Baseline",$H938&lt;&gt;""),"⚠ Baseline: Start لا يدخل في التقدم",IF($K938="No Start (attainment only)","ℹ تحصيل فقط (بدون Start)",IF($K938="U – needs rule","ℹ حالة U تحتاج قاعدة معتمدة",IF($K938="No result","ℹ بدون نتيجة (يُستبعد من التحصيل)","OK")))))))))))</f>
        <v/>
      </c>
      <c r="M938" s="64" t="n">
        <f aca="false">IF($A938="",0,IFERROR(MATCH($A938,Classes!$A$6:$A$420,0),0))</f>
        <v>0</v>
      </c>
      <c r="N938" s="64" t="n">
        <f aca="false">IF($H938="",0,IFERROR(MATCH($H938,GradeList,0),0))</f>
        <v>0</v>
      </c>
      <c r="O938" s="64" t="n">
        <f aca="false">IF(OR($I938="",$I938="NR"),0,IFERROR(MATCH($I938,GradeList,0),0))</f>
        <v>0</v>
      </c>
      <c r="P938" s="64" t="n">
        <f aca="false">IF(AND($M938&gt;0,ISNUMBER(MATCH($F938,Lists!$A$2:$A$5,0)),ISNUMBER(MATCH($G938,Lists!$B$2:$B$7,0)),OR($H938="",$N938&gt;0),OR($I938="",$I938="NR",$O938&gt;0),IF(ISNUMBER($J938),AND($J938&gt;=0,$J938=INT($J938)),FALSE())),$J938,0)</f>
        <v>0</v>
      </c>
      <c r="Q938" s="64" t="n">
        <f aca="false">IF(AND($P938&gt;0,$O938&gt;0),$P938,0)</f>
        <v>0</v>
      </c>
      <c r="R938" s="64" t="n">
        <f aca="false">IF(AND($Q938&gt;0,$O938&gt;=AtRank),$Q938,0)</f>
        <v>0</v>
      </c>
      <c r="S938" s="64" t="n">
        <f aca="false">IF(AND($Q938&gt;0,$O938&gt;=AboveRank),$Q938,0)</f>
        <v>0</v>
      </c>
      <c r="T938" s="64" t="n">
        <f aca="false">IF($K938="Less",$P938,0)</f>
        <v>0</v>
      </c>
      <c r="U938" s="64" t="n">
        <f aca="false">IF($K938="Expected",$P938,0)</f>
        <v>0</v>
      </c>
      <c r="V938" s="64" t="n">
        <f aca="false">IF($K938="Better",$P938,0)</f>
        <v>0</v>
      </c>
      <c r="W938" s="64" t="n">
        <f aca="false">IF($K938="U – needs rule",$P938,0)</f>
        <v>0</v>
      </c>
      <c r="X938" s="64" t="n">
        <f aca="false">IF($K938="No Start (attainment only)",$P938,0)</f>
        <v>0</v>
      </c>
    </row>
    <row r="939" customFormat="false" ht="15" hidden="false" customHeight="false" outlineLevel="0" collapsed="false">
      <c r="A939" s="60"/>
      <c r="B939" s="61" t="str">
        <f aca="false">IF($M939=0,"",INDEX(Classes!$E$6:$E$420,$M939))</f>
        <v/>
      </c>
      <c r="C939" s="62" t="str">
        <f aca="false">IF($M939=0,"",INDEX(Classes!$H$6:$H$420,$M939))</f>
        <v/>
      </c>
      <c r="D939" s="61" t="str">
        <f aca="false">IF($M939=0,"",INDEX(Classes!$B$6:$B$420,$M939))</f>
        <v/>
      </c>
      <c r="E939" s="61" t="str">
        <f aca="false">IF($M939=0,"",INDEX(Classes!$C$6:$C$420,$M939))</f>
        <v/>
      </c>
      <c r="F939" s="63"/>
      <c r="G939" s="63"/>
      <c r="H939" s="60"/>
      <c r="I939" s="60"/>
      <c r="J939" s="63"/>
      <c r="K939" s="61" t="str">
        <f aca="false">IF($P939=0,"",IF($F939="Baseline","— Baseline",IF($O939=0,"No result",IF($N939=0,"No Start (attainment only)",IF(OR($N939=1,$O939=1),"U – needs rule",INDEX(MxBody,MATCH($I939,MxCurr,0),MATCH($H939,MxStart,0)))))))</f>
        <v/>
      </c>
      <c r="L939" s="62" t="str">
        <f aca="false">IF(COUNTA($A939,$F939,$G939,$H939,$I939,$J939)=0,"",IF($M939=0,"✖ كود الصف غير موجود",IF(ISNA(MATCH($F939,Lists!$A$2:$A$5,0)),"✖ الفترة غير صحيحة",IF(ISNA(MATCH($G939,Lists!$B$2:$B$7,0)),"✖ المجموعة غير صحيحة",IF(NOT(OR($H939="",$N939&gt;0)),"✖ Start غير صحيح",IF(NOT(OR($I939="",$I939="NR",$O939&gt;0)),"✖ Current غير صحيح",IF(NOT(IF(ISNUMBER($J939),AND($J939&gt;=0,$J939=INT($J939)),FALSE())),"✖ العدد يجب أن يكون صحيحًا ≥ 0",IF(AND($F939="Baseline",$H939&lt;&gt;""),"⚠ Baseline: Start لا يدخل في التقدم",IF($K939="No Start (attainment only)","ℹ تحصيل فقط (بدون Start)",IF($K939="U – needs rule","ℹ حالة U تحتاج قاعدة معتمدة",IF($K939="No result","ℹ بدون نتيجة (يُستبعد من التحصيل)","OK")))))))))))</f>
        <v/>
      </c>
      <c r="M939" s="64" t="n">
        <f aca="false">IF($A939="",0,IFERROR(MATCH($A939,Classes!$A$6:$A$420,0),0))</f>
        <v>0</v>
      </c>
      <c r="N939" s="64" t="n">
        <f aca="false">IF($H939="",0,IFERROR(MATCH($H939,GradeList,0),0))</f>
        <v>0</v>
      </c>
      <c r="O939" s="64" t="n">
        <f aca="false">IF(OR($I939="",$I939="NR"),0,IFERROR(MATCH($I939,GradeList,0),0))</f>
        <v>0</v>
      </c>
      <c r="P939" s="64" t="n">
        <f aca="false">IF(AND($M939&gt;0,ISNUMBER(MATCH($F939,Lists!$A$2:$A$5,0)),ISNUMBER(MATCH($G939,Lists!$B$2:$B$7,0)),OR($H939="",$N939&gt;0),OR($I939="",$I939="NR",$O939&gt;0),IF(ISNUMBER($J939),AND($J939&gt;=0,$J939=INT($J939)),FALSE())),$J939,0)</f>
        <v>0</v>
      </c>
      <c r="Q939" s="64" t="n">
        <f aca="false">IF(AND($P939&gt;0,$O939&gt;0),$P939,0)</f>
        <v>0</v>
      </c>
      <c r="R939" s="64" t="n">
        <f aca="false">IF(AND($Q939&gt;0,$O939&gt;=AtRank),$Q939,0)</f>
        <v>0</v>
      </c>
      <c r="S939" s="64" t="n">
        <f aca="false">IF(AND($Q939&gt;0,$O939&gt;=AboveRank),$Q939,0)</f>
        <v>0</v>
      </c>
      <c r="T939" s="64" t="n">
        <f aca="false">IF($K939="Less",$P939,0)</f>
        <v>0</v>
      </c>
      <c r="U939" s="64" t="n">
        <f aca="false">IF($K939="Expected",$P939,0)</f>
        <v>0</v>
      </c>
      <c r="V939" s="64" t="n">
        <f aca="false">IF($K939="Better",$P939,0)</f>
        <v>0</v>
      </c>
      <c r="W939" s="64" t="n">
        <f aca="false">IF($K939="U – needs rule",$P939,0)</f>
        <v>0</v>
      </c>
      <c r="X939" s="64" t="n">
        <f aca="false">IF($K939="No Start (attainment only)",$P939,0)</f>
        <v>0</v>
      </c>
    </row>
    <row r="940" customFormat="false" ht="15" hidden="false" customHeight="false" outlineLevel="0" collapsed="false">
      <c r="A940" s="60"/>
      <c r="B940" s="61" t="str">
        <f aca="false">IF($M940=0,"",INDEX(Classes!$E$6:$E$420,$M940))</f>
        <v/>
      </c>
      <c r="C940" s="62" t="str">
        <f aca="false">IF($M940=0,"",INDEX(Classes!$H$6:$H$420,$M940))</f>
        <v/>
      </c>
      <c r="D940" s="61" t="str">
        <f aca="false">IF($M940=0,"",INDEX(Classes!$B$6:$B$420,$M940))</f>
        <v/>
      </c>
      <c r="E940" s="61" t="str">
        <f aca="false">IF($M940=0,"",INDEX(Classes!$C$6:$C$420,$M940))</f>
        <v/>
      </c>
      <c r="F940" s="63"/>
      <c r="G940" s="63"/>
      <c r="H940" s="60"/>
      <c r="I940" s="60"/>
      <c r="J940" s="63"/>
      <c r="K940" s="61" t="str">
        <f aca="false">IF($P940=0,"",IF($F940="Baseline","— Baseline",IF($O940=0,"No result",IF($N940=0,"No Start (attainment only)",IF(OR($N940=1,$O940=1),"U – needs rule",INDEX(MxBody,MATCH($I940,MxCurr,0),MATCH($H940,MxStart,0)))))))</f>
        <v/>
      </c>
      <c r="L940" s="62" t="str">
        <f aca="false">IF(COUNTA($A940,$F940,$G940,$H940,$I940,$J940)=0,"",IF($M940=0,"✖ كود الصف غير موجود",IF(ISNA(MATCH($F940,Lists!$A$2:$A$5,0)),"✖ الفترة غير صحيحة",IF(ISNA(MATCH($G940,Lists!$B$2:$B$7,0)),"✖ المجموعة غير صحيحة",IF(NOT(OR($H940="",$N940&gt;0)),"✖ Start غير صحيح",IF(NOT(OR($I940="",$I940="NR",$O940&gt;0)),"✖ Current غير صحيح",IF(NOT(IF(ISNUMBER($J940),AND($J940&gt;=0,$J940=INT($J940)),FALSE())),"✖ العدد يجب أن يكون صحيحًا ≥ 0",IF(AND($F940="Baseline",$H940&lt;&gt;""),"⚠ Baseline: Start لا يدخل في التقدم",IF($K940="No Start (attainment only)","ℹ تحصيل فقط (بدون Start)",IF($K940="U – needs rule","ℹ حالة U تحتاج قاعدة معتمدة",IF($K940="No result","ℹ بدون نتيجة (يُستبعد من التحصيل)","OK")))))))))))</f>
        <v/>
      </c>
      <c r="M940" s="64" t="n">
        <f aca="false">IF($A940="",0,IFERROR(MATCH($A940,Classes!$A$6:$A$420,0),0))</f>
        <v>0</v>
      </c>
      <c r="N940" s="64" t="n">
        <f aca="false">IF($H940="",0,IFERROR(MATCH($H940,GradeList,0),0))</f>
        <v>0</v>
      </c>
      <c r="O940" s="64" t="n">
        <f aca="false">IF(OR($I940="",$I940="NR"),0,IFERROR(MATCH($I940,GradeList,0),0))</f>
        <v>0</v>
      </c>
      <c r="P940" s="64" t="n">
        <f aca="false">IF(AND($M940&gt;0,ISNUMBER(MATCH($F940,Lists!$A$2:$A$5,0)),ISNUMBER(MATCH($G940,Lists!$B$2:$B$7,0)),OR($H940="",$N940&gt;0),OR($I940="",$I940="NR",$O940&gt;0),IF(ISNUMBER($J940),AND($J940&gt;=0,$J940=INT($J940)),FALSE())),$J940,0)</f>
        <v>0</v>
      </c>
      <c r="Q940" s="64" t="n">
        <f aca="false">IF(AND($P940&gt;0,$O940&gt;0),$P940,0)</f>
        <v>0</v>
      </c>
      <c r="R940" s="64" t="n">
        <f aca="false">IF(AND($Q940&gt;0,$O940&gt;=AtRank),$Q940,0)</f>
        <v>0</v>
      </c>
      <c r="S940" s="64" t="n">
        <f aca="false">IF(AND($Q940&gt;0,$O940&gt;=AboveRank),$Q940,0)</f>
        <v>0</v>
      </c>
      <c r="T940" s="64" t="n">
        <f aca="false">IF($K940="Less",$P940,0)</f>
        <v>0</v>
      </c>
      <c r="U940" s="64" t="n">
        <f aca="false">IF($K940="Expected",$P940,0)</f>
        <v>0</v>
      </c>
      <c r="V940" s="64" t="n">
        <f aca="false">IF($K940="Better",$P940,0)</f>
        <v>0</v>
      </c>
      <c r="W940" s="64" t="n">
        <f aca="false">IF($K940="U – needs rule",$P940,0)</f>
        <v>0</v>
      </c>
      <c r="X940" s="64" t="n">
        <f aca="false">IF($K940="No Start (attainment only)",$P940,0)</f>
        <v>0</v>
      </c>
    </row>
    <row r="941" customFormat="false" ht="15" hidden="false" customHeight="false" outlineLevel="0" collapsed="false">
      <c r="A941" s="60"/>
      <c r="B941" s="61" t="str">
        <f aca="false">IF($M941=0,"",INDEX(Classes!$E$6:$E$420,$M941))</f>
        <v/>
      </c>
      <c r="C941" s="62" t="str">
        <f aca="false">IF($M941=0,"",INDEX(Classes!$H$6:$H$420,$M941))</f>
        <v/>
      </c>
      <c r="D941" s="61" t="str">
        <f aca="false">IF($M941=0,"",INDEX(Classes!$B$6:$B$420,$M941))</f>
        <v/>
      </c>
      <c r="E941" s="61" t="str">
        <f aca="false">IF($M941=0,"",INDEX(Classes!$C$6:$C$420,$M941))</f>
        <v/>
      </c>
      <c r="F941" s="63"/>
      <c r="G941" s="63"/>
      <c r="H941" s="60"/>
      <c r="I941" s="60"/>
      <c r="J941" s="63"/>
      <c r="K941" s="61" t="str">
        <f aca="false">IF($P941=0,"",IF($F941="Baseline","— Baseline",IF($O941=0,"No result",IF($N941=0,"No Start (attainment only)",IF(OR($N941=1,$O941=1),"U – needs rule",INDEX(MxBody,MATCH($I941,MxCurr,0),MATCH($H941,MxStart,0)))))))</f>
        <v/>
      </c>
      <c r="L941" s="62" t="str">
        <f aca="false">IF(COUNTA($A941,$F941,$G941,$H941,$I941,$J941)=0,"",IF($M941=0,"✖ كود الصف غير موجود",IF(ISNA(MATCH($F941,Lists!$A$2:$A$5,0)),"✖ الفترة غير صحيحة",IF(ISNA(MATCH($G941,Lists!$B$2:$B$7,0)),"✖ المجموعة غير صحيحة",IF(NOT(OR($H941="",$N941&gt;0)),"✖ Start غير صحيح",IF(NOT(OR($I941="",$I941="NR",$O941&gt;0)),"✖ Current غير صحيح",IF(NOT(IF(ISNUMBER($J941),AND($J941&gt;=0,$J941=INT($J941)),FALSE())),"✖ العدد يجب أن يكون صحيحًا ≥ 0",IF(AND($F941="Baseline",$H941&lt;&gt;""),"⚠ Baseline: Start لا يدخل في التقدم",IF($K941="No Start (attainment only)","ℹ تحصيل فقط (بدون Start)",IF($K941="U – needs rule","ℹ حالة U تحتاج قاعدة معتمدة",IF($K941="No result","ℹ بدون نتيجة (يُستبعد من التحصيل)","OK")))))))))))</f>
        <v/>
      </c>
      <c r="M941" s="64" t="n">
        <f aca="false">IF($A941="",0,IFERROR(MATCH($A941,Classes!$A$6:$A$420,0),0))</f>
        <v>0</v>
      </c>
      <c r="N941" s="64" t="n">
        <f aca="false">IF($H941="",0,IFERROR(MATCH($H941,GradeList,0),0))</f>
        <v>0</v>
      </c>
      <c r="O941" s="64" t="n">
        <f aca="false">IF(OR($I941="",$I941="NR"),0,IFERROR(MATCH($I941,GradeList,0),0))</f>
        <v>0</v>
      </c>
      <c r="P941" s="64" t="n">
        <f aca="false">IF(AND($M941&gt;0,ISNUMBER(MATCH($F941,Lists!$A$2:$A$5,0)),ISNUMBER(MATCH($G941,Lists!$B$2:$B$7,0)),OR($H941="",$N941&gt;0),OR($I941="",$I941="NR",$O941&gt;0),IF(ISNUMBER($J941),AND($J941&gt;=0,$J941=INT($J941)),FALSE())),$J941,0)</f>
        <v>0</v>
      </c>
      <c r="Q941" s="64" t="n">
        <f aca="false">IF(AND($P941&gt;0,$O941&gt;0),$P941,0)</f>
        <v>0</v>
      </c>
      <c r="R941" s="64" t="n">
        <f aca="false">IF(AND($Q941&gt;0,$O941&gt;=AtRank),$Q941,0)</f>
        <v>0</v>
      </c>
      <c r="S941" s="64" t="n">
        <f aca="false">IF(AND($Q941&gt;0,$O941&gt;=AboveRank),$Q941,0)</f>
        <v>0</v>
      </c>
      <c r="T941" s="64" t="n">
        <f aca="false">IF($K941="Less",$P941,0)</f>
        <v>0</v>
      </c>
      <c r="U941" s="64" t="n">
        <f aca="false">IF($K941="Expected",$P941,0)</f>
        <v>0</v>
      </c>
      <c r="V941" s="64" t="n">
        <f aca="false">IF($K941="Better",$P941,0)</f>
        <v>0</v>
      </c>
      <c r="W941" s="64" t="n">
        <f aca="false">IF($K941="U – needs rule",$P941,0)</f>
        <v>0</v>
      </c>
      <c r="X941" s="64" t="n">
        <f aca="false">IF($K941="No Start (attainment only)",$P941,0)</f>
        <v>0</v>
      </c>
    </row>
    <row r="942" customFormat="false" ht="15" hidden="false" customHeight="false" outlineLevel="0" collapsed="false">
      <c r="A942" s="60"/>
      <c r="B942" s="61" t="str">
        <f aca="false">IF($M942=0,"",INDEX(Classes!$E$6:$E$420,$M942))</f>
        <v/>
      </c>
      <c r="C942" s="62" t="str">
        <f aca="false">IF($M942=0,"",INDEX(Classes!$H$6:$H$420,$M942))</f>
        <v/>
      </c>
      <c r="D942" s="61" t="str">
        <f aca="false">IF($M942=0,"",INDEX(Classes!$B$6:$B$420,$M942))</f>
        <v/>
      </c>
      <c r="E942" s="61" t="str">
        <f aca="false">IF($M942=0,"",INDEX(Classes!$C$6:$C$420,$M942))</f>
        <v/>
      </c>
      <c r="F942" s="63"/>
      <c r="G942" s="63"/>
      <c r="H942" s="60"/>
      <c r="I942" s="60"/>
      <c r="J942" s="63"/>
      <c r="K942" s="61" t="str">
        <f aca="false">IF($P942=0,"",IF($F942="Baseline","— Baseline",IF($O942=0,"No result",IF($N942=0,"No Start (attainment only)",IF(OR($N942=1,$O942=1),"U – needs rule",INDEX(MxBody,MATCH($I942,MxCurr,0),MATCH($H942,MxStart,0)))))))</f>
        <v/>
      </c>
      <c r="L942" s="62" t="str">
        <f aca="false">IF(COUNTA($A942,$F942,$G942,$H942,$I942,$J942)=0,"",IF($M942=0,"✖ كود الصف غير موجود",IF(ISNA(MATCH($F942,Lists!$A$2:$A$5,0)),"✖ الفترة غير صحيحة",IF(ISNA(MATCH($G942,Lists!$B$2:$B$7,0)),"✖ المجموعة غير صحيحة",IF(NOT(OR($H942="",$N942&gt;0)),"✖ Start غير صحيح",IF(NOT(OR($I942="",$I942="NR",$O942&gt;0)),"✖ Current غير صحيح",IF(NOT(IF(ISNUMBER($J942),AND($J942&gt;=0,$J942=INT($J942)),FALSE())),"✖ العدد يجب أن يكون صحيحًا ≥ 0",IF(AND($F942="Baseline",$H942&lt;&gt;""),"⚠ Baseline: Start لا يدخل في التقدم",IF($K942="No Start (attainment only)","ℹ تحصيل فقط (بدون Start)",IF($K942="U – needs rule","ℹ حالة U تحتاج قاعدة معتمدة",IF($K942="No result","ℹ بدون نتيجة (يُستبعد من التحصيل)","OK")))))))))))</f>
        <v/>
      </c>
      <c r="M942" s="64" t="n">
        <f aca="false">IF($A942="",0,IFERROR(MATCH($A942,Classes!$A$6:$A$420,0),0))</f>
        <v>0</v>
      </c>
      <c r="N942" s="64" t="n">
        <f aca="false">IF($H942="",0,IFERROR(MATCH($H942,GradeList,0),0))</f>
        <v>0</v>
      </c>
      <c r="O942" s="64" t="n">
        <f aca="false">IF(OR($I942="",$I942="NR"),0,IFERROR(MATCH($I942,GradeList,0),0))</f>
        <v>0</v>
      </c>
      <c r="P942" s="64" t="n">
        <f aca="false">IF(AND($M942&gt;0,ISNUMBER(MATCH($F942,Lists!$A$2:$A$5,0)),ISNUMBER(MATCH($G942,Lists!$B$2:$B$7,0)),OR($H942="",$N942&gt;0),OR($I942="",$I942="NR",$O942&gt;0),IF(ISNUMBER($J942),AND($J942&gt;=0,$J942=INT($J942)),FALSE())),$J942,0)</f>
        <v>0</v>
      </c>
      <c r="Q942" s="64" t="n">
        <f aca="false">IF(AND($P942&gt;0,$O942&gt;0),$P942,0)</f>
        <v>0</v>
      </c>
      <c r="R942" s="64" t="n">
        <f aca="false">IF(AND($Q942&gt;0,$O942&gt;=AtRank),$Q942,0)</f>
        <v>0</v>
      </c>
      <c r="S942" s="64" t="n">
        <f aca="false">IF(AND($Q942&gt;0,$O942&gt;=AboveRank),$Q942,0)</f>
        <v>0</v>
      </c>
      <c r="T942" s="64" t="n">
        <f aca="false">IF($K942="Less",$P942,0)</f>
        <v>0</v>
      </c>
      <c r="U942" s="64" t="n">
        <f aca="false">IF($K942="Expected",$P942,0)</f>
        <v>0</v>
      </c>
      <c r="V942" s="64" t="n">
        <f aca="false">IF($K942="Better",$P942,0)</f>
        <v>0</v>
      </c>
      <c r="W942" s="64" t="n">
        <f aca="false">IF($K942="U – needs rule",$P942,0)</f>
        <v>0</v>
      </c>
      <c r="X942" s="64" t="n">
        <f aca="false">IF($K942="No Start (attainment only)",$P942,0)</f>
        <v>0</v>
      </c>
    </row>
    <row r="943" customFormat="false" ht="15" hidden="false" customHeight="false" outlineLevel="0" collapsed="false">
      <c r="A943" s="60"/>
      <c r="B943" s="61" t="str">
        <f aca="false">IF($M943=0,"",INDEX(Classes!$E$6:$E$420,$M943))</f>
        <v/>
      </c>
      <c r="C943" s="62" t="str">
        <f aca="false">IF($M943=0,"",INDEX(Classes!$H$6:$H$420,$M943))</f>
        <v/>
      </c>
      <c r="D943" s="61" t="str">
        <f aca="false">IF($M943=0,"",INDEX(Classes!$B$6:$B$420,$M943))</f>
        <v/>
      </c>
      <c r="E943" s="61" t="str">
        <f aca="false">IF($M943=0,"",INDEX(Classes!$C$6:$C$420,$M943))</f>
        <v/>
      </c>
      <c r="F943" s="63"/>
      <c r="G943" s="63"/>
      <c r="H943" s="60"/>
      <c r="I943" s="60"/>
      <c r="J943" s="63"/>
      <c r="K943" s="61" t="str">
        <f aca="false">IF($P943=0,"",IF($F943="Baseline","— Baseline",IF($O943=0,"No result",IF($N943=0,"No Start (attainment only)",IF(OR($N943=1,$O943=1),"U – needs rule",INDEX(MxBody,MATCH($I943,MxCurr,0),MATCH($H943,MxStart,0)))))))</f>
        <v/>
      </c>
      <c r="L943" s="62" t="str">
        <f aca="false">IF(COUNTA($A943,$F943,$G943,$H943,$I943,$J943)=0,"",IF($M943=0,"✖ كود الصف غير موجود",IF(ISNA(MATCH($F943,Lists!$A$2:$A$5,0)),"✖ الفترة غير صحيحة",IF(ISNA(MATCH($G943,Lists!$B$2:$B$7,0)),"✖ المجموعة غير صحيحة",IF(NOT(OR($H943="",$N943&gt;0)),"✖ Start غير صحيح",IF(NOT(OR($I943="",$I943="NR",$O943&gt;0)),"✖ Current غير صحيح",IF(NOT(IF(ISNUMBER($J943),AND($J943&gt;=0,$J943=INT($J943)),FALSE())),"✖ العدد يجب أن يكون صحيحًا ≥ 0",IF(AND($F943="Baseline",$H943&lt;&gt;""),"⚠ Baseline: Start لا يدخل في التقدم",IF($K943="No Start (attainment only)","ℹ تحصيل فقط (بدون Start)",IF($K943="U – needs rule","ℹ حالة U تحتاج قاعدة معتمدة",IF($K943="No result","ℹ بدون نتيجة (يُستبعد من التحصيل)","OK")))))))))))</f>
        <v/>
      </c>
      <c r="M943" s="64" t="n">
        <f aca="false">IF($A943="",0,IFERROR(MATCH($A943,Classes!$A$6:$A$420,0),0))</f>
        <v>0</v>
      </c>
      <c r="N943" s="64" t="n">
        <f aca="false">IF($H943="",0,IFERROR(MATCH($H943,GradeList,0),0))</f>
        <v>0</v>
      </c>
      <c r="O943" s="64" t="n">
        <f aca="false">IF(OR($I943="",$I943="NR"),0,IFERROR(MATCH($I943,GradeList,0),0))</f>
        <v>0</v>
      </c>
      <c r="P943" s="64" t="n">
        <f aca="false">IF(AND($M943&gt;0,ISNUMBER(MATCH($F943,Lists!$A$2:$A$5,0)),ISNUMBER(MATCH($G943,Lists!$B$2:$B$7,0)),OR($H943="",$N943&gt;0),OR($I943="",$I943="NR",$O943&gt;0),IF(ISNUMBER($J943),AND($J943&gt;=0,$J943=INT($J943)),FALSE())),$J943,0)</f>
        <v>0</v>
      </c>
      <c r="Q943" s="64" t="n">
        <f aca="false">IF(AND($P943&gt;0,$O943&gt;0),$P943,0)</f>
        <v>0</v>
      </c>
      <c r="R943" s="64" t="n">
        <f aca="false">IF(AND($Q943&gt;0,$O943&gt;=AtRank),$Q943,0)</f>
        <v>0</v>
      </c>
      <c r="S943" s="64" t="n">
        <f aca="false">IF(AND($Q943&gt;0,$O943&gt;=AboveRank),$Q943,0)</f>
        <v>0</v>
      </c>
      <c r="T943" s="64" t="n">
        <f aca="false">IF($K943="Less",$P943,0)</f>
        <v>0</v>
      </c>
      <c r="U943" s="64" t="n">
        <f aca="false">IF($K943="Expected",$P943,0)</f>
        <v>0</v>
      </c>
      <c r="V943" s="64" t="n">
        <f aca="false">IF($K943="Better",$P943,0)</f>
        <v>0</v>
      </c>
      <c r="W943" s="64" t="n">
        <f aca="false">IF($K943="U – needs rule",$P943,0)</f>
        <v>0</v>
      </c>
      <c r="X943" s="64" t="n">
        <f aca="false">IF($K943="No Start (attainment only)",$P943,0)</f>
        <v>0</v>
      </c>
    </row>
    <row r="944" customFormat="false" ht="15" hidden="false" customHeight="false" outlineLevel="0" collapsed="false">
      <c r="A944" s="60"/>
      <c r="B944" s="61" t="str">
        <f aca="false">IF($M944=0,"",INDEX(Classes!$E$6:$E$420,$M944))</f>
        <v/>
      </c>
      <c r="C944" s="62" t="str">
        <f aca="false">IF($M944=0,"",INDEX(Classes!$H$6:$H$420,$M944))</f>
        <v/>
      </c>
      <c r="D944" s="61" t="str">
        <f aca="false">IF($M944=0,"",INDEX(Classes!$B$6:$B$420,$M944))</f>
        <v/>
      </c>
      <c r="E944" s="61" t="str">
        <f aca="false">IF($M944=0,"",INDEX(Classes!$C$6:$C$420,$M944))</f>
        <v/>
      </c>
      <c r="F944" s="63"/>
      <c r="G944" s="63"/>
      <c r="H944" s="60"/>
      <c r="I944" s="60"/>
      <c r="J944" s="63"/>
      <c r="K944" s="61" t="str">
        <f aca="false">IF($P944=0,"",IF($F944="Baseline","— Baseline",IF($O944=0,"No result",IF($N944=0,"No Start (attainment only)",IF(OR($N944=1,$O944=1),"U – needs rule",INDEX(MxBody,MATCH($I944,MxCurr,0),MATCH($H944,MxStart,0)))))))</f>
        <v/>
      </c>
      <c r="L944" s="62" t="str">
        <f aca="false">IF(COUNTA($A944,$F944,$G944,$H944,$I944,$J944)=0,"",IF($M944=0,"✖ كود الصف غير موجود",IF(ISNA(MATCH($F944,Lists!$A$2:$A$5,0)),"✖ الفترة غير صحيحة",IF(ISNA(MATCH($G944,Lists!$B$2:$B$7,0)),"✖ المجموعة غير صحيحة",IF(NOT(OR($H944="",$N944&gt;0)),"✖ Start غير صحيح",IF(NOT(OR($I944="",$I944="NR",$O944&gt;0)),"✖ Current غير صحيح",IF(NOT(IF(ISNUMBER($J944),AND($J944&gt;=0,$J944=INT($J944)),FALSE())),"✖ العدد يجب أن يكون صحيحًا ≥ 0",IF(AND($F944="Baseline",$H944&lt;&gt;""),"⚠ Baseline: Start لا يدخل في التقدم",IF($K944="No Start (attainment only)","ℹ تحصيل فقط (بدون Start)",IF($K944="U – needs rule","ℹ حالة U تحتاج قاعدة معتمدة",IF($K944="No result","ℹ بدون نتيجة (يُستبعد من التحصيل)","OK")))))))))))</f>
        <v/>
      </c>
      <c r="M944" s="64" t="n">
        <f aca="false">IF($A944="",0,IFERROR(MATCH($A944,Classes!$A$6:$A$420,0),0))</f>
        <v>0</v>
      </c>
      <c r="N944" s="64" t="n">
        <f aca="false">IF($H944="",0,IFERROR(MATCH($H944,GradeList,0),0))</f>
        <v>0</v>
      </c>
      <c r="O944" s="64" t="n">
        <f aca="false">IF(OR($I944="",$I944="NR"),0,IFERROR(MATCH($I944,GradeList,0),0))</f>
        <v>0</v>
      </c>
      <c r="P944" s="64" t="n">
        <f aca="false">IF(AND($M944&gt;0,ISNUMBER(MATCH($F944,Lists!$A$2:$A$5,0)),ISNUMBER(MATCH($G944,Lists!$B$2:$B$7,0)),OR($H944="",$N944&gt;0),OR($I944="",$I944="NR",$O944&gt;0),IF(ISNUMBER($J944),AND($J944&gt;=0,$J944=INT($J944)),FALSE())),$J944,0)</f>
        <v>0</v>
      </c>
      <c r="Q944" s="64" t="n">
        <f aca="false">IF(AND($P944&gt;0,$O944&gt;0),$P944,0)</f>
        <v>0</v>
      </c>
      <c r="R944" s="64" t="n">
        <f aca="false">IF(AND($Q944&gt;0,$O944&gt;=AtRank),$Q944,0)</f>
        <v>0</v>
      </c>
      <c r="S944" s="64" t="n">
        <f aca="false">IF(AND($Q944&gt;0,$O944&gt;=AboveRank),$Q944,0)</f>
        <v>0</v>
      </c>
      <c r="T944" s="64" t="n">
        <f aca="false">IF($K944="Less",$P944,0)</f>
        <v>0</v>
      </c>
      <c r="U944" s="64" t="n">
        <f aca="false">IF($K944="Expected",$P944,0)</f>
        <v>0</v>
      </c>
      <c r="V944" s="64" t="n">
        <f aca="false">IF($K944="Better",$P944,0)</f>
        <v>0</v>
      </c>
      <c r="W944" s="64" t="n">
        <f aca="false">IF($K944="U – needs rule",$P944,0)</f>
        <v>0</v>
      </c>
      <c r="X944" s="64" t="n">
        <f aca="false">IF($K944="No Start (attainment only)",$P944,0)</f>
        <v>0</v>
      </c>
    </row>
    <row r="945" customFormat="false" ht="15" hidden="false" customHeight="false" outlineLevel="0" collapsed="false">
      <c r="A945" s="60"/>
      <c r="B945" s="61" t="str">
        <f aca="false">IF($M945=0,"",INDEX(Classes!$E$6:$E$420,$M945))</f>
        <v/>
      </c>
      <c r="C945" s="62" t="str">
        <f aca="false">IF($M945=0,"",INDEX(Classes!$H$6:$H$420,$M945))</f>
        <v/>
      </c>
      <c r="D945" s="61" t="str">
        <f aca="false">IF($M945=0,"",INDEX(Classes!$B$6:$B$420,$M945))</f>
        <v/>
      </c>
      <c r="E945" s="61" t="str">
        <f aca="false">IF($M945=0,"",INDEX(Classes!$C$6:$C$420,$M945))</f>
        <v/>
      </c>
      <c r="F945" s="63"/>
      <c r="G945" s="63"/>
      <c r="H945" s="60"/>
      <c r="I945" s="60"/>
      <c r="J945" s="63"/>
      <c r="K945" s="61" t="str">
        <f aca="false">IF($P945=0,"",IF($F945="Baseline","— Baseline",IF($O945=0,"No result",IF($N945=0,"No Start (attainment only)",IF(OR($N945=1,$O945=1),"U – needs rule",INDEX(MxBody,MATCH($I945,MxCurr,0),MATCH($H945,MxStart,0)))))))</f>
        <v/>
      </c>
      <c r="L945" s="62" t="str">
        <f aca="false">IF(COUNTA($A945,$F945,$G945,$H945,$I945,$J945)=0,"",IF($M945=0,"✖ كود الصف غير موجود",IF(ISNA(MATCH($F945,Lists!$A$2:$A$5,0)),"✖ الفترة غير صحيحة",IF(ISNA(MATCH($G945,Lists!$B$2:$B$7,0)),"✖ المجموعة غير صحيحة",IF(NOT(OR($H945="",$N945&gt;0)),"✖ Start غير صحيح",IF(NOT(OR($I945="",$I945="NR",$O945&gt;0)),"✖ Current غير صحيح",IF(NOT(IF(ISNUMBER($J945),AND($J945&gt;=0,$J945=INT($J945)),FALSE())),"✖ العدد يجب أن يكون صحيحًا ≥ 0",IF(AND($F945="Baseline",$H945&lt;&gt;""),"⚠ Baseline: Start لا يدخل في التقدم",IF($K945="No Start (attainment only)","ℹ تحصيل فقط (بدون Start)",IF($K945="U – needs rule","ℹ حالة U تحتاج قاعدة معتمدة",IF($K945="No result","ℹ بدون نتيجة (يُستبعد من التحصيل)","OK")))))))))))</f>
        <v/>
      </c>
      <c r="M945" s="64" t="n">
        <f aca="false">IF($A945="",0,IFERROR(MATCH($A945,Classes!$A$6:$A$420,0),0))</f>
        <v>0</v>
      </c>
      <c r="N945" s="64" t="n">
        <f aca="false">IF($H945="",0,IFERROR(MATCH($H945,GradeList,0),0))</f>
        <v>0</v>
      </c>
      <c r="O945" s="64" t="n">
        <f aca="false">IF(OR($I945="",$I945="NR"),0,IFERROR(MATCH($I945,GradeList,0),0))</f>
        <v>0</v>
      </c>
      <c r="P945" s="64" t="n">
        <f aca="false">IF(AND($M945&gt;0,ISNUMBER(MATCH($F945,Lists!$A$2:$A$5,0)),ISNUMBER(MATCH($G945,Lists!$B$2:$B$7,0)),OR($H945="",$N945&gt;0),OR($I945="",$I945="NR",$O945&gt;0),IF(ISNUMBER($J945),AND($J945&gt;=0,$J945=INT($J945)),FALSE())),$J945,0)</f>
        <v>0</v>
      </c>
      <c r="Q945" s="64" t="n">
        <f aca="false">IF(AND($P945&gt;0,$O945&gt;0),$P945,0)</f>
        <v>0</v>
      </c>
      <c r="R945" s="64" t="n">
        <f aca="false">IF(AND($Q945&gt;0,$O945&gt;=AtRank),$Q945,0)</f>
        <v>0</v>
      </c>
      <c r="S945" s="64" t="n">
        <f aca="false">IF(AND($Q945&gt;0,$O945&gt;=AboveRank),$Q945,0)</f>
        <v>0</v>
      </c>
      <c r="T945" s="64" t="n">
        <f aca="false">IF($K945="Less",$P945,0)</f>
        <v>0</v>
      </c>
      <c r="U945" s="64" t="n">
        <f aca="false">IF($K945="Expected",$P945,0)</f>
        <v>0</v>
      </c>
      <c r="V945" s="64" t="n">
        <f aca="false">IF($K945="Better",$P945,0)</f>
        <v>0</v>
      </c>
      <c r="W945" s="64" t="n">
        <f aca="false">IF($K945="U – needs rule",$P945,0)</f>
        <v>0</v>
      </c>
      <c r="X945" s="64" t="n">
        <f aca="false">IF($K945="No Start (attainment only)",$P945,0)</f>
        <v>0</v>
      </c>
    </row>
    <row r="946" customFormat="false" ht="15" hidden="false" customHeight="false" outlineLevel="0" collapsed="false">
      <c r="A946" s="60"/>
      <c r="B946" s="61" t="str">
        <f aca="false">IF($M946=0,"",INDEX(Classes!$E$6:$E$420,$M946))</f>
        <v/>
      </c>
      <c r="C946" s="62" t="str">
        <f aca="false">IF($M946=0,"",INDEX(Classes!$H$6:$H$420,$M946))</f>
        <v/>
      </c>
      <c r="D946" s="61" t="str">
        <f aca="false">IF($M946=0,"",INDEX(Classes!$B$6:$B$420,$M946))</f>
        <v/>
      </c>
      <c r="E946" s="61" t="str">
        <f aca="false">IF($M946=0,"",INDEX(Classes!$C$6:$C$420,$M946))</f>
        <v/>
      </c>
      <c r="F946" s="63"/>
      <c r="G946" s="63"/>
      <c r="H946" s="60"/>
      <c r="I946" s="60"/>
      <c r="J946" s="63"/>
      <c r="K946" s="61" t="str">
        <f aca="false">IF($P946=0,"",IF($F946="Baseline","— Baseline",IF($O946=0,"No result",IF($N946=0,"No Start (attainment only)",IF(OR($N946=1,$O946=1),"U – needs rule",INDEX(MxBody,MATCH($I946,MxCurr,0),MATCH($H946,MxStart,0)))))))</f>
        <v/>
      </c>
      <c r="L946" s="62" t="str">
        <f aca="false">IF(COUNTA($A946,$F946,$G946,$H946,$I946,$J946)=0,"",IF($M946=0,"✖ كود الصف غير موجود",IF(ISNA(MATCH($F946,Lists!$A$2:$A$5,0)),"✖ الفترة غير صحيحة",IF(ISNA(MATCH($G946,Lists!$B$2:$B$7,0)),"✖ المجموعة غير صحيحة",IF(NOT(OR($H946="",$N946&gt;0)),"✖ Start غير صحيح",IF(NOT(OR($I946="",$I946="NR",$O946&gt;0)),"✖ Current غير صحيح",IF(NOT(IF(ISNUMBER($J946),AND($J946&gt;=0,$J946=INT($J946)),FALSE())),"✖ العدد يجب أن يكون صحيحًا ≥ 0",IF(AND($F946="Baseline",$H946&lt;&gt;""),"⚠ Baseline: Start لا يدخل في التقدم",IF($K946="No Start (attainment only)","ℹ تحصيل فقط (بدون Start)",IF($K946="U – needs rule","ℹ حالة U تحتاج قاعدة معتمدة",IF($K946="No result","ℹ بدون نتيجة (يُستبعد من التحصيل)","OK")))))))))))</f>
        <v/>
      </c>
      <c r="M946" s="64" t="n">
        <f aca="false">IF($A946="",0,IFERROR(MATCH($A946,Classes!$A$6:$A$420,0),0))</f>
        <v>0</v>
      </c>
      <c r="N946" s="64" t="n">
        <f aca="false">IF($H946="",0,IFERROR(MATCH($H946,GradeList,0),0))</f>
        <v>0</v>
      </c>
      <c r="O946" s="64" t="n">
        <f aca="false">IF(OR($I946="",$I946="NR"),0,IFERROR(MATCH($I946,GradeList,0),0))</f>
        <v>0</v>
      </c>
      <c r="P946" s="64" t="n">
        <f aca="false">IF(AND($M946&gt;0,ISNUMBER(MATCH($F946,Lists!$A$2:$A$5,0)),ISNUMBER(MATCH($G946,Lists!$B$2:$B$7,0)),OR($H946="",$N946&gt;0),OR($I946="",$I946="NR",$O946&gt;0),IF(ISNUMBER($J946),AND($J946&gt;=0,$J946=INT($J946)),FALSE())),$J946,0)</f>
        <v>0</v>
      </c>
      <c r="Q946" s="64" t="n">
        <f aca="false">IF(AND($P946&gt;0,$O946&gt;0),$P946,0)</f>
        <v>0</v>
      </c>
      <c r="R946" s="64" t="n">
        <f aca="false">IF(AND($Q946&gt;0,$O946&gt;=AtRank),$Q946,0)</f>
        <v>0</v>
      </c>
      <c r="S946" s="64" t="n">
        <f aca="false">IF(AND($Q946&gt;0,$O946&gt;=AboveRank),$Q946,0)</f>
        <v>0</v>
      </c>
      <c r="T946" s="64" t="n">
        <f aca="false">IF($K946="Less",$P946,0)</f>
        <v>0</v>
      </c>
      <c r="U946" s="64" t="n">
        <f aca="false">IF($K946="Expected",$P946,0)</f>
        <v>0</v>
      </c>
      <c r="V946" s="64" t="n">
        <f aca="false">IF($K946="Better",$P946,0)</f>
        <v>0</v>
      </c>
      <c r="W946" s="64" t="n">
        <f aca="false">IF($K946="U – needs rule",$P946,0)</f>
        <v>0</v>
      </c>
      <c r="X946" s="64" t="n">
        <f aca="false">IF($K946="No Start (attainment only)",$P946,0)</f>
        <v>0</v>
      </c>
    </row>
    <row r="947" customFormat="false" ht="15" hidden="false" customHeight="false" outlineLevel="0" collapsed="false">
      <c r="A947" s="60"/>
      <c r="B947" s="61" t="str">
        <f aca="false">IF($M947=0,"",INDEX(Classes!$E$6:$E$420,$M947))</f>
        <v/>
      </c>
      <c r="C947" s="62" t="str">
        <f aca="false">IF($M947=0,"",INDEX(Classes!$H$6:$H$420,$M947))</f>
        <v/>
      </c>
      <c r="D947" s="61" t="str">
        <f aca="false">IF($M947=0,"",INDEX(Classes!$B$6:$B$420,$M947))</f>
        <v/>
      </c>
      <c r="E947" s="61" t="str">
        <f aca="false">IF($M947=0,"",INDEX(Classes!$C$6:$C$420,$M947))</f>
        <v/>
      </c>
      <c r="F947" s="63"/>
      <c r="G947" s="63"/>
      <c r="H947" s="60"/>
      <c r="I947" s="60"/>
      <c r="J947" s="63"/>
      <c r="K947" s="61" t="str">
        <f aca="false">IF($P947=0,"",IF($F947="Baseline","— Baseline",IF($O947=0,"No result",IF($N947=0,"No Start (attainment only)",IF(OR($N947=1,$O947=1),"U – needs rule",INDEX(MxBody,MATCH($I947,MxCurr,0),MATCH($H947,MxStart,0)))))))</f>
        <v/>
      </c>
      <c r="L947" s="62" t="str">
        <f aca="false">IF(COUNTA($A947,$F947,$G947,$H947,$I947,$J947)=0,"",IF($M947=0,"✖ كود الصف غير موجود",IF(ISNA(MATCH($F947,Lists!$A$2:$A$5,0)),"✖ الفترة غير صحيحة",IF(ISNA(MATCH($G947,Lists!$B$2:$B$7,0)),"✖ المجموعة غير صحيحة",IF(NOT(OR($H947="",$N947&gt;0)),"✖ Start غير صحيح",IF(NOT(OR($I947="",$I947="NR",$O947&gt;0)),"✖ Current غير صحيح",IF(NOT(IF(ISNUMBER($J947),AND($J947&gt;=0,$J947=INT($J947)),FALSE())),"✖ العدد يجب أن يكون صحيحًا ≥ 0",IF(AND($F947="Baseline",$H947&lt;&gt;""),"⚠ Baseline: Start لا يدخل في التقدم",IF($K947="No Start (attainment only)","ℹ تحصيل فقط (بدون Start)",IF($K947="U – needs rule","ℹ حالة U تحتاج قاعدة معتمدة",IF($K947="No result","ℹ بدون نتيجة (يُستبعد من التحصيل)","OK")))))))))))</f>
        <v/>
      </c>
      <c r="M947" s="64" t="n">
        <f aca="false">IF($A947="",0,IFERROR(MATCH($A947,Classes!$A$6:$A$420,0),0))</f>
        <v>0</v>
      </c>
      <c r="N947" s="64" t="n">
        <f aca="false">IF($H947="",0,IFERROR(MATCH($H947,GradeList,0),0))</f>
        <v>0</v>
      </c>
      <c r="O947" s="64" t="n">
        <f aca="false">IF(OR($I947="",$I947="NR"),0,IFERROR(MATCH($I947,GradeList,0),0))</f>
        <v>0</v>
      </c>
      <c r="P947" s="64" t="n">
        <f aca="false">IF(AND($M947&gt;0,ISNUMBER(MATCH($F947,Lists!$A$2:$A$5,0)),ISNUMBER(MATCH($G947,Lists!$B$2:$B$7,0)),OR($H947="",$N947&gt;0),OR($I947="",$I947="NR",$O947&gt;0),IF(ISNUMBER($J947),AND($J947&gt;=0,$J947=INT($J947)),FALSE())),$J947,0)</f>
        <v>0</v>
      </c>
      <c r="Q947" s="64" t="n">
        <f aca="false">IF(AND($P947&gt;0,$O947&gt;0),$P947,0)</f>
        <v>0</v>
      </c>
      <c r="R947" s="64" t="n">
        <f aca="false">IF(AND($Q947&gt;0,$O947&gt;=AtRank),$Q947,0)</f>
        <v>0</v>
      </c>
      <c r="S947" s="64" t="n">
        <f aca="false">IF(AND($Q947&gt;0,$O947&gt;=AboveRank),$Q947,0)</f>
        <v>0</v>
      </c>
      <c r="T947" s="64" t="n">
        <f aca="false">IF($K947="Less",$P947,0)</f>
        <v>0</v>
      </c>
      <c r="U947" s="64" t="n">
        <f aca="false">IF($K947="Expected",$P947,0)</f>
        <v>0</v>
      </c>
      <c r="V947" s="64" t="n">
        <f aca="false">IF($K947="Better",$P947,0)</f>
        <v>0</v>
      </c>
      <c r="W947" s="64" t="n">
        <f aca="false">IF($K947="U – needs rule",$P947,0)</f>
        <v>0</v>
      </c>
      <c r="X947" s="64" t="n">
        <f aca="false">IF($K947="No Start (attainment only)",$P947,0)</f>
        <v>0</v>
      </c>
    </row>
    <row r="948" customFormat="false" ht="15" hidden="false" customHeight="false" outlineLevel="0" collapsed="false">
      <c r="A948" s="60"/>
      <c r="B948" s="61" t="str">
        <f aca="false">IF($M948=0,"",INDEX(Classes!$E$6:$E$420,$M948))</f>
        <v/>
      </c>
      <c r="C948" s="62" t="str">
        <f aca="false">IF($M948=0,"",INDEX(Classes!$H$6:$H$420,$M948))</f>
        <v/>
      </c>
      <c r="D948" s="61" t="str">
        <f aca="false">IF($M948=0,"",INDEX(Classes!$B$6:$B$420,$M948))</f>
        <v/>
      </c>
      <c r="E948" s="61" t="str">
        <f aca="false">IF($M948=0,"",INDEX(Classes!$C$6:$C$420,$M948))</f>
        <v/>
      </c>
      <c r="F948" s="63"/>
      <c r="G948" s="63"/>
      <c r="H948" s="60"/>
      <c r="I948" s="60"/>
      <c r="J948" s="63"/>
      <c r="K948" s="61" t="str">
        <f aca="false">IF($P948=0,"",IF($F948="Baseline","— Baseline",IF($O948=0,"No result",IF($N948=0,"No Start (attainment only)",IF(OR($N948=1,$O948=1),"U – needs rule",INDEX(MxBody,MATCH($I948,MxCurr,0),MATCH($H948,MxStart,0)))))))</f>
        <v/>
      </c>
      <c r="L948" s="62" t="str">
        <f aca="false">IF(COUNTA($A948,$F948,$G948,$H948,$I948,$J948)=0,"",IF($M948=0,"✖ كود الصف غير موجود",IF(ISNA(MATCH($F948,Lists!$A$2:$A$5,0)),"✖ الفترة غير صحيحة",IF(ISNA(MATCH($G948,Lists!$B$2:$B$7,0)),"✖ المجموعة غير صحيحة",IF(NOT(OR($H948="",$N948&gt;0)),"✖ Start غير صحيح",IF(NOT(OR($I948="",$I948="NR",$O948&gt;0)),"✖ Current غير صحيح",IF(NOT(IF(ISNUMBER($J948),AND($J948&gt;=0,$J948=INT($J948)),FALSE())),"✖ العدد يجب أن يكون صحيحًا ≥ 0",IF(AND($F948="Baseline",$H948&lt;&gt;""),"⚠ Baseline: Start لا يدخل في التقدم",IF($K948="No Start (attainment only)","ℹ تحصيل فقط (بدون Start)",IF($K948="U – needs rule","ℹ حالة U تحتاج قاعدة معتمدة",IF($K948="No result","ℹ بدون نتيجة (يُستبعد من التحصيل)","OK")))))))))))</f>
        <v/>
      </c>
      <c r="M948" s="64" t="n">
        <f aca="false">IF($A948="",0,IFERROR(MATCH($A948,Classes!$A$6:$A$420,0),0))</f>
        <v>0</v>
      </c>
      <c r="N948" s="64" t="n">
        <f aca="false">IF($H948="",0,IFERROR(MATCH($H948,GradeList,0),0))</f>
        <v>0</v>
      </c>
      <c r="O948" s="64" t="n">
        <f aca="false">IF(OR($I948="",$I948="NR"),0,IFERROR(MATCH($I948,GradeList,0),0))</f>
        <v>0</v>
      </c>
      <c r="P948" s="64" t="n">
        <f aca="false">IF(AND($M948&gt;0,ISNUMBER(MATCH($F948,Lists!$A$2:$A$5,0)),ISNUMBER(MATCH($G948,Lists!$B$2:$B$7,0)),OR($H948="",$N948&gt;0),OR($I948="",$I948="NR",$O948&gt;0),IF(ISNUMBER($J948),AND($J948&gt;=0,$J948=INT($J948)),FALSE())),$J948,0)</f>
        <v>0</v>
      </c>
      <c r="Q948" s="64" t="n">
        <f aca="false">IF(AND($P948&gt;0,$O948&gt;0),$P948,0)</f>
        <v>0</v>
      </c>
      <c r="R948" s="64" t="n">
        <f aca="false">IF(AND($Q948&gt;0,$O948&gt;=AtRank),$Q948,0)</f>
        <v>0</v>
      </c>
      <c r="S948" s="64" t="n">
        <f aca="false">IF(AND($Q948&gt;0,$O948&gt;=AboveRank),$Q948,0)</f>
        <v>0</v>
      </c>
      <c r="T948" s="64" t="n">
        <f aca="false">IF($K948="Less",$P948,0)</f>
        <v>0</v>
      </c>
      <c r="U948" s="64" t="n">
        <f aca="false">IF($K948="Expected",$P948,0)</f>
        <v>0</v>
      </c>
      <c r="V948" s="64" t="n">
        <f aca="false">IF($K948="Better",$P948,0)</f>
        <v>0</v>
      </c>
      <c r="W948" s="64" t="n">
        <f aca="false">IF($K948="U – needs rule",$P948,0)</f>
        <v>0</v>
      </c>
      <c r="X948" s="64" t="n">
        <f aca="false">IF($K948="No Start (attainment only)",$P948,0)</f>
        <v>0</v>
      </c>
    </row>
    <row r="949" customFormat="false" ht="15" hidden="false" customHeight="false" outlineLevel="0" collapsed="false">
      <c r="A949" s="60"/>
      <c r="B949" s="61" t="str">
        <f aca="false">IF($M949=0,"",INDEX(Classes!$E$6:$E$420,$M949))</f>
        <v/>
      </c>
      <c r="C949" s="62" t="str">
        <f aca="false">IF($M949=0,"",INDEX(Classes!$H$6:$H$420,$M949))</f>
        <v/>
      </c>
      <c r="D949" s="61" t="str">
        <f aca="false">IF($M949=0,"",INDEX(Classes!$B$6:$B$420,$M949))</f>
        <v/>
      </c>
      <c r="E949" s="61" t="str">
        <f aca="false">IF($M949=0,"",INDEX(Classes!$C$6:$C$420,$M949))</f>
        <v/>
      </c>
      <c r="F949" s="63"/>
      <c r="G949" s="63"/>
      <c r="H949" s="60"/>
      <c r="I949" s="60"/>
      <c r="J949" s="63"/>
      <c r="K949" s="61" t="str">
        <f aca="false">IF($P949=0,"",IF($F949="Baseline","— Baseline",IF($O949=0,"No result",IF($N949=0,"No Start (attainment only)",IF(OR($N949=1,$O949=1),"U – needs rule",INDEX(MxBody,MATCH($I949,MxCurr,0),MATCH($H949,MxStart,0)))))))</f>
        <v/>
      </c>
      <c r="L949" s="62" t="str">
        <f aca="false">IF(COUNTA($A949,$F949,$G949,$H949,$I949,$J949)=0,"",IF($M949=0,"✖ كود الصف غير موجود",IF(ISNA(MATCH($F949,Lists!$A$2:$A$5,0)),"✖ الفترة غير صحيحة",IF(ISNA(MATCH($G949,Lists!$B$2:$B$7,0)),"✖ المجموعة غير صحيحة",IF(NOT(OR($H949="",$N949&gt;0)),"✖ Start غير صحيح",IF(NOT(OR($I949="",$I949="NR",$O949&gt;0)),"✖ Current غير صحيح",IF(NOT(IF(ISNUMBER($J949),AND($J949&gt;=0,$J949=INT($J949)),FALSE())),"✖ العدد يجب أن يكون صحيحًا ≥ 0",IF(AND($F949="Baseline",$H949&lt;&gt;""),"⚠ Baseline: Start لا يدخل في التقدم",IF($K949="No Start (attainment only)","ℹ تحصيل فقط (بدون Start)",IF($K949="U – needs rule","ℹ حالة U تحتاج قاعدة معتمدة",IF($K949="No result","ℹ بدون نتيجة (يُستبعد من التحصيل)","OK")))))))))))</f>
        <v/>
      </c>
      <c r="M949" s="64" t="n">
        <f aca="false">IF($A949="",0,IFERROR(MATCH($A949,Classes!$A$6:$A$420,0),0))</f>
        <v>0</v>
      </c>
      <c r="N949" s="64" t="n">
        <f aca="false">IF($H949="",0,IFERROR(MATCH($H949,GradeList,0),0))</f>
        <v>0</v>
      </c>
      <c r="O949" s="64" t="n">
        <f aca="false">IF(OR($I949="",$I949="NR"),0,IFERROR(MATCH($I949,GradeList,0),0))</f>
        <v>0</v>
      </c>
      <c r="P949" s="64" t="n">
        <f aca="false">IF(AND($M949&gt;0,ISNUMBER(MATCH($F949,Lists!$A$2:$A$5,0)),ISNUMBER(MATCH($G949,Lists!$B$2:$B$7,0)),OR($H949="",$N949&gt;0),OR($I949="",$I949="NR",$O949&gt;0),IF(ISNUMBER($J949),AND($J949&gt;=0,$J949=INT($J949)),FALSE())),$J949,0)</f>
        <v>0</v>
      </c>
      <c r="Q949" s="64" t="n">
        <f aca="false">IF(AND($P949&gt;0,$O949&gt;0),$P949,0)</f>
        <v>0</v>
      </c>
      <c r="R949" s="64" t="n">
        <f aca="false">IF(AND($Q949&gt;0,$O949&gt;=AtRank),$Q949,0)</f>
        <v>0</v>
      </c>
      <c r="S949" s="64" t="n">
        <f aca="false">IF(AND($Q949&gt;0,$O949&gt;=AboveRank),$Q949,0)</f>
        <v>0</v>
      </c>
      <c r="T949" s="64" t="n">
        <f aca="false">IF($K949="Less",$P949,0)</f>
        <v>0</v>
      </c>
      <c r="U949" s="64" t="n">
        <f aca="false">IF($K949="Expected",$P949,0)</f>
        <v>0</v>
      </c>
      <c r="V949" s="64" t="n">
        <f aca="false">IF($K949="Better",$P949,0)</f>
        <v>0</v>
      </c>
      <c r="W949" s="64" t="n">
        <f aca="false">IF($K949="U – needs rule",$P949,0)</f>
        <v>0</v>
      </c>
      <c r="X949" s="64" t="n">
        <f aca="false">IF($K949="No Start (attainment only)",$P949,0)</f>
        <v>0</v>
      </c>
    </row>
    <row r="950" customFormat="false" ht="15" hidden="false" customHeight="false" outlineLevel="0" collapsed="false">
      <c r="A950" s="60"/>
      <c r="B950" s="61" t="str">
        <f aca="false">IF($M950=0,"",INDEX(Classes!$E$6:$E$420,$M950))</f>
        <v/>
      </c>
      <c r="C950" s="62" t="str">
        <f aca="false">IF($M950=0,"",INDEX(Classes!$H$6:$H$420,$M950))</f>
        <v/>
      </c>
      <c r="D950" s="61" t="str">
        <f aca="false">IF($M950=0,"",INDEX(Classes!$B$6:$B$420,$M950))</f>
        <v/>
      </c>
      <c r="E950" s="61" t="str">
        <f aca="false">IF($M950=0,"",INDEX(Classes!$C$6:$C$420,$M950))</f>
        <v/>
      </c>
      <c r="F950" s="63"/>
      <c r="G950" s="63"/>
      <c r="H950" s="60"/>
      <c r="I950" s="60"/>
      <c r="J950" s="63"/>
      <c r="K950" s="61" t="str">
        <f aca="false">IF($P950=0,"",IF($F950="Baseline","— Baseline",IF($O950=0,"No result",IF($N950=0,"No Start (attainment only)",IF(OR($N950=1,$O950=1),"U – needs rule",INDEX(MxBody,MATCH($I950,MxCurr,0),MATCH($H950,MxStart,0)))))))</f>
        <v/>
      </c>
      <c r="L950" s="62" t="str">
        <f aca="false">IF(COUNTA($A950,$F950,$G950,$H950,$I950,$J950)=0,"",IF($M950=0,"✖ كود الصف غير موجود",IF(ISNA(MATCH($F950,Lists!$A$2:$A$5,0)),"✖ الفترة غير صحيحة",IF(ISNA(MATCH($G950,Lists!$B$2:$B$7,0)),"✖ المجموعة غير صحيحة",IF(NOT(OR($H950="",$N950&gt;0)),"✖ Start غير صحيح",IF(NOT(OR($I950="",$I950="NR",$O950&gt;0)),"✖ Current غير صحيح",IF(NOT(IF(ISNUMBER($J950),AND($J950&gt;=0,$J950=INT($J950)),FALSE())),"✖ العدد يجب أن يكون صحيحًا ≥ 0",IF(AND($F950="Baseline",$H950&lt;&gt;""),"⚠ Baseline: Start لا يدخل في التقدم",IF($K950="No Start (attainment only)","ℹ تحصيل فقط (بدون Start)",IF($K950="U – needs rule","ℹ حالة U تحتاج قاعدة معتمدة",IF($K950="No result","ℹ بدون نتيجة (يُستبعد من التحصيل)","OK")))))))))))</f>
        <v/>
      </c>
      <c r="M950" s="64" t="n">
        <f aca="false">IF($A950="",0,IFERROR(MATCH($A950,Classes!$A$6:$A$420,0),0))</f>
        <v>0</v>
      </c>
      <c r="N950" s="64" t="n">
        <f aca="false">IF($H950="",0,IFERROR(MATCH($H950,GradeList,0),0))</f>
        <v>0</v>
      </c>
      <c r="O950" s="64" t="n">
        <f aca="false">IF(OR($I950="",$I950="NR"),0,IFERROR(MATCH($I950,GradeList,0),0))</f>
        <v>0</v>
      </c>
      <c r="P950" s="64" t="n">
        <f aca="false">IF(AND($M950&gt;0,ISNUMBER(MATCH($F950,Lists!$A$2:$A$5,0)),ISNUMBER(MATCH($G950,Lists!$B$2:$B$7,0)),OR($H950="",$N950&gt;0),OR($I950="",$I950="NR",$O950&gt;0),IF(ISNUMBER($J950),AND($J950&gt;=0,$J950=INT($J950)),FALSE())),$J950,0)</f>
        <v>0</v>
      </c>
      <c r="Q950" s="64" t="n">
        <f aca="false">IF(AND($P950&gt;0,$O950&gt;0),$P950,0)</f>
        <v>0</v>
      </c>
      <c r="R950" s="64" t="n">
        <f aca="false">IF(AND($Q950&gt;0,$O950&gt;=AtRank),$Q950,0)</f>
        <v>0</v>
      </c>
      <c r="S950" s="64" t="n">
        <f aca="false">IF(AND($Q950&gt;0,$O950&gt;=AboveRank),$Q950,0)</f>
        <v>0</v>
      </c>
      <c r="T950" s="64" t="n">
        <f aca="false">IF($K950="Less",$P950,0)</f>
        <v>0</v>
      </c>
      <c r="U950" s="64" t="n">
        <f aca="false">IF($K950="Expected",$P950,0)</f>
        <v>0</v>
      </c>
      <c r="V950" s="64" t="n">
        <f aca="false">IF($K950="Better",$P950,0)</f>
        <v>0</v>
      </c>
      <c r="W950" s="64" t="n">
        <f aca="false">IF($K950="U – needs rule",$P950,0)</f>
        <v>0</v>
      </c>
      <c r="X950" s="64" t="n">
        <f aca="false">IF($K950="No Start (attainment only)",$P950,0)</f>
        <v>0</v>
      </c>
    </row>
    <row r="951" customFormat="false" ht="15" hidden="false" customHeight="false" outlineLevel="0" collapsed="false">
      <c r="A951" s="60"/>
      <c r="B951" s="61" t="str">
        <f aca="false">IF($M951=0,"",INDEX(Classes!$E$6:$E$420,$M951))</f>
        <v/>
      </c>
      <c r="C951" s="62" t="str">
        <f aca="false">IF($M951=0,"",INDEX(Classes!$H$6:$H$420,$M951))</f>
        <v/>
      </c>
      <c r="D951" s="61" t="str">
        <f aca="false">IF($M951=0,"",INDEX(Classes!$B$6:$B$420,$M951))</f>
        <v/>
      </c>
      <c r="E951" s="61" t="str">
        <f aca="false">IF($M951=0,"",INDEX(Classes!$C$6:$C$420,$M951))</f>
        <v/>
      </c>
      <c r="F951" s="63"/>
      <c r="G951" s="63"/>
      <c r="H951" s="60"/>
      <c r="I951" s="60"/>
      <c r="J951" s="63"/>
      <c r="K951" s="61" t="str">
        <f aca="false">IF($P951=0,"",IF($F951="Baseline","— Baseline",IF($O951=0,"No result",IF($N951=0,"No Start (attainment only)",IF(OR($N951=1,$O951=1),"U – needs rule",INDEX(MxBody,MATCH($I951,MxCurr,0),MATCH($H951,MxStart,0)))))))</f>
        <v/>
      </c>
      <c r="L951" s="62" t="str">
        <f aca="false">IF(COUNTA($A951,$F951,$G951,$H951,$I951,$J951)=0,"",IF($M951=0,"✖ كود الصف غير موجود",IF(ISNA(MATCH($F951,Lists!$A$2:$A$5,0)),"✖ الفترة غير صحيحة",IF(ISNA(MATCH($G951,Lists!$B$2:$B$7,0)),"✖ المجموعة غير صحيحة",IF(NOT(OR($H951="",$N951&gt;0)),"✖ Start غير صحيح",IF(NOT(OR($I951="",$I951="NR",$O951&gt;0)),"✖ Current غير صحيح",IF(NOT(IF(ISNUMBER($J951),AND($J951&gt;=0,$J951=INT($J951)),FALSE())),"✖ العدد يجب أن يكون صحيحًا ≥ 0",IF(AND($F951="Baseline",$H951&lt;&gt;""),"⚠ Baseline: Start لا يدخل في التقدم",IF($K951="No Start (attainment only)","ℹ تحصيل فقط (بدون Start)",IF($K951="U – needs rule","ℹ حالة U تحتاج قاعدة معتمدة",IF($K951="No result","ℹ بدون نتيجة (يُستبعد من التحصيل)","OK")))))))))))</f>
        <v/>
      </c>
      <c r="M951" s="64" t="n">
        <f aca="false">IF($A951="",0,IFERROR(MATCH($A951,Classes!$A$6:$A$420,0),0))</f>
        <v>0</v>
      </c>
      <c r="N951" s="64" t="n">
        <f aca="false">IF($H951="",0,IFERROR(MATCH($H951,GradeList,0),0))</f>
        <v>0</v>
      </c>
      <c r="O951" s="64" t="n">
        <f aca="false">IF(OR($I951="",$I951="NR"),0,IFERROR(MATCH($I951,GradeList,0),0))</f>
        <v>0</v>
      </c>
      <c r="P951" s="64" t="n">
        <f aca="false">IF(AND($M951&gt;0,ISNUMBER(MATCH($F951,Lists!$A$2:$A$5,0)),ISNUMBER(MATCH($G951,Lists!$B$2:$B$7,0)),OR($H951="",$N951&gt;0),OR($I951="",$I951="NR",$O951&gt;0),IF(ISNUMBER($J951),AND($J951&gt;=0,$J951=INT($J951)),FALSE())),$J951,0)</f>
        <v>0</v>
      </c>
      <c r="Q951" s="64" t="n">
        <f aca="false">IF(AND($P951&gt;0,$O951&gt;0),$P951,0)</f>
        <v>0</v>
      </c>
      <c r="R951" s="64" t="n">
        <f aca="false">IF(AND($Q951&gt;0,$O951&gt;=AtRank),$Q951,0)</f>
        <v>0</v>
      </c>
      <c r="S951" s="64" t="n">
        <f aca="false">IF(AND($Q951&gt;0,$O951&gt;=AboveRank),$Q951,0)</f>
        <v>0</v>
      </c>
      <c r="T951" s="64" t="n">
        <f aca="false">IF($K951="Less",$P951,0)</f>
        <v>0</v>
      </c>
      <c r="U951" s="64" t="n">
        <f aca="false">IF($K951="Expected",$P951,0)</f>
        <v>0</v>
      </c>
      <c r="V951" s="64" t="n">
        <f aca="false">IF($K951="Better",$P951,0)</f>
        <v>0</v>
      </c>
      <c r="W951" s="64" t="n">
        <f aca="false">IF($K951="U – needs rule",$P951,0)</f>
        <v>0</v>
      </c>
      <c r="X951" s="64" t="n">
        <f aca="false">IF($K951="No Start (attainment only)",$P951,0)</f>
        <v>0</v>
      </c>
    </row>
    <row r="952" customFormat="false" ht="15" hidden="false" customHeight="false" outlineLevel="0" collapsed="false">
      <c r="A952" s="60"/>
      <c r="B952" s="61" t="str">
        <f aca="false">IF($M952=0,"",INDEX(Classes!$E$6:$E$420,$M952))</f>
        <v/>
      </c>
      <c r="C952" s="62" t="str">
        <f aca="false">IF($M952=0,"",INDEX(Classes!$H$6:$H$420,$M952))</f>
        <v/>
      </c>
      <c r="D952" s="61" t="str">
        <f aca="false">IF($M952=0,"",INDEX(Classes!$B$6:$B$420,$M952))</f>
        <v/>
      </c>
      <c r="E952" s="61" t="str">
        <f aca="false">IF($M952=0,"",INDEX(Classes!$C$6:$C$420,$M952))</f>
        <v/>
      </c>
      <c r="F952" s="63"/>
      <c r="G952" s="63"/>
      <c r="H952" s="60"/>
      <c r="I952" s="60"/>
      <c r="J952" s="63"/>
      <c r="K952" s="61" t="str">
        <f aca="false">IF($P952=0,"",IF($F952="Baseline","— Baseline",IF($O952=0,"No result",IF($N952=0,"No Start (attainment only)",IF(OR($N952=1,$O952=1),"U – needs rule",INDEX(MxBody,MATCH($I952,MxCurr,0),MATCH($H952,MxStart,0)))))))</f>
        <v/>
      </c>
      <c r="L952" s="62" t="str">
        <f aca="false">IF(COUNTA($A952,$F952,$G952,$H952,$I952,$J952)=0,"",IF($M952=0,"✖ كود الصف غير موجود",IF(ISNA(MATCH($F952,Lists!$A$2:$A$5,0)),"✖ الفترة غير صحيحة",IF(ISNA(MATCH($G952,Lists!$B$2:$B$7,0)),"✖ المجموعة غير صحيحة",IF(NOT(OR($H952="",$N952&gt;0)),"✖ Start غير صحيح",IF(NOT(OR($I952="",$I952="NR",$O952&gt;0)),"✖ Current غير صحيح",IF(NOT(IF(ISNUMBER($J952),AND($J952&gt;=0,$J952=INT($J952)),FALSE())),"✖ العدد يجب أن يكون صحيحًا ≥ 0",IF(AND($F952="Baseline",$H952&lt;&gt;""),"⚠ Baseline: Start لا يدخل في التقدم",IF($K952="No Start (attainment only)","ℹ تحصيل فقط (بدون Start)",IF($K952="U – needs rule","ℹ حالة U تحتاج قاعدة معتمدة",IF($K952="No result","ℹ بدون نتيجة (يُستبعد من التحصيل)","OK")))))))))))</f>
        <v/>
      </c>
      <c r="M952" s="64" t="n">
        <f aca="false">IF($A952="",0,IFERROR(MATCH($A952,Classes!$A$6:$A$420,0),0))</f>
        <v>0</v>
      </c>
      <c r="N952" s="64" t="n">
        <f aca="false">IF($H952="",0,IFERROR(MATCH($H952,GradeList,0),0))</f>
        <v>0</v>
      </c>
      <c r="O952" s="64" t="n">
        <f aca="false">IF(OR($I952="",$I952="NR"),0,IFERROR(MATCH($I952,GradeList,0),0))</f>
        <v>0</v>
      </c>
      <c r="P952" s="64" t="n">
        <f aca="false">IF(AND($M952&gt;0,ISNUMBER(MATCH($F952,Lists!$A$2:$A$5,0)),ISNUMBER(MATCH($G952,Lists!$B$2:$B$7,0)),OR($H952="",$N952&gt;0),OR($I952="",$I952="NR",$O952&gt;0),IF(ISNUMBER($J952),AND($J952&gt;=0,$J952=INT($J952)),FALSE())),$J952,0)</f>
        <v>0</v>
      </c>
      <c r="Q952" s="64" t="n">
        <f aca="false">IF(AND($P952&gt;0,$O952&gt;0),$P952,0)</f>
        <v>0</v>
      </c>
      <c r="R952" s="64" t="n">
        <f aca="false">IF(AND($Q952&gt;0,$O952&gt;=AtRank),$Q952,0)</f>
        <v>0</v>
      </c>
      <c r="S952" s="64" t="n">
        <f aca="false">IF(AND($Q952&gt;0,$O952&gt;=AboveRank),$Q952,0)</f>
        <v>0</v>
      </c>
      <c r="T952" s="64" t="n">
        <f aca="false">IF($K952="Less",$P952,0)</f>
        <v>0</v>
      </c>
      <c r="U952" s="64" t="n">
        <f aca="false">IF($K952="Expected",$P952,0)</f>
        <v>0</v>
      </c>
      <c r="V952" s="64" t="n">
        <f aca="false">IF($K952="Better",$P952,0)</f>
        <v>0</v>
      </c>
      <c r="W952" s="64" t="n">
        <f aca="false">IF($K952="U – needs rule",$P952,0)</f>
        <v>0</v>
      </c>
      <c r="X952" s="64" t="n">
        <f aca="false">IF($K952="No Start (attainment only)",$P952,0)</f>
        <v>0</v>
      </c>
    </row>
    <row r="953" customFormat="false" ht="15" hidden="false" customHeight="false" outlineLevel="0" collapsed="false">
      <c r="A953" s="60"/>
      <c r="B953" s="61" t="str">
        <f aca="false">IF($M953=0,"",INDEX(Classes!$E$6:$E$420,$M953))</f>
        <v/>
      </c>
      <c r="C953" s="62" t="str">
        <f aca="false">IF($M953=0,"",INDEX(Classes!$H$6:$H$420,$M953))</f>
        <v/>
      </c>
      <c r="D953" s="61" t="str">
        <f aca="false">IF($M953=0,"",INDEX(Classes!$B$6:$B$420,$M953))</f>
        <v/>
      </c>
      <c r="E953" s="61" t="str">
        <f aca="false">IF($M953=0,"",INDEX(Classes!$C$6:$C$420,$M953))</f>
        <v/>
      </c>
      <c r="F953" s="63"/>
      <c r="G953" s="63"/>
      <c r="H953" s="60"/>
      <c r="I953" s="60"/>
      <c r="J953" s="63"/>
      <c r="K953" s="61" t="str">
        <f aca="false">IF($P953=0,"",IF($F953="Baseline","— Baseline",IF($O953=0,"No result",IF($N953=0,"No Start (attainment only)",IF(OR($N953=1,$O953=1),"U – needs rule",INDEX(MxBody,MATCH($I953,MxCurr,0),MATCH($H953,MxStart,0)))))))</f>
        <v/>
      </c>
      <c r="L953" s="62" t="str">
        <f aca="false">IF(COUNTA($A953,$F953,$G953,$H953,$I953,$J953)=0,"",IF($M953=0,"✖ كود الصف غير موجود",IF(ISNA(MATCH($F953,Lists!$A$2:$A$5,0)),"✖ الفترة غير صحيحة",IF(ISNA(MATCH($G953,Lists!$B$2:$B$7,0)),"✖ المجموعة غير صحيحة",IF(NOT(OR($H953="",$N953&gt;0)),"✖ Start غير صحيح",IF(NOT(OR($I953="",$I953="NR",$O953&gt;0)),"✖ Current غير صحيح",IF(NOT(IF(ISNUMBER($J953),AND($J953&gt;=0,$J953=INT($J953)),FALSE())),"✖ العدد يجب أن يكون صحيحًا ≥ 0",IF(AND($F953="Baseline",$H953&lt;&gt;""),"⚠ Baseline: Start لا يدخل في التقدم",IF($K953="No Start (attainment only)","ℹ تحصيل فقط (بدون Start)",IF($K953="U – needs rule","ℹ حالة U تحتاج قاعدة معتمدة",IF($K953="No result","ℹ بدون نتيجة (يُستبعد من التحصيل)","OK")))))))))))</f>
        <v/>
      </c>
      <c r="M953" s="64" t="n">
        <f aca="false">IF($A953="",0,IFERROR(MATCH($A953,Classes!$A$6:$A$420,0),0))</f>
        <v>0</v>
      </c>
      <c r="N953" s="64" t="n">
        <f aca="false">IF($H953="",0,IFERROR(MATCH($H953,GradeList,0),0))</f>
        <v>0</v>
      </c>
      <c r="O953" s="64" t="n">
        <f aca="false">IF(OR($I953="",$I953="NR"),0,IFERROR(MATCH($I953,GradeList,0),0))</f>
        <v>0</v>
      </c>
      <c r="P953" s="64" t="n">
        <f aca="false">IF(AND($M953&gt;0,ISNUMBER(MATCH($F953,Lists!$A$2:$A$5,0)),ISNUMBER(MATCH($G953,Lists!$B$2:$B$7,0)),OR($H953="",$N953&gt;0),OR($I953="",$I953="NR",$O953&gt;0),IF(ISNUMBER($J953),AND($J953&gt;=0,$J953=INT($J953)),FALSE())),$J953,0)</f>
        <v>0</v>
      </c>
      <c r="Q953" s="64" t="n">
        <f aca="false">IF(AND($P953&gt;0,$O953&gt;0),$P953,0)</f>
        <v>0</v>
      </c>
      <c r="R953" s="64" t="n">
        <f aca="false">IF(AND($Q953&gt;0,$O953&gt;=AtRank),$Q953,0)</f>
        <v>0</v>
      </c>
      <c r="S953" s="64" t="n">
        <f aca="false">IF(AND($Q953&gt;0,$O953&gt;=AboveRank),$Q953,0)</f>
        <v>0</v>
      </c>
      <c r="T953" s="64" t="n">
        <f aca="false">IF($K953="Less",$P953,0)</f>
        <v>0</v>
      </c>
      <c r="U953" s="64" t="n">
        <f aca="false">IF($K953="Expected",$P953,0)</f>
        <v>0</v>
      </c>
      <c r="V953" s="64" t="n">
        <f aca="false">IF($K953="Better",$P953,0)</f>
        <v>0</v>
      </c>
      <c r="W953" s="64" t="n">
        <f aca="false">IF($K953="U – needs rule",$P953,0)</f>
        <v>0</v>
      </c>
      <c r="X953" s="64" t="n">
        <f aca="false">IF($K953="No Start (attainment only)",$P953,0)</f>
        <v>0</v>
      </c>
    </row>
    <row r="954" customFormat="false" ht="15" hidden="false" customHeight="false" outlineLevel="0" collapsed="false">
      <c r="A954" s="60"/>
      <c r="B954" s="61" t="str">
        <f aca="false">IF($M954=0,"",INDEX(Classes!$E$6:$E$420,$M954))</f>
        <v/>
      </c>
      <c r="C954" s="62" t="str">
        <f aca="false">IF($M954=0,"",INDEX(Classes!$H$6:$H$420,$M954))</f>
        <v/>
      </c>
      <c r="D954" s="61" t="str">
        <f aca="false">IF($M954=0,"",INDEX(Classes!$B$6:$B$420,$M954))</f>
        <v/>
      </c>
      <c r="E954" s="61" t="str">
        <f aca="false">IF($M954=0,"",INDEX(Classes!$C$6:$C$420,$M954))</f>
        <v/>
      </c>
      <c r="F954" s="63"/>
      <c r="G954" s="63"/>
      <c r="H954" s="60"/>
      <c r="I954" s="60"/>
      <c r="J954" s="63"/>
      <c r="K954" s="61" t="str">
        <f aca="false">IF($P954=0,"",IF($F954="Baseline","— Baseline",IF($O954=0,"No result",IF($N954=0,"No Start (attainment only)",IF(OR($N954=1,$O954=1),"U – needs rule",INDEX(MxBody,MATCH($I954,MxCurr,0),MATCH($H954,MxStart,0)))))))</f>
        <v/>
      </c>
      <c r="L954" s="62" t="str">
        <f aca="false">IF(COUNTA($A954,$F954,$G954,$H954,$I954,$J954)=0,"",IF($M954=0,"✖ كود الصف غير موجود",IF(ISNA(MATCH($F954,Lists!$A$2:$A$5,0)),"✖ الفترة غير صحيحة",IF(ISNA(MATCH($G954,Lists!$B$2:$B$7,0)),"✖ المجموعة غير صحيحة",IF(NOT(OR($H954="",$N954&gt;0)),"✖ Start غير صحيح",IF(NOT(OR($I954="",$I954="NR",$O954&gt;0)),"✖ Current غير صحيح",IF(NOT(IF(ISNUMBER($J954),AND($J954&gt;=0,$J954=INT($J954)),FALSE())),"✖ العدد يجب أن يكون صحيحًا ≥ 0",IF(AND($F954="Baseline",$H954&lt;&gt;""),"⚠ Baseline: Start لا يدخل في التقدم",IF($K954="No Start (attainment only)","ℹ تحصيل فقط (بدون Start)",IF($K954="U – needs rule","ℹ حالة U تحتاج قاعدة معتمدة",IF($K954="No result","ℹ بدون نتيجة (يُستبعد من التحصيل)","OK")))))))))))</f>
        <v/>
      </c>
      <c r="M954" s="64" t="n">
        <f aca="false">IF($A954="",0,IFERROR(MATCH($A954,Classes!$A$6:$A$420,0),0))</f>
        <v>0</v>
      </c>
      <c r="N954" s="64" t="n">
        <f aca="false">IF($H954="",0,IFERROR(MATCH($H954,GradeList,0),0))</f>
        <v>0</v>
      </c>
      <c r="O954" s="64" t="n">
        <f aca="false">IF(OR($I954="",$I954="NR"),0,IFERROR(MATCH($I954,GradeList,0),0))</f>
        <v>0</v>
      </c>
      <c r="P954" s="64" t="n">
        <f aca="false">IF(AND($M954&gt;0,ISNUMBER(MATCH($F954,Lists!$A$2:$A$5,0)),ISNUMBER(MATCH($G954,Lists!$B$2:$B$7,0)),OR($H954="",$N954&gt;0),OR($I954="",$I954="NR",$O954&gt;0),IF(ISNUMBER($J954),AND($J954&gt;=0,$J954=INT($J954)),FALSE())),$J954,0)</f>
        <v>0</v>
      </c>
      <c r="Q954" s="64" t="n">
        <f aca="false">IF(AND($P954&gt;0,$O954&gt;0),$P954,0)</f>
        <v>0</v>
      </c>
      <c r="R954" s="64" t="n">
        <f aca="false">IF(AND($Q954&gt;0,$O954&gt;=AtRank),$Q954,0)</f>
        <v>0</v>
      </c>
      <c r="S954" s="64" t="n">
        <f aca="false">IF(AND($Q954&gt;0,$O954&gt;=AboveRank),$Q954,0)</f>
        <v>0</v>
      </c>
      <c r="T954" s="64" t="n">
        <f aca="false">IF($K954="Less",$P954,0)</f>
        <v>0</v>
      </c>
      <c r="U954" s="64" t="n">
        <f aca="false">IF($K954="Expected",$P954,0)</f>
        <v>0</v>
      </c>
      <c r="V954" s="64" t="n">
        <f aca="false">IF($K954="Better",$P954,0)</f>
        <v>0</v>
      </c>
      <c r="W954" s="64" t="n">
        <f aca="false">IF($K954="U – needs rule",$P954,0)</f>
        <v>0</v>
      </c>
      <c r="X954" s="64" t="n">
        <f aca="false">IF($K954="No Start (attainment only)",$P954,0)</f>
        <v>0</v>
      </c>
    </row>
    <row r="955" customFormat="false" ht="15" hidden="false" customHeight="false" outlineLevel="0" collapsed="false">
      <c r="A955" s="60"/>
      <c r="B955" s="61" t="str">
        <f aca="false">IF($M955=0,"",INDEX(Classes!$E$6:$E$420,$M955))</f>
        <v/>
      </c>
      <c r="C955" s="62" t="str">
        <f aca="false">IF($M955=0,"",INDEX(Classes!$H$6:$H$420,$M955))</f>
        <v/>
      </c>
      <c r="D955" s="61" t="str">
        <f aca="false">IF($M955=0,"",INDEX(Classes!$B$6:$B$420,$M955))</f>
        <v/>
      </c>
      <c r="E955" s="61" t="str">
        <f aca="false">IF($M955=0,"",INDEX(Classes!$C$6:$C$420,$M955))</f>
        <v/>
      </c>
      <c r="F955" s="63"/>
      <c r="G955" s="63"/>
      <c r="H955" s="60"/>
      <c r="I955" s="60"/>
      <c r="J955" s="63"/>
      <c r="K955" s="61" t="str">
        <f aca="false">IF($P955=0,"",IF($F955="Baseline","— Baseline",IF($O955=0,"No result",IF($N955=0,"No Start (attainment only)",IF(OR($N955=1,$O955=1),"U – needs rule",INDEX(MxBody,MATCH($I955,MxCurr,0),MATCH($H955,MxStart,0)))))))</f>
        <v/>
      </c>
      <c r="L955" s="62" t="str">
        <f aca="false">IF(COUNTA($A955,$F955,$G955,$H955,$I955,$J955)=0,"",IF($M955=0,"✖ كود الصف غير موجود",IF(ISNA(MATCH($F955,Lists!$A$2:$A$5,0)),"✖ الفترة غير صحيحة",IF(ISNA(MATCH($G955,Lists!$B$2:$B$7,0)),"✖ المجموعة غير صحيحة",IF(NOT(OR($H955="",$N955&gt;0)),"✖ Start غير صحيح",IF(NOT(OR($I955="",$I955="NR",$O955&gt;0)),"✖ Current غير صحيح",IF(NOT(IF(ISNUMBER($J955),AND($J955&gt;=0,$J955=INT($J955)),FALSE())),"✖ العدد يجب أن يكون صحيحًا ≥ 0",IF(AND($F955="Baseline",$H955&lt;&gt;""),"⚠ Baseline: Start لا يدخل في التقدم",IF($K955="No Start (attainment only)","ℹ تحصيل فقط (بدون Start)",IF($K955="U – needs rule","ℹ حالة U تحتاج قاعدة معتمدة",IF($K955="No result","ℹ بدون نتيجة (يُستبعد من التحصيل)","OK")))))))))))</f>
        <v/>
      </c>
      <c r="M955" s="64" t="n">
        <f aca="false">IF($A955="",0,IFERROR(MATCH($A955,Classes!$A$6:$A$420,0),0))</f>
        <v>0</v>
      </c>
      <c r="N955" s="64" t="n">
        <f aca="false">IF($H955="",0,IFERROR(MATCH($H955,GradeList,0),0))</f>
        <v>0</v>
      </c>
      <c r="O955" s="64" t="n">
        <f aca="false">IF(OR($I955="",$I955="NR"),0,IFERROR(MATCH($I955,GradeList,0),0))</f>
        <v>0</v>
      </c>
      <c r="P955" s="64" t="n">
        <f aca="false">IF(AND($M955&gt;0,ISNUMBER(MATCH($F955,Lists!$A$2:$A$5,0)),ISNUMBER(MATCH($G955,Lists!$B$2:$B$7,0)),OR($H955="",$N955&gt;0),OR($I955="",$I955="NR",$O955&gt;0),IF(ISNUMBER($J955),AND($J955&gt;=0,$J955=INT($J955)),FALSE())),$J955,0)</f>
        <v>0</v>
      </c>
      <c r="Q955" s="64" t="n">
        <f aca="false">IF(AND($P955&gt;0,$O955&gt;0),$P955,0)</f>
        <v>0</v>
      </c>
      <c r="R955" s="64" t="n">
        <f aca="false">IF(AND($Q955&gt;0,$O955&gt;=AtRank),$Q955,0)</f>
        <v>0</v>
      </c>
      <c r="S955" s="64" t="n">
        <f aca="false">IF(AND($Q955&gt;0,$O955&gt;=AboveRank),$Q955,0)</f>
        <v>0</v>
      </c>
      <c r="T955" s="64" t="n">
        <f aca="false">IF($K955="Less",$P955,0)</f>
        <v>0</v>
      </c>
      <c r="U955" s="64" t="n">
        <f aca="false">IF($K955="Expected",$P955,0)</f>
        <v>0</v>
      </c>
      <c r="V955" s="64" t="n">
        <f aca="false">IF($K955="Better",$P955,0)</f>
        <v>0</v>
      </c>
      <c r="W955" s="64" t="n">
        <f aca="false">IF($K955="U – needs rule",$P955,0)</f>
        <v>0</v>
      </c>
      <c r="X955" s="64" t="n">
        <f aca="false">IF($K955="No Start (attainment only)",$P955,0)</f>
        <v>0</v>
      </c>
    </row>
    <row r="956" customFormat="false" ht="15" hidden="false" customHeight="false" outlineLevel="0" collapsed="false">
      <c r="A956" s="60"/>
      <c r="B956" s="61" t="str">
        <f aca="false">IF($M956=0,"",INDEX(Classes!$E$6:$E$420,$M956))</f>
        <v/>
      </c>
      <c r="C956" s="62" t="str">
        <f aca="false">IF($M956=0,"",INDEX(Classes!$H$6:$H$420,$M956))</f>
        <v/>
      </c>
      <c r="D956" s="61" t="str">
        <f aca="false">IF($M956=0,"",INDEX(Classes!$B$6:$B$420,$M956))</f>
        <v/>
      </c>
      <c r="E956" s="61" t="str">
        <f aca="false">IF($M956=0,"",INDEX(Classes!$C$6:$C$420,$M956))</f>
        <v/>
      </c>
      <c r="F956" s="63"/>
      <c r="G956" s="63"/>
      <c r="H956" s="60"/>
      <c r="I956" s="60"/>
      <c r="J956" s="63"/>
      <c r="K956" s="61" t="str">
        <f aca="false">IF($P956=0,"",IF($F956="Baseline","— Baseline",IF($O956=0,"No result",IF($N956=0,"No Start (attainment only)",IF(OR($N956=1,$O956=1),"U – needs rule",INDEX(MxBody,MATCH($I956,MxCurr,0),MATCH($H956,MxStart,0)))))))</f>
        <v/>
      </c>
      <c r="L956" s="62" t="str">
        <f aca="false">IF(COUNTA($A956,$F956,$G956,$H956,$I956,$J956)=0,"",IF($M956=0,"✖ كود الصف غير موجود",IF(ISNA(MATCH($F956,Lists!$A$2:$A$5,0)),"✖ الفترة غير صحيحة",IF(ISNA(MATCH($G956,Lists!$B$2:$B$7,0)),"✖ المجموعة غير صحيحة",IF(NOT(OR($H956="",$N956&gt;0)),"✖ Start غير صحيح",IF(NOT(OR($I956="",$I956="NR",$O956&gt;0)),"✖ Current غير صحيح",IF(NOT(IF(ISNUMBER($J956),AND($J956&gt;=0,$J956=INT($J956)),FALSE())),"✖ العدد يجب أن يكون صحيحًا ≥ 0",IF(AND($F956="Baseline",$H956&lt;&gt;""),"⚠ Baseline: Start لا يدخل في التقدم",IF($K956="No Start (attainment only)","ℹ تحصيل فقط (بدون Start)",IF($K956="U – needs rule","ℹ حالة U تحتاج قاعدة معتمدة",IF($K956="No result","ℹ بدون نتيجة (يُستبعد من التحصيل)","OK")))))))))))</f>
        <v/>
      </c>
      <c r="M956" s="64" t="n">
        <f aca="false">IF($A956="",0,IFERROR(MATCH($A956,Classes!$A$6:$A$420,0),0))</f>
        <v>0</v>
      </c>
      <c r="N956" s="64" t="n">
        <f aca="false">IF($H956="",0,IFERROR(MATCH($H956,GradeList,0),0))</f>
        <v>0</v>
      </c>
      <c r="O956" s="64" t="n">
        <f aca="false">IF(OR($I956="",$I956="NR"),0,IFERROR(MATCH($I956,GradeList,0),0))</f>
        <v>0</v>
      </c>
      <c r="P956" s="64" t="n">
        <f aca="false">IF(AND($M956&gt;0,ISNUMBER(MATCH($F956,Lists!$A$2:$A$5,0)),ISNUMBER(MATCH($G956,Lists!$B$2:$B$7,0)),OR($H956="",$N956&gt;0),OR($I956="",$I956="NR",$O956&gt;0),IF(ISNUMBER($J956),AND($J956&gt;=0,$J956=INT($J956)),FALSE())),$J956,0)</f>
        <v>0</v>
      </c>
      <c r="Q956" s="64" t="n">
        <f aca="false">IF(AND($P956&gt;0,$O956&gt;0),$P956,0)</f>
        <v>0</v>
      </c>
      <c r="R956" s="64" t="n">
        <f aca="false">IF(AND($Q956&gt;0,$O956&gt;=AtRank),$Q956,0)</f>
        <v>0</v>
      </c>
      <c r="S956" s="64" t="n">
        <f aca="false">IF(AND($Q956&gt;0,$O956&gt;=AboveRank),$Q956,0)</f>
        <v>0</v>
      </c>
      <c r="T956" s="64" t="n">
        <f aca="false">IF($K956="Less",$P956,0)</f>
        <v>0</v>
      </c>
      <c r="U956" s="64" t="n">
        <f aca="false">IF($K956="Expected",$P956,0)</f>
        <v>0</v>
      </c>
      <c r="V956" s="64" t="n">
        <f aca="false">IF($K956="Better",$P956,0)</f>
        <v>0</v>
      </c>
      <c r="W956" s="64" t="n">
        <f aca="false">IF($K956="U – needs rule",$P956,0)</f>
        <v>0</v>
      </c>
      <c r="X956" s="64" t="n">
        <f aca="false">IF($K956="No Start (attainment only)",$P956,0)</f>
        <v>0</v>
      </c>
    </row>
    <row r="957" customFormat="false" ht="15" hidden="false" customHeight="false" outlineLevel="0" collapsed="false">
      <c r="A957" s="60"/>
      <c r="B957" s="61" t="str">
        <f aca="false">IF($M957=0,"",INDEX(Classes!$E$6:$E$420,$M957))</f>
        <v/>
      </c>
      <c r="C957" s="62" t="str">
        <f aca="false">IF($M957=0,"",INDEX(Classes!$H$6:$H$420,$M957))</f>
        <v/>
      </c>
      <c r="D957" s="61" t="str">
        <f aca="false">IF($M957=0,"",INDEX(Classes!$B$6:$B$420,$M957))</f>
        <v/>
      </c>
      <c r="E957" s="61" t="str">
        <f aca="false">IF($M957=0,"",INDEX(Classes!$C$6:$C$420,$M957))</f>
        <v/>
      </c>
      <c r="F957" s="63"/>
      <c r="G957" s="63"/>
      <c r="H957" s="60"/>
      <c r="I957" s="60"/>
      <c r="J957" s="63"/>
      <c r="K957" s="61" t="str">
        <f aca="false">IF($P957=0,"",IF($F957="Baseline","— Baseline",IF($O957=0,"No result",IF($N957=0,"No Start (attainment only)",IF(OR($N957=1,$O957=1),"U – needs rule",INDEX(MxBody,MATCH($I957,MxCurr,0),MATCH($H957,MxStart,0)))))))</f>
        <v/>
      </c>
      <c r="L957" s="62" t="str">
        <f aca="false">IF(COUNTA($A957,$F957,$G957,$H957,$I957,$J957)=0,"",IF($M957=0,"✖ كود الصف غير موجود",IF(ISNA(MATCH($F957,Lists!$A$2:$A$5,0)),"✖ الفترة غير صحيحة",IF(ISNA(MATCH($G957,Lists!$B$2:$B$7,0)),"✖ المجموعة غير صحيحة",IF(NOT(OR($H957="",$N957&gt;0)),"✖ Start غير صحيح",IF(NOT(OR($I957="",$I957="NR",$O957&gt;0)),"✖ Current غير صحيح",IF(NOT(IF(ISNUMBER($J957),AND($J957&gt;=0,$J957=INT($J957)),FALSE())),"✖ العدد يجب أن يكون صحيحًا ≥ 0",IF(AND($F957="Baseline",$H957&lt;&gt;""),"⚠ Baseline: Start لا يدخل في التقدم",IF($K957="No Start (attainment only)","ℹ تحصيل فقط (بدون Start)",IF($K957="U – needs rule","ℹ حالة U تحتاج قاعدة معتمدة",IF($K957="No result","ℹ بدون نتيجة (يُستبعد من التحصيل)","OK")))))))))))</f>
        <v/>
      </c>
      <c r="M957" s="64" t="n">
        <f aca="false">IF($A957="",0,IFERROR(MATCH($A957,Classes!$A$6:$A$420,0),0))</f>
        <v>0</v>
      </c>
      <c r="N957" s="64" t="n">
        <f aca="false">IF($H957="",0,IFERROR(MATCH($H957,GradeList,0),0))</f>
        <v>0</v>
      </c>
      <c r="O957" s="64" t="n">
        <f aca="false">IF(OR($I957="",$I957="NR"),0,IFERROR(MATCH($I957,GradeList,0),0))</f>
        <v>0</v>
      </c>
      <c r="P957" s="64" t="n">
        <f aca="false">IF(AND($M957&gt;0,ISNUMBER(MATCH($F957,Lists!$A$2:$A$5,0)),ISNUMBER(MATCH($G957,Lists!$B$2:$B$7,0)),OR($H957="",$N957&gt;0),OR($I957="",$I957="NR",$O957&gt;0),IF(ISNUMBER($J957),AND($J957&gt;=0,$J957=INT($J957)),FALSE())),$J957,0)</f>
        <v>0</v>
      </c>
      <c r="Q957" s="64" t="n">
        <f aca="false">IF(AND($P957&gt;0,$O957&gt;0),$P957,0)</f>
        <v>0</v>
      </c>
      <c r="R957" s="64" t="n">
        <f aca="false">IF(AND($Q957&gt;0,$O957&gt;=AtRank),$Q957,0)</f>
        <v>0</v>
      </c>
      <c r="S957" s="64" t="n">
        <f aca="false">IF(AND($Q957&gt;0,$O957&gt;=AboveRank),$Q957,0)</f>
        <v>0</v>
      </c>
      <c r="T957" s="64" t="n">
        <f aca="false">IF($K957="Less",$P957,0)</f>
        <v>0</v>
      </c>
      <c r="U957" s="64" t="n">
        <f aca="false">IF($K957="Expected",$P957,0)</f>
        <v>0</v>
      </c>
      <c r="V957" s="64" t="n">
        <f aca="false">IF($K957="Better",$P957,0)</f>
        <v>0</v>
      </c>
      <c r="W957" s="64" t="n">
        <f aca="false">IF($K957="U – needs rule",$P957,0)</f>
        <v>0</v>
      </c>
      <c r="X957" s="64" t="n">
        <f aca="false">IF($K957="No Start (attainment only)",$P957,0)</f>
        <v>0</v>
      </c>
    </row>
    <row r="958" customFormat="false" ht="15" hidden="false" customHeight="false" outlineLevel="0" collapsed="false">
      <c r="A958" s="60"/>
      <c r="B958" s="61" t="str">
        <f aca="false">IF($M958=0,"",INDEX(Classes!$E$6:$E$420,$M958))</f>
        <v/>
      </c>
      <c r="C958" s="62" t="str">
        <f aca="false">IF($M958=0,"",INDEX(Classes!$H$6:$H$420,$M958))</f>
        <v/>
      </c>
      <c r="D958" s="61" t="str">
        <f aca="false">IF($M958=0,"",INDEX(Classes!$B$6:$B$420,$M958))</f>
        <v/>
      </c>
      <c r="E958" s="61" t="str">
        <f aca="false">IF($M958=0,"",INDEX(Classes!$C$6:$C$420,$M958))</f>
        <v/>
      </c>
      <c r="F958" s="63"/>
      <c r="G958" s="63"/>
      <c r="H958" s="60"/>
      <c r="I958" s="60"/>
      <c r="J958" s="63"/>
      <c r="K958" s="61" t="str">
        <f aca="false">IF($P958=0,"",IF($F958="Baseline","— Baseline",IF($O958=0,"No result",IF($N958=0,"No Start (attainment only)",IF(OR($N958=1,$O958=1),"U – needs rule",INDEX(MxBody,MATCH($I958,MxCurr,0),MATCH($H958,MxStart,0)))))))</f>
        <v/>
      </c>
      <c r="L958" s="62" t="str">
        <f aca="false">IF(COUNTA($A958,$F958,$G958,$H958,$I958,$J958)=0,"",IF($M958=0,"✖ كود الصف غير موجود",IF(ISNA(MATCH($F958,Lists!$A$2:$A$5,0)),"✖ الفترة غير صحيحة",IF(ISNA(MATCH($G958,Lists!$B$2:$B$7,0)),"✖ المجموعة غير صحيحة",IF(NOT(OR($H958="",$N958&gt;0)),"✖ Start غير صحيح",IF(NOT(OR($I958="",$I958="NR",$O958&gt;0)),"✖ Current غير صحيح",IF(NOT(IF(ISNUMBER($J958),AND($J958&gt;=0,$J958=INT($J958)),FALSE())),"✖ العدد يجب أن يكون صحيحًا ≥ 0",IF(AND($F958="Baseline",$H958&lt;&gt;""),"⚠ Baseline: Start لا يدخل في التقدم",IF($K958="No Start (attainment only)","ℹ تحصيل فقط (بدون Start)",IF($K958="U – needs rule","ℹ حالة U تحتاج قاعدة معتمدة",IF($K958="No result","ℹ بدون نتيجة (يُستبعد من التحصيل)","OK")))))))))))</f>
        <v/>
      </c>
      <c r="M958" s="64" t="n">
        <f aca="false">IF($A958="",0,IFERROR(MATCH($A958,Classes!$A$6:$A$420,0),0))</f>
        <v>0</v>
      </c>
      <c r="N958" s="64" t="n">
        <f aca="false">IF($H958="",0,IFERROR(MATCH($H958,GradeList,0),0))</f>
        <v>0</v>
      </c>
      <c r="O958" s="64" t="n">
        <f aca="false">IF(OR($I958="",$I958="NR"),0,IFERROR(MATCH($I958,GradeList,0),0))</f>
        <v>0</v>
      </c>
      <c r="P958" s="64" t="n">
        <f aca="false">IF(AND($M958&gt;0,ISNUMBER(MATCH($F958,Lists!$A$2:$A$5,0)),ISNUMBER(MATCH($G958,Lists!$B$2:$B$7,0)),OR($H958="",$N958&gt;0),OR($I958="",$I958="NR",$O958&gt;0),IF(ISNUMBER($J958),AND($J958&gt;=0,$J958=INT($J958)),FALSE())),$J958,0)</f>
        <v>0</v>
      </c>
      <c r="Q958" s="64" t="n">
        <f aca="false">IF(AND($P958&gt;0,$O958&gt;0),$P958,0)</f>
        <v>0</v>
      </c>
      <c r="R958" s="64" t="n">
        <f aca="false">IF(AND($Q958&gt;0,$O958&gt;=AtRank),$Q958,0)</f>
        <v>0</v>
      </c>
      <c r="S958" s="64" t="n">
        <f aca="false">IF(AND($Q958&gt;0,$O958&gt;=AboveRank),$Q958,0)</f>
        <v>0</v>
      </c>
      <c r="T958" s="64" t="n">
        <f aca="false">IF($K958="Less",$P958,0)</f>
        <v>0</v>
      </c>
      <c r="U958" s="64" t="n">
        <f aca="false">IF($K958="Expected",$P958,0)</f>
        <v>0</v>
      </c>
      <c r="V958" s="64" t="n">
        <f aca="false">IF($K958="Better",$P958,0)</f>
        <v>0</v>
      </c>
      <c r="W958" s="64" t="n">
        <f aca="false">IF($K958="U – needs rule",$P958,0)</f>
        <v>0</v>
      </c>
      <c r="X958" s="64" t="n">
        <f aca="false">IF($K958="No Start (attainment only)",$P958,0)</f>
        <v>0</v>
      </c>
    </row>
    <row r="959" customFormat="false" ht="15" hidden="false" customHeight="false" outlineLevel="0" collapsed="false">
      <c r="A959" s="60"/>
      <c r="B959" s="61" t="str">
        <f aca="false">IF($M959=0,"",INDEX(Classes!$E$6:$E$420,$M959))</f>
        <v/>
      </c>
      <c r="C959" s="62" t="str">
        <f aca="false">IF($M959=0,"",INDEX(Classes!$H$6:$H$420,$M959))</f>
        <v/>
      </c>
      <c r="D959" s="61" t="str">
        <f aca="false">IF($M959=0,"",INDEX(Classes!$B$6:$B$420,$M959))</f>
        <v/>
      </c>
      <c r="E959" s="61" t="str">
        <f aca="false">IF($M959=0,"",INDEX(Classes!$C$6:$C$420,$M959))</f>
        <v/>
      </c>
      <c r="F959" s="63"/>
      <c r="G959" s="63"/>
      <c r="H959" s="60"/>
      <c r="I959" s="60"/>
      <c r="J959" s="63"/>
      <c r="K959" s="61" t="str">
        <f aca="false">IF($P959=0,"",IF($F959="Baseline","— Baseline",IF($O959=0,"No result",IF($N959=0,"No Start (attainment only)",IF(OR($N959=1,$O959=1),"U – needs rule",INDEX(MxBody,MATCH($I959,MxCurr,0),MATCH($H959,MxStart,0)))))))</f>
        <v/>
      </c>
      <c r="L959" s="62" t="str">
        <f aca="false">IF(COUNTA($A959,$F959,$G959,$H959,$I959,$J959)=0,"",IF($M959=0,"✖ كود الصف غير موجود",IF(ISNA(MATCH($F959,Lists!$A$2:$A$5,0)),"✖ الفترة غير صحيحة",IF(ISNA(MATCH($G959,Lists!$B$2:$B$7,0)),"✖ المجموعة غير صحيحة",IF(NOT(OR($H959="",$N959&gt;0)),"✖ Start غير صحيح",IF(NOT(OR($I959="",$I959="NR",$O959&gt;0)),"✖ Current غير صحيح",IF(NOT(IF(ISNUMBER($J959),AND($J959&gt;=0,$J959=INT($J959)),FALSE())),"✖ العدد يجب أن يكون صحيحًا ≥ 0",IF(AND($F959="Baseline",$H959&lt;&gt;""),"⚠ Baseline: Start لا يدخل في التقدم",IF($K959="No Start (attainment only)","ℹ تحصيل فقط (بدون Start)",IF($K959="U – needs rule","ℹ حالة U تحتاج قاعدة معتمدة",IF($K959="No result","ℹ بدون نتيجة (يُستبعد من التحصيل)","OK")))))))))))</f>
        <v/>
      </c>
      <c r="M959" s="64" t="n">
        <f aca="false">IF($A959="",0,IFERROR(MATCH($A959,Classes!$A$6:$A$420,0),0))</f>
        <v>0</v>
      </c>
      <c r="N959" s="64" t="n">
        <f aca="false">IF($H959="",0,IFERROR(MATCH($H959,GradeList,0),0))</f>
        <v>0</v>
      </c>
      <c r="O959" s="64" t="n">
        <f aca="false">IF(OR($I959="",$I959="NR"),0,IFERROR(MATCH($I959,GradeList,0),0))</f>
        <v>0</v>
      </c>
      <c r="P959" s="64" t="n">
        <f aca="false">IF(AND($M959&gt;0,ISNUMBER(MATCH($F959,Lists!$A$2:$A$5,0)),ISNUMBER(MATCH($G959,Lists!$B$2:$B$7,0)),OR($H959="",$N959&gt;0),OR($I959="",$I959="NR",$O959&gt;0),IF(ISNUMBER($J959),AND($J959&gt;=0,$J959=INT($J959)),FALSE())),$J959,0)</f>
        <v>0</v>
      </c>
      <c r="Q959" s="64" t="n">
        <f aca="false">IF(AND($P959&gt;0,$O959&gt;0),$P959,0)</f>
        <v>0</v>
      </c>
      <c r="R959" s="64" t="n">
        <f aca="false">IF(AND($Q959&gt;0,$O959&gt;=AtRank),$Q959,0)</f>
        <v>0</v>
      </c>
      <c r="S959" s="64" t="n">
        <f aca="false">IF(AND($Q959&gt;0,$O959&gt;=AboveRank),$Q959,0)</f>
        <v>0</v>
      </c>
      <c r="T959" s="64" t="n">
        <f aca="false">IF($K959="Less",$P959,0)</f>
        <v>0</v>
      </c>
      <c r="U959" s="64" t="n">
        <f aca="false">IF($K959="Expected",$P959,0)</f>
        <v>0</v>
      </c>
      <c r="V959" s="64" t="n">
        <f aca="false">IF($K959="Better",$P959,0)</f>
        <v>0</v>
      </c>
      <c r="W959" s="64" t="n">
        <f aca="false">IF($K959="U – needs rule",$P959,0)</f>
        <v>0</v>
      </c>
      <c r="X959" s="64" t="n">
        <f aca="false">IF($K959="No Start (attainment only)",$P959,0)</f>
        <v>0</v>
      </c>
    </row>
    <row r="960" customFormat="false" ht="15" hidden="false" customHeight="false" outlineLevel="0" collapsed="false">
      <c r="A960" s="60"/>
      <c r="B960" s="61" t="str">
        <f aca="false">IF($M960=0,"",INDEX(Classes!$E$6:$E$420,$M960))</f>
        <v/>
      </c>
      <c r="C960" s="62" t="str">
        <f aca="false">IF($M960=0,"",INDEX(Classes!$H$6:$H$420,$M960))</f>
        <v/>
      </c>
      <c r="D960" s="61" t="str">
        <f aca="false">IF($M960=0,"",INDEX(Classes!$B$6:$B$420,$M960))</f>
        <v/>
      </c>
      <c r="E960" s="61" t="str">
        <f aca="false">IF($M960=0,"",INDEX(Classes!$C$6:$C$420,$M960))</f>
        <v/>
      </c>
      <c r="F960" s="63"/>
      <c r="G960" s="63"/>
      <c r="H960" s="60"/>
      <c r="I960" s="60"/>
      <c r="J960" s="63"/>
      <c r="K960" s="61" t="str">
        <f aca="false">IF($P960=0,"",IF($F960="Baseline","— Baseline",IF($O960=0,"No result",IF($N960=0,"No Start (attainment only)",IF(OR($N960=1,$O960=1),"U – needs rule",INDEX(MxBody,MATCH($I960,MxCurr,0),MATCH($H960,MxStart,0)))))))</f>
        <v/>
      </c>
      <c r="L960" s="62" t="str">
        <f aca="false">IF(COUNTA($A960,$F960,$G960,$H960,$I960,$J960)=0,"",IF($M960=0,"✖ كود الصف غير موجود",IF(ISNA(MATCH($F960,Lists!$A$2:$A$5,0)),"✖ الفترة غير صحيحة",IF(ISNA(MATCH($G960,Lists!$B$2:$B$7,0)),"✖ المجموعة غير صحيحة",IF(NOT(OR($H960="",$N960&gt;0)),"✖ Start غير صحيح",IF(NOT(OR($I960="",$I960="NR",$O960&gt;0)),"✖ Current غير صحيح",IF(NOT(IF(ISNUMBER($J960),AND($J960&gt;=0,$J960=INT($J960)),FALSE())),"✖ العدد يجب أن يكون صحيحًا ≥ 0",IF(AND($F960="Baseline",$H960&lt;&gt;""),"⚠ Baseline: Start لا يدخل في التقدم",IF($K960="No Start (attainment only)","ℹ تحصيل فقط (بدون Start)",IF($K960="U – needs rule","ℹ حالة U تحتاج قاعدة معتمدة",IF($K960="No result","ℹ بدون نتيجة (يُستبعد من التحصيل)","OK")))))))))))</f>
        <v/>
      </c>
      <c r="M960" s="64" t="n">
        <f aca="false">IF($A960="",0,IFERROR(MATCH($A960,Classes!$A$6:$A$420,0),0))</f>
        <v>0</v>
      </c>
      <c r="N960" s="64" t="n">
        <f aca="false">IF($H960="",0,IFERROR(MATCH($H960,GradeList,0),0))</f>
        <v>0</v>
      </c>
      <c r="O960" s="64" t="n">
        <f aca="false">IF(OR($I960="",$I960="NR"),0,IFERROR(MATCH($I960,GradeList,0),0))</f>
        <v>0</v>
      </c>
      <c r="P960" s="64" t="n">
        <f aca="false">IF(AND($M960&gt;0,ISNUMBER(MATCH($F960,Lists!$A$2:$A$5,0)),ISNUMBER(MATCH($G960,Lists!$B$2:$B$7,0)),OR($H960="",$N960&gt;0),OR($I960="",$I960="NR",$O960&gt;0),IF(ISNUMBER($J960),AND($J960&gt;=0,$J960=INT($J960)),FALSE())),$J960,0)</f>
        <v>0</v>
      </c>
      <c r="Q960" s="64" t="n">
        <f aca="false">IF(AND($P960&gt;0,$O960&gt;0),$P960,0)</f>
        <v>0</v>
      </c>
      <c r="R960" s="64" t="n">
        <f aca="false">IF(AND($Q960&gt;0,$O960&gt;=AtRank),$Q960,0)</f>
        <v>0</v>
      </c>
      <c r="S960" s="64" t="n">
        <f aca="false">IF(AND($Q960&gt;0,$O960&gt;=AboveRank),$Q960,0)</f>
        <v>0</v>
      </c>
      <c r="T960" s="64" t="n">
        <f aca="false">IF($K960="Less",$P960,0)</f>
        <v>0</v>
      </c>
      <c r="U960" s="64" t="n">
        <f aca="false">IF($K960="Expected",$P960,0)</f>
        <v>0</v>
      </c>
      <c r="V960" s="64" t="n">
        <f aca="false">IF($K960="Better",$P960,0)</f>
        <v>0</v>
      </c>
      <c r="W960" s="64" t="n">
        <f aca="false">IF($K960="U – needs rule",$P960,0)</f>
        <v>0</v>
      </c>
      <c r="X960" s="64" t="n">
        <f aca="false">IF($K960="No Start (attainment only)",$P960,0)</f>
        <v>0</v>
      </c>
    </row>
    <row r="961" customFormat="false" ht="15" hidden="false" customHeight="false" outlineLevel="0" collapsed="false">
      <c r="A961" s="60"/>
      <c r="B961" s="61" t="str">
        <f aca="false">IF($M961=0,"",INDEX(Classes!$E$6:$E$420,$M961))</f>
        <v/>
      </c>
      <c r="C961" s="62" t="str">
        <f aca="false">IF($M961=0,"",INDEX(Classes!$H$6:$H$420,$M961))</f>
        <v/>
      </c>
      <c r="D961" s="61" t="str">
        <f aca="false">IF($M961=0,"",INDEX(Classes!$B$6:$B$420,$M961))</f>
        <v/>
      </c>
      <c r="E961" s="61" t="str">
        <f aca="false">IF($M961=0,"",INDEX(Classes!$C$6:$C$420,$M961))</f>
        <v/>
      </c>
      <c r="F961" s="63"/>
      <c r="G961" s="63"/>
      <c r="H961" s="60"/>
      <c r="I961" s="60"/>
      <c r="J961" s="63"/>
      <c r="K961" s="61" t="str">
        <f aca="false">IF($P961=0,"",IF($F961="Baseline","— Baseline",IF($O961=0,"No result",IF($N961=0,"No Start (attainment only)",IF(OR($N961=1,$O961=1),"U – needs rule",INDEX(MxBody,MATCH($I961,MxCurr,0),MATCH($H961,MxStart,0)))))))</f>
        <v/>
      </c>
      <c r="L961" s="62" t="str">
        <f aca="false">IF(COUNTA($A961,$F961,$G961,$H961,$I961,$J961)=0,"",IF($M961=0,"✖ كود الصف غير موجود",IF(ISNA(MATCH($F961,Lists!$A$2:$A$5,0)),"✖ الفترة غير صحيحة",IF(ISNA(MATCH($G961,Lists!$B$2:$B$7,0)),"✖ المجموعة غير صحيحة",IF(NOT(OR($H961="",$N961&gt;0)),"✖ Start غير صحيح",IF(NOT(OR($I961="",$I961="NR",$O961&gt;0)),"✖ Current غير صحيح",IF(NOT(IF(ISNUMBER($J961),AND($J961&gt;=0,$J961=INT($J961)),FALSE())),"✖ العدد يجب أن يكون صحيحًا ≥ 0",IF(AND($F961="Baseline",$H961&lt;&gt;""),"⚠ Baseline: Start لا يدخل في التقدم",IF($K961="No Start (attainment only)","ℹ تحصيل فقط (بدون Start)",IF($K961="U – needs rule","ℹ حالة U تحتاج قاعدة معتمدة",IF($K961="No result","ℹ بدون نتيجة (يُستبعد من التحصيل)","OK")))))))))))</f>
        <v/>
      </c>
      <c r="M961" s="64" t="n">
        <f aca="false">IF($A961="",0,IFERROR(MATCH($A961,Classes!$A$6:$A$420,0),0))</f>
        <v>0</v>
      </c>
      <c r="N961" s="64" t="n">
        <f aca="false">IF($H961="",0,IFERROR(MATCH($H961,GradeList,0),0))</f>
        <v>0</v>
      </c>
      <c r="O961" s="64" t="n">
        <f aca="false">IF(OR($I961="",$I961="NR"),0,IFERROR(MATCH($I961,GradeList,0),0))</f>
        <v>0</v>
      </c>
      <c r="P961" s="64" t="n">
        <f aca="false">IF(AND($M961&gt;0,ISNUMBER(MATCH($F961,Lists!$A$2:$A$5,0)),ISNUMBER(MATCH($G961,Lists!$B$2:$B$7,0)),OR($H961="",$N961&gt;0),OR($I961="",$I961="NR",$O961&gt;0),IF(ISNUMBER($J961),AND($J961&gt;=0,$J961=INT($J961)),FALSE())),$J961,0)</f>
        <v>0</v>
      </c>
      <c r="Q961" s="64" t="n">
        <f aca="false">IF(AND($P961&gt;0,$O961&gt;0),$P961,0)</f>
        <v>0</v>
      </c>
      <c r="R961" s="64" t="n">
        <f aca="false">IF(AND($Q961&gt;0,$O961&gt;=AtRank),$Q961,0)</f>
        <v>0</v>
      </c>
      <c r="S961" s="64" t="n">
        <f aca="false">IF(AND($Q961&gt;0,$O961&gt;=AboveRank),$Q961,0)</f>
        <v>0</v>
      </c>
      <c r="T961" s="64" t="n">
        <f aca="false">IF($K961="Less",$P961,0)</f>
        <v>0</v>
      </c>
      <c r="U961" s="64" t="n">
        <f aca="false">IF($K961="Expected",$P961,0)</f>
        <v>0</v>
      </c>
      <c r="V961" s="64" t="n">
        <f aca="false">IF($K961="Better",$P961,0)</f>
        <v>0</v>
      </c>
      <c r="W961" s="64" t="n">
        <f aca="false">IF($K961="U – needs rule",$P961,0)</f>
        <v>0</v>
      </c>
      <c r="X961" s="64" t="n">
        <f aca="false">IF($K961="No Start (attainment only)",$P961,0)</f>
        <v>0</v>
      </c>
    </row>
    <row r="962" customFormat="false" ht="15" hidden="false" customHeight="false" outlineLevel="0" collapsed="false">
      <c r="A962" s="60"/>
      <c r="B962" s="61" t="str">
        <f aca="false">IF($M962=0,"",INDEX(Classes!$E$6:$E$420,$M962))</f>
        <v/>
      </c>
      <c r="C962" s="62" t="str">
        <f aca="false">IF($M962=0,"",INDEX(Classes!$H$6:$H$420,$M962))</f>
        <v/>
      </c>
      <c r="D962" s="61" t="str">
        <f aca="false">IF($M962=0,"",INDEX(Classes!$B$6:$B$420,$M962))</f>
        <v/>
      </c>
      <c r="E962" s="61" t="str">
        <f aca="false">IF($M962=0,"",INDEX(Classes!$C$6:$C$420,$M962))</f>
        <v/>
      </c>
      <c r="F962" s="63"/>
      <c r="G962" s="63"/>
      <c r="H962" s="60"/>
      <c r="I962" s="60"/>
      <c r="J962" s="63"/>
      <c r="K962" s="61" t="str">
        <f aca="false">IF($P962=0,"",IF($F962="Baseline","— Baseline",IF($O962=0,"No result",IF($N962=0,"No Start (attainment only)",IF(OR($N962=1,$O962=1),"U – needs rule",INDEX(MxBody,MATCH($I962,MxCurr,0),MATCH($H962,MxStart,0)))))))</f>
        <v/>
      </c>
      <c r="L962" s="62" t="str">
        <f aca="false">IF(COUNTA($A962,$F962,$G962,$H962,$I962,$J962)=0,"",IF($M962=0,"✖ كود الصف غير موجود",IF(ISNA(MATCH($F962,Lists!$A$2:$A$5,0)),"✖ الفترة غير صحيحة",IF(ISNA(MATCH($G962,Lists!$B$2:$B$7,0)),"✖ المجموعة غير صحيحة",IF(NOT(OR($H962="",$N962&gt;0)),"✖ Start غير صحيح",IF(NOT(OR($I962="",$I962="NR",$O962&gt;0)),"✖ Current غير صحيح",IF(NOT(IF(ISNUMBER($J962),AND($J962&gt;=0,$J962=INT($J962)),FALSE())),"✖ العدد يجب أن يكون صحيحًا ≥ 0",IF(AND($F962="Baseline",$H962&lt;&gt;""),"⚠ Baseline: Start لا يدخل في التقدم",IF($K962="No Start (attainment only)","ℹ تحصيل فقط (بدون Start)",IF($K962="U – needs rule","ℹ حالة U تحتاج قاعدة معتمدة",IF($K962="No result","ℹ بدون نتيجة (يُستبعد من التحصيل)","OK")))))))))))</f>
        <v/>
      </c>
      <c r="M962" s="64" t="n">
        <f aca="false">IF($A962="",0,IFERROR(MATCH($A962,Classes!$A$6:$A$420,0),0))</f>
        <v>0</v>
      </c>
      <c r="N962" s="64" t="n">
        <f aca="false">IF($H962="",0,IFERROR(MATCH($H962,GradeList,0),0))</f>
        <v>0</v>
      </c>
      <c r="O962" s="64" t="n">
        <f aca="false">IF(OR($I962="",$I962="NR"),0,IFERROR(MATCH($I962,GradeList,0),0))</f>
        <v>0</v>
      </c>
      <c r="P962" s="64" t="n">
        <f aca="false">IF(AND($M962&gt;0,ISNUMBER(MATCH($F962,Lists!$A$2:$A$5,0)),ISNUMBER(MATCH($G962,Lists!$B$2:$B$7,0)),OR($H962="",$N962&gt;0),OR($I962="",$I962="NR",$O962&gt;0),IF(ISNUMBER($J962),AND($J962&gt;=0,$J962=INT($J962)),FALSE())),$J962,0)</f>
        <v>0</v>
      </c>
      <c r="Q962" s="64" t="n">
        <f aca="false">IF(AND($P962&gt;0,$O962&gt;0),$P962,0)</f>
        <v>0</v>
      </c>
      <c r="R962" s="64" t="n">
        <f aca="false">IF(AND($Q962&gt;0,$O962&gt;=AtRank),$Q962,0)</f>
        <v>0</v>
      </c>
      <c r="S962" s="64" t="n">
        <f aca="false">IF(AND($Q962&gt;0,$O962&gt;=AboveRank),$Q962,0)</f>
        <v>0</v>
      </c>
      <c r="T962" s="64" t="n">
        <f aca="false">IF($K962="Less",$P962,0)</f>
        <v>0</v>
      </c>
      <c r="U962" s="64" t="n">
        <f aca="false">IF($K962="Expected",$P962,0)</f>
        <v>0</v>
      </c>
      <c r="V962" s="64" t="n">
        <f aca="false">IF($K962="Better",$P962,0)</f>
        <v>0</v>
      </c>
      <c r="W962" s="64" t="n">
        <f aca="false">IF($K962="U – needs rule",$P962,0)</f>
        <v>0</v>
      </c>
      <c r="X962" s="64" t="n">
        <f aca="false">IF($K962="No Start (attainment only)",$P962,0)</f>
        <v>0</v>
      </c>
    </row>
    <row r="963" customFormat="false" ht="15" hidden="false" customHeight="false" outlineLevel="0" collapsed="false">
      <c r="A963" s="60"/>
      <c r="B963" s="61" t="str">
        <f aca="false">IF($M963=0,"",INDEX(Classes!$E$6:$E$420,$M963))</f>
        <v/>
      </c>
      <c r="C963" s="62" t="str">
        <f aca="false">IF($M963=0,"",INDEX(Classes!$H$6:$H$420,$M963))</f>
        <v/>
      </c>
      <c r="D963" s="61" t="str">
        <f aca="false">IF($M963=0,"",INDEX(Classes!$B$6:$B$420,$M963))</f>
        <v/>
      </c>
      <c r="E963" s="61" t="str">
        <f aca="false">IF($M963=0,"",INDEX(Classes!$C$6:$C$420,$M963))</f>
        <v/>
      </c>
      <c r="F963" s="63"/>
      <c r="G963" s="63"/>
      <c r="H963" s="60"/>
      <c r="I963" s="60"/>
      <c r="J963" s="63"/>
      <c r="K963" s="61" t="str">
        <f aca="false">IF($P963=0,"",IF($F963="Baseline","— Baseline",IF($O963=0,"No result",IF($N963=0,"No Start (attainment only)",IF(OR($N963=1,$O963=1),"U – needs rule",INDEX(MxBody,MATCH($I963,MxCurr,0),MATCH($H963,MxStart,0)))))))</f>
        <v/>
      </c>
      <c r="L963" s="62" t="str">
        <f aca="false">IF(COUNTA($A963,$F963,$G963,$H963,$I963,$J963)=0,"",IF($M963=0,"✖ كود الصف غير موجود",IF(ISNA(MATCH($F963,Lists!$A$2:$A$5,0)),"✖ الفترة غير صحيحة",IF(ISNA(MATCH($G963,Lists!$B$2:$B$7,0)),"✖ المجموعة غير صحيحة",IF(NOT(OR($H963="",$N963&gt;0)),"✖ Start غير صحيح",IF(NOT(OR($I963="",$I963="NR",$O963&gt;0)),"✖ Current غير صحيح",IF(NOT(IF(ISNUMBER($J963),AND($J963&gt;=0,$J963=INT($J963)),FALSE())),"✖ العدد يجب أن يكون صحيحًا ≥ 0",IF(AND($F963="Baseline",$H963&lt;&gt;""),"⚠ Baseline: Start لا يدخل في التقدم",IF($K963="No Start (attainment only)","ℹ تحصيل فقط (بدون Start)",IF($K963="U – needs rule","ℹ حالة U تحتاج قاعدة معتمدة",IF($K963="No result","ℹ بدون نتيجة (يُستبعد من التحصيل)","OK")))))))))))</f>
        <v/>
      </c>
      <c r="M963" s="64" t="n">
        <f aca="false">IF($A963="",0,IFERROR(MATCH($A963,Classes!$A$6:$A$420,0),0))</f>
        <v>0</v>
      </c>
      <c r="N963" s="64" t="n">
        <f aca="false">IF($H963="",0,IFERROR(MATCH($H963,GradeList,0),0))</f>
        <v>0</v>
      </c>
      <c r="O963" s="64" t="n">
        <f aca="false">IF(OR($I963="",$I963="NR"),0,IFERROR(MATCH($I963,GradeList,0),0))</f>
        <v>0</v>
      </c>
      <c r="P963" s="64" t="n">
        <f aca="false">IF(AND($M963&gt;0,ISNUMBER(MATCH($F963,Lists!$A$2:$A$5,0)),ISNUMBER(MATCH($G963,Lists!$B$2:$B$7,0)),OR($H963="",$N963&gt;0),OR($I963="",$I963="NR",$O963&gt;0),IF(ISNUMBER($J963),AND($J963&gt;=0,$J963=INT($J963)),FALSE())),$J963,0)</f>
        <v>0</v>
      </c>
      <c r="Q963" s="64" t="n">
        <f aca="false">IF(AND($P963&gt;0,$O963&gt;0),$P963,0)</f>
        <v>0</v>
      </c>
      <c r="R963" s="64" t="n">
        <f aca="false">IF(AND($Q963&gt;0,$O963&gt;=AtRank),$Q963,0)</f>
        <v>0</v>
      </c>
      <c r="S963" s="64" t="n">
        <f aca="false">IF(AND($Q963&gt;0,$O963&gt;=AboveRank),$Q963,0)</f>
        <v>0</v>
      </c>
      <c r="T963" s="64" t="n">
        <f aca="false">IF($K963="Less",$P963,0)</f>
        <v>0</v>
      </c>
      <c r="U963" s="64" t="n">
        <f aca="false">IF($K963="Expected",$P963,0)</f>
        <v>0</v>
      </c>
      <c r="V963" s="64" t="n">
        <f aca="false">IF($K963="Better",$P963,0)</f>
        <v>0</v>
      </c>
      <c r="W963" s="64" t="n">
        <f aca="false">IF($K963="U – needs rule",$P963,0)</f>
        <v>0</v>
      </c>
      <c r="X963" s="64" t="n">
        <f aca="false">IF($K963="No Start (attainment only)",$P963,0)</f>
        <v>0</v>
      </c>
    </row>
    <row r="964" customFormat="false" ht="15" hidden="false" customHeight="false" outlineLevel="0" collapsed="false">
      <c r="A964" s="60"/>
      <c r="B964" s="61" t="str">
        <f aca="false">IF($M964=0,"",INDEX(Classes!$E$6:$E$420,$M964))</f>
        <v/>
      </c>
      <c r="C964" s="62" t="str">
        <f aca="false">IF($M964=0,"",INDEX(Classes!$H$6:$H$420,$M964))</f>
        <v/>
      </c>
      <c r="D964" s="61" t="str">
        <f aca="false">IF($M964=0,"",INDEX(Classes!$B$6:$B$420,$M964))</f>
        <v/>
      </c>
      <c r="E964" s="61" t="str">
        <f aca="false">IF($M964=0,"",INDEX(Classes!$C$6:$C$420,$M964))</f>
        <v/>
      </c>
      <c r="F964" s="63"/>
      <c r="G964" s="63"/>
      <c r="H964" s="60"/>
      <c r="I964" s="60"/>
      <c r="J964" s="63"/>
      <c r="K964" s="61" t="str">
        <f aca="false">IF($P964=0,"",IF($F964="Baseline","— Baseline",IF($O964=0,"No result",IF($N964=0,"No Start (attainment only)",IF(OR($N964=1,$O964=1),"U – needs rule",INDEX(MxBody,MATCH($I964,MxCurr,0),MATCH($H964,MxStart,0)))))))</f>
        <v/>
      </c>
      <c r="L964" s="62" t="str">
        <f aca="false">IF(COUNTA($A964,$F964,$G964,$H964,$I964,$J964)=0,"",IF($M964=0,"✖ كود الصف غير موجود",IF(ISNA(MATCH($F964,Lists!$A$2:$A$5,0)),"✖ الفترة غير صحيحة",IF(ISNA(MATCH($G964,Lists!$B$2:$B$7,0)),"✖ المجموعة غير صحيحة",IF(NOT(OR($H964="",$N964&gt;0)),"✖ Start غير صحيح",IF(NOT(OR($I964="",$I964="NR",$O964&gt;0)),"✖ Current غير صحيح",IF(NOT(IF(ISNUMBER($J964),AND($J964&gt;=0,$J964=INT($J964)),FALSE())),"✖ العدد يجب أن يكون صحيحًا ≥ 0",IF(AND($F964="Baseline",$H964&lt;&gt;""),"⚠ Baseline: Start لا يدخل في التقدم",IF($K964="No Start (attainment only)","ℹ تحصيل فقط (بدون Start)",IF($K964="U – needs rule","ℹ حالة U تحتاج قاعدة معتمدة",IF($K964="No result","ℹ بدون نتيجة (يُستبعد من التحصيل)","OK")))))))))))</f>
        <v/>
      </c>
      <c r="M964" s="64" t="n">
        <f aca="false">IF($A964="",0,IFERROR(MATCH($A964,Classes!$A$6:$A$420,0),0))</f>
        <v>0</v>
      </c>
      <c r="N964" s="64" t="n">
        <f aca="false">IF($H964="",0,IFERROR(MATCH($H964,GradeList,0),0))</f>
        <v>0</v>
      </c>
      <c r="O964" s="64" t="n">
        <f aca="false">IF(OR($I964="",$I964="NR"),0,IFERROR(MATCH($I964,GradeList,0),0))</f>
        <v>0</v>
      </c>
      <c r="P964" s="64" t="n">
        <f aca="false">IF(AND($M964&gt;0,ISNUMBER(MATCH($F964,Lists!$A$2:$A$5,0)),ISNUMBER(MATCH($G964,Lists!$B$2:$B$7,0)),OR($H964="",$N964&gt;0),OR($I964="",$I964="NR",$O964&gt;0),IF(ISNUMBER($J964),AND($J964&gt;=0,$J964=INT($J964)),FALSE())),$J964,0)</f>
        <v>0</v>
      </c>
      <c r="Q964" s="64" t="n">
        <f aca="false">IF(AND($P964&gt;0,$O964&gt;0),$P964,0)</f>
        <v>0</v>
      </c>
      <c r="R964" s="64" t="n">
        <f aca="false">IF(AND($Q964&gt;0,$O964&gt;=AtRank),$Q964,0)</f>
        <v>0</v>
      </c>
      <c r="S964" s="64" t="n">
        <f aca="false">IF(AND($Q964&gt;0,$O964&gt;=AboveRank),$Q964,0)</f>
        <v>0</v>
      </c>
      <c r="T964" s="64" t="n">
        <f aca="false">IF($K964="Less",$P964,0)</f>
        <v>0</v>
      </c>
      <c r="U964" s="64" t="n">
        <f aca="false">IF($K964="Expected",$P964,0)</f>
        <v>0</v>
      </c>
      <c r="V964" s="64" t="n">
        <f aca="false">IF($K964="Better",$P964,0)</f>
        <v>0</v>
      </c>
      <c r="W964" s="64" t="n">
        <f aca="false">IF($K964="U – needs rule",$P964,0)</f>
        <v>0</v>
      </c>
      <c r="X964" s="64" t="n">
        <f aca="false">IF($K964="No Start (attainment only)",$P964,0)</f>
        <v>0</v>
      </c>
    </row>
    <row r="965" customFormat="false" ht="15" hidden="false" customHeight="false" outlineLevel="0" collapsed="false">
      <c r="A965" s="60"/>
      <c r="B965" s="61" t="str">
        <f aca="false">IF($M965=0,"",INDEX(Classes!$E$6:$E$420,$M965))</f>
        <v/>
      </c>
      <c r="C965" s="62" t="str">
        <f aca="false">IF($M965=0,"",INDEX(Classes!$H$6:$H$420,$M965))</f>
        <v/>
      </c>
      <c r="D965" s="61" t="str">
        <f aca="false">IF($M965=0,"",INDEX(Classes!$B$6:$B$420,$M965))</f>
        <v/>
      </c>
      <c r="E965" s="61" t="str">
        <f aca="false">IF($M965=0,"",INDEX(Classes!$C$6:$C$420,$M965))</f>
        <v/>
      </c>
      <c r="F965" s="63"/>
      <c r="G965" s="63"/>
      <c r="H965" s="60"/>
      <c r="I965" s="60"/>
      <c r="J965" s="63"/>
      <c r="K965" s="61" t="str">
        <f aca="false">IF($P965=0,"",IF($F965="Baseline","— Baseline",IF($O965=0,"No result",IF($N965=0,"No Start (attainment only)",IF(OR($N965=1,$O965=1),"U – needs rule",INDEX(MxBody,MATCH($I965,MxCurr,0),MATCH($H965,MxStart,0)))))))</f>
        <v/>
      </c>
      <c r="L965" s="62" t="str">
        <f aca="false">IF(COUNTA($A965,$F965,$G965,$H965,$I965,$J965)=0,"",IF($M965=0,"✖ كود الصف غير موجود",IF(ISNA(MATCH($F965,Lists!$A$2:$A$5,0)),"✖ الفترة غير صحيحة",IF(ISNA(MATCH($G965,Lists!$B$2:$B$7,0)),"✖ المجموعة غير صحيحة",IF(NOT(OR($H965="",$N965&gt;0)),"✖ Start غير صحيح",IF(NOT(OR($I965="",$I965="NR",$O965&gt;0)),"✖ Current غير صحيح",IF(NOT(IF(ISNUMBER($J965),AND($J965&gt;=0,$J965=INT($J965)),FALSE())),"✖ العدد يجب أن يكون صحيحًا ≥ 0",IF(AND($F965="Baseline",$H965&lt;&gt;""),"⚠ Baseline: Start لا يدخل في التقدم",IF($K965="No Start (attainment only)","ℹ تحصيل فقط (بدون Start)",IF($K965="U – needs rule","ℹ حالة U تحتاج قاعدة معتمدة",IF($K965="No result","ℹ بدون نتيجة (يُستبعد من التحصيل)","OK")))))))))))</f>
        <v/>
      </c>
      <c r="M965" s="64" t="n">
        <f aca="false">IF($A965="",0,IFERROR(MATCH($A965,Classes!$A$6:$A$420,0),0))</f>
        <v>0</v>
      </c>
      <c r="N965" s="64" t="n">
        <f aca="false">IF($H965="",0,IFERROR(MATCH($H965,GradeList,0),0))</f>
        <v>0</v>
      </c>
      <c r="O965" s="64" t="n">
        <f aca="false">IF(OR($I965="",$I965="NR"),0,IFERROR(MATCH($I965,GradeList,0),0))</f>
        <v>0</v>
      </c>
      <c r="P965" s="64" t="n">
        <f aca="false">IF(AND($M965&gt;0,ISNUMBER(MATCH($F965,Lists!$A$2:$A$5,0)),ISNUMBER(MATCH($G965,Lists!$B$2:$B$7,0)),OR($H965="",$N965&gt;0),OR($I965="",$I965="NR",$O965&gt;0),IF(ISNUMBER($J965),AND($J965&gt;=0,$J965=INT($J965)),FALSE())),$J965,0)</f>
        <v>0</v>
      </c>
      <c r="Q965" s="64" t="n">
        <f aca="false">IF(AND($P965&gt;0,$O965&gt;0),$P965,0)</f>
        <v>0</v>
      </c>
      <c r="R965" s="64" t="n">
        <f aca="false">IF(AND($Q965&gt;0,$O965&gt;=AtRank),$Q965,0)</f>
        <v>0</v>
      </c>
      <c r="S965" s="64" t="n">
        <f aca="false">IF(AND($Q965&gt;0,$O965&gt;=AboveRank),$Q965,0)</f>
        <v>0</v>
      </c>
      <c r="T965" s="64" t="n">
        <f aca="false">IF($K965="Less",$P965,0)</f>
        <v>0</v>
      </c>
      <c r="U965" s="64" t="n">
        <f aca="false">IF($K965="Expected",$P965,0)</f>
        <v>0</v>
      </c>
      <c r="V965" s="64" t="n">
        <f aca="false">IF($K965="Better",$P965,0)</f>
        <v>0</v>
      </c>
      <c r="W965" s="64" t="n">
        <f aca="false">IF($K965="U – needs rule",$P965,0)</f>
        <v>0</v>
      </c>
      <c r="X965" s="64" t="n">
        <f aca="false">IF($K965="No Start (attainment only)",$P965,0)</f>
        <v>0</v>
      </c>
    </row>
    <row r="966" customFormat="false" ht="15" hidden="false" customHeight="false" outlineLevel="0" collapsed="false">
      <c r="A966" s="60"/>
      <c r="B966" s="61" t="str">
        <f aca="false">IF($M966=0,"",INDEX(Classes!$E$6:$E$420,$M966))</f>
        <v/>
      </c>
      <c r="C966" s="62" t="str">
        <f aca="false">IF($M966=0,"",INDEX(Classes!$H$6:$H$420,$M966))</f>
        <v/>
      </c>
      <c r="D966" s="61" t="str">
        <f aca="false">IF($M966=0,"",INDEX(Classes!$B$6:$B$420,$M966))</f>
        <v/>
      </c>
      <c r="E966" s="61" t="str">
        <f aca="false">IF($M966=0,"",INDEX(Classes!$C$6:$C$420,$M966))</f>
        <v/>
      </c>
      <c r="F966" s="63"/>
      <c r="G966" s="63"/>
      <c r="H966" s="60"/>
      <c r="I966" s="60"/>
      <c r="J966" s="63"/>
      <c r="K966" s="61" t="str">
        <f aca="false">IF($P966=0,"",IF($F966="Baseline","— Baseline",IF($O966=0,"No result",IF($N966=0,"No Start (attainment only)",IF(OR($N966=1,$O966=1),"U – needs rule",INDEX(MxBody,MATCH($I966,MxCurr,0),MATCH($H966,MxStart,0)))))))</f>
        <v/>
      </c>
      <c r="L966" s="62" t="str">
        <f aca="false">IF(COUNTA($A966,$F966,$G966,$H966,$I966,$J966)=0,"",IF($M966=0,"✖ كود الصف غير موجود",IF(ISNA(MATCH($F966,Lists!$A$2:$A$5,0)),"✖ الفترة غير صحيحة",IF(ISNA(MATCH($G966,Lists!$B$2:$B$7,0)),"✖ المجموعة غير صحيحة",IF(NOT(OR($H966="",$N966&gt;0)),"✖ Start غير صحيح",IF(NOT(OR($I966="",$I966="NR",$O966&gt;0)),"✖ Current غير صحيح",IF(NOT(IF(ISNUMBER($J966),AND($J966&gt;=0,$J966=INT($J966)),FALSE())),"✖ العدد يجب أن يكون صحيحًا ≥ 0",IF(AND($F966="Baseline",$H966&lt;&gt;""),"⚠ Baseline: Start لا يدخل في التقدم",IF($K966="No Start (attainment only)","ℹ تحصيل فقط (بدون Start)",IF($K966="U – needs rule","ℹ حالة U تحتاج قاعدة معتمدة",IF($K966="No result","ℹ بدون نتيجة (يُستبعد من التحصيل)","OK")))))))))))</f>
        <v/>
      </c>
      <c r="M966" s="64" t="n">
        <f aca="false">IF($A966="",0,IFERROR(MATCH($A966,Classes!$A$6:$A$420,0),0))</f>
        <v>0</v>
      </c>
      <c r="N966" s="64" t="n">
        <f aca="false">IF($H966="",0,IFERROR(MATCH($H966,GradeList,0),0))</f>
        <v>0</v>
      </c>
      <c r="O966" s="64" t="n">
        <f aca="false">IF(OR($I966="",$I966="NR"),0,IFERROR(MATCH($I966,GradeList,0),0))</f>
        <v>0</v>
      </c>
      <c r="P966" s="64" t="n">
        <f aca="false">IF(AND($M966&gt;0,ISNUMBER(MATCH($F966,Lists!$A$2:$A$5,0)),ISNUMBER(MATCH($G966,Lists!$B$2:$B$7,0)),OR($H966="",$N966&gt;0),OR($I966="",$I966="NR",$O966&gt;0),IF(ISNUMBER($J966),AND($J966&gt;=0,$J966=INT($J966)),FALSE())),$J966,0)</f>
        <v>0</v>
      </c>
      <c r="Q966" s="64" t="n">
        <f aca="false">IF(AND($P966&gt;0,$O966&gt;0),$P966,0)</f>
        <v>0</v>
      </c>
      <c r="R966" s="64" t="n">
        <f aca="false">IF(AND($Q966&gt;0,$O966&gt;=AtRank),$Q966,0)</f>
        <v>0</v>
      </c>
      <c r="S966" s="64" t="n">
        <f aca="false">IF(AND($Q966&gt;0,$O966&gt;=AboveRank),$Q966,0)</f>
        <v>0</v>
      </c>
      <c r="T966" s="64" t="n">
        <f aca="false">IF($K966="Less",$P966,0)</f>
        <v>0</v>
      </c>
      <c r="U966" s="64" t="n">
        <f aca="false">IF($K966="Expected",$P966,0)</f>
        <v>0</v>
      </c>
      <c r="V966" s="64" t="n">
        <f aca="false">IF($K966="Better",$P966,0)</f>
        <v>0</v>
      </c>
      <c r="W966" s="64" t="n">
        <f aca="false">IF($K966="U – needs rule",$P966,0)</f>
        <v>0</v>
      </c>
      <c r="X966" s="64" t="n">
        <f aca="false">IF($K966="No Start (attainment only)",$P966,0)</f>
        <v>0</v>
      </c>
    </row>
    <row r="967" customFormat="false" ht="15" hidden="false" customHeight="false" outlineLevel="0" collapsed="false">
      <c r="A967" s="60"/>
      <c r="B967" s="61" t="str">
        <f aca="false">IF($M967=0,"",INDEX(Classes!$E$6:$E$420,$M967))</f>
        <v/>
      </c>
      <c r="C967" s="62" t="str">
        <f aca="false">IF($M967=0,"",INDEX(Classes!$H$6:$H$420,$M967))</f>
        <v/>
      </c>
      <c r="D967" s="61" t="str">
        <f aca="false">IF($M967=0,"",INDEX(Classes!$B$6:$B$420,$M967))</f>
        <v/>
      </c>
      <c r="E967" s="61" t="str">
        <f aca="false">IF($M967=0,"",INDEX(Classes!$C$6:$C$420,$M967))</f>
        <v/>
      </c>
      <c r="F967" s="63"/>
      <c r="G967" s="63"/>
      <c r="H967" s="60"/>
      <c r="I967" s="60"/>
      <c r="J967" s="63"/>
      <c r="K967" s="61" t="str">
        <f aca="false">IF($P967=0,"",IF($F967="Baseline","— Baseline",IF($O967=0,"No result",IF($N967=0,"No Start (attainment only)",IF(OR($N967=1,$O967=1),"U – needs rule",INDEX(MxBody,MATCH($I967,MxCurr,0),MATCH($H967,MxStart,0)))))))</f>
        <v/>
      </c>
      <c r="L967" s="62" t="str">
        <f aca="false">IF(COUNTA($A967,$F967,$G967,$H967,$I967,$J967)=0,"",IF($M967=0,"✖ كود الصف غير موجود",IF(ISNA(MATCH($F967,Lists!$A$2:$A$5,0)),"✖ الفترة غير صحيحة",IF(ISNA(MATCH($G967,Lists!$B$2:$B$7,0)),"✖ المجموعة غير صحيحة",IF(NOT(OR($H967="",$N967&gt;0)),"✖ Start غير صحيح",IF(NOT(OR($I967="",$I967="NR",$O967&gt;0)),"✖ Current غير صحيح",IF(NOT(IF(ISNUMBER($J967),AND($J967&gt;=0,$J967=INT($J967)),FALSE())),"✖ العدد يجب أن يكون صحيحًا ≥ 0",IF(AND($F967="Baseline",$H967&lt;&gt;""),"⚠ Baseline: Start لا يدخل في التقدم",IF($K967="No Start (attainment only)","ℹ تحصيل فقط (بدون Start)",IF($K967="U – needs rule","ℹ حالة U تحتاج قاعدة معتمدة",IF($K967="No result","ℹ بدون نتيجة (يُستبعد من التحصيل)","OK")))))))))))</f>
        <v/>
      </c>
      <c r="M967" s="64" t="n">
        <f aca="false">IF($A967="",0,IFERROR(MATCH($A967,Classes!$A$6:$A$420,0),0))</f>
        <v>0</v>
      </c>
      <c r="N967" s="64" t="n">
        <f aca="false">IF($H967="",0,IFERROR(MATCH($H967,GradeList,0),0))</f>
        <v>0</v>
      </c>
      <c r="O967" s="64" t="n">
        <f aca="false">IF(OR($I967="",$I967="NR"),0,IFERROR(MATCH($I967,GradeList,0),0))</f>
        <v>0</v>
      </c>
      <c r="P967" s="64" t="n">
        <f aca="false">IF(AND($M967&gt;0,ISNUMBER(MATCH($F967,Lists!$A$2:$A$5,0)),ISNUMBER(MATCH($G967,Lists!$B$2:$B$7,0)),OR($H967="",$N967&gt;0),OR($I967="",$I967="NR",$O967&gt;0),IF(ISNUMBER($J967),AND($J967&gt;=0,$J967=INT($J967)),FALSE())),$J967,0)</f>
        <v>0</v>
      </c>
      <c r="Q967" s="64" t="n">
        <f aca="false">IF(AND($P967&gt;0,$O967&gt;0),$P967,0)</f>
        <v>0</v>
      </c>
      <c r="R967" s="64" t="n">
        <f aca="false">IF(AND($Q967&gt;0,$O967&gt;=AtRank),$Q967,0)</f>
        <v>0</v>
      </c>
      <c r="S967" s="64" t="n">
        <f aca="false">IF(AND($Q967&gt;0,$O967&gt;=AboveRank),$Q967,0)</f>
        <v>0</v>
      </c>
      <c r="T967" s="64" t="n">
        <f aca="false">IF($K967="Less",$P967,0)</f>
        <v>0</v>
      </c>
      <c r="U967" s="64" t="n">
        <f aca="false">IF($K967="Expected",$P967,0)</f>
        <v>0</v>
      </c>
      <c r="V967" s="64" t="n">
        <f aca="false">IF($K967="Better",$P967,0)</f>
        <v>0</v>
      </c>
      <c r="W967" s="64" t="n">
        <f aca="false">IF($K967="U – needs rule",$P967,0)</f>
        <v>0</v>
      </c>
      <c r="X967" s="64" t="n">
        <f aca="false">IF($K967="No Start (attainment only)",$P967,0)</f>
        <v>0</v>
      </c>
    </row>
    <row r="968" customFormat="false" ht="15" hidden="false" customHeight="false" outlineLevel="0" collapsed="false">
      <c r="A968" s="60"/>
      <c r="B968" s="61" t="str">
        <f aca="false">IF($M968=0,"",INDEX(Classes!$E$6:$E$420,$M968))</f>
        <v/>
      </c>
      <c r="C968" s="62" t="str">
        <f aca="false">IF($M968=0,"",INDEX(Classes!$H$6:$H$420,$M968))</f>
        <v/>
      </c>
      <c r="D968" s="61" t="str">
        <f aca="false">IF($M968=0,"",INDEX(Classes!$B$6:$B$420,$M968))</f>
        <v/>
      </c>
      <c r="E968" s="61" t="str">
        <f aca="false">IF($M968=0,"",INDEX(Classes!$C$6:$C$420,$M968))</f>
        <v/>
      </c>
      <c r="F968" s="63"/>
      <c r="G968" s="63"/>
      <c r="H968" s="60"/>
      <c r="I968" s="60"/>
      <c r="J968" s="63"/>
      <c r="K968" s="61" t="str">
        <f aca="false">IF($P968=0,"",IF($F968="Baseline","— Baseline",IF($O968=0,"No result",IF($N968=0,"No Start (attainment only)",IF(OR($N968=1,$O968=1),"U – needs rule",INDEX(MxBody,MATCH($I968,MxCurr,0),MATCH($H968,MxStart,0)))))))</f>
        <v/>
      </c>
      <c r="L968" s="62" t="str">
        <f aca="false">IF(COUNTA($A968,$F968,$G968,$H968,$I968,$J968)=0,"",IF($M968=0,"✖ كود الصف غير موجود",IF(ISNA(MATCH($F968,Lists!$A$2:$A$5,0)),"✖ الفترة غير صحيحة",IF(ISNA(MATCH($G968,Lists!$B$2:$B$7,0)),"✖ المجموعة غير صحيحة",IF(NOT(OR($H968="",$N968&gt;0)),"✖ Start غير صحيح",IF(NOT(OR($I968="",$I968="NR",$O968&gt;0)),"✖ Current غير صحيح",IF(NOT(IF(ISNUMBER($J968),AND($J968&gt;=0,$J968=INT($J968)),FALSE())),"✖ العدد يجب أن يكون صحيحًا ≥ 0",IF(AND($F968="Baseline",$H968&lt;&gt;""),"⚠ Baseline: Start لا يدخل في التقدم",IF($K968="No Start (attainment only)","ℹ تحصيل فقط (بدون Start)",IF($K968="U – needs rule","ℹ حالة U تحتاج قاعدة معتمدة",IF($K968="No result","ℹ بدون نتيجة (يُستبعد من التحصيل)","OK")))))))))))</f>
        <v/>
      </c>
      <c r="M968" s="64" t="n">
        <f aca="false">IF($A968="",0,IFERROR(MATCH($A968,Classes!$A$6:$A$420,0),0))</f>
        <v>0</v>
      </c>
      <c r="N968" s="64" t="n">
        <f aca="false">IF($H968="",0,IFERROR(MATCH($H968,GradeList,0),0))</f>
        <v>0</v>
      </c>
      <c r="O968" s="64" t="n">
        <f aca="false">IF(OR($I968="",$I968="NR"),0,IFERROR(MATCH($I968,GradeList,0),0))</f>
        <v>0</v>
      </c>
      <c r="P968" s="64" t="n">
        <f aca="false">IF(AND($M968&gt;0,ISNUMBER(MATCH($F968,Lists!$A$2:$A$5,0)),ISNUMBER(MATCH($G968,Lists!$B$2:$B$7,0)),OR($H968="",$N968&gt;0),OR($I968="",$I968="NR",$O968&gt;0),IF(ISNUMBER($J968),AND($J968&gt;=0,$J968=INT($J968)),FALSE())),$J968,0)</f>
        <v>0</v>
      </c>
      <c r="Q968" s="64" t="n">
        <f aca="false">IF(AND($P968&gt;0,$O968&gt;0),$P968,0)</f>
        <v>0</v>
      </c>
      <c r="R968" s="64" t="n">
        <f aca="false">IF(AND($Q968&gt;0,$O968&gt;=AtRank),$Q968,0)</f>
        <v>0</v>
      </c>
      <c r="S968" s="64" t="n">
        <f aca="false">IF(AND($Q968&gt;0,$O968&gt;=AboveRank),$Q968,0)</f>
        <v>0</v>
      </c>
      <c r="T968" s="64" t="n">
        <f aca="false">IF($K968="Less",$P968,0)</f>
        <v>0</v>
      </c>
      <c r="U968" s="64" t="n">
        <f aca="false">IF($K968="Expected",$P968,0)</f>
        <v>0</v>
      </c>
      <c r="V968" s="64" t="n">
        <f aca="false">IF($K968="Better",$P968,0)</f>
        <v>0</v>
      </c>
      <c r="W968" s="64" t="n">
        <f aca="false">IF($K968="U – needs rule",$P968,0)</f>
        <v>0</v>
      </c>
      <c r="X968" s="64" t="n">
        <f aca="false">IF($K968="No Start (attainment only)",$P968,0)</f>
        <v>0</v>
      </c>
    </row>
    <row r="969" customFormat="false" ht="15" hidden="false" customHeight="false" outlineLevel="0" collapsed="false">
      <c r="A969" s="60"/>
      <c r="B969" s="61" t="str">
        <f aca="false">IF($M969=0,"",INDEX(Classes!$E$6:$E$420,$M969))</f>
        <v/>
      </c>
      <c r="C969" s="62" t="str">
        <f aca="false">IF($M969=0,"",INDEX(Classes!$H$6:$H$420,$M969))</f>
        <v/>
      </c>
      <c r="D969" s="61" t="str">
        <f aca="false">IF($M969=0,"",INDEX(Classes!$B$6:$B$420,$M969))</f>
        <v/>
      </c>
      <c r="E969" s="61" t="str">
        <f aca="false">IF($M969=0,"",INDEX(Classes!$C$6:$C$420,$M969))</f>
        <v/>
      </c>
      <c r="F969" s="63"/>
      <c r="G969" s="63"/>
      <c r="H969" s="60"/>
      <c r="I969" s="60"/>
      <c r="J969" s="63"/>
      <c r="K969" s="61" t="str">
        <f aca="false">IF($P969=0,"",IF($F969="Baseline","— Baseline",IF($O969=0,"No result",IF($N969=0,"No Start (attainment only)",IF(OR($N969=1,$O969=1),"U – needs rule",INDEX(MxBody,MATCH($I969,MxCurr,0),MATCH($H969,MxStart,0)))))))</f>
        <v/>
      </c>
      <c r="L969" s="62" t="str">
        <f aca="false">IF(COUNTA($A969,$F969,$G969,$H969,$I969,$J969)=0,"",IF($M969=0,"✖ كود الصف غير موجود",IF(ISNA(MATCH($F969,Lists!$A$2:$A$5,0)),"✖ الفترة غير صحيحة",IF(ISNA(MATCH($G969,Lists!$B$2:$B$7,0)),"✖ المجموعة غير صحيحة",IF(NOT(OR($H969="",$N969&gt;0)),"✖ Start غير صحيح",IF(NOT(OR($I969="",$I969="NR",$O969&gt;0)),"✖ Current غير صحيح",IF(NOT(IF(ISNUMBER($J969),AND($J969&gt;=0,$J969=INT($J969)),FALSE())),"✖ العدد يجب أن يكون صحيحًا ≥ 0",IF(AND($F969="Baseline",$H969&lt;&gt;""),"⚠ Baseline: Start لا يدخل في التقدم",IF($K969="No Start (attainment only)","ℹ تحصيل فقط (بدون Start)",IF($K969="U – needs rule","ℹ حالة U تحتاج قاعدة معتمدة",IF($K969="No result","ℹ بدون نتيجة (يُستبعد من التحصيل)","OK")))))))))))</f>
        <v/>
      </c>
      <c r="M969" s="64" t="n">
        <f aca="false">IF($A969="",0,IFERROR(MATCH($A969,Classes!$A$6:$A$420,0),0))</f>
        <v>0</v>
      </c>
      <c r="N969" s="64" t="n">
        <f aca="false">IF($H969="",0,IFERROR(MATCH($H969,GradeList,0),0))</f>
        <v>0</v>
      </c>
      <c r="O969" s="64" t="n">
        <f aca="false">IF(OR($I969="",$I969="NR"),0,IFERROR(MATCH($I969,GradeList,0),0))</f>
        <v>0</v>
      </c>
      <c r="P969" s="64" t="n">
        <f aca="false">IF(AND($M969&gt;0,ISNUMBER(MATCH($F969,Lists!$A$2:$A$5,0)),ISNUMBER(MATCH($G969,Lists!$B$2:$B$7,0)),OR($H969="",$N969&gt;0),OR($I969="",$I969="NR",$O969&gt;0),IF(ISNUMBER($J969),AND($J969&gt;=0,$J969=INT($J969)),FALSE())),$J969,0)</f>
        <v>0</v>
      </c>
      <c r="Q969" s="64" t="n">
        <f aca="false">IF(AND($P969&gt;0,$O969&gt;0),$P969,0)</f>
        <v>0</v>
      </c>
      <c r="R969" s="64" t="n">
        <f aca="false">IF(AND($Q969&gt;0,$O969&gt;=AtRank),$Q969,0)</f>
        <v>0</v>
      </c>
      <c r="S969" s="64" t="n">
        <f aca="false">IF(AND($Q969&gt;0,$O969&gt;=AboveRank),$Q969,0)</f>
        <v>0</v>
      </c>
      <c r="T969" s="64" t="n">
        <f aca="false">IF($K969="Less",$P969,0)</f>
        <v>0</v>
      </c>
      <c r="U969" s="64" t="n">
        <f aca="false">IF($K969="Expected",$P969,0)</f>
        <v>0</v>
      </c>
      <c r="V969" s="64" t="n">
        <f aca="false">IF($K969="Better",$P969,0)</f>
        <v>0</v>
      </c>
      <c r="W969" s="64" t="n">
        <f aca="false">IF($K969="U – needs rule",$P969,0)</f>
        <v>0</v>
      </c>
      <c r="X969" s="64" t="n">
        <f aca="false">IF($K969="No Start (attainment only)",$P969,0)</f>
        <v>0</v>
      </c>
    </row>
    <row r="970" customFormat="false" ht="15" hidden="false" customHeight="false" outlineLevel="0" collapsed="false">
      <c r="A970" s="60"/>
      <c r="B970" s="61" t="str">
        <f aca="false">IF($M970=0,"",INDEX(Classes!$E$6:$E$420,$M970))</f>
        <v/>
      </c>
      <c r="C970" s="62" t="str">
        <f aca="false">IF($M970=0,"",INDEX(Classes!$H$6:$H$420,$M970))</f>
        <v/>
      </c>
      <c r="D970" s="61" t="str">
        <f aca="false">IF($M970=0,"",INDEX(Classes!$B$6:$B$420,$M970))</f>
        <v/>
      </c>
      <c r="E970" s="61" t="str">
        <f aca="false">IF($M970=0,"",INDEX(Classes!$C$6:$C$420,$M970))</f>
        <v/>
      </c>
      <c r="F970" s="63"/>
      <c r="G970" s="63"/>
      <c r="H970" s="60"/>
      <c r="I970" s="60"/>
      <c r="J970" s="63"/>
      <c r="K970" s="61" t="str">
        <f aca="false">IF($P970=0,"",IF($F970="Baseline","— Baseline",IF($O970=0,"No result",IF($N970=0,"No Start (attainment only)",IF(OR($N970=1,$O970=1),"U – needs rule",INDEX(MxBody,MATCH($I970,MxCurr,0),MATCH($H970,MxStart,0)))))))</f>
        <v/>
      </c>
      <c r="L970" s="62" t="str">
        <f aca="false">IF(COUNTA($A970,$F970,$G970,$H970,$I970,$J970)=0,"",IF($M970=0,"✖ كود الصف غير موجود",IF(ISNA(MATCH($F970,Lists!$A$2:$A$5,0)),"✖ الفترة غير صحيحة",IF(ISNA(MATCH($G970,Lists!$B$2:$B$7,0)),"✖ المجموعة غير صحيحة",IF(NOT(OR($H970="",$N970&gt;0)),"✖ Start غير صحيح",IF(NOT(OR($I970="",$I970="NR",$O970&gt;0)),"✖ Current غير صحيح",IF(NOT(IF(ISNUMBER($J970),AND($J970&gt;=0,$J970=INT($J970)),FALSE())),"✖ العدد يجب أن يكون صحيحًا ≥ 0",IF(AND($F970="Baseline",$H970&lt;&gt;""),"⚠ Baseline: Start لا يدخل في التقدم",IF($K970="No Start (attainment only)","ℹ تحصيل فقط (بدون Start)",IF($K970="U – needs rule","ℹ حالة U تحتاج قاعدة معتمدة",IF($K970="No result","ℹ بدون نتيجة (يُستبعد من التحصيل)","OK")))))))))))</f>
        <v/>
      </c>
      <c r="M970" s="64" t="n">
        <f aca="false">IF($A970="",0,IFERROR(MATCH($A970,Classes!$A$6:$A$420,0),0))</f>
        <v>0</v>
      </c>
      <c r="N970" s="64" t="n">
        <f aca="false">IF($H970="",0,IFERROR(MATCH($H970,GradeList,0),0))</f>
        <v>0</v>
      </c>
      <c r="O970" s="64" t="n">
        <f aca="false">IF(OR($I970="",$I970="NR"),0,IFERROR(MATCH($I970,GradeList,0),0))</f>
        <v>0</v>
      </c>
      <c r="P970" s="64" t="n">
        <f aca="false">IF(AND($M970&gt;0,ISNUMBER(MATCH($F970,Lists!$A$2:$A$5,0)),ISNUMBER(MATCH($G970,Lists!$B$2:$B$7,0)),OR($H970="",$N970&gt;0),OR($I970="",$I970="NR",$O970&gt;0),IF(ISNUMBER($J970),AND($J970&gt;=0,$J970=INT($J970)),FALSE())),$J970,0)</f>
        <v>0</v>
      </c>
      <c r="Q970" s="64" t="n">
        <f aca="false">IF(AND($P970&gt;0,$O970&gt;0),$P970,0)</f>
        <v>0</v>
      </c>
      <c r="R970" s="64" t="n">
        <f aca="false">IF(AND($Q970&gt;0,$O970&gt;=AtRank),$Q970,0)</f>
        <v>0</v>
      </c>
      <c r="S970" s="64" t="n">
        <f aca="false">IF(AND($Q970&gt;0,$O970&gt;=AboveRank),$Q970,0)</f>
        <v>0</v>
      </c>
      <c r="T970" s="64" t="n">
        <f aca="false">IF($K970="Less",$P970,0)</f>
        <v>0</v>
      </c>
      <c r="U970" s="64" t="n">
        <f aca="false">IF($K970="Expected",$P970,0)</f>
        <v>0</v>
      </c>
      <c r="V970" s="64" t="n">
        <f aca="false">IF($K970="Better",$P970,0)</f>
        <v>0</v>
      </c>
      <c r="W970" s="64" t="n">
        <f aca="false">IF($K970="U – needs rule",$P970,0)</f>
        <v>0</v>
      </c>
      <c r="X970" s="64" t="n">
        <f aca="false">IF($K970="No Start (attainment only)",$P970,0)</f>
        <v>0</v>
      </c>
    </row>
    <row r="971" customFormat="false" ht="15" hidden="false" customHeight="false" outlineLevel="0" collapsed="false">
      <c r="A971" s="60"/>
      <c r="B971" s="61" t="str">
        <f aca="false">IF($M971=0,"",INDEX(Classes!$E$6:$E$420,$M971))</f>
        <v/>
      </c>
      <c r="C971" s="62" t="str">
        <f aca="false">IF($M971=0,"",INDEX(Classes!$H$6:$H$420,$M971))</f>
        <v/>
      </c>
      <c r="D971" s="61" t="str">
        <f aca="false">IF($M971=0,"",INDEX(Classes!$B$6:$B$420,$M971))</f>
        <v/>
      </c>
      <c r="E971" s="61" t="str">
        <f aca="false">IF($M971=0,"",INDEX(Classes!$C$6:$C$420,$M971))</f>
        <v/>
      </c>
      <c r="F971" s="63"/>
      <c r="G971" s="63"/>
      <c r="H971" s="60"/>
      <c r="I971" s="60"/>
      <c r="J971" s="63"/>
      <c r="K971" s="61" t="str">
        <f aca="false">IF($P971=0,"",IF($F971="Baseline","— Baseline",IF($O971=0,"No result",IF($N971=0,"No Start (attainment only)",IF(OR($N971=1,$O971=1),"U – needs rule",INDEX(MxBody,MATCH($I971,MxCurr,0),MATCH($H971,MxStart,0)))))))</f>
        <v/>
      </c>
      <c r="L971" s="62" t="str">
        <f aca="false">IF(COUNTA($A971,$F971,$G971,$H971,$I971,$J971)=0,"",IF($M971=0,"✖ كود الصف غير موجود",IF(ISNA(MATCH($F971,Lists!$A$2:$A$5,0)),"✖ الفترة غير صحيحة",IF(ISNA(MATCH($G971,Lists!$B$2:$B$7,0)),"✖ المجموعة غير صحيحة",IF(NOT(OR($H971="",$N971&gt;0)),"✖ Start غير صحيح",IF(NOT(OR($I971="",$I971="NR",$O971&gt;0)),"✖ Current غير صحيح",IF(NOT(IF(ISNUMBER($J971),AND($J971&gt;=0,$J971=INT($J971)),FALSE())),"✖ العدد يجب أن يكون صحيحًا ≥ 0",IF(AND($F971="Baseline",$H971&lt;&gt;""),"⚠ Baseline: Start لا يدخل في التقدم",IF($K971="No Start (attainment only)","ℹ تحصيل فقط (بدون Start)",IF($K971="U – needs rule","ℹ حالة U تحتاج قاعدة معتمدة",IF($K971="No result","ℹ بدون نتيجة (يُستبعد من التحصيل)","OK")))))))))))</f>
        <v/>
      </c>
      <c r="M971" s="64" t="n">
        <f aca="false">IF($A971="",0,IFERROR(MATCH($A971,Classes!$A$6:$A$420,0),0))</f>
        <v>0</v>
      </c>
      <c r="N971" s="64" t="n">
        <f aca="false">IF($H971="",0,IFERROR(MATCH($H971,GradeList,0),0))</f>
        <v>0</v>
      </c>
      <c r="O971" s="64" t="n">
        <f aca="false">IF(OR($I971="",$I971="NR"),0,IFERROR(MATCH($I971,GradeList,0),0))</f>
        <v>0</v>
      </c>
      <c r="P971" s="64" t="n">
        <f aca="false">IF(AND($M971&gt;0,ISNUMBER(MATCH($F971,Lists!$A$2:$A$5,0)),ISNUMBER(MATCH($G971,Lists!$B$2:$B$7,0)),OR($H971="",$N971&gt;0),OR($I971="",$I971="NR",$O971&gt;0),IF(ISNUMBER($J971),AND($J971&gt;=0,$J971=INT($J971)),FALSE())),$J971,0)</f>
        <v>0</v>
      </c>
      <c r="Q971" s="64" t="n">
        <f aca="false">IF(AND($P971&gt;0,$O971&gt;0),$P971,0)</f>
        <v>0</v>
      </c>
      <c r="R971" s="64" t="n">
        <f aca="false">IF(AND($Q971&gt;0,$O971&gt;=AtRank),$Q971,0)</f>
        <v>0</v>
      </c>
      <c r="S971" s="64" t="n">
        <f aca="false">IF(AND($Q971&gt;0,$O971&gt;=AboveRank),$Q971,0)</f>
        <v>0</v>
      </c>
      <c r="T971" s="64" t="n">
        <f aca="false">IF($K971="Less",$P971,0)</f>
        <v>0</v>
      </c>
      <c r="U971" s="64" t="n">
        <f aca="false">IF($K971="Expected",$P971,0)</f>
        <v>0</v>
      </c>
      <c r="V971" s="64" t="n">
        <f aca="false">IF($K971="Better",$P971,0)</f>
        <v>0</v>
      </c>
      <c r="W971" s="64" t="n">
        <f aca="false">IF($K971="U – needs rule",$P971,0)</f>
        <v>0</v>
      </c>
      <c r="X971" s="64" t="n">
        <f aca="false">IF($K971="No Start (attainment only)",$P971,0)</f>
        <v>0</v>
      </c>
    </row>
    <row r="972" customFormat="false" ht="15" hidden="false" customHeight="false" outlineLevel="0" collapsed="false">
      <c r="A972" s="60"/>
      <c r="B972" s="61" t="str">
        <f aca="false">IF($M972=0,"",INDEX(Classes!$E$6:$E$420,$M972))</f>
        <v/>
      </c>
      <c r="C972" s="62" t="str">
        <f aca="false">IF($M972=0,"",INDEX(Classes!$H$6:$H$420,$M972))</f>
        <v/>
      </c>
      <c r="D972" s="61" t="str">
        <f aca="false">IF($M972=0,"",INDEX(Classes!$B$6:$B$420,$M972))</f>
        <v/>
      </c>
      <c r="E972" s="61" t="str">
        <f aca="false">IF($M972=0,"",INDEX(Classes!$C$6:$C$420,$M972))</f>
        <v/>
      </c>
      <c r="F972" s="63"/>
      <c r="G972" s="63"/>
      <c r="H972" s="60"/>
      <c r="I972" s="60"/>
      <c r="J972" s="63"/>
      <c r="K972" s="61" t="str">
        <f aca="false">IF($P972=0,"",IF($F972="Baseline","— Baseline",IF($O972=0,"No result",IF($N972=0,"No Start (attainment only)",IF(OR($N972=1,$O972=1),"U – needs rule",INDEX(MxBody,MATCH($I972,MxCurr,0),MATCH($H972,MxStart,0)))))))</f>
        <v/>
      </c>
      <c r="L972" s="62" t="str">
        <f aca="false">IF(COUNTA($A972,$F972,$G972,$H972,$I972,$J972)=0,"",IF($M972=0,"✖ كود الصف غير موجود",IF(ISNA(MATCH($F972,Lists!$A$2:$A$5,0)),"✖ الفترة غير صحيحة",IF(ISNA(MATCH($G972,Lists!$B$2:$B$7,0)),"✖ المجموعة غير صحيحة",IF(NOT(OR($H972="",$N972&gt;0)),"✖ Start غير صحيح",IF(NOT(OR($I972="",$I972="NR",$O972&gt;0)),"✖ Current غير صحيح",IF(NOT(IF(ISNUMBER($J972),AND($J972&gt;=0,$J972=INT($J972)),FALSE())),"✖ العدد يجب أن يكون صحيحًا ≥ 0",IF(AND($F972="Baseline",$H972&lt;&gt;""),"⚠ Baseline: Start لا يدخل في التقدم",IF($K972="No Start (attainment only)","ℹ تحصيل فقط (بدون Start)",IF($K972="U – needs rule","ℹ حالة U تحتاج قاعدة معتمدة",IF($K972="No result","ℹ بدون نتيجة (يُستبعد من التحصيل)","OK")))))))))))</f>
        <v/>
      </c>
      <c r="M972" s="64" t="n">
        <f aca="false">IF($A972="",0,IFERROR(MATCH($A972,Classes!$A$6:$A$420,0),0))</f>
        <v>0</v>
      </c>
      <c r="N972" s="64" t="n">
        <f aca="false">IF($H972="",0,IFERROR(MATCH($H972,GradeList,0),0))</f>
        <v>0</v>
      </c>
      <c r="O972" s="64" t="n">
        <f aca="false">IF(OR($I972="",$I972="NR"),0,IFERROR(MATCH($I972,GradeList,0),0))</f>
        <v>0</v>
      </c>
      <c r="P972" s="64" t="n">
        <f aca="false">IF(AND($M972&gt;0,ISNUMBER(MATCH($F972,Lists!$A$2:$A$5,0)),ISNUMBER(MATCH($G972,Lists!$B$2:$B$7,0)),OR($H972="",$N972&gt;0),OR($I972="",$I972="NR",$O972&gt;0),IF(ISNUMBER($J972),AND($J972&gt;=0,$J972=INT($J972)),FALSE())),$J972,0)</f>
        <v>0</v>
      </c>
      <c r="Q972" s="64" t="n">
        <f aca="false">IF(AND($P972&gt;0,$O972&gt;0),$P972,0)</f>
        <v>0</v>
      </c>
      <c r="R972" s="64" t="n">
        <f aca="false">IF(AND($Q972&gt;0,$O972&gt;=AtRank),$Q972,0)</f>
        <v>0</v>
      </c>
      <c r="S972" s="64" t="n">
        <f aca="false">IF(AND($Q972&gt;0,$O972&gt;=AboveRank),$Q972,0)</f>
        <v>0</v>
      </c>
      <c r="T972" s="64" t="n">
        <f aca="false">IF($K972="Less",$P972,0)</f>
        <v>0</v>
      </c>
      <c r="U972" s="64" t="n">
        <f aca="false">IF($K972="Expected",$P972,0)</f>
        <v>0</v>
      </c>
      <c r="V972" s="64" t="n">
        <f aca="false">IF($K972="Better",$P972,0)</f>
        <v>0</v>
      </c>
      <c r="W972" s="64" t="n">
        <f aca="false">IF($K972="U – needs rule",$P972,0)</f>
        <v>0</v>
      </c>
      <c r="X972" s="64" t="n">
        <f aca="false">IF($K972="No Start (attainment only)",$P972,0)</f>
        <v>0</v>
      </c>
    </row>
    <row r="973" customFormat="false" ht="15" hidden="false" customHeight="false" outlineLevel="0" collapsed="false">
      <c r="A973" s="60"/>
      <c r="B973" s="61" t="str">
        <f aca="false">IF($M973=0,"",INDEX(Classes!$E$6:$E$420,$M973))</f>
        <v/>
      </c>
      <c r="C973" s="62" t="str">
        <f aca="false">IF($M973=0,"",INDEX(Classes!$H$6:$H$420,$M973))</f>
        <v/>
      </c>
      <c r="D973" s="61" t="str">
        <f aca="false">IF($M973=0,"",INDEX(Classes!$B$6:$B$420,$M973))</f>
        <v/>
      </c>
      <c r="E973" s="61" t="str">
        <f aca="false">IF($M973=0,"",INDEX(Classes!$C$6:$C$420,$M973))</f>
        <v/>
      </c>
      <c r="F973" s="63"/>
      <c r="G973" s="63"/>
      <c r="H973" s="60"/>
      <c r="I973" s="60"/>
      <c r="J973" s="63"/>
      <c r="K973" s="61" t="str">
        <f aca="false">IF($P973=0,"",IF($F973="Baseline","— Baseline",IF($O973=0,"No result",IF($N973=0,"No Start (attainment only)",IF(OR($N973=1,$O973=1),"U – needs rule",INDEX(MxBody,MATCH($I973,MxCurr,0),MATCH($H973,MxStart,0)))))))</f>
        <v/>
      </c>
      <c r="L973" s="62" t="str">
        <f aca="false">IF(COUNTA($A973,$F973,$G973,$H973,$I973,$J973)=0,"",IF($M973=0,"✖ كود الصف غير موجود",IF(ISNA(MATCH($F973,Lists!$A$2:$A$5,0)),"✖ الفترة غير صحيحة",IF(ISNA(MATCH($G973,Lists!$B$2:$B$7,0)),"✖ المجموعة غير صحيحة",IF(NOT(OR($H973="",$N973&gt;0)),"✖ Start غير صحيح",IF(NOT(OR($I973="",$I973="NR",$O973&gt;0)),"✖ Current غير صحيح",IF(NOT(IF(ISNUMBER($J973),AND($J973&gt;=0,$J973=INT($J973)),FALSE())),"✖ العدد يجب أن يكون صحيحًا ≥ 0",IF(AND($F973="Baseline",$H973&lt;&gt;""),"⚠ Baseline: Start لا يدخل في التقدم",IF($K973="No Start (attainment only)","ℹ تحصيل فقط (بدون Start)",IF($K973="U – needs rule","ℹ حالة U تحتاج قاعدة معتمدة",IF($K973="No result","ℹ بدون نتيجة (يُستبعد من التحصيل)","OK")))))))))))</f>
        <v/>
      </c>
      <c r="M973" s="64" t="n">
        <f aca="false">IF($A973="",0,IFERROR(MATCH($A973,Classes!$A$6:$A$420,0),0))</f>
        <v>0</v>
      </c>
      <c r="N973" s="64" t="n">
        <f aca="false">IF($H973="",0,IFERROR(MATCH($H973,GradeList,0),0))</f>
        <v>0</v>
      </c>
      <c r="O973" s="64" t="n">
        <f aca="false">IF(OR($I973="",$I973="NR"),0,IFERROR(MATCH($I973,GradeList,0),0))</f>
        <v>0</v>
      </c>
      <c r="P973" s="64" t="n">
        <f aca="false">IF(AND($M973&gt;0,ISNUMBER(MATCH($F973,Lists!$A$2:$A$5,0)),ISNUMBER(MATCH($G973,Lists!$B$2:$B$7,0)),OR($H973="",$N973&gt;0),OR($I973="",$I973="NR",$O973&gt;0),IF(ISNUMBER($J973),AND($J973&gt;=0,$J973=INT($J973)),FALSE())),$J973,0)</f>
        <v>0</v>
      </c>
      <c r="Q973" s="64" t="n">
        <f aca="false">IF(AND($P973&gt;0,$O973&gt;0),$P973,0)</f>
        <v>0</v>
      </c>
      <c r="R973" s="64" t="n">
        <f aca="false">IF(AND($Q973&gt;0,$O973&gt;=AtRank),$Q973,0)</f>
        <v>0</v>
      </c>
      <c r="S973" s="64" t="n">
        <f aca="false">IF(AND($Q973&gt;0,$O973&gt;=AboveRank),$Q973,0)</f>
        <v>0</v>
      </c>
      <c r="T973" s="64" t="n">
        <f aca="false">IF($K973="Less",$P973,0)</f>
        <v>0</v>
      </c>
      <c r="U973" s="64" t="n">
        <f aca="false">IF($K973="Expected",$P973,0)</f>
        <v>0</v>
      </c>
      <c r="V973" s="64" t="n">
        <f aca="false">IF($K973="Better",$P973,0)</f>
        <v>0</v>
      </c>
      <c r="W973" s="64" t="n">
        <f aca="false">IF($K973="U – needs rule",$P973,0)</f>
        <v>0</v>
      </c>
      <c r="X973" s="64" t="n">
        <f aca="false">IF($K973="No Start (attainment only)",$P973,0)</f>
        <v>0</v>
      </c>
    </row>
    <row r="974" customFormat="false" ht="15" hidden="false" customHeight="false" outlineLevel="0" collapsed="false">
      <c r="A974" s="60"/>
      <c r="B974" s="61" t="str">
        <f aca="false">IF($M974=0,"",INDEX(Classes!$E$6:$E$420,$M974))</f>
        <v/>
      </c>
      <c r="C974" s="62" t="str">
        <f aca="false">IF($M974=0,"",INDEX(Classes!$H$6:$H$420,$M974))</f>
        <v/>
      </c>
      <c r="D974" s="61" t="str">
        <f aca="false">IF($M974=0,"",INDEX(Classes!$B$6:$B$420,$M974))</f>
        <v/>
      </c>
      <c r="E974" s="61" t="str">
        <f aca="false">IF($M974=0,"",INDEX(Classes!$C$6:$C$420,$M974))</f>
        <v/>
      </c>
      <c r="F974" s="63"/>
      <c r="G974" s="63"/>
      <c r="H974" s="60"/>
      <c r="I974" s="60"/>
      <c r="J974" s="63"/>
      <c r="K974" s="61" t="str">
        <f aca="false">IF($P974=0,"",IF($F974="Baseline","— Baseline",IF($O974=0,"No result",IF($N974=0,"No Start (attainment only)",IF(OR($N974=1,$O974=1),"U – needs rule",INDEX(MxBody,MATCH($I974,MxCurr,0),MATCH($H974,MxStart,0)))))))</f>
        <v/>
      </c>
      <c r="L974" s="62" t="str">
        <f aca="false">IF(COUNTA($A974,$F974,$G974,$H974,$I974,$J974)=0,"",IF($M974=0,"✖ كود الصف غير موجود",IF(ISNA(MATCH($F974,Lists!$A$2:$A$5,0)),"✖ الفترة غير صحيحة",IF(ISNA(MATCH($G974,Lists!$B$2:$B$7,0)),"✖ المجموعة غير صحيحة",IF(NOT(OR($H974="",$N974&gt;0)),"✖ Start غير صحيح",IF(NOT(OR($I974="",$I974="NR",$O974&gt;0)),"✖ Current غير صحيح",IF(NOT(IF(ISNUMBER($J974),AND($J974&gt;=0,$J974=INT($J974)),FALSE())),"✖ العدد يجب أن يكون صحيحًا ≥ 0",IF(AND($F974="Baseline",$H974&lt;&gt;""),"⚠ Baseline: Start لا يدخل في التقدم",IF($K974="No Start (attainment only)","ℹ تحصيل فقط (بدون Start)",IF($K974="U – needs rule","ℹ حالة U تحتاج قاعدة معتمدة",IF($K974="No result","ℹ بدون نتيجة (يُستبعد من التحصيل)","OK")))))))))))</f>
        <v/>
      </c>
      <c r="M974" s="64" t="n">
        <f aca="false">IF($A974="",0,IFERROR(MATCH($A974,Classes!$A$6:$A$420,0),0))</f>
        <v>0</v>
      </c>
      <c r="N974" s="64" t="n">
        <f aca="false">IF($H974="",0,IFERROR(MATCH($H974,GradeList,0),0))</f>
        <v>0</v>
      </c>
      <c r="O974" s="64" t="n">
        <f aca="false">IF(OR($I974="",$I974="NR"),0,IFERROR(MATCH($I974,GradeList,0),0))</f>
        <v>0</v>
      </c>
      <c r="P974" s="64" t="n">
        <f aca="false">IF(AND($M974&gt;0,ISNUMBER(MATCH($F974,Lists!$A$2:$A$5,0)),ISNUMBER(MATCH($G974,Lists!$B$2:$B$7,0)),OR($H974="",$N974&gt;0),OR($I974="",$I974="NR",$O974&gt;0),IF(ISNUMBER($J974),AND($J974&gt;=0,$J974=INT($J974)),FALSE())),$J974,0)</f>
        <v>0</v>
      </c>
      <c r="Q974" s="64" t="n">
        <f aca="false">IF(AND($P974&gt;0,$O974&gt;0),$P974,0)</f>
        <v>0</v>
      </c>
      <c r="R974" s="64" t="n">
        <f aca="false">IF(AND($Q974&gt;0,$O974&gt;=AtRank),$Q974,0)</f>
        <v>0</v>
      </c>
      <c r="S974" s="64" t="n">
        <f aca="false">IF(AND($Q974&gt;0,$O974&gt;=AboveRank),$Q974,0)</f>
        <v>0</v>
      </c>
      <c r="T974" s="64" t="n">
        <f aca="false">IF($K974="Less",$P974,0)</f>
        <v>0</v>
      </c>
      <c r="U974" s="64" t="n">
        <f aca="false">IF($K974="Expected",$P974,0)</f>
        <v>0</v>
      </c>
      <c r="V974" s="64" t="n">
        <f aca="false">IF($K974="Better",$P974,0)</f>
        <v>0</v>
      </c>
      <c r="W974" s="64" t="n">
        <f aca="false">IF($K974="U – needs rule",$P974,0)</f>
        <v>0</v>
      </c>
      <c r="X974" s="64" t="n">
        <f aca="false">IF($K974="No Start (attainment only)",$P974,0)</f>
        <v>0</v>
      </c>
    </row>
    <row r="975" customFormat="false" ht="15" hidden="false" customHeight="false" outlineLevel="0" collapsed="false">
      <c r="A975" s="60"/>
      <c r="B975" s="61" t="str">
        <f aca="false">IF($M975=0,"",INDEX(Classes!$E$6:$E$420,$M975))</f>
        <v/>
      </c>
      <c r="C975" s="62" t="str">
        <f aca="false">IF($M975=0,"",INDEX(Classes!$H$6:$H$420,$M975))</f>
        <v/>
      </c>
      <c r="D975" s="61" t="str">
        <f aca="false">IF($M975=0,"",INDEX(Classes!$B$6:$B$420,$M975))</f>
        <v/>
      </c>
      <c r="E975" s="61" t="str">
        <f aca="false">IF($M975=0,"",INDEX(Classes!$C$6:$C$420,$M975))</f>
        <v/>
      </c>
      <c r="F975" s="63"/>
      <c r="G975" s="63"/>
      <c r="H975" s="60"/>
      <c r="I975" s="60"/>
      <c r="J975" s="63"/>
      <c r="K975" s="61" t="str">
        <f aca="false">IF($P975=0,"",IF($F975="Baseline","— Baseline",IF($O975=0,"No result",IF($N975=0,"No Start (attainment only)",IF(OR($N975=1,$O975=1),"U – needs rule",INDEX(MxBody,MATCH($I975,MxCurr,0),MATCH($H975,MxStart,0)))))))</f>
        <v/>
      </c>
      <c r="L975" s="62" t="str">
        <f aca="false">IF(COUNTA($A975,$F975,$G975,$H975,$I975,$J975)=0,"",IF($M975=0,"✖ كود الصف غير موجود",IF(ISNA(MATCH($F975,Lists!$A$2:$A$5,0)),"✖ الفترة غير صحيحة",IF(ISNA(MATCH($G975,Lists!$B$2:$B$7,0)),"✖ المجموعة غير صحيحة",IF(NOT(OR($H975="",$N975&gt;0)),"✖ Start غير صحيح",IF(NOT(OR($I975="",$I975="NR",$O975&gt;0)),"✖ Current غير صحيح",IF(NOT(IF(ISNUMBER($J975),AND($J975&gt;=0,$J975=INT($J975)),FALSE())),"✖ العدد يجب أن يكون صحيحًا ≥ 0",IF(AND($F975="Baseline",$H975&lt;&gt;""),"⚠ Baseline: Start لا يدخل في التقدم",IF($K975="No Start (attainment only)","ℹ تحصيل فقط (بدون Start)",IF($K975="U – needs rule","ℹ حالة U تحتاج قاعدة معتمدة",IF($K975="No result","ℹ بدون نتيجة (يُستبعد من التحصيل)","OK")))))))))))</f>
        <v/>
      </c>
      <c r="M975" s="64" t="n">
        <f aca="false">IF($A975="",0,IFERROR(MATCH($A975,Classes!$A$6:$A$420,0),0))</f>
        <v>0</v>
      </c>
      <c r="N975" s="64" t="n">
        <f aca="false">IF($H975="",0,IFERROR(MATCH($H975,GradeList,0),0))</f>
        <v>0</v>
      </c>
      <c r="O975" s="64" t="n">
        <f aca="false">IF(OR($I975="",$I975="NR"),0,IFERROR(MATCH($I975,GradeList,0),0))</f>
        <v>0</v>
      </c>
      <c r="P975" s="64" t="n">
        <f aca="false">IF(AND($M975&gt;0,ISNUMBER(MATCH($F975,Lists!$A$2:$A$5,0)),ISNUMBER(MATCH($G975,Lists!$B$2:$B$7,0)),OR($H975="",$N975&gt;0),OR($I975="",$I975="NR",$O975&gt;0),IF(ISNUMBER($J975),AND($J975&gt;=0,$J975=INT($J975)),FALSE())),$J975,0)</f>
        <v>0</v>
      </c>
      <c r="Q975" s="64" t="n">
        <f aca="false">IF(AND($P975&gt;0,$O975&gt;0),$P975,0)</f>
        <v>0</v>
      </c>
      <c r="R975" s="64" t="n">
        <f aca="false">IF(AND($Q975&gt;0,$O975&gt;=AtRank),$Q975,0)</f>
        <v>0</v>
      </c>
      <c r="S975" s="64" t="n">
        <f aca="false">IF(AND($Q975&gt;0,$O975&gt;=AboveRank),$Q975,0)</f>
        <v>0</v>
      </c>
      <c r="T975" s="64" t="n">
        <f aca="false">IF($K975="Less",$P975,0)</f>
        <v>0</v>
      </c>
      <c r="U975" s="64" t="n">
        <f aca="false">IF($K975="Expected",$P975,0)</f>
        <v>0</v>
      </c>
      <c r="V975" s="64" t="n">
        <f aca="false">IF($K975="Better",$P975,0)</f>
        <v>0</v>
      </c>
      <c r="W975" s="64" t="n">
        <f aca="false">IF($K975="U – needs rule",$P975,0)</f>
        <v>0</v>
      </c>
      <c r="X975" s="64" t="n">
        <f aca="false">IF($K975="No Start (attainment only)",$P975,0)</f>
        <v>0</v>
      </c>
    </row>
    <row r="976" customFormat="false" ht="15" hidden="false" customHeight="false" outlineLevel="0" collapsed="false">
      <c r="A976" s="60"/>
      <c r="B976" s="61" t="str">
        <f aca="false">IF($M976=0,"",INDEX(Classes!$E$6:$E$420,$M976))</f>
        <v/>
      </c>
      <c r="C976" s="62" t="str">
        <f aca="false">IF($M976=0,"",INDEX(Classes!$H$6:$H$420,$M976))</f>
        <v/>
      </c>
      <c r="D976" s="61" t="str">
        <f aca="false">IF($M976=0,"",INDEX(Classes!$B$6:$B$420,$M976))</f>
        <v/>
      </c>
      <c r="E976" s="61" t="str">
        <f aca="false">IF($M976=0,"",INDEX(Classes!$C$6:$C$420,$M976))</f>
        <v/>
      </c>
      <c r="F976" s="63"/>
      <c r="G976" s="63"/>
      <c r="H976" s="60"/>
      <c r="I976" s="60"/>
      <c r="J976" s="63"/>
      <c r="K976" s="61" t="str">
        <f aca="false">IF($P976=0,"",IF($F976="Baseline","— Baseline",IF($O976=0,"No result",IF($N976=0,"No Start (attainment only)",IF(OR($N976=1,$O976=1),"U – needs rule",INDEX(MxBody,MATCH($I976,MxCurr,0),MATCH($H976,MxStart,0)))))))</f>
        <v/>
      </c>
      <c r="L976" s="62" t="str">
        <f aca="false">IF(COUNTA($A976,$F976,$G976,$H976,$I976,$J976)=0,"",IF($M976=0,"✖ كود الصف غير موجود",IF(ISNA(MATCH($F976,Lists!$A$2:$A$5,0)),"✖ الفترة غير صحيحة",IF(ISNA(MATCH($G976,Lists!$B$2:$B$7,0)),"✖ المجموعة غير صحيحة",IF(NOT(OR($H976="",$N976&gt;0)),"✖ Start غير صحيح",IF(NOT(OR($I976="",$I976="NR",$O976&gt;0)),"✖ Current غير صحيح",IF(NOT(IF(ISNUMBER($J976),AND($J976&gt;=0,$J976=INT($J976)),FALSE())),"✖ العدد يجب أن يكون صحيحًا ≥ 0",IF(AND($F976="Baseline",$H976&lt;&gt;""),"⚠ Baseline: Start لا يدخل في التقدم",IF($K976="No Start (attainment only)","ℹ تحصيل فقط (بدون Start)",IF($K976="U – needs rule","ℹ حالة U تحتاج قاعدة معتمدة",IF($K976="No result","ℹ بدون نتيجة (يُستبعد من التحصيل)","OK")))))))))))</f>
        <v/>
      </c>
      <c r="M976" s="64" t="n">
        <f aca="false">IF($A976="",0,IFERROR(MATCH($A976,Classes!$A$6:$A$420,0),0))</f>
        <v>0</v>
      </c>
      <c r="N976" s="64" t="n">
        <f aca="false">IF($H976="",0,IFERROR(MATCH($H976,GradeList,0),0))</f>
        <v>0</v>
      </c>
      <c r="O976" s="64" t="n">
        <f aca="false">IF(OR($I976="",$I976="NR"),0,IFERROR(MATCH($I976,GradeList,0),0))</f>
        <v>0</v>
      </c>
      <c r="P976" s="64" t="n">
        <f aca="false">IF(AND($M976&gt;0,ISNUMBER(MATCH($F976,Lists!$A$2:$A$5,0)),ISNUMBER(MATCH($G976,Lists!$B$2:$B$7,0)),OR($H976="",$N976&gt;0),OR($I976="",$I976="NR",$O976&gt;0),IF(ISNUMBER($J976),AND($J976&gt;=0,$J976=INT($J976)),FALSE())),$J976,0)</f>
        <v>0</v>
      </c>
      <c r="Q976" s="64" t="n">
        <f aca="false">IF(AND($P976&gt;0,$O976&gt;0),$P976,0)</f>
        <v>0</v>
      </c>
      <c r="R976" s="64" t="n">
        <f aca="false">IF(AND($Q976&gt;0,$O976&gt;=AtRank),$Q976,0)</f>
        <v>0</v>
      </c>
      <c r="S976" s="64" t="n">
        <f aca="false">IF(AND($Q976&gt;0,$O976&gt;=AboveRank),$Q976,0)</f>
        <v>0</v>
      </c>
      <c r="T976" s="64" t="n">
        <f aca="false">IF($K976="Less",$P976,0)</f>
        <v>0</v>
      </c>
      <c r="U976" s="64" t="n">
        <f aca="false">IF($K976="Expected",$P976,0)</f>
        <v>0</v>
      </c>
      <c r="V976" s="64" t="n">
        <f aca="false">IF($K976="Better",$P976,0)</f>
        <v>0</v>
      </c>
      <c r="W976" s="64" t="n">
        <f aca="false">IF($K976="U – needs rule",$P976,0)</f>
        <v>0</v>
      </c>
      <c r="X976" s="64" t="n">
        <f aca="false">IF($K976="No Start (attainment only)",$P976,0)</f>
        <v>0</v>
      </c>
    </row>
    <row r="977" customFormat="false" ht="15" hidden="false" customHeight="false" outlineLevel="0" collapsed="false">
      <c r="A977" s="60"/>
      <c r="B977" s="61" t="str">
        <f aca="false">IF($M977=0,"",INDEX(Classes!$E$6:$E$420,$M977))</f>
        <v/>
      </c>
      <c r="C977" s="62" t="str">
        <f aca="false">IF($M977=0,"",INDEX(Classes!$H$6:$H$420,$M977))</f>
        <v/>
      </c>
      <c r="D977" s="61" t="str">
        <f aca="false">IF($M977=0,"",INDEX(Classes!$B$6:$B$420,$M977))</f>
        <v/>
      </c>
      <c r="E977" s="61" t="str">
        <f aca="false">IF($M977=0,"",INDEX(Classes!$C$6:$C$420,$M977))</f>
        <v/>
      </c>
      <c r="F977" s="63"/>
      <c r="G977" s="63"/>
      <c r="H977" s="60"/>
      <c r="I977" s="60"/>
      <c r="J977" s="63"/>
      <c r="K977" s="61" t="str">
        <f aca="false">IF($P977=0,"",IF($F977="Baseline","— Baseline",IF($O977=0,"No result",IF($N977=0,"No Start (attainment only)",IF(OR($N977=1,$O977=1),"U – needs rule",INDEX(MxBody,MATCH($I977,MxCurr,0),MATCH($H977,MxStart,0)))))))</f>
        <v/>
      </c>
      <c r="L977" s="62" t="str">
        <f aca="false">IF(COUNTA($A977,$F977,$G977,$H977,$I977,$J977)=0,"",IF($M977=0,"✖ كود الصف غير موجود",IF(ISNA(MATCH($F977,Lists!$A$2:$A$5,0)),"✖ الفترة غير صحيحة",IF(ISNA(MATCH($G977,Lists!$B$2:$B$7,0)),"✖ المجموعة غير صحيحة",IF(NOT(OR($H977="",$N977&gt;0)),"✖ Start غير صحيح",IF(NOT(OR($I977="",$I977="NR",$O977&gt;0)),"✖ Current غير صحيح",IF(NOT(IF(ISNUMBER($J977),AND($J977&gt;=0,$J977=INT($J977)),FALSE())),"✖ العدد يجب أن يكون صحيحًا ≥ 0",IF(AND($F977="Baseline",$H977&lt;&gt;""),"⚠ Baseline: Start لا يدخل في التقدم",IF($K977="No Start (attainment only)","ℹ تحصيل فقط (بدون Start)",IF($K977="U – needs rule","ℹ حالة U تحتاج قاعدة معتمدة",IF($K977="No result","ℹ بدون نتيجة (يُستبعد من التحصيل)","OK")))))))))))</f>
        <v/>
      </c>
      <c r="M977" s="64" t="n">
        <f aca="false">IF($A977="",0,IFERROR(MATCH($A977,Classes!$A$6:$A$420,0),0))</f>
        <v>0</v>
      </c>
      <c r="N977" s="64" t="n">
        <f aca="false">IF($H977="",0,IFERROR(MATCH($H977,GradeList,0),0))</f>
        <v>0</v>
      </c>
      <c r="O977" s="64" t="n">
        <f aca="false">IF(OR($I977="",$I977="NR"),0,IFERROR(MATCH($I977,GradeList,0),0))</f>
        <v>0</v>
      </c>
      <c r="P977" s="64" t="n">
        <f aca="false">IF(AND($M977&gt;0,ISNUMBER(MATCH($F977,Lists!$A$2:$A$5,0)),ISNUMBER(MATCH($G977,Lists!$B$2:$B$7,0)),OR($H977="",$N977&gt;0),OR($I977="",$I977="NR",$O977&gt;0),IF(ISNUMBER($J977),AND($J977&gt;=0,$J977=INT($J977)),FALSE())),$J977,0)</f>
        <v>0</v>
      </c>
      <c r="Q977" s="64" t="n">
        <f aca="false">IF(AND($P977&gt;0,$O977&gt;0),$P977,0)</f>
        <v>0</v>
      </c>
      <c r="R977" s="64" t="n">
        <f aca="false">IF(AND($Q977&gt;0,$O977&gt;=AtRank),$Q977,0)</f>
        <v>0</v>
      </c>
      <c r="S977" s="64" t="n">
        <f aca="false">IF(AND($Q977&gt;0,$O977&gt;=AboveRank),$Q977,0)</f>
        <v>0</v>
      </c>
      <c r="T977" s="64" t="n">
        <f aca="false">IF($K977="Less",$P977,0)</f>
        <v>0</v>
      </c>
      <c r="U977" s="64" t="n">
        <f aca="false">IF($K977="Expected",$P977,0)</f>
        <v>0</v>
      </c>
      <c r="V977" s="64" t="n">
        <f aca="false">IF($K977="Better",$P977,0)</f>
        <v>0</v>
      </c>
      <c r="W977" s="64" t="n">
        <f aca="false">IF($K977="U – needs rule",$P977,0)</f>
        <v>0</v>
      </c>
      <c r="X977" s="64" t="n">
        <f aca="false">IF($K977="No Start (attainment only)",$P977,0)</f>
        <v>0</v>
      </c>
    </row>
    <row r="978" customFormat="false" ht="15" hidden="false" customHeight="false" outlineLevel="0" collapsed="false">
      <c r="A978" s="60"/>
      <c r="B978" s="61" t="str">
        <f aca="false">IF($M978=0,"",INDEX(Classes!$E$6:$E$420,$M978))</f>
        <v/>
      </c>
      <c r="C978" s="62" t="str">
        <f aca="false">IF($M978=0,"",INDEX(Classes!$H$6:$H$420,$M978))</f>
        <v/>
      </c>
      <c r="D978" s="61" t="str">
        <f aca="false">IF($M978=0,"",INDEX(Classes!$B$6:$B$420,$M978))</f>
        <v/>
      </c>
      <c r="E978" s="61" t="str">
        <f aca="false">IF($M978=0,"",INDEX(Classes!$C$6:$C$420,$M978))</f>
        <v/>
      </c>
      <c r="F978" s="63"/>
      <c r="G978" s="63"/>
      <c r="H978" s="60"/>
      <c r="I978" s="60"/>
      <c r="J978" s="63"/>
      <c r="K978" s="61" t="str">
        <f aca="false">IF($P978=0,"",IF($F978="Baseline","— Baseline",IF($O978=0,"No result",IF($N978=0,"No Start (attainment only)",IF(OR($N978=1,$O978=1),"U – needs rule",INDEX(MxBody,MATCH($I978,MxCurr,0),MATCH($H978,MxStart,0)))))))</f>
        <v/>
      </c>
      <c r="L978" s="62" t="str">
        <f aca="false">IF(COUNTA($A978,$F978,$G978,$H978,$I978,$J978)=0,"",IF($M978=0,"✖ كود الصف غير موجود",IF(ISNA(MATCH($F978,Lists!$A$2:$A$5,0)),"✖ الفترة غير صحيحة",IF(ISNA(MATCH($G978,Lists!$B$2:$B$7,0)),"✖ المجموعة غير صحيحة",IF(NOT(OR($H978="",$N978&gt;0)),"✖ Start غير صحيح",IF(NOT(OR($I978="",$I978="NR",$O978&gt;0)),"✖ Current غير صحيح",IF(NOT(IF(ISNUMBER($J978),AND($J978&gt;=0,$J978=INT($J978)),FALSE())),"✖ العدد يجب أن يكون صحيحًا ≥ 0",IF(AND($F978="Baseline",$H978&lt;&gt;""),"⚠ Baseline: Start لا يدخل في التقدم",IF($K978="No Start (attainment only)","ℹ تحصيل فقط (بدون Start)",IF($K978="U – needs rule","ℹ حالة U تحتاج قاعدة معتمدة",IF($K978="No result","ℹ بدون نتيجة (يُستبعد من التحصيل)","OK")))))))))))</f>
        <v/>
      </c>
      <c r="M978" s="64" t="n">
        <f aca="false">IF($A978="",0,IFERROR(MATCH($A978,Classes!$A$6:$A$420,0),0))</f>
        <v>0</v>
      </c>
      <c r="N978" s="64" t="n">
        <f aca="false">IF($H978="",0,IFERROR(MATCH($H978,GradeList,0),0))</f>
        <v>0</v>
      </c>
      <c r="O978" s="64" t="n">
        <f aca="false">IF(OR($I978="",$I978="NR"),0,IFERROR(MATCH($I978,GradeList,0),0))</f>
        <v>0</v>
      </c>
      <c r="P978" s="64" t="n">
        <f aca="false">IF(AND($M978&gt;0,ISNUMBER(MATCH($F978,Lists!$A$2:$A$5,0)),ISNUMBER(MATCH($G978,Lists!$B$2:$B$7,0)),OR($H978="",$N978&gt;0),OR($I978="",$I978="NR",$O978&gt;0),IF(ISNUMBER($J978),AND($J978&gt;=0,$J978=INT($J978)),FALSE())),$J978,0)</f>
        <v>0</v>
      </c>
      <c r="Q978" s="64" t="n">
        <f aca="false">IF(AND($P978&gt;0,$O978&gt;0),$P978,0)</f>
        <v>0</v>
      </c>
      <c r="R978" s="64" t="n">
        <f aca="false">IF(AND($Q978&gt;0,$O978&gt;=AtRank),$Q978,0)</f>
        <v>0</v>
      </c>
      <c r="S978" s="64" t="n">
        <f aca="false">IF(AND($Q978&gt;0,$O978&gt;=AboveRank),$Q978,0)</f>
        <v>0</v>
      </c>
      <c r="T978" s="64" t="n">
        <f aca="false">IF($K978="Less",$P978,0)</f>
        <v>0</v>
      </c>
      <c r="U978" s="64" t="n">
        <f aca="false">IF($K978="Expected",$P978,0)</f>
        <v>0</v>
      </c>
      <c r="V978" s="64" t="n">
        <f aca="false">IF($K978="Better",$P978,0)</f>
        <v>0</v>
      </c>
      <c r="W978" s="64" t="n">
        <f aca="false">IF($K978="U – needs rule",$P978,0)</f>
        <v>0</v>
      </c>
      <c r="X978" s="64" t="n">
        <f aca="false">IF($K978="No Start (attainment only)",$P978,0)</f>
        <v>0</v>
      </c>
    </row>
    <row r="979" customFormat="false" ht="15" hidden="false" customHeight="false" outlineLevel="0" collapsed="false">
      <c r="A979" s="60"/>
      <c r="B979" s="61" t="str">
        <f aca="false">IF($M979=0,"",INDEX(Classes!$E$6:$E$420,$M979))</f>
        <v/>
      </c>
      <c r="C979" s="62" t="str">
        <f aca="false">IF($M979=0,"",INDEX(Classes!$H$6:$H$420,$M979))</f>
        <v/>
      </c>
      <c r="D979" s="61" t="str">
        <f aca="false">IF($M979=0,"",INDEX(Classes!$B$6:$B$420,$M979))</f>
        <v/>
      </c>
      <c r="E979" s="61" t="str">
        <f aca="false">IF($M979=0,"",INDEX(Classes!$C$6:$C$420,$M979))</f>
        <v/>
      </c>
      <c r="F979" s="63"/>
      <c r="G979" s="63"/>
      <c r="H979" s="60"/>
      <c r="I979" s="60"/>
      <c r="J979" s="63"/>
      <c r="K979" s="61" t="str">
        <f aca="false">IF($P979=0,"",IF($F979="Baseline","— Baseline",IF($O979=0,"No result",IF($N979=0,"No Start (attainment only)",IF(OR($N979=1,$O979=1),"U – needs rule",INDEX(MxBody,MATCH($I979,MxCurr,0),MATCH($H979,MxStart,0)))))))</f>
        <v/>
      </c>
      <c r="L979" s="62" t="str">
        <f aca="false">IF(COUNTA($A979,$F979,$G979,$H979,$I979,$J979)=0,"",IF($M979=0,"✖ كود الصف غير موجود",IF(ISNA(MATCH($F979,Lists!$A$2:$A$5,0)),"✖ الفترة غير صحيحة",IF(ISNA(MATCH($G979,Lists!$B$2:$B$7,0)),"✖ المجموعة غير صحيحة",IF(NOT(OR($H979="",$N979&gt;0)),"✖ Start غير صحيح",IF(NOT(OR($I979="",$I979="NR",$O979&gt;0)),"✖ Current غير صحيح",IF(NOT(IF(ISNUMBER($J979),AND($J979&gt;=0,$J979=INT($J979)),FALSE())),"✖ العدد يجب أن يكون صحيحًا ≥ 0",IF(AND($F979="Baseline",$H979&lt;&gt;""),"⚠ Baseline: Start لا يدخل في التقدم",IF($K979="No Start (attainment only)","ℹ تحصيل فقط (بدون Start)",IF($K979="U – needs rule","ℹ حالة U تحتاج قاعدة معتمدة",IF($K979="No result","ℹ بدون نتيجة (يُستبعد من التحصيل)","OK")))))))))))</f>
        <v/>
      </c>
      <c r="M979" s="64" t="n">
        <f aca="false">IF($A979="",0,IFERROR(MATCH($A979,Classes!$A$6:$A$420,0),0))</f>
        <v>0</v>
      </c>
      <c r="N979" s="64" t="n">
        <f aca="false">IF($H979="",0,IFERROR(MATCH($H979,GradeList,0),0))</f>
        <v>0</v>
      </c>
      <c r="O979" s="64" t="n">
        <f aca="false">IF(OR($I979="",$I979="NR"),0,IFERROR(MATCH($I979,GradeList,0),0))</f>
        <v>0</v>
      </c>
      <c r="P979" s="64" t="n">
        <f aca="false">IF(AND($M979&gt;0,ISNUMBER(MATCH($F979,Lists!$A$2:$A$5,0)),ISNUMBER(MATCH($G979,Lists!$B$2:$B$7,0)),OR($H979="",$N979&gt;0),OR($I979="",$I979="NR",$O979&gt;0),IF(ISNUMBER($J979),AND($J979&gt;=0,$J979=INT($J979)),FALSE())),$J979,0)</f>
        <v>0</v>
      </c>
      <c r="Q979" s="64" t="n">
        <f aca="false">IF(AND($P979&gt;0,$O979&gt;0),$P979,0)</f>
        <v>0</v>
      </c>
      <c r="R979" s="64" t="n">
        <f aca="false">IF(AND($Q979&gt;0,$O979&gt;=AtRank),$Q979,0)</f>
        <v>0</v>
      </c>
      <c r="S979" s="64" t="n">
        <f aca="false">IF(AND($Q979&gt;0,$O979&gt;=AboveRank),$Q979,0)</f>
        <v>0</v>
      </c>
      <c r="T979" s="64" t="n">
        <f aca="false">IF($K979="Less",$P979,0)</f>
        <v>0</v>
      </c>
      <c r="U979" s="64" t="n">
        <f aca="false">IF($K979="Expected",$P979,0)</f>
        <v>0</v>
      </c>
      <c r="V979" s="64" t="n">
        <f aca="false">IF($K979="Better",$P979,0)</f>
        <v>0</v>
      </c>
      <c r="W979" s="64" t="n">
        <f aca="false">IF($K979="U – needs rule",$P979,0)</f>
        <v>0</v>
      </c>
      <c r="X979" s="64" t="n">
        <f aca="false">IF($K979="No Start (attainment only)",$P979,0)</f>
        <v>0</v>
      </c>
    </row>
    <row r="980" customFormat="false" ht="15" hidden="false" customHeight="false" outlineLevel="0" collapsed="false">
      <c r="A980" s="60"/>
      <c r="B980" s="61" t="str">
        <f aca="false">IF($M980=0,"",INDEX(Classes!$E$6:$E$420,$M980))</f>
        <v/>
      </c>
      <c r="C980" s="62" t="str">
        <f aca="false">IF($M980=0,"",INDEX(Classes!$H$6:$H$420,$M980))</f>
        <v/>
      </c>
      <c r="D980" s="61" t="str">
        <f aca="false">IF($M980=0,"",INDEX(Classes!$B$6:$B$420,$M980))</f>
        <v/>
      </c>
      <c r="E980" s="61" t="str">
        <f aca="false">IF($M980=0,"",INDEX(Classes!$C$6:$C$420,$M980))</f>
        <v/>
      </c>
      <c r="F980" s="63"/>
      <c r="G980" s="63"/>
      <c r="H980" s="60"/>
      <c r="I980" s="60"/>
      <c r="J980" s="63"/>
      <c r="K980" s="61" t="str">
        <f aca="false">IF($P980=0,"",IF($F980="Baseline","— Baseline",IF($O980=0,"No result",IF($N980=0,"No Start (attainment only)",IF(OR($N980=1,$O980=1),"U – needs rule",INDEX(MxBody,MATCH($I980,MxCurr,0),MATCH($H980,MxStart,0)))))))</f>
        <v/>
      </c>
      <c r="L980" s="62" t="str">
        <f aca="false">IF(COUNTA($A980,$F980,$G980,$H980,$I980,$J980)=0,"",IF($M980=0,"✖ كود الصف غير موجود",IF(ISNA(MATCH($F980,Lists!$A$2:$A$5,0)),"✖ الفترة غير صحيحة",IF(ISNA(MATCH($G980,Lists!$B$2:$B$7,0)),"✖ المجموعة غير صحيحة",IF(NOT(OR($H980="",$N980&gt;0)),"✖ Start غير صحيح",IF(NOT(OR($I980="",$I980="NR",$O980&gt;0)),"✖ Current غير صحيح",IF(NOT(IF(ISNUMBER($J980),AND($J980&gt;=0,$J980=INT($J980)),FALSE())),"✖ العدد يجب أن يكون صحيحًا ≥ 0",IF(AND($F980="Baseline",$H980&lt;&gt;""),"⚠ Baseline: Start لا يدخل في التقدم",IF($K980="No Start (attainment only)","ℹ تحصيل فقط (بدون Start)",IF($K980="U – needs rule","ℹ حالة U تحتاج قاعدة معتمدة",IF($K980="No result","ℹ بدون نتيجة (يُستبعد من التحصيل)","OK")))))))))))</f>
        <v/>
      </c>
      <c r="M980" s="64" t="n">
        <f aca="false">IF($A980="",0,IFERROR(MATCH($A980,Classes!$A$6:$A$420,0),0))</f>
        <v>0</v>
      </c>
      <c r="N980" s="64" t="n">
        <f aca="false">IF($H980="",0,IFERROR(MATCH($H980,GradeList,0),0))</f>
        <v>0</v>
      </c>
      <c r="O980" s="64" t="n">
        <f aca="false">IF(OR($I980="",$I980="NR"),0,IFERROR(MATCH($I980,GradeList,0),0))</f>
        <v>0</v>
      </c>
      <c r="P980" s="64" t="n">
        <f aca="false">IF(AND($M980&gt;0,ISNUMBER(MATCH($F980,Lists!$A$2:$A$5,0)),ISNUMBER(MATCH($G980,Lists!$B$2:$B$7,0)),OR($H980="",$N980&gt;0),OR($I980="",$I980="NR",$O980&gt;0),IF(ISNUMBER($J980),AND($J980&gt;=0,$J980=INT($J980)),FALSE())),$J980,0)</f>
        <v>0</v>
      </c>
      <c r="Q980" s="64" t="n">
        <f aca="false">IF(AND($P980&gt;0,$O980&gt;0),$P980,0)</f>
        <v>0</v>
      </c>
      <c r="R980" s="64" t="n">
        <f aca="false">IF(AND($Q980&gt;0,$O980&gt;=AtRank),$Q980,0)</f>
        <v>0</v>
      </c>
      <c r="S980" s="64" t="n">
        <f aca="false">IF(AND($Q980&gt;0,$O980&gt;=AboveRank),$Q980,0)</f>
        <v>0</v>
      </c>
      <c r="T980" s="64" t="n">
        <f aca="false">IF($K980="Less",$P980,0)</f>
        <v>0</v>
      </c>
      <c r="U980" s="64" t="n">
        <f aca="false">IF($K980="Expected",$P980,0)</f>
        <v>0</v>
      </c>
      <c r="V980" s="64" t="n">
        <f aca="false">IF($K980="Better",$P980,0)</f>
        <v>0</v>
      </c>
      <c r="W980" s="64" t="n">
        <f aca="false">IF($K980="U – needs rule",$P980,0)</f>
        <v>0</v>
      </c>
      <c r="X980" s="64" t="n">
        <f aca="false">IF($K980="No Start (attainment only)",$P980,0)</f>
        <v>0</v>
      </c>
    </row>
    <row r="981" customFormat="false" ht="15" hidden="false" customHeight="false" outlineLevel="0" collapsed="false">
      <c r="A981" s="60"/>
      <c r="B981" s="61" t="str">
        <f aca="false">IF($M981=0,"",INDEX(Classes!$E$6:$E$420,$M981))</f>
        <v/>
      </c>
      <c r="C981" s="62" t="str">
        <f aca="false">IF($M981=0,"",INDEX(Classes!$H$6:$H$420,$M981))</f>
        <v/>
      </c>
      <c r="D981" s="61" t="str">
        <f aca="false">IF($M981=0,"",INDEX(Classes!$B$6:$B$420,$M981))</f>
        <v/>
      </c>
      <c r="E981" s="61" t="str">
        <f aca="false">IF($M981=0,"",INDEX(Classes!$C$6:$C$420,$M981))</f>
        <v/>
      </c>
      <c r="F981" s="63"/>
      <c r="G981" s="63"/>
      <c r="H981" s="60"/>
      <c r="I981" s="60"/>
      <c r="J981" s="63"/>
      <c r="K981" s="61" t="str">
        <f aca="false">IF($P981=0,"",IF($F981="Baseline","— Baseline",IF($O981=0,"No result",IF($N981=0,"No Start (attainment only)",IF(OR($N981=1,$O981=1),"U – needs rule",INDEX(MxBody,MATCH($I981,MxCurr,0),MATCH($H981,MxStart,0)))))))</f>
        <v/>
      </c>
      <c r="L981" s="62" t="str">
        <f aca="false">IF(COUNTA($A981,$F981,$G981,$H981,$I981,$J981)=0,"",IF($M981=0,"✖ كود الصف غير موجود",IF(ISNA(MATCH($F981,Lists!$A$2:$A$5,0)),"✖ الفترة غير صحيحة",IF(ISNA(MATCH($G981,Lists!$B$2:$B$7,0)),"✖ المجموعة غير صحيحة",IF(NOT(OR($H981="",$N981&gt;0)),"✖ Start غير صحيح",IF(NOT(OR($I981="",$I981="NR",$O981&gt;0)),"✖ Current غير صحيح",IF(NOT(IF(ISNUMBER($J981),AND($J981&gt;=0,$J981=INT($J981)),FALSE())),"✖ العدد يجب أن يكون صحيحًا ≥ 0",IF(AND($F981="Baseline",$H981&lt;&gt;""),"⚠ Baseline: Start لا يدخل في التقدم",IF($K981="No Start (attainment only)","ℹ تحصيل فقط (بدون Start)",IF($K981="U – needs rule","ℹ حالة U تحتاج قاعدة معتمدة",IF($K981="No result","ℹ بدون نتيجة (يُستبعد من التحصيل)","OK")))))))))))</f>
        <v/>
      </c>
      <c r="M981" s="64" t="n">
        <f aca="false">IF($A981="",0,IFERROR(MATCH($A981,Classes!$A$6:$A$420,0),0))</f>
        <v>0</v>
      </c>
      <c r="N981" s="64" t="n">
        <f aca="false">IF($H981="",0,IFERROR(MATCH($H981,GradeList,0),0))</f>
        <v>0</v>
      </c>
      <c r="O981" s="64" t="n">
        <f aca="false">IF(OR($I981="",$I981="NR"),0,IFERROR(MATCH($I981,GradeList,0),0))</f>
        <v>0</v>
      </c>
      <c r="P981" s="64" t="n">
        <f aca="false">IF(AND($M981&gt;0,ISNUMBER(MATCH($F981,Lists!$A$2:$A$5,0)),ISNUMBER(MATCH($G981,Lists!$B$2:$B$7,0)),OR($H981="",$N981&gt;0),OR($I981="",$I981="NR",$O981&gt;0),IF(ISNUMBER($J981),AND($J981&gt;=0,$J981=INT($J981)),FALSE())),$J981,0)</f>
        <v>0</v>
      </c>
      <c r="Q981" s="64" t="n">
        <f aca="false">IF(AND($P981&gt;0,$O981&gt;0),$P981,0)</f>
        <v>0</v>
      </c>
      <c r="R981" s="64" t="n">
        <f aca="false">IF(AND($Q981&gt;0,$O981&gt;=AtRank),$Q981,0)</f>
        <v>0</v>
      </c>
      <c r="S981" s="64" t="n">
        <f aca="false">IF(AND($Q981&gt;0,$O981&gt;=AboveRank),$Q981,0)</f>
        <v>0</v>
      </c>
      <c r="T981" s="64" t="n">
        <f aca="false">IF($K981="Less",$P981,0)</f>
        <v>0</v>
      </c>
      <c r="U981" s="64" t="n">
        <f aca="false">IF($K981="Expected",$P981,0)</f>
        <v>0</v>
      </c>
      <c r="V981" s="64" t="n">
        <f aca="false">IF($K981="Better",$P981,0)</f>
        <v>0</v>
      </c>
      <c r="W981" s="64" t="n">
        <f aca="false">IF($K981="U – needs rule",$P981,0)</f>
        <v>0</v>
      </c>
      <c r="X981" s="64" t="n">
        <f aca="false">IF($K981="No Start (attainment only)",$P981,0)</f>
        <v>0</v>
      </c>
    </row>
    <row r="982" customFormat="false" ht="15" hidden="false" customHeight="false" outlineLevel="0" collapsed="false">
      <c r="A982" s="60"/>
      <c r="B982" s="61" t="str">
        <f aca="false">IF($M982=0,"",INDEX(Classes!$E$6:$E$420,$M982))</f>
        <v/>
      </c>
      <c r="C982" s="62" t="str">
        <f aca="false">IF($M982=0,"",INDEX(Classes!$H$6:$H$420,$M982))</f>
        <v/>
      </c>
      <c r="D982" s="61" t="str">
        <f aca="false">IF($M982=0,"",INDEX(Classes!$B$6:$B$420,$M982))</f>
        <v/>
      </c>
      <c r="E982" s="61" t="str">
        <f aca="false">IF($M982=0,"",INDEX(Classes!$C$6:$C$420,$M982))</f>
        <v/>
      </c>
      <c r="F982" s="63"/>
      <c r="G982" s="63"/>
      <c r="H982" s="60"/>
      <c r="I982" s="60"/>
      <c r="J982" s="63"/>
      <c r="K982" s="61" t="str">
        <f aca="false">IF($P982=0,"",IF($F982="Baseline","— Baseline",IF($O982=0,"No result",IF($N982=0,"No Start (attainment only)",IF(OR($N982=1,$O982=1),"U – needs rule",INDEX(MxBody,MATCH($I982,MxCurr,0),MATCH($H982,MxStart,0)))))))</f>
        <v/>
      </c>
      <c r="L982" s="62" t="str">
        <f aca="false">IF(COUNTA($A982,$F982,$G982,$H982,$I982,$J982)=0,"",IF($M982=0,"✖ كود الصف غير موجود",IF(ISNA(MATCH($F982,Lists!$A$2:$A$5,0)),"✖ الفترة غير صحيحة",IF(ISNA(MATCH($G982,Lists!$B$2:$B$7,0)),"✖ المجموعة غير صحيحة",IF(NOT(OR($H982="",$N982&gt;0)),"✖ Start غير صحيح",IF(NOT(OR($I982="",$I982="NR",$O982&gt;0)),"✖ Current غير صحيح",IF(NOT(IF(ISNUMBER($J982),AND($J982&gt;=0,$J982=INT($J982)),FALSE())),"✖ العدد يجب أن يكون صحيحًا ≥ 0",IF(AND($F982="Baseline",$H982&lt;&gt;""),"⚠ Baseline: Start لا يدخل في التقدم",IF($K982="No Start (attainment only)","ℹ تحصيل فقط (بدون Start)",IF($K982="U – needs rule","ℹ حالة U تحتاج قاعدة معتمدة",IF($K982="No result","ℹ بدون نتيجة (يُستبعد من التحصيل)","OK")))))))))))</f>
        <v/>
      </c>
      <c r="M982" s="64" t="n">
        <f aca="false">IF($A982="",0,IFERROR(MATCH($A982,Classes!$A$6:$A$420,0),0))</f>
        <v>0</v>
      </c>
      <c r="N982" s="64" t="n">
        <f aca="false">IF($H982="",0,IFERROR(MATCH($H982,GradeList,0),0))</f>
        <v>0</v>
      </c>
      <c r="O982" s="64" t="n">
        <f aca="false">IF(OR($I982="",$I982="NR"),0,IFERROR(MATCH($I982,GradeList,0),0))</f>
        <v>0</v>
      </c>
      <c r="P982" s="64" t="n">
        <f aca="false">IF(AND($M982&gt;0,ISNUMBER(MATCH($F982,Lists!$A$2:$A$5,0)),ISNUMBER(MATCH($G982,Lists!$B$2:$B$7,0)),OR($H982="",$N982&gt;0),OR($I982="",$I982="NR",$O982&gt;0),IF(ISNUMBER($J982),AND($J982&gt;=0,$J982=INT($J982)),FALSE())),$J982,0)</f>
        <v>0</v>
      </c>
      <c r="Q982" s="64" t="n">
        <f aca="false">IF(AND($P982&gt;0,$O982&gt;0),$P982,0)</f>
        <v>0</v>
      </c>
      <c r="R982" s="64" t="n">
        <f aca="false">IF(AND($Q982&gt;0,$O982&gt;=AtRank),$Q982,0)</f>
        <v>0</v>
      </c>
      <c r="S982" s="64" t="n">
        <f aca="false">IF(AND($Q982&gt;0,$O982&gt;=AboveRank),$Q982,0)</f>
        <v>0</v>
      </c>
      <c r="T982" s="64" t="n">
        <f aca="false">IF($K982="Less",$P982,0)</f>
        <v>0</v>
      </c>
      <c r="U982" s="64" t="n">
        <f aca="false">IF($K982="Expected",$P982,0)</f>
        <v>0</v>
      </c>
      <c r="V982" s="64" t="n">
        <f aca="false">IF($K982="Better",$P982,0)</f>
        <v>0</v>
      </c>
      <c r="W982" s="64" t="n">
        <f aca="false">IF($K982="U – needs rule",$P982,0)</f>
        <v>0</v>
      </c>
      <c r="X982" s="64" t="n">
        <f aca="false">IF($K982="No Start (attainment only)",$P982,0)</f>
        <v>0</v>
      </c>
    </row>
    <row r="983" customFormat="false" ht="15" hidden="false" customHeight="false" outlineLevel="0" collapsed="false">
      <c r="A983" s="60"/>
      <c r="B983" s="61" t="str">
        <f aca="false">IF($M983=0,"",INDEX(Classes!$E$6:$E$420,$M983))</f>
        <v/>
      </c>
      <c r="C983" s="62" t="str">
        <f aca="false">IF($M983=0,"",INDEX(Classes!$H$6:$H$420,$M983))</f>
        <v/>
      </c>
      <c r="D983" s="61" t="str">
        <f aca="false">IF($M983=0,"",INDEX(Classes!$B$6:$B$420,$M983))</f>
        <v/>
      </c>
      <c r="E983" s="61" t="str">
        <f aca="false">IF($M983=0,"",INDEX(Classes!$C$6:$C$420,$M983))</f>
        <v/>
      </c>
      <c r="F983" s="63"/>
      <c r="G983" s="63"/>
      <c r="H983" s="60"/>
      <c r="I983" s="60"/>
      <c r="J983" s="63"/>
      <c r="K983" s="61" t="str">
        <f aca="false">IF($P983=0,"",IF($F983="Baseline","— Baseline",IF($O983=0,"No result",IF($N983=0,"No Start (attainment only)",IF(OR($N983=1,$O983=1),"U – needs rule",INDEX(MxBody,MATCH($I983,MxCurr,0),MATCH($H983,MxStart,0)))))))</f>
        <v/>
      </c>
      <c r="L983" s="62" t="str">
        <f aca="false">IF(COUNTA($A983,$F983,$G983,$H983,$I983,$J983)=0,"",IF($M983=0,"✖ كود الصف غير موجود",IF(ISNA(MATCH($F983,Lists!$A$2:$A$5,0)),"✖ الفترة غير صحيحة",IF(ISNA(MATCH($G983,Lists!$B$2:$B$7,0)),"✖ المجموعة غير صحيحة",IF(NOT(OR($H983="",$N983&gt;0)),"✖ Start غير صحيح",IF(NOT(OR($I983="",$I983="NR",$O983&gt;0)),"✖ Current غير صحيح",IF(NOT(IF(ISNUMBER($J983),AND($J983&gt;=0,$J983=INT($J983)),FALSE())),"✖ العدد يجب أن يكون صحيحًا ≥ 0",IF(AND($F983="Baseline",$H983&lt;&gt;""),"⚠ Baseline: Start لا يدخل في التقدم",IF($K983="No Start (attainment only)","ℹ تحصيل فقط (بدون Start)",IF($K983="U – needs rule","ℹ حالة U تحتاج قاعدة معتمدة",IF($K983="No result","ℹ بدون نتيجة (يُستبعد من التحصيل)","OK")))))))))))</f>
        <v/>
      </c>
      <c r="M983" s="64" t="n">
        <f aca="false">IF($A983="",0,IFERROR(MATCH($A983,Classes!$A$6:$A$420,0),0))</f>
        <v>0</v>
      </c>
      <c r="N983" s="64" t="n">
        <f aca="false">IF($H983="",0,IFERROR(MATCH($H983,GradeList,0),0))</f>
        <v>0</v>
      </c>
      <c r="O983" s="64" t="n">
        <f aca="false">IF(OR($I983="",$I983="NR"),0,IFERROR(MATCH($I983,GradeList,0),0))</f>
        <v>0</v>
      </c>
      <c r="P983" s="64" t="n">
        <f aca="false">IF(AND($M983&gt;0,ISNUMBER(MATCH($F983,Lists!$A$2:$A$5,0)),ISNUMBER(MATCH($G983,Lists!$B$2:$B$7,0)),OR($H983="",$N983&gt;0),OR($I983="",$I983="NR",$O983&gt;0),IF(ISNUMBER($J983),AND($J983&gt;=0,$J983=INT($J983)),FALSE())),$J983,0)</f>
        <v>0</v>
      </c>
      <c r="Q983" s="64" t="n">
        <f aca="false">IF(AND($P983&gt;0,$O983&gt;0),$P983,0)</f>
        <v>0</v>
      </c>
      <c r="R983" s="64" t="n">
        <f aca="false">IF(AND($Q983&gt;0,$O983&gt;=AtRank),$Q983,0)</f>
        <v>0</v>
      </c>
      <c r="S983" s="64" t="n">
        <f aca="false">IF(AND($Q983&gt;0,$O983&gt;=AboveRank),$Q983,0)</f>
        <v>0</v>
      </c>
      <c r="T983" s="64" t="n">
        <f aca="false">IF($K983="Less",$P983,0)</f>
        <v>0</v>
      </c>
      <c r="U983" s="64" t="n">
        <f aca="false">IF($K983="Expected",$P983,0)</f>
        <v>0</v>
      </c>
      <c r="V983" s="64" t="n">
        <f aca="false">IF($K983="Better",$P983,0)</f>
        <v>0</v>
      </c>
      <c r="W983" s="64" t="n">
        <f aca="false">IF($K983="U – needs rule",$P983,0)</f>
        <v>0</v>
      </c>
      <c r="X983" s="64" t="n">
        <f aca="false">IF($K983="No Start (attainment only)",$P983,0)</f>
        <v>0</v>
      </c>
    </row>
    <row r="984" customFormat="false" ht="15" hidden="false" customHeight="false" outlineLevel="0" collapsed="false">
      <c r="A984" s="60"/>
      <c r="B984" s="61" t="str">
        <f aca="false">IF($M984=0,"",INDEX(Classes!$E$6:$E$420,$M984))</f>
        <v/>
      </c>
      <c r="C984" s="62" t="str">
        <f aca="false">IF($M984=0,"",INDEX(Classes!$H$6:$H$420,$M984))</f>
        <v/>
      </c>
      <c r="D984" s="61" t="str">
        <f aca="false">IF($M984=0,"",INDEX(Classes!$B$6:$B$420,$M984))</f>
        <v/>
      </c>
      <c r="E984" s="61" t="str">
        <f aca="false">IF($M984=0,"",INDEX(Classes!$C$6:$C$420,$M984))</f>
        <v/>
      </c>
      <c r="F984" s="63"/>
      <c r="G984" s="63"/>
      <c r="H984" s="60"/>
      <c r="I984" s="60"/>
      <c r="J984" s="63"/>
      <c r="K984" s="61" t="str">
        <f aca="false">IF($P984=0,"",IF($F984="Baseline","— Baseline",IF($O984=0,"No result",IF($N984=0,"No Start (attainment only)",IF(OR($N984=1,$O984=1),"U – needs rule",INDEX(MxBody,MATCH($I984,MxCurr,0),MATCH($H984,MxStart,0)))))))</f>
        <v/>
      </c>
      <c r="L984" s="62" t="str">
        <f aca="false">IF(COUNTA($A984,$F984,$G984,$H984,$I984,$J984)=0,"",IF($M984=0,"✖ كود الصف غير موجود",IF(ISNA(MATCH($F984,Lists!$A$2:$A$5,0)),"✖ الفترة غير صحيحة",IF(ISNA(MATCH($G984,Lists!$B$2:$B$7,0)),"✖ المجموعة غير صحيحة",IF(NOT(OR($H984="",$N984&gt;0)),"✖ Start غير صحيح",IF(NOT(OR($I984="",$I984="NR",$O984&gt;0)),"✖ Current غير صحيح",IF(NOT(IF(ISNUMBER($J984),AND($J984&gt;=0,$J984=INT($J984)),FALSE())),"✖ العدد يجب أن يكون صحيحًا ≥ 0",IF(AND($F984="Baseline",$H984&lt;&gt;""),"⚠ Baseline: Start لا يدخل في التقدم",IF($K984="No Start (attainment only)","ℹ تحصيل فقط (بدون Start)",IF($K984="U – needs rule","ℹ حالة U تحتاج قاعدة معتمدة",IF($K984="No result","ℹ بدون نتيجة (يُستبعد من التحصيل)","OK")))))))))))</f>
        <v/>
      </c>
      <c r="M984" s="64" t="n">
        <f aca="false">IF($A984="",0,IFERROR(MATCH($A984,Classes!$A$6:$A$420,0),0))</f>
        <v>0</v>
      </c>
      <c r="N984" s="64" t="n">
        <f aca="false">IF($H984="",0,IFERROR(MATCH($H984,GradeList,0),0))</f>
        <v>0</v>
      </c>
      <c r="O984" s="64" t="n">
        <f aca="false">IF(OR($I984="",$I984="NR"),0,IFERROR(MATCH($I984,GradeList,0),0))</f>
        <v>0</v>
      </c>
      <c r="P984" s="64" t="n">
        <f aca="false">IF(AND($M984&gt;0,ISNUMBER(MATCH($F984,Lists!$A$2:$A$5,0)),ISNUMBER(MATCH($G984,Lists!$B$2:$B$7,0)),OR($H984="",$N984&gt;0),OR($I984="",$I984="NR",$O984&gt;0),IF(ISNUMBER($J984),AND($J984&gt;=0,$J984=INT($J984)),FALSE())),$J984,0)</f>
        <v>0</v>
      </c>
      <c r="Q984" s="64" t="n">
        <f aca="false">IF(AND($P984&gt;0,$O984&gt;0),$P984,0)</f>
        <v>0</v>
      </c>
      <c r="R984" s="64" t="n">
        <f aca="false">IF(AND($Q984&gt;0,$O984&gt;=AtRank),$Q984,0)</f>
        <v>0</v>
      </c>
      <c r="S984" s="64" t="n">
        <f aca="false">IF(AND($Q984&gt;0,$O984&gt;=AboveRank),$Q984,0)</f>
        <v>0</v>
      </c>
      <c r="T984" s="64" t="n">
        <f aca="false">IF($K984="Less",$P984,0)</f>
        <v>0</v>
      </c>
      <c r="U984" s="64" t="n">
        <f aca="false">IF($K984="Expected",$P984,0)</f>
        <v>0</v>
      </c>
      <c r="V984" s="64" t="n">
        <f aca="false">IF($K984="Better",$P984,0)</f>
        <v>0</v>
      </c>
      <c r="W984" s="64" t="n">
        <f aca="false">IF($K984="U – needs rule",$P984,0)</f>
        <v>0</v>
      </c>
      <c r="X984" s="64" t="n">
        <f aca="false">IF($K984="No Start (attainment only)",$P984,0)</f>
        <v>0</v>
      </c>
    </row>
    <row r="985" customFormat="false" ht="15" hidden="false" customHeight="false" outlineLevel="0" collapsed="false">
      <c r="A985" s="60"/>
      <c r="B985" s="61" t="str">
        <f aca="false">IF($M985=0,"",INDEX(Classes!$E$6:$E$420,$M985))</f>
        <v/>
      </c>
      <c r="C985" s="62" t="str">
        <f aca="false">IF($M985=0,"",INDEX(Classes!$H$6:$H$420,$M985))</f>
        <v/>
      </c>
      <c r="D985" s="61" t="str">
        <f aca="false">IF($M985=0,"",INDEX(Classes!$B$6:$B$420,$M985))</f>
        <v/>
      </c>
      <c r="E985" s="61" t="str">
        <f aca="false">IF($M985=0,"",INDEX(Classes!$C$6:$C$420,$M985))</f>
        <v/>
      </c>
      <c r="F985" s="63"/>
      <c r="G985" s="63"/>
      <c r="H985" s="60"/>
      <c r="I985" s="60"/>
      <c r="J985" s="63"/>
      <c r="K985" s="61" t="str">
        <f aca="false">IF($P985=0,"",IF($F985="Baseline","— Baseline",IF($O985=0,"No result",IF($N985=0,"No Start (attainment only)",IF(OR($N985=1,$O985=1),"U – needs rule",INDEX(MxBody,MATCH($I985,MxCurr,0),MATCH($H985,MxStart,0)))))))</f>
        <v/>
      </c>
      <c r="L985" s="62" t="str">
        <f aca="false">IF(COUNTA($A985,$F985,$G985,$H985,$I985,$J985)=0,"",IF($M985=0,"✖ كود الصف غير موجود",IF(ISNA(MATCH($F985,Lists!$A$2:$A$5,0)),"✖ الفترة غير صحيحة",IF(ISNA(MATCH($G985,Lists!$B$2:$B$7,0)),"✖ المجموعة غير صحيحة",IF(NOT(OR($H985="",$N985&gt;0)),"✖ Start غير صحيح",IF(NOT(OR($I985="",$I985="NR",$O985&gt;0)),"✖ Current غير صحيح",IF(NOT(IF(ISNUMBER($J985),AND($J985&gt;=0,$J985=INT($J985)),FALSE())),"✖ العدد يجب أن يكون صحيحًا ≥ 0",IF(AND($F985="Baseline",$H985&lt;&gt;""),"⚠ Baseline: Start لا يدخل في التقدم",IF($K985="No Start (attainment only)","ℹ تحصيل فقط (بدون Start)",IF($K985="U – needs rule","ℹ حالة U تحتاج قاعدة معتمدة",IF($K985="No result","ℹ بدون نتيجة (يُستبعد من التحصيل)","OK")))))))))))</f>
        <v/>
      </c>
      <c r="M985" s="64" t="n">
        <f aca="false">IF($A985="",0,IFERROR(MATCH($A985,Classes!$A$6:$A$420,0),0))</f>
        <v>0</v>
      </c>
      <c r="N985" s="64" t="n">
        <f aca="false">IF($H985="",0,IFERROR(MATCH($H985,GradeList,0),0))</f>
        <v>0</v>
      </c>
      <c r="O985" s="64" t="n">
        <f aca="false">IF(OR($I985="",$I985="NR"),0,IFERROR(MATCH($I985,GradeList,0),0))</f>
        <v>0</v>
      </c>
      <c r="P985" s="64" t="n">
        <f aca="false">IF(AND($M985&gt;0,ISNUMBER(MATCH($F985,Lists!$A$2:$A$5,0)),ISNUMBER(MATCH($G985,Lists!$B$2:$B$7,0)),OR($H985="",$N985&gt;0),OR($I985="",$I985="NR",$O985&gt;0),IF(ISNUMBER($J985),AND($J985&gt;=0,$J985=INT($J985)),FALSE())),$J985,0)</f>
        <v>0</v>
      </c>
      <c r="Q985" s="64" t="n">
        <f aca="false">IF(AND($P985&gt;0,$O985&gt;0),$P985,0)</f>
        <v>0</v>
      </c>
      <c r="R985" s="64" t="n">
        <f aca="false">IF(AND($Q985&gt;0,$O985&gt;=AtRank),$Q985,0)</f>
        <v>0</v>
      </c>
      <c r="S985" s="64" t="n">
        <f aca="false">IF(AND($Q985&gt;0,$O985&gt;=AboveRank),$Q985,0)</f>
        <v>0</v>
      </c>
      <c r="T985" s="64" t="n">
        <f aca="false">IF($K985="Less",$P985,0)</f>
        <v>0</v>
      </c>
      <c r="U985" s="64" t="n">
        <f aca="false">IF($K985="Expected",$P985,0)</f>
        <v>0</v>
      </c>
      <c r="V985" s="64" t="n">
        <f aca="false">IF($K985="Better",$P985,0)</f>
        <v>0</v>
      </c>
      <c r="W985" s="64" t="n">
        <f aca="false">IF($K985="U – needs rule",$P985,0)</f>
        <v>0</v>
      </c>
      <c r="X985" s="64" t="n">
        <f aca="false">IF($K985="No Start (attainment only)",$P985,0)</f>
        <v>0</v>
      </c>
    </row>
    <row r="986" customFormat="false" ht="15" hidden="false" customHeight="false" outlineLevel="0" collapsed="false">
      <c r="A986" s="60"/>
      <c r="B986" s="61" t="str">
        <f aca="false">IF($M986=0,"",INDEX(Classes!$E$6:$E$420,$M986))</f>
        <v/>
      </c>
      <c r="C986" s="62" t="str">
        <f aca="false">IF($M986=0,"",INDEX(Classes!$H$6:$H$420,$M986))</f>
        <v/>
      </c>
      <c r="D986" s="61" t="str">
        <f aca="false">IF($M986=0,"",INDEX(Classes!$B$6:$B$420,$M986))</f>
        <v/>
      </c>
      <c r="E986" s="61" t="str">
        <f aca="false">IF($M986=0,"",INDEX(Classes!$C$6:$C$420,$M986))</f>
        <v/>
      </c>
      <c r="F986" s="63"/>
      <c r="G986" s="63"/>
      <c r="H986" s="60"/>
      <c r="I986" s="60"/>
      <c r="J986" s="63"/>
      <c r="K986" s="61" t="str">
        <f aca="false">IF($P986=0,"",IF($F986="Baseline","— Baseline",IF($O986=0,"No result",IF($N986=0,"No Start (attainment only)",IF(OR($N986=1,$O986=1),"U – needs rule",INDEX(MxBody,MATCH($I986,MxCurr,0),MATCH($H986,MxStart,0)))))))</f>
        <v/>
      </c>
      <c r="L986" s="62" t="str">
        <f aca="false">IF(COUNTA($A986,$F986,$G986,$H986,$I986,$J986)=0,"",IF($M986=0,"✖ كود الصف غير موجود",IF(ISNA(MATCH($F986,Lists!$A$2:$A$5,0)),"✖ الفترة غير صحيحة",IF(ISNA(MATCH($G986,Lists!$B$2:$B$7,0)),"✖ المجموعة غير صحيحة",IF(NOT(OR($H986="",$N986&gt;0)),"✖ Start غير صحيح",IF(NOT(OR($I986="",$I986="NR",$O986&gt;0)),"✖ Current غير صحيح",IF(NOT(IF(ISNUMBER($J986),AND($J986&gt;=0,$J986=INT($J986)),FALSE())),"✖ العدد يجب أن يكون صحيحًا ≥ 0",IF(AND($F986="Baseline",$H986&lt;&gt;""),"⚠ Baseline: Start لا يدخل في التقدم",IF($K986="No Start (attainment only)","ℹ تحصيل فقط (بدون Start)",IF($K986="U – needs rule","ℹ حالة U تحتاج قاعدة معتمدة",IF($K986="No result","ℹ بدون نتيجة (يُستبعد من التحصيل)","OK")))))))))))</f>
        <v/>
      </c>
      <c r="M986" s="64" t="n">
        <f aca="false">IF($A986="",0,IFERROR(MATCH($A986,Classes!$A$6:$A$420,0),0))</f>
        <v>0</v>
      </c>
      <c r="N986" s="64" t="n">
        <f aca="false">IF($H986="",0,IFERROR(MATCH($H986,GradeList,0),0))</f>
        <v>0</v>
      </c>
      <c r="O986" s="64" t="n">
        <f aca="false">IF(OR($I986="",$I986="NR"),0,IFERROR(MATCH($I986,GradeList,0),0))</f>
        <v>0</v>
      </c>
      <c r="P986" s="64" t="n">
        <f aca="false">IF(AND($M986&gt;0,ISNUMBER(MATCH($F986,Lists!$A$2:$A$5,0)),ISNUMBER(MATCH($G986,Lists!$B$2:$B$7,0)),OR($H986="",$N986&gt;0),OR($I986="",$I986="NR",$O986&gt;0),IF(ISNUMBER($J986),AND($J986&gt;=0,$J986=INT($J986)),FALSE())),$J986,0)</f>
        <v>0</v>
      </c>
      <c r="Q986" s="64" t="n">
        <f aca="false">IF(AND($P986&gt;0,$O986&gt;0),$P986,0)</f>
        <v>0</v>
      </c>
      <c r="R986" s="64" t="n">
        <f aca="false">IF(AND($Q986&gt;0,$O986&gt;=AtRank),$Q986,0)</f>
        <v>0</v>
      </c>
      <c r="S986" s="64" t="n">
        <f aca="false">IF(AND($Q986&gt;0,$O986&gt;=AboveRank),$Q986,0)</f>
        <v>0</v>
      </c>
      <c r="T986" s="64" t="n">
        <f aca="false">IF($K986="Less",$P986,0)</f>
        <v>0</v>
      </c>
      <c r="U986" s="64" t="n">
        <f aca="false">IF($K986="Expected",$P986,0)</f>
        <v>0</v>
      </c>
      <c r="V986" s="64" t="n">
        <f aca="false">IF($K986="Better",$P986,0)</f>
        <v>0</v>
      </c>
      <c r="W986" s="64" t="n">
        <f aca="false">IF($K986="U – needs rule",$P986,0)</f>
        <v>0</v>
      </c>
      <c r="X986" s="64" t="n">
        <f aca="false">IF($K986="No Start (attainment only)",$P986,0)</f>
        <v>0</v>
      </c>
    </row>
    <row r="987" customFormat="false" ht="15" hidden="false" customHeight="false" outlineLevel="0" collapsed="false">
      <c r="A987" s="60"/>
      <c r="B987" s="61" t="str">
        <f aca="false">IF($M987=0,"",INDEX(Classes!$E$6:$E$420,$M987))</f>
        <v/>
      </c>
      <c r="C987" s="62" t="str">
        <f aca="false">IF($M987=0,"",INDEX(Classes!$H$6:$H$420,$M987))</f>
        <v/>
      </c>
      <c r="D987" s="61" t="str">
        <f aca="false">IF($M987=0,"",INDEX(Classes!$B$6:$B$420,$M987))</f>
        <v/>
      </c>
      <c r="E987" s="61" t="str">
        <f aca="false">IF($M987=0,"",INDEX(Classes!$C$6:$C$420,$M987))</f>
        <v/>
      </c>
      <c r="F987" s="63"/>
      <c r="G987" s="63"/>
      <c r="H987" s="60"/>
      <c r="I987" s="60"/>
      <c r="J987" s="63"/>
      <c r="K987" s="61" t="str">
        <f aca="false">IF($P987=0,"",IF($F987="Baseline","— Baseline",IF($O987=0,"No result",IF($N987=0,"No Start (attainment only)",IF(OR($N987=1,$O987=1),"U – needs rule",INDEX(MxBody,MATCH($I987,MxCurr,0),MATCH($H987,MxStart,0)))))))</f>
        <v/>
      </c>
      <c r="L987" s="62" t="str">
        <f aca="false">IF(COUNTA($A987,$F987,$G987,$H987,$I987,$J987)=0,"",IF($M987=0,"✖ كود الصف غير موجود",IF(ISNA(MATCH($F987,Lists!$A$2:$A$5,0)),"✖ الفترة غير صحيحة",IF(ISNA(MATCH($G987,Lists!$B$2:$B$7,0)),"✖ المجموعة غير صحيحة",IF(NOT(OR($H987="",$N987&gt;0)),"✖ Start غير صحيح",IF(NOT(OR($I987="",$I987="NR",$O987&gt;0)),"✖ Current غير صحيح",IF(NOT(IF(ISNUMBER($J987),AND($J987&gt;=0,$J987=INT($J987)),FALSE())),"✖ العدد يجب أن يكون صحيحًا ≥ 0",IF(AND($F987="Baseline",$H987&lt;&gt;""),"⚠ Baseline: Start لا يدخل في التقدم",IF($K987="No Start (attainment only)","ℹ تحصيل فقط (بدون Start)",IF($K987="U – needs rule","ℹ حالة U تحتاج قاعدة معتمدة",IF($K987="No result","ℹ بدون نتيجة (يُستبعد من التحصيل)","OK")))))))))))</f>
        <v/>
      </c>
      <c r="M987" s="64" t="n">
        <f aca="false">IF($A987="",0,IFERROR(MATCH($A987,Classes!$A$6:$A$420,0),0))</f>
        <v>0</v>
      </c>
      <c r="N987" s="64" t="n">
        <f aca="false">IF($H987="",0,IFERROR(MATCH($H987,GradeList,0),0))</f>
        <v>0</v>
      </c>
      <c r="O987" s="64" t="n">
        <f aca="false">IF(OR($I987="",$I987="NR"),0,IFERROR(MATCH($I987,GradeList,0),0))</f>
        <v>0</v>
      </c>
      <c r="P987" s="64" t="n">
        <f aca="false">IF(AND($M987&gt;0,ISNUMBER(MATCH($F987,Lists!$A$2:$A$5,0)),ISNUMBER(MATCH($G987,Lists!$B$2:$B$7,0)),OR($H987="",$N987&gt;0),OR($I987="",$I987="NR",$O987&gt;0),IF(ISNUMBER($J987),AND($J987&gt;=0,$J987=INT($J987)),FALSE())),$J987,0)</f>
        <v>0</v>
      </c>
      <c r="Q987" s="64" t="n">
        <f aca="false">IF(AND($P987&gt;0,$O987&gt;0),$P987,0)</f>
        <v>0</v>
      </c>
      <c r="R987" s="64" t="n">
        <f aca="false">IF(AND($Q987&gt;0,$O987&gt;=AtRank),$Q987,0)</f>
        <v>0</v>
      </c>
      <c r="S987" s="64" t="n">
        <f aca="false">IF(AND($Q987&gt;0,$O987&gt;=AboveRank),$Q987,0)</f>
        <v>0</v>
      </c>
      <c r="T987" s="64" t="n">
        <f aca="false">IF($K987="Less",$P987,0)</f>
        <v>0</v>
      </c>
      <c r="U987" s="64" t="n">
        <f aca="false">IF($K987="Expected",$P987,0)</f>
        <v>0</v>
      </c>
      <c r="V987" s="64" t="n">
        <f aca="false">IF($K987="Better",$P987,0)</f>
        <v>0</v>
      </c>
      <c r="W987" s="64" t="n">
        <f aca="false">IF($K987="U – needs rule",$P987,0)</f>
        <v>0</v>
      </c>
      <c r="X987" s="64" t="n">
        <f aca="false">IF($K987="No Start (attainment only)",$P987,0)</f>
        <v>0</v>
      </c>
    </row>
    <row r="988" customFormat="false" ht="15" hidden="false" customHeight="false" outlineLevel="0" collapsed="false">
      <c r="A988" s="60"/>
      <c r="B988" s="61" t="str">
        <f aca="false">IF($M988=0,"",INDEX(Classes!$E$6:$E$420,$M988))</f>
        <v/>
      </c>
      <c r="C988" s="62" t="str">
        <f aca="false">IF($M988=0,"",INDEX(Classes!$H$6:$H$420,$M988))</f>
        <v/>
      </c>
      <c r="D988" s="61" t="str">
        <f aca="false">IF($M988=0,"",INDEX(Classes!$B$6:$B$420,$M988))</f>
        <v/>
      </c>
      <c r="E988" s="61" t="str">
        <f aca="false">IF($M988=0,"",INDEX(Classes!$C$6:$C$420,$M988))</f>
        <v/>
      </c>
      <c r="F988" s="63"/>
      <c r="G988" s="63"/>
      <c r="H988" s="60"/>
      <c r="I988" s="60"/>
      <c r="J988" s="63"/>
      <c r="K988" s="61" t="str">
        <f aca="false">IF($P988=0,"",IF($F988="Baseline","— Baseline",IF($O988=0,"No result",IF($N988=0,"No Start (attainment only)",IF(OR($N988=1,$O988=1),"U – needs rule",INDEX(MxBody,MATCH($I988,MxCurr,0),MATCH($H988,MxStart,0)))))))</f>
        <v/>
      </c>
      <c r="L988" s="62" t="str">
        <f aca="false">IF(COUNTA($A988,$F988,$G988,$H988,$I988,$J988)=0,"",IF($M988=0,"✖ كود الصف غير موجود",IF(ISNA(MATCH($F988,Lists!$A$2:$A$5,0)),"✖ الفترة غير صحيحة",IF(ISNA(MATCH($G988,Lists!$B$2:$B$7,0)),"✖ المجموعة غير صحيحة",IF(NOT(OR($H988="",$N988&gt;0)),"✖ Start غير صحيح",IF(NOT(OR($I988="",$I988="NR",$O988&gt;0)),"✖ Current غير صحيح",IF(NOT(IF(ISNUMBER($J988),AND($J988&gt;=0,$J988=INT($J988)),FALSE())),"✖ العدد يجب أن يكون صحيحًا ≥ 0",IF(AND($F988="Baseline",$H988&lt;&gt;""),"⚠ Baseline: Start لا يدخل في التقدم",IF($K988="No Start (attainment only)","ℹ تحصيل فقط (بدون Start)",IF($K988="U – needs rule","ℹ حالة U تحتاج قاعدة معتمدة",IF($K988="No result","ℹ بدون نتيجة (يُستبعد من التحصيل)","OK")))))))))))</f>
        <v/>
      </c>
      <c r="M988" s="64" t="n">
        <f aca="false">IF($A988="",0,IFERROR(MATCH($A988,Classes!$A$6:$A$420,0),0))</f>
        <v>0</v>
      </c>
      <c r="N988" s="64" t="n">
        <f aca="false">IF($H988="",0,IFERROR(MATCH($H988,GradeList,0),0))</f>
        <v>0</v>
      </c>
      <c r="O988" s="64" t="n">
        <f aca="false">IF(OR($I988="",$I988="NR"),0,IFERROR(MATCH($I988,GradeList,0),0))</f>
        <v>0</v>
      </c>
      <c r="P988" s="64" t="n">
        <f aca="false">IF(AND($M988&gt;0,ISNUMBER(MATCH($F988,Lists!$A$2:$A$5,0)),ISNUMBER(MATCH($G988,Lists!$B$2:$B$7,0)),OR($H988="",$N988&gt;0),OR($I988="",$I988="NR",$O988&gt;0),IF(ISNUMBER($J988),AND($J988&gt;=0,$J988=INT($J988)),FALSE())),$J988,0)</f>
        <v>0</v>
      </c>
      <c r="Q988" s="64" t="n">
        <f aca="false">IF(AND($P988&gt;0,$O988&gt;0),$P988,0)</f>
        <v>0</v>
      </c>
      <c r="R988" s="64" t="n">
        <f aca="false">IF(AND($Q988&gt;0,$O988&gt;=AtRank),$Q988,0)</f>
        <v>0</v>
      </c>
      <c r="S988" s="64" t="n">
        <f aca="false">IF(AND($Q988&gt;0,$O988&gt;=AboveRank),$Q988,0)</f>
        <v>0</v>
      </c>
      <c r="T988" s="64" t="n">
        <f aca="false">IF($K988="Less",$P988,0)</f>
        <v>0</v>
      </c>
      <c r="U988" s="64" t="n">
        <f aca="false">IF($K988="Expected",$P988,0)</f>
        <v>0</v>
      </c>
      <c r="V988" s="64" t="n">
        <f aca="false">IF($K988="Better",$P988,0)</f>
        <v>0</v>
      </c>
      <c r="W988" s="64" t="n">
        <f aca="false">IF($K988="U – needs rule",$P988,0)</f>
        <v>0</v>
      </c>
      <c r="X988" s="64" t="n">
        <f aca="false">IF($K988="No Start (attainment only)",$P988,0)</f>
        <v>0</v>
      </c>
    </row>
    <row r="989" customFormat="false" ht="15" hidden="false" customHeight="false" outlineLevel="0" collapsed="false">
      <c r="A989" s="60"/>
      <c r="B989" s="61" t="str">
        <f aca="false">IF($M989=0,"",INDEX(Classes!$E$6:$E$420,$M989))</f>
        <v/>
      </c>
      <c r="C989" s="62" t="str">
        <f aca="false">IF($M989=0,"",INDEX(Classes!$H$6:$H$420,$M989))</f>
        <v/>
      </c>
      <c r="D989" s="61" t="str">
        <f aca="false">IF($M989=0,"",INDEX(Classes!$B$6:$B$420,$M989))</f>
        <v/>
      </c>
      <c r="E989" s="61" t="str">
        <f aca="false">IF($M989=0,"",INDEX(Classes!$C$6:$C$420,$M989))</f>
        <v/>
      </c>
      <c r="F989" s="63"/>
      <c r="G989" s="63"/>
      <c r="H989" s="60"/>
      <c r="I989" s="60"/>
      <c r="J989" s="63"/>
      <c r="K989" s="61" t="str">
        <f aca="false">IF($P989=0,"",IF($F989="Baseline","— Baseline",IF($O989=0,"No result",IF($N989=0,"No Start (attainment only)",IF(OR($N989=1,$O989=1),"U – needs rule",INDEX(MxBody,MATCH($I989,MxCurr,0),MATCH($H989,MxStart,0)))))))</f>
        <v/>
      </c>
      <c r="L989" s="62" t="str">
        <f aca="false">IF(COUNTA($A989,$F989,$G989,$H989,$I989,$J989)=0,"",IF($M989=0,"✖ كود الصف غير موجود",IF(ISNA(MATCH($F989,Lists!$A$2:$A$5,0)),"✖ الفترة غير صحيحة",IF(ISNA(MATCH($G989,Lists!$B$2:$B$7,0)),"✖ المجموعة غير صحيحة",IF(NOT(OR($H989="",$N989&gt;0)),"✖ Start غير صحيح",IF(NOT(OR($I989="",$I989="NR",$O989&gt;0)),"✖ Current غير صحيح",IF(NOT(IF(ISNUMBER($J989),AND($J989&gt;=0,$J989=INT($J989)),FALSE())),"✖ العدد يجب أن يكون صحيحًا ≥ 0",IF(AND($F989="Baseline",$H989&lt;&gt;""),"⚠ Baseline: Start لا يدخل في التقدم",IF($K989="No Start (attainment only)","ℹ تحصيل فقط (بدون Start)",IF($K989="U – needs rule","ℹ حالة U تحتاج قاعدة معتمدة",IF($K989="No result","ℹ بدون نتيجة (يُستبعد من التحصيل)","OK")))))))))))</f>
        <v/>
      </c>
      <c r="M989" s="64" t="n">
        <f aca="false">IF($A989="",0,IFERROR(MATCH($A989,Classes!$A$6:$A$420,0),0))</f>
        <v>0</v>
      </c>
      <c r="N989" s="64" t="n">
        <f aca="false">IF($H989="",0,IFERROR(MATCH($H989,GradeList,0),0))</f>
        <v>0</v>
      </c>
      <c r="O989" s="64" t="n">
        <f aca="false">IF(OR($I989="",$I989="NR"),0,IFERROR(MATCH($I989,GradeList,0),0))</f>
        <v>0</v>
      </c>
      <c r="P989" s="64" t="n">
        <f aca="false">IF(AND($M989&gt;0,ISNUMBER(MATCH($F989,Lists!$A$2:$A$5,0)),ISNUMBER(MATCH($G989,Lists!$B$2:$B$7,0)),OR($H989="",$N989&gt;0),OR($I989="",$I989="NR",$O989&gt;0),IF(ISNUMBER($J989),AND($J989&gt;=0,$J989=INT($J989)),FALSE())),$J989,0)</f>
        <v>0</v>
      </c>
      <c r="Q989" s="64" t="n">
        <f aca="false">IF(AND($P989&gt;0,$O989&gt;0),$P989,0)</f>
        <v>0</v>
      </c>
      <c r="R989" s="64" t="n">
        <f aca="false">IF(AND($Q989&gt;0,$O989&gt;=AtRank),$Q989,0)</f>
        <v>0</v>
      </c>
      <c r="S989" s="64" t="n">
        <f aca="false">IF(AND($Q989&gt;0,$O989&gt;=AboveRank),$Q989,0)</f>
        <v>0</v>
      </c>
      <c r="T989" s="64" t="n">
        <f aca="false">IF($K989="Less",$P989,0)</f>
        <v>0</v>
      </c>
      <c r="U989" s="64" t="n">
        <f aca="false">IF($K989="Expected",$P989,0)</f>
        <v>0</v>
      </c>
      <c r="V989" s="64" t="n">
        <f aca="false">IF($K989="Better",$P989,0)</f>
        <v>0</v>
      </c>
      <c r="W989" s="64" t="n">
        <f aca="false">IF($K989="U – needs rule",$P989,0)</f>
        <v>0</v>
      </c>
      <c r="X989" s="64" t="n">
        <f aca="false">IF($K989="No Start (attainment only)",$P989,0)</f>
        <v>0</v>
      </c>
    </row>
    <row r="990" customFormat="false" ht="15" hidden="false" customHeight="false" outlineLevel="0" collapsed="false">
      <c r="A990" s="60"/>
      <c r="B990" s="61" t="str">
        <f aca="false">IF($M990=0,"",INDEX(Classes!$E$6:$E$420,$M990))</f>
        <v/>
      </c>
      <c r="C990" s="62" t="str">
        <f aca="false">IF($M990=0,"",INDEX(Classes!$H$6:$H$420,$M990))</f>
        <v/>
      </c>
      <c r="D990" s="61" t="str">
        <f aca="false">IF($M990=0,"",INDEX(Classes!$B$6:$B$420,$M990))</f>
        <v/>
      </c>
      <c r="E990" s="61" t="str">
        <f aca="false">IF($M990=0,"",INDEX(Classes!$C$6:$C$420,$M990))</f>
        <v/>
      </c>
      <c r="F990" s="63"/>
      <c r="G990" s="63"/>
      <c r="H990" s="60"/>
      <c r="I990" s="60"/>
      <c r="J990" s="63"/>
      <c r="K990" s="61" t="str">
        <f aca="false">IF($P990=0,"",IF($F990="Baseline","— Baseline",IF($O990=0,"No result",IF($N990=0,"No Start (attainment only)",IF(OR($N990=1,$O990=1),"U – needs rule",INDEX(MxBody,MATCH($I990,MxCurr,0),MATCH($H990,MxStart,0)))))))</f>
        <v/>
      </c>
      <c r="L990" s="62" t="str">
        <f aca="false">IF(COUNTA($A990,$F990,$G990,$H990,$I990,$J990)=0,"",IF($M990=0,"✖ كود الصف غير موجود",IF(ISNA(MATCH($F990,Lists!$A$2:$A$5,0)),"✖ الفترة غير صحيحة",IF(ISNA(MATCH($G990,Lists!$B$2:$B$7,0)),"✖ المجموعة غير صحيحة",IF(NOT(OR($H990="",$N990&gt;0)),"✖ Start غير صحيح",IF(NOT(OR($I990="",$I990="NR",$O990&gt;0)),"✖ Current غير صحيح",IF(NOT(IF(ISNUMBER($J990),AND($J990&gt;=0,$J990=INT($J990)),FALSE())),"✖ العدد يجب أن يكون صحيحًا ≥ 0",IF(AND($F990="Baseline",$H990&lt;&gt;""),"⚠ Baseline: Start لا يدخل في التقدم",IF($K990="No Start (attainment only)","ℹ تحصيل فقط (بدون Start)",IF($K990="U – needs rule","ℹ حالة U تحتاج قاعدة معتمدة",IF($K990="No result","ℹ بدون نتيجة (يُستبعد من التحصيل)","OK")))))))))))</f>
        <v/>
      </c>
      <c r="M990" s="64" t="n">
        <f aca="false">IF($A990="",0,IFERROR(MATCH($A990,Classes!$A$6:$A$420,0),0))</f>
        <v>0</v>
      </c>
      <c r="N990" s="64" t="n">
        <f aca="false">IF($H990="",0,IFERROR(MATCH($H990,GradeList,0),0))</f>
        <v>0</v>
      </c>
      <c r="O990" s="64" t="n">
        <f aca="false">IF(OR($I990="",$I990="NR"),0,IFERROR(MATCH($I990,GradeList,0),0))</f>
        <v>0</v>
      </c>
      <c r="P990" s="64" t="n">
        <f aca="false">IF(AND($M990&gt;0,ISNUMBER(MATCH($F990,Lists!$A$2:$A$5,0)),ISNUMBER(MATCH($G990,Lists!$B$2:$B$7,0)),OR($H990="",$N990&gt;0),OR($I990="",$I990="NR",$O990&gt;0),IF(ISNUMBER($J990),AND($J990&gt;=0,$J990=INT($J990)),FALSE())),$J990,0)</f>
        <v>0</v>
      </c>
      <c r="Q990" s="64" t="n">
        <f aca="false">IF(AND($P990&gt;0,$O990&gt;0),$P990,0)</f>
        <v>0</v>
      </c>
      <c r="R990" s="64" t="n">
        <f aca="false">IF(AND($Q990&gt;0,$O990&gt;=AtRank),$Q990,0)</f>
        <v>0</v>
      </c>
      <c r="S990" s="64" t="n">
        <f aca="false">IF(AND($Q990&gt;0,$O990&gt;=AboveRank),$Q990,0)</f>
        <v>0</v>
      </c>
      <c r="T990" s="64" t="n">
        <f aca="false">IF($K990="Less",$P990,0)</f>
        <v>0</v>
      </c>
      <c r="U990" s="64" t="n">
        <f aca="false">IF($K990="Expected",$P990,0)</f>
        <v>0</v>
      </c>
      <c r="V990" s="64" t="n">
        <f aca="false">IF($K990="Better",$P990,0)</f>
        <v>0</v>
      </c>
      <c r="W990" s="64" t="n">
        <f aca="false">IF($K990="U – needs rule",$P990,0)</f>
        <v>0</v>
      </c>
      <c r="X990" s="64" t="n">
        <f aca="false">IF($K990="No Start (attainment only)",$P990,0)</f>
        <v>0</v>
      </c>
    </row>
    <row r="991" customFormat="false" ht="15" hidden="false" customHeight="false" outlineLevel="0" collapsed="false">
      <c r="A991" s="60"/>
      <c r="B991" s="61" t="str">
        <f aca="false">IF($M991=0,"",INDEX(Classes!$E$6:$E$420,$M991))</f>
        <v/>
      </c>
      <c r="C991" s="62" t="str">
        <f aca="false">IF($M991=0,"",INDEX(Classes!$H$6:$H$420,$M991))</f>
        <v/>
      </c>
      <c r="D991" s="61" t="str">
        <f aca="false">IF($M991=0,"",INDEX(Classes!$B$6:$B$420,$M991))</f>
        <v/>
      </c>
      <c r="E991" s="61" t="str">
        <f aca="false">IF($M991=0,"",INDEX(Classes!$C$6:$C$420,$M991))</f>
        <v/>
      </c>
      <c r="F991" s="63"/>
      <c r="G991" s="63"/>
      <c r="H991" s="60"/>
      <c r="I991" s="60"/>
      <c r="J991" s="63"/>
      <c r="K991" s="61" t="str">
        <f aca="false">IF($P991=0,"",IF($F991="Baseline","— Baseline",IF($O991=0,"No result",IF($N991=0,"No Start (attainment only)",IF(OR($N991=1,$O991=1),"U – needs rule",INDEX(MxBody,MATCH($I991,MxCurr,0),MATCH($H991,MxStart,0)))))))</f>
        <v/>
      </c>
      <c r="L991" s="62" t="str">
        <f aca="false">IF(COUNTA($A991,$F991,$G991,$H991,$I991,$J991)=0,"",IF($M991=0,"✖ كود الصف غير موجود",IF(ISNA(MATCH($F991,Lists!$A$2:$A$5,0)),"✖ الفترة غير صحيحة",IF(ISNA(MATCH($G991,Lists!$B$2:$B$7,0)),"✖ المجموعة غير صحيحة",IF(NOT(OR($H991="",$N991&gt;0)),"✖ Start غير صحيح",IF(NOT(OR($I991="",$I991="NR",$O991&gt;0)),"✖ Current غير صحيح",IF(NOT(IF(ISNUMBER($J991),AND($J991&gt;=0,$J991=INT($J991)),FALSE())),"✖ العدد يجب أن يكون صحيحًا ≥ 0",IF(AND($F991="Baseline",$H991&lt;&gt;""),"⚠ Baseline: Start لا يدخل في التقدم",IF($K991="No Start (attainment only)","ℹ تحصيل فقط (بدون Start)",IF($K991="U – needs rule","ℹ حالة U تحتاج قاعدة معتمدة",IF($K991="No result","ℹ بدون نتيجة (يُستبعد من التحصيل)","OK")))))))))))</f>
        <v/>
      </c>
      <c r="M991" s="64" t="n">
        <f aca="false">IF($A991="",0,IFERROR(MATCH($A991,Classes!$A$6:$A$420,0),0))</f>
        <v>0</v>
      </c>
      <c r="N991" s="64" t="n">
        <f aca="false">IF($H991="",0,IFERROR(MATCH($H991,GradeList,0),0))</f>
        <v>0</v>
      </c>
      <c r="O991" s="64" t="n">
        <f aca="false">IF(OR($I991="",$I991="NR"),0,IFERROR(MATCH($I991,GradeList,0),0))</f>
        <v>0</v>
      </c>
      <c r="P991" s="64" t="n">
        <f aca="false">IF(AND($M991&gt;0,ISNUMBER(MATCH($F991,Lists!$A$2:$A$5,0)),ISNUMBER(MATCH($G991,Lists!$B$2:$B$7,0)),OR($H991="",$N991&gt;0),OR($I991="",$I991="NR",$O991&gt;0),IF(ISNUMBER($J991),AND($J991&gt;=0,$J991=INT($J991)),FALSE())),$J991,0)</f>
        <v>0</v>
      </c>
      <c r="Q991" s="64" t="n">
        <f aca="false">IF(AND($P991&gt;0,$O991&gt;0),$P991,0)</f>
        <v>0</v>
      </c>
      <c r="R991" s="64" t="n">
        <f aca="false">IF(AND($Q991&gt;0,$O991&gt;=AtRank),$Q991,0)</f>
        <v>0</v>
      </c>
      <c r="S991" s="64" t="n">
        <f aca="false">IF(AND($Q991&gt;0,$O991&gt;=AboveRank),$Q991,0)</f>
        <v>0</v>
      </c>
      <c r="T991" s="64" t="n">
        <f aca="false">IF($K991="Less",$P991,0)</f>
        <v>0</v>
      </c>
      <c r="U991" s="64" t="n">
        <f aca="false">IF($K991="Expected",$P991,0)</f>
        <v>0</v>
      </c>
      <c r="V991" s="64" t="n">
        <f aca="false">IF($K991="Better",$P991,0)</f>
        <v>0</v>
      </c>
      <c r="W991" s="64" t="n">
        <f aca="false">IF($K991="U – needs rule",$P991,0)</f>
        <v>0</v>
      </c>
      <c r="X991" s="64" t="n">
        <f aca="false">IF($K991="No Start (attainment only)",$P991,0)</f>
        <v>0</v>
      </c>
    </row>
    <row r="992" customFormat="false" ht="15" hidden="false" customHeight="false" outlineLevel="0" collapsed="false">
      <c r="A992" s="60"/>
      <c r="B992" s="61" t="str">
        <f aca="false">IF($M992=0,"",INDEX(Classes!$E$6:$E$420,$M992))</f>
        <v/>
      </c>
      <c r="C992" s="62" t="str">
        <f aca="false">IF($M992=0,"",INDEX(Classes!$H$6:$H$420,$M992))</f>
        <v/>
      </c>
      <c r="D992" s="61" t="str">
        <f aca="false">IF($M992=0,"",INDEX(Classes!$B$6:$B$420,$M992))</f>
        <v/>
      </c>
      <c r="E992" s="61" t="str">
        <f aca="false">IF($M992=0,"",INDEX(Classes!$C$6:$C$420,$M992))</f>
        <v/>
      </c>
      <c r="F992" s="63"/>
      <c r="G992" s="63"/>
      <c r="H992" s="60"/>
      <c r="I992" s="60"/>
      <c r="J992" s="63"/>
      <c r="K992" s="61" t="str">
        <f aca="false">IF($P992=0,"",IF($F992="Baseline","— Baseline",IF($O992=0,"No result",IF($N992=0,"No Start (attainment only)",IF(OR($N992=1,$O992=1),"U – needs rule",INDEX(MxBody,MATCH($I992,MxCurr,0),MATCH($H992,MxStart,0)))))))</f>
        <v/>
      </c>
      <c r="L992" s="62" t="str">
        <f aca="false">IF(COUNTA($A992,$F992,$G992,$H992,$I992,$J992)=0,"",IF($M992=0,"✖ كود الصف غير موجود",IF(ISNA(MATCH($F992,Lists!$A$2:$A$5,0)),"✖ الفترة غير صحيحة",IF(ISNA(MATCH($G992,Lists!$B$2:$B$7,0)),"✖ المجموعة غير صحيحة",IF(NOT(OR($H992="",$N992&gt;0)),"✖ Start غير صحيح",IF(NOT(OR($I992="",$I992="NR",$O992&gt;0)),"✖ Current غير صحيح",IF(NOT(IF(ISNUMBER($J992),AND($J992&gt;=0,$J992=INT($J992)),FALSE())),"✖ العدد يجب أن يكون صحيحًا ≥ 0",IF(AND($F992="Baseline",$H992&lt;&gt;""),"⚠ Baseline: Start لا يدخل في التقدم",IF($K992="No Start (attainment only)","ℹ تحصيل فقط (بدون Start)",IF($K992="U – needs rule","ℹ حالة U تحتاج قاعدة معتمدة",IF($K992="No result","ℹ بدون نتيجة (يُستبعد من التحصيل)","OK")))))))))))</f>
        <v/>
      </c>
      <c r="M992" s="64" t="n">
        <f aca="false">IF($A992="",0,IFERROR(MATCH($A992,Classes!$A$6:$A$420,0),0))</f>
        <v>0</v>
      </c>
      <c r="N992" s="64" t="n">
        <f aca="false">IF($H992="",0,IFERROR(MATCH($H992,GradeList,0),0))</f>
        <v>0</v>
      </c>
      <c r="O992" s="64" t="n">
        <f aca="false">IF(OR($I992="",$I992="NR"),0,IFERROR(MATCH($I992,GradeList,0),0))</f>
        <v>0</v>
      </c>
      <c r="P992" s="64" t="n">
        <f aca="false">IF(AND($M992&gt;0,ISNUMBER(MATCH($F992,Lists!$A$2:$A$5,0)),ISNUMBER(MATCH($G992,Lists!$B$2:$B$7,0)),OR($H992="",$N992&gt;0),OR($I992="",$I992="NR",$O992&gt;0),IF(ISNUMBER($J992),AND($J992&gt;=0,$J992=INT($J992)),FALSE())),$J992,0)</f>
        <v>0</v>
      </c>
      <c r="Q992" s="64" t="n">
        <f aca="false">IF(AND($P992&gt;0,$O992&gt;0),$P992,0)</f>
        <v>0</v>
      </c>
      <c r="R992" s="64" t="n">
        <f aca="false">IF(AND($Q992&gt;0,$O992&gt;=AtRank),$Q992,0)</f>
        <v>0</v>
      </c>
      <c r="S992" s="64" t="n">
        <f aca="false">IF(AND($Q992&gt;0,$O992&gt;=AboveRank),$Q992,0)</f>
        <v>0</v>
      </c>
      <c r="T992" s="64" t="n">
        <f aca="false">IF($K992="Less",$P992,0)</f>
        <v>0</v>
      </c>
      <c r="U992" s="64" t="n">
        <f aca="false">IF($K992="Expected",$P992,0)</f>
        <v>0</v>
      </c>
      <c r="V992" s="64" t="n">
        <f aca="false">IF($K992="Better",$P992,0)</f>
        <v>0</v>
      </c>
      <c r="W992" s="64" t="n">
        <f aca="false">IF($K992="U – needs rule",$P992,0)</f>
        <v>0</v>
      </c>
      <c r="X992" s="64" t="n">
        <f aca="false">IF($K992="No Start (attainment only)",$P992,0)</f>
        <v>0</v>
      </c>
    </row>
    <row r="993" customFormat="false" ht="15" hidden="false" customHeight="false" outlineLevel="0" collapsed="false">
      <c r="A993" s="60"/>
      <c r="B993" s="61" t="str">
        <f aca="false">IF($M993=0,"",INDEX(Classes!$E$6:$E$420,$M993))</f>
        <v/>
      </c>
      <c r="C993" s="62" t="str">
        <f aca="false">IF($M993=0,"",INDEX(Classes!$H$6:$H$420,$M993))</f>
        <v/>
      </c>
      <c r="D993" s="61" t="str">
        <f aca="false">IF($M993=0,"",INDEX(Classes!$B$6:$B$420,$M993))</f>
        <v/>
      </c>
      <c r="E993" s="61" t="str">
        <f aca="false">IF($M993=0,"",INDEX(Classes!$C$6:$C$420,$M993))</f>
        <v/>
      </c>
      <c r="F993" s="63"/>
      <c r="G993" s="63"/>
      <c r="H993" s="60"/>
      <c r="I993" s="60"/>
      <c r="J993" s="63"/>
      <c r="K993" s="61" t="str">
        <f aca="false">IF($P993=0,"",IF($F993="Baseline","— Baseline",IF($O993=0,"No result",IF($N993=0,"No Start (attainment only)",IF(OR($N993=1,$O993=1),"U – needs rule",INDEX(MxBody,MATCH($I993,MxCurr,0),MATCH($H993,MxStart,0)))))))</f>
        <v/>
      </c>
      <c r="L993" s="62" t="str">
        <f aca="false">IF(COUNTA($A993,$F993,$G993,$H993,$I993,$J993)=0,"",IF($M993=0,"✖ كود الصف غير موجود",IF(ISNA(MATCH($F993,Lists!$A$2:$A$5,0)),"✖ الفترة غير صحيحة",IF(ISNA(MATCH($G993,Lists!$B$2:$B$7,0)),"✖ المجموعة غير صحيحة",IF(NOT(OR($H993="",$N993&gt;0)),"✖ Start غير صحيح",IF(NOT(OR($I993="",$I993="NR",$O993&gt;0)),"✖ Current غير صحيح",IF(NOT(IF(ISNUMBER($J993),AND($J993&gt;=0,$J993=INT($J993)),FALSE())),"✖ العدد يجب أن يكون صحيحًا ≥ 0",IF(AND($F993="Baseline",$H993&lt;&gt;""),"⚠ Baseline: Start لا يدخل في التقدم",IF($K993="No Start (attainment only)","ℹ تحصيل فقط (بدون Start)",IF($K993="U – needs rule","ℹ حالة U تحتاج قاعدة معتمدة",IF($K993="No result","ℹ بدون نتيجة (يُستبعد من التحصيل)","OK")))))))))))</f>
        <v/>
      </c>
      <c r="M993" s="64" t="n">
        <f aca="false">IF($A993="",0,IFERROR(MATCH($A993,Classes!$A$6:$A$420,0),0))</f>
        <v>0</v>
      </c>
      <c r="N993" s="64" t="n">
        <f aca="false">IF($H993="",0,IFERROR(MATCH($H993,GradeList,0),0))</f>
        <v>0</v>
      </c>
      <c r="O993" s="64" t="n">
        <f aca="false">IF(OR($I993="",$I993="NR"),0,IFERROR(MATCH($I993,GradeList,0),0))</f>
        <v>0</v>
      </c>
      <c r="P993" s="64" t="n">
        <f aca="false">IF(AND($M993&gt;0,ISNUMBER(MATCH($F993,Lists!$A$2:$A$5,0)),ISNUMBER(MATCH($G993,Lists!$B$2:$B$7,0)),OR($H993="",$N993&gt;0),OR($I993="",$I993="NR",$O993&gt;0),IF(ISNUMBER($J993),AND($J993&gt;=0,$J993=INT($J993)),FALSE())),$J993,0)</f>
        <v>0</v>
      </c>
      <c r="Q993" s="64" t="n">
        <f aca="false">IF(AND($P993&gt;0,$O993&gt;0),$P993,0)</f>
        <v>0</v>
      </c>
      <c r="R993" s="64" t="n">
        <f aca="false">IF(AND($Q993&gt;0,$O993&gt;=AtRank),$Q993,0)</f>
        <v>0</v>
      </c>
      <c r="S993" s="64" t="n">
        <f aca="false">IF(AND($Q993&gt;0,$O993&gt;=AboveRank),$Q993,0)</f>
        <v>0</v>
      </c>
      <c r="T993" s="64" t="n">
        <f aca="false">IF($K993="Less",$P993,0)</f>
        <v>0</v>
      </c>
      <c r="U993" s="64" t="n">
        <f aca="false">IF($K993="Expected",$P993,0)</f>
        <v>0</v>
      </c>
      <c r="V993" s="64" t="n">
        <f aca="false">IF($K993="Better",$P993,0)</f>
        <v>0</v>
      </c>
      <c r="W993" s="64" t="n">
        <f aca="false">IF($K993="U – needs rule",$P993,0)</f>
        <v>0</v>
      </c>
      <c r="X993" s="64" t="n">
        <f aca="false">IF($K993="No Start (attainment only)",$P993,0)</f>
        <v>0</v>
      </c>
    </row>
    <row r="994" customFormat="false" ht="15" hidden="false" customHeight="false" outlineLevel="0" collapsed="false">
      <c r="A994" s="60"/>
      <c r="B994" s="61" t="str">
        <f aca="false">IF($M994=0,"",INDEX(Classes!$E$6:$E$420,$M994))</f>
        <v/>
      </c>
      <c r="C994" s="62" t="str">
        <f aca="false">IF($M994=0,"",INDEX(Classes!$H$6:$H$420,$M994))</f>
        <v/>
      </c>
      <c r="D994" s="61" t="str">
        <f aca="false">IF($M994=0,"",INDEX(Classes!$B$6:$B$420,$M994))</f>
        <v/>
      </c>
      <c r="E994" s="61" t="str">
        <f aca="false">IF($M994=0,"",INDEX(Classes!$C$6:$C$420,$M994))</f>
        <v/>
      </c>
      <c r="F994" s="63"/>
      <c r="G994" s="63"/>
      <c r="H994" s="60"/>
      <c r="I994" s="60"/>
      <c r="J994" s="63"/>
      <c r="K994" s="61" t="str">
        <f aca="false">IF($P994=0,"",IF($F994="Baseline","— Baseline",IF($O994=0,"No result",IF($N994=0,"No Start (attainment only)",IF(OR($N994=1,$O994=1),"U – needs rule",INDEX(MxBody,MATCH($I994,MxCurr,0),MATCH($H994,MxStart,0)))))))</f>
        <v/>
      </c>
      <c r="L994" s="62" t="str">
        <f aca="false">IF(COUNTA($A994,$F994,$G994,$H994,$I994,$J994)=0,"",IF($M994=0,"✖ كود الصف غير موجود",IF(ISNA(MATCH($F994,Lists!$A$2:$A$5,0)),"✖ الفترة غير صحيحة",IF(ISNA(MATCH($G994,Lists!$B$2:$B$7,0)),"✖ المجموعة غير صحيحة",IF(NOT(OR($H994="",$N994&gt;0)),"✖ Start غير صحيح",IF(NOT(OR($I994="",$I994="NR",$O994&gt;0)),"✖ Current غير صحيح",IF(NOT(IF(ISNUMBER($J994),AND($J994&gt;=0,$J994=INT($J994)),FALSE())),"✖ العدد يجب أن يكون صحيحًا ≥ 0",IF(AND($F994="Baseline",$H994&lt;&gt;""),"⚠ Baseline: Start لا يدخل في التقدم",IF($K994="No Start (attainment only)","ℹ تحصيل فقط (بدون Start)",IF($K994="U – needs rule","ℹ حالة U تحتاج قاعدة معتمدة",IF($K994="No result","ℹ بدون نتيجة (يُستبعد من التحصيل)","OK")))))))))))</f>
        <v/>
      </c>
      <c r="M994" s="64" t="n">
        <f aca="false">IF($A994="",0,IFERROR(MATCH($A994,Classes!$A$6:$A$420,0),0))</f>
        <v>0</v>
      </c>
      <c r="N994" s="64" t="n">
        <f aca="false">IF($H994="",0,IFERROR(MATCH($H994,GradeList,0),0))</f>
        <v>0</v>
      </c>
      <c r="O994" s="64" t="n">
        <f aca="false">IF(OR($I994="",$I994="NR"),0,IFERROR(MATCH($I994,GradeList,0),0))</f>
        <v>0</v>
      </c>
      <c r="P994" s="64" t="n">
        <f aca="false">IF(AND($M994&gt;0,ISNUMBER(MATCH($F994,Lists!$A$2:$A$5,0)),ISNUMBER(MATCH($G994,Lists!$B$2:$B$7,0)),OR($H994="",$N994&gt;0),OR($I994="",$I994="NR",$O994&gt;0),IF(ISNUMBER($J994),AND($J994&gt;=0,$J994=INT($J994)),FALSE())),$J994,0)</f>
        <v>0</v>
      </c>
      <c r="Q994" s="64" t="n">
        <f aca="false">IF(AND($P994&gt;0,$O994&gt;0),$P994,0)</f>
        <v>0</v>
      </c>
      <c r="R994" s="64" t="n">
        <f aca="false">IF(AND($Q994&gt;0,$O994&gt;=AtRank),$Q994,0)</f>
        <v>0</v>
      </c>
      <c r="S994" s="64" t="n">
        <f aca="false">IF(AND($Q994&gt;0,$O994&gt;=AboveRank),$Q994,0)</f>
        <v>0</v>
      </c>
      <c r="T994" s="64" t="n">
        <f aca="false">IF($K994="Less",$P994,0)</f>
        <v>0</v>
      </c>
      <c r="U994" s="64" t="n">
        <f aca="false">IF($K994="Expected",$P994,0)</f>
        <v>0</v>
      </c>
      <c r="V994" s="64" t="n">
        <f aca="false">IF($K994="Better",$P994,0)</f>
        <v>0</v>
      </c>
      <c r="W994" s="64" t="n">
        <f aca="false">IF($K994="U – needs rule",$P994,0)</f>
        <v>0</v>
      </c>
      <c r="X994" s="64" t="n">
        <f aca="false">IF($K994="No Start (attainment only)",$P994,0)</f>
        <v>0</v>
      </c>
    </row>
    <row r="995" customFormat="false" ht="15" hidden="false" customHeight="false" outlineLevel="0" collapsed="false">
      <c r="A995" s="60"/>
      <c r="B995" s="61" t="str">
        <f aca="false">IF($M995=0,"",INDEX(Classes!$E$6:$E$420,$M995))</f>
        <v/>
      </c>
      <c r="C995" s="62" t="str">
        <f aca="false">IF($M995=0,"",INDEX(Classes!$H$6:$H$420,$M995))</f>
        <v/>
      </c>
      <c r="D995" s="61" t="str">
        <f aca="false">IF($M995=0,"",INDEX(Classes!$B$6:$B$420,$M995))</f>
        <v/>
      </c>
      <c r="E995" s="61" t="str">
        <f aca="false">IF($M995=0,"",INDEX(Classes!$C$6:$C$420,$M995))</f>
        <v/>
      </c>
      <c r="F995" s="63"/>
      <c r="G995" s="63"/>
      <c r="H995" s="60"/>
      <c r="I995" s="60"/>
      <c r="J995" s="63"/>
      <c r="K995" s="61" t="str">
        <f aca="false">IF($P995=0,"",IF($F995="Baseline","— Baseline",IF($O995=0,"No result",IF($N995=0,"No Start (attainment only)",IF(OR($N995=1,$O995=1),"U – needs rule",INDEX(MxBody,MATCH($I995,MxCurr,0),MATCH($H995,MxStart,0)))))))</f>
        <v/>
      </c>
      <c r="L995" s="62" t="str">
        <f aca="false">IF(COUNTA($A995,$F995,$G995,$H995,$I995,$J995)=0,"",IF($M995=0,"✖ كود الصف غير موجود",IF(ISNA(MATCH($F995,Lists!$A$2:$A$5,0)),"✖ الفترة غير صحيحة",IF(ISNA(MATCH($G995,Lists!$B$2:$B$7,0)),"✖ المجموعة غير صحيحة",IF(NOT(OR($H995="",$N995&gt;0)),"✖ Start غير صحيح",IF(NOT(OR($I995="",$I995="NR",$O995&gt;0)),"✖ Current غير صحيح",IF(NOT(IF(ISNUMBER($J995),AND($J995&gt;=0,$J995=INT($J995)),FALSE())),"✖ العدد يجب أن يكون صحيحًا ≥ 0",IF(AND($F995="Baseline",$H995&lt;&gt;""),"⚠ Baseline: Start لا يدخل في التقدم",IF($K995="No Start (attainment only)","ℹ تحصيل فقط (بدون Start)",IF($K995="U – needs rule","ℹ حالة U تحتاج قاعدة معتمدة",IF($K995="No result","ℹ بدون نتيجة (يُستبعد من التحصيل)","OK")))))))))))</f>
        <v/>
      </c>
      <c r="M995" s="64" t="n">
        <f aca="false">IF($A995="",0,IFERROR(MATCH($A995,Classes!$A$6:$A$420,0),0))</f>
        <v>0</v>
      </c>
      <c r="N995" s="64" t="n">
        <f aca="false">IF($H995="",0,IFERROR(MATCH($H995,GradeList,0),0))</f>
        <v>0</v>
      </c>
      <c r="O995" s="64" t="n">
        <f aca="false">IF(OR($I995="",$I995="NR"),0,IFERROR(MATCH($I995,GradeList,0),0))</f>
        <v>0</v>
      </c>
      <c r="P995" s="64" t="n">
        <f aca="false">IF(AND($M995&gt;0,ISNUMBER(MATCH($F995,Lists!$A$2:$A$5,0)),ISNUMBER(MATCH($G995,Lists!$B$2:$B$7,0)),OR($H995="",$N995&gt;0),OR($I995="",$I995="NR",$O995&gt;0),IF(ISNUMBER($J995),AND($J995&gt;=0,$J995=INT($J995)),FALSE())),$J995,0)</f>
        <v>0</v>
      </c>
      <c r="Q995" s="64" t="n">
        <f aca="false">IF(AND($P995&gt;0,$O995&gt;0),$P995,0)</f>
        <v>0</v>
      </c>
      <c r="R995" s="64" t="n">
        <f aca="false">IF(AND($Q995&gt;0,$O995&gt;=AtRank),$Q995,0)</f>
        <v>0</v>
      </c>
      <c r="S995" s="64" t="n">
        <f aca="false">IF(AND($Q995&gt;0,$O995&gt;=AboveRank),$Q995,0)</f>
        <v>0</v>
      </c>
      <c r="T995" s="64" t="n">
        <f aca="false">IF($K995="Less",$P995,0)</f>
        <v>0</v>
      </c>
      <c r="U995" s="64" t="n">
        <f aca="false">IF($K995="Expected",$P995,0)</f>
        <v>0</v>
      </c>
      <c r="V995" s="64" t="n">
        <f aca="false">IF($K995="Better",$P995,0)</f>
        <v>0</v>
      </c>
      <c r="W995" s="64" t="n">
        <f aca="false">IF($K995="U – needs rule",$P995,0)</f>
        <v>0</v>
      </c>
      <c r="X995" s="64" t="n">
        <f aca="false">IF($K995="No Start (attainment only)",$P995,0)</f>
        <v>0</v>
      </c>
    </row>
    <row r="996" customFormat="false" ht="15" hidden="false" customHeight="false" outlineLevel="0" collapsed="false">
      <c r="A996" s="60"/>
      <c r="B996" s="61" t="str">
        <f aca="false">IF($M996=0,"",INDEX(Classes!$E$6:$E$420,$M996))</f>
        <v/>
      </c>
      <c r="C996" s="62" t="str">
        <f aca="false">IF($M996=0,"",INDEX(Classes!$H$6:$H$420,$M996))</f>
        <v/>
      </c>
      <c r="D996" s="61" t="str">
        <f aca="false">IF($M996=0,"",INDEX(Classes!$B$6:$B$420,$M996))</f>
        <v/>
      </c>
      <c r="E996" s="61" t="str">
        <f aca="false">IF($M996=0,"",INDEX(Classes!$C$6:$C$420,$M996))</f>
        <v/>
      </c>
      <c r="F996" s="63"/>
      <c r="G996" s="63"/>
      <c r="H996" s="60"/>
      <c r="I996" s="60"/>
      <c r="J996" s="63"/>
      <c r="K996" s="61" t="str">
        <f aca="false">IF($P996=0,"",IF($F996="Baseline","— Baseline",IF($O996=0,"No result",IF($N996=0,"No Start (attainment only)",IF(OR($N996=1,$O996=1),"U – needs rule",INDEX(MxBody,MATCH($I996,MxCurr,0),MATCH($H996,MxStart,0)))))))</f>
        <v/>
      </c>
      <c r="L996" s="62" t="str">
        <f aca="false">IF(COUNTA($A996,$F996,$G996,$H996,$I996,$J996)=0,"",IF($M996=0,"✖ كود الصف غير موجود",IF(ISNA(MATCH($F996,Lists!$A$2:$A$5,0)),"✖ الفترة غير صحيحة",IF(ISNA(MATCH($G996,Lists!$B$2:$B$7,0)),"✖ المجموعة غير صحيحة",IF(NOT(OR($H996="",$N996&gt;0)),"✖ Start غير صحيح",IF(NOT(OR($I996="",$I996="NR",$O996&gt;0)),"✖ Current غير صحيح",IF(NOT(IF(ISNUMBER($J996),AND($J996&gt;=0,$J996=INT($J996)),FALSE())),"✖ العدد يجب أن يكون صحيحًا ≥ 0",IF(AND($F996="Baseline",$H996&lt;&gt;""),"⚠ Baseline: Start لا يدخل في التقدم",IF($K996="No Start (attainment only)","ℹ تحصيل فقط (بدون Start)",IF($K996="U – needs rule","ℹ حالة U تحتاج قاعدة معتمدة",IF($K996="No result","ℹ بدون نتيجة (يُستبعد من التحصيل)","OK")))))))))))</f>
        <v/>
      </c>
      <c r="M996" s="64" t="n">
        <f aca="false">IF($A996="",0,IFERROR(MATCH($A996,Classes!$A$6:$A$420,0),0))</f>
        <v>0</v>
      </c>
      <c r="N996" s="64" t="n">
        <f aca="false">IF($H996="",0,IFERROR(MATCH($H996,GradeList,0),0))</f>
        <v>0</v>
      </c>
      <c r="O996" s="64" t="n">
        <f aca="false">IF(OR($I996="",$I996="NR"),0,IFERROR(MATCH($I996,GradeList,0),0))</f>
        <v>0</v>
      </c>
      <c r="P996" s="64" t="n">
        <f aca="false">IF(AND($M996&gt;0,ISNUMBER(MATCH($F996,Lists!$A$2:$A$5,0)),ISNUMBER(MATCH($G996,Lists!$B$2:$B$7,0)),OR($H996="",$N996&gt;0),OR($I996="",$I996="NR",$O996&gt;0),IF(ISNUMBER($J996),AND($J996&gt;=0,$J996=INT($J996)),FALSE())),$J996,0)</f>
        <v>0</v>
      </c>
      <c r="Q996" s="64" t="n">
        <f aca="false">IF(AND($P996&gt;0,$O996&gt;0),$P996,0)</f>
        <v>0</v>
      </c>
      <c r="R996" s="64" t="n">
        <f aca="false">IF(AND($Q996&gt;0,$O996&gt;=AtRank),$Q996,0)</f>
        <v>0</v>
      </c>
      <c r="S996" s="64" t="n">
        <f aca="false">IF(AND($Q996&gt;0,$O996&gt;=AboveRank),$Q996,0)</f>
        <v>0</v>
      </c>
      <c r="T996" s="64" t="n">
        <f aca="false">IF($K996="Less",$P996,0)</f>
        <v>0</v>
      </c>
      <c r="U996" s="64" t="n">
        <f aca="false">IF($K996="Expected",$P996,0)</f>
        <v>0</v>
      </c>
      <c r="V996" s="64" t="n">
        <f aca="false">IF($K996="Better",$P996,0)</f>
        <v>0</v>
      </c>
      <c r="W996" s="64" t="n">
        <f aca="false">IF($K996="U – needs rule",$P996,0)</f>
        <v>0</v>
      </c>
      <c r="X996" s="64" t="n">
        <f aca="false">IF($K996="No Start (attainment only)",$P996,0)</f>
        <v>0</v>
      </c>
    </row>
    <row r="997" customFormat="false" ht="15" hidden="false" customHeight="false" outlineLevel="0" collapsed="false">
      <c r="A997" s="60"/>
      <c r="B997" s="61" t="str">
        <f aca="false">IF($M997=0,"",INDEX(Classes!$E$6:$E$420,$M997))</f>
        <v/>
      </c>
      <c r="C997" s="62" t="str">
        <f aca="false">IF($M997=0,"",INDEX(Classes!$H$6:$H$420,$M997))</f>
        <v/>
      </c>
      <c r="D997" s="61" t="str">
        <f aca="false">IF($M997=0,"",INDEX(Classes!$B$6:$B$420,$M997))</f>
        <v/>
      </c>
      <c r="E997" s="61" t="str">
        <f aca="false">IF($M997=0,"",INDEX(Classes!$C$6:$C$420,$M997))</f>
        <v/>
      </c>
      <c r="F997" s="63"/>
      <c r="G997" s="63"/>
      <c r="H997" s="60"/>
      <c r="I997" s="60"/>
      <c r="J997" s="63"/>
      <c r="K997" s="61" t="str">
        <f aca="false">IF($P997=0,"",IF($F997="Baseline","— Baseline",IF($O997=0,"No result",IF($N997=0,"No Start (attainment only)",IF(OR($N997=1,$O997=1),"U – needs rule",INDEX(MxBody,MATCH($I997,MxCurr,0),MATCH($H997,MxStart,0)))))))</f>
        <v/>
      </c>
      <c r="L997" s="62" t="str">
        <f aca="false">IF(COUNTA($A997,$F997,$G997,$H997,$I997,$J997)=0,"",IF($M997=0,"✖ كود الصف غير موجود",IF(ISNA(MATCH($F997,Lists!$A$2:$A$5,0)),"✖ الفترة غير صحيحة",IF(ISNA(MATCH($G997,Lists!$B$2:$B$7,0)),"✖ المجموعة غير صحيحة",IF(NOT(OR($H997="",$N997&gt;0)),"✖ Start غير صحيح",IF(NOT(OR($I997="",$I997="NR",$O997&gt;0)),"✖ Current غير صحيح",IF(NOT(IF(ISNUMBER($J997),AND($J997&gt;=0,$J997=INT($J997)),FALSE())),"✖ العدد يجب أن يكون صحيحًا ≥ 0",IF(AND($F997="Baseline",$H997&lt;&gt;""),"⚠ Baseline: Start لا يدخل في التقدم",IF($K997="No Start (attainment only)","ℹ تحصيل فقط (بدون Start)",IF($K997="U – needs rule","ℹ حالة U تحتاج قاعدة معتمدة",IF($K997="No result","ℹ بدون نتيجة (يُستبعد من التحصيل)","OK")))))))))))</f>
        <v/>
      </c>
      <c r="M997" s="64" t="n">
        <f aca="false">IF($A997="",0,IFERROR(MATCH($A997,Classes!$A$6:$A$420,0),0))</f>
        <v>0</v>
      </c>
      <c r="N997" s="64" t="n">
        <f aca="false">IF($H997="",0,IFERROR(MATCH($H997,GradeList,0),0))</f>
        <v>0</v>
      </c>
      <c r="O997" s="64" t="n">
        <f aca="false">IF(OR($I997="",$I997="NR"),0,IFERROR(MATCH($I997,GradeList,0),0))</f>
        <v>0</v>
      </c>
      <c r="P997" s="64" t="n">
        <f aca="false">IF(AND($M997&gt;0,ISNUMBER(MATCH($F997,Lists!$A$2:$A$5,0)),ISNUMBER(MATCH($G997,Lists!$B$2:$B$7,0)),OR($H997="",$N997&gt;0),OR($I997="",$I997="NR",$O997&gt;0),IF(ISNUMBER($J997),AND($J997&gt;=0,$J997=INT($J997)),FALSE())),$J997,0)</f>
        <v>0</v>
      </c>
      <c r="Q997" s="64" t="n">
        <f aca="false">IF(AND($P997&gt;0,$O997&gt;0),$P997,0)</f>
        <v>0</v>
      </c>
      <c r="R997" s="64" t="n">
        <f aca="false">IF(AND($Q997&gt;0,$O997&gt;=AtRank),$Q997,0)</f>
        <v>0</v>
      </c>
      <c r="S997" s="64" t="n">
        <f aca="false">IF(AND($Q997&gt;0,$O997&gt;=AboveRank),$Q997,0)</f>
        <v>0</v>
      </c>
      <c r="T997" s="64" t="n">
        <f aca="false">IF($K997="Less",$P997,0)</f>
        <v>0</v>
      </c>
      <c r="U997" s="64" t="n">
        <f aca="false">IF($K997="Expected",$P997,0)</f>
        <v>0</v>
      </c>
      <c r="V997" s="64" t="n">
        <f aca="false">IF($K997="Better",$P997,0)</f>
        <v>0</v>
      </c>
      <c r="W997" s="64" t="n">
        <f aca="false">IF($K997="U – needs rule",$P997,0)</f>
        <v>0</v>
      </c>
      <c r="X997" s="64" t="n">
        <f aca="false">IF($K997="No Start (attainment only)",$P997,0)</f>
        <v>0</v>
      </c>
    </row>
    <row r="998" customFormat="false" ht="15" hidden="false" customHeight="false" outlineLevel="0" collapsed="false">
      <c r="A998" s="60"/>
      <c r="B998" s="61" t="str">
        <f aca="false">IF($M998=0,"",INDEX(Classes!$E$6:$E$420,$M998))</f>
        <v/>
      </c>
      <c r="C998" s="62" t="str">
        <f aca="false">IF($M998=0,"",INDEX(Classes!$H$6:$H$420,$M998))</f>
        <v/>
      </c>
      <c r="D998" s="61" t="str">
        <f aca="false">IF($M998=0,"",INDEX(Classes!$B$6:$B$420,$M998))</f>
        <v/>
      </c>
      <c r="E998" s="61" t="str">
        <f aca="false">IF($M998=0,"",INDEX(Classes!$C$6:$C$420,$M998))</f>
        <v/>
      </c>
      <c r="F998" s="63"/>
      <c r="G998" s="63"/>
      <c r="H998" s="60"/>
      <c r="I998" s="60"/>
      <c r="J998" s="63"/>
      <c r="K998" s="61" t="str">
        <f aca="false">IF($P998=0,"",IF($F998="Baseline","— Baseline",IF($O998=0,"No result",IF($N998=0,"No Start (attainment only)",IF(OR($N998=1,$O998=1),"U – needs rule",INDEX(MxBody,MATCH($I998,MxCurr,0),MATCH($H998,MxStart,0)))))))</f>
        <v/>
      </c>
      <c r="L998" s="62" t="str">
        <f aca="false">IF(COUNTA($A998,$F998,$G998,$H998,$I998,$J998)=0,"",IF($M998=0,"✖ كود الصف غير موجود",IF(ISNA(MATCH($F998,Lists!$A$2:$A$5,0)),"✖ الفترة غير صحيحة",IF(ISNA(MATCH($G998,Lists!$B$2:$B$7,0)),"✖ المجموعة غير صحيحة",IF(NOT(OR($H998="",$N998&gt;0)),"✖ Start غير صحيح",IF(NOT(OR($I998="",$I998="NR",$O998&gt;0)),"✖ Current غير صحيح",IF(NOT(IF(ISNUMBER($J998),AND($J998&gt;=0,$J998=INT($J998)),FALSE())),"✖ العدد يجب أن يكون صحيحًا ≥ 0",IF(AND($F998="Baseline",$H998&lt;&gt;""),"⚠ Baseline: Start لا يدخل في التقدم",IF($K998="No Start (attainment only)","ℹ تحصيل فقط (بدون Start)",IF($K998="U – needs rule","ℹ حالة U تحتاج قاعدة معتمدة",IF($K998="No result","ℹ بدون نتيجة (يُستبعد من التحصيل)","OK")))))))))))</f>
        <v/>
      </c>
      <c r="M998" s="64" t="n">
        <f aca="false">IF($A998="",0,IFERROR(MATCH($A998,Classes!$A$6:$A$420,0),0))</f>
        <v>0</v>
      </c>
      <c r="N998" s="64" t="n">
        <f aca="false">IF($H998="",0,IFERROR(MATCH($H998,GradeList,0),0))</f>
        <v>0</v>
      </c>
      <c r="O998" s="64" t="n">
        <f aca="false">IF(OR($I998="",$I998="NR"),0,IFERROR(MATCH($I998,GradeList,0),0))</f>
        <v>0</v>
      </c>
      <c r="P998" s="64" t="n">
        <f aca="false">IF(AND($M998&gt;0,ISNUMBER(MATCH($F998,Lists!$A$2:$A$5,0)),ISNUMBER(MATCH($G998,Lists!$B$2:$B$7,0)),OR($H998="",$N998&gt;0),OR($I998="",$I998="NR",$O998&gt;0),IF(ISNUMBER($J998),AND($J998&gt;=0,$J998=INT($J998)),FALSE())),$J998,0)</f>
        <v>0</v>
      </c>
      <c r="Q998" s="64" t="n">
        <f aca="false">IF(AND($P998&gt;0,$O998&gt;0),$P998,0)</f>
        <v>0</v>
      </c>
      <c r="R998" s="64" t="n">
        <f aca="false">IF(AND($Q998&gt;0,$O998&gt;=AtRank),$Q998,0)</f>
        <v>0</v>
      </c>
      <c r="S998" s="64" t="n">
        <f aca="false">IF(AND($Q998&gt;0,$O998&gt;=AboveRank),$Q998,0)</f>
        <v>0</v>
      </c>
      <c r="T998" s="64" t="n">
        <f aca="false">IF($K998="Less",$P998,0)</f>
        <v>0</v>
      </c>
      <c r="U998" s="64" t="n">
        <f aca="false">IF($K998="Expected",$P998,0)</f>
        <v>0</v>
      </c>
      <c r="V998" s="64" t="n">
        <f aca="false">IF($K998="Better",$P998,0)</f>
        <v>0</v>
      </c>
      <c r="W998" s="64" t="n">
        <f aca="false">IF($K998="U – needs rule",$P998,0)</f>
        <v>0</v>
      </c>
      <c r="X998" s="64" t="n">
        <f aca="false">IF($K998="No Start (attainment only)",$P998,0)</f>
        <v>0</v>
      </c>
    </row>
    <row r="999" customFormat="false" ht="15" hidden="false" customHeight="false" outlineLevel="0" collapsed="false">
      <c r="A999" s="60"/>
      <c r="B999" s="61" t="str">
        <f aca="false">IF($M999=0,"",INDEX(Classes!$E$6:$E$420,$M999))</f>
        <v/>
      </c>
      <c r="C999" s="62" t="str">
        <f aca="false">IF($M999=0,"",INDEX(Classes!$H$6:$H$420,$M999))</f>
        <v/>
      </c>
      <c r="D999" s="61" t="str">
        <f aca="false">IF($M999=0,"",INDEX(Classes!$B$6:$B$420,$M999))</f>
        <v/>
      </c>
      <c r="E999" s="61" t="str">
        <f aca="false">IF($M999=0,"",INDEX(Classes!$C$6:$C$420,$M999))</f>
        <v/>
      </c>
      <c r="F999" s="63"/>
      <c r="G999" s="63"/>
      <c r="H999" s="60"/>
      <c r="I999" s="60"/>
      <c r="J999" s="63"/>
      <c r="K999" s="61" t="str">
        <f aca="false">IF($P999=0,"",IF($F999="Baseline","— Baseline",IF($O999=0,"No result",IF($N999=0,"No Start (attainment only)",IF(OR($N999=1,$O999=1),"U – needs rule",INDEX(MxBody,MATCH($I999,MxCurr,0),MATCH($H999,MxStart,0)))))))</f>
        <v/>
      </c>
      <c r="L999" s="62" t="str">
        <f aca="false">IF(COUNTA($A999,$F999,$G999,$H999,$I999,$J999)=0,"",IF($M999=0,"✖ كود الصف غير موجود",IF(ISNA(MATCH($F999,Lists!$A$2:$A$5,0)),"✖ الفترة غير صحيحة",IF(ISNA(MATCH($G999,Lists!$B$2:$B$7,0)),"✖ المجموعة غير صحيحة",IF(NOT(OR($H999="",$N999&gt;0)),"✖ Start غير صحيح",IF(NOT(OR($I999="",$I999="NR",$O999&gt;0)),"✖ Current غير صحيح",IF(NOT(IF(ISNUMBER($J999),AND($J999&gt;=0,$J999=INT($J999)),FALSE())),"✖ العدد يجب أن يكون صحيحًا ≥ 0",IF(AND($F999="Baseline",$H999&lt;&gt;""),"⚠ Baseline: Start لا يدخل في التقدم",IF($K999="No Start (attainment only)","ℹ تحصيل فقط (بدون Start)",IF($K999="U – needs rule","ℹ حالة U تحتاج قاعدة معتمدة",IF($K999="No result","ℹ بدون نتيجة (يُستبعد من التحصيل)","OK")))))))))))</f>
        <v/>
      </c>
      <c r="M999" s="64" t="n">
        <f aca="false">IF($A999="",0,IFERROR(MATCH($A999,Classes!$A$6:$A$420,0),0))</f>
        <v>0</v>
      </c>
      <c r="N999" s="64" t="n">
        <f aca="false">IF($H999="",0,IFERROR(MATCH($H999,GradeList,0),0))</f>
        <v>0</v>
      </c>
      <c r="O999" s="64" t="n">
        <f aca="false">IF(OR($I999="",$I999="NR"),0,IFERROR(MATCH($I999,GradeList,0),0))</f>
        <v>0</v>
      </c>
      <c r="P999" s="64" t="n">
        <f aca="false">IF(AND($M999&gt;0,ISNUMBER(MATCH($F999,Lists!$A$2:$A$5,0)),ISNUMBER(MATCH($G999,Lists!$B$2:$B$7,0)),OR($H999="",$N999&gt;0),OR($I999="",$I999="NR",$O999&gt;0),IF(ISNUMBER($J999),AND($J999&gt;=0,$J999=INT($J999)),FALSE())),$J999,0)</f>
        <v>0</v>
      </c>
      <c r="Q999" s="64" t="n">
        <f aca="false">IF(AND($P999&gt;0,$O999&gt;0),$P999,0)</f>
        <v>0</v>
      </c>
      <c r="R999" s="64" t="n">
        <f aca="false">IF(AND($Q999&gt;0,$O999&gt;=AtRank),$Q999,0)</f>
        <v>0</v>
      </c>
      <c r="S999" s="64" t="n">
        <f aca="false">IF(AND($Q999&gt;0,$O999&gt;=AboveRank),$Q999,0)</f>
        <v>0</v>
      </c>
      <c r="T999" s="64" t="n">
        <f aca="false">IF($K999="Less",$P999,0)</f>
        <v>0</v>
      </c>
      <c r="U999" s="64" t="n">
        <f aca="false">IF($K999="Expected",$P999,0)</f>
        <v>0</v>
      </c>
      <c r="V999" s="64" t="n">
        <f aca="false">IF($K999="Better",$P999,0)</f>
        <v>0</v>
      </c>
      <c r="W999" s="64" t="n">
        <f aca="false">IF($K999="U – needs rule",$P999,0)</f>
        <v>0</v>
      </c>
      <c r="X999" s="64" t="n">
        <f aca="false">IF($K999="No Start (attainment only)",$P999,0)</f>
        <v>0</v>
      </c>
    </row>
    <row r="1000" customFormat="false" ht="15" hidden="false" customHeight="false" outlineLevel="0" collapsed="false">
      <c r="A1000" s="60"/>
      <c r="B1000" s="61" t="str">
        <f aca="false">IF($M1000=0,"",INDEX(Classes!$E$6:$E$420,$M1000))</f>
        <v/>
      </c>
      <c r="C1000" s="62" t="str">
        <f aca="false">IF($M1000=0,"",INDEX(Classes!$H$6:$H$420,$M1000))</f>
        <v/>
      </c>
      <c r="D1000" s="61" t="str">
        <f aca="false">IF($M1000=0,"",INDEX(Classes!$B$6:$B$420,$M1000))</f>
        <v/>
      </c>
      <c r="E1000" s="61" t="str">
        <f aca="false">IF($M1000=0,"",INDEX(Classes!$C$6:$C$420,$M1000))</f>
        <v/>
      </c>
      <c r="F1000" s="63"/>
      <c r="G1000" s="63"/>
      <c r="H1000" s="60"/>
      <c r="I1000" s="60"/>
      <c r="J1000" s="63"/>
      <c r="K1000" s="61" t="str">
        <f aca="false">IF($P1000=0,"",IF($F1000="Baseline","— Baseline",IF($O1000=0,"No result",IF($N1000=0,"No Start (attainment only)",IF(OR($N1000=1,$O1000=1),"U – needs rule",INDEX(MxBody,MATCH($I1000,MxCurr,0),MATCH($H1000,MxStart,0)))))))</f>
        <v/>
      </c>
      <c r="L1000" s="62" t="str">
        <f aca="false">IF(COUNTA($A1000,$F1000,$G1000,$H1000,$I1000,$J1000)=0,"",IF($M1000=0,"✖ كود الصف غير موجود",IF(ISNA(MATCH($F1000,Lists!$A$2:$A$5,0)),"✖ الفترة غير صحيحة",IF(ISNA(MATCH($G1000,Lists!$B$2:$B$7,0)),"✖ المجموعة غير صحيحة",IF(NOT(OR($H1000="",$N1000&gt;0)),"✖ Start غير صحيح",IF(NOT(OR($I1000="",$I1000="NR",$O1000&gt;0)),"✖ Current غير صحيح",IF(NOT(IF(ISNUMBER($J1000),AND($J1000&gt;=0,$J1000=INT($J1000)),FALSE())),"✖ العدد يجب أن يكون صحيحًا ≥ 0",IF(AND($F1000="Baseline",$H1000&lt;&gt;""),"⚠ Baseline: Start لا يدخل في التقدم",IF($K1000="No Start (attainment only)","ℹ تحصيل فقط (بدون Start)",IF($K1000="U – needs rule","ℹ حالة U تحتاج قاعدة معتمدة",IF($K1000="No result","ℹ بدون نتيجة (يُستبعد من التحصيل)","OK")))))))))))</f>
        <v/>
      </c>
      <c r="M1000" s="64" t="n">
        <f aca="false">IF($A1000="",0,IFERROR(MATCH($A1000,Classes!$A$6:$A$420,0),0))</f>
        <v>0</v>
      </c>
      <c r="N1000" s="64" t="n">
        <f aca="false">IF($H1000="",0,IFERROR(MATCH($H1000,GradeList,0),0))</f>
        <v>0</v>
      </c>
      <c r="O1000" s="64" t="n">
        <f aca="false">IF(OR($I1000="",$I1000="NR"),0,IFERROR(MATCH($I1000,GradeList,0),0))</f>
        <v>0</v>
      </c>
      <c r="P1000" s="64" t="n">
        <f aca="false">IF(AND($M1000&gt;0,ISNUMBER(MATCH($F1000,Lists!$A$2:$A$5,0)),ISNUMBER(MATCH($G1000,Lists!$B$2:$B$7,0)),OR($H1000="",$N1000&gt;0),OR($I1000="",$I1000="NR",$O1000&gt;0),IF(ISNUMBER($J1000),AND($J1000&gt;=0,$J1000=INT($J1000)),FALSE())),$J1000,0)</f>
        <v>0</v>
      </c>
      <c r="Q1000" s="64" t="n">
        <f aca="false">IF(AND($P1000&gt;0,$O1000&gt;0),$P1000,0)</f>
        <v>0</v>
      </c>
      <c r="R1000" s="64" t="n">
        <f aca="false">IF(AND($Q1000&gt;0,$O1000&gt;=AtRank),$Q1000,0)</f>
        <v>0</v>
      </c>
      <c r="S1000" s="64" t="n">
        <f aca="false">IF(AND($Q1000&gt;0,$O1000&gt;=AboveRank),$Q1000,0)</f>
        <v>0</v>
      </c>
      <c r="T1000" s="64" t="n">
        <f aca="false">IF($K1000="Less",$P1000,0)</f>
        <v>0</v>
      </c>
      <c r="U1000" s="64" t="n">
        <f aca="false">IF($K1000="Expected",$P1000,0)</f>
        <v>0</v>
      </c>
      <c r="V1000" s="64" t="n">
        <f aca="false">IF($K1000="Better",$P1000,0)</f>
        <v>0</v>
      </c>
      <c r="W1000" s="64" t="n">
        <f aca="false">IF($K1000="U – needs rule",$P1000,0)</f>
        <v>0</v>
      </c>
      <c r="X1000" s="64" t="n">
        <f aca="false">IF($K1000="No Start (attainment only)",$P1000,0)</f>
        <v>0</v>
      </c>
    </row>
    <row r="1001" customFormat="false" ht="15" hidden="false" customHeight="false" outlineLevel="0" collapsed="false">
      <c r="A1001" s="60"/>
      <c r="B1001" s="61" t="str">
        <f aca="false">IF($M1001=0,"",INDEX(Classes!$E$6:$E$420,$M1001))</f>
        <v/>
      </c>
      <c r="C1001" s="62" t="str">
        <f aca="false">IF($M1001=0,"",INDEX(Classes!$H$6:$H$420,$M1001))</f>
        <v/>
      </c>
      <c r="D1001" s="61" t="str">
        <f aca="false">IF($M1001=0,"",INDEX(Classes!$B$6:$B$420,$M1001))</f>
        <v/>
      </c>
      <c r="E1001" s="61" t="str">
        <f aca="false">IF($M1001=0,"",INDEX(Classes!$C$6:$C$420,$M1001))</f>
        <v/>
      </c>
      <c r="F1001" s="63"/>
      <c r="G1001" s="63"/>
      <c r="H1001" s="60"/>
      <c r="I1001" s="60"/>
      <c r="J1001" s="63"/>
      <c r="K1001" s="61" t="str">
        <f aca="false">IF($P1001=0,"",IF($F1001="Baseline","— Baseline",IF($O1001=0,"No result",IF($N1001=0,"No Start (attainment only)",IF(OR($N1001=1,$O1001=1),"U – needs rule",INDEX(MxBody,MATCH($I1001,MxCurr,0),MATCH($H1001,MxStart,0)))))))</f>
        <v/>
      </c>
      <c r="L1001" s="62" t="str">
        <f aca="false">IF(COUNTA($A1001,$F1001,$G1001,$H1001,$I1001,$J1001)=0,"",IF($M1001=0,"✖ كود الصف غير موجود",IF(ISNA(MATCH($F1001,Lists!$A$2:$A$5,0)),"✖ الفترة غير صحيحة",IF(ISNA(MATCH($G1001,Lists!$B$2:$B$7,0)),"✖ المجموعة غير صحيحة",IF(NOT(OR($H1001="",$N1001&gt;0)),"✖ Start غير صحيح",IF(NOT(OR($I1001="",$I1001="NR",$O1001&gt;0)),"✖ Current غير صحيح",IF(NOT(IF(ISNUMBER($J1001),AND($J1001&gt;=0,$J1001=INT($J1001)),FALSE())),"✖ العدد يجب أن يكون صحيحًا ≥ 0",IF(AND($F1001="Baseline",$H1001&lt;&gt;""),"⚠ Baseline: Start لا يدخل في التقدم",IF($K1001="No Start (attainment only)","ℹ تحصيل فقط (بدون Start)",IF($K1001="U – needs rule","ℹ حالة U تحتاج قاعدة معتمدة",IF($K1001="No result","ℹ بدون نتيجة (يُستبعد من التحصيل)","OK")))))))))))</f>
        <v/>
      </c>
      <c r="M1001" s="64" t="n">
        <f aca="false">IF($A1001="",0,IFERROR(MATCH($A1001,Classes!$A$6:$A$420,0),0))</f>
        <v>0</v>
      </c>
      <c r="N1001" s="64" t="n">
        <f aca="false">IF($H1001="",0,IFERROR(MATCH($H1001,GradeList,0),0))</f>
        <v>0</v>
      </c>
      <c r="O1001" s="64" t="n">
        <f aca="false">IF(OR($I1001="",$I1001="NR"),0,IFERROR(MATCH($I1001,GradeList,0),0))</f>
        <v>0</v>
      </c>
      <c r="P1001" s="64" t="n">
        <f aca="false">IF(AND($M1001&gt;0,ISNUMBER(MATCH($F1001,Lists!$A$2:$A$5,0)),ISNUMBER(MATCH($G1001,Lists!$B$2:$B$7,0)),OR($H1001="",$N1001&gt;0),OR($I1001="",$I1001="NR",$O1001&gt;0),IF(ISNUMBER($J1001),AND($J1001&gt;=0,$J1001=INT($J1001)),FALSE())),$J1001,0)</f>
        <v>0</v>
      </c>
      <c r="Q1001" s="64" t="n">
        <f aca="false">IF(AND($P1001&gt;0,$O1001&gt;0),$P1001,0)</f>
        <v>0</v>
      </c>
      <c r="R1001" s="64" t="n">
        <f aca="false">IF(AND($Q1001&gt;0,$O1001&gt;=AtRank),$Q1001,0)</f>
        <v>0</v>
      </c>
      <c r="S1001" s="64" t="n">
        <f aca="false">IF(AND($Q1001&gt;0,$O1001&gt;=AboveRank),$Q1001,0)</f>
        <v>0</v>
      </c>
      <c r="T1001" s="64" t="n">
        <f aca="false">IF($K1001="Less",$P1001,0)</f>
        <v>0</v>
      </c>
      <c r="U1001" s="64" t="n">
        <f aca="false">IF($K1001="Expected",$P1001,0)</f>
        <v>0</v>
      </c>
      <c r="V1001" s="64" t="n">
        <f aca="false">IF($K1001="Better",$P1001,0)</f>
        <v>0</v>
      </c>
      <c r="W1001" s="64" t="n">
        <f aca="false">IF($K1001="U – needs rule",$P1001,0)</f>
        <v>0</v>
      </c>
      <c r="X1001" s="64" t="n">
        <f aca="false">IF($K1001="No Start (attainment only)",$P1001,0)</f>
        <v>0</v>
      </c>
    </row>
    <row r="1002" customFormat="false" ht="15" hidden="false" customHeight="false" outlineLevel="0" collapsed="false">
      <c r="A1002" s="60"/>
      <c r="B1002" s="61" t="str">
        <f aca="false">IF($M1002=0,"",INDEX(Classes!$E$6:$E$420,$M1002))</f>
        <v/>
      </c>
      <c r="C1002" s="62" t="str">
        <f aca="false">IF($M1002=0,"",INDEX(Classes!$H$6:$H$420,$M1002))</f>
        <v/>
      </c>
      <c r="D1002" s="61" t="str">
        <f aca="false">IF($M1002=0,"",INDEX(Classes!$B$6:$B$420,$M1002))</f>
        <v/>
      </c>
      <c r="E1002" s="61" t="str">
        <f aca="false">IF($M1002=0,"",INDEX(Classes!$C$6:$C$420,$M1002))</f>
        <v/>
      </c>
      <c r="F1002" s="63"/>
      <c r="G1002" s="63"/>
      <c r="H1002" s="60"/>
      <c r="I1002" s="60"/>
      <c r="J1002" s="63"/>
      <c r="K1002" s="61" t="str">
        <f aca="false">IF($P1002=0,"",IF($F1002="Baseline","— Baseline",IF($O1002=0,"No result",IF($N1002=0,"No Start (attainment only)",IF(OR($N1002=1,$O1002=1),"U – needs rule",INDEX(MxBody,MATCH($I1002,MxCurr,0),MATCH($H1002,MxStart,0)))))))</f>
        <v/>
      </c>
      <c r="L1002" s="62" t="str">
        <f aca="false">IF(COUNTA($A1002,$F1002,$G1002,$H1002,$I1002,$J1002)=0,"",IF($M1002=0,"✖ كود الصف غير موجود",IF(ISNA(MATCH($F1002,Lists!$A$2:$A$5,0)),"✖ الفترة غير صحيحة",IF(ISNA(MATCH($G1002,Lists!$B$2:$B$7,0)),"✖ المجموعة غير صحيحة",IF(NOT(OR($H1002="",$N1002&gt;0)),"✖ Start غير صحيح",IF(NOT(OR($I1002="",$I1002="NR",$O1002&gt;0)),"✖ Current غير صحيح",IF(NOT(IF(ISNUMBER($J1002),AND($J1002&gt;=0,$J1002=INT($J1002)),FALSE())),"✖ العدد يجب أن يكون صحيحًا ≥ 0",IF(AND($F1002="Baseline",$H1002&lt;&gt;""),"⚠ Baseline: Start لا يدخل في التقدم",IF($K1002="No Start (attainment only)","ℹ تحصيل فقط (بدون Start)",IF($K1002="U – needs rule","ℹ حالة U تحتاج قاعدة معتمدة",IF($K1002="No result","ℹ بدون نتيجة (يُستبعد من التحصيل)","OK")))))))))))</f>
        <v/>
      </c>
      <c r="M1002" s="64" t="n">
        <f aca="false">IF($A1002="",0,IFERROR(MATCH($A1002,Classes!$A$6:$A$420,0),0))</f>
        <v>0</v>
      </c>
      <c r="N1002" s="64" t="n">
        <f aca="false">IF($H1002="",0,IFERROR(MATCH($H1002,GradeList,0),0))</f>
        <v>0</v>
      </c>
      <c r="O1002" s="64" t="n">
        <f aca="false">IF(OR($I1002="",$I1002="NR"),0,IFERROR(MATCH($I1002,GradeList,0),0))</f>
        <v>0</v>
      </c>
      <c r="P1002" s="64" t="n">
        <f aca="false">IF(AND($M1002&gt;0,ISNUMBER(MATCH($F1002,Lists!$A$2:$A$5,0)),ISNUMBER(MATCH($G1002,Lists!$B$2:$B$7,0)),OR($H1002="",$N1002&gt;0),OR($I1002="",$I1002="NR",$O1002&gt;0),IF(ISNUMBER($J1002),AND($J1002&gt;=0,$J1002=INT($J1002)),FALSE())),$J1002,0)</f>
        <v>0</v>
      </c>
      <c r="Q1002" s="64" t="n">
        <f aca="false">IF(AND($P1002&gt;0,$O1002&gt;0),$P1002,0)</f>
        <v>0</v>
      </c>
      <c r="R1002" s="64" t="n">
        <f aca="false">IF(AND($Q1002&gt;0,$O1002&gt;=AtRank),$Q1002,0)</f>
        <v>0</v>
      </c>
      <c r="S1002" s="64" t="n">
        <f aca="false">IF(AND($Q1002&gt;0,$O1002&gt;=AboveRank),$Q1002,0)</f>
        <v>0</v>
      </c>
      <c r="T1002" s="64" t="n">
        <f aca="false">IF($K1002="Less",$P1002,0)</f>
        <v>0</v>
      </c>
      <c r="U1002" s="64" t="n">
        <f aca="false">IF($K1002="Expected",$P1002,0)</f>
        <v>0</v>
      </c>
      <c r="V1002" s="64" t="n">
        <f aca="false">IF($K1002="Better",$P1002,0)</f>
        <v>0</v>
      </c>
      <c r="W1002" s="64" t="n">
        <f aca="false">IF($K1002="U – needs rule",$P1002,0)</f>
        <v>0</v>
      </c>
      <c r="X1002" s="64" t="n">
        <f aca="false">IF($K1002="No Start (attainment only)",$P1002,0)</f>
        <v>0</v>
      </c>
    </row>
    <row r="1003" customFormat="false" ht="15" hidden="false" customHeight="false" outlineLevel="0" collapsed="false">
      <c r="A1003" s="60"/>
      <c r="B1003" s="61" t="str">
        <f aca="false">IF($M1003=0,"",INDEX(Classes!$E$6:$E$420,$M1003))</f>
        <v/>
      </c>
      <c r="C1003" s="62" t="str">
        <f aca="false">IF($M1003=0,"",INDEX(Classes!$H$6:$H$420,$M1003))</f>
        <v/>
      </c>
      <c r="D1003" s="61" t="str">
        <f aca="false">IF($M1003=0,"",INDEX(Classes!$B$6:$B$420,$M1003))</f>
        <v/>
      </c>
      <c r="E1003" s="61" t="str">
        <f aca="false">IF($M1003=0,"",INDEX(Classes!$C$6:$C$420,$M1003))</f>
        <v/>
      </c>
      <c r="F1003" s="63"/>
      <c r="G1003" s="63"/>
      <c r="H1003" s="60"/>
      <c r="I1003" s="60"/>
      <c r="J1003" s="63"/>
      <c r="K1003" s="61" t="str">
        <f aca="false">IF($P1003=0,"",IF($F1003="Baseline","— Baseline",IF($O1003=0,"No result",IF($N1003=0,"No Start (attainment only)",IF(OR($N1003=1,$O1003=1),"U – needs rule",INDEX(MxBody,MATCH($I1003,MxCurr,0),MATCH($H1003,MxStart,0)))))))</f>
        <v/>
      </c>
      <c r="L1003" s="62" t="str">
        <f aca="false">IF(COUNTA($A1003,$F1003,$G1003,$H1003,$I1003,$J1003)=0,"",IF($M1003=0,"✖ كود الصف غير موجود",IF(ISNA(MATCH($F1003,Lists!$A$2:$A$5,0)),"✖ الفترة غير صحيحة",IF(ISNA(MATCH($G1003,Lists!$B$2:$B$7,0)),"✖ المجموعة غير صحيحة",IF(NOT(OR($H1003="",$N1003&gt;0)),"✖ Start غير صحيح",IF(NOT(OR($I1003="",$I1003="NR",$O1003&gt;0)),"✖ Current غير صحيح",IF(NOT(IF(ISNUMBER($J1003),AND($J1003&gt;=0,$J1003=INT($J1003)),FALSE())),"✖ العدد يجب أن يكون صحيحًا ≥ 0",IF(AND($F1003="Baseline",$H1003&lt;&gt;""),"⚠ Baseline: Start لا يدخل في التقدم",IF($K1003="No Start (attainment only)","ℹ تحصيل فقط (بدون Start)",IF($K1003="U – needs rule","ℹ حالة U تحتاج قاعدة معتمدة",IF($K1003="No result","ℹ بدون نتيجة (يُستبعد من التحصيل)","OK")))))))))))</f>
        <v/>
      </c>
      <c r="M1003" s="64" t="n">
        <f aca="false">IF($A1003="",0,IFERROR(MATCH($A1003,Classes!$A$6:$A$420,0),0))</f>
        <v>0</v>
      </c>
      <c r="N1003" s="64" t="n">
        <f aca="false">IF($H1003="",0,IFERROR(MATCH($H1003,GradeList,0),0))</f>
        <v>0</v>
      </c>
      <c r="O1003" s="64" t="n">
        <f aca="false">IF(OR($I1003="",$I1003="NR"),0,IFERROR(MATCH($I1003,GradeList,0),0))</f>
        <v>0</v>
      </c>
      <c r="P1003" s="64" t="n">
        <f aca="false">IF(AND($M1003&gt;0,ISNUMBER(MATCH($F1003,Lists!$A$2:$A$5,0)),ISNUMBER(MATCH($G1003,Lists!$B$2:$B$7,0)),OR($H1003="",$N1003&gt;0),OR($I1003="",$I1003="NR",$O1003&gt;0),IF(ISNUMBER($J1003),AND($J1003&gt;=0,$J1003=INT($J1003)),FALSE())),$J1003,0)</f>
        <v>0</v>
      </c>
      <c r="Q1003" s="64" t="n">
        <f aca="false">IF(AND($P1003&gt;0,$O1003&gt;0),$P1003,0)</f>
        <v>0</v>
      </c>
      <c r="R1003" s="64" t="n">
        <f aca="false">IF(AND($Q1003&gt;0,$O1003&gt;=AtRank),$Q1003,0)</f>
        <v>0</v>
      </c>
      <c r="S1003" s="64" t="n">
        <f aca="false">IF(AND($Q1003&gt;0,$O1003&gt;=AboveRank),$Q1003,0)</f>
        <v>0</v>
      </c>
      <c r="T1003" s="64" t="n">
        <f aca="false">IF($K1003="Less",$P1003,0)</f>
        <v>0</v>
      </c>
      <c r="U1003" s="64" t="n">
        <f aca="false">IF($K1003="Expected",$P1003,0)</f>
        <v>0</v>
      </c>
      <c r="V1003" s="64" t="n">
        <f aca="false">IF($K1003="Better",$P1003,0)</f>
        <v>0</v>
      </c>
      <c r="W1003" s="64" t="n">
        <f aca="false">IF($K1003="U – needs rule",$P1003,0)</f>
        <v>0</v>
      </c>
      <c r="X1003" s="64" t="n">
        <f aca="false">IF($K1003="No Start (attainment only)",$P1003,0)</f>
        <v>0</v>
      </c>
    </row>
    <row r="1004" customFormat="false" ht="15" hidden="false" customHeight="false" outlineLevel="0" collapsed="false">
      <c r="A1004" s="60"/>
      <c r="B1004" s="61" t="str">
        <f aca="false">IF($M1004=0,"",INDEX(Classes!$E$6:$E$420,$M1004))</f>
        <v/>
      </c>
      <c r="C1004" s="62" t="str">
        <f aca="false">IF($M1004=0,"",INDEX(Classes!$H$6:$H$420,$M1004))</f>
        <v/>
      </c>
      <c r="D1004" s="61" t="str">
        <f aca="false">IF($M1004=0,"",INDEX(Classes!$B$6:$B$420,$M1004))</f>
        <v/>
      </c>
      <c r="E1004" s="61" t="str">
        <f aca="false">IF($M1004=0,"",INDEX(Classes!$C$6:$C$420,$M1004))</f>
        <v/>
      </c>
      <c r="F1004" s="63"/>
      <c r="G1004" s="63"/>
      <c r="H1004" s="60"/>
      <c r="I1004" s="60"/>
      <c r="J1004" s="63"/>
      <c r="K1004" s="61" t="str">
        <f aca="false">IF($P1004=0,"",IF($F1004="Baseline","— Baseline",IF($O1004=0,"No result",IF($N1004=0,"No Start (attainment only)",IF(OR($N1004=1,$O1004=1),"U – needs rule",INDEX(MxBody,MATCH($I1004,MxCurr,0),MATCH($H1004,MxStart,0)))))))</f>
        <v/>
      </c>
      <c r="L1004" s="62" t="str">
        <f aca="false">IF(COUNTA($A1004,$F1004,$G1004,$H1004,$I1004,$J1004)=0,"",IF($M1004=0,"✖ كود الصف غير موجود",IF(ISNA(MATCH($F1004,Lists!$A$2:$A$5,0)),"✖ الفترة غير صحيحة",IF(ISNA(MATCH($G1004,Lists!$B$2:$B$7,0)),"✖ المجموعة غير صحيحة",IF(NOT(OR($H1004="",$N1004&gt;0)),"✖ Start غير صحيح",IF(NOT(OR($I1004="",$I1004="NR",$O1004&gt;0)),"✖ Current غير صحيح",IF(NOT(IF(ISNUMBER($J1004),AND($J1004&gt;=0,$J1004=INT($J1004)),FALSE())),"✖ العدد يجب أن يكون صحيحًا ≥ 0",IF(AND($F1004="Baseline",$H1004&lt;&gt;""),"⚠ Baseline: Start لا يدخل في التقدم",IF($K1004="No Start (attainment only)","ℹ تحصيل فقط (بدون Start)",IF($K1004="U – needs rule","ℹ حالة U تحتاج قاعدة معتمدة",IF($K1004="No result","ℹ بدون نتيجة (يُستبعد من التحصيل)","OK")))))))))))</f>
        <v/>
      </c>
      <c r="M1004" s="64" t="n">
        <f aca="false">IF($A1004="",0,IFERROR(MATCH($A1004,Classes!$A$6:$A$420,0),0))</f>
        <v>0</v>
      </c>
      <c r="N1004" s="64" t="n">
        <f aca="false">IF($H1004="",0,IFERROR(MATCH($H1004,GradeList,0),0))</f>
        <v>0</v>
      </c>
      <c r="O1004" s="64" t="n">
        <f aca="false">IF(OR($I1004="",$I1004="NR"),0,IFERROR(MATCH($I1004,GradeList,0),0))</f>
        <v>0</v>
      </c>
      <c r="P1004" s="64" t="n">
        <f aca="false">IF(AND($M1004&gt;0,ISNUMBER(MATCH($F1004,Lists!$A$2:$A$5,0)),ISNUMBER(MATCH($G1004,Lists!$B$2:$B$7,0)),OR($H1004="",$N1004&gt;0),OR($I1004="",$I1004="NR",$O1004&gt;0),IF(ISNUMBER($J1004),AND($J1004&gt;=0,$J1004=INT($J1004)),FALSE())),$J1004,0)</f>
        <v>0</v>
      </c>
      <c r="Q1004" s="64" t="n">
        <f aca="false">IF(AND($P1004&gt;0,$O1004&gt;0),$P1004,0)</f>
        <v>0</v>
      </c>
      <c r="R1004" s="64" t="n">
        <f aca="false">IF(AND($Q1004&gt;0,$O1004&gt;=AtRank),$Q1004,0)</f>
        <v>0</v>
      </c>
      <c r="S1004" s="64" t="n">
        <f aca="false">IF(AND($Q1004&gt;0,$O1004&gt;=AboveRank),$Q1004,0)</f>
        <v>0</v>
      </c>
      <c r="T1004" s="64" t="n">
        <f aca="false">IF($K1004="Less",$P1004,0)</f>
        <v>0</v>
      </c>
      <c r="U1004" s="64" t="n">
        <f aca="false">IF($K1004="Expected",$P1004,0)</f>
        <v>0</v>
      </c>
      <c r="V1004" s="64" t="n">
        <f aca="false">IF($K1004="Better",$P1004,0)</f>
        <v>0</v>
      </c>
      <c r="W1004" s="64" t="n">
        <f aca="false">IF($K1004="U – needs rule",$P1004,0)</f>
        <v>0</v>
      </c>
      <c r="X1004" s="64" t="n">
        <f aca="false">IF($K1004="No Start (attainment only)",$P1004,0)</f>
        <v>0</v>
      </c>
    </row>
    <row r="1005" customFormat="false" ht="15" hidden="false" customHeight="false" outlineLevel="0" collapsed="false">
      <c r="A1005" s="60"/>
      <c r="B1005" s="61" t="str">
        <f aca="false">IF($M1005=0,"",INDEX(Classes!$E$6:$E$420,$M1005))</f>
        <v/>
      </c>
      <c r="C1005" s="62" t="str">
        <f aca="false">IF($M1005=0,"",INDEX(Classes!$H$6:$H$420,$M1005))</f>
        <v/>
      </c>
      <c r="D1005" s="61" t="str">
        <f aca="false">IF($M1005=0,"",INDEX(Classes!$B$6:$B$420,$M1005))</f>
        <v/>
      </c>
      <c r="E1005" s="61" t="str">
        <f aca="false">IF($M1005=0,"",INDEX(Classes!$C$6:$C$420,$M1005))</f>
        <v/>
      </c>
      <c r="F1005" s="63"/>
      <c r="G1005" s="63"/>
      <c r="H1005" s="60"/>
      <c r="I1005" s="60"/>
      <c r="J1005" s="63"/>
      <c r="K1005" s="61" t="str">
        <f aca="false">IF($P1005=0,"",IF($F1005="Baseline","— Baseline",IF($O1005=0,"No result",IF($N1005=0,"No Start (attainment only)",IF(OR($N1005=1,$O1005=1),"U – needs rule",INDEX(MxBody,MATCH($I1005,MxCurr,0),MATCH($H1005,MxStart,0)))))))</f>
        <v/>
      </c>
      <c r="L1005" s="62" t="str">
        <f aca="false">IF(COUNTA($A1005,$F1005,$G1005,$H1005,$I1005,$J1005)=0,"",IF($M1005=0,"✖ كود الصف غير موجود",IF(ISNA(MATCH($F1005,Lists!$A$2:$A$5,0)),"✖ الفترة غير صحيحة",IF(ISNA(MATCH($G1005,Lists!$B$2:$B$7,0)),"✖ المجموعة غير صحيحة",IF(NOT(OR($H1005="",$N1005&gt;0)),"✖ Start غير صحيح",IF(NOT(OR($I1005="",$I1005="NR",$O1005&gt;0)),"✖ Current غير صحيح",IF(NOT(IF(ISNUMBER($J1005),AND($J1005&gt;=0,$J1005=INT($J1005)),FALSE())),"✖ العدد يجب أن يكون صحيحًا ≥ 0",IF(AND($F1005="Baseline",$H1005&lt;&gt;""),"⚠ Baseline: Start لا يدخل في التقدم",IF($K1005="No Start (attainment only)","ℹ تحصيل فقط (بدون Start)",IF($K1005="U – needs rule","ℹ حالة U تحتاج قاعدة معتمدة",IF($K1005="No result","ℹ بدون نتيجة (يُستبعد من التحصيل)","OK")))))))))))</f>
        <v/>
      </c>
      <c r="M1005" s="64" t="n">
        <f aca="false">IF($A1005="",0,IFERROR(MATCH($A1005,Classes!$A$6:$A$420,0),0))</f>
        <v>0</v>
      </c>
      <c r="N1005" s="64" t="n">
        <f aca="false">IF($H1005="",0,IFERROR(MATCH($H1005,GradeList,0),0))</f>
        <v>0</v>
      </c>
      <c r="O1005" s="64" t="n">
        <f aca="false">IF(OR($I1005="",$I1005="NR"),0,IFERROR(MATCH($I1005,GradeList,0),0))</f>
        <v>0</v>
      </c>
      <c r="P1005" s="64" t="n">
        <f aca="false">IF(AND($M1005&gt;0,ISNUMBER(MATCH($F1005,Lists!$A$2:$A$5,0)),ISNUMBER(MATCH($G1005,Lists!$B$2:$B$7,0)),OR($H1005="",$N1005&gt;0),OR($I1005="",$I1005="NR",$O1005&gt;0),IF(ISNUMBER($J1005),AND($J1005&gt;=0,$J1005=INT($J1005)),FALSE())),$J1005,0)</f>
        <v>0</v>
      </c>
      <c r="Q1005" s="64" t="n">
        <f aca="false">IF(AND($P1005&gt;0,$O1005&gt;0),$P1005,0)</f>
        <v>0</v>
      </c>
      <c r="R1005" s="64" t="n">
        <f aca="false">IF(AND($Q1005&gt;0,$O1005&gt;=AtRank),$Q1005,0)</f>
        <v>0</v>
      </c>
      <c r="S1005" s="64" t="n">
        <f aca="false">IF(AND($Q1005&gt;0,$O1005&gt;=AboveRank),$Q1005,0)</f>
        <v>0</v>
      </c>
      <c r="T1005" s="64" t="n">
        <f aca="false">IF($K1005="Less",$P1005,0)</f>
        <v>0</v>
      </c>
      <c r="U1005" s="64" t="n">
        <f aca="false">IF($K1005="Expected",$P1005,0)</f>
        <v>0</v>
      </c>
      <c r="V1005" s="64" t="n">
        <f aca="false">IF($K1005="Better",$P1005,0)</f>
        <v>0</v>
      </c>
      <c r="W1005" s="64" t="n">
        <f aca="false">IF($K1005="U – needs rule",$P1005,0)</f>
        <v>0</v>
      </c>
      <c r="X1005" s="64" t="n">
        <f aca="false">IF($K1005="No Start (attainment only)",$P1005,0)</f>
        <v>0</v>
      </c>
    </row>
    <row r="1006" customFormat="false" ht="15" hidden="false" customHeight="false" outlineLevel="0" collapsed="false">
      <c r="A1006" s="60"/>
      <c r="B1006" s="61" t="str">
        <f aca="false">IF($M1006=0,"",INDEX(Classes!$E$6:$E$420,$M1006))</f>
        <v/>
      </c>
      <c r="C1006" s="62" t="str">
        <f aca="false">IF($M1006=0,"",INDEX(Classes!$H$6:$H$420,$M1006))</f>
        <v/>
      </c>
      <c r="D1006" s="61" t="str">
        <f aca="false">IF($M1006=0,"",INDEX(Classes!$B$6:$B$420,$M1006))</f>
        <v/>
      </c>
      <c r="E1006" s="61" t="str">
        <f aca="false">IF($M1006=0,"",INDEX(Classes!$C$6:$C$420,$M1006))</f>
        <v/>
      </c>
      <c r="F1006" s="63"/>
      <c r="G1006" s="63"/>
      <c r="H1006" s="60"/>
      <c r="I1006" s="60"/>
      <c r="J1006" s="63"/>
      <c r="K1006" s="61" t="str">
        <f aca="false">IF($P1006=0,"",IF($F1006="Baseline","— Baseline",IF($O1006=0,"No result",IF($N1006=0,"No Start (attainment only)",IF(OR($N1006=1,$O1006=1),"U – needs rule",INDEX(MxBody,MATCH($I1006,MxCurr,0),MATCH($H1006,MxStart,0)))))))</f>
        <v/>
      </c>
      <c r="L1006" s="62" t="str">
        <f aca="false">IF(COUNTA($A1006,$F1006,$G1006,$H1006,$I1006,$J1006)=0,"",IF($M1006=0,"✖ كود الصف غير موجود",IF(ISNA(MATCH($F1006,Lists!$A$2:$A$5,0)),"✖ الفترة غير صحيحة",IF(ISNA(MATCH($G1006,Lists!$B$2:$B$7,0)),"✖ المجموعة غير صحيحة",IF(NOT(OR($H1006="",$N1006&gt;0)),"✖ Start غير صحيح",IF(NOT(OR($I1006="",$I1006="NR",$O1006&gt;0)),"✖ Current غير صحيح",IF(NOT(IF(ISNUMBER($J1006),AND($J1006&gt;=0,$J1006=INT($J1006)),FALSE())),"✖ العدد يجب أن يكون صحيحًا ≥ 0",IF(AND($F1006="Baseline",$H1006&lt;&gt;""),"⚠ Baseline: Start لا يدخل في التقدم",IF($K1006="No Start (attainment only)","ℹ تحصيل فقط (بدون Start)",IF($K1006="U – needs rule","ℹ حالة U تحتاج قاعدة معتمدة",IF($K1006="No result","ℹ بدون نتيجة (يُستبعد من التحصيل)","OK")))))))))))</f>
        <v/>
      </c>
      <c r="M1006" s="64" t="n">
        <f aca="false">IF($A1006="",0,IFERROR(MATCH($A1006,Classes!$A$6:$A$420,0),0))</f>
        <v>0</v>
      </c>
      <c r="N1006" s="64" t="n">
        <f aca="false">IF($H1006="",0,IFERROR(MATCH($H1006,GradeList,0),0))</f>
        <v>0</v>
      </c>
      <c r="O1006" s="64" t="n">
        <f aca="false">IF(OR($I1006="",$I1006="NR"),0,IFERROR(MATCH($I1006,GradeList,0),0))</f>
        <v>0</v>
      </c>
      <c r="P1006" s="64" t="n">
        <f aca="false">IF(AND($M1006&gt;0,ISNUMBER(MATCH($F1006,Lists!$A$2:$A$5,0)),ISNUMBER(MATCH($G1006,Lists!$B$2:$B$7,0)),OR($H1006="",$N1006&gt;0),OR($I1006="",$I1006="NR",$O1006&gt;0),IF(ISNUMBER($J1006),AND($J1006&gt;=0,$J1006=INT($J1006)),FALSE())),$J1006,0)</f>
        <v>0</v>
      </c>
      <c r="Q1006" s="64" t="n">
        <f aca="false">IF(AND($P1006&gt;0,$O1006&gt;0),$P1006,0)</f>
        <v>0</v>
      </c>
      <c r="R1006" s="64" t="n">
        <f aca="false">IF(AND($Q1006&gt;0,$O1006&gt;=AtRank),$Q1006,0)</f>
        <v>0</v>
      </c>
      <c r="S1006" s="64" t="n">
        <f aca="false">IF(AND($Q1006&gt;0,$O1006&gt;=AboveRank),$Q1006,0)</f>
        <v>0</v>
      </c>
      <c r="T1006" s="64" t="n">
        <f aca="false">IF($K1006="Less",$P1006,0)</f>
        <v>0</v>
      </c>
      <c r="U1006" s="64" t="n">
        <f aca="false">IF($K1006="Expected",$P1006,0)</f>
        <v>0</v>
      </c>
      <c r="V1006" s="64" t="n">
        <f aca="false">IF($K1006="Better",$P1006,0)</f>
        <v>0</v>
      </c>
      <c r="W1006" s="64" t="n">
        <f aca="false">IF($K1006="U – needs rule",$P1006,0)</f>
        <v>0</v>
      </c>
      <c r="X1006" s="64" t="n">
        <f aca="false">IF($K1006="No Start (attainment only)",$P1006,0)</f>
        <v>0</v>
      </c>
    </row>
    <row r="1007" customFormat="false" ht="15" hidden="false" customHeight="false" outlineLevel="0" collapsed="false">
      <c r="A1007" s="60"/>
      <c r="B1007" s="61" t="str">
        <f aca="false">IF($M1007=0,"",INDEX(Classes!$E$6:$E$420,$M1007))</f>
        <v/>
      </c>
      <c r="C1007" s="62" t="str">
        <f aca="false">IF($M1007=0,"",INDEX(Classes!$H$6:$H$420,$M1007))</f>
        <v/>
      </c>
      <c r="D1007" s="61" t="str">
        <f aca="false">IF($M1007=0,"",INDEX(Classes!$B$6:$B$420,$M1007))</f>
        <v/>
      </c>
      <c r="E1007" s="61" t="str">
        <f aca="false">IF($M1007=0,"",INDEX(Classes!$C$6:$C$420,$M1007))</f>
        <v/>
      </c>
      <c r="F1007" s="63"/>
      <c r="G1007" s="63"/>
      <c r="H1007" s="60"/>
      <c r="I1007" s="60"/>
      <c r="J1007" s="63"/>
      <c r="K1007" s="61" t="str">
        <f aca="false">IF($P1007=0,"",IF($F1007="Baseline","— Baseline",IF($O1007=0,"No result",IF($N1007=0,"No Start (attainment only)",IF(OR($N1007=1,$O1007=1),"U – needs rule",INDEX(MxBody,MATCH($I1007,MxCurr,0),MATCH($H1007,MxStart,0)))))))</f>
        <v/>
      </c>
      <c r="L1007" s="62" t="str">
        <f aca="false">IF(COUNTA($A1007,$F1007,$G1007,$H1007,$I1007,$J1007)=0,"",IF($M1007=0,"✖ كود الصف غير موجود",IF(ISNA(MATCH($F1007,Lists!$A$2:$A$5,0)),"✖ الفترة غير صحيحة",IF(ISNA(MATCH($G1007,Lists!$B$2:$B$7,0)),"✖ المجموعة غير صحيحة",IF(NOT(OR($H1007="",$N1007&gt;0)),"✖ Start غير صحيح",IF(NOT(OR($I1007="",$I1007="NR",$O1007&gt;0)),"✖ Current غير صحيح",IF(NOT(IF(ISNUMBER($J1007),AND($J1007&gt;=0,$J1007=INT($J1007)),FALSE())),"✖ العدد يجب أن يكون صحيحًا ≥ 0",IF(AND($F1007="Baseline",$H1007&lt;&gt;""),"⚠ Baseline: Start لا يدخل في التقدم",IF($K1007="No Start (attainment only)","ℹ تحصيل فقط (بدون Start)",IF($K1007="U – needs rule","ℹ حالة U تحتاج قاعدة معتمدة",IF($K1007="No result","ℹ بدون نتيجة (يُستبعد من التحصيل)","OK")))))))))))</f>
        <v/>
      </c>
      <c r="M1007" s="64" t="n">
        <f aca="false">IF($A1007="",0,IFERROR(MATCH($A1007,Classes!$A$6:$A$420,0),0))</f>
        <v>0</v>
      </c>
      <c r="N1007" s="64" t="n">
        <f aca="false">IF($H1007="",0,IFERROR(MATCH($H1007,GradeList,0),0))</f>
        <v>0</v>
      </c>
      <c r="O1007" s="64" t="n">
        <f aca="false">IF(OR($I1007="",$I1007="NR"),0,IFERROR(MATCH($I1007,GradeList,0),0))</f>
        <v>0</v>
      </c>
      <c r="P1007" s="64" t="n">
        <f aca="false">IF(AND($M1007&gt;0,ISNUMBER(MATCH($F1007,Lists!$A$2:$A$5,0)),ISNUMBER(MATCH($G1007,Lists!$B$2:$B$7,0)),OR($H1007="",$N1007&gt;0),OR($I1007="",$I1007="NR",$O1007&gt;0),IF(ISNUMBER($J1007),AND($J1007&gt;=0,$J1007=INT($J1007)),FALSE())),$J1007,0)</f>
        <v>0</v>
      </c>
      <c r="Q1007" s="64" t="n">
        <f aca="false">IF(AND($P1007&gt;0,$O1007&gt;0),$P1007,0)</f>
        <v>0</v>
      </c>
      <c r="R1007" s="64" t="n">
        <f aca="false">IF(AND($Q1007&gt;0,$O1007&gt;=AtRank),$Q1007,0)</f>
        <v>0</v>
      </c>
      <c r="S1007" s="64" t="n">
        <f aca="false">IF(AND($Q1007&gt;0,$O1007&gt;=AboveRank),$Q1007,0)</f>
        <v>0</v>
      </c>
      <c r="T1007" s="64" t="n">
        <f aca="false">IF($K1007="Less",$P1007,0)</f>
        <v>0</v>
      </c>
      <c r="U1007" s="64" t="n">
        <f aca="false">IF($K1007="Expected",$P1007,0)</f>
        <v>0</v>
      </c>
      <c r="V1007" s="64" t="n">
        <f aca="false">IF($K1007="Better",$P1007,0)</f>
        <v>0</v>
      </c>
      <c r="W1007" s="64" t="n">
        <f aca="false">IF($K1007="U – needs rule",$P1007,0)</f>
        <v>0</v>
      </c>
      <c r="X1007" s="64" t="n">
        <f aca="false">IF($K1007="No Start (attainment only)",$P1007,0)</f>
        <v>0</v>
      </c>
    </row>
    <row r="1008" customFormat="false" ht="15" hidden="false" customHeight="false" outlineLevel="0" collapsed="false">
      <c r="A1008" s="60"/>
      <c r="B1008" s="61" t="str">
        <f aca="false">IF($M1008=0,"",INDEX(Classes!$E$6:$E$420,$M1008))</f>
        <v/>
      </c>
      <c r="C1008" s="62" t="str">
        <f aca="false">IF($M1008=0,"",INDEX(Classes!$H$6:$H$420,$M1008))</f>
        <v/>
      </c>
      <c r="D1008" s="61" t="str">
        <f aca="false">IF($M1008=0,"",INDEX(Classes!$B$6:$B$420,$M1008))</f>
        <v/>
      </c>
      <c r="E1008" s="61" t="str">
        <f aca="false">IF($M1008=0,"",INDEX(Classes!$C$6:$C$420,$M1008))</f>
        <v/>
      </c>
      <c r="F1008" s="63"/>
      <c r="G1008" s="63"/>
      <c r="H1008" s="60"/>
      <c r="I1008" s="60"/>
      <c r="J1008" s="63"/>
      <c r="K1008" s="61" t="str">
        <f aca="false">IF($P1008=0,"",IF($F1008="Baseline","— Baseline",IF($O1008=0,"No result",IF($N1008=0,"No Start (attainment only)",IF(OR($N1008=1,$O1008=1),"U – needs rule",INDEX(MxBody,MATCH($I1008,MxCurr,0),MATCH($H1008,MxStart,0)))))))</f>
        <v/>
      </c>
      <c r="L1008" s="62" t="str">
        <f aca="false">IF(COUNTA($A1008,$F1008,$G1008,$H1008,$I1008,$J1008)=0,"",IF($M1008=0,"✖ كود الصف غير موجود",IF(ISNA(MATCH($F1008,Lists!$A$2:$A$5,0)),"✖ الفترة غير صحيحة",IF(ISNA(MATCH($G1008,Lists!$B$2:$B$7,0)),"✖ المجموعة غير صحيحة",IF(NOT(OR($H1008="",$N1008&gt;0)),"✖ Start غير صحيح",IF(NOT(OR($I1008="",$I1008="NR",$O1008&gt;0)),"✖ Current غير صحيح",IF(NOT(IF(ISNUMBER($J1008),AND($J1008&gt;=0,$J1008=INT($J1008)),FALSE())),"✖ العدد يجب أن يكون صحيحًا ≥ 0",IF(AND($F1008="Baseline",$H1008&lt;&gt;""),"⚠ Baseline: Start لا يدخل في التقدم",IF($K1008="No Start (attainment only)","ℹ تحصيل فقط (بدون Start)",IF($K1008="U – needs rule","ℹ حالة U تحتاج قاعدة معتمدة",IF($K1008="No result","ℹ بدون نتيجة (يُستبعد من التحصيل)","OK")))))))))))</f>
        <v/>
      </c>
      <c r="M1008" s="64" t="n">
        <f aca="false">IF($A1008="",0,IFERROR(MATCH($A1008,Classes!$A$6:$A$420,0),0))</f>
        <v>0</v>
      </c>
      <c r="N1008" s="64" t="n">
        <f aca="false">IF($H1008="",0,IFERROR(MATCH($H1008,GradeList,0),0))</f>
        <v>0</v>
      </c>
      <c r="O1008" s="64" t="n">
        <f aca="false">IF(OR($I1008="",$I1008="NR"),0,IFERROR(MATCH($I1008,GradeList,0),0))</f>
        <v>0</v>
      </c>
      <c r="P1008" s="64" t="n">
        <f aca="false">IF(AND($M1008&gt;0,ISNUMBER(MATCH($F1008,Lists!$A$2:$A$5,0)),ISNUMBER(MATCH($G1008,Lists!$B$2:$B$7,0)),OR($H1008="",$N1008&gt;0),OR($I1008="",$I1008="NR",$O1008&gt;0),IF(ISNUMBER($J1008),AND($J1008&gt;=0,$J1008=INT($J1008)),FALSE())),$J1008,0)</f>
        <v>0</v>
      </c>
      <c r="Q1008" s="64" t="n">
        <f aca="false">IF(AND($P1008&gt;0,$O1008&gt;0),$P1008,0)</f>
        <v>0</v>
      </c>
      <c r="R1008" s="64" t="n">
        <f aca="false">IF(AND($Q1008&gt;0,$O1008&gt;=AtRank),$Q1008,0)</f>
        <v>0</v>
      </c>
      <c r="S1008" s="64" t="n">
        <f aca="false">IF(AND($Q1008&gt;0,$O1008&gt;=AboveRank),$Q1008,0)</f>
        <v>0</v>
      </c>
      <c r="T1008" s="64" t="n">
        <f aca="false">IF($K1008="Less",$P1008,0)</f>
        <v>0</v>
      </c>
      <c r="U1008" s="64" t="n">
        <f aca="false">IF($K1008="Expected",$P1008,0)</f>
        <v>0</v>
      </c>
      <c r="V1008" s="64" t="n">
        <f aca="false">IF($K1008="Better",$P1008,0)</f>
        <v>0</v>
      </c>
      <c r="W1008" s="64" t="n">
        <f aca="false">IF($K1008="U – needs rule",$P1008,0)</f>
        <v>0</v>
      </c>
      <c r="X1008" s="64" t="n">
        <f aca="false">IF($K1008="No Start (attainment only)",$P1008,0)</f>
        <v>0</v>
      </c>
    </row>
    <row r="1009" customFormat="false" ht="15" hidden="false" customHeight="false" outlineLevel="0" collapsed="false">
      <c r="A1009" s="60"/>
      <c r="B1009" s="61" t="str">
        <f aca="false">IF($M1009=0,"",INDEX(Classes!$E$6:$E$420,$M1009))</f>
        <v/>
      </c>
      <c r="C1009" s="62" t="str">
        <f aca="false">IF($M1009=0,"",INDEX(Classes!$H$6:$H$420,$M1009))</f>
        <v/>
      </c>
      <c r="D1009" s="61" t="str">
        <f aca="false">IF($M1009=0,"",INDEX(Classes!$B$6:$B$420,$M1009))</f>
        <v/>
      </c>
      <c r="E1009" s="61" t="str">
        <f aca="false">IF($M1009=0,"",INDEX(Classes!$C$6:$C$420,$M1009))</f>
        <v/>
      </c>
      <c r="F1009" s="63"/>
      <c r="G1009" s="63"/>
      <c r="H1009" s="60"/>
      <c r="I1009" s="60"/>
      <c r="J1009" s="63"/>
      <c r="K1009" s="61" t="str">
        <f aca="false">IF($P1009=0,"",IF($F1009="Baseline","— Baseline",IF($O1009=0,"No result",IF($N1009=0,"No Start (attainment only)",IF(OR($N1009=1,$O1009=1),"U – needs rule",INDEX(MxBody,MATCH($I1009,MxCurr,0),MATCH($H1009,MxStart,0)))))))</f>
        <v/>
      </c>
      <c r="L1009" s="62" t="str">
        <f aca="false">IF(COUNTA($A1009,$F1009,$G1009,$H1009,$I1009,$J1009)=0,"",IF($M1009=0,"✖ كود الصف غير موجود",IF(ISNA(MATCH($F1009,Lists!$A$2:$A$5,0)),"✖ الفترة غير صحيحة",IF(ISNA(MATCH($G1009,Lists!$B$2:$B$7,0)),"✖ المجموعة غير صحيحة",IF(NOT(OR($H1009="",$N1009&gt;0)),"✖ Start غير صحيح",IF(NOT(OR($I1009="",$I1009="NR",$O1009&gt;0)),"✖ Current غير صحيح",IF(NOT(IF(ISNUMBER($J1009),AND($J1009&gt;=0,$J1009=INT($J1009)),FALSE())),"✖ العدد يجب أن يكون صحيحًا ≥ 0",IF(AND($F1009="Baseline",$H1009&lt;&gt;""),"⚠ Baseline: Start لا يدخل في التقدم",IF($K1009="No Start (attainment only)","ℹ تحصيل فقط (بدون Start)",IF($K1009="U – needs rule","ℹ حالة U تحتاج قاعدة معتمدة",IF($K1009="No result","ℹ بدون نتيجة (يُستبعد من التحصيل)","OK")))))))))))</f>
        <v/>
      </c>
      <c r="M1009" s="64" t="n">
        <f aca="false">IF($A1009="",0,IFERROR(MATCH($A1009,Classes!$A$6:$A$420,0),0))</f>
        <v>0</v>
      </c>
      <c r="N1009" s="64" t="n">
        <f aca="false">IF($H1009="",0,IFERROR(MATCH($H1009,GradeList,0),0))</f>
        <v>0</v>
      </c>
      <c r="O1009" s="64" t="n">
        <f aca="false">IF(OR($I1009="",$I1009="NR"),0,IFERROR(MATCH($I1009,GradeList,0),0))</f>
        <v>0</v>
      </c>
      <c r="P1009" s="64" t="n">
        <f aca="false">IF(AND($M1009&gt;0,ISNUMBER(MATCH($F1009,Lists!$A$2:$A$5,0)),ISNUMBER(MATCH($G1009,Lists!$B$2:$B$7,0)),OR($H1009="",$N1009&gt;0),OR($I1009="",$I1009="NR",$O1009&gt;0),IF(ISNUMBER($J1009),AND($J1009&gt;=0,$J1009=INT($J1009)),FALSE())),$J1009,0)</f>
        <v>0</v>
      </c>
      <c r="Q1009" s="64" t="n">
        <f aca="false">IF(AND($P1009&gt;0,$O1009&gt;0),$P1009,0)</f>
        <v>0</v>
      </c>
      <c r="R1009" s="64" t="n">
        <f aca="false">IF(AND($Q1009&gt;0,$O1009&gt;=AtRank),$Q1009,0)</f>
        <v>0</v>
      </c>
      <c r="S1009" s="64" t="n">
        <f aca="false">IF(AND($Q1009&gt;0,$O1009&gt;=AboveRank),$Q1009,0)</f>
        <v>0</v>
      </c>
      <c r="T1009" s="64" t="n">
        <f aca="false">IF($K1009="Less",$P1009,0)</f>
        <v>0</v>
      </c>
      <c r="U1009" s="64" t="n">
        <f aca="false">IF($K1009="Expected",$P1009,0)</f>
        <v>0</v>
      </c>
      <c r="V1009" s="64" t="n">
        <f aca="false">IF($K1009="Better",$P1009,0)</f>
        <v>0</v>
      </c>
      <c r="W1009" s="64" t="n">
        <f aca="false">IF($K1009="U – needs rule",$P1009,0)</f>
        <v>0</v>
      </c>
      <c r="X1009" s="64" t="n">
        <f aca="false">IF($K1009="No Start (attainment only)",$P1009,0)</f>
        <v>0</v>
      </c>
    </row>
    <row r="1010" customFormat="false" ht="15" hidden="false" customHeight="false" outlineLevel="0" collapsed="false">
      <c r="A1010" s="60"/>
      <c r="B1010" s="61" t="str">
        <f aca="false">IF($M1010=0,"",INDEX(Classes!$E$6:$E$420,$M1010))</f>
        <v/>
      </c>
      <c r="C1010" s="62" t="str">
        <f aca="false">IF($M1010=0,"",INDEX(Classes!$H$6:$H$420,$M1010))</f>
        <v/>
      </c>
      <c r="D1010" s="61" t="str">
        <f aca="false">IF($M1010=0,"",INDEX(Classes!$B$6:$B$420,$M1010))</f>
        <v/>
      </c>
      <c r="E1010" s="61" t="str">
        <f aca="false">IF($M1010=0,"",INDEX(Classes!$C$6:$C$420,$M1010))</f>
        <v/>
      </c>
      <c r="F1010" s="63"/>
      <c r="G1010" s="63"/>
      <c r="H1010" s="60"/>
      <c r="I1010" s="60"/>
      <c r="J1010" s="63"/>
      <c r="K1010" s="61" t="str">
        <f aca="false">IF($P1010=0,"",IF($F1010="Baseline","— Baseline",IF($O1010=0,"No result",IF($N1010=0,"No Start (attainment only)",IF(OR($N1010=1,$O1010=1),"U – needs rule",INDEX(MxBody,MATCH($I1010,MxCurr,0),MATCH($H1010,MxStart,0)))))))</f>
        <v/>
      </c>
      <c r="L1010" s="62" t="str">
        <f aca="false">IF(COUNTA($A1010,$F1010,$G1010,$H1010,$I1010,$J1010)=0,"",IF($M1010=0,"✖ كود الصف غير موجود",IF(ISNA(MATCH($F1010,Lists!$A$2:$A$5,0)),"✖ الفترة غير صحيحة",IF(ISNA(MATCH($G1010,Lists!$B$2:$B$7,0)),"✖ المجموعة غير صحيحة",IF(NOT(OR($H1010="",$N1010&gt;0)),"✖ Start غير صحيح",IF(NOT(OR($I1010="",$I1010="NR",$O1010&gt;0)),"✖ Current غير صحيح",IF(NOT(IF(ISNUMBER($J1010),AND($J1010&gt;=0,$J1010=INT($J1010)),FALSE())),"✖ العدد يجب أن يكون صحيحًا ≥ 0",IF(AND($F1010="Baseline",$H1010&lt;&gt;""),"⚠ Baseline: Start لا يدخل في التقدم",IF($K1010="No Start (attainment only)","ℹ تحصيل فقط (بدون Start)",IF($K1010="U – needs rule","ℹ حالة U تحتاج قاعدة معتمدة",IF($K1010="No result","ℹ بدون نتيجة (يُستبعد من التحصيل)","OK")))))))))))</f>
        <v/>
      </c>
      <c r="M1010" s="64" t="n">
        <f aca="false">IF($A1010="",0,IFERROR(MATCH($A1010,Classes!$A$6:$A$420,0),0))</f>
        <v>0</v>
      </c>
      <c r="N1010" s="64" t="n">
        <f aca="false">IF($H1010="",0,IFERROR(MATCH($H1010,GradeList,0),0))</f>
        <v>0</v>
      </c>
      <c r="O1010" s="64" t="n">
        <f aca="false">IF(OR($I1010="",$I1010="NR"),0,IFERROR(MATCH($I1010,GradeList,0),0))</f>
        <v>0</v>
      </c>
      <c r="P1010" s="64" t="n">
        <f aca="false">IF(AND($M1010&gt;0,ISNUMBER(MATCH($F1010,Lists!$A$2:$A$5,0)),ISNUMBER(MATCH($G1010,Lists!$B$2:$B$7,0)),OR($H1010="",$N1010&gt;0),OR($I1010="",$I1010="NR",$O1010&gt;0),IF(ISNUMBER($J1010),AND($J1010&gt;=0,$J1010=INT($J1010)),FALSE())),$J1010,0)</f>
        <v>0</v>
      </c>
      <c r="Q1010" s="64" t="n">
        <f aca="false">IF(AND($P1010&gt;0,$O1010&gt;0),$P1010,0)</f>
        <v>0</v>
      </c>
      <c r="R1010" s="64" t="n">
        <f aca="false">IF(AND($Q1010&gt;0,$O1010&gt;=AtRank),$Q1010,0)</f>
        <v>0</v>
      </c>
      <c r="S1010" s="64" t="n">
        <f aca="false">IF(AND($Q1010&gt;0,$O1010&gt;=AboveRank),$Q1010,0)</f>
        <v>0</v>
      </c>
      <c r="T1010" s="64" t="n">
        <f aca="false">IF($K1010="Less",$P1010,0)</f>
        <v>0</v>
      </c>
      <c r="U1010" s="64" t="n">
        <f aca="false">IF($K1010="Expected",$P1010,0)</f>
        <v>0</v>
      </c>
      <c r="V1010" s="64" t="n">
        <f aca="false">IF($K1010="Better",$P1010,0)</f>
        <v>0</v>
      </c>
      <c r="W1010" s="64" t="n">
        <f aca="false">IF($K1010="U – needs rule",$P1010,0)</f>
        <v>0</v>
      </c>
      <c r="X1010" s="64" t="n">
        <f aca="false">IF($K1010="No Start (attainment only)",$P1010,0)</f>
        <v>0</v>
      </c>
    </row>
    <row r="1011" customFormat="false" ht="15" hidden="false" customHeight="false" outlineLevel="0" collapsed="false">
      <c r="A1011" s="60"/>
      <c r="B1011" s="61" t="str">
        <f aca="false">IF($M1011=0,"",INDEX(Classes!$E$6:$E$420,$M1011))</f>
        <v/>
      </c>
      <c r="C1011" s="62" t="str">
        <f aca="false">IF($M1011=0,"",INDEX(Classes!$H$6:$H$420,$M1011))</f>
        <v/>
      </c>
      <c r="D1011" s="61" t="str">
        <f aca="false">IF($M1011=0,"",INDEX(Classes!$B$6:$B$420,$M1011))</f>
        <v/>
      </c>
      <c r="E1011" s="61" t="str">
        <f aca="false">IF($M1011=0,"",INDEX(Classes!$C$6:$C$420,$M1011))</f>
        <v/>
      </c>
      <c r="F1011" s="63"/>
      <c r="G1011" s="63"/>
      <c r="H1011" s="60"/>
      <c r="I1011" s="60"/>
      <c r="J1011" s="63"/>
      <c r="K1011" s="61" t="str">
        <f aca="false">IF($P1011=0,"",IF($F1011="Baseline","— Baseline",IF($O1011=0,"No result",IF($N1011=0,"No Start (attainment only)",IF(OR($N1011=1,$O1011=1),"U – needs rule",INDEX(MxBody,MATCH($I1011,MxCurr,0),MATCH($H1011,MxStart,0)))))))</f>
        <v/>
      </c>
      <c r="L1011" s="62" t="str">
        <f aca="false">IF(COUNTA($A1011,$F1011,$G1011,$H1011,$I1011,$J1011)=0,"",IF($M1011=0,"✖ كود الصف غير موجود",IF(ISNA(MATCH($F1011,Lists!$A$2:$A$5,0)),"✖ الفترة غير صحيحة",IF(ISNA(MATCH($G1011,Lists!$B$2:$B$7,0)),"✖ المجموعة غير صحيحة",IF(NOT(OR($H1011="",$N1011&gt;0)),"✖ Start غير صحيح",IF(NOT(OR($I1011="",$I1011="NR",$O1011&gt;0)),"✖ Current غير صحيح",IF(NOT(IF(ISNUMBER($J1011),AND($J1011&gt;=0,$J1011=INT($J1011)),FALSE())),"✖ العدد يجب أن يكون صحيحًا ≥ 0",IF(AND($F1011="Baseline",$H1011&lt;&gt;""),"⚠ Baseline: Start لا يدخل في التقدم",IF($K1011="No Start (attainment only)","ℹ تحصيل فقط (بدون Start)",IF($K1011="U – needs rule","ℹ حالة U تحتاج قاعدة معتمدة",IF($K1011="No result","ℹ بدون نتيجة (يُستبعد من التحصيل)","OK")))))))))))</f>
        <v/>
      </c>
      <c r="M1011" s="64" t="n">
        <f aca="false">IF($A1011="",0,IFERROR(MATCH($A1011,Classes!$A$6:$A$420,0),0))</f>
        <v>0</v>
      </c>
      <c r="N1011" s="64" t="n">
        <f aca="false">IF($H1011="",0,IFERROR(MATCH($H1011,GradeList,0),0))</f>
        <v>0</v>
      </c>
      <c r="O1011" s="64" t="n">
        <f aca="false">IF(OR($I1011="",$I1011="NR"),0,IFERROR(MATCH($I1011,GradeList,0),0))</f>
        <v>0</v>
      </c>
      <c r="P1011" s="64" t="n">
        <f aca="false">IF(AND($M1011&gt;0,ISNUMBER(MATCH($F1011,Lists!$A$2:$A$5,0)),ISNUMBER(MATCH($G1011,Lists!$B$2:$B$7,0)),OR($H1011="",$N1011&gt;0),OR($I1011="",$I1011="NR",$O1011&gt;0),IF(ISNUMBER($J1011),AND($J1011&gt;=0,$J1011=INT($J1011)),FALSE())),$J1011,0)</f>
        <v>0</v>
      </c>
      <c r="Q1011" s="64" t="n">
        <f aca="false">IF(AND($P1011&gt;0,$O1011&gt;0),$P1011,0)</f>
        <v>0</v>
      </c>
      <c r="R1011" s="64" t="n">
        <f aca="false">IF(AND($Q1011&gt;0,$O1011&gt;=AtRank),$Q1011,0)</f>
        <v>0</v>
      </c>
      <c r="S1011" s="64" t="n">
        <f aca="false">IF(AND($Q1011&gt;0,$O1011&gt;=AboveRank),$Q1011,0)</f>
        <v>0</v>
      </c>
      <c r="T1011" s="64" t="n">
        <f aca="false">IF($K1011="Less",$P1011,0)</f>
        <v>0</v>
      </c>
      <c r="U1011" s="64" t="n">
        <f aca="false">IF($K1011="Expected",$P1011,0)</f>
        <v>0</v>
      </c>
      <c r="V1011" s="64" t="n">
        <f aca="false">IF($K1011="Better",$P1011,0)</f>
        <v>0</v>
      </c>
      <c r="W1011" s="64" t="n">
        <f aca="false">IF($K1011="U – needs rule",$P1011,0)</f>
        <v>0</v>
      </c>
      <c r="X1011" s="64" t="n">
        <f aca="false">IF($K1011="No Start (attainment only)",$P1011,0)</f>
        <v>0</v>
      </c>
    </row>
    <row r="1012" customFormat="false" ht="15" hidden="false" customHeight="false" outlineLevel="0" collapsed="false">
      <c r="A1012" s="60"/>
      <c r="B1012" s="61" t="str">
        <f aca="false">IF($M1012=0,"",INDEX(Classes!$E$6:$E$420,$M1012))</f>
        <v/>
      </c>
      <c r="C1012" s="62" t="str">
        <f aca="false">IF($M1012=0,"",INDEX(Classes!$H$6:$H$420,$M1012))</f>
        <v/>
      </c>
      <c r="D1012" s="61" t="str">
        <f aca="false">IF($M1012=0,"",INDEX(Classes!$B$6:$B$420,$M1012))</f>
        <v/>
      </c>
      <c r="E1012" s="61" t="str">
        <f aca="false">IF($M1012=0,"",INDEX(Classes!$C$6:$C$420,$M1012))</f>
        <v/>
      </c>
      <c r="F1012" s="63"/>
      <c r="G1012" s="63"/>
      <c r="H1012" s="60"/>
      <c r="I1012" s="60"/>
      <c r="J1012" s="63"/>
      <c r="K1012" s="61" t="str">
        <f aca="false">IF($P1012=0,"",IF($F1012="Baseline","— Baseline",IF($O1012=0,"No result",IF($N1012=0,"No Start (attainment only)",IF(OR($N1012=1,$O1012=1),"U – needs rule",INDEX(MxBody,MATCH($I1012,MxCurr,0),MATCH($H1012,MxStart,0)))))))</f>
        <v/>
      </c>
      <c r="L1012" s="62" t="str">
        <f aca="false">IF(COUNTA($A1012,$F1012,$G1012,$H1012,$I1012,$J1012)=0,"",IF($M1012=0,"✖ كود الصف غير موجود",IF(ISNA(MATCH($F1012,Lists!$A$2:$A$5,0)),"✖ الفترة غير صحيحة",IF(ISNA(MATCH($G1012,Lists!$B$2:$B$7,0)),"✖ المجموعة غير صحيحة",IF(NOT(OR($H1012="",$N1012&gt;0)),"✖ Start غير صحيح",IF(NOT(OR($I1012="",$I1012="NR",$O1012&gt;0)),"✖ Current غير صحيح",IF(NOT(IF(ISNUMBER($J1012),AND($J1012&gt;=0,$J1012=INT($J1012)),FALSE())),"✖ العدد يجب أن يكون صحيحًا ≥ 0",IF(AND($F1012="Baseline",$H1012&lt;&gt;""),"⚠ Baseline: Start لا يدخل في التقدم",IF($K1012="No Start (attainment only)","ℹ تحصيل فقط (بدون Start)",IF($K1012="U – needs rule","ℹ حالة U تحتاج قاعدة معتمدة",IF($K1012="No result","ℹ بدون نتيجة (يُستبعد من التحصيل)","OK")))))))))))</f>
        <v/>
      </c>
      <c r="M1012" s="64" t="n">
        <f aca="false">IF($A1012="",0,IFERROR(MATCH($A1012,Classes!$A$6:$A$420,0),0))</f>
        <v>0</v>
      </c>
      <c r="N1012" s="64" t="n">
        <f aca="false">IF($H1012="",0,IFERROR(MATCH($H1012,GradeList,0),0))</f>
        <v>0</v>
      </c>
      <c r="O1012" s="64" t="n">
        <f aca="false">IF(OR($I1012="",$I1012="NR"),0,IFERROR(MATCH($I1012,GradeList,0),0))</f>
        <v>0</v>
      </c>
      <c r="P1012" s="64" t="n">
        <f aca="false">IF(AND($M1012&gt;0,ISNUMBER(MATCH($F1012,Lists!$A$2:$A$5,0)),ISNUMBER(MATCH($G1012,Lists!$B$2:$B$7,0)),OR($H1012="",$N1012&gt;0),OR($I1012="",$I1012="NR",$O1012&gt;0),IF(ISNUMBER($J1012),AND($J1012&gt;=0,$J1012=INT($J1012)),FALSE())),$J1012,0)</f>
        <v>0</v>
      </c>
      <c r="Q1012" s="64" t="n">
        <f aca="false">IF(AND($P1012&gt;0,$O1012&gt;0),$P1012,0)</f>
        <v>0</v>
      </c>
      <c r="R1012" s="64" t="n">
        <f aca="false">IF(AND($Q1012&gt;0,$O1012&gt;=AtRank),$Q1012,0)</f>
        <v>0</v>
      </c>
      <c r="S1012" s="64" t="n">
        <f aca="false">IF(AND($Q1012&gt;0,$O1012&gt;=AboveRank),$Q1012,0)</f>
        <v>0</v>
      </c>
      <c r="T1012" s="64" t="n">
        <f aca="false">IF($K1012="Less",$P1012,0)</f>
        <v>0</v>
      </c>
      <c r="U1012" s="64" t="n">
        <f aca="false">IF($K1012="Expected",$P1012,0)</f>
        <v>0</v>
      </c>
      <c r="V1012" s="64" t="n">
        <f aca="false">IF($K1012="Better",$P1012,0)</f>
        <v>0</v>
      </c>
      <c r="W1012" s="64" t="n">
        <f aca="false">IF($K1012="U – needs rule",$P1012,0)</f>
        <v>0</v>
      </c>
      <c r="X1012" s="64" t="n">
        <f aca="false">IF($K1012="No Start (attainment only)",$P1012,0)</f>
        <v>0</v>
      </c>
    </row>
    <row r="1013" customFormat="false" ht="15" hidden="false" customHeight="false" outlineLevel="0" collapsed="false">
      <c r="A1013" s="60"/>
      <c r="B1013" s="61" t="str">
        <f aca="false">IF($M1013=0,"",INDEX(Classes!$E$6:$E$420,$M1013))</f>
        <v/>
      </c>
      <c r="C1013" s="62" t="str">
        <f aca="false">IF($M1013=0,"",INDEX(Classes!$H$6:$H$420,$M1013))</f>
        <v/>
      </c>
      <c r="D1013" s="61" t="str">
        <f aca="false">IF($M1013=0,"",INDEX(Classes!$B$6:$B$420,$M1013))</f>
        <v/>
      </c>
      <c r="E1013" s="61" t="str">
        <f aca="false">IF($M1013=0,"",INDEX(Classes!$C$6:$C$420,$M1013))</f>
        <v/>
      </c>
      <c r="F1013" s="63"/>
      <c r="G1013" s="63"/>
      <c r="H1013" s="60"/>
      <c r="I1013" s="60"/>
      <c r="J1013" s="63"/>
      <c r="K1013" s="61" t="str">
        <f aca="false">IF($P1013=0,"",IF($F1013="Baseline","— Baseline",IF($O1013=0,"No result",IF($N1013=0,"No Start (attainment only)",IF(OR($N1013=1,$O1013=1),"U – needs rule",INDEX(MxBody,MATCH($I1013,MxCurr,0),MATCH($H1013,MxStart,0)))))))</f>
        <v/>
      </c>
      <c r="L1013" s="62" t="str">
        <f aca="false">IF(COUNTA($A1013,$F1013,$G1013,$H1013,$I1013,$J1013)=0,"",IF($M1013=0,"✖ كود الصف غير موجود",IF(ISNA(MATCH($F1013,Lists!$A$2:$A$5,0)),"✖ الفترة غير صحيحة",IF(ISNA(MATCH($G1013,Lists!$B$2:$B$7,0)),"✖ المجموعة غير صحيحة",IF(NOT(OR($H1013="",$N1013&gt;0)),"✖ Start غير صحيح",IF(NOT(OR($I1013="",$I1013="NR",$O1013&gt;0)),"✖ Current غير صحيح",IF(NOT(IF(ISNUMBER($J1013),AND($J1013&gt;=0,$J1013=INT($J1013)),FALSE())),"✖ العدد يجب أن يكون صحيحًا ≥ 0",IF(AND($F1013="Baseline",$H1013&lt;&gt;""),"⚠ Baseline: Start لا يدخل في التقدم",IF($K1013="No Start (attainment only)","ℹ تحصيل فقط (بدون Start)",IF($K1013="U – needs rule","ℹ حالة U تحتاج قاعدة معتمدة",IF($K1013="No result","ℹ بدون نتيجة (يُستبعد من التحصيل)","OK")))))))))))</f>
        <v/>
      </c>
      <c r="M1013" s="64" t="n">
        <f aca="false">IF($A1013="",0,IFERROR(MATCH($A1013,Classes!$A$6:$A$420,0),0))</f>
        <v>0</v>
      </c>
      <c r="N1013" s="64" t="n">
        <f aca="false">IF($H1013="",0,IFERROR(MATCH($H1013,GradeList,0),0))</f>
        <v>0</v>
      </c>
      <c r="O1013" s="64" t="n">
        <f aca="false">IF(OR($I1013="",$I1013="NR"),0,IFERROR(MATCH($I1013,GradeList,0),0))</f>
        <v>0</v>
      </c>
      <c r="P1013" s="64" t="n">
        <f aca="false">IF(AND($M1013&gt;0,ISNUMBER(MATCH($F1013,Lists!$A$2:$A$5,0)),ISNUMBER(MATCH($G1013,Lists!$B$2:$B$7,0)),OR($H1013="",$N1013&gt;0),OR($I1013="",$I1013="NR",$O1013&gt;0),IF(ISNUMBER($J1013),AND($J1013&gt;=0,$J1013=INT($J1013)),FALSE())),$J1013,0)</f>
        <v>0</v>
      </c>
      <c r="Q1013" s="64" t="n">
        <f aca="false">IF(AND($P1013&gt;0,$O1013&gt;0),$P1013,0)</f>
        <v>0</v>
      </c>
      <c r="R1013" s="64" t="n">
        <f aca="false">IF(AND($Q1013&gt;0,$O1013&gt;=AtRank),$Q1013,0)</f>
        <v>0</v>
      </c>
      <c r="S1013" s="64" t="n">
        <f aca="false">IF(AND($Q1013&gt;0,$O1013&gt;=AboveRank),$Q1013,0)</f>
        <v>0</v>
      </c>
      <c r="T1013" s="64" t="n">
        <f aca="false">IF($K1013="Less",$P1013,0)</f>
        <v>0</v>
      </c>
      <c r="U1013" s="64" t="n">
        <f aca="false">IF($K1013="Expected",$P1013,0)</f>
        <v>0</v>
      </c>
      <c r="V1013" s="64" t="n">
        <f aca="false">IF($K1013="Better",$P1013,0)</f>
        <v>0</v>
      </c>
      <c r="W1013" s="64" t="n">
        <f aca="false">IF($K1013="U – needs rule",$P1013,0)</f>
        <v>0</v>
      </c>
      <c r="X1013" s="64" t="n">
        <f aca="false">IF($K1013="No Start (attainment only)",$P1013,0)</f>
        <v>0</v>
      </c>
    </row>
    <row r="1014" customFormat="false" ht="15" hidden="false" customHeight="false" outlineLevel="0" collapsed="false">
      <c r="A1014" s="60"/>
      <c r="B1014" s="61" t="str">
        <f aca="false">IF($M1014=0,"",INDEX(Classes!$E$6:$E$420,$M1014))</f>
        <v/>
      </c>
      <c r="C1014" s="62" t="str">
        <f aca="false">IF($M1014=0,"",INDEX(Classes!$H$6:$H$420,$M1014))</f>
        <v/>
      </c>
      <c r="D1014" s="61" t="str">
        <f aca="false">IF($M1014=0,"",INDEX(Classes!$B$6:$B$420,$M1014))</f>
        <v/>
      </c>
      <c r="E1014" s="61" t="str">
        <f aca="false">IF($M1014=0,"",INDEX(Classes!$C$6:$C$420,$M1014))</f>
        <v/>
      </c>
      <c r="F1014" s="63"/>
      <c r="G1014" s="63"/>
      <c r="H1014" s="60"/>
      <c r="I1014" s="60"/>
      <c r="J1014" s="63"/>
      <c r="K1014" s="61" t="str">
        <f aca="false">IF($P1014=0,"",IF($F1014="Baseline","— Baseline",IF($O1014=0,"No result",IF($N1014=0,"No Start (attainment only)",IF(OR($N1014=1,$O1014=1),"U – needs rule",INDEX(MxBody,MATCH($I1014,MxCurr,0),MATCH($H1014,MxStart,0)))))))</f>
        <v/>
      </c>
      <c r="L1014" s="62" t="str">
        <f aca="false">IF(COUNTA($A1014,$F1014,$G1014,$H1014,$I1014,$J1014)=0,"",IF($M1014=0,"✖ كود الصف غير موجود",IF(ISNA(MATCH($F1014,Lists!$A$2:$A$5,0)),"✖ الفترة غير صحيحة",IF(ISNA(MATCH($G1014,Lists!$B$2:$B$7,0)),"✖ المجموعة غير صحيحة",IF(NOT(OR($H1014="",$N1014&gt;0)),"✖ Start غير صحيح",IF(NOT(OR($I1014="",$I1014="NR",$O1014&gt;0)),"✖ Current غير صحيح",IF(NOT(IF(ISNUMBER($J1014),AND($J1014&gt;=0,$J1014=INT($J1014)),FALSE())),"✖ العدد يجب أن يكون صحيحًا ≥ 0",IF(AND($F1014="Baseline",$H1014&lt;&gt;""),"⚠ Baseline: Start لا يدخل في التقدم",IF($K1014="No Start (attainment only)","ℹ تحصيل فقط (بدون Start)",IF($K1014="U – needs rule","ℹ حالة U تحتاج قاعدة معتمدة",IF($K1014="No result","ℹ بدون نتيجة (يُستبعد من التحصيل)","OK")))))))))))</f>
        <v/>
      </c>
      <c r="M1014" s="64" t="n">
        <f aca="false">IF($A1014="",0,IFERROR(MATCH($A1014,Classes!$A$6:$A$420,0),0))</f>
        <v>0</v>
      </c>
      <c r="N1014" s="64" t="n">
        <f aca="false">IF($H1014="",0,IFERROR(MATCH($H1014,GradeList,0),0))</f>
        <v>0</v>
      </c>
      <c r="O1014" s="64" t="n">
        <f aca="false">IF(OR($I1014="",$I1014="NR"),0,IFERROR(MATCH($I1014,GradeList,0),0))</f>
        <v>0</v>
      </c>
      <c r="P1014" s="64" t="n">
        <f aca="false">IF(AND($M1014&gt;0,ISNUMBER(MATCH($F1014,Lists!$A$2:$A$5,0)),ISNUMBER(MATCH($G1014,Lists!$B$2:$B$7,0)),OR($H1014="",$N1014&gt;0),OR($I1014="",$I1014="NR",$O1014&gt;0),IF(ISNUMBER($J1014),AND($J1014&gt;=0,$J1014=INT($J1014)),FALSE())),$J1014,0)</f>
        <v>0</v>
      </c>
      <c r="Q1014" s="64" t="n">
        <f aca="false">IF(AND($P1014&gt;0,$O1014&gt;0),$P1014,0)</f>
        <v>0</v>
      </c>
      <c r="R1014" s="64" t="n">
        <f aca="false">IF(AND($Q1014&gt;0,$O1014&gt;=AtRank),$Q1014,0)</f>
        <v>0</v>
      </c>
      <c r="S1014" s="64" t="n">
        <f aca="false">IF(AND($Q1014&gt;0,$O1014&gt;=AboveRank),$Q1014,0)</f>
        <v>0</v>
      </c>
      <c r="T1014" s="64" t="n">
        <f aca="false">IF($K1014="Less",$P1014,0)</f>
        <v>0</v>
      </c>
      <c r="U1014" s="64" t="n">
        <f aca="false">IF($K1014="Expected",$P1014,0)</f>
        <v>0</v>
      </c>
      <c r="V1014" s="64" t="n">
        <f aca="false">IF($K1014="Better",$P1014,0)</f>
        <v>0</v>
      </c>
      <c r="W1014" s="64" t="n">
        <f aca="false">IF($K1014="U – needs rule",$P1014,0)</f>
        <v>0</v>
      </c>
      <c r="X1014" s="64" t="n">
        <f aca="false">IF($K1014="No Start (attainment only)",$P1014,0)</f>
        <v>0</v>
      </c>
    </row>
    <row r="1015" customFormat="false" ht="15" hidden="false" customHeight="false" outlineLevel="0" collapsed="false">
      <c r="A1015" s="60"/>
      <c r="B1015" s="61" t="str">
        <f aca="false">IF($M1015=0,"",INDEX(Classes!$E$6:$E$420,$M1015))</f>
        <v/>
      </c>
      <c r="C1015" s="62" t="str">
        <f aca="false">IF($M1015=0,"",INDEX(Classes!$H$6:$H$420,$M1015))</f>
        <v/>
      </c>
      <c r="D1015" s="61" t="str">
        <f aca="false">IF($M1015=0,"",INDEX(Classes!$B$6:$B$420,$M1015))</f>
        <v/>
      </c>
      <c r="E1015" s="61" t="str">
        <f aca="false">IF($M1015=0,"",INDEX(Classes!$C$6:$C$420,$M1015))</f>
        <v/>
      </c>
      <c r="F1015" s="63"/>
      <c r="G1015" s="63"/>
      <c r="H1015" s="60"/>
      <c r="I1015" s="60"/>
      <c r="J1015" s="63"/>
      <c r="K1015" s="61" t="str">
        <f aca="false">IF($P1015=0,"",IF($F1015="Baseline","— Baseline",IF($O1015=0,"No result",IF($N1015=0,"No Start (attainment only)",IF(OR($N1015=1,$O1015=1),"U – needs rule",INDEX(MxBody,MATCH($I1015,MxCurr,0),MATCH($H1015,MxStart,0)))))))</f>
        <v/>
      </c>
      <c r="L1015" s="62" t="str">
        <f aca="false">IF(COUNTA($A1015,$F1015,$G1015,$H1015,$I1015,$J1015)=0,"",IF($M1015=0,"✖ كود الصف غير موجود",IF(ISNA(MATCH($F1015,Lists!$A$2:$A$5,0)),"✖ الفترة غير صحيحة",IF(ISNA(MATCH($G1015,Lists!$B$2:$B$7,0)),"✖ المجموعة غير صحيحة",IF(NOT(OR($H1015="",$N1015&gt;0)),"✖ Start غير صحيح",IF(NOT(OR($I1015="",$I1015="NR",$O1015&gt;0)),"✖ Current غير صحيح",IF(NOT(IF(ISNUMBER($J1015),AND($J1015&gt;=0,$J1015=INT($J1015)),FALSE())),"✖ العدد يجب أن يكون صحيحًا ≥ 0",IF(AND($F1015="Baseline",$H1015&lt;&gt;""),"⚠ Baseline: Start لا يدخل في التقدم",IF($K1015="No Start (attainment only)","ℹ تحصيل فقط (بدون Start)",IF($K1015="U – needs rule","ℹ حالة U تحتاج قاعدة معتمدة",IF($K1015="No result","ℹ بدون نتيجة (يُستبعد من التحصيل)","OK")))))))))))</f>
        <v/>
      </c>
      <c r="M1015" s="64" t="n">
        <f aca="false">IF($A1015="",0,IFERROR(MATCH($A1015,Classes!$A$6:$A$420,0),0))</f>
        <v>0</v>
      </c>
      <c r="N1015" s="64" t="n">
        <f aca="false">IF($H1015="",0,IFERROR(MATCH($H1015,GradeList,0),0))</f>
        <v>0</v>
      </c>
      <c r="O1015" s="64" t="n">
        <f aca="false">IF(OR($I1015="",$I1015="NR"),0,IFERROR(MATCH($I1015,GradeList,0),0))</f>
        <v>0</v>
      </c>
      <c r="P1015" s="64" t="n">
        <f aca="false">IF(AND($M1015&gt;0,ISNUMBER(MATCH($F1015,Lists!$A$2:$A$5,0)),ISNUMBER(MATCH($G1015,Lists!$B$2:$B$7,0)),OR($H1015="",$N1015&gt;0),OR($I1015="",$I1015="NR",$O1015&gt;0),IF(ISNUMBER($J1015),AND($J1015&gt;=0,$J1015=INT($J1015)),FALSE())),$J1015,0)</f>
        <v>0</v>
      </c>
      <c r="Q1015" s="64" t="n">
        <f aca="false">IF(AND($P1015&gt;0,$O1015&gt;0),$P1015,0)</f>
        <v>0</v>
      </c>
      <c r="R1015" s="64" t="n">
        <f aca="false">IF(AND($Q1015&gt;0,$O1015&gt;=AtRank),$Q1015,0)</f>
        <v>0</v>
      </c>
      <c r="S1015" s="64" t="n">
        <f aca="false">IF(AND($Q1015&gt;0,$O1015&gt;=AboveRank),$Q1015,0)</f>
        <v>0</v>
      </c>
      <c r="T1015" s="64" t="n">
        <f aca="false">IF($K1015="Less",$P1015,0)</f>
        <v>0</v>
      </c>
      <c r="U1015" s="64" t="n">
        <f aca="false">IF($K1015="Expected",$P1015,0)</f>
        <v>0</v>
      </c>
      <c r="V1015" s="64" t="n">
        <f aca="false">IF($K1015="Better",$P1015,0)</f>
        <v>0</v>
      </c>
      <c r="W1015" s="64" t="n">
        <f aca="false">IF($K1015="U – needs rule",$P1015,0)</f>
        <v>0</v>
      </c>
      <c r="X1015" s="64" t="n">
        <f aca="false">IF($K1015="No Start (attainment only)",$P1015,0)</f>
        <v>0</v>
      </c>
    </row>
    <row r="1016" customFormat="false" ht="15" hidden="false" customHeight="false" outlineLevel="0" collapsed="false">
      <c r="A1016" s="60"/>
      <c r="B1016" s="61" t="str">
        <f aca="false">IF($M1016=0,"",INDEX(Classes!$E$6:$E$420,$M1016))</f>
        <v/>
      </c>
      <c r="C1016" s="62" t="str">
        <f aca="false">IF($M1016=0,"",INDEX(Classes!$H$6:$H$420,$M1016))</f>
        <v/>
      </c>
      <c r="D1016" s="61" t="str">
        <f aca="false">IF($M1016=0,"",INDEX(Classes!$B$6:$B$420,$M1016))</f>
        <v/>
      </c>
      <c r="E1016" s="61" t="str">
        <f aca="false">IF($M1016=0,"",INDEX(Classes!$C$6:$C$420,$M1016))</f>
        <v/>
      </c>
      <c r="F1016" s="63"/>
      <c r="G1016" s="63"/>
      <c r="H1016" s="60"/>
      <c r="I1016" s="60"/>
      <c r="J1016" s="63"/>
      <c r="K1016" s="61" t="str">
        <f aca="false">IF($P1016=0,"",IF($F1016="Baseline","— Baseline",IF($O1016=0,"No result",IF($N1016=0,"No Start (attainment only)",IF(OR($N1016=1,$O1016=1),"U – needs rule",INDEX(MxBody,MATCH($I1016,MxCurr,0),MATCH($H1016,MxStart,0)))))))</f>
        <v/>
      </c>
      <c r="L1016" s="62" t="str">
        <f aca="false">IF(COUNTA($A1016,$F1016,$G1016,$H1016,$I1016,$J1016)=0,"",IF($M1016=0,"✖ كود الصف غير موجود",IF(ISNA(MATCH($F1016,Lists!$A$2:$A$5,0)),"✖ الفترة غير صحيحة",IF(ISNA(MATCH($G1016,Lists!$B$2:$B$7,0)),"✖ المجموعة غير صحيحة",IF(NOT(OR($H1016="",$N1016&gt;0)),"✖ Start غير صحيح",IF(NOT(OR($I1016="",$I1016="NR",$O1016&gt;0)),"✖ Current غير صحيح",IF(NOT(IF(ISNUMBER($J1016),AND($J1016&gt;=0,$J1016=INT($J1016)),FALSE())),"✖ العدد يجب أن يكون صحيحًا ≥ 0",IF(AND($F1016="Baseline",$H1016&lt;&gt;""),"⚠ Baseline: Start لا يدخل في التقدم",IF($K1016="No Start (attainment only)","ℹ تحصيل فقط (بدون Start)",IF($K1016="U – needs rule","ℹ حالة U تحتاج قاعدة معتمدة",IF($K1016="No result","ℹ بدون نتيجة (يُستبعد من التحصيل)","OK")))))))))))</f>
        <v/>
      </c>
      <c r="M1016" s="64" t="n">
        <f aca="false">IF($A1016="",0,IFERROR(MATCH($A1016,Classes!$A$6:$A$420,0),0))</f>
        <v>0</v>
      </c>
      <c r="N1016" s="64" t="n">
        <f aca="false">IF($H1016="",0,IFERROR(MATCH($H1016,GradeList,0),0))</f>
        <v>0</v>
      </c>
      <c r="O1016" s="64" t="n">
        <f aca="false">IF(OR($I1016="",$I1016="NR"),0,IFERROR(MATCH($I1016,GradeList,0),0))</f>
        <v>0</v>
      </c>
      <c r="P1016" s="64" t="n">
        <f aca="false">IF(AND($M1016&gt;0,ISNUMBER(MATCH($F1016,Lists!$A$2:$A$5,0)),ISNUMBER(MATCH($G1016,Lists!$B$2:$B$7,0)),OR($H1016="",$N1016&gt;0),OR($I1016="",$I1016="NR",$O1016&gt;0),IF(ISNUMBER($J1016),AND($J1016&gt;=0,$J1016=INT($J1016)),FALSE())),$J1016,0)</f>
        <v>0</v>
      </c>
      <c r="Q1016" s="64" t="n">
        <f aca="false">IF(AND($P1016&gt;0,$O1016&gt;0),$P1016,0)</f>
        <v>0</v>
      </c>
      <c r="R1016" s="64" t="n">
        <f aca="false">IF(AND($Q1016&gt;0,$O1016&gt;=AtRank),$Q1016,0)</f>
        <v>0</v>
      </c>
      <c r="S1016" s="64" t="n">
        <f aca="false">IF(AND($Q1016&gt;0,$O1016&gt;=AboveRank),$Q1016,0)</f>
        <v>0</v>
      </c>
      <c r="T1016" s="64" t="n">
        <f aca="false">IF($K1016="Less",$P1016,0)</f>
        <v>0</v>
      </c>
      <c r="U1016" s="64" t="n">
        <f aca="false">IF($K1016="Expected",$P1016,0)</f>
        <v>0</v>
      </c>
      <c r="V1016" s="64" t="n">
        <f aca="false">IF($K1016="Better",$P1016,0)</f>
        <v>0</v>
      </c>
      <c r="W1016" s="64" t="n">
        <f aca="false">IF($K1016="U – needs rule",$P1016,0)</f>
        <v>0</v>
      </c>
      <c r="X1016" s="64" t="n">
        <f aca="false">IF($K1016="No Start (attainment only)",$P1016,0)</f>
        <v>0</v>
      </c>
    </row>
    <row r="1017" customFormat="false" ht="15" hidden="false" customHeight="false" outlineLevel="0" collapsed="false">
      <c r="A1017" s="60"/>
      <c r="B1017" s="61" t="str">
        <f aca="false">IF($M1017=0,"",INDEX(Classes!$E$6:$E$420,$M1017))</f>
        <v/>
      </c>
      <c r="C1017" s="62" t="str">
        <f aca="false">IF($M1017=0,"",INDEX(Classes!$H$6:$H$420,$M1017))</f>
        <v/>
      </c>
      <c r="D1017" s="61" t="str">
        <f aca="false">IF($M1017=0,"",INDEX(Classes!$B$6:$B$420,$M1017))</f>
        <v/>
      </c>
      <c r="E1017" s="61" t="str">
        <f aca="false">IF($M1017=0,"",INDEX(Classes!$C$6:$C$420,$M1017))</f>
        <v/>
      </c>
      <c r="F1017" s="63"/>
      <c r="G1017" s="63"/>
      <c r="H1017" s="60"/>
      <c r="I1017" s="60"/>
      <c r="J1017" s="63"/>
      <c r="K1017" s="61" t="str">
        <f aca="false">IF($P1017=0,"",IF($F1017="Baseline","— Baseline",IF($O1017=0,"No result",IF($N1017=0,"No Start (attainment only)",IF(OR($N1017=1,$O1017=1),"U – needs rule",INDEX(MxBody,MATCH($I1017,MxCurr,0),MATCH($H1017,MxStart,0)))))))</f>
        <v/>
      </c>
      <c r="L1017" s="62" t="str">
        <f aca="false">IF(COUNTA($A1017,$F1017,$G1017,$H1017,$I1017,$J1017)=0,"",IF($M1017=0,"✖ كود الصف غير موجود",IF(ISNA(MATCH($F1017,Lists!$A$2:$A$5,0)),"✖ الفترة غير صحيحة",IF(ISNA(MATCH($G1017,Lists!$B$2:$B$7,0)),"✖ المجموعة غير صحيحة",IF(NOT(OR($H1017="",$N1017&gt;0)),"✖ Start غير صحيح",IF(NOT(OR($I1017="",$I1017="NR",$O1017&gt;0)),"✖ Current غير صحيح",IF(NOT(IF(ISNUMBER($J1017),AND($J1017&gt;=0,$J1017=INT($J1017)),FALSE())),"✖ العدد يجب أن يكون صحيحًا ≥ 0",IF(AND($F1017="Baseline",$H1017&lt;&gt;""),"⚠ Baseline: Start لا يدخل في التقدم",IF($K1017="No Start (attainment only)","ℹ تحصيل فقط (بدون Start)",IF($K1017="U – needs rule","ℹ حالة U تحتاج قاعدة معتمدة",IF($K1017="No result","ℹ بدون نتيجة (يُستبعد من التحصيل)","OK")))))))))))</f>
        <v/>
      </c>
      <c r="M1017" s="64" t="n">
        <f aca="false">IF($A1017="",0,IFERROR(MATCH($A1017,Classes!$A$6:$A$420,0),0))</f>
        <v>0</v>
      </c>
      <c r="N1017" s="64" t="n">
        <f aca="false">IF($H1017="",0,IFERROR(MATCH($H1017,GradeList,0),0))</f>
        <v>0</v>
      </c>
      <c r="O1017" s="64" t="n">
        <f aca="false">IF(OR($I1017="",$I1017="NR"),0,IFERROR(MATCH($I1017,GradeList,0),0))</f>
        <v>0</v>
      </c>
      <c r="P1017" s="64" t="n">
        <f aca="false">IF(AND($M1017&gt;0,ISNUMBER(MATCH($F1017,Lists!$A$2:$A$5,0)),ISNUMBER(MATCH($G1017,Lists!$B$2:$B$7,0)),OR($H1017="",$N1017&gt;0),OR($I1017="",$I1017="NR",$O1017&gt;0),IF(ISNUMBER($J1017),AND($J1017&gt;=0,$J1017=INT($J1017)),FALSE())),$J1017,0)</f>
        <v>0</v>
      </c>
      <c r="Q1017" s="64" t="n">
        <f aca="false">IF(AND($P1017&gt;0,$O1017&gt;0),$P1017,0)</f>
        <v>0</v>
      </c>
      <c r="R1017" s="64" t="n">
        <f aca="false">IF(AND($Q1017&gt;0,$O1017&gt;=AtRank),$Q1017,0)</f>
        <v>0</v>
      </c>
      <c r="S1017" s="64" t="n">
        <f aca="false">IF(AND($Q1017&gt;0,$O1017&gt;=AboveRank),$Q1017,0)</f>
        <v>0</v>
      </c>
      <c r="T1017" s="64" t="n">
        <f aca="false">IF($K1017="Less",$P1017,0)</f>
        <v>0</v>
      </c>
      <c r="U1017" s="64" t="n">
        <f aca="false">IF($K1017="Expected",$P1017,0)</f>
        <v>0</v>
      </c>
      <c r="V1017" s="64" t="n">
        <f aca="false">IF($K1017="Better",$P1017,0)</f>
        <v>0</v>
      </c>
      <c r="W1017" s="64" t="n">
        <f aca="false">IF($K1017="U – needs rule",$P1017,0)</f>
        <v>0</v>
      </c>
      <c r="X1017" s="64" t="n">
        <f aca="false">IF($K1017="No Start (attainment only)",$P1017,0)</f>
        <v>0</v>
      </c>
    </row>
    <row r="1018" customFormat="false" ht="15" hidden="false" customHeight="false" outlineLevel="0" collapsed="false">
      <c r="A1018" s="60"/>
      <c r="B1018" s="61" t="str">
        <f aca="false">IF($M1018=0,"",INDEX(Classes!$E$6:$E$420,$M1018))</f>
        <v/>
      </c>
      <c r="C1018" s="62" t="str">
        <f aca="false">IF($M1018=0,"",INDEX(Classes!$H$6:$H$420,$M1018))</f>
        <v/>
      </c>
      <c r="D1018" s="61" t="str">
        <f aca="false">IF($M1018=0,"",INDEX(Classes!$B$6:$B$420,$M1018))</f>
        <v/>
      </c>
      <c r="E1018" s="61" t="str">
        <f aca="false">IF($M1018=0,"",INDEX(Classes!$C$6:$C$420,$M1018))</f>
        <v/>
      </c>
      <c r="F1018" s="63"/>
      <c r="G1018" s="63"/>
      <c r="H1018" s="60"/>
      <c r="I1018" s="60"/>
      <c r="J1018" s="63"/>
      <c r="K1018" s="61" t="str">
        <f aca="false">IF($P1018=0,"",IF($F1018="Baseline","— Baseline",IF($O1018=0,"No result",IF($N1018=0,"No Start (attainment only)",IF(OR($N1018=1,$O1018=1),"U – needs rule",INDEX(MxBody,MATCH($I1018,MxCurr,0),MATCH($H1018,MxStart,0)))))))</f>
        <v/>
      </c>
      <c r="L1018" s="62" t="str">
        <f aca="false">IF(COUNTA($A1018,$F1018,$G1018,$H1018,$I1018,$J1018)=0,"",IF($M1018=0,"✖ كود الصف غير موجود",IF(ISNA(MATCH($F1018,Lists!$A$2:$A$5,0)),"✖ الفترة غير صحيحة",IF(ISNA(MATCH($G1018,Lists!$B$2:$B$7,0)),"✖ المجموعة غير صحيحة",IF(NOT(OR($H1018="",$N1018&gt;0)),"✖ Start غير صحيح",IF(NOT(OR($I1018="",$I1018="NR",$O1018&gt;0)),"✖ Current غير صحيح",IF(NOT(IF(ISNUMBER($J1018),AND($J1018&gt;=0,$J1018=INT($J1018)),FALSE())),"✖ العدد يجب أن يكون صحيحًا ≥ 0",IF(AND($F1018="Baseline",$H1018&lt;&gt;""),"⚠ Baseline: Start لا يدخل في التقدم",IF($K1018="No Start (attainment only)","ℹ تحصيل فقط (بدون Start)",IF($K1018="U – needs rule","ℹ حالة U تحتاج قاعدة معتمدة",IF($K1018="No result","ℹ بدون نتيجة (يُستبعد من التحصيل)","OK")))))))))))</f>
        <v/>
      </c>
      <c r="M1018" s="64" t="n">
        <f aca="false">IF($A1018="",0,IFERROR(MATCH($A1018,Classes!$A$6:$A$420,0),0))</f>
        <v>0</v>
      </c>
      <c r="N1018" s="64" t="n">
        <f aca="false">IF($H1018="",0,IFERROR(MATCH($H1018,GradeList,0),0))</f>
        <v>0</v>
      </c>
      <c r="O1018" s="64" t="n">
        <f aca="false">IF(OR($I1018="",$I1018="NR"),0,IFERROR(MATCH($I1018,GradeList,0),0))</f>
        <v>0</v>
      </c>
      <c r="P1018" s="64" t="n">
        <f aca="false">IF(AND($M1018&gt;0,ISNUMBER(MATCH($F1018,Lists!$A$2:$A$5,0)),ISNUMBER(MATCH($G1018,Lists!$B$2:$B$7,0)),OR($H1018="",$N1018&gt;0),OR($I1018="",$I1018="NR",$O1018&gt;0),IF(ISNUMBER($J1018),AND($J1018&gt;=0,$J1018=INT($J1018)),FALSE())),$J1018,0)</f>
        <v>0</v>
      </c>
      <c r="Q1018" s="64" t="n">
        <f aca="false">IF(AND($P1018&gt;0,$O1018&gt;0),$P1018,0)</f>
        <v>0</v>
      </c>
      <c r="R1018" s="64" t="n">
        <f aca="false">IF(AND($Q1018&gt;0,$O1018&gt;=AtRank),$Q1018,0)</f>
        <v>0</v>
      </c>
      <c r="S1018" s="64" t="n">
        <f aca="false">IF(AND($Q1018&gt;0,$O1018&gt;=AboveRank),$Q1018,0)</f>
        <v>0</v>
      </c>
      <c r="T1018" s="64" t="n">
        <f aca="false">IF($K1018="Less",$P1018,0)</f>
        <v>0</v>
      </c>
      <c r="U1018" s="64" t="n">
        <f aca="false">IF($K1018="Expected",$P1018,0)</f>
        <v>0</v>
      </c>
      <c r="V1018" s="64" t="n">
        <f aca="false">IF($K1018="Better",$P1018,0)</f>
        <v>0</v>
      </c>
      <c r="W1018" s="64" t="n">
        <f aca="false">IF($K1018="U – needs rule",$P1018,0)</f>
        <v>0</v>
      </c>
      <c r="X1018" s="64" t="n">
        <f aca="false">IF($K1018="No Start (attainment only)",$P1018,0)</f>
        <v>0</v>
      </c>
    </row>
    <row r="1019" customFormat="false" ht="15" hidden="false" customHeight="false" outlineLevel="0" collapsed="false">
      <c r="A1019" s="60"/>
      <c r="B1019" s="61" t="str">
        <f aca="false">IF($M1019=0,"",INDEX(Classes!$E$6:$E$420,$M1019))</f>
        <v/>
      </c>
      <c r="C1019" s="62" t="str">
        <f aca="false">IF($M1019=0,"",INDEX(Classes!$H$6:$H$420,$M1019))</f>
        <v/>
      </c>
      <c r="D1019" s="61" t="str">
        <f aca="false">IF($M1019=0,"",INDEX(Classes!$B$6:$B$420,$M1019))</f>
        <v/>
      </c>
      <c r="E1019" s="61" t="str">
        <f aca="false">IF($M1019=0,"",INDEX(Classes!$C$6:$C$420,$M1019))</f>
        <v/>
      </c>
      <c r="F1019" s="63"/>
      <c r="G1019" s="63"/>
      <c r="H1019" s="60"/>
      <c r="I1019" s="60"/>
      <c r="J1019" s="63"/>
      <c r="K1019" s="61" t="str">
        <f aca="false">IF($P1019=0,"",IF($F1019="Baseline","— Baseline",IF($O1019=0,"No result",IF($N1019=0,"No Start (attainment only)",IF(OR($N1019=1,$O1019=1),"U – needs rule",INDEX(MxBody,MATCH($I1019,MxCurr,0),MATCH($H1019,MxStart,0)))))))</f>
        <v/>
      </c>
      <c r="L1019" s="62" t="str">
        <f aca="false">IF(COUNTA($A1019,$F1019,$G1019,$H1019,$I1019,$J1019)=0,"",IF($M1019=0,"✖ كود الصف غير موجود",IF(ISNA(MATCH($F1019,Lists!$A$2:$A$5,0)),"✖ الفترة غير صحيحة",IF(ISNA(MATCH($G1019,Lists!$B$2:$B$7,0)),"✖ المجموعة غير صحيحة",IF(NOT(OR($H1019="",$N1019&gt;0)),"✖ Start غير صحيح",IF(NOT(OR($I1019="",$I1019="NR",$O1019&gt;0)),"✖ Current غير صحيح",IF(NOT(IF(ISNUMBER($J1019),AND($J1019&gt;=0,$J1019=INT($J1019)),FALSE())),"✖ العدد يجب أن يكون صحيحًا ≥ 0",IF(AND($F1019="Baseline",$H1019&lt;&gt;""),"⚠ Baseline: Start لا يدخل في التقدم",IF($K1019="No Start (attainment only)","ℹ تحصيل فقط (بدون Start)",IF($K1019="U – needs rule","ℹ حالة U تحتاج قاعدة معتمدة",IF($K1019="No result","ℹ بدون نتيجة (يُستبعد من التحصيل)","OK")))))))))))</f>
        <v/>
      </c>
      <c r="M1019" s="64" t="n">
        <f aca="false">IF($A1019="",0,IFERROR(MATCH($A1019,Classes!$A$6:$A$420,0),0))</f>
        <v>0</v>
      </c>
      <c r="N1019" s="64" t="n">
        <f aca="false">IF($H1019="",0,IFERROR(MATCH($H1019,GradeList,0),0))</f>
        <v>0</v>
      </c>
      <c r="O1019" s="64" t="n">
        <f aca="false">IF(OR($I1019="",$I1019="NR"),0,IFERROR(MATCH($I1019,GradeList,0),0))</f>
        <v>0</v>
      </c>
      <c r="P1019" s="64" t="n">
        <f aca="false">IF(AND($M1019&gt;0,ISNUMBER(MATCH($F1019,Lists!$A$2:$A$5,0)),ISNUMBER(MATCH($G1019,Lists!$B$2:$B$7,0)),OR($H1019="",$N1019&gt;0),OR($I1019="",$I1019="NR",$O1019&gt;0),IF(ISNUMBER($J1019),AND($J1019&gt;=0,$J1019=INT($J1019)),FALSE())),$J1019,0)</f>
        <v>0</v>
      </c>
      <c r="Q1019" s="64" t="n">
        <f aca="false">IF(AND($P1019&gt;0,$O1019&gt;0),$P1019,0)</f>
        <v>0</v>
      </c>
      <c r="R1019" s="64" t="n">
        <f aca="false">IF(AND($Q1019&gt;0,$O1019&gt;=AtRank),$Q1019,0)</f>
        <v>0</v>
      </c>
      <c r="S1019" s="64" t="n">
        <f aca="false">IF(AND($Q1019&gt;0,$O1019&gt;=AboveRank),$Q1019,0)</f>
        <v>0</v>
      </c>
      <c r="T1019" s="64" t="n">
        <f aca="false">IF($K1019="Less",$P1019,0)</f>
        <v>0</v>
      </c>
      <c r="U1019" s="64" t="n">
        <f aca="false">IF($K1019="Expected",$P1019,0)</f>
        <v>0</v>
      </c>
      <c r="V1019" s="64" t="n">
        <f aca="false">IF($K1019="Better",$P1019,0)</f>
        <v>0</v>
      </c>
      <c r="W1019" s="64" t="n">
        <f aca="false">IF($K1019="U – needs rule",$P1019,0)</f>
        <v>0</v>
      </c>
      <c r="X1019" s="64" t="n">
        <f aca="false">IF($K1019="No Start (attainment only)",$P1019,0)</f>
        <v>0</v>
      </c>
    </row>
    <row r="1020" customFormat="false" ht="15" hidden="false" customHeight="false" outlineLevel="0" collapsed="false">
      <c r="A1020" s="60"/>
      <c r="B1020" s="61" t="str">
        <f aca="false">IF($M1020=0,"",INDEX(Classes!$E$6:$E$420,$M1020))</f>
        <v/>
      </c>
      <c r="C1020" s="62" t="str">
        <f aca="false">IF($M1020=0,"",INDEX(Classes!$H$6:$H$420,$M1020))</f>
        <v/>
      </c>
      <c r="D1020" s="61" t="str">
        <f aca="false">IF($M1020=0,"",INDEX(Classes!$B$6:$B$420,$M1020))</f>
        <v/>
      </c>
      <c r="E1020" s="61" t="str">
        <f aca="false">IF($M1020=0,"",INDEX(Classes!$C$6:$C$420,$M1020))</f>
        <v/>
      </c>
      <c r="F1020" s="63"/>
      <c r="G1020" s="63"/>
      <c r="H1020" s="60"/>
      <c r="I1020" s="60"/>
      <c r="J1020" s="63"/>
      <c r="K1020" s="61" t="str">
        <f aca="false">IF($P1020=0,"",IF($F1020="Baseline","— Baseline",IF($O1020=0,"No result",IF($N1020=0,"No Start (attainment only)",IF(OR($N1020=1,$O1020=1),"U – needs rule",INDEX(MxBody,MATCH($I1020,MxCurr,0),MATCH($H1020,MxStart,0)))))))</f>
        <v/>
      </c>
      <c r="L1020" s="62" t="str">
        <f aca="false">IF(COUNTA($A1020,$F1020,$G1020,$H1020,$I1020,$J1020)=0,"",IF($M1020=0,"✖ كود الصف غير موجود",IF(ISNA(MATCH($F1020,Lists!$A$2:$A$5,0)),"✖ الفترة غير صحيحة",IF(ISNA(MATCH($G1020,Lists!$B$2:$B$7,0)),"✖ المجموعة غير صحيحة",IF(NOT(OR($H1020="",$N1020&gt;0)),"✖ Start غير صحيح",IF(NOT(OR($I1020="",$I1020="NR",$O1020&gt;0)),"✖ Current غير صحيح",IF(NOT(IF(ISNUMBER($J1020),AND($J1020&gt;=0,$J1020=INT($J1020)),FALSE())),"✖ العدد يجب أن يكون صحيحًا ≥ 0",IF(AND($F1020="Baseline",$H1020&lt;&gt;""),"⚠ Baseline: Start لا يدخل في التقدم",IF($K1020="No Start (attainment only)","ℹ تحصيل فقط (بدون Start)",IF($K1020="U – needs rule","ℹ حالة U تحتاج قاعدة معتمدة",IF($K1020="No result","ℹ بدون نتيجة (يُستبعد من التحصيل)","OK")))))))))))</f>
        <v/>
      </c>
      <c r="M1020" s="64" t="n">
        <f aca="false">IF($A1020="",0,IFERROR(MATCH($A1020,Classes!$A$6:$A$420,0),0))</f>
        <v>0</v>
      </c>
      <c r="N1020" s="64" t="n">
        <f aca="false">IF($H1020="",0,IFERROR(MATCH($H1020,GradeList,0),0))</f>
        <v>0</v>
      </c>
      <c r="O1020" s="64" t="n">
        <f aca="false">IF(OR($I1020="",$I1020="NR"),0,IFERROR(MATCH($I1020,GradeList,0),0))</f>
        <v>0</v>
      </c>
      <c r="P1020" s="64" t="n">
        <f aca="false">IF(AND($M1020&gt;0,ISNUMBER(MATCH($F1020,Lists!$A$2:$A$5,0)),ISNUMBER(MATCH($G1020,Lists!$B$2:$B$7,0)),OR($H1020="",$N1020&gt;0),OR($I1020="",$I1020="NR",$O1020&gt;0),IF(ISNUMBER($J1020),AND($J1020&gt;=0,$J1020=INT($J1020)),FALSE())),$J1020,0)</f>
        <v>0</v>
      </c>
      <c r="Q1020" s="64" t="n">
        <f aca="false">IF(AND($P1020&gt;0,$O1020&gt;0),$P1020,0)</f>
        <v>0</v>
      </c>
      <c r="R1020" s="64" t="n">
        <f aca="false">IF(AND($Q1020&gt;0,$O1020&gt;=AtRank),$Q1020,0)</f>
        <v>0</v>
      </c>
      <c r="S1020" s="64" t="n">
        <f aca="false">IF(AND($Q1020&gt;0,$O1020&gt;=AboveRank),$Q1020,0)</f>
        <v>0</v>
      </c>
      <c r="T1020" s="64" t="n">
        <f aca="false">IF($K1020="Less",$P1020,0)</f>
        <v>0</v>
      </c>
      <c r="U1020" s="64" t="n">
        <f aca="false">IF($K1020="Expected",$P1020,0)</f>
        <v>0</v>
      </c>
      <c r="V1020" s="64" t="n">
        <f aca="false">IF($K1020="Better",$P1020,0)</f>
        <v>0</v>
      </c>
      <c r="W1020" s="64" t="n">
        <f aca="false">IF($K1020="U – needs rule",$P1020,0)</f>
        <v>0</v>
      </c>
      <c r="X1020" s="64" t="n">
        <f aca="false">IF($K1020="No Start (attainment only)",$P1020,0)</f>
        <v>0</v>
      </c>
    </row>
    <row r="1021" customFormat="false" ht="15" hidden="false" customHeight="false" outlineLevel="0" collapsed="false">
      <c r="A1021" s="60"/>
      <c r="B1021" s="61" t="str">
        <f aca="false">IF($M1021=0,"",INDEX(Classes!$E$6:$E$420,$M1021))</f>
        <v/>
      </c>
      <c r="C1021" s="62" t="str">
        <f aca="false">IF($M1021=0,"",INDEX(Classes!$H$6:$H$420,$M1021))</f>
        <v/>
      </c>
      <c r="D1021" s="61" t="str">
        <f aca="false">IF($M1021=0,"",INDEX(Classes!$B$6:$B$420,$M1021))</f>
        <v/>
      </c>
      <c r="E1021" s="61" t="str">
        <f aca="false">IF($M1021=0,"",INDEX(Classes!$C$6:$C$420,$M1021))</f>
        <v/>
      </c>
      <c r="F1021" s="63"/>
      <c r="G1021" s="63"/>
      <c r="H1021" s="60"/>
      <c r="I1021" s="60"/>
      <c r="J1021" s="63"/>
      <c r="K1021" s="61" t="str">
        <f aca="false">IF($P1021=0,"",IF($F1021="Baseline","— Baseline",IF($O1021=0,"No result",IF($N1021=0,"No Start (attainment only)",IF(OR($N1021=1,$O1021=1),"U – needs rule",INDEX(MxBody,MATCH($I1021,MxCurr,0),MATCH($H1021,MxStart,0)))))))</f>
        <v/>
      </c>
      <c r="L1021" s="62" t="str">
        <f aca="false">IF(COUNTA($A1021,$F1021,$G1021,$H1021,$I1021,$J1021)=0,"",IF($M1021=0,"✖ كود الصف غير موجود",IF(ISNA(MATCH($F1021,Lists!$A$2:$A$5,0)),"✖ الفترة غير صحيحة",IF(ISNA(MATCH($G1021,Lists!$B$2:$B$7,0)),"✖ المجموعة غير صحيحة",IF(NOT(OR($H1021="",$N1021&gt;0)),"✖ Start غير صحيح",IF(NOT(OR($I1021="",$I1021="NR",$O1021&gt;0)),"✖ Current غير صحيح",IF(NOT(IF(ISNUMBER($J1021),AND($J1021&gt;=0,$J1021=INT($J1021)),FALSE())),"✖ العدد يجب أن يكون صحيحًا ≥ 0",IF(AND($F1021="Baseline",$H1021&lt;&gt;""),"⚠ Baseline: Start لا يدخل في التقدم",IF($K1021="No Start (attainment only)","ℹ تحصيل فقط (بدون Start)",IF($K1021="U – needs rule","ℹ حالة U تحتاج قاعدة معتمدة",IF($K1021="No result","ℹ بدون نتيجة (يُستبعد من التحصيل)","OK")))))))))))</f>
        <v/>
      </c>
      <c r="M1021" s="64" t="n">
        <f aca="false">IF($A1021="",0,IFERROR(MATCH($A1021,Classes!$A$6:$A$420,0),0))</f>
        <v>0</v>
      </c>
      <c r="N1021" s="64" t="n">
        <f aca="false">IF($H1021="",0,IFERROR(MATCH($H1021,GradeList,0),0))</f>
        <v>0</v>
      </c>
      <c r="O1021" s="64" t="n">
        <f aca="false">IF(OR($I1021="",$I1021="NR"),0,IFERROR(MATCH($I1021,GradeList,0),0))</f>
        <v>0</v>
      </c>
      <c r="P1021" s="64" t="n">
        <f aca="false">IF(AND($M1021&gt;0,ISNUMBER(MATCH($F1021,Lists!$A$2:$A$5,0)),ISNUMBER(MATCH($G1021,Lists!$B$2:$B$7,0)),OR($H1021="",$N1021&gt;0),OR($I1021="",$I1021="NR",$O1021&gt;0),IF(ISNUMBER($J1021),AND($J1021&gt;=0,$J1021=INT($J1021)),FALSE())),$J1021,0)</f>
        <v>0</v>
      </c>
      <c r="Q1021" s="64" t="n">
        <f aca="false">IF(AND($P1021&gt;0,$O1021&gt;0),$P1021,0)</f>
        <v>0</v>
      </c>
      <c r="R1021" s="64" t="n">
        <f aca="false">IF(AND($Q1021&gt;0,$O1021&gt;=AtRank),$Q1021,0)</f>
        <v>0</v>
      </c>
      <c r="S1021" s="64" t="n">
        <f aca="false">IF(AND($Q1021&gt;0,$O1021&gt;=AboveRank),$Q1021,0)</f>
        <v>0</v>
      </c>
      <c r="T1021" s="64" t="n">
        <f aca="false">IF($K1021="Less",$P1021,0)</f>
        <v>0</v>
      </c>
      <c r="U1021" s="64" t="n">
        <f aca="false">IF($K1021="Expected",$P1021,0)</f>
        <v>0</v>
      </c>
      <c r="V1021" s="64" t="n">
        <f aca="false">IF($K1021="Better",$P1021,0)</f>
        <v>0</v>
      </c>
      <c r="W1021" s="64" t="n">
        <f aca="false">IF($K1021="U – needs rule",$P1021,0)</f>
        <v>0</v>
      </c>
      <c r="X1021" s="64" t="n">
        <f aca="false">IF($K1021="No Start (attainment only)",$P1021,0)</f>
        <v>0</v>
      </c>
    </row>
    <row r="1022" customFormat="false" ht="15" hidden="false" customHeight="false" outlineLevel="0" collapsed="false">
      <c r="A1022" s="60"/>
      <c r="B1022" s="61" t="str">
        <f aca="false">IF($M1022=0,"",INDEX(Classes!$E$6:$E$420,$M1022))</f>
        <v/>
      </c>
      <c r="C1022" s="62" t="str">
        <f aca="false">IF($M1022=0,"",INDEX(Classes!$H$6:$H$420,$M1022))</f>
        <v/>
      </c>
      <c r="D1022" s="61" t="str">
        <f aca="false">IF($M1022=0,"",INDEX(Classes!$B$6:$B$420,$M1022))</f>
        <v/>
      </c>
      <c r="E1022" s="61" t="str">
        <f aca="false">IF($M1022=0,"",INDEX(Classes!$C$6:$C$420,$M1022))</f>
        <v/>
      </c>
      <c r="F1022" s="63"/>
      <c r="G1022" s="63"/>
      <c r="H1022" s="60"/>
      <c r="I1022" s="60"/>
      <c r="J1022" s="63"/>
      <c r="K1022" s="61" t="str">
        <f aca="false">IF($P1022=0,"",IF($F1022="Baseline","— Baseline",IF($O1022=0,"No result",IF($N1022=0,"No Start (attainment only)",IF(OR($N1022=1,$O1022=1),"U – needs rule",INDEX(MxBody,MATCH($I1022,MxCurr,0),MATCH($H1022,MxStart,0)))))))</f>
        <v/>
      </c>
      <c r="L1022" s="62" t="str">
        <f aca="false">IF(COUNTA($A1022,$F1022,$G1022,$H1022,$I1022,$J1022)=0,"",IF($M1022=0,"✖ كود الصف غير موجود",IF(ISNA(MATCH($F1022,Lists!$A$2:$A$5,0)),"✖ الفترة غير صحيحة",IF(ISNA(MATCH($G1022,Lists!$B$2:$B$7,0)),"✖ المجموعة غير صحيحة",IF(NOT(OR($H1022="",$N1022&gt;0)),"✖ Start غير صحيح",IF(NOT(OR($I1022="",$I1022="NR",$O1022&gt;0)),"✖ Current غير صحيح",IF(NOT(IF(ISNUMBER($J1022),AND($J1022&gt;=0,$J1022=INT($J1022)),FALSE())),"✖ العدد يجب أن يكون صحيحًا ≥ 0",IF(AND($F1022="Baseline",$H1022&lt;&gt;""),"⚠ Baseline: Start لا يدخل في التقدم",IF($K1022="No Start (attainment only)","ℹ تحصيل فقط (بدون Start)",IF($K1022="U – needs rule","ℹ حالة U تحتاج قاعدة معتمدة",IF($K1022="No result","ℹ بدون نتيجة (يُستبعد من التحصيل)","OK")))))))))))</f>
        <v/>
      </c>
      <c r="M1022" s="64" t="n">
        <f aca="false">IF($A1022="",0,IFERROR(MATCH($A1022,Classes!$A$6:$A$420,0),0))</f>
        <v>0</v>
      </c>
      <c r="N1022" s="64" t="n">
        <f aca="false">IF($H1022="",0,IFERROR(MATCH($H1022,GradeList,0),0))</f>
        <v>0</v>
      </c>
      <c r="O1022" s="64" t="n">
        <f aca="false">IF(OR($I1022="",$I1022="NR"),0,IFERROR(MATCH($I1022,GradeList,0),0))</f>
        <v>0</v>
      </c>
      <c r="P1022" s="64" t="n">
        <f aca="false">IF(AND($M1022&gt;0,ISNUMBER(MATCH($F1022,Lists!$A$2:$A$5,0)),ISNUMBER(MATCH($G1022,Lists!$B$2:$B$7,0)),OR($H1022="",$N1022&gt;0),OR($I1022="",$I1022="NR",$O1022&gt;0),IF(ISNUMBER($J1022),AND($J1022&gt;=0,$J1022=INT($J1022)),FALSE())),$J1022,0)</f>
        <v>0</v>
      </c>
      <c r="Q1022" s="64" t="n">
        <f aca="false">IF(AND($P1022&gt;0,$O1022&gt;0),$P1022,0)</f>
        <v>0</v>
      </c>
      <c r="R1022" s="64" t="n">
        <f aca="false">IF(AND($Q1022&gt;0,$O1022&gt;=AtRank),$Q1022,0)</f>
        <v>0</v>
      </c>
      <c r="S1022" s="64" t="n">
        <f aca="false">IF(AND($Q1022&gt;0,$O1022&gt;=AboveRank),$Q1022,0)</f>
        <v>0</v>
      </c>
      <c r="T1022" s="64" t="n">
        <f aca="false">IF($K1022="Less",$P1022,0)</f>
        <v>0</v>
      </c>
      <c r="U1022" s="64" t="n">
        <f aca="false">IF($K1022="Expected",$P1022,0)</f>
        <v>0</v>
      </c>
      <c r="V1022" s="64" t="n">
        <f aca="false">IF($K1022="Better",$P1022,0)</f>
        <v>0</v>
      </c>
      <c r="W1022" s="64" t="n">
        <f aca="false">IF($K1022="U – needs rule",$P1022,0)</f>
        <v>0</v>
      </c>
      <c r="X1022" s="64" t="n">
        <f aca="false">IF($K1022="No Start (attainment only)",$P1022,0)</f>
        <v>0</v>
      </c>
    </row>
    <row r="1023" customFormat="false" ht="15" hidden="false" customHeight="false" outlineLevel="0" collapsed="false">
      <c r="A1023" s="60"/>
      <c r="B1023" s="61" t="str">
        <f aca="false">IF($M1023=0,"",INDEX(Classes!$E$6:$E$420,$M1023))</f>
        <v/>
      </c>
      <c r="C1023" s="62" t="str">
        <f aca="false">IF($M1023=0,"",INDEX(Classes!$H$6:$H$420,$M1023))</f>
        <v/>
      </c>
      <c r="D1023" s="61" t="str">
        <f aca="false">IF($M1023=0,"",INDEX(Classes!$B$6:$B$420,$M1023))</f>
        <v/>
      </c>
      <c r="E1023" s="61" t="str">
        <f aca="false">IF($M1023=0,"",INDEX(Classes!$C$6:$C$420,$M1023))</f>
        <v/>
      </c>
      <c r="F1023" s="63"/>
      <c r="G1023" s="63"/>
      <c r="H1023" s="60"/>
      <c r="I1023" s="60"/>
      <c r="J1023" s="63"/>
      <c r="K1023" s="61" t="str">
        <f aca="false">IF($P1023=0,"",IF($F1023="Baseline","— Baseline",IF($O1023=0,"No result",IF($N1023=0,"No Start (attainment only)",IF(OR($N1023=1,$O1023=1),"U – needs rule",INDEX(MxBody,MATCH($I1023,MxCurr,0),MATCH($H1023,MxStart,0)))))))</f>
        <v/>
      </c>
      <c r="L1023" s="62" t="str">
        <f aca="false">IF(COUNTA($A1023,$F1023,$G1023,$H1023,$I1023,$J1023)=0,"",IF($M1023=0,"✖ كود الصف غير موجود",IF(ISNA(MATCH($F1023,Lists!$A$2:$A$5,0)),"✖ الفترة غير صحيحة",IF(ISNA(MATCH($G1023,Lists!$B$2:$B$7,0)),"✖ المجموعة غير صحيحة",IF(NOT(OR($H1023="",$N1023&gt;0)),"✖ Start غير صحيح",IF(NOT(OR($I1023="",$I1023="NR",$O1023&gt;0)),"✖ Current غير صحيح",IF(NOT(IF(ISNUMBER($J1023),AND($J1023&gt;=0,$J1023=INT($J1023)),FALSE())),"✖ العدد يجب أن يكون صحيحًا ≥ 0",IF(AND($F1023="Baseline",$H1023&lt;&gt;""),"⚠ Baseline: Start لا يدخل في التقدم",IF($K1023="No Start (attainment only)","ℹ تحصيل فقط (بدون Start)",IF($K1023="U – needs rule","ℹ حالة U تحتاج قاعدة معتمدة",IF($K1023="No result","ℹ بدون نتيجة (يُستبعد من التحصيل)","OK")))))))))))</f>
        <v/>
      </c>
      <c r="M1023" s="64" t="n">
        <f aca="false">IF($A1023="",0,IFERROR(MATCH($A1023,Classes!$A$6:$A$420,0),0))</f>
        <v>0</v>
      </c>
      <c r="N1023" s="64" t="n">
        <f aca="false">IF($H1023="",0,IFERROR(MATCH($H1023,GradeList,0),0))</f>
        <v>0</v>
      </c>
      <c r="O1023" s="64" t="n">
        <f aca="false">IF(OR($I1023="",$I1023="NR"),0,IFERROR(MATCH($I1023,GradeList,0),0))</f>
        <v>0</v>
      </c>
      <c r="P1023" s="64" t="n">
        <f aca="false">IF(AND($M1023&gt;0,ISNUMBER(MATCH($F1023,Lists!$A$2:$A$5,0)),ISNUMBER(MATCH($G1023,Lists!$B$2:$B$7,0)),OR($H1023="",$N1023&gt;0),OR($I1023="",$I1023="NR",$O1023&gt;0),IF(ISNUMBER($J1023),AND($J1023&gt;=0,$J1023=INT($J1023)),FALSE())),$J1023,0)</f>
        <v>0</v>
      </c>
      <c r="Q1023" s="64" t="n">
        <f aca="false">IF(AND($P1023&gt;0,$O1023&gt;0),$P1023,0)</f>
        <v>0</v>
      </c>
      <c r="R1023" s="64" t="n">
        <f aca="false">IF(AND($Q1023&gt;0,$O1023&gt;=AtRank),$Q1023,0)</f>
        <v>0</v>
      </c>
      <c r="S1023" s="64" t="n">
        <f aca="false">IF(AND($Q1023&gt;0,$O1023&gt;=AboveRank),$Q1023,0)</f>
        <v>0</v>
      </c>
      <c r="T1023" s="64" t="n">
        <f aca="false">IF($K1023="Less",$P1023,0)</f>
        <v>0</v>
      </c>
      <c r="U1023" s="64" t="n">
        <f aca="false">IF($K1023="Expected",$P1023,0)</f>
        <v>0</v>
      </c>
      <c r="V1023" s="64" t="n">
        <f aca="false">IF($K1023="Better",$P1023,0)</f>
        <v>0</v>
      </c>
      <c r="W1023" s="64" t="n">
        <f aca="false">IF($K1023="U – needs rule",$P1023,0)</f>
        <v>0</v>
      </c>
      <c r="X1023" s="64" t="n">
        <f aca="false">IF($K1023="No Start (attainment only)",$P1023,0)</f>
        <v>0</v>
      </c>
    </row>
    <row r="1024" customFormat="false" ht="15" hidden="false" customHeight="false" outlineLevel="0" collapsed="false">
      <c r="A1024" s="60"/>
      <c r="B1024" s="61" t="str">
        <f aca="false">IF($M1024=0,"",INDEX(Classes!$E$6:$E$420,$M1024))</f>
        <v/>
      </c>
      <c r="C1024" s="62" t="str">
        <f aca="false">IF($M1024=0,"",INDEX(Classes!$H$6:$H$420,$M1024))</f>
        <v/>
      </c>
      <c r="D1024" s="61" t="str">
        <f aca="false">IF($M1024=0,"",INDEX(Classes!$B$6:$B$420,$M1024))</f>
        <v/>
      </c>
      <c r="E1024" s="61" t="str">
        <f aca="false">IF($M1024=0,"",INDEX(Classes!$C$6:$C$420,$M1024))</f>
        <v/>
      </c>
      <c r="F1024" s="63"/>
      <c r="G1024" s="63"/>
      <c r="H1024" s="60"/>
      <c r="I1024" s="60"/>
      <c r="J1024" s="63"/>
      <c r="K1024" s="61" t="str">
        <f aca="false">IF($P1024=0,"",IF($F1024="Baseline","— Baseline",IF($O1024=0,"No result",IF($N1024=0,"No Start (attainment only)",IF(OR($N1024=1,$O1024=1),"U – needs rule",INDEX(MxBody,MATCH($I1024,MxCurr,0),MATCH($H1024,MxStart,0)))))))</f>
        <v/>
      </c>
      <c r="L1024" s="62" t="str">
        <f aca="false">IF(COUNTA($A1024,$F1024,$G1024,$H1024,$I1024,$J1024)=0,"",IF($M1024=0,"✖ كود الصف غير موجود",IF(ISNA(MATCH($F1024,Lists!$A$2:$A$5,0)),"✖ الفترة غير صحيحة",IF(ISNA(MATCH($G1024,Lists!$B$2:$B$7,0)),"✖ المجموعة غير صحيحة",IF(NOT(OR($H1024="",$N1024&gt;0)),"✖ Start غير صحيح",IF(NOT(OR($I1024="",$I1024="NR",$O1024&gt;0)),"✖ Current غير صحيح",IF(NOT(IF(ISNUMBER($J1024),AND($J1024&gt;=0,$J1024=INT($J1024)),FALSE())),"✖ العدد يجب أن يكون صحيحًا ≥ 0",IF(AND($F1024="Baseline",$H1024&lt;&gt;""),"⚠ Baseline: Start لا يدخل في التقدم",IF($K1024="No Start (attainment only)","ℹ تحصيل فقط (بدون Start)",IF($K1024="U – needs rule","ℹ حالة U تحتاج قاعدة معتمدة",IF($K1024="No result","ℹ بدون نتيجة (يُستبعد من التحصيل)","OK")))))))))))</f>
        <v/>
      </c>
      <c r="M1024" s="64" t="n">
        <f aca="false">IF($A1024="",0,IFERROR(MATCH($A1024,Classes!$A$6:$A$420,0),0))</f>
        <v>0</v>
      </c>
      <c r="N1024" s="64" t="n">
        <f aca="false">IF($H1024="",0,IFERROR(MATCH($H1024,GradeList,0),0))</f>
        <v>0</v>
      </c>
      <c r="O1024" s="64" t="n">
        <f aca="false">IF(OR($I1024="",$I1024="NR"),0,IFERROR(MATCH($I1024,GradeList,0),0))</f>
        <v>0</v>
      </c>
      <c r="P1024" s="64" t="n">
        <f aca="false">IF(AND($M1024&gt;0,ISNUMBER(MATCH($F1024,Lists!$A$2:$A$5,0)),ISNUMBER(MATCH($G1024,Lists!$B$2:$B$7,0)),OR($H1024="",$N1024&gt;0),OR($I1024="",$I1024="NR",$O1024&gt;0),IF(ISNUMBER($J1024),AND($J1024&gt;=0,$J1024=INT($J1024)),FALSE())),$J1024,0)</f>
        <v>0</v>
      </c>
      <c r="Q1024" s="64" t="n">
        <f aca="false">IF(AND($P1024&gt;0,$O1024&gt;0),$P1024,0)</f>
        <v>0</v>
      </c>
      <c r="R1024" s="64" t="n">
        <f aca="false">IF(AND($Q1024&gt;0,$O1024&gt;=AtRank),$Q1024,0)</f>
        <v>0</v>
      </c>
      <c r="S1024" s="64" t="n">
        <f aca="false">IF(AND($Q1024&gt;0,$O1024&gt;=AboveRank),$Q1024,0)</f>
        <v>0</v>
      </c>
      <c r="T1024" s="64" t="n">
        <f aca="false">IF($K1024="Less",$P1024,0)</f>
        <v>0</v>
      </c>
      <c r="U1024" s="64" t="n">
        <f aca="false">IF($K1024="Expected",$P1024,0)</f>
        <v>0</v>
      </c>
      <c r="V1024" s="64" t="n">
        <f aca="false">IF($K1024="Better",$P1024,0)</f>
        <v>0</v>
      </c>
      <c r="W1024" s="64" t="n">
        <f aca="false">IF($K1024="U – needs rule",$P1024,0)</f>
        <v>0</v>
      </c>
      <c r="X1024" s="64" t="n">
        <f aca="false">IF($K1024="No Start (attainment only)",$P1024,0)</f>
        <v>0</v>
      </c>
    </row>
    <row r="1025" customFormat="false" ht="15" hidden="false" customHeight="false" outlineLevel="0" collapsed="false">
      <c r="A1025" s="60"/>
      <c r="B1025" s="61" t="str">
        <f aca="false">IF($M1025=0,"",INDEX(Classes!$E$6:$E$420,$M1025))</f>
        <v/>
      </c>
      <c r="C1025" s="62" t="str">
        <f aca="false">IF($M1025=0,"",INDEX(Classes!$H$6:$H$420,$M1025))</f>
        <v/>
      </c>
      <c r="D1025" s="61" t="str">
        <f aca="false">IF($M1025=0,"",INDEX(Classes!$B$6:$B$420,$M1025))</f>
        <v/>
      </c>
      <c r="E1025" s="61" t="str">
        <f aca="false">IF($M1025=0,"",INDEX(Classes!$C$6:$C$420,$M1025))</f>
        <v/>
      </c>
      <c r="F1025" s="63"/>
      <c r="G1025" s="63"/>
      <c r="H1025" s="60"/>
      <c r="I1025" s="60"/>
      <c r="J1025" s="63"/>
      <c r="K1025" s="61" t="str">
        <f aca="false">IF($P1025=0,"",IF($F1025="Baseline","— Baseline",IF($O1025=0,"No result",IF($N1025=0,"No Start (attainment only)",IF(OR($N1025=1,$O1025=1),"U – needs rule",INDEX(MxBody,MATCH($I1025,MxCurr,0),MATCH($H1025,MxStart,0)))))))</f>
        <v/>
      </c>
      <c r="L1025" s="62" t="str">
        <f aca="false">IF(COUNTA($A1025,$F1025,$G1025,$H1025,$I1025,$J1025)=0,"",IF($M1025=0,"✖ كود الصف غير موجود",IF(ISNA(MATCH($F1025,Lists!$A$2:$A$5,0)),"✖ الفترة غير صحيحة",IF(ISNA(MATCH($G1025,Lists!$B$2:$B$7,0)),"✖ المجموعة غير صحيحة",IF(NOT(OR($H1025="",$N1025&gt;0)),"✖ Start غير صحيح",IF(NOT(OR($I1025="",$I1025="NR",$O1025&gt;0)),"✖ Current غير صحيح",IF(NOT(IF(ISNUMBER($J1025),AND($J1025&gt;=0,$J1025=INT($J1025)),FALSE())),"✖ العدد يجب أن يكون صحيحًا ≥ 0",IF(AND($F1025="Baseline",$H1025&lt;&gt;""),"⚠ Baseline: Start لا يدخل في التقدم",IF($K1025="No Start (attainment only)","ℹ تحصيل فقط (بدون Start)",IF($K1025="U – needs rule","ℹ حالة U تحتاج قاعدة معتمدة",IF($K1025="No result","ℹ بدون نتيجة (يُستبعد من التحصيل)","OK")))))))))))</f>
        <v/>
      </c>
      <c r="M1025" s="64" t="n">
        <f aca="false">IF($A1025="",0,IFERROR(MATCH($A1025,Classes!$A$6:$A$420,0),0))</f>
        <v>0</v>
      </c>
      <c r="N1025" s="64" t="n">
        <f aca="false">IF($H1025="",0,IFERROR(MATCH($H1025,GradeList,0),0))</f>
        <v>0</v>
      </c>
      <c r="O1025" s="64" t="n">
        <f aca="false">IF(OR($I1025="",$I1025="NR"),0,IFERROR(MATCH($I1025,GradeList,0),0))</f>
        <v>0</v>
      </c>
      <c r="P1025" s="64" t="n">
        <f aca="false">IF(AND($M1025&gt;0,ISNUMBER(MATCH($F1025,Lists!$A$2:$A$5,0)),ISNUMBER(MATCH($G1025,Lists!$B$2:$B$7,0)),OR($H1025="",$N1025&gt;0),OR($I1025="",$I1025="NR",$O1025&gt;0),IF(ISNUMBER($J1025),AND($J1025&gt;=0,$J1025=INT($J1025)),FALSE())),$J1025,0)</f>
        <v>0</v>
      </c>
      <c r="Q1025" s="64" t="n">
        <f aca="false">IF(AND($P1025&gt;0,$O1025&gt;0),$P1025,0)</f>
        <v>0</v>
      </c>
      <c r="R1025" s="64" t="n">
        <f aca="false">IF(AND($Q1025&gt;0,$O1025&gt;=AtRank),$Q1025,0)</f>
        <v>0</v>
      </c>
      <c r="S1025" s="64" t="n">
        <f aca="false">IF(AND($Q1025&gt;0,$O1025&gt;=AboveRank),$Q1025,0)</f>
        <v>0</v>
      </c>
      <c r="T1025" s="64" t="n">
        <f aca="false">IF($K1025="Less",$P1025,0)</f>
        <v>0</v>
      </c>
      <c r="U1025" s="64" t="n">
        <f aca="false">IF($K1025="Expected",$P1025,0)</f>
        <v>0</v>
      </c>
      <c r="V1025" s="64" t="n">
        <f aca="false">IF($K1025="Better",$P1025,0)</f>
        <v>0</v>
      </c>
      <c r="W1025" s="64" t="n">
        <f aca="false">IF($K1025="U – needs rule",$P1025,0)</f>
        <v>0</v>
      </c>
      <c r="X1025" s="64" t="n">
        <f aca="false">IF($K1025="No Start (attainment only)",$P1025,0)</f>
        <v>0</v>
      </c>
    </row>
    <row r="1026" customFormat="false" ht="15" hidden="false" customHeight="false" outlineLevel="0" collapsed="false">
      <c r="A1026" s="60"/>
      <c r="B1026" s="61" t="str">
        <f aca="false">IF($M1026=0,"",INDEX(Classes!$E$6:$E$420,$M1026))</f>
        <v/>
      </c>
      <c r="C1026" s="62" t="str">
        <f aca="false">IF($M1026=0,"",INDEX(Classes!$H$6:$H$420,$M1026))</f>
        <v/>
      </c>
      <c r="D1026" s="61" t="str">
        <f aca="false">IF($M1026=0,"",INDEX(Classes!$B$6:$B$420,$M1026))</f>
        <v/>
      </c>
      <c r="E1026" s="61" t="str">
        <f aca="false">IF($M1026=0,"",INDEX(Classes!$C$6:$C$420,$M1026))</f>
        <v/>
      </c>
      <c r="F1026" s="63"/>
      <c r="G1026" s="63"/>
      <c r="H1026" s="60"/>
      <c r="I1026" s="60"/>
      <c r="J1026" s="63"/>
      <c r="K1026" s="61" t="str">
        <f aca="false">IF($P1026=0,"",IF($F1026="Baseline","— Baseline",IF($O1026=0,"No result",IF($N1026=0,"No Start (attainment only)",IF(OR($N1026=1,$O1026=1),"U – needs rule",INDEX(MxBody,MATCH($I1026,MxCurr,0),MATCH($H1026,MxStart,0)))))))</f>
        <v/>
      </c>
      <c r="L1026" s="62" t="str">
        <f aca="false">IF(COUNTA($A1026,$F1026,$G1026,$H1026,$I1026,$J1026)=0,"",IF($M1026=0,"✖ كود الصف غير موجود",IF(ISNA(MATCH($F1026,Lists!$A$2:$A$5,0)),"✖ الفترة غير صحيحة",IF(ISNA(MATCH($G1026,Lists!$B$2:$B$7,0)),"✖ المجموعة غير صحيحة",IF(NOT(OR($H1026="",$N1026&gt;0)),"✖ Start غير صحيح",IF(NOT(OR($I1026="",$I1026="NR",$O1026&gt;0)),"✖ Current غير صحيح",IF(NOT(IF(ISNUMBER($J1026),AND($J1026&gt;=0,$J1026=INT($J1026)),FALSE())),"✖ العدد يجب أن يكون صحيحًا ≥ 0",IF(AND($F1026="Baseline",$H1026&lt;&gt;""),"⚠ Baseline: Start لا يدخل في التقدم",IF($K1026="No Start (attainment only)","ℹ تحصيل فقط (بدون Start)",IF($K1026="U – needs rule","ℹ حالة U تحتاج قاعدة معتمدة",IF($K1026="No result","ℹ بدون نتيجة (يُستبعد من التحصيل)","OK")))))))))))</f>
        <v/>
      </c>
      <c r="M1026" s="64" t="n">
        <f aca="false">IF($A1026="",0,IFERROR(MATCH($A1026,Classes!$A$6:$A$420,0),0))</f>
        <v>0</v>
      </c>
      <c r="N1026" s="64" t="n">
        <f aca="false">IF($H1026="",0,IFERROR(MATCH($H1026,GradeList,0),0))</f>
        <v>0</v>
      </c>
      <c r="O1026" s="64" t="n">
        <f aca="false">IF(OR($I1026="",$I1026="NR"),0,IFERROR(MATCH($I1026,GradeList,0),0))</f>
        <v>0</v>
      </c>
      <c r="P1026" s="64" t="n">
        <f aca="false">IF(AND($M1026&gt;0,ISNUMBER(MATCH($F1026,Lists!$A$2:$A$5,0)),ISNUMBER(MATCH($G1026,Lists!$B$2:$B$7,0)),OR($H1026="",$N1026&gt;0),OR($I1026="",$I1026="NR",$O1026&gt;0),IF(ISNUMBER($J1026),AND($J1026&gt;=0,$J1026=INT($J1026)),FALSE())),$J1026,0)</f>
        <v>0</v>
      </c>
      <c r="Q1026" s="64" t="n">
        <f aca="false">IF(AND($P1026&gt;0,$O1026&gt;0),$P1026,0)</f>
        <v>0</v>
      </c>
      <c r="R1026" s="64" t="n">
        <f aca="false">IF(AND($Q1026&gt;0,$O1026&gt;=AtRank),$Q1026,0)</f>
        <v>0</v>
      </c>
      <c r="S1026" s="64" t="n">
        <f aca="false">IF(AND($Q1026&gt;0,$O1026&gt;=AboveRank),$Q1026,0)</f>
        <v>0</v>
      </c>
      <c r="T1026" s="64" t="n">
        <f aca="false">IF($K1026="Less",$P1026,0)</f>
        <v>0</v>
      </c>
      <c r="U1026" s="64" t="n">
        <f aca="false">IF($K1026="Expected",$P1026,0)</f>
        <v>0</v>
      </c>
      <c r="V1026" s="64" t="n">
        <f aca="false">IF($K1026="Better",$P1026,0)</f>
        <v>0</v>
      </c>
      <c r="W1026" s="64" t="n">
        <f aca="false">IF($K1026="U – needs rule",$P1026,0)</f>
        <v>0</v>
      </c>
      <c r="X1026" s="64" t="n">
        <f aca="false">IF($K1026="No Start (attainment only)",$P1026,0)</f>
        <v>0</v>
      </c>
    </row>
    <row r="1027" customFormat="false" ht="15" hidden="false" customHeight="false" outlineLevel="0" collapsed="false">
      <c r="A1027" s="60"/>
      <c r="B1027" s="61" t="str">
        <f aca="false">IF($M1027=0,"",INDEX(Classes!$E$6:$E$420,$M1027))</f>
        <v/>
      </c>
      <c r="C1027" s="62" t="str">
        <f aca="false">IF($M1027=0,"",INDEX(Classes!$H$6:$H$420,$M1027))</f>
        <v/>
      </c>
      <c r="D1027" s="61" t="str">
        <f aca="false">IF($M1027=0,"",INDEX(Classes!$B$6:$B$420,$M1027))</f>
        <v/>
      </c>
      <c r="E1027" s="61" t="str">
        <f aca="false">IF($M1027=0,"",INDEX(Classes!$C$6:$C$420,$M1027))</f>
        <v/>
      </c>
      <c r="F1027" s="63"/>
      <c r="G1027" s="63"/>
      <c r="H1027" s="60"/>
      <c r="I1027" s="60"/>
      <c r="J1027" s="63"/>
      <c r="K1027" s="61" t="str">
        <f aca="false">IF($P1027=0,"",IF($F1027="Baseline","— Baseline",IF($O1027=0,"No result",IF($N1027=0,"No Start (attainment only)",IF(OR($N1027=1,$O1027=1),"U – needs rule",INDEX(MxBody,MATCH($I1027,MxCurr,0),MATCH($H1027,MxStart,0)))))))</f>
        <v/>
      </c>
      <c r="L1027" s="62" t="str">
        <f aca="false">IF(COUNTA($A1027,$F1027,$G1027,$H1027,$I1027,$J1027)=0,"",IF($M1027=0,"✖ كود الصف غير موجود",IF(ISNA(MATCH($F1027,Lists!$A$2:$A$5,0)),"✖ الفترة غير صحيحة",IF(ISNA(MATCH($G1027,Lists!$B$2:$B$7,0)),"✖ المجموعة غير صحيحة",IF(NOT(OR($H1027="",$N1027&gt;0)),"✖ Start غير صحيح",IF(NOT(OR($I1027="",$I1027="NR",$O1027&gt;0)),"✖ Current غير صحيح",IF(NOT(IF(ISNUMBER($J1027),AND($J1027&gt;=0,$J1027=INT($J1027)),FALSE())),"✖ العدد يجب أن يكون صحيحًا ≥ 0",IF(AND($F1027="Baseline",$H1027&lt;&gt;""),"⚠ Baseline: Start لا يدخل في التقدم",IF($K1027="No Start (attainment only)","ℹ تحصيل فقط (بدون Start)",IF($K1027="U – needs rule","ℹ حالة U تحتاج قاعدة معتمدة",IF($K1027="No result","ℹ بدون نتيجة (يُستبعد من التحصيل)","OK")))))))))))</f>
        <v/>
      </c>
      <c r="M1027" s="64" t="n">
        <f aca="false">IF($A1027="",0,IFERROR(MATCH($A1027,Classes!$A$6:$A$420,0),0))</f>
        <v>0</v>
      </c>
      <c r="N1027" s="64" t="n">
        <f aca="false">IF($H1027="",0,IFERROR(MATCH($H1027,GradeList,0),0))</f>
        <v>0</v>
      </c>
      <c r="O1027" s="64" t="n">
        <f aca="false">IF(OR($I1027="",$I1027="NR"),0,IFERROR(MATCH($I1027,GradeList,0),0))</f>
        <v>0</v>
      </c>
      <c r="P1027" s="64" t="n">
        <f aca="false">IF(AND($M1027&gt;0,ISNUMBER(MATCH($F1027,Lists!$A$2:$A$5,0)),ISNUMBER(MATCH($G1027,Lists!$B$2:$B$7,0)),OR($H1027="",$N1027&gt;0),OR($I1027="",$I1027="NR",$O1027&gt;0),IF(ISNUMBER($J1027),AND($J1027&gt;=0,$J1027=INT($J1027)),FALSE())),$J1027,0)</f>
        <v>0</v>
      </c>
      <c r="Q1027" s="64" t="n">
        <f aca="false">IF(AND($P1027&gt;0,$O1027&gt;0),$P1027,0)</f>
        <v>0</v>
      </c>
      <c r="R1027" s="64" t="n">
        <f aca="false">IF(AND($Q1027&gt;0,$O1027&gt;=AtRank),$Q1027,0)</f>
        <v>0</v>
      </c>
      <c r="S1027" s="64" t="n">
        <f aca="false">IF(AND($Q1027&gt;0,$O1027&gt;=AboveRank),$Q1027,0)</f>
        <v>0</v>
      </c>
      <c r="T1027" s="64" t="n">
        <f aca="false">IF($K1027="Less",$P1027,0)</f>
        <v>0</v>
      </c>
      <c r="U1027" s="64" t="n">
        <f aca="false">IF($K1027="Expected",$P1027,0)</f>
        <v>0</v>
      </c>
      <c r="V1027" s="64" t="n">
        <f aca="false">IF($K1027="Better",$P1027,0)</f>
        <v>0</v>
      </c>
      <c r="W1027" s="64" t="n">
        <f aca="false">IF($K1027="U – needs rule",$P1027,0)</f>
        <v>0</v>
      </c>
      <c r="X1027" s="64" t="n">
        <f aca="false">IF($K1027="No Start (attainment only)",$P1027,0)</f>
        <v>0</v>
      </c>
    </row>
    <row r="1028" customFormat="false" ht="15" hidden="false" customHeight="false" outlineLevel="0" collapsed="false">
      <c r="A1028" s="60"/>
      <c r="B1028" s="61" t="str">
        <f aca="false">IF($M1028=0,"",INDEX(Classes!$E$6:$E$420,$M1028))</f>
        <v/>
      </c>
      <c r="C1028" s="62" t="str">
        <f aca="false">IF($M1028=0,"",INDEX(Classes!$H$6:$H$420,$M1028))</f>
        <v/>
      </c>
      <c r="D1028" s="61" t="str">
        <f aca="false">IF($M1028=0,"",INDEX(Classes!$B$6:$B$420,$M1028))</f>
        <v/>
      </c>
      <c r="E1028" s="61" t="str">
        <f aca="false">IF($M1028=0,"",INDEX(Classes!$C$6:$C$420,$M1028))</f>
        <v/>
      </c>
      <c r="F1028" s="63"/>
      <c r="G1028" s="63"/>
      <c r="H1028" s="60"/>
      <c r="I1028" s="60"/>
      <c r="J1028" s="63"/>
      <c r="K1028" s="61" t="str">
        <f aca="false">IF($P1028=0,"",IF($F1028="Baseline","— Baseline",IF($O1028=0,"No result",IF($N1028=0,"No Start (attainment only)",IF(OR($N1028=1,$O1028=1),"U – needs rule",INDEX(MxBody,MATCH($I1028,MxCurr,0),MATCH($H1028,MxStart,0)))))))</f>
        <v/>
      </c>
      <c r="L1028" s="62" t="str">
        <f aca="false">IF(COUNTA($A1028,$F1028,$G1028,$H1028,$I1028,$J1028)=0,"",IF($M1028=0,"✖ كود الصف غير موجود",IF(ISNA(MATCH($F1028,Lists!$A$2:$A$5,0)),"✖ الفترة غير صحيحة",IF(ISNA(MATCH($G1028,Lists!$B$2:$B$7,0)),"✖ المجموعة غير صحيحة",IF(NOT(OR($H1028="",$N1028&gt;0)),"✖ Start غير صحيح",IF(NOT(OR($I1028="",$I1028="NR",$O1028&gt;0)),"✖ Current غير صحيح",IF(NOT(IF(ISNUMBER($J1028),AND($J1028&gt;=0,$J1028=INT($J1028)),FALSE())),"✖ العدد يجب أن يكون صحيحًا ≥ 0",IF(AND($F1028="Baseline",$H1028&lt;&gt;""),"⚠ Baseline: Start لا يدخل في التقدم",IF($K1028="No Start (attainment only)","ℹ تحصيل فقط (بدون Start)",IF($K1028="U – needs rule","ℹ حالة U تحتاج قاعدة معتمدة",IF($K1028="No result","ℹ بدون نتيجة (يُستبعد من التحصيل)","OK")))))))))))</f>
        <v/>
      </c>
      <c r="M1028" s="64" t="n">
        <f aca="false">IF($A1028="",0,IFERROR(MATCH($A1028,Classes!$A$6:$A$420,0),0))</f>
        <v>0</v>
      </c>
      <c r="N1028" s="64" t="n">
        <f aca="false">IF($H1028="",0,IFERROR(MATCH($H1028,GradeList,0),0))</f>
        <v>0</v>
      </c>
      <c r="O1028" s="64" t="n">
        <f aca="false">IF(OR($I1028="",$I1028="NR"),0,IFERROR(MATCH($I1028,GradeList,0),0))</f>
        <v>0</v>
      </c>
      <c r="P1028" s="64" t="n">
        <f aca="false">IF(AND($M1028&gt;0,ISNUMBER(MATCH($F1028,Lists!$A$2:$A$5,0)),ISNUMBER(MATCH($G1028,Lists!$B$2:$B$7,0)),OR($H1028="",$N1028&gt;0),OR($I1028="",$I1028="NR",$O1028&gt;0),IF(ISNUMBER($J1028),AND($J1028&gt;=0,$J1028=INT($J1028)),FALSE())),$J1028,0)</f>
        <v>0</v>
      </c>
      <c r="Q1028" s="64" t="n">
        <f aca="false">IF(AND($P1028&gt;0,$O1028&gt;0),$P1028,0)</f>
        <v>0</v>
      </c>
      <c r="R1028" s="64" t="n">
        <f aca="false">IF(AND($Q1028&gt;0,$O1028&gt;=AtRank),$Q1028,0)</f>
        <v>0</v>
      </c>
      <c r="S1028" s="64" t="n">
        <f aca="false">IF(AND($Q1028&gt;0,$O1028&gt;=AboveRank),$Q1028,0)</f>
        <v>0</v>
      </c>
      <c r="T1028" s="64" t="n">
        <f aca="false">IF($K1028="Less",$P1028,0)</f>
        <v>0</v>
      </c>
      <c r="U1028" s="64" t="n">
        <f aca="false">IF($K1028="Expected",$P1028,0)</f>
        <v>0</v>
      </c>
      <c r="V1028" s="64" t="n">
        <f aca="false">IF($K1028="Better",$P1028,0)</f>
        <v>0</v>
      </c>
      <c r="W1028" s="64" t="n">
        <f aca="false">IF($K1028="U – needs rule",$P1028,0)</f>
        <v>0</v>
      </c>
      <c r="X1028" s="64" t="n">
        <f aca="false">IF($K1028="No Start (attainment only)",$P1028,0)</f>
        <v>0</v>
      </c>
    </row>
    <row r="1029" customFormat="false" ht="15" hidden="false" customHeight="false" outlineLevel="0" collapsed="false">
      <c r="A1029" s="60"/>
      <c r="B1029" s="61" t="str">
        <f aca="false">IF($M1029=0,"",INDEX(Classes!$E$6:$E$420,$M1029))</f>
        <v/>
      </c>
      <c r="C1029" s="62" t="str">
        <f aca="false">IF($M1029=0,"",INDEX(Classes!$H$6:$H$420,$M1029))</f>
        <v/>
      </c>
      <c r="D1029" s="61" t="str">
        <f aca="false">IF($M1029=0,"",INDEX(Classes!$B$6:$B$420,$M1029))</f>
        <v/>
      </c>
      <c r="E1029" s="61" t="str">
        <f aca="false">IF($M1029=0,"",INDEX(Classes!$C$6:$C$420,$M1029))</f>
        <v/>
      </c>
      <c r="F1029" s="63"/>
      <c r="G1029" s="63"/>
      <c r="H1029" s="60"/>
      <c r="I1029" s="60"/>
      <c r="J1029" s="63"/>
      <c r="K1029" s="61" t="str">
        <f aca="false">IF($P1029=0,"",IF($F1029="Baseline","— Baseline",IF($O1029=0,"No result",IF($N1029=0,"No Start (attainment only)",IF(OR($N1029=1,$O1029=1),"U – needs rule",INDEX(MxBody,MATCH($I1029,MxCurr,0),MATCH($H1029,MxStart,0)))))))</f>
        <v/>
      </c>
      <c r="L1029" s="62" t="str">
        <f aca="false">IF(COUNTA($A1029,$F1029,$G1029,$H1029,$I1029,$J1029)=0,"",IF($M1029=0,"✖ كود الصف غير موجود",IF(ISNA(MATCH($F1029,Lists!$A$2:$A$5,0)),"✖ الفترة غير صحيحة",IF(ISNA(MATCH($G1029,Lists!$B$2:$B$7,0)),"✖ المجموعة غير صحيحة",IF(NOT(OR($H1029="",$N1029&gt;0)),"✖ Start غير صحيح",IF(NOT(OR($I1029="",$I1029="NR",$O1029&gt;0)),"✖ Current غير صحيح",IF(NOT(IF(ISNUMBER($J1029),AND($J1029&gt;=0,$J1029=INT($J1029)),FALSE())),"✖ العدد يجب أن يكون صحيحًا ≥ 0",IF(AND($F1029="Baseline",$H1029&lt;&gt;""),"⚠ Baseline: Start لا يدخل في التقدم",IF($K1029="No Start (attainment only)","ℹ تحصيل فقط (بدون Start)",IF($K1029="U – needs rule","ℹ حالة U تحتاج قاعدة معتمدة",IF($K1029="No result","ℹ بدون نتيجة (يُستبعد من التحصيل)","OK")))))))))))</f>
        <v/>
      </c>
      <c r="M1029" s="64" t="n">
        <f aca="false">IF($A1029="",0,IFERROR(MATCH($A1029,Classes!$A$6:$A$420,0),0))</f>
        <v>0</v>
      </c>
      <c r="N1029" s="64" t="n">
        <f aca="false">IF($H1029="",0,IFERROR(MATCH($H1029,GradeList,0),0))</f>
        <v>0</v>
      </c>
      <c r="O1029" s="64" t="n">
        <f aca="false">IF(OR($I1029="",$I1029="NR"),0,IFERROR(MATCH($I1029,GradeList,0),0))</f>
        <v>0</v>
      </c>
      <c r="P1029" s="64" t="n">
        <f aca="false">IF(AND($M1029&gt;0,ISNUMBER(MATCH($F1029,Lists!$A$2:$A$5,0)),ISNUMBER(MATCH($G1029,Lists!$B$2:$B$7,0)),OR($H1029="",$N1029&gt;0),OR($I1029="",$I1029="NR",$O1029&gt;0),IF(ISNUMBER($J1029),AND($J1029&gt;=0,$J1029=INT($J1029)),FALSE())),$J1029,0)</f>
        <v>0</v>
      </c>
      <c r="Q1029" s="64" t="n">
        <f aca="false">IF(AND($P1029&gt;0,$O1029&gt;0),$P1029,0)</f>
        <v>0</v>
      </c>
      <c r="R1029" s="64" t="n">
        <f aca="false">IF(AND($Q1029&gt;0,$O1029&gt;=AtRank),$Q1029,0)</f>
        <v>0</v>
      </c>
      <c r="S1029" s="64" t="n">
        <f aca="false">IF(AND($Q1029&gt;0,$O1029&gt;=AboveRank),$Q1029,0)</f>
        <v>0</v>
      </c>
      <c r="T1029" s="64" t="n">
        <f aca="false">IF($K1029="Less",$P1029,0)</f>
        <v>0</v>
      </c>
      <c r="U1029" s="64" t="n">
        <f aca="false">IF($K1029="Expected",$P1029,0)</f>
        <v>0</v>
      </c>
      <c r="V1029" s="64" t="n">
        <f aca="false">IF($K1029="Better",$P1029,0)</f>
        <v>0</v>
      </c>
      <c r="W1029" s="64" t="n">
        <f aca="false">IF($K1029="U – needs rule",$P1029,0)</f>
        <v>0</v>
      </c>
      <c r="X1029" s="64" t="n">
        <f aca="false">IF($K1029="No Start (attainment only)",$P1029,0)</f>
        <v>0</v>
      </c>
    </row>
    <row r="1030" customFormat="false" ht="15" hidden="false" customHeight="false" outlineLevel="0" collapsed="false">
      <c r="A1030" s="60"/>
      <c r="B1030" s="61" t="str">
        <f aca="false">IF($M1030=0,"",INDEX(Classes!$E$6:$E$420,$M1030))</f>
        <v/>
      </c>
      <c r="C1030" s="62" t="str">
        <f aca="false">IF($M1030=0,"",INDEX(Classes!$H$6:$H$420,$M1030))</f>
        <v/>
      </c>
      <c r="D1030" s="61" t="str">
        <f aca="false">IF($M1030=0,"",INDEX(Classes!$B$6:$B$420,$M1030))</f>
        <v/>
      </c>
      <c r="E1030" s="61" t="str">
        <f aca="false">IF($M1030=0,"",INDEX(Classes!$C$6:$C$420,$M1030))</f>
        <v/>
      </c>
      <c r="F1030" s="63"/>
      <c r="G1030" s="63"/>
      <c r="H1030" s="60"/>
      <c r="I1030" s="60"/>
      <c r="J1030" s="63"/>
      <c r="K1030" s="61" t="str">
        <f aca="false">IF($P1030=0,"",IF($F1030="Baseline","— Baseline",IF($O1030=0,"No result",IF($N1030=0,"No Start (attainment only)",IF(OR($N1030=1,$O1030=1),"U – needs rule",INDEX(MxBody,MATCH($I1030,MxCurr,0),MATCH($H1030,MxStart,0)))))))</f>
        <v/>
      </c>
      <c r="L1030" s="62" t="str">
        <f aca="false">IF(COUNTA($A1030,$F1030,$G1030,$H1030,$I1030,$J1030)=0,"",IF($M1030=0,"✖ كود الصف غير موجود",IF(ISNA(MATCH($F1030,Lists!$A$2:$A$5,0)),"✖ الفترة غير صحيحة",IF(ISNA(MATCH($G1030,Lists!$B$2:$B$7,0)),"✖ المجموعة غير صحيحة",IF(NOT(OR($H1030="",$N1030&gt;0)),"✖ Start غير صحيح",IF(NOT(OR($I1030="",$I1030="NR",$O1030&gt;0)),"✖ Current غير صحيح",IF(NOT(IF(ISNUMBER($J1030),AND($J1030&gt;=0,$J1030=INT($J1030)),FALSE())),"✖ العدد يجب أن يكون صحيحًا ≥ 0",IF(AND($F1030="Baseline",$H1030&lt;&gt;""),"⚠ Baseline: Start لا يدخل في التقدم",IF($K1030="No Start (attainment only)","ℹ تحصيل فقط (بدون Start)",IF($K1030="U – needs rule","ℹ حالة U تحتاج قاعدة معتمدة",IF($K1030="No result","ℹ بدون نتيجة (يُستبعد من التحصيل)","OK")))))))))))</f>
        <v/>
      </c>
      <c r="M1030" s="64" t="n">
        <f aca="false">IF($A1030="",0,IFERROR(MATCH($A1030,Classes!$A$6:$A$420,0),0))</f>
        <v>0</v>
      </c>
      <c r="N1030" s="64" t="n">
        <f aca="false">IF($H1030="",0,IFERROR(MATCH($H1030,GradeList,0),0))</f>
        <v>0</v>
      </c>
      <c r="O1030" s="64" t="n">
        <f aca="false">IF(OR($I1030="",$I1030="NR"),0,IFERROR(MATCH($I1030,GradeList,0),0))</f>
        <v>0</v>
      </c>
      <c r="P1030" s="64" t="n">
        <f aca="false">IF(AND($M1030&gt;0,ISNUMBER(MATCH($F1030,Lists!$A$2:$A$5,0)),ISNUMBER(MATCH($G1030,Lists!$B$2:$B$7,0)),OR($H1030="",$N1030&gt;0),OR($I1030="",$I1030="NR",$O1030&gt;0),IF(ISNUMBER($J1030),AND($J1030&gt;=0,$J1030=INT($J1030)),FALSE())),$J1030,0)</f>
        <v>0</v>
      </c>
      <c r="Q1030" s="64" t="n">
        <f aca="false">IF(AND($P1030&gt;0,$O1030&gt;0),$P1030,0)</f>
        <v>0</v>
      </c>
      <c r="R1030" s="64" t="n">
        <f aca="false">IF(AND($Q1030&gt;0,$O1030&gt;=AtRank),$Q1030,0)</f>
        <v>0</v>
      </c>
      <c r="S1030" s="64" t="n">
        <f aca="false">IF(AND($Q1030&gt;0,$O1030&gt;=AboveRank),$Q1030,0)</f>
        <v>0</v>
      </c>
      <c r="T1030" s="64" t="n">
        <f aca="false">IF($K1030="Less",$P1030,0)</f>
        <v>0</v>
      </c>
      <c r="U1030" s="64" t="n">
        <f aca="false">IF($K1030="Expected",$P1030,0)</f>
        <v>0</v>
      </c>
      <c r="V1030" s="64" t="n">
        <f aca="false">IF($K1030="Better",$P1030,0)</f>
        <v>0</v>
      </c>
      <c r="W1030" s="64" t="n">
        <f aca="false">IF($K1030="U – needs rule",$P1030,0)</f>
        <v>0</v>
      </c>
      <c r="X1030" s="64" t="n">
        <f aca="false">IF($K1030="No Start (attainment only)",$P1030,0)</f>
        <v>0</v>
      </c>
    </row>
    <row r="1031" customFormat="false" ht="15" hidden="false" customHeight="false" outlineLevel="0" collapsed="false">
      <c r="A1031" s="60"/>
      <c r="B1031" s="61" t="str">
        <f aca="false">IF($M1031=0,"",INDEX(Classes!$E$6:$E$420,$M1031))</f>
        <v/>
      </c>
      <c r="C1031" s="62" t="str">
        <f aca="false">IF($M1031=0,"",INDEX(Classes!$H$6:$H$420,$M1031))</f>
        <v/>
      </c>
      <c r="D1031" s="61" t="str">
        <f aca="false">IF($M1031=0,"",INDEX(Classes!$B$6:$B$420,$M1031))</f>
        <v/>
      </c>
      <c r="E1031" s="61" t="str">
        <f aca="false">IF($M1031=0,"",INDEX(Classes!$C$6:$C$420,$M1031))</f>
        <v/>
      </c>
      <c r="F1031" s="63"/>
      <c r="G1031" s="63"/>
      <c r="H1031" s="60"/>
      <c r="I1031" s="60"/>
      <c r="J1031" s="63"/>
      <c r="K1031" s="61" t="str">
        <f aca="false">IF($P1031=0,"",IF($F1031="Baseline","— Baseline",IF($O1031=0,"No result",IF($N1031=0,"No Start (attainment only)",IF(OR($N1031=1,$O1031=1),"U – needs rule",INDEX(MxBody,MATCH($I1031,MxCurr,0),MATCH($H1031,MxStart,0)))))))</f>
        <v/>
      </c>
      <c r="L1031" s="62" t="str">
        <f aca="false">IF(COUNTA($A1031,$F1031,$G1031,$H1031,$I1031,$J1031)=0,"",IF($M1031=0,"✖ كود الصف غير موجود",IF(ISNA(MATCH($F1031,Lists!$A$2:$A$5,0)),"✖ الفترة غير صحيحة",IF(ISNA(MATCH($G1031,Lists!$B$2:$B$7,0)),"✖ المجموعة غير صحيحة",IF(NOT(OR($H1031="",$N1031&gt;0)),"✖ Start غير صحيح",IF(NOT(OR($I1031="",$I1031="NR",$O1031&gt;0)),"✖ Current غير صحيح",IF(NOT(IF(ISNUMBER($J1031),AND($J1031&gt;=0,$J1031=INT($J1031)),FALSE())),"✖ العدد يجب أن يكون صحيحًا ≥ 0",IF(AND($F1031="Baseline",$H1031&lt;&gt;""),"⚠ Baseline: Start لا يدخل في التقدم",IF($K1031="No Start (attainment only)","ℹ تحصيل فقط (بدون Start)",IF($K1031="U – needs rule","ℹ حالة U تحتاج قاعدة معتمدة",IF($K1031="No result","ℹ بدون نتيجة (يُستبعد من التحصيل)","OK")))))))))))</f>
        <v/>
      </c>
      <c r="M1031" s="64" t="n">
        <f aca="false">IF($A1031="",0,IFERROR(MATCH($A1031,Classes!$A$6:$A$420,0),0))</f>
        <v>0</v>
      </c>
      <c r="N1031" s="64" t="n">
        <f aca="false">IF($H1031="",0,IFERROR(MATCH($H1031,GradeList,0),0))</f>
        <v>0</v>
      </c>
      <c r="O1031" s="64" t="n">
        <f aca="false">IF(OR($I1031="",$I1031="NR"),0,IFERROR(MATCH($I1031,GradeList,0),0))</f>
        <v>0</v>
      </c>
      <c r="P1031" s="64" t="n">
        <f aca="false">IF(AND($M1031&gt;0,ISNUMBER(MATCH($F1031,Lists!$A$2:$A$5,0)),ISNUMBER(MATCH($G1031,Lists!$B$2:$B$7,0)),OR($H1031="",$N1031&gt;0),OR($I1031="",$I1031="NR",$O1031&gt;0),IF(ISNUMBER($J1031),AND($J1031&gt;=0,$J1031=INT($J1031)),FALSE())),$J1031,0)</f>
        <v>0</v>
      </c>
      <c r="Q1031" s="64" t="n">
        <f aca="false">IF(AND($P1031&gt;0,$O1031&gt;0),$P1031,0)</f>
        <v>0</v>
      </c>
      <c r="R1031" s="64" t="n">
        <f aca="false">IF(AND($Q1031&gt;0,$O1031&gt;=AtRank),$Q1031,0)</f>
        <v>0</v>
      </c>
      <c r="S1031" s="64" t="n">
        <f aca="false">IF(AND($Q1031&gt;0,$O1031&gt;=AboveRank),$Q1031,0)</f>
        <v>0</v>
      </c>
      <c r="T1031" s="64" t="n">
        <f aca="false">IF($K1031="Less",$P1031,0)</f>
        <v>0</v>
      </c>
      <c r="U1031" s="64" t="n">
        <f aca="false">IF($K1031="Expected",$P1031,0)</f>
        <v>0</v>
      </c>
      <c r="V1031" s="64" t="n">
        <f aca="false">IF($K1031="Better",$P1031,0)</f>
        <v>0</v>
      </c>
      <c r="W1031" s="64" t="n">
        <f aca="false">IF($K1031="U – needs rule",$P1031,0)</f>
        <v>0</v>
      </c>
      <c r="X1031" s="64" t="n">
        <f aca="false">IF($K1031="No Start (attainment only)",$P1031,0)</f>
        <v>0</v>
      </c>
    </row>
    <row r="1032" customFormat="false" ht="15" hidden="false" customHeight="false" outlineLevel="0" collapsed="false">
      <c r="A1032" s="60"/>
      <c r="B1032" s="61" t="str">
        <f aca="false">IF($M1032=0,"",INDEX(Classes!$E$6:$E$420,$M1032))</f>
        <v/>
      </c>
      <c r="C1032" s="62" t="str">
        <f aca="false">IF($M1032=0,"",INDEX(Classes!$H$6:$H$420,$M1032))</f>
        <v/>
      </c>
      <c r="D1032" s="61" t="str">
        <f aca="false">IF($M1032=0,"",INDEX(Classes!$B$6:$B$420,$M1032))</f>
        <v/>
      </c>
      <c r="E1032" s="61" t="str">
        <f aca="false">IF($M1032=0,"",INDEX(Classes!$C$6:$C$420,$M1032))</f>
        <v/>
      </c>
      <c r="F1032" s="63"/>
      <c r="G1032" s="63"/>
      <c r="H1032" s="60"/>
      <c r="I1032" s="60"/>
      <c r="J1032" s="63"/>
      <c r="K1032" s="61" t="str">
        <f aca="false">IF($P1032=0,"",IF($F1032="Baseline","— Baseline",IF($O1032=0,"No result",IF($N1032=0,"No Start (attainment only)",IF(OR($N1032=1,$O1032=1),"U – needs rule",INDEX(MxBody,MATCH($I1032,MxCurr,0),MATCH($H1032,MxStart,0)))))))</f>
        <v/>
      </c>
      <c r="L1032" s="62" t="str">
        <f aca="false">IF(COUNTA($A1032,$F1032,$G1032,$H1032,$I1032,$J1032)=0,"",IF($M1032=0,"✖ كود الصف غير موجود",IF(ISNA(MATCH($F1032,Lists!$A$2:$A$5,0)),"✖ الفترة غير صحيحة",IF(ISNA(MATCH($G1032,Lists!$B$2:$B$7,0)),"✖ المجموعة غير صحيحة",IF(NOT(OR($H1032="",$N1032&gt;0)),"✖ Start غير صحيح",IF(NOT(OR($I1032="",$I1032="NR",$O1032&gt;0)),"✖ Current غير صحيح",IF(NOT(IF(ISNUMBER($J1032),AND($J1032&gt;=0,$J1032=INT($J1032)),FALSE())),"✖ العدد يجب أن يكون صحيحًا ≥ 0",IF(AND($F1032="Baseline",$H1032&lt;&gt;""),"⚠ Baseline: Start لا يدخل في التقدم",IF($K1032="No Start (attainment only)","ℹ تحصيل فقط (بدون Start)",IF($K1032="U – needs rule","ℹ حالة U تحتاج قاعدة معتمدة",IF($K1032="No result","ℹ بدون نتيجة (يُستبعد من التحصيل)","OK")))))))))))</f>
        <v/>
      </c>
      <c r="M1032" s="64" t="n">
        <f aca="false">IF($A1032="",0,IFERROR(MATCH($A1032,Classes!$A$6:$A$420,0),0))</f>
        <v>0</v>
      </c>
      <c r="N1032" s="64" t="n">
        <f aca="false">IF($H1032="",0,IFERROR(MATCH($H1032,GradeList,0),0))</f>
        <v>0</v>
      </c>
      <c r="O1032" s="64" t="n">
        <f aca="false">IF(OR($I1032="",$I1032="NR"),0,IFERROR(MATCH($I1032,GradeList,0),0))</f>
        <v>0</v>
      </c>
      <c r="P1032" s="64" t="n">
        <f aca="false">IF(AND($M1032&gt;0,ISNUMBER(MATCH($F1032,Lists!$A$2:$A$5,0)),ISNUMBER(MATCH($G1032,Lists!$B$2:$B$7,0)),OR($H1032="",$N1032&gt;0),OR($I1032="",$I1032="NR",$O1032&gt;0),IF(ISNUMBER($J1032),AND($J1032&gt;=0,$J1032=INT($J1032)),FALSE())),$J1032,0)</f>
        <v>0</v>
      </c>
      <c r="Q1032" s="64" t="n">
        <f aca="false">IF(AND($P1032&gt;0,$O1032&gt;0),$P1032,0)</f>
        <v>0</v>
      </c>
      <c r="R1032" s="64" t="n">
        <f aca="false">IF(AND($Q1032&gt;0,$O1032&gt;=AtRank),$Q1032,0)</f>
        <v>0</v>
      </c>
      <c r="S1032" s="64" t="n">
        <f aca="false">IF(AND($Q1032&gt;0,$O1032&gt;=AboveRank),$Q1032,0)</f>
        <v>0</v>
      </c>
      <c r="T1032" s="64" t="n">
        <f aca="false">IF($K1032="Less",$P1032,0)</f>
        <v>0</v>
      </c>
      <c r="U1032" s="64" t="n">
        <f aca="false">IF($K1032="Expected",$P1032,0)</f>
        <v>0</v>
      </c>
      <c r="V1032" s="64" t="n">
        <f aca="false">IF($K1032="Better",$P1032,0)</f>
        <v>0</v>
      </c>
      <c r="W1032" s="64" t="n">
        <f aca="false">IF($K1032="U – needs rule",$P1032,0)</f>
        <v>0</v>
      </c>
      <c r="X1032" s="64" t="n">
        <f aca="false">IF($K1032="No Start (attainment only)",$P1032,0)</f>
        <v>0</v>
      </c>
    </row>
    <row r="1033" customFormat="false" ht="15" hidden="false" customHeight="false" outlineLevel="0" collapsed="false">
      <c r="A1033" s="60"/>
      <c r="B1033" s="61" t="str">
        <f aca="false">IF($M1033=0,"",INDEX(Classes!$E$6:$E$420,$M1033))</f>
        <v/>
      </c>
      <c r="C1033" s="62" t="str">
        <f aca="false">IF($M1033=0,"",INDEX(Classes!$H$6:$H$420,$M1033))</f>
        <v/>
      </c>
      <c r="D1033" s="61" t="str">
        <f aca="false">IF($M1033=0,"",INDEX(Classes!$B$6:$B$420,$M1033))</f>
        <v/>
      </c>
      <c r="E1033" s="61" t="str">
        <f aca="false">IF($M1033=0,"",INDEX(Classes!$C$6:$C$420,$M1033))</f>
        <v/>
      </c>
      <c r="F1033" s="63"/>
      <c r="G1033" s="63"/>
      <c r="H1033" s="60"/>
      <c r="I1033" s="60"/>
      <c r="J1033" s="63"/>
      <c r="K1033" s="61" t="str">
        <f aca="false">IF($P1033=0,"",IF($F1033="Baseline","— Baseline",IF($O1033=0,"No result",IF($N1033=0,"No Start (attainment only)",IF(OR($N1033=1,$O1033=1),"U – needs rule",INDEX(MxBody,MATCH($I1033,MxCurr,0),MATCH($H1033,MxStart,0)))))))</f>
        <v/>
      </c>
      <c r="L1033" s="62" t="str">
        <f aca="false">IF(COUNTA($A1033,$F1033,$G1033,$H1033,$I1033,$J1033)=0,"",IF($M1033=0,"✖ كود الصف غير موجود",IF(ISNA(MATCH($F1033,Lists!$A$2:$A$5,0)),"✖ الفترة غير صحيحة",IF(ISNA(MATCH($G1033,Lists!$B$2:$B$7,0)),"✖ المجموعة غير صحيحة",IF(NOT(OR($H1033="",$N1033&gt;0)),"✖ Start غير صحيح",IF(NOT(OR($I1033="",$I1033="NR",$O1033&gt;0)),"✖ Current غير صحيح",IF(NOT(IF(ISNUMBER($J1033),AND($J1033&gt;=0,$J1033=INT($J1033)),FALSE())),"✖ العدد يجب أن يكون صحيحًا ≥ 0",IF(AND($F1033="Baseline",$H1033&lt;&gt;""),"⚠ Baseline: Start لا يدخل في التقدم",IF($K1033="No Start (attainment only)","ℹ تحصيل فقط (بدون Start)",IF($K1033="U – needs rule","ℹ حالة U تحتاج قاعدة معتمدة",IF($K1033="No result","ℹ بدون نتيجة (يُستبعد من التحصيل)","OK")))))))))))</f>
        <v/>
      </c>
      <c r="M1033" s="64" t="n">
        <f aca="false">IF($A1033="",0,IFERROR(MATCH($A1033,Classes!$A$6:$A$420,0),0))</f>
        <v>0</v>
      </c>
      <c r="N1033" s="64" t="n">
        <f aca="false">IF($H1033="",0,IFERROR(MATCH($H1033,GradeList,0),0))</f>
        <v>0</v>
      </c>
      <c r="O1033" s="64" t="n">
        <f aca="false">IF(OR($I1033="",$I1033="NR"),0,IFERROR(MATCH($I1033,GradeList,0),0))</f>
        <v>0</v>
      </c>
      <c r="P1033" s="64" t="n">
        <f aca="false">IF(AND($M1033&gt;0,ISNUMBER(MATCH($F1033,Lists!$A$2:$A$5,0)),ISNUMBER(MATCH($G1033,Lists!$B$2:$B$7,0)),OR($H1033="",$N1033&gt;0),OR($I1033="",$I1033="NR",$O1033&gt;0),IF(ISNUMBER($J1033),AND($J1033&gt;=0,$J1033=INT($J1033)),FALSE())),$J1033,0)</f>
        <v>0</v>
      </c>
      <c r="Q1033" s="64" t="n">
        <f aca="false">IF(AND($P1033&gt;0,$O1033&gt;0),$P1033,0)</f>
        <v>0</v>
      </c>
      <c r="R1033" s="64" t="n">
        <f aca="false">IF(AND($Q1033&gt;0,$O1033&gt;=AtRank),$Q1033,0)</f>
        <v>0</v>
      </c>
      <c r="S1033" s="64" t="n">
        <f aca="false">IF(AND($Q1033&gt;0,$O1033&gt;=AboveRank),$Q1033,0)</f>
        <v>0</v>
      </c>
      <c r="T1033" s="64" t="n">
        <f aca="false">IF($K1033="Less",$P1033,0)</f>
        <v>0</v>
      </c>
      <c r="U1033" s="64" t="n">
        <f aca="false">IF($K1033="Expected",$P1033,0)</f>
        <v>0</v>
      </c>
      <c r="V1033" s="64" t="n">
        <f aca="false">IF($K1033="Better",$P1033,0)</f>
        <v>0</v>
      </c>
      <c r="W1033" s="64" t="n">
        <f aca="false">IF($K1033="U – needs rule",$P1033,0)</f>
        <v>0</v>
      </c>
      <c r="X1033" s="64" t="n">
        <f aca="false">IF($K1033="No Start (attainment only)",$P1033,0)</f>
        <v>0</v>
      </c>
    </row>
    <row r="1034" customFormat="false" ht="15" hidden="false" customHeight="false" outlineLevel="0" collapsed="false">
      <c r="A1034" s="60"/>
      <c r="B1034" s="61" t="str">
        <f aca="false">IF($M1034=0,"",INDEX(Classes!$E$6:$E$420,$M1034))</f>
        <v/>
      </c>
      <c r="C1034" s="62" t="str">
        <f aca="false">IF($M1034=0,"",INDEX(Classes!$H$6:$H$420,$M1034))</f>
        <v/>
      </c>
      <c r="D1034" s="61" t="str">
        <f aca="false">IF($M1034=0,"",INDEX(Classes!$B$6:$B$420,$M1034))</f>
        <v/>
      </c>
      <c r="E1034" s="61" t="str">
        <f aca="false">IF($M1034=0,"",INDEX(Classes!$C$6:$C$420,$M1034))</f>
        <v/>
      </c>
      <c r="F1034" s="63"/>
      <c r="G1034" s="63"/>
      <c r="H1034" s="60"/>
      <c r="I1034" s="60"/>
      <c r="J1034" s="63"/>
      <c r="K1034" s="61" t="str">
        <f aca="false">IF($P1034=0,"",IF($F1034="Baseline","— Baseline",IF($O1034=0,"No result",IF($N1034=0,"No Start (attainment only)",IF(OR($N1034=1,$O1034=1),"U – needs rule",INDEX(MxBody,MATCH($I1034,MxCurr,0),MATCH($H1034,MxStart,0)))))))</f>
        <v/>
      </c>
      <c r="L1034" s="62" t="str">
        <f aca="false">IF(COUNTA($A1034,$F1034,$G1034,$H1034,$I1034,$J1034)=0,"",IF($M1034=0,"✖ كود الصف غير موجود",IF(ISNA(MATCH($F1034,Lists!$A$2:$A$5,0)),"✖ الفترة غير صحيحة",IF(ISNA(MATCH($G1034,Lists!$B$2:$B$7,0)),"✖ المجموعة غير صحيحة",IF(NOT(OR($H1034="",$N1034&gt;0)),"✖ Start غير صحيح",IF(NOT(OR($I1034="",$I1034="NR",$O1034&gt;0)),"✖ Current غير صحيح",IF(NOT(IF(ISNUMBER($J1034),AND($J1034&gt;=0,$J1034=INT($J1034)),FALSE())),"✖ العدد يجب أن يكون صحيحًا ≥ 0",IF(AND($F1034="Baseline",$H1034&lt;&gt;""),"⚠ Baseline: Start لا يدخل في التقدم",IF($K1034="No Start (attainment only)","ℹ تحصيل فقط (بدون Start)",IF($K1034="U – needs rule","ℹ حالة U تحتاج قاعدة معتمدة",IF($K1034="No result","ℹ بدون نتيجة (يُستبعد من التحصيل)","OK")))))))))))</f>
        <v/>
      </c>
      <c r="M1034" s="64" t="n">
        <f aca="false">IF($A1034="",0,IFERROR(MATCH($A1034,Classes!$A$6:$A$420,0),0))</f>
        <v>0</v>
      </c>
      <c r="N1034" s="64" t="n">
        <f aca="false">IF($H1034="",0,IFERROR(MATCH($H1034,GradeList,0),0))</f>
        <v>0</v>
      </c>
      <c r="O1034" s="64" t="n">
        <f aca="false">IF(OR($I1034="",$I1034="NR"),0,IFERROR(MATCH($I1034,GradeList,0),0))</f>
        <v>0</v>
      </c>
      <c r="P1034" s="64" t="n">
        <f aca="false">IF(AND($M1034&gt;0,ISNUMBER(MATCH($F1034,Lists!$A$2:$A$5,0)),ISNUMBER(MATCH($G1034,Lists!$B$2:$B$7,0)),OR($H1034="",$N1034&gt;0),OR($I1034="",$I1034="NR",$O1034&gt;0),IF(ISNUMBER($J1034),AND($J1034&gt;=0,$J1034=INT($J1034)),FALSE())),$J1034,0)</f>
        <v>0</v>
      </c>
      <c r="Q1034" s="64" t="n">
        <f aca="false">IF(AND($P1034&gt;0,$O1034&gt;0),$P1034,0)</f>
        <v>0</v>
      </c>
      <c r="R1034" s="64" t="n">
        <f aca="false">IF(AND($Q1034&gt;0,$O1034&gt;=AtRank),$Q1034,0)</f>
        <v>0</v>
      </c>
      <c r="S1034" s="64" t="n">
        <f aca="false">IF(AND($Q1034&gt;0,$O1034&gt;=AboveRank),$Q1034,0)</f>
        <v>0</v>
      </c>
      <c r="T1034" s="64" t="n">
        <f aca="false">IF($K1034="Less",$P1034,0)</f>
        <v>0</v>
      </c>
      <c r="U1034" s="64" t="n">
        <f aca="false">IF($K1034="Expected",$P1034,0)</f>
        <v>0</v>
      </c>
      <c r="V1034" s="64" t="n">
        <f aca="false">IF($K1034="Better",$P1034,0)</f>
        <v>0</v>
      </c>
      <c r="W1034" s="64" t="n">
        <f aca="false">IF($K1034="U – needs rule",$P1034,0)</f>
        <v>0</v>
      </c>
      <c r="X1034" s="64" t="n">
        <f aca="false">IF($K1034="No Start (attainment only)",$P1034,0)</f>
        <v>0</v>
      </c>
    </row>
    <row r="1035" customFormat="false" ht="15" hidden="false" customHeight="false" outlineLevel="0" collapsed="false">
      <c r="A1035" s="60"/>
      <c r="B1035" s="61" t="str">
        <f aca="false">IF($M1035=0,"",INDEX(Classes!$E$6:$E$420,$M1035))</f>
        <v/>
      </c>
      <c r="C1035" s="62" t="str">
        <f aca="false">IF($M1035=0,"",INDEX(Classes!$H$6:$H$420,$M1035))</f>
        <v/>
      </c>
      <c r="D1035" s="61" t="str">
        <f aca="false">IF($M1035=0,"",INDEX(Classes!$B$6:$B$420,$M1035))</f>
        <v/>
      </c>
      <c r="E1035" s="61" t="str">
        <f aca="false">IF($M1035=0,"",INDEX(Classes!$C$6:$C$420,$M1035))</f>
        <v/>
      </c>
      <c r="F1035" s="63"/>
      <c r="G1035" s="63"/>
      <c r="H1035" s="60"/>
      <c r="I1035" s="60"/>
      <c r="J1035" s="63"/>
      <c r="K1035" s="61" t="str">
        <f aca="false">IF($P1035=0,"",IF($F1035="Baseline","— Baseline",IF($O1035=0,"No result",IF($N1035=0,"No Start (attainment only)",IF(OR($N1035=1,$O1035=1),"U – needs rule",INDEX(MxBody,MATCH($I1035,MxCurr,0),MATCH($H1035,MxStart,0)))))))</f>
        <v/>
      </c>
      <c r="L1035" s="62" t="str">
        <f aca="false">IF(COUNTA($A1035,$F1035,$G1035,$H1035,$I1035,$J1035)=0,"",IF($M1035=0,"✖ كود الصف غير موجود",IF(ISNA(MATCH($F1035,Lists!$A$2:$A$5,0)),"✖ الفترة غير صحيحة",IF(ISNA(MATCH($G1035,Lists!$B$2:$B$7,0)),"✖ المجموعة غير صحيحة",IF(NOT(OR($H1035="",$N1035&gt;0)),"✖ Start غير صحيح",IF(NOT(OR($I1035="",$I1035="NR",$O1035&gt;0)),"✖ Current غير صحيح",IF(NOT(IF(ISNUMBER($J1035),AND($J1035&gt;=0,$J1035=INT($J1035)),FALSE())),"✖ العدد يجب أن يكون صحيحًا ≥ 0",IF(AND($F1035="Baseline",$H1035&lt;&gt;""),"⚠ Baseline: Start لا يدخل في التقدم",IF($K1035="No Start (attainment only)","ℹ تحصيل فقط (بدون Start)",IF($K1035="U – needs rule","ℹ حالة U تحتاج قاعدة معتمدة",IF($K1035="No result","ℹ بدون نتيجة (يُستبعد من التحصيل)","OK")))))))))))</f>
        <v/>
      </c>
      <c r="M1035" s="64" t="n">
        <f aca="false">IF($A1035="",0,IFERROR(MATCH($A1035,Classes!$A$6:$A$420,0),0))</f>
        <v>0</v>
      </c>
      <c r="N1035" s="64" t="n">
        <f aca="false">IF($H1035="",0,IFERROR(MATCH($H1035,GradeList,0),0))</f>
        <v>0</v>
      </c>
      <c r="O1035" s="64" t="n">
        <f aca="false">IF(OR($I1035="",$I1035="NR"),0,IFERROR(MATCH($I1035,GradeList,0),0))</f>
        <v>0</v>
      </c>
      <c r="P1035" s="64" t="n">
        <f aca="false">IF(AND($M1035&gt;0,ISNUMBER(MATCH($F1035,Lists!$A$2:$A$5,0)),ISNUMBER(MATCH($G1035,Lists!$B$2:$B$7,0)),OR($H1035="",$N1035&gt;0),OR($I1035="",$I1035="NR",$O1035&gt;0),IF(ISNUMBER($J1035),AND($J1035&gt;=0,$J1035=INT($J1035)),FALSE())),$J1035,0)</f>
        <v>0</v>
      </c>
      <c r="Q1035" s="64" t="n">
        <f aca="false">IF(AND($P1035&gt;0,$O1035&gt;0),$P1035,0)</f>
        <v>0</v>
      </c>
      <c r="R1035" s="64" t="n">
        <f aca="false">IF(AND($Q1035&gt;0,$O1035&gt;=AtRank),$Q1035,0)</f>
        <v>0</v>
      </c>
      <c r="S1035" s="64" t="n">
        <f aca="false">IF(AND($Q1035&gt;0,$O1035&gt;=AboveRank),$Q1035,0)</f>
        <v>0</v>
      </c>
      <c r="T1035" s="64" t="n">
        <f aca="false">IF($K1035="Less",$P1035,0)</f>
        <v>0</v>
      </c>
      <c r="U1035" s="64" t="n">
        <f aca="false">IF($K1035="Expected",$P1035,0)</f>
        <v>0</v>
      </c>
      <c r="V1035" s="64" t="n">
        <f aca="false">IF($K1035="Better",$P1035,0)</f>
        <v>0</v>
      </c>
      <c r="W1035" s="64" t="n">
        <f aca="false">IF($K1035="U – needs rule",$P1035,0)</f>
        <v>0</v>
      </c>
      <c r="X1035" s="64" t="n">
        <f aca="false">IF($K1035="No Start (attainment only)",$P1035,0)</f>
        <v>0</v>
      </c>
    </row>
    <row r="1036" customFormat="false" ht="15" hidden="false" customHeight="false" outlineLevel="0" collapsed="false">
      <c r="A1036" s="60"/>
      <c r="B1036" s="61" t="str">
        <f aca="false">IF($M1036=0,"",INDEX(Classes!$E$6:$E$420,$M1036))</f>
        <v/>
      </c>
      <c r="C1036" s="62" t="str">
        <f aca="false">IF($M1036=0,"",INDEX(Classes!$H$6:$H$420,$M1036))</f>
        <v/>
      </c>
      <c r="D1036" s="61" t="str">
        <f aca="false">IF($M1036=0,"",INDEX(Classes!$B$6:$B$420,$M1036))</f>
        <v/>
      </c>
      <c r="E1036" s="61" t="str">
        <f aca="false">IF($M1036=0,"",INDEX(Classes!$C$6:$C$420,$M1036))</f>
        <v/>
      </c>
      <c r="F1036" s="63"/>
      <c r="G1036" s="63"/>
      <c r="H1036" s="60"/>
      <c r="I1036" s="60"/>
      <c r="J1036" s="63"/>
      <c r="K1036" s="61" t="str">
        <f aca="false">IF($P1036=0,"",IF($F1036="Baseline","— Baseline",IF($O1036=0,"No result",IF($N1036=0,"No Start (attainment only)",IF(OR($N1036=1,$O1036=1),"U – needs rule",INDEX(MxBody,MATCH($I1036,MxCurr,0),MATCH($H1036,MxStart,0)))))))</f>
        <v/>
      </c>
      <c r="L1036" s="62" t="str">
        <f aca="false">IF(COUNTA($A1036,$F1036,$G1036,$H1036,$I1036,$J1036)=0,"",IF($M1036=0,"✖ كود الصف غير موجود",IF(ISNA(MATCH($F1036,Lists!$A$2:$A$5,0)),"✖ الفترة غير صحيحة",IF(ISNA(MATCH($G1036,Lists!$B$2:$B$7,0)),"✖ المجموعة غير صحيحة",IF(NOT(OR($H1036="",$N1036&gt;0)),"✖ Start غير صحيح",IF(NOT(OR($I1036="",$I1036="NR",$O1036&gt;0)),"✖ Current غير صحيح",IF(NOT(IF(ISNUMBER($J1036),AND($J1036&gt;=0,$J1036=INT($J1036)),FALSE())),"✖ العدد يجب أن يكون صحيحًا ≥ 0",IF(AND($F1036="Baseline",$H1036&lt;&gt;""),"⚠ Baseline: Start لا يدخل في التقدم",IF($K1036="No Start (attainment only)","ℹ تحصيل فقط (بدون Start)",IF($K1036="U – needs rule","ℹ حالة U تحتاج قاعدة معتمدة",IF($K1036="No result","ℹ بدون نتيجة (يُستبعد من التحصيل)","OK")))))))))))</f>
        <v/>
      </c>
      <c r="M1036" s="64" t="n">
        <f aca="false">IF($A1036="",0,IFERROR(MATCH($A1036,Classes!$A$6:$A$420,0),0))</f>
        <v>0</v>
      </c>
      <c r="N1036" s="64" t="n">
        <f aca="false">IF($H1036="",0,IFERROR(MATCH($H1036,GradeList,0),0))</f>
        <v>0</v>
      </c>
      <c r="O1036" s="64" t="n">
        <f aca="false">IF(OR($I1036="",$I1036="NR"),0,IFERROR(MATCH($I1036,GradeList,0),0))</f>
        <v>0</v>
      </c>
      <c r="P1036" s="64" t="n">
        <f aca="false">IF(AND($M1036&gt;0,ISNUMBER(MATCH($F1036,Lists!$A$2:$A$5,0)),ISNUMBER(MATCH($G1036,Lists!$B$2:$B$7,0)),OR($H1036="",$N1036&gt;0),OR($I1036="",$I1036="NR",$O1036&gt;0),IF(ISNUMBER($J1036),AND($J1036&gt;=0,$J1036=INT($J1036)),FALSE())),$J1036,0)</f>
        <v>0</v>
      </c>
      <c r="Q1036" s="64" t="n">
        <f aca="false">IF(AND($P1036&gt;0,$O1036&gt;0),$P1036,0)</f>
        <v>0</v>
      </c>
      <c r="R1036" s="64" t="n">
        <f aca="false">IF(AND($Q1036&gt;0,$O1036&gt;=AtRank),$Q1036,0)</f>
        <v>0</v>
      </c>
      <c r="S1036" s="64" t="n">
        <f aca="false">IF(AND($Q1036&gt;0,$O1036&gt;=AboveRank),$Q1036,0)</f>
        <v>0</v>
      </c>
      <c r="T1036" s="64" t="n">
        <f aca="false">IF($K1036="Less",$P1036,0)</f>
        <v>0</v>
      </c>
      <c r="U1036" s="64" t="n">
        <f aca="false">IF($K1036="Expected",$P1036,0)</f>
        <v>0</v>
      </c>
      <c r="V1036" s="64" t="n">
        <f aca="false">IF($K1036="Better",$P1036,0)</f>
        <v>0</v>
      </c>
      <c r="W1036" s="64" t="n">
        <f aca="false">IF($K1036="U – needs rule",$P1036,0)</f>
        <v>0</v>
      </c>
      <c r="X1036" s="64" t="n">
        <f aca="false">IF($K1036="No Start (attainment only)",$P1036,0)</f>
        <v>0</v>
      </c>
    </row>
    <row r="1037" customFormat="false" ht="15" hidden="false" customHeight="false" outlineLevel="0" collapsed="false">
      <c r="A1037" s="60"/>
      <c r="B1037" s="61" t="str">
        <f aca="false">IF($M1037=0,"",INDEX(Classes!$E$6:$E$420,$M1037))</f>
        <v/>
      </c>
      <c r="C1037" s="62" t="str">
        <f aca="false">IF($M1037=0,"",INDEX(Classes!$H$6:$H$420,$M1037))</f>
        <v/>
      </c>
      <c r="D1037" s="61" t="str">
        <f aca="false">IF($M1037=0,"",INDEX(Classes!$B$6:$B$420,$M1037))</f>
        <v/>
      </c>
      <c r="E1037" s="61" t="str">
        <f aca="false">IF($M1037=0,"",INDEX(Classes!$C$6:$C$420,$M1037))</f>
        <v/>
      </c>
      <c r="F1037" s="63"/>
      <c r="G1037" s="63"/>
      <c r="H1037" s="60"/>
      <c r="I1037" s="60"/>
      <c r="J1037" s="63"/>
      <c r="K1037" s="61" t="str">
        <f aca="false">IF($P1037=0,"",IF($F1037="Baseline","— Baseline",IF($O1037=0,"No result",IF($N1037=0,"No Start (attainment only)",IF(OR($N1037=1,$O1037=1),"U – needs rule",INDEX(MxBody,MATCH($I1037,MxCurr,0),MATCH($H1037,MxStart,0)))))))</f>
        <v/>
      </c>
      <c r="L1037" s="62" t="str">
        <f aca="false">IF(COUNTA($A1037,$F1037,$G1037,$H1037,$I1037,$J1037)=0,"",IF($M1037=0,"✖ كود الصف غير موجود",IF(ISNA(MATCH($F1037,Lists!$A$2:$A$5,0)),"✖ الفترة غير صحيحة",IF(ISNA(MATCH($G1037,Lists!$B$2:$B$7,0)),"✖ المجموعة غير صحيحة",IF(NOT(OR($H1037="",$N1037&gt;0)),"✖ Start غير صحيح",IF(NOT(OR($I1037="",$I1037="NR",$O1037&gt;0)),"✖ Current غير صحيح",IF(NOT(IF(ISNUMBER($J1037),AND($J1037&gt;=0,$J1037=INT($J1037)),FALSE())),"✖ العدد يجب أن يكون صحيحًا ≥ 0",IF(AND($F1037="Baseline",$H1037&lt;&gt;""),"⚠ Baseline: Start لا يدخل في التقدم",IF($K1037="No Start (attainment only)","ℹ تحصيل فقط (بدون Start)",IF($K1037="U – needs rule","ℹ حالة U تحتاج قاعدة معتمدة",IF($K1037="No result","ℹ بدون نتيجة (يُستبعد من التحصيل)","OK")))))))))))</f>
        <v/>
      </c>
      <c r="M1037" s="64" t="n">
        <f aca="false">IF($A1037="",0,IFERROR(MATCH($A1037,Classes!$A$6:$A$420,0),0))</f>
        <v>0</v>
      </c>
      <c r="N1037" s="64" t="n">
        <f aca="false">IF($H1037="",0,IFERROR(MATCH($H1037,GradeList,0),0))</f>
        <v>0</v>
      </c>
      <c r="O1037" s="64" t="n">
        <f aca="false">IF(OR($I1037="",$I1037="NR"),0,IFERROR(MATCH($I1037,GradeList,0),0))</f>
        <v>0</v>
      </c>
      <c r="P1037" s="64" t="n">
        <f aca="false">IF(AND($M1037&gt;0,ISNUMBER(MATCH($F1037,Lists!$A$2:$A$5,0)),ISNUMBER(MATCH($G1037,Lists!$B$2:$B$7,0)),OR($H1037="",$N1037&gt;0),OR($I1037="",$I1037="NR",$O1037&gt;0),IF(ISNUMBER($J1037),AND($J1037&gt;=0,$J1037=INT($J1037)),FALSE())),$J1037,0)</f>
        <v>0</v>
      </c>
      <c r="Q1037" s="64" t="n">
        <f aca="false">IF(AND($P1037&gt;0,$O1037&gt;0),$P1037,0)</f>
        <v>0</v>
      </c>
      <c r="R1037" s="64" t="n">
        <f aca="false">IF(AND($Q1037&gt;0,$O1037&gt;=AtRank),$Q1037,0)</f>
        <v>0</v>
      </c>
      <c r="S1037" s="64" t="n">
        <f aca="false">IF(AND($Q1037&gt;0,$O1037&gt;=AboveRank),$Q1037,0)</f>
        <v>0</v>
      </c>
      <c r="T1037" s="64" t="n">
        <f aca="false">IF($K1037="Less",$P1037,0)</f>
        <v>0</v>
      </c>
      <c r="U1037" s="64" t="n">
        <f aca="false">IF($K1037="Expected",$P1037,0)</f>
        <v>0</v>
      </c>
      <c r="V1037" s="64" t="n">
        <f aca="false">IF($K1037="Better",$P1037,0)</f>
        <v>0</v>
      </c>
      <c r="W1037" s="64" t="n">
        <f aca="false">IF($K1037="U – needs rule",$P1037,0)</f>
        <v>0</v>
      </c>
      <c r="X1037" s="64" t="n">
        <f aca="false">IF($K1037="No Start (attainment only)",$P1037,0)</f>
        <v>0</v>
      </c>
    </row>
    <row r="1038" customFormat="false" ht="15" hidden="false" customHeight="false" outlineLevel="0" collapsed="false">
      <c r="A1038" s="60"/>
      <c r="B1038" s="61" t="str">
        <f aca="false">IF($M1038=0,"",INDEX(Classes!$E$6:$E$420,$M1038))</f>
        <v/>
      </c>
      <c r="C1038" s="62" t="str">
        <f aca="false">IF($M1038=0,"",INDEX(Classes!$H$6:$H$420,$M1038))</f>
        <v/>
      </c>
      <c r="D1038" s="61" t="str">
        <f aca="false">IF($M1038=0,"",INDEX(Classes!$B$6:$B$420,$M1038))</f>
        <v/>
      </c>
      <c r="E1038" s="61" t="str">
        <f aca="false">IF($M1038=0,"",INDEX(Classes!$C$6:$C$420,$M1038))</f>
        <v/>
      </c>
      <c r="F1038" s="63"/>
      <c r="G1038" s="63"/>
      <c r="H1038" s="60"/>
      <c r="I1038" s="60"/>
      <c r="J1038" s="63"/>
      <c r="K1038" s="61" t="str">
        <f aca="false">IF($P1038=0,"",IF($F1038="Baseline","— Baseline",IF($O1038=0,"No result",IF($N1038=0,"No Start (attainment only)",IF(OR($N1038=1,$O1038=1),"U – needs rule",INDEX(MxBody,MATCH($I1038,MxCurr,0),MATCH($H1038,MxStart,0)))))))</f>
        <v/>
      </c>
      <c r="L1038" s="62" t="str">
        <f aca="false">IF(COUNTA($A1038,$F1038,$G1038,$H1038,$I1038,$J1038)=0,"",IF($M1038=0,"✖ كود الصف غير موجود",IF(ISNA(MATCH($F1038,Lists!$A$2:$A$5,0)),"✖ الفترة غير صحيحة",IF(ISNA(MATCH($G1038,Lists!$B$2:$B$7,0)),"✖ المجموعة غير صحيحة",IF(NOT(OR($H1038="",$N1038&gt;0)),"✖ Start غير صحيح",IF(NOT(OR($I1038="",$I1038="NR",$O1038&gt;0)),"✖ Current غير صحيح",IF(NOT(IF(ISNUMBER($J1038),AND($J1038&gt;=0,$J1038=INT($J1038)),FALSE())),"✖ العدد يجب أن يكون صحيحًا ≥ 0",IF(AND($F1038="Baseline",$H1038&lt;&gt;""),"⚠ Baseline: Start لا يدخل في التقدم",IF($K1038="No Start (attainment only)","ℹ تحصيل فقط (بدون Start)",IF($K1038="U – needs rule","ℹ حالة U تحتاج قاعدة معتمدة",IF($K1038="No result","ℹ بدون نتيجة (يُستبعد من التحصيل)","OK")))))))))))</f>
        <v/>
      </c>
      <c r="M1038" s="64" t="n">
        <f aca="false">IF($A1038="",0,IFERROR(MATCH($A1038,Classes!$A$6:$A$420,0),0))</f>
        <v>0</v>
      </c>
      <c r="N1038" s="64" t="n">
        <f aca="false">IF($H1038="",0,IFERROR(MATCH($H1038,GradeList,0),0))</f>
        <v>0</v>
      </c>
      <c r="O1038" s="64" t="n">
        <f aca="false">IF(OR($I1038="",$I1038="NR"),0,IFERROR(MATCH($I1038,GradeList,0),0))</f>
        <v>0</v>
      </c>
      <c r="P1038" s="64" t="n">
        <f aca="false">IF(AND($M1038&gt;0,ISNUMBER(MATCH($F1038,Lists!$A$2:$A$5,0)),ISNUMBER(MATCH($G1038,Lists!$B$2:$B$7,0)),OR($H1038="",$N1038&gt;0),OR($I1038="",$I1038="NR",$O1038&gt;0),IF(ISNUMBER($J1038),AND($J1038&gt;=0,$J1038=INT($J1038)),FALSE())),$J1038,0)</f>
        <v>0</v>
      </c>
      <c r="Q1038" s="64" t="n">
        <f aca="false">IF(AND($P1038&gt;0,$O1038&gt;0),$P1038,0)</f>
        <v>0</v>
      </c>
      <c r="R1038" s="64" t="n">
        <f aca="false">IF(AND($Q1038&gt;0,$O1038&gt;=AtRank),$Q1038,0)</f>
        <v>0</v>
      </c>
      <c r="S1038" s="64" t="n">
        <f aca="false">IF(AND($Q1038&gt;0,$O1038&gt;=AboveRank),$Q1038,0)</f>
        <v>0</v>
      </c>
      <c r="T1038" s="64" t="n">
        <f aca="false">IF($K1038="Less",$P1038,0)</f>
        <v>0</v>
      </c>
      <c r="U1038" s="64" t="n">
        <f aca="false">IF($K1038="Expected",$P1038,0)</f>
        <v>0</v>
      </c>
      <c r="V1038" s="64" t="n">
        <f aca="false">IF($K1038="Better",$P1038,0)</f>
        <v>0</v>
      </c>
      <c r="W1038" s="64" t="n">
        <f aca="false">IF($K1038="U – needs rule",$P1038,0)</f>
        <v>0</v>
      </c>
      <c r="X1038" s="64" t="n">
        <f aca="false">IF($K1038="No Start (attainment only)",$P1038,0)</f>
        <v>0</v>
      </c>
    </row>
    <row r="1039" customFormat="false" ht="15" hidden="false" customHeight="false" outlineLevel="0" collapsed="false">
      <c r="A1039" s="60"/>
      <c r="B1039" s="61" t="str">
        <f aca="false">IF($M1039=0,"",INDEX(Classes!$E$6:$E$420,$M1039))</f>
        <v/>
      </c>
      <c r="C1039" s="62" t="str">
        <f aca="false">IF($M1039=0,"",INDEX(Classes!$H$6:$H$420,$M1039))</f>
        <v/>
      </c>
      <c r="D1039" s="61" t="str">
        <f aca="false">IF($M1039=0,"",INDEX(Classes!$B$6:$B$420,$M1039))</f>
        <v/>
      </c>
      <c r="E1039" s="61" t="str">
        <f aca="false">IF($M1039=0,"",INDEX(Classes!$C$6:$C$420,$M1039))</f>
        <v/>
      </c>
      <c r="F1039" s="63"/>
      <c r="G1039" s="63"/>
      <c r="H1039" s="60"/>
      <c r="I1039" s="60"/>
      <c r="J1039" s="63"/>
      <c r="K1039" s="61" t="str">
        <f aca="false">IF($P1039=0,"",IF($F1039="Baseline","— Baseline",IF($O1039=0,"No result",IF($N1039=0,"No Start (attainment only)",IF(OR($N1039=1,$O1039=1),"U – needs rule",INDEX(MxBody,MATCH($I1039,MxCurr,0),MATCH($H1039,MxStart,0)))))))</f>
        <v/>
      </c>
      <c r="L1039" s="62" t="str">
        <f aca="false">IF(COUNTA($A1039,$F1039,$G1039,$H1039,$I1039,$J1039)=0,"",IF($M1039=0,"✖ كود الصف غير موجود",IF(ISNA(MATCH($F1039,Lists!$A$2:$A$5,0)),"✖ الفترة غير صحيحة",IF(ISNA(MATCH($G1039,Lists!$B$2:$B$7,0)),"✖ المجموعة غير صحيحة",IF(NOT(OR($H1039="",$N1039&gt;0)),"✖ Start غير صحيح",IF(NOT(OR($I1039="",$I1039="NR",$O1039&gt;0)),"✖ Current غير صحيح",IF(NOT(IF(ISNUMBER($J1039),AND($J1039&gt;=0,$J1039=INT($J1039)),FALSE())),"✖ العدد يجب أن يكون صحيحًا ≥ 0",IF(AND($F1039="Baseline",$H1039&lt;&gt;""),"⚠ Baseline: Start لا يدخل في التقدم",IF($K1039="No Start (attainment only)","ℹ تحصيل فقط (بدون Start)",IF($K1039="U – needs rule","ℹ حالة U تحتاج قاعدة معتمدة",IF($K1039="No result","ℹ بدون نتيجة (يُستبعد من التحصيل)","OK")))))))))))</f>
        <v/>
      </c>
      <c r="M1039" s="64" t="n">
        <f aca="false">IF($A1039="",0,IFERROR(MATCH($A1039,Classes!$A$6:$A$420,0),0))</f>
        <v>0</v>
      </c>
      <c r="N1039" s="64" t="n">
        <f aca="false">IF($H1039="",0,IFERROR(MATCH($H1039,GradeList,0),0))</f>
        <v>0</v>
      </c>
      <c r="O1039" s="64" t="n">
        <f aca="false">IF(OR($I1039="",$I1039="NR"),0,IFERROR(MATCH($I1039,GradeList,0),0))</f>
        <v>0</v>
      </c>
      <c r="P1039" s="64" t="n">
        <f aca="false">IF(AND($M1039&gt;0,ISNUMBER(MATCH($F1039,Lists!$A$2:$A$5,0)),ISNUMBER(MATCH($G1039,Lists!$B$2:$B$7,0)),OR($H1039="",$N1039&gt;0),OR($I1039="",$I1039="NR",$O1039&gt;0),IF(ISNUMBER($J1039),AND($J1039&gt;=0,$J1039=INT($J1039)),FALSE())),$J1039,0)</f>
        <v>0</v>
      </c>
      <c r="Q1039" s="64" t="n">
        <f aca="false">IF(AND($P1039&gt;0,$O1039&gt;0),$P1039,0)</f>
        <v>0</v>
      </c>
      <c r="R1039" s="64" t="n">
        <f aca="false">IF(AND($Q1039&gt;0,$O1039&gt;=AtRank),$Q1039,0)</f>
        <v>0</v>
      </c>
      <c r="S1039" s="64" t="n">
        <f aca="false">IF(AND($Q1039&gt;0,$O1039&gt;=AboveRank),$Q1039,0)</f>
        <v>0</v>
      </c>
      <c r="T1039" s="64" t="n">
        <f aca="false">IF($K1039="Less",$P1039,0)</f>
        <v>0</v>
      </c>
      <c r="U1039" s="64" t="n">
        <f aca="false">IF($K1039="Expected",$P1039,0)</f>
        <v>0</v>
      </c>
      <c r="V1039" s="64" t="n">
        <f aca="false">IF($K1039="Better",$P1039,0)</f>
        <v>0</v>
      </c>
      <c r="W1039" s="64" t="n">
        <f aca="false">IF($K1039="U – needs rule",$P1039,0)</f>
        <v>0</v>
      </c>
      <c r="X1039" s="64" t="n">
        <f aca="false">IF($K1039="No Start (attainment only)",$P1039,0)</f>
        <v>0</v>
      </c>
    </row>
    <row r="1040" customFormat="false" ht="15" hidden="false" customHeight="false" outlineLevel="0" collapsed="false">
      <c r="A1040" s="60"/>
      <c r="B1040" s="61" t="str">
        <f aca="false">IF($M1040=0,"",INDEX(Classes!$E$6:$E$420,$M1040))</f>
        <v/>
      </c>
      <c r="C1040" s="62" t="str">
        <f aca="false">IF($M1040=0,"",INDEX(Classes!$H$6:$H$420,$M1040))</f>
        <v/>
      </c>
      <c r="D1040" s="61" t="str">
        <f aca="false">IF($M1040=0,"",INDEX(Classes!$B$6:$B$420,$M1040))</f>
        <v/>
      </c>
      <c r="E1040" s="61" t="str">
        <f aca="false">IF($M1040=0,"",INDEX(Classes!$C$6:$C$420,$M1040))</f>
        <v/>
      </c>
      <c r="F1040" s="63"/>
      <c r="G1040" s="63"/>
      <c r="H1040" s="60"/>
      <c r="I1040" s="60"/>
      <c r="J1040" s="63"/>
      <c r="K1040" s="61" t="str">
        <f aca="false">IF($P1040=0,"",IF($F1040="Baseline","— Baseline",IF($O1040=0,"No result",IF($N1040=0,"No Start (attainment only)",IF(OR($N1040=1,$O1040=1),"U – needs rule",INDEX(MxBody,MATCH($I1040,MxCurr,0),MATCH($H1040,MxStart,0)))))))</f>
        <v/>
      </c>
      <c r="L1040" s="62" t="str">
        <f aca="false">IF(COUNTA($A1040,$F1040,$G1040,$H1040,$I1040,$J1040)=0,"",IF($M1040=0,"✖ كود الصف غير موجود",IF(ISNA(MATCH($F1040,Lists!$A$2:$A$5,0)),"✖ الفترة غير صحيحة",IF(ISNA(MATCH($G1040,Lists!$B$2:$B$7,0)),"✖ المجموعة غير صحيحة",IF(NOT(OR($H1040="",$N1040&gt;0)),"✖ Start غير صحيح",IF(NOT(OR($I1040="",$I1040="NR",$O1040&gt;0)),"✖ Current غير صحيح",IF(NOT(IF(ISNUMBER($J1040),AND($J1040&gt;=0,$J1040=INT($J1040)),FALSE())),"✖ العدد يجب أن يكون صحيحًا ≥ 0",IF(AND($F1040="Baseline",$H1040&lt;&gt;""),"⚠ Baseline: Start لا يدخل في التقدم",IF($K1040="No Start (attainment only)","ℹ تحصيل فقط (بدون Start)",IF($K1040="U – needs rule","ℹ حالة U تحتاج قاعدة معتمدة",IF($K1040="No result","ℹ بدون نتيجة (يُستبعد من التحصيل)","OK")))))))))))</f>
        <v/>
      </c>
      <c r="M1040" s="64" t="n">
        <f aca="false">IF($A1040="",0,IFERROR(MATCH($A1040,Classes!$A$6:$A$420,0),0))</f>
        <v>0</v>
      </c>
      <c r="N1040" s="64" t="n">
        <f aca="false">IF($H1040="",0,IFERROR(MATCH($H1040,GradeList,0),0))</f>
        <v>0</v>
      </c>
      <c r="O1040" s="64" t="n">
        <f aca="false">IF(OR($I1040="",$I1040="NR"),0,IFERROR(MATCH($I1040,GradeList,0),0))</f>
        <v>0</v>
      </c>
      <c r="P1040" s="64" t="n">
        <f aca="false">IF(AND($M1040&gt;0,ISNUMBER(MATCH($F1040,Lists!$A$2:$A$5,0)),ISNUMBER(MATCH($G1040,Lists!$B$2:$B$7,0)),OR($H1040="",$N1040&gt;0),OR($I1040="",$I1040="NR",$O1040&gt;0),IF(ISNUMBER($J1040),AND($J1040&gt;=0,$J1040=INT($J1040)),FALSE())),$J1040,0)</f>
        <v>0</v>
      </c>
      <c r="Q1040" s="64" t="n">
        <f aca="false">IF(AND($P1040&gt;0,$O1040&gt;0),$P1040,0)</f>
        <v>0</v>
      </c>
      <c r="R1040" s="64" t="n">
        <f aca="false">IF(AND($Q1040&gt;0,$O1040&gt;=AtRank),$Q1040,0)</f>
        <v>0</v>
      </c>
      <c r="S1040" s="64" t="n">
        <f aca="false">IF(AND($Q1040&gt;0,$O1040&gt;=AboveRank),$Q1040,0)</f>
        <v>0</v>
      </c>
      <c r="T1040" s="64" t="n">
        <f aca="false">IF($K1040="Less",$P1040,0)</f>
        <v>0</v>
      </c>
      <c r="U1040" s="64" t="n">
        <f aca="false">IF($K1040="Expected",$P1040,0)</f>
        <v>0</v>
      </c>
      <c r="V1040" s="64" t="n">
        <f aca="false">IF($K1040="Better",$P1040,0)</f>
        <v>0</v>
      </c>
      <c r="W1040" s="64" t="n">
        <f aca="false">IF($K1040="U – needs rule",$P1040,0)</f>
        <v>0</v>
      </c>
      <c r="X1040" s="64" t="n">
        <f aca="false">IF($K1040="No Start (attainment only)",$P1040,0)</f>
        <v>0</v>
      </c>
    </row>
    <row r="1041" customFormat="false" ht="15" hidden="false" customHeight="false" outlineLevel="0" collapsed="false">
      <c r="A1041" s="60"/>
      <c r="B1041" s="61" t="str">
        <f aca="false">IF($M1041=0,"",INDEX(Classes!$E$6:$E$420,$M1041))</f>
        <v/>
      </c>
      <c r="C1041" s="62" t="str">
        <f aca="false">IF($M1041=0,"",INDEX(Classes!$H$6:$H$420,$M1041))</f>
        <v/>
      </c>
      <c r="D1041" s="61" t="str">
        <f aca="false">IF($M1041=0,"",INDEX(Classes!$B$6:$B$420,$M1041))</f>
        <v/>
      </c>
      <c r="E1041" s="61" t="str">
        <f aca="false">IF($M1041=0,"",INDEX(Classes!$C$6:$C$420,$M1041))</f>
        <v/>
      </c>
      <c r="F1041" s="63"/>
      <c r="G1041" s="63"/>
      <c r="H1041" s="60"/>
      <c r="I1041" s="60"/>
      <c r="J1041" s="63"/>
      <c r="K1041" s="61" t="str">
        <f aca="false">IF($P1041=0,"",IF($F1041="Baseline","— Baseline",IF($O1041=0,"No result",IF($N1041=0,"No Start (attainment only)",IF(OR($N1041=1,$O1041=1),"U – needs rule",INDEX(MxBody,MATCH($I1041,MxCurr,0),MATCH($H1041,MxStart,0)))))))</f>
        <v/>
      </c>
      <c r="L1041" s="62" t="str">
        <f aca="false">IF(COUNTA($A1041,$F1041,$G1041,$H1041,$I1041,$J1041)=0,"",IF($M1041=0,"✖ كود الصف غير موجود",IF(ISNA(MATCH($F1041,Lists!$A$2:$A$5,0)),"✖ الفترة غير صحيحة",IF(ISNA(MATCH($G1041,Lists!$B$2:$B$7,0)),"✖ المجموعة غير صحيحة",IF(NOT(OR($H1041="",$N1041&gt;0)),"✖ Start غير صحيح",IF(NOT(OR($I1041="",$I1041="NR",$O1041&gt;0)),"✖ Current غير صحيح",IF(NOT(IF(ISNUMBER($J1041),AND($J1041&gt;=0,$J1041=INT($J1041)),FALSE())),"✖ العدد يجب أن يكون صحيحًا ≥ 0",IF(AND($F1041="Baseline",$H1041&lt;&gt;""),"⚠ Baseline: Start لا يدخل في التقدم",IF($K1041="No Start (attainment only)","ℹ تحصيل فقط (بدون Start)",IF($K1041="U – needs rule","ℹ حالة U تحتاج قاعدة معتمدة",IF($K1041="No result","ℹ بدون نتيجة (يُستبعد من التحصيل)","OK")))))))))))</f>
        <v/>
      </c>
      <c r="M1041" s="64" t="n">
        <f aca="false">IF($A1041="",0,IFERROR(MATCH($A1041,Classes!$A$6:$A$420,0),0))</f>
        <v>0</v>
      </c>
      <c r="N1041" s="64" t="n">
        <f aca="false">IF($H1041="",0,IFERROR(MATCH($H1041,GradeList,0),0))</f>
        <v>0</v>
      </c>
      <c r="O1041" s="64" t="n">
        <f aca="false">IF(OR($I1041="",$I1041="NR"),0,IFERROR(MATCH($I1041,GradeList,0),0))</f>
        <v>0</v>
      </c>
      <c r="P1041" s="64" t="n">
        <f aca="false">IF(AND($M1041&gt;0,ISNUMBER(MATCH($F1041,Lists!$A$2:$A$5,0)),ISNUMBER(MATCH($G1041,Lists!$B$2:$B$7,0)),OR($H1041="",$N1041&gt;0),OR($I1041="",$I1041="NR",$O1041&gt;0),IF(ISNUMBER($J1041),AND($J1041&gt;=0,$J1041=INT($J1041)),FALSE())),$J1041,0)</f>
        <v>0</v>
      </c>
      <c r="Q1041" s="64" t="n">
        <f aca="false">IF(AND($P1041&gt;0,$O1041&gt;0),$P1041,0)</f>
        <v>0</v>
      </c>
      <c r="R1041" s="64" t="n">
        <f aca="false">IF(AND($Q1041&gt;0,$O1041&gt;=AtRank),$Q1041,0)</f>
        <v>0</v>
      </c>
      <c r="S1041" s="64" t="n">
        <f aca="false">IF(AND($Q1041&gt;0,$O1041&gt;=AboveRank),$Q1041,0)</f>
        <v>0</v>
      </c>
      <c r="T1041" s="64" t="n">
        <f aca="false">IF($K1041="Less",$P1041,0)</f>
        <v>0</v>
      </c>
      <c r="U1041" s="64" t="n">
        <f aca="false">IF($K1041="Expected",$P1041,0)</f>
        <v>0</v>
      </c>
      <c r="V1041" s="64" t="n">
        <f aca="false">IF($K1041="Better",$P1041,0)</f>
        <v>0</v>
      </c>
      <c r="W1041" s="64" t="n">
        <f aca="false">IF($K1041="U – needs rule",$P1041,0)</f>
        <v>0</v>
      </c>
      <c r="X1041" s="64" t="n">
        <f aca="false">IF($K1041="No Start (attainment only)",$P1041,0)</f>
        <v>0</v>
      </c>
    </row>
    <row r="1042" customFormat="false" ht="15" hidden="false" customHeight="false" outlineLevel="0" collapsed="false">
      <c r="A1042" s="60"/>
      <c r="B1042" s="61" t="str">
        <f aca="false">IF($M1042=0,"",INDEX(Classes!$E$6:$E$420,$M1042))</f>
        <v/>
      </c>
      <c r="C1042" s="62" t="str">
        <f aca="false">IF($M1042=0,"",INDEX(Classes!$H$6:$H$420,$M1042))</f>
        <v/>
      </c>
      <c r="D1042" s="61" t="str">
        <f aca="false">IF($M1042=0,"",INDEX(Classes!$B$6:$B$420,$M1042))</f>
        <v/>
      </c>
      <c r="E1042" s="61" t="str">
        <f aca="false">IF($M1042=0,"",INDEX(Classes!$C$6:$C$420,$M1042))</f>
        <v/>
      </c>
      <c r="F1042" s="63"/>
      <c r="G1042" s="63"/>
      <c r="H1042" s="60"/>
      <c r="I1042" s="60"/>
      <c r="J1042" s="63"/>
      <c r="K1042" s="61" t="str">
        <f aca="false">IF($P1042=0,"",IF($F1042="Baseline","— Baseline",IF($O1042=0,"No result",IF($N1042=0,"No Start (attainment only)",IF(OR($N1042=1,$O1042=1),"U – needs rule",INDEX(MxBody,MATCH($I1042,MxCurr,0),MATCH($H1042,MxStart,0)))))))</f>
        <v/>
      </c>
      <c r="L1042" s="62" t="str">
        <f aca="false">IF(COUNTA($A1042,$F1042,$G1042,$H1042,$I1042,$J1042)=0,"",IF($M1042=0,"✖ كود الصف غير موجود",IF(ISNA(MATCH($F1042,Lists!$A$2:$A$5,0)),"✖ الفترة غير صحيحة",IF(ISNA(MATCH($G1042,Lists!$B$2:$B$7,0)),"✖ المجموعة غير صحيحة",IF(NOT(OR($H1042="",$N1042&gt;0)),"✖ Start غير صحيح",IF(NOT(OR($I1042="",$I1042="NR",$O1042&gt;0)),"✖ Current غير صحيح",IF(NOT(IF(ISNUMBER($J1042),AND($J1042&gt;=0,$J1042=INT($J1042)),FALSE())),"✖ العدد يجب أن يكون صحيحًا ≥ 0",IF(AND($F1042="Baseline",$H1042&lt;&gt;""),"⚠ Baseline: Start لا يدخل في التقدم",IF($K1042="No Start (attainment only)","ℹ تحصيل فقط (بدون Start)",IF($K1042="U – needs rule","ℹ حالة U تحتاج قاعدة معتمدة",IF($K1042="No result","ℹ بدون نتيجة (يُستبعد من التحصيل)","OK")))))))))))</f>
        <v/>
      </c>
      <c r="M1042" s="64" t="n">
        <f aca="false">IF($A1042="",0,IFERROR(MATCH($A1042,Classes!$A$6:$A$420,0),0))</f>
        <v>0</v>
      </c>
      <c r="N1042" s="64" t="n">
        <f aca="false">IF($H1042="",0,IFERROR(MATCH($H1042,GradeList,0),0))</f>
        <v>0</v>
      </c>
      <c r="O1042" s="64" t="n">
        <f aca="false">IF(OR($I1042="",$I1042="NR"),0,IFERROR(MATCH($I1042,GradeList,0),0))</f>
        <v>0</v>
      </c>
      <c r="P1042" s="64" t="n">
        <f aca="false">IF(AND($M1042&gt;0,ISNUMBER(MATCH($F1042,Lists!$A$2:$A$5,0)),ISNUMBER(MATCH($G1042,Lists!$B$2:$B$7,0)),OR($H1042="",$N1042&gt;0),OR($I1042="",$I1042="NR",$O1042&gt;0),IF(ISNUMBER($J1042),AND($J1042&gt;=0,$J1042=INT($J1042)),FALSE())),$J1042,0)</f>
        <v>0</v>
      </c>
      <c r="Q1042" s="64" t="n">
        <f aca="false">IF(AND($P1042&gt;0,$O1042&gt;0),$P1042,0)</f>
        <v>0</v>
      </c>
      <c r="R1042" s="64" t="n">
        <f aca="false">IF(AND($Q1042&gt;0,$O1042&gt;=AtRank),$Q1042,0)</f>
        <v>0</v>
      </c>
      <c r="S1042" s="64" t="n">
        <f aca="false">IF(AND($Q1042&gt;0,$O1042&gt;=AboveRank),$Q1042,0)</f>
        <v>0</v>
      </c>
      <c r="T1042" s="64" t="n">
        <f aca="false">IF($K1042="Less",$P1042,0)</f>
        <v>0</v>
      </c>
      <c r="U1042" s="64" t="n">
        <f aca="false">IF($K1042="Expected",$P1042,0)</f>
        <v>0</v>
      </c>
      <c r="V1042" s="64" t="n">
        <f aca="false">IF($K1042="Better",$P1042,0)</f>
        <v>0</v>
      </c>
      <c r="W1042" s="64" t="n">
        <f aca="false">IF($K1042="U – needs rule",$P1042,0)</f>
        <v>0</v>
      </c>
      <c r="X1042" s="64" t="n">
        <f aca="false">IF($K1042="No Start (attainment only)",$P1042,0)</f>
        <v>0</v>
      </c>
    </row>
    <row r="1043" customFormat="false" ht="15" hidden="false" customHeight="false" outlineLevel="0" collapsed="false">
      <c r="A1043" s="60"/>
      <c r="B1043" s="61" t="str">
        <f aca="false">IF($M1043=0,"",INDEX(Classes!$E$6:$E$420,$M1043))</f>
        <v/>
      </c>
      <c r="C1043" s="62" t="str">
        <f aca="false">IF($M1043=0,"",INDEX(Classes!$H$6:$H$420,$M1043))</f>
        <v/>
      </c>
      <c r="D1043" s="61" t="str">
        <f aca="false">IF($M1043=0,"",INDEX(Classes!$B$6:$B$420,$M1043))</f>
        <v/>
      </c>
      <c r="E1043" s="61" t="str">
        <f aca="false">IF($M1043=0,"",INDEX(Classes!$C$6:$C$420,$M1043))</f>
        <v/>
      </c>
      <c r="F1043" s="63"/>
      <c r="G1043" s="63"/>
      <c r="H1043" s="60"/>
      <c r="I1043" s="60"/>
      <c r="J1043" s="63"/>
      <c r="K1043" s="61" t="str">
        <f aca="false">IF($P1043=0,"",IF($F1043="Baseline","— Baseline",IF($O1043=0,"No result",IF($N1043=0,"No Start (attainment only)",IF(OR($N1043=1,$O1043=1),"U – needs rule",INDEX(MxBody,MATCH($I1043,MxCurr,0),MATCH($H1043,MxStart,0)))))))</f>
        <v/>
      </c>
      <c r="L1043" s="62" t="str">
        <f aca="false">IF(COUNTA($A1043,$F1043,$G1043,$H1043,$I1043,$J1043)=0,"",IF($M1043=0,"✖ كود الصف غير موجود",IF(ISNA(MATCH($F1043,Lists!$A$2:$A$5,0)),"✖ الفترة غير صحيحة",IF(ISNA(MATCH($G1043,Lists!$B$2:$B$7,0)),"✖ المجموعة غير صحيحة",IF(NOT(OR($H1043="",$N1043&gt;0)),"✖ Start غير صحيح",IF(NOT(OR($I1043="",$I1043="NR",$O1043&gt;0)),"✖ Current غير صحيح",IF(NOT(IF(ISNUMBER($J1043),AND($J1043&gt;=0,$J1043=INT($J1043)),FALSE())),"✖ العدد يجب أن يكون صحيحًا ≥ 0",IF(AND($F1043="Baseline",$H1043&lt;&gt;""),"⚠ Baseline: Start لا يدخل في التقدم",IF($K1043="No Start (attainment only)","ℹ تحصيل فقط (بدون Start)",IF($K1043="U – needs rule","ℹ حالة U تحتاج قاعدة معتمدة",IF($K1043="No result","ℹ بدون نتيجة (يُستبعد من التحصيل)","OK")))))))))))</f>
        <v/>
      </c>
      <c r="M1043" s="64" t="n">
        <f aca="false">IF($A1043="",0,IFERROR(MATCH($A1043,Classes!$A$6:$A$420,0),0))</f>
        <v>0</v>
      </c>
      <c r="N1043" s="64" t="n">
        <f aca="false">IF($H1043="",0,IFERROR(MATCH($H1043,GradeList,0),0))</f>
        <v>0</v>
      </c>
      <c r="O1043" s="64" t="n">
        <f aca="false">IF(OR($I1043="",$I1043="NR"),0,IFERROR(MATCH($I1043,GradeList,0),0))</f>
        <v>0</v>
      </c>
      <c r="P1043" s="64" t="n">
        <f aca="false">IF(AND($M1043&gt;0,ISNUMBER(MATCH($F1043,Lists!$A$2:$A$5,0)),ISNUMBER(MATCH($G1043,Lists!$B$2:$B$7,0)),OR($H1043="",$N1043&gt;0),OR($I1043="",$I1043="NR",$O1043&gt;0),IF(ISNUMBER($J1043),AND($J1043&gt;=0,$J1043=INT($J1043)),FALSE())),$J1043,0)</f>
        <v>0</v>
      </c>
      <c r="Q1043" s="64" t="n">
        <f aca="false">IF(AND($P1043&gt;0,$O1043&gt;0),$P1043,0)</f>
        <v>0</v>
      </c>
      <c r="R1043" s="64" t="n">
        <f aca="false">IF(AND($Q1043&gt;0,$O1043&gt;=AtRank),$Q1043,0)</f>
        <v>0</v>
      </c>
      <c r="S1043" s="64" t="n">
        <f aca="false">IF(AND($Q1043&gt;0,$O1043&gt;=AboveRank),$Q1043,0)</f>
        <v>0</v>
      </c>
      <c r="T1043" s="64" t="n">
        <f aca="false">IF($K1043="Less",$P1043,0)</f>
        <v>0</v>
      </c>
      <c r="U1043" s="64" t="n">
        <f aca="false">IF($K1043="Expected",$P1043,0)</f>
        <v>0</v>
      </c>
      <c r="V1043" s="64" t="n">
        <f aca="false">IF($K1043="Better",$P1043,0)</f>
        <v>0</v>
      </c>
      <c r="W1043" s="64" t="n">
        <f aca="false">IF($K1043="U – needs rule",$P1043,0)</f>
        <v>0</v>
      </c>
      <c r="X1043" s="64" t="n">
        <f aca="false">IF($K1043="No Start (attainment only)",$P1043,0)</f>
        <v>0</v>
      </c>
    </row>
    <row r="1044" customFormat="false" ht="15" hidden="false" customHeight="false" outlineLevel="0" collapsed="false">
      <c r="A1044" s="60"/>
      <c r="B1044" s="61" t="str">
        <f aca="false">IF($M1044=0,"",INDEX(Classes!$E$6:$E$420,$M1044))</f>
        <v/>
      </c>
      <c r="C1044" s="62" t="str">
        <f aca="false">IF($M1044=0,"",INDEX(Classes!$H$6:$H$420,$M1044))</f>
        <v/>
      </c>
      <c r="D1044" s="61" t="str">
        <f aca="false">IF($M1044=0,"",INDEX(Classes!$B$6:$B$420,$M1044))</f>
        <v/>
      </c>
      <c r="E1044" s="61" t="str">
        <f aca="false">IF($M1044=0,"",INDEX(Classes!$C$6:$C$420,$M1044))</f>
        <v/>
      </c>
      <c r="F1044" s="63"/>
      <c r="G1044" s="63"/>
      <c r="H1044" s="60"/>
      <c r="I1044" s="60"/>
      <c r="J1044" s="63"/>
      <c r="K1044" s="61" t="str">
        <f aca="false">IF($P1044=0,"",IF($F1044="Baseline","— Baseline",IF($O1044=0,"No result",IF($N1044=0,"No Start (attainment only)",IF(OR($N1044=1,$O1044=1),"U – needs rule",INDEX(MxBody,MATCH($I1044,MxCurr,0),MATCH($H1044,MxStart,0)))))))</f>
        <v/>
      </c>
      <c r="L1044" s="62" t="str">
        <f aca="false">IF(COUNTA($A1044,$F1044,$G1044,$H1044,$I1044,$J1044)=0,"",IF($M1044=0,"✖ كود الصف غير موجود",IF(ISNA(MATCH($F1044,Lists!$A$2:$A$5,0)),"✖ الفترة غير صحيحة",IF(ISNA(MATCH($G1044,Lists!$B$2:$B$7,0)),"✖ المجموعة غير صحيحة",IF(NOT(OR($H1044="",$N1044&gt;0)),"✖ Start غير صحيح",IF(NOT(OR($I1044="",$I1044="NR",$O1044&gt;0)),"✖ Current غير صحيح",IF(NOT(IF(ISNUMBER($J1044),AND($J1044&gt;=0,$J1044=INT($J1044)),FALSE())),"✖ العدد يجب أن يكون صحيحًا ≥ 0",IF(AND($F1044="Baseline",$H1044&lt;&gt;""),"⚠ Baseline: Start لا يدخل في التقدم",IF($K1044="No Start (attainment only)","ℹ تحصيل فقط (بدون Start)",IF($K1044="U – needs rule","ℹ حالة U تحتاج قاعدة معتمدة",IF($K1044="No result","ℹ بدون نتيجة (يُستبعد من التحصيل)","OK")))))))))))</f>
        <v/>
      </c>
      <c r="M1044" s="64" t="n">
        <f aca="false">IF($A1044="",0,IFERROR(MATCH($A1044,Classes!$A$6:$A$420,0),0))</f>
        <v>0</v>
      </c>
      <c r="N1044" s="64" t="n">
        <f aca="false">IF($H1044="",0,IFERROR(MATCH($H1044,GradeList,0),0))</f>
        <v>0</v>
      </c>
      <c r="O1044" s="64" t="n">
        <f aca="false">IF(OR($I1044="",$I1044="NR"),0,IFERROR(MATCH($I1044,GradeList,0),0))</f>
        <v>0</v>
      </c>
      <c r="P1044" s="64" t="n">
        <f aca="false">IF(AND($M1044&gt;0,ISNUMBER(MATCH($F1044,Lists!$A$2:$A$5,0)),ISNUMBER(MATCH($G1044,Lists!$B$2:$B$7,0)),OR($H1044="",$N1044&gt;0),OR($I1044="",$I1044="NR",$O1044&gt;0),IF(ISNUMBER($J1044),AND($J1044&gt;=0,$J1044=INT($J1044)),FALSE())),$J1044,0)</f>
        <v>0</v>
      </c>
      <c r="Q1044" s="64" t="n">
        <f aca="false">IF(AND($P1044&gt;0,$O1044&gt;0),$P1044,0)</f>
        <v>0</v>
      </c>
      <c r="R1044" s="64" t="n">
        <f aca="false">IF(AND($Q1044&gt;0,$O1044&gt;=AtRank),$Q1044,0)</f>
        <v>0</v>
      </c>
      <c r="S1044" s="64" t="n">
        <f aca="false">IF(AND($Q1044&gt;0,$O1044&gt;=AboveRank),$Q1044,0)</f>
        <v>0</v>
      </c>
      <c r="T1044" s="64" t="n">
        <f aca="false">IF($K1044="Less",$P1044,0)</f>
        <v>0</v>
      </c>
      <c r="U1044" s="64" t="n">
        <f aca="false">IF($K1044="Expected",$P1044,0)</f>
        <v>0</v>
      </c>
      <c r="V1044" s="64" t="n">
        <f aca="false">IF($K1044="Better",$P1044,0)</f>
        <v>0</v>
      </c>
      <c r="W1044" s="64" t="n">
        <f aca="false">IF($K1044="U – needs rule",$P1044,0)</f>
        <v>0</v>
      </c>
      <c r="X1044" s="64" t="n">
        <f aca="false">IF($K1044="No Start (attainment only)",$P1044,0)</f>
        <v>0</v>
      </c>
    </row>
    <row r="1045" customFormat="false" ht="15" hidden="false" customHeight="false" outlineLevel="0" collapsed="false">
      <c r="A1045" s="60"/>
      <c r="B1045" s="61" t="str">
        <f aca="false">IF($M1045=0,"",INDEX(Classes!$E$6:$E$420,$M1045))</f>
        <v/>
      </c>
      <c r="C1045" s="62" t="str">
        <f aca="false">IF($M1045=0,"",INDEX(Classes!$H$6:$H$420,$M1045))</f>
        <v/>
      </c>
      <c r="D1045" s="61" t="str">
        <f aca="false">IF($M1045=0,"",INDEX(Classes!$B$6:$B$420,$M1045))</f>
        <v/>
      </c>
      <c r="E1045" s="61" t="str">
        <f aca="false">IF($M1045=0,"",INDEX(Classes!$C$6:$C$420,$M1045))</f>
        <v/>
      </c>
      <c r="F1045" s="63"/>
      <c r="G1045" s="63"/>
      <c r="H1045" s="60"/>
      <c r="I1045" s="60"/>
      <c r="J1045" s="63"/>
      <c r="K1045" s="61" t="str">
        <f aca="false">IF($P1045=0,"",IF($F1045="Baseline","— Baseline",IF($O1045=0,"No result",IF($N1045=0,"No Start (attainment only)",IF(OR($N1045=1,$O1045=1),"U – needs rule",INDEX(MxBody,MATCH($I1045,MxCurr,0),MATCH($H1045,MxStart,0)))))))</f>
        <v/>
      </c>
      <c r="L1045" s="62" t="str">
        <f aca="false">IF(COUNTA($A1045,$F1045,$G1045,$H1045,$I1045,$J1045)=0,"",IF($M1045=0,"✖ كود الصف غير موجود",IF(ISNA(MATCH($F1045,Lists!$A$2:$A$5,0)),"✖ الفترة غير صحيحة",IF(ISNA(MATCH($G1045,Lists!$B$2:$B$7,0)),"✖ المجموعة غير صحيحة",IF(NOT(OR($H1045="",$N1045&gt;0)),"✖ Start غير صحيح",IF(NOT(OR($I1045="",$I1045="NR",$O1045&gt;0)),"✖ Current غير صحيح",IF(NOT(IF(ISNUMBER($J1045),AND($J1045&gt;=0,$J1045=INT($J1045)),FALSE())),"✖ العدد يجب أن يكون صحيحًا ≥ 0",IF(AND($F1045="Baseline",$H1045&lt;&gt;""),"⚠ Baseline: Start لا يدخل في التقدم",IF($K1045="No Start (attainment only)","ℹ تحصيل فقط (بدون Start)",IF($K1045="U – needs rule","ℹ حالة U تحتاج قاعدة معتمدة",IF($K1045="No result","ℹ بدون نتيجة (يُستبعد من التحصيل)","OK")))))))))))</f>
        <v/>
      </c>
      <c r="M1045" s="64" t="n">
        <f aca="false">IF($A1045="",0,IFERROR(MATCH($A1045,Classes!$A$6:$A$420,0),0))</f>
        <v>0</v>
      </c>
      <c r="N1045" s="64" t="n">
        <f aca="false">IF($H1045="",0,IFERROR(MATCH($H1045,GradeList,0),0))</f>
        <v>0</v>
      </c>
      <c r="O1045" s="64" t="n">
        <f aca="false">IF(OR($I1045="",$I1045="NR"),0,IFERROR(MATCH($I1045,GradeList,0),0))</f>
        <v>0</v>
      </c>
      <c r="P1045" s="64" t="n">
        <f aca="false">IF(AND($M1045&gt;0,ISNUMBER(MATCH($F1045,Lists!$A$2:$A$5,0)),ISNUMBER(MATCH($G1045,Lists!$B$2:$B$7,0)),OR($H1045="",$N1045&gt;0),OR($I1045="",$I1045="NR",$O1045&gt;0),IF(ISNUMBER($J1045),AND($J1045&gt;=0,$J1045=INT($J1045)),FALSE())),$J1045,0)</f>
        <v>0</v>
      </c>
      <c r="Q1045" s="64" t="n">
        <f aca="false">IF(AND($P1045&gt;0,$O1045&gt;0),$P1045,0)</f>
        <v>0</v>
      </c>
      <c r="R1045" s="64" t="n">
        <f aca="false">IF(AND($Q1045&gt;0,$O1045&gt;=AtRank),$Q1045,0)</f>
        <v>0</v>
      </c>
      <c r="S1045" s="64" t="n">
        <f aca="false">IF(AND($Q1045&gt;0,$O1045&gt;=AboveRank),$Q1045,0)</f>
        <v>0</v>
      </c>
      <c r="T1045" s="64" t="n">
        <f aca="false">IF($K1045="Less",$P1045,0)</f>
        <v>0</v>
      </c>
      <c r="U1045" s="64" t="n">
        <f aca="false">IF($K1045="Expected",$P1045,0)</f>
        <v>0</v>
      </c>
      <c r="V1045" s="64" t="n">
        <f aca="false">IF($K1045="Better",$P1045,0)</f>
        <v>0</v>
      </c>
      <c r="W1045" s="64" t="n">
        <f aca="false">IF($K1045="U – needs rule",$P1045,0)</f>
        <v>0</v>
      </c>
      <c r="X1045" s="64" t="n">
        <f aca="false">IF($K1045="No Start (attainment only)",$P1045,0)</f>
        <v>0</v>
      </c>
    </row>
    <row r="1046" customFormat="false" ht="15" hidden="false" customHeight="false" outlineLevel="0" collapsed="false">
      <c r="A1046" s="60"/>
      <c r="B1046" s="61" t="str">
        <f aca="false">IF($M1046=0,"",INDEX(Classes!$E$6:$E$420,$M1046))</f>
        <v/>
      </c>
      <c r="C1046" s="62" t="str">
        <f aca="false">IF($M1046=0,"",INDEX(Classes!$H$6:$H$420,$M1046))</f>
        <v/>
      </c>
      <c r="D1046" s="61" t="str">
        <f aca="false">IF($M1046=0,"",INDEX(Classes!$B$6:$B$420,$M1046))</f>
        <v/>
      </c>
      <c r="E1046" s="61" t="str">
        <f aca="false">IF($M1046=0,"",INDEX(Classes!$C$6:$C$420,$M1046))</f>
        <v/>
      </c>
      <c r="F1046" s="63"/>
      <c r="G1046" s="63"/>
      <c r="H1046" s="60"/>
      <c r="I1046" s="60"/>
      <c r="J1046" s="63"/>
      <c r="K1046" s="61" t="str">
        <f aca="false">IF($P1046=0,"",IF($F1046="Baseline","— Baseline",IF($O1046=0,"No result",IF($N1046=0,"No Start (attainment only)",IF(OR($N1046=1,$O1046=1),"U – needs rule",INDEX(MxBody,MATCH($I1046,MxCurr,0),MATCH($H1046,MxStart,0)))))))</f>
        <v/>
      </c>
      <c r="L1046" s="62" t="str">
        <f aca="false">IF(COUNTA($A1046,$F1046,$G1046,$H1046,$I1046,$J1046)=0,"",IF($M1046=0,"✖ كود الصف غير موجود",IF(ISNA(MATCH($F1046,Lists!$A$2:$A$5,0)),"✖ الفترة غير صحيحة",IF(ISNA(MATCH($G1046,Lists!$B$2:$B$7,0)),"✖ المجموعة غير صحيحة",IF(NOT(OR($H1046="",$N1046&gt;0)),"✖ Start غير صحيح",IF(NOT(OR($I1046="",$I1046="NR",$O1046&gt;0)),"✖ Current غير صحيح",IF(NOT(IF(ISNUMBER($J1046),AND($J1046&gt;=0,$J1046=INT($J1046)),FALSE())),"✖ العدد يجب أن يكون صحيحًا ≥ 0",IF(AND($F1046="Baseline",$H1046&lt;&gt;""),"⚠ Baseline: Start لا يدخل في التقدم",IF($K1046="No Start (attainment only)","ℹ تحصيل فقط (بدون Start)",IF($K1046="U – needs rule","ℹ حالة U تحتاج قاعدة معتمدة",IF($K1046="No result","ℹ بدون نتيجة (يُستبعد من التحصيل)","OK")))))))))))</f>
        <v/>
      </c>
      <c r="M1046" s="64" t="n">
        <f aca="false">IF($A1046="",0,IFERROR(MATCH($A1046,Classes!$A$6:$A$420,0),0))</f>
        <v>0</v>
      </c>
      <c r="N1046" s="64" t="n">
        <f aca="false">IF($H1046="",0,IFERROR(MATCH($H1046,GradeList,0),0))</f>
        <v>0</v>
      </c>
      <c r="O1046" s="64" t="n">
        <f aca="false">IF(OR($I1046="",$I1046="NR"),0,IFERROR(MATCH($I1046,GradeList,0),0))</f>
        <v>0</v>
      </c>
      <c r="P1046" s="64" t="n">
        <f aca="false">IF(AND($M1046&gt;0,ISNUMBER(MATCH($F1046,Lists!$A$2:$A$5,0)),ISNUMBER(MATCH($G1046,Lists!$B$2:$B$7,0)),OR($H1046="",$N1046&gt;0),OR($I1046="",$I1046="NR",$O1046&gt;0),IF(ISNUMBER($J1046),AND($J1046&gt;=0,$J1046=INT($J1046)),FALSE())),$J1046,0)</f>
        <v>0</v>
      </c>
      <c r="Q1046" s="64" t="n">
        <f aca="false">IF(AND($P1046&gt;0,$O1046&gt;0),$P1046,0)</f>
        <v>0</v>
      </c>
      <c r="R1046" s="64" t="n">
        <f aca="false">IF(AND($Q1046&gt;0,$O1046&gt;=AtRank),$Q1046,0)</f>
        <v>0</v>
      </c>
      <c r="S1046" s="64" t="n">
        <f aca="false">IF(AND($Q1046&gt;0,$O1046&gt;=AboveRank),$Q1046,0)</f>
        <v>0</v>
      </c>
      <c r="T1046" s="64" t="n">
        <f aca="false">IF($K1046="Less",$P1046,0)</f>
        <v>0</v>
      </c>
      <c r="U1046" s="64" t="n">
        <f aca="false">IF($K1046="Expected",$P1046,0)</f>
        <v>0</v>
      </c>
      <c r="V1046" s="64" t="n">
        <f aca="false">IF($K1046="Better",$P1046,0)</f>
        <v>0</v>
      </c>
      <c r="W1046" s="64" t="n">
        <f aca="false">IF($K1046="U – needs rule",$P1046,0)</f>
        <v>0</v>
      </c>
      <c r="X1046" s="64" t="n">
        <f aca="false">IF($K1046="No Start (attainment only)",$P1046,0)</f>
        <v>0</v>
      </c>
    </row>
    <row r="1047" customFormat="false" ht="15" hidden="false" customHeight="false" outlineLevel="0" collapsed="false">
      <c r="A1047" s="60"/>
      <c r="B1047" s="61" t="str">
        <f aca="false">IF($M1047=0,"",INDEX(Classes!$E$6:$E$420,$M1047))</f>
        <v/>
      </c>
      <c r="C1047" s="62" t="str">
        <f aca="false">IF($M1047=0,"",INDEX(Classes!$H$6:$H$420,$M1047))</f>
        <v/>
      </c>
      <c r="D1047" s="61" t="str">
        <f aca="false">IF($M1047=0,"",INDEX(Classes!$B$6:$B$420,$M1047))</f>
        <v/>
      </c>
      <c r="E1047" s="61" t="str">
        <f aca="false">IF($M1047=0,"",INDEX(Classes!$C$6:$C$420,$M1047))</f>
        <v/>
      </c>
      <c r="F1047" s="63"/>
      <c r="G1047" s="63"/>
      <c r="H1047" s="60"/>
      <c r="I1047" s="60"/>
      <c r="J1047" s="63"/>
      <c r="K1047" s="61" t="str">
        <f aca="false">IF($P1047=0,"",IF($F1047="Baseline","— Baseline",IF($O1047=0,"No result",IF($N1047=0,"No Start (attainment only)",IF(OR($N1047=1,$O1047=1),"U – needs rule",INDEX(MxBody,MATCH($I1047,MxCurr,0),MATCH($H1047,MxStart,0)))))))</f>
        <v/>
      </c>
      <c r="L1047" s="62" t="str">
        <f aca="false">IF(COUNTA($A1047,$F1047,$G1047,$H1047,$I1047,$J1047)=0,"",IF($M1047=0,"✖ كود الصف غير موجود",IF(ISNA(MATCH($F1047,Lists!$A$2:$A$5,0)),"✖ الفترة غير صحيحة",IF(ISNA(MATCH($G1047,Lists!$B$2:$B$7,0)),"✖ المجموعة غير صحيحة",IF(NOT(OR($H1047="",$N1047&gt;0)),"✖ Start غير صحيح",IF(NOT(OR($I1047="",$I1047="NR",$O1047&gt;0)),"✖ Current غير صحيح",IF(NOT(IF(ISNUMBER($J1047),AND($J1047&gt;=0,$J1047=INT($J1047)),FALSE())),"✖ العدد يجب أن يكون صحيحًا ≥ 0",IF(AND($F1047="Baseline",$H1047&lt;&gt;""),"⚠ Baseline: Start لا يدخل في التقدم",IF($K1047="No Start (attainment only)","ℹ تحصيل فقط (بدون Start)",IF($K1047="U – needs rule","ℹ حالة U تحتاج قاعدة معتمدة",IF($K1047="No result","ℹ بدون نتيجة (يُستبعد من التحصيل)","OK")))))))))))</f>
        <v/>
      </c>
      <c r="M1047" s="64" t="n">
        <f aca="false">IF($A1047="",0,IFERROR(MATCH($A1047,Classes!$A$6:$A$420,0),0))</f>
        <v>0</v>
      </c>
      <c r="N1047" s="64" t="n">
        <f aca="false">IF($H1047="",0,IFERROR(MATCH($H1047,GradeList,0),0))</f>
        <v>0</v>
      </c>
      <c r="O1047" s="64" t="n">
        <f aca="false">IF(OR($I1047="",$I1047="NR"),0,IFERROR(MATCH($I1047,GradeList,0),0))</f>
        <v>0</v>
      </c>
      <c r="P1047" s="64" t="n">
        <f aca="false">IF(AND($M1047&gt;0,ISNUMBER(MATCH($F1047,Lists!$A$2:$A$5,0)),ISNUMBER(MATCH($G1047,Lists!$B$2:$B$7,0)),OR($H1047="",$N1047&gt;0),OR($I1047="",$I1047="NR",$O1047&gt;0),IF(ISNUMBER($J1047),AND($J1047&gt;=0,$J1047=INT($J1047)),FALSE())),$J1047,0)</f>
        <v>0</v>
      </c>
      <c r="Q1047" s="64" t="n">
        <f aca="false">IF(AND($P1047&gt;0,$O1047&gt;0),$P1047,0)</f>
        <v>0</v>
      </c>
      <c r="R1047" s="64" t="n">
        <f aca="false">IF(AND($Q1047&gt;0,$O1047&gt;=AtRank),$Q1047,0)</f>
        <v>0</v>
      </c>
      <c r="S1047" s="64" t="n">
        <f aca="false">IF(AND($Q1047&gt;0,$O1047&gt;=AboveRank),$Q1047,0)</f>
        <v>0</v>
      </c>
      <c r="T1047" s="64" t="n">
        <f aca="false">IF($K1047="Less",$P1047,0)</f>
        <v>0</v>
      </c>
      <c r="U1047" s="64" t="n">
        <f aca="false">IF($K1047="Expected",$P1047,0)</f>
        <v>0</v>
      </c>
      <c r="V1047" s="64" t="n">
        <f aca="false">IF($K1047="Better",$P1047,0)</f>
        <v>0</v>
      </c>
      <c r="W1047" s="64" t="n">
        <f aca="false">IF($K1047="U – needs rule",$P1047,0)</f>
        <v>0</v>
      </c>
      <c r="X1047" s="64" t="n">
        <f aca="false">IF($K1047="No Start (attainment only)",$P1047,0)</f>
        <v>0</v>
      </c>
    </row>
    <row r="1048" customFormat="false" ht="15" hidden="false" customHeight="false" outlineLevel="0" collapsed="false">
      <c r="A1048" s="60"/>
      <c r="B1048" s="61" t="str">
        <f aca="false">IF($M1048=0,"",INDEX(Classes!$E$6:$E$420,$M1048))</f>
        <v/>
      </c>
      <c r="C1048" s="62" t="str">
        <f aca="false">IF($M1048=0,"",INDEX(Classes!$H$6:$H$420,$M1048))</f>
        <v/>
      </c>
      <c r="D1048" s="61" t="str">
        <f aca="false">IF($M1048=0,"",INDEX(Classes!$B$6:$B$420,$M1048))</f>
        <v/>
      </c>
      <c r="E1048" s="61" t="str">
        <f aca="false">IF($M1048=0,"",INDEX(Classes!$C$6:$C$420,$M1048))</f>
        <v/>
      </c>
      <c r="F1048" s="63"/>
      <c r="G1048" s="63"/>
      <c r="H1048" s="60"/>
      <c r="I1048" s="60"/>
      <c r="J1048" s="63"/>
      <c r="K1048" s="61" t="str">
        <f aca="false">IF($P1048=0,"",IF($F1048="Baseline","— Baseline",IF($O1048=0,"No result",IF($N1048=0,"No Start (attainment only)",IF(OR($N1048=1,$O1048=1),"U – needs rule",INDEX(MxBody,MATCH($I1048,MxCurr,0),MATCH($H1048,MxStart,0)))))))</f>
        <v/>
      </c>
      <c r="L1048" s="62" t="str">
        <f aca="false">IF(COUNTA($A1048,$F1048,$G1048,$H1048,$I1048,$J1048)=0,"",IF($M1048=0,"✖ كود الصف غير موجود",IF(ISNA(MATCH($F1048,Lists!$A$2:$A$5,0)),"✖ الفترة غير صحيحة",IF(ISNA(MATCH($G1048,Lists!$B$2:$B$7,0)),"✖ المجموعة غير صحيحة",IF(NOT(OR($H1048="",$N1048&gt;0)),"✖ Start غير صحيح",IF(NOT(OR($I1048="",$I1048="NR",$O1048&gt;0)),"✖ Current غير صحيح",IF(NOT(IF(ISNUMBER($J1048),AND($J1048&gt;=0,$J1048=INT($J1048)),FALSE())),"✖ العدد يجب أن يكون صحيحًا ≥ 0",IF(AND($F1048="Baseline",$H1048&lt;&gt;""),"⚠ Baseline: Start لا يدخل في التقدم",IF($K1048="No Start (attainment only)","ℹ تحصيل فقط (بدون Start)",IF($K1048="U – needs rule","ℹ حالة U تحتاج قاعدة معتمدة",IF($K1048="No result","ℹ بدون نتيجة (يُستبعد من التحصيل)","OK")))))))))))</f>
        <v/>
      </c>
      <c r="M1048" s="64" t="n">
        <f aca="false">IF($A1048="",0,IFERROR(MATCH($A1048,Classes!$A$6:$A$420,0),0))</f>
        <v>0</v>
      </c>
      <c r="N1048" s="64" t="n">
        <f aca="false">IF($H1048="",0,IFERROR(MATCH($H1048,GradeList,0),0))</f>
        <v>0</v>
      </c>
      <c r="O1048" s="64" t="n">
        <f aca="false">IF(OR($I1048="",$I1048="NR"),0,IFERROR(MATCH($I1048,GradeList,0),0))</f>
        <v>0</v>
      </c>
      <c r="P1048" s="64" t="n">
        <f aca="false">IF(AND($M1048&gt;0,ISNUMBER(MATCH($F1048,Lists!$A$2:$A$5,0)),ISNUMBER(MATCH($G1048,Lists!$B$2:$B$7,0)),OR($H1048="",$N1048&gt;0),OR($I1048="",$I1048="NR",$O1048&gt;0),IF(ISNUMBER($J1048),AND($J1048&gt;=0,$J1048=INT($J1048)),FALSE())),$J1048,0)</f>
        <v>0</v>
      </c>
      <c r="Q1048" s="64" t="n">
        <f aca="false">IF(AND($P1048&gt;0,$O1048&gt;0),$P1048,0)</f>
        <v>0</v>
      </c>
      <c r="R1048" s="64" t="n">
        <f aca="false">IF(AND($Q1048&gt;0,$O1048&gt;=AtRank),$Q1048,0)</f>
        <v>0</v>
      </c>
      <c r="S1048" s="64" t="n">
        <f aca="false">IF(AND($Q1048&gt;0,$O1048&gt;=AboveRank),$Q1048,0)</f>
        <v>0</v>
      </c>
      <c r="T1048" s="64" t="n">
        <f aca="false">IF($K1048="Less",$P1048,0)</f>
        <v>0</v>
      </c>
      <c r="U1048" s="64" t="n">
        <f aca="false">IF($K1048="Expected",$P1048,0)</f>
        <v>0</v>
      </c>
      <c r="V1048" s="64" t="n">
        <f aca="false">IF($K1048="Better",$P1048,0)</f>
        <v>0</v>
      </c>
      <c r="W1048" s="64" t="n">
        <f aca="false">IF($K1048="U – needs rule",$P1048,0)</f>
        <v>0</v>
      </c>
      <c r="X1048" s="64" t="n">
        <f aca="false">IF($K1048="No Start (attainment only)",$P1048,0)</f>
        <v>0</v>
      </c>
    </row>
    <row r="1049" customFormat="false" ht="15" hidden="false" customHeight="false" outlineLevel="0" collapsed="false">
      <c r="A1049" s="60"/>
      <c r="B1049" s="61" t="str">
        <f aca="false">IF($M1049=0,"",INDEX(Classes!$E$6:$E$420,$M1049))</f>
        <v/>
      </c>
      <c r="C1049" s="62" t="str">
        <f aca="false">IF($M1049=0,"",INDEX(Classes!$H$6:$H$420,$M1049))</f>
        <v/>
      </c>
      <c r="D1049" s="61" t="str">
        <f aca="false">IF($M1049=0,"",INDEX(Classes!$B$6:$B$420,$M1049))</f>
        <v/>
      </c>
      <c r="E1049" s="61" t="str">
        <f aca="false">IF($M1049=0,"",INDEX(Classes!$C$6:$C$420,$M1049))</f>
        <v/>
      </c>
      <c r="F1049" s="63"/>
      <c r="G1049" s="63"/>
      <c r="H1049" s="60"/>
      <c r="I1049" s="60"/>
      <c r="J1049" s="63"/>
      <c r="K1049" s="61" t="str">
        <f aca="false">IF($P1049=0,"",IF($F1049="Baseline","— Baseline",IF($O1049=0,"No result",IF($N1049=0,"No Start (attainment only)",IF(OR($N1049=1,$O1049=1),"U – needs rule",INDEX(MxBody,MATCH($I1049,MxCurr,0),MATCH($H1049,MxStart,0)))))))</f>
        <v/>
      </c>
      <c r="L1049" s="62" t="str">
        <f aca="false">IF(COUNTA($A1049,$F1049,$G1049,$H1049,$I1049,$J1049)=0,"",IF($M1049=0,"✖ كود الصف غير موجود",IF(ISNA(MATCH($F1049,Lists!$A$2:$A$5,0)),"✖ الفترة غير صحيحة",IF(ISNA(MATCH($G1049,Lists!$B$2:$B$7,0)),"✖ المجموعة غير صحيحة",IF(NOT(OR($H1049="",$N1049&gt;0)),"✖ Start غير صحيح",IF(NOT(OR($I1049="",$I1049="NR",$O1049&gt;0)),"✖ Current غير صحيح",IF(NOT(IF(ISNUMBER($J1049),AND($J1049&gt;=0,$J1049=INT($J1049)),FALSE())),"✖ العدد يجب أن يكون صحيحًا ≥ 0",IF(AND($F1049="Baseline",$H1049&lt;&gt;""),"⚠ Baseline: Start لا يدخل في التقدم",IF($K1049="No Start (attainment only)","ℹ تحصيل فقط (بدون Start)",IF($K1049="U – needs rule","ℹ حالة U تحتاج قاعدة معتمدة",IF($K1049="No result","ℹ بدون نتيجة (يُستبعد من التحصيل)","OK")))))))))))</f>
        <v/>
      </c>
      <c r="M1049" s="64" t="n">
        <f aca="false">IF($A1049="",0,IFERROR(MATCH($A1049,Classes!$A$6:$A$420,0),0))</f>
        <v>0</v>
      </c>
      <c r="N1049" s="64" t="n">
        <f aca="false">IF($H1049="",0,IFERROR(MATCH($H1049,GradeList,0),0))</f>
        <v>0</v>
      </c>
      <c r="O1049" s="64" t="n">
        <f aca="false">IF(OR($I1049="",$I1049="NR"),0,IFERROR(MATCH($I1049,GradeList,0),0))</f>
        <v>0</v>
      </c>
      <c r="P1049" s="64" t="n">
        <f aca="false">IF(AND($M1049&gt;0,ISNUMBER(MATCH($F1049,Lists!$A$2:$A$5,0)),ISNUMBER(MATCH($G1049,Lists!$B$2:$B$7,0)),OR($H1049="",$N1049&gt;0),OR($I1049="",$I1049="NR",$O1049&gt;0),IF(ISNUMBER($J1049),AND($J1049&gt;=0,$J1049=INT($J1049)),FALSE())),$J1049,0)</f>
        <v>0</v>
      </c>
      <c r="Q1049" s="64" t="n">
        <f aca="false">IF(AND($P1049&gt;0,$O1049&gt;0),$P1049,0)</f>
        <v>0</v>
      </c>
      <c r="R1049" s="64" t="n">
        <f aca="false">IF(AND($Q1049&gt;0,$O1049&gt;=AtRank),$Q1049,0)</f>
        <v>0</v>
      </c>
      <c r="S1049" s="64" t="n">
        <f aca="false">IF(AND($Q1049&gt;0,$O1049&gt;=AboveRank),$Q1049,0)</f>
        <v>0</v>
      </c>
      <c r="T1049" s="64" t="n">
        <f aca="false">IF($K1049="Less",$P1049,0)</f>
        <v>0</v>
      </c>
      <c r="U1049" s="64" t="n">
        <f aca="false">IF($K1049="Expected",$P1049,0)</f>
        <v>0</v>
      </c>
      <c r="V1049" s="64" t="n">
        <f aca="false">IF($K1049="Better",$P1049,0)</f>
        <v>0</v>
      </c>
      <c r="W1049" s="64" t="n">
        <f aca="false">IF($K1049="U – needs rule",$P1049,0)</f>
        <v>0</v>
      </c>
      <c r="X1049" s="64" t="n">
        <f aca="false">IF($K1049="No Start (attainment only)",$P1049,0)</f>
        <v>0</v>
      </c>
    </row>
    <row r="1050" customFormat="false" ht="15" hidden="false" customHeight="false" outlineLevel="0" collapsed="false">
      <c r="A1050" s="60"/>
      <c r="B1050" s="61" t="str">
        <f aca="false">IF($M1050=0,"",INDEX(Classes!$E$6:$E$420,$M1050))</f>
        <v/>
      </c>
      <c r="C1050" s="62" t="str">
        <f aca="false">IF($M1050=0,"",INDEX(Classes!$H$6:$H$420,$M1050))</f>
        <v/>
      </c>
      <c r="D1050" s="61" t="str">
        <f aca="false">IF($M1050=0,"",INDEX(Classes!$B$6:$B$420,$M1050))</f>
        <v/>
      </c>
      <c r="E1050" s="61" t="str">
        <f aca="false">IF($M1050=0,"",INDEX(Classes!$C$6:$C$420,$M1050))</f>
        <v/>
      </c>
      <c r="F1050" s="63"/>
      <c r="G1050" s="63"/>
      <c r="H1050" s="60"/>
      <c r="I1050" s="60"/>
      <c r="J1050" s="63"/>
      <c r="K1050" s="61" t="str">
        <f aca="false">IF($P1050=0,"",IF($F1050="Baseline","— Baseline",IF($O1050=0,"No result",IF($N1050=0,"No Start (attainment only)",IF(OR($N1050=1,$O1050=1),"U – needs rule",INDEX(MxBody,MATCH($I1050,MxCurr,0),MATCH($H1050,MxStart,0)))))))</f>
        <v/>
      </c>
      <c r="L1050" s="62" t="str">
        <f aca="false">IF(COUNTA($A1050,$F1050,$G1050,$H1050,$I1050,$J1050)=0,"",IF($M1050=0,"✖ كود الصف غير موجود",IF(ISNA(MATCH($F1050,Lists!$A$2:$A$5,0)),"✖ الفترة غير صحيحة",IF(ISNA(MATCH($G1050,Lists!$B$2:$B$7,0)),"✖ المجموعة غير صحيحة",IF(NOT(OR($H1050="",$N1050&gt;0)),"✖ Start غير صحيح",IF(NOT(OR($I1050="",$I1050="NR",$O1050&gt;0)),"✖ Current غير صحيح",IF(NOT(IF(ISNUMBER($J1050),AND($J1050&gt;=0,$J1050=INT($J1050)),FALSE())),"✖ العدد يجب أن يكون صحيحًا ≥ 0",IF(AND($F1050="Baseline",$H1050&lt;&gt;""),"⚠ Baseline: Start لا يدخل في التقدم",IF($K1050="No Start (attainment only)","ℹ تحصيل فقط (بدون Start)",IF($K1050="U – needs rule","ℹ حالة U تحتاج قاعدة معتمدة",IF($K1050="No result","ℹ بدون نتيجة (يُستبعد من التحصيل)","OK")))))))))))</f>
        <v/>
      </c>
      <c r="M1050" s="64" t="n">
        <f aca="false">IF($A1050="",0,IFERROR(MATCH($A1050,Classes!$A$6:$A$420,0),0))</f>
        <v>0</v>
      </c>
      <c r="N1050" s="64" t="n">
        <f aca="false">IF($H1050="",0,IFERROR(MATCH($H1050,GradeList,0),0))</f>
        <v>0</v>
      </c>
      <c r="O1050" s="64" t="n">
        <f aca="false">IF(OR($I1050="",$I1050="NR"),0,IFERROR(MATCH($I1050,GradeList,0),0))</f>
        <v>0</v>
      </c>
      <c r="P1050" s="64" t="n">
        <f aca="false">IF(AND($M1050&gt;0,ISNUMBER(MATCH($F1050,Lists!$A$2:$A$5,0)),ISNUMBER(MATCH($G1050,Lists!$B$2:$B$7,0)),OR($H1050="",$N1050&gt;0),OR($I1050="",$I1050="NR",$O1050&gt;0),IF(ISNUMBER($J1050),AND($J1050&gt;=0,$J1050=INT($J1050)),FALSE())),$J1050,0)</f>
        <v>0</v>
      </c>
      <c r="Q1050" s="64" t="n">
        <f aca="false">IF(AND($P1050&gt;0,$O1050&gt;0),$P1050,0)</f>
        <v>0</v>
      </c>
      <c r="R1050" s="64" t="n">
        <f aca="false">IF(AND($Q1050&gt;0,$O1050&gt;=AtRank),$Q1050,0)</f>
        <v>0</v>
      </c>
      <c r="S1050" s="64" t="n">
        <f aca="false">IF(AND($Q1050&gt;0,$O1050&gt;=AboveRank),$Q1050,0)</f>
        <v>0</v>
      </c>
      <c r="T1050" s="64" t="n">
        <f aca="false">IF($K1050="Less",$P1050,0)</f>
        <v>0</v>
      </c>
      <c r="U1050" s="64" t="n">
        <f aca="false">IF($K1050="Expected",$P1050,0)</f>
        <v>0</v>
      </c>
      <c r="V1050" s="64" t="n">
        <f aca="false">IF($K1050="Better",$P1050,0)</f>
        <v>0</v>
      </c>
      <c r="W1050" s="64" t="n">
        <f aca="false">IF($K1050="U – needs rule",$P1050,0)</f>
        <v>0</v>
      </c>
      <c r="X1050" s="64" t="n">
        <f aca="false">IF($K1050="No Start (attainment only)",$P1050,0)</f>
        <v>0</v>
      </c>
    </row>
    <row r="1051" customFormat="false" ht="15" hidden="false" customHeight="false" outlineLevel="0" collapsed="false">
      <c r="A1051" s="60"/>
      <c r="B1051" s="61" t="str">
        <f aca="false">IF($M1051=0,"",INDEX(Classes!$E$6:$E$420,$M1051))</f>
        <v/>
      </c>
      <c r="C1051" s="62" t="str">
        <f aca="false">IF($M1051=0,"",INDEX(Classes!$H$6:$H$420,$M1051))</f>
        <v/>
      </c>
      <c r="D1051" s="61" t="str">
        <f aca="false">IF($M1051=0,"",INDEX(Classes!$B$6:$B$420,$M1051))</f>
        <v/>
      </c>
      <c r="E1051" s="61" t="str">
        <f aca="false">IF($M1051=0,"",INDEX(Classes!$C$6:$C$420,$M1051))</f>
        <v/>
      </c>
      <c r="F1051" s="63"/>
      <c r="G1051" s="63"/>
      <c r="H1051" s="60"/>
      <c r="I1051" s="60"/>
      <c r="J1051" s="63"/>
      <c r="K1051" s="61" t="str">
        <f aca="false">IF($P1051=0,"",IF($F1051="Baseline","— Baseline",IF($O1051=0,"No result",IF($N1051=0,"No Start (attainment only)",IF(OR($N1051=1,$O1051=1),"U – needs rule",INDEX(MxBody,MATCH($I1051,MxCurr,0),MATCH($H1051,MxStart,0)))))))</f>
        <v/>
      </c>
      <c r="L1051" s="62" t="str">
        <f aca="false">IF(COUNTA($A1051,$F1051,$G1051,$H1051,$I1051,$J1051)=0,"",IF($M1051=0,"✖ كود الصف غير موجود",IF(ISNA(MATCH($F1051,Lists!$A$2:$A$5,0)),"✖ الفترة غير صحيحة",IF(ISNA(MATCH($G1051,Lists!$B$2:$B$7,0)),"✖ المجموعة غير صحيحة",IF(NOT(OR($H1051="",$N1051&gt;0)),"✖ Start غير صحيح",IF(NOT(OR($I1051="",$I1051="NR",$O1051&gt;0)),"✖ Current غير صحيح",IF(NOT(IF(ISNUMBER($J1051),AND($J1051&gt;=0,$J1051=INT($J1051)),FALSE())),"✖ العدد يجب أن يكون صحيحًا ≥ 0",IF(AND($F1051="Baseline",$H1051&lt;&gt;""),"⚠ Baseline: Start لا يدخل في التقدم",IF($K1051="No Start (attainment only)","ℹ تحصيل فقط (بدون Start)",IF($K1051="U – needs rule","ℹ حالة U تحتاج قاعدة معتمدة",IF($K1051="No result","ℹ بدون نتيجة (يُستبعد من التحصيل)","OK")))))))))))</f>
        <v/>
      </c>
      <c r="M1051" s="64" t="n">
        <f aca="false">IF($A1051="",0,IFERROR(MATCH($A1051,Classes!$A$6:$A$420,0),0))</f>
        <v>0</v>
      </c>
      <c r="N1051" s="64" t="n">
        <f aca="false">IF($H1051="",0,IFERROR(MATCH($H1051,GradeList,0),0))</f>
        <v>0</v>
      </c>
      <c r="O1051" s="64" t="n">
        <f aca="false">IF(OR($I1051="",$I1051="NR"),0,IFERROR(MATCH($I1051,GradeList,0),0))</f>
        <v>0</v>
      </c>
      <c r="P1051" s="64" t="n">
        <f aca="false">IF(AND($M1051&gt;0,ISNUMBER(MATCH($F1051,Lists!$A$2:$A$5,0)),ISNUMBER(MATCH($G1051,Lists!$B$2:$B$7,0)),OR($H1051="",$N1051&gt;0),OR($I1051="",$I1051="NR",$O1051&gt;0),IF(ISNUMBER($J1051),AND($J1051&gt;=0,$J1051=INT($J1051)),FALSE())),$J1051,0)</f>
        <v>0</v>
      </c>
      <c r="Q1051" s="64" t="n">
        <f aca="false">IF(AND($P1051&gt;0,$O1051&gt;0),$P1051,0)</f>
        <v>0</v>
      </c>
      <c r="R1051" s="64" t="n">
        <f aca="false">IF(AND($Q1051&gt;0,$O1051&gt;=AtRank),$Q1051,0)</f>
        <v>0</v>
      </c>
      <c r="S1051" s="64" t="n">
        <f aca="false">IF(AND($Q1051&gt;0,$O1051&gt;=AboveRank),$Q1051,0)</f>
        <v>0</v>
      </c>
      <c r="T1051" s="64" t="n">
        <f aca="false">IF($K1051="Less",$P1051,0)</f>
        <v>0</v>
      </c>
      <c r="U1051" s="64" t="n">
        <f aca="false">IF($K1051="Expected",$P1051,0)</f>
        <v>0</v>
      </c>
      <c r="V1051" s="64" t="n">
        <f aca="false">IF($K1051="Better",$P1051,0)</f>
        <v>0</v>
      </c>
      <c r="W1051" s="64" t="n">
        <f aca="false">IF($K1051="U – needs rule",$P1051,0)</f>
        <v>0</v>
      </c>
      <c r="X1051" s="64" t="n">
        <f aca="false">IF($K1051="No Start (attainment only)",$P1051,0)</f>
        <v>0</v>
      </c>
    </row>
    <row r="1052" customFormat="false" ht="15" hidden="false" customHeight="false" outlineLevel="0" collapsed="false">
      <c r="A1052" s="60"/>
      <c r="B1052" s="61" t="str">
        <f aca="false">IF($M1052=0,"",INDEX(Classes!$E$6:$E$420,$M1052))</f>
        <v/>
      </c>
      <c r="C1052" s="62" t="str">
        <f aca="false">IF($M1052=0,"",INDEX(Classes!$H$6:$H$420,$M1052))</f>
        <v/>
      </c>
      <c r="D1052" s="61" t="str">
        <f aca="false">IF($M1052=0,"",INDEX(Classes!$B$6:$B$420,$M1052))</f>
        <v/>
      </c>
      <c r="E1052" s="61" t="str">
        <f aca="false">IF($M1052=0,"",INDEX(Classes!$C$6:$C$420,$M1052))</f>
        <v/>
      </c>
      <c r="F1052" s="63"/>
      <c r="G1052" s="63"/>
      <c r="H1052" s="60"/>
      <c r="I1052" s="60"/>
      <c r="J1052" s="63"/>
      <c r="K1052" s="61" t="str">
        <f aca="false">IF($P1052=0,"",IF($F1052="Baseline","— Baseline",IF($O1052=0,"No result",IF($N1052=0,"No Start (attainment only)",IF(OR($N1052=1,$O1052=1),"U – needs rule",INDEX(MxBody,MATCH($I1052,MxCurr,0),MATCH($H1052,MxStart,0)))))))</f>
        <v/>
      </c>
      <c r="L1052" s="62" t="str">
        <f aca="false">IF(COUNTA($A1052,$F1052,$G1052,$H1052,$I1052,$J1052)=0,"",IF($M1052=0,"✖ كود الصف غير موجود",IF(ISNA(MATCH($F1052,Lists!$A$2:$A$5,0)),"✖ الفترة غير صحيحة",IF(ISNA(MATCH($G1052,Lists!$B$2:$B$7,0)),"✖ المجموعة غير صحيحة",IF(NOT(OR($H1052="",$N1052&gt;0)),"✖ Start غير صحيح",IF(NOT(OR($I1052="",$I1052="NR",$O1052&gt;0)),"✖ Current غير صحيح",IF(NOT(IF(ISNUMBER($J1052),AND($J1052&gt;=0,$J1052=INT($J1052)),FALSE())),"✖ العدد يجب أن يكون صحيحًا ≥ 0",IF(AND($F1052="Baseline",$H1052&lt;&gt;""),"⚠ Baseline: Start لا يدخل في التقدم",IF($K1052="No Start (attainment only)","ℹ تحصيل فقط (بدون Start)",IF($K1052="U – needs rule","ℹ حالة U تحتاج قاعدة معتمدة",IF($K1052="No result","ℹ بدون نتيجة (يُستبعد من التحصيل)","OK")))))))))))</f>
        <v/>
      </c>
      <c r="M1052" s="64" t="n">
        <f aca="false">IF($A1052="",0,IFERROR(MATCH($A1052,Classes!$A$6:$A$420,0),0))</f>
        <v>0</v>
      </c>
      <c r="N1052" s="64" t="n">
        <f aca="false">IF($H1052="",0,IFERROR(MATCH($H1052,GradeList,0),0))</f>
        <v>0</v>
      </c>
      <c r="O1052" s="64" t="n">
        <f aca="false">IF(OR($I1052="",$I1052="NR"),0,IFERROR(MATCH($I1052,GradeList,0),0))</f>
        <v>0</v>
      </c>
      <c r="P1052" s="64" t="n">
        <f aca="false">IF(AND($M1052&gt;0,ISNUMBER(MATCH($F1052,Lists!$A$2:$A$5,0)),ISNUMBER(MATCH($G1052,Lists!$B$2:$B$7,0)),OR($H1052="",$N1052&gt;0),OR($I1052="",$I1052="NR",$O1052&gt;0),IF(ISNUMBER($J1052),AND($J1052&gt;=0,$J1052=INT($J1052)),FALSE())),$J1052,0)</f>
        <v>0</v>
      </c>
      <c r="Q1052" s="64" t="n">
        <f aca="false">IF(AND($P1052&gt;0,$O1052&gt;0),$P1052,0)</f>
        <v>0</v>
      </c>
      <c r="R1052" s="64" t="n">
        <f aca="false">IF(AND($Q1052&gt;0,$O1052&gt;=AtRank),$Q1052,0)</f>
        <v>0</v>
      </c>
      <c r="S1052" s="64" t="n">
        <f aca="false">IF(AND($Q1052&gt;0,$O1052&gt;=AboveRank),$Q1052,0)</f>
        <v>0</v>
      </c>
      <c r="T1052" s="64" t="n">
        <f aca="false">IF($K1052="Less",$P1052,0)</f>
        <v>0</v>
      </c>
      <c r="U1052" s="64" t="n">
        <f aca="false">IF($K1052="Expected",$P1052,0)</f>
        <v>0</v>
      </c>
      <c r="V1052" s="64" t="n">
        <f aca="false">IF($K1052="Better",$P1052,0)</f>
        <v>0</v>
      </c>
      <c r="W1052" s="64" t="n">
        <f aca="false">IF($K1052="U – needs rule",$P1052,0)</f>
        <v>0</v>
      </c>
      <c r="X1052" s="64" t="n">
        <f aca="false">IF($K1052="No Start (attainment only)",$P1052,0)</f>
        <v>0</v>
      </c>
    </row>
    <row r="1053" customFormat="false" ht="15" hidden="false" customHeight="false" outlineLevel="0" collapsed="false">
      <c r="A1053" s="60"/>
      <c r="B1053" s="61" t="str">
        <f aca="false">IF($M1053=0,"",INDEX(Classes!$E$6:$E$420,$M1053))</f>
        <v/>
      </c>
      <c r="C1053" s="62" t="str">
        <f aca="false">IF($M1053=0,"",INDEX(Classes!$H$6:$H$420,$M1053))</f>
        <v/>
      </c>
      <c r="D1053" s="61" t="str">
        <f aca="false">IF($M1053=0,"",INDEX(Classes!$B$6:$B$420,$M1053))</f>
        <v/>
      </c>
      <c r="E1053" s="61" t="str">
        <f aca="false">IF($M1053=0,"",INDEX(Classes!$C$6:$C$420,$M1053))</f>
        <v/>
      </c>
      <c r="F1053" s="63"/>
      <c r="G1053" s="63"/>
      <c r="H1053" s="60"/>
      <c r="I1053" s="60"/>
      <c r="J1053" s="63"/>
      <c r="K1053" s="61" t="str">
        <f aca="false">IF($P1053=0,"",IF($F1053="Baseline","— Baseline",IF($O1053=0,"No result",IF($N1053=0,"No Start (attainment only)",IF(OR($N1053=1,$O1053=1),"U – needs rule",INDEX(MxBody,MATCH($I1053,MxCurr,0),MATCH($H1053,MxStart,0)))))))</f>
        <v/>
      </c>
      <c r="L1053" s="62" t="str">
        <f aca="false">IF(COUNTA($A1053,$F1053,$G1053,$H1053,$I1053,$J1053)=0,"",IF($M1053=0,"✖ كود الصف غير موجود",IF(ISNA(MATCH($F1053,Lists!$A$2:$A$5,0)),"✖ الفترة غير صحيحة",IF(ISNA(MATCH($G1053,Lists!$B$2:$B$7,0)),"✖ المجموعة غير صحيحة",IF(NOT(OR($H1053="",$N1053&gt;0)),"✖ Start غير صحيح",IF(NOT(OR($I1053="",$I1053="NR",$O1053&gt;0)),"✖ Current غير صحيح",IF(NOT(IF(ISNUMBER($J1053),AND($J1053&gt;=0,$J1053=INT($J1053)),FALSE())),"✖ العدد يجب أن يكون صحيحًا ≥ 0",IF(AND($F1053="Baseline",$H1053&lt;&gt;""),"⚠ Baseline: Start لا يدخل في التقدم",IF($K1053="No Start (attainment only)","ℹ تحصيل فقط (بدون Start)",IF($K1053="U – needs rule","ℹ حالة U تحتاج قاعدة معتمدة",IF($K1053="No result","ℹ بدون نتيجة (يُستبعد من التحصيل)","OK")))))))))))</f>
        <v/>
      </c>
      <c r="M1053" s="64" t="n">
        <f aca="false">IF($A1053="",0,IFERROR(MATCH($A1053,Classes!$A$6:$A$420,0),0))</f>
        <v>0</v>
      </c>
      <c r="N1053" s="64" t="n">
        <f aca="false">IF($H1053="",0,IFERROR(MATCH($H1053,GradeList,0),0))</f>
        <v>0</v>
      </c>
      <c r="O1053" s="64" t="n">
        <f aca="false">IF(OR($I1053="",$I1053="NR"),0,IFERROR(MATCH($I1053,GradeList,0),0))</f>
        <v>0</v>
      </c>
      <c r="P1053" s="64" t="n">
        <f aca="false">IF(AND($M1053&gt;0,ISNUMBER(MATCH($F1053,Lists!$A$2:$A$5,0)),ISNUMBER(MATCH($G1053,Lists!$B$2:$B$7,0)),OR($H1053="",$N1053&gt;0),OR($I1053="",$I1053="NR",$O1053&gt;0),IF(ISNUMBER($J1053),AND($J1053&gt;=0,$J1053=INT($J1053)),FALSE())),$J1053,0)</f>
        <v>0</v>
      </c>
      <c r="Q1053" s="64" t="n">
        <f aca="false">IF(AND($P1053&gt;0,$O1053&gt;0),$P1053,0)</f>
        <v>0</v>
      </c>
      <c r="R1053" s="64" t="n">
        <f aca="false">IF(AND($Q1053&gt;0,$O1053&gt;=AtRank),$Q1053,0)</f>
        <v>0</v>
      </c>
      <c r="S1053" s="64" t="n">
        <f aca="false">IF(AND($Q1053&gt;0,$O1053&gt;=AboveRank),$Q1053,0)</f>
        <v>0</v>
      </c>
      <c r="T1053" s="64" t="n">
        <f aca="false">IF($K1053="Less",$P1053,0)</f>
        <v>0</v>
      </c>
      <c r="U1053" s="64" t="n">
        <f aca="false">IF($K1053="Expected",$P1053,0)</f>
        <v>0</v>
      </c>
      <c r="V1053" s="64" t="n">
        <f aca="false">IF($K1053="Better",$P1053,0)</f>
        <v>0</v>
      </c>
      <c r="W1053" s="64" t="n">
        <f aca="false">IF($K1053="U – needs rule",$P1053,0)</f>
        <v>0</v>
      </c>
      <c r="X1053" s="64" t="n">
        <f aca="false">IF($K1053="No Start (attainment only)",$P1053,0)</f>
        <v>0</v>
      </c>
    </row>
    <row r="1054" customFormat="false" ht="15" hidden="false" customHeight="false" outlineLevel="0" collapsed="false">
      <c r="A1054" s="60"/>
      <c r="B1054" s="61" t="str">
        <f aca="false">IF($M1054=0,"",INDEX(Classes!$E$6:$E$420,$M1054))</f>
        <v/>
      </c>
      <c r="C1054" s="62" t="str">
        <f aca="false">IF($M1054=0,"",INDEX(Classes!$H$6:$H$420,$M1054))</f>
        <v/>
      </c>
      <c r="D1054" s="61" t="str">
        <f aca="false">IF($M1054=0,"",INDEX(Classes!$B$6:$B$420,$M1054))</f>
        <v/>
      </c>
      <c r="E1054" s="61" t="str">
        <f aca="false">IF($M1054=0,"",INDEX(Classes!$C$6:$C$420,$M1054))</f>
        <v/>
      </c>
      <c r="F1054" s="63"/>
      <c r="G1054" s="63"/>
      <c r="H1054" s="60"/>
      <c r="I1054" s="60"/>
      <c r="J1054" s="63"/>
      <c r="K1054" s="61" t="str">
        <f aca="false">IF($P1054=0,"",IF($F1054="Baseline","— Baseline",IF($O1054=0,"No result",IF($N1054=0,"No Start (attainment only)",IF(OR($N1054=1,$O1054=1),"U – needs rule",INDEX(MxBody,MATCH($I1054,MxCurr,0),MATCH($H1054,MxStart,0)))))))</f>
        <v/>
      </c>
      <c r="L1054" s="62" t="str">
        <f aca="false">IF(COUNTA($A1054,$F1054,$G1054,$H1054,$I1054,$J1054)=0,"",IF($M1054=0,"✖ كود الصف غير موجود",IF(ISNA(MATCH($F1054,Lists!$A$2:$A$5,0)),"✖ الفترة غير صحيحة",IF(ISNA(MATCH($G1054,Lists!$B$2:$B$7,0)),"✖ المجموعة غير صحيحة",IF(NOT(OR($H1054="",$N1054&gt;0)),"✖ Start غير صحيح",IF(NOT(OR($I1054="",$I1054="NR",$O1054&gt;0)),"✖ Current غير صحيح",IF(NOT(IF(ISNUMBER($J1054),AND($J1054&gt;=0,$J1054=INT($J1054)),FALSE())),"✖ العدد يجب أن يكون صحيحًا ≥ 0",IF(AND($F1054="Baseline",$H1054&lt;&gt;""),"⚠ Baseline: Start لا يدخل في التقدم",IF($K1054="No Start (attainment only)","ℹ تحصيل فقط (بدون Start)",IF($K1054="U – needs rule","ℹ حالة U تحتاج قاعدة معتمدة",IF($K1054="No result","ℹ بدون نتيجة (يُستبعد من التحصيل)","OK")))))))))))</f>
        <v/>
      </c>
      <c r="M1054" s="64" t="n">
        <f aca="false">IF($A1054="",0,IFERROR(MATCH($A1054,Classes!$A$6:$A$420,0),0))</f>
        <v>0</v>
      </c>
      <c r="N1054" s="64" t="n">
        <f aca="false">IF($H1054="",0,IFERROR(MATCH($H1054,GradeList,0),0))</f>
        <v>0</v>
      </c>
      <c r="O1054" s="64" t="n">
        <f aca="false">IF(OR($I1054="",$I1054="NR"),0,IFERROR(MATCH($I1054,GradeList,0),0))</f>
        <v>0</v>
      </c>
      <c r="P1054" s="64" t="n">
        <f aca="false">IF(AND($M1054&gt;0,ISNUMBER(MATCH($F1054,Lists!$A$2:$A$5,0)),ISNUMBER(MATCH($G1054,Lists!$B$2:$B$7,0)),OR($H1054="",$N1054&gt;0),OR($I1054="",$I1054="NR",$O1054&gt;0),IF(ISNUMBER($J1054),AND($J1054&gt;=0,$J1054=INT($J1054)),FALSE())),$J1054,0)</f>
        <v>0</v>
      </c>
      <c r="Q1054" s="64" t="n">
        <f aca="false">IF(AND($P1054&gt;0,$O1054&gt;0),$P1054,0)</f>
        <v>0</v>
      </c>
      <c r="R1054" s="64" t="n">
        <f aca="false">IF(AND($Q1054&gt;0,$O1054&gt;=AtRank),$Q1054,0)</f>
        <v>0</v>
      </c>
      <c r="S1054" s="64" t="n">
        <f aca="false">IF(AND($Q1054&gt;0,$O1054&gt;=AboveRank),$Q1054,0)</f>
        <v>0</v>
      </c>
      <c r="T1054" s="64" t="n">
        <f aca="false">IF($K1054="Less",$P1054,0)</f>
        <v>0</v>
      </c>
      <c r="U1054" s="64" t="n">
        <f aca="false">IF($K1054="Expected",$P1054,0)</f>
        <v>0</v>
      </c>
      <c r="V1054" s="64" t="n">
        <f aca="false">IF($K1054="Better",$P1054,0)</f>
        <v>0</v>
      </c>
      <c r="W1054" s="64" t="n">
        <f aca="false">IF($K1054="U – needs rule",$P1054,0)</f>
        <v>0</v>
      </c>
      <c r="X1054" s="64" t="n">
        <f aca="false">IF($K1054="No Start (attainment only)",$P1054,0)</f>
        <v>0</v>
      </c>
    </row>
    <row r="1055" customFormat="false" ht="15" hidden="false" customHeight="false" outlineLevel="0" collapsed="false">
      <c r="A1055" s="60"/>
      <c r="B1055" s="61" t="str">
        <f aca="false">IF($M1055=0,"",INDEX(Classes!$E$6:$E$420,$M1055))</f>
        <v/>
      </c>
      <c r="C1055" s="62" t="str">
        <f aca="false">IF($M1055=0,"",INDEX(Classes!$H$6:$H$420,$M1055))</f>
        <v/>
      </c>
      <c r="D1055" s="61" t="str">
        <f aca="false">IF($M1055=0,"",INDEX(Classes!$B$6:$B$420,$M1055))</f>
        <v/>
      </c>
      <c r="E1055" s="61" t="str">
        <f aca="false">IF($M1055=0,"",INDEX(Classes!$C$6:$C$420,$M1055))</f>
        <v/>
      </c>
      <c r="F1055" s="63"/>
      <c r="G1055" s="63"/>
      <c r="H1055" s="60"/>
      <c r="I1055" s="60"/>
      <c r="J1055" s="63"/>
      <c r="K1055" s="61" t="str">
        <f aca="false">IF($P1055=0,"",IF($F1055="Baseline","— Baseline",IF($O1055=0,"No result",IF($N1055=0,"No Start (attainment only)",IF(OR($N1055=1,$O1055=1),"U – needs rule",INDEX(MxBody,MATCH($I1055,MxCurr,0),MATCH($H1055,MxStart,0)))))))</f>
        <v/>
      </c>
      <c r="L1055" s="62" t="str">
        <f aca="false">IF(COUNTA($A1055,$F1055,$G1055,$H1055,$I1055,$J1055)=0,"",IF($M1055=0,"✖ كود الصف غير موجود",IF(ISNA(MATCH($F1055,Lists!$A$2:$A$5,0)),"✖ الفترة غير صحيحة",IF(ISNA(MATCH($G1055,Lists!$B$2:$B$7,0)),"✖ المجموعة غير صحيحة",IF(NOT(OR($H1055="",$N1055&gt;0)),"✖ Start غير صحيح",IF(NOT(OR($I1055="",$I1055="NR",$O1055&gt;0)),"✖ Current غير صحيح",IF(NOT(IF(ISNUMBER($J1055),AND($J1055&gt;=0,$J1055=INT($J1055)),FALSE())),"✖ العدد يجب أن يكون صحيحًا ≥ 0",IF(AND($F1055="Baseline",$H1055&lt;&gt;""),"⚠ Baseline: Start لا يدخل في التقدم",IF($K1055="No Start (attainment only)","ℹ تحصيل فقط (بدون Start)",IF($K1055="U – needs rule","ℹ حالة U تحتاج قاعدة معتمدة",IF($K1055="No result","ℹ بدون نتيجة (يُستبعد من التحصيل)","OK")))))))))))</f>
        <v/>
      </c>
      <c r="M1055" s="64" t="n">
        <f aca="false">IF($A1055="",0,IFERROR(MATCH($A1055,Classes!$A$6:$A$420,0),0))</f>
        <v>0</v>
      </c>
      <c r="N1055" s="64" t="n">
        <f aca="false">IF($H1055="",0,IFERROR(MATCH($H1055,GradeList,0),0))</f>
        <v>0</v>
      </c>
      <c r="O1055" s="64" t="n">
        <f aca="false">IF(OR($I1055="",$I1055="NR"),0,IFERROR(MATCH($I1055,GradeList,0),0))</f>
        <v>0</v>
      </c>
      <c r="P1055" s="64" t="n">
        <f aca="false">IF(AND($M1055&gt;0,ISNUMBER(MATCH($F1055,Lists!$A$2:$A$5,0)),ISNUMBER(MATCH($G1055,Lists!$B$2:$B$7,0)),OR($H1055="",$N1055&gt;0),OR($I1055="",$I1055="NR",$O1055&gt;0),IF(ISNUMBER($J1055),AND($J1055&gt;=0,$J1055=INT($J1055)),FALSE())),$J1055,0)</f>
        <v>0</v>
      </c>
      <c r="Q1055" s="64" t="n">
        <f aca="false">IF(AND($P1055&gt;0,$O1055&gt;0),$P1055,0)</f>
        <v>0</v>
      </c>
      <c r="R1055" s="64" t="n">
        <f aca="false">IF(AND($Q1055&gt;0,$O1055&gt;=AtRank),$Q1055,0)</f>
        <v>0</v>
      </c>
      <c r="S1055" s="64" t="n">
        <f aca="false">IF(AND($Q1055&gt;0,$O1055&gt;=AboveRank),$Q1055,0)</f>
        <v>0</v>
      </c>
      <c r="T1055" s="64" t="n">
        <f aca="false">IF($K1055="Less",$P1055,0)</f>
        <v>0</v>
      </c>
      <c r="U1055" s="64" t="n">
        <f aca="false">IF($K1055="Expected",$P1055,0)</f>
        <v>0</v>
      </c>
      <c r="V1055" s="64" t="n">
        <f aca="false">IF($K1055="Better",$P1055,0)</f>
        <v>0</v>
      </c>
      <c r="W1055" s="64" t="n">
        <f aca="false">IF($K1055="U – needs rule",$P1055,0)</f>
        <v>0</v>
      </c>
      <c r="X1055" s="64" t="n">
        <f aca="false">IF($K1055="No Start (attainment only)",$P1055,0)</f>
        <v>0</v>
      </c>
    </row>
    <row r="1056" customFormat="false" ht="15" hidden="false" customHeight="false" outlineLevel="0" collapsed="false">
      <c r="A1056" s="60"/>
      <c r="B1056" s="61" t="str">
        <f aca="false">IF($M1056=0,"",INDEX(Classes!$E$6:$E$420,$M1056))</f>
        <v/>
      </c>
      <c r="C1056" s="62" t="str">
        <f aca="false">IF($M1056=0,"",INDEX(Classes!$H$6:$H$420,$M1056))</f>
        <v/>
      </c>
      <c r="D1056" s="61" t="str">
        <f aca="false">IF($M1056=0,"",INDEX(Classes!$B$6:$B$420,$M1056))</f>
        <v/>
      </c>
      <c r="E1056" s="61" t="str">
        <f aca="false">IF($M1056=0,"",INDEX(Classes!$C$6:$C$420,$M1056))</f>
        <v/>
      </c>
      <c r="F1056" s="63"/>
      <c r="G1056" s="63"/>
      <c r="H1056" s="60"/>
      <c r="I1056" s="60"/>
      <c r="J1056" s="63"/>
      <c r="K1056" s="61" t="str">
        <f aca="false">IF($P1056=0,"",IF($F1056="Baseline","— Baseline",IF($O1056=0,"No result",IF($N1056=0,"No Start (attainment only)",IF(OR($N1056=1,$O1056=1),"U – needs rule",INDEX(MxBody,MATCH($I1056,MxCurr,0),MATCH($H1056,MxStart,0)))))))</f>
        <v/>
      </c>
      <c r="L1056" s="62" t="str">
        <f aca="false">IF(COUNTA($A1056,$F1056,$G1056,$H1056,$I1056,$J1056)=0,"",IF($M1056=0,"✖ كود الصف غير موجود",IF(ISNA(MATCH($F1056,Lists!$A$2:$A$5,0)),"✖ الفترة غير صحيحة",IF(ISNA(MATCH($G1056,Lists!$B$2:$B$7,0)),"✖ المجموعة غير صحيحة",IF(NOT(OR($H1056="",$N1056&gt;0)),"✖ Start غير صحيح",IF(NOT(OR($I1056="",$I1056="NR",$O1056&gt;0)),"✖ Current غير صحيح",IF(NOT(IF(ISNUMBER($J1056),AND($J1056&gt;=0,$J1056=INT($J1056)),FALSE())),"✖ العدد يجب أن يكون صحيحًا ≥ 0",IF(AND($F1056="Baseline",$H1056&lt;&gt;""),"⚠ Baseline: Start لا يدخل في التقدم",IF($K1056="No Start (attainment only)","ℹ تحصيل فقط (بدون Start)",IF($K1056="U – needs rule","ℹ حالة U تحتاج قاعدة معتمدة",IF($K1056="No result","ℹ بدون نتيجة (يُستبعد من التحصيل)","OK")))))))))))</f>
        <v/>
      </c>
      <c r="M1056" s="64" t="n">
        <f aca="false">IF($A1056="",0,IFERROR(MATCH($A1056,Classes!$A$6:$A$420,0),0))</f>
        <v>0</v>
      </c>
      <c r="N1056" s="64" t="n">
        <f aca="false">IF($H1056="",0,IFERROR(MATCH($H1056,GradeList,0),0))</f>
        <v>0</v>
      </c>
      <c r="O1056" s="64" t="n">
        <f aca="false">IF(OR($I1056="",$I1056="NR"),0,IFERROR(MATCH($I1056,GradeList,0),0))</f>
        <v>0</v>
      </c>
      <c r="P1056" s="64" t="n">
        <f aca="false">IF(AND($M1056&gt;0,ISNUMBER(MATCH($F1056,Lists!$A$2:$A$5,0)),ISNUMBER(MATCH($G1056,Lists!$B$2:$B$7,0)),OR($H1056="",$N1056&gt;0),OR($I1056="",$I1056="NR",$O1056&gt;0),IF(ISNUMBER($J1056),AND($J1056&gt;=0,$J1056=INT($J1056)),FALSE())),$J1056,0)</f>
        <v>0</v>
      </c>
      <c r="Q1056" s="64" t="n">
        <f aca="false">IF(AND($P1056&gt;0,$O1056&gt;0),$P1056,0)</f>
        <v>0</v>
      </c>
      <c r="R1056" s="64" t="n">
        <f aca="false">IF(AND($Q1056&gt;0,$O1056&gt;=AtRank),$Q1056,0)</f>
        <v>0</v>
      </c>
      <c r="S1056" s="64" t="n">
        <f aca="false">IF(AND($Q1056&gt;0,$O1056&gt;=AboveRank),$Q1056,0)</f>
        <v>0</v>
      </c>
      <c r="T1056" s="64" t="n">
        <f aca="false">IF($K1056="Less",$P1056,0)</f>
        <v>0</v>
      </c>
      <c r="U1056" s="64" t="n">
        <f aca="false">IF($K1056="Expected",$P1056,0)</f>
        <v>0</v>
      </c>
      <c r="V1056" s="64" t="n">
        <f aca="false">IF($K1056="Better",$P1056,0)</f>
        <v>0</v>
      </c>
      <c r="W1056" s="64" t="n">
        <f aca="false">IF($K1056="U – needs rule",$P1056,0)</f>
        <v>0</v>
      </c>
      <c r="X1056" s="64" t="n">
        <f aca="false">IF($K1056="No Start (attainment only)",$P1056,0)</f>
        <v>0</v>
      </c>
    </row>
    <row r="1057" customFormat="false" ht="15" hidden="false" customHeight="false" outlineLevel="0" collapsed="false">
      <c r="A1057" s="60"/>
      <c r="B1057" s="61" t="str">
        <f aca="false">IF($M1057=0,"",INDEX(Classes!$E$6:$E$420,$M1057))</f>
        <v/>
      </c>
      <c r="C1057" s="62" t="str">
        <f aca="false">IF($M1057=0,"",INDEX(Classes!$H$6:$H$420,$M1057))</f>
        <v/>
      </c>
      <c r="D1057" s="61" t="str">
        <f aca="false">IF($M1057=0,"",INDEX(Classes!$B$6:$B$420,$M1057))</f>
        <v/>
      </c>
      <c r="E1057" s="61" t="str">
        <f aca="false">IF($M1057=0,"",INDEX(Classes!$C$6:$C$420,$M1057))</f>
        <v/>
      </c>
      <c r="F1057" s="63"/>
      <c r="G1057" s="63"/>
      <c r="H1057" s="60"/>
      <c r="I1057" s="60"/>
      <c r="J1057" s="63"/>
      <c r="K1057" s="61" t="str">
        <f aca="false">IF($P1057=0,"",IF($F1057="Baseline","— Baseline",IF($O1057=0,"No result",IF($N1057=0,"No Start (attainment only)",IF(OR($N1057=1,$O1057=1),"U – needs rule",INDEX(MxBody,MATCH($I1057,MxCurr,0),MATCH($H1057,MxStart,0)))))))</f>
        <v/>
      </c>
      <c r="L1057" s="62" t="str">
        <f aca="false">IF(COUNTA($A1057,$F1057,$G1057,$H1057,$I1057,$J1057)=0,"",IF($M1057=0,"✖ كود الصف غير موجود",IF(ISNA(MATCH($F1057,Lists!$A$2:$A$5,0)),"✖ الفترة غير صحيحة",IF(ISNA(MATCH($G1057,Lists!$B$2:$B$7,0)),"✖ المجموعة غير صحيحة",IF(NOT(OR($H1057="",$N1057&gt;0)),"✖ Start غير صحيح",IF(NOT(OR($I1057="",$I1057="NR",$O1057&gt;0)),"✖ Current غير صحيح",IF(NOT(IF(ISNUMBER($J1057),AND($J1057&gt;=0,$J1057=INT($J1057)),FALSE())),"✖ العدد يجب أن يكون صحيحًا ≥ 0",IF(AND($F1057="Baseline",$H1057&lt;&gt;""),"⚠ Baseline: Start لا يدخل في التقدم",IF($K1057="No Start (attainment only)","ℹ تحصيل فقط (بدون Start)",IF($K1057="U – needs rule","ℹ حالة U تحتاج قاعدة معتمدة",IF($K1057="No result","ℹ بدون نتيجة (يُستبعد من التحصيل)","OK")))))))))))</f>
        <v/>
      </c>
      <c r="M1057" s="64" t="n">
        <f aca="false">IF($A1057="",0,IFERROR(MATCH($A1057,Classes!$A$6:$A$420,0),0))</f>
        <v>0</v>
      </c>
      <c r="N1057" s="64" t="n">
        <f aca="false">IF($H1057="",0,IFERROR(MATCH($H1057,GradeList,0),0))</f>
        <v>0</v>
      </c>
      <c r="O1057" s="64" t="n">
        <f aca="false">IF(OR($I1057="",$I1057="NR"),0,IFERROR(MATCH($I1057,GradeList,0),0))</f>
        <v>0</v>
      </c>
      <c r="P1057" s="64" t="n">
        <f aca="false">IF(AND($M1057&gt;0,ISNUMBER(MATCH($F1057,Lists!$A$2:$A$5,0)),ISNUMBER(MATCH($G1057,Lists!$B$2:$B$7,0)),OR($H1057="",$N1057&gt;0),OR($I1057="",$I1057="NR",$O1057&gt;0),IF(ISNUMBER($J1057),AND($J1057&gt;=0,$J1057=INT($J1057)),FALSE())),$J1057,0)</f>
        <v>0</v>
      </c>
      <c r="Q1057" s="64" t="n">
        <f aca="false">IF(AND($P1057&gt;0,$O1057&gt;0),$P1057,0)</f>
        <v>0</v>
      </c>
      <c r="R1057" s="64" t="n">
        <f aca="false">IF(AND($Q1057&gt;0,$O1057&gt;=AtRank),$Q1057,0)</f>
        <v>0</v>
      </c>
      <c r="S1057" s="64" t="n">
        <f aca="false">IF(AND($Q1057&gt;0,$O1057&gt;=AboveRank),$Q1057,0)</f>
        <v>0</v>
      </c>
      <c r="T1057" s="64" t="n">
        <f aca="false">IF($K1057="Less",$P1057,0)</f>
        <v>0</v>
      </c>
      <c r="U1057" s="64" t="n">
        <f aca="false">IF($K1057="Expected",$P1057,0)</f>
        <v>0</v>
      </c>
      <c r="V1057" s="64" t="n">
        <f aca="false">IF($K1057="Better",$P1057,0)</f>
        <v>0</v>
      </c>
      <c r="W1057" s="64" t="n">
        <f aca="false">IF($K1057="U – needs rule",$P1057,0)</f>
        <v>0</v>
      </c>
      <c r="X1057" s="64" t="n">
        <f aca="false">IF($K1057="No Start (attainment only)",$P1057,0)</f>
        <v>0</v>
      </c>
    </row>
    <row r="1058" customFormat="false" ht="15" hidden="false" customHeight="false" outlineLevel="0" collapsed="false">
      <c r="A1058" s="60"/>
      <c r="B1058" s="61" t="str">
        <f aca="false">IF($M1058=0,"",INDEX(Classes!$E$6:$E$420,$M1058))</f>
        <v/>
      </c>
      <c r="C1058" s="62" t="str">
        <f aca="false">IF($M1058=0,"",INDEX(Classes!$H$6:$H$420,$M1058))</f>
        <v/>
      </c>
      <c r="D1058" s="61" t="str">
        <f aca="false">IF($M1058=0,"",INDEX(Classes!$B$6:$B$420,$M1058))</f>
        <v/>
      </c>
      <c r="E1058" s="61" t="str">
        <f aca="false">IF($M1058=0,"",INDEX(Classes!$C$6:$C$420,$M1058))</f>
        <v/>
      </c>
      <c r="F1058" s="63"/>
      <c r="G1058" s="63"/>
      <c r="H1058" s="60"/>
      <c r="I1058" s="60"/>
      <c r="J1058" s="63"/>
      <c r="K1058" s="61" t="str">
        <f aca="false">IF($P1058=0,"",IF($F1058="Baseline","— Baseline",IF($O1058=0,"No result",IF($N1058=0,"No Start (attainment only)",IF(OR($N1058=1,$O1058=1),"U – needs rule",INDEX(MxBody,MATCH($I1058,MxCurr,0),MATCH($H1058,MxStart,0)))))))</f>
        <v/>
      </c>
      <c r="L1058" s="62" t="str">
        <f aca="false">IF(COUNTA($A1058,$F1058,$G1058,$H1058,$I1058,$J1058)=0,"",IF($M1058=0,"✖ كود الصف غير موجود",IF(ISNA(MATCH($F1058,Lists!$A$2:$A$5,0)),"✖ الفترة غير صحيحة",IF(ISNA(MATCH($G1058,Lists!$B$2:$B$7,0)),"✖ المجموعة غير صحيحة",IF(NOT(OR($H1058="",$N1058&gt;0)),"✖ Start غير صحيح",IF(NOT(OR($I1058="",$I1058="NR",$O1058&gt;0)),"✖ Current غير صحيح",IF(NOT(IF(ISNUMBER($J1058),AND($J1058&gt;=0,$J1058=INT($J1058)),FALSE())),"✖ العدد يجب أن يكون صحيحًا ≥ 0",IF(AND($F1058="Baseline",$H1058&lt;&gt;""),"⚠ Baseline: Start لا يدخل في التقدم",IF($K1058="No Start (attainment only)","ℹ تحصيل فقط (بدون Start)",IF($K1058="U – needs rule","ℹ حالة U تحتاج قاعدة معتمدة",IF($K1058="No result","ℹ بدون نتيجة (يُستبعد من التحصيل)","OK")))))))))))</f>
        <v/>
      </c>
      <c r="M1058" s="64" t="n">
        <f aca="false">IF($A1058="",0,IFERROR(MATCH($A1058,Classes!$A$6:$A$420,0),0))</f>
        <v>0</v>
      </c>
      <c r="N1058" s="64" t="n">
        <f aca="false">IF($H1058="",0,IFERROR(MATCH($H1058,GradeList,0),0))</f>
        <v>0</v>
      </c>
      <c r="O1058" s="64" t="n">
        <f aca="false">IF(OR($I1058="",$I1058="NR"),0,IFERROR(MATCH($I1058,GradeList,0),0))</f>
        <v>0</v>
      </c>
      <c r="P1058" s="64" t="n">
        <f aca="false">IF(AND($M1058&gt;0,ISNUMBER(MATCH($F1058,Lists!$A$2:$A$5,0)),ISNUMBER(MATCH($G1058,Lists!$B$2:$B$7,0)),OR($H1058="",$N1058&gt;0),OR($I1058="",$I1058="NR",$O1058&gt;0),IF(ISNUMBER($J1058),AND($J1058&gt;=0,$J1058=INT($J1058)),FALSE())),$J1058,0)</f>
        <v>0</v>
      </c>
      <c r="Q1058" s="64" t="n">
        <f aca="false">IF(AND($P1058&gt;0,$O1058&gt;0),$P1058,0)</f>
        <v>0</v>
      </c>
      <c r="R1058" s="64" t="n">
        <f aca="false">IF(AND($Q1058&gt;0,$O1058&gt;=AtRank),$Q1058,0)</f>
        <v>0</v>
      </c>
      <c r="S1058" s="64" t="n">
        <f aca="false">IF(AND($Q1058&gt;0,$O1058&gt;=AboveRank),$Q1058,0)</f>
        <v>0</v>
      </c>
      <c r="T1058" s="64" t="n">
        <f aca="false">IF($K1058="Less",$P1058,0)</f>
        <v>0</v>
      </c>
      <c r="U1058" s="64" t="n">
        <f aca="false">IF($K1058="Expected",$P1058,0)</f>
        <v>0</v>
      </c>
      <c r="V1058" s="64" t="n">
        <f aca="false">IF($K1058="Better",$P1058,0)</f>
        <v>0</v>
      </c>
      <c r="W1058" s="64" t="n">
        <f aca="false">IF($K1058="U – needs rule",$P1058,0)</f>
        <v>0</v>
      </c>
      <c r="X1058" s="64" t="n">
        <f aca="false">IF($K1058="No Start (attainment only)",$P1058,0)</f>
        <v>0</v>
      </c>
    </row>
    <row r="1059" customFormat="false" ht="15" hidden="false" customHeight="false" outlineLevel="0" collapsed="false">
      <c r="A1059" s="60"/>
      <c r="B1059" s="61" t="str">
        <f aca="false">IF($M1059=0,"",INDEX(Classes!$E$6:$E$420,$M1059))</f>
        <v/>
      </c>
      <c r="C1059" s="62" t="str">
        <f aca="false">IF($M1059=0,"",INDEX(Classes!$H$6:$H$420,$M1059))</f>
        <v/>
      </c>
      <c r="D1059" s="61" t="str">
        <f aca="false">IF($M1059=0,"",INDEX(Classes!$B$6:$B$420,$M1059))</f>
        <v/>
      </c>
      <c r="E1059" s="61" t="str">
        <f aca="false">IF($M1059=0,"",INDEX(Classes!$C$6:$C$420,$M1059))</f>
        <v/>
      </c>
      <c r="F1059" s="63"/>
      <c r="G1059" s="63"/>
      <c r="H1059" s="60"/>
      <c r="I1059" s="60"/>
      <c r="J1059" s="63"/>
      <c r="K1059" s="61" t="str">
        <f aca="false">IF($P1059=0,"",IF($F1059="Baseline","— Baseline",IF($O1059=0,"No result",IF($N1059=0,"No Start (attainment only)",IF(OR($N1059=1,$O1059=1),"U – needs rule",INDEX(MxBody,MATCH($I1059,MxCurr,0),MATCH($H1059,MxStart,0)))))))</f>
        <v/>
      </c>
      <c r="L1059" s="62" t="str">
        <f aca="false">IF(COUNTA($A1059,$F1059,$G1059,$H1059,$I1059,$J1059)=0,"",IF($M1059=0,"✖ كود الصف غير موجود",IF(ISNA(MATCH($F1059,Lists!$A$2:$A$5,0)),"✖ الفترة غير صحيحة",IF(ISNA(MATCH($G1059,Lists!$B$2:$B$7,0)),"✖ المجموعة غير صحيحة",IF(NOT(OR($H1059="",$N1059&gt;0)),"✖ Start غير صحيح",IF(NOT(OR($I1059="",$I1059="NR",$O1059&gt;0)),"✖ Current غير صحيح",IF(NOT(IF(ISNUMBER($J1059),AND($J1059&gt;=0,$J1059=INT($J1059)),FALSE())),"✖ العدد يجب أن يكون صحيحًا ≥ 0",IF(AND($F1059="Baseline",$H1059&lt;&gt;""),"⚠ Baseline: Start لا يدخل في التقدم",IF($K1059="No Start (attainment only)","ℹ تحصيل فقط (بدون Start)",IF($K1059="U – needs rule","ℹ حالة U تحتاج قاعدة معتمدة",IF($K1059="No result","ℹ بدون نتيجة (يُستبعد من التحصيل)","OK")))))))))))</f>
        <v/>
      </c>
      <c r="M1059" s="64" t="n">
        <f aca="false">IF($A1059="",0,IFERROR(MATCH($A1059,Classes!$A$6:$A$420,0),0))</f>
        <v>0</v>
      </c>
      <c r="N1059" s="64" t="n">
        <f aca="false">IF($H1059="",0,IFERROR(MATCH($H1059,GradeList,0),0))</f>
        <v>0</v>
      </c>
      <c r="O1059" s="64" t="n">
        <f aca="false">IF(OR($I1059="",$I1059="NR"),0,IFERROR(MATCH($I1059,GradeList,0),0))</f>
        <v>0</v>
      </c>
      <c r="P1059" s="64" t="n">
        <f aca="false">IF(AND($M1059&gt;0,ISNUMBER(MATCH($F1059,Lists!$A$2:$A$5,0)),ISNUMBER(MATCH($G1059,Lists!$B$2:$B$7,0)),OR($H1059="",$N1059&gt;0),OR($I1059="",$I1059="NR",$O1059&gt;0),IF(ISNUMBER($J1059),AND($J1059&gt;=0,$J1059=INT($J1059)),FALSE())),$J1059,0)</f>
        <v>0</v>
      </c>
      <c r="Q1059" s="64" t="n">
        <f aca="false">IF(AND($P1059&gt;0,$O1059&gt;0),$P1059,0)</f>
        <v>0</v>
      </c>
      <c r="R1059" s="64" t="n">
        <f aca="false">IF(AND($Q1059&gt;0,$O1059&gt;=AtRank),$Q1059,0)</f>
        <v>0</v>
      </c>
      <c r="S1059" s="64" t="n">
        <f aca="false">IF(AND($Q1059&gt;0,$O1059&gt;=AboveRank),$Q1059,0)</f>
        <v>0</v>
      </c>
      <c r="T1059" s="64" t="n">
        <f aca="false">IF($K1059="Less",$P1059,0)</f>
        <v>0</v>
      </c>
      <c r="U1059" s="64" t="n">
        <f aca="false">IF($K1059="Expected",$P1059,0)</f>
        <v>0</v>
      </c>
      <c r="V1059" s="64" t="n">
        <f aca="false">IF($K1059="Better",$P1059,0)</f>
        <v>0</v>
      </c>
      <c r="W1059" s="64" t="n">
        <f aca="false">IF($K1059="U – needs rule",$P1059,0)</f>
        <v>0</v>
      </c>
      <c r="X1059" s="64" t="n">
        <f aca="false">IF($K1059="No Start (attainment only)",$P1059,0)</f>
        <v>0</v>
      </c>
    </row>
    <row r="1060" customFormat="false" ht="15" hidden="false" customHeight="false" outlineLevel="0" collapsed="false">
      <c r="A1060" s="60"/>
      <c r="B1060" s="61" t="str">
        <f aca="false">IF($M1060=0,"",INDEX(Classes!$E$6:$E$420,$M1060))</f>
        <v/>
      </c>
      <c r="C1060" s="62" t="str">
        <f aca="false">IF($M1060=0,"",INDEX(Classes!$H$6:$H$420,$M1060))</f>
        <v/>
      </c>
      <c r="D1060" s="61" t="str">
        <f aca="false">IF($M1060=0,"",INDEX(Classes!$B$6:$B$420,$M1060))</f>
        <v/>
      </c>
      <c r="E1060" s="61" t="str">
        <f aca="false">IF($M1060=0,"",INDEX(Classes!$C$6:$C$420,$M1060))</f>
        <v/>
      </c>
      <c r="F1060" s="63"/>
      <c r="G1060" s="63"/>
      <c r="H1060" s="60"/>
      <c r="I1060" s="60"/>
      <c r="J1060" s="63"/>
      <c r="K1060" s="61" t="str">
        <f aca="false">IF($P1060=0,"",IF($F1060="Baseline","— Baseline",IF($O1060=0,"No result",IF($N1060=0,"No Start (attainment only)",IF(OR($N1060=1,$O1060=1),"U – needs rule",INDEX(MxBody,MATCH($I1060,MxCurr,0),MATCH($H1060,MxStart,0)))))))</f>
        <v/>
      </c>
      <c r="L1060" s="62" t="str">
        <f aca="false">IF(COUNTA($A1060,$F1060,$G1060,$H1060,$I1060,$J1060)=0,"",IF($M1060=0,"✖ كود الصف غير موجود",IF(ISNA(MATCH($F1060,Lists!$A$2:$A$5,0)),"✖ الفترة غير صحيحة",IF(ISNA(MATCH($G1060,Lists!$B$2:$B$7,0)),"✖ المجموعة غير صحيحة",IF(NOT(OR($H1060="",$N1060&gt;0)),"✖ Start غير صحيح",IF(NOT(OR($I1060="",$I1060="NR",$O1060&gt;0)),"✖ Current غير صحيح",IF(NOT(IF(ISNUMBER($J1060),AND($J1060&gt;=0,$J1060=INT($J1060)),FALSE())),"✖ العدد يجب أن يكون صحيحًا ≥ 0",IF(AND($F1060="Baseline",$H1060&lt;&gt;""),"⚠ Baseline: Start لا يدخل في التقدم",IF($K1060="No Start (attainment only)","ℹ تحصيل فقط (بدون Start)",IF($K1060="U – needs rule","ℹ حالة U تحتاج قاعدة معتمدة",IF($K1060="No result","ℹ بدون نتيجة (يُستبعد من التحصيل)","OK")))))))))))</f>
        <v/>
      </c>
      <c r="M1060" s="64" t="n">
        <f aca="false">IF($A1060="",0,IFERROR(MATCH($A1060,Classes!$A$6:$A$420,0),0))</f>
        <v>0</v>
      </c>
      <c r="N1060" s="64" t="n">
        <f aca="false">IF($H1060="",0,IFERROR(MATCH($H1060,GradeList,0),0))</f>
        <v>0</v>
      </c>
      <c r="O1060" s="64" t="n">
        <f aca="false">IF(OR($I1060="",$I1060="NR"),0,IFERROR(MATCH($I1060,GradeList,0),0))</f>
        <v>0</v>
      </c>
      <c r="P1060" s="64" t="n">
        <f aca="false">IF(AND($M1060&gt;0,ISNUMBER(MATCH($F1060,Lists!$A$2:$A$5,0)),ISNUMBER(MATCH($G1060,Lists!$B$2:$B$7,0)),OR($H1060="",$N1060&gt;0),OR($I1060="",$I1060="NR",$O1060&gt;0),IF(ISNUMBER($J1060),AND($J1060&gt;=0,$J1060=INT($J1060)),FALSE())),$J1060,0)</f>
        <v>0</v>
      </c>
      <c r="Q1060" s="64" t="n">
        <f aca="false">IF(AND($P1060&gt;0,$O1060&gt;0),$P1060,0)</f>
        <v>0</v>
      </c>
      <c r="R1060" s="64" t="n">
        <f aca="false">IF(AND($Q1060&gt;0,$O1060&gt;=AtRank),$Q1060,0)</f>
        <v>0</v>
      </c>
      <c r="S1060" s="64" t="n">
        <f aca="false">IF(AND($Q1060&gt;0,$O1060&gt;=AboveRank),$Q1060,0)</f>
        <v>0</v>
      </c>
      <c r="T1060" s="64" t="n">
        <f aca="false">IF($K1060="Less",$P1060,0)</f>
        <v>0</v>
      </c>
      <c r="U1060" s="64" t="n">
        <f aca="false">IF($K1060="Expected",$P1060,0)</f>
        <v>0</v>
      </c>
      <c r="V1060" s="64" t="n">
        <f aca="false">IF($K1060="Better",$P1060,0)</f>
        <v>0</v>
      </c>
      <c r="W1060" s="64" t="n">
        <f aca="false">IF($K1060="U – needs rule",$P1060,0)</f>
        <v>0</v>
      </c>
      <c r="X1060" s="64" t="n">
        <f aca="false">IF($K1060="No Start (attainment only)",$P1060,0)</f>
        <v>0</v>
      </c>
    </row>
    <row r="1061" customFormat="false" ht="15" hidden="false" customHeight="false" outlineLevel="0" collapsed="false">
      <c r="A1061" s="60"/>
      <c r="B1061" s="61" t="str">
        <f aca="false">IF($M1061=0,"",INDEX(Classes!$E$6:$E$420,$M1061))</f>
        <v/>
      </c>
      <c r="C1061" s="62" t="str">
        <f aca="false">IF($M1061=0,"",INDEX(Classes!$H$6:$H$420,$M1061))</f>
        <v/>
      </c>
      <c r="D1061" s="61" t="str">
        <f aca="false">IF($M1061=0,"",INDEX(Classes!$B$6:$B$420,$M1061))</f>
        <v/>
      </c>
      <c r="E1061" s="61" t="str">
        <f aca="false">IF($M1061=0,"",INDEX(Classes!$C$6:$C$420,$M1061))</f>
        <v/>
      </c>
      <c r="F1061" s="63"/>
      <c r="G1061" s="63"/>
      <c r="H1061" s="60"/>
      <c r="I1061" s="60"/>
      <c r="J1061" s="63"/>
      <c r="K1061" s="61" t="str">
        <f aca="false">IF($P1061=0,"",IF($F1061="Baseline","— Baseline",IF($O1061=0,"No result",IF($N1061=0,"No Start (attainment only)",IF(OR($N1061=1,$O1061=1),"U – needs rule",INDEX(MxBody,MATCH($I1061,MxCurr,0),MATCH($H1061,MxStart,0)))))))</f>
        <v/>
      </c>
      <c r="L1061" s="62" t="str">
        <f aca="false">IF(COUNTA($A1061,$F1061,$G1061,$H1061,$I1061,$J1061)=0,"",IF($M1061=0,"✖ كود الصف غير موجود",IF(ISNA(MATCH($F1061,Lists!$A$2:$A$5,0)),"✖ الفترة غير صحيحة",IF(ISNA(MATCH($G1061,Lists!$B$2:$B$7,0)),"✖ المجموعة غير صحيحة",IF(NOT(OR($H1061="",$N1061&gt;0)),"✖ Start غير صحيح",IF(NOT(OR($I1061="",$I1061="NR",$O1061&gt;0)),"✖ Current غير صحيح",IF(NOT(IF(ISNUMBER($J1061),AND($J1061&gt;=0,$J1061=INT($J1061)),FALSE())),"✖ العدد يجب أن يكون صحيحًا ≥ 0",IF(AND($F1061="Baseline",$H1061&lt;&gt;""),"⚠ Baseline: Start لا يدخل في التقدم",IF($K1061="No Start (attainment only)","ℹ تحصيل فقط (بدون Start)",IF($K1061="U – needs rule","ℹ حالة U تحتاج قاعدة معتمدة",IF($K1061="No result","ℹ بدون نتيجة (يُستبعد من التحصيل)","OK")))))))))))</f>
        <v/>
      </c>
      <c r="M1061" s="64" t="n">
        <f aca="false">IF($A1061="",0,IFERROR(MATCH($A1061,Classes!$A$6:$A$420,0),0))</f>
        <v>0</v>
      </c>
      <c r="N1061" s="64" t="n">
        <f aca="false">IF($H1061="",0,IFERROR(MATCH($H1061,GradeList,0),0))</f>
        <v>0</v>
      </c>
      <c r="O1061" s="64" t="n">
        <f aca="false">IF(OR($I1061="",$I1061="NR"),0,IFERROR(MATCH($I1061,GradeList,0),0))</f>
        <v>0</v>
      </c>
      <c r="P1061" s="64" t="n">
        <f aca="false">IF(AND($M1061&gt;0,ISNUMBER(MATCH($F1061,Lists!$A$2:$A$5,0)),ISNUMBER(MATCH($G1061,Lists!$B$2:$B$7,0)),OR($H1061="",$N1061&gt;0),OR($I1061="",$I1061="NR",$O1061&gt;0),IF(ISNUMBER($J1061),AND($J1061&gt;=0,$J1061=INT($J1061)),FALSE())),$J1061,0)</f>
        <v>0</v>
      </c>
      <c r="Q1061" s="64" t="n">
        <f aca="false">IF(AND($P1061&gt;0,$O1061&gt;0),$P1061,0)</f>
        <v>0</v>
      </c>
      <c r="R1061" s="64" t="n">
        <f aca="false">IF(AND($Q1061&gt;0,$O1061&gt;=AtRank),$Q1061,0)</f>
        <v>0</v>
      </c>
      <c r="S1061" s="64" t="n">
        <f aca="false">IF(AND($Q1061&gt;0,$O1061&gt;=AboveRank),$Q1061,0)</f>
        <v>0</v>
      </c>
      <c r="T1061" s="64" t="n">
        <f aca="false">IF($K1061="Less",$P1061,0)</f>
        <v>0</v>
      </c>
      <c r="U1061" s="64" t="n">
        <f aca="false">IF($K1061="Expected",$P1061,0)</f>
        <v>0</v>
      </c>
      <c r="V1061" s="64" t="n">
        <f aca="false">IF($K1061="Better",$P1061,0)</f>
        <v>0</v>
      </c>
      <c r="W1061" s="64" t="n">
        <f aca="false">IF($K1061="U – needs rule",$P1061,0)</f>
        <v>0</v>
      </c>
      <c r="X1061" s="64" t="n">
        <f aca="false">IF($K1061="No Start (attainment only)",$P1061,0)</f>
        <v>0</v>
      </c>
    </row>
    <row r="1062" customFormat="false" ht="15" hidden="false" customHeight="false" outlineLevel="0" collapsed="false">
      <c r="A1062" s="60"/>
      <c r="B1062" s="61" t="str">
        <f aca="false">IF($M1062=0,"",INDEX(Classes!$E$6:$E$420,$M1062))</f>
        <v/>
      </c>
      <c r="C1062" s="62" t="str">
        <f aca="false">IF($M1062=0,"",INDEX(Classes!$H$6:$H$420,$M1062))</f>
        <v/>
      </c>
      <c r="D1062" s="61" t="str">
        <f aca="false">IF($M1062=0,"",INDEX(Classes!$B$6:$B$420,$M1062))</f>
        <v/>
      </c>
      <c r="E1062" s="61" t="str">
        <f aca="false">IF($M1062=0,"",INDEX(Classes!$C$6:$C$420,$M1062))</f>
        <v/>
      </c>
      <c r="F1062" s="63"/>
      <c r="G1062" s="63"/>
      <c r="H1062" s="60"/>
      <c r="I1062" s="60"/>
      <c r="J1062" s="63"/>
      <c r="K1062" s="61" t="str">
        <f aca="false">IF($P1062=0,"",IF($F1062="Baseline","— Baseline",IF($O1062=0,"No result",IF($N1062=0,"No Start (attainment only)",IF(OR($N1062=1,$O1062=1),"U – needs rule",INDEX(MxBody,MATCH($I1062,MxCurr,0),MATCH($H1062,MxStart,0)))))))</f>
        <v/>
      </c>
      <c r="L1062" s="62" t="str">
        <f aca="false">IF(COUNTA($A1062,$F1062,$G1062,$H1062,$I1062,$J1062)=0,"",IF($M1062=0,"✖ كود الصف غير موجود",IF(ISNA(MATCH($F1062,Lists!$A$2:$A$5,0)),"✖ الفترة غير صحيحة",IF(ISNA(MATCH($G1062,Lists!$B$2:$B$7,0)),"✖ المجموعة غير صحيحة",IF(NOT(OR($H1062="",$N1062&gt;0)),"✖ Start غير صحيح",IF(NOT(OR($I1062="",$I1062="NR",$O1062&gt;0)),"✖ Current غير صحيح",IF(NOT(IF(ISNUMBER($J1062),AND($J1062&gt;=0,$J1062=INT($J1062)),FALSE())),"✖ العدد يجب أن يكون صحيحًا ≥ 0",IF(AND($F1062="Baseline",$H1062&lt;&gt;""),"⚠ Baseline: Start لا يدخل في التقدم",IF($K1062="No Start (attainment only)","ℹ تحصيل فقط (بدون Start)",IF($K1062="U – needs rule","ℹ حالة U تحتاج قاعدة معتمدة",IF($K1062="No result","ℹ بدون نتيجة (يُستبعد من التحصيل)","OK")))))))))))</f>
        <v/>
      </c>
      <c r="M1062" s="64" t="n">
        <f aca="false">IF($A1062="",0,IFERROR(MATCH($A1062,Classes!$A$6:$A$420,0),0))</f>
        <v>0</v>
      </c>
      <c r="N1062" s="64" t="n">
        <f aca="false">IF($H1062="",0,IFERROR(MATCH($H1062,GradeList,0),0))</f>
        <v>0</v>
      </c>
      <c r="O1062" s="64" t="n">
        <f aca="false">IF(OR($I1062="",$I1062="NR"),0,IFERROR(MATCH($I1062,GradeList,0),0))</f>
        <v>0</v>
      </c>
      <c r="P1062" s="64" t="n">
        <f aca="false">IF(AND($M1062&gt;0,ISNUMBER(MATCH($F1062,Lists!$A$2:$A$5,0)),ISNUMBER(MATCH($G1062,Lists!$B$2:$B$7,0)),OR($H1062="",$N1062&gt;0),OR($I1062="",$I1062="NR",$O1062&gt;0),IF(ISNUMBER($J1062),AND($J1062&gt;=0,$J1062=INT($J1062)),FALSE())),$J1062,0)</f>
        <v>0</v>
      </c>
      <c r="Q1062" s="64" t="n">
        <f aca="false">IF(AND($P1062&gt;0,$O1062&gt;0),$P1062,0)</f>
        <v>0</v>
      </c>
      <c r="R1062" s="64" t="n">
        <f aca="false">IF(AND($Q1062&gt;0,$O1062&gt;=AtRank),$Q1062,0)</f>
        <v>0</v>
      </c>
      <c r="S1062" s="64" t="n">
        <f aca="false">IF(AND($Q1062&gt;0,$O1062&gt;=AboveRank),$Q1062,0)</f>
        <v>0</v>
      </c>
      <c r="T1062" s="64" t="n">
        <f aca="false">IF($K1062="Less",$P1062,0)</f>
        <v>0</v>
      </c>
      <c r="U1062" s="64" t="n">
        <f aca="false">IF($K1062="Expected",$P1062,0)</f>
        <v>0</v>
      </c>
      <c r="V1062" s="64" t="n">
        <f aca="false">IF($K1062="Better",$P1062,0)</f>
        <v>0</v>
      </c>
      <c r="W1062" s="64" t="n">
        <f aca="false">IF($K1062="U – needs rule",$P1062,0)</f>
        <v>0</v>
      </c>
      <c r="X1062" s="64" t="n">
        <f aca="false">IF($K1062="No Start (attainment only)",$P1062,0)</f>
        <v>0</v>
      </c>
    </row>
    <row r="1063" customFormat="false" ht="15" hidden="false" customHeight="false" outlineLevel="0" collapsed="false">
      <c r="A1063" s="60"/>
      <c r="B1063" s="61" t="str">
        <f aca="false">IF($M1063=0,"",INDEX(Classes!$E$6:$E$420,$M1063))</f>
        <v/>
      </c>
      <c r="C1063" s="62" t="str">
        <f aca="false">IF($M1063=0,"",INDEX(Classes!$H$6:$H$420,$M1063))</f>
        <v/>
      </c>
      <c r="D1063" s="61" t="str">
        <f aca="false">IF($M1063=0,"",INDEX(Classes!$B$6:$B$420,$M1063))</f>
        <v/>
      </c>
      <c r="E1063" s="61" t="str">
        <f aca="false">IF($M1063=0,"",INDEX(Classes!$C$6:$C$420,$M1063))</f>
        <v/>
      </c>
      <c r="F1063" s="63"/>
      <c r="G1063" s="63"/>
      <c r="H1063" s="60"/>
      <c r="I1063" s="60"/>
      <c r="J1063" s="63"/>
      <c r="K1063" s="61" t="str">
        <f aca="false">IF($P1063=0,"",IF($F1063="Baseline","— Baseline",IF($O1063=0,"No result",IF($N1063=0,"No Start (attainment only)",IF(OR($N1063=1,$O1063=1),"U – needs rule",INDEX(MxBody,MATCH($I1063,MxCurr,0),MATCH($H1063,MxStart,0)))))))</f>
        <v/>
      </c>
      <c r="L1063" s="62" t="str">
        <f aca="false">IF(COUNTA($A1063,$F1063,$G1063,$H1063,$I1063,$J1063)=0,"",IF($M1063=0,"✖ كود الصف غير موجود",IF(ISNA(MATCH($F1063,Lists!$A$2:$A$5,0)),"✖ الفترة غير صحيحة",IF(ISNA(MATCH($G1063,Lists!$B$2:$B$7,0)),"✖ المجموعة غير صحيحة",IF(NOT(OR($H1063="",$N1063&gt;0)),"✖ Start غير صحيح",IF(NOT(OR($I1063="",$I1063="NR",$O1063&gt;0)),"✖ Current غير صحيح",IF(NOT(IF(ISNUMBER($J1063),AND($J1063&gt;=0,$J1063=INT($J1063)),FALSE())),"✖ العدد يجب أن يكون صحيحًا ≥ 0",IF(AND($F1063="Baseline",$H1063&lt;&gt;""),"⚠ Baseline: Start لا يدخل في التقدم",IF($K1063="No Start (attainment only)","ℹ تحصيل فقط (بدون Start)",IF($K1063="U – needs rule","ℹ حالة U تحتاج قاعدة معتمدة",IF($K1063="No result","ℹ بدون نتيجة (يُستبعد من التحصيل)","OK")))))))))))</f>
        <v/>
      </c>
      <c r="M1063" s="64" t="n">
        <f aca="false">IF($A1063="",0,IFERROR(MATCH($A1063,Classes!$A$6:$A$420,0),0))</f>
        <v>0</v>
      </c>
      <c r="N1063" s="64" t="n">
        <f aca="false">IF($H1063="",0,IFERROR(MATCH($H1063,GradeList,0),0))</f>
        <v>0</v>
      </c>
      <c r="O1063" s="64" t="n">
        <f aca="false">IF(OR($I1063="",$I1063="NR"),0,IFERROR(MATCH($I1063,GradeList,0),0))</f>
        <v>0</v>
      </c>
      <c r="P1063" s="64" t="n">
        <f aca="false">IF(AND($M1063&gt;0,ISNUMBER(MATCH($F1063,Lists!$A$2:$A$5,0)),ISNUMBER(MATCH($G1063,Lists!$B$2:$B$7,0)),OR($H1063="",$N1063&gt;0),OR($I1063="",$I1063="NR",$O1063&gt;0),IF(ISNUMBER($J1063),AND($J1063&gt;=0,$J1063=INT($J1063)),FALSE())),$J1063,0)</f>
        <v>0</v>
      </c>
      <c r="Q1063" s="64" t="n">
        <f aca="false">IF(AND($P1063&gt;0,$O1063&gt;0),$P1063,0)</f>
        <v>0</v>
      </c>
      <c r="R1063" s="64" t="n">
        <f aca="false">IF(AND($Q1063&gt;0,$O1063&gt;=AtRank),$Q1063,0)</f>
        <v>0</v>
      </c>
      <c r="S1063" s="64" t="n">
        <f aca="false">IF(AND($Q1063&gt;0,$O1063&gt;=AboveRank),$Q1063,0)</f>
        <v>0</v>
      </c>
      <c r="T1063" s="64" t="n">
        <f aca="false">IF($K1063="Less",$P1063,0)</f>
        <v>0</v>
      </c>
      <c r="U1063" s="64" t="n">
        <f aca="false">IF($K1063="Expected",$P1063,0)</f>
        <v>0</v>
      </c>
      <c r="V1063" s="64" t="n">
        <f aca="false">IF($K1063="Better",$P1063,0)</f>
        <v>0</v>
      </c>
      <c r="W1063" s="64" t="n">
        <f aca="false">IF($K1063="U – needs rule",$P1063,0)</f>
        <v>0</v>
      </c>
      <c r="X1063" s="64" t="n">
        <f aca="false">IF($K1063="No Start (attainment only)",$P1063,0)</f>
        <v>0</v>
      </c>
    </row>
    <row r="1064" customFormat="false" ht="15" hidden="false" customHeight="false" outlineLevel="0" collapsed="false">
      <c r="A1064" s="60"/>
      <c r="B1064" s="61" t="str">
        <f aca="false">IF($M1064=0,"",INDEX(Classes!$E$6:$E$420,$M1064))</f>
        <v/>
      </c>
      <c r="C1064" s="62" t="str">
        <f aca="false">IF($M1064=0,"",INDEX(Classes!$H$6:$H$420,$M1064))</f>
        <v/>
      </c>
      <c r="D1064" s="61" t="str">
        <f aca="false">IF($M1064=0,"",INDEX(Classes!$B$6:$B$420,$M1064))</f>
        <v/>
      </c>
      <c r="E1064" s="61" t="str">
        <f aca="false">IF($M1064=0,"",INDEX(Classes!$C$6:$C$420,$M1064))</f>
        <v/>
      </c>
      <c r="F1064" s="63"/>
      <c r="G1064" s="63"/>
      <c r="H1064" s="60"/>
      <c r="I1064" s="60"/>
      <c r="J1064" s="63"/>
      <c r="K1064" s="61" t="str">
        <f aca="false">IF($P1064=0,"",IF($F1064="Baseline","— Baseline",IF($O1064=0,"No result",IF($N1064=0,"No Start (attainment only)",IF(OR($N1064=1,$O1064=1),"U – needs rule",INDEX(MxBody,MATCH($I1064,MxCurr,0),MATCH($H1064,MxStart,0)))))))</f>
        <v/>
      </c>
      <c r="L1064" s="62" t="str">
        <f aca="false">IF(COUNTA($A1064,$F1064,$G1064,$H1064,$I1064,$J1064)=0,"",IF($M1064=0,"✖ كود الصف غير موجود",IF(ISNA(MATCH($F1064,Lists!$A$2:$A$5,0)),"✖ الفترة غير صحيحة",IF(ISNA(MATCH($G1064,Lists!$B$2:$B$7,0)),"✖ المجموعة غير صحيحة",IF(NOT(OR($H1064="",$N1064&gt;0)),"✖ Start غير صحيح",IF(NOT(OR($I1064="",$I1064="NR",$O1064&gt;0)),"✖ Current غير صحيح",IF(NOT(IF(ISNUMBER($J1064),AND($J1064&gt;=0,$J1064=INT($J1064)),FALSE())),"✖ العدد يجب أن يكون صحيحًا ≥ 0",IF(AND($F1064="Baseline",$H1064&lt;&gt;""),"⚠ Baseline: Start لا يدخل في التقدم",IF($K1064="No Start (attainment only)","ℹ تحصيل فقط (بدون Start)",IF($K1064="U – needs rule","ℹ حالة U تحتاج قاعدة معتمدة",IF($K1064="No result","ℹ بدون نتيجة (يُستبعد من التحصيل)","OK")))))))))))</f>
        <v/>
      </c>
      <c r="M1064" s="64" t="n">
        <f aca="false">IF($A1064="",0,IFERROR(MATCH($A1064,Classes!$A$6:$A$420,0),0))</f>
        <v>0</v>
      </c>
      <c r="N1064" s="64" t="n">
        <f aca="false">IF($H1064="",0,IFERROR(MATCH($H1064,GradeList,0),0))</f>
        <v>0</v>
      </c>
      <c r="O1064" s="64" t="n">
        <f aca="false">IF(OR($I1064="",$I1064="NR"),0,IFERROR(MATCH($I1064,GradeList,0),0))</f>
        <v>0</v>
      </c>
      <c r="P1064" s="64" t="n">
        <f aca="false">IF(AND($M1064&gt;0,ISNUMBER(MATCH($F1064,Lists!$A$2:$A$5,0)),ISNUMBER(MATCH($G1064,Lists!$B$2:$B$7,0)),OR($H1064="",$N1064&gt;0),OR($I1064="",$I1064="NR",$O1064&gt;0),IF(ISNUMBER($J1064),AND($J1064&gt;=0,$J1064=INT($J1064)),FALSE())),$J1064,0)</f>
        <v>0</v>
      </c>
      <c r="Q1064" s="64" t="n">
        <f aca="false">IF(AND($P1064&gt;0,$O1064&gt;0),$P1064,0)</f>
        <v>0</v>
      </c>
      <c r="R1064" s="64" t="n">
        <f aca="false">IF(AND($Q1064&gt;0,$O1064&gt;=AtRank),$Q1064,0)</f>
        <v>0</v>
      </c>
      <c r="S1064" s="64" t="n">
        <f aca="false">IF(AND($Q1064&gt;0,$O1064&gt;=AboveRank),$Q1064,0)</f>
        <v>0</v>
      </c>
      <c r="T1064" s="64" t="n">
        <f aca="false">IF($K1064="Less",$P1064,0)</f>
        <v>0</v>
      </c>
      <c r="U1064" s="64" t="n">
        <f aca="false">IF($K1064="Expected",$P1064,0)</f>
        <v>0</v>
      </c>
      <c r="V1064" s="64" t="n">
        <f aca="false">IF($K1064="Better",$P1064,0)</f>
        <v>0</v>
      </c>
      <c r="W1064" s="64" t="n">
        <f aca="false">IF($K1064="U – needs rule",$P1064,0)</f>
        <v>0</v>
      </c>
      <c r="X1064" s="64" t="n">
        <f aca="false">IF($K1064="No Start (attainment only)",$P1064,0)</f>
        <v>0</v>
      </c>
    </row>
    <row r="1065" customFormat="false" ht="15" hidden="false" customHeight="false" outlineLevel="0" collapsed="false">
      <c r="A1065" s="60"/>
      <c r="B1065" s="61" t="str">
        <f aca="false">IF($M1065=0,"",INDEX(Classes!$E$6:$E$420,$M1065))</f>
        <v/>
      </c>
      <c r="C1065" s="62" t="str">
        <f aca="false">IF($M1065=0,"",INDEX(Classes!$H$6:$H$420,$M1065))</f>
        <v/>
      </c>
      <c r="D1065" s="61" t="str">
        <f aca="false">IF($M1065=0,"",INDEX(Classes!$B$6:$B$420,$M1065))</f>
        <v/>
      </c>
      <c r="E1065" s="61" t="str">
        <f aca="false">IF($M1065=0,"",INDEX(Classes!$C$6:$C$420,$M1065))</f>
        <v/>
      </c>
      <c r="F1065" s="63"/>
      <c r="G1065" s="63"/>
      <c r="H1065" s="60"/>
      <c r="I1065" s="60"/>
      <c r="J1065" s="63"/>
      <c r="K1065" s="61" t="str">
        <f aca="false">IF($P1065=0,"",IF($F1065="Baseline","— Baseline",IF($O1065=0,"No result",IF($N1065=0,"No Start (attainment only)",IF(OR($N1065=1,$O1065=1),"U – needs rule",INDEX(MxBody,MATCH($I1065,MxCurr,0),MATCH($H1065,MxStart,0)))))))</f>
        <v/>
      </c>
      <c r="L1065" s="62" t="str">
        <f aca="false">IF(COUNTA($A1065,$F1065,$G1065,$H1065,$I1065,$J1065)=0,"",IF($M1065=0,"✖ كود الصف غير موجود",IF(ISNA(MATCH($F1065,Lists!$A$2:$A$5,0)),"✖ الفترة غير صحيحة",IF(ISNA(MATCH($G1065,Lists!$B$2:$B$7,0)),"✖ المجموعة غير صحيحة",IF(NOT(OR($H1065="",$N1065&gt;0)),"✖ Start غير صحيح",IF(NOT(OR($I1065="",$I1065="NR",$O1065&gt;0)),"✖ Current غير صحيح",IF(NOT(IF(ISNUMBER($J1065),AND($J1065&gt;=0,$J1065=INT($J1065)),FALSE())),"✖ العدد يجب أن يكون صحيحًا ≥ 0",IF(AND($F1065="Baseline",$H1065&lt;&gt;""),"⚠ Baseline: Start لا يدخل في التقدم",IF($K1065="No Start (attainment only)","ℹ تحصيل فقط (بدون Start)",IF($K1065="U – needs rule","ℹ حالة U تحتاج قاعدة معتمدة",IF($K1065="No result","ℹ بدون نتيجة (يُستبعد من التحصيل)","OK")))))))))))</f>
        <v/>
      </c>
      <c r="M1065" s="64" t="n">
        <f aca="false">IF($A1065="",0,IFERROR(MATCH($A1065,Classes!$A$6:$A$420,0),0))</f>
        <v>0</v>
      </c>
      <c r="N1065" s="64" t="n">
        <f aca="false">IF($H1065="",0,IFERROR(MATCH($H1065,GradeList,0),0))</f>
        <v>0</v>
      </c>
      <c r="O1065" s="64" t="n">
        <f aca="false">IF(OR($I1065="",$I1065="NR"),0,IFERROR(MATCH($I1065,GradeList,0),0))</f>
        <v>0</v>
      </c>
      <c r="P1065" s="64" t="n">
        <f aca="false">IF(AND($M1065&gt;0,ISNUMBER(MATCH($F1065,Lists!$A$2:$A$5,0)),ISNUMBER(MATCH($G1065,Lists!$B$2:$B$7,0)),OR($H1065="",$N1065&gt;0),OR($I1065="",$I1065="NR",$O1065&gt;0),IF(ISNUMBER($J1065),AND($J1065&gt;=0,$J1065=INT($J1065)),FALSE())),$J1065,0)</f>
        <v>0</v>
      </c>
      <c r="Q1065" s="64" t="n">
        <f aca="false">IF(AND($P1065&gt;0,$O1065&gt;0),$P1065,0)</f>
        <v>0</v>
      </c>
      <c r="R1065" s="64" t="n">
        <f aca="false">IF(AND($Q1065&gt;0,$O1065&gt;=AtRank),$Q1065,0)</f>
        <v>0</v>
      </c>
      <c r="S1065" s="64" t="n">
        <f aca="false">IF(AND($Q1065&gt;0,$O1065&gt;=AboveRank),$Q1065,0)</f>
        <v>0</v>
      </c>
      <c r="T1065" s="64" t="n">
        <f aca="false">IF($K1065="Less",$P1065,0)</f>
        <v>0</v>
      </c>
      <c r="U1065" s="64" t="n">
        <f aca="false">IF($K1065="Expected",$P1065,0)</f>
        <v>0</v>
      </c>
      <c r="V1065" s="64" t="n">
        <f aca="false">IF($K1065="Better",$P1065,0)</f>
        <v>0</v>
      </c>
      <c r="W1065" s="64" t="n">
        <f aca="false">IF($K1065="U – needs rule",$P1065,0)</f>
        <v>0</v>
      </c>
      <c r="X1065" s="64" t="n">
        <f aca="false">IF($K1065="No Start (attainment only)",$P1065,0)</f>
        <v>0</v>
      </c>
    </row>
    <row r="1066" customFormat="false" ht="15" hidden="false" customHeight="false" outlineLevel="0" collapsed="false">
      <c r="A1066" s="60"/>
      <c r="B1066" s="61" t="str">
        <f aca="false">IF($M1066=0,"",INDEX(Classes!$E$6:$E$420,$M1066))</f>
        <v/>
      </c>
      <c r="C1066" s="62" t="str">
        <f aca="false">IF($M1066=0,"",INDEX(Classes!$H$6:$H$420,$M1066))</f>
        <v/>
      </c>
      <c r="D1066" s="61" t="str">
        <f aca="false">IF($M1066=0,"",INDEX(Classes!$B$6:$B$420,$M1066))</f>
        <v/>
      </c>
      <c r="E1066" s="61" t="str">
        <f aca="false">IF($M1066=0,"",INDEX(Classes!$C$6:$C$420,$M1066))</f>
        <v/>
      </c>
      <c r="F1066" s="63"/>
      <c r="G1066" s="63"/>
      <c r="H1066" s="60"/>
      <c r="I1066" s="60"/>
      <c r="J1066" s="63"/>
      <c r="K1066" s="61" t="str">
        <f aca="false">IF($P1066=0,"",IF($F1066="Baseline","— Baseline",IF($O1066=0,"No result",IF($N1066=0,"No Start (attainment only)",IF(OR($N1066=1,$O1066=1),"U – needs rule",INDEX(MxBody,MATCH($I1066,MxCurr,0),MATCH($H1066,MxStart,0)))))))</f>
        <v/>
      </c>
      <c r="L1066" s="62" t="str">
        <f aca="false">IF(COUNTA($A1066,$F1066,$G1066,$H1066,$I1066,$J1066)=0,"",IF($M1066=0,"✖ كود الصف غير موجود",IF(ISNA(MATCH($F1066,Lists!$A$2:$A$5,0)),"✖ الفترة غير صحيحة",IF(ISNA(MATCH($G1066,Lists!$B$2:$B$7,0)),"✖ المجموعة غير صحيحة",IF(NOT(OR($H1066="",$N1066&gt;0)),"✖ Start غير صحيح",IF(NOT(OR($I1066="",$I1066="NR",$O1066&gt;0)),"✖ Current غير صحيح",IF(NOT(IF(ISNUMBER($J1066),AND($J1066&gt;=0,$J1066=INT($J1066)),FALSE())),"✖ العدد يجب أن يكون صحيحًا ≥ 0",IF(AND($F1066="Baseline",$H1066&lt;&gt;""),"⚠ Baseline: Start لا يدخل في التقدم",IF($K1066="No Start (attainment only)","ℹ تحصيل فقط (بدون Start)",IF($K1066="U – needs rule","ℹ حالة U تحتاج قاعدة معتمدة",IF($K1066="No result","ℹ بدون نتيجة (يُستبعد من التحصيل)","OK")))))))))))</f>
        <v/>
      </c>
      <c r="M1066" s="64" t="n">
        <f aca="false">IF($A1066="",0,IFERROR(MATCH($A1066,Classes!$A$6:$A$420,0),0))</f>
        <v>0</v>
      </c>
      <c r="N1066" s="64" t="n">
        <f aca="false">IF($H1066="",0,IFERROR(MATCH($H1066,GradeList,0),0))</f>
        <v>0</v>
      </c>
      <c r="O1066" s="64" t="n">
        <f aca="false">IF(OR($I1066="",$I1066="NR"),0,IFERROR(MATCH($I1066,GradeList,0),0))</f>
        <v>0</v>
      </c>
      <c r="P1066" s="64" t="n">
        <f aca="false">IF(AND($M1066&gt;0,ISNUMBER(MATCH($F1066,Lists!$A$2:$A$5,0)),ISNUMBER(MATCH($G1066,Lists!$B$2:$B$7,0)),OR($H1066="",$N1066&gt;0),OR($I1066="",$I1066="NR",$O1066&gt;0),IF(ISNUMBER($J1066),AND($J1066&gt;=0,$J1066=INT($J1066)),FALSE())),$J1066,0)</f>
        <v>0</v>
      </c>
      <c r="Q1066" s="64" t="n">
        <f aca="false">IF(AND($P1066&gt;0,$O1066&gt;0),$P1066,0)</f>
        <v>0</v>
      </c>
      <c r="R1066" s="64" t="n">
        <f aca="false">IF(AND($Q1066&gt;0,$O1066&gt;=AtRank),$Q1066,0)</f>
        <v>0</v>
      </c>
      <c r="S1066" s="64" t="n">
        <f aca="false">IF(AND($Q1066&gt;0,$O1066&gt;=AboveRank),$Q1066,0)</f>
        <v>0</v>
      </c>
      <c r="T1066" s="64" t="n">
        <f aca="false">IF($K1066="Less",$P1066,0)</f>
        <v>0</v>
      </c>
      <c r="U1066" s="64" t="n">
        <f aca="false">IF($K1066="Expected",$P1066,0)</f>
        <v>0</v>
      </c>
      <c r="V1066" s="64" t="n">
        <f aca="false">IF($K1066="Better",$P1066,0)</f>
        <v>0</v>
      </c>
      <c r="W1066" s="64" t="n">
        <f aca="false">IF($K1066="U – needs rule",$P1066,0)</f>
        <v>0</v>
      </c>
      <c r="X1066" s="64" t="n">
        <f aca="false">IF($K1066="No Start (attainment only)",$P1066,0)</f>
        <v>0</v>
      </c>
    </row>
    <row r="1067" customFormat="false" ht="15" hidden="false" customHeight="false" outlineLevel="0" collapsed="false">
      <c r="A1067" s="60"/>
      <c r="B1067" s="61" t="str">
        <f aca="false">IF($M1067=0,"",INDEX(Classes!$E$6:$E$420,$M1067))</f>
        <v/>
      </c>
      <c r="C1067" s="62" t="str">
        <f aca="false">IF($M1067=0,"",INDEX(Classes!$H$6:$H$420,$M1067))</f>
        <v/>
      </c>
      <c r="D1067" s="61" t="str">
        <f aca="false">IF($M1067=0,"",INDEX(Classes!$B$6:$B$420,$M1067))</f>
        <v/>
      </c>
      <c r="E1067" s="61" t="str">
        <f aca="false">IF($M1067=0,"",INDEX(Classes!$C$6:$C$420,$M1067))</f>
        <v/>
      </c>
      <c r="F1067" s="63"/>
      <c r="G1067" s="63"/>
      <c r="H1067" s="60"/>
      <c r="I1067" s="60"/>
      <c r="J1067" s="63"/>
      <c r="K1067" s="61" t="str">
        <f aca="false">IF($P1067=0,"",IF($F1067="Baseline","— Baseline",IF($O1067=0,"No result",IF($N1067=0,"No Start (attainment only)",IF(OR($N1067=1,$O1067=1),"U – needs rule",INDEX(MxBody,MATCH($I1067,MxCurr,0),MATCH($H1067,MxStart,0)))))))</f>
        <v/>
      </c>
      <c r="L1067" s="62" t="str">
        <f aca="false">IF(COUNTA($A1067,$F1067,$G1067,$H1067,$I1067,$J1067)=0,"",IF($M1067=0,"✖ كود الصف غير موجود",IF(ISNA(MATCH($F1067,Lists!$A$2:$A$5,0)),"✖ الفترة غير صحيحة",IF(ISNA(MATCH($G1067,Lists!$B$2:$B$7,0)),"✖ المجموعة غير صحيحة",IF(NOT(OR($H1067="",$N1067&gt;0)),"✖ Start غير صحيح",IF(NOT(OR($I1067="",$I1067="NR",$O1067&gt;0)),"✖ Current غير صحيح",IF(NOT(IF(ISNUMBER($J1067),AND($J1067&gt;=0,$J1067=INT($J1067)),FALSE())),"✖ العدد يجب أن يكون صحيحًا ≥ 0",IF(AND($F1067="Baseline",$H1067&lt;&gt;""),"⚠ Baseline: Start لا يدخل في التقدم",IF($K1067="No Start (attainment only)","ℹ تحصيل فقط (بدون Start)",IF($K1067="U – needs rule","ℹ حالة U تحتاج قاعدة معتمدة",IF($K1067="No result","ℹ بدون نتيجة (يُستبعد من التحصيل)","OK")))))))))))</f>
        <v/>
      </c>
      <c r="M1067" s="64" t="n">
        <f aca="false">IF($A1067="",0,IFERROR(MATCH($A1067,Classes!$A$6:$A$420,0),0))</f>
        <v>0</v>
      </c>
      <c r="N1067" s="64" t="n">
        <f aca="false">IF($H1067="",0,IFERROR(MATCH($H1067,GradeList,0),0))</f>
        <v>0</v>
      </c>
      <c r="O1067" s="64" t="n">
        <f aca="false">IF(OR($I1067="",$I1067="NR"),0,IFERROR(MATCH($I1067,GradeList,0),0))</f>
        <v>0</v>
      </c>
      <c r="P1067" s="64" t="n">
        <f aca="false">IF(AND($M1067&gt;0,ISNUMBER(MATCH($F1067,Lists!$A$2:$A$5,0)),ISNUMBER(MATCH($G1067,Lists!$B$2:$B$7,0)),OR($H1067="",$N1067&gt;0),OR($I1067="",$I1067="NR",$O1067&gt;0),IF(ISNUMBER($J1067),AND($J1067&gt;=0,$J1067=INT($J1067)),FALSE())),$J1067,0)</f>
        <v>0</v>
      </c>
      <c r="Q1067" s="64" t="n">
        <f aca="false">IF(AND($P1067&gt;0,$O1067&gt;0),$P1067,0)</f>
        <v>0</v>
      </c>
      <c r="R1067" s="64" t="n">
        <f aca="false">IF(AND($Q1067&gt;0,$O1067&gt;=AtRank),$Q1067,0)</f>
        <v>0</v>
      </c>
      <c r="S1067" s="64" t="n">
        <f aca="false">IF(AND($Q1067&gt;0,$O1067&gt;=AboveRank),$Q1067,0)</f>
        <v>0</v>
      </c>
      <c r="T1067" s="64" t="n">
        <f aca="false">IF($K1067="Less",$P1067,0)</f>
        <v>0</v>
      </c>
      <c r="U1067" s="64" t="n">
        <f aca="false">IF($K1067="Expected",$P1067,0)</f>
        <v>0</v>
      </c>
      <c r="V1067" s="64" t="n">
        <f aca="false">IF($K1067="Better",$P1067,0)</f>
        <v>0</v>
      </c>
      <c r="W1067" s="64" t="n">
        <f aca="false">IF($K1067="U – needs rule",$P1067,0)</f>
        <v>0</v>
      </c>
      <c r="X1067" s="64" t="n">
        <f aca="false">IF($K1067="No Start (attainment only)",$P1067,0)</f>
        <v>0</v>
      </c>
    </row>
    <row r="1068" customFormat="false" ht="15" hidden="false" customHeight="false" outlineLevel="0" collapsed="false">
      <c r="A1068" s="60"/>
      <c r="B1068" s="61" t="str">
        <f aca="false">IF($M1068=0,"",INDEX(Classes!$E$6:$E$420,$M1068))</f>
        <v/>
      </c>
      <c r="C1068" s="62" t="str">
        <f aca="false">IF($M1068=0,"",INDEX(Classes!$H$6:$H$420,$M1068))</f>
        <v/>
      </c>
      <c r="D1068" s="61" t="str">
        <f aca="false">IF($M1068=0,"",INDEX(Classes!$B$6:$B$420,$M1068))</f>
        <v/>
      </c>
      <c r="E1068" s="61" t="str">
        <f aca="false">IF($M1068=0,"",INDEX(Classes!$C$6:$C$420,$M1068))</f>
        <v/>
      </c>
      <c r="F1068" s="63"/>
      <c r="G1068" s="63"/>
      <c r="H1068" s="60"/>
      <c r="I1068" s="60"/>
      <c r="J1068" s="63"/>
      <c r="K1068" s="61" t="str">
        <f aca="false">IF($P1068=0,"",IF($F1068="Baseline","— Baseline",IF($O1068=0,"No result",IF($N1068=0,"No Start (attainment only)",IF(OR($N1068=1,$O1068=1),"U – needs rule",INDEX(MxBody,MATCH($I1068,MxCurr,0),MATCH($H1068,MxStart,0)))))))</f>
        <v/>
      </c>
      <c r="L1068" s="62" t="str">
        <f aca="false">IF(COUNTA($A1068,$F1068,$G1068,$H1068,$I1068,$J1068)=0,"",IF($M1068=0,"✖ كود الصف غير موجود",IF(ISNA(MATCH($F1068,Lists!$A$2:$A$5,0)),"✖ الفترة غير صحيحة",IF(ISNA(MATCH($G1068,Lists!$B$2:$B$7,0)),"✖ المجموعة غير صحيحة",IF(NOT(OR($H1068="",$N1068&gt;0)),"✖ Start غير صحيح",IF(NOT(OR($I1068="",$I1068="NR",$O1068&gt;0)),"✖ Current غير صحيح",IF(NOT(IF(ISNUMBER($J1068),AND($J1068&gt;=0,$J1068=INT($J1068)),FALSE())),"✖ العدد يجب أن يكون صحيحًا ≥ 0",IF(AND($F1068="Baseline",$H1068&lt;&gt;""),"⚠ Baseline: Start لا يدخل في التقدم",IF($K1068="No Start (attainment only)","ℹ تحصيل فقط (بدون Start)",IF($K1068="U – needs rule","ℹ حالة U تحتاج قاعدة معتمدة",IF($K1068="No result","ℹ بدون نتيجة (يُستبعد من التحصيل)","OK")))))))))))</f>
        <v/>
      </c>
      <c r="M1068" s="64" t="n">
        <f aca="false">IF($A1068="",0,IFERROR(MATCH($A1068,Classes!$A$6:$A$420,0),0))</f>
        <v>0</v>
      </c>
      <c r="N1068" s="64" t="n">
        <f aca="false">IF($H1068="",0,IFERROR(MATCH($H1068,GradeList,0),0))</f>
        <v>0</v>
      </c>
      <c r="O1068" s="64" t="n">
        <f aca="false">IF(OR($I1068="",$I1068="NR"),0,IFERROR(MATCH($I1068,GradeList,0),0))</f>
        <v>0</v>
      </c>
      <c r="P1068" s="64" t="n">
        <f aca="false">IF(AND($M1068&gt;0,ISNUMBER(MATCH($F1068,Lists!$A$2:$A$5,0)),ISNUMBER(MATCH($G1068,Lists!$B$2:$B$7,0)),OR($H1068="",$N1068&gt;0),OR($I1068="",$I1068="NR",$O1068&gt;0),IF(ISNUMBER($J1068),AND($J1068&gt;=0,$J1068=INT($J1068)),FALSE())),$J1068,0)</f>
        <v>0</v>
      </c>
      <c r="Q1068" s="64" t="n">
        <f aca="false">IF(AND($P1068&gt;0,$O1068&gt;0),$P1068,0)</f>
        <v>0</v>
      </c>
      <c r="R1068" s="64" t="n">
        <f aca="false">IF(AND($Q1068&gt;0,$O1068&gt;=AtRank),$Q1068,0)</f>
        <v>0</v>
      </c>
      <c r="S1068" s="64" t="n">
        <f aca="false">IF(AND($Q1068&gt;0,$O1068&gt;=AboveRank),$Q1068,0)</f>
        <v>0</v>
      </c>
      <c r="T1068" s="64" t="n">
        <f aca="false">IF($K1068="Less",$P1068,0)</f>
        <v>0</v>
      </c>
      <c r="U1068" s="64" t="n">
        <f aca="false">IF($K1068="Expected",$P1068,0)</f>
        <v>0</v>
      </c>
      <c r="V1068" s="64" t="n">
        <f aca="false">IF($K1068="Better",$P1068,0)</f>
        <v>0</v>
      </c>
      <c r="W1068" s="64" t="n">
        <f aca="false">IF($K1068="U – needs rule",$P1068,0)</f>
        <v>0</v>
      </c>
      <c r="X1068" s="64" t="n">
        <f aca="false">IF($K1068="No Start (attainment only)",$P1068,0)</f>
        <v>0</v>
      </c>
    </row>
    <row r="1069" customFormat="false" ht="15" hidden="false" customHeight="false" outlineLevel="0" collapsed="false">
      <c r="A1069" s="60"/>
      <c r="B1069" s="61" t="str">
        <f aca="false">IF($M1069=0,"",INDEX(Classes!$E$6:$E$420,$M1069))</f>
        <v/>
      </c>
      <c r="C1069" s="62" t="str">
        <f aca="false">IF($M1069=0,"",INDEX(Classes!$H$6:$H$420,$M1069))</f>
        <v/>
      </c>
      <c r="D1069" s="61" t="str">
        <f aca="false">IF($M1069=0,"",INDEX(Classes!$B$6:$B$420,$M1069))</f>
        <v/>
      </c>
      <c r="E1069" s="61" t="str">
        <f aca="false">IF($M1069=0,"",INDEX(Classes!$C$6:$C$420,$M1069))</f>
        <v/>
      </c>
      <c r="F1069" s="63"/>
      <c r="G1069" s="63"/>
      <c r="H1069" s="60"/>
      <c r="I1069" s="60"/>
      <c r="J1069" s="63"/>
      <c r="K1069" s="61" t="str">
        <f aca="false">IF($P1069=0,"",IF($F1069="Baseline","— Baseline",IF($O1069=0,"No result",IF($N1069=0,"No Start (attainment only)",IF(OR($N1069=1,$O1069=1),"U – needs rule",INDEX(MxBody,MATCH($I1069,MxCurr,0),MATCH($H1069,MxStart,0)))))))</f>
        <v/>
      </c>
      <c r="L1069" s="62" t="str">
        <f aca="false">IF(COUNTA($A1069,$F1069,$G1069,$H1069,$I1069,$J1069)=0,"",IF($M1069=0,"✖ كود الصف غير موجود",IF(ISNA(MATCH($F1069,Lists!$A$2:$A$5,0)),"✖ الفترة غير صحيحة",IF(ISNA(MATCH($G1069,Lists!$B$2:$B$7,0)),"✖ المجموعة غير صحيحة",IF(NOT(OR($H1069="",$N1069&gt;0)),"✖ Start غير صحيح",IF(NOT(OR($I1069="",$I1069="NR",$O1069&gt;0)),"✖ Current غير صحيح",IF(NOT(IF(ISNUMBER($J1069),AND($J1069&gt;=0,$J1069=INT($J1069)),FALSE())),"✖ العدد يجب أن يكون صحيحًا ≥ 0",IF(AND($F1069="Baseline",$H1069&lt;&gt;""),"⚠ Baseline: Start لا يدخل في التقدم",IF($K1069="No Start (attainment only)","ℹ تحصيل فقط (بدون Start)",IF($K1069="U – needs rule","ℹ حالة U تحتاج قاعدة معتمدة",IF($K1069="No result","ℹ بدون نتيجة (يُستبعد من التحصيل)","OK")))))))))))</f>
        <v/>
      </c>
      <c r="M1069" s="64" t="n">
        <f aca="false">IF($A1069="",0,IFERROR(MATCH($A1069,Classes!$A$6:$A$420,0),0))</f>
        <v>0</v>
      </c>
      <c r="N1069" s="64" t="n">
        <f aca="false">IF($H1069="",0,IFERROR(MATCH($H1069,GradeList,0),0))</f>
        <v>0</v>
      </c>
      <c r="O1069" s="64" t="n">
        <f aca="false">IF(OR($I1069="",$I1069="NR"),0,IFERROR(MATCH($I1069,GradeList,0),0))</f>
        <v>0</v>
      </c>
      <c r="P1069" s="64" t="n">
        <f aca="false">IF(AND($M1069&gt;0,ISNUMBER(MATCH($F1069,Lists!$A$2:$A$5,0)),ISNUMBER(MATCH($G1069,Lists!$B$2:$B$7,0)),OR($H1069="",$N1069&gt;0),OR($I1069="",$I1069="NR",$O1069&gt;0),IF(ISNUMBER($J1069),AND($J1069&gt;=0,$J1069=INT($J1069)),FALSE())),$J1069,0)</f>
        <v>0</v>
      </c>
      <c r="Q1069" s="64" t="n">
        <f aca="false">IF(AND($P1069&gt;0,$O1069&gt;0),$P1069,0)</f>
        <v>0</v>
      </c>
      <c r="R1069" s="64" t="n">
        <f aca="false">IF(AND($Q1069&gt;0,$O1069&gt;=AtRank),$Q1069,0)</f>
        <v>0</v>
      </c>
      <c r="S1069" s="64" t="n">
        <f aca="false">IF(AND($Q1069&gt;0,$O1069&gt;=AboveRank),$Q1069,0)</f>
        <v>0</v>
      </c>
      <c r="T1069" s="64" t="n">
        <f aca="false">IF($K1069="Less",$P1069,0)</f>
        <v>0</v>
      </c>
      <c r="U1069" s="64" t="n">
        <f aca="false">IF($K1069="Expected",$P1069,0)</f>
        <v>0</v>
      </c>
      <c r="V1069" s="64" t="n">
        <f aca="false">IF($K1069="Better",$P1069,0)</f>
        <v>0</v>
      </c>
      <c r="W1069" s="64" t="n">
        <f aca="false">IF($K1069="U – needs rule",$P1069,0)</f>
        <v>0</v>
      </c>
      <c r="X1069" s="64" t="n">
        <f aca="false">IF($K1069="No Start (attainment only)",$P1069,0)</f>
        <v>0</v>
      </c>
    </row>
    <row r="1070" customFormat="false" ht="15" hidden="false" customHeight="false" outlineLevel="0" collapsed="false">
      <c r="A1070" s="60"/>
      <c r="B1070" s="61" t="str">
        <f aca="false">IF($M1070=0,"",INDEX(Classes!$E$6:$E$420,$M1070))</f>
        <v/>
      </c>
      <c r="C1070" s="62" t="str">
        <f aca="false">IF($M1070=0,"",INDEX(Classes!$H$6:$H$420,$M1070))</f>
        <v/>
      </c>
      <c r="D1070" s="61" t="str">
        <f aca="false">IF($M1070=0,"",INDEX(Classes!$B$6:$B$420,$M1070))</f>
        <v/>
      </c>
      <c r="E1070" s="61" t="str">
        <f aca="false">IF($M1070=0,"",INDEX(Classes!$C$6:$C$420,$M1070))</f>
        <v/>
      </c>
      <c r="F1070" s="63"/>
      <c r="G1070" s="63"/>
      <c r="H1070" s="60"/>
      <c r="I1070" s="60"/>
      <c r="J1070" s="63"/>
      <c r="K1070" s="61" t="str">
        <f aca="false">IF($P1070=0,"",IF($F1070="Baseline","— Baseline",IF($O1070=0,"No result",IF($N1070=0,"No Start (attainment only)",IF(OR($N1070=1,$O1070=1),"U – needs rule",INDEX(MxBody,MATCH($I1070,MxCurr,0),MATCH($H1070,MxStart,0)))))))</f>
        <v/>
      </c>
      <c r="L1070" s="62" t="str">
        <f aca="false">IF(COUNTA($A1070,$F1070,$G1070,$H1070,$I1070,$J1070)=0,"",IF($M1070=0,"✖ كود الصف غير موجود",IF(ISNA(MATCH($F1070,Lists!$A$2:$A$5,0)),"✖ الفترة غير صحيحة",IF(ISNA(MATCH($G1070,Lists!$B$2:$B$7,0)),"✖ المجموعة غير صحيحة",IF(NOT(OR($H1070="",$N1070&gt;0)),"✖ Start غير صحيح",IF(NOT(OR($I1070="",$I1070="NR",$O1070&gt;0)),"✖ Current غير صحيح",IF(NOT(IF(ISNUMBER($J1070),AND($J1070&gt;=0,$J1070=INT($J1070)),FALSE())),"✖ العدد يجب أن يكون صحيحًا ≥ 0",IF(AND($F1070="Baseline",$H1070&lt;&gt;""),"⚠ Baseline: Start لا يدخل في التقدم",IF($K1070="No Start (attainment only)","ℹ تحصيل فقط (بدون Start)",IF($K1070="U – needs rule","ℹ حالة U تحتاج قاعدة معتمدة",IF($K1070="No result","ℹ بدون نتيجة (يُستبعد من التحصيل)","OK")))))))))))</f>
        <v/>
      </c>
      <c r="M1070" s="64" t="n">
        <f aca="false">IF($A1070="",0,IFERROR(MATCH($A1070,Classes!$A$6:$A$420,0),0))</f>
        <v>0</v>
      </c>
      <c r="N1070" s="64" t="n">
        <f aca="false">IF($H1070="",0,IFERROR(MATCH($H1070,GradeList,0),0))</f>
        <v>0</v>
      </c>
      <c r="O1070" s="64" t="n">
        <f aca="false">IF(OR($I1070="",$I1070="NR"),0,IFERROR(MATCH($I1070,GradeList,0),0))</f>
        <v>0</v>
      </c>
      <c r="P1070" s="64" t="n">
        <f aca="false">IF(AND($M1070&gt;0,ISNUMBER(MATCH($F1070,Lists!$A$2:$A$5,0)),ISNUMBER(MATCH($G1070,Lists!$B$2:$B$7,0)),OR($H1070="",$N1070&gt;0),OR($I1070="",$I1070="NR",$O1070&gt;0),IF(ISNUMBER($J1070),AND($J1070&gt;=0,$J1070=INT($J1070)),FALSE())),$J1070,0)</f>
        <v>0</v>
      </c>
      <c r="Q1070" s="64" t="n">
        <f aca="false">IF(AND($P1070&gt;0,$O1070&gt;0),$P1070,0)</f>
        <v>0</v>
      </c>
      <c r="R1070" s="64" t="n">
        <f aca="false">IF(AND($Q1070&gt;0,$O1070&gt;=AtRank),$Q1070,0)</f>
        <v>0</v>
      </c>
      <c r="S1070" s="64" t="n">
        <f aca="false">IF(AND($Q1070&gt;0,$O1070&gt;=AboveRank),$Q1070,0)</f>
        <v>0</v>
      </c>
      <c r="T1070" s="64" t="n">
        <f aca="false">IF($K1070="Less",$P1070,0)</f>
        <v>0</v>
      </c>
      <c r="U1070" s="64" t="n">
        <f aca="false">IF($K1070="Expected",$P1070,0)</f>
        <v>0</v>
      </c>
      <c r="V1070" s="64" t="n">
        <f aca="false">IF($K1070="Better",$P1070,0)</f>
        <v>0</v>
      </c>
      <c r="W1070" s="64" t="n">
        <f aca="false">IF($K1070="U – needs rule",$P1070,0)</f>
        <v>0</v>
      </c>
      <c r="X1070" s="64" t="n">
        <f aca="false">IF($K1070="No Start (attainment only)",$P1070,0)</f>
        <v>0</v>
      </c>
    </row>
    <row r="1071" customFormat="false" ht="15" hidden="false" customHeight="false" outlineLevel="0" collapsed="false">
      <c r="A1071" s="60"/>
      <c r="B1071" s="61" t="str">
        <f aca="false">IF($M1071=0,"",INDEX(Classes!$E$6:$E$420,$M1071))</f>
        <v/>
      </c>
      <c r="C1071" s="62" t="str">
        <f aca="false">IF($M1071=0,"",INDEX(Classes!$H$6:$H$420,$M1071))</f>
        <v/>
      </c>
      <c r="D1071" s="61" t="str">
        <f aca="false">IF($M1071=0,"",INDEX(Classes!$B$6:$B$420,$M1071))</f>
        <v/>
      </c>
      <c r="E1071" s="61" t="str">
        <f aca="false">IF($M1071=0,"",INDEX(Classes!$C$6:$C$420,$M1071))</f>
        <v/>
      </c>
      <c r="F1071" s="63"/>
      <c r="G1071" s="63"/>
      <c r="H1071" s="60"/>
      <c r="I1071" s="60"/>
      <c r="J1071" s="63"/>
      <c r="K1071" s="61" t="str">
        <f aca="false">IF($P1071=0,"",IF($F1071="Baseline","— Baseline",IF($O1071=0,"No result",IF($N1071=0,"No Start (attainment only)",IF(OR($N1071=1,$O1071=1),"U – needs rule",INDEX(MxBody,MATCH($I1071,MxCurr,0),MATCH($H1071,MxStart,0)))))))</f>
        <v/>
      </c>
      <c r="L1071" s="62" t="str">
        <f aca="false">IF(COUNTA($A1071,$F1071,$G1071,$H1071,$I1071,$J1071)=0,"",IF($M1071=0,"✖ كود الصف غير موجود",IF(ISNA(MATCH($F1071,Lists!$A$2:$A$5,0)),"✖ الفترة غير صحيحة",IF(ISNA(MATCH($G1071,Lists!$B$2:$B$7,0)),"✖ المجموعة غير صحيحة",IF(NOT(OR($H1071="",$N1071&gt;0)),"✖ Start غير صحيح",IF(NOT(OR($I1071="",$I1071="NR",$O1071&gt;0)),"✖ Current غير صحيح",IF(NOT(IF(ISNUMBER($J1071),AND($J1071&gt;=0,$J1071=INT($J1071)),FALSE())),"✖ العدد يجب أن يكون صحيحًا ≥ 0",IF(AND($F1071="Baseline",$H1071&lt;&gt;""),"⚠ Baseline: Start لا يدخل في التقدم",IF($K1071="No Start (attainment only)","ℹ تحصيل فقط (بدون Start)",IF($K1071="U – needs rule","ℹ حالة U تحتاج قاعدة معتمدة",IF($K1071="No result","ℹ بدون نتيجة (يُستبعد من التحصيل)","OK")))))))))))</f>
        <v/>
      </c>
      <c r="M1071" s="64" t="n">
        <f aca="false">IF($A1071="",0,IFERROR(MATCH($A1071,Classes!$A$6:$A$420,0),0))</f>
        <v>0</v>
      </c>
      <c r="N1071" s="64" t="n">
        <f aca="false">IF($H1071="",0,IFERROR(MATCH($H1071,GradeList,0),0))</f>
        <v>0</v>
      </c>
      <c r="O1071" s="64" t="n">
        <f aca="false">IF(OR($I1071="",$I1071="NR"),0,IFERROR(MATCH($I1071,GradeList,0),0))</f>
        <v>0</v>
      </c>
      <c r="P1071" s="64" t="n">
        <f aca="false">IF(AND($M1071&gt;0,ISNUMBER(MATCH($F1071,Lists!$A$2:$A$5,0)),ISNUMBER(MATCH($G1071,Lists!$B$2:$B$7,0)),OR($H1071="",$N1071&gt;0),OR($I1071="",$I1071="NR",$O1071&gt;0),IF(ISNUMBER($J1071),AND($J1071&gt;=0,$J1071=INT($J1071)),FALSE())),$J1071,0)</f>
        <v>0</v>
      </c>
      <c r="Q1071" s="64" t="n">
        <f aca="false">IF(AND($P1071&gt;0,$O1071&gt;0),$P1071,0)</f>
        <v>0</v>
      </c>
      <c r="R1071" s="64" t="n">
        <f aca="false">IF(AND($Q1071&gt;0,$O1071&gt;=AtRank),$Q1071,0)</f>
        <v>0</v>
      </c>
      <c r="S1071" s="64" t="n">
        <f aca="false">IF(AND($Q1071&gt;0,$O1071&gt;=AboveRank),$Q1071,0)</f>
        <v>0</v>
      </c>
      <c r="T1071" s="64" t="n">
        <f aca="false">IF($K1071="Less",$P1071,0)</f>
        <v>0</v>
      </c>
      <c r="U1071" s="64" t="n">
        <f aca="false">IF($K1071="Expected",$P1071,0)</f>
        <v>0</v>
      </c>
      <c r="V1071" s="64" t="n">
        <f aca="false">IF($K1071="Better",$P1071,0)</f>
        <v>0</v>
      </c>
      <c r="W1071" s="64" t="n">
        <f aca="false">IF($K1071="U – needs rule",$P1071,0)</f>
        <v>0</v>
      </c>
      <c r="X1071" s="64" t="n">
        <f aca="false">IF($K1071="No Start (attainment only)",$P1071,0)</f>
        <v>0</v>
      </c>
    </row>
    <row r="1072" customFormat="false" ht="15" hidden="false" customHeight="false" outlineLevel="0" collapsed="false">
      <c r="A1072" s="60"/>
      <c r="B1072" s="61" t="str">
        <f aca="false">IF($M1072=0,"",INDEX(Classes!$E$6:$E$420,$M1072))</f>
        <v/>
      </c>
      <c r="C1072" s="62" t="str">
        <f aca="false">IF($M1072=0,"",INDEX(Classes!$H$6:$H$420,$M1072))</f>
        <v/>
      </c>
      <c r="D1072" s="61" t="str">
        <f aca="false">IF($M1072=0,"",INDEX(Classes!$B$6:$B$420,$M1072))</f>
        <v/>
      </c>
      <c r="E1072" s="61" t="str">
        <f aca="false">IF($M1072=0,"",INDEX(Classes!$C$6:$C$420,$M1072))</f>
        <v/>
      </c>
      <c r="F1072" s="63"/>
      <c r="G1072" s="63"/>
      <c r="H1072" s="60"/>
      <c r="I1072" s="60"/>
      <c r="J1072" s="63"/>
      <c r="K1072" s="61" t="str">
        <f aca="false">IF($P1072=0,"",IF($F1072="Baseline","— Baseline",IF($O1072=0,"No result",IF($N1072=0,"No Start (attainment only)",IF(OR($N1072=1,$O1072=1),"U – needs rule",INDEX(MxBody,MATCH($I1072,MxCurr,0),MATCH($H1072,MxStart,0)))))))</f>
        <v/>
      </c>
      <c r="L1072" s="62" t="str">
        <f aca="false">IF(COUNTA($A1072,$F1072,$G1072,$H1072,$I1072,$J1072)=0,"",IF($M1072=0,"✖ كود الصف غير موجود",IF(ISNA(MATCH($F1072,Lists!$A$2:$A$5,0)),"✖ الفترة غير صحيحة",IF(ISNA(MATCH($G1072,Lists!$B$2:$B$7,0)),"✖ المجموعة غير صحيحة",IF(NOT(OR($H1072="",$N1072&gt;0)),"✖ Start غير صحيح",IF(NOT(OR($I1072="",$I1072="NR",$O1072&gt;0)),"✖ Current غير صحيح",IF(NOT(IF(ISNUMBER($J1072),AND($J1072&gt;=0,$J1072=INT($J1072)),FALSE())),"✖ العدد يجب أن يكون صحيحًا ≥ 0",IF(AND($F1072="Baseline",$H1072&lt;&gt;""),"⚠ Baseline: Start لا يدخل في التقدم",IF($K1072="No Start (attainment only)","ℹ تحصيل فقط (بدون Start)",IF($K1072="U – needs rule","ℹ حالة U تحتاج قاعدة معتمدة",IF($K1072="No result","ℹ بدون نتيجة (يُستبعد من التحصيل)","OK")))))))))))</f>
        <v/>
      </c>
      <c r="M1072" s="64" t="n">
        <f aca="false">IF($A1072="",0,IFERROR(MATCH($A1072,Classes!$A$6:$A$420,0),0))</f>
        <v>0</v>
      </c>
      <c r="N1072" s="64" t="n">
        <f aca="false">IF($H1072="",0,IFERROR(MATCH($H1072,GradeList,0),0))</f>
        <v>0</v>
      </c>
      <c r="O1072" s="64" t="n">
        <f aca="false">IF(OR($I1072="",$I1072="NR"),0,IFERROR(MATCH($I1072,GradeList,0),0))</f>
        <v>0</v>
      </c>
      <c r="P1072" s="64" t="n">
        <f aca="false">IF(AND($M1072&gt;0,ISNUMBER(MATCH($F1072,Lists!$A$2:$A$5,0)),ISNUMBER(MATCH($G1072,Lists!$B$2:$B$7,0)),OR($H1072="",$N1072&gt;0),OR($I1072="",$I1072="NR",$O1072&gt;0),IF(ISNUMBER($J1072),AND($J1072&gt;=0,$J1072=INT($J1072)),FALSE())),$J1072,0)</f>
        <v>0</v>
      </c>
      <c r="Q1072" s="64" t="n">
        <f aca="false">IF(AND($P1072&gt;0,$O1072&gt;0),$P1072,0)</f>
        <v>0</v>
      </c>
      <c r="R1072" s="64" t="n">
        <f aca="false">IF(AND($Q1072&gt;0,$O1072&gt;=AtRank),$Q1072,0)</f>
        <v>0</v>
      </c>
      <c r="S1072" s="64" t="n">
        <f aca="false">IF(AND($Q1072&gt;0,$O1072&gt;=AboveRank),$Q1072,0)</f>
        <v>0</v>
      </c>
      <c r="T1072" s="64" t="n">
        <f aca="false">IF($K1072="Less",$P1072,0)</f>
        <v>0</v>
      </c>
      <c r="U1072" s="64" t="n">
        <f aca="false">IF($K1072="Expected",$P1072,0)</f>
        <v>0</v>
      </c>
      <c r="V1072" s="64" t="n">
        <f aca="false">IF($K1072="Better",$P1072,0)</f>
        <v>0</v>
      </c>
      <c r="W1072" s="64" t="n">
        <f aca="false">IF($K1072="U – needs rule",$P1072,0)</f>
        <v>0</v>
      </c>
      <c r="X1072" s="64" t="n">
        <f aca="false">IF($K1072="No Start (attainment only)",$P1072,0)</f>
        <v>0</v>
      </c>
    </row>
    <row r="1073" customFormat="false" ht="15" hidden="false" customHeight="false" outlineLevel="0" collapsed="false">
      <c r="A1073" s="60"/>
      <c r="B1073" s="61" t="str">
        <f aca="false">IF($M1073=0,"",INDEX(Classes!$E$6:$E$420,$M1073))</f>
        <v/>
      </c>
      <c r="C1073" s="62" t="str">
        <f aca="false">IF($M1073=0,"",INDEX(Classes!$H$6:$H$420,$M1073))</f>
        <v/>
      </c>
      <c r="D1073" s="61" t="str">
        <f aca="false">IF($M1073=0,"",INDEX(Classes!$B$6:$B$420,$M1073))</f>
        <v/>
      </c>
      <c r="E1073" s="61" t="str">
        <f aca="false">IF($M1073=0,"",INDEX(Classes!$C$6:$C$420,$M1073))</f>
        <v/>
      </c>
      <c r="F1073" s="63"/>
      <c r="G1073" s="63"/>
      <c r="H1073" s="60"/>
      <c r="I1073" s="60"/>
      <c r="J1073" s="63"/>
      <c r="K1073" s="61" t="str">
        <f aca="false">IF($P1073=0,"",IF($F1073="Baseline","— Baseline",IF($O1073=0,"No result",IF($N1073=0,"No Start (attainment only)",IF(OR($N1073=1,$O1073=1),"U – needs rule",INDEX(MxBody,MATCH($I1073,MxCurr,0),MATCH($H1073,MxStart,0)))))))</f>
        <v/>
      </c>
      <c r="L1073" s="62" t="str">
        <f aca="false">IF(COUNTA($A1073,$F1073,$G1073,$H1073,$I1073,$J1073)=0,"",IF($M1073=0,"✖ كود الصف غير موجود",IF(ISNA(MATCH($F1073,Lists!$A$2:$A$5,0)),"✖ الفترة غير صحيحة",IF(ISNA(MATCH($G1073,Lists!$B$2:$B$7,0)),"✖ المجموعة غير صحيحة",IF(NOT(OR($H1073="",$N1073&gt;0)),"✖ Start غير صحيح",IF(NOT(OR($I1073="",$I1073="NR",$O1073&gt;0)),"✖ Current غير صحيح",IF(NOT(IF(ISNUMBER($J1073),AND($J1073&gt;=0,$J1073=INT($J1073)),FALSE())),"✖ العدد يجب أن يكون صحيحًا ≥ 0",IF(AND($F1073="Baseline",$H1073&lt;&gt;""),"⚠ Baseline: Start لا يدخل في التقدم",IF($K1073="No Start (attainment only)","ℹ تحصيل فقط (بدون Start)",IF($K1073="U – needs rule","ℹ حالة U تحتاج قاعدة معتمدة",IF($K1073="No result","ℹ بدون نتيجة (يُستبعد من التحصيل)","OK")))))))))))</f>
        <v/>
      </c>
      <c r="M1073" s="64" t="n">
        <f aca="false">IF($A1073="",0,IFERROR(MATCH($A1073,Classes!$A$6:$A$420,0),0))</f>
        <v>0</v>
      </c>
      <c r="N1073" s="64" t="n">
        <f aca="false">IF($H1073="",0,IFERROR(MATCH($H1073,GradeList,0),0))</f>
        <v>0</v>
      </c>
      <c r="O1073" s="64" t="n">
        <f aca="false">IF(OR($I1073="",$I1073="NR"),0,IFERROR(MATCH($I1073,GradeList,0),0))</f>
        <v>0</v>
      </c>
      <c r="P1073" s="64" t="n">
        <f aca="false">IF(AND($M1073&gt;0,ISNUMBER(MATCH($F1073,Lists!$A$2:$A$5,0)),ISNUMBER(MATCH($G1073,Lists!$B$2:$B$7,0)),OR($H1073="",$N1073&gt;0),OR($I1073="",$I1073="NR",$O1073&gt;0),IF(ISNUMBER($J1073),AND($J1073&gt;=0,$J1073=INT($J1073)),FALSE())),$J1073,0)</f>
        <v>0</v>
      </c>
      <c r="Q1073" s="64" t="n">
        <f aca="false">IF(AND($P1073&gt;0,$O1073&gt;0),$P1073,0)</f>
        <v>0</v>
      </c>
      <c r="R1073" s="64" t="n">
        <f aca="false">IF(AND($Q1073&gt;0,$O1073&gt;=AtRank),$Q1073,0)</f>
        <v>0</v>
      </c>
      <c r="S1073" s="64" t="n">
        <f aca="false">IF(AND($Q1073&gt;0,$O1073&gt;=AboveRank),$Q1073,0)</f>
        <v>0</v>
      </c>
      <c r="T1073" s="64" t="n">
        <f aca="false">IF($K1073="Less",$P1073,0)</f>
        <v>0</v>
      </c>
      <c r="U1073" s="64" t="n">
        <f aca="false">IF($K1073="Expected",$P1073,0)</f>
        <v>0</v>
      </c>
      <c r="V1073" s="64" t="n">
        <f aca="false">IF($K1073="Better",$P1073,0)</f>
        <v>0</v>
      </c>
      <c r="W1073" s="64" t="n">
        <f aca="false">IF($K1073="U – needs rule",$P1073,0)</f>
        <v>0</v>
      </c>
      <c r="X1073" s="64" t="n">
        <f aca="false">IF($K1073="No Start (attainment only)",$P1073,0)</f>
        <v>0</v>
      </c>
    </row>
    <row r="1074" customFormat="false" ht="15" hidden="false" customHeight="false" outlineLevel="0" collapsed="false">
      <c r="A1074" s="60"/>
      <c r="B1074" s="61" t="str">
        <f aca="false">IF($M1074=0,"",INDEX(Classes!$E$6:$E$420,$M1074))</f>
        <v/>
      </c>
      <c r="C1074" s="62" t="str">
        <f aca="false">IF($M1074=0,"",INDEX(Classes!$H$6:$H$420,$M1074))</f>
        <v/>
      </c>
      <c r="D1074" s="61" t="str">
        <f aca="false">IF($M1074=0,"",INDEX(Classes!$B$6:$B$420,$M1074))</f>
        <v/>
      </c>
      <c r="E1074" s="61" t="str">
        <f aca="false">IF($M1074=0,"",INDEX(Classes!$C$6:$C$420,$M1074))</f>
        <v/>
      </c>
      <c r="F1074" s="63"/>
      <c r="G1074" s="63"/>
      <c r="H1074" s="60"/>
      <c r="I1074" s="60"/>
      <c r="J1074" s="63"/>
      <c r="K1074" s="61" t="str">
        <f aca="false">IF($P1074=0,"",IF($F1074="Baseline","— Baseline",IF($O1074=0,"No result",IF($N1074=0,"No Start (attainment only)",IF(OR($N1074=1,$O1074=1),"U – needs rule",INDEX(MxBody,MATCH($I1074,MxCurr,0),MATCH($H1074,MxStart,0)))))))</f>
        <v/>
      </c>
      <c r="L1074" s="62" t="str">
        <f aca="false">IF(COUNTA($A1074,$F1074,$G1074,$H1074,$I1074,$J1074)=0,"",IF($M1074=0,"✖ كود الصف غير موجود",IF(ISNA(MATCH($F1074,Lists!$A$2:$A$5,0)),"✖ الفترة غير صحيحة",IF(ISNA(MATCH($G1074,Lists!$B$2:$B$7,0)),"✖ المجموعة غير صحيحة",IF(NOT(OR($H1074="",$N1074&gt;0)),"✖ Start غير صحيح",IF(NOT(OR($I1074="",$I1074="NR",$O1074&gt;0)),"✖ Current غير صحيح",IF(NOT(IF(ISNUMBER($J1074),AND($J1074&gt;=0,$J1074=INT($J1074)),FALSE())),"✖ العدد يجب أن يكون صحيحًا ≥ 0",IF(AND($F1074="Baseline",$H1074&lt;&gt;""),"⚠ Baseline: Start لا يدخل في التقدم",IF($K1074="No Start (attainment only)","ℹ تحصيل فقط (بدون Start)",IF($K1074="U – needs rule","ℹ حالة U تحتاج قاعدة معتمدة",IF($K1074="No result","ℹ بدون نتيجة (يُستبعد من التحصيل)","OK")))))))))))</f>
        <v/>
      </c>
      <c r="M1074" s="64" t="n">
        <f aca="false">IF($A1074="",0,IFERROR(MATCH($A1074,Classes!$A$6:$A$420,0),0))</f>
        <v>0</v>
      </c>
      <c r="N1074" s="64" t="n">
        <f aca="false">IF($H1074="",0,IFERROR(MATCH($H1074,GradeList,0),0))</f>
        <v>0</v>
      </c>
      <c r="O1074" s="64" t="n">
        <f aca="false">IF(OR($I1074="",$I1074="NR"),0,IFERROR(MATCH($I1074,GradeList,0),0))</f>
        <v>0</v>
      </c>
      <c r="P1074" s="64" t="n">
        <f aca="false">IF(AND($M1074&gt;0,ISNUMBER(MATCH($F1074,Lists!$A$2:$A$5,0)),ISNUMBER(MATCH($G1074,Lists!$B$2:$B$7,0)),OR($H1074="",$N1074&gt;0),OR($I1074="",$I1074="NR",$O1074&gt;0),IF(ISNUMBER($J1074),AND($J1074&gt;=0,$J1074=INT($J1074)),FALSE())),$J1074,0)</f>
        <v>0</v>
      </c>
      <c r="Q1074" s="64" t="n">
        <f aca="false">IF(AND($P1074&gt;0,$O1074&gt;0),$P1074,0)</f>
        <v>0</v>
      </c>
      <c r="R1074" s="64" t="n">
        <f aca="false">IF(AND($Q1074&gt;0,$O1074&gt;=AtRank),$Q1074,0)</f>
        <v>0</v>
      </c>
      <c r="S1074" s="64" t="n">
        <f aca="false">IF(AND($Q1074&gt;0,$O1074&gt;=AboveRank),$Q1074,0)</f>
        <v>0</v>
      </c>
      <c r="T1074" s="64" t="n">
        <f aca="false">IF($K1074="Less",$P1074,0)</f>
        <v>0</v>
      </c>
      <c r="U1074" s="64" t="n">
        <f aca="false">IF($K1074="Expected",$P1074,0)</f>
        <v>0</v>
      </c>
      <c r="V1074" s="64" t="n">
        <f aca="false">IF($K1074="Better",$P1074,0)</f>
        <v>0</v>
      </c>
      <c r="W1074" s="64" t="n">
        <f aca="false">IF($K1074="U – needs rule",$P1074,0)</f>
        <v>0</v>
      </c>
      <c r="X1074" s="64" t="n">
        <f aca="false">IF($K1074="No Start (attainment only)",$P1074,0)</f>
        <v>0</v>
      </c>
    </row>
    <row r="1075" customFormat="false" ht="15" hidden="false" customHeight="false" outlineLevel="0" collapsed="false">
      <c r="A1075" s="60"/>
      <c r="B1075" s="61" t="str">
        <f aca="false">IF($M1075=0,"",INDEX(Classes!$E$6:$E$420,$M1075))</f>
        <v/>
      </c>
      <c r="C1075" s="62" t="str">
        <f aca="false">IF($M1075=0,"",INDEX(Classes!$H$6:$H$420,$M1075))</f>
        <v/>
      </c>
      <c r="D1075" s="61" t="str">
        <f aca="false">IF($M1075=0,"",INDEX(Classes!$B$6:$B$420,$M1075))</f>
        <v/>
      </c>
      <c r="E1075" s="61" t="str">
        <f aca="false">IF($M1075=0,"",INDEX(Classes!$C$6:$C$420,$M1075))</f>
        <v/>
      </c>
      <c r="F1075" s="63"/>
      <c r="G1075" s="63"/>
      <c r="H1075" s="60"/>
      <c r="I1075" s="60"/>
      <c r="J1075" s="63"/>
      <c r="K1075" s="61" t="str">
        <f aca="false">IF($P1075=0,"",IF($F1075="Baseline","— Baseline",IF($O1075=0,"No result",IF($N1075=0,"No Start (attainment only)",IF(OR($N1075=1,$O1075=1),"U – needs rule",INDEX(MxBody,MATCH($I1075,MxCurr,0),MATCH($H1075,MxStart,0)))))))</f>
        <v/>
      </c>
      <c r="L1075" s="62" t="str">
        <f aca="false">IF(COUNTA($A1075,$F1075,$G1075,$H1075,$I1075,$J1075)=0,"",IF($M1075=0,"✖ كود الصف غير موجود",IF(ISNA(MATCH($F1075,Lists!$A$2:$A$5,0)),"✖ الفترة غير صحيحة",IF(ISNA(MATCH($G1075,Lists!$B$2:$B$7,0)),"✖ المجموعة غير صحيحة",IF(NOT(OR($H1075="",$N1075&gt;0)),"✖ Start غير صحيح",IF(NOT(OR($I1075="",$I1075="NR",$O1075&gt;0)),"✖ Current غير صحيح",IF(NOT(IF(ISNUMBER($J1075),AND($J1075&gt;=0,$J1075=INT($J1075)),FALSE())),"✖ العدد يجب أن يكون صحيحًا ≥ 0",IF(AND($F1075="Baseline",$H1075&lt;&gt;""),"⚠ Baseline: Start لا يدخل في التقدم",IF($K1075="No Start (attainment only)","ℹ تحصيل فقط (بدون Start)",IF($K1075="U – needs rule","ℹ حالة U تحتاج قاعدة معتمدة",IF($K1075="No result","ℹ بدون نتيجة (يُستبعد من التحصيل)","OK")))))))))))</f>
        <v/>
      </c>
      <c r="M1075" s="64" t="n">
        <f aca="false">IF($A1075="",0,IFERROR(MATCH($A1075,Classes!$A$6:$A$420,0),0))</f>
        <v>0</v>
      </c>
      <c r="N1075" s="64" t="n">
        <f aca="false">IF($H1075="",0,IFERROR(MATCH($H1075,GradeList,0),0))</f>
        <v>0</v>
      </c>
      <c r="O1075" s="64" t="n">
        <f aca="false">IF(OR($I1075="",$I1075="NR"),0,IFERROR(MATCH($I1075,GradeList,0),0))</f>
        <v>0</v>
      </c>
      <c r="P1075" s="64" t="n">
        <f aca="false">IF(AND($M1075&gt;0,ISNUMBER(MATCH($F1075,Lists!$A$2:$A$5,0)),ISNUMBER(MATCH($G1075,Lists!$B$2:$B$7,0)),OR($H1075="",$N1075&gt;0),OR($I1075="",$I1075="NR",$O1075&gt;0),IF(ISNUMBER($J1075),AND($J1075&gt;=0,$J1075=INT($J1075)),FALSE())),$J1075,0)</f>
        <v>0</v>
      </c>
      <c r="Q1075" s="64" t="n">
        <f aca="false">IF(AND($P1075&gt;0,$O1075&gt;0),$P1075,0)</f>
        <v>0</v>
      </c>
      <c r="R1075" s="64" t="n">
        <f aca="false">IF(AND($Q1075&gt;0,$O1075&gt;=AtRank),$Q1075,0)</f>
        <v>0</v>
      </c>
      <c r="S1075" s="64" t="n">
        <f aca="false">IF(AND($Q1075&gt;0,$O1075&gt;=AboveRank),$Q1075,0)</f>
        <v>0</v>
      </c>
      <c r="T1075" s="64" t="n">
        <f aca="false">IF($K1075="Less",$P1075,0)</f>
        <v>0</v>
      </c>
      <c r="U1075" s="64" t="n">
        <f aca="false">IF($K1075="Expected",$P1075,0)</f>
        <v>0</v>
      </c>
      <c r="V1075" s="64" t="n">
        <f aca="false">IF($K1075="Better",$P1075,0)</f>
        <v>0</v>
      </c>
      <c r="W1075" s="64" t="n">
        <f aca="false">IF($K1075="U – needs rule",$P1075,0)</f>
        <v>0</v>
      </c>
      <c r="X1075" s="64" t="n">
        <f aca="false">IF($K1075="No Start (attainment only)",$P1075,0)</f>
        <v>0</v>
      </c>
    </row>
    <row r="1076" customFormat="false" ht="15" hidden="false" customHeight="false" outlineLevel="0" collapsed="false">
      <c r="A1076" s="60"/>
      <c r="B1076" s="61" t="str">
        <f aca="false">IF($M1076=0,"",INDEX(Classes!$E$6:$E$420,$M1076))</f>
        <v/>
      </c>
      <c r="C1076" s="62" t="str">
        <f aca="false">IF($M1076=0,"",INDEX(Classes!$H$6:$H$420,$M1076))</f>
        <v/>
      </c>
      <c r="D1076" s="61" t="str">
        <f aca="false">IF($M1076=0,"",INDEX(Classes!$B$6:$B$420,$M1076))</f>
        <v/>
      </c>
      <c r="E1076" s="61" t="str">
        <f aca="false">IF($M1076=0,"",INDEX(Classes!$C$6:$C$420,$M1076))</f>
        <v/>
      </c>
      <c r="F1076" s="63"/>
      <c r="G1076" s="63"/>
      <c r="H1076" s="60"/>
      <c r="I1076" s="60"/>
      <c r="J1076" s="63"/>
      <c r="K1076" s="61" t="str">
        <f aca="false">IF($P1076=0,"",IF($F1076="Baseline","— Baseline",IF($O1076=0,"No result",IF($N1076=0,"No Start (attainment only)",IF(OR($N1076=1,$O1076=1),"U – needs rule",INDEX(MxBody,MATCH($I1076,MxCurr,0),MATCH($H1076,MxStart,0)))))))</f>
        <v/>
      </c>
      <c r="L1076" s="62" t="str">
        <f aca="false">IF(COUNTA($A1076,$F1076,$G1076,$H1076,$I1076,$J1076)=0,"",IF($M1076=0,"✖ كود الصف غير موجود",IF(ISNA(MATCH($F1076,Lists!$A$2:$A$5,0)),"✖ الفترة غير صحيحة",IF(ISNA(MATCH($G1076,Lists!$B$2:$B$7,0)),"✖ المجموعة غير صحيحة",IF(NOT(OR($H1076="",$N1076&gt;0)),"✖ Start غير صحيح",IF(NOT(OR($I1076="",$I1076="NR",$O1076&gt;0)),"✖ Current غير صحيح",IF(NOT(IF(ISNUMBER($J1076),AND($J1076&gt;=0,$J1076=INT($J1076)),FALSE())),"✖ العدد يجب أن يكون صحيحًا ≥ 0",IF(AND($F1076="Baseline",$H1076&lt;&gt;""),"⚠ Baseline: Start لا يدخل في التقدم",IF($K1076="No Start (attainment only)","ℹ تحصيل فقط (بدون Start)",IF($K1076="U – needs rule","ℹ حالة U تحتاج قاعدة معتمدة",IF($K1076="No result","ℹ بدون نتيجة (يُستبعد من التحصيل)","OK")))))))))))</f>
        <v/>
      </c>
      <c r="M1076" s="64" t="n">
        <f aca="false">IF($A1076="",0,IFERROR(MATCH($A1076,Classes!$A$6:$A$420,0),0))</f>
        <v>0</v>
      </c>
      <c r="N1076" s="64" t="n">
        <f aca="false">IF($H1076="",0,IFERROR(MATCH($H1076,GradeList,0),0))</f>
        <v>0</v>
      </c>
      <c r="O1076" s="64" t="n">
        <f aca="false">IF(OR($I1076="",$I1076="NR"),0,IFERROR(MATCH($I1076,GradeList,0),0))</f>
        <v>0</v>
      </c>
      <c r="P1076" s="64" t="n">
        <f aca="false">IF(AND($M1076&gt;0,ISNUMBER(MATCH($F1076,Lists!$A$2:$A$5,0)),ISNUMBER(MATCH($G1076,Lists!$B$2:$B$7,0)),OR($H1076="",$N1076&gt;0),OR($I1076="",$I1076="NR",$O1076&gt;0),IF(ISNUMBER($J1076),AND($J1076&gt;=0,$J1076=INT($J1076)),FALSE())),$J1076,0)</f>
        <v>0</v>
      </c>
      <c r="Q1076" s="64" t="n">
        <f aca="false">IF(AND($P1076&gt;0,$O1076&gt;0),$P1076,0)</f>
        <v>0</v>
      </c>
      <c r="R1076" s="64" t="n">
        <f aca="false">IF(AND($Q1076&gt;0,$O1076&gt;=AtRank),$Q1076,0)</f>
        <v>0</v>
      </c>
      <c r="S1076" s="64" t="n">
        <f aca="false">IF(AND($Q1076&gt;0,$O1076&gt;=AboveRank),$Q1076,0)</f>
        <v>0</v>
      </c>
      <c r="T1076" s="64" t="n">
        <f aca="false">IF($K1076="Less",$P1076,0)</f>
        <v>0</v>
      </c>
      <c r="U1076" s="64" t="n">
        <f aca="false">IF($K1076="Expected",$P1076,0)</f>
        <v>0</v>
      </c>
      <c r="V1076" s="64" t="n">
        <f aca="false">IF($K1076="Better",$P1076,0)</f>
        <v>0</v>
      </c>
      <c r="W1076" s="64" t="n">
        <f aca="false">IF($K1076="U – needs rule",$P1076,0)</f>
        <v>0</v>
      </c>
      <c r="X1076" s="64" t="n">
        <f aca="false">IF($K1076="No Start (attainment only)",$P1076,0)</f>
        <v>0</v>
      </c>
    </row>
    <row r="1077" customFormat="false" ht="15" hidden="false" customHeight="false" outlineLevel="0" collapsed="false">
      <c r="A1077" s="60"/>
      <c r="B1077" s="61" t="str">
        <f aca="false">IF($M1077=0,"",INDEX(Classes!$E$6:$E$420,$M1077))</f>
        <v/>
      </c>
      <c r="C1077" s="62" t="str">
        <f aca="false">IF($M1077=0,"",INDEX(Classes!$H$6:$H$420,$M1077))</f>
        <v/>
      </c>
      <c r="D1077" s="61" t="str">
        <f aca="false">IF($M1077=0,"",INDEX(Classes!$B$6:$B$420,$M1077))</f>
        <v/>
      </c>
      <c r="E1077" s="61" t="str">
        <f aca="false">IF($M1077=0,"",INDEX(Classes!$C$6:$C$420,$M1077))</f>
        <v/>
      </c>
      <c r="F1077" s="63"/>
      <c r="G1077" s="63"/>
      <c r="H1077" s="60"/>
      <c r="I1077" s="60"/>
      <c r="J1077" s="63"/>
      <c r="K1077" s="61" t="str">
        <f aca="false">IF($P1077=0,"",IF($F1077="Baseline","— Baseline",IF($O1077=0,"No result",IF($N1077=0,"No Start (attainment only)",IF(OR($N1077=1,$O1077=1),"U – needs rule",INDEX(MxBody,MATCH($I1077,MxCurr,0),MATCH($H1077,MxStart,0)))))))</f>
        <v/>
      </c>
      <c r="L1077" s="62" t="str">
        <f aca="false">IF(COUNTA($A1077,$F1077,$G1077,$H1077,$I1077,$J1077)=0,"",IF($M1077=0,"✖ كود الصف غير موجود",IF(ISNA(MATCH($F1077,Lists!$A$2:$A$5,0)),"✖ الفترة غير صحيحة",IF(ISNA(MATCH($G1077,Lists!$B$2:$B$7,0)),"✖ المجموعة غير صحيحة",IF(NOT(OR($H1077="",$N1077&gt;0)),"✖ Start غير صحيح",IF(NOT(OR($I1077="",$I1077="NR",$O1077&gt;0)),"✖ Current غير صحيح",IF(NOT(IF(ISNUMBER($J1077),AND($J1077&gt;=0,$J1077=INT($J1077)),FALSE())),"✖ العدد يجب أن يكون صحيحًا ≥ 0",IF(AND($F1077="Baseline",$H1077&lt;&gt;""),"⚠ Baseline: Start لا يدخل في التقدم",IF($K1077="No Start (attainment only)","ℹ تحصيل فقط (بدون Start)",IF($K1077="U – needs rule","ℹ حالة U تحتاج قاعدة معتمدة",IF($K1077="No result","ℹ بدون نتيجة (يُستبعد من التحصيل)","OK")))))))))))</f>
        <v/>
      </c>
      <c r="M1077" s="64" t="n">
        <f aca="false">IF($A1077="",0,IFERROR(MATCH($A1077,Classes!$A$6:$A$420,0),0))</f>
        <v>0</v>
      </c>
      <c r="N1077" s="64" t="n">
        <f aca="false">IF($H1077="",0,IFERROR(MATCH($H1077,GradeList,0),0))</f>
        <v>0</v>
      </c>
      <c r="O1077" s="64" t="n">
        <f aca="false">IF(OR($I1077="",$I1077="NR"),0,IFERROR(MATCH($I1077,GradeList,0),0))</f>
        <v>0</v>
      </c>
      <c r="P1077" s="64" t="n">
        <f aca="false">IF(AND($M1077&gt;0,ISNUMBER(MATCH($F1077,Lists!$A$2:$A$5,0)),ISNUMBER(MATCH($G1077,Lists!$B$2:$B$7,0)),OR($H1077="",$N1077&gt;0),OR($I1077="",$I1077="NR",$O1077&gt;0),IF(ISNUMBER($J1077),AND($J1077&gt;=0,$J1077=INT($J1077)),FALSE())),$J1077,0)</f>
        <v>0</v>
      </c>
      <c r="Q1077" s="64" t="n">
        <f aca="false">IF(AND($P1077&gt;0,$O1077&gt;0),$P1077,0)</f>
        <v>0</v>
      </c>
      <c r="R1077" s="64" t="n">
        <f aca="false">IF(AND($Q1077&gt;0,$O1077&gt;=AtRank),$Q1077,0)</f>
        <v>0</v>
      </c>
      <c r="S1077" s="64" t="n">
        <f aca="false">IF(AND($Q1077&gt;0,$O1077&gt;=AboveRank),$Q1077,0)</f>
        <v>0</v>
      </c>
      <c r="T1077" s="64" t="n">
        <f aca="false">IF($K1077="Less",$P1077,0)</f>
        <v>0</v>
      </c>
      <c r="U1077" s="64" t="n">
        <f aca="false">IF($K1077="Expected",$P1077,0)</f>
        <v>0</v>
      </c>
      <c r="V1077" s="64" t="n">
        <f aca="false">IF($K1077="Better",$P1077,0)</f>
        <v>0</v>
      </c>
      <c r="W1077" s="64" t="n">
        <f aca="false">IF($K1077="U – needs rule",$P1077,0)</f>
        <v>0</v>
      </c>
      <c r="X1077" s="64" t="n">
        <f aca="false">IF($K1077="No Start (attainment only)",$P1077,0)</f>
        <v>0</v>
      </c>
    </row>
    <row r="1078" customFormat="false" ht="15" hidden="false" customHeight="false" outlineLevel="0" collapsed="false">
      <c r="A1078" s="60"/>
      <c r="B1078" s="61" t="str">
        <f aca="false">IF($M1078=0,"",INDEX(Classes!$E$6:$E$420,$M1078))</f>
        <v/>
      </c>
      <c r="C1078" s="62" t="str">
        <f aca="false">IF($M1078=0,"",INDEX(Classes!$H$6:$H$420,$M1078))</f>
        <v/>
      </c>
      <c r="D1078" s="61" t="str">
        <f aca="false">IF($M1078=0,"",INDEX(Classes!$B$6:$B$420,$M1078))</f>
        <v/>
      </c>
      <c r="E1078" s="61" t="str">
        <f aca="false">IF($M1078=0,"",INDEX(Classes!$C$6:$C$420,$M1078))</f>
        <v/>
      </c>
      <c r="F1078" s="63"/>
      <c r="G1078" s="63"/>
      <c r="H1078" s="60"/>
      <c r="I1078" s="60"/>
      <c r="J1078" s="63"/>
      <c r="K1078" s="61" t="str">
        <f aca="false">IF($P1078=0,"",IF($F1078="Baseline","— Baseline",IF($O1078=0,"No result",IF($N1078=0,"No Start (attainment only)",IF(OR($N1078=1,$O1078=1),"U – needs rule",INDEX(MxBody,MATCH($I1078,MxCurr,0),MATCH($H1078,MxStart,0)))))))</f>
        <v/>
      </c>
      <c r="L1078" s="62" t="str">
        <f aca="false">IF(COUNTA($A1078,$F1078,$G1078,$H1078,$I1078,$J1078)=0,"",IF($M1078=0,"✖ كود الصف غير موجود",IF(ISNA(MATCH($F1078,Lists!$A$2:$A$5,0)),"✖ الفترة غير صحيحة",IF(ISNA(MATCH($G1078,Lists!$B$2:$B$7,0)),"✖ المجموعة غير صحيحة",IF(NOT(OR($H1078="",$N1078&gt;0)),"✖ Start غير صحيح",IF(NOT(OR($I1078="",$I1078="NR",$O1078&gt;0)),"✖ Current غير صحيح",IF(NOT(IF(ISNUMBER($J1078),AND($J1078&gt;=0,$J1078=INT($J1078)),FALSE())),"✖ العدد يجب أن يكون صحيحًا ≥ 0",IF(AND($F1078="Baseline",$H1078&lt;&gt;""),"⚠ Baseline: Start لا يدخل في التقدم",IF($K1078="No Start (attainment only)","ℹ تحصيل فقط (بدون Start)",IF($K1078="U – needs rule","ℹ حالة U تحتاج قاعدة معتمدة",IF($K1078="No result","ℹ بدون نتيجة (يُستبعد من التحصيل)","OK")))))))))))</f>
        <v/>
      </c>
      <c r="M1078" s="64" t="n">
        <f aca="false">IF($A1078="",0,IFERROR(MATCH($A1078,Classes!$A$6:$A$420,0),0))</f>
        <v>0</v>
      </c>
      <c r="N1078" s="64" t="n">
        <f aca="false">IF($H1078="",0,IFERROR(MATCH($H1078,GradeList,0),0))</f>
        <v>0</v>
      </c>
      <c r="O1078" s="64" t="n">
        <f aca="false">IF(OR($I1078="",$I1078="NR"),0,IFERROR(MATCH($I1078,GradeList,0),0))</f>
        <v>0</v>
      </c>
      <c r="P1078" s="64" t="n">
        <f aca="false">IF(AND($M1078&gt;0,ISNUMBER(MATCH($F1078,Lists!$A$2:$A$5,0)),ISNUMBER(MATCH($G1078,Lists!$B$2:$B$7,0)),OR($H1078="",$N1078&gt;0),OR($I1078="",$I1078="NR",$O1078&gt;0),IF(ISNUMBER($J1078),AND($J1078&gt;=0,$J1078=INT($J1078)),FALSE())),$J1078,0)</f>
        <v>0</v>
      </c>
      <c r="Q1078" s="64" t="n">
        <f aca="false">IF(AND($P1078&gt;0,$O1078&gt;0),$P1078,0)</f>
        <v>0</v>
      </c>
      <c r="R1078" s="64" t="n">
        <f aca="false">IF(AND($Q1078&gt;0,$O1078&gt;=AtRank),$Q1078,0)</f>
        <v>0</v>
      </c>
      <c r="S1078" s="64" t="n">
        <f aca="false">IF(AND($Q1078&gt;0,$O1078&gt;=AboveRank),$Q1078,0)</f>
        <v>0</v>
      </c>
      <c r="T1078" s="64" t="n">
        <f aca="false">IF($K1078="Less",$P1078,0)</f>
        <v>0</v>
      </c>
      <c r="U1078" s="64" t="n">
        <f aca="false">IF($K1078="Expected",$P1078,0)</f>
        <v>0</v>
      </c>
      <c r="V1078" s="64" t="n">
        <f aca="false">IF($K1078="Better",$P1078,0)</f>
        <v>0</v>
      </c>
      <c r="W1078" s="64" t="n">
        <f aca="false">IF($K1078="U – needs rule",$P1078,0)</f>
        <v>0</v>
      </c>
      <c r="X1078" s="64" t="n">
        <f aca="false">IF($K1078="No Start (attainment only)",$P1078,0)</f>
        <v>0</v>
      </c>
    </row>
    <row r="1079" customFormat="false" ht="15" hidden="false" customHeight="false" outlineLevel="0" collapsed="false">
      <c r="A1079" s="60"/>
      <c r="B1079" s="61" t="str">
        <f aca="false">IF($M1079=0,"",INDEX(Classes!$E$6:$E$420,$M1079))</f>
        <v/>
      </c>
      <c r="C1079" s="62" t="str">
        <f aca="false">IF($M1079=0,"",INDEX(Classes!$H$6:$H$420,$M1079))</f>
        <v/>
      </c>
      <c r="D1079" s="61" t="str">
        <f aca="false">IF($M1079=0,"",INDEX(Classes!$B$6:$B$420,$M1079))</f>
        <v/>
      </c>
      <c r="E1079" s="61" t="str">
        <f aca="false">IF($M1079=0,"",INDEX(Classes!$C$6:$C$420,$M1079))</f>
        <v/>
      </c>
      <c r="F1079" s="63"/>
      <c r="G1079" s="63"/>
      <c r="H1079" s="60"/>
      <c r="I1079" s="60"/>
      <c r="J1079" s="63"/>
      <c r="K1079" s="61" t="str">
        <f aca="false">IF($P1079=0,"",IF($F1079="Baseline","— Baseline",IF($O1079=0,"No result",IF($N1079=0,"No Start (attainment only)",IF(OR($N1079=1,$O1079=1),"U – needs rule",INDEX(MxBody,MATCH($I1079,MxCurr,0),MATCH($H1079,MxStart,0)))))))</f>
        <v/>
      </c>
      <c r="L1079" s="62" t="str">
        <f aca="false">IF(COUNTA($A1079,$F1079,$G1079,$H1079,$I1079,$J1079)=0,"",IF($M1079=0,"✖ كود الصف غير موجود",IF(ISNA(MATCH($F1079,Lists!$A$2:$A$5,0)),"✖ الفترة غير صحيحة",IF(ISNA(MATCH($G1079,Lists!$B$2:$B$7,0)),"✖ المجموعة غير صحيحة",IF(NOT(OR($H1079="",$N1079&gt;0)),"✖ Start غير صحيح",IF(NOT(OR($I1079="",$I1079="NR",$O1079&gt;0)),"✖ Current غير صحيح",IF(NOT(IF(ISNUMBER($J1079),AND($J1079&gt;=0,$J1079=INT($J1079)),FALSE())),"✖ العدد يجب أن يكون صحيحًا ≥ 0",IF(AND($F1079="Baseline",$H1079&lt;&gt;""),"⚠ Baseline: Start لا يدخل في التقدم",IF($K1079="No Start (attainment only)","ℹ تحصيل فقط (بدون Start)",IF($K1079="U – needs rule","ℹ حالة U تحتاج قاعدة معتمدة",IF($K1079="No result","ℹ بدون نتيجة (يُستبعد من التحصيل)","OK")))))))))))</f>
        <v/>
      </c>
      <c r="M1079" s="64" t="n">
        <f aca="false">IF($A1079="",0,IFERROR(MATCH($A1079,Classes!$A$6:$A$420,0),0))</f>
        <v>0</v>
      </c>
      <c r="N1079" s="64" t="n">
        <f aca="false">IF($H1079="",0,IFERROR(MATCH($H1079,GradeList,0),0))</f>
        <v>0</v>
      </c>
      <c r="O1079" s="64" t="n">
        <f aca="false">IF(OR($I1079="",$I1079="NR"),0,IFERROR(MATCH($I1079,GradeList,0),0))</f>
        <v>0</v>
      </c>
      <c r="P1079" s="64" t="n">
        <f aca="false">IF(AND($M1079&gt;0,ISNUMBER(MATCH($F1079,Lists!$A$2:$A$5,0)),ISNUMBER(MATCH($G1079,Lists!$B$2:$B$7,0)),OR($H1079="",$N1079&gt;0),OR($I1079="",$I1079="NR",$O1079&gt;0),IF(ISNUMBER($J1079),AND($J1079&gt;=0,$J1079=INT($J1079)),FALSE())),$J1079,0)</f>
        <v>0</v>
      </c>
      <c r="Q1079" s="64" t="n">
        <f aca="false">IF(AND($P1079&gt;0,$O1079&gt;0),$P1079,0)</f>
        <v>0</v>
      </c>
      <c r="R1079" s="64" t="n">
        <f aca="false">IF(AND($Q1079&gt;0,$O1079&gt;=AtRank),$Q1079,0)</f>
        <v>0</v>
      </c>
      <c r="S1079" s="64" t="n">
        <f aca="false">IF(AND($Q1079&gt;0,$O1079&gt;=AboveRank),$Q1079,0)</f>
        <v>0</v>
      </c>
      <c r="T1079" s="64" t="n">
        <f aca="false">IF($K1079="Less",$P1079,0)</f>
        <v>0</v>
      </c>
      <c r="U1079" s="64" t="n">
        <f aca="false">IF($K1079="Expected",$P1079,0)</f>
        <v>0</v>
      </c>
      <c r="V1079" s="64" t="n">
        <f aca="false">IF($K1079="Better",$P1079,0)</f>
        <v>0</v>
      </c>
      <c r="W1079" s="64" t="n">
        <f aca="false">IF($K1079="U – needs rule",$P1079,0)</f>
        <v>0</v>
      </c>
      <c r="X1079" s="64" t="n">
        <f aca="false">IF($K1079="No Start (attainment only)",$P1079,0)</f>
        <v>0</v>
      </c>
    </row>
    <row r="1080" customFormat="false" ht="15" hidden="false" customHeight="false" outlineLevel="0" collapsed="false">
      <c r="A1080" s="60"/>
      <c r="B1080" s="61" t="str">
        <f aca="false">IF($M1080=0,"",INDEX(Classes!$E$6:$E$420,$M1080))</f>
        <v/>
      </c>
      <c r="C1080" s="62" t="str">
        <f aca="false">IF($M1080=0,"",INDEX(Classes!$H$6:$H$420,$M1080))</f>
        <v/>
      </c>
      <c r="D1080" s="61" t="str">
        <f aca="false">IF($M1080=0,"",INDEX(Classes!$B$6:$B$420,$M1080))</f>
        <v/>
      </c>
      <c r="E1080" s="61" t="str">
        <f aca="false">IF($M1080=0,"",INDEX(Classes!$C$6:$C$420,$M1080))</f>
        <v/>
      </c>
      <c r="F1080" s="63"/>
      <c r="G1080" s="63"/>
      <c r="H1080" s="60"/>
      <c r="I1080" s="60"/>
      <c r="J1080" s="63"/>
      <c r="K1080" s="61" t="str">
        <f aca="false">IF($P1080=0,"",IF($F1080="Baseline","— Baseline",IF($O1080=0,"No result",IF($N1080=0,"No Start (attainment only)",IF(OR($N1080=1,$O1080=1),"U – needs rule",INDEX(MxBody,MATCH($I1080,MxCurr,0),MATCH($H1080,MxStart,0)))))))</f>
        <v/>
      </c>
      <c r="L1080" s="62" t="str">
        <f aca="false">IF(COUNTA($A1080,$F1080,$G1080,$H1080,$I1080,$J1080)=0,"",IF($M1080=0,"✖ كود الصف غير موجود",IF(ISNA(MATCH($F1080,Lists!$A$2:$A$5,0)),"✖ الفترة غير صحيحة",IF(ISNA(MATCH($G1080,Lists!$B$2:$B$7,0)),"✖ المجموعة غير صحيحة",IF(NOT(OR($H1080="",$N1080&gt;0)),"✖ Start غير صحيح",IF(NOT(OR($I1080="",$I1080="NR",$O1080&gt;0)),"✖ Current غير صحيح",IF(NOT(IF(ISNUMBER($J1080),AND($J1080&gt;=0,$J1080=INT($J1080)),FALSE())),"✖ العدد يجب أن يكون صحيحًا ≥ 0",IF(AND($F1080="Baseline",$H1080&lt;&gt;""),"⚠ Baseline: Start لا يدخل في التقدم",IF($K1080="No Start (attainment only)","ℹ تحصيل فقط (بدون Start)",IF($K1080="U – needs rule","ℹ حالة U تحتاج قاعدة معتمدة",IF($K1080="No result","ℹ بدون نتيجة (يُستبعد من التحصيل)","OK")))))))))))</f>
        <v/>
      </c>
      <c r="M1080" s="64" t="n">
        <f aca="false">IF($A1080="",0,IFERROR(MATCH($A1080,Classes!$A$6:$A$420,0),0))</f>
        <v>0</v>
      </c>
      <c r="N1080" s="64" t="n">
        <f aca="false">IF($H1080="",0,IFERROR(MATCH($H1080,GradeList,0),0))</f>
        <v>0</v>
      </c>
      <c r="O1080" s="64" t="n">
        <f aca="false">IF(OR($I1080="",$I1080="NR"),0,IFERROR(MATCH($I1080,GradeList,0),0))</f>
        <v>0</v>
      </c>
      <c r="P1080" s="64" t="n">
        <f aca="false">IF(AND($M1080&gt;0,ISNUMBER(MATCH($F1080,Lists!$A$2:$A$5,0)),ISNUMBER(MATCH($G1080,Lists!$B$2:$B$7,0)),OR($H1080="",$N1080&gt;0),OR($I1080="",$I1080="NR",$O1080&gt;0),IF(ISNUMBER($J1080),AND($J1080&gt;=0,$J1080=INT($J1080)),FALSE())),$J1080,0)</f>
        <v>0</v>
      </c>
      <c r="Q1080" s="64" t="n">
        <f aca="false">IF(AND($P1080&gt;0,$O1080&gt;0),$P1080,0)</f>
        <v>0</v>
      </c>
      <c r="R1080" s="64" t="n">
        <f aca="false">IF(AND($Q1080&gt;0,$O1080&gt;=AtRank),$Q1080,0)</f>
        <v>0</v>
      </c>
      <c r="S1080" s="64" t="n">
        <f aca="false">IF(AND($Q1080&gt;0,$O1080&gt;=AboveRank),$Q1080,0)</f>
        <v>0</v>
      </c>
      <c r="T1080" s="64" t="n">
        <f aca="false">IF($K1080="Less",$P1080,0)</f>
        <v>0</v>
      </c>
      <c r="U1080" s="64" t="n">
        <f aca="false">IF($K1080="Expected",$P1080,0)</f>
        <v>0</v>
      </c>
      <c r="V1080" s="64" t="n">
        <f aca="false">IF($K1080="Better",$P1080,0)</f>
        <v>0</v>
      </c>
      <c r="W1080" s="64" t="n">
        <f aca="false">IF($K1080="U – needs rule",$P1080,0)</f>
        <v>0</v>
      </c>
      <c r="X1080" s="64" t="n">
        <f aca="false">IF($K1080="No Start (attainment only)",$P1080,0)</f>
        <v>0</v>
      </c>
    </row>
    <row r="1081" customFormat="false" ht="15" hidden="false" customHeight="false" outlineLevel="0" collapsed="false">
      <c r="A1081" s="60"/>
      <c r="B1081" s="61" t="str">
        <f aca="false">IF($M1081=0,"",INDEX(Classes!$E$6:$E$420,$M1081))</f>
        <v/>
      </c>
      <c r="C1081" s="62" t="str">
        <f aca="false">IF($M1081=0,"",INDEX(Classes!$H$6:$H$420,$M1081))</f>
        <v/>
      </c>
      <c r="D1081" s="61" t="str">
        <f aca="false">IF($M1081=0,"",INDEX(Classes!$B$6:$B$420,$M1081))</f>
        <v/>
      </c>
      <c r="E1081" s="61" t="str">
        <f aca="false">IF($M1081=0,"",INDEX(Classes!$C$6:$C$420,$M1081))</f>
        <v/>
      </c>
      <c r="F1081" s="63"/>
      <c r="G1081" s="63"/>
      <c r="H1081" s="60"/>
      <c r="I1081" s="60"/>
      <c r="J1081" s="63"/>
      <c r="K1081" s="61" t="str">
        <f aca="false">IF($P1081=0,"",IF($F1081="Baseline","— Baseline",IF($O1081=0,"No result",IF($N1081=0,"No Start (attainment only)",IF(OR($N1081=1,$O1081=1),"U – needs rule",INDEX(MxBody,MATCH($I1081,MxCurr,0),MATCH($H1081,MxStart,0)))))))</f>
        <v/>
      </c>
      <c r="L1081" s="62" t="str">
        <f aca="false">IF(COUNTA($A1081,$F1081,$G1081,$H1081,$I1081,$J1081)=0,"",IF($M1081=0,"✖ كود الصف غير موجود",IF(ISNA(MATCH($F1081,Lists!$A$2:$A$5,0)),"✖ الفترة غير صحيحة",IF(ISNA(MATCH($G1081,Lists!$B$2:$B$7,0)),"✖ المجموعة غير صحيحة",IF(NOT(OR($H1081="",$N1081&gt;0)),"✖ Start غير صحيح",IF(NOT(OR($I1081="",$I1081="NR",$O1081&gt;0)),"✖ Current غير صحيح",IF(NOT(IF(ISNUMBER($J1081),AND($J1081&gt;=0,$J1081=INT($J1081)),FALSE())),"✖ العدد يجب أن يكون صحيحًا ≥ 0",IF(AND($F1081="Baseline",$H1081&lt;&gt;""),"⚠ Baseline: Start لا يدخل في التقدم",IF($K1081="No Start (attainment only)","ℹ تحصيل فقط (بدون Start)",IF($K1081="U – needs rule","ℹ حالة U تحتاج قاعدة معتمدة",IF($K1081="No result","ℹ بدون نتيجة (يُستبعد من التحصيل)","OK")))))))))))</f>
        <v/>
      </c>
      <c r="M1081" s="64" t="n">
        <f aca="false">IF($A1081="",0,IFERROR(MATCH($A1081,Classes!$A$6:$A$420,0),0))</f>
        <v>0</v>
      </c>
      <c r="N1081" s="64" t="n">
        <f aca="false">IF($H1081="",0,IFERROR(MATCH($H1081,GradeList,0),0))</f>
        <v>0</v>
      </c>
      <c r="O1081" s="64" t="n">
        <f aca="false">IF(OR($I1081="",$I1081="NR"),0,IFERROR(MATCH($I1081,GradeList,0),0))</f>
        <v>0</v>
      </c>
      <c r="P1081" s="64" t="n">
        <f aca="false">IF(AND($M1081&gt;0,ISNUMBER(MATCH($F1081,Lists!$A$2:$A$5,0)),ISNUMBER(MATCH($G1081,Lists!$B$2:$B$7,0)),OR($H1081="",$N1081&gt;0),OR($I1081="",$I1081="NR",$O1081&gt;0),IF(ISNUMBER($J1081),AND($J1081&gt;=0,$J1081=INT($J1081)),FALSE())),$J1081,0)</f>
        <v>0</v>
      </c>
      <c r="Q1081" s="64" t="n">
        <f aca="false">IF(AND($P1081&gt;0,$O1081&gt;0),$P1081,0)</f>
        <v>0</v>
      </c>
      <c r="R1081" s="64" t="n">
        <f aca="false">IF(AND($Q1081&gt;0,$O1081&gt;=AtRank),$Q1081,0)</f>
        <v>0</v>
      </c>
      <c r="S1081" s="64" t="n">
        <f aca="false">IF(AND($Q1081&gt;0,$O1081&gt;=AboveRank),$Q1081,0)</f>
        <v>0</v>
      </c>
      <c r="T1081" s="64" t="n">
        <f aca="false">IF($K1081="Less",$P1081,0)</f>
        <v>0</v>
      </c>
      <c r="U1081" s="64" t="n">
        <f aca="false">IF($K1081="Expected",$P1081,0)</f>
        <v>0</v>
      </c>
      <c r="V1081" s="64" t="n">
        <f aca="false">IF($K1081="Better",$P1081,0)</f>
        <v>0</v>
      </c>
      <c r="W1081" s="64" t="n">
        <f aca="false">IF($K1081="U – needs rule",$P1081,0)</f>
        <v>0</v>
      </c>
      <c r="X1081" s="64" t="n">
        <f aca="false">IF($K1081="No Start (attainment only)",$P1081,0)</f>
        <v>0</v>
      </c>
    </row>
    <row r="1082" customFormat="false" ht="15" hidden="false" customHeight="false" outlineLevel="0" collapsed="false">
      <c r="A1082" s="60"/>
      <c r="B1082" s="61" t="str">
        <f aca="false">IF($M1082=0,"",INDEX(Classes!$E$6:$E$420,$M1082))</f>
        <v/>
      </c>
      <c r="C1082" s="62" t="str">
        <f aca="false">IF($M1082=0,"",INDEX(Classes!$H$6:$H$420,$M1082))</f>
        <v/>
      </c>
      <c r="D1082" s="61" t="str">
        <f aca="false">IF($M1082=0,"",INDEX(Classes!$B$6:$B$420,$M1082))</f>
        <v/>
      </c>
      <c r="E1082" s="61" t="str">
        <f aca="false">IF($M1082=0,"",INDEX(Classes!$C$6:$C$420,$M1082))</f>
        <v/>
      </c>
      <c r="F1082" s="63"/>
      <c r="G1082" s="63"/>
      <c r="H1082" s="60"/>
      <c r="I1082" s="60"/>
      <c r="J1082" s="63"/>
      <c r="K1082" s="61" t="str">
        <f aca="false">IF($P1082=0,"",IF($F1082="Baseline","— Baseline",IF($O1082=0,"No result",IF($N1082=0,"No Start (attainment only)",IF(OR($N1082=1,$O1082=1),"U – needs rule",INDEX(MxBody,MATCH($I1082,MxCurr,0),MATCH($H1082,MxStart,0)))))))</f>
        <v/>
      </c>
      <c r="L1082" s="62" t="str">
        <f aca="false">IF(COUNTA($A1082,$F1082,$G1082,$H1082,$I1082,$J1082)=0,"",IF($M1082=0,"✖ كود الصف غير موجود",IF(ISNA(MATCH($F1082,Lists!$A$2:$A$5,0)),"✖ الفترة غير صحيحة",IF(ISNA(MATCH($G1082,Lists!$B$2:$B$7,0)),"✖ المجموعة غير صحيحة",IF(NOT(OR($H1082="",$N1082&gt;0)),"✖ Start غير صحيح",IF(NOT(OR($I1082="",$I1082="NR",$O1082&gt;0)),"✖ Current غير صحيح",IF(NOT(IF(ISNUMBER($J1082),AND($J1082&gt;=0,$J1082=INT($J1082)),FALSE())),"✖ العدد يجب أن يكون صحيحًا ≥ 0",IF(AND($F1082="Baseline",$H1082&lt;&gt;""),"⚠ Baseline: Start لا يدخل في التقدم",IF($K1082="No Start (attainment only)","ℹ تحصيل فقط (بدون Start)",IF($K1082="U – needs rule","ℹ حالة U تحتاج قاعدة معتمدة",IF($K1082="No result","ℹ بدون نتيجة (يُستبعد من التحصيل)","OK")))))))))))</f>
        <v/>
      </c>
      <c r="M1082" s="64" t="n">
        <f aca="false">IF($A1082="",0,IFERROR(MATCH($A1082,Classes!$A$6:$A$420,0),0))</f>
        <v>0</v>
      </c>
      <c r="N1082" s="64" t="n">
        <f aca="false">IF($H1082="",0,IFERROR(MATCH($H1082,GradeList,0),0))</f>
        <v>0</v>
      </c>
      <c r="O1082" s="64" t="n">
        <f aca="false">IF(OR($I1082="",$I1082="NR"),0,IFERROR(MATCH($I1082,GradeList,0),0))</f>
        <v>0</v>
      </c>
      <c r="P1082" s="64" t="n">
        <f aca="false">IF(AND($M1082&gt;0,ISNUMBER(MATCH($F1082,Lists!$A$2:$A$5,0)),ISNUMBER(MATCH($G1082,Lists!$B$2:$B$7,0)),OR($H1082="",$N1082&gt;0),OR($I1082="",$I1082="NR",$O1082&gt;0),IF(ISNUMBER($J1082),AND($J1082&gt;=0,$J1082=INT($J1082)),FALSE())),$J1082,0)</f>
        <v>0</v>
      </c>
      <c r="Q1082" s="64" t="n">
        <f aca="false">IF(AND($P1082&gt;0,$O1082&gt;0),$P1082,0)</f>
        <v>0</v>
      </c>
      <c r="R1082" s="64" t="n">
        <f aca="false">IF(AND($Q1082&gt;0,$O1082&gt;=AtRank),$Q1082,0)</f>
        <v>0</v>
      </c>
      <c r="S1082" s="64" t="n">
        <f aca="false">IF(AND($Q1082&gt;0,$O1082&gt;=AboveRank),$Q1082,0)</f>
        <v>0</v>
      </c>
      <c r="T1082" s="64" t="n">
        <f aca="false">IF($K1082="Less",$P1082,0)</f>
        <v>0</v>
      </c>
      <c r="U1082" s="64" t="n">
        <f aca="false">IF($K1082="Expected",$P1082,0)</f>
        <v>0</v>
      </c>
      <c r="V1082" s="64" t="n">
        <f aca="false">IF($K1082="Better",$P1082,0)</f>
        <v>0</v>
      </c>
      <c r="W1082" s="64" t="n">
        <f aca="false">IF($K1082="U – needs rule",$P1082,0)</f>
        <v>0</v>
      </c>
      <c r="X1082" s="64" t="n">
        <f aca="false">IF($K1082="No Start (attainment only)",$P1082,0)</f>
        <v>0</v>
      </c>
    </row>
    <row r="1083" customFormat="false" ht="15" hidden="false" customHeight="false" outlineLevel="0" collapsed="false">
      <c r="A1083" s="60"/>
      <c r="B1083" s="61" t="str">
        <f aca="false">IF($M1083=0,"",INDEX(Classes!$E$6:$E$420,$M1083))</f>
        <v/>
      </c>
      <c r="C1083" s="62" t="str">
        <f aca="false">IF($M1083=0,"",INDEX(Classes!$H$6:$H$420,$M1083))</f>
        <v/>
      </c>
      <c r="D1083" s="61" t="str">
        <f aca="false">IF($M1083=0,"",INDEX(Classes!$B$6:$B$420,$M1083))</f>
        <v/>
      </c>
      <c r="E1083" s="61" t="str">
        <f aca="false">IF($M1083=0,"",INDEX(Classes!$C$6:$C$420,$M1083))</f>
        <v/>
      </c>
      <c r="F1083" s="63"/>
      <c r="G1083" s="63"/>
      <c r="H1083" s="60"/>
      <c r="I1083" s="60"/>
      <c r="J1083" s="63"/>
      <c r="K1083" s="61" t="str">
        <f aca="false">IF($P1083=0,"",IF($F1083="Baseline","— Baseline",IF($O1083=0,"No result",IF($N1083=0,"No Start (attainment only)",IF(OR($N1083=1,$O1083=1),"U – needs rule",INDEX(MxBody,MATCH($I1083,MxCurr,0),MATCH($H1083,MxStart,0)))))))</f>
        <v/>
      </c>
      <c r="L1083" s="62" t="str">
        <f aca="false">IF(COUNTA($A1083,$F1083,$G1083,$H1083,$I1083,$J1083)=0,"",IF($M1083=0,"✖ كود الصف غير موجود",IF(ISNA(MATCH($F1083,Lists!$A$2:$A$5,0)),"✖ الفترة غير صحيحة",IF(ISNA(MATCH($G1083,Lists!$B$2:$B$7,0)),"✖ المجموعة غير صحيحة",IF(NOT(OR($H1083="",$N1083&gt;0)),"✖ Start غير صحيح",IF(NOT(OR($I1083="",$I1083="NR",$O1083&gt;0)),"✖ Current غير صحيح",IF(NOT(IF(ISNUMBER($J1083),AND($J1083&gt;=0,$J1083=INT($J1083)),FALSE())),"✖ العدد يجب أن يكون صحيحًا ≥ 0",IF(AND($F1083="Baseline",$H1083&lt;&gt;""),"⚠ Baseline: Start لا يدخل في التقدم",IF($K1083="No Start (attainment only)","ℹ تحصيل فقط (بدون Start)",IF($K1083="U – needs rule","ℹ حالة U تحتاج قاعدة معتمدة",IF($K1083="No result","ℹ بدون نتيجة (يُستبعد من التحصيل)","OK")))))))))))</f>
        <v/>
      </c>
      <c r="M1083" s="64" t="n">
        <f aca="false">IF($A1083="",0,IFERROR(MATCH($A1083,Classes!$A$6:$A$420,0),0))</f>
        <v>0</v>
      </c>
      <c r="N1083" s="64" t="n">
        <f aca="false">IF($H1083="",0,IFERROR(MATCH($H1083,GradeList,0),0))</f>
        <v>0</v>
      </c>
      <c r="O1083" s="64" t="n">
        <f aca="false">IF(OR($I1083="",$I1083="NR"),0,IFERROR(MATCH($I1083,GradeList,0),0))</f>
        <v>0</v>
      </c>
      <c r="P1083" s="64" t="n">
        <f aca="false">IF(AND($M1083&gt;0,ISNUMBER(MATCH($F1083,Lists!$A$2:$A$5,0)),ISNUMBER(MATCH($G1083,Lists!$B$2:$B$7,0)),OR($H1083="",$N1083&gt;0),OR($I1083="",$I1083="NR",$O1083&gt;0),IF(ISNUMBER($J1083),AND($J1083&gt;=0,$J1083=INT($J1083)),FALSE())),$J1083,0)</f>
        <v>0</v>
      </c>
      <c r="Q1083" s="64" t="n">
        <f aca="false">IF(AND($P1083&gt;0,$O1083&gt;0),$P1083,0)</f>
        <v>0</v>
      </c>
      <c r="R1083" s="64" t="n">
        <f aca="false">IF(AND($Q1083&gt;0,$O1083&gt;=AtRank),$Q1083,0)</f>
        <v>0</v>
      </c>
      <c r="S1083" s="64" t="n">
        <f aca="false">IF(AND($Q1083&gt;0,$O1083&gt;=AboveRank),$Q1083,0)</f>
        <v>0</v>
      </c>
      <c r="T1083" s="64" t="n">
        <f aca="false">IF($K1083="Less",$P1083,0)</f>
        <v>0</v>
      </c>
      <c r="U1083" s="64" t="n">
        <f aca="false">IF($K1083="Expected",$P1083,0)</f>
        <v>0</v>
      </c>
      <c r="V1083" s="64" t="n">
        <f aca="false">IF($K1083="Better",$P1083,0)</f>
        <v>0</v>
      </c>
      <c r="W1083" s="64" t="n">
        <f aca="false">IF($K1083="U – needs rule",$P1083,0)</f>
        <v>0</v>
      </c>
      <c r="X1083" s="64" t="n">
        <f aca="false">IF($K1083="No Start (attainment only)",$P1083,0)</f>
        <v>0</v>
      </c>
    </row>
    <row r="1084" customFormat="false" ht="15" hidden="false" customHeight="false" outlineLevel="0" collapsed="false">
      <c r="A1084" s="60"/>
      <c r="B1084" s="61" t="str">
        <f aca="false">IF($M1084=0,"",INDEX(Classes!$E$6:$E$420,$M1084))</f>
        <v/>
      </c>
      <c r="C1084" s="62" t="str">
        <f aca="false">IF($M1084=0,"",INDEX(Classes!$H$6:$H$420,$M1084))</f>
        <v/>
      </c>
      <c r="D1084" s="61" t="str">
        <f aca="false">IF($M1084=0,"",INDEX(Classes!$B$6:$B$420,$M1084))</f>
        <v/>
      </c>
      <c r="E1084" s="61" t="str">
        <f aca="false">IF($M1084=0,"",INDEX(Classes!$C$6:$C$420,$M1084))</f>
        <v/>
      </c>
      <c r="F1084" s="63"/>
      <c r="G1084" s="63"/>
      <c r="H1084" s="60"/>
      <c r="I1084" s="60"/>
      <c r="J1084" s="63"/>
      <c r="K1084" s="61" t="str">
        <f aca="false">IF($P1084=0,"",IF($F1084="Baseline","— Baseline",IF($O1084=0,"No result",IF($N1084=0,"No Start (attainment only)",IF(OR($N1084=1,$O1084=1),"U – needs rule",INDEX(MxBody,MATCH($I1084,MxCurr,0),MATCH($H1084,MxStart,0)))))))</f>
        <v/>
      </c>
      <c r="L1084" s="62" t="str">
        <f aca="false">IF(COUNTA($A1084,$F1084,$G1084,$H1084,$I1084,$J1084)=0,"",IF($M1084=0,"✖ كود الصف غير موجود",IF(ISNA(MATCH($F1084,Lists!$A$2:$A$5,0)),"✖ الفترة غير صحيحة",IF(ISNA(MATCH($G1084,Lists!$B$2:$B$7,0)),"✖ المجموعة غير صحيحة",IF(NOT(OR($H1084="",$N1084&gt;0)),"✖ Start غير صحيح",IF(NOT(OR($I1084="",$I1084="NR",$O1084&gt;0)),"✖ Current غير صحيح",IF(NOT(IF(ISNUMBER($J1084),AND($J1084&gt;=0,$J1084=INT($J1084)),FALSE())),"✖ العدد يجب أن يكون صحيحًا ≥ 0",IF(AND($F1084="Baseline",$H1084&lt;&gt;""),"⚠ Baseline: Start لا يدخل في التقدم",IF($K1084="No Start (attainment only)","ℹ تحصيل فقط (بدون Start)",IF($K1084="U – needs rule","ℹ حالة U تحتاج قاعدة معتمدة",IF($K1084="No result","ℹ بدون نتيجة (يُستبعد من التحصيل)","OK")))))))))))</f>
        <v/>
      </c>
      <c r="M1084" s="64" t="n">
        <f aca="false">IF($A1084="",0,IFERROR(MATCH($A1084,Classes!$A$6:$A$420,0),0))</f>
        <v>0</v>
      </c>
      <c r="N1084" s="64" t="n">
        <f aca="false">IF($H1084="",0,IFERROR(MATCH($H1084,GradeList,0),0))</f>
        <v>0</v>
      </c>
      <c r="O1084" s="64" t="n">
        <f aca="false">IF(OR($I1084="",$I1084="NR"),0,IFERROR(MATCH($I1084,GradeList,0),0))</f>
        <v>0</v>
      </c>
      <c r="P1084" s="64" t="n">
        <f aca="false">IF(AND($M1084&gt;0,ISNUMBER(MATCH($F1084,Lists!$A$2:$A$5,0)),ISNUMBER(MATCH($G1084,Lists!$B$2:$B$7,0)),OR($H1084="",$N1084&gt;0),OR($I1084="",$I1084="NR",$O1084&gt;0),IF(ISNUMBER($J1084),AND($J1084&gt;=0,$J1084=INT($J1084)),FALSE())),$J1084,0)</f>
        <v>0</v>
      </c>
      <c r="Q1084" s="64" t="n">
        <f aca="false">IF(AND($P1084&gt;0,$O1084&gt;0),$P1084,0)</f>
        <v>0</v>
      </c>
      <c r="R1084" s="64" t="n">
        <f aca="false">IF(AND($Q1084&gt;0,$O1084&gt;=AtRank),$Q1084,0)</f>
        <v>0</v>
      </c>
      <c r="S1084" s="64" t="n">
        <f aca="false">IF(AND($Q1084&gt;0,$O1084&gt;=AboveRank),$Q1084,0)</f>
        <v>0</v>
      </c>
      <c r="T1084" s="64" t="n">
        <f aca="false">IF($K1084="Less",$P1084,0)</f>
        <v>0</v>
      </c>
      <c r="U1084" s="64" t="n">
        <f aca="false">IF($K1084="Expected",$P1084,0)</f>
        <v>0</v>
      </c>
      <c r="V1084" s="64" t="n">
        <f aca="false">IF($K1084="Better",$P1084,0)</f>
        <v>0</v>
      </c>
      <c r="W1084" s="64" t="n">
        <f aca="false">IF($K1084="U – needs rule",$P1084,0)</f>
        <v>0</v>
      </c>
      <c r="X1084" s="64" t="n">
        <f aca="false">IF($K1084="No Start (attainment only)",$P1084,0)</f>
        <v>0</v>
      </c>
    </row>
    <row r="1085" customFormat="false" ht="15" hidden="false" customHeight="false" outlineLevel="0" collapsed="false">
      <c r="A1085" s="60"/>
      <c r="B1085" s="61" t="str">
        <f aca="false">IF($M1085=0,"",INDEX(Classes!$E$6:$E$420,$M1085))</f>
        <v/>
      </c>
      <c r="C1085" s="62" t="str">
        <f aca="false">IF($M1085=0,"",INDEX(Classes!$H$6:$H$420,$M1085))</f>
        <v/>
      </c>
      <c r="D1085" s="61" t="str">
        <f aca="false">IF($M1085=0,"",INDEX(Classes!$B$6:$B$420,$M1085))</f>
        <v/>
      </c>
      <c r="E1085" s="61" t="str">
        <f aca="false">IF($M1085=0,"",INDEX(Classes!$C$6:$C$420,$M1085))</f>
        <v/>
      </c>
      <c r="F1085" s="63"/>
      <c r="G1085" s="63"/>
      <c r="H1085" s="60"/>
      <c r="I1085" s="60"/>
      <c r="J1085" s="63"/>
      <c r="K1085" s="61" t="str">
        <f aca="false">IF($P1085=0,"",IF($F1085="Baseline","— Baseline",IF($O1085=0,"No result",IF($N1085=0,"No Start (attainment only)",IF(OR($N1085=1,$O1085=1),"U – needs rule",INDEX(MxBody,MATCH($I1085,MxCurr,0),MATCH($H1085,MxStart,0)))))))</f>
        <v/>
      </c>
      <c r="L1085" s="62" t="str">
        <f aca="false">IF(COUNTA($A1085,$F1085,$G1085,$H1085,$I1085,$J1085)=0,"",IF($M1085=0,"✖ كود الصف غير موجود",IF(ISNA(MATCH($F1085,Lists!$A$2:$A$5,0)),"✖ الفترة غير صحيحة",IF(ISNA(MATCH($G1085,Lists!$B$2:$B$7,0)),"✖ المجموعة غير صحيحة",IF(NOT(OR($H1085="",$N1085&gt;0)),"✖ Start غير صحيح",IF(NOT(OR($I1085="",$I1085="NR",$O1085&gt;0)),"✖ Current غير صحيح",IF(NOT(IF(ISNUMBER($J1085),AND($J1085&gt;=0,$J1085=INT($J1085)),FALSE())),"✖ العدد يجب أن يكون صحيحًا ≥ 0",IF(AND($F1085="Baseline",$H1085&lt;&gt;""),"⚠ Baseline: Start لا يدخل في التقدم",IF($K1085="No Start (attainment only)","ℹ تحصيل فقط (بدون Start)",IF($K1085="U – needs rule","ℹ حالة U تحتاج قاعدة معتمدة",IF($K1085="No result","ℹ بدون نتيجة (يُستبعد من التحصيل)","OK")))))))))))</f>
        <v/>
      </c>
      <c r="M1085" s="64" t="n">
        <f aca="false">IF($A1085="",0,IFERROR(MATCH($A1085,Classes!$A$6:$A$420,0),0))</f>
        <v>0</v>
      </c>
      <c r="N1085" s="64" t="n">
        <f aca="false">IF($H1085="",0,IFERROR(MATCH($H1085,GradeList,0),0))</f>
        <v>0</v>
      </c>
      <c r="O1085" s="64" t="n">
        <f aca="false">IF(OR($I1085="",$I1085="NR"),0,IFERROR(MATCH($I1085,GradeList,0),0))</f>
        <v>0</v>
      </c>
      <c r="P1085" s="64" t="n">
        <f aca="false">IF(AND($M1085&gt;0,ISNUMBER(MATCH($F1085,Lists!$A$2:$A$5,0)),ISNUMBER(MATCH($G1085,Lists!$B$2:$B$7,0)),OR($H1085="",$N1085&gt;0),OR($I1085="",$I1085="NR",$O1085&gt;0),IF(ISNUMBER($J1085),AND($J1085&gt;=0,$J1085=INT($J1085)),FALSE())),$J1085,0)</f>
        <v>0</v>
      </c>
      <c r="Q1085" s="64" t="n">
        <f aca="false">IF(AND($P1085&gt;0,$O1085&gt;0),$P1085,0)</f>
        <v>0</v>
      </c>
      <c r="R1085" s="64" t="n">
        <f aca="false">IF(AND($Q1085&gt;0,$O1085&gt;=AtRank),$Q1085,0)</f>
        <v>0</v>
      </c>
      <c r="S1085" s="64" t="n">
        <f aca="false">IF(AND($Q1085&gt;0,$O1085&gt;=AboveRank),$Q1085,0)</f>
        <v>0</v>
      </c>
      <c r="T1085" s="64" t="n">
        <f aca="false">IF($K1085="Less",$P1085,0)</f>
        <v>0</v>
      </c>
      <c r="U1085" s="64" t="n">
        <f aca="false">IF($K1085="Expected",$P1085,0)</f>
        <v>0</v>
      </c>
      <c r="V1085" s="64" t="n">
        <f aca="false">IF($K1085="Better",$P1085,0)</f>
        <v>0</v>
      </c>
      <c r="W1085" s="64" t="n">
        <f aca="false">IF($K1085="U – needs rule",$P1085,0)</f>
        <v>0</v>
      </c>
      <c r="X1085" s="64" t="n">
        <f aca="false">IF($K1085="No Start (attainment only)",$P1085,0)</f>
        <v>0</v>
      </c>
    </row>
    <row r="1086" customFormat="false" ht="15" hidden="false" customHeight="false" outlineLevel="0" collapsed="false">
      <c r="A1086" s="60"/>
      <c r="B1086" s="61" t="str">
        <f aca="false">IF($M1086=0,"",INDEX(Classes!$E$6:$E$420,$M1086))</f>
        <v/>
      </c>
      <c r="C1086" s="62" t="str">
        <f aca="false">IF($M1086=0,"",INDEX(Classes!$H$6:$H$420,$M1086))</f>
        <v/>
      </c>
      <c r="D1086" s="61" t="str">
        <f aca="false">IF($M1086=0,"",INDEX(Classes!$B$6:$B$420,$M1086))</f>
        <v/>
      </c>
      <c r="E1086" s="61" t="str">
        <f aca="false">IF($M1086=0,"",INDEX(Classes!$C$6:$C$420,$M1086))</f>
        <v/>
      </c>
      <c r="F1086" s="63"/>
      <c r="G1086" s="63"/>
      <c r="H1086" s="60"/>
      <c r="I1086" s="60"/>
      <c r="J1086" s="63"/>
      <c r="K1086" s="61" t="str">
        <f aca="false">IF($P1086=0,"",IF($F1086="Baseline","— Baseline",IF($O1086=0,"No result",IF($N1086=0,"No Start (attainment only)",IF(OR($N1086=1,$O1086=1),"U – needs rule",INDEX(MxBody,MATCH($I1086,MxCurr,0),MATCH($H1086,MxStart,0)))))))</f>
        <v/>
      </c>
      <c r="L1086" s="62" t="str">
        <f aca="false">IF(COUNTA($A1086,$F1086,$G1086,$H1086,$I1086,$J1086)=0,"",IF($M1086=0,"✖ كود الصف غير موجود",IF(ISNA(MATCH($F1086,Lists!$A$2:$A$5,0)),"✖ الفترة غير صحيحة",IF(ISNA(MATCH($G1086,Lists!$B$2:$B$7,0)),"✖ المجموعة غير صحيحة",IF(NOT(OR($H1086="",$N1086&gt;0)),"✖ Start غير صحيح",IF(NOT(OR($I1086="",$I1086="NR",$O1086&gt;0)),"✖ Current غير صحيح",IF(NOT(IF(ISNUMBER($J1086),AND($J1086&gt;=0,$J1086=INT($J1086)),FALSE())),"✖ العدد يجب أن يكون صحيحًا ≥ 0",IF(AND($F1086="Baseline",$H1086&lt;&gt;""),"⚠ Baseline: Start لا يدخل في التقدم",IF($K1086="No Start (attainment only)","ℹ تحصيل فقط (بدون Start)",IF($K1086="U – needs rule","ℹ حالة U تحتاج قاعدة معتمدة",IF($K1086="No result","ℹ بدون نتيجة (يُستبعد من التحصيل)","OK")))))))))))</f>
        <v/>
      </c>
      <c r="M1086" s="64" t="n">
        <f aca="false">IF($A1086="",0,IFERROR(MATCH($A1086,Classes!$A$6:$A$420,0),0))</f>
        <v>0</v>
      </c>
      <c r="N1086" s="64" t="n">
        <f aca="false">IF($H1086="",0,IFERROR(MATCH($H1086,GradeList,0),0))</f>
        <v>0</v>
      </c>
      <c r="O1086" s="64" t="n">
        <f aca="false">IF(OR($I1086="",$I1086="NR"),0,IFERROR(MATCH($I1086,GradeList,0),0))</f>
        <v>0</v>
      </c>
      <c r="P1086" s="64" t="n">
        <f aca="false">IF(AND($M1086&gt;0,ISNUMBER(MATCH($F1086,Lists!$A$2:$A$5,0)),ISNUMBER(MATCH($G1086,Lists!$B$2:$B$7,0)),OR($H1086="",$N1086&gt;0),OR($I1086="",$I1086="NR",$O1086&gt;0),IF(ISNUMBER($J1086),AND($J1086&gt;=0,$J1086=INT($J1086)),FALSE())),$J1086,0)</f>
        <v>0</v>
      </c>
      <c r="Q1086" s="64" t="n">
        <f aca="false">IF(AND($P1086&gt;0,$O1086&gt;0),$P1086,0)</f>
        <v>0</v>
      </c>
      <c r="R1086" s="64" t="n">
        <f aca="false">IF(AND($Q1086&gt;0,$O1086&gt;=AtRank),$Q1086,0)</f>
        <v>0</v>
      </c>
      <c r="S1086" s="64" t="n">
        <f aca="false">IF(AND($Q1086&gt;0,$O1086&gt;=AboveRank),$Q1086,0)</f>
        <v>0</v>
      </c>
      <c r="T1086" s="64" t="n">
        <f aca="false">IF($K1086="Less",$P1086,0)</f>
        <v>0</v>
      </c>
      <c r="U1086" s="64" t="n">
        <f aca="false">IF($K1086="Expected",$P1086,0)</f>
        <v>0</v>
      </c>
      <c r="V1086" s="64" t="n">
        <f aca="false">IF($K1086="Better",$P1086,0)</f>
        <v>0</v>
      </c>
      <c r="W1086" s="64" t="n">
        <f aca="false">IF($K1086="U – needs rule",$P1086,0)</f>
        <v>0</v>
      </c>
      <c r="X1086" s="64" t="n">
        <f aca="false">IF($K1086="No Start (attainment only)",$P1086,0)</f>
        <v>0</v>
      </c>
    </row>
    <row r="1087" customFormat="false" ht="15" hidden="false" customHeight="false" outlineLevel="0" collapsed="false">
      <c r="A1087" s="60"/>
      <c r="B1087" s="61" t="str">
        <f aca="false">IF($M1087=0,"",INDEX(Classes!$E$6:$E$420,$M1087))</f>
        <v/>
      </c>
      <c r="C1087" s="62" t="str">
        <f aca="false">IF($M1087=0,"",INDEX(Classes!$H$6:$H$420,$M1087))</f>
        <v/>
      </c>
      <c r="D1087" s="61" t="str">
        <f aca="false">IF($M1087=0,"",INDEX(Classes!$B$6:$B$420,$M1087))</f>
        <v/>
      </c>
      <c r="E1087" s="61" t="str">
        <f aca="false">IF($M1087=0,"",INDEX(Classes!$C$6:$C$420,$M1087))</f>
        <v/>
      </c>
      <c r="F1087" s="63"/>
      <c r="G1087" s="63"/>
      <c r="H1087" s="60"/>
      <c r="I1087" s="60"/>
      <c r="J1087" s="63"/>
      <c r="K1087" s="61" t="str">
        <f aca="false">IF($P1087=0,"",IF($F1087="Baseline","— Baseline",IF($O1087=0,"No result",IF($N1087=0,"No Start (attainment only)",IF(OR($N1087=1,$O1087=1),"U – needs rule",INDEX(MxBody,MATCH($I1087,MxCurr,0),MATCH($H1087,MxStart,0)))))))</f>
        <v/>
      </c>
      <c r="L1087" s="62" t="str">
        <f aca="false">IF(COUNTA($A1087,$F1087,$G1087,$H1087,$I1087,$J1087)=0,"",IF($M1087=0,"✖ كود الصف غير موجود",IF(ISNA(MATCH($F1087,Lists!$A$2:$A$5,0)),"✖ الفترة غير صحيحة",IF(ISNA(MATCH($G1087,Lists!$B$2:$B$7,0)),"✖ المجموعة غير صحيحة",IF(NOT(OR($H1087="",$N1087&gt;0)),"✖ Start غير صحيح",IF(NOT(OR($I1087="",$I1087="NR",$O1087&gt;0)),"✖ Current غير صحيح",IF(NOT(IF(ISNUMBER($J1087),AND($J1087&gt;=0,$J1087=INT($J1087)),FALSE())),"✖ العدد يجب أن يكون صحيحًا ≥ 0",IF(AND($F1087="Baseline",$H1087&lt;&gt;""),"⚠ Baseline: Start لا يدخل في التقدم",IF($K1087="No Start (attainment only)","ℹ تحصيل فقط (بدون Start)",IF($K1087="U – needs rule","ℹ حالة U تحتاج قاعدة معتمدة",IF($K1087="No result","ℹ بدون نتيجة (يُستبعد من التحصيل)","OK")))))))))))</f>
        <v/>
      </c>
      <c r="M1087" s="64" t="n">
        <f aca="false">IF($A1087="",0,IFERROR(MATCH($A1087,Classes!$A$6:$A$420,0),0))</f>
        <v>0</v>
      </c>
      <c r="N1087" s="64" t="n">
        <f aca="false">IF($H1087="",0,IFERROR(MATCH($H1087,GradeList,0),0))</f>
        <v>0</v>
      </c>
      <c r="O1087" s="64" t="n">
        <f aca="false">IF(OR($I1087="",$I1087="NR"),0,IFERROR(MATCH($I1087,GradeList,0),0))</f>
        <v>0</v>
      </c>
      <c r="P1087" s="64" t="n">
        <f aca="false">IF(AND($M1087&gt;0,ISNUMBER(MATCH($F1087,Lists!$A$2:$A$5,0)),ISNUMBER(MATCH($G1087,Lists!$B$2:$B$7,0)),OR($H1087="",$N1087&gt;0),OR($I1087="",$I1087="NR",$O1087&gt;0),IF(ISNUMBER($J1087),AND($J1087&gt;=0,$J1087=INT($J1087)),FALSE())),$J1087,0)</f>
        <v>0</v>
      </c>
      <c r="Q1087" s="64" t="n">
        <f aca="false">IF(AND($P1087&gt;0,$O1087&gt;0),$P1087,0)</f>
        <v>0</v>
      </c>
      <c r="R1087" s="64" t="n">
        <f aca="false">IF(AND($Q1087&gt;0,$O1087&gt;=AtRank),$Q1087,0)</f>
        <v>0</v>
      </c>
      <c r="S1087" s="64" t="n">
        <f aca="false">IF(AND($Q1087&gt;0,$O1087&gt;=AboveRank),$Q1087,0)</f>
        <v>0</v>
      </c>
      <c r="T1087" s="64" t="n">
        <f aca="false">IF($K1087="Less",$P1087,0)</f>
        <v>0</v>
      </c>
      <c r="U1087" s="64" t="n">
        <f aca="false">IF($K1087="Expected",$P1087,0)</f>
        <v>0</v>
      </c>
      <c r="V1087" s="64" t="n">
        <f aca="false">IF($K1087="Better",$P1087,0)</f>
        <v>0</v>
      </c>
      <c r="W1087" s="64" t="n">
        <f aca="false">IF($K1087="U – needs rule",$P1087,0)</f>
        <v>0</v>
      </c>
      <c r="X1087" s="64" t="n">
        <f aca="false">IF($K1087="No Start (attainment only)",$P1087,0)</f>
        <v>0</v>
      </c>
    </row>
    <row r="1088" customFormat="false" ht="15" hidden="false" customHeight="false" outlineLevel="0" collapsed="false">
      <c r="A1088" s="60"/>
      <c r="B1088" s="61" t="str">
        <f aca="false">IF($M1088=0,"",INDEX(Classes!$E$6:$E$420,$M1088))</f>
        <v/>
      </c>
      <c r="C1088" s="62" t="str">
        <f aca="false">IF($M1088=0,"",INDEX(Classes!$H$6:$H$420,$M1088))</f>
        <v/>
      </c>
      <c r="D1088" s="61" t="str">
        <f aca="false">IF($M1088=0,"",INDEX(Classes!$B$6:$B$420,$M1088))</f>
        <v/>
      </c>
      <c r="E1088" s="61" t="str">
        <f aca="false">IF($M1088=0,"",INDEX(Classes!$C$6:$C$420,$M1088))</f>
        <v/>
      </c>
      <c r="F1088" s="63"/>
      <c r="G1088" s="63"/>
      <c r="H1088" s="60"/>
      <c r="I1088" s="60"/>
      <c r="J1088" s="63"/>
      <c r="K1088" s="61" t="str">
        <f aca="false">IF($P1088=0,"",IF($F1088="Baseline","— Baseline",IF($O1088=0,"No result",IF($N1088=0,"No Start (attainment only)",IF(OR($N1088=1,$O1088=1),"U – needs rule",INDEX(MxBody,MATCH($I1088,MxCurr,0),MATCH($H1088,MxStart,0)))))))</f>
        <v/>
      </c>
      <c r="L1088" s="62" t="str">
        <f aca="false">IF(COUNTA($A1088,$F1088,$G1088,$H1088,$I1088,$J1088)=0,"",IF($M1088=0,"✖ كود الصف غير موجود",IF(ISNA(MATCH($F1088,Lists!$A$2:$A$5,0)),"✖ الفترة غير صحيحة",IF(ISNA(MATCH($G1088,Lists!$B$2:$B$7,0)),"✖ المجموعة غير صحيحة",IF(NOT(OR($H1088="",$N1088&gt;0)),"✖ Start غير صحيح",IF(NOT(OR($I1088="",$I1088="NR",$O1088&gt;0)),"✖ Current غير صحيح",IF(NOT(IF(ISNUMBER($J1088),AND($J1088&gt;=0,$J1088=INT($J1088)),FALSE())),"✖ العدد يجب أن يكون صحيحًا ≥ 0",IF(AND($F1088="Baseline",$H1088&lt;&gt;""),"⚠ Baseline: Start لا يدخل في التقدم",IF($K1088="No Start (attainment only)","ℹ تحصيل فقط (بدون Start)",IF($K1088="U – needs rule","ℹ حالة U تحتاج قاعدة معتمدة",IF($K1088="No result","ℹ بدون نتيجة (يُستبعد من التحصيل)","OK")))))))))))</f>
        <v/>
      </c>
      <c r="M1088" s="64" t="n">
        <f aca="false">IF($A1088="",0,IFERROR(MATCH($A1088,Classes!$A$6:$A$420,0),0))</f>
        <v>0</v>
      </c>
      <c r="N1088" s="64" t="n">
        <f aca="false">IF($H1088="",0,IFERROR(MATCH($H1088,GradeList,0),0))</f>
        <v>0</v>
      </c>
      <c r="O1088" s="64" t="n">
        <f aca="false">IF(OR($I1088="",$I1088="NR"),0,IFERROR(MATCH($I1088,GradeList,0),0))</f>
        <v>0</v>
      </c>
      <c r="P1088" s="64" t="n">
        <f aca="false">IF(AND($M1088&gt;0,ISNUMBER(MATCH($F1088,Lists!$A$2:$A$5,0)),ISNUMBER(MATCH($G1088,Lists!$B$2:$B$7,0)),OR($H1088="",$N1088&gt;0),OR($I1088="",$I1088="NR",$O1088&gt;0),IF(ISNUMBER($J1088),AND($J1088&gt;=0,$J1088=INT($J1088)),FALSE())),$J1088,0)</f>
        <v>0</v>
      </c>
      <c r="Q1088" s="64" t="n">
        <f aca="false">IF(AND($P1088&gt;0,$O1088&gt;0),$P1088,0)</f>
        <v>0</v>
      </c>
      <c r="R1088" s="64" t="n">
        <f aca="false">IF(AND($Q1088&gt;0,$O1088&gt;=AtRank),$Q1088,0)</f>
        <v>0</v>
      </c>
      <c r="S1088" s="64" t="n">
        <f aca="false">IF(AND($Q1088&gt;0,$O1088&gt;=AboveRank),$Q1088,0)</f>
        <v>0</v>
      </c>
      <c r="T1088" s="64" t="n">
        <f aca="false">IF($K1088="Less",$P1088,0)</f>
        <v>0</v>
      </c>
      <c r="U1088" s="64" t="n">
        <f aca="false">IF($K1088="Expected",$P1088,0)</f>
        <v>0</v>
      </c>
      <c r="V1088" s="64" t="n">
        <f aca="false">IF($K1088="Better",$P1088,0)</f>
        <v>0</v>
      </c>
      <c r="W1088" s="64" t="n">
        <f aca="false">IF($K1088="U – needs rule",$P1088,0)</f>
        <v>0</v>
      </c>
      <c r="X1088" s="64" t="n">
        <f aca="false">IF($K1088="No Start (attainment only)",$P1088,0)</f>
        <v>0</v>
      </c>
    </row>
    <row r="1089" customFormat="false" ht="15" hidden="false" customHeight="false" outlineLevel="0" collapsed="false">
      <c r="A1089" s="60"/>
      <c r="B1089" s="61" t="str">
        <f aca="false">IF($M1089=0,"",INDEX(Classes!$E$6:$E$420,$M1089))</f>
        <v/>
      </c>
      <c r="C1089" s="62" t="str">
        <f aca="false">IF($M1089=0,"",INDEX(Classes!$H$6:$H$420,$M1089))</f>
        <v/>
      </c>
      <c r="D1089" s="61" t="str">
        <f aca="false">IF($M1089=0,"",INDEX(Classes!$B$6:$B$420,$M1089))</f>
        <v/>
      </c>
      <c r="E1089" s="61" t="str">
        <f aca="false">IF($M1089=0,"",INDEX(Classes!$C$6:$C$420,$M1089))</f>
        <v/>
      </c>
      <c r="F1089" s="63"/>
      <c r="G1089" s="63"/>
      <c r="H1089" s="60"/>
      <c r="I1089" s="60"/>
      <c r="J1089" s="63"/>
      <c r="K1089" s="61" t="str">
        <f aca="false">IF($P1089=0,"",IF($F1089="Baseline","— Baseline",IF($O1089=0,"No result",IF($N1089=0,"No Start (attainment only)",IF(OR($N1089=1,$O1089=1),"U – needs rule",INDEX(MxBody,MATCH($I1089,MxCurr,0),MATCH($H1089,MxStart,0)))))))</f>
        <v/>
      </c>
      <c r="L1089" s="62" t="str">
        <f aca="false">IF(COUNTA($A1089,$F1089,$G1089,$H1089,$I1089,$J1089)=0,"",IF($M1089=0,"✖ كود الصف غير موجود",IF(ISNA(MATCH($F1089,Lists!$A$2:$A$5,0)),"✖ الفترة غير صحيحة",IF(ISNA(MATCH($G1089,Lists!$B$2:$B$7,0)),"✖ المجموعة غير صحيحة",IF(NOT(OR($H1089="",$N1089&gt;0)),"✖ Start غير صحيح",IF(NOT(OR($I1089="",$I1089="NR",$O1089&gt;0)),"✖ Current غير صحيح",IF(NOT(IF(ISNUMBER($J1089),AND($J1089&gt;=0,$J1089=INT($J1089)),FALSE())),"✖ العدد يجب أن يكون صحيحًا ≥ 0",IF(AND($F1089="Baseline",$H1089&lt;&gt;""),"⚠ Baseline: Start لا يدخل في التقدم",IF($K1089="No Start (attainment only)","ℹ تحصيل فقط (بدون Start)",IF($K1089="U – needs rule","ℹ حالة U تحتاج قاعدة معتمدة",IF($K1089="No result","ℹ بدون نتيجة (يُستبعد من التحصيل)","OK")))))))))))</f>
        <v/>
      </c>
      <c r="M1089" s="64" t="n">
        <f aca="false">IF($A1089="",0,IFERROR(MATCH($A1089,Classes!$A$6:$A$420,0),0))</f>
        <v>0</v>
      </c>
      <c r="N1089" s="64" t="n">
        <f aca="false">IF($H1089="",0,IFERROR(MATCH($H1089,GradeList,0),0))</f>
        <v>0</v>
      </c>
      <c r="O1089" s="64" t="n">
        <f aca="false">IF(OR($I1089="",$I1089="NR"),0,IFERROR(MATCH($I1089,GradeList,0),0))</f>
        <v>0</v>
      </c>
      <c r="P1089" s="64" t="n">
        <f aca="false">IF(AND($M1089&gt;0,ISNUMBER(MATCH($F1089,Lists!$A$2:$A$5,0)),ISNUMBER(MATCH($G1089,Lists!$B$2:$B$7,0)),OR($H1089="",$N1089&gt;0),OR($I1089="",$I1089="NR",$O1089&gt;0),IF(ISNUMBER($J1089),AND($J1089&gt;=0,$J1089=INT($J1089)),FALSE())),$J1089,0)</f>
        <v>0</v>
      </c>
      <c r="Q1089" s="64" t="n">
        <f aca="false">IF(AND($P1089&gt;0,$O1089&gt;0),$P1089,0)</f>
        <v>0</v>
      </c>
      <c r="R1089" s="64" t="n">
        <f aca="false">IF(AND($Q1089&gt;0,$O1089&gt;=AtRank),$Q1089,0)</f>
        <v>0</v>
      </c>
      <c r="S1089" s="64" t="n">
        <f aca="false">IF(AND($Q1089&gt;0,$O1089&gt;=AboveRank),$Q1089,0)</f>
        <v>0</v>
      </c>
      <c r="T1089" s="64" t="n">
        <f aca="false">IF($K1089="Less",$P1089,0)</f>
        <v>0</v>
      </c>
      <c r="U1089" s="64" t="n">
        <f aca="false">IF($K1089="Expected",$P1089,0)</f>
        <v>0</v>
      </c>
      <c r="V1089" s="64" t="n">
        <f aca="false">IF($K1089="Better",$P1089,0)</f>
        <v>0</v>
      </c>
      <c r="W1089" s="64" t="n">
        <f aca="false">IF($K1089="U – needs rule",$P1089,0)</f>
        <v>0</v>
      </c>
      <c r="X1089" s="64" t="n">
        <f aca="false">IF($K1089="No Start (attainment only)",$P1089,0)</f>
        <v>0</v>
      </c>
    </row>
    <row r="1090" customFormat="false" ht="15" hidden="false" customHeight="false" outlineLevel="0" collapsed="false">
      <c r="A1090" s="60"/>
      <c r="B1090" s="61" t="str">
        <f aca="false">IF($M1090=0,"",INDEX(Classes!$E$6:$E$420,$M1090))</f>
        <v/>
      </c>
      <c r="C1090" s="62" t="str">
        <f aca="false">IF($M1090=0,"",INDEX(Classes!$H$6:$H$420,$M1090))</f>
        <v/>
      </c>
      <c r="D1090" s="61" t="str">
        <f aca="false">IF($M1090=0,"",INDEX(Classes!$B$6:$B$420,$M1090))</f>
        <v/>
      </c>
      <c r="E1090" s="61" t="str">
        <f aca="false">IF($M1090=0,"",INDEX(Classes!$C$6:$C$420,$M1090))</f>
        <v/>
      </c>
      <c r="F1090" s="63"/>
      <c r="G1090" s="63"/>
      <c r="H1090" s="60"/>
      <c r="I1090" s="60"/>
      <c r="J1090" s="63"/>
      <c r="K1090" s="61" t="str">
        <f aca="false">IF($P1090=0,"",IF($F1090="Baseline","— Baseline",IF($O1090=0,"No result",IF($N1090=0,"No Start (attainment only)",IF(OR($N1090=1,$O1090=1),"U – needs rule",INDEX(MxBody,MATCH($I1090,MxCurr,0),MATCH($H1090,MxStart,0)))))))</f>
        <v/>
      </c>
      <c r="L1090" s="62" t="str">
        <f aca="false">IF(COUNTA($A1090,$F1090,$G1090,$H1090,$I1090,$J1090)=0,"",IF($M1090=0,"✖ كود الصف غير موجود",IF(ISNA(MATCH($F1090,Lists!$A$2:$A$5,0)),"✖ الفترة غير صحيحة",IF(ISNA(MATCH($G1090,Lists!$B$2:$B$7,0)),"✖ المجموعة غير صحيحة",IF(NOT(OR($H1090="",$N1090&gt;0)),"✖ Start غير صحيح",IF(NOT(OR($I1090="",$I1090="NR",$O1090&gt;0)),"✖ Current غير صحيح",IF(NOT(IF(ISNUMBER($J1090),AND($J1090&gt;=0,$J1090=INT($J1090)),FALSE())),"✖ العدد يجب أن يكون صحيحًا ≥ 0",IF(AND($F1090="Baseline",$H1090&lt;&gt;""),"⚠ Baseline: Start لا يدخل في التقدم",IF($K1090="No Start (attainment only)","ℹ تحصيل فقط (بدون Start)",IF($K1090="U – needs rule","ℹ حالة U تحتاج قاعدة معتمدة",IF($K1090="No result","ℹ بدون نتيجة (يُستبعد من التحصيل)","OK")))))))))))</f>
        <v/>
      </c>
      <c r="M1090" s="64" t="n">
        <f aca="false">IF($A1090="",0,IFERROR(MATCH($A1090,Classes!$A$6:$A$420,0),0))</f>
        <v>0</v>
      </c>
      <c r="N1090" s="64" t="n">
        <f aca="false">IF($H1090="",0,IFERROR(MATCH($H1090,GradeList,0),0))</f>
        <v>0</v>
      </c>
      <c r="O1090" s="64" t="n">
        <f aca="false">IF(OR($I1090="",$I1090="NR"),0,IFERROR(MATCH($I1090,GradeList,0),0))</f>
        <v>0</v>
      </c>
      <c r="P1090" s="64" t="n">
        <f aca="false">IF(AND($M1090&gt;0,ISNUMBER(MATCH($F1090,Lists!$A$2:$A$5,0)),ISNUMBER(MATCH($G1090,Lists!$B$2:$B$7,0)),OR($H1090="",$N1090&gt;0),OR($I1090="",$I1090="NR",$O1090&gt;0),IF(ISNUMBER($J1090),AND($J1090&gt;=0,$J1090=INT($J1090)),FALSE())),$J1090,0)</f>
        <v>0</v>
      </c>
      <c r="Q1090" s="64" t="n">
        <f aca="false">IF(AND($P1090&gt;0,$O1090&gt;0),$P1090,0)</f>
        <v>0</v>
      </c>
      <c r="R1090" s="64" t="n">
        <f aca="false">IF(AND($Q1090&gt;0,$O1090&gt;=AtRank),$Q1090,0)</f>
        <v>0</v>
      </c>
      <c r="S1090" s="64" t="n">
        <f aca="false">IF(AND($Q1090&gt;0,$O1090&gt;=AboveRank),$Q1090,0)</f>
        <v>0</v>
      </c>
      <c r="T1090" s="64" t="n">
        <f aca="false">IF($K1090="Less",$P1090,0)</f>
        <v>0</v>
      </c>
      <c r="U1090" s="64" t="n">
        <f aca="false">IF($K1090="Expected",$P1090,0)</f>
        <v>0</v>
      </c>
      <c r="V1090" s="64" t="n">
        <f aca="false">IF($K1090="Better",$P1090,0)</f>
        <v>0</v>
      </c>
      <c r="W1090" s="64" t="n">
        <f aca="false">IF($K1090="U – needs rule",$P1090,0)</f>
        <v>0</v>
      </c>
      <c r="X1090" s="64" t="n">
        <f aca="false">IF($K1090="No Start (attainment only)",$P1090,0)</f>
        <v>0</v>
      </c>
    </row>
    <row r="1091" customFormat="false" ht="15" hidden="false" customHeight="false" outlineLevel="0" collapsed="false">
      <c r="A1091" s="60"/>
      <c r="B1091" s="61" t="str">
        <f aca="false">IF($M1091=0,"",INDEX(Classes!$E$6:$E$420,$M1091))</f>
        <v/>
      </c>
      <c r="C1091" s="62" t="str">
        <f aca="false">IF($M1091=0,"",INDEX(Classes!$H$6:$H$420,$M1091))</f>
        <v/>
      </c>
      <c r="D1091" s="61" t="str">
        <f aca="false">IF($M1091=0,"",INDEX(Classes!$B$6:$B$420,$M1091))</f>
        <v/>
      </c>
      <c r="E1091" s="61" t="str">
        <f aca="false">IF($M1091=0,"",INDEX(Classes!$C$6:$C$420,$M1091))</f>
        <v/>
      </c>
      <c r="F1091" s="63"/>
      <c r="G1091" s="63"/>
      <c r="H1091" s="60"/>
      <c r="I1091" s="60"/>
      <c r="J1091" s="63"/>
      <c r="K1091" s="61" t="str">
        <f aca="false">IF($P1091=0,"",IF($F1091="Baseline","— Baseline",IF($O1091=0,"No result",IF($N1091=0,"No Start (attainment only)",IF(OR($N1091=1,$O1091=1),"U – needs rule",INDEX(MxBody,MATCH($I1091,MxCurr,0),MATCH($H1091,MxStart,0)))))))</f>
        <v/>
      </c>
      <c r="L1091" s="62" t="str">
        <f aca="false">IF(COUNTA($A1091,$F1091,$G1091,$H1091,$I1091,$J1091)=0,"",IF($M1091=0,"✖ كود الصف غير موجود",IF(ISNA(MATCH($F1091,Lists!$A$2:$A$5,0)),"✖ الفترة غير صحيحة",IF(ISNA(MATCH($G1091,Lists!$B$2:$B$7,0)),"✖ المجموعة غير صحيحة",IF(NOT(OR($H1091="",$N1091&gt;0)),"✖ Start غير صحيح",IF(NOT(OR($I1091="",$I1091="NR",$O1091&gt;0)),"✖ Current غير صحيح",IF(NOT(IF(ISNUMBER($J1091),AND($J1091&gt;=0,$J1091=INT($J1091)),FALSE())),"✖ العدد يجب أن يكون صحيحًا ≥ 0",IF(AND($F1091="Baseline",$H1091&lt;&gt;""),"⚠ Baseline: Start لا يدخل في التقدم",IF($K1091="No Start (attainment only)","ℹ تحصيل فقط (بدون Start)",IF($K1091="U – needs rule","ℹ حالة U تحتاج قاعدة معتمدة",IF($K1091="No result","ℹ بدون نتيجة (يُستبعد من التحصيل)","OK")))))))))))</f>
        <v/>
      </c>
      <c r="M1091" s="64" t="n">
        <f aca="false">IF($A1091="",0,IFERROR(MATCH($A1091,Classes!$A$6:$A$420,0),0))</f>
        <v>0</v>
      </c>
      <c r="N1091" s="64" t="n">
        <f aca="false">IF($H1091="",0,IFERROR(MATCH($H1091,GradeList,0),0))</f>
        <v>0</v>
      </c>
      <c r="O1091" s="64" t="n">
        <f aca="false">IF(OR($I1091="",$I1091="NR"),0,IFERROR(MATCH($I1091,GradeList,0),0))</f>
        <v>0</v>
      </c>
      <c r="P1091" s="64" t="n">
        <f aca="false">IF(AND($M1091&gt;0,ISNUMBER(MATCH($F1091,Lists!$A$2:$A$5,0)),ISNUMBER(MATCH($G1091,Lists!$B$2:$B$7,0)),OR($H1091="",$N1091&gt;0),OR($I1091="",$I1091="NR",$O1091&gt;0),IF(ISNUMBER($J1091),AND($J1091&gt;=0,$J1091=INT($J1091)),FALSE())),$J1091,0)</f>
        <v>0</v>
      </c>
      <c r="Q1091" s="64" t="n">
        <f aca="false">IF(AND($P1091&gt;0,$O1091&gt;0),$P1091,0)</f>
        <v>0</v>
      </c>
      <c r="R1091" s="64" t="n">
        <f aca="false">IF(AND($Q1091&gt;0,$O1091&gt;=AtRank),$Q1091,0)</f>
        <v>0</v>
      </c>
      <c r="S1091" s="64" t="n">
        <f aca="false">IF(AND($Q1091&gt;0,$O1091&gt;=AboveRank),$Q1091,0)</f>
        <v>0</v>
      </c>
      <c r="T1091" s="64" t="n">
        <f aca="false">IF($K1091="Less",$P1091,0)</f>
        <v>0</v>
      </c>
      <c r="U1091" s="64" t="n">
        <f aca="false">IF($K1091="Expected",$P1091,0)</f>
        <v>0</v>
      </c>
      <c r="V1091" s="64" t="n">
        <f aca="false">IF($K1091="Better",$P1091,0)</f>
        <v>0</v>
      </c>
      <c r="W1091" s="64" t="n">
        <f aca="false">IF($K1091="U – needs rule",$P1091,0)</f>
        <v>0</v>
      </c>
      <c r="X1091" s="64" t="n">
        <f aca="false">IF($K1091="No Start (attainment only)",$P1091,0)</f>
        <v>0</v>
      </c>
    </row>
    <row r="1092" customFormat="false" ht="15" hidden="false" customHeight="false" outlineLevel="0" collapsed="false">
      <c r="A1092" s="60"/>
      <c r="B1092" s="61" t="str">
        <f aca="false">IF($M1092=0,"",INDEX(Classes!$E$6:$E$420,$M1092))</f>
        <v/>
      </c>
      <c r="C1092" s="62" t="str">
        <f aca="false">IF($M1092=0,"",INDEX(Classes!$H$6:$H$420,$M1092))</f>
        <v/>
      </c>
      <c r="D1092" s="61" t="str">
        <f aca="false">IF($M1092=0,"",INDEX(Classes!$B$6:$B$420,$M1092))</f>
        <v/>
      </c>
      <c r="E1092" s="61" t="str">
        <f aca="false">IF($M1092=0,"",INDEX(Classes!$C$6:$C$420,$M1092))</f>
        <v/>
      </c>
      <c r="F1092" s="63"/>
      <c r="G1092" s="63"/>
      <c r="H1092" s="60"/>
      <c r="I1092" s="60"/>
      <c r="J1092" s="63"/>
      <c r="K1092" s="61" t="str">
        <f aca="false">IF($P1092=0,"",IF($F1092="Baseline","— Baseline",IF($O1092=0,"No result",IF($N1092=0,"No Start (attainment only)",IF(OR($N1092=1,$O1092=1),"U – needs rule",INDEX(MxBody,MATCH($I1092,MxCurr,0),MATCH($H1092,MxStart,0)))))))</f>
        <v/>
      </c>
      <c r="L1092" s="62" t="str">
        <f aca="false">IF(COUNTA($A1092,$F1092,$G1092,$H1092,$I1092,$J1092)=0,"",IF($M1092=0,"✖ كود الصف غير موجود",IF(ISNA(MATCH($F1092,Lists!$A$2:$A$5,0)),"✖ الفترة غير صحيحة",IF(ISNA(MATCH($G1092,Lists!$B$2:$B$7,0)),"✖ المجموعة غير صحيحة",IF(NOT(OR($H1092="",$N1092&gt;0)),"✖ Start غير صحيح",IF(NOT(OR($I1092="",$I1092="NR",$O1092&gt;0)),"✖ Current غير صحيح",IF(NOT(IF(ISNUMBER($J1092),AND($J1092&gt;=0,$J1092=INT($J1092)),FALSE())),"✖ العدد يجب أن يكون صحيحًا ≥ 0",IF(AND($F1092="Baseline",$H1092&lt;&gt;""),"⚠ Baseline: Start لا يدخل في التقدم",IF($K1092="No Start (attainment only)","ℹ تحصيل فقط (بدون Start)",IF($K1092="U – needs rule","ℹ حالة U تحتاج قاعدة معتمدة",IF($K1092="No result","ℹ بدون نتيجة (يُستبعد من التحصيل)","OK")))))))))))</f>
        <v/>
      </c>
      <c r="M1092" s="64" t="n">
        <f aca="false">IF($A1092="",0,IFERROR(MATCH($A1092,Classes!$A$6:$A$420,0),0))</f>
        <v>0</v>
      </c>
      <c r="N1092" s="64" t="n">
        <f aca="false">IF($H1092="",0,IFERROR(MATCH($H1092,GradeList,0),0))</f>
        <v>0</v>
      </c>
      <c r="O1092" s="64" t="n">
        <f aca="false">IF(OR($I1092="",$I1092="NR"),0,IFERROR(MATCH($I1092,GradeList,0),0))</f>
        <v>0</v>
      </c>
      <c r="P1092" s="64" t="n">
        <f aca="false">IF(AND($M1092&gt;0,ISNUMBER(MATCH($F1092,Lists!$A$2:$A$5,0)),ISNUMBER(MATCH($G1092,Lists!$B$2:$B$7,0)),OR($H1092="",$N1092&gt;0),OR($I1092="",$I1092="NR",$O1092&gt;0),IF(ISNUMBER($J1092),AND($J1092&gt;=0,$J1092=INT($J1092)),FALSE())),$J1092,0)</f>
        <v>0</v>
      </c>
      <c r="Q1092" s="64" t="n">
        <f aca="false">IF(AND($P1092&gt;0,$O1092&gt;0),$P1092,0)</f>
        <v>0</v>
      </c>
      <c r="R1092" s="64" t="n">
        <f aca="false">IF(AND($Q1092&gt;0,$O1092&gt;=AtRank),$Q1092,0)</f>
        <v>0</v>
      </c>
      <c r="S1092" s="64" t="n">
        <f aca="false">IF(AND($Q1092&gt;0,$O1092&gt;=AboveRank),$Q1092,0)</f>
        <v>0</v>
      </c>
      <c r="T1092" s="64" t="n">
        <f aca="false">IF($K1092="Less",$P1092,0)</f>
        <v>0</v>
      </c>
      <c r="U1092" s="64" t="n">
        <f aca="false">IF($K1092="Expected",$P1092,0)</f>
        <v>0</v>
      </c>
      <c r="V1092" s="64" t="n">
        <f aca="false">IF($K1092="Better",$P1092,0)</f>
        <v>0</v>
      </c>
      <c r="W1092" s="64" t="n">
        <f aca="false">IF($K1092="U – needs rule",$P1092,0)</f>
        <v>0</v>
      </c>
      <c r="X1092" s="64" t="n">
        <f aca="false">IF($K1092="No Start (attainment only)",$P1092,0)</f>
        <v>0</v>
      </c>
    </row>
    <row r="1093" customFormat="false" ht="15" hidden="false" customHeight="false" outlineLevel="0" collapsed="false">
      <c r="A1093" s="60"/>
      <c r="B1093" s="61" t="str">
        <f aca="false">IF($M1093=0,"",INDEX(Classes!$E$6:$E$420,$M1093))</f>
        <v/>
      </c>
      <c r="C1093" s="62" t="str">
        <f aca="false">IF($M1093=0,"",INDEX(Classes!$H$6:$H$420,$M1093))</f>
        <v/>
      </c>
      <c r="D1093" s="61" t="str">
        <f aca="false">IF($M1093=0,"",INDEX(Classes!$B$6:$B$420,$M1093))</f>
        <v/>
      </c>
      <c r="E1093" s="61" t="str">
        <f aca="false">IF($M1093=0,"",INDEX(Classes!$C$6:$C$420,$M1093))</f>
        <v/>
      </c>
      <c r="F1093" s="63"/>
      <c r="G1093" s="63"/>
      <c r="H1093" s="60"/>
      <c r="I1093" s="60"/>
      <c r="J1093" s="63"/>
      <c r="K1093" s="61" t="str">
        <f aca="false">IF($P1093=0,"",IF($F1093="Baseline","— Baseline",IF($O1093=0,"No result",IF($N1093=0,"No Start (attainment only)",IF(OR($N1093=1,$O1093=1),"U – needs rule",INDEX(MxBody,MATCH($I1093,MxCurr,0),MATCH($H1093,MxStart,0)))))))</f>
        <v/>
      </c>
      <c r="L1093" s="62" t="str">
        <f aca="false">IF(COUNTA($A1093,$F1093,$G1093,$H1093,$I1093,$J1093)=0,"",IF($M1093=0,"✖ كود الصف غير موجود",IF(ISNA(MATCH($F1093,Lists!$A$2:$A$5,0)),"✖ الفترة غير صحيحة",IF(ISNA(MATCH($G1093,Lists!$B$2:$B$7,0)),"✖ المجموعة غير صحيحة",IF(NOT(OR($H1093="",$N1093&gt;0)),"✖ Start غير صحيح",IF(NOT(OR($I1093="",$I1093="NR",$O1093&gt;0)),"✖ Current غير صحيح",IF(NOT(IF(ISNUMBER($J1093),AND($J1093&gt;=0,$J1093=INT($J1093)),FALSE())),"✖ العدد يجب أن يكون صحيحًا ≥ 0",IF(AND($F1093="Baseline",$H1093&lt;&gt;""),"⚠ Baseline: Start لا يدخل في التقدم",IF($K1093="No Start (attainment only)","ℹ تحصيل فقط (بدون Start)",IF($K1093="U – needs rule","ℹ حالة U تحتاج قاعدة معتمدة",IF($K1093="No result","ℹ بدون نتيجة (يُستبعد من التحصيل)","OK")))))))))))</f>
        <v/>
      </c>
      <c r="M1093" s="64" t="n">
        <f aca="false">IF($A1093="",0,IFERROR(MATCH($A1093,Classes!$A$6:$A$420,0),0))</f>
        <v>0</v>
      </c>
      <c r="N1093" s="64" t="n">
        <f aca="false">IF($H1093="",0,IFERROR(MATCH($H1093,GradeList,0),0))</f>
        <v>0</v>
      </c>
      <c r="O1093" s="64" t="n">
        <f aca="false">IF(OR($I1093="",$I1093="NR"),0,IFERROR(MATCH($I1093,GradeList,0),0))</f>
        <v>0</v>
      </c>
      <c r="P1093" s="64" t="n">
        <f aca="false">IF(AND($M1093&gt;0,ISNUMBER(MATCH($F1093,Lists!$A$2:$A$5,0)),ISNUMBER(MATCH($G1093,Lists!$B$2:$B$7,0)),OR($H1093="",$N1093&gt;0),OR($I1093="",$I1093="NR",$O1093&gt;0),IF(ISNUMBER($J1093),AND($J1093&gt;=0,$J1093=INT($J1093)),FALSE())),$J1093,0)</f>
        <v>0</v>
      </c>
      <c r="Q1093" s="64" t="n">
        <f aca="false">IF(AND($P1093&gt;0,$O1093&gt;0),$P1093,0)</f>
        <v>0</v>
      </c>
      <c r="R1093" s="64" t="n">
        <f aca="false">IF(AND($Q1093&gt;0,$O1093&gt;=AtRank),$Q1093,0)</f>
        <v>0</v>
      </c>
      <c r="S1093" s="64" t="n">
        <f aca="false">IF(AND($Q1093&gt;0,$O1093&gt;=AboveRank),$Q1093,0)</f>
        <v>0</v>
      </c>
      <c r="T1093" s="64" t="n">
        <f aca="false">IF($K1093="Less",$P1093,0)</f>
        <v>0</v>
      </c>
      <c r="U1093" s="64" t="n">
        <f aca="false">IF($K1093="Expected",$P1093,0)</f>
        <v>0</v>
      </c>
      <c r="V1093" s="64" t="n">
        <f aca="false">IF($K1093="Better",$P1093,0)</f>
        <v>0</v>
      </c>
      <c r="W1093" s="64" t="n">
        <f aca="false">IF($K1093="U – needs rule",$P1093,0)</f>
        <v>0</v>
      </c>
      <c r="X1093" s="64" t="n">
        <f aca="false">IF($K1093="No Start (attainment only)",$P1093,0)</f>
        <v>0</v>
      </c>
    </row>
    <row r="1094" customFormat="false" ht="15" hidden="false" customHeight="false" outlineLevel="0" collapsed="false">
      <c r="A1094" s="60"/>
      <c r="B1094" s="61" t="str">
        <f aca="false">IF($M1094=0,"",INDEX(Classes!$E$6:$E$420,$M1094))</f>
        <v/>
      </c>
      <c r="C1094" s="62" t="str">
        <f aca="false">IF($M1094=0,"",INDEX(Classes!$H$6:$H$420,$M1094))</f>
        <v/>
      </c>
      <c r="D1094" s="61" t="str">
        <f aca="false">IF($M1094=0,"",INDEX(Classes!$B$6:$B$420,$M1094))</f>
        <v/>
      </c>
      <c r="E1094" s="61" t="str">
        <f aca="false">IF($M1094=0,"",INDEX(Classes!$C$6:$C$420,$M1094))</f>
        <v/>
      </c>
      <c r="F1094" s="63"/>
      <c r="G1094" s="63"/>
      <c r="H1094" s="60"/>
      <c r="I1094" s="60"/>
      <c r="J1094" s="63"/>
      <c r="K1094" s="61" t="str">
        <f aca="false">IF($P1094=0,"",IF($F1094="Baseline","— Baseline",IF($O1094=0,"No result",IF($N1094=0,"No Start (attainment only)",IF(OR($N1094=1,$O1094=1),"U – needs rule",INDEX(MxBody,MATCH($I1094,MxCurr,0),MATCH($H1094,MxStart,0)))))))</f>
        <v/>
      </c>
      <c r="L1094" s="62" t="str">
        <f aca="false">IF(COUNTA($A1094,$F1094,$G1094,$H1094,$I1094,$J1094)=0,"",IF($M1094=0,"✖ كود الصف غير موجود",IF(ISNA(MATCH($F1094,Lists!$A$2:$A$5,0)),"✖ الفترة غير صحيحة",IF(ISNA(MATCH($G1094,Lists!$B$2:$B$7,0)),"✖ المجموعة غير صحيحة",IF(NOT(OR($H1094="",$N1094&gt;0)),"✖ Start غير صحيح",IF(NOT(OR($I1094="",$I1094="NR",$O1094&gt;0)),"✖ Current غير صحيح",IF(NOT(IF(ISNUMBER($J1094),AND($J1094&gt;=0,$J1094=INT($J1094)),FALSE())),"✖ العدد يجب أن يكون صحيحًا ≥ 0",IF(AND($F1094="Baseline",$H1094&lt;&gt;""),"⚠ Baseline: Start لا يدخل في التقدم",IF($K1094="No Start (attainment only)","ℹ تحصيل فقط (بدون Start)",IF($K1094="U – needs rule","ℹ حالة U تحتاج قاعدة معتمدة",IF($K1094="No result","ℹ بدون نتيجة (يُستبعد من التحصيل)","OK")))))))))))</f>
        <v/>
      </c>
      <c r="M1094" s="64" t="n">
        <f aca="false">IF($A1094="",0,IFERROR(MATCH($A1094,Classes!$A$6:$A$420,0),0))</f>
        <v>0</v>
      </c>
      <c r="N1094" s="64" t="n">
        <f aca="false">IF($H1094="",0,IFERROR(MATCH($H1094,GradeList,0),0))</f>
        <v>0</v>
      </c>
      <c r="O1094" s="64" t="n">
        <f aca="false">IF(OR($I1094="",$I1094="NR"),0,IFERROR(MATCH($I1094,GradeList,0),0))</f>
        <v>0</v>
      </c>
      <c r="P1094" s="64" t="n">
        <f aca="false">IF(AND($M1094&gt;0,ISNUMBER(MATCH($F1094,Lists!$A$2:$A$5,0)),ISNUMBER(MATCH($G1094,Lists!$B$2:$B$7,0)),OR($H1094="",$N1094&gt;0),OR($I1094="",$I1094="NR",$O1094&gt;0),IF(ISNUMBER($J1094),AND($J1094&gt;=0,$J1094=INT($J1094)),FALSE())),$J1094,0)</f>
        <v>0</v>
      </c>
      <c r="Q1094" s="64" t="n">
        <f aca="false">IF(AND($P1094&gt;0,$O1094&gt;0),$P1094,0)</f>
        <v>0</v>
      </c>
      <c r="R1094" s="64" t="n">
        <f aca="false">IF(AND($Q1094&gt;0,$O1094&gt;=AtRank),$Q1094,0)</f>
        <v>0</v>
      </c>
      <c r="S1094" s="64" t="n">
        <f aca="false">IF(AND($Q1094&gt;0,$O1094&gt;=AboveRank),$Q1094,0)</f>
        <v>0</v>
      </c>
      <c r="T1094" s="64" t="n">
        <f aca="false">IF($K1094="Less",$P1094,0)</f>
        <v>0</v>
      </c>
      <c r="U1094" s="64" t="n">
        <f aca="false">IF($K1094="Expected",$P1094,0)</f>
        <v>0</v>
      </c>
      <c r="V1094" s="64" t="n">
        <f aca="false">IF($K1094="Better",$P1094,0)</f>
        <v>0</v>
      </c>
      <c r="W1094" s="64" t="n">
        <f aca="false">IF($K1094="U – needs rule",$P1094,0)</f>
        <v>0</v>
      </c>
      <c r="X1094" s="64" t="n">
        <f aca="false">IF($K1094="No Start (attainment only)",$P1094,0)</f>
        <v>0</v>
      </c>
    </row>
    <row r="1095" customFormat="false" ht="15" hidden="false" customHeight="false" outlineLevel="0" collapsed="false">
      <c r="A1095" s="60"/>
      <c r="B1095" s="61" t="str">
        <f aca="false">IF($M1095=0,"",INDEX(Classes!$E$6:$E$420,$M1095))</f>
        <v/>
      </c>
      <c r="C1095" s="62" t="str">
        <f aca="false">IF($M1095=0,"",INDEX(Classes!$H$6:$H$420,$M1095))</f>
        <v/>
      </c>
      <c r="D1095" s="61" t="str">
        <f aca="false">IF($M1095=0,"",INDEX(Classes!$B$6:$B$420,$M1095))</f>
        <v/>
      </c>
      <c r="E1095" s="61" t="str">
        <f aca="false">IF($M1095=0,"",INDEX(Classes!$C$6:$C$420,$M1095))</f>
        <v/>
      </c>
      <c r="F1095" s="63"/>
      <c r="G1095" s="63"/>
      <c r="H1095" s="60"/>
      <c r="I1095" s="60"/>
      <c r="J1095" s="63"/>
      <c r="K1095" s="61" t="str">
        <f aca="false">IF($P1095=0,"",IF($F1095="Baseline","— Baseline",IF($O1095=0,"No result",IF($N1095=0,"No Start (attainment only)",IF(OR($N1095=1,$O1095=1),"U – needs rule",INDEX(MxBody,MATCH($I1095,MxCurr,0),MATCH($H1095,MxStart,0)))))))</f>
        <v/>
      </c>
      <c r="L1095" s="62" t="str">
        <f aca="false">IF(COUNTA($A1095,$F1095,$G1095,$H1095,$I1095,$J1095)=0,"",IF($M1095=0,"✖ كود الصف غير موجود",IF(ISNA(MATCH($F1095,Lists!$A$2:$A$5,0)),"✖ الفترة غير صحيحة",IF(ISNA(MATCH($G1095,Lists!$B$2:$B$7,0)),"✖ المجموعة غير صحيحة",IF(NOT(OR($H1095="",$N1095&gt;0)),"✖ Start غير صحيح",IF(NOT(OR($I1095="",$I1095="NR",$O1095&gt;0)),"✖ Current غير صحيح",IF(NOT(IF(ISNUMBER($J1095),AND($J1095&gt;=0,$J1095=INT($J1095)),FALSE())),"✖ العدد يجب أن يكون صحيحًا ≥ 0",IF(AND($F1095="Baseline",$H1095&lt;&gt;""),"⚠ Baseline: Start لا يدخل في التقدم",IF($K1095="No Start (attainment only)","ℹ تحصيل فقط (بدون Start)",IF($K1095="U – needs rule","ℹ حالة U تحتاج قاعدة معتمدة",IF($K1095="No result","ℹ بدون نتيجة (يُستبعد من التحصيل)","OK")))))))))))</f>
        <v/>
      </c>
      <c r="M1095" s="64" t="n">
        <f aca="false">IF($A1095="",0,IFERROR(MATCH($A1095,Classes!$A$6:$A$420,0),0))</f>
        <v>0</v>
      </c>
      <c r="N1095" s="64" t="n">
        <f aca="false">IF($H1095="",0,IFERROR(MATCH($H1095,GradeList,0),0))</f>
        <v>0</v>
      </c>
      <c r="O1095" s="64" t="n">
        <f aca="false">IF(OR($I1095="",$I1095="NR"),0,IFERROR(MATCH($I1095,GradeList,0),0))</f>
        <v>0</v>
      </c>
      <c r="P1095" s="64" t="n">
        <f aca="false">IF(AND($M1095&gt;0,ISNUMBER(MATCH($F1095,Lists!$A$2:$A$5,0)),ISNUMBER(MATCH($G1095,Lists!$B$2:$B$7,0)),OR($H1095="",$N1095&gt;0),OR($I1095="",$I1095="NR",$O1095&gt;0),IF(ISNUMBER($J1095),AND($J1095&gt;=0,$J1095=INT($J1095)),FALSE())),$J1095,0)</f>
        <v>0</v>
      </c>
      <c r="Q1095" s="64" t="n">
        <f aca="false">IF(AND($P1095&gt;0,$O1095&gt;0),$P1095,0)</f>
        <v>0</v>
      </c>
      <c r="R1095" s="64" t="n">
        <f aca="false">IF(AND($Q1095&gt;0,$O1095&gt;=AtRank),$Q1095,0)</f>
        <v>0</v>
      </c>
      <c r="S1095" s="64" t="n">
        <f aca="false">IF(AND($Q1095&gt;0,$O1095&gt;=AboveRank),$Q1095,0)</f>
        <v>0</v>
      </c>
      <c r="T1095" s="64" t="n">
        <f aca="false">IF($K1095="Less",$P1095,0)</f>
        <v>0</v>
      </c>
      <c r="U1095" s="64" t="n">
        <f aca="false">IF($K1095="Expected",$P1095,0)</f>
        <v>0</v>
      </c>
      <c r="V1095" s="64" t="n">
        <f aca="false">IF($K1095="Better",$P1095,0)</f>
        <v>0</v>
      </c>
      <c r="W1095" s="64" t="n">
        <f aca="false">IF($K1095="U – needs rule",$P1095,0)</f>
        <v>0</v>
      </c>
      <c r="X1095" s="64" t="n">
        <f aca="false">IF($K1095="No Start (attainment only)",$P1095,0)</f>
        <v>0</v>
      </c>
    </row>
    <row r="1096" customFormat="false" ht="15" hidden="false" customHeight="false" outlineLevel="0" collapsed="false">
      <c r="A1096" s="60"/>
      <c r="B1096" s="61" t="str">
        <f aca="false">IF($M1096=0,"",INDEX(Classes!$E$6:$E$420,$M1096))</f>
        <v/>
      </c>
      <c r="C1096" s="62" t="str">
        <f aca="false">IF($M1096=0,"",INDEX(Classes!$H$6:$H$420,$M1096))</f>
        <v/>
      </c>
      <c r="D1096" s="61" t="str">
        <f aca="false">IF($M1096=0,"",INDEX(Classes!$B$6:$B$420,$M1096))</f>
        <v/>
      </c>
      <c r="E1096" s="61" t="str">
        <f aca="false">IF($M1096=0,"",INDEX(Classes!$C$6:$C$420,$M1096))</f>
        <v/>
      </c>
      <c r="F1096" s="63"/>
      <c r="G1096" s="63"/>
      <c r="H1096" s="60"/>
      <c r="I1096" s="60"/>
      <c r="J1096" s="63"/>
      <c r="K1096" s="61" t="str">
        <f aca="false">IF($P1096=0,"",IF($F1096="Baseline","— Baseline",IF($O1096=0,"No result",IF($N1096=0,"No Start (attainment only)",IF(OR($N1096=1,$O1096=1),"U – needs rule",INDEX(MxBody,MATCH($I1096,MxCurr,0),MATCH($H1096,MxStart,0)))))))</f>
        <v/>
      </c>
      <c r="L1096" s="62" t="str">
        <f aca="false">IF(COUNTA($A1096,$F1096,$G1096,$H1096,$I1096,$J1096)=0,"",IF($M1096=0,"✖ كود الصف غير موجود",IF(ISNA(MATCH($F1096,Lists!$A$2:$A$5,0)),"✖ الفترة غير صحيحة",IF(ISNA(MATCH($G1096,Lists!$B$2:$B$7,0)),"✖ المجموعة غير صحيحة",IF(NOT(OR($H1096="",$N1096&gt;0)),"✖ Start غير صحيح",IF(NOT(OR($I1096="",$I1096="NR",$O1096&gt;0)),"✖ Current غير صحيح",IF(NOT(IF(ISNUMBER($J1096),AND($J1096&gt;=0,$J1096=INT($J1096)),FALSE())),"✖ العدد يجب أن يكون صحيحًا ≥ 0",IF(AND($F1096="Baseline",$H1096&lt;&gt;""),"⚠ Baseline: Start لا يدخل في التقدم",IF($K1096="No Start (attainment only)","ℹ تحصيل فقط (بدون Start)",IF($K1096="U – needs rule","ℹ حالة U تحتاج قاعدة معتمدة",IF($K1096="No result","ℹ بدون نتيجة (يُستبعد من التحصيل)","OK")))))))))))</f>
        <v/>
      </c>
      <c r="M1096" s="64" t="n">
        <f aca="false">IF($A1096="",0,IFERROR(MATCH($A1096,Classes!$A$6:$A$420,0),0))</f>
        <v>0</v>
      </c>
      <c r="N1096" s="64" t="n">
        <f aca="false">IF($H1096="",0,IFERROR(MATCH($H1096,GradeList,0),0))</f>
        <v>0</v>
      </c>
      <c r="O1096" s="64" t="n">
        <f aca="false">IF(OR($I1096="",$I1096="NR"),0,IFERROR(MATCH($I1096,GradeList,0),0))</f>
        <v>0</v>
      </c>
      <c r="P1096" s="64" t="n">
        <f aca="false">IF(AND($M1096&gt;0,ISNUMBER(MATCH($F1096,Lists!$A$2:$A$5,0)),ISNUMBER(MATCH($G1096,Lists!$B$2:$B$7,0)),OR($H1096="",$N1096&gt;0),OR($I1096="",$I1096="NR",$O1096&gt;0),IF(ISNUMBER($J1096),AND($J1096&gt;=0,$J1096=INT($J1096)),FALSE())),$J1096,0)</f>
        <v>0</v>
      </c>
      <c r="Q1096" s="64" t="n">
        <f aca="false">IF(AND($P1096&gt;0,$O1096&gt;0),$P1096,0)</f>
        <v>0</v>
      </c>
      <c r="R1096" s="64" t="n">
        <f aca="false">IF(AND($Q1096&gt;0,$O1096&gt;=AtRank),$Q1096,0)</f>
        <v>0</v>
      </c>
      <c r="S1096" s="64" t="n">
        <f aca="false">IF(AND($Q1096&gt;0,$O1096&gt;=AboveRank),$Q1096,0)</f>
        <v>0</v>
      </c>
      <c r="T1096" s="64" t="n">
        <f aca="false">IF($K1096="Less",$P1096,0)</f>
        <v>0</v>
      </c>
      <c r="U1096" s="64" t="n">
        <f aca="false">IF($K1096="Expected",$P1096,0)</f>
        <v>0</v>
      </c>
      <c r="V1096" s="64" t="n">
        <f aca="false">IF($K1096="Better",$P1096,0)</f>
        <v>0</v>
      </c>
      <c r="W1096" s="64" t="n">
        <f aca="false">IF($K1096="U – needs rule",$P1096,0)</f>
        <v>0</v>
      </c>
      <c r="X1096" s="64" t="n">
        <f aca="false">IF($K1096="No Start (attainment only)",$P1096,0)</f>
        <v>0</v>
      </c>
    </row>
    <row r="1097" customFormat="false" ht="15" hidden="false" customHeight="false" outlineLevel="0" collapsed="false">
      <c r="A1097" s="60"/>
      <c r="B1097" s="61" t="str">
        <f aca="false">IF($M1097=0,"",INDEX(Classes!$E$6:$E$420,$M1097))</f>
        <v/>
      </c>
      <c r="C1097" s="62" t="str">
        <f aca="false">IF($M1097=0,"",INDEX(Classes!$H$6:$H$420,$M1097))</f>
        <v/>
      </c>
      <c r="D1097" s="61" t="str">
        <f aca="false">IF($M1097=0,"",INDEX(Classes!$B$6:$B$420,$M1097))</f>
        <v/>
      </c>
      <c r="E1097" s="61" t="str">
        <f aca="false">IF($M1097=0,"",INDEX(Classes!$C$6:$C$420,$M1097))</f>
        <v/>
      </c>
      <c r="F1097" s="63"/>
      <c r="G1097" s="63"/>
      <c r="H1097" s="60"/>
      <c r="I1097" s="60"/>
      <c r="J1097" s="63"/>
      <c r="K1097" s="61" t="str">
        <f aca="false">IF($P1097=0,"",IF($F1097="Baseline","— Baseline",IF($O1097=0,"No result",IF($N1097=0,"No Start (attainment only)",IF(OR($N1097=1,$O1097=1),"U – needs rule",INDEX(MxBody,MATCH($I1097,MxCurr,0),MATCH($H1097,MxStart,0)))))))</f>
        <v/>
      </c>
      <c r="L1097" s="62" t="str">
        <f aca="false">IF(COUNTA($A1097,$F1097,$G1097,$H1097,$I1097,$J1097)=0,"",IF($M1097=0,"✖ كود الصف غير موجود",IF(ISNA(MATCH($F1097,Lists!$A$2:$A$5,0)),"✖ الفترة غير صحيحة",IF(ISNA(MATCH($G1097,Lists!$B$2:$B$7,0)),"✖ المجموعة غير صحيحة",IF(NOT(OR($H1097="",$N1097&gt;0)),"✖ Start غير صحيح",IF(NOT(OR($I1097="",$I1097="NR",$O1097&gt;0)),"✖ Current غير صحيح",IF(NOT(IF(ISNUMBER($J1097),AND($J1097&gt;=0,$J1097=INT($J1097)),FALSE())),"✖ العدد يجب أن يكون صحيحًا ≥ 0",IF(AND($F1097="Baseline",$H1097&lt;&gt;""),"⚠ Baseline: Start لا يدخل في التقدم",IF($K1097="No Start (attainment only)","ℹ تحصيل فقط (بدون Start)",IF($K1097="U – needs rule","ℹ حالة U تحتاج قاعدة معتمدة",IF($K1097="No result","ℹ بدون نتيجة (يُستبعد من التحصيل)","OK")))))))))))</f>
        <v/>
      </c>
      <c r="M1097" s="64" t="n">
        <f aca="false">IF($A1097="",0,IFERROR(MATCH($A1097,Classes!$A$6:$A$420,0),0))</f>
        <v>0</v>
      </c>
      <c r="N1097" s="64" t="n">
        <f aca="false">IF($H1097="",0,IFERROR(MATCH($H1097,GradeList,0),0))</f>
        <v>0</v>
      </c>
      <c r="O1097" s="64" t="n">
        <f aca="false">IF(OR($I1097="",$I1097="NR"),0,IFERROR(MATCH($I1097,GradeList,0),0))</f>
        <v>0</v>
      </c>
      <c r="P1097" s="64" t="n">
        <f aca="false">IF(AND($M1097&gt;0,ISNUMBER(MATCH($F1097,Lists!$A$2:$A$5,0)),ISNUMBER(MATCH($G1097,Lists!$B$2:$B$7,0)),OR($H1097="",$N1097&gt;0),OR($I1097="",$I1097="NR",$O1097&gt;0),IF(ISNUMBER($J1097),AND($J1097&gt;=0,$J1097=INT($J1097)),FALSE())),$J1097,0)</f>
        <v>0</v>
      </c>
      <c r="Q1097" s="64" t="n">
        <f aca="false">IF(AND($P1097&gt;0,$O1097&gt;0),$P1097,0)</f>
        <v>0</v>
      </c>
      <c r="R1097" s="64" t="n">
        <f aca="false">IF(AND($Q1097&gt;0,$O1097&gt;=AtRank),$Q1097,0)</f>
        <v>0</v>
      </c>
      <c r="S1097" s="64" t="n">
        <f aca="false">IF(AND($Q1097&gt;0,$O1097&gt;=AboveRank),$Q1097,0)</f>
        <v>0</v>
      </c>
      <c r="T1097" s="64" t="n">
        <f aca="false">IF($K1097="Less",$P1097,0)</f>
        <v>0</v>
      </c>
      <c r="U1097" s="64" t="n">
        <f aca="false">IF($K1097="Expected",$P1097,0)</f>
        <v>0</v>
      </c>
      <c r="V1097" s="64" t="n">
        <f aca="false">IF($K1097="Better",$P1097,0)</f>
        <v>0</v>
      </c>
      <c r="W1097" s="64" t="n">
        <f aca="false">IF($K1097="U – needs rule",$P1097,0)</f>
        <v>0</v>
      </c>
      <c r="X1097" s="64" t="n">
        <f aca="false">IF($K1097="No Start (attainment only)",$P1097,0)</f>
        <v>0</v>
      </c>
    </row>
    <row r="1098" customFormat="false" ht="15" hidden="false" customHeight="false" outlineLevel="0" collapsed="false">
      <c r="A1098" s="60"/>
      <c r="B1098" s="61" t="str">
        <f aca="false">IF($M1098=0,"",INDEX(Classes!$E$6:$E$420,$M1098))</f>
        <v/>
      </c>
      <c r="C1098" s="62" t="str">
        <f aca="false">IF($M1098=0,"",INDEX(Classes!$H$6:$H$420,$M1098))</f>
        <v/>
      </c>
      <c r="D1098" s="61" t="str">
        <f aca="false">IF($M1098=0,"",INDEX(Classes!$B$6:$B$420,$M1098))</f>
        <v/>
      </c>
      <c r="E1098" s="61" t="str">
        <f aca="false">IF($M1098=0,"",INDEX(Classes!$C$6:$C$420,$M1098))</f>
        <v/>
      </c>
      <c r="F1098" s="63"/>
      <c r="G1098" s="63"/>
      <c r="H1098" s="60"/>
      <c r="I1098" s="60"/>
      <c r="J1098" s="63"/>
      <c r="K1098" s="61" t="str">
        <f aca="false">IF($P1098=0,"",IF($F1098="Baseline","— Baseline",IF($O1098=0,"No result",IF($N1098=0,"No Start (attainment only)",IF(OR($N1098=1,$O1098=1),"U – needs rule",INDEX(MxBody,MATCH($I1098,MxCurr,0),MATCH($H1098,MxStart,0)))))))</f>
        <v/>
      </c>
      <c r="L1098" s="62" t="str">
        <f aca="false">IF(COUNTA($A1098,$F1098,$G1098,$H1098,$I1098,$J1098)=0,"",IF($M1098=0,"✖ كود الصف غير موجود",IF(ISNA(MATCH($F1098,Lists!$A$2:$A$5,0)),"✖ الفترة غير صحيحة",IF(ISNA(MATCH($G1098,Lists!$B$2:$B$7,0)),"✖ المجموعة غير صحيحة",IF(NOT(OR($H1098="",$N1098&gt;0)),"✖ Start غير صحيح",IF(NOT(OR($I1098="",$I1098="NR",$O1098&gt;0)),"✖ Current غير صحيح",IF(NOT(IF(ISNUMBER($J1098),AND($J1098&gt;=0,$J1098=INT($J1098)),FALSE())),"✖ العدد يجب أن يكون صحيحًا ≥ 0",IF(AND($F1098="Baseline",$H1098&lt;&gt;""),"⚠ Baseline: Start لا يدخل في التقدم",IF($K1098="No Start (attainment only)","ℹ تحصيل فقط (بدون Start)",IF($K1098="U – needs rule","ℹ حالة U تحتاج قاعدة معتمدة",IF($K1098="No result","ℹ بدون نتيجة (يُستبعد من التحصيل)","OK")))))))))))</f>
        <v/>
      </c>
      <c r="M1098" s="64" t="n">
        <f aca="false">IF($A1098="",0,IFERROR(MATCH($A1098,Classes!$A$6:$A$420,0),0))</f>
        <v>0</v>
      </c>
      <c r="N1098" s="64" t="n">
        <f aca="false">IF($H1098="",0,IFERROR(MATCH($H1098,GradeList,0),0))</f>
        <v>0</v>
      </c>
      <c r="O1098" s="64" t="n">
        <f aca="false">IF(OR($I1098="",$I1098="NR"),0,IFERROR(MATCH($I1098,GradeList,0),0))</f>
        <v>0</v>
      </c>
      <c r="P1098" s="64" t="n">
        <f aca="false">IF(AND($M1098&gt;0,ISNUMBER(MATCH($F1098,Lists!$A$2:$A$5,0)),ISNUMBER(MATCH($G1098,Lists!$B$2:$B$7,0)),OR($H1098="",$N1098&gt;0),OR($I1098="",$I1098="NR",$O1098&gt;0),IF(ISNUMBER($J1098),AND($J1098&gt;=0,$J1098=INT($J1098)),FALSE())),$J1098,0)</f>
        <v>0</v>
      </c>
      <c r="Q1098" s="64" t="n">
        <f aca="false">IF(AND($P1098&gt;0,$O1098&gt;0),$P1098,0)</f>
        <v>0</v>
      </c>
      <c r="R1098" s="64" t="n">
        <f aca="false">IF(AND($Q1098&gt;0,$O1098&gt;=AtRank),$Q1098,0)</f>
        <v>0</v>
      </c>
      <c r="S1098" s="64" t="n">
        <f aca="false">IF(AND($Q1098&gt;0,$O1098&gt;=AboveRank),$Q1098,0)</f>
        <v>0</v>
      </c>
      <c r="T1098" s="64" t="n">
        <f aca="false">IF($K1098="Less",$P1098,0)</f>
        <v>0</v>
      </c>
      <c r="U1098" s="64" t="n">
        <f aca="false">IF($K1098="Expected",$P1098,0)</f>
        <v>0</v>
      </c>
      <c r="V1098" s="64" t="n">
        <f aca="false">IF($K1098="Better",$P1098,0)</f>
        <v>0</v>
      </c>
      <c r="W1098" s="64" t="n">
        <f aca="false">IF($K1098="U – needs rule",$P1098,0)</f>
        <v>0</v>
      </c>
      <c r="X1098" s="64" t="n">
        <f aca="false">IF($K1098="No Start (attainment only)",$P1098,0)</f>
        <v>0</v>
      </c>
    </row>
    <row r="1099" customFormat="false" ht="15" hidden="false" customHeight="false" outlineLevel="0" collapsed="false">
      <c r="A1099" s="60"/>
      <c r="B1099" s="61" t="str">
        <f aca="false">IF($M1099=0,"",INDEX(Classes!$E$6:$E$420,$M1099))</f>
        <v/>
      </c>
      <c r="C1099" s="62" t="str">
        <f aca="false">IF($M1099=0,"",INDEX(Classes!$H$6:$H$420,$M1099))</f>
        <v/>
      </c>
      <c r="D1099" s="61" t="str">
        <f aca="false">IF($M1099=0,"",INDEX(Classes!$B$6:$B$420,$M1099))</f>
        <v/>
      </c>
      <c r="E1099" s="61" t="str">
        <f aca="false">IF($M1099=0,"",INDEX(Classes!$C$6:$C$420,$M1099))</f>
        <v/>
      </c>
      <c r="F1099" s="63"/>
      <c r="G1099" s="63"/>
      <c r="H1099" s="60"/>
      <c r="I1099" s="60"/>
      <c r="J1099" s="63"/>
      <c r="K1099" s="61" t="str">
        <f aca="false">IF($P1099=0,"",IF($F1099="Baseline","— Baseline",IF($O1099=0,"No result",IF($N1099=0,"No Start (attainment only)",IF(OR($N1099=1,$O1099=1),"U – needs rule",INDEX(MxBody,MATCH($I1099,MxCurr,0),MATCH($H1099,MxStart,0)))))))</f>
        <v/>
      </c>
      <c r="L1099" s="62" t="str">
        <f aca="false">IF(COUNTA($A1099,$F1099,$G1099,$H1099,$I1099,$J1099)=0,"",IF($M1099=0,"✖ كود الصف غير موجود",IF(ISNA(MATCH($F1099,Lists!$A$2:$A$5,0)),"✖ الفترة غير صحيحة",IF(ISNA(MATCH($G1099,Lists!$B$2:$B$7,0)),"✖ المجموعة غير صحيحة",IF(NOT(OR($H1099="",$N1099&gt;0)),"✖ Start غير صحيح",IF(NOT(OR($I1099="",$I1099="NR",$O1099&gt;0)),"✖ Current غير صحيح",IF(NOT(IF(ISNUMBER($J1099),AND($J1099&gt;=0,$J1099=INT($J1099)),FALSE())),"✖ العدد يجب أن يكون صحيحًا ≥ 0",IF(AND($F1099="Baseline",$H1099&lt;&gt;""),"⚠ Baseline: Start لا يدخل في التقدم",IF($K1099="No Start (attainment only)","ℹ تحصيل فقط (بدون Start)",IF($K1099="U – needs rule","ℹ حالة U تحتاج قاعدة معتمدة",IF($K1099="No result","ℹ بدون نتيجة (يُستبعد من التحصيل)","OK")))))))))))</f>
        <v/>
      </c>
      <c r="M1099" s="64" t="n">
        <f aca="false">IF($A1099="",0,IFERROR(MATCH($A1099,Classes!$A$6:$A$420,0),0))</f>
        <v>0</v>
      </c>
      <c r="N1099" s="64" t="n">
        <f aca="false">IF($H1099="",0,IFERROR(MATCH($H1099,GradeList,0),0))</f>
        <v>0</v>
      </c>
      <c r="O1099" s="64" t="n">
        <f aca="false">IF(OR($I1099="",$I1099="NR"),0,IFERROR(MATCH($I1099,GradeList,0),0))</f>
        <v>0</v>
      </c>
      <c r="P1099" s="64" t="n">
        <f aca="false">IF(AND($M1099&gt;0,ISNUMBER(MATCH($F1099,Lists!$A$2:$A$5,0)),ISNUMBER(MATCH($G1099,Lists!$B$2:$B$7,0)),OR($H1099="",$N1099&gt;0),OR($I1099="",$I1099="NR",$O1099&gt;0),IF(ISNUMBER($J1099),AND($J1099&gt;=0,$J1099=INT($J1099)),FALSE())),$J1099,0)</f>
        <v>0</v>
      </c>
      <c r="Q1099" s="64" t="n">
        <f aca="false">IF(AND($P1099&gt;0,$O1099&gt;0),$P1099,0)</f>
        <v>0</v>
      </c>
      <c r="R1099" s="64" t="n">
        <f aca="false">IF(AND($Q1099&gt;0,$O1099&gt;=AtRank),$Q1099,0)</f>
        <v>0</v>
      </c>
      <c r="S1099" s="64" t="n">
        <f aca="false">IF(AND($Q1099&gt;0,$O1099&gt;=AboveRank),$Q1099,0)</f>
        <v>0</v>
      </c>
      <c r="T1099" s="64" t="n">
        <f aca="false">IF($K1099="Less",$P1099,0)</f>
        <v>0</v>
      </c>
      <c r="U1099" s="64" t="n">
        <f aca="false">IF($K1099="Expected",$P1099,0)</f>
        <v>0</v>
      </c>
      <c r="V1099" s="64" t="n">
        <f aca="false">IF($K1099="Better",$P1099,0)</f>
        <v>0</v>
      </c>
      <c r="W1099" s="64" t="n">
        <f aca="false">IF($K1099="U – needs rule",$P1099,0)</f>
        <v>0</v>
      </c>
      <c r="X1099" s="64" t="n">
        <f aca="false">IF($K1099="No Start (attainment only)",$P1099,0)</f>
        <v>0</v>
      </c>
    </row>
    <row r="1100" customFormat="false" ht="15" hidden="false" customHeight="false" outlineLevel="0" collapsed="false">
      <c r="A1100" s="60"/>
      <c r="B1100" s="61" t="str">
        <f aca="false">IF($M1100=0,"",INDEX(Classes!$E$6:$E$420,$M1100))</f>
        <v/>
      </c>
      <c r="C1100" s="62" t="str">
        <f aca="false">IF($M1100=0,"",INDEX(Classes!$H$6:$H$420,$M1100))</f>
        <v/>
      </c>
      <c r="D1100" s="61" t="str">
        <f aca="false">IF($M1100=0,"",INDEX(Classes!$B$6:$B$420,$M1100))</f>
        <v/>
      </c>
      <c r="E1100" s="61" t="str">
        <f aca="false">IF($M1100=0,"",INDEX(Classes!$C$6:$C$420,$M1100))</f>
        <v/>
      </c>
      <c r="F1100" s="63"/>
      <c r="G1100" s="63"/>
      <c r="H1100" s="60"/>
      <c r="I1100" s="60"/>
      <c r="J1100" s="63"/>
      <c r="K1100" s="61" t="str">
        <f aca="false">IF($P1100=0,"",IF($F1100="Baseline","— Baseline",IF($O1100=0,"No result",IF($N1100=0,"No Start (attainment only)",IF(OR($N1100=1,$O1100=1),"U – needs rule",INDEX(MxBody,MATCH($I1100,MxCurr,0),MATCH($H1100,MxStart,0)))))))</f>
        <v/>
      </c>
      <c r="L1100" s="62" t="str">
        <f aca="false">IF(COUNTA($A1100,$F1100,$G1100,$H1100,$I1100,$J1100)=0,"",IF($M1100=0,"✖ كود الصف غير موجود",IF(ISNA(MATCH($F1100,Lists!$A$2:$A$5,0)),"✖ الفترة غير صحيحة",IF(ISNA(MATCH($G1100,Lists!$B$2:$B$7,0)),"✖ المجموعة غير صحيحة",IF(NOT(OR($H1100="",$N1100&gt;0)),"✖ Start غير صحيح",IF(NOT(OR($I1100="",$I1100="NR",$O1100&gt;0)),"✖ Current غير صحيح",IF(NOT(IF(ISNUMBER($J1100),AND($J1100&gt;=0,$J1100=INT($J1100)),FALSE())),"✖ العدد يجب أن يكون صحيحًا ≥ 0",IF(AND($F1100="Baseline",$H1100&lt;&gt;""),"⚠ Baseline: Start لا يدخل في التقدم",IF($K1100="No Start (attainment only)","ℹ تحصيل فقط (بدون Start)",IF($K1100="U – needs rule","ℹ حالة U تحتاج قاعدة معتمدة",IF($K1100="No result","ℹ بدون نتيجة (يُستبعد من التحصيل)","OK")))))))))))</f>
        <v/>
      </c>
      <c r="M1100" s="64" t="n">
        <f aca="false">IF($A1100="",0,IFERROR(MATCH($A1100,Classes!$A$6:$A$420,0),0))</f>
        <v>0</v>
      </c>
      <c r="N1100" s="64" t="n">
        <f aca="false">IF($H1100="",0,IFERROR(MATCH($H1100,GradeList,0),0))</f>
        <v>0</v>
      </c>
      <c r="O1100" s="64" t="n">
        <f aca="false">IF(OR($I1100="",$I1100="NR"),0,IFERROR(MATCH($I1100,GradeList,0),0))</f>
        <v>0</v>
      </c>
      <c r="P1100" s="64" t="n">
        <f aca="false">IF(AND($M1100&gt;0,ISNUMBER(MATCH($F1100,Lists!$A$2:$A$5,0)),ISNUMBER(MATCH($G1100,Lists!$B$2:$B$7,0)),OR($H1100="",$N1100&gt;0),OR($I1100="",$I1100="NR",$O1100&gt;0),IF(ISNUMBER($J1100),AND($J1100&gt;=0,$J1100=INT($J1100)),FALSE())),$J1100,0)</f>
        <v>0</v>
      </c>
      <c r="Q1100" s="64" t="n">
        <f aca="false">IF(AND($P1100&gt;0,$O1100&gt;0),$P1100,0)</f>
        <v>0</v>
      </c>
      <c r="R1100" s="64" t="n">
        <f aca="false">IF(AND($Q1100&gt;0,$O1100&gt;=AtRank),$Q1100,0)</f>
        <v>0</v>
      </c>
      <c r="S1100" s="64" t="n">
        <f aca="false">IF(AND($Q1100&gt;0,$O1100&gt;=AboveRank),$Q1100,0)</f>
        <v>0</v>
      </c>
      <c r="T1100" s="64" t="n">
        <f aca="false">IF($K1100="Less",$P1100,0)</f>
        <v>0</v>
      </c>
      <c r="U1100" s="64" t="n">
        <f aca="false">IF($K1100="Expected",$P1100,0)</f>
        <v>0</v>
      </c>
      <c r="V1100" s="64" t="n">
        <f aca="false">IF($K1100="Better",$P1100,0)</f>
        <v>0</v>
      </c>
      <c r="W1100" s="64" t="n">
        <f aca="false">IF($K1100="U – needs rule",$P1100,0)</f>
        <v>0</v>
      </c>
      <c r="X1100" s="64" t="n">
        <f aca="false">IF($K1100="No Start (attainment only)",$P1100,0)</f>
        <v>0</v>
      </c>
    </row>
    <row r="1101" customFormat="false" ht="15" hidden="false" customHeight="false" outlineLevel="0" collapsed="false">
      <c r="A1101" s="60"/>
      <c r="B1101" s="61" t="str">
        <f aca="false">IF($M1101=0,"",INDEX(Classes!$E$6:$E$420,$M1101))</f>
        <v/>
      </c>
      <c r="C1101" s="62" t="str">
        <f aca="false">IF($M1101=0,"",INDEX(Classes!$H$6:$H$420,$M1101))</f>
        <v/>
      </c>
      <c r="D1101" s="61" t="str">
        <f aca="false">IF($M1101=0,"",INDEX(Classes!$B$6:$B$420,$M1101))</f>
        <v/>
      </c>
      <c r="E1101" s="61" t="str">
        <f aca="false">IF($M1101=0,"",INDEX(Classes!$C$6:$C$420,$M1101))</f>
        <v/>
      </c>
      <c r="F1101" s="63"/>
      <c r="G1101" s="63"/>
      <c r="H1101" s="60"/>
      <c r="I1101" s="60"/>
      <c r="J1101" s="63"/>
      <c r="K1101" s="61" t="str">
        <f aca="false">IF($P1101=0,"",IF($F1101="Baseline","— Baseline",IF($O1101=0,"No result",IF($N1101=0,"No Start (attainment only)",IF(OR($N1101=1,$O1101=1),"U – needs rule",INDEX(MxBody,MATCH($I1101,MxCurr,0),MATCH($H1101,MxStart,0)))))))</f>
        <v/>
      </c>
      <c r="L1101" s="62" t="str">
        <f aca="false">IF(COUNTA($A1101,$F1101,$G1101,$H1101,$I1101,$J1101)=0,"",IF($M1101=0,"✖ كود الصف غير موجود",IF(ISNA(MATCH($F1101,Lists!$A$2:$A$5,0)),"✖ الفترة غير صحيحة",IF(ISNA(MATCH($G1101,Lists!$B$2:$B$7,0)),"✖ المجموعة غير صحيحة",IF(NOT(OR($H1101="",$N1101&gt;0)),"✖ Start غير صحيح",IF(NOT(OR($I1101="",$I1101="NR",$O1101&gt;0)),"✖ Current غير صحيح",IF(NOT(IF(ISNUMBER($J1101),AND($J1101&gt;=0,$J1101=INT($J1101)),FALSE())),"✖ العدد يجب أن يكون صحيحًا ≥ 0",IF(AND($F1101="Baseline",$H1101&lt;&gt;""),"⚠ Baseline: Start لا يدخل في التقدم",IF($K1101="No Start (attainment only)","ℹ تحصيل فقط (بدون Start)",IF($K1101="U – needs rule","ℹ حالة U تحتاج قاعدة معتمدة",IF($K1101="No result","ℹ بدون نتيجة (يُستبعد من التحصيل)","OK")))))))))))</f>
        <v/>
      </c>
      <c r="M1101" s="64" t="n">
        <f aca="false">IF($A1101="",0,IFERROR(MATCH($A1101,Classes!$A$6:$A$420,0),0))</f>
        <v>0</v>
      </c>
      <c r="N1101" s="64" t="n">
        <f aca="false">IF($H1101="",0,IFERROR(MATCH($H1101,GradeList,0),0))</f>
        <v>0</v>
      </c>
      <c r="O1101" s="64" t="n">
        <f aca="false">IF(OR($I1101="",$I1101="NR"),0,IFERROR(MATCH($I1101,GradeList,0),0))</f>
        <v>0</v>
      </c>
      <c r="P1101" s="64" t="n">
        <f aca="false">IF(AND($M1101&gt;0,ISNUMBER(MATCH($F1101,Lists!$A$2:$A$5,0)),ISNUMBER(MATCH($G1101,Lists!$B$2:$B$7,0)),OR($H1101="",$N1101&gt;0),OR($I1101="",$I1101="NR",$O1101&gt;0),IF(ISNUMBER($J1101),AND($J1101&gt;=0,$J1101=INT($J1101)),FALSE())),$J1101,0)</f>
        <v>0</v>
      </c>
      <c r="Q1101" s="64" t="n">
        <f aca="false">IF(AND($P1101&gt;0,$O1101&gt;0),$P1101,0)</f>
        <v>0</v>
      </c>
      <c r="R1101" s="64" t="n">
        <f aca="false">IF(AND($Q1101&gt;0,$O1101&gt;=AtRank),$Q1101,0)</f>
        <v>0</v>
      </c>
      <c r="S1101" s="64" t="n">
        <f aca="false">IF(AND($Q1101&gt;0,$O1101&gt;=AboveRank),$Q1101,0)</f>
        <v>0</v>
      </c>
      <c r="T1101" s="64" t="n">
        <f aca="false">IF($K1101="Less",$P1101,0)</f>
        <v>0</v>
      </c>
      <c r="U1101" s="64" t="n">
        <f aca="false">IF($K1101="Expected",$P1101,0)</f>
        <v>0</v>
      </c>
      <c r="V1101" s="64" t="n">
        <f aca="false">IF($K1101="Better",$P1101,0)</f>
        <v>0</v>
      </c>
      <c r="W1101" s="64" t="n">
        <f aca="false">IF($K1101="U – needs rule",$P1101,0)</f>
        <v>0</v>
      </c>
      <c r="X1101" s="64" t="n">
        <f aca="false">IF($K1101="No Start (attainment only)",$P1101,0)</f>
        <v>0</v>
      </c>
    </row>
    <row r="1102" customFormat="false" ht="15" hidden="false" customHeight="false" outlineLevel="0" collapsed="false">
      <c r="A1102" s="60"/>
      <c r="B1102" s="61" t="str">
        <f aca="false">IF($M1102=0,"",INDEX(Classes!$E$6:$E$420,$M1102))</f>
        <v/>
      </c>
      <c r="C1102" s="62" t="str">
        <f aca="false">IF($M1102=0,"",INDEX(Classes!$H$6:$H$420,$M1102))</f>
        <v/>
      </c>
      <c r="D1102" s="61" t="str">
        <f aca="false">IF($M1102=0,"",INDEX(Classes!$B$6:$B$420,$M1102))</f>
        <v/>
      </c>
      <c r="E1102" s="61" t="str">
        <f aca="false">IF($M1102=0,"",INDEX(Classes!$C$6:$C$420,$M1102))</f>
        <v/>
      </c>
      <c r="F1102" s="63"/>
      <c r="G1102" s="63"/>
      <c r="H1102" s="60"/>
      <c r="I1102" s="60"/>
      <c r="J1102" s="63"/>
      <c r="K1102" s="61" t="str">
        <f aca="false">IF($P1102=0,"",IF($F1102="Baseline","— Baseline",IF($O1102=0,"No result",IF($N1102=0,"No Start (attainment only)",IF(OR($N1102=1,$O1102=1),"U – needs rule",INDEX(MxBody,MATCH($I1102,MxCurr,0),MATCH($H1102,MxStart,0)))))))</f>
        <v/>
      </c>
      <c r="L1102" s="62" t="str">
        <f aca="false">IF(COUNTA($A1102,$F1102,$G1102,$H1102,$I1102,$J1102)=0,"",IF($M1102=0,"✖ كود الصف غير موجود",IF(ISNA(MATCH($F1102,Lists!$A$2:$A$5,0)),"✖ الفترة غير صحيحة",IF(ISNA(MATCH($G1102,Lists!$B$2:$B$7,0)),"✖ المجموعة غير صحيحة",IF(NOT(OR($H1102="",$N1102&gt;0)),"✖ Start غير صحيح",IF(NOT(OR($I1102="",$I1102="NR",$O1102&gt;0)),"✖ Current غير صحيح",IF(NOT(IF(ISNUMBER($J1102),AND($J1102&gt;=0,$J1102=INT($J1102)),FALSE())),"✖ العدد يجب أن يكون صحيحًا ≥ 0",IF(AND($F1102="Baseline",$H1102&lt;&gt;""),"⚠ Baseline: Start لا يدخل في التقدم",IF($K1102="No Start (attainment only)","ℹ تحصيل فقط (بدون Start)",IF($K1102="U – needs rule","ℹ حالة U تحتاج قاعدة معتمدة",IF($K1102="No result","ℹ بدون نتيجة (يُستبعد من التحصيل)","OK")))))))))))</f>
        <v/>
      </c>
      <c r="M1102" s="64" t="n">
        <f aca="false">IF($A1102="",0,IFERROR(MATCH($A1102,Classes!$A$6:$A$420,0),0))</f>
        <v>0</v>
      </c>
      <c r="N1102" s="64" t="n">
        <f aca="false">IF($H1102="",0,IFERROR(MATCH($H1102,GradeList,0),0))</f>
        <v>0</v>
      </c>
      <c r="O1102" s="64" t="n">
        <f aca="false">IF(OR($I1102="",$I1102="NR"),0,IFERROR(MATCH($I1102,GradeList,0),0))</f>
        <v>0</v>
      </c>
      <c r="P1102" s="64" t="n">
        <f aca="false">IF(AND($M1102&gt;0,ISNUMBER(MATCH($F1102,Lists!$A$2:$A$5,0)),ISNUMBER(MATCH($G1102,Lists!$B$2:$B$7,0)),OR($H1102="",$N1102&gt;0),OR($I1102="",$I1102="NR",$O1102&gt;0),IF(ISNUMBER($J1102),AND($J1102&gt;=0,$J1102=INT($J1102)),FALSE())),$J1102,0)</f>
        <v>0</v>
      </c>
      <c r="Q1102" s="64" t="n">
        <f aca="false">IF(AND($P1102&gt;0,$O1102&gt;0),$P1102,0)</f>
        <v>0</v>
      </c>
      <c r="R1102" s="64" t="n">
        <f aca="false">IF(AND($Q1102&gt;0,$O1102&gt;=AtRank),$Q1102,0)</f>
        <v>0</v>
      </c>
      <c r="S1102" s="64" t="n">
        <f aca="false">IF(AND($Q1102&gt;0,$O1102&gt;=AboveRank),$Q1102,0)</f>
        <v>0</v>
      </c>
      <c r="T1102" s="64" t="n">
        <f aca="false">IF($K1102="Less",$P1102,0)</f>
        <v>0</v>
      </c>
      <c r="U1102" s="64" t="n">
        <f aca="false">IF($K1102="Expected",$P1102,0)</f>
        <v>0</v>
      </c>
      <c r="V1102" s="64" t="n">
        <f aca="false">IF($K1102="Better",$P1102,0)</f>
        <v>0</v>
      </c>
      <c r="W1102" s="64" t="n">
        <f aca="false">IF($K1102="U – needs rule",$P1102,0)</f>
        <v>0</v>
      </c>
      <c r="X1102" s="64" t="n">
        <f aca="false">IF($K1102="No Start (attainment only)",$P1102,0)</f>
        <v>0</v>
      </c>
    </row>
    <row r="1103" customFormat="false" ht="15" hidden="false" customHeight="false" outlineLevel="0" collapsed="false">
      <c r="A1103" s="60"/>
      <c r="B1103" s="61" t="str">
        <f aca="false">IF($M1103=0,"",INDEX(Classes!$E$6:$E$420,$M1103))</f>
        <v/>
      </c>
      <c r="C1103" s="62" t="str">
        <f aca="false">IF($M1103=0,"",INDEX(Classes!$H$6:$H$420,$M1103))</f>
        <v/>
      </c>
      <c r="D1103" s="61" t="str">
        <f aca="false">IF($M1103=0,"",INDEX(Classes!$B$6:$B$420,$M1103))</f>
        <v/>
      </c>
      <c r="E1103" s="61" t="str">
        <f aca="false">IF($M1103=0,"",INDEX(Classes!$C$6:$C$420,$M1103))</f>
        <v/>
      </c>
      <c r="F1103" s="63"/>
      <c r="G1103" s="63"/>
      <c r="H1103" s="60"/>
      <c r="I1103" s="60"/>
      <c r="J1103" s="63"/>
      <c r="K1103" s="61" t="str">
        <f aca="false">IF($P1103=0,"",IF($F1103="Baseline","— Baseline",IF($O1103=0,"No result",IF($N1103=0,"No Start (attainment only)",IF(OR($N1103=1,$O1103=1),"U – needs rule",INDEX(MxBody,MATCH($I1103,MxCurr,0),MATCH($H1103,MxStart,0)))))))</f>
        <v/>
      </c>
      <c r="L1103" s="62" t="str">
        <f aca="false">IF(COUNTA($A1103,$F1103,$G1103,$H1103,$I1103,$J1103)=0,"",IF($M1103=0,"✖ كود الصف غير موجود",IF(ISNA(MATCH($F1103,Lists!$A$2:$A$5,0)),"✖ الفترة غير صحيحة",IF(ISNA(MATCH($G1103,Lists!$B$2:$B$7,0)),"✖ المجموعة غير صحيحة",IF(NOT(OR($H1103="",$N1103&gt;0)),"✖ Start غير صحيح",IF(NOT(OR($I1103="",$I1103="NR",$O1103&gt;0)),"✖ Current غير صحيح",IF(NOT(IF(ISNUMBER($J1103),AND($J1103&gt;=0,$J1103=INT($J1103)),FALSE())),"✖ العدد يجب أن يكون صحيحًا ≥ 0",IF(AND($F1103="Baseline",$H1103&lt;&gt;""),"⚠ Baseline: Start لا يدخل في التقدم",IF($K1103="No Start (attainment only)","ℹ تحصيل فقط (بدون Start)",IF($K1103="U – needs rule","ℹ حالة U تحتاج قاعدة معتمدة",IF($K1103="No result","ℹ بدون نتيجة (يُستبعد من التحصيل)","OK")))))))))))</f>
        <v/>
      </c>
      <c r="M1103" s="64" t="n">
        <f aca="false">IF($A1103="",0,IFERROR(MATCH($A1103,Classes!$A$6:$A$420,0),0))</f>
        <v>0</v>
      </c>
      <c r="N1103" s="64" t="n">
        <f aca="false">IF($H1103="",0,IFERROR(MATCH($H1103,GradeList,0),0))</f>
        <v>0</v>
      </c>
      <c r="O1103" s="64" t="n">
        <f aca="false">IF(OR($I1103="",$I1103="NR"),0,IFERROR(MATCH($I1103,GradeList,0),0))</f>
        <v>0</v>
      </c>
      <c r="P1103" s="64" t="n">
        <f aca="false">IF(AND($M1103&gt;0,ISNUMBER(MATCH($F1103,Lists!$A$2:$A$5,0)),ISNUMBER(MATCH($G1103,Lists!$B$2:$B$7,0)),OR($H1103="",$N1103&gt;0),OR($I1103="",$I1103="NR",$O1103&gt;0),IF(ISNUMBER($J1103),AND($J1103&gt;=0,$J1103=INT($J1103)),FALSE())),$J1103,0)</f>
        <v>0</v>
      </c>
      <c r="Q1103" s="64" t="n">
        <f aca="false">IF(AND($P1103&gt;0,$O1103&gt;0),$P1103,0)</f>
        <v>0</v>
      </c>
      <c r="R1103" s="64" t="n">
        <f aca="false">IF(AND($Q1103&gt;0,$O1103&gt;=AtRank),$Q1103,0)</f>
        <v>0</v>
      </c>
      <c r="S1103" s="64" t="n">
        <f aca="false">IF(AND($Q1103&gt;0,$O1103&gt;=AboveRank),$Q1103,0)</f>
        <v>0</v>
      </c>
      <c r="T1103" s="64" t="n">
        <f aca="false">IF($K1103="Less",$P1103,0)</f>
        <v>0</v>
      </c>
      <c r="U1103" s="64" t="n">
        <f aca="false">IF($K1103="Expected",$P1103,0)</f>
        <v>0</v>
      </c>
      <c r="V1103" s="64" t="n">
        <f aca="false">IF($K1103="Better",$P1103,0)</f>
        <v>0</v>
      </c>
      <c r="W1103" s="64" t="n">
        <f aca="false">IF($K1103="U – needs rule",$P1103,0)</f>
        <v>0</v>
      </c>
      <c r="X1103" s="64" t="n">
        <f aca="false">IF($K1103="No Start (attainment only)",$P1103,0)</f>
        <v>0</v>
      </c>
    </row>
    <row r="1104" customFormat="false" ht="15" hidden="false" customHeight="false" outlineLevel="0" collapsed="false">
      <c r="A1104" s="60"/>
      <c r="B1104" s="61" t="str">
        <f aca="false">IF($M1104=0,"",INDEX(Classes!$E$6:$E$420,$M1104))</f>
        <v/>
      </c>
      <c r="C1104" s="62" t="str">
        <f aca="false">IF($M1104=0,"",INDEX(Classes!$H$6:$H$420,$M1104))</f>
        <v/>
      </c>
      <c r="D1104" s="61" t="str">
        <f aca="false">IF($M1104=0,"",INDEX(Classes!$B$6:$B$420,$M1104))</f>
        <v/>
      </c>
      <c r="E1104" s="61" t="str">
        <f aca="false">IF($M1104=0,"",INDEX(Classes!$C$6:$C$420,$M1104))</f>
        <v/>
      </c>
      <c r="F1104" s="63"/>
      <c r="G1104" s="63"/>
      <c r="H1104" s="60"/>
      <c r="I1104" s="60"/>
      <c r="J1104" s="63"/>
      <c r="K1104" s="61" t="str">
        <f aca="false">IF($P1104=0,"",IF($F1104="Baseline","— Baseline",IF($O1104=0,"No result",IF($N1104=0,"No Start (attainment only)",IF(OR($N1104=1,$O1104=1),"U – needs rule",INDEX(MxBody,MATCH($I1104,MxCurr,0),MATCH($H1104,MxStart,0)))))))</f>
        <v/>
      </c>
      <c r="L1104" s="62" t="str">
        <f aca="false">IF(COUNTA($A1104,$F1104,$G1104,$H1104,$I1104,$J1104)=0,"",IF($M1104=0,"✖ كود الصف غير موجود",IF(ISNA(MATCH($F1104,Lists!$A$2:$A$5,0)),"✖ الفترة غير صحيحة",IF(ISNA(MATCH($G1104,Lists!$B$2:$B$7,0)),"✖ المجموعة غير صحيحة",IF(NOT(OR($H1104="",$N1104&gt;0)),"✖ Start غير صحيح",IF(NOT(OR($I1104="",$I1104="NR",$O1104&gt;0)),"✖ Current غير صحيح",IF(NOT(IF(ISNUMBER($J1104),AND($J1104&gt;=0,$J1104=INT($J1104)),FALSE())),"✖ العدد يجب أن يكون صحيحًا ≥ 0",IF(AND($F1104="Baseline",$H1104&lt;&gt;""),"⚠ Baseline: Start لا يدخل في التقدم",IF($K1104="No Start (attainment only)","ℹ تحصيل فقط (بدون Start)",IF($K1104="U – needs rule","ℹ حالة U تحتاج قاعدة معتمدة",IF($K1104="No result","ℹ بدون نتيجة (يُستبعد من التحصيل)","OK")))))))))))</f>
        <v/>
      </c>
      <c r="M1104" s="64" t="n">
        <f aca="false">IF($A1104="",0,IFERROR(MATCH($A1104,Classes!$A$6:$A$420,0),0))</f>
        <v>0</v>
      </c>
      <c r="N1104" s="64" t="n">
        <f aca="false">IF($H1104="",0,IFERROR(MATCH($H1104,GradeList,0),0))</f>
        <v>0</v>
      </c>
      <c r="O1104" s="64" t="n">
        <f aca="false">IF(OR($I1104="",$I1104="NR"),0,IFERROR(MATCH($I1104,GradeList,0),0))</f>
        <v>0</v>
      </c>
      <c r="P1104" s="64" t="n">
        <f aca="false">IF(AND($M1104&gt;0,ISNUMBER(MATCH($F1104,Lists!$A$2:$A$5,0)),ISNUMBER(MATCH($G1104,Lists!$B$2:$B$7,0)),OR($H1104="",$N1104&gt;0),OR($I1104="",$I1104="NR",$O1104&gt;0),IF(ISNUMBER($J1104),AND($J1104&gt;=0,$J1104=INT($J1104)),FALSE())),$J1104,0)</f>
        <v>0</v>
      </c>
      <c r="Q1104" s="64" t="n">
        <f aca="false">IF(AND($P1104&gt;0,$O1104&gt;0),$P1104,0)</f>
        <v>0</v>
      </c>
      <c r="R1104" s="64" t="n">
        <f aca="false">IF(AND($Q1104&gt;0,$O1104&gt;=AtRank),$Q1104,0)</f>
        <v>0</v>
      </c>
      <c r="S1104" s="64" t="n">
        <f aca="false">IF(AND($Q1104&gt;0,$O1104&gt;=AboveRank),$Q1104,0)</f>
        <v>0</v>
      </c>
      <c r="T1104" s="64" t="n">
        <f aca="false">IF($K1104="Less",$P1104,0)</f>
        <v>0</v>
      </c>
      <c r="U1104" s="64" t="n">
        <f aca="false">IF($K1104="Expected",$P1104,0)</f>
        <v>0</v>
      </c>
      <c r="V1104" s="64" t="n">
        <f aca="false">IF($K1104="Better",$P1104,0)</f>
        <v>0</v>
      </c>
      <c r="W1104" s="64" t="n">
        <f aca="false">IF($K1104="U – needs rule",$P1104,0)</f>
        <v>0</v>
      </c>
      <c r="X1104" s="64" t="n">
        <f aca="false">IF($K1104="No Start (attainment only)",$P1104,0)</f>
        <v>0</v>
      </c>
    </row>
    <row r="1105" customFormat="false" ht="15" hidden="false" customHeight="false" outlineLevel="0" collapsed="false">
      <c r="A1105" s="60"/>
      <c r="B1105" s="61" t="str">
        <f aca="false">IF($M1105=0,"",INDEX(Classes!$E$6:$E$420,$M1105))</f>
        <v/>
      </c>
      <c r="C1105" s="62" t="str">
        <f aca="false">IF($M1105=0,"",INDEX(Classes!$H$6:$H$420,$M1105))</f>
        <v/>
      </c>
      <c r="D1105" s="61" t="str">
        <f aca="false">IF($M1105=0,"",INDEX(Classes!$B$6:$B$420,$M1105))</f>
        <v/>
      </c>
      <c r="E1105" s="61" t="str">
        <f aca="false">IF($M1105=0,"",INDEX(Classes!$C$6:$C$420,$M1105))</f>
        <v/>
      </c>
      <c r="F1105" s="63"/>
      <c r="G1105" s="63"/>
      <c r="H1105" s="60"/>
      <c r="I1105" s="60"/>
      <c r="J1105" s="63"/>
      <c r="K1105" s="61" t="str">
        <f aca="false">IF($P1105=0,"",IF($F1105="Baseline","— Baseline",IF($O1105=0,"No result",IF($N1105=0,"No Start (attainment only)",IF(OR($N1105=1,$O1105=1),"U – needs rule",INDEX(MxBody,MATCH($I1105,MxCurr,0),MATCH($H1105,MxStart,0)))))))</f>
        <v/>
      </c>
      <c r="L1105" s="62" t="str">
        <f aca="false">IF(COUNTA($A1105,$F1105,$G1105,$H1105,$I1105,$J1105)=0,"",IF($M1105=0,"✖ كود الصف غير موجود",IF(ISNA(MATCH($F1105,Lists!$A$2:$A$5,0)),"✖ الفترة غير صحيحة",IF(ISNA(MATCH($G1105,Lists!$B$2:$B$7,0)),"✖ المجموعة غير صحيحة",IF(NOT(OR($H1105="",$N1105&gt;0)),"✖ Start غير صحيح",IF(NOT(OR($I1105="",$I1105="NR",$O1105&gt;0)),"✖ Current غير صحيح",IF(NOT(IF(ISNUMBER($J1105),AND($J1105&gt;=0,$J1105=INT($J1105)),FALSE())),"✖ العدد يجب أن يكون صحيحًا ≥ 0",IF(AND($F1105="Baseline",$H1105&lt;&gt;""),"⚠ Baseline: Start لا يدخل في التقدم",IF($K1105="No Start (attainment only)","ℹ تحصيل فقط (بدون Start)",IF($K1105="U – needs rule","ℹ حالة U تحتاج قاعدة معتمدة",IF($K1105="No result","ℹ بدون نتيجة (يُستبعد من التحصيل)","OK")))))))))))</f>
        <v/>
      </c>
      <c r="M1105" s="64" t="n">
        <f aca="false">IF($A1105="",0,IFERROR(MATCH($A1105,Classes!$A$6:$A$420,0),0))</f>
        <v>0</v>
      </c>
      <c r="N1105" s="64" t="n">
        <f aca="false">IF($H1105="",0,IFERROR(MATCH($H1105,GradeList,0),0))</f>
        <v>0</v>
      </c>
      <c r="O1105" s="64" t="n">
        <f aca="false">IF(OR($I1105="",$I1105="NR"),0,IFERROR(MATCH($I1105,GradeList,0),0))</f>
        <v>0</v>
      </c>
      <c r="P1105" s="64" t="n">
        <f aca="false">IF(AND($M1105&gt;0,ISNUMBER(MATCH($F1105,Lists!$A$2:$A$5,0)),ISNUMBER(MATCH($G1105,Lists!$B$2:$B$7,0)),OR($H1105="",$N1105&gt;0),OR($I1105="",$I1105="NR",$O1105&gt;0),IF(ISNUMBER($J1105),AND($J1105&gt;=0,$J1105=INT($J1105)),FALSE())),$J1105,0)</f>
        <v>0</v>
      </c>
      <c r="Q1105" s="64" t="n">
        <f aca="false">IF(AND($P1105&gt;0,$O1105&gt;0),$P1105,0)</f>
        <v>0</v>
      </c>
      <c r="R1105" s="64" t="n">
        <f aca="false">IF(AND($Q1105&gt;0,$O1105&gt;=AtRank),$Q1105,0)</f>
        <v>0</v>
      </c>
      <c r="S1105" s="64" t="n">
        <f aca="false">IF(AND($Q1105&gt;0,$O1105&gt;=AboveRank),$Q1105,0)</f>
        <v>0</v>
      </c>
      <c r="T1105" s="64" t="n">
        <f aca="false">IF($K1105="Less",$P1105,0)</f>
        <v>0</v>
      </c>
      <c r="U1105" s="64" t="n">
        <f aca="false">IF($K1105="Expected",$P1105,0)</f>
        <v>0</v>
      </c>
      <c r="V1105" s="64" t="n">
        <f aca="false">IF($K1105="Better",$P1105,0)</f>
        <v>0</v>
      </c>
      <c r="W1105" s="64" t="n">
        <f aca="false">IF($K1105="U – needs rule",$P1105,0)</f>
        <v>0</v>
      </c>
      <c r="X1105" s="64" t="n">
        <f aca="false">IF($K1105="No Start (attainment only)",$P1105,0)</f>
        <v>0</v>
      </c>
    </row>
    <row r="1106" customFormat="false" ht="15" hidden="false" customHeight="false" outlineLevel="0" collapsed="false">
      <c r="A1106" s="60"/>
      <c r="B1106" s="61" t="str">
        <f aca="false">IF($M1106=0,"",INDEX(Classes!$E$6:$E$420,$M1106))</f>
        <v/>
      </c>
      <c r="C1106" s="62" t="str">
        <f aca="false">IF($M1106=0,"",INDEX(Classes!$H$6:$H$420,$M1106))</f>
        <v/>
      </c>
      <c r="D1106" s="61" t="str">
        <f aca="false">IF($M1106=0,"",INDEX(Classes!$B$6:$B$420,$M1106))</f>
        <v/>
      </c>
      <c r="E1106" s="61" t="str">
        <f aca="false">IF($M1106=0,"",INDEX(Classes!$C$6:$C$420,$M1106))</f>
        <v/>
      </c>
      <c r="F1106" s="63"/>
      <c r="G1106" s="63"/>
      <c r="H1106" s="60"/>
      <c r="I1106" s="60"/>
      <c r="J1106" s="63"/>
      <c r="K1106" s="61" t="str">
        <f aca="false">IF($P1106=0,"",IF($F1106="Baseline","— Baseline",IF($O1106=0,"No result",IF($N1106=0,"No Start (attainment only)",IF(OR($N1106=1,$O1106=1),"U – needs rule",INDEX(MxBody,MATCH($I1106,MxCurr,0),MATCH($H1106,MxStart,0)))))))</f>
        <v/>
      </c>
      <c r="L1106" s="62" t="str">
        <f aca="false">IF(COUNTA($A1106,$F1106,$G1106,$H1106,$I1106,$J1106)=0,"",IF($M1106=0,"✖ كود الصف غير موجود",IF(ISNA(MATCH($F1106,Lists!$A$2:$A$5,0)),"✖ الفترة غير صحيحة",IF(ISNA(MATCH($G1106,Lists!$B$2:$B$7,0)),"✖ المجموعة غير صحيحة",IF(NOT(OR($H1106="",$N1106&gt;0)),"✖ Start غير صحيح",IF(NOT(OR($I1106="",$I1106="NR",$O1106&gt;0)),"✖ Current غير صحيح",IF(NOT(IF(ISNUMBER($J1106),AND($J1106&gt;=0,$J1106=INT($J1106)),FALSE())),"✖ العدد يجب أن يكون صحيحًا ≥ 0",IF(AND($F1106="Baseline",$H1106&lt;&gt;""),"⚠ Baseline: Start لا يدخل في التقدم",IF($K1106="No Start (attainment only)","ℹ تحصيل فقط (بدون Start)",IF($K1106="U – needs rule","ℹ حالة U تحتاج قاعدة معتمدة",IF($K1106="No result","ℹ بدون نتيجة (يُستبعد من التحصيل)","OK")))))))))))</f>
        <v/>
      </c>
      <c r="M1106" s="64" t="n">
        <f aca="false">IF($A1106="",0,IFERROR(MATCH($A1106,Classes!$A$6:$A$420,0),0))</f>
        <v>0</v>
      </c>
      <c r="N1106" s="64" t="n">
        <f aca="false">IF($H1106="",0,IFERROR(MATCH($H1106,GradeList,0),0))</f>
        <v>0</v>
      </c>
      <c r="O1106" s="64" t="n">
        <f aca="false">IF(OR($I1106="",$I1106="NR"),0,IFERROR(MATCH($I1106,GradeList,0),0))</f>
        <v>0</v>
      </c>
      <c r="P1106" s="64" t="n">
        <f aca="false">IF(AND($M1106&gt;0,ISNUMBER(MATCH($F1106,Lists!$A$2:$A$5,0)),ISNUMBER(MATCH($G1106,Lists!$B$2:$B$7,0)),OR($H1106="",$N1106&gt;0),OR($I1106="",$I1106="NR",$O1106&gt;0),IF(ISNUMBER($J1106),AND($J1106&gt;=0,$J1106=INT($J1106)),FALSE())),$J1106,0)</f>
        <v>0</v>
      </c>
      <c r="Q1106" s="64" t="n">
        <f aca="false">IF(AND($P1106&gt;0,$O1106&gt;0),$P1106,0)</f>
        <v>0</v>
      </c>
      <c r="R1106" s="64" t="n">
        <f aca="false">IF(AND($Q1106&gt;0,$O1106&gt;=AtRank),$Q1106,0)</f>
        <v>0</v>
      </c>
      <c r="S1106" s="64" t="n">
        <f aca="false">IF(AND($Q1106&gt;0,$O1106&gt;=AboveRank),$Q1106,0)</f>
        <v>0</v>
      </c>
      <c r="T1106" s="64" t="n">
        <f aca="false">IF($K1106="Less",$P1106,0)</f>
        <v>0</v>
      </c>
      <c r="U1106" s="64" t="n">
        <f aca="false">IF($K1106="Expected",$P1106,0)</f>
        <v>0</v>
      </c>
      <c r="V1106" s="64" t="n">
        <f aca="false">IF($K1106="Better",$P1106,0)</f>
        <v>0</v>
      </c>
      <c r="W1106" s="64" t="n">
        <f aca="false">IF($K1106="U – needs rule",$P1106,0)</f>
        <v>0</v>
      </c>
      <c r="X1106" s="64" t="n">
        <f aca="false">IF($K1106="No Start (attainment only)",$P1106,0)</f>
        <v>0</v>
      </c>
    </row>
    <row r="1107" customFormat="false" ht="15" hidden="false" customHeight="false" outlineLevel="0" collapsed="false">
      <c r="A1107" s="60"/>
      <c r="B1107" s="61" t="str">
        <f aca="false">IF($M1107=0,"",INDEX(Classes!$E$6:$E$420,$M1107))</f>
        <v/>
      </c>
      <c r="C1107" s="62" t="str">
        <f aca="false">IF($M1107=0,"",INDEX(Classes!$H$6:$H$420,$M1107))</f>
        <v/>
      </c>
      <c r="D1107" s="61" t="str">
        <f aca="false">IF($M1107=0,"",INDEX(Classes!$B$6:$B$420,$M1107))</f>
        <v/>
      </c>
      <c r="E1107" s="61" t="str">
        <f aca="false">IF($M1107=0,"",INDEX(Classes!$C$6:$C$420,$M1107))</f>
        <v/>
      </c>
      <c r="F1107" s="63"/>
      <c r="G1107" s="63"/>
      <c r="H1107" s="60"/>
      <c r="I1107" s="60"/>
      <c r="J1107" s="63"/>
      <c r="K1107" s="61" t="str">
        <f aca="false">IF($P1107=0,"",IF($F1107="Baseline","— Baseline",IF($O1107=0,"No result",IF($N1107=0,"No Start (attainment only)",IF(OR($N1107=1,$O1107=1),"U – needs rule",INDEX(MxBody,MATCH($I1107,MxCurr,0),MATCH($H1107,MxStart,0)))))))</f>
        <v/>
      </c>
      <c r="L1107" s="62" t="str">
        <f aca="false">IF(COUNTA($A1107,$F1107,$G1107,$H1107,$I1107,$J1107)=0,"",IF($M1107=0,"✖ كود الصف غير موجود",IF(ISNA(MATCH($F1107,Lists!$A$2:$A$5,0)),"✖ الفترة غير صحيحة",IF(ISNA(MATCH($G1107,Lists!$B$2:$B$7,0)),"✖ المجموعة غير صحيحة",IF(NOT(OR($H1107="",$N1107&gt;0)),"✖ Start غير صحيح",IF(NOT(OR($I1107="",$I1107="NR",$O1107&gt;0)),"✖ Current غير صحيح",IF(NOT(IF(ISNUMBER($J1107),AND($J1107&gt;=0,$J1107=INT($J1107)),FALSE())),"✖ العدد يجب أن يكون صحيحًا ≥ 0",IF(AND($F1107="Baseline",$H1107&lt;&gt;""),"⚠ Baseline: Start لا يدخل في التقدم",IF($K1107="No Start (attainment only)","ℹ تحصيل فقط (بدون Start)",IF($K1107="U – needs rule","ℹ حالة U تحتاج قاعدة معتمدة",IF($K1107="No result","ℹ بدون نتيجة (يُستبعد من التحصيل)","OK")))))))))))</f>
        <v/>
      </c>
      <c r="M1107" s="64" t="n">
        <f aca="false">IF($A1107="",0,IFERROR(MATCH($A1107,Classes!$A$6:$A$420,0),0))</f>
        <v>0</v>
      </c>
      <c r="N1107" s="64" t="n">
        <f aca="false">IF($H1107="",0,IFERROR(MATCH($H1107,GradeList,0),0))</f>
        <v>0</v>
      </c>
      <c r="O1107" s="64" t="n">
        <f aca="false">IF(OR($I1107="",$I1107="NR"),0,IFERROR(MATCH($I1107,GradeList,0),0))</f>
        <v>0</v>
      </c>
      <c r="P1107" s="64" t="n">
        <f aca="false">IF(AND($M1107&gt;0,ISNUMBER(MATCH($F1107,Lists!$A$2:$A$5,0)),ISNUMBER(MATCH($G1107,Lists!$B$2:$B$7,0)),OR($H1107="",$N1107&gt;0),OR($I1107="",$I1107="NR",$O1107&gt;0),IF(ISNUMBER($J1107),AND($J1107&gt;=0,$J1107=INT($J1107)),FALSE())),$J1107,0)</f>
        <v>0</v>
      </c>
      <c r="Q1107" s="64" t="n">
        <f aca="false">IF(AND($P1107&gt;0,$O1107&gt;0),$P1107,0)</f>
        <v>0</v>
      </c>
      <c r="R1107" s="64" t="n">
        <f aca="false">IF(AND($Q1107&gt;0,$O1107&gt;=AtRank),$Q1107,0)</f>
        <v>0</v>
      </c>
      <c r="S1107" s="64" t="n">
        <f aca="false">IF(AND($Q1107&gt;0,$O1107&gt;=AboveRank),$Q1107,0)</f>
        <v>0</v>
      </c>
      <c r="T1107" s="64" t="n">
        <f aca="false">IF($K1107="Less",$P1107,0)</f>
        <v>0</v>
      </c>
      <c r="U1107" s="64" t="n">
        <f aca="false">IF($K1107="Expected",$P1107,0)</f>
        <v>0</v>
      </c>
      <c r="V1107" s="64" t="n">
        <f aca="false">IF($K1107="Better",$P1107,0)</f>
        <v>0</v>
      </c>
      <c r="W1107" s="64" t="n">
        <f aca="false">IF($K1107="U – needs rule",$P1107,0)</f>
        <v>0</v>
      </c>
      <c r="X1107" s="64" t="n">
        <f aca="false">IF($K1107="No Start (attainment only)",$P1107,0)</f>
        <v>0</v>
      </c>
    </row>
    <row r="1108" customFormat="false" ht="15" hidden="false" customHeight="false" outlineLevel="0" collapsed="false">
      <c r="A1108" s="60"/>
      <c r="B1108" s="61" t="str">
        <f aca="false">IF($M1108=0,"",INDEX(Classes!$E$6:$E$420,$M1108))</f>
        <v/>
      </c>
      <c r="C1108" s="62" t="str">
        <f aca="false">IF($M1108=0,"",INDEX(Classes!$H$6:$H$420,$M1108))</f>
        <v/>
      </c>
      <c r="D1108" s="61" t="str">
        <f aca="false">IF($M1108=0,"",INDEX(Classes!$B$6:$B$420,$M1108))</f>
        <v/>
      </c>
      <c r="E1108" s="61" t="str">
        <f aca="false">IF($M1108=0,"",INDEX(Classes!$C$6:$C$420,$M1108))</f>
        <v/>
      </c>
      <c r="F1108" s="63"/>
      <c r="G1108" s="63"/>
      <c r="H1108" s="60"/>
      <c r="I1108" s="60"/>
      <c r="J1108" s="63"/>
      <c r="K1108" s="61" t="str">
        <f aca="false">IF($P1108=0,"",IF($F1108="Baseline","— Baseline",IF($O1108=0,"No result",IF($N1108=0,"No Start (attainment only)",IF(OR($N1108=1,$O1108=1),"U – needs rule",INDEX(MxBody,MATCH($I1108,MxCurr,0),MATCH($H1108,MxStart,0)))))))</f>
        <v/>
      </c>
      <c r="L1108" s="62" t="str">
        <f aca="false">IF(COUNTA($A1108,$F1108,$G1108,$H1108,$I1108,$J1108)=0,"",IF($M1108=0,"✖ كود الصف غير موجود",IF(ISNA(MATCH($F1108,Lists!$A$2:$A$5,0)),"✖ الفترة غير صحيحة",IF(ISNA(MATCH($G1108,Lists!$B$2:$B$7,0)),"✖ المجموعة غير صحيحة",IF(NOT(OR($H1108="",$N1108&gt;0)),"✖ Start غير صحيح",IF(NOT(OR($I1108="",$I1108="NR",$O1108&gt;0)),"✖ Current غير صحيح",IF(NOT(IF(ISNUMBER($J1108),AND($J1108&gt;=0,$J1108=INT($J1108)),FALSE())),"✖ العدد يجب أن يكون صحيحًا ≥ 0",IF(AND($F1108="Baseline",$H1108&lt;&gt;""),"⚠ Baseline: Start لا يدخل في التقدم",IF($K1108="No Start (attainment only)","ℹ تحصيل فقط (بدون Start)",IF($K1108="U – needs rule","ℹ حالة U تحتاج قاعدة معتمدة",IF($K1108="No result","ℹ بدون نتيجة (يُستبعد من التحصيل)","OK")))))))))))</f>
        <v/>
      </c>
      <c r="M1108" s="64" t="n">
        <f aca="false">IF($A1108="",0,IFERROR(MATCH($A1108,Classes!$A$6:$A$420,0),0))</f>
        <v>0</v>
      </c>
      <c r="N1108" s="64" t="n">
        <f aca="false">IF($H1108="",0,IFERROR(MATCH($H1108,GradeList,0),0))</f>
        <v>0</v>
      </c>
      <c r="O1108" s="64" t="n">
        <f aca="false">IF(OR($I1108="",$I1108="NR"),0,IFERROR(MATCH($I1108,GradeList,0),0))</f>
        <v>0</v>
      </c>
      <c r="P1108" s="64" t="n">
        <f aca="false">IF(AND($M1108&gt;0,ISNUMBER(MATCH($F1108,Lists!$A$2:$A$5,0)),ISNUMBER(MATCH($G1108,Lists!$B$2:$B$7,0)),OR($H1108="",$N1108&gt;0),OR($I1108="",$I1108="NR",$O1108&gt;0),IF(ISNUMBER($J1108),AND($J1108&gt;=0,$J1108=INT($J1108)),FALSE())),$J1108,0)</f>
        <v>0</v>
      </c>
      <c r="Q1108" s="64" t="n">
        <f aca="false">IF(AND($P1108&gt;0,$O1108&gt;0),$P1108,0)</f>
        <v>0</v>
      </c>
      <c r="R1108" s="64" t="n">
        <f aca="false">IF(AND($Q1108&gt;0,$O1108&gt;=AtRank),$Q1108,0)</f>
        <v>0</v>
      </c>
      <c r="S1108" s="64" t="n">
        <f aca="false">IF(AND($Q1108&gt;0,$O1108&gt;=AboveRank),$Q1108,0)</f>
        <v>0</v>
      </c>
      <c r="T1108" s="64" t="n">
        <f aca="false">IF($K1108="Less",$P1108,0)</f>
        <v>0</v>
      </c>
      <c r="U1108" s="64" t="n">
        <f aca="false">IF($K1108="Expected",$P1108,0)</f>
        <v>0</v>
      </c>
      <c r="V1108" s="64" t="n">
        <f aca="false">IF($K1108="Better",$P1108,0)</f>
        <v>0</v>
      </c>
      <c r="W1108" s="64" t="n">
        <f aca="false">IF($K1108="U – needs rule",$P1108,0)</f>
        <v>0</v>
      </c>
      <c r="X1108" s="64" t="n">
        <f aca="false">IF($K1108="No Start (attainment only)",$P1108,0)</f>
        <v>0</v>
      </c>
    </row>
    <row r="1109" customFormat="false" ht="15" hidden="false" customHeight="false" outlineLevel="0" collapsed="false">
      <c r="A1109" s="60"/>
      <c r="B1109" s="61" t="str">
        <f aca="false">IF($M1109=0,"",INDEX(Classes!$E$6:$E$420,$M1109))</f>
        <v/>
      </c>
      <c r="C1109" s="62" t="str">
        <f aca="false">IF($M1109=0,"",INDEX(Classes!$H$6:$H$420,$M1109))</f>
        <v/>
      </c>
      <c r="D1109" s="61" t="str">
        <f aca="false">IF($M1109=0,"",INDEX(Classes!$B$6:$B$420,$M1109))</f>
        <v/>
      </c>
      <c r="E1109" s="61" t="str">
        <f aca="false">IF($M1109=0,"",INDEX(Classes!$C$6:$C$420,$M1109))</f>
        <v/>
      </c>
      <c r="F1109" s="63"/>
      <c r="G1109" s="63"/>
      <c r="H1109" s="60"/>
      <c r="I1109" s="60"/>
      <c r="J1109" s="63"/>
      <c r="K1109" s="61" t="str">
        <f aca="false">IF($P1109=0,"",IF($F1109="Baseline","— Baseline",IF($O1109=0,"No result",IF($N1109=0,"No Start (attainment only)",IF(OR($N1109=1,$O1109=1),"U – needs rule",INDEX(MxBody,MATCH($I1109,MxCurr,0),MATCH($H1109,MxStart,0)))))))</f>
        <v/>
      </c>
      <c r="L1109" s="62" t="str">
        <f aca="false">IF(COUNTA($A1109,$F1109,$G1109,$H1109,$I1109,$J1109)=0,"",IF($M1109=0,"✖ كود الصف غير موجود",IF(ISNA(MATCH($F1109,Lists!$A$2:$A$5,0)),"✖ الفترة غير صحيحة",IF(ISNA(MATCH($G1109,Lists!$B$2:$B$7,0)),"✖ المجموعة غير صحيحة",IF(NOT(OR($H1109="",$N1109&gt;0)),"✖ Start غير صحيح",IF(NOT(OR($I1109="",$I1109="NR",$O1109&gt;0)),"✖ Current غير صحيح",IF(NOT(IF(ISNUMBER($J1109),AND($J1109&gt;=0,$J1109=INT($J1109)),FALSE())),"✖ العدد يجب أن يكون صحيحًا ≥ 0",IF(AND($F1109="Baseline",$H1109&lt;&gt;""),"⚠ Baseline: Start لا يدخل في التقدم",IF($K1109="No Start (attainment only)","ℹ تحصيل فقط (بدون Start)",IF($K1109="U – needs rule","ℹ حالة U تحتاج قاعدة معتمدة",IF($K1109="No result","ℹ بدون نتيجة (يُستبعد من التحصيل)","OK")))))))))))</f>
        <v/>
      </c>
      <c r="M1109" s="64" t="n">
        <f aca="false">IF($A1109="",0,IFERROR(MATCH($A1109,Classes!$A$6:$A$420,0),0))</f>
        <v>0</v>
      </c>
      <c r="N1109" s="64" t="n">
        <f aca="false">IF($H1109="",0,IFERROR(MATCH($H1109,GradeList,0),0))</f>
        <v>0</v>
      </c>
      <c r="O1109" s="64" t="n">
        <f aca="false">IF(OR($I1109="",$I1109="NR"),0,IFERROR(MATCH($I1109,GradeList,0),0))</f>
        <v>0</v>
      </c>
      <c r="P1109" s="64" t="n">
        <f aca="false">IF(AND($M1109&gt;0,ISNUMBER(MATCH($F1109,Lists!$A$2:$A$5,0)),ISNUMBER(MATCH($G1109,Lists!$B$2:$B$7,0)),OR($H1109="",$N1109&gt;0),OR($I1109="",$I1109="NR",$O1109&gt;0),IF(ISNUMBER($J1109),AND($J1109&gt;=0,$J1109=INT($J1109)),FALSE())),$J1109,0)</f>
        <v>0</v>
      </c>
      <c r="Q1109" s="64" t="n">
        <f aca="false">IF(AND($P1109&gt;0,$O1109&gt;0),$P1109,0)</f>
        <v>0</v>
      </c>
      <c r="R1109" s="64" t="n">
        <f aca="false">IF(AND($Q1109&gt;0,$O1109&gt;=AtRank),$Q1109,0)</f>
        <v>0</v>
      </c>
      <c r="S1109" s="64" t="n">
        <f aca="false">IF(AND($Q1109&gt;0,$O1109&gt;=AboveRank),$Q1109,0)</f>
        <v>0</v>
      </c>
      <c r="T1109" s="64" t="n">
        <f aca="false">IF($K1109="Less",$P1109,0)</f>
        <v>0</v>
      </c>
      <c r="U1109" s="64" t="n">
        <f aca="false">IF($K1109="Expected",$P1109,0)</f>
        <v>0</v>
      </c>
      <c r="V1109" s="64" t="n">
        <f aca="false">IF($K1109="Better",$P1109,0)</f>
        <v>0</v>
      </c>
      <c r="W1109" s="64" t="n">
        <f aca="false">IF($K1109="U – needs rule",$P1109,0)</f>
        <v>0</v>
      </c>
      <c r="X1109" s="64" t="n">
        <f aca="false">IF($K1109="No Start (attainment only)",$P1109,0)</f>
        <v>0</v>
      </c>
    </row>
    <row r="1110" customFormat="false" ht="15" hidden="false" customHeight="false" outlineLevel="0" collapsed="false">
      <c r="A1110" s="60"/>
      <c r="B1110" s="61" t="str">
        <f aca="false">IF($M1110=0,"",INDEX(Classes!$E$6:$E$420,$M1110))</f>
        <v/>
      </c>
      <c r="C1110" s="62" t="str">
        <f aca="false">IF($M1110=0,"",INDEX(Classes!$H$6:$H$420,$M1110))</f>
        <v/>
      </c>
      <c r="D1110" s="61" t="str">
        <f aca="false">IF($M1110=0,"",INDEX(Classes!$B$6:$B$420,$M1110))</f>
        <v/>
      </c>
      <c r="E1110" s="61" t="str">
        <f aca="false">IF($M1110=0,"",INDEX(Classes!$C$6:$C$420,$M1110))</f>
        <v/>
      </c>
      <c r="F1110" s="63"/>
      <c r="G1110" s="63"/>
      <c r="H1110" s="60"/>
      <c r="I1110" s="60"/>
      <c r="J1110" s="63"/>
      <c r="K1110" s="61" t="str">
        <f aca="false">IF($P1110=0,"",IF($F1110="Baseline","— Baseline",IF($O1110=0,"No result",IF($N1110=0,"No Start (attainment only)",IF(OR($N1110=1,$O1110=1),"U – needs rule",INDEX(MxBody,MATCH($I1110,MxCurr,0),MATCH($H1110,MxStart,0)))))))</f>
        <v/>
      </c>
      <c r="L1110" s="62" t="str">
        <f aca="false">IF(COUNTA($A1110,$F1110,$G1110,$H1110,$I1110,$J1110)=0,"",IF($M1110=0,"✖ كود الصف غير موجود",IF(ISNA(MATCH($F1110,Lists!$A$2:$A$5,0)),"✖ الفترة غير صحيحة",IF(ISNA(MATCH($G1110,Lists!$B$2:$B$7,0)),"✖ المجموعة غير صحيحة",IF(NOT(OR($H1110="",$N1110&gt;0)),"✖ Start غير صحيح",IF(NOT(OR($I1110="",$I1110="NR",$O1110&gt;0)),"✖ Current غير صحيح",IF(NOT(IF(ISNUMBER($J1110),AND($J1110&gt;=0,$J1110=INT($J1110)),FALSE())),"✖ العدد يجب أن يكون صحيحًا ≥ 0",IF(AND($F1110="Baseline",$H1110&lt;&gt;""),"⚠ Baseline: Start لا يدخل في التقدم",IF($K1110="No Start (attainment only)","ℹ تحصيل فقط (بدون Start)",IF($K1110="U – needs rule","ℹ حالة U تحتاج قاعدة معتمدة",IF($K1110="No result","ℹ بدون نتيجة (يُستبعد من التحصيل)","OK")))))))))))</f>
        <v/>
      </c>
      <c r="M1110" s="64" t="n">
        <f aca="false">IF($A1110="",0,IFERROR(MATCH($A1110,Classes!$A$6:$A$420,0),0))</f>
        <v>0</v>
      </c>
      <c r="N1110" s="64" t="n">
        <f aca="false">IF($H1110="",0,IFERROR(MATCH($H1110,GradeList,0),0))</f>
        <v>0</v>
      </c>
      <c r="O1110" s="64" t="n">
        <f aca="false">IF(OR($I1110="",$I1110="NR"),0,IFERROR(MATCH($I1110,GradeList,0),0))</f>
        <v>0</v>
      </c>
      <c r="P1110" s="64" t="n">
        <f aca="false">IF(AND($M1110&gt;0,ISNUMBER(MATCH($F1110,Lists!$A$2:$A$5,0)),ISNUMBER(MATCH($G1110,Lists!$B$2:$B$7,0)),OR($H1110="",$N1110&gt;0),OR($I1110="",$I1110="NR",$O1110&gt;0),IF(ISNUMBER($J1110),AND($J1110&gt;=0,$J1110=INT($J1110)),FALSE())),$J1110,0)</f>
        <v>0</v>
      </c>
      <c r="Q1110" s="64" t="n">
        <f aca="false">IF(AND($P1110&gt;0,$O1110&gt;0),$P1110,0)</f>
        <v>0</v>
      </c>
      <c r="R1110" s="64" t="n">
        <f aca="false">IF(AND($Q1110&gt;0,$O1110&gt;=AtRank),$Q1110,0)</f>
        <v>0</v>
      </c>
      <c r="S1110" s="64" t="n">
        <f aca="false">IF(AND($Q1110&gt;0,$O1110&gt;=AboveRank),$Q1110,0)</f>
        <v>0</v>
      </c>
      <c r="T1110" s="64" t="n">
        <f aca="false">IF($K1110="Less",$P1110,0)</f>
        <v>0</v>
      </c>
      <c r="U1110" s="64" t="n">
        <f aca="false">IF($K1110="Expected",$P1110,0)</f>
        <v>0</v>
      </c>
      <c r="V1110" s="64" t="n">
        <f aca="false">IF($K1110="Better",$P1110,0)</f>
        <v>0</v>
      </c>
      <c r="W1110" s="64" t="n">
        <f aca="false">IF($K1110="U – needs rule",$P1110,0)</f>
        <v>0</v>
      </c>
      <c r="X1110" s="64" t="n">
        <f aca="false">IF($K1110="No Start (attainment only)",$P1110,0)</f>
        <v>0</v>
      </c>
    </row>
    <row r="1111" customFormat="false" ht="15" hidden="false" customHeight="false" outlineLevel="0" collapsed="false">
      <c r="A1111" s="60"/>
      <c r="B1111" s="61" t="str">
        <f aca="false">IF($M1111=0,"",INDEX(Classes!$E$6:$E$420,$M1111))</f>
        <v/>
      </c>
      <c r="C1111" s="62" t="str">
        <f aca="false">IF($M1111=0,"",INDEX(Classes!$H$6:$H$420,$M1111))</f>
        <v/>
      </c>
      <c r="D1111" s="61" t="str">
        <f aca="false">IF($M1111=0,"",INDEX(Classes!$B$6:$B$420,$M1111))</f>
        <v/>
      </c>
      <c r="E1111" s="61" t="str">
        <f aca="false">IF($M1111=0,"",INDEX(Classes!$C$6:$C$420,$M1111))</f>
        <v/>
      </c>
      <c r="F1111" s="63"/>
      <c r="G1111" s="63"/>
      <c r="H1111" s="60"/>
      <c r="I1111" s="60"/>
      <c r="J1111" s="63"/>
      <c r="K1111" s="61" t="str">
        <f aca="false">IF($P1111=0,"",IF($F1111="Baseline","— Baseline",IF($O1111=0,"No result",IF($N1111=0,"No Start (attainment only)",IF(OR($N1111=1,$O1111=1),"U – needs rule",INDEX(MxBody,MATCH($I1111,MxCurr,0),MATCH($H1111,MxStart,0)))))))</f>
        <v/>
      </c>
      <c r="L1111" s="62" t="str">
        <f aca="false">IF(COUNTA($A1111,$F1111,$G1111,$H1111,$I1111,$J1111)=0,"",IF($M1111=0,"✖ كود الصف غير موجود",IF(ISNA(MATCH($F1111,Lists!$A$2:$A$5,0)),"✖ الفترة غير صحيحة",IF(ISNA(MATCH($G1111,Lists!$B$2:$B$7,0)),"✖ المجموعة غير صحيحة",IF(NOT(OR($H1111="",$N1111&gt;0)),"✖ Start غير صحيح",IF(NOT(OR($I1111="",$I1111="NR",$O1111&gt;0)),"✖ Current غير صحيح",IF(NOT(IF(ISNUMBER($J1111),AND($J1111&gt;=0,$J1111=INT($J1111)),FALSE())),"✖ العدد يجب أن يكون صحيحًا ≥ 0",IF(AND($F1111="Baseline",$H1111&lt;&gt;""),"⚠ Baseline: Start لا يدخل في التقدم",IF($K1111="No Start (attainment only)","ℹ تحصيل فقط (بدون Start)",IF($K1111="U – needs rule","ℹ حالة U تحتاج قاعدة معتمدة",IF($K1111="No result","ℹ بدون نتيجة (يُستبعد من التحصيل)","OK")))))))))))</f>
        <v/>
      </c>
      <c r="M1111" s="64" t="n">
        <f aca="false">IF($A1111="",0,IFERROR(MATCH($A1111,Classes!$A$6:$A$420,0),0))</f>
        <v>0</v>
      </c>
      <c r="N1111" s="64" t="n">
        <f aca="false">IF($H1111="",0,IFERROR(MATCH($H1111,GradeList,0),0))</f>
        <v>0</v>
      </c>
      <c r="O1111" s="64" t="n">
        <f aca="false">IF(OR($I1111="",$I1111="NR"),0,IFERROR(MATCH($I1111,GradeList,0),0))</f>
        <v>0</v>
      </c>
      <c r="P1111" s="64" t="n">
        <f aca="false">IF(AND($M1111&gt;0,ISNUMBER(MATCH($F1111,Lists!$A$2:$A$5,0)),ISNUMBER(MATCH($G1111,Lists!$B$2:$B$7,0)),OR($H1111="",$N1111&gt;0),OR($I1111="",$I1111="NR",$O1111&gt;0),IF(ISNUMBER($J1111),AND($J1111&gt;=0,$J1111=INT($J1111)),FALSE())),$J1111,0)</f>
        <v>0</v>
      </c>
      <c r="Q1111" s="64" t="n">
        <f aca="false">IF(AND($P1111&gt;0,$O1111&gt;0),$P1111,0)</f>
        <v>0</v>
      </c>
      <c r="R1111" s="64" t="n">
        <f aca="false">IF(AND($Q1111&gt;0,$O1111&gt;=AtRank),$Q1111,0)</f>
        <v>0</v>
      </c>
      <c r="S1111" s="64" t="n">
        <f aca="false">IF(AND($Q1111&gt;0,$O1111&gt;=AboveRank),$Q1111,0)</f>
        <v>0</v>
      </c>
      <c r="T1111" s="64" t="n">
        <f aca="false">IF($K1111="Less",$P1111,0)</f>
        <v>0</v>
      </c>
      <c r="U1111" s="64" t="n">
        <f aca="false">IF($K1111="Expected",$P1111,0)</f>
        <v>0</v>
      </c>
      <c r="V1111" s="64" t="n">
        <f aca="false">IF($K1111="Better",$P1111,0)</f>
        <v>0</v>
      </c>
      <c r="W1111" s="64" t="n">
        <f aca="false">IF($K1111="U – needs rule",$P1111,0)</f>
        <v>0</v>
      </c>
      <c r="X1111" s="64" t="n">
        <f aca="false">IF($K1111="No Start (attainment only)",$P1111,0)</f>
        <v>0</v>
      </c>
    </row>
    <row r="1112" customFormat="false" ht="15" hidden="false" customHeight="false" outlineLevel="0" collapsed="false">
      <c r="A1112" s="60"/>
      <c r="B1112" s="61" t="str">
        <f aca="false">IF($M1112=0,"",INDEX(Classes!$E$6:$E$420,$M1112))</f>
        <v/>
      </c>
      <c r="C1112" s="62" t="str">
        <f aca="false">IF($M1112=0,"",INDEX(Classes!$H$6:$H$420,$M1112))</f>
        <v/>
      </c>
      <c r="D1112" s="61" t="str">
        <f aca="false">IF($M1112=0,"",INDEX(Classes!$B$6:$B$420,$M1112))</f>
        <v/>
      </c>
      <c r="E1112" s="61" t="str">
        <f aca="false">IF($M1112=0,"",INDEX(Classes!$C$6:$C$420,$M1112))</f>
        <v/>
      </c>
      <c r="F1112" s="63"/>
      <c r="G1112" s="63"/>
      <c r="H1112" s="60"/>
      <c r="I1112" s="60"/>
      <c r="J1112" s="63"/>
      <c r="K1112" s="61" t="str">
        <f aca="false">IF($P1112=0,"",IF($F1112="Baseline","— Baseline",IF($O1112=0,"No result",IF($N1112=0,"No Start (attainment only)",IF(OR($N1112=1,$O1112=1),"U – needs rule",INDEX(MxBody,MATCH($I1112,MxCurr,0),MATCH($H1112,MxStart,0)))))))</f>
        <v/>
      </c>
      <c r="L1112" s="62" t="str">
        <f aca="false">IF(COUNTA($A1112,$F1112,$G1112,$H1112,$I1112,$J1112)=0,"",IF($M1112=0,"✖ كود الصف غير موجود",IF(ISNA(MATCH($F1112,Lists!$A$2:$A$5,0)),"✖ الفترة غير صحيحة",IF(ISNA(MATCH($G1112,Lists!$B$2:$B$7,0)),"✖ المجموعة غير صحيحة",IF(NOT(OR($H1112="",$N1112&gt;0)),"✖ Start غير صحيح",IF(NOT(OR($I1112="",$I1112="NR",$O1112&gt;0)),"✖ Current غير صحيح",IF(NOT(IF(ISNUMBER($J1112),AND($J1112&gt;=0,$J1112=INT($J1112)),FALSE())),"✖ العدد يجب أن يكون صحيحًا ≥ 0",IF(AND($F1112="Baseline",$H1112&lt;&gt;""),"⚠ Baseline: Start لا يدخل في التقدم",IF($K1112="No Start (attainment only)","ℹ تحصيل فقط (بدون Start)",IF($K1112="U – needs rule","ℹ حالة U تحتاج قاعدة معتمدة",IF($K1112="No result","ℹ بدون نتيجة (يُستبعد من التحصيل)","OK")))))))))))</f>
        <v/>
      </c>
      <c r="M1112" s="64" t="n">
        <f aca="false">IF($A1112="",0,IFERROR(MATCH($A1112,Classes!$A$6:$A$420,0),0))</f>
        <v>0</v>
      </c>
      <c r="N1112" s="64" t="n">
        <f aca="false">IF($H1112="",0,IFERROR(MATCH($H1112,GradeList,0),0))</f>
        <v>0</v>
      </c>
      <c r="O1112" s="64" t="n">
        <f aca="false">IF(OR($I1112="",$I1112="NR"),0,IFERROR(MATCH($I1112,GradeList,0),0))</f>
        <v>0</v>
      </c>
      <c r="P1112" s="64" t="n">
        <f aca="false">IF(AND($M1112&gt;0,ISNUMBER(MATCH($F1112,Lists!$A$2:$A$5,0)),ISNUMBER(MATCH($G1112,Lists!$B$2:$B$7,0)),OR($H1112="",$N1112&gt;0),OR($I1112="",$I1112="NR",$O1112&gt;0),IF(ISNUMBER($J1112),AND($J1112&gt;=0,$J1112=INT($J1112)),FALSE())),$J1112,0)</f>
        <v>0</v>
      </c>
      <c r="Q1112" s="64" t="n">
        <f aca="false">IF(AND($P1112&gt;0,$O1112&gt;0),$P1112,0)</f>
        <v>0</v>
      </c>
      <c r="R1112" s="64" t="n">
        <f aca="false">IF(AND($Q1112&gt;0,$O1112&gt;=AtRank),$Q1112,0)</f>
        <v>0</v>
      </c>
      <c r="S1112" s="64" t="n">
        <f aca="false">IF(AND($Q1112&gt;0,$O1112&gt;=AboveRank),$Q1112,0)</f>
        <v>0</v>
      </c>
      <c r="T1112" s="64" t="n">
        <f aca="false">IF($K1112="Less",$P1112,0)</f>
        <v>0</v>
      </c>
      <c r="U1112" s="64" t="n">
        <f aca="false">IF($K1112="Expected",$P1112,0)</f>
        <v>0</v>
      </c>
      <c r="V1112" s="64" t="n">
        <f aca="false">IF($K1112="Better",$P1112,0)</f>
        <v>0</v>
      </c>
      <c r="W1112" s="64" t="n">
        <f aca="false">IF($K1112="U – needs rule",$P1112,0)</f>
        <v>0</v>
      </c>
      <c r="X1112" s="64" t="n">
        <f aca="false">IF($K1112="No Start (attainment only)",$P1112,0)</f>
        <v>0</v>
      </c>
    </row>
    <row r="1113" customFormat="false" ht="15" hidden="false" customHeight="false" outlineLevel="0" collapsed="false">
      <c r="A1113" s="60"/>
      <c r="B1113" s="61" t="str">
        <f aca="false">IF($M1113=0,"",INDEX(Classes!$E$6:$E$420,$M1113))</f>
        <v/>
      </c>
      <c r="C1113" s="62" t="str">
        <f aca="false">IF($M1113=0,"",INDEX(Classes!$H$6:$H$420,$M1113))</f>
        <v/>
      </c>
      <c r="D1113" s="61" t="str">
        <f aca="false">IF($M1113=0,"",INDEX(Classes!$B$6:$B$420,$M1113))</f>
        <v/>
      </c>
      <c r="E1113" s="61" t="str">
        <f aca="false">IF($M1113=0,"",INDEX(Classes!$C$6:$C$420,$M1113))</f>
        <v/>
      </c>
      <c r="F1113" s="63"/>
      <c r="G1113" s="63"/>
      <c r="H1113" s="60"/>
      <c r="I1113" s="60"/>
      <c r="J1113" s="63"/>
      <c r="K1113" s="61" t="str">
        <f aca="false">IF($P1113=0,"",IF($F1113="Baseline","— Baseline",IF($O1113=0,"No result",IF($N1113=0,"No Start (attainment only)",IF(OR($N1113=1,$O1113=1),"U – needs rule",INDEX(MxBody,MATCH($I1113,MxCurr,0),MATCH($H1113,MxStart,0)))))))</f>
        <v/>
      </c>
      <c r="L1113" s="62" t="str">
        <f aca="false">IF(COUNTA($A1113,$F1113,$G1113,$H1113,$I1113,$J1113)=0,"",IF($M1113=0,"✖ كود الصف غير موجود",IF(ISNA(MATCH($F1113,Lists!$A$2:$A$5,0)),"✖ الفترة غير صحيحة",IF(ISNA(MATCH($G1113,Lists!$B$2:$B$7,0)),"✖ المجموعة غير صحيحة",IF(NOT(OR($H1113="",$N1113&gt;0)),"✖ Start غير صحيح",IF(NOT(OR($I1113="",$I1113="NR",$O1113&gt;0)),"✖ Current غير صحيح",IF(NOT(IF(ISNUMBER($J1113),AND($J1113&gt;=0,$J1113=INT($J1113)),FALSE())),"✖ العدد يجب أن يكون صحيحًا ≥ 0",IF(AND($F1113="Baseline",$H1113&lt;&gt;""),"⚠ Baseline: Start لا يدخل في التقدم",IF($K1113="No Start (attainment only)","ℹ تحصيل فقط (بدون Start)",IF($K1113="U – needs rule","ℹ حالة U تحتاج قاعدة معتمدة",IF($K1113="No result","ℹ بدون نتيجة (يُستبعد من التحصيل)","OK")))))))))))</f>
        <v/>
      </c>
      <c r="M1113" s="64" t="n">
        <f aca="false">IF($A1113="",0,IFERROR(MATCH($A1113,Classes!$A$6:$A$420,0),0))</f>
        <v>0</v>
      </c>
      <c r="N1113" s="64" t="n">
        <f aca="false">IF($H1113="",0,IFERROR(MATCH($H1113,GradeList,0),0))</f>
        <v>0</v>
      </c>
      <c r="O1113" s="64" t="n">
        <f aca="false">IF(OR($I1113="",$I1113="NR"),0,IFERROR(MATCH($I1113,GradeList,0),0))</f>
        <v>0</v>
      </c>
      <c r="P1113" s="64" t="n">
        <f aca="false">IF(AND($M1113&gt;0,ISNUMBER(MATCH($F1113,Lists!$A$2:$A$5,0)),ISNUMBER(MATCH($G1113,Lists!$B$2:$B$7,0)),OR($H1113="",$N1113&gt;0),OR($I1113="",$I1113="NR",$O1113&gt;0),IF(ISNUMBER($J1113),AND($J1113&gt;=0,$J1113=INT($J1113)),FALSE())),$J1113,0)</f>
        <v>0</v>
      </c>
      <c r="Q1113" s="64" t="n">
        <f aca="false">IF(AND($P1113&gt;0,$O1113&gt;0),$P1113,0)</f>
        <v>0</v>
      </c>
      <c r="R1113" s="64" t="n">
        <f aca="false">IF(AND($Q1113&gt;0,$O1113&gt;=AtRank),$Q1113,0)</f>
        <v>0</v>
      </c>
      <c r="S1113" s="64" t="n">
        <f aca="false">IF(AND($Q1113&gt;0,$O1113&gt;=AboveRank),$Q1113,0)</f>
        <v>0</v>
      </c>
      <c r="T1113" s="64" t="n">
        <f aca="false">IF($K1113="Less",$P1113,0)</f>
        <v>0</v>
      </c>
      <c r="U1113" s="64" t="n">
        <f aca="false">IF($K1113="Expected",$P1113,0)</f>
        <v>0</v>
      </c>
      <c r="V1113" s="64" t="n">
        <f aca="false">IF($K1113="Better",$P1113,0)</f>
        <v>0</v>
      </c>
      <c r="W1113" s="64" t="n">
        <f aca="false">IF($K1113="U – needs rule",$P1113,0)</f>
        <v>0</v>
      </c>
      <c r="X1113" s="64" t="n">
        <f aca="false">IF($K1113="No Start (attainment only)",$P1113,0)</f>
        <v>0</v>
      </c>
    </row>
    <row r="1114" customFormat="false" ht="15" hidden="false" customHeight="false" outlineLevel="0" collapsed="false">
      <c r="A1114" s="60"/>
      <c r="B1114" s="61" t="str">
        <f aca="false">IF($M1114=0,"",INDEX(Classes!$E$6:$E$420,$M1114))</f>
        <v/>
      </c>
      <c r="C1114" s="62" t="str">
        <f aca="false">IF($M1114=0,"",INDEX(Classes!$H$6:$H$420,$M1114))</f>
        <v/>
      </c>
      <c r="D1114" s="61" t="str">
        <f aca="false">IF($M1114=0,"",INDEX(Classes!$B$6:$B$420,$M1114))</f>
        <v/>
      </c>
      <c r="E1114" s="61" t="str">
        <f aca="false">IF($M1114=0,"",INDEX(Classes!$C$6:$C$420,$M1114))</f>
        <v/>
      </c>
      <c r="F1114" s="63"/>
      <c r="G1114" s="63"/>
      <c r="H1114" s="60"/>
      <c r="I1114" s="60"/>
      <c r="J1114" s="63"/>
      <c r="K1114" s="61" t="str">
        <f aca="false">IF($P1114=0,"",IF($F1114="Baseline","— Baseline",IF($O1114=0,"No result",IF($N1114=0,"No Start (attainment only)",IF(OR($N1114=1,$O1114=1),"U – needs rule",INDEX(MxBody,MATCH($I1114,MxCurr,0),MATCH($H1114,MxStart,0)))))))</f>
        <v/>
      </c>
      <c r="L1114" s="62" t="str">
        <f aca="false">IF(COUNTA($A1114,$F1114,$G1114,$H1114,$I1114,$J1114)=0,"",IF($M1114=0,"✖ كود الصف غير موجود",IF(ISNA(MATCH($F1114,Lists!$A$2:$A$5,0)),"✖ الفترة غير صحيحة",IF(ISNA(MATCH($G1114,Lists!$B$2:$B$7,0)),"✖ المجموعة غير صحيحة",IF(NOT(OR($H1114="",$N1114&gt;0)),"✖ Start غير صحيح",IF(NOT(OR($I1114="",$I1114="NR",$O1114&gt;0)),"✖ Current غير صحيح",IF(NOT(IF(ISNUMBER($J1114),AND($J1114&gt;=0,$J1114=INT($J1114)),FALSE())),"✖ العدد يجب أن يكون صحيحًا ≥ 0",IF(AND($F1114="Baseline",$H1114&lt;&gt;""),"⚠ Baseline: Start لا يدخل في التقدم",IF($K1114="No Start (attainment only)","ℹ تحصيل فقط (بدون Start)",IF($K1114="U – needs rule","ℹ حالة U تحتاج قاعدة معتمدة",IF($K1114="No result","ℹ بدون نتيجة (يُستبعد من التحصيل)","OK")))))))))))</f>
        <v/>
      </c>
      <c r="M1114" s="64" t="n">
        <f aca="false">IF($A1114="",0,IFERROR(MATCH($A1114,Classes!$A$6:$A$420,0),0))</f>
        <v>0</v>
      </c>
      <c r="N1114" s="64" t="n">
        <f aca="false">IF($H1114="",0,IFERROR(MATCH($H1114,GradeList,0),0))</f>
        <v>0</v>
      </c>
      <c r="O1114" s="64" t="n">
        <f aca="false">IF(OR($I1114="",$I1114="NR"),0,IFERROR(MATCH($I1114,GradeList,0),0))</f>
        <v>0</v>
      </c>
      <c r="P1114" s="64" t="n">
        <f aca="false">IF(AND($M1114&gt;0,ISNUMBER(MATCH($F1114,Lists!$A$2:$A$5,0)),ISNUMBER(MATCH($G1114,Lists!$B$2:$B$7,0)),OR($H1114="",$N1114&gt;0),OR($I1114="",$I1114="NR",$O1114&gt;0),IF(ISNUMBER($J1114),AND($J1114&gt;=0,$J1114=INT($J1114)),FALSE())),$J1114,0)</f>
        <v>0</v>
      </c>
      <c r="Q1114" s="64" t="n">
        <f aca="false">IF(AND($P1114&gt;0,$O1114&gt;0),$P1114,0)</f>
        <v>0</v>
      </c>
      <c r="R1114" s="64" t="n">
        <f aca="false">IF(AND($Q1114&gt;0,$O1114&gt;=AtRank),$Q1114,0)</f>
        <v>0</v>
      </c>
      <c r="S1114" s="64" t="n">
        <f aca="false">IF(AND($Q1114&gt;0,$O1114&gt;=AboveRank),$Q1114,0)</f>
        <v>0</v>
      </c>
      <c r="T1114" s="64" t="n">
        <f aca="false">IF($K1114="Less",$P1114,0)</f>
        <v>0</v>
      </c>
      <c r="U1114" s="64" t="n">
        <f aca="false">IF($K1114="Expected",$P1114,0)</f>
        <v>0</v>
      </c>
      <c r="V1114" s="64" t="n">
        <f aca="false">IF($K1114="Better",$P1114,0)</f>
        <v>0</v>
      </c>
      <c r="W1114" s="64" t="n">
        <f aca="false">IF($K1114="U – needs rule",$P1114,0)</f>
        <v>0</v>
      </c>
      <c r="X1114" s="64" t="n">
        <f aca="false">IF($K1114="No Start (attainment only)",$P1114,0)</f>
        <v>0</v>
      </c>
    </row>
    <row r="1115" customFormat="false" ht="15" hidden="false" customHeight="false" outlineLevel="0" collapsed="false">
      <c r="A1115" s="60"/>
      <c r="B1115" s="61" t="str">
        <f aca="false">IF($M1115=0,"",INDEX(Classes!$E$6:$E$420,$M1115))</f>
        <v/>
      </c>
      <c r="C1115" s="62" t="str">
        <f aca="false">IF($M1115=0,"",INDEX(Classes!$H$6:$H$420,$M1115))</f>
        <v/>
      </c>
      <c r="D1115" s="61" t="str">
        <f aca="false">IF($M1115=0,"",INDEX(Classes!$B$6:$B$420,$M1115))</f>
        <v/>
      </c>
      <c r="E1115" s="61" t="str">
        <f aca="false">IF($M1115=0,"",INDEX(Classes!$C$6:$C$420,$M1115))</f>
        <v/>
      </c>
      <c r="F1115" s="63"/>
      <c r="G1115" s="63"/>
      <c r="H1115" s="60"/>
      <c r="I1115" s="60"/>
      <c r="J1115" s="63"/>
      <c r="K1115" s="61" t="str">
        <f aca="false">IF($P1115=0,"",IF($F1115="Baseline","— Baseline",IF($O1115=0,"No result",IF($N1115=0,"No Start (attainment only)",IF(OR($N1115=1,$O1115=1),"U – needs rule",INDEX(MxBody,MATCH($I1115,MxCurr,0),MATCH($H1115,MxStart,0)))))))</f>
        <v/>
      </c>
      <c r="L1115" s="62" t="str">
        <f aca="false">IF(COUNTA($A1115,$F1115,$G1115,$H1115,$I1115,$J1115)=0,"",IF($M1115=0,"✖ كود الصف غير موجود",IF(ISNA(MATCH($F1115,Lists!$A$2:$A$5,0)),"✖ الفترة غير صحيحة",IF(ISNA(MATCH($G1115,Lists!$B$2:$B$7,0)),"✖ المجموعة غير صحيحة",IF(NOT(OR($H1115="",$N1115&gt;0)),"✖ Start غير صحيح",IF(NOT(OR($I1115="",$I1115="NR",$O1115&gt;0)),"✖ Current غير صحيح",IF(NOT(IF(ISNUMBER($J1115),AND($J1115&gt;=0,$J1115=INT($J1115)),FALSE())),"✖ العدد يجب أن يكون صحيحًا ≥ 0",IF(AND($F1115="Baseline",$H1115&lt;&gt;""),"⚠ Baseline: Start لا يدخل في التقدم",IF($K1115="No Start (attainment only)","ℹ تحصيل فقط (بدون Start)",IF($K1115="U – needs rule","ℹ حالة U تحتاج قاعدة معتمدة",IF($K1115="No result","ℹ بدون نتيجة (يُستبعد من التحصيل)","OK")))))))))))</f>
        <v/>
      </c>
      <c r="M1115" s="64" t="n">
        <f aca="false">IF($A1115="",0,IFERROR(MATCH($A1115,Classes!$A$6:$A$420,0),0))</f>
        <v>0</v>
      </c>
      <c r="N1115" s="64" t="n">
        <f aca="false">IF($H1115="",0,IFERROR(MATCH($H1115,GradeList,0),0))</f>
        <v>0</v>
      </c>
      <c r="O1115" s="64" t="n">
        <f aca="false">IF(OR($I1115="",$I1115="NR"),0,IFERROR(MATCH($I1115,GradeList,0),0))</f>
        <v>0</v>
      </c>
      <c r="P1115" s="64" t="n">
        <f aca="false">IF(AND($M1115&gt;0,ISNUMBER(MATCH($F1115,Lists!$A$2:$A$5,0)),ISNUMBER(MATCH($G1115,Lists!$B$2:$B$7,0)),OR($H1115="",$N1115&gt;0),OR($I1115="",$I1115="NR",$O1115&gt;0),IF(ISNUMBER($J1115),AND($J1115&gt;=0,$J1115=INT($J1115)),FALSE())),$J1115,0)</f>
        <v>0</v>
      </c>
      <c r="Q1115" s="64" t="n">
        <f aca="false">IF(AND($P1115&gt;0,$O1115&gt;0),$P1115,0)</f>
        <v>0</v>
      </c>
      <c r="R1115" s="64" t="n">
        <f aca="false">IF(AND($Q1115&gt;0,$O1115&gt;=AtRank),$Q1115,0)</f>
        <v>0</v>
      </c>
      <c r="S1115" s="64" t="n">
        <f aca="false">IF(AND($Q1115&gt;0,$O1115&gt;=AboveRank),$Q1115,0)</f>
        <v>0</v>
      </c>
      <c r="T1115" s="64" t="n">
        <f aca="false">IF($K1115="Less",$P1115,0)</f>
        <v>0</v>
      </c>
      <c r="U1115" s="64" t="n">
        <f aca="false">IF($K1115="Expected",$P1115,0)</f>
        <v>0</v>
      </c>
      <c r="V1115" s="64" t="n">
        <f aca="false">IF($K1115="Better",$P1115,0)</f>
        <v>0</v>
      </c>
      <c r="W1115" s="64" t="n">
        <f aca="false">IF($K1115="U – needs rule",$P1115,0)</f>
        <v>0</v>
      </c>
      <c r="X1115" s="64" t="n">
        <f aca="false">IF($K1115="No Start (attainment only)",$P1115,0)</f>
        <v>0</v>
      </c>
    </row>
    <row r="1116" customFormat="false" ht="15" hidden="false" customHeight="false" outlineLevel="0" collapsed="false">
      <c r="A1116" s="60"/>
      <c r="B1116" s="61" t="str">
        <f aca="false">IF($M1116=0,"",INDEX(Classes!$E$6:$E$420,$M1116))</f>
        <v/>
      </c>
      <c r="C1116" s="62" t="str">
        <f aca="false">IF($M1116=0,"",INDEX(Classes!$H$6:$H$420,$M1116))</f>
        <v/>
      </c>
      <c r="D1116" s="61" t="str">
        <f aca="false">IF($M1116=0,"",INDEX(Classes!$B$6:$B$420,$M1116))</f>
        <v/>
      </c>
      <c r="E1116" s="61" t="str">
        <f aca="false">IF($M1116=0,"",INDEX(Classes!$C$6:$C$420,$M1116))</f>
        <v/>
      </c>
      <c r="F1116" s="63"/>
      <c r="G1116" s="63"/>
      <c r="H1116" s="60"/>
      <c r="I1116" s="60"/>
      <c r="J1116" s="63"/>
      <c r="K1116" s="61" t="str">
        <f aca="false">IF($P1116=0,"",IF($F1116="Baseline","— Baseline",IF($O1116=0,"No result",IF($N1116=0,"No Start (attainment only)",IF(OR($N1116=1,$O1116=1),"U – needs rule",INDEX(MxBody,MATCH($I1116,MxCurr,0),MATCH($H1116,MxStart,0)))))))</f>
        <v/>
      </c>
      <c r="L1116" s="62" t="str">
        <f aca="false">IF(COUNTA($A1116,$F1116,$G1116,$H1116,$I1116,$J1116)=0,"",IF($M1116=0,"✖ كود الصف غير موجود",IF(ISNA(MATCH($F1116,Lists!$A$2:$A$5,0)),"✖ الفترة غير صحيحة",IF(ISNA(MATCH($G1116,Lists!$B$2:$B$7,0)),"✖ المجموعة غير صحيحة",IF(NOT(OR($H1116="",$N1116&gt;0)),"✖ Start غير صحيح",IF(NOT(OR($I1116="",$I1116="NR",$O1116&gt;0)),"✖ Current غير صحيح",IF(NOT(IF(ISNUMBER($J1116),AND($J1116&gt;=0,$J1116=INT($J1116)),FALSE())),"✖ العدد يجب أن يكون صحيحًا ≥ 0",IF(AND($F1116="Baseline",$H1116&lt;&gt;""),"⚠ Baseline: Start لا يدخل في التقدم",IF($K1116="No Start (attainment only)","ℹ تحصيل فقط (بدون Start)",IF($K1116="U – needs rule","ℹ حالة U تحتاج قاعدة معتمدة",IF($K1116="No result","ℹ بدون نتيجة (يُستبعد من التحصيل)","OK")))))))))))</f>
        <v/>
      </c>
      <c r="M1116" s="64" t="n">
        <f aca="false">IF($A1116="",0,IFERROR(MATCH($A1116,Classes!$A$6:$A$420,0),0))</f>
        <v>0</v>
      </c>
      <c r="N1116" s="64" t="n">
        <f aca="false">IF($H1116="",0,IFERROR(MATCH($H1116,GradeList,0),0))</f>
        <v>0</v>
      </c>
      <c r="O1116" s="64" t="n">
        <f aca="false">IF(OR($I1116="",$I1116="NR"),0,IFERROR(MATCH($I1116,GradeList,0),0))</f>
        <v>0</v>
      </c>
      <c r="P1116" s="64" t="n">
        <f aca="false">IF(AND($M1116&gt;0,ISNUMBER(MATCH($F1116,Lists!$A$2:$A$5,0)),ISNUMBER(MATCH($G1116,Lists!$B$2:$B$7,0)),OR($H1116="",$N1116&gt;0),OR($I1116="",$I1116="NR",$O1116&gt;0),IF(ISNUMBER($J1116),AND($J1116&gt;=0,$J1116=INT($J1116)),FALSE())),$J1116,0)</f>
        <v>0</v>
      </c>
      <c r="Q1116" s="64" t="n">
        <f aca="false">IF(AND($P1116&gt;0,$O1116&gt;0),$P1116,0)</f>
        <v>0</v>
      </c>
      <c r="R1116" s="64" t="n">
        <f aca="false">IF(AND($Q1116&gt;0,$O1116&gt;=AtRank),$Q1116,0)</f>
        <v>0</v>
      </c>
      <c r="S1116" s="64" t="n">
        <f aca="false">IF(AND($Q1116&gt;0,$O1116&gt;=AboveRank),$Q1116,0)</f>
        <v>0</v>
      </c>
      <c r="T1116" s="64" t="n">
        <f aca="false">IF($K1116="Less",$P1116,0)</f>
        <v>0</v>
      </c>
      <c r="U1116" s="64" t="n">
        <f aca="false">IF($K1116="Expected",$P1116,0)</f>
        <v>0</v>
      </c>
      <c r="V1116" s="64" t="n">
        <f aca="false">IF($K1116="Better",$P1116,0)</f>
        <v>0</v>
      </c>
      <c r="W1116" s="64" t="n">
        <f aca="false">IF($K1116="U – needs rule",$P1116,0)</f>
        <v>0</v>
      </c>
      <c r="X1116" s="64" t="n">
        <f aca="false">IF($K1116="No Start (attainment only)",$P1116,0)</f>
        <v>0</v>
      </c>
    </row>
    <row r="1117" customFormat="false" ht="15" hidden="false" customHeight="false" outlineLevel="0" collapsed="false">
      <c r="A1117" s="60"/>
      <c r="B1117" s="61" t="str">
        <f aca="false">IF($M1117=0,"",INDEX(Classes!$E$6:$E$420,$M1117))</f>
        <v/>
      </c>
      <c r="C1117" s="62" t="str">
        <f aca="false">IF($M1117=0,"",INDEX(Classes!$H$6:$H$420,$M1117))</f>
        <v/>
      </c>
      <c r="D1117" s="61" t="str">
        <f aca="false">IF($M1117=0,"",INDEX(Classes!$B$6:$B$420,$M1117))</f>
        <v/>
      </c>
      <c r="E1117" s="61" t="str">
        <f aca="false">IF($M1117=0,"",INDEX(Classes!$C$6:$C$420,$M1117))</f>
        <v/>
      </c>
      <c r="F1117" s="63"/>
      <c r="G1117" s="63"/>
      <c r="H1117" s="60"/>
      <c r="I1117" s="60"/>
      <c r="J1117" s="63"/>
      <c r="K1117" s="61" t="str">
        <f aca="false">IF($P1117=0,"",IF($F1117="Baseline","— Baseline",IF($O1117=0,"No result",IF($N1117=0,"No Start (attainment only)",IF(OR($N1117=1,$O1117=1),"U – needs rule",INDEX(MxBody,MATCH($I1117,MxCurr,0),MATCH($H1117,MxStart,0)))))))</f>
        <v/>
      </c>
      <c r="L1117" s="62" t="str">
        <f aca="false">IF(COUNTA($A1117,$F1117,$G1117,$H1117,$I1117,$J1117)=0,"",IF($M1117=0,"✖ كود الصف غير موجود",IF(ISNA(MATCH($F1117,Lists!$A$2:$A$5,0)),"✖ الفترة غير صحيحة",IF(ISNA(MATCH($G1117,Lists!$B$2:$B$7,0)),"✖ المجموعة غير صحيحة",IF(NOT(OR($H1117="",$N1117&gt;0)),"✖ Start غير صحيح",IF(NOT(OR($I1117="",$I1117="NR",$O1117&gt;0)),"✖ Current غير صحيح",IF(NOT(IF(ISNUMBER($J1117),AND($J1117&gt;=0,$J1117=INT($J1117)),FALSE())),"✖ العدد يجب أن يكون صحيحًا ≥ 0",IF(AND($F1117="Baseline",$H1117&lt;&gt;""),"⚠ Baseline: Start لا يدخل في التقدم",IF($K1117="No Start (attainment only)","ℹ تحصيل فقط (بدون Start)",IF($K1117="U – needs rule","ℹ حالة U تحتاج قاعدة معتمدة",IF($K1117="No result","ℹ بدون نتيجة (يُستبعد من التحصيل)","OK")))))))))))</f>
        <v/>
      </c>
      <c r="M1117" s="64" t="n">
        <f aca="false">IF($A1117="",0,IFERROR(MATCH($A1117,Classes!$A$6:$A$420,0),0))</f>
        <v>0</v>
      </c>
      <c r="N1117" s="64" t="n">
        <f aca="false">IF($H1117="",0,IFERROR(MATCH($H1117,GradeList,0),0))</f>
        <v>0</v>
      </c>
      <c r="O1117" s="64" t="n">
        <f aca="false">IF(OR($I1117="",$I1117="NR"),0,IFERROR(MATCH($I1117,GradeList,0),0))</f>
        <v>0</v>
      </c>
      <c r="P1117" s="64" t="n">
        <f aca="false">IF(AND($M1117&gt;0,ISNUMBER(MATCH($F1117,Lists!$A$2:$A$5,0)),ISNUMBER(MATCH($G1117,Lists!$B$2:$B$7,0)),OR($H1117="",$N1117&gt;0),OR($I1117="",$I1117="NR",$O1117&gt;0),IF(ISNUMBER($J1117),AND($J1117&gt;=0,$J1117=INT($J1117)),FALSE())),$J1117,0)</f>
        <v>0</v>
      </c>
      <c r="Q1117" s="64" t="n">
        <f aca="false">IF(AND($P1117&gt;0,$O1117&gt;0),$P1117,0)</f>
        <v>0</v>
      </c>
      <c r="R1117" s="64" t="n">
        <f aca="false">IF(AND($Q1117&gt;0,$O1117&gt;=AtRank),$Q1117,0)</f>
        <v>0</v>
      </c>
      <c r="S1117" s="64" t="n">
        <f aca="false">IF(AND($Q1117&gt;0,$O1117&gt;=AboveRank),$Q1117,0)</f>
        <v>0</v>
      </c>
      <c r="T1117" s="64" t="n">
        <f aca="false">IF($K1117="Less",$P1117,0)</f>
        <v>0</v>
      </c>
      <c r="U1117" s="64" t="n">
        <f aca="false">IF($K1117="Expected",$P1117,0)</f>
        <v>0</v>
      </c>
      <c r="V1117" s="64" t="n">
        <f aca="false">IF($K1117="Better",$P1117,0)</f>
        <v>0</v>
      </c>
      <c r="W1117" s="64" t="n">
        <f aca="false">IF($K1117="U – needs rule",$P1117,0)</f>
        <v>0</v>
      </c>
      <c r="X1117" s="64" t="n">
        <f aca="false">IF($K1117="No Start (attainment only)",$P1117,0)</f>
        <v>0</v>
      </c>
    </row>
    <row r="1118" customFormat="false" ht="15" hidden="false" customHeight="false" outlineLevel="0" collapsed="false">
      <c r="A1118" s="60"/>
      <c r="B1118" s="61" t="str">
        <f aca="false">IF($M1118=0,"",INDEX(Classes!$E$6:$E$420,$M1118))</f>
        <v/>
      </c>
      <c r="C1118" s="62" t="str">
        <f aca="false">IF($M1118=0,"",INDEX(Classes!$H$6:$H$420,$M1118))</f>
        <v/>
      </c>
      <c r="D1118" s="61" t="str">
        <f aca="false">IF($M1118=0,"",INDEX(Classes!$B$6:$B$420,$M1118))</f>
        <v/>
      </c>
      <c r="E1118" s="61" t="str">
        <f aca="false">IF($M1118=0,"",INDEX(Classes!$C$6:$C$420,$M1118))</f>
        <v/>
      </c>
      <c r="F1118" s="63"/>
      <c r="G1118" s="63"/>
      <c r="H1118" s="60"/>
      <c r="I1118" s="60"/>
      <c r="J1118" s="63"/>
      <c r="K1118" s="61" t="str">
        <f aca="false">IF($P1118=0,"",IF($F1118="Baseline","— Baseline",IF($O1118=0,"No result",IF($N1118=0,"No Start (attainment only)",IF(OR($N1118=1,$O1118=1),"U – needs rule",INDEX(MxBody,MATCH($I1118,MxCurr,0),MATCH($H1118,MxStart,0)))))))</f>
        <v/>
      </c>
      <c r="L1118" s="62" t="str">
        <f aca="false">IF(COUNTA($A1118,$F1118,$G1118,$H1118,$I1118,$J1118)=0,"",IF($M1118=0,"✖ كود الصف غير موجود",IF(ISNA(MATCH($F1118,Lists!$A$2:$A$5,0)),"✖ الفترة غير صحيحة",IF(ISNA(MATCH($G1118,Lists!$B$2:$B$7,0)),"✖ المجموعة غير صحيحة",IF(NOT(OR($H1118="",$N1118&gt;0)),"✖ Start غير صحيح",IF(NOT(OR($I1118="",$I1118="NR",$O1118&gt;0)),"✖ Current غير صحيح",IF(NOT(IF(ISNUMBER($J1118),AND($J1118&gt;=0,$J1118=INT($J1118)),FALSE())),"✖ العدد يجب أن يكون صحيحًا ≥ 0",IF(AND($F1118="Baseline",$H1118&lt;&gt;""),"⚠ Baseline: Start لا يدخل في التقدم",IF($K1118="No Start (attainment only)","ℹ تحصيل فقط (بدون Start)",IF($K1118="U – needs rule","ℹ حالة U تحتاج قاعدة معتمدة",IF($K1118="No result","ℹ بدون نتيجة (يُستبعد من التحصيل)","OK")))))))))))</f>
        <v/>
      </c>
      <c r="M1118" s="64" t="n">
        <f aca="false">IF($A1118="",0,IFERROR(MATCH($A1118,Classes!$A$6:$A$420,0),0))</f>
        <v>0</v>
      </c>
      <c r="N1118" s="64" t="n">
        <f aca="false">IF($H1118="",0,IFERROR(MATCH($H1118,GradeList,0),0))</f>
        <v>0</v>
      </c>
      <c r="O1118" s="64" t="n">
        <f aca="false">IF(OR($I1118="",$I1118="NR"),0,IFERROR(MATCH($I1118,GradeList,0),0))</f>
        <v>0</v>
      </c>
      <c r="P1118" s="64" t="n">
        <f aca="false">IF(AND($M1118&gt;0,ISNUMBER(MATCH($F1118,Lists!$A$2:$A$5,0)),ISNUMBER(MATCH($G1118,Lists!$B$2:$B$7,0)),OR($H1118="",$N1118&gt;0),OR($I1118="",$I1118="NR",$O1118&gt;0),IF(ISNUMBER($J1118),AND($J1118&gt;=0,$J1118=INT($J1118)),FALSE())),$J1118,0)</f>
        <v>0</v>
      </c>
      <c r="Q1118" s="64" t="n">
        <f aca="false">IF(AND($P1118&gt;0,$O1118&gt;0),$P1118,0)</f>
        <v>0</v>
      </c>
      <c r="R1118" s="64" t="n">
        <f aca="false">IF(AND($Q1118&gt;0,$O1118&gt;=AtRank),$Q1118,0)</f>
        <v>0</v>
      </c>
      <c r="S1118" s="64" t="n">
        <f aca="false">IF(AND($Q1118&gt;0,$O1118&gt;=AboveRank),$Q1118,0)</f>
        <v>0</v>
      </c>
      <c r="T1118" s="64" t="n">
        <f aca="false">IF($K1118="Less",$P1118,0)</f>
        <v>0</v>
      </c>
      <c r="U1118" s="64" t="n">
        <f aca="false">IF($K1118="Expected",$P1118,0)</f>
        <v>0</v>
      </c>
      <c r="V1118" s="64" t="n">
        <f aca="false">IF($K1118="Better",$P1118,0)</f>
        <v>0</v>
      </c>
      <c r="W1118" s="64" t="n">
        <f aca="false">IF($K1118="U – needs rule",$P1118,0)</f>
        <v>0</v>
      </c>
      <c r="X1118" s="64" t="n">
        <f aca="false">IF($K1118="No Start (attainment only)",$P1118,0)</f>
        <v>0</v>
      </c>
    </row>
    <row r="1119" customFormat="false" ht="15" hidden="false" customHeight="false" outlineLevel="0" collapsed="false">
      <c r="A1119" s="60"/>
      <c r="B1119" s="61" t="str">
        <f aca="false">IF($M1119=0,"",INDEX(Classes!$E$6:$E$420,$M1119))</f>
        <v/>
      </c>
      <c r="C1119" s="62" t="str">
        <f aca="false">IF($M1119=0,"",INDEX(Classes!$H$6:$H$420,$M1119))</f>
        <v/>
      </c>
      <c r="D1119" s="61" t="str">
        <f aca="false">IF($M1119=0,"",INDEX(Classes!$B$6:$B$420,$M1119))</f>
        <v/>
      </c>
      <c r="E1119" s="61" t="str">
        <f aca="false">IF($M1119=0,"",INDEX(Classes!$C$6:$C$420,$M1119))</f>
        <v/>
      </c>
      <c r="F1119" s="63"/>
      <c r="G1119" s="63"/>
      <c r="H1119" s="60"/>
      <c r="I1119" s="60"/>
      <c r="J1119" s="63"/>
      <c r="K1119" s="61" t="str">
        <f aca="false">IF($P1119=0,"",IF($F1119="Baseline","— Baseline",IF($O1119=0,"No result",IF($N1119=0,"No Start (attainment only)",IF(OR($N1119=1,$O1119=1),"U – needs rule",INDEX(MxBody,MATCH($I1119,MxCurr,0),MATCH($H1119,MxStart,0)))))))</f>
        <v/>
      </c>
      <c r="L1119" s="62" t="str">
        <f aca="false">IF(COUNTA($A1119,$F1119,$G1119,$H1119,$I1119,$J1119)=0,"",IF($M1119=0,"✖ كود الصف غير موجود",IF(ISNA(MATCH($F1119,Lists!$A$2:$A$5,0)),"✖ الفترة غير صحيحة",IF(ISNA(MATCH($G1119,Lists!$B$2:$B$7,0)),"✖ المجموعة غير صحيحة",IF(NOT(OR($H1119="",$N1119&gt;0)),"✖ Start غير صحيح",IF(NOT(OR($I1119="",$I1119="NR",$O1119&gt;0)),"✖ Current غير صحيح",IF(NOT(IF(ISNUMBER($J1119),AND($J1119&gt;=0,$J1119=INT($J1119)),FALSE())),"✖ العدد يجب أن يكون صحيحًا ≥ 0",IF(AND($F1119="Baseline",$H1119&lt;&gt;""),"⚠ Baseline: Start لا يدخل في التقدم",IF($K1119="No Start (attainment only)","ℹ تحصيل فقط (بدون Start)",IF($K1119="U – needs rule","ℹ حالة U تحتاج قاعدة معتمدة",IF($K1119="No result","ℹ بدون نتيجة (يُستبعد من التحصيل)","OK")))))))))))</f>
        <v/>
      </c>
      <c r="M1119" s="64" t="n">
        <f aca="false">IF($A1119="",0,IFERROR(MATCH($A1119,Classes!$A$6:$A$420,0),0))</f>
        <v>0</v>
      </c>
      <c r="N1119" s="64" t="n">
        <f aca="false">IF($H1119="",0,IFERROR(MATCH($H1119,GradeList,0),0))</f>
        <v>0</v>
      </c>
      <c r="O1119" s="64" t="n">
        <f aca="false">IF(OR($I1119="",$I1119="NR"),0,IFERROR(MATCH($I1119,GradeList,0),0))</f>
        <v>0</v>
      </c>
      <c r="P1119" s="64" t="n">
        <f aca="false">IF(AND($M1119&gt;0,ISNUMBER(MATCH($F1119,Lists!$A$2:$A$5,0)),ISNUMBER(MATCH($G1119,Lists!$B$2:$B$7,0)),OR($H1119="",$N1119&gt;0),OR($I1119="",$I1119="NR",$O1119&gt;0),IF(ISNUMBER($J1119),AND($J1119&gt;=0,$J1119=INT($J1119)),FALSE())),$J1119,0)</f>
        <v>0</v>
      </c>
      <c r="Q1119" s="64" t="n">
        <f aca="false">IF(AND($P1119&gt;0,$O1119&gt;0),$P1119,0)</f>
        <v>0</v>
      </c>
      <c r="R1119" s="64" t="n">
        <f aca="false">IF(AND($Q1119&gt;0,$O1119&gt;=AtRank),$Q1119,0)</f>
        <v>0</v>
      </c>
      <c r="S1119" s="64" t="n">
        <f aca="false">IF(AND($Q1119&gt;0,$O1119&gt;=AboveRank),$Q1119,0)</f>
        <v>0</v>
      </c>
      <c r="T1119" s="64" t="n">
        <f aca="false">IF($K1119="Less",$P1119,0)</f>
        <v>0</v>
      </c>
      <c r="U1119" s="64" t="n">
        <f aca="false">IF($K1119="Expected",$P1119,0)</f>
        <v>0</v>
      </c>
      <c r="V1119" s="64" t="n">
        <f aca="false">IF($K1119="Better",$P1119,0)</f>
        <v>0</v>
      </c>
      <c r="W1119" s="64" t="n">
        <f aca="false">IF($K1119="U – needs rule",$P1119,0)</f>
        <v>0</v>
      </c>
      <c r="X1119" s="64" t="n">
        <f aca="false">IF($K1119="No Start (attainment only)",$P1119,0)</f>
        <v>0</v>
      </c>
    </row>
    <row r="1120" customFormat="false" ht="15" hidden="false" customHeight="false" outlineLevel="0" collapsed="false">
      <c r="A1120" s="60"/>
      <c r="B1120" s="61" t="str">
        <f aca="false">IF($M1120=0,"",INDEX(Classes!$E$6:$E$420,$M1120))</f>
        <v/>
      </c>
      <c r="C1120" s="62" t="str">
        <f aca="false">IF($M1120=0,"",INDEX(Classes!$H$6:$H$420,$M1120))</f>
        <v/>
      </c>
      <c r="D1120" s="61" t="str">
        <f aca="false">IF($M1120=0,"",INDEX(Classes!$B$6:$B$420,$M1120))</f>
        <v/>
      </c>
      <c r="E1120" s="61" t="str">
        <f aca="false">IF($M1120=0,"",INDEX(Classes!$C$6:$C$420,$M1120))</f>
        <v/>
      </c>
      <c r="F1120" s="63"/>
      <c r="G1120" s="63"/>
      <c r="H1120" s="60"/>
      <c r="I1120" s="60"/>
      <c r="J1120" s="63"/>
      <c r="K1120" s="61" t="str">
        <f aca="false">IF($P1120=0,"",IF($F1120="Baseline","— Baseline",IF($O1120=0,"No result",IF($N1120=0,"No Start (attainment only)",IF(OR($N1120=1,$O1120=1),"U – needs rule",INDEX(MxBody,MATCH($I1120,MxCurr,0),MATCH($H1120,MxStart,0)))))))</f>
        <v/>
      </c>
      <c r="L1120" s="62" t="str">
        <f aca="false">IF(COUNTA($A1120,$F1120,$G1120,$H1120,$I1120,$J1120)=0,"",IF($M1120=0,"✖ كود الصف غير موجود",IF(ISNA(MATCH($F1120,Lists!$A$2:$A$5,0)),"✖ الفترة غير صحيحة",IF(ISNA(MATCH($G1120,Lists!$B$2:$B$7,0)),"✖ المجموعة غير صحيحة",IF(NOT(OR($H1120="",$N1120&gt;0)),"✖ Start غير صحيح",IF(NOT(OR($I1120="",$I1120="NR",$O1120&gt;0)),"✖ Current غير صحيح",IF(NOT(IF(ISNUMBER($J1120),AND($J1120&gt;=0,$J1120=INT($J1120)),FALSE())),"✖ العدد يجب أن يكون صحيحًا ≥ 0",IF(AND($F1120="Baseline",$H1120&lt;&gt;""),"⚠ Baseline: Start لا يدخل في التقدم",IF($K1120="No Start (attainment only)","ℹ تحصيل فقط (بدون Start)",IF($K1120="U – needs rule","ℹ حالة U تحتاج قاعدة معتمدة",IF($K1120="No result","ℹ بدون نتيجة (يُستبعد من التحصيل)","OK")))))))))))</f>
        <v/>
      </c>
      <c r="M1120" s="64" t="n">
        <f aca="false">IF($A1120="",0,IFERROR(MATCH($A1120,Classes!$A$6:$A$420,0),0))</f>
        <v>0</v>
      </c>
      <c r="N1120" s="64" t="n">
        <f aca="false">IF($H1120="",0,IFERROR(MATCH($H1120,GradeList,0),0))</f>
        <v>0</v>
      </c>
      <c r="O1120" s="64" t="n">
        <f aca="false">IF(OR($I1120="",$I1120="NR"),0,IFERROR(MATCH($I1120,GradeList,0),0))</f>
        <v>0</v>
      </c>
      <c r="P1120" s="64" t="n">
        <f aca="false">IF(AND($M1120&gt;0,ISNUMBER(MATCH($F1120,Lists!$A$2:$A$5,0)),ISNUMBER(MATCH($G1120,Lists!$B$2:$B$7,0)),OR($H1120="",$N1120&gt;0),OR($I1120="",$I1120="NR",$O1120&gt;0),IF(ISNUMBER($J1120),AND($J1120&gt;=0,$J1120=INT($J1120)),FALSE())),$J1120,0)</f>
        <v>0</v>
      </c>
      <c r="Q1120" s="64" t="n">
        <f aca="false">IF(AND($P1120&gt;0,$O1120&gt;0),$P1120,0)</f>
        <v>0</v>
      </c>
      <c r="R1120" s="64" t="n">
        <f aca="false">IF(AND($Q1120&gt;0,$O1120&gt;=AtRank),$Q1120,0)</f>
        <v>0</v>
      </c>
      <c r="S1120" s="64" t="n">
        <f aca="false">IF(AND($Q1120&gt;0,$O1120&gt;=AboveRank),$Q1120,0)</f>
        <v>0</v>
      </c>
      <c r="T1120" s="64" t="n">
        <f aca="false">IF($K1120="Less",$P1120,0)</f>
        <v>0</v>
      </c>
      <c r="U1120" s="64" t="n">
        <f aca="false">IF($K1120="Expected",$P1120,0)</f>
        <v>0</v>
      </c>
      <c r="V1120" s="64" t="n">
        <f aca="false">IF($K1120="Better",$P1120,0)</f>
        <v>0</v>
      </c>
      <c r="W1120" s="64" t="n">
        <f aca="false">IF($K1120="U – needs rule",$P1120,0)</f>
        <v>0</v>
      </c>
      <c r="X1120" s="64" t="n">
        <f aca="false">IF($K1120="No Start (attainment only)",$P1120,0)</f>
        <v>0</v>
      </c>
    </row>
    <row r="1121" customFormat="false" ht="15" hidden="false" customHeight="false" outlineLevel="0" collapsed="false">
      <c r="A1121" s="60"/>
      <c r="B1121" s="61" t="str">
        <f aca="false">IF($M1121=0,"",INDEX(Classes!$E$6:$E$420,$M1121))</f>
        <v/>
      </c>
      <c r="C1121" s="62" t="str">
        <f aca="false">IF($M1121=0,"",INDEX(Classes!$H$6:$H$420,$M1121))</f>
        <v/>
      </c>
      <c r="D1121" s="61" t="str">
        <f aca="false">IF($M1121=0,"",INDEX(Classes!$B$6:$B$420,$M1121))</f>
        <v/>
      </c>
      <c r="E1121" s="61" t="str">
        <f aca="false">IF($M1121=0,"",INDEX(Classes!$C$6:$C$420,$M1121))</f>
        <v/>
      </c>
      <c r="F1121" s="63"/>
      <c r="G1121" s="63"/>
      <c r="H1121" s="60"/>
      <c r="I1121" s="60"/>
      <c r="J1121" s="63"/>
      <c r="K1121" s="61" t="str">
        <f aca="false">IF($P1121=0,"",IF($F1121="Baseline","— Baseline",IF($O1121=0,"No result",IF($N1121=0,"No Start (attainment only)",IF(OR($N1121=1,$O1121=1),"U – needs rule",INDEX(MxBody,MATCH($I1121,MxCurr,0),MATCH($H1121,MxStart,0)))))))</f>
        <v/>
      </c>
      <c r="L1121" s="62" t="str">
        <f aca="false">IF(COUNTA($A1121,$F1121,$G1121,$H1121,$I1121,$J1121)=0,"",IF($M1121=0,"✖ كود الصف غير موجود",IF(ISNA(MATCH($F1121,Lists!$A$2:$A$5,0)),"✖ الفترة غير صحيحة",IF(ISNA(MATCH($G1121,Lists!$B$2:$B$7,0)),"✖ المجموعة غير صحيحة",IF(NOT(OR($H1121="",$N1121&gt;0)),"✖ Start غير صحيح",IF(NOT(OR($I1121="",$I1121="NR",$O1121&gt;0)),"✖ Current غير صحيح",IF(NOT(IF(ISNUMBER($J1121),AND($J1121&gt;=0,$J1121=INT($J1121)),FALSE())),"✖ العدد يجب أن يكون صحيحًا ≥ 0",IF(AND($F1121="Baseline",$H1121&lt;&gt;""),"⚠ Baseline: Start لا يدخل في التقدم",IF($K1121="No Start (attainment only)","ℹ تحصيل فقط (بدون Start)",IF($K1121="U – needs rule","ℹ حالة U تحتاج قاعدة معتمدة",IF($K1121="No result","ℹ بدون نتيجة (يُستبعد من التحصيل)","OK")))))))))))</f>
        <v/>
      </c>
      <c r="M1121" s="64" t="n">
        <f aca="false">IF($A1121="",0,IFERROR(MATCH($A1121,Classes!$A$6:$A$420,0),0))</f>
        <v>0</v>
      </c>
      <c r="N1121" s="64" t="n">
        <f aca="false">IF($H1121="",0,IFERROR(MATCH($H1121,GradeList,0),0))</f>
        <v>0</v>
      </c>
      <c r="O1121" s="64" t="n">
        <f aca="false">IF(OR($I1121="",$I1121="NR"),0,IFERROR(MATCH($I1121,GradeList,0),0))</f>
        <v>0</v>
      </c>
      <c r="P1121" s="64" t="n">
        <f aca="false">IF(AND($M1121&gt;0,ISNUMBER(MATCH($F1121,Lists!$A$2:$A$5,0)),ISNUMBER(MATCH($G1121,Lists!$B$2:$B$7,0)),OR($H1121="",$N1121&gt;0),OR($I1121="",$I1121="NR",$O1121&gt;0),IF(ISNUMBER($J1121),AND($J1121&gt;=0,$J1121=INT($J1121)),FALSE())),$J1121,0)</f>
        <v>0</v>
      </c>
      <c r="Q1121" s="64" t="n">
        <f aca="false">IF(AND($P1121&gt;0,$O1121&gt;0),$P1121,0)</f>
        <v>0</v>
      </c>
      <c r="R1121" s="64" t="n">
        <f aca="false">IF(AND($Q1121&gt;0,$O1121&gt;=AtRank),$Q1121,0)</f>
        <v>0</v>
      </c>
      <c r="S1121" s="64" t="n">
        <f aca="false">IF(AND($Q1121&gt;0,$O1121&gt;=AboveRank),$Q1121,0)</f>
        <v>0</v>
      </c>
      <c r="T1121" s="64" t="n">
        <f aca="false">IF($K1121="Less",$P1121,0)</f>
        <v>0</v>
      </c>
      <c r="U1121" s="64" t="n">
        <f aca="false">IF($K1121="Expected",$P1121,0)</f>
        <v>0</v>
      </c>
      <c r="V1121" s="64" t="n">
        <f aca="false">IF($K1121="Better",$P1121,0)</f>
        <v>0</v>
      </c>
      <c r="W1121" s="64" t="n">
        <f aca="false">IF($K1121="U – needs rule",$P1121,0)</f>
        <v>0</v>
      </c>
      <c r="X1121" s="64" t="n">
        <f aca="false">IF($K1121="No Start (attainment only)",$P1121,0)</f>
        <v>0</v>
      </c>
    </row>
    <row r="1122" customFormat="false" ht="15" hidden="false" customHeight="false" outlineLevel="0" collapsed="false">
      <c r="A1122" s="60"/>
      <c r="B1122" s="61" t="str">
        <f aca="false">IF($M1122=0,"",INDEX(Classes!$E$6:$E$420,$M1122))</f>
        <v/>
      </c>
      <c r="C1122" s="62" t="str">
        <f aca="false">IF($M1122=0,"",INDEX(Classes!$H$6:$H$420,$M1122))</f>
        <v/>
      </c>
      <c r="D1122" s="61" t="str">
        <f aca="false">IF($M1122=0,"",INDEX(Classes!$B$6:$B$420,$M1122))</f>
        <v/>
      </c>
      <c r="E1122" s="61" t="str">
        <f aca="false">IF($M1122=0,"",INDEX(Classes!$C$6:$C$420,$M1122))</f>
        <v/>
      </c>
      <c r="F1122" s="63"/>
      <c r="G1122" s="63"/>
      <c r="H1122" s="60"/>
      <c r="I1122" s="60"/>
      <c r="J1122" s="63"/>
      <c r="K1122" s="61" t="str">
        <f aca="false">IF($P1122=0,"",IF($F1122="Baseline","— Baseline",IF($O1122=0,"No result",IF($N1122=0,"No Start (attainment only)",IF(OR($N1122=1,$O1122=1),"U – needs rule",INDEX(MxBody,MATCH($I1122,MxCurr,0),MATCH($H1122,MxStart,0)))))))</f>
        <v/>
      </c>
      <c r="L1122" s="62" t="str">
        <f aca="false">IF(COUNTA($A1122,$F1122,$G1122,$H1122,$I1122,$J1122)=0,"",IF($M1122=0,"✖ كود الصف غير موجود",IF(ISNA(MATCH($F1122,Lists!$A$2:$A$5,0)),"✖ الفترة غير صحيحة",IF(ISNA(MATCH($G1122,Lists!$B$2:$B$7,0)),"✖ المجموعة غير صحيحة",IF(NOT(OR($H1122="",$N1122&gt;0)),"✖ Start غير صحيح",IF(NOT(OR($I1122="",$I1122="NR",$O1122&gt;0)),"✖ Current غير صحيح",IF(NOT(IF(ISNUMBER($J1122),AND($J1122&gt;=0,$J1122=INT($J1122)),FALSE())),"✖ العدد يجب أن يكون صحيحًا ≥ 0",IF(AND($F1122="Baseline",$H1122&lt;&gt;""),"⚠ Baseline: Start لا يدخل في التقدم",IF($K1122="No Start (attainment only)","ℹ تحصيل فقط (بدون Start)",IF($K1122="U – needs rule","ℹ حالة U تحتاج قاعدة معتمدة",IF($K1122="No result","ℹ بدون نتيجة (يُستبعد من التحصيل)","OK")))))))))))</f>
        <v/>
      </c>
      <c r="M1122" s="64" t="n">
        <f aca="false">IF($A1122="",0,IFERROR(MATCH($A1122,Classes!$A$6:$A$420,0),0))</f>
        <v>0</v>
      </c>
      <c r="N1122" s="64" t="n">
        <f aca="false">IF($H1122="",0,IFERROR(MATCH($H1122,GradeList,0),0))</f>
        <v>0</v>
      </c>
      <c r="O1122" s="64" t="n">
        <f aca="false">IF(OR($I1122="",$I1122="NR"),0,IFERROR(MATCH($I1122,GradeList,0),0))</f>
        <v>0</v>
      </c>
      <c r="P1122" s="64" t="n">
        <f aca="false">IF(AND($M1122&gt;0,ISNUMBER(MATCH($F1122,Lists!$A$2:$A$5,0)),ISNUMBER(MATCH($G1122,Lists!$B$2:$B$7,0)),OR($H1122="",$N1122&gt;0),OR($I1122="",$I1122="NR",$O1122&gt;0),IF(ISNUMBER($J1122),AND($J1122&gt;=0,$J1122=INT($J1122)),FALSE())),$J1122,0)</f>
        <v>0</v>
      </c>
      <c r="Q1122" s="64" t="n">
        <f aca="false">IF(AND($P1122&gt;0,$O1122&gt;0),$P1122,0)</f>
        <v>0</v>
      </c>
      <c r="R1122" s="64" t="n">
        <f aca="false">IF(AND($Q1122&gt;0,$O1122&gt;=AtRank),$Q1122,0)</f>
        <v>0</v>
      </c>
      <c r="S1122" s="64" t="n">
        <f aca="false">IF(AND($Q1122&gt;0,$O1122&gt;=AboveRank),$Q1122,0)</f>
        <v>0</v>
      </c>
      <c r="T1122" s="64" t="n">
        <f aca="false">IF($K1122="Less",$P1122,0)</f>
        <v>0</v>
      </c>
      <c r="U1122" s="64" t="n">
        <f aca="false">IF($K1122="Expected",$P1122,0)</f>
        <v>0</v>
      </c>
      <c r="V1122" s="64" t="n">
        <f aca="false">IF($K1122="Better",$P1122,0)</f>
        <v>0</v>
      </c>
      <c r="W1122" s="64" t="n">
        <f aca="false">IF($K1122="U – needs rule",$P1122,0)</f>
        <v>0</v>
      </c>
      <c r="X1122" s="64" t="n">
        <f aca="false">IF($K1122="No Start (attainment only)",$P1122,0)</f>
        <v>0</v>
      </c>
    </row>
    <row r="1123" customFormat="false" ht="15" hidden="false" customHeight="false" outlineLevel="0" collapsed="false">
      <c r="A1123" s="60"/>
      <c r="B1123" s="61" t="str">
        <f aca="false">IF($M1123=0,"",INDEX(Classes!$E$6:$E$420,$M1123))</f>
        <v/>
      </c>
      <c r="C1123" s="62" t="str">
        <f aca="false">IF($M1123=0,"",INDEX(Classes!$H$6:$H$420,$M1123))</f>
        <v/>
      </c>
      <c r="D1123" s="61" t="str">
        <f aca="false">IF($M1123=0,"",INDEX(Classes!$B$6:$B$420,$M1123))</f>
        <v/>
      </c>
      <c r="E1123" s="61" t="str">
        <f aca="false">IF($M1123=0,"",INDEX(Classes!$C$6:$C$420,$M1123))</f>
        <v/>
      </c>
      <c r="F1123" s="63"/>
      <c r="G1123" s="63"/>
      <c r="H1123" s="60"/>
      <c r="I1123" s="60"/>
      <c r="J1123" s="63"/>
      <c r="K1123" s="61" t="str">
        <f aca="false">IF($P1123=0,"",IF($F1123="Baseline","— Baseline",IF($O1123=0,"No result",IF($N1123=0,"No Start (attainment only)",IF(OR($N1123=1,$O1123=1),"U – needs rule",INDEX(MxBody,MATCH($I1123,MxCurr,0),MATCH($H1123,MxStart,0)))))))</f>
        <v/>
      </c>
      <c r="L1123" s="62" t="str">
        <f aca="false">IF(COUNTA($A1123,$F1123,$G1123,$H1123,$I1123,$J1123)=0,"",IF($M1123=0,"✖ كود الصف غير موجود",IF(ISNA(MATCH($F1123,Lists!$A$2:$A$5,0)),"✖ الفترة غير صحيحة",IF(ISNA(MATCH($G1123,Lists!$B$2:$B$7,0)),"✖ المجموعة غير صحيحة",IF(NOT(OR($H1123="",$N1123&gt;0)),"✖ Start غير صحيح",IF(NOT(OR($I1123="",$I1123="NR",$O1123&gt;0)),"✖ Current غير صحيح",IF(NOT(IF(ISNUMBER($J1123),AND($J1123&gt;=0,$J1123=INT($J1123)),FALSE())),"✖ العدد يجب أن يكون صحيحًا ≥ 0",IF(AND($F1123="Baseline",$H1123&lt;&gt;""),"⚠ Baseline: Start لا يدخل في التقدم",IF($K1123="No Start (attainment only)","ℹ تحصيل فقط (بدون Start)",IF($K1123="U – needs rule","ℹ حالة U تحتاج قاعدة معتمدة",IF($K1123="No result","ℹ بدون نتيجة (يُستبعد من التحصيل)","OK")))))))))))</f>
        <v/>
      </c>
      <c r="M1123" s="64" t="n">
        <f aca="false">IF($A1123="",0,IFERROR(MATCH($A1123,Classes!$A$6:$A$420,0),0))</f>
        <v>0</v>
      </c>
      <c r="N1123" s="64" t="n">
        <f aca="false">IF($H1123="",0,IFERROR(MATCH($H1123,GradeList,0),0))</f>
        <v>0</v>
      </c>
      <c r="O1123" s="64" t="n">
        <f aca="false">IF(OR($I1123="",$I1123="NR"),0,IFERROR(MATCH($I1123,GradeList,0),0))</f>
        <v>0</v>
      </c>
      <c r="P1123" s="64" t="n">
        <f aca="false">IF(AND($M1123&gt;0,ISNUMBER(MATCH($F1123,Lists!$A$2:$A$5,0)),ISNUMBER(MATCH($G1123,Lists!$B$2:$B$7,0)),OR($H1123="",$N1123&gt;0),OR($I1123="",$I1123="NR",$O1123&gt;0),IF(ISNUMBER($J1123),AND($J1123&gt;=0,$J1123=INT($J1123)),FALSE())),$J1123,0)</f>
        <v>0</v>
      </c>
      <c r="Q1123" s="64" t="n">
        <f aca="false">IF(AND($P1123&gt;0,$O1123&gt;0),$P1123,0)</f>
        <v>0</v>
      </c>
      <c r="R1123" s="64" t="n">
        <f aca="false">IF(AND($Q1123&gt;0,$O1123&gt;=AtRank),$Q1123,0)</f>
        <v>0</v>
      </c>
      <c r="S1123" s="64" t="n">
        <f aca="false">IF(AND($Q1123&gt;0,$O1123&gt;=AboveRank),$Q1123,0)</f>
        <v>0</v>
      </c>
      <c r="T1123" s="64" t="n">
        <f aca="false">IF($K1123="Less",$P1123,0)</f>
        <v>0</v>
      </c>
      <c r="U1123" s="64" t="n">
        <f aca="false">IF($K1123="Expected",$P1123,0)</f>
        <v>0</v>
      </c>
      <c r="V1123" s="64" t="n">
        <f aca="false">IF($K1123="Better",$P1123,0)</f>
        <v>0</v>
      </c>
      <c r="W1123" s="64" t="n">
        <f aca="false">IF($K1123="U – needs rule",$P1123,0)</f>
        <v>0</v>
      </c>
      <c r="X1123" s="64" t="n">
        <f aca="false">IF($K1123="No Start (attainment only)",$P1123,0)</f>
        <v>0</v>
      </c>
    </row>
    <row r="1124" customFormat="false" ht="15" hidden="false" customHeight="false" outlineLevel="0" collapsed="false">
      <c r="A1124" s="60"/>
      <c r="B1124" s="61" t="str">
        <f aca="false">IF($M1124=0,"",INDEX(Classes!$E$6:$E$420,$M1124))</f>
        <v/>
      </c>
      <c r="C1124" s="62" t="str">
        <f aca="false">IF($M1124=0,"",INDEX(Classes!$H$6:$H$420,$M1124))</f>
        <v/>
      </c>
      <c r="D1124" s="61" t="str">
        <f aca="false">IF($M1124=0,"",INDEX(Classes!$B$6:$B$420,$M1124))</f>
        <v/>
      </c>
      <c r="E1124" s="61" t="str">
        <f aca="false">IF($M1124=0,"",INDEX(Classes!$C$6:$C$420,$M1124))</f>
        <v/>
      </c>
      <c r="F1124" s="63"/>
      <c r="G1124" s="63"/>
      <c r="H1124" s="60"/>
      <c r="I1124" s="60"/>
      <c r="J1124" s="63"/>
      <c r="K1124" s="61" t="str">
        <f aca="false">IF($P1124=0,"",IF($F1124="Baseline","— Baseline",IF($O1124=0,"No result",IF($N1124=0,"No Start (attainment only)",IF(OR($N1124=1,$O1124=1),"U – needs rule",INDEX(MxBody,MATCH($I1124,MxCurr,0),MATCH($H1124,MxStart,0)))))))</f>
        <v/>
      </c>
      <c r="L1124" s="62" t="str">
        <f aca="false">IF(COUNTA($A1124,$F1124,$G1124,$H1124,$I1124,$J1124)=0,"",IF($M1124=0,"✖ كود الصف غير موجود",IF(ISNA(MATCH($F1124,Lists!$A$2:$A$5,0)),"✖ الفترة غير صحيحة",IF(ISNA(MATCH($G1124,Lists!$B$2:$B$7,0)),"✖ المجموعة غير صحيحة",IF(NOT(OR($H1124="",$N1124&gt;0)),"✖ Start غير صحيح",IF(NOT(OR($I1124="",$I1124="NR",$O1124&gt;0)),"✖ Current غير صحيح",IF(NOT(IF(ISNUMBER($J1124),AND($J1124&gt;=0,$J1124=INT($J1124)),FALSE())),"✖ العدد يجب أن يكون صحيحًا ≥ 0",IF(AND($F1124="Baseline",$H1124&lt;&gt;""),"⚠ Baseline: Start لا يدخل في التقدم",IF($K1124="No Start (attainment only)","ℹ تحصيل فقط (بدون Start)",IF($K1124="U – needs rule","ℹ حالة U تحتاج قاعدة معتمدة",IF($K1124="No result","ℹ بدون نتيجة (يُستبعد من التحصيل)","OK")))))))))))</f>
        <v/>
      </c>
      <c r="M1124" s="64" t="n">
        <f aca="false">IF($A1124="",0,IFERROR(MATCH($A1124,Classes!$A$6:$A$420,0),0))</f>
        <v>0</v>
      </c>
      <c r="N1124" s="64" t="n">
        <f aca="false">IF($H1124="",0,IFERROR(MATCH($H1124,GradeList,0),0))</f>
        <v>0</v>
      </c>
      <c r="O1124" s="64" t="n">
        <f aca="false">IF(OR($I1124="",$I1124="NR"),0,IFERROR(MATCH($I1124,GradeList,0),0))</f>
        <v>0</v>
      </c>
      <c r="P1124" s="64" t="n">
        <f aca="false">IF(AND($M1124&gt;0,ISNUMBER(MATCH($F1124,Lists!$A$2:$A$5,0)),ISNUMBER(MATCH($G1124,Lists!$B$2:$B$7,0)),OR($H1124="",$N1124&gt;0),OR($I1124="",$I1124="NR",$O1124&gt;0),IF(ISNUMBER($J1124),AND($J1124&gt;=0,$J1124=INT($J1124)),FALSE())),$J1124,0)</f>
        <v>0</v>
      </c>
      <c r="Q1124" s="64" t="n">
        <f aca="false">IF(AND($P1124&gt;0,$O1124&gt;0),$P1124,0)</f>
        <v>0</v>
      </c>
      <c r="R1124" s="64" t="n">
        <f aca="false">IF(AND($Q1124&gt;0,$O1124&gt;=AtRank),$Q1124,0)</f>
        <v>0</v>
      </c>
      <c r="S1124" s="64" t="n">
        <f aca="false">IF(AND($Q1124&gt;0,$O1124&gt;=AboveRank),$Q1124,0)</f>
        <v>0</v>
      </c>
      <c r="T1124" s="64" t="n">
        <f aca="false">IF($K1124="Less",$P1124,0)</f>
        <v>0</v>
      </c>
      <c r="U1124" s="64" t="n">
        <f aca="false">IF($K1124="Expected",$P1124,0)</f>
        <v>0</v>
      </c>
      <c r="V1124" s="64" t="n">
        <f aca="false">IF($K1124="Better",$P1124,0)</f>
        <v>0</v>
      </c>
      <c r="W1124" s="64" t="n">
        <f aca="false">IF($K1124="U – needs rule",$P1124,0)</f>
        <v>0</v>
      </c>
      <c r="X1124" s="64" t="n">
        <f aca="false">IF($K1124="No Start (attainment only)",$P1124,0)</f>
        <v>0</v>
      </c>
    </row>
    <row r="1125" customFormat="false" ht="15" hidden="false" customHeight="false" outlineLevel="0" collapsed="false">
      <c r="A1125" s="60"/>
      <c r="B1125" s="61" t="str">
        <f aca="false">IF($M1125=0,"",INDEX(Classes!$E$6:$E$420,$M1125))</f>
        <v/>
      </c>
      <c r="C1125" s="62" t="str">
        <f aca="false">IF($M1125=0,"",INDEX(Classes!$H$6:$H$420,$M1125))</f>
        <v/>
      </c>
      <c r="D1125" s="61" t="str">
        <f aca="false">IF($M1125=0,"",INDEX(Classes!$B$6:$B$420,$M1125))</f>
        <v/>
      </c>
      <c r="E1125" s="61" t="str">
        <f aca="false">IF($M1125=0,"",INDEX(Classes!$C$6:$C$420,$M1125))</f>
        <v/>
      </c>
      <c r="F1125" s="63"/>
      <c r="G1125" s="63"/>
      <c r="H1125" s="60"/>
      <c r="I1125" s="60"/>
      <c r="J1125" s="63"/>
      <c r="K1125" s="61" t="str">
        <f aca="false">IF($P1125=0,"",IF($F1125="Baseline","— Baseline",IF($O1125=0,"No result",IF($N1125=0,"No Start (attainment only)",IF(OR($N1125=1,$O1125=1),"U – needs rule",INDEX(MxBody,MATCH($I1125,MxCurr,0),MATCH($H1125,MxStart,0)))))))</f>
        <v/>
      </c>
      <c r="L1125" s="62" t="str">
        <f aca="false">IF(COUNTA($A1125,$F1125,$G1125,$H1125,$I1125,$J1125)=0,"",IF($M1125=0,"✖ كود الصف غير موجود",IF(ISNA(MATCH($F1125,Lists!$A$2:$A$5,0)),"✖ الفترة غير صحيحة",IF(ISNA(MATCH($G1125,Lists!$B$2:$B$7,0)),"✖ المجموعة غير صحيحة",IF(NOT(OR($H1125="",$N1125&gt;0)),"✖ Start غير صحيح",IF(NOT(OR($I1125="",$I1125="NR",$O1125&gt;0)),"✖ Current غير صحيح",IF(NOT(IF(ISNUMBER($J1125),AND($J1125&gt;=0,$J1125=INT($J1125)),FALSE())),"✖ العدد يجب أن يكون صحيحًا ≥ 0",IF(AND($F1125="Baseline",$H1125&lt;&gt;""),"⚠ Baseline: Start لا يدخل في التقدم",IF($K1125="No Start (attainment only)","ℹ تحصيل فقط (بدون Start)",IF($K1125="U – needs rule","ℹ حالة U تحتاج قاعدة معتمدة",IF($K1125="No result","ℹ بدون نتيجة (يُستبعد من التحصيل)","OK")))))))))))</f>
        <v/>
      </c>
      <c r="M1125" s="64" t="n">
        <f aca="false">IF($A1125="",0,IFERROR(MATCH($A1125,Classes!$A$6:$A$420,0),0))</f>
        <v>0</v>
      </c>
      <c r="N1125" s="64" t="n">
        <f aca="false">IF($H1125="",0,IFERROR(MATCH($H1125,GradeList,0),0))</f>
        <v>0</v>
      </c>
      <c r="O1125" s="64" t="n">
        <f aca="false">IF(OR($I1125="",$I1125="NR"),0,IFERROR(MATCH($I1125,GradeList,0),0))</f>
        <v>0</v>
      </c>
      <c r="P1125" s="64" t="n">
        <f aca="false">IF(AND($M1125&gt;0,ISNUMBER(MATCH($F1125,Lists!$A$2:$A$5,0)),ISNUMBER(MATCH($G1125,Lists!$B$2:$B$7,0)),OR($H1125="",$N1125&gt;0),OR($I1125="",$I1125="NR",$O1125&gt;0),IF(ISNUMBER($J1125),AND($J1125&gt;=0,$J1125=INT($J1125)),FALSE())),$J1125,0)</f>
        <v>0</v>
      </c>
      <c r="Q1125" s="64" t="n">
        <f aca="false">IF(AND($P1125&gt;0,$O1125&gt;0),$P1125,0)</f>
        <v>0</v>
      </c>
      <c r="R1125" s="64" t="n">
        <f aca="false">IF(AND($Q1125&gt;0,$O1125&gt;=AtRank),$Q1125,0)</f>
        <v>0</v>
      </c>
      <c r="S1125" s="64" t="n">
        <f aca="false">IF(AND($Q1125&gt;0,$O1125&gt;=AboveRank),$Q1125,0)</f>
        <v>0</v>
      </c>
      <c r="T1125" s="64" t="n">
        <f aca="false">IF($K1125="Less",$P1125,0)</f>
        <v>0</v>
      </c>
      <c r="U1125" s="64" t="n">
        <f aca="false">IF($K1125="Expected",$P1125,0)</f>
        <v>0</v>
      </c>
      <c r="V1125" s="64" t="n">
        <f aca="false">IF($K1125="Better",$P1125,0)</f>
        <v>0</v>
      </c>
      <c r="W1125" s="64" t="n">
        <f aca="false">IF($K1125="U – needs rule",$P1125,0)</f>
        <v>0</v>
      </c>
      <c r="X1125" s="64" t="n">
        <f aca="false">IF($K1125="No Start (attainment only)",$P1125,0)</f>
        <v>0</v>
      </c>
    </row>
    <row r="1126" customFormat="false" ht="15" hidden="false" customHeight="false" outlineLevel="0" collapsed="false">
      <c r="A1126" s="60"/>
      <c r="B1126" s="61" t="str">
        <f aca="false">IF($M1126=0,"",INDEX(Classes!$E$6:$E$420,$M1126))</f>
        <v/>
      </c>
      <c r="C1126" s="62" t="str">
        <f aca="false">IF($M1126=0,"",INDEX(Classes!$H$6:$H$420,$M1126))</f>
        <v/>
      </c>
      <c r="D1126" s="61" t="str">
        <f aca="false">IF($M1126=0,"",INDEX(Classes!$B$6:$B$420,$M1126))</f>
        <v/>
      </c>
      <c r="E1126" s="61" t="str">
        <f aca="false">IF($M1126=0,"",INDEX(Classes!$C$6:$C$420,$M1126))</f>
        <v/>
      </c>
      <c r="F1126" s="63"/>
      <c r="G1126" s="63"/>
      <c r="H1126" s="60"/>
      <c r="I1126" s="60"/>
      <c r="J1126" s="63"/>
      <c r="K1126" s="61" t="str">
        <f aca="false">IF($P1126=0,"",IF($F1126="Baseline","— Baseline",IF($O1126=0,"No result",IF($N1126=0,"No Start (attainment only)",IF(OR($N1126=1,$O1126=1),"U – needs rule",INDEX(MxBody,MATCH($I1126,MxCurr,0),MATCH($H1126,MxStart,0)))))))</f>
        <v/>
      </c>
      <c r="L1126" s="62" t="str">
        <f aca="false">IF(COUNTA($A1126,$F1126,$G1126,$H1126,$I1126,$J1126)=0,"",IF($M1126=0,"✖ كود الصف غير موجود",IF(ISNA(MATCH($F1126,Lists!$A$2:$A$5,0)),"✖ الفترة غير صحيحة",IF(ISNA(MATCH($G1126,Lists!$B$2:$B$7,0)),"✖ المجموعة غير صحيحة",IF(NOT(OR($H1126="",$N1126&gt;0)),"✖ Start غير صحيح",IF(NOT(OR($I1126="",$I1126="NR",$O1126&gt;0)),"✖ Current غير صحيح",IF(NOT(IF(ISNUMBER($J1126),AND($J1126&gt;=0,$J1126=INT($J1126)),FALSE())),"✖ العدد يجب أن يكون صحيحًا ≥ 0",IF(AND($F1126="Baseline",$H1126&lt;&gt;""),"⚠ Baseline: Start لا يدخل في التقدم",IF($K1126="No Start (attainment only)","ℹ تحصيل فقط (بدون Start)",IF($K1126="U – needs rule","ℹ حالة U تحتاج قاعدة معتمدة",IF($K1126="No result","ℹ بدون نتيجة (يُستبعد من التحصيل)","OK")))))))))))</f>
        <v/>
      </c>
      <c r="M1126" s="64" t="n">
        <f aca="false">IF($A1126="",0,IFERROR(MATCH($A1126,Classes!$A$6:$A$420,0),0))</f>
        <v>0</v>
      </c>
      <c r="N1126" s="64" t="n">
        <f aca="false">IF($H1126="",0,IFERROR(MATCH($H1126,GradeList,0),0))</f>
        <v>0</v>
      </c>
      <c r="O1126" s="64" t="n">
        <f aca="false">IF(OR($I1126="",$I1126="NR"),0,IFERROR(MATCH($I1126,GradeList,0),0))</f>
        <v>0</v>
      </c>
      <c r="P1126" s="64" t="n">
        <f aca="false">IF(AND($M1126&gt;0,ISNUMBER(MATCH($F1126,Lists!$A$2:$A$5,0)),ISNUMBER(MATCH($G1126,Lists!$B$2:$B$7,0)),OR($H1126="",$N1126&gt;0),OR($I1126="",$I1126="NR",$O1126&gt;0),IF(ISNUMBER($J1126),AND($J1126&gt;=0,$J1126=INT($J1126)),FALSE())),$J1126,0)</f>
        <v>0</v>
      </c>
      <c r="Q1126" s="64" t="n">
        <f aca="false">IF(AND($P1126&gt;0,$O1126&gt;0),$P1126,0)</f>
        <v>0</v>
      </c>
      <c r="R1126" s="64" t="n">
        <f aca="false">IF(AND($Q1126&gt;0,$O1126&gt;=AtRank),$Q1126,0)</f>
        <v>0</v>
      </c>
      <c r="S1126" s="64" t="n">
        <f aca="false">IF(AND($Q1126&gt;0,$O1126&gt;=AboveRank),$Q1126,0)</f>
        <v>0</v>
      </c>
      <c r="T1126" s="64" t="n">
        <f aca="false">IF($K1126="Less",$P1126,0)</f>
        <v>0</v>
      </c>
      <c r="U1126" s="64" t="n">
        <f aca="false">IF($K1126="Expected",$P1126,0)</f>
        <v>0</v>
      </c>
      <c r="V1126" s="64" t="n">
        <f aca="false">IF($K1126="Better",$P1126,0)</f>
        <v>0</v>
      </c>
      <c r="W1126" s="64" t="n">
        <f aca="false">IF($K1126="U – needs rule",$P1126,0)</f>
        <v>0</v>
      </c>
      <c r="X1126" s="64" t="n">
        <f aca="false">IF($K1126="No Start (attainment only)",$P1126,0)</f>
        <v>0</v>
      </c>
    </row>
    <row r="1127" customFormat="false" ht="15" hidden="false" customHeight="false" outlineLevel="0" collapsed="false">
      <c r="A1127" s="60"/>
      <c r="B1127" s="61" t="str">
        <f aca="false">IF($M1127=0,"",INDEX(Classes!$E$6:$E$420,$M1127))</f>
        <v/>
      </c>
      <c r="C1127" s="62" t="str">
        <f aca="false">IF($M1127=0,"",INDEX(Classes!$H$6:$H$420,$M1127))</f>
        <v/>
      </c>
      <c r="D1127" s="61" t="str">
        <f aca="false">IF($M1127=0,"",INDEX(Classes!$B$6:$B$420,$M1127))</f>
        <v/>
      </c>
      <c r="E1127" s="61" t="str">
        <f aca="false">IF($M1127=0,"",INDEX(Classes!$C$6:$C$420,$M1127))</f>
        <v/>
      </c>
      <c r="F1127" s="63"/>
      <c r="G1127" s="63"/>
      <c r="H1127" s="60"/>
      <c r="I1127" s="60"/>
      <c r="J1127" s="63"/>
      <c r="K1127" s="61" t="str">
        <f aca="false">IF($P1127=0,"",IF($F1127="Baseline","— Baseline",IF($O1127=0,"No result",IF($N1127=0,"No Start (attainment only)",IF(OR($N1127=1,$O1127=1),"U – needs rule",INDEX(MxBody,MATCH($I1127,MxCurr,0),MATCH($H1127,MxStart,0)))))))</f>
        <v/>
      </c>
      <c r="L1127" s="62" t="str">
        <f aca="false">IF(COUNTA($A1127,$F1127,$G1127,$H1127,$I1127,$J1127)=0,"",IF($M1127=0,"✖ كود الصف غير موجود",IF(ISNA(MATCH($F1127,Lists!$A$2:$A$5,0)),"✖ الفترة غير صحيحة",IF(ISNA(MATCH($G1127,Lists!$B$2:$B$7,0)),"✖ المجموعة غير صحيحة",IF(NOT(OR($H1127="",$N1127&gt;0)),"✖ Start غير صحيح",IF(NOT(OR($I1127="",$I1127="NR",$O1127&gt;0)),"✖ Current غير صحيح",IF(NOT(IF(ISNUMBER($J1127),AND($J1127&gt;=0,$J1127=INT($J1127)),FALSE())),"✖ العدد يجب أن يكون صحيحًا ≥ 0",IF(AND($F1127="Baseline",$H1127&lt;&gt;""),"⚠ Baseline: Start لا يدخل في التقدم",IF($K1127="No Start (attainment only)","ℹ تحصيل فقط (بدون Start)",IF($K1127="U – needs rule","ℹ حالة U تحتاج قاعدة معتمدة",IF($K1127="No result","ℹ بدون نتيجة (يُستبعد من التحصيل)","OK")))))))))))</f>
        <v/>
      </c>
      <c r="M1127" s="64" t="n">
        <f aca="false">IF($A1127="",0,IFERROR(MATCH($A1127,Classes!$A$6:$A$420,0),0))</f>
        <v>0</v>
      </c>
      <c r="N1127" s="64" t="n">
        <f aca="false">IF($H1127="",0,IFERROR(MATCH($H1127,GradeList,0),0))</f>
        <v>0</v>
      </c>
      <c r="O1127" s="64" t="n">
        <f aca="false">IF(OR($I1127="",$I1127="NR"),0,IFERROR(MATCH($I1127,GradeList,0),0))</f>
        <v>0</v>
      </c>
      <c r="P1127" s="64" t="n">
        <f aca="false">IF(AND($M1127&gt;0,ISNUMBER(MATCH($F1127,Lists!$A$2:$A$5,0)),ISNUMBER(MATCH($G1127,Lists!$B$2:$B$7,0)),OR($H1127="",$N1127&gt;0),OR($I1127="",$I1127="NR",$O1127&gt;0),IF(ISNUMBER($J1127),AND($J1127&gt;=0,$J1127=INT($J1127)),FALSE())),$J1127,0)</f>
        <v>0</v>
      </c>
      <c r="Q1127" s="64" t="n">
        <f aca="false">IF(AND($P1127&gt;0,$O1127&gt;0),$P1127,0)</f>
        <v>0</v>
      </c>
      <c r="R1127" s="64" t="n">
        <f aca="false">IF(AND($Q1127&gt;0,$O1127&gt;=AtRank),$Q1127,0)</f>
        <v>0</v>
      </c>
      <c r="S1127" s="64" t="n">
        <f aca="false">IF(AND($Q1127&gt;0,$O1127&gt;=AboveRank),$Q1127,0)</f>
        <v>0</v>
      </c>
      <c r="T1127" s="64" t="n">
        <f aca="false">IF($K1127="Less",$P1127,0)</f>
        <v>0</v>
      </c>
      <c r="U1127" s="64" t="n">
        <f aca="false">IF($K1127="Expected",$P1127,0)</f>
        <v>0</v>
      </c>
      <c r="V1127" s="64" t="n">
        <f aca="false">IF($K1127="Better",$P1127,0)</f>
        <v>0</v>
      </c>
      <c r="W1127" s="64" t="n">
        <f aca="false">IF($K1127="U – needs rule",$P1127,0)</f>
        <v>0</v>
      </c>
      <c r="X1127" s="64" t="n">
        <f aca="false">IF($K1127="No Start (attainment only)",$P1127,0)</f>
        <v>0</v>
      </c>
    </row>
    <row r="1128" customFormat="false" ht="15" hidden="false" customHeight="false" outlineLevel="0" collapsed="false">
      <c r="A1128" s="60"/>
      <c r="B1128" s="61" t="str">
        <f aca="false">IF($M1128=0,"",INDEX(Classes!$E$6:$E$420,$M1128))</f>
        <v/>
      </c>
      <c r="C1128" s="62" t="str">
        <f aca="false">IF($M1128=0,"",INDEX(Classes!$H$6:$H$420,$M1128))</f>
        <v/>
      </c>
      <c r="D1128" s="61" t="str">
        <f aca="false">IF($M1128=0,"",INDEX(Classes!$B$6:$B$420,$M1128))</f>
        <v/>
      </c>
      <c r="E1128" s="61" t="str">
        <f aca="false">IF($M1128=0,"",INDEX(Classes!$C$6:$C$420,$M1128))</f>
        <v/>
      </c>
      <c r="F1128" s="63"/>
      <c r="G1128" s="63"/>
      <c r="H1128" s="60"/>
      <c r="I1128" s="60"/>
      <c r="J1128" s="63"/>
      <c r="K1128" s="61" t="str">
        <f aca="false">IF($P1128=0,"",IF($F1128="Baseline","— Baseline",IF($O1128=0,"No result",IF($N1128=0,"No Start (attainment only)",IF(OR($N1128=1,$O1128=1),"U – needs rule",INDEX(MxBody,MATCH($I1128,MxCurr,0),MATCH($H1128,MxStart,0)))))))</f>
        <v/>
      </c>
      <c r="L1128" s="62" t="str">
        <f aca="false">IF(COUNTA($A1128,$F1128,$G1128,$H1128,$I1128,$J1128)=0,"",IF($M1128=0,"✖ كود الصف غير موجود",IF(ISNA(MATCH($F1128,Lists!$A$2:$A$5,0)),"✖ الفترة غير صحيحة",IF(ISNA(MATCH($G1128,Lists!$B$2:$B$7,0)),"✖ المجموعة غير صحيحة",IF(NOT(OR($H1128="",$N1128&gt;0)),"✖ Start غير صحيح",IF(NOT(OR($I1128="",$I1128="NR",$O1128&gt;0)),"✖ Current غير صحيح",IF(NOT(IF(ISNUMBER($J1128),AND($J1128&gt;=0,$J1128=INT($J1128)),FALSE())),"✖ العدد يجب أن يكون صحيحًا ≥ 0",IF(AND($F1128="Baseline",$H1128&lt;&gt;""),"⚠ Baseline: Start لا يدخل في التقدم",IF($K1128="No Start (attainment only)","ℹ تحصيل فقط (بدون Start)",IF($K1128="U – needs rule","ℹ حالة U تحتاج قاعدة معتمدة",IF($K1128="No result","ℹ بدون نتيجة (يُستبعد من التحصيل)","OK")))))))))))</f>
        <v/>
      </c>
      <c r="M1128" s="64" t="n">
        <f aca="false">IF($A1128="",0,IFERROR(MATCH($A1128,Classes!$A$6:$A$420,0),0))</f>
        <v>0</v>
      </c>
      <c r="N1128" s="64" t="n">
        <f aca="false">IF($H1128="",0,IFERROR(MATCH($H1128,GradeList,0),0))</f>
        <v>0</v>
      </c>
      <c r="O1128" s="64" t="n">
        <f aca="false">IF(OR($I1128="",$I1128="NR"),0,IFERROR(MATCH($I1128,GradeList,0),0))</f>
        <v>0</v>
      </c>
      <c r="P1128" s="64" t="n">
        <f aca="false">IF(AND($M1128&gt;0,ISNUMBER(MATCH($F1128,Lists!$A$2:$A$5,0)),ISNUMBER(MATCH($G1128,Lists!$B$2:$B$7,0)),OR($H1128="",$N1128&gt;0),OR($I1128="",$I1128="NR",$O1128&gt;0),IF(ISNUMBER($J1128),AND($J1128&gt;=0,$J1128=INT($J1128)),FALSE())),$J1128,0)</f>
        <v>0</v>
      </c>
      <c r="Q1128" s="64" t="n">
        <f aca="false">IF(AND($P1128&gt;0,$O1128&gt;0),$P1128,0)</f>
        <v>0</v>
      </c>
      <c r="R1128" s="64" t="n">
        <f aca="false">IF(AND($Q1128&gt;0,$O1128&gt;=AtRank),$Q1128,0)</f>
        <v>0</v>
      </c>
      <c r="S1128" s="64" t="n">
        <f aca="false">IF(AND($Q1128&gt;0,$O1128&gt;=AboveRank),$Q1128,0)</f>
        <v>0</v>
      </c>
      <c r="T1128" s="64" t="n">
        <f aca="false">IF($K1128="Less",$P1128,0)</f>
        <v>0</v>
      </c>
      <c r="U1128" s="64" t="n">
        <f aca="false">IF($K1128="Expected",$P1128,0)</f>
        <v>0</v>
      </c>
      <c r="V1128" s="64" t="n">
        <f aca="false">IF($K1128="Better",$P1128,0)</f>
        <v>0</v>
      </c>
      <c r="W1128" s="64" t="n">
        <f aca="false">IF($K1128="U – needs rule",$P1128,0)</f>
        <v>0</v>
      </c>
      <c r="X1128" s="64" t="n">
        <f aca="false">IF($K1128="No Start (attainment only)",$P1128,0)</f>
        <v>0</v>
      </c>
    </row>
    <row r="1129" customFormat="false" ht="15" hidden="false" customHeight="false" outlineLevel="0" collapsed="false">
      <c r="A1129" s="60"/>
      <c r="B1129" s="61" t="str">
        <f aca="false">IF($M1129=0,"",INDEX(Classes!$E$6:$E$420,$M1129))</f>
        <v/>
      </c>
      <c r="C1129" s="62" t="str">
        <f aca="false">IF($M1129=0,"",INDEX(Classes!$H$6:$H$420,$M1129))</f>
        <v/>
      </c>
      <c r="D1129" s="61" t="str">
        <f aca="false">IF($M1129=0,"",INDEX(Classes!$B$6:$B$420,$M1129))</f>
        <v/>
      </c>
      <c r="E1129" s="61" t="str">
        <f aca="false">IF($M1129=0,"",INDEX(Classes!$C$6:$C$420,$M1129))</f>
        <v/>
      </c>
      <c r="F1129" s="63"/>
      <c r="G1129" s="63"/>
      <c r="H1129" s="60"/>
      <c r="I1129" s="60"/>
      <c r="J1129" s="63"/>
      <c r="K1129" s="61" t="str">
        <f aca="false">IF($P1129=0,"",IF($F1129="Baseline","— Baseline",IF($O1129=0,"No result",IF($N1129=0,"No Start (attainment only)",IF(OR($N1129=1,$O1129=1),"U – needs rule",INDEX(MxBody,MATCH($I1129,MxCurr,0),MATCH($H1129,MxStart,0)))))))</f>
        <v/>
      </c>
      <c r="L1129" s="62" t="str">
        <f aca="false">IF(COUNTA($A1129,$F1129,$G1129,$H1129,$I1129,$J1129)=0,"",IF($M1129=0,"✖ كود الصف غير موجود",IF(ISNA(MATCH($F1129,Lists!$A$2:$A$5,0)),"✖ الفترة غير صحيحة",IF(ISNA(MATCH($G1129,Lists!$B$2:$B$7,0)),"✖ المجموعة غير صحيحة",IF(NOT(OR($H1129="",$N1129&gt;0)),"✖ Start غير صحيح",IF(NOT(OR($I1129="",$I1129="NR",$O1129&gt;0)),"✖ Current غير صحيح",IF(NOT(IF(ISNUMBER($J1129),AND($J1129&gt;=0,$J1129=INT($J1129)),FALSE())),"✖ العدد يجب أن يكون صحيحًا ≥ 0",IF(AND($F1129="Baseline",$H1129&lt;&gt;""),"⚠ Baseline: Start لا يدخل في التقدم",IF($K1129="No Start (attainment only)","ℹ تحصيل فقط (بدون Start)",IF($K1129="U – needs rule","ℹ حالة U تحتاج قاعدة معتمدة",IF($K1129="No result","ℹ بدون نتيجة (يُستبعد من التحصيل)","OK")))))))))))</f>
        <v/>
      </c>
      <c r="M1129" s="64" t="n">
        <f aca="false">IF($A1129="",0,IFERROR(MATCH($A1129,Classes!$A$6:$A$420,0),0))</f>
        <v>0</v>
      </c>
      <c r="N1129" s="64" t="n">
        <f aca="false">IF($H1129="",0,IFERROR(MATCH($H1129,GradeList,0),0))</f>
        <v>0</v>
      </c>
      <c r="O1129" s="64" t="n">
        <f aca="false">IF(OR($I1129="",$I1129="NR"),0,IFERROR(MATCH($I1129,GradeList,0),0))</f>
        <v>0</v>
      </c>
      <c r="P1129" s="64" t="n">
        <f aca="false">IF(AND($M1129&gt;0,ISNUMBER(MATCH($F1129,Lists!$A$2:$A$5,0)),ISNUMBER(MATCH($G1129,Lists!$B$2:$B$7,0)),OR($H1129="",$N1129&gt;0),OR($I1129="",$I1129="NR",$O1129&gt;0),IF(ISNUMBER($J1129),AND($J1129&gt;=0,$J1129=INT($J1129)),FALSE())),$J1129,0)</f>
        <v>0</v>
      </c>
      <c r="Q1129" s="64" t="n">
        <f aca="false">IF(AND($P1129&gt;0,$O1129&gt;0),$P1129,0)</f>
        <v>0</v>
      </c>
      <c r="R1129" s="64" t="n">
        <f aca="false">IF(AND($Q1129&gt;0,$O1129&gt;=AtRank),$Q1129,0)</f>
        <v>0</v>
      </c>
      <c r="S1129" s="64" t="n">
        <f aca="false">IF(AND($Q1129&gt;0,$O1129&gt;=AboveRank),$Q1129,0)</f>
        <v>0</v>
      </c>
      <c r="T1129" s="64" t="n">
        <f aca="false">IF($K1129="Less",$P1129,0)</f>
        <v>0</v>
      </c>
      <c r="U1129" s="64" t="n">
        <f aca="false">IF($K1129="Expected",$P1129,0)</f>
        <v>0</v>
      </c>
      <c r="V1129" s="64" t="n">
        <f aca="false">IF($K1129="Better",$P1129,0)</f>
        <v>0</v>
      </c>
      <c r="W1129" s="64" t="n">
        <f aca="false">IF($K1129="U – needs rule",$P1129,0)</f>
        <v>0</v>
      </c>
      <c r="X1129" s="64" t="n">
        <f aca="false">IF($K1129="No Start (attainment only)",$P1129,0)</f>
        <v>0</v>
      </c>
    </row>
    <row r="1130" customFormat="false" ht="15" hidden="false" customHeight="false" outlineLevel="0" collapsed="false">
      <c r="A1130" s="60"/>
      <c r="B1130" s="61" t="str">
        <f aca="false">IF($M1130=0,"",INDEX(Classes!$E$6:$E$420,$M1130))</f>
        <v/>
      </c>
      <c r="C1130" s="62" t="str">
        <f aca="false">IF($M1130=0,"",INDEX(Classes!$H$6:$H$420,$M1130))</f>
        <v/>
      </c>
      <c r="D1130" s="61" t="str">
        <f aca="false">IF($M1130=0,"",INDEX(Classes!$B$6:$B$420,$M1130))</f>
        <v/>
      </c>
      <c r="E1130" s="61" t="str">
        <f aca="false">IF($M1130=0,"",INDEX(Classes!$C$6:$C$420,$M1130))</f>
        <v/>
      </c>
      <c r="F1130" s="63"/>
      <c r="G1130" s="63"/>
      <c r="H1130" s="60"/>
      <c r="I1130" s="60"/>
      <c r="J1130" s="63"/>
      <c r="K1130" s="61" t="str">
        <f aca="false">IF($P1130=0,"",IF($F1130="Baseline","— Baseline",IF($O1130=0,"No result",IF($N1130=0,"No Start (attainment only)",IF(OR($N1130=1,$O1130=1),"U – needs rule",INDEX(MxBody,MATCH($I1130,MxCurr,0),MATCH($H1130,MxStart,0)))))))</f>
        <v/>
      </c>
      <c r="L1130" s="62" t="str">
        <f aca="false">IF(COUNTA($A1130,$F1130,$G1130,$H1130,$I1130,$J1130)=0,"",IF($M1130=0,"✖ كود الصف غير موجود",IF(ISNA(MATCH($F1130,Lists!$A$2:$A$5,0)),"✖ الفترة غير صحيحة",IF(ISNA(MATCH($G1130,Lists!$B$2:$B$7,0)),"✖ المجموعة غير صحيحة",IF(NOT(OR($H1130="",$N1130&gt;0)),"✖ Start غير صحيح",IF(NOT(OR($I1130="",$I1130="NR",$O1130&gt;0)),"✖ Current غير صحيح",IF(NOT(IF(ISNUMBER($J1130),AND($J1130&gt;=0,$J1130=INT($J1130)),FALSE())),"✖ العدد يجب أن يكون صحيحًا ≥ 0",IF(AND($F1130="Baseline",$H1130&lt;&gt;""),"⚠ Baseline: Start لا يدخل في التقدم",IF($K1130="No Start (attainment only)","ℹ تحصيل فقط (بدون Start)",IF($K1130="U – needs rule","ℹ حالة U تحتاج قاعدة معتمدة",IF($K1130="No result","ℹ بدون نتيجة (يُستبعد من التحصيل)","OK")))))))))))</f>
        <v/>
      </c>
      <c r="M1130" s="64" t="n">
        <f aca="false">IF($A1130="",0,IFERROR(MATCH($A1130,Classes!$A$6:$A$420,0),0))</f>
        <v>0</v>
      </c>
      <c r="N1130" s="64" t="n">
        <f aca="false">IF($H1130="",0,IFERROR(MATCH($H1130,GradeList,0),0))</f>
        <v>0</v>
      </c>
      <c r="O1130" s="64" t="n">
        <f aca="false">IF(OR($I1130="",$I1130="NR"),0,IFERROR(MATCH($I1130,GradeList,0),0))</f>
        <v>0</v>
      </c>
      <c r="P1130" s="64" t="n">
        <f aca="false">IF(AND($M1130&gt;0,ISNUMBER(MATCH($F1130,Lists!$A$2:$A$5,0)),ISNUMBER(MATCH($G1130,Lists!$B$2:$B$7,0)),OR($H1130="",$N1130&gt;0),OR($I1130="",$I1130="NR",$O1130&gt;0),IF(ISNUMBER($J1130),AND($J1130&gt;=0,$J1130=INT($J1130)),FALSE())),$J1130,0)</f>
        <v>0</v>
      </c>
      <c r="Q1130" s="64" t="n">
        <f aca="false">IF(AND($P1130&gt;0,$O1130&gt;0),$P1130,0)</f>
        <v>0</v>
      </c>
      <c r="R1130" s="64" t="n">
        <f aca="false">IF(AND($Q1130&gt;0,$O1130&gt;=AtRank),$Q1130,0)</f>
        <v>0</v>
      </c>
      <c r="S1130" s="64" t="n">
        <f aca="false">IF(AND($Q1130&gt;0,$O1130&gt;=AboveRank),$Q1130,0)</f>
        <v>0</v>
      </c>
      <c r="T1130" s="64" t="n">
        <f aca="false">IF($K1130="Less",$P1130,0)</f>
        <v>0</v>
      </c>
      <c r="U1130" s="64" t="n">
        <f aca="false">IF($K1130="Expected",$P1130,0)</f>
        <v>0</v>
      </c>
      <c r="V1130" s="64" t="n">
        <f aca="false">IF($K1130="Better",$P1130,0)</f>
        <v>0</v>
      </c>
      <c r="W1130" s="64" t="n">
        <f aca="false">IF($K1130="U – needs rule",$P1130,0)</f>
        <v>0</v>
      </c>
      <c r="X1130" s="64" t="n">
        <f aca="false">IF($K1130="No Start (attainment only)",$P1130,0)</f>
        <v>0</v>
      </c>
    </row>
    <row r="1131" customFormat="false" ht="15" hidden="false" customHeight="false" outlineLevel="0" collapsed="false">
      <c r="A1131" s="60"/>
      <c r="B1131" s="61" t="str">
        <f aca="false">IF($M1131=0,"",INDEX(Classes!$E$6:$E$420,$M1131))</f>
        <v/>
      </c>
      <c r="C1131" s="62" t="str">
        <f aca="false">IF($M1131=0,"",INDEX(Classes!$H$6:$H$420,$M1131))</f>
        <v/>
      </c>
      <c r="D1131" s="61" t="str">
        <f aca="false">IF($M1131=0,"",INDEX(Classes!$B$6:$B$420,$M1131))</f>
        <v/>
      </c>
      <c r="E1131" s="61" t="str">
        <f aca="false">IF($M1131=0,"",INDEX(Classes!$C$6:$C$420,$M1131))</f>
        <v/>
      </c>
      <c r="F1131" s="63"/>
      <c r="G1131" s="63"/>
      <c r="H1131" s="60"/>
      <c r="I1131" s="60"/>
      <c r="J1131" s="63"/>
      <c r="K1131" s="61" t="str">
        <f aca="false">IF($P1131=0,"",IF($F1131="Baseline","— Baseline",IF($O1131=0,"No result",IF($N1131=0,"No Start (attainment only)",IF(OR($N1131=1,$O1131=1),"U – needs rule",INDEX(MxBody,MATCH($I1131,MxCurr,0),MATCH($H1131,MxStart,0)))))))</f>
        <v/>
      </c>
      <c r="L1131" s="62" t="str">
        <f aca="false">IF(COUNTA($A1131,$F1131,$G1131,$H1131,$I1131,$J1131)=0,"",IF($M1131=0,"✖ كود الصف غير موجود",IF(ISNA(MATCH($F1131,Lists!$A$2:$A$5,0)),"✖ الفترة غير صحيحة",IF(ISNA(MATCH($G1131,Lists!$B$2:$B$7,0)),"✖ المجموعة غير صحيحة",IF(NOT(OR($H1131="",$N1131&gt;0)),"✖ Start غير صحيح",IF(NOT(OR($I1131="",$I1131="NR",$O1131&gt;0)),"✖ Current غير صحيح",IF(NOT(IF(ISNUMBER($J1131),AND($J1131&gt;=0,$J1131=INT($J1131)),FALSE())),"✖ العدد يجب أن يكون صحيحًا ≥ 0",IF(AND($F1131="Baseline",$H1131&lt;&gt;""),"⚠ Baseline: Start لا يدخل في التقدم",IF($K1131="No Start (attainment only)","ℹ تحصيل فقط (بدون Start)",IF($K1131="U – needs rule","ℹ حالة U تحتاج قاعدة معتمدة",IF($K1131="No result","ℹ بدون نتيجة (يُستبعد من التحصيل)","OK")))))))))))</f>
        <v/>
      </c>
      <c r="M1131" s="64" t="n">
        <f aca="false">IF($A1131="",0,IFERROR(MATCH($A1131,Classes!$A$6:$A$420,0),0))</f>
        <v>0</v>
      </c>
      <c r="N1131" s="64" t="n">
        <f aca="false">IF($H1131="",0,IFERROR(MATCH($H1131,GradeList,0),0))</f>
        <v>0</v>
      </c>
      <c r="O1131" s="64" t="n">
        <f aca="false">IF(OR($I1131="",$I1131="NR"),0,IFERROR(MATCH($I1131,GradeList,0),0))</f>
        <v>0</v>
      </c>
      <c r="P1131" s="64" t="n">
        <f aca="false">IF(AND($M1131&gt;0,ISNUMBER(MATCH($F1131,Lists!$A$2:$A$5,0)),ISNUMBER(MATCH($G1131,Lists!$B$2:$B$7,0)),OR($H1131="",$N1131&gt;0),OR($I1131="",$I1131="NR",$O1131&gt;0),IF(ISNUMBER($J1131),AND($J1131&gt;=0,$J1131=INT($J1131)),FALSE())),$J1131,0)</f>
        <v>0</v>
      </c>
      <c r="Q1131" s="64" t="n">
        <f aca="false">IF(AND($P1131&gt;0,$O1131&gt;0),$P1131,0)</f>
        <v>0</v>
      </c>
      <c r="R1131" s="64" t="n">
        <f aca="false">IF(AND($Q1131&gt;0,$O1131&gt;=AtRank),$Q1131,0)</f>
        <v>0</v>
      </c>
      <c r="S1131" s="64" t="n">
        <f aca="false">IF(AND($Q1131&gt;0,$O1131&gt;=AboveRank),$Q1131,0)</f>
        <v>0</v>
      </c>
      <c r="T1131" s="64" t="n">
        <f aca="false">IF($K1131="Less",$P1131,0)</f>
        <v>0</v>
      </c>
      <c r="U1131" s="64" t="n">
        <f aca="false">IF($K1131="Expected",$P1131,0)</f>
        <v>0</v>
      </c>
      <c r="V1131" s="64" t="n">
        <f aca="false">IF($K1131="Better",$P1131,0)</f>
        <v>0</v>
      </c>
      <c r="W1131" s="64" t="n">
        <f aca="false">IF($K1131="U – needs rule",$P1131,0)</f>
        <v>0</v>
      </c>
      <c r="X1131" s="64" t="n">
        <f aca="false">IF($K1131="No Start (attainment only)",$P1131,0)</f>
        <v>0</v>
      </c>
    </row>
    <row r="1132" customFormat="false" ht="15" hidden="false" customHeight="false" outlineLevel="0" collapsed="false">
      <c r="A1132" s="60"/>
      <c r="B1132" s="61" t="str">
        <f aca="false">IF($M1132=0,"",INDEX(Classes!$E$6:$E$420,$M1132))</f>
        <v/>
      </c>
      <c r="C1132" s="62" t="str">
        <f aca="false">IF($M1132=0,"",INDEX(Classes!$H$6:$H$420,$M1132))</f>
        <v/>
      </c>
      <c r="D1132" s="61" t="str">
        <f aca="false">IF($M1132=0,"",INDEX(Classes!$B$6:$B$420,$M1132))</f>
        <v/>
      </c>
      <c r="E1132" s="61" t="str">
        <f aca="false">IF($M1132=0,"",INDEX(Classes!$C$6:$C$420,$M1132))</f>
        <v/>
      </c>
      <c r="F1132" s="63"/>
      <c r="G1132" s="63"/>
      <c r="H1132" s="60"/>
      <c r="I1132" s="60"/>
      <c r="J1132" s="63"/>
      <c r="K1132" s="61" t="str">
        <f aca="false">IF($P1132=0,"",IF($F1132="Baseline","— Baseline",IF($O1132=0,"No result",IF($N1132=0,"No Start (attainment only)",IF(OR($N1132=1,$O1132=1),"U – needs rule",INDEX(MxBody,MATCH($I1132,MxCurr,0),MATCH($H1132,MxStart,0)))))))</f>
        <v/>
      </c>
      <c r="L1132" s="62" t="str">
        <f aca="false">IF(COUNTA($A1132,$F1132,$G1132,$H1132,$I1132,$J1132)=0,"",IF($M1132=0,"✖ كود الصف غير موجود",IF(ISNA(MATCH($F1132,Lists!$A$2:$A$5,0)),"✖ الفترة غير صحيحة",IF(ISNA(MATCH($G1132,Lists!$B$2:$B$7,0)),"✖ المجموعة غير صحيحة",IF(NOT(OR($H1132="",$N1132&gt;0)),"✖ Start غير صحيح",IF(NOT(OR($I1132="",$I1132="NR",$O1132&gt;0)),"✖ Current غير صحيح",IF(NOT(IF(ISNUMBER($J1132),AND($J1132&gt;=0,$J1132=INT($J1132)),FALSE())),"✖ العدد يجب أن يكون صحيحًا ≥ 0",IF(AND($F1132="Baseline",$H1132&lt;&gt;""),"⚠ Baseline: Start لا يدخل في التقدم",IF($K1132="No Start (attainment only)","ℹ تحصيل فقط (بدون Start)",IF($K1132="U – needs rule","ℹ حالة U تحتاج قاعدة معتمدة",IF($K1132="No result","ℹ بدون نتيجة (يُستبعد من التحصيل)","OK")))))))))))</f>
        <v/>
      </c>
      <c r="M1132" s="64" t="n">
        <f aca="false">IF($A1132="",0,IFERROR(MATCH($A1132,Classes!$A$6:$A$420,0),0))</f>
        <v>0</v>
      </c>
      <c r="N1132" s="64" t="n">
        <f aca="false">IF($H1132="",0,IFERROR(MATCH($H1132,GradeList,0),0))</f>
        <v>0</v>
      </c>
      <c r="O1132" s="64" t="n">
        <f aca="false">IF(OR($I1132="",$I1132="NR"),0,IFERROR(MATCH($I1132,GradeList,0),0))</f>
        <v>0</v>
      </c>
      <c r="P1132" s="64" t="n">
        <f aca="false">IF(AND($M1132&gt;0,ISNUMBER(MATCH($F1132,Lists!$A$2:$A$5,0)),ISNUMBER(MATCH($G1132,Lists!$B$2:$B$7,0)),OR($H1132="",$N1132&gt;0),OR($I1132="",$I1132="NR",$O1132&gt;0),IF(ISNUMBER($J1132),AND($J1132&gt;=0,$J1132=INT($J1132)),FALSE())),$J1132,0)</f>
        <v>0</v>
      </c>
      <c r="Q1132" s="64" t="n">
        <f aca="false">IF(AND($P1132&gt;0,$O1132&gt;0),$P1132,0)</f>
        <v>0</v>
      </c>
      <c r="R1132" s="64" t="n">
        <f aca="false">IF(AND($Q1132&gt;0,$O1132&gt;=AtRank),$Q1132,0)</f>
        <v>0</v>
      </c>
      <c r="S1132" s="64" t="n">
        <f aca="false">IF(AND($Q1132&gt;0,$O1132&gt;=AboveRank),$Q1132,0)</f>
        <v>0</v>
      </c>
      <c r="T1132" s="64" t="n">
        <f aca="false">IF($K1132="Less",$P1132,0)</f>
        <v>0</v>
      </c>
      <c r="U1132" s="64" t="n">
        <f aca="false">IF($K1132="Expected",$P1132,0)</f>
        <v>0</v>
      </c>
      <c r="V1132" s="64" t="n">
        <f aca="false">IF($K1132="Better",$P1132,0)</f>
        <v>0</v>
      </c>
      <c r="W1132" s="64" t="n">
        <f aca="false">IF($K1132="U – needs rule",$P1132,0)</f>
        <v>0</v>
      </c>
      <c r="X1132" s="64" t="n">
        <f aca="false">IF($K1132="No Start (attainment only)",$P1132,0)</f>
        <v>0</v>
      </c>
    </row>
    <row r="1133" customFormat="false" ht="15" hidden="false" customHeight="false" outlineLevel="0" collapsed="false">
      <c r="A1133" s="60"/>
      <c r="B1133" s="61" t="str">
        <f aca="false">IF($M1133=0,"",INDEX(Classes!$E$6:$E$420,$M1133))</f>
        <v/>
      </c>
      <c r="C1133" s="62" t="str">
        <f aca="false">IF($M1133=0,"",INDEX(Classes!$H$6:$H$420,$M1133))</f>
        <v/>
      </c>
      <c r="D1133" s="61" t="str">
        <f aca="false">IF($M1133=0,"",INDEX(Classes!$B$6:$B$420,$M1133))</f>
        <v/>
      </c>
      <c r="E1133" s="61" t="str">
        <f aca="false">IF($M1133=0,"",INDEX(Classes!$C$6:$C$420,$M1133))</f>
        <v/>
      </c>
      <c r="F1133" s="63"/>
      <c r="G1133" s="63"/>
      <c r="H1133" s="60"/>
      <c r="I1133" s="60"/>
      <c r="J1133" s="63"/>
      <c r="K1133" s="61" t="str">
        <f aca="false">IF($P1133=0,"",IF($F1133="Baseline","— Baseline",IF($O1133=0,"No result",IF($N1133=0,"No Start (attainment only)",IF(OR($N1133=1,$O1133=1),"U – needs rule",INDEX(MxBody,MATCH($I1133,MxCurr,0),MATCH($H1133,MxStart,0)))))))</f>
        <v/>
      </c>
      <c r="L1133" s="62" t="str">
        <f aca="false">IF(COUNTA($A1133,$F1133,$G1133,$H1133,$I1133,$J1133)=0,"",IF($M1133=0,"✖ كود الصف غير موجود",IF(ISNA(MATCH($F1133,Lists!$A$2:$A$5,0)),"✖ الفترة غير صحيحة",IF(ISNA(MATCH($G1133,Lists!$B$2:$B$7,0)),"✖ المجموعة غير صحيحة",IF(NOT(OR($H1133="",$N1133&gt;0)),"✖ Start غير صحيح",IF(NOT(OR($I1133="",$I1133="NR",$O1133&gt;0)),"✖ Current غير صحيح",IF(NOT(IF(ISNUMBER($J1133),AND($J1133&gt;=0,$J1133=INT($J1133)),FALSE())),"✖ العدد يجب أن يكون صحيحًا ≥ 0",IF(AND($F1133="Baseline",$H1133&lt;&gt;""),"⚠ Baseline: Start لا يدخل في التقدم",IF($K1133="No Start (attainment only)","ℹ تحصيل فقط (بدون Start)",IF($K1133="U – needs rule","ℹ حالة U تحتاج قاعدة معتمدة",IF($K1133="No result","ℹ بدون نتيجة (يُستبعد من التحصيل)","OK")))))))))))</f>
        <v/>
      </c>
      <c r="M1133" s="64" t="n">
        <f aca="false">IF($A1133="",0,IFERROR(MATCH($A1133,Classes!$A$6:$A$420,0),0))</f>
        <v>0</v>
      </c>
      <c r="N1133" s="64" t="n">
        <f aca="false">IF($H1133="",0,IFERROR(MATCH($H1133,GradeList,0),0))</f>
        <v>0</v>
      </c>
      <c r="O1133" s="64" t="n">
        <f aca="false">IF(OR($I1133="",$I1133="NR"),0,IFERROR(MATCH($I1133,GradeList,0),0))</f>
        <v>0</v>
      </c>
      <c r="P1133" s="64" t="n">
        <f aca="false">IF(AND($M1133&gt;0,ISNUMBER(MATCH($F1133,Lists!$A$2:$A$5,0)),ISNUMBER(MATCH($G1133,Lists!$B$2:$B$7,0)),OR($H1133="",$N1133&gt;0),OR($I1133="",$I1133="NR",$O1133&gt;0),IF(ISNUMBER($J1133),AND($J1133&gt;=0,$J1133=INT($J1133)),FALSE())),$J1133,0)</f>
        <v>0</v>
      </c>
      <c r="Q1133" s="64" t="n">
        <f aca="false">IF(AND($P1133&gt;0,$O1133&gt;0),$P1133,0)</f>
        <v>0</v>
      </c>
      <c r="R1133" s="64" t="n">
        <f aca="false">IF(AND($Q1133&gt;0,$O1133&gt;=AtRank),$Q1133,0)</f>
        <v>0</v>
      </c>
      <c r="S1133" s="64" t="n">
        <f aca="false">IF(AND($Q1133&gt;0,$O1133&gt;=AboveRank),$Q1133,0)</f>
        <v>0</v>
      </c>
      <c r="T1133" s="64" t="n">
        <f aca="false">IF($K1133="Less",$P1133,0)</f>
        <v>0</v>
      </c>
      <c r="U1133" s="64" t="n">
        <f aca="false">IF($K1133="Expected",$P1133,0)</f>
        <v>0</v>
      </c>
      <c r="V1133" s="64" t="n">
        <f aca="false">IF($K1133="Better",$P1133,0)</f>
        <v>0</v>
      </c>
      <c r="W1133" s="64" t="n">
        <f aca="false">IF($K1133="U – needs rule",$P1133,0)</f>
        <v>0</v>
      </c>
      <c r="X1133" s="64" t="n">
        <f aca="false">IF($K1133="No Start (attainment only)",$P1133,0)</f>
        <v>0</v>
      </c>
    </row>
    <row r="1134" customFormat="false" ht="15" hidden="false" customHeight="false" outlineLevel="0" collapsed="false">
      <c r="A1134" s="60"/>
      <c r="B1134" s="61" t="str">
        <f aca="false">IF($M1134=0,"",INDEX(Classes!$E$6:$E$420,$M1134))</f>
        <v/>
      </c>
      <c r="C1134" s="62" t="str">
        <f aca="false">IF($M1134=0,"",INDEX(Classes!$H$6:$H$420,$M1134))</f>
        <v/>
      </c>
      <c r="D1134" s="61" t="str">
        <f aca="false">IF($M1134=0,"",INDEX(Classes!$B$6:$B$420,$M1134))</f>
        <v/>
      </c>
      <c r="E1134" s="61" t="str">
        <f aca="false">IF($M1134=0,"",INDEX(Classes!$C$6:$C$420,$M1134))</f>
        <v/>
      </c>
      <c r="F1134" s="63"/>
      <c r="G1134" s="63"/>
      <c r="H1134" s="60"/>
      <c r="I1134" s="60"/>
      <c r="J1134" s="63"/>
      <c r="K1134" s="61" t="str">
        <f aca="false">IF($P1134=0,"",IF($F1134="Baseline","— Baseline",IF($O1134=0,"No result",IF($N1134=0,"No Start (attainment only)",IF(OR($N1134=1,$O1134=1),"U – needs rule",INDEX(MxBody,MATCH($I1134,MxCurr,0),MATCH($H1134,MxStart,0)))))))</f>
        <v/>
      </c>
      <c r="L1134" s="62" t="str">
        <f aca="false">IF(COUNTA($A1134,$F1134,$G1134,$H1134,$I1134,$J1134)=0,"",IF($M1134=0,"✖ كود الصف غير موجود",IF(ISNA(MATCH($F1134,Lists!$A$2:$A$5,0)),"✖ الفترة غير صحيحة",IF(ISNA(MATCH($G1134,Lists!$B$2:$B$7,0)),"✖ المجموعة غير صحيحة",IF(NOT(OR($H1134="",$N1134&gt;0)),"✖ Start غير صحيح",IF(NOT(OR($I1134="",$I1134="NR",$O1134&gt;0)),"✖ Current غير صحيح",IF(NOT(IF(ISNUMBER($J1134),AND($J1134&gt;=0,$J1134=INT($J1134)),FALSE())),"✖ العدد يجب أن يكون صحيحًا ≥ 0",IF(AND($F1134="Baseline",$H1134&lt;&gt;""),"⚠ Baseline: Start لا يدخل في التقدم",IF($K1134="No Start (attainment only)","ℹ تحصيل فقط (بدون Start)",IF($K1134="U – needs rule","ℹ حالة U تحتاج قاعدة معتمدة",IF($K1134="No result","ℹ بدون نتيجة (يُستبعد من التحصيل)","OK")))))))))))</f>
        <v/>
      </c>
      <c r="M1134" s="64" t="n">
        <f aca="false">IF($A1134="",0,IFERROR(MATCH($A1134,Classes!$A$6:$A$420,0),0))</f>
        <v>0</v>
      </c>
      <c r="N1134" s="64" t="n">
        <f aca="false">IF($H1134="",0,IFERROR(MATCH($H1134,GradeList,0),0))</f>
        <v>0</v>
      </c>
      <c r="O1134" s="64" t="n">
        <f aca="false">IF(OR($I1134="",$I1134="NR"),0,IFERROR(MATCH($I1134,GradeList,0),0))</f>
        <v>0</v>
      </c>
      <c r="P1134" s="64" t="n">
        <f aca="false">IF(AND($M1134&gt;0,ISNUMBER(MATCH($F1134,Lists!$A$2:$A$5,0)),ISNUMBER(MATCH($G1134,Lists!$B$2:$B$7,0)),OR($H1134="",$N1134&gt;0),OR($I1134="",$I1134="NR",$O1134&gt;0),IF(ISNUMBER($J1134),AND($J1134&gt;=0,$J1134=INT($J1134)),FALSE())),$J1134,0)</f>
        <v>0</v>
      </c>
      <c r="Q1134" s="64" t="n">
        <f aca="false">IF(AND($P1134&gt;0,$O1134&gt;0),$P1134,0)</f>
        <v>0</v>
      </c>
      <c r="R1134" s="64" t="n">
        <f aca="false">IF(AND($Q1134&gt;0,$O1134&gt;=AtRank),$Q1134,0)</f>
        <v>0</v>
      </c>
      <c r="S1134" s="64" t="n">
        <f aca="false">IF(AND($Q1134&gt;0,$O1134&gt;=AboveRank),$Q1134,0)</f>
        <v>0</v>
      </c>
      <c r="T1134" s="64" t="n">
        <f aca="false">IF($K1134="Less",$P1134,0)</f>
        <v>0</v>
      </c>
      <c r="U1134" s="64" t="n">
        <f aca="false">IF($K1134="Expected",$P1134,0)</f>
        <v>0</v>
      </c>
      <c r="V1134" s="64" t="n">
        <f aca="false">IF($K1134="Better",$P1134,0)</f>
        <v>0</v>
      </c>
      <c r="W1134" s="64" t="n">
        <f aca="false">IF($K1134="U – needs rule",$P1134,0)</f>
        <v>0</v>
      </c>
      <c r="X1134" s="64" t="n">
        <f aca="false">IF($K1134="No Start (attainment only)",$P1134,0)</f>
        <v>0</v>
      </c>
    </row>
    <row r="1135" customFormat="false" ht="15" hidden="false" customHeight="false" outlineLevel="0" collapsed="false">
      <c r="A1135" s="60"/>
      <c r="B1135" s="61" t="str">
        <f aca="false">IF($M1135=0,"",INDEX(Classes!$E$6:$E$420,$M1135))</f>
        <v/>
      </c>
      <c r="C1135" s="62" t="str">
        <f aca="false">IF($M1135=0,"",INDEX(Classes!$H$6:$H$420,$M1135))</f>
        <v/>
      </c>
      <c r="D1135" s="61" t="str">
        <f aca="false">IF($M1135=0,"",INDEX(Classes!$B$6:$B$420,$M1135))</f>
        <v/>
      </c>
      <c r="E1135" s="61" t="str">
        <f aca="false">IF($M1135=0,"",INDEX(Classes!$C$6:$C$420,$M1135))</f>
        <v/>
      </c>
      <c r="F1135" s="63"/>
      <c r="G1135" s="63"/>
      <c r="H1135" s="60"/>
      <c r="I1135" s="60"/>
      <c r="J1135" s="63"/>
      <c r="K1135" s="61" t="str">
        <f aca="false">IF($P1135=0,"",IF($F1135="Baseline","— Baseline",IF($O1135=0,"No result",IF($N1135=0,"No Start (attainment only)",IF(OR($N1135=1,$O1135=1),"U – needs rule",INDEX(MxBody,MATCH($I1135,MxCurr,0),MATCH($H1135,MxStart,0)))))))</f>
        <v/>
      </c>
      <c r="L1135" s="62" t="str">
        <f aca="false">IF(COUNTA($A1135,$F1135,$G1135,$H1135,$I1135,$J1135)=0,"",IF($M1135=0,"✖ كود الصف غير موجود",IF(ISNA(MATCH($F1135,Lists!$A$2:$A$5,0)),"✖ الفترة غير صحيحة",IF(ISNA(MATCH($G1135,Lists!$B$2:$B$7,0)),"✖ المجموعة غير صحيحة",IF(NOT(OR($H1135="",$N1135&gt;0)),"✖ Start غير صحيح",IF(NOT(OR($I1135="",$I1135="NR",$O1135&gt;0)),"✖ Current غير صحيح",IF(NOT(IF(ISNUMBER($J1135),AND($J1135&gt;=0,$J1135=INT($J1135)),FALSE())),"✖ العدد يجب أن يكون صحيحًا ≥ 0",IF(AND($F1135="Baseline",$H1135&lt;&gt;""),"⚠ Baseline: Start لا يدخل في التقدم",IF($K1135="No Start (attainment only)","ℹ تحصيل فقط (بدون Start)",IF($K1135="U – needs rule","ℹ حالة U تحتاج قاعدة معتمدة",IF($K1135="No result","ℹ بدون نتيجة (يُستبعد من التحصيل)","OK")))))))))))</f>
        <v/>
      </c>
      <c r="M1135" s="64" t="n">
        <f aca="false">IF($A1135="",0,IFERROR(MATCH($A1135,Classes!$A$6:$A$420,0),0))</f>
        <v>0</v>
      </c>
      <c r="N1135" s="64" t="n">
        <f aca="false">IF($H1135="",0,IFERROR(MATCH($H1135,GradeList,0),0))</f>
        <v>0</v>
      </c>
      <c r="O1135" s="64" t="n">
        <f aca="false">IF(OR($I1135="",$I1135="NR"),0,IFERROR(MATCH($I1135,GradeList,0),0))</f>
        <v>0</v>
      </c>
      <c r="P1135" s="64" t="n">
        <f aca="false">IF(AND($M1135&gt;0,ISNUMBER(MATCH($F1135,Lists!$A$2:$A$5,0)),ISNUMBER(MATCH($G1135,Lists!$B$2:$B$7,0)),OR($H1135="",$N1135&gt;0),OR($I1135="",$I1135="NR",$O1135&gt;0),IF(ISNUMBER($J1135),AND($J1135&gt;=0,$J1135=INT($J1135)),FALSE())),$J1135,0)</f>
        <v>0</v>
      </c>
      <c r="Q1135" s="64" t="n">
        <f aca="false">IF(AND($P1135&gt;0,$O1135&gt;0),$P1135,0)</f>
        <v>0</v>
      </c>
      <c r="R1135" s="64" t="n">
        <f aca="false">IF(AND($Q1135&gt;0,$O1135&gt;=AtRank),$Q1135,0)</f>
        <v>0</v>
      </c>
      <c r="S1135" s="64" t="n">
        <f aca="false">IF(AND($Q1135&gt;0,$O1135&gt;=AboveRank),$Q1135,0)</f>
        <v>0</v>
      </c>
      <c r="T1135" s="64" t="n">
        <f aca="false">IF($K1135="Less",$P1135,0)</f>
        <v>0</v>
      </c>
      <c r="U1135" s="64" t="n">
        <f aca="false">IF($K1135="Expected",$P1135,0)</f>
        <v>0</v>
      </c>
      <c r="V1135" s="64" t="n">
        <f aca="false">IF($K1135="Better",$P1135,0)</f>
        <v>0</v>
      </c>
      <c r="W1135" s="64" t="n">
        <f aca="false">IF($K1135="U – needs rule",$P1135,0)</f>
        <v>0</v>
      </c>
      <c r="X1135" s="64" t="n">
        <f aca="false">IF($K1135="No Start (attainment only)",$P1135,0)</f>
        <v>0</v>
      </c>
    </row>
    <row r="1136" customFormat="false" ht="15" hidden="false" customHeight="false" outlineLevel="0" collapsed="false">
      <c r="A1136" s="60"/>
      <c r="B1136" s="61" t="str">
        <f aca="false">IF($M1136=0,"",INDEX(Classes!$E$6:$E$420,$M1136))</f>
        <v/>
      </c>
      <c r="C1136" s="62" t="str">
        <f aca="false">IF($M1136=0,"",INDEX(Classes!$H$6:$H$420,$M1136))</f>
        <v/>
      </c>
      <c r="D1136" s="61" t="str">
        <f aca="false">IF($M1136=0,"",INDEX(Classes!$B$6:$B$420,$M1136))</f>
        <v/>
      </c>
      <c r="E1136" s="61" t="str">
        <f aca="false">IF($M1136=0,"",INDEX(Classes!$C$6:$C$420,$M1136))</f>
        <v/>
      </c>
      <c r="F1136" s="63"/>
      <c r="G1136" s="63"/>
      <c r="H1136" s="60"/>
      <c r="I1136" s="60"/>
      <c r="J1136" s="63"/>
      <c r="K1136" s="61" t="str">
        <f aca="false">IF($P1136=0,"",IF($F1136="Baseline","— Baseline",IF($O1136=0,"No result",IF($N1136=0,"No Start (attainment only)",IF(OR($N1136=1,$O1136=1),"U – needs rule",INDEX(MxBody,MATCH($I1136,MxCurr,0),MATCH($H1136,MxStart,0)))))))</f>
        <v/>
      </c>
      <c r="L1136" s="62" t="str">
        <f aca="false">IF(COUNTA($A1136,$F1136,$G1136,$H1136,$I1136,$J1136)=0,"",IF($M1136=0,"✖ كود الصف غير موجود",IF(ISNA(MATCH($F1136,Lists!$A$2:$A$5,0)),"✖ الفترة غير صحيحة",IF(ISNA(MATCH($G1136,Lists!$B$2:$B$7,0)),"✖ المجموعة غير صحيحة",IF(NOT(OR($H1136="",$N1136&gt;0)),"✖ Start غير صحيح",IF(NOT(OR($I1136="",$I1136="NR",$O1136&gt;0)),"✖ Current غير صحيح",IF(NOT(IF(ISNUMBER($J1136),AND($J1136&gt;=0,$J1136=INT($J1136)),FALSE())),"✖ العدد يجب أن يكون صحيحًا ≥ 0",IF(AND($F1136="Baseline",$H1136&lt;&gt;""),"⚠ Baseline: Start لا يدخل في التقدم",IF($K1136="No Start (attainment only)","ℹ تحصيل فقط (بدون Start)",IF($K1136="U – needs rule","ℹ حالة U تحتاج قاعدة معتمدة",IF($K1136="No result","ℹ بدون نتيجة (يُستبعد من التحصيل)","OK")))))))))))</f>
        <v/>
      </c>
      <c r="M1136" s="64" t="n">
        <f aca="false">IF($A1136="",0,IFERROR(MATCH($A1136,Classes!$A$6:$A$420,0),0))</f>
        <v>0</v>
      </c>
      <c r="N1136" s="64" t="n">
        <f aca="false">IF($H1136="",0,IFERROR(MATCH($H1136,GradeList,0),0))</f>
        <v>0</v>
      </c>
      <c r="O1136" s="64" t="n">
        <f aca="false">IF(OR($I1136="",$I1136="NR"),0,IFERROR(MATCH($I1136,GradeList,0),0))</f>
        <v>0</v>
      </c>
      <c r="P1136" s="64" t="n">
        <f aca="false">IF(AND($M1136&gt;0,ISNUMBER(MATCH($F1136,Lists!$A$2:$A$5,0)),ISNUMBER(MATCH($G1136,Lists!$B$2:$B$7,0)),OR($H1136="",$N1136&gt;0),OR($I1136="",$I1136="NR",$O1136&gt;0),IF(ISNUMBER($J1136),AND($J1136&gt;=0,$J1136=INT($J1136)),FALSE())),$J1136,0)</f>
        <v>0</v>
      </c>
      <c r="Q1136" s="64" t="n">
        <f aca="false">IF(AND($P1136&gt;0,$O1136&gt;0),$P1136,0)</f>
        <v>0</v>
      </c>
      <c r="R1136" s="64" t="n">
        <f aca="false">IF(AND($Q1136&gt;0,$O1136&gt;=AtRank),$Q1136,0)</f>
        <v>0</v>
      </c>
      <c r="S1136" s="64" t="n">
        <f aca="false">IF(AND($Q1136&gt;0,$O1136&gt;=AboveRank),$Q1136,0)</f>
        <v>0</v>
      </c>
      <c r="T1136" s="64" t="n">
        <f aca="false">IF($K1136="Less",$P1136,0)</f>
        <v>0</v>
      </c>
      <c r="U1136" s="64" t="n">
        <f aca="false">IF($K1136="Expected",$P1136,0)</f>
        <v>0</v>
      </c>
      <c r="V1136" s="64" t="n">
        <f aca="false">IF($K1136="Better",$P1136,0)</f>
        <v>0</v>
      </c>
      <c r="W1136" s="64" t="n">
        <f aca="false">IF($K1136="U – needs rule",$P1136,0)</f>
        <v>0</v>
      </c>
      <c r="X1136" s="64" t="n">
        <f aca="false">IF($K1136="No Start (attainment only)",$P1136,0)</f>
        <v>0</v>
      </c>
    </row>
    <row r="1137" customFormat="false" ht="15" hidden="false" customHeight="false" outlineLevel="0" collapsed="false">
      <c r="A1137" s="60"/>
      <c r="B1137" s="61" t="str">
        <f aca="false">IF($M1137=0,"",INDEX(Classes!$E$6:$E$420,$M1137))</f>
        <v/>
      </c>
      <c r="C1137" s="62" t="str">
        <f aca="false">IF($M1137=0,"",INDEX(Classes!$H$6:$H$420,$M1137))</f>
        <v/>
      </c>
      <c r="D1137" s="61" t="str">
        <f aca="false">IF($M1137=0,"",INDEX(Classes!$B$6:$B$420,$M1137))</f>
        <v/>
      </c>
      <c r="E1137" s="61" t="str">
        <f aca="false">IF($M1137=0,"",INDEX(Classes!$C$6:$C$420,$M1137))</f>
        <v/>
      </c>
      <c r="F1137" s="63"/>
      <c r="G1137" s="63"/>
      <c r="H1137" s="60"/>
      <c r="I1137" s="60"/>
      <c r="J1137" s="63"/>
      <c r="K1137" s="61" t="str">
        <f aca="false">IF($P1137=0,"",IF($F1137="Baseline","— Baseline",IF($O1137=0,"No result",IF($N1137=0,"No Start (attainment only)",IF(OR($N1137=1,$O1137=1),"U – needs rule",INDEX(MxBody,MATCH($I1137,MxCurr,0),MATCH($H1137,MxStart,0)))))))</f>
        <v/>
      </c>
      <c r="L1137" s="62" t="str">
        <f aca="false">IF(COUNTA($A1137,$F1137,$G1137,$H1137,$I1137,$J1137)=0,"",IF($M1137=0,"✖ كود الصف غير موجود",IF(ISNA(MATCH($F1137,Lists!$A$2:$A$5,0)),"✖ الفترة غير صحيحة",IF(ISNA(MATCH($G1137,Lists!$B$2:$B$7,0)),"✖ المجموعة غير صحيحة",IF(NOT(OR($H1137="",$N1137&gt;0)),"✖ Start غير صحيح",IF(NOT(OR($I1137="",$I1137="NR",$O1137&gt;0)),"✖ Current غير صحيح",IF(NOT(IF(ISNUMBER($J1137),AND($J1137&gt;=0,$J1137=INT($J1137)),FALSE())),"✖ العدد يجب أن يكون صحيحًا ≥ 0",IF(AND($F1137="Baseline",$H1137&lt;&gt;""),"⚠ Baseline: Start لا يدخل في التقدم",IF($K1137="No Start (attainment only)","ℹ تحصيل فقط (بدون Start)",IF($K1137="U – needs rule","ℹ حالة U تحتاج قاعدة معتمدة",IF($K1137="No result","ℹ بدون نتيجة (يُستبعد من التحصيل)","OK")))))))))))</f>
        <v/>
      </c>
      <c r="M1137" s="64" t="n">
        <f aca="false">IF($A1137="",0,IFERROR(MATCH($A1137,Classes!$A$6:$A$420,0),0))</f>
        <v>0</v>
      </c>
      <c r="N1137" s="64" t="n">
        <f aca="false">IF($H1137="",0,IFERROR(MATCH($H1137,GradeList,0),0))</f>
        <v>0</v>
      </c>
      <c r="O1137" s="64" t="n">
        <f aca="false">IF(OR($I1137="",$I1137="NR"),0,IFERROR(MATCH($I1137,GradeList,0),0))</f>
        <v>0</v>
      </c>
      <c r="P1137" s="64" t="n">
        <f aca="false">IF(AND($M1137&gt;0,ISNUMBER(MATCH($F1137,Lists!$A$2:$A$5,0)),ISNUMBER(MATCH($G1137,Lists!$B$2:$B$7,0)),OR($H1137="",$N1137&gt;0),OR($I1137="",$I1137="NR",$O1137&gt;0),IF(ISNUMBER($J1137),AND($J1137&gt;=0,$J1137=INT($J1137)),FALSE())),$J1137,0)</f>
        <v>0</v>
      </c>
      <c r="Q1137" s="64" t="n">
        <f aca="false">IF(AND($P1137&gt;0,$O1137&gt;0),$P1137,0)</f>
        <v>0</v>
      </c>
      <c r="R1137" s="64" t="n">
        <f aca="false">IF(AND($Q1137&gt;0,$O1137&gt;=AtRank),$Q1137,0)</f>
        <v>0</v>
      </c>
      <c r="S1137" s="64" t="n">
        <f aca="false">IF(AND($Q1137&gt;0,$O1137&gt;=AboveRank),$Q1137,0)</f>
        <v>0</v>
      </c>
      <c r="T1137" s="64" t="n">
        <f aca="false">IF($K1137="Less",$P1137,0)</f>
        <v>0</v>
      </c>
      <c r="U1137" s="64" t="n">
        <f aca="false">IF($K1137="Expected",$P1137,0)</f>
        <v>0</v>
      </c>
      <c r="V1137" s="64" t="n">
        <f aca="false">IF($K1137="Better",$P1137,0)</f>
        <v>0</v>
      </c>
      <c r="W1137" s="64" t="n">
        <f aca="false">IF($K1137="U – needs rule",$P1137,0)</f>
        <v>0</v>
      </c>
      <c r="X1137" s="64" t="n">
        <f aca="false">IF($K1137="No Start (attainment only)",$P1137,0)</f>
        <v>0</v>
      </c>
    </row>
    <row r="1138" customFormat="false" ht="15" hidden="false" customHeight="false" outlineLevel="0" collapsed="false">
      <c r="A1138" s="60"/>
      <c r="B1138" s="61" t="str">
        <f aca="false">IF($M1138=0,"",INDEX(Classes!$E$6:$E$420,$M1138))</f>
        <v/>
      </c>
      <c r="C1138" s="62" t="str">
        <f aca="false">IF($M1138=0,"",INDEX(Classes!$H$6:$H$420,$M1138))</f>
        <v/>
      </c>
      <c r="D1138" s="61" t="str">
        <f aca="false">IF($M1138=0,"",INDEX(Classes!$B$6:$B$420,$M1138))</f>
        <v/>
      </c>
      <c r="E1138" s="61" t="str">
        <f aca="false">IF($M1138=0,"",INDEX(Classes!$C$6:$C$420,$M1138))</f>
        <v/>
      </c>
      <c r="F1138" s="63"/>
      <c r="G1138" s="63"/>
      <c r="H1138" s="60"/>
      <c r="I1138" s="60"/>
      <c r="J1138" s="63"/>
      <c r="K1138" s="61" t="str">
        <f aca="false">IF($P1138=0,"",IF($F1138="Baseline","— Baseline",IF($O1138=0,"No result",IF($N1138=0,"No Start (attainment only)",IF(OR($N1138=1,$O1138=1),"U – needs rule",INDEX(MxBody,MATCH($I1138,MxCurr,0),MATCH($H1138,MxStart,0)))))))</f>
        <v/>
      </c>
      <c r="L1138" s="62" t="str">
        <f aca="false">IF(COUNTA($A1138,$F1138,$G1138,$H1138,$I1138,$J1138)=0,"",IF($M1138=0,"✖ كود الصف غير موجود",IF(ISNA(MATCH($F1138,Lists!$A$2:$A$5,0)),"✖ الفترة غير صحيحة",IF(ISNA(MATCH($G1138,Lists!$B$2:$B$7,0)),"✖ المجموعة غير صحيحة",IF(NOT(OR($H1138="",$N1138&gt;0)),"✖ Start غير صحيح",IF(NOT(OR($I1138="",$I1138="NR",$O1138&gt;0)),"✖ Current غير صحيح",IF(NOT(IF(ISNUMBER($J1138),AND($J1138&gt;=0,$J1138=INT($J1138)),FALSE())),"✖ العدد يجب أن يكون صحيحًا ≥ 0",IF(AND($F1138="Baseline",$H1138&lt;&gt;""),"⚠ Baseline: Start لا يدخل في التقدم",IF($K1138="No Start (attainment only)","ℹ تحصيل فقط (بدون Start)",IF($K1138="U – needs rule","ℹ حالة U تحتاج قاعدة معتمدة",IF($K1138="No result","ℹ بدون نتيجة (يُستبعد من التحصيل)","OK")))))))))))</f>
        <v/>
      </c>
      <c r="M1138" s="64" t="n">
        <f aca="false">IF($A1138="",0,IFERROR(MATCH($A1138,Classes!$A$6:$A$420,0),0))</f>
        <v>0</v>
      </c>
      <c r="N1138" s="64" t="n">
        <f aca="false">IF($H1138="",0,IFERROR(MATCH($H1138,GradeList,0),0))</f>
        <v>0</v>
      </c>
      <c r="O1138" s="64" t="n">
        <f aca="false">IF(OR($I1138="",$I1138="NR"),0,IFERROR(MATCH($I1138,GradeList,0),0))</f>
        <v>0</v>
      </c>
      <c r="P1138" s="64" t="n">
        <f aca="false">IF(AND($M1138&gt;0,ISNUMBER(MATCH($F1138,Lists!$A$2:$A$5,0)),ISNUMBER(MATCH($G1138,Lists!$B$2:$B$7,0)),OR($H1138="",$N1138&gt;0),OR($I1138="",$I1138="NR",$O1138&gt;0),IF(ISNUMBER($J1138),AND($J1138&gt;=0,$J1138=INT($J1138)),FALSE())),$J1138,0)</f>
        <v>0</v>
      </c>
      <c r="Q1138" s="64" t="n">
        <f aca="false">IF(AND($P1138&gt;0,$O1138&gt;0),$P1138,0)</f>
        <v>0</v>
      </c>
      <c r="R1138" s="64" t="n">
        <f aca="false">IF(AND($Q1138&gt;0,$O1138&gt;=AtRank),$Q1138,0)</f>
        <v>0</v>
      </c>
      <c r="S1138" s="64" t="n">
        <f aca="false">IF(AND($Q1138&gt;0,$O1138&gt;=AboveRank),$Q1138,0)</f>
        <v>0</v>
      </c>
      <c r="T1138" s="64" t="n">
        <f aca="false">IF($K1138="Less",$P1138,0)</f>
        <v>0</v>
      </c>
      <c r="U1138" s="64" t="n">
        <f aca="false">IF($K1138="Expected",$P1138,0)</f>
        <v>0</v>
      </c>
      <c r="V1138" s="64" t="n">
        <f aca="false">IF($K1138="Better",$P1138,0)</f>
        <v>0</v>
      </c>
      <c r="W1138" s="64" t="n">
        <f aca="false">IF($K1138="U – needs rule",$P1138,0)</f>
        <v>0</v>
      </c>
      <c r="X1138" s="64" t="n">
        <f aca="false">IF($K1138="No Start (attainment only)",$P1138,0)</f>
        <v>0</v>
      </c>
    </row>
    <row r="1139" customFormat="false" ht="15" hidden="false" customHeight="false" outlineLevel="0" collapsed="false">
      <c r="A1139" s="60"/>
      <c r="B1139" s="61" t="str">
        <f aca="false">IF($M1139=0,"",INDEX(Classes!$E$6:$E$420,$M1139))</f>
        <v/>
      </c>
      <c r="C1139" s="62" t="str">
        <f aca="false">IF($M1139=0,"",INDEX(Classes!$H$6:$H$420,$M1139))</f>
        <v/>
      </c>
      <c r="D1139" s="61" t="str">
        <f aca="false">IF($M1139=0,"",INDEX(Classes!$B$6:$B$420,$M1139))</f>
        <v/>
      </c>
      <c r="E1139" s="61" t="str">
        <f aca="false">IF($M1139=0,"",INDEX(Classes!$C$6:$C$420,$M1139))</f>
        <v/>
      </c>
      <c r="F1139" s="63"/>
      <c r="G1139" s="63"/>
      <c r="H1139" s="60"/>
      <c r="I1139" s="60"/>
      <c r="J1139" s="63"/>
      <c r="K1139" s="61" t="str">
        <f aca="false">IF($P1139=0,"",IF($F1139="Baseline","— Baseline",IF($O1139=0,"No result",IF($N1139=0,"No Start (attainment only)",IF(OR($N1139=1,$O1139=1),"U – needs rule",INDEX(MxBody,MATCH($I1139,MxCurr,0),MATCH($H1139,MxStart,0)))))))</f>
        <v/>
      </c>
      <c r="L1139" s="62" t="str">
        <f aca="false">IF(COUNTA($A1139,$F1139,$G1139,$H1139,$I1139,$J1139)=0,"",IF($M1139=0,"✖ كود الصف غير موجود",IF(ISNA(MATCH($F1139,Lists!$A$2:$A$5,0)),"✖ الفترة غير صحيحة",IF(ISNA(MATCH($G1139,Lists!$B$2:$B$7,0)),"✖ المجموعة غير صحيحة",IF(NOT(OR($H1139="",$N1139&gt;0)),"✖ Start غير صحيح",IF(NOT(OR($I1139="",$I1139="NR",$O1139&gt;0)),"✖ Current غير صحيح",IF(NOT(IF(ISNUMBER($J1139),AND($J1139&gt;=0,$J1139=INT($J1139)),FALSE())),"✖ العدد يجب أن يكون صحيحًا ≥ 0",IF(AND($F1139="Baseline",$H1139&lt;&gt;""),"⚠ Baseline: Start لا يدخل في التقدم",IF($K1139="No Start (attainment only)","ℹ تحصيل فقط (بدون Start)",IF($K1139="U – needs rule","ℹ حالة U تحتاج قاعدة معتمدة",IF($K1139="No result","ℹ بدون نتيجة (يُستبعد من التحصيل)","OK")))))))))))</f>
        <v/>
      </c>
      <c r="M1139" s="64" t="n">
        <f aca="false">IF($A1139="",0,IFERROR(MATCH($A1139,Classes!$A$6:$A$420,0),0))</f>
        <v>0</v>
      </c>
      <c r="N1139" s="64" t="n">
        <f aca="false">IF($H1139="",0,IFERROR(MATCH($H1139,GradeList,0),0))</f>
        <v>0</v>
      </c>
      <c r="O1139" s="64" t="n">
        <f aca="false">IF(OR($I1139="",$I1139="NR"),0,IFERROR(MATCH($I1139,GradeList,0),0))</f>
        <v>0</v>
      </c>
      <c r="P1139" s="64" t="n">
        <f aca="false">IF(AND($M1139&gt;0,ISNUMBER(MATCH($F1139,Lists!$A$2:$A$5,0)),ISNUMBER(MATCH($G1139,Lists!$B$2:$B$7,0)),OR($H1139="",$N1139&gt;0),OR($I1139="",$I1139="NR",$O1139&gt;0),IF(ISNUMBER($J1139),AND($J1139&gt;=0,$J1139=INT($J1139)),FALSE())),$J1139,0)</f>
        <v>0</v>
      </c>
      <c r="Q1139" s="64" t="n">
        <f aca="false">IF(AND($P1139&gt;0,$O1139&gt;0),$P1139,0)</f>
        <v>0</v>
      </c>
      <c r="R1139" s="64" t="n">
        <f aca="false">IF(AND($Q1139&gt;0,$O1139&gt;=AtRank),$Q1139,0)</f>
        <v>0</v>
      </c>
      <c r="S1139" s="64" t="n">
        <f aca="false">IF(AND($Q1139&gt;0,$O1139&gt;=AboveRank),$Q1139,0)</f>
        <v>0</v>
      </c>
      <c r="T1139" s="64" t="n">
        <f aca="false">IF($K1139="Less",$P1139,0)</f>
        <v>0</v>
      </c>
      <c r="U1139" s="64" t="n">
        <f aca="false">IF($K1139="Expected",$P1139,0)</f>
        <v>0</v>
      </c>
      <c r="V1139" s="64" t="n">
        <f aca="false">IF($K1139="Better",$P1139,0)</f>
        <v>0</v>
      </c>
      <c r="W1139" s="64" t="n">
        <f aca="false">IF($K1139="U – needs rule",$P1139,0)</f>
        <v>0</v>
      </c>
      <c r="X1139" s="64" t="n">
        <f aca="false">IF($K1139="No Start (attainment only)",$P1139,0)</f>
        <v>0</v>
      </c>
    </row>
    <row r="1140" customFormat="false" ht="15" hidden="false" customHeight="false" outlineLevel="0" collapsed="false">
      <c r="A1140" s="60"/>
      <c r="B1140" s="61" t="str">
        <f aca="false">IF($M1140=0,"",INDEX(Classes!$E$6:$E$420,$M1140))</f>
        <v/>
      </c>
      <c r="C1140" s="62" t="str">
        <f aca="false">IF($M1140=0,"",INDEX(Classes!$H$6:$H$420,$M1140))</f>
        <v/>
      </c>
      <c r="D1140" s="61" t="str">
        <f aca="false">IF($M1140=0,"",INDEX(Classes!$B$6:$B$420,$M1140))</f>
        <v/>
      </c>
      <c r="E1140" s="61" t="str">
        <f aca="false">IF($M1140=0,"",INDEX(Classes!$C$6:$C$420,$M1140))</f>
        <v/>
      </c>
      <c r="F1140" s="63"/>
      <c r="G1140" s="63"/>
      <c r="H1140" s="60"/>
      <c r="I1140" s="60"/>
      <c r="J1140" s="63"/>
      <c r="K1140" s="61" t="str">
        <f aca="false">IF($P1140=0,"",IF($F1140="Baseline","— Baseline",IF($O1140=0,"No result",IF($N1140=0,"No Start (attainment only)",IF(OR($N1140=1,$O1140=1),"U – needs rule",INDEX(MxBody,MATCH($I1140,MxCurr,0),MATCH($H1140,MxStart,0)))))))</f>
        <v/>
      </c>
      <c r="L1140" s="62" t="str">
        <f aca="false">IF(COUNTA($A1140,$F1140,$G1140,$H1140,$I1140,$J1140)=0,"",IF($M1140=0,"✖ كود الصف غير موجود",IF(ISNA(MATCH($F1140,Lists!$A$2:$A$5,0)),"✖ الفترة غير صحيحة",IF(ISNA(MATCH($G1140,Lists!$B$2:$B$7,0)),"✖ المجموعة غير صحيحة",IF(NOT(OR($H1140="",$N1140&gt;0)),"✖ Start غير صحيح",IF(NOT(OR($I1140="",$I1140="NR",$O1140&gt;0)),"✖ Current غير صحيح",IF(NOT(IF(ISNUMBER($J1140),AND($J1140&gt;=0,$J1140=INT($J1140)),FALSE())),"✖ العدد يجب أن يكون صحيحًا ≥ 0",IF(AND($F1140="Baseline",$H1140&lt;&gt;""),"⚠ Baseline: Start لا يدخل في التقدم",IF($K1140="No Start (attainment only)","ℹ تحصيل فقط (بدون Start)",IF($K1140="U – needs rule","ℹ حالة U تحتاج قاعدة معتمدة",IF($K1140="No result","ℹ بدون نتيجة (يُستبعد من التحصيل)","OK")))))))))))</f>
        <v/>
      </c>
      <c r="M1140" s="64" t="n">
        <f aca="false">IF($A1140="",0,IFERROR(MATCH($A1140,Classes!$A$6:$A$420,0),0))</f>
        <v>0</v>
      </c>
      <c r="N1140" s="64" t="n">
        <f aca="false">IF($H1140="",0,IFERROR(MATCH($H1140,GradeList,0),0))</f>
        <v>0</v>
      </c>
      <c r="O1140" s="64" t="n">
        <f aca="false">IF(OR($I1140="",$I1140="NR"),0,IFERROR(MATCH($I1140,GradeList,0),0))</f>
        <v>0</v>
      </c>
      <c r="P1140" s="64" t="n">
        <f aca="false">IF(AND($M1140&gt;0,ISNUMBER(MATCH($F1140,Lists!$A$2:$A$5,0)),ISNUMBER(MATCH($G1140,Lists!$B$2:$B$7,0)),OR($H1140="",$N1140&gt;0),OR($I1140="",$I1140="NR",$O1140&gt;0),IF(ISNUMBER($J1140),AND($J1140&gt;=0,$J1140=INT($J1140)),FALSE())),$J1140,0)</f>
        <v>0</v>
      </c>
      <c r="Q1140" s="64" t="n">
        <f aca="false">IF(AND($P1140&gt;0,$O1140&gt;0),$P1140,0)</f>
        <v>0</v>
      </c>
      <c r="R1140" s="64" t="n">
        <f aca="false">IF(AND($Q1140&gt;0,$O1140&gt;=AtRank),$Q1140,0)</f>
        <v>0</v>
      </c>
      <c r="S1140" s="64" t="n">
        <f aca="false">IF(AND($Q1140&gt;0,$O1140&gt;=AboveRank),$Q1140,0)</f>
        <v>0</v>
      </c>
      <c r="T1140" s="64" t="n">
        <f aca="false">IF($K1140="Less",$P1140,0)</f>
        <v>0</v>
      </c>
      <c r="U1140" s="64" t="n">
        <f aca="false">IF($K1140="Expected",$P1140,0)</f>
        <v>0</v>
      </c>
      <c r="V1140" s="64" t="n">
        <f aca="false">IF($K1140="Better",$P1140,0)</f>
        <v>0</v>
      </c>
      <c r="W1140" s="64" t="n">
        <f aca="false">IF($K1140="U – needs rule",$P1140,0)</f>
        <v>0</v>
      </c>
      <c r="X1140" s="64" t="n">
        <f aca="false">IF($K1140="No Start (attainment only)",$P1140,0)</f>
        <v>0</v>
      </c>
    </row>
    <row r="1141" customFormat="false" ht="15" hidden="false" customHeight="false" outlineLevel="0" collapsed="false">
      <c r="A1141" s="60"/>
      <c r="B1141" s="61" t="str">
        <f aca="false">IF($M1141=0,"",INDEX(Classes!$E$6:$E$420,$M1141))</f>
        <v/>
      </c>
      <c r="C1141" s="62" t="str">
        <f aca="false">IF($M1141=0,"",INDEX(Classes!$H$6:$H$420,$M1141))</f>
        <v/>
      </c>
      <c r="D1141" s="61" t="str">
        <f aca="false">IF($M1141=0,"",INDEX(Classes!$B$6:$B$420,$M1141))</f>
        <v/>
      </c>
      <c r="E1141" s="61" t="str">
        <f aca="false">IF($M1141=0,"",INDEX(Classes!$C$6:$C$420,$M1141))</f>
        <v/>
      </c>
      <c r="F1141" s="63"/>
      <c r="G1141" s="63"/>
      <c r="H1141" s="60"/>
      <c r="I1141" s="60"/>
      <c r="J1141" s="63"/>
      <c r="K1141" s="61" t="str">
        <f aca="false">IF($P1141=0,"",IF($F1141="Baseline","— Baseline",IF($O1141=0,"No result",IF($N1141=0,"No Start (attainment only)",IF(OR($N1141=1,$O1141=1),"U – needs rule",INDEX(MxBody,MATCH($I1141,MxCurr,0),MATCH($H1141,MxStart,0)))))))</f>
        <v/>
      </c>
      <c r="L1141" s="62" t="str">
        <f aca="false">IF(COUNTA($A1141,$F1141,$G1141,$H1141,$I1141,$J1141)=0,"",IF($M1141=0,"✖ كود الصف غير موجود",IF(ISNA(MATCH($F1141,Lists!$A$2:$A$5,0)),"✖ الفترة غير صحيحة",IF(ISNA(MATCH($G1141,Lists!$B$2:$B$7,0)),"✖ المجموعة غير صحيحة",IF(NOT(OR($H1141="",$N1141&gt;0)),"✖ Start غير صحيح",IF(NOT(OR($I1141="",$I1141="NR",$O1141&gt;0)),"✖ Current غير صحيح",IF(NOT(IF(ISNUMBER($J1141),AND($J1141&gt;=0,$J1141=INT($J1141)),FALSE())),"✖ العدد يجب أن يكون صحيحًا ≥ 0",IF(AND($F1141="Baseline",$H1141&lt;&gt;""),"⚠ Baseline: Start لا يدخل في التقدم",IF($K1141="No Start (attainment only)","ℹ تحصيل فقط (بدون Start)",IF($K1141="U – needs rule","ℹ حالة U تحتاج قاعدة معتمدة",IF($K1141="No result","ℹ بدون نتيجة (يُستبعد من التحصيل)","OK")))))))))))</f>
        <v/>
      </c>
      <c r="M1141" s="64" t="n">
        <f aca="false">IF($A1141="",0,IFERROR(MATCH($A1141,Classes!$A$6:$A$420,0),0))</f>
        <v>0</v>
      </c>
      <c r="N1141" s="64" t="n">
        <f aca="false">IF($H1141="",0,IFERROR(MATCH($H1141,GradeList,0),0))</f>
        <v>0</v>
      </c>
      <c r="O1141" s="64" t="n">
        <f aca="false">IF(OR($I1141="",$I1141="NR"),0,IFERROR(MATCH($I1141,GradeList,0),0))</f>
        <v>0</v>
      </c>
      <c r="P1141" s="64" t="n">
        <f aca="false">IF(AND($M1141&gt;0,ISNUMBER(MATCH($F1141,Lists!$A$2:$A$5,0)),ISNUMBER(MATCH($G1141,Lists!$B$2:$B$7,0)),OR($H1141="",$N1141&gt;0),OR($I1141="",$I1141="NR",$O1141&gt;0),IF(ISNUMBER($J1141),AND($J1141&gt;=0,$J1141=INT($J1141)),FALSE())),$J1141,0)</f>
        <v>0</v>
      </c>
      <c r="Q1141" s="64" t="n">
        <f aca="false">IF(AND($P1141&gt;0,$O1141&gt;0),$P1141,0)</f>
        <v>0</v>
      </c>
      <c r="R1141" s="64" t="n">
        <f aca="false">IF(AND($Q1141&gt;0,$O1141&gt;=AtRank),$Q1141,0)</f>
        <v>0</v>
      </c>
      <c r="S1141" s="64" t="n">
        <f aca="false">IF(AND($Q1141&gt;0,$O1141&gt;=AboveRank),$Q1141,0)</f>
        <v>0</v>
      </c>
      <c r="T1141" s="64" t="n">
        <f aca="false">IF($K1141="Less",$P1141,0)</f>
        <v>0</v>
      </c>
      <c r="U1141" s="64" t="n">
        <f aca="false">IF($K1141="Expected",$P1141,0)</f>
        <v>0</v>
      </c>
      <c r="V1141" s="64" t="n">
        <f aca="false">IF($K1141="Better",$P1141,0)</f>
        <v>0</v>
      </c>
      <c r="W1141" s="64" t="n">
        <f aca="false">IF($K1141="U – needs rule",$P1141,0)</f>
        <v>0</v>
      </c>
      <c r="X1141" s="64" t="n">
        <f aca="false">IF($K1141="No Start (attainment only)",$P1141,0)</f>
        <v>0</v>
      </c>
    </row>
    <row r="1142" customFormat="false" ht="15" hidden="false" customHeight="false" outlineLevel="0" collapsed="false">
      <c r="A1142" s="60"/>
      <c r="B1142" s="61" t="str">
        <f aca="false">IF($M1142=0,"",INDEX(Classes!$E$6:$E$420,$M1142))</f>
        <v/>
      </c>
      <c r="C1142" s="62" t="str">
        <f aca="false">IF($M1142=0,"",INDEX(Classes!$H$6:$H$420,$M1142))</f>
        <v/>
      </c>
      <c r="D1142" s="61" t="str">
        <f aca="false">IF($M1142=0,"",INDEX(Classes!$B$6:$B$420,$M1142))</f>
        <v/>
      </c>
      <c r="E1142" s="61" t="str">
        <f aca="false">IF($M1142=0,"",INDEX(Classes!$C$6:$C$420,$M1142))</f>
        <v/>
      </c>
      <c r="F1142" s="63"/>
      <c r="G1142" s="63"/>
      <c r="H1142" s="60"/>
      <c r="I1142" s="60"/>
      <c r="J1142" s="63"/>
      <c r="K1142" s="61" t="str">
        <f aca="false">IF($P1142=0,"",IF($F1142="Baseline","— Baseline",IF($O1142=0,"No result",IF($N1142=0,"No Start (attainment only)",IF(OR($N1142=1,$O1142=1),"U – needs rule",INDEX(MxBody,MATCH($I1142,MxCurr,0),MATCH($H1142,MxStart,0)))))))</f>
        <v/>
      </c>
      <c r="L1142" s="62" t="str">
        <f aca="false">IF(COUNTA($A1142,$F1142,$G1142,$H1142,$I1142,$J1142)=0,"",IF($M1142=0,"✖ كود الصف غير موجود",IF(ISNA(MATCH($F1142,Lists!$A$2:$A$5,0)),"✖ الفترة غير صحيحة",IF(ISNA(MATCH($G1142,Lists!$B$2:$B$7,0)),"✖ المجموعة غير صحيحة",IF(NOT(OR($H1142="",$N1142&gt;0)),"✖ Start غير صحيح",IF(NOT(OR($I1142="",$I1142="NR",$O1142&gt;0)),"✖ Current غير صحيح",IF(NOT(IF(ISNUMBER($J1142),AND($J1142&gt;=0,$J1142=INT($J1142)),FALSE())),"✖ العدد يجب أن يكون صحيحًا ≥ 0",IF(AND($F1142="Baseline",$H1142&lt;&gt;""),"⚠ Baseline: Start لا يدخل في التقدم",IF($K1142="No Start (attainment only)","ℹ تحصيل فقط (بدون Start)",IF($K1142="U – needs rule","ℹ حالة U تحتاج قاعدة معتمدة",IF($K1142="No result","ℹ بدون نتيجة (يُستبعد من التحصيل)","OK")))))))))))</f>
        <v/>
      </c>
      <c r="M1142" s="64" t="n">
        <f aca="false">IF($A1142="",0,IFERROR(MATCH($A1142,Classes!$A$6:$A$420,0),0))</f>
        <v>0</v>
      </c>
      <c r="N1142" s="64" t="n">
        <f aca="false">IF($H1142="",0,IFERROR(MATCH($H1142,GradeList,0),0))</f>
        <v>0</v>
      </c>
      <c r="O1142" s="64" t="n">
        <f aca="false">IF(OR($I1142="",$I1142="NR"),0,IFERROR(MATCH($I1142,GradeList,0),0))</f>
        <v>0</v>
      </c>
      <c r="P1142" s="64" t="n">
        <f aca="false">IF(AND($M1142&gt;0,ISNUMBER(MATCH($F1142,Lists!$A$2:$A$5,0)),ISNUMBER(MATCH($G1142,Lists!$B$2:$B$7,0)),OR($H1142="",$N1142&gt;0),OR($I1142="",$I1142="NR",$O1142&gt;0),IF(ISNUMBER($J1142),AND($J1142&gt;=0,$J1142=INT($J1142)),FALSE())),$J1142,0)</f>
        <v>0</v>
      </c>
      <c r="Q1142" s="64" t="n">
        <f aca="false">IF(AND($P1142&gt;0,$O1142&gt;0),$P1142,0)</f>
        <v>0</v>
      </c>
      <c r="R1142" s="64" t="n">
        <f aca="false">IF(AND($Q1142&gt;0,$O1142&gt;=AtRank),$Q1142,0)</f>
        <v>0</v>
      </c>
      <c r="S1142" s="64" t="n">
        <f aca="false">IF(AND($Q1142&gt;0,$O1142&gt;=AboveRank),$Q1142,0)</f>
        <v>0</v>
      </c>
      <c r="T1142" s="64" t="n">
        <f aca="false">IF($K1142="Less",$P1142,0)</f>
        <v>0</v>
      </c>
      <c r="U1142" s="64" t="n">
        <f aca="false">IF($K1142="Expected",$P1142,0)</f>
        <v>0</v>
      </c>
      <c r="V1142" s="64" t="n">
        <f aca="false">IF($K1142="Better",$P1142,0)</f>
        <v>0</v>
      </c>
      <c r="W1142" s="64" t="n">
        <f aca="false">IF($K1142="U – needs rule",$P1142,0)</f>
        <v>0</v>
      </c>
      <c r="X1142" s="64" t="n">
        <f aca="false">IF($K1142="No Start (attainment only)",$P1142,0)</f>
        <v>0</v>
      </c>
    </row>
    <row r="1143" customFormat="false" ht="15" hidden="false" customHeight="false" outlineLevel="0" collapsed="false">
      <c r="A1143" s="60"/>
      <c r="B1143" s="61" t="str">
        <f aca="false">IF($M1143=0,"",INDEX(Classes!$E$6:$E$420,$M1143))</f>
        <v/>
      </c>
      <c r="C1143" s="62" t="str">
        <f aca="false">IF($M1143=0,"",INDEX(Classes!$H$6:$H$420,$M1143))</f>
        <v/>
      </c>
      <c r="D1143" s="61" t="str">
        <f aca="false">IF($M1143=0,"",INDEX(Classes!$B$6:$B$420,$M1143))</f>
        <v/>
      </c>
      <c r="E1143" s="61" t="str">
        <f aca="false">IF($M1143=0,"",INDEX(Classes!$C$6:$C$420,$M1143))</f>
        <v/>
      </c>
      <c r="F1143" s="63"/>
      <c r="G1143" s="63"/>
      <c r="H1143" s="60"/>
      <c r="I1143" s="60"/>
      <c r="J1143" s="63"/>
      <c r="K1143" s="61" t="str">
        <f aca="false">IF($P1143=0,"",IF($F1143="Baseline","— Baseline",IF($O1143=0,"No result",IF($N1143=0,"No Start (attainment only)",IF(OR($N1143=1,$O1143=1),"U – needs rule",INDEX(MxBody,MATCH($I1143,MxCurr,0),MATCH($H1143,MxStart,0)))))))</f>
        <v/>
      </c>
      <c r="L1143" s="62" t="str">
        <f aca="false">IF(COUNTA($A1143,$F1143,$G1143,$H1143,$I1143,$J1143)=0,"",IF($M1143=0,"✖ كود الصف غير موجود",IF(ISNA(MATCH($F1143,Lists!$A$2:$A$5,0)),"✖ الفترة غير صحيحة",IF(ISNA(MATCH($G1143,Lists!$B$2:$B$7,0)),"✖ المجموعة غير صحيحة",IF(NOT(OR($H1143="",$N1143&gt;0)),"✖ Start غير صحيح",IF(NOT(OR($I1143="",$I1143="NR",$O1143&gt;0)),"✖ Current غير صحيح",IF(NOT(IF(ISNUMBER($J1143),AND($J1143&gt;=0,$J1143=INT($J1143)),FALSE())),"✖ العدد يجب أن يكون صحيحًا ≥ 0",IF(AND($F1143="Baseline",$H1143&lt;&gt;""),"⚠ Baseline: Start لا يدخل في التقدم",IF($K1143="No Start (attainment only)","ℹ تحصيل فقط (بدون Start)",IF($K1143="U – needs rule","ℹ حالة U تحتاج قاعدة معتمدة",IF($K1143="No result","ℹ بدون نتيجة (يُستبعد من التحصيل)","OK")))))))))))</f>
        <v/>
      </c>
      <c r="M1143" s="64" t="n">
        <f aca="false">IF($A1143="",0,IFERROR(MATCH($A1143,Classes!$A$6:$A$420,0),0))</f>
        <v>0</v>
      </c>
      <c r="N1143" s="64" t="n">
        <f aca="false">IF($H1143="",0,IFERROR(MATCH($H1143,GradeList,0),0))</f>
        <v>0</v>
      </c>
      <c r="O1143" s="64" t="n">
        <f aca="false">IF(OR($I1143="",$I1143="NR"),0,IFERROR(MATCH($I1143,GradeList,0),0))</f>
        <v>0</v>
      </c>
      <c r="P1143" s="64" t="n">
        <f aca="false">IF(AND($M1143&gt;0,ISNUMBER(MATCH($F1143,Lists!$A$2:$A$5,0)),ISNUMBER(MATCH($G1143,Lists!$B$2:$B$7,0)),OR($H1143="",$N1143&gt;0),OR($I1143="",$I1143="NR",$O1143&gt;0),IF(ISNUMBER($J1143),AND($J1143&gt;=0,$J1143=INT($J1143)),FALSE())),$J1143,0)</f>
        <v>0</v>
      </c>
      <c r="Q1143" s="64" t="n">
        <f aca="false">IF(AND($P1143&gt;0,$O1143&gt;0),$P1143,0)</f>
        <v>0</v>
      </c>
      <c r="R1143" s="64" t="n">
        <f aca="false">IF(AND($Q1143&gt;0,$O1143&gt;=AtRank),$Q1143,0)</f>
        <v>0</v>
      </c>
      <c r="S1143" s="64" t="n">
        <f aca="false">IF(AND($Q1143&gt;0,$O1143&gt;=AboveRank),$Q1143,0)</f>
        <v>0</v>
      </c>
      <c r="T1143" s="64" t="n">
        <f aca="false">IF($K1143="Less",$P1143,0)</f>
        <v>0</v>
      </c>
      <c r="U1143" s="64" t="n">
        <f aca="false">IF($K1143="Expected",$P1143,0)</f>
        <v>0</v>
      </c>
      <c r="V1143" s="64" t="n">
        <f aca="false">IF($K1143="Better",$P1143,0)</f>
        <v>0</v>
      </c>
      <c r="W1143" s="64" t="n">
        <f aca="false">IF($K1143="U – needs rule",$P1143,0)</f>
        <v>0</v>
      </c>
      <c r="X1143" s="64" t="n">
        <f aca="false">IF($K1143="No Start (attainment only)",$P1143,0)</f>
        <v>0</v>
      </c>
    </row>
    <row r="1144" customFormat="false" ht="15" hidden="false" customHeight="false" outlineLevel="0" collapsed="false">
      <c r="A1144" s="60"/>
      <c r="B1144" s="61" t="str">
        <f aca="false">IF($M1144=0,"",INDEX(Classes!$E$6:$E$420,$M1144))</f>
        <v/>
      </c>
      <c r="C1144" s="62" t="str">
        <f aca="false">IF($M1144=0,"",INDEX(Classes!$H$6:$H$420,$M1144))</f>
        <v/>
      </c>
      <c r="D1144" s="61" t="str">
        <f aca="false">IF($M1144=0,"",INDEX(Classes!$B$6:$B$420,$M1144))</f>
        <v/>
      </c>
      <c r="E1144" s="61" t="str">
        <f aca="false">IF($M1144=0,"",INDEX(Classes!$C$6:$C$420,$M1144))</f>
        <v/>
      </c>
      <c r="F1144" s="63"/>
      <c r="G1144" s="63"/>
      <c r="H1144" s="60"/>
      <c r="I1144" s="60"/>
      <c r="J1144" s="63"/>
      <c r="K1144" s="61" t="str">
        <f aca="false">IF($P1144=0,"",IF($F1144="Baseline","— Baseline",IF($O1144=0,"No result",IF($N1144=0,"No Start (attainment only)",IF(OR($N1144=1,$O1144=1),"U – needs rule",INDEX(MxBody,MATCH($I1144,MxCurr,0),MATCH($H1144,MxStart,0)))))))</f>
        <v/>
      </c>
      <c r="L1144" s="62" t="str">
        <f aca="false">IF(COUNTA($A1144,$F1144,$G1144,$H1144,$I1144,$J1144)=0,"",IF($M1144=0,"✖ كود الصف غير موجود",IF(ISNA(MATCH($F1144,Lists!$A$2:$A$5,0)),"✖ الفترة غير صحيحة",IF(ISNA(MATCH($G1144,Lists!$B$2:$B$7,0)),"✖ المجموعة غير صحيحة",IF(NOT(OR($H1144="",$N1144&gt;0)),"✖ Start غير صحيح",IF(NOT(OR($I1144="",$I1144="NR",$O1144&gt;0)),"✖ Current غير صحيح",IF(NOT(IF(ISNUMBER($J1144),AND($J1144&gt;=0,$J1144=INT($J1144)),FALSE())),"✖ العدد يجب أن يكون صحيحًا ≥ 0",IF(AND($F1144="Baseline",$H1144&lt;&gt;""),"⚠ Baseline: Start لا يدخل في التقدم",IF($K1144="No Start (attainment only)","ℹ تحصيل فقط (بدون Start)",IF($K1144="U – needs rule","ℹ حالة U تحتاج قاعدة معتمدة",IF($K1144="No result","ℹ بدون نتيجة (يُستبعد من التحصيل)","OK")))))))))))</f>
        <v/>
      </c>
      <c r="M1144" s="64" t="n">
        <f aca="false">IF($A1144="",0,IFERROR(MATCH($A1144,Classes!$A$6:$A$420,0),0))</f>
        <v>0</v>
      </c>
      <c r="N1144" s="64" t="n">
        <f aca="false">IF($H1144="",0,IFERROR(MATCH($H1144,GradeList,0),0))</f>
        <v>0</v>
      </c>
      <c r="O1144" s="64" t="n">
        <f aca="false">IF(OR($I1144="",$I1144="NR"),0,IFERROR(MATCH($I1144,GradeList,0),0))</f>
        <v>0</v>
      </c>
      <c r="P1144" s="64" t="n">
        <f aca="false">IF(AND($M1144&gt;0,ISNUMBER(MATCH($F1144,Lists!$A$2:$A$5,0)),ISNUMBER(MATCH($G1144,Lists!$B$2:$B$7,0)),OR($H1144="",$N1144&gt;0),OR($I1144="",$I1144="NR",$O1144&gt;0),IF(ISNUMBER($J1144),AND($J1144&gt;=0,$J1144=INT($J1144)),FALSE())),$J1144,0)</f>
        <v>0</v>
      </c>
      <c r="Q1144" s="64" t="n">
        <f aca="false">IF(AND($P1144&gt;0,$O1144&gt;0),$P1144,0)</f>
        <v>0</v>
      </c>
      <c r="R1144" s="64" t="n">
        <f aca="false">IF(AND($Q1144&gt;0,$O1144&gt;=AtRank),$Q1144,0)</f>
        <v>0</v>
      </c>
      <c r="S1144" s="64" t="n">
        <f aca="false">IF(AND($Q1144&gt;0,$O1144&gt;=AboveRank),$Q1144,0)</f>
        <v>0</v>
      </c>
      <c r="T1144" s="64" t="n">
        <f aca="false">IF($K1144="Less",$P1144,0)</f>
        <v>0</v>
      </c>
      <c r="U1144" s="64" t="n">
        <f aca="false">IF($K1144="Expected",$P1144,0)</f>
        <v>0</v>
      </c>
      <c r="V1144" s="64" t="n">
        <f aca="false">IF($K1144="Better",$P1144,0)</f>
        <v>0</v>
      </c>
      <c r="W1144" s="64" t="n">
        <f aca="false">IF($K1144="U – needs rule",$P1144,0)</f>
        <v>0</v>
      </c>
      <c r="X1144" s="64" t="n">
        <f aca="false">IF($K1144="No Start (attainment only)",$P1144,0)</f>
        <v>0</v>
      </c>
    </row>
    <row r="1145" customFormat="false" ht="15" hidden="false" customHeight="false" outlineLevel="0" collapsed="false">
      <c r="A1145" s="60"/>
      <c r="B1145" s="61" t="str">
        <f aca="false">IF($M1145=0,"",INDEX(Classes!$E$6:$E$420,$M1145))</f>
        <v/>
      </c>
      <c r="C1145" s="62" t="str">
        <f aca="false">IF($M1145=0,"",INDEX(Classes!$H$6:$H$420,$M1145))</f>
        <v/>
      </c>
      <c r="D1145" s="61" t="str">
        <f aca="false">IF($M1145=0,"",INDEX(Classes!$B$6:$B$420,$M1145))</f>
        <v/>
      </c>
      <c r="E1145" s="61" t="str">
        <f aca="false">IF($M1145=0,"",INDEX(Classes!$C$6:$C$420,$M1145))</f>
        <v/>
      </c>
      <c r="F1145" s="63"/>
      <c r="G1145" s="63"/>
      <c r="H1145" s="60"/>
      <c r="I1145" s="60"/>
      <c r="J1145" s="63"/>
      <c r="K1145" s="61" t="str">
        <f aca="false">IF($P1145=0,"",IF($F1145="Baseline","— Baseline",IF($O1145=0,"No result",IF($N1145=0,"No Start (attainment only)",IF(OR($N1145=1,$O1145=1),"U – needs rule",INDEX(MxBody,MATCH($I1145,MxCurr,0),MATCH($H1145,MxStart,0)))))))</f>
        <v/>
      </c>
      <c r="L1145" s="62" t="str">
        <f aca="false">IF(COUNTA($A1145,$F1145,$G1145,$H1145,$I1145,$J1145)=0,"",IF($M1145=0,"✖ كود الصف غير موجود",IF(ISNA(MATCH($F1145,Lists!$A$2:$A$5,0)),"✖ الفترة غير صحيحة",IF(ISNA(MATCH($G1145,Lists!$B$2:$B$7,0)),"✖ المجموعة غير صحيحة",IF(NOT(OR($H1145="",$N1145&gt;0)),"✖ Start غير صحيح",IF(NOT(OR($I1145="",$I1145="NR",$O1145&gt;0)),"✖ Current غير صحيح",IF(NOT(IF(ISNUMBER($J1145),AND($J1145&gt;=0,$J1145=INT($J1145)),FALSE())),"✖ العدد يجب أن يكون صحيحًا ≥ 0",IF(AND($F1145="Baseline",$H1145&lt;&gt;""),"⚠ Baseline: Start لا يدخل في التقدم",IF($K1145="No Start (attainment only)","ℹ تحصيل فقط (بدون Start)",IF($K1145="U – needs rule","ℹ حالة U تحتاج قاعدة معتمدة",IF($K1145="No result","ℹ بدون نتيجة (يُستبعد من التحصيل)","OK")))))))))))</f>
        <v/>
      </c>
      <c r="M1145" s="64" t="n">
        <f aca="false">IF($A1145="",0,IFERROR(MATCH($A1145,Classes!$A$6:$A$420,0),0))</f>
        <v>0</v>
      </c>
      <c r="N1145" s="64" t="n">
        <f aca="false">IF($H1145="",0,IFERROR(MATCH($H1145,GradeList,0),0))</f>
        <v>0</v>
      </c>
      <c r="O1145" s="64" t="n">
        <f aca="false">IF(OR($I1145="",$I1145="NR"),0,IFERROR(MATCH($I1145,GradeList,0),0))</f>
        <v>0</v>
      </c>
      <c r="P1145" s="64" t="n">
        <f aca="false">IF(AND($M1145&gt;0,ISNUMBER(MATCH($F1145,Lists!$A$2:$A$5,0)),ISNUMBER(MATCH($G1145,Lists!$B$2:$B$7,0)),OR($H1145="",$N1145&gt;0),OR($I1145="",$I1145="NR",$O1145&gt;0),IF(ISNUMBER($J1145),AND($J1145&gt;=0,$J1145=INT($J1145)),FALSE())),$J1145,0)</f>
        <v>0</v>
      </c>
      <c r="Q1145" s="64" t="n">
        <f aca="false">IF(AND($P1145&gt;0,$O1145&gt;0),$P1145,0)</f>
        <v>0</v>
      </c>
      <c r="R1145" s="64" t="n">
        <f aca="false">IF(AND($Q1145&gt;0,$O1145&gt;=AtRank),$Q1145,0)</f>
        <v>0</v>
      </c>
      <c r="S1145" s="64" t="n">
        <f aca="false">IF(AND($Q1145&gt;0,$O1145&gt;=AboveRank),$Q1145,0)</f>
        <v>0</v>
      </c>
      <c r="T1145" s="64" t="n">
        <f aca="false">IF($K1145="Less",$P1145,0)</f>
        <v>0</v>
      </c>
      <c r="U1145" s="64" t="n">
        <f aca="false">IF($K1145="Expected",$P1145,0)</f>
        <v>0</v>
      </c>
      <c r="V1145" s="64" t="n">
        <f aca="false">IF($K1145="Better",$P1145,0)</f>
        <v>0</v>
      </c>
      <c r="W1145" s="64" t="n">
        <f aca="false">IF($K1145="U – needs rule",$P1145,0)</f>
        <v>0</v>
      </c>
      <c r="X1145" s="64" t="n">
        <f aca="false">IF($K1145="No Start (attainment only)",$P1145,0)</f>
        <v>0</v>
      </c>
    </row>
    <row r="1146" customFormat="false" ht="15" hidden="false" customHeight="false" outlineLevel="0" collapsed="false">
      <c r="A1146" s="60"/>
      <c r="B1146" s="61" t="str">
        <f aca="false">IF($M1146=0,"",INDEX(Classes!$E$6:$E$420,$M1146))</f>
        <v/>
      </c>
      <c r="C1146" s="62" t="str">
        <f aca="false">IF($M1146=0,"",INDEX(Classes!$H$6:$H$420,$M1146))</f>
        <v/>
      </c>
      <c r="D1146" s="61" t="str">
        <f aca="false">IF($M1146=0,"",INDEX(Classes!$B$6:$B$420,$M1146))</f>
        <v/>
      </c>
      <c r="E1146" s="61" t="str">
        <f aca="false">IF($M1146=0,"",INDEX(Classes!$C$6:$C$420,$M1146))</f>
        <v/>
      </c>
      <c r="F1146" s="63"/>
      <c r="G1146" s="63"/>
      <c r="H1146" s="60"/>
      <c r="I1146" s="60"/>
      <c r="J1146" s="63"/>
      <c r="K1146" s="61" t="str">
        <f aca="false">IF($P1146=0,"",IF($F1146="Baseline","— Baseline",IF($O1146=0,"No result",IF($N1146=0,"No Start (attainment only)",IF(OR($N1146=1,$O1146=1),"U – needs rule",INDEX(MxBody,MATCH($I1146,MxCurr,0),MATCH($H1146,MxStart,0)))))))</f>
        <v/>
      </c>
      <c r="L1146" s="62" t="str">
        <f aca="false">IF(COUNTA($A1146,$F1146,$G1146,$H1146,$I1146,$J1146)=0,"",IF($M1146=0,"✖ كود الصف غير موجود",IF(ISNA(MATCH($F1146,Lists!$A$2:$A$5,0)),"✖ الفترة غير صحيحة",IF(ISNA(MATCH($G1146,Lists!$B$2:$B$7,0)),"✖ المجموعة غير صحيحة",IF(NOT(OR($H1146="",$N1146&gt;0)),"✖ Start غير صحيح",IF(NOT(OR($I1146="",$I1146="NR",$O1146&gt;0)),"✖ Current غير صحيح",IF(NOT(IF(ISNUMBER($J1146),AND($J1146&gt;=0,$J1146=INT($J1146)),FALSE())),"✖ العدد يجب أن يكون صحيحًا ≥ 0",IF(AND($F1146="Baseline",$H1146&lt;&gt;""),"⚠ Baseline: Start لا يدخل في التقدم",IF($K1146="No Start (attainment only)","ℹ تحصيل فقط (بدون Start)",IF($K1146="U – needs rule","ℹ حالة U تحتاج قاعدة معتمدة",IF($K1146="No result","ℹ بدون نتيجة (يُستبعد من التحصيل)","OK")))))))))))</f>
        <v/>
      </c>
      <c r="M1146" s="64" t="n">
        <f aca="false">IF($A1146="",0,IFERROR(MATCH($A1146,Classes!$A$6:$A$420,0),0))</f>
        <v>0</v>
      </c>
      <c r="N1146" s="64" t="n">
        <f aca="false">IF($H1146="",0,IFERROR(MATCH($H1146,GradeList,0),0))</f>
        <v>0</v>
      </c>
      <c r="O1146" s="64" t="n">
        <f aca="false">IF(OR($I1146="",$I1146="NR"),0,IFERROR(MATCH($I1146,GradeList,0),0))</f>
        <v>0</v>
      </c>
      <c r="P1146" s="64" t="n">
        <f aca="false">IF(AND($M1146&gt;0,ISNUMBER(MATCH($F1146,Lists!$A$2:$A$5,0)),ISNUMBER(MATCH($G1146,Lists!$B$2:$B$7,0)),OR($H1146="",$N1146&gt;0),OR($I1146="",$I1146="NR",$O1146&gt;0),IF(ISNUMBER($J1146),AND($J1146&gt;=0,$J1146=INT($J1146)),FALSE())),$J1146,0)</f>
        <v>0</v>
      </c>
      <c r="Q1146" s="64" t="n">
        <f aca="false">IF(AND($P1146&gt;0,$O1146&gt;0),$P1146,0)</f>
        <v>0</v>
      </c>
      <c r="R1146" s="64" t="n">
        <f aca="false">IF(AND($Q1146&gt;0,$O1146&gt;=AtRank),$Q1146,0)</f>
        <v>0</v>
      </c>
      <c r="S1146" s="64" t="n">
        <f aca="false">IF(AND($Q1146&gt;0,$O1146&gt;=AboveRank),$Q1146,0)</f>
        <v>0</v>
      </c>
      <c r="T1146" s="64" t="n">
        <f aca="false">IF($K1146="Less",$P1146,0)</f>
        <v>0</v>
      </c>
      <c r="U1146" s="64" t="n">
        <f aca="false">IF($K1146="Expected",$P1146,0)</f>
        <v>0</v>
      </c>
      <c r="V1146" s="64" t="n">
        <f aca="false">IF($K1146="Better",$P1146,0)</f>
        <v>0</v>
      </c>
      <c r="W1146" s="64" t="n">
        <f aca="false">IF($K1146="U – needs rule",$P1146,0)</f>
        <v>0</v>
      </c>
      <c r="X1146" s="64" t="n">
        <f aca="false">IF($K1146="No Start (attainment only)",$P1146,0)</f>
        <v>0</v>
      </c>
    </row>
    <row r="1147" customFormat="false" ht="15" hidden="false" customHeight="false" outlineLevel="0" collapsed="false">
      <c r="A1147" s="60"/>
      <c r="B1147" s="61" t="str">
        <f aca="false">IF($M1147=0,"",INDEX(Classes!$E$6:$E$420,$M1147))</f>
        <v/>
      </c>
      <c r="C1147" s="62" t="str">
        <f aca="false">IF($M1147=0,"",INDEX(Classes!$H$6:$H$420,$M1147))</f>
        <v/>
      </c>
      <c r="D1147" s="61" t="str">
        <f aca="false">IF($M1147=0,"",INDEX(Classes!$B$6:$B$420,$M1147))</f>
        <v/>
      </c>
      <c r="E1147" s="61" t="str">
        <f aca="false">IF($M1147=0,"",INDEX(Classes!$C$6:$C$420,$M1147))</f>
        <v/>
      </c>
      <c r="F1147" s="63"/>
      <c r="G1147" s="63"/>
      <c r="H1147" s="60"/>
      <c r="I1147" s="60"/>
      <c r="J1147" s="63"/>
      <c r="K1147" s="61" t="str">
        <f aca="false">IF($P1147=0,"",IF($F1147="Baseline","— Baseline",IF($O1147=0,"No result",IF($N1147=0,"No Start (attainment only)",IF(OR($N1147=1,$O1147=1),"U – needs rule",INDEX(MxBody,MATCH($I1147,MxCurr,0),MATCH($H1147,MxStart,0)))))))</f>
        <v/>
      </c>
      <c r="L1147" s="62" t="str">
        <f aca="false">IF(COUNTA($A1147,$F1147,$G1147,$H1147,$I1147,$J1147)=0,"",IF($M1147=0,"✖ كود الصف غير موجود",IF(ISNA(MATCH($F1147,Lists!$A$2:$A$5,0)),"✖ الفترة غير صحيحة",IF(ISNA(MATCH($G1147,Lists!$B$2:$B$7,0)),"✖ المجموعة غير صحيحة",IF(NOT(OR($H1147="",$N1147&gt;0)),"✖ Start غير صحيح",IF(NOT(OR($I1147="",$I1147="NR",$O1147&gt;0)),"✖ Current غير صحيح",IF(NOT(IF(ISNUMBER($J1147),AND($J1147&gt;=0,$J1147=INT($J1147)),FALSE())),"✖ العدد يجب أن يكون صحيحًا ≥ 0",IF(AND($F1147="Baseline",$H1147&lt;&gt;""),"⚠ Baseline: Start لا يدخل في التقدم",IF($K1147="No Start (attainment only)","ℹ تحصيل فقط (بدون Start)",IF($K1147="U – needs rule","ℹ حالة U تحتاج قاعدة معتمدة",IF($K1147="No result","ℹ بدون نتيجة (يُستبعد من التحصيل)","OK")))))))))))</f>
        <v/>
      </c>
      <c r="M1147" s="64" t="n">
        <f aca="false">IF($A1147="",0,IFERROR(MATCH($A1147,Classes!$A$6:$A$420,0),0))</f>
        <v>0</v>
      </c>
      <c r="N1147" s="64" t="n">
        <f aca="false">IF($H1147="",0,IFERROR(MATCH($H1147,GradeList,0),0))</f>
        <v>0</v>
      </c>
      <c r="O1147" s="64" t="n">
        <f aca="false">IF(OR($I1147="",$I1147="NR"),0,IFERROR(MATCH($I1147,GradeList,0),0))</f>
        <v>0</v>
      </c>
      <c r="P1147" s="64" t="n">
        <f aca="false">IF(AND($M1147&gt;0,ISNUMBER(MATCH($F1147,Lists!$A$2:$A$5,0)),ISNUMBER(MATCH($G1147,Lists!$B$2:$B$7,0)),OR($H1147="",$N1147&gt;0),OR($I1147="",$I1147="NR",$O1147&gt;0),IF(ISNUMBER($J1147),AND($J1147&gt;=0,$J1147=INT($J1147)),FALSE())),$J1147,0)</f>
        <v>0</v>
      </c>
      <c r="Q1147" s="64" t="n">
        <f aca="false">IF(AND($P1147&gt;0,$O1147&gt;0),$P1147,0)</f>
        <v>0</v>
      </c>
      <c r="R1147" s="64" t="n">
        <f aca="false">IF(AND($Q1147&gt;0,$O1147&gt;=AtRank),$Q1147,0)</f>
        <v>0</v>
      </c>
      <c r="S1147" s="64" t="n">
        <f aca="false">IF(AND($Q1147&gt;0,$O1147&gt;=AboveRank),$Q1147,0)</f>
        <v>0</v>
      </c>
      <c r="T1147" s="64" t="n">
        <f aca="false">IF($K1147="Less",$P1147,0)</f>
        <v>0</v>
      </c>
      <c r="U1147" s="64" t="n">
        <f aca="false">IF($K1147="Expected",$P1147,0)</f>
        <v>0</v>
      </c>
      <c r="V1147" s="64" t="n">
        <f aca="false">IF($K1147="Better",$P1147,0)</f>
        <v>0</v>
      </c>
      <c r="W1147" s="64" t="n">
        <f aca="false">IF($K1147="U – needs rule",$P1147,0)</f>
        <v>0</v>
      </c>
      <c r="X1147" s="64" t="n">
        <f aca="false">IF($K1147="No Start (attainment only)",$P1147,0)</f>
        <v>0</v>
      </c>
    </row>
    <row r="1148" customFormat="false" ht="15" hidden="false" customHeight="false" outlineLevel="0" collapsed="false">
      <c r="A1148" s="60"/>
      <c r="B1148" s="61" t="str">
        <f aca="false">IF($M1148=0,"",INDEX(Classes!$E$6:$E$420,$M1148))</f>
        <v/>
      </c>
      <c r="C1148" s="62" t="str">
        <f aca="false">IF($M1148=0,"",INDEX(Classes!$H$6:$H$420,$M1148))</f>
        <v/>
      </c>
      <c r="D1148" s="61" t="str">
        <f aca="false">IF($M1148=0,"",INDEX(Classes!$B$6:$B$420,$M1148))</f>
        <v/>
      </c>
      <c r="E1148" s="61" t="str">
        <f aca="false">IF($M1148=0,"",INDEX(Classes!$C$6:$C$420,$M1148))</f>
        <v/>
      </c>
      <c r="F1148" s="63"/>
      <c r="G1148" s="63"/>
      <c r="H1148" s="60"/>
      <c r="I1148" s="60"/>
      <c r="J1148" s="63"/>
      <c r="K1148" s="61" t="str">
        <f aca="false">IF($P1148=0,"",IF($F1148="Baseline","— Baseline",IF($O1148=0,"No result",IF($N1148=0,"No Start (attainment only)",IF(OR($N1148=1,$O1148=1),"U – needs rule",INDEX(MxBody,MATCH($I1148,MxCurr,0),MATCH($H1148,MxStart,0)))))))</f>
        <v/>
      </c>
      <c r="L1148" s="62" t="str">
        <f aca="false">IF(COUNTA($A1148,$F1148,$G1148,$H1148,$I1148,$J1148)=0,"",IF($M1148=0,"✖ كود الصف غير موجود",IF(ISNA(MATCH($F1148,Lists!$A$2:$A$5,0)),"✖ الفترة غير صحيحة",IF(ISNA(MATCH($G1148,Lists!$B$2:$B$7,0)),"✖ المجموعة غير صحيحة",IF(NOT(OR($H1148="",$N1148&gt;0)),"✖ Start غير صحيح",IF(NOT(OR($I1148="",$I1148="NR",$O1148&gt;0)),"✖ Current غير صحيح",IF(NOT(IF(ISNUMBER($J1148),AND($J1148&gt;=0,$J1148=INT($J1148)),FALSE())),"✖ العدد يجب أن يكون صحيحًا ≥ 0",IF(AND($F1148="Baseline",$H1148&lt;&gt;""),"⚠ Baseline: Start لا يدخل في التقدم",IF($K1148="No Start (attainment only)","ℹ تحصيل فقط (بدون Start)",IF($K1148="U – needs rule","ℹ حالة U تحتاج قاعدة معتمدة",IF($K1148="No result","ℹ بدون نتيجة (يُستبعد من التحصيل)","OK")))))))))))</f>
        <v/>
      </c>
      <c r="M1148" s="64" t="n">
        <f aca="false">IF($A1148="",0,IFERROR(MATCH($A1148,Classes!$A$6:$A$420,0),0))</f>
        <v>0</v>
      </c>
      <c r="N1148" s="64" t="n">
        <f aca="false">IF($H1148="",0,IFERROR(MATCH($H1148,GradeList,0),0))</f>
        <v>0</v>
      </c>
      <c r="O1148" s="64" t="n">
        <f aca="false">IF(OR($I1148="",$I1148="NR"),0,IFERROR(MATCH($I1148,GradeList,0),0))</f>
        <v>0</v>
      </c>
      <c r="P1148" s="64" t="n">
        <f aca="false">IF(AND($M1148&gt;0,ISNUMBER(MATCH($F1148,Lists!$A$2:$A$5,0)),ISNUMBER(MATCH($G1148,Lists!$B$2:$B$7,0)),OR($H1148="",$N1148&gt;0),OR($I1148="",$I1148="NR",$O1148&gt;0),IF(ISNUMBER($J1148),AND($J1148&gt;=0,$J1148=INT($J1148)),FALSE())),$J1148,0)</f>
        <v>0</v>
      </c>
      <c r="Q1148" s="64" t="n">
        <f aca="false">IF(AND($P1148&gt;0,$O1148&gt;0),$P1148,0)</f>
        <v>0</v>
      </c>
      <c r="R1148" s="64" t="n">
        <f aca="false">IF(AND($Q1148&gt;0,$O1148&gt;=AtRank),$Q1148,0)</f>
        <v>0</v>
      </c>
      <c r="S1148" s="64" t="n">
        <f aca="false">IF(AND($Q1148&gt;0,$O1148&gt;=AboveRank),$Q1148,0)</f>
        <v>0</v>
      </c>
      <c r="T1148" s="64" t="n">
        <f aca="false">IF($K1148="Less",$P1148,0)</f>
        <v>0</v>
      </c>
      <c r="U1148" s="64" t="n">
        <f aca="false">IF($K1148="Expected",$P1148,0)</f>
        <v>0</v>
      </c>
      <c r="V1148" s="64" t="n">
        <f aca="false">IF($K1148="Better",$P1148,0)</f>
        <v>0</v>
      </c>
      <c r="W1148" s="64" t="n">
        <f aca="false">IF($K1148="U – needs rule",$P1148,0)</f>
        <v>0</v>
      </c>
      <c r="X1148" s="64" t="n">
        <f aca="false">IF($K1148="No Start (attainment only)",$P1148,0)</f>
        <v>0</v>
      </c>
    </row>
    <row r="1149" customFormat="false" ht="15" hidden="false" customHeight="false" outlineLevel="0" collapsed="false">
      <c r="A1149" s="60"/>
      <c r="B1149" s="61" t="str">
        <f aca="false">IF($M1149=0,"",INDEX(Classes!$E$6:$E$420,$M1149))</f>
        <v/>
      </c>
      <c r="C1149" s="62" t="str">
        <f aca="false">IF($M1149=0,"",INDEX(Classes!$H$6:$H$420,$M1149))</f>
        <v/>
      </c>
      <c r="D1149" s="61" t="str">
        <f aca="false">IF($M1149=0,"",INDEX(Classes!$B$6:$B$420,$M1149))</f>
        <v/>
      </c>
      <c r="E1149" s="61" t="str">
        <f aca="false">IF($M1149=0,"",INDEX(Classes!$C$6:$C$420,$M1149))</f>
        <v/>
      </c>
      <c r="F1149" s="63"/>
      <c r="G1149" s="63"/>
      <c r="H1149" s="60"/>
      <c r="I1149" s="60"/>
      <c r="J1149" s="63"/>
      <c r="K1149" s="61" t="str">
        <f aca="false">IF($P1149=0,"",IF($F1149="Baseline","— Baseline",IF($O1149=0,"No result",IF($N1149=0,"No Start (attainment only)",IF(OR($N1149=1,$O1149=1),"U – needs rule",INDEX(MxBody,MATCH($I1149,MxCurr,0),MATCH($H1149,MxStart,0)))))))</f>
        <v/>
      </c>
      <c r="L1149" s="62" t="str">
        <f aca="false">IF(COUNTA($A1149,$F1149,$G1149,$H1149,$I1149,$J1149)=0,"",IF($M1149=0,"✖ كود الصف غير موجود",IF(ISNA(MATCH($F1149,Lists!$A$2:$A$5,0)),"✖ الفترة غير صحيحة",IF(ISNA(MATCH($G1149,Lists!$B$2:$B$7,0)),"✖ المجموعة غير صحيحة",IF(NOT(OR($H1149="",$N1149&gt;0)),"✖ Start غير صحيح",IF(NOT(OR($I1149="",$I1149="NR",$O1149&gt;0)),"✖ Current غير صحيح",IF(NOT(IF(ISNUMBER($J1149),AND($J1149&gt;=0,$J1149=INT($J1149)),FALSE())),"✖ العدد يجب أن يكون صحيحًا ≥ 0",IF(AND($F1149="Baseline",$H1149&lt;&gt;""),"⚠ Baseline: Start لا يدخل في التقدم",IF($K1149="No Start (attainment only)","ℹ تحصيل فقط (بدون Start)",IF($K1149="U – needs rule","ℹ حالة U تحتاج قاعدة معتمدة",IF($K1149="No result","ℹ بدون نتيجة (يُستبعد من التحصيل)","OK")))))))))))</f>
        <v/>
      </c>
      <c r="M1149" s="64" t="n">
        <f aca="false">IF($A1149="",0,IFERROR(MATCH($A1149,Classes!$A$6:$A$420,0),0))</f>
        <v>0</v>
      </c>
      <c r="N1149" s="64" t="n">
        <f aca="false">IF($H1149="",0,IFERROR(MATCH($H1149,GradeList,0),0))</f>
        <v>0</v>
      </c>
      <c r="O1149" s="64" t="n">
        <f aca="false">IF(OR($I1149="",$I1149="NR"),0,IFERROR(MATCH($I1149,GradeList,0),0))</f>
        <v>0</v>
      </c>
      <c r="P1149" s="64" t="n">
        <f aca="false">IF(AND($M1149&gt;0,ISNUMBER(MATCH($F1149,Lists!$A$2:$A$5,0)),ISNUMBER(MATCH($G1149,Lists!$B$2:$B$7,0)),OR($H1149="",$N1149&gt;0),OR($I1149="",$I1149="NR",$O1149&gt;0),IF(ISNUMBER($J1149),AND($J1149&gt;=0,$J1149=INT($J1149)),FALSE())),$J1149,0)</f>
        <v>0</v>
      </c>
      <c r="Q1149" s="64" t="n">
        <f aca="false">IF(AND($P1149&gt;0,$O1149&gt;0),$P1149,0)</f>
        <v>0</v>
      </c>
      <c r="R1149" s="64" t="n">
        <f aca="false">IF(AND($Q1149&gt;0,$O1149&gt;=AtRank),$Q1149,0)</f>
        <v>0</v>
      </c>
      <c r="S1149" s="64" t="n">
        <f aca="false">IF(AND($Q1149&gt;0,$O1149&gt;=AboveRank),$Q1149,0)</f>
        <v>0</v>
      </c>
      <c r="T1149" s="64" t="n">
        <f aca="false">IF($K1149="Less",$P1149,0)</f>
        <v>0</v>
      </c>
      <c r="U1149" s="64" t="n">
        <f aca="false">IF($K1149="Expected",$P1149,0)</f>
        <v>0</v>
      </c>
      <c r="V1149" s="64" t="n">
        <f aca="false">IF($K1149="Better",$P1149,0)</f>
        <v>0</v>
      </c>
      <c r="W1149" s="64" t="n">
        <f aca="false">IF($K1149="U – needs rule",$P1149,0)</f>
        <v>0</v>
      </c>
      <c r="X1149" s="64" t="n">
        <f aca="false">IF($K1149="No Start (attainment only)",$P1149,0)</f>
        <v>0</v>
      </c>
    </row>
    <row r="1150" customFormat="false" ht="15" hidden="false" customHeight="false" outlineLevel="0" collapsed="false">
      <c r="A1150" s="60"/>
      <c r="B1150" s="61" t="str">
        <f aca="false">IF($M1150=0,"",INDEX(Classes!$E$6:$E$420,$M1150))</f>
        <v/>
      </c>
      <c r="C1150" s="62" t="str">
        <f aca="false">IF($M1150=0,"",INDEX(Classes!$H$6:$H$420,$M1150))</f>
        <v/>
      </c>
      <c r="D1150" s="61" t="str">
        <f aca="false">IF($M1150=0,"",INDEX(Classes!$B$6:$B$420,$M1150))</f>
        <v/>
      </c>
      <c r="E1150" s="61" t="str">
        <f aca="false">IF($M1150=0,"",INDEX(Classes!$C$6:$C$420,$M1150))</f>
        <v/>
      </c>
      <c r="F1150" s="63"/>
      <c r="G1150" s="63"/>
      <c r="H1150" s="60"/>
      <c r="I1150" s="60"/>
      <c r="J1150" s="63"/>
      <c r="K1150" s="61" t="str">
        <f aca="false">IF($P1150=0,"",IF($F1150="Baseline","— Baseline",IF($O1150=0,"No result",IF($N1150=0,"No Start (attainment only)",IF(OR($N1150=1,$O1150=1),"U – needs rule",INDEX(MxBody,MATCH($I1150,MxCurr,0),MATCH($H1150,MxStart,0)))))))</f>
        <v/>
      </c>
      <c r="L1150" s="62" t="str">
        <f aca="false">IF(COUNTA($A1150,$F1150,$G1150,$H1150,$I1150,$J1150)=0,"",IF($M1150=0,"✖ كود الصف غير موجود",IF(ISNA(MATCH($F1150,Lists!$A$2:$A$5,0)),"✖ الفترة غير صحيحة",IF(ISNA(MATCH($G1150,Lists!$B$2:$B$7,0)),"✖ المجموعة غير صحيحة",IF(NOT(OR($H1150="",$N1150&gt;0)),"✖ Start غير صحيح",IF(NOT(OR($I1150="",$I1150="NR",$O1150&gt;0)),"✖ Current غير صحيح",IF(NOT(IF(ISNUMBER($J1150),AND($J1150&gt;=0,$J1150=INT($J1150)),FALSE())),"✖ العدد يجب أن يكون صحيحًا ≥ 0",IF(AND($F1150="Baseline",$H1150&lt;&gt;""),"⚠ Baseline: Start لا يدخل في التقدم",IF($K1150="No Start (attainment only)","ℹ تحصيل فقط (بدون Start)",IF($K1150="U – needs rule","ℹ حالة U تحتاج قاعدة معتمدة",IF($K1150="No result","ℹ بدون نتيجة (يُستبعد من التحصيل)","OK")))))))))))</f>
        <v/>
      </c>
      <c r="M1150" s="64" t="n">
        <f aca="false">IF($A1150="",0,IFERROR(MATCH($A1150,Classes!$A$6:$A$420,0),0))</f>
        <v>0</v>
      </c>
      <c r="N1150" s="64" t="n">
        <f aca="false">IF($H1150="",0,IFERROR(MATCH($H1150,GradeList,0),0))</f>
        <v>0</v>
      </c>
      <c r="O1150" s="64" t="n">
        <f aca="false">IF(OR($I1150="",$I1150="NR"),0,IFERROR(MATCH($I1150,GradeList,0),0))</f>
        <v>0</v>
      </c>
      <c r="P1150" s="64" t="n">
        <f aca="false">IF(AND($M1150&gt;0,ISNUMBER(MATCH($F1150,Lists!$A$2:$A$5,0)),ISNUMBER(MATCH($G1150,Lists!$B$2:$B$7,0)),OR($H1150="",$N1150&gt;0),OR($I1150="",$I1150="NR",$O1150&gt;0),IF(ISNUMBER($J1150),AND($J1150&gt;=0,$J1150=INT($J1150)),FALSE())),$J1150,0)</f>
        <v>0</v>
      </c>
      <c r="Q1150" s="64" t="n">
        <f aca="false">IF(AND($P1150&gt;0,$O1150&gt;0),$P1150,0)</f>
        <v>0</v>
      </c>
      <c r="R1150" s="64" t="n">
        <f aca="false">IF(AND($Q1150&gt;0,$O1150&gt;=AtRank),$Q1150,0)</f>
        <v>0</v>
      </c>
      <c r="S1150" s="64" t="n">
        <f aca="false">IF(AND($Q1150&gt;0,$O1150&gt;=AboveRank),$Q1150,0)</f>
        <v>0</v>
      </c>
      <c r="T1150" s="64" t="n">
        <f aca="false">IF($K1150="Less",$P1150,0)</f>
        <v>0</v>
      </c>
      <c r="U1150" s="64" t="n">
        <f aca="false">IF($K1150="Expected",$P1150,0)</f>
        <v>0</v>
      </c>
      <c r="V1150" s="64" t="n">
        <f aca="false">IF($K1150="Better",$P1150,0)</f>
        <v>0</v>
      </c>
      <c r="W1150" s="64" t="n">
        <f aca="false">IF($K1150="U – needs rule",$P1150,0)</f>
        <v>0</v>
      </c>
      <c r="X1150" s="64" t="n">
        <f aca="false">IF($K1150="No Start (attainment only)",$P1150,0)</f>
        <v>0</v>
      </c>
    </row>
    <row r="1151" customFormat="false" ht="15" hidden="false" customHeight="false" outlineLevel="0" collapsed="false">
      <c r="A1151" s="60"/>
      <c r="B1151" s="61" t="str">
        <f aca="false">IF($M1151=0,"",INDEX(Classes!$E$6:$E$420,$M1151))</f>
        <v/>
      </c>
      <c r="C1151" s="62" t="str">
        <f aca="false">IF($M1151=0,"",INDEX(Classes!$H$6:$H$420,$M1151))</f>
        <v/>
      </c>
      <c r="D1151" s="61" t="str">
        <f aca="false">IF($M1151=0,"",INDEX(Classes!$B$6:$B$420,$M1151))</f>
        <v/>
      </c>
      <c r="E1151" s="61" t="str">
        <f aca="false">IF($M1151=0,"",INDEX(Classes!$C$6:$C$420,$M1151))</f>
        <v/>
      </c>
      <c r="F1151" s="63"/>
      <c r="G1151" s="63"/>
      <c r="H1151" s="60"/>
      <c r="I1151" s="60"/>
      <c r="J1151" s="63"/>
      <c r="K1151" s="61" t="str">
        <f aca="false">IF($P1151=0,"",IF($F1151="Baseline","— Baseline",IF($O1151=0,"No result",IF($N1151=0,"No Start (attainment only)",IF(OR($N1151=1,$O1151=1),"U – needs rule",INDEX(MxBody,MATCH($I1151,MxCurr,0),MATCH($H1151,MxStart,0)))))))</f>
        <v/>
      </c>
      <c r="L1151" s="62" t="str">
        <f aca="false">IF(COUNTA($A1151,$F1151,$G1151,$H1151,$I1151,$J1151)=0,"",IF($M1151=0,"✖ كود الصف غير موجود",IF(ISNA(MATCH($F1151,Lists!$A$2:$A$5,0)),"✖ الفترة غير صحيحة",IF(ISNA(MATCH($G1151,Lists!$B$2:$B$7,0)),"✖ المجموعة غير صحيحة",IF(NOT(OR($H1151="",$N1151&gt;0)),"✖ Start غير صحيح",IF(NOT(OR($I1151="",$I1151="NR",$O1151&gt;0)),"✖ Current غير صحيح",IF(NOT(IF(ISNUMBER($J1151),AND($J1151&gt;=0,$J1151=INT($J1151)),FALSE())),"✖ العدد يجب أن يكون صحيحًا ≥ 0",IF(AND($F1151="Baseline",$H1151&lt;&gt;""),"⚠ Baseline: Start لا يدخل في التقدم",IF($K1151="No Start (attainment only)","ℹ تحصيل فقط (بدون Start)",IF($K1151="U – needs rule","ℹ حالة U تحتاج قاعدة معتمدة",IF($K1151="No result","ℹ بدون نتيجة (يُستبعد من التحصيل)","OK")))))))))))</f>
        <v/>
      </c>
      <c r="M1151" s="64" t="n">
        <f aca="false">IF($A1151="",0,IFERROR(MATCH($A1151,Classes!$A$6:$A$420,0),0))</f>
        <v>0</v>
      </c>
      <c r="N1151" s="64" t="n">
        <f aca="false">IF($H1151="",0,IFERROR(MATCH($H1151,GradeList,0),0))</f>
        <v>0</v>
      </c>
      <c r="O1151" s="64" t="n">
        <f aca="false">IF(OR($I1151="",$I1151="NR"),0,IFERROR(MATCH($I1151,GradeList,0),0))</f>
        <v>0</v>
      </c>
      <c r="P1151" s="64" t="n">
        <f aca="false">IF(AND($M1151&gt;0,ISNUMBER(MATCH($F1151,Lists!$A$2:$A$5,0)),ISNUMBER(MATCH($G1151,Lists!$B$2:$B$7,0)),OR($H1151="",$N1151&gt;0),OR($I1151="",$I1151="NR",$O1151&gt;0),IF(ISNUMBER($J1151),AND($J1151&gt;=0,$J1151=INT($J1151)),FALSE())),$J1151,0)</f>
        <v>0</v>
      </c>
      <c r="Q1151" s="64" t="n">
        <f aca="false">IF(AND($P1151&gt;0,$O1151&gt;0),$P1151,0)</f>
        <v>0</v>
      </c>
      <c r="R1151" s="64" t="n">
        <f aca="false">IF(AND($Q1151&gt;0,$O1151&gt;=AtRank),$Q1151,0)</f>
        <v>0</v>
      </c>
      <c r="S1151" s="64" t="n">
        <f aca="false">IF(AND($Q1151&gt;0,$O1151&gt;=AboveRank),$Q1151,0)</f>
        <v>0</v>
      </c>
      <c r="T1151" s="64" t="n">
        <f aca="false">IF($K1151="Less",$P1151,0)</f>
        <v>0</v>
      </c>
      <c r="U1151" s="64" t="n">
        <f aca="false">IF($K1151="Expected",$P1151,0)</f>
        <v>0</v>
      </c>
      <c r="V1151" s="64" t="n">
        <f aca="false">IF($K1151="Better",$P1151,0)</f>
        <v>0</v>
      </c>
      <c r="W1151" s="64" t="n">
        <f aca="false">IF($K1151="U – needs rule",$P1151,0)</f>
        <v>0</v>
      </c>
      <c r="X1151" s="64" t="n">
        <f aca="false">IF($K1151="No Start (attainment only)",$P1151,0)</f>
        <v>0</v>
      </c>
    </row>
    <row r="1152" customFormat="false" ht="15" hidden="false" customHeight="false" outlineLevel="0" collapsed="false">
      <c r="A1152" s="60"/>
      <c r="B1152" s="61" t="str">
        <f aca="false">IF($M1152=0,"",INDEX(Classes!$E$6:$E$420,$M1152))</f>
        <v/>
      </c>
      <c r="C1152" s="62" t="str">
        <f aca="false">IF($M1152=0,"",INDEX(Classes!$H$6:$H$420,$M1152))</f>
        <v/>
      </c>
      <c r="D1152" s="61" t="str">
        <f aca="false">IF($M1152=0,"",INDEX(Classes!$B$6:$B$420,$M1152))</f>
        <v/>
      </c>
      <c r="E1152" s="61" t="str">
        <f aca="false">IF($M1152=0,"",INDEX(Classes!$C$6:$C$420,$M1152))</f>
        <v/>
      </c>
      <c r="F1152" s="63"/>
      <c r="G1152" s="63"/>
      <c r="H1152" s="60"/>
      <c r="I1152" s="60"/>
      <c r="J1152" s="63"/>
      <c r="K1152" s="61" t="str">
        <f aca="false">IF($P1152=0,"",IF($F1152="Baseline","— Baseline",IF($O1152=0,"No result",IF($N1152=0,"No Start (attainment only)",IF(OR($N1152=1,$O1152=1),"U – needs rule",INDEX(MxBody,MATCH($I1152,MxCurr,0),MATCH($H1152,MxStart,0)))))))</f>
        <v/>
      </c>
      <c r="L1152" s="62" t="str">
        <f aca="false">IF(COUNTA($A1152,$F1152,$G1152,$H1152,$I1152,$J1152)=0,"",IF($M1152=0,"✖ كود الصف غير موجود",IF(ISNA(MATCH($F1152,Lists!$A$2:$A$5,0)),"✖ الفترة غير صحيحة",IF(ISNA(MATCH($G1152,Lists!$B$2:$B$7,0)),"✖ المجموعة غير صحيحة",IF(NOT(OR($H1152="",$N1152&gt;0)),"✖ Start غير صحيح",IF(NOT(OR($I1152="",$I1152="NR",$O1152&gt;0)),"✖ Current غير صحيح",IF(NOT(IF(ISNUMBER($J1152),AND($J1152&gt;=0,$J1152=INT($J1152)),FALSE())),"✖ العدد يجب أن يكون صحيحًا ≥ 0",IF(AND($F1152="Baseline",$H1152&lt;&gt;""),"⚠ Baseline: Start لا يدخل في التقدم",IF($K1152="No Start (attainment only)","ℹ تحصيل فقط (بدون Start)",IF($K1152="U – needs rule","ℹ حالة U تحتاج قاعدة معتمدة",IF($K1152="No result","ℹ بدون نتيجة (يُستبعد من التحصيل)","OK")))))))))))</f>
        <v/>
      </c>
      <c r="M1152" s="64" t="n">
        <f aca="false">IF($A1152="",0,IFERROR(MATCH($A1152,Classes!$A$6:$A$420,0),0))</f>
        <v>0</v>
      </c>
      <c r="N1152" s="64" t="n">
        <f aca="false">IF($H1152="",0,IFERROR(MATCH($H1152,GradeList,0),0))</f>
        <v>0</v>
      </c>
      <c r="O1152" s="64" t="n">
        <f aca="false">IF(OR($I1152="",$I1152="NR"),0,IFERROR(MATCH($I1152,GradeList,0),0))</f>
        <v>0</v>
      </c>
      <c r="P1152" s="64" t="n">
        <f aca="false">IF(AND($M1152&gt;0,ISNUMBER(MATCH($F1152,Lists!$A$2:$A$5,0)),ISNUMBER(MATCH($G1152,Lists!$B$2:$B$7,0)),OR($H1152="",$N1152&gt;0),OR($I1152="",$I1152="NR",$O1152&gt;0),IF(ISNUMBER($J1152),AND($J1152&gt;=0,$J1152=INT($J1152)),FALSE())),$J1152,0)</f>
        <v>0</v>
      </c>
      <c r="Q1152" s="64" t="n">
        <f aca="false">IF(AND($P1152&gt;0,$O1152&gt;0),$P1152,0)</f>
        <v>0</v>
      </c>
      <c r="R1152" s="64" t="n">
        <f aca="false">IF(AND($Q1152&gt;0,$O1152&gt;=AtRank),$Q1152,0)</f>
        <v>0</v>
      </c>
      <c r="S1152" s="64" t="n">
        <f aca="false">IF(AND($Q1152&gt;0,$O1152&gt;=AboveRank),$Q1152,0)</f>
        <v>0</v>
      </c>
      <c r="T1152" s="64" t="n">
        <f aca="false">IF($K1152="Less",$P1152,0)</f>
        <v>0</v>
      </c>
      <c r="U1152" s="64" t="n">
        <f aca="false">IF($K1152="Expected",$P1152,0)</f>
        <v>0</v>
      </c>
      <c r="V1152" s="64" t="n">
        <f aca="false">IF($K1152="Better",$P1152,0)</f>
        <v>0</v>
      </c>
      <c r="W1152" s="64" t="n">
        <f aca="false">IF($K1152="U – needs rule",$P1152,0)</f>
        <v>0</v>
      </c>
      <c r="X1152" s="64" t="n">
        <f aca="false">IF($K1152="No Start (attainment only)",$P1152,0)</f>
        <v>0</v>
      </c>
    </row>
    <row r="1153" customFormat="false" ht="15" hidden="false" customHeight="false" outlineLevel="0" collapsed="false">
      <c r="A1153" s="60"/>
      <c r="B1153" s="61" t="str">
        <f aca="false">IF($M1153=0,"",INDEX(Classes!$E$6:$E$420,$M1153))</f>
        <v/>
      </c>
      <c r="C1153" s="62" t="str">
        <f aca="false">IF($M1153=0,"",INDEX(Classes!$H$6:$H$420,$M1153))</f>
        <v/>
      </c>
      <c r="D1153" s="61" t="str">
        <f aca="false">IF($M1153=0,"",INDEX(Classes!$B$6:$B$420,$M1153))</f>
        <v/>
      </c>
      <c r="E1153" s="61" t="str">
        <f aca="false">IF($M1153=0,"",INDEX(Classes!$C$6:$C$420,$M1153))</f>
        <v/>
      </c>
      <c r="F1153" s="63"/>
      <c r="G1153" s="63"/>
      <c r="H1153" s="60"/>
      <c r="I1153" s="60"/>
      <c r="J1153" s="63"/>
      <c r="K1153" s="61" t="str">
        <f aca="false">IF($P1153=0,"",IF($F1153="Baseline","— Baseline",IF($O1153=0,"No result",IF($N1153=0,"No Start (attainment only)",IF(OR($N1153=1,$O1153=1),"U – needs rule",INDEX(MxBody,MATCH($I1153,MxCurr,0),MATCH($H1153,MxStart,0)))))))</f>
        <v/>
      </c>
      <c r="L1153" s="62" t="str">
        <f aca="false">IF(COUNTA($A1153,$F1153,$G1153,$H1153,$I1153,$J1153)=0,"",IF($M1153=0,"✖ كود الصف غير موجود",IF(ISNA(MATCH($F1153,Lists!$A$2:$A$5,0)),"✖ الفترة غير صحيحة",IF(ISNA(MATCH($G1153,Lists!$B$2:$B$7,0)),"✖ المجموعة غير صحيحة",IF(NOT(OR($H1153="",$N1153&gt;0)),"✖ Start غير صحيح",IF(NOT(OR($I1153="",$I1153="NR",$O1153&gt;0)),"✖ Current غير صحيح",IF(NOT(IF(ISNUMBER($J1153),AND($J1153&gt;=0,$J1153=INT($J1153)),FALSE())),"✖ العدد يجب أن يكون صحيحًا ≥ 0",IF(AND($F1153="Baseline",$H1153&lt;&gt;""),"⚠ Baseline: Start لا يدخل في التقدم",IF($K1153="No Start (attainment only)","ℹ تحصيل فقط (بدون Start)",IF($K1153="U – needs rule","ℹ حالة U تحتاج قاعدة معتمدة",IF($K1153="No result","ℹ بدون نتيجة (يُستبعد من التحصيل)","OK")))))))))))</f>
        <v/>
      </c>
      <c r="M1153" s="64" t="n">
        <f aca="false">IF($A1153="",0,IFERROR(MATCH($A1153,Classes!$A$6:$A$420,0),0))</f>
        <v>0</v>
      </c>
      <c r="N1153" s="64" t="n">
        <f aca="false">IF($H1153="",0,IFERROR(MATCH($H1153,GradeList,0),0))</f>
        <v>0</v>
      </c>
      <c r="O1153" s="64" t="n">
        <f aca="false">IF(OR($I1153="",$I1153="NR"),0,IFERROR(MATCH($I1153,GradeList,0),0))</f>
        <v>0</v>
      </c>
      <c r="P1153" s="64" t="n">
        <f aca="false">IF(AND($M1153&gt;0,ISNUMBER(MATCH($F1153,Lists!$A$2:$A$5,0)),ISNUMBER(MATCH($G1153,Lists!$B$2:$B$7,0)),OR($H1153="",$N1153&gt;0),OR($I1153="",$I1153="NR",$O1153&gt;0),IF(ISNUMBER($J1153),AND($J1153&gt;=0,$J1153=INT($J1153)),FALSE())),$J1153,0)</f>
        <v>0</v>
      </c>
      <c r="Q1153" s="64" t="n">
        <f aca="false">IF(AND($P1153&gt;0,$O1153&gt;0),$P1153,0)</f>
        <v>0</v>
      </c>
      <c r="R1153" s="64" t="n">
        <f aca="false">IF(AND($Q1153&gt;0,$O1153&gt;=AtRank),$Q1153,0)</f>
        <v>0</v>
      </c>
      <c r="S1153" s="64" t="n">
        <f aca="false">IF(AND($Q1153&gt;0,$O1153&gt;=AboveRank),$Q1153,0)</f>
        <v>0</v>
      </c>
      <c r="T1153" s="64" t="n">
        <f aca="false">IF($K1153="Less",$P1153,0)</f>
        <v>0</v>
      </c>
      <c r="U1153" s="64" t="n">
        <f aca="false">IF($K1153="Expected",$P1153,0)</f>
        <v>0</v>
      </c>
      <c r="V1153" s="64" t="n">
        <f aca="false">IF($K1153="Better",$P1153,0)</f>
        <v>0</v>
      </c>
      <c r="W1153" s="64" t="n">
        <f aca="false">IF($K1153="U – needs rule",$P1153,0)</f>
        <v>0</v>
      </c>
      <c r="X1153" s="64" t="n">
        <f aca="false">IF($K1153="No Start (attainment only)",$P1153,0)</f>
        <v>0</v>
      </c>
    </row>
    <row r="1154" customFormat="false" ht="15" hidden="false" customHeight="false" outlineLevel="0" collapsed="false">
      <c r="A1154" s="60"/>
      <c r="B1154" s="61" t="str">
        <f aca="false">IF($M1154=0,"",INDEX(Classes!$E$6:$E$420,$M1154))</f>
        <v/>
      </c>
      <c r="C1154" s="62" t="str">
        <f aca="false">IF($M1154=0,"",INDEX(Classes!$H$6:$H$420,$M1154))</f>
        <v/>
      </c>
      <c r="D1154" s="61" t="str">
        <f aca="false">IF($M1154=0,"",INDEX(Classes!$B$6:$B$420,$M1154))</f>
        <v/>
      </c>
      <c r="E1154" s="61" t="str">
        <f aca="false">IF($M1154=0,"",INDEX(Classes!$C$6:$C$420,$M1154))</f>
        <v/>
      </c>
      <c r="F1154" s="63"/>
      <c r="G1154" s="63"/>
      <c r="H1154" s="60"/>
      <c r="I1154" s="60"/>
      <c r="J1154" s="63"/>
      <c r="K1154" s="61" t="str">
        <f aca="false">IF($P1154=0,"",IF($F1154="Baseline","— Baseline",IF($O1154=0,"No result",IF($N1154=0,"No Start (attainment only)",IF(OR($N1154=1,$O1154=1),"U – needs rule",INDEX(MxBody,MATCH($I1154,MxCurr,0),MATCH($H1154,MxStart,0)))))))</f>
        <v/>
      </c>
      <c r="L1154" s="62" t="str">
        <f aca="false">IF(COUNTA($A1154,$F1154,$G1154,$H1154,$I1154,$J1154)=0,"",IF($M1154=0,"✖ كود الصف غير موجود",IF(ISNA(MATCH($F1154,Lists!$A$2:$A$5,0)),"✖ الفترة غير صحيحة",IF(ISNA(MATCH($G1154,Lists!$B$2:$B$7,0)),"✖ المجموعة غير صحيحة",IF(NOT(OR($H1154="",$N1154&gt;0)),"✖ Start غير صحيح",IF(NOT(OR($I1154="",$I1154="NR",$O1154&gt;0)),"✖ Current غير صحيح",IF(NOT(IF(ISNUMBER($J1154),AND($J1154&gt;=0,$J1154=INT($J1154)),FALSE())),"✖ العدد يجب أن يكون صحيحًا ≥ 0",IF(AND($F1154="Baseline",$H1154&lt;&gt;""),"⚠ Baseline: Start لا يدخل في التقدم",IF($K1154="No Start (attainment only)","ℹ تحصيل فقط (بدون Start)",IF($K1154="U – needs rule","ℹ حالة U تحتاج قاعدة معتمدة",IF($K1154="No result","ℹ بدون نتيجة (يُستبعد من التحصيل)","OK")))))))))))</f>
        <v/>
      </c>
      <c r="M1154" s="64" t="n">
        <f aca="false">IF($A1154="",0,IFERROR(MATCH($A1154,Classes!$A$6:$A$420,0),0))</f>
        <v>0</v>
      </c>
      <c r="N1154" s="64" t="n">
        <f aca="false">IF($H1154="",0,IFERROR(MATCH($H1154,GradeList,0),0))</f>
        <v>0</v>
      </c>
      <c r="O1154" s="64" t="n">
        <f aca="false">IF(OR($I1154="",$I1154="NR"),0,IFERROR(MATCH($I1154,GradeList,0),0))</f>
        <v>0</v>
      </c>
      <c r="P1154" s="64" t="n">
        <f aca="false">IF(AND($M1154&gt;0,ISNUMBER(MATCH($F1154,Lists!$A$2:$A$5,0)),ISNUMBER(MATCH($G1154,Lists!$B$2:$B$7,0)),OR($H1154="",$N1154&gt;0),OR($I1154="",$I1154="NR",$O1154&gt;0),IF(ISNUMBER($J1154),AND($J1154&gt;=0,$J1154=INT($J1154)),FALSE())),$J1154,0)</f>
        <v>0</v>
      </c>
      <c r="Q1154" s="64" t="n">
        <f aca="false">IF(AND($P1154&gt;0,$O1154&gt;0),$P1154,0)</f>
        <v>0</v>
      </c>
      <c r="R1154" s="64" t="n">
        <f aca="false">IF(AND($Q1154&gt;0,$O1154&gt;=AtRank),$Q1154,0)</f>
        <v>0</v>
      </c>
      <c r="S1154" s="64" t="n">
        <f aca="false">IF(AND($Q1154&gt;0,$O1154&gt;=AboveRank),$Q1154,0)</f>
        <v>0</v>
      </c>
      <c r="T1154" s="64" t="n">
        <f aca="false">IF($K1154="Less",$P1154,0)</f>
        <v>0</v>
      </c>
      <c r="U1154" s="64" t="n">
        <f aca="false">IF($K1154="Expected",$P1154,0)</f>
        <v>0</v>
      </c>
      <c r="V1154" s="64" t="n">
        <f aca="false">IF($K1154="Better",$P1154,0)</f>
        <v>0</v>
      </c>
      <c r="W1154" s="64" t="n">
        <f aca="false">IF($K1154="U – needs rule",$P1154,0)</f>
        <v>0</v>
      </c>
      <c r="X1154" s="64" t="n">
        <f aca="false">IF($K1154="No Start (attainment only)",$P1154,0)</f>
        <v>0</v>
      </c>
    </row>
    <row r="1155" customFormat="false" ht="15" hidden="false" customHeight="false" outlineLevel="0" collapsed="false">
      <c r="A1155" s="60"/>
      <c r="B1155" s="61" t="str">
        <f aca="false">IF($M1155=0,"",INDEX(Classes!$E$6:$E$420,$M1155))</f>
        <v/>
      </c>
      <c r="C1155" s="62" t="str">
        <f aca="false">IF($M1155=0,"",INDEX(Classes!$H$6:$H$420,$M1155))</f>
        <v/>
      </c>
      <c r="D1155" s="61" t="str">
        <f aca="false">IF($M1155=0,"",INDEX(Classes!$B$6:$B$420,$M1155))</f>
        <v/>
      </c>
      <c r="E1155" s="61" t="str">
        <f aca="false">IF($M1155=0,"",INDEX(Classes!$C$6:$C$420,$M1155))</f>
        <v/>
      </c>
      <c r="F1155" s="63"/>
      <c r="G1155" s="63"/>
      <c r="H1155" s="60"/>
      <c r="I1155" s="60"/>
      <c r="J1155" s="63"/>
      <c r="K1155" s="61" t="str">
        <f aca="false">IF($P1155=0,"",IF($F1155="Baseline","— Baseline",IF($O1155=0,"No result",IF($N1155=0,"No Start (attainment only)",IF(OR($N1155=1,$O1155=1),"U – needs rule",INDEX(MxBody,MATCH($I1155,MxCurr,0),MATCH($H1155,MxStart,0)))))))</f>
        <v/>
      </c>
      <c r="L1155" s="62" t="str">
        <f aca="false">IF(COUNTA($A1155,$F1155,$G1155,$H1155,$I1155,$J1155)=0,"",IF($M1155=0,"✖ كود الصف غير موجود",IF(ISNA(MATCH($F1155,Lists!$A$2:$A$5,0)),"✖ الفترة غير صحيحة",IF(ISNA(MATCH($G1155,Lists!$B$2:$B$7,0)),"✖ المجموعة غير صحيحة",IF(NOT(OR($H1155="",$N1155&gt;0)),"✖ Start غير صحيح",IF(NOT(OR($I1155="",$I1155="NR",$O1155&gt;0)),"✖ Current غير صحيح",IF(NOT(IF(ISNUMBER($J1155),AND($J1155&gt;=0,$J1155=INT($J1155)),FALSE())),"✖ العدد يجب أن يكون صحيحًا ≥ 0",IF(AND($F1155="Baseline",$H1155&lt;&gt;""),"⚠ Baseline: Start لا يدخل في التقدم",IF($K1155="No Start (attainment only)","ℹ تحصيل فقط (بدون Start)",IF($K1155="U – needs rule","ℹ حالة U تحتاج قاعدة معتمدة",IF($K1155="No result","ℹ بدون نتيجة (يُستبعد من التحصيل)","OK")))))))))))</f>
        <v/>
      </c>
      <c r="M1155" s="64" t="n">
        <f aca="false">IF($A1155="",0,IFERROR(MATCH($A1155,Classes!$A$6:$A$420,0),0))</f>
        <v>0</v>
      </c>
      <c r="N1155" s="64" t="n">
        <f aca="false">IF($H1155="",0,IFERROR(MATCH($H1155,GradeList,0),0))</f>
        <v>0</v>
      </c>
      <c r="O1155" s="64" t="n">
        <f aca="false">IF(OR($I1155="",$I1155="NR"),0,IFERROR(MATCH($I1155,GradeList,0),0))</f>
        <v>0</v>
      </c>
      <c r="P1155" s="64" t="n">
        <f aca="false">IF(AND($M1155&gt;0,ISNUMBER(MATCH($F1155,Lists!$A$2:$A$5,0)),ISNUMBER(MATCH($G1155,Lists!$B$2:$B$7,0)),OR($H1155="",$N1155&gt;0),OR($I1155="",$I1155="NR",$O1155&gt;0),IF(ISNUMBER($J1155),AND($J1155&gt;=0,$J1155=INT($J1155)),FALSE())),$J1155,0)</f>
        <v>0</v>
      </c>
      <c r="Q1155" s="64" t="n">
        <f aca="false">IF(AND($P1155&gt;0,$O1155&gt;0),$P1155,0)</f>
        <v>0</v>
      </c>
      <c r="R1155" s="64" t="n">
        <f aca="false">IF(AND($Q1155&gt;0,$O1155&gt;=AtRank),$Q1155,0)</f>
        <v>0</v>
      </c>
      <c r="S1155" s="64" t="n">
        <f aca="false">IF(AND($Q1155&gt;0,$O1155&gt;=AboveRank),$Q1155,0)</f>
        <v>0</v>
      </c>
      <c r="T1155" s="64" t="n">
        <f aca="false">IF($K1155="Less",$P1155,0)</f>
        <v>0</v>
      </c>
      <c r="U1155" s="64" t="n">
        <f aca="false">IF($K1155="Expected",$P1155,0)</f>
        <v>0</v>
      </c>
      <c r="V1155" s="64" t="n">
        <f aca="false">IF($K1155="Better",$P1155,0)</f>
        <v>0</v>
      </c>
      <c r="W1155" s="64" t="n">
        <f aca="false">IF($K1155="U – needs rule",$P1155,0)</f>
        <v>0</v>
      </c>
      <c r="X1155" s="64" t="n">
        <f aca="false">IF($K1155="No Start (attainment only)",$P1155,0)</f>
        <v>0</v>
      </c>
    </row>
    <row r="1156" customFormat="false" ht="15" hidden="false" customHeight="false" outlineLevel="0" collapsed="false">
      <c r="A1156" s="60"/>
      <c r="B1156" s="61" t="str">
        <f aca="false">IF($M1156=0,"",INDEX(Classes!$E$6:$E$420,$M1156))</f>
        <v/>
      </c>
      <c r="C1156" s="62" t="str">
        <f aca="false">IF($M1156=0,"",INDEX(Classes!$H$6:$H$420,$M1156))</f>
        <v/>
      </c>
      <c r="D1156" s="61" t="str">
        <f aca="false">IF($M1156=0,"",INDEX(Classes!$B$6:$B$420,$M1156))</f>
        <v/>
      </c>
      <c r="E1156" s="61" t="str">
        <f aca="false">IF($M1156=0,"",INDEX(Classes!$C$6:$C$420,$M1156))</f>
        <v/>
      </c>
      <c r="F1156" s="63"/>
      <c r="G1156" s="63"/>
      <c r="H1156" s="60"/>
      <c r="I1156" s="60"/>
      <c r="J1156" s="63"/>
      <c r="K1156" s="61" t="str">
        <f aca="false">IF($P1156=0,"",IF($F1156="Baseline","— Baseline",IF($O1156=0,"No result",IF($N1156=0,"No Start (attainment only)",IF(OR($N1156=1,$O1156=1),"U – needs rule",INDEX(MxBody,MATCH($I1156,MxCurr,0),MATCH($H1156,MxStart,0)))))))</f>
        <v/>
      </c>
      <c r="L1156" s="62" t="str">
        <f aca="false">IF(COUNTA($A1156,$F1156,$G1156,$H1156,$I1156,$J1156)=0,"",IF($M1156=0,"✖ كود الصف غير موجود",IF(ISNA(MATCH($F1156,Lists!$A$2:$A$5,0)),"✖ الفترة غير صحيحة",IF(ISNA(MATCH($G1156,Lists!$B$2:$B$7,0)),"✖ المجموعة غير صحيحة",IF(NOT(OR($H1156="",$N1156&gt;0)),"✖ Start غير صحيح",IF(NOT(OR($I1156="",$I1156="NR",$O1156&gt;0)),"✖ Current غير صحيح",IF(NOT(IF(ISNUMBER($J1156),AND($J1156&gt;=0,$J1156=INT($J1156)),FALSE())),"✖ العدد يجب أن يكون صحيحًا ≥ 0",IF(AND($F1156="Baseline",$H1156&lt;&gt;""),"⚠ Baseline: Start لا يدخل في التقدم",IF($K1156="No Start (attainment only)","ℹ تحصيل فقط (بدون Start)",IF($K1156="U – needs rule","ℹ حالة U تحتاج قاعدة معتمدة",IF($K1156="No result","ℹ بدون نتيجة (يُستبعد من التحصيل)","OK")))))))))))</f>
        <v/>
      </c>
      <c r="M1156" s="64" t="n">
        <f aca="false">IF($A1156="",0,IFERROR(MATCH($A1156,Classes!$A$6:$A$420,0),0))</f>
        <v>0</v>
      </c>
      <c r="N1156" s="64" t="n">
        <f aca="false">IF($H1156="",0,IFERROR(MATCH($H1156,GradeList,0),0))</f>
        <v>0</v>
      </c>
      <c r="O1156" s="64" t="n">
        <f aca="false">IF(OR($I1156="",$I1156="NR"),0,IFERROR(MATCH($I1156,GradeList,0),0))</f>
        <v>0</v>
      </c>
      <c r="P1156" s="64" t="n">
        <f aca="false">IF(AND($M1156&gt;0,ISNUMBER(MATCH($F1156,Lists!$A$2:$A$5,0)),ISNUMBER(MATCH($G1156,Lists!$B$2:$B$7,0)),OR($H1156="",$N1156&gt;0),OR($I1156="",$I1156="NR",$O1156&gt;0),IF(ISNUMBER($J1156),AND($J1156&gt;=0,$J1156=INT($J1156)),FALSE())),$J1156,0)</f>
        <v>0</v>
      </c>
      <c r="Q1156" s="64" t="n">
        <f aca="false">IF(AND($P1156&gt;0,$O1156&gt;0),$P1156,0)</f>
        <v>0</v>
      </c>
      <c r="R1156" s="64" t="n">
        <f aca="false">IF(AND($Q1156&gt;0,$O1156&gt;=AtRank),$Q1156,0)</f>
        <v>0</v>
      </c>
      <c r="S1156" s="64" t="n">
        <f aca="false">IF(AND($Q1156&gt;0,$O1156&gt;=AboveRank),$Q1156,0)</f>
        <v>0</v>
      </c>
      <c r="T1156" s="64" t="n">
        <f aca="false">IF($K1156="Less",$P1156,0)</f>
        <v>0</v>
      </c>
      <c r="U1156" s="64" t="n">
        <f aca="false">IF($K1156="Expected",$P1156,0)</f>
        <v>0</v>
      </c>
      <c r="V1156" s="64" t="n">
        <f aca="false">IF($K1156="Better",$P1156,0)</f>
        <v>0</v>
      </c>
      <c r="W1156" s="64" t="n">
        <f aca="false">IF($K1156="U – needs rule",$P1156,0)</f>
        <v>0</v>
      </c>
      <c r="X1156" s="64" t="n">
        <f aca="false">IF($K1156="No Start (attainment only)",$P1156,0)</f>
        <v>0</v>
      </c>
    </row>
    <row r="1157" customFormat="false" ht="15" hidden="false" customHeight="false" outlineLevel="0" collapsed="false">
      <c r="A1157" s="60"/>
      <c r="B1157" s="61" t="str">
        <f aca="false">IF($M1157=0,"",INDEX(Classes!$E$6:$E$420,$M1157))</f>
        <v/>
      </c>
      <c r="C1157" s="62" t="str">
        <f aca="false">IF($M1157=0,"",INDEX(Classes!$H$6:$H$420,$M1157))</f>
        <v/>
      </c>
      <c r="D1157" s="61" t="str">
        <f aca="false">IF($M1157=0,"",INDEX(Classes!$B$6:$B$420,$M1157))</f>
        <v/>
      </c>
      <c r="E1157" s="61" t="str">
        <f aca="false">IF($M1157=0,"",INDEX(Classes!$C$6:$C$420,$M1157))</f>
        <v/>
      </c>
      <c r="F1157" s="63"/>
      <c r="G1157" s="63"/>
      <c r="H1157" s="60"/>
      <c r="I1157" s="60"/>
      <c r="J1157" s="63"/>
      <c r="K1157" s="61" t="str">
        <f aca="false">IF($P1157=0,"",IF($F1157="Baseline","— Baseline",IF($O1157=0,"No result",IF($N1157=0,"No Start (attainment only)",IF(OR($N1157=1,$O1157=1),"U – needs rule",INDEX(MxBody,MATCH($I1157,MxCurr,0),MATCH($H1157,MxStart,0)))))))</f>
        <v/>
      </c>
      <c r="L1157" s="62" t="str">
        <f aca="false">IF(COUNTA($A1157,$F1157,$G1157,$H1157,$I1157,$J1157)=0,"",IF($M1157=0,"✖ كود الصف غير موجود",IF(ISNA(MATCH($F1157,Lists!$A$2:$A$5,0)),"✖ الفترة غير صحيحة",IF(ISNA(MATCH($G1157,Lists!$B$2:$B$7,0)),"✖ المجموعة غير صحيحة",IF(NOT(OR($H1157="",$N1157&gt;0)),"✖ Start غير صحيح",IF(NOT(OR($I1157="",$I1157="NR",$O1157&gt;0)),"✖ Current غير صحيح",IF(NOT(IF(ISNUMBER($J1157),AND($J1157&gt;=0,$J1157=INT($J1157)),FALSE())),"✖ العدد يجب أن يكون صحيحًا ≥ 0",IF(AND($F1157="Baseline",$H1157&lt;&gt;""),"⚠ Baseline: Start لا يدخل في التقدم",IF($K1157="No Start (attainment only)","ℹ تحصيل فقط (بدون Start)",IF($K1157="U – needs rule","ℹ حالة U تحتاج قاعدة معتمدة",IF($K1157="No result","ℹ بدون نتيجة (يُستبعد من التحصيل)","OK")))))))))))</f>
        <v/>
      </c>
      <c r="M1157" s="64" t="n">
        <f aca="false">IF($A1157="",0,IFERROR(MATCH($A1157,Classes!$A$6:$A$420,0),0))</f>
        <v>0</v>
      </c>
      <c r="N1157" s="64" t="n">
        <f aca="false">IF($H1157="",0,IFERROR(MATCH($H1157,GradeList,0),0))</f>
        <v>0</v>
      </c>
      <c r="O1157" s="64" t="n">
        <f aca="false">IF(OR($I1157="",$I1157="NR"),0,IFERROR(MATCH($I1157,GradeList,0),0))</f>
        <v>0</v>
      </c>
      <c r="P1157" s="64" t="n">
        <f aca="false">IF(AND($M1157&gt;0,ISNUMBER(MATCH($F1157,Lists!$A$2:$A$5,0)),ISNUMBER(MATCH($G1157,Lists!$B$2:$B$7,0)),OR($H1157="",$N1157&gt;0),OR($I1157="",$I1157="NR",$O1157&gt;0),IF(ISNUMBER($J1157),AND($J1157&gt;=0,$J1157=INT($J1157)),FALSE())),$J1157,0)</f>
        <v>0</v>
      </c>
      <c r="Q1157" s="64" t="n">
        <f aca="false">IF(AND($P1157&gt;0,$O1157&gt;0),$P1157,0)</f>
        <v>0</v>
      </c>
      <c r="R1157" s="64" t="n">
        <f aca="false">IF(AND($Q1157&gt;0,$O1157&gt;=AtRank),$Q1157,0)</f>
        <v>0</v>
      </c>
      <c r="S1157" s="64" t="n">
        <f aca="false">IF(AND($Q1157&gt;0,$O1157&gt;=AboveRank),$Q1157,0)</f>
        <v>0</v>
      </c>
      <c r="T1157" s="64" t="n">
        <f aca="false">IF($K1157="Less",$P1157,0)</f>
        <v>0</v>
      </c>
      <c r="U1157" s="64" t="n">
        <f aca="false">IF($K1157="Expected",$P1157,0)</f>
        <v>0</v>
      </c>
      <c r="V1157" s="64" t="n">
        <f aca="false">IF($K1157="Better",$P1157,0)</f>
        <v>0</v>
      </c>
      <c r="W1157" s="64" t="n">
        <f aca="false">IF($K1157="U – needs rule",$P1157,0)</f>
        <v>0</v>
      </c>
      <c r="X1157" s="64" t="n">
        <f aca="false">IF($K1157="No Start (attainment only)",$P1157,0)</f>
        <v>0</v>
      </c>
    </row>
    <row r="1158" customFormat="false" ht="15" hidden="false" customHeight="false" outlineLevel="0" collapsed="false">
      <c r="A1158" s="60"/>
      <c r="B1158" s="61" t="str">
        <f aca="false">IF($M1158=0,"",INDEX(Classes!$E$6:$E$420,$M1158))</f>
        <v/>
      </c>
      <c r="C1158" s="62" t="str">
        <f aca="false">IF($M1158=0,"",INDEX(Classes!$H$6:$H$420,$M1158))</f>
        <v/>
      </c>
      <c r="D1158" s="61" t="str">
        <f aca="false">IF($M1158=0,"",INDEX(Classes!$B$6:$B$420,$M1158))</f>
        <v/>
      </c>
      <c r="E1158" s="61" t="str">
        <f aca="false">IF($M1158=0,"",INDEX(Classes!$C$6:$C$420,$M1158))</f>
        <v/>
      </c>
      <c r="F1158" s="63"/>
      <c r="G1158" s="63"/>
      <c r="H1158" s="60"/>
      <c r="I1158" s="60"/>
      <c r="J1158" s="63"/>
      <c r="K1158" s="61" t="str">
        <f aca="false">IF($P1158=0,"",IF($F1158="Baseline","— Baseline",IF($O1158=0,"No result",IF($N1158=0,"No Start (attainment only)",IF(OR($N1158=1,$O1158=1),"U – needs rule",INDEX(MxBody,MATCH($I1158,MxCurr,0),MATCH($H1158,MxStart,0)))))))</f>
        <v/>
      </c>
      <c r="L1158" s="62" t="str">
        <f aca="false">IF(COUNTA($A1158,$F1158,$G1158,$H1158,$I1158,$J1158)=0,"",IF($M1158=0,"✖ كود الصف غير موجود",IF(ISNA(MATCH($F1158,Lists!$A$2:$A$5,0)),"✖ الفترة غير صحيحة",IF(ISNA(MATCH($G1158,Lists!$B$2:$B$7,0)),"✖ المجموعة غير صحيحة",IF(NOT(OR($H1158="",$N1158&gt;0)),"✖ Start غير صحيح",IF(NOT(OR($I1158="",$I1158="NR",$O1158&gt;0)),"✖ Current غير صحيح",IF(NOT(IF(ISNUMBER($J1158),AND($J1158&gt;=0,$J1158=INT($J1158)),FALSE())),"✖ العدد يجب أن يكون صحيحًا ≥ 0",IF(AND($F1158="Baseline",$H1158&lt;&gt;""),"⚠ Baseline: Start لا يدخل في التقدم",IF($K1158="No Start (attainment only)","ℹ تحصيل فقط (بدون Start)",IF($K1158="U – needs rule","ℹ حالة U تحتاج قاعدة معتمدة",IF($K1158="No result","ℹ بدون نتيجة (يُستبعد من التحصيل)","OK")))))))))))</f>
        <v/>
      </c>
      <c r="M1158" s="64" t="n">
        <f aca="false">IF($A1158="",0,IFERROR(MATCH($A1158,Classes!$A$6:$A$420,0),0))</f>
        <v>0</v>
      </c>
      <c r="N1158" s="64" t="n">
        <f aca="false">IF($H1158="",0,IFERROR(MATCH($H1158,GradeList,0),0))</f>
        <v>0</v>
      </c>
      <c r="O1158" s="64" t="n">
        <f aca="false">IF(OR($I1158="",$I1158="NR"),0,IFERROR(MATCH($I1158,GradeList,0),0))</f>
        <v>0</v>
      </c>
      <c r="P1158" s="64" t="n">
        <f aca="false">IF(AND($M1158&gt;0,ISNUMBER(MATCH($F1158,Lists!$A$2:$A$5,0)),ISNUMBER(MATCH($G1158,Lists!$B$2:$B$7,0)),OR($H1158="",$N1158&gt;0),OR($I1158="",$I1158="NR",$O1158&gt;0),IF(ISNUMBER($J1158),AND($J1158&gt;=0,$J1158=INT($J1158)),FALSE())),$J1158,0)</f>
        <v>0</v>
      </c>
      <c r="Q1158" s="64" t="n">
        <f aca="false">IF(AND($P1158&gt;0,$O1158&gt;0),$P1158,0)</f>
        <v>0</v>
      </c>
      <c r="R1158" s="64" t="n">
        <f aca="false">IF(AND($Q1158&gt;0,$O1158&gt;=AtRank),$Q1158,0)</f>
        <v>0</v>
      </c>
      <c r="S1158" s="64" t="n">
        <f aca="false">IF(AND($Q1158&gt;0,$O1158&gt;=AboveRank),$Q1158,0)</f>
        <v>0</v>
      </c>
      <c r="T1158" s="64" t="n">
        <f aca="false">IF($K1158="Less",$P1158,0)</f>
        <v>0</v>
      </c>
      <c r="U1158" s="64" t="n">
        <f aca="false">IF($K1158="Expected",$P1158,0)</f>
        <v>0</v>
      </c>
      <c r="V1158" s="64" t="n">
        <f aca="false">IF($K1158="Better",$P1158,0)</f>
        <v>0</v>
      </c>
      <c r="W1158" s="64" t="n">
        <f aca="false">IF($K1158="U – needs rule",$P1158,0)</f>
        <v>0</v>
      </c>
      <c r="X1158" s="64" t="n">
        <f aca="false">IF($K1158="No Start (attainment only)",$P1158,0)</f>
        <v>0</v>
      </c>
    </row>
    <row r="1159" customFormat="false" ht="15" hidden="false" customHeight="false" outlineLevel="0" collapsed="false">
      <c r="A1159" s="60"/>
      <c r="B1159" s="61" t="str">
        <f aca="false">IF($M1159=0,"",INDEX(Classes!$E$6:$E$420,$M1159))</f>
        <v/>
      </c>
      <c r="C1159" s="62" t="str">
        <f aca="false">IF($M1159=0,"",INDEX(Classes!$H$6:$H$420,$M1159))</f>
        <v/>
      </c>
      <c r="D1159" s="61" t="str">
        <f aca="false">IF($M1159=0,"",INDEX(Classes!$B$6:$B$420,$M1159))</f>
        <v/>
      </c>
      <c r="E1159" s="61" t="str">
        <f aca="false">IF($M1159=0,"",INDEX(Classes!$C$6:$C$420,$M1159))</f>
        <v/>
      </c>
      <c r="F1159" s="63"/>
      <c r="G1159" s="63"/>
      <c r="H1159" s="60"/>
      <c r="I1159" s="60"/>
      <c r="J1159" s="63"/>
      <c r="K1159" s="61" t="str">
        <f aca="false">IF($P1159=0,"",IF($F1159="Baseline","— Baseline",IF($O1159=0,"No result",IF($N1159=0,"No Start (attainment only)",IF(OR($N1159=1,$O1159=1),"U – needs rule",INDEX(MxBody,MATCH($I1159,MxCurr,0),MATCH($H1159,MxStart,0)))))))</f>
        <v/>
      </c>
      <c r="L1159" s="62" t="str">
        <f aca="false">IF(COUNTA($A1159,$F1159,$G1159,$H1159,$I1159,$J1159)=0,"",IF($M1159=0,"✖ كود الصف غير موجود",IF(ISNA(MATCH($F1159,Lists!$A$2:$A$5,0)),"✖ الفترة غير صحيحة",IF(ISNA(MATCH($G1159,Lists!$B$2:$B$7,0)),"✖ المجموعة غير صحيحة",IF(NOT(OR($H1159="",$N1159&gt;0)),"✖ Start غير صحيح",IF(NOT(OR($I1159="",$I1159="NR",$O1159&gt;0)),"✖ Current غير صحيح",IF(NOT(IF(ISNUMBER($J1159),AND($J1159&gt;=0,$J1159=INT($J1159)),FALSE())),"✖ العدد يجب أن يكون صحيحًا ≥ 0",IF(AND($F1159="Baseline",$H1159&lt;&gt;""),"⚠ Baseline: Start لا يدخل في التقدم",IF($K1159="No Start (attainment only)","ℹ تحصيل فقط (بدون Start)",IF($K1159="U – needs rule","ℹ حالة U تحتاج قاعدة معتمدة",IF($K1159="No result","ℹ بدون نتيجة (يُستبعد من التحصيل)","OK")))))))))))</f>
        <v/>
      </c>
      <c r="M1159" s="64" t="n">
        <f aca="false">IF($A1159="",0,IFERROR(MATCH($A1159,Classes!$A$6:$A$420,0),0))</f>
        <v>0</v>
      </c>
      <c r="N1159" s="64" t="n">
        <f aca="false">IF($H1159="",0,IFERROR(MATCH($H1159,GradeList,0),0))</f>
        <v>0</v>
      </c>
      <c r="O1159" s="64" t="n">
        <f aca="false">IF(OR($I1159="",$I1159="NR"),0,IFERROR(MATCH($I1159,GradeList,0),0))</f>
        <v>0</v>
      </c>
      <c r="P1159" s="64" t="n">
        <f aca="false">IF(AND($M1159&gt;0,ISNUMBER(MATCH($F1159,Lists!$A$2:$A$5,0)),ISNUMBER(MATCH($G1159,Lists!$B$2:$B$7,0)),OR($H1159="",$N1159&gt;0),OR($I1159="",$I1159="NR",$O1159&gt;0),IF(ISNUMBER($J1159),AND($J1159&gt;=0,$J1159=INT($J1159)),FALSE())),$J1159,0)</f>
        <v>0</v>
      </c>
      <c r="Q1159" s="64" t="n">
        <f aca="false">IF(AND($P1159&gt;0,$O1159&gt;0),$P1159,0)</f>
        <v>0</v>
      </c>
      <c r="R1159" s="64" t="n">
        <f aca="false">IF(AND($Q1159&gt;0,$O1159&gt;=AtRank),$Q1159,0)</f>
        <v>0</v>
      </c>
      <c r="S1159" s="64" t="n">
        <f aca="false">IF(AND($Q1159&gt;0,$O1159&gt;=AboveRank),$Q1159,0)</f>
        <v>0</v>
      </c>
      <c r="T1159" s="64" t="n">
        <f aca="false">IF($K1159="Less",$P1159,0)</f>
        <v>0</v>
      </c>
      <c r="U1159" s="64" t="n">
        <f aca="false">IF($K1159="Expected",$P1159,0)</f>
        <v>0</v>
      </c>
      <c r="V1159" s="64" t="n">
        <f aca="false">IF($K1159="Better",$P1159,0)</f>
        <v>0</v>
      </c>
      <c r="W1159" s="64" t="n">
        <f aca="false">IF($K1159="U – needs rule",$P1159,0)</f>
        <v>0</v>
      </c>
      <c r="X1159" s="64" t="n">
        <f aca="false">IF($K1159="No Start (attainment only)",$P1159,0)</f>
        <v>0</v>
      </c>
    </row>
    <row r="1160" customFormat="false" ht="15" hidden="false" customHeight="false" outlineLevel="0" collapsed="false">
      <c r="A1160" s="60"/>
      <c r="B1160" s="61" t="str">
        <f aca="false">IF($M1160=0,"",INDEX(Classes!$E$6:$E$420,$M1160))</f>
        <v/>
      </c>
      <c r="C1160" s="62" t="str">
        <f aca="false">IF($M1160=0,"",INDEX(Classes!$H$6:$H$420,$M1160))</f>
        <v/>
      </c>
      <c r="D1160" s="61" t="str">
        <f aca="false">IF($M1160=0,"",INDEX(Classes!$B$6:$B$420,$M1160))</f>
        <v/>
      </c>
      <c r="E1160" s="61" t="str">
        <f aca="false">IF($M1160=0,"",INDEX(Classes!$C$6:$C$420,$M1160))</f>
        <v/>
      </c>
      <c r="F1160" s="63"/>
      <c r="G1160" s="63"/>
      <c r="H1160" s="60"/>
      <c r="I1160" s="60"/>
      <c r="J1160" s="63"/>
      <c r="K1160" s="61" t="str">
        <f aca="false">IF($P1160=0,"",IF($F1160="Baseline","— Baseline",IF($O1160=0,"No result",IF($N1160=0,"No Start (attainment only)",IF(OR($N1160=1,$O1160=1),"U – needs rule",INDEX(MxBody,MATCH($I1160,MxCurr,0),MATCH($H1160,MxStart,0)))))))</f>
        <v/>
      </c>
      <c r="L1160" s="62" t="str">
        <f aca="false">IF(COUNTA($A1160,$F1160,$G1160,$H1160,$I1160,$J1160)=0,"",IF($M1160=0,"✖ كود الصف غير موجود",IF(ISNA(MATCH($F1160,Lists!$A$2:$A$5,0)),"✖ الفترة غير صحيحة",IF(ISNA(MATCH($G1160,Lists!$B$2:$B$7,0)),"✖ المجموعة غير صحيحة",IF(NOT(OR($H1160="",$N1160&gt;0)),"✖ Start غير صحيح",IF(NOT(OR($I1160="",$I1160="NR",$O1160&gt;0)),"✖ Current غير صحيح",IF(NOT(IF(ISNUMBER($J1160),AND($J1160&gt;=0,$J1160=INT($J1160)),FALSE())),"✖ العدد يجب أن يكون صحيحًا ≥ 0",IF(AND($F1160="Baseline",$H1160&lt;&gt;""),"⚠ Baseline: Start لا يدخل في التقدم",IF($K1160="No Start (attainment only)","ℹ تحصيل فقط (بدون Start)",IF($K1160="U – needs rule","ℹ حالة U تحتاج قاعدة معتمدة",IF($K1160="No result","ℹ بدون نتيجة (يُستبعد من التحصيل)","OK")))))))))))</f>
        <v/>
      </c>
      <c r="M1160" s="64" t="n">
        <f aca="false">IF($A1160="",0,IFERROR(MATCH($A1160,Classes!$A$6:$A$420,0),0))</f>
        <v>0</v>
      </c>
      <c r="N1160" s="64" t="n">
        <f aca="false">IF($H1160="",0,IFERROR(MATCH($H1160,GradeList,0),0))</f>
        <v>0</v>
      </c>
      <c r="O1160" s="64" t="n">
        <f aca="false">IF(OR($I1160="",$I1160="NR"),0,IFERROR(MATCH($I1160,GradeList,0),0))</f>
        <v>0</v>
      </c>
      <c r="P1160" s="64" t="n">
        <f aca="false">IF(AND($M1160&gt;0,ISNUMBER(MATCH($F1160,Lists!$A$2:$A$5,0)),ISNUMBER(MATCH($G1160,Lists!$B$2:$B$7,0)),OR($H1160="",$N1160&gt;0),OR($I1160="",$I1160="NR",$O1160&gt;0),IF(ISNUMBER($J1160),AND($J1160&gt;=0,$J1160=INT($J1160)),FALSE())),$J1160,0)</f>
        <v>0</v>
      </c>
      <c r="Q1160" s="64" t="n">
        <f aca="false">IF(AND($P1160&gt;0,$O1160&gt;0),$P1160,0)</f>
        <v>0</v>
      </c>
      <c r="R1160" s="64" t="n">
        <f aca="false">IF(AND($Q1160&gt;0,$O1160&gt;=AtRank),$Q1160,0)</f>
        <v>0</v>
      </c>
      <c r="S1160" s="64" t="n">
        <f aca="false">IF(AND($Q1160&gt;0,$O1160&gt;=AboveRank),$Q1160,0)</f>
        <v>0</v>
      </c>
      <c r="T1160" s="64" t="n">
        <f aca="false">IF($K1160="Less",$P1160,0)</f>
        <v>0</v>
      </c>
      <c r="U1160" s="64" t="n">
        <f aca="false">IF($K1160="Expected",$P1160,0)</f>
        <v>0</v>
      </c>
      <c r="V1160" s="64" t="n">
        <f aca="false">IF($K1160="Better",$P1160,0)</f>
        <v>0</v>
      </c>
      <c r="W1160" s="64" t="n">
        <f aca="false">IF($K1160="U – needs rule",$P1160,0)</f>
        <v>0</v>
      </c>
      <c r="X1160" s="64" t="n">
        <f aca="false">IF($K1160="No Start (attainment only)",$P1160,0)</f>
        <v>0</v>
      </c>
    </row>
    <row r="1161" customFormat="false" ht="15" hidden="false" customHeight="false" outlineLevel="0" collapsed="false">
      <c r="A1161" s="60"/>
      <c r="B1161" s="61" t="str">
        <f aca="false">IF($M1161=0,"",INDEX(Classes!$E$6:$E$420,$M1161))</f>
        <v/>
      </c>
      <c r="C1161" s="62" t="str">
        <f aca="false">IF($M1161=0,"",INDEX(Classes!$H$6:$H$420,$M1161))</f>
        <v/>
      </c>
      <c r="D1161" s="61" t="str">
        <f aca="false">IF($M1161=0,"",INDEX(Classes!$B$6:$B$420,$M1161))</f>
        <v/>
      </c>
      <c r="E1161" s="61" t="str">
        <f aca="false">IF($M1161=0,"",INDEX(Classes!$C$6:$C$420,$M1161))</f>
        <v/>
      </c>
      <c r="F1161" s="63"/>
      <c r="G1161" s="63"/>
      <c r="H1161" s="60"/>
      <c r="I1161" s="60"/>
      <c r="J1161" s="63"/>
      <c r="K1161" s="61" t="str">
        <f aca="false">IF($P1161=0,"",IF($F1161="Baseline","— Baseline",IF($O1161=0,"No result",IF($N1161=0,"No Start (attainment only)",IF(OR($N1161=1,$O1161=1),"U – needs rule",INDEX(MxBody,MATCH($I1161,MxCurr,0),MATCH($H1161,MxStart,0)))))))</f>
        <v/>
      </c>
      <c r="L1161" s="62" t="str">
        <f aca="false">IF(COUNTA($A1161,$F1161,$G1161,$H1161,$I1161,$J1161)=0,"",IF($M1161=0,"✖ كود الصف غير موجود",IF(ISNA(MATCH($F1161,Lists!$A$2:$A$5,0)),"✖ الفترة غير صحيحة",IF(ISNA(MATCH($G1161,Lists!$B$2:$B$7,0)),"✖ المجموعة غير صحيحة",IF(NOT(OR($H1161="",$N1161&gt;0)),"✖ Start غير صحيح",IF(NOT(OR($I1161="",$I1161="NR",$O1161&gt;0)),"✖ Current غير صحيح",IF(NOT(IF(ISNUMBER($J1161),AND($J1161&gt;=0,$J1161=INT($J1161)),FALSE())),"✖ العدد يجب أن يكون صحيحًا ≥ 0",IF(AND($F1161="Baseline",$H1161&lt;&gt;""),"⚠ Baseline: Start لا يدخل في التقدم",IF($K1161="No Start (attainment only)","ℹ تحصيل فقط (بدون Start)",IF($K1161="U – needs rule","ℹ حالة U تحتاج قاعدة معتمدة",IF($K1161="No result","ℹ بدون نتيجة (يُستبعد من التحصيل)","OK")))))))))))</f>
        <v/>
      </c>
      <c r="M1161" s="64" t="n">
        <f aca="false">IF($A1161="",0,IFERROR(MATCH($A1161,Classes!$A$6:$A$420,0),0))</f>
        <v>0</v>
      </c>
      <c r="N1161" s="64" t="n">
        <f aca="false">IF($H1161="",0,IFERROR(MATCH($H1161,GradeList,0),0))</f>
        <v>0</v>
      </c>
      <c r="O1161" s="64" t="n">
        <f aca="false">IF(OR($I1161="",$I1161="NR"),0,IFERROR(MATCH($I1161,GradeList,0),0))</f>
        <v>0</v>
      </c>
      <c r="P1161" s="64" t="n">
        <f aca="false">IF(AND($M1161&gt;0,ISNUMBER(MATCH($F1161,Lists!$A$2:$A$5,0)),ISNUMBER(MATCH($G1161,Lists!$B$2:$B$7,0)),OR($H1161="",$N1161&gt;0),OR($I1161="",$I1161="NR",$O1161&gt;0),IF(ISNUMBER($J1161),AND($J1161&gt;=0,$J1161=INT($J1161)),FALSE())),$J1161,0)</f>
        <v>0</v>
      </c>
      <c r="Q1161" s="64" t="n">
        <f aca="false">IF(AND($P1161&gt;0,$O1161&gt;0),$P1161,0)</f>
        <v>0</v>
      </c>
      <c r="R1161" s="64" t="n">
        <f aca="false">IF(AND($Q1161&gt;0,$O1161&gt;=AtRank),$Q1161,0)</f>
        <v>0</v>
      </c>
      <c r="S1161" s="64" t="n">
        <f aca="false">IF(AND($Q1161&gt;0,$O1161&gt;=AboveRank),$Q1161,0)</f>
        <v>0</v>
      </c>
      <c r="T1161" s="64" t="n">
        <f aca="false">IF($K1161="Less",$P1161,0)</f>
        <v>0</v>
      </c>
      <c r="U1161" s="64" t="n">
        <f aca="false">IF($K1161="Expected",$P1161,0)</f>
        <v>0</v>
      </c>
      <c r="V1161" s="64" t="n">
        <f aca="false">IF($K1161="Better",$P1161,0)</f>
        <v>0</v>
      </c>
      <c r="W1161" s="64" t="n">
        <f aca="false">IF($K1161="U – needs rule",$P1161,0)</f>
        <v>0</v>
      </c>
      <c r="X1161" s="64" t="n">
        <f aca="false">IF($K1161="No Start (attainment only)",$P1161,0)</f>
        <v>0</v>
      </c>
    </row>
    <row r="1162" customFormat="false" ht="15" hidden="false" customHeight="false" outlineLevel="0" collapsed="false">
      <c r="A1162" s="60"/>
      <c r="B1162" s="61" t="str">
        <f aca="false">IF($M1162=0,"",INDEX(Classes!$E$6:$E$420,$M1162))</f>
        <v/>
      </c>
      <c r="C1162" s="62" t="str">
        <f aca="false">IF($M1162=0,"",INDEX(Classes!$H$6:$H$420,$M1162))</f>
        <v/>
      </c>
      <c r="D1162" s="61" t="str">
        <f aca="false">IF($M1162=0,"",INDEX(Classes!$B$6:$B$420,$M1162))</f>
        <v/>
      </c>
      <c r="E1162" s="61" t="str">
        <f aca="false">IF($M1162=0,"",INDEX(Classes!$C$6:$C$420,$M1162))</f>
        <v/>
      </c>
      <c r="F1162" s="63"/>
      <c r="G1162" s="63"/>
      <c r="H1162" s="60"/>
      <c r="I1162" s="60"/>
      <c r="J1162" s="63"/>
      <c r="K1162" s="61" t="str">
        <f aca="false">IF($P1162=0,"",IF($F1162="Baseline","— Baseline",IF($O1162=0,"No result",IF($N1162=0,"No Start (attainment only)",IF(OR($N1162=1,$O1162=1),"U – needs rule",INDEX(MxBody,MATCH($I1162,MxCurr,0),MATCH($H1162,MxStart,0)))))))</f>
        <v/>
      </c>
      <c r="L1162" s="62" t="str">
        <f aca="false">IF(COUNTA($A1162,$F1162,$G1162,$H1162,$I1162,$J1162)=0,"",IF($M1162=0,"✖ كود الصف غير موجود",IF(ISNA(MATCH($F1162,Lists!$A$2:$A$5,0)),"✖ الفترة غير صحيحة",IF(ISNA(MATCH($G1162,Lists!$B$2:$B$7,0)),"✖ المجموعة غير صحيحة",IF(NOT(OR($H1162="",$N1162&gt;0)),"✖ Start غير صحيح",IF(NOT(OR($I1162="",$I1162="NR",$O1162&gt;0)),"✖ Current غير صحيح",IF(NOT(IF(ISNUMBER($J1162),AND($J1162&gt;=0,$J1162=INT($J1162)),FALSE())),"✖ العدد يجب أن يكون صحيحًا ≥ 0",IF(AND($F1162="Baseline",$H1162&lt;&gt;""),"⚠ Baseline: Start لا يدخل في التقدم",IF($K1162="No Start (attainment only)","ℹ تحصيل فقط (بدون Start)",IF($K1162="U – needs rule","ℹ حالة U تحتاج قاعدة معتمدة",IF($K1162="No result","ℹ بدون نتيجة (يُستبعد من التحصيل)","OK")))))))))))</f>
        <v/>
      </c>
      <c r="M1162" s="64" t="n">
        <f aca="false">IF($A1162="",0,IFERROR(MATCH($A1162,Classes!$A$6:$A$420,0),0))</f>
        <v>0</v>
      </c>
      <c r="N1162" s="64" t="n">
        <f aca="false">IF($H1162="",0,IFERROR(MATCH($H1162,GradeList,0),0))</f>
        <v>0</v>
      </c>
      <c r="O1162" s="64" t="n">
        <f aca="false">IF(OR($I1162="",$I1162="NR"),0,IFERROR(MATCH($I1162,GradeList,0),0))</f>
        <v>0</v>
      </c>
      <c r="P1162" s="64" t="n">
        <f aca="false">IF(AND($M1162&gt;0,ISNUMBER(MATCH($F1162,Lists!$A$2:$A$5,0)),ISNUMBER(MATCH($G1162,Lists!$B$2:$B$7,0)),OR($H1162="",$N1162&gt;0),OR($I1162="",$I1162="NR",$O1162&gt;0),IF(ISNUMBER($J1162),AND($J1162&gt;=0,$J1162=INT($J1162)),FALSE())),$J1162,0)</f>
        <v>0</v>
      </c>
      <c r="Q1162" s="64" t="n">
        <f aca="false">IF(AND($P1162&gt;0,$O1162&gt;0),$P1162,0)</f>
        <v>0</v>
      </c>
      <c r="R1162" s="64" t="n">
        <f aca="false">IF(AND($Q1162&gt;0,$O1162&gt;=AtRank),$Q1162,0)</f>
        <v>0</v>
      </c>
      <c r="S1162" s="64" t="n">
        <f aca="false">IF(AND($Q1162&gt;0,$O1162&gt;=AboveRank),$Q1162,0)</f>
        <v>0</v>
      </c>
      <c r="T1162" s="64" t="n">
        <f aca="false">IF($K1162="Less",$P1162,0)</f>
        <v>0</v>
      </c>
      <c r="U1162" s="64" t="n">
        <f aca="false">IF($K1162="Expected",$P1162,0)</f>
        <v>0</v>
      </c>
      <c r="V1162" s="64" t="n">
        <f aca="false">IF($K1162="Better",$P1162,0)</f>
        <v>0</v>
      </c>
      <c r="W1162" s="64" t="n">
        <f aca="false">IF($K1162="U – needs rule",$P1162,0)</f>
        <v>0</v>
      </c>
      <c r="X1162" s="64" t="n">
        <f aca="false">IF($K1162="No Start (attainment only)",$P1162,0)</f>
        <v>0</v>
      </c>
    </row>
    <row r="1163" customFormat="false" ht="15" hidden="false" customHeight="false" outlineLevel="0" collapsed="false">
      <c r="A1163" s="60"/>
      <c r="B1163" s="61" t="str">
        <f aca="false">IF($M1163=0,"",INDEX(Classes!$E$6:$E$420,$M1163))</f>
        <v/>
      </c>
      <c r="C1163" s="62" t="str">
        <f aca="false">IF($M1163=0,"",INDEX(Classes!$H$6:$H$420,$M1163))</f>
        <v/>
      </c>
      <c r="D1163" s="61" t="str">
        <f aca="false">IF($M1163=0,"",INDEX(Classes!$B$6:$B$420,$M1163))</f>
        <v/>
      </c>
      <c r="E1163" s="61" t="str">
        <f aca="false">IF($M1163=0,"",INDEX(Classes!$C$6:$C$420,$M1163))</f>
        <v/>
      </c>
      <c r="F1163" s="63"/>
      <c r="G1163" s="63"/>
      <c r="H1163" s="60"/>
      <c r="I1163" s="60"/>
      <c r="J1163" s="63"/>
      <c r="K1163" s="61" t="str">
        <f aca="false">IF($P1163=0,"",IF($F1163="Baseline","— Baseline",IF($O1163=0,"No result",IF($N1163=0,"No Start (attainment only)",IF(OR($N1163=1,$O1163=1),"U – needs rule",INDEX(MxBody,MATCH($I1163,MxCurr,0),MATCH($H1163,MxStart,0)))))))</f>
        <v/>
      </c>
      <c r="L1163" s="62" t="str">
        <f aca="false">IF(COUNTA($A1163,$F1163,$G1163,$H1163,$I1163,$J1163)=0,"",IF($M1163=0,"✖ كود الصف غير موجود",IF(ISNA(MATCH($F1163,Lists!$A$2:$A$5,0)),"✖ الفترة غير صحيحة",IF(ISNA(MATCH($G1163,Lists!$B$2:$B$7,0)),"✖ المجموعة غير صحيحة",IF(NOT(OR($H1163="",$N1163&gt;0)),"✖ Start غير صحيح",IF(NOT(OR($I1163="",$I1163="NR",$O1163&gt;0)),"✖ Current غير صحيح",IF(NOT(IF(ISNUMBER($J1163),AND($J1163&gt;=0,$J1163=INT($J1163)),FALSE())),"✖ العدد يجب أن يكون صحيحًا ≥ 0",IF(AND($F1163="Baseline",$H1163&lt;&gt;""),"⚠ Baseline: Start لا يدخل في التقدم",IF($K1163="No Start (attainment only)","ℹ تحصيل فقط (بدون Start)",IF($K1163="U – needs rule","ℹ حالة U تحتاج قاعدة معتمدة",IF($K1163="No result","ℹ بدون نتيجة (يُستبعد من التحصيل)","OK")))))))))))</f>
        <v/>
      </c>
      <c r="M1163" s="64" t="n">
        <f aca="false">IF($A1163="",0,IFERROR(MATCH($A1163,Classes!$A$6:$A$420,0),0))</f>
        <v>0</v>
      </c>
      <c r="N1163" s="64" t="n">
        <f aca="false">IF($H1163="",0,IFERROR(MATCH($H1163,GradeList,0),0))</f>
        <v>0</v>
      </c>
      <c r="O1163" s="64" t="n">
        <f aca="false">IF(OR($I1163="",$I1163="NR"),0,IFERROR(MATCH($I1163,GradeList,0),0))</f>
        <v>0</v>
      </c>
      <c r="P1163" s="64" t="n">
        <f aca="false">IF(AND($M1163&gt;0,ISNUMBER(MATCH($F1163,Lists!$A$2:$A$5,0)),ISNUMBER(MATCH($G1163,Lists!$B$2:$B$7,0)),OR($H1163="",$N1163&gt;0),OR($I1163="",$I1163="NR",$O1163&gt;0),IF(ISNUMBER($J1163),AND($J1163&gt;=0,$J1163=INT($J1163)),FALSE())),$J1163,0)</f>
        <v>0</v>
      </c>
      <c r="Q1163" s="64" t="n">
        <f aca="false">IF(AND($P1163&gt;0,$O1163&gt;0),$P1163,0)</f>
        <v>0</v>
      </c>
      <c r="R1163" s="64" t="n">
        <f aca="false">IF(AND($Q1163&gt;0,$O1163&gt;=AtRank),$Q1163,0)</f>
        <v>0</v>
      </c>
      <c r="S1163" s="64" t="n">
        <f aca="false">IF(AND($Q1163&gt;0,$O1163&gt;=AboveRank),$Q1163,0)</f>
        <v>0</v>
      </c>
      <c r="T1163" s="64" t="n">
        <f aca="false">IF($K1163="Less",$P1163,0)</f>
        <v>0</v>
      </c>
      <c r="U1163" s="64" t="n">
        <f aca="false">IF($K1163="Expected",$P1163,0)</f>
        <v>0</v>
      </c>
      <c r="V1163" s="64" t="n">
        <f aca="false">IF($K1163="Better",$P1163,0)</f>
        <v>0</v>
      </c>
      <c r="W1163" s="64" t="n">
        <f aca="false">IF($K1163="U – needs rule",$P1163,0)</f>
        <v>0</v>
      </c>
      <c r="X1163" s="64" t="n">
        <f aca="false">IF($K1163="No Start (attainment only)",$P1163,0)</f>
        <v>0</v>
      </c>
    </row>
    <row r="1164" customFormat="false" ht="15" hidden="false" customHeight="false" outlineLevel="0" collapsed="false">
      <c r="A1164" s="60"/>
      <c r="B1164" s="61" t="str">
        <f aca="false">IF($M1164=0,"",INDEX(Classes!$E$6:$E$420,$M1164))</f>
        <v/>
      </c>
      <c r="C1164" s="62" t="str">
        <f aca="false">IF($M1164=0,"",INDEX(Classes!$H$6:$H$420,$M1164))</f>
        <v/>
      </c>
      <c r="D1164" s="61" t="str">
        <f aca="false">IF($M1164=0,"",INDEX(Classes!$B$6:$B$420,$M1164))</f>
        <v/>
      </c>
      <c r="E1164" s="61" t="str">
        <f aca="false">IF($M1164=0,"",INDEX(Classes!$C$6:$C$420,$M1164))</f>
        <v/>
      </c>
      <c r="F1164" s="63"/>
      <c r="G1164" s="63"/>
      <c r="H1164" s="60"/>
      <c r="I1164" s="60"/>
      <c r="J1164" s="63"/>
      <c r="K1164" s="61" t="str">
        <f aca="false">IF($P1164=0,"",IF($F1164="Baseline","— Baseline",IF($O1164=0,"No result",IF($N1164=0,"No Start (attainment only)",IF(OR($N1164=1,$O1164=1),"U – needs rule",INDEX(MxBody,MATCH($I1164,MxCurr,0),MATCH($H1164,MxStart,0)))))))</f>
        <v/>
      </c>
      <c r="L1164" s="62" t="str">
        <f aca="false">IF(COUNTA($A1164,$F1164,$G1164,$H1164,$I1164,$J1164)=0,"",IF($M1164=0,"✖ كود الصف غير موجود",IF(ISNA(MATCH($F1164,Lists!$A$2:$A$5,0)),"✖ الفترة غير صحيحة",IF(ISNA(MATCH($G1164,Lists!$B$2:$B$7,0)),"✖ المجموعة غير صحيحة",IF(NOT(OR($H1164="",$N1164&gt;0)),"✖ Start غير صحيح",IF(NOT(OR($I1164="",$I1164="NR",$O1164&gt;0)),"✖ Current غير صحيح",IF(NOT(IF(ISNUMBER($J1164),AND($J1164&gt;=0,$J1164=INT($J1164)),FALSE())),"✖ العدد يجب أن يكون صحيحًا ≥ 0",IF(AND($F1164="Baseline",$H1164&lt;&gt;""),"⚠ Baseline: Start لا يدخل في التقدم",IF($K1164="No Start (attainment only)","ℹ تحصيل فقط (بدون Start)",IF($K1164="U – needs rule","ℹ حالة U تحتاج قاعدة معتمدة",IF($K1164="No result","ℹ بدون نتيجة (يُستبعد من التحصيل)","OK")))))))))))</f>
        <v/>
      </c>
      <c r="M1164" s="64" t="n">
        <f aca="false">IF($A1164="",0,IFERROR(MATCH($A1164,Classes!$A$6:$A$420,0),0))</f>
        <v>0</v>
      </c>
      <c r="N1164" s="64" t="n">
        <f aca="false">IF($H1164="",0,IFERROR(MATCH($H1164,GradeList,0),0))</f>
        <v>0</v>
      </c>
      <c r="O1164" s="64" t="n">
        <f aca="false">IF(OR($I1164="",$I1164="NR"),0,IFERROR(MATCH($I1164,GradeList,0),0))</f>
        <v>0</v>
      </c>
      <c r="P1164" s="64" t="n">
        <f aca="false">IF(AND($M1164&gt;0,ISNUMBER(MATCH($F1164,Lists!$A$2:$A$5,0)),ISNUMBER(MATCH($G1164,Lists!$B$2:$B$7,0)),OR($H1164="",$N1164&gt;0),OR($I1164="",$I1164="NR",$O1164&gt;0),IF(ISNUMBER($J1164),AND($J1164&gt;=0,$J1164=INT($J1164)),FALSE())),$J1164,0)</f>
        <v>0</v>
      </c>
      <c r="Q1164" s="64" t="n">
        <f aca="false">IF(AND($P1164&gt;0,$O1164&gt;0),$P1164,0)</f>
        <v>0</v>
      </c>
      <c r="R1164" s="64" t="n">
        <f aca="false">IF(AND($Q1164&gt;0,$O1164&gt;=AtRank),$Q1164,0)</f>
        <v>0</v>
      </c>
      <c r="S1164" s="64" t="n">
        <f aca="false">IF(AND($Q1164&gt;0,$O1164&gt;=AboveRank),$Q1164,0)</f>
        <v>0</v>
      </c>
      <c r="T1164" s="64" t="n">
        <f aca="false">IF($K1164="Less",$P1164,0)</f>
        <v>0</v>
      </c>
      <c r="U1164" s="64" t="n">
        <f aca="false">IF($K1164="Expected",$P1164,0)</f>
        <v>0</v>
      </c>
      <c r="V1164" s="64" t="n">
        <f aca="false">IF($K1164="Better",$P1164,0)</f>
        <v>0</v>
      </c>
      <c r="W1164" s="64" t="n">
        <f aca="false">IF($K1164="U – needs rule",$P1164,0)</f>
        <v>0</v>
      </c>
      <c r="X1164" s="64" t="n">
        <f aca="false">IF($K1164="No Start (attainment only)",$P1164,0)</f>
        <v>0</v>
      </c>
    </row>
    <row r="1165" customFormat="false" ht="15" hidden="false" customHeight="false" outlineLevel="0" collapsed="false">
      <c r="A1165" s="60"/>
      <c r="B1165" s="61" t="str">
        <f aca="false">IF($M1165=0,"",INDEX(Classes!$E$6:$E$420,$M1165))</f>
        <v/>
      </c>
      <c r="C1165" s="62" t="str">
        <f aca="false">IF($M1165=0,"",INDEX(Classes!$H$6:$H$420,$M1165))</f>
        <v/>
      </c>
      <c r="D1165" s="61" t="str">
        <f aca="false">IF($M1165=0,"",INDEX(Classes!$B$6:$B$420,$M1165))</f>
        <v/>
      </c>
      <c r="E1165" s="61" t="str">
        <f aca="false">IF($M1165=0,"",INDEX(Classes!$C$6:$C$420,$M1165))</f>
        <v/>
      </c>
      <c r="F1165" s="63"/>
      <c r="G1165" s="63"/>
      <c r="H1165" s="60"/>
      <c r="I1165" s="60"/>
      <c r="J1165" s="63"/>
      <c r="K1165" s="61" t="str">
        <f aca="false">IF($P1165=0,"",IF($F1165="Baseline","— Baseline",IF($O1165=0,"No result",IF($N1165=0,"No Start (attainment only)",IF(OR($N1165=1,$O1165=1),"U – needs rule",INDEX(MxBody,MATCH($I1165,MxCurr,0),MATCH($H1165,MxStart,0)))))))</f>
        <v/>
      </c>
      <c r="L1165" s="62" t="str">
        <f aca="false">IF(COUNTA($A1165,$F1165,$G1165,$H1165,$I1165,$J1165)=0,"",IF($M1165=0,"✖ كود الصف غير موجود",IF(ISNA(MATCH($F1165,Lists!$A$2:$A$5,0)),"✖ الفترة غير صحيحة",IF(ISNA(MATCH($G1165,Lists!$B$2:$B$7,0)),"✖ المجموعة غير صحيحة",IF(NOT(OR($H1165="",$N1165&gt;0)),"✖ Start غير صحيح",IF(NOT(OR($I1165="",$I1165="NR",$O1165&gt;0)),"✖ Current غير صحيح",IF(NOT(IF(ISNUMBER($J1165),AND($J1165&gt;=0,$J1165=INT($J1165)),FALSE())),"✖ العدد يجب أن يكون صحيحًا ≥ 0",IF(AND($F1165="Baseline",$H1165&lt;&gt;""),"⚠ Baseline: Start لا يدخل في التقدم",IF($K1165="No Start (attainment only)","ℹ تحصيل فقط (بدون Start)",IF($K1165="U – needs rule","ℹ حالة U تحتاج قاعدة معتمدة",IF($K1165="No result","ℹ بدون نتيجة (يُستبعد من التحصيل)","OK")))))))))))</f>
        <v/>
      </c>
      <c r="M1165" s="64" t="n">
        <f aca="false">IF($A1165="",0,IFERROR(MATCH($A1165,Classes!$A$6:$A$420,0),0))</f>
        <v>0</v>
      </c>
      <c r="N1165" s="64" t="n">
        <f aca="false">IF($H1165="",0,IFERROR(MATCH($H1165,GradeList,0),0))</f>
        <v>0</v>
      </c>
      <c r="O1165" s="64" t="n">
        <f aca="false">IF(OR($I1165="",$I1165="NR"),0,IFERROR(MATCH($I1165,GradeList,0),0))</f>
        <v>0</v>
      </c>
      <c r="P1165" s="64" t="n">
        <f aca="false">IF(AND($M1165&gt;0,ISNUMBER(MATCH($F1165,Lists!$A$2:$A$5,0)),ISNUMBER(MATCH($G1165,Lists!$B$2:$B$7,0)),OR($H1165="",$N1165&gt;0),OR($I1165="",$I1165="NR",$O1165&gt;0),IF(ISNUMBER($J1165),AND($J1165&gt;=0,$J1165=INT($J1165)),FALSE())),$J1165,0)</f>
        <v>0</v>
      </c>
      <c r="Q1165" s="64" t="n">
        <f aca="false">IF(AND($P1165&gt;0,$O1165&gt;0),$P1165,0)</f>
        <v>0</v>
      </c>
      <c r="R1165" s="64" t="n">
        <f aca="false">IF(AND($Q1165&gt;0,$O1165&gt;=AtRank),$Q1165,0)</f>
        <v>0</v>
      </c>
      <c r="S1165" s="64" t="n">
        <f aca="false">IF(AND($Q1165&gt;0,$O1165&gt;=AboveRank),$Q1165,0)</f>
        <v>0</v>
      </c>
      <c r="T1165" s="64" t="n">
        <f aca="false">IF($K1165="Less",$P1165,0)</f>
        <v>0</v>
      </c>
      <c r="U1165" s="64" t="n">
        <f aca="false">IF($K1165="Expected",$P1165,0)</f>
        <v>0</v>
      </c>
      <c r="V1165" s="64" t="n">
        <f aca="false">IF($K1165="Better",$P1165,0)</f>
        <v>0</v>
      </c>
      <c r="W1165" s="64" t="n">
        <f aca="false">IF($K1165="U – needs rule",$P1165,0)</f>
        <v>0</v>
      </c>
      <c r="X1165" s="64" t="n">
        <f aca="false">IF($K1165="No Start (attainment only)",$P1165,0)</f>
        <v>0</v>
      </c>
    </row>
    <row r="1166" customFormat="false" ht="15" hidden="false" customHeight="false" outlineLevel="0" collapsed="false">
      <c r="A1166" s="60"/>
      <c r="B1166" s="61" t="str">
        <f aca="false">IF($M1166=0,"",INDEX(Classes!$E$6:$E$420,$M1166))</f>
        <v/>
      </c>
      <c r="C1166" s="62" t="str">
        <f aca="false">IF($M1166=0,"",INDEX(Classes!$H$6:$H$420,$M1166))</f>
        <v/>
      </c>
      <c r="D1166" s="61" t="str">
        <f aca="false">IF($M1166=0,"",INDEX(Classes!$B$6:$B$420,$M1166))</f>
        <v/>
      </c>
      <c r="E1166" s="61" t="str">
        <f aca="false">IF($M1166=0,"",INDEX(Classes!$C$6:$C$420,$M1166))</f>
        <v/>
      </c>
      <c r="F1166" s="63"/>
      <c r="G1166" s="63"/>
      <c r="H1166" s="60"/>
      <c r="I1166" s="60"/>
      <c r="J1166" s="63"/>
      <c r="K1166" s="61" t="str">
        <f aca="false">IF($P1166=0,"",IF($F1166="Baseline","— Baseline",IF($O1166=0,"No result",IF($N1166=0,"No Start (attainment only)",IF(OR($N1166=1,$O1166=1),"U – needs rule",INDEX(MxBody,MATCH($I1166,MxCurr,0),MATCH($H1166,MxStart,0)))))))</f>
        <v/>
      </c>
      <c r="L1166" s="62" t="str">
        <f aca="false">IF(COUNTA($A1166,$F1166,$G1166,$H1166,$I1166,$J1166)=0,"",IF($M1166=0,"✖ كود الصف غير موجود",IF(ISNA(MATCH($F1166,Lists!$A$2:$A$5,0)),"✖ الفترة غير صحيحة",IF(ISNA(MATCH($G1166,Lists!$B$2:$B$7,0)),"✖ المجموعة غير صحيحة",IF(NOT(OR($H1166="",$N1166&gt;0)),"✖ Start غير صحيح",IF(NOT(OR($I1166="",$I1166="NR",$O1166&gt;0)),"✖ Current غير صحيح",IF(NOT(IF(ISNUMBER($J1166),AND($J1166&gt;=0,$J1166=INT($J1166)),FALSE())),"✖ العدد يجب أن يكون صحيحًا ≥ 0",IF(AND($F1166="Baseline",$H1166&lt;&gt;""),"⚠ Baseline: Start لا يدخل في التقدم",IF($K1166="No Start (attainment only)","ℹ تحصيل فقط (بدون Start)",IF($K1166="U – needs rule","ℹ حالة U تحتاج قاعدة معتمدة",IF($K1166="No result","ℹ بدون نتيجة (يُستبعد من التحصيل)","OK")))))))))))</f>
        <v/>
      </c>
      <c r="M1166" s="64" t="n">
        <f aca="false">IF($A1166="",0,IFERROR(MATCH($A1166,Classes!$A$6:$A$420,0),0))</f>
        <v>0</v>
      </c>
      <c r="N1166" s="64" t="n">
        <f aca="false">IF($H1166="",0,IFERROR(MATCH($H1166,GradeList,0),0))</f>
        <v>0</v>
      </c>
      <c r="O1166" s="64" t="n">
        <f aca="false">IF(OR($I1166="",$I1166="NR"),0,IFERROR(MATCH($I1166,GradeList,0),0))</f>
        <v>0</v>
      </c>
      <c r="P1166" s="64" t="n">
        <f aca="false">IF(AND($M1166&gt;0,ISNUMBER(MATCH($F1166,Lists!$A$2:$A$5,0)),ISNUMBER(MATCH($G1166,Lists!$B$2:$B$7,0)),OR($H1166="",$N1166&gt;0),OR($I1166="",$I1166="NR",$O1166&gt;0),IF(ISNUMBER($J1166),AND($J1166&gt;=0,$J1166=INT($J1166)),FALSE())),$J1166,0)</f>
        <v>0</v>
      </c>
      <c r="Q1166" s="64" t="n">
        <f aca="false">IF(AND($P1166&gt;0,$O1166&gt;0),$P1166,0)</f>
        <v>0</v>
      </c>
      <c r="R1166" s="64" t="n">
        <f aca="false">IF(AND($Q1166&gt;0,$O1166&gt;=AtRank),$Q1166,0)</f>
        <v>0</v>
      </c>
      <c r="S1166" s="64" t="n">
        <f aca="false">IF(AND($Q1166&gt;0,$O1166&gt;=AboveRank),$Q1166,0)</f>
        <v>0</v>
      </c>
      <c r="T1166" s="64" t="n">
        <f aca="false">IF($K1166="Less",$P1166,0)</f>
        <v>0</v>
      </c>
      <c r="U1166" s="64" t="n">
        <f aca="false">IF($K1166="Expected",$P1166,0)</f>
        <v>0</v>
      </c>
      <c r="V1166" s="64" t="n">
        <f aca="false">IF($K1166="Better",$P1166,0)</f>
        <v>0</v>
      </c>
      <c r="W1166" s="64" t="n">
        <f aca="false">IF($K1166="U – needs rule",$P1166,0)</f>
        <v>0</v>
      </c>
      <c r="X1166" s="64" t="n">
        <f aca="false">IF($K1166="No Start (attainment only)",$P1166,0)</f>
        <v>0</v>
      </c>
    </row>
    <row r="1167" customFormat="false" ht="15" hidden="false" customHeight="false" outlineLevel="0" collapsed="false">
      <c r="A1167" s="60"/>
      <c r="B1167" s="61" t="str">
        <f aca="false">IF($M1167=0,"",INDEX(Classes!$E$6:$E$420,$M1167))</f>
        <v/>
      </c>
      <c r="C1167" s="62" t="str">
        <f aca="false">IF($M1167=0,"",INDEX(Classes!$H$6:$H$420,$M1167))</f>
        <v/>
      </c>
      <c r="D1167" s="61" t="str">
        <f aca="false">IF($M1167=0,"",INDEX(Classes!$B$6:$B$420,$M1167))</f>
        <v/>
      </c>
      <c r="E1167" s="61" t="str">
        <f aca="false">IF($M1167=0,"",INDEX(Classes!$C$6:$C$420,$M1167))</f>
        <v/>
      </c>
      <c r="F1167" s="63"/>
      <c r="G1167" s="63"/>
      <c r="H1167" s="60"/>
      <c r="I1167" s="60"/>
      <c r="J1167" s="63"/>
      <c r="K1167" s="61" t="str">
        <f aca="false">IF($P1167=0,"",IF($F1167="Baseline","— Baseline",IF($O1167=0,"No result",IF($N1167=0,"No Start (attainment only)",IF(OR($N1167=1,$O1167=1),"U – needs rule",INDEX(MxBody,MATCH($I1167,MxCurr,0),MATCH($H1167,MxStart,0)))))))</f>
        <v/>
      </c>
      <c r="L1167" s="62" t="str">
        <f aca="false">IF(COUNTA($A1167,$F1167,$G1167,$H1167,$I1167,$J1167)=0,"",IF($M1167=0,"✖ كود الصف غير موجود",IF(ISNA(MATCH($F1167,Lists!$A$2:$A$5,0)),"✖ الفترة غير صحيحة",IF(ISNA(MATCH($G1167,Lists!$B$2:$B$7,0)),"✖ المجموعة غير صحيحة",IF(NOT(OR($H1167="",$N1167&gt;0)),"✖ Start غير صحيح",IF(NOT(OR($I1167="",$I1167="NR",$O1167&gt;0)),"✖ Current غير صحيح",IF(NOT(IF(ISNUMBER($J1167),AND($J1167&gt;=0,$J1167=INT($J1167)),FALSE())),"✖ العدد يجب أن يكون صحيحًا ≥ 0",IF(AND($F1167="Baseline",$H1167&lt;&gt;""),"⚠ Baseline: Start لا يدخل في التقدم",IF($K1167="No Start (attainment only)","ℹ تحصيل فقط (بدون Start)",IF($K1167="U – needs rule","ℹ حالة U تحتاج قاعدة معتمدة",IF($K1167="No result","ℹ بدون نتيجة (يُستبعد من التحصيل)","OK")))))))))))</f>
        <v/>
      </c>
      <c r="M1167" s="64" t="n">
        <f aca="false">IF($A1167="",0,IFERROR(MATCH($A1167,Classes!$A$6:$A$420,0),0))</f>
        <v>0</v>
      </c>
      <c r="N1167" s="64" t="n">
        <f aca="false">IF($H1167="",0,IFERROR(MATCH($H1167,GradeList,0),0))</f>
        <v>0</v>
      </c>
      <c r="O1167" s="64" t="n">
        <f aca="false">IF(OR($I1167="",$I1167="NR"),0,IFERROR(MATCH($I1167,GradeList,0),0))</f>
        <v>0</v>
      </c>
      <c r="P1167" s="64" t="n">
        <f aca="false">IF(AND($M1167&gt;0,ISNUMBER(MATCH($F1167,Lists!$A$2:$A$5,0)),ISNUMBER(MATCH($G1167,Lists!$B$2:$B$7,0)),OR($H1167="",$N1167&gt;0),OR($I1167="",$I1167="NR",$O1167&gt;0),IF(ISNUMBER($J1167),AND($J1167&gt;=0,$J1167=INT($J1167)),FALSE())),$J1167,0)</f>
        <v>0</v>
      </c>
      <c r="Q1167" s="64" t="n">
        <f aca="false">IF(AND($P1167&gt;0,$O1167&gt;0),$P1167,0)</f>
        <v>0</v>
      </c>
      <c r="R1167" s="64" t="n">
        <f aca="false">IF(AND($Q1167&gt;0,$O1167&gt;=AtRank),$Q1167,0)</f>
        <v>0</v>
      </c>
      <c r="S1167" s="64" t="n">
        <f aca="false">IF(AND($Q1167&gt;0,$O1167&gt;=AboveRank),$Q1167,0)</f>
        <v>0</v>
      </c>
      <c r="T1167" s="64" t="n">
        <f aca="false">IF($K1167="Less",$P1167,0)</f>
        <v>0</v>
      </c>
      <c r="U1167" s="64" t="n">
        <f aca="false">IF($K1167="Expected",$P1167,0)</f>
        <v>0</v>
      </c>
      <c r="V1167" s="64" t="n">
        <f aca="false">IF($K1167="Better",$P1167,0)</f>
        <v>0</v>
      </c>
      <c r="W1167" s="64" t="n">
        <f aca="false">IF($K1167="U – needs rule",$P1167,0)</f>
        <v>0</v>
      </c>
      <c r="X1167" s="64" t="n">
        <f aca="false">IF($K1167="No Start (attainment only)",$P1167,0)</f>
        <v>0</v>
      </c>
    </row>
    <row r="1168" customFormat="false" ht="15" hidden="false" customHeight="false" outlineLevel="0" collapsed="false">
      <c r="A1168" s="60"/>
      <c r="B1168" s="61" t="str">
        <f aca="false">IF($M1168=0,"",INDEX(Classes!$E$6:$E$420,$M1168))</f>
        <v/>
      </c>
      <c r="C1168" s="62" t="str">
        <f aca="false">IF($M1168=0,"",INDEX(Classes!$H$6:$H$420,$M1168))</f>
        <v/>
      </c>
      <c r="D1168" s="61" t="str">
        <f aca="false">IF($M1168=0,"",INDEX(Classes!$B$6:$B$420,$M1168))</f>
        <v/>
      </c>
      <c r="E1168" s="61" t="str">
        <f aca="false">IF($M1168=0,"",INDEX(Classes!$C$6:$C$420,$M1168))</f>
        <v/>
      </c>
      <c r="F1168" s="63"/>
      <c r="G1168" s="63"/>
      <c r="H1168" s="60"/>
      <c r="I1168" s="60"/>
      <c r="J1168" s="63"/>
      <c r="K1168" s="61" t="str">
        <f aca="false">IF($P1168=0,"",IF($F1168="Baseline","— Baseline",IF($O1168=0,"No result",IF($N1168=0,"No Start (attainment only)",IF(OR($N1168=1,$O1168=1),"U – needs rule",INDEX(MxBody,MATCH($I1168,MxCurr,0),MATCH($H1168,MxStart,0)))))))</f>
        <v/>
      </c>
      <c r="L1168" s="62" t="str">
        <f aca="false">IF(COUNTA($A1168,$F1168,$G1168,$H1168,$I1168,$J1168)=0,"",IF($M1168=0,"✖ كود الصف غير موجود",IF(ISNA(MATCH($F1168,Lists!$A$2:$A$5,0)),"✖ الفترة غير صحيحة",IF(ISNA(MATCH($G1168,Lists!$B$2:$B$7,0)),"✖ المجموعة غير صحيحة",IF(NOT(OR($H1168="",$N1168&gt;0)),"✖ Start غير صحيح",IF(NOT(OR($I1168="",$I1168="NR",$O1168&gt;0)),"✖ Current غير صحيح",IF(NOT(IF(ISNUMBER($J1168),AND($J1168&gt;=0,$J1168=INT($J1168)),FALSE())),"✖ العدد يجب أن يكون صحيحًا ≥ 0",IF(AND($F1168="Baseline",$H1168&lt;&gt;""),"⚠ Baseline: Start لا يدخل في التقدم",IF($K1168="No Start (attainment only)","ℹ تحصيل فقط (بدون Start)",IF($K1168="U – needs rule","ℹ حالة U تحتاج قاعدة معتمدة",IF($K1168="No result","ℹ بدون نتيجة (يُستبعد من التحصيل)","OK")))))))))))</f>
        <v/>
      </c>
      <c r="M1168" s="64" t="n">
        <f aca="false">IF($A1168="",0,IFERROR(MATCH($A1168,Classes!$A$6:$A$420,0),0))</f>
        <v>0</v>
      </c>
      <c r="N1168" s="64" t="n">
        <f aca="false">IF($H1168="",0,IFERROR(MATCH($H1168,GradeList,0),0))</f>
        <v>0</v>
      </c>
      <c r="O1168" s="64" t="n">
        <f aca="false">IF(OR($I1168="",$I1168="NR"),0,IFERROR(MATCH($I1168,GradeList,0),0))</f>
        <v>0</v>
      </c>
      <c r="P1168" s="64" t="n">
        <f aca="false">IF(AND($M1168&gt;0,ISNUMBER(MATCH($F1168,Lists!$A$2:$A$5,0)),ISNUMBER(MATCH($G1168,Lists!$B$2:$B$7,0)),OR($H1168="",$N1168&gt;0),OR($I1168="",$I1168="NR",$O1168&gt;0),IF(ISNUMBER($J1168),AND($J1168&gt;=0,$J1168=INT($J1168)),FALSE())),$J1168,0)</f>
        <v>0</v>
      </c>
      <c r="Q1168" s="64" t="n">
        <f aca="false">IF(AND($P1168&gt;0,$O1168&gt;0),$P1168,0)</f>
        <v>0</v>
      </c>
      <c r="R1168" s="64" t="n">
        <f aca="false">IF(AND($Q1168&gt;0,$O1168&gt;=AtRank),$Q1168,0)</f>
        <v>0</v>
      </c>
      <c r="S1168" s="64" t="n">
        <f aca="false">IF(AND($Q1168&gt;0,$O1168&gt;=AboveRank),$Q1168,0)</f>
        <v>0</v>
      </c>
      <c r="T1168" s="64" t="n">
        <f aca="false">IF($K1168="Less",$P1168,0)</f>
        <v>0</v>
      </c>
      <c r="U1168" s="64" t="n">
        <f aca="false">IF($K1168="Expected",$P1168,0)</f>
        <v>0</v>
      </c>
      <c r="V1168" s="64" t="n">
        <f aca="false">IF($K1168="Better",$P1168,0)</f>
        <v>0</v>
      </c>
      <c r="W1168" s="64" t="n">
        <f aca="false">IF($K1168="U – needs rule",$P1168,0)</f>
        <v>0</v>
      </c>
      <c r="X1168" s="64" t="n">
        <f aca="false">IF($K1168="No Start (attainment only)",$P1168,0)</f>
        <v>0</v>
      </c>
    </row>
    <row r="1169" customFormat="false" ht="15" hidden="false" customHeight="false" outlineLevel="0" collapsed="false">
      <c r="A1169" s="60"/>
      <c r="B1169" s="61" t="str">
        <f aca="false">IF($M1169=0,"",INDEX(Classes!$E$6:$E$420,$M1169))</f>
        <v/>
      </c>
      <c r="C1169" s="62" t="str">
        <f aca="false">IF($M1169=0,"",INDEX(Classes!$H$6:$H$420,$M1169))</f>
        <v/>
      </c>
      <c r="D1169" s="61" t="str">
        <f aca="false">IF($M1169=0,"",INDEX(Classes!$B$6:$B$420,$M1169))</f>
        <v/>
      </c>
      <c r="E1169" s="61" t="str">
        <f aca="false">IF($M1169=0,"",INDEX(Classes!$C$6:$C$420,$M1169))</f>
        <v/>
      </c>
      <c r="F1169" s="63"/>
      <c r="G1169" s="63"/>
      <c r="H1169" s="60"/>
      <c r="I1169" s="60"/>
      <c r="J1169" s="63"/>
      <c r="K1169" s="61" t="str">
        <f aca="false">IF($P1169=0,"",IF($F1169="Baseline","— Baseline",IF($O1169=0,"No result",IF($N1169=0,"No Start (attainment only)",IF(OR($N1169=1,$O1169=1),"U – needs rule",INDEX(MxBody,MATCH($I1169,MxCurr,0),MATCH($H1169,MxStart,0)))))))</f>
        <v/>
      </c>
      <c r="L1169" s="62" t="str">
        <f aca="false">IF(COUNTA($A1169,$F1169,$G1169,$H1169,$I1169,$J1169)=0,"",IF($M1169=0,"✖ كود الصف غير موجود",IF(ISNA(MATCH($F1169,Lists!$A$2:$A$5,0)),"✖ الفترة غير صحيحة",IF(ISNA(MATCH($G1169,Lists!$B$2:$B$7,0)),"✖ المجموعة غير صحيحة",IF(NOT(OR($H1169="",$N1169&gt;0)),"✖ Start غير صحيح",IF(NOT(OR($I1169="",$I1169="NR",$O1169&gt;0)),"✖ Current غير صحيح",IF(NOT(IF(ISNUMBER($J1169),AND($J1169&gt;=0,$J1169=INT($J1169)),FALSE())),"✖ العدد يجب أن يكون صحيحًا ≥ 0",IF(AND($F1169="Baseline",$H1169&lt;&gt;""),"⚠ Baseline: Start لا يدخل في التقدم",IF($K1169="No Start (attainment only)","ℹ تحصيل فقط (بدون Start)",IF($K1169="U – needs rule","ℹ حالة U تحتاج قاعدة معتمدة",IF($K1169="No result","ℹ بدون نتيجة (يُستبعد من التحصيل)","OK")))))))))))</f>
        <v/>
      </c>
      <c r="M1169" s="64" t="n">
        <f aca="false">IF($A1169="",0,IFERROR(MATCH($A1169,Classes!$A$6:$A$420,0),0))</f>
        <v>0</v>
      </c>
      <c r="N1169" s="64" t="n">
        <f aca="false">IF($H1169="",0,IFERROR(MATCH($H1169,GradeList,0),0))</f>
        <v>0</v>
      </c>
      <c r="O1169" s="64" t="n">
        <f aca="false">IF(OR($I1169="",$I1169="NR"),0,IFERROR(MATCH($I1169,GradeList,0),0))</f>
        <v>0</v>
      </c>
      <c r="P1169" s="64" t="n">
        <f aca="false">IF(AND($M1169&gt;0,ISNUMBER(MATCH($F1169,Lists!$A$2:$A$5,0)),ISNUMBER(MATCH($G1169,Lists!$B$2:$B$7,0)),OR($H1169="",$N1169&gt;0),OR($I1169="",$I1169="NR",$O1169&gt;0),IF(ISNUMBER($J1169),AND($J1169&gt;=0,$J1169=INT($J1169)),FALSE())),$J1169,0)</f>
        <v>0</v>
      </c>
      <c r="Q1169" s="64" t="n">
        <f aca="false">IF(AND($P1169&gt;0,$O1169&gt;0),$P1169,0)</f>
        <v>0</v>
      </c>
      <c r="R1169" s="64" t="n">
        <f aca="false">IF(AND($Q1169&gt;0,$O1169&gt;=AtRank),$Q1169,0)</f>
        <v>0</v>
      </c>
      <c r="S1169" s="64" t="n">
        <f aca="false">IF(AND($Q1169&gt;0,$O1169&gt;=AboveRank),$Q1169,0)</f>
        <v>0</v>
      </c>
      <c r="T1169" s="64" t="n">
        <f aca="false">IF($K1169="Less",$P1169,0)</f>
        <v>0</v>
      </c>
      <c r="U1169" s="64" t="n">
        <f aca="false">IF($K1169="Expected",$P1169,0)</f>
        <v>0</v>
      </c>
      <c r="V1169" s="64" t="n">
        <f aca="false">IF($K1169="Better",$P1169,0)</f>
        <v>0</v>
      </c>
      <c r="W1169" s="64" t="n">
        <f aca="false">IF($K1169="U – needs rule",$P1169,0)</f>
        <v>0</v>
      </c>
      <c r="X1169" s="64" t="n">
        <f aca="false">IF($K1169="No Start (attainment only)",$P1169,0)</f>
        <v>0</v>
      </c>
    </row>
    <row r="1170" customFormat="false" ht="15" hidden="false" customHeight="false" outlineLevel="0" collapsed="false">
      <c r="A1170" s="60"/>
      <c r="B1170" s="61" t="str">
        <f aca="false">IF($M1170=0,"",INDEX(Classes!$E$6:$E$420,$M1170))</f>
        <v/>
      </c>
      <c r="C1170" s="62" t="str">
        <f aca="false">IF($M1170=0,"",INDEX(Classes!$H$6:$H$420,$M1170))</f>
        <v/>
      </c>
      <c r="D1170" s="61" t="str">
        <f aca="false">IF($M1170=0,"",INDEX(Classes!$B$6:$B$420,$M1170))</f>
        <v/>
      </c>
      <c r="E1170" s="61" t="str">
        <f aca="false">IF($M1170=0,"",INDEX(Classes!$C$6:$C$420,$M1170))</f>
        <v/>
      </c>
      <c r="F1170" s="63"/>
      <c r="G1170" s="63"/>
      <c r="H1170" s="60"/>
      <c r="I1170" s="60"/>
      <c r="J1170" s="63"/>
      <c r="K1170" s="61" t="str">
        <f aca="false">IF($P1170=0,"",IF($F1170="Baseline","— Baseline",IF($O1170=0,"No result",IF($N1170=0,"No Start (attainment only)",IF(OR($N1170=1,$O1170=1),"U – needs rule",INDEX(MxBody,MATCH($I1170,MxCurr,0),MATCH($H1170,MxStart,0)))))))</f>
        <v/>
      </c>
      <c r="L1170" s="62" t="str">
        <f aca="false">IF(COUNTA($A1170,$F1170,$G1170,$H1170,$I1170,$J1170)=0,"",IF($M1170=0,"✖ كود الصف غير موجود",IF(ISNA(MATCH($F1170,Lists!$A$2:$A$5,0)),"✖ الفترة غير صحيحة",IF(ISNA(MATCH($G1170,Lists!$B$2:$B$7,0)),"✖ المجموعة غير صحيحة",IF(NOT(OR($H1170="",$N1170&gt;0)),"✖ Start غير صحيح",IF(NOT(OR($I1170="",$I1170="NR",$O1170&gt;0)),"✖ Current غير صحيح",IF(NOT(IF(ISNUMBER($J1170),AND($J1170&gt;=0,$J1170=INT($J1170)),FALSE())),"✖ العدد يجب أن يكون صحيحًا ≥ 0",IF(AND($F1170="Baseline",$H1170&lt;&gt;""),"⚠ Baseline: Start لا يدخل في التقدم",IF($K1170="No Start (attainment only)","ℹ تحصيل فقط (بدون Start)",IF($K1170="U – needs rule","ℹ حالة U تحتاج قاعدة معتمدة",IF($K1170="No result","ℹ بدون نتيجة (يُستبعد من التحصيل)","OK")))))))))))</f>
        <v/>
      </c>
      <c r="M1170" s="64" t="n">
        <f aca="false">IF($A1170="",0,IFERROR(MATCH($A1170,Classes!$A$6:$A$420,0),0))</f>
        <v>0</v>
      </c>
      <c r="N1170" s="64" t="n">
        <f aca="false">IF($H1170="",0,IFERROR(MATCH($H1170,GradeList,0),0))</f>
        <v>0</v>
      </c>
      <c r="O1170" s="64" t="n">
        <f aca="false">IF(OR($I1170="",$I1170="NR"),0,IFERROR(MATCH($I1170,GradeList,0),0))</f>
        <v>0</v>
      </c>
      <c r="P1170" s="64" t="n">
        <f aca="false">IF(AND($M1170&gt;0,ISNUMBER(MATCH($F1170,Lists!$A$2:$A$5,0)),ISNUMBER(MATCH($G1170,Lists!$B$2:$B$7,0)),OR($H1170="",$N1170&gt;0),OR($I1170="",$I1170="NR",$O1170&gt;0),IF(ISNUMBER($J1170),AND($J1170&gt;=0,$J1170=INT($J1170)),FALSE())),$J1170,0)</f>
        <v>0</v>
      </c>
      <c r="Q1170" s="64" t="n">
        <f aca="false">IF(AND($P1170&gt;0,$O1170&gt;0),$P1170,0)</f>
        <v>0</v>
      </c>
      <c r="R1170" s="64" t="n">
        <f aca="false">IF(AND($Q1170&gt;0,$O1170&gt;=AtRank),$Q1170,0)</f>
        <v>0</v>
      </c>
      <c r="S1170" s="64" t="n">
        <f aca="false">IF(AND($Q1170&gt;0,$O1170&gt;=AboveRank),$Q1170,0)</f>
        <v>0</v>
      </c>
      <c r="T1170" s="64" t="n">
        <f aca="false">IF($K1170="Less",$P1170,0)</f>
        <v>0</v>
      </c>
      <c r="U1170" s="64" t="n">
        <f aca="false">IF($K1170="Expected",$P1170,0)</f>
        <v>0</v>
      </c>
      <c r="V1170" s="64" t="n">
        <f aca="false">IF($K1170="Better",$P1170,0)</f>
        <v>0</v>
      </c>
      <c r="W1170" s="64" t="n">
        <f aca="false">IF($K1170="U – needs rule",$P1170,0)</f>
        <v>0</v>
      </c>
      <c r="X1170" s="64" t="n">
        <f aca="false">IF($K1170="No Start (attainment only)",$P1170,0)</f>
        <v>0</v>
      </c>
    </row>
    <row r="1171" customFormat="false" ht="15" hidden="false" customHeight="false" outlineLevel="0" collapsed="false">
      <c r="A1171" s="60"/>
      <c r="B1171" s="61" t="str">
        <f aca="false">IF($M1171=0,"",INDEX(Classes!$E$6:$E$420,$M1171))</f>
        <v/>
      </c>
      <c r="C1171" s="62" t="str">
        <f aca="false">IF($M1171=0,"",INDEX(Classes!$H$6:$H$420,$M1171))</f>
        <v/>
      </c>
      <c r="D1171" s="61" t="str">
        <f aca="false">IF($M1171=0,"",INDEX(Classes!$B$6:$B$420,$M1171))</f>
        <v/>
      </c>
      <c r="E1171" s="61" t="str">
        <f aca="false">IF($M1171=0,"",INDEX(Classes!$C$6:$C$420,$M1171))</f>
        <v/>
      </c>
      <c r="F1171" s="63"/>
      <c r="G1171" s="63"/>
      <c r="H1171" s="60"/>
      <c r="I1171" s="60"/>
      <c r="J1171" s="63"/>
      <c r="K1171" s="61" t="str">
        <f aca="false">IF($P1171=0,"",IF($F1171="Baseline","— Baseline",IF($O1171=0,"No result",IF($N1171=0,"No Start (attainment only)",IF(OR($N1171=1,$O1171=1),"U – needs rule",INDEX(MxBody,MATCH($I1171,MxCurr,0),MATCH($H1171,MxStart,0)))))))</f>
        <v/>
      </c>
      <c r="L1171" s="62" t="str">
        <f aca="false">IF(COUNTA($A1171,$F1171,$G1171,$H1171,$I1171,$J1171)=0,"",IF($M1171=0,"✖ كود الصف غير موجود",IF(ISNA(MATCH($F1171,Lists!$A$2:$A$5,0)),"✖ الفترة غير صحيحة",IF(ISNA(MATCH($G1171,Lists!$B$2:$B$7,0)),"✖ المجموعة غير صحيحة",IF(NOT(OR($H1171="",$N1171&gt;0)),"✖ Start غير صحيح",IF(NOT(OR($I1171="",$I1171="NR",$O1171&gt;0)),"✖ Current غير صحيح",IF(NOT(IF(ISNUMBER($J1171),AND($J1171&gt;=0,$J1171=INT($J1171)),FALSE())),"✖ العدد يجب أن يكون صحيحًا ≥ 0",IF(AND($F1171="Baseline",$H1171&lt;&gt;""),"⚠ Baseline: Start لا يدخل في التقدم",IF($K1171="No Start (attainment only)","ℹ تحصيل فقط (بدون Start)",IF($K1171="U – needs rule","ℹ حالة U تحتاج قاعدة معتمدة",IF($K1171="No result","ℹ بدون نتيجة (يُستبعد من التحصيل)","OK")))))))))))</f>
        <v/>
      </c>
      <c r="M1171" s="64" t="n">
        <f aca="false">IF($A1171="",0,IFERROR(MATCH($A1171,Classes!$A$6:$A$420,0),0))</f>
        <v>0</v>
      </c>
      <c r="N1171" s="64" t="n">
        <f aca="false">IF($H1171="",0,IFERROR(MATCH($H1171,GradeList,0),0))</f>
        <v>0</v>
      </c>
      <c r="O1171" s="64" t="n">
        <f aca="false">IF(OR($I1171="",$I1171="NR"),0,IFERROR(MATCH($I1171,GradeList,0),0))</f>
        <v>0</v>
      </c>
      <c r="P1171" s="64" t="n">
        <f aca="false">IF(AND($M1171&gt;0,ISNUMBER(MATCH($F1171,Lists!$A$2:$A$5,0)),ISNUMBER(MATCH($G1171,Lists!$B$2:$B$7,0)),OR($H1171="",$N1171&gt;0),OR($I1171="",$I1171="NR",$O1171&gt;0),IF(ISNUMBER($J1171),AND($J1171&gt;=0,$J1171=INT($J1171)),FALSE())),$J1171,0)</f>
        <v>0</v>
      </c>
      <c r="Q1171" s="64" t="n">
        <f aca="false">IF(AND($P1171&gt;0,$O1171&gt;0),$P1171,0)</f>
        <v>0</v>
      </c>
      <c r="R1171" s="64" t="n">
        <f aca="false">IF(AND($Q1171&gt;0,$O1171&gt;=AtRank),$Q1171,0)</f>
        <v>0</v>
      </c>
      <c r="S1171" s="64" t="n">
        <f aca="false">IF(AND($Q1171&gt;0,$O1171&gt;=AboveRank),$Q1171,0)</f>
        <v>0</v>
      </c>
      <c r="T1171" s="64" t="n">
        <f aca="false">IF($K1171="Less",$P1171,0)</f>
        <v>0</v>
      </c>
      <c r="U1171" s="64" t="n">
        <f aca="false">IF($K1171="Expected",$P1171,0)</f>
        <v>0</v>
      </c>
      <c r="V1171" s="64" t="n">
        <f aca="false">IF($K1171="Better",$P1171,0)</f>
        <v>0</v>
      </c>
      <c r="W1171" s="64" t="n">
        <f aca="false">IF($K1171="U – needs rule",$P1171,0)</f>
        <v>0</v>
      </c>
      <c r="X1171" s="64" t="n">
        <f aca="false">IF($K1171="No Start (attainment only)",$P1171,0)</f>
        <v>0</v>
      </c>
    </row>
    <row r="1172" customFormat="false" ht="15" hidden="false" customHeight="false" outlineLevel="0" collapsed="false">
      <c r="A1172" s="60"/>
      <c r="B1172" s="61" t="str">
        <f aca="false">IF($M1172=0,"",INDEX(Classes!$E$6:$E$420,$M1172))</f>
        <v/>
      </c>
      <c r="C1172" s="62" t="str">
        <f aca="false">IF($M1172=0,"",INDEX(Classes!$H$6:$H$420,$M1172))</f>
        <v/>
      </c>
      <c r="D1172" s="61" t="str">
        <f aca="false">IF($M1172=0,"",INDEX(Classes!$B$6:$B$420,$M1172))</f>
        <v/>
      </c>
      <c r="E1172" s="61" t="str">
        <f aca="false">IF($M1172=0,"",INDEX(Classes!$C$6:$C$420,$M1172))</f>
        <v/>
      </c>
      <c r="F1172" s="63"/>
      <c r="G1172" s="63"/>
      <c r="H1172" s="60"/>
      <c r="I1172" s="60"/>
      <c r="J1172" s="63"/>
      <c r="K1172" s="61" t="str">
        <f aca="false">IF($P1172=0,"",IF($F1172="Baseline","— Baseline",IF($O1172=0,"No result",IF($N1172=0,"No Start (attainment only)",IF(OR($N1172=1,$O1172=1),"U – needs rule",INDEX(MxBody,MATCH($I1172,MxCurr,0),MATCH($H1172,MxStart,0)))))))</f>
        <v/>
      </c>
      <c r="L1172" s="62" t="str">
        <f aca="false">IF(COUNTA($A1172,$F1172,$G1172,$H1172,$I1172,$J1172)=0,"",IF($M1172=0,"✖ كود الصف غير موجود",IF(ISNA(MATCH($F1172,Lists!$A$2:$A$5,0)),"✖ الفترة غير صحيحة",IF(ISNA(MATCH($G1172,Lists!$B$2:$B$7,0)),"✖ المجموعة غير صحيحة",IF(NOT(OR($H1172="",$N1172&gt;0)),"✖ Start غير صحيح",IF(NOT(OR($I1172="",$I1172="NR",$O1172&gt;0)),"✖ Current غير صحيح",IF(NOT(IF(ISNUMBER($J1172),AND($J1172&gt;=0,$J1172=INT($J1172)),FALSE())),"✖ العدد يجب أن يكون صحيحًا ≥ 0",IF(AND($F1172="Baseline",$H1172&lt;&gt;""),"⚠ Baseline: Start لا يدخل في التقدم",IF($K1172="No Start (attainment only)","ℹ تحصيل فقط (بدون Start)",IF($K1172="U – needs rule","ℹ حالة U تحتاج قاعدة معتمدة",IF($K1172="No result","ℹ بدون نتيجة (يُستبعد من التحصيل)","OK")))))))))))</f>
        <v/>
      </c>
      <c r="M1172" s="64" t="n">
        <f aca="false">IF($A1172="",0,IFERROR(MATCH($A1172,Classes!$A$6:$A$420,0),0))</f>
        <v>0</v>
      </c>
      <c r="N1172" s="64" t="n">
        <f aca="false">IF($H1172="",0,IFERROR(MATCH($H1172,GradeList,0),0))</f>
        <v>0</v>
      </c>
      <c r="O1172" s="64" t="n">
        <f aca="false">IF(OR($I1172="",$I1172="NR"),0,IFERROR(MATCH($I1172,GradeList,0),0))</f>
        <v>0</v>
      </c>
      <c r="P1172" s="64" t="n">
        <f aca="false">IF(AND($M1172&gt;0,ISNUMBER(MATCH($F1172,Lists!$A$2:$A$5,0)),ISNUMBER(MATCH($G1172,Lists!$B$2:$B$7,0)),OR($H1172="",$N1172&gt;0),OR($I1172="",$I1172="NR",$O1172&gt;0),IF(ISNUMBER($J1172),AND($J1172&gt;=0,$J1172=INT($J1172)),FALSE())),$J1172,0)</f>
        <v>0</v>
      </c>
      <c r="Q1172" s="64" t="n">
        <f aca="false">IF(AND($P1172&gt;0,$O1172&gt;0),$P1172,0)</f>
        <v>0</v>
      </c>
      <c r="R1172" s="64" t="n">
        <f aca="false">IF(AND($Q1172&gt;0,$O1172&gt;=AtRank),$Q1172,0)</f>
        <v>0</v>
      </c>
      <c r="S1172" s="64" t="n">
        <f aca="false">IF(AND($Q1172&gt;0,$O1172&gt;=AboveRank),$Q1172,0)</f>
        <v>0</v>
      </c>
      <c r="T1172" s="64" t="n">
        <f aca="false">IF($K1172="Less",$P1172,0)</f>
        <v>0</v>
      </c>
      <c r="U1172" s="64" t="n">
        <f aca="false">IF($K1172="Expected",$P1172,0)</f>
        <v>0</v>
      </c>
      <c r="V1172" s="64" t="n">
        <f aca="false">IF($K1172="Better",$P1172,0)</f>
        <v>0</v>
      </c>
      <c r="W1172" s="64" t="n">
        <f aca="false">IF($K1172="U – needs rule",$P1172,0)</f>
        <v>0</v>
      </c>
      <c r="X1172" s="64" t="n">
        <f aca="false">IF($K1172="No Start (attainment only)",$P1172,0)</f>
        <v>0</v>
      </c>
    </row>
    <row r="1173" customFormat="false" ht="15" hidden="false" customHeight="false" outlineLevel="0" collapsed="false">
      <c r="A1173" s="60"/>
      <c r="B1173" s="61" t="str">
        <f aca="false">IF($M1173=0,"",INDEX(Classes!$E$6:$E$420,$M1173))</f>
        <v/>
      </c>
      <c r="C1173" s="62" t="str">
        <f aca="false">IF($M1173=0,"",INDEX(Classes!$H$6:$H$420,$M1173))</f>
        <v/>
      </c>
      <c r="D1173" s="61" t="str">
        <f aca="false">IF($M1173=0,"",INDEX(Classes!$B$6:$B$420,$M1173))</f>
        <v/>
      </c>
      <c r="E1173" s="61" t="str">
        <f aca="false">IF($M1173=0,"",INDEX(Classes!$C$6:$C$420,$M1173))</f>
        <v/>
      </c>
      <c r="F1173" s="63"/>
      <c r="G1173" s="63"/>
      <c r="H1173" s="60"/>
      <c r="I1173" s="60"/>
      <c r="J1173" s="63"/>
      <c r="K1173" s="61" t="str">
        <f aca="false">IF($P1173=0,"",IF($F1173="Baseline","— Baseline",IF($O1173=0,"No result",IF($N1173=0,"No Start (attainment only)",IF(OR($N1173=1,$O1173=1),"U – needs rule",INDEX(MxBody,MATCH($I1173,MxCurr,0),MATCH($H1173,MxStart,0)))))))</f>
        <v/>
      </c>
      <c r="L1173" s="62" t="str">
        <f aca="false">IF(COUNTA($A1173,$F1173,$G1173,$H1173,$I1173,$J1173)=0,"",IF($M1173=0,"✖ كود الصف غير موجود",IF(ISNA(MATCH($F1173,Lists!$A$2:$A$5,0)),"✖ الفترة غير صحيحة",IF(ISNA(MATCH($G1173,Lists!$B$2:$B$7,0)),"✖ المجموعة غير صحيحة",IF(NOT(OR($H1173="",$N1173&gt;0)),"✖ Start غير صحيح",IF(NOT(OR($I1173="",$I1173="NR",$O1173&gt;0)),"✖ Current غير صحيح",IF(NOT(IF(ISNUMBER($J1173),AND($J1173&gt;=0,$J1173=INT($J1173)),FALSE())),"✖ العدد يجب أن يكون صحيحًا ≥ 0",IF(AND($F1173="Baseline",$H1173&lt;&gt;""),"⚠ Baseline: Start لا يدخل في التقدم",IF($K1173="No Start (attainment only)","ℹ تحصيل فقط (بدون Start)",IF($K1173="U – needs rule","ℹ حالة U تحتاج قاعدة معتمدة",IF($K1173="No result","ℹ بدون نتيجة (يُستبعد من التحصيل)","OK")))))))))))</f>
        <v/>
      </c>
      <c r="M1173" s="64" t="n">
        <f aca="false">IF($A1173="",0,IFERROR(MATCH($A1173,Classes!$A$6:$A$420,0),0))</f>
        <v>0</v>
      </c>
      <c r="N1173" s="64" t="n">
        <f aca="false">IF($H1173="",0,IFERROR(MATCH($H1173,GradeList,0),0))</f>
        <v>0</v>
      </c>
      <c r="O1173" s="64" t="n">
        <f aca="false">IF(OR($I1173="",$I1173="NR"),0,IFERROR(MATCH($I1173,GradeList,0),0))</f>
        <v>0</v>
      </c>
      <c r="P1173" s="64" t="n">
        <f aca="false">IF(AND($M1173&gt;0,ISNUMBER(MATCH($F1173,Lists!$A$2:$A$5,0)),ISNUMBER(MATCH($G1173,Lists!$B$2:$B$7,0)),OR($H1173="",$N1173&gt;0),OR($I1173="",$I1173="NR",$O1173&gt;0),IF(ISNUMBER($J1173),AND($J1173&gt;=0,$J1173=INT($J1173)),FALSE())),$J1173,0)</f>
        <v>0</v>
      </c>
      <c r="Q1173" s="64" t="n">
        <f aca="false">IF(AND($P1173&gt;0,$O1173&gt;0),$P1173,0)</f>
        <v>0</v>
      </c>
      <c r="R1173" s="64" t="n">
        <f aca="false">IF(AND($Q1173&gt;0,$O1173&gt;=AtRank),$Q1173,0)</f>
        <v>0</v>
      </c>
      <c r="S1173" s="64" t="n">
        <f aca="false">IF(AND($Q1173&gt;0,$O1173&gt;=AboveRank),$Q1173,0)</f>
        <v>0</v>
      </c>
      <c r="T1173" s="64" t="n">
        <f aca="false">IF($K1173="Less",$P1173,0)</f>
        <v>0</v>
      </c>
      <c r="U1173" s="64" t="n">
        <f aca="false">IF($K1173="Expected",$P1173,0)</f>
        <v>0</v>
      </c>
      <c r="V1173" s="64" t="n">
        <f aca="false">IF($K1173="Better",$P1173,0)</f>
        <v>0</v>
      </c>
      <c r="W1173" s="64" t="n">
        <f aca="false">IF($K1173="U – needs rule",$P1173,0)</f>
        <v>0</v>
      </c>
      <c r="X1173" s="64" t="n">
        <f aca="false">IF($K1173="No Start (attainment only)",$P1173,0)</f>
        <v>0</v>
      </c>
    </row>
    <row r="1174" customFormat="false" ht="15" hidden="false" customHeight="false" outlineLevel="0" collapsed="false">
      <c r="A1174" s="60"/>
      <c r="B1174" s="61" t="str">
        <f aca="false">IF($M1174=0,"",INDEX(Classes!$E$6:$E$420,$M1174))</f>
        <v/>
      </c>
      <c r="C1174" s="62" t="str">
        <f aca="false">IF($M1174=0,"",INDEX(Classes!$H$6:$H$420,$M1174))</f>
        <v/>
      </c>
      <c r="D1174" s="61" t="str">
        <f aca="false">IF($M1174=0,"",INDEX(Classes!$B$6:$B$420,$M1174))</f>
        <v/>
      </c>
      <c r="E1174" s="61" t="str">
        <f aca="false">IF($M1174=0,"",INDEX(Classes!$C$6:$C$420,$M1174))</f>
        <v/>
      </c>
      <c r="F1174" s="63"/>
      <c r="G1174" s="63"/>
      <c r="H1174" s="60"/>
      <c r="I1174" s="60"/>
      <c r="J1174" s="63"/>
      <c r="K1174" s="61" t="str">
        <f aca="false">IF($P1174=0,"",IF($F1174="Baseline","— Baseline",IF($O1174=0,"No result",IF($N1174=0,"No Start (attainment only)",IF(OR($N1174=1,$O1174=1),"U – needs rule",INDEX(MxBody,MATCH($I1174,MxCurr,0),MATCH($H1174,MxStart,0)))))))</f>
        <v/>
      </c>
      <c r="L1174" s="62" t="str">
        <f aca="false">IF(COUNTA($A1174,$F1174,$G1174,$H1174,$I1174,$J1174)=0,"",IF($M1174=0,"✖ كود الصف غير موجود",IF(ISNA(MATCH($F1174,Lists!$A$2:$A$5,0)),"✖ الفترة غير صحيحة",IF(ISNA(MATCH($G1174,Lists!$B$2:$B$7,0)),"✖ المجموعة غير صحيحة",IF(NOT(OR($H1174="",$N1174&gt;0)),"✖ Start غير صحيح",IF(NOT(OR($I1174="",$I1174="NR",$O1174&gt;0)),"✖ Current غير صحيح",IF(NOT(IF(ISNUMBER($J1174),AND($J1174&gt;=0,$J1174=INT($J1174)),FALSE())),"✖ العدد يجب أن يكون صحيحًا ≥ 0",IF(AND($F1174="Baseline",$H1174&lt;&gt;""),"⚠ Baseline: Start لا يدخل في التقدم",IF($K1174="No Start (attainment only)","ℹ تحصيل فقط (بدون Start)",IF($K1174="U – needs rule","ℹ حالة U تحتاج قاعدة معتمدة",IF($K1174="No result","ℹ بدون نتيجة (يُستبعد من التحصيل)","OK")))))))))))</f>
        <v/>
      </c>
      <c r="M1174" s="64" t="n">
        <f aca="false">IF($A1174="",0,IFERROR(MATCH($A1174,Classes!$A$6:$A$420,0),0))</f>
        <v>0</v>
      </c>
      <c r="N1174" s="64" t="n">
        <f aca="false">IF($H1174="",0,IFERROR(MATCH($H1174,GradeList,0),0))</f>
        <v>0</v>
      </c>
      <c r="O1174" s="64" t="n">
        <f aca="false">IF(OR($I1174="",$I1174="NR"),0,IFERROR(MATCH($I1174,GradeList,0),0))</f>
        <v>0</v>
      </c>
      <c r="P1174" s="64" t="n">
        <f aca="false">IF(AND($M1174&gt;0,ISNUMBER(MATCH($F1174,Lists!$A$2:$A$5,0)),ISNUMBER(MATCH($G1174,Lists!$B$2:$B$7,0)),OR($H1174="",$N1174&gt;0),OR($I1174="",$I1174="NR",$O1174&gt;0),IF(ISNUMBER($J1174),AND($J1174&gt;=0,$J1174=INT($J1174)),FALSE())),$J1174,0)</f>
        <v>0</v>
      </c>
      <c r="Q1174" s="64" t="n">
        <f aca="false">IF(AND($P1174&gt;0,$O1174&gt;0),$P1174,0)</f>
        <v>0</v>
      </c>
      <c r="R1174" s="64" t="n">
        <f aca="false">IF(AND($Q1174&gt;0,$O1174&gt;=AtRank),$Q1174,0)</f>
        <v>0</v>
      </c>
      <c r="S1174" s="64" t="n">
        <f aca="false">IF(AND($Q1174&gt;0,$O1174&gt;=AboveRank),$Q1174,0)</f>
        <v>0</v>
      </c>
      <c r="T1174" s="64" t="n">
        <f aca="false">IF($K1174="Less",$P1174,0)</f>
        <v>0</v>
      </c>
      <c r="U1174" s="64" t="n">
        <f aca="false">IF($K1174="Expected",$P1174,0)</f>
        <v>0</v>
      </c>
      <c r="V1174" s="64" t="n">
        <f aca="false">IF($K1174="Better",$P1174,0)</f>
        <v>0</v>
      </c>
      <c r="W1174" s="64" t="n">
        <f aca="false">IF($K1174="U – needs rule",$P1174,0)</f>
        <v>0</v>
      </c>
      <c r="X1174" s="64" t="n">
        <f aca="false">IF($K1174="No Start (attainment only)",$P1174,0)</f>
        <v>0</v>
      </c>
    </row>
    <row r="1175" customFormat="false" ht="15" hidden="false" customHeight="false" outlineLevel="0" collapsed="false">
      <c r="A1175" s="60"/>
      <c r="B1175" s="61" t="str">
        <f aca="false">IF($M1175=0,"",INDEX(Classes!$E$6:$E$420,$M1175))</f>
        <v/>
      </c>
      <c r="C1175" s="62" t="str">
        <f aca="false">IF($M1175=0,"",INDEX(Classes!$H$6:$H$420,$M1175))</f>
        <v/>
      </c>
      <c r="D1175" s="61" t="str">
        <f aca="false">IF($M1175=0,"",INDEX(Classes!$B$6:$B$420,$M1175))</f>
        <v/>
      </c>
      <c r="E1175" s="61" t="str">
        <f aca="false">IF($M1175=0,"",INDEX(Classes!$C$6:$C$420,$M1175))</f>
        <v/>
      </c>
      <c r="F1175" s="63"/>
      <c r="G1175" s="63"/>
      <c r="H1175" s="60"/>
      <c r="I1175" s="60"/>
      <c r="J1175" s="63"/>
      <c r="K1175" s="61" t="str">
        <f aca="false">IF($P1175=0,"",IF($F1175="Baseline","— Baseline",IF($O1175=0,"No result",IF($N1175=0,"No Start (attainment only)",IF(OR($N1175=1,$O1175=1),"U – needs rule",INDEX(MxBody,MATCH($I1175,MxCurr,0),MATCH($H1175,MxStart,0)))))))</f>
        <v/>
      </c>
      <c r="L1175" s="62" t="str">
        <f aca="false">IF(COUNTA($A1175,$F1175,$G1175,$H1175,$I1175,$J1175)=0,"",IF($M1175=0,"✖ كود الصف غير موجود",IF(ISNA(MATCH($F1175,Lists!$A$2:$A$5,0)),"✖ الفترة غير صحيحة",IF(ISNA(MATCH($G1175,Lists!$B$2:$B$7,0)),"✖ المجموعة غير صحيحة",IF(NOT(OR($H1175="",$N1175&gt;0)),"✖ Start غير صحيح",IF(NOT(OR($I1175="",$I1175="NR",$O1175&gt;0)),"✖ Current غير صحيح",IF(NOT(IF(ISNUMBER($J1175),AND($J1175&gt;=0,$J1175=INT($J1175)),FALSE())),"✖ العدد يجب أن يكون صحيحًا ≥ 0",IF(AND($F1175="Baseline",$H1175&lt;&gt;""),"⚠ Baseline: Start لا يدخل في التقدم",IF($K1175="No Start (attainment only)","ℹ تحصيل فقط (بدون Start)",IF($K1175="U – needs rule","ℹ حالة U تحتاج قاعدة معتمدة",IF($K1175="No result","ℹ بدون نتيجة (يُستبعد من التحصيل)","OK")))))))))))</f>
        <v/>
      </c>
      <c r="M1175" s="64" t="n">
        <f aca="false">IF($A1175="",0,IFERROR(MATCH($A1175,Classes!$A$6:$A$420,0),0))</f>
        <v>0</v>
      </c>
      <c r="N1175" s="64" t="n">
        <f aca="false">IF($H1175="",0,IFERROR(MATCH($H1175,GradeList,0),0))</f>
        <v>0</v>
      </c>
      <c r="O1175" s="64" t="n">
        <f aca="false">IF(OR($I1175="",$I1175="NR"),0,IFERROR(MATCH($I1175,GradeList,0),0))</f>
        <v>0</v>
      </c>
      <c r="P1175" s="64" t="n">
        <f aca="false">IF(AND($M1175&gt;0,ISNUMBER(MATCH($F1175,Lists!$A$2:$A$5,0)),ISNUMBER(MATCH($G1175,Lists!$B$2:$B$7,0)),OR($H1175="",$N1175&gt;0),OR($I1175="",$I1175="NR",$O1175&gt;0),IF(ISNUMBER($J1175),AND($J1175&gt;=0,$J1175=INT($J1175)),FALSE())),$J1175,0)</f>
        <v>0</v>
      </c>
      <c r="Q1175" s="64" t="n">
        <f aca="false">IF(AND($P1175&gt;0,$O1175&gt;0),$P1175,0)</f>
        <v>0</v>
      </c>
      <c r="R1175" s="64" t="n">
        <f aca="false">IF(AND($Q1175&gt;0,$O1175&gt;=AtRank),$Q1175,0)</f>
        <v>0</v>
      </c>
      <c r="S1175" s="64" t="n">
        <f aca="false">IF(AND($Q1175&gt;0,$O1175&gt;=AboveRank),$Q1175,0)</f>
        <v>0</v>
      </c>
      <c r="T1175" s="64" t="n">
        <f aca="false">IF($K1175="Less",$P1175,0)</f>
        <v>0</v>
      </c>
      <c r="U1175" s="64" t="n">
        <f aca="false">IF($K1175="Expected",$P1175,0)</f>
        <v>0</v>
      </c>
      <c r="V1175" s="64" t="n">
        <f aca="false">IF($K1175="Better",$P1175,0)</f>
        <v>0</v>
      </c>
      <c r="W1175" s="64" t="n">
        <f aca="false">IF($K1175="U – needs rule",$P1175,0)</f>
        <v>0</v>
      </c>
      <c r="X1175" s="64" t="n">
        <f aca="false">IF($K1175="No Start (attainment only)",$P1175,0)</f>
        <v>0</v>
      </c>
    </row>
    <row r="1176" customFormat="false" ht="15" hidden="false" customHeight="false" outlineLevel="0" collapsed="false">
      <c r="A1176" s="60"/>
      <c r="B1176" s="61" t="str">
        <f aca="false">IF($M1176=0,"",INDEX(Classes!$E$6:$E$420,$M1176))</f>
        <v/>
      </c>
      <c r="C1176" s="62" t="str">
        <f aca="false">IF($M1176=0,"",INDEX(Classes!$H$6:$H$420,$M1176))</f>
        <v/>
      </c>
      <c r="D1176" s="61" t="str">
        <f aca="false">IF($M1176=0,"",INDEX(Classes!$B$6:$B$420,$M1176))</f>
        <v/>
      </c>
      <c r="E1176" s="61" t="str">
        <f aca="false">IF($M1176=0,"",INDEX(Classes!$C$6:$C$420,$M1176))</f>
        <v/>
      </c>
      <c r="F1176" s="63"/>
      <c r="G1176" s="63"/>
      <c r="H1176" s="60"/>
      <c r="I1176" s="60"/>
      <c r="J1176" s="63"/>
      <c r="K1176" s="61" t="str">
        <f aca="false">IF($P1176=0,"",IF($F1176="Baseline","— Baseline",IF($O1176=0,"No result",IF($N1176=0,"No Start (attainment only)",IF(OR($N1176=1,$O1176=1),"U – needs rule",INDEX(MxBody,MATCH($I1176,MxCurr,0),MATCH($H1176,MxStart,0)))))))</f>
        <v/>
      </c>
      <c r="L1176" s="62" t="str">
        <f aca="false">IF(COUNTA($A1176,$F1176,$G1176,$H1176,$I1176,$J1176)=0,"",IF($M1176=0,"✖ كود الصف غير موجود",IF(ISNA(MATCH($F1176,Lists!$A$2:$A$5,0)),"✖ الفترة غير صحيحة",IF(ISNA(MATCH($G1176,Lists!$B$2:$B$7,0)),"✖ المجموعة غير صحيحة",IF(NOT(OR($H1176="",$N1176&gt;0)),"✖ Start غير صحيح",IF(NOT(OR($I1176="",$I1176="NR",$O1176&gt;0)),"✖ Current غير صحيح",IF(NOT(IF(ISNUMBER($J1176),AND($J1176&gt;=0,$J1176=INT($J1176)),FALSE())),"✖ العدد يجب أن يكون صحيحًا ≥ 0",IF(AND($F1176="Baseline",$H1176&lt;&gt;""),"⚠ Baseline: Start لا يدخل في التقدم",IF($K1176="No Start (attainment only)","ℹ تحصيل فقط (بدون Start)",IF($K1176="U – needs rule","ℹ حالة U تحتاج قاعدة معتمدة",IF($K1176="No result","ℹ بدون نتيجة (يُستبعد من التحصيل)","OK")))))))))))</f>
        <v/>
      </c>
      <c r="M1176" s="64" t="n">
        <f aca="false">IF($A1176="",0,IFERROR(MATCH($A1176,Classes!$A$6:$A$420,0),0))</f>
        <v>0</v>
      </c>
      <c r="N1176" s="64" t="n">
        <f aca="false">IF($H1176="",0,IFERROR(MATCH($H1176,GradeList,0),0))</f>
        <v>0</v>
      </c>
      <c r="O1176" s="64" t="n">
        <f aca="false">IF(OR($I1176="",$I1176="NR"),0,IFERROR(MATCH($I1176,GradeList,0),0))</f>
        <v>0</v>
      </c>
      <c r="P1176" s="64" t="n">
        <f aca="false">IF(AND($M1176&gt;0,ISNUMBER(MATCH($F1176,Lists!$A$2:$A$5,0)),ISNUMBER(MATCH($G1176,Lists!$B$2:$B$7,0)),OR($H1176="",$N1176&gt;0),OR($I1176="",$I1176="NR",$O1176&gt;0),IF(ISNUMBER($J1176),AND($J1176&gt;=0,$J1176=INT($J1176)),FALSE())),$J1176,0)</f>
        <v>0</v>
      </c>
      <c r="Q1176" s="64" t="n">
        <f aca="false">IF(AND($P1176&gt;0,$O1176&gt;0),$P1176,0)</f>
        <v>0</v>
      </c>
      <c r="R1176" s="64" t="n">
        <f aca="false">IF(AND($Q1176&gt;0,$O1176&gt;=AtRank),$Q1176,0)</f>
        <v>0</v>
      </c>
      <c r="S1176" s="64" t="n">
        <f aca="false">IF(AND($Q1176&gt;0,$O1176&gt;=AboveRank),$Q1176,0)</f>
        <v>0</v>
      </c>
      <c r="T1176" s="64" t="n">
        <f aca="false">IF($K1176="Less",$P1176,0)</f>
        <v>0</v>
      </c>
      <c r="U1176" s="64" t="n">
        <f aca="false">IF($K1176="Expected",$P1176,0)</f>
        <v>0</v>
      </c>
      <c r="V1176" s="64" t="n">
        <f aca="false">IF($K1176="Better",$P1176,0)</f>
        <v>0</v>
      </c>
      <c r="W1176" s="64" t="n">
        <f aca="false">IF($K1176="U – needs rule",$P1176,0)</f>
        <v>0</v>
      </c>
      <c r="X1176" s="64" t="n">
        <f aca="false">IF($K1176="No Start (attainment only)",$P1176,0)</f>
        <v>0</v>
      </c>
    </row>
    <row r="1177" customFormat="false" ht="15" hidden="false" customHeight="false" outlineLevel="0" collapsed="false">
      <c r="A1177" s="60"/>
      <c r="B1177" s="61" t="str">
        <f aca="false">IF($M1177=0,"",INDEX(Classes!$E$6:$E$420,$M1177))</f>
        <v/>
      </c>
      <c r="C1177" s="62" t="str">
        <f aca="false">IF($M1177=0,"",INDEX(Classes!$H$6:$H$420,$M1177))</f>
        <v/>
      </c>
      <c r="D1177" s="61" t="str">
        <f aca="false">IF($M1177=0,"",INDEX(Classes!$B$6:$B$420,$M1177))</f>
        <v/>
      </c>
      <c r="E1177" s="61" t="str">
        <f aca="false">IF($M1177=0,"",INDEX(Classes!$C$6:$C$420,$M1177))</f>
        <v/>
      </c>
      <c r="F1177" s="63"/>
      <c r="G1177" s="63"/>
      <c r="H1177" s="60"/>
      <c r="I1177" s="60"/>
      <c r="J1177" s="63"/>
      <c r="K1177" s="61" t="str">
        <f aca="false">IF($P1177=0,"",IF($F1177="Baseline","— Baseline",IF($O1177=0,"No result",IF($N1177=0,"No Start (attainment only)",IF(OR($N1177=1,$O1177=1),"U – needs rule",INDEX(MxBody,MATCH($I1177,MxCurr,0),MATCH($H1177,MxStart,0)))))))</f>
        <v/>
      </c>
      <c r="L1177" s="62" t="str">
        <f aca="false">IF(COUNTA($A1177,$F1177,$G1177,$H1177,$I1177,$J1177)=0,"",IF($M1177=0,"✖ كود الصف غير موجود",IF(ISNA(MATCH($F1177,Lists!$A$2:$A$5,0)),"✖ الفترة غير صحيحة",IF(ISNA(MATCH($G1177,Lists!$B$2:$B$7,0)),"✖ المجموعة غير صحيحة",IF(NOT(OR($H1177="",$N1177&gt;0)),"✖ Start غير صحيح",IF(NOT(OR($I1177="",$I1177="NR",$O1177&gt;0)),"✖ Current غير صحيح",IF(NOT(IF(ISNUMBER($J1177),AND($J1177&gt;=0,$J1177=INT($J1177)),FALSE())),"✖ العدد يجب أن يكون صحيحًا ≥ 0",IF(AND($F1177="Baseline",$H1177&lt;&gt;""),"⚠ Baseline: Start لا يدخل في التقدم",IF($K1177="No Start (attainment only)","ℹ تحصيل فقط (بدون Start)",IF($K1177="U – needs rule","ℹ حالة U تحتاج قاعدة معتمدة",IF($K1177="No result","ℹ بدون نتيجة (يُستبعد من التحصيل)","OK")))))))))))</f>
        <v/>
      </c>
      <c r="M1177" s="64" t="n">
        <f aca="false">IF($A1177="",0,IFERROR(MATCH($A1177,Classes!$A$6:$A$420,0),0))</f>
        <v>0</v>
      </c>
      <c r="N1177" s="64" t="n">
        <f aca="false">IF($H1177="",0,IFERROR(MATCH($H1177,GradeList,0),0))</f>
        <v>0</v>
      </c>
      <c r="O1177" s="64" t="n">
        <f aca="false">IF(OR($I1177="",$I1177="NR"),0,IFERROR(MATCH($I1177,GradeList,0),0))</f>
        <v>0</v>
      </c>
      <c r="P1177" s="64" t="n">
        <f aca="false">IF(AND($M1177&gt;0,ISNUMBER(MATCH($F1177,Lists!$A$2:$A$5,0)),ISNUMBER(MATCH($G1177,Lists!$B$2:$B$7,0)),OR($H1177="",$N1177&gt;0),OR($I1177="",$I1177="NR",$O1177&gt;0),IF(ISNUMBER($J1177),AND($J1177&gt;=0,$J1177=INT($J1177)),FALSE())),$J1177,0)</f>
        <v>0</v>
      </c>
      <c r="Q1177" s="64" t="n">
        <f aca="false">IF(AND($P1177&gt;0,$O1177&gt;0),$P1177,0)</f>
        <v>0</v>
      </c>
      <c r="R1177" s="64" t="n">
        <f aca="false">IF(AND($Q1177&gt;0,$O1177&gt;=AtRank),$Q1177,0)</f>
        <v>0</v>
      </c>
      <c r="S1177" s="64" t="n">
        <f aca="false">IF(AND($Q1177&gt;0,$O1177&gt;=AboveRank),$Q1177,0)</f>
        <v>0</v>
      </c>
      <c r="T1177" s="64" t="n">
        <f aca="false">IF($K1177="Less",$P1177,0)</f>
        <v>0</v>
      </c>
      <c r="U1177" s="64" t="n">
        <f aca="false">IF($K1177="Expected",$P1177,0)</f>
        <v>0</v>
      </c>
      <c r="V1177" s="64" t="n">
        <f aca="false">IF($K1177="Better",$P1177,0)</f>
        <v>0</v>
      </c>
      <c r="W1177" s="64" t="n">
        <f aca="false">IF($K1177="U – needs rule",$P1177,0)</f>
        <v>0</v>
      </c>
      <c r="X1177" s="64" t="n">
        <f aca="false">IF($K1177="No Start (attainment only)",$P1177,0)</f>
        <v>0</v>
      </c>
    </row>
    <row r="1178" customFormat="false" ht="15" hidden="false" customHeight="false" outlineLevel="0" collapsed="false">
      <c r="A1178" s="60"/>
      <c r="B1178" s="61" t="str">
        <f aca="false">IF($M1178=0,"",INDEX(Classes!$E$6:$E$420,$M1178))</f>
        <v/>
      </c>
      <c r="C1178" s="62" t="str">
        <f aca="false">IF($M1178=0,"",INDEX(Classes!$H$6:$H$420,$M1178))</f>
        <v/>
      </c>
      <c r="D1178" s="61" t="str">
        <f aca="false">IF($M1178=0,"",INDEX(Classes!$B$6:$B$420,$M1178))</f>
        <v/>
      </c>
      <c r="E1178" s="61" t="str">
        <f aca="false">IF($M1178=0,"",INDEX(Classes!$C$6:$C$420,$M1178))</f>
        <v/>
      </c>
      <c r="F1178" s="63"/>
      <c r="G1178" s="63"/>
      <c r="H1178" s="60"/>
      <c r="I1178" s="60"/>
      <c r="J1178" s="63"/>
      <c r="K1178" s="61" t="str">
        <f aca="false">IF($P1178=0,"",IF($F1178="Baseline","— Baseline",IF($O1178=0,"No result",IF($N1178=0,"No Start (attainment only)",IF(OR($N1178=1,$O1178=1),"U – needs rule",INDEX(MxBody,MATCH($I1178,MxCurr,0),MATCH($H1178,MxStart,0)))))))</f>
        <v/>
      </c>
      <c r="L1178" s="62" t="str">
        <f aca="false">IF(COUNTA($A1178,$F1178,$G1178,$H1178,$I1178,$J1178)=0,"",IF($M1178=0,"✖ كود الصف غير موجود",IF(ISNA(MATCH($F1178,Lists!$A$2:$A$5,0)),"✖ الفترة غير صحيحة",IF(ISNA(MATCH($G1178,Lists!$B$2:$B$7,0)),"✖ المجموعة غير صحيحة",IF(NOT(OR($H1178="",$N1178&gt;0)),"✖ Start غير صحيح",IF(NOT(OR($I1178="",$I1178="NR",$O1178&gt;0)),"✖ Current غير صحيح",IF(NOT(IF(ISNUMBER($J1178),AND($J1178&gt;=0,$J1178=INT($J1178)),FALSE())),"✖ العدد يجب أن يكون صحيحًا ≥ 0",IF(AND($F1178="Baseline",$H1178&lt;&gt;""),"⚠ Baseline: Start لا يدخل في التقدم",IF($K1178="No Start (attainment only)","ℹ تحصيل فقط (بدون Start)",IF($K1178="U – needs rule","ℹ حالة U تحتاج قاعدة معتمدة",IF($K1178="No result","ℹ بدون نتيجة (يُستبعد من التحصيل)","OK")))))))))))</f>
        <v/>
      </c>
      <c r="M1178" s="64" t="n">
        <f aca="false">IF($A1178="",0,IFERROR(MATCH($A1178,Classes!$A$6:$A$420,0),0))</f>
        <v>0</v>
      </c>
      <c r="N1178" s="64" t="n">
        <f aca="false">IF($H1178="",0,IFERROR(MATCH($H1178,GradeList,0),0))</f>
        <v>0</v>
      </c>
      <c r="O1178" s="64" t="n">
        <f aca="false">IF(OR($I1178="",$I1178="NR"),0,IFERROR(MATCH($I1178,GradeList,0),0))</f>
        <v>0</v>
      </c>
      <c r="P1178" s="64" t="n">
        <f aca="false">IF(AND($M1178&gt;0,ISNUMBER(MATCH($F1178,Lists!$A$2:$A$5,0)),ISNUMBER(MATCH($G1178,Lists!$B$2:$B$7,0)),OR($H1178="",$N1178&gt;0),OR($I1178="",$I1178="NR",$O1178&gt;0),IF(ISNUMBER($J1178),AND($J1178&gt;=0,$J1178=INT($J1178)),FALSE())),$J1178,0)</f>
        <v>0</v>
      </c>
      <c r="Q1178" s="64" t="n">
        <f aca="false">IF(AND($P1178&gt;0,$O1178&gt;0),$P1178,0)</f>
        <v>0</v>
      </c>
      <c r="R1178" s="64" t="n">
        <f aca="false">IF(AND($Q1178&gt;0,$O1178&gt;=AtRank),$Q1178,0)</f>
        <v>0</v>
      </c>
      <c r="S1178" s="64" t="n">
        <f aca="false">IF(AND($Q1178&gt;0,$O1178&gt;=AboveRank),$Q1178,0)</f>
        <v>0</v>
      </c>
      <c r="T1178" s="64" t="n">
        <f aca="false">IF($K1178="Less",$P1178,0)</f>
        <v>0</v>
      </c>
      <c r="U1178" s="64" t="n">
        <f aca="false">IF($K1178="Expected",$P1178,0)</f>
        <v>0</v>
      </c>
      <c r="V1178" s="64" t="n">
        <f aca="false">IF($K1178="Better",$P1178,0)</f>
        <v>0</v>
      </c>
      <c r="W1178" s="64" t="n">
        <f aca="false">IF($K1178="U – needs rule",$P1178,0)</f>
        <v>0</v>
      </c>
      <c r="X1178" s="64" t="n">
        <f aca="false">IF($K1178="No Start (attainment only)",$P1178,0)</f>
        <v>0</v>
      </c>
    </row>
    <row r="1179" customFormat="false" ht="15" hidden="false" customHeight="false" outlineLevel="0" collapsed="false">
      <c r="A1179" s="60"/>
      <c r="B1179" s="61" t="str">
        <f aca="false">IF($M1179=0,"",INDEX(Classes!$E$6:$E$420,$M1179))</f>
        <v/>
      </c>
      <c r="C1179" s="62" t="str">
        <f aca="false">IF($M1179=0,"",INDEX(Classes!$H$6:$H$420,$M1179))</f>
        <v/>
      </c>
      <c r="D1179" s="61" t="str">
        <f aca="false">IF($M1179=0,"",INDEX(Classes!$B$6:$B$420,$M1179))</f>
        <v/>
      </c>
      <c r="E1179" s="61" t="str">
        <f aca="false">IF($M1179=0,"",INDEX(Classes!$C$6:$C$420,$M1179))</f>
        <v/>
      </c>
      <c r="F1179" s="63"/>
      <c r="G1179" s="63"/>
      <c r="H1179" s="60"/>
      <c r="I1179" s="60"/>
      <c r="J1179" s="63"/>
      <c r="K1179" s="61" t="str">
        <f aca="false">IF($P1179=0,"",IF($F1179="Baseline","— Baseline",IF($O1179=0,"No result",IF($N1179=0,"No Start (attainment only)",IF(OR($N1179=1,$O1179=1),"U – needs rule",INDEX(MxBody,MATCH($I1179,MxCurr,0),MATCH($H1179,MxStart,0)))))))</f>
        <v/>
      </c>
      <c r="L1179" s="62" t="str">
        <f aca="false">IF(COUNTA($A1179,$F1179,$G1179,$H1179,$I1179,$J1179)=0,"",IF($M1179=0,"✖ كود الصف غير موجود",IF(ISNA(MATCH($F1179,Lists!$A$2:$A$5,0)),"✖ الفترة غير صحيحة",IF(ISNA(MATCH($G1179,Lists!$B$2:$B$7,0)),"✖ المجموعة غير صحيحة",IF(NOT(OR($H1179="",$N1179&gt;0)),"✖ Start غير صحيح",IF(NOT(OR($I1179="",$I1179="NR",$O1179&gt;0)),"✖ Current غير صحيح",IF(NOT(IF(ISNUMBER($J1179),AND($J1179&gt;=0,$J1179=INT($J1179)),FALSE())),"✖ العدد يجب أن يكون صحيحًا ≥ 0",IF(AND($F1179="Baseline",$H1179&lt;&gt;""),"⚠ Baseline: Start لا يدخل في التقدم",IF($K1179="No Start (attainment only)","ℹ تحصيل فقط (بدون Start)",IF($K1179="U – needs rule","ℹ حالة U تحتاج قاعدة معتمدة",IF($K1179="No result","ℹ بدون نتيجة (يُستبعد من التحصيل)","OK")))))))))))</f>
        <v/>
      </c>
      <c r="M1179" s="64" t="n">
        <f aca="false">IF($A1179="",0,IFERROR(MATCH($A1179,Classes!$A$6:$A$420,0),0))</f>
        <v>0</v>
      </c>
      <c r="N1179" s="64" t="n">
        <f aca="false">IF($H1179="",0,IFERROR(MATCH($H1179,GradeList,0),0))</f>
        <v>0</v>
      </c>
      <c r="O1179" s="64" t="n">
        <f aca="false">IF(OR($I1179="",$I1179="NR"),0,IFERROR(MATCH($I1179,GradeList,0),0))</f>
        <v>0</v>
      </c>
      <c r="P1179" s="64" t="n">
        <f aca="false">IF(AND($M1179&gt;0,ISNUMBER(MATCH($F1179,Lists!$A$2:$A$5,0)),ISNUMBER(MATCH($G1179,Lists!$B$2:$B$7,0)),OR($H1179="",$N1179&gt;0),OR($I1179="",$I1179="NR",$O1179&gt;0),IF(ISNUMBER($J1179),AND($J1179&gt;=0,$J1179=INT($J1179)),FALSE())),$J1179,0)</f>
        <v>0</v>
      </c>
      <c r="Q1179" s="64" t="n">
        <f aca="false">IF(AND($P1179&gt;0,$O1179&gt;0),$P1179,0)</f>
        <v>0</v>
      </c>
      <c r="R1179" s="64" t="n">
        <f aca="false">IF(AND($Q1179&gt;0,$O1179&gt;=AtRank),$Q1179,0)</f>
        <v>0</v>
      </c>
      <c r="S1179" s="64" t="n">
        <f aca="false">IF(AND($Q1179&gt;0,$O1179&gt;=AboveRank),$Q1179,0)</f>
        <v>0</v>
      </c>
      <c r="T1179" s="64" t="n">
        <f aca="false">IF($K1179="Less",$P1179,0)</f>
        <v>0</v>
      </c>
      <c r="U1179" s="64" t="n">
        <f aca="false">IF($K1179="Expected",$P1179,0)</f>
        <v>0</v>
      </c>
      <c r="V1179" s="64" t="n">
        <f aca="false">IF($K1179="Better",$P1179,0)</f>
        <v>0</v>
      </c>
      <c r="W1179" s="64" t="n">
        <f aca="false">IF($K1179="U – needs rule",$P1179,0)</f>
        <v>0</v>
      </c>
      <c r="X1179" s="64" t="n">
        <f aca="false">IF($K1179="No Start (attainment only)",$P1179,0)</f>
        <v>0</v>
      </c>
    </row>
    <row r="1180" customFormat="false" ht="15" hidden="false" customHeight="false" outlineLevel="0" collapsed="false">
      <c r="A1180" s="60"/>
      <c r="B1180" s="61" t="str">
        <f aca="false">IF($M1180=0,"",INDEX(Classes!$E$6:$E$420,$M1180))</f>
        <v/>
      </c>
      <c r="C1180" s="62" t="str">
        <f aca="false">IF($M1180=0,"",INDEX(Classes!$H$6:$H$420,$M1180))</f>
        <v/>
      </c>
      <c r="D1180" s="61" t="str">
        <f aca="false">IF($M1180=0,"",INDEX(Classes!$B$6:$B$420,$M1180))</f>
        <v/>
      </c>
      <c r="E1180" s="61" t="str">
        <f aca="false">IF($M1180=0,"",INDEX(Classes!$C$6:$C$420,$M1180))</f>
        <v/>
      </c>
      <c r="F1180" s="63"/>
      <c r="G1180" s="63"/>
      <c r="H1180" s="60"/>
      <c r="I1180" s="60"/>
      <c r="J1180" s="63"/>
      <c r="K1180" s="61" t="str">
        <f aca="false">IF($P1180=0,"",IF($F1180="Baseline","— Baseline",IF($O1180=0,"No result",IF($N1180=0,"No Start (attainment only)",IF(OR($N1180=1,$O1180=1),"U – needs rule",INDEX(MxBody,MATCH($I1180,MxCurr,0),MATCH($H1180,MxStart,0)))))))</f>
        <v/>
      </c>
      <c r="L1180" s="62" t="str">
        <f aca="false">IF(COUNTA($A1180,$F1180,$G1180,$H1180,$I1180,$J1180)=0,"",IF($M1180=0,"✖ كود الصف غير موجود",IF(ISNA(MATCH($F1180,Lists!$A$2:$A$5,0)),"✖ الفترة غير صحيحة",IF(ISNA(MATCH($G1180,Lists!$B$2:$B$7,0)),"✖ المجموعة غير صحيحة",IF(NOT(OR($H1180="",$N1180&gt;0)),"✖ Start غير صحيح",IF(NOT(OR($I1180="",$I1180="NR",$O1180&gt;0)),"✖ Current غير صحيح",IF(NOT(IF(ISNUMBER($J1180),AND($J1180&gt;=0,$J1180=INT($J1180)),FALSE())),"✖ العدد يجب أن يكون صحيحًا ≥ 0",IF(AND($F1180="Baseline",$H1180&lt;&gt;""),"⚠ Baseline: Start لا يدخل في التقدم",IF($K1180="No Start (attainment only)","ℹ تحصيل فقط (بدون Start)",IF($K1180="U – needs rule","ℹ حالة U تحتاج قاعدة معتمدة",IF($K1180="No result","ℹ بدون نتيجة (يُستبعد من التحصيل)","OK")))))))))))</f>
        <v/>
      </c>
      <c r="M1180" s="64" t="n">
        <f aca="false">IF($A1180="",0,IFERROR(MATCH($A1180,Classes!$A$6:$A$420,0),0))</f>
        <v>0</v>
      </c>
      <c r="N1180" s="64" t="n">
        <f aca="false">IF($H1180="",0,IFERROR(MATCH($H1180,GradeList,0),0))</f>
        <v>0</v>
      </c>
      <c r="O1180" s="64" t="n">
        <f aca="false">IF(OR($I1180="",$I1180="NR"),0,IFERROR(MATCH($I1180,GradeList,0),0))</f>
        <v>0</v>
      </c>
      <c r="P1180" s="64" t="n">
        <f aca="false">IF(AND($M1180&gt;0,ISNUMBER(MATCH($F1180,Lists!$A$2:$A$5,0)),ISNUMBER(MATCH($G1180,Lists!$B$2:$B$7,0)),OR($H1180="",$N1180&gt;0),OR($I1180="",$I1180="NR",$O1180&gt;0),IF(ISNUMBER($J1180),AND($J1180&gt;=0,$J1180=INT($J1180)),FALSE())),$J1180,0)</f>
        <v>0</v>
      </c>
      <c r="Q1180" s="64" t="n">
        <f aca="false">IF(AND($P1180&gt;0,$O1180&gt;0),$P1180,0)</f>
        <v>0</v>
      </c>
      <c r="R1180" s="64" t="n">
        <f aca="false">IF(AND($Q1180&gt;0,$O1180&gt;=AtRank),$Q1180,0)</f>
        <v>0</v>
      </c>
      <c r="S1180" s="64" t="n">
        <f aca="false">IF(AND($Q1180&gt;0,$O1180&gt;=AboveRank),$Q1180,0)</f>
        <v>0</v>
      </c>
      <c r="T1180" s="64" t="n">
        <f aca="false">IF($K1180="Less",$P1180,0)</f>
        <v>0</v>
      </c>
      <c r="U1180" s="64" t="n">
        <f aca="false">IF($K1180="Expected",$P1180,0)</f>
        <v>0</v>
      </c>
      <c r="V1180" s="64" t="n">
        <f aca="false">IF($K1180="Better",$P1180,0)</f>
        <v>0</v>
      </c>
      <c r="W1180" s="64" t="n">
        <f aca="false">IF($K1180="U – needs rule",$P1180,0)</f>
        <v>0</v>
      </c>
      <c r="X1180" s="64" t="n">
        <f aca="false">IF($K1180="No Start (attainment only)",$P1180,0)</f>
        <v>0</v>
      </c>
    </row>
    <row r="1181" customFormat="false" ht="15" hidden="false" customHeight="false" outlineLevel="0" collapsed="false">
      <c r="A1181" s="60"/>
      <c r="B1181" s="61" t="str">
        <f aca="false">IF($M1181=0,"",INDEX(Classes!$E$6:$E$420,$M1181))</f>
        <v/>
      </c>
      <c r="C1181" s="62" t="str">
        <f aca="false">IF($M1181=0,"",INDEX(Classes!$H$6:$H$420,$M1181))</f>
        <v/>
      </c>
      <c r="D1181" s="61" t="str">
        <f aca="false">IF($M1181=0,"",INDEX(Classes!$B$6:$B$420,$M1181))</f>
        <v/>
      </c>
      <c r="E1181" s="61" t="str">
        <f aca="false">IF($M1181=0,"",INDEX(Classes!$C$6:$C$420,$M1181))</f>
        <v/>
      </c>
      <c r="F1181" s="63"/>
      <c r="G1181" s="63"/>
      <c r="H1181" s="60"/>
      <c r="I1181" s="60"/>
      <c r="J1181" s="63"/>
      <c r="K1181" s="61" t="str">
        <f aca="false">IF($P1181=0,"",IF($F1181="Baseline","— Baseline",IF($O1181=0,"No result",IF($N1181=0,"No Start (attainment only)",IF(OR($N1181=1,$O1181=1),"U – needs rule",INDEX(MxBody,MATCH($I1181,MxCurr,0),MATCH($H1181,MxStart,0)))))))</f>
        <v/>
      </c>
      <c r="L1181" s="62" t="str">
        <f aca="false">IF(COUNTA($A1181,$F1181,$G1181,$H1181,$I1181,$J1181)=0,"",IF($M1181=0,"✖ كود الصف غير موجود",IF(ISNA(MATCH($F1181,Lists!$A$2:$A$5,0)),"✖ الفترة غير صحيحة",IF(ISNA(MATCH($G1181,Lists!$B$2:$B$7,0)),"✖ المجموعة غير صحيحة",IF(NOT(OR($H1181="",$N1181&gt;0)),"✖ Start غير صحيح",IF(NOT(OR($I1181="",$I1181="NR",$O1181&gt;0)),"✖ Current غير صحيح",IF(NOT(IF(ISNUMBER($J1181),AND($J1181&gt;=0,$J1181=INT($J1181)),FALSE())),"✖ العدد يجب أن يكون صحيحًا ≥ 0",IF(AND($F1181="Baseline",$H1181&lt;&gt;""),"⚠ Baseline: Start لا يدخل في التقدم",IF($K1181="No Start (attainment only)","ℹ تحصيل فقط (بدون Start)",IF($K1181="U – needs rule","ℹ حالة U تحتاج قاعدة معتمدة",IF($K1181="No result","ℹ بدون نتيجة (يُستبعد من التحصيل)","OK")))))))))))</f>
        <v/>
      </c>
      <c r="M1181" s="64" t="n">
        <f aca="false">IF($A1181="",0,IFERROR(MATCH($A1181,Classes!$A$6:$A$420,0),0))</f>
        <v>0</v>
      </c>
      <c r="N1181" s="64" t="n">
        <f aca="false">IF($H1181="",0,IFERROR(MATCH($H1181,GradeList,0),0))</f>
        <v>0</v>
      </c>
      <c r="O1181" s="64" t="n">
        <f aca="false">IF(OR($I1181="",$I1181="NR"),0,IFERROR(MATCH($I1181,GradeList,0),0))</f>
        <v>0</v>
      </c>
      <c r="P1181" s="64" t="n">
        <f aca="false">IF(AND($M1181&gt;0,ISNUMBER(MATCH($F1181,Lists!$A$2:$A$5,0)),ISNUMBER(MATCH($G1181,Lists!$B$2:$B$7,0)),OR($H1181="",$N1181&gt;0),OR($I1181="",$I1181="NR",$O1181&gt;0),IF(ISNUMBER($J1181),AND($J1181&gt;=0,$J1181=INT($J1181)),FALSE())),$J1181,0)</f>
        <v>0</v>
      </c>
      <c r="Q1181" s="64" t="n">
        <f aca="false">IF(AND($P1181&gt;0,$O1181&gt;0),$P1181,0)</f>
        <v>0</v>
      </c>
      <c r="R1181" s="64" t="n">
        <f aca="false">IF(AND($Q1181&gt;0,$O1181&gt;=AtRank),$Q1181,0)</f>
        <v>0</v>
      </c>
      <c r="S1181" s="64" t="n">
        <f aca="false">IF(AND($Q1181&gt;0,$O1181&gt;=AboveRank),$Q1181,0)</f>
        <v>0</v>
      </c>
      <c r="T1181" s="64" t="n">
        <f aca="false">IF($K1181="Less",$P1181,0)</f>
        <v>0</v>
      </c>
      <c r="U1181" s="64" t="n">
        <f aca="false">IF($K1181="Expected",$P1181,0)</f>
        <v>0</v>
      </c>
      <c r="V1181" s="64" t="n">
        <f aca="false">IF($K1181="Better",$P1181,0)</f>
        <v>0</v>
      </c>
      <c r="W1181" s="64" t="n">
        <f aca="false">IF($K1181="U – needs rule",$P1181,0)</f>
        <v>0</v>
      </c>
      <c r="X1181" s="64" t="n">
        <f aca="false">IF($K1181="No Start (attainment only)",$P1181,0)</f>
        <v>0</v>
      </c>
    </row>
    <row r="1182" customFormat="false" ht="15" hidden="false" customHeight="false" outlineLevel="0" collapsed="false">
      <c r="A1182" s="60"/>
      <c r="B1182" s="61" t="str">
        <f aca="false">IF($M1182=0,"",INDEX(Classes!$E$6:$E$420,$M1182))</f>
        <v/>
      </c>
      <c r="C1182" s="62" t="str">
        <f aca="false">IF($M1182=0,"",INDEX(Classes!$H$6:$H$420,$M1182))</f>
        <v/>
      </c>
      <c r="D1182" s="61" t="str">
        <f aca="false">IF($M1182=0,"",INDEX(Classes!$B$6:$B$420,$M1182))</f>
        <v/>
      </c>
      <c r="E1182" s="61" t="str">
        <f aca="false">IF($M1182=0,"",INDEX(Classes!$C$6:$C$420,$M1182))</f>
        <v/>
      </c>
      <c r="F1182" s="63"/>
      <c r="G1182" s="63"/>
      <c r="H1182" s="60"/>
      <c r="I1182" s="60"/>
      <c r="J1182" s="63"/>
      <c r="K1182" s="61" t="str">
        <f aca="false">IF($P1182=0,"",IF($F1182="Baseline","— Baseline",IF($O1182=0,"No result",IF($N1182=0,"No Start (attainment only)",IF(OR($N1182=1,$O1182=1),"U – needs rule",INDEX(MxBody,MATCH($I1182,MxCurr,0),MATCH($H1182,MxStart,0)))))))</f>
        <v/>
      </c>
      <c r="L1182" s="62" t="str">
        <f aca="false">IF(COUNTA($A1182,$F1182,$G1182,$H1182,$I1182,$J1182)=0,"",IF($M1182=0,"✖ كود الصف غير موجود",IF(ISNA(MATCH($F1182,Lists!$A$2:$A$5,0)),"✖ الفترة غير صحيحة",IF(ISNA(MATCH($G1182,Lists!$B$2:$B$7,0)),"✖ المجموعة غير صحيحة",IF(NOT(OR($H1182="",$N1182&gt;0)),"✖ Start غير صحيح",IF(NOT(OR($I1182="",$I1182="NR",$O1182&gt;0)),"✖ Current غير صحيح",IF(NOT(IF(ISNUMBER($J1182),AND($J1182&gt;=0,$J1182=INT($J1182)),FALSE())),"✖ العدد يجب أن يكون صحيحًا ≥ 0",IF(AND($F1182="Baseline",$H1182&lt;&gt;""),"⚠ Baseline: Start لا يدخل في التقدم",IF($K1182="No Start (attainment only)","ℹ تحصيل فقط (بدون Start)",IF($K1182="U – needs rule","ℹ حالة U تحتاج قاعدة معتمدة",IF($K1182="No result","ℹ بدون نتيجة (يُستبعد من التحصيل)","OK")))))))))))</f>
        <v/>
      </c>
      <c r="M1182" s="64" t="n">
        <f aca="false">IF($A1182="",0,IFERROR(MATCH($A1182,Classes!$A$6:$A$420,0),0))</f>
        <v>0</v>
      </c>
      <c r="N1182" s="64" t="n">
        <f aca="false">IF($H1182="",0,IFERROR(MATCH($H1182,GradeList,0),0))</f>
        <v>0</v>
      </c>
      <c r="O1182" s="64" t="n">
        <f aca="false">IF(OR($I1182="",$I1182="NR"),0,IFERROR(MATCH($I1182,GradeList,0),0))</f>
        <v>0</v>
      </c>
      <c r="P1182" s="64" t="n">
        <f aca="false">IF(AND($M1182&gt;0,ISNUMBER(MATCH($F1182,Lists!$A$2:$A$5,0)),ISNUMBER(MATCH($G1182,Lists!$B$2:$B$7,0)),OR($H1182="",$N1182&gt;0),OR($I1182="",$I1182="NR",$O1182&gt;0),IF(ISNUMBER($J1182),AND($J1182&gt;=0,$J1182=INT($J1182)),FALSE())),$J1182,0)</f>
        <v>0</v>
      </c>
      <c r="Q1182" s="64" t="n">
        <f aca="false">IF(AND($P1182&gt;0,$O1182&gt;0),$P1182,0)</f>
        <v>0</v>
      </c>
      <c r="R1182" s="64" t="n">
        <f aca="false">IF(AND($Q1182&gt;0,$O1182&gt;=AtRank),$Q1182,0)</f>
        <v>0</v>
      </c>
      <c r="S1182" s="64" t="n">
        <f aca="false">IF(AND($Q1182&gt;0,$O1182&gt;=AboveRank),$Q1182,0)</f>
        <v>0</v>
      </c>
      <c r="T1182" s="64" t="n">
        <f aca="false">IF($K1182="Less",$P1182,0)</f>
        <v>0</v>
      </c>
      <c r="U1182" s="64" t="n">
        <f aca="false">IF($K1182="Expected",$P1182,0)</f>
        <v>0</v>
      </c>
      <c r="V1182" s="64" t="n">
        <f aca="false">IF($K1182="Better",$P1182,0)</f>
        <v>0</v>
      </c>
      <c r="W1182" s="64" t="n">
        <f aca="false">IF($K1182="U – needs rule",$P1182,0)</f>
        <v>0</v>
      </c>
      <c r="X1182" s="64" t="n">
        <f aca="false">IF($K1182="No Start (attainment only)",$P1182,0)</f>
        <v>0</v>
      </c>
    </row>
    <row r="1183" customFormat="false" ht="15" hidden="false" customHeight="false" outlineLevel="0" collapsed="false">
      <c r="A1183" s="60"/>
      <c r="B1183" s="61" t="str">
        <f aca="false">IF($M1183=0,"",INDEX(Classes!$E$6:$E$420,$M1183))</f>
        <v/>
      </c>
      <c r="C1183" s="62" t="str">
        <f aca="false">IF($M1183=0,"",INDEX(Classes!$H$6:$H$420,$M1183))</f>
        <v/>
      </c>
      <c r="D1183" s="61" t="str">
        <f aca="false">IF($M1183=0,"",INDEX(Classes!$B$6:$B$420,$M1183))</f>
        <v/>
      </c>
      <c r="E1183" s="61" t="str">
        <f aca="false">IF($M1183=0,"",INDEX(Classes!$C$6:$C$420,$M1183))</f>
        <v/>
      </c>
      <c r="F1183" s="63"/>
      <c r="G1183" s="63"/>
      <c r="H1183" s="60"/>
      <c r="I1183" s="60"/>
      <c r="J1183" s="63"/>
      <c r="K1183" s="61" t="str">
        <f aca="false">IF($P1183=0,"",IF($F1183="Baseline","— Baseline",IF($O1183=0,"No result",IF($N1183=0,"No Start (attainment only)",IF(OR($N1183=1,$O1183=1),"U – needs rule",INDEX(MxBody,MATCH($I1183,MxCurr,0),MATCH($H1183,MxStart,0)))))))</f>
        <v/>
      </c>
      <c r="L1183" s="62" t="str">
        <f aca="false">IF(COUNTA($A1183,$F1183,$G1183,$H1183,$I1183,$J1183)=0,"",IF($M1183=0,"✖ كود الصف غير موجود",IF(ISNA(MATCH($F1183,Lists!$A$2:$A$5,0)),"✖ الفترة غير صحيحة",IF(ISNA(MATCH($G1183,Lists!$B$2:$B$7,0)),"✖ المجموعة غير صحيحة",IF(NOT(OR($H1183="",$N1183&gt;0)),"✖ Start غير صحيح",IF(NOT(OR($I1183="",$I1183="NR",$O1183&gt;0)),"✖ Current غير صحيح",IF(NOT(IF(ISNUMBER($J1183),AND($J1183&gt;=0,$J1183=INT($J1183)),FALSE())),"✖ العدد يجب أن يكون صحيحًا ≥ 0",IF(AND($F1183="Baseline",$H1183&lt;&gt;""),"⚠ Baseline: Start لا يدخل في التقدم",IF($K1183="No Start (attainment only)","ℹ تحصيل فقط (بدون Start)",IF($K1183="U – needs rule","ℹ حالة U تحتاج قاعدة معتمدة",IF($K1183="No result","ℹ بدون نتيجة (يُستبعد من التحصيل)","OK")))))))))))</f>
        <v/>
      </c>
      <c r="M1183" s="64" t="n">
        <f aca="false">IF($A1183="",0,IFERROR(MATCH($A1183,Classes!$A$6:$A$420,0),0))</f>
        <v>0</v>
      </c>
      <c r="N1183" s="64" t="n">
        <f aca="false">IF($H1183="",0,IFERROR(MATCH($H1183,GradeList,0),0))</f>
        <v>0</v>
      </c>
      <c r="O1183" s="64" t="n">
        <f aca="false">IF(OR($I1183="",$I1183="NR"),0,IFERROR(MATCH($I1183,GradeList,0),0))</f>
        <v>0</v>
      </c>
      <c r="P1183" s="64" t="n">
        <f aca="false">IF(AND($M1183&gt;0,ISNUMBER(MATCH($F1183,Lists!$A$2:$A$5,0)),ISNUMBER(MATCH($G1183,Lists!$B$2:$B$7,0)),OR($H1183="",$N1183&gt;0),OR($I1183="",$I1183="NR",$O1183&gt;0),IF(ISNUMBER($J1183),AND($J1183&gt;=0,$J1183=INT($J1183)),FALSE())),$J1183,0)</f>
        <v>0</v>
      </c>
      <c r="Q1183" s="64" t="n">
        <f aca="false">IF(AND($P1183&gt;0,$O1183&gt;0),$P1183,0)</f>
        <v>0</v>
      </c>
      <c r="R1183" s="64" t="n">
        <f aca="false">IF(AND($Q1183&gt;0,$O1183&gt;=AtRank),$Q1183,0)</f>
        <v>0</v>
      </c>
      <c r="S1183" s="64" t="n">
        <f aca="false">IF(AND($Q1183&gt;0,$O1183&gt;=AboveRank),$Q1183,0)</f>
        <v>0</v>
      </c>
      <c r="T1183" s="64" t="n">
        <f aca="false">IF($K1183="Less",$P1183,0)</f>
        <v>0</v>
      </c>
      <c r="U1183" s="64" t="n">
        <f aca="false">IF($K1183="Expected",$P1183,0)</f>
        <v>0</v>
      </c>
      <c r="V1183" s="64" t="n">
        <f aca="false">IF($K1183="Better",$P1183,0)</f>
        <v>0</v>
      </c>
      <c r="W1183" s="64" t="n">
        <f aca="false">IF($K1183="U – needs rule",$P1183,0)</f>
        <v>0</v>
      </c>
      <c r="X1183" s="64" t="n">
        <f aca="false">IF($K1183="No Start (attainment only)",$P1183,0)</f>
        <v>0</v>
      </c>
    </row>
    <row r="1184" customFormat="false" ht="15" hidden="false" customHeight="false" outlineLevel="0" collapsed="false">
      <c r="A1184" s="60"/>
      <c r="B1184" s="61" t="str">
        <f aca="false">IF($M1184=0,"",INDEX(Classes!$E$6:$E$420,$M1184))</f>
        <v/>
      </c>
      <c r="C1184" s="62" t="str">
        <f aca="false">IF($M1184=0,"",INDEX(Classes!$H$6:$H$420,$M1184))</f>
        <v/>
      </c>
      <c r="D1184" s="61" t="str">
        <f aca="false">IF($M1184=0,"",INDEX(Classes!$B$6:$B$420,$M1184))</f>
        <v/>
      </c>
      <c r="E1184" s="61" t="str">
        <f aca="false">IF($M1184=0,"",INDEX(Classes!$C$6:$C$420,$M1184))</f>
        <v/>
      </c>
      <c r="F1184" s="63"/>
      <c r="G1184" s="63"/>
      <c r="H1184" s="60"/>
      <c r="I1184" s="60"/>
      <c r="J1184" s="63"/>
      <c r="K1184" s="61" t="str">
        <f aca="false">IF($P1184=0,"",IF($F1184="Baseline","— Baseline",IF($O1184=0,"No result",IF($N1184=0,"No Start (attainment only)",IF(OR($N1184=1,$O1184=1),"U – needs rule",INDEX(MxBody,MATCH($I1184,MxCurr,0),MATCH($H1184,MxStart,0)))))))</f>
        <v/>
      </c>
      <c r="L1184" s="62" t="str">
        <f aca="false">IF(COUNTA($A1184,$F1184,$G1184,$H1184,$I1184,$J1184)=0,"",IF($M1184=0,"✖ كود الصف غير موجود",IF(ISNA(MATCH($F1184,Lists!$A$2:$A$5,0)),"✖ الفترة غير صحيحة",IF(ISNA(MATCH($G1184,Lists!$B$2:$B$7,0)),"✖ المجموعة غير صحيحة",IF(NOT(OR($H1184="",$N1184&gt;0)),"✖ Start غير صحيح",IF(NOT(OR($I1184="",$I1184="NR",$O1184&gt;0)),"✖ Current غير صحيح",IF(NOT(IF(ISNUMBER($J1184),AND($J1184&gt;=0,$J1184=INT($J1184)),FALSE())),"✖ العدد يجب أن يكون صحيحًا ≥ 0",IF(AND($F1184="Baseline",$H1184&lt;&gt;""),"⚠ Baseline: Start لا يدخل في التقدم",IF($K1184="No Start (attainment only)","ℹ تحصيل فقط (بدون Start)",IF($K1184="U – needs rule","ℹ حالة U تحتاج قاعدة معتمدة",IF($K1184="No result","ℹ بدون نتيجة (يُستبعد من التحصيل)","OK")))))))))))</f>
        <v/>
      </c>
      <c r="M1184" s="64" t="n">
        <f aca="false">IF($A1184="",0,IFERROR(MATCH($A1184,Classes!$A$6:$A$420,0),0))</f>
        <v>0</v>
      </c>
      <c r="N1184" s="64" t="n">
        <f aca="false">IF($H1184="",0,IFERROR(MATCH($H1184,GradeList,0),0))</f>
        <v>0</v>
      </c>
      <c r="O1184" s="64" t="n">
        <f aca="false">IF(OR($I1184="",$I1184="NR"),0,IFERROR(MATCH($I1184,GradeList,0),0))</f>
        <v>0</v>
      </c>
      <c r="P1184" s="64" t="n">
        <f aca="false">IF(AND($M1184&gt;0,ISNUMBER(MATCH($F1184,Lists!$A$2:$A$5,0)),ISNUMBER(MATCH($G1184,Lists!$B$2:$B$7,0)),OR($H1184="",$N1184&gt;0),OR($I1184="",$I1184="NR",$O1184&gt;0),IF(ISNUMBER($J1184),AND($J1184&gt;=0,$J1184=INT($J1184)),FALSE())),$J1184,0)</f>
        <v>0</v>
      </c>
      <c r="Q1184" s="64" t="n">
        <f aca="false">IF(AND($P1184&gt;0,$O1184&gt;0),$P1184,0)</f>
        <v>0</v>
      </c>
      <c r="R1184" s="64" t="n">
        <f aca="false">IF(AND($Q1184&gt;0,$O1184&gt;=AtRank),$Q1184,0)</f>
        <v>0</v>
      </c>
      <c r="S1184" s="64" t="n">
        <f aca="false">IF(AND($Q1184&gt;0,$O1184&gt;=AboveRank),$Q1184,0)</f>
        <v>0</v>
      </c>
      <c r="T1184" s="64" t="n">
        <f aca="false">IF($K1184="Less",$P1184,0)</f>
        <v>0</v>
      </c>
      <c r="U1184" s="64" t="n">
        <f aca="false">IF($K1184="Expected",$P1184,0)</f>
        <v>0</v>
      </c>
      <c r="V1184" s="64" t="n">
        <f aca="false">IF($K1184="Better",$P1184,0)</f>
        <v>0</v>
      </c>
      <c r="W1184" s="64" t="n">
        <f aca="false">IF($K1184="U – needs rule",$P1184,0)</f>
        <v>0</v>
      </c>
      <c r="X1184" s="64" t="n">
        <f aca="false">IF($K1184="No Start (attainment only)",$P1184,0)</f>
        <v>0</v>
      </c>
    </row>
    <row r="1185" customFormat="false" ht="15" hidden="false" customHeight="false" outlineLevel="0" collapsed="false">
      <c r="A1185" s="60"/>
      <c r="B1185" s="61" t="str">
        <f aca="false">IF($M1185=0,"",INDEX(Classes!$E$6:$E$420,$M1185))</f>
        <v/>
      </c>
      <c r="C1185" s="62" t="str">
        <f aca="false">IF($M1185=0,"",INDEX(Classes!$H$6:$H$420,$M1185))</f>
        <v/>
      </c>
      <c r="D1185" s="61" t="str">
        <f aca="false">IF($M1185=0,"",INDEX(Classes!$B$6:$B$420,$M1185))</f>
        <v/>
      </c>
      <c r="E1185" s="61" t="str">
        <f aca="false">IF($M1185=0,"",INDEX(Classes!$C$6:$C$420,$M1185))</f>
        <v/>
      </c>
      <c r="F1185" s="63"/>
      <c r="G1185" s="63"/>
      <c r="H1185" s="60"/>
      <c r="I1185" s="60"/>
      <c r="J1185" s="63"/>
      <c r="K1185" s="61" t="str">
        <f aca="false">IF($P1185=0,"",IF($F1185="Baseline","— Baseline",IF($O1185=0,"No result",IF($N1185=0,"No Start (attainment only)",IF(OR($N1185=1,$O1185=1),"U – needs rule",INDEX(MxBody,MATCH($I1185,MxCurr,0),MATCH($H1185,MxStart,0)))))))</f>
        <v/>
      </c>
      <c r="L1185" s="62" t="str">
        <f aca="false">IF(COUNTA($A1185,$F1185,$G1185,$H1185,$I1185,$J1185)=0,"",IF($M1185=0,"✖ كود الصف غير موجود",IF(ISNA(MATCH($F1185,Lists!$A$2:$A$5,0)),"✖ الفترة غير صحيحة",IF(ISNA(MATCH($G1185,Lists!$B$2:$B$7,0)),"✖ المجموعة غير صحيحة",IF(NOT(OR($H1185="",$N1185&gt;0)),"✖ Start غير صحيح",IF(NOT(OR($I1185="",$I1185="NR",$O1185&gt;0)),"✖ Current غير صحيح",IF(NOT(IF(ISNUMBER($J1185),AND($J1185&gt;=0,$J1185=INT($J1185)),FALSE())),"✖ العدد يجب أن يكون صحيحًا ≥ 0",IF(AND($F1185="Baseline",$H1185&lt;&gt;""),"⚠ Baseline: Start لا يدخل في التقدم",IF($K1185="No Start (attainment only)","ℹ تحصيل فقط (بدون Start)",IF($K1185="U – needs rule","ℹ حالة U تحتاج قاعدة معتمدة",IF($K1185="No result","ℹ بدون نتيجة (يُستبعد من التحصيل)","OK")))))))))))</f>
        <v/>
      </c>
      <c r="M1185" s="64" t="n">
        <f aca="false">IF($A1185="",0,IFERROR(MATCH($A1185,Classes!$A$6:$A$420,0),0))</f>
        <v>0</v>
      </c>
      <c r="N1185" s="64" t="n">
        <f aca="false">IF($H1185="",0,IFERROR(MATCH($H1185,GradeList,0),0))</f>
        <v>0</v>
      </c>
      <c r="O1185" s="64" t="n">
        <f aca="false">IF(OR($I1185="",$I1185="NR"),0,IFERROR(MATCH($I1185,GradeList,0),0))</f>
        <v>0</v>
      </c>
      <c r="P1185" s="64" t="n">
        <f aca="false">IF(AND($M1185&gt;0,ISNUMBER(MATCH($F1185,Lists!$A$2:$A$5,0)),ISNUMBER(MATCH($G1185,Lists!$B$2:$B$7,0)),OR($H1185="",$N1185&gt;0),OR($I1185="",$I1185="NR",$O1185&gt;0),IF(ISNUMBER($J1185),AND($J1185&gt;=0,$J1185=INT($J1185)),FALSE())),$J1185,0)</f>
        <v>0</v>
      </c>
      <c r="Q1185" s="64" t="n">
        <f aca="false">IF(AND($P1185&gt;0,$O1185&gt;0),$P1185,0)</f>
        <v>0</v>
      </c>
      <c r="R1185" s="64" t="n">
        <f aca="false">IF(AND($Q1185&gt;0,$O1185&gt;=AtRank),$Q1185,0)</f>
        <v>0</v>
      </c>
      <c r="S1185" s="64" t="n">
        <f aca="false">IF(AND($Q1185&gt;0,$O1185&gt;=AboveRank),$Q1185,0)</f>
        <v>0</v>
      </c>
      <c r="T1185" s="64" t="n">
        <f aca="false">IF($K1185="Less",$P1185,0)</f>
        <v>0</v>
      </c>
      <c r="U1185" s="64" t="n">
        <f aca="false">IF($K1185="Expected",$P1185,0)</f>
        <v>0</v>
      </c>
      <c r="V1185" s="64" t="n">
        <f aca="false">IF($K1185="Better",$P1185,0)</f>
        <v>0</v>
      </c>
      <c r="W1185" s="64" t="n">
        <f aca="false">IF($K1185="U – needs rule",$P1185,0)</f>
        <v>0</v>
      </c>
      <c r="X1185" s="64" t="n">
        <f aca="false">IF($K1185="No Start (attainment only)",$P1185,0)</f>
        <v>0</v>
      </c>
    </row>
    <row r="1186" customFormat="false" ht="15" hidden="false" customHeight="false" outlineLevel="0" collapsed="false">
      <c r="A1186" s="60"/>
      <c r="B1186" s="61" t="str">
        <f aca="false">IF($M1186=0,"",INDEX(Classes!$E$6:$E$420,$M1186))</f>
        <v/>
      </c>
      <c r="C1186" s="62" t="str">
        <f aca="false">IF($M1186=0,"",INDEX(Classes!$H$6:$H$420,$M1186))</f>
        <v/>
      </c>
      <c r="D1186" s="61" t="str">
        <f aca="false">IF($M1186=0,"",INDEX(Classes!$B$6:$B$420,$M1186))</f>
        <v/>
      </c>
      <c r="E1186" s="61" t="str">
        <f aca="false">IF($M1186=0,"",INDEX(Classes!$C$6:$C$420,$M1186))</f>
        <v/>
      </c>
      <c r="F1186" s="63"/>
      <c r="G1186" s="63"/>
      <c r="H1186" s="60"/>
      <c r="I1186" s="60"/>
      <c r="J1186" s="63"/>
      <c r="K1186" s="61" t="str">
        <f aca="false">IF($P1186=0,"",IF($F1186="Baseline","— Baseline",IF($O1186=0,"No result",IF($N1186=0,"No Start (attainment only)",IF(OR($N1186=1,$O1186=1),"U – needs rule",INDEX(MxBody,MATCH($I1186,MxCurr,0),MATCH($H1186,MxStart,0)))))))</f>
        <v/>
      </c>
      <c r="L1186" s="62" t="str">
        <f aca="false">IF(COUNTA($A1186,$F1186,$G1186,$H1186,$I1186,$J1186)=0,"",IF($M1186=0,"✖ كود الصف غير موجود",IF(ISNA(MATCH($F1186,Lists!$A$2:$A$5,0)),"✖ الفترة غير صحيحة",IF(ISNA(MATCH($G1186,Lists!$B$2:$B$7,0)),"✖ المجموعة غير صحيحة",IF(NOT(OR($H1186="",$N1186&gt;0)),"✖ Start غير صحيح",IF(NOT(OR($I1186="",$I1186="NR",$O1186&gt;0)),"✖ Current غير صحيح",IF(NOT(IF(ISNUMBER($J1186),AND($J1186&gt;=0,$J1186=INT($J1186)),FALSE())),"✖ العدد يجب أن يكون صحيحًا ≥ 0",IF(AND($F1186="Baseline",$H1186&lt;&gt;""),"⚠ Baseline: Start لا يدخل في التقدم",IF($K1186="No Start (attainment only)","ℹ تحصيل فقط (بدون Start)",IF($K1186="U – needs rule","ℹ حالة U تحتاج قاعدة معتمدة",IF($K1186="No result","ℹ بدون نتيجة (يُستبعد من التحصيل)","OK")))))))))))</f>
        <v/>
      </c>
      <c r="M1186" s="64" t="n">
        <f aca="false">IF($A1186="",0,IFERROR(MATCH($A1186,Classes!$A$6:$A$420,0),0))</f>
        <v>0</v>
      </c>
      <c r="N1186" s="64" t="n">
        <f aca="false">IF($H1186="",0,IFERROR(MATCH($H1186,GradeList,0),0))</f>
        <v>0</v>
      </c>
      <c r="O1186" s="64" t="n">
        <f aca="false">IF(OR($I1186="",$I1186="NR"),0,IFERROR(MATCH($I1186,GradeList,0),0))</f>
        <v>0</v>
      </c>
      <c r="P1186" s="64" t="n">
        <f aca="false">IF(AND($M1186&gt;0,ISNUMBER(MATCH($F1186,Lists!$A$2:$A$5,0)),ISNUMBER(MATCH($G1186,Lists!$B$2:$B$7,0)),OR($H1186="",$N1186&gt;0),OR($I1186="",$I1186="NR",$O1186&gt;0),IF(ISNUMBER($J1186),AND($J1186&gt;=0,$J1186=INT($J1186)),FALSE())),$J1186,0)</f>
        <v>0</v>
      </c>
      <c r="Q1186" s="64" t="n">
        <f aca="false">IF(AND($P1186&gt;0,$O1186&gt;0),$P1186,0)</f>
        <v>0</v>
      </c>
      <c r="R1186" s="64" t="n">
        <f aca="false">IF(AND($Q1186&gt;0,$O1186&gt;=AtRank),$Q1186,0)</f>
        <v>0</v>
      </c>
      <c r="S1186" s="64" t="n">
        <f aca="false">IF(AND($Q1186&gt;0,$O1186&gt;=AboveRank),$Q1186,0)</f>
        <v>0</v>
      </c>
      <c r="T1186" s="64" t="n">
        <f aca="false">IF($K1186="Less",$P1186,0)</f>
        <v>0</v>
      </c>
      <c r="U1186" s="64" t="n">
        <f aca="false">IF($K1186="Expected",$P1186,0)</f>
        <v>0</v>
      </c>
      <c r="V1186" s="64" t="n">
        <f aca="false">IF($K1186="Better",$P1186,0)</f>
        <v>0</v>
      </c>
      <c r="W1186" s="64" t="n">
        <f aca="false">IF($K1186="U – needs rule",$P1186,0)</f>
        <v>0</v>
      </c>
      <c r="X1186" s="64" t="n">
        <f aca="false">IF($K1186="No Start (attainment only)",$P1186,0)</f>
        <v>0</v>
      </c>
    </row>
    <row r="1187" customFormat="false" ht="15" hidden="false" customHeight="false" outlineLevel="0" collapsed="false">
      <c r="A1187" s="60"/>
      <c r="B1187" s="61" t="str">
        <f aca="false">IF($M1187=0,"",INDEX(Classes!$E$6:$E$420,$M1187))</f>
        <v/>
      </c>
      <c r="C1187" s="62" t="str">
        <f aca="false">IF($M1187=0,"",INDEX(Classes!$H$6:$H$420,$M1187))</f>
        <v/>
      </c>
      <c r="D1187" s="61" t="str">
        <f aca="false">IF($M1187=0,"",INDEX(Classes!$B$6:$B$420,$M1187))</f>
        <v/>
      </c>
      <c r="E1187" s="61" t="str">
        <f aca="false">IF($M1187=0,"",INDEX(Classes!$C$6:$C$420,$M1187))</f>
        <v/>
      </c>
      <c r="F1187" s="63"/>
      <c r="G1187" s="63"/>
      <c r="H1187" s="60"/>
      <c r="I1187" s="60"/>
      <c r="J1187" s="63"/>
      <c r="K1187" s="61" t="str">
        <f aca="false">IF($P1187=0,"",IF($F1187="Baseline","— Baseline",IF($O1187=0,"No result",IF($N1187=0,"No Start (attainment only)",IF(OR($N1187=1,$O1187=1),"U – needs rule",INDEX(MxBody,MATCH($I1187,MxCurr,0),MATCH($H1187,MxStart,0)))))))</f>
        <v/>
      </c>
      <c r="L1187" s="62" t="str">
        <f aca="false">IF(COUNTA($A1187,$F1187,$G1187,$H1187,$I1187,$J1187)=0,"",IF($M1187=0,"✖ كود الصف غير موجود",IF(ISNA(MATCH($F1187,Lists!$A$2:$A$5,0)),"✖ الفترة غير صحيحة",IF(ISNA(MATCH($G1187,Lists!$B$2:$B$7,0)),"✖ المجموعة غير صحيحة",IF(NOT(OR($H1187="",$N1187&gt;0)),"✖ Start غير صحيح",IF(NOT(OR($I1187="",$I1187="NR",$O1187&gt;0)),"✖ Current غير صحيح",IF(NOT(IF(ISNUMBER($J1187),AND($J1187&gt;=0,$J1187=INT($J1187)),FALSE())),"✖ العدد يجب أن يكون صحيحًا ≥ 0",IF(AND($F1187="Baseline",$H1187&lt;&gt;""),"⚠ Baseline: Start لا يدخل في التقدم",IF($K1187="No Start (attainment only)","ℹ تحصيل فقط (بدون Start)",IF($K1187="U – needs rule","ℹ حالة U تحتاج قاعدة معتمدة",IF($K1187="No result","ℹ بدون نتيجة (يُستبعد من التحصيل)","OK")))))))))))</f>
        <v/>
      </c>
      <c r="M1187" s="64" t="n">
        <f aca="false">IF($A1187="",0,IFERROR(MATCH($A1187,Classes!$A$6:$A$420,0),0))</f>
        <v>0</v>
      </c>
      <c r="N1187" s="64" t="n">
        <f aca="false">IF($H1187="",0,IFERROR(MATCH($H1187,GradeList,0),0))</f>
        <v>0</v>
      </c>
      <c r="O1187" s="64" t="n">
        <f aca="false">IF(OR($I1187="",$I1187="NR"),0,IFERROR(MATCH($I1187,GradeList,0),0))</f>
        <v>0</v>
      </c>
      <c r="P1187" s="64" t="n">
        <f aca="false">IF(AND($M1187&gt;0,ISNUMBER(MATCH($F1187,Lists!$A$2:$A$5,0)),ISNUMBER(MATCH($G1187,Lists!$B$2:$B$7,0)),OR($H1187="",$N1187&gt;0),OR($I1187="",$I1187="NR",$O1187&gt;0),IF(ISNUMBER($J1187),AND($J1187&gt;=0,$J1187=INT($J1187)),FALSE())),$J1187,0)</f>
        <v>0</v>
      </c>
      <c r="Q1187" s="64" t="n">
        <f aca="false">IF(AND($P1187&gt;0,$O1187&gt;0),$P1187,0)</f>
        <v>0</v>
      </c>
      <c r="R1187" s="64" t="n">
        <f aca="false">IF(AND($Q1187&gt;0,$O1187&gt;=AtRank),$Q1187,0)</f>
        <v>0</v>
      </c>
      <c r="S1187" s="64" t="n">
        <f aca="false">IF(AND($Q1187&gt;0,$O1187&gt;=AboveRank),$Q1187,0)</f>
        <v>0</v>
      </c>
      <c r="T1187" s="64" t="n">
        <f aca="false">IF($K1187="Less",$P1187,0)</f>
        <v>0</v>
      </c>
      <c r="U1187" s="64" t="n">
        <f aca="false">IF($K1187="Expected",$P1187,0)</f>
        <v>0</v>
      </c>
      <c r="V1187" s="64" t="n">
        <f aca="false">IF($K1187="Better",$P1187,0)</f>
        <v>0</v>
      </c>
      <c r="W1187" s="64" t="n">
        <f aca="false">IF($K1187="U – needs rule",$P1187,0)</f>
        <v>0</v>
      </c>
      <c r="X1187" s="64" t="n">
        <f aca="false">IF($K1187="No Start (attainment only)",$P1187,0)</f>
        <v>0</v>
      </c>
    </row>
    <row r="1188" customFormat="false" ht="15" hidden="false" customHeight="false" outlineLevel="0" collapsed="false">
      <c r="A1188" s="60"/>
      <c r="B1188" s="61" t="str">
        <f aca="false">IF($M1188=0,"",INDEX(Classes!$E$6:$E$420,$M1188))</f>
        <v/>
      </c>
      <c r="C1188" s="62" t="str">
        <f aca="false">IF($M1188=0,"",INDEX(Classes!$H$6:$H$420,$M1188))</f>
        <v/>
      </c>
      <c r="D1188" s="61" t="str">
        <f aca="false">IF($M1188=0,"",INDEX(Classes!$B$6:$B$420,$M1188))</f>
        <v/>
      </c>
      <c r="E1188" s="61" t="str">
        <f aca="false">IF($M1188=0,"",INDEX(Classes!$C$6:$C$420,$M1188))</f>
        <v/>
      </c>
      <c r="F1188" s="63"/>
      <c r="G1188" s="63"/>
      <c r="H1188" s="60"/>
      <c r="I1188" s="60"/>
      <c r="J1188" s="63"/>
      <c r="K1188" s="61" t="str">
        <f aca="false">IF($P1188=0,"",IF($F1188="Baseline","— Baseline",IF($O1188=0,"No result",IF($N1188=0,"No Start (attainment only)",IF(OR($N1188=1,$O1188=1),"U – needs rule",INDEX(MxBody,MATCH($I1188,MxCurr,0),MATCH($H1188,MxStart,0)))))))</f>
        <v/>
      </c>
      <c r="L1188" s="62" t="str">
        <f aca="false">IF(COUNTA($A1188,$F1188,$G1188,$H1188,$I1188,$J1188)=0,"",IF($M1188=0,"✖ كود الصف غير موجود",IF(ISNA(MATCH($F1188,Lists!$A$2:$A$5,0)),"✖ الفترة غير صحيحة",IF(ISNA(MATCH($G1188,Lists!$B$2:$B$7,0)),"✖ المجموعة غير صحيحة",IF(NOT(OR($H1188="",$N1188&gt;0)),"✖ Start غير صحيح",IF(NOT(OR($I1188="",$I1188="NR",$O1188&gt;0)),"✖ Current غير صحيح",IF(NOT(IF(ISNUMBER($J1188),AND($J1188&gt;=0,$J1188=INT($J1188)),FALSE())),"✖ العدد يجب أن يكون صحيحًا ≥ 0",IF(AND($F1188="Baseline",$H1188&lt;&gt;""),"⚠ Baseline: Start لا يدخل في التقدم",IF($K1188="No Start (attainment only)","ℹ تحصيل فقط (بدون Start)",IF($K1188="U – needs rule","ℹ حالة U تحتاج قاعدة معتمدة",IF($K1188="No result","ℹ بدون نتيجة (يُستبعد من التحصيل)","OK")))))))))))</f>
        <v/>
      </c>
      <c r="M1188" s="64" t="n">
        <f aca="false">IF($A1188="",0,IFERROR(MATCH($A1188,Classes!$A$6:$A$420,0),0))</f>
        <v>0</v>
      </c>
      <c r="N1188" s="64" t="n">
        <f aca="false">IF($H1188="",0,IFERROR(MATCH($H1188,GradeList,0),0))</f>
        <v>0</v>
      </c>
      <c r="O1188" s="64" t="n">
        <f aca="false">IF(OR($I1188="",$I1188="NR"),0,IFERROR(MATCH($I1188,GradeList,0),0))</f>
        <v>0</v>
      </c>
      <c r="P1188" s="64" t="n">
        <f aca="false">IF(AND($M1188&gt;0,ISNUMBER(MATCH($F1188,Lists!$A$2:$A$5,0)),ISNUMBER(MATCH($G1188,Lists!$B$2:$B$7,0)),OR($H1188="",$N1188&gt;0),OR($I1188="",$I1188="NR",$O1188&gt;0),IF(ISNUMBER($J1188),AND($J1188&gt;=0,$J1188=INT($J1188)),FALSE())),$J1188,0)</f>
        <v>0</v>
      </c>
      <c r="Q1188" s="64" t="n">
        <f aca="false">IF(AND($P1188&gt;0,$O1188&gt;0),$P1188,0)</f>
        <v>0</v>
      </c>
      <c r="R1188" s="64" t="n">
        <f aca="false">IF(AND($Q1188&gt;0,$O1188&gt;=AtRank),$Q1188,0)</f>
        <v>0</v>
      </c>
      <c r="S1188" s="64" t="n">
        <f aca="false">IF(AND($Q1188&gt;0,$O1188&gt;=AboveRank),$Q1188,0)</f>
        <v>0</v>
      </c>
      <c r="T1188" s="64" t="n">
        <f aca="false">IF($K1188="Less",$P1188,0)</f>
        <v>0</v>
      </c>
      <c r="U1188" s="64" t="n">
        <f aca="false">IF($K1188="Expected",$P1188,0)</f>
        <v>0</v>
      </c>
      <c r="V1188" s="64" t="n">
        <f aca="false">IF($K1188="Better",$P1188,0)</f>
        <v>0</v>
      </c>
      <c r="W1188" s="64" t="n">
        <f aca="false">IF($K1188="U – needs rule",$P1188,0)</f>
        <v>0</v>
      </c>
      <c r="X1188" s="64" t="n">
        <f aca="false">IF($K1188="No Start (attainment only)",$P1188,0)</f>
        <v>0</v>
      </c>
    </row>
    <row r="1189" customFormat="false" ht="15" hidden="false" customHeight="false" outlineLevel="0" collapsed="false">
      <c r="A1189" s="60"/>
      <c r="B1189" s="61" t="str">
        <f aca="false">IF($M1189=0,"",INDEX(Classes!$E$6:$E$420,$M1189))</f>
        <v/>
      </c>
      <c r="C1189" s="62" t="str">
        <f aca="false">IF($M1189=0,"",INDEX(Classes!$H$6:$H$420,$M1189))</f>
        <v/>
      </c>
      <c r="D1189" s="61" t="str">
        <f aca="false">IF($M1189=0,"",INDEX(Classes!$B$6:$B$420,$M1189))</f>
        <v/>
      </c>
      <c r="E1189" s="61" t="str">
        <f aca="false">IF($M1189=0,"",INDEX(Classes!$C$6:$C$420,$M1189))</f>
        <v/>
      </c>
      <c r="F1189" s="63"/>
      <c r="G1189" s="63"/>
      <c r="H1189" s="60"/>
      <c r="I1189" s="60"/>
      <c r="J1189" s="63"/>
      <c r="K1189" s="61" t="str">
        <f aca="false">IF($P1189=0,"",IF($F1189="Baseline","— Baseline",IF($O1189=0,"No result",IF($N1189=0,"No Start (attainment only)",IF(OR($N1189=1,$O1189=1),"U – needs rule",INDEX(MxBody,MATCH($I1189,MxCurr,0),MATCH($H1189,MxStart,0)))))))</f>
        <v/>
      </c>
      <c r="L1189" s="62" t="str">
        <f aca="false">IF(COUNTA($A1189,$F1189,$G1189,$H1189,$I1189,$J1189)=0,"",IF($M1189=0,"✖ كود الصف غير موجود",IF(ISNA(MATCH($F1189,Lists!$A$2:$A$5,0)),"✖ الفترة غير صحيحة",IF(ISNA(MATCH($G1189,Lists!$B$2:$B$7,0)),"✖ المجموعة غير صحيحة",IF(NOT(OR($H1189="",$N1189&gt;0)),"✖ Start غير صحيح",IF(NOT(OR($I1189="",$I1189="NR",$O1189&gt;0)),"✖ Current غير صحيح",IF(NOT(IF(ISNUMBER($J1189),AND($J1189&gt;=0,$J1189=INT($J1189)),FALSE())),"✖ العدد يجب أن يكون صحيحًا ≥ 0",IF(AND($F1189="Baseline",$H1189&lt;&gt;""),"⚠ Baseline: Start لا يدخل في التقدم",IF($K1189="No Start (attainment only)","ℹ تحصيل فقط (بدون Start)",IF($K1189="U – needs rule","ℹ حالة U تحتاج قاعدة معتمدة",IF($K1189="No result","ℹ بدون نتيجة (يُستبعد من التحصيل)","OK")))))))))))</f>
        <v/>
      </c>
      <c r="M1189" s="64" t="n">
        <f aca="false">IF($A1189="",0,IFERROR(MATCH($A1189,Classes!$A$6:$A$420,0),0))</f>
        <v>0</v>
      </c>
      <c r="N1189" s="64" t="n">
        <f aca="false">IF($H1189="",0,IFERROR(MATCH($H1189,GradeList,0),0))</f>
        <v>0</v>
      </c>
      <c r="O1189" s="64" t="n">
        <f aca="false">IF(OR($I1189="",$I1189="NR"),0,IFERROR(MATCH($I1189,GradeList,0),0))</f>
        <v>0</v>
      </c>
      <c r="P1189" s="64" t="n">
        <f aca="false">IF(AND($M1189&gt;0,ISNUMBER(MATCH($F1189,Lists!$A$2:$A$5,0)),ISNUMBER(MATCH($G1189,Lists!$B$2:$B$7,0)),OR($H1189="",$N1189&gt;0),OR($I1189="",$I1189="NR",$O1189&gt;0),IF(ISNUMBER($J1189),AND($J1189&gt;=0,$J1189=INT($J1189)),FALSE())),$J1189,0)</f>
        <v>0</v>
      </c>
      <c r="Q1189" s="64" t="n">
        <f aca="false">IF(AND($P1189&gt;0,$O1189&gt;0),$P1189,0)</f>
        <v>0</v>
      </c>
      <c r="R1189" s="64" t="n">
        <f aca="false">IF(AND($Q1189&gt;0,$O1189&gt;=AtRank),$Q1189,0)</f>
        <v>0</v>
      </c>
      <c r="S1189" s="64" t="n">
        <f aca="false">IF(AND($Q1189&gt;0,$O1189&gt;=AboveRank),$Q1189,0)</f>
        <v>0</v>
      </c>
      <c r="T1189" s="64" t="n">
        <f aca="false">IF($K1189="Less",$P1189,0)</f>
        <v>0</v>
      </c>
      <c r="U1189" s="64" t="n">
        <f aca="false">IF($K1189="Expected",$P1189,0)</f>
        <v>0</v>
      </c>
      <c r="V1189" s="64" t="n">
        <f aca="false">IF($K1189="Better",$P1189,0)</f>
        <v>0</v>
      </c>
      <c r="W1189" s="64" t="n">
        <f aca="false">IF($K1189="U – needs rule",$P1189,0)</f>
        <v>0</v>
      </c>
      <c r="X1189" s="64" t="n">
        <f aca="false">IF($K1189="No Start (attainment only)",$P1189,0)</f>
        <v>0</v>
      </c>
    </row>
    <row r="1190" customFormat="false" ht="15" hidden="false" customHeight="false" outlineLevel="0" collapsed="false">
      <c r="A1190" s="60"/>
      <c r="B1190" s="61" t="str">
        <f aca="false">IF($M1190=0,"",INDEX(Classes!$E$6:$E$420,$M1190))</f>
        <v/>
      </c>
      <c r="C1190" s="62" t="str">
        <f aca="false">IF($M1190=0,"",INDEX(Classes!$H$6:$H$420,$M1190))</f>
        <v/>
      </c>
      <c r="D1190" s="61" t="str">
        <f aca="false">IF($M1190=0,"",INDEX(Classes!$B$6:$B$420,$M1190))</f>
        <v/>
      </c>
      <c r="E1190" s="61" t="str">
        <f aca="false">IF($M1190=0,"",INDEX(Classes!$C$6:$C$420,$M1190))</f>
        <v/>
      </c>
      <c r="F1190" s="63"/>
      <c r="G1190" s="63"/>
      <c r="H1190" s="60"/>
      <c r="I1190" s="60"/>
      <c r="J1190" s="63"/>
      <c r="K1190" s="61" t="str">
        <f aca="false">IF($P1190=0,"",IF($F1190="Baseline","— Baseline",IF($O1190=0,"No result",IF($N1190=0,"No Start (attainment only)",IF(OR($N1190=1,$O1190=1),"U – needs rule",INDEX(MxBody,MATCH($I1190,MxCurr,0),MATCH($H1190,MxStart,0)))))))</f>
        <v/>
      </c>
      <c r="L1190" s="62" t="str">
        <f aca="false">IF(COUNTA($A1190,$F1190,$G1190,$H1190,$I1190,$J1190)=0,"",IF($M1190=0,"✖ كود الصف غير موجود",IF(ISNA(MATCH($F1190,Lists!$A$2:$A$5,0)),"✖ الفترة غير صحيحة",IF(ISNA(MATCH($G1190,Lists!$B$2:$B$7,0)),"✖ المجموعة غير صحيحة",IF(NOT(OR($H1190="",$N1190&gt;0)),"✖ Start غير صحيح",IF(NOT(OR($I1190="",$I1190="NR",$O1190&gt;0)),"✖ Current غير صحيح",IF(NOT(IF(ISNUMBER($J1190),AND($J1190&gt;=0,$J1190=INT($J1190)),FALSE())),"✖ العدد يجب أن يكون صحيحًا ≥ 0",IF(AND($F1190="Baseline",$H1190&lt;&gt;""),"⚠ Baseline: Start لا يدخل في التقدم",IF($K1190="No Start (attainment only)","ℹ تحصيل فقط (بدون Start)",IF($K1190="U – needs rule","ℹ حالة U تحتاج قاعدة معتمدة",IF($K1190="No result","ℹ بدون نتيجة (يُستبعد من التحصيل)","OK")))))))))))</f>
        <v/>
      </c>
      <c r="M1190" s="64" t="n">
        <f aca="false">IF($A1190="",0,IFERROR(MATCH($A1190,Classes!$A$6:$A$420,0),0))</f>
        <v>0</v>
      </c>
      <c r="N1190" s="64" t="n">
        <f aca="false">IF($H1190="",0,IFERROR(MATCH($H1190,GradeList,0),0))</f>
        <v>0</v>
      </c>
      <c r="O1190" s="64" t="n">
        <f aca="false">IF(OR($I1190="",$I1190="NR"),0,IFERROR(MATCH($I1190,GradeList,0),0))</f>
        <v>0</v>
      </c>
      <c r="P1190" s="64" t="n">
        <f aca="false">IF(AND($M1190&gt;0,ISNUMBER(MATCH($F1190,Lists!$A$2:$A$5,0)),ISNUMBER(MATCH($G1190,Lists!$B$2:$B$7,0)),OR($H1190="",$N1190&gt;0),OR($I1190="",$I1190="NR",$O1190&gt;0),IF(ISNUMBER($J1190),AND($J1190&gt;=0,$J1190=INT($J1190)),FALSE())),$J1190,0)</f>
        <v>0</v>
      </c>
      <c r="Q1190" s="64" t="n">
        <f aca="false">IF(AND($P1190&gt;0,$O1190&gt;0),$P1190,0)</f>
        <v>0</v>
      </c>
      <c r="R1190" s="64" t="n">
        <f aca="false">IF(AND($Q1190&gt;0,$O1190&gt;=AtRank),$Q1190,0)</f>
        <v>0</v>
      </c>
      <c r="S1190" s="64" t="n">
        <f aca="false">IF(AND($Q1190&gt;0,$O1190&gt;=AboveRank),$Q1190,0)</f>
        <v>0</v>
      </c>
      <c r="T1190" s="64" t="n">
        <f aca="false">IF($K1190="Less",$P1190,0)</f>
        <v>0</v>
      </c>
      <c r="U1190" s="64" t="n">
        <f aca="false">IF($K1190="Expected",$P1190,0)</f>
        <v>0</v>
      </c>
      <c r="V1190" s="64" t="n">
        <f aca="false">IF($K1190="Better",$P1190,0)</f>
        <v>0</v>
      </c>
      <c r="W1190" s="64" t="n">
        <f aca="false">IF($K1190="U – needs rule",$P1190,0)</f>
        <v>0</v>
      </c>
      <c r="X1190" s="64" t="n">
        <f aca="false">IF($K1190="No Start (attainment only)",$P1190,0)</f>
        <v>0</v>
      </c>
    </row>
    <row r="1191" customFormat="false" ht="15" hidden="false" customHeight="false" outlineLevel="0" collapsed="false">
      <c r="A1191" s="60"/>
      <c r="B1191" s="61" t="str">
        <f aca="false">IF($M1191=0,"",INDEX(Classes!$E$6:$E$420,$M1191))</f>
        <v/>
      </c>
      <c r="C1191" s="62" t="str">
        <f aca="false">IF($M1191=0,"",INDEX(Classes!$H$6:$H$420,$M1191))</f>
        <v/>
      </c>
      <c r="D1191" s="61" t="str">
        <f aca="false">IF($M1191=0,"",INDEX(Classes!$B$6:$B$420,$M1191))</f>
        <v/>
      </c>
      <c r="E1191" s="61" t="str">
        <f aca="false">IF($M1191=0,"",INDEX(Classes!$C$6:$C$420,$M1191))</f>
        <v/>
      </c>
      <c r="F1191" s="63"/>
      <c r="G1191" s="63"/>
      <c r="H1191" s="60"/>
      <c r="I1191" s="60"/>
      <c r="J1191" s="63"/>
      <c r="K1191" s="61" t="str">
        <f aca="false">IF($P1191=0,"",IF($F1191="Baseline","— Baseline",IF($O1191=0,"No result",IF($N1191=0,"No Start (attainment only)",IF(OR($N1191=1,$O1191=1),"U – needs rule",INDEX(MxBody,MATCH($I1191,MxCurr,0),MATCH($H1191,MxStart,0)))))))</f>
        <v/>
      </c>
      <c r="L1191" s="62" t="str">
        <f aca="false">IF(COUNTA($A1191,$F1191,$G1191,$H1191,$I1191,$J1191)=0,"",IF($M1191=0,"✖ كود الصف غير موجود",IF(ISNA(MATCH($F1191,Lists!$A$2:$A$5,0)),"✖ الفترة غير صحيحة",IF(ISNA(MATCH($G1191,Lists!$B$2:$B$7,0)),"✖ المجموعة غير صحيحة",IF(NOT(OR($H1191="",$N1191&gt;0)),"✖ Start غير صحيح",IF(NOT(OR($I1191="",$I1191="NR",$O1191&gt;0)),"✖ Current غير صحيح",IF(NOT(IF(ISNUMBER($J1191),AND($J1191&gt;=0,$J1191=INT($J1191)),FALSE())),"✖ العدد يجب أن يكون صحيحًا ≥ 0",IF(AND($F1191="Baseline",$H1191&lt;&gt;""),"⚠ Baseline: Start لا يدخل في التقدم",IF($K1191="No Start (attainment only)","ℹ تحصيل فقط (بدون Start)",IF($K1191="U – needs rule","ℹ حالة U تحتاج قاعدة معتمدة",IF($K1191="No result","ℹ بدون نتيجة (يُستبعد من التحصيل)","OK")))))))))))</f>
        <v/>
      </c>
      <c r="M1191" s="64" t="n">
        <f aca="false">IF($A1191="",0,IFERROR(MATCH($A1191,Classes!$A$6:$A$420,0),0))</f>
        <v>0</v>
      </c>
      <c r="N1191" s="64" t="n">
        <f aca="false">IF($H1191="",0,IFERROR(MATCH($H1191,GradeList,0),0))</f>
        <v>0</v>
      </c>
      <c r="O1191" s="64" t="n">
        <f aca="false">IF(OR($I1191="",$I1191="NR"),0,IFERROR(MATCH($I1191,GradeList,0),0))</f>
        <v>0</v>
      </c>
      <c r="P1191" s="64" t="n">
        <f aca="false">IF(AND($M1191&gt;0,ISNUMBER(MATCH($F1191,Lists!$A$2:$A$5,0)),ISNUMBER(MATCH($G1191,Lists!$B$2:$B$7,0)),OR($H1191="",$N1191&gt;0),OR($I1191="",$I1191="NR",$O1191&gt;0),IF(ISNUMBER($J1191),AND($J1191&gt;=0,$J1191=INT($J1191)),FALSE())),$J1191,0)</f>
        <v>0</v>
      </c>
      <c r="Q1191" s="64" t="n">
        <f aca="false">IF(AND($P1191&gt;0,$O1191&gt;0),$P1191,0)</f>
        <v>0</v>
      </c>
      <c r="R1191" s="64" t="n">
        <f aca="false">IF(AND($Q1191&gt;0,$O1191&gt;=AtRank),$Q1191,0)</f>
        <v>0</v>
      </c>
      <c r="S1191" s="64" t="n">
        <f aca="false">IF(AND($Q1191&gt;0,$O1191&gt;=AboveRank),$Q1191,0)</f>
        <v>0</v>
      </c>
      <c r="T1191" s="64" t="n">
        <f aca="false">IF($K1191="Less",$P1191,0)</f>
        <v>0</v>
      </c>
      <c r="U1191" s="64" t="n">
        <f aca="false">IF($K1191="Expected",$P1191,0)</f>
        <v>0</v>
      </c>
      <c r="V1191" s="64" t="n">
        <f aca="false">IF($K1191="Better",$P1191,0)</f>
        <v>0</v>
      </c>
      <c r="W1191" s="64" t="n">
        <f aca="false">IF($K1191="U – needs rule",$P1191,0)</f>
        <v>0</v>
      </c>
      <c r="X1191" s="64" t="n">
        <f aca="false">IF($K1191="No Start (attainment only)",$P1191,0)</f>
        <v>0</v>
      </c>
    </row>
    <row r="1192" customFormat="false" ht="15" hidden="false" customHeight="false" outlineLevel="0" collapsed="false">
      <c r="A1192" s="60"/>
      <c r="B1192" s="61" t="str">
        <f aca="false">IF($M1192=0,"",INDEX(Classes!$E$6:$E$420,$M1192))</f>
        <v/>
      </c>
      <c r="C1192" s="62" t="str">
        <f aca="false">IF($M1192=0,"",INDEX(Classes!$H$6:$H$420,$M1192))</f>
        <v/>
      </c>
      <c r="D1192" s="61" t="str">
        <f aca="false">IF($M1192=0,"",INDEX(Classes!$B$6:$B$420,$M1192))</f>
        <v/>
      </c>
      <c r="E1192" s="61" t="str">
        <f aca="false">IF($M1192=0,"",INDEX(Classes!$C$6:$C$420,$M1192))</f>
        <v/>
      </c>
      <c r="F1192" s="63"/>
      <c r="G1192" s="63"/>
      <c r="H1192" s="60"/>
      <c r="I1192" s="60"/>
      <c r="J1192" s="63"/>
      <c r="K1192" s="61" t="str">
        <f aca="false">IF($P1192=0,"",IF($F1192="Baseline","— Baseline",IF($O1192=0,"No result",IF($N1192=0,"No Start (attainment only)",IF(OR($N1192=1,$O1192=1),"U – needs rule",INDEX(MxBody,MATCH($I1192,MxCurr,0),MATCH($H1192,MxStart,0)))))))</f>
        <v/>
      </c>
      <c r="L1192" s="62" t="str">
        <f aca="false">IF(COUNTA($A1192,$F1192,$G1192,$H1192,$I1192,$J1192)=0,"",IF($M1192=0,"✖ كود الصف غير موجود",IF(ISNA(MATCH($F1192,Lists!$A$2:$A$5,0)),"✖ الفترة غير صحيحة",IF(ISNA(MATCH($G1192,Lists!$B$2:$B$7,0)),"✖ المجموعة غير صحيحة",IF(NOT(OR($H1192="",$N1192&gt;0)),"✖ Start غير صحيح",IF(NOT(OR($I1192="",$I1192="NR",$O1192&gt;0)),"✖ Current غير صحيح",IF(NOT(IF(ISNUMBER($J1192),AND($J1192&gt;=0,$J1192=INT($J1192)),FALSE())),"✖ العدد يجب أن يكون صحيحًا ≥ 0",IF(AND($F1192="Baseline",$H1192&lt;&gt;""),"⚠ Baseline: Start لا يدخل في التقدم",IF($K1192="No Start (attainment only)","ℹ تحصيل فقط (بدون Start)",IF($K1192="U – needs rule","ℹ حالة U تحتاج قاعدة معتمدة",IF($K1192="No result","ℹ بدون نتيجة (يُستبعد من التحصيل)","OK")))))))))))</f>
        <v/>
      </c>
      <c r="M1192" s="64" t="n">
        <f aca="false">IF($A1192="",0,IFERROR(MATCH($A1192,Classes!$A$6:$A$420,0),0))</f>
        <v>0</v>
      </c>
      <c r="N1192" s="64" t="n">
        <f aca="false">IF($H1192="",0,IFERROR(MATCH($H1192,GradeList,0),0))</f>
        <v>0</v>
      </c>
      <c r="O1192" s="64" t="n">
        <f aca="false">IF(OR($I1192="",$I1192="NR"),0,IFERROR(MATCH($I1192,GradeList,0),0))</f>
        <v>0</v>
      </c>
      <c r="P1192" s="64" t="n">
        <f aca="false">IF(AND($M1192&gt;0,ISNUMBER(MATCH($F1192,Lists!$A$2:$A$5,0)),ISNUMBER(MATCH($G1192,Lists!$B$2:$B$7,0)),OR($H1192="",$N1192&gt;0),OR($I1192="",$I1192="NR",$O1192&gt;0),IF(ISNUMBER($J1192),AND($J1192&gt;=0,$J1192=INT($J1192)),FALSE())),$J1192,0)</f>
        <v>0</v>
      </c>
      <c r="Q1192" s="64" t="n">
        <f aca="false">IF(AND($P1192&gt;0,$O1192&gt;0),$P1192,0)</f>
        <v>0</v>
      </c>
      <c r="R1192" s="64" t="n">
        <f aca="false">IF(AND($Q1192&gt;0,$O1192&gt;=AtRank),$Q1192,0)</f>
        <v>0</v>
      </c>
      <c r="S1192" s="64" t="n">
        <f aca="false">IF(AND($Q1192&gt;0,$O1192&gt;=AboveRank),$Q1192,0)</f>
        <v>0</v>
      </c>
      <c r="T1192" s="64" t="n">
        <f aca="false">IF($K1192="Less",$P1192,0)</f>
        <v>0</v>
      </c>
      <c r="U1192" s="64" t="n">
        <f aca="false">IF($K1192="Expected",$P1192,0)</f>
        <v>0</v>
      </c>
      <c r="V1192" s="64" t="n">
        <f aca="false">IF($K1192="Better",$P1192,0)</f>
        <v>0</v>
      </c>
      <c r="W1192" s="64" t="n">
        <f aca="false">IF($K1192="U – needs rule",$P1192,0)</f>
        <v>0</v>
      </c>
      <c r="X1192" s="64" t="n">
        <f aca="false">IF($K1192="No Start (attainment only)",$P1192,0)</f>
        <v>0</v>
      </c>
    </row>
    <row r="1193" customFormat="false" ht="15" hidden="false" customHeight="false" outlineLevel="0" collapsed="false">
      <c r="A1193" s="60"/>
      <c r="B1193" s="61" t="str">
        <f aca="false">IF($M1193=0,"",INDEX(Classes!$E$6:$E$420,$M1193))</f>
        <v/>
      </c>
      <c r="C1193" s="62" t="str">
        <f aca="false">IF($M1193=0,"",INDEX(Classes!$H$6:$H$420,$M1193))</f>
        <v/>
      </c>
      <c r="D1193" s="61" t="str">
        <f aca="false">IF($M1193=0,"",INDEX(Classes!$B$6:$B$420,$M1193))</f>
        <v/>
      </c>
      <c r="E1193" s="61" t="str">
        <f aca="false">IF($M1193=0,"",INDEX(Classes!$C$6:$C$420,$M1193))</f>
        <v/>
      </c>
      <c r="F1193" s="63"/>
      <c r="G1193" s="63"/>
      <c r="H1193" s="60"/>
      <c r="I1193" s="60"/>
      <c r="J1193" s="63"/>
      <c r="K1193" s="61" t="str">
        <f aca="false">IF($P1193=0,"",IF($F1193="Baseline","— Baseline",IF($O1193=0,"No result",IF($N1193=0,"No Start (attainment only)",IF(OR($N1193=1,$O1193=1),"U – needs rule",INDEX(MxBody,MATCH($I1193,MxCurr,0),MATCH($H1193,MxStart,0)))))))</f>
        <v/>
      </c>
      <c r="L1193" s="62" t="str">
        <f aca="false">IF(COUNTA($A1193,$F1193,$G1193,$H1193,$I1193,$J1193)=0,"",IF($M1193=0,"✖ كود الصف غير موجود",IF(ISNA(MATCH($F1193,Lists!$A$2:$A$5,0)),"✖ الفترة غير صحيحة",IF(ISNA(MATCH($G1193,Lists!$B$2:$B$7,0)),"✖ المجموعة غير صحيحة",IF(NOT(OR($H1193="",$N1193&gt;0)),"✖ Start غير صحيح",IF(NOT(OR($I1193="",$I1193="NR",$O1193&gt;0)),"✖ Current غير صحيح",IF(NOT(IF(ISNUMBER($J1193),AND($J1193&gt;=0,$J1193=INT($J1193)),FALSE())),"✖ العدد يجب أن يكون صحيحًا ≥ 0",IF(AND($F1193="Baseline",$H1193&lt;&gt;""),"⚠ Baseline: Start لا يدخل في التقدم",IF($K1193="No Start (attainment only)","ℹ تحصيل فقط (بدون Start)",IF($K1193="U – needs rule","ℹ حالة U تحتاج قاعدة معتمدة",IF($K1193="No result","ℹ بدون نتيجة (يُستبعد من التحصيل)","OK")))))))))))</f>
        <v/>
      </c>
      <c r="M1193" s="64" t="n">
        <f aca="false">IF($A1193="",0,IFERROR(MATCH($A1193,Classes!$A$6:$A$420,0),0))</f>
        <v>0</v>
      </c>
      <c r="N1193" s="64" t="n">
        <f aca="false">IF($H1193="",0,IFERROR(MATCH($H1193,GradeList,0),0))</f>
        <v>0</v>
      </c>
      <c r="O1193" s="64" t="n">
        <f aca="false">IF(OR($I1193="",$I1193="NR"),0,IFERROR(MATCH($I1193,GradeList,0),0))</f>
        <v>0</v>
      </c>
      <c r="P1193" s="64" t="n">
        <f aca="false">IF(AND($M1193&gt;0,ISNUMBER(MATCH($F1193,Lists!$A$2:$A$5,0)),ISNUMBER(MATCH($G1193,Lists!$B$2:$B$7,0)),OR($H1193="",$N1193&gt;0),OR($I1193="",$I1193="NR",$O1193&gt;0),IF(ISNUMBER($J1193),AND($J1193&gt;=0,$J1193=INT($J1193)),FALSE())),$J1193,0)</f>
        <v>0</v>
      </c>
      <c r="Q1193" s="64" t="n">
        <f aca="false">IF(AND($P1193&gt;0,$O1193&gt;0),$P1193,0)</f>
        <v>0</v>
      </c>
      <c r="R1193" s="64" t="n">
        <f aca="false">IF(AND($Q1193&gt;0,$O1193&gt;=AtRank),$Q1193,0)</f>
        <v>0</v>
      </c>
      <c r="S1193" s="64" t="n">
        <f aca="false">IF(AND($Q1193&gt;0,$O1193&gt;=AboveRank),$Q1193,0)</f>
        <v>0</v>
      </c>
      <c r="T1193" s="64" t="n">
        <f aca="false">IF($K1193="Less",$P1193,0)</f>
        <v>0</v>
      </c>
      <c r="U1193" s="64" t="n">
        <f aca="false">IF($K1193="Expected",$P1193,0)</f>
        <v>0</v>
      </c>
      <c r="V1193" s="64" t="n">
        <f aca="false">IF($K1193="Better",$P1193,0)</f>
        <v>0</v>
      </c>
      <c r="W1193" s="64" t="n">
        <f aca="false">IF($K1193="U – needs rule",$P1193,0)</f>
        <v>0</v>
      </c>
      <c r="X1193" s="64" t="n">
        <f aca="false">IF($K1193="No Start (attainment only)",$P1193,0)</f>
        <v>0</v>
      </c>
    </row>
    <row r="1194" customFormat="false" ht="15" hidden="false" customHeight="false" outlineLevel="0" collapsed="false">
      <c r="A1194" s="60"/>
      <c r="B1194" s="61" t="str">
        <f aca="false">IF($M1194=0,"",INDEX(Classes!$E$6:$E$420,$M1194))</f>
        <v/>
      </c>
      <c r="C1194" s="62" t="str">
        <f aca="false">IF($M1194=0,"",INDEX(Classes!$H$6:$H$420,$M1194))</f>
        <v/>
      </c>
      <c r="D1194" s="61" t="str">
        <f aca="false">IF($M1194=0,"",INDEX(Classes!$B$6:$B$420,$M1194))</f>
        <v/>
      </c>
      <c r="E1194" s="61" t="str">
        <f aca="false">IF($M1194=0,"",INDEX(Classes!$C$6:$C$420,$M1194))</f>
        <v/>
      </c>
      <c r="F1194" s="63"/>
      <c r="G1194" s="63"/>
      <c r="H1194" s="60"/>
      <c r="I1194" s="60"/>
      <c r="J1194" s="63"/>
      <c r="K1194" s="61" t="str">
        <f aca="false">IF($P1194=0,"",IF($F1194="Baseline","— Baseline",IF($O1194=0,"No result",IF($N1194=0,"No Start (attainment only)",IF(OR($N1194=1,$O1194=1),"U – needs rule",INDEX(MxBody,MATCH($I1194,MxCurr,0),MATCH($H1194,MxStart,0)))))))</f>
        <v/>
      </c>
      <c r="L1194" s="62" t="str">
        <f aca="false">IF(COUNTA($A1194,$F1194,$G1194,$H1194,$I1194,$J1194)=0,"",IF($M1194=0,"✖ كود الصف غير موجود",IF(ISNA(MATCH($F1194,Lists!$A$2:$A$5,0)),"✖ الفترة غير صحيحة",IF(ISNA(MATCH($G1194,Lists!$B$2:$B$7,0)),"✖ المجموعة غير صحيحة",IF(NOT(OR($H1194="",$N1194&gt;0)),"✖ Start غير صحيح",IF(NOT(OR($I1194="",$I1194="NR",$O1194&gt;0)),"✖ Current غير صحيح",IF(NOT(IF(ISNUMBER($J1194),AND($J1194&gt;=0,$J1194=INT($J1194)),FALSE())),"✖ العدد يجب أن يكون صحيحًا ≥ 0",IF(AND($F1194="Baseline",$H1194&lt;&gt;""),"⚠ Baseline: Start لا يدخل في التقدم",IF($K1194="No Start (attainment only)","ℹ تحصيل فقط (بدون Start)",IF($K1194="U – needs rule","ℹ حالة U تحتاج قاعدة معتمدة",IF($K1194="No result","ℹ بدون نتيجة (يُستبعد من التحصيل)","OK")))))))))))</f>
        <v/>
      </c>
      <c r="M1194" s="64" t="n">
        <f aca="false">IF($A1194="",0,IFERROR(MATCH($A1194,Classes!$A$6:$A$420,0),0))</f>
        <v>0</v>
      </c>
      <c r="N1194" s="64" t="n">
        <f aca="false">IF($H1194="",0,IFERROR(MATCH($H1194,GradeList,0),0))</f>
        <v>0</v>
      </c>
      <c r="O1194" s="64" t="n">
        <f aca="false">IF(OR($I1194="",$I1194="NR"),0,IFERROR(MATCH($I1194,GradeList,0),0))</f>
        <v>0</v>
      </c>
      <c r="P1194" s="64" t="n">
        <f aca="false">IF(AND($M1194&gt;0,ISNUMBER(MATCH($F1194,Lists!$A$2:$A$5,0)),ISNUMBER(MATCH($G1194,Lists!$B$2:$B$7,0)),OR($H1194="",$N1194&gt;0),OR($I1194="",$I1194="NR",$O1194&gt;0),IF(ISNUMBER($J1194),AND($J1194&gt;=0,$J1194=INT($J1194)),FALSE())),$J1194,0)</f>
        <v>0</v>
      </c>
      <c r="Q1194" s="64" t="n">
        <f aca="false">IF(AND($P1194&gt;0,$O1194&gt;0),$P1194,0)</f>
        <v>0</v>
      </c>
      <c r="R1194" s="64" t="n">
        <f aca="false">IF(AND($Q1194&gt;0,$O1194&gt;=AtRank),$Q1194,0)</f>
        <v>0</v>
      </c>
      <c r="S1194" s="64" t="n">
        <f aca="false">IF(AND($Q1194&gt;0,$O1194&gt;=AboveRank),$Q1194,0)</f>
        <v>0</v>
      </c>
      <c r="T1194" s="64" t="n">
        <f aca="false">IF($K1194="Less",$P1194,0)</f>
        <v>0</v>
      </c>
      <c r="U1194" s="64" t="n">
        <f aca="false">IF($K1194="Expected",$P1194,0)</f>
        <v>0</v>
      </c>
      <c r="V1194" s="64" t="n">
        <f aca="false">IF($K1194="Better",$P1194,0)</f>
        <v>0</v>
      </c>
      <c r="W1194" s="64" t="n">
        <f aca="false">IF($K1194="U – needs rule",$P1194,0)</f>
        <v>0</v>
      </c>
      <c r="X1194" s="64" t="n">
        <f aca="false">IF($K1194="No Start (attainment only)",$P1194,0)</f>
        <v>0</v>
      </c>
    </row>
    <row r="1195" customFormat="false" ht="15" hidden="false" customHeight="false" outlineLevel="0" collapsed="false">
      <c r="A1195" s="60"/>
      <c r="B1195" s="61" t="str">
        <f aca="false">IF($M1195=0,"",INDEX(Classes!$E$6:$E$420,$M1195))</f>
        <v/>
      </c>
      <c r="C1195" s="62" t="str">
        <f aca="false">IF($M1195=0,"",INDEX(Classes!$H$6:$H$420,$M1195))</f>
        <v/>
      </c>
      <c r="D1195" s="61" t="str">
        <f aca="false">IF($M1195=0,"",INDEX(Classes!$B$6:$B$420,$M1195))</f>
        <v/>
      </c>
      <c r="E1195" s="61" t="str">
        <f aca="false">IF($M1195=0,"",INDEX(Classes!$C$6:$C$420,$M1195))</f>
        <v/>
      </c>
      <c r="F1195" s="63"/>
      <c r="G1195" s="63"/>
      <c r="H1195" s="60"/>
      <c r="I1195" s="60"/>
      <c r="J1195" s="63"/>
      <c r="K1195" s="61" t="str">
        <f aca="false">IF($P1195=0,"",IF($F1195="Baseline","— Baseline",IF($O1195=0,"No result",IF($N1195=0,"No Start (attainment only)",IF(OR($N1195=1,$O1195=1),"U – needs rule",INDEX(MxBody,MATCH($I1195,MxCurr,0),MATCH($H1195,MxStart,0)))))))</f>
        <v/>
      </c>
      <c r="L1195" s="62" t="str">
        <f aca="false">IF(COUNTA($A1195,$F1195,$G1195,$H1195,$I1195,$J1195)=0,"",IF($M1195=0,"✖ كود الصف غير موجود",IF(ISNA(MATCH($F1195,Lists!$A$2:$A$5,0)),"✖ الفترة غير صحيحة",IF(ISNA(MATCH($G1195,Lists!$B$2:$B$7,0)),"✖ المجموعة غير صحيحة",IF(NOT(OR($H1195="",$N1195&gt;0)),"✖ Start غير صحيح",IF(NOT(OR($I1195="",$I1195="NR",$O1195&gt;0)),"✖ Current غير صحيح",IF(NOT(IF(ISNUMBER($J1195),AND($J1195&gt;=0,$J1195=INT($J1195)),FALSE())),"✖ العدد يجب أن يكون صحيحًا ≥ 0",IF(AND($F1195="Baseline",$H1195&lt;&gt;""),"⚠ Baseline: Start لا يدخل في التقدم",IF($K1195="No Start (attainment only)","ℹ تحصيل فقط (بدون Start)",IF($K1195="U – needs rule","ℹ حالة U تحتاج قاعدة معتمدة",IF($K1195="No result","ℹ بدون نتيجة (يُستبعد من التحصيل)","OK")))))))))))</f>
        <v/>
      </c>
      <c r="M1195" s="64" t="n">
        <f aca="false">IF($A1195="",0,IFERROR(MATCH($A1195,Classes!$A$6:$A$420,0),0))</f>
        <v>0</v>
      </c>
      <c r="N1195" s="64" t="n">
        <f aca="false">IF($H1195="",0,IFERROR(MATCH($H1195,GradeList,0),0))</f>
        <v>0</v>
      </c>
      <c r="O1195" s="64" t="n">
        <f aca="false">IF(OR($I1195="",$I1195="NR"),0,IFERROR(MATCH($I1195,GradeList,0),0))</f>
        <v>0</v>
      </c>
      <c r="P1195" s="64" t="n">
        <f aca="false">IF(AND($M1195&gt;0,ISNUMBER(MATCH($F1195,Lists!$A$2:$A$5,0)),ISNUMBER(MATCH($G1195,Lists!$B$2:$B$7,0)),OR($H1195="",$N1195&gt;0),OR($I1195="",$I1195="NR",$O1195&gt;0),IF(ISNUMBER($J1195),AND($J1195&gt;=0,$J1195=INT($J1195)),FALSE())),$J1195,0)</f>
        <v>0</v>
      </c>
      <c r="Q1195" s="64" t="n">
        <f aca="false">IF(AND($P1195&gt;0,$O1195&gt;0),$P1195,0)</f>
        <v>0</v>
      </c>
      <c r="R1195" s="64" t="n">
        <f aca="false">IF(AND($Q1195&gt;0,$O1195&gt;=AtRank),$Q1195,0)</f>
        <v>0</v>
      </c>
      <c r="S1195" s="64" t="n">
        <f aca="false">IF(AND($Q1195&gt;0,$O1195&gt;=AboveRank),$Q1195,0)</f>
        <v>0</v>
      </c>
      <c r="T1195" s="64" t="n">
        <f aca="false">IF($K1195="Less",$P1195,0)</f>
        <v>0</v>
      </c>
      <c r="U1195" s="64" t="n">
        <f aca="false">IF($K1195="Expected",$P1195,0)</f>
        <v>0</v>
      </c>
      <c r="V1195" s="64" t="n">
        <f aca="false">IF($K1195="Better",$P1195,0)</f>
        <v>0</v>
      </c>
      <c r="W1195" s="64" t="n">
        <f aca="false">IF($K1195="U – needs rule",$P1195,0)</f>
        <v>0</v>
      </c>
      <c r="X1195" s="64" t="n">
        <f aca="false">IF($K1195="No Start (attainment only)",$P1195,0)</f>
        <v>0</v>
      </c>
    </row>
    <row r="1196" customFormat="false" ht="15" hidden="false" customHeight="false" outlineLevel="0" collapsed="false">
      <c r="A1196" s="60"/>
      <c r="B1196" s="61" t="str">
        <f aca="false">IF($M1196=0,"",INDEX(Classes!$E$6:$E$420,$M1196))</f>
        <v/>
      </c>
      <c r="C1196" s="62" t="str">
        <f aca="false">IF($M1196=0,"",INDEX(Classes!$H$6:$H$420,$M1196))</f>
        <v/>
      </c>
      <c r="D1196" s="61" t="str">
        <f aca="false">IF($M1196=0,"",INDEX(Classes!$B$6:$B$420,$M1196))</f>
        <v/>
      </c>
      <c r="E1196" s="61" t="str">
        <f aca="false">IF($M1196=0,"",INDEX(Classes!$C$6:$C$420,$M1196))</f>
        <v/>
      </c>
      <c r="F1196" s="63"/>
      <c r="G1196" s="63"/>
      <c r="H1196" s="60"/>
      <c r="I1196" s="60"/>
      <c r="J1196" s="63"/>
      <c r="K1196" s="61" t="str">
        <f aca="false">IF($P1196=0,"",IF($F1196="Baseline","— Baseline",IF($O1196=0,"No result",IF($N1196=0,"No Start (attainment only)",IF(OR($N1196=1,$O1196=1),"U – needs rule",INDEX(MxBody,MATCH($I1196,MxCurr,0),MATCH($H1196,MxStart,0)))))))</f>
        <v/>
      </c>
      <c r="L1196" s="62" t="str">
        <f aca="false">IF(COUNTA($A1196,$F1196,$G1196,$H1196,$I1196,$J1196)=0,"",IF($M1196=0,"✖ كود الصف غير موجود",IF(ISNA(MATCH($F1196,Lists!$A$2:$A$5,0)),"✖ الفترة غير صحيحة",IF(ISNA(MATCH($G1196,Lists!$B$2:$B$7,0)),"✖ المجموعة غير صحيحة",IF(NOT(OR($H1196="",$N1196&gt;0)),"✖ Start غير صحيح",IF(NOT(OR($I1196="",$I1196="NR",$O1196&gt;0)),"✖ Current غير صحيح",IF(NOT(IF(ISNUMBER($J1196),AND($J1196&gt;=0,$J1196=INT($J1196)),FALSE())),"✖ العدد يجب أن يكون صحيحًا ≥ 0",IF(AND($F1196="Baseline",$H1196&lt;&gt;""),"⚠ Baseline: Start لا يدخل في التقدم",IF($K1196="No Start (attainment only)","ℹ تحصيل فقط (بدون Start)",IF($K1196="U – needs rule","ℹ حالة U تحتاج قاعدة معتمدة",IF($K1196="No result","ℹ بدون نتيجة (يُستبعد من التحصيل)","OK")))))))))))</f>
        <v/>
      </c>
      <c r="M1196" s="64" t="n">
        <f aca="false">IF($A1196="",0,IFERROR(MATCH($A1196,Classes!$A$6:$A$420,0),0))</f>
        <v>0</v>
      </c>
      <c r="N1196" s="64" t="n">
        <f aca="false">IF($H1196="",0,IFERROR(MATCH($H1196,GradeList,0),0))</f>
        <v>0</v>
      </c>
      <c r="O1196" s="64" t="n">
        <f aca="false">IF(OR($I1196="",$I1196="NR"),0,IFERROR(MATCH($I1196,GradeList,0),0))</f>
        <v>0</v>
      </c>
      <c r="P1196" s="64" t="n">
        <f aca="false">IF(AND($M1196&gt;0,ISNUMBER(MATCH($F1196,Lists!$A$2:$A$5,0)),ISNUMBER(MATCH($G1196,Lists!$B$2:$B$7,0)),OR($H1196="",$N1196&gt;0),OR($I1196="",$I1196="NR",$O1196&gt;0),IF(ISNUMBER($J1196),AND($J1196&gt;=0,$J1196=INT($J1196)),FALSE())),$J1196,0)</f>
        <v>0</v>
      </c>
      <c r="Q1196" s="64" t="n">
        <f aca="false">IF(AND($P1196&gt;0,$O1196&gt;0),$P1196,0)</f>
        <v>0</v>
      </c>
      <c r="R1196" s="64" t="n">
        <f aca="false">IF(AND($Q1196&gt;0,$O1196&gt;=AtRank),$Q1196,0)</f>
        <v>0</v>
      </c>
      <c r="S1196" s="64" t="n">
        <f aca="false">IF(AND($Q1196&gt;0,$O1196&gt;=AboveRank),$Q1196,0)</f>
        <v>0</v>
      </c>
      <c r="T1196" s="64" t="n">
        <f aca="false">IF($K1196="Less",$P1196,0)</f>
        <v>0</v>
      </c>
      <c r="U1196" s="64" t="n">
        <f aca="false">IF($K1196="Expected",$P1196,0)</f>
        <v>0</v>
      </c>
      <c r="V1196" s="64" t="n">
        <f aca="false">IF($K1196="Better",$P1196,0)</f>
        <v>0</v>
      </c>
      <c r="W1196" s="64" t="n">
        <f aca="false">IF($K1196="U – needs rule",$P1196,0)</f>
        <v>0</v>
      </c>
      <c r="X1196" s="64" t="n">
        <f aca="false">IF($K1196="No Start (attainment only)",$P1196,0)</f>
        <v>0</v>
      </c>
    </row>
    <row r="1197" customFormat="false" ht="15" hidden="false" customHeight="false" outlineLevel="0" collapsed="false">
      <c r="A1197" s="60"/>
      <c r="B1197" s="61" t="str">
        <f aca="false">IF($M1197=0,"",INDEX(Classes!$E$6:$E$420,$M1197))</f>
        <v/>
      </c>
      <c r="C1197" s="62" t="str">
        <f aca="false">IF($M1197=0,"",INDEX(Classes!$H$6:$H$420,$M1197))</f>
        <v/>
      </c>
      <c r="D1197" s="61" t="str">
        <f aca="false">IF($M1197=0,"",INDEX(Classes!$B$6:$B$420,$M1197))</f>
        <v/>
      </c>
      <c r="E1197" s="61" t="str">
        <f aca="false">IF($M1197=0,"",INDEX(Classes!$C$6:$C$420,$M1197))</f>
        <v/>
      </c>
      <c r="F1197" s="63"/>
      <c r="G1197" s="63"/>
      <c r="H1197" s="60"/>
      <c r="I1197" s="60"/>
      <c r="J1197" s="63"/>
      <c r="K1197" s="61" t="str">
        <f aca="false">IF($P1197=0,"",IF($F1197="Baseline","— Baseline",IF($O1197=0,"No result",IF($N1197=0,"No Start (attainment only)",IF(OR($N1197=1,$O1197=1),"U – needs rule",INDEX(MxBody,MATCH($I1197,MxCurr,0),MATCH($H1197,MxStart,0)))))))</f>
        <v/>
      </c>
      <c r="L1197" s="62" t="str">
        <f aca="false">IF(COUNTA($A1197,$F1197,$G1197,$H1197,$I1197,$J1197)=0,"",IF($M1197=0,"✖ كود الصف غير موجود",IF(ISNA(MATCH($F1197,Lists!$A$2:$A$5,0)),"✖ الفترة غير صحيحة",IF(ISNA(MATCH($G1197,Lists!$B$2:$B$7,0)),"✖ المجموعة غير صحيحة",IF(NOT(OR($H1197="",$N1197&gt;0)),"✖ Start غير صحيح",IF(NOT(OR($I1197="",$I1197="NR",$O1197&gt;0)),"✖ Current غير صحيح",IF(NOT(IF(ISNUMBER($J1197),AND($J1197&gt;=0,$J1197=INT($J1197)),FALSE())),"✖ العدد يجب أن يكون صحيحًا ≥ 0",IF(AND($F1197="Baseline",$H1197&lt;&gt;""),"⚠ Baseline: Start لا يدخل في التقدم",IF($K1197="No Start (attainment only)","ℹ تحصيل فقط (بدون Start)",IF($K1197="U – needs rule","ℹ حالة U تحتاج قاعدة معتمدة",IF($K1197="No result","ℹ بدون نتيجة (يُستبعد من التحصيل)","OK")))))))))))</f>
        <v/>
      </c>
      <c r="M1197" s="64" t="n">
        <f aca="false">IF($A1197="",0,IFERROR(MATCH($A1197,Classes!$A$6:$A$420,0),0))</f>
        <v>0</v>
      </c>
      <c r="N1197" s="64" t="n">
        <f aca="false">IF($H1197="",0,IFERROR(MATCH($H1197,GradeList,0),0))</f>
        <v>0</v>
      </c>
      <c r="O1197" s="64" t="n">
        <f aca="false">IF(OR($I1197="",$I1197="NR"),0,IFERROR(MATCH($I1197,GradeList,0),0))</f>
        <v>0</v>
      </c>
      <c r="P1197" s="64" t="n">
        <f aca="false">IF(AND($M1197&gt;0,ISNUMBER(MATCH($F1197,Lists!$A$2:$A$5,0)),ISNUMBER(MATCH($G1197,Lists!$B$2:$B$7,0)),OR($H1197="",$N1197&gt;0),OR($I1197="",$I1197="NR",$O1197&gt;0),IF(ISNUMBER($J1197),AND($J1197&gt;=0,$J1197=INT($J1197)),FALSE())),$J1197,0)</f>
        <v>0</v>
      </c>
      <c r="Q1197" s="64" t="n">
        <f aca="false">IF(AND($P1197&gt;0,$O1197&gt;0),$P1197,0)</f>
        <v>0</v>
      </c>
      <c r="R1197" s="64" t="n">
        <f aca="false">IF(AND($Q1197&gt;0,$O1197&gt;=AtRank),$Q1197,0)</f>
        <v>0</v>
      </c>
      <c r="S1197" s="64" t="n">
        <f aca="false">IF(AND($Q1197&gt;0,$O1197&gt;=AboveRank),$Q1197,0)</f>
        <v>0</v>
      </c>
      <c r="T1197" s="64" t="n">
        <f aca="false">IF($K1197="Less",$P1197,0)</f>
        <v>0</v>
      </c>
      <c r="U1197" s="64" t="n">
        <f aca="false">IF($K1197="Expected",$P1197,0)</f>
        <v>0</v>
      </c>
      <c r="V1197" s="64" t="n">
        <f aca="false">IF($K1197="Better",$P1197,0)</f>
        <v>0</v>
      </c>
      <c r="W1197" s="64" t="n">
        <f aca="false">IF($K1197="U – needs rule",$P1197,0)</f>
        <v>0</v>
      </c>
      <c r="X1197" s="64" t="n">
        <f aca="false">IF($K1197="No Start (attainment only)",$P1197,0)</f>
        <v>0</v>
      </c>
    </row>
    <row r="1198" customFormat="false" ht="15" hidden="false" customHeight="false" outlineLevel="0" collapsed="false">
      <c r="A1198" s="60"/>
      <c r="B1198" s="61" t="str">
        <f aca="false">IF($M1198=0,"",INDEX(Classes!$E$6:$E$420,$M1198))</f>
        <v/>
      </c>
      <c r="C1198" s="62" t="str">
        <f aca="false">IF($M1198=0,"",INDEX(Classes!$H$6:$H$420,$M1198))</f>
        <v/>
      </c>
      <c r="D1198" s="61" t="str">
        <f aca="false">IF($M1198=0,"",INDEX(Classes!$B$6:$B$420,$M1198))</f>
        <v/>
      </c>
      <c r="E1198" s="61" t="str">
        <f aca="false">IF($M1198=0,"",INDEX(Classes!$C$6:$C$420,$M1198))</f>
        <v/>
      </c>
      <c r="F1198" s="63"/>
      <c r="G1198" s="63"/>
      <c r="H1198" s="60"/>
      <c r="I1198" s="60"/>
      <c r="J1198" s="63"/>
      <c r="K1198" s="61" t="str">
        <f aca="false">IF($P1198=0,"",IF($F1198="Baseline","— Baseline",IF($O1198=0,"No result",IF($N1198=0,"No Start (attainment only)",IF(OR($N1198=1,$O1198=1),"U – needs rule",INDEX(MxBody,MATCH($I1198,MxCurr,0),MATCH($H1198,MxStart,0)))))))</f>
        <v/>
      </c>
      <c r="L1198" s="62" t="str">
        <f aca="false">IF(COUNTA($A1198,$F1198,$G1198,$H1198,$I1198,$J1198)=0,"",IF($M1198=0,"✖ كود الصف غير موجود",IF(ISNA(MATCH($F1198,Lists!$A$2:$A$5,0)),"✖ الفترة غير صحيحة",IF(ISNA(MATCH($G1198,Lists!$B$2:$B$7,0)),"✖ المجموعة غير صحيحة",IF(NOT(OR($H1198="",$N1198&gt;0)),"✖ Start غير صحيح",IF(NOT(OR($I1198="",$I1198="NR",$O1198&gt;0)),"✖ Current غير صحيح",IF(NOT(IF(ISNUMBER($J1198),AND($J1198&gt;=0,$J1198=INT($J1198)),FALSE())),"✖ العدد يجب أن يكون صحيحًا ≥ 0",IF(AND($F1198="Baseline",$H1198&lt;&gt;""),"⚠ Baseline: Start لا يدخل في التقدم",IF($K1198="No Start (attainment only)","ℹ تحصيل فقط (بدون Start)",IF($K1198="U – needs rule","ℹ حالة U تحتاج قاعدة معتمدة",IF($K1198="No result","ℹ بدون نتيجة (يُستبعد من التحصيل)","OK")))))))))))</f>
        <v/>
      </c>
      <c r="M1198" s="64" t="n">
        <f aca="false">IF($A1198="",0,IFERROR(MATCH($A1198,Classes!$A$6:$A$420,0),0))</f>
        <v>0</v>
      </c>
      <c r="N1198" s="64" t="n">
        <f aca="false">IF($H1198="",0,IFERROR(MATCH($H1198,GradeList,0),0))</f>
        <v>0</v>
      </c>
      <c r="O1198" s="64" t="n">
        <f aca="false">IF(OR($I1198="",$I1198="NR"),0,IFERROR(MATCH($I1198,GradeList,0),0))</f>
        <v>0</v>
      </c>
      <c r="P1198" s="64" t="n">
        <f aca="false">IF(AND($M1198&gt;0,ISNUMBER(MATCH($F1198,Lists!$A$2:$A$5,0)),ISNUMBER(MATCH($G1198,Lists!$B$2:$B$7,0)),OR($H1198="",$N1198&gt;0),OR($I1198="",$I1198="NR",$O1198&gt;0),IF(ISNUMBER($J1198),AND($J1198&gt;=0,$J1198=INT($J1198)),FALSE())),$J1198,0)</f>
        <v>0</v>
      </c>
      <c r="Q1198" s="64" t="n">
        <f aca="false">IF(AND($P1198&gt;0,$O1198&gt;0),$P1198,0)</f>
        <v>0</v>
      </c>
      <c r="R1198" s="64" t="n">
        <f aca="false">IF(AND($Q1198&gt;0,$O1198&gt;=AtRank),$Q1198,0)</f>
        <v>0</v>
      </c>
      <c r="S1198" s="64" t="n">
        <f aca="false">IF(AND($Q1198&gt;0,$O1198&gt;=AboveRank),$Q1198,0)</f>
        <v>0</v>
      </c>
      <c r="T1198" s="64" t="n">
        <f aca="false">IF($K1198="Less",$P1198,0)</f>
        <v>0</v>
      </c>
      <c r="U1198" s="64" t="n">
        <f aca="false">IF($K1198="Expected",$P1198,0)</f>
        <v>0</v>
      </c>
      <c r="V1198" s="64" t="n">
        <f aca="false">IF($K1198="Better",$P1198,0)</f>
        <v>0</v>
      </c>
      <c r="W1198" s="64" t="n">
        <f aca="false">IF($K1198="U – needs rule",$P1198,0)</f>
        <v>0</v>
      </c>
      <c r="X1198" s="64" t="n">
        <f aca="false">IF($K1198="No Start (attainment only)",$P1198,0)</f>
        <v>0</v>
      </c>
    </row>
    <row r="1199" customFormat="false" ht="15" hidden="false" customHeight="false" outlineLevel="0" collapsed="false">
      <c r="A1199" s="60"/>
      <c r="B1199" s="61" t="str">
        <f aca="false">IF($M1199=0,"",INDEX(Classes!$E$6:$E$420,$M1199))</f>
        <v/>
      </c>
      <c r="C1199" s="62" t="str">
        <f aca="false">IF($M1199=0,"",INDEX(Classes!$H$6:$H$420,$M1199))</f>
        <v/>
      </c>
      <c r="D1199" s="61" t="str">
        <f aca="false">IF($M1199=0,"",INDEX(Classes!$B$6:$B$420,$M1199))</f>
        <v/>
      </c>
      <c r="E1199" s="61" t="str">
        <f aca="false">IF($M1199=0,"",INDEX(Classes!$C$6:$C$420,$M1199))</f>
        <v/>
      </c>
      <c r="F1199" s="63"/>
      <c r="G1199" s="63"/>
      <c r="H1199" s="60"/>
      <c r="I1199" s="60"/>
      <c r="J1199" s="63"/>
      <c r="K1199" s="61" t="str">
        <f aca="false">IF($P1199=0,"",IF($F1199="Baseline","— Baseline",IF($O1199=0,"No result",IF($N1199=0,"No Start (attainment only)",IF(OR($N1199=1,$O1199=1),"U – needs rule",INDEX(MxBody,MATCH($I1199,MxCurr,0),MATCH($H1199,MxStart,0)))))))</f>
        <v/>
      </c>
      <c r="L1199" s="62" t="str">
        <f aca="false">IF(COUNTA($A1199,$F1199,$G1199,$H1199,$I1199,$J1199)=0,"",IF($M1199=0,"✖ كود الصف غير موجود",IF(ISNA(MATCH($F1199,Lists!$A$2:$A$5,0)),"✖ الفترة غير صحيحة",IF(ISNA(MATCH($G1199,Lists!$B$2:$B$7,0)),"✖ المجموعة غير صحيحة",IF(NOT(OR($H1199="",$N1199&gt;0)),"✖ Start غير صحيح",IF(NOT(OR($I1199="",$I1199="NR",$O1199&gt;0)),"✖ Current غير صحيح",IF(NOT(IF(ISNUMBER($J1199),AND($J1199&gt;=0,$J1199=INT($J1199)),FALSE())),"✖ العدد يجب أن يكون صحيحًا ≥ 0",IF(AND($F1199="Baseline",$H1199&lt;&gt;""),"⚠ Baseline: Start لا يدخل في التقدم",IF($K1199="No Start (attainment only)","ℹ تحصيل فقط (بدون Start)",IF($K1199="U – needs rule","ℹ حالة U تحتاج قاعدة معتمدة",IF($K1199="No result","ℹ بدون نتيجة (يُستبعد من التحصيل)","OK")))))))))))</f>
        <v/>
      </c>
      <c r="M1199" s="64" t="n">
        <f aca="false">IF($A1199="",0,IFERROR(MATCH($A1199,Classes!$A$6:$A$420,0),0))</f>
        <v>0</v>
      </c>
      <c r="N1199" s="64" t="n">
        <f aca="false">IF($H1199="",0,IFERROR(MATCH($H1199,GradeList,0),0))</f>
        <v>0</v>
      </c>
      <c r="O1199" s="64" t="n">
        <f aca="false">IF(OR($I1199="",$I1199="NR"),0,IFERROR(MATCH($I1199,GradeList,0),0))</f>
        <v>0</v>
      </c>
      <c r="P1199" s="64" t="n">
        <f aca="false">IF(AND($M1199&gt;0,ISNUMBER(MATCH($F1199,Lists!$A$2:$A$5,0)),ISNUMBER(MATCH($G1199,Lists!$B$2:$B$7,0)),OR($H1199="",$N1199&gt;0),OR($I1199="",$I1199="NR",$O1199&gt;0),IF(ISNUMBER($J1199),AND($J1199&gt;=0,$J1199=INT($J1199)),FALSE())),$J1199,0)</f>
        <v>0</v>
      </c>
      <c r="Q1199" s="64" t="n">
        <f aca="false">IF(AND($P1199&gt;0,$O1199&gt;0),$P1199,0)</f>
        <v>0</v>
      </c>
      <c r="R1199" s="64" t="n">
        <f aca="false">IF(AND($Q1199&gt;0,$O1199&gt;=AtRank),$Q1199,0)</f>
        <v>0</v>
      </c>
      <c r="S1199" s="64" t="n">
        <f aca="false">IF(AND($Q1199&gt;0,$O1199&gt;=AboveRank),$Q1199,0)</f>
        <v>0</v>
      </c>
      <c r="T1199" s="64" t="n">
        <f aca="false">IF($K1199="Less",$P1199,0)</f>
        <v>0</v>
      </c>
      <c r="U1199" s="64" t="n">
        <f aca="false">IF($K1199="Expected",$P1199,0)</f>
        <v>0</v>
      </c>
      <c r="V1199" s="64" t="n">
        <f aca="false">IF($K1199="Better",$P1199,0)</f>
        <v>0</v>
      </c>
      <c r="W1199" s="64" t="n">
        <f aca="false">IF($K1199="U – needs rule",$P1199,0)</f>
        <v>0</v>
      </c>
      <c r="X1199" s="64" t="n">
        <f aca="false">IF($K1199="No Start (attainment only)",$P1199,0)</f>
        <v>0</v>
      </c>
    </row>
    <row r="1200" customFormat="false" ht="15" hidden="false" customHeight="false" outlineLevel="0" collapsed="false">
      <c r="A1200" s="60"/>
      <c r="B1200" s="61" t="str">
        <f aca="false">IF($M1200=0,"",INDEX(Classes!$E$6:$E$420,$M1200))</f>
        <v/>
      </c>
      <c r="C1200" s="62" t="str">
        <f aca="false">IF($M1200=0,"",INDEX(Classes!$H$6:$H$420,$M1200))</f>
        <v/>
      </c>
      <c r="D1200" s="61" t="str">
        <f aca="false">IF($M1200=0,"",INDEX(Classes!$B$6:$B$420,$M1200))</f>
        <v/>
      </c>
      <c r="E1200" s="61" t="str">
        <f aca="false">IF($M1200=0,"",INDEX(Classes!$C$6:$C$420,$M1200))</f>
        <v/>
      </c>
      <c r="F1200" s="63"/>
      <c r="G1200" s="63"/>
      <c r="H1200" s="60"/>
      <c r="I1200" s="60"/>
      <c r="J1200" s="63"/>
      <c r="K1200" s="61" t="str">
        <f aca="false">IF($P1200=0,"",IF($F1200="Baseline","— Baseline",IF($O1200=0,"No result",IF($N1200=0,"No Start (attainment only)",IF(OR($N1200=1,$O1200=1),"U – needs rule",INDEX(MxBody,MATCH($I1200,MxCurr,0),MATCH($H1200,MxStart,0)))))))</f>
        <v/>
      </c>
      <c r="L1200" s="62" t="str">
        <f aca="false">IF(COUNTA($A1200,$F1200,$G1200,$H1200,$I1200,$J1200)=0,"",IF($M1200=0,"✖ كود الصف غير موجود",IF(ISNA(MATCH($F1200,Lists!$A$2:$A$5,0)),"✖ الفترة غير صحيحة",IF(ISNA(MATCH($G1200,Lists!$B$2:$B$7,0)),"✖ المجموعة غير صحيحة",IF(NOT(OR($H1200="",$N1200&gt;0)),"✖ Start غير صحيح",IF(NOT(OR($I1200="",$I1200="NR",$O1200&gt;0)),"✖ Current غير صحيح",IF(NOT(IF(ISNUMBER($J1200),AND($J1200&gt;=0,$J1200=INT($J1200)),FALSE())),"✖ العدد يجب أن يكون صحيحًا ≥ 0",IF(AND($F1200="Baseline",$H1200&lt;&gt;""),"⚠ Baseline: Start لا يدخل في التقدم",IF($K1200="No Start (attainment only)","ℹ تحصيل فقط (بدون Start)",IF($K1200="U – needs rule","ℹ حالة U تحتاج قاعدة معتمدة",IF($K1200="No result","ℹ بدون نتيجة (يُستبعد من التحصيل)","OK")))))))))))</f>
        <v/>
      </c>
      <c r="M1200" s="64" t="n">
        <f aca="false">IF($A1200="",0,IFERROR(MATCH($A1200,Classes!$A$6:$A$420,0),0))</f>
        <v>0</v>
      </c>
      <c r="N1200" s="64" t="n">
        <f aca="false">IF($H1200="",0,IFERROR(MATCH($H1200,GradeList,0),0))</f>
        <v>0</v>
      </c>
      <c r="O1200" s="64" t="n">
        <f aca="false">IF(OR($I1200="",$I1200="NR"),0,IFERROR(MATCH($I1200,GradeList,0),0))</f>
        <v>0</v>
      </c>
      <c r="P1200" s="64" t="n">
        <f aca="false">IF(AND($M1200&gt;0,ISNUMBER(MATCH($F1200,Lists!$A$2:$A$5,0)),ISNUMBER(MATCH($G1200,Lists!$B$2:$B$7,0)),OR($H1200="",$N1200&gt;0),OR($I1200="",$I1200="NR",$O1200&gt;0),IF(ISNUMBER($J1200),AND($J1200&gt;=0,$J1200=INT($J1200)),FALSE())),$J1200,0)</f>
        <v>0</v>
      </c>
      <c r="Q1200" s="64" t="n">
        <f aca="false">IF(AND($P1200&gt;0,$O1200&gt;0),$P1200,0)</f>
        <v>0</v>
      </c>
      <c r="R1200" s="64" t="n">
        <f aca="false">IF(AND($Q1200&gt;0,$O1200&gt;=AtRank),$Q1200,0)</f>
        <v>0</v>
      </c>
      <c r="S1200" s="64" t="n">
        <f aca="false">IF(AND($Q1200&gt;0,$O1200&gt;=AboveRank),$Q1200,0)</f>
        <v>0</v>
      </c>
      <c r="T1200" s="64" t="n">
        <f aca="false">IF($K1200="Less",$P1200,0)</f>
        <v>0</v>
      </c>
      <c r="U1200" s="64" t="n">
        <f aca="false">IF($K1200="Expected",$P1200,0)</f>
        <v>0</v>
      </c>
      <c r="V1200" s="64" t="n">
        <f aca="false">IF($K1200="Better",$P1200,0)</f>
        <v>0</v>
      </c>
      <c r="W1200" s="64" t="n">
        <f aca="false">IF($K1200="U – needs rule",$P1200,0)</f>
        <v>0</v>
      </c>
      <c r="X1200" s="64" t="n">
        <f aca="false">IF($K1200="No Start (attainment only)",$P1200,0)</f>
        <v>0</v>
      </c>
    </row>
    <row r="1201" customFormat="false" ht="15" hidden="false" customHeight="false" outlineLevel="0" collapsed="false">
      <c r="A1201" s="60"/>
      <c r="B1201" s="61" t="str">
        <f aca="false">IF($M1201=0,"",INDEX(Classes!$E$6:$E$420,$M1201))</f>
        <v/>
      </c>
      <c r="C1201" s="62" t="str">
        <f aca="false">IF($M1201=0,"",INDEX(Classes!$H$6:$H$420,$M1201))</f>
        <v/>
      </c>
      <c r="D1201" s="61" t="str">
        <f aca="false">IF($M1201=0,"",INDEX(Classes!$B$6:$B$420,$M1201))</f>
        <v/>
      </c>
      <c r="E1201" s="61" t="str">
        <f aca="false">IF($M1201=0,"",INDEX(Classes!$C$6:$C$420,$M1201))</f>
        <v/>
      </c>
      <c r="F1201" s="63"/>
      <c r="G1201" s="63"/>
      <c r="H1201" s="60"/>
      <c r="I1201" s="60"/>
      <c r="J1201" s="63"/>
      <c r="K1201" s="61" t="str">
        <f aca="false">IF($P1201=0,"",IF($F1201="Baseline","— Baseline",IF($O1201=0,"No result",IF($N1201=0,"No Start (attainment only)",IF(OR($N1201=1,$O1201=1),"U – needs rule",INDEX(MxBody,MATCH($I1201,MxCurr,0),MATCH($H1201,MxStart,0)))))))</f>
        <v/>
      </c>
      <c r="L1201" s="62" t="str">
        <f aca="false">IF(COUNTA($A1201,$F1201,$G1201,$H1201,$I1201,$J1201)=0,"",IF($M1201=0,"✖ كود الصف غير موجود",IF(ISNA(MATCH($F1201,Lists!$A$2:$A$5,0)),"✖ الفترة غير صحيحة",IF(ISNA(MATCH($G1201,Lists!$B$2:$B$7,0)),"✖ المجموعة غير صحيحة",IF(NOT(OR($H1201="",$N1201&gt;0)),"✖ Start غير صحيح",IF(NOT(OR($I1201="",$I1201="NR",$O1201&gt;0)),"✖ Current غير صحيح",IF(NOT(IF(ISNUMBER($J1201),AND($J1201&gt;=0,$J1201=INT($J1201)),FALSE())),"✖ العدد يجب أن يكون صحيحًا ≥ 0",IF(AND($F1201="Baseline",$H1201&lt;&gt;""),"⚠ Baseline: Start لا يدخل في التقدم",IF($K1201="No Start (attainment only)","ℹ تحصيل فقط (بدون Start)",IF($K1201="U – needs rule","ℹ حالة U تحتاج قاعدة معتمدة",IF($K1201="No result","ℹ بدون نتيجة (يُستبعد من التحصيل)","OK")))))))))))</f>
        <v/>
      </c>
      <c r="M1201" s="64" t="n">
        <f aca="false">IF($A1201="",0,IFERROR(MATCH($A1201,Classes!$A$6:$A$420,0),0))</f>
        <v>0</v>
      </c>
      <c r="N1201" s="64" t="n">
        <f aca="false">IF($H1201="",0,IFERROR(MATCH($H1201,GradeList,0),0))</f>
        <v>0</v>
      </c>
      <c r="O1201" s="64" t="n">
        <f aca="false">IF(OR($I1201="",$I1201="NR"),0,IFERROR(MATCH($I1201,GradeList,0),0))</f>
        <v>0</v>
      </c>
      <c r="P1201" s="64" t="n">
        <f aca="false">IF(AND($M1201&gt;0,ISNUMBER(MATCH($F1201,Lists!$A$2:$A$5,0)),ISNUMBER(MATCH($G1201,Lists!$B$2:$B$7,0)),OR($H1201="",$N1201&gt;0),OR($I1201="",$I1201="NR",$O1201&gt;0),IF(ISNUMBER($J1201),AND($J1201&gt;=0,$J1201=INT($J1201)),FALSE())),$J1201,0)</f>
        <v>0</v>
      </c>
      <c r="Q1201" s="64" t="n">
        <f aca="false">IF(AND($P1201&gt;0,$O1201&gt;0),$P1201,0)</f>
        <v>0</v>
      </c>
      <c r="R1201" s="64" t="n">
        <f aca="false">IF(AND($Q1201&gt;0,$O1201&gt;=AtRank),$Q1201,0)</f>
        <v>0</v>
      </c>
      <c r="S1201" s="64" t="n">
        <f aca="false">IF(AND($Q1201&gt;0,$O1201&gt;=AboveRank),$Q1201,0)</f>
        <v>0</v>
      </c>
      <c r="T1201" s="64" t="n">
        <f aca="false">IF($K1201="Less",$P1201,0)</f>
        <v>0</v>
      </c>
      <c r="U1201" s="64" t="n">
        <f aca="false">IF($K1201="Expected",$P1201,0)</f>
        <v>0</v>
      </c>
      <c r="V1201" s="64" t="n">
        <f aca="false">IF($K1201="Better",$P1201,0)</f>
        <v>0</v>
      </c>
      <c r="W1201" s="64" t="n">
        <f aca="false">IF($K1201="U – needs rule",$P1201,0)</f>
        <v>0</v>
      </c>
      <c r="X1201" s="64" t="n">
        <f aca="false">IF($K1201="No Start (attainment only)",$P1201,0)</f>
        <v>0</v>
      </c>
    </row>
    <row r="1202" customFormat="false" ht="15" hidden="false" customHeight="false" outlineLevel="0" collapsed="false">
      <c r="A1202" s="60"/>
      <c r="B1202" s="61" t="str">
        <f aca="false">IF($M1202=0,"",INDEX(Classes!$E$6:$E$420,$M1202))</f>
        <v/>
      </c>
      <c r="C1202" s="62" t="str">
        <f aca="false">IF($M1202=0,"",INDEX(Classes!$H$6:$H$420,$M1202))</f>
        <v/>
      </c>
      <c r="D1202" s="61" t="str">
        <f aca="false">IF($M1202=0,"",INDEX(Classes!$B$6:$B$420,$M1202))</f>
        <v/>
      </c>
      <c r="E1202" s="61" t="str">
        <f aca="false">IF($M1202=0,"",INDEX(Classes!$C$6:$C$420,$M1202))</f>
        <v/>
      </c>
      <c r="F1202" s="63"/>
      <c r="G1202" s="63"/>
      <c r="H1202" s="60"/>
      <c r="I1202" s="60"/>
      <c r="J1202" s="63"/>
      <c r="K1202" s="61" t="str">
        <f aca="false">IF($P1202=0,"",IF($F1202="Baseline","— Baseline",IF($O1202=0,"No result",IF($N1202=0,"No Start (attainment only)",IF(OR($N1202=1,$O1202=1),"U – needs rule",INDEX(MxBody,MATCH($I1202,MxCurr,0),MATCH($H1202,MxStart,0)))))))</f>
        <v/>
      </c>
      <c r="L1202" s="62" t="str">
        <f aca="false">IF(COUNTA($A1202,$F1202,$G1202,$H1202,$I1202,$J1202)=0,"",IF($M1202=0,"✖ كود الصف غير موجود",IF(ISNA(MATCH($F1202,Lists!$A$2:$A$5,0)),"✖ الفترة غير صحيحة",IF(ISNA(MATCH($G1202,Lists!$B$2:$B$7,0)),"✖ المجموعة غير صحيحة",IF(NOT(OR($H1202="",$N1202&gt;0)),"✖ Start غير صحيح",IF(NOT(OR($I1202="",$I1202="NR",$O1202&gt;0)),"✖ Current غير صحيح",IF(NOT(IF(ISNUMBER($J1202),AND($J1202&gt;=0,$J1202=INT($J1202)),FALSE())),"✖ العدد يجب أن يكون صحيحًا ≥ 0",IF(AND($F1202="Baseline",$H1202&lt;&gt;""),"⚠ Baseline: Start لا يدخل في التقدم",IF($K1202="No Start (attainment only)","ℹ تحصيل فقط (بدون Start)",IF($K1202="U – needs rule","ℹ حالة U تحتاج قاعدة معتمدة",IF($K1202="No result","ℹ بدون نتيجة (يُستبعد من التحصيل)","OK")))))))))))</f>
        <v/>
      </c>
      <c r="M1202" s="64" t="n">
        <f aca="false">IF($A1202="",0,IFERROR(MATCH($A1202,Classes!$A$6:$A$420,0),0))</f>
        <v>0</v>
      </c>
      <c r="N1202" s="64" t="n">
        <f aca="false">IF($H1202="",0,IFERROR(MATCH($H1202,GradeList,0),0))</f>
        <v>0</v>
      </c>
      <c r="O1202" s="64" t="n">
        <f aca="false">IF(OR($I1202="",$I1202="NR"),0,IFERROR(MATCH($I1202,GradeList,0),0))</f>
        <v>0</v>
      </c>
      <c r="P1202" s="64" t="n">
        <f aca="false">IF(AND($M1202&gt;0,ISNUMBER(MATCH($F1202,Lists!$A$2:$A$5,0)),ISNUMBER(MATCH($G1202,Lists!$B$2:$B$7,0)),OR($H1202="",$N1202&gt;0),OR($I1202="",$I1202="NR",$O1202&gt;0),IF(ISNUMBER($J1202),AND($J1202&gt;=0,$J1202=INT($J1202)),FALSE())),$J1202,0)</f>
        <v>0</v>
      </c>
      <c r="Q1202" s="64" t="n">
        <f aca="false">IF(AND($P1202&gt;0,$O1202&gt;0),$P1202,0)</f>
        <v>0</v>
      </c>
      <c r="R1202" s="64" t="n">
        <f aca="false">IF(AND($Q1202&gt;0,$O1202&gt;=AtRank),$Q1202,0)</f>
        <v>0</v>
      </c>
      <c r="S1202" s="64" t="n">
        <f aca="false">IF(AND($Q1202&gt;0,$O1202&gt;=AboveRank),$Q1202,0)</f>
        <v>0</v>
      </c>
      <c r="T1202" s="64" t="n">
        <f aca="false">IF($K1202="Less",$P1202,0)</f>
        <v>0</v>
      </c>
      <c r="U1202" s="64" t="n">
        <f aca="false">IF($K1202="Expected",$P1202,0)</f>
        <v>0</v>
      </c>
      <c r="V1202" s="64" t="n">
        <f aca="false">IF($K1202="Better",$P1202,0)</f>
        <v>0</v>
      </c>
      <c r="W1202" s="64" t="n">
        <f aca="false">IF($K1202="U – needs rule",$P1202,0)</f>
        <v>0</v>
      </c>
      <c r="X1202" s="64" t="n">
        <f aca="false">IF($K1202="No Start (attainment only)",$P1202,0)</f>
        <v>0</v>
      </c>
    </row>
    <row r="1203" customFormat="false" ht="15" hidden="false" customHeight="false" outlineLevel="0" collapsed="false">
      <c r="A1203" s="60"/>
      <c r="B1203" s="61" t="str">
        <f aca="false">IF($M1203=0,"",INDEX(Classes!$E$6:$E$420,$M1203))</f>
        <v/>
      </c>
      <c r="C1203" s="62" t="str">
        <f aca="false">IF($M1203=0,"",INDEX(Classes!$H$6:$H$420,$M1203))</f>
        <v/>
      </c>
      <c r="D1203" s="61" t="str">
        <f aca="false">IF($M1203=0,"",INDEX(Classes!$B$6:$B$420,$M1203))</f>
        <v/>
      </c>
      <c r="E1203" s="61" t="str">
        <f aca="false">IF($M1203=0,"",INDEX(Classes!$C$6:$C$420,$M1203))</f>
        <v/>
      </c>
      <c r="F1203" s="63"/>
      <c r="G1203" s="63"/>
      <c r="H1203" s="60"/>
      <c r="I1203" s="60"/>
      <c r="J1203" s="63"/>
      <c r="K1203" s="61" t="str">
        <f aca="false">IF($P1203=0,"",IF($F1203="Baseline","— Baseline",IF($O1203=0,"No result",IF($N1203=0,"No Start (attainment only)",IF(OR($N1203=1,$O1203=1),"U – needs rule",INDEX(MxBody,MATCH($I1203,MxCurr,0),MATCH($H1203,MxStart,0)))))))</f>
        <v/>
      </c>
      <c r="L1203" s="62" t="str">
        <f aca="false">IF(COUNTA($A1203,$F1203,$G1203,$H1203,$I1203,$J1203)=0,"",IF($M1203=0,"✖ كود الصف غير موجود",IF(ISNA(MATCH($F1203,Lists!$A$2:$A$5,0)),"✖ الفترة غير صحيحة",IF(ISNA(MATCH($G1203,Lists!$B$2:$B$7,0)),"✖ المجموعة غير صحيحة",IF(NOT(OR($H1203="",$N1203&gt;0)),"✖ Start غير صحيح",IF(NOT(OR($I1203="",$I1203="NR",$O1203&gt;0)),"✖ Current غير صحيح",IF(NOT(IF(ISNUMBER($J1203),AND($J1203&gt;=0,$J1203=INT($J1203)),FALSE())),"✖ العدد يجب أن يكون صحيحًا ≥ 0",IF(AND($F1203="Baseline",$H1203&lt;&gt;""),"⚠ Baseline: Start لا يدخل في التقدم",IF($K1203="No Start (attainment only)","ℹ تحصيل فقط (بدون Start)",IF($K1203="U – needs rule","ℹ حالة U تحتاج قاعدة معتمدة",IF($K1203="No result","ℹ بدون نتيجة (يُستبعد من التحصيل)","OK")))))))))))</f>
        <v/>
      </c>
      <c r="M1203" s="64" t="n">
        <f aca="false">IF($A1203="",0,IFERROR(MATCH($A1203,Classes!$A$6:$A$420,0),0))</f>
        <v>0</v>
      </c>
      <c r="N1203" s="64" t="n">
        <f aca="false">IF($H1203="",0,IFERROR(MATCH($H1203,GradeList,0),0))</f>
        <v>0</v>
      </c>
      <c r="O1203" s="64" t="n">
        <f aca="false">IF(OR($I1203="",$I1203="NR"),0,IFERROR(MATCH($I1203,GradeList,0),0))</f>
        <v>0</v>
      </c>
      <c r="P1203" s="64" t="n">
        <f aca="false">IF(AND($M1203&gt;0,ISNUMBER(MATCH($F1203,Lists!$A$2:$A$5,0)),ISNUMBER(MATCH($G1203,Lists!$B$2:$B$7,0)),OR($H1203="",$N1203&gt;0),OR($I1203="",$I1203="NR",$O1203&gt;0),IF(ISNUMBER($J1203),AND($J1203&gt;=0,$J1203=INT($J1203)),FALSE())),$J1203,0)</f>
        <v>0</v>
      </c>
      <c r="Q1203" s="64" t="n">
        <f aca="false">IF(AND($P1203&gt;0,$O1203&gt;0),$P1203,0)</f>
        <v>0</v>
      </c>
      <c r="R1203" s="64" t="n">
        <f aca="false">IF(AND($Q1203&gt;0,$O1203&gt;=AtRank),$Q1203,0)</f>
        <v>0</v>
      </c>
      <c r="S1203" s="64" t="n">
        <f aca="false">IF(AND($Q1203&gt;0,$O1203&gt;=AboveRank),$Q1203,0)</f>
        <v>0</v>
      </c>
      <c r="T1203" s="64" t="n">
        <f aca="false">IF($K1203="Less",$P1203,0)</f>
        <v>0</v>
      </c>
      <c r="U1203" s="64" t="n">
        <f aca="false">IF($K1203="Expected",$P1203,0)</f>
        <v>0</v>
      </c>
      <c r="V1203" s="64" t="n">
        <f aca="false">IF($K1203="Better",$P1203,0)</f>
        <v>0</v>
      </c>
      <c r="W1203" s="64" t="n">
        <f aca="false">IF($K1203="U – needs rule",$P1203,0)</f>
        <v>0</v>
      </c>
      <c r="X1203" s="64" t="n">
        <f aca="false">IF($K1203="No Start (attainment only)",$P1203,0)</f>
        <v>0</v>
      </c>
    </row>
    <row r="1204" customFormat="false" ht="15" hidden="false" customHeight="false" outlineLevel="0" collapsed="false">
      <c r="A1204" s="60"/>
      <c r="B1204" s="61" t="str">
        <f aca="false">IF($M1204=0,"",INDEX(Classes!$E$6:$E$420,$M1204))</f>
        <v/>
      </c>
      <c r="C1204" s="62" t="str">
        <f aca="false">IF($M1204=0,"",INDEX(Classes!$H$6:$H$420,$M1204))</f>
        <v/>
      </c>
      <c r="D1204" s="61" t="str">
        <f aca="false">IF($M1204=0,"",INDEX(Classes!$B$6:$B$420,$M1204))</f>
        <v/>
      </c>
      <c r="E1204" s="61" t="str">
        <f aca="false">IF($M1204=0,"",INDEX(Classes!$C$6:$C$420,$M1204))</f>
        <v/>
      </c>
      <c r="F1204" s="63"/>
      <c r="G1204" s="63"/>
      <c r="H1204" s="60"/>
      <c r="I1204" s="60"/>
      <c r="J1204" s="63"/>
      <c r="K1204" s="61" t="str">
        <f aca="false">IF($P1204=0,"",IF($F1204="Baseline","— Baseline",IF($O1204=0,"No result",IF($N1204=0,"No Start (attainment only)",IF(OR($N1204=1,$O1204=1),"U – needs rule",INDEX(MxBody,MATCH($I1204,MxCurr,0),MATCH($H1204,MxStart,0)))))))</f>
        <v/>
      </c>
      <c r="L1204" s="62" t="str">
        <f aca="false">IF(COUNTA($A1204,$F1204,$G1204,$H1204,$I1204,$J1204)=0,"",IF($M1204=0,"✖ كود الصف غير موجود",IF(ISNA(MATCH($F1204,Lists!$A$2:$A$5,0)),"✖ الفترة غير صحيحة",IF(ISNA(MATCH($G1204,Lists!$B$2:$B$7,0)),"✖ المجموعة غير صحيحة",IF(NOT(OR($H1204="",$N1204&gt;0)),"✖ Start غير صحيح",IF(NOT(OR($I1204="",$I1204="NR",$O1204&gt;0)),"✖ Current غير صحيح",IF(NOT(IF(ISNUMBER($J1204),AND($J1204&gt;=0,$J1204=INT($J1204)),FALSE())),"✖ العدد يجب أن يكون صحيحًا ≥ 0",IF(AND($F1204="Baseline",$H1204&lt;&gt;""),"⚠ Baseline: Start لا يدخل في التقدم",IF($K1204="No Start (attainment only)","ℹ تحصيل فقط (بدون Start)",IF($K1204="U – needs rule","ℹ حالة U تحتاج قاعدة معتمدة",IF($K1204="No result","ℹ بدون نتيجة (يُستبعد من التحصيل)","OK")))))))))))</f>
        <v/>
      </c>
      <c r="M1204" s="64" t="n">
        <f aca="false">IF($A1204="",0,IFERROR(MATCH($A1204,Classes!$A$6:$A$420,0),0))</f>
        <v>0</v>
      </c>
      <c r="N1204" s="64" t="n">
        <f aca="false">IF($H1204="",0,IFERROR(MATCH($H1204,GradeList,0),0))</f>
        <v>0</v>
      </c>
      <c r="O1204" s="64" t="n">
        <f aca="false">IF(OR($I1204="",$I1204="NR"),0,IFERROR(MATCH($I1204,GradeList,0),0))</f>
        <v>0</v>
      </c>
      <c r="P1204" s="64" t="n">
        <f aca="false">IF(AND($M1204&gt;0,ISNUMBER(MATCH($F1204,Lists!$A$2:$A$5,0)),ISNUMBER(MATCH($G1204,Lists!$B$2:$B$7,0)),OR($H1204="",$N1204&gt;0),OR($I1204="",$I1204="NR",$O1204&gt;0),IF(ISNUMBER($J1204),AND($J1204&gt;=0,$J1204=INT($J1204)),FALSE())),$J1204,0)</f>
        <v>0</v>
      </c>
      <c r="Q1204" s="64" t="n">
        <f aca="false">IF(AND($P1204&gt;0,$O1204&gt;0),$P1204,0)</f>
        <v>0</v>
      </c>
      <c r="R1204" s="64" t="n">
        <f aca="false">IF(AND($Q1204&gt;0,$O1204&gt;=AtRank),$Q1204,0)</f>
        <v>0</v>
      </c>
      <c r="S1204" s="64" t="n">
        <f aca="false">IF(AND($Q1204&gt;0,$O1204&gt;=AboveRank),$Q1204,0)</f>
        <v>0</v>
      </c>
      <c r="T1204" s="64" t="n">
        <f aca="false">IF($K1204="Less",$P1204,0)</f>
        <v>0</v>
      </c>
      <c r="U1204" s="64" t="n">
        <f aca="false">IF($K1204="Expected",$P1204,0)</f>
        <v>0</v>
      </c>
      <c r="V1204" s="64" t="n">
        <f aca="false">IF($K1204="Better",$P1204,0)</f>
        <v>0</v>
      </c>
      <c r="W1204" s="64" t="n">
        <f aca="false">IF($K1204="U – needs rule",$P1204,0)</f>
        <v>0</v>
      </c>
      <c r="X1204" s="64" t="n">
        <f aca="false">IF($K1204="No Start (attainment only)",$P1204,0)</f>
        <v>0</v>
      </c>
    </row>
    <row r="1205" customFormat="false" ht="15" hidden="false" customHeight="false" outlineLevel="0" collapsed="false">
      <c r="A1205" s="60"/>
      <c r="B1205" s="61" t="str">
        <f aca="false">IF($M1205=0,"",INDEX(Classes!$E$6:$E$420,$M1205))</f>
        <v/>
      </c>
      <c r="C1205" s="62" t="str">
        <f aca="false">IF($M1205=0,"",INDEX(Classes!$H$6:$H$420,$M1205))</f>
        <v/>
      </c>
      <c r="D1205" s="61" t="str">
        <f aca="false">IF($M1205=0,"",INDEX(Classes!$B$6:$B$420,$M1205))</f>
        <v/>
      </c>
      <c r="E1205" s="61" t="str">
        <f aca="false">IF($M1205=0,"",INDEX(Classes!$C$6:$C$420,$M1205))</f>
        <v/>
      </c>
      <c r="F1205" s="63"/>
      <c r="G1205" s="63"/>
      <c r="H1205" s="60"/>
      <c r="I1205" s="60"/>
      <c r="J1205" s="63"/>
      <c r="K1205" s="61" t="str">
        <f aca="false">IF($P1205=0,"",IF($F1205="Baseline","— Baseline",IF($O1205=0,"No result",IF($N1205=0,"No Start (attainment only)",IF(OR($N1205=1,$O1205=1),"U – needs rule",INDEX(MxBody,MATCH($I1205,MxCurr,0),MATCH($H1205,MxStart,0)))))))</f>
        <v/>
      </c>
      <c r="L1205" s="62" t="str">
        <f aca="false">IF(COUNTA($A1205,$F1205,$G1205,$H1205,$I1205,$J1205)=0,"",IF($M1205=0,"✖ كود الصف غير موجود",IF(ISNA(MATCH($F1205,Lists!$A$2:$A$5,0)),"✖ الفترة غير صحيحة",IF(ISNA(MATCH($G1205,Lists!$B$2:$B$7,0)),"✖ المجموعة غير صحيحة",IF(NOT(OR($H1205="",$N1205&gt;0)),"✖ Start غير صحيح",IF(NOT(OR($I1205="",$I1205="NR",$O1205&gt;0)),"✖ Current غير صحيح",IF(NOT(IF(ISNUMBER($J1205),AND($J1205&gt;=0,$J1205=INT($J1205)),FALSE())),"✖ العدد يجب أن يكون صحيحًا ≥ 0",IF(AND($F1205="Baseline",$H1205&lt;&gt;""),"⚠ Baseline: Start لا يدخل في التقدم",IF($K1205="No Start (attainment only)","ℹ تحصيل فقط (بدون Start)",IF($K1205="U – needs rule","ℹ حالة U تحتاج قاعدة معتمدة",IF($K1205="No result","ℹ بدون نتيجة (يُستبعد من التحصيل)","OK")))))))))))</f>
        <v/>
      </c>
      <c r="M1205" s="64" t="n">
        <f aca="false">IF($A1205="",0,IFERROR(MATCH($A1205,Classes!$A$6:$A$420,0),0))</f>
        <v>0</v>
      </c>
      <c r="N1205" s="64" t="n">
        <f aca="false">IF($H1205="",0,IFERROR(MATCH($H1205,GradeList,0),0))</f>
        <v>0</v>
      </c>
      <c r="O1205" s="64" t="n">
        <f aca="false">IF(OR($I1205="",$I1205="NR"),0,IFERROR(MATCH($I1205,GradeList,0),0))</f>
        <v>0</v>
      </c>
      <c r="P1205" s="64" t="n">
        <f aca="false">IF(AND($M1205&gt;0,ISNUMBER(MATCH($F1205,Lists!$A$2:$A$5,0)),ISNUMBER(MATCH($G1205,Lists!$B$2:$B$7,0)),OR($H1205="",$N1205&gt;0),OR($I1205="",$I1205="NR",$O1205&gt;0),IF(ISNUMBER($J1205),AND($J1205&gt;=0,$J1205=INT($J1205)),FALSE())),$J1205,0)</f>
        <v>0</v>
      </c>
      <c r="Q1205" s="64" t="n">
        <f aca="false">IF(AND($P1205&gt;0,$O1205&gt;0),$P1205,0)</f>
        <v>0</v>
      </c>
      <c r="R1205" s="64" t="n">
        <f aca="false">IF(AND($Q1205&gt;0,$O1205&gt;=AtRank),$Q1205,0)</f>
        <v>0</v>
      </c>
      <c r="S1205" s="64" t="n">
        <f aca="false">IF(AND($Q1205&gt;0,$O1205&gt;=AboveRank),$Q1205,0)</f>
        <v>0</v>
      </c>
      <c r="T1205" s="64" t="n">
        <f aca="false">IF($K1205="Less",$P1205,0)</f>
        <v>0</v>
      </c>
      <c r="U1205" s="64" t="n">
        <f aca="false">IF($K1205="Expected",$P1205,0)</f>
        <v>0</v>
      </c>
      <c r="V1205" s="64" t="n">
        <f aca="false">IF($K1205="Better",$P1205,0)</f>
        <v>0</v>
      </c>
      <c r="W1205" s="64" t="n">
        <f aca="false">IF($K1205="U – needs rule",$P1205,0)</f>
        <v>0</v>
      </c>
      <c r="X1205" s="64" t="n">
        <f aca="false">IF($K1205="No Start (attainment only)",$P1205,0)</f>
        <v>0</v>
      </c>
    </row>
    <row r="1206" customFormat="false" ht="15" hidden="false" customHeight="false" outlineLevel="0" collapsed="false">
      <c r="A1206" s="60"/>
      <c r="B1206" s="61" t="str">
        <f aca="false">IF($M1206=0,"",INDEX(Classes!$E$6:$E$420,$M1206))</f>
        <v/>
      </c>
      <c r="C1206" s="62" t="str">
        <f aca="false">IF($M1206=0,"",INDEX(Classes!$H$6:$H$420,$M1206))</f>
        <v/>
      </c>
      <c r="D1206" s="61" t="str">
        <f aca="false">IF($M1206=0,"",INDEX(Classes!$B$6:$B$420,$M1206))</f>
        <v/>
      </c>
      <c r="E1206" s="61" t="str">
        <f aca="false">IF($M1206=0,"",INDEX(Classes!$C$6:$C$420,$M1206))</f>
        <v/>
      </c>
      <c r="F1206" s="63"/>
      <c r="G1206" s="63"/>
      <c r="H1206" s="60"/>
      <c r="I1206" s="60"/>
      <c r="J1206" s="63"/>
      <c r="K1206" s="61" t="str">
        <f aca="false">IF($P1206=0,"",IF($F1206="Baseline","— Baseline",IF($O1206=0,"No result",IF($N1206=0,"No Start (attainment only)",IF(OR($N1206=1,$O1206=1),"U – needs rule",INDEX(MxBody,MATCH($I1206,MxCurr,0),MATCH($H1206,MxStart,0)))))))</f>
        <v/>
      </c>
      <c r="L1206" s="62" t="str">
        <f aca="false">IF(COUNTA($A1206,$F1206,$G1206,$H1206,$I1206,$J1206)=0,"",IF($M1206=0,"✖ كود الصف غير موجود",IF(ISNA(MATCH($F1206,Lists!$A$2:$A$5,0)),"✖ الفترة غير صحيحة",IF(ISNA(MATCH($G1206,Lists!$B$2:$B$7,0)),"✖ المجموعة غير صحيحة",IF(NOT(OR($H1206="",$N1206&gt;0)),"✖ Start غير صحيح",IF(NOT(OR($I1206="",$I1206="NR",$O1206&gt;0)),"✖ Current غير صحيح",IF(NOT(IF(ISNUMBER($J1206),AND($J1206&gt;=0,$J1206=INT($J1206)),FALSE())),"✖ العدد يجب أن يكون صحيحًا ≥ 0",IF(AND($F1206="Baseline",$H1206&lt;&gt;""),"⚠ Baseline: Start لا يدخل في التقدم",IF($K1206="No Start (attainment only)","ℹ تحصيل فقط (بدون Start)",IF($K1206="U – needs rule","ℹ حالة U تحتاج قاعدة معتمدة",IF($K1206="No result","ℹ بدون نتيجة (يُستبعد من التحصيل)","OK")))))))))))</f>
        <v/>
      </c>
      <c r="M1206" s="64" t="n">
        <f aca="false">IF($A1206="",0,IFERROR(MATCH($A1206,Classes!$A$6:$A$420,0),0))</f>
        <v>0</v>
      </c>
      <c r="N1206" s="64" t="n">
        <f aca="false">IF($H1206="",0,IFERROR(MATCH($H1206,GradeList,0),0))</f>
        <v>0</v>
      </c>
      <c r="O1206" s="64" t="n">
        <f aca="false">IF(OR($I1206="",$I1206="NR"),0,IFERROR(MATCH($I1206,GradeList,0),0))</f>
        <v>0</v>
      </c>
      <c r="P1206" s="64" t="n">
        <f aca="false">IF(AND($M1206&gt;0,ISNUMBER(MATCH($F1206,Lists!$A$2:$A$5,0)),ISNUMBER(MATCH($G1206,Lists!$B$2:$B$7,0)),OR($H1206="",$N1206&gt;0),OR($I1206="",$I1206="NR",$O1206&gt;0),IF(ISNUMBER($J1206),AND($J1206&gt;=0,$J1206=INT($J1206)),FALSE())),$J1206,0)</f>
        <v>0</v>
      </c>
      <c r="Q1206" s="64" t="n">
        <f aca="false">IF(AND($P1206&gt;0,$O1206&gt;0),$P1206,0)</f>
        <v>0</v>
      </c>
      <c r="R1206" s="64" t="n">
        <f aca="false">IF(AND($Q1206&gt;0,$O1206&gt;=AtRank),$Q1206,0)</f>
        <v>0</v>
      </c>
      <c r="S1206" s="64" t="n">
        <f aca="false">IF(AND($Q1206&gt;0,$O1206&gt;=AboveRank),$Q1206,0)</f>
        <v>0</v>
      </c>
      <c r="T1206" s="64" t="n">
        <f aca="false">IF($K1206="Less",$P1206,0)</f>
        <v>0</v>
      </c>
      <c r="U1206" s="64" t="n">
        <f aca="false">IF($K1206="Expected",$P1206,0)</f>
        <v>0</v>
      </c>
      <c r="V1206" s="64" t="n">
        <f aca="false">IF($K1206="Better",$P1206,0)</f>
        <v>0</v>
      </c>
      <c r="W1206" s="64" t="n">
        <f aca="false">IF($K1206="U – needs rule",$P1206,0)</f>
        <v>0</v>
      </c>
      <c r="X1206" s="64" t="n">
        <f aca="false">IF($K1206="No Start (attainment only)",$P1206,0)</f>
        <v>0</v>
      </c>
    </row>
    <row r="1207" customFormat="false" ht="15" hidden="false" customHeight="false" outlineLevel="0" collapsed="false">
      <c r="A1207" s="60"/>
      <c r="B1207" s="61" t="str">
        <f aca="false">IF($M1207=0,"",INDEX(Classes!$E$6:$E$420,$M1207))</f>
        <v/>
      </c>
      <c r="C1207" s="62" t="str">
        <f aca="false">IF($M1207=0,"",INDEX(Classes!$H$6:$H$420,$M1207))</f>
        <v/>
      </c>
      <c r="D1207" s="61" t="str">
        <f aca="false">IF($M1207=0,"",INDEX(Classes!$B$6:$B$420,$M1207))</f>
        <v/>
      </c>
      <c r="E1207" s="61" t="str">
        <f aca="false">IF($M1207=0,"",INDEX(Classes!$C$6:$C$420,$M1207))</f>
        <v/>
      </c>
      <c r="F1207" s="63"/>
      <c r="G1207" s="63"/>
      <c r="H1207" s="60"/>
      <c r="I1207" s="60"/>
      <c r="J1207" s="63"/>
      <c r="K1207" s="61" t="str">
        <f aca="false">IF($P1207=0,"",IF($F1207="Baseline","— Baseline",IF($O1207=0,"No result",IF($N1207=0,"No Start (attainment only)",IF(OR($N1207=1,$O1207=1),"U – needs rule",INDEX(MxBody,MATCH($I1207,MxCurr,0),MATCH($H1207,MxStart,0)))))))</f>
        <v/>
      </c>
      <c r="L1207" s="62" t="str">
        <f aca="false">IF(COUNTA($A1207,$F1207,$G1207,$H1207,$I1207,$J1207)=0,"",IF($M1207=0,"✖ كود الصف غير موجود",IF(ISNA(MATCH($F1207,Lists!$A$2:$A$5,0)),"✖ الفترة غير صحيحة",IF(ISNA(MATCH($G1207,Lists!$B$2:$B$7,0)),"✖ المجموعة غير صحيحة",IF(NOT(OR($H1207="",$N1207&gt;0)),"✖ Start غير صحيح",IF(NOT(OR($I1207="",$I1207="NR",$O1207&gt;0)),"✖ Current غير صحيح",IF(NOT(IF(ISNUMBER($J1207),AND($J1207&gt;=0,$J1207=INT($J1207)),FALSE())),"✖ العدد يجب أن يكون صحيحًا ≥ 0",IF(AND($F1207="Baseline",$H1207&lt;&gt;""),"⚠ Baseline: Start لا يدخل في التقدم",IF($K1207="No Start (attainment only)","ℹ تحصيل فقط (بدون Start)",IF($K1207="U – needs rule","ℹ حالة U تحتاج قاعدة معتمدة",IF($K1207="No result","ℹ بدون نتيجة (يُستبعد من التحصيل)","OK")))))))))))</f>
        <v/>
      </c>
      <c r="M1207" s="64" t="n">
        <f aca="false">IF($A1207="",0,IFERROR(MATCH($A1207,Classes!$A$6:$A$420,0),0))</f>
        <v>0</v>
      </c>
      <c r="N1207" s="64" t="n">
        <f aca="false">IF($H1207="",0,IFERROR(MATCH($H1207,GradeList,0),0))</f>
        <v>0</v>
      </c>
      <c r="O1207" s="64" t="n">
        <f aca="false">IF(OR($I1207="",$I1207="NR"),0,IFERROR(MATCH($I1207,GradeList,0),0))</f>
        <v>0</v>
      </c>
      <c r="P1207" s="64" t="n">
        <f aca="false">IF(AND($M1207&gt;0,ISNUMBER(MATCH($F1207,Lists!$A$2:$A$5,0)),ISNUMBER(MATCH($G1207,Lists!$B$2:$B$7,0)),OR($H1207="",$N1207&gt;0),OR($I1207="",$I1207="NR",$O1207&gt;0),IF(ISNUMBER($J1207),AND($J1207&gt;=0,$J1207=INT($J1207)),FALSE())),$J1207,0)</f>
        <v>0</v>
      </c>
      <c r="Q1207" s="64" t="n">
        <f aca="false">IF(AND($P1207&gt;0,$O1207&gt;0),$P1207,0)</f>
        <v>0</v>
      </c>
      <c r="R1207" s="64" t="n">
        <f aca="false">IF(AND($Q1207&gt;0,$O1207&gt;=AtRank),$Q1207,0)</f>
        <v>0</v>
      </c>
      <c r="S1207" s="64" t="n">
        <f aca="false">IF(AND($Q1207&gt;0,$O1207&gt;=AboveRank),$Q1207,0)</f>
        <v>0</v>
      </c>
      <c r="T1207" s="64" t="n">
        <f aca="false">IF($K1207="Less",$P1207,0)</f>
        <v>0</v>
      </c>
      <c r="U1207" s="64" t="n">
        <f aca="false">IF($K1207="Expected",$P1207,0)</f>
        <v>0</v>
      </c>
      <c r="V1207" s="64" t="n">
        <f aca="false">IF($K1207="Better",$P1207,0)</f>
        <v>0</v>
      </c>
      <c r="W1207" s="64" t="n">
        <f aca="false">IF($K1207="U – needs rule",$P1207,0)</f>
        <v>0</v>
      </c>
      <c r="X1207" s="64" t="n">
        <f aca="false">IF($K1207="No Start (attainment only)",$P1207,0)</f>
        <v>0</v>
      </c>
    </row>
    <row r="1208" customFormat="false" ht="15" hidden="false" customHeight="false" outlineLevel="0" collapsed="false">
      <c r="A1208" s="60"/>
      <c r="B1208" s="61" t="str">
        <f aca="false">IF($M1208=0,"",INDEX(Classes!$E$6:$E$420,$M1208))</f>
        <v/>
      </c>
      <c r="C1208" s="62" t="str">
        <f aca="false">IF($M1208=0,"",INDEX(Classes!$H$6:$H$420,$M1208))</f>
        <v/>
      </c>
      <c r="D1208" s="61" t="str">
        <f aca="false">IF($M1208=0,"",INDEX(Classes!$B$6:$B$420,$M1208))</f>
        <v/>
      </c>
      <c r="E1208" s="61" t="str">
        <f aca="false">IF($M1208=0,"",INDEX(Classes!$C$6:$C$420,$M1208))</f>
        <v/>
      </c>
      <c r="F1208" s="63"/>
      <c r="G1208" s="63"/>
      <c r="H1208" s="60"/>
      <c r="I1208" s="60"/>
      <c r="J1208" s="63"/>
      <c r="K1208" s="61" t="str">
        <f aca="false">IF($P1208=0,"",IF($F1208="Baseline","— Baseline",IF($O1208=0,"No result",IF($N1208=0,"No Start (attainment only)",IF(OR($N1208=1,$O1208=1),"U – needs rule",INDEX(MxBody,MATCH($I1208,MxCurr,0),MATCH($H1208,MxStart,0)))))))</f>
        <v/>
      </c>
      <c r="L1208" s="62" t="str">
        <f aca="false">IF(COUNTA($A1208,$F1208,$G1208,$H1208,$I1208,$J1208)=0,"",IF($M1208=0,"✖ كود الصف غير موجود",IF(ISNA(MATCH($F1208,Lists!$A$2:$A$5,0)),"✖ الفترة غير صحيحة",IF(ISNA(MATCH($G1208,Lists!$B$2:$B$7,0)),"✖ المجموعة غير صحيحة",IF(NOT(OR($H1208="",$N1208&gt;0)),"✖ Start غير صحيح",IF(NOT(OR($I1208="",$I1208="NR",$O1208&gt;0)),"✖ Current غير صحيح",IF(NOT(IF(ISNUMBER($J1208),AND($J1208&gt;=0,$J1208=INT($J1208)),FALSE())),"✖ العدد يجب أن يكون صحيحًا ≥ 0",IF(AND($F1208="Baseline",$H1208&lt;&gt;""),"⚠ Baseline: Start لا يدخل في التقدم",IF($K1208="No Start (attainment only)","ℹ تحصيل فقط (بدون Start)",IF($K1208="U – needs rule","ℹ حالة U تحتاج قاعدة معتمدة",IF($K1208="No result","ℹ بدون نتيجة (يُستبعد من التحصيل)","OK")))))))))))</f>
        <v/>
      </c>
      <c r="M1208" s="64" t="n">
        <f aca="false">IF($A1208="",0,IFERROR(MATCH($A1208,Classes!$A$6:$A$420,0),0))</f>
        <v>0</v>
      </c>
      <c r="N1208" s="64" t="n">
        <f aca="false">IF($H1208="",0,IFERROR(MATCH($H1208,GradeList,0),0))</f>
        <v>0</v>
      </c>
      <c r="O1208" s="64" t="n">
        <f aca="false">IF(OR($I1208="",$I1208="NR"),0,IFERROR(MATCH($I1208,GradeList,0),0))</f>
        <v>0</v>
      </c>
      <c r="P1208" s="64" t="n">
        <f aca="false">IF(AND($M1208&gt;0,ISNUMBER(MATCH($F1208,Lists!$A$2:$A$5,0)),ISNUMBER(MATCH($G1208,Lists!$B$2:$B$7,0)),OR($H1208="",$N1208&gt;0),OR($I1208="",$I1208="NR",$O1208&gt;0),IF(ISNUMBER($J1208),AND($J1208&gt;=0,$J1208=INT($J1208)),FALSE())),$J1208,0)</f>
        <v>0</v>
      </c>
      <c r="Q1208" s="64" t="n">
        <f aca="false">IF(AND($P1208&gt;0,$O1208&gt;0),$P1208,0)</f>
        <v>0</v>
      </c>
      <c r="R1208" s="64" t="n">
        <f aca="false">IF(AND($Q1208&gt;0,$O1208&gt;=AtRank),$Q1208,0)</f>
        <v>0</v>
      </c>
      <c r="S1208" s="64" t="n">
        <f aca="false">IF(AND($Q1208&gt;0,$O1208&gt;=AboveRank),$Q1208,0)</f>
        <v>0</v>
      </c>
      <c r="T1208" s="64" t="n">
        <f aca="false">IF($K1208="Less",$P1208,0)</f>
        <v>0</v>
      </c>
      <c r="U1208" s="64" t="n">
        <f aca="false">IF($K1208="Expected",$P1208,0)</f>
        <v>0</v>
      </c>
      <c r="V1208" s="64" t="n">
        <f aca="false">IF($K1208="Better",$P1208,0)</f>
        <v>0</v>
      </c>
      <c r="W1208" s="64" t="n">
        <f aca="false">IF($K1208="U – needs rule",$P1208,0)</f>
        <v>0</v>
      </c>
      <c r="X1208" s="64" t="n">
        <f aca="false">IF($K1208="No Start (attainment only)",$P1208,0)</f>
        <v>0</v>
      </c>
    </row>
    <row r="1209" customFormat="false" ht="15" hidden="false" customHeight="false" outlineLevel="0" collapsed="false">
      <c r="A1209" s="60"/>
      <c r="B1209" s="61" t="str">
        <f aca="false">IF($M1209=0,"",INDEX(Classes!$E$6:$E$420,$M1209))</f>
        <v/>
      </c>
      <c r="C1209" s="62" t="str">
        <f aca="false">IF($M1209=0,"",INDEX(Classes!$H$6:$H$420,$M1209))</f>
        <v/>
      </c>
      <c r="D1209" s="61" t="str">
        <f aca="false">IF($M1209=0,"",INDEX(Classes!$B$6:$B$420,$M1209))</f>
        <v/>
      </c>
      <c r="E1209" s="61" t="str">
        <f aca="false">IF($M1209=0,"",INDEX(Classes!$C$6:$C$420,$M1209))</f>
        <v/>
      </c>
      <c r="F1209" s="63"/>
      <c r="G1209" s="63"/>
      <c r="H1209" s="60"/>
      <c r="I1209" s="60"/>
      <c r="J1209" s="63"/>
      <c r="K1209" s="61" t="str">
        <f aca="false">IF($P1209=0,"",IF($F1209="Baseline","— Baseline",IF($O1209=0,"No result",IF($N1209=0,"No Start (attainment only)",IF(OR($N1209=1,$O1209=1),"U – needs rule",INDEX(MxBody,MATCH($I1209,MxCurr,0),MATCH($H1209,MxStart,0)))))))</f>
        <v/>
      </c>
      <c r="L1209" s="62" t="str">
        <f aca="false">IF(COUNTA($A1209,$F1209,$G1209,$H1209,$I1209,$J1209)=0,"",IF($M1209=0,"✖ كود الصف غير موجود",IF(ISNA(MATCH($F1209,Lists!$A$2:$A$5,0)),"✖ الفترة غير صحيحة",IF(ISNA(MATCH($G1209,Lists!$B$2:$B$7,0)),"✖ المجموعة غير صحيحة",IF(NOT(OR($H1209="",$N1209&gt;0)),"✖ Start غير صحيح",IF(NOT(OR($I1209="",$I1209="NR",$O1209&gt;0)),"✖ Current غير صحيح",IF(NOT(IF(ISNUMBER($J1209),AND($J1209&gt;=0,$J1209=INT($J1209)),FALSE())),"✖ العدد يجب أن يكون صحيحًا ≥ 0",IF(AND($F1209="Baseline",$H1209&lt;&gt;""),"⚠ Baseline: Start لا يدخل في التقدم",IF($K1209="No Start (attainment only)","ℹ تحصيل فقط (بدون Start)",IF($K1209="U – needs rule","ℹ حالة U تحتاج قاعدة معتمدة",IF($K1209="No result","ℹ بدون نتيجة (يُستبعد من التحصيل)","OK")))))))))))</f>
        <v/>
      </c>
      <c r="M1209" s="64" t="n">
        <f aca="false">IF($A1209="",0,IFERROR(MATCH($A1209,Classes!$A$6:$A$420,0),0))</f>
        <v>0</v>
      </c>
      <c r="N1209" s="64" t="n">
        <f aca="false">IF($H1209="",0,IFERROR(MATCH($H1209,GradeList,0),0))</f>
        <v>0</v>
      </c>
      <c r="O1209" s="64" t="n">
        <f aca="false">IF(OR($I1209="",$I1209="NR"),0,IFERROR(MATCH($I1209,GradeList,0),0))</f>
        <v>0</v>
      </c>
      <c r="P1209" s="64" t="n">
        <f aca="false">IF(AND($M1209&gt;0,ISNUMBER(MATCH($F1209,Lists!$A$2:$A$5,0)),ISNUMBER(MATCH($G1209,Lists!$B$2:$B$7,0)),OR($H1209="",$N1209&gt;0),OR($I1209="",$I1209="NR",$O1209&gt;0),IF(ISNUMBER($J1209),AND($J1209&gt;=0,$J1209=INT($J1209)),FALSE())),$J1209,0)</f>
        <v>0</v>
      </c>
      <c r="Q1209" s="64" t="n">
        <f aca="false">IF(AND($P1209&gt;0,$O1209&gt;0),$P1209,0)</f>
        <v>0</v>
      </c>
      <c r="R1209" s="64" t="n">
        <f aca="false">IF(AND($Q1209&gt;0,$O1209&gt;=AtRank),$Q1209,0)</f>
        <v>0</v>
      </c>
      <c r="S1209" s="64" t="n">
        <f aca="false">IF(AND($Q1209&gt;0,$O1209&gt;=AboveRank),$Q1209,0)</f>
        <v>0</v>
      </c>
      <c r="T1209" s="64" t="n">
        <f aca="false">IF($K1209="Less",$P1209,0)</f>
        <v>0</v>
      </c>
      <c r="U1209" s="64" t="n">
        <f aca="false">IF($K1209="Expected",$P1209,0)</f>
        <v>0</v>
      </c>
      <c r="V1209" s="64" t="n">
        <f aca="false">IF($K1209="Better",$P1209,0)</f>
        <v>0</v>
      </c>
      <c r="W1209" s="64" t="n">
        <f aca="false">IF($K1209="U – needs rule",$P1209,0)</f>
        <v>0</v>
      </c>
      <c r="X1209" s="64" t="n">
        <f aca="false">IF($K1209="No Start (attainment only)",$P1209,0)</f>
        <v>0</v>
      </c>
    </row>
    <row r="1210" customFormat="false" ht="15" hidden="false" customHeight="false" outlineLevel="0" collapsed="false">
      <c r="A1210" s="60"/>
      <c r="B1210" s="61" t="str">
        <f aca="false">IF($M1210=0,"",INDEX(Classes!$E$6:$E$420,$M1210))</f>
        <v/>
      </c>
      <c r="C1210" s="62" t="str">
        <f aca="false">IF($M1210=0,"",INDEX(Classes!$H$6:$H$420,$M1210))</f>
        <v/>
      </c>
      <c r="D1210" s="61" t="str">
        <f aca="false">IF($M1210=0,"",INDEX(Classes!$B$6:$B$420,$M1210))</f>
        <v/>
      </c>
      <c r="E1210" s="61" t="str">
        <f aca="false">IF($M1210=0,"",INDEX(Classes!$C$6:$C$420,$M1210))</f>
        <v/>
      </c>
      <c r="F1210" s="63"/>
      <c r="G1210" s="63"/>
      <c r="H1210" s="60"/>
      <c r="I1210" s="60"/>
      <c r="J1210" s="63"/>
      <c r="K1210" s="61" t="str">
        <f aca="false">IF($P1210=0,"",IF($F1210="Baseline","— Baseline",IF($O1210=0,"No result",IF($N1210=0,"No Start (attainment only)",IF(OR($N1210=1,$O1210=1),"U – needs rule",INDEX(MxBody,MATCH($I1210,MxCurr,0),MATCH($H1210,MxStart,0)))))))</f>
        <v/>
      </c>
      <c r="L1210" s="62" t="str">
        <f aca="false">IF(COUNTA($A1210,$F1210,$G1210,$H1210,$I1210,$J1210)=0,"",IF($M1210=0,"✖ كود الصف غير موجود",IF(ISNA(MATCH($F1210,Lists!$A$2:$A$5,0)),"✖ الفترة غير صحيحة",IF(ISNA(MATCH($G1210,Lists!$B$2:$B$7,0)),"✖ المجموعة غير صحيحة",IF(NOT(OR($H1210="",$N1210&gt;0)),"✖ Start غير صحيح",IF(NOT(OR($I1210="",$I1210="NR",$O1210&gt;0)),"✖ Current غير صحيح",IF(NOT(IF(ISNUMBER($J1210),AND($J1210&gt;=0,$J1210=INT($J1210)),FALSE())),"✖ العدد يجب أن يكون صحيحًا ≥ 0",IF(AND($F1210="Baseline",$H1210&lt;&gt;""),"⚠ Baseline: Start لا يدخل في التقدم",IF($K1210="No Start (attainment only)","ℹ تحصيل فقط (بدون Start)",IF($K1210="U – needs rule","ℹ حالة U تحتاج قاعدة معتمدة",IF($K1210="No result","ℹ بدون نتيجة (يُستبعد من التحصيل)","OK")))))))))))</f>
        <v/>
      </c>
      <c r="M1210" s="64" t="n">
        <f aca="false">IF($A1210="",0,IFERROR(MATCH($A1210,Classes!$A$6:$A$420,0),0))</f>
        <v>0</v>
      </c>
      <c r="N1210" s="64" t="n">
        <f aca="false">IF($H1210="",0,IFERROR(MATCH($H1210,GradeList,0),0))</f>
        <v>0</v>
      </c>
      <c r="O1210" s="64" t="n">
        <f aca="false">IF(OR($I1210="",$I1210="NR"),0,IFERROR(MATCH($I1210,GradeList,0),0))</f>
        <v>0</v>
      </c>
      <c r="P1210" s="64" t="n">
        <f aca="false">IF(AND($M1210&gt;0,ISNUMBER(MATCH($F1210,Lists!$A$2:$A$5,0)),ISNUMBER(MATCH($G1210,Lists!$B$2:$B$7,0)),OR($H1210="",$N1210&gt;0),OR($I1210="",$I1210="NR",$O1210&gt;0),IF(ISNUMBER($J1210),AND($J1210&gt;=0,$J1210=INT($J1210)),FALSE())),$J1210,0)</f>
        <v>0</v>
      </c>
      <c r="Q1210" s="64" t="n">
        <f aca="false">IF(AND($P1210&gt;0,$O1210&gt;0),$P1210,0)</f>
        <v>0</v>
      </c>
      <c r="R1210" s="64" t="n">
        <f aca="false">IF(AND($Q1210&gt;0,$O1210&gt;=AtRank),$Q1210,0)</f>
        <v>0</v>
      </c>
      <c r="S1210" s="64" t="n">
        <f aca="false">IF(AND($Q1210&gt;0,$O1210&gt;=AboveRank),$Q1210,0)</f>
        <v>0</v>
      </c>
      <c r="T1210" s="64" t="n">
        <f aca="false">IF($K1210="Less",$P1210,0)</f>
        <v>0</v>
      </c>
      <c r="U1210" s="64" t="n">
        <f aca="false">IF($K1210="Expected",$P1210,0)</f>
        <v>0</v>
      </c>
      <c r="V1210" s="64" t="n">
        <f aca="false">IF($K1210="Better",$P1210,0)</f>
        <v>0</v>
      </c>
      <c r="W1210" s="64" t="n">
        <f aca="false">IF($K1210="U – needs rule",$P1210,0)</f>
        <v>0</v>
      </c>
      <c r="X1210" s="64" t="n">
        <f aca="false">IF($K1210="No Start (attainment only)",$P1210,0)</f>
        <v>0</v>
      </c>
    </row>
    <row r="1211" customFormat="false" ht="15" hidden="false" customHeight="false" outlineLevel="0" collapsed="false">
      <c r="A1211" s="60"/>
      <c r="B1211" s="61" t="str">
        <f aca="false">IF($M1211=0,"",INDEX(Classes!$E$6:$E$420,$M1211))</f>
        <v/>
      </c>
      <c r="C1211" s="62" t="str">
        <f aca="false">IF($M1211=0,"",INDEX(Classes!$H$6:$H$420,$M1211))</f>
        <v/>
      </c>
      <c r="D1211" s="61" t="str">
        <f aca="false">IF($M1211=0,"",INDEX(Classes!$B$6:$B$420,$M1211))</f>
        <v/>
      </c>
      <c r="E1211" s="61" t="str">
        <f aca="false">IF($M1211=0,"",INDEX(Classes!$C$6:$C$420,$M1211))</f>
        <v/>
      </c>
      <c r="F1211" s="63"/>
      <c r="G1211" s="63"/>
      <c r="H1211" s="60"/>
      <c r="I1211" s="60"/>
      <c r="J1211" s="63"/>
      <c r="K1211" s="61" t="str">
        <f aca="false">IF($P1211=0,"",IF($F1211="Baseline","— Baseline",IF($O1211=0,"No result",IF($N1211=0,"No Start (attainment only)",IF(OR($N1211=1,$O1211=1),"U – needs rule",INDEX(MxBody,MATCH($I1211,MxCurr,0),MATCH($H1211,MxStart,0)))))))</f>
        <v/>
      </c>
      <c r="L1211" s="62" t="str">
        <f aca="false">IF(COUNTA($A1211,$F1211,$G1211,$H1211,$I1211,$J1211)=0,"",IF($M1211=0,"✖ كود الصف غير موجود",IF(ISNA(MATCH($F1211,Lists!$A$2:$A$5,0)),"✖ الفترة غير صحيحة",IF(ISNA(MATCH($G1211,Lists!$B$2:$B$7,0)),"✖ المجموعة غير صحيحة",IF(NOT(OR($H1211="",$N1211&gt;0)),"✖ Start غير صحيح",IF(NOT(OR($I1211="",$I1211="NR",$O1211&gt;0)),"✖ Current غير صحيح",IF(NOT(IF(ISNUMBER($J1211),AND($J1211&gt;=0,$J1211=INT($J1211)),FALSE())),"✖ العدد يجب أن يكون صحيحًا ≥ 0",IF(AND($F1211="Baseline",$H1211&lt;&gt;""),"⚠ Baseline: Start لا يدخل في التقدم",IF($K1211="No Start (attainment only)","ℹ تحصيل فقط (بدون Start)",IF($K1211="U – needs rule","ℹ حالة U تحتاج قاعدة معتمدة",IF($K1211="No result","ℹ بدون نتيجة (يُستبعد من التحصيل)","OK")))))))))))</f>
        <v/>
      </c>
      <c r="M1211" s="64" t="n">
        <f aca="false">IF($A1211="",0,IFERROR(MATCH($A1211,Classes!$A$6:$A$420,0),0))</f>
        <v>0</v>
      </c>
      <c r="N1211" s="64" t="n">
        <f aca="false">IF($H1211="",0,IFERROR(MATCH($H1211,GradeList,0),0))</f>
        <v>0</v>
      </c>
      <c r="O1211" s="64" t="n">
        <f aca="false">IF(OR($I1211="",$I1211="NR"),0,IFERROR(MATCH($I1211,GradeList,0),0))</f>
        <v>0</v>
      </c>
      <c r="P1211" s="64" t="n">
        <f aca="false">IF(AND($M1211&gt;0,ISNUMBER(MATCH($F1211,Lists!$A$2:$A$5,0)),ISNUMBER(MATCH($G1211,Lists!$B$2:$B$7,0)),OR($H1211="",$N1211&gt;0),OR($I1211="",$I1211="NR",$O1211&gt;0),IF(ISNUMBER($J1211),AND($J1211&gt;=0,$J1211=INT($J1211)),FALSE())),$J1211,0)</f>
        <v>0</v>
      </c>
      <c r="Q1211" s="64" t="n">
        <f aca="false">IF(AND($P1211&gt;0,$O1211&gt;0),$P1211,0)</f>
        <v>0</v>
      </c>
      <c r="R1211" s="64" t="n">
        <f aca="false">IF(AND($Q1211&gt;0,$O1211&gt;=AtRank),$Q1211,0)</f>
        <v>0</v>
      </c>
      <c r="S1211" s="64" t="n">
        <f aca="false">IF(AND($Q1211&gt;0,$O1211&gt;=AboveRank),$Q1211,0)</f>
        <v>0</v>
      </c>
      <c r="T1211" s="64" t="n">
        <f aca="false">IF($K1211="Less",$P1211,0)</f>
        <v>0</v>
      </c>
      <c r="U1211" s="64" t="n">
        <f aca="false">IF($K1211="Expected",$P1211,0)</f>
        <v>0</v>
      </c>
      <c r="V1211" s="64" t="n">
        <f aca="false">IF($K1211="Better",$P1211,0)</f>
        <v>0</v>
      </c>
      <c r="W1211" s="64" t="n">
        <f aca="false">IF($K1211="U – needs rule",$P1211,0)</f>
        <v>0</v>
      </c>
      <c r="X1211" s="64" t="n">
        <f aca="false">IF($K1211="No Start (attainment only)",$P1211,0)</f>
        <v>0</v>
      </c>
    </row>
    <row r="1212" customFormat="false" ht="15" hidden="false" customHeight="false" outlineLevel="0" collapsed="false">
      <c r="A1212" s="60"/>
      <c r="B1212" s="61" t="str">
        <f aca="false">IF($M1212=0,"",INDEX(Classes!$E$6:$E$420,$M1212))</f>
        <v/>
      </c>
      <c r="C1212" s="62" t="str">
        <f aca="false">IF($M1212=0,"",INDEX(Classes!$H$6:$H$420,$M1212))</f>
        <v/>
      </c>
      <c r="D1212" s="61" t="str">
        <f aca="false">IF($M1212=0,"",INDEX(Classes!$B$6:$B$420,$M1212))</f>
        <v/>
      </c>
      <c r="E1212" s="61" t="str">
        <f aca="false">IF($M1212=0,"",INDEX(Classes!$C$6:$C$420,$M1212))</f>
        <v/>
      </c>
      <c r="F1212" s="63"/>
      <c r="G1212" s="63"/>
      <c r="H1212" s="60"/>
      <c r="I1212" s="60"/>
      <c r="J1212" s="63"/>
      <c r="K1212" s="61" t="str">
        <f aca="false">IF($P1212=0,"",IF($F1212="Baseline","— Baseline",IF($O1212=0,"No result",IF($N1212=0,"No Start (attainment only)",IF(OR($N1212=1,$O1212=1),"U – needs rule",INDEX(MxBody,MATCH($I1212,MxCurr,0),MATCH($H1212,MxStart,0)))))))</f>
        <v/>
      </c>
      <c r="L1212" s="62" t="str">
        <f aca="false">IF(COUNTA($A1212,$F1212,$G1212,$H1212,$I1212,$J1212)=0,"",IF($M1212=0,"✖ كود الصف غير موجود",IF(ISNA(MATCH($F1212,Lists!$A$2:$A$5,0)),"✖ الفترة غير صحيحة",IF(ISNA(MATCH($G1212,Lists!$B$2:$B$7,0)),"✖ المجموعة غير صحيحة",IF(NOT(OR($H1212="",$N1212&gt;0)),"✖ Start غير صحيح",IF(NOT(OR($I1212="",$I1212="NR",$O1212&gt;0)),"✖ Current غير صحيح",IF(NOT(IF(ISNUMBER($J1212),AND($J1212&gt;=0,$J1212=INT($J1212)),FALSE())),"✖ العدد يجب أن يكون صحيحًا ≥ 0",IF(AND($F1212="Baseline",$H1212&lt;&gt;""),"⚠ Baseline: Start لا يدخل في التقدم",IF($K1212="No Start (attainment only)","ℹ تحصيل فقط (بدون Start)",IF($K1212="U – needs rule","ℹ حالة U تحتاج قاعدة معتمدة",IF($K1212="No result","ℹ بدون نتيجة (يُستبعد من التحصيل)","OK")))))))))))</f>
        <v/>
      </c>
      <c r="M1212" s="64" t="n">
        <f aca="false">IF($A1212="",0,IFERROR(MATCH($A1212,Classes!$A$6:$A$420,0),0))</f>
        <v>0</v>
      </c>
      <c r="N1212" s="64" t="n">
        <f aca="false">IF($H1212="",0,IFERROR(MATCH($H1212,GradeList,0),0))</f>
        <v>0</v>
      </c>
      <c r="O1212" s="64" t="n">
        <f aca="false">IF(OR($I1212="",$I1212="NR"),0,IFERROR(MATCH($I1212,GradeList,0),0))</f>
        <v>0</v>
      </c>
      <c r="P1212" s="64" t="n">
        <f aca="false">IF(AND($M1212&gt;0,ISNUMBER(MATCH($F1212,Lists!$A$2:$A$5,0)),ISNUMBER(MATCH($G1212,Lists!$B$2:$B$7,0)),OR($H1212="",$N1212&gt;0),OR($I1212="",$I1212="NR",$O1212&gt;0),IF(ISNUMBER($J1212),AND($J1212&gt;=0,$J1212=INT($J1212)),FALSE())),$J1212,0)</f>
        <v>0</v>
      </c>
      <c r="Q1212" s="64" t="n">
        <f aca="false">IF(AND($P1212&gt;0,$O1212&gt;0),$P1212,0)</f>
        <v>0</v>
      </c>
      <c r="R1212" s="64" t="n">
        <f aca="false">IF(AND($Q1212&gt;0,$O1212&gt;=AtRank),$Q1212,0)</f>
        <v>0</v>
      </c>
      <c r="S1212" s="64" t="n">
        <f aca="false">IF(AND($Q1212&gt;0,$O1212&gt;=AboveRank),$Q1212,0)</f>
        <v>0</v>
      </c>
      <c r="T1212" s="64" t="n">
        <f aca="false">IF($K1212="Less",$P1212,0)</f>
        <v>0</v>
      </c>
      <c r="U1212" s="64" t="n">
        <f aca="false">IF($K1212="Expected",$P1212,0)</f>
        <v>0</v>
      </c>
      <c r="V1212" s="64" t="n">
        <f aca="false">IF($K1212="Better",$P1212,0)</f>
        <v>0</v>
      </c>
      <c r="W1212" s="64" t="n">
        <f aca="false">IF($K1212="U – needs rule",$P1212,0)</f>
        <v>0</v>
      </c>
      <c r="X1212" s="64" t="n">
        <f aca="false">IF($K1212="No Start (attainment only)",$P1212,0)</f>
        <v>0</v>
      </c>
    </row>
    <row r="1213" customFormat="false" ht="15" hidden="false" customHeight="false" outlineLevel="0" collapsed="false">
      <c r="A1213" s="60"/>
      <c r="B1213" s="61" t="str">
        <f aca="false">IF($M1213=0,"",INDEX(Classes!$E$6:$E$420,$M1213))</f>
        <v/>
      </c>
      <c r="C1213" s="62" t="str">
        <f aca="false">IF($M1213=0,"",INDEX(Classes!$H$6:$H$420,$M1213))</f>
        <v/>
      </c>
      <c r="D1213" s="61" t="str">
        <f aca="false">IF($M1213=0,"",INDEX(Classes!$B$6:$B$420,$M1213))</f>
        <v/>
      </c>
      <c r="E1213" s="61" t="str">
        <f aca="false">IF($M1213=0,"",INDEX(Classes!$C$6:$C$420,$M1213))</f>
        <v/>
      </c>
      <c r="F1213" s="63"/>
      <c r="G1213" s="63"/>
      <c r="H1213" s="60"/>
      <c r="I1213" s="60"/>
      <c r="J1213" s="63"/>
      <c r="K1213" s="61" t="str">
        <f aca="false">IF($P1213=0,"",IF($F1213="Baseline","— Baseline",IF($O1213=0,"No result",IF($N1213=0,"No Start (attainment only)",IF(OR($N1213=1,$O1213=1),"U – needs rule",INDEX(MxBody,MATCH($I1213,MxCurr,0),MATCH($H1213,MxStart,0)))))))</f>
        <v/>
      </c>
      <c r="L1213" s="62" t="str">
        <f aca="false">IF(COUNTA($A1213,$F1213,$G1213,$H1213,$I1213,$J1213)=0,"",IF($M1213=0,"✖ كود الصف غير موجود",IF(ISNA(MATCH($F1213,Lists!$A$2:$A$5,0)),"✖ الفترة غير صحيحة",IF(ISNA(MATCH($G1213,Lists!$B$2:$B$7,0)),"✖ المجموعة غير صحيحة",IF(NOT(OR($H1213="",$N1213&gt;0)),"✖ Start غير صحيح",IF(NOT(OR($I1213="",$I1213="NR",$O1213&gt;0)),"✖ Current غير صحيح",IF(NOT(IF(ISNUMBER($J1213),AND($J1213&gt;=0,$J1213=INT($J1213)),FALSE())),"✖ العدد يجب أن يكون صحيحًا ≥ 0",IF(AND($F1213="Baseline",$H1213&lt;&gt;""),"⚠ Baseline: Start لا يدخل في التقدم",IF($K1213="No Start (attainment only)","ℹ تحصيل فقط (بدون Start)",IF($K1213="U – needs rule","ℹ حالة U تحتاج قاعدة معتمدة",IF($K1213="No result","ℹ بدون نتيجة (يُستبعد من التحصيل)","OK")))))))))))</f>
        <v/>
      </c>
      <c r="M1213" s="64" t="n">
        <f aca="false">IF($A1213="",0,IFERROR(MATCH($A1213,Classes!$A$6:$A$420,0),0))</f>
        <v>0</v>
      </c>
      <c r="N1213" s="64" t="n">
        <f aca="false">IF($H1213="",0,IFERROR(MATCH($H1213,GradeList,0),0))</f>
        <v>0</v>
      </c>
      <c r="O1213" s="64" t="n">
        <f aca="false">IF(OR($I1213="",$I1213="NR"),0,IFERROR(MATCH($I1213,GradeList,0),0))</f>
        <v>0</v>
      </c>
      <c r="P1213" s="64" t="n">
        <f aca="false">IF(AND($M1213&gt;0,ISNUMBER(MATCH($F1213,Lists!$A$2:$A$5,0)),ISNUMBER(MATCH($G1213,Lists!$B$2:$B$7,0)),OR($H1213="",$N1213&gt;0),OR($I1213="",$I1213="NR",$O1213&gt;0),IF(ISNUMBER($J1213),AND($J1213&gt;=0,$J1213=INT($J1213)),FALSE())),$J1213,0)</f>
        <v>0</v>
      </c>
      <c r="Q1213" s="64" t="n">
        <f aca="false">IF(AND($P1213&gt;0,$O1213&gt;0),$P1213,0)</f>
        <v>0</v>
      </c>
      <c r="R1213" s="64" t="n">
        <f aca="false">IF(AND($Q1213&gt;0,$O1213&gt;=AtRank),$Q1213,0)</f>
        <v>0</v>
      </c>
      <c r="S1213" s="64" t="n">
        <f aca="false">IF(AND($Q1213&gt;0,$O1213&gt;=AboveRank),$Q1213,0)</f>
        <v>0</v>
      </c>
      <c r="T1213" s="64" t="n">
        <f aca="false">IF($K1213="Less",$P1213,0)</f>
        <v>0</v>
      </c>
      <c r="U1213" s="64" t="n">
        <f aca="false">IF($K1213="Expected",$P1213,0)</f>
        <v>0</v>
      </c>
      <c r="V1213" s="64" t="n">
        <f aca="false">IF($K1213="Better",$P1213,0)</f>
        <v>0</v>
      </c>
      <c r="W1213" s="64" t="n">
        <f aca="false">IF($K1213="U – needs rule",$P1213,0)</f>
        <v>0</v>
      </c>
      <c r="X1213" s="64" t="n">
        <f aca="false">IF($K1213="No Start (attainment only)",$P1213,0)</f>
        <v>0</v>
      </c>
    </row>
    <row r="1214" customFormat="false" ht="15" hidden="false" customHeight="false" outlineLevel="0" collapsed="false">
      <c r="A1214" s="60"/>
      <c r="B1214" s="61" t="str">
        <f aca="false">IF($M1214=0,"",INDEX(Classes!$E$6:$E$420,$M1214))</f>
        <v/>
      </c>
      <c r="C1214" s="62" t="str">
        <f aca="false">IF($M1214=0,"",INDEX(Classes!$H$6:$H$420,$M1214))</f>
        <v/>
      </c>
      <c r="D1214" s="61" t="str">
        <f aca="false">IF($M1214=0,"",INDEX(Classes!$B$6:$B$420,$M1214))</f>
        <v/>
      </c>
      <c r="E1214" s="61" t="str">
        <f aca="false">IF($M1214=0,"",INDEX(Classes!$C$6:$C$420,$M1214))</f>
        <v/>
      </c>
      <c r="F1214" s="63"/>
      <c r="G1214" s="63"/>
      <c r="H1214" s="60"/>
      <c r="I1214" s="60"/>
      <c r="J1214" s="63"/>
      <c r="K1214" s="61" t="str">
        <f aca="false">IF($P1214=0,"",IF($F1214="Baseline","— Baseline",IF($O1214=0,"No result",IF($N1214=0,"No Start (attainment only)",IF(OR($N1214=1,$O1214=1),"U – needs rule",INDEX(MxBody,MATCH($I1214,MxCurr,0),MATCH($H1214,MxStart,0)))))))</f>
        <v/>
      </c>
      <c r="L1214" s="62" t="str">
        <f aca="false">IF(COUNTA($A1214,$F1214,$G1214,$H1214,$I1214,$J1214)=0,"",IF($M1214=0,"✖ كود الصف غير موجود",IF(ISNA(MATCH($F1214,Lists!$A$2:$A$5,0)),"✖ الفترة غير صحيحة",IF(ISNA(MATCH($G1214,Lists!$B$2:$B$7,0)),"✖ المجموعة غير صحيحة",IF(NOT(OR($H1214="",$N1214&gt;0)),"✖ Start غير صحيح",IF(NOT(OR($I1214="",$I1214="NR",$O1214&gt;0)),"✖ Current غير صحيح",IF(NOT(IF(ISNUMBER($J1214),AND($J1214&gt;=0,$J1214=INT($J1214)),FALSE())),"✖ العدد يجب أن يكون صحيحًا ≥ 0",IF(AND($F1214="Baseline",$H1214&lt;&gt;""),"⚠ Baseline: Start لا يدخل في التقدم",IF($K1214="No Start (attainment only)","ℹ تحصيل فقط (بدون Start)",IF($K1214="U – needs rule","ℹ حالة U تحتاج قاعدة معتمدة",IF($K1214="No result","ℹ بدون نتيجة (يُستبعد من التحصيل)","OK")))))))))))</f>
        <v/>
      </c>
      <c r="M1214" s="64" t="n">
        <f aca="false">IF($A1214="",0,IFERROR(MATCH($A1214,Classes!$A$6:$A$420,0),0))</f>
        <v>0</v>
      </c>
      <c r="N1214" s="64" t="n">
        <f aca="false">IF($H1214="",0,IFERROR(MATCH($H1214,GradeList,0),0))</f>
        <v>0</v>
      </c>
      <c r="O1214" s="64" t="n">
        <f aca="false">IF(OR($I1214="",$I1214="NR"),0,IFERROR(MATCH($I1214,GradeList,0),0))</f>
        <v>0</v>
      </c>
      <c r="P1214" s="64" t="n">
        <f aca="false">IF(AND($M1214&gt;0,ISNUMBER(MATCH($F1214,Lists!$A$2:$A$5,0)),ISNUMBER(MATCH($G1214,Lists!$B$2:$B$7,0)),OR($H1214="",$N1214&gt;0),OR($I1214="",$I1214="NR",$O1214&gt;0),IF(ISNUMBER($J1214),AND($J1214&gt;=0,$J1214=INT($J1214)),FALSE())),$J1214,0)</f>
        <v>0</v>
      </c>
      <c r="Q1214" s="64" t="n">
        <f aca="false">IF(AND($P1214&gt;0,$O1214&gt;0),$P1214,0)</f>
        <v>0</v>
      </c>
      <c r="R1214" s="64" t="n">
        <f aca="false">IF(AND($Q1214&gt;0,$O1214&gt;=AtRank),$Q1214,0)</f>
        <v>0</v>
      </c>
      <c r="S1214" s="64" t="n">
        <f aca="false">IF(AND($Q1214&gt;0,$O1214&gt;=AboveRank),$Q1214,0)</f>
        <v>0</v>
      </c>
      <c r="T1214" s="64" t="n">
        <f aca="false">IF($K1214="Less",$P1214,0)</f>
        <v>0</v>
      </c>
      <c r="U1214" s="64" t="n">
        <f aca="false">IF($K1214="Expected",$P1214,0)</f>
        <v>0</v>
      </c>
      <c r="V1214" s="64" t="n">
        <f aca="false">IF($K1214="Better",$P1214,0)</f>
        <v>0</v>
      </c>
      <c r="W1214" s="64" t="n">
        <f aca="false">IF($K1214="U – needs rule",$P1214,0)</f>
        <v>0</v>
      </c>
      <c r="X1214" s="64" t="n">
        <f aca="false">IF($K1214="No Start (attainment only)",$P1214,0)</f>
        <v>0</v>
      </c>
    </row>
    <row r="1215" customFormat="false" ht="15" hidden="false" customHeight="false" outlineLevel="0" collapsed="false">
      <c r="A1215" s="60"/>
      <c r="B1215" s="61" t="str">
        <f aca="false">IF($M1215=0,"",INDEX(Classes!$E$6:$E$420,$M1215))</f>
        <v/>
      </c>
      <c r="C1215" s="62" t="str">
        <f aca="false">IF($M1215=0,"",INDEX(Classes!$H$6:$H$420,$M1215))</f>
        <v/>
      </c>
      <c r="D1215" s="61" t="str">
        <f aca="false">IF($M1215=0,"",INDEX(Classes!$B$6:$B$420,$M1215))</f>
        <v/>
      </c>
      <c r="E1215" s="61" t="str">
        <f aca="false">IF($M1215=0,"",INDEX(Classes!$C$6:$C$420,$M1215))</f>
        <v/>
      </c>
      <c r="F1215" s="63"/>
      <c r="G1215" s="63"/>
      <c r="H1215" s="60"/>
      <c r="I1215" s="60"/>
      <c r="J1215" s="63"/>
      <c r="K1215" s="61" t="str">
        <f aca="false">IF($P1215=0,"",IF($F1215="Baseline","— Baseline",IF($O1215=0,"No result",IF($N1215=0,"No Start (attainment only)",IF(OR($N1215=1,$O1215=1),"U – needs rule",INDEX(MxBody,MATCH($I1215,MxCurr,0),MATCH($H1215,MxStart,0)))))))</f>
        <v/>
      </c>
      <c r="L1215" s="62" t="str">
        <f aca="false">IF(COUNTA($A1215,$F1215,$G1215,$H1215,$I1215,$J1215)=0,"",IF($M1215=0,"✖ كود الصف غير موجود",IF(ISNA(MATCH($F1215,Lists!$A$2:$A$5,0)),"✖ الفترة غير صحيحة",IF(ISNA(MATCH($G1215,Lists!$B$2:$B$7,0)),"✖ المجموعة غير صحيحة",IF(NOT(OR($H1215="",$N1215&gt;0)),"✖ Start غير صحيح",IF(NOT(OR($I1215="",$I1215="NR",$O1215&gt;0)),"✖ Current غير صحيح",IF(NOT(IF(ISNUMBER($J1215),AND($J1215&gt;=0,$J1215=INT($J1215)),FALSE())),"✖ العدد يجب أن يكون صحيحًا ≥ 0",IF(AND($F1215="Baseline",$H1215&lt;&gt;""),"⚠ Baseline: Start لا يدخل في التقدم",IF($K1215="No Start (attainment only)","ℹ تحصيل فقط (بدون Start)",IF($K1215="U – needs rule","ℹ حالة U تحتاج قاعدة معتمدة",IF($K1215="No result","ℹ بدون نتيجة (يُستبعد من التحصيل)","OK")))))))))))</f>
        <v/>
      </c>
      <c r="M1215" s="64" t="n">
        <f aca="false">IF($A1215="",0,IFERROR(MATCH($A1215,Classes!$A$6:$A$420,0),0))</f>
        <v>0</v>
      </c>
      <c r="N1215" s="64" t="n">
        <f aca="false">IF($H1215="",0,IFERROR(MATCH($H1215,GradeList,0),0))</f>
        <v>0</v>
      </c>
      <c r="O1215" s="64" t="n">
        <f aca="false">IF(OR($I1215="",$I1215="NR"),0,IFERROR(MATCH($I1215,GradeList,0),0))</f>
        <v>0</v>
      </c>
      <c r="P1215" s="64" t="n">
        <f aca="false">IF(AND($M1215&gt;0,ISNUMBER(MATCH($F1215,Lists!$A$2:$A$5,0)),ISNUMBER(MATCH($G1215,Lists!$B$2:$B$7,0)),OR($H1215="",$N1215&gt;0),OR($I1215="",$I1215="NR",$O1215&gt;0),IF(ISNUMBER($J1215),AND($J1215&gt;=0,$J1215=INT($J1215)),FALSE())),$J1215,0)</f>
        <v>0</v>
      </c>
      <c r="Q1215" s="64" t="n">
        <f aca="false">IF(AND($P1215&gt;0,$O1215&gt;0),$P1215,0)</f>
        <v>0</v>
      </c>
      <c r="R1215" s="64" t="n">
        <f aca="false">IF(AND($Q1215&gt;0,$O1215&gt;=AtRank),$Q1215,0)</f>
        <v>0</v>
      </c>
      <c r="S1215" s="64" t="n">
        <f aca="false">IF(AND($Q1215&gt;0,$O1215&gt;=AboveRank),$Q1215,0)</f>
        <v>0</v>
      </c>
      <c r="T1215" s="64" t="n">
        <f aca="false">IF($K1215="Less",$P1215,0)</f>
        <v>0</v>
      </c>
      <c r="U1215" s="64" t="n">
        <f aca="false">IF($K1215="Expected",$P1215,0)</f>
        <v>0</v>
      </c>
      <c r="V1215" s="64" t="n">
        <f aca="false">IF($K1215="Better",$P1215,0)</f>
        <v>0</v>
      </c>
      <c r="W1215" s="64" t="n">
        <f aca="false">IF($K1215="U – needs rule",$P1215,0)</f>
        <v>0</v>
      </c>
      <c r="X1215" s="64" t="n">
        <f aca="false">IF($K1215="No Start (attainment only)",$P1215,0)</f>
        <v>0</v>
      </c>
    </row>
    <row r="1216" customFormat="false" ht="15" hidden="false" customHeight="false" outlineLevel="0" collapsed="false">
      <c r="A1216" s="60"/>
      <c r="B1216" s="61" t="str">
        <f aca="false">IF($M1216=0,"",INDEX(Classes!$E$6:$E$420,$M1216))</f>
        <v/>
      </c>
      <c r="C1216" s="62" t="str">
        <f aca="false">IF($M1216=0,"",INDEX(Classes!$H$6:$H$420,$M1216))</f>
        <v/>
      </c>
      <c r="D1216" s="61" t="str">
        <f aca="false">IF($M1216=0,"",INDEX(Classes!$B$6:$B$420,$M1216))</f>
        <v/>
      </c>
      <c r="E1216" s="61" t="str">
        <f aca="false">IF($M1216=0,"",INDEX(Classes!$C$6:$C$420,$M1216))</f>
        <v/>
      </c>
      <c r="F1216" s="63"/>
      <c r="G1216" s="63"/>
      <c r="H1216" s="60"/>
      <c r="I1216" s="60"/>
      <c r="J1216" s="63"/>
      <c r="K1216" s="61" t="str">
        <f aca="false">IF($P1216=0,"",IF($F1216="Baseline","— Baseline",IF($O1216=0,"No result",IF($N1216=0,"No Start (attainment only)",IF(OR($N1216=1,$O1216=1),"U – needs rule",INDEX(MxBody,MATCH($I1216,MxCurr,0),MATCH($H1216,MxStart,0)))))))</f>
        <v/>
      </c>
      <c r="L1216" s="62" t="str">
        <f aca="false">IF(COUNTA($A1216,$F1216,$G1216,$H1216,$I1216,$J1216)=0,"",IF($M1216=0,"✖ كود الصف غير موجود",IF(ISNA(MATCH($F1216,Lists!$A$2:$A$5,0)),"✖ الفترة غير صحيحة",IF(ISNA(MATCH($G1216,Lists!$B$2:$B$7,0)),"✖ المجموعة غير صحيحة",IF(NOT(OR($H1216="",$N1216&gt;0)),"✖ Start غير صحيح",IF(NOT(OR($I1216="",$I1216="NR",$O1216&gt;0)),"✖ Current غير صحيح",IF(NOT(IF(ISNUMBER($J1216),AND($J1216&gt;=0,$J1216=INT($J1216)),FALSE())),"✖ العدد يجب أن يكون صحيحًا ≥ 0",IF(AND($F1216="Baseline",$H1216&lt;&gt;""),"⚠ Baseline: Start لا يدخل في التقدم",IF($K1216="No Start (attainment only)","ℹ تحصيل فقط (بدون Start)",IF($K1216="U – needs rule","ℹ حالة U تحتاج قاعدة معتمدة",IF($K1216="No result","ℹ بدون نتيجة (يُستبعد من التحصيل)","OK")))))))))))</f>
        <v/>
      </c>
      <c r="M1216" s="64" t="n">
        <f aca="false">IF($A1216="",0,IFERROR(MATCH($A1216,Classes!$A$6:$A$420,0),0))</f>
        <v>0</v>
      </c>
      <c r="N1216" s="64" t="n">
        <f aca="false">IF($H1216="",0,IFERROR(MATCH($H1216,GradeList,0),0))</f>
        <v>0</v>
      </c>
      <c r="O1216" s="64" t="n">
        <f aca="false">IF(OR($I1216="",$I1216="NR"),0,IFERROR(MATCH($I1216,GradeList,0),0))</f>
        <v>0</v>
      </c>
      <c r="P1216" s="64" t="n">
        <f aca="false">IF(AND($M1216&gt;0,ISNUMBER(MATCH($F1216,Lists!$A$2:$A$5,0)),ISNUMBER(MATCH($G1216,Lists!$B$2:$B$7,0)),OR($H1216="",$N1216&gt;0),OR($I1216="",$I1216="NR",$O1216&gt;0),IF(ISNUMBER($J1216),AND($J1216&gt;=0,$J1216=INT($J1216)),FALSE())),$J1216,0)</f>
        <v>0</v>
      </c>
      <c r="Q1216" s="64" t="n">
        <f aca="false">IF(AND($P1216&gt;0,$O1216&gt;0),$P1216,0)</f>
        <v>0</v>
      </c>
      <c r="R1216" s="64" t="n">
        <f aca="false">IF(AND($Q1216&gt;0,$O1216&gt;=AtRank),$Q1216,0)</f>
        <v>0</v>
      </c>
      <c r="S1216" s="64" t="n">
        <f aca="false">IF(AND($Q1216&gt;0,$O1216&gt;=AboveRank),$Q1216,0)</f>
        <v>0</v>
      </c>
      <c r="T1216" s="64" t="n">
        <f aca="false">IF($K1216="Less",$P1216,0)</f>
        <v>0</v>
      </c>
      <c r="U1216" s="64" t="n">
        <f aca="false">IF($K1216="Expected",$P1216,0)</f>
        <v>0</v>
      </c>
      <c r="V1216" s="64" t="n">
        <f aca="false">IF($K1216="Better",$P1216,0)</f>
        <v>0</v>
      </c>
      <c r="W1216" s="64" t="n">
        <f aca="false">IF($K1216="U – needs rule",$P1216,0)</f>
        <v>0</v>
      </c>
      <c r="X1216" s="64" t="n">
        <f aca="false">IF($K1216="No Start (attainment only)",$P1216,0)</f>
        <v>0</v>
      </c>
    </row>
    <row r="1217" customFormat="false" ht="15" hidden="false" customHeight="false" outlineLevel="0" collapsed="false">
      <c r="A1217" s="60"/>
      <c r="B1217" s="61" t="str">
        <f aca="false">IF($M1217=0,"",INDEX(Classes!$E$6:$E$420,$M1217))</f>
        <v/>
      </c>
      <c r="C1217" s="62" t="str">
        <f aca="false">IF($M1217=0,"",INDEX(Classes!$H$6:$H$420,$M1217))</f>
        <v/>
      </c>
      <c r="D1217" s="61" t="str">
        <f aca="false">IF($M1217=0,"",INDEX(Classes!$B$6:$B$420,$M1217))</f>
        <v/>
      </c>
      <c r="E1217" s="61" t="str">
        <f aca="false">IF($M1217=0,"",INDEX(Classes!$C$6:$C$420,$M1217))</f>
        <v/>
      </c>
      <c r="F1217" s="63"/>
      <c r="G1217" s="63"/>
      <c r="H1217" s="60"/>
      <c r="I1217" s="60"/>
      <c r="J1217" s="63"/>
      <c r="K1217" s="61" t="str">
        <f aca="false">IF($P1217=0,"",IF($F1217="Baseline","— Baseline",IF($O1217=0,"No result",IF($N1217=0,"No Start (attainment only)",IF(OR($N1217=1,$O1217=1),"U – needs rule",INDEX(MxBody,MATCH($I1217,MxCurr,0),MATCH($H1217,MxStart,0)))))))</f>
        <v/>
      </c>
      <c r="L1217" s="62" t="str">
        <f aca="false">IF(COUNTA($A1217,$F1217,$G1217,$H1217,$I1217,$J1217)=0,"",IF($M1217=0,"✖ كود الصف غير موجود",IF(ISNA(MATCH($F1217,Lists!$A$2:$A$5,0)),"✖ الفترة غير صحيحة",IF(ISNA(MATCH($G1217,Lists!$B$2:$B$7,0)),"✖ المجموعة غير صحيحة",IF(NOT(OR($H1217="",$N1217&gt;0)),"✖ Start غير صحيح",IF(NOT(OR($I1217="",$I1217="NR",$O1217&gt;0)),"✖ Current غير صحيح",IF(NOT(IF(ISNUMBER($J1217),AND($J1217&gt;=0,$J1217=INT($J1217)),FALSE())),"✖ العدد يجب أن يكون صحيحًا ≥ 0",IF(AND($F1217="Baseline",$H1217&lt;&gt;""),"⚠ Baseline: Start لا يدخل في التقدم",IF($K1217="No Start (attainment only)","ℹ تحصيل فقط (بدون Start)",IF($K1217="U – needs rule","ℹ حالة U تحتاج قاعدة معتمدة",IF($K1217="No result","ℹ بدون نتيجة (يُستبعد من التحصيل)","OK")))))))))))</f>
        <v/>
      </c>
      <c r="M1217" s="64" t="n">
        <f aca="false">IF($A1217="",0,IFERROR(MATCH($A1217,Classes!$A$6:$A$420,0),0))</f>
        <v>0</v>
      </c>
      <c r="N1217" s="64" t="n">
        <f aca="false">IF($H1217="",0,IFERROR(MATCH($H1217,GradeList,0),0))</f>
        <v>0</v>
      </c>
      <c r="O1217" s="64" t="n">
        <f aca="false">IF(OR($I1217="",$I1217="NR"),0,IFERROR(MATCH($I1217,GradeList,0),0))</f>
        <v>0</v>
      </c>
      <c r="P1217" s="64" t="n">
        <f aca="false">IF(AND($M1217&gt;0,ISNUMBER(MATCH($F1217,Lists!$A$2:$A$5,0)),ISNUMBER(MATCH($G1217,Lists!$B$2:$B$7,0)),OR($H1217="",$N1217&gt;0),OR($I1217="",$I1217="NR",$O1217&gt;0),IF(ISNUMBER($J1217),AND($J1217&gt;=0,$J1217=INT($J1217)),FALSE())),$J1217,0)</f>
        <v>0</v>
      </c>
      <c r="Q1217" s="64" t="n">
        <f aca="false">IF(AND($P1217&gt;0,$O1217&gt;0),$P1217,0)</f>
        <v>0</v>
      </c>
      <c r="R1217" s="64" t="n">
        <f aca="false">IF(AND($Q1217&gt;0,$O1217&gt;=AtRank),$Q1217,0)</f>
        <v>0</v>
      </c>
      <c r="S1217" s="64" t="n">
        <f aca="false">IF(AND($Q1217&gt;0,$O1217&gt;=AboveRank),$Q1217,0)</f>
        <v>0</v>
      </c>
      <c r="T1217" s="64" t="n">
        <f aca="false">IF($K1217="Less",$P1217,0)</f>
        <v>0</v>
      </c>
      <c r="U1217" s="64" t="n">
        <f aca="false">IF($K1217="Expected",$P1217,0)</f>
        <v>0</v>
      </c>
      <c r="V1217" s="64" t="n">
        <f aca="false">IF($K1217="Better",$P1217,0)</f>
        <v>0</v>
      </c>
      <c r="W1217" s="64" t="n">
        <f aca="false">IF($K1217="U – needs rule",$P1217,0)</f>
        <v>0</v>
      </c>
      <c r="X1217" s="64" t="n">
        <f aca="false">IF($K1217="No Start (attainment only)",$P1217,0)</f>
        <v>0</v>
      </c>
    </row>
    <row r="1218" customFormat="false" ht="15" hidden="false" customHeight="false" outlineLevel="0" collapsed="false">
      <c r="A1218" s="60"/>
      <c r="B1218" s="61" t="str">
        <f aca="false">IF($M1218=0,"",INDEX(Classes!$E$6:$E$420,$M1218))</f>
        <v/>
      </c>
      <c r="C1218" s="62" t="str">
        <f aca="false">IF($M1218=0,"",INDEX(Classes!$H$6:$H$420,$M1218))</f>
        <v/>
      </c>
      <c r="D1218" s="61" t="str">
        <f aca="false">IF($M1218=0,"",INDEX(Classes!$B$6:$B$420,$M1218))</f>
        <v/>
      </c>
      <c r="E1218" s="61" t="str">
        <f aca="false">IF($M1218=0,"",INDEX(Classes!$C$6:$C$420,$M1218))</f>
        <v/>
      </c>
      <c r="F1218" s="63"/>
      <c r="G1218" s="63"/>
      <c r="H1218" s="60"/>
      <c r="I1218" s="60"/>
      <c r="J1218" s="63"/>
      <c r="K1218" s="61" t="str">
        <f aca="false">IF($P1218=0,"",IF($F1218="Baseline","— Baseline",IF($O1218=0,"No result",IF($N1218=0,"No Start (attainment only)",IF(OR($N1218=1,$O1218=1),"U – needs rule",INDEX(MxBody,MATCH($I1218,MxCurr,0),MATCH($H1218,MxStart,0)))))))</f>
        <v/>
      </c>
      <c r="L1218" s="62" t="str">
        <f aca="false">IF(COUNTA($A1218,$F1218,$G1218,$H1218,$I1218,$J1218)=0,"",IF($M1218=0,"✖ كود الصف غير موجود",IF(ISNA(MATCH($F1218,Lists!$A$2:$A$5,0)),"✖ الفترة غير صحيحة",IF(ISNA(MATCH($G1218,Lists!$B$2:$B$7,0)),"✖ المجموعة غير صحيحة",IF(NOT(OR($H1218="",$N1218&gt;0)),"✖ Start غير صحيح",IF(NOT(OR($I1218="",$I1218="NR",$O1218&gt;0)),"✖ Current غير صحيح",IF(NOT(IF(ISNUMBER($J1218),AND($J1218&gt;=0,$J1218=INT($J1218)),FALSE())),"✖ العدد يجب أن يكون صحيحًا ≥ 0",IF(AND($F1218="Baseline",$H1218&lt;&gt;""),"⚠ Baseline: Start لا يدخل في التقدم",IF($K1218="No Start (attainment only)","ℹ تحصيل فقط (بدون Start)",IF($K1218="U – needs rule","ℹ حالة U تحتاج قاعدة معتمدة",IF($K1218="No result","ℹ بدون نتيجة (يُستبعد من التحصيل)","OK")))))))))))</f>
        <v/>
      </c>
      <c r="M1218" s="64" t="n">
        <f aca="false">IF($A1218="",0,IFERROR(MATCH($A1218,Classes!$A$6:$A$420,0),0))</f>
        <v>0</v>
      </c>
      <c r="N1218" s="64" t="n">
        <f aca="false">IF($H1218="",0,IFERROR(MATCH($H1218,GradeList,0),0))</f>
        <v>0</v>
      </c>
      <c r="O1218" s="64" t="n">
        <f aca="false">IF(OR($I1218="",$I1218="NR"),0,IFERROR(MATCH($I1218,GradeList,0),0))</f>
        <v>0</v>
      </c>
      <c r="P1218" s="64" t="n">
        <f aca="false">IF(AND($M1218&gt;0,ISNUMBER(MATCH($F1218,Lists!$A$2:$A$5,0)),ISNUMBER(MATCH($G1218,Lists!$B$2:$B$7,0)),OR($H1218="",$N1218&gt;0),OR($I1218="",$I1218="NR",$O1218&gt;0),IF(ISNUMBER($J1218),AND($J1218&gt;=0,$J1218=INT($J1218)),FALSE())),$J1218,0)</f>
        <v>0</v>
      </c>
      <c r="Q1218" s="64" t="n">
        <f aca="false">IF(AND($P1218&gt;0,$O1218&gt;0),$P1218,0)</f>
        <v>0</v>
      </c>
      <c r="R1218" s="64" t="n">
        <f aca="false">IF(AND($Q1218&gt;0,$O1218&gt;=AtRank),$Q1218,0)</f>
        <v>0</v>
      </c>
      <c r="S1218" s="64" t="n">
        <f aca="false">IF(AND($Q1218&gt;0,$O1218&gt;=AboveRank),$Q1218,0)</f>
        <v>0</v>
      </c>
      <c r="T1218" s="64" t="n">
        <f aca="false">IF($K1218="Less",$P1218,0)</f>
        <v>0</v>
      </c>
      <c r="U1218" s="64" t="n">
        <f aca="false">IF($K1218="Expected",$P1218,0)</f>
        <v>0</v>
      </c>
      <c r="V1218" s="64" t="n">
        <f aca="false">IF($K1218="Better",$P1218,0)</f>
        <v>0</v>
      </c>
      <c r="W1218" s="64" t="n">
        <f aca="false">IF($K1218="U – needs rule",$P1218,0)</f>
        <v>0</v>
      </c>
      <c r="X1218" s="64" t="n">
        <f aca="false">IF($K1218="No Start (attainment only)",$P1218,0)</f>
        <v>0</v>
      </c>
    </row>
    <row r="1219" customFormat="false" ht="15" hidden="false" customHeight="false" outlineLevel="0" collapsed="false">
      <c r="A1219" s="60"/>
      <c r="B1219" s="61" t="str">
        <f aca="false">IF($M1219=0,"",INDEX(Classes!$E$6:$E$420,$M1219))</f>
        <v/>
      </c>
      <c r="C1219" s="62" t="str">
        <f aca="false">IF($M1219=0,"",INDEX(Classes!$H$6:$H$420,$M1219))</f>
        <v/>
      </c>
      <c r="D1219" s="61" t="str">
        <f aca="false">IF($M1219=0,"",INDEX(Classes!$B$6:$B$420,$M1219))</f>
        <v/>
      </c>
      <c r="E1219" s="61" t="str">
        <f aca="false">IF($M1219=0,"",INDEX(Classes!$C$6:$C$420,$M1219))</f>
        <v/>
      </c>
      <c r="F1219" s="63"/>
      <c r="G1219" s="63"/>
      <c r="H1219" s="60"/>
      <c r="I1219" s="60"/>
      <c r="J1219" s="63"/>
      <c r="K1219" s="61" t="str">
        <f aca="false">IF($P1219=0,"",IF($F1219="Baseline","— Baseline",IF($O1219=0,"No result",IF($N1219=0,"No Start (attainment only)",IF(OR($N1219=1,$O1219=1),"U – needs rule",INDEX(MxBody,MATCH($I1219,MxCurr,0),MATCH($H1219,MxStart,0)))))))</f>
        <v/>
      </c>
      <c r="L1219" s="62" t="str">
        <f aca="false">IF(COUNTA($A1219,$F1219,$G1219,$H1219,$I1219,$J1219)=0,"",IF($M1219=0,"✖ كود الصف غير موجود",IF(ISNA(MATCH($F1219,Lists!$A$2:$A$5,0)),"✖ الفترة غير صحيحة",IF(ISNA(MATCH($G1219,Lists!$B$2:$B$7,0)),"✖ المجموعة غير صحيحة",IF(NOT(OR($H1219="",$N1219&gt;0)),"✖ Start غير صحيح",IF(NOT(OR($I1219="",$I1219="NR",$O1219&gt;0)),"✖ Current غير صحيح",IF(NOT(IF(ISNUMBER($J1219),AND($J1219&gt;=0,$J1219=INT($J1219)),FALSE())),"✖ العدد يجب أن يكون صحيحًا ≥ 0",IF(AND($F1219="Baseline",$H1219&lt;&gt;""),"⚠ Baseline: Start لا يدخل في التقدم",IF($K1219="No Start (attainment only)","ℹ تحصيل فقط (بدون Start)",IF($K1219="U – needs rule","ℹ حالة U تحتاج قاعدة معتمدة",IF($K1219="No result","ℹ بدون نتيجة (يُستبعد من التحصيل)","OK")))))))))))</f>
        <v/>
      </c>
      <c r="M1219" s="64" t="n">
        <f aca="false">IF($A1219="",0,IFERROR(MATCH($A1219,Classes!$A$6:$A$420,0),0))</f>
        <v>0</v>
      </c>
      <c r="N1219" s="64" t="n">
        <f aca="false">IF($H1219="",0,IFERROR(MATCH($H1219,GradeList,0),0))</f>
        <v>0</v>
      </c>
      <c r="O1219" s="64" t="n">
        <f aca="false">IF(OR($I1219="",$I1219="NR"),0,IFERROR(MATCH($I1219,GradeList,0),0))</f>
        <v>0</v>
      </c>
      <c r="P1219" s="64" t="n">
        <f aca="false">IF(AND($M1219&gt;0,ISNUMBER(MATCH($F1219,Lists!$A$2:$A$5,0)),ISNUMBER(MATCH($G1219,Lists!$B$2:$B$7,0)),OR($H1219="",$N1219&gt;0),OR($I1219="",$I1219="NR",$O1219&gt;0),IF(ISNUMBER($J1219),AND($J1219&gt;=0,$J1219=INT($J1219)),FALSE())),$J1219,0)</f>
        <v>0</v>
      </c>
      <c r="Q1219" s="64" t="n">
        <f aca="false">IF(AND($P1219&gt;0,$O1219&gt;0),$P1219,0)</f>
        <v>0</v>
      </c>
      <c r="R1219" s="64" t="n">
        <f aca="false">IF(AND($Q1219&gt;0,$O1219&gt;=AtRank),$Q1219,0)</f>
        <v>0</v>
      </c>
      <c r="S1219" s="64" t="n">
        <f aca="false">IF(AND($Q1219&gt;0,$O1219&gt;=AboveRank),$Q1219,0)</f>
        <v>0</v>
      </c>
      <c r="T1219" s="64" t="n">
        <f aca="false">IF($K1219="Less",$P1219,0)</f>
        <v>0</v>
      </c>
      <c r="U1219" s="64" t="n">
        <f aca="false">IF($K1219="Expected",$P1219,0)</f>
        <v>0</v>
      </c>
      <c r="V1219" s="64" t="n">
        <f aca="false">IF($K1219="Better",$P1219,0)</f>
        <v>0</v>
      </c>
      <c r="W1219" s="64" t="n">
        <f aca="false">IF($K1219="U – needs rule",$P1219,0)</f>
        <v>0</v>
      </c>
      <c r="X1219" s="64" t="n">
        <f aca="false">IF($K1219="No Start (attainment only)",$P1219,0)</f>
        <v>0</v>
      </c>
    </row>
    <row r="1220" customFormat="false" ht="15" hidden="false" customHeight="false" outlineLevel="0" collapsed="false">
      <c r="A1220" s="60"/>
      <c r="B1220" s="61" t="str">
        <f aca="false">IF($M1220=0,"",INDEX(Classes!$E$6:$E$420,$M1220))</f>
        <v/>
      </c>
      <c r="C1220" s="62" t="str">
        <f aca="false">IF($M1220=0,"",INDEX(Classes!$H$6:$H$420,$M1220))</f>
        <v/>
      </c>
      <c r="D1220" s="61" t="str">
        <f aca="false">IF($M1220=0,"",INDEX(Classes!$B$6:$B$420,$M1220))</f>
        <v/>
      </c>
      <c r="E1220" s="61" t="str">
        <f aca="false">IF($M1220=0,"",INDEX(Classes!$C$6:$C$420,$M1220))</f>
        <v/>
      </c>
      <c r="F1220" s="63"/>
      <c r="G1220" s="63"/>
      <c r="H1220" s="60"/>
      <c r="I1220" s="60"/>
      <c r="J1220" s="63"/>
      <c r="K1220" s="61" t="str">
        <f aca="false">IF($P1220=0,"",IF($F1220="Baseline","— Baseline",IF($O1220=0,"No result",IF($N1220=0,"No Start (attainment only)",IF(OR($N1220=1,$O1220=1),"U – needs rule",INDEX(MxBody,MATCH($I1220,MxCurr,0),MATCH($H1220,MxStart,0)))))))</f>
        <v/>
      </c>
      <c r="L1220" s="62" t="str">
        <f aca="false">IF(COUNTA($A1220,$F1220,$G1220,$H1220,$I1220,$J1220)=0,"",IF($M1220=0,"✖ كود الصف غير موجود",IF(ISNA(MATCH($F1220,Lists!$A$2:$A$5,0)),"✖ الفترة غير صحيحة",IF(ISNA(MATCH($G1220,Lists!$B$2:$B$7,0)),"✖ المجموعة غير صحيحة",IF(NOT(OR($H1220="",$N1220&gt;0)),"✖ Start غير صحيح",IF(NOT(OR($I1220="",$I1220="NR",$O1220&gt;0)),"✖ Current غير صحيح",IF(NOT(IF(ISNUMBER($J1220),AND($J1220&gt;=0,$J1220=INT($J1220)),FALSE())),"✖ العدد يجب أن يكون صحيحًا ≥ 0",IF(AND($F1220="Baseline",$H1220&lt;&gt;""),"⚠ Baseline: Start لا يدخل في التقدم",IF($K1220="No Start (attainment only)","ℹ تحصيل فقط (بدون Start)",IF($K1220="U – needs rule","ℹ حالة U تحتاج قاعدة معتمدة",IF($K1220="No result","ℹ بدون نتيجة (يُستبعد من التحصيل)","OK")))))))))))</f>
        <v/>
      </c>
      <c r="M1220" s="64" t="n">
        <f aca="false">IF($A1220="",0,IFERROR(MATCH($A1220,Classes!$A$6:$A$420,0),0))</f>
        <v>0</v>
      </c>
      <c r="N1220" s="64" t="n">
        <f aca="false">IF($H1220="",0,IFERROR(MATCH($H1220,GradeList,0),0))</f>
        <v>0</v>
      </c>
      <c r="O1220" s="64" t="n">
        <f aca="false">IF(OR($I1220="",$I1220="NR"),0,IFERROR(MATCH($I1220,GradeList,0),0))</f>
        <v>0</v>
      </c>
      <c r="P1220" s="64" t="n">
        <f aca="false">IF(AND($M1220&gt;0,ISNUMBER(MATCH($F1220,Lists!$A$2:$A$5,0)),ISNUMBER(MATCH($G1220,Lists!$B$2:$B$7,0)),OR($H1220="",$N1220&gt;0),OR($I1220="",$I1220="NR",$O1220&gt;0),IF(ISNUMBER($J1220),AND($J1220&gt;=0,$J1220=INT($J1220)),FALSE())),$J1220,0)</f>
        <v>0</v>
      </c>
      <c r="Q1220" s="64" t="n">
        <f aca="false">IF(AND($P1220&gt;0,$O1220&gt;0),$P1220,0)</f>
        <v>0</v>
      </c>
      <c r="R1220" s="64" t="n">
        <f aca="false">IF(AND($Q1220&gt;0,$O1220&gt;=AtRank),$Q1220,0)</f>
        <v>0</v>
      </c>
      <c r="S1220" s="64" t="n">
        <f aca="false">IF(AND($Q1220&gt;0,$O1220&gt;=AboveRank),$Q1220,0)</f>
        <v>0</v>
      </c>
      <c r="T1220" s="64" t="n">
        <f aca="false">IF($K1220="Less",$P1220,0)</f>
        <v>0</v>
      </c>
      <c r="U1220" s="64" t="n">
        <f aca="false">IF($K1220="Expected",$P1220,0)</f>
        <v>0</v>
      </c>
      <c r="V1220" s="64" t="n">
        <f aca="false">IF($K1220="Better",$P1220,0)</f>
        <v>0</v>
      </c>
      <c r="W1220" s="64" t="n">
        <f aca="false">IF($K1220="U – needs rule",$P1220,0)</f>
        <v>0</v>
      </c>
      <c r="X1220" s="64" t="n">
        <f aca="false">IF($K1220="No Start (attainment only)",$P1220,0)</f>
        <v>0</v>
      </c>
    </row>
    <row r="1221" customFormat="false" ht="15" hidden="false" customHeight="false" outlineLevel="0" collapsed="false">
      <c r="A1221" s="60"/>
      <c r="B1221" s="61" t="str">
        <f aca="false">IF($M1221=0,"",INDEX(Classes!$E$6:$E$420,$M1221))</f>
        <v/>
      </c>
      <c r="C1221" s="62" t="str">
        <f aca="false">IF($M1221=0,"",INDEX(Classes!$H$6:$H$420,$M1221))</f>
        <v/>
      </c>
      <c r="D1221" s="61" t="str">
        <f aca="false">IF($M1221=0,"",INDEX(Classes!$B$6:$B$420,$M1221))</f>
        <v/>
      </c>
      <c r="E1221" s="61" t="str">
        <f aca="false">IF($M1221=0,"",INDEX(Classes!$C$6:$C$420,$M1221))</f>
        <v/>
      </c>
      <c r="F1221" s="63"/>
      <c r="G1221" s="63"/>
      <c r="H1221" s="60"/>
      <c r="I1221" s="60"/>
      <c r="J1221" s="63"/>
      <c r="K1221" s="61" t="str">
        <f aca="false">IF($P1221=0,"",IF($F1221="Baseline","— Baseline",IF($O1221=0,"No result",IF($N1221=0,"No Start (attainment only)",IF(OR($N1221=1,$O1221=1),"U – needs rule",INDEX(MxBody,MATCH($I1221,MxCurr,0),MATCH($H1221,MxStart,0)))))))</f>
        <v/>
      </c>
      <c r="L1221" s="62" t="str">
        <f aca="false">IF(COUNTA($A1221,$F1221,$G1221,$H1221,$I1221,$J1221)=0,"",IF($M1221=0,"✖ كود الصف غير موجود",IF(ISNA(MATCH($F1221,Lists!$A$2:$A$5,0)),"✖ الفترة غير صحيحة",IF(ISNA(MATCH($G1221,Lists!$B$2:$B$7,0)),"✖ المجموعة غير صحيحة",IF(NOT(OR($H1221="",$N1221&gt;0)),"✖ Start غير صحيح",IF(NOT(OR($I1221="",$I1221="NR",$O1221&gt;0)),"✖ Current غير صحيح",IF(NOT(IF(ISNUMBER($J1221),AND($J1221&gt;=0,$J1221=INT($J1221)),FALSE())),"✖ العدد يجب أن يكون صحيحًا ≥ 0",IF(AND($F1221="Baseline",$H1221&lt;&gt;""),"⚠ Baseline: Start لا يدخل في التقدم",IF($K1221="No Start (attainment only)","ℹ تحصيل فقط (بدون Start)",IF($K1221="U – needs rule","ℹ حالة U تحتاج قاعدة معتمدة",IF($K1221="No result","ℹ بدون نتيجة (يُستبعد من التحصيل)","OK")))))))))))</f>
        <v/>
      </c>
      <c r="M1221" s="64" t="n">
        <f aca="false">IF($A1221="",0,IFERROR(MATCH($A1221,Classes!$A$6:$A$420,0),0))</f>
        <v>0</v>
      </c>
      <c r="N1221" s="64" t="n">
        <f aca="false">IF($H1221="",0,IFERROR(MATCH($H1221,GradeList,0),0))</f>
        <v>0</v>
      </c>
      <c r="O1221" s="64" t="n">
        <f aca="false">IF(OR($I1221="",$I1221="NR"),0,IFERROR(MATCH($I1221,GradeList,0),0))</f>
        <v>0</v>
      </c>
      <c r="P1221" s="64" t="n">
        <f aca="false">IF(AND($M1221&gt;0,ISNUMBER(MATCH($F1221,Lists!$A$2:$A$5,0)),ISNUMBER(MATCH($G1221,Lists!$B$2:$B$7,0)),OR($H1221="",$N1221&gt;0),OR($I1221="",$I1221="NR",$O1221&gt;0),IF(ISNUMBER($J1221),AND($J1221&gt;=0,$J1221=INT($J1221)),FALSE())),$J1221,0)</f>
        <v>0</v>
      </c>
      <c r="Q1221" s="64" t="n">
        <f aca="false">IF(AND($P1221&gt;0,$O1221&gt;0),$P1221,0)</f>
        <v>0</v>
      </c>
      <c r="R1221" s="64" t="n">
        <f aca="false">IF(AND($Q1221&gt;0,$O1221&gt;=AtRank),$Q1221,0)</f>
        <v>0</v>
      </c>
      <c r="S1221" s="64" t="n">
        <f aca="false">IF(AND($Q1221&gt;0,$O1221&gt;=AboveRank),$Q1221,0)</f>
        <v>0</v>
      </c>
      <c r="T1221" s="64" t="n">
        <f aca="false">IF($K1221="Less",$P1221,0)</f>
        <v>0</v>
      </c>
      <c r="U1221" s="64" t="n">
        <f aca="false">IF($K1221="Expected",$P1221,0)</f>
        <v>0</v>
      </c>
      <c r="V1221" s="64" t="n">
        <f aca="false">IF($K1221="Better",$P1221,0)</f>
        <v>0</v>
      </c>
      <c r="W1221" s="64" t="n">
        <f aca="false">IF($K1221="U – needs rule",$P1221,0)</f>
        <v>0</v>
      </c>
      <c r="X1221" s="64" t="n">
        <f aca="false">IF($K1221="No Start (attainment only)",$P1221,0)</f>
        <v>0</v>
      </c>
    </row>
    <row r="1222" customFormat="false" ht="15" hidden="false" customHeight="false" outlineLevel="0" collapsed="false">
      <c r="A1222" s="60"/>
      <c r="B1222" s="61" t="str">
        <f aca="false">IF($M1222=0,"",INDEX(Classes!$E$6:$E$420,$M1222))</f>
        <v/>
      </c>
      <c r="C1222" s="62" t="str">
        <f aca="false">IF($M1222=0,"",INDEX(Classes!$H$6:$H$420,$M1222))</f>
        <v/>
      </c>
      <c r="D1222" s="61" t="str">
        <f aca="false">IF($M1222=0,"",INDEX(Classes!$B$6:$B$420,$M1222))</f>
        <v/>
      </c>
      <c r="E1222" s="61" t="str">
        <f aca="false">IF($M1222=0,"",INDEX(Classes!$C$6:$C$420,$M1222))</f>
        <v/>
      </c>
      <c r="F1222" s="63"/>
      <c r="G1222" s="63"/>
      <c r="H1222" s="60"/>
      <c r="I1222" s="60"/>
      <c r="J1222" s="63"/>
      <c r="K1222" s="61" t="str">
        <f aca="false">IF($P1222=0,"",IF($F1222="Baseline","— Baseline",IF($O1222=0,"No result",IF($N1222=0,"No Start (attainment only)",IF(OR($N1222=1,$O1222=1),"U – needs rule",INDEX(MxBody,MATCH($I1222,MxCurr,0),MATCH($H1222,MxStart,0)))))))</f>
        <v/>
      </c>
      <c r="L1222" s="62" t="str">
        <f aca="false">IF(COUNTA($A1222,$F1222,$G1222,$H1222,$I1222,$J1222)=0,"",IF($M1222=0,"✖ كود الصف غير موجود",IF(ISNA(MATCH($F1222,Lists!$A$2:$A$5,0)),"✖ الفترة غير صحيحة",IF(ISNA(MATCH($G1222,Lists!$B$2:$B$7,0)),"✖ المجموعة غير صحيحة",IF(NOT(OR($H1222="",$N1222&gt;0)),"✖ Start غير صحيح",IF(NOT(OR($I1222="",$I1222="NR",$O1222&gt;0)),"✖ Current غير صحيح",IF(NOT(IF(ISNUMBER($J1222),AND($J1222&gt;=0,$J1222=INT($J1222)),FALSE())),"✖ العدد يجب أن يكون صحيحًا ≥ 0",IF(AND($F1222="Baseline",$H1222&lt;&gt;""),"⚠ Baseline: Start لا يدخل في التقدم",IF($K1222="No Start (attainment only)","ℹ تحصيل فقط (بدون Start)",IF($K1222="U – needs rule","ℹ حالة U تحتاج قاعدة معتمدة",IF($K1222="No result","ℹ بدون نتيجة (يُستبعد من التحصيل)","OK")))))))))))</f>
        <v/>
      </c>
      <c r="M1222" s="64" t="n">
        <f aca="false">IF($A1222="",0,IFERROR(MATCH($A1222,Classes!$A$6:$A$420,0),0))</f>
        <v>0</v>
      </c>
      <c r="N1222" s="64" t="n">
        <f aca="false">IF($H1222="",0,IFERROR(MATCH($H1222,GradeList,0),0))</f>
        <v>0</v>
      </c>
      <c r="O1222" s="64" t="n">
        <f aca="false">IF(OR($I1222="",$I1222="NR"),0,IFERROR(MATCH($I1222,GradeList,0),0))</f>
        <v>0</v>
      </c>
      <c r="P1222" s="64" t="n">
        <f aca="false">IF(AND($M1222&gt;0,ISNUMBER(MATCH($F1222,Lists!$A$2:$A$5,0)),ISNUMBER(MATCH($G1222,Lists!$B$2:$B$7,0)),OR($H1222="",$N1222&gt;0),OR($I1222="",$I1222="NR",$O1222&gt;0),IF(ISNUMBER($J1222),AND($J1222&gt;=0,$J1222=INT($J1222)),FALSE())),$J1222,0)</f>
        <v>0</v>
      </c>
      <c r="Q1222" s="64" t="n">
        <f aca="false">IF(AND($P1222&gt;0,$O1222&gt;0),$P1222,0)</f>
        <v>0</v>
      </c>
      <c r="R1222" s="64" t="n">
        <f aca="false">IF(AND($Q1222&gt;0,$O1222&gt;=AtRank),$Q1222,0)</f>
        <v>0</v>
      </c>
      <c r="S1222" s="64" t="n">
        <f aca="false">IF(AND($Q1222&gt;0,$O1222&gt;=AboveRank),$Q1222,0)</f>
        <v>0</v>
      </c>
      <c r="T1222" s="64" t="n">
        <f aca="false">IF($K1222="Less",$P1222,0)</f>
        <v>0</v>
      </c>
      <c r="U1222" s="64" t="n">
        <f aca="false">IF($K1222="Expected",$P1222,0)</f>
        <v>0</v>
      </c>
      <c r="V1222" s="64" t="n">
        <f aca="false">IF($K1222="Better",$P1222,0)</f>
        <v>0</v>
      </c>
      <c r="W1222" s="64" t="n">
        <f aca="false">IF($K1222="U – needs rule",$P1222,0)</f>
        <v>0</v>
      </c>
      <c r="X1222" s="64" t="n">
        <f aca="false">IF($K1222="No Start (attainment only)",$P1222,0)</f>
        <v>0</v>
      </c>
    </row>
    <row r="1223" customFormat="false" ht="15" hidden="false" customHeight="false" outlineLevel="0" collapsed="false">
      <c r="A1223" s="60"/>
      <c r="B1223" s="61" t="str">
        <f aca="false">IF($M1223=0,"",INDEX(Classes!$E$6:$E$420,$M1223))</f>
        <v/>
      </c>
      <c r="C1223" s="62" t="str">
        <f aca="false">IF($M1223=0,"",INDEX(Classes!$H$6:$H$420,$M1223))</f>
        <v/>
      </c>
      <c r="D1223" s="61" t="str">
        <f aca="false">IF($M1223=0,"",INDEX(Classes!$B$6:$B$420,$M1223))</f>
        <v/>
      </c>
      <c r="E1223" s="61" t="str">
        <f aca="false">IF($M1223=0,"",INDEX(Classes!$C$6:$C$420,$M1223))</f>
        <v/>
      </c>
      <c r="F1223" s="63"/>
      <c r="G1223" s="63"/>
      <c r="H1223" s="60"/>
      <c r="I1223" s="60"/>
      <c r="J1223" s="63"/>
      <c r="K1223" s="61" t="str">
        <f aca="false">IF($P1223=0,"",IF($F1223="Baseline","— Baseline",IF($O1223=0,"No result",IF($N1223=0,"No Start (attainment only)",IF(OR($N1223=1,$O1223=1),"U – needs rule",INDEX(MxBody,MATCH($I1223,MxCurr,0),MATCH($H1223,MxStart,0)))))))</f>
        <v/>
      </c>
      <c r="L1223" s="62" t="str">
        <f aca="false">IF(COUNTA($A1223,$F1223,$G1223,$H1223,$I1223,$J1223)=0,"",IF($M1223=0,"✖ كود الصف غير موجود",IF(ISNA(MATCH($F1223,Lists!$A$2:$A$5,0)),"✖ الفترة غير صحيحة",IF(ISNA(MATCH($G1223,Lists!$B$2:$B$7,0)),"✖ المجموعة غير صحيحة",IF(NOT(OR($H1223="",$N1223&gt;0)),"✖ Start غير صحيح",IF(NOT(OR($I1223="",$I1223="NR",$O1223&gt;0)),"✖ Current غير صحيح",IF(NOT(IF(ISNUMBER($J1223),AND($J1223&gt;=0,$J1223=INT($J1223)),FALSE())),"✖ العدد يجب أن يكون صحيحًا ≥ 0",IF(AND($F1223="Baseline",$H1223&lt;&gt;""),"⚠ Baseline: Start لا يدخل في التقدم",IF($K1223="No Start (attainment only)","ℹ تحصيل فقط (بدون Start)",IF($K1223="U – needs rule","ℹ حالة U تحتاج قاعدة معتمدة",IF($K1223="No result","ℹ بدون نتيجة (يُستبعد من التحصيل)","OK")))))))))))</f>
        <v/>
      </c>
      <c r="M1223" s="64" t="n">
        <f aca="false">IF($A1223="",0,IFERROR(MATCH($A1223,Classes!$A$6:$A$420,0),0))</f>
        <v>0</v>
      </c>
      <c r="N1223" s="64" t="n">
        <f aca="false">IF($H1223="",0,IFERROR(MATCH($H1223,GradeList,0),0))</f>
        <v>0</v>
      </c>
      <c r="O1223" s="64" t="n">
        <f aca="false">IF(OR($I1223="",$I1223="NR"),0,IFERROR(MATCH($I1223,GradeList,0),0))</f>
        <v>0</v>
      </c>
      <c r="P1223" s="64" t="n">
        <f aca="false">IF(AND($M1223&gt;0,ISNUMBER(MATCH($F1223,Lists!$A$2:$A$5,0)),ISNUMBER(MATCH($G1223,Lists!$B$2:$B$7,0)),OR($H1223="",$N1223&gt;0),OR($I1223="",$I1223="NR",$O1223&gt;0),IF(ISNUMBER($J1223),AND($J1223&gt;=0,$J1223=INT($J1223)),FALSE())),$J1223,0)</f>
        <v>0</v>
      </c>
      <c r="Q1223" s="64" t="n">
        <f aca="false">IF(AND($P1223&gt;0,$O1223&gt;0),$P1223,0)</f>
        <v>0</v>
      </c>
      <c r="R1223" s="64" t="n">
        <f aca="false">IF(AND($Q1223&gt;0,$O1223&gt;=AtRank),$Q1223,0)</f>
        <v>0</v>
      </c>
      <c r="S1223" s="64" t="n">
        <f aca="false">IF(AND($Q1223&gt;0,$O1223&gt;=AboveRank),$Q1223,0)</f>
        <v>0</v>
      </c>
      <c r="T1223" s="64" t="n">
        <f aca="false">IF($K1223="Less",$P1223,0)</f>
        <v>0</v>
      </c>
      <c r="U1223" s="64" t="n">
        <f aca="false">IF($K1223="Expected",$P1223,0)</f>
        <v>0</v>
      </c>
      <c r="V1223" s="64" t="n">
        <f aca="false">IF($K1223="Better",$P1223,0)</f>
        <v>0</v>
      </c>
      <c r="W1223" s="64" t="n">
        <f aca="false">IF($K1223="U – needs rule",$P1223,0)</f>
        <v>0</v>
      </c>
      <c r="X1223" s="64" t="n">
        <f aca="false">IF($K1223="No Start (attainment only)",$P1223,0)</f>
        <v>0</v>
      </c>
    </row>
    <row r="1224" customFormat="false" ht="15" hidden="false" customHeight="false" outlineLevel="0" collapsed="false">
      <c r="A1224" s="60"/>
      <c r="B1224" s="61" t="str">
        <f aca="false">IF($M1224=0,"",INDEX(Classes!$E$6:$E$420,$M1224))</f>
        <v/>
      </c>
      <c r="C1224" s="62" t="str">
        <f aca="false">IF($M1224=0,"",INDEX(Classes!$H$6:$H$420,$M1224))</f>
        <v/>
      </c>
      <c r="D1224" s="61" t="str">
        <f aca="false">IF($M1224=0,"",INDEX(Classes!$B$6:$B$420,$M1224))</f>
        <v/>
      </c>
      <c r="E1224" s="61" t="str">
        <f aca="false">IF($M1224=0,"",INDEX(Classes!$C$6:$C$420,$M1224))</f>
        <v/>
      </c>
      <c r="F1224" s="63"/>
      <c r="G1224" s="63"/>
      <c r="H1224" s="60"/>
      <c r="I1224" s="60"/>
      <c r="J1224" s="63"/>
      <c r="K1224" s="61" t="str">
        <f aca="false">IF($P1224=0,"",IF($F1224="Baseline","— Baseline",IF($O1224=0,"No result",IF($N1224=0,"No Start (attainment only)",IF(OR($N1224=1,$O1224=1),"U – needs rule",INDEX(MxBody,MATCH($I1224,MxCurr,0),MATCH($H1224,MxStart,0)))))))</f>
        <v/>
      </c>
      <c r="L1224" s="62" t="str">
        <f aca="false">IF(COUNTA($A1224,$F1224,$G1224,$H1224,$I1224,$J1224)=0,"",IF($M1224=0,"✖ كود الصف غير موجود",IF(ISNA(MATCH($F1224,Lists!$A$2:$A$5,0)),"✖ الفترة غير صحيحة",IF(ISNA(MATCH($G1224,Lists!$B$2:$B$7,0)),"✖ المجموعة غير صحيحة",IF(NOT(OR($H1224="",$N1224&gt;0)),"✖ Start غير صحيح",IF(NOT(OR($I1224="",$I1224="NR",$O1224&gt;0)),"✖ Current غير صحيح",IF(NOT(IF(ISNUMBER($J1224),AND($J1224&gt;=0,$J1224=INT($J1224)),FALSE())),"✖ العدد يجب أن يكون صحيحًا ≥ 0",IF(AND($F1224="Baseline",$H1224&lt;&gt;""),"⚠ Baseline: Start لا يدخل في التقدم",IF($K1224="No Start (attainment only)","ℹ تحصيل فقط (بدون Start)",IF($K1224="U – needs rule","ℹ حالة U تحتاج قاعدة معتمدة",IF($K1224="No result","ℹ بدون نتيجة (يُستبعد من التحصيل)","OK")))))))))))</f>
        <v/>
      </c>
      <c r="M1224" s="64" t="n">
        <f aca="false">IF($A1224="",0,IFERROR(MATCH($A1224,Classes!$A$6:$A$420,0),0))</f>
        <v>0</v>
      </c>
      <c r="N1224" s="64" t="n">
        <f aca="false">IF($H1224="",0,IFERROR(MATCH($H1224,GradeList,0),0))</f>
        <v>0</v>
      </c>
      <c r="O1224" s="64" t="n">
        <f aca="false">IF(OR($I1224="",$I1224="NR"),0,IFERROR(MATCH($I1224,GradeList,0),0))</f>
        <v>0</v>
      </c>
      <c r="P1224" s="64" t="n">
        <f aca="false">IF(AND($M1224&gt;0,ISNUMBER(MATCH($F1224,Lists!$A$2:$A$5,0)),ISNUMBER(MATCH($G1224,Lists!$B$2:$B$7,0)),OR($H1224="",$N1224&gt;0),OR($I1224="",$I1224="NR",$O1224&gt;0),IF(ISNUMBER($J1224),AND($J1224&gt;=0,$J1224=INT($J1224)),FALSE())),$J1224,0)</f>
        <v>0</v>
      </c>
      <c r="Q1224" s="64" t="n">
        <f aca="false">IF(AND($P1224&gt;0,$O1224&gt;0),$P1224,0)</f>
        <v>0</v>
      </c>
      <c r="R1224" s="64" t="n">
        <f aca="false">IF(AND($Q1224&gt;0,$O1224&gt;=AtRank),$Q1224,0)</f>
        <v>0</v>
      </c>
      <c r="S1224" s="64" t="n">
        <f aca="false">IF(AND($Q1224&gt;0,$O1224&gt;=AboveRank),$Q1224,0)</f>
        <v>0</v>
      </c>
      <c r="T1224" s="64" t="n">
        <f aca="false">IF($K1224="Less",$P1224,0)</f>
        <v>0</v>
      </c>
      <c r="U1224" s="64" t="n">
        <f aca="false">IF($K1224="Expected",$P1224,0)</f>
        <v>0</v>
      </c>
      <c r="V1224" s="64" t="n">
        <f aca="false">IF($K1224="Better",$P1224,0)</f>
        <v>0</v>
      </c>
      <c r="W1224" s="64" t="n">
        <f aca="false">IF($K1224="U – needs rule",$P1224,0)</f>
        <v>0</v>
      </c>
      <c r="X1224" s="64" t="n">
        <f aca="false">IF($K1224="No Start (attainment only)",$P1224,0)</f>
        <v>0</v>
      </c>
    </row>
    <row r="1225" customFormat="false" ht="15" hidden="false" customHeight="false" outlineLevel="0" collapsed="false">
      <c r="A1225" s="60"/>
      <c r="B1225" s="61" t="str">
        <f aca="false">IF($M1225=0,"",INDEX(Classes!$E$6:$E$420,$M1225))</f>
        <v/>
      </c>
      <c r="C1225" s="62" t="str">
        <f aca="false">IF($M1225=0,"",INDEX(Classes!$H$6:$H$420,$M1225))</f>
        <v/>
      </c>
      <c r="D1225" s="61" t="str">
        <f aca="false">IF($M1225=0,"",INDEX(Classes!$B$6:$B$420,$M1225))</f>
        <v/>
      </c>
      <c r="E1225" s="61" t="str">
        <f aca="false">IF($M1225=0,"",INDEX(Classes!$C$6:$C$420,$M1225))</f>
        <v/>
      </c>
      <c r="F1225" s="63"/>
      <c r="G1225" s="63"/>
      <c r="H1225" s="60"/>
      <c r="I1225" s="60"/>
      <c r="J1225" s="63"/>
      <c r="K1225" s="61" t="str">
        <f aca="false">IF($P1225=0,"",IF($F1225="Baseline","— Baseline",IF($O1225=0,"No result",IF($N1225=0,"No Start (attainment only)",IF(OR($N1225=1,$O1225=1),"U – needs rule",INDEX(MxBody,MATCH($I1225,MxCurr,0),MATCH($H1225,MxStart,0)))))))</f>
        <v/>
      </c>
      <c r="L1225" s="62" t="str">
        <f aca="false">IF(COUNTA($A1225,$F1225,$G1225,$H1225,$I1225,$J1225)=0,"",IF($M1225=0,"✖ كود الصف غير موجود",IF(ISNA(MATCH($F1225,Lists!$A$2:$A$5,0)),"✖ الفترة غير صحيحة",IF(ISNA(MATCH($G1225,Lists!$B$2:$B$7,0)),"✖ المجموعة غير صحيحة",IF(NOT(OR($H1225="",$N1225&gt;0)),"✖ Start غير صحيح",IF(NOT(OR($I1225="",$I1225="NR",$O1225&gt;0)),"✖ Current غير صحيح",IF(NOT(IF(ISNUMBER($J1225),AND($J1225&gt;=0,$J1225=INT($J1225)),FALSE())),"✖ العدد يجب أن يكون صحيحًا ≥ 0",IF(AND($F1225="Baseline",$H1225&lt;&gt;""),"⚠ Baseline: Start لا يدخل في التقدم",IF($K1225="No Start (attainment only)","ℹ تحصيل فقط (بدون Start)",IF($K1225="U – needs rule","ℹ حالة U تحتاج قاعدة معتمدة",IF($K1225="No result","ℹ بدون نتيجة (يُستبعد من التحصيل)","OK")))))))))))</f>
        <v/>
      </c>
      <c r="M1225" s="64" t="n">
        <f aca="false">IF($A1225="",0,IFERROR(MATCH($A1225,Classes!$A$6:$A$420,0),0))</f>
        <v>0</v>
      </c>
      <c r="N1225" s="64" t="n">
        <f aca="false">IF($H1225="",0,IFERROR(MATCH($H1225,GradeList,0),0))</f>
        <v>0</v>
      </c>
      <c r="O1225" s="64" t="n">
        <f aca="false">IF(OR($I1225="",$I1225="NR"),0,IFERROR(MATCH($I1225,GradeList,0),0))</f>
        <v>0</v>
      </c>
      <c r="P1225" s="64" t="n">
        <f aca="false">IF(AND($M1225&gt;0,ISNUMBER(MATCH($F1225,Lists!$A$2:$A$5,0)),ISNUMBER(MATCH($G1225,Lists!$B$2:$B$7,0)),OR($H1225="",$N1225&gt;0),OR($I1225="",$I1225="NR",$O1225&gt;0),IF(ISNUMBER($J1225),AND($J1225&gt;=0,$J1225=INT($J1225)),FALSE())),$J1225,0)</f>
        <v>0</v>
      </c>
      <c r="Q1225" s="64" t="n">
        <f aca="false">IF(AND($P1225&gt;0,$O1225&gt;0),$P1225,0)</f>
        <v>0</v>
      </c>
      <c r="R1225" s="64" t="n">
        <f aca="false">IF(AND($Q1225&gt;0,$O1225&gt;=AtRank),$Q1225,0)</f>
        <v>0</v>
      </c>
      <c r="S1225" s="64" t="n">
        <f aca="false">IF(AND($Q1225&gt;0,$O1225&gt;=AboveRank),$Q1225,0)</f>
        <v>0</v>
      </c>
      <c r="T1225" s="64" t="n">
        <f aca="false">IF($K1225="Less",$P1225,0)</f>
        <v>0</v>
      </c>
      <c r="U1225" s="64" t="n">
        <f aca="false">IF($K1225="Expected",$P1225,0)</f>
        <v>0</v>
      </c>
      <c r="V1225" s="64" t="n">
        <f aca="false">IF($K1225="Better",$P1225,0)</f>
        <v>0</v>
      </c>
      <c r="W1225" s="64" t="n">
        <f aca="false">IF($K1225="U – needs rule",$P1225,0)</f>
        <v>0</v>
      </c>
      <c r="X1225" s="64" t="n">
        <f aca="false">IF($K1225="No Start (attainment only)",$P1225,0)</f>
        <v>0</v>
      </c>
    </row>
    <row r="1226" customFormat="false" ht="15" hidden="false" customHeight="false" outlineLevel="0" collapsed="false">
      <c r="A1226" s="60"/>
      <c r="B1226" s="61" t="str">
        <f aca="false">IF($M1226=0,"",INDEX(Classes!$E$6:$E$420,$M1226))</f>
        <v/>
      </c>
      <c r="C1226" s="62" t="str">
        <f aca="false">IF($M1226=0,"",INDEX(Classes!$H$6:$H$420,$M1226))</f>
        <v/>
      </c>
      <c r="D1226" s="61" t="str">
        <f aca="false">IF($M1226=0,"",INDEX(Classes!$B$6:$B$420,$M1226))</f>
        <v/>
      </c>
      <c r="E1226" s="61" t="str">
        <f aca="false">IF($M1226=0,"",INDEX(Classes!$C$6:$C$420,$M1226))</f>
        <v/>
      </c>
      <c r="F1226" s="63"/>
      <c r="G1226" s="63"/>
      <c r="H1226" s="60"/>
      <c r="I1226" s="60"/>
      <c r="J1226" s="63"/>
      <c r="K1226" s="61" t="str">
        <f aca="false">IF($P1226=0,"",IF($F1226="Baseline","— Baseline",IF($O1226=0,"No result",IF($N1226=0,"No Start (attainment only)",IF(OR($N1226=1,$O1226=1),"U – needs rule",INDEX(MxBody,MATCH($I1226,MxCurr,0),MATCH($H1226,MxStart,0)))))))</f>
        <v/>
      </c>
      <c r="L1226" s="62" t="str">
        <f aca="false">IF(COUNTA($A1226,$F1226,$G1226,$H1226,$I1226,$J1226)=0,"",IF($M1226=0,"✖ كود الصف غير موجود",IF(ISNA(MATCH($F1226,Lists!$A$2:$A$5,0)),"✖ الفترة غير صحيحة",IF(ISNA(MATCH($G1226,Lists!$B$2:$B$7,0)),"✖ المجموعة غير صحيحة",IF(NOT(OR($H1226="",$N1226&gt;0)),"✖ Start غير صحيح",IF(NOT(OR($I1226="",$I1226="NR",$O1226&gt;0)),"✖ Current غير صحيح",IF(NOT(IF(ISNUMBER($J1226),AND($J1226&gt;=0,$J1226=INT($J1226)),FALSE())),"✖ العدد يجب أن يكون صحيحًا ≥ 0",IF(AND($F1226="Baseline",$H1226&lt;&gt;""),"⚠ Baseline: Start لا يدخل في التقدم",IF($K1226="No Start (attainment only)","ℹ تحصيل فقط (بدون Start)",IF($K1226="U – needs rule","ℹ حالة U تحتاج قاعدة معتمدة",IF($K1226="No result","ℹ بدون نتيجة (يُستبعد من التحصيل)","OK")))))))))))</f>
        <v/>
      </c>
      <c r="M1226" s="64" t="n">
        <f aca="false">IF($A1226="",0,IFERROR(MATCH($A1226,Classes!$A$6:$A$420,0),0))</f>
        <v>0</v>
      </c>
      <c r="N1226" s="64" t="n">
        <f aca="false">IF($H1226="",0,IFERROR(MATCH($H1226,GradeList,0),0))</f>
        <v>0</v>
      </c>
      <c r="O1226" s="64" t="n">
        <f aca="false">IF(OR($I1226="",$I1226="NR"),0,IFERROR(MATCH($I1226,GradeList,0),0))</f>
        <v>0</v>
      </c>
      <c r="P1226" s="64" t="n">
        <f aca="false">IF(AND($M1226&gt;0,ISNUMBER(MATCH($F1226,Lists!$A$2:$A$5,0)),ISNUMBER(MATCH($G1226,Lists!$B$2:$B$7,0)),OR($H1226="",$N1226&gt;0),OR($I1226="",$I1226="NR",$O1226&gt;0),IF(ISNUMBER($J1226),AND($J1226&gt;=0,$J1226=INT($J1226)),FALSE())),$J1226,0)</f>
        <v>0</v>
      </c>
      <c r="Q1226" s="64" t="n">
        <f aca="false">IF(AND($P1226&gt;0,$O1226&gt;0),$P1226,0)</f>
        <v>0</v>
      </c>
      <c r="R1226" s="64" t="n">
        <f aca="false">IF(AND($Q1226&gt;0,$O1226&gt;=AtRank),$Q1226,0)</f>
        <v>0</v>
      </c>
      <c r="S1226" s="64" t="n">
        <f aca="false">IF(AND($Q1226&gt;0,$O1226&gt;=AboveRank),$Q1226,0)</f>
        <v>0</v>
      </c>
      <c r="T1226" s="64" t="n">
        <f aca="false">IF($K1226="Less",$P1226,0)</f>
        <v>0</v>
      </c>
      <c r="U1226" s="64" t="n">
        <f aca="false">IF($K1226="Expected",$P1226,0)</f>
        <v>0</v>
      </c>
      <c r="V1226" s="64" t="n">
        <f aca="false">IF($K1226="Better",$P1226,0)</f>
        <v>0</v>
      </c>
      <c r="W1226" s="64" t="n">
        <f aca="false">IF($K1226="U – needs rule",$P1226,0)</f>
        <v>0</v>
      </c>
      <c r="X1226" s="64" t="n">
        <f aca="false">IF($K1226="No Start (attainment only)",$P1226,0)</f>
        <v>0</v>
      </c>
    </row>
    <row r="1227" customFormat="false" ht="15" hidden="false" customHeight="false" outlineLevel="0" collapsed="false">
      <c r="A1227" s="60"/>
      <c r="B1227" s="61" t="str">
        <f aca="false">IF($M1227=0,"",INDEX(Classes!$E$6:$E$420,$M1227))</f>
        <v/>
      </c>
      <c r="C1227" s="62" t="str">
        <f aca="false">IF($M1227=0,"",INDEX(Classes!$H$6:$H$420,$M1227))</f>
        <v/>
      </c>
      <c r="D1227" s="61" t="str">
        <f aca="false">IF($M1227=0,"",INDEX(Classes!$B$6:$B$420,$M1227))</f>
        <v/>
      </c>
      <c r="E1227" s="61" t="str">
        <f aca="false">IF($M1227=0,"",INDEX(Classes!$C$6:$C$420,$M1227))</f>
        <v/>
      </c>
      <c r="F1227" s="63"/>
      <c r="G1227" s="63"/>
      <c r="H1227" s="60"/>
      <c r="I1227" s="60"/>
      <c r="J1227" s="63"/>
      <c r="K1227" s="61" t="str">
        <f aca="false">IF($P1227=0,"",IF($F1227="Baseline","— Baseline",IF($O1227=0,"No result",IF($N1227=0,"No Start (attainment only)",IF(OR($N1227=1,$O1227=1),"U – needs rule",INDEX(MxBody,MATCH($I1227,MxCurr,0),MATCH($H1227,MxStart,0)))))))</f>
        <v/>
      </c>
      <c r="L1227" s="62" t="str">
        <f aca="false">IF(COUNTA($A1227,$F1227,$G1227,$H1227,$I1227,$J1227)=0,"",IF($M1227=0,"✖ كود الصف غير موجود",IF(ISNA(MATCH($F1227,Lists!$A$2:$A$5,0)),"✖ الفترة غير صحيحة",IF(ISNA(MATCH($G1227,Lists!$B$2:$B$7,0)),"✖ المجموعة غير صحيحة",IF(NOT(OR($H1227="",$N1227&gt;0)),"✖ Start غير صحيح",IF(NOT(OR($I1227="",$I1227="NR",$O1227&gt;0)),"✖ Current غير صحيح",IF(NOT(IF(ISNUMBER($J1227),AND($J1227&gt;=0,$J1227=INT($J1227)),FALSE())),"✖ العدد يجب أن يكون صحيحًا ≥ 0",IF(AND($F1227="Baseline",$H1227&lt;&gt;""),"⚠ Baseline: Start لا يدخل في التقدم",IF($K1227="No Start (attainment only)","ℹ تحصيل فقط (بدون Start)",IF($K1227="U – needs rule","ℹ حالة U تحتاج قاعدة معتمدة",IF($K1227="No result","ℹ بدون نتيجة (يُستبعد من التحصيل)","OK")))))))))))</f>
        <v/>
      </c>
      <c r="M1227" s="64" t="n">
        <f aca="false">IF($A1227="",0,IFERROR(MATCH($A1227,Classes!$A$6:$A$420,0),0))</f>
        <v>0</v>
      </c>
      <c r="N1227" s="64" t="n">
        <f aca="false">IF($H1227="",0,IFERROR(MATCH($H1227,GradeList,0),0))</f>
        <v>0</v>
      </c>
      <c r="O1227" s="64" t="n">
        <f aca="false">IF(OR($I1227="",$I1227="NR"),0,IFERROR(MATCH($I1227,GradeList,0),0))</f>
        <v>0</v>
      </c>
      <c r="P1227" s="64" t="n">
        <f aca="false">IF(AND($M1227&gt;0,ISNUMBER(MATCH($F1227,Lists!$A$2:$A$5,0)),ISNUMBER(MATCH($G1227,Lists!$B$2:$B$7,0)),OR($H1227="",$N1227&gt;0),OR($I1227="",$I1227="NR",$O1227&gt;0),IF(ISNUMBER($J1227),AND($J1227&gt;=0,$J1227=INT($J1227)),FALSE())),$J1227,0)</f>
        <v>0</v>
      </c>
      <c r="Q1227" s="64" t="n">
        <f aca="false">IF(AND($P1227&gt;0,$O1227&gt;0),$P1227,0)</f>
        <v>0</v>
      </c>
      <c r="R1227" s="64" t="n">
        <f aca="false">IF(AND($Q1227&gt;0,$O1227&gt;=AtRank),$Q1227,0)</f>
        <v>0</v>
      </c>
      <c r="S1227" s="64" t="n">
        <f aca="false">IF(AND($Q1227&gt;0,$O1227&gt;=AboveRank),$Q1227,0)</f>
        <v>0</v>
      </c>
      <c r="T1227" s="64" t="n">
        <f aca="false">IF($K1227="Less",$P1227,0)</f>
        <v>0</v>
      </c>
      <c r="U1227" s="64" t="n">
        <f aca="false">IF($K1227="Expected",$P1227,0)</f>
        <v>0</v>
      </c>
      <c r="V1227" s="64" t="n">
        <f aca="false">IF($K1227="Better",$P1227,0)</f>
        <v>0</v>
      </c>
      <c r="W1227" s="64" t="n">
        <f aca="false">IF($K1227="U – needs rule",$P1227,0)</f>
        <v>0</v>
      </c>
      <c r="X1227" s="64" t="n">
        <f aca="false">IF($K1227="No Start (attainment only)",$P1227,0)</f>
        <v>0</v>
      </c>
    </row>
    <row r="1228" customFormat="false" ht="15" hidden="false" customHeight="false" outlineLevel="0" collapsed="false">
      <c r="A1228" s="60"/>
      <c r="B1228" s="61" t="str">
        <f aca="false">IF($M1228=0,"",INDEX(Classes!$E$6:$E$420,$M1228))</f>
        <v/>
      </c>
      <c r="C1228" s="62" t="str">
        <f aca="false">IF($M1228=0,"",INDEX(Classes!$H$6:$H$420,$M1228))</f>
        <v/>
      </c>
      <c r="D1228" s="61" t="str">
        <f aca="false">IF($M1228=0,"",INDEX(Classes!$B$6:$B$420,$M1228))</f>
        <v/>
      </c>
      <c r="E1228" s="61" t="str">
        <f aca="false">IF($M1228=0,"",INDEX(Classes!$C$6:$C$420,$M1228))</f>
        <v/>
      </c>
      <c r="F1228" s="63"/>
      <c r="G1228" s="63"/>
      <c r="H1228" s="60"/>
      <c r="I1228" s="60"/>
      <c r="J1228" s="63"/>
      <c r="K1228" s="61" t="str">
        <f aca="false">IF($P1228=0,"",IF($F1228="Baseline","— Baseline",IF($O1228=0,"No result",IF($N1228=0,"No Start (attainment only)",IF(OR($N1228=1,$O1228=1),"U – needs rule",INDEX(MxBody,MATCH($I1228,MxCurr,0),MATCH($H1228,MxStart,0)))))))</f>
        <v/>
      </c>
      <c r="L1228" s="62" t="str">
        <f aca="false">IF(COUNTA($A1228,$F1228,$G1228,$H1228,$I1228,$J1228)=0,"",IF($M1228=0,"✖ كود الصف غير موجود",IF(ISNA(MATCH($F1228,Lists!$A$2:$A$5,0)),"✖ الفترة غير صحيحة",IF(ISNA(MATCH($G1228,Lists!$B$2:$B$7,0)),"✖ المجموعة غير صحيحة",IF(NOT(OR($H1228="",$N1228&gt;0)),"✖ Start غير صحيح",IF(NOT(OR($I1228="",$I1228="NR",$O1228&gt;0)),"✖ Current غير صحيح",IF(NOT(IF(ISNUMBER($J1228),AND($J1228&gt;=0,$J1228=INT($J1228)),FALSE())),"✖ العدد يجب أن يكون صحيحًا ≥ 0",IF(AND($F1228="Baseline",$H1228&lt;&gt;""),"⚠ Baseline: Start لا يدخل في التقدم",IF($K1228="No Start (attainment only)","ℹ تحصيل فقط (بدون Start)",IF($K1228="U – needs rule","ℹ حالة U تحتاج قاعدة معتمدة",IF($K1228="No result","ℹ بدون نتيجة (يُستبعد من التحصيل)","OK")))))))))))</f>
        <v/>
      </c>
      <c r="M1228" s="64" t="n">
        <f aca="false">IF($A1228="",0,IFERROR(MATCH($A1228,Classes!$A$6:$A$420,0),0))</f>
        <v>0</v>
      </c>
      <c r="N1228" s="64" t="n">
        <f aca="false">IF($H1228="",0,IFERROR(MATCH($H1228,GradeList,0),0))</f>
        <v>0</v>
      </c>
      <c r="O1228" s="64" t="n">
        <f aca="false">IF(OR($I1228="",$I1228="NR"),0,IFERROR(MATCH($I1228,GradeList,0),0))</f>
        <v>0</v>
      </c>
      <c r="P1228" s="64" t="n">
        <f aca="false">IF(AND($M1228&gt;0,ISNUMBER(MATCH($F1228,Lists!$A$2:$A$5,0)),ISNUMBER(MATCH($G1228,Lists!$B$2:$B$7,0)),OR($H1228="",$N1228&gt;0),OR($I1228="",$I1228="NR",$O1228&gt;0),IF(ISNUMBER($J1228),AND($J1228&gt;=0,$J1228=INT($J1228)),FALSE())),$J1228,0)</f>
        <v>0</v>
      </c>
      <c r="Q1228" s="64" t="n">
        <f aca="false">IF(AND($P1228&gt;0,$O1228&gt;0),$P1228,0)</f>
        <v>0</v>
      </c>
      <c r="R1228" s="64" t="n">
        <f aca="false">IF(AND($Q1228&gt;0,$O1228&gt;=AtRank),$Q1228,0)</f>
        <v>0</v>
      </c>
      <c r="S1228" s="64" t="n">
        <f aca="false">IF(AND($Q1228&gt;0,$O1228&gt;=AboveRank),$Q1228,0)</f>
        <v>0</v>
      </c>
      <c r="T1228" s="64" t="n">
        <f aca="false">IF($K1228="Less",$P1228,0)</f>
        <v>0</v>
      </c>
      <c r="U1228" s="64" t="n">
        <f aca="false">IF($K1228="Expected",$P1228,0)</f>
        <v>0</v>
      </c>
      <c r="V1228" s="64" t="n">
        <f aca="false">IF($K1228="Better",$P1228,0)</f>
        <v>0</v>
      </c>
      <c r="W1228" s="64" t="n">
        <f aca="false">IF($K1228="U – needs rule",$P1228,0)</f>
        <v>0</v>
      </c>
      <c r="X1228" s="64" t="n">
        <f aca="false">IF($K1228="No Start (attainment only)",$P1228,0)</f>
        <v>0</v>
      </c>
    </row>
    <row r="1229" customFormat="false" ht="15" hidden="false" customHeight="false" outlineLevel="0" collapsed="false">
      <c r="A1229" s="60"/>
      <c r="B1229" s="61" t="str">
        <f aca="false">IF($M1229=0,"",INDEX(Classes!$E$6:$E$420,$M1229))</f>
        <v/>
      </c>
      <c r="C1229" s="62" t="str">
        <f aca="false">IF($M1229=0,"",INDEX(Classes!$H$6:$H$420,$M1229))</f>
        <v/>
      </c>
      <c r="D1229" s="61" t="str">
        <f aca="false">IF($M1229=0,"",INDEX(Classes!$B$6:$B$420,$M1229))</f>
        <v/>
      </c>
      <c r="E1229" s="61" t="str">
        <f aca="false">IF($M1229=0,"",INDEX(Classes!$C$6:$C$420,$M1229))</f>
        <v/>
      </c>
      <c r="F1229" s="63"/>
      <c r="G1229" s="63"/>
      <c r="H1229" s="60"/>
      <c r="I1229" s="60"/>
      <c r="J1229" s="63"/>
      <c r="K1229" s="61" t="str">
        <f aca="false">IF($P1229=0,"",IF($F1229="Baseline","— Baseline",IF($O1229=0,"No result",IF($N1229=0,"No Start (attainment only)",IF(OR($N1229=1,$O1229=1),"U – needs rule",INDEX(MxBody,MATCH($I1229,MxCurr,0),MATCH($H1229,MxStart,0)))))))</f>
        <v/>
      </c>
      <c r="L1229" s="62" t="str">
        <f aca="false">IF(COUNTA($A1229,$F1229,$G1229,$H1229,$I1229,$J1229)=0,"",IF($M1229=0,"✖ كود الصف غير موجود",IF(ISNA(MATCH($F1229,Lists!$A$2:$A$5,0)),"✖ الفترة غير صحيحة",IF(ISNA(MATCH($G1229,Lists!$B$2:$B$7,0)),"✖ المجموعة غير صحيحة",IF(NOT(OR($H1229="",$N1229&gt;0)),"✖ Start غير صحيح",IF(NOT(OR($I1229="",$I1229="NR",$O1229&gt;0)),"✖ Current غير صحيح",IF(NOT(IF(ISNUMBER($J1229),AND($J1229&gt;=0,$J1229=INT($J1229)),FALSE())),"✖ العدد يجب أن يكون صحيحًا ≥ 0",IF(AND($F1229="Baseline",$H1229&lt;&gt;""),"⚠ Baseline: Start لا يدخل في التقدم",IF($K1229="No Start (attainment only)","ℹ تحصيل فقط (بدون Start)",IF($K1229="U – needs rule","ℹ حالة U تحتاج قاعدة معتمدة",IF($K1229="No result","ℹ بدون نتيجة (يُستبعد من التحصيل)","OK")))))))))))</f>
        <v/>
      </c>
      <c r="M1229" s="64" t="n">
        <f aca="false">IF($A1229="",0,IFERROR(MATCH($A1229,Classes!$A$6:$A$420,0),0))</f>
        <v>0</v>
      </c>
      <c r="N1229" s="64" t="n">
        <f aca="false">IF($H1229="",0,IFERROR(MATCH($H1229,GradeList,0),0))</f>
        <v>0</v>
      </c>
      <c r="O1229" s="64" t="n">
        <f aca="false">IF(OR($I1229="",$I1229="NR"),0,IFERROR(MATCH($I1229,GradeList,0),0))</f>
        <v>0</v>
      </c>
      <c r="P1229" s="64" t="n">
        <f aca="false">IF(AND($M1229&gt;0,ISNUMBER(MATCH($F1229,Lists!$A$2:$A$5,0)),ISNUMBER(MATCH($G1229,Lists!$B$2:$B$7,0)),OR($H1229="",$N1229&gt;0),OR($I1229="",$I1229="NR",$O1229&gt;0),IF(ISNUMBER($J1229),AND($J1229&gt;=0,$J1229=INT($J1229)),FALSE())),$J1229,0)</f>
        <v>0</v>
      </c>
      <c r="Q1229" s="64" t="n">
        <f aca="false">IF(AND($P1229&gt;0,$O1229&gt;0),$P1229,0)</f>
        <v>0</v>
      </c>
      <c r="R1229" s="64" t="n">
        <f aca="false">IF(AND($Q1229&gt;0,$O1229&gt;=AtRank),$Q1229,0)</f>
        <v>0</v>
      </c>
      <c r="S1229" s="64" t="n">
        <f aca="false">IF(AND($Q1229&gt;0,$O1229&gt;=AboveRank),$Q1229,0)</f>
        <v>0</v>
      </c>
      <c r="T1229" s="64" t="n">
        <f aca="false">IF($K1229="Less",$P1229,0)</f>
        <v>0</v>
      </c>
      <c r="U1229" s="64" t="n">
        <f aca="false">IF($K1229="Expected",$P1229,0)</f>
        <v>0</v>
      </c>
      <c r="V1229" s="64" t="n">
        <f aca="false">IF($K1229="Better",$P1229,0)</f>
        <v>0</v>
      </c>
      <c r="W1229" s="64" t="n">
        <f aca="false">IF($K1229="U – needs rule",$P1229,0)</f>
        <v>0</v>
      </c>
      <c r="X1229" s="64" t="n">
        <f aca="false">IF($K1229="No Start (attainment only)",$P1229,0)</f>
        <v>0</v>
      </c>
    </row>
    <row r="1230" customFormat="false" ht="15" hidden="false" customHeight="false" outlineLevel="0" collapsed="false">
      <c r="A1230" s="60"/>
      <c r="B1230" s="61" t="str">
        <f aca="false">IF($M1230=0,"",INDEX(Classes!$E$6:$E$420,$M1230))</f>
        <v/>
      </c>
      <c r="C1230" s="62" t="str">
        <f aca="false">IF($M1230=0,"",INDEX(Classes!$H$6:$H$420,$M1230))</f>
        <v/>
      </c>
      <c r="D1230" s="61" t="str">
        <f aca="false">IF($M1230=0,"",INDEX(Classes!$B$6:$B$420,$M1230))</f>
        <v/>
      </c>
      <c r="E1230" s="61" t="str">
        <f aca="false">IF($M1230=0,"",INDEX(Classes!$C$6:$C$420,$M1230))</f>
        <v/>
      </c>
      <c r="F1230" s="63"/>
      <c r="G1230" s="63"/>
      <c r="H1230" s="60"/>
      <c r="I1230" s="60"/>
      <c r="J1230" s="63"/>
      <c r="K1230" s="61" t="str">
        <f aca="false">IF($P1230=0,"",IF($F1230="Baseline","— Baseline",IF($O1230=0,"No result",IF($N1230=0,"No Start (attainment only)",IF(OR($N1230=1,$O1230=1),"U – needs rule",INDEX(MxBody,MATCH($I1230,MxCurr,0),MATCH($H1230,MxStart,0)))))))</f>
        <v/>
      </c>
      <c r="L1230" s="62" t="str">
        <f aca="false">IF(COUNTA($A1230,$F1230,$G1230,$H1230,$I1230,$J1230)=0,"",IF($M1230=0,"✖ كود الصف غير موجود",IF(ISNA(MATCH($F1230,Lists!$A$2:$A$5,0)),"✖ الفترة غير صحيحة",IF(ISNA(MATCH($G1230,Lists!$B$2:$B$7,0)),"✖ المجموعة غير صحيحة",IF(NOT(OR($H1230="",$N1230&gt;0)),"✖ Start غير صحيح",IF(NOT(OR($I1230="",$I1230="NR",$O1230&gt;0)),"✖ Current غير صحيح",IF(NOT(IF(ISNUMBER($J1230),AND($J1230&gt;=0,$J1230=INT($J1230)),FALSE())),"✖ العدد يجب أن يكون صحيحًا ≥ 0",IF(AND($F1230="Baseline",$H1230&lt;&gt;""),"⚠ Baseline: Start لا يدخل في التقدم",IF($K1230="No Start (attainment only)","ℹ تحصيل فقط (بدون Start)",IF($K1230="U – needs rule","ℹ حالة U تحتاج قاعدة معتمدة",IF($K1230="No result","ℹ بدون نتيجة (يُستبعد من التحصيل)","OK")))))))))))</f>
        <v/>
      </c>
      <c r="M1230" s="64" t="n">
        <f aca="false">IF($A1230="",0,IFERROR(MATCH($A1230,Classes!$A$6:$A$420,0),0))</f>
        <v>0</v>
      </c>
      <c r="N1230" s="64" t="n">
        <f aca="false">IF($H1230="",0,IFERROR(MATCH($H1230,GradeList,0),0))</f>
        <v>0</v>
      </c>
      <c r="O1230" s="64" t="n">
        <f aca="false">IF(OR($I1230="",$I1230="NR"),0,IFERROR(MATCH($I1230,GradeList,0),0))</f>
        <v>0</v>
      </c>
      <c r="P1230" s="64" t="n">
        <f aca="false">IF(AND($M1230&gt;0,ISNUMBER(MATCH($F1230,Lists!$A$2:$A$5,0)),ISNUMBER(MATCH($G1230,Lists!$B$2:$B$7,0)),OR($H1230="",$N1230&gt;0),OR($I1230="",$I1230="NR",$O1230&gt;0),IF(ISNUMBER($J1230),AND($J1230&gt;=0,$J1230=INT($J1230)),FALSE())),$J1230,0)</f>
        <v>0</v>
      </c>
      <c r="Q1230" s="64" t="n">
        <f aca="false">IF(AND($P1230&gt;0,$O1230&gt;0),$P1230,0)</f>
        <v>0</v>
      </c>
      <c r="R1230" s="64" t="n">
        <f aca="false">IF(AND($Q1230&gt;0,$O1230&gt;=AtRank),$Q1230,0)</f>
        <v>0</v>
      </c>
      <c r="S1230" s="64" t="n">
        <f aca="false">IF(AND($Q1230&gt;0,$O1230&gt;=AboveRank),$Q1230,0)</f>
        <v>0</v>
      </c>
      <c r="T1230" s="64" t="n">
        <f aca="false">IF($K1230="Less",$P1230,0)</f>
        <v>0</v>
      </c>
      <c r="U1230" s="64" t="n">
        <f aca="false">IF($K1230="Expected",$P1230,0)</f>
        <v>0</v>
      </c>
      <c r="V1230" s="64" t="n">
        <f aca="false">IF($K1230="Better",$P1230,0)</f>
        <v>0</v>
      </c>
      <c r="W1230" s="64" t="n">
        <f aca="false">IF($K1230="U – needs rule",$P1230,0)</f>
        <v>0</v>
      </c>
      <c r="X1230" s="64" t="n">
        <f aca="false">IF($K1230="No Start (attainment only)",$P1230,0)</f>
        <v>0</v>
      </c>
    </row>
    <row r="1231" customFormat="false" ht="15" hidden="false" customHeight="false" outlineLevel="0" collapsed="false">
      <c r="A1231" s="60"/>
      <c r="B1231" s="61" t="str">
        <f aca="false">IF($M1231=0,"",INDEX(Classes!$E$6:$E$420,$M1231))</f>
        <v/>
      </c>
      <c r="C1231" s="62" t="str">
        <f aca="false">IF($M1231=0,"",INDEX(Classes!$H$6:$H$420,$M1231))</f>
        <v/>
      </c>
      <c r="D1231" s="61" t="str">
        <f aca="false">IF($M1231=0,"",INDEX(Classes!$B$6:$B$420,$M1231))</f>
        <v/>
      </c>
      <c r="E1231" s="61" t="str">
        <f aca="false">IF($M1231=0,"",INDEX(Classes!$C$6:$C$420,$M1231))</f>
        <v/>
      </c>
      <c r="F1231" s="63"/>
      <c r="G1231" s="63"/>
      <c r="H1231" s="60"/>
      <c r="I1231" s="60"/>
      <c r="J1231" s="63"/>
      <c r="K1231" s="61" t="str">
        <f aca="false">IF($P1231=0,"",IF($F1231="Baseline","— Baseline",IF($O1231=0,"No result",IF($N1231=0,"No Start (attainment only)",IF(OR($N1231=1,$O1231=1),"U – needs rule",INDEX(MxBody,MATCH($I1231,MxCurr,0),MATCH($H1231,MxStart,0)))))))</f>
        <v/>
      </c>
      <c r="L1231" s="62" t="str">
        <f aca="false">IF(COUNTA($A1231,$F1231,$G1231,$H1231,$I1231,$J1231)=0,"",IF($M1231=0,"✖ كود الصف غير موجود",IF(ISNA(MATCH($F1231,Lists!$A$2:$A$5,0)),"✖ الفترة غير صحيحة",IF(ISNA(MATCH($G1231,Lists!$B$2:$B$7,0)),"✖ المجموعة غير صحيحة",IF(NOT(OR($H1231="",$N1231&gt;0)),"✖ Start غير صحيح",IF(NOT(OR($I1231="",$I1231="NR",$O1231&gt;0)),"✖ Current غير صحيح",IF(NOT(IF(ISNUMBER($J1231),AND($J1231&gt;=0,$J1231=INT($J1231)),FALSE())),"✖ العدد يجب أن يكون صحيحًا ≥ 0",IF(AND($F1231="Baseline",$H1231&lt;&gt;""),"⚠ Baseline: Start لا يدخل في التقدم",IF($K1231="No Start (attainment only)","ℹ تحصيل فقط (بدون Start)",IF($K1231="U – needs rule","ℹ حالة U تحتاج قاعدة معتمدة",IF($K1231="No result","ℹ بدون نتيجة (يُستبعد من التحصيل)","OK")))))))))))</f>
        <v/>
      </c>
      <c r="M1231" s="64" t="n">
        <f aca="false">IF($A1231="",0,IFERROR(MATCH($A1231,Classes!$A$6:$A$420,0),0))</f>
        <v>0</v>
      </c>
      <c r="N1231" s="64" t="n">
        <f aca="false">IF($H1231="",0,IFERROR(MATCH($H1231,GradeList,0),0))</f>
        <v>0</v>
      </c>
      <c r="O1231" s="64" t="n">
        <f aca="false">IF(OR($I1231="",$I1231="NR"),0,IFERROR(MATCH($I1231,GradeList,0),0))</f>
        <v>0</v>
      </c>
      <c r="P1231" s="64" t="n">
        <f aca="false">IF(AND($M1231&gt;0,ISNUMBER(MATCH($F1231,Lists!$A$2:$A$5,0)),ISNUMBER(MATCH($G1231,Lists!$B$2:$B$7,0)),OR($H1231="",$N1231&gt;0),OR($I1231="",$I1231="NR",$O1231&gt;0),IF(ISNUMBER($J1231),AND($J1231&gt;=0,$J1231=INT($J1231)),FALSE())),$J1231,0)</f>
        <v>0</v>
      </c>
      <c r="Q1231" s="64" t="n">
        <f aca="false">IF(AND($P1231&gt;0,$O1231&gt;0),$P1231,0)</f>
        <v>0</v>
      </c>
      <c r="R1231" s="64" t="n">
        <f aca="false">IF(AND($Q1231&gt;0,$O1231&gt;=AtRank),$Q1231,0)</f>
        <v>0</v>
      </c>
      <c r="S1231" s="64" t="n">
        <f aca="false">IF(AND($Q1231&gt;0,$O1231&gt;=AboveRank),$Q1231,0)</f>
        <v>0</v>
      </c>
      <c r="T1231" s="64" t="n">
        <f aca="false">IF($K1231="Less",$P1231,0)</f>
        <v>0</v>
      </c>
      <c r="U1231" s="64" t="n">
        <f aca="false">IF($K1231="Expected",$P1231,0)</f>
        <v>0</v>
      </c>
      <c r="V1231" s="64" t="n">
        <f aca="false">IF($K1231="Better",$P1231,0)</f>
        <v>0</v>
      </c>
      <c r="W1231" s="64" t="n">
        <f aca="false">IF($K1231="U – needs rule",$P1231,0)</f>
        <v>0</v>
      </c>
      <c r="X1231" s="64" t="n">
        <f aca="false">IF($K1231="No Start (attainment only)",$P1231,0)</f>
        <v>0</v>
      </c>
    </row>
    <row r="1232" customFormat="false" ht="15" hidden="false" customHeight="false" outlineLevel="0" collapsed="false">
      <c r="A1232" s="60"/>
      <c r="B1232" s="61" t="str">
        <f aca="false">IF($M1232=0,"",INDEX(Classes!$E$6:$E$420,$M1232))</f>
        <v/>
      </c>
      <c r="C1232" s="62" t="str">
        <f aca="false">IF($M1232=0,"",INDEX(Classes!$H$6:$H$420,$M1232))</f>
        <v/>
      </c>
      <c r="D1232" s="61" t="str">
        <f aca="false">IF($M1232=0,"",INDEX(Classes!$B$6:$B$420,$M1232))</f>
        <v/>
      </c>
      <c r="E1232" s="61" t="str">
        <f aca="false">IF($M1232=0,"",INDEX(Classes!$C$6:$C$420,$M1232))</f>
        <v/>
      </c>
      <c r="F1232" s="63"/>
      <c r="G1232" s="63"/>
      <c r="H1232" s="60"/>
      <c r="I1232" s="60"/>
      <c r="J1232" s="63"/>
      <c r="K1232" s="61" t="str">
        <f aca="false">IF($P1232=0,"",IF($F1232="Baseline","— Baseline",IF($O1232=0,"No result",IF($N1232=0,"No Start (attainment only)",IF(OR($N1232=1,$O1232=1),"U – needs rule",INDEX(MxBody,MATCH($I1232,MxCurr,0),MATCH($H1232,MxStart,0)))))))</f>
        <v/>
      </c>
      <c r="L1232" s="62" t="str">
        <f aca="false">IF(COUNTA($A1232,$F1232,$G1232,$H1232,$I1232,$J1232)=0,"",IF($M1232=0,"✖ كود الصف غير موجود",IF(ISNA(MATCH($F1232,Lists!$A$2:$A$5,0)),"✖ الفترة غير صحيحة",IF(ISNA(MATCH($G1232,Lists!$B$2:$B$7,0)),"✖ المجموعة غير صحيحة",IF(NOT(OR($H1232="",$N1232&gt;0)),"✖ Start غير صحيح",IF(NOT(OR($I1232="",$I1232="NR",$O1232&gt;0)),"✖ Current غير صحيح",IF(NOT(IF(ISNUMBER($J1232),AND($J1232&gt;=0,$J1232=INT($J1232)),FALSE())),"✖ العدد يجب أن يكون صحيحًا ≥ 0",IF(AND($F1232="Baseline",$H1232&lt;&gt;""),"⚠ Baseline: Start لا يدخل في التقدم",IF($K1232="No Start (attainment only)","ℹ تحصيل فقط (بدون Start)",IF($K1232="U – needs rule","ℹ حالة U تحتاج قاعدة معتمدة",IF($K1232="No result","ℹ بدون نتيجة (يُستبعد من التحصيل)","OK")))))))))))</f>
        <v/>
      </c>
      <c r="M1232" s="64" t="n">
        <f aca="false">IF($A1232="",0,IFERROR(MATCH($A1232,Classes!$A$6:$A$420,0),0))</f>
        <v>0</v>
      </c>
      <c r="N1232" s="64" t="n">
        <f aca="false">IF($H1232="",0,IFERROR(MATCH($H1232,GradeList,0),0))</f>
        <v>0</v>
      </c>
      <c r="O1232" s="64" t="n">
        <f aca="false">IF(OR($I1232="",$I1232="NR"),0,IFERROR(MATCH($I1232,GradeList,0),0))</f>
        <v>0</v>
      </c>
      <c r="P1232" s="64" t="n">
        <f aca="false">IF(AND($M1232&gt;0,ISNUMBER(MATCH($F1232,Lists!$A$2:$A$5,0)),ISNUMBER(MATCH($G1232,Lists!$B$2:$B$7,0)),OR($H1232="",$N1232&gt;0),OR($I1232="",$I1232="NR",$O1232&gt;0),IF(ISNUMBER($J1232),AND($J1232&gt;=0,$J1232=INT($J1232)),FALSE())),$J1232,0)</f>
        <v>0</v>
      </c>
      <c r="Q1232" s="64" t="n">
        <f aca="false">IF(AND($P1232&gt;0,$O1232&gt;0),$P1232,0)</f>
        <v>0</v>
      </c>
      <c r="R1232" s="64" t="n">
        <f aca="false">IF(AND($Q1232&gt;0,$O1232&gt;=AtRank),$Q1232,0)</f>
        <v>0</v>
      </c>
      <c r="S1232" s="64" t="n">
        <f aca="false">IF(AND($Q1232&gt;0,$O1232&gt;=AboveRank),$Q1232,0)</f>
        <v>0</v>
      </c>
      <c r="T1232" s="64" t="n">
        <f aca="false">IF($K1232="Less",$P1232,0)</f>
        <v>0</v>
      </c>
      <c r="U1232" s="64" t="n">
        <f aca="false">IF($K1232="Expected",$P1232,0)</f>
        <v>0</v>
      </c>
      <c r="V1232" s="64" t="n">
        <f aca="false">IF($K1232="Better",$P1232,0)</f>
        <v>0</v>
      </c>
      <c r="W1232" s="64" t="n">
        <f aca="false">IF($K1232="U – needs rule",$P1232,0)</f>
        <v>0</v>
      </c>
      <c r="X1232" s="64" t="n">
        <f aca="false">IF($K1232="No Start (attainment only)",$P1232,0)</f>
        <v>0</v>
      </c>
    </row>
    <row r="1233" customFormat="false" ht="15" hidden="false" customHeight="false" outlineLevel="0" collapsed="false">
      <c r="A1233" s="60"/>
      <c r="B1233" s="61" t="str">
        <f aca="false">IF($M1233=0,"",INDEX(Classes!$E$6:$E$420,$M1233))</f>
        <v/>
      </c>
      <c r="C1233" s="62" t="str">
        <f aca="false">IF($M1233=0,"",INDEX(Classes!$H$6:$H$420,$M1233))</f>
        <v/>
      </c>
      <c r="D1233" s="61" t="str">
        <f aca="false">IF($M1233=0,"",INDEX(Classes!$B$6:$B$420,$M1233))</f>
        <v/>
      </c>
      <c r="E1233" s="61" t="str">
        <f aca="false">IF($M1233=0,"",INDEX(Classes!$C$6:$C$420,$M1233))</f>
        <v/>
      </c>
      <c r="F1233" s="63"/>
      <c r="G1233" s="63"/>
      <c r="H1233" s="60"/>
      <c r="I1233" s="60"/>
      <c r="J1233" s="63"/>
      <c r="K1233" s="61" t="str">
        <f aca="false">IF($P1233=0,"",IF($F1233="Baseline","— Baseline",IF($O1233=0,"No result",IF($N1233=0,"No Start (attainment only)",IF(OR($N1233=1,$O1233=1),"U – needs rule",INDEX(MxBody,MATCH($I1233,MxCurr,0),MATCH($H1233,MxStart,0)))))))</f>
        <v/>
      </c>
      <c r="L1233" s="62" t="str">
        <f aca="false">IF(COUNTA($A1233,$F1233,$G1233,$H1233,$I1233,$J1233)=0,"",IF($M1233=0,"✖ كود الصف غير موجود",IF(ISNA(MATCH($F1233,Lists!$A$2:$A$5,0)),"✖ الفترة غير صحيحة",IF(ISNA(MATCH($G1233,Lists!$B$2:$B$7,0)),"✖ المجموعة غير صحيحة",IF(NOT(OR($H1233="",$N1233&gt;0)),"✖ Start غير صحيح",IF(NOT(OR($I1233="",$I1233="NR",$O1233&gt;0)),"✖ Current غير صحيح",IF(NOT(IF(ISNUMBER($J1233),AND($J1233&gt;=0,$J1233=INT($J1233)),FALSE())),"✖ العدد يجب أن يكون صحيحًا ≥ 0",IF(AND($F1233="Baseline",$H1233&lt;&gt;""),"⚠ Baseline: Start لا يدخل في التقدم",IF($K1233="No Start (attainment only)","ℹ تحصيل فقط (بدون Start)",IF($K1233="U – needs rule","ℹ حالة U تحتاج قاعدة معتمدة",IF($K1233="No result","ℹ بدون نتيجة (يُستبعد من التحصيل)","OK")))))))))))</f>
        <v/>
      </c>
      <c r="M1233" s="64" t="n">
        <f aca="false">IF($A1233="",0,IFERROR(MATCH($A1233,Classes!$A$6:$A$420,0),0))</f>
        <v>0</v>
      </c>
      <c r="N1233" s="64" t="n">
        <f aca="false">IF($H1233="",0,IFERROR(MATCH($H1233,GradeList,0),0))</f>
        <v>0</v>
      </c>
      <c r="O1233" s="64" t="n">
        <f aca="false">IF(OR($I1233="",$I1233="NR"),0,IFERROR(MATCH($I1233,GradeList,0),0))</f>
        <v>0</v>
      </c>
      <c r="P1233" s="64" t="n">
        <f aca="false">IF(AND($M1233&gt;0,ISNUMBER(MATCH($F1233,Lists!$A$2:$A$5,0)),ISNUMBER(MATCH($G1233,Lists!$B$2:$B$7,0)),OR($H1233="",$N1233&gt;0),OR($I1233="",$I1233="NR",$O1233&gt;0),IF(ISNUMBER($J1233),AND($J1233&gt;=0,$J1233=INT($J1233)),FALSE())),$J1233,0)</f>
        <v>0</v>
      </c>
      <c r="Q1233" s="64" t="n">
        <f aca="false">IF(AND($P1233&gt;0,$O1233&gt;0),$P1233,0)</f>
        <v>0</v>
      </c>
      <c r="R1233" s="64" t="n">
        <f aca="false">IF(AND($Q1233&gt;0,$O1233&gt;=AtRank),$Q1233,0)</f>
        <v>0</v>
      </c>
      <c r="S1233" s="64" t="n">
        <f aca="false">IF(AND($Q1233&gt;0,$O1233&gt;=AboveRank),$Q1233,0)</f>
        <v>0</v>
      </c>
      <c r="T1233" s="64" t="n">
        <f aca="false">IF($K1233="Less",$P1233,0)</f>
        <v>0</v>
      </c>
      <c r="U1233" s="64" t="n">
        <f aca="false">IF($K1233="Expected",$P1233,0)</f>
        <v>0</v>
      </c>
      <c r="V1233" s="64" t="n">
        <f aca="false">IF($K1233="Better",$P1233,0)</f>
        <v>0</v>
      </c>
      <c r="W1233" s="64" t="n">
        <f aca="false">IF($K1233="U – needs rule",$P1233,0)</f>
        <v>0</v>
      </c>
      <c r="X1233" s="64" t="n">
        <f aca="false">IF($K1233="No Start (attainment only)",$P1233,0)</f>
        <v>0</v>
      </c>
    </row>
    <row r="1234" customFormat="false" ht="15" hidden="false" customHeight="false" outlineLevel="0" collapsed="false">
      <c r="A1234" s="60"/>
      <c r="B1234" s="61" t="str">
        <f aca="false">IF($M1234=0,"",INDEX(Classes!$E$6:$E$420,$M1234))</f>
        <v/>
      </c>
      <c r="C1234" s="62" t="str">
        <f aca="false">IF($M1234=0,"",INDEX(Classes!$H$6:$H$420,$M1234))</f>
        <v/>
      </c>
      <c r="D1234" s="61" t="str">
        <f aca="false">IF($M1234=0,"",INDEX(Classes!$B$6:$B$420,$M1234))</f>
        <v/>
      </c>
      <c r="E1234" s="61" t="str">
        <f aca="false">IF($M1234=0,"",INDEX(Classes!$C$6:$C$420,$M1234))</f>
        <v/>
      </c>
      <c r="F1234" s="63"/>
      <c r="G1234" s="63"/>
      <c r="H1234" s="60"/>
      <c r="I1234" s="60"/>
      <c r="J1234" s="63"/>
      <c r="K1234" s="61" t="str">
        <f aca="false">IF($P1234=0,"",IF($F1234="Baseline","— Baseline",IF($O1234=0,"No result",IF($N1234=0,"No Start (attainment only)",IF(OR($N1234=1,$O1234=1),"U – needs rule",INDEX(MxBody,MATCH($I1234,MxCurr,0),MATCH($H1234,MxStart,0)))))))</f>
        <v/>
      </c>
      <c r="L1234" s="62" t="str">
        <f aca="false">IF(COUNTA($A1234,$F1234,$G1234,$H1234,$I1234,$J1234)=0,"",IF($M1234=0,"✖ كود الصف غير موجود",IF(ISNA(MATCH($F1234,Lists!$A$2:$A$5,0)),"✖ الفترة غير صحيحة",IF(ISNA(MATCH($G1234,Lists!$B$2:$B$7,0)),"✖ المجموعة غير صحيحة",IF(NOT(OR($H1234="",$N1234&gt;0)),"✖ Start غير صحيح",IF(NOT(OR($I1234="",$I1234="NR",$O1234&gt;0)),"✖ Current غير صحيح",IF(NOT(IF(ISNUMBER($J1234),AND($J1234&gt;=0,$J1234=INT($J1234)),FALSE())),"✖ العدد يجب أن يكون صحيحًا ≥ 0",IF(AND($F1234="Baseline",$H1234&lt;&gt;""),"⚠ Baseline: Start لا يدخل في التقدم",IF($K1234="No Start (attainment only)","ℹ تحصيل فقط (بدون Start)",IF($K1234="U – needs rule","ℹ حالة U تحتاج قاعدة معتمدة",IF($K1234="No result","ℹ بدون نتيجة (يُستبعد من التحصيل)","OK")))))))))))</f>
        <v/>
      </c>
      <c r="M1234" s="64" t="n">
        <f aca="false">IF($A1234="",0,IFERROR(MATCH($A1234,Classes!$A$6:$A$420,0),0))</f>
        <v>0</v>
      </c>
      <c r="N1234" s="64" t="n">
        <f aca="false">IF($H1234="",0,IFERROR(MATCH($H1234,GradeList,0),0))</f>
        <v>0</v>
      </c>
      <c r="O1234" s="64" t="n">
        <f aca="false">IF(OR($I1234="",$I1234="NR"),0,IFERROR(MATCH($I1234,GradeList,0),0))</f>
        <v>0</v>
      </c>
      <c r="P1234" s="64" t="n">
        <f aca="false">IF(AND($M1234&gt;0,ISNUMBER(MATCH($F1234,Lists!$A$2:$A$5,0)),ISNUMBER(MATCH($G1234,Lists!$B$2:$B$7,0)),OR($H1234="",$N1234&gt;0),OR($I1234="",$I1234="NR",$O1234&gt;0),IF(ISNUMBER($J1234),AND($J1234&gt;=0,$J1234=INT($J1234)),FALSE())),$J1234,0)</f>
        <v>0</v>
      </c>
      <c r="Q1234" s="64" t="n">
        <f aca="false">IF(AND($P1234&gt;0,$O1234&gt;0),$P1234,0)</f>
        <v>0</v>
      </c>
      <c r="R1234" s="64" t="n">
        <f aca="false">IF(AND($Q1234&gt;0,$O1234&gt;=AtRank),$Q1234,0)</f>
        <v>0</v>
      </c>
      <c r="S1234" s="64" t="n">
        <f aca="false">IF(AND($Q1234&gt;0,$O1234&gt;=AboveRank),$Q1234,0)</f>
        <v>0</v>
      </c>
      <c r="T1234" s="64" t="n">
        <f aca="false">IF($K1234="Less",$P1234,0)</f>
        <v>0</v>
      </c>
      <c r="U1234" s="64" t="n">
        <f aca="false">IF($K1234="Expected",$P1234,0)</f>
        <v>0</v>
      </c>
      <c r="V1234" s="64" t="n">
        <f aca="false">IF($K1234="Better",$P1234,0)</f>
        <v>0</v>
      </c>
      <c r="W1234" s="64" t="n">
        <f aca="false">IF($K1234="U – needs rule",$P1234,0)</f>
        <v>0</v>
      </c>
      <c r="X1234" s="64" t="n">
        <f aca="false">IF($K1234="No Start (attainment only)",$P1234,0)</f>
        <v>0</v>
      </c>
    </row>
    <row r="1235" customFormat="false" ht="15" hidden="false" customHeight="false" outlineLevel="0" collapsed="false">
      <c r="A1235" s="60"/>
      <c r="B1235" s="61" t="str">
        <f aca="false">IF($M1235=0,"",INDEX(Classes!$E$6:$E$420,$M1235))</f>
        <v/>
      </c>
      <c r="C1235" s="62" t="str">
        <f aca="false">IF($M1235=0,"",INDEX(Classes!$H$6:$H$420,$M1235))</f>
        <v/>
      </c>
      <c r="D1235" s="61" t="str">
        <f aca="false">IF($M1235=0,"",INDEX(Classes!$B$6:$B$420,$M1235))</f>
        <v/>
      </c>
      <c r="E1235" s="61" t="str">
        <f aca="false">IF($M1235=0,"",INDEX(Classes!$C$6:$C$420,$M1235))</f>
        <v/>
      </c>
      <c r="F1235" s="63"/>
      <c r="G1235" s="63"/>
      <c r="H1235" s="60"/>
      <c r="I1235" s="60"/>
      <c r="J1235" s="63"/>
      <c r="K1235" s="61" t="str">
        <f aca="false">IF($P1235=0,"",IF($F1235="Baseline","— Baseline",IF($O1235=0,"No result",IF($N1235=0,"No Start (attainment only)",IF(OR($N1235=1,$O1235=1),"U – needs rule",INDEX(MxBody,MATCH($I1235,MxCurr,0),MATCH($H1235,MxStart,0)))))))</f>
        <v/>
      </c>
      <c r="L1235" s="62" t="str">
        <f aca="false">IF(COUNTA($A1235,$F1235,$G1235,$H1235,$I1235,$J1235)=0,"",IF($M1235=0,"✖ كود الصف غير موجود",IF(ISNA(MATCH($F1235,Lists!$A$2:$A$5,0)),"✖ الفترة غير صحيحة",IF(ISNA(MATCH($G1235,Lists!$B$2:$B$7,0)),"✖ المجموعة غير صحيحة",IF(NOT(OR($H1235="",$N1235&gt;0)),"✖ Start غير صحيح",IF(NOT(OR($I1235="",$I1235="NR",$O1235&gt;0)),"✖ Current غير صحيح",IF(NOT(IF(ISNUMBER($J1235),AND($J1235&gt;=0,$J1235=INT($J1235)),FALSE())),"✖ العدد يجب أن يكون صحيحًا ≥ 0",IF(AND($F1235="Baseline",$H1235&lt;&gt;""),"⚠ Baseline: Start لا يدخل في التقدم",IF($K1235="No Start (attainment only)","ℹ تحصيل فقط (بدون Start)",IF($K1235="U – needs rule","ℹ حالة U تحتاج قاعدة معتمدة",IF($K1235="No result","ℹ بدون نتيجة (يُستبعد من التحصيل)","OK")))))))))))</f>
        <v/>
      </c>
      <c r="M1235" s="64" t="n">
        <f aca="false">IF($A1235="",0,IFERROR(MATCH($A1235,Classes!$A$6:$A$420,0),0))</f>
        <v>0</v>
      </c>
      <c r="N1235" s="64" t="n">
        <f aca="false">IF($H1235="",0,IFERROR(MATCH($H1235,GradeList,0),0))</f>
        <v>0</v>
      </c>
      <c r="O1235" s="64" t="n">
        <f aca="false">IF(OR($I1235="",$I1235="NR"),0,IFERROR(MATCH($I1235,GradeList,0),0))</f>
        <v>0</v>
      </c>
      <c r="P1235" s="64" t="n">
        <f aca="false">IF(AND($M1235&gt;0,ISNUMBER(MATCH($F1235,Lists!$A$2:$A$5,0)),ISNUMBER(MATCH($G1235,Lists!$B$2:$B$7,0)),OR($H1235="",$N1235&gt;0),OR($I1235="",$I1235="NR",$O1235&gt;0),IF(ISNUMBER($J1235),AND($J1235&gt;=0,$J1235=INT($J1235)),FALSE())),$J1235,0)</f>
        <v>0</v>
      </c>
      <c r="Q1235" s="64" t="n">
        <f aca="false">IF(AND($P1235&gt;0,$O1235&gt;0),$P1235,0)</f>
        <v>0</v>
      </c>
      <c r="R1235" s="64" t="n">
        <f aca="false">IF(AND($Q1235&gt;0,$O1235&gt;=AtRank),$Q1235,0)</f>
        <v>0</v>
      </c>
      <c r="S1235" s="64" t="n">
        <f aca="false">IF(AND($Q1235&gt;0,$O1235&gt;=AboveRank),$Q1235,0)</f>
        <v>0</v>
      </c>
      <c r="T1235" s="64" t="n">
        <f aca="false">IF($K1235="Less",$P1235,0)</f>
        <v>0</v>
      </c>
      <c r="U1235" s="64" t="n">
        <f aca="false">IF($K1235="Expected",$P1235,0)</f>
        <v>0</v>
      </c>
      <c r="V1235" s="64" t="n">
        <f aca="false">IF($K1235="Better",$P1235,0)</f>
        <v>0</v>
      </c>
      <c r="W1235" s="64" t="n">
        <f aca="false">IF($K1235="U – needs rule",$P1235,0)</f>
        <v>0</v>
      </c>
      <c r="X1235" s="64" t="n">
        <f aca="false">IF($K1235="No Start (attainment only)",$P1235,0)</f>
        <v>0</v>
      </c>
    </row>
    <row r="1236" customFormat="false" ht="15" hidden="false" customHeight="false" outlineLevel="0" collapsed="false">
      <c r="A1236" s="60"/>
      <c r="B1236" s="61" t="str">
        <f aca="false">IF($M1236=0,"",INDEX(Classes!$E$6:$E$420,$M1236))</f>
        <v/>
      </c>
      <c r="C1236" s="62" t="str">
        <f aca="false">IF($M1236=0,"",INDEX(Classes!$H$6:$H$420,$M1236))</f>
        <v/>
      </c>
      <c r="D1236" s="61" t="str">
        <f aca="false">IF($M1236=0,"",INDEX(Classes!$B$6:$B$420,$M1236))</f>
        <v/>
      </c>
      <c r="E1236" s="61" t="str">
        <f aca="false">IF($M1236=0,"",INDEX(Classes!$C$6:$C$420,$M1236))</f>
        <v/>
      </c>
      <c r="F1236" s="63"/>
      <c r="G1236" s="63"/>
      <c r="H1236" s="60"/>
      <c r="I1236" s="60"/>
      <c r="J1236" s="63"/>
      <c r="K1236" s="61" t="str">
        <f aca="false">IF($P1236=0,"",IF($F1236="Baseline","— Baseline",IF($O1236=0,"No result",IF($N1236=0,"No Start (attainment only)",IF(OR($N1236=1,$O1236=1),"U – needs rule",INDEX(MxBody,MATCH($I1236,MxCurr,0),MATCH($H1236,MxStart,0)))))))</f>
        <v/>
      </c>
      <c r="L1236" s="62" t="str">
        <f aca="false">IF(COUNTA($A1236,$F1236,$G1236,$H1236,$I1236,$J1236)=0,"",IF($M1236=0,"✖ كود الصف غير موجود",IF(ISNA(MATCH($F1236,Lists!$A$2:$A$5,0)),"✖ الفترة غير صحيحة",IF(ISNA(MATCH($G1236,Lists!$B$2:$B$7,0)),"✖ المجموعة غير صحيحة",IF(NOT(OR($H1236="",$N1236&gt;0)),"✖ Start غير صحيح",IF(NOT(OR($I1236="",$I1236="NR",$O1236&gt;0)),"✖ Current غير صحيح",IF(NOT(IF(ISNUMBER($J1236),AND($J1236&gt;=0,$J1236=INT($J1236)),FALSE())),"✖ العدد يجب أن يكون صحيحًا ≥ 0",IF(AND($F1236="Baseline",$H1236&lt;&gt;""),"⚠ Baseline: Start لا يدخل في التقدم",IF($K1236="No Start (attainment only)","ℹ تحصيل فقط (بدون Start)",IF($K1236="U – needs rule","ℹ حالة U تحتاج قاعدة معتمدة",IF($K1236="No result","ℹ بدون نتيجة (يُستبعد من التحصيل)","OK")))))))))))</f>
        <v/>
      </c>
      <c r="M1236" s="64" t="n">
        <f aca="false">IF($A1236="",0,IFERROR(MATCH($A1236,Classes!$A$6:$A$420,0),0))</f>
        <v>0</v>
      </c>
      <c r="N1236" s="64" t="n">
        <f aca="false">IF($H1236="",0,IFERROR(MATCH($H1236,GradeList,0),0))</f>
        <v>0</v>
      </c>
      <c r="O1236" s="64" t="n">
        <f aca="false">IF(OR($I1236="",$I1236="NR"),0,IFERROR(MATCH($I1236,GradeList,0),0))</f>
        <v>0</v>
      </c>
      <c r="P1236" s="64" t="n">
        <f aca="false">IF(AND($M1236&gt;0,ISNUMBER(MATCH($F1236,Lists!$A$2:$A$5,0)),ISNUMBER(MATCH($G1236,Lists!$B$2:$B$7,0)),OR($H1236="",$N1236&gt;0),OR($I1236="",$I1236="NR",$O1236&gt;0),IF(ISNUMBER($J1236),AND($J1236&gt;=0,$J1236=INT($J1236)),FALSE())),$J1236,0)</f>
        <v>0</v>
      </c>
      <c r="Q1236" s="64" t="n">
        <f aca="false">IF(AND($P1236&gt;0,$O1236&gt;0),$P1236,0)</f>
        <v>0</v>
      </c>
      <c r="R1236" s="64" t="n">
        <f aca="false">IF(AND($Q1236&gt;0,$O1236&gt;=AtRank),$Q1236,0)</f>
        <v>0</v>
      </c>
      <c r="S1236" s="64" t="n">
        <f aca="false">IF(AND($Q1236&gt;0,$O1236&gt;=AboveRank),$Q1236,0)</f>
        <v>0</v>
      </c>
      <c r="T1236" s="64" t="n">
        <f aca="false">IF($K1236="Less",$P1236,0)</f>
        <v>0</v>
      </c>
      <c r="U1236" s="64" t="n">
        <f aca="false">IF($K1236="Expected",$P1236,0)</f>
        <v>0</v>
      </c>
      <c r="V1236" s="64" t="n">
        <f aca="false">IF($K1236="Better",$P1236,0)</f>
        <v>0</v>
      </c>
      <c r="W1236" s="64" t="n">
        <f aca="false">IF($K1236="U – needs rule",$P1236,0)</f>
        <v>0</v>
      </c>
      <c r="X1236" s="64" t="n">
        <f aca="false">IF($K1236="No Start (attainment only)",$P1236,0)</f>
        <v>0</v>
      </c>
    </row>
    <row r="1237" customFormat="false" ht="15" hidden="false" customHeight="false" outlineLevel="0" collapsed="false">
      <c r="A1237" s="60"/>
      <c r="B1237" s="61" t="str">
        <f aca="false">IF($M1237=0,"",INDEX(Classes!$E$6:$E$420,$M1237))</f>
        <v/>
      </c>
      <c r="C1237" s="62" t="str">
        <f aca="false">IF($M1237=0,"",INDEX(Classes!$H$6:$H$420,$M1237))</f>
        <v/>
      </c>
      <c r="D1237" s="61" t="str">
        <f aca="false">IF($M1237=0,"",INDEX(Classes!$B$6:$B$420,$M1237))</f>
        <v/>
      </c>
      <c r="E1237" s="61" t="str">
        <f aca="false">IF($M1237=0,"",INDEX(Classes!$C$6:$C$420,$M1237))</f>
        <v/>
      </c>
      <c r="F1237" s="63"/>
      <c r="G1237" s="63"/>
      <c r="H1237" s="60"/>
      <c r="I1237" s="60"/>
      <c r="J1237" s="63"/>
      <c r="K1237" s="61" t="str">
        <f aca="false">IF($P1237=0,"",IF($F1237="Baseline","— Baseline",IF($O1237=0,"No result",IF($N1237=0,"No Start (attainment only)",IF(OR($N1237=1,$O1237=1),"U – needs rule",INDEX(MxBody,MATCH($I1237,MxCurr,0),MATCH($H1237,MxStart,0)))))))</f>
        <v/>
      </c>
      <c r="L1237" s="62" t="str">
        <f aca="false">IF(COUNTA($A1237,$F1237,$G1237,$H1237,$I1237,$J1237)=0,"",IF($M1237=0,"✖ كود الصف غير موجود",IF(ISNA(MATCH($F1237,Lists!$A$2:$A$5,0)),"✖ الفترة غير صحيحة",IF(ISNA(MATCH($G1237,Lists!$B$2:$B$7,0)),"✖ المجموعة غير صحيحة",IF(NOT(OR($H1237="",$N1237&gt;0)),"✖ Start غير صحيح",IF(NOT(OR($I1237="",$I1237="NR",$O1237&gt;0)),"✖ Current غير صحيح",IF(NOT(IF(ISNUMBER($J1237),AND($J1237&gt;=0,$J1237=INT($J1237)),FALSE())),"✖ العدد يجب أن يكون صحيحًا ≥ 0",IF(AND($F1237="Baseline",$H1237&lt;&gt;""),"⚠ Baseline: Start لا يدخل في التقدم",IF($K1237="No Start (attainment only)","ℹ تحصيل فقط (بدون Start)",IF($K1237="U – needs rule","ℹ حالة U تحتاج قاعدة معتمدة",IF($K1237="No result","ℹ بدون نتيجة (يُستبعد من التحصيل)","OK")))))))))))</f>
        <v/>
      </c>
      <c r="M1237" s="64" t="n">
        <f aca="false">IF($A1237="",0,IFERROR(MATCH($A1237,Classes!$A$6:$A$420,0),0))</f>
        <v>0</v>
      </c>
      <c r="N1237" s="64" t="n">
        <f aca="false">IF($H1237="",0,IFERROR(MATCH($H1237,GradeList,0),0))</f>
        <v>0</v>
      </c>
      <c r="O1237" s="64" t="n">
        <f aca="false">IF(OR($I1237="",$I1237="NR"),0,IFERROR(MATCH($I1237,GradeList,0),0))</f>
        <v>0</v>
      </c>
      <c r="P1237" s="64" t="n">
        <f aca="false">IF(AND($M1237&gt;0,ISNUMBER(MATCH($F1237,Lists!$A$2:$A$5,0)),ISNUMBER(MATCH($G1237,Lists!$B$2:$B$7,0)),OR($H1237="",$N1237&gt;0),OR($I1237="",$I1237="NR",$O1237&gt;0),IF(ISNUMBER($J1237),AND($J1237&gt;=0,$J1237=INT($J1237)),FALSE())),$J1237,0)</f>
        <v>0</v>
      </c>
      <c r="Q1237" s="64" t="n">
        <f aca="false">IF(AND($P1237&gt;0,$O1237&gt;0),$P1237,0)</f>
        <v>0</v>
      </c>
      <c r="R1237" s="64" t="n">
        <f aca="false">IF(AND($Q1237&gt;0,$O1237&gt;=AtRank),$Q1237,0)</f>
        <v>0</v>
      </c>
      <c r="S1237" s="64" t="n">
        <f aca="false">IF(AND($Q1237&gt;0,$O1237&gt;=AboveRank),$Q1237,0)</f>
        <v>0</v>
      </c>
      <c r="T1237" s="64" t="n">
        <f aca="false">IF($K1237="Less",$P1237,0)</f>
        <v>0</v>
      </c>
      <c r="U1237" s="64" t="n">
        <f aca="false">IF($K1237="Expected",$P1237,0)</f>
        <v>0</v>
      </c>
      <c r="V1237" s="64" t="n">
        <f aca="false">IF($K1237="Better",$P1237,0)</f>
        <v>0</v>
      </c>
      <c r="W1237" s="64" t="n">
        <f aca="false">IF($K1237="U – needs rule",$P1237,0)</f>
        <v>0</v>
      </c>
      <c r="X1237" s="64" t="n">
        <f aca="false">IF($K1237="No Start (attainment only)",$P1237,0)</f>
        <v>0</v>
      </c>
    </row>
    <row r="1238" customFormat="false" ht="15" hidden="false" customHeight="false" outlineLevel="0" collapsed="false">
      <c r="A1238" s="60"/>
      <c r="B1238" s="61" t="str">
        <f aca="false">IF($M1238=0,"",INDEX(Classes!$E$6:$E$420,$M1238))</f>
        <v/>
      </c>
      <c r="C1238" s="62" t="str">
        <f aca="false">IF($M1238=0,"",INDEX(Classes!$H$6:$H$420,$M1238))</f>
        <v/>
      </c>
      <c r="D1238" s="61" t="str">
        <f aca="false">IF($M1238=0,"",INDEX(Classes!$B$6:$B$420,$M1238))</f>
        <v/>
      </c>
      <c r="E1238" s="61" t="str">
        <f aca="false">IF($M1238=0,"",INDEX(Classes!$C$6:$C$420,$M1238))</f>
        <v/>
      </c>
      <c r="F1238" s="63"/>
      <c r="G1238" s="63"/>
      <c r="H1238" s="60"/>
      <c r="I1238" s="60"/>
      <c r="J1238" s="63"/>
      <c r="K1238" s="61" t="str">
        <f aca="false">IF($P1238=0,"",IF($F1238="Baseline","— Baseline",IF($O1238=0,"No result",IF($N1238=0,"No Start (attainment only)",IF(OR($N1238=1,$O1238=1),"U – needs rule",INDEX(MxBody,MATCH($I1238,MxCurr,0),MATCH($H1238,MxStart,0)))))))</f>
        <v/>
      </c>
      <c r="L1238" s="62" t="str">
        <f aca="false">IF(COUNTA($A1238,$F1238,$G1238,$H1238,$I1238,$J1238)=0,"",IF($M1238=0,"✖ كود الصف غير موجود",IF(ISNA(MATCH($F1238,Lists!$A$2:$A$5,0)),"✖ الفترة غير صحيحة",IF(ISNA(MATCH($G1238,Lists!$B$2:$B$7,0)),"✖ المجموعة غير صحيحة",IF(NOT(OR($H1238="",$N1238&gt;0)),"✖ Start غير صحيح",IF(NOT(OR($I1238="",$I1238="NR",$O1238&gt;0)),"✖ Current غير صحيح",IF(NOT(IF(ISNUMBER($J1238),AND($J1238&gt;=0,$J1238=INT($J1238)),FALSE())),"✖ العدد يجب أن يكون صحيحًا ≥ 0",IF(AND($F1238="Baseline",$H1238&lt;&gt;""),"⚠ Baseline: Start لا يدخل في التقدم",IF($K1238="No Start (attainment only)","ℹ تحصيل فقط (بدون Start)",IF($K1238="U – needs rule","ℹ حالة U تحتاج قاعدة معتمدة",IF($K1238="No result","ℹ بدون نتيجة (يُستبعد من التحصيل)","OK")))))))))))</f>
        <v/>
      </c>
      <c r="M1238" s="64" t="n">
        <f aca="false">IF($A1238="",0,IFERROR(MATCH($A1238,Classes!$A$6:$A$420,0),0))</f>
        <v>0</v>
      </c>
      <c r="N1238" s="64" t="n">
        <f aca="false">IF($H1238="",0,IFERROR(MATCH($H1238,GradeList,0),0))</f>
        <v>0</v>
      </c>
      <c r="O1238" s="64" t="n">
        <f aca="false">IF(OR($I1238="",$I1238="NR"),0,IFERROR(MATCH($I1238,GradeList,0),0))</f>
        <v>0</v>
      </c>
      <c r="P1238" s="64" t="n">
        <f aca="false">IF(AND($M1238&gt;0,ISNUMBER(MATCH($F1238,Lists!$A$2:$A$5,0)),ISNUMBER(MATCH($G1238,Lists!$B$2:$B$7,0)),OR($H1238="",$N1238&gt;0),OR($I1238="",$I1238="NR",$O1238&gt;0),IF(ISNUMBER($J1238),AND($J1238&gt;=0,$J1238=INT($J1238)),FALSE())),$J1238,0)</f>
        <v>0</v>
      </c>
      <c r="Q1238" s="64" t="n">
        <f aca="false">IF(AND($P1238&gt;0,$O1238&gt;0),$P1238,0)</f>
        <v>0</v>
      </c>
      <c r="R1238" s="64" t="n">
        <f aca="false">IF(AND($Q1238&gt;0,$O1238&gt;=AtRank),$Q1238,0)</f>
        <v>0</v>
      </c>
      <c r="S1238" s="64" t="n">
        <f aca="false">IF(AND($Q1238&gt;0,$O1238&gt;=AboveRank),$Q1238,0)</f>
        <v>0</v>
      </c>
      <c r="T1238" s="64" t="n">
        <f aca="false">IF($K1238="Less",$P1238,0)</f>
        <v>0</v>
      </c>
      <c r="U1238" s="64" t="n">
        <f aca="false">IF($K1238="Expected",$P1238,0)</f>
        <v>0</v>
      </c>
      <c r="V1238" s="64" t="n">
        <f aca="false">IF($K1238="Better",$P1238,0)</f>
        <v>0</v>
      </c>
      <c r="W1238" s="64" t="n">
        <f aca="false">IF($K1238="U – needs rule",$P1238,0)</f>
        <v>0</v>
      </c>
      <c r="X1238" s="64" t="n">
        <f aca="false">IF($K1238="No Start (attainment only)",$P1238,0)</f>
        <v>0</v>
      </c>
    </row>
    <row r="1239" customFormat="false" ht="15" hidden="false" customHeight="false" outlineLevel="0" collapsed="false">
      <c r="A1239" s="60"/>
      <c r="B1239" s="61" t="str">
        <f aca="false">IF($M1239=0,"",INDEX(Classes!$E$6:$E$420,$M1239))</f>
        <v/>
      </c>
      <c r="C1239" s="62" t="str">
        <f aca="false">IF($M1239=0,"",INDEX(Classes!$H$6:$H$420,$M1239))</f>
        <v/>
      </c>
      <c r="D1239" s="61" t="str">
        <f aca="false">IF($M1239=0,"",INDEX(Classes!$B$6:$B$420,$M1239))</f>
        <v/>
      </c>
      <c r="E1239" s="61" t="str">
        <f aca="false">IF($M1239=0,"",INDEX(Classes!$C$6:$C$420,$M1239))</f>
        <v/>
      </c>
      <c r="F1239" s="63"/>
      <c r="G1239" s="63"/>
      <c r="H1239" s="60"/>
      <c r="I1239" s="60"/>
      <c r="J1239" s="63"/>
      <c r="K1239" s="61" t="str">
        <f aca="false">IF($P1239=0,"",IF($F1239="Baseline","— Baseline",IF($O1239=0,"No result",IF($N1239=0,"No Start (attainment only)",IF(OR($N1239=1,$O1239=1),"U – needs rule",INDEX(MxBody,MATCH($I1239,MxCurr,0),MATCH($H1239,MxStart,0)))))))</f>
        <v/>
      </c>
      <c r="L1239" s="62" t="str">
        <f aca="false">IF(COUNTA($A1239,$F1239,$G1239,$H1239,$I1239,$J1239)=0,"",IF($M1239=0,"✖ كود الصف غير موجود",IF(ISNA(MATCH($F1239,Lists!$A$2:$A$5,0)),"✖ الفترة غير صحيحة",IF(ISNA(MATCH($G1239,Lists!$B$2:$B$7,0)),"✖ المجموعة غير صحيحة",IF(NOT(OR($H1239="",$N1239&gt;0)),"✖ Start غير صحيح",IF(NOT(OR($I1239="",$I1239="NR",$O1239&gt;0)),"✖ Current غير صحيح",IF(NOT(IF(ISNUMBER($J1239),AND($J1239&gt;=0,$J1239=INT($J1239)),FALSE())),"✖ العدد يجب أن يكون صحيحًا ≥ 0",IF(AND($F1239="Baseline",$H1239&lt;&gt;""),"⚠ Baseline: Start لا يدخل في التقدم",IF($K1239="No Start (attainment only)","ℹ تحصيل فقط (بدون Start)",IF($K1239="U – needs rule","ℹ حالة U تحتاج قاعدة معتمدة",IF($K1239="No result","ℹ بدون نتيجة (يُستبعد من التحصيل)","OK")))))))))))</f>
        <v/>
      </c>
      <c r="M1239" s="64" t="n">
        <f aca="false">IF($A1239="",0,IFERROR(MATCH($A1239,Classes!$A$6:$A$420,0),0))</f>
        <v>0</v>
      </c>
      <c r="N1239" s="64" t="n">
        <f aca="false">IF($H1239="",0,IFERROR(MATCH($H1239,GradeList,0),0))</f>
        <v>0</v>
      </c>
      <c r="O1239" s="64" t="n">
        <f aca="false">IF(OR($I1239="",$I1239="NR"),0,IFERROR(MATCH($I1239,GradeList,0),0))</f>
        <v>0</v>
      </c>
      <c r="P1239" s="64" t="n">
        <f aca="false">IF(AND($M1239&gt;0,ISNUMBER(MATCH($F1239,Lists!$A$2:$A$5,0)),ISNUMBER(MATCH($G1239,Lists!$B$2:$B$7,0)),OR($H1239="",$N1239&gt;0),OR($I1239="",$I1239="NR",$O1239&gt;0),IF(ISNUMBER($J1239),AND($J1239&gt;=0,$J1239=INT($J1239)),FALSE())),$J1239,0)</f>
        <v>0</v>
      </c>
      <c r="Q1239" s="64" t="n">
        <f aca="false">IF(AND($P1239&gt;0,$O1239&gt;0),$P1239,0)</f>
        <v>0</v>
      </c>
      <c r="R1239" s="64" t="n">
        <f aca="false">IF(AND($Q1239&gt;0,$O1239&gt;=AtRank),$Q1239,0)</f>
        <v>0</v>
      </c>
      <c r="S1239" s="64" t="n">
        <f aca="false">IF(AND($Q1239&gt;0,$O1239&gt;=AboveRank),$Q1239,0)</f>
        <v>0</v>
      </c>
      <c r="T1239" s="64" t="n">
        <f aca="false">IF($K1239="Less",$P1239,0)</f>
        <v>0</v>
      </c>
      <c r="U1239" s="64" t="n">
        <f aca="false">IF($K1239="Expected",$P1239,0)</f>
        <v>0</v>
      </c>
      <c r="V1239" s="64" t="n">
        <f aca="false">IF($K1239="Better",$P1239,0)</f>
        <v>0</v>
      </c>
      <c r="W1239" s="64" t="n">
        <f aca="false">IF($K1239="U – needs rule",$P1239,0)</f>
        <v>0</v>
      </c>
      <c r="X1239" s="64" t="n">
        <f aca="false">IF($K1239="No Start (attainment only)",$P1239,0)</f>
        <v>0</v>
      </c>
    </row>
    <row r="1240" customFormat="false" ht="15" hidden="false" customHeight="false" outlineLevel="0" collapsed="false">
      <c r="A1240" s="60"/>
      <c r="B1240" s="61" t="str">
        <f aca="false">IF($M1240=0,"",INDEX(Classes!$E$6:$E$420,$M1240))</f>
        <v/>
      </c>
      <c r="C1240" s="62" t="str">
        <f aca="false">IF($M1240=0,"",INDEX(Classes!$H$6:$H$420,$M1240))</f>
        <v/>
      </c>
      <c r="D1240" s="61" t="str">
        <f aca="false">IF($M1240=0,"",INDEX(Classes!$B$6:$B$420,$M1240))</f>
        <v/>
      </c>
      <c r="E1240" s="61" t="str">
        <f aca="false">IF($M1240=0,"",INDEX(Classes!$C$6:$C$420,$M1240))</f>
        <v/>
      </c>
      <c r="F1240" s="63"/>
      <c r="G1240" s="63"/>
      <c r="H1240" s="60"/>
      <c r="I1240" s="60"/>
      <c r="J1240" s="63"/>
      <c r="K1240" s="61" t="str">
        <f aca="false">IF($P1240=0,"",IF($F1240="Baseline","— Baseline",IF($O1240=0,"No result",IF($N1240=0,"No Start (attainment only)",IF(OR($N1240=1,$O1240=1),"U – needs rule",INDEX(MxBody,MATCH($I1240,MxCurr,0),MATCH($H1240,MxStart,0)))))))</f>
        <v/>
      </c>
      <c r="L1240" s="62" t="str">
        <f aca="false">IF(COUNTA($A1240,$F1240,$G1240,$H1240,$I1240,$J1240)=0,"",IF($M1240=0,"✖ كود الصف غير موجود",IF(ISNA(MATCH($F1240,Lists!$A$2:$A$5,0)),"✖ الفترة غير صحيحة",IF(ISNA(MATCH($G1240,Lists!$B$2:$B$7,0)),"✖ المجموعة غير صحيحة",IF(NOT(OR($H1240="",$N1240&gt;0)),"✖ Start غير صحيح",IF(NOT(OR($I1240="",$I1240="NR",$O1240&gt;0)),"✖ Current غير صحيح",IF(NOT(IF(ISNUMBER($J1240),AND($J1240&gt;=0,$J1240=INT($J1240)),FALSE())),"✖ العدد يجب أن يكون صحيحًا ≥ 0",IF(AND($F1240="Baseline",$H1240&lt;&gt;""),"⚠ Baseline: Start لا يدخل في التقدم",IF($K1240="No Start (attainment only)","ℹ تحصيل فقط (بدون Start)",IF($K1240="U – needs rule","ℹ حالة U تحتاج قاعدة معتمدة",IF($K1240="No result","ℹ بدون نتيجة (يُستبعد من التحصيل)","OK")))))))))))</f>
        <v/>
      </c>
      <c r="M1240" s="64" t="n">
        <f aca="false">IF($A1240="",0,IFERROR(MATCH($A1240,Classes!$A$6:$A$420,0),0))</f>
        <v>0</v>
      </c>
      <c r="N1240" s="64" t="n">
        <f aca="false">IF($H1240="",0,IFERROR(MATCH($H1240,GradeList,0),0))</f>
        <v>0</v>
      </c>
      <c r="O1240" s="64" t="n">
        <f aca="false">IF(OR($I1240="",$I1240="NR"),0,IFERROR(MATCH($I1240,GradeList,0),0))</f>
        <v>0</v>
      </c>
      <c r="P1240" s="64" t="n">
        <f aca="false">IF(AND($M1240&gt;0,ISNUMBER(MATCH($F1240,Lists!$A$2:$A$5,0)),ISNUMBER(MATCH($G1240,Lists!$B$2:$B$7,0)),OR($H1240="",$N1240&gt;0),OR($I1240="",$I1240="NR",$O1240&gt;0),IF(ISNUMBER($J1240),AND($J1240&gt;=0,$J1240=INT($J1240)),FALSE())),$J1240,0)</f>
        <v>0</v>
      </c>
      <c r="Q1240" s="64" t="n">
        <f aca="false">IF(AND($P1240&gt;0,$O1240&gt;0),$P1240,0)</f>
        <v>0</v>
      </c>
      <c r="R1240" s="64" t="n">
        <f aca="false">IF(AND($Q1240&gt;0,$O1240&gt;=AtRank),$Q1240,0)</f>
        <v>0</v>
      </c>
      <c r="S1240" s="64" t="n">
        <f aca="false">IF(AND($Q1240&gt;0,$O1240&gt;=AboveRank),$Q1240,0)</f>
        <v>0</v>
      </c>
      <c r="T1240" s="64" t="n">
        <f aca="false">IF($K1240="Less",$P1240,0)</f>
        <v>0</v>
      </c>
      <c r="U1240" s="64" t="n">
        <f aca="false">IF($K1240="Expected",$P1240,0)</f>
        <v>0</v>
      </c>
      <c r="V1240" s="64" t="n">
        <f aca="false">IF($K1240="Better",$P1240,0)</f>
        <v>0</v>
      </c>
      <c r="W1240" s="64" t="n">
        <f aca="false">IF($K1240="U – needs rule",$P1240,0)</f>
        <v>0</v>
      </c>
      <c r="X1240" s="64" t="n">
        <f aca="false">IF($K1240="No Start (attainment only)",$P1240,0)</f>
        <v>0</v>
      </c>
    </row>
    <row r="1241" customFormat="false" ht="15" hidden="false" customHeight="false" outlineLevel="0" collapsed="false">
      <c r="A1241" s="60"/>
      <c r="B1241" s="61" t="str">
        <f aca="false">IF($M1241=0,"",INDEX(Classes!$E$6:$E$420,$M1241))</f>
        <v/>
      </c>
      <c r="C1241" s="62" t="str">
        <f aca="false">IF($M1241=0,"",INDEX(Classes!$H$6:$H$420,$M1241))</f>
        <v/>
      </c>
      <c r="D1241" s="61" t="str">
        <f aca="false">IF($M1241=0,"",INDEX(Classes!$B$6:$B$420,$M1241))</f>
        <v/>
      </c>
      <c r="E1241" s="61" t="str">
        <f aca="false">IF($M1241=0,"",INDEX(Classes!$C$6:$C$420,$M1241))</f>
        <v/>
      </c>
      <c r="F1241" s="63"/>
      <c r="G1241" s="63"/>
      <c r="H1241" s="60"/>
      <c r="I1241" s="60"/>
      <c r="J1241" s="63"/>
      <c r="K1241" s="61" t="str">
        <f aca="false">IF($P1241=0,"",IF($F1241="Baseline","— Baseline",IF($O1241=0,"No result",IF($N1241=0,"No Start (attainment only)",IF(OR($N1241=1,$O1241=1),"U – needs rule",INDEX(MxBody,MATCH($I1241,MxCurr,0),MATCH($H1241,MxStart,0)))))))</f>
        <v/>
      </c>
      <c r="L1241" s="62" t="str">
        <f aca="false">IF(COUNTA($A1241,$F1241,$G1241,$H1241,$I1241,$J1241)=0,"",IF($M1241=0,"✖ كود الصف غير موجود",IF(ISNA(MATCH($F1241,Lists!$A$2:$A$5,0)),"✖ الفترة غير صحيحة",IF(ISNA(MATCH($G1241,Lists!$B$2:$B$7,0)),"✖ المجموعة غير صحيحة",IF(NOT(OR($H1241="",$N1241&gt;0)),"✖ Start غير صحيح",IF(NOT(OR($I1241="",$I1241="NR",$O1241&gt;0)),"✖ Current غير صحيح",IF(NOT(IF(ISNUMBER($J1241),AND($J1241&gt;=0,$J1241=INT($J1241)),FALSE())),"✖ العدد يجب أن يكون صحيحًا ≥ 0",IF(AND($F1241="Baseline",$H1241&lt;&gt;""),"⚠ Baseline: Start لا يدخل في التقدم",IF($K1241="No Start (attainment only)","ℹ تحصيل فقط (بدون Start)",IF($K1241="U – needs rule","ℹ حالة U تحتاج قاعدة معتمدة",IF($K1241="No result","ℹ بدون نتيجة (يُستبعد من التحصيل)","OK")))))))))))</f>
        <v/>
      </c>
      <c r="M1241" s="64" t="n">
        <f aca="false">IF($A1241="",0,IFERROR(MATCH($A1241,Classes!$A$6:$A$420,0),0))</f>
        <v>0</v>
      </c>
      <c r="N1241" s="64" t="n">
        <f aca="false">IF($H1241="",0,IFERROR(MATCH($H1241,GradeList,0),0))</f>
        <v>0</v>
      </c>
      <c r="O1241" s="64" t="n">
        <f aca="false">IF(OR($I1241="",$I1241="NR"),0,IFERROR(MATCH($I1241,GradeList,0),0))</f>
        <v>0</v>
      </c>
      <c r="P1241" s="64" t="n">
        <f aca="false">IF(AND($M1241&gt;0,ISNUMBER(MATCH($F1241,Lists!$A$2:$A$5,0)),ISNUMBER(MATCH($G1241,Lists!$B$2:$B$7,0)),OR($H1241="",$N1241&gt;0),OR($I1241="",$I1241="NR",$O1241&gt;0),IF(ISNUMBER($J1241),AND($J1241&gt;=0,$J1241=INT($J1241)),FALSE())),$J1241,0)</f>
        <v>0</v>
      </c>
      <c r="Q1241" s="64" t="n">
        <f aca="false">IF(AND($P1241&gt;0,$O1241&gt;0),$P1241,0)</f>
        <v>0</v>
      </c>
      <c r="R1241" s="64" t="n">
        <f aca="false">IF(AND($Q1241&gt;0,$O1241&gt;=AtRank),$Q1241,0)</f>
        <v>0</v>
      </c>
      <c r="S1241" s="64" t="n">
        <f aca="false">IF(AND($Q1241&gt;0,$O1241&gt;=AboveRank),$Q1241,0)</f>
        <v>0</v>
      </c>
      <c r="T1241" s="64" t="n">
        <f aca="false">IF($K1241="Less",$P1241,0)</f>
        <v>0</v>
      </c>
      <c r="U1241" s="64" t="n">
        <f aca="false">IF($K1241="Expected",$P1241,0)</f>
        <v>0</v>
      </c>
      <c r="V1241" s="64" t="n">
        <f aca="false">IF($K1241="Better",$P1241,0)</f>
        <v>0</v>
      </c>
      <c r="W1241" s="64" t="n">
        <f aca="false">IF($K1241="U – needs rule",$P1241,0)</f>
        <v>0</v>
      </c>
      <c r="X1241" s="64" t="n">
        <f aca="false">IF($K1241="No Start (attainment only)",$P1241,0)</f>
        <v>0</v>
      </c>
    </row>
    <row r="1242" customFormat="false" ht="15" hidden="false" customHeight="false" outlineLevel="0" collapsed="false">
      <c r="A1242" s="60"/>
      <c r="B1242" s="61" t="str">
        <f aca="false">IF($M1242=0,"",INDEX(Classes!$E$6:$E$420,$M1242))</f>
        <v/>
      </c>
      <c r="C1242" s="62" t="str">
        <f aca="false">IF($M1242=0,"",INDEX(Classes!$H$6:$H$420,$M1242))</f>
        <v/>
      </c>
      <c r="D1242" s="61" t="str">
        <f aca="false">IF($M1242=0,"",INDEX(Classes!$B$6:$B$420,$M1242))</f>
        <v/>
      </c>
      <c r="E1242" s="61" t="str">
        <f aca="false">IF($M1242=0,"",INDEX(Classes!$C$6:$C$420,$M1242))</f>
        <v/>
      </c>
      <c r="F1242" s="63"/>
      <c r="G1242" s="63"/>
      <c r="H1242" s="60"/>
      <c r="I1242" s="60"/>
      <c r="J1242" s="63"/>
      <c r="K1242" s="61" t="str">
        <f aca="false">IF($P1242=0,"",IF($F1242="Baseline","— Baseline",IF($O1242=0,"No result",IF($N1242=0,"No Start (attainment only)",IF(OR($N1242=1,$O1242=1),"U – needs rule",INDEX(MxBody,MATCH($I1242,MxCurr,0),MATCH($H1242,MxStart,0)))))))</f>
        <v/>
      </c>
      <c r="L1242" s="62" t="str">
        <f aca="false">IF(COUNTA($A1242,$F1242,$G1242,$H1242,$I1242,$J1242)=0,"",IF($M1242=0,"✖ كود الصف غير موجود",IF(ISNA(MATCH($F1242,Lists!$A$2:$A$5,0)),"✖ الفترة غير صحيحة",IF(ISNA(MATCH($G1242,Lists!$B$2:$B$7,0)),"✖ المجموعة غير صحيحة",IF(NOT(OR($H1242="",$N1242&gt;0)),"✖ Start غير صحيح",IF(NOT(OR($I1242="",$I1242="NR",$O1242&gt;0)),"✖ Current غير صحيح",IF(NOT(IF(ISNUMBER($J1242),AND($J1242&gt;=0,$J1242=INT($J1242)),FALSE())),"✖ العدد يجب أن يكون صحيحًا ≥ 0",IF(AND($F1242="Baseline",$H1242&lt;&gt;""),"⚠ Baseline: Start لا يدخل في التقدم",IF($K1242="No Start (attainment only)","ℹ تحصيل فقط (بدون Start)",IF($K1242="U – needs rule","ℹ حالة U تحتاج قاعدة معتمدة",IF($K1242="No result","ℹ بدون نتيجة (يُستبعد من التحصيل)","OK")))))))))))</f>
        <v/>
      </c>
      <c r="M1242" s="64" t="n">
        <f aca="false">IF($A1242="",0,IFERROR(MATCH($A1242,Classes!$A$6:$A$420,0),0))</f>
        <v>0</v>
      </c>
      <c r="N1242" s="64" t="n">
        <f aca="false">IF($H1242="",0,IFERROR(MATCH($H1242,GradeList,0),0))</f>
        <v>0</v>
      </c>
      <c r="O1242" s="64" t="n">
        <f aca="false">IF(OR($I1242="",$I1242="NR"),0,IFERROR(MATCH($I1242,GradeList,0),0))</f>
        <v>0</v>
      </c>
      <c r="P1242" s="64" t="n">
        <f aca="false">IF(AND($M1242&gt;0,ISNUMBER(MATCH($F1242,Lists!$A$2:$A$5,0)),ISNUMBER(MATCH($G1242,Lists!$B$2:$B$7,0)),OR($H1242="",$N1242&gt;0),OR($I1242="",$I1242="NR",$O1242&gt;0),IF(ISNUMBER($J1242),AND($J1242&gt;=0,$J1242=INT($J1242)),FALSE())),$J1242,0)</f>
        <v>0</v>
      </c>
      <c r="Q1242" s="64" t="n">
        <f aca="false">IF(AND($P1242&gt;0,$O1242&gt;0),$P1242,0)</f>
        <v>0</v>
      </c>
      <c r="R1242" s="64" t="n">
        <f aca="false">IF(AND($Q1242&gt;0,$O1242&gt;=AtRank),$Q1242,0)</f>
        <v>0</v>
      </c>
      <c r="S1242" s="64" t="n">
        <f aca="false">IF(AND($Q1242&gt;0,$O1242&gt;=AboveRank),$Q1242,0)</f>
        <v>0</v>
      </c>
      <c r="T1242" s="64" t="n">
        <f aca="false">IF($K1242="Less",$P1242,0)</f>
        <v>0</v>
      </c>
      <c r="U1242" s="64" t="n">
        <f aca="false">IF($K1242="Expected",$P1242,0)</f>
        <v>0</v>
      </c>
      <c r="V1242" s="64" t="n">
        <f aca="false">IF($K1242="Better",$P1242,0)</f>
        <v>0</v>
      </c>
      <c r="W1242" s="64" t="n">
        <f aca="false">IF($K1242="U – needs rule",$P1242,0)</f>
        <v>0</v>
      </c>
      <c r="X1242" s="64" t="n">
        <f aca="false">IF($K1242="No Start (attainment only)",$P1242,0)</f>
        <v>0</v>
      </c>
    </row>
    <row r="1243" customFormat="false" ht="15" hidden="false" customHeight="false" outlineLevel="0" collapsed="false">
      <c r="A1243" s="60"/>
      <c r="B1243" s="61" t="str">
        <f aca="false">IF($M1243=0,"",INDEX(Classes!$E$6:$E$420,$M1243))</f>
        <v/>
      </c>
      <c r="C1243" s="62" t="str">
        <f aca="false">IF($M1243=0,"",INDEX(Classes!$H$6:$H$420,$M1243))</f>
        <v/>
      </c>
      <c r="D1243" s="61" t="str">
        <f aca="false">IF($M1243=0,"",INDEX(Classes!$B$6:$B$420,$M1243))</f>
        <v/>
      </c>
      <c r="E1243" s="61" t="str">
        <f aca="false">IF($M1243=0,"",INDEX(Classes!$C$6:$C$420,$M1243))</f>
        <v/>
      </c>
      <c r="F1243" s="63"/>
      <c r="G1243" s="63"/>
      <c r="H1243" s="60"/>
      <c r="I1243" s="60"/>
      <c r="J1243" s="63"/>
      <c r="K1243" s="61" t="str">
        <f aca="false">IF($P1243=0,"",IF($F1243="Baseline","— Baseline",IF($O1243=0,"No result",IF($N1243=0,"No Start (attainment only)",IF(OR($N1243=1,$O1243=1),"U – needs rule",INDEX(MxBody,MATCH($I1243,MxCurr,0),MATCH($H1243,MxStart,0)))))))</f>
        <v/>
      </c>
      <c r="L1243" s="62" t="str">
        <f aca="false">IF(COUNTA($A1243,$F1243,$G1243,$H1243,$I1243,$J1243)=0,"",IF($M1243=0,"✖ كود الصف غير موجود",IF(ISNA(MATCH($F1243,Lists!$A$2:$A$5,0)),"✖ الفترة غير صحيحة",IF(ISNA(MATCH($G1243,Lists!$B$2:$B$7,0)),"✖ المجموعة غير صحيحة",IF(NOT(OR($H1243="",$N1243&gt;0)),"✖ Start غير صحيح",IF(NOT(OR($I1243="",$I1243="NR",$O1243&gt;0)),"✖ Current غير صحيح",IF(NOT(IF(ISNUMBER($J1243),AND($J1243&gt;=0,$J1243=INT($J1243)),FALSE())),"✖ العدد يجب أن يكون صحيحًا ≥ 0",IF(AND($F1243="Baseline",$H1243&lt;&gt;""),"⚠ Baseline: Start لا يدخل في التقدم",IF($K1243="No Start (attainment only)","ℹ تحصيل فقط (بدون Start)",IF($K1243="U – needs rule","ℹ حالة U تحتاج قاعدة معتمدة",IF($K1243="No result","ℹ بدون نتيجة (يُستبعد من التحصيل)","OK")))))))))))</f>
        <v/>
      </c>
      <c r="M1243" s="64" t="n">
        <f aca="false">IF($A1243="",0,IFERROR(MATCH($A1243,Classes!$A$6:$A$420,0),0))</f>
        <v>0</v>
      </c>
      <c r="N1243" s="64" t="n">
        <f aca="false">IF($H1243="",0,IFERROR(MATCH($H1243,GradeList,0),0))</f>
        <v>0</v>
      </c>
      <c r="O1243" s="64" t="n">
        <f aca="false">IF(OR($I1243="",$I1243="NR"),0,IFERROR(MATCH($I1243,GradeList,0),0))</f>
        <v>0</v>
      </c>
      <c r="P1243" s="64" t="n">
        <f aca="false">IF(AND($M1243&gt;0,ISNUMBER(MATCH($F1243,Lists!$A$2:$A$5,0)),ISNUMBER(MATCH($G1243,Lists!$B$2:$B$7,0)),OR($H1243="",$N1243&gt;0),OR($I1243="",$I1243="NR",$O1243&gt;0),IF(ISNUMBER($J1243),AND($J1243&gt;=0,$J1243=INT($J1243)),FALSE())),$J1243,0)</f>
        <v>0</v>
      </c>
      <c r="Q1243" s="64" t="n">
        <f aca="false">IF(AND($P1243&gt;0,$O1243&gt;0),$P1243,0)</f>
        <v>0</v>
      </c>
      <c r="R1243" s="64" t="n">
        <f aca="false">IF(AND($Q1243&gt;0,$O1243&gt;=AtRank),$Q1243,0)</f>
        <v>0</v>
      </c>
      <c r="S1243" s="64" t="n">
        <f aca="false">IF(AND($Q1243&gt;0,$O1243&gt;=AboveRank),$Q1243,0)</f>
        <v>0</v>
      </c>
      <c r="T1243" s="64" t="n">
        <f aca="false">IF($K1243="Less",$P1243,0)</f>
        <v>0</v>
      </c>
      <c r="U1243" s="64" t="n">
        <f aca="false">IF($K1243="Expected",$P1243,0)</f>
        <v>0</v>
      </c>
      <c r="V1243" s="64" t="n">
        <f aca="false">IF($K1243="Better",$P1243,0)</f>
        <v>0</v>
      </c>
      <c r="W1243" s="64" t="n">
        <f aca="false">IF($K1243="U – needs rule",$P1243,0)</f>
        <v>0</v>
      </c>
      <c r="X1243" s="64" t="n">
        <f aca="false">IF($K1243="No Start (attainment only)",$P1243,0)</f>
        <v>0</v>
      </c>
    </row>
    <row r="1244" customFormat="false" ht="15" hidden="false" customHeight="false" outlineLevel="0" collapsed="false">
      <c r="A1244" s="60"/>
      <c r="B1244" s="61" t="str">
        <f aca="false">IF($M1244=0,"",INDEX(Classes!$E$6:$E$420,$M1244))</f>
        <v/>
      </c>
      <c r="C1244" s="62" t="str">
        <f aca="false">IF($M1244=0,"",INDEX(Classes!$H$6:$H$420,$M1244))</f>
        <v/>
      </c>
      <c r="D1244" s="61" t="str">
        <f aca="false">IF($M1244=0,"",INDEX(Classes!$B$6:$B$420,$M1244))</f>
        <v/>
      </c>
      <c r="E1244" s="61" t="str">
        <f aca="false">IF($M1244=0,"",INDEX(Classes!$C$6:$C$420,$M1244))</f>
        <v/>
      </c>
      <c r="F1244" s="63"/>
      <c r="G1244" s="63"/>
      <c r="H1244" s="60"/>
      <c r="I1244" s="60"/>
      <c r="J1244" s="63"/>
      <c r="K1244" s="61" t="str">
        <f aca="false">IF($P1244=0,"",IF($F1244="Baseline","— Baseline",IF($O1244=0,"No result",IF($N1244=0,"No Start (attainment only)",IF(OR($N1244=1,$O1244=1),"U – needs rule",INDEX(MxBody,MATCH($I1244,MxCurr,0),MATCH($H1244,MxStart,0)))))))</f>
        <v/>
      </c>
      <c r="L1244" s="62" t="str">
        <f aca="false">IF(COUNTA($A1244,$F1244,$G1244,$H1244,$I1244,$J1244)=0,"",IF($M1244=0,"✖ كود الصف غير موجود",IF(ISNA(MATCH($F1244,Lists!$A$2:$A$5,0)),"✖ الفترة غير صحيحة",IF(ISNA(MATCH($G1244,Lists!$B$2:$B$7,0)),"✖ المجموعة غير صحيحة",IF(NOT(OR($H1244="",$N1244&gt;0)),"✖ Start غير صحيح",IF(NOT(OR($I1244="",$I1244="NR",$O1244&gt;0)),"✖ Current غير صحيح",IF(NOT(IF(ISNUMBER($J1244),AND($J1244&gt;=0,$J1244=INT($J1244)),FALSE())),"✖ العدد يجب أن يكون صحيحًا ≥ 0",IF(AND($F1244="Baseline",$H1244&lt;&gt;""),"⚠ Baseline: Start لا يدخل في التقدم",IF($K1244="No Start (attainment only)","ℹ تحصيل فقط (بدون Start)",IF($K1244="U – needs rule","ℹ حالة U تحتاج قاعدة معتمدة",IF($K1244="No result","ℹ بدون نتيجة (يُستبعد من التحصيل)","OK")))))))))))</f>
        <v/>
      </c>
      <c r="M1244" s="64" t="n">
        <f aca="false">IF($A1244="",0,IFERROR(MATCH($A1244,Classes!$A$6:$A$420,0),0))</f>
        <v>0</v>
      </c>
      <c r="N1244" s="64" t="n">
        <f aca="false">IF($H1244="",0,IFERROR(MATCH($H1244,GradeList,0),0))</f>
        <v>0</v>
      </c>
      <c r="O1244" s="64" t="n">
        <f aca="false">IF(OR($I1244="",$I1244="NR"),0,IFERROR(MATCH($I1244,GradeList,0),0))</f>
        <v>0</v>
      </c>
      <c r="P1244" s="64" t="n">
        <f aca="false">IF(AND($M1244&gt;0,ISNUMBER(MATCH($F1244,Lists!$A$2:$A$5,0)),ISNUMBER(MATCH($G1244,Lists!$B$2:$B$7,0)),OR($H1244="",$N1244&gt;0),OR($I1244="",$I1244="NR",$O1244&gt;0),IF(ISNUMBER($J1244),AND($J1244&gt;=0,$J1244=INT($J1244)),FALSE())),$J1244,0)</f>
        <v>0</v>
      </c>
      <c r="Q1244" s="64" t="n">
        <f aca="false">IF(AND($P1244&gt;0,$O1244&gt;0),$P1244,0)</f>
        <v>0</v>
      </c>
      <c r="R1244" s="64" t="n">
        <f aca="false">IF(AND($Q1244&gt;0,$O1244&gt;=AtRank),$Q1244,0)</f>
        <v>0</v>
      </c>
      <c r="S1244" s="64" t="n">
        <f aca="false">IF(AND($Q1244&gt;0,$O1244&gt;=AboveRank),$Q1244,0)</f>
        <v>0</v>
      </c>
      <c r="T1244" s="64" t="n">
        <f aca="false">IF($K1244="Less",$P1244,0)</f>
        <v>0</v>
      </c>
      <c r="U1244" s="64" t="n">
        <f aca="false">IF($K1244="Expected",$P1244,0)</f>
        <v>0</v>
      </c>
      <c r="V1244" s="64" t="n">
        <f aca="false">IF($K1244="Better",$P1244,0)</f>
        <v>0</v>
      </c>
      <c r="W1244" s="64" t="n">
        <f aca="false">IF($K1244="U – needs rule",$P1244,0)</f>
        <v>0</v>
      </c>
      <c r="X1244" s="64" t="n">
        <f aca="false">IF($K1244="No Start (attainment only)",$P1244,0)</f>
        <v>0</v>
      </c>
    </row>
    <row r="1245" customFormat="false" ht="15" hidden="false" customHeight="false" outlineLevel="0" collapsed="false">
      <c r="A1245" s="60"/>
      <c r="B1245" s="61" t="str">
        <f aca="false">IF($M1245=0,"",INDEX(Classes!$E$6:$E$420,$M1245))</f>
        <v/>
      </c>
      <c r="C1245" s="62" t="str">
        <f aca="false">IF($M1245=0,"",INDEX(Classes!$H$6:$H$420,$M1245))</f>
        <v/>
      </c>
      <c r="D1245" s="61" t="str">
        <f aca="false">IF($M1245=0,"",INDEX(Classes!$B$6:$B$420,$M1245))</f>
        <v/>
      </c>
      <c r="E1245" s="61" t="str">
        <f aca="false">IF($M1245=0,"",INDEX(Classes!$C$6:$C$420,$M1245))</f>
        <v/>
      </c>
      <c r="F1245" s="63"/>
      <c r="G1245" s="63"/>
      <c r="H1245" s="60"/>
      <c r="I1245" s="60"/>
      <c r="J1245" s="63"/>
      <c r="K1245" s="61" t="str">
        <f aca="false">IF($P1245=0,"",IF($F1245="Baseline","— Baseline",IF($O1245=0,"No result",IF($N1245=0,"No Start (attainment only)",IF(OR($N1245=1,$O1245=1),"U – needs rule",INDEX(MxBody,MATCH($I1245,MxCurr,0),MATCH($H1245,MxStart,0)))))))</f>
        <v/>
      </c>
      <c r="L1245" s="62" t="str">
        <f aca="false">IF(COUNTA($A1245,$F1245,$G1245,$H1245,$I1245,$J1245)=0,"",IF($M1245=0,"✖ كود الصف غير موجود",IF(ISNA(MATCH($F1245,Lists!$A$2:$A$5,0)),"✖ الفترة غير صحيحة",IF(ISNA(MATCH($G1245,Lists!$B$2:$B$7,0)),"✖ المجموعة غير صحيحة",IF(NOT(OR($H1245="",$N1245&gt;0)),"✖ Start غير صحيح",IF(NOT(OR($I1245="",$I1245="NR",$O1245&gt;0)),"✖ Current غير صحيح",IF(NOT(IF(ISNUMBER($J1245),AND($J1245&gt;=0,$J1245=INT($J1245)),FALSE())),"✖ العدد يجب أن يكون صحيحًا ≥ 0",IF(AND($F1245="Baseline",$H1245&lt;&gt;""),"⚠ Baseline: Start لا يدخل في التقدم",IF($K1245="No Start (attainment only)","ℹ تحصيل فقط (بدون Start)",IF($K1245="U – needs rule","ℹ حالة U تحتاج قاعدة معتمدة",IF($K1245="No result","ℹ بدون نتيجة (يُستبعد من التحصيل)","OK")))))))))))</f>
        <v/>
      </c>
      <c r="M1245" s="64" t="n">
        <f aca="false">IF($A1245="",0,IFERROR(MATCH($A1245,Classes!$A$6:$A$420,0),0))</f>
        <v>0</v>
      </c>
      <c r="N1245" s="64" t="n">
        <f aca="false">IF($H1245="",0,IFERROR(MATCH($H1245,GradeList,0),0))</f>
        <v>0</v>
      </c>
      <c r="O1245" s="64" t="n">
        <f aca="false">IF(OR($I1245="",$I1245="NR"),0,IFERROR(MATCH($I1245,GradeList,0),0))</f>
        <v>0</v>
      </c>
      <c r="P1245" s="64" t="n">
        <f aca="false">IF(AND($M1245&gt;0,ISNUMBER(MATCH($F1245,Lists!$A$2:$A$5,0)),ISNUMBER(MATCH($G1245,Lists!$B$2:$B$7,0)),OR($H1245="",$N1245&gt;0),OR($I1245="",$I1245="NR",$O1245&gt;0),IF(ISNUMBER($J1245),AND($J1245&gt;=0,$J1245=INT($J1245)),FALSE())),$J1245,0)</f>
        <v>0</v>
      </c>
      <c r="Q1245" s="64" t="n">
        <f aca="false">IF(AND($P1245&gt;0,$O1245&gt;0),$P1245,0)</f>
        <v>0</v>
      </c>
      <c r="R1245" s="64" t="n">
        <f aca="false">IF(AND($Q1245&gt;0,$O1245&gt;=AtRank),$Q1245,0)</f>
        <v>0</v>
      </c>
      <c r="S1245" s="64" t="n">
        <f aca="false">IF(AND($Q1245&gt;0,$O1245&gt;=AboveRank),$Q1245,0)</f>
        <v>0</v>
      </c>
      <c r="T1245" s="64" t="n">
        <f aca="false">IF($K1245="Less",$P1245,0)</f>
        <v>0</v>
      </c>
      <c r="U1245" s="64" t="n">
        <f aca="false">IF($K1245="Expected",$P1245,0)</f>
        <v>0</v>
      </c>
      <c r="V1245" s="64" t="n">
        <f aca="false">IF($K1245="Better",$P1245,0)</f>
        <v>0</v>
      </c>
      <c r="W1245" s="64" t="n">
        <f aca="false">IF($K1245="U – needs rule",$P1245,0)</f>
        <v>0</v>
      </c>
      <c r="X1245" s="64" t="n">
        <f aca="false">IF($K1245="No Start (attainment only)",$P1245,0)</f>
        <v>0</v>
      </c>
    </row>
    <row r="1246" customFormat="false" ht="15" hidden="false" customHeight="false" outlineLevel="0" collapsed="false">
      <c r="A1246" s="60"/>
      <c r="B1246" s="61" t="str">
        <f aca="false">IF($M1246=0,"",INDEX(Classes!$E$6:$E$420,$M1246))</f>
        <v/>
      </c>
      <c r="C1246" s="62" t="str">
        <f aca="false">IF($M1246=0,"",INDEX(Classes!$H$6:$H$420,$M1246))</f>
        <v/>
      </c>
      <c r="D1246" s="61" t="str">
        <f aca="false">IF($M1246=0,"",INDEX(Classes!$B$6:$B$420,$M1246))</f>
        <v/>
      </c>
      <c r="E1246" s="61" t="str">
        <f aca="false">IF($M1246=0,"",INDEX(Classes!$C$6:$C$420,$M1246))</f>
        <v/>
      </c>
      <c r="F1246" s="63"/>
      <c r="G1246" s="63"/>
      <c r="H1246" s="60"/>
      <c r="I1246" s="60"/>
      <c r="J1246" s="63"/>
      <c r="K1246" s="61" t="str">
        <f aca="false">IF($P1246=0,"",IF($F1246="Baseline","— Baseline",IF($O1246=0,"No result",IF($N1246=0,"No Start (attainment only)",IF(OR($N1246=1,$O1246=1),"U – needs rule",INDEX(MxBody,MATCH($I1246,MxCurr,0),MATCH($H1246,MxStart,0)))))))</f>
        <v/>
      </c>
      <c r="L1246" s="62" t="str">
        <f aca="false">IF(COUNTA($A1246,$F1246,$G1246,$H1246,$I1246,$J1246)=0,"",IF($M1246=0,"✖ كود الصف غير موجود",IF(ISNA(MATCH($F1246,Lists!$A$2:$A$5,0)),"✖ الفترة غير صحيحة",IF(ISNA(MATCH($G1246,Lists!$B$2:$B$7,0)),"✖ المجموعة غير صحيحة",IF(NOT(OR($H1246="",$N1246&gt;0)),"✖ Start غير صحيح",IF(NOT(OR($I1246="",$I1246="NR",$O1246&gt;0)),"✖ Current غير صحيح",IF(NOT(IF(ISNUMBER($J1246),AND($J1246&gt;=0,$J1246=INT($J1246)),FALSE())),"✖ العدد يجب أن يكون صحيحًا ≥ 0",IF(AND($F1246="Baseline",$H1246&lt;&gt;""),"⚠ Baseline: Start لا يدخل في التقدم",IF($K1246="No Start (attainment only)","ℹ تحصيل فقط (بدون Start)",IF($K1246="U – needs rule","ℹ حالة U تحتاج قاعدة معتمدة",IF($K1246="No result","ℹ بدون نتيجة (يُستبعد من التحصيل)","OK")))))))))))</f>
        <v/>
      </c>
      <c r="M1246" s="64" t="n">
        <f aca="false">IF($A1246="",0,IFERROR(MATCH($A1246,Classes!$A$6:$A$420,0),0))</f>
        <v>0</v>
      </c>
      <c r="N1246" s="64" t="n">
        <f aca="false">IF($H1246="",0,IFERROR(MATCH($H1246,GradeList,0),0))</f>
        <v>0</v>
      </c>
      <c r="O1246" s="64" t="n">
        <f aca="false">IF(OR($I1246="",$I1246="NR"),0,IFERROR(MATCH($I1246,GradeList,0),0))</f>
        <v>0</v>
      </c>
      <c r="P1246" s="64" t="n">
        <f aca="false">IF(AND($M1246&gt;0,ISNUMBER(MATCH($F1246,Lists!$A$2:$A$5,0)),ISNUMBER(MATCH($G1246,Lists!$B$2:$B$7,0)),OR($H1246="",$N1246&gt;0),OR($I1246="",$I1246="NR",$O1246&gt;0),IF(ISNUMBER($J1246),AND($J1246&gt;=0,$J1246=INT($J1246)),FALSE())),$J1246,0)</f>
        <v>0</v>
      </c>
      <c r="Q1246" s="64" t="n">
        <f aca="false">IF(AND($P1246&gt;0,$O1246&gt;0),$P1246,0)</f>
        <v>0</v>
      </c>
      <c r="R1246" s="64" t="n">
        <f aca="false">IF(AND($Q1246&gt;0,$O1246&gt;=AtRank),$Q1246,0)</f>
        <v>0</v>
      </c>
      <c r="S1246" s="64" t="n">
        <f aca="false">IF(AND($Q1246&gt;0,$O1246&gt;=AboveRank),$Q1246,0)</f>
        <v>0</v>
      </c>
      <c r="T1246" s="64" t="n">
        <f aca="false">IF($K1246="Less",$P1246,0)</f>
        <v>0</v>
      </c>
      <c r="U1246" s="64" t="n">
        <f aca="false">IF($K1246="Expected",$P1246,0)</f>
        <v>0</v>
      </c>
      <c r="V1246" s="64" t="n">
        <f aca="false">IF($K1246="Better",$P1246,0)</f>
        <v>0</v>
      </c>
      <c r="W1246" s="64" t="n">
        <f aca="false">IF($K1246="U – needs rule",$P1246,0)</f>
        <v>0</v>
      </c>
      <c r="X1246" s="64" t="n">
        <f aca="false">IF($K1246="No Start (attainment only)",$P1246,0)</f>
        <v>0</v>
      </c>
    </row>
    <row r="1247" customFormat="false" ht="15" hidden="false" customHeight="false" outlineLevel="0" collapsed="false">
      <c r="A1247" s="60"/>
      <c r="B1247" s="61" t="str">
        <f aca="false">IF($M1247=0,"",INDEX(Classes!$E$6:$E$420,$M1247))</f>
        <v/>
      </c>
      <c r="C1247" s="62" t="str">
        <f aca="false">IF($M1247=0,"",INDEX(Classes!$H$6:$H$420,$M1247))</f>
        <v/>
      </c>
      <c r="D1247" s="61" t="str">
        <f aca="false">IF($M1247=0,"",INDEX(Classes!$B$6:$B$420,$M1247))</f>
        <v/>
      </c>
      <c r="E1247" s="61" t="str">
        <f aca="false">IF($M1247=0,"",INDEX(Classes!$C$6:$C$420,$M1247))</f>
        <v/>
      </c>
      <c r="F1247" s="63"/>
      <c r="G1247" s="63"/>
      <c r="H1247" s="60"/>
      <c r="I1247" s="60"/>
      <c r="J1247" s="63"/>
      <c r="K1247" s="61" t="str">
        <f aca="false">IF($P1247=0,"",IF($F1247="Baseline","— Baseline",IF($O1247=0,"No result",IF($N1247=0,"No Start (attainment only)",IF(OR($N1247=1,$O1247=1),"U – needs rule",INDEX(MxBody,MATCH($I1247,MxCurr,0),MATCH($H1247,MxStart,0)))))))</f>
        <v/>
      </c>
      <c r="L1247" s="62" t="str">
        <f aca="false">IF(COUNTA($A1247,$F1247,$G1247,$H1247,$I1247,$J1247)=0,"",IF($M1247=0,"✖ كود الصف غير موجود",IF(ISNA(MATCH($F1247,Lists!$A$2:$A$5,0)),"✖ الفترة غير صحيحة",IF(ISNA(MATCH($G1247,Lists!$B$2:$B$7,0)),"✖ المجموعة غير صحيحة",IF(NOT(OR($H1247="",$N1247&gt;0)),"✖ Start غير صحيح",IF(NOT(OR($I1247="",$I1247="NR",$O1247&gt;0)),"✖ Current غير صحيح",IF(NOT(IF(ISNUMBER($J1247),AND($J1247&gt;=0,$J1247=INT($J1247)),FALSE())),"✖ العدد يجب أن يكون صحيحًا ≥ 0",IF(AND($F1247="Baseline",$H1247&lt;&gt;""),"⚠ Baseline: Start لا يدخل في التقدم",IF($K1247="No Start (attainment only)","ℹ تحصيل فقط (بدون Start)",IF($K1247="U – needs rule","ℹ حالة U تحتاج قاعدة معتمدة",IF($K1247="No result","ℹ بدون نتيجة (يُستبعد من التحصيل)","OK")))))))))))</f>
        <v/>
      </c>
      <c r="M1247" s="64" t="n">
        <f aca="false">IF($A1247="",0,IFERROR(MATCH($A1247,Classes!$A$6:$A$420,0),0))</f>
        <v>0</v>
      </c>
      <c r="N1247" s="64" t="n">
        <f aca="false">IF($H1247="",0,IFERROR(MATCH($H1247,GradeList,0),0))</f>
        <v>0</v>
      </c>
      <c r="O1247" s="64" t="n">
        <f aca="false">IF(OR($I1247="",$I1247="NR"),0,IFERROR(MATCH($I1247,GradeList,0),0))</f>
        <v>0</v>
      </c>
      <c r="P1247" s="64" t="n">
        <f aca="false">IF(AND($M1247&gt;0,ISNUMBER(MATCH($F1247,Lists!$A$2:$A$5,0)),ISNUMBER(MATCH($G1247,Lists!$B$2:$B$7,0)),OR($H1247="",$N1247&gt;0),OR($I1247="",$I1247="NR",$O1247&gt;0),IF(ISNUMBER($J1247),AND($J1247&gt;=0,$J1247=INT($J1247)),FALSE())),$J1247,0)</f>
        <v>0</v>
      </c>
      <c r="Q1247" s="64" t="n">
        <f aca="false">IF(AND($P1247&gt;0,$O1247&gt;0),$P1247,0)</f>
        <v>0</v>
      </c>
      <c r="R1247" s="64" t="n">
        <f aca="false">IF(AND($Q1247&gt;0,$O1247&gt;=AtRank),$Q1247,0)</f>
        <v>0</v>
      </c>
      <c r="S1247" s="64" t="n">
        <f aca="false">IF(AND($Q1247&gt;0,$O1247&gt;=AboveRank),$Q1247,0)</f>
        <v>0</v>
      </c>
      <c r="T1247" s="64" t="n">
        <f aca="false">IF($K1247="Less",$P1247,0)</f>
        <v>0</v>
      </c>
      <c r="U1247" s="64" t="n">
        <f aca="false">IF($K1247="Expected",$P1247,0)</f>
        <v>0</v>
      </c>
      <c r="V1247" s="64" t="n">
        <f aca="false">IF($K1247="Better",$P1247,0)</f>
        <v>0</v>
      </c>
      <c r="W1247" s="64" t="n">
        <f aca="false">IF($K1247="U – needs rule",$P1247,0)</f>
        <v>0</v>
      </c>
      <c r="X1247" s="64" t="n">
        <f aca="false">IF($K1247="No Start (attainment only)",$P1247,0)</f>
        <v>0</v>
      </c>
    </row>
    <row r="1248" customFormat="false" ht="15" hidden="false" customHeight="false" outlineLevel="0" collapsed="false">
      <c r="A1248" s="60"/>
      <c r="B1248" s="61" t="str">
        <f aca="false">IF($M1248=0,"",INDEX(Classes!$E$6:$E$420,$M1248))</f>
        <v/>
      </c>
      <c r="C1248" s="62" t="str">
        <f aca="false">IF($M1248=0,"",INDEX(Classes!$H$6:$H$420,$M1248))</f>
        <v/>
      </c>
      <c r="D1248" s="61" t="str">
        <f aca="false">IF($M1248=0,"",INDEX(Classes!$B$6:$B$420,$M1248))</f>
        <v/>
      </c>
      <c r="E1248" s="61" t="str">
        <f aca="false">IF($M1248=0,"",INDEX(Classes!$C$6:$C$420,$M1248))</f>
        <v/>
      </c>
      <c r="F1248" s="63"/>
      <c r="G1248" s="63"/>
      <c r="H1248" s="60"/>
      <c r="I1248" s="60"/>
      <c r="J1248" s="63"/>
      <c r="K1248" s="61" t="str">
        <f aca="false">IF($P1248=0,"",IF($F1248="Baseline","— Baseline",IF($O1248=0,"No result",IF($N1248=0,"No Start (attainment only)",IF(OR($N1248=1,$O1248=1),"U – needs rule",INDEX(MxBody,MATCH($I1248,MxCurr,0),MATCH($H1248,MxStart,0)))))))</f>
        <v/>
      </c>
      <c r="L1248" s="62" t="str">
        <f aca="false">IF(COUNTA($A1248,$F1248,$G1248,$H1248,$I1248,$J1248)=0,"",IF($M1248=0,"✖ كود الصف غير موجود",IF(ISNA(MATCH($F1248,Lists!$A$2:$A$5,0)),"✖ الفترة غير صحيحة",IF(ISNA(MATCH($G1248,Lists!$B$2:$B$7,0)),"✖ المجموعة غير صحيحة",IF(NOT(OR($H1248="",$N1248&gt;0)),"✖ Start غير صحيح",IF(NOT(OR($I1248="",$I1248="NR",$O1248&gt;0)),"✖ Current غير صحيح",IF(NOT(IF(ISNUMBER($J1248),AND($J1248&gt;=0,$J1248=INT($J1248)),FALSE())),"✖ العدد يجب أن يكون صحيحًا ≥ 0",IF(AND($F1248="Baseline",$H1248&lt;&gt;""),"⚠ Baseline: Start لا يدخل في التقدم",IF($K1248="No Start (attainment only)","ℹ تحصيل فقط (بدون Start)",IF($K1248="U – needs rule","ℹ حالة U تحتاج قاعدة معتمدة",IF($K1248="No result","ℹ بدون نتيجة (يُستبعد من التحصيل)","OK")))))))))))</f>
        <v/>
      </c>
      <c r="M1248" s="64" t="n">
        <f aca="false">IF($A1248="",0,IFERROR(MATCH($A1248,Classes!$A$6:$A$420,0),0))</f>
        <v>0</v>
      </c>
      <c r="N1248" s="64" t="n">
        <f aca="false">IF($H1248="",0,IFERROR(MATCH($H1248,GradeList,0),0))</f>
        <v>0</v>
      </c>
      <c r="O1248" s="64" t="n">
        <f aca="false">IF(OR($I1248="",$I1248="NR"),0,IFERROR(MATCH($I1248,GradeList,0),0))</f>
        <v>0</v>
      </c>
      <c r="P1248" s="64" t="n">
        <f aca="false">IF(AND($M1248&gt;0,ISNUMBER(MATCH($F1248,Lists!$A$2:$A$5,0)),ISNUMBER(MATCH($G1248,Lists!$B$2:$B$7,0)),OR($H1248="",$N1248&gt;0),OR($I1248="",$I1248="NR",$O1248&gt;0),IF(ISNUMBER($J1248),AND($J1248&gt;=0,$J1248=INT($J1248)),FALSE())),$J1248,0)</f>
        <v>0</v>
      </c>
      <c r="Q1248" s="64" t="n">
        <f aca="false">IF(AND($P1248&gt;0,$O1248&gt;0),$P1248,0)</f>
        <v>0</v>
      </c>
      <c r="R1248" s="64" t="n">
        <f aca="false">IF(AND($Q1248&gt;0,$O1248&gt;=AtRank),$Q1248,0)</f>
        <v>0</v>
      </c>
      <c r="S1248" s="64" t="n">
        <f aca="false">IF(AND($Q1248&gt;0,$O1248&gt;=AboveRank),$Q1248,0)</f>
        <v>0</v>
      </c>
      <c r="T1248" s="64" t="n">
        <f aca="false">IF($K1248="Less",$P1248,0)</f>
        <v>0</v>
      </c>
      <c r="U1248" s="64" t="n">
        <f aca="false">IF($K1248="Expected",$P1248,0)</f>
        <v>0</v>
      </c>
      <c r="V1248" s="64" t="n">
        <f aca="false">IF($K1248="Better",$P1248,0)</f>
        <v>0</v>
      </c>
      <c r="W1248" s="64" t="n">
        <f aca="false">IF($K1248="U – needs rule",$P1248,0)</f>
        <v>0</v>
      </c>
      <c r="X1248" s="64" t="n">
        <f aca="false">IF($K1248="No Start (attainment only)",$P1248,0)</f>
        <v>0</v>
      </c>
    </row>
    <row r="1249" customFormat="false" ht="15" hidden="false" customHeight="false" outlineLevel="0" collapsed="false">
      <c r="A1249" s="60"/>
      <c r="B1249" s="61" t="str">
        <f aca="false">IF($M1249=0,"",INDEX(Classes!$E$6:$E$420,$M1249))</f>
        <v/>
      </c>
      <c r="C1249" s="62" t="str">
        <f aca="false">IF($M1249=0,"",INDEX(Classes!$H$6:$H$420,$M1249))</f>
        <v/>
      </c>
      <c r="D1249" s="61" t="str">
        <f aca="false">IF($M1249=0,"",INDEX(Classes!$B$6:$B$420,$M1249))</f>
        <v/>
      </c>
      <c r="E1249" s="61" t="str">
        <f aca="false">IF($M1249=0,"",INDEX(Classes!$C$6:$C$420,$M1249))</f>
        <v/>
      </c>
      <c r="F1249" s="63"/>
      <c r="G1249" s="63"/>
      <c r="H1249" s="60"/>
      <c r="I1249" s="60"/>
      <c r="J1249" s="63"/>
      <c r="K1249" s="61" t="str">
        <f aca="false">IF($P1249=0,"",IF($F1249="Baseline","— Baseline",IF($O1249=0,"No result",IF($N1249=0,"No Start (attainment only)",IF(OR($N1249=1,$O1249=1),"U – needs rule",INDEX(MxBody,MATCH($I1249,MxCurr,0),MATCH($H1249,MxStart,0)))))))</f>
        <v/>
      </c>
      <c r="L1249" s="62" t="str">
        <f aca="false">IF(COUNTA($A1249,$F1249,$G1249,$H1249,$I1249,$J1249)=0,"",IF($M1249=0,"✖ كود الصف غير موجود",IF(ISNA(MATCH($F1249,Lists!$A$2:$A$5,0)),"✖ الفترة غير صحيحة",IF(ISNA(MATCH($G1249,Lists!$B$2:$B$7,0)),"✖ المجموعة غير صحيحة",IF(NOT(OR($H1249="",$N1249&gt;0)),"✖ Start غير صحيح",IF(NOT(OR($I1249="",$I1249="NR",$O1249&gt;0)),"✖ Current غير صحيح",IF(NOT(IF(ISNUMBER($J1249),AND($J1249&gt;=0,$J1249=INT($J1249)),FALSE())),"✖ العدد يجب أن يكون صحيحًا ≥ 0",IF(AND($F1249="Baseline",$H1249&lt;&gt;""),"⚠ Baseline: Start لا يدخل في التقدم",IF($K1249="No Start (attainment only)","ℹ تحصيل فقط (بدون Start)",IF($K1249="U – needs rule","ℹ حالة U تحتاج قاعدة معتمدة",IF($K1249="No result","ℹ بدون نتيجة (يُستبعد من التحصيل)","OK")))))))))))</f>
        <v/>
      </c>
      <c r="M1249" s="64" t="n">
        <f aca="false">IF($A1249="",0,IFERROR(MATCH($A1249,Classes!$A$6:$A$420,0),0))</f>
        <v>0</v>
      </c>
      <c r="N1249" s="64" t="n">
        <f aca="false">IF($H1249="",0,IFERROR(MATCH($H1249,GradeList,0),0))</f>
        <v>0</v>
      </c>
      <c r="O1249" s="64" t="n">
        <f aca="false">IF(OR($I1249="",$I1249="NR"),0,IFERROR(MATCH($I1249,GradeList,0),0))</f>
        <v>0</v>
      </c>
      <c r="P1249" s="64" t="n">
        <f aca="false">IF(AND($M1249&gt;0,ISNUMBER(MATCH($F1249,Lists!$A$2:$A$5,0)),ISNUMBER(MATCH($G1249,Lists!$B$2:$B$7,0)),OR($H1249="",$N1249&gt;0),OR($I1249="",$I1249="NR",$O1249&gt;0),IF(ISNUMBER($J1249),AND($J1249&gt;=0,$J1249=INT($J1249)),FALSE())),$J1249,0)</f>
        <v>0</v>
      </c>
      <c r="Q1249" s="64" t="n">
        <f aca="false">IF(AND($P1249&gt;0,$O1249&gt;0),$P1249,0)</f>
        <v>0</v>
      </c>
      <c r="R1249" s="64" t="n">
        <f aca="false">IF(AND($Q1249&gt;0,$O1249&gt;=AtRank),$Q1249,0)</f>
        <v>0</v>
      </c>
      <c r="S1249" s="64" t="n">
        <f aca="false">IF(AND($Q1249&gt;0,$O1249&gt;=AboveRank),$Q1249,0)</f>
        <v>0</v>
      </c>
      <c r="T1249" s="64" t="n">
        <f aca="false">IF($K1249="Less",$P1249,0)</f>
        <v>0</v>
      </c>
      <c r="U1249" s="64" t="n">
        <f aca="false">IF($K1249="Expected",$P1249,0)</f>
        <v>0</v>
      </c>
      <c r="V1249" s="64" t="n">
        <f aca="false">IF($K1249="Better",$P1249,0)</f>
        <v>0</v>
      </c>
      <c r="W1249" s="64" t="n">
        <f aca="false">IF($K1249="U – needs rule",$P1249,0)</f>
        <v>0</v>
      </c>
      <c r="X1249" s="64" t="n">
        <f aca="false">IF($K1249="No Start (attainment only)",$P1249,0)</f>
        <v>0</v>
      </c>
    </row>
    <row r="1250" customFormat="false" ht="15" hidden="false" customHeight="false" outlineLevel="0" collapsed="false">
      <c r="A1250" s="60"/>
      <c r="B1250" s="61" t="str">
        <f aca="false">IF($M1250=0,"",INDEX(Classes!$E$6:$E$420,$M1250))</f>
        <v/>
      </c>
      <c r="C1250" s="62" t="str">
        <f aca="false">IF($M1250=0,"",INDEX(Classes!$H$6:$H$420,$M1250))</f>
        <v/>
      </c>
      <c r="D1250" s="61" t="str">
        <f aca="false">IF($M1250=0,"",INDEX(Classes!$B$6:$B$420,$M1250))</f>
        <v/>
      </c>
      <c r="E1250" s="61" t="str">
        <f aca="false">IF($M1250=0,"",INDEX(Classes!$C$6:$C$420,$M1250))</f>
        <v/>
      </c>
      <c r="F1250" s="63"/>
      <c r="G1250" s="63"/>
      <c r="H1250" s="60"/>
      <c r="I1250" s="60"/>
      <c r="J1250" s="63"/>
      <c r="K1250" s="61" t="str">
        <f aca="false">IF($P1250=0,"",IF($F1250="Baseline","— Baseline",IF($O1250=0,"No result",IF($N1250=0,"No Start (attainment only)",IF(OR($N1250=1,$O1250=1),"U – needs rule",INDEX(MxBody,MATCH($I1250,MxCurr,0),MATCH($H1250,MxStart,0)))))))</f>
        <v/>
      </c>
      <c r="L1250" s="62" t="str">
        <f aca="false">IF(COUNTA($A1250,$F1250,$G1250,$H1250,$I1250,$J1250)=0,"",IF($M1250=0,"✖ كود الصف غير موجود",IF(ISNA(MATCH($F1250,Lists!$A$2:$A$5,0)),"✖ الفترة غير صحيحة",IF(ISNA(MATCH($G1250,Lists!$B$2:$B$7,0)),"✖ المجموعة غير صحيحة",IF(NOT(OR($H1250="",$N1250&gt;0)),"✖ Start غير صحيح",IF(NOT(OR($I1250="",$I1250="NR",$O1250&gt;0)),"✖ Current غير صحيح",IF(NOT(IF(ISNUMBER($J1250),AND($J1250&gt;=0,$J1250=INT($J1250)),FALSE())),"✖ العدد يجب أن يكون صحيحًا ≥ 0",IF(AND($F1250="Baseline",$H1250&lt;&gt;""),"⚠ Baseline: Start لا يدخل في التقدم",IF($K1250="No Start (attainment only)","ℹ تحصيل فقط (بدون Start)",IF($K1250="U – needs rule","ℹ حالة U تحتاج قاعدة معتمدة",IF($K1250="No result","ℹ بدون نتيجة (يُستبعد من التحصيل)","OK")))))))))))</f>
        <v/>
      </c>
      <c r="M1250" s="64" t="n">
        <f aca="false">IF($A1250="",0,IFERROR(MATCH($A1250,Classes!$A$6:$A$420,0),0))</f>
        <v>0</v>
      </c>
      <c r="N1250" s="64" t="n">
        <f aca="false">IF($H1250="",0,IFERROR(MATCH($H1250,GradeList,0),0))</f>
        <v>0</v>
      </c>
      <c r="O1250" s="64" t="n">
        <f aca="false">IF(OR($I1250="",$I1250="NR"),0,IFERROR(MATCH($I1250,GradeList,0),0))</f>
        <v>0</v>
      </c>
      <c r="P1250" s="64" t="n">
        <f aca="false">IF(AND($M1250&gt;0,ISNUMBER(MATCH($F1250,Lists!$A$2:$A$5,0)),ISNUMBER(MATCH($G1250,Lists!$B$2:$B$7,0)),OR($H1250="",$N1250&gt;0),OR($I1250="",$I1250="NR",$O1250&gt;0),IF(ISNUMBER($J1250),AND($J1250&gt;=0,$J1250=INT($J1250)),FALSE())),$J1250,0)</f>
        <v>0</v>
      </c>
      <c r="Q1250" s="64" t="n">
        <f aca="false">IF(AND($P1250&gt;0,$O1250&gt;0),$P1250,0)</f>
        <v>0</v>
      </c>
      <c r="R1250" s="64" t="n">
        <f aca="false">IF(AND($Q1250&gt;0,$O1250&gt;=AtRank),$Q1250,0)</f>
        <v>0</v>
      </c>
      <c r="S1250" s="64" t="n">
        <f aca="false">IF(AND($Q1250&gt;0,$O1250&gt;=AboveRank),$Q1250,0)</f>
        <v>0</v>
      </c>
      <c r="T1250" s="64" t="n">
        <f aca="false">IF($K1250="Less",$P1250,0)</f>
        <v>0</v>
      </c>
      <c r="U1250" s="64" t="n">
        <f aca="false">IF($K1250="Expected",$P1250,0)</f>
        <v>0</v>
      </c>
      <c r="V1250" s="64" t="n">
        <f aca="false">IF($K1250="Better",$P1250,0)</f>
        <v>0</v>
      </c>
      <c r="W1250" s="64" t="n">
        <f aca="false">IF($K1250="U – needs rule",$P1250,0)</f>
        <v>0</v>
      </c>
      <c r="X1250" s="64" t="n">
        <f aca="false">IF($K1250="No Start (attainment only)",$P1250,0)</f>
        <v>0</v>
      </c>
    </row>
    <row r="1251" customFormat="false" ht="15" hidden="false" customHeight="false" outlineLevel="0" collapsed="false">
      <c r="A1251" s="60"/>
      <c r="B1251" s="61" t="str">
        <f aca="false">IF($M1251=0,"",INDEX(Classes!$E$6:$E$420,$M1251))</f>
        <v/>
      </c>
      <c r="C1251" s="62" t="str">
        <f aca="false">IF($M1251=0,"",INDEX(Classes!$H$6:$H$420,$M1251))</f>
        <v/>
      </c>
      <c r="D1251" s="61" t="str">
        <f aca="false">IF($M1251=0,"",INDEX(Classes!$B$6:$B$420,$M1251))</f>
        <v/>
      </c>
      <c r="E1251" s="61" t="str">
        <f aca="false">IF($M1251=0,"",INDEX(Classes!$C$6:$C$420,$M1251))</f>
        <v/>
      </c>
      <c r="F1251" s="63"/>
      <c r="G1251" s="63"/>
      <c r="H1251" s="60"/>
      <c r="I1251" s="60"/>
      <c r="J1251" s="63"/>
      <c r="K1251" s="61" t="str">
        <f aca="false">IF($P1251=0,"",IF($F1251="Baseline","— Baseline",IF($O1251=0,"No result",IF($N1251=0,"No Start (attainment only)",IF(OR($N1251=1,$O1251=1),"U – needs rule",INDEX(MxBody,MATCH($I1251,MxCurr,0),MATCH($H1251,MxStart,0)))))))</f>
        <v/>
      </c>
      <c r="L1251" s="62" t="str">
        <f aca="false">IF(COUNTA($A1251,$F1251,$G1251,$H1251,$I1251,$J1251)=0,"",IF($M1251=0,"✖ كود الصف غير موجود",IF(ISNA(MATCH($F1251,Lists!$A$2:$A$5,0)),"✖ الفترة غير صحيحة",IF(ISNA(MATCH($G1251,Lists!$B$2:$B$7,0)),"✖ المجموعة غير صحيحة",IF(NOT(OR($H1251="",$N1251&gt;0)),"✖ Start غير صحيح",IF(NOT(OR($I1251="",$I1251="NR",$O1251&gt;0)),"✖ Current غير صحيح",IF(NOT(IF(ISNUMBER($J1251),AND($J1251&gt;=0,$J1251=INT($J1251)),FALSE())),"✖ العدد يجب أن يكون صحيحًا ≥ 0",IF(AND($F1251="Baseline",$H1251&lt;&gt;""),"⚠ Baseline: Start لا يدخل في التقدم",IF($K1251="No Start (attainment only)","ℹ تحصيل فقط (بدون Start)",IF($K1251="U – needs rule","ℹ حالة U تحتاج قاعدة معتمدة",IF($K1251="No result","ℹ بدون نتيجة (يُستبعد من التحصيل)","OK")))))))))))</f>
        <v/>
      </c>
      <c r="M1251" s="64" t="n">
        <f aca="false">IF($A1251="",0,IFERROR(MATCH($A1251,Classes!$A$6:$A$420,0),0))</f>
        <v>0</v>
      </c>
      <c r="N1251" s="64" t="n">
        <f aca="false">IF($H1251="",0,IFERROR(MATCH($H1251,GradeList,0),0))</f>
        <v>0</v>
      </c>
      <c r="O1251" s="64" t="n">
        <f aca="false">IF(OR($I1251="",$I1251="NR"),0,IFERROR(MATCH($I1251,GradeList,0),0))</f>
        <v>0</v>
      </c>
      <c r="P1251" s="64" t="n">
        <f aca="false">IF(AND($M1251&gt;0,ISNUMBER(MATCH($F1251,Lists!$A$2:$A$5,0)),ISNUMBER(MATCH($G1251,Lists!$B$2:$B$7,0)),OR($H1251="",$N1251&gt;0),OR($I1251="",$I1251="NR",$O1251&gt;0),IF(ISNUMBER($J1251),AND($J1251&gt;=0,$J1251=INT($J1251)),FALSE())),$J1251,0)</f>
        <v>0</v>
      </c>
      <c r="Q1251" s="64" t="n">
        <f aca="false">IF(AND($P1251&gt;0,$O1251&gt;0),$P1251,0)</f>
        <v>0</v>
      </c>
      <c r="R1251" s="64" t="n">
        <f aca="false">IF(AND($Q1251&gt;0,$O1251&gt;=AtRank),$Q1251,0)</f>
        <v>0</v>
      </c>
      <c r="S1251" s="64" t="n">
        <f aca="false">IF(AND($Q1251&gt;0,$O1251&gt;=AboveRank),$Q1251,0)</f>
        <v>0</v>
      </c>
      <c r="T1251" s="64" t="n">
        <f aca="false">IF($K1251="Less",$P1251,0)</f>
        <v>0</v>
      </c>
      <c r="U1251" s="64" t="n">
        <f aca="false">IF($K1251="Expected",$P1251,0)</f>
        <v>0</v>
      </c>
      <c r="V1251" s="64" t="n">
        <f aca="false">IF($K1251="Better",$P1251,0)</f>
        <v>0</v>
      </c>
      <c r="W1251" s="64" t="n">
        <f aca="false">IF($K1251="U – needs rule",$P1251,0)</f>
        <v>0</v>
      </c>
      <c r="X1251" s="64" t="n">
        <f aca="false">IF($K1251="No Start (attainment only)",$P1251,0)</f>
        <v>0</v>
      </c>
    </row>
    <row r="1252" customFormat="false" ht="15" hidden="false" customHeight="false" outlineLevel="0" collapsed="false">
      <c r="A1252" s="60"/>
      <c r="B1252" s="61" t="str">
        <f aca="false">IF($M1252=0,"",INDEX(Classes!$E$6:$E$420,$M1252))</f>
        <v/>
      </c>
      <c r="C1252" s="62" t="str">
        <f aca="false">IF($M1252=0,"",INDEX(Classes!$H$6:$H$420,$M1252))</f>
        <v/>
      </c>
      <c r="D1252" s="61" t="str">
        <f aca="false">IF($M1252=0,"",INDEX(Classes!$B$6:$B$420,$M1252))</f>
        <v/>
      </c>
      <c r="E1252" s="61" t="str">
        <f aca="false">IF($M1252=0,"",INDEX(Classes!$C$6:$C$420,$M1252))</f>
        <v/>
      </c>
      <c r="F1252" s="63"/>
      <c r="G1252" s="63"/>
      <c r="H1252" s="60"/>
      <c r="I1252" s="60"/>
      <c r="J1252" s="63"/>
      <c r="K1252" s="61" t="str">
        <f aca="false">IF($P1252=0,"",IF($F1252="Baseline","— Baseline",IF($O1252=0,"No result",IF($N1252=0,"No Start (attainment only)",IF(OR($N1252=1,$O1252=1),"U – needs rule",INDEX(MxBody,MATCH($I1252,MxCurr,0),MATCH($H1252,MxStart,0)))))))</f>
        <v/>
      </c>
      <c r="L1252" s="62" t="str">
        <f aca="false">IF(COUNTA($A1252,$F1252,$G1252,$H1252,$I1252,$J1252)=0,"",IF($M1252=0,"✖ كود الصف غير موجود",IF(ISNA(MATCH($F1252,Lists!$A$2:$A$5,0)),"✖ الفترة غير صحيحة",IF(ISNA(MATCH($G1252,Lists!$B$2:$B$7,0)),"✖ المجموعة غير صحيحة",IF(NOT(OR($H1252="",$N1252&gt;0)),"✖ Start غير صحيح",IF(NOT(OR($I1252="",$I1252="NR",$O1252&gt;0)),"✖ Current غير صحيح",IF(NOT(IF(ISNUMBER($J1252),AND($J1252&gt;=0,$J1252=INT($J1252)),FALSE())),"✖ العدد يجب أن يكون صحيحًا ≥ 0",IF(AND($F1252="Baseline",$H1252&lt;&gt;""),"⚠ Baseline: Start لا يدخل في التقدم",IF($K1252="No Start (attainment only)","ℹ تحصيل فقط (بدون Start)",IF($K1252="U – needs rule","ℹ حالة U تحتاج قاعدة معتمدة",IF($K1252="No result","ℹ بدون نتيجة (يُستبعد من التحصيل)","OK")))))))))))</f>
        <v/>
      </c>
      <c r="M1252" s="64" t="n">
        <f aca="false">IF($A1252="",0,IFERROR(MATCH($A1252,Classes!$A$6:$A$420,0),0))</f>
        <v>0</v>
      </c>
      <c r="N1252" s="64" t="n">
        <f aca="false">IF($H1252="",0,IFERROR(MATCH($H1252,GradeList,0),0))</f>
        <v>0</v>
      </c>
      <c r="O1252" s="64" t="n">
        <f aca="false">IF(OR($I1252="",$I1252="NR"),0,IFERROR(MATCH($I1252,GradeList,0),0))</f>
        <v>0</v>
      </c>
      <c r="P1252" s="64" t="n">
        <f aca="false">IF(AND($M1252&gt;0,ISNUMBER(MATCH($F1252,Lists!$A$2:$A$5,0)),ISNUMBER(MATCH($G1252,Lists!$B$2:$B$7,0)),OR($H1252="",$N1252&gt;0),OR($I1252="",$I1252="NR",$O1252&gt;0),IF(ISNUMBER($J1252),AND($J1252&gt;=0,$J1252=INT($J1252)),FALSE())),$J1252,0)</f>
        <v>0</v>
      </c>
      <c r="Q1252" s="64" t="n">
        <f aca="false">IF(AND($P1252&gt;0,$O1252&gt;0),$P1252,0)</f>
        <v>0</v>
      </c>
      <c r="R1252" s="64" t="n">
        <f aca="false">IF(AND($Q1252&gt;0,$O1252&gt;=AtRank),$Q1252,0)</f>
        <v>0</v>
      </c>
      <c r="S1252" s="64" t="n">
        <f aca="false">IF(AND($Q1252&gt;0,$O1252&gt;=AboveRank),$Q1252,0)</f>
        <v>0</v>
      </c>
      <c r="T1252" s="64" t="n">
        <f aca="false">IF($K1252="Less",$P1252,0)</f>
        <v>0</v>
      </c>
      <c r="U1252" s="64" t="n">
        <f aca="false">IF($K1252="Expected",$P1252,0)</f>
        <v>0</v>
      </c>
      <c r="V1252" s="64" t="n">
        <f aca="false">IF($K1252="Better",$P1252,0)</f>
        <v>0</v>
      </c>
      <c r="W1252" s="64" t="n">
        <f aca="false">IF($K1252="U – needs rule",$P1252,0)</f>
        <v>0</v>
      </c>
      <c r="X1252" s="64" t="n">
        <f aca="false">IF($K1252="No Start (attainment only)",$P1252,0)</f>
        <v>0</v>
      </c>
    </row>
    <row r="1253" customFormat="false" ht="15" hidden="false" customHeight="false" outlineLevel="0" collapsed="false">
      <c r="A1253" s="60"/>
      <c r="B1253" s="61" t="str">
        <f aca="false">IF($M1253=0,"",INDEX(Classes!$E$6:$E$420,$M1253))</f>
        <v/>
      </c>
      <c r="C1253" s="62" t="str">
        <f aca="false">IF($M1253=0,"",INDEX(Classes!$H$6:$H$420,$M1253))</f>
        <v/>
      </c>
      <c r="D1253" s="61" t="str">
        <f aca="false">IF($M1253=0,"",INDEX(Classes!$B$6:$B$420,$M1253))</f>
        <v/>
      </c>
      <c r="E1253" s="61" t="str">
        <f aca="false">IF($M1253=0,"",INDEX(Classes!$C$6:$C$420,$M1253))</f>
        <v/>
      </c>
      <c r="F1253" s="63"/>
      <c r="G1253" s="63"/>
      <c r="H1253" s="60"/>
      <c r="I1253" s="60"/>
      <c r="J1253" s="63"/>
      <c r="K1253" s="61" t="str">
        <f aca="false">IF($P1253=0,"",IF($F1253="Baseline","— Baseline",IF($O1253=0,"No result",IF($N1253=0,"No Start (attainment only)",IF(OR($N1253=1,$O1253=1),"U – needs rule",INDEX(MxBody,MATCH($I1253,MxCurr,0),MATCH($H1253,MxStart,0)))))))</f>
        <v/>
      </c>
      <c r="L1253" s="62" t="str">
        <f aca="false">IF(COUNTA($A1253,$F1253,$G1253,$H1253,$I1253,$J1253)=0,"",IF($M1253=0,"✖ كود الصف غير موجود",IF(ISNA(MATCH($F1253,Lists!$A$2:$A$5,0)),"✖ الفترة غير صحيحة",IF(ISNA(MATCH($G1253,Lists!$B$2:$B$7,0)),"✖ المجموعة غير صحيحة",IF(NOT(OR($H1253="",$N1253&gt;0)),"✖ Start غير صحيح",IF(NOT(OR($I1253="",$I1253="NR",$O1253&gt;0)),"✖ Current غير صحيح",IF(NOT(IF(ISNUMBER($J1253),AND($J1253&gt;=0,$J1253=INT($J1253)),FALSE())),"✖ العدد يجب أن يكون صحيحًا ≥ 0",IF(AND($F1253="Baseline",$H1253&lt;&gt;""),"⚠ Baseline: Start لا يدخل في التقدم",IF($K1253="No Start (attainment only)","ℹ تحصيل فقط (بدون Start)",IF($K1253="U – needs rule","ℹ حالة U تحتاج قاعدة معتمدة",IF($K1253="No result","ℹ بدون نتيجة (يُستبعد من التحصيل)","OK")))))))))))</f>
        <v/>
      </c>
      <c r="M1253" s="64" t="n">
        <f aca="false">IF($A1253="",0,IFERROR(MATCH($A1253,Classes!$A$6:$A$420,0),0))</f>
        <v>0</v>
      </c>
      <c r="N1253" s="64" t="n">
        <f aca="false">IF($H1253="",0,IFERROR(MATCH($H1253,GradeList,0),0))</f>
        <v>0</v>
      </c>
      <c r="O1253" s="64" t="n">
        <f aca="false">IF(OR($I1253="",$I1253="NR"),0,IFERROR(MATCH($I1253,GradeList,0),0))</f>
        <v>0</v>
      </c>
      <c r="P1253" s="64" t="n">
        <f aca="false">IF(AND($M1253&gt;0,ISNUMBER(MATCH($F1253,Lists!$A$2:$A$5,0)),ISNUMBER(MATCH($G1253,Lists!$B$2:$B$7,0)),OR($H1253="",$N1253&gt;0),OR($I1253="",$I1253="NR",$O1253&gt;0),IF(ISNUMBER($J1253),AND($J1253&gt;=0,$J1253=INT($J1253)),FALSE())),$J1253,0)</f>
        <v>0</v>
      </c>
      <c r="Q1253" s="64" t="n">
        <f aca="false">IF(AND($P1253&gt;0,$O1253&gt;0),$P1253,0)</f>
        <v>0</v>
      </c>
      <c r="R1253" s="64" t="n">
        <f aca="false">IF(AND($Q1253&gt;0,$O1253&gt;=AtRank),$Q1253,0)</f>
        <v>0</v>
      </c>
      <c r="S1253" s="64" t="n">
        <f aca="false">IF(AND($Q1253&gt;0,$O1253&gt;=AboveRank),$Q1253,0)</f>
        <v>0</v>
      </c>
      <c r="T1253" s="64" t="n">
        <f aca="false">IF($K1253="Less",$P1253,0)</f>
        <v>0</v>
      </c>
      <c r="U1253" s="64" t="n">
        <f aca="false">IF($K1253="Expected",$P1253,0)</f>
        <v>0</v>
      </c>
      <c r="V1253" s="64" t="n">
        <f aca="false">IF($K1253="Better",$P1253,0)</f>
        <v>0</v>
      </c>
      <c r="W1253" s="64" t="n">
        <f aca="false">IF($K1253="U – needs rule",$P1253,0)</f>
        <v>0</v>
      </c>
      <c r="X1253" s="64" t="n">
        <f aca="false">IF($K1253="No Start (attainment only)",$P1253,0)</f>
        <v>0</v>
      </c>
    </row>
    <row r="1254" customFormat="false" ht="15" hidden="false" customHeight="false" outlineLevel="0" collapsed="false">
      <c r="A1254" s="60"/>
      <c r="B1254" s="61" t="str">
        <f aca="false">IF($M1254=0,"",INDEX(Classes!$E$6:$E$420,$M1254))</f>
        <v/>
      </c>
      <c r="C1254" s="62" t="str">
        <f aca="false">IF($M1254=0,"",INDEX(Classes!$H$6:$H$420,$M1254))</f>
        <v/>
      </c>
      <c r="D1254" s="61" t="str">
        <f aca="false">IF($M1254=0,"",INDEX(Classes!$B$6:$B$420,$M1254))</f>
        <v/>
      </c>
      <c r="E1254" s="61" t="str">
        <f aca="false">IF($M1254=0,"",INDEX(Classes!$C$6:$C$420,$M1254))</f>
        <v/>
      </c>
      <c r="F1254" s="63"/>
      <c r="G1254" s="63"/>
      <c r="H1254" s="60"/>
      <c r="I1254" s="60"/>
      <c r="J1254" s="63"/>
      <c r="K1254" s="61" t="str">
        <f aca="false">IF($P1254=0,"",IF($F1254="Baseline","— Baseline",IF($O1254=0,"No result",IF($N1254=0,"No Start (attainment only)",IF(OR($N1254=1,$O1254=1),"U – needs rule",INDEX(MxBody,MATCH($I1254,MxCurr,0),MATCH($H1254,MxStart,0)))))))</f>
        <v/>
      </c>
      <c r="L1254" s="62" t="str">
        <f aca="false">IF(COUNTA($A1254,$F1254,$G1254,$H1254,$I1254,$J1254)=0,"",IF($M1254=0,"✖ كود الصف غير موجود",IF(ISNA(MATCH($F1254,Lists!$A$2:$A$5,0)),"✖ الفترة غير صحيحة",IF(ISNA(MATCH($G1254,Lists!$B$2:$B$7,0)),"✖ المجموعة غير صحيحة",IF(NOT(OR($H1254="",$N1254&gt;0)),"✖ Start غير صحيح",IF(NOT(OR($I1254="",$I1254="NR",$O1254&gt;0)),"✖ Current غير صحيح",IF(NOT(IF(ISNUMBER($J1254),AND($J1254&gt;=0,$J1254=INT($J1254)),FALSE())),"✖ العدد يجب أن يكون صحيحًا ≥ 0",IF(AND($F1254="Baseline",$H1254&lt;&gt;""),"⚠ Baseline: Start لا يدخل في التقدم",IF($K1254="No Start (attainment only)","ℹ تحصيل فقط (بدون Start)",IF($K1254="U – needs rule","ℹ حالة U تحتاج قاعدة معتمدة",IF($K1254="No result","ℹ بدون نتيجة (يُستبعد من التحصيل)","OK")))))))))))</f>
        <v/>
      </c>
      <c r="M1254" s="64" t="n">
        <f aca="false">IF($A1254="",0,IFERROR(MATCH($A1254,Classes!$A$6:$A$420,0),0))</f>
        <v>0</v>
      </c>
      <c r="N1254" s="64" t="n">
        <f aca="false">IF($H1254="",0,IFERROR(MATCH($H1254,GradeList,0),0))</f>
        <v>0</v>
      </c>
      <c r="O1254" s="64" t="n">
        <f aca="false">IF(OR($I1254="",$I1254="NR"),0,IFERROR(MATCH($I1254,GradeList,0),0))</f>
        <v>0</v>
      </c>
      <c r="P1254" s="64" t="n">
        <f aca="false">IF(AND($M1254&gt;0,ISNUMBER(MATCH($F1254,Lists!$A$2:$A$5,0)),ISNUMBER(MATCH($G1254,Lists!$B$2:$B$7,0)),OR($H1254="",$N1254&gt;0),OR($I1254="",$I1254="NR",$O1254&gt;0),IF(ISNUMBER($J1254),AND($J1254&gt;=0,$J1254=INT($J1254)),FALSE())),$J1254,0)</f>
        <v>0</v>
      </c>
      <c r="Q1254" s="64" t="n">
        <f aca="false">IF(AND($P1254&gt;0,$O1254&gt;0),$P1254,0)</f>
        <v>0</v>
      </c>
      <c r="R1254" s="64" t="n">
        <f aca="false">IF(AND($Q1254&gt;0,$O1254&gt;=AtRank),$Q1254,0)</f>
        <v>0</v>
      </c>
      <c r="S1254" s="64" t="n">
        <f aca="false">IF(AND($Q1254&gt;0,$O1254&gt;=AboveRank),$Q1254,0)</f>
        <v>0</v>
      </c>
      <c r="T1254" s="64" t="n">
        <f aca="false">IF($K1254="Less",$P1254,0)</f>
        <v>0</v>
      </c>
      <c r="U1254" s="64" t="n">
        <f aca="false">IF($K1254="Expected",$P1254,0)</f>
        <v>0</v>
      </c>
      <c r="V1254" s="64" t="n">
        <f aca="false">IF($K1254="Better",$P1254,0)</f>
        <v>0</v>
      </c>
      <c r="W1254" s="64" t="n">
        <f aca="false">IF($K1254="U – needs rule",$P1254,0)</f>
        <v>0</v>
      </c>
      <c r="X1254" s="64" t="n">
        <f aca="false">IF($K1254="No Start (attainment only)",$P1254,0)</f>
        <v>0</v>
      </c>
    </row>
    <row r="1255" customFormat="false" ht="15" hidden="false" customHeight="false" outlineLevel="0" collapsed="false">
      <c r="A1255" s="60"/>
      <c r="B1255" s="61" t="str">
        <f aca="false">IF($M1255=0,"",INDEX(Classes!$E$6:$E$420,$M1255))</f>
        <v/>
      </c>
      <c r="C1255" s="62" t="str">
        <f aca="false">IF($M1255=0,"",INDEX(Classes!$H$6:$H$420,$M1255))</f>
        <v/>
      </c>
      <c r="D1255" s="61" t="str">
        <f aca="false">IF($M1255=0,"",INDEX(Classes!$B$6:$B$420,$M1255))</f>
        <v/>
      </c>
      <c r="E1255" s="61" t="str">
        <f aca="false">IF($M1255=0,"",INDEX(Classes!$C$6:$C$420,$M1255))</f>
        <v/>
      </c>
      <c r="F1255" s="63"/>
      <c r="G1255" s="63"/>
      <c r="H1255" s="60"/>
      <c r="I1255" s="60"/>
      <c r="J1255" s="63"/>
      <c r="K1255" s="61" t="str">
        <f aca="false">IF($P1255=0,"",IF($F1255="Baseline","— Baseline",IF($O1255=0,"No result",IF($N1255=0,"No Start (attainment only)",IF(OR($N1255=1,$O1255=1),"U – needs rule",INDEX(MxBody,MATCH($I1255,MxCurr,0),MATCH($H1255,MxStart,0)))))))</f>
        <v/>
      </c>
      <c r="L1255" s="62" t="str">
        <f aca="false">IF(COUNTA($A1255,$F1255,$G1255,$H1255,$I1255,$J1255)=0,"",IF($M1255=0,"✖ كود الصف غير موجود",IF(ISNA(MATCH($F1255,Lists!$A$2:$A$5,0)),"✖ الفترة غير صحيحة",IF(ISNA(MATCH($G1255,Lists!$B$2:$B$7,0)),"✖ المجموعة غير صحيحة",IF(NOT(OR($H1255="",$N1255&gt;0)),"✖ Start غير صحيح",IF(NOT(OR($I1255="",$I1255="NR",$O1255&gt;0)),"✖ Current غير صحيح",IF(NOT(IF(ISNUMBER($J1255),AND($J1255&gt;=0,$J1255=INT($J1255)),FALSE())),"✖ العدد يجب أن يكون صحيحًا ≥ 0",IF(AND($F1255="Baseline",$H1255&lt;&gt;""),"⚠ Baseline: Start لا يدخل في التقدم",IF($K1255="No Start (attainment only)","ℹ تحصيل فقط (بدون Start)",IF($K1255="U – needs rule","ℹ حالة U تحتاج قاعدة معتمدة",IF($K1255="No result","ℹ بدون نتيجة (يُستبعد من التحصيل)","OK")))))))))))</f>
        <v/>
      </c>
      <c r="M1255" s="64" t="n">
        <f aca="false">IF($A1255="",0,IFERROR(MATCH($A1255,Classes!$A$6:$A$420,0),0))</f>
        <v>0</v>
      </c>
      <c r="N1255" s="64" t="n">
        <f aca="false">IF($H1255="",0,IFERROR(MATCH($H1255,GradeList,0),0))</f>
        <v>0</v>
      </c>
      <c r="O1255" s="64" t="n">
        <f aca="false">IF(OR($I1255="",$I1255="NR"),0,IFERROR(MATCH($I1255,GradeList,0),0))</f>
        <v>0</v>
      </c>
      <c r="P1255" s="64" t="n">
        <f aca="false">IF(AND($M1255&gt;0,ISNUMBER(MATCH($F1255,Lists!$A$2:$A$5,0)),ISNUMBER(MATCH($G1255,Lists!$B$2:$B$7,0)),OR($H1255="",$N1255&gt;0),OR($I1255="",$I1255="NR",$O1255&gt;0),IF(ISNUMBER($J1255),AND($J1255&gt;=0,$J1255=INT($J1255)),FALSE())),$J1255,0)</f>
        <v>0</v>
      </c>
      <c r="Q1255" s="64" t="n">
        <f aca="false">IF(AND($P1255&gt;0,$O1255&gt;0),$P1255,0)</f>
        <v>0</v>
      </c>
      <c r="R1255" s="64" t="n">
        <f aca="false">IF(AND($Q1255&gt;0,$O1255&gt;=AtRank),$Q1255,0)</f>
        <v>0</v>
      </c>
      <c r="S1255" s="64" t="n">
        <f aca="false">IF(AND($Q1255&gt;0,$O1255&gt;=AboveRank),$Q1255,0)</f>
        <v>0</v>
      </c>
      <c r="T1255" s="64" t="n">
        <f aca="false">IF($K1255="Less",$P1255,0)</f>
        <v>0</v>
      </c>
      <c r="U1255" s="64" t="n">
        <f aca="false">IF($K1255="Expected",$P1255,0)</f>
        <v>0</v>
      </c>
      <c r="V1255" s="64" t="n">
        <f aca="false">IF($K1255="Better",$P1255,0)</f>
        <v>0</v>
      </c>
      <c r="W1255" s="64" t="n">
        <f aca="false">IF($K1255="U – needs rule",$P1255,0)</f>
        <v>0</v>
      </c>
      <c r="X1255" s="64" t="n">
        <f aca="false">IF($K1255="No Start (attainment only)",$P1255,0)</f>
        <v>0</v>
      </c>
    </row>
    <row r="1256" customFormat="false" ht="15" hidden="false" customHeight="false" outlineLevel="0" collapsed="false">
      <c r="A1256" s="60"/>
      <c r="B1256" s="61" t="str">
        <f aca="false">IF($M1256=0,"",INDEX(Classes!$E$6:$E$420,$M1256))</f>
        <v/>
      </c>
      <c r="C1256" s="62" t="str">
        <f aca="false">IF($M1256=0,"",INDEX(Classes!$H$6:$H$420,$M1256))</f>
        <v/>
      </c>
      <c r="D1256" s="61" t="str">
        <f aca="false">IF($M1256=0,"",INDEX(Classes!$B$6:$B$420,$M1256))</f>
        <v/>
      </c>
      <c r="E1256" s="61" t="str">
        <f aca="false">IF($M1256=0,"",INDEX(Classes!$C$6:$C$420,$M1256))</f>
        <v/>
      </c>
      <c r="F1256" s="63"/>
      <c r="G1256" s="63"/>
      <c r="H1256" s="60"/>
      <c r="I1256" s="60"/>
      <c r="J1256" s="63"/>
      <c r="K1256" s="61" t="str">
        <f aca="false">IF($P1256=0,"",IF($F1256="Baseline","— Baseline",IF($O1256=0,"No result",IF($N1256=0,"No Start (attainment only)",IF(OR($N1256=1,$O1256=1),"U – needs rule",INDEX(MxBody,MATCH($I1256,MxCurr,0),MATCH($H1256,MxStart,0)))))))</f>
        <v/>
      </c>
      <c r="L1256" s="62" t="str">
        <f aca="false">IF(COUNTA($A1256,$F1256,$G1256,$H1256,$I1256,$J1256)=0,"",IF($M1256=0,"✖ كود الصف غير موجود",IF(ISNA(MATCH($F1256,Lists!$A$2:$A$5,0)),"✖ الفترة غير صحيحة",IF(ISNA(MATCH($G1256,Lists!$B$2:$B$7,0)),"✖ المجموعة غير صحيحة",IF(NOT(OR($H1256="",$N1256&gt;0)),"✖ Start غير صحيح",IF(NOT(OR($I1256="",$I1256="NR",$O1256&gt;0)),"✖ Current غير صحيح",IF(NOT(IF(ISNUMBER($J1256),AND($J1256&gt;=0,$J1256=INT($J1256)),FALSE())),"✖ العدد يجب أن يكون صحيحًا ≥ 0",IF(AND($F1256="Baseline",$H1256&lt;&gt;""),"⚠ Baseline: Start لا يدخل في التقدم",IF($K1256="No Start (attainment only)","ℹ تحصيل فقط (بدون Start)",IF($K1256="U – needs rule","ℹ حالة U تحتاج قاعدة معتمدة",IF($K1256="No result","ℹ بدون نتيجة (يُستبعد من التحصيل)","OK")))))))))))</f>
        <v/>
      </c>
      <c r="M1256" s="64" t="n">
        <f aca="false">IF($A1256="",0,IFERROR(MATCH($A1256,Classes!$A$6:$A$420,0),0))</f>
        <v>0</v>
      </c>
      <c r="N1256" s="64" t="n">
        <f aca="false">IF($H1256="",0,IFERROR(MATCH($H1256,GradeList,0),0))</f>
        <v>0</v>
      </c>
      <c r="O1256" s="64" t="n">
        <f aca="false">IF(OR($I1256="",$I1256="NR"),0,IFERROR(MATCH($I1256,GradeList,0),0))</f>
        <v>0</v>
      </c>
      <c r="P1256" s="64" t="n">
        <f aca="false">IF(AND($M1256&gt;0,ISNUMBER(MATCH($F1256,Lists!$A$2:$A$5,0)),ISNUMBER(MATCH($G1256,Lists!$B$2:$B$7,0)),OR($H1256="",$N1256&gt;0),OR($I1256="",$I1256="NR",$O1256&gt;0),IF(ISNUMBER($J1256),AND($J1256&gt;=0,$J1256=INT($J1256)),FALSE())),$J1256,0)</f>
        <v>0</v>
      </c>
      <c r="Q1256" s="64" t="n">
        <f aca="false">IF(AND($P1256&gt;0,$O1256&gt;0),$P1256,0)</f>
        <v>0</v>
      </c>
      <c r="R1256" s="64" t="n">
        <f aca="false">IF(AND($Q1256&gt;0,$O1256&gt;=AtRank),$Q1256,0)</f>
        <v>0</v>
      </c>
      <c r="S1256" s="64" t="n">
        <f aca="false">IF(AND($Q1256&gt;0,$O1256&gt;=AboveRank),$Q1256,0)</f>
        <v>0</v>
      </c>
      <c r="T1256" s="64" t="n">
        <f aca="false">IF($K1256="Less",$P1256,0)</f>
        <v>0</v>
      </c>
      <c r="U1256" s="64" t="n">
        <f aca="false">IF($K1256="Expected",$P1256,0)</f>
        <v>0</v>
      </c>
      <c r="V1256" s="64" t="n">
        <f aca="false">IF($K1256="Better",$P1256,0)</f>
        <v>0</v>
      </c>
      <c r="W1256" s="64" t="n">
        <f aca="false">IF($K1256="U – needs rule",$P1256,0)</f>
        <v>0</v>
      </c>
      <c r="X1256" s="64" t="n">
        <f aca="false">IF($K1256="No Start (attainment only)",$P1256,0)</f>
        <v>0</v>
      </c>
    </row>
    <row r="1257" customFormat="false" ht="15" hidden="false" customHeight="false" outlineLevel="0" collapsed="false">
      <c r="A1257" s="60"/>
      <c r="B1257" s="61" t="str">
        <f aca="false">IF($M1257=0,"",INDEX(Classes!$E$6:$E$420,$M1257))</f>
        <v/>
      </c>
      <c r="C1257" s="62" t="str">
        <f aca="false">IF($M1257=0,"",INDEX(Classes!$H$6:$H$420,$M1257))</f>
        <v/>
      </c>
      <c r="D1257" s="61" t="str">
        <f aca="false">IF($M1257=0,"",INDEX(Classes!$B$6:$B$420,$M1257))</f>
        <v/>
      </c>
      <c r="E1257" s="61" t="str">
        <f aca="false">IF($M1257=0,"",INDEX(Classes!$C$6:$C$420,$M1257))</f>
        <v/>
      </c>
      <c r="F1257" s="63"/>
      <c r="G1257" s="63"/>
      <c r="H1257" s="60"/>
      <c r="I1257" s="60"/>
      <c r="J1257" s="63"/>
      <c r="K1257" s="61" t="str">
        <f aca="false">IF($P1257=0,"",IF($F1257="Baseline","— Baseline",IF($O1257=0,"No result",IF($N1257=0,"No Start (attainment only)",IF(OR($N1257=1,$O1257=1),"U – needs rule",INDEX(MxBody,MATCH($I1257,MxCurr,0),MATCH($H1257,MxStart,0)))))))</f>
        <v/>
      </c>
      <c r="L1257" s="62" t="str">
        <f aca="false">IF(COUNTA($A1257,$F1257,$G1257,$H1257,$I1257,$J1257)=0,"",IF($M1257=0,"✖ كود الصف غير موجود",IF(ISNA(MATCH($F1257,Lists!$A$2:$A$5,0)),"✖ الفترة غير صحيحة",IF(ISNA(MATCH($G1257,Lists!$B$2:$B$7,0)),"✖ المجموعة غير صحيحة",IF(NOT(OR($H1257="",$N1257&gt;0)),"✖ Start غير صحيح",IF(NOT(OR($I1257="",$I1257="NR",$O1257&gt;0)),"✖ Current غير صحيح",IF(NOT(IF(ISNUMBER($J1257),AND($J1257&gt;=0,$J1257=INT($J1257)),FALSE())),"✖ العدد يجب أن يكون صحيحًا ≥ 0",IF(AND($F1257="Baseline",$H1257&lt;&gt;""),"⚠ Baseline: Start لا يدخل في التقدم",IF($K1257="No Start (attainment only)","ℹ تحصيل فقط (بدون Start)",IF($K1257="U – needs rule","ℹ حالة U تحتاج قاعدة معتمدة",IF($K1257="No result","ℹ بدون نتيجة (يُستبعد من التحصيل)","OK")))))))))))</f>
        <v/>
      </c>
      <c r="M1257" s="64" t="n">
        <f aca="false">IF($A1257="",0,IFERROR(MATCH($A1257,Classes!$A$6:$A$420,0),0))</f>
        <v>0</v>
      </c>
      <c r="N1257" s="64" t="n">
        <f aca="false">IF($H1257="",0,IFERROR(MATCH($H1257,GradeList,0),0))</f>
        <v>0</v>
      </c>
      <c r="O1257" s="64" t="n">
        <f aca="false">IF(OR($I1257="",$I1257="NR"),0,IFERROR(MATCH($I1257,GradeList,0),0))</f>
        <v>0</v>
      </c>
      <c r="P1257" s="64" t="n">
        <f aca="false">IF(AND($M1257&gt;0,ISNUMBER(MATCH($F1257,Lists!$A$2:$A$5,0)),ISNUMBER(MATCH($G1257,Lists!$B$2:$B$7,0)),OR($H1257="",$N1257&gt;0),OR($I1257="",$I1257="NR",$O1257&gt;0),IF(ISNUMBER($J1257),AND($J1257&gt;=0,$J1257=INT($J1257)),FALSE())),$J1257,0)</f>
        <v>0</v>
      </c>
      <c r="Q1257" s="64" t="n">
        <f aca="false">IF(AND($P1257&gt;0,$O1257&gt;0),$P1257,0)</f>
        <v>0</v>
      </c>
      <c r="R1257" s="64" t="n">
        <f aca="false">IF(AND($Q1257&gt;0,$O1257&gt;=AtRank),$Q1257,0)</f>
        <v>0</v>
      </c>
      <c r="S1257" s="64" t="n">
        <f aca="false">IF(AND($Q1257&gt;0,$O1257&gt;=AboveRank),$Q1257,0)</f>
        <v>0</v>
      </c>
      <c r="T1257" s="64" t="n">
        <f aca="false">IF($K1257="Less",$P1257,0)</f>
        <v>0</v>
      </c>
      <c r="U1257" s="64" t="n">
        <f aca="false">IF($K1257="Expected",$P1257,0)</f>
        <v>0</v>
      </c>
      <c r="V1257" s="64" t="n">
        <f aca="false">IF($K1257="Better",$P1257,0)</f>
        <v>0</v>
      </c>
      <c r="W1257" s="64" t="n">
        <f aca="false">IF($K1257="U – needs rule",$P1257,0)</f>
        <v>0</v>
      </c>
      <c r="X1257" s="64" t="n">
        <f aca="false">IF($K1257="No Start (attainment only)",$P1257,0)</f>
        <v>0</v>
      </c>
    </row>
    <row r="1258" customFormat="false" ht="15" hidden="false" customHeight="false" outlineLevel="0" collapsed="false">
      <c r="A1258" s="60"/>
      <c r="B1258" s="61" t="str">
        <f aca="false">IF($M1258=0,"",INDEX(Classes!$E$6:$E$420,$M1258))</f>
        <v/>
      </c>
      <c r="C1258" s="62" t="str">
        <f aca="false">IF($M1258=0,"",INDEX(Classes!$H$6:$H$420,$M1258))</f>
        <v/>
      </c>
      <c r="D1258" s="61" t="str">
        <f aca="false">IF($M1258=0,"",INDEX(Classes!$B$6:$B$420,$M1258))</f>
        <v/>
      </c>
      <c r="E1258" s="61" t="str">
        <f aca="false">IF($M1258=0,"",INDEX(Classes!$C$6:$C$420,$M1258))</f>
        <v/>
      </c>
      <c r="F1258" s="63"/>
      <c r="G1258" s="63"/>
      <c r="H1258" s="60"/>
      <c r="I1258" s="60"/>
      <c r="J1258" s="63"/>
      <c r="K1258" s="61" t="str">
        <f aca="false">IF($P1258=0,"",IF($F1258="Baseline","— Baseline",IF($O1258=0,"No result",IF($N1258=0,"No Start (attainment only)",IF(OR($N1258=1,$O1258=1),"U – needs rule",INDEX(MxBody,MATCH($I1258,MxCurr,0),MATCH($H1258,MxStart,0)))))))</f>
        <v/>
      </c>
      <c r="L1258" s="62" t="str">
        <f aca="false">IF(COUNTA($A1258,$F1258,$G1258,$H1258,$I1258,$J1258)=0,"",IF($M1258=0,"✖ كود الصف غير موجود",IF(ISNA(MATCH($F1258,Lists!$A$2:$A$5,0)),"✖ الفترة غير صحيحة",IF(ISNA(MATCH($G1258,Lists!$B$2:$B$7,0)),"✖ المجموعة غير صحيحة",IF(NOT(OR($H1258="",$N1258&gt;0)),"✖ Start غير صحيح",IF(NOT(OR($I1258="",$I1258="NR",$O1258&gt;0)),"✖ Current غير صحيح",IF(NOT(IF(ISNUMBER($J1258),AND($J1258&gt;=0,$J1258=INT($J1258)),FALSE())),"✖ العدد يجب أن يكون صحيحًا ≥ 0",IF(AND($F1258="Baseline",$H1258&lt;&gt;""),"⚠ Baseline: Start لا يدخل في التقدم",IF($K1258="No Start (attainment only)","ℹ تحصيل فقط (بدون Start)",IF($K1258="U – needs rule","ℹ حالة U تحتاج قاعدة معتمدة",IF($K1258="No result","ℹ بدون نتيجة (يُستبعد من التحصيل)","OK")))))))))))</f>
        <v/>
      </c>
      <c r="M1258" s="64" t="n">
        <f aca="false">IF($A1258="",0,IFERROR(MATCH($A1258,Classes!$A$6:$A$420,0),0))</f>
        <v>0</v>
      </c>
      <c r="N1258" s="64" t="n">
        <f aca="false">IF($H1258="",0,IFERROR(MATCH($H1258,GradeList,0),0))</f>
        <v>0</v>
      </c>
      <c r="O1258" s="64" t="n">
        <f aca="false">IF(OR($I1258="",$I1258="NR"),0,IFERROR(MATCH($I1258,GradeList,0),0))</f>
        <v>0</v>
      </c>
      <c r="P1258" s="64" t="n">
        <f aca="false">IF(AND($M1258&gt;0,ISNUMBER(MATCH($F1258,Lists!$A$2:$A$5,0)),ISNUMBER(MATCH($G1258,Lists!$B$2:$B$7,0)),OR($H1258="",$N1258&gt;0),OR($I1258="",$I1258="NR",$O1258&gt;0),IF(ISNUMBER($J1258),AND($J1258&gt;=0,$J1258=INT($J1258)),FALSE())),$J1258,0)</f>
        <v>0</v>
      </c>
      <c r="Q1258" s="64" t="n">
        <f aca="false">IF(AND($P1258&gt;0,$O1258&gt;0),$P1258,0)</f>
        <v>0</v>
      </c>
      <c r="R1258" s="64" t="n">
        <f aca="false">IF(AND($Q1258&gt;0,$O1258&gt;=AtRank),$Q1258,0)</f>
        <v>0</v>
      </c>
      <c r="S1258" s="64" t="n">
        <f aca="false">IF(AND($Q1258&gt;0,$O1258&gt;=AboveRank),$Q1258,0)</f>
        <v>0</v>
      </c>
      <c r="T1258" s="64" t="n">
        <f aca="false">IF($K1258="Less",$P1258,0)</f>
        <v>0</v>
      </c>
      <c r="U1258" s="64" t="n">
        <f aca="false">IF($K1258="Expected",$P1258,0)</f>
        <v>0</v>
      </c>
      <c r="V1258" s="64" t="n">
        <f aca="false">IF($K1258="Better",$P1258,0)</f>
        <v>0</v>
      </c>
      <c r="W1258" s="64" t="n">
        <f aca="false">IF($K1258="U – needs rule",$P1258,0)</f>
        <v>0</v>
      </c>
      <c r="X1258" s="64" t="n">
        <f aca="false">IF($K1258="No Start (attainment only)",$P1258,0)</f>
        <v>0</v>
      </c>
    </row>
    <row r="1259" customFormat="false" ht="15" hidden="false" customHeight="false" outlineLevel="0" collapsed="false">
      <c r="A1259" s="60"/>
      <c r="B1259" s="61" t="str">
        <f aca="false">IF($M1259=0,"",INDEX(Classes!$E$6:$E$420,$M1259))</f>
        <v/>
      </c>
      <c r="C1259" s="62" t="str">
        <f aca="false">IF($M1259=0,"",INDEX(Classes!$H$6:$H$420,$M1259))</f>
        <v/>
      </c>
      <c r="D1259" s="61" t="str">
        <f aca="false">IF($M1259=0,"",INDEX(Classes!$B$6:$B$420,$M1259))</f>
        <v/>
      </c>
      <c r="E1259" s="61" t="str">
        <f aca="false">IF($M1259=0,"",INDEX(Classes!$C$6:$C$420,$M1259))</f>
        <v/>
      </c>
      <c r="F1259" s="63"/>
      <c r="G1259" s="63"/>
      <c r="H1259" s="60"/>
      <c r="I1259" s="60"/>
      <c r="J1259" s="63"/>
      <c r="K1259" s="61" t="str">
        <f aca="false">IF($P1259=0,"",IF($F1259="Baseline","— Baseline",IF($O1259=0,"No result",IF($N1259=0,"No Start (attainment only)",IF(OR($N1259=1,$O1259=1),"U – needs rule",INDEX(MxBody,MATCH($I1259,MxCurr,0),MATCH($H1259,MxStart,0)))))))</f>
        <v/>
      </c>
      <c r="L1259" s="62" t="str">
        <f aca="false">IF(COUNTA($A1259,$F1259,$G1259,$H1259,$I1259,$J1259)=0,"",IF($M1259=0,"✖ كود الصف غير موجود",IF(ISNA(MATCH($F1259,Lists!$A$2:$A$5,0)),"✖ الفترة غير صحيحة",IF(ISNA(MATCH($G1259,Lists!$B$2:$B$7,0)),"✖ المجموعة غير صحيحة",IF(NOT(OR($H1259="",$N1259&gt;0)),"✖ Start غير صحيح",IF(NOT(OR($I1259="",$I1259="NR",$O1259&gt;0)),"✖ Current غير صحيح",IF(NOT(IF(ISNUMBER($J1259),AND($J1259&gt;=0,$J1259=INT($J1259)),FALSE())),"✖ العدد يجب أن يكون صحيحًا ≥ 0",IF(AND($F1259="Baseline",$H1259&lt;&gt;""),"⚠ Baseline: Start لا يدخل في التقدم",IF($K1259="No Start (attainment only)","ℹ تحصيل فقط (بدون Start)",IF($K1259="U – needs rule","ℹ حالة U تحتاج قاعدة معتمدة",IF($K1259="No result","ℹ بدون نتيجة (يُستبعد من التحصيل)","OK")))))))))))</f>
        <v/>
      </c>
      <c r="M1259" s="64" t="n">
        <f aca="false">IF($A1259="",0,IFERROR(MATCH($A1259,Classes!$A$6:$A$420,0),0))</f>
        <v>0</v>
      </c>
      <c r="N1259" s="64" t="n">
        <f aca="false">IF($H1259="",0,IFERROR(MATCH($H1259,GradeList,0),0))</f>
        <v>0</v>
      </c>
      <c r="O1259" s="64" t="n">
        <f aca="false">IF(OR($I1259="",$I1259="NR"),0,IFERROR(MATCH($I1259,GradeList,0),0))</f>
        <v>0</v>
      </c>
      <c r="P1259" s="64" t="n">
        <f aca="false">IF(AND($M1259&gt;0,ISNUMBER(MATCH($F1259,Lists!$A$2:$A$5,0)),ISNUMBER(MATCH($G1259,Lists!$B$2:$B$7,0)),OR($H1259="",$N1259&gt;0),OR($I1259="",$I1259="NR",$O1259&gt;0),IF(ISNUMBER($J1259),AND($J1259&gt;=0,$J1259=INT($J1259)),FALSE())),$J1259,0)</f>
        <v>0</v>
      </c>
      <c r="Q1259" s="64" t="n">
        <f aca="false">IF(AND($P1259&gt;0,$O1259&gt;0),$P1259,0)</f>
        <v>0</v>
      </c>
      <c r="R1259" s="64" t="n">
        <f aca="false">IF(AND($Q1259&gt;0,$O1259&gt;=AtRank),$Q1259,0)</f>
        <v>0</v>
      </c>
      <c r="S1259" s="64" t="n">
        <f aca="false">IF(AND($Q1259&gt;0,$O1259&gt;=AboveRank),$Q1259,0)</f>
        <v>0</v>
      </c>
      <c r="T1259" s="64" t="n">
        <f aca="false">IF($K1259="Less",$P1259,0)</f>
        <v>0</v>
      </c>
      <c r="U1259" s="64" t="n">
        <f aca="false">IF($K1259="Expected",$P1259,0)</f>
        <v>0</v>
      </c>
      <c r="V1259" s="64" t="n">
        <f aca="false">IF($K1259="Better",$P1259,0)</f>
        <v>0</v>
      </c>
      <c r="W1259" s="64" t="n">
        <f aca="false">IF($K1259="U – needs rule",$P1259,0)</f>
        <v>0</v>
      </c>
      <c r="X1259" s="64" t="n">
        <f aca="false">IF($K1259="No Start (attainment only)",$P1259,0)</f>
        <v>0</v>
      </c>
    </row>
    <row r="1260" customFormat="false" ht="15" hidden="false" customHeight="false" outlineLevel="0" collapsed="false">
      <c r="A1260" s="60"/>
      <c r="B1260" s="61" t="str">
        <f aca="false">IF($M1260=0,"",INDEX(Classes!$E$6:$E$420,$M1260))</f>
        <v/>
      </c>
      <c r="C1260" s="62" t="str">
        <f aca="false">IF($M1260=0,"",INDEX(Classes!$H$6:$H$420,$M1260))</f>
        <v/>
      </c>
      <c r="D1260" s="61" t="str">
        <f aca="false">IF($M1260=0,"",INDEX(Classes!$B$6:$B$420,$M1260))</f>
        <v/>
      </c>
      <c r="E1260" s="61" t="str">
        <f aca="false">IF($M1260=0,"",INDEX(Classes!$C$6:$C$420,$M1260))</f>
        <v/>
      </c>
      <c r="F1260" s="63"/>
      <c r="G1260" s="63"/>
      <c r="H1260" s="60"/>
      <c r="I1260" s="60"/>
      <c r="J1260" s="63"/>
      <c r="K1260" s="61" t="str">
        <f aca="false">IF($P1260=0,"",IF($F1260="Baseline","— Baseline",IF($O1260=0,"No result",IF($N1260=0,"No Start (attainment only)",IF(OR($N1260=1,$O1260=1),"U – needs rule",INDEX(MxBody,MATCH($I1260,MxCurr,0),MATCH($H1260,MxStart,0)))))))</f>
        <v/>
      </c>
      <c r="L1260" s="62" t="str">
        <f aca="false">IF(COUNTA($A1260,$F1260,$G1260,$H1260,$I1260,$J1260)=0,"",IF($M1260=0,"✖ كود الصف غير موجود",IF(ISNA(MATCH($F1260,Lists!$A$2:$A$5,0)),"✖ الفترة غير صحيحة",IF(ISNA(MATCH($G1260,Lists!$B$2:$B$7,0)),"✖ المجموعة غير صحيحة",IF(NOT(OR($H1260="",$N1260&gt;0)),"✖ Start غير صحيح",IF(NOT(OR($I1260="",$I1260="NR",$O1260&gt;0)),"✖ Current غير صحيح",IF(NOT(IF(ISNUMBER($J1260),AND($J1260&gt;=0,$J1260=INT($J1260)),FALSE())),"✖ العدد يجب أن يكون صحيحًا ≥ 0",IF(AND($F1260="Baseline",$H1260&lt;&gt;""),"⚠ Baseline: Start لا يدخل في التقدم",IF($K1260="No Start (attainment only)","ℹ تحصيل فقط (بدون Start)",IF($K1260="U – needs rule","ℹ حالة U تحتاج قاعدة معتمدة",IF($K1260="No result","ℹ بدون نتيجة (يُستبعد من التحصيل)","OK")))))))))))</f>
        <v/>
      </c>
      <c r="M1260" s="64" t="n">
        <f aca="false">IF($A1260="",0,IFERROR(MATCH($A1260,Classes!$A$6:$A$420,0),0))</f>
        <v>0</v>
      </c>
      <c r="N1260" s="64" t="n">
        <f aca="false">IF($H1260="",0,IFERROR(MATCH($H1260,GradeList,0),0))</f>
        <v>0</v>
      </c>
      <c r="O1260" s="64" t="n">
        <f aca="false">IF(OR($I1260="",$I1260="NR"),0,IFERROR(MATCH($I1260,GradeList,0),0))</f>
        <v>0</v>
      </c>
      <c r="P1260" s="64" t="n">
        <f aca="false">IF(AND($M1260&gt;0,ISNUMBER(MATCH($F1260,Lists!$A$2:$A$5,0)),ISNUMBER(MATCH($G1260,Lists!$B$2:$B$7,0)),OR($H1260="",$N1260&gt;0),OR($I1260="",$I1260="NR",$O1260&gt;0),IF(ISNUMBER($J1260),AND($J1260&gt;=0,$J1260=INT($J1260)),FALSE())),$J1260,0)</f>
        <v>0</v>
      </c>
      <c r="Q1260" s="64" t="n">
        <f aca="false">IF(AND($P1260&gt;0,$O1260&gt;0),$P1260,0)</f>
        <v>0</v>
      </c>
      <c r="R1260" s="64" t="n">
        <f aca="false">IF(AND($Q1260&gt;0,$O1260&gt;=AtRank),$Q1260,0)</f>
        <v>0</v>
      </c>
      <c r="S1260" s="64" t="n">
        <f aca="false">IF(AND($Q1260&gt;0,$O1260&gt;=AboveRank),$Q1260,0)</f>
        <v>0</v>
      </c>
      <c r="T1260" s="64" t="n">
        <f aca="false">IF($K1260="Less",$P1260,0)</f>
        <v>0</v>
      </c>
      <c r="U1260" s="64" t="n">
        <f aca="false">IF($K1260="Expected",$P1260,0)</f>
        <v>0</v>
      </c>
      <c r="V1260" s="64" t="n">
        <f aca="false">IF($K1260="Better",$P1260,0)</f>
        <v>0</v>
      </c>
      <c r="W1260" s="64" t="n">
        <f aca="false">IF($K1260="U – needs rule",$P1260,0)</f>
        <v>0</v>
      </c>
      <c r="X1260" s="64" t="n">
        <f aca="false">IF($K1260="No Start (attainment only)",$P1260,0)</f>
        <v>0</v>
      </c>
    </row>
    <row r="1261" customFormat="false" ht="15" hidden="false" customHeight="false" outlineLevel="0" collapsed="false">
      <c r="A1261" s="60"/>
      <c r="B1261" s="61" t="str">
        <f aca="false">IF($M1261=0,"",INDEX(Classes!$E$6:$E$420,$M1261))</f>
        <v/>
      </c>
      <c r="C1261" s="62" t="str">
        <f aca="false">IF($M1261=0,"",INDEX(Classes!$H$6:$H$420,$M1261))</f>
        <v/>
      </c>
      <c r="D1261" s="61" t="str">
        <f aca="false">IF($M1261=0,"",INDEX(Classes!$B$6:$B$420,$M1261))</f>
        <v/>
      </c>
      <c r="E1261" s="61" t="str">
        <f aca="false">IF($M1261=0,"",INDEX(Classes!$C$6:$C$420,$M1261))</f>
        <v/>
      </c>
      <c r="F1261" s="63"/>
      <c r="G1261" s="63"/>
      <c r="H1261" s="60"/>
      <c r="I1261" s="60"/>
      <c r="J1261" s="63"/>
      <c r="K1261" s="61" t="str">
        <f aca="false">IF($P1261=0,"",IF($F1261="Baseline","— Baseline",IF($O1261=0,"No result",IF($N1261=0,"No Start (attainment only)",IF(OR($N1261=1,$O1261=1),"U – needs rule",INDEX(MxBody,MATCH($I1261,MxCurr,0),MATCH($H1261,MxStart,0)))))))</f>
        <v/>
      </c>
      <c r="L1261" s="62" t="str">
        <f aca="false">IF(COUNTA($A1261,$F1261,$G1261,$H1261,$I1261,$J1261)=0,"",IF($M1261=0,"✖ كود الصف غير موجود",IF(ISNA(MATCH($F1261,Lists!$A$2:$A$5,0)),"✖ الفترة غير صحيحة",IF(ISNA(MATCH($G1261,Lists!$B$2:$B$7,0)),"✖ المجموعة غير صحيحة",IF(NOT(OR($H1261="",$N1261&gt;0)),"✖ Start غير صحيح",IF(NOT(OR($I1261="",$I1261="NR",$O1261&gt;0)),"✖ Current غير صحيح",IF(NOT(IF(ISNUMBER($J1261),AND($J1261&gt;=0,$J1261=INT($J1261)),FALSE())),"✖ العدد يجب أن يكون صحيحًا ≥ 0",IF(AND($F1261="Baseline",$H1261&lt;&gt;""),"⚠ Baseline: Start لا يدخل في التقدم",IF($K1261="No Start (attainment only)","ℹ تحصيل فقط (بدون Start)",IF($K1261="U – needs rule","ℹ حالة U تحتاج قاعدة معتمدة",IF($K1261="No result","ℹ بدون نتيجة (يُستبعد من التحصيل)","OK")))))))))))</f>
        <v/>
      </c>
      <c r="M1261" s="64" t="n">
        <f aca="false">IF($A1261="",0,IFERROR(MATCH($A1261,Classes!$A$6:$A$420,0),0))</f>
        <v>0</v>
      </c>
      <c r="N1261" s="64" t="n">
        <f aca="false">IF($H1261="",0,IFERROR(MATCH($H1261,GradeList,0),0))</f>
        <v>0</v>
      </c>
      <c r="O1261" s="64" t="n">
        <f aca="false">IF(OR($I1261="",$I1261="NR"),0,IFERROR(MATCH($I1261,GradeList,0),0))</f>
        <v>0</v>
      </c>
      <c r="P1261" s="64" t="n">
        <f aca="false">IF(AND($M1261&gt;0,ISNUMBER(MATCH($F1261,Lists!$A$2:$A$5,0)),ISNUMBER(MATCH($G1261,Lists!$B$2:$B$7,0)),OR($H1261="",$N1261&gt;0),OR($I1261="",$I1261="NR",$O1261&gt;0),IF(ISNUMBER($J1261),AND($J1261&gt;=0,$J1261=INT($J1261)),FALSE())),$J1261,0)</f>
        <v>0</v>
      </c>
      <c r="Q1261" s="64" t="n">
        <f aca="false">IF(AND($P1261&gt;0,$O1261&gt;0),$P1261,0)</f>
        <v>0</v>
      </c>
      <c r="R1261" s="64" t="n">
        <f aca="false">IF(AND($Q1261&gt;0,$O1261&gt;=AtRank),$Q1261,0)</f>
        <v>0</v>
      </c>
      <c r="S1261" s="64" t="n">
        <f aca="false">IF(AND($Q1261&gt;0,$O1261&gt;=AboveRank),$Q1261,0)</f>
        <v>0</v>
      </c>
      <c r="T1261" s="64" t="n">
        <f aca="false">IF($K1261="Less",$P1261,0)</f>
        <v>0</v>
      </c>
      <c r="U1261" s="64" t="n">
        <f aca="false">IF($K1261="Expected",$P1261,0)</f>
        <v>0</v>
      </c>
      <c r="V1261" s="64" t="n">
        <f aca="false">IF($K1261="Better",$P1261,0)</f>
        <v>0</v>
      </c>
      <c r="W1261" s="64" t="n">
        <f aca="false">IF($K1261="U – needs rule",$P1261,0)</f>
        <v>0</v>
      </c>
      <c r="X1261" s="64" t="n">
        <f aca="false">IF($K1261="No Start (attainment only)",$P1261,0)</f>
        <v>0</v>
      </c>
    </row>
    <row r="1262" customFormat="false" ht="15" hidden="false" customHeight="false" outlineLevel="0" collapsed="false">
      <c r="A1262" s="60"/>
      <c r="B1262" s="61" t="str">
        <f aca="false">IF($M1262=0,"",INDEX(Classes!$E$6:$E$420,$M1262))</f>
        <v/>
      </c>
      <c r="C1262" s="62" t="str">
        <f aca="false">IF($M1262=0,"",INDEX(Classes!$H$6:$H$420,$M1262))</f>
        <v/>
      </c>
      <c r="D1262" s="61" t="str">
        <f aca="false">IF($M1262=0,"",INDEX(Classes!$B$6:$B$420,$M1262))</f>
        <v/>
      </c>
      <c r="E1262" s="61" t="str">
        <f aca="false">IF($M1262=0,"",INDEX(Classes!$C$6:$C$420,$M1262))</f>
        <v/>
      </c>
      <c r="F1262" s="63"/>
      <c r="G1262" s="63"/>
      <c r="H1262" s="60"/>
      <c r="I1262" s="60"/>
      <c r="J1262" s="63"/>
      <c r="K1262" s="61" t="str">
        <f aca="false">IF($P1262=0,"",IF($F1262="Baseline","— Baseline",IF($O1262=0,"No result",IF($N1262=0,"No Start (attainment only)",IF(OR($N1262=1,$O1262=1),"U – needs rule",INDEX(MxBody,MATCH($I1262,MxCurr,0),MATCH($H1262,MxStart,0)))))))</f>
        <v/>
      </c>
      <c r="L1262" s="62" t="str">
        <f aca="false">IF(COUNTA($A1262,$F1262,$G1262,$H1262,$I1262,$J1262)=0,"",IF($M1262=0,"✖ كود الصف غير موجود",IF(ISNA(MATCH($F1262,Lists!$A$2:$A$5,0)),"✖ الفترة غير صحيحة",IF(ISNA(MATCH($G1262,Lists!$B$2:$B$7,0)),"✖ المجموعة غير صحيحة",IF(NOT(OR($H1262="",$N1262&gt;0)),"✖ Start غير صحيح",IF(NOT(OR($I1262="",$I1262="NR",$O1262&gt;0)),"✖ Current غير صحيح",IF(NOT(IF(ISNUMBER($J1262),AND($J1262&gt;=0,$J1262=INT($J1262)),FALSE())),"✖ العدد يجب أن يكون صحيحًا ≥ 0",IF(AND($F1262="Baseline",$H1262&lt;&gt;""),"⚠ Baseline: Start لا يدخل في التقدم",IF($K1262="No Start (attainment only)","ℹ تحصيل فقط (بدون Start)",IF($K1262="U – needs rule","ℹ حالة U تحتاج قاعدة معتمدة",IF($K1262="No result","ℹ بدون نتيجة (يُستبعد من التحصيل)","OK")))))))))))</f>
        <v/>
      </c>
      <c r="M1262" s="64" t="n">
        <f aca="false">IF($A1262="",0,IFERROR(MATCH($A1262,Classes!$A$6:$A$420,0),0))</f>
        <v>0</v>
      </c>
      <c r="N1262" s="64" t="n">
        <f aca="false">IF($H1262="",0,IFERROR(MATCH($H1262,GradeList,0),0))</f>
        <v>0</v>
      </c>
      <c r="O1262" s="64" t="n">
        <f aca="false">IF(OR($I1262="",$I1262="NR"),0,IFERROR(MATCH($I1262,GradeList,0),0))</f>
        <v>0</v>
      </c>
      <c r="P1262" s="64" t="n">
        <f aca="false">IF(AND($M1262&gt;0,ISNUMBER(MATCH($F1262,Lists!$A$2:$A$5,0)),ISNUMBER(MATCH($G1262,Lists!$B$2:$B$7,0)),OR($H1262="",$N1262&gt;0),OR($I1262="",$I1262="NR",$O1262&gt;0),IF(ISNUMBER($J1262),AND($J1262&gt;=0,$J1262=INT($J1262)),FALSE())),$J1262,0)</f>
        <v>0</v>
      </c>
      <c r="Q1262" s="64" t="n">
        <f aca="false">IF(AND($P1262&gt;0,$O1262&gt;0),$P1262,0)</f>
        <v>0</v>
      </c>
      <c r="R1262" s="64" t="n">
        <f aca="false">IF(AND($Q1262&gt;0,$O1262&gt;=AtRank),$Q1262,0)</f>
        <v>0</v>
      </c>
      <c r="S1262" s="64" t="n">
        <f aca="false">IF(AND($Q1262&gt;0,$O1262&gt;=AboveRank),$Q1262,0)</f>
        <v>0</v>
      </c>
      <c r="T1262" s="64" t="n">
        <f aca="false">IF($K1262="Less",$P1262,0)</f>
        <v>0</v>
      </c>
      <c r="U1262" s="64" t="n">
        <f aca="false">IF($K1262="Expected",$P1262,0)</f>
        <v>0</v>
      </c>
      <c r="V1262" s="64" t="n">
        <f aca="false">IF($K1262="Better",$P1262,0)</f>
        <v>0</v>
      </c>
      <c r="W1262" s="64" t="n">
        <f aca="false">IF($K1262="U – needs rule",$P1262,0)</f>
        <v>0</v>
      </c>
      <c r="X1262" s="64" t="n">
        <f aca="false">IF($K1262="No Start (attainment only)",$P1262,0)</f>
        <v>0</v>
      </c>
    </row>
    <row r="1263" customFormat="false" ht="15" hidden="false" customHeight="false" outlineLevel="0" collapsed="false">
      <c r="A1263" s="60"/>
      <c r="B1263" s="61" t="str">
        <f aca="false">IF($M1263=0,"",INDEX(Classes!$E$6:$E$420,$M1263))</f>
        <v/>
      </c>
      <c r="C1263" s="62" t="str">
        <f aca="false">IF($M1263=0,"",INDEX(Classes!$H$6:$H$420,$M1263))</f>
        <v/>
      </c>
      <c r="D1263" s="61" t="str">
        <f aca="false">IF($M1263=0,"",INDEX(Classes!$B$6:$B$420,$M1263))</f>
        <v/>
      </c>
      <c r="E1263" s="61" t="str">
        <f aca="false">IF($M1263=0,"",INDEX(Classes!$C$6:$C$420,$M1263))</f>
        <v/>
      </c>
      <c r="F1263" s="63"/>
      <c r="G1263" s="63"/>
      <c r="H1263" s="60"/>
      <c r="I1263" s="60"/>
      <c r="J1263" s="63"/>
      <c r="K1263" s="61" t="str">
        <f aca="false">IF($P1263=0,"",IF($F1263="Baseline","— Baseline",IF($O1263=0,"No result",IF($N1263=0,"No Start (attainment only)",IF(OR($N1263=1,$O1263=1),"U – needs rule",INDEX(MxBody,MATCH($I1263,MxCurr,0),MATCH($H1263,MxStart,0)))))))</f>
        <v/>
      </c>
      <c r="L1263" s="62" t="str">
        <f aca="false">IF(COUNTA($A1263,$F1263,$G1263,$H1263,$I1263,$J1263)=0,"",IF($M1263=0,"✖ كود الصف غير موجود",IF(ISNA(MATCH($F1263,Lists!$A$2:$A$5,0)),"✖ الفترة غير صحيحة",IF(ISNA(MATCH($G1263,Lists!$B$2:$B$7,0)),"✖ المجموعة غير صحيحة",IF(NOT(OR($H1263="",$N1263&gt;0)),"✖ Start غير صحيح",IF(NOT(OR($I1263="",$I1263="NR",$O1263&gt;0)),"✖ Current غير صحيح",IF(NOT(IF(ISNUMBER($J1263),AND($J1263&gt;=0,$J1263=INT($J1263)),FALSE())),"✖ العدد يجب أن يكون صحيحًا ≥ 0",IF(AND($F1263="Baseline",$H1263&lt;&gt;""),"⚠ Baseline: Start لا يدخل في التقدم",IF($K1263="No Start (attainment only)","ℹ تحصيل فقط (بدون Start)",IF($K1263="U – needs rule","ℹ حالة U تحتاج قاعدة معتمدة",IF($K1263="No result","ℹ بدون نتيجة (يُستبعد من التحصيل)","OK")))))))))))</f>
        <v/>
      </c>
      <c r="M1263" s="64" t="n">
        <f aca="false">IF($A1263="",0,IFERROR(MATCH($A1263,Classes!$A$6:$A$420,0),0))</f>
        <v>0</v>
      </c>
      <c r="N1263" s="64" t="n">
        <f aca="false">IF($H1263="",0,IFERROR(MATCH($H1263,GradeList,0),0))</f>
        <v>0</v>
      </c>
      <c r="O1263" s="64" t="n">
        <f aca="false">IF(OR($I1263="",$I1263="NR"),0,IFERROR(MATCH($I1263,GradeList,0),0))</f>
        <v>0</v>
      </c>
      <c r="P1263" s="64" t="n">
        <f aca="false">IF(AND($M1263&gt;0,ISNUMBER(MATCH($F1263,Lists!$A$2:$A$5,0)),ISNUMBER(MATCH($G1263,Lists!$B$2:$B$7,0)),OR($H1263="",$N1263&gt;0),OR($I1263="",$I1263="NR",$O1263&gt;0),IF(ISNUMBER($J1263),AND($J1263&gt;=0,$J1263=INT($J1263)),FALSE())),$J1263,0)</f>
        <v>0</v>
      </c>
      <c r="Q1263" s="64" t="n">
        <f aca="false">IF(AND($P1263&gt;0,$O1263&gt;0),$P1263,0)</f>
        <v>0</v>
      </c>
      <c r="R1263" s="64" t="n">
        <f aca="false">IF(AND($Q1263&gt;0,$O1263&gt;=AtRank),$Q1263,0)</f>
        <v>0</v>
      </c>
      <c r="S1263" s="64" t="n">
        <f aca="false">IF(AND($Q1263&gt;0,$O1263&gt;=AboveRank),$Q1263,0)</f>
        <v>0</v>
      </c>
      <c r="T1263" s="64" t="n">
        <f aca="false">IF($K1263="Less",$P1263,0)</f>
        <v>0</v>
      </c>
      <c r="U1263" s="64" t="n">
        <f aca="false">IF($K1263="Expected",$P1263,0)</f>
        <v>0</v>
      </c>
      <c r="V1263" s="64" t="n">
        <f aca="false">IF($K1263="Better",$P1263,0)</f>
        <v>0</v>
      </c>
      <c r="W1263" s="64" t="n">
        <f aca="false">IF($K1263="U – needs rule",$P1263,0)</f>
        <v>0</v>
      </c>
      <c r="X1263" s="64" t="n">
        <f aca="false">IF($K1263="No Start (attainment only)",$P1263,0)</f>
        <v>0</v>
      </c>
    </row>
    <row r="1264" customFormat="false" ht="15" hidden="false" customHeight="false" outlineLevel="0" collapsed="false">
      <c r="A1264" s="60"/>
      <c r="B1264" s="61" t="str">
        <f aca="false">IF($M1264=0,"",INDEX(Classes!$E$6:$E$420,$M1264))</f>
        <v/>
      </c>
      <c r="C1264" s="62" t="str">
        <f aca="false">IF($M1264=0,"",INDEX(Classes!$H$6:$H$420,$M1264))</f>
        <v/>
      </c>
      <c r="D1264" s="61" t="str">
        <f aca="false">IF($M1264=0,"",INDEX(Classes!$B$6:$B$420,$M1264))</f>
        <v/>
      </c>
      <c r="E1264" s="61" t="str">
        <f aca="false">IF($M1264=0,"",INDEX(Classes!$C$6:$C$420,$M1264))</f>
        <v/>
      </c>
      <c r="F1264" s="63"/>
      <c r="G1264" s="63"/>
      <c r="H1264" s="60"/>
      <c r="I1264" s="60"/>
      <c r="J1264" s="63"/>
      <c r="K1264" s="61" t="str">
        <f aca="false">IF($P1264=0,"",IF($F1264="Baseline","— Baseline",IF($O1264=0,"No result",IF($N1264=0,"No Start (attainment only)",IF(OR($N1264=1,$O1264=1),"U – needs rule",INDEX(MxBody,MATCH($I1264,MxCurr,0),MATCH($H1264,MxStart,0)))))))</f>
        <v/>
      </c>
      <c r="L1264" s="62" t="str">
        <f aca="false">IF(COUNTA($A1264,$F1264,$G1264,$H1264,$I1264,$J1264)=0,"",IF($M1264=0,"✖ كود الصف غير موجود",IF(ISNA(MATCH($F1264,Lists!$A$2:$A$5,0)),"✖ الفترة غير صحيحة",IF(ISNA(MATCH($G1264,Lists!$B$2:$B$7,0)),"✖ المجموعة غير صحيحة",IF(NOT(OR($H1264="",$N1264&gt;0)),"✖ Start غير صحيح",IF(NOT(OR($I1264="",$I1264="NR",$O1264&gt;0)),"✖ Current غير صحيح",IF(NOT(IF(ISNUMBER($J1264),AND($J1264&gt;=0,$J1264=INT($J1264)),FALSE())),"✖ العدد يجب أن يكون صحيحًا ≥ 0",IF(AND($F1264="Baseline",$H1264&lt;&gt;""),"⚠ Baseline: Start لا يدخل في التقدم",IF($K1264="No Start (attainment only)","ℹ تحصيل فقط (بدون Start)",IF($K1264="U – needs rule","ℹ حالة U تحتاج قاعدة معتمدة",IF($K1264="No result","ℹ بدون نتيجة (يُستبعد من التحصيل)","OK")))))))))))</f>
        <v/>
      </c>
      <c r="M1264" s="64" t="n">
        <f aca="false">IF($A1264="",0,IFERROR(MATCH($A1264,Classes!$A$6:$A$420,0),0))</f>
        <v>0</v>
      </c>
      <c r="N1264" s="64" t="n">
        <f aca="false">IF($H1264="",0,IFERROR(MATCH($H1264,GradeList,0),0))</f>
        <v>0</v>
      </c>
      <c r="O1264" s="64" t="n">
        <f aca="false">IF(OR($I1264="",$I1264="NR"),0,IFERROR(MATCH($I1264,GradeList,0),0))</f>
        <v>0</v>
      </c>
      <c r="P1264" s="64" t="n">
        <f aca="false">IF(AND($M1264&gt;0,ISNUMBER(MATCH($F1264,Lists!$A$2:$A$5,0)),ISNUMBER(MATCH($G1264,Lists!$B$2:$B$7,0)),OR($H1264="",$N1264&gt;0),OR($I1264="",$I1264="NR",$O1264&gt;0),IF(ISNUMBER($J1264),AND($J1264&gt;=0,$J1264=INT($J1264)),FALSE())),$J1264,0)</f>
        <v>0</v>
      </c>
      <c r="Q1264" s="64" t="n">
        <f aca="false">IF(AND($P1264&gt;0,$O1264&gt;0),$P1264,0)</f>
        <v>0</v>
      </c>
      <c r="R1264" s="64" t="n">
        <f aca="false">IF(AND($Q1264&gt;0,$O1264&gt;=AtRank),$Q1264,0)</f>
        <v>0</v>
      </c>
      <c r="S1264" s="64" t="n">
        <f aca="false">IF(AND($Q1264&gt;0,$O1264&gt;=AboveRank),$Q1264,0)</f>
        <v>0</v>
      </c>
      <c r="T1264" s="64" t="n">
        <f aca="false">IF($K1264="Less",$P1264,0)</f>
        <v>0</v>
      </c>
      <c r="U1264" s="64" t="n">
        <f aca="false">IF($K1264="Expected",$P1264,0)</f>
        <v>0</v>
      </c>
      <c r="V1264" s="64" t="n">
        <f aca="false">IF($K1264="Better",$P1264,0)</f>
        <v>0</v>
      </c>
      <c r="W1264" s="64" t="n">
        <f aca="false">IF($K1264="U – needs rule",$P1264,0)</f>
        <v>0</v>
      </c>
      <c r="X1264" s="64" t="n">
        <f aca="false">IF($K1264="No Start (attainment only)",$P1264,0)</f>
        <v>0</v>
      </c>
    </row>
    <row r="1265" customFormat="false" ht="15" hidden="false" customHeight="false" outlineLevel="0" collapsed="false">
      <c r="A1265" s="60"/>
      <c r="B1265" s="61" t="str">
        <f aca="false">IF($M1265=0,"",INDEX(Classes!$E$6:$E$420,$M1265))</f>
        <v/>
      </c>
      <c r="C1265" s="62" t="str">
        <f aca="false">IF($M1265=0,"",INDEX(Classes!$H$6:$H$420,$M1265))</f>
        <v/>
      </c>
      <c r="D1265" s="61" t="str">
        <f aca="false">IF($M1265=0,"",INDEX(Classes!$B$6:$B$420,$M1265))</f>
        <v/>
      </c>
      <c r="E1265" s="61" t="str">
        <f aca="false">IF($M1265=0,"",INDEX(Classes!$C$6:$C$420,$M1265))</f>
        <v/>
      </c>
      <c r="F1265" s="63"/>
      <c r="G1265" s="63"/>
      <c r="H1265" s="60"/>
      <c r="I1265" s="60"/>
      <c r="J1265" s="63"/>
      <c r="K1265" s="61" t="str">
        <f aca="false">IF($P1265=0,"",IF($F1265="Baseline","— Baseline",IF($O1265=0,"No result",IF($N1265=0,"No Start (attainment only)",IF(OR($N1265=1,$O1265=1),"U – needs rule",INDEX(MxBody,MATCH($I1265,MxCurr,0),MATCH($H1265,MxStart,0)))))))</f>
        <v/>
      </c>
      <c r="L1265" s="62" t="str">
        <f aca="false">IF(COUNTA($A1265,$F1265,$G1265,$H1265,$I1265,$J1265)=0,"",IF($M1265=0,"✖ كود الصف غير موجود",IF(ISNA(MATCH($F1265,Lists!$A$2:$A$5,0)),"✖ الفترة غير صحيحة",IF(ISNA(MATCH($G1265,Lists!$B$2:$B$7,0)),"✖ المجموعة غير صحيحة",IF(NOT(OR($H1265="",$N1265&gt;0)),"✖ Start غير صحيح",IF(NOT(OR($I1265="",$I1265="NR",$O1265&gt;0)),"✖ Current غير صحيح",IF(NOT(IF(ISNUMBER($J1265),AND($J1265&gt;=0,$J1265=INT($J1265)),FALSE())),"✖ العدد يجب أن يكون صحيحًا ≥ 0",IF(AND($F1265="Baseline",$H1265&lt;&gt;""),"⚠ Baseline: Start لا يدخل في التقدم",IF($K1265="No Start (attainment only)","ℹ تحصيل فقط (بدون Start)",IF($K1265="U – needs rule","ℹ حالة U تحتاج قاعدة معتمدة",IF($K1265="No result","ℹ بدون نتيجة (يُستبعد من التحصيل)","OK")))))))))))</f>
        <v/>
      </c>
      <c r="M1265" s="64" t="n">
        <f aca="false">IF($A1265="",0,IFERROR(MATCH($A1265,Classes!$A$6:$A$420,0),0))</f>
        <v>0</v>
      </c>
      <c r="N1265" s="64" t="n">
        <f aca="false">IF($H1265="",0,IFERROR(MATCH($H1265,GradeList,0),0))</f>
        <v>0</v>
      </c>
      <c r="O1265" s="64" t="n">
        <f aca="false">IF(OR($I1265="",$I1265="NR"),0,IFERROR(MATCH($I1265,GradeList,0),0))</f>
        <v>0</v>
      </c>
      <c r="P1265" s="64" t="n">
        <f aca="false">IF(AND($M1265&gt;0,ISNUMBER(MATCH($F1265,Lists!$A$2:$A$5,0)),ISNUMBER(MATCH($G1265,Lists!$B$2:$B$7,0)),OR($H1265="",$N1265&gt;0),OR($I1265="",$I1265="NR",$O1265&gt;0),IF(ISNUMBER($J1265),AND($J1265&gt;=0,$J1265=INT($J1265)),FALSE())),$J1265,0)</f>
        <v>0</v>
      </c>
      <c r="Q1265" s="64" t="n">
        <f aca="false">IF(AND($P1265&gt;0,$O1265&gt;0),$P1265,0)</f>
        <v>0</v>
      </c>
      <c r="R1265" s="64" t="n">
        <f aca="false">IF(AND($Q1265&gt;0,$O1265&gt;=AtRank),$Q1265,0)</f>
        <v>0</v>
      </c>
      <c r="S1265" s="64" t="n">
        <f aca="false">IF(AND($Q1265&gt;0,$O1265&gt;=AboveRank),$Q1265,0)</f>
        <v>0</v>
      </c>
      <c r="T1265" s="64" t="n">
        <f aca="false">IF($K1265="Less",$P1265,0)</f>
        <v>0</v>
      </c>
      <c r="U1265" s="64" t="n">
        <f aca="false">IF($K1265="Expected",$P1265,0)</f>
        <v>0</v>
      </c>
      <c r="V1265" s="64" t="n">
        <f aca="false">IF($K1265="Better",$P1265,0)</f>
        <v>0</v>
      </c>
      <c r="W1265" s="64" t="n">
        <f aca="false">IF($K1265="U – needs rule",$P1265,0)</f>
        <v>0</v>
      </c>
      <c r="X1265" s="64" t="n">
        <f aca="false">IF($K1265="No Start (attainment only)",$P1265,0)</f>
        <v>0</v>
      </c>
    </row>
    <row r="1266" customFormat="false" ht="15" hidden="false" customHeight="false" outlineLevel="0" collapsed="false">
      <c r="A1266" s="60"/>
      <c r="B1266" s="61" t="str">
        <f aca="false">IF($M1266=0,"",INDEX(Classes!$E$6:$E$420,$M1266))</f>
        <v/>
      </c>
      <c r="C1266" s="62" t="str">
        <f aca="false">IF($M1266=0,"",INDEX(Classes!$H$6:$H$420,$M1266))</f>
        <v/>
      </c>
      <c r="D1266" s="61" t="str">
        <f aca="false">IF($M1266=0,"",INDEX(Classes!$B$6:$B$420,$M1266))</f>
        <v/>
      </c>
      <c r="E1266" s="61" t="str">
        <f aca="false">IF($M1266=0,"",INDEX(Classes!$C$6:$C$420,$M1266))</f>
        <v/>
      </c>
      <c r="F1266" s="63"/>
      <c r="G1266" s="63"/>
      <c r="H1266" s="60"/>
      <c r="I1266" s="60"/>
      <c r="J1266" s="63"/>
      <c r="K1266" s="61" t="str">
        <f aca="false">IF($P1266=0,"",IF($F1266="Baseline","— Baseline",IF($O1266=0,"No result",IF($N1266=0,"No Start (attainment only)",IF(OR($N1266=1,$O1266=1),"U – needs rule",INDEX(MxBody,MATCH($I1266,MxCurr,0),MATCH($H1266,MxStart,0)))))))</f>
        <v/>
      </c>
      <c r="L1266" s="62" t="str">
        <f aca="false">IF(COUNTA($A1266,$F1266,$G1266,$H1266,$I1266,$J1266)=0,"",IF($M1266=0,"✖ كود الصف غير موجود",IF(ISNA(MATCH($F1266,Lists!$A$2:$A$5,0)),"✖ الفترة غير صحيحة",IF(ISNA(MATCH($G1266,Lists!$B$2:$B$7,0)),"✖ المجموعة غير صحيحة",IF(NOT(OR($H1266="",$N1266&gt;0)),"✖ Start غير صحيح",IF(NOT(OR($I1266="",$I1266="NR",$O1266&gt;0)),"✖ Current غير صحيح",IF(NOT(IF(ISNUMBER($J1266),AND($J1266&gt;=0,$J1266=INT($J1266)),FALSE())),"✖ العدد يجب أن يكون صحيحًا ≥ 0",IF(AND($F1266="Baseline",$H1266&lt;&gt;""),"⚠ Baseline: Start لا يدخل في التقدم",IF($K1266="No Start (attainment only)","ℹ تحصيل فقط (بدون Start)",IF($K1266="U – needs rule","ℹ حالة U تحتاج قاعدة معتمدة",IF($K1266="No result","ℹ بدون نتيجة (يُستبعد من التحصيل)","OK")))))))))))</f>
        <v/>
      </c>
      <c r="M1266" s="64" t="n">
        <f aca="false">IF($A1266="",0,IFERROR(MATCH($A1266,Classes!$A$6:$A$420,0),0))</f>
        <v>0</v>
      </c>
      <c r="N1266" s="64" t="n">
        <f aca="false">IF($H1266="",0,IFERROR(MATCH($H1266,GradeList,0),0))</f>
        <v>0</v>
      </c>
      <c r="O1266" s="64" t="n">
        <f aca="false">IF(OR($I1266="",$I1266="NR"),0,IFERROR(MATCH($I1266,GradeList,0),0))</f>
        <v>0</v>
      </c>
      <c r="P1266" s="64" t="n">
        <f aca="false">IF(AND($M1266&gt;0,ISNUMBER(MATCH($F1266,Lists!$A$2:$A$5,0)),ISNUMBER(MATCH($G1266,Lists!$B$2:$B$7,0)),OR($H1266="",$N1266&gt;0),OR($I1266="",$I1266="NR",$O1266&gt;0),IF(ISNUMBER($J1266),AND($J1266&gt;=0,$J1266=INT($J1266)),FALSE())),$J1266,0)</f>
        <v>0</v>
      </c>
      <c r="Q1266" s="64" t="n">
        <f aca="false">IF(AND($P1266&gt;0,$O1266&gt;0),$P1266,0)</f>
        <v>0</v>
      </c>
      <c r="R1266" s="64" t="n">
        <f aca="false">IF(AND($Q1266&gt;0,$O1266&gt;=AtRank),$Q1266,0)</f>
        <v>0</v>
      </c>
      <c r="S1266" s="64" t="n">
        <f aca="false">IF(AND($Q1266&gt;0,$O1266&gt;=AboveRank),$Q1266,0)</f>
        <v>0</v>
      </c>
      <c r="T1266" s="64" t="n">
        <f aca="false">IF($K1266="Less",$P1266,0)</f>
        <v>0</v>
      </c>
      <c r="U1266" s="64" t="n">
        <f aca="false">IF($K1266="Expected",$P1266,0)</f>
        <v>0</v>
      </c>
      <c r="V1266" s="64" t="n">
        <f aca="false">IF($K1266="Better",$P1266,0)</f>
        <v>0</v>
      </c>
      <c r="W1266" s="64" t="n">
        <f aca="false">IF($K1266="U – needs rule",$P1266,0)</f>
        <v>0</v>
      </c>
      <c r="X1266" s="64" t="n">
        <f aca="false">IF($K1266="No Start (attainment only)",$P1266,0)</f>
        <v>0</v>
      </c>
    </row>
    <row r="1267" customFormat="false" ht="15" hidden="false" customHeight="false" outlineLevel="0" collapsed="false">
      <c r="A1267" s="60"/>
      <c r="B1267" s="61" t="str">
        <f aca="false">IF($M1267=0,"",INDEX(Classes!$E$6:$E$420,$M1267))</f>
        <v/>
      </c>
      <c r="C1267" s="62" t="str">
        <f aca="false">IF($M1267=0,"",INDEX(Classes!$H$6:$H$420,$M1267))</f>
        <v/>
      </c>
      <c r="D1267" s="61" t="str">
        <f aca="false">IF($M1267=0,"",INDEX(Classes!$B$6:$B$420,$M1267))</f>
        <v/>
      </c>
      <c r="E1267" s="61" t="str">
        <f aca="false">IF($M1267=0,"",INDEX(Classes!$C$6:$C$420,$M1267))</f>
        <v/>
      </c>
      <c r="F1267" s="63"/>
      <c r="G1267" s="63"/>
      <c r="H1267" s="60"/>
      <c r="I1267" s="60"/>
      <c r="J1267" s="63"/>
      <c r="K1267" s="61" t="str">
        <f aca="false">IF($P1267=0,"",IF($F1267="Baseline","— Baseline",IF($O1267=0,"No result",IF($N1267=0,"No Start (attainment only)",IF(OR($N1267=1,$O1267=1),"U – needs rule",INDEX(MxBody,MATCH($I1267,MxCurr,0),MATCH($H1267,MxStart,0)))))))</f>
        <v/>
      </c>
      <c r="L1267" s="62" t="str">
        <f aca="false">IF(COUNTA($A1267,$F1267,$G1267,$H1267,$I1267,$J1267)=0,"",IF($M1267=0,"✖ كود الصف غير موجود",IF(ISNA(MATCH($F1267,Lists!$A$2:$A$5,0)),"✖ الفترة غير صحيحة",IF(ISNA(MATCH($G1267,Lists!$B$2:$B$7,0)),"✖ المجموعة غير صحيحة",IF(NOT(OR($H1267="",$N1267&gt;0)),"✖ Start غير صحيح",IF(NOT(OR($I1267="",$I1267="NR",$O1267&gt;0)),"✖ Current غير صحيح",IF(NOT(IF(ISNUMBER($J1267),AND($J1267&gt;=0,$J1267=INT($J1267)),FALSE())),"✖ العدد يجب أن يكون صحيحًا ≥ 0",IF(AND($F1267="Baseline",$H1267&lt;&gt;""),"⚠ Baseline: Start لا يدخل في التقدم",IF($K1267="No Start (attainment only)","ℹ تحصيل فقط (بدون Start)",IF($K1267="U – needs rule","ℹ حالة U تحتاج قاعدة معتمدة",IF($K1267="No result","ℹ بدون نتيجة (يُستبعد من التحصيل)","OK")))))))))))</f>
        <v/>
      </c>
      <c r="M1267" s="64" t="n">
        <f aca="false">IF($A1267="",0,IFERROR(MATCH($A1267,Classes!$A$6:$A$420,0),0))</f>
        <v>0</v>
      </c>
      <c r="N1267" s="64" t="n">
        <f aca="false">IF($H1267="",0,IFERROR(MATCH($H1267,GradeList,0),0))</f>
        <v>0</v>
      </c>
      <c r="O1267" s="64" t="n">
        <f aca="false">IF(OR($I1267="",$I1267="NR"),0,IFERROR(MATCH($I1267,GradeList,0),0))</f>
        <v>0</v>
      </c>
      <c r="P1267" s="64" t="n">
        <f aca="false">IF(AND($M1267&gt;0,ISNUMBER(MATCH($F1267,Lists!$A$2:$A$5,0)),ISNUMBER(MATCH($G1267,Lists!$B$2:$B$7,0)),OR($H1267="",$N1267&gt;0),OR($I1267="",$I1267="NR",$O1267&gt;0),IF(ISNUMBER($J1267),AND($J1267&gt;=0,$J1267=INT($J1267)),FALSE())),$J1267,0)</f>
        <v>0</v>
      </c>
      <c r="Q1267" s="64" t="n">
        <f aca="false">IF(AND($P1267&gt;0,$O1267&gt;0),$P1267,0)</f>
        <v>0</v>
      </c>
      <c r="R1267" s="64" t="n">
        <f aca="false">IF(AND($Q1267&gt;0,$O1267&gt;=AtRank),$Q1267,0)</f>
        <v>0</v>
      </c>
      <c r="S1267" s="64" t="n">
        <f aca="false">IF(AND($Q1267&gt;0,$O1267&gt;=AboveRank),$Q1267,0)</f>
        <v>0</v>
      </c>
      <c r="T1267" s="64" t="n">
        <f aca="false">IF($K1267="Less",$P1267,0)</f>
        <v>0</v>
      </c>
      <c r="U1267" s="64" t="n">
        <f aca="false">IF($K1267="Expected",$P1267,0)</f>
        <v>0</v>
      </c>
      <c r="V1267" s="64" t="n">
        <f aca="false">IF($K1267="Better",$P1267,0)</f>
        <v>0</v>
      </c>
      <c r="W1267" s="64" t="n">
        <f aca="false">IF($K1267="U – needs rule",$P1267,0)</f>
        <v>0</v>
      </c>
      <c r="X1267" s="64" t="n">
        <f aca="false">IF($K1267="No Start (attainment only)",$P1267,0)</f>
        <v>0</v>
      </c>
    </row>
    <row r="1268" customFormat="false" ht="15" hidden="false" customHeight="false" outlineLevel="0" collapsed="false">
      <c r="A1268" s="60"/>
      <c r="B1268" s="61" t="str">
        <f aca="false">IF($M1268=0,"",INDEX(Classes!$E$6:$E$420,$M1268))</f>
        <v/>
      </c>
      <c r="C1268" s="62" t="str">
        <f aca="false">IF($M1268=0,"",INDEX(Classes!$H$6:$H$420,$M1268))</f>
        <v/>
      </c>
      <c r="D1268" s="61" t="str">
        <f aca="false">IF($M1268=0,"",INDEX(Classes!$B$6:$B$420,$M1268))</f>
        <v/>
      </c>
      <c r="E1268" s="61" t="str">
        <f aca="false">IF($M1268=0,"",INDEX(Classes!$C$6:$C$420,$M1268))</f>
        <v/>
      </c>
      <c r="F1268" s="63"/>
      <c r="G1268" s="63"/>
      <c r="H1268" s="60"/>
      <c r="I1268" s="60"/>
      <c r="J1268" s="63"/>
      <c r="K1268" s="61" t="str">
        <f aca="false">IF($P1268=0,"",IF($F1268="Baseline","— Baseline",IF($O1268=0,"No result",IF($N1268=0,"No Start (attainment only)",IF(OR($N1268=1,$O1268=1),"U – needs rule",INDEX(MxBody,MATCH($I1268,MxCurr,0),MATCH($H1268,MxStart,0)))))))</f>
        <v/>
      </c>
      <c r="L1268" s="62" t="str">
        <f aca="false">IF(COUNTA($A1268,$F1268,$G1268,$H1268,$I1268,$J1268)=0,"",IF($M1268=0,"✖ كود الصف غير موجود",IF(ISNA(MATCH($F1268,Lists!$A$2:$A$5,0)),"✖ الفترة غير صحيحة",IF(ISNA(MATCH($G1268,Lists!$B$2:$B$7,0)),"✖ المجموعة غير صحيحة",IF(NOT(OR($H1268="",$N1268&gt;0)),"✖ Start غير صحيح",IF(NOT(OR($I1268="",$I1268="NR",$O1268&gt;0)),"✖ Current غير صحيح",IF(NOT(IF(ISNUMBER($J1268),AND($J1268&gt;=0,$J1268=INT($J1268)),FALSE())),"✖ العدد يجب أن يكون صحيحًا ≥ 0",IF(AND($F1268="Baseline",$H1268&lt;&gt;""),"⚠ Baseline: Start لا يدخل في التقدم",IF($K1268="No Start (attainment only)","ℹ تحصيل فقط (بدون Start)",IF($K1268="U – needs rule","ℹ حالة U تحتاج قاعدة معتمدة",IF($K1268="No result","ℹ بدون نتيجة (يُستبعد من التحصيل)","OK")))))))))))</f>
        <v/>
      </c>
      <c r="M1268" s="64" t="n">
        <f aca="false">IF($A1268="",0,IFERROR(MATCH($A1268,Classes!$A$6:$A$420,0),0))</f>
        <v>0</v>
      </c>
      <c r="N1268" s="64" t="n">
        <f aca="false">IF($H1268="",0,IFERROR(MATCH($H1268,GradeList,0),0))</f>
        <v>0</v>
      </c>
      <c r="O1268" s="64" t="n">
        <f aca="false">IF(OR($I1268="",$I1268="NR"),0,IFERROR(MATCH($I1268,GradeList,0),0))</f>
        <v>0</v>
      </c>
      <c r="P1268" s="64" t="n">
        <f aca="false">IF(AND($M1268&gt;0,ISNUMBER(MATCH($F1268,Lists!$A$2:$A$5,0)),ISNUMBER(MATCH($G1268,Lists!$B$2:$B$7,0)),OR($H1268="",$N1268&gt;0),OR($I1268="",$I1268="NR",$O1268&gt;0),IF(ISNUMBER($J1268),AND($J1268&gt;=0,$J1268=INT($J1268)),FALSE())),$J1268,0)</f>
        <v>0</v>
      </c>
      <c r="Q1268" s="64" t="n">
        <f aca="false">IF(AND($P1268&gt;0,$O1268&gt;0),$P1268,0)</f>
        <v>0</v>
      </c>
      <c r="R1268" s="64" t="n">
        <f aca="false">IF(AND($Q1268&gt;0,$O1268&gt;=AtRank),$Q1268,0)</f>
        <v>0</v>
      </c>
      <c r="S1268" s="64" t="n">
        <f aca="false">IF(AND($Q1268&gt;0,$O1268&gt;=AboveRank),$Q1268,0)</f>
        <v>0</v>
      </c>
      <c r="T1268" s="64" t="n">
        <f aca="false">IF($K1268="Less",$P1268,0)</f>
        <v>0</v>
      </c>
      <c r="U1268" s="64" t="n">
        <f aca="false">IF($K1268="Expected",$P1268,0)</f>
        <v>0</v>
      </c>
      <c r="V1268" s="64" t="n">
        <f aca="false">IF($K1268="Better",$P1268,0)</f>
        <v>0</v>
      </c>
      <c r="W1268" s="64" t="n">
        <f aca="false">IF($K1268="U – needs rule",$P1268,0)</f>
        <v>0</v>
      </c>
      <c r="X1268" s="64" t="n">
        <f aca="false">IF($K1268="No Start (attainment only)",$P1268,0)</f>
        <v>0</v>
      </c>
    </row>
    <row r="1269" customFormat="false" ht="15" hidden="false" customHeight="false" outlineLevel="0" collapsed="false">
      <c r="A1269" s="60"/>
      <c r="B1269" s="61" t="str">
        <f aca="false">IF($M1269=0,"",INDEX(Classes!$E$6:$E$420,$M1269))</f>
        <v/>
      </c>
      <c r="C1269" s="62" t="str">
        <f aca="false">IF($M1269=0,"",INDEX(Classes!$H$6:$H$420,$M1269))</f>
        <v/>
      </c>
      <c r="D1269" s="61" t="str">
        <f aca="false">IF($M1269=0,"",INDEX(Classes!$B$6:$B$420,$M1269))</f>
        <v/>
      </c>
      <c r="E1269" s="61" t="str">
        <f aca="false">IF($M1269=0,"",INDEX(Classes!$C$6:$C$420,$M1269))</f>
        <v/>
      </c>
      <c r="F1269" s="63"/>
      <c r="G1269" s="63"/>
      <c r="H1269" s="60"/>
      <c r="I1269" s="60"/>
      <c r="J1269" s="63"/>
      <c r="K1269" s="61" t="str">
        <f aca="false">IF($P1269=0,"",IF($F1269="Baseline","— Baseline",IF($O1269=0,"No result",IF($N1269=0,"No Start (attainment only)",IF(OR($N1269=1,$O1269=1),"U – needs rule",INDEX(MxBody,MATCH($I1269,MxCurr,0),MATCH($H1269,MxStart,0)))))))</f>
        <v/>
      </c>
      <c r="L1269" s="62" t="str">
        <f aca="false">IF(COUNTA($A1269,$F1269,$G1269,$H1269,$I1269,$J1269)=0,"",IF($M1269=0,"✖ كود الصف غير موجود",IF(ISNA(MATCH($F1269,Lists!$A$2:$A$5,0)),"✖ الفترة غير صحيحة",IF(ISNA(MATCH($G1269,Lists!$B$2:$B$7,0)),"✖ المجموعة غير صحيحة",IF(NOT(OR($H1269="",$N1269&gt;0)),"✖ Start غير صحيح",IF(NOT(OR($I1269="",$I1269="NR",$O1269&gt;0)),"✖ Current غير صحيح",IF(NOT(IF(ISNUMBER($J1269),AND($J1269&gt;=0,$J1269=INT($J1269)),FALSE())),"✖ العدد يجب أن يكون صحيحًا ≥ 0",IF(AND($F1269="Baseline",$H1269&lt;&gt;""),"⚠ Baseline: Start لا يدخل في التقدم",IF($K1269="No Start (attainment only)","ℹ تحصيل فقط (بدون Start)",IF($K1269="U – needs rule","ℹ حالة U تحتاج قاعدة معتمدة",IF($K1269="No result","ℹ بدون نتيجة (يُستبعد من التحصيل)","OK")))))))))))</f>
        <v/>
      </c>
      <c r="M1269" s="64" t="n">
        <f aca="false">IF($A1269="",0,IFERROR(MATCH($A1269,Classes!$A$6:$A$420,0),0))</f>
        <v>0</v>
      </c>
      <c r="N1269" s="64" t="n">
        <f aca="false">IF($H1269="",0,IFERROR(MATCH($H1269,GradeList,0),0))</f>
        <v>0</v>
      </c>
      <c r="O1269" s="64" t="n">
        <f aca="false">IF(OR($I1269="",$I1269="NR"),0,IFERROR(MATCH($I1269,GradeList,0),0))</f>
        <v>0</v>
      </c>
      <c r="P1269" s="64" t="n">
        <f aca="false">IF(AND($M1269&gt;0,ISNUMBER(MATCH($F1269,Lists!$A$2:$A$5,0)),ISNUMBER(MATCH($G1269,Lists!$B$2:$B$7,0)),OR($H1269="",$N1269&gt;0),OR($I1269="",$I1269="NR",$O1269&gt;0),IF(ISNUMBER($J1269),AND($J1269&gt;=0,$J1269=INT($J1269)),FALSE())),$J1269,0)</f>
        <v>0</v>
      </c>
      <c r="Q1269" s="64" t="n">
        <f aca="false">IF(AND($P1269&gt;0,$O1269&gt;0),$P1269,0)</f>
        <v>0</v>
      </c>
      <c r="R1269" s="64" t="n">
        <f aca="false">IF(AND($Q1269&gt;0,$O1269&gt;=AtRank),$Q1269,0)</f>
        <v>0</v>
      </c>
      <c r="S1269" s="64" t="n">
        <f aca="false">IF(AND($Q1269&gt;0,$O1269&gt;=AboveRank),$Q1269,0)</f>
        <v>0</v>
      </c>
      <c r="T1269" s="64" t="n">
        <f aca="false">IF($K1269="Less",$P1269,0)</f>
        <v>0</v>
      </c>
      <c r="U1269" s="64" t="n">
        <f aca="false">IF($K1269="Expected",$P1269,0)</f>
        <v>0</v>
      </c>
      <c r="V1269" s="64" t="n">
        <f aca="false">IF($K1269="Better",$P1269,0)</f>
        <v>0</v>
      </c>
      <c r="W1269" s="64" t="n">
        <f aca="false">IF($K1269="U – needs rule",$P1269,0)</f>
        <v>0</v>
      </c>
      <c r="X1269" s="64" t="n">
        <f aca="false">IF($K1269="No Start (attainment only)",$P1269,0)</f>
        <v>0</v>
      </c>
    </row>
    <row r="1270" customFormat="false" ht="15" hidden="false" customHeight="false" outlineLevel="0" collapsed="false">
      <c r="A1270" s="60"/>
      <c r="B1270" s="61" t="str">
        <f aca="false">IF($M1270=0,"",INDEX(Classes!$E$6:$E$420,$M1270))</f>
        <v/>
      </c>
      <c r="C1270" s="62" t="str">
        <f aca="false">IF($M1270=0,"",INDEX(Classes!$H$6:$H$420,$M1270))</f>
        <v/>
      </c>
      <c r="D1270" s="61" t="str">
        <f aca="false">IF($M1270=0,"",INDEX(Classes!$B$6:$B$420,$M1270))</f>
        <v/>
      </c>
      <c r="E1270" s="61" t="str">
        <f aca="false">IF($M1270=0,"",INDEX(Classes!$C$6:$C$420,$M1270))</f>
        <v/>
      </c>
      <c r="F1270" s="63"/>
      <c r="G1270" s="63"/>
      <c r="H1270" s="60"/>
      <c r="I1270" s="60"/>
      <c r="J1270" s="63"/>
      <c r="K1270" s="61" t="str">
        <f aca="false">IF($P1270=0,"",IF($F1270="Baseline","— Baseline",IF($O1270=0,"No result",IF($N1270=0,"No Start (attainment only)",IF(OR($N1270=1,$O1270=1),"U – needs rule",INDEX(MxBody,MATCH($I1270,MxCurr,0),MATCH($H1270,MxStart,0)))))))</f>
        <v/>
      </c>
      <c r="L1270" s="62" t="str">
        <f aca="false">IF(COUNTA($A1270,$F1270,$G1270,$H1270,$I1270,$J1270)=0,"",IF($M1270=0,"✖ كود الصف غير موجود",IF(ISNA(MATCH($F1270,Lists!$A$2:$A$5,0)),"✖ الفترة غير صحيحة",IF(ISNA(MATCH($G1270,Lists!$B$2:$B$7,0)),"✖ المجموعة غير صحيحة",IF(NOT(OR($H1270="",$N1270&gt;0)),"✖ Start غير صحيح",IF(NOT(OR($I1270="",$I1270="NR",$O1270&gt;0)),"✖ Current غير صحيح",IF(NOT(IF(ISNUMBER($J1270),AND($J1270&gt;=0,$J1270=INT($J1270)),FALSE())),"✖ العدد يجب أن يكون صحيحًا ≥ 0",IF(AND($F1270="Baseline",$H1270&lt;&gt;""),"⚠ Baseline: Start لا يدخل في التقدم",IF($K1270="No Start (attainment only)","ℹ تحصيل فقط (بدون Start)",IF($K1270="U – needs rule","ℹ حالة U تحتاج قاعدة معتمدة",IF($K1270="No result","ℹ بدون نتيجة (يُستبعد من التحصيل)","OK")))))))))))</f>
        <v/>
      </c>
      <c r="M1270" s="64" t="n">
        <f aca="false">IF($A1270="",0,IFERROR(MATCH($A1270,Classes!$A$6:$A$420,0),0))</f>
        <v>0</v>
      </c>
      <c r="N1270" s="64" t="n">
        <f aca="false">IF($H1270="",0,IFERROR(MATCH($H1270,GradeList,0),0))</f>
        <v>0</v>
      </c>
      <c r="O1270" s="64" t="n">
        <f aca="false">IF(OR($I1270="",$I1270="NR"),0,IFERROR(MATCH($I1270,GradeList,0),0))</f>
        <v>0</v>
      </c>
      <c r="P1270" s="64" t="n">
        <f aca="false">IF(AND($M1270&gt;0,ISNUMBER(MATCH($F1270,Lists!$A$2:$A$5,0)),ISNUMBER(MATCH($G1270,Lists!$B$2:$B$7,0)),OR($H1270="",$N1270&gt;0),OR($I1270="",$I1270="NR",$O1270&gt;0),IF(ISNUMBER($J1270),AND($J1270&gt;=0,$J1270=INT($J1270)),FALSE())),$J1270,0)</f>
        <v>0</v>
      </c>
      <c r="Q1270" s="64" t="n">
        <f aca="false">IF(AND($P1270&gt;0,$O1270&gt;0),$P1270,0)</f>
        <v>0</v>
      </c>
      <c r="R1270" s="64" t="n">
        <f aca="false">IF(AND($Q1270&gt;0,$O1270&gt;=AtRank),$Q1270,0)</f>
        <v>0</v>
      </c>
      <c r="S1270" s="64" t="n">
        <f aca="false">IF(AND($Q1270&gt;0,$O1270&gt;=AboveRank),$Q1270,0)</f>
        <v>0</v>
      </c>
      <c r="T1270" s="64" t="n">
        <f aca="false">IF($K1270="Less",$P1270,0)</f>
        <v>0</v>
      </c>
      <c r="U1270" s="64" t="n">
        <f aca="false">IF($K1270="Expected",$P1270,0)</f>
        <v>0</v>
      </c>
      <c r="V1270" s="64" t="n">
        <f aca="false">IF($K1270="Better",$P1270,0)</f>
        <v>0</v>
      </c>
      <c r="W1270" s="64" t="n">
        <f aca="false">IF($K1270="U – needs rule",$P1270,0)</f>
        <v>0</v>
      </c>
      <c r="X1270" s="64" t="n">
        <f aca="false">IF($K1270="No Start (attainment only)",$P1270,0)</f>
        <v>0</v>
      </c>
    </row>
    <row r="1271" customFormat="false" ht="15" hidden="false" customHeight="false" outlineLevel="0" collapsed="false">
      <c r="A1271" s="60"/>
      <c r="B1271" s="61" t="str">
        <f aca="false">IF($M1271=0,"",INDEX(Classes!$E$6:$E$420,$M1271))</f>
        <v/>
      </c>
      <c r="C1271" s="62" t="str">
        <f aca="false">IF($M1271=0,"",INDEX(Classes!$H$6:$H$420,$M1271))</f>
        <v/>
      </c>
      <c r="D1271" s="61" t="str">
        <f aca="false">IF($M1271=0,"",INDEX(Classes!$B$6:$B$420,$M1271))</f>
        <v/>
      </c>
      <c r="E1271" s="61" t="str">
        <f aca="false">IF($M1271=0,"",INDEX(Classes!$C$6:$C$420,$M1271))</f>
        <v/>
      </c>
      <c r="F1271" s="63"/>
      <c r="G1271" s="63"/>
      <c r="H1271" s="60"/>
      <c r="I1271" s="60"/>
      <c r="J1271" s="63"/>
      <c r="K1271" s="61" t="str">
        <f aca="false">IF($P1271=0,"",IF($F1271="Baseline","— Baseline",IF($O1271=0,"No result",IF($N1271=0,"No Start (attainment only)",IF(OR($N1271=1,$O1271=1),"U – needs rule",INDEX(MxBody,MATCH($I1271,MxCurr,0),MATCH($H1271,MxStart,0)))))))</f>
        <v/>
      </c>
      <c r="L1271" s="62" t="str">
        <f aca="false">IF(COUNTA($A1271,$F1271,$G1271,$H1271,$I1271,$J1271)=0,"",IF($M1271=0,"✖ كود الصف غير موجود",IF(ISNA(MATCH($F1271,Lists!$A$2:$A$5,0)),"✖ الفترة غير صحيحة",IF(ISNA(MATCH($G1271,Lists!$B$2:$B$7,0)),"✖ المجموعة غير صحيحة",IF(NOT(OR($H1271="",$N1271&gt;0)),"✖ Start غير صحيح",IF(NOT(OR($I1271="",$I1271="NR",$O1271&gt;0)),"✖ Current غير صحيح",IF(NOT(IF(ISNUMBER($J1271),AND($J1271&gt;=0,$J1271=INT($J1271)),FALSE())),"✖ العدد يجب أن يكون صحيحًا ≥ 0",IF(AND($F1271="Baseline",$H1271&lt;&gt;""),"⚠ Baseline: Start لا يدخل في التقدم",IF($K1271="No Start (attainment only)","ℹ تحصيل فقط (بدون Start)",IF($K1271="U – needs rule","ℹ حالة U تحتاج قاعدة معتمدة",IF($K1271="No result","ℹ بدون نتيجة (يُستبعد من التحصيل)","OK")))))))))))</f>
        <v/>
      </c>
      <c r="M1271" s="64" t="n">
        <f aca="false">IF($A1271="",0,IFERROR(MATCH($A1271,Classes!$A$6:$A$420,0),0))</f>
        <v>0</v>
      </c>
      <c r="N1271" s="64" t="n">
        <f aca="false">IF($H1271="",0,IFERROR(MATCH($H1271,GradeList,0),0))</f>
        <v>0</v>
      </c>
      <c r="O1271" s="64" t="n">
        <f aca="false">IF(OR($I1271="",$I1271="NR"),0,IFERROR(MATCH($I1271,GradeList,0),0))</f>
        <v>0</v>
      </c>
      <c r="P1271" s="64" t="n">
        <f aca="false">IF(AND($M1271&gt;0,ISNUMBER(MATCH($F1271,Lists!$A$2:$A$5,0)),ISNUMBER(MATCH($G1271,Lists!$B$2:$B$7,0)),OR($H1271="",$N1271&gt;0),OR($I1271="",$I1271="NR",$O1271&gt;0),IF(ISNUMBER($J1271),AND($J1271&gt;=0,$J1271=INT($J1271)),FALSE())),$J1271,0)</f>
        <v>0</v>
      </c>
      <c r="Q1271" s="64" t="n">
        <f aca="false">IF(AND($P1271&gt;0,$O1271&gt;0),$P1271,0)</f>
        <v>0</v>
      </c>
      <c r="R1271" s="64" t="n">
        <f aca="false">IF(AND($Q1271&gt;0,$O1271&gt;=AtRank),$Q1271,0)</f>
        <v>0</v>
      </c>
      <c r="S1271" s="64" t="n">
        <f aca="false">IF(AND($Q1271&gt;0,$O1271&gt;=AboveRank),$Q1271,0)</f>
        <v>0</v>
      </c>
      <c r="T1271" s="64" t="n">
        <f aca="false">IF($K1271="Less",$P1271,0)</f>
        <v>0</v>
      </c>
      <c r="U1271" s="64" t="n">
        <f aca="false">IF($K1271="Expected",$P1271,0)</f>
        <v>0</v>
      </c>
      <c r="V1271" s="64" t="n">
        <f aca="false">IF($K1271="Better",$P1271,0)</f>
        <v>0</v>
      </c>
      <c r="W1271" s="64" t="n">
        <f aca="false">IF($K1271="U – needs rule",$P1271,0)</f>
        <v>0</v>
      </c>
      <c r="X1271" s="64" t="n">
        <f aca="false">IF($K1271="No Start (attainment only)",$P1271,0)</f>
        <v>0</v>
      </c>
    </row>
    <row r="1272" customFormat="false" ht="15" hidden="false" customHeight="false" outlineLevel="0" collapsed="false">
      <c r="A1272" s="60"/>
      <c r="B1272" s="61" t="str">
        <f aca="false">IF($M1272=0,"",INDEX(Classes!$E$6:$E$420,$M1272))</f>
        <v/>
      </c>
      <c r="C1272" s="62" t="str">
        <f aca="false">IF($M1272=0,"",INDEX(Classes!$H$6:$H$420,$M1272))</f>
        <v/>
      </c>
      <c r="D1272" s="61" t="str">
        <f aca="false">IF($M1272=0,"",INDEX(Classes!$B$6:$B$420,$M1272))</f>
        <v/>
      </c>
      <c r="E1272" s="61" t="str">
        <f aca="false">IF($M1272=0,"",INDEX(Classes!$C$6:$C$420,$M1272))</f>
        <v/>
      </c>
      <c r="F1272" s="63"/>
      <c r="G1272" s="63"/>
      <c r="H1272" s="60"/>
      <c r="I1272" s="60"/>
      <c r="J1272" s="63"/>
      <c r="K1272" s="61" t="str">
        <f aca="false">IF($P1272=0,"",IF($F1272="Baseline","— Baseline",IF($O1272=0,"No result",IF($N1272=0,"No Start (attainment only)",IF(OR($N1272=1,$O1272=1),"U – needs rule",INDEX(MxBody,MATCH($I1272,MxCurr,0),MATCH($H1272,MxStart,0)))))))</f>
        <v/>
      </c>
      <c r="L1272" s="62" t="str">
        <f aca="false">IF(COUNTA($A1272,$F1272,$G1272,$H1272,$I1272,$J1272)=0,"",IF($M1272=0,"✖ كود الصف غير موجود",IF(ISNA(MATCH($F1272,Lists!$A$2:$A$5,0)),"✖ الفترة غير صحيحة",IF(ISNA(MATCH($G1272,Lists!$B$2:$B$7,0)),"✖ المجموعة غير صحيحة",IF(NOT(OR($H1272="",$N1272&gt;0)),"✖ Start غير صحيح",IF(NOT(OR($I1272="",$I1272="NR",$O1272&gt;0)),"✖ Current غير صحيح",IF(NOT(IF(ISNUMBER($J1272),AND($J1272&gt;=0,$J1272=INT($J1272)),FALSE())),"✖ العدد يجب أن يكون صحيحًا ≥ 0",IF(AND($F1272="Baseline",$H1272&lt;&gt;""),"⚠ Baseline: Start لا يدخل في التقدم",IF($K1272="No Start (attainment only)","ℹ تحصيل فقط (بدون Start)",IF($K1272="U – needs rule","ℹ حالة U تحتاج قاعدة معتمدة",IF($K1272="No result","ℹ بدون نتيجة (يُستبعد من التحصيل)","OK")))))))))))</f>
        <v/>
      </c>
      <c r="M1272" s="64" t="n">
        <f aca="false">IF($A1272="",0,IFERROR(MATCH($A1272,Classes!$A$6:$A$420,0),0))</f>
        <v>0</v>
      </c>
      <c r="N1272" s="64" t="n">
        <f aca="false">IF($H1272="",0,IFERROR(MATCH($H1272,GradeList,0),0))</f>
        <v>0</v>
      </c>
      <c r="O1272" s="64" t="n">
        <f aca="false">IF(OR($I1272="",$I1272="NR"),0,IFERROR(MATCH($I1272,GradeList,0),0))</f>
        <v>0</v>
      </c>
      <c r="P1272" s="64" t="n">
        <f aca="false">IF(AND($M1272&gt;0,ISNUMBER(MATCH($F1272,Lists!$A$2:$A$5,0)),ISNUMBER(MATCH($G1272,Lists!$B$2:$B$7,0)),OR($H1272="",$N1272&gt;0),OR($I1272="",$I1272="NR",$O1272&gt;0),IF(ISNUMBER($J1272),AND($J1272&gt;=0,$J1272=INT($J1272)),FALSE())),$J1272,0)</f>
        <v>0</v>
      </c>
      <c r="Q1272" s="64" t="n">
        <f aca="false">IF(AND($P1272&gt;0,$O1272&gt;0),$P1272,0)</f>
        <v>0</v>
      </c>
      <c r="R1272" s="64" t="n">
        <f aca="false">IF(AND($Q1272&gt;0,$O1272&gt;=AtRank),$Q1272,0)</f>
        <v>0</v>
      </c>
      <c r="S1272" s="64" t="n">
        <f aca="false">IF(AND($Q1272&gt;0,$O1272&gt;=AboveRank),$Q1272,0)</f>
        <v>0</v>
      </c>
      <c r="T1272" s="64" t="n">
        <f aca="false">IF($K1272="Less",$P1272,0)</f>
        <v>0</v>
      </c>
      <c r="U1272" s="64" t="n">
        <f aca="false">IF($K1272="Expected",$P1272,0)</f>
        <v>0</v>
      </c>
      <c r="V1272" s="64" t="n">
        <f aca="false">IF($K1272="Better",$P1272,0)</f>
        <v>0</v>
      </c>
      <c r="W1272" s="64" t="n">
        <f aca="false">IF($K1272="U – needs rule",$P1272,0)</f>
        <v>0</v>
      </c>
      <c r="X1272" s="64" t="n">
        <f aca="false">IF($K1272="No Start (attainment only)",$P1272,0)</f>
        <v>0</v>
      </c>
    </row>
    <row r="1273" customFormat="false" ht="15" hidden="false" customHeight="false" outlineLevel="0" collapsed="false">
      <c r="A1273" s="60"/>
      <c r="B1273" s="61" t="str">
        <f aca="false">IF($M1273=0,"",INDEX(Classes!$E$6:$E$420,$M1273))</f>
        <v/>
      </c>
      <c r="C1273" s="62" t="str">
        <f aca="false">IF($M1273=0,"",INDEX(Classes!$H$6:$H$420,$M1273))</f>
        <v/>
      </c>
      <c r="D1273" s="61" t="str">
        <f aca="false">IF($M1273=0,"",INDEX(Classes!$B$6:$B$420,$M1273))</f>
        <v/>
      </c>
      <c r="E1273" s="61" t="str">
        <f aca="false">IF($M1273=0,"",INDEX(Classes!$C$6:$C$420,$M1273))</f>
        <v/>
      </c>
      <c r="F1273" s="63"/>
      <c r="G1273" s="63"/>
      <c r="H1273" s="60"/>
      <c r="I1273" s="60"/>
      <c r="J1273" s="63"/>
      <c r="K1273" s="61" t="str">
        <f aca="false">IF($P1273=0,"",IF($F1273="Baseline","— Baseline",IF($O1273=0,"No result",IF($N1273=0,"No Start (attainment only)",IF(OR($N1273=1,$O1273=1),"U – needs rule",INDEX(MxBody,MATCH($I1273,MxCurr,0),MATCH($H1273,MxStart,0)))))))</f>
        <v/>
      </c>
      <c r="L1273" s="62" t="str">
        <f aca="false">IF(COUNTA($A1273,$F1273,$G1273,$H1273,$I1273,$J1273)=0,"",IF($M1273=0,"✖ كود الصف غير موجود",IF(ISNA(MATCH($F1273,Lists!$A$2:$A$5,0)),"✖ الفترة غير صحيحة",IF(ISNA(MATCH($G1273,Lists!$B$2:$B$7,0)),"✖ المجموعة غير صحيحة",IF(NOT(OR($H1273="",$N1273&gt;0)),"✖ Start غير صحيح",IF(NOT(OR($I1273="",$I1273="NR",$O1273&gt;0)),"✖ Current غير صحيح",IF(NOT(IF(ISNUMBER($J1273),AND($J1273&gt;=0,$J1273=INT($J1273)),FALSE())),"✖ العدد يجب أن يكون صحيحًا ≥ 0",IF(AND($F1273="Baseline",$H1273&lt;&gt;""),"⚠ Baseline: Start لا يدخل في التقدم",IF($K1273="No Start (attainment only)","ℹ تحصيل فقط (بدون Start)",IF($K1273="U – needs rule","ℹ حالة U تحتاج قاعدة معتمدة",IF($K1273="No result","ℹ بدون نتيجة (يُستبعد من التحصيل)","OK")))))))))))</f>
        <v/>
      </c>
      <c r="M1273" s="64" t="n">
        <f aca="false">IF($A1273="",0,IFERROR(MATCH($A1273,Classes!$A$6:$A$420,0),0))</f>
        <v>0</v>
      </c>
      <c r="N1273" s="64" t="n">
        <f aca="false">IF($H1273="",0,IFERROR(MATCH($H1273,GradeList,0),0))</f>
        <v>0</v>
      </c>
      <c r="O1273" s="64" t="n">
        <f aca="false">IF(OR($I1273="",$I1273="NR"),0,IFERROR(MATCH($I1273,GradeList,0),0))</f>
        <v>0</v>
      </c>
      <c r="P1273" s="64" t="n">
        <f aca="false">IF(AND($M1273&gt;0,ISNUMBER(MATCH($F1273,Lists!$A$2:$A$5,0)),ISNUMBER(MATCH($G1273,Lists!$B$2:$B$7,0)),OR($H1273="",$N1273&gt;0),OR($I1273="",$I1273="NR",$O1273&gt;0),IF(ISNUMBER($J1273),AND($J1273&gt;=0,$J1273=INT($J1273)),FALSE())),$J1273,0)</f>
        <v>0</v>
      </c>
      <c r="Q1273" s="64" t="n">
        <f aca="false">IF(AND($P1273&gt;0,$O1273&gt;0),$P1273,0)</f>
        <v>0</v>
      </c>
      <c r="R1273" s="64" t="n">
        <f aca="false">IF(AND($Q1273&gt;0,$O1273&gt;=AtRank),$Q1273,0)</f>
        <v>0</v>
      </c>
      <c r="S1273" s="64" t="n">
        <f aca="false">IF(AND($Q1273&gt;0,$O1273&gt;=AboveRank),$Q1273,0)</f>
        <v>0</v>
      </c>
      <c r="T1273" s="64" t="n">
        <f aca="false">IF($K1273="Less",$P1273,0)</f>
        <v>0</v>
      </c>
      <c r="U1273" s="64" t="n">
        <f aca="false">IF($K1273="Expected",$P1273,0)</f>
        <v>0</v>
      </c>
      <c r="V1273" s="64" t="n">
        <f aca="false">IF($K1273="Better",$P1273,0)</f>
        <v>0</v>
      </c>
      <c r="W1273" s="64" t="n">
        <f aca="false">IF($K1273="U – needs rule",$P1273,0)</f>
        <v>0</v>
      </c>
      <c r="X1273" s="64" t="n">
        <f aca="false">IF($K1273="No Start (attainment only)",$P1273,0)</f>
        <v>0</v>
      </c>
    </row>
    <row r="1274" customFormat="false" ht="15" hidden="false" customHeight="false" outlineLevel="0" collapsed="false">
      <c r="A1274" s="60"/>
      <c r="B1274" s="61" t="str">
        <f aca="false">IF($M1274=0,"",INDEX(Classes!$E$6:$E$420,$M1274))</f>
        <v/>
      </c>
      <c r="C1274" s="62" t="str">
        <f aca="false">IF($M1274=0,"",INDEX(Classes!$H$6:$H$420,$M1274))</f>
        <v/>
      </c>
      <c r="D1274" s="61" t="str">
        <f aca="false">IF($M1274=0,"",INDEX(Classes!$B$6:$B$420,$M1274))</f>
        <v/>
      </c>
      <c r="E1274" s="61" t="str">
        <f aca="false">IF($M1274=0,"",INDEX(Classes!$C$6:$C$420,$M1274))</f>
        <v/>
      </c>
      <c r="F1274" s="63"/>
      <c r="G1274" s="63"/>
      <c r="H1274" s="60"/>
      <c r="I1274" s="60"/>
      <c r="J1274" s="63"/>
      <c r="K1274" s="61" t="str">
        <f aca="false">IF($P1274=0,"",IF($F1274="Baseline","— Baseline",IF($O1274=0,"No result",IF($N1274=0,"No Start (attainment only)",IF(OR($N1274=1,$O1274=1),"U – needs rule",INDEX(MxBody,MATCH($I1274,MxCurr,0),MATCH($H1274,MxStart,0)))))))</f>
        <v/>
      </c>
      <c r="L1274" s="62" t="str">
        <f aca="false">IF(COUNTA($A1274,$F1274,$G1274,$H1274,$I1274,$J1274)=0,"",IF($M1274=0,"✖ كود الصف غير موجود",IF(ISNA(MATCH($F1274,Lists!$A$2:$A$5,0)),"✖ الفترة غير صحيحة",IF(ISNA(MATCH($G1274,Lists!$B$2:$B$7,0)),"✖ المجموعة غير صحيحة",IF(NOT(OR($H1274="",$N1274&gt;0)),"✖ Start غير صحيح",IF(NOT(OR($I1274="",$I1274="NR",$O1274&gt;0)),"✖ Current غير صحيح",IF(NOT(IF(ISNUMBER($J1274),AND($J1274&gt;=0,$J1274=INT($J1274)),FALSE())),"✖ العدد يجب أن يكون صحيحًا ≥ 0",IF(AND($F1274="Baseline",$H1274&lt;&gt;""),"⚠ Baseline: Start لا يدخل في التقدم",IF($K1274="No Start (attainment only)","ℹ تحصيل فقط (بدون Start)",IF($K1274="U – needs rule","ℹ حالة U تحتاج قاعدة معتمدة",IF($K1274="No result","ℹ بدون نتيجة (يُستبعد من التحصيل)","OK")))))))))))</f>
        <v/>
      </c>
      <c r="M1274" s="64" t="n">
        <f aca="false">IF($A1274="",0,IFERROR(MATCH($A1274,Classes!$A$6:$A$420,0),0))</f>
        <v>0</v>
      </c>
      <c r="N1274" s="64" t="n">
        <f aca="false">IF($H1274="",0,IFERROR(MATCH($H1274,GradeList,0),0))</f>
        <v>0</v>
      </c>
      <c r="O1274" s="64" t="n">
        <f aca="false">IF(OR($I1274="",$I1274="NR"),0,IFERROR(MATCH($I1274,GradeList,0),0))</f>
        <v>0</v>
      </c>
      <c r="P1274" s="64" t="n">
        <f aca="false">IF(AND($M1274&gt;0,ISNUMBER(MATCH($F1274,Lists!$A$2:$A$5,0)),ISNUMBER(MATCH($G1274,Lists!$B$2:$B$7,0)),OR($H1274="",$N1274&gt;0),OR($I1274="",$I1274="NR",$O1274&gt;0),IF(ISNUMBER($J1274),AND($J1274&gt;=0,$J1274=INT($J1274)),FALSE())),$J1274,0)</f>
        <v>0</v>
      </c>
      <c r="Q1274" s="64" t="n">
        <f aca="false">IF(AND($P1274&gt;0,$O1274&gt;0),$P1274,0)</f>
        <v>0</v>
      </c>
      <c r="R1274" s="64" t="n">
        <f aca="false">IF(AND($Q1274&gt;0,$O1274&gt;=AtRank),$Q1274,0)</f>
        <v>0</v>
      </c>
      <c r="S1274" s="64" t="n">
        <f aca="false">IF(AND($Q1274&gt;0,$O1274&gt;=AboveRank),$Q1274,0)</f>
        <v>0</v>
      </c>
      <c r="T1274" s="64" t="n">
        <f aca="false">IF($K1274="Less",$P1274,0)</f>
        <v>0</v>
      </c>
      <c r="U1274" s="64" t="n">
        <f aca="false">IF($K1274="Expected",$P1274,0)</f>
        <v>0</v>
      </c>
      <c r="V1274" s="64" t="n">
        <f aca="false">IF($K1274="Better",$P1274,0)</f>
        <v>0</v>
      </c>
      <c r="W1274" s="64" t="n">
        <f aca="false">IF($K1274="U – needs rule",$P1274,0)</f>
        <v>0</v>
      </c>
      <c r="X1274" s="64" t="n">
        <f aca="false">IF($K1274="No Start (attainment only)",$P1274,0)</f>
        <v>0</v>
      </c>
    </row>
    <row r="1275" customFormat="false" ht="15" hidden="false" customHeight="false" outlineLevel="0" collapsed="false">
      <c r="A1275" s="60"/>
      <c r="B1275" s="61" t="str">
        <f aca="false">IF($M1275=0,"",INDEX(Classes!$E$6:$E$420,$M1275))</f>
        <v/>
      </c>
      <c r="C1275" s="62" t="str">
        <f aca="false">IF($M1275=0,"",INDEX(Classes!$H$6:$H$420,$M1275))</f>
        <v/>
      </c>
      <c r="D1275" s="61" t="str">
        <f aca="false">IF($M1275=0,"",INDEX(Classes!$B$6:$B$420,$M1275))</f>
        <v/>
      </c>
      <c r="E1275" s="61" t="str">
        <f aca="false">IF($M1275=0,"",INDEX(Classes!$C$6:$C$420,$M1275))</f>
        <v/>
      </c>
      <c r="F1275" s="63"/>
      <c r="G1275" s="63"/>
      <c r="H1275" s="60"/>
      <c r="I1275" s="60"/>
      <c r="J1275" s="63"/>
      <c r="K1275" s="61" t="str">
        <f aca="false">IF($P1275=0,"",IF($F1275="Baseline","— Baseline",IF($O1275=0,"No result",IF($N1275=0,"No Start (attainment only)",IF(OR($N1275=1,$O1275=1),"U – needs rule",INDEX(MxBody,MATCH($I1275,MxCurr,0),MATCH($H1275,MxStart,0)))))))</f>
        <v/>
      </c>
      <c r="L1275" s="62" t="str">
        <f aca="false">IF(COUNTA($A1275,$F1275,$G1275,$H1275,$I1275,$J1275)=0,"",IF($M1275=0,"✖ كود الصف غير موجود",IF(ISNA(MATCH($F1275,Lists!$A$2:$A$5,0)),"✖ الفترة غير صحيحة",IF(ISNA(MATCH($G1275,Lists!$B$2:$B$7,0)),"✖ المجموعة غير صحيحة",IF(NOT(OR($H1275="",$N1275&gt;0)),"✖ Start غير صحيح",IF(NOT(OR($I1275="",$I1275="NR",$O1275&gt;0)),"✖ Current غير صحيح",IF(NOT(IF(ISNUMBER($J1275),AND($J1275&gt;=0,$J1275=INT($J1275)),FALSE())),"✖ العدد يجب أن يكون صحيحًا ≥ 0",IF(AND($F1275="Baseline",$H1275&lt;&gt;""),"⚠ Baseline: Start لا يدخل في التقدم",IF($K1275="No Start (attainment only)","ℹ تحصيل فقط (بدون Start)",IF($K1275="U – needs rule","ℹ حالة U تحتاج قاعدة معتمدة",IF($K1275="No result","ℹ بدون نتيجة (يُستبعد من التحصيل)","OK")))))))))))</f>
        <v/>
      </c>
      <c r="M1275" s="64" t="n">
        <f aca="false">IF($A1275="",0,IFERROR(MATCH($A1275,Classes!$A$6:$A$420,0),0))</f>
        <v>0</v>
      </c>
      <c r="N1275" s="64" t="n">
        <f aca="false">IF($H1275="",0,IFERROR(MATCH($H1275,GradeList,0),0))</f>
        <v>0</v>
      </c>
      <c r="O1275" s="64" t="n">
        <f aca="false">IF(OR($I1275="",$I1275="NR"),0,IFERROR(MATCH($I1275,GradeList,0),0))</f>
        <v>0</v>
      </c>
      <c r="P1275" s="64" t="n">
        <f aca="false">IF(AND($M1275&gt;0,ISNUMBER(MATCH($F1275,Lists!$A$2:$A$5,0)),ISNUMBER(MATCH($G1275,Lists!$B$2:$B$7,0)),OR($H1275="",$N1275&gt;0),OR($I1275="",$I1275="NR",$O1275&gt;0),IF(ISNUMBER($J1275),AND($J1275&gt;=0,$J1275=INT($J1275)),FALSE())),$J1275,0)</f>
        <v>0</v>
      </c>
      <c r="Q1275" s="64" t="n">
        <f aca="false">IF(AND($P1275&gt;0,$O1275&gt;0),$P1275,0)</f>
        <v>0</v>
      </c>
      <c r="R1275" s="64" t="n">
        <f aca="false">IF(AND($Q1275&gt;0,$O1275&gt;=AtRank),$Q1275,0)</f>
        <v>0</v>
      </c>
      <c r="S1275" s="64" t="n">
        <f aca="false">IF(AND($Q1275&gt;0,$O1275&gt;=AboveRank),$Q1275,0)</f>
        <v>0</v>
      </c>
      <c r="T1275" s="64" t="n">
        <f aca="false">IF($K1275="Less",$P1275,0)</f>
        <v>0</v>
      </c>
      <c r="U1275" s="64" t="n">
        <f aca="false">IF($K1275="Expected",$P1275,0)</f>
        <v>0</v>
      </c>
      <c r="V1275" s="64" t="n">
        <f aca="false">IF($K1275="Better",$P1275,0)</f>
        <v>0</v>
      </c>
      <c r="W1275" s="64" t="n">
        <f aca="false">IF($K1275="U – needs rule",$P1275,0)</f>
        <v>0</v>
      </c>
      <c r="X1275" s="64" t="n">
        <f aca="false">IF($K1275="No Start (attainment only)",$P1275,0)</f>
        <v>0</v>
      </c>
    </row>
    <row r="1276" customFormat="false" ht="15" hidden="false" customHeight="false" outlineLevel="0" collapsed="false">
      <c r="A1276" s="60"/>
      <c r="B1276" s="61" t="str">
        <f aca="false">IF($M1276=0,"",INDEX(Classes!$E$6:$E$420,$M1276))</f>
        <v/>
      </c>
      <c r="C1276" s="62" t="str">
        <f aca="false">IF($M1276=0,"",INDEX(Classes!$H$6:$H$420,$M1276))</f>
        <v/>
      </c>
      <c r="D1276" s="61" t="str">
        <f aca="false">IF($M1276=0,"",INDEX(Classes!$B$6:$B$420,$M1276))</f>
        <v/>
      </c>
      <c r="E1276" s="61" t="str">
        <f aca="false">IF($M1276=0,"",INDEX(Classes!$C$6:$C$420,$M1276))</f>
        <v/>
      </c>
      <c r="F1276" s="63"/>
      <c r="G1276" s="63"/>
      <c r="H1276" s="60"/>
      <c r="I1276" s="60"/>
      <c r="J1276" s="63"/>
      <c r="K1276" s="61" t="str">
        <f aca="false">IF($P1276=0,"",IF($F1276="Baseline","— Baseline",IF($O1276=0,"No result",IF($N1276=0,"No Start (attainment only)",IF(OR($N1276=1,$O1276=1),"U – needs rule",INDEX(MxBody,MATCH($I1276,MxCurr,0),MATCH($H1276,MxStart,0)))))))</f>
        <v/>
      </c>
      <c r="L1276" s="62" t="str">
        <f aca="false">IF(COUNTA($A1276,$F1276,$G1276,$H1276,$I1276,$J1276)=0,"",IF($M1276=0,"✖ كود الصف غير موجود",IF(ISNA(MATCH($F1276,Lists!$A$2:$A$5,0)),"✖ الفترة غير صحيحة",IF(ISNA(MATCH($G1276,Lists!$B$2:$B$7,0)),"✖ المجموعة غير صحيحة",IF(NOT(OR($H1276="",$N1276&gt;0)),"✖ Start غير صحيح",IF(NOT(OR($I1276="",$I1276="NR",$O1276&gt;0)),"✖ Current غير صحيح",IF(NOT(IF(ISNUMBER($J1276),AND($J1276&gt;=0,$J1276=INT($J1276)),FALSE())),"✖ العدد يجب أن يكون صحيحًا ≥ 0",IF(AND($F1276="Baseline",$H1276&lt;&gt;""),"⚠ Baseline: Start لا يدخل في التقدم",IF($K1276="No Start (attainment only)","ℹ تحصيل فقط (بدون Start)",IF($K1276="U – needs rule","ℹ حالة U تحتاج قاعدة معتمدة",IF($K1276="No result","ℹ بدون نتيجة (يُستبعد من التحصيل)","OK")))))))))))</f>
        <v/>
      </c>
      <c r="M1276" s="64" t="n">
        <f aca="false">IF($A1276="",0,IFERROR(MATCH($A1276,Classes!$A$6:$A$420,0),0))</f>
        <v>0</v>
      </c>
      <c r="N1276" s="64" t="n">
        <f aca="false">IF($H1276="",0,IFERROR(MATCH($H1276,GradeList,0),0))</f>
        <v>0</v>
      </c>
      <c r="O1276" s="64" t="n">
        <f aca="false">IF(OR($I1276="",$I1276="NR"),0,IFERROR(MATCH($I1276,GradeList,0),0))</f>
        <v>0</v>
      </c>
      <c r="P1276" s="64" t="n">
        <f aca="false">IF(AND($M1276&gt;0,ISNUMBER(MATCH($F1276,Lists!$A$2:$A$5,0)),ISNUMBER(MATCH($G1276,Lists!$B$2:$B$7,0)),OR($H1276="",$N1276&gt;0),OR($I1276="",$I1276="NR",$O1276&gt;0),IF(ISNUMBER($J1276),AND($J1276&gt;=0,$J1276=INT($J1276)),FALSE())),$J1276,0)</f>
        <v>0</v>
      </c>
      <c r="Q1276" s="64" t="n">
        <f aca="false">IF(AND($P1276&gt;0,$O1276&gt;0),$P1276,0)</f>
        <v>0</v>
      </c>
      <c r="R1276" s="64" t="n">
        <f aca="false">IF(AND($Q1276&gt;0,$O1276&gt;=AtRank),$Q1276,0)</f>
        <v>0</v>
      </c>
      <c r="S1276" s="64" t="n">
        <f aca="false">IF(AND($Q1276&gt;0,$O1276&gt;=AboveRank),$Q1276,0)</f>
        <v>0</v>
      </c>
      <c r="T1276" s="64" t="n">
        <f aca="false">IF($K1276="Less",$P1276,0)</f>
        <v>0</v>
      </c>
      <c r="U1276" s="64" t="n">
        <f aca="false">IF($K1276="Expected",$P1276,0)</f>
        <v>0</v>
      </c>
      <c r="V1276" s="64" t="n">
        <f aca="false">IF($K1276="Better",$P1276,0)</f>
        <v>0</v>
      </c>
      <c r="W1276" s="64" t="n">
        <f aca="false">IF($K1276="U – needs rule",$P1276,0)</f>
        <v>0</v>
      </c>
      <c r="X1276" s="64" t="n">
        <f aca="false">IF($K1276="No Start (attainment only)",$P1276,0)</f>
        <v>0</v>
      </c>
    </row>
    <row r="1277" customFormat="false" ht="15" hidden="false" customHeight="false" outlineLevel="0" collapsed="false">
      <c r="A1277" s="60"/>
      <c r="B1277" s="61" t="str">
        <f aca="false">IF($M1277=0,"",INDEX(Classes!$E$6:$E$420,$M1277))</f>
        <v/>
      </c>
      <c r="C1277" s="62" t="str">
        <f aca="false">IF($M1277=0,"",INDEX(Classes!$H$6:$H$420,$M1277))</f>
        <v/>
      </c>
      <c r="D1277" s="61" t="str">
        <f aca="false">IF($M1277=0,"",INDEX(Classes!$B$6:$B$420,$M1277))</f>
        <v/>
      </c>
      <c r="E1277" s="61" t="str">
        <f aca="false">IF($M1277=0,"",INDEX(Classes!$C$6:$C$420,$M1277))</f>
        <v/>
      </c>
      <c r="F1277" s="63"/>
      <c r="G1277" s="63"/>
      <c r="H1277" s="60"/>
      <c r="I1277" s="60"/>
      <c r="J1277" s="63"/>
      <c r="K1277" s="61" t="str">
        <f aca="false">IF($P1277=0,"",IF($F1277="Baseline","— Baseline",IF($O1277=0,"No result",IF($N1277=0,"No Start (attainment only)",IF(OR($N1277=1,$O1277=1),"U – needs rule",INDEX(MxBody,MATCH($I1277,MxCurr,0),MATCH($H1277,MxStart,0)))))))</f>
        <v/>
      </c>
      <c r="L1277" s="62" t="str">
        <f aca="false">IF(COUNTA($A1277,$F1277,$G1277,$H1277,$I1277,$J1277)=0,"",IF($M1277=0,"✖ كود الصف غير موجود",IF(ISNA(MATCH($F1277,Lists!$A$2:$A$5,0)),"✖ الفترة غير صحيحة",IF(ISNA(MATCH($G1277,Lists!$B$2:$B$7,0)),"✖ المجموعة غير صحيحة",IF(NOT(OR($H1277="",$N1277&gt;0)),"✖ Start غير صحيح",IF(NOT(OR($I1277="",$I1277="NR",$O1277&gt;0)),"✖ Current غير صحيح",IF(NOT(IF(ISNUMBER($J1277),AND($J1277&gt;=0,$J1277=INT($J1277)),FALSE())),"✖ العدد يجب أن يكون صحيحًا ≥ 0",IF(AND($F1277="Baseline",$H1277&lt;&gt;""),"⚠ Baseline: Start لا يدخل في التقدم",IF($K1277="No Start (attainment only)","ℹ تحصيل فقط (بدون Start)",IF($K1277="U – needs rule","ℹ حالة U تحتاج قاعدة معتمدة",IF($K1277="No result","ℹ بدون نتيجة (يُستبعد من التحصيل)","OK")))))))))))</f>
        <v/>
      </c>
      <c r="M1277" s="64" t="n">
        <f aca="false">IF($A1277="",0,IFERROR(MATCH($A1277,Classes!$A$6:$A$420,0),0))</f>
        <v>0</v>
      </c>
      <c r="N1277" s="64" t="n">
        <f aca="false">IF($H1277="",0,IFERROR(MATCH($H1277,GradeList,0),0))</f>
        <v>0</v>
      </c>
      <c r="O1277" s="64" t="n">
        <f aca="false">IF(OR($I1277="",$I1277="NR"),0,IFERROR(MATCH($I1277,GradeList,0),0))</f>
        <v>0</v>
      </c>
      <c r="P1277" s="64" t="n">
        <f aca="false">IF(AND($M1277&gt;0,ISNUMBER(MATCH($F1277,Lists!$A$2:$A$5,0)),ISNUMBER(MATCH($G1277,Lists!$B$2:$B$7,0)),OR($H1277="",$N1277&gt;0),OR($I1277="",$I1277="NR",$O1277&gt;0),IF(ISNUMBER($J1277),AND($J1277&gt;=0,$J1277=INT($J1277)),FALSE())),$J1277,0)</f>
        <v>0</v>
      </c>
      <c r="Q1277" s="64" t="n">
        <f aca="false">IF(AND($P1277&gt;0,$O1277&gt;0),$P1277,0)</f>
        <v>0</v>
      </c>
      <c r="R1277" s="64" t="n">
        <f aca="false">IF(AND($Q1277&gt;0,$O1277&gt;=AtRank),$Q1277,0)</f>
        <v>0</v>
      </c>
      <c r="S1277" s="64" t="n">
        <f aca="false">IF(AND($Q1277&gt;0,$O1277&gt;=AboveRank),$Q1277,0)</f>
        <v>0</v>
      </c>
      <c r="T1277" s="64" t="n">
        <f aca="false">IF($K1277="Less",$P1277,0)</f>
        <v>0</v>
      </c>
      <c r="U1277" s="64" t="n">
        <f aca="false">IF($K1277="Expected",$P1277,0)</f>
        <v>0</v>
      </c>
      <c r="V1277" s="64" t="n">
        <f aca="false">IF($K1277="Better",$P1277,0)</f>
        <v>0</v>
      </c>
      <c r="W1277" s="64" t="n">
        <f aca="false">IF($K1277="U – needs rule",$P1277,0)</f>
        <v>0</v>
      </c>
      <c r="X1277" s="64" t="n">
        <f aca="false">IF($K1277="No Start (attainment only)",$P1277,0)</f>
        <v>0</v>
      </c>
    </row>
    <row r="1278" customFormat="false" ht="15" hidden="false" customHeight="false" outlineLevel="0" collapsed="false">
      <c r="A1278" s="60"/>
      <c r="B1278" s="61" t="str">
        <f aca="false">IF($M1278=0,"",INDEX(Classes!$E$6:$E$420,$M1278))</f>
        <v/>
      </c>
      <c r="C1278" s="62" t="str">
        <f aca="false">IF($M1278=0,"",INDEX(Classes!$H$6:$H$420,$M1278))</f>
        <v/>
      </c>
      <c r="D1278" s="61" t="str">
        <f aca="false">IF($M1278=0,"",INDEX(Classes!$B$6:$B$420,$M1278))</f>
        <v/>
      </c>
      <c r="E1278" s="61" t="str">
        <f aca="false">IF($M1278=0,"",INDEX(Classes!$C$6:$C$420,$M1278))</f>
        <v/>
      </c>
      <c r="F1278" s="63"/>
      <c r="G1278" s="63"/>
      <c r="H1278" s="60"/>
      <c r="I1278" s="60"/>
      <c r="J1278" s="63"/>
      <c r="K1278" s="61" t="str">
        <f aca="false">IF($P1278=0,"",IF($F1278="Baseline","— Baseline",IF($O1278=0,"No result",IF($N1278=0,"No Start (attainment only)",IF(OR($N1278=1,$O1278=1),"U – needs rule",INDEX(MxBody,MATCH($I1278,MxCurr,0),MATCH($H1278,MxStart,0)))))))</f>
        <v/>
      </c>
      <c r="L1278" s="62" t="str">
        <f aca="false">IF(COUNTA($A1278,$F1278,$G1278,$H1278,$I1278,$J1278)=0,"",IF($M1278=0,"✖ كود الصف غير موجود",IF(ISNA(MATCH($F1278,Lists!$A$2:$A$5,0)),"✖ الفترة غير صحيحة",IF(ISNA(MATCH($G1278,Lists!$B$2:$B$7,0)),"✖ المجموعة غير صحيحة",IF(NOT(OR($H1278="",$N1278&gt;0)),"✖ Start غير صحيح",IF(NOT(OR($I1278="",$I1278="NR",$O1278&gt;0)),"✖ Current غير صحيح",IF(NOT(IF(ISNUMBER($J1278),AND($J1278&gt;=0,$J1278=INT($J1278)),FALSE())),"✖ العدد يجب أن يكون صحيحًا ≥ 0",IF(AND($F1278="Baseline",$H1278&lt;&gt;""),"⚠ Baseline: Start لا يدخل في التقدم",IF($K1278="No Start (attainment only)","ℹ تحصيل فقط (بدون Start)",IF($K1278="U – needs rule","ℹ حالة U تحتاج قاعدة معتمدة",IF($K1278="No result","ℹ بدون نتيجة (يُستبعد من التحصيل)","OK")))))))))))</f>
        <v/>
      </c>
      <c r="M1278" s="64" t="n">
        <f aca="false">IF($A1278="",0,IFERROR(MATCH($A1278,Classes!$A$6:$A$420,0),0))</f>
        <v>0</v>
      </c>
      <c r="N1278" s="64" t="n">
        <f aca="false">IF($H1278="",0,IFERROR(MATCH($H1278,GradeList,0),0))</f>
        <v>0</v>
      </c>
      <c r="O1278" s="64" t="n">
        <f aca="false">IF(OR($I1278="",$I1278="NR"),0,IFERROR(MATCH($I1278,GradeList,0),0))</f>
        <v>0</v>
      </c>
      <c r="P1278" s="64" t="n">
        <f aca="false">IF(AND($M1278&gt;0,ISNUMBER(MATCH($F1278,Lists!$A$2:$A$5,0)),ISNUMBER(MATCH($G1278,Lists!$B$2:$B$7,0)),OR($H1278="",$N1278&gt;0),OR($I1278="",$I1278="NR",$O1278&gt;0),IF(ISNUMBER($J1278),AND($J1278&gt;=0,$J1278=INT($J1278)),FALSE())),$J1278,0)</f>
        <v>0</v>
      </c>
      <c r="Q1278" s="64" t="n">
        <f aca="false">IF(AND($P1278&gt;0,$O1278&gt;0),$P1278,0)</f>
        <v>0</v>
      </c>
      <c r="R1278" s="64" t="n">
        <f aca="false">IF(AND($Q1278&gt;0,$O1278&gt;=AtRank),$Q1278,0)</f>
        <v>0</v>
      </c>
      <c r="S1278" s="64" t="n">
        <f aca="false">IF(AND($Q1278&gt;0,$O1278&gt;=AboveRank),$Q1278,0)</f>
        <v>0</v>
      </c>
      <c r="T1278" s="64" t="n">
        <f aca="false">IF($K1278="Less",$P1278,0)</f>
        <v>0</v>
      </c>
      <c r="U1278" s="64" t="n">
        <f aca="false">IF($K1278="Expected",$P1278,0)</f>
        <v>0</v>
      </c>
      <c r="V1278" s="64" t="n">
        <f aca="false">IF($K1278="Better",$P1278,0)</f>
        <v>0</v>
      </c>
      <c r="W1278" s="64" t="n">
        <f aca="false">IF($K1278="U – needs rule",$P1278,0)</f>
        <v>0</v>
      </c>
      <c r="X1278" s="64" t="n">
        <f aca="false">IF($K1278="No Start (attainment only)",$P1278,0)</f>
        <v>0</v>
      </c>
    </row>
    <row r="1279" customFormat="false" ht="15" hidden="false" customHeight="false" outlineLevel="0" collapsed="false">
      <c r="A1279" s="60"/>
      <c r="B1279" s="61" t="str">
        <f aca="false">IF($M1279=0,"",INDEX(Classes!$E$6:$E$420,$M1279))</f>
        <v/>
      </c>
      <c r="C1279" s="62" t="str">
        <f aca="false">IF($M1279=0,"",INDEX(Classes!$H$6:$H$420,$M1279))</f>
        <v/>
      </c>
      <c r="D1279" s="61" t="str">
        <f aca="false">IF($M1279=0,"",INDEX(Classes!$B$6:$B$420,$M1279))</f>
        <v/>
      </c>
      <c r="E1279" s="61" t="str">
        <f aca="false">IF($M1279=0,"",INDEX(Classes!$C$6:$C$420,$M1279))</f>
        <v/>
      </c>
      <c r="F1279" s="63"/>
      <c r="G1279" s="63"/>
      <c r="H1279" s="60"/>
      <c r="I1279" s="60"/>
      <c r="J1279" s="63"/>
      <c r="K1279" s="61" t="str">
        <f aca="false">IF($P1279=0,"",IF($F1279="Baseline","— Baseline",IF($O1279=0,"No result",IF($N1279=0,"No Start (attainment only)",IF(OR($N1279=1,$O1279=1),"U – needs rule",INDEX(MxBody,MATCH($I1279,MxCurr,0),MATCH($H1279,MxStart,0)))))))</f>
        <v/>
      </c>
      <c r="L1279" s="62" t="str">
        <f aca="false">IF(COUNTA($A1279,$F1279,$G1279,$H1279,$I1279,$J1279)=0,"",IF($M1279=0,"✖ كود الصف غير موجود",IF(ISNA(MATCH($F1279,Lists!$A$2:$A$5,0)),"✖ الفترة غير صحيحة",IF(ISNA(MATCH($G1279,Lists!$B$2:$B$7,0)),"✖ المجموعة غير صحيحة",IF(NOT(OR($H1279="",$N1279&gt;0)),"✖ Start غير صحيح",IF(NOT(OR($I1279="",$I1279="NR",$O1279&gt;0)),"✖ Current غير صحيح",IF(NOT(IF(ISNUMBER($J1279),AND($J1279&gt;=0,$J1279=INT($J1279)),FALSE())),"✖ العدد يجب أن يكون صحيحًا ≥ 0",IF(AND($F1279="Baseline",$H1279&lt;&gt;""),"⚠ Baseline: Start لا يدخل في التقدم",IF($K1279="No Start (attainment only)","ℹ تحصيل فقط (بدون Start)",IF($K1279="U – needs rule","ℹ حالة U تحتاج قاعدة معتمدة",IF($K1279="No result","ℹ بدون نتيجة (يُستبعد من التحصيل)","OK")))))))))))</f>
        <v/>
      </c>
      <c r="M1279" s="64" t="n">
        <f aca="false">IF($A1279="",0,IFERROR(MATCH($A1279,Classes!$A$6:$A$420,0),0))</f>
        <v>0</v>
      </c>
      <c r="N1279" s="64" t="n">
        <f aca="false">IF($H1279="",0,IFERROR(MATCH($H1279,GradeList,0),0))</f>
        <v>0</v>
      </c>
      <c r="O1279" s="64" t="n">
        <f aca="false">IF(OR($I1279="",$I1279="NR"),0,IFERROR(MATCH($I1279,GradeList,0),0))</f>
        <v>0</v>
      </c>
      <c r="P1279" s="64" t="n">
        <f aca="false">IF(AND($M1279&gt;0,ISNUMBER(MATCH($F1279,Lists!$A$2:$A$5,0)),ISNUMBER(MATCH($G1279,Lists!$B$2:$B$7,0)),OR($H1279="",$N1279&gt;0),OR($I1279="",$I1279="NR",$O1279&gt;0),IF(ISNUMBER($J1279),AND($J1279&gt;=0,$J1279=INT($J1279)),FALSE())),$J1279,0)</f>
        <v>0</v>
      </c>
      <c r="Q1279" s="64" t="n">
        <f aca="false">IF(AND($P1279&gt;0,$O1279&gt;0),$P1279,0)</f>
        <v>0</v>
      </c>
      <c r="R1279" s="64" t="n">
        <f aca="false">IF(AND($Q1279&gt;0,$O1279&gt;=AtRank),$Q1279,0)</f>
        <v>0</v>
      </c>
      <c r="S1279" s="64" t="n">
        <f aca="false">IF(AND($Q1279&gt;0,$O1279&gt;=AboveRank),$Q1279,0)</f>
        <v>0</v>
      </c>
      <c r="T1279" s="64" t="n">
        <f aca="false">IF($K1279="Less",$P1279,0)</f>
        <v>0</v>
      </c>
      <c r="U1279" s="64" t="n">
        <f aca="false">IF($K1279="Expected",$P1279,0)</f>
        <v>0</v>
      </c>
      <c r="V1279" s="64" t="n">
        <f aca="false">IF($K1279="Better",$P1279,0)</f>
        <v>0</v>
      </c>
      <c r="W1279" s="64" t="n">
        <f aca="false">IF($K1279="U – needs rule",$P1279,0)</f>
        <v>0</v>
      </c>
      <c r="X1279" s="64" t="n">
        <f aca="false">IF($K1279="No Start (attainment only)",$P1279,0)</f>
        <v>0</v>
      </c>
    </row>
    <row r="1280" customFormat="false" ht="15" hidden="false" customHeight="false" outlineLevel="0" collapsed="false">
      <c r="A1280" s="60"/>
      <c r="B1280" s="61" t="str">
        <f aca="false">IF($M1280=0,"",INDEX(Classes!$E$6:$E$420,$M1280))</f>
        <v/>
      </c>
      <c r="C1280" s="62" t="str">
        <f aca="false">IF($M1280=0,"",INDEX(Classes!$H$6:$H$420,$M1280))</f>
        <v/>
      </c>
      <c r="D1280" s="61" t="str">
        <f aca="false">IF($M1280=0,"",INDEX(Classes!$B$6:$B$420,$M1280))</f>
        <v/>
      </c>
      <c r="E1280" s="61" t="str">
        <f aca="false">IF($M1280=0,"",INDEX(Classes!$C$6:$C$420,$M1280))</f>
        <v/>
      </c>
      <c r="F1280" s="63"/>
      <c r="G1280" s="63"/>
      <c r="H1280" s="60"/>
      <c r="I1280" s="60"/>
      <c r="J1280" s="63"/>
      <c r="K1280" s="61" t="str">
        <f aca="false">IF($P1280=0,"",IF($F1280="Baseline","— Baseline",IF($O1280=0,"No result",IF($N1280=0,"No Start (attainment only)",IF(OR($N1280=1,$O1280=1),"U – needs rule",INDEX(MxBody,MATCH($I1280,MxCurr,0),MATCH($H1280,MxStart,0)))))))</f>
        <v/>
      </c>
      <c r="L1280" s="62" t="str">
        <f aca="false">IF(COUNTA($A1280,$F1280,$G1280,$H1280,$I1280,$J1280)=0,"",IF($M1280=0,"✖ كود الصف غير موجود",IF(ISNA(MATCH($F1280,Lists!$A$2:$A$5,0)),"✖ الفترة غير صحيحة",IF(ISNA(MATCH($G1280,Lists!$B$2:$B$7,0)),"✖ المجموعة غير صحيحة",IF(NOT(OR($H1280="",$N1280&gt;0)),"✖ Start غير صحيح",IF(NOT(OR($I1280="",$I1280="NR",$O1280&gt;0)),"✖ Current غير صحيح",IF(NOT(IF(ISNUMBER($J1280),AND($J1280&gt;=0,$J1280=INT($J1280)),FALSE())),"✖ العدد يجب أن يكون صحيحًا ≥ 0",IF(AND($F1280="Baseline",$H1280&lt;&gt;""),"⚠ Baseline: Start لا يدخل في التقدم",IF($K1280="No Start (attainment only)","ℹ تحصيل فقط (بدون Start)",IF($K1280="U – needs rule","ℹ حالة U تحتاج قاعدة معتمدة",IF($K1280="No result","ℹ بدون نتيجة (يُستبعد من التحصيل)","OK")))))))))))</f>
        <v/>
      </c>
      <c r="M1280" s="64" t="n">
        <f aca="false">IF($A1280="",0,IFERROR(MATCH($A1280,Classes!$A$6:$A$420,0),0))</f>
        <v>0</v>
      </c>
      <c r="N1280" s="64" t="n">
        <f aca="false">IF($H1280="",0,IFERROR(MATCH($H1280,GradeList,0),0))</f>
        <v>0</v>
      </c>
      <c r="O1280" s="64" t="n">
        <f aca="false">IF(OR($I1280="",$I1280="NR"),0,IFERROR(MATCH($I1280,GradeList,0),0))</f>
        <v>0</v>
      </c>
      <c r="P1280" s="64" t="n">
        <f aca="false">IF(AND($M1280&gt;0,ISNUMBER(MATCH($F1280,Lists!$A$2:$A$5,0)),ISNUMBER(MATCH($G1280,Lists!$B$2:$B$7,0)),OR($H1280="",$N1280&gt;0),OR($I1280="",$I1280="NR",$O1280&gt;0),IF(ISNUMBER($J1280),AND($J1280&gt;=0,$J1280=INT($J1280)),FALSE())),$J1280,0)</f>
        <v>0</v>
      </c>
      <c r="Q1280" s="64" t="n">
        <f aca="false">IF(AND($P1280&gt;0,$O1280&gt;0),$P1280,0)</f>
        <v>0</v>
      </c>
      <c r="R1280" s="64" t="n">
        <f aca="false">IF(AND($Q1280&gt;0,$O1280&gt;=AtRank),$Q1280,0)</f>
        <v>0</v>
      </c>
      <c r="S1280" s="64" t="n">
        <f aca="false">IF(AND($Q1280&gt;0,$O1280&gt;=AboveRank),$Q1280,0)</f>
        <v>0</v>
      </c>
      <c r="T1280" s="64" t="n">
        <f aca="false">IF($K1280="Less",$P1280,0)</f>
        <v>0</v>
      </c>
      <c r="U1280" s="64" t="n">
        <f aca="false">IF($K1280="Expected",$P1280,0)</f>
        <v>0</v>
      </c>
      <c r="V1280" s="64" t="n">
        <f aca="false">IF($K1280="Better",$P1280,0)</f>
        <v>0</v>
      </c>
      <c r="W1280" s="64" t="n">
        <f aca="false">IF($K1280="U – needs rule",$P1280,0)</f>
        <v>0</v>
      </c>
      <c r="X1280" s="64" t="n">
        <f aca="false">IF($K1280="No Start (attainment only)",$P1280,0)</f>
        <v>0</v>
      </c>
    </row>
    <row r="1281" customFormat="false" ht="15" hidden="false" customHeight="false" outlineLevel="0" collapsed="false">
      <c r="A1281" s="60"/>
      <c r="B1281" s="61" t="str">
        <f aca="false">IF($M1281=0,"",INDEX(Classes!$E$6:$E$420,$M1281))</f>
        <v/>
      </c>
      <c r="C1281" s="62" t="str">
        <f aca="false">IF($M1281=0,"",INDEX(Classes!$H$6:$H$420,$M1281))</f>
        <v/>
      </c>
      <c r="D1281" s="61" t="str">
        <f aca="false">IF($M1281=0,"",INDEX(Classes!$B$6:$B$420,$M1281))</f>
        <v/>
      </c>
      <c r="E1281" s="61" t="str">
        <f aca="false">IF($M1281=0,"",INDEX(Classes!$C$6:$C$420,$M1281))</f>
        <v/>
      </c>
      <c r="F1281" s="63"/>
      <c r="G1281" s="63"/>
      <c r="H1281" s="60"/>
      <c r="I1281" s="60"/>
      <c r="J1281" s="63"/>
      <c r="K1281" s="61" t="str">
        <f aca="false">IF($P1281=0,"",IF($F1281="Baseline","— Baseline",IF($O1281=0,"No result",IF($N1281=0,"No Start (attainment only)",IF(OR($N1281=1,$O1281=1),"U – needs rule",INDEX(MxBody,MATCH($I1281,MxCurr,0),MATCH($H1281,MxStart,0)))))))</f>
        <v/>
      </c>
      <c r="L1281" s="62" t="str">
        <f aca="false">IF(COUNTA($A1281,$F1281,$G1281,$H1281,$I1281,$J1281)=0,"",IF($M1281=0,"✖ كود الصف غير موجود",IF(ISNA(MATCH($F1281,Lists!$A$2:$A$5,0)),"✖ الفترة غير صحيحة",IF(ISNA(MATCH($G1281,Lists!$B$2:$B$7,0)),"✖ المجموعة غير صحيحة",IF(NOT(OR($H1281="",$N1281&gt;0)),"✖ Start غير صحيح",IF(NOT(OR($I1281="",$I1281="NR",$O1281&gt;0)),"✖ Current غير صحيح",IF(NOT(IF(ISNUMBER($J1281),AND($J1281&gt;=0,$J1281=INT($J1281)),FALSE())),"✖ العدد يجب أن يكون صحيحًا ≥ 0",IF(AND($F1281="Baseline",$H1281&lt;&gt;""),"⚠ Baseline: Start لا يدخل في التقدم",IF($K1281="No Start (attainment only)","ℹ تحصيل فقط (بدون Start)",IF($K1281="U – needs rule","ℹ حالة U تحتاج قاعدة معتمدة",IF($K1281="No result","ℹ بدون نتيجة (يُستبعد من التحصيل)","OK")))))))))))</f>
        <v/>
      </c>
      <c r="M1281" s="64" t="n">
        <f aca="false">IF($A1281="",0,IFERROR(MATCH($A1281,Classes!$A$6:$A$420,0),0))</f>
        <v>0</v>
      </c>
      <c r="N1281" s="64" t="n">
        <f aca="false">IF($H1281="",0,IFERROR(MATCH($H1281,GradeList,0),0))</f>
        <v>0</v>
      </c>
      <c r="O1281" s="64" t="n">
        <f aca="false">IF(OR($I1281="",$I1281="NR"),0,IFERROR(MATCH($I1281,GradeList,0),0))</f>
        <v>0</v>
      </c>
      <c r="P1281" s="64" t="n">
        <f aca="false">IF(AND($M1281&gt;0,ISNUMBER(MATCH($F1281,Lists!$A$2:$A$5,0)),ISNUMBER(MATCH($G1281,Lists!$B$2:$B$7,0)),OR($H1281="",$N1281&gt;0),OR($I1281="",$I1281="NR",$O1281&gt;0),IF(ISNUMBER($J1281),AND($J1281&gt;=0,$J1281=INT($J1281)),FALSE())),$J1281,0)</f>
        <v>0</v>
      </c>
      <c r="Q1281" s="64" t="n">
        <f aca="false">IF(AND($P1281&gt;0,$O1281&gt;0),$P1281,0)</f>
        <v>0</v>
      </c>
      <c r="R1281" s="64" t="n">
        <f aca="false">IF(AND($Q1281&gt;0,$O1281&gt;=AtRank),$Q1281,0)</f>
        <v>0</v>
      </c>
      <c r="S1281" s="64" t="n">
        <f aca="false">IF(AND($Q1281&gt;0,$O1281&gt;=AboveRank),$Q1281,0)</f>
        <v>0</v>
      </c>
      <c r="T1281" s="64" t="n">
        <f aca="false">IF($K1281="Less",$P1281,0)</f>
        <v>0</v>
      </c>
      <c r="U1281" s="64" t="n">
        <f aca="false">IF($K1281="Expected",$P1281,0)</f>
        <v>0</v>
      </c>
      <c r="V1281" s="64" t="n">
        <f aca="false">IF($K1281="Better",$P1281,0)</f>
        <v>0</v>
      </c>
      <c r="W1281" s="64" t="n">
        <f aca="false">IF($K1281="U – needs rule",$P1281,0)</f>
        <v>0</v>
      </c>
      <c r="X1281" s="64" t="n">
        <f aca="false">IF($K1281="No Start (attainment only)",$P1281,0)</f>
        <v>0</v>
      </c>
    </row>
    <row r="1282" customFormat="false" ht="15" hidden="false" customHeight="false" outlineLevel="0" collapsed="false">
      <c r="A1282" s="60"/>
      <c r="B1282" s="61" t="str">
        <f aca="false">IF($M1282=0,"",INDEX(Classes!$E$6:$E$420,$M1282))</f>
        <v/>
      </c>
      <c r="C1282" s="62" t="str">
        <f aca="false">IF($M1282=0,"",INDEX(Classes!$H$6:$H$420,$M1282))</f>
        <v/>
      </c>
      <c r="D1282" s="61" t="str">
        <f aca="false">IF($M1282=0,"",INDEX(Classes!$B$6:$B$420,$M1282))</f>
        <v/>
      </c>
      <c r="E1282" s="61" t="str">
        <f aca="false">IF($M1282=0,"",INDEX(Classes!$C$6:$C$420,$M1282))</f>
        <v/>
      </c>
      <c r="F1282" s="63"/>
      <c r="G1282" s="63"/>
      <c r="H1282" s="60"/>
      <c r="I1282" s="60"/>
      <c r="J1282" s="63"/>
      <c r="K1282" s="61" t="str">
        <f aca="false">IF($P1282=0,"",IF($F1282="Baseline","— Baseline",IF($O1282=0,"No result",IF($N1282=0,"No Start (attainment only)",IF(OR($N1282=1,$O1282=1),"U – needs rule",INDEX(MxBody,MATCH($I1282,MxCurr,0),MATCH($H1282,MxStart,0)))))))</f>
        <v/>
      </c>
      <c r="L1282" s="62" t="str">
        <f aca="false">IF(COUNTA($A1282,$F1282,$G1282,$H1282,$I1282,$J1282)=0,"",IF($M1282=0,"✖ كود الصف غير موجود",IF(ISNA(MATCH($F1282,Lists!$A$2:$A$5,0)),"✖ الفترة غير صحيحة",IF(ISNA(MATCH($G1282,Lists!$B$2:$B$7,0)),"✖ المجموعة غير صحيحة",IF(NOT(OR($H1282="",$N1282&gt;0)),"✖ Start غير صحيح",IF(NOT(OR($I1282="",$I1282="NR",$O1282&gt;0)),"✖ Current غير صحيح",IF(NOT(IF(ISNUMBER($J1282),AND($J1282&gt;=0,$J1282=INT($J1282)),FALSE())),"✖ العدد يجب أن يكون صحيحًا ≥ 0",IF(AND($F1282="Baseline",$H1282&lt;&gt;""),"⚠ Baseline: Start لا يدخل في التقدم",IF($K1282="No Start (attainment only)","ℹ تحصيل فقط (بدون Start)",IF($K1282="U – needs rule","ℹ حالة U تحتاج قاعدة معتمدة",IF($K1282="No result","ℹ بدون نتيجة (يُستبعد من التحصيل)","OK")))))))))))</f>
        <v/>
      </c>
      <c r="M1282" s="64" t="n">
        <f aca="false">IF($A1282="",0,IFERROR(MATCH($A1282,Classes!$A$6:$A$420,0),0))</f>
        <v>0</v>
      </c>
      <c r="N1282" s="64" t="n">
        <f aca="false">IF($H1282="",0,IFERROR(MATCH($H1282,GradeList,0),0))</f>
        <v>0</v>
      </c>
      <c r="O1282" s="64" t="n">
        <f aca="false">IF(OR($I1282="",$I1282="NR"),0,IFERROR(MATCH($I1282,GradeList,0),0))</f>
        <v>0</v>
      </c>
      <c r="P1282" s="64" t="n">
        <f aca="false">IF(AND($M1282&gt;0,ISNUMBER(MATCH($F1282,Lists!$A$2:$A$5,0)),ISNUMBER(MATCH($G1282,Lists!$B$2:$B$7,0)),OR($H1282="",$N1282&gt;0),OR($I1282="",$I1282="NR",$O1282&gt;0),IF(ISNUMBER($J1282),AND($J1282&gt;=0,$J1282=INT($J1282)),FALSE())),$J1282,0)</f>
        <v>0</v>
      </c>
      <c r="Q1282" s="64" t="n">
        <f aca="false">IF(AND($P1282&gt;0,$O1282&gt;0),$P1282,0)</f>
        <v>0</v>
      </c>
      <c r="R1282" s="64" t="n">
        <f aca="false">IF(AND($Q1282&gt;0,$O1282&gt;=AtRank),$Q1282,0)</f>
        <v>0</v>
      </c>
      <c r="S1282" s="64" t="n">
        <f aca="false">IF(AND($Q1282&gt;0,$O1282&gt;=AboveRank),$Q1282,0)</f>
        <v>0</v>
      </c>
      <c r="T1282" s="64" t="n">
        <f aca="false">IF($K1282="Less",$P1282,0)</f>
        <v>0</v>
      </c>
      <c r="U1282" s="64" t="n">
        <f aca="false">IF($K1282="Expected",$P1282,0)</f>
        <v>0</v>
      </c>
      <c r="V1282" s="64" t="n">
        <f aca="false">IF($K1282="Better",$P1282,0)</f>
        <v>0</v>
      </c>
      <c r="W1282" s="64" t="n">
        <f aca="false">IF($K1282="U – needs rule",$P1282,0)</f>
        <v>0</v>
      </c>
      <c r="X1282" s="64" t="n">
        <f aca="false">IF($K1282="No Start (attainment only)",$P1282,0)</f>
        <v>0</v>
      </c>
    </row>
    <row r="1283" customFormat="false" ht="15" hidden="false" customHeight="false" outlineLevel="0" collapsed="false">
      <c r="A1283" s="60"/>
      <c r="B1283" s="61" t="str">
        <f aca="false">IF($M1283=0,"",INDEX(Classes!$E$6:$E$420,$M1283))</f>
        <v/>
      </c>
      <c r="C1283" s="62" t="str">
        <f aca="false">IF($M1283=0,"",INDEX(Classes!$H$6:$H$420,$M1283))</f>
        <v/>
      </c>
      <c r="D1283" s="61" t="str">
        <f aca="false">IF($M1283=0,"",INDEX(Classes!$B$6:$B$420,$M1283))</f>
        <v/>
      </c>
      <c r="E1283" s="61" t="str">
        <f aca="false">IF($M1283=0,"",INDEX(Classes!$C$6:$C$420,$M1283))</f>
        <v/>
      </c>
      <c r="F1283" s="63"/>
      <c r="G1283" s="63"/>
      <c r="H1283" s="60"/>
      <c r="I1283" s="60"/>
      <c r="J1283" s="63"/>
      <c r="K1283" s="61" t="str">
        <f aca="false">IF($P1283=0,"",IF($F1283="Baseline","— Baseline",IF($O1283=0,"No result",IF($N1283=0,"No Start (attainment only)",IF(OR($N1283=1,$O1283=1),"U – needs rule",INDEX(MxBody,MATCH($I1283,MxCurr,0),MATCH($H1283,MxStart,0)))))))</f>
        <v/>
      </c>
      <c r="L1283" s="62" t="str">
        <f aca="false">IF(COUNTA($A1283,$F1283,$G1283,$H1283,$I1283,$J1283)=0,"",IF($M1283=0,"✖ كود الصف غير موجود",IF(ISNA(MATCH($F1283,Lists!$A$2:$A$5,0)),"✖ الفترة غير صحيحة",IF(ISNA(MATCH($G1283,Lists!$B$2:$B$7,0)),"✖ المجموعة غير صحيحة",IF(NOT(OR($H1283="",$N1283&gt;0)),"✖ Start غير صحيح",IF(NOT(OR($I1283="",$I1283="NR",$O1283&gt;0)),"✖ Current غير صحيح",IF(NOT(IF(ISNUMBER($J1283),AND($J1283&gt;=0,$J1283=INT($J1283)),FALSE())),"✖ العدد يجب أن يكون صحيحًا ≥ 0",IF(AND($F1283="Baseline",$H1283&lt;&gt;""),"⚠ Baseline: Start لا يدخل في التقدم",IF($K1283="No Start (attainment only)","ℹ تحصيل فقط (بدون Start)",IF($K1283="U – needs rule","ℹ حالة U تحتاج قاعدة معتمدة",IF($K1283="No result","ℹ بدون نتيجة (يُستبعد من التحصيل)","OK")))))))))))</f>
        <v/>
      </c>
      <c r="M1283" s="64" t="n">
        <f aca="false">IF($A1283="",0,IFERROR(MATCH($A1283,Classes!$A$6:$A$420,0),0))</f>
        <v>0</v>
      </c>
      <c r="N1283" s="64" t="n">
        <f aca="false">IF($H1283="",0,IFERROR(MATCH($H1283,GradeList,0),0))</f>
        <v>0</v>
      </c>
      <c r="O1283" s="64" t="n">
        <f aca="false">IF(OR($I1283="",$I1283="NR"),0,IFERROR(MATCH($I1283,GradeList,0),0))</f>
        <v>0</v>
      </c>
      <c r="P1283" s="64" t="n">
        <f aca="false">IF(AND($M1283&gt;0,ISNUMBER(MATCH($F1283,Lists!$A$2:$A$5,0)),ISNUMBER(MATCH($G1283,Lists!$B$2:$B$7,0)),OR($H1283="",$N1283&gt;0),OR($I1283="",$I1283="NR",$O1283&gt;0),IF(ISNUMBER($J1283),AND($J1283&gt;=0,$J1283=INT($J1283)),FALSE())),$J1283,0)</f>
        <v>0</v>
      </c>
      <c r="Q1283" s="64" t="n">
        <f aca="false">IF(AND($P1283&gt;0,$O1283&gt;0),$P1283,0)</f>
        <v>0</v>
      </c>
      <c r="R1283" s="64" t="n">
        <f aca="false">IF(AND($Q1283&gt;0,$O1283&gt;=AtRank),$Q1283,0)</f>
        <v>0</v>
      </c>
      <c r="S1283" s="64" t="n">
        <f aca="false">IF(AND($Q1283&gt;0,$O1283&gt;=AboveRank),$Q1283,0)</f>
        <v>0</v>
      </c>
      <c r="T1283" s="64" t="n">
        <f aca="false">IF($K1283="Less",$P1283,0)</f>
        <v>0</v>
      </c>
      <c r="U1283" s="64" t="n">
        <f aca="false">IF($K1283="Expected",$P1283,0)</f>
        <v>0</v>
      </c>
      <c r="V1283" s="64" t="n">
        <f aca="false">IF($K1283="Better",$P1283,0)</f>
        <v>0</v>
      </c>
      <c r="W1283" s="64" t="n">
        <f aca="false">IF($K1283="U – needs rule",$P1283,0)</f>
        <v>0</v>
      </c>
      <c r="X1283" s="64" t="n">
        <f aca="false">IF($K1283="No Start (attainment only)",$P1283,0)</f>
        <v>0</v>
      </c>
    </row>
    <row r="1284" customFormat="false" ht="15" hidden="false" customHeight="false" outlineLevel="0" collapsed="false">
      <c r="A1284" s="60"/>
      <c r="B1284" s="61" t="str">
        <f aca="false">IF($M1284=0,"",INDEX(Classes!$E$6:$E$420,$M1284))</f>
        <v/>
      </c>
      <c r="C1284" s="62" t="str">
        <f aca="false">IF($M1284=0,"",INDEX(Classes!$H$6:$H$420,$M1284))</f>
        <v/>
      </c>
      <c r="D1284" s="61" t="str">
        <f aca="false">IF($M1284=0,"",INDEX(Classes!$B$6:$B$420,$M1284))</f>
        <v/>
      </c>
      <c r="E1284" s="61" t="str">
        <f aca="false">IF($M1284=0,"",INDEX(Classes!$C$6:$C$420,$M1284))</f>
        <v/>
      </c>
      <c r="F1284" s="63"/>
      <c r="G1284" s="63"/>
      <c r="H1284" s="60"/>
      <c r="I1284" s="60"/>
      <c r="J1284" s="63"/>
      <c r="K1284" s="61" t="str">
        <f aca="false">IF($P1284=0,"",IF($F1284="Baseline","— Baseline",IF($O1284=0,"No result",IF($N1284=0,"No Start (attainment only)",IF(OR($N1284=1,$O1284=1),"U – needs rule",INDEX(MxBody,MATCH($I1284,MxCurr,0),MATCH($H1284,MxStart,0)))))))</f>
        <v/>
      </c>
      <c r="L1284" s="62" t="str">
        <f aca="false">IF(COUNTA($A1284,$F1284,$G1284,$H1284,$I1284,$J1284)=0,"",IF($M1284=0,"✖ كود الصف غير موجود",IF(ISNA(MATCH($F1284,Lists!$A$2:$A$5,0)),"✖ الفترة غير صحيحة",IF(ISNA(MATCH($G1284,Lists!$B$2:$B$7,0)),"✖ المجموعة غير صحيحة",IF(NOT(OR($H1284="",$N1284&gt;0)),"✖ Start غير صحيح",IF(NOT(OR($I1284="",$I1284="NR",$O1284&gt;0)),"✖ Current غير صحيح",IF(NOT(IF(ISNUMBER($J1284),AND($J1284&gt;=0,$J1284=INT($J1284)),FALSE())),"✖ العدد يجب أن يكون صحيحًا ≥ 0",IF(AND($F1284="Baseline",$H1284&lt;&gt;""),"⚠ Baseline: Start لا يدخل في التقدم",IF($K1284="No Start (attainment only)","ℹ تحصيل فقط (بدون Start)",IF($K1284="U – needs rule","ℹ حالة U تحتاج قاعدة معتمدة",IF($K1284="No result","ℹ بدون نتيجة (يُستبعد من التحصيل)","OK")))))))))))</f>
        <v/>
      </c>
      <c r="M1284" s="64" t="n">
        <f aca="false">IF($A1284="",0,IFERROR(MATCH($A1284,Classes!$A$6:$A$420,0),0))</f>
        <v>0</v>
      </c>
      <c r="N1284" s="64" t="n">
        <f aca="false">IF($H1284="",0,IFERROR(MATCH($H1284,GradeList,0),0))</f>
        <v>0</v>
      </c>
      <c r="O1284" s="64" t="n">
        <f aca="false">IF(OR($I1284="",$I1284="NR"),0,IFERROR(MATCH($I1284,GradeList,0),0))</f>
        <v>0</v>
      </c>
      <c r="P1284" s="64" t="n">
        <f aca="false">IF(AND($M1284&gt;0,ISNUMBER(MATCH($F1284,Lists!$A$2:$A$5,0)),ISNUMBER(MATCH($G1284,Lists!$B$2:$B$7,0)),OR($H1284="",$N1284&gt;0),OR($I1284="",$I1284="NR",$O1284&gt;0),IF(ISNUMBER($J1284),AND($J1284&gt;=0,$J1284=INT($J1284)),FALSE())),$J1284,0)</f>
        <v>0</v>
      </c>
      <c r="Q1284" s="64" t="n">
        <f aca="false">IF(AND($P1284&gt;0,$O1284&gt;0),$P1284,0)</f>
        <v>0</v>
      </c>
      <c r="R1284" s="64" t="n">
        <f aca="false">IF(AND($Q1284&gt;0,$O1284&gt;=AtRank),$Q1284,0)</f>
        <v>0</v>
      </c>
      <c r="S1284" s="64" t="n">
        <f aca="false">IF(AND($Q1284&gt;0,$O1284&gt;=AboveRank),$Q1284,0)</f>
        <v>0</v>
      </c>
      <c r="T1284" s="64" t="n">
        <f aca="false">IF($K1284="Less",$P1284,0)</f>
        <v>0</v>
      </c>
      <c r="U1284" s="64" t="n">
        <f aca="false">IF($K1284="Expected",$P1284,0)</f>
        <v>0</v>
      </c>
      <c r="V1284" s="64" t="n">
        <f aca="false">IF($K1284="Better",$P1284,0)</f>
        <v>0</v>
      </c>
      <c r="W1284" s="64" t="n">
        <f aca="false">IF($K1284="U – needs rule",$P1284,0)</f>
        <v>0</v>
      </c>
      <c r="X1284" s="64" t="n">
        <f aca="false">IF($K1284="No Start (attainment only)",$P1284,0)</f>
        <v>0</v>
      </c>
    </row>
    <row r="1285" customFormat="false" ht="15" hidden="false" customHeight="false" outlineLevel="0" collapsed="false">
      <c r="A1285" s="60"/>
      <c r="B1285" s="61" t="str">
        <f aca="false">IF($M1285=0,"",INDEX(Classes!$E$6:$E$420,$M1285))</f>
        <v/>
      </c>
      <c r="C1285" s="62" t="str">
        <f aca="false">IF($M1285=0,"",INDEX(Classes!$H$6:$H$420,$M1285))</f>
        <v/>
      </c>
      <c r="D1285" s="61" t="str">
        <f aca="false">IF($M1285=0,"",INDEX(Classes!$B$6:$B$420,$M1285))</f>
        <v/>
      </c>
      <c r="E1285" s="61" t="str">
        <f aca="false">IF($M1285=0,"",INDEX(Classes!$C$6:$C$420,$M1285))</f>
        <v/>
      </c>
      <c r="F1285" s="63"/>
      <c r="G1285" s="63"/>
      <c r="H1285" s="60"/>
      <c r="I1285" s="60"/>
      <c r="J1285" s="63"/>
      <c r="K1285" s="61" t="str">
        <f aca="false">IF($P1285=0,"",IF($F1285="Baseline","— Baseline",IF($O1285=0,"No result",IF($N1285=0,"No Start (attainment only)",IF(OR($N1285=1,$O1285=1),"U – needs rule",INDEX(MxBody,MATCH($I1285,MxCurr,0),MATCH($H1285,MxStart,0)))))))</f>
        <v/>
      </c>
      <c r="L1285" s="62" t="str">
        <f aca="false">IF(COUNTA($A1285,$F1285,$G1285,$H1285,$I1285,$J1285)=0,"",IF($M1285=0,"✖ كود الصف غير موجود",IF(ISNA(MATCH($F1285,Lists!$A$2:$A$5,0)),"✖ الفترة غير صحيحة",IF(ISNA(MATCH($G1285,Lists!$B$2:$B$7,0)),"✖ المجموعة غير صحيحة",IF(NOT(OR($H1285="",$N1285&gt;0)),"✖ Start غير صحيح",IF(NOT(OR($I1285="",$I1285="NR",$O1285&gt;0)),"✖ Current غير صحيح",IF(NOT(IF(ISNUMBER($J1285),AND($J1285&gt;=0,$J1285=INT($J1285)),FALSE())),"✖ العدد يجب أن يكون صحيحًا ≥ 0",IF(AND($F1285="Baseline",$H1285&lt;&gt;""),"⚠ Baseline: Start لا يدخل في التقدم",IF($K1285="No Start (attainment only)","ℹ تحصيل فقط (بدون Start)",IF($K1285="U – needs rule","ℹ حالة U تحتاج قاعدة معتمدة",IF($K1285="No result","ℹ بدون نتيجة (يُستبعد من التحصيل)","OK")))))))))))</f>
        <v/>
      </c>
      <c r="M1285" s="64" t="n">
        <f aca="false">IF($A1285="",0,IFERROR(MATCH($A1285,Classes!$A$6:$A$420,0),0))</f>
        <v>0</v>
      </c>
      <c r="N1285" s="64" t="n">
        <f aca="false">IF($H1285="",0,IFERROR(MATCH($H1285,GradeList,0),0))</f>
        <v>0</v>
      </c>
      <c r="O1285" s="64" t="n">
        <f aca="false">IF(OR($I1285="",$I1285="NR"),0,IFERROR(MATCH($I1285,GradeList,0),0))</f>
        <v>0</v>
      </c>
      <c r="P1285" s="64" t="n">
        <f aca="false">IF(AND($M1285&gt;0,ISNUMBER(MATCH($F1285,Lists!$A$2:$A$5,0)),ISNUMBER(MATCH($G1285,Lists!$B$2:$B$7,0)),OR($H1285="",$N1285&gt;0),OR($I1285="",$I1285="NR",$O1285&gt;0),IF(ISNUMBER($J1285),AND($J1285&gt;=0,$J1285=INT($J1285)),FALSE())),$J1285,0)</f>
        <v>0</v>
      </c>
      <c r="Q1285" s="64" t="n">
        <f aca="false">IF(AND($P1285&gt;0,$O1285&gt;0),$P1285,0)</f>
        <v>0</v>
      </c>
      <c r="R1285" s="64" t="n">
        <f aca="false">IF(AND($Q1285&gt;0,$O1285&gt;=AtRank),$Q1285,0)</f>
        <v>0</v>
      </c>
      <c r="S1285" s="64" t="n">
        <f aca="false">IF(AND($Q1285&gt;0,$O1285&gt;=AboveRank),$Q1285,0)</f>
        <v>0</v>
      </c>
      <c r="T1285" s="64" t="n">
        <f aca="false">IF($K1285="Less",$P1285,0)</f>
        <v>0</v>
      </c>
      <c r="U1285" s="64" t="n">
        <f aca="false">IF($K1285="Expected",$P1285,0)</f>
        <v>0</v>
      </c>
      <c r="V1285" s="64" t="n">
        <f aca="false">IF($K1285="Better",$P1285,0)</f>
        <v>0</v>
      </c>
      <c r="W1285" s="64" t="n">
        <f aca="false">IF($K1285="U – needs rule",$P1285,0)</f>
        <v>0</v>
      </c>
      <c r="X1285" s="64" t="n">
        <f aca="false">IF($K1285="No Start (attainment only)",$P1285,0)</f>
        <v>0</v>
      </c>
    </row>
    <row r="1286" customFormat="false" ht="15" hidden="false" customHeight="false" outlineLevel="0" collapsed="false">
      <c r="A1286" s="60"/>
      <c r="B1286" s="61" t="str">
        <f aca="false">IF($M1286=0,"",INDEX(Classes!$E$6:$E$420,$M1286))</f>
        <v/>
      </c>
      <c r="C1286" s="62" t="str">
        <f aca="false">IF($M1286=0,"",INDEX(Classes!$H$6:$H$420,$M1286))</f>
        <v/>
      </c>
      <c r="D1286" s="61" t="str">
        <f aca="false">IF($M1286=0,"",INDEX(Classes!$B$6:$B$420,$M1286))</f>
        <v/>
      </c>
      <c r="E1286" s="61" t="str">
        <f aca="false">IF($M1286=0,"",INDEX(Classes!$C$6:$C$420,$M1286))</f>
        <v/>
      </c>
      <c r="F1286" s="63"/>
      <c r="G1286" s="63"/>
      <c r="H1286" s="60"/>
      <c r="I1286" s="60"/>
      <c r="J1286" s="63"/>
      <c r="K1286" s="61" t="str">
        <f aca="false">IF($P1286=0,"",IF($F1286="Baseline","— Baseline",IF($O1286=0,"No result",IF($N1286=0,"No Start (attainment only)",IF(OR($N1286=1,$O1286=1),"U – needs rule",INDEX(MxBody,MATCH($I1286,MxCurr,0),MATCH($H1286,MxStart,0)))))))</f>
        <v/>
      </c>
      <c r="L1286" s="62" t="str">
        <f aca="false">IF(COUNTA($A1286,$F1286,$G1286,$H1286,$I1286,$J1286)=0,"",IF($M1286=0,"✖ كود الصف غير موجود",IF(ISNA(MATCH($F1286,Lists!$A$2:$A$5,0)),"✖ الفترة غير صحيحة",IF(ISNA(MATCH($G1286,Lists!$B$2:$B$7,0)),"✖ المجموعة غير صحيحة",IF(NOT(OR($H1286="",$N1286&gt;0)),"✖ Start غير صحيح",IF(NOT(OR($I1286="",$I1286="NR",$O1286&gt;0)),"✖ Current غير صحيح",IF(NOT(IF(ISNUMBER($J1286),AND($J1286&gt;=0,$J1286=INT($J1286)),FALSE())),"✖ العدد يجب أن يكون صحيحًا ≥ 0",IF(AND($F1286="Baseline",$H1286&lt;&gt;""),"⚠ Baseline: Start لا يدخل في التقدم",IF($K1286="No Start (attainment only)","ℹ تحصيل فقط (بدون Start)",IF($K1286="U – needs rule","ℹ حالة U تحتاج قاعدة معتمدة",IF($K1286="No result","ℹ بدون نتيجة (يُستبعد من التحصيل)","OK")))))))))))</f>
        <v/>
      </c>
      <c r="M1286" s="64" t="n">
        <f aca="false">IF($A1286="",0,IFERROR(MATCH($A1286,Classes!$A$6:$A$420,0),0))</f>
        <v>0</v>
      </c>
      <c r="N1286" s="64" t="n">
        <f aca="false">IF($H1286="",0,IFERROR(MATCH($H1286,GradeList,0),0))</f>
        <v>0</v>
      </c>
      <c r="O1286" s="64" t="n">
        <f aca="false">IF(OR($I1286="",$I1286="NR"),0,IFERROR(MATCH($I1286,GradeList,0),0))</f>
        <v>0</v>
      </c>
      <c r="P1286" s="64" t="n">
        <f aca="false">IF(AND($M1286&gt;0,ISNUMBER(MATCH($F1286,Lists!$A$2:$A$5,0)),ISNUMBER(MATCH($G1286,Lists!$B$2:$B$7,0)),OR($H1286="",$N1286&gt;0),OR($I1286="",$I1286="NR",$O1286&gt;0),IF(ISNUMBER($J1286),AND($J1286&gt;=0,$J1286=INT($J1286)),FALSE())),$J1286,0)</f>
        <v>0</v>
      </c>
      <c r="Q1286" s="64" t="n">
        <f aca="false">IF(AND($P1286&gt;0,$O1286&gt;0),$P1286,0)</f>
        <v>0</v>
      </c>
      <c r="R1286" s="64" t="n">
        <f aca="false">IF(AND($Q1286&gt;0,$O1286&gt;=AtRank),$Q1286,0)</f>
        <v>0</v>
      </c>
      <c r="S1286" s="64" t="n">
        <f aca="false">IF(AND($Q1286&gt;0,$O1286&gt;=AboveRank),$Q1286,0)</f>
        <v>0</v>
      </c>
      <c r="T1286" s="64" t="n">
        <f aca="false">IF($K1286="Less",$P1286,0)</f>
        <v>0</v>
      </c>
      <c r="U1286" s="64" t="n">
        <f aca="false">IF($K1286="Expected",$P1286,0)</f>
        <v>0</v>
      </c>
      <c r="V1286" s="64" t="n">
        <f aca="false">IF($K1286="Better",$P1286,0)</f>
        <v>0</v>
      </c>
      <c r="W1286" s="64" t="n">
        <f aca="false">IF($K1286="U – needs rule",$P1286,0)</f>
        <v>0</v>
      </c>
      <c r="X1286" s="64" t="n">
        <f aca="false">IF($K1286="No Start (attainment only)",$P1286,0)</f>
        <v>0</v>
      </c>
    </row>
    <row r="1287" customFormat="false" ht="15" hidden="false" customHeight="false" outlineLevel="0" collapsed="false">
      <c r="A1287" s="60"/>
      <c r="B1287" s="61" t="str">
        <f aca="false">IF($M1287=0,"",INDEX(Classes!$E$6:$E$420,$M1287))</f>
        <v/>
      </c>
      <c r="C1287" s="62" t="str">
        <f aca="false">IF($M1287=0,"",INDEX(Classes!$H$6:$H$420,$M1287))</f>
        <v/>
      </c>
      <c r="D1287" s="61" t="str">
        <f aca="false">IF($M1287=0,"",INDEX(Classes!$B$6:$B$420,$M1287))</f>
        <v/>
      </c>
      <c r="E1287" s="61" t="str">
        <f aca="false">IF($M1287=0,"",INDEX(Classes!$C$6:$C$420,$M1287))</f>
        <v/>
      </c>
      <c r="F1287" s="63"/>
      <c r="G1287" s="63"/>
      <c r="H1287" s="60"/>
      <c r="I1287" s="60"/>
      <c r="J1287" s="63"/>
      <c r="K1287" s="61" t="str">
        <f aca="false">IF($P1287=0,"",IF($F1287="Baseline","— Baseline",IF($O1287=0,"No result",IF($N1287=0,"No Start (attainment only)",IF(OR($N1287=1,$O1287=1),"U – needs rule",INDEX(MxBody,MATCH($I1287,MxCurr,0),MATCH($H1287,MxStart,0)))))))</f>
        <v/>
      </c>
      <c r="L1287" s="62" t="str">
        <f aca="false">IF(COUNTA($A1287,$F1287,$G1287,$H1287,$I1287,$J1287)=0,"",IF($M1287=0,"✖ كود الصف غير موجود",IF(ISNA(MATCH($F1287,Lists!$A$2:$A$5,0)),"✖ الفترة غير صحيحة",IF(ISNA(MATCH($G1287,Lists!$B$2:$B$7,0)),"✖ المجموعة غير صحيحة",IF(NOT(OR($H1287="",$N1287&gt;0)),"✖ Start غير صحيح",IF(NOT(OR($I1287="",$I1287="NR",$O1287&gt;0)),"✖ Current غير صحيح",IF(NOT(IF(ISNUMBER($J1287),AND($J1287&gt;=0,$J1287=INT($J1287)),FALSE())),"✖ العدد يجب أن يكون صحيحًا ≥ 0",IF(AND($F1287="Baseline",$H1287&lt;&gt;""),"⚠ Baseline: Start لا يدخل في التقدم",IF($K1287="No Start (attainment only)","ℹ تحصيل فقط (بدون Start)",IF($K1287="U – needs rule","ℹ حالة U تحتاج قاعدة معتمدة",IF($K1287="No result","ℹ بدون نتيجة (يُستبعد من التحصيل)","OK")))))))))))</f>
        <v/>
      </c>
      <c r="M1287" s="64" t="n">
        <f aca="false">IF($A1287="",0,IFERROR(MATCH($A1287,Classes!$A$6:$A$420,0),0))</f>
        <v>0</v>
      </c>
      <c r="N1287" s="64" t="n">
        <f aca="false">IF($H1287="",0,IFERROR(MATCH($H1287,GradeList,0),0))</f>
        <v>0</v>
      </c>
      <c r="O1287" s="64" t="n">
        <f aca="false">IF(OR($I1287="",$I1287="NR"),0,IFERROR(MATCH($I1287,GradeList,0),0))</f>
        <v>0</v>
      </c>
      <c r="P1287" s="64" t="n">
        <f aca="false">IF(AND($M1287&gt;0,ISNUMBER(MATCH($F1287,Lists!$A$2:$A$5,0)),ISNUMBER(MATCH($G1287,Lists!$B$2:$B$7,0)),OR($H1287="",$N1287&gt;0),OR($I1287="",$I1287="NR",$O1287&gt;0),IF(ISNUMBER($J1287),AND($J1287&gt;=0,$J1287=INT($J1287)),FALSE())),$J1287,0)</f>
        <v>0</v>
      </c>
      <c r="Q1287" s="64" t="n">
        <f aca="false">IF(AND($P1287&gt;0,$O1287&gt;0),$P1287,0)</f>
        <v>0</v>
      </c>
      <c r="R1287" s="64" t="n">
        <f aca="false">IF(AND($Q1287&gt;0,$O1287&gt;=AtRank),$Q1287,0)</f>
        <v>0</v>
      </c>
      <c r="S1287" s="64" t="n">
        <f aca="false">IF(AND($Q1287&gt;0,$O1287&gt;=AboveRank),$Q1287,0)</f>
        <v>0</v>
      </c>
      <c r="T1287" s="64" t="n">
        <f aca="false">IF($K1287="Less",$P1287,0)</f>
        <v>0</v>
      </c>
      <c r="U1287" s="64" t="n">
        <f aca="false">IF($K1287="Expected",$P1287,0)</f>
        <v>0</v>
      </c>
      <c r="V1287" s="64" t="n">
        <f aca="false">IF($K1287="Better",$P1287,0)</f>
        <v>0</v>
      </c>
      <c r="W1287" s="64" t="n">
        <f aca="false">IF($K1287="U – needs rule",$P1287,0)</f>
        <v>0</v>
      </c>
      <c r="X1287" s="64" t="n">
        <f aca="false">IF($K1287="No Start (attainment only)",$P1287,0)</f>
        <v>0</v>
      </c>
    </row>
    <row r="1288" customFormat="false" ht="15" hidden="false" customHeight="false" outlineLevel="0" collapsed="false">
      <c r="A1288" s="60"/>
      <c r="B1288" s="61" t="str">
        <f aca="false">IF($M1288=0,"",INDEX(Classes!$E$6:$E$420,$M1288))</f>
        <v/>
      </c>
      <c r="C1288" s="62" t="str">
        <f aca="false">IF($M1288=0,"",INDEX(Classes!$H$6:$H$420,$M1288))</f>
        <v/>
      </c>
      <c r="D1288" s="61" t="str">
        <f aca="false">IF($M1288=0,"",INDEX(Classes!$B$6:$B$420,$M1288))</f>
        <v/>
      </c>
      <c r="E1288" s="61" t="str">
        <f aca="false">IF($M1288=0,"",INDEX(Classes!$C$6:$C$420,$M1288))</f>
        <v/>
      </c>
      <c r="F1288" s="63"/>
      <c r="G1288" s="63"/>
      <c r="H1288" s="60"/>
      <c r="I1288" s="60"/>
      <c r="J1288" s="63"/>
      <c r="K1288" s="61" t="str">
        <f aca="false">IF($P1288=0,"",IF($F1288="Baseline","— Baseline",IF($O1288=0,"No result",IF($N1288=0,"No Start (attainment only)",IF(OR($N1288=1,$O1288=1),"U – needs rule",INDEX(MxBody,MATCH($I1288,MxCurr,0),MATCH($H1288,MxStart,0)))))))</f>
        <v/>
      </c>
      <c r="L1288" s="62" t="str">
        <f aca="false">IF(COUNTA($A1288,$F1288,$G1288,$H1288,$I1288,$J1288)=0,"",IF($M1288=0,"✖ كود الصف غير موجود",IF(ISNA(MATCH($F1288,Lists!$A$2:$A$5,0)),"✖ الفترة غير صحيحة",IF(ISNA(MATCH($G1288,Lists!$B$2:$B$7,0)),"✖ المجموعة غير صحيحة",IF(NOT(OR($H1288="",$N1288&gt;0)),"✖ Start غير صحيح",IF(NOT(OR($I1288="",$I1288="NR",$O1288&gt;0)),"✖ Current غير صحيح",IF(NOT(IF(ISNUMBER($J1288),AND($J1288&gt;=0,$J1288=INT($J1288)),FALSE())),"✖ العدد يجب أن يكون صحيحًا ≥ 0",IF(AND($F1288="Baseline",$H1288&lt;&gt;""),"⚠ Baseline: Start لا يدخل في التقدم",IF($K1288="No Start (attainment only)","ℹ تحصيل فقط (بدون Start)",IF($K1288="U – needs rule","ℹ حالة U تحتاج قاعدة معتمدة",IF($K1288="No result","ℹ بدون نتيجة (يُستبعد من التحصيل)","OK")))))))))))</f>
        <v/>
      </c>
      <c r="M1288" s="64" t="n">
        <f aca="false">IF($A1288="",0,IFERROR(MATCH($A1288,Classes!$A$6:$A$420,0),0))</f>
        <v>0</v>
      </c>
      <c r="N1288" s="64" t="n">
        <f aca="false">IF($H1288="",0,IFERROR(MATCH($H1288,GradeList,0),0))</f>
        <v>0</v>
      </c>
      <c r="O1288" s="64" t="n">
        <f aca="false">IF(OR($I1288="",$I1288="NR"),0,IFERROR(MATCH($I1288,GradeList,0),0))</f>
        <v>0</v>
      </c>
      <c r="P1288" s="64" t="n">
        <f aca="false">IF(AND($M1288&gt;0,ISNUMBER(MATCH($F1288,Lists!$A$2:$A$5,0)),ISNUMBER(MATCH($G1288,Lists!$B$2:$B$7,0)),OR($H1288="",$N1288&gt;0),OR($I1288="",$I1288="NR",$O1288&gt;0),IF(ISNUMBER($J1288),AND($J1288&gt;=0,$J1288=INT($J1288)),FALSE())),$J1288,0)</f>
        <v>0</v>
      </c>
      <c r="Q1288" s="64" t="n">
        <f aca="false">IF(AND($P1288&gt;0,$O1288&gt;0),$P1288,0)</f>
        <v>0</v>
      </c>
      <c r="R1288" s="64" t="n">
        <f aca="false">IF(AND($Q1288&gt;0,$O1288&gt;=AtRank),$Q1288,0)</f>
        <v>0</v>
      </c>
      <c r="S1288" s="64" t="n">
        <f aca="false">IF(AND($Q1288&gt;0,$O1288&gt;=AboveRank),$Q1288,0)</f>
        <v>0</v>
      </c>
      <c r="T1288" s="64" t="n">
        <f aca="false">IF($K1288="Less",$P1288,0)</f>
        <v>0</v>
      </c>
      <c r="U1288" s="64" t="n">
        <f aca="false">IF($K1288="Expected",$P1288,0)</f>
        <v>0</v>
      </c>
      <c r="V1288" s="64" t="n">
        <f aca="false">IF($K1288="Better",$P1288,0)</f>
        <v>0</v>
      </c>
      <c r="W1288" s="64" t="n">
        <f aca="false">IF($K1288="U – needs rule",$P1288,0)</f>
        <v>0</v>
      </c>
      <c r="X1288" s="64" t="n">
        <f aca="false">IF($K1288="No Start (attainment only)",$P1288,0)</f>
        <v>0</v>
      </c>
    </row>
    <row r="1289" customFormat="false" ht="15" hidden="false" customHeight="false" outlineLevel="0" collapsed="false">
      <c r="A1289" s="60"/>
      <c r="B1289" s="61" t="str">
        <f aca="false">IF($M1289=0,"",INDEX(Classes!$E$6:$E$420,$M1289))</f>
        <v/>
      </c>
      <c r="C1289" s="62" t="str">
        <f aca="false">IF($M1289=0,"",INDEX(Classes!$H$6:$H$420,$M1289))</f>
        <v/>
      </c>
      <c r="D1289" s="61" t="str">
        <f aca="false">IF($M1289=0,"",INDEX(Classes!$B$6:$B$420,$M1289))</f>
        <v/>
      </c>
      <c r="E1289" s="61" t="str">
        <f aca="false">IF($M1289=0,"",INDEX(Classes!$C$6:$C$420,$M1289))</f>
        <v/>
      </c>
      <c r="F1289" s="63"/>
      <c r="G1289" s="63"/>
      <c r="H1289" s="60"/>
      <c r="I1289" s="60"/>
      <c r="J1289" s="63"/>
      <c r="K1289" s="61" t="str">
        <f aca="false">IF($P1289=0,"",IF($F1289="Baseline","— Baseline",IF($O1289=0,"No result",IF($N1289=0,"No Start (attainment only)",IF(OR($N1289=1,$O1289=1),"U – needs rule",INDEX(MxBody,MATCH($I1289,MxCurr,0),MATCH($H1289,MxStart,0)))))))</f>
        <v/>
      </c>
      <c r="L1289" s="62" t="str">
        <f aca="false">IF(COUNTA($A1289,$F1289,$G1289,$H1289,$I1289,$J1289)=0,"",IF($M1289=0,"✖ كود الصف غير موجود",IF(ISNA(MATCH($F1289,Lists!$A$2:$A$5,0)),"✖ الفترة غير صحيحة",IF(ISNA(MATCH($G1289,Lists!$B$2:$B$7,0)),"✖ المجموعة غير صحيحة",IF(NOT(OR($H1289="",$N1289&gt;0)),"✖ Start غير صحيح",IF(NOT(OR($I1289="",$I1289="NR",$O1289&gt;0)),"✖ Current غير صحيح",IF(NOT(IF(ISNUMBER($J1289),AND($J1289&gt;=0,$J1289=INT($J1289)),FALSE())),"✖ العدد يجب أن يكون صحيحًا ≥ 0",IF(AND($F1289="Baseline",$H1289&lt;&gt;""),"⚠ Baseline: Start لا يدخل في التقدم",IF($K1289="No Start (attainment only)","ℹ تحصيل فقط (بدون Start)",IF($K1289="U – needs rule","ℹ حالة U تحتاج قاعدة معتمدة",IF($K1289="No result","ℹ بدون نتيجة (يُستبعد من التحصيل)","OK")))))))))))</f>
        <v/>
      </c>
      <c r="M1289" s="64" t="n">
        <f aca="false">IF($A1289="",0,IFERROR(MATCH($A1289,Classes!$A$6:$A$420,0),0))</f>
        <v>0</v>
      </c>
      <c r="N1289" s="64" t="n">
        <f aca="false">IF($H1289="",0,IFERROR(MATCH($H1289,GradeList,0),0))</f>
        <v>0</v>
      </c>
      <c r="O1289" s="64" t="n">
        <f aca="false">IF(OR($I1289="",$I1289="NR"),0,IFERROR(MATCH($I1289,GradeList,0),0))</f>
        <v>0</v>
      </c>
      <c r="P1289" s="64" t="n">
        <f aca="false">IF(AND($M1289&gt;0,ISNUMBER(MATCH($F1289,Lists!$A$2:$A$5,0)),ISNUMBER(MATCH($G1289,Lists!$B$2:$B$7,0)),OR($H1289="",$N1289&gt;0),OR($I1289="",$I1289="NR",$O1289&gt;0),IF(ISNUMBER($J1289),AND($J1289&gt;=0,$J1289=INT($J1289)),FALSE())),$J1289,0)</f>
        <v>0</v>
      </c>
      <c r="Q1289" s="64" t="n">
        <f aca="false">IF(AND($P1289&gt;0,$O1289&gt;0),$P1289,0)</f>
        <v>0</v>
      </c>
      <c r="R1289" s="64" t="n">
        <f aca="false">IF(AND($Q1289&gt;0,$O1289&gt;=AtRank),$Q1289,0)</f>
        <v>0</v>
      </c>
      <c r="S1289" s="64" t="n">
        <f aca="false">IF(AND($Q1289&gt;0,$O1289&gt;=AboveRank),$Q1289,0)</f>
        <v>0</v>
      </c>
      <c r="T1289" s="64" t="n">
        <f aca="false">IF($K1289="Less",$P1289,0)</f>
        <v>0</v>
      </c>
      <c r="U1289" s="64" t="n">
        <f aca="false">IF($K1289="Expected",$P1289,0)</f>
        <v>0</v>
      </c>
      <c r="V1289" s="64" t="n">
        <f aca="false">IF($K1289="Better",$P1289,0)</f>
        <v>0</v>
      </c>
      <c r="W1289" s="64" t="n">
        <f aca="false">IF($K1289="U – needs rule",$P1289,0)</f>
        <v>0</v>
      </c>
      <c r="X1289" s="64" t="n">
        <f aca="false">IF($K1289="No Start (attainment only)",$P1289,0)</f>
        <v>0</v>
      </c>
    </row>
    <row r="1290" customFormat="false" ht="15" hidden="false" customHeight="false" outlineLevel="0" collapsed="false">
      <c r="A1290" s="60"/>
      <c r="B1290" s="61" t="str">
        <f aca="false">IF($M1290=0,"",INDEX(Classes!$E$6:$E$420,$M1290))</f>
        <v/>
      </c>
      <c r="C1290" s="62" t="str">
        <f aca="false">IF($M1290=0,"",INDEX(Classes!$H$6:$H$420,$M1290))</f>
        <v/>
      </c>
      <c r="D1290" s="61" t="str">
        <f aca="false">IF($M1290=0,"",INDEX(Classes!$B$6:$B$420,$M1290))</f>
        <v/>
      </c>
      <c r="E1290" s="61" t="str">
        <f aca="false">IF($M1290=0,"",INDEX(Classes!$C$6:$C$420,$M1290))</f>
        <v/>
      </c>
      <c r="F1290" s="63"/>
      <c r="G1290" s="63"/>
      <c r="H1290" s="60"/>
      <c r="I1290" s="60"/>
      <c r="J1290" s="63"/>
      <c r="K1290" s="61" t="str">
        <f aca="false">IF($P1290=0,"",IF($F1290="Baseline","— Baseline",IF($O1290=0,"No result",IF($N1290=0,"No Start (attainment only)",IF(OR($N1290=1,$O1290=1),"U – needs rule",INDEX(MxBody,MATCH($I1290,MxCurr,0),MATCH($H1290,MxStart,0)))))))</f>
        <v/>
      </c>
      <c r="L1290" s="62" t="str">
        <f aca="false">IF(COUNTA($A1290,$F1290,$G1290,$H1290,$I1290,$J1290)=0,"",IF($M1290=0,"✖ كود الصف غير موجود",IF(ISNA(MATCH($F1290,Lists!$A$2:$A$5,0)),"✖ الفترة غير صحيحة",IF(ISNA(MATCH($G1290,Lists!$B$2:$B$7,0)),"✖ المجموعة غير صحيحة",IF(NOT(OR($H1290="",$N1290&gt;0)),"✖ Start غير صحيح",IF(NOT(OR($I1290="",$I1290="NR",$O1290&gt;0)),"✖ Current غير صحيح",IF(NOT(IF(ISNUMBER($J1290),AND($J1290&gt;=0,$J1290=INT($J1290)),FALSE())),"✖ العدد يجب أن يكون صحيحًا ≥ 0",IF(AND($F1290="Baseline",$H1290&lt;&gt;""),"⚠ Baseline: Start لا يدخل في التقدم",IF($K1290="No Start (attainment only)","ℹ تحصيل فقط (بدون Start)",IF($K1290="U – needs rule","ℹ حالة U تحتاج قاعدة معتمدة",IF($K1290="No result","ℹ بدون نتيجة (يُستبعد من التحصيل)","OK")))))))))))</f>
        <v/>
      </c>
      <c r="M1290" s="64" t="n">
        <f aca="false">IF($A1290="",0,IFERROR(MATCH($A1290,Classes!$A$6:$A$420,0),0))</f>
        <v>0</v>
      </c>
      <c r="N1290" s="64" t="n">
        <f aca="false">IF($H1290="",0,IFERROR(MATCH($H1290,GradeList,0),0))</f>
        <v>0</v>
      </c>
      <c r="O1290" s="64" t="n">
        <f aca="false">IF(OR($I1290="",$I1290="NR"),0,IFERROR(MATCH($I1290,GradeList,0),0))</f>
        <v>0</v>
      </c>
      <c r="P1290" s="64" t="n">
        <f aca="false">IF(AND($M1290&gt;0,ISNUMBER(MATCH($F1290,Lists!$A$2:$A$5,0)),ISNUMBER(MATCH($G1290,Lists!$B$2:$B$7,0)),OR($H1290="",$N1290&gt;0),OR($I1290="",$I1290="NR",$O1290&gt;0),IF(ISNUMBER($J1290),AND($J1290&gt;=0,$J1290=INT($J1290)),FALSE())),$J1290,0)</f>
        <v>0</v>
      </c>
      <c r="Q1290" s="64" t="n">
        <f aca="false">IF(AND($P1290&gt;0,$O1290&gt;0),$P1290,0)</f>
        <v>0</v>
      </c>
      <c r="R1290" s="64" t="n">
        <f aca="false">IF(AND($Q1290&gt;0,$O1290&gt;=AtRank),$Q1290,0)</f>
        <v>0</v>
      </c>
      <c r="S1290" s="64" t="n">
        <f aca="false">IF(AND($Q1290&gt;0,$O1290&gt;=AboveRank),$Q1290,0)</f>
        <v>0</v>
      </c>
      <c r="T1290" s="64" t="n">
        <f aca="false">IF($K1290="Less",$P1290,0)</f>
        <v>0</v>
      </c>
      <c r="U1290" s="64" t="n">
        <f aca="false">IF($K1290="Expected",$P1290,0)</f>
        <v>0</v>
      </c>
      <c r="V1290" s="64" t="n">
        <f aca="false">IF($K1290="Better",$P1290,0)</f>
        <v>0</v>
      </c>
      <c r="W1290" s="64" t="n">
        <f aca="false">IF($K1290="U – needs rule",$P1290,0)</f>
        <v>0</v>
      </c>
      <c r="X1290" s="64" t="n">
        <f aca="false">IF($K1290="No Start (attainment only)",$P1290,0)</f>
        <v>0</v>
      </c>
    </row>
    <row r="1291" customFormat="false" ht="15" hidden="false" customHeight="false" outlineLevel="0" collapsed="false">
      <c r="A1291" s="60"/>
      <c r="B1291" s="61" t="str">
        <f aca="false">IF($M1291=0,"",INDEX(Classes!$E$6:$E$420,$M1291))</f>
        <v/>
      </c>
      <c r="C1291" s="62" t="str">
        <f aca="false">IF($M1291=0,"",INDEX(Classes!$H$6:$H$420,$M1291))</f>
        <v/>
      </c>
      <c r="D1291" s="61" t="str">
        <f aca="false">IF($M1291=0,"",INDEX(Classes!$B$6:$B$420,$M1291))</f>
        <v/>
      </c>
      <c r="E1291" s="61" t="str">
        <f aca="false">IF($M1291=0,"",INDEX(Classes!$C$6:$C$420,$M1291))</f>
        <v/>
      </c>
      <c r="F1291" s="63"/>
      <c r="G1291" s="63"/>
      <c r="H1291" s="60"/>
      <c r="I1291" s="60"/>
      <c r="J1291" s="63"/>
      <c r="K1291" s="61" t="str">
        <f aca="false">IF($P1291=0,"",IF($F1291="Baseline","— Baseline",IF($O1291=0,"No result",IF($N1291=0,"No Start (attainment only)",IF(OR($N1291=1,$O1291=1),"U – needs rule",INDEX(MxBody,MATCH($I1291,MxCurr,0),MATCH($H1291,MxStart,0)))))))</f>
        <v/>
      </c>
      <c r="L1291" s="62" t="str">
        <f aca="false">IF(COUNTA($A1291,$F1291,$G1291,$H1291,$I1291,$J1291)=0,"",IF($M1291=0,"✖ كود الصف غير موجود",IF(ISNA(MATCH($F1291,Lists!$A$2:$A$5,0)),"✖ الفترة غير صحيحة",IF(ISNA(MATCH($G1291,Lists!$B$2:$B$7,0)),"✖ المجموعة غير صحيحة",IF(NOT(OR($H1291="",$N1291&gt;0)),"✖ Start غير صحيح",IF(NOT(OR($I1291="",$I1291="NR",$O1291&gt;0)),"✖ Current غير صحيح",IF(NOT(IF(ISNUMBER($J1291),AND($J1291&gt;=0,$J1291=INT($J1291)),FALSE())),"✖ العدد يجب أن يكون صحيحًا ≥ 0",IF(AND($F1291="Baseline",$H1291&lt;&gt;""),"⚠ Baseline: Start لا يدخل في التقدم",IF($K1291="No Start (attainment only)","ℹ تحصيل فقط (بدون Start)",IF($K1291="U – needs rule","ℹ حالة U تحتاج قاعدة معتمدة",IF($K1291="No result","ℹ بدون نتيجة (يُستبعد من التحصيل)","OK")))))))))))</f>
        <v/>
      </c>
      <c r="M1291" s="64" t="n">
        <f aca="false">IF($A1291="",0,IFERROR(MATCH($A1291,Classes!$A$6:$A$420,0),0))</f>
        <v>0</v>
      </c>
      <c r="N1291" s="64" t="n">
        <f aca="false">IF($H1291="",0,IFERROR(MATCH($H1291,GradeList,0),0))</f>
        <v>0</v>
      </c>
      <c r="O1291" s="64" t="n">
        <f aca="false">IF(OR($I1291="",$I1291="NR"),0,IFERROR(MATCH($I1291,GradeList,0),0))</f>
        <v>0</v>
      </c>
      <c r="P1291" s="64" t="n">
        <f aca="false">IF(AND($M1291&gt;0,ISNUMBER(MATCH($F1291,Lists!$A$2:$A$5,0)),ISNUMBER(MATCH($G1291,Lists!$B$2:$B$7,0)),OR($H1291="",$N1291&gt;0),OR($I1291="",$I1291="NR",$O1291&gt;0),IF(ISNUMBER($J1291),AND($J1291&gt;=0,$J1291=INT($J1291)),FALSE())),$J1291,0)</f>
        <v>0</v>
      </c>
      <c r="Q1291" s="64" t="n">
        <f aca="false">IF(AND($P1291&gt;0,$O1291&gt;0),$P1291,0)</f>
        <v>0</v>
      </c>
      <c r="R1291" s="64" t="n">
        <f aca="false">IF(AND($Q1291&gt;0,$O1291&gt;=AtRank),$Q1291,0)</f>
        <v>0</v>
      </c>
      <c r="S1291" s="64" t="n">
        <f aca="false">IF(AND($Q1291&gt;0,$O1291&gt;=AboveRank),$Q1291,0)</f>
        <v>0</v>
      </c>
      <c r="T1291" s="64" t="n">
        <f aca="false">IF($K1291="Less",$P1291,0)</f>
        <v>0</v>
      </c>
      <c r="U1291" s="64" t="n">
        <f aca="false">IF($K1291="Expected",$P1291,0)</f>
        <v>0</v>
      </c>
      <c r="V1291" s="64" t="n">
        <f aca="false">IF($K1291="Better",$P1291,0)</f>
        <v>0</v>
      </c>
      <c r="W1291" s="64" t="n">
        <f aca="false">IF($K1291="U – needs rule",$P1291,0)</f>
        <v>0</v>
      </c>
      <c r="X1291" s="64" t="n">
        <f aca="false">IF($K1291="No Start (attainment only)",$P1291,0)</f>
        <v>0</v>
      </c>
    </row>
    <row r="1292" customFormat="false" ht="15" hidden="false" customHeight="false" outlineLevel="0" collapsed="false">
      <c r="A1292" s="60"/>
      <c r="B1292" s="61" t="str">
        <f aca="false">IF($M1292=0,"",INDEX(Classes!$E$6:$E$420,$M1292))</f>
        <v/>
      </c>
      <c r="C1292" s="62" t="str">
        <f aca="false">IF($M1292=0,"",INDEX(Classes!$H$6:$H$420,$M1292))</f>
        <v/>
      </c>
      <c r="D1292" s="61" t="str">
        <f aca="false">IF($M1292=0,"",INDEX(Classes!$B$6:$B$420,$M1292))</f>
        <v/>
      </c>
      <c r="E1292" s="61" t="str">
        <f aca="false">IF($M1292=0,"",INDEX(Classes!$C$6:$C$420,$M1292))</f>
        <v/>
      </c>
      <c r="F1292" s="63"/>
      <c r="G1292" s="63"/>
      <c r="H1292" s="60"/>
      <c r="I1292" s="60"/>
      <c r="J1292" s="63"/>
      <c r="K1292" s="61" t="str">
        <f aca="false">IF($P1292=0,"",IF($F1292="Baseline","— Baseline",IF($O1292=0,"No result",IF($N1292=0,"No Start (attainment only)",IF(OR($N1292=1,$O1292=1),"U – needs rule",INDEX(MxBody,MATCH($I1292,MxCurr,0),MATCH($H1292,MxStart,0)))))))</f>
        <v/>
      </c>
      <c r="L1292" s="62" t="str">
        <f aca="false">IF(COUNTA($A1292,$F1292,$G1292,$H1292,$I1292,$J1292)=0,"",IF($M1292=0,"✖ كود الصف غير موجود",IF(ISNA(MATCH($F1292,Lists!$A$2:$A$5,0)),"✖ الفترة غير صحيحة",IF(ISNA(MATCH($G1292,Lists!$B$2:$B$7,0)),"✖ المجموعة غير صحيحة",IF(NOT(OR($H1292="",$N1292&gt;0)),"✖ Start غير صحيح",IF(NOT(OR($I1292="",$I1292="NR",$O1292&gt;0)),"✖ Current غير صحيح",IF(NOT(IF(ISNUMBER($J1292),AND($J1292&gt;=0,$J1292=INT($J1292)),FALSE())),"✖ العدد يجب أن يكون صحيحًا ≥ 0",IF(AND($F1292="Baseline",$H1292&lt;&gt;""),"⚠ Baseline: Start لا يدخل في التقدم",IF($K1292="No Start (attainment only)","ℹ تحصيل فقط (بدون Start)",IF($K1292="U – needs rule","ℹ حالة U تحتاج قاعدة معتمدة",IF($K1292="No result","ℹ بدون نتيجة (يُستبعد من التحصيل)","OK")))))))))))</f>
        <v/>
      </c>
      <c r="M1292" s="64" t="n">
        <f aca="false">IF($A1292="",0,IFERROR(MATCH($A1292,Classes!$A$6:$A$420,0),0))</f>
        <v>0</v>
      </c>
      <c r="N1292" s="64" t="n">
        <f aca="false">IF($H1292="",0,IFERROR(MATCH($H1292,GradeList,0),0))</f>
        <v>0</v>
      </c>
      <c r="O1292" s="64" t="n">
        <f aca="false">IF(OR($I1292="",$I1292="NR"),0,IFERROR(MATCH($I1292,GradeList,0),0))</f>
        <v>0</v>
      </c>
      <c r="P1292" s="64" t="n">
        <f aca="false">IF(AND($M1292&gt;0,ISNUMBER(MATCH($F1292,Lists!$A$2:$A$5,0)),ISNUMBER(MATCH($G1292,Lists!$B$2:$B$7,0)),OR($H1292="",$N1292&gt;0),OR($I1292="",$I1292="NR",$O1292&gt;0),IF(ISNUMBER($J1292),AND($J1292&gt;=0,$J1292=INT($J1292)),FALSE())),$J1292,0)</f>
        <v>0</v>
      </c>
      <c r="Q1292" s="64" t="n">
        <f aca="false">IF(AND($P1292&gt;0,$O1292&gt;0),$P1292,0)</f>
        <v>0</v>
      </c>
      <c r="R1292" s="64" t="n">
        <f aca="false">IF(AND($Q1292&gt;0,$O1292&gt;=AtRank),$Q1292,0)</f>
        <v>0</v>
      </c>
      <c r="S1292" s="64" t="n">
        <f aca="false">IF(AND($Q1292&gt;0,$O1292&gt;=AboveRank),$Q1292,0)</f>
        <v>0</v>
      </c>
      <c r="T1292" s="64" t="n">
        <f aca="false">IF($K1292="Less",$P1292,0)</f>
        <v>0</v>
      </c>
      <c r="U1292" s="64" t="n">
        <f aca="false">IF($K1292="Expected",$P1292,0)</f>
        <v>0</v>
      </c>
      <c r="V1292" s="64" t="n">
        <f aca="false">IF($K1292="Better",$P1292,0)</f>
        <v>0</v>
      </c>
      <c r="W1292" s="64" t="n">
        <f aca="false">IF($K1292="U – needs rule",$P1292,0)</f>
        <v>0</v>
      </c>
      <c r="X1292" s="64" t="n">
        <f aca="false">IF($K1292="No Start (attainment only)",$P1292,0)</f>
        <v>0</v>
      </c>
    </row>
    <row r="1293" customFormat="false" ht="15" hidden="false" customHeight="false" outlineLevel="0" collapsed="false">
      <c r="A1293" s="60"/>
      <c r="B1293" s="61" t="str">
        <f aca="false">IF($M1293=0,"",INDEX(Classes!$E$6:$E$420,$M1293))</f>
        <v/>
      </c>
      <c r="C1293" s="62" t="str">
        <f aca="false">IF($M1293=0,"",INDEX(Classes!$H$6:$H$420,$M1293))</f>
        <v/>
      </c>
      <c r="D1293" s="61" t="str">
        <f aca="false">IF($M1293=0,"",INDEX(Classes!$B$6:$B$420,$M1293))</f>
        <v/>
      </c>
      <c r="E1293" s="61" t="str">
        <f aca="false">IF($M1293=0,"",INDEX(Classes!$C$6:$C$420,$M1293))</f>
        <v/>
      </c>
      <c r="F1293" s="63"/>
      <c r="G1293" s="63"/>
      <c r="H1293" s="60"/>
      <c r="I1293" s="60"/>
      <c r="J1293" s="63"/>
      <c r="K1293" s="61" t="str">
        <f aca="false">IF($P1293=0,"",IF($F1293="Baseline","— Baseline",IF($O1293=0,"No result",IF($N1293=0,"No Start (attainment only)",IF(OR($N1293=1,$O1293=1),"U – needs rule",INDEX(MxBody,MATCH($I1293,MxCurr,0),MATCH($H1293,MxStart,0)))))))</f>
        <v/>
      </c>
      <c r="L1293" s="62" t="str">
        <f aca="false">IF(COUNTA($A1293,$F1293,$G1293,$H1293,$I1293,$J1293)=0,"",IF($M1293=0,"✖ كود الصف غير موجود",IF(ISNA(MATCH($F1293,Lists!$A$2:$A$5,0)),"✖ الفترة غير صحيحة",IF(ISNA(MATCH($G1293,Lists!$B$2:$B$7,0)),"✖ المجموعة غير صحيحة",IF(NOT(OR($H1293="",$N1293&gt;0)),"✖ Start غير صحيح",IF(NOT(OR($I1293="",$I1293="NR",$O1293&gt;0)),"✖ Current غير صحيح",IF(NOT(IF(ISNUMBER($J1293),AND($J1293&gt;=0,$J1293=INT($J1293)),FALSE())),"✖ العدد يجب أن يكون صحيحًا ≥ 0",IF(AND($F1293="Baseline",$H1293&lt;&gt;""),"⚠ Baseline: Start لا يدخل في التقدم",IF($K1293="No Start (attainment only)","ℹ تحصيل فقط (بدون Start)",IF($K1293="U – needs rule","ℹ حالة U تحتاج قاعدة معتمدة",IF($K1293="No result","ℹ بدون نتيجة (يُستبعد من التحصيل)","OK")))))))))))</f>
        <v/>
      </c>
      <c r="M1293" s="64" t="n">
        <f aca="false">IF($A1293="",0,IFERROR(MATCH($A1293,Classes!$A$6:$A$420,0),0))</f>
        <v>0</v>
      </c>
      <c r="N1293" s="64" t="n">
        <f aca="false">IF($H1293="",0,IFERROR(MATCH($H1293,GradeList,0),0))</f>
        <v>0</v>
      </c>
      <c r="O1293" s="64" t="n">
        <f aca="false">IF(OR($I1293="",$I1293="NR"),0,IFERROR(MATCH($I1293,GradeList,0),0))</f>
        <v>0</v>
      </c>
      <c r="P1293" s="64" t="n">
        <f aca="false">IF(AND($M1293&gt;0,ISNUMBER(MATCH($F1293,Lists!$A$2:$A$5,0)),ISNUMBER(MATCH($G1293,Lists!$B$2:$B$7,0)),OR($H1293="",$N1293&gt;0),OR($I1293="",$I1293="NR",$O1293&gt;0),IF(ISNUMBER($J1293),AND($J1293&gt;=0,$J1293=INT($J1293)),FALSE())),$J1293,0)</f>
        <v>0</v>
      </c>
      <c r="Q1293" s="64" t="n">
        <f aca="false">IF(AND($P1293&gt;0,$O1293&gt;0),$P1293,0)</f>
        <v>0</v>
      </c>
      <c r="R1293" s="64" t="n">
        <f aca="false">IF(AND($Q1293&gt;0,$O1293&gt;=AtRank),$Q1293,0)</f>
        <v>0</v>
      </c>
      <c r="S1293" s="64" t="n">
        <f aca="false">IF(AND($Q1293&gt;0,$O1293&gt;=AboveRank),$Q1293,0)</f>
        <v>0</v>
      </c>
      <c r="T1293" s="64" t="n">
        <f aca="false">IF($K1293="Less",$P1293,0)</f>
        <v>0</v>
      </c>
      <c r="U1293" s="64" t="n">
        <f aca="false">IF($K1293="Expected",$P1293,0)</f>
        <v>0</v>
      </c>
      <c r="V1293" s="64" t="n">
        <f aca="false">IF($K1293="Better",$P1293,0)</f>
        <v>0</v>
      </c>
      <c r="W1293" s="64" t="n">
        <f aca="false">IF($K1293="U – needs rule",$P1293,0)</f>
        <v>0</v>
      </c>
      <c r="X1293" s="64" t="n">
        <f aca="false">IF($K1293="No Start (attainment only)",$P1293,0)</f>
        <v>0</v>
      </c>
    </row>
    <row r="1294" customFormat="false" ht="15" hidden="false" customHeight="false" outlineLevel="0" collapsed="false">
      <c r="A1294" s="60"/>
      <c r="B1294" s="61" t="str">
        <f aca="false">IF($M1294=0,"",INDEX(Classes!$E$6:$E$420,$M1294))</f>
        <v/>
      </c>
      <c r="C1294" s="62" t="str">
        <f aca="false">IF($M1294=0,"",INDEX(Classes!$H$6:$H$420,$M1294))</f>
        <v/>
      </c>
      <c r="D1294" s="61" t="str">
        <f aca="false">IF($M1294=0,"",INDEX(Classes!$B$6:$B$420,$M1294))</f>
        <v/>
      </c>
      <c r="E1294" s="61" t="str">
        <f aca="false">IF($M1294=0,"",INDEX(Classes!$C$6:$C$420,$M1294))</f>
        <v/>
      </c>
      <c r="F1294" s="63"/>
      <c r="G1294" s="63"/>
      <c r="H1294" s="60"/>
      <c r="I1294" s="60"/>
      <c r="J1294" s="63"/>
      <c r="K1294" s="61" t="str">
        <f aca="false">IF($P1294=0,"",IF($F1294="Baseline","— Baseline",IF($O1294=0,"No result",IF($N1294=0,"No Start (attainment only)",IF(OR($N1294=1,$O1294=1),"U – needs rule",INDEX(MxBody,MATCH($I1294,MxCurr,0),MATCH($H1294,MxStart,0)))))))</f>
        <v/>
      </c>
      <c r="L1294" s="62" t="str">
        <f aca="false">IF(COUNTA($A1294,$F1294,$G1294,$H1294,$I1294,$J1294)=0,"",IF($M1294=0,"✖ كود الصف غير موجود",IF(ISNA(MATCH($F1294,Lists!$A$2:$A$5,0)),"✖ الفترة غير صحيحة",IF(ISNA(MATCH($G1294,Lists!$B$2:$B$7,0)),"✖ المجموعة غير صحيحة",IF(NOT(OR($H1294="",$N1294&gt;0)),"✖ Start غير صحيح",IF(NOT(OR($I1294="",$I1294="NR",$O1294&gt;0)),"✖ Current غير صحيح",IF(NOT(IF(ISNUMBER($J1294),AND($J1294&gt;=0,$J1294=INT($J1294)),FALSE())),"✖ العدد يجب أن يكون صحيحًا ≥ 0",IF(AND($F1294="Baseline",$H1294&lt;&gt;""),"⚠ Baseline: Start لا يدخل في التقدم",IF($K1294="No Start (attainment only)","ℹ تحصيل فقط (بدون Start)",IF($K1294="U – needs rule","ℹ حالة U تحتاج قاعدة معتمدة",IF($K1294="No result","ℹ بدون نتيجة (يُستبعد من التحصيل)","OK")))))))))))</f>
        <v/>
      </c>
      <c r="M1294" s="64" t="n">
        <f aca="false">IF($A1294="",0,IFERROR(MATCH($A1294,Classes!$A$6:$A$420,0),0))</f>
        <v>0</v>
      </c>
      <c r="N1294" s="64" t="n">
        <f aca="false">IF($H1294="",0,IFERROR(MATCH($H1294,GradeList,0),0))</f>
        <v>0</v>
      </c>
      <c r="O1294" s="64" t="n">
        <f aca="false">IF(OR($I1294="",$I1294="NR"),0,IFERROR(MATCH($I1294,GradeList,0),0))</f>
        <v>0</v>
      </c>
      <c r="P1294" s="64" t="n">
        <f aca="false">IF(AND($M1294&gt;0,ISNUMBER(MATCH($F1294,Lists!$A$2:$A$5,0)),ISNUMBER(MATCH($G1294,Lists!$B$2:$B$7,0)),OR($H1294="",$N1294&gt;0),OR($I1294="",$I1294="NR",$O1294&gt;0),IF(ISNUMBER($J1294),AND($J1294&gt;=0,$J1294=INT($J1294)),FALSE())),$J1294,0)</f>
        <v>0</v>
      </c>
      <c r="Q1294" s="64" t="n">
        <f aca="false">IF(AND($P1294&gt;0,$O1294&gt;0),$P1294,0)</f>
        <v>0</v>
      </c>
      <c r="R1294" s="64" t="n">
        <f aca="false">IF(AND($Q1294&gt;0,$O1294&gt;=AtRank),$Q1294,0)</f>
        <v>0</v>
      </c>
      <c r="S1294" s="64" t="n">
        <f aca="false">IF(AND($Q1294&gt;0,$O1294&gt;=AboveRank),$Q1294,0)</f>
        <v>0</v>
      </c>
      <c r="T1294" s="64" t="n">
        <f aca="false">IF($K1294="Less",$P1294,0)</f>
        <v>0</v>
      </c>
      <c r="U1294" s="64" t="n">
        <f aca="false">IF($K1294="Expected",$P1294,0)</f>
        <v>0</v>
      </c>
      <c r="V1294" s="64" t="n">
        <f aca="false">IF($K1294="Better",$P1294,0)</f>
        <v>0</v>
      </c>
      <c r="W1294" s="64" t="n">
        <f aca="false">IF($K1294="U – needs rule",$P1294,0)</f>
        <v>0</v>
      </c>
      <c r="X1294" s="64" t="n">
        <f aca="false">IF($K1294="No Start (attainment only)",$P1294,0)</f>
        <v>0</v>
      </c>
    </row>
    <row r="1295" customFormat="false" ht="15" hidden="false" customHeight="false" outlineLevel="0" collapsed="false">
      <c r="A1295" s="60"/>
      <c r="B1295" s="61" t="str">
        <f aca="false">IF($M1295=0,"",INDEX(Classes!$E$6:$E$420,$M1295))</f>
        <v/>
      </c>
      <c r="C1295" s="62" t="str">
        <f aca="false">IF($M1295=0,"",INDEX(Classes!$H$6:$H$420,$M1295))</f>
        <v/>
      </c>
      <c r="D1295" s="61" t="str">
        <f aca="false">IF($M1295=0,"",INDEX(Classes!$B$6:$B$420,$M1295))</f>
        <v/>
      </c>
      <c r="E1295" s="61" t="str">
        <f aca="false">IF($M1295=0,"",INDEX(Classes!$C$6:$C$420,$M1295))</f>
        <v/>
      </c>
      <c r="F1295" s="63"/>
      <c r="G1295" s="63"/>
      <c r="H1295" s="60"/>
      <c r="I1295" s="60"/>
      <c r="J1295" s="63"/>
      <c r="K1295" s="61" t="str">
        <f aca="false">IF($P1295=0,"",IF($F1295="Baseline","— Baseline",IF($O1295=0,"No result",IF($N1295=0,"No Start (attainment only)",IF(OR($N1295=1,$O1295=1),"U – needs rule",INDEX(MxBody,MATCH($I1295,MxCurr,0),MATCH($H1295,MxStart,0)))))))</f>
        <v/>
      </c>
      <c r="L1295" s="62" t="str">
        <f aca="false">IF(COUNTA($A1295,$F1295,$G1295,$H1295,$I1295,$J1295)=0,"",IF($M1295=0,"✖ كود الصف غير موجود",IF(ISNA(MATCH($F1295,Lists!$A$2:$A$5,0)),"✖ الفترة غير صحيحة",IF(ISNA(MATCH($G1295,Lists!$B$2:$B$7,0)),"✖ المجموعة غير صحيحة",IF(NOT(OR($H1295="",$N1295&gt;0)),"✖ Start غير صحيح",IF(NOT(OR($I1295="",$I1295="NR",$O1295&gt;0)),"✖ Current غير صحيح",IF(NOT(IF(ISNUMBER($J1295),AND($J1295&gt;=0,$J1295=INT($J1295)),FALSE())),"✖ العدد يجب أن يكون صحيحًا ≥ 0",IF(AND($F1295="Baseline",$H1295&lt;&gt;""),"⚠ Baseline: Start لا يدخل في التقدم",IF($K1295="No Start (attainment only)","ℹ تحصيل فقط (بدون Start)",IF($K1295="U – needs rule","ℹ حالة U تحتاج قاعدة معتمدة",IF($K1295="No result","ℹ بدون نتيجة (يُستبعد من التحصيل)","OK")))))))))))</f>
        <v/>
      </c>
      <c r="M1295" s="64" t="n">
        <f aca="false">IF($A1295="",0,IFERROR(MATCH($A1295,Classes!$A$6:$A$420,0),0))</f>
        <v>0</v>
      </c>
      <c r="N1295" s="64" t="n">
        <f aca="false">IF($H1295="",0,IFERROR(MATCH($H1295,GradeList,0),0))</f>
        <v>0</v>
      </c>
      <c r="O1295" s="64" t="n">
        <f aca="false">IF(OR($I1295="",$I1295="NR"),0,IFERROR(MATCH($I1295,GradeList,0),0))</f>
        <v>0</v>
      </c>
      <c r="P1295" s="64" t="n">
        <f aca="false">IF(AND($M1295&gt;0,ISNUMBER(MATCH($F1295,Lists!$A$2:$A$5,0)),ISNUMBER(MATCH($G1295,Lists!$B$2:$B$7,0)),OR($H1295="",$N1295&gt;0),OR($I1295="",$I1295="NR",$O1295&gt;0),IF(ISNUMBER($J1295),AND($J1295&gt;=0,$J1295=INT($J1295)),FALSE())),$J1295,0)</f>
        <v>0</v>
      </c>
      <c r="Q1295" s="64" t="n">
        <f aca="false">IF(AND($P1295&gt;0,$O1295&gt;0),$P1295,0)</f>
        <v>0</v>
      </c>
      <c r="R1295" s="64" t="n">
        <f aca="false">IF(AND($Q1295&gt;0,$O1295&gt;=AtRank),$Q1295,0)</f>
        <v>0</v>
      </c>
      <c r="S1295" s="64" t="n">
        <f aca="false">IF(AND($Q1295&gt;0,$O1295&gt;=AboveRank),$Q1295,0)</f>
        <v>0</v>
      </c>
      <c r="T1295" s="64" t="n">
        <f aca="false">IF($K1295="Less",$P1295,0)</f>
        <v>0</v>
      </c>
      <c r="U1295" s="64" t="n">
        <f aca="false">IF($K1295="Expected",$P1295,0)</f>
        <v>0</v>
      </c>
      <c r="V1295" s="64" t="n">
        <f aca="false">IF($K1295="Better",$P1295,0)</f>
        <v>0</v>
      </c>
      <c r="W1295" s="64" t="n">
        <f aca="false">IF($K1295="U – needs rule",$P1295,0)</f>
        <v>0</v>
      </c>
      <c r="X1295" s="64" t="n">
        <f aca="false">IF($K1295="No Start (attainment only)",$P1295,0)</f>
        <v>0</v>
      </c>
    </row>
    <row r="1296" customFormat="false" ht="15" hidden="false" customHeight="false" outlineLevel="0" collapsed="false">
      <c r="A1296" s="60"/>
      <c r="B1296" s="61" t="str">
        <f aca="false">IF($M1296=0,"",INDEX(Classes!$E$6:$E$420,$M1296))</f>
        <v/>
      </c>
      <c r="C1296" s="62" t="str">
        <f aca="false">IF($M1296=0,"",INDEX(Classes!$H$6:$H$420,$M1296))</f>
        <v/>
      </c>
      <c r="D1296" s="61" t="str">
        <f aca="false">IF($M1296=0,"",INDEX(Classes!$B$6:$B$420,$M1296))</f>
        <v/>
      </c>
      <c r="E1296" s="61" t="str">
        <f aca="false">IF($M1296=0,"",INDEX(Classes!$C$6:$C$420,$M1296))</f>
        <v/>
      </c>
      <c r="F1296" s="63"/>
      <c r="G1296" s="63"/>
      <c r="H1296" s="60"/>
      <c r="I1296" s="60"/>
      <c r="J1296" s="63"/>
      <c r="K1296" s="61" t="str">
        <f aca="false">IF($P1296=0,"",IF($F1296="Baseline","— Baseline",IF($O1296=0,"No result",IF($N1296=0,"No Start (attainment only)",IF(OR($N1296=1,$O1296=1),"U – needs rule",INDEX(MxBody,MATCH($I1296,MxCurr,0),MATCH($H1296,MxStart,0)))))))</f>
        <v/>
      </c>
      <c r="L1296" s="62" t="str">
        <f aca="false">IF(COUNTA($A1296,$F1296,$G1296,$H1296,$I1296,$J1296)=0,"",IF($M1296=0,"✖ كود الصف غير موجود",IF(ISNA(MATCH($F1296,Lists!$A$2:$A$5,0)),"✖ الفترة غير صحيحة",IF(ISNA(MATCH($G1296,Lists!$B$2:$B$7,0)),"✖ المجموعة غير صحيحة",IF(NOT(OR($H1296="",$N1296&gt;0)),"✖ Start غير صحيح",IF(NOT(OR($I1296="",$I1296="NR",$O1296&gt;0)),"✖ Current غير صحيح",IF(NOT(IF(ISNUMBER($J1296),AND($J1296&gt;=0,$J1296=INT($J1296)),FALSE())),"✖ العدد يجب أن يكون صحيحًا ≥ 0",IF(AND($F1296="Baseline",$H1296&lt;&gt;""),"⚠ Baseline: Start لا يدخل في التقدم",IF($K1296="No Start (attainment only)","ℹ تحصيل فقط (بدون Start)",IF($K1296="U – needs rule","ℹ حالة U تحتاج قاعدة معتمدة",IF($K1296="No result","ℹ بدون نتيجة (يُستبعد من التحصيل)","OK")))))))))))</f>
        <v/>
      </c>
      <c r="M1296" s="64" t="n">
        <f aca="false">IF($A1296="",0,IFERROR(MATCH($A1296,Classes!$A$6:$A$420,0),0))</f>
        <v>0</v>
      </c>
      <c r="N1296" s="64" t="n">
        <f aca="false">IF($H1296="",0,IFERROR(MATCH($H1296,GradeList,0),0))</f>
        <v>0</v>
      </c>
      <c r="O1296" s="64" t="n">
        <f aca="false">IF(OR($I1296="",$I1296="NR"),0,IFERROR(MATCH($I1296,GradeList,0),0))</f>
        <v>0</v>
      </c>
      <c r="P1296" s="64" t="n">
        <f aca="false">IF(AND($M1296&gt;0,ISNUMBER(MATCH($F1296,Lists!$A$2:$A$5,0)),ISNUMBER(MATCH($G1296,Lists!$B$2:$B$7,0)),OR($H1296="",$N1296&gt;0),OR($I1296="",$I1296="NR",$O1296&gt;0),IF(ISNUMBER($J1296),AND($J1296&gt;=0,$J1296=INT($J1296)),FALSE())),$J1296,0)</f>
        <v>0</v>
      </c>
      <c r="Q1296" s="64" t="n">
        <f aca="false">IF(AND($P1296&gt;0,$O1296&gt;0),$P1296,0)</f>
        <v>0</v>
      </c>
      <c r="R1296" s="64" t="n">
        <f aca="false">IF(AND($Q1296&gt;0,$O1296&gt;=AtRank),$Q1296,0)</f>
        <v>0</v>
      </c>
      <c r="S1296" s="64" t="n">
        <f aca="false">IF(AND($Q1296&gt;0,$O1296&gt;=AboveRank),$Q1296,0)</f>
        <v>0</v>
      </c>
      <c r="T1296" s="64" t="n">
        <f aca="false">IF($K1296="Less",$P1296,0)</f>
        <v>0</v>
      </c>
      <c r="U1296" s="64" t="n">
        <f aca="false">IF($K1296="Expected",$P1296,0)</f>
        <v>0</v>
      </c>
      <c r="V1296" s="64" t="n">
        <f aca="false">IF($K1296="Better",$P1296,0)</f>
        <v>0</v>
      </c>
      <c r="W1296" s="64" t="n">
        <f aca="false">IF($K1296="U – needs rule",$P1296,0)</f>
        <v>0</v>
      </c>
      <c r="X1296" s="64" t="n">
        <f aca="false">IF($K1296="No Start (attainment only)",$P1296,0)</f>
        <v>0</v>
      </c>
    </row>
    <row r="1297" customFormat="false" ht="15" hidden="false" customHeight="false" outlineLevel="0" collapsed="false">
      <c r="A1297" s="60"/>
      <c r="B1297" s="61" t="str">
        <f aca="false">IF($M1297=0,"",INDEX(Classes!$E$6:$E$420,$M1297))</f>
        <v/>
      </c>
      <c r="C1297" s="62" t="str">
        <f aca="false">IF($M1297=0,"",INDEX(Classes!$H$6:$H$420,$M1297))</f>
        <v/>
      </c>
      <c r="D1297" s="61" t="str">
        <f aca="false">IF($M1297=0,"",INDEX(Classes!$B$6:$B$420,$M1297))</f>
        <v/>
      </c>
      <c r="E1297" s="61" t="str">
        <f aca="false">IF($M1297=0,"",INDEX(Classes!$C$6:$C$420,$M1297))</f>
        <v/>
      </c>
      <c r="F1297" s="63"/>
      <c r="G1297" s="63"/>
      <c r="H1297" s="60"/>
      <c r="I1297" s="60"/>
      <c r="J1297" s="63"/>
      <c r="K1297" s="61" t="str">
        <f aca="false">IF($P1297=0,"",IF($F1297="Baseline","— Baseline",IF($O1297=0,"No result",IF($N1297=0,"No Start (attainment only)",IF(OR($N1297=1,$O1297=1),"U – needs rule",INDEX(MxBody,MATCH($I1297,MxCurr,0),MATCH($H1297,MxStart,0)))))))</f>
        <v/>
      </c>
      <c r="L1297" s="62" t="str">
        <f aca="false">IF(COUNTA($A1297,$F1297,$G1297,$H1297,$I1297,$J1297)=0,"",IF($M1297=0,"✖ كود الصف غير موجود",IF(ISNA(MATCH($F1297,Lists!$A$2:$A$5,0)),"✖ الفترة غير صحيحة",IF(ISNA(MATCH($G1297,Lists!$B$2:$B$7,0)),"✖ المجموعة غير صحيحة",IF(NOT(OR($H1297="",$N1297&gt;0)),"✖ Start غير صحيح",IF(NOT(OR($I1297="",$I1297="NR",$O1297&gt;0)),"✖ Current غير صحيح",IF(NOT(IF(ISNUMBER($J1297),AND($J1297&gt;=0,$J1297=INT($J1297)),FALSE())),"✖ العدد يجب أن يكون صحيحًا ≥ 0",IF(AND($F1297="Baseline",$H1297&lt;&gt;""),"⚠ Baseline: Start لا يدخل في التقدم",IF($K1297="No Start (attainment only)","ℹ تحصيل فقط (بدون Start)",IF($K1297="U – needs rule","ℹ حالة U تحتاج قاعدة معتمدة",IF($K1297="No result","ℹ بدون نتيجة (يُستبعد من التحصيل)","OK")))))))))))</f>
        <v/>
      </c>
      <c r="M1297" s="64" t="n">
        <f aca="false">IF($A1297="",0,IFERROR(MATCH($A1297,Classes!$A$6:$A$420,0),0))</f>
        <v>0</v>
      </c>
      <c r="N1297" s="64" t="n">
        <f aca="false">IF($H1297="",0,IFERROR(MATCH($H1297,GradeList,0),0))</f>
        <v>0</v>
      </c>
      <c r="O1297" s="64" t="n">
        <f aca="false">IF(OR($I1297="",$I1297="NR"),0,IFERROR(MATCH($I1297,GradeList,0),0))</f>
        <v>0</v>
      </c>
      <c r="P1297" s="64" t="n">
        <f aca="false">IF(AND($M1297&gt;0,ISNUMBER(MATCH($F1297,Lists!$A$2:$A$5,0)),ISNUMBER(MATCH($G1297,Lists!$B$2:$B$7,0)),OR($H1297="",$N1297&gt;0),OR($I1297="",$I1297="NR",$O1297&gt;0),IF(ISNUMBER($J1297),AND($J1297&gt;=0,$J1297=INT($J1297)),FALSE())),$J1297,0)</f>
        <v>0</v>
      </c>
      <c r="Q1297" s="64" t="n">
        <f aca="false">IF(AND($P1297&gt;0,$O1297&gt;0),$P1297,0)</f>
        <v>0</v>
      </c>
      <c r="R1297" s="64" t="n">
        <f aca="false">IF(AND($Q1297&gt;0,$O1297&gt;=AtRank),$Q1297,0)</f>
        <v>0</v>
      </c>
      <c r="S1297" s="64" t="n">
        <f aca="false">IF(AND($Q1297&gt;0,$O1297&gt;=AboveRank),$Q1297,0)</f>
        <v>0</v>
      </c>
      <c r="T1297" s="64" t="n">
        <f aca="false">IF($K1297="Less",$P1297,0)</f>
        <v>0</v>
      </c>
      <c r="U1297" s="64" t="n">
        <f aca="false">IF($K1297="Expected",$P1297,0)</f>
        <v>0</v>
      </c>
      <c r="V1297" s="64" t="n">
        <f aca="false">IF($K1297="Better",$P1297,0)</f>
        <v>0</v>
      </c>
      <c r="W1297" s="64" t="n">
        <f aca="false">IF($K1297="U – needs rule",$P1297,0)</f>
        <v>0</v>
      </c>
      <c r="X1297" s="64" t="n">
        <f aca="false">IF($K1297="No Start (attainment only)",$P1297,0)</f>
        <v>0</v>
      </c>
    </row>
    <row r="1298" customFormat="false" ht="15" hidden="false" customHeight="false" outlineLevel="0" collapsed="false">
      <c r="A1298" s="60"/>
      <c r="B1298" s="61" t="str">
        <f aca="false">IF($M1298=0,"",INDEX(Classes!$E$6:$E$420,$M1298))</f>
        <v/>
      </c>
      <c r="C1298" s="62" t="str">
        <f aca="false">IF($M1298=0,"",INDEX(Classes!$H$6:$H$420,$M1298))</f>
        <v/>
      </c>
      <c r="D1298" s="61" t="str">
        <f aca="false">IF($M1298=0,"",INDEX(Classes!$B$6:$B$420,$M1298))</f>
        <v/>
      </c>
      <c r="E1298" s="61" t="str">
        <f aca="false">IF($M1298=0,"",INDEX(Classes!$C$6:$C$420,$M1298))</f>
        <v/>
      </c>
      <c r="F1298" s="63"/>
      <c r="G1298" s="63"/>
      <c r="H1298" s="60"/>
      <c r="I1298" s="60"/>
      <c r="J1298" s="63"/>
      <c r="K1298" s="61" t="str">
        <f aca="false">IF($P1298=0,"",IF($F1298="Baseline","— Baseline",IF($O1298=0,"No result",IF($N1298=0,"No Start (attainment only)",IF(OR($N1298=1,$O1298=1),"U – needs rule",INDEX(MxBody,MATCH($I1298,MxCurr,0),MATCH($H1298,MxStart,0)))))))</f>
        <v/>
      </c>
      <c r="L1298" s="62" t="str">
        <f aca="false">IF(COUNTA($A1298,$F1298,$G1298,$H1298,$I1298,$J1298)=0,"",IF($M1298=0,"✖ كود الصف غير موجود",IF(ISNA(MATCH($F1298,Lists!$A$2:$A$5,0)),"✖ الفترة غير صحيحة",IF(ISNA(MATCH($G1298,Lists!$B$2:$B$7,0)),"✖ المجموعة غير صحيحة",IF(NOT(OR($H1298="",$N1298&gt;0)),"✖ Start غير صحيح",IF(NOT(OR($I1298="",$I1298="NR",$O1298&gt;0)),"✖ Current غير صحيح",IF(NOT(IF(ISNUMBER($J1298),AND($J1298&gt;=0,$J1298=INT($J1298)),FALSE())),"✖ العدد يجب أن يكون صحيحًا ≥ 0",IF(AND($F1298="Baseline",$H1298&lt;&gt;""),"⚠ Baseline: Start لا يدخل في التقدم",IF($K1298="No Start (attainment only)","ℹ تحصيل فقط (بدون Start)",IF($K1298="U – needs rule","ℹ حالة U تحتاج قاعدة معتمدة",IF($K1298="No result","ℹ بدون نتيجة (يُستبعد من التحصيل)","OK")))))))))))</f>
        <v/>
      </c>
      <c r="M1298" s="64" t="n">
        <f aca="false">IF($A1298="",0,IFERROR(MATCH($A1298,Classes!$A$6:$A$420,0),0))</f>
        <v>0</v>
      </c>
      <c r="N1298" s="64" t="n">
        <f aca="false">IF($H1298="",0,IFERROR(MATCH($H1298,GradeList,0),0))</f>
        <v>0</v>
      </c>
      <c r="O1298" s="64" t="n">
        <f aca="false">IF(OR($I1298="",$I1298="NR"),0,IFERROR(MATCH($I1298,GradeList,0),0))</f>
        <v>0</v>
      </c>
      <c r="P1298" s="64" t="n">
        <f aca="false">IF(AND($M1298&gt;0,ISNUMBER(MATCH($F1298,Lists!$A$2:$A$5,0)),ISNUMBER(MATCH($G1298,Lists!$B$2:$B$7,0)),OR($H1298="",$N1298&gt;0),OR($I1298="",$I1298="NR",$O1298&gt;0),IF(ISNUMBER($J1298),AND($J1298&gt;=0,$J1298=INT($J1298)),FALSE())),$J1298,0)</f>
        <v>0</v>
      </c>
      <c r="Q1298" s="64" t="n">
        <f aca="false">IF(AND($P1298&gt;0,$O1298&gt;0),$P1298,0)</f>
        <v>0</v>
      </c>
      <c r="R1298" s="64" t="n">
        <f aca="false">IF(AND($Q1298&gt;0,$O1298&gt;=AtRank),$Q1298,0)</f>
        <v>0</v>
      </c>
      <c r="S1298" s="64" t="n">
        <f aca="false">IF(AND($Q1298&gt;0,$O1298&gt;=AboveRank),$Q1298,0)</f>
        <v>0</v>
      </c>
      <c r="T1298" s="64" t="n">
        <f aca="false">IF($K1298="Less",$P1298,0)</f>
        <v>0</v>
      </c>
      <c r="U1298" s="64" t="n">
        <f aca="false">IF($K1298="Expected",$P1298,0)</f>
        <v>0</v>
      </c>
      <c r="V1298" s="64" t="n">
        <f aca="false">IF($K1298="Better",$P1298,0)</f>
        <v>0</v>
      </c>
      <c r="W1298" s="64" t="n">
        <f aca="false">IF($K1298="U – needs rule",$P1298,0)</f>
        <v>0</v>
      </c>
      <c r="X1298" s="64" t="n">
        <f aca="false">IF($K1298="No Start (attainment only)",$P1298,0)</f>
        <v>0</v>
      </c>
    </row>
    <row r="1299" customFormat="false" ht="15" hidden="false" customHeight="false" outlineLevel="0" collapsed="false">
      <c r="A1299" s="60"/>
      <c r="B1299" s="61" t="str">
        <f aca="false">IF($M1299=0,"",INDEX(Classes!$E$6:$E$420,$M1299))</f>
        <v/>
      </c>
      <c r="C1299" s="62" t="str">
        <f aca="false">IF($M1299=0,"",INDEX(Classes!$H$6:$H$420,$M1299))</f>
        <v/>
      </c>
      <c r="D1299" s="61" t="str">
        <f aca="false">IF($M1299=0,"",INDEX(Classes!$B$6:$B$420,$M1299))</f>
        <v/>
      </c>
      <c r="E1299" s="61" t="str">
        <f aca="false">IF($M1299=0,"",INDEX(Classes!$C$6:$C$420,$M1299))</f>
        <v/>
      </c>
      <c r="F1299" s="63"/>
      <c r="G1299" s="63"/>
      <c r="H1299" s="60"/>
      <c r="I1299" s="60"/>
      <c r="J1299" s="63"/>
      <c r="K1299" s="61" t="str">
        <f aca="false">IF($P1299=0,"",IF($F1299="Baseline","— Baseline",IF($O1299=0,"No result",IF($N1299=0,"No Start (attainment only)",IF(OR($N1299=1,$O1299=1),"U – needs rule",INDEX(MxBody,MATCH($I1299,MxCurr,0),MATCH($H1299,MxStart,0)))))))</f>
        <v/>
      </c>
      <c r="L1299" s="62" t="str">
        <f aca="false">IF(COUNTA($A1299,$F1299,$G1299,$H1299,$I1299,$J1299)=0,"",IF($M1299=0,"✖ كود الصف غير موجود",IF(ISNA(MATCH($F1299,Lists!$A$2:$A$5,0)),"✖ الفترة غير صحيحة",IF(ISNA(MATCH($G1299,Lists!$B$2:$B$7,0)),"✖ المجموعة غير صحيحة",IF(NOT(OR($H1299="",$N1299&gt;0)),"✖ Start غير صحيح",IF(NOT(OR($I1299="",$I1299="NR",$O1299&gt;0)),"✖ Current غير صحيح",IF(NOT(IF(ISNUMBER($J1299),AND($J1299&gt;=0,$J1299=INT($J1299)),FALSE())),"✖ العدد يجب أن يكون صحيحًا ≥ 0",IF(AND($F1299="Baseline",$H1299&lt;&gt;""),"⚠ Baseline: Start لا يدخل في التقدم",IF($K1299="No Start (attainment only)","ℹ تحصيل فقط (بدون Start)",IF($K1299="U – needs rule","ℹ حالة U تحتاج قاعدة معتمدة",IF($K1299="No result","ℹ بدون نتيجة (يُستبعد من التحصيل)","OK")))))))))))</f>
        <v/>
      </c>
      <c r="M1299" s="64" t="n">
        <f aca="false">IF($A1299="",0,IFERROR(MATCH($A1299,Classes!$A$6:$A$420,0),0))</f>
        <v>0</v>
      </c>
      <c r="N1299" s="64" t="n">
        <f aca="false">IF($H1299="",0,IFERROR(MATCH($H1299,GradeList,0),0))</f>
        <v>0</v>
      </c>
      <c r="O1299" s="64" t="n">
        <f aca="false">IF(OR($I1299="",$I1299="NR"),0,IFERROR(MATCH($I1299,GradeList,0),0))</f>
        <v>0</v>
      </c>
      <c r="P1299" s="64" t="n">
        <f aca="false">IF(AND($M1299&gt;0,ISNUMBER(MATCH($F1299,Lists!$A$2:$A$5,0)),ISNUMBER(MATCH($G1299,Lists!$B$2:$B$7,0)),OR($H1299="",$N1299&gt;0),OR($I1299="",$I1299="NR",$O1299&gt;0),IF(ISNUMBER($J1299),AND($J1299&gt;=0,$J1299=INT($J1299)),FALSE())),$J1299,0)</f>
        <v>0</v>
      </c>
      <c r="Q1299" s="64" t="n">
        <f aca="false">IF(AND($P1299&gt;0,$O1299&gt;0),$P1299,0)</f>
        <v>0</v>
      </c>
      <c r="R1299" s="64" t="n">
        <f aca="false">IF(AND($Q1299&gt;0,$O1299&gt;=AtRank),$Q1299,0)</f>
        <v>0</v>
      </c>
      <c r="S1299" s="64" t="n">
        <f aca="false">IF(AND($Q1299&gt;0,$O1299&gt;=AboveRank),$Q1299,0)</f>
        <v>0</v>
      </c>
      <c r="T1299" s="64" t="n">
        <f aca="false">IF($K1299="Less",$P1299,0)</f>
        <v>0</v>
      </c>
      <c r="U1299" s="64" t="n">
        <f aca="false">IF($K1299="Expected",$P1299,0)</f>
        <v>0</v>
      </c>
      <c r="V1299" s="64" t="n">
        <f aca="false">IF($K1299="Better",$P1299,0)</f>
        <v>0</v>
      </c>
      <c r="W1299" s="64" t="n">
        <f aca="false">IF($K1299="U – needs rule",$P1299,0)</f>
        <v>0</v>
      </c>
      <c r="X1299" s="64" t="n">
        <f aca="false">IF($K1299="No Start (attainment only)",$P1299,0)</f>
        <v>0</v>
      </c>
    </row>
    <row r="1300" customFormat="false" ht="15" hidden="false" customHeight="false" outlineLevel="0" collapsed="false">
      <c r="A1300" s="60"/>
      <c r="B1300" s="61" t="str">
        <f aca="false">IF($M1300=0,"",INDEX(Classes!$E$6:$E$420,$M1300))</f>
        <v/>
      </c>
      <c r="C1300" s="62" t="str">
        <f aca="false">IF($M1300=0,"",INDEX(Classes!$H$6:$H$420,$M1300))</f>
        <v/>
      </c>
      <c r="D1300" s="61" t="str">
        <f aca="false">IF($M1300=0,"",INDEX(Classes!$B$6:$B$420,$M1300))</f>
        <v/>
      </c>
      <c r="E1300" s="61" t="str">
        <f aca="false">IF($M1300=0,"",INDEX(Classes!$C$6:$C$420,$M1300))</f>
        <v/>
      </c>
      <c r="F1300" s="63"/>
      <c r="G1300" s="63"/>
      <c r="H1300" s="60"/>
      <c r="I1300" s="60"/>
      <c r="J1300" s="63"/>
      <c r="K1300" s="61" t="str">
        <f aca="false">IF($P1300=0,"",IF($F1300="Baseline","— Baseline",IF($O1300=0,"No result",IF($N1300=0,"No Start (attainment only)",IF(OR($N1300=1,$O1300=1),"U – needs rule",INDEX(MxBody,MATCH($I1300,MxCurr,0),MATCH($H1300,MxStart,0)))))))</f>
        <v/>
      </c>
      <c r="L1300" s="62" t="str">
        <f aca="false">IF(COUNTA($A1300,$F1300,$G1300,$H1300,$I1300,$J1300)=0,"",IF($M1300=0,"✖ كود الصف غير موجود",IF(ISNA(MATCH($F1300,Lists!$A$2:$A$5,0)),"✖ الفترة غير صحيحة",IF(ISNA(MATCH($G1300,Lists!$B$2:$B$7,0)),"✖ المجموعة غير صحيحة",IF(NOT(OR($H1300="",$N1300&gt;0)),"✖ Start غير صحيح",IF(NOT(OR($I1300="",$I1300="NR",$O1300&gt;0)),"✖ Current غير صحيح",IF(NOT(IF(ISNUMBER($J1300),AND($J1300&gt;=0,$J1300=INT($J1300)),FALSE())),"✖ العدد يجب أن يكون صحيحًا ≥ 0",IF(AND($F1300="Baseline",$H1300&lt;&gt;""),"⚠ Baseline: Start لا يدخل في التقدم",IF($K1300="No Start (attainment only)","ℹ تحصيل فقط (بدون Start)",IF($K1300="U – needs rule","ℹ حالة U تحتاج قاعدة معتمدة",IF($K1300="No result","ℹ بدون نتيجة (يُستبعد من التحصيل)","OK")))))))))))</f>
        <v/>
      </c>
      <c r="M1300" s="64" t="n">
        <f aca="false">IF($A1300="",0,IFERROR(MATCH($A1300,Classes!$A$6:$A$420,0),0))</f>
        <v>0</v>
      </c>
      <c r="N1300" s="64" t="n">
        <f aca="false">IF($H1300="",0,IFERROR(MATCH($H1300,GradeList,0),0))</f>
        <v>0</v>
      </c>
      <c r="O1300" s="64" t="n">
        <f aca="false">IF(OR($I1300="",$I1300="NR"),0,IFERROR(MATCH($I1300,GradeList,0),0))</f>
        <v>0</v>
      </c>
      <c r="P1300" s="64" t="n">
        <f aca="false">IF(AND($M1300&gt;0,ISNUMBER(MATCH($F1300,Lists!$A$2:$A$5,0)),ISNUMBER(MATCH($G1300,Lists!$B$2:$B$7,0)),OR($H1300="",$N1300&gt;0),OR($I1300="",$I1300="NR",$O1300&gt;0),IF(ISNUMBER($J1300),AND($J1300&gt;=0,$J1300=INT($J1300)),FALSE())),$J1300,0)</f>
        <v>0</v>
      </c>
      <c r="Q1300" s="64" t="n">
        <f aca="false">IF(AND($P1300&gt;0,$O1300&gt;0),$P1300,0)</f>
        <v>0</v>
      </c>
      <c r="R1300" s="64" t="n">
        <f aca="false">IF(AND($Q1300&gt;0,$O1300&gt;=AtRank),$Q1300,0)</f>
        <v>0</v>
      </c>
      <c r="S1300" s="64" t="n">
        <f aca="false">IF(AND($Q1300&gt;0,$O1300&gt;=AboveRank),$Q1300,0)</f>
        <v>0</v>
      </c>
      <c r="T1300" s="64" t="n">
        <f aca="false">IF($K1300="Less",$P1300,0)</f>
        <v>0</v>
      </c>
      <c r="U1300" s="64" t="n">
        <f aca="false">IF($K1300="Expected",$P1300,0)</f>
        <v>0</v>
      </c>
      <c r="V1300" s="64" t="n">
        <f aca="false">IF($K1300="Better",$P1300,0)</f>
        <v>0</v>
      </c>
      <c r="W1300" s="64" t="n">
        <f aca="false">IF($K1300="U – needs rule",$P1300,0)</f>
        <v>0</v>
      </c>
      <c r="X1300" s="64" t="n">
        <f aca="false">IF($K1300="No Start (attainment only)",$P1300,0)</f>
        <v>0</v>
      </c>
    </row>
    <row r="1301" customFormat="false" ht="15" hidden="false" customHeight="false" outlineLevel="0" collapsed="false">
      <c r="A1301" s="60"/>
      <c r="B1301" s="61" t="str">
        <f aca="false">IF($M1301=0,"",INDEX(Classes!$E$6:$E$420,$M1301))</f>
        <v/>
      </c>
      <c r="C1301" s="62" t="str">
        <f aca="false">IF($M1301=0,"",INDEX(Classes!$H$6:$H$420,$M1301))</f>
        <v/>
      </c>
      <c r="D1301" s="61" t="str">
        <f aca="false">IF($M1301=0,"",INDEX(Classes!$B$6:$B$420,$M1301))</f>
        <v/>
      </c>
      <c r="E1301" s="61" t="str">
        <f aca="false">IF($M1301=0,"",INDEX(Classes!$C$6:$C$420,$M1301))</f>
        <v/>
      </c>
      <c r="F1301" s="63"/>
      <c r="G1301" s="63"/>
      <c r="H1301" s="60"/>
      <c r="I1301" s="60"/>
      <c r="J1301" s="63"/>
      <c r="K1301" s="61" t="str">
        <f aca="false">IF($P1301=0,"",IF($F1301="Baseline","— Baseline",IF($O1301=0,"No result",IF($N1301=0,"No Start (attainment only)",IF(OR($N1301=1,$O1301=1),"U – needs rule",INDEX(MxBody,MATCH($I1301,MxCurr,0),MATCH($H1301,MxStart,0)))))))</f>
        <v/>
      </c>
      <c r="L1301" s="62" t="str">
        <f aca="false">IF(COUNTA($A1301,$F1301,$G1301,$H1301,$I1301,$J1301)=0,"",IF($M1301=0,"✖ كود الصف غير موجود",IF(ISNA(MATCH($F1301,Lists!$A$2:$A$5,0)),"✖ الفترة غير صحيحة",IF(ISNA(MATCH($G1301,Lists!$B$2:$B$7,0)),"✖ المجموعة غير صحيحة",IF(NOT(OR($H1301="",$N1301&gt;0)),"✖ Start غير صحيح",IF(NOT(OR($I1301="",$I1301="NR",$O1301&gt;0)),"✖ Current غير صحيح",IF(NOT(IF(ISNUMBER($J1301),AND($J1301&gt;=0,$J1301=INT($J1301)),FALSE())),"✖ العدد يجب أن يكون صحيحًا ≥ 0",IF(AND($F1301="Baseline",$H1301&lt;&gt;""),"⚠ Baseline: Start لا يدخل في التقدم",IF($K1301="No Start (attainment only)","ℹ تحصيل فقط (بدون Start)",IF($K1301="U – needs rule","ℹ حالة U تحتاج قاعدة معتمدة",IF($K1301="No result","ℹ بدون نتيجة (يُستبعد من التحصيل)","OK")))))))))))</f>
        <v/>
      </c>
      <c r="M1301" s="64" t="n">
        <f aca="false">IF($A1301="",0,IFERROR(MATCH($A1301,Classes!$A$6:$A$420,0),0))</f>
        <v>0</v>
      </c>
      <c r="N1301" s="64" t="n">
        <f aca="false">IF($H1301="",0,IFERROR(MATCH($H1301,GradeList,0),0))</f>
        <v>0</v>
      </c>
      <c r="O1301" s="64" t="n">
        <f aca="false">IF(OR($I1301="",$I1301="NR"),0,IFERROR(MATCH($I1301,GradeList,0),0))</f>
        <v>0</v>
      </c>
      <c r="P1301" s="64" t="n">
        <f aca="false">IF(AND($M1301&gt;0,ISNUMBER(MATCH($F1301,Lists!$A$2:$A$5,0)),ISNUMBER(MATCH($G1301,Lists!$B$2:$B$7,0)),OR($H1301="",$N1301&gt;0),OR($I1301="",$I1301="NR",$O1301&gt;0),IF(ISNUMBER($J1301),AND($J1301&gt;=0,$J1301=INT($J1301)),FALSE())),$J1301,0)</f>
        <v>0</v>
      </c>
      <c r="Q1301" s="64" t="n">
        <f aca="false">IF(AND($P1301&gt;0,$O1301&gt;0),$P1301,0)</f>
        <v>0</v>
      </c>
      <c r="R1301" s="64" t="n">
        <f aca="false">IF(AND($Q1301&gt;0,$O1301&gt;=AtRank),$Q1301,0)</f>
        <v>0</v>
      </c>
      <c r="S1301" s="64" t="n">
        <f aca="false">IF(AND($Q1301&gt;0,$O1301&gt;=AboveRank),$Q1301,0)</f>
        <v>0</v>
      </c>
      <c r="T1301" s="64" t="n">
        <f aca="false">IF($K1301="Less",$P1301,0)</f>
        <v>0</v>
      </c>
      <c r="U1301" s="64" t="n">
        <f aca="false">IF($K1301="Expected",$P1301,0)</f>
        <v>0</v>
      </c>
      <c r="V1301" s="64" t="n">
        <f aca="false">IF($K1301="Better",$P1301,0)</f>
        <v>0</v>
      </c>
      <c r="W1301" s="64" t="n">
        <f aca="false">IF($K1301="U – needs rule",$P1301,0)</f>
        <v>0</v>
      </c>
      <c r="X1301" s="64" t="n">
        <f aca="false">IF($K1301="No Start (attainment only)",$P1301,0)</f>
        <v>0</v>
      </c>
    </row>
    <row r="1302" customFormat="false" ht="15" hidden="false" customHeight="false" outlineLevel="0" collapsed="false">
      <c r="A1302" s="60"/>
      <c r="B1302" s="61" t="str">
        <f aca="false">IF($M1302=0,"",INDEX(Classes!$E$6:$E$420,$M1302))</f>
        <v/>
      </c>
      <c r="C1302" s="62" t="str">
        <f aca="false">IF($M1302=0,"",INDEX(Classes!$H$6:$H$420,$M1302))</f>
        <v/>
      </c>
      <c r="D1302" s="61" t="str">
        <f aca="false">IF($M1302=0,"",INDEX(Classes!$B$6:$B$420,$M1302))</f>
        <v/>
      </c>
      <c r="E1302" s="61" t="str">
        <f aca="false">IF($M1302=0,"",INDEX(Classes!$C$6:$C$420,$M1302))</f>
        <v/>
      </c>
      <c r="F1302" s="63"/>
      <c r="G1302" s="63"/>
      <c r="H1302" s="60"/>
      <c r="I1302" s="60"/>
      <c r="J1302" s="63"/>
      <c r="K1302" s="61" t="str">
        <f aca="false">IF($P1302=0,"",IF($F1302="Baseline","— Baseline",IF($O1302=0,"No result",IF($N1302=0,"No Start (attainment only)",IF(OR($N1302=1,$O1302=1),"U – needs rule",INDEX(MxBody,MATCH($I1302,MxCurr,0),MATCH($H1302,MxStart,0)))))))</f>
        <v/>
      </c>
      <c r="L1302" s="62" t="str">
        <f aca="false">IF(COUNTA($A1302,$F1302,$G1302,$H1302,$I1302,$J1302)=0,"",IF($M1302=0,"✖ كود الصف غير موجود",IF(ISNA(MATCH($F1302,Lists!$A$2:$A$5,0)),"✖ الفترة غير صحيحة",IF(ISNA(MATCH($G1302,Lists!$B$2:$B$7,0)),"✖ المجموعة غير صحيحة",IF(NOT(OR($H1302="",$N1302&gt;0)),"✖ Start غير صحيح",IF(NOT(OR($I1302="",$I1302="NR",$O1302&gt;0)),"✖ Current غير صحيح",IF(NOT(IF(ISNUMBER($J1302),AND($J1302&gt;=0,$J1302=INT($J1302)),FALSE())),"✖ العدد يجب أن يكون صحيحًا ≥ 0",IF(AND($F1302="Baseline",$H1302&lt;&gt;""),"⚠ Baseline: Start لا يدخل في التقدم",IF($K1302="No Start (attainment only)","ℹ تحصيل فقط (بدون Start)",IF($K1302="U – needs rule","ℹ حالة U تحتاج قاعدة معتمدة",IF($K1302="No result","ℹ بدون نتيجة (يُستبعد من التحصيل)","OK")))))))))))</f>
        <v/>
      </c>
      <c r="M1302" s="64" t="n">
        <f aca="false">IF($A1302="",0,IFERROR(MATCH($A1302,Classes!$A$6:$A$420,0),0))</f>
        <v>0</v>
      </c>
      <c r="N1302" s="64" t="n">
        <f aca="false">IF($H1302="",0,IFERROR(MATCH($H1302,GradeList,0),0))</f>
        <v>0</v>
      </c>
      <c r="O1302" s="64" t="n">
        <f aca="false">IF(OR($I1302="",$I1302="NR"),0,IFERROR(MATCH($I1302,GradeList,0),0))</f>
        <v>0</v>
      </c>
      <c r="P1302" s="64" t="n">
        <f aca="false">IF(AND($M1302&gt;0,ISNUMBER(MATCH($F1302,Lists!$A$2:$A$5,0)),ISNUMBER(MATCH($G1302,Lists!$B$2:$B$7,0)),OR($H1302="",$N1302&gt;0),OR($I1302="",$I1302="NR",$O1302&gt;0),IF(ISNUMBER($J1302),AND($J1302&gt;=0,$J1302=INT($J1302)),FALSE())),$J1302,0)</f>
        <v>0</v>
      </c>
      <c r="Q1302" s="64" t="n">
        <f aca="false">IF(AND($P1302&gt;0,$O1302&gt;0),$P1302,0)</f>
        <v>0</v>
      </c>
      <c r="R1302" s="64" t="n">
        <f aca="false">IF(AND($Q1302&gt;0,$O1302&gt;=AtRank),$Q1302,0)</f>
        <v>0</v>
      </c>
      <c r="S1302" s="64" t="n">
        <f aca="false">IF(AND($Q1302&gt;0,$O1302&gt;=AboveRank),$Q1302,0)</f>
        <v>0</v>
      </c>
      <c r="T1302" s="64" t="n">
        <f aca="false">IF($K1302="Less",$P1302,0)</f>
        <v>0</v>
      </c>
      <c r="U1302" s="64" t="n">
        <f aca="false">IF($K1302="Expected",$P1302,0)</f>
        <v>0</v>
      </c>
      <c r="V1302" s="64" t="n">
        <f aca="false">IF($K1302="Better",$P1302,0)</f>
        <v>0</v>
      </c>
      <c r="W1302" s="64" t="n">
        <f aca="false">IF($K1302="U – needs rule",$P1302,0)</f>
        <v>0</v>
      </c>
      <c r="X1302" s="64" t="n">
        <f aca="false">IF($K1302="No Start (attainment only)",$P1302,0)</f>
        <v>0</v>
      </c>
    </row>
    <row r="1303" customFormat="false" ht="15" hidden="false" customHeight="false" outlineLevel="0" collapsed="false">
      <c r="A1303" s="60"/>
      <c r="B1303" s="61" t="str">
        <f aca="false">IF($M1303=0,"",INDEX(Classes!$E$6:$E$420,$M1303))</f>
        <v/>
      </c>
      <c r="C1303" s="62" t="str">
        <f aca="false">IF($M1303=0,"",INDEX(Classes!$H$6:$H$420,$M1303))</f>
        <v/>
      </c>
      <c r="D1303" s="61" t="str">
        <f aca="false">IF($M1303=0,"",INDEX(Classes!$B$6:$B$420,$M1303))</f>
        <v/>
      </c>
      <c r="E1303" s="61" t="str">
        <f aca="false">IF($M1303=0,"",INDEX(Classes!$C$6:$C$420,$M1303))</f>
        <v/>
      </c>
      <c r="F1303" s="63"/>
      <c r="G1303" s="63"/>
      <c r="H1303" s="60"/>
      <c r="I1303" s="60"/>
      <c r="J1303" s="63"/>
      <c r="K1303" s="61" t="str">
        <f aca="false">IF($P1303=0,"",IF($F1303="Baseline","— Baseline",IF($O1303=0,"No result",IF($N1303=0,"No Start (attainment only)",IF(OR($N1303=1,$O1303=1),"U – needs rule",INDEX(MxBody,MATCH($I1303,MxCurr,0),MATCH($H1303,MxStart,0)))))))</f>
        <v/>
      </c>
      <c r="L1303" s="62" t="str">
        <f aca="false">IF(COUNTA($A1303,$F1303,$G1303,$H1303,$I1303,$J1303)=0,"",IF($M1303=0,"✖ كود الصف غير موجود",IF(ISNA(MATCH($F1303,Lists!$A$2:$A$5,0)),"✖ الفترة غير صحيحة",IF(ISNA(MATCH($G1303,Lists!$B$2:$B$7,0)),"✖ المجموعة غير صحيحة",IF(NOT(OR($H1303="",$N1303&gt;0)),"✖ Start غير صحيح",IF(NOT(OR($I1303="",$I1303="NR",$O1303&gt;0)),"✖ Current غير صحيح",IF(NOT(IF(ISNUMBER($J1303),AND($J1303&gt;=0,$J1303=INT($J1303)),FALSE())),"✖ العدد يجب أن يكون صحيحًا ≥ 0",IF(AND($F1303="Baseline",$H1303&lt;&gt;""),"⚠ Baseline: Start لا يدخل في التقدم",IF($K1303="No Start (attainment only)","ℹ تحصيل فقط (بدون Start)",IF($K1303="U – needs rule","ℹ حالة U تحتاج قاعدة معتمدة",IF($K1303="No result","ℹ بدون نتيجة (يُستبعد من التحصيل)","OK")))))))))))</f>
        <v/>
      </c>
      <c r="M1303" s="64" t="n">
        <f aca="false">IF($A1303="",0,IFERROR(MATCH($A1303,Classes!$A$6:$A$420,0),0))</f>
        <v>0</v>
      </c>
      <c r="N1303" s="64" t="n">
        <f aca="false">IF($H1303="",0,IFERROR(MATCH($H1303,GradeList,0),0))</f>
        <v>0</v>
      </c>
      <c r="O1303" s="64" t="n">
        <f aca="false">IF(OR($I1303="",$I1303="NR"),0,IFERROR(MATCH($I1303,GradeList,0),0))</f>
        <v>0</v>
      </c>
      <c r="P1303" s="64" t="n">
        <f aca="false">IF(AND($M1303&gt;0,ISNUMBER(MATCH($F1303,Lists!$A$2:$A$5,0)),ISNUMBER(MATCH($G1303,Lists!$B$2:$B$7,0)),OR($H1303="",$N1303&gt;0),OR($I1303="",$I1303="NR",$O1303&gt;0),IF(ISNUMBER($J1303),AND($J1303&gt;=0,$J1303=INT($J1303)),FALSE())),$J1303,0)</f>
        <v>0</v>
      </c>
      <c r="Q1303" s="64" t="n">
        <f aca="false">IF(AND($P1303&gt;0,$O1303&gt;0),$P1303,0)</f>
        <v>0</v>
      </c>
      <c r="R1303" s="64" t="n">
        <f aca="false">IF(AND($Q1303&gt;0,$O1303&gt;=AtRank),$Q1303,0)</f>
        <v>0</v>
      </c>
      <c r="S1303" s="64" t="n">
        <f aca="false">IF(AND($Q1303&gt;0,$O1303&gt;=AboveRank),$Q1303,0)</f>
        <v>0</v>
      </c>
      <c r="T1303" s="64" t="n">
        <f aca="false">IF($K1303="Less",$P1303,0)</f>
        <v>0</v>
      </c>
      <c r="U1303" s="64" t="n">
        <f aca="false">IF($K1303="Expected",$P1303,0)</f>
        <v>0</v>
      </c>
      <c r="V1303" s="64" t="n">
        <f aca="false">IF($K1303="Better",$P1303,0)</f>
        <v>0</v>
      </c>
      <c r="W1303" s="64" t="n">
        <f aca="false">IF($K1303="U – needs rule",$P1303,0)</f>
        <v>0</v>
      </c>
      <c r="X1303" s="64" t="n">
        <f aca="false">IF($K1303="No Start (attainment only)",$P1303,0)</f>
        <v>0</v>
      </c>
    </row>
    <row r="1304" customFormat="false" ht="15" hidden="false" customHeight="false" outlineLevel="0" collapsed="false">
      <c r="A1304" s="60"/>
      <c r="B1304" s="61" t="str">
        <f aca="false">IF($M1304=0,"",INDEX(Classes!$E$6:$E$420,$M1304))</f>
        <v/>
      </c>
      <c r="C1304" s="62" t="str">
        <f aca="false">IF($M1304=0,"",INDEX(Classes!$H$6:$H$420,$M1304))</f>
        <v/>
      </c>
      <c r="D1304" s="61" t="str">
        <f aca="false">IF($M1304=0,"",INDEX(Classes!$B$6:$B$420,$M1304))</f>
        <v/>
      </c>
      <c r="E1304" s="61" t="str">
        <f aca="false">IF($M1304=0,"",INDEX(Classes!$C$6:$C$420,$M1304))</f>
        <v/>
      </c>
      <c r="F1304" s="63"/>
      <c r="G1304" s="63"/>
      <c r="H1304" s="60"/>
      <c r="I1304" s="60"/>
      <c r="J1304" s="63"/>
      <c r="K1304" s="61" t="str">
        <f aca="false">IF($P1304=0,"",IF($F1304="Baseline","— Baseline",IF($O1304=0,"No result",IF($N1304=0,"No Start (attainment only)",IF(OR($N1304=1,$O1304=1),"U – needs rule",INDEX(MxBody,MATCH($I1304,MxCurr,0),MATCH($H1304,MxStart,0)))))))</f>
        <v/>
      </c>
      <c r="L1304" s="62" t="str">
        <f aca="false">IF(COUNTA($A1304,$F1304,$G1304,$H1304,$I1304,$J1304)=0,"",IF($M1304=0,"✖ كود الصف غير موجود",IF(ISNA(MATCH($F1304,Lists!$A$2:$A$5,0)),"✖ الفترة غير صحيحة",IF(ISNA(MATCH($G1304,Lists!$B$2:$B$7,0)),"✖ المجموعة غير صحيحة",IF(NOT(OR($H1304="",$N1304&gt;0)),"✖ Start غير صحيح",IF(NOT(OR($I1304="",$I1304="NR",$O1304&gt;0)),"✖ Current غير صحيح",IF(NOT(IF(ISNUMBER($J1304),AND($J1304&gt;=0,$J1304=INT($J1304)),FALSE())),"✖ العدد يجب أن يكون صحيحًا ≥ 0",IF(AND($F1304="Baseline",$H1304&lt;&gt;""),"⚠ Baseline: Start لا يدخل في التقدم",IF($K1304="No Start (attainment only)","ℹ تحصيل فقط (بدون Start)",IF($K1304="U – needs rule","ℹ حالة U تحتاج قاعدة معتمدة",IF($K1304="No result","ℹ بدون نتيجة (يُستبعد من التحصيل)","OK")))))))))))</f>
        <v/>
      </c>
      <c r="M1304" s="64" t="n">
        <f aca="false">IF($A1304="",0,IFERROR(MATCH($A1304,Classes!$A$6:$A$420,0),0))</f>
        <v>0</v>
      </c>
      <c r="N1304" s="64" t="n">
        <f aca="false">IF($H1304="",0,IFERROR(MATCH($H1304,GradeList,0),0))</f>
        <v>0</v>
      </c>
      <c r="O1304" s="64" t="n">
        <f aca="false">IF(OR($I1304="",$I1304="NR"),0,IFERROR(MATCH($I1304,GradeList,0),0))</f>
        <v>0</v>
      </c>
      <c r="P1304" s="64" t="n">
        <f aca="false">IF(AND($M1304&gt;0,ISNUMBER(MATCH($F1304,Lists!$A$2:$A$5,0)),ISNUMBER(MATCH($G1304,Lists!$B$2:$B$7,0)),OR($H1304="",$N1304&gt;0),OR($I1304="",$I1304="NR",$O1304&gt;0),IF(ISNUMBER($J1304),AND($J1304&gt;=0,$J1304=INT($J1304)),FALSE())),$J1304,0)</f>
        <v>0</v>
      </c>
      <c r="Q1304" s="64" t="n">
        <f aca="false">IF(AND($P1304&gt;0,$O1304&gt;0),$P1304,0)</f>
        <v>0</v>
      </c>
      <c r="R1304" s="64" t="n">
        <f aca="false">IF(AND($Q1304&gt;0,$O1304&gt;=AtRank),$Q1304,0)</f>
        <v>0</v>
      </c>
      <c r="S1304" s="64" t="n">
        <f aca="false">IF(AND($Q1304&gt;0,$O1304&gt;=AboveRank),$Q1304,0)</f>
        <v>0</v>
      </c>
      <c r="T1304" s="64" t="n">
        <f aca="false">IF($K1304="Less",$P1304,0)</f>
        <v>0</v>
      </c>
      <c r="U1304" s="64" t="n">
        <f aca="false">IF($K1304="Expected",$P1304,0)</f>
        <v>0</v>
      </c>
      <c r="V1304" s="64" t="n">
        <f aca="false">IF($K1304="Better",$P1304,0)</f>
        <v>0</v>
      </c>
      <c r="W1304" s="64" t="n">
        <f aca="false">IF($K1304="U – needs rule",$P1304,0)</f>
        <v>0</v>
      </c>
      <c r="X1304" s="64" t="n">
        <f aca="false">IF($K1304="No Start (attainment only)",$P1304,0)</f>
        <v>0</v>
      </c>
    </row>
    <row r="1305" customFormat="false" ht="15" hidden="false" customHeight="false" outlineLevel="0" collapsed="false">
      <c r="A1305" s="60"/>
      <c r="B1305" s="61" t="str">
        <f aca="false">IF($M1305=0,"",INDEX(Classes!$E$6:$E$420,$M1305))</f>
        <v/>
      </c>
      <c r="C1305" s="62" t="str">
        <f aca="false">IF($M1305=0,"",INDEX(Classes!$H$6:$H$420,$M1305))</f>
        <v/>
      </c>
      <c r="D1305" s="61" t="str">
        <f aca="false">IF($M1305=0,"",INDEX(Classes!$B$6:$B$420,$M1305))</f>
        <v/>
      </c>
      <c r="E1305" s="61" t="str">
        <f aca="false">IF($M1305=0,"",INDEX(Classes!$C$6:$C$420,$M1305))</f>
        <v/>
      </c>
      <c r="F1305" s="63"/>
      <c r="G1305" s="63"/>
      <c r="H1305" s="60"/>
      <c r="I1305" s="60"/>
      <c r="J1305" s="63"/>
      <c r="K1305" s="61" t="str">
        <f aca="false">IF($P1305=0,"",IF($F1305="Baseline","— Baseline",IF($O1305=0,"No result",IF($N1305=0,"No Start (attainment only)",IF(OR($N1305=1,$O1305=1),"U – needs rule",INDEX(MxBody,MATCH($I1305,MxCurr,0),MATCH($H1305,MxStart,0)))))))</f>
        <v/>
      </c>
      <c r="L1305" s="62" t="str">
        <f aca="false">IF(COUNTA($A1305,$F1305,$G1305,$H1305,$I1305,$J1305)=0,"",IF($M1305=0,"✖ كود الصف غير موجود",IF(ISNA(MATCH($F1305,Lists!$A$2:$A$5,0)),"✖ الفترة غير صحيحة",IF(ISNA(MATCH($G1305,Lists!$B$2:$B$7,0)),"✖ المجموعة غير صحيحة",IF(NOT(OR($H1305="",$N1305&gt;0)),"✖ Start غير صحيح",IF(NOT(OR($I1305="",$I1305="NR",$O1305&gt;0)),"✖ Current غير صحيح",IF(NOT(IF(ISNUMBER($J1305),AND($J1305&gt;=0,$J1305=INT($J1305)),FALSE())),"✖ العدد يجب أن يكون صحيحًا ≥ 0",IF(AND($F1305="Baseline",$H1305&lt;&gt;""),"⚠ Baseline: Start لا يدخل في التقدم",IF($K1305="No Start (attainment only)","ℹ تحصيل فقط (بدون Start)",IF($K1305="U – needs rule","ℹ حالة U تحتاج قاعدة معتمدة",IF($K1305="No result","ℹ بدون نتيجة (يُستبعد من التحصيل)","OK")))))))))))</f>
        <v/>
      </c>
      <c r="M1305" s="64" t="n">
        <f aca="false">IF($A1305="",0,IFERROR(MATCH($A1305,Classes!$A$6:$A$420,0),0))</f>
        <v>0</v>
      </c>
      <c r="N1305" s="64" t="n">
        <f aca="false">IF($H1305="",0,IFERROR(MATCH($H1305,GradeList,0),0))</f>
        <v>0</v>
      </c>
      <c r="O1305" s="64" t="n">
        <f aca="false">IF(OR($I1305="",$I1305="NR"),0,IFERROR(MATCH($I1305,GradeList,0),0))</f>
        <v>0</v>
      </c>
      <c r="P1305" s="64" t="n">
        <f aca="false">IF(AND($M1305&gt;0,ISNUMBER(MATCH($F1305,Lists!$A$2:$A$5,0)),ISNUMBER(MATCH($G1305,Lists!$B$2:$B$7,0)),OR($H1305="",$N1305&gt;0),OR($I1305="",$I1305="NR",$O1305&gt;0),IF(ISNUMBER($J1305),AND($J1305&gt;=0,$J1305=INT($J1305)),FALSE())),$J1305,0)</f>
        <v>0</v>
      </c>
      <c r="Q1305" s="64" t="n">
        <f aca="false">IF(AND($P1305&gt;0,$O1305&gt;0),$P1305,0)</f>
        <v>0</v>
      </c>
      <c r="R1305" s="64" t="n">
        <f aca="false">IF(AND($Q1305&gt;0,$O1305&gt;=AtRank),$Q1305,0)</f>
        <v>0</v>
      </c>
      <c r="S1305" s="64" t="n">
        <f aca="false">IF(AND($Q1305&gt;0,$O1305&gt;=AboveRank),$Q1305,0)</f>
        <v>0</v>
      </c>
      <c r="T1305" s="64" t="n">
        <f aca="false">IF($K1305="Less",$P1305,0)</f>
        <v>0</v>
      </c>
      <c r="U1305" s="64" t="n">
        <f aca="false">IF($K1305="Expected",$P1305,0)</f>
        <v>0</v>
      </c>
      <c r="V1305" s="64" t="n">
        <f aca="false">IF($K1305="Better",$P1305,0)</f>
        <v>0</v>
      </c>
      <c r="W1305" s="64" t="n">
        <f aca="false">IF($K1305="U – needs rule",$P1305,0)</f>
        <v>0</v>
      </c>
      <c r="X1305" s="64" t="n">
        <f aca="false">IF($K1305="No Start (attainment only)",$P1305,0)</f>
        <v>0</v>
      </c>
    </row>
    <row r="1306" customFormat="false" ht="15" hidden="false" customHeight="false" outlineLevel="0" collapsed="false">
      <c r="A1306" s="60"/>
      <c r="B1306" s="61" t="str">
        <f aca="false">IF($M1306=0,"",INDEX(Classes!$E$6:$E$420,$M1306))</f>
        <v/>
      </c>
      <c r="C1306" s="62" t="str">
        <f aca="false">IF($M1306=0,"",INDEX(Classes!$H$6:$H$420,$M1306))</f>
        <v/>
      </c>
      <c r="D1306" s="61" t="str">
        <f aca="false">IF($M1306=0,"",INDEX(Classes!$B$6:$B$420,$M1306))</f>
        <v/>
      </c>
      <c r="E1306" s="61" t="str">
        <f aca="false">IF($M1306=0,"",INDEX(Classes!$C$6:$C$420,$M1306))</f>
        <v/>
      </c>
      <c r="F1306" s="63"/>
      <c r="G1306" s="63"/>
      <c r="H1306" s="60"/>
      <c r="I1306" s="60"/>
      <c r="J1306" s="63"/>
      <c r="K1306" s="61" t="str">
        <f aca="false">IF($P1306=0,"",IF($F1306="Baseline","— Baseline",IF($O1306=0,"No result",IF($N1306=0,"No Start (attainment only)",IF(OR($N1306=1,$O1306=1),"U – needs rule",INDEX(MxBody,MATCH($I1306,MxCurr,0),MATCH($H1306,MxStart,0)))))))</f>
        <v/>
      </c>
      <c r="L1306" s="62" t="str">
        <f aca="false">IF(COUNTA($A1306,$F1306,$G1306,$H1306,$I1306,$J1306)=0,"",IF($M1306=0,"✖ كود الصف غير موجود",IF(ISNA(MATCH($F1306,Lists!$A$2:$A$5,0)),"✖ الفترة غير صحيحة",IF(ISNA(MATCH($G1306,Lists!$B$2:$B$7,0)),"✖ المجموعة غير صحيحة",IF(NOT(OR($H1306="",$N1306&gt;0)),"✖ Start غير صحيح",IF(NOT(OR($I1306="",$I1306="NR",$O1306&gt;0)),"✖ Current غير صحيح",IF(NOT(IF(ISNUMBER($J1306),AND($J1306&gt;=0,$J1306=INT($J1306)),FALSE())),"✖ العدد يجب أن يكون صحيحًا ≥ 0",IF(AND($F1306="Baseline",$H1306&lt;&gt;""),"⚠ Baseline: Start لا يدخل في التقدم",IF($K1306="No Start (attainment only)","ℹ تحصيل فقط (بدون Start)",IF($K1306="U – needs rule","ℹ حالة U تحتاج قاعدة معتمدة",IF($K1306="No result","ℹ بدون نتيجة (يُستبعد من التحصيل)","OK")))))))))))</f>
        <v/>
      </c>
      <c r="M1306" s="64" t="n">
        <f aca="false">IF($A1306="",0,IFERROR(MATCH($A1306,Classes!$A$6:$A$420,0),0))</f>
        <v>0</v>
      </c>
      <c r="N1306" s="64" t="n">
        <f aca="false">IF($H1306="",0,IFERROR(MATCH($H1306,GradeList,0),0))</f>
        <v>0</v>
      </c>
      <c r="O1306" s="64" t="n">
        <f aca="false">IF(OR($I1306="",$I1306="NR"),0,IFERROR(MATCH($I1306,GradeList,0),0))</f>
        <v>0</v>
      </c>
      <c r="P1306" s="64" t="n">
        <f aca="false">IF(AND($M1306&gt;0,ISNUMBER(MATCH($F1306,Lists!$A$2:$A$5,0)),ISNUMBER(MATCH($G1306,Lists!$B$2:$B$7,0)),OR($H1306="",$N1306&gt;0),OR($I1306="",$I1306="NR",$O1306&gt;0),IF(ISNUMBER($J1306),AND($J1306&gt;=0,$J1306=INT($J1306)),FALSE())),$J1306,0)</f>
        <v>0</v>
      </c>
      <c r="Q1306" s="64" t="n">
        <f aca="false">IF(AND($P1306&gt;0,$O1306&gt;0),$P1306,0)</f>
        <v>0</v>
      </c>
      <c r="R1306" s="64" t="n">
        <f aca="false">IF(AND($Q1306&gt;0,$O1306&gt;=AtRank),$Q1306,0)</f>
        <v>0</v>
      </c>
      <c r="S1306" s="64" t="n">
        <f aca="false">IF(AND($Q1306&gt;0,$O1306&gt;=AboveRank),$Q1306,0)</f>
        <v>0</v>
      </c>
      <c r="T1306" s="64" t="n">
        <f aca="false">IF($K1306="Less",$P1306,0)</f>
        <v>0</v>
      </c>
      <c r="U1306" s="64" t="n">
        <f aca="false">IF($K1306="Expected",$P1306,0)</f>
        <v>0</v>
      </c>
      <c r="V1306" s="64" t="n">
        <f aca="false">IF($K1306="Better",$P1306,0)</f>
        <v>0</v>
      </c>
      <c r="W1306" s="64" t="n">
        <f aca="false">IF($K1306="U – needs rule",$P1306,0)</f>
        <v>0</v>
      </c>
      <c r="X1306" s="64" t="n">
        <f aca="false">IF($K1306="No Start (attainment only)",$P1306,0)</f>
        <v>0</v>
      </c>
    </row>
    <row r="1307" customFormat="false" ht="15" hidden="false" customHeight="false" outlineLevel="0" collapsed="false">
      <c r="A1307" s="60"/>
      <c r="B1307" s="61" t="str">
        <f aca="false">IF($M1307=0,"",INDEX(Classes!$E$6:$E$420,$M1307))</f>
        <v/>
      </c>
      <c r="C1307" s="62" t="str">
        <f aca="false">IF($M1307=0,"",INDEX(Classes!$H$6:$H$420,$M1307))</f>
        <v/>
      </c>
      <c r="D1307" s="61" t="str">
        <f aca="false">IF($M1307=0,"",INDEX(Classes!$B$6:$B$420,$M1307))</f>
        <v/>
      </c>
      <c r="E1307" s="61" t="str">
        <f aca="false">IF($M1307=0,"",INDEX(Classes!$C$6:$C$420,$M1307))</f>
        <v/>
      </c>
      <c r="F1307" s="63"/>
      <c r="G1307" s="63"/>
      <c r="H1307" s="60"/>
      <c r="I1307" s="60"/>
      <c r="J1307" s="63"/>
      <c r="K1307" s="61" t="str">
        <f aca="false">IF($P1307=0,"",IF($F1307="Baseline","— Baseline",IF($O1307=0,"No result",IF($N1307=0,"No Start (attainment only)",IF(OR($N1307=1,$O1307=1),"U – needs rule",INDEX(MxBody,MATCH($I1307,MxCurr,0),MATCH($H1307,MxStart,0)))))))</f>
        <v/>
      </c>
      <c r="L1307" s="62" t="str">
        <f aca="false">IF(COUNTA($A1307,$F1307,$G1307,$H1307,$I1307,$J1307)=0,"",IF($M1307=0,"✖ كود الصف غير موجود",IF(ISNA(MATCH($F1307,Lists!$A$2:$A$5,0)),"✖ الفترة غير صحيحة",IF(ISNA(MATCH($G1307,Lists!$B$2:$B$7,0)),"✖ المجموعة غير صحيحة",IF(NOT(OR($H1307="",$N1307&gt;0)),"✖ Start غير صحيح",IF(NOT(OR($I1307="",$I1307="NR",$O1307&gt;0)),"✖ Current غير صحيح",IF(NOT(IF(ISNUMBER($J1307),AND($J1307&gt;=0,$J1307=INT($J1307)),FALSE())),"✖ العدد يجب أن يكون صحيحًا ≥ 0",IF(AND($F1307="Baseline",$H1307&lt;&gt;""),"⚠ Baseline: Start لا يدخل في التقدم",IF($K1307="No Start (attainment only)","ℹ تحصيل فقط (بدون Start)",IF($K1307="U – needs rule","ℹ حالة U تحتاج قاعدة معتمدة",IF($K1307="No result","ℹ بدون نتيجة (يُستبعد من التحصيل)","OK")))))))))))</f>
        <v/>
      </c>
      <c r="M1307" s="64" t="n">
        <f aca="false">IF($A1307="",0,IFERROR(MATCH($A1307,Classes!$A$6:$A$420,0),0))</f>
        <v>0</v>
      </c>
      <c r="N1307" s="64" t="n">
        <f aca="false">IF($H1307="",0,IFERROR(MATCH($H1307,GradeList,0),0))</f>
        <v>0</v>
      </c>
      <c r="O1307" s="64" t="n">
        <f aca="false">IF(OR($I1307="",$I1307="NR"),0,IFERROR(MATCH($I1307,GradeList,0),0))</f>
        <v>0</v>
      </c>
      <c r="P1307" s="64" t="n">
        <f aca="false">IF(AND($M1307&gt;0,ISNUMBER(MATCH($F1307,Lists!$A$2:$A$5,0)),ISNUMBER(MATCH($G1307,Lists!$B$2:$B$7,0)),OR($H1307="",$N1307&gt;0),OR($I1307="",$I1307="NR",$O1307&gt;0),IF(ISNUMBER($J1307),AND($J1307&gt;=0,$J1307=INT($J1307)),FALSE())),$J1307,0)</f>
        <v>0</v>
      </c>
      <c r="Q1307" s="64" t="n">
        <f aca="false">IF(AND($P1307&gt;0,$O1307&gt;0),$P1307,0)</f>
        <v>0</v>
      </c>
      <c r="R1307" s="64" t="n">
        <f aca="false">IF(AND($Q1307&gt;0,$O1307&gt;=AtRank),$Q1307,0)</f>
        <v>0</v>
      </c>
      <c r="S1307" s="64" t="n">
        <f aca="false">IF(AND($Q1307&gt;0,$O1307&gt;=AboveRank),$Q1307,0)</f>
        <v>0</v>
      </c>
      <c r="T1307" s="64" t="n">
        <f aca="false">IF($K1307="Less",$P1307,0)</f>
        <v>0</v>
      </c>
      <c r="U1307" s="64" t="n">
        <f aca="false">IF($K1307="Expected",$P1307,0)</f>
        <v>0</v>
      </c>
      <c r="V1307" s="64" t="n">
        <f aca="false">IF($K1307="Better",$P1307,0)</f>
        <v>0</v>
      </c>
      <c r="W1307" s="64" t="n">
        <f aca="false">IF($K1307="U – needs rule",$P1307,0)</f>
        <v>0</v>
      </c>
      <c r="X1307" s="64" t="n">
        <f aca="false">IF($K1307="No Start (attainment only)",$P1307,0)</f>
        <v>0</v>
      </c>
    </row>
    <row r="1308" customFormat="false" ht="15" hidden="false" customHeight="false" outlineLevel="0" collapsed="false">
      <c r="A1308" s="60"/>
      <c r="B1308" s="61" t="str">
        <f aca="false">IF($M1308=0,"",INDEX(Classes!$E$6:$E$420,$M1308))</f>
        <v/>
      </c>
      <c r="C1308" s="62" t="str">
        <f aca="false">IF($M1308=0,"",INDEX(Classes!$H$6:$H$420,$M1308))</f>
        <v/>
      </c>
      <c r="D1308" s="61" t="str">
        <f aca="false">IF($M1308=0,"",INDEX(Classes!$B$6:$B$420,$M1308))</f>
        <v/>
      </c>
      <c r="E1308" s="61" t="str">
        <f aca="false">IF($M1308=0,"",INDEX(Classes!$C$6:$C$420,$M1308))</f>
        <v/>
      </c>
      <c r="F1308" s="63"/>
      <c r="G1308" s="63"/>
      <c r="H1308" s="60"/>
      <c r="I1308" s="60"/>
      <c r="J1308" s="63"/>
      <c r="K1308" s="61" t="str">
        <f aca="false">IF($P1308=0,"",IF($F1308="Baseline","— Baseline",IF($O1308=0,"No result",IF($N1308=0,"No Start (attainment only)",IF(OR($N1308=1,$O1308=1),"U – needs rule",INDEX(MxBody,MATCH($I1308,MxCurr,0),MATCH($H1308,MxStart,0)))))))</f>
        <v/>
      </c>
      <c r="L1308" s="62" t="str">
        <f aca="false">IF(COUNTA($A1308,$F1308,$G1308,$H1308,$I1308,$J1308)=0,"",IF($M1308=0,"✖ كود الصف غير موجود",IF(ISNA(MATCH($F1308,Lists!$A$2:$A$5,0)),"✖ الفترة غير صحيحة",IF(ISNA(MATCH($G1308,Lists!$B$2:$B$7,0)),"✖ المجموعة غير صحيحة",IF(NOT(OR($H1308="",$N1308&gt;0)),"✖ Start غير صحيح",IF(NOT(OR($I1308="",$I1308="NR",$O1308&gt;0)),"✖ Current غير صحيح",IF(NOT(IF(ISNUMBER($J1308),AND($J1308&gt;=0,$J1308=INT($J1308)),FALSE())),"✖ العدد يجب أن يكون صحيحًا ≥ 0",IF(AND($F1308="Baseline",$H1308&lt;&gt;""),"⚠ Baseline: Start لا يدخل في التقدم",IF($K1308="No Start (attainment only)","ℹ تحصيل فقط (بدون Start)",IF($K1308="U – needs rule","ℹ حالة U تحتاج قاعدة معتمدة",IF($K1308="No result","ℹ بدون نتيجة (يُستبعد من التحصيل)","OK")))))))))))</f>
        <v/>
      </c>
      <c r="M1308" s="64" t="n">
        <f aca="false">IF($A1308="",0,IFERROR(MATCH($A1308,Classes!$A$6:$A$420,0),0))</f>
        <v>0</v>
      </c>
      <c r="N1308" s="64" t="n">
        <f aca="false">IF($H1308="",0,IFERROR(MATCH($H1308,GradeList,0),0))</f>
        <v>0</v>
      </c>
      <c r="O1308" s="64" t="n">
        <f aca="false">IF(OR($I1308="",$I1308="NR"),0,IFERROR(MATCH($I1308,GradeList,0),0))</f>
        <v>0</v>
      </c>
      <c r="P1308" s="64" t="n">
        <f aca="false">IF(AND($M1308&gt;0,ISNUMBER(MATCH($F1308,Lists!$A$2:$A$5,0)),ISNUMBER(MATCH($G1308,Lists!$B$2:$B$7,0)),OR($H1308="",$N1308&gt;0),OR($I1308="",$I1308="NR",$O1308&gt;0),IF(ISNUMBER($J1308),AND($J1308&gt;=0,$J1308=INT($J1308)),FALSE())),$J1308,0)</f>
        <v>0</v>
      </c>
      <c r="Q1308" s="64" t="n">
        <f aca="false">IF(AND($P1308&gt;0,$O1308&gt;0),$P1308,0)</f>
        <v>0</v>
      </c>
      <c r="R1308" s="64" t="n">
        <f aca="false">IF(AND($Q1308&gt;0,$O1308&gt;=AtRank),$Q1308,0)</f>
        <v>0</v>
      </c>
      <c r="S1308" s="64" t="n">
        <f aca="false">IF(AND($Q1308&gt;0,$O1308&gt;=AboveRank),$Q1308,0)</f>
        <v>0</v>
      </c>
      <c r="T1308" s="64" t="n">
        <f aca="false">IF($K1308="Less",$P1308,0)</f>
        <v>0</v>
      </c>
      <c r="U1308" s="64" t="n">
        <f aca="false">IF($K1308="Expected",$P1308,0)</f>
        <v>0</v>
      </c>
      <c r="V1308" s="64" t="n">
        <f aca="false">IF($K1308="Better",$P1308,0)</f>
        <v>0</v>
      </c>
      <c r="W1308" s="64" t="n">
        <f aca="false">IF($K1308="U – needs rule",$P1308,0)</f>
        <v>0</v>
      </c>
      <c r="X1308" s="64" t="n">
        <f aca="false">IF($K1308="No Start (attainment only)",$P1308,0)</f>
        <v>0</v>
      </c>
    </row>
    <row r="1309" customFormat="false" ht="15" hidden="false" customHeight="false" outlineLevel="0" collapsed="false">
      <c r="A1309" s="60"/>
      <c r="B1309" s="61" t="str">
        <f aca="false">IF($M1309=0,"",INDEX(Classes!$E$6:$E$420,$M1309))</f>
        <v/>
      </c>
      <c r="C1309" s="62" t="str">
        <f aca="false">IF($M1309=0,"",INDEX(Classes!$H$6:$H$420,$M1309))</f>
        <v/>
      </c>
      <c r="D1309" s="61" t="str">
        <f aca="false">IF($M1309=0,"",INDEX(Classes!$B$6:$B$420,$M1309))</f>
        <v/>
      </c>
      <c r="E1309" s="61" t="str">
        <f aca="false">IF($M1309=0,"",INDEX(Classes!$C$6:$C$420,$M1309))</f>
        <v/>
      </c>
      <c r="F1309" s="63"/>
      <c r="G1309" s="63"/>
      <c r="H1309" s="60"/>
      <c r="I1309" s="60"/>
      <c r="J1309" s="63"/>
      <c r="K1309" s="61" t="str">
        <f aca="false">IF($P1309=0,"",IF($F1309="Baseline","— Baseline",IF($O1309=0,"No result",IF($N1309=0,"No Start (attainment only)",IF(OR($N1309=1,$O1309=1),"U – needs rule",INDEX(MxBody,MATCH($I1309,MxCurr,0),MATCH($H1309,MxStart,0)))))))</f>
        <v/>
      </c>
      <c r="L1309" s="62" t="str">
        <f aca="false">IF(COUNTA($A1309,$F1309,$G1309,$H1309,$I1309,$J1309)=0,"",IF($M1309=0,"✖ كود الصف غير موجود",IF(ISNA(MATCH($F1309,Lists!$A$2:$A$5,0)),"✖ الفترة غير صحيحة",IF(ISNA(MATCH($G1309,Lists!$B$2:$B$7,0)),"✖ المجموعة غير صحيحة",IF(NOT(OR($H1309="",$N1309&gt;0)),"✖ Start غير صحيح",IF(NOT(OR($I1309="",$I1309="NR",$O1309&gt;0)),"✖ Current غير صحيح",IF(NOT(IF(ISNUMBER($J1309),AND($J1309&gt;=0,$J1309=INT($J1309)),FALSE())),"✖ العدد يجب أن يكون صحيحًا ≥ 0",IF(AND($F1309="Baseline",$H1309&lt;&gt;""),"⚠ Baseline: Start لا يدخل في التقدم",IF($K1309="No Start (attainment only)","ℹ تحصيل فقط (بدون Start)",IF($K1309="U – needs rule","ℹ حالة U تحتاج قاعدة معتمدة",IF($K1309="No result","ℹ بدون نتيجة (يُستبعد من التحصيل)","OK")))))))))))</f>
        <v/>
      </c>
      <c r="M1309" s="64" t="n">
        <f aca="false">IF($A1309="",0,IFERROR(MATCH($A1309,Classes!$A$6:$A$420,0),0))</f>
        <v>0</v>
      </c>
      <c r="N1309" s="64" t="n">
        <f aca="false">IF($H1309="",0,IFERROR(MATCH($H1309,GradeList,0),0))</f>
        <v>0</v>
      </c>
      <c r="O1309" s="64" t="n">
        <f aca="false">IF(OR($I1309="",$I1309="NR"),0,IFERROR(MATCH($I1309,GradeList,0),0))</f>
        <v>0</v>
      </c>
      <c r="P1309" s="64" t="n">
        <f aca="false">IF(AND($M1309&gt;0,ISNUMBER(MATCH($F1309,Lists!$A$2:$A$5,0)),ISNUMBER(MATCH($G1309,Lists!$B$2:$B$7,0)),OR($H1309="",$N1309&gt;0),OR($I1309="",$I1309="NR",$O1309&gt;0),IF(ISNUMBER($J1309),AND($J1309&gt;=0,$J1309=INT($J1309)),FALSE())),$J1309,0)</f>
        <v>0</v>
      </c>
      <c r="Q1309" s="64" t="n">
        <f aca="false">IF(AND($P1309&gt;0,$O1309&gt;0),$P1309,0)</f>
        <v>0</v>
      </c>
      <c r="R1309" s="64" t="n">
        <f aca="false">IF(AND($Q1309&gt;0,$O1309&gt;=AtRank),$Q1309,0)</f>
        <v>0</v>
      </c>
      <c r="S1309" s="64" t="n">
        <f aca="false">IF(AND($Q1309&gt;0,$O1309&gt;=AboveRank),$Q1309,0)</f>
        <v>0</v>
      </c>
      <c r="T1309" s="64" t="n">
        <f aca="false">IF($K1309="Less",$P1309,0)</f>
        <v>0</v>
      </c>
      <c r="U1309" s="64" t="n">
        <f aca="false">IF($K1309="Expected",$P1309,0)</f>
        <v>0</v>
      </c>
      <c r="V1309" s="64" t="n">
        <f aca="false">IF($K1309="Better",$P1309,0)</f>
        <v>0</v>
      </c>
      <c r="W1309" s="64" t="n">
        <f aca="false">IF($K1309="U – needs rule",$P1309,0)</f>
        <v>0</v>
      </c>
      <c r="X1309" s="64" t="n">
        <f aca="false">IF($K1309="No Start (attainment only)",$P1309,0)</f>
        <v>0</v>
      </c>
    </row>
    <row r="1310" customFormat="false" ht="15" hidden="false" customHeight="false" outlineLevel="0" collapsed="false">
      <c r="A1310" s="60"/>
      <c r="B1310" s="61" t="str">
        <f aca="false">IF($M1310=0,"",INDEX(Classes!$E$6:$E$420,$M1310))</f>
        <v/>
      </c>
      <c r="C1310" s="62" t="str">
        <f aca="false">IF($M1310=0,"",INDEX(Classes!$H$6:$H$420,$M1310))</f>
        <v/>
      </c>
      <c r="D1310" s="61" t="str">
        <f aca="false">IF($M1310=0,"",INDEX(Classes!$B$6:$B$420,$M1310))</f>
        <v/>
      </c>
      <c r="E1310" s="61" t="str">
        <f aca="false">IF($M1310=0,"",INDEX(Classes!$C$6:$C$420,$M1310))</f>
        <v/>
      </c>
      <c r="F1310" s="63"/>
      <c r="G1310" s="63"/>
      <c r="H1310" s="60"/>
      <c r="I1310" s="60"/>
      <c r="J1310" s="63"/>
      <c r="K1310" s="61" t="str">
        <f aca="false">IF($P1310=0,"",IF($F1310="Baseline","— Baseline",IF($O1310=0,"No result",IF($N1310=0,"No Start (attainment only)",IF(OR($N1310=1,$O1310=1),"U – needs rule",INDEX(MxBody,MATCH($I1310,MxCurr,0),MATCH($H1310,MxStart,0)))))))</f>
        <v/>
      </c>
      <c r="L1310" s="62" t="str">
        <f aca="false">IF(COUNTA($A1310,$F1310,$G1310,$H1310,$I1310,$J1310)=0,"",IF($M1310=0,"✖ كود الصف غير موجود",IF(ISNA(MATCH($F1310,Lists!$A$2:$A$5,0)),"✖ الفترة غير صحيحة",IF(ISNA(MATCH($G1310,Lists!$B$2:$B$7,0)),"✖ المجموعة غير صحيحة",IF(NOT(OR($H1310="",$N1310&gt;0)),"✖ Start غير صحيح",IF(NOT(OR($I1310="",$I1310="NR",$O1310&gt;0)),"✖ Current غير صحيح",IF(NOT(IF(ISNUMBER($J1310),AND($J1310&gt;=0,$J1310=INT($J1310)),FALSE())),"✖ العدد يجب أن يكون صحيحًا ≥ 0",IF(AND($F1310="Baseline",$H1310&lt;&gt;""),"⚠ Baseline: Start لا يدخل في التقدم",IF($K1310="No Start (attainment only)","ℹ تحصيل فقط (بدون Start)",IF($K1310="U – needs rule","ℹ حالة U تحتاج قاعدة معتمدة",IF($K1310="No result","ℹ بدون نتيجة (يُستبعد من التحصيل)","OK")))))))))))</f>
        <v/>
      </c>
      <c r="M1310" s="64" t="n">
        <f aca="false">IF($A1310="",0,IFERROR(MATCH($A1310,Classes!$A$6:$A$420,0),0))</f>
        <v>0</v>
      </c>
      <c r="N1310" s="64" t="n">
        <f aca="false">IF($H1310="",0,IFERROR(MATCH($H1310,GradeList,0),0))</f>
        <v>0</v>
      </c>
      <c r="O1310" s="64" t="n">
        <f aca="false">IF(OR($I1310="",$I1310="NR"),0,IFERROR(MATCH($I1310,GradeList,0),0))</f>
        <v>0</v>
      </c>
      <c r="P1310" s="64" t="n">
        <f aca="false">IF(AND($M1310&gt;0,ISNUMBER(MATCH($F1310,Lists!$A$2:$A$5,0)),ISNUMBER(MATCH($G1310,Lists!$B$2:$B$7,0)),OR($H1310="",$N1310&gt;0),OR($I1310="",$I1310="NR",$O1310&gt;0),IF(ISNUMBER($J1310),AND($J1310&gt;=0,$J1310=INT($J1310)),FALSE())),$J1310,0)</f>
        <v>0</v>
      </c>
      <c r="Q1310" s="64" t="n">
        <f aca="false">IF(AND($P1310&gt;0,$O1310&gt;0),$P1310,0)</f>
        <v>0</v>
      </c>
      <c r="R1310" s="64" t="n">
        <f aca="false">IF(AND($Q1310&gt;0,$O1310&gt;=AtRank),$Q1310,0)</f>
        <v>0</v>
      </c>
      <c r="S1310" s="64" t="n">
        <f aca="false">IF(AND($Q1310&gt;0,$O1310&gt;=AboveRank),$Q1310,0)</f>
        <v>0</v>
      </c>
      <c r="T1310" s="64" t="n">
        <f aca="false">IF($K1310="Less",$P1310,0)</f>
        <v>0</v>
      </c>
      <c r="U1310" s="64" t="n">
        <f aca="false">IF($K1310="Expected",$P1310,0)</f>
        <v>0</v>
      </c>
      <c r="V1310" s="64" t="n">
        <f aca="false">IF($K1310="Better",$P1310,0)</f>
        <v>0</v>
      </c>
      <c r="W1310" s="64" t="n">
        <f aca="false">IF($K1310="U – needs rule",$P1310,0)</f>
        <v>0</v>
      </c>
      <c r="X1310" s="64" t="n">
        <f aca="false">IF($K1310="No Start (attainment only)",$P1310,0)</f>
        <v>0</v>
      </c>
    </row>
    <row r="1311" customFormat="false" ht="15" hidden="false" customHeight="false" outlineLevel="0" collapsed="false">
      <c r="A1311" s="60"/>
      <c r="B1311" s="61" t="str">
        <f aca="false">IF($M1311=0,"",INDEX(Classes!$E$6:$E$420,$M1311))</f>
        <v/>
      </c>
      <c r="C1311" s="62" t="str">
        <f aca="false">IF($M1311=0,"",INDEX(Classes!$H$6:$H$420,$M1311))</f>
        <v/>
      </c>
      <c r="D1311" s="61" t="str">
        <f aca="false">IF($M1311=0,"",INDEX(Classes!$B$6:$B$420,$M1311))</f>
        <v/>
      </c>
      <c r="E1311" s="61" t="str">
        <f aca="false">IF($M1311=0,"",INDEX(Classes!$C$6:$C$420,$M1311))</f>
        <v/>
      </c>
      <c r="F1311" s="63"/>
      <c r="G1311" s="63"/>
      <c r="H1311" s="60"/>
      <c r="I1311" s="60"/>
      <c r="J1311" s="63"/>
      <c r="K1311" s="61" t="str">
        <f aca="false">IF($P1311=0,"",IF($F1311="Baseline","— Baseline",IF($O1311=0,"No result",IF($N1311=0,"No Start (attainment only)",IF(OR($N1311=1,$O1311=1),"U – needs rule",INDEX(MxBody,MATCH($I1311,MxCurr,0),MATCH($H1311,MxStart,0)))))))</f>
        <v/>
      </c>
      <c r="L1311" s="62" t="str">
        <f aca="false">IF(COUNTA($A1311,$F1311,$G1311,$H1311,$I1311,$J1311)=0,"",IF($M1311=0,"✖ كود الصف غير موجود",IF(ISNA(MATCH($F1311,Lists!$A$2:$A$5,0)),"✖ الفترة غير صحيحة",IF(ISNA(MATCH($G1311,Lists!$B$2:$B$7,0)),"✖ المجموعة غير صحيحة",IF(NOT(OR($H1311="",$N1311&gt;0)),"✖ Start غير صحيح",IF(NOT(OR($I1311="",$I1311="NR",$O1311&gt;0)),"✖ Current غير صحيح",IF(NOT(IF(ISNUMBER($J1311),AND($J1311&gt;=0,$J1311=INT($J1311)),FALSE())),"✖ العدد يجب أن يكون صحيحًا ≥ 0",IF(AND($F1311="Baseline",$H1311&lt;&gt;""),"⚠ Baseline: Start لا يدخل في التقدم",IF($K1311="No Start (attainment only)","ℹ تحصيل فقط (بدون Start)",IF($K1311="U – needs rule","ℹ حالة U تحتاج قاعدة معتمدة",IF($K1311="No result","ℹ بدون نتيجة (يُستبعد من التحصيل)","OK")))))))))))</f>
        <v/>
      </c>
      <c r="M1311" s="64" t="n">
        <f aca="false">IF($A1311="",0,IFERROR(MATCH($A1311,Classes!$A$6:$A$420,0),0))</f>
        <v>0</v>
      </c>
      <c r="N1311" s="64" t="n">
        <f aca="false">IF($H1311="",0,IFERROR(MATCH($H1311,GradeList,0),0))</f>
        <v>0</v>
      </c>
      <c r="O1311" s="64" t="n">
        <f aca="false">IF(OR($I1311="",$I1311="NR"),0,IFERROR(MATCH($I1311,GradeList,0),0))</f>
        <v>0</v>
      </c>
      <c r="P1311" s="64" t="n">
        <f aca="false">IF(AND($M1311&gt;0,ISNUMBER(MATCH($F1311,Lists!$A$2:$A$5,0)),ISNUMBER(MATCH($G1311,Lists!$B$2:$B$7,0)),OR($H1311="",$N1311&gt;0),OR($I1311="",$I1311="NR",$O1311&gt;0),IF(ISNUMBER($J1311),AND($J1311&gt;=0,$J1311=INT($J1311)),FALSE())),$J1311,0)</f>
        <v>0</v>
      </c>
      <c r="Q1311" s="64" t="n">
        <f aca="false">IF(AND($P1311&gt;0,$O1311&gt;0),$P1311,0)</f>
        <v>0</v>
      </c>
      <c r="R1311" s="64" t="n">
        <f aca="false">IF(AND($Q1311&gt;0,$O1311&gt;=AtRank),$Q1311,0)</f>
        <v>0</v>
      </c>
      <c r="S1311" s="64" t="n">
        <f aca="false">IF(AND($Q1311&gt;0,$O1311&gt;=AboveRank),$Q1311,0)</f>
        <v>0</v>
      </c>
      <c r="T1311" s="64" t="n">
        <f aca="false">IF($K1311="Less",$P1311,0)</f>
        <v>0</v>
      </c>
      <c r="U1311" s="64" t="n">
        <f aca="false">IF($K1311="Expected",$P1311,0)</f>
        <v>0</v>
      </c>
      <c r="V1311" s="64" t="n">
        <f aca="false">IF($K1311="Better",$P1311,0)</f>
        <v>0</v>
      </c>
      <c r="W1311" s="64" t="n">
        <f aca="false">IF($K1311="U – needs rule",$P1311,0)</f>
        <v>0</v>
      </c>
      <c r="X1311" s="64" t="n">
        <f aca="false">IF($K1311="No Start (attainment only)",$P1311,0)</f>
        <v>0</v>
      </c>
    </row>
    <row r="1312" customFormat="false" ht="15" hidden="false" customHeight="false" outlineLevel="0" collapsed="false">
      <c r="A1312" s="60"/>
      <c r="B1312" s="61" t="str">
        <f aca="false">IF($M1312=0,"",INDEX(Classes!$E$6:$E$420,$M1312))</f>
        <v/>
      </c>
      <c r="C1312" s="62" t="str">
        <f aca="false">IF($M1312=0,"",INDEX(Classes!$H$6:$H$420,$M1312))</f>
        <v/>
      </c>
      <c r="D1312" s="61" t="str">
        <f aca="false">IF($M1312=0,"",INDEX(Classes!$B$6:$B$420,$M1312))</f>
        <v/>
      </c>
      <c r="E1312" s="61" t="str">
        <f aca="false">IF($M1312=0,"",INDEX(Classes!$C$6:$C$420,$M1312))</f>
        <v/>
      </c>
      <c r="F1312" s="63"/>
      <c r="G1312" s="63"/>
      <c r="H1312" s="60"/>
      <c r="I1312" s="60"/>
      <c r="J1312" s="63"/>
      <c r="K1312" s="61" t="str">
        <f aca="false">IF($P1312=0,"",IF($F1312="Baseline","— Baseline",IF($O1312=0,"No result",IF($N1312=0,"No Start (attainment only)",IF(OR($N1312=1,$O1312=1),"U – needs rule",INDEX(MxBody,MATCH($I1312,MxCurr,0),MATCH($H1312,MxStart,0)))))))</f>
        <v/>
      </c>
      <c r="L1312" s="62" t="str">
        <f aca="false">IF(COUNTA($A1312,$F1312,$G1312,$H1312,$I1312,$J1312)=0,"",IF($M1312=0,"✖ كود الصف غير موجود",IF(ISNA(MATCH($F1312,Lists!$A$2:$A$5,0)),"✖ الفترة غير صحيحة",IF(ISNA(MATCH($G1312,Lists!$B$2:$B$7,0)),"✖ المجموعة غير صحيحة",IF(NOT(OR($H1312="",$N1312&gt;0)),"✖ Start غير صحيح",IF(NOT(OR($I1312="",$I1312="NR",$O1312&gt;0)),"✖ Current غير صحيح",IF(NOT(IF(ISNUMBER($J1312),AND($J1312&gt;=0,$J1312=INT($J1312)),FALSE())),"✖ العدد يجب أن يكون صحيحًا ≥ 0",IF(AND($F1312="Baseline",$H1312&lt;&gt;""),"⚠ Baseline: Start لا يدخل في التقدم",IF($K1312="No Start (attainment only)","ℹ تحصيل فقط (بدون Start)",IF($K1312="U – needs rule","ℹ حالة U تحتاج قاعدة معتمدة",IF($K1312="No result","ℹ بدون نتيجة (يُستبعد من التحصيل)","OK")))))))))))</f>
        <v/>
      </c>
      <c r="M1312" s="64" t="n">
        <f aca="false">IF($A1312="",0,IFERROR(MATCH($A1312,Classes!$A$6:$A$420,0),0))</f>
        <v>0</v>
      </c>
      <c r="N1312" s="64" t="n">
        <f aca="false">IF($H1312="",0,IFERROR(MATCH($H1312,GradeList,0),0))</f>
        <v>0</v>
      </c>
      <c r="O1312" s="64" t="n">
        <f aca="false">IF(OR($I1312="",$I1312="NR"),0,IFERROR(MATCH($I1312,GradeList,0),0))</f>
        <v>0</v>
      </c>
      <c r="P1312" s="64" t="n">
        <f aca="false">IF(AND($M1312&gt;0,ISNUMBER(MATCH($F1312,Lists!$A$2:$A$5,0)),ISNUMBER(MATCH($G1312,Lists!$B$2:$B$7,0)),OR($H1312="",$N1312&gt;0),OR($I1312="",$I1312="NR",$O1312&gt;0),IF(ISNUMBER($J1312),AND($J1312&gt;=0,$J1312=INT($J1312)),FALSE())),$J1312,0)</f>
        <v>0</v>
      </c>
      <c r="Q1312" s="64" t="n">
        <f aca="false">IF(AND($P1312&gt;0,$O1312&gt;0),$P1312,0)</f>
        <v>0</v>
      </c>
      <c r="R1312" s="64" t="n">
        <f aca="false">IF(AND($Q1312&gt;0,$O1312&gt;=AtRank),$Q1312,0)</f>
        <v>0</v>
      </c>
      <c r="S1312" s="64" t="n">
        <f aca="false">IF(AND($Q1312&gt;0,$O1312&gt;=AboveRank),$Q1312,0)</f>
        <v>0</v>
      </c>
      <c r="T1312" s="64" t="n">
        <f aca="false">IF($K1312="Less",$P1312,0)</f>
        <v>0</v>
      </c>
      <c r="U1312" s="64" t="n">
        <f aca="false">IF($K1312="Expected",$P1312,0)</f>
        <v>0</v>
      </c>
      <c r="V1312" s="64" t="n">
        <f aca="false">IF($K1312="Better",$P1312,0)</f>
        <v>0</v>
      </c>
      <c r="W1312" s="64" t="n">
        <f aca="false">IF($K1312="U – needs rule",$P1312,0)</f>
        <v>0</v>
      </c>
      <c r="X1312" s="64" t="n">
        <f aca="false">IF($K1312="No Start (attainment only)",$P1312,0)</f>
        <v>0</v>
      </c>
    </row>
    <row r="1313" customFormat="false" ht="15" hidden="false" customHeight="false" outlineLevel="0" collapsed="false">
      <c r="A1313" s="60"/>
      <c r="B1313" s="61" t="str">
        <f aca="false">IF($M1313=0,"",INDEX(Classes!$E$6:$E$420,$M1313))</f>
        <v/>
      </c>
      <c r="C1313" s="62" t="str">
        <f aca="false">IF($M1313=0,"",INDEX(Classes!$H$6:$H$420,$M1313))</f>
        <v/>
      </c>
      <c r="D1313" s="61" t="str">
        <f aca="false">IF($M1313=0,"",INDEX(Classes!$B$6:$B$420,$M1313))</f>
        <v/>
      </c>
      <c r="E1313" s="61" t="str">
        <f aca="false">IF($M1313=0,"",INDEX(Classes!$C$6:$C$420,$M1313))</f>
        <v/>
      </c>
      <c r="F1313" s="63"/>
      <c r="G1313" s="63"/>
      <c r="H1313" s="60"/>
      <c r="I1313" s="60"/>
      <c r="J1313" s="63"/>
      <c r="K1313" s="61" t="str">
        <f aca="false">IF($P1313=0,"",IF($F1313="Baseline","— Baseline",IF($O1313=0,"No result",IF($N1313=0,"No Start (attainment only)",IF(OR($N1313=1,$O1313=1),"U – needs rule",INDEX(MxBody,MATCH($I1313,MxCurr,0),MATCH($H1313,MxStart,0)))))))</f>
        <v/>
      </c>
      <c r="L1313" s="62" t="str">
        <f aca="false">IF(COUNTA($A1313,$F1313,$G1313,$H1313,$I1313,$J1313)=0,"",IF($M1313=0,"✖ كود الصف غير موجود",IF(ISNA(MATCH($F1313,Lists!$A$2:$A$5,0)),"✖ الفترة غير صحيحة",IF(ISNA(MATCH($G1313,Lists!$B$2:$B$7,0)),"✖ المجموعة غير صحيحة",IF(NOT(OR($H1313="",$N1313&gt;0)),"✖ Start غير صحيح",IF(NOT(OR($I1313="",$I1313="NR",$O1313&gt;0)),"✖ Current غير صحيح",IF(NOT(IF(ISNUMBER($J1313),AND($J1313&gt;=0,$J1313=INT($J1313)),FALSE())),"✖ العدد يجب أن يكون صحيحًا ≥ 0",IF(AND($F1313="Baseline",$H1313&lt;&gt;""),"⚠ Baseline: Start لا يدخل في التقدم",IF($K1313="No Start (attainment only)","ℹ تحصيل فقط (بدون Start)",IF($K1313="U – needs rule","ℹ حالة U تحتاج قاعدة معتمدة",IF($K1313="No result","ℹ بدون نتيجة (يُستبعد من التحصيل)","OK")))))))))))</f>
        <v/>
      </c>
      <c r="M1313" s="64" t="n">
        <f aca="false">IF($A1313="",0,IFERROR(MATCH($A1313,Classes!$A$6:$A$420,0),0))</f>
        <v>0</v>
      </c>
      <c r="N1313" s="64" t="n">
        <f aca="false">IF($H1313="",0,IFERROR(MATCH($H1313,GradeList,0),0))</f>
        <v>0</v>
      </c>
      <c r="O1313" s="64" t="n">
        <f aca="false">IF(OR($I1313="",$I1313="NR"),0,IFERROR(MATCH($I1313,GradeList,0),0))</f>
        <v>0</v>
      </c>
      <c r="P1313" s="64" t="n">
        <f aca="false">IF(AND($M1313&gt;0,ISNUMBER(MATCH($F1313,Lists!$A$2:$A$5,0)),ISNUMBER(MATCH($G1313,Lists!$B$2:$B$7,0)),OR($H1313="",$N1313&gt;0),OR($I1313="",$I1313="NR",$O1313&gt;0),IF(ISNUMBER($J1313),AND($J1313&gt;=0,$J1313=INT($J1313)),FALSE())),$J1313,0)</f>
        <v>0</v>
      </c>
      <c r="Q1313" s="64" t="n">
        <f aca="false">IF(AND($P1313&gt;0,$O1313&gt;0),$P1313,0)</f>
        <v>0</v>
      </c>
      <c r="R1313" s="64" t="n">
        <f aca="false">IF(AND($Q1313&gt;0,$O1313&gt;=AtRank),$Q1313,0)</f>
        <v>0</v>
      </c>
      <c r="S1313" s="64" t="n">
        <f aca="false">IF(AND($Q1313&gt;0,$O1313&gt;=AboveRank),$Q1313,0)</f>
        <v>0</v>
      </c>
      <c r="T1313" s="64" t="n">
        <f aca="false">IF($K1313="Less",$P1313,0)</f>
        <v>0</v>
      </c>
      <c r="U1313" s="64" t="n">
        <f aca="false">IF($K1313="Expected",$P1313,0)</f>
        <v>0</v>
      </c>
      <c r="V1313" s="64" t="n">
        <f aca="false">IF($K1313="Better",$P1313,0)</f>
        <v>0</v>
      </c>
      <c r="W1313" s="64" t="n">
        <f aca="false">IF($K1313="U – needs rule",$P1313,0)</f>
        <v>0</v>
      </c>
      <c r="X1313" s="64" t="n">
        <f aca="false">IF($K1313="No Start (attainment only)",$P1313,0)</f>
        <v>0</v>
      </c>
    </row>
    <row r="1314" customFormat="false" ht="15" hidden="false" customHeight="false" outlineLevel="0" collapsed="false">
      <c r="A1314" s="60"/>
      <c r="B1314" s="61" t="str">
        <f aca="false">IF($M1314=0,"",INDEX(Classes!$E$6:$E$420,$M1314))</f>
        <v/>
      </c>
      <c r="C1314" s="62" t="str">
        <f aca="false">IF($M1314=0,"",INDEX(Classes!$H$6:$H$420,$M1314))</f>
        <v/>
      </c>
      <c r="D1314" s="61" t="str">
        <f aca="false">IF($M1314=0,"",INDEX(Classes!$B$6:$B$420,$M1314))</f>
        <v/>
      </c>
      <c r="E1314" s="61" t="str">
        <f aca="false">IF($M1314=0,"",INDEX(Classes!$C$6:$C$420,$M1314))</f>
        <v/>
      </c>
      <c r="F1314" s="63"/>
      <c r="G1314" s="63"/>
      <c r="H1314" s="60"/>
      <c r="I1314" s="60"/>
      <c r="J1314" s="63"/>
      <c r="K1314" s="61" t="str">
        <f aca="false">IF($P1314=0,"",IF($F1314="Baseline","— Baseline",IF($O1314=0,"No result",IF($N1314=0,"No Start (attainment only)",IF(OR($N1314=1,$O1314=1),"U – needs rule",INDEX(MxBody,MATCH($I1314,MxCurr,0),MATCH($H1314,MxStart,0)))))))</f>
        <v/>
      </c>
      <c r="L1314" s="62" t="str">
        <f aca="false">IF(COUNTA($A1314,$F1314,$G1314,$H1314,$I1314,$J1314)=0,"",IF($M1314=0,"✖ كود الصف غير موجود",IF(ISNA(MATCH($F1314,Lists!$A$2:$A$5,0)),"✖ الفترة غير صحيحة",IF(ISNA(MATCH($G1314,Lists!$B$2:$B$7,0)),"✖ المجموعة غير صحيحة",IF(NOT(OR($H1314="",$N1314&gt;0)),"✖ Start غير صحيح",IF(NOT(OR($I1314="",$I1314="NR",$O1314&gt;0)),"✖ Current غير صحيح",IF(NOT(IF(ISNUMBER($J1314),AND($J1314&gt;=0,$J1314=INT($J1314)),FALSE())),"✖ العدد يجب أن يكون صحيحًا ≥ 0",IF(AND($F1314="Baseline",$H1314&lt;&gt;""),"⚠ Baseline: Start لا يدخل في التقدم",IF($K1314="No Start (attainment only)","ℹ تحصيل فقط (بدون Start)",IF($K1314="U – needs rule","ℹ حالة U تحتاج قاعدة معتمدة",IF($K1314="No result","ℹ بدون نتيجة (يُستبعد من التحصيل)","OK")))))))))))</f>
        <v/>
      </c>
      <c r="M1314" s="64" t="n">
        <f aca="false">IF($A1314="",0,IFERROR(MATCH($A1314,Classes!$A$6:$A$420,0),0))</f>
        <v>0</v>
      </c>
      <c r="N1314" s="64" t="n">
        <f aca="false">IF($H1314="",0,IFERROR(MATCH($H1314,GradeList,0),0))</f>
        <v>0</v>
      </c>
      <c r="O1314" s="64" t="n">
        <f aca="false">IF(OR($I1314="",$I1314="NR"),0,IFERROR(MATCH($I1314,GradeList,0),0))</f>
        <v>0</v>
      </c>
      <c r="P1314" s="64" t="n">
        <f aca="false">IF(AND($M1314&gt;0,ISNUMBER(MATCH($F1314,Lists!$A$2:$A$5,0)),ISNUMBER(MATCH($G1314,Lists!$B$2:$B$7,0)),OR($H1314="",$N1314&gt;0),OR($I1314="",$I1314="NR",$O1314&gt;0),IF(ISNUMBER($J1314),AND($J1314&gt;=0,$J1314=INT($J1314)),FALSE())),$J1314,0)</f>
        <v>0</v>
      </c>
      <c r="Q1314" s="64" t="n">
        <f aca="false">IF(AND($P1314&gt;0,$O1314&gt;0),$P1314,0)</f>
        <v>0</v>
      </c>
      <c r="R1314" s="64" t="n">
        <f aca="false">IF(AND($Q1314&gt;0,$O1314&gt;=AtRank),$Q1314,0)</f>
        <v>0</v>
      </c>
      <c r="S1314" s="64" t="n">
        <f aca="false">IF(AND($Q1314&gt;0,$O1314&gt;=AboveRank),$Q1314,0)</f>
        <v>0</v>
      </c>
      <c r="T1314" s="64" t="n">
        <f aca="false">IF($K1314="Less",$P1314,0)</f>
        <v>0</v>
      </c>
      <c r="U1314" s="64" t="n">
        <f aca="false">IF($K1314="Expected",$P1314,0)</f>
        <v>0</v>
      </c>
      <c r="V1314" s="64" t="n">
        <f aca="false">IF($K1314="Better",$P1314,0)</f>
        <v>0</v>
      </c>
      <c r="W1314" s="64" t="n">
        <f aca="false">IF($K1314="U – needs rule",$P1314,0)</f>
        <v>0</v>
      </c>
      <c r="X1314" s="64" t="n">
        <f aca="false">IF($K1314="No Start (attainment only)",$P1314,0)</f>
        <v>0</v>
      </c>
    </row>
    <row r="1315" customFormat="false" ht="15" hidden="false" customHeight="false" outlineLevel="0" collapsed="false">
      <c r="A1315" s="60"/>
      <c r="B1315" s="61" t="str">
        <f aca="false">IF($M1315=0,"",INDEX(Classes!$E$6:$E$420,$M1315))</f>
        <v/>
      </c>
      <c r="C1315" s="62" t="str">
        <f aca="false">IF($M1315=0,"",INDEX(Classes!$H$6:$H$420,$M1315))</f>
        <v/>
      </c>
      <c r="D1315" s="61" t="str">
        <f aca="false">IF($M1315=0,"",INDEX(Classes!$B$6:$B$420,$M1315))</f>
        <v/>
      </c>
      <c r="E1315" s="61" t="str">
        <f aca="false">IF($M1315=0,"",INDEX(Classes!$C$6:$C$420,$M1315))</f>
        <v/>
      </c>
      <c r="F1315" s="63"/>
      <c r="G1315" s="63"/>
      <c r="H1315" s="60"/>
      <c r="I1315" s="60"/>
      <c r="J1315" s="63"/>
      <c r="K1315" s="61" t="str">
        <f aca="false">IF($P1315=0,"",IF($F1315="Baseline","— Baseline",IF($O1315=0,"No result",IF($N1315=0,"No Start (attainment only)",IF(OR($N1315=1,$O1315=1),"U – needs rule",INDEX(MxBody,MATCH($I1315,MxCurr,0),MATCH($H1315,MxStart,0)))))))</f>
        <v/>
      </c>
      <c r="L1315" s="62" t="str">
        <f aca="false">IF(COUNTA($A1315,$F1315,$G1315,$H1315,$I1315,$J1315)=0,"",IF($M1315=0,"✖ كود الصف غير موجود",IF(ISNA(MATCH($F1315,Lists!$A$2:$A$5,0)),"✖ الفترة غير صحيحة",IF(ISNA(MATCH($G1315,Lists!$B$2:$B$7,0)),"✖ المجموعة غير صحيحة",IF(NOT(OR($H1315="",$N1315&gt;0)),"✖ Start غير صحيح",IF(NOT(OR($I1315="",$I1315="NR",$O1315&gt;0)),"✖ Current غير صحيح",IF(NOT(IF(ISNUMBER($J1315),AND($J1315&gt;=0,$J1315=INT($J1315)),FALSE())),"✖ العدد يجب أن يكون صحيحًا ≥ 0",IF(AND($F1315="Baseline",$H1315&lt;&gt;""),"⚠ Baseline: Start لا يدخل في التقدم",IF($K1315="No Start (attainment only)","ℹ تحصيل فقط (بدون Start)",IF($K1315="U – needs rule","ℹ حالة U تحتاج قاعدة معتمدة",IF($K1315="No result","ℹ بدون نتيجة (يُستبعد من التحصيل)","OK")))))))))))</f>
        <v/>
      </c>
      <c r="M1315" s="64" t="n">
        <f aca="false">IF($A1315="",0,IFERROR(MATCH($A1315,Classes!$A$6:$A$420,0),0))</f>
        <v>0</v>
      </c>
      <c r="N1315" s="64" t="n">
        <f aca="false">IF($H1315="",0,IFERROR(MATCH($H1315,GradeList,0),0))</f>
        <v>0</v>
      </c>
      <c r="O1315" s="64" t="n">
        <f aca="false">IF(OR($I1315="",$I1315="NR"),0,IFERROR(MATCH($I1315,GradeList,0),0))</f>
        <v>0</v>
      </c>
      <c r="P1315" s="64" t="n">
        <f aca="false">IF(AND($M1315&gt;0,ISNUMBER(MATCH($F1315,Lists!$A$2:$A$5,0)),ISNUMBER(MATCH($G1315,Lists!$B$2:$B$7,0)),OR($H1315="",$N1315&gt;0),OR($I1315="",$I1315="NR",$O1315&gt;0),IF(ISNUMBER($J1315),AND($J1315&gt;=0,$J1315=INT($J1315)),FALSE())),$J1315,0)</f>
        <v>0</v>
      </c>
      <c r="Q1315" s="64" t="n">
        <f aca="false">IF(AND($P1315&gt;0,$O1315&gt;0),$P1315,0)</f>
        <v>0</v>
      </c>
      <c r="R1315" s="64" t="n">
        <f aca="false">IF(AND($Q1315&gt;0,$O1315&gt;=AtRank),$Q1315,0)</f>
        <v>0</v>
      </c>
      <c r="S1315" s="64" t="n">
        <f aca="false">IF(AND($Q1315&gt;0,$O1315&gt;=AboveRank),$Q1315,0)</f>
        <v>0</v>
      </c>
      <c r="T1315" s="64" t="n">
        <f aca="false">IF($K1315="Less",$P1315,0)</f>
        <v>0</v>
      </c>
      <c r="U1315" s="64" t="n">
        <f aca="false">IF($K1315="Expected",$P1315,0)</f>
        <v>0</v>
      </c>
      <c r="V1315" s="64" t="n">
        <f aca="false">IF($K1315="Better",$P1315,0)</f>
        <v>0</v>
      </c>
      <c r="W1315" s="64" t="n">
        <f aca="false">IF($K1315="U – needs rule",$P1315,0)</f>
        <v>0</v>
      </c>
      <c r="X1315" s="64" t="n">
        <f aca="false">IF($K1315="No Start (attainment only)",$P1315,0)</f>
        <v>0</v>
      </c>
    </row>
    <row r="1316" customFormat="false" ht="15" hidden="false" customHeight="false" outlineLevel="0" collapsed="false">
      <c r="A1316" s="60"/>
      <c r="B1316" s="61" t="str">
        <f aca="false">IF($M1316=0,"",INDEX(Classes!$E$6:$E$420,$M1316))</f>
        <v/>
      </c>
      <c r="C1316" s="62" t="str">
        <f aca="false">IF($M1316=0,"",INDEX(Classes!$H$6:$H$420,$M1316))</f>
        <v/>
      </c>
      <c r="D1316" s="61" t="str">
        <f aca="false">IF($M1316=0,"",INDEX(Classes!$B$6:$B$420,$M1316))</f>
        <v/>
      </c>
      <c r="E1316" s="61" t="str">
        <f aca="false">IF($M1316=0,"",INDEX(Classes!$C$6:$C$420,$M1316))</f>
        <v/>
      </c>
      <c r="F1316" s="63"/>
      <c r="G1316" s="63"/>
      <c r="H1316" s="60"/>
      <c r="I1316" s="60"/>
      <c r="J1316" s="63"/>
      <c r="K1316" s="61" t="str">
        <f aca="false">IF($P1316=0,"",IF($F1316="Baseline","— Baseline",IF($O1316=0,"No result",IF($N1316=0,"No Start (attainment only)",IF(OR($N1316=1,$O1316=1),"U – needs rule",INDEX(MxBody,MATCH($I1316,MxCurr,0),MATCH($H1316,MxStart,0)))))))</f>
        <v/>
      </c>
      <c r="L1316" s="62" t="str">
        <f aca="false">IF(COUNTA($A1316,$F1316,$G1316,$H1316,$I1316,$J1316)=0,"",IF($M1316=0,"✖ كود الصف غير موجود",IF(ISNA(MATCH($F1316,Lists!$A$2:$A$5,0)),"✖ الفترة غير صحيحة",IF(ISNA(MATCH($G1316,Lists!$B$2:$B$7,0)),"✖ المجموعة غير صحيحة",IF(NOT(OR($H1316="",$N1316&gt;0)),"✖ Start غير صحيح",IF(NOT(OR($I1316="",$I1316="NR",$O1316&gt;0)),"✖ Current غير صحيح",IF(NOT(IF(ISNUMBER($J1316),AND($J1316&gt;=0,$J1316=INT($J1316)),FALSE())),"✖ العدد يجب أن يكون صحيحًا ≥ 0",IF(AND($F1316="Baseline",$H1316&lt;&gt;""),"⚠ Baseline: Start لا يدخل في التقدم",IF($K1316="No Start (attainment only)","ℹ تحصيل فقط (بدون Start)",IF($K1316="U – needs rule","ℹ حالة U تحتاج قاعدة معتمدة",IF($K1316="No result","ℹ بدون نتيجة (يُستبعد من التحصيل)","OK")))))))))))</f>
        <v/>
      </c>
      <c r="M1316" s="64" t="n">
        <f aca="false">IF($A1316="",0,IFERROR(MATCH($A1316,Classes!$A$6:$A$420,0),0))</f>
        <v>0</v>
      </c>
      <c r="N1316" s="64" t="n">
        <f aca="false">IF($H1316="",0,IFERROR(MATCH($H1316,GradeList,0),0))</f>
        <v>0</v>
      </c>
      <c r="O1316" s="64" t="n">
        <f aca="false">IF(OR($I1316="",$I1316="NR"),0,IFERROR(MATCH($I1316,GradeList,0),0))</f>
        <v>0</v>
      </c>
      <c r="P1316" s="64" t="n">
        <f aca="false">IF(AND($M1316&gt;0,ISNUMBER(MATCH($F1316,Lists!$A$2:$A$5,0)),ISNUMBER(MATCH($G1316,Lists!$B$2:$B$7,0)),OR($H1316="",$N1316&gt;0),OR($I1316="",$I1316="NR",$O1316&gt;0),IF(ISNUMBER($J1316),AND($J1316&gt;=0,$J1316=INT($J1316)),FALSE())),$J1316,0)</f>
        <v>0</v>
      </c>
      <c r="Q1316" s="64" t="n">
        <f aca="false">IF(AND($P1316&gt;0,$O1316&gt;0),$P1316,0)</f>
        <v>0</v>
      </c>
      <c r="R1316" s="64" t="n">
        <f aca="false">IF(AND($Q1316&gt;0,$O1316&gt;=AtRank),$Q1316,0)</f>
        <v>0</v>
      </c>
      <c r="S1316" s="64" t="n">
        <f aca="false">IF(AND($Q1316&gt;0,$O1316&gt;=AboveRank),$Q1316,0)</f>
        <v>0</v>
      </c>
      <c r="T1316" s="64" t="n">
        <f aca="false">IF($K1316="Less",$P1316,0)</f>
        <v>0</v>
      </c>
      <c r="U1316" s="64" t="n">
        <f aca="false">IF($K1316="Expected",$P1316,0)</f>
        <v>0</v>
      </c>
      <c r="V1316" s="64" t="n">
        <f aca="false">IF($K1316="Better",$P1316,0)</f>
        <v>0</v>
      </c>
      <c r="W1316" s="64" t="n">
        <f aca="false">IF($K1316="U – needs rule",$P1316,0)</f>
        <v>0</v>
      </c>
      <c r="X1316" s="64" t="n">
        <f aca="false">IF($K1316="No Start (attainment only)",$P1316,0)</f>
        <v>0</v>
      </c>
    </row>
    <row r="1317" customFormat="false" ht="15" hidden="false" customHeight="false" outlineLevel="0" collapsed="false">
      <c r="A1317" s="60"/>
      <c r="B1317" s="61" t="str">
        <f aca="false">IF($M1317=0,"",INDEX(Classes!$E$6:$E$420,$M1317))</f>
        <v/>
      </c>
      <c r="C1317" s="62" t="str">
        <f aca="false">IF($M1317=0,"",INDEX(Classes!$H$6:$H$420,$M1317))</f>
        <v/>
      </c>
      <c r="D1317" s="61" t="str">
        <f aca="false">IF($M1317=0,"",INDEX(Classes!$B$6:$B$420,$M1317))</f>
        <v/>
      </c>
      <c r="E1317" s="61" t="str">
        <f aca="false">IF($M1317=0,"",INDEX(Classes!$C$6:$C$420,$M1317))</f>
        <v/>
      </c>
      <c r="F1317" s="63"/>
      <c r="G1317" s="63"/>
      <c r="H1317" s="60"/>
      <c r="I1317" s="60"/>
      <c r="J1317" s="63"/>
      <c r="K1317" s="61" t="str">
        <f aca="false">IF($P1317=0,"",IF($F1317="Baseline","— Baseline",IF($O1317=0,"No result",IF($N1317=0,"No Start (attainment only)",IF(OR($N1317=1,$O1317=1),"U – needs rule",INDEX(MxBody,MATCH($I1317,MxCurr,0),MATCH($H1317,MxStart,0)))))))</f>
        <v/>
      </c>
      <c r="L1317" s="62" t="str">
        <f aca="false">IF(COUNTA($A1317,$F1317,$G1317,$H1317,$I1317,$J1317)=0,"",IF($M1317=0,"✖ كود الصف غير موجود",IF(ISNA(MATCH($F1317,Lists!$A$2:$A$5,0)),"✖ الفترة غير صحيحة",IF(ISNA(MATCH($G1317,Lists!$B$2:$B$7,0)),"✖ المجموعة غير صحيحة",IF(NOT(OR($H1317="",$N1317&gt;0)),"✖ Start غير صحيح",IF(NOT(OR($I1317="",$I1317="NR",$O1317&gt;0)),"✖ Current غير صحيح",IF(NOT(IF(ISNUMBER($J1317),AND($J1317&gt;=0,$J1317=INT($J1317)),FALSE())),"✖ العدد يجب أن يكون صحيحًا ≥ 0",IF(AND($F1317="Baseline",$H1317&lt;&gt;""),"⚠ Baseline: Start لا يدخل في التقدم",IF($K1317="No Start (attainment only)","ℹ تحصيل فقط (بدون Start)",IF($K1317="U – needs rule","ℹ حالة U تحتاج قاعدة معتمدة",IF($K1317="No result","ℹ بدون نتيجة (يُستبعد من التحصيل)","OK")))))))))))</f>
        <v/>
      </c>
      <c r="M1317" s="64" t="n">
        <f aca="false">IF($A1317="",0,IFERROR(MATCH($A1317,Classes!$A$6:$A$420,0),0))</f>
        <v>0</v>
      </c>
      <c r="N1317" s="64" t="n">
        <f aca="false">IF($H1317="",0,IFERROR(MATCH($H1317,GradeList,0),0))</f>
        <v>0</v>
      </c>
      <c r="O1317" s="64" t="n">
        <f aca="false">IF(OR($I1317="",$I1317="NR"),0,IFERROR(MATCH($I1317,GradeList,0),0))</f>
        <v>0</v>
      </c>
      <c r="P1317" s="64" t="n">
        <f aca="false">IF(AND($M1317&gt;0,ISNUMBER(MATCH($F1317,Lists!$A$2:$A$5,0)),ISNUMBER(MATCH($G1317,Lists!$B$2:$B$7,0)),OR($H1317="",$N1317&gt;0),OR($I1317="",$I1317="NR",$O1317&gt;0),IF(ISNUMBER($J1317),AND($J1317&gt;=0,$J1317=INT($J1317)),FALSE())),$J1317,0)</f>
        <v>0</v>
      </c>
      <c r="Q1317" s="64" t="n">
        <f aca="false">IF(AND($P1317&gt;0,$O1317&gt;0),$P1317,0)</f>
        <v>0</v>
      </c>
      <c r="R1317" s="64" t="n">
        <f aca="false">IF(AND($Q1317&gt;0,$O1317&gt;=AtRank),$Q1317,0)</f>
        <v>0</v>
      </c>
      <c r="S1317" s="64" t="n">
        <f aca="false">IF(AND($Q1317&gt;0,$O1317&gt;=AboveRank),$Q1317,0)</f>
        <v>0</v>
      </c>
      <c r="T1317" s="64" t="n">
        <f aca="false">IF($K1317="Less",$P1317,0)</f>
        <v>0</v>
      </c>
      <c r="U1317" s="64" t="n">
        <f aca="false">IF($K1317="Expected",$P1317,0)</f>
        <v>0</v>
      </c>
      <c r="V1317" s="64" t="n">
        <f aca="false">IF($K1317="Better",$P1317,0)</f>
        <v>0</v>
      </c>
      <c r="W1317" s="64" t="n">
        <f aca="false">IF($K1317="U – needs rule",$P1317,0)</f>
        <v>0</v>
      </c>
      <c r="X1317" s="64" t="n">
        <f aca="false">IF($K1317="No Start (attainment only)",$P1317,0)</f>
        <v>0</v>
      </c>
    </row>
    <row r="1318" customFormat="false" ht="15" hidden="false" customHeight="false" outlineLevel="0" collapsed="false">
      <c r="A1318" s="60"/>
      <c r="B1318" s="61" t="str">
        <f aca="false">IF($M1318=0,"",INDEX(Classes!$E$6:$E$420,$M1318))</f>
        <v/>
      </c>
      <c r="C1318" s="62" t="str">
        <f aca="false">IF($M1318=0,"",INDEX(Classes!$H$6:$H$420,$M1318))</f>
        <v/>
      </c>
      <c r="D1318" s="61" t="str">
        <f aca="false">IF($M1318=0,"",INDEX(Classes!$B$6:$B$420,$M1318))</f>
        <v/>
      </c>
      <c r="E1318" s="61" t="str">
        <f aca="false">IF($M1318=0,"",INDEX(Classes!$C$6:$C$420,$M1318))</f>
        <v/>
      </c>
      <c r="F1318" s="63"/>
      <c r="G1318" s="63"/>
      <c r="H1318" s="60"/>
      <c r="I1318" s="60"/>
      <c r="J1318" s="63"/>
      <c r="K1318" s="61" t="str">
        <f aca="false">IF($P1318=0,"",IF($F1318="Baseline","— Baseline",IF($O1318=0,"No result",IF($N1318=0,"No Start (attainment only)",IF(OR($N1318=1,$O1318=1),"U – needs rule",INDEX(MxBody,MATCH($I1318,MxCurr,0),MATCH($H1318,MxStart,0)))))))</f>
        <v/>
      </c>
      <c r="L1318" s="62" t="str">
        <f aca="false">IF(COUNTA($A1318,$F1318,$G1318,$H1318,$I1318,$J1318)=0,"",IF($M1318=0,"✖ كود الصف غير موجود",IF(ISNA(MATCH($F1318,Lists!$A$2:$A$5,0)),"✖ الفترة غير صحيحة",IF(ISNA(MATCH($G1318,Lists!$B$2:$B$7,0)),"✖ المجموعة غير صحيحة",IF(NOT(OR($H1318="",$N1318&gt;0)),"✖ Start غير صحيح",IF(NOT(OR($I1318="",$I1318="NR",$O1318&gt;0)),"✖ Current غير صحيح",IF(NOT(IF(ISNUMBER($J1318),AND($J1318&gt;=0,$J1318=INT($J1318)),FALSE())),"✖ العدد يجب أن يكون صحيحًا ≥ 0",IF(AND($F1318="Baseline",$H1318&lt;&gt;""),"⚠ Baseline: Start لا يدخل في التقدم",IF($K1318="No Start (attainment only)","ℹ تحصيل فقط (بدون Start)",IF($K1318="U – needs rule","ℹ حالة U تحتاج قاعدة معتمدة",IF($K1318="No result","ℹ بدون نتيجة (يُستبعد من التحصيل)","OK")))))))))))</f>
        <v/>
      </c>
      <c r="M1318" s="64" t="n">
        <f aca="false">IF($A1318="",0,IFERROR(MATCH($A1318,Classes!$A$6:$A$420,0),0))</f>
        <v>0</v>
      </c>
      <c r="N1318" s="64" t="n">
        <f aca="false">IF($H1318="",0,IFERROR(MATCH($H1318,GradeList,0),0))</f>
        <v>0</v>
      </c>
      <c r="O1318" s="64" t="n">
        <f aca="false">IF(OR($I1318="",$I1318="NR"),0,IFERROR(MATCH($I1318,GradeList,0),0))</f>
        <v>0</v>
      </c>
      <c r="P1318" s="64" t="n">
        <f aca="false">IF(AND($M1318&gt;0,ISNUMBER(MATCH($F1318,Lists!$A$2:$A$5,0)),ISNUMBER(MATCH($G1318,Lists!$B$2:$B$7,0)),OR($H1318="",$N1318&gt;0),OR($I1318="",$I1318="NR",$O1318&gt;0),IF(ISNUMBER($J1318),AND($J1318&gt;=0,$J1318=INT($J1318)),FALSE())),$J1318,0)</f>
        <v>0</v>
      </c>
      <c r="Q1318" s="64" t="n">
        <f aca="false">IF(AND($P1318&gt;0,$O1318&gt;0),$P1318,0)</f>
        <v>0</v>
      </c>
      <c r="R1318" s="64" t="n">
        <f aca="false">IF(AND($Q1318&gt;0,$O1318&gt;=AtRank),$Q1318,0)</f>
        <v>0</v>
      </c>
      <c r="S1318" s="64" t="n">
        <f aca="false">IF(AND($Q1318&gt;0,$O1318&gt;=AboveRank),$Q1318,0)</f>
        <v>0</v>
      </c>
      <c r="T1318" s="64" t="n">
        <f aca="false">IF($K1318="Less",$P1318,0)</f>
        <v>0</v>
      </c>
      <c r="U1318" s="64" t="n">
        <f aca="false">IF($K1318="Expected",$P1318,0)</f>
        <v>0</v>
      </c>
      <c r="V1318" s="64" t="n">
        <f aca="false">IF($K1318="Better",$P1318,0)</f>
        <v>0</v>
      </c>
      <c r="W1318" s="64" t="n">
        <f aca="false">IF($K1318="U – needs rule",$P1318,0)</f>
        <v>0</v>
      </c>
      <c r="X1318" s="64" t="n">
        <f aca="false">IF($K1318="No Start (attainment only)",$P1318,0)</f>
        <v>0</v>
      </c>
    </row>
    <row r="1319" customFormat="false" ht="15" hidden="false" customHeight="false" outlineLevel="0" collapsed="false">
      <c r="A1319" s="60"/>
      <c r="B1319" s="61" t="str">
        <f aca="false">IF($M1319=0,"",INDEX(Classes!$E$6:$E$420,$M1319))</f>
        <v/>
      </c>
      <c r="C1319" s="62" t="str">
        <f aca="false">IF($M1319=0,"",INDEX(Classes!$H$6:$H$420,$M1319))</f>
        <v/>
      </c>
      <c r="D1319" s="61" t="str">
        <f aca="false">IF($M1319=0,"",INDEX(Classes!$B$6:$B$420,$M1319))</f>
        <v/>
      </c>
      <c r="E1319" s="61" t="str">
        <f aca="false">IF($M1319=0,"",INDEX(Classes!$C$6:$C$420,$M1319))</f>
        <v/>
      </c>
      <c r="F1319" s="63"/>
      <c r="G1319" s="63"/>
      <c r="H1319" s="60"/>
      <c r="I1319" s="60"/>
      <c r="J1319" s="63"/>
      <c r="K1319" s="61" t="str">
        <f aca="false">IF($P1319=0,"",IF($F1319="Baseline","— Baseline",IF($O1319=0,"No result",IF($N1319=0,"No Start (attainment only)",IF(OR($N1319=1,$O1319=1),"U – needs rule",INDEX(MxBody,MATCH($I1319,MxCurr,0),MATCH($H1319,MxStart,0)))))))</f>
        <v/>
      </c>
      <c r="L1319" s="62" t="str">
        <f aca="false">IF(COUNTA($A1319,$F1319,$G1319,$H1319,$I1319,$J1319)=0,"",IF($M1319=0,"✖ كود الصف غير موجود",IF(ISNA(MATCH($F1319,Lists!$A$2:$A$5,0)),"✖ الفترة غير صحيحة",IF(ISNA(MATCH($G1319,Lists!$B$2:$B$7,0)),"✖ المجموعة غير صحيحة",IF(NOT(OR($H1319="",$N1319&gt;0)),"✖ Start غير صحيح",IF(NOT(OR($I1319="",$I1319="NR",$O1319&gt;0)),"✖ Current غير صحيح",IF(NOT(IF(ISNUMBER($J1319),AND($J1319&gt;=0,$J1319=INT($J1319)),FALSE())),"✖ العدد يجب أن يكون صحيحًا ≥ 0",IF(AND($F1319="Baseline",$H1319&lt;&gt;""),"⚠ Baseline: Start لا يدخل في التقدم",IF($K1319="No Start (attainment only)","ℹ تحصيل فقط (بدون Start)",IF($K1319="U – needs rule","ℹ حالة U تحتاج قاعدة معتمدة",IF($K1319="No result","ℹ بدون نتيجة (يُستبعد من التحصيل)","OK")))))))))))</f>
        <v/>
      </c>
      <c r="M1319" s="64" t="n">
        <f aca="false">IF($A1319="",0,IFERROR(MATCH($A1319,Classes!$A$6:$A$420,0),0))</f>
        <v>0</v>
      </c>
      <c r="N1319" s="64" t="n">
        <f aca="false">IF($H1319="",0,IFERROR(MATCH($H1319,GradeList,0),0))</f>
        <v>0</v>
      </c>
      <c r="O1319" s="64" t="n">
        <f aca="false">IF(OR($I1319="",$I1319="NR"),0,IFERROR(MATCH($I1319,GradeList,0),0))</f>
        <v>0</v>
      </c>
      <c r="P1319" s="64" t="n">
        <f aca="false">IF(AND($M1319&gt;0,ISNUMBER(MATCH($F1319,Lists!$A$2:$A$5,0)),ISNUMBER(MATCH($G1319,Lists!$B$2:$B$7,0)),OR($H1319="",$N1319&gt;0),OR($I1319="",$I1319="NR",$O1319&gt;0),IF(ISNUMBER($J1319),AND($J1319&gt;=0,$J1319=INT($J1319)),FALSE())),$J1319,0)</f>
        <v>0</v>
      </c>
      <c r="Q1319" s="64" t="n">
        <f aca="false">IF(AND($P1319&gt;0,$O1319&gt;0),$P1319,0)</f>
        <v>0</v>
      </c>
      <c r="R1319" s="64" t="n">
        <f aca="false">IF(AND($Q1319&gt;0,$O1319&gt;=AtRank),$Q1319,0)</f>
        <v>0</v>
      </c>
      <c r="S1319" s="64" t="n">
        <f aca="false">IF(AND($Q1319&gt;0,$O1319&gt;=AboveRank),$Q1319,0)</f>
        <v>0</v>
      </c>
      <c r="T1319" s="64" t="n">
        <f aca="false">IF($K1319="Less",$P1319,0)</f>
        <v>0</v>
      </c>
      <c r="U1319" s="64" t="n">
        <f aca="false">IF($K1319="Expected",$P1319,0)</f>
        <v>0</v>
      </c>
      <c r="V1319" s="64" t="n">
        <f aca="false">IF($K1319="Better",$P1319,0)</f>
        <v>0</v>
      </c>
      <c r="W1319" s="64" t="n">
        <f aca="false">IF($K1319="U – needs rule",$P1319,0)</f>
        <v>0</v>
      </c>
      <c r="X1319" s="64" t="n">
        <f aca="false">IF($K1319="No Start (attainment only)",$P1319,0)</f>
        <v>0</v>
      </c>
    </row>
    <row r="1320" customFormat="false" ht="15" hidden="false" customHeight="false" outlineLevel="0" collapsed="false">
      <c r="A1320" s="60"/>
      <c r="B1320" s="61" t="str">
        <f aca="false">IF($M1320=0,"",INDEX(Classes!$E$6:$E$420,$M1320))</f>
        <v/>
      </c>
      <c r="C1320" s="62" t="str">
        <f aca="false">IF($M1320=0,"",INDEX(Classes!$H$6:$H$420,$M1320))</f>
        <v/>
      </c>
      <c r="D1320" s="61" t="str">
        <f aca="false">IF($M1320=0,"",INDEX(Classes!$B$6:$B$420,$M1320))</f>
        <v/>
      </c>
      <c r="E1320" s="61" t="str">
        <f aca="false">IF($M1320=0,"",INDEX(Classes!$C$6:$C$420,$M1320))</f>
        <v/>
      </c>
      <c r="F1320" s="63"/>
      <c r="G1320" s="63"/>
      <c r="H1320" s="60"/>
      <c r="I1320" s="60"/>
      <c r="J1320" s="63"/>
      <c r="K1320" s="61" t="str">
        <f aca="false">IF($P1320=0,"",IF($F1320="Baseline","— Baseline",IF($O1320=0,"No result",IF($N1320=0,"No Start (attainment only)",IF(OR($N1320=1,$O1320=1),"U – needs rule",INDEX(MxBody,MATCH($I1320,MxCurr,0),MATCH($H1320,MxStart,0)))))))</f>
        <v/>
      </c>
      <c r="L1320" s="62" t="str">
        <f aca="false">IF(COUNTA($A1320,$F1320,$G1320,$H1320,$I1320,$J1320)=0,"",IF($M1320=0,"✖ كود الصف غير موجود",IF(ISNA(MATCH($F1320,Lists!$A$2:$A$5,0)),"✖ الفترة غير صحيحة",IF(ISNA(MATCH($G1320,Lists!$B$2:$B$7,0)),"✖ المجموعة غير صحيحة",IF(NOT(OR($H1320="",$N1320&gt;0)),"✖ Start غير صحيح",IF(NOT(OR($I1320="",$I1320="NR",$O1320&gt;0)),"✖ Current غير صحيح",IF(NOT(IF(ISNUMBER($J1320),AND($J1320&gt;=0,$J1320=INT($J1320)),FALSE())),"✖ العدد يجب أن يكون صحيحًا ≥ 0",IF(AND($F1320="Baseline",$H1320&lt;&gt;""),"⚠ Baseline: Start لا يدخل في التقدم",IF($K1320="No Start (attainment only)","ℹ تحصيل فقط (بدون Start)",IF($K1320="U – needs rule","ℹ حالة U تحتاج قاعدة معتمدة",IF($K1320="No result","ℹ بدون نتيجة (يُستبعد من التحصيل)","OK")))))))))))</f>
        <v/>
      </c>
      <c r="M1320" s="64" t="n">
        <f aca="false">IF($A1320="",0,IFERROR(MATCH($A1320,Classes!$A$6:$A$420,0),0))</f>
        <v>0</v>
      </c>
      <c r="N1320" s="64" t="n">
        <f aca="false">IF($H1320="",0,IFERROR(MATCH($H1320,GradeList,0),0))</f>
        <v>0</v>
      </c>
      <c r="O1320" s="64" t="n">
        <f aca="false">IF(OR($I1320="",$I1320="NR"),0,IFERROR(MATCH($I1320,GradeList,0),0))</f>
        <v>0</v>
      </c>
      <c r="P1320" s="64" t="n">
        <f aca="false">IF(AND($M1320&gt;0,ISNUMBER(MATCH($F1320,Lists!$A$2:$A$5,0)),ISNUMBER(MATCH($G1320,Lists!$B$2:$B$7,0)),OR($H1320="",$N1320&gt;0),OR($I1320="",$I1320="NR",$O1320&gt;0),IF(ISNUMBER($J1320),AND($J1320&gt;=0,$J1320=INT($J1320)),FALSE())),$J1320,0)</f>
        <v>0</v>
      </c>
      <c r="Q1320" s="64" t="n">
        <f aca="false">IF(AND($P1320&gt;0,$O1320&gt;0),$P1320,0)</f>
        <v>0</v>
      </c>
      <c r="R1320" s="64" t="n">
        <f aca="false">IF(AND($Q1320&gt;0,$O1320&gt;=AtRank),$Q1320,0)</f>
        <v>0</v>
      </c>
      <c r="S1320" s="64" t="n">
        <f aca="false">IF(AND($Q1320&gt;0,$O1320&gt;=AboveRank),$Q1320,0)</f>
        <v>0</v>
      </c>
      <c r="T1320" s="64" t="n">
        <f aca="false">IF($K1320="Less",$P1320,0)</f>
        <v>0</v>
      </c>
      <c r="U1320" s="64" t="n">
        <f aca="false">IF($K1320="Expected",$P1320,0)</f>
        <v>0</v>
      </c>
      <c r="V1320" s="64" t="n">
        <f aca="false">IF($K1320="Better",$P1320,0)</f>
        <v>0</v>
      </c>
      <c r="W1320" s="64" t="n">
        <f aca="false">IF($K1320="U – needs rule",$P1320,0)</f>
        <v>0</v>
      </c>
      <c r="X1320" s="64" t="n">
        <f aca="false">IF($K1320="No Start (attainment only)",$P1320,0)</f>
        <v>0</v>
      </c>
    </row>
    <row r="1321" customFormat="false" ht="15" hidden="false" customHeight="false" outlineLevel="0" collapsed="false">
      <c r="A1321" s="60"/>
      <c r="B1321" s="61" t="str">
        <f aca="false">IF($M1321=0,"",INDEX(Classes!$E$6:$E$420,$M1321))</f>
        <v/>
      </c>
      <c r="C1321" s="62" t="str">
        <f aca="false">IF($M1321=0,"",INDEX(Classes!$H$6:$H$420,$M1321))</f>
        <v/>
      </c>
      <c r="D1321" s="61" t="str">
        <f aca="false">IF($M1321=0,"",INDEX(Classes!$B$6:$B$420,$M1321))</f>
        <v/>
      </c>
      <c r="E1321" s="61" t="str">
        <f aca="false">IF($M1321=0,"",INDEX(Classes!$C$6:$C$420,$M1321))</f>
        <v/>
      </c>
      <c r="F1321" s="63"/>
      <c r="G1321" s="63"/>
      <c r="H1321" s="60"/>
      <c r="I1321" s="60"/>
      <c r="J1321" s="63"/>
      <c r="K1321" s="61" t="str">
        <f aca="false">IF($P1321=0,"",IF($F1321="Baseline","— Baseline",IF($O1321=0,"No result",IF($N1321=0,"No Start (attainment only)",IF(OR($N1321=1,$O1321=1),"U – needs rule",INDEX(MxBody,MATCH($I1321,MxCurr,0),MATCH($H1321,MxStart,0)))))))</f>
        <v/>
      </c>
      <c r="L1321" s="62" t="str">
        <f aca="false">IF(COUNTA($A1321,$F1321,$G1321,$H1321,$I1321,$J1321)=0,"",IF($M1321=0,"✖ كود الصف غير موجود",IF(ISNA(MATCH($F1321,Lists!$A$2:$A$5,0)),"✖ الفترة غير صحيحة",IF(ISNA(MATCH($G1321,Lists!$B$2:$B$7,0)),"✖ المجموعة غير صحيحة",IF(NOT(OR($H1321="",$N1321&gt;0)),"✖ Start غير صحيح",IF(NOT(OR($I1321="",$I1321="NR",$O1321&gt;0)),"✖ Current غير صحيح",IF(NOT(IF(ISNUMBER($J1321),AND($J1321&gt;=0,$J1321=INT($J1321)),FALSE())),"✖ العدد يجب أن يكون صحيحًا ≥ 0",IF(AND($F1321="Baseline",$H1321&lt;&gt;""),"⚠ Baseline: Start لا يدخل في التقدم",IF($K1321="No Start (attainment only)","ℹ تحصيل فقط (بدون Start)",IF($K1321="U – needs rule","ℹ حالة U تحتاج قاعدة معتمدة",IF($K1321="No result","ℹ بدون نتيجة (يُستبعد من التحصيل)","OK")))))))))))</f>
        <v/>
      </c>
      <c r="M1321" s="64" t="n">
        <f aca="false">IF($A1321="",0,IFERROR(MATCH($A1321,Classes!$A$6:$A$420,0),0))</f>
        <v>0</v>
      </c>
      <c r="N1321" s="64" t="n">
        <f aca="false">IF($H1321="",0,IFERROR(MATCH($H1321,GradeList,0),0))</f>
        <v>0</v>
      </c>
      <c r="O1321" s="64" t="n">
        <f aca="false">IF(OR($I1321="",$I1321="NR"),0,IFERROR(MATCH($I1321,GradeList,0),0))</f>
        <v>0</v>
      </c>
      <c r="P1321" s="64" t="n">
        <f aca="false">IF(AND($M1321&gt;0,ISNUMBER(MATCH($F1321,Lists!$A$2:$A$5,0)),ISNUMBER(MATCH($G1321,Lists!$B$2:$B$7,0)),OR($H1321="",$N1321&gt;0),OR($I1321="",$I1321="NR",$O1321&gt;0),IF(ISNUMBER($J1321),AND($J1321&gt;=0,$J1321=INT($J1321)),FALSE())),$J1321,0)</f>
        <v>0</v>
      </c>
      <c r="Q1321" s="64" t="n">
        <f aca="false">IF(AND($P1321&gt;0,$O1321&gt;0),$P1321,0)</f>
        <v>0</v>
      </c>
      <c r="R1321" s="64" t="n">
        <f aca="false">IF(AND($Q1321&gt;0,$O1321&gt;=AtRank),$Q1321,0)</f>
        <v>0</v>
      </c>
      <c r="S1321" s="64" t="n">
        <f aca="false">IF(AND($Q1321&gt;0,$O1321&gt;=AboveRank),$Q1321,0)</f>
        <v>0</v>
      </c>
      <c r="T1321" s="64" t="n">
        <f aca="false">IF($K1321="Less",$P1321,0)</f>
        <v>0</v>
      </c>
      <c r="U1321" s="64" t="n">
        <f aca="false">IF($K1321="Expected",$P1321,0)</f>
        <v>0</v>
      </c>
      <c r="V1321" s="64" t="n">
        <f aca="false">IF($K1321="Better",$P1321,0)</f>
        <v>0</v>
      </c>
      <c r="W1321" s="64" t="n">
        <f aca="false">IF($K1321="U – needs rule",$P1321,0)</f>
        <v>0</v>
      </c>
      <c r="X1321" s="64" t="n">
        <f aca="false">IF($K1321="No Start (attainment only)",$P1321,0)</f>
        <v>0</v>
      </c>
    </row>
    <row r="1322" customFormat="false" ht="15" hidden="false" customHeight="false" outlineLevel="0" collapsed="false">
      <c r="A1322" s="60"/>
      <c r="B1322" s="61" t="str">
        <f aca="false">IF($M1322=0,"",INDEX(Classes!$E$6:$E$420,$M1322))</f>
        <v/>
      </c>
      <c r="C1322" s="62" t="str">
        <f aca="false">IF($M1322=0,"",INDEX(Classes!$H$6:$H$420,$M1322))</f>
        <v/>
      </c>
      <c r="D1322" s="61" t="str">
        <f aca="false">IF($M1322=0,"",INDEX(Classes!$B$6:$B$420,$M1322))</f>
        <v/>
      </c>
      <c r="E1322" s="61" t="str">
        <f aca="false">IF($M1322=0,"",INDEX(Classes!$C$6:$C$420,$M1322))</f>
        <v/>
      </c>
      <c r="F1322" s="63"/>
      <c r="G1322" s="63"/>
      <c r="H1322" s="60"/>
      <c r="I1322" s="60"/>
      <c r="J1322" s="63"/>
      <c r="K1322" s="61" t="str">
        <f aca="false">IF($P1322=0,"",IF($F1322="Baseline","— Baseline",IF($O1322=0,"No result",IF($N1322=0,"No Start (attainment only)",IF(OR($N1322=1,$O1322=1),"U – needs rule",INDEX(MxBody,MATCH($I1322,MxCurr,0),MATCH($H1322,MxStart,0)))))))</f>
        <v/>
      </c>
      <c r="L1322" s="62" t="str">
        <f aca="false">IF(COUNTA($A1322,$F1322,$G1322,$H1322,$I1322,$J1322)=0,"",IF($M1322=0,"✖ كود الصف غير موجود",IF(ISNA(MATCH($F1322,Lists!$A$2:$A$5,0)),"✖ الفترة غير صحيحة",IF(ISNA(MATCH($G1322,Lists!$B$2:$B$7,0)),"✖ المجموعة غير صحيحة",IF(NOT(OR($H1322="",$N1322&gt;0)),"✖ Start غير صحيح",IF(NOT(OR($I1322="",$I1322="NR",$O1322&gt;0)),"✖ Current غير صحيح",IF(NOT(IF(ISNUMBER($J1322),AND($J1322&gt;=0,$J1322=INT($J1322)),FALSE())),"✖ العدد يجب أن يكون صحيحًا ≥ 0",IF(AND($F1322="Baseline",$H1322&lt;&gt;""),"⚠ Baseline: Start لا يدخل في التقدم",IF($K1322="No Start (attainment only)","ℹ تحصيل فقط (بدون Start)",IF($K1322="U – needs rule","ℹ حالة U تحتاج قاعدة معتمدة",IF($K1322="No result","ℹ بدون نتيجة (يُستبعد من التحصيل)","OK")))))))))))</f>
        <v/>
      </c>
      <c r="M1322" s="64" t="n">
        <f aca="false">IF($A1322="",0,IFERROR(MATCH($A1322,Classes!$A$6:$A$420,0),0))</f>
        <v>0</v>
      </c>
      <c r="N1322" s="64" t="n">
        <f aca="false">IF($H1322="",0,IFERROR(MATCH($H1322,GradeList,0),0))</f>
        <v>0</v>
      </c>
      <c r="O1322" s="64" t="n">
        <f aca="false">IF(OR($I1322="",$I1322="NR"),0,IFERROR(MATCH($I1322,GradeList,0),0))</f>
        <v>0</v>
      </c>
      <c r="P1322" s="64" t="n">
        <f aca="false">IF(AND($M1322&gt;0,ISNUMBER(MATCH($F1322,Lists!$A$2:$A$5,0)),ISNUMBER(MATCH($G1322,Lists!$B$2:$B$7,0)),OR($H1322="",$N1322&gt;0),OR($I1322="",$I1322="NR",$O1322&gt;0),IF(ISNUMBER($J1322),AND($J1322&gt;=0,$J1322=INT($J1322)),FALSE())),$J1322,0)</f>
        <v>0</v>
      </c>
      <c r="Q1322" s="64" t="n">
        <f aca="false">IF(AND($P1322&gt;0,$O1322&gt;0),$P1322,0)</f>
        <v>0</v>
      </c>
      <c r="R1322" s="64" t="n">
        <f aca="false">IF(AND($Q1322&gt;0,$O1322&gt;=AtRank),$Q1322,0)</f>
        <v>0</v>
      </c>
      <c r="S1322" s="64" t="n">
        <f aca="false">IF(AND($Q1322&gt;0,$O1322&gt;=AboveRank),$Q1322,0)</f>
        <v>0</v>
      </c>
      <c r="T1322" s="64" t="n">
        <f aca="false">IF($K1322="Less",$P1322,0)</f>
        <v>0</v>
      </c>
      <c r="U1322" s="64" t="n">
        <f aca="false">IF($K1322="Expected",$P1322,0)</f>
        <v>0</v>
      </c>
      <c r="V1322" s="64" t="n">
        <f aca="false">IF($K1322="Better",$P1322,0)</f>
        <v>0</v>
      </c>
      <c r="W1322" s="64" t="n">
        <f aca="false">IF($K1322="U – needs rule",$P1322,0)</f>
        <v>0</v>
      </c>
      <c r="X1322" s="64" t="n">
        <f aca="false">IF($K1322="No Start (attainment only)",$P1322,0)</f>
        <v>0</v>
      </c>
    </row>
    <row r="1323" customFormat="false" ht="15" hidden="false" customHeight="false" outlineLevel="0" collapsed="false">
      <c r="A1323" s="60"/>
      <c r="B1323" s="61" t="str">
        <f aca="false">IF($M1323=0,"",INDEX(Classes!$E$6:$E$420,$M1323))</f>
        <v/>
      </c>
      <c r="C1323" s="62" t="str">
        <f aca="false">IF($M1323=0,"",INDEX(Classes!$H$6:$H$420,$M1323))</f>
        <v/>
      </c>
      <c r="D1323" s="61" t="str">
        <f aca="false">IF($M1323=0,"",INDEX(Classes!$B$6:$B$420,$M1323))</f>
        <v/>
      </c>
      <c r="E1323" s="61" t="str">
        <f aca="false">IF($M1323=0,"",INDEX(Classes!$C$6:$C$420,$M1323))</f>
        <v/>
      </c>
      <c r="F1323" s="63"/>
      <c r="G1323" s="63"/>
      <c r="H1323" s="60"/>
      <c r="I1323" s="60"/>
      <c r="J1323" s="63"/>
      <c r="K1323" s="61" t="str">
        <f aca="false">IF($P1323=0,"",IF($F1323="Baseline","— Baseline",IF($O1323=0,"No result",IF($N1323=0,"No Start (attainment only)",IF(OR($N1323=1,$O1323=1),"U – needs rule",INDEX(MxBody,MATCH($I1323,MxCurr,0),MATCH($H1323,MxStart,0)))))))</f>
        <v/>
      </c>
      <c r="L1323" s="62" t="str">
        <f aca="false">IF(COUNTA($A1323,$F1323,$G1323,$H1323,$I1323,$J1323)=0,"",IF($M1323=0,"✖ كود الصف غير موجود",IF(ISNA(MATCH($F1323,Lists!$A$2:$A$5,0)),"✖ الفترة غير صحيحة",IF(ISNA(MATCH($G1323,Lists!$B$2:$B$7,0)),"✖ المجموعة غير صحيحة",IF(NOT(OR($H1323="",$N1323&gt;0)),"✖ Start غير صحيح",IF(NOT(OR($I1323="",$I1323="NR",$O1323&gt;0)),"✖ Current غير صحيح",IF(NOT(IF(ISNUMBER($J1323),AND($J1323&gt;=0,$J1323=INT($J1323)),FALSE())),"✖ العدد يجب أن يكون صحيحًا ≥ 0",IF(AND($F1323="Baseline",$H1323&lt;&gt;""),"⚠ Baseline: Start لا يدخل في التقدم",IF($K1323="No Start (attainment only)","ℹ تحصيل فقط (بدون Start)",IF($K1323="U – needs rule","ℹ حالة U تحتاج قاعدة معتمدة",IF($K1323="No result","ℹ بدون نتيجة (يُستبعد من التحصيل)","OK")))))))))))</f>
        <v/>
      </c>
      <c r="M1323" s="64" t="n">
        <f aca="false">IF($A1323="",0,IFERROR(MATCH($A1323,Classes!$A$6:$A$420,0),0))</f>
        <v>0</v>
      </c>
      <c r="N1323" s="64" t="n">
        <f aca="false">IF($H1323="",0,IFERROR(MATCH($H1323,GradeList,0),0))</f>
        <v>0</v>
      </c>
      <c r="O1323" s="64" t="n">
        <f aca="false">IF(OR($I1323="",$I1323="NR"),0,IFERROR(MATCH($I1323,GradeList,0),0))</f>
        <v>0</v>
      </c>
      <c r="P1323" s="64" t="n">
        <f aca="false">IF(AND($M1323&gt;0,ISNUMBER(MATCH($F1323,Lists!$A$2:$A$5,0)),ISNUMBER(MATCH($G1323,Lists!$B$2:$B$7,0)),OR($H1323="",$N1323&gt;0),OR($I1323="",$I1323="NR",$O1323&gt;0),IF(ISNUMBER($J1323),AND($J1323&gt;=0,$J1323=INT($J1323)),FALSE())),$J1323,0)</f>
        <v>0</v>
      </c>
      <c r="Q1323" s="64" t="n">
        <f aca="false">IF(AND($P1323&gt;0,$O1323&gt;0),$P1323,0)</f>
        <v>0</v>
      </c>
      <c r="R1323" s="64" t="n">
        <f aca="false">IF(AND($Q1323&gt;0,$O1323&gt;=AtRank),$Q1323,0)</f>
        <v>0</v>
      </c>
      <c r="S1323" s="64" t="n">
        <f aca="false">IF(AND($Q1323&gt;0,$O1323&gt;=AboveRank),$Q1323,0)</f>
        <v>0</v>
      </c>
      <c r="T1323" s="64" t="n">
        <f aca="false">IF($K1323="Less",$P1323,0)</f>
        <v>0</v>
      </c>
      <c r="U1323" s="64" t="n">
        <f aca="false">IF($K1323="Expected",$P1323,0)</f>
        <v>0</v>
      </c>
      <c r="V1323" s="64" t="n">
        <f aca="false">IF($K1323="Better",$P1323,0)</f>
        <v>0</v>
      </c>
      <c r="W1323" s="64" t="n">
        <f aca="false">IF($K1323="U – needs rule",$P1323,0)</f>
        <v>0</v>
      </c>
      <c r="X1323" s="64" t="n">
        <f aca="false">IF($K1323="No Start (attainment only)",$P1323,0)</f>
        <v>0</v>
      </c>
    </row>
    <row r="1324" customFormat="false" ht="15" hidden="false" customHeight="false" outlineLevel="0" collapsed="false">
      <c r="A1324" s="60"/>
      <c r="B1324" s="61" t="str">
        <f aca="false">IF($M1324=0,"",INDEX(Classes!$E$6:$E$420,$M1324))</f>
        <v/>
      </c>
      <c r="C1324" s="62" t="str">
        <f aca="false">IF($M1324=0,"",INDEX(Classes!$H$6:$H$420,$M1324))</f>
        <v/>
      </c>
      <c r="D1324" s="61" t="str">
        <f aca="false">IF($M1324=0,"",INDEX(Classes!$B$6:$B$420,$M1324))</f>
        <v/>
      </c>
      <c r="E1324" s="61" t="str">
        <f aca="false">IF($M1324=0,"",INDEX(Classes!$C$6:$C$420,$M1324))</f>
        <v/>
      </c>
      <c r="F1324" s="63"/>
      <c r="G1324" s="63"/>
      <c r="H1324" s="60"/>
      <c r="I1324" s="60"/>
      <c r="J1324" s="63"/>
      <c r="K1324" s="61" t="str">
        <f aca="false">IF($P1324=0,"",IF($F1324="Baseline","— Baseline",IF($O1324=0,"No result",IF($N1324=0,"No Start (attainment only)",IF(OR($N1324=1,$O1324=1),"U – needs rule",INDEX(MxBody,MATCH($I1324,MxCurr,0),MATCH($H1324,MxStart,0)))))))</f>
        <v/>
      </c>
      <c r="L1324" s="62" t="str">
        <f aca="false">IF(COUNTA($A1324,$F1324,$G1324,$H1324,$I1324,$J1324)=0,"",IF($M1324=0,"✖ كود الصف غير موجود",IF(ISNA(MATCH($F1324,Lists!$A$2:$A$5,0)),"✖ الفترة غير صحيحة",IF(ISNA(MATCH($G1324,Lists!$B$2:$B$7,0)),"✖ المجموعة غير صحيحة",IF(NOT(OR($H1324="",$N1324&gt;0)),"✖ Start غير صحيح",IF(NOT(OR($I1324="",$I1324="NR",$O1324&gt;0)),"✖ Current غير صحيح",IF(NOT(IF(ISNUMBER($J1324),AND($J1324&gt;=0,$J1324=INT($J1324)),FALSE())),"✖ العدد يجب أن يكون صحيحًا ≥ 0",IF(AND($F1324="Baseline",$H1324&lt;&gt;""),"⚠ Baseline: Start لا يدخل في التقدم",IF($K1324="No Start (attainment only)","ℹ تحصيل فقط (بدون Start)",IF($K1324="U – needs rule","ℹ حالة U تحتاج قاعدة معتمدة",IF($K1324="No result","ℹ بدون نتيجة (يُستبعد من التحصيل)","OK")))))))))))</f>
        <v/>
      </c>
      <c r="M1324" s="64" t="n">
        <f aca="false">IF($A1324="",0,IFERROR(MATCH($A1324,Classes!$A$6:$A$420,0),0))</f>
        <v>0</v>
      </c>
      <c r="N1324" s="64" t="n">
        <f aca="false">IF($H1324="",0,IFERROR(MATCH($H1324,GradeList,0),0))</f>
        <v>0</v>
      </c>
      <c r="O1324" s="64" t="n">
        <f aca="false">IF(OR($I1324="",$I1324="NR"),0,IFERROR(MATCH($I1324,GradeList,0),0))</f>
        <v>0</v>
      </c>
      <c r="P1324" s="64" t="n">
        <f aca="false">IF(AND($M1324&gt;0,ISNUMBER(MATCH($F1324,Lists!$A$2:$A$5,0)),ISNUMBER(MATCH($G1324,Lists!$B$2:$B$7,0)),OR($H1324="",$N1324&gt;0),OR($I1324="",$I1324="NR",$O1324&gt;0),IF(ISNUMBER($J1324),AND($J1324&gt;=0,$J1324=INT($J1324)),FALSE())),$J1324,0)</f>
        <v>0</v>
      </c>
      <c r="Q1324" s="64" t="n">
        <f aca="false">IF(AND($P1324&gt;0,$O1324&gt;0),$P1324,0)</f>
        <v>0</v>
      </c>
      <c r="R1324" s="64" t="n">
        <f aca="false">IF(AND($Q1324&gt;0,$O1324&gt;=AtRank),$Q1324,0)</f>
        <v>0</v>
      </c>
      <c r="S1324" s="64" t="n">
        <f aca="false">IF(AND($Q1324&gt;0,$O1324&gt;=AboveRank),$Q1324,0)</f>
        <v>0</v>
      </c>
      <c r="T1324" s="64" t="n">
        <f aca="false">IF($K1324="Less",$P1324,0)</f>
        <v>0</v>
      </c>
      <c r="U1324" s="64" t="n">
        <f aca="false">IF($K1324="Expected",$P1324,0)</f>
        <v>0</v>
      </c>
      <c r="V1324" s="64" t="n">
        <f aca="false">IF($K1324="Better",$P1324,0)</f>
        <v>0</v>
      </c>
      <c r="W1324" s="64" t="n">
        <f aca="false">IF($K1324="U – needs rule",$P1324,0)</f>
        <v>0</v>
      </c>
      <c r="X1324" s="64" t="n">
        <f aca="false">IF($K1324="No Start (attainment only)",$P1324,0)</f>
        <v>0</v>
      </c>
    </row>
    <row r="1325" customFormat="false" ht="15" hidden="false" customHeight="false" outlineLevel="0" collapsed="false">
      <c r="A1325" s="60"/>
      <c r="B1325" s="61" t="str">
        <f aca="false">IF($M1325=0,"",INDEX(Classes!$E$6:$E$420,$M1325))</f>
        <v/>
      </c>
      <c r="C1325" s="62" t="str">
        <f aca="false">IF($M1325=0,"",INDEX(Classes!$H$6:$H$420,$M1325))</f>
        <v/>
      </c>
      <c r="D1325" s="61" t="str">
        <f aca="false">IF($M1325=0,"",INDEX(Classes!$B$6:$B$420,$M1325))</f>
        <v/>
      </c>
      <c r="E1325" s="61" t="str">
        <f aca="false">IF($M1325=0,"",INDEX(Classes!$C$6:$C$420,$M1325))</f>
        <v/>
      </c>
      <c r="F1325" s="63"/>
      <c r="G1325" s="63"/>
      <c r="H1325" s="60"/>
      <c r="I1325" s="60"/>
      <c r="J1325" s="63"/>
      <c r="K1325" s="61" t="str">
        <f aca="false">IF($P1325=0,"",IF($F1325="Baseline","— Baseline",IF($O1325=0,"No result",IF($N1325=0,"No Start (attainment only)",IF(OR($N1325=1,$O1325=1),"U – needs rule",INDEX(MxBody,MATCH($I1325,MxCurr,0),MATCH($H1325,MxStart,0)))))))</f>
        <v/>
      </c>
      <c r="L1325" s="62" t="str">
        <f aca="false">IF(COUNTA($A1325,$F1325,$G1325,$H1325,$I1325,$J1325)=0,"",IF($M1325=0,"✖ كود الصف غير موجود",IF(ISNA(MATCH($F1325,Lists!$A$2:$A$5,0)),"✖ الفترة غير صحيحة",IF(ISNA(MATCH($G1325,Lists!$B$2:$B$7,0)),"✖ المجموعة غير صحيحة",IF(NOT(OR($H1325="",$N1325&gt;0)),"✖ Start غير صحيح",IF(NOT(OR($I1325="",$I1325="NR",$O1325&gt;0)),"✖ Current غير صحيح",IF(NOT(IF(ISNUMBER($J1325),AND($J1325&gt;=0,$J1325=INT($J1325)),FALSE())),"✖ العدد يجب أن يكون صحيحًا ≥ 0",IF(AND($F1325="Baseline",$H1325&lt;&gt;""),"⚠ Baseline: Start لا يدخل في التقدم",IF($K1325="No Start (attainment only)","ℹ تحصيل فقط (بدون Start)",IF($K1325="U – needs rule","ℹ حالة U تحتاج قاعدة معتمدة",IF($K1325="No result","ℹ بدون نتيجة (يُستبعد من التحصيل)","OK")))))))))))</f>
        <v/>
      </c>
      <c r="M1325" s="64" t="n">
        <f aca="false">IF($A1325="",0,IFERROR(MATCH($A1325,Classes!$A$6:$A$420,0),0))</f>
        <v>0</v>
      </c>
      <c r="N1325" s="64" t="n">
        <f aca="false">IF($H1325="",0,IFERROR(MATCH($H1325,GradeList,0),0))</f>
        <v>0</v>
      </c>
      <c r="O1325" s="64" t="n">
        <f aca="false">IF(OR($I1325="",$I1325="NR"),0,IFERROR(MATCH($I1325,GradeList,0),0))</f>
        <v>0</v>
      </c>
      <c r="P1325" s="64" t="n">
        <f aca="false">IF(AND($M1325&gt;0,ISNUMBER(MATCH($F1325,Lists!$A$2:$A$5,0)),ISNUMBER(MATCH($G1325,Lists!$B$2:$B$7,0)),OR($H1325="",$N1325&gt;0),OR($I1325="",$I1325="NR",$O1325&gt;0),IF(ISNUMBER($J1325),AND($J1325&gt;=0,$J1325=INT($J1325)),FALSE())),$J1325,0)</f>
        <v>0</v>
      </c>
      <c r="Q1325" s="64" t="n">
        <f aca="false">IF(AND($P1325&gt;0,$O1325&gt;0),$P1325,0)</f>
        <v>0</v>
      </c>
      <c r="R1325" s="64" t="n">
        <f aca="false">IF(AND($Q1325&gt;0,$O1325&gt;=AtRank),$Q1325,0)</f>
        <v>0</v>
      </c>
      <c r="S1325" s="64" t="n">
        <f aca="false">IF(AND($Q1325&gt;0,$O1325&gt;=AboveRank),$Q1325,0)</f>
        <v>0</v>
      </c>
      <c r="T1325" s="64" t="n">
        <f aca="false">IF($K1325="Less",$P1325,0)</f>
        <v>0</v>
      </c>
      <c r="U1325" s="64" t="n">
        <f aca="false">IF($K1325="Expected",$P1325,0)</f>
        <v>0</v>
      </c>
      <c r="V1325" s="64" t="n">
        <f aca="false">IF($K1325="Better",$P1325,0)</f>
        <v>0</v>
      </c>
      <c r="W1325" s="64" t="n">
        <f aca="false">IF($K1325="U – needs rule",$P1325,0)</f>
        <v>0</v>
      </c>
      <c r="X1325" s="64" t="n">
        <f aca="false">IF($K1325="No Start (attainment only)",$P1325,0)</f>
        <v>0</v>
      </c>
    </row>
    <row r="1326" customFormat="false" ht="15" hidden="false" customHeight="false" outlineLevel="0" collapsed="false">
      <c r="A1326" s="60"/>
      <c r="B1326" s="61" t="str">
        <f aca="false">IF($M1326=0,"",INDEX(Classes!$E$6:$E$420,$M1326))</f>
        <v/>
      </c>
      <c r="C1326" s="62" t="str">
        <f aca="false">IF($M1326=0,"",INDEX(Classes!$H$6:$H$420,$M1326))</f>
        <v/>
      </c>
      <c r="D1326" s="61" t="str">
        <f aca="false">IF($M1326=0,"",INDEX(Classes!$B$6:$B$420,$M1326))</f>
        <v/>
      </c>
      <c r="E1326" s="61" t="str">
        <f aca="false">IF($M1326=0,"",INDEX(Classes!$C$6:$C$420,$M1326))</f>
        <v/>
      </c>
      <c r="F1326" s="63"/>
      <c r="G1326" s="63"/>
      <c r="H1326" s="60"/>
      <c r="I1326" s="60"/>
      <c r="J1326" s="63"/>
      <c r="K1326" s="61" t="str">
        <f aca="false">IF($P1326=0,"",IF($F1326="Baseline","— Baseline",IF($O1326=0,"No result",IF($N1326=0,"No Start (attainment only)",IF(OR($N1326=1,$O1326=1),"U – needs rule",INDEX(MxBody,MATCH($I1326,MxCurr,0),MATCH($H1326,MxStart,0)))))))</f>
        <v/>
      </c>
      <c r="L1326" s="62" t="str">
        <f aca="false">IF(COUNTA($A1326,$F1326,$G1326,$H1326,$I1326,$J1326)=0,"",IF($M1326=0,"✖ كود الصف غير موجود",IF(ISNA(MATCH($F1326,Lists!$A$2:$A$5,0)),"✖ الفترة غير صحيحة",IF(ISNA(MATCH($G1326,Lists!$B$2:$B$7,0)),"✖ المجموعة غير صحيحة",IF(NOT(OR($H1326="",$N1326&gt;0)),"✖ Start غير صحيح",IF(NOT(OR($I1326="",$I1326="NR",$O1326&gt;0)),"✖ Current غير صحيح",IF(NOT(IF(ISNUMBER($J1326),AND($J1326&gt;=0,$J1326=INT($J1326)),FALSE())),"✖ العدد يجب أن يكون صحيحًا ≥ 0",IF(AND($F1326="Baseline",$H1326&lt;&gt;""),"⚠ Baseline: Start لا يدخل في التقدم",IF($K1326="No Start (attainment only)","ℹ تحصيل فقط (بدون Start)",IF($K1326="U – needs rule","ℹ حالة U تحتاج قاعدة معتمدة",IF($K1326="No result","ℹ بدون نتيجة (يُستبعد من التحصيل)","OK")))))))))))</f>
        <v/>
      </c>
      <c r="M1326" s="64" t="n">
        <f aca="false">IF($A1326="",0,IFERROR(MATCH($A1326,Classes!$A$6:$A$420,0),0))</f>
        <v>0</v>
      </c>
      <c r="N1326" s="64" t="n">
        <f aca="false">IF($H1326="",0,IFERROR(MATCH($H1326,GradeList,0),0))</f>
        <v>0</v>
      </c>
      <c r="O1326" s="64" t="n">
        <f aca="false">IF(OR($I1326="",$I1326="NR"),0,IFERROR(MATCH($I1326,GradeList,0),0))</f>
        <v>0</v>
      </c>
      <c r="P1326" s="64" t="n">
        <f aca="false">IF(AND($M1326&gt;0,ISNUMBER(MATCH($F1326,Lists!$A$2:$A$5,0)),ISNUMBER(MATCH($G1326,Lists!$B$2:$B$7,0)),OR($H1326="",$N1326&gt;0),OR($I1326="",$I1326="NR",$O1326&gt;0),IF(ISNUMBER($J1326),AND($J1326&gt;=0,$J1326=INT($J1326)),FALSE())),$J1326,0)</f>
        <v>0</v>
      </c>
      <c r="Q1326" s="64" t="n">
        <f aca="false">IF(AND($P1326&gt;0,$O1326&gt;0),$P1326,0)</f>
        <v>0</v>
      </c>
      <c r="R1326" s="64" t="n">
        <f aca="false">IF(AND($Q1326&gt;0,$O1326&gt;=AtRank),$Q1326,0)</f>
        <v>0</v>
      </c>
      <c r="S1326" s="64" t="n">
        <f aca="false">IF(AND($Q1326&gt;0,$O1326&gt;=AboveRank),$Q1326,0)</f>
        <v>0</v>
      </c>
      <c r="T1326" s="64" t="n">
        <f aca="false">IF($K1326="Less",$P1326,0)</f>
        <v>0</v>
      </c>
      <c r="U1326" s="64" t="n">
        <f aca="false">IF($K1326="Expected",$P1326,0)</f>
        <v>0</v>
      </c>
      <c r="V1326" s="64" t="n">
        <f aca="false">IF($K1326="Better",$P1326,0)</f>
        <v>0</v>
      </c>
      <c r="W1326" s="64" t="n">
        <f aca="false">IF($K1326="U – needs rule",$P1326,0)</f>
        <v>0</v>
      </c>
      <c r="X1326" s="64" t="n">
        <f aca="false">IF($K1326="No Start (attainment only)",$P1326,0)</f>
        <v>0</v>
      </c>
    </row>
    <row r="1327" customFormat="false" ht="15" hidden="false" customHeight="false" outlineLevel="0" collapsed="false">
      <c r="A1327" s="60"/>
      <c r="B1327" s="61" t="str">
        <f aca="false">IF($M1327=0,"",INDEX(Classes!$E$6:$E$420,$M1327))</f>
        <v/>
      </c>
      <c r="C1327" s="62" t="str">
        <f aca="false">IF($M1327=0,"",INDEX(Classes!$H$6:$H$420,$M1327))</f>
        <v/>
      </c>
      <c r="D1327" s="61" t="str">
        <f aca="false">IF($M1327=0,"",INDEX(Classes!$B$6:$B$420,$M1327))</f>
        <v/>
      </c>
      <c r="E1327" s="61" t="str">
        <f aca="false">IF($M1327=0,"",INDEX(Classes!$C$6:$C$420,$M1327))</f>
        <v/>
      </c>
      <c r="F1327" s="63"/>
      <c r="G1327" s="63"/>
      <c r="H1327" s="60"/>
      <c r="I1327" s="60"/>
      <c r="J1327" s="63"/>
      <c r="K1327" s="61" t="str">
        <f aca="false">IF($P1327=0,"",IF($F1327="Baseline","— Baseline",IF($O1327=0,"No result",IF($N1327=0,"No Start (attainment only)",IF(OR($N1327=1,$O1327=1),"U – needs rule",INDEX(MxBody,MATCH($I1327,MxCurr,0),MATCH($H1327,MxStart,0)))))))</f>
        <v/>
      </c>
      <c r="L1327" s="62" t="str">
        <f aca="false">IF(COUNTA($A1327,$F1327,$G1327,$H1327,$I1327,$J1327)=0,"",IF($M1327=0,"✖ كود الصف غير موجود",IF(ISNA(MATCH($F1327,Lists!$A$2:$A$5,0)),"✖ الفترة غير صحيحة",IF(ISNA(MATCH($G1327,Lists!$B$2:$B$7,0)),"✖ المجموعة غير صحيحة",IF(NOT(OR($H1327="",$N1327&gt;0)),"✖ Start غير صحيح",IF(NOT(OR($I1327="",$I1327="NR",$O1327&gt;0)),"✖ Current غير صحيح",IF(NOT(IF(ISNUMBER($J1327),AND($J1327&gt;=0,$J1327=INT($J1327)),FALSE())),"✖ العدد يجب أن يكون صحيحًا ≥ 0",IF(AND($F1327="Baseline",$H1327&lt;&gt;""),"⚠ Baseline: Start لا يدخل في التقدم",IF($K1327="No Start (attainment only)","ℹ تحصيل فقط (بدون Start)",IF($K1327="U – needs rule","ℹ حالة U تحتاج قاعدة معتمدة",IF($K1327="No result","ℹ بدون نتيجة (يُستبعد من التحصيل)","OK")))))))))))</f>
        <v/>
      </c>
      <c r="M1327" s="64" t="n">
        <f aca="false">IF($A1327="",0,IFERROR(MATCH($A1327,Classes!$A$6:$A$420,0),0))</f>
        <v>0</v>
      </c>
      <c r="N1327" s="64" t="n">
        <f aca="false">IF($H1327="",0,IFERROR(MATCH($H1327,GradeList,0),0))</f>
        <v>0</v>
      </c>
      <c r="O1327" s="64" t="n">
        <f aca="false">IF(OR($I1327="",$I1327="NR"),0,IFERROR(MATCH($I1327,GradeList,0),0))</f>
        <v>0</v>
      </c>
      <c r="P1327" s="64" t="n">
        <f aca="false">IF(AND($M1327&gt;0,ISNUMBER(MATCH($F1327,Lists!$A$2:$A$5,0)),ISNUMBER(MATCH($G1327,Lists!$B$2:$B$7,0)),OR($H1327="",$N1327&gt;0),OR($I1327="",$I1327="NR",$O1327&gt;0),IF(ISNUMBER($J1327),AND($J1327&gt;=0,$J1327=INT($J1327)),FALSE())),$J1327,0)</f>
        <v>0</v>
      </c>
      <c r="Q1327" s="64" t="n">
        <f aca="false">IF(AND($P1327&gt;0,$O1327&gt;0),$P1327,0)</f>
        <v>0</v>
      </c>
      <c r="R1327" s="64" t="n">
        <f aca="false">IF(AND($Q1327&gt;0,$O1327&gt;=AtRank),$Q1327,0)</f>
        <v>0</v>
      </c>
      <c r="S1327" s="64" t="n">
        <f aca="false">IF(AND($Q1327&gt;0,$O1327&gt;=AboveRank),$Q1327,0)</f>
        <v>0</v>
      </c>
      <c r="T1327" s="64" t="n">
        <f aca="false">IF($K1327="Less",$P1327,0)</f>
        <v>0</v>
      </c>
      <c r="U1327" s="64" t="n">
        <f aca="false">IF($K1327="Expected",$P1327,0)</f>
        <v>0</v>
      </c>
      <c r="V1327" s="64" t="n">
        <f aca="false">IF($K1327="Better",$P1327,0)</f>
        <v>0</v>
      </c>
      <c r="W1327" s="64" t="n">
        <f aca="false">IF($K1327="U – needs rule",$P1327,0)</f>
        <v>0</v>
      </c>
      <c r="X1327" s="64" t="n">
        <f aca="false">IF($K1327="No Start (attainment only)",$P1327,0)</f>
        <v>0</v>
      </c>
    </row>
    <row r="1328" customFormat="false" ht="15" hidden="false" customHeight="false" outlineLevel="0" collapsed="false">
      <c r="A1328" s="60"/>
      <c r="B1328" s="61" t="str">
        <f aca="false">IF($M1328=0,"",INDEX(Classes!$E$6:$E$420,$M1328))</f>
        <v/>
      </c>
      <c r="C1328" s="62" t="str">
        <f aca="false">IF($M1328=0,"",INDEX(Classes!$H$6:$H$420,$M1328))</f>
        <v/>
      </c>
      <c r="D1328" s="61" t="str">
        <f aca="false">IF($M1328=0,"",INDEX(Classes!$B$6:$B$420,$M1328))</f>
        <v/>
      </c>
      <c r="E1328" s="61" t="str">
        <f aca="false">IF($M1328=0,"",INDEX(Classes!$C$6:$C$420,$M1328))</f>
        <v/>
      </c>
      <c r="F1328" s="63"/>
      <c r="G1328" s="63"/>
      <c r="H1328" s="60"/>
      <c r="I1328" s="60"/>
      <c r="J1328" s="63"/>
      <c r="K1328" s="61" t="str">
        <f aca="false">IF($P1328=0,"",IF($F1328="Baseline","— Baseline",IF($O1328=0,"No result",IF($N1328=0,"No Start (attainment only)",IF(OR($N1328=1,$O1328=1),"U – needs rule",INDEX(MxBody,MATCH($I1328,MxCurr,0),MATCH($H1328,MxStart,0)))))))</f>
        <v/>
      </c>
      <c r="L1328" s="62" t="str">
        <f aca="false">IF(COUNTA($A1328,$F1328,$G1328,$H1328,$I1328,$J1328)=0,"",IF($M1328=0,"✖ كود الصف غير موجود",IF(ISNA(MATCH($F1328,Lists!$A$2:$A$5,0)),"✖ الفترة غير صحيحة",IF(ISNA(MATCH($G1328,Lists!$B$2:$B$7,0)),"✖ المجموعة غير صحيحة",IF(NOT(OR($H1328="",$N1328&gt;0)),"✖ Start غير صحيح",IF(NOT(OR($I1328="",$I1328="NR",$O1328&gt;0)),"✖ Current غير صحيح",IF(NOT(IF(ISNUMBER($J1328),AND($J1328&gt;=0,$J1328=INT($J1328)),FALSE())),"✖ العدد يجب أن يكون صحيحًا ≥ 0",IF(AND($F1328="Baseline",$H1328&lt;&gt;""),"⚠ Baseline: Start لا يدخل في التقدم",IF($K1328="No Start (attainment only)","ℹ تحصيل فقط (بدون Start)",IF($K1328="U – needs rule","ℹ حالة U تحتاج قاعدة معتمدة",IF($K1328="No result","ℹ بدون نتيجة (يُستبعد من التحصيل)","OK")))))))))))</f>
        <v/>
      </c>
      <c r="M1328" s="64" t="n">
        <f aca="false">IF($A1328="",0,IFERROR(MATCH($A1328,Classes!$A$6:$A$420,0),0))</f>
        <v>0</v>
      </c>
      <c r="N1328" s="64" t="n">
        <f aca="false">IF($H1328="",0,IFERROR(MATCH($H1328,GradeList,0),0))</f>
        <v>0</v>
      </c>
      <c r="O1328" s="64" t="n">
        <f aca="false">IF(OR($I1328="",$I1328="NR"),0,IFERROR(MATCH($I1328,GradeList,0),0))</f>
        <v>0</v>
      </c>
      <c r="P1328" s="64" t="n">
        <f aca="false">IF(AND($M1328&gt;0,ISNUMBER(MATCH($F1328,Lists!$A$2:$A$5,0)),ISNUMBER(MATCH($G1328,Lists!$B$2:$B$7,0)),OR($H1328="",$N1328&gt;0),OR($I1328="",$I1328="NR",$O1328&gt;0),IF(ISNUMBER($J1328),AND($J1328&gt;=0,$J1328=INT($J1328)),FALSE())),$J1328,0)</f>
        <v>0</v>
      </c>
      <c r="Q1328" s="64" t="n">
        <f aca="false">IF(AND($P1328&gt;0,$O1328&gt;0),$P1328,0)</f>
        <v>0</v>
      </c>
      <c r="R1328" s="64" t="n">
        <f aca="false">IF(AND($Q1328&gt;0,$O1328&gt;=AtRank),$Q1328,0)</f>
        <v>0</v>
      </c>
      <c r="S1328" s="64" t="n">
        <f aca="false">IF(AND($Q1328&gt;0,$O1328&gt;=AboveRank),$Q1328,0)</f>
        <v>0</v>
      </c>
      <c r="T1328" s="64" t="n">
        <f aca="false">IF($K1328="Less",$P1328,0)</f>
        <v>0</v>
      </c>
      <c r="U1328" s="64" t="n">
        <f aca="false">IF($K1328="Expected",$P1328,0)</f>
        <v>0</v>
      </c>
      <c r="V1328" s="64" t="n">
        <f aca="false">IF($K1328="Better",$P1328,0)</f>
        <v>0</v>
      </c>
      <c r="W1328" s="64" t="n">
        <f aca="false">IF($K1328="U – needs rule",$P1328,0)</f>
        <v>0</v>
      </c>
      <c r="X1328" s="64" t="n">
        <f aca="false">IF($K1328="No Start (attainment only)",$P1328,0)</f>
        <v>0</v>
      </c>
    </row>
    <row r="1329" customFormat="false" ht="15" hidden="false" customHeight="false" outlineLevel="0" collapsed="false">
      <c r="A1329" s="60"/>
      <c r="B1329" s="61" t="str">
        <f aca="false">IF($M1329=0,"",INDEX(Classes!$E$6:$E$420,$M1329))</f>
        <v/>
      </c>
      <c r="C1329" s="62" t="str">
        <f aca="false">IF($M1329=0,"",INDEX(Classes!$H$6:$H$420,$M1329))</f>
        <v/>
      </c>
      <c r="D1329" s="61" t="str">
        <f aca="false">IF($M1329=0,"",INDEX(Classes!$B$6:$B$420,$M1329))</f>
        <v/>
      </c>
      <c r="E1329" s="61" t="str">
        <f aca="false">IF($M1329=0,"",INDEX(Classes!$C$6:$C$420,$M1329))</f>
        <v/>
      </c>
      <c r="F1329" s="63"/>
      <c r="G1329" s="63"/>
      <c r="H1329" s="60"/>
      <c r="I1329" s="60"/>
      <c r="J1329" s="63"/>
      <c r="K1329" s="61" t="str">
        <f aca="false">IF($P1329=0,"",IF($F1329="Baseline","— Baseline",IF($O1329=0,"No result",IF($N1329=0,"No Start (attainment only)",IF(OR($N1329=1,$O1329=1),"U – needs rule",INDEX(MxBody,MATCH($I1329,MxCurr,0),MATCH($H1329,MxStart,0)))))))</f>
        <v/>
      </c>
      <c r="L1329" s="62" t="str">
        <f aca="false">IF(COUNTA($A1329,$F1329,$G1329,$H1329,$I1329,$J1329)=0,"",IF($M1329=0,"✖ كود الصف غير موجود",IF(ISNA(MATCH($F1329,Lists!$A$2:$A$5,0)),"✖ الفترة غير صحيحة",IF(ISNA(MATCH($G1329,Lists!$B$2:$B$7,0)),"✖ المجموعة غير صحيحة",IF(NOT(OR($H1329="",$N1329&gt;0)),"✖ Start غير صحيح",IF(NOT(OR($I1329="",$I1329="NR",$O1329&gt;0)),"✖ Current غير صحيح",IF(NOT(IF(ISNUMBER($J1329),AND($J1329&gt;=0,$J1329=INT($J1329)),FALSE())),"✖ العدد يجب أن يكون صحيحًا ≥ 0",IF(AND($F1329="Baseline",$H1329&lt;&gt;""),"⚠ Baseline: Start لا يدخل في التقدم",IF($K1329="No Start (attainment only)","ℹ تحصيل فقط (بدون Start)",IF($K1329="U – needs rule","ℹ حالة U تحتاج قاعدة معتمدة",IF($K1329="No result","ℹ بدون نتيجة (يُستبعد من التحصيل)","OK")))))))))))</f>
        <v/>
      </c>
      <c r="M1329" s="64" t="n">
        <f aca="false">IF($A1329="",0,IFERROR(MATCH($A1329,Classes!$A$6:$A$420,0),0))</f>
        <v>0</v>
      </c>
      <c r="N1329" s="64" t="n">
        <f aca="false">IF($H1329="",0,IFERROR(MATCH($H1329,GradeList,0),0))</f>
        <v>0</v>
      </c>
      <c r="O1329" s="64" t="n">
        <f aca="false">IF(OR($I1329="",$I1329="NR"),0,IFERROR(MATCH($I1329,GradeList,0),0))</f>
        <v>0</v>
      </c>
      <c r="P1329" s="64" t="n">
        <f aca="false">IF(AND($M1329&gt;0,ISNUMBER(MATCH($F1329,Lists!$A$2:$A$5,0)),ISNUMBER(MATCH($G1329,Lists!$B$2:$B$7,0)),OR($H1329="",$N1329&gt;0),OR($I1329="",$I1329="NR",$O1329&gt;0),IF(ISNUMBER($J1329),AND($J1329&gt;=0,$J1329=INT($J1329)),FALSE())),$J1329,0)</f>
        <v>0</v>
      </c>
      <c r="Q1329" s="64" t="n">
        <f aca="false">IF(AND($P1329&gt;0,$O1329&gt;0),$P1329,0)</f>
        <v>0</v>
      </c>
      <c r="R1329" s="64" t="n">
        <f aca="false">IF(AND($Q1329&gt;0,$O1329&gt;=AtRank),$Q1329,0)</f>
        <v>0</v>
      </c>
      <c r="S1329" s="64" t="n">
        <f aca="false">IF(AND($Q1329&gt;0,$O1329&gt;=AboveRank),$Q1329,0)</f>
        <v>0</v>
      </c>
      <c r="T1329" s="64" t="n">
        <f aca="false">IF($K1329="Less",$P1329,0)</f>
        <v>0</v>
      </c>
      <c r="U1329" s="64" t="n">
        <f aca="false">IF($K1329="Expected",$P1329,0)</f>
        <v>0</v>
      </c>
      <c r="V1329" s="64" t="n">
        <f aca="false">IF($K1329="Better",$P1329,0)</f>
        <v>0</v>
      </c>
      <c r="W1329" s="64" t="n">
        <f aca="false">IF($K1329="U – needs rule",$P1329,0)</f>
        <v>0</v>
      </c>
      <c r="X1329" s="64" t="n">
        <f aca="false">IF($K1329="No Start (attainment only)",$P1329,0)</f>
        <v>0</v>
      </c>
    </row>
    <row r="1330" customFormat="false" ht="15" hidden="false" customHeight="false" outlineLevel="0" collapsed="false">
      <c r="A1330" s="60"/>
      <c r="B1330" s="61" t="str">
        <f aca="false">IF($M1330=0,"",INDEX(Classes!$E$6:$E$420,$M1330))</f>
        <v/>
      </c>
      <c r="C1330" s="62" t="str">
        <f aca="false">IF($M1330=0,"",INDEX(Classes!$H$6:$H$420,$M1330))</f>
        <v/>
      </c>
      <c r="D1330" s="61" t="str">
        <f aca="false">IF($M1330=0,"",INDEX(Classes!$B$6:$B$420,$M1330))</f>
        <v/>
      </c>
      <c r="E1330" s="61" t="str">
        <f aca="false">IF($M1330=0,"",INDEX(Classes!$C$6:$C$420,$M1330))</f>
        <v/>
      </c>
      <c r="F1330" s="63"/>
      <c r="G1330" s="63"/>
      <c r="H1330" s="60"/>
      <c r="I1330" s="60"/>
      <c r="J1330" s="63"/>
      <c r="K1330" s="61" t="str">
        <f aca="false">IF($P1330=0,"",IF($F1330="Baseline","— Baseline",IF($O1330=0,"No result",IF($N1330=0,"No Start (attainment only)",IF(OR($N1330=1,$O1330=1),"U – needs rule",INDEX(MxBody,MATCH($I1330,MxCurr,0),MATCH($H1330,MxStart,0)))))))</f>
        <v/>
      </c>
      <c r="L1330" s="62" t="str">
        <f aca="false">IF(COUNTA($A1330,$F1330,$G1330,$H1330,$I1330,$J1330)=0,"",IF($M1330=0,"✖ كود الصف غير موجود",IF(ISNA(MATCH($F1330,Lists!$A$2:$A$5,0)),"✖ الفترة غير صحيحة",IF(ISNA(MATCH($G1330,Lists!$B$2:$B$7,0)),"✖ المجموعة غير صحيحة",IF(NOT(OR($H1330="",$N1330&gt;0)),"✖ Start غير صحيح",IF(NOT(OR($I1330="",$I1330="NR",$O1330&gt;0)),"✖ Current غير صحيح",IF(NOT(IF(ISNUMBER($J1330),AND($J1330&gt;=0,$J1330=INT($J1330)),FALSE())),"✖ العدد يجب أن يكون صحيحًا ≥ 0",IF(AND($F1330="Baseline",$H1330&lt;&gt;""),"⚠ Baseline: Start لا يدخل في التقدم",IF($K1330="No Start (attainment only)","ℹ تحصيل فقط (بدون Start)",IF($K1330="U – needs rule","ℹ حالة U تحتاج قاعدة معتمدة",IF($K1330="No result","ℹ بدون نتيجة (يُستبعد من التحصيل)","OK")))))))))))</f>
        <v/>
      </c>
      <c r="M1330" s="64" t="n">
        <f aca="false">IF($A1330="",0,IFERROR(MATCH($A1330,Classes!$A$6:$A$420,0),0))</f>
        <v>0</v>
      </c>
      <c r="N1330" s="64" t="n">
        <f aca="false">IF($H1330="",0,IFERROR(MATCH($H1330,GradeList,0),0))</f>
        <v>0</v>
      </c>
      <c r="O1330" s="64" t="n">
        <f aca="false">IF(OR($I1330="",$I1330="NR"),0,IFERROR(MATCH($I1330,GradeList,0),0))</f>
        <v>0</v>
      </c>
      <c r="P1330" s="64" t="n">
        <f aca="false">IF(AND($M1330&gt;0,ISNUMBER(MATCH($F1330,Lists!$A$2:$A$5,0)),ISNUMBER(MATCH($G1330,Lists!$B$2:$B$7,0)),OR($H1330="",$N1330&gt;0),OR($I1330="",$I1330="NR",$O1330&gt;0),IF(ISNUMBER($J1330),AND($J1330&gt;=0,$J1330=INT($J1330)),FALSE())),$J1330,0)</f>
        <v>0</v>
      </c>
      <c r="Q1330" s="64" t="n">
        <f aca="false">IF(AND($P1330&gt;0,$O1330&gt;0),$P1330,0)</f>
        <v>0</v>
      </c>
      <c r="R1330" s="64" t="n">
        <f aca="false">IF(AND($Q1330&gt;0,$O1330&gt;=AtRank),$Q1330,0)</f>
        <v>0</v>
      </c>
      <c r="S1330" s="64" t="n">
        <f aca="false">IF(AND($Q1330&gt;0,$O1330&gt;=AboveRank),$Q1330,0)</f>
        <v>0</v>
      </c>
      <c r="T1330" s="64" t="n">
        <f aca="false">IF($K1330="Less",$P1330,0)</f>
        <v>0</v>
      </c>
      <c r="U1330" s="64" t="n">
        <f aca="false">IF($K1330="Expected",$P1330,0)</f>
        <v>0</v>
      </c>
      <c r="V1330" s="64" t="n">
        <f aca="false">IF($K1330="Better",$P1330,0)</f>
        <v>0</v>
      </c>
      <c r="W1330" s="64" t="n">
        <f aca="false">IF($K1330="U – needs rule",$P1330,0)</f>
        <v>0</v>
      </c>
      <c r="X1330" s="64" t="n">
        <f aca="false">IF($K1330="No Start (attainment only)",$P1330,0)</f>
        <v>0</v>
      </c>
    </row>
    <row r="1331" customFormat="false" ht="15" hidden="false" customHeight="false" outlineLevel="0" collapsed="false">
      <c r="A1331" s="60"/>
      <c r="B1331" s="61" t="str">
        <f aca="false">IF($M1331=0,"",INDEX(Classes!$E$6:$E$420,$M1331))</f>
        <v/>
      </c>
      <c r="C1331" s="62" t="str">
        <f aca="false">IF($M1331=0,"",INDEX(Classes!$H$6:$H$420,$M1331))</f>
        <v/>
      </c>
      <c r="D1331" s="61" t="str">
        <f aca="false">IF($M1331=0,"",INDEX(Classes!$B$6:$B$420,$M1331))</f>
        <v/>
      </c>
      <c r="E1331" s="61" t="str">
        <f aca="false">IF($M1331=0,"",INDEX(Classes!$C$6:$C$420,$M1331))</f>
        <v/>
      </c>
      <c r="F1331" s="63"/>
      <c r="G1331" s="63"/>
      <c r="H1331" s="60"/>
      <c r="I1331" s="60"/>
      <c r="J1331" s="63"/>
      <c r="K1331" s="61" t="str">
        <f aca="false">IF($P1331=0,"",IF($F1331="Baseline","— Baseline",IF($O1331=0,"No result",IF($N1331=0,"No Start (attainment only)",IF(OR($N1331=1,$O1331=1),"U – needs rule",INDEX(MxBody,MATCH($I1331,MxCurr,0),MATCH($H1331,MxStart,0)))))))</f>
        <v/>
      </c>
      <c r="L1331" s="62" t="str">
        <f aca="false">IF(COUNTA($A1331,$F1331,$G1331,$H1331,$I1331,$J1331)=0,"",IF($M1331=0,"✖ كود الصف غير موجود",IF(ISNA(MATCH($F1331,Lists!$A$2:$A$5,0)),"✖ الفترة غير صحيحة",IF(ISNA(MATCH($G1331,Lists!$B$2:$B$7,0)),"✖ المجموعة غير صحيحة",IF(NOT(OR($H1331="",$N1331&gt;0)),"✖ Start غير صحيح",IF(NOT(OR($I1331="",$I1331="NR",$O1331&gt;0)),"✖ Current غير صحيح",IF(NOT(IF(ISNUMBER($J1331),AND($J1331&gt;=0,$J1331=INT($J1331)),FALSE())),"✖ العدد يجب أن يكون صحيحًا ≥ 0",IF(AND($F1331="Baseline",$H1331&lt;&gt;""),"⚠ Baseline: Start لا يدخل في التقدم",IF($K1331="No Start (attainment only)","ℹ تحصيل فقط (بدون Start)",IF($K1331="U – needs rule","ℹ حالة U تحتاج قاعدة معتمدة",IF($K1331="No result","ℹ بدون نتيجة (يُستبعد من التحصيل)","OK")))))))))))</f>
        <v/>
      </c>
      <c r="M1331" s="64" t="n">
        <f aca="false">IF($A1331="",0,IFERROR(MATCH($A1331,Classes!$A$6:$A$420,0),0))</f>
        <v>0</v>
      </c>
      <c r="N1331" s="64" t="n">
        <f aca="false">IF($H1331="",0,IFERROR(MATCH($H1331,GradeList,0),0))</f>
        <v>0</v>
      </c>
      <c r="O1331" s="64" t="n">
        <f aca="false">IF(OR($I1331="",$I1331="NR"),0,IFERROR(MATCH($I1331,GradeList,0),0))</f>
        <v>0</v>
      </c>
      <c r="P1331" s="64" t="n">
        <f aca="false">IF(AND($M1331&gt;0,ISNUMBER(MATCH($F1331,Lists!$A$2:$A$5,0)),ISNUMBER(MATCH($G1331,Lists!$B$2:$B$7,0)),OR($H1331="",$N1331&gt;0),OR($I1331="",$I1331="NR",$O1331&gt;0),IF(ISNUMBER($J1331),AND($J1331&gt;=0,$J1331=INT($J1331)),FALSE())),$J1331,0)</f>
        <v>0</v>
      </c>
      <c r="Q1331" s="64" t="n">
        <f aca="false">IF(AND($P1331&gt;0,$O1331&gt;0),$P1331,0)</f>
        <v>0</v>
      </c>
      <c r="R1331" s="64" t="n">
        <f aca="false">IF(AND($Q1331&gt;0,$O1331&gt;=AtRank),$Q1331,0)</f>
        <v>0</v>
      </c>
      <c r="S1331" s="64" t="n">
        <f aca="false">IF(AND($Q1331&gt;0,$O1331&gt;=AboveRank),$Q1331,0)</f>
        <v>0</v>
      </c>
      <c r="T1331" s="64" t="n">
        <f aca="false">IF($K1331="Less",$P1331,0)</f>
        <v>0</v>
      </c>
      <c r="U1331" s="64" t="n">
        <f aca="false">IF($K1331="Expected",$P1331,0)</f>
        <v>0</v>
      </c>
      <c r="V1331" s="64" t="n">
        <f aca="false">IF($K1331="Better",$P1331,0)</f>
        <v>0</v>
      </c>
      <c r="W1331" s="64" t="n">
        <f aca="false">IF($K1331="U – needs rule",$P1331,0)</f>
        <v>0</v>
      </c>
      <c r="X1331" s="64" t="n">
        <f aca="false">IF($K1331="No Start (attainment only)",$P1331,0)</f>
        <v>0</v>
      </c>
    </row>
    <row r="1332" customFormat="false" ht="15" hidden="false" customHeight="false" outlineLevel="0" collapsed="false">
      <c r="A1332" s="60"/>
      <c r="B1332" s="61" t="str">
        <f aca="false">IF($M1332=0,"",INDEX(Classes!$E$6:$E$420,$M1332))</f>
        <v/>
      </c>
      <c r="C1332" s="62" t="str">
        <f aca="false">IF($M1332=0,"",INDEX(Classes!$H$6:$H$420,$M1332))</f>
        <v/>
      </c>
      <c r="D1332" s="61" t="str">
        <f aca="false">IF($M1332=0,"",INDEX(Classes!$B$6:$B$420,$M1332))</f>
        <v/>
      </c>
      <c r="E1332" s="61" t="str">
        <f aca="false">IF($M1332=0,"",INDEX(Classes!$C$6:$C$420,$M1332))</f>
        <v/>
      </c>
      <c r="F1332" s="63"/>
      <c r="G1332" s="63"/>
      <c r="H1332" s="60"/>
      <c r="I1332" s="60"/>
      <c r="J1332" s="63"/>
      <c r="K1332" s="61" t="str">
        <f aca="false">IF($P1332=0,"",IF($F1332="Baseline","— Baseline",IF($O1332=0,"No result",IF($N1332=0,"No Start (attainment only)",IF(OR($N1332=1,$O1332=1),"U – needs rule",INDEX(MxBody,MATCH($I1332,MxCurr,0),MATCH($H1332,MxStart,0)))))))</f>
        <v/>
      </c>
      <c r="L1332" s="62" t="str">
        <f aca="false">IF(COUNTA($A1332,$F1332,$G1332,$H1332,$I1332,$J1332)=0,"",IF($M1332=0,"✖ كود الصف غير موجود",IF(ISNA(MATCH($F1332,Lists!$A$2:$A$5,0)),"✖ الفترة غير صحيحة",IF(ISNA(MATCH($G1332,Lists!$B$2:$B$7,0)),"✖ المجموعة غير صحيحة",IF(NOT(OR($H1332="",$N1332&gt;0)),"✖ Start غير صحيح",IF(NOT(OR($I1332="",$I1332="NR",$O1332&gt;0)),"✖ Current غير صحيح",IF(NOT(IF(ISNUMBER($J1332),AND($J1332&gt;=0,$J1332=INT($J1332)),FALSE())),"✖ العدد يجب أن يكون صحيحًا ≥ 0",IF(AND($F1332="Baseline",$H1332&lt;&gt;""),"⚠ Baseline: Start لا يدخل في التقدم",IF($K1332="No Start (attainment only)","ℹ تحصيل فقط (بدون Start)",IF($K1332="U – needs rule","ℹ حالة U تحتاج قاعدة معتمدة",IF($K1332="No result","ℹ بدون نتيجة (يُستبعد من التحصيل)","OK")))))))))))</f>
        <v/>
      </c>
      <c r="M1332" s="64" t="n">
        <f aca="false">IF($A1332="",0,IFERROR(MATCH($A1332,Classes!$A$6:$A$420,0),0))</f>
        <v>0</v>
      </c>
      <c r="N1332" s="64" t="n">
        <f aca="false">IF($H1332="",0,IFERROR(MATCH($H1332,GradeList,0),0))</f>
        <v>0</v>
      </c>
      <c r="O1332" s="64" t="n">
        <f aca="false">IF(OR($I1332="",$I1332="NR"),0,IFERROR(MATCH($I1332,GradeList,0),0))</f>
        <v>0</v>
      </c>
      <c r="P1332" s="64" t="n">
        <f aca="false">IF(AND($M1332&gt;0,ISNUMBER(MATCH($F1332,Lists!$A$2:$A$5,0)),ISNUMBER(MATCH($G1332,Lists!$B$2:$B$7,0)),OR($H1332="",$N1332&gt;0),OR($I1332="",$I1332="NR",$O1332&gt;0),IF(ISNUMBER($J1332),AND($J1332&gt;=0,$J1332=INT($J1332)),FALSE())),$J1332,0)</f>
        <v>0</v>
      </c>
      <c r="Q1332" s="64" t="n">
        <f aca="false">IF(AND($P1332&gt;0,$O1332&gt;0),$P1332,0)</f>
        <v>0</v>
      </c>
      <c r="R1332" s="64" t="n">
        <f aca="false">IF(AND($Q1332&gt;0,$O1332&gt;=AtRank),$Q1332,0)</f>
        <v>0</v>
      </c>
      <c r="S1332" s="64" t="n">
        <f aca="false">IF(AND($Q1332&gt;0,$O1332&gt;=AboveRank),$Q1332,0)</f>
        <v>0</v>
      </c>
      <c r="T1332" s="64" t="n">
        <f aca="false">IF($K1332="Less",$P1332,0)</f>
        <v>0</v>
      </c>
      <c r="U1332" s="64" t="n">
        <f aca="false">IF($K1332="Expected",$P1332,0)</f>
        <v>0</v>
      </c>
      <c r="V1332" s="64" t="n">
        <f aca="false">IF($K1332="Better",$P1332,0)</f>
        <v>0</v>
      </c>
      <c r="W1332" s="64" t="n">
        <f aca="false">IF($K1332="U – needs rule",$P1332,0)</f>
        <v>0</v>
      </c>
      <c r="X1332" s="64" t="n">
        <f aca="false">IF($K1332="No Start (attainment only)",$P1332,0)</f>
        <v>0</v>
      </c>
    </row>
    <row r="1333" customFormat="false" ht="15" hidden="false" customHeight="false" outlineLevel="0" collapsed="false">
      <c r="A1333" s="60"/>
      <c r="B1333" s="61" t="str">
        <f aca="false">IF($M1333=0,"",INDEX(Classes!$E$6:$E$420,$M1333))</f>
        <v/>
      </c>
      <c r="C1333" s="62" t="str">
        <f aca="false">IF($M1333=0,"",INDEX(Classes!$H$6:$H$420,$M1333))</f>
        <v/>
      </c>
      <c r="D1333" s="61" t="str">
        <f aca="false">IF($M1333=0,"",INDEX(Classes!$B$6:$B$420,$M1333))</f>
        <v/>
      </c>
      <c r="E1333" s="61" t="str">
        <f aca="false">IF($M1333=0,"",INDEX(Classes!$C$6:$C$420,$M1333))</f>
        <v/>
      </c>
      <c r="F1333" s="63"/>
      <c r="G1333" s="63"/>
      <c r="H1333" s="60"/>
      <c r="I1333" s="60"/>
      <c r="J1333" s="63"/>
      <c r="K1333" s="61" t="str">
        <f aca="false">IF($P1333=0,"",IF($F1333="Baseline","— Baseline",IF($O1333=0,"No result",IF($N1333=0,"No Start (attainment only)",IF(OR($N1333=1,$O1333=1),"U – needs rule",INDEX(MxBody,MATCH($I1333,MxCurr,0),MATCH($H1333,MxStart,0)))))))</f>
        <v/>
      </c>
      <c r="L1333" s="62" t="str">
        <f aca="false">IF(COUNTA($A1333,$F1333,$G1333,$H1333,$I1333,$J1333)=0,"",IF($M1333=0,"✖ كود الصف غير موجود",IF(ISNA(MATCH($F1333,Lists!$A$2:$A$5,0)),"✖ الفترة غير صحيحة",IF(ISNA(MATCH($G1333,Lists!$B$2:$B$7,0)),"✖ المجموعة غير صحيحة",IF(NOT(OR($H1333="",$N1333&gt;0)),"✖ Start غير صحيح",IF(NOT(OR($I1333="",$I1333="NR",$O1333&gt;0)),"✖ Current غير صحيح",IF(NOT(IF(ISNUMBER($J1333),AND($J1333&gt;=0,$J1333=INT($J1333)),FALSE())),"✖ العدد يجب أن يكون صحيحًا ≥ 0",IF(AND($F1333="Baseline",$H1333&lt;&gt;""),"⚠ Baseline: Start لا يدخل في التقدم",IF($K1333="No Start (attainment only)","ℹ تحصيل فقط (بدون Start)",IF($K1333="U – needs rule","ℹ حالة U تحتاج قاعدة معتمدة",IF($K1333="No result","ℹ بدون نتيجة (يُستبعد من التحصيل)","OK")))))))))))</f>
        <v/>
      </c>
      <c r="M1333" s="64" t="n">
        <f aca="false">IF($A1333="",0,IFERROR(MATCH($A1333,Classes!$A$6:$A$420,0),0))</f>
        <v>0</v>
      </c>
      <c r="N1333" s="64" t="n">
        <f aca="false">IF($H1333="",0,IFERROR(MATCH($H1333,GradeList,0),0))</f>
        <v>0</v>
      </c>
      <c r="O1333" s="64" t="n">
        <f aca="false">IF(OR($I1333="",$I1333="NR"),0,IFERROR(MATCH($I1333,GradeList,0),0))</f>
        <v>0</v>
      </c>
      <c r="P1333" s="64" t="n">
        <f aca="false">IF(AND($M1333&gt;0,ISNUMBER(MATCH($F1333,Lists!$A$2:$A$5,0)),ISNUMBER(MATCH($G1333,Lists!$B$2:$B$7,0)),OR($H1333="",$N1333&gt;0),OR($I1333="",$I1333="NR",$O1333&gt;0),IF(ISNUMBER($J1333),AND($J1333&gt;=0,$J1333=INT($J1333)),FALSE())),$J1333,0)</f>
        <v>0</v>
      </c>
      <c r="Q1333" s="64" t="n">
        <f aca="false">IF(AND($P1333&gt;0,$O1333&gt;0),$P1333,0)</f>
        <v>0</v>
      </c>
      <c r="R1333" s="64" t="n">
        <f aca="false">IF(AND($Q1333&gt;0,$O1333&gt;=AtRank),$Q1333,0)</f>
        <v>0</v>
      </c>
      <c r="S1333" s="64" t="n">
        <f aca="false">IF(AND($Q1333&gt;0,$O1333&gt;=AboveRank),$Q1333,0)</f>
        <v>0</v>
      </c>
      <c r="T1333" s="64" t="n">
        <f aca="false">IF($K1333="Less",$P1333,0)</f>
        <v>0</v>
      </c>
      <c r="U1333" s="64" t="n">
        <f aca="false">IF($K1333="Expected",$P1333,0)</f>
        <v>0</v>
      </c>
      <c r="V1333" s="64" t="n">
        <f aca="false">IF($K1333="Better",$P1333,0)</f>
        <v>0</v>
      </c>
      <c r="W1333" s="64" t="n">
        <f aca="false">IF($K1333="U – needs rule",$P1333,0)</f>
        <v>0</v>
      </c>
      <c r="X1333" s="64" t="n">
        <f aca="false">IF($K1333="No Start (attainment only)",$P1333,0)</f>
        <v>0</v>
      </c>
    </row>
    <row r="1334" customFormat="false" ht="15" hidden="false" customHeight="false" outlineLevel="0" collapsed="false">
      <c r="A1334" s="60"/>
      <c r="B1334" s="61" t="str">
        <f aca="false">IF($M1334=0,"",INDEX(Classes!$E$6:$E$420,$M1334))</f>
        <v/>
      </c>
      <c r="C1334" s="62" t="str">
        <f aca="false">IF($M1334=0,"",INDEX(Classes!$H$6:$H$420,$M1334))</f>
        <v/>
      </c>
      <c r="D1334" s="61" t="str">
        <f aca="false">IF($M1334=0,"",INDEX(Classes!$B$6:$B$420,$M1334))</f>
        <v/>
      </c>
      <c r="E1334" s="61" t="str">
        <f aca="false">IF($M1334=0,"",INDEX(Classes!$C$6:$C$420,$M1334))</f>
        <v/>
      </c>
      <c r="F1334" s="63"/>
      <c r="G1334" s="63"/>
      <c r="H1334" s="60"/>
      <c r="I1334" s="60"/>
      <c r="J1334" s="63"/>
      <c r="K1334" s="61" t="str">
        <f aca="false">IF($P1334=0,"",IF($F1334="Baseline","— Baseline",IF($O1334=0,"No result",IF($N1334=0,"No Start (attainment only)",IF(OR($N1334=1,$O1334=1),"U – needs rule",INDEX(MxBody,MATCH($I1334,MxCurr,0),MATCH($H1334,MxStart,0)))))))</f>
        <v/>
      </c>
      <c r="L1334" s="62" t="str">
        <f aca="false">IF(COUNTA($A1334,$F1334,$G1334,$H1334,$I1334,$J1334)=0,"",IF($M1334=0,"✖ كود الصف غير موجود",IF(ISNA(MATCH($F1334,Lists!$A$2:$A$5,0)),"✖ الفترة غير صحيحة",IF(ISNA(MATCH($G1334,Lists!$B$2:$B$7,0)),"✖ المجموعة غير صحيحة",IF(NOT(OR($H1334="",$N1334&gt;0)),"✖ Start غير صحيح",IF(NOT(OR($I1334="",$I1334="NR",$O1334&gt;0)),"✖ Current غير صحيح",IF(NOT(IF(ISNUMBER($J1334),AND($J1334&gt;=0,$J1334=INT($J1334)),FALSE())),"✖ العدد يجب أن يكون صحيحًا ≥ 0",IF(AND($F1334="Baseline",$H1334&lt;&gt;""),"⚠ Baseline: Start لا يدخل في التقدم",IF($K1334="No Start (attainment only)","ℹ تحصيل فقط (بدون Start)",IF($K1334="U – needs rule","ℹ حالة U تحتاج قاعدة معتمدة",IF($K1334="No result","ℹ بدون نتيجة (يُستبعد من التحصيل)","OK")))))))))))</f>
        <v/>
      </c>
      <c r="M1334" s="64" t="n">
        <f aca="false">IF($A1334="",0,IFERROR(MATCH($A1334,Classes!$A$6:$A$420,0),0))</f>
        <v>0</v>
      </c>
      <c r="N1334" s="64" t="n">
        <f aca="false">IF($H1334="",0,IFERROR(MATCH($H1334,GradeList,0),0))</f>
        <v>0</v>
      </c>
      <c r="O1334" s="64" t="n">
        <f aca="false">IF(OR($I1334="",$I1334="NR"),0,IFERROR(MATCH($I1334,GradeList,0),0))</f>
        <v>0</v>
      </c>
      <c r="P1334" s="64" t="n">
        <f aca="false">IF(AND($M1334&gt;0,ISNUMBER(MATCH($F1334,Lists!$A$2:$A$5,0)),ISNUMBER(MATCH($G1334,Lists!$B$2:$B$7,0)),OR($H1334="",$N1334&gt;0),OR($I1334="",$I1334="NR",$O1334&gt;0),IF(ISNUMBER($J1334),AND($J1334&gt;=0,$J1334=INT($J1334)),FALSE())),$J1334,0)</f>
        <v>0</v>
      </c>
      <c r="Q1334" s="64" t="n">
        <f aca="false">IF(AND($P1334&gt;0,$O1334&gt;0),$P1334,0)</f>
        <v>0</v>
      </c>
      <c r="R1334" s="64" t="n">
        <f aca="false">IF(AND($Q1334&gt;0,$O1334&gt;=AtRank),$Q1334,0)</f>
        <v>0</v>
      </c>
      <c r="S1334" s="64" t="n">
        <f aca="false">IF(AND($Q1334&gt;0,$O1334&gt;=AboveRank),$Q1334,0)</f>
        <v>0</v>
      </c>
      <c r="T1334" s="64" t="n">
        <f aca="false">IF($K1334="Less",$P1334,0)</f>
        <v>0</v>
      </c>
      <c r="U1334" s="64" t="n">
        <f aca="false">IF($K1334="Expected",$P1334,0)</f>
        <v>0</v>
      </c>
      <c r="V1334" s="64" t="n">
        <f aca="false">IF($K1334="Better",$P1334,0)</f>
        <v>0</v>
      </c>
      <c r="W1334" s="64" t="n">
        <f aca="false">IF($K1334="U – needs rule",$P1334,0)</f>
        <v>0</v>
      </c>
      <c r="X1334" s="64" t="n">
        <f aca="false">IF($K1334="No Start (attainment only)",$P1334,0)</f>
        <v>0</v>
      </c>
    </row>
    <row r="1335" customFormat="false" ht="15" hidden="false" customHeight="false" outlineLevel="0" collapsed="false">
      <c r="A1335" s="60"/>
      <c r="B1335" s="61" t="str">
        <f aca="false">IF($M1335=0,"",INDEX(Classes!$E$6:$E$420,$M1335))</f>
        <v/>
      </c>
      <c r="C1335" s="62" t="str">
        <f aca="false">IF($M1335=0,"",INDEX(Classes!$H$6:$H$420,$M1335))</f>
        <v/>
      </c>
      <c r="D1335" s="61" t="str">
        <f aca="false">IF($M1335=0,"",INDEX(Classes!$B$6:$B$420,$M1335))</f>
        <v/>
      </c>
      <c r="E1335" s="61" t="str">
        <f aca="false">IF($M1335=0,"",INDEX(Classes!$C$6:$C$420,$M1335))</f>
        <v/>
      </c>
      <c r="F1335" s="63"/>
      <c r="G1335" s="63"/>
      <c r="H1335" s="60"/>
      <c r="I1335" s="60"/>
      <c r="J1335" s="63"/>
      <c r="K1335" s="61" t="str">
        <f aca="false">IF($P1335=0,"",IF($F1335="Baseline","— Baseline",IF($O1335=0,"No result",IF($N1335=0,"No Start (attainment only)",IF(OR($N1335=1,$O1335=1),"U – needs rule",INDEX(MxBody,MATCH($I1335,MxCurr,0),MATCH($H1335,MxStart,0)))))))</f>
        <v/>
      </c>
      <c r="L1335" s="62" t="str">
        <f aca="false">IF(COUNTA($A1335,$F1335,$G1335,$H1335,$I1335,$J1335)=0,"",IF($M1335=0,"✖ كود الصف غير موجود",IF(ISNA(MATCH($F1335,Lists!$A$2:$A$5,0)),"✖ الفترة غير صحيحة",IF(ISNA(MATCH($G1335,Lists!$B$2:$B$7,0)),"✖ المجموعة غير صحيحة",IF(NOT(OR($H1335="",$N1335&gt;0)),"✖ Start غير صحيح",IF(NOT(OR($I1335="",$I1335="NR",$O1335&gt;0)),"✖ Current غير صحيح",IF(NOT(IF(ISNUMBER($J1335),AND($J1335&gt;=0,$J1335=INT($J1335)),FALSE())),"✖ العدد يجب أن يكون صحيحًا ≥ 0",IF(AND($F1335="Baseline",$H1335&lt;&gt;""),"⚠ Baseline: Start لا يدخل في التقدم",IF($K1335="No Start (attainment only)","ℹ تحصيل فقط (بدون Start)",IF($K1335="U – needs rule","ℹ حالة U تحتاج قاعدة معتمدة",IF($K1335="No result","ℹ بدون نتيجة (يُستبعد من التحصيل)","OK")))))))))))</f>
        <v/>
      </c>
      <c r="M1335" s="64" t="n">
        <f aca="false">IF($A1335="",0,IFERROR(MATCH($A1335,Classes!$A$6:$A$420,0),0))</f>
        <v>0</v>
      </c>
      <c r="N1335" s="64" t="n">
        <f aca="false">IF($H1335="",0,IFERROR(MATCH($H1335,GradeList,0),0))</f>
        <v>0</v>
      </c>
      <c r="O1335" s="64" t="n">
        <f aca="false">IF(OR($I1335="",$I1335="NR"),0,IFERROR(MATCH($I1335,GradeList,0),0))</f>
        <v>0</v>
      </c>
      <c r="P1335" s="64" t="n">
        <f aca="false">IF(AND($M1335&gt;0,ISNUMBER(MATCH($F1335,Lists!$A$2:$A$5,0)),ISNUMBER(MATCH($G1335,Lists!$B$2:$B$7,0)),OR($H1335="",$N1335&gt;0),OR($I1335="",$I1335="NR",$O1335&gt;0),IF(ISNUMBER($J1335),AND($J1335&gt;=0,$J1335=INT($J1335)),FALSE())),$J1335,0)</f>
        <v>0</v>
      </c>
      <c r="Q1335" s="64" t="n">
        <f aca="false">IF(AND($P1335&gt;0,$O1335&gt;0),$P1335,0)</f>
        <v>0</v>
      </c>
      <c r="R1335" s="64" t="n">
        <f aca="false">IF(AND($Q1335&gt;0,$O1335&gt;=AtRank),$Q1335,0)</f>
        <v>0</v>
      </c>
      <c r="S1335" s="64" t="n">
        <f aca="false">IF(AND($Q1335&gt;0,$O1335&gt;=AboveRank),$Q1335,0)</f>
        <v>0</v>
      </c>
      <c r="T1335" s="64" t="n">
        <f aca="false">IF($K1335="Less",$P1335,0)</f>
        <v>0</v>
      </c>
      <c r="U1335" s="64" t="n">
        <f aca="false">IF($K1335="Expected",$P1335,0)</f>
        <v>0</v>
      </c>
      <c r="V1335" s="64" t="n">
        <f aca="false">IF($K1335="Better",$P1335,0)</f>
        <v>0</v>
      </c>
      <c r="W1335" s="64" t="n">
        <f aca="false">IF($K1335="U – needs rule",$P1335,0)</f>
        <v>0</v>
      </c>
      <c r="X1335" s="64" t="n">
        <f aca="false">IF($K1335="No Start (attainment only)",$P1335,0)</f>
        <v>0</v>
      </c>
    </row>
    <row r="1336" customFormat="false" ht="15" hidden="false" customHeight="false" outlineLevel="0" collapsed="false">
      <c r="A1336" s="60"/>
      <c r="B1336" s="61" t="str">
        <f aca="false">IF($M1336=0,"",INDEX(Classes!$E$6:$E$420,$M1336))</f>
        <v/>
      </c>
      <c r="C1336" s="62" t="str">
        <f aca="false">IF($M1336=0,"",INDEX(Classes!$H$6:$H$420,$M1336))</f>
        <v/>
      </c>
      <c r="D1336" s="61" t="str">
        <f aca="false">IF($M1336=0,"",INDEX(Classes!$B$6:$B$420,$M1336))</f>
        <v/>
      </c>
      <c r="E1336" s="61" t="str">
        <f aca="false">IF($M1336=0,"",INDEX(Classes!$C$6:$C$420,$M1336))</f>
        <v/>
      </c>
      <c r="F1336" s="63"/>
      <c r="G1336" s="63"/>
      <c r="H1336" s="60"/>
      <c r="I1336" s="60"/>
      <c r="J1336" s="63"/>
      <c r="K1336" s="61" t="str">
        <f aca="false">IF($P1336=0,"",IF($F1336="Baseline","— Baseline",IF($O1336=0,"No result",IF($N1336=0,"No Start (attainment only)",IF(OR($N1336=1,$O1336=1),"U – needs rule",INDEX(MxBody,MATCH($I1336,MxCurr,0),MATCH($H1336,MxStart,0)))))))</f>
        <v/>
      </c>
      <c r="L1336" s="62" t="str">
        <f aca="false">IF(COUNTA($A1336,$F1336,$G1336,$H1336,$I1336,$J1336)=0,"",IF($M1336=0,"✖ كود الصف غير موجود",IF(ISNA(MATCH($F1336,Lists!$A$2:$A$5,0)),"✖ الفترة غير صحيحة",IF(ISNA(MATCH($G1336,Lists!$B$2:$B$7,0)),"✖ المجموعة غير صحيحة",IF(NOT(OR($H1336="",$N1336&gt;0)),"✖ Start غير صحيح",IF(NOT(OR($I1336="",$I1336="NR",$O1336&gt;0)),"✖ Current غير صحيح",IF(NOT(IF(ISNUMBER($J1336),AND($J1336&gt;=0,$J1336=INT($J1336)),FALSE())),"✖ العدد يجب أن يكون صحيحًا ≥ 0",IF(AND($F1336="Baseline",$H1336&lt;&gt;""),"⚠ Baseline: Start لا يدخل في التقدم",IF($K1336="No Start (attainment only)","ℹ تحصيل فقط (بدون Start)",IF($K1336="U – needs rule","ℹ حالة U تحتاج قاعدة معتمدة",IF($K1336="No result","ℹ بدون نتيجة (يُستبعد من التحصيل)","OK")))))))))))</f>
        <v/>
      </c>
      <c r="M1336" s="64" t="n">
        <f aca="false">IF($A1336="",0,IFERROR(MATCH($A1336,Classes!$A$6:$A$420,0),0))</f>
        <v>0</v>
      </c>
      <c r="N1336" s="64" t="n">
        <f aca="false">IF($H1336="",0,IFERROR(MATCH($H1336,GradeList,0),0))</f>
        <v>0</v>
      </c>
      <c r="O1336" s="64" t="n">
        <f aca="false">IF(OR($I1336="",$I1336="NR"),0,IFERROR(MATCH($I1336,GradeList,0),0))</f>
        <v>0</v>
      </c>
      <c r="P1336" s="64" t="n">
        <f aca="false">IF(AND($M1336&gt;0,ISNUMBER(MATCH($F1336,Lists!$A$2:$A$5,0)),ISNUMBER(MATCH($G1336,Lists!$B$2:$B$7,0)),OR($H1336="",$N1336&gt;0),OR($I1336="",$I1336="NR",$O1336&gt;0),IF(ISNUMBER($J1336),AND($J1336&gt;=0,$J1336=INT($J1336)),FALSE())),$J1336,0)</f>
        <v>0</v>
      </c>
      <c r="Q1336" s="64" t="n">
        <f aca="false">IF(AND($P1336&gt;0,$O1336&gt;0),$P1336,0)</f>
        <v>0</v>
      </c>
      <c r="R1336" s="64" t="n">
        <f aca="false">IF(AND($Q1336&gt;0,$O1336&gt;=AtRank),$Q1336,0)</f>
        <v>0</v>
      </c>
      <c r="S1336" s="64" t="n">
        <f aca="false">IF(AND($Q1336&gt;0,$O1336&gt;=AboveRank),$Q1336,0)</f>
        <v>0</v>
      </c>
      <c r="T1336" s="64" t="n">
        <f aca="false">IF($K1336="Less",$P1336,0)</f>
        <v>0</v>
      </c>
      <c r="U1336" s="64" t="n">
        <f aca="false">IF($K1336="Expected",$P1336,0)</f>
        <v>0</v>
      </c>
      <c r="V1336" s="64" t="n">
        <f aca="false">IF($K1336="Better",$P1336,0)</f>
        <v>0</v>
      </c>
      <c r="W1336" s="64" t="n">
        <f aca="false">IF($K1336="U – needs rule",$P1336,0)</f>
        <v>0</v>
      </c>
      <c r="X1336" s="64" t="n">
        <f aca="false">IF($K1336="No Start (attainment only)",$P1336,0)</f>
        <v>0</v>
      </c>
    </row>
    <row r="1337" customFormat="false" ht="15" hidden="false" customHeight="false" outlineLevel="0" collapsed="false">
      <c r="A1337" s="60"/>
      <c r="B1337" s="61" t="str">
        <f aca="false">IF($M1337=0,"",INDEX(Classes!$E$6:$E$420,$M1337))</f>
        <v/>
      </c>
      <c r="C1337" s="62" t="str">
        <f aca="false">IF($M1337=0,"",INDEX(Classes!$H$6:$H$420,$M1337))</f>
        <v/>
      </c>
      <c r="D1337" s="61" t="str">
        <f aca="false">IF($M1337=0,"",INDEX(Classes!$B$6:$B$420,$M1337))</f>
        <v/>
      </c>
      <c r="E1337" s="61" t="str">
        <f aca="false">IF($M1337=0,"",INDEX(Classes!$C$6:$C$420,$M1337))</f>
        <v/>
      </c>
      <c r="F1337" s="63"/>
      <c r="G1337" s="63"/>
      <c r="H1337" s="60"/>
      <c r="I1337" s="60"/>
      <c r="J1337" s="63"/>
      <c r="K1337" s="61" t="str">
        <f aca="false">IF($P1337=0,"",IF($F1337="Baseline","— Baseline",IF($O1337=0,"No result",IF($N1337=0,"No Start (attainment only)",IF(OR($N1337=1,$O1337=1),"U – needs rule",INDEX(MxBody,MATCH($I1337,MxCurr,0),MATCH($H1337,MxStart,0)))))))</f>
        <v/>
      </c>
      <c r="L1337" s="62" t="str">
        <f aca="false">IF(COUNTA($A1337,$F1337,$G1337,$H1337,$I1337,$J1337)=0,"",IF($M1337=0,"✖ كود الصف غير موجود",IF(ISNA(MATCH($F1337,Lists!$A$2:$A$5,0)),"✖ الفترة غير صحيحة",IF(ISNA(MATCH($G1337,Lists!$B$2:$B$7,0)),"✖ المجموعة غير صحيحة",IF(NOT(OR($H1337="",$N1337&gt;0)),"✖ Start غير صحيح",IF(NOT(OR($I1337="",$I1337="NR",$O1337&gt;0)),"✖ Current غير صحيح",IF(NOT(IF(ISNUMBER($J1337),AND($J1337&gt;=0,$J1337=INT($J1337)),FALSE())),"✖ العدد يجب أن يكون صحيحًا ≥ 0",IF(AND($F1337="Baseline",$H1337&lt;&gt;""),"⚠ Baseline: Start لا يدخل في التقدم",IF($K1337="No Start (attainment only)","ℹ تحصيل فقط (بدون Start)",IF($K1337="U – needs rule","ℹ حالة U تحتاج قاعدة معتمدة",IF($K1337="No result","ℹ بدون نتيجة (يُستبعد من التحصيل)","OK")))))))))))</f>
        <v/>
      </c>
      <c r="M1337" s="64" t="n">
        <f aca="false">IF($A1337="",0,IFERROR(MATCH($A1337,Classes!$A$6:$A$420,0),0))</f>
        <v>0</v>
      </c>
      <c r="N1337" s="64" t="n">
        <f aca="false">IF($H1337="",0,IFERROR(MATCH($H1337,GradeList,0),0))</f>
        <v>0</v>
      </c>
      <c r="O1337" s="64" t="n">
        <f aca="false">IF(OR($I1337="",$I1337="NR"),0,IFERROR(MATCH($I1337,GradeList,0),0))</f>
        <v>0</v>
      </c>
      <c r="P1337" s="64" t="n">
        <f aca="false">IF(AND($M1337&gt;0,ISNUMBER(MATCH($F1337,Lists!$A$2:$A$5,0)),ISNUMBER(MATCH($G1337,Lists!$B$2:$B$7,0)),OR($H1337="",$N1337&gt;0),OR($I1337="",$I1337="NR",$O1337&gt;0),IF(ISNUMBER($J1337),AND($J1337&gt;=0,$J1337=INT($J1337)),FALSE())),$J1337,0)</f>
        <v>0</v>
      </c>
      <c r="Q1337" s="64" t="n">
        <f aca="false">IF(AND($P1337&gt;0,$O1337&gt;0),$P1337,0)</f>
        <v>0</v>
      </c>
      <c r="R1337" s="64" t="n">
        <f aca="false">IF(AND($Q1337&gt;0,$O1337&gt;=AtRank),$Q1337,0)</f>
        <v>0</v>
      </c>
      <c r="S1337" s="64" t="n">
        <f aca="false">IF(AND($Q1337&gt;0,$O1337&gt;=AboveRank),$Q1337,0)</f>
        <v>0</v>
      </c>
      <c r="T1337" s="64" t="n">
        <f aca="false">IF($K1337="Less",$P1337,0)</f>
        <v>0</v>
      </c>
      <c r="U1337" s="64" t="n">
        <f aca="false">IF($K1337="Expected",$P1337,0)</f>
        <v>0</v>
      </c>
      <c r="V1337" s="64" t="n">
        <f aca="false">IF($K1337="Better",$P1337,0)</f>
        <v>0</v>
      </c>
      <c r="W1337" s="64" t="n">
        <f aca="false">IF($K1337="U – needs rule",$P1337,0)</f>
        <v>0</v>
      </c>
      <c r="X1337" s="64" t="n">
        <f aca="false">IF($K1337="No Start (attainment only)",$P1337,0)</f>
        <v>0</v>
      </c>
    </row>
    <row r="1338" customFormat="false" ht="15" hidden="false" customHeight="false" outlineLevel="0" collapsed="false">
      <c r="A1338" s="60"/>
      <c r="B1338" s="61" t="str">
        <f aca="false">IF($M1338=0,"",INDEX(Classes!$E$6:$E$420,$M1338))</f>
        <v/>
      </c>
      <c r="C1338" s="62" t="str">
        <f aca="false">IF($M1338=0,"",INDEX(Classes!$H$6:$H$420,$M1338))</f>
        <v/>
      </c>
      <c r="D1338" s="61" t="str">
        <f aca="false">IF($M1338=0,"",INDEX(Classes!$B$6:$B$420,$M1338))</f>
        <v/>
      </c>
      <c r="E1338" s="61" t="str">
        <f aca="false">IF($M1338=0,"",INDEX(Classes!$C$6:$C$420,$M1338))</f>
        <v/>
      </c>
      <c r="F1338" s="63"/>
      <c r="G1338" s="63"/>
      <c r="H1338" s="60"/>
      <c r="I1338" s="60"/>
      <c r="J1338" s="63"/>
      <c r="K1338" s="61" t="str">
        <f aca="false">IF($P1338=0,"",IF($F1338="Baseline","— Baseline",IF($O1338=0,"No result",IF($N1338=0,"No Start (attainment only)",IF(OR($N1338=1,$O1338=1),"U – needs rule",INDEX(MxBody,MATCH($I1338,MxCurr,0),MATCH($H1338,MxStart,0)))))))</f>
        <v/>
      </c>
      <c r="L1338" s="62" t="str">
        <f aca="false">IF(COUNTA($A1338,$F1338,$G1338,$H1338,$I1338,$J1338)=0,"",IF($M1338=0,"✖ كود الصف غير موجود",IF(ISNA(MATCH($F1338,Lists!$A$2:$A$5,0)),"✖ الفترة غير صحيحة",IF(ISNA(MATCH($G1338,Lists!$B$2:$B$7,0)),"✖ المجموعة غير صحيحة",IF(NOT(OR($H1338="",$N1338&gt;0)),"✖ Start غير صحيح",IF(NOT(OR($I1338="",$I1338="NR",$O1338&gt;0)),"✖ Current غير صحيح",IF(NOT(IF(ISNUMBER($J1338),AND($J1338&gt;=0,$J1338=INT($J1338)),FALSE())),"✖ العدد يجب أن يكون صحيحًا ≥ 0",IF(AND($F1338="Baseline",$H1338&lt;&gt;""),"⚠ Baseline: Start لا يدخل في التقدم",IF($K1338="No Start (attainment only)","ℹ تحصيل فقط (بدون Start)",IF($K1338="U – needs rule","ℹ حالة U تحتاج قاعدة معتمدة",IF($K1338="No result","ℹ بدون نتيجة (يُستبعد من التحصيل)","OK")))))))))))</f>
        <v/>
      </c>
      <c r="M1338" s="64" t="n">
        <f aca="false">IF($A1338="",0,IFERROR(MATCH($A1338,Classes!$A$6:$A$420,0),0))</f>
        <v>0</v>
      </c>
      <c r="N1338" s="64" t="n">
        <f aca="false">IF($H1338="",0,IFERROR(MATCH($H1338,GradeList,0),0))</f>
        <v>0</v>
      </c>
      <c r="O1338" s="64" t="n">
        <f aca="false">IF(OR($I1338="",$I1338="NR"),0,IFERROR(MATCH($I1338,GradeList,0),0))</f>
        <v>0</v>
      </c>
      <c r="P1338" s="64" t="n">
        <f aca="false">IF(AND($M1338&gt;0,ISNUMBER(MATCH($F1338,Lists!$A$2:$A$5,0)),ISNUMBER(MATCH($G1338,Lists!$B$2:$B$7,0)),OR($H1338="",$N1338&gt;0),OR($I1338="",$I1338="NR",$O1338&gt;0),IF(ISNUMBER($J1338),AND($J1338&gt;=0,$J1338=INT($J1338)),FALSE())),$J1338,0)</f>
        <v>0</v>
      </c>
      <c r="Q1338" s="64" t="n">
        <f aca="false">IF(AND($P1338&gt;0,$O1338&gt;0),$P1338,0)</f>
        <v>0</v>
      </c>
      <c r="R1338" s="64" t="n">
        <f aca="false">IF(AND($Q1338&gt;0,$O1338&gt;=AtRank),$Q1338,0)</f>
        <v>0</v>
      </c>
      <c r="S1338" s="64" t="n">
        <f aca="false">IF(AND($Q1338&gt;0,$O1338&gt;=AboveRank),$Q1338,0)</f>
        <v>0</v>
      </c>
      <c r="T1338" s="64" t="n">
        <f aca="false">IF($K1338="Less",$P1338,0)</f>
        <v>0</v>
      </c>
      <c r="U1338" s="64" t="n">
        <f aca="false">IF($K1338="Expected",$P1338,0)</f>
        <v>0</v>
      </c>
      <c r="V1338" s="64" t="n">
        <f aca="false">IF($K1338="Better",$P1338,0)</f>
        <v>0</v>
      </c>
      <c r="W1338" s="64" t="n">
        <f aca="false">IF($K1338="U – needs rule",$P1338,0)</f>
        <v>0</v>
      </c>
      <c r="X1338" s="64" t="n">
        <f aca="false">IF($K1338="No Start (attainment only)",$P1338,0)</f>
        <v>0</v>
      </c>
    </row>
    <row r="1339" customFormat="false" ht="15" hidden="false" customHeight="false" outlineLevel="0" collapsed="false">
      <c r="A1339" s="60"/>
      <c r="B1339" s="61" t="str">
        <f aca="false">IF($M1339=0,"",INDEX(Classes!$E$6:$E$420,$M1339))</f>
        <v/>
      </c>
      <c r="C1339" s="62" t="str">
        <f aca="false">IF($M1339=0,"",INDEX(Classes!$H$6:$H$420,$M1339))</f>
        <v/>
      </c>
      <c r="D1339" s="61" t="str">
        <f aca="false">IF($M1339=0,"",INDEX(Classes!$B$6:$B$420,$M1339))</f>
        <v/>
      </c>
      <c r="E1339" s="61" t="str">
        <f aca="false">IF($M1339=0,"",INDEX(Classes!$C$6:$C$420,$M1339))</f>
        <v/>
      </c>
      <c r="F1339" s="63"/>
      <c r="G1339" s="63"/>
      <c r="H1339" s="60"/>
      <c r="I1339" s="60"/>
      <c r="J1339" s="63"/>
      <c r="K1339" s="61" t="str">
        <f aca="false">IF($P1339=0,"",IF($F1339="Baseline","— Baseline",IF($O1339=0,"No result",IF($N1339=0,"No Start (attainment only)",IF(OR($N1339=1,$O1339=1),"U – needs rule",INDEX(MxBody,MATCH($I1339,MxCurr,0),MATCH($H1339,MxStart,0)))))))</f>
        <v/>
      </c>
      <c r="L1339" s="62" t="str">
        <f aca="false">IF(COUNTA($A1339,$F1339,$G1339,$H1339,$I1339,$J1339)=0,"",IF($M1339=0,"✖ كود الصف غير موجود",IF(ISNA(MATCH($F1339,Lists!$A$2:$A$5,0)),"✖ الفترة غير صحيحة",IF(ISNA(MATCH($G1339,Lists!$B$2:$B$7,0)),"✖ المجموعة غير صحيحة",IF(NOT(OR($H1339="",$N1339&gt;0)),"✖ Start غير صحيح",IF(NOT(OR($I1339="",$I1339="NR",$O1339&gt;0)),"✖ Current غير صحيح",IF(NOT(IF(ISNUMBER($J1339),AND($J1339&gt;=0,$J1339=INT($J1339)),FALSE())),"✖ العدد يجب أن يكون صحيحًا ≥ 0",IF(AND($F1339="Baseline",$H1339&lt;&gt;""),"⚠ Baseline: Start لا يدخل في التقدم",IF($K1339="No Start (attainment only)","ℹ تحصيل فقط (بدون Start)",IF($K1339="U – needs rule","ℹ حالة U تحتاج قاعدة معتمدة",IF($K1339="No result","ℹ بدون نتيجة (يُستبعد من التحصيل)","OK")))))))))))</f>
        <v/>
      </c>
      <c r="M1339" s="64" t="n">
        <f aca="false">IF($A1339="",0,IFERROR(MATCH($A1339,Classes!$A$6:$A$420,0),0))</f>
        <v>0</v>
      </c>
      <c r="N1339" s="64" t="n">
        <f aca="false">IF($H1339="",0,IFERROR(MATCH($H1339,GradeList,0),0))</f>
        <v>0</v>
      </c>
      <c r="O1339" s="64" t="n">
        <f aca="false">IF(OR($I1339="",$I1339="NR"),0,IFERROR(MATCH($I1339,GradeList,0),0))</f>
        <v>0</v>
      </c>
      <c r="P1339" s="64" t="n">
        <f aca="false">IF(AND($M1339&gt;0,ISNUMBER(MATCH($F1339,Lists!$A$2:$A$5,0)),ISNUMBER(MATCH($G1339,Lists!$B$2:$B$7,0)),OR($H1339="",$N1339&gt;0),OR($I1339="",$I1339="NR",$O1339&gt;0),IF(ISNUMBER($J1339),AND($J1339&gt;=0,$J1339=INT($J1339)),FALSE())),$J1339,0)</f>
        <v>0</v>
      </c>
      <c r="Q1339" s="64" t="n">
        <f aca="false">IF(AND($P1339&gt;0,$O1339&gt;0),$P1339,0)</f>
        <v>0</v>
      </c>
      <c r="R1339" s="64" t="n">
        <f aca="false">IF(AND($Q1339&gt;0,$O1339&gt;=AtRank),$Q1339,0)</f>
        <v>0</v>
      </c>
      <c r="S1339" s="64" t="n">
        <f aca="false">IF(AND($Q1339&gt;0,$O1339&gt;=AboveRank),$Q1339,0)</f>
        <v>0</v>
      </c>
      <c r="T1339" s="64" t="n">
        <f aca="false">IF($K1339="Less",$P1339,0)</f>
        <v>0</v>
      </c>
      <c r="U1339" s="64" t="n">
        <f aca="false">IF($K1339="Expected",$P1339,0)</f>
        <v>0</v>
      </c>
      <c r="V1339" s="64" t="n">
        <f aca="false">IF($K1339="Better",$P1339,0)</f>
        <v>0</v>
      </c>
      <c r="W1339" s="64" t="n">
        <f aca="false">IF($K1339="U – needs rule",$P1339,0)</f>
        <v>0</v>
      </c>
      <c r="X1339" s="64" t="n">
        <f aca="false">IF($K1339="No Start (attainment only)",$P1339,0)</f>
        <v>0</v>
      </c>
    </row>
    <row r="1340" customFormat="false" ht="15" hidden="false" customHeight="false" outlineLevel="0" collapsed="false">
      <c r="A1340" s="60"/>
      <c r="B1340" s="61" t="str">
        <f aca="false">IF($M1340=0,"",INDEX(Classes!$E$6:$E$420,$M1340))</f>
        <v/>
      </c>
      <c r="C1340" s="62" t="str">
        <f aca="false">IF($M1340=0,"",INDEX(Classes!$H$6:$H$420,$M1340))</f>
        <v/>
      </c>
      <c r="D1340" s="61" t="str">
        <f aca="false">IF($M1340=0,"",INDEX(Classes!$B$6:$B$420,$M1340))</f>
        <v/>
      </c>
      <c r="E1340" s="61" t="str">
        <f aca="false">IF($M1340=0,"",INDEX(Classes!$C$6:$C$420,$M1340))</f>
        <v/>
      </c>
      <c r="F1340" s="63"/>
      <c r="G1340" s="63"/>
      <c r="H1340" s="60"/>
      <c r="I1340" s="60"/>
      <c r="J1340" s="63"/>
      <c r="K1340" s="61" t="str">
        <f aca="false">IF($P1340=0,"",IF($F1340="Baseline","— Baseline",IF($O1340=0,"No result",IF($N1340=0,"No Start (attainment only)",IF(OR($N1340=1,$O1340=1),"U – needs rule",INDEX(MxBody,MATCH($I1340,MxCurr,0),MATCH($H1340,MxStart,0)))))))</f>
        <v/>
      </c>
      <c r="L1340" s="62" t="str">
        <f aca="false">IF(COUNTA($A1340,$F1340,$G1340,$H1340,$I1340,$J1340)=0,"",IF($M1340=0,"✖ كود الصف غير موجود",IF(ISNA(MATCH($F1340,Lists!$A$2:$A$5,0)),"✖ الفترة غير صحيحة",IF(ISNA(MATCH($G1340,Lists!$B$2:$B$7,0)),"✖ المجموعة غير صحيحة",IF(NOT(OR($H1340="",$N1340&gt;0)),"✖ Start غير صحيح",IF(NOT(OR($I1340="",$I1340="NR",$O1340&gt;0)),"✖ Current غير صحيح",IF(NOT(IF(ISNUMBER($J1340),AND($J1340&gt;=0,$J1340=INT($J1340)),FALSE())),"✖ العدد يجب أن يكون صحيحًا ≥ 0",IF(AND($F1340="Baseline",$H1340&lt;&gt;""),"⚠ Baseline: Start لا يدخل في التقدم",IF($K1340="No Start (attainment only)","ℹ تحصيل فقط (بدون Start)",IF($K1340="U – needs rule","ℹ حالة U تحتاج قاعدة معتمدة",IF($K1340="No result","ℹ بدون نتيجة (يُستبعد من التحصيل)","OK")))))))))))</f>
        <v/>
      </c>
      <c r="M1340" s="64" t="n">
        <f aca="false">IF($A1340="",0,IFERROR(MATCH($A1340,Classes!$A$6:$A$420,0),0))</f>
        <v>0</v>
      </c>
      <c r="N1340" s="64" t="n">
        <f aca="false">IF($H1340="",0,IFERROR(MATCH($H1340,GradeList,0),0))</f>
        <v>0</v>
      </c>
      <c r="O1340" s="64" t="n">
        <f aca="false">IF(OR($I1340="",$I1340="NR"),0,IFERROR(MATCH($I1340,GradeList,0),0))</f>
        <v>0</v>
      </c>
      <c r="P1340" s="64" t="n">
        <f aca="false">IF(AND($M1340&gt;0,ISNUMBER(MATCH($F1340,Lists!$A$2:$A$5,0)),ISNUMBER(MATCH($G1340,Lists!$B$2:$B$7,0)),OR($H1340="",$N1340&gt;0),OR($I1340="",$I1340="NR",$O1340&gt;0),IF(ISNUMBER($J1340),AND($J1340&gt;=0,$J1340=INT($J1340)),FALSE())),$J1340,0)</f>
        <v>0</v>
      </c>
      <c r="Q1340" s="64" t="n">
        <f aca="false">IF(AND($P1340&gt;0,$O1340&gt;0),$P1340,0)</f>
        <v>0</v>
      </c>
      <c r="R1340" s="64" t="n">
        <f aca="false">IF(AND($Q1340&gt;0,$O1340&gt;=AtRank),$Q1340,0)</f>
        <v>0</v>
      </c>
      <c r="S1340" s="64" t="n">
        <f aca="false">IF(AND($Q1340&gt;0,$O1340&gt;=AboveRank),$Q1340,0)</f>
        <v>0</v>
      </c>
      <c r="T1340" s="64" t="n">
        <f aca="false">IF($K1340="Less",$P1340,0)</f>
        <v>0</v>
      </c>
      <c r="U1340" s="64" t="n">
        <f aca="false">IF($K1340="Expected",$P1340,0)</f>
        <v>0</v>
      </c>
      <c r="V1340" s="64" t="n">
        <f aca="false">IF($K1340="Better",$P1340,0)</f>
        <v>0</v>
      </c>
      <c r="W1340" s="64" t="n">
        <f aca="false">IF($K1340="U – needs rule",$P1340,0)</f>
        <v>0</v>
      </c>
      <c r="X1340" s="64" t="n">
        <f aca="false">IF($K1340="No Start (attainment only)",$P1340,0)</f>
        <v>0</v>
      </c>
    </row>
    <row r="1341" customFormat="false" ht="15" hidden="false" customHeight="false" outlineLevel="0" collapsed="false">
      <c r="A1341" s="60"/>
      <c r="B1341" s="61" t="str">
        <f aca="false">IF($M1341=0,"",INDEX(Classes!$E$6:$E$420,$M1341))</f>
        <v/>
      </c>
      <c r="C1341" s="62" t="str">
        <f aca="false">IF($M1341=0,"",INDEX(Classes!$H$6:$H$420,$M1341))</f>
        <v/>
      </c>
      <c r="D1341" s="61" t="str">
        <f aca="false">IF($M1341=0,"",INDEX(Classes!$B$6:$B$420,$M1341))</f>
        <v/>
      </c>
      <c r="E1341" s="61" t="str">
        <f aca="false">IF($M1341=0,"",INDEX(Classes!$C$6:$C$420,$M1341))</f>
        <v/>
      </c>
      <c r="F1341" s="63"/>
      <c r="G1341" s="63"/>
      <c r="H1341" s="60"/>
      <c r="I1341" s="60"/>
      <c r="J1341" s="63"/>
      <c r="K1341" s="61" t="str">
        <f aca="false">IF($P1341=0,"",IF($F1341="Baseline","— Baseline",IF($O1341=0,"No result",IF($N1341=0,"No Start (attainment only)",IF(OR($N1341=1,$O1341=1),"U – needs rule",INDEX(MxBody,MATCH($I1341,MxCurr,0),MATCH($H1341,MxStart,0)))))))</f>
        <v/>
      </c>
      <c r="L1341" s="62" t="str">
        <f aca="false">IF(COUNTA($A1341,$F1341,$G1341,$H1341,$I1341,$J1341)=0,"",IF($M1341=0,"✖ كود الصف غير موجود",IF(ISNA(MATCH($F1341,Lists!$A$2:$A$5,0)),"✖ الفترة غير صحيحة",IF(ISNA(MATCH($G1341,Lists!$B$2:$B$7,0)),"✖ المجموعة غير صحيحة",IF(NOT(OR($H1341="",$N1341&gt;0)),"✖ Start غير صحيح",IF(NOT(OR($I1341="",$I1341="NR",$O1341&gt;0)),"✖ Current غير صحيح",IF(NOT(IF(ISNUMBER($J1341),AND($J1341&gt;=0,$J1341=INT($J1341)),FALSE())),"✖ العدد يجب أن يكون صحيحًا ≥ 0",IF(AND($F1341="Baseline",$H1341&lt;&gt;""),"⚠ Baseline: Start لا يدخل في التقدم",IF($K1341="No Start (attainment only)","ℹ تحصيل فقط (بدون Start)",IF($K1341="U – needs rule","ℹ حالة U تحتاج قاعدة معتمدة",IF($K1341="No result","ℹ بدون نتيجة (يُستبعد من التحصيل)","OK")))))))))))</f>
        <v/>
      </c>
      <c r="M1341" s="64" t="n">
        <f aca="false">IF($A1341="",0,IFERROR(MATCH($A1341,Classes!$A$6:$A$420,0),0))</f>
        <v>0</v>
      </c>
      <c r="N1341" s="64" t="n">
        <f aca="false">IF($H1341="",0,IFERROR(MATCH($H1341,GradeList,0),0))</f>
        <v>0</v>
      </c>
      <c r="O1341" s="64" t="n">
        <f aca="false">IF(OR($I1341="",$I1341="NR"),0,IFERROR(MATCH($I1341,GradeList,0),0))</f>
        <v>0</v>
      </c>
      <c r="P1341" s="64" t="n">
        <f aca="false">IF(AND($M1341&gt;0,ISNUMBER(MATCH($F1341,Lists!$A$2:$A$5,0)),ISNUMBER(MATCH($G1341,Lists!$B$2:$B$7,0)),OR($H1341="",$N1341&gt;0),OR($I1341="",$I1341="NR",$O1341&gt;0),IF(ISNUMBER($J1341),AND($J1341&gt;=0,$J1341=INT($J1341)),FALSE())),$J1341,0)</f>
        <v>0</v>
      </c>
      <c r="Q1341" s="64" t="n">
        <f aca="false">IF(AND($P1341&gt;0,$O1341&gt;0),$P1341,0)</f>
        <v>0</v>
      </c>
      <c r="R1341" s="64" t="n">
        <f aca="false">IF(AND($Q1341&gt;0,$O1341&gt;=AtRank),$Q1341,0)</f>
        <v>0</v>
      </c>
      <c r="S1341" s="64" t="n">
        <f aca="false">IF(AND($Q1341&gt;0,$O1341&gt;=AboveRank),$Q1341,0)</f>
        <v>0</v>
      </c>
      <c r="T1341" s="64" t="n">
        <f aca="false">IF($K1341="Less",$P1341,0)</f>
        <v>0</v>
      </c>
      <c r="U1341" s="64" t="n">
        <f aca="false">IF($K1341="Expected",$P1341,0)</f>
        <v>0</v>
      </c>
      <c r="V1341" s="64" t="n">
        <f aca="false">IF($K1341="Better",$P1341,0)</f>
        <v>0</v>
      </c>
      <c r="W1341" s="64" t="n">
        <f aca="false">IF($K1341="U – needs rule",$P1341,0)</f>
        <v>0</v>
      </c>
      <c r="X1341" s="64" t="n">
        <f aca="false">IF($K1341="No Start (attainment only)",$P1341,0)</f>
        <v>0</v>
      </c>
    </row>
    <row r="1342" customFormat="false" ht="15" hidden="false" customHeight="false" outlineLevel="0" collapsed="false">
      <c r="A1342" s="60"/>
      <c r="B1342" s="61" t="str">
        <f aca="false">IF($M1342=0,"",INDEX(Classes!$E$6:$E$420,$M1342))</f>
        <v/>
      </c>
      <c r="C1342" s="62" t="str">
        <f aca="false">IF($M1342=0,"",INDEX(Classes!$H$6:$H$420,$M1342))</f>
        <v/>
      </c>
      <c r="D1342" s="61" t="str">
        <f aca="false">IF($M1342=0,"",INDEX(Classes!$B$6:$B$420,$M1342))</f>
        <v/>
      </c>
      <c r="E1342" s="61" t="str">
        <f aca="false">IF($M1342=0,"",INDEX(Classes!$C$6:$C$420,$M1342))</f>
        <v/>
      </c>
      <c r="F1342" s="63"/>
      <c r="G1342" s="63"/>
      <c r="H1342" s="60"/>
      <c r="I1342" s="60"/>
      <c r="J1342" s="63"/>
      <c r="K1342" s="61" t="str">
        <f aca="false">IF($P1342=0,"",IF($F1342="Baseline","— Baseline",IF($O1342=0,"No result",IF($N1342=0,"No Start (attainment only)",IF(OR($N1342=1,$O1342=1),"U – needs rule",INDEX(MxBody,MATCH($I1342,MxCurr,0),MATCH($H1342,MxStart,0)))))))</f>
        <v/>
      </c>
      <c r="L1342" s="62" t="str">
        <f aca="false">IF(COUNTA($A1342,$F1342,$G1342,$H1342,$I1342,$J1342)=0,"",IF($M1342=0,"✖ كود الصف غير موجود",IF(ISNA(MATCH($F1342,Lists!$A$2:$A$5,0)),"✖ الفترة غير صحيحة",IF(ISNA(MATCH($G1342,Lists!$B$2:$B$7,0)),"✖ المجموعة غير صحيحة",IF(NOT(OR($H1342="",$N1342&gt;0)),"✖ Start غير صحيح",IF(NOT(OR($I1342="",$I1342="NR",$O1342&gt;0)),"✖ Current غير صحيح",IF(NOT(IF(ISNUMBER($J1342),AND($J1342&gt;=0,$J1342=INT($J1342)),FALSE())),"✖ العدد يجب أن يكون صحيحًا ≥ 0",IF(AND($F1342="Baseline",$H1342&lt;&gt;""),"⚠ Baseline: Start لا يدخل في التقدم",IF($K1342="No Start (attainment only)","ℹ تحصيل فقط (بدون Start)",IF($K1342="U – needs rule","ℹ حالة U تحتاج قاعدة معتمدة",IF($K1342="No result","ℹ بدون نتيجة (يُستبعد من التحصيل)","OK")))))))))))</f>
        <v/>
      </c>
      <c r="M1342" s="64" t="n">
        <f aca="false">IF($A1342="",0,IFERROR(MATCH($A1342,Classes!$A$6:$A$420,0),0))</f>
        <v>0</v>
      </c>
      <c r="N1342" s="64" t="n">
        <f aca="false">IF($H1342="",0,IFERROR(MATCH($H1342,GradeList,0),0))</f>
        <v>0</v>
      </c>
      <c r="O1342" s="64" t="n">
        <f aca="false">IF(OR($I1342="",$I1342="NR"),0,IFERROR(MATCH($I1342,GradeList,0),0))</f>
        <v>0</v>
      </c>
      <c r="P1342" s="64" t="n">
        <f aca="false">IF(AND($M1342&gt;0,ISNUMBER(MATCH($F1342,Lists!$A$2:$A$5,0)),ISNUMBER(MATCH($G1342,Lists!$B$2:$B$7,0)),OR($H1342="",$N1342&gt;0),OR($I1342="",$I1342="NR",$O1342&gt;0),IF(ISNUMBER($J1342),AND($J1342&gt;=0,$J1342=INT($J1342)),FALSE())),$J1342,0)</f>
        <v>0</v>
      </c>
      <c r="Q1342" s="64" t="n">
        <f aca="false">IF(AND($P1342&gt;0,$O1342&gt;0),$P1342,0)</f>
        <v>0</v>
      </c>
      <c r="R1342" s="64" t="n">
        <f aca="false">IF(AND($Q1342&gt;0,$O1342&gt;=AtRank),$Q1342,0)</f>
        <v>0</v>
      </c>
      <c r="S1342" s="64" t="n">
        <f aca="false">IF(AND($Q1342&gt;0,$O1342&gt;=AboveRank),$Q1342,0)</f>
        <v>0</v>
      </c>
      <c r="T1342" s="64" t="n">
        <f aca="false">IF($K1342="Less",$P1342,0)</f>
        <v>0</v>
      </c>
      <c r="U1342" s="64" t="n">
        <f aca="false">IF($K1342="Expected",$P1342,0)</f>
        <v>0</v>
      </c>
      <c r="V1342" s="64" t="n">
        <f aca="false">IF($K1342="Better",$P1342,0)</f>
        <v>0</v>
      </c>
      <c r="W1342" s="64" t="n">
        <f aca="false">IF($K1342="U – needs rule",$P1342,0)</f>
        <v>0</v>
      </c>
      <c r="X1342" s="64" t="n">
        <f aca="false">IF($K1342="No Start (attainment only)",$P1342,0)</f>
        <v>0</v>
      </c>
    </row>
    <row r="1343" customFormat="false" ht="15" hidden="false" customHeight="false" outlineLevel="0" collapsed="false">
      <c r="A1343" s="60"/>
      <c r="B1343" s="61" t="str">
        <f aca="false">IF($M1343=0,"",INDEX(Classes!$E$6:$E$420,$M1343))</f>
        <v/>
      </c>
      <c r="C1343" s="62" t="str">
        <f aca="false">IF($M1343=0,"",INDEX(Classes!$H$6:$H$420,$M1343))</f>
        <v/>
      </c>
      <c r="D1343" s="61" t="str">
        <f aca="false">IF($M1343=0,"",INDEX(Classes!$B$6:$B$420,$M1343))</f>
        <v/>
      </c>
      <c r="E1343" s="61" t="str">
        <f aca="false">IF($M1343=0,"",INDEX(Classes!$C$6:$C$420,$M1343))</f>
        <v/>
      </c>
      <c r="F1343" s="63"/>
      <c r="G1343" s="63"/>
      <c r="H1343" s="60"/>
      <c r="I1343" s="60"/>
      <c r="J1343" s="63"/>
      <c r="K1343" s="61" t="str">
        <f aca="false">IF($P1343=0,"",IF($F1343="Baseline","— Baseline",IF($O1343=0,"No result",IF($N1343=0,"No Start (attainment only)",IF(OR($N1343=1,$O1343=1),"U – needs rule",INDEX(MxBody,MATCH($I1343,MxCurr,0),MATCH($H1343,MxStart,0)))))))</f>
        <v/>
      </c>
      <c r="L1343" s="62" t="str">
        <f aca="false">IF(COUNTA($A1343,$F1343,$G1343,$H1343,$I1343,$J1343)=0,"",IF($M1343=0,"✖ كود الصف غير موجود",IF(ISNA(MATCH($F1343,Lists!$A$2:$A$5,0)),"✖ الفترة غير صحيحة",IF(ISNA(MATCH($G1343,Lists!$B$2:$B$7,0)),"✖ المجموعة غير صحيحة",IF(NOT(OR($H1343="",$N1343&gt;0)),"✖ Start غير صحيح",IF(NOT(OR($I1343="",$I1343="NR",$O1343&gt;0)),"✖ Current غير صحيح",IF(NOT(IF(ISNUMBER($J1343),AND($J1343&gt;=0,$J1343=INT($J1343)),FALSE())),"✖ العدد يجب أن يكون صحيحًا ≥ 0",IF(AND($F1343="Baseline",$H1343&lt;&gt;""),"⚠ Baseline: Start لا يدخل في التقدم",IF($K1343="No Start (attainment only)","ℹ تحصيل فقط (بدون Start)",IF($K1343="U – needs rule","ℹ حالة U تحتاج قاعدة معتمدة",IF($K1343="No result","ℹ بدون نتيجة (يُستبعد من التحصيل)","OK")))))))))))</f>
        <v/>
      </c>
      <c r="M1343" s="64" t="n">
        <f aca="false">IF($A1343="",0,IFERROR(MATCH($A1343,Classes!$A$6:$A$420,0),0))</f>
        <v>0</v>
      </c>
      <c r="N1343" s="64" t="n">
        <f aca="false">IF($H1343="",0,IFERROR(MATCH($H1343,GradeList,0),0))</f>
        <v>0</v>
      </c>
      <c r="O1343" s="64" t="n">
        <f aca="false">IF(OR($I1343="",$I1343="NR"),0,IFERROR(MATCH($I1343,GradeList,0),0))</f>
        <v>0</v>
      </c>
      <c r="P1343" s="64" t="n">
        <f aca="false">IF(AND($M1343&gt;0,ISNUMBER(MATCH($F1343,Lists!$A$2:$A$5,0)),ISNUMBER(MATCH($G1343,Lists!$B$2:$B$7,0)),OR($H1343="",$N1343&gt;0),OR($I1343="",$I1343="NR",$O1343&gt;0),IF(ISNUMBER($J1343),AND($J1343&gt;=0,$J1343=INT($J1343)),FALSE())),$J1343,0)</f>
        <v>0</v>
      </c>
      <c r="Q1343" s="64" t="n">
        <f aca="false">IF(AND($P1343&gt;0,$O1343&gt;0),$P1343,0)</f>
        <v>0</v>
      </c>
      <c r="R1343" s="64" t="n">
        <f aca="false">IF(AND($Q1343&gt;0,$O1343&gt;=AtRank),$Q1343,0)</f>
        <v>0</v>
      </c>
      <c r="S1343" s="64" t="n">
        <f aca="false">IF(AND($Q1343&gt;0,$O1343&gt;=AboveRank),$Q1343,0)</f>
        <v>0</v>
      </c>
      <c r="T1343" s="64" t="n">
        <f aca="false">IF($K1343="Less",$P1343,0)</f>
        <v>0</v>
      </c>
      <c r="U1343" s="64" t="n">
        <f aca="false">IF($K1343="Expected",$P1343,0)</f>
        <v>0</v>
      </c>
      <c r="V1343" s="64" t="n">
        <f aca="false">IF($K1343="Better",$P1343,0)</f>
        <v>0</v>
      </c>
      <c r="W1343" s="64" t="n">
        <f aca="false">IF($K1343="U – needs rule",$P1343,0)</f>
        <v>0</v>
      </c>
      <c r="X1343" s="64" t="n">
        <f aca="false">IF($K1343="No Start (attainment only)",$P1343,0)</f>
        <v>0</v>
      </c>
    </row>
    <row r="1344" customFormat="false" ht="15" hidden="false" customHeight="false" outlineLevel="0" collapsed="false">
      <c r="A1344" s="60"/>
      <c r="B1344" s="61" t="str">
        <f aca="false">IF($M1344=0,"",INDEX(Classes!$E$6:$E$420,$M1344))</f>
        <v/>
      </c>
      <c r="C1344" s="62" t="str">
        <f aca="false">IF($M1344=0,"",INDEX(Classes!$H$6:$H$420,$M1344))</f>
        <v/>
      </c>
      <c r="D1344" s="61" t="str">
        <f aca="false">IF($M1344=0,"",INDEX(Classes!$B$6:$B$420,$M1344))</f>
        <v/>
      </c>
      <c r="E1344" s="61" t="str">
        <f aca="false">IF($M1344=0,"",INDEX(Classes!$C$6:$C$420,$M1344))</f>
        <v/>
      </c>
      <c r="F1344" s="63"/>
      <c r="G1344" s="63"/>
      <c r="H1344" s="60"/>
      <c r="I1344" s="60"/>
      <c r="J1344" s="63"/>
      <c r="K1344" s="61" t="str">
        <f aca="false">IF($P1344=0,"",IF($F1344="Baseline","— Baseline",IF($O1344=0,"No result",IF($N1344=0,"No Start (attainment only)",IF(OR($N1344=1,$O1344=1),"U – needs rule",INDEX(MxBody,MATCH($I1344,MxCurr,0),MATCH($H1344,MxStart,0)))))))</f>
        <v/>
      </c>
      <c r="L1344" s="62" t="str">
        <f aca="false">IF(COUNTA($A1344,$F1344,$G1344,$H1344,$I1344,$J1344)=0,"",IF($M1344=0,"✖ كود الصف غير موجود",IF(ISNA(MATCH($F1344,Lists!$A$2:$A$5,0)),"✖ الفترة غير صحيحة",IF(ISNA(MATCH($G1344,Lists!$B$2:$B$7,0)),"✖ المجموعة غير صحيحة",IF(NOT(OR($H1344="",$N1344&gt;0)),"✖ Start غير صحيح",IF(NOT(OR($I1344="",$I1344="NR",$O1344&gt;0)),"✖ Current غير صحيح",IF(NOT(IF(ISNUMBER($J1344),AND($J1344&gt;=0,$J1344=INT($J1344)),FALSE())),"✖ العدد يجب أن يكون صحيحًا ≥ 0",IF(AND($F1344="Baseline",$H1344&lt;&gt;""),"⚠ Baseline: Start لا يدخل في التقدم",IF($K1344="No Start (attainment only)","ℹ تحصيل فقط (بدون Start)",IF($K1344="U – needs rule","ℹ حالة U تحتاج قاعدة معتمدة",IF($K1344="No result","ℹ بدون نتيجة (يُستبعد من التحصيل)","OK")))))))))))</f>
        <v/>
      </c>
      <c r="M1344" s="64" t="n">
        <f aca="false">IF($A1344="",0,IFERROR(MATCH($A1344,Classes!$A$6:$A$420,0),0))</f>
        <v>0</v>
      </c>
      <c r="N1344" s="64" t="n">
        <f aca="false">IF($H1344="",0,IFERROR(MATCH($H1344,GradeList,0),0))</f>
        <v>0</v>
      </c>
      <c r="O1344" s="64" t="n">
        <f aca="false">IF(OR($I1344="",$I1344="NR"),0,IFERROR(MATCH($I1344,GradeList,0),0))</f>
        <v>0</v>
      </c>
      <c r="P1344" s="64" t="n">
        <f aca="false">IF(AND($M1344&gt;0,ISNUMBER(MATCH($F1344,Lists!$A$2:$A$5,0)),ISNUMBER(MATCH($G1344,Lists!$B$2:$B$7,0)),OR($H1344="",$N1344&gt;0),OR($I1344="",$I1344="NR",$O1344&gt;0),IF(ISNUMBER($J1344),AND($J1344&gt;=0,$J1344=INT($J1344)),FALSE())),$J1344,0)</f>
        <v>0</v>
      </c>
      <c r="Q1344" s="64" t="n">
        <f aca="false">IF(AND($P1344&gt;0,$O1344&gt;0),$P1344,0)</f>
        <v>0</v>
      </c>
      <c r="R1344" s="64" t="n">
        <f aca="false">IF(AND($Q1344&gt;0,$O1344&gt;=AtRank),$Q1344,0)</f>
        <v>0</v>
      </c>
      <c r="S1344" s="64" t="n">
        <f aca="false">IF(AND($Q1344&gt;0,$O1344&gt;=AboveRank),$Q1344,0)</f>
        <v>0</v>
      </c>
      <c r="T1344" s="64" t="n">
        <f aca="false">IF($K1344="Less",$P1344,0)</f>
        <v>0</v>
      </c>
      <c r="U1344" s="64" t="n">
        <f aca="false">IF($K1344="Expected",$P1344,0)</f>
        <v>0</v>
      </c>
      <c r="V1344" s="64" t="n">
        <f aca="false">IF($K1344="Better",$P1344,0)</f>
        <v>0</v>
      </c>
      <c r="W1344" s="64" t="n">
        <f aca="false">IF($K1344="U – needs rule",$P1344,0)</f>
        <v>0</v>
      </c>
      <c r="X1344" s="64" t="n">
        <f aca="false">IF($K1344="No Start (attainment only)",$P1344,0)</f>
        <v>0</v>
      </c>
    </row>
    <row r="1345" customFormat="false" ht="15" hidden="false" customHeight="false" outlineLevel="0" collapsed="false">
      <c r="A1345" s="60"/>
      <c r="B1345" s="61" t="str">
        <f aca="false">IF($M1345=0,"",INDEX(Classes!$E$6:$E$420,$M1345))</f>
        <v/>
      </c>
      <c r="C1345" s="62" t="str">
        <f aca="false">IF($M1345=0,"",INDEX(Classes!$H$6:$H$420,$M1345))</f>
        <v/>
      </c>
      <c r="D1345" s="61" t="str">
        <f aca="false">IF($M1345=0,"",INDEX(Classes!$B$6:$B$420,$M1345))</f>
        <v/>
      </c>
      <c r="E1345" s="61" t="str">
        <f aca="false">IF($M1345=0,"",INDEX(Classes!$C$6:$C$420,$M1345))</f>
        <v/>
      </c>
      <c r="F1345" s="63"/>
      <c r="G1345" s="63"/>
      <c r="H1345" s="60"/>
      <c r="I1345" s="60"/>
      <c r="J1345" s="63"/>
      <c r="K1345" s="61" t="str">
        <f aca="false">IF($P1345=0,"",IF($F1345="Baseline","— Baseline",IF($O1345=0,"No result",IF($N1345=0,"No Start (attainment only)",IF(OR($N1345=1,$O1345=1),"U – needs rule",INDEX(MxBody,MATCH($I1345,MxCurr,0),MATCH($H1345,MxStart,0)))))))</f>
        <v/>
      </c>
      <c r="L1345" s="62" t="str">
        <f aca="false">IF(COUNTA($A1345,$F1345,$G1345,$H1345,$I1345,$J1345)=0,"",IF($M1345=0,"✖ كود الصف غير موجود",IF(ISNA(MATCH($F1345,Lists!$A$2:$A$5,0)),"✖ الفترة غير صحيحة",IF(ISNA(MATCH($G1345,Lists!$B$2:$B$7,0)),"✖ المجموعة غير صحيحة",IF(NOT(OR($H1345="",$N1345&gt;0)),"✖ Start غير صحيح",IF(NOT(OR($I1345="",$I1345="NR",$O1345&gt;0)),"✖ Current غير صحيح",IF(NOT(IF(ISNUMBER($J1345),AND($J1345&gt;=0,$J1345=INT($J1345)),FALSE())),"✖ العدد يجب أن يكون صحيحًا ≥ 0",IF(AND($F1345="Baseline",$H1345&lt;&gt;""),"⚠ Baseline: Start لا يدخل في التقدم",IF($K1345="No Start (attainment only)","ℹ تحصيل فقط (بدون Start)",IF($K1345="U – needs rule","ℹ حالة U تحتاج قاعدة معتمدة",IF($K1345="No result","ℹ بدون نتيجة (يُستبعد من التحصيل)","OK")))))))))))</f>
        <v/>
      </c>
      <c r="M1345" s="64" t="n">
        <f aca="false">IF($A1345="",0,IFERROR(MATCH($A1345,Classes!$A$6:$A$420,0),0))</f>
        <v>0</v>
      </c>
      <c r="N1345" s="64" t="n">
        <f aca="false">IF($H1345="",0,IFERROR(MATCH($H1345,GradeList,0),0))</f>
        <v>0</v>
      </c>
      <c r="O1345" s="64" t="n">
        <f aca="false">IF(OR($I1345="",$I1345="NR"),0,IFERROR(MATCH($I1345,GradeList,0),0))</f>
        <v>0</v>
      </c>
      <c r="P1345" s="64" t="n">
        <f aca="false">IF(AND($M1345&gt;0,ISNUMBER(MATCH($F1345,Lists!$A$2:$A$5,0)),ISNUMBER(MATCH($G1345,Lists!$B$2:$B$7,0)),OR($H1345="",$N1345&gt;0),OR($I1345="",$I1345="NR",$O1345&gt;0),IF(ISNUMBER($J1345),AND($J1345&gt;=0,$J1345=INT($J1345)),FALSE())),$J1345,0)</f>
        <v>0</v>
      </c>
      <c r="Q1345" s="64" t="n">
        <f aca="false">IF(AND($P1345&gt;0,$O1345&gt;0),$P1345,0)</f>
        <v>0</v>
      </c>
      <c r="R1345" s="64" t="n">
        <f aca="false">IF(AND($Q1345&gt;0,$O1345&gt;=AtRank),$Q1345,0)</f>
        <v>0</v>
      </c>
      <c r="S1345" s="64" t="n">
        <f aca="false">IF(AND($Q1345&gt;0,$O1345&gt;=AboveRank),$Q1345,0)</f>
        <v>0</v>
      </c>
      <c r="T1345" s="64" t="n">
        <f aca="false">IF($K1345="Less",$P1345,0)</f>
        <v>0</v>
      </c>
      <c r="U1345" s="64" t="n">
        <f aca="false">IF($K1345="Expected",$P1345,0)</f>
        <v>0</v>
      </c>
      <c r="V1345" s="64" t="n">
        <f aca="false">IF($K1345="Better",$P1345,0)</f>
        <v>0</v>
      </c>
      <c r="W1345" s="64" t="n">
        <f aca="false">IF($K1345="U – needs rule",$P1345,0)</f>
        <v>0</v>
      </c>
      <c r="X1345" s="64" t="n">
        <f aca="false">IF($K1345="No Start (attainment only)",$P1345,0)</f>
        <v>0</v>
      </c>
    </row>
    <row r="1346" customFormat="false" ht="15" hidden="false" customHeight="false" outlineLevel="0" collapsed="false">
      <c r="A1346" s="60"/>
      <c r="B1346" s="61" t="str">
        <f aca="false">IF($M1346=0,"",INDEX(Classes!$E$6:$E$420,$M1346))</f>
        <v/>
      </c>
      <c r="C1346" s="62" t="str">
        <f aca="false">IF($M1346=0,"",INDEX(Classes!$H$6:$H$420,$M1346))</f>
        <v/>
      </c>
      <c r="D1346" s="61" t="str">
        <f aca="false">IF($M1346=0,"",INDEX(Classes!$B$6:$B$420,$M1346))</f>
        <v/>
      </c>
      <c r="E1346" s="61" t="str">
        <f aca="false">IF($M1346=0,"",INDEX(Classes!$C$6:$C$420,$M1346))</f>
        <v/>
      </c>
      <c r="F1346" s="63"/>
      <c r="G1346" s="63"/>
      <c r="H1346" s="60"/>
      <c r="I1346" s="60"/>
      <c r="J1346" s="63"/>
      <c r="K1346" s="61" t="str">
        <f aca="false">IF($P1346=0,"",IF($F1346="Baseline","— Baseline",IF($O1346=0,"No result",IF($N1346=0,"No Start (attainment only)",IF(OR($N1346=1,$O1346=1),"U – needs rule",INDEX(MxBody,MATCH($I1346,MxCurr,0),MATCH($H1346,MxStart,0)))))))</f>
        <v/>
      </c>
      <c r="L1346" s="62" t="str">
        <f aca="false">IF(COUNTA($A1346,$F1346,$G1346,$H1346,$I1346,$J1346)=0,"",IF($M1346=0,"✖ كود الصف غير موجود",IF(ISNA(MATCH($F1346,Lists!$A$2:$A$5,0)),"✖ الفترة غير صحيحة",IF(ISNA(MATCH($G1346,Lists!$B$2:$B$7,0)),"✖ المجموعة غير صحيحة",IF(NOT(OR($H1346="",$N1346&gt;0)),"✖ Start غير صحيح",IF(NOT(OR($I1346="",$I1346="NR",$O1346&gt;0)),"✖ Current غير صحيح",IF(NOT(IF(ISNUMBER($J1346),AND($J1346&gt;=0,$J1346=INT($J1346)),FALSE())),"✖ العدد يجب أن يكون صحيحًا ≥ 0",IF(AND($F1346="Baseline",$H1346&lt;&gt;""),"⚠ Baseline: Start لا يدخل في التقدم",IF($K1346="No Start (attainment only)","ℹ تحصيل فقط (بدون Start)",IF($K1346="U – needs rule","ℹ حالة U تحتاج قاعدة معتمدة",IF($K1346="No result","ℹ بدون نتيجة (يُستبعد من التحصيل)","OK")))))))))))</f>
        <v/>
      </c>
      <c r="M1346" s="64" t="n">
        <f aca="false">IF($A1346="",0,IFERROR(MATCH($A1346,Classes!$A$6:$A$420,0),0))</f>
        <v>0</v>
      </c>
      <c r="N1346" s="64" t="n">
        <f aca="false">IF($H1346="",0,IFERROR(MATCH($H1346,GradeList,0),0))</f>
        <v>0</v>
      </c>
      <c r="O1346" s="64" t="n">
        <f aca="false">IF(OR($I1346="",$I1346="NR"),0,IFERROR(MATCH($I1346,GradeList,0),0))</f>
        <v>0</v>
      </c>
      <c r="P1346" s="64" t="n">
        <f aca="false">IF(AND($M1346&gt;0,ISNUMBER(MATCH($F1346,Lists!$A$2:$A$5,0)),ISNUMBER(MATCH($G1346,Lists!$B$2:$B$7,0)),OR($H1346="",$N1346&gt;0),OR($I1346="",$I1346="NR",$O1346&gt;0),IF(ISNUMBER($J1346),AND($J1346&gt;=0,$J1346=INT($J1346)),FALSE())),$J1346,0)</f>
        <v>0</v>
      </c>
      <c r="Q1346" s="64" t="n">
        <f aca="false">IF(AND($P1346&gt;0,$O1346&gt;0),$P1346,0)</f>
        <v>0</v>
      </c>
      <c r="R1346" s="64" t="n">
        <f aca="false">IF(AND($Q1346&gt;0,$O1346&gt;=AtRank),$Q1346,0)</f>
        <v>0</v>
      </c>
      <c r="S1346" s="64" t="n">
        <f aca="false">IF(AND($Q1346&gt;0,$O1346&gt;=AboveRank),$Q1346,0)</f>
        <v>0</v>
      </c>
      <c r="T1346" s="64" t="n">
        <f aca="false">IF($K1346="Less",$P1346,0)</f>
        <v>0</v>
      </c>
      <c r="U1346" s="64" t="n">
        <f aca="false">IF($K1346="Expected",$P1346,0)</f>
        <v>0</v>
      </c>
      <c r="V1346" s="64" t="n">
        <f aca="false">IF($K1346="Better",$P1346,0)</f>
        <v>0</v>
      </c>
      <c r="W1346" s="64" t="n">
        <f aca="false">IF($K1346="U – needs rule",$P1346,0)</f>
        <v>0</v>
      </c>
      <c r="X1346" s="64" t="n">
        <f aca="false">IF($K1346="No Start (attainment only)",$P1346,0)</f>
        <v>0</v>
      </c>
    </row>
    <row r="1347" customFormat="false" ht="15" hidden="false" customHeight="false" outlineLevel="0" collapsed="false">
      <c r="A1347" s="60"/>
      <c r="B1347" s="61" t="str">
        <f aca="false">IF($M1347=0,"",INDEX(Classes!$E$6:$E$420,$M1347))</f>
        <v/>
      </c>
      <c r="C1347" s="62" t="str">
        <f aca="false">IF($M1347=0,"",INDEX(Classes!$H$6:$H$420,$M1347))</f>
        <v/>
      </c>
      <c r="D1347" s="61" t="str">
        <f aca="false">IF($M1347=0,"",INDEX(Classes!$B$6:$B$420,$M1347))</f>
        <v/>
      </c>
      <c r="E1347" s="61" t="str">
        <f aca="false">IF($M1347=0,"",INDEX(Classes!$C$6:$C$420,$M1347))</f>
        <v/>
      </c>
      <c r="F1347" s="63"/>
      <c r="G1347" s="63"/>
      <c r="H1347" s="60"/>
      <c r="I1347" s="60"/>
      <c r="J1347" s="63"/>
      <c r="K1347" s="61" t="str">
        <f aca="false">IF($P1347=0,"",IF($F1347="Baseline","— Baseline",IF($O1347=0,"No result",IF($N1347=0,"No Start (attainment only)",IF(OR($N1347=1,$O1347=1),"U – needs rule",INDEX(MxBody,MATCH($I1347,MxCurr,0),MATCH($H1347,MxStart,0)))))))</f>
        <v/>
      </c>
      <c r="L1347" s="62" t="str">
        <f aca="false">IF(COUNTA($A1347,$F1347,$G1347,$H1347,$I1347,$J1347)=0,"",IF($M1347=0,"✖ كود الصف غير موجود",IF(ISNA(MATCH($F1347,Lists!$A$2:$A$5,0)),"✖ الفترة غير صحيحة",IF(ISNA(MATCH($G1347,Lists!$B$2:$B$7,0)),"✖ المجموعة غير صحيحة",IF(NOT(OR($H1347="",$N1347&gt;0)),"✖ Start غير صحيح",IF(NOT(OR($I1347="",$I1347="NR",$O1347&gt;0)),"✖ Current غير صحيح",IF(NOT(IF(ISNUMBER($J1347),AND($J1347&gt;=0,$J1347=INT($J1347)),FALSE())),"✖ العدد يجب أن يكون صحيحًا ≥ 0",IF(AND($F1347="Baseline",$H1347&lt;&gt;""),"⚠ Baseline: Start لا يدخل في التقدم",IF($K1347="No Start (attainment only)","ℹ تحصيل فقط (بدون Start)",IF($K1347="U – needs rule","ℹ حالة U تحتاج قاعدة معتمدة",IF($K1347="No result","ℹ بدون نتيجة (يُستبعد من التحصيل)","OK")))))))))))</f>
        <v/>
      </c>
      <c r="M1347" s="64" t="n">
        <f aca="false">IF($A1347="",0,IFERROR(MATCH($A1347,Classes!$A$6:$A$420,0),0))</f>
        <v>0</v>
      </c>
      <c r="N1347" s="64" t="n">
        <f aca="false">IF($H1347="",0,IFERROR(MATCH($H1347,GradeList,0),0))</f>
        <v>0</v>
      </c>
      <c r="O1347" s="64" t="n">
        <f aca="false">IF(OR($I1347="",$I1347="NR"),0,IFERROR(MATCH($I1347,GradeList,0),0))</f>
        <v>0</v>
      </c>
      <c r="P1347" s="64" t="n">
        <f aca="false">IF(AND($M1347&gt;0,ISNUMBER(MATCH($F1347,Lists!$A$2:$A$5,0)),ISNUMBER(MATCH($G1347,Lists!$B$2:$B$7,0)),OR($H1347="",$N1347&gt;0),OR($I1347="",$I1347="NR",$O1347&gt;0),IF(ISNUMBER($J1347),AND($J1347&gt;=0,$J1347=INT($J1347)),FALSE())),$J1347,0)</f>
        <v>0</v>
      </c>
      <c r="Q1347" s="64" t="n">
        <f aca="false">IF(AND($P1347&gt;0,$O1347&gt;0),$P1347,0)</f>
        <v>0</v>
      </c>
      <c r="R1347" s="64" t="n">
        <f aca="false">IF(AND($Q1347&gt;0,$O1347&gt;=AtRank),$Q1347,0)</f>
        <v>0</v>
      </c>
      <c r="S1347" s="64" t="n">
        <f aca="false">IF(AND($Q1347&gt;0,$O1347&gt;=AboveRank),$Q1347,0)</f>
        <v>0</v>
      </c>
      <c r="T1347" s="64" t="n">
        <f aca="false">IF($K1347="Less",$P1347,0)</f>
        <v>0</v>
      </c>
      <c r="U1347" s="64" t="n">
        <f aca="false">IF($K1347="Expected",$P1347,0)</f>
        <v>0</v>
      </c>
      <c r="V1347" s="64" t="n">
        <f aca="false">IF($K1347="Better",$P1347,0)</f>
        <v>0</v>
      </c>
      <c r="W1347" s="64" t="n">
        <f aca="false">IF($K1347="U – needs rule",$P1347,0)</f>
        <v>0</v>
      </c>
      <c r="X1347" s="64" t="n">
        <f aca="false">IF($K1347="No Start (attainment only)",$P1347,0)</f>
        <v>0</v>
      </c>
    </row>
    <row r="1348" customFormat="false" ht="15" hidden="false" customHeight="false" outlineLevel="0" collapsed="false">
      <c r="A1348" s="60"/>
      <c r="B1348" s="61" t="str">
        <f aca="false">IF($M1348=0,"",INDEX(Classes!$E$6:$E$420,$M1348))</f>
        <v/>
      </c>
      <c r="C1348" s="62" t="str">
        <f aca="false">IF($M1348=0,"",INDEX(Classes!$H$6:$H$420,$M1348))</f>
        <v/>
      </c>
      <c r="D1348" s="61" t="str">
        <f aca="false">IF($M1348=0,"",INDEX(Classes!$B$6:$B$420,$M1348))</f>
        <v/>
      </c>
      <c r="E1348" s="61" t="str">
        <f aca="false">IF($M1348=0,"",INDEX(Classes!$C$6:$C$420,$M1348))</f>
        <v/>
      </c>
      <c r="F1348" s="63"/>
      <c r="G1348" s="63"/>
      <c r="H1348" s="60"/>
      <c r="I1348" s="60"/>
      <c r="J1348" s="63"/>
      <c r="K1348" s="61" t="str">
        <f aca="false">IF($P1348=0,"",IF($F1348="Baseline","— Baseline",IF($O1348=0,"No result",IF($N1348=0,"No Start (attainment only)",IF(OR($N1348=1,$O1348=1),"U – needs rule",INDEX(MxBody,MATCH($I1348,MxCurr,0),MATCH($H1348,MxStart,0)))))))</f>
        <v/>
      </c>
      <c r="L1348" s="62" t="str">
        <f aca="false">IF(COUNTA($A1348,$F1348,$G1348,$H1348,$I1348,$J1348)=0,"",IF($M1348=0,"✖ كود الصف غير موجود",IF(ISNA(MATCH($F1348,Lists!$A$2:$A$5,0)),"✖ الفترة غير صحيحة",IF(ISNA(MATCH($G1348,Lists!$B$2:$B$7,0)),"✖ المجموعة غير صحيحة",IF(NOT(OR($H1348="",$N1348&gt;0)),"✖ Start غير صحيح",IF(NOT(OR($I1348="",$I1348="NR",$O1348&gt;0)),"✖ Current غير صحيح",IF(NOT(IF(ISNUMBER($J1348),AND($J1348&gt;=0,$J1348=INT($J1348)),FALSE())),"✖ العدد يجب أن يكون صحيحًا ≥ 0",IF(AND($F1348="Baseline",$H1348&lt;&gt;""),"⚠ Baseline: Start لا يدخل في التقدم",IF($K1348="No Start (attainment only)","ℹ تحصيل فقط (بدون Start)",IF($K1348="U – needs rule","ℹ حالة U تحتاج قاعدة معتمدة",IF($K1348="No result","ℹ بدون نتيجة (يُستبعد من التحصيل)","OK")))))))))))</f>
        <v/>
      </c>
      <c r="M1348" s="64" t="n">
        <f aca="false">IF($A1348="",0,IFERROR(MATCH($A1348,Classes!$A$6:$A$420,0),0))</f>
        <v>0</v>
      </c>
      <c r="N1348" s="64" t="n">
        <f aca="false">IF($H1348="",0,IFERROR(MATCH($H1348,GradeList,0),0))</f>
        <v>0</v>
      </c>
      <c r="O1348" s="64" t="n">
        <f aca="false">IF(OR($I1348="",$I1348="NR"),0,IFERROR(MATCH($I1348,GradeList,0),0))</f>
        <v>0</v>
      </c>
      <c r="P1348" s="64" t="n">
        <f aca="false">IF(AND($M1348&gt;0,ISNUMBER(MATCH($F1348,Lists!$A$2:$A$5,0)),ISNUMBER(MATCH($G1348,Lists!$B$2:$B$7,0)),OR($H1348="",$N1348&gt;0),OR($I1348="",$I1348="NR",$O1348&gt;0),IF(ISNUMBER($J1348),AND($J1348&gt;=0,$J1348=INT($J1348)),FALSE())),$J1348,0)</f>
        <v>0</v>
      </c>
      <c r="Q1348" s="64" t="n">
        <f aca="false">IF(AND($P1348&gt;0,$O1348&gt;0),$P1348,0)</f>
        <v>0</v>
      </c>
      <c r="R1348" s="64" t="n">
        <f aca="false">IF(AND($Q1348&gt;0,$O1348&gt;=AtRank),$Q1348,0)</f>
        <v>0</v>
      </c>
      <c r="S1348" s="64" t="n">
        <f aca="false">IF(AND($Q1348&gt;0,$O1348&gt;=AboveRank),$Q1348,0)</f>
        <v>0</v>
      </c>
      <c r="T1348" s="64" t="n">
        <f aca="false">IF($K1348="Less",$P1348,0)</f>
        <v>0</v>
      </c>
      <c r="U1348" s="64" t="n">
        <f aca="false">IF($K1348="Expected",$P1348,0)</f>
        <v>0</v>
      </c>
      <c r="V1348" s="64" t="n">
        <f aca="false">IF($K1348="Better",$P1348,0)</f>
        <v>0</v>
      </c>
      <c r="W1348" s="64" t="n">
        <f aca="false">IF($K1348="U – needs rule",$P1348,0)</f>
        <v>0</v>
      </c>
      <c r="X1348" s="64" t="n">
        <f aca="false">IF($K1348="No Start (attainment only)",$P1348,0)</f>
        <v>0</v>
      </c>
    </row>
    <row r="1349" customFormat="false" ht="15" hidden="false" customHeight="false" outlineLevel="0" collapsed="false">
      <c r="A1349" s="60"/>
      <c r="B1349" s="61" t="str">
        <f aca="false">IF($M1349=0,"",INDEX(Classes!$E$6:$E$420,$M1349))</f>
        <v/>
      </c>
      <c r="C1349" s="62" t="str">
        <f aca="false">IF($M1349=0,"",INDEX(Classes!$H$6:$H$420,$M1349))</f>
        <v/>
      </c>
      <c r="D1349" s="61" t="str">
        <f aca="false">IF($M1349=0,"",INDEX(Classes!$B$6:$B$420,$M1349))</f>
        <v/>
      </c>
      <c r="E1349" s="61" t="str">
        <f aca="false">IF($M1349=0,"",INDEX(Classes!$C$6:$C$420,$M1349))</f>
        <v/>
      </c>
      <c r="F1349" s="63"/>
      <c r="G1349" s="63"/>
      <c r="H1349" s="60"/>
      <c r="I1349" s="60"/>
      <c r="J1349" s="63"/>
      <c r="K1349" s="61" t="str">
        <f aca="false">IF($P1349=0,"",IF($F1349="Baseline","— Baseline",IF($O1349=0,"No result",IF($N1349=0,"No Start (attainment only)",IF(OR($N1349=1,$O1349=1),"U – needs rule",INDEX(MxBody,MATCH($I1349,MxCurr,0),MATCH($H1349,MxStart,0)))))))</f>
        <v/>
      </c>
      <c r="L1349" s="62" t="str">
        <f aca="false">IF(COUNTA($A1349,$F1349,$G1349,$H1349,$I1349,$J1349)=0,"",IF($M1349=0,"✖ كود الصف غير موجود",IF(ISNA(MATCH($F1349,Lists!$A$2:$A$5,0)),"✖ الفترة غير صحيحة",IF(ISNA(MATCH($G1349,Lists!$B$2:$B$7,0)),"✖ المجموعة غير صحيحة",IF(NOT(OR($H1349="",$N1349&gt;0)),"✖ Start غير صحيح",IF(NOT(OR($I1349="",$I1349="NR",$O1349&gt;0)),"✖ Current غير صحيح",IF(NOT(IF(ISNUMBER($J1349),AND($J1349&gt;=0,$J1349=INT($J1349)),FALSE())),"✖ العدد يجب أن يكون صحيحًا ≥ 0",IF(AND($F1349="Baseline",$H1349&lt;&gt;""),"⚠ Baseline: Start لا يدخل في التقدم",IF($K1349="No Start (attainment only)","ℹ تحصيل فقط (بدون Start)",IF($K1349="U – needs rule","ℹ حالة U تحتاج قاعدة معتمدة",IF($K1349="No result","ℹ بدون نتيجة (يُستبعد من التحصيل)","OK")))))))))))</f>
        <v/>
      </c>
      <c r="M1349" s="64" t="n">
        <f aca="false">IF($A1349="",0,IFERROR(MATCH($A1349,Classes!$A$6:$A$420,0),0))</f>
        <v>0</v>
      </c>
      <c r="N1349" s="64" t="n">
        <f aca="false">IF($H1349="",0,IFERROR(MATCH($H1349,GradeList,0),0))</f>
        <v>0</v>
      </c>
      <c r="O1349" s="64" t="n">
        <f aca="false">IF(OR($I1349="",$I1349="NR"),0,IFERROR(MATCH($I1349,GradeList,0),0))</f>
        <v>0</v>
      </c>
      <c r="P1349" s="64" t="n">
        <f aca="false">IF(AND($M1349&gt;0,ISNUMBER(MATCH($F1349,Lists!$A$2:$A$5,0)),ISNUMBER(MATCH($G1349,Lists!$B$2:$B$7,0)),OR($H1349="",$N1349&gt;0),OR($I1349="",$I1349="NR",$O1349&gt;0),IF(ISNUMBER($J1349),AND($J1349&gt;=0,$J1349=INT($J1349)),FALSE())),$J1349,0)</f>
        <v>0</v>
      </c>
      <c r="Q1349" s="64" t="n">
        <f aca="false">IF(AND($P1349&gt;0,$O1349&gt;0),$P1349,0)</f>
        <v>0</v>
      </c>
      <c r="R1349" s="64" t="n">
        <f aca="false">IF(AND($Q1349&gt;0,$O1349&gt;=AtRank),$Q1349,0)</f>
        <v>0</v>
      </c>
      <c r="S1349" s="64" t="n">
        <f aca="false">IF(AND($Q1349&gt;0,$O1349&gt;=AboveRank),$Q1349,0)</f>
        <v>0</v>
      </c>
      <c r="T1349" s="64" t="n">
        <f aca="false">IF($K1349="Less",$P1349,0)</f>
        <v>0</v>
      </c>
      <c r="U1349" s="64" t="n">
        <f aca="false">IF($K1349="Expected",$P1349,0)</f>
        <v>0</v>
      </c>
      <c r="V1349" s="64" t="n">
        <f aca="false">IF($K1349="Better",$P1349,0)</f>
        <v>0</v>
      </c>
      <c r="W1349" s="64" t="n">
        <f aca="false">IF($K1349="U – needs rule",$P1349,0)</f>
        <v>0</v>
      </c>
      <c r="X1349" s="64" t="n">
        <f aca="false">IF($K1349="No Start (attainment only)",$P1349,0)</f>
        <v>0</v>
      </c>
    </row>
    <row r="1350" customFormat="false" ht="15" hidden="false" customHeight="false" outlineLevel="0" collapsed="false">
      <c r="A1350" s="60"/>
      <c r="B1350" s="61" t="str">
        <f aca="false">IF($M1350=0,"",INDEX(Classes!$E$6:$E$420,$M1350))</f>
        <v/>
      </c>
      <c r="C1350" s="62" t="str">
        <f aca="false">IF($M1350=0,"",INDEX(Classes!$H$6:$H$420,$M1350))</f>
        <v/>
      </c>
      <c r="D1350" s="61" t="str">
        <f aca="false">IF($M1350=0,"",INDEX(Classes!$B$6:$B$420,$M1350))</f>
        <v/>
      </c>
      <c r="E1350" s="61" t="str">
        <f aca="false">IF($M1350=0,"",INDEX(Classes!$C$6:$C$420,$M1350))</f>
        <v/>
      </c>
      <c r="F1350" s="63"/>
      <c r="G1350" s="63"/>
      <c r="H1350" s="60"/>
      <c r="I1350" s="60"/>
      <c r="J1350" s="63"/>
      <c r="K1350" s="61" t="str">
        <f aca="false">IF($P1350=0,"",IF($F1350="Baseline","— Baseline",IF($O1350=0,"No result",IF($N1350=0,"No Start (attainment only)",IF(OR($N1350=1,$O1350=1),"U – needs rule",INDEX(MxBody,MATCH($I1350,MxCurr,0),MATCH($H1350,MxStart,0)))))))</f>
        <v/>
      </c>
      <c r="L1350" s="62" t="str">
        <f aca="false">IF(COUNTA($A1350,$F1350,$G1350,$H1350,$I1350,$J1350)=0,"",IF($M1350=0,"✖ كود الصف غير موجود",IF(ISNA(MATCH($F1350,Lists!$A$2:$A$5,0)),"✖ الفترة غير صحيحة",IF(ISNA(MATCH($G1350,Lists!$B$2:$B$7,0)),"✖ المجموعة غير صحيحة",IF(NOT(OR($H1350="",$N1350&gt;0)),"✖ Start غير صحيح",IF(NOT(OR($I1350="",$I1350="NR",$O1350&gt;0)),"✖ Current غير صحيح",IF(NOT(IF(ISNUMBER($J1350),AND($J1350&gt;=0,$J1350=INT($J1350)),FALSE())),"✖ العدد يجب أن يكون صحيحًا ≥ 0",IF(AND($F1350="Baseline",$H1350&lt;&gt;""),"⚠ Baseline: Start لا يدخل في التقدم",IF($K1350="No Start (attainment only)","ℹ تحصيل فقط (بدون Start)",IF($K1350="U – needs rule","ℹ حالة U تحتاج قاعدة معتمدة",IF($K1350="No result","ℹ بدون نتيجة (يُستبعد من التحصيل)","OK")))))))))))</f>
        <v/>
      </c>
      <c r="M1350" s="64" t="n">
        <f aca="false">IF($A1350="",0,IFERROR(MATCH($A1350,Classes!$A$6:$A$420,0),0))</f>
        <v>0</v>
      </c>
      <c r="N1350" s="64" t="n">
        <f aca="false">IF($H1350="",0,IFERROR(MATCH($H1350,GradeList,0),0))</f>
        <v>0</v>
      </c>
      <c r="O1350" s="64" t="n">
        <f aca="false">IF(OR($I1350="",$I1350="NR"),0,IFERROR(MATCH($I1350,GradeList,0),0))</f>
        <v>0</v>
      </c>
      <c r="P1350" s="64" t="n">
        <f aca="false">IF(AND($M1350&gt;0,ISNUMBER(MATCH($F1350,Lists!$A$2:$A$5,0)),ISNUMBER(MATCH($G1350,Lists!$B$2:$B$7,0)),OR($H1350="",$N1350&gt;0),OR($I1350="",$I1350="NR",$O1350&gt;0),IF(ISNUMBER($J1350),AND($J1350&gt;=0,$J1350=INT($J1350)),FALSE())),$J1350,0)</f>
        <v>0</v>
      </c>
      <c r="Q1350" s="64" t="n">
        <f aca="false">IF(AND($P1350&gt;0,$O1350&gt;0),$P1350,0)</f>
        <v>0</v>
      </c>
      <c r="R1350" s="64" t="n">
        <f aca="false">IF(AND($Q1350&gt;0,$O1350&gt;=AtRank),$Q1350,0)</f>
        <v>0</v>
      </c>
      <c r="S1350" s="64" t="n">
        <f aca="false">IF(AND($Q1350&gt;0,$O1350&gt;=AboveRank),$Q1350,0)</f>
        <v>0</v>
      </c>
      <c r="T1350" s="64" t="n">
        <f aca="false">IF($K1350="Less",$P1350,0)</f>
        <v>0</v>
      </c>
      <c r="U1350" s="64" t="n">
        <f aca="false">IF($K1350="Expected",$P1350,0)</f>
        <v>0</v>
      </c>
      <c r="V1350" s="64" t="n">
        <f aca="false">IF($K1350="Better",$P1350,0)</f>
        <v>0</v>
      </c>
      <c r="W1350" s="64" t="n">
        <f aca="false">IF($K1350="U – needs rule",$P1350,0)</f>
        <v>0</v>
      </c>
      <c r="X1350" s="64" t="n">
        <f aca="false">IF($K1350="No Start (attainment only)",$P1350,0)</f>
        <v>0</v>
      </c>
    </row>
    <row r="1351" customFormat="false" ht="15" hidden="false" customHeight="false" outlineLevel="0" collapsed="false">
      <c r="A1351" s="60"/>
      <c r="B1351" s="61" t="str">
        <f aca="false">IF($M1351=0,"",INDEX(Classes!$E$6:$E$420,$M1351))</f>
        <v/>
      </c>
      <c r="C1351" s="62" t="str">
        <f aca="false">IF($M1351=0,"",INDEX(Classes!$H$6:$H$420,$M1351))</f>
        <v/>
      </c>
      <c r="D1351" s="61" t="str">
        <f aca="false">IF($M1351=0,"",INDEX(Classes!$B$6:$B$420,$M1351))</f>
        <v/>
      </c>
      <c r="E1351" s="61" t="str">
        <f aca="false">IF($M1351=0,"",INDEX(Classes!$C$6:$C$420,$M1351))</f>
        <v/>
      </c>
      <c r="F1351" s="63"/>
      <c r="G1351" s="63"/>
      <c r="H1351" s="60"/>
      <c r="I1351" s="60"/>
      <c r="J1351" s="63"/>
      <c r="K1351" s="61" t="str">
        <f aca="false">IF($P1351=0,"",IF($F1351="Baseline","— Baseline",IF($O1351=0,"No result",IF($N1351=0,"No Start (attainment only)",IF(OR($N1351=1,$O1351=1),"U – needs rule",INDEX(MxBody,MATCH($I1351,MxCurr,0),MATCH($H1351,MxStart,0)))))))</f>
        <v/>
      </c>
      <c r="L1351" s="62" t="str">
        <f aca="false">IF(COUNTA($A1351,$F1351,$G1351,$H1351,$I1351,$J1351)=0,"",IF($M1351=0,"✖ كود الصف غير موجود",IF(ISNA(MATCH($F1351,Lists!$A$2:$A$5,0)),"✖ الفترة غير صحيحة",IF(ISNA(MATCH($G1351,Lists!$B$2:$B$7,0)),"✖ المجموعة غير صحيحة",IF(NOT(OR($H1351="",$N1351&gt;0)),"✖ Start غير صحيح",IF(NOT(OR($I1351="",$I1351="NR",$O1351&gt;0)),"✖ Current غير صحيح",IF(NOT(IF(ISNUMBER($J1351),AND($J1351&gt;=0,$J1351=INT($J1351)),FALSE())),"✖ العدد يجب أن يكون صحيحًا ≥ 0",IF(AND($F1351="Baseline",$H1351&lt;&gt;""),"⚠ Baseline: Start لا يدخل في التقدم",IF($K1351="No Start (attainment only)","ℹ تحصيل فقط (بدون Start)",IF($K1351="U – needs rule","ℹ حالة U تحتاج قاعدة معتمدة",IF($K1351="No result","ℹ بدون نتيجة (يُستبعد من التحصيل)","OK")))))))))))</f>
        <v/>
      </c>
      <c r="M1351" s="64" t="n">
        <f aca="false">IF($A1351="",0,IFERROR(MATCH($A1351,Classes!$A$6:$A$420,0),0))</f>
        <v>0</v>
      </c>
      <c r="N1351" s="64" t="n">
        <f aca="false">IF($H1351="",0,IFERROR(MATCH($H1351,GradeList,0),0))</f>
        <v>0</v>
      </c>
      <c r="O1351" s="64" t="n">
        <f aca="false">IF(OR($I1351="",$I1351="NR"),0,IFERROR(MATCH($I1351,GradeList,0),0))</f>
        <v>0</v>
      </c>
      <c r="P1351" s="64" t="n">
        <f aca="false">IF(AND($M1351&gt;0,ISNUMBER(MATCH($F1351,Lists!$A$2:$A$5,0)),ISNUMBER(MATCH($G1351,Lists!$B$2:$B$7,0)),OR($H1351="",$N1351&gt;0),OR($I1351="",$I1351="NR",$O1351&gt;0),IF(ISNUMBER($J1351),AND($J1351&gt;=0,$J1351=INT($J1351)),FALSE())),$J1351,0)</f>
        <v>0</v>
      </c>
      <c r="Q1351" s="64" t="n">
        <f aca="false">IF(AND($P1351&gt;0,$O1351&gt;0),$P1351,0)</f>
        <v>0</v>
      </c>
      <c r="R1351" s="64" t="n">
        <f aca="false">IF(AND($Q1351&gt;0,$O1351&gt;=AtRank),$Q1351,0)</f>
        <v>0</v>
      </c>
      <c r="S1351" s="64" t="n">
        <f aca="false">IF(AND($Q1351&gt;0,$O1351&gt;=AboveRank),$Q1351,0)</f>
        <v>0</v>
      </c>
      <c r="T1351" s="64" t="n">
        <f aca="false">IF($K1351="Less",$P1351,0)</f>
        <v>0</v>
      </c>
      <c r="U1351" s="64" t="n">
        <f aca="false">IF($K1351="Expected",$P1351,0)</f>
        <v>0</v>
      </c>
      <c r="V1351" s="64" t="n">
        <f aca="false">IF($K1351="Better",$P1351,0)</f>
        <v>0</v>
      </c>
      <c r="W1351" s="64" t="n">
        <f aca="false">IF($K1351="U – needs rule",$P1351,0)</f>
        <v>0</v>
      </c>
      <c r="X1351" s="64" t="n">
        <f aca="false">IF($K1351="No Start (attainment only)",$P1351,0)</f>
        <v>0</v>
      </c>
    </row>
    <row r="1352" customFormat="false" ht="15" hidden="false" customHeight="false" outlineLevel="0" collapsed="false">
      <c r="A1352" s="60"/>
      <c r="B1352" s="61" t="str">
        <f aca="false">IF($M1352=0,"",INDEX(Classes!$E$6:$E$420,$M1352))</f>
        <v/>
      </c>
      <c r="C1352" s="62" t="str">
        <f aca="false">IF($M1352=0,"",INDEX(Classes!$H$6:$H$420,$M1352))</f>
        <v/>
      </c>
      <c r="D1352" s="61" t="str">
        <f aca="false">IF($M1352=0,"",INDEX(Classes!$B$6:$B$420,$M1352))</f>
        <v/>
      </c>
      <c r="E1352" s="61" t="str">
        <f aca="false">IF($M1352=0,"",INDEX(Classes!$C$6:$C$420,$M1352))</f>
        <v/>
      </c>
      <c r="F1352" s="63"/>
      <c r="G1352" s="63"/>
      <c r="H1352" s="60"/>
      <c r="I1352" s="60"/>
      <c r="J1352" s="63"/>
      <c r="K1352" s="61" t="str">
        <f aca="false">IF($P1352=0,"",IF($F1352="Baseline","— Baseline",IF($O1352=0,"No result",IF($N1352=0,"No Start (attainment only)",IF(OR($N1352=1,$O1352=1),"U – needs rule",INDEX(MxBody,MATCH($I1352,MxCurr,0),MATCH($H1352,MxStart,0)))))))</f>
        <v/>
      </c>
      <c r="L1352" s="62" t="str">
        <f aca="false">IF(COUNTA($A1352,$F1352,$G1352,$H1352,$I1352,$J1352)=0,"",IF($M1352=0,"✖ كود الصف غير موجود",IF(ISNA(MATCH($F1352,Lists!$A$2:$A$5,0)),"✖ الفترة غير صحيحة",IF(ISNA(MATCH($G1352,Lists!$B$2:$B$7,0)),"✖ المجموعة غير صحيحة",IF(NOT(OR($H1352="",$N1352&gt;0)),"✖ Start غير صحيح",IF(NOT(OR($I1352="",$I1352="NR",$O1352&gt;0)),"✖ Current غير صحيح",IF(NOT(IF(ISNUMBER($J1352),AND($J1352&gt;=0,$J1352=INT($J1352)),FALSE())),"✖ العدد يجب أن يكون صحيحًا ≥ 0",IF(AND($F1352="Baseline",$H1352&lt;&gt;""),"⚠ Baseline: Start لا يدخل في التقدم",IF($K1352="No Start (attainment only)","ℹ تحصيل فقط (بدون Start)",IF($K1352="U – needs rule","ℹ حالة U تحتاج قاعدة معتمدة",IF($K1352="No result","ℹ بدون نتيجة (يُستبعد من التحصيل)","OK")))))))))))</f>
        <v/>
      </c>
      <c r="M1352" s="64" t="n">
        <f aca="false">IF($A1352="",0,IFERROR(MATCH($A1352,Classes!$A$6:$A$420,0),0))</f>
        <v>0</v>
      </c>
      <c r="N1352" s="64" t="n">
        <f aca="false">IF($H1352="",0,IFERROR(MATCH($H1352,GradeList,0),0))</f>
        <v>0</v>
      </c>
      <c r="O1352" s="64" t="n">
        <f aca="false">IF(OR($I1352="",$I1352="NR"),0,IFERROR(MATCH($I1352,GradeList,0),0))</f>
        <v>0</v>
      </c>
      <c r="P1352" s="64" t="n">
        <f aca="false">IF(AND($M1352&gt;0,ISNUMBER(MATCH($F1352,Lists!$A$2:$A$5,0)),ISNUMBER(MATCH($G1352,Lists!$B$2:$B$7,0)),OR($H1352="",$N1352&gt;0),OR($I1352="",$I1352="NR",$O1352&gt;0),IF(ISNUMBER($J1352),AND($J1352&gt;=0,$J1352=INT($J1352)),FALSE())),$J1352,0)</f>
        <v>0</v>
      </c>
      <c r="Q1352" s="64" t="n">
        <f aca="false">IF(AND($P1352&gt;0,$O1352&gt;0),$P1352,0)</f>
        <v>0</v>
      </c>
      <c r="R1352" s="64" t="n">
        <f aca="false">IF(AND($Q1352&gt;0,$O1352&gt;=AtRank),$Q1352,0)</f>
        <v>0</v>
      </c>
      <c r="S1352" s="64" t="n">
        <f aca="false">IF(AND($Q1352&gt;0,$O1352&gt;=AboveRank),$Q1352,0)</f>
        <v>0</v>
      </c>
      <c r="T1352" s="64" t="n">
        <f aca="false">IF($K1352="Less",$P1352,0)</f>
        <v>0</v>
      </c>
      <c r="U1352" s="64" t="n">
        <f aca="false">IF($K1352="Expected",$P1352,0)</f>
        <v>0</v>
      </c>
      <c r="V1352" s="64" t="n">
        <f aca="false">IF($K1352="Better",$P1352,0)</f>
        <v>0</v>
      </c>
      <c r="W1352" s="64" t="n">
        <f aca="false">IF($K1352="U – needs rule",$P1352,0)</f>
        <v>0</v>
      </c>
      <c r="X1352" s="64" t="n">
        <f aca="false">IF($K1352="No Start (attainment only)",$P1352,0)</f>
        <v>0</v>
      </c>
    </row>
    <row r="1353" customFormat="false" ht="15" hidden="false" customHeight="false" outlineLevel="0" collapsed="false">
      <c r="A1353" s="60"/>
      <c r="B1353" s="61" t="str">
        <f aca="false">IF($M1353=0,"",INDEX(Classes!$E$6:$E$420,$M1353))</f>
        <v/>
      </c>
      <c r="C1353" s="62" t="str">
        <f aca="false">IF($M1353=0,"",INDEX(Classes!$H$6:$H$420,$M1353))</f>
        <v/>
      </c>
      <c r="D1353" s="61" t="str">
        <f aca="false">IF($M1353=0,"",INDEX(Classes!$B$6:$B$420,$M1353))</f>
        <v/>
      </c>
      <c r="E1353" s="61" t="str">
        <f aca="false">IF($M1353=0,"",INDEX(Classes!$C$6:$C$420,$M1353))</f>
        <v/>
      </c>
      <c r="F1353" s="63"/>
      <c r="G1353" s="63"/>
      <c r="H1353" s="60"/>
      <c r="I1353" s="60"/>
      <c r="J1353" s="63"/>
      <c r="K1353" s="61" t="str">
        <f aca="false">IF($P1353=0,"",IF($F1353="Baseline","— Baseline",IF($O1353=0,"No result",IF($N1353=0,"No Start (attainment only)",IF(OR($N1353=1,$O1353=1),"U – needs rule",INDEX(MxBody,MATCH($I1353,MxCurr,0),MATCH($H1353,MxStart,0)))))))</f>
        <v/>
      </c>
      <c r="L1353" s="62" t="str">
        <f aca="false">IF(COUNTA($A1353,$F1353,$G1353,$H1353,$I1353,$J1353)=0,"",IF($M1353=0,"✖ كود الصف غير موجود",IF(ISNA(MATCH($F1353,Lists!$A$2:$A$5,0)),"✖ الفترة غير صحيحة",IF(ISNA(MATCH($G1353,Lists!$B$2:$B$7,0)),"✖ المجموعة غير صحيحة",IF(NOT(OR($H1353="",$N1353&gt;0)),"✖ Start غير صحيح",IF(NOT(OR($I1353="",$I1353="NR",$O1353&gt;0)),"✖ Current غير صحيح",IF(NOT(IF(ISNUMBER($J1353),AND($J1353&gt;=0,$J1353=INT($J1353)),FALSE())),"✖ العدد يجب أن يكون صحيحًا ≥ 0",IF(AND($F1353="Baseline",$H1353&lt;&gt;""),"⚠ Baseline: Start لا يدخل في التقدم",IF($K1353="No Start (attainment only)","ℹ تحصيل فقط (بدون Start)",IF($K1353="U – needs rule","ℹ حالة U تحتاج قاعدة معتمدة",IF($K1353="No result","ℹ بدون نتيجة (يُستبعد من التحصيل)","OK")))))))))))</f>
        <v/>
      </c>
      <c r="M1353" s="64" t="n">
        <f aca="false">IF($A1353="",0,IFERROR(MATCH($A1353,Classes!$A$6:$A$420,0),0))</f>
        <v>0</v>
      </c>
      <c r="N1353" s="64" t="n">
        <f aca="false">IF($H1353="",0,IFERROR(MATCH($H1353,GradeList,0),0))</f>
        <v>0</v>
      </c>
      <c r="O1353" s="64" t="n">
        <f aca="false">IF(OR($I1353="",$I1353="NR"),0,IFERROR(MATCH($I1353,GradeList,0),0))</f>
        <v>0</v>
      </c>
      <c r="P1353" s="64" t="n">
        <f aca="false">IF(AND($M1353&gt;0,ISNUMBER(MATCH($F1353,Lists!$A$2:$A$5,0)),ISNUMBER(MATCH($G1353,Lists!$B$2:$B$7,0)),OR($H1353="",$N1353&gt;0),OR($I1353="",$I1353="NR",$O1353&gt;0),IF(ISNUMBER($J1353),AND($J1353&gt;=0,$J1353=INT($J1353)),FALSE())),$J1353,0)</f>
        <v>0</v>
      </c>
      <c r="Q1353" s="64" t="n">
        <f aca="false">IF(AND($P1353&gt;0,$O1353&gt;0),$P1353,0)</f>
        <v>0</v>
      </c>
      <c r="R1353" s="64" t="n">
        <f aca="false">IF(AND($Q1353&gt;0,$O1353&gt;=AtRank),$Q1353,0)</f>
        <v>0</v>
      </c>
      <c r="S1353" s="64" t="n">
        <f aca="false">IF(AND($Q1353&gt;0,$O1353&gt;=AboveRank),$Q1353,0)</f>
        <v>0</v>
      </c>
      <c r="T1353" s="64" t="n">
        <f aca="false">IF($K1353="Less",$P1353,0)</f>
        <v>0</v>
      </c>
      <c r="U1353" s="64" t="n">
        <f aca="false">IF($K1353="Expected",$P1353,0)</f>
        <v>0</v>
      </c>
      <c r="V1353" s="64" t="n">
        <f aca="false">IF($K1353="Better",$P1353,0)</f>
        <v>0</v>
      </c>
      <c r="W1353" s="64" t="n">
        <f aca="false">IF($K1353="U – needs rule",$P1353,0)</f>
        <v>0</v>
      </c>
      <c r="X1353" s="64" t="n">
        <f aca="false">IF($K1353="No Start (attainment only)",$P1353,0)</f>
        <v>0</v>
      </c>
    </row>
    <row r="1354" customFormat="false" ht="15" hidden="false" customHeight="false" outlineLevel="0" collapsed="false">
      <c r="A1354" s="60"/>
      <c r="B1354" s="61" t="str">
        <f aca="false">IF($M1354=0,"",INDEX(Classes!$E$6:$E$420,$M1354))</f>
        <v/>
      </c>
      <c r="C1354" s="62" t="str">
        <f aca="false">IF($M1354=0,"",INDEX(Classes!$H$6:$H$420,$M1354))</f>
        <v/>
      </c>
      <c r="D1354" s="61" t="str">
        <f aca="false">IF($M1354=0,"",INDEX(Classes!$B$6:$B$420,$M1354))</f>
        <v/>
      </c>
      <c r="E1354" s="61" t="str">
        <f aca="false">IF($M1354=0,"",INDEX(Classes!$C$6:$C$420,$M1354))</f>
        <v/>
      </c>
      <c r="F1354" s="63"/>
      <c r="G1354" s="63"/>
      <c r="H1354" s="60"/>
      <c r="I1354" s="60"/>
      <c r="J1354" s="63"/>
      <c r="K1354" s="61" t="str">
        <f aca="false">IF($P1354=0,"",IF($F1354="Baseline","— Baseline",IF($O1354=0,"No result",IF($N1354=0,"No Start (attainment only)",IF(OR($N1354=1,$O1354=1),"U – needs rule",INDEX(MxBody,MATCH($I1354,MxCurr,0),MATCH($H1354,MxStart,0)))))))</f>
        <v/>
      </c>
      <c r="L1354" s="62" t="str">
        <f aca="false">IF(COUNTA($A1354,$F1354,$G1354,$H1354,$I1354,$J1354)=0,"",IF($M1354=0,"✖ كود الصف غير موجود",IF(ISNA(MATCH($F1354,Lists!$A$2:$A$5,0)),"✖ الفترة غير صحيحة",IF(ISNA(MATCH($G1354,Lists!$B$2:$B$7,0)),"✖ المجموعة غير صحيحة",IF(NOT(OR($H1354="",$N1354&gt;0)),"✖ Start غير صحيح",IF(NOT(OR($I1354="",$I1354="NR",$O1354&gt;0)),"✖ Current غير صحيح",IF(NOT(IF(ISNUMBER($J1354),AND($J1354&gt;=0,$J1354=INT($J1354)),FALSE())),"✖ العدد يجب أن يكون صحيحًا ≥ 0",IF(AND($F1354="Baseline",$H1354&lt;&gt;""),"⚠ Baseline: Start لا يدخل في التقدم",IF($K1354="No Start (attainment only)","ℹ تحصيل فقط (بدون Start)",IF($K1354="U – needs rule","ℹ حالة U تحتاج قاعدة معتمدة",IF($K1354="No result","ℹ بدون نتيجة (يُستبعد من التحصيل)","OK")))))))))))</f>
        <v/>
      </c>
      <c r="M1354" s="64" t="n">
        <f aca="false">IF($A1354="",0,IFERROR(MATCH($A1354,Classes!$A$6:$A$420,0),0))</f>
        <v>0</v>
      </c>
      <c r="N1354" s="64" t="n">
        <f aca="false">IF($H1354="",0,IFERROR(MATCH($H1354,GradeList,0),0))</f>
        <v>0</v>
      </c>
      <c r="O1354" s="64" t="n">
        <f aca="false">IF(OR($I1354="",$I1354="NR"),0,IFERROR(MATCH($I1354,GradeList,0),0))</f>
        <v>0</v>
      </c>
      <c r="P1354" s="64" t="n">
        <f aca="false">IF(AND($M1354&gt;0,ISNUMBER(MATCH($F1354,Lists!$A$2:$A$5,0)),ISNUMBER(MATCH($G1354,Lists!$B$2:$B$7,0)),OR($H1354="",$N1354&gt;0),OR($I1354="",$I1354="NR",$O1354&gt;0),IF(ISNUMBER($J1354),AND($J1354&gt;=0,$J1354=INT($J1354)),FALSE())),$J1354,0)</f>
        <v>0</v>
      </c>
      <c r="Q1354" s="64" t="n">
        <f aca="false">IF(AND($P1354&gt;0,$O1354&gt;0),$P1354,0)</f>
        <v>0</v>
      </c>
      <c r="R1354" s="64" t="n">
        <f aca="false">IF(AND($Q1354&gt;0,$O1354&gt;=AtRank),$Q1354,0)</f>
        <v>0</v>
      </c>
      <c r="S1354" s="64" t="n">
        <f aca="false">IF(AND($Q1354&gt;0,$O1354&gt;=AboveRank),$Q1354,0)</f>
        <v>0</v>
      </c>
      <c r="T1354" s="64" t="n">
        <f aca="false">IF($K1354="Less",$P1354,0)</f>
        <v>0</v>
      </c>
      <c r="U1354" s="64" t="n">
        <f aca="false">IF($K1354="Expected",$P1354,0)</f>
        <v>0</v>
      </c>
      <c r="V1354" s="64" t="n">
        <f aca="false">IF($K1354="Better",$P1354,0)</f>
        <v>0</v>
      </c>
      <c r="W1354" s="64" t="n">
        <f aca="false">IF($K1354="U – needs rule",$P1354,0)</f>
        <v>0</v>
      </c>
      <c r="X1354" s="64" t="n">
        <f aca="false">IF($K1354="No Start (attainment only)",$P1354,0)</f>
        <v>0</v>
      </c>
    </row>
    <row r="1355" customFormat="false" ht="15" hidden="false" customHeight="false" outlineLevel="0" collapsed="false">
      <c r="A1355" s="60"/>
      <c r="B1355" s="61" t="str">
        <f aca="false">IF($M1355=0,"",INDEX(Classes!$E$6:$E$420,$M1355))</f>
        <v/>
      </c>
      <c r="C1355" s="62" t="str">
        <f aca="false">IF($M1355=0,"",INDEX(Classes!$H$6:$H$420,$M1355))</f>
        <v/>
      </c>
      <c r="D1355" s="61" t="str">
        <f aca="false">IF($M1355=0,"",INDEX(Classes!$B$6:$B$420,$M1355))</f>
        <v/>
      </c>
      <c r="E1355" s="61" t="str">
        <f aca="false">IF($M1355=0,"",INDEX(Classes!$C$6:$C$420,$M1355))</f>
        <v/>
      </c>
      <c r="F1355" s="63"/>
      <c r="G1355" s="63"/>
      <c r="H1355" s="60"/>
      <c r="I1355" s="60"/>
      <c r="J1355" s="63"/>
      <c r="K1355" s="61" t="str">
        <f aca="false">IF($P1355=0,"",IF($F1355="Baseline","— Baseline",IF($O1355=0,"No result",IF($N1355=0,"No Start (attainment only)",IF(OR($N1355=1,$O1355=1),"U – needs rule",INDEX(MxBody,MATCH($I1355,MxCurr,0),MATCH($H1355,MxStart,0)))))))</f>
        <v/>
      </c>
      <c r="L1355" s="62" t="str">
        <f aca="false">IF(COUNTA($A1355,$F1355,$G1355,$H1355,$I1355,$J1355)=0,"",IF($M1355=0,"✖ كود الصف غير موجود",IF(ISNA(MATCH($F1355,Lists!$A$2:$A$5,0)),"✖ الفترة غير صحيحة",IF(ISNA(MATCH($G1355,Lists!$B$2:$B$7,0)),"✖ المجموعة غير صحيحة",IF(NOT(OR($H1355="",$N1355&gt;0)),"✖ Start غير صحيح",IF(NOT(OR($I1355="",$I1355="NR",$O1355&gt;0)),"✖ Current غير صحيح",IF(NOT(IF(ISNUMBER($J1355),AND($J1355&gt;=0,$J1355=INT($J1355)),FALSE())),"✖ العدد يجب أن يكون صحيحًا ≥ 0",IF(AND($F1355="Baseline",$H1355&lt;&gt;""),"⚠ Baseline: Start لا يدخل في التقدم",IF($K1355="No Start (attainment only)","ℹ تحصيل فقط (بدون Start)",IF($K1355="U – needs rule","ℹ حالة U تحتاج قاعدة معتمدة",IF($K1355="No result","ℹ بدون نتيجة (يُستبعد من التحصيل)","OK")))))))))))</f>
        <v/>
      </c>
      <c r="M1355" s="64" t="n">
        <f aca="false">IF($A1355="",0,IFERROR(MATCH($A1355,Classes!$A$6:$A$420,0),0))</f>
        <v>0</v>
      </c>
      <c r="N1355" s="64" t="n">
        <f aca="false">IF($H1355="",0,IFERROR(MATCH($H1355,GradeList,0),0))</f>
        <v>0</v>
      </c>
      <c r="O1355" s="64" t="n">
        <f aca="false">IF(OR($I1355="",$I1355="NR"),0,IFERROR(MATCH($I1355,GradeList,0),0))</f>
        <v>0</v>
      </c>
      <c r="P1355" s="64" t="n">
        <f aca="false">IF(AND($M1355&gt;0,ISNUMBER(MATCH($F1355,Lists!$A$2:$A$5,0)),ISNUMBER(MATCH($G1355,Lists!$B$2:$B$7,0)),OR($H1355="",$N1355&gt;0),OR($I1355="",$I1355="NR",$O1355&gt;0),IF(ISNUMBER($J1355),AND($J1355&gt;=0,$J1355=INT($J1355)),FALSE())),$J1355,0)</f>
        <v>0</v>
      </c>
      <c r="Q1355" s="64" t="n">
        <f aca="false">IF(AND($P1355&gt;0,$O1355&gt;0),$P1355,0)</f>
        <v>0</v>
      </c>
      <c r="R1355" s="64" t="n">
        <f aca="false">IF(AND($Q1355&gt;0,$O1355&gt;=AtRank),$Q1355,0)</f>
        <v>0</v>
      </c>
      <c r="S1355" s="64" t="n">
        <f aca="false">IF(AND($Q1355&gt;0,$O1355&gt;=AboveRank),$Q1355,0)</f>
        <v>0</v>
      </c>
      <c r="T1355" s="64" t="n">
        <f aca="false">IF($K1355="Less",$P1355,0)</f>
        <v>0</v>
      </c>
      <c r="U1355" s="64" t="n">
        <f aca="false">IF($K1355="Expected",$P1355,0)</f>
        <v>0</v>
      </c>
      <c r="V1355" s="64" t="n">
        <f aca="false">IF($K1355="Better",$P1355,0)</f>
        <v>0</v>
      </c>
      <c r="W1355" s="64" t="n">
        <f aca="false">IF($K1355="U – needs rule",$P1355,0)</f>
        <v>0</v>
      </c>
      <c r="X1355" s="64" t="n">
        <f aca="false">IF($K1355="No Start (attainment only)",$P1355,0)</f>
        <v>0</v>
      </c>
    </row>
    <row r="1356" customFormat="false" ht="15" hidden="false" customHeight="false" outlineLevel="0" collapsed="false">
      <c r="A1356" s="60"/>
      <c r="B1356" s="61" t="str">
        <f aca="false">IF($M1356=0,"",INDEX(Classes!$E$6:$E$420,$M1356))</f>
        <v/>
      </c>
      <c r="C1356" s="62" t="str">
        <f aca="false">IF($M1356=0,"",INDEX(Classes!$H$6:$H$420,$M1356))</f>
        <v/>
      </c>
      <c r="D1356" s="61" t="str">
        <f aca="false">IF($M1356=0,"",INDEX(Classes!$B$6:$B$420,$M1356))</f>
        <v/>
      </c>
      <c r="E1356" s="61" t="str">
        <f aca="false">IF($M1356=0,"",INDEX(Classes!$C$6:$C$420,$M1356))</f>
        <v/>
      </c>
      <c r="F1356" s="63"/>
      <c r="G1356" s="63"/>
      <c r="H1356" s="60"/>
      <c r="I1356" s="60"/>
      <c r="J1356" s="63"/>
      <c r="K1356" s="61" t="str">
        <f aca="false">IF($P1356=0,"",IF($F1356="Baseline","— Baseline",IF($O1356=0,"No result",IF($N1356=0,"No Start (attainment only)",IF(OR($N1356=1,$O1356=1),"U – needs rule",INDEX(MxBody,MATCH($I1356,MxCurr,0),MATCH($H1356,MxStart,0)))))))</f>
        <v/>
      </c>
      <c r="L1356" s="62" t="str">
        <f aca="false">IF(COUNTA($A1356,$F1356,$G1356,$H1356,$I1356,$J1356)=0,"",IF($M1356=0,"✖ كود الصف غير موجود",IF(ISNA(MATCH($F1356,Lists!$A$2:$A$5,0)),"✖ الفترة غير صحيحة",IF(ISNA(MATCH($G1356,Lists!$B$2:$B$7,0)),"✖ المجموعة غير صحيحة",IF(NOT(OR($H1356="",$N1356&gt;0)),"✖ Start غير صحيح",IF(NOT(OR($I1356="",$I1356="NR",$O1356&gt;0)),"✖ Current غير صحيح",IF(NOT(IF(ISNUMBER($J1356),AND($J1356&gt;=0,$J1356=INT($J1356)),FALSE())),"✖ العدد يجب أن يكون صحيحًا ≥ 0",IF(AND($F1356="Baseline",$H1356&lt;&gt;""),"⚠ Baseline: Start لا يدخل في التقدم",IF($K1356="No Start (attainment only)","ℹ تحصيل فقط (بدون Start)",IF($K1356="U – needs rule","ℹ حالة U تحتاج قاعدة معتمدة",IF($K1356="No result","ℹ بدون نتيجة (يُستبعد من التحصيل)","OK")))))))))))</f>
        <v/>
      </c>
      <c r="M1356" s="64" t="n">
        <f aca="false">IF($A1356="",0,IFERROR(MATCH($A1356,Classes!$A$6:$A$420,0),0))</f>
        <v>0</v>
      </c>
      <c r="N1356" s="64" t="n">
        <f aca="false">IF($H1356="",0,IFERROR(MATCH($H1356,GradeList,0),0))</f>
        <v>0</v>
      </c>
      <c r="O1356" s="64" t="n">
        <f aca="false">IF(OR($I1356="",$I1356="NR"),0,IFERROR(MATCH($I1356,GradeList,0),0))</f>
        <v>0</v>
      </c>
      <c r="P1356" s="64" t="n">
        <f aca="false">IF(AND($M1356&gt;0,ISNUMBER(MATCH($F1356,Lists!$A$2:$A$5,0)),ISNUMBER(MATCH($G1356,Lists!$B$2:$B$7,0)),OR($H1356="",$N1356&gt;0),OR($I1356="",$I1356="NR",$O1356&gt;0),IF(ISNUMBER($J1356),AND($J1356&gt;=0,$J1356=INT($J1356)),FALSE())),$J1356,0)</f>
        <v>0</v>
      </c>
      <c r="Q1356" s="64" t="n">
        <f aca="false">IF(AND($P1356&gt;0,$O1356&gt;0),$P1356,0)</f>
        <v>0</v>
      </c>
      <c r="R1356" s="64" t="n">
        <f aca="false">IF(AND($Q1356&gt;0,$O1356&gt;=AtRank),$Q1356,0)</f>
        <v>0</v>
      </c>
      <c r="S1356" s="64" t="n">
        <f aca="false">IF(AND($Q1356&gt;0,$O1356&gt;=AboveRank),$Q1356,0)</f>
        <v>0</v>
      </c>
      <c r="T1356" s="64" t="n">
        <f aca="false">IF($K1356="Less",$P1356,0)</f>
        <v>0</v>
      </c>
      <c r="U1356" s="64" t="n">
        <f aca="false">IF($K1356="Expected",$P1356,0)</f>
        <v>0</v>
      </c>
      <c r="V1356" s="64" t="n">
        <f aca="false">IF($K1356="Better",$P1356,0)</f>
        <v>0</v>
      </c>
      <c r="W1356" s="64" t="n">
        <f aca="false">IF($K1356="U – needs rule",$P1356,0)</f>
        <v>0</v>
      </c>
      <c r="X1356" s="64" t="n">
        <f aca="false">IF($K1356="No Start (attainment only)",$P1356,0)</f>
        <v>0</v>
      </c>
    </row>
    <row r="1357" customFormat="false" ht="15" hidden="false" customHeight="false" outlineLevel="0" collapsed="false">
      <c r="A1357" s="60"/>
      <c r="B1357" s="61" t="str">
        <f aca="false">IF($M1357=0,"",INDEX(Classes!$E$6:$E$420,$M1357))</f>
        <v/>
      </c>
      <c r="C1357" s="62" t="str">
        <f aca="false">IF($M1357=0,"",INDEX(Classes!$H$6:$H$420,$M1357))</f>
        <v/>
      </c>
      <c r="D1357" s="61" t="str">
        <f aca="false">IF($M1357=0,"",INDEX(Classes!$B$6:$B$420,$M1357))</f>
        <v/>
      </c>
      <c r="E1357" s="61" t="str">
        <f aca="false">IF($M1357=0,"",INDEX(Classes!$C$6:$C$420,$M1357))</f>
        <v/>
      </c>
      <c r="F1357" s="63"/>
      <c r="G1357" s="63"/>
      <c r="H1357" s="60"/>
      <c r="I1357" s="60"/>
      <c r="J1357" s="63"/>
      <c r="K1357" s="61" t="str">
        <f aca="false">IF($P1357=0,"",IF($F1357="Baseline","— Baseline",IF($O1357=0,"No result",IF($N1357=0,"No Start (attainment only)",IF(OR($N1357=1,$O1357=1),"U – needs rule",INDEX(MxBody,MATCH($I1357,MxCurr,0),MATCH($H1357,MxStart,0)))))))</f>
        <v/>
      </c>
      <c r="L1357" s="62" t="str">
        <f aca="false">IF(COUNTA($A1357,$F1357,$G1357,$H1357,$I1357,$J1357)=0,"",IF($M1357=0,"✖ كود الصف غير موجود",IF(ISNA(MATCH($F1357,Lists!$A$2:$A$5,0)),"✖ الفترة غير صحيحة",IF(ISNA(MATCH($G1357,Lists!$B$2:$B$7,0)),"✖ المجموعة غير صحيحة",IF(NOT(OR($H1357="",$N1357&gt;0)),"✖ Start غير صحيح",IF(NOT(OR($I1357="",$I1357="NR",$O1357&gt;0)),"✖ Current غير صحيح",IF(NOT(IF(ISNUMBER($J1357),AND($J1357&gt;=0,$J1357=INT($J1357)),FALSE())),"✖ العدد يجب أن يكون صحيحًا ≥ 0",IF(AND($F1357="Baseline",$H1357&lt;&gt;""),"⚠ Baseline: Start لا يدخل في التقدم",IF($K1357="No Start (attainment only)","ℹ تحصيل فقط (بدون Start)",IF($K1357="U – needs rule","ℹ حالة U تحتاج قاعدة معتمدة",IF($K1357="No result","ℹ بدون نتيجة (يُستبعد من التحصيل)","OK")))))))))))</f>
        <v/>
      </c>
      <c r="M1357" s="64" t="n">
        <f aca="false">IF($A1357="",0,IFERROR(MATCH($A1357,Classes!$A$6:$A$420,0),0))</f>
        <v>0</v>
      </c>
      <c r="N1357" s="64" t="n">
        <f aca="false">IF($H1357="",0,IFERROR(MATCH($H1357,GradeList,0),0))</f>
        <v>0</v>
      </c>
      <c r="O1357" s="64" t="n">
        <f aca="false">IF(OR($I1357="",$I1357="NR"),0,IFERROR(MATCH($I1357,GradeList,0),0))</f>
        <v>0</v>
      </c>
      <c r="P1357" s="64" t="n">
        <f aca="false">IF(AND($M1357&gt;0,ISNUMBER(MATCH($F1357,Lists!$A$2:$A$5,0)),ISNUMBER(MATCH($G1357,Lists!$B$2:$B$7,0)),OR($H1357="",$N1357&gt;0),OR($I1357="",$I1357="NR",$O1357&gt;0),IF(ISNUMBER($J1357),AND($J1357&gt;=0,$J1357=INT($J1357)),FALSE())),$J1357,0)</f>
        <v>0</v>
      </c>
      <c r="Q1357" s="64" t="n">
        <f aca="false">IF(AND($P1357&gt;0,$O1357&gt;0),$P1357,0)</f>
        <v>0</v>
      </c>
      <c r="R1357" s="64" t="n">
        <f aca="false">IF(AND($Q1357&gt;0,$O1357&gt;=AtRank),$Q1357,0)</f>
        <v>0</v>
      </c>
      <c r="S1357" s="64" t="n">
        <f aca="false">IF(AND($Q1357&gt;0,$O1357&gt;=AboveRank),$Q1357,0)</f>
        <v>0</v>
      </c>
      <c r="T1357" s="64" t="n">
        <f aca="false">IF($K1357="Less",$P1357,0)</f>
        <v>0</v>
      </c>
      <c r="U1357" s="64" t="n">
        <f aca="false">IF($K1357="Expected",$P1357,0)</f>
        <v>0</v>
      </c>
      <c r="V1357" s="64" t="n">
        <f aca="false">IF($K1357="Better",$P1357,0)</f>
        <v>0</v>
      </c>
      <c r="W1357" s="64" t="n">
        <f aca="false">IF($K1357="U – needs rule",$P1357,0)</f>
        <v>0</v>
      </c>
      <c r="X1357" s="64" t="n">
        <f aca="false">IF($K1357="No Start (attainment only)",$P1357,0)</f>
        <v>0</v>
      </c>
    </row>
    <row r="1358" customFormat="false" ht="15" hidden="false" customHeight="false" outlineLevel="0" collapsed="false">
      <c r="A1358" s="60"/>
      <c r="B1358" s="61" t="str">
        <f aca="false">IF($M1358=0,"",INDEX(Classes!$E$6:$E$420,$M1358))</f>
        <v/>
      </c>
      <c r="C1358" s="62" t="str">
        <f aca="false">IF($M1358=0,"",INDEX(Classes!$H$6:$H$420,$M1358))</f>
        <v/>
      </c>
      <c r="D1358" s="61" t="str">
        <f aca="false">IF($M1358=0,"",INDEX(Classes!$B$6:$B$420,$M1358))</f>
        <v/>
      </c>
      <c r="E1358" s="61" t="str">
        <f aca="false">IF($M1358=0,"",INDEX(Classes!$C$6:$C$420,$M1358))</f>
        <v/>
      </c>
      <c r="F1358" s="63"/>
      <c r="G1358" s="63"/>
      <c r="H1358" s="60"/>
      <c r="I1358" s="60"/>
      <c r="J1358" s="63"/>
      <c r="K1358" s="61" t="str">
        <f aca="false">IF($P1358=0,"",IF($F1358="Baseline","— Baseline",IF($O1358=0,"No result",IF($N1358=0,"No Start (attainment only)",IF(OR($N1358=1,$O1358=1),"U – needs rule",INDEX(MxBody,MATCH($I1358,MxCurr,0),MATCH($H1358,MxStart,0)))))))</f>
        <v/>
      </c>
      <c r="L1358" s="62" t="str">
        <f aca="false">IF(COUNTA($A1358,$F1358,$G1358,$H1358,$I1358,$J1358)=0,"",IF($M1358=0,"✖ كود الصف غير موجود",IF(ISNA(MATCH($F1358,Lists!$A$2:$A$5,0)),"✖ الفترة غير صحيحة",IF(ISNA(MATCH($G1358,Lists!$B$2:$B$7,0)),"✖ المجموعة غير صحيحة",IF(NOT(OR($H1358="",$N1358&gt;0)),"✖ Start غير صحيح",IF(NOT(OR($I1358="",$I1358="NR",$O1358&gt;0)),"✖ Current غير صحيح",IF(NOT(IF(ISNUMBER($J1358),AND($J1358&gt;=0,$J1358=INT($J1358)),FALSE())),"✖ العدد يجب أن يكون صحيحًا ≥ 0",IF(AND($F1358="Baseline",$H1358&lt;&gt;""),"⚠ Baseline: Start لا يدخل في التقدم",IF($K1358="No Start (attainment only)","ℹ تحصيل فقط (بدون Start)",IF($K1358="U – needs rule","ℹ حالة U تحتاج قاعدة معتمدة",IF($K1358="No result","ℹ بدون نتيجة (يُستبعد من التحصيل)","OK")))))))))))</f>
        <v/>
      </c>
      <c r="M1358" s="64" t="n">
        <f aca="false">IF($A1358="",0,IFERROR(MATCH($A1358,Classes!$A$6:$A$420,0),0))</f>
        <v>0</v>
      </c>
      <c r="N1358" s="64" t="n">
        <f aca="false">IF($H1358="",0,IFERROR(MATCH($H1358,GradeList,0),0))</f>
        <v>0</v>
      </c>
      <c r="O1358" s="64" t="n">
        <f aca="false">IF(OR($I1358="",$I1358="NR"),0,IFERROR(MATCH($I1358,GradeList,0),0))</f>
        <v>0</v>
      </c>
      <c r="P1358" s="64" t="n">
        <f aca="false">IF(AND($M1358&gt;0,ISNUMBER(MATCH($F1358,Lists!$A$2:$A$5,0)),ISNUMBER(MATCH($G1358,Lists!$B$2:$B$7,0)),OR($H1358="",$N1358&gt;0),OR($I1358="",$I1358="NR",$O1358&gt;0),IF(ISNUMBER($J1358),AND($J1358&gt;=0,$J1358=INT($J1358)),FALSE())),$J1358,0)</f>
        <v>0</v>
      </c>
      <c r="Q1358" s="64" t="n">
        <f aca="false">IF(AND($P1358&gt;0,$O1358&gt;0),$P1358,0)</f>
        <v>0</v>
      </c>
      <c r="R1358" s="64" t="n">
        <f aca="false">IF(AND($Q1358&gt;0,$O1358&gt;=AtRank),$Q1358,0)</f>
        <v>0</v>
      </c>
      <c r="S1358" s="64" t="n">
        <f aca="false">IF(AND($Q1358&gt;0,$O1358&gt;=AboveRank),$Q1358,0)</f>
        <v>0</v>
      </c>
      <c r="T1358" s="64" t="n">
        <f aca="false">IF($K1358="Less",$P1358,0)</f>
        <v>0</v>
      </c>
      <c r="U1358" s="64" t="n">
        <f aca="false">IF($K1358="Expected",$P1358,0)</f>
        <v>0</v>
      </c>
      <c r="V1358" s="64" t="n">
        <f aca="false">IF($K1358="Better",$P1358,0)</f>
        <v>0</v>
      </c>
      <c r="W1358" s="64" t="n">
        <f aca="false">IF($K1358="U – needs rule",$P1358,0)</f>
        <v>0</v>
      </c>
      <c r="X1358" s="64" t="n">
        <f aca="false">IF($K1358="No Start (attainment only)",$P1358,0)</f>
        <v>0</v>
      </c>
    </row>
    <row r="1359" customFormat="false" ht="15" hidden="false" customHeight="false" outlineLevel="0" collapsed="false">
      <c r="A1359" s="60"/>
      <c r="B1359" s="61" t="str">
        <f aca="false">IF($M1359=0,"",INDEX(Classes!$E$6:$E$420,$M1359))</f>
        <v/>
      </c>
      <c r="C1359" s="62" t="str">
        <f aca="false">IF($M1359=0,"",INDEX(Classes!$H$6:$H$420,$M1359))</f>
        <v/>
      </c>
      <c r="D1359" s="61" t="str">
        <f aca="false">IF($M1359=0,"",INDEX(Classes!$B$6:$B$420,$M1359))</f>
        <v/>
      </c>
      <c r="E1359" s="61" t="str">
        <f aca="false">IF($M1359=0,"",INDEX(Classes!$C$6:$C$420,$M1359))</f>
        <v/>
      </c>
      <c r="F1359" s="63"/>
      <c r="G1359" s="63"/>
      <c r="H1359" s="60"/>
      <c r="I1359" s="60"/>
      <c r="J1359" s="63"/>
      <c r="K1359" s="61" t="str">
        <f aca="false">IF($P1359=0,"",IF($F1359="Baseline","— Baseline",IF($O1359=0,"No result",IF($N1359=0,"No Start (attainment only)",IF(OR($N1359=1,$O1359=1),"U – needs rule",INDEX(MxBody,MATCH($I1359,MxCurr,0),MATCH($H1359,MxStart,0)))))))</f>
        <v/>
      </c>
      <c r="L1359" s="62" t="str">
        <f aca="false">IF(COUNTA($A1359,$F1359,$G1359,$H1359,$I1359,$J1359)=0,"",IF($M1359=0,"✖ كود الصف غير موجود",IF(ISNA(MATCH($F1359,Lists!$A$2:$A$5,0)),"✖ الفترة غير صحيحة",IF(ISNA(MATCH($G1359,Lists!$B$2:$B$7,0)),"✖ المجموعة غير صحيحة",IF(NOT(OR($H1359="",$N1359&gt;0)),"✖ Start غير صحيح",IF(NOT(OR($I1359="",$I1359="NR",$O1359&gt;0)),"✖ Current غير صحيح",IF(NOT(IF(ISNUMBER($J1359),AND($J1359&gt;=0,$J1359=INT($J1359)),FALSE())),"✖ العدد يجب أن يكون صحيحًا ≥ 0",IF(AND($F1359="Baseline",$H1359&lt;&gt;""),"⚠ Baseline: Start لا يدخل في التقدم",IF($K1359="No Start (attainment only)","ℹ تحصيل فقط (بدون Start)",IF($K1359="U – needs rule","ℹ حالة U تحتاج قاعدة معتمدة",IF($K1359="No result","ℹ بدون نتيجة (يُستبعد من التحصيل)","OK")))))))))))</f>
        <v/>
      </c>
      <c r="M1359" s="64" t="n">
        <f aca="false">IF($A1359="",0,IFERROR(MATCH($A1359,Classes!$A$6:$A$420,0),0))</f>
        <v>0</v>
      </c>
      <c r="N1359" s="64" t="n">
        <f aca="false">IF($H1359="",0,IFERROR(MATCH($H1359,GradeList,0),0))</f>
        <v>0</v>
      </c>
      <c r="O1359" s="64" t="n">
        <f aca="false">IF(OR($I1359="",$I1359="NR"),0,IFERROR(MATCH($I1359,GradeList,0),0))</f>
        <v>0</v>
      </c>
      <c r="P1359" s="64" t="n">
        <f aca="false">IF(AND($M1359&gt;0,ISNUMBER(MATCH($F1359,Lists!$A$2:$A$5,0)),ISNUMBER(MATCH($G1359,Lists!$B$2:$B$7,0)),OR($H1359="",$N1359&gt;0),OR($I1359="",$I1359="NR",$O1359&gt;0),IF(ISNUMBER($J1359),AND($J1359&gt;=0,$J1359=INT($J1359)),FALSE())),$J1359,0)</f>
        <v>0</v>
      </c>
      <c r="Q1359" s="64" t="n">
        <f aca="false">IF(AND($P1359&gt;0,$O1359&gt;0),$P1359,0)</f>
        <v>0</v>
      </c>
      <c r="R1359" s="64" t="n">
        <f aca="false">IF(AND($Q1359&gt;0,$O1359&gt;=AtRank),$Q1359,0)</f>
        <v>0</v>
      </c>
      <c r="S1359" s="64" t="n">
        <f aca="false">IF(AND($Q1359&gt;0,$O1359&gt;=AboveRank),$Q1359,0)</f>
        <v>0</v>
      </c>
      <c r="T1359" s="64" t="n">
        <f aca="false">IF($K1359="Less",$P1359,0)</f>
        <v>0</v>
      </c>
      <c r="U1359" s="64" t="n">
        <f aca="false">IF($K1359="Expected",$P1359,0)</f>
        <v>0</v>
      </c>
      <c r="V1359" s="64" t="n">
        <f aca="false">IF($K1359="Better",$P1359,0)</f>
        <v>0</v>
      </c>
      <c r="W1359" s="64" t="n">
        <f aca="false">IF($K1359="U – needs rule",$P1359,0)</f>
        <v>0</v>
      </c>
      <c r="X1359" s="64" t="n">
        <f aca="false">IF($K1359="No Start (attainment only)",$P1359,0)</f>
        <v>0</v>
      </c>
    </row>
    <row r="1360" customFormat="false" ht="15" hidden="false" customHeight="false" outlineLevel="0" collapsed="false">
      <c r="A1360" s="60"/>
      <c r="B1360" s="61" t="str">
        <f aca="false">IF($M1360=0,"",INDEX(Classes!$E$6:$E$420,$M1360))</f>
        <v/>
      </c>
      <c r="C1360" s="62" t="str">
        <f aca="false">IF($M1360=0,"",INDEX(Classes!$H$6:$H$420,$M1360))</f>
        <v/>
      </c>
      <c r="D1360" s="61" t="str">
        <f aca="false">IF($M1360=0,"",INDEX(Classes!$B$6:$B$420,$M1360))</f>
        <v/>
      </c>
      <c r="E1360" s="61" t="str">
        <f aca="false">IF($M1360=0,"",INDEX(Classes!$C$6:$C$420,$M1360))</f>
        <v/>
      </c>
      <c r="F1360" s="63"/>
      <c r="G1360" s="63"/>
      <c r="H1360" s="60"/>
      <c r="I1360" s="60"/>
      <c r="J1360" s="63"/>
      <c r="K1360" s="61" t="str">
        <f aca="false">IF($P1360=0,"",IF($F1360="Baseline","— Baseline",IF($O1360=0,"No result",IF($N1360=0,"No Start (attainment only)",IF(OR($N1360=1,$O1360=1),"U – needs rule",INDEX(MxBody,MATCH($I1360,MxCurr,0),MATCH($H1360,MxStart,0)))))))</f>
        <v/>
      </c>
      <c r="L1360" s="62" t="str">
        <f aca="false">IF(COUNTA($A1360,$F1360,$G1360,$H1360,$I1360,$J1360)=0,"",IF($M1360=0,"✖ كود الصف غير موجود",IF(ISNA(MATCH($F1360,Lists!$A$2:$A$5,0)),"✖ الفترة غير صحيحة",IF(ISNA(MATCH($G1360,Lists!$B$2:$B$7,0)),"✖ المجموعة غير صحيحة",IF(NOT(OR($H1360="",$N1360&gt;0)),"✖ Start غير صحيح",IF(NOT(OR($I1360="",$I1360="NR",$O1360&gt;0)),"✖ Current غير صحيح",IF(NOT(IF(ISNUMBER($J1360),AND($J1360&gt;=0,$J1360=INT($J1360)),FALSE())),"✖ العدد يجب أن يكون صحيحًا ≥ 0",IF(AND($F1360="Baseline",$H1360&lt;&gt;""),"⚠ Baseline: Start لا يدخل في التقدم",IF($K1360="No Start (attainment only)","ℹ تحصيل فقط (بدون Start)",IF($K1360="U – needs rule","ℹ حالة U تحتاج قاعدة معتمدة",IF($K1360="No result","ℹ بدون نتيجة (يُستبعد من التحصيل)","OK")))))))))))</f>
        <v/>
      </c>
      <c r="M1360" s="64" t="n">
        <f aca="false">IF($A1360="",0,IFERROR(MATCH($A1360,Classes!$A$6:$A$420,0),0))</f>
        <v>0</v>
      </c>
      <c r="N1360" s="64" t="n">
        <f aca="false">IF($H1360="",0,IFERROR(MATCH($H1360,GradeList,0),0))</f>
        <v>0</v>
      </c>
      <c r="O1360" s="64" t="n">
        <f aca="false">IF(OR($I1360="",$I1360="NR"),0,IFERROR(MATCH($I1360,GradeList,0),0))</f>
        <v>0</v>
      </c>
      <c r="P1360" s="64" t="n">
        <f aca="false">IF(AND($M1360&gt;0,ISNUMBER(MATCH($F1360,Lists!$A$2:$A$5,0)),ISNUMBER(MATCH($G1360,Lists!$B$2:$B$7,0)),OR($H1360="",$N1360&gt;0),OR($I1360="",$I1360="NR",$O1360&gt;0),IF(ISNUMBER($J1360),AND($J1360&gt;=0,$J1360=INT($J1360)),FALSE())),$J1360,0)</f>
        <v>0</v>
      </c>
      <c r="Q1360" s="64" t="n">
        <f aca="false">IF(AND($P1360&gt;0,$O1360&gt;0),$P1360,0)</f>
        <v>0</v>
      </c>
      <c r="R1360" s="64" t="n">
        <f aca="false">IF(AND($Q1360&gt;0,$O1360&gt;=AtRank),$Q1360,0)</f>
        <v>0</v>
      </c>
      <c r="S1360" s="64" t="n">
        <f aca="false">IF(AND($Q1360&gt;0,$O1360&gt;=AboveRank),$Q1360,0)</f>
        <v>0</v>
      </c>
      <c r="T1360" s="64" t="n">
        <f aca="false">IF($K1360="Less",$P1360,0)</f>
        <v>0</v>
      </c>
      <c r="U1360" s="64" t="n">
        <f aca="false">IF($K1360="Expected",$P1360,0)</f>
        <v>0</v>
      </c>
      <c r="V1360" s="64" t="n">
        <f aca="false">IF($K1360="Better",$P1360,0)</f>
        <v>0</v>
      </c>
      <c r="W1360" s="64" t="n">
        <f aca="false">IF($K1360="U – needs rule",$P1360,0)</f>
        <v>0</v>
      </c>
      <c r="X1360" s="64" t="n">
        <f aca="false">IF($K1360="No Start (attainment only)",$P1360,0)</f>
        <v>0</v>
      </c>
    </row>
    <row r="1361" customFormat="false" ht="15" hidden="false" customHeight="false" outlineLevel="0" collapsed="false">
      <c r="A1361" s="60"/>
      <c r="B1361" s="61" t="str">
        <f aca="false">IF($M1361=0,"",INDEX(Classes!$E$6:$E$420,$M1361))</f>
        <v/>
      </c>
      <c r="C1361" s="62" t="str">
        <f aca="false">IF($M1361=0,"",INDEX(Classes!$H$6:$H$420,$M1361))</f>
        <v/>
      </c>
      <c r="D1361" s="61" t="str">
        <f aca="false">IF($M1361=0,"",INDEX(Classes!$B$6:$B$420,$M1361))</f>
        <v/>
      </c>
      <c r="E1361" s="61" t="str">
        <f aca="false">IF($M1361=0,"",INDEX(Classes!$C$6:$C$420,$M1361))</f>
        <v/>
      </c>
      <c r="F1361" s="63"/>
      <c r="G1361" s="63"/>
      <c r="H1361" s="60"/>
      <c r="I1361" s="60"/>
      <c r="J1361" s="63"/>
      <c r="K1361" s="61" t="str">
        <f aca="false">IF($P1361=0,"",IF($F1361="Baseline","— Baseline",IF($O1361=0,"No result",IF($N1361=0,"No Start (attainment only)",IF(OR($N1361=1,$O1361=1),"U – needs rule",INDEX(MxBody,MATCH($I1361,MxCurr,0),MATCH($H1361,MxStart,0)))))))</f>
        <v/>
      </c>
      <c r="L1361" s="62" t="str">
        <f aca="false">IF(COUNTA($A1361,$F1361,$G1361,$H1361,$I1361,$J1361)=0,"",IF($M1361=0,"✖ كود الصف غير موجود",IF(ISNA(MATCH($F1361,Lists!$A$2:$A$5,0)),"✖ الفترة غير صحيحة",IF(ISNA(MATCH($G1361,Lists!$B$2:$B$7,0)),"✖ المجموعة غير صحيحة",IF(NOT(OR($H1361="",$N1361&gt;0)),"✖ Start غير صحيح",IF(NOT(OR($I1361="",$I1361="NR",$O1361&gt;0)),"✖ Current غير صحيح",IF(NOT(IF(ISNUMBER($J1361),AND($J1361&gt;=0,$J1361=INT($J1361)),FALSE())),"✖ العدد يجب أن يكون صحيحًا ≥ 0",IF(AND($F1361="Baseline",$H1361&lt;&gt;""),"⚠ Baseline: Start لا يدخل في التقدم",IF($K1361="No Start (attainment only)","ℹ تحصيل فقط (بدون Start)",IF($K1361="U – needs rule","ℹ حالة U تحتاج قاعدة معتمدة",IF($K1361="No result","ℹ بدون نتيجة (يُستبعد من التحصيل)","OK")))))))))))</f>
        <v/>
      </c>
      <c r="M1361" s="64" t="n">
        <f aca="false">IF($A1361="",0,IFERROR(MATCH($A1361,Classes!$A$6:$A$420,0),0))</f>
        <v>0</v>
      </c>
      <c r="N1361" s="64" t="n">
        <f aca="false">IF($H1361="",0,IFERROR(MATCH($H1361,GradeList,0),0))</f>
        <v>0</v>
      </c>
      <c r="O1361" s="64" t="n">
        <f aca="false">IF(OR($I1361="",$I1361="NR"),0,IFERROR(MATCH($I1361,GradeList,0),0))</f>
        <v>0</v>
      </c>
      <c r="P1361" s="64" t="n">
        <f aca="false">IF(AND($M1361&gt;0,ISNUMBER(MATCH($F1361,Lists!$A$2:$A$5,0)),ISNUMBER(MATCH($G1361,Lists!$B$2:$B$7,0)),OR($H1361="",$N1361&gt;0),OR($I1361="",$I1361="NR",$O1361&gt;0),IF(ISNUMBER($J1361),AND($J1361&gt;=0,$J1361=INT($J1361)),FALSE())),$J1361,0)</f>
        <v>0</v>
      </c>
      <c r="Q1361" s="64" t="n">
        <f aca="false">IF(AND($P1361&gt;0,$O1361&gt;0),$P1361,0)</f>
        <v>0</v>
      </c>
      <c r="R1361" s="64" t="n">
        <f aca="false">IF(AND($Q1361&gt;0,$O1361&gt;=AtRank),$Q1361,0)</f>
        <v>0</v>
      </c>
      <c r="S1361" s="64" t="n">
        <f aca="false">IF(AND($Q1361&gt;0,$O1361&gt;=AboveRank),$Q1361,0)</f>
        <v>0</v>
      </c>
      <c r="T1361" s="64" t="n">
        <f aca="false">IF($K1361="Less",$P1361,0)</f>
        <v>0</v>
      </c>
      <c r="U1361" s="64" t="n">
        <f aca="false">IF($K1361="Expected",$P1361,0)</f>
        <v>0</v>
      </c>
      <c r="V1361" s="64" t="n">
        <f aca="false">IF($K1361="Better",$P1361,0)</f>
        <v>0</v>
      </c>
      <c r="W1361" s="64" t="n">
        <f aca="false">IF($K1361="U – needs rule",$P1361,0)</f>
        <v>0</v>
      </c>
      <c r="X1361" s="64" t="n">
        <f aca="false">IF($K1361="No Start (attainment only)",$P1361,0)</f>
        <v>0</v>
      </c>
    </row>
    <row r="1362" customFormat="false" ht="15" hidden="false" customHeight="false" outlineLevel="0" collapsed="false">
      <c r="A1362" s="60"/>
      <c r="B1362" s="61" t="str">
        <f aca="false">IF($M1362=0,"",INDEX(Classes!$E$6:$E$420,$M1362))</f>
        <v/>
      </c>
      <c r="C1362" s="62" t="str">
        <f aca="false">IF($M1362=0,"",INDEX(Classes!$H$6:$H$420,$M1362))</f>
        <v/>
      </c>
      <c r="D1362" s="61" t="str">
        <f aca="false">IF($M1362=0,"",INDEX(Classes!$B$6:$B$420,$M1362))</f>
        <v/>
      </c>
      <c r="E1362" s="61" t="str">
        <f aca="false">IF($M1362=0,"",INDEX(Classes!$C$6:$C$420,$M1362))</f>
        <v/>
      </c>
      <c r="F1362" s="63"/>
      <c r="G1362" s="63"/>
      <c r="H1362" s="60"/>
      <c r="I1362" s="60"/>
      <c r="J1362" s="63"/>
      <c r="K1362" s="61" t="str">
        <f aca="false">IF($P1362=0,"",IF($F1362="Baseline","— Baseline",IF($O1362=0,"No result",IF($N1362=0,"No Start (attainment only)",IF(OR($N1362=1,$O1362=1),"U – needs rule",INDEX(MxBody,MATCH($I1362,MxCurr,0),MATCH($H1362,MxStart,0)))))))</f>
        <v/>
      </c>
      <c r="L1362" s="62" t="str">
        <f aca="false">IF(COUNTA($A1362,$F1362,$G1362,$H1362,$I1362,$J1362)=0,"",IF($M1362=0,"✖ كود الصف غير موجود",IF(ISNA(MATCH($F1362,Lists!$A$2:$A$5,0)),"✖ الفترة غير صحيحة",IF(ISNA(MATCH($G1362,Lists!$B$2:$B$7,0)),"✖ المجموعة غير صحيحة",IF(NOT(OR($H1362="",$N1362&gt;0)),"✖ Start غير صحيح",IF(NOT(OR($I1362="",$I1362="NR",$O1362&gt;0)),"✖ Current غير صحيح",IF(NOT(IF(ISNUMBER($J1362),AND($J1362&gt;=0,$J1362=INT($J1362)),FALSE())),"✖ العدد يجب أن يكون صحيحًا ≥ 0",IF(AND($F1362="Baseline",$H1362&lt;&gt;""),"⚠ Baseline: Start لا يدخل في التقدم",IF($K1362="No Start (attainment only)","ℹ تحصيل فقط (بدون Start)",IF($K1362="U – needs rule","ℹ حالة U تحتاج قاعدة معتمدة",IF($K1362="No result","ℹ بدون نتيجة (يُستبعد من التحصيل)","OK")))))))))))</f>
        <v/>
      </c>
      <c r="M1362" s="64" t="n">
        <f aca="false">IF($A1362="",0,IFERROR(MATCH($A1362,Classes!$A$6:$A$420,0),0))</f>
        <v>0</v>
      </c>
      <c r="N1362" s="64" t="n">
        <f aca="false">IF($H1362="",0,IFERROR(MATCH($H1362,GradeList,0),0))</f>
        <v>0</v>
      </c>
      <c r="O1362" s="64" t="n">
        <f aca="false">IF(OR($I1362="",$I1362="NR"),0,IFERROR(MATCH($I1362,GradeList,0),0))</f>
        <v>0</v>
      </c>
      <c r="P1362" s="64" t="n">
        <f aca="false">IF(AND($M1362&gt;0,ISNUMBER(MATCH($F1362,Lists!$A$2:$A$5,0)),ISNUMBER(MATCH($G1362,Lists!$B$2:$B$7,0)),OR($H1362="",$N1362&gt;0),OR($I1362="",$I1362="NR",$O1362&gt;0),IF(ISNUMBER($J1362),AND($J1362&gt;=0,$J1362=INT($J1362)),FALSE())),$J1362,0)</f>
        <v>0</v>
      </c>
      <c r="Q1362" s="64" t="n">
        <f aca="false">IF(AND($P1362&gt;0,$O1362&gt;0),$P1362,0)</f>
        <v>0</v>
      </c>
      <c r="R1362" s="64" t="n">
        <f aca="false">IF(AND($Q1362&gt;0,$O1362&gt;=AtRank),$Q1362,0)</f>
        <v>0</v>
      </c>
      <c r="S1362" s="64" t="n">
        <f aca="false">IF(AND($Q1362&gt;0,$O1362&gt;=AboveRank),$Q1362,0)</f>
        <v>0</v>
      </c>
      <c r="T1362" s="64" t="n">
        <f aca="false">IF($K1362="Less",$P1362,0)</f>
        <v>0</v>
      </c>
      <c r="U1362" s="64" t="n">
        <f aca="false">IF($K1362="Expected",$P1362,0)</f>
        <v>0</v>
      </c>
      <c r="V1362" s="64" t="n">
        <f aca="false">IF($K1362="Better",$P1362,0)</f>
        <v>0</v>
      </c>
      <c r="W1362" s="64" t="n">
        <f aca="false">IF($K1362="U – needs rule",$P1362,0)</f>
        <v>0</v>
      </c>
      <c r="X1362" s="64" t="n">
        <f aca="false">IF($K1362="No Start (attainment only)",$P1362,0)</f>
        <v>0</v>
      </c>
    </row>
    <row r="1363" customFormat="false" ht="15" hidden="false" customHeight="false" outlineLevel="0" collapsed="false">
      <c r="A1363" s="60"/>
      <c r="B1363" s="61" t="str">
        <f aca="false">IF($M1363=0,"",INDEX(Classes!$E$6:$E$420,$M1363))</f>
        <v/>
      </c>
      <c r="C1363" s="62" t="str">
        <f aca="false">IF($M1363=0,"",INDEX(Classes!$H$6:$H$420,$M1363))</f>
        <v/>
      </c>
      <c r="D1363" s="61" t="str">
        <f aca="false">IF($M1363=0,"",INDEX(Classes!$B$6:$B$420,$M1363))</f>
        <v/>
      </c>
      <c r="E1363" s="61" t="str">
        <f aca="false">IF($M1363=0,"",INDEX(Classes!$C$6:$C$420,$M1363))</f>
        <v/>
      </c>
      <c r="F1363" s="63"/>
      <c r="G1363" s="63"/>
      <c r="H1363" s="60"/>
      <c r="I1363" s="60"/>
      <c r="J1363" s="63"/>
      <c r="K1363" s="61" t="str">
        <f aca="false">IF($P1363=0,"",IF($F1363="Baseline","— Baseline",IF($O1363=0,"No result",IF($N1363=0,"No Start (attainment only)",IF(OR($N1363=1,$O1363=1),"U – needs rule",INDEX(MxBody,MATCH($I1363,MxCurr,0),MATCH($H1363,MxStart,0)))))))</f>
        <v/>
      </c>
      <c r="L1363" s="62" t="str">
        <f aca="false">IF(COUNTA($A1363,$F1363,$G1363,$H1363,$I1363,$J1363)=0,"",IF($M1363=0,"✖ كود الصف غير موجود",IF(ISNA(MATCH($F1363,Lists!$A$2:$A$5,0)),"✖ الفترة غير صحيحة",IF(ISNA(MATCH($G1363,Lists!$B$2:$B$7,0)),"✖ المجموعة غير صحيحة",IF(NOT(OR($H1363="",$N1363&gt;0)),"✖ Start غير صحيح",IF(NOT(OR($I1363="",$I1363="NR",$O1363&gt;0)),"✖ Current غير صحيح",IF(NOT(IF(ISNUMBER($J1363),AND($J1363&gt;=0,$J1363=INT($J1363)),FALSE())),"✖ العدد يجب أن يكون صحيحًا ≥ 0",IF(AND($F1363="Baseline",$H1363&lt;&gt;""),"⚠ Baseline: Start لا يدخل في التقدم",IF($K1363="No Start (attainment only)","ℹ تحصيل فقط (بدون Start)",IF($K1363="U – needs rule","ℹ حالة U تحتاج قاعدة معتمدة",IF($K1363="No result","ℹ بدون نتيجة (يُستبعد من التحصيل)","OK")))))))))))</f>
        <v/>
      </c>
      <c r="M1363" s="64" t="n">
        <f aca="false">IF($A1363="",0,IFERROR(MATCH($A1363,Classes!$A$6:$A$420,0),0))</f>
        <v>0</v>
      </c>
      <c r="N1363" s="64" t="n">
        <f aca="false">IF($H1363="",0,IFERROR(MATCH($H1363,GradeList,0),0))</f>
        <v>0</v>
      </c>
      <c r="O1363" s="64" t="n">
        <f aca="false">IF(OR($I1363="",$I1363="NR"),0,IFERROR(MATCH($I1363,GradeList,0),0))</f>
        <v>0</v>
      </c>
      <c r="P1363" s="64" t="n">
        <f aca="false">IF(AND($M1363&gt;0,ISNUMBER(MATCH($F1363,Lists!$A$2:$A$5,0)),ISNUMBER(MATCH($G1363,Lists!$B$2:$B$7,0)),OR($H1363="",$N1363&gt;0),OR($I1363="",$I1363="NR",$O1363&gt;0),IF(ISNUMBER($J1363),AND($J1363&gt;=0,$J1363=INT($J1363)),FALSE())),$J1363,0)</f>
        <v>0</v>
      </c>
      <c r="Q1363" s="64" t="n">
        <f aca="false">IF(AND($P1363&gt;0,$O1363&gt;0),$P1363,0)</f>
        <v>0</v>
      </c>
      <c r="R1363" s="64" t="n">
        <f aca="false">IF(AND($Q1363&gt;0,$O1363&gt;=AtRank),$Q1363,0)</f>
        <v>0</v>
      </c>
      <c r="S1363" s="64" t="n">
        <f aca="false">IF(AND($Q1363&gt;0,$O1363&gt;=AboveRank),$Q1363,0)</f>
        <v>0</v>
      </c>
      <c r="T1363" s="64" t="n">
        <f aca="false">IF($K1363="Less",$P1363,0)</f>
        <v>0</v>
      </c>
      <c r="U1363" s="64" t="n">
        <f aca="false">IF($K1363="Expected",$P1363,0)</f>
        <v>0</v>
      </c>
      <c r="V1363" s="64" t="n">
        <f aca="false">IF($K1363="Better",$P1363,0)</f>
        <v>0</v>
      </c>
      <c r="W1363" s="64" t="n">
        <f aca="false">IF($K1363="U – needs rule",$P1363,0)</f>
        <v>0</v>
      </c>
      <c r="X1363" s="64" t="n">
        <f aca="false">IF($K1363="No Start (attainment only)",$P1363,0)</f>
        <v>0</v>
      </c>
    </row>
    <row r="1364" customFormat="false" ht="15" hidden="false" customHeight="false" outlineLevel="0" collapsed="false">
      <c r="A1364" s="60"/>
      <c r="B1364" s="61" t="str">
        <f aca="false">IF($M1364=0,"",INDEX(Classes!$E$6:$E$420,$M1364))</f>
        <v/>
      </c>
      <c r="C1364" s="62" t="str">
        <f aca="false">IF($M1364=0,"",INDEX(Classes!$H$6:$H$420,$M1364))</f>
        <v/>
      </c>
      <c r="D1364" s="61" t="str">
        <f aca="false">IF($M1364=0,"",INDEX(Classes!$B$6:$B$420,$M1364))</f>
        <v/>
      </c>
      <c r="E1364" s="61" t="str">
        <f aca="false">IF($M1364=0,"",INDEX(Classes!$C$6:$C$420,$M1364))</f>
        <v/>
      </c>
      <c r="F1364" s="63"/>
      <c r="G1364" s="63"/>
      <c r="H1364" s="60"/>
      <c r="I1364" s="60"/>
      <c r="J1364" s="63"/>
      <c r="K1364" s="61" t="str">
        <f aca="false">IF($P1364=0,"",IF($F1364="Baseline","— Baseline",IF($O1364=0,"No result",IF($N1364=0,"No Start (attainment only)",IF(OR($N1364=1,$O1364=1),"U – needs rule",INDEX(MxBody,MATCH($I1364,MxCurr,0),MATCH($H1364,MxStart,0)))))))</f>
        <v/>
      </c>
      <c r="L1364" s="62" t="str">
        <f aca="false">IF(COUNTA($A1364,$F1364,$G1364,$H1364,$I1364,$J1364)=0,"",IF($M1364=0,"✖ كود الصف غير موجود",IF(ISNA(MATCH($F1364,Lists!$A$2:$A$5,0)),"✖ الفترة غير صحيحة",IF(ISNA(MATCH($G1364,Lists!$B$2:$B$7,0)),"✖ المجموعة غير صحيحة",IF(NOT(OR($H1364="",$N1364&gt;0)),"✖ Start غير صحيح",IF(NOT(OR($I1364="",$I1364="NR",$O1364&gt;0)),"✖ Current غير صحيح",IF(NOT(IF(ISNUMBER($J1364),AND($J1364&gt;=0,$J1364=INT($J1364)),FALSE())),"✖ العدد يجب أن يكون صحيحًا ≥ 0",IF(AND($F1364="Baseline",$H1364&lt;&gt;""),"⚠ Baseline: Start لا يدخل في التقدم",IF($K1364="No Start (attainment only)","ℹ تحصيل فقط (بدون Start)",IF($K1364="U – needs rule","ℹ حالة U تحتاج قاعدة معتمدة",IF($K1364="No result","ℹ بدون نتيجة (يُستبعد من التحصيل)","OK")))))))))))</f>
        <v/>
      </c>
      <c r="M1364" s="64" t="n">
        <f aca="false">IF($A1364="",0,IFERROR(MATCH($A1364,Classes!$A$6:$A$420,0),0))</f>
        <v>0</v>
      </c>
      <c r="N1364" s="64" t="n">
        <f aca="false">IF($H1364="",0,IFERROR(MATCH($H1364,GradeList,0),0))</f>
        <v>0</v>
      </c>
      <c r="O1364" s="64" t="n">
        <f aca="false">IF(OR($I1364="",$I1364="NR"),0,IFERROR(MATCH($I1364,GradeList,0),0))</f>
        <v>0</v>
      </c>
      <c r="P1364" s="64" t="n">
        <f aca="false">IF(AND($M1364&gt;0,ISNUMBER(MATCH($F1364,Lists!$A$2:$A$5,0)),ISNUMBER(MATCH($G1364,Lists!$B$2:$B$7,0)),OR($H1364="",$N1364&gt;0),OR($I1364="",$I1364="NR",$O1364&gt;0),IF(ISNUMBER($J1364),AND($J1364&gt;=0,$J1364=INT($J1364)),FALSE())),$J1364,0)</f>
        <v>0</v>
      </c>
      <c r="Q1364" s="64" t="n">
        <f aca="false">IF(AND($P1364&gt;0,$O1364&gt;0),$P1364,0)</f>
        <v>0</v>
      </c>
      <c r="R1364" s="64" t="n">
        <f aca="false">IF(AND($Q1364&gt;0,$O1364&gt;=AtRank),$Q1364,0)</f>
        <v>0</v>
      </c>
      <c r="S1364" s="64" t="n">
        <f aca="false">IF(AND($Q1364&gt;0,$O1364&gt;=AboveRank),$Q1364,0)</f>
        <v>0</v>
      </c>
      <c r="T1364" s="64" t="n">
        <f aca="false">IF($K1364="Less",$P1364,0)</f>
        <v>0</v>
      </c>
      <c r="U1364" s="64" t="n">
        <f aca="false">IF($K1364="Expected",$P1364,0)</f>
        <v>0</v>
      </c>
      <c r="V1364" s="64" t="n">
        <f aca="false">IF($K1364="Better",$P1364,0)</f>
        <v>0</v>
      </c>
      <c r="W1364" s="64" t="n">
        <f aca="false">IF($K1364="U – needs rule",$P1364,0)</f>
        <v>0</v>
      </c>
      <c r="X1364" s="64" t="n">
        <f aca="false">IF($K1364="No Start (attainment only)",$P1364,0)</f>
        <v>0</v>
      </c>
    </row>
    <row r="1365" customFormat="false" ht="15" hidden="false" customHeight="false" outlineLevel="0" collapsed="false">
      <c r="A1365" s="60"/>
      <c r="B1365" s="61" t="str">
        <f aca="false">IF($M1365=0,"",INDEX(Classes!$E$6:$E$420,$M1365))</f>
        <v/>
      </c>
      <c r="C1365" s="62" t="str">
        <f aca="false">IF($M1365=0,"",INDEX(Classes!$H$6:$H$420,$M1365))</f>
        <v/>
      </c>
      <c r="D1365" s="61" t="str">
        <f aca="false">IF($M1365=0,"",INDEX(Classes!$B$6:$B$420,$M1365))</f>
        <v/>
      </c>
      <c r="E1365" s="61" t="str">
        <f aca="false">IF($M1365=0,"",INDEX(Classes!$C$6:$C$420,$M1365))</f>
        <v/>
      </c>
      <c r="F1365" s="63"/>
      <c r="G1365" s="63"/>
      <c r="H1365" s="60"/>
      <c r="I1365" s="60"/>
      <c r="J1365" s="63"/>
      <c r="K1365" s="61" t="str">
        <f aca="false">IF($P1365=0,"",IF($F1365="Baseline","— Baseline",IF($O1365=0,"No result",IF($N1365=0,"No Start (attainment only)",IF(OR($N1365=1,$O1365=1),"U – needs rule",INDEX(MxBody,MATCH($I1365,MxCurr,0),MATCH($H1365,MxStart,0)))))))</f>
        <v/>
      </c>
      <c r="L1365" s="62" t="str">
        <f aca="false">IF(COUNTA($A1365,$F1365,$G1365,$H1365,$I1365,$J1365)=0,"",IF($M1365=0,"✖ كود الصف غير موجود",IF(ISNA(MATCH($F1365,Lists!$A$2:$A$5,0)),"✖ الفترة غير صحيحة",IF(ISNA(MATCH($G1365,Lists!$B$2:$B$7,0)),"✖ المجموعة غير صحيحة",IF(NOT(OR($H1365="",$N1365&gt;0)),"✖ Start غير صحيح",IF(NOT(OR($I1365="",$I1365="NR",$O1365&gt;0)),"✖ Current غير صحيح",IF(NOT(IF(ISNUMBER($J1365),AND($J1365&gt;=0,$J1365=INT($J1365)),FALSE())),"✖ العدد يجب أن يكون صحيحًا ≥ 0",IF(AND($F1365="Baseline",$H1365&lt;&gt;""),"⚠ Baseline: Start لا يدخل في التقدم",IF($K1365="No Start (attainment only)","ℹ تحصيل فقط (بدون Start)",IF($K1365="U – needs rule","ℹ حالة U تحتاج قاعدة معتمدة",IF($K1365="No result","ℹ بدون نتيجة (يُستبعد من التحصيل)","OK")))))))))))</f>
        <v/>
      </c>
      <c r="M1365" s="64" t="n">
        <f aca="false">IF($A1365="",0,IFERROR(MATCH($A1365,Classes!$A$6:$A$420,0),0))</f>
        <v>0</v>
      </c>
      <c r="N1365" s="64" t="n">
        <f aca="false">IF($H1365="",0,IFERROR(MATCH($H1365,GradeList,0),0))</f>
        <v>0</v>
      </c>
      <c r="O1365" s="64" t="n">
        <f aca="false">IF(OR($I1365="",$I1365="NR"),0,IFERROR(MATCH($I1365,GradeList,0),0))</f>
        <v>0</v>
      </c>
      <c r="P1365" s="64" t="n">
        <f aca="false">IF(AND($M1365&gt;0,ISNUMBER(MATCH($F1365,Lists!$A$2:$A$5,0)),ISNUMBER(MATCH($G1365,Lists!$B$2:$B$7,0)),OR($H1365="",$N1365&gt;0),OR($I1365="",$I1365="NR",$O1365&gt;0),IF(ISNUMBER($J1365),AND($J1365&gt;=0,$J1365=INT($J1365)),FALSE())),$J1365,0)</f>
        <v>0</v>
      </c>
      <c r="Q1365" s="64" t="n">
        <f aca="false">IF(AND($P1365&gt;0,$O1365&gt;0),$P1365,0)</f>
        <v>0</v>
      </c>
      <c r="R1365" s="64" t="n">
        <f aca="false">IF(AND($Q1365&gt;0,$O1365&gt;=AtRank),$Q1365,0)</f>
        <v>0</v>
      </c>
      <c r="S1365" s="64" t="n">
        <f aca="false">IF(AND($Q1365&gt;0,$O1365&gt;=AboveRank),$Q1365,0)</f>
        <v>0</v>
      </c>
      <c r="T1365" s="64" t="n">
        <f aca="false">IF($K1365="Less",$P1365,0)</f>
        <v>0</v>
      </c>
      <c r="U1365" s="64" t="n">
        <f aca="false">IF($K1365="Expected",$P1365,0)</f>
        <v>0</v>
      </c>
      <c r="V1365" s="64" t="n">
        <f aca="false">IF($K1365="Better",$P1365,0)</f>
        <v>0</v>
      </c>
      <c r="W1365" s="64" t="n">
        <f aca="false">IF($K1365="U – needs rule",$P1365,0)</f>
        <v>0</v>
      </c>
      <c r="X1365" s="64" t="n">
        <f aca="false">IF($K1365="No Start (attainment only)",$P1365,0)</f>
        <v>0</v>
      </c>
    </row>
    <row r="1366" customFormat="false" ht="15" hidden="false" customHeight="false" outlineLevel="0" collapsed="false">
      <c r="A1366" s="60"/>
      <c r="B1366" s="61" t="str">
        <f aca="false">IF($M1366=0,"",INDEX(Classes!$E$6:$E$420,$M1366))</f>
        <v/>
      </c>
      <c r="C1366" s="62" t="str">
        <f aca="false">IF($M1366=0,"",INDEX(Classes!$H$6:$H$420,$M1366))</f>
        <v/>
      </c>
      <c r="D1366" s="61" t="str">
        <f aca="false">IF($M1366=0,"",INDEX(Classes!$B$6:$B$420,$M1366))</f>
        <v/>
      </c>
      <c r="E1366" s="61" t="str">
        <f aca="false">IF($M1366=0,"",INDEX(Classes!$C$6:$C$420,$M1366))</f>
        <v/>
      </c>
      <c r="F1366" s="63"/>
      <c r="G1366" s="63"/>
      <c r="H1366" s="60"/>
      <c r="I1366" s="60"/>
      <c r="J1366" s="63"/>
      <c r="K1366" s="61" t="str">
        <f aca="false">IF($P1366=0,"",IF($F1366="Baseline","— Baseline",IF($O1366=0,"No result",IF($N1366=0,"No Start (attainment only)",IF(OR($N1366=1,$O1366=1),"U – needs rule",INDEX(MxBody,MATCH($I1366,MxCurr,0),MATCH($H1366,MxStart,0)))))))</f>
        <v/>
      </c>
      <c r="L1366" s="62" t="str">
        <f aca="false">IF(COUNTA($A1366,$F1366,$G1366,$H1366,$I1366,$J1366)=0,"",IF($M1366=0,"✖ كود الصف غير موجود",IF(ISNA(MATCH($F1366,Lists!$A$2:$A$5,0)),"✖ الفترة غير صحيحة",IF(ISNA(MATCH($G1366,Lists!$B$2:$B$7,0)),"✖ المجموعة غير صحيحة",IF(NOT(OR($H1366="",$N1366&gt;0)),"✖ Start غير صحيح",IF(NOT(OR($I1366="",$I1366="NR",$O1366&gt;0)),"✖ Current غير صحيح",IF(NOT(IF(ISNUMBER($J1366),AND($J1366&gt;=0,$J1366=INT($J1366)),FALSE())),"✖ العدد يجب أن يكون صحيحًا ≥ 0",IF(AND($F1366="Baseline",$H1366&lt;&gt;""),"⚠ Baseline: Start لا يدخل في التقدم",IF($K1366="No Start (attainment only)","ℹ تحصيل فقط (بدون Start)",IF($K1366="U – needs rule","ℹ حالة U تحتاج قاعدة معتمدة",IF($K1366="No result","ℹ بدون نتيجة (يُستبعد من التحصيل)","OK")))))))))))</f>
        <v/>
      </c>
      <c r="M1366" s="64" t="n">
        <f aca="false">IF($A1366="",0,IFERROR(MATCH($A1366,Classes!$A$6:$A$420,0),0))</f>
        <v>0</v>
      </c>
      <c r="N1366" s="64" t="n">
        <f aca="false">IF($H1366="",0,IFERROR(MATCH($H1366,GradeList,0),0))</f>
        <v>0</v>
      </c>
      <c r="O1366" s="64" t="n">
        <f aca="false">IF(OR($I1366="",$I1366="NR"),0,IFERROR(MATCH($I1366,GradeList,0),0))</f>
        <v>0</v>
      </c>
      <c r="P1366" s="64" t="n">
        <f aca="false">IF(AND($M1366&gt;0,ISNUMBER(MATCH($F1366,Lists!$A$2:$A$5,0)),ISNUMBER(MATCH($G1366,Lists!$B$2:$B$7,0)),OR($H1366="",$N1366&gt;0),OR($I1366="",$I1366="NR",$O1366&gt;0),IF(ISNUMBER($J1366),AND($J1366&gt;=0,$J1366=INT($J1366)),FALSE())),$J1366,0)</f>
        <v>0</v>
      </c>
      <c r="Q1366" s="64" t="n">
        <f aca="false">IF(AND($P1366&gt;0,$O1366&gt;0),$P1366,0)</f>
        <v>0</v>
      </c>
      <c r="R1366" s="64" t="n">
        <f aca="false">IF(AND($Q1366&gt;0,$O1366&gt;=AtRank),$Q1366,0)</f>
        <v>0</v>
      </c>
      <c r="S1366" s="64" t="n">
        <f aca="false">IF(AND($Q1366&gt;0,$O1366&gt;=AboveRank),$Q1366,0)</f>
        <v>0</v>
      </c>
      <c r="T1366" s="64" t="n">
        <f aca="false">IF($K1366="Less",$P1366,0)</f>
        <v>0</v>
      </c>
      <c r="U1366" s="64" t="n">
        <f aca="false">IF($K1366="Expected",$P1366,0)</f>
        <v>0</v>
      </c>
      <c r="V1366" s="64" t="n">
        <f aca="false">IF($K1366="Better",$P1366,0)</f>
        <v>0</v>
      </c>
      <c r="W1366" s="64" t="n">
        <f aca="false">IF($K1366="U – needs rule",$P1366,0)</f>
        <v>0</v>
      </c>
      <c r="X1366" s="64" t="n">
        <f aca="false">IF($K1366="No Start (attainment only)",$P1366,0)</f>
        <v>0</v>
      </c>
    </row>
    <row r="1367" customFormat="false" ht="15" hidden="false" customHeight="false" outlineLevel="0" collapsed="false">
      <c r="A1367" s="60"/>
      <c r="B1367" s="61" t="str">
        <f aca="false">IF($M1367=0,"",INDEX(Classes!$E$6:$E$420,$M1367))</f>
        <v/>
      </c>
      <c r="C1367" s="62" t="str">
        <f aca="false">IF($M1367=0,"",INDEX(Classes!$H$6:$H$420,$M1367))</f>
        <v/>
      </c>
      <c r="D1367" s="61" t="str">
        <f aca="false">IF($M1367=0,"",INDEX(Classes!$B$6:$B$420,$M1367))</f>
        <v/>
      </c>
      <c r="E1367" s="61" t="str">
        <f aca="false">IF($M1367=0,"",INDEX(Classes!$C$6:$C$420,$M1367))</f>
        <v/>
      </c>
      <c r="F1367" s="63"/>
      <c r="G1367" s="63"/>
      <c r="H1367" s="60"/>
      <c r="I1367" s="60"/>
      <c r="J1367" s="63"/>
      <c r="K1367" s="61" t="str">
        <f aca="false">IF($P1367=0,"",IF($F1367="Baseline","— Baseline",IF($O1367=0,"No result",IF($N1367=0,"No Start (attainment only)",IF(OR($N1367=1,$O1367=1),"U – needs rule",INDEX(MxBody,MATCH($I1367,MxCurr,0),MATCH($H1367,MxStart,0)))))))</f>
        <v/>
      </c>
      <c r="L1367" s="62" t="str">
        <f aca="false">IF(COUNTA($A1367,$F1367,$G1367,$H1367,$I1367,$J1367)=0,"",IF($M1367=0,"✖ كود الصف غير موجود",IF(ISNA(MATCH($F1367,Lists!$A$2:$A$5,0)),"✖ الفترة غير صحيحة",IF(ISNA(MATCH($G1367,Lists!$B$2:$B$7,0)),"✖ المجموعة غير صحيحة",IF(NOT(OR($H1367="",$N1367&gt;0)),"✖ Start غير صحيح",IF(NOT(OR($I1367="",$I1367="NR",$O1367&gt;0)),"✖ Current غير صحيح",IF(NOT(IF(ISNUMBER($J1367),AND($J1367&gt;=0,$J1367=INT($J1367)),FALSE())),"✖ العدد يجب أن يكون صحيحًا ≥ 0",IF(AND($F1367="Baseline",$H1367&lt;&gt;""),"⚠ Baseline: Start لا يدخل في التقدم",IF($K1367="No Start (attainment only)","ℹ تحصيل فقط (بدون Start)",IF($K1367="U – needs rule","ℹ حالة U تحتاج قاعدة معتمدة",IF($K1367="No result","ℹ بدون نتيجة (يُستبعد من التحصيل)","OK")))))))))))</f>
        <v/>
      </c>
      <c r="M1367" s="64" t="n">
        <f aca="false">IF($A1367="",0,IFERROR(MATCH($A1367,Classes!$A$6:$A$420,0),0))</f>
        <v>0</v>
      </c>
      <c r="N1367" s="64" t="n">
        <f aca="false">IF($H1367="",0,IFERROR(MATCH($H1367,GradeList,0),0))</f>
        <v>0</v>
      </c>
      <c r="O1367" s="64" t="n">
        <f aca="false">IF(OR($I1367="",$I1367="NR"),0,IFERROR(MATCH($I1367,GradeList,0),0))</f>
        <v>0</v>
      </c>
      <c r="P1367" s="64" t="n">
        <f aca="false">IF(AND($M1367&gt;0,ISNUMBER(MATCH($F1367,Lists!$A$2:$A$5,0)),ISNUMBER(MATCH($G1367,Lists!$B$2:$B$7,0)),OR($H1367="",$N1367&gt;0),OR($I1367="",$I1367="NR",$O1367&gt;0),IF(ISNUMBER($J1367),AND($J1367&gt;=0,$J1367=INT($J1367)),FALSE())),$J1367,0)</f>
        <v>0</v>
      </c>
      <c r="Q1367" s="64" t="n">
        <f aca="false">IF(AND($P1367&gt;0,$O1367&gt;0),$P1367,0)</f>
        <v>0</v>
      </c>
      <c r="R1367" s="64" t="n">
        <f aca="false">IF(AND($Q1367&gt;0,$O1367&gt;=AtRank),$Q1367,0)</f>
        <v>0</v>
      </c>
      <c r="S1367" s="64" t="n">
        <f aca="false">IF(AND($Q1367&gt;0,$O1367&gt;=AboveRank),$Q1367,0)</f>
        <v>0</v>
      </c>
      <c r="T1367" s="64" t="n">
        <f aca="false">IF($K1367="Less",$P1367,0)</f>
        <v>0</v>
      </c>
      <c r="U1367" s="64" t="n">
        <f aca="false">IF($K1367="Expected",$P1367,0)</f>
        <v>0</v>
      </c>
      <c r="V1367" s="64" t="n">
        <f aca="false">IF($K1367="Better",$P1367,0)</f>
        <v>0</v>
      </c>
      <c r="W1367" s="64" t="n">
        <f aca="false">IF($K1367="U – needs rule",$P1367,0)</f>
        <v>0</v>
      </c>
      <c r="X1367" s="64" t="n">
        <f aca="false">IF($K1367="No Start (attainment only)",$P1367,0)</f>
        <v>0</v>
      </c>
    </row>
    <row r="1368" customFormat="false" ht="15" hidden="false" customHeight="false" outlineLevel="0" collapsed="false">
      <c r="A1368" s="60"/>
      <c r="B1368" s="61" t="str">
        <f aca="false">IF($M1368=0,"",INDEX(Classes!$E$6:$E$420,$M1368))</f>
        <v/>
      </c>
      <c r="C1368" s="62" t="str">
        <f aca="false">IF($M1368=0,"",INDEX(Classes!$H$6:$H$420,$M1368))</f>
        <v/>
      </c>
      <c r="D1368" s="61" t="str">
        <f aca="false">IF($M1368=0,"",INDEX(Classes!$B$6:$B$420,$M1368))</f>
        <v/>
      </c>
      <c r="E1368" s="61" t="str">
        <f aca="false">IF($M1368=0,"",INDEX(Classes!$C$6:$C$420,$M1368))</f>
        <v/>
      </c>
      <c r="F1368" s="63"/>
      <c r="G1368" s="63"/>
      <c r="H1368" s="60"/>
      <c r="I1368" s="60"/>
      <c r="J1368" s="63"/>
      <c r="K1368" s="61" t="str">
        <f aca="false">IF($P1368=0,"",IF($F1368="Baseline","— Baseline",IF($O1368=0,"No result",IF($N1368=0,"No Start (attainment only)",IF(OR($N1368=1,$O1368=1),"U – needs rule",INDEX(MxBody,MATCH($I1368,MxCurr,0),MATCH($H1368,MxStart,0)))))))</f>
        <v/>
      </c>
      <c r="L1368" s="62" t="str">
        <f aca="false">IF(COUNTA($A1368,$F1368,$G1368,$H1368,$I1368,$J1368)=0,"",IF($M1368=0,"✖ كود الصف غير موجود",IF(ISNA(MATCH($F1368,Lists!$A$2:$A$5,0)),"✖ الفترة غير صحيحة",IF(ISNA(MATCH($G1368,Lists!$B$2:$B$7,0)),"✖ المجموعة غير صحيحة",IF(NOT(OR($H1368="",$N1368&gt;0)),"✖ Start غير صحيح",IF(NOT(OR($I1368="",$I1368="NR",$O1368&gt;0)),"✖ Current غير صحيح",IF(NOT(IF(ISNUMBER($J1368),AND($J1368&gt;=0,$J1368=INT($J1368)),FALSE())),"✖ العدد يجب أن يكون صحيحًا ≥ 0",IF(AND($F1368="Baseline",$H1368&lt;&gt;""),"⚠ Baseline: Start لا يدخل في التقدم",IF($K1368="No Start (attainment only)","ℹ تحصيل فقط (بدون Start)",IF($K1368="U – needs rule","ℹ حالة U تحتاج قاعدة معتمدة",IF($K1368="No result","ℹ بدون نتيجة (يُستبعد من التحصيل)","OK")))))))))))</f>
        <v/>
      </c>
      <c r="M1368" s="64" t="n">
        <f aca="false">IF($A1368="",0,IFERROR(MATCH($A1368,Classes!$A$6:$A$420,0),0))</f>
        <v>0</v>
      </c>
      <c r="N1368" s="64" t="n">
        <f aca="false">IF($H1368="",0,IFERROR(MATCH($H1368,GradeList,0),0))</f>
        <v>0</v>
      </c>
      <c r="O1368" s="64" t="n">
        <f aca="false">IF(OR($I1368="",$I1368="NR"),0,IFERROR(MATCH($I1368,GradeList,0),0))</f>
        <v>0</v>
      </c>
      <c r="P1368" s="64" t="n">
        <f aca="false">IF(AND($M1368&gt;0,ISNUMBER(MATCH($F1368,Lists!$A$2:$A$5,0)),ISNUMBER(MATCH($G1368,Lists!$B$2:$B$7,0)),OR($H1368="",$N1368&gt;0),OR($I1368="",$I1368="NR",$O1368&gt;0),IF(ISNUMBER($J1368),AND($J1368&gt;=0,$J1368=INT($J1368)),FALSE())),$J1368,0)</f>
        <v>0</v>
      </c>
      <c r="Q1368" s="64" t="n">
        <f aca="false">IF(AND($P1368&gt;0,$O1368&gt;0),$P1368,0)</f>
        <v>0</v>
      </c>
      <c r="R1368" s="64" t="n">
        <f aca="false">IF(AND($Q1368&gt;0,$O1368&gt;=AtRank),$Q1368,0)</f>
        <v>0</v>
      </c>
      <c r="S1368" s="64" t="n">
        <f aca="false">IF(AND($Q1368&gt;0,$O1368&gt;=AboveRank),$Q1368,0)</f>
        <v>0</v>
      </c>
      <c r="T1368" s="64" t="n">
        <f aca="false">IF($K1368="Less",$P1368,0)</f>
        <v>0</v>
      </c>
      <c r="U1368" s="64" t="n">
        <f aca="false">IF($K1368="Expected",$P1368,0)</f>
        <v>0</v>
      </c>
      <c r="V1368" s="64" t="n">
        <f aca="false">IF($K1368="Better",$P1368,0)</f>
        <v>0</v>
      </c>
      <c r="W1368" s="64" t="n">
        <f aca="false">IF($K1368="U – needs rule",$P1368,0)</f>
        <v>0</v>
      </c>
      <c r="X1368" s="64" t="n">
        <f aca="false">IF($K1368="No Start (attainment only)",$P1368,0)</f>
        <v>0</v>
      </c>
    </row>
    <row r="1369" customFormat="false" ht="15" hidden="false" customHeight="false" outlineLevel="0" collapsed="false">
      <c r="A1369" s="60"/>
      <c r="B1369" s="61" t="str">
        <f aca="false">IF($M1369=0,"",INDEX(Classes!$E$6:$E$420,$M1369))</f>
        <v/>
      </c>
      <c r="C1369" s="62" t="str">
        <f aca="false">IF($M1369=0,"",INDEX(Classes!$H$6:$H$420,$M1369))</f>
        <v/>
      </c>
      <c r="D1369" s="61" t="str">
        <f aca="false">IF($M1369=0,"",INDEX(Classes!$B$6:$B$420,$M1369))</f>
        <v/>
      </c>
      <c r="E1369" s="61" t="str">
        <f aca="false">IF($M1369=0,"",INDEX(Classes!$C$6:$C$420,$M1369))</f>
        <v/>
      </c>
      <c r="F1369" s="63"/>
      <c r="G1369" s="63"/>
      <c r="H1369" s="60"/>
      <c r="I1369" s="60"/>
      <c r="J1369" s="63"/>
      <c r="K1369" s="61" t="str">
        <f aca="false">IF($P1369=0,"",IF($F1369="Baseline","— Baseline",IF($O1369=0,"No result",IF($N1369=0,"No Start (attainment only)",IF(OR($N1369=1,$O1369=1),"U – needs rule",INDEX(MxBody,MATCH($I1369,MxCurr,0),MATCH($H1369,MxStart,0)))))))</f>
        <v/>
      </c>
      <c r="L1369" s="62" t="str">
        <f aca="false">IF(COUNTA($A1369,$F1369,$G1369,$H1369,$I1369,$J1369)=0,"",IF($M1369=0,"✖ كود الصف غير موجود",IF(ISNA(MATCH($F1369,Lists!$A$2:$A$5,0)),"✖ الفترة غير صحيحة",IF(ISNA(MATCH($G1369,Lists!$B$2:$B$7,0)),"✖ المجموعة غير صحيحة",IF(NOT(OR($H1369="",$N1369&gt;0)),"✖ Start غير صحيح",IF(NOT(OR($I1369="",$I1369="NR",$O1369&gt;0)),"✖ Current غير صحيح",IF(NOT(IF(ISNUMBER($J1369),AND($J1369&gt;=0,$J1369=INT($J1369)),FALSE())),"✖ العدد يجب أن يكون صحيحًا ≥ 0",IF(AND($F1369="Baseline",$H1369&lt;&gt;""),"⚠ Baseline: Start لا يدخل في التقدم",IF($K1369="No Start (attainment only)","ℹ تحصيل فقط (بدون Start)",IF($K1369="U – needs rule","ℹ حالة U تحتاج قاعدة معتمدة",IF($K1369="No result","ℹ بدون نتيجة (يُستبعد من التحصيل)","OK")))))))))))</f>
        <v/>
      </c>
      <c r="M1369" s="64" t="n">
        <f aca="false">IF($A1369="",0,IFERROR(MATCH($A1369,Classes!$A$6:$A$420,0),0))</f>
        <v>0</v>
      </c>
      <c r="N1369" s="64" t="n">
        <f aca="false">IF($H1369="",0,IFERROR(MATCH($H1369,GradeList,0),0))</f>
        <v>0</v>
      </c>
      <c r="O1369" s="64" t="n">
        <f aca="false">IF(OR($I1369="",$I1369="NR"),0,IFERROR(MATCH($I1369,GradeList,0),0))</f>
        <v>0</v>
      </c>
      <c r="P1369" s="64" t="n">
        <f aca="false">IF(AND($M1369&gt;0,ISNUMBER(MATCH($F1369,Lists!$A$2:$A$5,0)),ISNUMBER(MATCH($G1369,Lists!$B$2:$B$7,0)),OR($H1369="",$N1369&gt;0),OR($I1369="",$I1369="NR",$O1369&gt;0),IF(ISNUMBER($J1369),AND($J1369&gt;=0,$J1369=INT($J1369)),FALSE())),$J1369,0)</f>
        <v>0</v>
      </c>
      <c r="Q1369" s="64" t="n">
        <f aca="false">IF(AND($P1369&gt;0,$O1369&gt;0),$P1369,0)</f>
        <v>0</v>
      </c>
      <c r="R1369" s="64" t="n">
        <f aca="false">IF(AND($Q1369&gt;0,$O1369&gt;=AtRank),$Q1369,0)</f>
        <v>0</v>
      </c>
      <c r="S1369" s="64" t="n">
        <f aca="false">IF(AND($Q1369&gt;0,$O1369&gt;=AboveRank),$Q1369,0)</f>
        <v>0</v>
      </c>
      <c r="T1369" s="64" t="n">
        <f aca="false">IF($K1369="Less",$P1369,0)</f>
        <v>0</v>
      </c>
      <c r="U1369" s="64" t="n">
        <f aca="false">IF($K1369="Expected",$P1369,0)</f>
        <v>0</v>
      </c>
      <c r="V1369" s="64" t="n">
        <f aca="false">IF($K1369="Better",$P1369,0)</f>
        <v>0</v>
      </c>
      <c r="W1369" s="64" t="n">
        <f aca="false">IF($K1369="U – needs rule",$P1369,0)</f>
        <v>0</v>
      </c>
      <c r="X1369" s="64" t="n">
        <f aca="false">IF($K1369="No Start (attainment only)",$P1369,0)</f>
        <v>0</v>
      </c>
    </row>
    <row r="1370" customFormat="false" ht="15" hidden="false" customHeight="false" outlineLevel="0" collapsed="false">
      <c r="A1370" s="60"/>
      <c r="B1370" s="61" t="str">
        <f aca="false">IF($M1370=0,"",INDEX(Classes!$E$6:$E$420,$M1370))</f>
        <v/>
      </c>
      <c r="C1370" s="62" t="str">
        <f aca="false">IF($M1370=0,"",INDEX(Classes!$H$6:$H$420,$M1370))</f>
        <v/>
      </c>
      <c r="D1370" s="61" t="str">
        <f aca="false">IF($M1370=0,"",INDEX(Classes!$B$6:$B$420,$M1370))</f>
        <v/>
      </c>
      <c r="E1370" s="61" t="str">
        <f aca="false">IF($M1370=0,"",INDEX(Classes!$C$6:$C$420,$M1370))</f>
        <v/>
      </c>
      <c r="F1370" s="63"/>
      <c r="G1370" s="63"/>
      <c r="H1370" s="60"/>
      <c r="I1370" s="60"/>
      <c r="J1370" s="63"/>
      <c r="K1370" s="61" t="str">
        <f aca="false">IF($P1370=0,"",IF($F1370="Baseline","— Baseline",IF($O1370=0,"No result",IF($N1370=0,"No Start (attainment only)",IF(OR($N1370=1,$O1370=1),"U – needs rule",INDEX(MxBody,MATCH($I1370,MxCurr,0),MATCH($H1370,MxStart,0)))))))</f>
        <v/>
      </c>
      <c r="L1370" s="62" t="str">
        <f aca="false">IF(COUNTA($A1370,$F1370,$G1370,$H1370,$I1370,$J1370)=0,"",IF($M1370=0,"✖ كود الصف غير موجود",IF(ISNA(MATCH($F1370,Lists!$A$2:$A$5,0)),"✖ الفترة غير صحيحة",IF(ISNA(MATCH($G1370,Lists!$B$2:$B$7,0)),"✖ المجموعة غير صحيحة",IF(NOT(OR($H1370="",$N1370&gt;0)),"✖ Start غير صحيح",IF(NOT(OR($I1370="",$I1370="NR",$O1370&gt;0)),"✖ Current غير صحيح",IF(NOT(IF(ISNUMBER($J1370),AND($J1370&gt;=0,$J1370=INT($J1370)),FALSE())),"✖ العدد يجب أن يكون صحيحًا ≥ 0",IF(AND($F1370="Baseline",$H1370&lt;&gt;""),"⚠ Baseline: Start لا يدخل في التقدم",IF($K1370="No Start (attainment only)","ℹ تحصيل فقط (بدون Start)",IF($K1370="U – needs rule","ℹ حالة U تحتاج قاعدة معتمدة",IF($K1370="No result","ℹ بدون نتيجة (يُستبعد من التحصيل)","OK")))))))))))</f>
        <v/>
      </c>
      <c r="M1370" s="64" t="n">
        <f aca="false">IF($A1370="",0,IFERROR(MATCH($A1370,Classes!$A$6:$A$420,0),0))</f>
        <v>0</v>
      </c>
      <c r="N1370" s="64" t="n">
        <f aca="false">IF($H1370="",0,IFERROR(MATCH($H1370,GradeList,0),0))</f>
        <v>0</v>
      </c>
      <c r="O1370" s="64" t="n">
        <f aca="false">IF(OR($I1370="",$I1370="NR"),0,IFERROR(MATCH($I1370,GradeList,0),0))</f>
        <v>0</v>
      </c>
      <c r="P1370" s="64" t="n">
        <f aca="false">IF(AND($M1370&gt;0,ISNUMBER(MATCH($F1370,Lists!$A$2:$A$5,0)),ISNUMBER(MATCH($G1370,Lists!$B$2:$B$7,0)),OR($H1370="",$N1370&gt;0),OR($I1370="",$I1370="NR",$O1370&gt;0),IF(ISNUMBER($J1370),AND($J1370&gt;=0,$J1370=INT($J1370)),FALSE())),$J1370,0)</f>
        <v>0</v>
      </c>
      <c r="Q1370" s="64" t="n">
        <f aca="false">IF(AND($P1370&gt;0,$O1370&gt;0),$P1370,0)</f>
        <v>0</v>
      </c>
      <c r="R1370" s="64" t="n">
        <f aca="false">IF(AND($Q1370&gt;0,$O1370&gt;=AtRank),$Q1370,0)</f>
        <v>0</v>
      </c>
      <c r="S1370" s="64" t="n">
        <f aca="false">IF(AND($Q1370&gt;0,$O1370&gt;=AboveRank),$Q1370,0)</f>
        <v>0</v>
      </c>
      <c r="T1370" s="64" t="n">
        <f aca="false">IF($K1370="Less",$P1370,0)</f>
        <v>0</v>
      </c>
      <c r="U1370" s="64" t="n">
        <f aca="false">IF($K1370="Expected",$P1370,0)</f>
        <v>0</v>
      </c>
      <c r="V1370" s="64" t="n">
        <f aca="false">IF($K1370="Better",$P1370,0)</f>
        <v>0</v>
      </c>
      <c r="W1370" s="64" t="n">
        <f aca="false">IF($K1370="U – needs rule",$P1370,0)</f>
        <v>0</v>
      </c>
      <c r="X1370" s="64" t="n">
        <f aca="false">IF($K1370="No Start (attainment only)",$P1370,0)</f>
        <v>0</v>
      </c>
    </row>
    <row r="1371" customFormat="false" ht="15" hidden="false" customHeight="false" outlineLevel="0" collapsed="false">
      <c r="A1371" s="60"/>
      <c r="B1371" s="61" t="str">
        <f aca="false">IF($M1371=0,"",INDEX(Classes!$E$6:$E$420,$M1371))</f>
        <v/>
      </c>
      <c r="C1371" s="62" t="str">
        <f aca="false">IF($M1371=0,"",INDEX(Classes!$H$6:$H$420,$M1371))</f>
        <v/>
      </c>
      <c r="D1371" s="61" t="str">
        <f aca="false">IF($M1371=0,"",INDEX(Classes!$B$6:$B$420,$M1371))</f>
        <v/>
      </c>
      <c r="E1371" s="61" t="str">
        <f aca="false">IF($M1371=0,"",INDEX(Classes!$C$6:$C$420,$M1371))</f>
        <v/>
      </c>
      <c r="F1371" s="63"/>
      <c r="G1371" s="63"/>
      <c r="H1371" s="60"/>
      <c r="I1371" s="60"/>
      <c r="J1371" s="63"/>
      <c r="K1371" s="61" t="str">
        <f aca="false">IF($P1371=0,"",IF($F1371="Baseline","— Baseline",IF($O1371=0,"No result",IF($N1371=0,"No Start (attainment only)",IF(OR($N1371=1,$O1371=1),"U – needs rule",INDEX(MxBody,MATCH($I1371,MxCurr,0),MATCH($H1371,MxStart,0)))))))</f>
        <v/>
      </c>
      <c r="L1371" s="62" t="str">
        <f aca="false">IF(COUNTA($A1371,$F1371,$G1371,$H1371,$I1371,$J1371)=0,"",IF($M1371=0,"✖ كود الصف غير موجود",IF(ISNA(MATCH($F1371,Lists!$A$2:$A$5,0)),"✖ الفترة غير صحيحة",IF(ISNA(MATCH($G1371,Lists!$B$2:$B$7,0)),"✖ المجموعة غير صحيحة",IF(NOT(OR($H1371="",$N1371&gt;0)),"✖ Start غير صحيح",IF(NOT(OR($I1371="",$I1371="NR",$O1371&gt;0)),"✖ Current غير صحيح",IF(NOT(IF(ISNUMBER($J1371),AND($J1371&gt;=0,$J1371=INT($J1371)),FALSE())),"✖ العدد يجب أن يكون صحيحًا ≥ 0",IF(AND($F1371="Baseline",$H1371&lt;&gt;""),"⚠ Baseline: Start لا يدخل في التقدم",IF($K1371="No Start (attainment only)","ℹ تحصيل فقط (بدون Start)",IF($K1371="U – needs rule","ℹ حالة U تحتاج قاعدة معتمدة",IF($K1371="No result","ℹ بدون نتيجة (يُستبعد من التحصيل)","OK")))))))))))</f>
        <v/>
      </c>
      <c r="M1371" s="64" t="n">
        <f aca="false">IF($A1371="",0,IFERROR(MATCH($A1371,Classes!$A$6:$A$420,0),0))</f>
        <v>0</v>
      </c>
      <c r="N1371" s="64" t="n">
        <f aca="false">IF($H1371="",0,IFERROR(MATCH($H1371,GradeList,0),0))</f>
        <v>0</v>
      </c>
      <c r="O1371" s="64" t="n">
        <f aca="false">IF(OR($I1371="",$I1371="NR"),0,IFERROR(MATCH($I1371,GradeList,0),0))</f>
        <v>0</v>
      </c>
      <c r="P1371" s="64" t="n">
        <f aca="false">IF(AND($M1371&gt;0,ISNUMBER(MATCH($F1371,Lists!$A$2:$A$5,0)),ISNUMBER(MATCH($G1371,Lists!$B$2:$B$7,0)),OR($H1371="",$N1371&gt;0),OR($I1371="",$I1371="NR",$O1371&gt;0),IF(ISNUMBER($J1371),AND($J1371&gt;=0,$J1371=INT($J1371)),FALSE())),$J1371,0)</f>
        <v>0</v>
      </c>
      <c r="Q1371" s="64" t="n">
        <f aca="false">IF(AND($P1371&gt;0,$O1371&gt;0),$P1371,0)</f>
        <v>0</v>
      </c>
      <c r="R1371" s="64" t="n">
        <f aca="false">IF(AND($Q1371&gt;0,$O1371&gt;=AtRank),$Q1371,0)</f>
        <v>0</v>
      </c>
      <c r="S1371" s="64" t="n">
        <f aca="false">IF(AND($Q1371&gt;0,$O1371&gt;=AboveRank),$Q1371,0)</f>
        <v>0</v>
      </c>
      <c r="T1371" s="64" t="n">
        <f aca="false">IF($K1371="Less",$P1371,0)</f>
        <v>0</v>
      </c>
      <c r="U1371" s="64" t="n">
        <f aca="false">IF($K1371="Expected",$P1371,0)</f>
        <v>0</v>
      </c>
      <c r="V1371" s="64" t="n">
        <f aca="false">IF($K1371="Better",$P1371,0)</f>
        <v>0</v>
      </c>
      <c r="W1371" s="64" t="n">
        <f aca="false">IF($K1371="U – needs rule",$P1371,0)</f>
        <v>0</v>
      </c>
      <c r="X1371" s="64" t="n">
        <f aca="false">IF($K1371="No Start (attainment only)",$P1371,0)</f>
        <v>0</v>
      </c>
    </row>
    <row r="1372" customFormat="false" ht="15" hidden="false" customHeight="false" outlineLevel="0" collapsed="false">
      <c r="A1372" s="60"/>
      <c r="B1372" s="61" t="str">
        <f aca="false">IF($M1372=0,"",INDEX(Classes!$E$6:$E$420,$M1372))</f>
        <v/>
      </c>
      <c r="C1372" s="62" t="str">
        <f aca="false">IF($M1372=0,"",INDEX(Classes!$H$6:$H$420,$M1372))</f>
        <v/>
      </c>
      <c r="D1372" s="61" t="str">
        <f aca="false">IF($M1372=0,"",INDEX(Classes!$B$6:$B$420,$M1372))</f>
        <v/>
      </c>
      <c r="E1372" s="61" t="str">
        <f aca="false">IF($M1372=0,"",INDEX(Classes!$C$6:$C$420,$M1372))</f>
        <v/>
      </c>
      <c r="F1372" s="63"/>
      <c r="G1372" s="63"/>
      <c r="H1372" s="60"/>
      <c r="I1372" s="60"/>
      <c r="J1372" s="63"/>
      <c r="K1372" s="61" t="str">
        <f aca="false">IF($P1372=0,"",IF($F1372="Baseline","— Baseline",IF($O1372=0,"No result",IF($N1372=0,"No Start (attainment only)",IF(OR($N1372=1,$O1372=1),"U – needs rule",INDEX(MxBody,MATCH($I1372,MxCurr,0),MATCH($H1372,MxStart,0)))))))</f>
        <v/>
      </c>
      <c r="L1372" s="62" t="str">
        <f aca="false">IF(COUNTA($A1372,$F1372,$G1372,$H1372,$I1372,$J1372)=0,"",IF($M1372=0,"✖ كود الصف غير موجود",IF(ISNA(MATCH($F1372,Lists!$A$2:$A$5,0)),"✖ الفترة غير صحيحة",IF(ISNA(MATCH($G1372,Lists!$B$2:$B$7,0)),"✖ المجموعة غير صحيحة",IF(NOT(OR($H1372="",$N1372&gt;0)),"✖ Start غير صحيح",IF(NOT(OR($I1372="",$I1372="NR",$O1372&gt;0)),"✖ Current غير صحيح",IF(NOT(IF(ISNUMBER($J1372),AND($J1372&gt;=0,$J1372=INT($J1372)),FALSE())),"✖ العدد يجب أن يكون صحيحًا ≥ 0",IF(AND($F1372="Baseline",$H1372&lt;&gt;""),"⚠ Baseline: Start لا يدخل في التقدم",IF($K1372="No Start (attainment only)","ℹ تحصيل فقط (بدون Start)",IF($K1372="U – needs rule","ℹ حالة U تحتاج قاعدة معتمدة",IF($K1372="No result","ℹ بدون نتيجة (يُستبعد من التحصيل)","OK")))))))))))</f>
        <v/>
      </c>
      <c r="M1372" s="64" t="n">
        <f aca="false">IF($A1372="",0,IFERROR(MATCH($A1372,Classes!$A$6:$A$420,0),0))</f>
        <v>0</v>
      </c>
      <c r="N1372" s="64" t="n">
        <f aca="false">IF($H1372="",0,IFERROR(MATCH($H1372,GradeList,0),0))</f>
        <v>0</v>
      </c>
      <c r="O1372" s="64" t="n">
        <f aca="false">IF(OR($I1372="",$I1372="NR"),0,IFERROR(MATCH($I1372,GradeList,0),0))</f>
        <v>0</v>
      </c>
      <c r="P1372" s="64" t="n">
        <f aca="false">IF(AND($M1372&gt;0,ISNUMBER(MATCH($F1372,Lists!$A$2:$A$5,0)),ISNUMBER(MATCH($G1372,Lists!$B$2:$B$7,0)),OR($H1372="",$N1372&gt;0),OR($I1372="",$I1372="NR",$O1372&gt;0),IF(ISNUMBER($J1372),AND($J1372&gt;=0,$J1372=INT($J1372)),FALSE())),$J1372,0)</f>
        <v>0</v>
      </c>
      <c r="Q1372" s="64" t="n">
        <f aca="false">IF(AND($P1372&gt;0,$O1372&gt;0),$P1372,0)</f>
        <v>0</v>
      </c>
      <c r="R1372" s="64" t="n">
        <f aca="false">IF(AND($Q1372&gt;0,$O1372&gt;=AtRank),$Q1372,0)</f>
        <v>0</v>
      </c>
      <c r="S1372" s="64" t="n">
        <f aca="false">IF(AND($Q1372&gt;0,$O1372&gt;=AboveRank),$Q1372,0)</f>
        <v>0</v>
      </c>
      <c r="T1372" s="64" t="n">
        <f aca="false">IF($K1372="Less",$P1372,0)</f>
        <v>0</v>
      </c>
      <c r="U1372" s="64" t="n">
        <f aca="false">IF($K1372="Expected",$P1372,0)</f>
        <v>0</v>
      </c>
      <c r="V1372" s="64" t="n">
        <f aca="false">IF($K1372="Better",$P1372,0)</f>
        <v>0</v>
      </c>
      <c r="W1372" s="64" t="n">
        <f aca="false">IF($K1372="U – needs rule",$P1372,0)</f>
        <v>0</v>
      </c>
      <c r="X1372" s="64" t="n">
        <f aca="false">IF($K1372="No Start (attainment only)",$P1372,0)</f>
        <v>0</v>
      </c>
    </row>
    <row r="1373" customFormat="false" ht="15" hidden="false" customHeight="false" outlineLevel="0" collapsed="false">
      <c r="A1373" s="60"/>
      <c r="B1373" s="61" t="str">
        <f aca="false">IF($M1373=0,"",INDEX(Classes!$E$6:$E$420,$M1373))</f>
        <v/>
      </c>
      <c r="C1373" s="62" t="str">
        <f aca="false">IF($M1373=0,"",INDEX(Classes!$H$6:$H$420,$M1373))</f>
        <v/>
      </c>
      <c r="D1373" s="61" t="str">
        <f aca="false">IF($M1373=0,"",INDEX(Classes!$B$6:$B$420,$M1373))</f>
        <v/>
      </c>
      <c r="E1373" s="61" t="str">
        <f aca="false">IF($M1373=0,"",INDEX(Classes!$C$6:$C$420,$M1373))</f>
        <v/>
      </c>
      <c r="F1373" s="63"/>
      <c r="G1373" s="63"/>
      <c r="H1373" s="60"/>
      <c r="I1373" s="60"/>
      <c r="J1373" s="63"/>
      <c r="K1373" s="61" t="str">
        <f aca="false">IF($P1373=0,"",IF($F1373="Baseline","— Baseline",IF($O1373=0,"No result",IF($N1373=0,"No Start (attainment only)",IF(OR($N1373=1,$O1373=1),"U – needs rule",INDEX(MxBody,MATCH($I1373,MxCurr,0),MATCH($H1373,MxStart,0)))))))</f>
        <v/>
      </c>
      <c r="L1373" s="62" t="str">
        <f aca="false">IF(COUNTA($A1373,$F1373,$G1373,$H1373,$I1373,$J1373)=0,"",IF($M1373=0,"✖ كود الصف غير موجود",IF(ISNA(MATCH($F1373,Lists!$A$2:$A$5,0)),"✖ الفترة غير صحيحة",IF(ISNA(MATCH($G1373,Lists!$B$2:$B$7,0)),"✖ المجموعة غير صحيحة",IF(NOT(OR($H1373="",$N1373&gt;0)),"✖ Start غير صحيح",IF(NOT(OR($I1373="",$I1373="NR",$O1373&gt;0)),"✖ Current غير صحيح",IF(NOT(IF(ISNUMBER($J1373),AND($J1373&gt;=0,$J1373=INT($J1373)),FALSE())),"✖ العدد يجب أن يكون صحيحًا ≥ 0",IF(AND($F1373="Baseline",$H1373&lt;&gt;""),"⚠ Baseline: Start لا يدخل في التقدم",IF($K1373="No Start (attainment only)","ℹ تحصيل فقط (بدون Start)",IF($K1373="U – needs rule","ℹ حالة U تحتاج قاعدة معتمدة",IF($K1373="No result","ℹ بدون نتيجة (يُستبعد من التحصيل)","OK")))))))))))</f>
        <v/>
      </c>
      <c r="M1373" s="64" t="n">
        <f aca="false">IF($A1373="",0,IFERROR(MATCH($A1373,Classes!$A$6:$A$420,0),0))</f>
        <v>0</v>
      </c>
      <c r="N1373" s="64" t="n">
        <f aca="false">IF($H1373="",0,IFERROR(MATCH($H1373,GradeList,0),0))</f>
        <v>0</v>
      </c>
      <c r="O1373" s="64" t="n">
        <f aca="false">IF(OR($I1373="",$I1373="NR"),0,IFERROR(MATCH($I1373,GradeList,0),0))</f>
        <v>0</v>
      </c>
      <c r="P1373" s="64" t="n">
        <f aca="false">IF(AND($M1373&gt;0,ISNUMBER(MATCH($F1373,Lists!$A$2:$A$5,0)),ISNUMBER(MATCH($G1373,Lists!$B$2:$B$7,0)),OR($H1373="",$N1373&gt;0),OR($I1373="",$I1373="NR",$O1373&gt;0),IF(ISNUMBER($J1373),AND($J1373&gt;=0,$J1373=INT($J1373)),FALSE())),$J1373,0)</f>
        <v>0</v>
      </c>
      <c r="Q1373" s="64" t="n">
        <f aca="false">IF(AND($P1373&gt;0,$O1373&gt;0),$P1373,0)</f>
        <v>0</v>
      </c>
      <c r="R1373" s="64" t="n">
        <f aca="false">IF(AND($Q1373&gt;0,$O1373&gt;=AtRank),$Q1373,0)</f>
        <v>0</v>
      </c>
      <c r="S1373" s="64" t="n">
        <f aca="false">IF(AND($Q1373&gt;0,$O1373&gt;=AboveRank),$Q1373,0)</f>
        <v>0</v>
      </c>
      <c r="T1373" s="64" t="n">
        <f aca="false">IF($K1373="Less",$P1373,0)</f>
        <v>0</v>
      </c>
      <c r="U1373" s="64" t="n">
        <f aca="false">IF($K1373="Expected",$P1373,0)</f>
        <v>0</v>
      </c>
      <c r="V1373" s="64" t="n">
        <f aca="false">IF($K1373="Better",$P1373,0)</f>
        <v>0</v>
      </c>
      <c r="W1373" s="64" t="n">
        <f aca="false">IF($K1373="U – needs rule",$P1373,0)</f>
        <v>0</v>
      </c>
      <c r="X1373" s="64" t="n">
        <f aca="false">IF($K1373="No Start (attainment only)",$P1373,0)</f>
        <v>0</v>
      </c>
    </row>
    <row r="1374" customFormat="false" ht="15" hidden="false" customHeight="false" outlineLevel="0" collapsed="false">
      <c r="A1374" s="60"/>
      <c r="B1374" s="61" t="str">
        <f aca="false">IF($M1374=0,"",INDEX(Classes!$E$6:$E$420,$M1374))</f>
        <v/>
      </c>
      <c r="C1374" s="62" t="str">
        <f aca="false">IF($M1374=0,"",INDEX(Classes!$H$6:$H$420,$M1374))</f>
        <v/>
      </c>
      <c r="D1374" s="61" t="str">
        <f aca="false">IF($M1374=0,"",INDEX(Classes!$B$6:$B$420,$M1374))</f>
        <v/>
      </c>
      <c r="E1374" s="61" t="str">
        <f aca="false">IF($M1374=0,"",INDEX(Classes!$C$6:$C$420,$M1374))</f>
        <v/>
      </c>
      <c r="F1374" s="63"/>
      <c r="G1374" s="63"/>
      <c r="H1374" s="60"/>
      <c r="I1374" s="60"/>
      <c r="J1374" s="63"/>
      <c r="K1374" s="61" t="str">
        <f aca="false">IF($P1374=0,"",IF($F1374="Baseline","— Baseline",IF($O1374=0,"No result",IF($N1374=0,"No Start (attainment only)",IF(OR($N1374=1,$O1374=1),"U – needs rule",INDEX(MxBody,MATCH($I1374,MxCurr,0),MATCH($H1374,MxStart,0)))))))</f>
        <v/>
      </c>
      <c r="L1374" s="62" t="str">
        <f aca="false">IF(COUNTA($A1374,$F1374,$G1374,$H1374,$I1374,$J1374)=0,"",IF($M1374=0,"✖ كود الصف غير موجود",IF(ISNA(MATCH($F1374,Lists!$A$2:$A$5,0)),"✖ الفترة غير صحيحة",IF(ISNA(MATCH($G1374,Lists!$B$2:$B$7,0)),"✖ المجموعة غير صحيحة",IF(NOT(OR($H1374="",$N1374&gt;0)),"✖ Start غير صحيح",IF(NOT(OR($I1374="",$I1374="NR",$O1374&gt;0)),"✖ Current غير صحيح",IF(NOT(IF(ISNUMBER($J1374),AND($J1374&gt;=0,$J1374=INT($J1374)),FALSE())),"✖ العدد يجب أن يكون صحيحًا ≥ 0",IF(AND($F1374="Baseline",$H1374&lt;&gt;""),"⚠ Baseline: Start لا يدخل في التقدم",IF($K1374="No Start (attainment only)","ℹ تحصيل فقط (بدون Start)",IF($K1374="U – needs rule","ℹ حالة U تحتاج قاعدة معتمدة",IF($K1374="No result","ℹ بدون نتيجة (يُستبعد من التحصيل)","OK")))))))))))</f>
        <v/>
      </c>
      <c r="M1374" s="64" t="n">
        <f aca="false">IF($A1374="",0,IFERROR(MATCH($A1374,Classes!$A$6:$A$420,0),0))</f>
        <v>0</v>
      </c>
      <c r="N1374" s="64" t="n">
        <f aca="false">IF($H1374="",0,IFERROR(MATCH($H1374,GradeList,0),0))</f>
        <v>0</v>
      </c>
      <c r="O1374" s="64" t="n">
        <f aca="false">IF(OR($I1374="",$I1374="NR"),0,IFERROR(MATCH($I1374,GradeList,0),0))</f>
        <v>0</v>
      </c>
      <c r="P1374" s="64" t="n">
        <f aca="false">IF(AND($M1374&gt;0,ISNUMBER(MATCH($F1374,Lists!$A$2:$A$5,0)),ISNUMBER(MATCH($G1374,Lists!$B$2:$B$7,0)),OR($H1374="",$N1374&gt;0),OR($I1374="",$I1374="NR",$O1374&gt;0),IF(ISNUMBER($J1374),AND($J1374&gt;=0,$J1374=INT($J1374)),FALSE())),$J1374,0)</f>
        <v>0</v>
      </c>
      <c r="Q1374" s="64" t="n">
        <f aca="false">IF(AND($P1374&gt;0,$O1374&gt;0),$P1374,0)</f>
        <v>0</v>
      </c>
      <c r="R1374" s="64" t="n">
        <f aca="false">IF(AND($Q1374&gt;0,$O1374&gt;=AtRank),$Q1374,0)</f>
        <v>0</v>
      </c>
      <c r="S1374" s="64" t="n">
        <f aca="false">IF(AND($Q1374&gt;0,$O1374&gt;=AboveRank),$Q1374,0)</f>
        <v>0</v>
      </c>
      <c r="T1374" s="64" t="n">
        <f aca="false">IF($K1374="Less",$P1374,0)</f>
        <v>0</v>
      </c>
      <c r="U1374" s="64" t="n">
        <f aca="false">IF($K1374="Expected",$P1374,0)</f>
        <v>0</v>
      </c>
      <c r="V1374" s="64" t="n">
        <f aca="false">IF($K1374="Better",$P1374,0)</f>
        <v>0</v>
      </c>
      <c r="W1374" s="64" t="n">
        <f aca="false">IF($K1374="U – needs rule",$P1374,0)</f>
        <v>0</v>
      </c>
      <c r="X1374" s="64" t="n">
        <f aca="false">IF($K1374="No Start (attainment only)",$P1374,0)</f>
        <v>0</v>
      </c>
    </row>
    <row r="1375" customFormat="false" ht="15" hidden="false" customHeight="false" outlineLevel="0" collapsed="false">
      <c r="A1375" s="60"/>
      <c r="B1375" s="61" t="str">
        <f aca="false">IF($M1375=0,"",INDEX(Classes!$E$6:$E$420,$M1375))</f>
        <v/>
      </c>
      <c r="C1375" s="62" t="str">
        <f aca="false">IF($M1375=0,"",INDEX(Classes!$H$6:$H$420,$M1375))</f>
        <v/>
      </c>
      <c r="D1375" s="61" t="str">
        <f aca="false">IF($M1375=0,"",INDEX(Classes!$B$6:$B$420,$M1375))</f>
        <v/>
      </c>
      <c r="E1375" s="61" t="str">
        <f aca="false">IF($M1375=0,"",INDEX(Classes!$C$6:$C$420,$M1375))</f>
        <v/>
      </c>
      <c r="F1375" s="63"/>
      <c r="G1375" s="63"/>
      <c r="H1375" s="60"/>
      <c r="I1375" s="60"/>
      <c r="J1375" s="63"/>
      <c r="K1375" s="61" t="str">
        <f aca="false">IF($P1375=0,"",IF($F1375="Baseline","— Baseline",IF($O1375=0,"No result",IF($N1375=0,"No Start (attainment only)",IF(OR($N1375=1,$O1375=1),"U – needs rule",INDEX(MxBody,MATCH($I1375,MxCurr,0),MATCH($H1375,MxStart,0)))))))</f>
        <v/>
      </c>
      <c r="L1375" s="62" t="str">
        <f aca="false">IF(COUNTA($A1375,$F1375,$G1375,$H1375,$I1375,$J1375)=0,"",IF($M1375=0,"✖ كود الصف غير موجود",IF(ISNA(MATCH($F1375,Lists!$A$2:$A$5,0)),"✖ الفترة غير صحيحة",IF(ISNA(MATCH($G1375,Lists!$B$2:$B$7,0)),"✖ المجموعة غير صحيحة",IF(NOT(OR($H1375="",$N1375&gt;0)),"✖ Start غير صحيح",IF(NOT(OR($I1375="",$I1375="NR",$O1375&gt;0)),"✖ Current غير صحيح",IF(NOT(IF(ISNUMBER($J1375),AND($J1375&gt;=0,$J1375=INT($J1375)),FALSE())),"✖ العدد يجب أن يكون صحيحًا ≥ 0",IF(AND($F1375="Baseline",$H1375&lt;&gt;""),"⚠ Baseline: Start لا يدخل في التقدم",IF($K1375="No Start (attainment only)","ℹ تحصيل فقط (بدون Start)",IF($K1375="U – needs rule","ℹ حالة U تحتاج قاعدة معتمدة",IF($K1375="No result","ℹ بدون نتيجة (يُستبعد من التحصيل)","OK")))))))))))</f>
        <v/>
      </c>
      <c r="M1375" s="64" t="n">
        <f aca="false">IF($A1375="",0,IFERROR(MATCH($A1375,Classes!$A$6:$A$420,0),0))</f>
        <v>0</v>
      </c>
      <c r="N1375" s="64" t="n">
        <f aca="false">IF($H1375="",0,IFERROR(MATCH($H1375,GradeList,0),0))</f>
        <v>0</v>
      </c>
      <c r="O1375" s="64" t="n">
        <f aca="false">IF(OR($I1375="",$I1375="NR"),0,IFERROR(MATCH($I1375,GradeList,0),0))</f>
        <v>0</v>
      </c>
      <c r="P1375" s="64" t="n">
        <f aca="false">IF(AND($M1375&gt;0,ISNUMBER(MATCH($F1375,Lists!$A$2:$A$5,0)),ISNUMBER(MATCH($G1375,Lists!$B$2:$B$7,0)),OR($H1375="",$N1375&gt;0),OR($I1375="",$I1375="NR",$O1375&gt;0),IF(ISNUMBER($J1375),AND($J1375&gt;=0,$J1375=INT($J1375)),FALSE())),$J1375,0)</f>
        <v>0</v>
      </c>
      <c r="Q1375" s="64" t="n">
        <f aca="false">IF(AND($P1375&gt;0,$O1375&gt;0),$P1375,0)</f>
        <v>0</v>
      </c>
      <c r="R1375" s="64" t="n">
        <f aca="false">IF(AND($Q1375&gt;0,$O1375&gt;=AtRank),$Q1375,0)</f>
        <v>0</v>
      </c>
      <c r="S1375" s="64" t="n">
        <f aca="false">IF(AND($Q1375&gt;0,$O1375&gt;=AboveRank),$Q1375,0)</f>
        <v>0</v>
      </c>
      <c r="T1375" s="64" t="n">
        <f aca="false">IF($K1375="Less",$P1375,0)</f>
        <v>0</v>
      </c>
      <c r="U1375" s="64" t="n">
        <f aca="false">IF($K1375="Expected",$P1375,0)</f>
        <v>0</v>
      </c>
      <c r="V1375" s="64" t="n">
        <f aca="false">IF($K1375="Better",$P1375,0)</f>
        <v>0</v>
      </c>
      <c r="W1375" s="64" t="n">
        <f aca="false">IF($K1375="U – needs rule",$P1375,0)</f>
        <v>0</v>
      </c>
      <c r="X1375" s="64" t="n">
        <f aca="false">IF($K1375="No Start (attainment only)",$P1375,0)</f>
        <v>0</v>
      </c>
    </row>
    <row r="1376" customFormat="false" ht="15" hidden="false" customHeight="false" outlineLevel="0" collapsed="false">
      <c r="A1376" s="60"/>
      <c r="B1376" s="61" t="str">
        <f aca="false">IF($M1376=0,"",INDEX(Classes!$E$6:$E$420,$M1376))</f>
        <v/>
      </c>
      <c r="C1376" s="62" t="str">
        <f aca="false">IF($M1376=0,"",INDEX(Classes!$H$6:$H$420,$M1376))</f>
        <v/>
      </c>
      <c r="D1376" s="61" t="str">
        <f aca="false">IF($M1376=0,"",INDEX(Classes!$B$6:$B$420,$M1376))</f>
        <v/>
      </c>
      <c r="E1376" s="61" t="str">
        <f aca="false">IF($M1376=0,"",INDEX(Classes!$C$6:$C$420,$M1376))</f>
        <v/>
      </c>
      <c r="F1376" s="63"/>
      <c r="G1376" s="63"/>
      <c r="H1376" s="60"/>
      <c r="I1376" s="60"/>
      <c r="J1376" s="63"/>
      <c r="K1376" s="61" t="str">
        <f aca="false">IF($P1376=0,"",IF($F1376="Baseline","— Baseline",IF($O1376=0,"No result",IF($N1376=0,"No Start (attainment only)",IF(OR($N1376=1,$O1376=1),"U – needs rule",INDEX(MxBody,MATCH($I1376,MxCurr,0),MATCH($H1376,MxStart,0)))))))</f>
        <v/>
      </c>
      <c r="L1376" s="62" t="str">
        <f aca="false">IF(COUNTA($A1376,$F1376,$G1376,$H1376,$I1376,$J1376)=0,"",IF($M1376=0,"✖ كود الصف غير موجود",IF(ISNA(MATCH($F1376,Lists!$A$2:$A$5,0)),"✖ الفترة غير صحيحة",IF(ISNA(MATCH($G1376,Lists!$B$2:$B$7,0)),"✖ المجموعة غير صحيحة",IF(NOT(OR($H1376="",$N1376&gt;0)),"✖ Start غير صحيح",IF(NOT(OR($I1376="",$I1376="NR",$O1376&gt;0)),"✖ Current غير صحيح",IF(NOT(IF(ISNUMBER($J1376),AND($J1376&gt;=0,$J1376=INT($J1376)),FALSE())),"✖ العدد يجب أن يكون صحيحًا ≥ 0",IF(AND($F1376="Baseline",$H1376&lt;&gt;""),"⚠ Baseline: Start لا يدخل في التقدم",IF($K1376="No Start (attainment only)","ℹ تحصيل فقط (بدون Start)",IF($K1376="U – needs rule","ℹ حالة U تحتاج قاعدة معتمدة",IF($K1376="No result","ℹ بدون نتيجة (يُستبعد من التحصيل)","OK")))))))))))</f>
        <v/>
      </c>
      <c r="M1376" s="64" t="n">
        <f aca="false">IF($A1376="",0,IFERROR(MATCH($A1376,Classes!$A$6:$A$420,0),0))</f>
        <v>0</v>
      </c>
      <c r="N1376" s="64" t="n">
        <f aca="false">IF($H1376="",0,IFERROR(MATCH($H1376,GradeList,0),0))</f>
        <v>0</v>
      </c>
      <c r="O1376" s="64" t="n">
        <f aca="false">IF(OR($I1376="",$I1376="NR"),0,IFERROR(MATCH($I1376,GradeList,0),0))</f>
        <v>0</v>
      </c>
      <c r="P1376" s="64" t="n">
        <f aca="false">IF(AND($M1376&gt;0,ISNUMBER(MATCH($F1376,Lists!$A$2:$A$5,0)),ISNUMBER(MATCH($G1376,Lists!$B$2:$B$7,0)),OR($H1376="",$N1376&gt;0),OR($I1376="",$I1376="NR",$O1376&gt;0),IF(ISNUMBER($J1376),AND($J1376&gt;=0,$J1376=INT($J1376)),FALSE())),$J1376,0)</f>
        <v>0</v>
      </c>
      <c r="Q1376" s="64" t="n">
        <f aca="false">IF(AND($P1376&gt;0,$O1376&gt;0),$P1376,0)</f>
        <v>0</v>
      </c>
      <c r="R1376" s="64" t="n">
        <f aca="false">IF(AND($Q1376&gt;0,$O1376&gt;=AtRank),$Q1376,0)</f>
        <v>0</v>
      </c>
      <c r="S1376" s="64" t="n">
        <f aca="false">IF(AND($Q1376&gt;0,$O1376&gt;=AboveRank),$Q1376,0)</f>
        <v>0</v>
      </c>
      <c r="T1376" s="64" t="n">
        <f aca="false">IF($K1376="Less",$P1376,0)</f>
        <v>0</v>
      </c>
      <c r="U1376" s="64" t="n">
        <f aca="false">IF($K1376="Expected",$P1376,0)</f>
        <v>0</v>
      </c>
      <c r="V1376" s="64" t="n">
        <f aca="false">IF($K1376="Better",$P1376,0)</f>
        <v>0</v>
      </c>
      <c r="W1376" s="64" t="n">
        <f aca="false">IF($K1376="U – needs rule",$P1376,0)</f>
        <v>0</v>
      </c>
      <c r="X1376" s="64" t="n">
        <f aca="false">IF($K1376="No Start (attainment only)",$P1376,0)</f>
        <v>0</v>
      </c>
    </row>
    <row r="1377" customFormat="false" ht="15" hidden="false" customHeight="false" outlineLevel="0" collapsed="false">
      <c r="A1377" s="60"/>
      <c r="B1377" s="61" t="str">
        <f aca="false">IF($M1377=0,"",INDEX(Classes!$E$6:$E$420,$M1377))</f>
        <v/>
      </c>
      <c r="C1377" s="62" t="str">
        <f aca="false">IF($M1377=0,"",INDEX(Classes!$H$6:$H$420,$M1377))</f>
        <v/>
      </c>
      <c r="D1377" s="61" t="str">
        <f aca="false">IF($M1377=0,"",INDEX(Classes!$B$6:$B$420,$M1377))</f>
        <v/>
      </c>
      <c r="E1377" s="61" t="str">
        <f aca="false">IF($M1377=0,"",INDEX(Classes!$C$6:$C$420,$M1377))</f>
        <v/>
      </c>
      <c r="F1377" s="63"/>
      <c r="G1377" s="63"/>
      <c r="H1377" s="60"/>
      <c r="I1377" s="60"/>
      <c r="J1377" s="63"/>
      <c r="K1377" s="61" t="str">
        <f aca="false">IF($P1377=0,"",IF($F1377="Baseline","— Baseline",IF($O1377=0,"No result",IF($N1377=0,"No Start (attainment only)",IF(OR($N1377=1,$O1377=1),"U – needs rule",INDEX(MxBody,MATCH($I1377,MxCurr,0),MATCH($H1377,MxStart,0)))))))</f>
        <v/>
      </c>
      <c r="L1377" s="62" t="str">
        <f aca="false">IF(COUNTA($A1377,$F1377,$G1377,$H1377,$I1377,$J1377)=0,"",IF($M1377=0,"✖ كود الصف غير موجود",IF(ISNA(MATCH($F1377,Lists!$A$2:$A$5,0)),"✖ الفترة غير صحيحة",IF(ISNA(MATCH($G1377,Lists!$B$2:$B$7,0)),"✖ المجموعة غير صحيحة",IF(NOT(OR($H1377="",$N1377&gt;0)),"✖ Start غير صحيح",IF(NOT(OR($I1377="",$I1377="NR",$O1377&gt;0)),"✖ Current غير صحيح",IF(NOT(IF(ISNUMBER($J1377),AND($J1377&gt;=0,$J1377=INT($J1377)),FALSE())),"✖ العدد يجب أن يكون صحيحًا ≥ 0",IF(AND($F1377="Baseline",$H1377&lt;&gt;""),"⚠ Baseline: Start لا يدخل في التقدم",IF($K1377="No Start (attainment only)","ℹ تحصيل فقط (بدون Start)",IF($K1377="U – needs rule","ℹ حالة U تحتاج قاعدة معتمدة",IF($K1377="No result","ℹ بدون نتيجة (يُستبعد من التحصيل)","OK")))))))))))</f>
        <v/>
      </c>
      <c r="M1377" s="64" t="n">
        <f aca="false">IF($A1377="",0,IFERROR(MATCH($A1377,Classes!$A$6:$A$420,0),0))</f>
        <v>0</v>
      </c>
      <c r="N1377" s="64" t="n">
        <f aca="false">IF($H1377="",0,IFERROR(MATCH($H1377,GradeList,0),0))</f>
        <v>0</v>
      </c>
      <c r="O1377" s="64" t="n">
        <f aca="false">IF(OR($I1377="",$I1377="NR"),0,IFERROR(MATCH($I1377,GradeList,0),0))</f>
        <v>0</v>
      </c>
      <c r="P1377" s="64" t="n">
        <f aca="false">IF(AND($M1377&gt;0,ISNUMBER(MATCH($F1377,Lists!$A$2:$A$5,0)),ISNUMBER(MATCH($G1377,Lists!$B$2:$B$7,0)),OR($H1377="",$N1377&gt;0),OR($I1377="",$I1377="NR",$O1377&gt;0),IF(ISNUMBER($J1377),AND($J1377&gt;=0,$J1377=INT($J1377)),FALSE())),$J1377,0)</f>
        <v>0</v>
      </c>
      <c r="Q1377" s="64" t="n">
        <f aca="false">IF(AND($P1377&gt;0,$O1377&gt;0),$P1377,0)</f>
        <v>0</v>
      </c>
      <c r="R1377" s="64" t="n">
        <f aca="false">IF(AND($Q1377&gt;0,$O1377&gt;=AtRank),$Q1377,0)</f>
        <v>0</v>
      </c>
      <c r="S1377" s="64" t="n">
        <f aca="false">IF(AND($Q1377&gt;0,$O1377&gt;=AboveRank),$Q1377,0)</f>
        <v>0</v>
      </c>
      <c r="T1377" s="64" t="n">
        <f aca="false">IF($K1377="Less",$P1377,0)</f>
        <v>0</v>
      </c>
      <c r="U1377" s="64" t="n">
        <f aca="false">IF($K1377="Expected",$P1377,0)</f>
        <v>0</v>
      </c>
      <c r="V1377" s="64" t="n">
        <f aca="false">IF($K1377="Better",$P1377,0)</f>
        <v>0</v>
      </c>
      <c r="W1377" s="64" t="n">
        <f aca="false">IF($K1377="U – needs rule",$P1377,0)</f>
        <v>0</v>
      </c>
      <c r="X1377" s="64" t="n">
        <f aca="false">IF($K1377="No Start (attainment only)",$P1377,0)</f>
        <v>0</v>
      </c>
    </row>
    <row r="1378" customFormat="false" ht="15" hidden="false" customHeight="false" outlineLevel="0" collapsed="false">
      <c r="A1378" s="60"/>
      <c r="B1378" s="61" t="str">
        <f aca="false">IF($M1378=0,"",INDEX(Classes!$E$6:$E$420,$M1378))</f>
        <v/>
      </c>
      <c r="C1378" s="62" t="str">
        <f aca="false">IF($M1378=0,"",INDEX(Classes!$H$6:$H$420,$M1378))</f>
        <v/>
      </c>
      <c r="D1378" s="61" t="str">
        <f aca="false">IF($M1378=0,"",INDEX(Classes!$B$6:$B$420,$M1378))</f>
        <v/>
      </c>
      <c r="E1378" s="61" t="str">
        <f aca="false">IF($M1378=0,"",INDEX(Classes!$C$6:$C$420,$M1378))</f>
        <v/>
      </c>
      <c r="F1378" s="63"/>
      <c r="G1378" s="63"/>
      <c r="H1378" s="60"/>
      <c r="I1378" s="60"/>
      <c r="J1378" s="63"/>
      <c r="K1378" s="61" t="str">
        <f aca="false">IF($P1378=0,"",IF($F1378="Baseline","— Baseline",IF($O1378=0,"No result",IF($N1378=0,"No Start (attainment only)",IF(OR($N1378=1,$O1378=1),"U – needs rule",INDEX(MxBody,MATCH($I1378,MxCurr,0),MATCH($H1378,MxStart,0)))))))</f>
        <v/>
      </c>
      <c r="L1378" s="62" t="str">
        <f aca="false">IF(COUNTA($A1378,$F1378,$G1378,$H1378,$I1378,$J1378)=0,"",IF($M1378=0,"✖ كود الصف غير موجود",IF(ISNA(MATCH($F1378,Lists!$A$2:$A$5,0)),"✖ الفترة غير صحيحة",IF(ISNA(MATCH($G1378,Lists!$B$2:$B$7,0)),"✖ المجموعة غير صحيحة",IF(NOT(OR($H1378="",$N1378&gt;0)),"✖ Start غير صحيح",IF(NOT(OR($I1378="",$I1378="NR",$O1378&gt;0)),"✖ Current غير صحيح",IF(NOT(IF(ISNUMBER($J1378),AND($J1378&gt;=0,$J1378=INT($J1378)),FALSE())),"✖ العدد يجب أن يكون صحيحًا ≥ 0",IF(AND($F1378="Baseline",$H1378&lt;&gt;""),"⚠ Baseline: Start لا يدخل في التقدم",IF($K1378="No Start (attainment only)","ℹ تحصيل فقط (بدون Start)",IF($K1378="U – needs rule","ℹ حالة U تحتاج قاعدة معتمدة",IF($K1378="No result","ℹ بدون نتيجة (يُستبعد من التحصيل)","OK")))))))))))</f>
        <v/>
      </c>
      <c r="M1378" s="64" t="n">
        <f aca="false">IF($A1378="",0,IFERROR(MATCH($A1378,Classes!$A$6:$A$420,0),0))</f>
        <v>0</v>
      </c>
      <c r="N1378" s="64" t="n">
        <f aca="false">IF($H1378="",0,IFERROR(MATCH($H1378,GradeList,0),0))</f>
        <v>0</v>
      </c>
      <c r="O1378" s="64" t="n">
        <f aca="false">IF(OR($I1378="",$I1378="NR"),0,IFERROR(MATCH($I1378,GradeList,0),0))</f>
        <v>0</v>
      </c>
      <c r="P1378" s="64" t="n">
        <f aca="false">IF(AND($M1378&gt;0,ISNUMBER(MATCH($F1378,Lists!$A$2:$A$5,0)),ISNUMBER(MATCH($G1378,Lists!$B$2:$B$7,0)),OR($H1378="",$N1378&gt;0),OR($I1378="",$I1378="NR",$O1378&gt;0),IF(ISNUMBER($J1378),AND($J1378&gt;=0,$J1378=INT($J1378)),FALSE())),$J1378,0)</f>
        <v>0</v>
      </c>
      <c r="Q1378" s="64" t="n">
        <f aca="false">IF(AND($P1378&gt;0,$O1378&gt;0),$P1378,0)</f>
        <v>0</v>
      </c>
      <c r="R1378" s="64" t="n">
        <f aca="false">IF(AND($Q1378&gt;0,$O1378&gt;=AtRank),$Q1378,0)</f>
        <v>0</v>
      </c>
      <c r="S1378" s="64" t="n">
        <f aca="false">IF(AND($Q1378&gt;0,$O1378&gt;=AboveRank),$Q1378,0)</f>
        <v>0</v>
      </c>
      <c r="T1378" s="64" t="n">
        <f aca="false">IF($K1378="Less",$P1378,0)</f>
        <v>0</v>
      </c>
      <c r="U1378" s="64" t="n">
        <f aca="false">IF($K1378="Expected",$P1378,0)</f>
        <v>0</v>
      </c>
      <c r="V1378" s="64" t="n">
        <f aca="false">IF($K1378="Better",$P1378,0)</f>
        <v>0</v>
      </c>
      <c r="W1378" s="64" t="n">
        <f aca="false">IF($K1378="U – needs rule",$P1378,0)</f>
        <v>0</v>
      </c>
      <c r="X1378" s="64" t="n">
        <f aca="false">IF($K1378="No Start (attainment only)",$P1378,0)</f>
        <v>0</v>
      </c>
    </row>
    <row r="1379" customFormat="false" ht="15" hidden="false" customHeight="false" outlineLevel="0" collapsed="false">
      <c r="A1379" s="60"/>
      <c r="B1379" s="61" t="str">
        <f aca="false">IF($M1379=0,"",INDEX(Classes!$E$6:$E$420,$M1379))</f>
        <v/>
      </c>
      <c r="C1379" s="62" t="str">
        <f aca="false">IF($M1379=0,"",INDEX(Classes!$H$6:$H$420,$M1379))</f>
        <v/>
      </c>
      <c r="D1379" s="61" t="str">
        <f aca="false">IF($M1379=0,"",INDEX(Classes!$B$6:$B$420,$M1379))</f>
        <v/>
      </c>
      <c r="E1379" s="61" t="str">
        <f aca="false">IF($M1379=0,"",INDEX(Classes!$C$6:$C$420,$M1379))</f>
        <v/>
      </c>
      <c r="F1379" s="63"/>
      <c r="G1379" s="63"/>
      <c r="H1379" s="60"/>
      <c r="I1379" s="60"/>
      <c r="J1379" s="63"/>
      <c r="K1379" s="61" t="str">
        <f aca="false">IF($P1379=0,"",IF($F1379="Baseline","— Baseline",IF($O1379=0,"No result",IF($N1379=0,"No Start (attainment only)",IF(OR($N1379=1,$O1379=1),"U – needs rule",INDEX(MxBody,MATCH($I1379,MxCurr,0),MATCH($H1379,MxStart,0)))))))</f>
        <v/>
      </c>
      <c r="L1379" s="62" t="str">
        <f aca="false">IF(COUNTA($A1379,$F1379,$G1379,$H1379,$I1379,$J1379)=0,"",IF($M1379=0,"✖ كود الصف غير موجود",IF(ISNA(MATCH($F1379,Lists!$A$2:$A$5,0)),"✖ الفترة غير صحيحة",IF(ISNA(MATCH($G1379,Lists!$B$2:$B$7,0)),"✖ المجموعة غير صحيحة",IF(NOT(OR($H1379="",$N1379&gt;0)),"✖ Start غير صحيح",IF(NOT(OR($I1379="",$I1379="NR",$O1379&gt;0)),"✖ Current غير صحيح",IF(NOT(IF(ISNUMBER($J1379),AND($J1379&gt;=0,$J1379=INT($J1379)),FALSE())),"✖ العدد يجب أن يكون صحيحًا ≥ 0",IF(AND($F1379="Baseline",$H1379&lt;&gt;""),"⚠ Baseline: Start لا يدخل في التقدم",IF($K1379="No Start (attainment only)","ℹ تحصيل فقط (بدون Start)",IF($K1379="U – needs rule","ℹ حالة U تحتاج قاعدة معتمدة",IF($K1379="No result","ℹ بدون نتيجة (يُستبعد من التحصيل)","OK")))))))))))</f>
        <v/>
      </c>
      <c r="M1379" s="64" t="n">
        <f aca="false">IF($A1379="",0,IFERROR(MATCH($A1379,Classes!$A$6:$A$420,0),0))</f>
        <v>0</v>
      </c>
      <c r="N1379" s="64" t="n">
        <f aca="false">IF($H1379="",0,IFERROR(MATCH($H1379,GradeList,0),0))</f>
        <v>0</v>
      </c>
      <c r="O1379" s="64" t="n">
        <f aca="false">IF(OR($I1379="",$I1379="NR"),0,IFERROR(MATCH($I1379,GradeList,0),0))</f>
        <v>0</v>
      </c>
      <c r="P1379" s="64" t="n">
        <f aca="false">IF(AND($M1379&gt;0,ISNUMBER(MATCH($F1379,Lists!$A$2:$A$5,0)),ISNUMBER(MATCH($G1379,Lists!$B$2:$B$7,0)),OR($H1379="",$N1379&gt;0),OR($I1379="",$I1379="NR",$O1379&gt;0),IF(ISNUMBER($J1379),AND($J1379&gt;=0,$J1379=INT($J1379)),FALSE())),$J1379,0)</f>
        <v>0</v>
      </c>
      <c r="Q1379" s="64" t="n">
        <f aca="false">IF(AND($P1379&gt;0,$O1379&gt;0),$P1379,0)</f>
        <v>0</v>
      </c>
      <c r="R1379" s="64" t="n">
        <f aca="false">IF(AND($Q1379&gt;0,$O1379&gt;=AtRank),$Q1379,0)</f>
        <v>0</v>
      </c>
      <c r="S1379" s="64" t="n">
        <f aca="false">IF(AND($Q1379&gt;0,$O1379&gt;=AboveRank),$Q1379,0)</f>
        <v>0</v>
      </c>
      <c r="T1379" s="64" t="n">
        <f aca="false">IF($K1379="Less",$P1379,0)</f>
        <v>0</v>
      </c>
      <c r="U1379" s="64" t="n">
        <f aca="false">IF($K1379="Expected",$P1379,0)</f>
        <v>0</v>
      </c>
      <c r="V1379" s="64" t="n">
        <f aca="false">IF($K1379="Better",$P1379,0)</f>
        <v>0</v>
      </c>
      <c r="W1379" s="64" t="n">
        <f aca="false">IF($K1379="U – needs rule",$P1379,0)</f>
        <v>0</v>
      </c>
      <c r="X1379" s="64" t="n">
        <f aca="false">IF($K1379="No Start (attainment only)",$P1379,0)</f>
        <v>0</v>
      </c>
    </row>
    <row r="1380" customFormat="false" ht="15" hidden="false" customHeight="false" outlineLevel="0" collapsed="false">
      <c r="A1380" s="60"/>
      <c r="B1380" s="61" t="str">
        <f aca="false">IF($M1380=0,"",INDEX(Classes!$E$6:$E$420,$M1380))</f>
        <v/>
      </c>
      <c r="C1380" s="62" t="str">
        <f aca="false">IF($M1380=0,"",INDEX(Classes!$H$6:$H$420,$M1380))</f>
        <v/>
      </c>
      <c r="D1380" s="61" t="str">
        <f aca="false">IF($M1380=0,"",INDEX(Classes!$B$6:$B$420,$M1380))</f>
        <v/>
      </c>
      <c r="E1380" s="61" t="str">
        <f aca="false">IF($M1380=0,"",INDEX(Classes!$C$6:$C$420,$M1380))</f>
        <v/>
      </c>
      <c r="F1380" s="63"/>
      <c r="G1380" s="63"/>
      <c r="H1380" s="60"/>
      <c r="I1380" s="60"/>
      <c r="J1380" s="63"/>
      <c r="K1380" s="61" t="str">
        <f aca="false">IF($P1380=0,"",IF($F1380="Baseline","— Baseline",IF($O1380=0,"No result",IF($N1380=0,"No Start (attainment only)",IF(OR($N1380=1,$O1380=1),"U – needs rule",INDEX(MxBody,MATCH($I1380,MxCurr,0),MATCH($H1380,MxStart,0)))))))</f>
        <v/>
      </c>
      <c r="L1380" s="62" t="str">
        <f aca="false">IF(COUNTA($A1380,$F1380,$G1380,$H1380,$I1380,$J1380)=0,"",IF($M1380=0,"✖ كود الصف غير موجود",IF(ISNA(MATCH($F1380,Lists!$A$2:$A$5,0)),"✖ الفترة غير صحيحة",IF(ISNA(MATCH($G1380,Lists!$B$2:$B$7,0)),"✖ المجموعة غير صحيحة",IF(NOT(OR($H1380="",$N1380&gt;0)),"✖ Start غير صحيح",IF(NOT(OR($I1380="",$I1380="NR",$O1380&gt;0)),"✖ Current غير صحيح",IF(NOT(IF(ISNUMBER($J1380),AND($J1380&gt;=0,$J1380=INT($J1380)),FALSE())),"✖ العدد يجب أن يكون صحيحًا ≥ 0",IF(AND($F1380="Baseline",$H1380&lt;&gt;""),"⚠ Baseline: Start لا يدخل في التقدم",IF($K1380="No Start (attainment only)","ℹ تحصيل فقط (بدون Start)",IF($K1380="U – needs rule","ℹ حالة U تحتاج قاعدة معتمدة",IF($K1380="No result","ℹ بدون نتيجة (يُستبعد من التحصيل)","OK")))))))))))</f>
        <v/>
      </c>
      <c r="M1380" s="64" t="n">
        <f aca="false">IF($A1380="",0,IFERROR(MATCH($A1380,Classes!$A$6:$A$420,0),0))</f>
        <v>0</v>
      </c>
      <c r="N1380" s="64" t="n">
        <f aca="false">IF($H1380="",0,IFERROR(MATCH($H1380,GradeList,0),0))</f>
        <v>0</v>
      </c>
      <c r="O1380" s="64" t="n">
        <f aca="false">IF(OR($I1380="",$I1380="NR"),0,IFERROR(MATCH($I1380,GradeList,0),0))</f>
        <v>0</v>
      </c>
      <c r="P1380" s="64" t="n">
        <f aca="false">IF(AND($M1380&gt;0,ISNUMBER(MATCH($F1380,Lists!$A$2:$A$5,0)),ISNUMBER(MATCH($G1380,Lists!$B$2:$B$7,0)),OR($H1380="",$N1380&gt;0),OR($I1380="",$I1380="NR",$O1380&gt;0),IF(ISNUMBER($J1380),AND($J1380&gt;=0,$J1380=INT($J1380)),FALSE())),$J1380,0)</f>
        <v>0</v>
      </c>
      <c r="Q1380" s="64" t="n">
        <f aca="false">IF(AND($P1380&gt;0,$O1380&gt;0),$P1380,0)</f>
        <v>0</v>
      </c>
      <c r="R1380" s="64" t="n">
        <f aca="false">IF(AND($Q1380&gt;0,$O1380&gt;=AtRank),$Q1380,0)</f>
        <v>0</v>
      </c>
      <c r="S1380" s="64" t="n">
        <f aca="false">IF(AND($Q1380&gt;0,$O1380&gt;=AboveRank),$Q1380,0)</f>
        <v>0</v>
      </c>
      <c r="T1380" s="64" t="n">
        <f aca="false">IF($K1380="Less",$P1380,0)</f>
        <v>0</v>
      </c>
      <c r="U1380" s="64" t="n">
        <f aca="false">IF($K1380="Expected",$P1380,0)</f>
        <v>0</v>
      </c>
      <c r="V1380" s="64" t="n">
        <f aca="false">IF($K1380="Better",$P1380,0)</f>
        <v>0</v>
      </c>
      <c r="W1380" s="64" t="n">
        <f aca="false">IF($K1380="U – needs rule",$P1380,0)</f>
        <v>0</v>
      </c>
      <c r="X1380" s="64" t="n">
        <f aca="false">IF($K1380="No Start (attainment only)",$P1380,0)</f>
        <v>0</v>
      </c>
    </row>
    <row r="1381" customFormat="false" ht="15" hidden="false" customHeight="false" outlineLevel="0" collapsed="false">
      <c r="A1381" s="60"/>
      <c r="B1381" s="61" t="str">
        <f aca="false">IF($M1381=0,"",INDEX(Classes!$E$6:$E$420,$M1381))</f>
        <v/>
      </c>
      <c r="C1381" s="62" t="str">
        <f aca="false">IF($M1381=0,"",INDEX(Classes!$H$6:$H$420,$M1381))</f>
        <v/>
      </c>
      <c r="D1381" s="61" t="str">
        <f aca="false">IF($M1381=0,"",INDEX(Classes!$B$6:$B$420,$M1381))</f>
        <v/>
      </c>
      <c r="E1381" s="61" t="str">
        <f aca="false">IF($M1381=0,"",INDEX(Classes!$C$6:$C$420,$M1381))</f>
        <v/>
      </c>
      <c r="F1381" s="63"/>
      <c r="G1381" s="63"/>
      <c r="H1381" s="60"/>
      <c r="I1381" s="60"/>
      <c r="J1381" s="63"/>
      <c r="K1381" s="61" t="str">
        <f aca="false">IF($P1381=0,"",IF($F1381="Baseline","— Baseline",IF($O1381=0,"No result",IF($N1381=0,"No Start (attainment only)",IF(OR($N1381=1,$O1381=1),"U – needs rule",INDEX(MxBody,MATCH($I1381,MxCurr,0),MATCH($H1381,MxStart,0)))))))</f>
        <v/>
      </c>
      <c r="L1381" s="62" t="str">
        <f aca="false">IF(COUNTA($A1381,$F1381,$G1381,$H1381,$I1381,$J1381)=0,"",IF($M1381=0,"✖ كود الصف غير موجود",IF(ISNA(MATCH($F1381,Lists!$A$2:$A$5,0)),"✖ الفترة غير صحيحة",IF(ISNA(MATCH($G1381,Lists!$B$2:$B$7,0)),"✖ المجموعة غير صحيحة",IF(NOT(OR($H1381="",$N1381&gt;0)),"✖ Start غير صحيح",IF(NOT(OR($I1381="",$I1381="NR",$O1381&gt;0)),"✖ Current غير صحيح",IF(NOT(IF(ISNUMBER($J1381),AND($J1381&gt;=0,$J1381=INT($J1381)),FALSE())),"✖ العدد يجب أن يكون صحيحًا ≥ 0",IF(AND($F1381="Baseline",$H1381&lt;&gt;""),"⚠ Baseline: Start لا يدخل في التقدم",IF($K1381="No Start (attainment only)","ℹ تحصيل فقط (بدون Start)",IF($K1381="U – needs rule","ℹ حالة U تحتاج قاعدة معتمدة",IF($K1381="No result","ℹ بدون نتيجة (يُستبعد من التحصيل)","OK")))))))))))</f>
        <v/>
      </c>
      <c r="M1381" s="64" t="n">
        <f aca="false">IF($A1381="",0,IFERROR(MATCH($A1381,Classes!$A$6:$A$420,0),0))</f>
        <v>0</v>
      </c>
      <c r="N1381" s="64" t="n">
        <f aca="false">IF($H1381="",0,IFERROR(MATCH($H1381,GradeList,0),0))</f>
        <v>0</v>
      </c>
      <c r="O1381" s="64" t="n">
        <f aca="false">IF(OR($I1381="",$I1381="NR"),0,IFERROR(MATCH($I1381,GradeList,0),0))</f>
        <v>0</v>
      </c>
      <c r="P1381" s="64" t="n">
        <f aca="false">IF(AND($M1381&gt;0,ISNUMBER(MATCH($F1381,Lists!$A$2:$A$5,0)),ISNUMBER(MATCH($G1381,Lists!$B$2:$B$7,0)),OR($H1381="",$N1381&gt;0),OR($I1381="",$I1381="NR",$O1381&gt;0),IF(ISNUMBER($J1381),AND($J1381&gt;=0,$J1381=INT($J1381)),FALSE())),$J1381,0)</f>
        <v>0</v>
      </c>
      <c r="Q1381" s="64" t="n">
        <f aca="false">IF(AND($P1381&gt;0,$O1381&gt;0),$P1381,0)</f>
        <v>0</v>
      </c>
      <c r="R1381" s="64" t="n">
        <f aca="false">IF(AND($Q1381&gt;0,$O1381&gt;=AtRank),$Q1381,0)</f>
        <v>0</v>
      </c>
      <c r="S1381" s="64" t="n">
        <f aca="false">IF(AND($Q1381&gt;0,$O1381&gt;=AboveRank),$Q1381,0)</f>
        <v>0</v>
      </c>
      <c r="T1381" s="64" t="n">
        <f aca="false">IF($K1381="Less",$P1381,0)</f>
        <v>0</v>
      </c>
      <c r="U1381" s="64" t="n">
        <f aca="false">IF($K1381="Expected",$P1381,0)</f>
        <v>0</v>
      </c>
      <c r="V1381" s="64" t="n">
        <f aca="false">IF($K1381="Better",$P1381,0)</f>
        <v>0</v>
      </c>
      <c r="W1381" s="64" t="n">
        <f aca="false">IF($K1381="U – needs rule",$P1381,0)</f>
        <v>0</v>
      </c>
      <c r="X1381" s="64" t="n">
        <f aca="false">IF($K1381="No Start (attainment only)",$P1381,0)</f>
        <v>0</v>
      </c>
    </row>
    <row r="1382" customFormat="false" ht="15" hidden="false" customHeight="false" outlineLevel="0" collapsed="false">
      <c r="A1382" s="60"/>
      <c r="B1382" s="61" t="str">
        <f aca="false">IF($M1382=0,"",INDEX(Classes!$E$6:$E$420,$M1382))</f>
        <v/>
      </c>
      <c r="C1382" s="62" t="str">
        <f aca="false">IF($M1382=0,"",INDEX(Classes!$H$6:$H$420,$M1382))</f>
        <v/>
      </c>
      <c r="D1382" s="61" t="str">
        <f aca="false">IF($M1382=0,"",INDEX(Classes!$B$6:$B$420,$M1382))</f>
        <v/>
      </c>
      <c r="E1382" s="61" t="str">
        <f aca="false">IF($M1382=0,"",INDEX(Classes!$C$6:$C$420,$M1382))</f>
        <v/>
      </c>
      <c r="F1382" s="63"/>
      <c r="G1382" s="63"/>
      <c r="H1382" s="60"/>
      <c r="I1382" s="60"/>
      <c r="J1382" s="63"/>
      <c r="K1382" s="61" t="str">
        <f aca="false">IF($P1382=0,"",IF($F1382="Baseline","— Baseline",IF($O1382=0,"No result",IF($N1382=0,"No Start (attainment only)",IF(OR($N1382=1,$O1382=1),"U – needs rule",INDEX(MxBody,MATCH($I1382,MxCurr,0),MATCH($H1382,MxStart,0)))))))</f>
        <v/>
      </c>
      <c r="L1382" s="62" t="str">
        <f aca="false">IF(COUNTA($A1382,$F1382,$G1382,$H1382,$I1382,$J1382)=0,"",IF($M1382=0,"✖ كود الصف غير موجود",IF(ISNA(MATCH($F1382,Lists!$A$2:$A$5,0)),"✖ الفترة غير صحيحة",IF(ISNA(MATCH($G1382,Lists!$B$2:$B$7,0)),"✖ المجموعة غير صحيحة",IF(NOT(OR($H1382="",$N1382&gt;0)),"✖ Start غير صحيح",IF(NOT(OR($I1382="",$I1382="NR",$O1382&gt;0)),"✖ Current غير صحيح",IF(NOT(IF(ISNUMBER($J1382),AND($J1382&gt;=0,$J1382=INT($J1382)),FALSE())),"✖ العدد يجب أن يكون صحيحًا ≥ 0",IF(AND($F1382="Baseline",$H1382&lt;&gt;""),"⚠ Baseline: Start لا يدخل في التقدم",IF($K1382="No Start (attainment only)","ℹ تحصيل فقط (بدون Start)",IF($K1382="U – needs rule","ℹ حالة U تحتاج قاعدة معتمدة",IF($K1382="No result","ℹ بدون نتيجة (يُستبعد من التحصيل)","OK")))))))))))</f>
        <v/>
      </c>
      <c r="M1382" s="64" t="n">
        <f aca="false">IF($A1382="",0,IFERROR(MATCH($A1382,Classes!$A$6:$A$420,0),0))</f>
        <v>0</v>
      </c>
      <c r="N1382" s="64" t="n">
        <f aca="false">IF($H1382="",0,IFERROR(MATCH($H1382,GradeList,0),0))</f>
        <v>0</v>
      </c>
      <c r="O1382" s="64" t="n">
        <f aca="false">IF(OR($I1382="",$I1382="NR"),0,IFERROR(MATCH($I1382,GradeList,0),0))</f>
        <v>0</v>
      </c>
      <c r="P1382" s="64" t="n">
        <f aca="false">IF(AND($M1382&gt;0,ISNUMBER(MATCH($F1382,Lists!$A$2:$A$5,0)),ISNUMBER(MATCH($G1382,Lists!$B$2:$B$7,0)),OR($H1382="",$N1382&gt;0),OR($I1382="",$I1382="NR",$O1382&gt;0),IF(ISNUMBER($J1382),AND($J1382&gt;=0,$J1382=INT($J1382)),FALSE())),$J1382,0)</f>
        <v>0</v>
      </c>
      <c r="Q1382" s="64" t="n">
        <f aca="false">IF(AND($P1382&gt;0,$O1382&gt;0),$P1382,0)</f>
        <v>0</v>
      </c>
      <c r="R1382" s="64" t="n">
        <f aca="false">IF(AND($Q1382&gt;0,$O1382&gt;=AtRank),$Q1382,0)</f>
        <v>0</v>
      </c>
      <c r="S1382" s="64" t="n">
        <f aca="false">IF(AND($Q1382&gt;0,$O1382&gt;=AboveRank),$Q1382,0)</f>
        <v>0</v>
      </c>
      <c r="T1382" s="64" t="n">
        <f aca="false">IF($K1382="Less",$P1382,0)</f>
        <v>0</v>
      </c>
      <c r="U1382" s="64" t="n">
        <f aca="false">IF($K1382="Expected",$P1382,0)</f>
        <v>0</v>
      </c>
      <c r="V1382" s="64" t="n">
        <f aca="false">IF($K1382="Better",$P1382,0)</f>
        <v>0</v>
      </c>
      <c r="W1382" s="64" t="n">
        <f aca="false">IF($K1382="U – needs rule",$P1382,0)</f>
        <v>0</v>
      </c>
      <c r="X1382" s="64" t="n">
        <f aca="false">IF($K1382="No Start (attainment only)",$P1382,0)</f>
        <v>0</v>
      </c>
    </row>
    <row r="1383" customFormat="false" ht="15" hidden="false" customHeight="false" outlineLevel="0" collapsed="false">
      <c r="A1383" s="60"/>
      <c r="B1383" s="61" t="str">
        <f aca="false">IF($M1383=0,"",INDEX(Classes!$E$6:$E$420,$M1383))</f>
        <v/>
      </c>
      <c r="C1383" s="62" t="str">
        <f aca="false">IF($M1383=0,"",INDEX(Classes!$H$6:$H$420,$M1383))</f>
        <v/>
      </c>
      <c r="D1383" s="61" t="str">
        <f aca="false">IF($M1383=0,"",INDEX(Classes!$B$6:$B$420,$M1383))</f>
        <v/>
      </c>
      <c r="E1383" s="61" t="str">
        <f aca="false">IF($M1383=0,"",INDEX(Classes!$C$6:$C$420,$M1383))</f>
        <v/>
      </c>
      <c r="F1383" s="63"/>
      <c r="G1383" s="63"/>
      <c r="H1383" s="60"/>
      <c r="I1383" s="60"/>
      <c r="J1383" s="63"/>
      <c r="K1383" s="61" t="str">
        <f aca="false">IF($P1383=0,"",IF($F1383="Baseline","— Baseline",IF($O1383=0,"No result",IF($N1383=0,"No Start (attainment only)",IF(OR($N1383=1,$O1383=1),"U – needs rule",INDEX(MxBody,MATCH($I1383,MxCurr,0),MATCH($H1383,MxStart,0)))))))</f>
        <v/>
      </c>
      <c r="L1383" s="62" t="str">
        <f aca="false">IF(COUNTA($A1383,$F1383,$G1383,$H1383,$I1383,$J1383)=0,"",IF($M1383=0,"✖ كود الصف غير موجود",IF(ISNA(MATCH($F1383,Lists!$A$2:$A$5,0)),"✖ الفترة غير صحيحة",IF(ISNA(MATCH($G1383,Lists!$B$2:$B$7,0)),"✖ المجموعة غير صحيحة",IF(NOT(OR($H1383="",$N1383&gt;0)),"✖ Start غير صحيح",IF(NOT(OR($I1383="",$I1383="NR",$O1383&gt;0)),"✖ Current غير صحيح",IF(NOT(IF(ISNUMBER($J1383),AND($J1383&gt;=0,$J1383=INT($J1383)),FALSE())),"✖ العدد يجب أن يكون صحيحًا ≥ 0",IF(AND($F1383="Baseline",$H1383&lt;&gt;""),"⚠ Baseline: Start لا يدخل في التقدم",IF($K1383="No Start (attainment only)","ℹ تحصيل فقط (بدون Start)",IF($K1383="U – needs rule","ℹ حالة U تحتاج قاعدة معتمدة",IF($K1383="No result","ℹ بدون نتيجة (يُستبعد من التحصيل)","OK")))))))))))</f>
        <v/>
      </c>
      <c r="M1383" s="64" t="n">
        <f aca="false">IF($A1383="",0,IFERROR(MATCH($A1383,Classes!$A$6:$A$420,0),0))</f>
        <v>0</v>
      </c>
      <c r="N1383" s="64" t="n">
        <f aca="false">IF($H1383="",0,IFERROR(MATCH($H1383,GradeList,0),0))</f>
        <v>0</v>
      </c>
      <c r="O1383" s="64" t="n">
        <f aca="false">IF(OR($I1383="",$I1383="NR"),0,IFERROR(MATCH($I1383,GradeList,0),0))</f>
        <v>0</v>
      </c>
      <c r="P1383" s="64" t="n">
        <f aca="false">IF(AND($M1383&gt;0,ISNUMBER(MATCH($F1383,Lists!$A$2:$A$5,0)),ISNUMBER(MATCH($G1383,Lists!$B$2:$B$7,0)),OR($H1383="",$N1383&gt;0),OR($I1383="",$I1383="NR",$O1383&gt;0),IF(ISNUMBER($J1383),AND($J1383&gt;=0,$J1383=INT($J1383)),FALSE())),$J1383,0)</f>
        <v>0</v>
      </c>
      <c r="Q1383" s="64" t="n">
        <f aca="false">IF(AND($P1383&gt;0,$O1383&gt;0),$P1383,0)</f>
        <v>0</v>
      </c>
      <c r="R1383" s="64" t="n">
        <f aca="false">IF(AND($Q1383&gt;0,$O1383&gt;=AtRank),$Q1383,0)</f>
        <v>0</v>
      </c>
      <c r="S1383" s="64" t="n">
        <f aca="false">IF(AND($Q1383&gt;0,$O1383&gt;=AboveRank),$Q1383,0)</f>
        <v>0</v>
      </c>
      <c r="T1383" s="64" t="n">
        <f aca="false">IF($K1383="Less",$P1383,0)</f>
        <v>0</v>
      </c>
      <c r="U1383" s="64" t="n">
        <f aca="false">IF($K1383="Expected",$P1383,0)</f>
        <v>0</v>
      </c>
      <c r="V1383" s="64" t="n">
        <f aca="false">IF($K1383="Better",$P1383,0)</f>
        <v>0</v>
      </c>
      <c r="W1383" s="64" t="n">
        <f aca="false">IF($K1383="U – needs rule",$P1383,0)</f>
        <v>0</v>
      </c>
      <c r="X1383" s="64" t="n">
        <f aca="false">IF($K1383="No Start (attainment only)",$P1383,0)</f>
        <v>0</v>
      </c>
    </row>
    <row r="1384" customFormat="false" ht="15" hidden="false" customHeight="false" outlineLevel="0" collapsed="false">
      <c r="A1384" s="60"/>
      <c r="B1384" s="61" t="str">
        <f aca="false">IF($M1384=0,"",INDEX(Classes!$E$6:$E$420,$M1384))</f>
        <v/>
      </c>
      <c r="C1384" s="62" t="str">
        <f aca="false">IF($M1384=0,"",INDEX(Classes!$H$6:$H$420,$M1384))</f>
        <v/>
      </c>
      <c r="D1384" s="61" t="str">
        <f aca="false">IF($M1384=0,"",INDEX(Classes!$B$6:$B$420,$M1384))</f>
        <v/>
      </c>
      <c r="E1384" s="61" t="str">
        <f aca="false">IF($M1384=0,"",INDEX(Classes!$C$6:$C$420,$M1384))</f>
        <v/>
      </c>
      <c r="F1384" s="63"/>
      <c r="G1384" s="63"/>
      <c r="H1384" s="60"/>
      <c r="I1384" s="60"/>
      <c r="J1384" s="63"/>
      <c r="K1384" s="61" t="str">
        <f aca="false">IF($P1384=0,"",IF($F1384="Baseline","— Baseline",IF($O1384=0,"No result",IF($N1384=0,"No Start (attainment only)",IF(OR($N1384=1,$O1384=1),"U – needs rule",INDEX(MxBody,MATCH($I1384,MxCurr,0),MATCH($H1384,MxStart,0)))))))</f>
        <v/>
      </c>
      <c r="L1384" s="62" t="str">
        <f aca="false">IF(COUNTA($A1384,$F1384,$G1384,$H1384,$I1384,$J1384)=0,"",IF($M1384=0,"✖ كود الصف غير موجود",IF(ISNA(MATCH($F1384,Lists!$A$2:$A$5,0)),"✖ الفترة غير صحيحة",IF(ISNA(MATCH($G1384,Lists!$B$2:$B$7,0)),"✖ المجموعة غير صحيحة",IF(NOT(OR($H1384="",$N1384&gt;0)),"✖ Start غير صحيح",IF(NOT(OR($I1384="",$I1384="NR",$O1384&gt;0)),"✖ Current غير صحيح",IF(NOT(IF(ISNUMBER($J1384),AND($J1384&gt;=0,$J1384=INT($J1384)),FALSE())),"✖ العدد يجب أن يكون صحيحًا ≥ 0",IF(AND($F1384="Baseline",$H1384&lt;&gt;""),"⚠ Baseline: Start لا يدخل في التقدم",IF($K1384="No Start (attainment only)","ℹ تحصيل فقط (بدون Start)",IF($K1384="U – needs rule","ℹ حالة U تحتاج قاعدة معتمدة",IF($K1384="No result","ℹ بدون نتيجة (يُستبعد من التحصيل)","OK")))))))))))</f>
        <v/>
      </c>
      <c r="M1384" s="64" t="n">
        <f aca="false">IF($A1384="",0,IFERROR(MATCH($A1384,Classes!$A$6:$A$420,0),0))</f>
        <v>0</v>
      </c>
      <c r="N1384" s="64" t="n">
        <f aca="false">IF($H1384="",0,IFERROR(MATCH($H1384,GradeList,0),0))</f>
        <v>0</v>
      </c>
      <c r="O1384" s="64" t="n">
        <f aca="false">IF(OR($I1384="",$I1384="NR"),0,IFERROR(MATCH($I1384,GradeList,0),0))</f>
        <v>0</v>
      </c>
      <c r="P1384" s="64" t="n">
        <f aca="false">IF(AND($M1384&gt;0,ISNUMBER(MATCH($F1384,Lists!$A$2:$A$5,0)),ISNUMBER(MATCH($G1384,Lists!$B$2:$B$7,0)),OR($H1384="",$N1384&gt;0),OR($I1384="",$I1384="NR",$O1384&gt;0),IF(ISNUMBER($J1384),AND($J1384&gt;=0,$J1384=INT($J1384)),FALSE())),$J1384,0)</f>
        <v>0</v>
      </c>
      <c r="Q1384" s="64" t="n">
        <f aca="false">IF(AND($P1384&gt;0,$O1384&gt;0),$P1384,0)</f>
        <v>0</v>
      </c>
      <c r="R1384" s="64" t="n">
        <f aca="false">IF(AND($Q1384&gt;0,$O1384&gt;=AtRank),$Q1384,0)</f>
        <v>0</v>
      </c>
      <c r="S1384" s="64" t="n">
        <f aca="false">IF(AND($Q1384&gt;0,$O1384&gt;=AboveRank),$Q1384,0)</f>
        <v>0</v>
      </c>
      <c r="T1384" s="64" t="n">
        <f aca="false">IF($K1384="Less",$P1384,0)</f>
        <v>0</v>
      </c>
      <c r="U1384" s="64" t="n">
        <f aca="false">IF($K1384="Expected",$P1384,0)</f>
        <v>0</v>
      </c>
      <c r="V1384" s="64" t="n">
        <f aca="false">IF($K1384="Better",$P1384,0)</f>
        <v>0</v>
      </c>
      <c r="W1384" s="64" t="n">
        <f aca="false">IF($K1384="U – needs rule",$P1384,0)</f>
        <v>0</v>
      </c>
      <c r="X1384" s="64" t="n">
        <f aca="false">IF($K1384="No Start (attainment only)",$P1384,0)</f>
        <v>0</v>
      </c>
    </row>
    <row r="1385" customFormat="false" ht="15" hidden="false" customHeight="false" outlineLevel="0" collapsed="false">
      <c r="A1385" s="60"/>
      <c r="B1385" s="61" t="str">
        <f aca="false">IF($M1385=0,"",INDEX(Classes!$E$6:$E$420,$M1385))</f>
        <v/>
      </c>
      <c r="C1385" s="62" t="str">
        <f aca="false">IF($M1385=0,"",INDEX(Classes!$H$6:$H$420,$M1385))</f>
        <v/>
      </c>
      <c r="D1385" s="61" t="str">
        <f aca="false">IF($M1385=0,"",INDEX(Classes!$B$6:$B$420,$M1385))</f>
        <v/>
      </c>
      <c r="E1385" s="61" t="str">
        <f aca="false">IF($M1385=0,"",INDEX(Classes!$C$6:$C$420,$M1385))</f>
        <v/>
      </c>
      <c r="F1385" s="63"/>
      <c r="G1385" s="63"/>
      <c r="H1385" s="60"/>
      <c r="I1385" s="60"/>
      <c r="J1385" s="63"/>
      <c r="K1385" s="61" t="str">
        <f aca="false">IF($P1385=0,"",IF($F1385="Baseline","— Baseline",IF($O1385=0,"No result",IF($N1385=0,"No Start (attainment only)",IF(OR($N1385=1,$O1385=1),"U – needs rule",INDEX(MxBody,MATCH($I1385,MxCurr,0),MATCH($H1385,MxStart,0)))))))</f>
        <v/>
      </c>
      <c r="L1385" s="62" t="str">
        <f aca="false">IF(COUNTA($A1385,$F1385,$G1385,$H1385,$I1385,$J1385)=0,"",IF($M1385=0,"✖ كود الصف غير موجود",IF(ISNA(MATCH($F1385,Lists!$A$2:$A$5,0)),"✖ الفترة غير صحيحة",IF(ISNA(MATCH($G1385,Lists!$B$2:$B$7,0)),"✖ المجموعة غير صحيحة",IF(NOT(OR($H1385="",$N1385&gt;0)),"✖ Start غير صحيح",IF(NOT(OR($I1385="",$I1385="NR",$O1385&gt;0)),"✖ Current غير صحيح",IF(NOT(IF(ISNUMBER($J1385),AND($J1385&gt;=0,$J1385=INT($J1385)),FALSE())),"✖ العدد يجب أن يكون صحيحًا ≥ 0",IF(AND($F1385="Baseline",$H1385&lt;&gt;""),"⚠ Baseline: Start لا يدخل في التقدم",IF($K1385="No Start (attainment only)","ℹ تحصيل فقط (بدون Start)",IF($K1385="U – needs rule","ℹ حالة U تحتاج قاعدة معتمدة",IF($K1385="No result","ℹ بدون نتيجة (يُستبعد من التحصيل)","OK")))))))))))</f>
        <v/>
      </c>
      <c r="M1385" s="64" t="n">
        <f aca="false">IF($A1385="",0,IFERROR(MATCH($A1385,Classes!$A$6:$A$420,0),0))</f>
        <v>0</v>
      </c>
      <c r="N1385" s="64" t="n">
        <f aca="false">IF($H1385="",0,IFERROR(MATCH($H1385,GradeList,0),0))</f>
        <v>0</v>
      </c>
      <c r="O1385" s="64" t="n">
        <f aca="false">IF(OR($I1385="",$I1385="NR"),0,IFERROR(MATCH($I1385,GradeList,0),0))</f>
        <v>0</v>
      </c>
      <c r="P1385" s="64" t="n">
        <f aca="false">IF(AND($M1385&gt;0,ISNUMBER(MATCH($F1385,Lists!$A$2:$A$5,0)),ISNUMBER(MATCH($G1385,Lists!$B$2:$B$7,0)),OR($H1385="",$N1385&gt;0),OR($I1385="",$I1385="NR",$O1385&gt;0),IF(ISNUMBER($J1385),AND($J1385&gt;=0,$J1385=INT($J1385)),FALSE())),$J1385,0)</f>
        <v>0</v>
      </c>
      <c r="Q1385" s="64" t="n">
        <f aca="false">IF(AND($P1385&gt;0,$O1385&gt;0),$P1385,0)</f>
        <v>0</v>
      </c>
      <c r="R1385" s="64" t="n">
        <f aca="false">IF(AND($Q1385&gt;0,$O1385&gt;=AtRank),$Q1385,0)</f>
        <v>0</v>
      </c>
      <c r="S1385" s="64" t="n">
        <f aca="false">IF(AND($Q1385&gt;0,$O1385&gt;=AboveRank),$Q1385,0)</f>
        <v>0</v>
      </c>
      <c r="T1385" s="64" t="n">
        <f aca="false">IF($K1385="Less",$P1385,0)</f>
        <v>0</v>
      </c>
      <c r="U1385" s="64" t="n">
        <f aca="false">IF($K1385="Expected",$P1385,0)</f>
        <v>0</v>
      </c>
      <c r="V1385" s="64" t="n">
        <f aca="false">IF($K1385="Better",$P1385,0)</f>
        <v>0</v>
      </c>
      <c r="W1385" s="64" t="n">
        <f aca="false">IF($K1385="U – needs rule",$P1385,0)</f>
        <v>0</v>
      </c>
      <c r="X1385" s="64" t="n">
        <f aca="false">IF($K1385="No Start (attainment only)",$P1385,0)</f>
        <v>0</v>
      </c>
    </row>
    <row r="1386" customFormat="false" ht="15" hidden="false" customHeight="false" outlineLevel="0" collapsed="false">
      <c r="A1386" s="60"/>
      <c r="B1386" s="61" t="str">
        <f aca="false">IF($M1386=0,"",INDEX(Classes!$E$6:$E$420,$M1386))</f>
        <v/>
      </c>
      <c r="C1386" s="62" t="str">
        <f aca="false">IF($M1386=0,"",INDEX(Classes!$H$6:$H$420,$M1386))</f>
        <v/>
      </c>
      <c r="D1386" s="61" t="str">
        <f aca="false">IF($M1386=0,"",INDEX(Classes!$B$6:$B$420,$M1386))</f>
        <v/>
      </c>
      <c r="E1386" s="61" t="str">
        <f aca="false">IF($M1386=0,"",INDEX(Classes!$C$6:$C$420,$M1386))</f>
        <v/>
      </c>
      <c r="F1386" s="63"/>
      <c r="G1386" s="63"/>
      <c r="H1386" s="60"/>
      <c r="I1386" s="60"/>
      <c r="J1386" s="63"/>
      <c r="K1386" s="61" t="str">
        <f aca="false">IF($P1386=0,"",IF($F1386="Baseline","— Baseline",IF($O1386=0,"No result",IF($N1386=0,"No Start (attainment only)",IF(OR($N1386=1,$O1386=1),"U – needs rule",INDEX(MxBody,MATCH($I1386,MxCurr,0),MATCH($H1386,MxStart,0)))))))</f>
        <v/>
      </c>
      <c r="L1386" s="62" t="str">
        <f aca="false">IF(COUNTA($A1386,$F1386,$G1386,$H1386,$I1386,$J1386)=0,"",IF($M1386=0,"✖ كود الصف غير موجود",IF(ISNA(MATCH($F1386,Lists!$A$2:$A$5,0)),"✖ الفترة غير صحيحة",IF(ISNA(MATCH($G1386,Lists!$B$2:$B$7,0)),"✖ المجموعة غير صحيحة",IF(NOT(OR($H1386="",$N1386&gt;0)),"✖ Start غير صحيح",IF(NOT(OR($I1386="",$I1386="NR",$O1386&gt;0)),"✖ Current غير صحيح",IF(NOT(IF(ISNUMBER($J1386),AND($J1386&gt;=0,$J1386=INT($J1386)),FALSE())),"✖ العدد يجب أن يكون صحيحًا ≥ 0",IF(AND($F1386="Baseline",$H1386&lt;&gt;""),"⚠ Baseline: Start لا يدخل في التقدم",IF($K1386="No Start (attainment only)","ℹ تحصيل فقط (بدون Start)",IF($K1386="U – needs rule","ℹ حالة U تحتاج قاعدة معتمدة",IF($K1386="No result","ℹ بدون نتيجة (يُستبعد من التحصيل)","OK")))))))))))</f>
        <v/>
      </c>
      <c r="M1386" s="64" t="n">
        <f aca="false">IF($A1386="",0,IFERROR(MATCH($A1386,Classes!$A$6:$A$420,0),0))</f>
        <v>0</v>
      </c>
      <c r="N1386" s="64" t="n">
        <f aca="false">IF($H1386="",0,IFERROR(MATCH($H1386,GradeList,0),0))</f>
        <v>0</v>
      </c>
      <c r="O1386" s="64" t="n">
        <f aca="false">IF(OR($I1386="",$I1386="NR"),0,IFERROR(MATCH($I1386,GradeList,0),0))</f>
        <v>0</v>
      </c>
      <c r="P1386" s="64" t="n">
        <f aca="false">IF(AND($M1386&gt;0,ISNUMBER(MATCH($F1386,Lists!$A$2:$A$5,0)),ISNUMBER(MATCH($G1386,Lists!$B$2:$B$7,0)),OR($H1386="",$N1386&gt;0),OR($I1386="",$I1386="NR",$O1386&gt;0),IF(ISNUMBER($J1386),AND($J1386&gt;=0,$J1386=INT($J1386)),FALSE())),$J1386,0)</f>
        <v>0</v>
      </c>
      <c r="Q1386" s="64" t="n">
        <f aca="false">IF(AND($P1386&gt;0,$O1386&gt;0),$P1386,0)</f>
        <v>0</v>
      </c>
      <c r="R1386" s="64" t="n">
        <f aca="false">IF(AND($Q1386&gt;0,$O1386&gt;=AtRank),$Q1386,0)</f>
        <v>0</v>
      </c>
      <c r="S1386" s="64" t="n">
        <f aca="false">IF(AND($Q1386&gt;0,$O1386&gt;=AboveRank),$Q1386,0)</f>
        <v>0</v>
      </c>
      <c r="T1386" s="64" t="n">
        <f aca="false">IF($K1386="Less",$P1386,0)</f>
        <v>0</v>
      </c>
      <c r="U1386" s="64" t="n">
        <f aca="false">IF($K1386="Expected",$P1386,0)</f>
        <v>0</v>
      </c>
      <c r="V1386" s="64" t="n">
        <f aca="false">IF($K1386="Better",$P1386,0)</f>
        <v>0</v>
      </c>
      <c r="W1386" s="64" t="n">
        <f aca="false">IF($K1386="U – needs rule",$P1386,0)</f>
        <v>0</v>
      </c>
      <c r="X1386" s="64" t="n">
        <f aca="false">IF($K1386="No Start (attainment only)",$P1386,0)</f>
        <v>0</v>
      </c>
    </row>
    <row r="1387" customFormat="false" ht="15" hidden="false" customHeight="false" outlineLevel="0" collapsed="false">
      <c r="A1387" s="60"/>
      <c r="B1387" s="61" t="str">
        <f aca="false">IF($M1387=0,"",INDEX(Classes!$E$6:$E$420,$M1387))</f>
        <v/>
      </c>
      <c r="C1387" s="62" t="str">
        <f aca="false">IF($M1387=0,"",INDEX(Classes!$H$6:$H$420,$M1387))</f>
        <v/>
      </c>
      <c r="D1387" s="61" t="str">
        <f aca="false">IF($M1387=0,"",INDEX(Classes!$B$6:$B$420,$M1387))</f>
        <v/>
      </c>
      <c r="E1387" s="61" t="str">
        <f aca="false">IF($M1387=0,"",INDEX(Classes!$C$6:$C$420,$M1387))</f>
        <v/>
      </c>
      <c r="F1387" s="63"/>
      <c r="G1387" s="63"/>
      <c r="H1387" s="60"/>
      <c r="I1387" s="60"/>
      <c r="J1387" s="63"/>
      <c r="K1387" s="61" t="str">
        <f aca="false">IF($P1387=0,"",IF($F1387="Baseline","— Baseline",IF($O1387=0,"No result",IF($N1387=0,"No Start (attainment only)",IF(OR($N1387=1,$O1387=1),"U – needs rule",INDEX(MxBody,MATCH($I1387,MxCurr,0),MATCH($H1387,MxStart,0)))))))</f>
        <v/>
      </c>
      <c r="L1387" s="62" t="str">
        <f aca="false">IF(COUNTA($A1387,$F1387,$G1387,$H1387,$I1387,$J1387)=0,"",IF($M1387=0,"✖ كود الصف غير موجود",IF(ISNA(MATCH($F1387,Lists!$A$2:$A$5,0)),"✖ الفترة غير صحيحة",IF(ISNA(MATCH($G1387,Lists!$B$2:$B$7,0)),"✖ المجموعة غير صحيحة",IF(NOT(OR($H1387="",$N1387&gt;0)),"✖ Start غير صحيح",IF(NOT(OR($I1387="",$I1387="NR",$O1387&gt;0)),"✖ Current غير صحيح",IF(NOT(IF(ISNUMBER($J1387),AND($J1387&gt;=0,$J1387=INT($J1387)),FALSE())),"✖ العدد يجب أن يكون صحيحًا ≥ 0",IF(AND($F1387="Baseline",$H1387&lt;&gt;""),"⚠ Baseline: Start لا يدخل في التقدم",IF($K1387="No Start (attainment only)","ℹ تحصيل فقط (بدون Start)",IF($K1387="U – needs rule","ℹ حالة U تحتاج قاعدة معتمدة",IF($K1387="No result","ℹ بدون نتيجة (يُستبعد من التحصيل)","OK")))))))))))</f>
        <v/>
      </c>
      <c r="M1387" s="64" t="n">
        <f aca="false">IF($A1387="",0,IFERROR(MATCH($A1387,Classes!$A$6:$A$420,0),0))</f>
        <v>0</v>
      </c>
      <c r="N1387" s="64" t="n">
        <f aca="false">IF($H1387="",0,IFERROR(MATCH($H1387,GradeList,0),0))</f>
        <v>0</v>
      </c>
      <c r="O1387" s="64" t="n">
        <f aca="false">IF(OR($I1387="",$I1387="NR"),0,IFERROR(MATCH($I1387,GradeList,0),0))</f>
        <v>0</v>
      </c>
      <c r="P1387" s="64" t="n">
        <f aca="false">IF(AND($M1387&gt;0,ISNUMBER(MATCH($F1387,Lists!$A$2:$A$5,0)),ISNUMBER(MATCH($G1387,Lists!$B$2:$B$7,0)),OR($H1387="",$N1387&gt;0),OR($I1387="",$I1387="NR",$O1387&gt;0),IF(ISNUMBER($J1387),AND($J1387&gt;=0,$J1387=INT($J1387)),FALSE())),$J1387,0)</f>
        <v>0</v>
      </c>
      <c r="Q1387" s="64" t="n">
        <f aca="false">IF(AND($P1387&gt;0,$O1387&gt;0),$P1387,0)</f>
        <v>0</v>
      </c>
      <c r="R1387" s="64" t="n">
        <f aca="false">IF(AND($Q1387&gt;0,$O1387&gt;=AtRank),$Q1387,0)</f>
        <v>0</v>
      </c>
      <c r="S1387" s="64" t="n">
        <f aca="false">IF(AND($Q1387&gt;0,$O1387&gt;=AboveRank),$Q1387,0)</f>
        <v>0</v>
      </c>
      <c r="T1387" s="64" t="n">
        <f aca="false">IF($K1387="Less",$P1387,0)</f>
        <v>0</v>
      </c>
      <c r="U1387" s="64" t="n">
        <f aca="false">IF($K1387="Expected",$P1387,0)</f>
        <v>0</v>
      </c>
      <c r="V1387" s="64" t="n">
        <f aca="false">IF($K1387="Better",$P1387,0)</f>
        <v>0</v>
      </c>
      <c r="W1387" s="64" t="n">
        <f aca="false">IF($K1387="U – needs rule",$P1387,0)</f>
        <v>0</v>
      </c>
      <c r="X1387" s="64" t="n">
        <f aca="false">IF($K1387="No Start (attainment only)",$P1387,0)</f>
        <v>0</v>
      </c>
    </row>
    <row r="1388" customFormat="false" ht="15" hidden="false" customHeight="false" outlineLevel="0" collapsed="false">
      <c r="A1388" s="60"/>
      <c r="B1388" s="61" t="str">
        <f aca="false">IF($M1388=0,"",INDEX(Classes!$E$6:$E$420,$M1388))</f>
        <v/>
      </c>
      <c r="C1388" s="62" t="str">
        <f aca="false">IF($M1388=0,"",INDEX(Classes!$H$6:$H$420,$M1388))</f>
        <v/>
      </c>
      <c r="D1388" s="61" t="str">
        <f aca="false">IF($M1388=0,"",INDEX(Classes!$B$6:$B$420,$M1388))</f>
        <v/>
      </c>
      <c r="E1388" s="61" t="str">
        <f aca="false">IF($M1388=0,"",INDEX(Classes!$C$6:$C$420,$M1388))</f>
        <v/>
      </c>
      <c r="F1388" s="63"/>
      <c r="G1388" s="63"/>
      <c r="H1388" s="60"/>
      <c r="I1388" s="60"/>
      <c r="J1388" s="63"/>
      <c r="K1388" s="61" t="str">
        <f aca="false">IF($P1388=0,"",IF($F1388="Baseline","— Baseline",IF($O1388=0,"No result",IF($N1388=0,"No Start (attainment only)",IF(OR($N1388=1,$O1388=1),"U – needs rule",INDEX(MxBody,MATCH($I1388,MxCurr,0),MATCH($H1388,MxStart,0)))))))</f>
        <v/>
      </c>
      <c r="L1388" s="62" t="str">
        <f aca="false">IF(COUNTA($A1388,$F1388,$G1388,$H1388,$I1388,$J1388)=0,"",IF($M1388=0,"✖ كود الصف غير موجود",IF(ISNA(MATCH($F1388,Lists!$A$2:$A$5,0)),"✖ الفترة غير صحيحة",IF(ISNA(MATCH($G1388,Lists!$B$2:$B$7,0)),"✖ المجموعة غير صحيحة",IF(NOT(OR($H1388="",$N1388&gt;0)),"✖ Start غير صحيح",IF(NOT(OR($I1388="",$I1388="NR",$O1388&gt;0)),"✖ Current غير صحيح",IF(NOT(IF(ISNUMBER($J1388),AND($J1388&gt;=0,$J1388=INT($J1388)),FALSE())),"✖ العدد يجب أن يكون صحيحًا ≥ 0",IF(AND($F1388="Baseline",$H1388&lt;&gt;""),"⚠ Baseline: Start لا يدخل في التقدم",IF($K1388="No Start (attainment only)","ℹ تحصيل فقط (بدون Start)",IF($K1388="U – needs rule","ℹ حالة U تحتاج قاعدة معتمدة",IF($K1388="No result","ℹ بدون نتيجة (يُستبعد من التحصيل)","OK")))))))))))</f>
        <v/>
      </c>
      <c r="M1388" s="64" t="n">
        <f aca="false">IF($A1388="",0,IFERROR(MATCH($A1388,Classes!$A$6:$A$420,0),0))</f>
        <v>0</v>
      </c>
      <c r="N1388" s="64" t="n">
        <f aca="false">IF($H1388="",0,IFERROR(MATCH($H1388,GradeList,0),0))</f>
        <v>0</v>
      </c>
      <c r="O1388" s="64" t="n">
        <f aca="false">IF(OR($I1388="",$I1388="NR"),0,IFERROR(MATCH($I1388,GradeList,0),0))</f>
        <v>0</v>
      </c>
      <c r="P1388" s="64" t="n">
        <f aca="false">IF(AND($M1388&gt;0,ISNUMBER(MATCH($F1388,Lists!$A$2:$A$5,0)),ISNUMBER(MATCH($G1388,Lists!$B$2:$B$7,0)),OR($H1388="",$N1388&gt;0),OR($I1388="",$I1388="NR",$O1388&gt;0),IF(ISNUMBER($J1388),AND($J1388&gt;=0,$J1388=INT($J1388)),FALSE())),$J1388,0)</f>
        <v>0</v>
      </c>
      <c r="Q1388" s="64" t="n">
        <f aca="false">IF(AND($P1388&gt;0,$O1388&gt;0),$P1388,0)</f>
        <v>0</v>
      </c>
      <c r="R1388" s="64" t="n">
        <f aca="false">IF(AND($Q1388&gt;0,$O1388&gt;=AtRank),$Q1388,0)</f>
        <v>0</v>
      </c>
      <c r="S1388" s="64" t="n">
        <f aca="false">IF(AND($Q1388&gt;0,$O1388&gt;=AboveRank),$Q1388,0)</f>
        <v>0</v>
      </c>
      <c r="T1388" s="64" t="n">
        <f aca="false">IF($K1388="Less",$P1388,0)</f>
        <v>0</v>
      </c>
      <c r="U1388" s="64" t="n">
        <f aca="false">IF($K1388="Expected",$P1388,0)</f>
        <v>0</v>
      </c>
      <c r="V1388" s="64" t="n">
        <f aca="false">IF($K1388="Better",$P1388,0)</f>
        <v>0</v>
      </c>
      <c r="W1388" s="64" t="n">
        <f aca="false">IF($K1388="U – needs rule",$P1388,0)</f>
        <v>0</v>
      </c>
      <c r="X1388" s="64" t="n">
        <f aca="false">IF($K1388="No Start (attainment only)",$P1388,0)</f>
        <v>0</v>
      </c>
    </row>
    <row r="1389" customFormat="false" ht="15" hidden="false" customHeight="false" outlineLevel="0" collapsed="false">
      <c r="A1389" s="60"/>
      <c r="B1389" s="61" t="str">
        <f aca="false">IF($M1389=0,"",INDEX(Classes!$E$6:$E$420,$M1389))</f>
        <v/>
      </c>
      <c r="C1389" s="62" t="str">
        <f aca="false">IF($M1389=0,"",INDEX(Classes!$H$6:$H$420,$M1389))</f>
        <v/>
      </c>
      <c r="D1389" s="61" t="str">
        <f aca="false">IF($M1389=0,"",INDEX(Classes!$B$6:$B$420,$M1389))</f>
        <v/>
      </c>
      <c r="E1389" s="61" t="str">
        <f aca="false">IF($M1389=0,"",INDEX(Classes!$C$6:$C$420,$M1389))</f>
        <v/>
      </c>
      <c r="F1389" s="63"/>
      <c r="G1389" s="63"/>
      <c r="H1389" s="60"/>
      <c r="I1389" s="60"/>
      <c r="J1389" s="63"/>
      <c r="K1389" s="61" t="str">
        <f aca="false">IF($P1389=0,"",IF($F1389="Baseline","— Baseline",IF($O1389=0,"No result",IF($N1389=0,"No Start (attainment only)",IF(OR($N1389=1,$O1389=1),"U – needs rule",INDEX(MxBody,MATCH($I1389,MxCurr,0),MATCH($H1389,MxStart,0)))))))</f>
        <v/>
      </c>
      <c r="L1389" s="62" t="str">
        <f aca="false">IF(COUNTA($A1389,$F1389,$G1389,$H1389,$I1389,$J1389)=0,"",IF($M1389=0,"✖ كود الصف غير موجود",IF(ISNA(MATCH($F1389,Lists!$A$2:$A$5,0)),"✖ الفترة غير صحيحة",IF(ISNA(MATCH($G1389,Lists!$B$2:$B$7,0)),"✖ المجموعة غير صحيحة",IF(NOT(OR($H1389="",$N1389&gt;0)),"✖ Start غير صحيح",IF(NOT(OR($I1389="",$I1389="NR",$O1389&gt;0)),"✖ Current غير صحيح",IF(NOT(IF(ISNUMBER($J1389),AND($J1389&gt;=0,$J1389=INT($J1389)),FALSE())),"✖ العدد يجب أن يكون صحيحًا ≥ 0",IF(AND($F1389="Baseline",$H1389&lt;&gt;""),"⚠ Baseline: Start لا يدخل في التقدم",IF($K1389="No Start (attainment only)","ℹ تحصيل فقط (بدون Start)",IF($K1389="U – needs rule","ℹ حالة U تحتاج قاعدة معتمدة",IF($K1389="No result","ℹ بدون نتيجة (يُستبعد من التحصيل)","OK")))))))))))</f>
        <v/>
      </c>
      <c r="M1389" s="64" t="n">
        <f aca="false">IF($A1389="",0,IFERROR(MATCH($A1389,Classes!$A$6:$A$420,0),0))</f>
        <v>0</v>
      </c>
      <c r="N1389" s="64" t="n">
        <f aca="false">IF($H1389="",0,IFERROR(MATCH($H1389,GradeList,0),0))</f>
        <v>0</v>
      </c>
      <c r="O1389" s="64" t="n">
        <f aca="false">IF(OR($I1389="",$I1389="NR"),0,IFERROR(MATCH($I1389,GradeList,0),0))</f>
        <v>0</v>
      </c>
      <c r="P1389" s="64" t="n">
        <f aca="false">IF(AND($M1389&gt;0,ISNUMBER(MATCH($F1389,Lists!$A$2:$A$5,0)),ISNUMBER(MATCH($G1389,Lists!$B$2:$B$7,0)),OR($H1389="",$N1389&gt;0),OR($I1389="",$I1389="NR",$O1389&gt;0),IF(ISNUMBER($J1389),AND($J1389&gt;=0,$J1389=INT($J1389)),FALSE())),$J1389,0)</f>
        <v>0</v>
      </c>
      <c r="Q1389" s="64" t="n">
        <f aca="false">IF(AND($P1389&gt;0,$O1389&gt;0),$P1389,0)</f>
        <v>0</v>
      </c>
      <c r="R1389" s="64" t="n">
        <f aca="false">IF(AND($Q1389&gt;0,$O1389&gt;=AtRank),$Q1389,0)</f>
        <v>0</v>
      </c>
      <c r="S1389" s="64" t="n">
        <f aca="false">IF(AND($Q1389&gt;0,$O1389&gt;=AboveRank),$Q1389,0)</f>
        <v>0</v>
      </c>
      <c r="T1389" s="64" t="n">
        <f aca="false">IF($K1389="Less",$P1389,0)</f>
        <v>0</v>
      </c>
      <c r="U1389" s="64" t="n">
        <f aca="false">IF($K1389="Expected",$P1389,0)</f>
        <v>0</v>
      </c>
      <c r="V1389" s="64" t="n">
        <f aca="false">IF($K1389="Better",$P1389,0)</f>
        <v>0</v>
      </c>
      <c r="W1389" s="64" t="n">
        <f aca="false">IF($K1389="U – needs rule",$P1389,0)</f>
        <v>0</v>
      </c>
      <c r="X1389" s="64" t="n">
        <f aca="false">IF($K1389="No Start (attainment only)",$P1389,0)</f>
        <v>0</v>
      </c>
    </row>
    <row r="1390" customFormat="false" ht="15" hidden="false" customHeight="false" outlineLevel="0" collapsed="false">
      <c r="A1390" s="60"/>
      <c r="B1390" s="61" t="str">
        <f aca="false">IF($M1390=0,"",INDEX(Classes!$E$6:$E$420,$M1390))</f>
        <v/>
      </c>
      <c r="C1390" s="62" t="str">
        <f aca="false">IF($M1390=0,"",INDEX(Classes!$H$6:$H$420,$M1390))</f>
        <v/>
      </c>
      <c r="D1390" s="61" t="str">
        <f aca="false">IF($M1390=0,"",INDEX(Classes!$B$6:$B$420,$M1390))</f>
        <v/>
      </c>
      <c r="E1390" s="61" t="str">
        <f aca="false">IF($M1390=0,"",INDEX(Classes!$C$6:$C$420,$M1390))</f>
        <v/>
      </c>
      <c r="F1390" s="63"/>
      <c r="G1390" s="63"/>
      <c r="H1390" s="60"/>
      <c r="I1390" s="60"/>
      <c r="J1390" s="63"/>
      <c r="K1390" s="61" t="str">
        <f aca="false">IF($P1390=0,"",IF($F1390="Baseline","— Baseline",IF($O1390=0,"No result",IF($N1390=0,"No Start (attainment only)",IF(OR($N1390=1,$O1390=1),"U – needs rule",INDEX(MxBody,MATCH($I1390,MxCurr,0),MATCH($H1390,MxStart,0)))))))</f>
        <v/>
      </c>
      <c r="L1390" s="62" t="str">
        <f aca="false">IF(COUNTA($A1390,$F1390,$G1390,$H1390,$I1390,$J1390)=0,"",IF($M1390=0,"✖ كود الصف غير موجود",IF(ISNA(MATCH($F1390,Lists!$A$2:$A$5,0)),"✖ الفترة غير صحيحة",IF(ISNA(MATCH($G1390,Lists!$B$2:$B$7,0)),"✖ المجموعة غير صحيحة",IF(NOT(OR($H1390="",$N1390&gt;0)),"✖ Start غير صحيح",IF(NOT(OR($I1390="",$I1390="NR",$O1390&gt;0)),"✖ Current غير صحيح",IF(NOT(IF(ISNUMBER($J1390),AND($J1390&gt;=0,$J1390=INT($J1390)),FALSE())),"✖ العدد يجب أن يكون صحيحًا ≥ 0",IF(AND($F1390="Baseline",$H1390&lt;&gt;""),"⚠ Baseline: Start لا يدخل في التقدم",IF($K1390="No Start (attainment only)","ℹ تحصيل فقط (بدون Start)",IF($K1390="U – needs rule","ℹ حالة U تحتاج قاعدة معتمدة",IF($K1390="No result","ℹ بدون نتيجة (يُستبعد من التحصيل)","OK")))))))))))</f>
        <v/>
      </c>
      <c r="M1390" s="64" t="n">
        <f aca="false">IF($A1390="",0,IFERROR(MATCH($A1390,Classes!$A$6:$A$420,0),0))</f>
        <v>0</v>
      </c>
      <c r="N1390" s="64" t="n">
        <f aca="false">IF($H1390="",0,IFERROR(MATCH($H1390,GradeList,0),0))</f>
        <v>0</v>
      </c>
      <c r="O1390" s="64" t="n">
        <f aca="false">IF(OR($I1390="",$I1390="NR"),0,IFERROR(MATCH($I1390,GradeList,0),0))</f>
        <v>0</v>
      </c>
      <c r="P1390" s="64" t="n">
        <f aca="false">IF(AND($M1390&gt;0,ISNUMBER(MATCH($F1390,Lists!$A$2:$A$5,0)),ISNUMBER(MATCH($G1390,Lists!$B$2:$B$7,0)),OR($H1390="",$N1390&gt;0),OR($I1390="",$I1390="NR",$O1390&gt;0),IF(ISNUMBER($J1390),AND($J1390&gt;=0,$J1390=INT($J1390)),FALSE())),$J1390,0)</f>
        <v>0</v>
      </c>
      <c r="Q1390" s="64" t="n">
        <f aca="false">IF(AND($P1390&gt;0,$O1390&gt;0),$P1390,0)</f>
        <v>0</v>
      </c>
      <c r="R1390" s="64" t="n">
        <f aca="false">IF(AND($Q1390&gt;0,$O1390&gt;=AtRank),$Q1390,0)</f>
        <v>0</v>
      </c>
      <c r="S1390" s="64" t="n">
        <f aca="false">IF(AND($Q1390&gt;0,$O1390&gt;=AboveRank),$Q1390,0)</f>
        <v>0</v>
      </c>
      <c r="T1390" s="64" t="n">
        <f aca="false">IF($K1390="Less",$P1390,0)</f>
        <v>0</v>
      </c>
      <c r="U1390" s="64" t="n">
        <f aca="false">IF($K1390="Expected",$P1390,0)</f>
        <v>0</v>
      </c>
      <c r="V1390" s="64" t="n">
        <f aca="false">IF($K1390="Better",$P1390,0)</f>
        <v>0</v>
      </c>
      <c r="W1390" s="64" t="n">
        <f aca="false">IF($K1390="U – needs rule",$P1390,0)</f>
        <v>0</v>
      </c>
      <c r="X1390" s="64" t="n">
        <f aca="false">IF($K1390="No Start (attainment only)",$P1390,0)</f>
        <v>0</v>
      </c>
    </row>
    <row r="1391" customFormat="false" ht="15" hidden="false" customHeight="false" outlineLevel="0" collapsed="false">
      <c r="A1391" s="60"/>
      <c r="B1391" s="61" t="str">
        <f aca="false">IF($M1391=0,"",INDEX(Classes!$E$6:$E$420,$M1391))</f>
        <v/>
      </c>
      <c r="C1391" s="62" t="str">
        <f aca="false">IF($M1391=0,"",INDEX(Classes!$H$6:$H$420,$M1391))</f>
        <v/>
      </c>
      <c r="D1391" s="61" t="str">
        <f aca="false">IF($M1391=0,"",INDEX(Classes!$B$6:$B$420,$M1391))</f>
        <v/>
      </c>
      <c r="E1391" s="61" t="str">
        <f aca="false">IF($M1391=0,"",INDEX(Classes!$C$6:$C$420,$M1391))</f>
        <v/>
      </c>
      <c r="F1391" s="63"/>
      <c r="G1391" s="63"/>
      <c r="H1391" s="60"/>
      <c r="I1391" s="60"/>
      <c r="J1391" s="63"/>
      <c r="K1391" s="61" t="str">
        <f aca="false">IF($P1391=0,"",IF($F1391="Baseline","— Baseline",IF($O1391=0,"No result",IF($N1391=0,"No Start (attainment only)",IF(OR($N1391=1,$O1391=1),"U – needs rule",INDEX(MxBody,MATCH($I1391,MxCurr,0),MATCH($H1391,MxStart,0)))))))</f>
        <v/>
      </c>
      <c r="L1391" s="62" t="str">
        <f aca="false">IF(COUNTA($A1391,$F1391,$G1391,$H1391,$I1391,$J1391)=0,"",IF($M1391=0,"✖ كود الصف غير موجود",IF(ISNA(MATCH($F1391,Lists!$A$2:$A$5,0)),"✖ الفترة غير صحيحة",IF(ISNA(MATCH($G1391,Lists!$B$2:$B$7,0)),"✖ المجموعة غير صحيحة",IF(NOT(OR($H1391="",$N1391&gt;0)),"✖ Start غير صحيح",IF(NOT(OR($I1391="",$I1391="NR",$O1391&gt;0)),"✖ Current غير صحيح",IF(NOT(IF(ISNUMBER($J1391),AND($J1391&gt;=0,$J1391=INT($J1391)),FALSE())),"✖ العدد يجب أن يكون صحيحًا ≥ 0",IF(AND($F1391="Baseline",$H1391&lt;&gt;""),"⚠ Baseline: Start لا يدخل في التقدم",IF($K1391="No Start (attainment only)","ℹ تحصيل فقط (بدون Start)",IF($K1391="U – needs rule","ℹ حالة U تحتاج قاعدة معتمدة",IF($K1391="No result","ℹ بدون نتيجة (يُستبعد من التحصيل)","OK")))))))))))</f>
        <v/>
      </c>
      <c r="M1391" s="64" t="n">
        <f aca="false">IF($A1391="",0,IFERROR(MATCH($A1391,Classes!$A$6:$A$420,0),0))</f>
        <v>0</v>
      </c>
      <c r="N1391" s="64" t="n">
        <f aca="false">IF($H1391="",0,IFERROR(MATCH($H1391,GradeList,0),0))</f>
        <v>0</v>
      </c>
      <c r="O1391" s="64" t="n">
        <f aca="false">IF(OR($I1391="",$I1391="NR"),0,IFERROR(MATCH($I1391,GradeList,0),0))</f>
        <v>0</v>
      </c>
      <c r="P1391" s="64" t="n">
        <f aca="false">IF(AND($M1391&gt;0,ISNUMBER(MATCH($F1391,Lists!$A$2:$A$5,0)),ISNUMBER(MATCH($G1391,Lists!$B$2:$B$7,0)),OR($H1391="",$N1391&gt;0),OR($I1391="",$I1391="NR",$O1391&gt;0),IF(ISNUMBER($J1391),AND($J1391&gt;=0,$J1391=INT($J1391)),FALSE())),$J1391,0)</f>
        <v>0</v>
      </c>
      <c r="Q1391" s="64" t="n">
        <f aca="false">IF(AND($P1391&gt;0,$O1391&gt;0),$P1391,0)</f>
        <v>0</v>
      </c>
      <c r="R1391" s="64" t="n">
        <f aca="false">IF(AND($Q1391&gt;0,$O1391&gt;=AtRank),$Q1391,0)</f>
        <v>0</v>
      </c>
      <c r="S1391" s="64" t="n">
        <f aca="false">IF(AND($Q1391&gt;0,$O1391&gt;=AboveRank),$Q1391,0)</f>
        <v>0</v>
      </c>
      <c r="T1391" s="64" t="n">
        <f aca="false">IF($K1391="Less",$P1391,0)</f>
        <v>0</v>
      </c>
      <c r="U1391" s="64" t="n">
        <f aca="false">IF($K1391="Expected",$P1391,0)</f>
        <v>0</v>
      </c>
      <c r="V1391" s="64" t="n">
        <f aca="false">IF($K1391="Better",$P1391,0)</f>
        <v>0</v>
      </c>
      <c r="W1391" s="64" t="n">
        <f aca="false">IF($K1391="U – needs rule",$P1391,0)</f>
        <v>0</v>
      </c>
      <c r="X1391" s="64" t="n">
        <f aca="false">IF($K1391="No Start (attainment only)",$P1391,0)</f>
        <v>0</v>
      </c>
    </row>
    <row r="1392" customFormat="false" ht="15" hidden="false" customHeight="false" outlineLevel="0" collapsed="false">
      <c r="A1392" s="60"/>
      <c r="B1392" s="61" t="str">
        <f aca="false">IF($M1392=0,"",INDEX(Classes!$E$6:$E$420,$M1392))</f>
        <v/>
      </c>
      <c r="C1392" s="62" t="str">
        <f aca="false">IF($M1392=0,"",INDEX(Classes!$H$6:$H$420,$M1392))</f>
        <v/>
      </c>
      <c r="D1392" s="61" t="str">
        <f aca="false">IF($M1392=0,"",INDEX(Classes!$B$6:$B$420,$M1392))</f>
        <v/>
      </c>
      <c r="E1392" s="61" t="str">
        <f aca="false">IF($M1392=0,"",INDEX(Classes!$C$6:$C$420,$M1392))</f>
        <v/>
      </c>
      <c r="F1392" s="63"/>
      <c r="G1392" s="63"/>
      <c r="H1392" s="60"/>
      <c r="I1392" s="60"/>
      <c r="J1392" s="63"/>
      <c r="K1392" s="61" t="str">
        <f aca="false">IF($P1392=0,"",IF($F1392="Baseline","— Baseline",IF($O1392=0,"No result",IF($N1392=0,"No Start (attainment only)",IF(OR($N1392=1,$O1392=1),"U – needs rule",INDEX(MxBody,MATCH($I1392,MxCurr,0),MATCH($H1392,MxStart,0)))))))</f>
        <v/>
      </c>
      <c r="L1392" s="62" t="str">
        <f aca="false">IF(COUNTA($A1392,$F1392,$G1392,$H1392,$I1392,$J1392)=0,"",IF($M1392=0,"✖ كود الصف غير موجود",IF(ISNA(MATCH($F1392,Lists!$A$2:$A$5,0)),"✖ الفترة غير صحيحة",IF(ISNA(MATCH($G1392,Lists!$B$2:$B$7,0)),"✖ المجموعة غير صحيحة",IF(NOT(OR($H1392="",$N1392&gt;0)),"✖ Start غير صحيح",IF(NOT(OR($I1392="",$I1392="NR",$O1392&gt;0)),"✖ Current غير صحيح",IF(NOT(IF(ISNUMBER($J1392),AND($J1392&gt;=0,$J1392=INT($J1392)),FALSE())),"✖ العدد يجب أن يكون صحيحًا ≥ 0",IF(AND($F1392="Baseline",$H1392&lt;&gt;""),"⚠ Baseline: Start لا يدخل في التقدم",IF($K1392="No Start (attainment only)","ℹ تحصيل فقط (بدون Start)",IF($K1392="U – needs rule","ℹ حالة U تحتاج قاعدة معتمدة",IF($K1392="No result","ℹ بدون نتيجة (يُستبعد من التحصيل)","OK")))))))))))</f>
        <v/>
      </c>
      <c r="M1392" s="64" t="n">
        <f aca="false">IF($A1392="",0,IFERROR(MATCH($A1392,Classes!$A$6:$A$420,0),0))</f>
        <v>0</v>
      </c>
      <c r="N1392" s="64" t="n">
        <f aca="false">IF($H1392="",0,IFERROR(MATCH($H1392,GradeList,0),0))</f>
        <v>0</v>
      </c>
      <c r="O1392" s="64" t="n">
        <f aca="false">IF(OR($I1392="",$I1392="NR"),0,IFERROR(MATCH($I1392,GradeList,0),0))</f>
        <v>0</v>
      </c>
      <c r="P1392" s="64" t="n">
        <f aca="false">IF(AND($M1392&gt;0,ISNUMBER(MATCH($F1392,Lists!$A$2:$A$5,0)),ISNUMBER(MATCH($G1392,Lists!$B$2:$B$7,0)),OR($H1392="",$N1392&gt;0),OR($I1392="",$I1392="NR",$O1392&gt;0),IF(ISNUMBER($J1392),AND($J1392&gt;=0,$J1392=INT($J1392)),FALSE())),$J1392,0)</f>
        <v>0</v>
      </c>
      <c r="Q1392" s="64" t="n">
        <f aca="false">IF(AND($P1392&gt;0,$O1392&gt;0),$P1392,0)</f>
        <v>0</v>
      </c>
      <c r="R1392" s="64" t="n">
        <f aca="false">IF(AND($Q1392&gt;0,$O1392&gt;=AtRank),$Q1392,0)</f>
        <v>0</v>
      </c>
      <c r="S1392" s="64" t="n">
        <f aca="false">IF(AND($Q1392&gt;0,$O1392&gt;=AboveRank),$Q1392,0)</f>
        <v>0</v>
      </c>
      <c r="T1392" s="64" t="n">
        <f aca="false">IF($K1392="Less",$P1392,0)</f>
        <v>0</v>
      </c>
      <c r="U1392" s="64" t="n">
        <f aca="false">IF($K1392="Expected",$P1392,0)</f>
        <v>0</v>
      </c>
      <c r="V1392" s="64" t="n">
        <f aca="false">IF($K1392="Better",$P1392,0)</f>
        <v>0</v>
      </c>
      <c r="W1392" s="64" t="n">
        <f aca="false">IF($K1392="U – needs rule",$P1392,0)</f>
        <v>0</v>
      </c>
      <c r="X1392" s="64" t="n">
        <f aca="false">IF($K1392="No Start (attainment only)",$P1392,0)</f>
        <v>0</v>
      </c>
    </row>
    <row r="1393" customFormat="false" ht="15" hidden="false" customHeight="false" outlineLevel="0" collapsed="false">
      <c r="A1393" s="60"/>
      <c r="B1393" s="61" t="str">
        <f aca="false">IF($M1393=0,"",INDEX(Classes!$E$6:$E$420,$M1393))</f>
        <v/>
      </c>
      <c r="C1393" s="62" t="str">
        <f aca="false">IF($M1393=0,"",INDEX(Classes!$H$6:$H$420,$M1393))</f>
        <v/>
      </c>
      <c r="D1393" s="61" t="str">
        <f aca="false">IF($M1393=0,"",INDEX(Classes!$B$6:$B$420,$M1393))</f>
        <v/>
      </c>
      <c r="E1393" s="61" t="str">
        <f aca="false">IF($M1393=0,"",INDEX(Classes!$C$6:$C$420,$M1393))</f>
        <v/>
      </c>
      <c r="F1393" s="63"/>
      <c r="G1393" s="63"/>
      <c r="H1393" s="60"/>
      <c r="I1393" s="60"/>
      <c r="J1393" s="63"/>
      <c r="K1393" s="61" t="str">
        <f aca="false">IF($P1393=0,"",IF($F1393="Baseline","— Baseline",IF($O1393=0,"No result",IF($N1393=0,"No Start (attainment only)",IF(OR($N1393=1,$O1393=1),"U – needs rule",INDEX(MxBody,MATCH($I1393,MxCurr,0),MATCH($H1393,MxStart,0)))))))</f>
        <v/>
      </c>
      <c r="L1393" s="62" t="str">
        <f aca="false">IF(COUNTA($A1393,$F1393,$G1393,$H1393,$I1393,$J1393)=0,"",IF($M1393=0,"✖ كود الصف غير موجود",IF(ISNA(MATCH($F1393,Lists!$A$2:$A$5,0)),"✖ الفترة غير صحيحة",IF(ISNA(MATCH($G1393,Lists!$B$2:$B$7,0)),"✖ المجموعة غير صحيحة",IF(NOT(OR($H1393="",$N1393&gt;0)),"✖ Start غير صحيح",IF(NOT(OR($I1393="",$I1393="NR",$O1393&gt;0)),"✖ Current غير صحيح",IF(NOT(IF(ISNUMBER($J1393),AND($J1393&gt;=0,$J1393=INT($J1393)),FALSE())),"✖ العدد يجب أن يكون صحيحًا ≥ 0",IF(AND($F1393="Baseline",$H1393&lt;&gt;""),"⚠ Baseline: Start لا يدخل في التقدم",IF($K1393="No Start (attainment only)","ℹ تحصيل فقط (بدون Start)",IF($K1393="U – needs rule","ℹ حالة U تحتاج قاعدة معتمدة",IF($K1393="No result","ℹ بدون نتيجة (يُستبعد من التحصيل)","OK")))))))))))</f>
        <v/>
      </c>
      <c r="M1393" s="64" t="n">
        <f aca="false">IF($A1393="",0,IFERROR(MATCH($A1393,Classes!$A$6:$A$420,0),0))</f>
        <v>0</v>
      </c>
      <c r="N1393" s="64" t="n">
        <f aca="false">IF($H1393="",0,IFERROR(MATCH($H1393,GradeList,0),0))</f>
        <v>0</v>
      </c>
      <c r="O1393" s="64" t="n">
        <f aca="false">IF(OR($I1393="",$I1393="NR"),0,IFERROR(MATCH($I1393,GradeList,0),0))</f>
        <v>0</v>
      </c>
      <c r="P1393" s="64" t="n">
        <f aca="false">IF(AND($M1393&gt;0,ISNUMBER(MATCH($F1393,Lists!$A$2:$A$5,0)),ISNUMBER(MATCH($G1393,Lists!$B$2:$B$7,0)),OR($H1393="",$N1393&gt;0),OR($I1393="",$I1393="NR",$O1393&gt;0),IF(ISNUMBER($J1393),AND($J1393&gt;=0,$J1393=INT($J1393)),FALSE())),$J1393,0)</f>
        <v>0</v>
      </c>
      <c r="Q1393" s="64" t="n">
        <f aca="false">IF(AND($P1393&gt;0,$O1393&gt;0),$P1393,0)</f>
        <v>0</v>
      </c>
      <c r="R1393" s="64" t="n">
        <f aca="false">IF(AND($Q1393&gt;0,$O1393&gt;=AtRank),$Q1393,0)</f>
        <v>0</v>
      </c>
      <c r="S1393" s="64" t="n">
        <f aca="false">IF(AND($Q1393&gt;0,$O1393&gt;=AboveRank),$Q1393,0)</f>
        <v>0</v>
      </c>
      <c r="T1393" s="64" t="n">
        <f aca="false">IF($K1393="Less",$P1393,0)</f>
        <v>0</v>
      </c>
      <c r="U1393" s="64" t="n">
        <f aca="false">IF($K1393="Expected",$P1393,0)</f>
        <v>0</v>
      </c>
      <c r="V1393" s="64" t="n">
        <f aca="false">IF($K1393="Better",$P1393,0)</f>
        <v>0</v>
      </c>
      <c r="W1393" s="64" t="n">
        <f aca="false">IF($K1393="U – needs rule",$P1393,0)</f>
        <v>0</v>
      </c>
      <c r="X1393" s="64" t="n">
        <f aca="false">IF($K1393="No Start (attainment only)",$P1393,0)</f>
        <v>0</v>
      </c>
    </row>
    <row r="1394" customFormat="false" ht="15" hidden="false" customHeight="false" outlineLevel="0" collapsed="false">
      <c r="A1394" s="60"/>
      <c r="B1394" s="61" t="str">
        <f aca="false">IF($M1394=0,"",INDEX(Classes!$E$6:$E$420,$M1394))</f>
        <v/>
      </c>
      <c r="C1394" s="62" t="str">
        <f aca="false">IF($M1394=0,"",INDEX(Classes!$H$6:$H$420,$M1394))</f>
        <v/>
      </c>
      <c r="D1394" s="61" t="str">
        <f aca="false">IF($M1394=0,"",INDEX(Classes!$B$6:$B$420,$M1394))</f>
        <v/>
      </c>
      <c r="E1394" s="61" t="str">
        <f aca="false">IF($M1394=0,"",INDEX(Classes!$C$6:$C$420,$M1394))</f>
        <v/>
      </c>
      <c r="F1394" s="63"/>
      <c r="G1394" s="63"/>
      <c r="H1394" s="60"/>
      <c r="I1394" s="60"/>
      <c r="J1394" s="63"/>
      <c r="K1394" s="61" t="str">
        <f aca="false">IF($P1394=0,"",IF($F1394="Baseline","— Baseline",IF($O1394=0,"No result",IF($N1394=0,"No Start (attainment only)",IF(OR($N1394=1,$O1394=1),"U – needs rule",INDEX(MxBody,MATCH($I1394,MxCurr,0),MATCH($H1394,MxStart,0)))))))</f>
        <v/>
      </c>
      <c r="L1394" s="62" t="str">
        <f aca="false">IF(COUNTA($A1394,$F1394,$G1394,$H1394,$I1394,$J1394)=0,"",IF($M1394=0,"✖ كود الصف غير موجود",IF(ISNA(MATCH($F1394,Lists!$A$2:$A$5,0)),"✖ الفترة غير صحيحة",IF(ISNA(MATCH($G1394,Lists!$B$2:$B$7,0)),"✖ المجموعة غير صحيحة",IF(NOT(OR($H1394="",$N1394&gt;0)),"✖ Start غير صحيح",IF(NOT(OR($I1394="",$I1394="NR",$O1394&gt;0)),"✖ Current غير صحيح",IF(NOT(IF(ISNUMBER($J1394),AND($J1394&gt;=0,$J1394=INT($J1394)),FALSE())),"✖ العدد يجب أن يكون صحيحًا ≥ 0",IF(AND($F1394="Baseline",$H1394&lt;&gt;""),"⚠ Baseline: Start لا يدخل في التقدم",IF($K1394="No Start (attainment only)","ℹ تحصيل فقط (بدون Start)",IF($K1394="U – needs rule","ℹ حالة U تحتاج قاعدة معتمدة",IF($K1394="No result","ℹ بدون نتيجة (يُستبعد من التحصيل)","OK")))))))))))</f>
        <v/>
      </c>
      <c r="M1394" s="64" t="n">
        <f aca="false">IF($A1394="",0,IFERROR(MATCH($A1394,Classes!$A$6:$A$420,0),0))</f>
        <v>0</v>
      </c>
      <c r="N1394" s="64" t="n">
        <f aca="false">IF($H1394="",0,IFERROR(MATCH($H1394,GradeList,0),0))</f>
        <v>0</v>
      </c>
      <c r="O1394" s="64" t="n">
        <f aca="false">IF(OR($I1394="",$I1394="NR"),0,IFERROR(MATCH($I1394,GradeList,0),0))</f>
        <v>0</v>
      </c>
      <c r="P1394" s="64" t="n">
        <f aca="false">IF(AND($M1394&gt;0,ISNUMBER(MATCH($F1394,Lists!$A$2:$A$5,0)),ISNUMBER(MATCH($G1394,Lists!$B$2:$B$7,0)),OR($H1394="",$N1394&gt;0),OR($I1394="",$I1394="NR",$O1394&gt;0),IF(ISNUMBER($J1394),AND($J1394&gt;=0,$J1394=INT($J1394)),FALSE())),$J1394,0)</f>
        <v>0</v>
      </c>
      <c r="Q1394" s="64" t="n">
        <f aca="false">IF(AND($P1394&gt;0,$O1394&gt;0),$P1394,0)</f>
        <v>0</v>
      </c>
      <c r="R1394" s="64" t="n">
        <f aca="false">IF(AND($Q1394&gt;0,$O1394&gt;=AtRank),$Q1394,0)</f>
        <v>0</v>
      </c>
      <c r="S1394" s="64" t="n">
        <f aca="false">IF(AND($Q1394&gt;0,$O1394&gt;=AboveRank),$Q1394,0)</f>
        <v>0</v>
      </c>
      <c r="T1394" s="64" t="n">
        <f aca="false">IF($K1394="Less",$P1394,0)</f>
        <v>0</v>
      </c>
      <c r="U1394" s="64" t="n">
        <f aca="false">IF($K1394="Expected",$P1394,0)</f>
        <v>0</v>
      </c>
      <c r="V1394" s="64" t="n">
        <f aca="false">IF($K1394="Better",$P1394,0)</f>
        <v>0</v>
      </c>
      <c r="W1394" s="64" t="n">
        <f aca="false">IF($K1394="U – needs rule",$P1394,0)</f>
        <v>0</v>
      </c>
      <c r="X1394" s="64" t="n">
        <f aca="false">IF($K1394="No Start (attainment only)",$P1394,0)</f>
        <v>0</v>
      </c>
    </row>
    <row r="1395" customFormat="false" ht="15" hidden="false" customHeight="false" outlineLevel="0" collapsed="false">
      <c r="A1395" s="60"/>
      <c r="B1395" s="61" t="str">
        <f aca="false">IF($M1395=0,"",INDEX(Classes!$E$6:$E$420,$M1395))</f>
        <v/>
      </c>
      <c r="C1395" s="62" t="str">
        <f aca="false">IF($M1395=0,"",INDEX(Classes!$H$6:$H$420,$M1395))</f>
        <v/>
      </c>
      <c r="D1395" s="61" t="str">
        <f aca="false">IF($M1395=0,"",INDEX(Classes!$B$6:$B$420,$M1395))</f>
        <v/>
      </c>
      <c r="E1395" s="61" t="str">
        <f aca="false">IF($M1395=0,"",INDEX(Classes!$C$6:$C$420,$M1395))</f>
        <v/>
      </c>
      <c r="F1395" s="63"/>
      <c r="G1395" s="63"/>
      <c r="H1395" s="60"/>
      <c r="I1395" s="60"/>
      <c r="J1395" s="63"/>
      <c r="K1395" s="61" t="str">
        <f aca="false">IF($P1395=0,"",IF($F1395="Baseline","— Baseline",IF($O1395=0,"No result",IF($N1395=0,"No Start (attainment only)",IF(OR($N1395=1,$O1395=1),"U – needs rule",INDEX(MxBody,MATCH($I1395,MxCurr,0),MATCH($H1395,MxStart,0)))))))</f>
        <v/>
      </c>
      <c r="L1395" s="62" t="str">
        <f aca="false">IF(COUNTA($A1395,$F1395,$G1395,$H1395,$I1395,$J1395)=0,"",IF($M1395=0,"✖ كود الصف غير موجود",IF(ISNA(MATCH($F1395,Lists!$A$2:$A$5,0)),"✖ الفترة غير صحيحة",IF(ISNA(MATCH($G1395,Lists!$B$2:$B$7,0)),"✖ المجموعة غير صحيحة",IF(NOT(OR($H1395="",$N1395&gt;0)),"✖ Start غير صحيح",IF(NOT(OR($I1395="",$I1395="NR",$O1395&gt;0)),"✖ Current غير صحيح",IF(NOT(IF(ISNUMBER($J1395),AND($J1395&gt;=0,$J1395=INT($J1395)),FALSE())),"✖ العدد يجب أن يكون صحيحًا ≥ 0",IF(AND($F1395="Baseline",$H1395&lt;&gt;""),"⚠ Baseline: Start لا يدخل في التقدم",IF($K1395="No Start (attainment only)","ℹ تحصيل فقط (بدون Start)",IF($K1395="U – needs rule","ℹ حالة U تحتاج قاعدة معتمدة",IF($K1395="No result","ℹ بدون نتيجة (يُستبعد من التحصيل)","OK")))))))))))</f>
        <v/>
      </c>
      <c r="M1395" s="64" t="n">
        <f aca="false">IF($A1395="",0,IFERROR(MATCH($A1395,Classes!$A$6:$A$420,0),0))</f>
        <v>0</v>
      </c>
      <c r="N1395" s="64" t="n">
        <f aca="false">IF($H1395="",0,IFERROR(MATCH($H1395,GradeList,0),0))</f>
        <v>0</v>
      </c>
      <c r="O1395" s="64" t="n">
        <f aca="false">IF(OR($I1395="",$I1395="NR"),0,IFERROR(MATCH($I1395,GradeList,0),0))</f>
        <v>0</v>
      </c>
      <c r="P1395" s="64" t="n">
        <f aca="false">IF(AND($M1395&gt;0,ISNUMBER(MATCH($F1395,Lists!$A$2:$A$5,0)),ISNUMBER(MATCH($G1395,Lists!$B$2:$B$7,0)),OR($H1395="",$N1395&gt;0),OR($I1395="",$I1395="NR",$O1395&gt;0),IF(ISNUMBER($J1395),AND($J1395&gt;=0,$J1395=INT($J1395)),FALSE())),$J1395,0)</f>
        <v>0</v>
      </c>
      <c r="Q1395" s="64" t="n">
        <f aca="false">IF(AND($P1395&gt;0,$O1395&gt;0),$P1395,0)</f>
        <v>0</v>
      </c>
      <c r="R1395" s="64" t="n">
        <f aca="false">IF(AND($Q1395&gt;0,$O1395&gt;=AtRank),$Q1395,0)</f>
        <v>0</v>
      </c>
      <c r="S1395" s="64" t="n">
        <f aca="false">IF(AND($Q1395&gt;0,$O1395&gt;=AboveRank),$Q1395,0)</f>
        <v>0</v>
      </c>
      <c r="T1395" s="64" t="n">
        <f aca="false">IF($K1395="Less",$P1395,0)</f>
        <v>0</v>
      </c>
      <c r="U1395" s="64" t="n">
        <f aca="false">IF($K1395="Expected",$P1395,0)</f>
        <v>0</v>
      </c>
      <c r="V1395" s="64" t="n">
        <f aca="false">IF($K1395="Better",$P1395,0)</f>
        <v>0</v>
      </c>
      <c r="W1395" s="64" t="n">
        <f aca="false">IF($K1395="U – needs rule",$P1395,0)</f>
        <v>0</v>
      </c>
      <c r="X1395" s="64" t="n">
        <f aca="false">IF($K1395="No Start (attainment only)",$P1395,0)</f>
        <v>0</v>
      </c>
    </row>
    <row r="1396" customFormat="false" ht="15" hidden="false" customHeight="false" outlineLevel="0" collapsed="false">
      <c r="A1396" s="60"/>
      <c r="B1396" s="61" t="str">
        <f aca="false">IF($M1396=0,"",INDEX(Classes!$E$6:$E$420,$M1396))</f>
        <v/>
      </c>
      <c r="C1396" s="62" t="str">
        <f aca="false">IF($M1396=0,"",INDEX(Classes!$H$6:$H$420,$M1396))</f>
        <v/>
      </c>
      <c r="D1396" s="61" t="str">
        <f aca="false">IF($M1396=0,"",INDEX(Classes!$B$6:$B$420,$M1396))</f>
        <v/>
      </c>
      <c r="E1396" s="61" t="str">
        <f aca="false">IF($M1396=0,"",INDEX(Classes!$C$6:$C$420,$M1396))</f>
        <v/>
      </c>
      <c r="F1396" s="63"/>
      <c r="G1396" s="63"/>
      <c r="H1396" s="60"/>
      <c r="I1396" s="60"/>
      <c r="J1396" s="63"/>
      <c r="K1396" s="61" t="str">
        <f aca="false">IF($P1396=0,"",IF($F1396="Baseline","— Baseline",IF($O1396=0,"No result",IF($N1396=0,"No Start (attainment only)",IF(OR($N1396=1,$O1396=1),"U – needs rule",INDEX(MxBody,MATCH($I1396,MxCurr,0),MATCH($H1396,MxStart,0)))))))</f>
        <v/>
      </c>
      <c r="L1396" s="62" t="str">
        <f aca="false">IF(COUNTA($A1396,$F1396,$G1396,$H1396,$I1396,$J1396)=0,"",IF($M1396=0,"✖ كود الصف غير موجود",IF(ISNA(MATCH($F1396,Lists!$A$2:$A$5,0)),"✖ الفترة غير صحيحة",IF(ISNA(MATCH($G1396,Lists!$B$2:$B$7,0)),"✖ المجموعة غير صحيحة",IF(NOT(OR($H1396="",$N1396&gt;0)),"✖ Start غير صحيح",IF(NOT(OR($I1396="",$I1396="NR",$O1396&gt;0)),"✖ Current غير صحيح",IF(NOT(IF(ISNUMBER($J1396),AND($J1396&gt;=0,$J1396=INT($J1396)),FALSE())),"✖ العدد يجب أن يكون صحيحًا ≥ 0",IF(AND($F1396="Baseline",$H1396&lt;&gt;""),"⚠ Baseline: Start لا يدخل في التقدم",IF($K1396="No Start (attainment only)","ℹ تحصيل فقط (بدون Start)",IF($K1396="U – needs rule","ℹ حالة U تحتاج قاعدة معتمدة",IF($K1396="No result","ℹ بدون نتيجة (يُستبعد من التحصيل)","OK")))))))))))</f>
        <v/>
      </c>
      <c r="M1396" s="64" t="n">
        <f aca="false">IF($A1396="",0,IFERROR(MATCH($A1396,Classes!$A$6:$A$420,0),0))</f>
        <v>0</v>
      </c>
      <c r="N1396" s="64" t="n">
        <f aca="false">IF($H1396="",0,IFERROR(MATCH($H1396,GradeList,0),0))</f>
        <v>0</v>
      </c>
      <c r="O1396" s="64" t="n">
        <f aca="false">IF(OR($I1396="",$I1396="NR"),0,IFERROR(MATCH($I1396,GradeList,0),0))</f>
        <v>0</v>
      </c>
      <c r="P1396" s="64" t="n">
        <f aca="false">IF(AND($M1396&gt;0,ISNUMBER(MATCH($F1396,Lists!$A$2:$A$5,0)),ISNUMBER(MATCH($G1396,Lists!$B$2:$B$7,0)),OR($H1396="",$N1396&gt;0),OR($I1396="",$I1396="NR",$O1396&gt;0),IF(ISNUMBER($J1396),AND($J1396&gt;=0,$J1396=INT($J1396)),FALSE())),$J1396,0)</f>
        <v>0</v>
      </c>
      <c r="Q1396" s="64" t="n">
        <f aca="false">IF(AND($P1396&gt;0,$O1396&gt;0),$P1396,0)</f>
        <v>0</v>
      </c>
      <c r="R1396" s="64" t="n">
        <f aca="false">IF(AND($Q1396&gt;0,$O1396&gt;=AtRank),$Q1396,0)</f>
        <v>0</v>
      </c>
      <c r="S1396" s="64" t="n">
        <f aca="false">IF(AND($Q1396&gt;0,$O1396&gt;=AboveRank),$Q1396,0)</f>
        <v>0</v>
      </c>
      <c r="T1396" s="64" t="n">
        <f aca="false">IF($K1396="Less",$P1396,0)</f>
        <v>0</v>
      </c>
      <c r="U1396" s="64" t="n">
        <f aca="false">IF($K1396="Expected",$P1396,0)</f>
        <v>0</v>
      </c>
      <c r="V1396" s="64" t="n">
        <f aca="false">IF($K1396="Better",$P1396,0)</f>
        <v>0</v>
      </c>
      <c r="W1396" s="64" t="n">
        <f aca="false">IF($K1396="U – needs rule",$P1396,0)</f>
        <v>0</v>
      </c>
      <c r="X1396" s="64" t="n">
        <f aca="false">IF($K1396="No Start (attainment only)",$P1396,0)</f>
        <v>0</v>
      </c>
    </row>
    <row r="1397" customFormat="false" ht="15" hidden="false" customHeight="false" outlineLevel="0" collapsed="false">
      <c r="A1397" s="60"/>
      <c r="B1397" s="61" t="str">
        <f aca="false">IF($M1397=0,"",INDEX(Classes!$E$6:$E$420,$M1397))</f>
        <v/>
      </c>
      <c r="C1397" s="62" t="str">
        <f aca="false">IF($M1397=0,"",INDEX(Classes!$H$6:$H$420,$M1397))</f>
        <v/>
      </c>
      <c r="D1397" s="61" t="str">
        <f aca="false">IF($M1397=0,"",INDEX(Classes!$B$6:$B$420,$M1397))</f>
        <v/>
      </c>
      <c r="E1397" s="61" t="str">
        <f aca="false">IF($M1397=0,"",INDEX(Classes!$C$6:$C$420,$M1397))</f>
        <v/>
      </c>
      <c r="F1397" s="63"/>
      <c r="G1397" s="63"/>
      <c r="H1397" s="60"/>
      <c r="I1397" s="60"/>
      <c r="J1397" s="63"/>
      <c r="K1397" s="61" t="str">
        <f aca="false">IF($P1397=0,"",IF($F1397="Baseline","— Baseline",IF($O1397=0,"No result",IF($N1397=0,"No Start (attainment only)",IF(OR($N1397=1,$O1397=1),"U – needs rule",INDEX(MxBody,MATCH($I1397,MxCurr,0),MATCH($H1397,MxStart,0)))))))</f>
        <v/>
      </c>
      <c r="L1397" s="62" t="str">
        <f aca="false">IF(COUNTA($A1397,$F1397,$G1397,$H1397,$I1397,$J1397)=0,"",IF($M1397=0,"✖ كود الصف غير موجود",IF(ISNA(MATCH($F1397,Lists!$A$2:$A$5,0)),"✖ الفترة غير صحيحة",IF(ISNA(MATCH($G1397,Lists!$B$2:$B$7,0)),"✖ المجموعة غير صحيحة",IF(NOT(OR($H1397="",$N1397&gt;0)),"✖ Start غير صحيح",IF(NOT(OR($I1397="",$I1397="NR",$O1397&gt;0)),"✖ Current غير صحيح",IF(NOT(IF(ISNUMBER($J1397),AND($J1397&gt;=0,$J1397=INT($J1397)),FALSE())),"✖ العدد يجب أن يكون صحيحًا ≥ 0",IF(AND($F1397="Baseline",$H1397&lt;&gt;""),"⚠ Baseline: Start لا يدخل في التقدم",IF($K1397="No Start (attainment only)","ℹ تحصيل فقط (بدون Start)",IF($K1397="U – needs rule","ℹ حالة U تحتاج قاعدة معتمدة",IF($K1397="No result","ℹ بدون نتيجة (يُستبعد من التحصيل)","OK")))))))))))</f>
        <v/>
      </c>
      <c r="M1397" s="64" t="n">
        <f aca="false">IF($A1397="",0,IFERROR(MATCH($A1397,Classes!$A$6:$A$420,0),0))</f>
        <v>0</v>
      </c>
      <c r="N1397" s="64" t="n">
        <f aca="false">IF($H1397="",0,IFERROR(MATCH($H1397,GradeList,0),0))</f>
        <v>0</v>
      </c>
      <c r="O1397" s="64" t="n">
        <f aca="false">IF(OR($I1397="",$I1397="NR"),0,IFERROR(MATCH($I1397,GradeList,0),0))</f>
        <v>0</v>
      </c>
      <c r="P1397" s="64" t="n">
        <f aca="false">IF(AND($M1397&gt;0,ISNUMBER(MATCH($F1397,Lists!$A$2:$A$5,0)),ISNUMBER(MATCH($G1397,Lists!$B$2:$B$7,0)),OR($H1397="",$N1397&gt;0),OR($I1397="",$I1397="NR",$O1397&gt;0),IF(ISNUMBER($J1397),AND($J1397&gt;=0,$J1397=INT($J1397)),FALSE())),$J1397,0)</f>
        <v>0</v>
      </c>
      <c r="Q1397" s="64" t="n">
        <f aca="false">IF(AND($P1397&gt;0,$O1397&gt;0),$P1397,0)</f>
        <v>0</v>
      </c>
      <c r="R1397" s="64" t="n">
        <f aca="false">IF(AND($Q1397&gt;0,$O1397&gt;=AtRank),$Q1397,0)</f>
        <v>0</v>
      </c>
      <c r="S1397" s="64" t="n">
        <f aca="false">IF(AND($Q1397&gt;0,$O1397&gt;=AboveRank),$Q1397,0)</f>
        <v>0</v>
      </c>
      <c r="T1397" s="64" t="n">
        <f aca="false">IF($K1397="Less",$P1397,0)</f>
        <v>0</v>
      </c>
      <c r="U1397" s="64" t="n">
        <f aca="false">IF($K1397="Expected",$P1397,0)</f>
        <v>0</v>
      </c>
      <c r="V1397" s="64" t="n">
        <f aca="false">IF($K1397="Better",$P1397,0)</f>
        <v>0</v>
      </c>
      <c r="W1397" s="64" t="n">
        <f aca="false">IF($K1397="U – needs rule",$P1397,0)</f>
        <v>0</v>
      </c>
      <c r="X1397" s="64" t="n">
        <f aca="false">IF($K1397="No Start (attainment only)",$P1397,0)</f>
        <v>0</v>
      </c>
    </row>
    <row r="1398" customFormat="false" ht="15" hidden="false" customHeight="false" outlineLevel="0" collapsed="false">
      <c r="A1398" s="60"/>
      <c r="B1398" s="61" t="str">
        <f aca="false">IF($M1398=0,"",INDEX(Classes!$E$6:$E$420,$M1398))</f>
        <v/>
      </c>
      <c r="C1398" s="62" t="str">
        <f aca="false">IF($M1398=0,"",INDEX(Classes!$H$6:$H$420,$M1398))</f>
        <v/>
      </c>
      <c r="D1398" s="61" t="str">
        <f aca="false">IF($M1398=0,"",INDEX(Classes!$B$6:$B$420,$M1398))</f>
        <v/>
      </c>
      <c r="E1398" s="61" t="str">
        <f aca="false">IF($M1398=0,"",INDEX(Classes!$C$6:$C$420,$M1398))</f>
        <v/>
      </c>
      <c r="F1398" s="63"/>
      <c r="G1398" s="63"/>
      <c r="H1398" s="60"/>
      <c r="I1398" s="60"/>
      <c r="J1398" s="63"/>
      <c r="K1398" s="61" t="str">
        <f aca="false">IF($P1398=0,"",IF($F1398="Baseline","— Baseline",IF($O1398=0,"No result",IF($N1398=0,"No Start (attainment only)",IF(OR($N1398=1,$O1398=1),"U – needs rule",INDEX(MxBody,MATCH($I1398,MxCurr,0),MATCH($H1398,MxStart,0)))))))</f>
        <v/>
      </c>
      <c r="L1398" s="62" t="str">
        <f aca="false">IF(COUNTA($A1398,$F1398,$G1398,$H1398,$I1398,$J1398)=0,"",IF($M1398=0,"✖ كود الصف غير موجود",IF(ISNA(MATCH($F1398,Lists!$A$2:$A$5,0)),"✖ الفترة غير صحيحة",IF(ISNA(MATCH($G1398,Lists!$B$2:$B$7,0)),"✖ المجموعة غير صحيحة",IF(NOT(OR($H1398="",$N1398&gt;0)),"✖ Start غير صحيح",IF(NOT(OR($I1398="",$I1398="NR",$O1398&gt;0)),"✖ Current غير صحيح",IF(NOT(IF(ISNUMBER($J1398),AND($J1398&gt;=0,$J1398=INT($J1398)),FALSE())),"✖ العدد يجب أن يكون صحيحًا ≥ 0",IF(AND($F1398="Baseline",$H1398&lt;&gt;""),"⚠ Baseline: Start لا يدخل في التقدم",IF($K1398="No Start (attainment only)","ℹ تحصيل فقط (بدون Start)",IF($K1398="U – needs rule","ℹ حالة U تحتاج قاعدة معتمدة",IF($K1398="No result","ℹ بدون نتيجة (يُستبعد من التحصيل)","OK")))))))))))</f>
        <v/>
      </c>
      <c r="M1398" s="64" t="n">
        <f aca="false">IF($A1398="",0,IFERROR(MATCH($A1398,Classes!$A$6:$A$420,0),0))</f>
        <v>0</v>
      </c>
      <c r="N1398" s="64" t="n">
        <f aca="false">IF($H1398="",0,IFERROR(MATCH($H1398,GradeList,0),0))</f>
        <v>0</v>
      </c>
      <c r="O1398" s="64" t="n">
        <f aca="false">IF(OR($I1398="",$I1398="NR"),0,IFERROR(MATCH($I1398,GradeList,0),0))</f>
        <v>0</v>
      </c>
      <c r="P1398" s="64" t="n">
        <f aca="false">IF(AND($M1398&gt;0,ISNUMBER(MATCH($F1398,Lists!$A$2:$A$5,0)),ISNUMBER(MATCH($G1398,Lists!$B$2:$B$7,0)),OR($H1398="",$N1398&gt;0),OR($I1398="",$I1398="NR",$O1398&gt;0),IF(ISNUMBER($J1398),AND($J1398&gt;=0,$J1398=INT($J1398)),FALSE())),$J1398,0)</f>
        <v>0</v>
      </c>
      <c r="Q1398" s="64" t="n">
        <f aca="false">IF(AND($P1398&gt;0,$O1398&gt;0),$P1398,0)</f>
        <v>0</v>
      </c>
      <c r="R1398" s="64" t="n">
        <f aca="false">IF(AND($Q1398&gt;0,$O1398&gt;=AtRank),$Q1398,0)</f>
        <v>0</v>
      </c>
      <c r="S1398" s="64" t="n">
        <f aca="false">IF(AND($Q1398&gt;0,$O1398&gt;=AboveRank),$Q1398,0)</f>
        <v>0</v>
      </c>
      <c r="T1398" s="64" t="n">
        <f aca="false">IF($K1398="Less",$P1398,0)</f>
        <v>0</v>
      </c>
      <c r="U1398" s="64" t="n">
        <f aca="false">IF($K1398="Expected",$P1398,0)</f>
        <v>0</v>
      </c>
      <c r="V1398" s="64" t="n">
        <f aca="false">IF($K1398="Better",$P1398,0)</f>
        <v>0</v>
      </c>
      <c r="W1398" s="64" t="n">
        <f aca="false">IF($K1398="U – needs rule",$P1398,0)</f>
        <v>0</v>
      </c>
      <c r="X1398" s="64" t="n">
        <f aca="false">IF($K1398="No Start (attainment only)",$P1398,0)</f>
        <v>0</v>
      </c>
    </row>
    <row r="1399" customFormat="false" ht="15" hidden="false" customHeight="false" outlineLevel="0" collapsed="false">
      <c r="A1399" s="60"/>
      <c r="B1399" s="61" t="str">
        <f aca="false">IF($M1399=0,"",INDEX(Classes!$E$6:$E$420,$M1399))</f>
        <v/>
      </c>
      <c r="C1399" s="62" t="str">
        <f aca="false">IF($M1399=0,"",INDEX(Classes!$H$6:$H$420,$M1399))</f>
        <v/>
      </c>
      <c r="D1399" s="61" t="str">
        <f aca="false">IF($M1399=0,"",INDEX(Classes!$B$6:$B$420,$M1399))</f>
        <v/>
      </c>
      <c r="E1399" s="61" t="str">
        <f aca="false">IF($M1399=0,"",INDEX(Classes!$C$6:$C$420,$M1399))</f>
        <v/>
      </c>
      <c r="F1399" s="63"/>
      <c r="G1399" s="63"/>
      <c r="H1399" s="60"/>
      <c r="I1399" s="60"/>
      <c r="J1399" s="63"/>
      <c r="K1399" s="61" t="str">
        <f aca="false">IF($P1399=0,"",IF($F1399="Baseline","— Baseline",IF($O1399=0,"No result",IF($N1399=0,"No Start (attainment only)",IF(OR($N1399=1,$O1399=1),"U – needs rule",INDEX(MxBody,MATCH($I1399,MxCurr,0),MATCH($H1399,MxStart,0)))))))</f>
        <v/>
      </c>
      <c r="L1399" s="62" t="str">
        <f aca="false">IF(COUNTA($A1399,$F1399,$G1399,$H1399,$I1399,$J1399)=0,"",IF($M1399=0,"✖ كود الصف غير موجود",IF(ISNA(MATCH($F1399,Lists!$A$2:$A$5,0)),"✖ الفترة غير صحيحة",IF(ISNA(MATCH($G1399,Lists!$B$2:$B$7,0)),"✖ المجموعة غير صحيحة",IF(NOT(OR($H1399="",$N1399&gt;0)),"✖ Start غير صحيح",IF(NOT(OR($I1399="",$I1399="NR",$O1399&gt;0)),"✖ Current غير صحيح",IF(NOT(IF(ISNUMBER($J1399),AND($J1399&gt;=0,$J1399=INT($J1399)),FALSE())),"✖ العدد يجب أن يكون صحيحًا ≥ 0",IF(AND($F1399="Baseline",$H1399&lt;&gt;""),"⚠ Baseline: Start لا يدخل في التقدم",IF($K1399="No Start (attainment only)","ℹ تحصيل فقط (بدون Start)",IF($K1399="U – needs rule","ℹ حالة U تحتاج قاعدة معتمدة",IF($K1399="No result","ℹ بدون نتيجة (يُستبعد من التحصيل)","OK")))))))))))</f>
        <v/>
      </c>
      <c r="M1399" s="64" t="n">
        <f aca="false">IF($A1399="",0,IFERROR(MATCH($A1399,Classes!$A$6:$A$420,0),0))</f>
        <v>0</v>
      </c>
      <c r="N1399" s="64" t="n">
        <f aca="false">IF($H1399="",0,IFERROR(MATCH($H1399,GradeList,0),0))</f>
        <v>0</v>
      </c>
      <c r="O1399" s="64" t="n">
        <f aca="false">IF(OR($I1399="",$I1399="NR"),0,IFERROR(MATCH($I1399,GradeList,0),0))</f>
        <v>0</v>
      </c>
      <c r="P1399" s="64" t="n">
        <f aca="false">IF(AND($M1399&gt;0,ISNUMBER(MATCH($F1399,Lists!$A$2:$A$5,0)),ISNUMBER(MATCH($G1399,Lists!$B$2:$B$7,0)),OR($H1399="",$N1399&gt;0),OR($I1399="",$I1399="NR",$O1399&gt;0),IF(ISNUMBER($J1399),AND($J1399&gt;=0,$J1399=INT($J1399)),FALSE())),$J1399,0)</f>
        <v>0</v>
      </c>
      <c r="Q1399" s="64" t="n">
        <f aca="false">IF(AND($P1399&gt;0,$O1399&gt;0),$P1399,0)</f>
        <v>0</v>
      </c>
      <c r="R1399" s="64" t="n">
        <f aca="false">IF(AND($Q1399&gt;0,$O1399&gt;=AtRank),$Q1399,0)</f>
        <v>0</v>
      </c>
      <c r="S1399" s="64" t="n">
        <f aca="false">IF(AND($Q1399&gt;0,$O1399&gt;=AboveRank),$Q1399,0)</f>
        <v>0</v>
      </c>
      <c r="T1399" s="64" t="n">
        <f aca="false">IF($K1399="Less",$P1399,0)</f>
        <v>0</v>
      </c>
      <c r="U1399" s="64" t="n">
        <f aca="false">IF($K1399="Expected",$P1399,0)</f>
        <v>0</v>
      </c>
      <c r="V1399" s="64" t="n">
        <f aca="false">IF($K1399="Better",$P1399,0)</f>
        <v>0</v>
      </c>
      <c r="W1399" s="64" t="n">
        <f aca="false">IF($K1399="U – needs rule",$P1399,0)</f>
        <v>0</v>
      </c>
      <c r="X1399" s="64" t="n">
        <f aca="false">IF($K1399="No Start (attainment only)",$P1399,0)</f>
        <v>0</v>
      </c>
    </row>
    <row r="1400" customFormat="false" ht="15" hidden="false" customHeight="false" outlineLevel="0" collapsed="false">
      <c r="A1400" s="60"/>
      <c r="B1400" s="61" t="str">
        <f aca="false">IF($M1400=0,"",INDEX(Classes!$E$6:$E$420,$M1400))</f>
        <v/>
      </c>
      <c r="C1400" s="62" t="str">
        <f aca="false">IF($M1400=0,"",INDEX(Classes!$H$6:$H$420,$M1400))</f>
        <v/>
      </c>
      <c r="D1400" s="61" t="str">
        <f aca="false">IF($M1400=0,"",INDEX(Classes!$B$6:$B$420,$M1400))</f>
        <v/>
      </c>
      <c r="E1400" s="61" t="str">
        <f aca="false">IF($M1400=0,"",INDEX(Classes!$C$6:$C$420,$M1400))</f>
        <v/>
      </c>
      <c r="F1400" s="63"/>
      <c r="G1400" s="63"/>
      <c r="H1400" s="60"/>
      <c r="I1400" s="60"/>
      <c r="J1400" s="63"/>
      <c r="K1400" s="61" t="str">
        <f aca="false">IF($P1400=0,"",IF($F1400="Baseline","— Baseline",IF($O1400=0,"No result",IF($N1400=0,"No Start (attainment only)",IF(OR($N1400=1,$O1400=1),"U – needs rule",INDEX(MxBody,MATCH($I1400,MxCurr,0),MATCH($H1400,MxStart,0)))))))</f>
        <v/>
      </c>
      <c r="L1400" s="62" t="str">
        <f aca="false">IF(COUNTA($A1400,$F1400,$G1400,$H1400,$I1400,$J1400)=0,"",IF($M1400=0,"✖ كود الصف غير موجود",IF(ISNA(MATCH($F1400,Lists!$A$2:$A$5,0)),"✖ الفترة غير صحيحة",IF(ISNA(MATCH($G1400,Lists!$B$2:$B$7,0)),"✖ المجموعة غير صحيحة",IF(NOT(OR($H1400="",$N1400&gt;0)),"✖ Start غير صحيح",IF(NOT(OR($I1400="",$I1400="NR",$O1400&gt;0)),"✖ Current غير صحيح",IF(NOT(IF(ISNUMBER($J1400),AND($J1400&gt;=0,$J1400=INT($J1400)),FALSE())),"✖ العدد يجب أن يكون صحيحًا ≥ 0",IF(AND($F1400="Baseline",$H1400&lt;&gt;""),"⚠ Baseline: Start لا يدخل في التقدم",IF($K1400="No Start (attainment only)","ℹ تحصيل فقط (بدون Start)",IF($K1400="U – needs rule","ℹ حالة U تحتاج قاعدة معتمدة",IF($K1400="No result","ℹ بدون نتيجة (يُستبعد من التحصيل)","OK")))))))))))</f>
        <v/>
      </c>
      <c r="M1400" s="64" t="n">
        <f aca="false">IF($A1400="",0,IFERROR(MATCH($A1400,Classes!$A$6:$A$420,0),0))</f>
        <v>0</v>
      </c>
      <c r="N1400" s="64" t="n">
        <f aca="false">IF($H1400="",0,IFERROR(MATCH($H1400,GradeList,0),0))</f>
        <v>0</v>
      </c>
      <c r="O1400" s="64" t="n">
        <f aca="false">IF(OR($I1400="",$I1400="NR"),0,IFERROR(MATCH($I1400,GradeList,0),0))</f>
        <v>0</v>
      </c>
      <c r="P1400" s="64" t="n">
        <f aca="false">IF(AND($M1400&gt;0,ISNUMBER(MATCH($F1400,Lists!$A$2:$A$5,0)),ISNUMBER(MATCH($G1400,Lists!$B$2:$B$7,0)),OR($H1400="",$N1400&gt;0),OR($I1400="",$I1400="NR",$O1400&gt;0),IF(ISNUMBER($J1400),AND($J1400&gt;=0,$J1400=INT($J1400)),FALSE())),$J1400,0)</f>
        <v>0</v>
      </c>
      <c r="Q1400" s="64" t="n">
        <f aca="false">IF(AND($P1400&gt;0,$O1400&gt;0),$P1400,0)</f>
        <v>0</v>
      </c>
      <c r="R1400" s="64" t="n">
        <f aca="false">IF(AND($Q1400&gt;0,$O1400&gt;=AtRank),$Q1400,0)</f>
        <v>0</v>
      </c>
      <c r="S1400" s="64" t="n">
        <f aca="false">IF(AND($Q1400&gt;0,$O1400&gt;=AboveRank),$Q1400,0)</f>
        <v>0</v>
      </c>
      <c r="T1400" s="64" t="n">
        <f aca="false">IF($K1400="Less",$P1400,0)</f>
        <v>0</v>
      </c>
      <c r="U1400" s="64" t="n">
        <f aca="false">IF($K1400="Expected",$P1400,0)</f>
        <v>0</v>
      </c>
      <c r="V1400" s="64" t="n">
        <f aca="false">IF($K1400="Better",$P1400,0)</f>
        <v>0</v>
      </c>
      <c r="W1400" s="64" t="n">
        <f aca="false">IF($K1400="U – needs rule",$P1400,0)</f>
        <v>0</v>
      </c>
      <c r="X1400" s="64" t="n">
        <f aca="false">IF($K1400="No Start (attainment only)",$P1400,0)</f>
        <v>0</v>
      </c>
    </row>
    <row r="1401" customFormat="false" ht="15" hidden="false" customHeight="false" outlineLevel="0" collapsed="false">
      <c r="A1401" s="60"/>
      <c r="B1401" s="61" t="str">
        <f aca="false">IF($M1401=0,"",INDEX(Classes!$E$6:$E$420,$M1401))</f>
        <v/>
      </c>
      <c r="C1401" s="62" t="str">
        <f aca="false">IF($M1401=0,"",INDEX(Classes!$H$6:$H$420,$M1401))</f>
        <v/>
      </c>
      <c r="D1401" s="61" t="str">
        <f aca="false">IF($M1401=0,"",INDEX(Classes!$B$6:$B$420,$M1401))</f>
        <v/>
      </c>
      <c r="E1401" s="61" t="str">
        <f aca="false">IF($M1401=0,"",INDEX(Classes!$C$6:$C$420,$M1401))</f>
        <v/>
      </c>
      <c r="F1401" s="63"/>
      <c r="G1401" s="63"/>
      <c r="H1401" s="60"/>
      <c r="I1401" s="60"/>
      <c r="J1401" s="63"/>
      <c r="K1401" s="61" t="str">
        <f aca="false">IF($P1401=0,"",IF($F1401="Baseline","— Baseline",IF($O1401=0,"No result",IF($N1401=0,"No Start (attainment only)",IF(OR($N1401=1,$O1401=1),"U – needs rule",INDEX(MxBody,MATCH($I1401,MxCurr,0),MATCH($H1401,MxStart,0)))))))</f>
        <v/>
      </c>
      <c r="L1401" s="62" t="str">
        <f aca="false">IF(COUNTA($A1401,$F1401,$G1401,$H1401,$I1401,$J1401)=0,"",IF($M1401=0,"✖ كود الصف غير موجود",IF(ISNA(MATCH($F1401,Lists!$A$2:$A$5,0)),"✖ الفترة غير صحيحة",IF(ISNA(MATCH($G1401,Lists!$B$2:$B$7,0)),"✖ المجموعة غير صحيحة",IF(NOT(OR($H1401="",$N1401&gt;0)),"✖ Start غير صحيح",IF(NOT(OR($I1401="",$I1401="NR",$O1401&gt;0)),"✖ Current غير صحيح",IF(NOT(IF(ISNUMBER($J1401),AND($J1401&gt;=0,$J1401=INT($J1401)),FALSE())),"✖ العدد يجب أن يكون صحيحًا ≥ 0",IF(AND($F1401="Baseline",$H1401&lt;&gt;""),"⚠ Baseline: Start لا يدخل في التقدم",IF($K1401="No Start (attainment only)","ℹ تحصيل فقط (بدون Start)",IF($K1401="U – needs rule","ℹ حالة U تحتاج قاعدة معتمدة",IF($K1401="No result","ℹ بدون نتيجة (يُستبعد من التحصيل)","OK")))))))))))</f>
        <v/>
      </c>
      <c r="M1401" s="64" t="n">
        <f aca="false">IF($A1401="",0,IFERROR(MATCH($A1401,Classes!$A$6:$A$420,0),0))</f>
        <v>0</v>
      </c>
      <c r="N1401" s="64" t="n">
        <f aca="false">IF($H1401="",0,IFERROR(MATCH($H1401,GradeList,0),0))</f>
        <v>0</v>
      </c>
      <c r="O1401" s="64" t="n">
        <f aca="false">IF(OR($I1401="",$I1401="NR"),0,IFERROR(MATCH($I1401,GradeList,0),0))</f>
        <v>0</v>
      </c>
      <c r="P1401" s="64" t="n">
        <f aca="false">IF(AND($M1401&gt;0,ISNUMBER(MATCH($F1401,Lists!$A$2:$A$5,0)),ISNUMBER(MATCH($G1401,Lists!$B$2:$B$7,0)),OR($H1401="",$N1401&gt;0),OR($I1401="",$I1401="NR",$O1401&gt;0),IF(ISNUMBER($J1401),AND($J1401&gt;=0,$J1401=INT($J1401)),FALSE())),$J1401,0)</f>
        <v>0</v>
      </c>
      <c r="Q1401" s="64" t="n">
        <f aca="false">IF(AND($P1401&gt;0,$O1401&gt;0),$P1401,0)</f>
        <v>0</v>
      </c>
      <c r="R1401" s="64" t="n">
        <f aca="false">IF(AND($Q1401&gt;0,$O1401&gt;=AtRank),$Q1401,0)</f>
        <v>0</v>
      </c>
      <c r="S1401" s="64" t="n">
        <f aca="false">IF(AND($Q1401&gt;0,$O1401&gt;=AboveRank),$Q1401,0)</f>
        <v>0</v>
      </c>
      <c r="T1401" s="64" t="n">
        <f aca="false">IF($K1401="Less",$P1401,0)</f>
        <v>0</v>
      </c>
      <c r="U1401" s="64" t="n">
        <f aca="false">IF($K1401="Expected",$P1401,0)</f>
        <v>0</v>
      </c>
      <c r="V1401" s="64" t="n">
        <f aca="false">IF($K1401="Better",$P1401,0)</f>
        <v>0</v>
      </c>
      <c r="W1401" s="64" t="n">
        <f aca="false">IF($K1401="U – needs rule",$P1401,0)</f>
        <v>0</v>
      </c>
      <c r="X1401" s="64" t="n">
        <f aca="false">IF($K1401="No Start (attainment only)",$P1401,0)</f>
        <v>0</v>
      </c>
    </row>
    <row r="1402" customFormat="false" ht="15" hidden="false" customHeight="false" outlineLevel="0" collapsed="false">
      <c r="A1402" s="60"/>
      <c r="B1402" s="61" t="str">
        <f aca="false">IF($M1402=0,"",INDEX(Classes!$E$6:$E$420,$M1402))</f>
        <v/>
      </c>
      <c r="C1402" s="62" t="str">
        <f aca="false">IF($M1402=0,"",INDEX(Classes!$H$6:$H$420,$M1402))</f>
        <v/>
      </c>
      <c r="D1402" s="61" t="str">
        <f aca="false">IF($M1402=0,"",INDEX(Classes!$B$6:$B$420,$M1402))</f>
        <v/>
      </c>
      <c r="E1402" s="61" t="str">
        <f aca="false">IF($M1402=0,"",INDEX(Classes!$C$6:$C$420,$M1402))</f>
        <v/>
      </c>
      <c r="F1402" s="63"/>
      <c r="G1402" s="63"/>
      <c r="H1402" s="60"/>
      <c r="I1402" s="60"/>
      <c r="J1402" s="63"/>
      <c r="K1402" s="61" t="str">
        <f aca="false">IF($P1402=0,"",IF($F1402="Baseline","— Baseline",IF($O1402=0,"No result",IF($N1402=0,"No Start (attainment only)",IF(OR($N1402=1,$O1402=1),"U – needs rule",INDEX(MxBody,MATCH($I1402,MxCurr,0),MATCH($H1402,MxStart,0)))))))</f>
        <v/>
      </c>
      <c r="L1402" s="62" t="str">
        <f aca="false">IF(COUNTA($A1402,$F1402,$G1402,$H1402,$I1402,$J1402)=0,"",IF($M1402=0,"✖ كود الصف غير موجود",IF(ISNA(MATCH($F1402,Lists!$A$2:$A$5,0)),"✖ الفترة غير صحيحة",IF(ISNA(MATCH($G1402,Lists!$B$2:$B$7,0)),"✖ المجموعة غير صحيحة",IF(NOT(OR($H1402="",$N1402&gt;0)),"✖ Start غير صحيح",IF(NOT(OR($I1402="",$I1402="NR",$O1402&gt;0)),"✖ Current غير صحيح",IF(NOT(IF(ISNUMBER($J1402),AND($J1402&gt;=0,$J1402=INT($J1402)),FALSE())),"✖ العدد يجب أن يكون صحيحًا ≥ 0",IF(AND($F1402="Baseline",$H1402&lt;&gt;""),"⚠ Baseline: Start لا يدخل في التقدم",IF($K1402="No Start (attainment only)","ℹ تحصيل فقط (بدون Start)",IF($K1402="U – needs rule","ℹ حالة U تحتاج قاعدة معتمدة",IF($K1402="No result","ℹ بدون نتيجة (يُستبعد من التحصيل)","OK")))))))))))</f>
        <v/>
      </c>
      <c r="M1402" s="64" t="n">
        <f aca="false">IF($A1402="",0,IFERROR(MATCH($A1402,Classes!$A$6:$A$420,0),0))</f>
        <v>0</v>
      </c>
      <c r="N1402" s="64" t="n">
        <f aca="false">IF($H1402="",0,IFERROR(MATCH($H1402,GradeList,0),0))</f>
        <v>0</v>
      </c>
      <c r="O1402" s="64" t="n">
        <f aca="false">IF(OR($I1402="",$I1402="NR"),0,IFERROR(MATCH($I1402,GradeList,0),0))</f>
        <v>0</v>
      </c>
      <c r="P1402" s="64" t="n">
        <f aca="false">IF(AND($M1402&gt;0,ISNUMBER(MATCH($F1402,Lists!$A$2:$A$5,0)),ISNUMBER(MATCH($G1402,Lists!$B$2:$B$7,0)),OR($H1402="",$N1402&gt;0),OR($I1402="",$I1402="NR",$O1402&gt;0),IF(ISNUMBER($J1402),AND($J1402&gt;=0,$J1402=INT($J1402)),FALSE())),$J1402,0)</f>
        <v>0</v>
      </c>
      <c r="Q1402" s="64" t="n">
        <f aca="false">IF(AND($P1402&gt;0,$O1402&gt;0),$P1402,0)</f>
        <v>0</v>
      </c>
      <c r="R1402" s="64" t="n">
        <f aca="false">IF(AND($Q1402&gt;0,$O1402&gt;=AtRank),$Q1402,0)</f>
        <v>0</v>
      </c>
      <c r="S1402" s="64" t="n">
        <f aca="false">IF(AND($Q1402&gt;0,$O1402&gt;=AboveRank),$Q1402,0)</f>
        <v>0</v>
      </c>
      <c r="T1402" s="64" t="n">
        <f aca="false">IF($K1402="Less",$P1402,0)</f>
        <v>0</v>
      </c>
      <c r="U1402" s="64" t="n">
        <f aca="false">IF($K1402="Expected",$P1402,0)</f>
        <v>0</v>
      </c>
      <c r="V1402" s="64" t="n">
        <f aca="false">IF($K1402="Better",$P1402,0)</f>
        <v>0</v>
      </c>
      <c r="W1402" s="64" t="n">
        <f aca="false">IF($K1402="U – needs rule",$P1402,0)</f>
        <v>0</v>
      </c>
      <c r="X1402" s="64" t="n">
        <f aca="false">IF($K1402="No Start (attainment only)",$P1402,0)</f>
        <v>0</v>
      </c>
    </row>
    <row r="1403" customFormat="false" ht="15" hidden="false" customHeight="false" outlineLevel="0" collapsed="false">
      <c r="A1403" s="60"/>
      <c r="B1403" s="61" t="str">
        <f aca="false">IF($M1403=0,"",INDEX(Classes!$E$6:$E$420,$M1403))</f>
        <v/>
      </c>
      <c r="C1403" s="62" t="str">
        <f aca="false">IF($M1403=0,"",INDEX(Classes!$H$6:$H$420,$M1403))</f>
        <v/>
      </c>
      <c r="D1403" s="61" t="str">
        <f aca="false">IF($M1403=0,"",INDEX(Classes!$B$6:$B$420,$M1403))</f>
        <v/>
      </c>
      <c r="E1403" s="61" t="str">
        <f aca="false">IF($M1403=0,"",INDEX(Classes!$C$6:$C$420,$M1403))</f>
        <v/>
      </c>
      <c r="F1403" s="63"/>
      <c r="G1403" s="63"/>
      <c r="H1403" s="60"/>
      <c r="I1403" s="60"/>
      <c r="J1403" s="63"/>
      <c r="K1403" s="61" t="str">
        <f aca="false">IF($P1403=0,"",IF($F1403="Baseline","— Baseline",IF($O1403=0,"No result",IF($N1403=0,"No Start (attainment only)",IF(OR($N1403=1,$O1403=1),"U – needs rule",INDEX(MxBody,MATCH($I1403,MxCurr,0),MATCH($H1403,MxStart,0)))))))</f>
        <v/>
      </c>
      <c r="L1403" s="62" t="str">
        <f aca="false">IF(COUNTA($A1403,$F1403,$G1403,$H1403,$I1403,$J1403)=0,"",IF($M1403=0,"✖ كود الصف غير موجود",IF(ISNA(MATCH($F1403,Lists!$A$2:$A$5,0)),"✖ الفترة غير صحيحة",IF(ISNA(MATCH($G1403,Lists!$B$2:$B$7,0)),"✖ المجموعة غير صحيحة",IF(NOT(OR($H1403="",$N1403&gt;0)),"✖ Start غير صحيح",IF(NOT(OR($I1403="",$I1403="NR",$O1403&gt;0)),"✖ Current غير صحيح",IF(NOT(IF(ISNUMBER($J1403),AND($J1403&gt;=0,$J1403=INT($J1403)),FALSE())),"✖ العدد يجب أن يكون صحيحًا ≥ 0",IF(AND($F1403="Baseline",$H1403&lt;&gt;""),"⚠ Baseline: Start لا يدخل في التقدم",IF($K1403="No Start (attainment only)","ℹ تحصيل فقط (بدون Start)",IF($K1403="U – needs rule","ℹ حالة U تحتاج قاعدة معتمدة",IF($K1403="No result","ℹ بدون نتيجة (يُستبعد من التحصيل)","OK")))))))))))</f>
        <v/>
      </c>
      <c r="M1403" s="64" t="n">
        <f aca="false">IF($A1403="",0,IFERROR(MATCH($A1403,Classes!$A$6:$A$420,0),0))</f>
        <v>0</v>
      </c>
      <c r="N1403" s="64" t="n">
        <f aca="false">IF($H1403="",0,IFERROR(MATCH($H1403,GradeList,0),0))</f>
        <v>0</v>
      </c>
      <c r="O1403" s="64" t="n">
        <f aca="false">IF(OR($I1403="",$I1403="NR"),0,IFERROR(MATCH($I1403,GradeList,0),0))</f>
        <v>0</v>
      </c>
      <c r="P1403" s="64" t="n">
        <f aca="false">IF(AND($M1403&gt;0,ISNUMBER(MATCH($F1403,Lists!$A$2:$A$5,0)),ISNUMBER(MATCH($G1403,Lists!$B$2:$B$7,0)),OR($H1403="",$N1403&gt;0),OR($I1403="",$I1403="NR",$O1403&gt;0),IF(ISNUMBER($J1403),AND($J1403&gt;=0,$J1403=INT($J1403)),FALSE())),$J1403,0)</f>
        <v>0</v>
      </c>
      <c r="Q1403" s="64" t="n">
        <f aca="false">IF(AND($P1403&gt;0,$O1403&gt;0),$P1403,0)</f>
        <v>0</v>
      </c>
      <c r="R1403" s="64" t="n">
        <f aca="false">IF(AND($Q1403&gt;0,$O1403&gt;=AtRank),$Q1403,0)</f>
        <v>0</v>
      </c>
      <c r="S1403" s="64" t="n">
        <f aca="false">IF(AND($Q1403&gt;0,$O1403&gt;=AboveRank),$Q1403,0)</f>
        <v>0</v>
      </c>
      <c r="T1403" s="64" t="n">
        <f aca="false">IF($K1403="Less",$P1403,0)</f>
        <v>0</v>
      </c>
      <c r="U1403" s="64" t="n">
        <f aca="false">IF($K1403="Expected",$P1403,0)</f>
        <v>0</v>
      </c>
      <c r="V1403" s="64" t="n">
        <f aca="false">IF($K1403="Better",$P1403,0)</f>
        <v>0</v>
      </c>
      <c r="W1403" s="64" t="n">
        <f aca="false">IF($K1403="U – needs rule",$P1403,0)</f>
        <v>0</v>
      </c>
      <c r="X1403" s="64" t="n">
        <f aca="false">IF($K1403="No Start (attainment only)",$P1403,0)</f>
        <v>0</v>
      </c>
    </row>
    <row r="1404" customFormat="false" ht="15" hidden="false" customHeight="false" outlineLevel="0" collapsed="false">
      <c r="A1404" s="60"/>
      <c r="B1404" s="61" t="str">
        <f aca="false">IF($M1404=0,"",INDEX(Classes!$E$6:$E$420,$M1404))</f>
        <v/>
      </c>
      <c r="C1404" s="62" t="str">
        <f aca="false">IF($M1404=0,"",INDEX(Classes!$H$6:$H$420,$M1404))</f>
        <v/>
      </c>
      <c r="D1404" s="61" t="str">
        <f aca="false">IF($M1404=0,"",INDEX(Classes!$B$6:$B$420,$M1404))</f>
        <v/>
      </c>
      <c r="E1404" s="61" t="str">
        <f aca="false">IF($M1404=0,"",INDEX(Classes!$C$6:$C$420,$M1404))</f>
        <v/>
      </c>
      <c r="F1404" s="63"/>
      <c r="G1404" s="63"/>
      <c r="H1404" s="60"/>
      <c r="I1404" s="60"/>
      <c r="J1404" s="63"/>
      <c r="K1404" s="61" t="str">
        <f aca="false">IF($P1404=0,"",IF($F1404="Baseline","— Baseline",IF($O1404=0,"No result",IF($N1404=0,"No Start (attainment only)",IF(OR($N1404=1,$O1404=1),"U – needs rule",INDEX(MxBody,MATCH($I1404,MxCurr,0),MATCH($H1404,MxStart,0)))))))</f>
        <v/>
      </c>
      <c r="L1404" s="62" t="str">
        <f aca="false">IF(COUNTA($A1404,$F1404,$G1404,$H1404,$I1404,$J1404)=0,"",IF($M1404=0,"✖ كود الصف غير موجود",IF(ISNA(MATCH($F1404,Lists!$A$2:$A$5,0)),"✖ الفترة غير صحيحة",IF(ISNA(MATCH($G1404,Lists!$B$2:$B$7,0)),"✖ المجموعة غير صحيحة",IF(NOT(OR($H1404="",$N1404&gt;0)),"✖ Start غير صحيح",IF(NOT(OR($I1404="",$I1404="NR",$O1404&gt;0)),"✖ Current غير صحيح",IF(NOT(IF(ISNUMBER($J1404),AND($J1404&gt;=0,$J1404=INT($J1404)),FALSE())),"✖ العدد يجب أن يكون صحيحًا ≥ 0",IF(AND($F1404="Baseline",$H1404&lt;&gt;""),"⚠ Baseline: Start لا يدخل في التقدم",IF($K1404="No Start (attainment only)","ℹ تحصيل فقط (بدون Start)",IF($K1404="U – needs rule","ℹ حالة U تحتاج قاعدة معتمدة",IF($K1404="No result","ℹ بدون نتيجة (يُستبعد من التحصيل)","OK")))))))))))</f>
        <v/>
      </c>
      <c r="M1404" s="64" t="n">
        <f aca="false">IF($A1404="",0,IFERROR(MATCH($A1404,Classes!$A$6:$A$420,0),0))</f>
        <v>0</v>
      </c>
      <c r="N1404" s="64" t="n">
        <f aca="false">IF($H1404="",0,IFERROR(MATCH($H1404,GradeList,0),0))</f>
        <v>0</v>
      </c>
      <c r="O1404" s="64" t="n">
        <f aca="false">IF(OR($I1404="",$I1404="NR"),0,IFERROR(MATCH($I1404,GradeList,0),0))</f>
        <v>0</v>
      </c>
      <c r="P1404" s="64" t="n">
        <f aca="false">IF(AND($M1404&gt;0,ISNUMBER(MATCH($F1404,Lists!$A$2:$A$5,0)),ISNUMBER(MATCH($G1404,Lists!$B$2:$B$7,0)),OR($H1404="",$N1404&gt;0),OR($I1404="",$I1404="NR",$O1404&gt;0),IF(ISNUMBER($J1404),AND($J1404&gt;=0,$J1404=INT($J1404)),FALSE())),$J1404,0)</f>
        <v>0</v>
      </c>
      <c r="Q1404" s="64" t="n">
        <f aca="false">IF(AND($P1404&gt;0,$O1404&gt;0),$P1404,0)</f>
        <v>0</v>
      </c>
      <c r="R1404" s="64" t="n">
        <f aca="false">IF(AND($Q1404&gt;0,$O1404&gt;=AtRank),$Q1404,0)</f>
        <v>0</v>
      </c>
      <c r="S1404" s="64" t="n">
        <f aca="false">IF(AND($Q1404&gt;0,$O1404&gt;=AboveRank),$Q1404,0)</f>
        <v>0</v>
      </c>
      <c r="T1404" s="64" t="n">
        <f aca="false">IF($K1404="Less",$P1404,0)</f>
        <v>0</v>
      </c>
      <c r="U1404" s="64" t="n">
        <f aca="false">IF($K1404="Expected",$P1404,0)</f>
        <v>0</v>
      </c>
      <c r="V1404" s="64" t="n">
        <f aca="false">IF($K1404="Better",$P1404,0)</f>
        <v>0</v>
      </c>
      <c r="W1404" s="64" t="n">
        <f aca="false">IF($K1404="U – needs rule",$P1404,0)</f>
        <v>0</v>
      </c>
      <c r="X1404" s="64" t="n">
        <f aca="false">IF($K1404="No Start (attainment only)",$P1404,0)</f>
        <v>0</v>
      </c>
    </row>
    <row r="1405" customFormat="false" ht="15" hidden="false" customHeight="false" outlineLevel="0" collapsed="false">
      <c r="A1405" s="60"/>
      <c r="B1405" s="61" t="str">
        <f aca="false">IF($M1405=0,"",INDEX(Classes!$E$6:$E$420,$M1405))</f>
        <v/>
      </c>
      <c r="C1405" s="62" t="str">
        <f aca="false">IF($M1405=0,"",INDEX(Classes!$H$6:$H$420,$M1405))</f>
        <v/>
      </c>
      <c r="D1405" s="61" t="str">
        <f aca="false">IF($M1405=0,"",INDEX(Classes!$B$6:$B$420,$M1405))</f>
        <v/>
      </c>
      <c r="E1405" s="61" t="str">
        <f aca="false">IF($M1405=0,"",INDEX(Classes!$C$6:$C$420,$M1405))</f>
        <v/>
      </c>
      <c r="F1405" s="63"/>
      <c r="G1405" s="63"/>
      <c r="H1405" s="60"/>
      <c r="I1405" s="60"/>
      <c r="J1405" s="63"/>
      <c r="K1405" s="61" t="str">
        <f aca="false">IF($P1405=0,"",IF($F1405="Baseline","— Baseline",IF($O1405=0,"No result",IF($N1405=0,"No Start (attainment only)",IF(OR($N1405=1,$O1405=1),"U – needs rule",INDEX(MxBody,MATCH($I1405,MxCurr,0),MATCH($H1405,MxStart,0)))))))</f>
        <v/>
      </c>
      <c r="L1405" s="62" t="str">
        <f aca="false">IF(COUNTA($A1405,$F1405,$G1405,$H1405,$I1405,$J1405)=0,"",IF($M1405=0,"✖ كود الصف غير موجود",IF(ISNA(MATCH($F1405,Lists!$A$2:$A$5,0)),"✖ الفترة غير صحيحة",IF(ISNA(MATCH($G1405,Lists!$B$2:$B$7,0)),"✖ المجموعة غير صحيحة",IF(NOT(OR($H1405="",$N1405&gt;0)),"✖ Start غير صحيح",IF(NOT(OR($I1405="",$I1405="NR",$O1405&gt;0)),"✖ Current غير صحيح",IF(NOT(IF(ISNUMBER($J1405),AND($J1405&gt;=0,$J1405=INT($J1405)),FALSE())),"✖ العدد يجب أن يكون صحيحًا ≥ 0",IF(AND($F1405="Baseline",$H1405&lt;&gt;""),"⚠ Baseline: Start لا يدخل في التقدم",IF($K1405="No Start (attainment only)","ℹ تحصيل فقط (بدون Start)",IF($K1405="U – needs rule","ℹ حالة U تحتاج قاعدة معتمدة",IF($K1405="No result","ℹ بدون نتيجة (يُستبعد من التحصيل)","OK")))))))))))</f>
        <v/>
      </c>
      <c r="M1405" s="64" t="n">
        <f aca="false">IF($A1405="",0,IFERROR(MATCH($A1405,Classes!$A$6:$A$420,0),0))</f>
        <v>0</v>
      </c>
      <c r="N1405" s="64" t="n">
        <f aca="false">IF($H1405="",0,IFERROR(MATCH($H1405,GradeList,0),0))</f>
        <v>0</v>
      </c>
      <c r="O1405" s="64" t="n">
        <f aca="false">IF(OR($I1405="",$I1405="NR"),0,IFERROR(MATCH($I1405,GradeList,0),0))</f>
        <v>0</v>
      </c>
      <c r="P1405" s="64" t="n">
        <f aca="false">IF(AND($M1405&gt;0,ISNUMBER(MATCH($F1405,Lists!$A$2:$A$5,0)),ISNUMBER(MATCH($G1405,Lists!$B$2:$B$7,0)),OR($H1405="",$N1405&gt;0),OR($I1405="",$I1405="NR",$O1405&gt;0),IF(ISNUMBER($J1405),AND($J1405&gt;=0,$J1405=INT($J1405)),FALSE())),$J1405,0)</f>
        <v>0</v>
      </c>
      <c r="Q1405" s="64" t="n">
        <f aca="false">IF(AND($P1405&gt;0,$O1405&gt;0),$P1405,0)</f>
        <v>0</v>
      </c>
      <c r="R1405" s="64" t="n">
        <f aca="false">IF(AND($Q1405&gt;0,$O1405&gt;=AtRank),$Q1405,0)</f>
        <v>0</v>
      </c>
      <c r="S1405" s="64" t="n">
        <f aca="false">IF(AND($Q1405&gt;0,$O1405&gt;=AboveRank),$Q1405,0)</f>
        <v>0</v>
      </c>
      <c r="T1405" s="64" t="n">
        <f aca="false">IF($K1405="Less",$P1405,0)</f>
        <v>0</v>
      </c>
      <c r="U1405" s="64" t="n">
        <f aca="false">IF($K1405="Expected",$P1405,0)</f>
        <v>0</v>
      </c>
      <c r="V1405" s="64" t="n">
        <f aca="false">IF($K1405="Better",$P1405,0)</f>
        <v>0</v>
      </c>
      <c r="W1405" s="64" t="n">
        <f aca="false">IF($K1405="U – needs rule",$P1405,0)</f>
        <v>0</v>
      </c>
      <c r="X1405" s="64" t="n">
        <f aca="false">IF($K1405="No Start (attainment only)",$P1405,0)</f>
        <v>0</v>
      </c>
    </row>
    <row r="1406" customFormat="false" ht="15" hidden="false" customHeight="false" outlineLevel="0" collapsed="false">
      <c r="A1406" s="60"/>
      <c r="B1406" s="61" t="str">
        <f aca="false">IF($M1406=0,"",INDEX(Classes!$E$6:$E$420,$M1406))</f>
        <v/>
      </c>
      <c r="C1406" s="62" t="str">
        <f aca="false">IF($M1406=0,"",INDEX(Classes!$H$6:$H$420,$M1406))</f>
        <v/>
      </c>
      <c r="D1406" s="61" t="str">
        <f aca="false">IF($M1406=0,"",INDEX(Classes!$B$6:$B$420,$M1406))</f>
        <v/>
      </c>
      <c r="E1406" s="61" t="str">
        <f aca="false">IF($M1406=0,"",INDEX(Classes!$C$6:$C$420,$M1406))</f>
        <v/>
      </c>
      <c r="F1406" s="63"/>
      <c r="G1406" s="63"/>
      <c r="H1406" s="60"/>
      <c r="I1406" s="60"/>
      <c r="J1406" s="63"/>
      <c r="K1406" s="61" t="str">
        <f aca="false">IF($P1406=0,"",IF($F1406="Baseline","— Baseline",IF($O1406=0,"No result",IF($N1406=0,"No Start (attainment only)",IF(OR($N1406=1,$O1406=1),"U – needs rule",INDEX(MxBody,MATCH($I1406,MxCurr,0),MATCH($H1406,MxStart,0)))))))</f>
        <v/>
      </c>
      <c r="L1406" s="62" t="str">
        <f aca="false">IF(COUNTA($A1406,$F1406,$G1406,$H1406,$I1406,$J1406)=0,"",IF($M1406=0,"✖ كود الصف غير موجود",IF(ISNA(MATCH($F1406,Lists!$A$2:$A$5,0)),"✖ الفترة غير صحيحة",IF(ISNA(MATCH($G1406,Lists!$B$2:$B$7,0)),"✖ المجموعة غير صحيحة",IF(NOT(OR($H1406="",$N1406&gt;0)),"✖ Start غير صحيح",IF(NOT(OR($I1406="",$I1406="NR",$O1406&gt;0)),"✖ Current غير صحيح",IF(NOT(IF(ISNUMBER($J1406),AND($J1406&gt;=0,$J1406=INT($J1406)),FALSE())),"✖ العدد يجب أن يكون صحيحًا ≥ 0",IF(AND($F1406="Baseline",$H1406&lt;&gt;""),"⚠ Baseline: Start لا يدخل في التقدم",IF($K1406="No Start (attainment only)","ℹ تحصيل فقط (بدون Start)",IF($K1406="U – needs rule","ℹ حالة U تحتاج قاعدة معتمدة",IF($K1406="No result","ℹ بدون نتيجة (يُستبعد من التحصيل)","OK")))))))))))</f>
        <v/>
      </c>
      <c r="M1406" s="64" t="n">
        <f aca="false">IF($A1406="",0,IFERROR(MATCH($A1406,Classes!$A$6:$A$420,0),0))</f>
        <v>0</v>
      </c>
      <c r="N1406" s="64" t="n">
        <f aca="false">IF($H1406="",0,IFERROR(MATCH($H1406,GradeList,0),0))</f>
        <v>0</v>
      </c>
      <c r="O1406" s="64" t="n">
        <f aca="false">IF(OR($I1406="",$I1406="NR"),0,IFERROR(MATCH($I1406,GradeList,0),0))</f>
        <v>0</v>
      </c>
      <c r="P1406" s="64" t="n">
        <f aca="false">IF(AND($M1406&gt;0,ISNUMBER(MATCH($F1406,Lists!$A$2:$A$5,0)),ISNUMBER(MATCH($G1406,Lists!$B$2:$B$7,0)),OR($H1406="",$N1406&gt;0),OR($I1406="",$I1406="NR",$O1406&gt;0),IF(ISNUMBER($J1406),AND($J1406&gt;=0,$J1406=INT($J1406)),FALSE())),$J1406,0)</f>
        <v>0</v>
      </c>
      <c r="Q1406" s="64" t="n">
        <f aca="false">IF(AND($P1406&gt;0,$O1406&gt;0),$P1406,0)</f>
        <v>0</v>
      </c>
      <c r="R1406" s="64" t="n">
        <f aca="false">IF(AND($Q1406&gt;0,$O1406&gt;=AtRank),$Q1406,0)</f>
        <v>0</v>
      </c>
      <c r="S1406" s="64" t="n">
        <f aca="false">IF(AND($Q1406&gt;0,$O1406&gt;=AboveRank),$Q1406,0)</f>
        <v>0</v>
      </c>
      <c r="T1406" s="64" t="n">
        <f aca="false">IF($K1406="Less",$P1406,0)</f>
        <v>0</v>
      </c>
      <c r="U1406" s="64" t="n">
        <f aca="false">IF($K1406="Expected",$P1406,0)</f>
        <v>0</v>
      </c>
      <c r="V1406" s="64" t="n">
        <f aca="false">IF($K1406="Better",$P1406,0)</f>
        <v>0</v>
      </c>
      <c r="W1406" s="64" t="n">
        <f aca="false">IF($K1406="U – needs rule",$P1406,0)</f>
        <v>0</v>
      </c>
      <c r="X1406" s="64" t="n">
        <f aca="false">IF($K1406="No Start (attainment only)",$P1406,0)</f>
        <v>0</v>
      </c>
    </row>
    <row r="1407" customFormat="false" ht="15" hidden="false" customHeight="false" outlineLevel="0" collapsed="false">
      <c r="A1407" s="60"/>
      <c r="B1407" s="61" t="str">
        <f aca="false">IF($M1407=0,"",INDEX(Classes!$E$6:$E$420,$M1407))</f>
        <v/>
      </c>
      <c r="C1407" s="62" t="str">
        <f aca="false">IF($M1407=0,"",INDEX(Classes!$H$6:$H$420,$M1407))</f>
        <v/>
      </c>
      <c r="D1407" s="61" t="str">
        <f aca="false">IF($M1407=0,"",INDEX(Classes!$B$6:$B$420,$M1407))</f>
        <v/>
      </c>
      <c r="E1407" s="61" t="str">
        <f aca="false">IF($M1407=0,"",INDEX(Classes!$C$6:$C$420,$M1407))</f>
        <v/>
      </c>
      <c r="F1407" s="63"/>
      <c r="G1407" s="63"/>
      <c r="H1407" s="60"/>
      <c r="I1407" s="60"/>
      <c r="J1407" s="63"/>
      <c r="K1407" s="61" t="str">
        <f aca="false">IF($P1407=0,"",IF($F1407="Baseline","— Baseline",IF($O1407=0,"No result",IF($N1407=0,"No Start (attainment only)",IF(OR($N1407=1,$O1407=1),"U – needs rule",INDEX(MxBody,MATCH($I1407,MxCurr,0),MATCH($H1407,MxStart,0)))))))</f>
        <v/>
      </c>
      <c r="L1407" s="62" t="str">
        <f aca="false">IF(COUNTA($A1407,$F1407,$G1407,$H1407,$I1407,$J1407)=0,"",IF($M1407=0,"✖ كود الصف غير موجود",IF(ISNA(MATCH($F1407,Lists!$A$2:$A$5,0)),"✖ الفترة غير صحيحة",IF(ISNA(MATCH($G1407,Lists!$B$2:$B$7,0)),"✖ المجموعة غير صحيحة",IF(NOT(OR($H1407="",$N1407&gt;0)),"✖ Start غير صحيح",IF(NOT(OR($I1407="",$I1407="NR",$O1407&gt;0)),"✖ Current غير صحيح",IF(NOT(IF(ISNUMBER($J1407),AND($J1407&gt;=0,$J1407=INT($J1407)),FALSE())),"✖ العدد يجب أن يكون صحيحًا ≥ 0",IF(AND($F1407="Baseline",$H1407&lt;&gt;""),"⚠ Baseline: Start لا يدخل في التقدم",IF($K1407="No Start (attainment only)","ℹ تحصيل فقط (بدون Start)",IF($K1407="U – needs rule","ℹ حالة U تحتاج قاعدة معتمدة",IF($K1407="No result","ℹ بدون نتيجة (يُستبعد من التحصيل)","OK")))))))))))</f>
        <v/>
      </c>
      <c r="M1407" s="64" t="n">
        <f aca="false">IF($A1407="",0,IFERROR(MATCH($A1407,Classes!$A$6:$A$420,0),0))</f>
        <v>0</v>
      </c>
      <c r="N1407" s="64" t="n">
        <f aca="false">IF($H1407="",0,IFERROR(MATCH($H1407,GradeList,0),0))</f>
        <v>0</v>
      </c>
      <c r="O1407" s="64" t="n">
        <f aca="false">IF(OR($I1407="",$I1407="NR"),0,IFERROR(MATCH($I1407,GradeList,0),0))</f>
        <v>0</v>
      </c>
      <c r="P1407" s="64" t="n">
        <f aca="false">IF(AND($M1407&gt;0,ISNUMBER(MATCH($F1407,Lists!$A$2:$A$5,0)),ISNUMBER(MATCH($G1407,Lists!$B$2:$B$7,0)),OR($H1407="",$N1407&gt;0),OR($I1407="",$I1407="NR",$O1407&gt;0),IF(ISNUMBER($J1407),AND($J1407&gt;=0,$J1407=INT($J1407)),FALSE())),$J1407,0)</f>
        <v>0</v>
      </c>
      <c r="Q1407" s="64" t="n">
        <f aca="false">IF(AND($P1407&gt;0,$O1407&gt;0),$P1407,0)</f>
        <v>0</v>
      </c>
      <c r="R1407" s="64" t="n">
        <f aca="false">IF(AND($Q1407&gt;0,$O1407&gt;=AtRank),$Q1407,0)</f>
        <v>0</v>
      </c>
      <c r="S1407" s="64" t="n">
        <f aca="false">IF(AND($Q1407&gt;0,$O1407&gt;=AboveRank),$Q1407,0)</f>
        <v>0</v>
      </c>
      <c r="T1407" s="64" t="n">
        <f aca="false">IF($K1407="Less",$P1407,0)</f>
        <v>0</v>
      </c>
      <c r="U1407" s="64" t="n">
        <f aca="false">IF($K1407="Expected",$P1407,0)</f>
        <v>0</v>
      </c>
      <c r="V1407" s="64" t="n">
        <f aca="false">IF($K1407="Better",$P1407,0)</f>
        <v>0</v>
      </c>
      <c r="W1407" s="64" t="n">
        <f aca="false">IF($K1407="U – needs rule",$P1407,0)</f>
        <v>0</v>
      </c>
      <c r="X1407" s="64" t="n">
        <f aca="false">IF($K1407="No Start (attainment only)",$P1407,0)</f>
        <v>0</v>
      </c>
    </row>
    <row r="1408" customFormat="false" ht="15" hidden="false" customHeight="false" outlineLevel="0" collapsed="false">
      <c r="A1408" s="60"/>
      <c r="B1408" s="61" t="str">
        <f aca="false">IF($M1408=0,"",INDEX(Classes!$E$6:$E$420,$M1408))</f>
        <v/>
      </c>
      <c r="C1408" s="62" t="str">
        <f aca="false">IF($M1408=0,"",INDEX(Classes!$H$6:$H$420,$M1408))</f>
        <v/>
      </c>
      <c r="D1408" s="61" t="str">
        <f aca="false">IF($M1408=0,"",INDEX(Classes!$B$6:$B$420,$M1408))</f>
        <v/>
      </c>
      <c r="E1408" s="61" t="str">
        <f aca="false">IF($M1408=0,"",INDEX(Classes!$C$6:$C$420,$M1408))</f>
        <v/>
      </c>
      <c r="F1408" s="63"/>
      <c r="G1408" s="63"/>
      <c r="H1408" s="60"/>
      <c r="I1408" s="60"/>
      <c r="J1408" s="63"/>
      <c r="K1408" s="61" t="str">
        <f aca="false">IF($P1408=0,"",IF($F1408="Baseline","— Baseline",IF($O1408=0,"No result",IF($N1408=0,"No Start (attainment only)",IF(OR($N1408=1,$O1408=1),"U – needs rule",INDEX(MxBody,MATCH($I1408,MxCurr,0),MATCH($H1408,MxStart,0)))))))</f>
        <v/>
      </c>
      <c r="L1408" s="62" t="str">
        <f aca="false">IF(COUNTA($A1408,$F1408,$G1408,$H1408,$I1408,$J1408)=0,"",IF($M1408=0,"✖ كود الصف غير موجود",IF(ISNA(MATCH($F1408,Lists!$A$2:$A$5,0)),"✖ الفترة غير صحيحة",IF(ISNA(MATCH($G1408,Lists!$B$2:$B$7,0)),"✖ المجموعة غير صحيحة",IF(NOT(OR($H1408="",$N1408&gt;0)),"✖ Start غير صحيح",IF(NOT(OR($I1408="",$I1408="NR",$O1408&gt;0)),"✖ Current غير صحيح",IF(NOT(IF(ISNUMBER($J1408),AND($J1408&gt;=0,$J1408=INT($J1408)),FALSE())),"✖ العدد يجب أن يكون صحيحًا ≥ 0",IF(AND($F1408="Baseline",$H1408&lt;&gt;""),"⚠ Baseline: Start لا يدخل في التقدم",IF($K1408="No Start (attainment only)","ℹ تحصيل فقط (بدون Start)",IF($K1408="U – needs rule","ℹ حالة U تحتاج قاعدة معتمدة",IF($K1408="No result","ℹ بدون نتيجة (يُستبعد من التحصيل)","OK")))))))))))</f>
        <v/>
      </c>
      <c r="M1408" s="64" t="n">
        <f aca="false">IF($A1408="",0,IFERROR(MATCH($A1408,Classes!$A$6:$A$420,0),0))</f>
        <v>0</v>
      </c>
      <c r="N1408" s="64" t="n">
        <f aca="false">IF($H1408="",0,IFERROR(MATCH($H1408,GradeList,0),0))</f>
        <v>0</v>
      </c>
      <c r="O1408" s="64" t="n">
        <f aca="false">IF(OR($I1408="",$I1408="NR"),0,IFERROR(MATCH($I1408,GradeList,0),0))</f>
        <v>0</v>
      </c>
      <c r="P1408" s="64" t="n">
        <f aca="false">IF(AND($M1408&gt;0,ISNUMBER(MATCH($F1408,Lists!$A$2:$A$5,0)),ISNUMBER(MATCH($G1408,Lists!$B$2:$B$7,0)),OR($H1408="",$N1408&gt;0),OR($I1408="",$I1408="NR",$O1408&gt;0),IF(ISNUMBER($J1408),AND($J1408&gt;=0,$J1408=INT($J1408)),FALSE())),$J1408,0)</f>
        <v>0</v>
      </c>
      <c r="Q1408" s="64" t="n">
        <f aca="false">IF(AND($P1408&gt;0,$O1408&gt;0),$P1408,0)</f>
        <v>0</v>
      </c>
      <c r="R1408" s="64" t="n">
        <f aca="false">IF(AND($Q1408&gt;0,$O1408&gt;=AtRank),$Q1408,0)</f>
        <v>0</v>
      </c>
      <c r="S1408" s="64" t="n">
        <f aca="false">IF(AND($Q1408&gt;0,$O1408&gt;=AboveRank),$Q1408,0)</f>
        <v>0</v>
      </c>
      <c r="T1408" s="64" t="n">
        <f aca="false">IF($K1408="Less",$P1408,0)</f>
        <v>0</v>
      </c>
      <c r="U1408" s="64" t="n">
        <f aca="false">IF($K1408="Expected",$P1408,0)</f>
        <v>0</v>
      </c>
      <c r="V1408" s="64" t="n">
        <f aca="false">IF($K1408="Better",$P1408,0)</f>
        <v>0</v>
      </c>
      <c r="W1408" s="64" t="n">
        <f aca="false">IF($K1408="U – needs rule",$P1408,0)</f>
        <v>0</v>
      </c>
      <c r="X1408" s="64" t="n">
        <f aca="false">IF($K1408="No Start (attainment only)",$P1408,0)</f>
        <v>0</v>
      </c>
    </row>
    <row r="1409" customFormat="false" ht="15" hidden="false" customHeight="false" outlineLevel="0" collapsed="false">
      <c r="A1409" s="60"/>
      <c r="B1409" s="61" t="str">
        <f aca="false">IF($M1409=0,"",INDEX(Classes!$E$6:$E$420,$M1409))</f>
        <v/>
      </c>
      <c r="C1409" s="62" t="str">
        <f aca="false">IF($M1409=0,"",INDEX(Classes!$H$6:$H$420,$M1409))</f>
        <v/>
      </c>
      <c r="D1409" s="61" t="str">
        <f aca="false">IF($M1409=0,"",INDEX(Classes!$B$6:$B$420,$M1409))</f>
        <v/>
      </c>
      <c r="E1409" s="61" t="str">
        <f aca="false">IF($M1409=0,"",INDEX(Classes!$C$6:$C$420,$M1409))</f>
        <v/>
      </c>
      <c r="F1409" s="63"/>
      <c r="G1409" s="63"/>
      <c r="H1409" s="60"/>
      <c r="I1409" s="60"/>
      <c r="J1409" s="63"/>
      <c r="K1409" s="61" t="str">
        <f aca="false">IF($P1409=0,"",IF($F1409="Baseline","— Baseline",IF($O1409=0,"No result",IF($N1409=0,"No Start (attainment only)",IF(OR($N1409=1,$O1409=1),"U – needs rule",INDEX(MxBody,MATCH($I1409,MxCurr,0),MATCH($H1409,MxStart,0)))))))</f>
        <v/>
      </c>
      <c r="L1409" s="62" t="str">
        <f aca="false">IF(COUNTA($A1409,$F1409,$G1409,$H1409,$I1409,$J1409)=0,"",IF($M1409=0,"✖ كود الصف غير موجود",IF(ISNA(MATCH($F1409,Lists!$A$2:$A$5,0)),"✖ الفترة غير صحيحة",IF(ISNA(MATCH($G1409,Lists!$B$2:$B$7,0)),"✖ المجموعة غير صحيحة",IF(NOT(OR($H1409="",$N1409&gt;0)),"✖ Start غير صحيح",IF(NOT(OR($I1409="",$I1409="NR",$O1409&gt;0)),"✖ Current غير صحيح",IF(NOT(IF(ISNUMBER($J1409),AND($J1409&gt;=0,$J1409=INT($J1409)),FALSE())),"✖ العدد يجب أن يكون صحيحًا ≥ 0",IF(AND($F1409="Baseline",$H1409&lt;&gt;""),"⚠ Baseline: Start لا يدخل في التقدم",IF($K1409="No Start (attainment only)","ℹ تحصيل فقط (بدون Start)",IF($K1409="U – needs rule","ℹ حالة U تحتاج قاعدة معتمدة",IF($K1409="No result","ℹ بدون نتيجة (يُستبعد من التحصيل)","OK")))))))))))</f>
        <v/>
      </c>
      <c r="M1409" s="64" t="n">
        <f aca="false">IF($A1409="",0,IFERROR(MATCH($A1409,Classes!$A$6:$A$420,0),0))</f>
        <v>0</v>
      </c>
      <c r="N1409" s="64" t="n">
        <f aca="false">IF($H1409="",0,IFERROR(MATCH($H1409,GradeList,0),0))</f>
        <v>0</v>
      </c>
      <c r="O1409" s="64" t="n">
        <f aca="false">IF(OR($I1409="",$I1409="NR"),0,IFERROR(MATCH($I1409,GradeList,0),0))</f>
        <v>0</v>
      </c>
      <c r="P1409" s="64" t="n">
        <f aca="false">IF(AND($M1409&gt;0,ISNUMBER(MATCH($F1409,Lists!$A$2:$A$5,0)),ISNUMBER(MATCH($G1409,Lists!$B$2:$B$7,0)),OR($H1409="",$N1409&gt;0),OR($I1409="",$I1409="NR",$O1409&gt;0),IF(ISNUMBER($J1409),AND($J1409&gt;=0,$J1409=INT($J1409)),FALSE())),$J1409,0)</f>
        <v>0</v>
      </c>
      <c r="Q1409" s="64" t="n">
        <f aca="false">IF(AND($P1409&gt;0,$O1409&gt;0),$P1409,0)</f>
        <v>0</v>
      </c>
      <c r="R1409" s="64" t="n">
        <f aca="false">IF(AND($Q1409&gt;0,$O1409&gt;=AtRank),$Q1409,0)</f>
        <v>0</v>
      </c>
      <c r="S1409" s="64" t="n">
        <f aca="false">IF(AND($Q1409&gt;0,$O1409&gt;=AboveRank),$Q1409,0)</f>
        <v>0</v>
      </c>
      <c r="T1409" s="64" t="n">
        <f aca="false">IF($K1409="Less",$P1409,0)</f>
        <v>0</v>
      </c>
      <c r="U1409" s="64" t="n">
        <f aca="false">IF($K1409="Expected",$P1409,0)</f>
        <v>0</v>
      </c>
      <c r="V1409" s="64" t="n">
        <f aca="false">IF($K1409="Better",$P1409,0)</f>
        <v>0</v>
      </c>
      <c r="W1409" s="64" t="n">
        <f aca="false">IF($K1409="U – needs rule",$P1409,0)</f>
        <v>0</v>
      </c>
      <c r="X1409" s="64" t="n">
        <f aca="false">IF($K1409="No Start (attainment only)",$P1409,0)</f>
        <v>0</v>
      </c>
    </row>
    <row r="1410" customFormat="false" ht="15" hidden="false" customHeight="false" outlineLevel="0" collapsed="false">
      <c r="A1410" s="60"/>
      <c r="B1410" s="61" t="str">
        <f aca="false">IF($M1410=0,"",INDEX(Classes!$E$6:$E$420,$M1410))</f>
        <v/>
      </c>
      <c r="C1410" s="62" t="str">
        <f aca="false">IF($M1410=0,"",INDEX(Classes!$H$6:$H$420,$M1410))</f>
        <v/>
      </c>
      <c r="D1410" s="61" t="str">
        <f aca="false">IF($M1410=0,"",INDEX(Classes!$B$6:$B$420,$M1410))</f>
        <v/>
      </c>
      <c r="E1410" s="61" t="str">
        <f aca="false">IF($M1410=0,"",INDEX(Classes!$C$6:$C$420,$M1410))</f>
        <v/>
      </c>
      <c r="F1410" s="63"/>
      <c r="G1410" s="63"/>
      <c r="H1410" s="60"/>
      <c r="I1410" s="60"/>
      <c r="J1410" s="63"/>
      <c r="K1410" s="61" t="str">
        <f aca="false">IF($P1410=0,"",IF($F1410="Baseline","— Baseline",IF($O1410=0,"No result",IF($N1410=0,"No Start (attainment only)",IF(OR($N1410=1,$O1410=1),"U – needs rule",INDEX(MxBody,MATCH($I1410,MxCurr,0),MATCH($H1410,MxStart,0)))))))</f>
        <v/>
      </c>
      <c r="L1410" s="62" t="str">
        <f aca="false">IF(COUNTA($A1410,$F1410,$G1410,$H1410,$I1410,$J1410)=0,"",IF($M1410=0,"✖ كود الصف غير موجود",IF(ISNA(MATCH($F1410,Lists!$A$2:$A$5,0)),"✖ الفترة غير صحيحة",IF(ISNA(MATCH($G1410,Lists!$B$2:$B$7,0)),"✖ المجموعة غير صحيحة",IF(NOT(OR($H1410="",$N1410&gt;0)),"✖ Start غير صحيح",IF(NOT(OR($I1410="",$I1410="NR",$O1410&gt;0)),"✖ Current غير صحيح",IF(NOT(IF(ISNUMBER($J1410),AND($J1410&gt;=0,$J1410=INT($J1410)),FALSE())),"✖ العدد يجب أن يكون صحيحًا ≥ 0",IF(AND($F1410="Baseline",$H1410&lt;&gt;""),"⚠ Baseline: Start لا يدخل في التقدم",IF($K1410="No Start (attainment only)","ℹ تحصيل فقط (بدون Start)",IF($K1410="U – needs rule","ℹ حالة U تحتاج قاعدة معتمدة",IF($K1410="No result","ℹ بدون نتيجة (يُستبعد من التحصيل)","OK")))))))))))</f>
        <v/>
      </c>
      <c r="M1410" s="64" t="n">
        <f aca="false">IF($A1410="",0,IFERROR(MATCH($A1410,Classes!$A$6:$A$420,0),0))</f>
        <v>0</v>
      </c>
      <c r="N1410" s="64" t="n">
        <f aca="false">IF($H1410="",0,IFERROR(MATCH($H1410,GradeList,0),0))</f>
        <v>0</v>
      </c>
      <c r="O1410" s="64" t="n">
        <f aca="false">IF(OR($I1410="",$I1410="NR"),0,IFERROR(MATCH($I1410,GradeList,0),0))</f>
        <v>0</v>
      </c>
      <c r="P1410" s="64" t="n">
        <f aca="false">IF(AND($M1410&gt;0,ISNUMBER(MATCH($F1410,Lists!$A$2:$A$5,0)),ISNUMBER(MATCH($G1410,Lists!$B$2:$B$7,0)),OR($H1410="",$N1410&gt;0),OR($I1410="",$I1410="NR",$O1410&gt;0),IF(ISNUMBER($J1410),AND($J1410&gt;=0,$J1410=INT($J1410)),FALSE())),$J1410,0)</f>
        <v>0</v>
      </c>
      <c r="Q1410" s="64" t="n">
        <f aca="false">IF(AND($P1410&gt;0,$O1410&gt;0),$P1410,0)</f>
        <v>0</v>
      </c>
      <c r="R1410" s="64" t="n">
        <f aca="false">IF(AND($Q1410&gt;0,$O1410&gt;=AtRank),$Q1410,0)</f>
        <v>0</v>
      </c>
      <c r="S1410" s="64" t="n">
        <f aca="false">IF(AND($Q1410&gt;0,$O1410&gt;=AboveRank),$Q1410,0)</f>
        <v>0</v>
      </c>
      <c r="T1410" s="64" t="n">
        <f aca="false">IF($K1410="Less",$P1410,0)</f>
        <v>0</v>
      </c>
      <c r="U1410" s="64" t="n">
        <f aca="false">IF($K1410="Expected",$P1410,0)</f>
        <v>0</v>
      </c>
      <c r="V1410" s="64" t="n">
        <f aca="false">IF($K1410="Better",$P1410,0)</f>
        <v>0</v>
      </c>
      <c r="W1410" s="64" t="n">
        <f aca="false">IF($K1410="U – needs rule",$P1410,0)</f>
        <v>0</v>
      </c>
      <c r="X1410" s="64" t="n">
        <f aca="false">IF($K1410="No Start (attainment only)",$P1410,0)</f>
        <v>0</v>
      </c>
    </row>
    <row r="1411" customFormat="false" ht="15" hidden="false" customHeight="false" outlineLevel="0" collapsed="false">
      <c r="A1411" s="60"/>
      <c r="B1411" s="61" t="str">
        <f aca="false">IF($M1411=0,"",INDEX(Classes!$E$6:$E$420,$M1411))</f>
        <v/>
      </c>
      <c r="C1411" s="62" t="str">
        <f aca="false">IF($M1411=0,"",INDEX(Classes!$H$6:$H$420,$M1411))</f>
        <v/>
      </c>
      <c r="D1411" s="61" t="str">
        <f aca="false">IF($M1411=0,"",INDEX(Classes!$B$6:$B$420,$M1411))</f>
        <v/>
      </c>
      <c r="E1411" s="61" t="str">
        <f aca="false">IF($M1411=0,"",INDEX(Classes!$C$6:$C$420,$M1411))</f>
        <v/>
      </c>
      <c r="F1411" s="63"/>
      <c r="G1411" s="63"/>
      <c r="H1411" s="60"/>
      <c r="I1411" s="60"/>
      <c r="J1411" s="63"/>
      <c r="K1411" s="61" t="str">
        <f aca="false">IF($P1411=0,"",IF($F1411="Baseline","— Baseline",IF($O1411=0,"No result",IF($N1411=0,"No Start (attainment only)",IF(OR($N1411=1,$O1411=1),"U – needs rule",INDEX(MxBody,MATCH($I1411,MxCurr,0),MATCH($H1411,MxStart,0)))))))</f>
        <v/>
      </c>
      <c r="L1411" s="62" t="str">
        <f aca="false">IF(COUNTA($A1411,$F1411,$G1411,$H1411,$I1411,$J1411)=0,"",IF($M1411=0,"✖ كود الصف غير موجود",IF(ISNA(MATCH($F1411,Lists!$A$2:$A$5,0)),"✖ الفترة غير صحيحة",IF(ISNA(MATCH($G1411,Lists!$B$2:$B$7,0)),"✖ المجموعة غير صحيحة",IF(NOT(OR($H1411="",$N1411&gt;0)),"✖ Start غير صحيح",IF(NOT(OR($I1411="",$I1411="NR",$O1411&gt;0)),"✖ Current غير صحيح",IF(NOT(IF(ISNUMBER($J1411),AND($J1411&gt;=0,$J1411=INT($J1411)),FALSE())),"✖ العدد يجب أن يكون صحيحًا ≥ 0",IF(AND($F1411="Baseline",$H1411&lt;&gt;""),"⚠ Baseline: Start لا يدخل في التقدم",IF($K1411="No Start (attainment only)","ℹ تحصيل فقط (بدون Start)",IF($K1411="U – needs rule","ℹ حالة U تحتاج قاعدة معتمدة",IF($K1411="No result","ℹ بدون نتيجة (يُستبعد من التحصيل)","OK")))))))))))</f>
        <v/>
      </c>
      <c r="M1411" s="64" t="n">
        <f aca="false">IF($A1411="",0,IFERROR(MATCH($A1411,Classes!$A$6:$A$420,0),0))</f>
        <v>0</v>
      </c>
      <c r="N1411" s="64" t="n">
        <f aca="false">IF($H1411="",0,IFERROR(MATCH($H1411,GradeList,0),0))</f>
        <v>0</v>
      </c>
      <c r="O1411" s="64" t="n">
        <f aca="false">IF(OR($I1411="",$I1411="NR"),0,IFERROR(MATCH($I1411,GradeList,0),0))</f>
        <v>0</v>
      </c>
      <c r="P1411" s="64" t="n">
        <f aca="false">IF(AND($M1411&gt;0,ISNUMBER(MATCH($F1411,Lists!$A$2:$A$5,0)),ISNUMBER(MATCH($G1411,Lists!$B$2:$B$7,0)),OR($H1411="",$N1411&gt;0),OR($I1411="",$I1411="NR",$O1411&gt;0),IF(ISNUMBER($J1411),AND($J1411&gt;=0,$J1411=INT($J1411)),FALSE())),$J1411,0)</f>
        <v>0</v>
      </c>
      <c r="Q1411" s="64" t="n">
        <f aca="false">IF(AND($P1411&gt;0,$O1411&gt;0),$P1411,0)</f>
        <v>0</v>
      </c>
      <c r="R1411" s="64" t="n">
        <f aca="false">IF(AND($Q1411&gt;0,$O1411&gt;=AtRank),$Q1411,0)</f>
        <v>0</v>
      </c>
      <c r="S1411" s="64" t="n">
        <f aca="false">IF(AND($Q1411&gt;0,$O1411&gt;=AboveRank),$Q1411,0)</f>
        <v>0</v>
      </c>
      <c r="T1411" s="64" t="n">
        <f aca="false">IF($K1411="Less",$P1411,0)</f>
        <v>0</v>
      </c>
      <c r="U1411" s="64" t="n">
        <f aca="false">IF($K1411="Expected",$P1411,0)</f>
        <v>0</v>
      </c>
      <c r="V1411" s="64" t="n">
        <f aca="false">IF($K1411="Better",$P1411,0)</f>
        <v>0</v>
      </c>
      <c r="W1411" s="64" t="n">
        <f aca="false">IF($K1411="U – needs rule",$P1411,0)</f>
        <v>0</v>
      </c>
      <c r="X1411" s="64" t="n">
        <f aca="false">IF($K1411="No Start (attainment only)",$P1411,0)</f>
        <v>0</v>
      </c>
    </row>
    <row r="1412" customFormat="false" ht="15" hidden="false" customHeight="false" outlineLevel="0" collapsed="false">
      <c r="A1412" s="60"/>
      <c r="B1412" s="61" t="str">
        <f aca="false">IF($M1412=0,"",INDEX(Classes!$E$6:$E$420,$M1412))</f>
        <v/>
      </c>
      <c r="C1412" s="62" t="str">
        <f aca="false">IF($M1412=0,"",INDEX(Classes!$H$6:$H$420,$M1412))</f>
        <v/>
      </c>
      <c r="D1412" s="61" t="str">
        <f aca="false">IF($M1412=0,"",INDEX(Classes!$B$6:$B$420,$M1412))</f>
        <v/>
      </c>
      <c r="E1412" s="61" t="str">
        <f aca="false">IF($M1412=0,"",INDEX(Classes!$C$6:$C$420,$M1412))</f>
        <v/>
      </c>
      <c r="F1412" s="63"/>
      <c r="G1412" s="63"/>
      <c r="H1412" s="60"/>
      <c r="I1412" s="60"/>
      <c r="J1412" s="63"/>
      <c r="K1412" s="61" t="str">
        <f aca="false">IF($P1412=0,"",IF($F1412="Baseline","— Baseline",IF($O1412=0,"No result",IF($N1412=0,"No Start (attainment only)",IF(OR($N1412=1,$O1412=1),"U – needs rule",INDEX(MxBody,MATCH($I1412,MxCurr,0),MATCH($H1412,MxStart,0)))))))</f>
        <v/>
      </c>
      <c r="L1412" s="62" t="str">
        <f aca="false">IF(COUNTA($A1412,$F1412,$G1412,$H1412,$I1412,$J1412)=0,"",IF($M1412=0,"✖ كود الصف غير موجود",IF(ISNA(MATCH($F1412,Lists!$A$2:$A$5,0)),"✖ الفترة غير صحيحة",IF(ISNA(MATCH($G1412,Lists!$B$2:$B$7,0)),"✖ المجموعة غير صحيحة",IF(NOT(OR($H1412="",$N1412&gt;0)),"✖ Start غير صحيح",IF(NOT(OR($I1412="",$I1412="NR",$O1412&gt;0)),"✖ Current غير صحيح",IF(NOT(IF(ISNUMBER($J1412),AND($J1412&gt;=0,$J1412=INT($J1412)),FALSE())),"✖ العدد يجب أن يكون صحيحًا ≥ 0",IF(AND($F1412="Baseline",$H1412&lt;&gt;""),"⚠ Baseline: Start لا يدخل في التقدم",IF($K1412="No Start (attainment only)","ℹ تحصيل فقط (بدون Start)",IF($K1412="U – needs rule","ℹ حالة U تحتاج قاعدة معتمدة",IF($K1412="No result","ℹ بدون نتيجة (يُستبعد من التحصيل)","OK")))))))))))</f>
        <v/>
      </c>
      <c r="M1412" s="64" t="n">
        <f aca="false">IF($A1412="",0,IFERROR(MATCH($A1412,Classes!$A$6:$A$420,0),0))</f>
        <v>0</v>
      </c>
      <c r="N1412" s="64" t="n">
        <f aca="false">IF($H1412="",0,IFERROR(MATCH($H1412,GradeList,0),0))</f>
        <v>0</v>
      </c>
      <c r="O1412" s="64" t="n">
        <f aca="false">IF(OR($I1412="",$I1412="NR"),0,IFERROR(MATCH($I1412,GradeList,0),0))</f>
        <v>0</v>
      </c>
      <c r="P1412" s="64" t="n">
        <f aca="false">IF(AND($M1412&gt;0,ISNUMBER(MATCH($F1412,Lists!$A$2:$A$5,0)),ISNUMBER(MATCH($G1412,Lists!$B$2:$B$7,0)),OR($H1412="",$N1412&gt;0),OR($I1412="",$I1412="NR",$O1412&gt;0),IF(ISNUMBER($J1412),AND($J1412&gt;=0,$J1412=INT($J1412)),FALSE())),$J1412,0)</f>
        <v>0</v>
      </c>
      <c r="Q1412" s="64" t="n">
        <f aca="false">IF(AND($P1412&gt;0,$O1412&gt;0),$P1412,0)</f>
        <v>0</v>
      </c>
      <c r="R1412" s="64" t="n">
        <f aca="false">IF(AND($Q1412&gt;0,$O1412&gt;=AtRank),$Q1412,0)</f>
        <v>0</v>
      </c>
      <c r="S1412" s="64" t="n">
        <f aca="false">IF(AND($Q1412&gt;0,$O1412&gt;=AboveRank),$Q1412,0)</f>
        <v>0</v>
      </c>
      <c r="T1412" s="64" t="n">
        <f aca="false">IF($K1412="Less",$P1412,0)</f>
        <v>0</v>
      </c>
      <c r="U1412" s="64" t="n">
        <f aca="false">IF($K1412="Expected",$P1412,0)</f>
        <v>0</v>
      </c>
      <c r="V1412" s="64" t="n">
        <f aca="false">IF($K1412="Better",$P1412,0)</f>
        <v>0</v>
      </c>
      <c r="W1412" s="64" t="n">
        <f aca="false">IF($K1412="U – needs rule",$P1412,0)</f>
        <v>0</v>
      </c>
      <c r="X1412" s="64" t="n">
        <f aca="false">IF($K1412="No Start (attainment only)",$P1412,0)</f>
        <v>0</v>
      </c>
    </row>
    <row r="1413" customFormat="false" ht="15" hidden="false" customHeight="false" outlineLevel="0" collapsed="false">
      <c r="A1413" s="60"/>
      <c r="B1413" s="61" t="str">
        <f aca="false">IF($M1413=0,"",INDEX(Classes!$E$6:$E$420,$M1413))</f>
        <v/>
      </c>
      <c r="C1413" s="62" t="str">
        <f aca="false">IF($M1413=0,"",INDEX(Classes!$H$6:$H$420,$M1413))</f>
        <v/>
      </c>
      <c r="D1413" s="61" t="str">
        <f aca="false">IF($M1413=0,"",INDEX(Classes!$B$6:$B$420,$M1413))</f>
        <v/>
      </c>
      <c r="E1413" s="61" t="str">
        <f aca="false">IF($M1413=0,"",INDEX(Classes!$C$6:$C$420,$M1413))</f>
        <v/>
      </c>
      <c r="F1413" s="63"/>
      <c r="G1413" s="63"/>
      <c r="H1413" s="60"/>
      <c r="I1413" s="60"/>
      <c r="J1413" s="63"/>
      <c r="K1413" s="61" t="str">
        <f aca="false">IF($P1413=0,"",IF($F1413="Baseline","— Baseline",IF($O1413=0,"No result",IF($N1413=0,"No Start (attainment only)",IF(OR($N1413=1,$O1413=1),"U – needs rule",INDEX(MxBody,MATCH($I1413,MxCurr,0),MATCH($H1413,MxStart,0)))))))</f>
        <v/>
      </c>
      <c r="L1413" s="62" t="str">
        <f aca="false">IF(COUNTA($A1413,$F1413,$G1413,$H1413,$I1413,$J1413)=0,"",IF($M1413=0,"✖ كود الصف غير موجود",IF(ISNA(MATCH($F1413,Lists!$A$2:$A$5,0)),"✖ الفترة غير صحيحة",IF(ISNA(MATCH($G1413,Lists!$B$2:$B$7,0)),"✖ المجموعة غير صحيحة",IF(NOT(OR($H1413="",$N1413&gt;0)),"✖ Start غير صحيح",IF(NOT(OR($I1413="",$I1413="NR",$O1413&gt;0)),"✖ Current غير صحيح",IF(NOT(IF(ISNUMBER($J1413),AND($J1413&gt;=0,$J1413=INT($J1413)),FALSE())),"✖ العدد يجب أن يكون صحيحًا ≥ 0",IF(AND($F1413="Baseline",$H1413&lt;&gt;""),"⚠ Baseline: Start لا يدخل في التقدم",IF($K1413="No Start (attainment only)","ℹ تحصيل فقط (بدون Start)",IF($K1413="U – needs rule","ℹ حالة U تحتاج قاعدة معتمدة",IF($K1413="No result","ℹ بدون نتيجة (يُستبعد من التحصيل)","OK")))))))))))</f>
        <v/>
      </c>
      <c r="M1413" s="64" t="n">
        <f aca="false">IF($A1413="",0,IFERROR(MATCH($A1413,Classes!$A$6:$A$420,0),0))</f>
        <v>0</v>
      </c>
      <c r="N1413" s="64" t="n">
        <f aca="false">IF($H1413="",0,IFERROR(MATCH($H1413,GradeList,0),0))</f>
        <v>0</v>
      </c>
      <c r="O1413" s="64" t="n">
        <f aca="false">IF(OR($I1413="",$I1413="NR"),0,IFERROR(MATCH($I1413,GradeList,0),0))</f>
        <v>0</v>
      </c>
      <c r="P1413" s="64" t="n">
        <f aca="false">IF(AND($M1413&gt;0,ISNUMBER(MATCH($F1413,Lists!$A$2:$A$5,0)),ISNUMBER(MATCH($G1413,Lists!$B$2:$B$7,0)),OR($H1413="",$N1413&gt;0),OR($I1413="",$I1413="NR",$O1413&gt;0),IF(ISNUMBER($J1413),AND($J1413&gt;=0,$J1413=INT($J1413)),FALSE())),$J1413,0)</f>
        <v>0</v>
      </c>
      <c r="Q1413" s="64" t="n">
        <f aca="false">IF(AND($P1413&gt;0,$O1413&gt;0),$P1413,0)</f>
        <v>0</v>
      </c>
      <c r="R1413" s="64" t="n">
        <f aca="false">IF(AND($Q1413&gt;0,$O1413&gt;=AtRank),$Q1413,0)</f>
        <v>0</v>
      </c>
      <c r="S1413" s="64" t="n">
        <f aca="false">IF(AND($Q1413&gt;0,$O1413&gt;=AboveRank),$Q1413,0)</f>
        <v>0</v>
      </c>
      <c r="T1413" s="64" t="n">
        <f aca="false">IF($K1413="Less",$P1413,0)</f>
        <v>0</v>
      </c>
      <c r="U1413" s="64" t="n">
        <f aca="false">IF($K1413="Expected",$P1413,0)</f>
        <v>0</v>
      </c>
      <c r="V1413" s="64" t="n">
        <f aca="false">IF($K1413="Better",$P1413,0)</f>
        <v>0</v>
      </c>
      <c r="W1413" s="64" t="n">
        <f aca="false">IF($K1413="U – needs rule",$P1413,0)</f>
        <v>0</v>
      </c>
      <c r="X1413" s="64" t="n">
        <f aca="false">IF($K1413="No Start (attainment only)",$P1413,0)</f>
        <v>0</v>
      </c>
    </row>
    <row r="1414" customFormat="false" ht="15" hidden="false" customHeight="false" outlineLevel="0" collapsed="false">
      <c r="A1414" s="60"/>
      <c r="B1414" s="61" t="str">
        <f aca="false">IF($M1414=0,"",INDEX(Classes!$E$6:$E$420,$M1414))</f>
        <v/>
      </c>
      <c r="C1414" s="62" t="str">
        <f aca="false">IF($M1414=0,"",INDEX(Classes!$H$6:$H$420,$M1414))</f>
        <v/>
      </c>
      <c r="D1414" s="61" t="str">
        <f aca="false">IF($M1414=0,"",INDEX(Classes!$B$6:$B$420,$M1414))</f>
        <v/>
      </c>
      <c r="E1414" s="61" t="str">
        <f aca="false">IF($M1414=0,"",INDEX(Classes!$C$6:$C$420,$M1414))</f>
        <v/>
      </c>
      <c r="F1414" s="63"/>
      <c r="G1414" s="63"/>
      <c r="H1414" s="60"/>
      <c r="I1414" s="60"/>
      <c r="J1414" s="63"/>
      <c r="K1414" s="61" t="str">
        <f aca="false">IF($P1414=0,"",IF($F1414="Baseline","— Baseline",IF($O1414=0,"No result",IF($N1414=0,"No Start (attainment only)",IF(OR($N1414=1,$O1414=1),"U – needs rule",INDEX(MxBody,MATCH($I1414,MxCurr,0),MATCH($H1414,MxStart,0)))))))</f>
        <v/>
      </c>
      <c r="L1414" s="62" t="str">
        <f aca="false">IF(COUNTA($A1414,$F1414,$G1414,$H1414,$I1414,$J1414)=0,"",IF($M1414=0,"✖ كود الصف غير موجود",IF(ISNA(MATCH($F1414,Lists!$A$2:$A$5,0)),"✖ الفترة غير صحيحة",IF(ISNA(MATCH($G1414,Lists!$B$2:$B$7,0)),"✖ المجموعة غير صحيحة",IF(NOT(OR($H1414="",$N1414&gt;0)),"✖ Start غير صحيح",IF(NOT(OR($I1414="",$I1414="NR",$O1414&gt;0)),"✖ Current غير صحيح",IF(NOT(IF(ISNUMBER($J1414),AND($J1414&gt;=0,$J1414=INT($J1414)),FALSE())),"✖ العدد يجب أن يكون صحيحًا ≥ 0",IF(AND($F1414="Baseline",$H1414&lt;&gt;""),"⚠ Baseline: Start لا يدخل في التقدم",IF($K1414="No Start (attainment only)","ℹ تحصيل فقط (بدون Start)",IF($K1414="U – needs rule","ℹ حالة U تحتاج قاعدة معتمدة",IF($K1414="No result","ℹ بدون نتيجة (يُستبعد من التحصيل)","OK")))))))))))</f>
        <v/>
      </c>
      <c r="M1414" s="64" t="n">
        <f aca="false">IF($A1414="",0,IFERROR(MATCH($A1414,Classes!$A$6:$A$420,0),0))</f>
        <v>0</v>
      </c>
      <c r="N1414" s="64" t="n">
        <f aca="false">IF($H1414="",0,IFERROR(MATCH($H1414,GradeList,0),0))</f>
        <v>0</v>
      </c>
      <c r="O1414" s="64" t="n">
        <f aca="false">IF(OR($I1414="",$I1414="NR"),0,IFERROR(MATCH($I1414,GradeList,0),0))</f>
        <v>0</v>
      </c>
      <c r="P1414" s="64" t="n">
        <f aca="false">IF(AND($M1414&gt;0,ISNUMBER(MATCH($F1414,Lists!$A$2:$A$5,0)),ISNUMBER(MATCH($G1414,Lists!$B$2:$B$7,0)),OR($H1414="",$N1414&gt;0),OR($I1414="",$I1414="NR",$O1414&gt;0),IF(ISNUMBER($J1414),AND($J1414&gt;=0,$J1414=INT($J1414)),FALSE())),$J1414,0)</f>
        <v>0</v>
      </c>
      <c r="Q1414" s="64" t="n">
        <f aca="false">IF(AND($P1414&gt;0,$O1414&gt;0),$P1414,0)</f>
        <v>0</v>
      </c>
      <c r="R1414" s="64" t="n">
        <f aca="false">IF(AND($Q1414&gt;0,$O1414&gt;=AtRank),$Q1414,0)</f>
        <v>0</v>
      </c>
      <c r="S1414" s="64" t="n">
        <f aca="false">IF(AND($Q1414&gt;0,$O1414&gt;=AboveRank),$Q1414,0)</f>
        <v>0</v>
      </c>
      <c r="T1414" s="64" t="n">
        <f aca="false">IF($K1414="Less",$P1414,0)</f>
        <v>0</v>
      </c>
      <c r="U1414" s="64" t="n">
        <f aca="false">IF($K1414="Expected",$P1414,0)</f>
        <v>0</v>
      </c>
      <c r="V1414" s="64" t="n">
        <f aca="false">IF($K1414="Better",$P1414,0)</f>
        <v>0</v>
      </c>
      <c r="W1414" s="64" t="n">
        <f aca="false">IF($K1414="U – needs rule",$P1414,0)</f>
        <v>0</v>
      </c>
      <c r="X1414" s="64" t="n">
        <f aca="false">IF($K1414="No Start (attainment only)",$P1414,0)</f>
        <v>0</v>
      </c>
    </row>
    <row r="1415" customFormat="false" ht="15" hidden="false" customHeight="false" outlineLevel="0" collapsed="false">
      <c r="A1415" s="60"/>
      <c r="B1415" s="61" t="str">
        <f aca="false">IF($M1415=0,"",INDEX(Classes!$E$6:$E$420,$M1415))</f>
        <v/>
      </c>
      <c r="C1415" s="62" t="str">
        <f aca="false">IF($M1415=0,"",INDEX(Classes!$H$6:$H$420,$M1415))</f>
        <v/>
      </c>
      <c r="D1415" s="61" t="str">
        <f aca="false">IF($M1415=0,"",INDEX(Classes!$B$6:$B$420,$M1415))</f>
        <v/>
      </c>
      <c r="E1415" s="61" t="str">
        <f aca="false">IF($M1415=0,"",INDEX(Classes!$C$6:$C$420,$M1415))</f>
        <v/>
      </c>
      <c r="F1415" s="63"/>
      <c r="G1415" s="63"/>
      <c r="H1415" s="60"/>
      <c r="I1415" s="60"/>
      <c r="J1415" s="63"/>
      <c r="K1415" s="61" t="str">
        <f aca="false">IF($P1415=0,"",IF($F1415="Baseline","— Baseline",IF($O1415=0,"No result",IF($N1415=0,"No Start (attainment only)",IF(OR($N1415=1,$O1415=1),"U – needs rule",INDEX(MxBody,MATCH($I1415,MxCurr,0),MATCH($H1415,MxStart,0)))))))</f>
        <v/>
      </c>
      <c r="L1415" s="62" t="str">
        <f aca="false">IF(COUNTA($A1415,$F1415,$G1415,$H1415,$I1415,$J1415)=0,"",IF($M1415=0,"✖ كود الصف غير موجود",IF(ISNA(MATCH($F1415,Lists!$A$2:$A$5,0)),"✖ الفترة غير صحيحة",IF(ISNA(MATCH($G1415,Lists!$B$2:$B$7,0)),"✖ المجموعة غير صحيحة",IF(NOT(OR($H1415="",$N1415&gt;0)),"✖ Start غير صحيح",IF(NOT(OR($I1415="",$I1415="NR",$O1415&gt;0)),"✖ Current غير صحيح",IF(NOT(IF(ISNUMBER($J1415),AND($J1415&gt;=0,$J1415=INT($J1415)),FALSE())),"✖ العدد يجب أن يكون صحيحًا ≥ 0",IF(AND($F1415="Baseline",$H1415&lt;&gt;""),"⚠ Baseline: Start لا يدخل في التقدم",IF($K1415="No Start (attainment only)","ℹ تحصيل فقط (بدون Start)",IF($K1415="U – needs rule","ℹ حالة U تحتاج قاعدة معتمدة",IF($K1415="No result","ℹ بدون نتيجة (يُستبعد من التحصيل)","OK")))))))))))</f>
        <v/>
      </c>
      <c r="M1415" s="64" t="n">
        <f aca="false">IF($A1415="",0,IFERROR(MATCH($A1415,Classes!$A$6:$A$420,0),0))</f>
        <v>0</v>
      </c>
      <c r="N1415" s="64" t="n">
        <f aca="false">IF($H1415="",0,IFERROR(MATCH($H1415,GradeList,0),0))</f>
        <v>0</v>
      </c>
      <c r="O1415" s="64" t="n">
        <f aca="false">IF(OR($I1415="",$I1415="NR"),0,IFERROR(MATCH($I1415,GradeList,0),0))</f>
        <v>0</v>
      </c>
      <c r="P1415" s="64" t="n">
        <f aca="false">IF(AND($M1415&gt;0,ISNUMBER(MATCH($F1415,Lists!$A$2:$A$5,0)),ISNUMBER(MATCH($G1415,Lists!$B$2:$B$7,0)),OR($H1415="",$N1415&gt;0),OR($I1415="",$I1415="NR",$O1415&gt;0),IF(ISNUMBER($J1415),AND($J1415&gt;=0,$J1415=INT($J1415)),FALSE())),$J1415,0)</f>
        <v>0</v>
      </c>
      <c r="Q1415" s="64" t="n">
        <f aca="false">IF(AND($P1415&gt;0,$O1415&gt;0),$P1415,0)</f>
        <v>0</v>
      </c>
      <c r="R1415" s="64" t="n">
        <f aca="false">IF(AND($Q1415&gt;0,$O1415&gt;=AtRank),$Q1415,0)</f>
        <v>0</v>
      </c>
      <c r="S1415" s="64" t="n">
        <f aca="false">IF(AND($Q1415&gt;0,$O1415&gt;=AboveRank),$Q1415,0)</f>
        <v>0</v>
      </c>
      <c r="T1415" s="64" t="n">
        <f aca="false">IF($K1415="Less",$P1415,0)</f>
        <v>0</v>
      </c>
      <c r="U1415" s="64" t="n">
        <f aca="false">IF($K1415="Expected",$P1415,0)</f>
        <v>0</v>
      </c>
      <c r="V1415" s="64" t="n">
        <f aca="false">IF($K1415="Better",$P1415,0)</f>
        <v>0</v>
      </c>
      <c r="W1415" s="64" t="n">
        <f aca="false">IF($K1415="U – needs rule",$P1415,0)</f>
        <v>0</v>
      </c>
      <c r="X1415" s="64" t="n">
        <f aca="false">IF($K1415="No Start (attainment only)",$P1415,0)</f>
        <v>0</v>
      </c>
    </row>
    <row r="1416" customFormat="false" ht="15" hidden="false" customHeight="false" outlineLevel="0" collapsed="false">
      <c r="A1416" s="60"/>
      <c r="B1416" s="61" t="str">
        <f aca="false">IF($M1416=0,"",INDEX(Classes!$E$6:$E$420,$M1416))</f>
        <v/>
      </c>
      <c r="C1416" s="62" t="str">
        <f aca="false">IF($M1416=0,"",INDEX(Classes!$H$6:$H$420,$M1416))</f>
        <v/>
      </c>
      <c r="D1416" s="61" t="str">
        <f aca="false">IF($M1416=0,"",INDEX(Classes!$B$6:$B$420,$M1416))</f>
        <v/>
      </c>
      <c r="E1416" s="61" t="str">
        <f aca="false">IF($M1416=0,"",INDEX(Classes!$C$6:$C$420,$M1416))</f>
        <v/>
      </c>
      <c r="F1416" s="63"/>
      <c r="G1416" s="63"/>
      <c r="H1416" s="60"/>
      <c r="I1416" s="60"/>
      <c r="J1416" s="63"/>
      <c r="K1416" s="61" t="str">
        <f aca="false">IF($P1416=0,"",IF($F1416="Baseline","— Baseline",IF($O1416=0,"No result",IF($N1416=0,"No Start (attainment only)",IF(OR($N1416=1,$O1416=1),"U – needs rule",INDEX(MxBody,MATCH($I1416,MxCurr,0),MATCH($H1416,MxStart,0)))))))</f>
        <v/>
      </c>
      <c r="L1416" s="62" t="str">
        <f aca="false">IF(COUNTA($A1416,$F1416,$G1416,$H1416,$I1416,$J1416)=0,"",IF($M1416=0,"✖ كود الصف غير موجود",IF(ISNA(MATCH($F1416,Lists!$A$2:$A$5,0)),"✖ الفترة غير صحيحة",IF(ISNA(MATCH($G1416,Lists!$B$2:$B$7,0)),"✖ المجموعة غير صحيحة",IF(NOT(OR($H1416="",$N1416&gt;0)),"✖ Start غير صحيح",IF(NOT(OR($I1416="",$I1416="NR",$O1416&gt;0)),"✖ Current غير صحيح",IF(NOT(IF(ISNUMBER($J1416),AND($J1416&gt;=0,$J1416=INT($J1416)),FALSE())),"✖ العدد يجب أن يكون صحيحًا ≥ 0",IF(AND($F1416="Baseline",$H1416&lt;&gt;""),"⚠ Baseline: Start لا يدخل في التقدم",IF($K1416="No Start (attainment only)","ℹ تحصيل فقط (بدون Start)",IF($K1416="U – needs rule","ℹ حالة U تحتاج قاعدة معتمدة",IF($K1416="No result","ℹ بدون نتيجة (يُستبعد من التحصيل)","OK")))))))))))</f>
        <v/>
      </c>
      <c r="M1416" s="64" t="n">
        <f aca="false">IF($A1416="",0,IFERROR(MATCH($A1416,Classes!$A$6:$A$420,0),0))</f>
        <v>0</v>
      </c>
      <c r="N1416" s="64" t="n">
        <f aca="false">IF($H1416="",0,IFERROR(MATCH($H1416,GradeList,0),0))</f>
        <v>0</v>
      </c>
      <c r="O1416" s="64" t="n">
        <f aca="false">IF(OR($I1416="",$I1416="NR"),0,IFERROR(MATCH($I1416,GradeList,0),0))</f>
        <v>0</v>
      </c>
      <c r="P1416" s="64" t="n">
        <f aca="false">IF(AND($M1416&gt;0,ISNUMBER(MATCH($F1416,Lists!$A$2:$A$5,0)),ISNUMBER(MATCH($G1416,Lists!$B$2:$B$7,0)),OR($H1416="",$N1416&gt;0),OR($I1416="",$I1416="NR",$O1416&gt;0),IF(ISNUMBER($J1416),AND($J1416&gt;=0,$J1416=INT($J1416)),FALSE())),$J1416,0)</f>
        <v>0</v>
      </c>
      <c r="Q1416" s="64" t="n">
        <f aca="false">IF(AND($P1416&gt;0,$O1416&gt;0),$P1416,0)</f>
        <v>0</v>
      </c>
      <c r="R1416" s="64" t="n">
        <f aca="false">IF(AND($Q1416&gt;0,$O1416&gt;=AtRank),$Q1416,0)</f>
        <v>0</v>
      </c>
      <c r="S1416" s="64" t="n">
        <f aca="false">IF(AND($Q1416&gt;0,$O1416&gt;=AboveRank),$Q1416,0)</f>
        <v>0</v>
      </c>
      <c r="T1416" s="64" t="n">
        <f aca="false">IF($K1416="Less",$P1416,0)</f>
        <v>0</v>
      </c>
      <c r="U1416" s="64" t="n">
        <f aca="false">IF($K1416="Expected",$P1416,0)</f>
        <v>0</v>
      </c>
      <c r="V1416" s="64" t="n">
        <f aca="false">IF($K1416="Better",$P1416,0)</f>
        <v>0</v>
      </c>
      <c r="W1416" s="64" t="n">
        <f aca="false">IF($K1416="U – needs rule",$P1416,0)</f>
        <v>0</v>
      </c>
      <c r="X1416" s="64" t="n">
        <f aca="false">IF($K1416="No Start (attainment only)",$P1416,0)</f>
        <v>0</v>
      </c>
    </row>
    <row r="1417" customFormat="false" ht="15" hidden="false" customHeight="false" outlineLevel="0" collapsed="false">
      <c r="A1417" s="60"/>
      <c r="B1417" s="61" t="str">
        <f aca="false">IF($M1417=0,"",INDEX(Classes!$E$6:$E$420,$M1417))</f>
        <v/>
      </c>
      <c r="C1417" s="62" t="str">
        <f aca="false">IF($M1417=0,"",INDEX(Classes!$H$6:$H$420,$M1417))</f>
        <v/>
      </c>
      <c r="D1417" s="61" t="str">
        <f aca="false">IF($M1417=0,"",INDEX(Classes!$B$6:$B$420,$M1417))</f>
        <v/>
      </c>
      <c r="E1417" s="61" t="str">
        <f aca="false">IF($M1417=0,"",INDEX(Classes!$C$6:$C$420,$M1417))</f>
        <v/>
      </c>
      <c r="F1417" s="63"/>
      <c r="G1417" s="63"/>
      <c r="H1417" s="60"/>
      <c r="I1417" s="60"/>
      <c r="J1417" s="63"/>
      <c r="K1417" s="61" t="str">
        <f aca="false">IF($P1417=0,"",IF($F1417="Baseline","— Baseline",IF($O1417=0,"No result",IF($N1417=0,"No Start (attainment only)",IF(OR($N1417=1,$O1417=1),"U – needs rule",INDEX(MxBody,MATCH($I1417,MxCurr,0),MATCH($H1417,MxStart,0)))))))</f>
        <v/>
      </c>
      <c r="L1417" s="62" t="str">
        <f aca="false">IF(COUNTA($A1417,$F1417,$G1417,$H1417,$I1417,$J1417)=0,"",IF($M1417=0,"✖ كود الصف غير موجود",IF(ISNA(MATCH($F1417,Lists!$A$2:$A$5,0)),"✖ الفترة غير صحيحة",IF(ISNA(MATCH($G1417,Lists!$B$2:$B$7,0)),"✖ المجموعة غير صحيحة",IF(NOT(OR($H1417="",$N1417&gt;0)),"✖ Start غير صحيح",IF(NOT(OR($I1417="",$I1417="NR",$O1417&gt;0)),"✖ Current غير صحيح",IF(NOT(IF(ISNUMBER($J1417),AND($J1417&gt;=0,$J1417=INT($J1417)),FALSE())),"✖ العدد يجب أن يكون صحيحًا ≥ 0",IF(AND($F1417="Baseline",$H1417&lt;&gt;""),"⚠ Baseline: Start لا يدخل في التقدم",IF($K1417="No Start (attainment only)","ℹ تحصيل فقط (بدون Start)",IF($K1417="U – needs rule","ℹ حالة U تحتاج قاعدة معتمدة",IF($K1417="No result","ℹ بدون نتيجة (يُستبعد من التحصيل)","OK")))))))))))</f>
        <v/>
      </c>
      <c r="M1417" s="64" t="n">
        <f aca="false">IF($A1417="",0,IFERROR(MATCH($A1417,Classes!$A$6:$A$420,0),0))</f>
        <v>0</v>
      </c>
      <c r="N1417" s="64" t="n">
        <f aca="false">IF($H1417="",0,IFERROR(MATCH($H1417,GradeList,0),0))</f>
        <v>0</v>
      </c>
      <c r="O1417" s="64" t="n">
        <f aca="false">IF(OR($I1417="",$I1417="NR"),0,IFERROR(MATCH($I1417,GradeList,0),0))</f>
        <v>0</v>
      </c>
      <c r="P1417" s="64" t="n">
        <f aca="false">IF(AND($M1417&gt;0,ISNUMBER(MATCH($F1417,Lists!$A$2:$A$5,0)),ISNUMBER(MATCH($G1417,Lists!$B$2:$B$7,0)),OR($H1417="",$N1417&gt;0),OR($I1417="",$I1417="NR",$O1417&gt;0),IF(ISNUMBER($J1417),AND($J1417&gt;=0,$J1417=INT($J1417)),FALSE())),$J1417,0)</f>
        <v>0</v>
      </c>
      <c r="Q1417" s="64" t="n">
        <f aca="false">IF(AND($P1417&gt;0,$O1417&gt;0),$P1417,0)</f>
        <v>0</v>
      </c>
      <c r="R1417" s="64" t="n">
        <f aca="false">IF(AND($Q1417&gt;0,$O1417&gt;=AtRank),$Q1417,0)</f>
        <v>0</v>
      </c>
      <c r="S1417" s="64" t="n">
        <f aca="false">IF(AND($Q1417&gt;0,$O1417&gt;=AboveRank),$Q1417,0)</f>
        <v>0</v>
      </c>
      <c r="T1417" s="64" t="n">
        <f aca="false">IF($K1417="Less",$P1417,0)</f>
        <v>0</v>
      </c>
      <c r="U1417" s="64" t="n">
        <f aca="false">IF($K1417="Expected",$P1417,0)</f>
        <v>0</v>
      </c>
      <c r="V1417" s="64" t="n">
        <f aca="false">IF($K1417="Better",$P1417,0)</f>
        <v>0</v>
      </c>
      <c r="W1417" s="64" t="n">
        <f aca="false">IF($K1417="U – needs rule",$P1417,0)</f>
        <v>0</v>
      </c>
      <c r="X1417" s="64" t="n">
        <f aca="false">IF($K1417="No Start (attainment only)",$P1417,0)</f>
        <v>0</v>
      </c>
    </row>
    <row r="1418" customFormat="false" ht="15" hidden="false" customHeight="false" outlineLevel="0" collapsed="false">
      <c r="A1418" s="60"/>
      <c r="B1418" s="61" t="str">
        <f aca="false">IF($M1418=0,"",INDEX(Classes!$E$6:$E$420,$M1418))</f>
        <v/>
      </c>
      <c r="C1418" s="62" t="str">
        <f aca="false">IF($M1418=0,"",INDEX(Classes!$H$6:$H$420,$M1418))</f>
        <v/>
      </c>
      <c r="D1418" s="61" t="str">
        <f aca="false">IF($M1418=0,"",INDEX(Classes!$B$6:$B$420,$M1418))</f>
        <v/>
      </c>
      <c r="E1418" s="61" t="str">
        <f aca="false">IF($M1418=0,"",INDEX(Classes!$C$6:$C$420,$M1418))</f>
        <v/>
      </c>
      <c r="F1418" s="63"/>
      <c r="G1418" s="63"/>
      <c r="H1418" s="60"/>
      <c r="I1418" s="60"/>
      <c r="J1418" s="63"/>
      <c r="K1418" s="61" t="str">
        <f aca="false">IF($P1418=0,"",IF($F1418="Baseline","— Baseline",IF($O1418=0,"No result",IF($N1418=0,"No Start (attainment only)",IF(OR($N1418=1,$O1418=1),"U – needs rule",INDEX(MxBody,MATCH($I1418,MxCurr,0),MATCH($H1418,MxStart,0)))))))</f>
        <v/>
      </c>
      <c r="L1418" s="62" t="str">
        <f aca="false">IF(COUNTA($A1418,$F1418,$G1418,$H1418,$I1418,$J1418)=0,"",IF($M1418=0,"✖ كود الصف غير موجود",IF(ISNA(MATCH($F1418,Lists!$A$2:$A$5,0)),"✖ الفترة غير صحيحة",IF(ISNA(MATCH($G1418,Lists!$B$2:$B$7,0)),"✖ المجموعة غير صحيحة",IF(NOT(OR($H1418="",$N1418&gt;0)),"✖ Start غير صحيح",IF(NOT(OR($I1418="",$I1418="NR",$O1418&gt;0)),"✖ Current غير صحيح",IF(NOT(IF(ISNUMBER($J1418),AND($J1418&gt;=0,$J1418=INT($J1418)),FALSE())),"✖ العدد يجب أن يكون صحيحًا ≥ 0",IF(AND($F1418="Baseline",$H1418&lt;&gt;""),"⚠ Baseline: Start لا يدخل في التقدم",IF($K1418="No Start (attainment only)","ℹ تحصيل فقط (بدون Start)",IF($K1418="U – needs rule","ℹ حالة U تحتاج قاعدة معتمدة",IF($K1418="No result","ℹ بدون نتيجة (يُستبعد من التحصيل)","OK")))))))))))</f>
        <v/>
      </c>
      <c r="M1418" s="64" t="n">
        <f aca="false">IF($A1418="",0,IFERROR(MATCH($A1418,Classes!$A$6:$A$420,0),0))</f>
        <v>0</v>
      </c>
      <c r="N1418" s="64" t="n">
        <f aca="false">IF($H1418="",0,IFERROR(MATCH($H1418,GradeList,0),0))</f>
        <v>0</v>
      </c>
      <c r="O1418" s="64" t="n">
        <f aca="false">IF(OR($I1418="",$I1418="NR"),0,IFERROR(MATCH($I1418,GradeList,0),0))</f>
        <v>0</v>
      </c>
      <c r="P1418" s="64" t="n">
        <f aca="false">IF(AND($M1418&gt;0,ISNUMBER(MATCH($F1418,Lists!$A$2:$A$5,0)),ISNUMBER(MATCH($G1418,Lists!$B$2:$B$7,0)),OR($H1418="",$N1418&gt;0),OR($I1418="",$I1418="NR",$O1418&gt;0),IF(ISNUMBER($J1418),AND($J1418&gt;=0,$J1418=INT($J1418)),FALSE())),$J1418,0)</f>
        <v>0</v>
      </c>
      <c r="Q1418" s="64" t="n">
        <f aca="false">IF(AND($P1418&gt;0,$O1418&gt;0),$P1418,0)</f>
        <v>0</v>
      </c>
      <c r="R1418" s="64" t="n">
        <f aca="false">IF(AND($Q1418&gt;0,$O1418&gt;=AtRank),$Q1418,0)</f>
        <v>0</v>
      </c>
      <c r="S1418" s="64" t="n">
        <f aca="false">IF(AND($Q1418&gt;0,$O1418&gt;=AboveRank),$Q1418,0)</f>
        <v>0</v>
      </c>
      <c r="T1418" s="64" t="n">
        <f aca="false">IF($K1418="Less",$P1418,0)</f>
        <v>0</v>
      </c>
      <c r="U1418" s="64" t="n">
        <f aca="false">IF($K1418="Expected",$P1418,0)</f>
        <v>0</v>
      </c>
      <c r="V1418" s="64" t="n">
        <f aca="false">IF($K1418="Better",$P1418,0)</f>
        <v>0</v>
      </c>
      <c r="W1418" s="64" t="n">
        <f aca="false">IF($K1418="U – needs rule",$P1418,0)</f>
        <v>0</v>
      </c>
      <c r="X1418" s="64" t="n">
        <f aca="false">IF($K1418="No Start (attainment only)",$P1418,0)</f>
        <v>0</v>
      </c>
    </row>
    <row r="1419" customFormat="false" ht="15" hidden="false" customHeight="false" outlineLevel="0" collapsed="false">
      <c r="A1419" s="60"/>
      <c r="B1419" s="61" t="str">
        <f aca="false">IF($M1419=0,"",INDEX(Classes!$E$6:$E$420,$M1419))</f>
        <v/>
      </c>
      <c r="C1419" s="62" t="str">
        <f aca="false">IF($M1419=0,"",INDEX(Classes!$H$6:$H$420,$M1419))</f>
        <v/>
      </c>
      <c r="D1419" s="61" t="str">
        <f aca="false">IF($M1419=0,"",INDEX(Classes!$B$6:$B$420,$M1419))</f>
        <v/>
      </c>
      <c r="E1419" s="61" t="str">
        <f aca="false">IF($M1419=0,"",INDEX(Classes!$C$6:$C$420,$M1419))</f>
        <v/>
      </c>
      <c r="F1419" s="63"/>
      <c r="G1419" s="63"/>
      <c r="H1419" s="60"/>
      <c r="I1419" s="60"/>
      <c r="J1419" s="63"/>
      <c r="K1419" s="61" t="str">
        <f aca="false">IF($P1419=0,"",IF($F1419="Baseline","— Baseline",IF($O1419=0,"No result",IF($N1419=0,"No Start (attainment only)",IF(OR($N1419=1,$O1419=1),"U – needs rule",INDEX(MxBody,MATCH($I1419,MxCurr,0),MATCH($H1419,MxStart,0)))))))</f>
        <v/>
      </c>
      <c r="L1419" s="62" t="str">
        <f aca="false">IF(COUNTA($A1419,$F1419,$G1419,$H1419,$I1419,$J1419)=0,"",IF($M1419=0,"✖ كود الصف غير موجود",IF(ISNA(MATCH($F1419,Lists!$A$2:$A$5,0)),"✖ الفترة غير صحيحة",IF(ISNA(MATCH($G1419,Lists!$B$2:$B$7,0)),"✖ المجموعة غير صحيحة",IF(NOT(OR($H1419="",$N1419&gt;0)),"✖ Start غير صحيح",IF(NOT(OR($I1419="",$I1419="NR",$O1419&gt;0)),"✖ Current غير صحيح",IF(NOT(IF(ISNUMBER($J1419),AND($J1419&gt;=0,$J1419=INT($J1419)),FALSE())),"✖ العدد يجب أن يكون صحيحًا ≥ 0",IF(AND($F1419="Baseline",$H1419&lt;&gt;""),"⚠ Baseline: Start لا يدخل في التقدم",IF($K1419="No Start (attainment only)","ℹ تحصيل فقط (بدون Start)",IF($K1419="U – needs rule","ℹ حالة U تحتاج قاعدة معتمدة",IF($K1419="No result","ℹ بدون نتيجة (يُستبعد من التحصيل)","OK")))))))))))</f>
        <v/>
      </c>
      <c r="M1419" s="64" t="n">
        <f aca="false">IF($A1419="",0,IFERROR(MATCH($A1419,Classes!$A$6:$A$420,0),0))</f>
        <v>0</v>
      </c>
      <c r="N1419" s="64" t="n">
        <f aca="false">IF($H1419="",0,IFERROR(MATCH($H1419,GradeList,0),0))</f>
        <v>0</v>
      </c>
      <c r="O1419" s="64" t="n">
        <f aca="false">IF(OR($I1419="",$I1419="NR"),0,IFERROR(MATCH($I1419,GradeList,0),0))</f>
        <v>0</v>
      </c>
      <c r="P1419" s="64" t="n">
        <f aca="false">IF(AND($M1419&gt;0,ISNUMBER(MATCH($F1419,Lists!$A$2:$A$5,0)),ISNUMBER(MATCH($G1419,Lists!$B$2:$B$7,0)),OR($H1419="",$N1419&gt;0),OR($I1419="",$I1419="NR",$O1419&gt;0),IF(ISNUMBER($J1419),AND($J1419&gt;=0,$J1419=INT($J1419)),FALSE())),$J1419,0)</f>
        <v>0</v>
      </c>
      <c r="Q1419" s="64" t="n">
        <f aca="false">IF(AND($P1419&gt;0,$O1419&gt;0),$P1419,0)</f>
        <v>0</v>
      </c>
      <c r="R1419" s="64" t="n">
        <f aca="false">IF(AND($Q1419&gt;0,$O1419&gt;=AtRank),$Q1419,0)</f>
        <v>0</v>
      </c>
      <c r="S1419" s="64" t="n">
        <f aca="false">IF(AND($Q1419&gt;0,$O1419&gt;=AboveRank),$Q1419,0)</f>
        <v>0</v>
      </c>
      <c r="T1419" s="64" t="n">
        <f aca="false">IF($K1419="Less",$P1419,0)</f>
        <v>0</v>
      </c>
      <c r="U1419" s="64" t="n">
        <f aca="false">IF($K1419="Expected",$P1419,0)</f>
        <v>0</v>
      </c>
      <c r="V1419" s="64" t="n">
        <f aca="false">IF($K1419="Better",$P1419,0)</f>
        <v>0</v>
      </c>
      <c r="W1419" s="64" t="n">
        <f aca="false">IF($K1419="U – needs rule",$P1419,0)</f>
        <v>0</v>
      </c>
      <c r="X1419" s="64" t="n">
        <f aca="false">IF($K1419="No Start (attainment only)",$P1419,0)</f>
        <v>0</v>
      </c>
    </row>
    <row r="1420" customFormat="false" ht="15" hidden="false" customHeight="false" outlineLevel="0" collapsed="false">
      <c r="A1420" s="60"/>
      <c r="B1420" s="61" t="str">
        <f aca="false">IF($M1420=0,"",INDEX(Classes!$E$6:$E$420,$M1420))</f>
        <v/>
      </c>
      <c r="C1420" s="62" t="str">
        <f aca="false">IF($M1420=0,"",INDEX(Classes!$H$6:$H$420,$M1420))</f>
        <v/>
      </c>
      <c r="D1420" s="61" t="str">
        <f aca="false">IF($M1420=0,"",INDEX(Classes!$B$6:$B$420,$M1420))</f>
        <v/>
      </c>
      <c r="E1420" s="61" t="str">
        <f aca="false">IF($M1420=0,"",INDEX(Classes!$C$6:$C$420,$M1420))</f>
        <v/>
      </c>
      <c r="F1420" s="63"/>
      <c r="G1420" s="63"/>
      <c r="H1420" s="60"/>
      <c r="I1420" s="60"/>
      <c r="J1420" s="63"/>
      <c r="K1420" s="61" t="str">
        <f aca="false">IF($P1420=0,"",IF($F1420="Baseline","— Baseline",IF($O1420=0,"No result",IF($N1420=0,"No Start (attainment only)",IF(OR($N1420=1,$O1420=1),"U – needs rule",INDEX(MxBody,MATCH($I1420,MxCurr,0),MATCH($H1420,MxStart,0)))))))</f>
        <v/>
      </c>
      <c r="L1420" s="62" t="str">
        <f aca="false">IF(COUNTA($A1420,$F1420,$G1420,$H1420,$I1420,$J1420)=0,"",IF($M1420=0,"✖ كود الصف غير موجود",IF(ISNA(MATCH($F1420,Lists!$A$2:$A$5,0)),"✖ الفترة غير صحيحة",IF(ISNA(MATCH($G1420,Lists!$B$2:$B$7,0)),"✖ المجموعة غير صحيحة",IF(NOT(OR($H1420="",$N1420&gt;0)),"✖ Start غير صحيح",IF(NOT(OR($I1420="",$I1420="NR",$O1420&gt;0)),"✖ Current غير صحيح",IF(NOT(IF(ISNUMBER($J1420),AND($J1420&gt;=0,$J1420=INT($J1420)),FALSE())),"✖ العدد يجب أن يكون صحيحًا ≥ 0",IF(AND($F1420="Baseline",$H1420&lt;&gt;""),"⚠ Baseline: Start لا يدخل في التقدم",IF($K1420="No Start (attainment only)","ℹ تحصيل فقط (بدون Start)",IF($K1420="U – needs rule","ℹ حالة U تحتاج قاعدة معتمدة",IF($K1420="No result","ℹ بدون نتيجة (يُستبعد من التحصيل)","OK")))))))))))</f>
        <v/>
      </c>
      <c r="M1420" s="64" t="n">
        <f aca="false">IF($A1420="",0,IFERROR(MATCH($A1420,Classes!$A$6:$A$420,0),0))</f>
        <v>0</v>
      </c>
      <c r="N1420" s="64" t="n">
        <f aca="false">IF($H1420="",0,IFERROR(MATCH($H1420,GradeList,0),0))</f>
        <v>0</v>
      </c>
      <c r="O1420" s="64" t="n">
        <f aca="false">IF(OR($I1420="",$I1420="NR"),0,IFERROR(MATCH($I1420,GradeList,0),0))</f>
        <v>0</v>
      </c>
      <c r="P1420" s="64" t="n">
        <f aca="false">IF(AND($M1420&gt;0,ISNUMBER(MATCH($F1420,Lists!$A$2:$A$5,0)),ISNUMBER(MATCH($G1420,Lists!$B$2:$B$7,0)),OR($H1420="",$N1420&gt;0),OR($I1420="",$I1420="NR",$O1420&gt;0),IF(ISNUMBER($J1420),AND($J1420&gt;=0,$J1420=INT($J1420)),FALSE())),$J1420,0)</f>
        <v>0</v>
      </c>
      <c r="Q1420" s="64" t="n">
        <f aca="false">IF(AND($P1420&gt;0,$O1420&gt;0),$P1420,0)</f>
        <v>0</v>
      </c>
      <c r="R1420" s="64" t="n">
        <f aca="false">IF(AND($Q1420&gt;0,$O1420&gt;=AtRank),$Q1420,0)</f>
        <v>0</v>
      </c>
      <c r="S1420" s="64" t="n">
        <f aca="false">IF(AND($Q1420&gt;0,$O1420&gt;=AboveRank),$Q1420,0)</f>
        <v>0</v>
      </c>
      <c r="T1420" s="64" t="n">
        <f aca="false">IF($K1420="Less",$P1420,0)</f>
        <v>0</v>
      </c>
      <c r="U1420" s="64" t="n">
        <f aca="false">IF($K1420="Expected",$P1420,0)</f>
        <v>0</v>
      </c>
      <c r="V1420" s="64" t="n">
        <f aca="false">IF($K1420="Better",$P1420,0)</f>
        <v>0</v>
      </c>
      <c r="W1420" s="64" t="n">
        <f aca="false">IF($K1420="U – needs rule",$P1420,0)</f>
        <v>0</v>
      </c>
      <c r="X1420" s="64" t="n">
        <f aca="false">IF($K1420="No Start (attainment only)",$P1420,0)</f>
        <v>0</v>
      </c>
    </row>
    <row r="1421" customFormat="false" ht="15" hidden="false" customHeight="false" outlineLevel="0" collapsed="false">
      <c r="A1421" s="60"/>
      <c r="B1421" s="61" t="str">
        <f aca="false">IF($M1421=0,"",INDEX(Classes!$E$6:$E$420,$M1421))</f>
        <v/>
      </c>
      <c r="C1421" s="62" t="str">
        <f aca="false">IF($M1421=0,"",INDEX(Classes!$H$6:$H$420,$M1421))</f>
        <v/>
      </c>
      <c r="D1421" s="61" t="str">
        <f aca="false">IF($M1421=0,"",INDEX(Classes!$B$6:$B$420,$M1421))</f>
        <v/>
      </c>
      <c r="E1421" s="61" t="str">
        <f aca="false">IF($M1421=0,"",INDEX(Classes!$C$6:$C$420,$M1421))</f>
        <v/>
      </c>
      <c r="F1421" s="63"/>
      <c r="G1421" s="63"/>
      <c r="H1421" s="60"/>
      <c r="I1421" s="60"/>
      <c r="J1421" s="63"/>
      <c r="K1421" s="61" t="str">
        <f aca="false">IF($P1421=0,"",IF($F1421="Baseline","— Baseline",IF($O1421=0,"No result",IF($N1421=0,"No Start (attainment only)",IF(OR($N1421=1,$O1421=1),"U – needs rule",INDEX(MxBody,MATCH($I1421,MxCurr,0),MATCH($H1421,MxStart,0)))))))</f>
        <v/>
      </c>
      <c r="L1421" s="62" t="str">
        <f aca="false">IF(COUNTA($A1421,$F1421,$G1421,$H1421,$I1421,$J1421)=0,"",IF($M1421=0,"✖ كود الصف غير موجود",IF(ISNA(MATCH($F1421,Lists!$A$2:$A$5,0)),"✖ الفترة غير صحيحة",IF(ISNA(MATCH($G1421,Lists!$B$2:$B$7,0)),"✖ المجموعة غير صحيحة",IF(NOT(OR($H1421="",$N1421&gt;0)),"✖ Start غير صحيح",IF(NOT(OR($I1421="",$I1421="NR",$O1421&gt;0)),"✖ Current غير صحيح",IF(NOT(IF(ISNUMBER($J1421),AND($J1421&gt;=0,$J1421=INT($J1421)),FALSE())),"✖ العدد يجب أن يكون صحيحًا ≥ 0",IF(AND($F1421="Baseline",$H1421&lt;&gt;""),"⚠ Baseline: Start لا يدخل في التقدم",IF($K1421="No Start (attainment only)","ℹ تحصيل فقط (بدون Start)",IF($K1421="U – needs rule","ℹ حالة U تحتاج قاعدة معتمدة",IF($K1421="No result","ℹ بدون نتيجة (يُستبعد من التحصيل)","OK")))))))))))</f>
        <v/>
      </c>
      <c r="M1421" s="64" t="n">
        <f aca="false">IF($A1421="",0,IFERROR(MATCH($A1421,Classes!$A$6:$A$420,0),0))</f>
        <v>0</v>
      </c>
      <c r="N1421" s="64" t="n">
        <f aca="false">IF($H1421="",0,IFERROR(MATCH($H1421,GradeList,0),0))</f>
        <v>0</v>
      </c>
      <c r="O1421" s="64" t="n">
        <f aca="false">IF(OR($I1421="",$I1421="NR"),0,IFERROR(MATCH($I1421,GradeList,0),0))</f>
        <v>0</v>
      </c>
      <c r="P1421" s="64" t="n">
        <f aca="false">IF(AND($M1421&gt;0,ISNUMBER(MATCH($F1421,Lists!$A$2:$A$5,0)),ISNUMBER(MATCH($G1421,Lists!$B$2:$B$7,0)),OR($H1421="",$N1421&gt;0),OR($I1421="",$I1421="NR",$O1421&gt;0),IF(ISNUMBER($J1421),AND($J1421&gt;=0,$J1421=INT($J1421)),FALSE())),$J1421,0)</f>
        <v>0</v>
      </c>
      <c r="Q1421" s="64" t="n">
        <f aca="false">IF(AND($P1421&gt;0,$O1421&gt;0),$P1421,0)</f>
        <v>0</v>
      </c>
      <c r="R1421" s="64" t="n">
        <f aca="false">IF(AND($Q1421&gt;0,$O1421&gt;=AtRank),$Q1421,0)</f>
        <v>0</v>
      </c>
      <c r="S1421" s="64" t="n">
        <f aca="false">IF(AND($Q1421&gt;0,$O1421&gt;=AboveRank),$Q1421,0)</f>
        <v>0</v>
      </c>
      <c r="T1421" s="64" t="n">
        <f aca="false">IF($K1421="Less",$P1421,0)</f>
        <v>0</v>
      </c>
      <c r="U1421" s="64" t="n">
        <f aca="false">IF($K1421="Expected",$P1421,0)</f>
        <v>0</v>
      </c>
      <c r="V1421" s="64" t="n">
        <f aca="false">IF($K1421="Better",$P1421,0)</f>
        <v>0</v>
      </c>
      <c r="W1421" s="64" t="n">
        <f aca="false">IF($K1421="U – needs rule",$P1421,0)</f>
        <v>0</v>
      </c>
      <c r="X1421" s="64" t="n">
        <f aca="false">IF($K1421="No Start (attainment only)",$P1421,0)</f>
        <v>0</v>
      </c>
    </row>
    <row r="1422" customFormat="false" ht="15" hidden="false" customHeight="false" outlineLevel="0" collapsed="false">
      <c r="A1422" s="60"/>
      <c r="B1422" s="61" t="str">
        <f aca="false">IF($M1422=0,"",INDEX(Classes!$E$6:$E$420,$M1422))</f>
        <v/>
      </c>
      <c r="C1422" s="62" t="str">
        <f aca="false">IF($M1422=0,"",INDEX(Classes!$H$6:$H$420,$M1422))</f>
        <v/>
      </c>
      <c r="D1422" s="61" t="str">
        <f aca="false">IF($M1422=0,"",INDEX(Classes!$B$6:$B$420,$M1422))</f>
        <v/>
      </c>
      <c r="E1422" s="61" t="str">
        <f aca="false">IF($M1422=0,"",INDEX(Classes!$C$6:$C$420,$M1422))</f>
        <v/>
      </c>
      <c r="F1422" s="63"/>
      <c r="G1422" s="63"/>
      <c r="H1422" s="60"/>
      <c r="I1422" s="60"/>
      <c r="J1422" s="63"/>
      <c r="K1422" s="61" t="str">
        <f aca="false">IF($P1422=0,"",IF($F1422="Baseline","— Baseline",IF($O1422=0,"No result",IF($N1422=0,"No Start (attainment only)",IF(OR($N1422=1,$O1422=1),"U – needs rule",INDEX(MxBody,MATCH($I1422,MxCurr,0),MATCH($H1422,MxStart,0)))))))</f>
        <v/>
      </c>
      <c r="L1422" s="62" t="str">
        <f aca="false">IF(COUNTA($A1422,$F1422,$G1422,$H1422,$I1422,$J1422)=0,"",IF($M1422=0,"✖ كود الصف غير موجود",IF(ISNA(MATCH($F1422,Lists!$A$2:$A$5,0)),"✖ الفترة غير صحيحة",IF(ISNA(MATCH($G1422,Lists!$B$2:$B$7,0)),"✖ المجموعة غير صحيحة",IF(NOT(OR($H1422="",$N1422&gt;0)),"✖ Start غير صحيح",IF(NOT(OR($I1422="",$I1422="NR",$O1422&gt;0)),"✖ Current غير صحيح",IF(NOT(IF(ISNUMBER($J1422),AND($J1422&gt;=0,$J1422=INT($J1422)),FALSE())),"✖ العدد يجب أن يكون صحيحًا ≥ 0",IF(AND($F1422="Baseline",$H1422&lt;&gt;""),"⚠ Baseline: Start لا يدخل في التقدم",IF($K1422="No Start (attainment only)","ℹ تحصيل فقط (بدون Start)",IF($K1422="U – needs rule","ℹ حالة U تحتاج قاعدة معتمدة",IF($K1422="No result","ℹ بدون نتيجة (يُستبعد من التحصيل)","OK")))))))))))</f>
        <v/>
      </c>
      <c r="M1422" s="64" t="n">
        <f aca="false">IF($A1422="",0,IFERROR(MATCH($A1422,Classes!$A$6:$A$420,0),0))</f>
        <v>0</v>
      </c>
      <c r="N1422" s="64" t="n">
        <f aca="false">IF($H1422="",0,IFERROR(MATCH($H1422,GradeList,0),0))</f>
        <v>0</v>
      </c>
      <c r="O1422" s="64" t="n">
        <f aca="false">IF(OR($I1422="",$I1422="NR"),0,IFERROR(MATCH($I1422,GradeList,0),0))</f>
        <v>0</v>
      </c>
      <c r="P1422" s="64" t="n">
        <f aca="false">IF(AND($M1422&gt;0,ISNUMBER(MATCH($F1422,Lists!$A$2:$A$5,0)),ISNUMBER(MATCH($G1422,Lists!$B$2:$B$7,0)),OR($H1422="",$N1422&gt;0),OR($I1422="",$I1422="NR",$O1422&gt;0),IF(ISNUMBER($J1422),AND($J1422&gt;=0,$J1422=INT($J1422)),FALSE())),$J1422,0)</f>
        <v>0</v>
      </c>
      <c r="Q1422" s="64" t="n">
        <f aca="false">IF(AND($P1422&gt;0,$O1422&gt;0),$P1422,0)</f>
        <v>0</v>
      </c>
      <c r="R1422" s="64" t="n">
        <f aca="false">IF(AND($Q1422&gt;0,$O1422&gt;=AtRank),$Q1422,0)</f>
        <v>0</v>
      </c>
      <c r="S1422" s="64" t="n">
        <f aca="false">IF(AND($Q1422&gt;0,$O1422&gt;=AboveRank),$Q1422,0)</f>
        <v>0</v>
      </c>
      <c r="T1422" s="64" t="n">
        <f aca="false">IF($K1422="Less",$P1422,0)</f>
        <v>0</v>
      </c>
      <c r="U1422" s="64" t="n">
        <f aca="false">IF($K1422="Expected",$P1422,0)</f>
        <v>0</v>
      </c>
      <c r="V1422" s="64" t="n">
        <f aca="false">IF($K1422="Better",$P1422,0)</f>
        <v>0</v>
      </c>
      <c r="W1422" s="64" t="n">
        <f aca="false">IF($K1422="U – needs rule",$P1422,0)</f>
        <v>0</v>
      </c>
      <c r="X1422" s="64" t="n">
        <f aca="false">IF($K1422="No Start (attainment only)",$P1422,0)</f>
        <v>0</v>
      </c>
    </row>
    <row r="1423" customFormat="false" ht="15" hidden="false" customHeight="false" outlineLevel="0" collapsed="false">
      <c r="A1423" s="60"/>
      <c r="B1423" s="61" t="str">
        <f aca="false">IF($M1423=0,"",INDEX(Classes!$E$6:$E$420,$M1423))</f>
        <v/>
      </c>
      <c r="C1423" s="62" t="str">
        <f aca="false">IF($M1423=0,"",INDEX(Classes!$H$6:$H$420,$M1423))</f>
        <v/>
      </c>
      <c r="D1423" s="61" t="str">
        <f aca="false">IF($M1423=0,"",INDEX(Classes!$B$6:$B$420,$M1423))</f>
        <v/>
      </c>
      <c r="E1423" s="61" t="str">
        <f aca="false">IF($M1423=0,"",INDEX(Classes!$C$6:$C$420,$M1423))</f>
        <v/>
      </c>
      <c r="F1423" s="63"/>
      <c r="G1423" s="63"/>
      <c r="H1423" s="60"/>
      <c r="I1423" s="60"/>
      <c r="J1423" s="63"/>
      <c r="K1423" s="61" t="str">
        <f aca="false">IF($P1423=0,"",IF($F1423="Baseline","— Baseline",IF($O1423=0,"No result",IF($N1423=0,"No Start (attainment only)",IF(OR($N1423=1,$O1423=1),"U – needs rule",INDEX(MxBody,MATCH($I1423,MxCurr,0),MATCH($H1423,MxStart,0)))))))</f>
        <v/>
      </c>
      <c r="L1423" s="62" t="str">
        <f aca="false">IF(COUNTA($A1423,$F1423,$G1423,$H1423,$I1423,$J1423)=0,"",IF($M1423=0,"✖ كود الصف غير موجود",IF(ISNA(MATCH($F1423,Lists!$A$2:$A$5,0)),"✖ الفترة غير صحيحة",IF(ISNA(MATCH($G1423,Lists!$B$2:$B$7,0)),"✖ المجموعة غير صحيحة",IF(NOT(OR($H1423="",$N1423&gt;0)),"✖ Start غير صحيح",IF(NOT(OR($I1423="",$I1423="NR",$O1423&gt;0)),"✖ Current غير صحيح",IF(NOT(IF(ISNUMBER($J1423),AND($J1423&gt;=0,$J1423=INT($J1423)),FALSE())),"✖ العدد يجب أن يكون صحيحًا ≥ 0",IF(AND($F1423="Baseline",$H1423&lt;&gt;""),"⚠ Baseline: Start لا يدخل في التقدم",IF($K1423="No Start (attainment only)","ℹ تحصيل فقط (بدون Start)",IF($K1423="U – needs rule","ℹ حالة U تحتاج قاعدة معتمدة",IF($K1423="No result","ℹ بدون نتيجة (يُستبعد من التحصيل)","OK")))))))))))</f>
        <v/>
      </c>
      <c r="M1423" s="64" t="n">
        <f aca="false">IF($A1423="",0,IFERROR(MATCH($A1423,Classes!$A$6:$A$420,0),0))</f>
        <v>0</v>
      </c>
      <c r="N1423" s="64" t="n">
        <f aca="false">IF($H1423="",0,IFERROR(MATCH($H1423,GradeList,0),0))</f>
        <v>0</v>
      </c>
      <c r="O1423" s="64" t="n">
        <f aca="false">IF(OR($I1423="",$I1423="NR"),0,IFERROR(MATCH($I1423,GradeList,0),0))</f>
        <v>0</v>
      </c>
      <c r="P1423" s="64" t="n">
        <f aca="false">IF(AND($M1423&gt;0,ISNUMBER(MATCH($F1423,Lists!$A$2:$A$5,0)),ISNUMBER(MATCH($G1423,Lists!$B$2:$B$7,0)),OR($H1423="",$N1423&gt;0),OR($I1423="",$I1423="NR",$O1423&gt;0),IF(ISNUMBER($J1423),AND($J1423&gt;=0,$J1423=INT($J1423)),FALSE())),$J1423,0)</f>
        <v>0</v>
      </c>
      <c r="Q1423" s="64" t="n">
        <f aca="false">IF(AND($P1423&gt;0,$O1423&gt;0),$P1423,0)</f>
        <v>0</v>
      </c>
      <c r="R1423" s="64" t="n">
        <f aca="false">IF(AND($Q1423&gt;0,$O1423&gt;=AtRank),$Q1423,0)</f>
        <v>0</v>
      </c>
      <c r="S1423" s="64" t="n">
        <f aca="false">IF(AND($Q1423&gt;0,$O1423&gt;=AboveRank),$Q1423,0)</f>
        <v>0</v>
      </c>
      <c r="T1423" s="64" t="n">
        <f aca="false">IF($K1423="Less",$P1423,0)</f>
        <v>0</v>
      </c>
      <c r="U1423" s="64" t="n">
        <f aca="false">IF($K1423="Expected",$P1423,0)</f>
        <v>0</v>
      </c>
      <c r="V1423" s="64" t="n">
        <f aca="false">IF($K1423="Better",$P1423,0)</f>
        <v>0</v>
      </c>
      <c r="W1423" s="64" t="n">
        <f aca="false">IF($K1423="U – needs rule",$P1423,0)</f>
        <v>0</v>
      </c>
      <c r="X1423" s="64" t="n">
        <f aca="false">IF($K1423="No Start (attainment only)",$P1423,0)</f>
        <v>0</v>
      </c>
    </row>
    <row r="1424" customFormat="false" ht="15" hidden="false" customHeight="false" outlineLevel="0" collapsed="false">
      <c r="A1424" s="60"/>
      <c r="B1424" s="61" t="str">
        <f aca="false">IF($M1424=0,"",INDEX(Classes!$E$6:$E$420,$M1424))</f>
        <v/>
      </c>
      <c r="C1424" s="62" t="str">
        <f aca="false">IF($M1424=0,"",INDEX(Classes!$H$6:$H$420,$M1424))</f>
        <v/>
      </c>
      <c r="D1424" s="61" t="str">
        <f aca="false">IF($M1424=0,"",INDEX(Classes!$B$6:$B$420,$M1424))</f>
        <v/>
      </c>
      <c r="E1424" s="61" t="str">
        <f aca="false">IF($M1424=0,"",INDEX(Classes!$C$6:$C$420,$M1424))</f>
        <v/>
      </c>
      <c r="F1424" s="63"/>
      <c r="G1424" s="63"/>
      <c r="H1424" s="60"/>
      <c r="I1424" s="60"/>
      <c r="J1424" s="63"/>
      <c r="K1424" s="61" t="str">
        <f aca="false">IF($P1424=0,"",IF($F1424="Baseline","— Baseline",IF($O1424=0,"No result",IF($N1424=0,"No Start (attainment only)",IF(OR($N1424=1,$O1424=1),"U – needs rule",INDEX(MxBody,MATCH($I1424,MxCurr,0),MATCH($H1424,MxStart,0)))))))</f>
        <v/>
      </c>
      <c r="L1424" s="62" t="str">
        <f aca="false">IF(COUNTA($A1424,$F1424,$G1424,$H1424,$I1424,$J1424)=0,"",IF($M1424=0,"✖ كود الصف غير موجود",IF(ISNA(MATCH($F1424,Lists!$A$2:$A$5,0)),"✖ الفترة غير صحيحة",IF(ISNA(MATCH($G1424,Lists!$B$2:$B$7,0)),"✖ المجموعة غير صحيحة",IF(NOT(OR($H1424="",$N1424&gt;0)),"✖ Start غير صحيح",IF(NOT(OR($I1424="",$I1424="NR",$O1424&gt;0)),"✖ Current غير صحيح",IF(NOT(IF(ISNUMBER($J1424),AND($J1424&gt;=0,$J1424=INT($J1424)),FALSE())),"✖ العدد يجب أن يكون صحيحًا ≥ 0",IF(AND($F1424="Baseline",$H1424&lt;&gt;""),"⚠ Baseline: Start لا يدخل في التقدم",IF($K1424="No Start (attainment only)","ℹ تحصيل فقط (بدون Start)",IF($K1424="U – needs rule","ℹ حالة U تحتاج قاعدة معتمدة",IF($K1424="No result","ℹ بدون نتيجة (يُستبعد من التحصيل)","OK")))))))))))</f>
        <v/>
      </c>
      <c r="M1424" s="64" t="n">
        <f aca="false">IF($A1424="",0,IFERROR(MATCH($A1424,Classes!$A$6:$A$420,0),0))</f>
        <v>0</v>
      </c>
      <c r="N1424" s="64" t="n">
        <f aca="false">IF($H1424="",0,IFERROR(MATCH($H1424,GradeList,0),0))</f>
        <v>0</v>
      </c>
      <c r="O1424" s="64" t="n">
        <f aca="false">IF(OR($I1424="",$I1424="NR"),0,IFERROR(MATCH($I1424,GradeList,0),0))</f>
        <v>0</v>
      </c>
      <c r="P1424" s="64" t="n">
        <f aca="false">IF(AND($M1424&gt;0,ISNUMBER(MATCH($F1424,Lists!$A$2:$A$5,0)),ISNUMBER(MATCH($G1424,Lists!$B$2:$B$7,0)),OR($H1424="",$N1424&gt;0),OR($I1424="",$I1424="NR",$O1424&gt;0),IF(ISNUMBER($J1424),AND($J1424&gt;=0,$J1424=INT($J1424)),FALSE())),$J1424,0)</f>
        <v>0</v>
      </c>
      <c r="Q1424" s="64" t="n">
        <f aca="false">IF(AND($P1424&gt;0,$O1424&gt;0),$P1424,0)</f>
        <v>0</v>
      </c>
      <c r="R1424" s="64" t="n">
        <f aca="false">IF(AND($Q1424&gt;0,$O1424&gt;=AtRank),$Q1424,0)</f>
        <v>0</v>
      </c>
      <c r="S1424" s="64" t="n">
        <f aca="false">IF(AND($Q1424&gt;0,$O1424&gt;=AboveRank),$Q1424,0)</f>
        <v>0</v>
      </c>
      <c r="T1424" s="64" t="n">
        <f aca="false">IF($K1424="Less",$P1424,0)</f>
        <v>0</v>
      </c>
      <c r="U1424" s="64" t="n">
        <f aca="false">IF($K1424="Expected",$P1424,0)</f>
        <v>0</v>
      </c>
      <c r="V1424" s="64" t="n">
        <f aca="false">IF($K1424="Better",$P1424,0)</f>
        <v>0</v>
      </c>
      <c r="W1424" s="64" t="n">
        <f aca="false">IF($K1424="U – needs rule",$P1424,0)</f>
        <v>0</v>
      </c>
      <c r="X1424" s="64" t="n">
        <f aca="false">IF($K1424="No Start (attainment only)",$P1424,0)</f>
        <v>0</v>
      </c>
    </row>
    <row r="1425" customFormat="false" ht="15" hidden="false" customHeight="false" outlineLevel="0" collapsed="false">
      <c r="A1425" s="60"/>
      <c r="B1425" s="61" t="str">
        <f aca="false">IF($M1425=0,"",INDEX(Classes!$E$6:$E$420,$M1425))</f>
        <v/>
      </c>
      <c r="C1425" s="62" t="str">
        <f aca="false">IF($M1425=0,"",INDEX(Classes!$H$6:$H$420,$M1425))</f>
        <v/>
      </c>
      <c r="D1425" s="61" t="str">
        <f aca="false">IF($M1425=0,"",INDEX(Classes!$B$6:$B$420,$M1425))</f>
        <v/>
      </c>
      <c r="E1425" s="61" t="str">
        <f aca="false">IF($M1425=0,"",INDEX(Classes!$C$6:$C$420,$M1425))</f>
        <v/>
      </c>
      <c r="F1425" s="63"/>
      <c r="G1425" s="63"/>
      <c r="H1425" s="60"/>
      <c r="I1425" s="60"/>
      <c r="J1425" s="63"/>
      <c r="K1425" s="61" t="str">
        <f aca="false">IF($P1425=0,"",IF($F1425="Baseline","— Baseline",IF($O1425=0,"No result",IF($N1425=0,"No Start (attainment only)",IF(OR($N1425=1,$O1425=1),"U – needs rule",INDEX(MxBody,MATCH($I1425,MxCurr,0),MATCH($H1425,MxStart,0)))))))</f>
        <v/>
      </c>
      <c r="L1425" s="62" t="str">
        <f aca="false">IF(COUNTA($A1425,$F1425,$G1425,$H1425,$I1425,$J1425)=0,"",IF($M1425=0,"✖ كود الصف غير موجود",IF(ISNA(MATCH($F1425,Lists!$A$2:$A$5,0)),"✖ الفترة غير صحيحة",IF(ISNA(MATCH($G1425,Lists!$B$2:$B$7,0)),"✖ المجموعة غير صحيحة",IF(NOT(OR($H1425="",$N1425&gt;0)),"✖ Start غير صحيح",IF(NOT(OR($I1425="",$I1425="NR",$O1425&gt;0)),"✖ Current غير صحيح",IF(NOT(IF(ISNUMBER($J1425),AND($J1425&gt;=0,$J1425=INT($J1425)),FALSE())),"✖ العدد يجب أن يكون صحيحًا ≥ 0",IF(AND($F1425="Baseline",$H1425&lt;&gt;""),"⚠ Baseline: Start لا يدخل في التقدم",IF($K1425="No Start (attainment only)","ℹ تحصيل فقط (بدون Start)",IF($K1425="U – needs rule","ℹ حالة U تحتاج قاعدة معتمدة",IF($K1425="No result","ℹ بدون نتيجة (يُستبعد من التحصيل)","OK")))))))))))</f>
        <v/>
      </c>
      <c r="M1425" s="64" t="n">
        <f aca="false">IF($A1425="",0,IFERROR(MATCH($A1425,Classes!$A$6:$A$420,0),0))</f>
        <v>0</v>
      </c>
      <c r="N1425" s="64" t="n">
        <f aca="false">IF($H1425="",0,IFERROR(MATCH($H1425,GradeList,0),0))</f>
        <v>0</v>
      </c>
      <c r="O1425" s="64" t="n">
        <f aca="false">IF(OR($I1425="",$I1425="NR"),0,IFERROR(MATCH($I1425,GradeList,0),0))</f>
        <v>0</v>
      </c>
      <c r="P1425" s="64" t="n">
        <f aca="false">IF(AND($M1425&gt;0,ISNUMBER(MATCH($F1425,Lists!$A$2:$A$5,0)),ISNUMBER(MATCH($G1425,Lists!$B$2:$B$7,0)),OR($H1425="",$N1425&gt;0),OR($I1425="",$I1425="NR",$O1425&gt;0),IF(ISNUMBER($J1425),AND($J1425&gt;=0,$J1425=INT($J1425)),FALSE())),$J1425,0)</f>
        <v>0</v>
      </c>
      <c r="Q1425" s="64" t="n">
        <f aca="false">IF(AND($P1425&gt;0,$O1425&gt;0),$P1425,0)</f>
        <v>0</v>
      </c>
      <c r="R1425" s="64" t="n">
        <f aca="false">IF(AND($Q1425&gt;0,$O1425&gt;=AtRank),$Q1425,0)</f>
        <v>0</v>
      </c>
      <c r="S1425" s="64" t="n">
        <f aca="false">IF(AND($Q1425&gt;0,$O1425&gt;=AboveRank),$Q1425,0)</f>
        <v>0</v>
      </c>
      <c r="T1425" s="64" t="n">
        <f aca="false">IF($K1425="Less",$P1425,0)</f>
        <v>0</v>
      </c>
      <c r="U1425" s="64" t="n">
        <f aca="false">IF($K1425="Expected",$P1425,0)</f>
        <v>0</v>
      </c>
      <c r="V1425" s="64" t="n">
        <f aca="false">IF($K1425="Better",$P1425,0)</f>
        <v>0</v>
      </c>
      <c r="W1425" s="64" t="n">
        <f aca="false">IF($K1425="U – needs rule",$P1425,0)</f>
        <v>0</v>
      </c>
      <c r="X1425" s="64" t="n">
        <f aca="false">IF($K1425="No Start (attainment only)",$P1425,0)</f>
        <v>0</v>
      </c>
    </row>
    <row r="1426" customFormat="false" ht="15" hidden="false" customHeight="false" outlineLevel="0" collapsed="false">
      <c r="A1426" s="60"/>
      <c r="B1426" s="61" t="str">
        <f aca="false">IF($M1426=0,"",INDEX(Classes!$E$6:$E$420,$M1426))</f>
        <v/>
      </c>
      <c r="C1426" s="62" t="str">
        <f aca="false">IF($M1426=0,"",INDEX(Classes!$H$6:$H$420,$M1426))</f>
        <v/>
      </c>
      <c r="D1426" s="61" t="str">
        <f aca="false">IF($M1426=0,"",INDEX(Classes!$B$6:$B$420,$M1426))</f>
        <v/>
      </c>
      <c r="E1426" s="61" t="str">
        <f aca="false">IF($M1426=0,"",INDEX(Classes!$C$6:$C$420,$M1426))</f>
        <v/>
      </c>
      <c r="F1426" s="63"/>
      <c r="G1426" s="63"/>
      <c r="H1426" s="60"/>
      <c r="I1426" s="60"/>
      <c r="J1426" s="63"/>
      <c r="K1426" s="61" t="str">
        <f aca="false">IF($P1426=0,"",IF($F1426="Baseline","— Baseline",IF($O1426=0,"No result",IF($N1426=0,"No Start (attainment only)",IF(OR($N1426=1,$O1426=1),"U – needs rule",INDEX(MxBody,MATCH($I1426,MxCurr,0),MATCH($H1426,MxStart,0)))))))</f>
        <v/>
      </c>
      <c r="L1426" s="62" t="str">
        <f aca="false">IF(COUNTA($A1426,$F1426,$G1426,$H1426,$I1426,$J1426)=0,"",IF($M1426=0,"✖ كود الصف غير موجود",IF(ISNA(MATCH($F1426,Lists!$A$2:$A$5,0)),"✖ الفترة غير صحيحة",IF(ISNA(MATCH($G1426,Lists!$B$2:$B$7,0)),"✖ المجموعة غير صحيحة",IF(NOT(OR($H1426="",$N1426&gt;0)),"✖ Start غير صحيح",IF(NOT(OR($I1426="",$I1426="NR",$O1426&gt;0)),"✖ Current غير صحيح",IF(NOT(IF(ISNUMBER($J1426),AND($J1426&gt;=0,$J1426=INT($J1426)),FALSE())),"✖ العدد يجب أن يكون صحيحًا ≥ 0",IF(AND($F1426="Baseline",$H1426&lt;&gt;""),"⚠ Baseline: Start لا يدخل في التقدم",IF($K1426="No Start (attainment only)","ℹ تحصيل فقط (بدون Start)",IF($K1426="U – needs rule","ℹ حالة U تحتاج قاعدة معتمدة",IF($K1426="No result","ℹ بدون نتيجة (يُستبعد من التحصيل)","OK")))))))))))</f>
        <v/>
      </c>
      <c r="M1426" s="64" t="n">
        <f aca="false">IF($A1426="",0,IFERROR(MATCH($A1426,Classes!$A$6:$A$420,0),0))</f>
        <v>0</v>
      </c>
      <c r="N1426" s="64" t="n">
        <f aca="false">IF($H1426="",0,IFERROR(MATCH($H1426,GradeList,0),0))</f>
        <v>0</v>
      </c>
      <c r="O1426" s="64" t="n">
        <f aca="false">IF(OR($I1426="",$I1426="NR"),0,IFERROR(MATCH($I1426,GradeList,0),0))</f>
        <v>0</v>
      </c>
      <c r="P1426" s="64" t="n">
        <f aca="false">IF(AND($M1426&gt;0,ISNUMBER(MATCH($F1426,Lists!$A$2:$A$5,0)),ISNUMBER(MATCH($G1426,Lists!$B$2:$B$7,0)),OR($H1426="",$N1426&gt;0),OR($I1426="",$I1426="NR",$O1426&gt;0),IF(ISNUMBER($J1426),AND($J1426&gt;=0,$J1426=INT($J1426)),FALSE())),$J1426,0)</f>
        <v>0</v>
      </c>
      <c r="Q1426" s="64" t="n">
        <f aca="false">IF(AND($P1426&gt;0,$O1426&gt;0),$P1426,0)</f>
        <v>0</v>
      </c>
      <c r="R1426" s="64" t="n">
        <f aca="false">IF(AND($Q1426&gt;0,$O1426&gt;=AtRank),$Q1426,0)</f>
        <v>0</v>
      </c>
      <c r="S1426" s="64" t="n">
        <f aca="false">IF(AND($Q1426&gt;0,$O1426&gt;=AboveRank),$Q1426,0)</f>
        <v>0</v>
      </c>
      <c r="T1426" s="64" t="n">
        <f aca="false">IF($K1426="Less",$P1426,0)</f>
        <v>0</v>
      </c>
      <c r="U1426" s="64" t="n">
        <f aca="false">IF($K1426="Expected",$P1426,0)</f>
        <v>0</v>
      </c>
      <c r="V1426" s="64" t="n">
        <f aca="false">IF($K1426="Better",$P1426,0)</f>
        <v>0</v>
      </c>
      <c r="W1426" s="64" t="n">
        <f aca="false">IF($K1426="U – needs rule",$P1426,0)</f>
        <v>0</v>
      </c>
      <c r="X1426" s="64" t="n">
        <f aca="false">IF($K1426="No Start (attainment only)",$P1426,0)</f>
        <v>0</v>
      </c>
    </row>
    <row r="1427" customFormat="false" ht="15" hidden="false" customHeight="false" outlineLevel="0" collapsed="false">
      <c r="A1427" s="60"/>
      <c r="B1427" s="61" t="str">
        <f aca="false">IF($M1427=0,"",INDEX(Classes!$E$6:$E$420,$M1427))</f>
        <v/>
      </c>
      <c r="C1427" s="62" t="str">
        <f aca="false">IF($M1427=0,"",INDEX(Classes!$H$6:$H$420,$M1427))</f>
        <v/>
      </c>
      <c r="D1427" s="61" t="str">
        <f aca="false">IF($M1427=0,"",INDEX(Classes!$B$6:$B$420,$M1427))</f>
        <v/>
      </c>
      <c r="E1427" s="61" t="str">
        <f aca="false">IF($M1427=0,"",INDEX(Classes!$C$6:$C$420,$M1427))</f>
        <v/>
      </c>
      <c r="F1427" s="63"/>
      <c r="G1427" s="63"/>
      <c r="H1427" s="60"/>
      <c r="I1427" s="60"/>
      <c r="J1427" s="63"/>
      <c r="K1427" s="61" t="str">
        <f aca="false">IF($P1427=0,"",IF($F1427="Baseline","— Baseline",IF($O1427=0,"No result",IF($N1427=0,"No Start (attainment only)",IF(OR($N1427=1,$O1427=1),"U – needs rule",INDEX(MxBody,MATCH($I1427,MxCurr,0),MATCH($H1427,MxStart,0)))))))</f>
        <v/>
      </c>
      <c r="L1427" s="62" t="str">
        <f aca="false">IF(COUNTA($A1427,$F1427,$G1427,$H1427,$I1427,$J1427)=0,"",IF($M1427=0,"✖ كود الصف غير موجود",IF(ISNA(MATCH($F1427,Lists!$A$2:$A$5,0)),"✖ الفترة غير صحيحة",IF(ISNA(MATCH($G1427,Lists!$B$2:$B$7,0)),"✖ المجموعة غير صحيحة",IF(NOT(OR($H1427="",$N1427&gt;0)),"✖ Start غير صحيح",IF(NOT(OR($I1427="",$I1427="NR",$O1427&gt;0)),"✖ Current غير صحيح",IF(NOT(IF(ISNUMBER($J1427),AND($J1427&gt;=0,$J1427=INT($J1427)),FALSE())),"✖ العدد يجب أن يكون صحيحًا ≥ 0",IF(AND($F1427="Baseline",$H1427&lt;&gt;""),"⚠ Baseline: Start لا يدخل في التقدم",IF($K1427="No Start (attainment only)","ℹ تحصيل فقط (بدون Start)",IF($K1427="U – needs rule","ℹ حالة U تحتاج قاعدة معتمدة",IF($K1427="No result","ℹ بدون نتيجة (يُستبعد من التحصيل)","OK")))))))))))</f>
        <v/>
      </c>
      <c r="M1427" s="64" t="n">
        <f aca="false">IF($A1427="",0,IFERROR(MATCH($A1427,Classes!$A$6:$A$420,0),0))</f>
        <v>0</v>
      </c>
      <c r="N1427" s="64" t="n">
        <f aca="false">IF($H1427="",0,IFERROR(MATCH($H1427,GradeList,0),0))</f>
        <v>0</v>
      </c>
      <c r="O1427" s="64" t="n">
        <f aca="false">IF(OR($I1427="",$I1427="NR"),0,IFERROR(MATCH($I1427,GradeList,0),0))</f>
        <v>0</v>
      </c>
      <c r="P1427" s="64" t="n">
        <f aca="false">IF(AND($M1427&gt;0,ISNUMBER(MATCH($F1427,Lists!$A$2:$A$5,0)),ISNUMBER(MATCH($G1427,Lists!$B$2:$B$7,0)),OR($H1427="",$N1427&gt;0),OR($I1427="",$I1427="NR",$O1427&gt;0),IF(ISNUMBER($J1427),AND($J1427&gt;=0,$J1427=INT($J1427)),FALSE())),$J1427,0)</f>
        <v>0</v>
      </c>
      <c r="Q1427" s="64" t="n">
        <f aca="false">IF(AND($P1427&gt;0,$O1427&gt;0),$P1427,0)</f>
        <v>0</v>
      </c>
      <c r="R1427" s="64" t="n">
        <f aca="false">IF(AND($Q1427&gt;0,$O1427&gt;=AtRank),$Q1427,0)</f>
        <v>0</v>
      </c>
      <c r="S1427" s="64" t="n">
        <f aca="false">IF(AND($Q1427&gt;0,$O1427&gt;=AboveRank),$Q1427,0)</f>
        <v>0</v>
      </c>
      <c r="T1427" s="64" t="n">
        <f aca="false">IF($K1427="Less",$P1427,0)</f>
        <v>0</v>
      </c>
      <c r="U1427" s="64" t="n">
        <f aca="false">IF($K1427="Expected",$P1427,0)</f>
        <v>0</v>
      </c>
      <c r="V1427" s="64" t="n">
        <f aca="false">IF($K1427="Better",$P1427,0)</f>
        <v>0</v>
      </c>
      <c r="W1427" s="64" t="n">
        <f aca="false">IF($K1427="U – needs rule",$P1427,0)</f>
        <v>0</v>
      </c>
      <c r="X1427" s="64" t="n">
        <f aca="false">IF($K1427="No Start (attainment only)",$P1427,0)</f>
        <v>0</v>
      </c>
    </row>
    <row r="1428" customFormat="false" ht="15" hidden="false" customHeight="false" outlineLevel="0" collapsed="false">
      <c r="A1428" s="60"/>
      <c r="B1428" s="61" t="str">
        <f aca="false">IF($M1428=0,"",INDEX(Classes!$E$6:$E$420,$M1428))</f>
        <v/>
      </c>
      <c r="C1428" s="62" t="str">
        <f aca="false">IF($M1428=0,"",INDEX(Classes!$H$6:$H$420,$M1428))</f>
        <v/>
      </c>
      <c r="D1428" s="61" t="str">
        <f aca="false">IF($M1428=0,"",INDEX(Classes!$B$6:$B$420,$M1428))</f>
        <v/>
      </c>
      <c r="E1428" s="61" t="str">
        <f aca="false">IF($M1428=0,"",INDEX(Classes!$C$6:$C$420,$M1428))</f>
        <v/>
      </c>
      <c r="F1428" s="63"/>
      <c r="G1428" s="63"/>
      <c r="H1428" s="60"/>
      <c r="I1428" s="60"/>
      <c r="J1428" s="63"/>
      <c r="K1428" s="61" t="str">
        <f aca="false">IF($P1428=0,"",IF($F1428="Baseline","— Baseline",IF($O1428=0,"No result",IF($N1428=0,"No Start (attainment only)",IF(OR($N1428=1,$O1428=1),"U – needs rule",INDEX(MxBody,MATCH($I1428,MxCurr,0),MATCH($H1428,MxStart,0)))))))</f>
        <v/>
      </c>
      <c r="L1428" s="62" t="str">
        <f aca="false">IF(COUNTA($A1428,$F1428,$G1428,$H1428,$I1428,$J1428)=0,"",IF($M1428=0,"✖ كود الصف غير موجود",IF(ISNA(MATCH($F1428,Lists!$A$2:$A$5,0)),"✖ الفترة غير صحيحة",IF(ISNA(MATCH($G1428,Lists!$B$2:$B$7,0)),"✖ المجموعة غير صحيحة",IF(NOT(OR($H1428="",$N1428&gt;0)),"✖ Start غير صحيح",IF(NOT(OR($I1428="",$I1428="NR",$O1428&gt;0)),"✖ Current غير صحيح",IF(NOT(IF(ISNUMBER($J1428),AND($J1428&gt;=0,$J1428=INT($J1428)),FALSE())),"✖ العدد يجب أن يكون صحيحًا ≥ 0",IF(AND($F1428="Baseline",$H1428&lt;&gt;""),"⚠ Baseline: Start لا يدخل في التقدم",IF($K1428="No Start (attainment only)","ℹ تحصيل فقط (بدون Start)",IF($K1428="U – needs rule","ℹ حالة U تحتاج قاعدة معتمدة",IF($K1428="No result","ℹ بدون نتيجة (يُستبعد من التحصيل)","OK")))))))))))</f>
        <v/>
      </c>
      <c r="M1428" s="64" t="n">
        <f aca="false">IF($A1428="",0,IFERROR(MATCH($A1428,Classes!$A$6:$A$420,0),0))</f>
        <v>0</v>
      </c>
      <c r="N1428" s="64" t="n">
        <f aca="false">IF($H1428="",0,IFERROR(MATCH($H1428,GradeList,0),0))</f>
        <v>0</v>
      </c>
      <c r="O1428" s="64" t="n">
        <f aca="false">IF(OR($I1428="",$I1428="NR"),0,IFERROR(MATCH($I1428,GradeList,0),0))</f>
        <v>0</v>
      </c>
      <c r="P1428" s="64" t="n">
        <f aca="false">IF(AND($M1428&gt;0,ISNUMBER(MATCH($F1428,Lists!$A$2:$A$5,0)),ISNUMBER(MATCH($G1428,Lists!$B$2:$B$7,0)),OR($H1428="",$N1428&gt;0),OR($I1428="",$I1428="NR",$O1428&gt;0),IF(ISNUMBER($J1428),AND($J1428&gt;=0,$J1428=INT($J1428)),FALSE())),$J1428,0)</f>
        <v>0</v>
      </c>
      <c r="Q1428" s="64" t="n">
        <f aca="false">IF(AND($P1428&gt;0,$O1428&gt;0),$P1428,0)</f>
        <v>0</v>
      </c>
      <c r="R1428" s="64" t="n">
        <f aca="false">IF(AND($Q1428&gt;0,$O1428&gt;=AtRank),$Q1428,0)</f>
        <v>0</v>
      </c>
      <c r="S1428" s="64" t="n">
        <f aca="false">IF(AND($Q1428&gt;0,$O1428&gt;=AboveRank),$Q1428,0)</f>
        <v>0</v>
      </c>
      <c r="T1428" s="64" t="n">
        <f aca="false">IF($K1428="Less",$P1428,0)</f>
        <v>0</v>
      </c>
      <c r="U1428" s="64" t="n">
        <f aca="false">IF($K1428="Expected",$P1428,0)</f>
        <v>0</v>
      </c>
      <c r="V1428" s="64" t="n">
        <f aca="false">IF($K1428="Better",$P1428,0)</f>
        <v>0</v>
      </c>
      <c r="W1428" s="64" t="n">
        <f aca="false">IF($K1428="U – needs rule",$P1428,0)</f>
        <v>0</v>
      </c>
      <c r="X1428" s="64" t="n">
        <f aca="false">IF($K1428="No Start (attainment only)",$P1428,0)</f>
        <v>0</v>
      </c>
    </row>
    <row r="1429" customFormat="false" ht="15" hidden="false" customHeight="false" outlineLevel="0" collapsed="false">
      <c r="A1429" s="60"/>
      <c r="B1429" s="61" t="str">
        <f aca="false">IF($M1429=0,"",INDEX(Classes!$E$6:$E$420,$M1429))</f>
        <v/>
      </c>
      <c r="C1429" s="62" t="str">
        <f aca="false">IF($M1429=0,"",INDEX(Classes!$H$6:$H$420,$M1429))</f>
        <v/>
      </c>
      <c r="D1429" s="61" t="str">
        <f aca="false">IF($M1429=0,"",INDEX(Classes!$B$6:$B$420,$M1429))</f>
        <v/>
      </c>
      <c r="E1429" s="61" t="str">
        <f aca="false">IF($M1429=0,"",INDEX(Classes!$C$6:$C$420,$M1429))</f>
        <v/>
      </c>
      <c r="F1429" s="63"/>
      <c r="G1429" s="63"/>
      <c r="H1429" s="60"/>
      <c r="I1429" s="60"/>
      <c r="J1429" s="63"/>
      <c r="K1429" s="61" t="str">
        <f aca="false">IF($P1429=0,"",IF($F1429="Baseline","— Baseline",IF($O1429=0,"No result",IF($N1429=0,"No Start (attainment only)",IF(OR($N1429=1,$O1429=1),"U – needs rule",INDEX(MxBody,MATCH($I1429,MxCurr,0),MATCH($H1429,MxStart,0)))))))</f>
        <v/>
      </c>
      <c r="L1429" s="62" t="str">
        <f aca="false">IF(COUNTA($A1429,$F1429,$G1429,$H1429,$I1429,$J1429)=0,"",IF($M1429=0,"✖ كود الصف غير موجود",IF(ISNA(MATCH($F1429,Lists!$A$2:$A$5,0)),"✖ الفترة غير صحيحة",IF(ISNA(MATCH($G1429,Lists!$B$2:$B$7,0)),"✖ المجموعة غير صحيحة",IF(NOT(OR($H1429="",$N1429&gt;0)),"✖ Start غير صحيح",IF(NOT(OR($I1429="",$I1429="NR",$O1429&gt;0)),"✖ Current غير صحيح",IF(NOT(IF(ISNUMBER($J1429),AND($J1429&gt;=0,$J1429=INT($J1429)),FALSE())),"✖ العدد يجب أن يكون صحيحًا ≥ 0",IF(AND($F1429="Baseline",$H1429&lt;&gt;""),"⚠ Baseline: Start لا يدخل في التقدم",IF($K1429="No Start (attainment only)","ℹ تحصيل فقط (بدون Start)",IF($K1429="U – needs rule","ℹ حالة U تحتاج قاعدة معتمدة",IF($K1429="No result","ℹ بدون نتيجة (يُستبعد من التحصيل)","OK")))))))))))</f>
        <v/>
      </c>
      <c r="M1429" s="64" t="n">
        <f aca="false">IF($A1429="",0,IFERROR(MATCH($A1429,Classes!$A$6:$A$420,0),0))</f>
        <v>0</v>
      </c>
      <c r="N1429" s="64" t="n">
        <f aca="false">IF($H1429="",0,IFERROR(MATCH($H1429,GradeList,0),0))</f>
        <v>0</v>
      </c>
      <c r="O1429" s="64" t="n">
        <f aca="false">IF(OR($I1429="",$I1429="NR"),0,IFERROR(MATCH($I1429,GradeList,0),0))</f>
        <v>0</v>
      </c>
      <c r="P1429" s="64" t="n">
        <f aca="false">IF(AND($M1429&gt;0,ISNUMBER(MATCH($F1429,Lists!$A$2:$A$5,0)),ISNUMBER(MATCH($G1429,Lists!$B$2:$B$7,0)),OR($H1429="",$N1429&gt;0),OR($I1429="",$I1429="NR",$O1429&gt;0),IF(ISNUMBER($J1429),AND($J1429&gt;=0,$J1429=INT($J1429)),FALSE())),$J1429,0)</f>
        <v>0</v>
      </c>
      <c r="Q1429" s="64" t="n">
        <f aca="false">IF(AND($P1429&gt;0,$O1429&gt;0),$P1429,0)</f>
        <v>0</v>
      </c>
      <c r="R1429" s="64" t="n">
        <f aca="false">IF(AND($Q1429&gt;0,$O1429&gt;=AtRank),$Q1429,0)</f>
        <v>0</v>
      </c>
      <c r="S1429" s="64" t="n">
        <f aca="false">IF(AND($Q1429&gt;0,$O1429&gt;=AboveRank),$Q1429,0)</f>
        <v>0</v>
      </c>
      <c r="T1429" s="64" t="n">
        <f aca="false">IF($K1429="Less",$P1429,0)</f>
        <v>0</v>
      </c>
      <c r="U1429" s="64" t="n">
        <f aca="false">IF($K1429="Expected",$P1429,0)</f>
        <v>0</v>
      </c>
      <c r="V1429" s="64" t="n">
        <f aca="false">IF($K1429="Better",$P1429,0)</f>
        <v>0</v>
      </c>
      <c r="W1429" s="64" t="n">
        <f aca="false">IF($K1429="U – needs rule",$P1429,0)</f>
        <v>0</v>
      </c>
      <c r="X1429" s="64" t="n">
        <f aca="false">IF($K1429="No Start (attainment only)",$P1429,0)</f>
        <v>0</v>
      </c>
    </row>
    <row r="1430" customFormat="false" ht="15" hidden="false" customHeight="false" outlineLevel="0" collapsed="false">
      <c r="A1430" s="60"/>
      <c r="B1430" s="61" t="str">
        <f aca="false">IF($M1430=0,"",INDEX(Classes!$E$6:$E$420,$M1430))</f>
        <v/>
      </c>
      <c r="C1430" s="62" t="str">
        <f aca="false">IF($M1430=0,"",INDEX(Classes!$H$6:$H$420,$M1430))</f>
        <v/>
      </c>
      <c r="D1430" s="61" t="str">
        <f aca="false">IF($M1430=0,"",INDEX(Classes!$B$6:$B$420,$M1430))</f>
        <v/>
      </c>
      <c r="E1430" s="61" t="str">
        <f aca="false">IF($M1430=0,"",INDEX(Classes!$C$6:$C$420,$M1430))</f>
        <v/>
      </c>
      <c r="F1430" s="63"/>
      <c r="G1430" s="63"/>
      <c r="H1430" s="60"/>
      <c r="I1430" s="60"/>
      <c r="J1430" s="63"/>
      <c r="K1430" s="61" t="str">
        <f aca="false">IF($P1430=0,"",IF($F1430="Baseline","— Baseline",IF($O1430=0,"No result",IF($N1430=0,"No Start (attainment only)",IF(OR($N1430=1,$O1430=1),"U – needs rule",INDEX(MxBody,MATCH($I1430,MxCurr,0),MATCH($H1430,MxStart,0)))))))</f>
        <v/>
      </c>
      <c r="L1430" s="62" t="str">
        <f aca="false">IF(COUNTA($A1430,$F1430,$G1430,$H1430,$I1430,$J1430)=0,"",IF($M1430=0,"✖ كود الصف غير موجود",IF(ISNA(MATCH($F1430,Lists!$A$2:$A$5,0)),"✖ الفترة غير صحيحة",IF(ISNA(MATCH($G1430,Lists!$B$2:$B$7,0)),"✖ المجموعة غير صحيحة",IF(NOT(OR($H1430="",$N1430&gt;0)),"✖ Start غير صحيح",IF(NOT(OR($I1430="",$I1430="NR",$O1430&gt;0)),"✖ Current غير صحيح",IF(NOT(IF(ISNUMBER($J1430),AND($J1430&gt;=0,$J1430=INT($J1430)),FALSE())),"✖ العدد يجب أن يكون صحيحًا ≥ 0",IF(AND($F1430="Baseline",$H1430&lt;&gt;""),"⚠ Baseline: Start لا يدخل في التقدم",IF($K1430="No Start (attainment only)","ℹ تحصيل فقط (بدون Start)",IF($K1430="U – needs rule","ℹ حالة U تحتاج قاعدة معتمدة",IF($K1430="No result","ℹ بدون نتيجة (يُستبعد من التحصيل)","OK")))))))))))</f>
        <v/>
      </c>
      <c r="M1430" s="64" t="n">
        <f aca="false">IF($A1430="",0,IFERROR(MATCH($A1430,Classes!$A$6:$A$420,0),0))</f>
        <v>0</v>
      </c>
      <c r="N1430" s="64" t="n">
        <f aca="false">IF($H1430="",0,IFERROR(MATCH($H1430,GradeList,0),0))</f>
        <v>0</v>
      </c>
      <c r="O1430" s="64" t="n">
        <f aca="false">IF(OR($I1430="",$I1430="NR"),0,IFERROR(MATCH($I1430,GradeList,0),0))</f>
        <v>0</v>
      </c>
      <c r="P1430" s="64" t="n">
        <f aca="false">IF(AND($M1430&gt;0,ISNUMBER(MATCH($F1430,Lists!$A$2:$A$5,0)),ISNUMBER(MATCH($G1430,Lists!$B$2:$B$7,0)),OR($H1430="",$N1430&gt;0),OR($I1430="",$I1430="NR",$O1430&gt;0),IF(ISNUMBER($J1430),AND($J1430&gt;=0,$J1430=INT($J1430)),FALSE())),$J1430,0)</f>
        <v>0</v>
      </c>
      <c r="Q1430" s="64" t="n">
        <f aca="false">IF(AND($P1430&gt;0,$O1430&gt;0),$P1430,0)</f>
        <v>0</v>
      </c>
      <c r="R1430" s="64" t="n">
        <f aca="false">IF(AND($Q1430&gt;0,$O1430&gt;=AtRank),$Q1430,0)</f>
        <v>0</v>
      </c>
      <c r="S1430" s="64" t="n">
        <f aca="false">IF(AND($Q1430&gt;0,$O1430&gt;=AboveRank),$Q1430,0)</f>
        <v>0</v>
      </c>
      <c r="T1430" s="64" t="n">
        <f aca="false">IF($K1430="Less",$P1430,0)</f>
        <v>0</v>
      </c>
      <c r="U1430" s="64" t="n">
        <f aca="false">IF($K1430="Expected",$P1430,0)</f>
        <v>0</v>
      </c>
      <c r="V1430" s="64" t="n">
        <f aca="false">IF($K1430="Better",$P1430,0)</f>
        <v>0</v>
      </c>
      <c r="W1430" s="64" t="n">
        <f aca="false">IF($K1430="U – needs rule",$P1430,0)</f>
        <v>0</v>
      </c>
      <c r="X1430" s="64" t="n">
        <f aca="false">IF($K1430="No Start (attainment only)",$P1430,0)</f>
        <v>0</v>
      </c>
    </row>
    <row r="1431" customFormat="false" ht="15" hidden="false" customHeight="false" outlineLevel="0" collapsed="false">
      <c r="A1431" s="60"/>
      <c r="B1431" s="61" t="str">
        <f aca="false">IF($M1431=0,"",INDEX(Classes!$E$6:$E$420,$M1431))</f>
        <v/>
      </c>
      <c r="C1431" s="62" t="str">
        <f aca="false">IF($M1431=0,"",INDEX(Classes!$H$6:$H$420,$M1431))</f>
        <v/>
      </c>
      <c r="D1431" s="61" t="str">
        <f aca="false">IF($M1431=0,"",INDEX(Classes!$B$6:$B$420,$M1431))</f>
        <v/>
      </c>
      <c r="E1431" s="61" t="str">
        <f aca="false">IF($M1431=0,"",INDEX(Classes!$C$6:$C$420,$M1431))</f>
        <v/>
      </c>
      <c r="F1431" s="63"/>
      <c r="G1431" s="63"/>
      <c r="H1431" s="60"/>
      <c r="I1431" s="60"/>
      <c r="J1431" s="63"/>
      <c r="K1431" s="61" t="str">
        <f aca="false">IF($P1431=0,"",IF($F1431="Baseline","— Baseline",IF($O1431=0,"No result",IF($N1431=0,"No Start (attainment only)",IF(OR($N1431=1,$O1431=1),"U – needs rule",INDEX(MxBody,MATCH($I1431,MxCurr,0),MATCH($H1431,MxStart,0)))))))</f>
        <v/>
      </c>
      <c r="L1431" s="62" t="str">
        <f aca="false">IF(COUNTA($A1431,$F1431,$G1431,$H1431,$I1431,$J1431)=0,"",IF($M1431=0,"✖ كود الصف غير موجود",IF(ISNA(MATCH($F1431,Lists!$A$2:$A$5,0)),"✖ الفترة غير صحيحة",IF(ISNA(MATCH($G1431,Lists!$B$2:$B$7,0)),"✖ المجموعة غير صحيحة",IF(NOT(OR($H1431="",$N1431&gt;0)),"✖ Start غير صحيح",IF(NOT(OR($I1431="",$I1431="NR",$O1431&gt;0)),"✖ Current غير صحيح",IF(NOT(IF(ISNUMBER($J1431),AND($J1431&gt;=0,$J1431=INT($J1431)),FALSE())),"✖ العدد يجب أن يكون صحيحًا ≥ 0",IF(AND($F1431="Baseline",$H1431&lt;&gt;""),"⚠ Baseline: Start لا يدخل في التقدم",IF($K1431="No Start (attainment only)","ℹ تحصيل فقط (بدون Start)",IF($K1431="U – needs rule","ℹ حالة U تحتاج قاعدة معتمدة",IF($K1431="No result","ℹ بدون نتيجة (يُستبعد من التحصيل)","OK")))))))))))</f>
        <v/>
      </c>
      <c r="M1431" s="64" t="n">
        <f aca="false">IF($A1431="",0,IFERROR(MATCH($A1431,Classes!$A$6:$A$420,0),0))</f>
        <v>0</v>
      </c>
      <c r="N1431" s="64" t="n">
        <f aca="false">IF($H1431="",0,IFERROR(MATCH($H1431,GradeList,0),0))</f>
        <v>0</v>
      </c>
      <c r="O1431" s="64" t="n">
        <f aca="false">IF(OR($I1431="",$I1431="NR"),0,IFERROR(MATCH($I1431,GradeList,0),0))</f>
        <v>0</v>
      </c>
      <c r="P1431" s="64" t="n">
        <f aca="false">IF(AND($M1431&gt;0,ISNUMBER(MATCH($F1431,Lists!$A$2:$A$5,0)),ISNUMBER(MATCH($G1431,Lists!$B$2:$B$7,0)),OR($H1431="",$N1431&gt;0),OR($I1431="",$I1431="NR",$O1431&gt;0),IF(ISNUMBER($J1431),AND($J1431&gt;=0,$J1431=INT($J1431)),FALSE())),$J1431,0)</f>
        <v>0</v>
      </c>
      <c r="Q1431" s="64" t="n">
        <f aca="false">IF(AND($P1431&gt;0,$O1431&gt;0),$P1431,0)</f>
        <v>0</v>
      </c>
      <c r="R1431" s="64" t="n">
        <f aca="false">IF(AND($Q1431&gt;0,$O1431&gt;=AtRank),$Q1431,0)</f>
        <v>0</v>
      </c>
      <c r="S1431" s="64" t="n">
        <f aca="false">IF(AND($Q1431&gt;0,$O1431&gt;=AboveRank),$Q1431,0)</f>
        <v>0</v>
      </c>
      <c r="T1431" s="64" t="n">
        <f aca="false">IF($K1431="Less",$P1431,0)</f>
        <v>0</v>
      </c>
      <c r="U1431" s="64" t="n">
        <f aca="false">IF($K1431="Expected",$P1431,0)</f>
        <v>0</v>
      </c>
      <c r="V1431" s="64" t="n">
        <f aca="false">IF($K1431="Better",$P1431,0)</f>
        <v>0</v>
      </c>
      <c r="W1431" s="64" t="n">
        <f aca="false">IF($K1431="U – needs rule",$P1431,0)</f>
        <v>0</v>
      </c>
      <c r="X1431" s="64" t="n">
        <f aca="false">IF($K1431="No Start (attainment only)",$P1431,0)</f>
        <v>0</v>
      </c>
    </row>
    <row r="1432" customFormat="false" ht="15" hidden="false" customHeight="false" outlineLevel="0" collapsed="false">
      <c r="A1432" s="60"/>
      <c r="B1432" s="61" t="str">
        <f aca="false">IF($M1432=0,"",INDEX(Classes!$E$6:$E$420,$M1432))</f>
        <v/>
      </c>
      <c r="C1432" s="62" t="str">
        <f aca="false">IF($M1432=0,"",INDEX(Classes!$H$6:$H$420,$M1432))</f>
        <v/>
      </c>
      <c r="D1432" s="61" t="str">
        <f aca="false">IF($M1432=0,"",INDEX(Classes!$B$6:$B$420,$M1432))</f>
        <v/>
      </c>
      <c r="E1432" s="61" t="str">
        <f aca="false">IF($M1432=0,"",INDEX(Classes!$C$6:$C$420,$M1432))</f>
        <v/>
      </c>
      <c r="F1432" s="63"/>
      <c r="G1432" s="63"/>
      <c r="H1432" s="60"/>
      <c r="I1432" s="60"/>
      <c r="J1432" s="63"/>
      <c r="K1432" s="61" t="str">
        <f aca="false">IF($P1432=0,"",IF($F1432="Baseline","— Baseline",IF($O1432=0,"No result",IF($N1432=0,"No Start (attainment only)",IF(OR($N1432=1,$O1432=1),"U – needs rule",INDEX(MxBody,MATCH($I1432,MxCurr,0),MATCH($H1432,MxStart,0)))))))</f>
        <v/>
      </c>
      <c r="L1432" s="62" t="str">
        <f aca="false">IF(COUNTA($A1432,$F1432,$G1432,$H1432,$I1432,$J1432)=0,"",IF($M1432=0,"✖ كود الصف غير موجود",IF(ISNA(MATCH($F1432,Lists!$A$2:$A$5,0)),"✖ الفترة غير صحيحة",IF(ISNA(MATCH($G1432,Lists!$B$2:$B$7,0)),"✖ المجموعة غير صحيحة",IF(NOT(OR($H1432="",$N1432&gt;0)),"✖ Start غير صحيح",IF(NOT(OR($I1432="",$I1432="NR",$O1432&gt;0)),"✖ Current غير صحيح",IF(NOT(IF(ISNUMBER($J1432),AND($J1432&gt;=0,$J1432=INT($J1432)),FALSE())),"✖ العدد يجب أن يكون صحيحًا ≥ 0",IF(AND($F1432="Baseline",$H1432&lt;&gt;""),"⚠ Baseline: Start لا يدخل في التقدم",IF($K1432="No Start (attainment only)","ℹ تحصيل فقط (بدون Start)",IF($K1432="U – needs rule","ℹ حالة U تحتاج قاعدة معتمدة",IF($K1432="No result","ℹ بدون نتيجة (يُستبعد من التحصيل)","OK")))))))))))</f>
        <v/>
      </c>
      <c r="M1432" s="64" t="n">
        <f aca="false">IF($A1432="",0,IFERROR(MATCH($A1432,Classes!$A$6:$A$420,0),0))</f>
        <v>0</v>
      </c>
      <c r="N1432" s="64" t="n">
        <f aca="false">IF($H1432="",0,IFERROR(MATCH($H1432,GradeList,0),0))</f>
        <v>0</v>
      </c>
      <c r="O1432" s="64" t="n">
        <f aca="false">IF(OR($I1432="",$I1432="NR"),0,IFERROR(MATCH($I1432,GradeList,0),0))</f>
        <v>0</v>
      </c>
      <c r="P1432" s="64" t="n">
        <f aca="false">IF(AND($M1432&gt;0,ISNUMBER(MATCH($F1432,Lists!$A$2:$A$5,0)),ISNUMBER(MATCH($G1432,Lists!$B$2:$B$7,0)),OR($H1432="",$N1432&gt;0),OR($I1432="",$I1432="NR",$O1432&gt;0),IF(ISNUMBER($J1432),AND($J1432&gt;=0,$J1432=INT($J1432)),FALSE())),$J1432,0)</f>
        <v>0</v>
      </c>
      <c r="Q1432" s="64" t="n">
        <f aca="false">IF(AND($P1432&gt;0,$O1432&gt;0),$P1432,0)</f>
        <v>0</v>
      </c>
      <c r="R1432" s="64" t="n">
        <f aca="false">IF(AND($Q1432&gt;0,$O1432&gt;=AtRank),$Q1432,0)</f>
        <v>0</v>
      </c>
      <c r="S1432" s="64" t="n">
        <f aca="false">IF(AND($Q1432&gt;0,$O1432&gt;=AboveRank),$Q1432,0)</f>
        <v>0</v>
      </c>
      <c r="T1432" s="64" t="n">
        <f aca="false">IF($K1432="Less",$P1432,0)</f>
        <v>0</v>
      </c>
      <c r="U1432" s="64" t="n">
        <f aca="false">IF($K1432="Expected",$P1432,0)</f>
        <v>0</v>
      </c>
      <c r="V1432" s="64" t="n">
        <f aca="false">IF($K1432="Better",$P1432,0)</f>
        <v>0</v>
      </c>
      <c r="W1432" s="64" t="n">
        <f aca="false">IF($K1432="U – needs rule",$P1432,0)</f>
        <v>0</v>
      </c>
      <c r="X1432" s="64" t="n">
        <f aca="false">IF($K1432="No Start (attainment only)",$P1432,0)</f>
        <v>0</v>
      </c>
    </row>
    <row r="1433" customFormat="false" ht="15" hidden="false" customHeight="false" outlineLevel="0" collapsed="false">
      <c r="A1433" s="60"/>
      <c r="B1433" s="61" t="str">
        <f aca="false">IF($M1433=0,"",INDEX(Classes!$E$6:$E$420,$M1433))</f>
        <v/>
      </c>
      <c r="C1433" s="62" t="str">
        <f aca="false">IF($M1433=0,"",INDEX(Classes!$H$6:$H$420,$M1433))</f>
        <v/>
      </c>
      <c r="D1433" s="61" t="str">
        <f aca="false">IF($M1433=0,"",INDEX(Classes!$B$6:$B$420,$M1433))</f>
        <v/>
      </c>
      <c r="E1433" s="61" t="str">
        <f aca="false">IF($M1433=0,"",INDEX(Classes!$C$6:$C$420,$M1433))</f>
        <v/>
      </c>
      <c r="F1433" s="63"/>
      <c r="G1433" s="63"/>
      <c r="H1433" s="60"/>
      <c r="I1433" s="60"/>
      <c r="J1433" s="63"/>
      <c r="K1433" s="61" t="str">
        <f aca="false">IF($P1433=0,"",IF($F1433="Baseline","— Baseline",IF($O1433=0,"No result",IF($N1433=0,"No Start (attainment only)",IF(OR($N1433=1,$O1433=1),"U – needs rule",INDEX(MxBody,MATCH($I1433,MxCurr,0),MATCH($H1433,MxStart,0)))))))</f>
        <v/>
      </c>
      <c r="L1433" s="62" t="str">
        <f aca="false">IF(COUNTA($A1433,$F1433,$G1433,$H1433,$I1433,$J1433)=0,"",IF($M1433=0,"✖ كود الصف غير موجود",IF(ISNA(MATCH($F1433,Lists!$A$2:$A$5,0)),"✖ الفترة غير صحيحة",IF(ISNA(MATCH($G1433,Lists!$B$2:$B$7,0)),"✖ المجموعة غير صحيحة",IF(NOT(OR($H1433="",$N1433&gt;0)),"✖ Start غير صحيح",IF(NOT(OR($I1433="",$I1433="NR",$O1433&gt;0)),"✖ Current غير صحيح",IF(NOT(IF(ISNUMBER($J1433),AND($J1433&gt;=0,$J1433=INT($J1433)),FALSE())),"✖ العدد يجب أن يكون صحيحًا ≥ 0",IF(AND($F1433="Baseline",$H1433&lt;&gt;""),"⚠ Baseline: Start لا يدخل في التقدم",IF($K1433="No Start (attainment only)","ℹ تحصيل فقط (بدون Start)",IF($K1433="U – needs rule","ℹ حالة U تحتاج قاعدة معتمدة",IF($K1433="No result","ℹ بدون نتيجة (يُستبعد من التحصيل)","OK")))))))))))</f>
        <v/>
      </c>
      <c r="M1433" s="64" t="n">
        <f aca="false">IF($A1433="",0,IFERROR(MATCH($A1433,Classes!$A$6:$A$420,0),0))</f>
        <v>0</v>
      </c>
      <c r="N1433" s="64" t="n">
        <f aca="false">IF($H1433="",0,IFERROR(MATCH($H1433,GradeList,0),0))</f>
        <v>0</v>
      </c>
      <c r="O1433" s="64" t="n">
        <f aca="false">IF(OR($I1433="",$I1433="NR"),0,IFERROR(MATCH($I1433,GradeList,0),0))</f>
        <v>0</v>
      </c>
      <c r="P1433" s="64" t="n">
        <f aca="false">IF(AND($M1433&gt;0,ISNUMBER(MATCH($F1433,Lists!$A$2:$A$5,0)),ISNUMBER(MATCH($G1433,Lists!$B$2:$B$7,0)),OR($H1433="",$N1433&gt;0),OR($I1433="",$I1433="NR",$O1433&gt;0),IF(ISNUMBER($J1433),AND($J1433&gt;=0,$J1433=INT($J1433)),FALSE())),$J1433,0)</f>
        <v>0</v>
      </c>
      <c r="Q1433" s="64" t="n">
        <f aca="false">IF(AND($P1433&gt;0,$O1433&gt;0),$P1433,0)</f>
        <v>0</v>
      </c>
      <c r="R1433" s="64" t="n">
        <f aca="false">IF(AND($Q1433&gt;0,$O1433&gt;=AtRank),$Q1433,0)</f>
        <v>0</v>
      </c>
      <c r="S1433" s="64" t="n">
        <f aca="false">IF(AND($Q1433&gt;0,$O1433&gt;=AboveRank),$Q1433,0)</f>
        <v>0</v>
      </c>
      <c r="T1433" s="64" t="n">
        <f aca="false">IF($K1433="Less",$P1433,0)</f>
        <v>0</v>
      </c>
      <c r="U1433" s="64" t="n">
        <f aca="false">IF($K1433="Expected",$P1433,0)</f>
        <v>0</v>
      </c>
      <c r="V1433" s="64" t="n">
        <f aca="false">IF($K1433="Better",$P1433,0)</f>
        <v>0</v>
      </c>
      <c r="W1433" s="64" t="n">
        <f aca="false">IF($K1433="U – needs rule",$P1433,0)</f>
        <v>0</v>
      </c>
      <c r="X1433" s="64" t="n">
        <f aca="false">IF($K1433="No Start (attainment only)",$P1433,0)</f>
        <v>0</v>
      </c>
    </row>
    <row r="1434" customFormat="false" ht="15" hidden="false" customHeight="false" outlineLevel="0" collapsed="false">
      <c r="A1434" s="60"/>
      <c r="B1434" s="61" t="str">
        <f aca="false">IF($M1434=0,"",INDEX(Classes!$E$6:$E$420,$M1434))</f>
        <v/>
      </c>
      <c r="C1434" s="62" t="str">
        <f aca="false">IF($M1434=0,"",INDEX(Classes!$H$6:$H$420,$M1434))</f>
        <v/>
      </c>
      <c r="D1434" s="61" t="str">
        <f aca="false">IF($M1434=0,"",INDEX(Classes!$B$6:$B$420,$M1434))</f>
        <v/>
      </c>
      <c r="E1434" s="61" t="str">
        <f aca="false">IF($M1434=0,"",INDEX(Classes!$C$6:$C$420,$M1434))</f>
        <v/>
      </c>
      <c r="F1434" s="63"/>
      <c r="G1434" s="63"/>
      <c r="H1434" s="60"/>
      <c r="I1434" s="60"/>
      <c r="J1434" s="63"/>
      <c r="K1434" s="61" t="str">
        <f aca="false">IF($P1434=0,"",IF($F1434="Baseline","— Baseline",IF($O1434=0,"No result",IF($N1434=0,"No Start (attainment only)",IF(OR($N1434=1,$O1434=1),"U – needs rule",INDEX(MxBody,MATCH($I1434,MxCurr,0),MATCH($H1434,MxStart,0)))))))</f>
        <v/>
      </c>
      <c r="L1434" s="62" t="str">
        <f aca="false">IF(COUNTA($A1434,$F1434,$G1434,$H1434,$I1434,$J1434)=0,"",IF($M1434=0,"✖ كود الصف غير موجود",IF(ISNA(MATCH($F1434,Lists!$A$2:$A$5,0)),"✖ الفترة غير صحيحة",IF(ISNA(MATCH($G1434,Lists!$B$2:$B$7,0)),"✖ المجموعة غير صحيحة",IF(NOT(OR($H1434="",$N1434&gt;0)),"✖ Start غير صحيح",IF(NOT(OR($I1434="",$I1434="NR",$O1434&gt;0)),"✖ Current غير صحيح",IF(NOT(IF(ISNUMBER($J1434),AND($J1434&gt;=0,$J1434=INT($J1434)),FALSE())),"✖ العدد يجب أن يكون صحيحًا ≥ 0",IF(AND($F1434="Baseline",$H1434&lt;&gt;""),"⚠ Baseline: Start لا يدخل في التقدم",IF($K1434="No Start (attainment only)","ℹ تحصيل فقط (بدون Start)",IF($K1434="U – needs rule","ℹ حالة U تحتاج قاعدة معتمدة",IF($K1434="No result","ℹ بدون نتيجة (يُستبعد من التحصيل)","OK")))))))))))</f>
        <v/>
      </c>
      <c r="M1434" s="64" t="n">
        <f aca="false">IF($A1434="",0,IFERROR(MATCH($A1434,Classes!$A$6:$A$420,0),0))</f>
        <v>0</v>
      </c>
      <c r="N1434" s="64" t="n">
        <f aca="false">IF($H1434="",0,IFERROR(MATCH($H1434,GradeList,0),0))</f>
        <v>0</v>
      </c>
      <c r="O1434" s="64" t="n">
        <f aca="false">IF(OR($I1434="",$I1434="NR"),0,IFERROR(MATCH($I1434,GradeList,0),0))</f>
        <v>0</v>
      </c>
      <c r="P1434" s="64" t="n">
        <f aca="false">IF(AND($M1434&gt;0,ISNUMBER(MATCH($F1434,Lists!$A$2:$A$5,0)),ISNUMBER(MATCH($G1434,Lists!$B$2:$B$7,0)),OR($H1434="",$N1434&gt;0),OR($I1434="",$I1434="NR",$O1434&gt;0),IF(ISNUMBER($J1434),AND($J1434&gt;=0,$J1434=INT($J1434)),FALSE())),$J1434,0)</f>
        <v>0</v>
      </c>
      <c r="Q1434" s="64" t="n">
        <f aca="false">IF(AND($P1434&gt;0,$O1434&gt;0),$P1434,0)</f>
        <v>0</v>
      </c>
      <c r="R1434" s="64" t="n">
        <f aca="false">IF(AND($Q1434&gt;0,$O1434&gt;=AtRank),$Q1434,0)</f>
        <v>0</v>
      </c>
      <c r="S1434" s="64" t="n">
        <f aca="false">IF(AND($Q1434&gt;0,$O1434&gt;=AboveRank),$Q1434,0)</f>
        <v>0</v>
      </c>
      <c r="T1434" s="64" t="n">
        <f aca="false">IF($K1434="Less",$P1434,0)</f>
        <v>0</v>
      </c>
      <c r="U1434" s="64" t="n">
        <f aca="false">IF($K1434="Expected",$P1434,0)</f>
        <v>0</v>
      </c>
      <c r="V1434" s="64" t="n">
        <f aca="false">IF($K1434="Better",$P1434,0)</f>
        <v>0</v>
      </c>
      <c r="W1434" s="64" t="n">
        <f aca="false">IF($K1434="U – needs rule",$P1434,0)</f>
        <v>0</v>
      </c>
      <c r="X1434" s="64" t="n">
        <f aca="false">IF($K1434="No Start (attainment only)",$P1434,0)</f>
        <v>0</v>
      </c>
    </row>
    <row r="1435" customFormat="false" ht="15" hidden="false" customHeight="false" outlineLevel="0" collapsed="false">
      <c r="A1435" s="60"/>
      <c r="B1435" s="61" t="str">
        <f aca="false">IF($M1435=0,"",INDEX(Classes!$E$6:$E$420,$M1435))</f>
        <v/>
      </c>
      <c r="C1435" s="62" t="str">
        <f aca="false">IF($M1435=0,"",INDEX(Classes!$H$6:$H$420,$M1435))</f>
        <v/>
      </c>
      <c r="D1435" s="61" t="str">
        <f aca="false">IF($M1435=0,"",INDEX(Classes!$B$6:$B$420,$M1435))</f>
        <v/>
      </c>
      <c r="E1435" s="61" t="str">
        <f aca="false">IF($M1435=0,"",INDEX(Classes!$C$6:$C$420,$M1435))</f>
        <v/>
      </c>
      <c r="F1435" s="63"/>
      <c r="G1435" s="63"/>
      <c r="H1435" s="60"/>
      <c r="I1435" s="60"/>
      <c r="J1435" s="63"/>
      <c r="K1435" s="61" t="str">
        <f aca="false">IF($P1435=0,"",IF($F1435="Baseline","— Baseline",IF($O1435=0,"No result",IF($N1435=0,"No Start (attainment only)",IF(OR($N1435=1,$O1435=1),"U – needs rule",INDEX(MxBody,MATCH($I1435,MxCurr,0),MATCH($H1435,MxStart,0)))))))</f>
        <v/>
      </c>
      <c r="L1435" s="62" t="str">
        <f aca="false">IF(COUNTA($A1435,$F1435,$G1435,$H1435,$I1435,$J1435)=0,"",IF($M1435=0,"✖ كود الصف غير موجود",IF(ISNA(MATCH($F1435,Lists!$A$2:$A$5,0)),"✖ الفترة غير صحيحة",IF(ISNA(MATCH($G1435,Lists!$B$2:$B$7,0)),"✖ المجموعة غير صحيحة",IF(NOT(OR($H1435="",$N1435&gt;0)),"✖ Start غير صحيح",IF(NOT(OR($I1435="",$I1435="NR",$O1435&gt;0)),"✖ Current غير صحيح",IF(NOT(IF(ISNUMBER($J1435),AND($J1435&gt;=0,$J1435=INT($J1435)),FALSE())),"✖ العدد يجب أن يكون صحيحًا ≥ 0",IF(AND($F1435="Baseline",$H1435&lt;&gt;""),"⚠ Baseline: Start لا يدخل في التقدم",IF($K1435="No Start (attainment only)","ℹ تحصيل فقط (بدون Start)",IF($K1435="U – needs rule","ℹ حالة U تحتاج قاعدة معتمدة",IF($K1435="No result","ℹ بدون نتيجة (يُستبعد من التحصيل)","OK")))))))))))</f>
        <v/>
      </c>
      <c r="M1435" s="64" t="n">
        <f aca="false">IF($A1435="",0,IFERROR(MATCH($A1435,Classes!$A$6:$A$420,0),0))</f>
        <v>0</v>
      </c>
      <c r="N1435" s="64" t="n">
        <f aca="false">IF($H1435="",0,IFERROR(MATCH($H1435,GradeList,0),0))</f>
        <v>0</v>
      </c>
      <c r="O1435" s="64" t="n">
        <f aca="false">IF(OR($I1435="",$I1435="NR"),0,IFERROR(MATCH($I1435,GradeList,0),0))</f>
        <v>0</v>
      </c>
      <c r="P1435" s="64" t="n">
        <f aca="false">IF(AND($M1435&gt;0,ISNUMBER(MATCH($F1435,Lists!$A$2:$A$5,0)),ISNUMBER(MATCH($G1435,Lists!$B$2:$B$7,0)),OR($H1435="",$N1435&gt;0),OR($I1435="",$I1435="NR",$O1435&gt;0),IF(ISNUMBER($J1435),AND($J1435&gt;=0,$J1435=INT($J1435)),FALSE())),$J1435,0)</f>
        <v>0</v>
      </c>
      <c r="Q1435" s="64" t="n">
        <f aca="false">IF(AND($P1435&gt;0,$O1435&gt;0),$P1435,0)</f>
        <v>0</v>
      </c>
      <c r="R1435" s="64" t="n">
        <f aca="false">IF(AND($Q1435&gt;0,$O1435&gt;=AtRank),$Q1435,0)</f>
        <v>0</v>
      </c>
      <c r="S1435" s="64" t="n">
        <f aca="false">IF(AND($Q1435&gt;0,$O1435&gt;=AboveRank),$Q1435,0)</f>
        <v>0</v>
      </c>
      <c r="T1435" s="64" t="n">
        <f aca="false">IF($K1435="Less",$P1435,0)</f>
        <v>0</v>
      </c>
      <c r="U1435" s="64" t="n">
        <f aca="false">IF($K1435="Expected",$P1435,0)</f>
        <v>0</v>
      </c>
      <c r="V1435" s="64" t="n">
        <f aca="false">IF($K1435="Better",$P1435,0)</f>
        <v>0</v>
      </c>
      <c r="W1435" s="64" t="n">
        <f aca="false">IF($K1435="U – needs rule",$P1435,0)</f>
        <v>0</v>
      </c>
      <c r="X1435" s="64" t="n">
        <f aca="false">IF($K1435="No Start (attainment only)",$P1435,0)</f>
        <v>0</v>
      </c>
    </row>
    <row r="1436" customFormat="false" ht="15" hidden="false" customHeight="false" outlineLevel="0" collapsed="false">
      <c r="A1436" s="60"/>
      <c r="B1436" s="61" t="str">
        <f aca="false">IF($M1436=0,"",INDEX(Classes!$E$6:$E$420,$M1436))</f>
        <v/>
      </c>
      <c r="C1436" s="62" t="str">
        <f aca="false">IF($M1436=0,"",INDEX(Classes!$H$6:$H$420,$M1436))</f>
        <v/>
      </c>
      <c r="D1436" s="61" t="str">
        <f aca="false">IF($M1436=0,"",INDEX(Classes!$B$6:$B$420,$M1436))</f>
        <v/>
      </c>
      <c r="E1436" s="61" t="str">
        <f aca="false">IF($M1436=0,"",INDEX(Classes!$C$6:$C$420,$M1436))</f>
        <v/>
      </c>
      <c r="F1436" s="63"/>
      <c r="G1436" s="63"/>
      <c r="H1436" s="60"/>
      <c r="I1436" s="60"/>
      <c r="J1436" s="63"/>
      <c r="K1436" s="61" t="str">
        <f aca="false">IF($P1436=0,"",IF($F1436="Baseline","— Baseline",IF($O1436=0,"No result",IF($N1436=0,"No Start (attainment only)",IF(OR($N1436=1,$O1436=1),"U – needs rule",INDEX(MxBody,MATCH($I1436,MxCurr,0),MATCH($H1436,MxStart,0)))))))</f>
        <v/>
      </c>
      <c r="L1436" s="62" t="str">
        <f aca="false">IF(COUNTA($A1436,$F1436,$G1436,$H1436,$I1436,$J1436)=0,"",IF($M1436=0,"✖ كود الصف غير موجود",IF(ISNA(MATCH($F1436,Lists!$A$2:$A$5,0)),"✖ الفترة غير صحيحة",IF(ISNA(MATCH($G1436,Lists!$B$2:$B$7,0)),"✖ المجموعة غير صحيحة",IF(NOT(OR($H1436="",$N1436&gt;0)),"✖ Start غير صحيح",IF(NOT(OR($I1436="",$I1436="NR",$O1436&gt;0)),"✖ Current غير صحيح",IF(NOT(IF(ISNUMBER($J1436),AND($J1436&gt;=0,$J1436=INT($J1436)),FALSE())),"✖ العدد يجب أن يكون صحيحًا ≥ 0",IF(AND($F1436="Baseline",$H1436&lt;&gt;""),"⚠ Baseline: Start لا يدخل في التقدم",IF($K1436="No Start (attainment only)","ℹ تحصيل فقط (بدون Start)",IF($K1436="U – needs rule","ℹ حالة U تحتاج قاعدة معتمدة",IF($K1436="No result","ℹ بدون نتيجة (يُستبعد من التحصيل)","OK")))))))))))</f>
        <v/>
      </c>
      <c r="M1436" s="64" t="n">
        <f aca="false">IF($A1436="",0,IFERROR(MATCH($A1436,Classes!$A$6:$A$420,0),0))</f>
        <v>0</v>
      </c>
      <c r="N1436" s="64" t="n">
        <f aca="false">IF($H1436="",0,IFERROR(MATCH($H1436,GradeList,0),0))</f>
        <v>0</v>
      </c>
      <c r="O1436" s="64" t="n">
        <f aca="false">IF(OR($I1436="",$I1436="NR"),0,IFERROR(MATCH($I1436,GradeList,0),0))</f>
        <v>0</v>
      </c>
      <c r="P1436" s="64" t="n">
        <f aca="false">IF(AND($M1436&gt;0,ISNUMBER(MATCH($F1436,Lists!$A$2:$A$5,0)),ISNUMBER(MATCH($G1436,Lists!$B$2:$B$7,0)),OR($H1436="",$N1436&gt;0),OR($I1436="",$I1436="NR",$O1436&gt;0),IF(ISNUMBER($J1436),AND($J1436&gt;=0,$J1436=INT($J1436)),FALSE())),$J1436,0)</f>
        <v>0</v>
      </c>
      <c r="Q1436" s="64" t="n">
        <f aca="false">IF(AND($P1436&gt;0,$O1436&gt;0),$P1436,0)</f>
        <v>0</v>
      </c>
      <c r="R1436" s="64" t="n">
        <f aca="false">IF(AND($Q1436&gt;0,$O1436&gt;=AtRank),$Q1436,0)</f>
        <v>0</v>
      </c>
      <c r="S1436" s="64" t="n">
        <f aca="false">IF(AND($Q1436&gt;0,$O1436&gt;=AboveRank),$Q1436,0)</f>
        <v>0</v>
      </c>
      <c r="T1436" s="64" t="n">
        <f aca="false">IF($K1436="Less",$P1436,0)</f>
        <v>0</v>
      </c>
      <c r="U1436" s="64" t="n">
        <f aca="false">IF($K1436="Expected",$P1436,0)</f>
        <v>0</v>
      </c>
      <c r="V1436" s="64" t="n">
        <f aca="false">IF($K1436="Better",$P1436,0)</f>
        <v>0</v>
      </c>
      <c r="W1436" s="64" t="n">
        <f aca="false">IF($K1436="U – needs rule",$P1436,0)</f>
        <v>0</v>
      </c>
      <c r="X1436" s="64" t="n">
        <f aca="false">IF($K1436="No Start (attainment only)",$P1436,0)</f>
        <v>0</v>
      </c>
    </row>
    <row r="1437" customFormat="false" ht="15" hidden="false" customHeight="false" outlineLevel="0" collapsed="false">
      <c r="A1437" s="60"/>
      <c r="B1437" s="61" t="str">
        <f aca="false">IF($M1437=0,"",INDEX(Classes!$E$6:$E$420,$M1437))</f>
        <v/>
      </c>
      <c r="C1437" s="62" t="str">
        <f aca="false">IF($M1437=0,"",INDEX(Classes!$H$6:$H$420,$M1437))</f>
        <v/>
      </c>
      <c r="D1437" s="61" t="str">
        <f aca="false">IF($M1437=0,"",INDEX(Classes!$B$6:$B$420,$M1437))</f>
        <v/>
      </c>
      <c r="E1437" s="61" t="str">
        <f aca="false">IF($M1437=0,"",INDEX(Classes!$C$6:$C$420,$M1437))</f>
        <v/>
      </c>
      <c r="F1437" s="63"/>
      <c r="G1437" s="63"/>
      <c r="H1437" s="60"/>
      <c r="I1437" s="60"/>
      <c r="J1437" s="63"/>
      <c r="K1437" s="61" t="str">
        <f aca="false">IF($P1437=0,"",IF($F1437="Baseline","— Baseline",IF($O1437=0,"No result",IF($N1437=0,"No Start (attainment only)",IF(OR($N1437=1,$O1437=1),"U – needs rule",INDEX(MxBody,MATCH($I1437,MxCurr,0),MATCH($H1437,MxStart,0)))))))</f>
        <v/>
      </c>
      <c r="L1437" s="62" t="str">
        <f aca="false">IF(COUNTA($A1437,$F1437,$G1437,$H1437,$I1437,$J1437)=0,"",IF($M1437=0,"✖ كود الصف غير موجود",IF(ISNA(MATCH($F1437,Lists!$A$2:$A$5,0)),"✖ الفترة غير صحيحة",IF(ISNA(MATCH($G1437,Lists!$B$2:$B$7,0)),"✖ المجموعة غير صحيحة",IF(NOT(OR($H1437="",$N1437&gt;0)),"✖ Start غير صحيح",IF(NOT(OR($I1437="",$I1437="NR",$O1437&gt;0)),"✖ Current غير صحيح",IF(NOT(IF(ISNUMBER($J1437),AND($J1437&gt;=0,$J1437=INT($J1437)),FALSE())),"✖ العدد يجب أن يكون صحيحًا ≥ 0",IF(AND($F1437="Baseline",$H1437&lt;&gt;""),"⚠ Baseline: Start لا يدخل في التقدم",IF($K1437="No Start (attainment only)","ℹ تحصيل فقط (بدون Start)",IF($K1437="U – needs rule","ℹ حالة U تحتاج قاعدة معتمدة",IF($K1437="No result","ℹ بدون نتيجة (يُستبعد من التحصيل)","OK")))))))))))</f>
        <v/>
      </c>
      <c r="M1437" s="64" t="n">
        <f aca="false">IF($A1437="",0,IFERROR(MATCH($A1437,Classes!$A$6:$A$420,0),0))</f>
        <v>0</v>
      </c>
      <c r="N1437" s="64" t="n">
        <f aca="false">IF($H1437="",0,IFERROR(MATCH($H1437,GradeList,0),0))</f>
        <v>0</v>
      </c>
      <c r="O1437" s="64" t="n">
        <f aca="false">IF(OR($I1437="",$I1437="NR"),0,IFERROR(MATCH($I1437,GradeList,0),0))</f>
        <v>0</v>
      </c>
      <c r="P1437" s="64" t="n">
        <f aca="false">IF(AND($M1437&gt;0,ISNUMBER(MATCH($F1437,Lists!$A$2:$A$5,0)),ISNUMBER(MATCH($G1437,Lists!$B$2:$B$7,0)),OR($H1437="",$N1437&gt;0),OR($I1437="",$I1437="NR",$O1437&gt;0),IF(ISNUMBER($J1437),AND($J1437&gt;=0,$J1437=INT($J1437)),FALSE())),$J1437,0)</f>
        <v>0</v>
      </c>
      <c r="Q1437" s="64" t="n">
        <f aca="false">IF(AND($P1437&gt;0,$O1437&gt;0),$P1437,0)</f>
        <v>0</v>
      </c>
      <c r="R1437" s="64" t="n">
        <f aca="false">IF(AND($Q1437&gt;0,$O1437&gt;=AtRank),$Q1437,0)</f>
        <v>0</v>
      </c>
      <c r="S1437" s="64" t="n">
        <f aca="false">IF(AND($Q1437&gt;0,$O1437&gt;=AboveRank),$Q1437,0)</f>
        <v>0</v>
      </c>
      <c r="T1437" s="64" t="n">
        <f aca="false">IF($K1437="Less",$P1437,0)</f>
        <v>0</v>
      </c>
      <c r="U1437" s="64" t="n">
        <f aca="false">IF($K1437="Expected",$P1437,0)</f>
        <v>0</v>
      </c>
      <c r="V1437" s="64" t="n">
        <f aca="false">IF($K1437="Better",$P1437,0)</f>
        <v>0</v>
      </c>
      <c r="W1437" s="64" t="n">
        <f aca="false">IF($K1437="U – needs rule",$P1437,0)</f>
        <v>0</v>
      </c>
      <c r="X1437" s="64" t="n">
        <f aca="false">IF($K1437="No Start (attainment only)",$P1437,0)</f>
        <v>0</v>
      </c>
    </row>
    <row r="1438" customFormat="false" ht="15" hidden="false" customHeight="false" outlineLevel="0" collapsed="false">
      <c r="A1438" s="60"/>
      <c r="B1438" s="61" t="str">
        <f aca="false">IF($M1438=0,"",INDEX(Classes!$E$6:$E$420,$M1438))</f>
        <v/>
      </c>
      <c r="C1438" s="62" t="str">
        <f aca="false">IF($M1438=0,"",INDEX(Classes!$H$6:$H$420,$M1438))</f>
        <v/>
      </c>
      <c r="D1438" s="61" t="str">
        <f aca="false">IF($M1438=0,"",INDEX(Classes!$B$6:$B$420,$M1438))</f>
        <v/>
      </c>
      <c r="E1438" s="61" t="str">
        <f aca="false">IF($M1438=0,"",INDEX(Classes!$C$6:$C$420,$M1438))</f>
        <v/>
      </c>
      <c r="F1438" s="63"/>
      <c r="G1438" s="63"/>
      <c r="H1438" s="60"/>
      <c r="I1438" s="60"/>
      <c r="J1438" s="63"/>
      <c r="K1438" s="61" t="str">
        <f aca="false">IF($P1438=0,"",IF($F1438="Baseline","— Baseline",IF($O1438=0,"No result",IF($N1438=0,"No Start (attainment only)",IF(OR($N1438=1,$O1438=1),"U – needs rule",INDEX(MxBody,MATCH($I1438,MxCurr,0),MATCH($H1438,MxStart,0)))))))</f>
        <v/>
      </c>
      <c r="L1438" s="62" t="str">
        <f aca="false">IF(COUNTA($A1438,$F1438,$G1438,$H1438,$I1438,$J1438)=0,"",IF($M1438=0,"✖ كود الصف غير موجود",IF(ISNA(MATCH($F1438,Lists!$A$2:$A$5,0)),"✖ الفترة غير صحيحة",IF(ISNA(MATCH($G1438,Lists!$B$2:$B$7,0)),"✖ المجموعة غير صحيحة",IF(NOT(OR($H1438="",$N1438&gt;0)),"✖ Start غير صحيح",IF(NOT(OR($I1438="",$I1438="NR",$O1438&gt;0)),"✖ Current غير صحيح",IF(NOT(IF(ISNUMBER($J1438),AND($J1438&gt;=0,$J1438=INT($J1438)),FALSE())),"✖ العدد يجب أن يكون صحيحًا ≥ 0",IF(AND($F1438="Baseline",$H1438&lt;&gt;""),"⚠ Baseline: Start لا يدخل في التقدم",IF($K1438="No Start (attainment only)","ℹ تحصيل فقط (بدون Start)",IF($K1438="U – needs rule","ℹ حالة U تحتاج قاعدة معتمدة",IF($K1438="No result","ℹ بدون نتيجة (يُستبعد من التحصيل)","OK")))))))))))</f>
        <v/>
      </c>
      <c r="M1438" s="64" t="n">
        <f aca="false">IF($A1438="",0,IFERROR(MATCH($A1438,Classes!$A$6:$A$420,0),0))</f>
        <v>0</v>
      </c>
      <c r="N1438" s="64" t="n">
        <f aca="false">IF($H1438="",0,IFERROR(MATCH($H1438,GradeList,0),0))</f>
        <v>0</v>
      </c>
      <c r="O1438" s="64" t="n">
        <f aca="false">IF(OR($I1438="",$I1438="NR"),0,IFERROR(MATCH($I1438,GradeList,0),0))</f>
        <v>0</v>
      </c>
      <c r="P1438" s="64" t="n">
        <f aca="false">IF(AND($M1438&gt;0,ISNUMBER(MATCH($F1438,Lists!$A$2:$A$5,0)),ISNUMBER(MATCH($G1438,Lists!$B$2:$B$7,0)),OR($H1438="",$N1438&gt;0),OR($I1438="",$I1438="NR",$O1438&gt;0),IF(ISNUMBER($J1438),AND($J1438&gt;=0,$J1438=INT($J1438)),FALSE())),$J1438,0)</f>
        <v>0</v>
      </c>
      <c r="Q1438" s="64" t="n">
        <f aca="false">IF(AND($P1438&gt;0,$O1438&gt;0),$P1438,0)</f>
        <v>0</v>
      </c>
      <c r="R1438" s="64" t="n">
        <f aca="false">IF(AND($Q1438&gt;0,$O1438&gt;=AtRank),$Q1438,0)</f>
        <v>0</v>
      </c>
      <c r="S1438" s="64" t="n">
        <f aca="false">IF(AND($Q1438&gt;0,$O1438&gt;=AboveRank),$Q1438,0)</f>
        <v>0</v>
      </c>
      <c r="T1438" s="64" t="n">
        <f aca="false">IF($K1438="Less",$P1438,0)</f>
        <v>0</v>
      </c>
      <c r="U1438" s="64" t="n">
        <f aca="false">IF($K1438="Expected",$P1438,0)</f>
        <v>0</v>
      </c>
      <c r="V1438" s="64" t="n">
        <f aca="false">IF($K1438="Better",$P1438,0)</f>
        <v>0</v>
      </c>
      <c r="W1438" s="64" t="n">
        <f aca="false">IF($K1438="U – needs rule",$P1438,0)</f>
        <v>0</v>
      </c>
      <c r="X1438" s="64" t="n">
        <f aca="false">IF($K1438="No Start (attainment only)",$P1438,0)</f>
        <v>0</v>
      </c>
    </row>
    <row r="1439" customFormat="false" ht="15" hidden="false" customHeight="false" outlineLevel="0" collapsed="false">
      <c r="A1439" s="60"/>
      <c r="B1439" s="61" t="str">
        <f aca="false">IF($M1439=0,"",INDEX(Classes!$E$6:$E$420,$M1439))</f>
        <v/>
      </c>
      <c r="C1439" s="62" t="str">
        <f aca="false">IF($M1439=0,"",INDEX(Classes!$H$6:$H$420,$M1439))</f>
        <v/>
      </c>
      <c r="D1439" s="61" t="str">
        <f aca="false">IF($M1439=0,"",INDEX(Classes!$B$6:$B$420,$M1439))</f>
        <v/>
      </c>
      <c r="E1439" s="61" t="str">
        <f aca="false">IF($M1439=0,"",INDEX(Classes!$C$6:$C$420,$M1439))</f>
        <v/>
      </c>
      <c r="F1439" s="63"/>
      <c r="G1439" s="63"/>
      <c r="H1439" s="60"/>
      <c r="I1439" s="60"/>
      <c r="J1439" s="63"/>
      <c r="K1439" s="61" t="str">
        <f aca="false">IF($P1439=0,"",IF($F1439="Baseline","— Baseline",IF($O1439=0,"No result",IF($N1439=0,"No Start (attainment only)",IF(OR($N1439=1,$O1439=1),"U – needs rule",INDEX(MxBody,MATCH($I1439,MxCurr,0),MATCH($H1439,MxStart,0)))))))</f>
        <v/>
      </c>
      <c r="L1439" s="62" t="str">
        <f aca="false">IF(COUNTA($A1439,$F1439,$G1439,$H1439,$I1439,$J1439)=0,"",IF($M1439=0,"✖ كود الصف غير موجود",IF(ISNA(MATCH($F1439,Lists!$A$2:$A$5,0)),"✖ الفترة غير صحيحة",IF(ISNA(MATCH($G1439,Lists!$B$2:$B$7,0)),"✖ المجموعة غير صحيحة",IF(NOT(OR($H1439="",$N1439&gt;0)),"✖ Start غير صحيح",IF(NOT(OR($I1439="",$I1439="NR",$O1439&gt;0)),"✖ Current غير صحيح",IF(NOT(IF(ISNUMBER($J1439),AND($J1439&gt;=0,$J1439=INT($J1439)),FALSE())),"✖ العدد يجب أن يكون صحيحًا ≥ 0",IF(AND($F1439="Baseline",$H1439&lt;&gt;""),"⚠ Baseline: Start لا يدخل في التقدم",IF($K1439="No Start (attainment only)","ℹ تحصيل فقط (بدون Start)",IF($K1439="U – needs rule","ℹ حالة U تحتاج قاعدة معتمدة",IF($K1439="No result","ℹ بدون نتيجة (يُستبعد من التحصيل)","OK")))))))))))</f>
        <v/>
      </c>
      <c r="M1439" s="64" t="n">
        <f aca="false">IF($A1439="",0,IFERROR(MATCH($A1439,Classes!$A$6:$A$420,0),0))</f>
        <v>0</v>
      </c>
      <c r="N1439" s="64" t="n">
        <f aca="false">IF($H1439="",0,IFERROR(MATCH($H1439,GradeList,0),0))</f>
        <v>0</v>
      </c>
      <c r="O1439" s="64" t="n">
        <f aca="false">IF(OR($I1439="",$I1439="NR"),0,IFERROR(MATCH($I1439,GradeList,0),0))</f>
        <v>0</v>
      </c>
      <c r="P1439" s="64" t="n">
        <f aca="false">IF(AND($M1439&gt;0,ISNUMBER(MATCH($F1439,Lists!$A$2:$A$5,0)),ISNUMBER(MATCH($G1439,Lists!$B$2:$B$7,0)),OR($H1439="",$N1439&gt;0),OR($I1439="",$I1439="NR",$O1439&gt;0),IF(ISNUMBER($J1439),AND($J1439&gt;=0,$J1439=INT($J1439)),FALSE())),$J1439,0)</f>
        <v>0</v>
      </c>
      <c r="Q1439" s="64" t="n">
        <f aca="false">IF(AND($P1439&gt;0,$O1439&gt;0),$P1439,0)</f>
        <v>0</v>
      </c>
      <c r="R1439" s="64" t="n">
        <f aca="false">IF(AND($Q1439&gt;0,$O1439&gt;=AtRank),$Q1439,0)</f>
        <v>0</v>
      </c>
      <c r="S1439" s="64" t="n">
        <f aca="false">IF(AND($Q1439&gt;0,$O1439&gt;=AboveRank),$Q1439,0)</f>
        <v>0</v>
      </c>
      <c r="T1439" s="64" t="n">
        <f aca="false">IF($K1439="Less",$P1439,0)</f>
        <v>0</v>
      </c>
      <c r="U1439" s="64" t="n">
        <f aca="false">IF($K1439="Expected",$P1439,0)</f>
        <v>0</v>
      </c>
      <c r="V1439" s="64" t="n">
        <f aca="false">IF($K1439="Better",$P1439,0)</f>
        <v>0</v>
      </c>
      <c r="W1439" s="64" t="n">
        <f aca="false">IF($K1439="U – needs rule",$P1439,0)</f>
        <v>0</v>
      </c>
      <c r="X1439" s="64" t="n">
        <f aca="false">IF($K1439="No Start (attainment only)",$P1439,0)</f>
        <v>0</v>
      </c>
    </row>
    <row r="1440" customFormat="false" ht="15" hidden="false" customHeight="false" outlineLevel="0" collapsed="false">
      <c r="A1440" s="60"/>
      <c r="B1440" s="61" t="str">
        <f aca="false">IF($M1440=0,"",INDEX(Classes!$E$6:$E$420,$M1440))</f>
        <v/>
      </c>
      <c r="C1440" s="62" t="str">
        <f aca="false">IF($M1440=0,"",INDEX(Classes!$H$6:$H$420,$M1440))</f>
        <v/>
      </c>
      <c r="D1440" s="61" t="str">
        <f aca="false">IF($M1440=0,"",INDEX(Classes!$B$6:$B$420,$M1440))</f>
        <v/>
      </c>
      <c r="E1440" s="61" t="str">
        <f aca="false">IF($M1440=0,"",INDEX(Classes!$C$6:$C$420,$M1440))</f>
        <v/>
      </c>
      <c r="F1440" s="63"/>
      <c r="G1440" s="63"/>
      <c r="H1440" s="60"/>
      <c r="I1440" s="60"/>
      <c r="J1440" s="63"/>
      <c r="K1440" s="61" t="str">
        <f aca="false">IF($P1440=0,"",IF($F1440="Baseline","— Baseline",IF($O1440=0,"No result",IF($N1440=0,"No Start (attainment only)",IF(OR($N1440=1,$O1440=1),"U – needs rule",INDEX(MxBody,MATCH($I1440,MxCurr,0),MATCH($H1440,MxStart,0)))))))</f>
        <v/>
      </c>
      <c r="L1440" s="62" t="str">
        <f aca="false">IF(COUNTA($A1440,$F1440,$G1440,$H1440,$I1440,$J1440)=0,"",IF($M1440=0,"✖ كود الصف غير موجود",IF(ISNA(MATCH($F1440,Lists!$A$2:$A$5,0)),"✖ الفترة غير صحيحة",IF(ISNA(MATCH($G1440,Lists!$B$2:$B$7,0)),"✖ المجموعة غير صحيحة",IF(NOT(OR($H1440="",$N1440&gt;0)),"✖ Start غير صحيح",IF(NOT(OR($I1440="",$I1440="NR",$O1440&gt;0)),"✖ Current غير صحيح",IF(NOT(IF(ISNUMBER($J1440),AND($J1440&gt;=0,$J1440=INT($J1440)),FALSE())),"✖ العدد يجب أن يكون صحيحًا ≥ 0",IF(AND($F1440="Baseline",$H1440&lt;&gt;""),"⚠ Baseline: Start لا يدخل في التقدم",IF($K1440="No Start (attainment only)","ℹ تحصيل فقط (بدون Start)",IF($K1440="U – needs rule","ℹ حالة U تحتاج قاعدة معتمدة",IF($K1440="No result","ℹ بدون نتيجة (يُستبعد من التحصيل)","OK")))))))))))</f>
        <v/>
      </c>
      <c r="M1440" s="64" t="n">
        <f aca="false">IF($A1440="",0,IFERROR(MATCH($A1440,Classes!$A$6:$A$420,0),0))</f>
        <v>0</v>
      </c>
      <c r="N1440" s="64" t="n">
        <f aca="false">IF($H1440="",0,IFERROR(MATCH($H1440,GradeList,0),0))</f>
        <v>0</v>
      </c>
      <c r="O1440" s="64" t="n">
        <f aca="false">IF(OR($I1440="",$I1440="NR"),0,IFERROR(MATCH($I1440,GradeList,0),0))</f>
        <v>0</v>
      </c>
      <c r="P1440" s="64" t="n">
        <f aca="false">IF(AND($M1440&gt;0,ISNUMBER(MATCH($F1440,Lists!$A$2:$A$5,0)),ISNUMBER(MATCH($G1440,Lists!$B$2:$B$7,0)),OR($H1440="",$N1440&gt;0),OR($I1440="",$I1440="NR",$O1440&gt;0),IF(ISNUMBER($J1440),AND($J1440&gt;=0,$J1440=INT($J1440)),FALSE())),$J1440,0)</f>
        <v>0</v>
      </c>
      <c r="Q1440" s="64" t="n">
        <f aca="false">IF(AND($P1440&gt;0,$O1440&gt;0),$P1440,0)</f>
        <v>0</v>
      </c>
      <c r="R1440" s="64" t="n">
        <f aca="false">IF(AND($Q1440&gt;0,$O1440&gt;=AtRank),$Q1440,0)</f>
        <v>0</v>
      </c>
      <c r="S1440" s="64" t="n">
        <f aca="false">IF(AND($Q1440&gt;0,$O1440&gt;=AboveRank),$Q1440,0)</f>
        <v>0</v>
      </c>
      <c r="T1440" s="64" t="n">
        <f aca="false">IF($K1440="Less",$P1440,0)</f>
        <v>0</v>
      </c>
      <c r="U1440" s="64" t="n">
        <f aca="false">IF($K1440="Expected",$P1440,0)</f>
        <v>0</v>
      </c>
      <c r="V1440" s="64" t="n">
        <f aca="false">IF($K1440="Better",$P1440,0)</f>
        <v>0</v>
      </c>
      <c r="W1440" s="64" t="n">
        <f aca="false">IF($K1440="U – needs rule",$P1440,0)</f>
        <v>0</v>
      </c>
      <c r="X1440" s="64" t="n">
        <f aca="false">IF($K1440="No Start (attainment only)",$P1440,0)</f>
        <v>0</v>
      </c>
    </row>
    <row r="1441" customFormat="false" ht="15" hidden="false" customHeight="false" outlineLevel="0" collapsed="false">
      <c r="A1441" s="60"/>
      <c r="B1441" s="61" t="str">
        <f aca="false">IF($M1441=0,"",INDEX(Classes!$E$6:$E$420,$M1441))</f>
        <v/>
      </c>
      <c r="C1441" s="62" t="str">
        <f aca="false">IF($M1441=0,"",INDEX(Classes!$H$6:$H$420,$M1441))</f>
        <v/>
      </c>
      <c r="D1441" s="61" t="str">
        <f aca="false">IF($M1441=0,"",INDEX(Classes!$B$6:$B$420,$M1441))</f>
        <v/>
      </c>
      <c r="E1441" s="61" t="str">
        <f aca="false">IF($M1441=0,"",INDEX(Classes!$C$6:$C$420,$M1441))</f>
        <v/>
      </c>
      <c r="F1441" s="63"/>
      <c r="G1441" s="63"/>
      <c r="H1441" s="60"/>
      <c r="I1441" s="60"/>
      <c r="J1441" s="63"/>
      <c r="K1441" s="61" t="str">
        <f aca="false">IF($P1441=0,"",IF($F1441="Baseline","— Baseline",IF($O1441=0,"No result",IF($N1441=0,"No Start (attainment only)",IF(OR($N1441=1,$O1441=1),"U – needs rule",INDEX(MxBody,MATCH($I1441,MxCurr,0),MATCH($H1441,MxStart,0)))))))</f>
        <v/>
      </c>
      <c r="L1441" s="62" t="str">
        <f aca="false">IF(COUNTA($A1441,$F1441,$G1441,$H1441,$I1441,$J1441)=0,"",IF($M1441=0,"✖ كود الصف غير موجود",IF(ISNA(MATCH($F1441,Lists!$A$2:$A$5,0)),"✖ الفترة غير صحيحة",IF(ISNA(MATCH($G1441,Lists!$B$2:$B$7,0)),"✖ المجموعة غير صحيحة",IF(NOT(OR($H1441="",$N1441&gt;0)),"✖ Start غير صحيح",IF(NOT(OR($I1441="",$I1441="NR",$O1441&gt;0)),"✖ Current غير صحيح",IF(NOT(IF(ISNUMBER($J1441),AND($J1441&gt;=0,$J1441=INT($J1441)),FALSE())),"✖ العدد يجب أن يكون صحيحًا ≥ 0",IF(AND($F1441="Baseline",$H1441&lt;&gt;""),"⚠ Baseline: Start لا يدخل في التقدم",IF($K1441="No Start (attainment only)","ℹ تحصيل فقط (بدون Start)",IF($K1441="U – needs rule","ℹ حالة U تحتاج قاعدة معتمدة",IF($K1441="No result","ℹ بدون نتيجة (يُستبعد من التحصيل)","OK")))))))))))</f>
        <v/>
      </c>
      <c r="M1441" s="64" t="n">
        <f aca="false">IF($A1441="",0,IFERROR(MATCH($A1441,Classes!$A$6:$A$420,0),0))</f>
        <v>0</v>
      </c>
      <c r="N1441" s="64" t="n">
        <f aca="false">IF($H1441="",0,IFERROR(MATCH($H1441,GradeList,0),0))</f>
        <v>0</v>
      </c>
      <c r="O1441" s="64" t="n">
        <f aca="false">IF(OR($I1441="",$I1441="NR"),0,IFERROR(MATCH($I1441,GradeList,0),0))</f>
        <v>0</v>
      </c>
      <c r="P1441" s="64" t="n">
        <f aca="false">IF(AND($M1441&gt;0,ISNUMBER(MATCH($F1441,Lists!$A$2:$A$5,0)),ISNUMBER(MATCH($G1441,Lists!$B$2:$B$7,0)),OR($H1441="",$N1441&gt;0),OR($I1441="",$I1441="NR",$O1441&gt;0),IF(ISNUMBER($J1441),AND($J1441&gt;=0,$J1441=INT($J1441)),FALSE())),$J1441,0)</f>
        <v>0</v>
      </c>
      <c r="Q1441" s="64" t="n">
        <f aca="false">IF(AND($P1441&gt;0,$O1441&gt;0),$P1441,0)</f>
        <v>0</v>
      </c>
      <c r="R1441" s="64" t="n">
        <f aca="false">IF(AND($Q1441&gt;0,$O1441&gt;=AtRank),$Q1441,0)</f>
        <v>0</v>
      </c>
      <c r="S1441" s="64" t="n">
        <f aca="false">IF(AND($Q1441&gt;0,$O1441&gt;=AboveRank),$Q1441,0)</f>
        <v>0</v>
      </c>
      <c r="T1441" s="64" t="n">
        <f aca="false">IF($K1441="Less",$P1441,0)</f>
        <v>0</v>
      </c>
      <c r="U1441" s="64" t="n">
        <f aca="false">IF($K1441="Expected",$P1441,0)</f>
        <v>0</v>
      </c>
      <c r="V1441" s="64" t="n">
        <f aca="false">IF($K1441="Better",$P1441,0)</f>
        <v>0</v>
      </c>
      <c r="W1441" s="64" t="n">
        <f aca="false">IF($K1441="U – needs rule",$P1441,0)</f>
        <v>0</v>
      </c>
      <c r="X1441" s="64" t="n">
        <f aca="false">IF($K1441="No Start (attainment only)",$P1441,0)</f>
        <v>0</v>
      </c>
    </row>
    <row r="1442" customFormat="false" ht="15" hidden="false" customHeight="false" outlineLevel="0" collapsed="false">
      <c r="A1442" s="60"/>
      <c r="B1442" s="61" t="str">
        <f aca="false">IF($M1442=0,"",INDEX(Classes!$E$6:$E$420,$M1442))</f>
        <v/>
      </c>
      <c r="C1442" s="62" t="str">
        <f aca="false">IF($M1442=0,"",INDEX(Classes!$H$6:$H$420,$M1442))</f>
        <v/>
      </c>
      <c r="D1442" s="61" t="str">
        <f aca="false">IF($M1442=0,"",INDEX(Classes!$B$6:$B$420,$M1442))</f>
        <v/>
      </c>
      <c r="E1442" s="61" t="str">
        <f aca="false">IF($M1442=0,"",INDEX(Classes!$C$6:$C$420,$M1442))</f>
        <v/>
      </c>
      <c r="F1442" s="63"/>
      <c r="G1442" s="63"/>
      <c r="H1442" s="60"/>
      <c r="I1442" s="60"/>
      <c r="J1442" s="63"/>
      <c r="K1442" s="61" t="str">
        <f aca="false">IF($P1442=0,"",IF($F1442="Baseline","— Baseline",IF($O1442=0,"No result",IF($N1442=0,"No Start (attainment only)",IF(OR($N1442=1,$O1442=1),"U – needs rule",INDEX(MxBody,MATCH($I1442,MxCurr,0),MATCH($H1442,MxStart,0)))))))</f>
        <v/>
      </c>
      <c r="L1442" s="62" t="str">
        <f aca="false">IF(COUNTA($A1442,$F1442,$G1442,$H1442,$I1442,$J1442)=0,"",IF($M1442=0,"✖ كود الصف غير موجود",IF(ISNA(MATCH($F1442,Lists!$A$2:$A$5,0)),"✖ الفترة غير صحيحة",IF(ISNA(MATCH($G1442,Lists!$B$2:$B$7,0)),"✖ المجموعة غير صحيحة",IF(NOT(OR($H1442="",$N1442&gt;0)),"✖ Start غير صحيح",IF(NOT(OR($I1442="",$I1442="NR",$O1442&gt;0)),"✖ Current غير صحيح",IF(NOT(IF(ISNUMBER($J1442),AND($J1442&gt;=0,$J1442=INT($J1442)),FALSE())),"✖ العدد يجب أن يكون صحيحًا ≥ 0",IF(AND($F1442="Baseline",$H1442&lt;&gt;""),"⚠ Baseline: Start لا يدخل في التقدم",IF($K1442="No Start (attainment only)","ℹ تحصيل فقط (بدون Start)",IF($K1442="U – needs rule","ℹ حالة U تحتاج قاعدة معتمدة",IF($K1442="No result","ℹ بدون نتيجة (يُستبعد من التحصيل)","OK")))))))))))</f>
        <v/>
      </c>
      <c r="M1442" s="64" t="n">
        <f aca="false">IF($A1442="",0,IFERROR(MATCH($A1442,Classes!$A$6:$A$420,0),0))</f>
        <v>0</v>
      </c>
      <c r="N1442" s="64" t="n">
        <f aca="false">IF($H1442="",0,IFERROR(MATCH($H1442,GradeList,0),0))</f>
        <v>0</v>
      </c>
      <c r="O1442" s="64" t="n">
        <f aca="false">IF(OR($I1442="",$I1442="NR"),0,IFERROR(MATCH($I1442,GradeList,0),0))</f>
        <v>0</v>
      </c>
      <c r="P1442" s="64" t="n">
        <f aca="false">IF(AND($M1442&gt;0,ISNUMBER(MATCH($F1442,Lists!$A$2:$A$5,0)),ISNUMBER(MATCH($G1442,Lists!$B$2:$B$7,0)),OR($H1442="",$N1442&gt;0),OR($I1442="",$I1442="NR",$O1442&gt;0),IF(ISNUMBER($J1442),AND($J1442&gt;=0,$J1442=INT($J1442)),FALSE())),$J1442,0)</f>
        <v>0</v>
      </c>
      <c r="Q1442" s="64" t="n">
        <f aca="false">IF(AND($P1442&gt;0,$O1442&gt;0),$P1442,0)</f>
        <v>0</v>
      </c>
      <c r="R1442" s="64" t="n">
        <f aca="false">IF(AND($Q1442&gt;0,$O1442&gt;=AtRank),$Q1442,0)</f>
        <v>0</v>
      </c>
      <c r="S1442" s="64" t="n">
        <f aca="false">IF(AND($Q1442&gt;0,$O1442&gt;=AboveRank),$Q1442,0)</f>
        <v>0</v>
      </c>
      <c r="T1442" s="64" t="n">
        <f aca="false">IF($K1442="Less",$P1442,0)</f>
        <v>0</v>
      </c>
      <c r="U1442" s="64" t="n">
        <f aca="false">IF($K1442="Expected",$P1442,0)</f>
        <v>0</v>
      </c>
      <c r="V1442" s="64" t="n">
        <f aca="false">IF($K1442="Better",$P1442,0)</f>
        <v>0</v>
      </c>
      <c r="W1442" s="64" t="n">
        <f aca="false">IF($K1442="U – needs rule",$P1442,0)</f>
        <v>0</v>
      </c>
      <c r="X1442" s="64" t="n">
        <f aca="false">IF($K1442="No Start (attainment only)",$P1442,0)</f>
        <v>0</v>
      </c>
    </row>
    <row r="1443" customFormat="false" ht="15" hidden="false" customHeight="false" outlineLevel="0" collapsed="false">
      <c r="A1443" s="60"/>
      <c r="B1443" s="61" t="str">
        <f aca="false">IF($M1443=0,"",INDEX(Classes!$E$6:$E$420,$M1443))</f>
        <v/>
      </c>
      <c r="C1443" s="62" t="str">
        <f aca="false">IF($M1443=0,"",INDEX(Classes!$H$6:$H$420,$M1443))</f>
        <v/>
      </c>
      <c r="D1443" s="61" t="str">
        <f aca="false">IF($M1443=0,"",INDEX(Classes!$B$6:$B$420,$M1443))</f>
        <v/>
      </c>
      <c r="E1443" s="61" t="str">
        <f aca="false">IF($M1443=0,"",INDEX(Classes!$C$6:$C$420,$M1443))</f>
        <v/>
      </c>
      <c r="F1443" s="63"/>
      <c r="G1443" s="63"/>
      <c r="H1443" s="60"/>
      <c r="I1443" s="60"/>
      <c r="J1443" s="63"/>
      <c r="K1443" s="61" t="str">
        <f aca="false">IF($P1443=0,"",IF($F1443="Baseline","— Baseline",IF($O1443=0,"No result",IF($N1443=0,"No Start (attainment only)",IF(OR($N1443=1,$O1443=1),"U – needs rule",INDEX(MxBody,MATCH($I1443,MxCurr,0),MATCH($H1443,MxStart,0)))))))</f>
        <v/>
      </c>
      <c r="L1443" s="62" t="str">
        <f aca="false">IF(COUNTA($A1443,$F1443,$G1443,$H1443,$I1443,$J1443)=0,"",IF($M1443=0,"✖ كود الصف غير موجود",IF(ISNA(MATCH($F1443,Lists!$A$2:$A$5,0)),"✖ الفترة غير صحيحة",IF(ISNA(MATCH($G1443,Lists!$B$2:$B$7,0)),"✖ المجموعة غير صحيحة",IF(NOT(OR($H1443="",$N1443&gt;0)),"✖ Start غير صحيح",IF(NOT(OR($I1443="",$I1443="NR",$O1443&gt;0)),"✖ Current غير صحيح",IF(NOT(IF(ISNUMBER($J1443),AND($J1443&gt;=0,$J1443=INT($J1443)),FALSE())),"✖ العدد يجب أن يكون صحيحًا ≥ 0",IF(AND($F1443="Baseline",$H1443&lt;&gt;""),"⚠ Baseline: Start لا يدخل في التقدم",IF($K1443="No Start (attainment only)","ℹ تحصيل فقط (بدون Start)",IF($K1443="U – needs rule","ℹ حالة U تحتاج قاعدة معتمدة",IF($K1443="No result","ℹ بدون نتيجة (يُستبعد من التحصيل)","OK")))))))))))</f>
        <v/>
      </c>
      <c r="M1443" s="64" t="n">
        <f aca="false">IF($A1443="",0,IFERROR(MATCH($A1443,Classes!$A$6:$A$420,0),0))</f>
        <v>0</v>
      </c>
      <c r="N1443" s="64" t="n">
        <f aca="false">IF($H1443="",0,IFERROR(MATCH($H1443,GradeList,0),0))</f>
        <v>0</v>
      </c>
      <c r="O1443" s="64" t="n">
        <f aca="false">IF(OR($I1443="",$I1443="NR"),0,IFERROR(MATCH($I1443,GradeList,0),0))</f>
        <v>0</v>
      </c>
      <c r="P1443" s="64" t="n">
        <f aca="false">IF(AND($M1443&gt;0,ISNUMBER(MATCH($F1443,Lists!$A$2:$A$5,0)),ISNUMBER(MATCH($G1443,Lists!$B$2:$B$7,0)),OR($H1443="",$N1443&gt;0),OR($I1443="",$I1443="NR",$O1443&gt;0),IF(ISNUMBER($J1443),AND($J1443&gt;=0,$J1443=INT($J1443)),FALSE())),$J1443,0)</f>
        <v>0</v>
      </c>
      <c r="Q1443" s="64" t="n">
        <f aca="false">IF(AND($P1443&gt;0,$O1443&gt;0),$P1443,0)</f>
        <v>0</v>
      </c>
      <c r="R1443" s="64" t="n">
        <f aca="false">IF(AND($Q1443&gt;0,$O1443&gt;=AtRank),$Q1443,0)</f>
        <v>0</v>
      </c>
      <c r="S1443" s="64" t="n">
        <f aca="false">IF(AND($Q1443&gt;0,$O1443&gt;=AboveRank),$Q1443,0)</f>
        <v>0</v>
      </c>
      <c r="T1443" s="64" t="n">
        <f aca="false">IF($K1443="Less",$P1443,0)</f>
        <v>0</v>
      </c>
      <c r="U1443" s="64" t="n">
        <f aca="false">IF($K1443="Expected",$P1443,0)</f>
        <v>0</v>
      </c>
      <c r="V1443" s="64" t="n">
        <f aca="false">IF($K1443="Better",$P1443,0)</f>
        <v>0</v>
      </c>
      <c r="W1443" s="64" t="n">
        <f aca="false">IF($K1443="U – needs rule",$P1443,0)</f>
        <v>0</v>
      </c>
      <c r="X1443" s="64" t="n">
        <f aca="false">IF($K1443="No Start (attainment only)",$P1443,0)</f>
        <v>0</v>
      </c>
    </row>
    <row r="1444" customFormat="false" ht="15" hidden="false" customHeight="false" outlineLevel="0" collapsed="false">
      <c r="A1444" s="60"/>
      <c r="B1444" s="61" t="str">
        <f aca="false">IF($M1444=0,"",INDEX(Classes!$E$6:$E$420,$M1444))</f>
        <v/>
      </c>
      <c r="C1444" s="62" t="str">
        <f aca="false">IF($M1444=0,"",INDEX(Classes!$H$6:$H$420,$M1444))</f>
        <v/>
      </c>
      <c r="D1444" s="61" t="str">
        <f aca="false">IF($M1444=0,"",INDEX(Classes!$B$6:$B$420,$M1444))</f>
        <v/>
      </c>
      <c r="E1444" s="61" t="str">
        <f aca="false">IF($M1444=0,"",INDEX(Classes!$C$6:$C$420,$M1444))</f>
        <v/>
      </c>
      <c r="F1444" s="63"/>
      <c r="G1444" s="63"/>
      <c r="H1444" s="60"/>
      <c r="I1444" s="60"/>
      <c r="J1444" s="63"/>
      <c r="K1444" s="61" t="str">
        <f aca="false">IF($P1444=0,"",IF($F1444="Baseline","— Baseline",IF($O1444=0,"No result",IF($N1444=0,"No Start (attainment only)",IF(OR($N1444=1,$O1444=1),"U – needs rule",INDEX(MxBody,MATCH($I1444,MxCurr,0),MATCH($H1444,MxStart,0)))))))</f>
        <v/>
      </c>
      <c r="L1444" s="62" t="str">
        <f aca="false">IF(COUNTA($A1444,$F1444,$G1444,$H1444,$I1444,$J1444)=0,"",IF($M1444=0,"✖ كود الصف غير موجود",IF(ISNA(MATCH($F1444,Lists!$A$2:$A$5,0)),"✖ الفترة غير صحيحة",IF(ISNA(MATCH($G1444,Lists!$B$2:$B$7,0)),"✖ المجموعة غير صحيحة",IF(NOT(OR($H1444="",$N1444&gt;0)),"✖ Start غير صحيح",IF(NOT(OR($I1444="",$I1444="NR",$O1444&gt;0)),"✖ Current غير صحيح",IF(NOT(IF(ISNUMBER($J1444),AND($J1444&gt;=0,$J1444=INT($J1444)),FALSE())),"✖ العدد يجب أن يكون صحيحًا ≥ 0",IF(AND($F1444="Baseline",$H1444&lt;&gt;""),"⚠ Baseline: Start لا يدخل في التقدم",IF($K1444="No Start (attainment only)","ℹ تحصيل فقط (بدون Start)",IF($K1444="U – needs rule","ℹ حالة U تحتاج قاعدة معتمدة",IF($K1444="No result","ℹ بدون نتيجة (يُستبعد من التحصيل)","OK")))))))))))</f>
        <v/>
      </c>
      <c r="M1444" s="64" t="n">
        <f aca="false">IF($A1444="",0,IFERROR(MATCH($A1444,Classes!$A$6:$A$420,0),0))</f>
        <v>0</v>
      </c>
      <c r="N1444" s="64" t="n">
        <f aca="false">IF($H1444="",0,IFERROR(MATCH($H1444,GradeList,0),0))</f>
        <v>0</v>
      </c>
      <c r="O1444" s="64" t="n">
        <f aca="false">IF(OR($I1444="",$I1444="NR"),0,IFERROR(MATCH($I1444,GradeList,0),0))</f>
        <v>0</v>
      </c>
      <c r="P1444" s="64" t="n">
        <f aca="false">IF(AND($M1444&gt;0,ISNUMBER(MATCH($F1444,Lists!$A$2:$A$5,0)),ISNUMBER(MATCH($G1444,Lists!$B$2:$B$7,0)),OR($H1444="",$N1444&gt;0),OR($I1444="",$I1444="NR",$O1444&gt;0),IF(ISNUMBER($J1444),AND($J1444&gt;=0,$J1444=INT($J1444)),FALSE())),$J1444,0)</f>
        <v>0</v>
      </c>
      <c r="Q1444" s="64" t="n">
        <f aca="false">IF(AND($P1444&gt;0,$O1444&gt;0),$P1444,0)</f>
        <v>0</v>
      </c>
      <c r="R1444" s="64" t="n">
        <f aca="false">IF(AND($Q1444&gt;0,$O1444&gt;=AtRank),$Q1444,0)</f>
        <v>0</v>
      </c>
      <c r="S1444" s="64" t="n">
        <f aca="false">IF(AND($Q1444&gt;0,$O1444&gt;=AboveRank),$Q1444,0)</f>
        <v>0</v>
      </c>
      <c r="T1444" s="64" t="n">
        <f aca="false">IF($K1444="Less",$P1444,0)</f>
        <v>0</v>
      </c>
      <c r="U1444" s="64" t="n">
        <f aca="false">IF($K1444="Expected",$P1444,0)</f>
        <v>0</v>
      </c>
      <c r="V1444" s="64" t="n">
        <f aca="false">IF($K1444="Better",$P1444,0)</f>
        <v>0</v>
      </c>
      <c r="W1444" s="64" t="n">
        <f aca="false">IF($K1444="U – needs rule",$P1444,0)</f>
        <v>0</v>
      </c>
      <c r="X1444" s="64" t="n">
        <f aca="false">IF($K1444="No Start (attainment only)",$P1444,0)</f>
        <v>0</v>
      </c>
    </row>
    <row r="1445" customFormat="false" ht="15" hidden="false" customHeight="false" outlineLevel="0" collapsed="false">
      <c r="A1445" s="60"/>
      <c r="B1445" s="61" t="str">
        <f aca="false">IF($M1445=0,"",INDEX(Classes!$E$6:$E$420,$M1445))</f>
        <v/>
      </c>
      <c r="C1445" s="62" t="str">
        <f aca="false">IF($M1445=0,"",INDEX(Classes!$H$6:$H$420,$M1445))</f>
        <v/>
      </c>
      <c r="D1445" s="61" t="str">
        <f aca="false">IF($M1445=0,"",INDEX(Classes!$B$6:$B$420,$M1445))</f>
        <v/>
      </c>
      <c r="E1445" s="61" t="str">
        <f aca="false">IF($M1445=0,"",INDEX(Classes!$C$6:$C$420,$M1445))</f>
        <v/>
      </c>
      <c r="F1445" s="63"/>
      <c r="G1445" s="63"/>
      <c r="H1445" s="60"/>
      <c r="I1445" s="60"/>
      <c r="J1445" s="63"/>
      <c r="K1445" s="61" t="str">
        <f aca="false">IF($P1445=0,"",IF($F1445="Baseline","— Baseline",IF($O1445=0,"No result",IF($N1445=0,"No Start (attainment only)",IF(OR($N1445=1,$O1445=1),"U – needs rule",INDEX(MxBody,MATCH($I1445,MxCurr,0),MATCH($H1445,MxStart,0)))))))</f>
        <v/>
      </c>
      <c r="L1445" s="62" t="str">
        <f aca="false">IF(COUNTA($A1445,$F1445,$G1445,$H1445,$I1445,$J1445)=0,"",IF($M1445=0,"✖ كود الصف غير موجود",IF(ISNA(MATCH($F1445,Lists!$A$2:$A$5,0)),"✖ الفترة غير صحيحة",IF(ISNA(MATCH($G1445,Lists!$B$2:$B$7,0)),"✖ المجموعة غير صحيحة",IF(NOT(OR($H1445="",$N1445&gt;0)),"✖ Start غير صحيح",IF(NOT(OR($I1445="",$I1445="NR",$O1445&gt;0)),"✖ Current غير صحيح",IF(NOT(IF(ISNUMBER($J1445),AND($J1445&gt;=0,$J1445=INT($J1445)),FALSE())),"✖ العدد يجب أن يكون صحيحًا ≥ 0",IF(AND($F1445="Baseline",$H1445&lt;&gt;""),"⚠ Baseline: Start لا يدخل في التقدم",IF($K1445="No Start (attainment only)","ℹ تحصيل فقط (بدون Start)",IF($K1445="U – needs rule","ℹ حالة U تحتاج قاعدة معتمدة",IF($K1445="No result","ℹ بدون نتيجة (يُستبعد من التحصيل)","OK")))))))))))</f>
        <v/>
      </c>
      <c r="M1445" s="64" t="n">
        <f aca="false">IF($A1445="",0,IFERROR(MATCH($A1445,Classes!$A$6:$A$420,0),0))</f>
        <v>0</v>
      </c>
      <c r="N1445" s="64" t="n">
        <f aca="false">IF($H1445="",0,IFERROR(MATCH($H1445,GradeList,0),0))</f>
        <v>0</v>
      </c>
      <c r="O1445" s="64" t="n">
        <f aca="false">IF(OR($I1445="",$I1445="NR"),0,IFERROR(MATCH($I1445,GradeList,0),0))</f>
        <v>0</v>
      </c>
      <c r="P1445" s="64" t="n">
        <f aca="false">IF(AND($M1445&gt;0,ISNUMBER(MATCH($F1445,Lists!$A$2:$A$5,0)),ISNUMBER(MATCH($G1445,Lists!$B$2:$B$7,0)),OR($H1445="",$N1445&gt;0),OR($I1445="",$I1445="NR",$O1445&gt;0),IF(ISNUMBER($J1445),AND($J1445&gt;=0,$J1445=INT($J1445)),FALSE())),$J1445,0)</f>
        <v>0</v>
      </c>
      <c r="Q1445" s="64" t="n">
        <f aca="false">IF(AND($P1445&gt;0,$O1445&gt;0),$P1445,0)</f>
        <v>0</v>
      </c>
      <c r="R1445" s="64" t="n">
        <f aca="false">IF(AND($Q1445&gt;0,$O1445&gt;=AtRank),$Q1445,0)</f>
        <v>0</v>
      </c>
      <c r="S1445" s="64" t="n">
        <f aca="false">IF(AND($Q1445&gt;0,$O1445&gt;=AboveRank),$Q1445,0)</f>
        <v>0</v>
      </c>
      <c r="T1445" s="64" t="n">
        <f aca="false">IF($K1445="Less",$P1445,0)</f>
        <v>0</v>
      </c>
      <c r="U1445" s="64" t="n">
        <f aca="false">IF($K1445="Expected",$P1445,0)</f>
        <v>0</v>
      </c>
      <c r="V1445" s="64" t="n">
        <f aca="false">IF($K1445="Better",$P1445,0)</f>
        <v>0</v>
      </c>
      <c r="W1445" s="64" t="n">
        <f aca="false">IF($K1445="U – needs rule",$P1445,0)</f>
        <v>0</v>
      </c>
      <c r="X1445" s="64" t="n">
        <f aca="false">IF($K1445="No Start (attainment only)",$P1445,0)</f>
        <v>0</v>
      </c>
    </row>
    <row r="1446" customFormat="false" ht="15" hidden="false" customHeight="false" outlineLevel="0" collapsed="false">
      <c r="A1446" s="60"/>
      <c r="B1446" s="61" t="str">
        <f aca="false">IF($M1446=0,"",INDEX(Classes!$E$6:$E$420,$M1446))</f>
        <v/>
      </c>
      <c r="C1446" s="62" t="str">
        <f aca="false">IF($M1446=0,"",INDEX(Classes!$H$6:$H$420,$M1446))</f>
        <v/>
      </c>
      <c r="D1446" s="61" t="str">
        <f aca="false">IF($M1446=0,"",INDEX(Classes!$B$6:$B$420,$M1446))</f>
        <v/>
      </c>
      <c r="E1446" s="61" t="str">
        <f aca="false">IF($M1446=0,"",INDEX(Classes!$C$6:$C$420,$M1446))</f>
        <v/>
      </c>
      <c r="F1446" s="63"/>
      <c r="G1446" s="63"/>
      <c r="H1446" s="60"/>
      <c r="I1446" s="60"/>
      <c r="J1446" s="63"/>
      <c r="K1446" s="61" t="str">
        <f aca="false">IF($P1446=0,"",IF($F1446="Baseline","— Baseline",IF($O1446=0,"No result",IF($N1446=0,"No Start (attainment only)",IF(OR($N1446=1,$O1446=1),"U – needs rule",INDEX(MxBody,MATCH($I1446,MxCurr,0),MATCH($H1446,MxStart,0)))))))</f>
        <v/>
      </c>
      <c r="L1446" s="62" t="str">
        <f aca="false">IF(COUNTA($A1446,$F1446,$G1446,$H1446,$I1446,$J1446)=0,"",IF($M1446=0,"✖ كود الصف غير موجود",IF(ISNA(MATCH($F1446,Lists!$A$2:$A$5,0)),"✖ الفترة غير صحيحة",IF(ISNA(MATCH($G1446,Lists!$B$2:$B$7,0)),"✖ المجموعة غير صحيحة",IF(NOT(OR($H1446="",$N1446&gt;0)),"✖ Start غير صحيح",IF(NOT(OR($I1446="",$I1446="NR",$O1446&gt;0)),"✖ Current غير صحيح",IF(NOT(IF(ISNUMBER($J1446),AND($J1446&gt;=0,$J1446=INT($J1446)),FALSE())),"✖ العدد يجب أن يكون صحيحًا ≥ 0",IF(AND($F1446="Baseline",$H1446&lt;&gt;""),"⚠ Baseline: Start لا يدخل في التقدم",IF($K1446="No Start (attainment only)","ℹ تحصيل فقط (بدون Start)",IF($K1446="U – needs rule","ℹ حالة U تحتاج قاعدة معتمدة",IF($K1446="No result","ℹ بدون نتيجة (يُستبعد من التحصيل)","OK")))))))))))</f>
        <v/>
      </c>
      <c r="M1446" s="64" t="n">
        <f aca="false">IF($A1446="",0,IFERROR(MATCH($A1446,Classes!$A$6:$A$420,0),0))</f>
        <v>0</v>
      </c>
      <c r="N1446" s="64" t="n">
        <f aca="false">IF($H1446="",0,IFERROR(MATCH($H1446,GradeList,0),0))</f>
        <v>0</v>
      </c>
      <c r="O1446" s="64" t="n">
        <f aca="false">IF(OR($I1446="",$I1446="NR"),0,IFERROR(MATCH($I1446,GradeList,0),0))</f>
        <v>0</v>
      </c>
      <c r="P1446" s="64" t="n">
        <f aca="false">IF(AND($M1446&gt;0,ISNUMBER(MATCH($F1446,Lists!$A$2:$A$5,0)),ISNUMBER(MATCH($G1446,Lists!$B$2:$B$7,0)),OR($H1446="",$N1446&gt;0),OR($I1446="",$I1446="NR",$O1446&gt;0),IF(ISNUMBER($J1446),AND($J1446&gt;=0,$J1446=INT($J1446)),FALSE())),$J1446,0)</f>
        <v>0</v>
      </c>
      <c r="Q1446" s="64" t="n">
        <f aca="false">IF(AND($P1446&gt;0,$O1446&gt;0),$P1446,0)</f>
        <v>0</v>
      </c>
      <c r="R1446" s="64" t="n">
        <f aca="false">IF(AND($Q1446&gt;0,$O1446&gt;=AtRank),$Q1446,0)</f>
        <v>0</v>
      </c>
      <c r="S1446" s="64" t="n">
        <f aca="false">IF(AND($Q1446&gt;0,$O1446&gt;=AboveRank),$Q1446,0)</f>
        <v>0</v>
      </c>
      <c r="T1446" s="64" t="n">
        <f aca="false">IF($K1446="Less",$P1446,0)</f>
        <v>0</v>
      </c>
      <c r="U1446" s="64" t="n">
        <f aca="false">IF($K1446="Expected",$P1446,0)</f>
        <v>0</v>
      </c>
      <c r="V1446" s="64" t="n">
        <f aca="false">IF($K1446="Better",$P1446,0)</f>
        <v>0</v>
      </c>
      <c r="W1446" s="64" t="n">
        <f aca="false">IF($K1446="U – needs rule",$P1446,0)</f>
        <v>0</v>
      </c>
      <c r="X1446" s="64" t="n">
        <f aca="false">IF($K1446="No Start (attainment only)",$P1446,0)</f>
        <v>0</v>
      </c>
    </row>
    <row r="1447" customFormat="false" ht="15" hidden="false" customHeight="false" outlineLevel="0" collapsed="false">
      <c r="A1447" s="60"/>
      <c r="B1447" s="61" t="str">
        <f aca="false">IF($M1447=0,"",INDEX(Classes!$E$6:$E$420,$M1447))</f>
        <v/>
      </c>
      <c r="C1447" s="62" t="str">
        <f aca="false">IF($M1447=0,"",INDEX(Classes!$H$6:$H$420,$M1447))</f>
        <v/>
      </c>
      <c r="D1447" s="61" t="str">
        <f aca="false">IF($M1447=0,"",INDEX(Classes!$B$6:$B$420,$M1447))</f>
        <v/>
      </c>
      <c r="E1447" s="61" t="str">
        <f aca="false">IF($M1447=0,"",INDEX(Classes!$C$6:$C$420,$M1447))</f>
        <v/>
      </c>
      <c r="F1447" s="63"/>
      <c r="G1447" s="63"/>
      <c r="H1447" s="60"/>
      <c r="I1447" s="60"/>
      <c r="J1447" s="63"/>
      <c r="K1447" s="61" t="str">
        <f aca="false">IF($P1447=0,"",IF($F1447="Baseline","— Baseline",IF($O1447=0,"No result",IF($N1447=0,"No Start (attainment only)",IF(OR($N1447=1,$O1447=1),"U – needs rule",INDEX(MxBody,MATCH($I1447,MxCurr,0),MATCH($H1447,MxStart,0)))))))</f>
        <v/>
      </c>
      <c r="L1447" s="62" t="str">
        <f aca="false">IF(COUNTA($A1447,$F1447,$G1447,$H1447,$I1447,$J1447)=0,"",IF($M1447=0,"✖ كود الصف غير موجود",IF(ISNA(MATCH($F1447,Lists!$A$2:$A$5,0)),"✖ الفترة غير صحيحة",IF(ISNA(MATCH($G1447,Lists!$B$2:$B$7,0)),"✖ المجموعة غير صحيحة",IF(NOT(OR($H1447="",$N1447&gt;0)),"✖ Start غير صحيح",IF(NOT(OR($I1447="",$I1447="NR",$O1447&gt;0)),"✖ Current غير صحيح",IF(NOT(IF(ISNUMBER($J1447),AND($J1447&gt;=0,$J1447=INT($J1447)),FALSE())),"✖ العدد يجب أن يكون صحيحًا ≥ 0",IF(AND($F1447="Baseline",$H1447&lt;&gt;""),"⚠ Baseline: Start لا يدخل في التقدم",IF($K1447="No Start (attainment only)","ℹ تحصيل فقط (بدون Start)",IF($K1447="U – needs rule","ℹ حالة U تحتاج قاعدة معتمدة",IF($K1447="No result","ℹ بدون نتيجة (يُستبعد من التحصيل)","OK")))))))))))</f>
        <v/>
      </c>
      <c r="M1447" s="64" t="n">
        <f aca="false">IF($A1447="",0,IFERROR(MATCH($A1447,Classes!$A$6:$A$420,0),0))</f>
        <v>0</v>
      </c>
      <c r="N1447" s="64" t="n">
        <f aca="false">IF($H1447="",0,IFERROR(MATCH($H1447,GradeList,0),0))</f>
        <v>0</v>
      </c>
      <c r="O1447" s="64" t="n">
        <f aca="false">IF(OR($I1447="",$I1447="NR"),0,IFERROR(MATCH($I1447,GradeList,0),0))</f>
        <v>0</v>
      </c>
      <c r="P1447" s="64" t="n">
        <f aca="false">IF(AND($M1447&gt;0,ISNUMBER(MATCH($F1447,Lists!$A$2:$A$5,0)),ISNUMBER(MATCH($G1447,Lists!$B$2:$B$7,0)),OR($H1447="",$N1447&gt;0),OR($I1447="",$I1447="NR",$O1447&gt;0),IF(ISNUMBER($J1447),AND($J1447&gt;=0,$J1447=INT($J1447)),FALSE())),$J1447,0)</f>
        <v>0</v>
      </c>
      <c r="Q1447" s="64" t="n">
        <f aca="false">IF(AND($P1447&gt;0,$O1447&gt;0),$P1447,0)</f>
        <v>0</v>
      </c>
      <c r="R1447" s="64" t="n">
        <f aca="false">IF(AND($Q1447&gt;0,$O1447&gt;=AtRank),$Q1447,0)</f>
        <v>0</v>
      </c>
      <c r="S1447" s="64" t="n">
        <f aca="false">IF(AND($Q1447&gt;0,$O1447&gt;=AboveRank),$Q1447,0)</f>
        <v>0</v>
      </c>
      <c r="T1447" s="64" t="n">
        <f aca="false">IF($K1447="Less",$P1447,0)</f>
        <v>0</v>
      </c>
      <c r="U1447" s="64" t="n">
        <f aca="false">IF($K1447="Expected",$P1447,0)</f>
        <v>0</v>
      </c>
      <c r="V1447" s="64" t="n">
        <f aca="false">IF($K1447="Better",$P1447,0)</f>
        <v>0</v>
      </c>
      <c r="W1447" s="64" t="n">
        <f aca="false">IF($K1447="U – needs rule",$P1447,0)</f>
        <v>0</v>
      </c>
      <c r="X1447" s="64" t="n">
        <f aca="false">IF($K1447="No Start (attainment only)",$P1447,0)</f>
        <v>0</v>
      </c>
    </row>
    <row r="1448" customFormat="false" ht="15" hidden="false" customHeight="false" outlineLevel="0" collapsed="false">
      <c r="A1448" s="60"/>
      <c r="B1448" s="61" t="str">
        <f aca="false">IF($M1448=0,"",INDEX(Classes!$E$6:$E$420,$M1448))</f>
        <v/>
      </c>
      <c r="C1448" s="62" t="str">
        <f aca="false">IF($M1448=0,"",INDEX(Classes!$H$6:$H$420,$M1448))</f>
        <v/>
      </c>
      <c r="D1448" s="61" t="str">
        <f aca="false">IF($M1448=0,"",INDEX(Classes!$B$6:$B$420,$M1448))</f>
        <v/>
      </c>
      <c r="E1448" s="61" t="str">
        <f aca="false">IF($M1448=0,"",INDEX(Classes!$C$6:$C$420,$M1448))</f>
        <v/>
      </c>
      <c r="F1448" s="63"/>
      <c r="G1448" s="63"/>
      <c r="H1448" s="60"/>
      <c r="I1448" s="60"/>
      <c r="J1448" s="63"/>
      <c r="K1448" s="61" t="str">
        <f aca="false">IF($P1448=0,"",IF($F1448="Baseline","— Baseline",IF($O1448=0,"No result",IF($N1448=0,"No Start (attainment only)",IF(OR($N1448=1,$O1448=1),"U – needs rule",INDEX(MxBody,MATCH($I1448,MxCurr,0),MATCH($H1448,MxStart,0)))))))</f>
        <v/>
      </c>
      <c r="L1448" s="62" t="str">
        <f aca="false">IF(COUNTA($A1448,$F1448,$G1448,$H1448,$I1448,$J1448)=0,"",IF($M1448=0,"✖ كود الصف غير موجود",IF(ISNA(MATCH($F1448,Lists!$A$2:$A$5,0)),"✖ الفترة غير صحيحة",IF(ISNA(MATCH($G1448,Lists!$B$2:$B$7,0)),"✖ المجموعة غير صحيحة",IF(NOT(OR($H1448="",$N1448&gt;0)),"✖ Start غير صحيح",IF(NOT(OR($I1448="",$I1448="NR",$O1448&gt;0)),"✖ Current غير صحيح",IF(NOT(IF(ISNUMBER($J1448),AND($J1448&gt;=0,$J1448=INT($J1448)),FALSE())),"✖ العدد يجب أن يكون صحيحًا ≥ 0",IF(AND($F1448="Baseline",$H1448&lt;&gt;""),"⚠ Baseline: Start لا يدخل في التقدم",IF($K1448="No Start (attainment only)","ℹ تحصيل فقط (بدون Start)",IF($K1448="U – needs rule","ℹ حالة U تحتاج قاعدة معتمدة",IF($K1448="No result","ℹ بدون نتيجة (يُستبعد من التحصيل)","OK")))))))))))</f>
        <v/>
      </c>
      <c r="M1448" s="64" t="n">
        <f aca="false">IF($A1448="",0,IFERROR(MATCH($A1448,Classes!$A$6:$A$420,0),0))</f>
        <v>0</v>
      </c>
      <c r="N1448" s="64" t="n">
        <f aca="false">IF($H1448="",0,IFERROR(MATCH($H1448,GradeList,0),0))</f>
        <v>0</v>
      </c>
      <c r="O1448" s="64" t="n">
        <f aca="false">IF(OR($I1448="",$I1448="NR"),0,IFERROR(MATCH($I1448,GradeList,0),0))</f>
        <v>0</v>
      </c>
      <c r="P1448" s="64" t="n">
        <f aca="false">IF(AND($M1448&gt;0,ISNUMBER(MATCH($F1448,Lists!$A$2:$A$5,0)),ISNUMBER(MATCH($G1448,Lists!$B$2:$B$7,0)),OR($H1448="",$N1448&gt;0),OR($I1448="",$I1448="NR",$O1448&gt;0),IF(ISNUMBER($J1448),AND($J1448&gt;=0,$J1448=INT($J1448)),FALSE())),$J1448,0)</f>
        <v>0</v>
      </c>
      <c r="Q1448" s="64" t="n">
        <f aca="false">IF(AND($P1448&gt;0,$O1448&gt;0),$P1448,0)</f>
        <v>0</v>
      </c>
      <c r="R1448" s="64" t="n">
        <f aca="false">IF(AND($Q1448&gt;0,$O1448&gt;=AtRank),$Q1448,0)</f>
        <v>0</v>
      </c>
      <c r="S1448" s="64" t="n">
        <f aca="false">IF(AND($Q1448&gt;0,$O1448&gt;=AboveRank),$Q1448,0)</f>
        <v>0</v>
      </c>
      <c r="T1448" s="64" t="n">
        <f aca="false">IF($K1448="Less",$P1448,0)</f>
        <v>0</v>
      </c>
      <c r="U1448" s="64" t="n">
        <f aca="false">IF($K1448="Expected",$P1448,0)</f>
        <v>0</v>
      </c>
      <c r="V1448" s="64" t="n">
        <f aca="false">IF($K1448="Better",$P1448,0)</f>
        <v>0</v>
      </c>
      <c r="W1448" s="64" t="n">
        <f aca="false">IF($K1448="U – needs rule",$P1448,0)</f>
        <v>0</v>
      </c>
      <c r="X1448" s="64" t="n">
        <f aca="false">IF($K1448="No Start (attainment only)",$P1448,0)</f>
        <v>0</v>
      </c>
    </row>
    <row r="1449" customFormat="false" ht="15" hidden="false" customHeight="false" outlineLevel="0" collapsed="false">
      <c r="A1449" s="60"/>
      <c r="B1449" s="61" t="str">
        <f aca="false">IF($M1449=0,"",INDEX(Classes!$E$6:$E$420,$M1449))</f>
        <v/>
      </c>
      <c r="C1449" s="62" t="str">
        <f aca="false">IF($M1449=0,"",INDEX(Classes!$H$6:$H$420,$M1449))</f>
        <v/>
      </c>
      <c r="D1449" s="61" t="str">
        <f aca="false">IF($M1449=0,"",INDEX(Classes!$B$6:$B$420,$M1449))</f>
        <v/>
      </c>
      <c r="E1449" s="61" t="str">
        <f aca="false">IF($M1449=0,"",INDEX(Classes!$C$6:$C$420,$M1449))</f>
        <v/>
      </c>
      <c r="F1449" s="63"/>
      <c r="G1449" s="63"/>
      <c r="H1449" s="60"/>
      <c r="I1449" s="60"/>
      <c r="J1449" s="63"/>
      <c r="K1449" s="61" t="str">
        <f aca="false">IF($P1449=0,"",IF($F1449="Baseline","— Baseline",IF($O1449=0,"No result",IF($N1449=0,"No Start (attainment only)",IF(OR($N1449=1,$O1449=1),"U – needs rule",INDEX(MxBody,MATCH($I1449,MxCurr,0),MATCH($H1449,MxStart,0)))))))</f>
        <v/>
      </c>
      <c r="L1449" s="62" t="str">
        <f aca="false">IF(COUNTA($A1449,$F1449,$G1449,$H1449,$I1449,$J1449)=0,"",IF($M1449=0,"✖ كود الصف غير موجود",IF(ISNA(MATCH($F1449,Lists!$A$2:$A$5,0)),"✖ الفترة غير صحيحة",IF(ISNA(MATCH($G1449,Lists!$B$2:$B$7,0)),"✖ المجموعة غير صحيحة",IF(NOT(OR($H1449="",$N1449&gt;0)),"✖ Start غير صحيح",IF(NOT(OR($I1449="",$I1449="NR",$O1449&gt;0)),"✖ Current غير صحيح",IF(NOT(IF(ISNUMBER($J1449),AND($J1449&gt;=0,$J1449=INT($J1449)),FALSE())),"✖ العدد يجب أن يكون صحيحًا ≥ 0",IF(AND($F1449="Baseline",$H1449&lt;&gt;""),"⚠ Baseline: Start لا يدخل في التقدم",IF($K1449="No Start (attainment only)","ℹ تحصيل فقط (بدون Start)",IF($K1449="U – needs rule","ℹ حالة U تحتاج قاعدة معتمدة",IF($K1449="No result","ℹ بدون نتيجة (يُستبعد من التحصيل)","OK")))))))))))</f>
        <v/>
      </c>
      <c r="M1449" s="64" t="n">
        <f aca="false">IF($A1449="",0,IFERROR(MATCH($A1449,Classes!$A$6:$A$420,0),0))</f>
        <v>0</v>
      </c>
      <c r="N1449" s="64" t="n">
        <f aca="false">IF($H1449="",0,IFERROR(MATCH($H1449,GradeList,0),0))</f>
        <v>0</v>
      </c>
      <c r="O1449" s="64" t="n">
        <f aca="false">IF(OR($I1449="",$I1449="NR"),0,IFERROR(MATCH($I1449,GradeList,0),0))</f>
        <v>0</v>
      </c>
      <c r="P1449" s="64" t="n">
        <f aca="false">IF(AND($M1449&gt;0,ISNUMBER(MATCH($F1449,Lists!$A$2:$A$5,0)),ISNUMBER(MATCH($G1449,Lists!$B$2:$B$7,0)),OR($H1449="",$N1449&gt;0),OR($I1449="",$I1449="NR",$O1449&gt;0),IF(ISNUMBER($J1449),AND($J1449&gt;=0,$J1449=INT($J1449)),FALSE())),$J1449,0)</f>
        <v>0</v>
      </c>
      <c r="Q1449" s="64" t="n">
        <f aca="false">IF(AND($P1449&gt;0,$O1449&gt;0),$P1449,0)</f>
        <v>0</v>
      </c>
      <c r="R1449" s="64" t="n">
        <f aca="false">IF(AND($Q1449&gt;0,$O1449&gt;=AtRank),$Q1449,0)</f>
        <v>0</v>
      </c>
      <c r="S1449" s="64" t="n">
        <f aca="false">IF(AND($Q1449&gt;0,$O1449&gt;=AboveRank),$Q1449,0)</f>
        <v>0</v>
      </c>
      <c r="T1449" s="64" t="n">
        <f aca="false">IF($K1449="Less",$P1449,0)</f>
        <v>0</v>
      </c>
      <c r="U1449" s="64" t="n">
        <f aca="false">IF($K1449="Expected",$P1449,0)</f>
        <v>0</v>
      </c>
      <c r="V1449" s="64" t="n">
        <f aca="false">IF($K1449="Better",$P1449,0)</f>
        <v>0</v>
      </c>
      <c r="W1449" s="64" t="n">
        <f aca="false">IF($K1449="U – needs rule",$P1449,0)</f>
        <v>0</v>
      </c>
      <c r="X1449" s="64" t="n">
        <f aca="false">IF($K1449="No Start (attainment only)",$P1449,0)</f>
        <v>0</v>
      </c>
    </row>
    <row r="1450" customFormat="false" ht="15" hidden="false" customHeight="false" outlineLevel="0" collapsed="false">
      <c r="A1450" s="60"/>
      <c r="B1450" s="61" t="str">
        <f aca="false">IF($M1450=0,"",INDEX(Classes!$E$6:$E$420,$M1450))</f>
        <v/>
      </c>
      <c r="C1450" s="62" t="str">
        <f aca="false">IF($M1450=0,"",INDEX(Classes!$H$6:$H$420,$M1450))</f>
        <v/>
      </c>
      <c r="D1450" s="61" t="str">
        <f aca="false">IF($M1450=0,"",INDEX(Classes!$B$6:$B$420,$M1450))</f>
        <v/>
      </c>
      <c r="E1450" s="61" t="str">
        <f aca="false">IF($M1450=0,"",INDEX(Classes!$C$6:$C$420,$M1450))</f>
        <v/>
      </c>
      <c r="F1450" s="63"/>
      <c r="G1450" s="63"/>
      <c r="H1450" s="60"/>
      <c r="I1450" s="60"/>
      <c r="J1450" s="63"/>
      <c r="K1450" s="61" t="str">
        <f aca="false">IF($P1450=0,"",IF($F1450="Baseline","— Baseline",IF($O1450=0,"No result",IF($N1450=0,"No Start (attainment only)",IF(OR($N1450=1,$O1450=1),"U – needs rule",INDEX(MxBody,MATCH($I1450,MxCurr,0),MATCH($H1450,MxStart,0)))))))</f>
        <v/>
      </c>
      <c r="L1450" s="62" t="str">
        <f aca="false">IF(COUNTA($A1450,$F1450,$G1450,$H1450,$I1450,$J1450)=0,"",IF($M1450=0,"✖ كود الصف غير موجود",IF(ISNA(MATCH($F1450,Lists!$A$2:$A$5,0)),"✖ الفترة غير صحيحة",IF(ISNA(MATCH($G1450,Lists!$B$2:$B$7,0)),"✖ المجموعة غير صحيحة",IF(NOT(OR($H1450="",$N1450&gt;0)),"✖ Start غير صحيح",IF(NOT(OR($I1450="",$I1450="NR",$O1450&gt;0)),"✖ Current غير صحيح",IF(NOT(IF(ISNUMBER($J1450),AND($J1450&gt;=0,$J1450=INT($J1450)),FALSE())),"✖ العدد يجب أن يكون صحيحًا ≥ 0",IF(AND($F1450="Baseline",$H1450&lt;&gt;""),"⚠ Baseline: Start لا يدخل في التقدم",IF($K1450="No Start (attainment only)","ℹ تحصيل فقط (بدون Start)",IF($K1450="U – needs rule","ℹ حالة U تحتاج قاعدة معتمدة",IF($K1450="No result","ℹ بدون نتيجة (يُستبعد من التحصيل)","OK")))))))))))</f>
        <v/>
      </c>
      <c r="M1450" s="64" t="n">
        <f aca="false">IF($A1450="",0,IFERROR(MATCH($A1450,Classes!$A$6:$A$420,0),0))</f>
        <v>0</v>
      </c>
      <c r="N1450" s="64" t="n">
        <f aca="false">IF($H1450="",0,IFERROR(MATCH($H1450,GradeList,0),0))</f>
        <v>0</v>
      </c>
      <c r="O1450" s="64" t="n">
        <f aca="false">IF(OR($I1450="",$I1450="NR"),0,IFERROR(MATCH($I1450,GradeList,0),0))</f>
        <v>0</v>
      </c>
      <c r="P1450" s="64" t="n">
        <f aca="false">IF(AND($M1450&gt;0,ISNUMBER(MATCH($F1450,Lists!$A$2:$A$5,0)),ISNUMBER(MATCH($G1450,Lists!$B$2:$B$7,0)),OR($H1450="",$N1450&gt;0),OR($I1450="",$I1450="NR",$O1450&gt;0),IF(ISNUMBER($J1450),AND($J1450&gt;=0,$J1450=INT($J1450)),FALSE())),$J1450,0)</f>
        <v>0</v>
      </c>
      <c r="Q1450" s="64" t="n">
        <f aca="false">IF(AND($P1450&gt;0,$O1450&gt;0),$P1450,0)</f>
        <v>0</v>
      </c>
      <c r="R1450" s="64" t="n">
        <f aca="false">IF(AND($Q1450&gt;0,$O1450&gt;=AtRank),$Q1450,0)</f>
        <v>0</v>
      </c>
      <c r="S1450" s="64" t="n">
        <f aca="false">IF(AND($Q1450&gt;0,$O1450&gt;=AboveRank),$Q1450,0)</f>
        <v>0</v>
      </c>
      <c r="T1450" s="64" t="n">
        <f aca="false">IF($K1450="Less",$P1450,0)</f>
        <v>0</v>
      </c>
      <c r="U1450" s="64" t="n">
        <f aca="false">IF($K1450="Expected",$P1450,0)</f>
        <v>0</v>
      </c>
      <c r="V1450" s="64" t="n">
        <f aca="false">IF($K1450="Better",$P1450,0)</f>
        <v>0</v>
      </c>
      <c r="W1450" s="64" t="n">
        <f aca="false">IF($K1450="U – needs rule",$P1450,0)</f>
        <v>0</v>
      </c>
      <c r="X1450" s="64" t="n">
        <f aca="false">IF($K1450="No Start (attainment only)",$P1450,0)</f>
        <v>0</v>
      </c>
    </row>
    <row r="1451" customFormat="false" ht="15" hidden="false" customHeight="false" outlineLevel="0" collapsed="false">
      <c r="A1451" s="60"/>
      <c r="B1451" s="61" t="str">
        <f aca="false">IF($M1451=0,"",INDEX(Classes!$E$6:$E$420,$M1451))</f>
        <v/>
      </c>
      <c r="C1451" s="62" t="str">
        <f aca="false">IF($M1451=0,"",INDEX(Classes!$H$6:$H$420,$M1451))</f>
        <v/>
      </c>
      <c r="D1451" s="61" t="str">
        <f aca="false">IF($M1451=0,"",INDEX(Classes!$B$6:$B$420,$M1451))</f>
        <v/>
      </c>
      <c r="E1451" s="61" t="str">
        <f aca="false">IF($M1451=0,"",INDEX(Classes!$C$6:$C$420,$M1451))</f>
        <v/>
      </c>
      <c r="F1451" s="63"/>
      <c r="G1451" s="63"/>
      <c r="H1451" s="60"/>
      <c r="I1451" s="60"/>
      <c r="J1451" s="63"/>
      <c r="K1451" s="61" t="str">
        <f aca="false">IF($P1451=0,"",IF($F1451="Baseline","— Baseline",IF($O1451=0,"No result",IF($N1451=0,"No Start (attainment only)",IF(OR($N1451=1,$O1451=1),"U – needs rule",INDEX(MxBody,MATCH($I1451,MxCurr,0),MATCH($H1451,MxStart,0)))))))</f>
        <v/>
      </c>
      <c r="L1451" s="62" t="str">
        <f aca="false">IF(COUNTA($A1451,$F1451,$G1451,$H1451,$I1451,$J1451)=0,"",IF($M1451=0,"✖ كود الصف غير موجود",IF(ISNA(MATCH($F1451,Lists!$A$2:$A$5,0)),"✖ الفترة غير صحيحة",IF(ISNA(MATCH($G1451,Lists!$B$2:$B$7,0)),"✖ المجموعة غير صحيحة",IF(NOT(OR($H1451="",$N1451&gt;0)),"✖ Start غير صحيح",IF(NOT(OR($I1451="",$I1451="NR",$O1451&gt;0)),"✖ Current غير صحيح",IF(NOT(IF(ISNUMBER($J1451),AND($J1451&gt;=0,$J1451=INT($J1451)),FALSE())),"✖ العدد يجب أن يكون صحيحًا ≥ 0",IF(AND($F1451="Baseline",$H1451&lt;&gt;""),"⚠ Baseline: Start لا يدخل في التقدم",IF($K1451="No Start (attainment only)","ℹ تحصيل فقط (بدون Start)",IF($K1451="U – needs rule","ℹ حالة U تحتاج قاعدة معتمدة",IF($K1451="No result","ℹ بدون نتيجة (يُستبعد من التحصيل)","OK")))))))))))</f>
        <v/>
      </c>
      <c r="M1451" s="64" t="n">
        <f aca="false">IF($A1451="",0,IFERROR(MATCH($A1451,Classes!$A$6:$A$420,0),0))</f>
        <v>0</v>
      </c>
      <c r="N1451" s="64" t="n">
        <f aca="false">IF($H1451="",0,IFERROR(MATCH($H1451,GradeList,0),0))</f>
        <v>0</v>
      </c>
      <c r="O1451" s="64" t="n">
        <f aca="false">IF(OR($I1451="",$I1451="NR"),0,IFERROR(MATCH($I1451,GradeList,0),0))</f>
        <v>0</v>
      </c>
      <c r="P1451" s="64" t="n">
        <f aca="false">IF(AND($M1451&gt;0,ISNUMBER(MATCH($F1451,Lists!$A$2:$A$5,0)),ISNUMBER(MATCH($G1451,Lists!$B$2:$B$7,0)),OR($H1451="",$N1451&gt;0),OR($I1451="",$I1451="NR",$O1451&gt;0),IF(ISNUMBER($J1451),AND($J1451&gt;=0,$J1451=INT($J1451)),FALSE())),$J1451,0)</f>
        <v>0</v>
      </c>
      <c r="Q1451" s="64" t="n">
        <f aca="false">IF(AND($P1451&gt;0,$O1451&gt;0),$P1451,0)</f>
        <v>0</v>
      </c>
      <c r="R1451" s="64" t="n">
        <f aca="false">IF(AND($Q1451&gt;0,$O1451&gt;=AtRank),$Q1451,0)</f>
        <v>0</v>
      </c>
      <c r="S1451" s="64" t="n">
        <f aca="false">IF(AND($Q1451&gt;0,$O1451&gt;=AboveRank),$Q1451,0)</f>
        <v>0</v>
      </c>
      <c r="T1451" s="64" t="n">
        <f aca="false">IF($K1451="Less",$P1451,0)</f>
        <v>0</v>
      </c>
      <c r="U1451" s="64" t="n">
        <f aca="false">IF($K1451="Expected",$P1451,0)</f>
        <v>0</v>
      </c>
      <c r="V1451" s="64" t="n">
        <f aca="false">IF($K1451="Better",$P1451,0)</f>
        <v>0</v>
      </c>
      <c r="W1451" s="64" t="n">
        <f aca="false">IF($K1451="U – needs rule",$P1451,0)</f>
        <v>0</v>
      </c>
      <c r="X1451" s="64" t="n">
        <f aca="false">IF($K1451="No Start (attainment only)",$P1451,0)</f>
        <v>0</v>
      </c>
    </row>
    <row r="1452" customFormat="false" ht="15" hidden="false" customHeight="false" outlineLevel="0" collapsed="false">
      <c r="A1452" s="60"/>
      <c r="B1452" s="61" t="str">
        <f aca="false">IF($M1452=0,"",INDEX(Classes!$E$6:$E$420,$M1452))</f>
        <v/>
      </c>
      <c r="C1452" s="62" t="str">
        <f aca="false">IF($M1452=0,"",INDEX(Classes!$H$6:$H$420,$M1452))</f>
        <v/>
      </c>
      <c r="D1452" s="61" t="str">
        <f aca="false">IF($M1452=0,"",INDEX(Classes!$B$6:$B$420,$M1452))</f>
        <v/>
      </c>
      <c r="E1452" s="61" t="str">
        <f aca="false">IF($M1452=0,"",INDEX(Classes!$C$6:$C$420,$M1452))</f>
        <v/>
      </c>
      <c r="F1452" s="63"/>
      <c r="G1452" s="63"/>
      <c r="H1452" s="60"/>
      <c r="I1452" s="60"/>
      <c r="J1452" s="63"/>
      <c r="K1452" s="61" t="str">
        <f aca="false">IF($P1452=0,"",IF($F1452="Baseline","— Baseline",IF($O1452=0,"No result",IF($N1452=0,"No Start (attainment only)",IF(OR($N1452=1,$O1452=1),"U – needs rule",INDEX(MxBody,MATCH($I1452,MxCurr,0),MATCH($H1452,MxStart,0)))))))</f>
        <v/>
      </c>
      <c r="L1452" s="62" t="str">
        <f aca="false">IF(COUNTA($A1452,$F1452,$G1452,$H1452,$I1452,$J1452)=0,"",IF($M1452=0,"✖ كود الصف غير موجود",IF(ISNA(MATCH($F1452,Lists!$A$2:$A$5,0)),"✖ الفترة غير صحيحة",IF(ISNA(MATCH($G1452,Lists!$B$2:$B$7,0)),"✖ المجموعة غير صحيحة",IF(NOT(OR($H1452="",$N1452&gt;0)),"✖ Start غير صحيح",IF(NOT(OR($I1452="",$I1452="NR",$O1452&gt;0)),"✖ Current غير صحيح",IF(NOT(IF(ISNUMBER($J1452),AND($J1452&gt;=0,$J1452=INT($J1452)),FALSE())),"✖ العدد يجب أن يكون صحيحًا ≥ 0",IF(AND($F1452="Baseline",$H1452&lt;&gt;""),"⚠ Baseline: Start لا يدخل في التقدم",IF($K1452="No Start (attainment only)","ℹ تحصيل فقط (بدون Start)",IF($K1452="U – needs rule","ℹ حالة U تحتاج قاعدة معتمدة",IF($K1452="No result","ℹ بدون نتيجة (يُستبعد من التحصيل)","OK")))))))))))</f>
        <v/>
      </c>
      <c r="M1452" s="64" t="n">
        <f aca="false">IF($A1452="",0,IFERROR(MATCH($A1452,Classes!$A$6:$A$420,0),0))</f>
        <v>0</v>
      </c>
      <c r="N1452" s="64" t="n">
        <f aca="false">IF($H1452="",0,IFERROR(MATCH($H1452,GradeList,0),0))</f>
        <v>0</v>
      </c>
      <c r="O1452" s="64" t="n">
        <f aca="false">IF(OR($I1452="",$I1452="NR"),0,IFERROR(MATCH($I1452,GradeList,0),0))</f>
        <v>0</v>
      </c>
      <c r="P1452" s="64" t="n">
        <f aca="false">IF(AND($M1452&gt;0,ISNUMBER(MATCH($F1452,Lists!$A$2:$A$5,0)),ISNUMBER(MATCH($G1452,Lists!$B$2:$B$7,0)),OR($H1452="",$N1452&gt;0),OR($I1452="",$I1452="NR",$O1452&gt;0),IF(ISNUMBER($J1452),AND($J1452&gt;=0,$J1452=INT($J1452)),FALSE())),$J1452,0)</f>
        <v>0</v>
      </c>
      <c r="Q1452" s="64" t="n">
        <f aca="false">IF(AND($P1452&gt;0,$O1452&gt;0),$P1452,0)</f>
        <v>0</v>
      </c>
      <c r="R1452" s="64" t="n">
        <f aca="false">IF(AND($Q1452&gt;0,$O1452&gt;=AtRank),$Q1452,0)</f>
        <v>0</v>
      </c>
      <c r="S1452" s="64" t="n">
        <f aca="false">IF(AND($Q1452&gt;0,$O1452&gt;=AboveRank),$Q1452,0)</f>
        <v>0</v>
      </c>
      <c r="T1452" s="64" t="n">
        <f aca="false">IF($K1452="Less",$P1452,0)</f>
        <v>0</v>
      </c>
      <c r="U1452" s="64" t="n">
        <f aca="false">IF($K1452="Expected",$P1452,0)</f>
        <v>0</v>
      </c>
      <c r="V1452" s="64" t="n">
        <f aca="false">IF($K1452="Better",$P1452,0)</f>
        <v>0</v>
      </c>
      <c r="W1452" s="64" t="n">
        <f aca="false">IF($K1452="U – needs rule",$P1452,0)</f>
        <v>0</v>
      </c>
      <c r="X1452" s="64" t="n">
        <f aca="false">IF($K1452="No Start (attainment only)",$P1452,0)</f>
        <v>0</v>
      </c>
    </row>
    <row r="1453" customFormat="false" ht="15" hidden="false" customHeight="false" outlineLevel="0" collapsed="false">
      <c r="A1453" s="60"/>
      <c r="B1453" s="61" t="str">
        <f aca="false">IF($M1453=0,"",INDEX(Classes!$E$6:$E$420,$M1453))</f>
        <v/>
      </c>
      <c r="C1453" s="62" t="str">
        <f aca="false">IF($M1453=0,"",INDEX(Classes!$H$6:$H$420,$M1453))</f>
        <v/>
      </c>
      <c r="D1453" s="61" t="str">
        <f aca="false">IF($M1453=0,"",INDEX(Classes!$B$6:$B$420,$M1453))</f>
        <v/>
      </c>
      <c r="E1453" s="61" t="str">
        <f aca="false">IF($M1453=0,"",INDEX(Classes!$C$6:$C$420,$M1453))</f>
        <v/>
      </c>
      <c r="F1453" s="63"/>
      <c r="G1453" s="63"/>
      <c r="H1453" s="60"/>
      <c r="I1453" s="60"/>
      <c r="J1453" s="63"/>
      <c r="K1453" s="61" t="str">
        <f aca="false">IF($P1453=0,"",IF($F1453="Baseline","— Baseline",IF($O1453=0,"No result",IF($N1453=0,"No Start (attainment only)",IF(OR($N1453=1,$O1453=1),"U – needs rule",INDEX(MxBody,MATCH($I1453,MxCurr,0),MATCH($H1453,MxStart,0)))))))</f>
        <v/>
      </c>
      <c r="L1453" s="62" t="str">
        <f aca="false">IF(COUNTA($A1453,$F1453,$G1453,$H1453,$I1453,$J1453)=0,"",IF($M1453=0,"✖ كود الصف غير موجود",IF(ISNA(MATCH($F1453,Lists!$A$2:$A$5,0)),"✖ الفترة غير صحيحة",IF(ISNA(MATCH($G1453,Lists!$B$2:$B$7,0)),"✖ المجموعة غير صحيحة",IF(NOT(OR($H1453="",$N1453&gt;0)),"✖ Start غير صحيح",IF(NOT(OR($I1453="",$I1453="NR",$O1453&gt;0)),"✖ Current غير صحيح",IF(NOT(IF(ISNUMBER($J1453),AND($J1453&gt;=0,$J1453=INT($J1453)),FALSE())),"✖ العدد يجب أن يكون صحيحًا ≥ 0",IF(AND($F1453="Baseline",$H1453&lt;&gt;""),"⚠ Baseline: Start لا يدخل في التقدم",IF($K1453="No Start (attainment only)","ℹ تحصيل فقط (بدون Start)",IF($K1453="U – needs rule","ℹ حالة U تحتاج قاعدة معتمدة",IF($K1453="No result","ℹ بدون نتيجة (يُستبعد من التحصيل)","OK")))))))))))</f>
        <v/>
      </c>
      <c r="M1453" s="64" t="n">
        <f aca="false">IF($A1453="",0,IFERROR(MATCH($A1453,Classes!$A$6:$A$420,0),0))</f>
        <v>0</v>
      </c>
      <c r="N1453" s="64" t="n">
        <f aca="false">IF($H1453="",0,IFERROR(MATCH($H1453,GradeList,0),0))</f>
        <v>0</v>
      </c>
      <c r="O1453" s="64" t="n">
        <f aca="false">IF(OR($I1453="",$I1453="NR"),0,IFERROR(MATCH($I1453,GradeList,0),0))</f>
        <v>0</v>
      </c>
      <c r="P1453" s="64" t="n">
        <f aca="false">IF(AND($M1453&gt;0,ISNUMBER(MATCH($F1453,Lists!$A$2:$A$5,0)),ISNUMBER(MATCH($G1453,Lists!$B$2:$B$7,0)),OR($H1453="",$N1453&gt;0),OR($I1453="",$I1453="NR",$O1453&gt;0),IF(ISNUMBER($J1453),AND($J1453&gt;=0,$J1453=INT($J1453)),FALSE())),$J1453,0)</f>
        <v>0</v>
      </c>
      <c r="Q1453" s="64" t="n">
        <f aca="false">IF(AND($P1453&gt;0,$O1453&gt;0),$P1453,0)</f>
        <v>0</v>
      </c>
      <c r="R1453" s="64" t="n">
        <f aca="false">IF(AND($Q1453&gt;0,$O1453&gt;=AtRank),$Q1453,0)</f>
        <v>0</v>
      </c>
      <c r="S1453" s="64" t="n">
        <f aca="false">IF(AND($Q1453&gt;0,$O1453&gt;=AboveRank),$Q1453,0)</f>
        <v>0</v>
      </c>
      <c r="T1453" s="64" t="n">
        <f aca="false">IF($K1453="Less",$P1453,0)</f>
        <v>0</v>
      </c>
      <c r="U1453" s="64" t="n">
        <f aca="false">IF($K1453="Expected",$P1453,0)</f>
        <v>0</v>
      </c>
      <c r="V1453" s="64" t="n">
        <f aca="false">IF($K1453="Better",$P1453,0)</f>
        <v>0</v>
      </c>
      <c r="W1453" s="64" t="n">
        <f aca="false">IF($K1453="U – needs rule",$P1453,0)</f>
        <v>0</v>
      </c>
      <c r="X1453" s="64" t="n">
        <f aca="false">IF($K1453="No Start (attainment only)",$P1453,0)</f>
        <v>0</v>
      </c>
    </row>
    <row r="1454" customFormat="false" ht="15" hidden="false" customHeight="false" outlineLevel="0" collapsed="false">
      <c r="A1454" s="60"/>
      <c r="B1454" s="61" t="str">
        <f aca="false">IF($M1454=0,"",INDEX(Classes!$E$6:$E$420,$M1454))</f>
        <v/>
      </c>
      <c r="C1454" s="62" t="str">
        <f aca="false">IF($M1454=0,"",INDEX(Classes!$H$6:$H$420,$M1454))</f>
        <v/>
      </c>
      <c r="D1454" s="61" t="str">
        <f aca="false">IF($M1454=0,"",INDEX(Classes!$B$6:$B$420,$M1454))</f>
        <v/>
      </c>
      <c r="E1454" s="61" t="str">
        <f aca="false">IF($M1454=0,"",INDEX(Classes!$C$6:$C$420,$M1454))</f>
        <v/>
      </c>
      <c r="F1454" s="63"/>
      <c r="G1454" s="63"/>
      <c r="H1454" s="60"/>
      <c r="I1454" s="60"/>
      <c r="J1454" s="63"/>
      <c r="K1454" s="61" t="str">
        <f aca="false">IF($P1454=0,"",IF($F1454="Baseline","— Baseline",IF($O1454=0,"No result",IF($N1454=0,"No Start (attainment only)",IF(OR($N1454=1,$O1454=1),"U – needs rule",INDEX(MxBody,MATCH($I1454,MxCurr,0),MATCH($H1454,MxStart,0)))))))</f>
        <v/>
      </c>
      <c r="L1454" s="62" t="str">
        <f aca="false">IF(COUNTA($A1454,$F1454,$G1454,$H1454,$I1454,$J1454)=0,"",IF($M1454=0,"✖ كود الصف غير موجود",IF(ISNA(MATCH($F1454,Lists!$A$2:$A$5,0)),"✖ الفترة غير صحيحة",IF(ISNA(MATCH($G1454,Lists!$B$2:$B$7,0)),"✖ المجموعة غير صحيحة",IF(NOT(OR($H1454="",$N1454&gt;0)),"✖ Start غير صحيح",IF(NOT(OR($I1454="",$I1454="NR",$O1454&gt;0)),"✖ Current غير صحيح",IF(NOT(IF(ISNUMBER($J1454),AND($J1454&gt;=0,$J1454=INT($J1454)),FALSE())),"✖ العدد يجب أن يكون صحيحًا ≥ 0",IF(AND($F1454="Baseline",$H1454&lt;&gt;""),"⚠ Baseline: Start لا يدخل في التقدم",IF($K1454="No Start (attainment only)","ℹ تحصيل فقط (بدون Start)",IF($K1454="U – needs rule","ℹ حالة U تحتاج قاعدة معتمدة",IF($K1454="No result","ℹ بدون نتيجة (يُستبعد من التحصيل)","OK")))))))))))</f>
        <v/>
      </c>
      <c r="M1454" s="64" t="n">
        <f aca="false">IF($A1454="",0,IFERROR(MATCH($A1454,Classes!$A$6:$A$420,0),0))</f>
        <v>0</v>
      </c>
      <c r="N1454" s="64" t="n">
        <f aca="false">IF($H1454="",0,IFERROR(MATCH($H1454,GradeList,0),0))</f>
        <v>0</v>
      </c>
      <c r="O1454" s="64" t="n">
        <f aca="false">IF(OR($I1454="",$I1454="NR"),0,IFERROR(MATCH($I1454,GradeList,0),0))</f>
        <v>0</v>
      </c>
      <c r="P1454" s="64" t="n">
        <f aca="false">IF(AND($M1454&gt;0,ISNUMBER(MATCH($F1454,Lists!$A$2:$A$5,0)),ISNUMBER(MATCH($G1454,Lists!$B$2:$B$7,0)),OR($H1454="",$N1454&gt;0),OR($I1454="",$I1454="NR",$O1454&gt;0),IF(ISNUMBER($J1454),AND($J1454&gt;=0,$J1454=INT($J1454)),FALSE())),$J1454,0)</f>
        <v>0</v>
      </c>
      <c r="Q1454" s="64" t="n">
        <f aca="false">IF(AND($P1454&gt;0,$O1454&gt;0),$P1454,0)</f>
        <v>0</v>
      </c>
      <c r="R1454" s="64" t="n">
        <f aca="false">IF(AND($Q1454&gt;0,$O1454&gt;=AtRank),$Q1454,0)</f>
        <v>0</v>
      </c>
      <c r="S1454" s="64" t="n">
        <f aca="false">IF(AND($Q1454&gt;0,$O1454&gt;=AboveRank),$Q1454,0)</f>
        <v>0</v>
      </c>
      <c r="T1454" s="64" t="n">
        <f aca="false">IF($K1454="Less",$P1454,0)</f>
        <v>0</v>
      </c>
      <c r="U1454" s="64" t="n">
        <f aca="false">IF($K1454="Expected",$P1454,0)</f>
        <v>0</v>
      </c>
      <c r="V1454" s="64" t="n">
        <f aca="false">IF($K1454="Better",$P1454,0)</f>
        <v>0</v>
      </c>
      <c r="W1454" s="64" t="n">
        <f aca="false">IF($K1454="U – needs rule",$P1454,0)</f>
        <v>0</v>
      </c>
      <c r="X1454" s="64" t="n">
        <f aca="false">IF($K1454="No Start (attainment only)",$P1454,0)</f>
        <v>0</v>
      </c>
    </row>
    <row r="1455" customFormat="false" ht="15" hidden="false" customHeight="false" outlineLevel="0" collapsed="false">
      <c r="A1455" s="60"/>
      <c r="B1455" s="61" t="str">
        <f aca="false">IF($M1455=0,"",INDEX(Classes!$E$6:$E$420,$M1455))</f>
        <v/>
      </c>
      <c r="C1455" s="62" t="str">
        <f aca="false">IF($M1455=0,"",INDEX(Classes!$H$6:$H$420,$M1455))</f>
        <v/>
      </c>
      <c r="D1455" s="61" t="str">
        <f aca="false">IF($M1455=0,"",INDEX(Classes!$B$6:$B$420,$M1455))</f>
        <v/>
      </c>
      <c r="E1455" s="61" t="str">
        <f aca="false">IF($M1455=0,"",INDEX(Classes!$C$6:$C$420,$M1455))</f>
        <v/>
      </c>
      <c r="F1455" s="63"/>
      <c r="G1455" s="63"/>
      <c r="H1455" s="60"/>
      <c r="I1455" s="60"/>
      <c r="J1455" s="63"/>
      <c r="K1455" s="61" t="str">
        <f aca="false">IF($P1455=0,"",IF($F1455="Baseline","— Baseline",IF($O1455=0,"No result",IF($N1455=0,"No Start (attainment only)",IF(OR($N1455=1,$O1455=1),"U – needs rule",INDEX(MxBody,MATCH($I1455,MxCurr,0),MATCH($H1455,MxStart,0)))))))</f>
        <v/>
      </c>
      <c r="L1455" s="62" t="str">
        <f aca="false">IF(COUNTA($A1455,$F1455,$G1455,$H1455,$I1455,$J1455)=0,"",IF($M1455=0,"✖ كود الصف غير موجود",IF(ISNA(MATCH($F1455,Lists!$A$2:$A$5,0)),"✖ الفترة غير صحيحة",IF(ISNA(MATCH($G1455,Lists!$B$2:$B$7,0)),"✖ المجموعة غير صحيحة",IF(NOT(OR($H1455="",$N1455&gt;0)),"✖ Start غير صحيح",IF(NOT(OR($I1455="",$I1455="NR",$O1455&gt;0)),"✖ Current غير صحيح",IF(NOT(IF(ISNUMBER($J1455),AND($J1455&gt;=0,$J1455=INT($J1455)),FALSE())),"✖ العدد يجب أن يكون صحيحًا ≥ 0",IF(AND($F1455="Baseline",$H1455&lt;&gt;""),"⚠ Baseline: Start لا يدخل في التقدم",IF($K1455="No Start (attainment only)","ℹ تحصيل فقط (بدون Start)",IF($K1455="U – needs rule","ℹ حالة U تحتاج قاعدة معتمدة",IF($K1455="No result","ℹ بدون نتيجة (يُستبعد من التحصيل)","OK")))))))))))</f>
        <v/>
      </c>
      <c r="M1455" s="64" t="n">
        <f aca="false">IF($A1455="",0,IFERROR(MATCH($A1455,Classes!$A$6:$A$420,0),0))</f>
        <v>0</v>
      </c>
      <c r="N1455" s="64" t="n">
        <f aca="false">IF($H1455="",0,IFERROR(MATCH($H1455,GradeList,0),0))</f>
        <v>0</v>
      </c>
      <c r="O1455" s="64" t="n">
        <f aca="false">IF(OR($I1455="",$I1455="NR"),0,IFERROR(MATCH($I1455,GradeList,0),0))</f>
        <v>0</v>
      </c>
      <c r="P1455" s="64" t="n">
        <f aca="false">IF(AND($M1455&gt;0,ISNUMBER(MATCH($F1455,Lists!$A$2:$A$5,0)),ISNUMBER(MATCH($G1455,Lists!$B$2:$B$7,0)),OR($H1455="",$N1455&gt;0),OR($I1455="",$I1455="NR",$O1455&gt;0),IF(ISNUMBER($J1455),AND($J1455&gt;=0,$J1455=INT($J1455)),FALSE())),$J1455,0)</f>
        <v>0</v>
      </c>
      <c r="Q1455" s="64" t="n">
        <f aca="false">IF(AND($P1455&gt;0,$O1455&gt;0),$P1455,0)</f>
        <v>0</v>
      </c>
      <c r="R1455" s="64" t="n">
        <f aca="false">IF(AND($Q1455&gt;0,$O1455&gt;=AtRank),$Q1455,0)</f>
        <v>0</v>
      </c>
      <c r="S1455" s="64" t="n">
        <f aca="false">IF(AND($Q1455&gt;0,$O1455&gt;=AboveRank),$Q1455,0)</f>
        <v>0</v>
      </c>
      <c r="T1455" s="64" t="n">
        <f aca="false">IF($K1455="Less",$P1455,0)</f>
        <v>0</v>
      </c>
      <c r="U1455" s="64" t="n">
        <f aca="false">IF($K1455="Expected",$P1455,0)</f>
        <v>0</v>
      </c>
      <c r="V1455" s="64" t="n">
        <f aca="false">IF($K1455="Better",$P1455,0)</f>
        <v>0</v>
      </c>
      <c r="W1455" s="64" t="n">
        <f aca="false">IF($K1455="U – needs rule",$P1455,0)</f>
        <v>0</v>
      </c>
      <c r="X1455" s="64" t="n">
        <f aca="false">IF($K1455="No Start (attainment only)",$P1455,0)</f>
        <v>0</v>
      </c>
    </row>
    <row r="1456" customFormat="false" ht="15" hidden="false" customHeight="false" outlineLevel="0" collapsed="false">
      <c r="A1456" s="60"/>
      <c r="B1456" s="61" t="str">
        <f aca="false">IF($M1456=0,"",INDEX(Classes!$E$6:$E$420,$M1456))</f>
        <v/>
      </c>
      <c r="C1456" s="62" t="str">
        <f aca="false">IF($M1456=0,"",INDEX(Classes!$H$6:$H$420,$M1456))</f>
        <v/>
      </c>
      <c r="D1456" s="61" t="str">
        <f aca="false">IF($M1456=0,"",INDEX(Classes!$B$6:$B$420,$M1456))</f>
        <v/>
      </c>
      <c r="E1456" s="61" t="str">
        <f aca="false">IF($M1456=0,"",INDEX(Classes!$C$6:$C$420,$M1456))</f>
        <v/>
      </c>
      <c r="F1456" s="63"/>
      <c r="G1456" s="63"/>
      <c r="H1456" s="60"/>
      <c r="I1456" s="60"/>
      <c r="J1456" s="63"/>
      <c r="K1456" s="61" t="str">
        <f aca="false">IF($P1456=0,"",IF($F1456="Baseline","— Baseline",IF($O1456=0,"No result",IF($N1456=0,"No Start (attainment only)",IF(OR($N1456=1,$O1456=1),"U – needs rule",INDEX(MxBody,MATCH($I1456,MxCurr,0),MATCH($H1456,MxStart,0)))))))</f>
        <v/>
      </c>
      <c r="L1456" s="62" t="str">
        <f aca="false">IF(COUNTA($A1456,$F1456,$G1456,$H1456,$I1456,$J1456)=0,"",IF($M1456=0,"✖ كود الصف غير موجود",IF(ISNA(MATCH($F1456,Lists!$A$2:$A$5,0)),"✖ الفترة غير صحيحة",IF(ISNA(MATCH($G1456,Lists!$B$2:$B$7,0)),"✖ المجموعة غير صحيحة",IF(NOT(OR($H1456="",$N1456&gt;0)),"✖ Start غير صحيح",IF(NOT(OR($I1456="",$I1456="NR",$O1456&gt;0)),"✖ Current غير صحيح",IF(NOT(IF(ISNUMBER($J1456),AND($J1456&gt;=0,$J1456=INT($J1456)),FALSE())),"✖ العدد يجب أن يكون صحيحًا ≥ 0",IF(AND($F1456="Baseline",$H1456&lt;&gt;""),"⚠ Baseline: Start لا يدخل في التقدم",IF($K1456="No Start (attainment only)","ℹ تحصيل فقط (بدون Start)",IF($K1456="U – needs rule","ℹ حالة U تحتاج قاعدة معتمدة",IF($K1456="No result","ℹ بدون نتيجة (يُستبعد من التحصيل)","OK")))))))))))</f>
        <v/>
      </c>
      <c r="M1456" s="64" t="n">
        <f aca="false">IF($A1456="",0,IFERROR(MATCH($A1456,Classes!$A$6:$A$420,0),0))</f>
        <v>0</v>
      </c>
      <c r="N1456" s="64" t="n">
        <f aca="false">IF($H1456="",0,IFERROR(MATCH($H1456,GradeList,0),0))</f>
        <v>0</v>
      </c>
      <c r="O1456" s="64" t="n">
        <f aca="false">IF(OR($I1456="",$I1456="NR"),0,IFERROR(MATCH($I1456,GradeList,0),0))</f>
        <v>0</v>
      </c>
      <c r="P1456" s="64" t="n">
        <f aca="false">IF(AND($M1456&gt;0,ISNUMBER(MATCH($F1456,Lists!$A$2:$A$5,0)),ISNUMBER(MATCH($G1456,Lists!$B$2:$B$7,0)),OR($H1456="",$N1456&gt;0),OR($I1456="",$I1456="NR",$O1456&gt;0),IF(ISNUMBER($J1456),AND($J1456&gt;=0,$J1456=INT($J1456)),FALSE())),$J1456,0)</f>
        <v>0</v>
      </c>
      <c r="Q1456" s="64" t="n">
        <f aca="false">IF(AND($P1456&gt;0,$O1456&gt;0),$P1456,0)</f>
        <v>0</v>
      </c>
      <c r="R1456" s="64" t="n">
        <f aca="false">IF(AND($Q1456&gt;0,$O1456&gt;=AtRank),$Q1456,0)</f>
        <v>0</v>
      </c>
      <c r="S1456" s="64" t="n">
        <f aca="false">IF(AND($Q1456&gt;0,$O1456&gt;=AboveRank),$Q1456,0)</f>
        <v>0</v>
      </c>
      <c r="T1456" s="64" t="n">
        <f aca="false">IF($K1456="Less",$P1456,0)</f>
        <v>0</v>
      </c>
      <c r="U1456" s="64" t="n">
        <f aca="false">IF($K1456="Expected",$P1456,0)</f>
        <v>0</v>
      </c>
      <c r="V1456" s="64" t="n">
        <f aca="false">IF($K1456="Better",$P1456,0)</f>
        <v>0</v>
      </c>
      <c r="W1456" s="64" t="n">
        <f aca="false">IF($K1456="U – needs rule",$P1456,0)</f>
        <v>0</v>
      </c>
      <c r="X1456" s="64" t="n">
        <f aca="false">IF($K1456="No Start (attainment only)",$P1456,0)</f>
        <v>0</v>
      </c>
    </row>
    <row r="1457" customFormat="false" ht="15" hidden="false" customHeight="false" outlineLevel="0" collapsed="false">
      <c r="A1457" s="60"/>
      <c r="B1457" s="61" t="str">
        <f aca="false">IF($M1457=0,"",INDEX(Classes!$E$6:$E$420,$M1457))</f>
        <v/>
      </c>
      <c r="C1457" s="62" t="str">
        <f aca="false">IF($M1457=0,"",INDEX(Classes!$H$6:$H$420,$M1457))</f>
        <v/>
      </c>
      <c r="D1457" s="61" t="str">
        <f aca="false">IF($M1457=0,"",INDEX(Classes!$B$6:$B$420,$M1457))</f>
        <v/>
      </c>
      <c r="E1457" s="61" t="str">
        <f aca="false">IF($M1457=0,"",INDEX(Classes!$C$6:$C$420,$M1457))</f>
        <v/>
      </c>
      <c r="F1457" s="63"/>
      <c r="G1457" s="63"/>
      <c r="H1457" s="60"/>
      <c r="I1457" s="60"/>
      <c r="J1457" s="63"/>
      <c r="K1457" s="61" t="str">
        <f aca="false">IF($P1457=0,"",IF($F1457="Baseline","— Baseline",IF($O1457=0,"No result",IF($N1457=0,"No Start (attainment only)",IF(OR($N1457=1,$O1457=1),"U – needs rule",INDEX(MxBody,MATCH($I1457,MxCurr,0),MATCH($H1457,MxStart,0)))))))</f>
        <v/>
      </c>
      <c r="L1457" s="62" t="str">
        <f aca="false">IF(COUNTA($A1457,$F1457,$G1457,$H1457,$I1457,$J1457)=0,"",IF($M1457=0,"✖ كود الصف غير موجود",IF(ISNA(MATCH($F1457,Lists!$A$2:$A$5,0)),"✖ الفترة غير صحيحة",IF(ISNA(MATCH($G1457,Lists!$B$2:$B$7,0)),"✖ المجموعة غير صحيحة",IF(NOT(OR($H1457="",$N1457&gt;0)),"✖ Start غير صحيح",IF(NOT(OR($I1457="",$I1457="NR",$O1457&gt;0)),"✖ Current غير صحيح",IF(NOT(IF(ISNUMBER($J1457),AND($J1457&gt;=0,$J1457=INT($J1457)),FALSE())),"✖ العدد يجب أن يكون صحيحًا ≥ 0",IF(AND($F1457="Baseline",$H1457&lt;&gt;""),"⚠ Baseline: Start لا يدخل في التقدم",IF($K1457="No Start (attainment only)","ℹ تحصيل فقط (بدون Start)",IF($K1457="U – needs rule","ℹ حالة U تحتاج قاعدة معتمدة",IF($K1457="No result","ℹ بدون نتيجة (يُستبعد من التحصيل)","OK")))))))))))</f>
        <v/>
      </c>
      <c r="M1457" s="64" t="n">
        <f aca="false">IF($A1457="",0,IFERROR(MATCH($A1457,Classes!$A$6:$A$420,0),0))</f>
        <v>0</v>
      </c>
      <c r="N1457" s="64" t="n">
        <f aca="false">IF($H1457="",0,IFERROR(MATCH($H1457,GradeList,0),0))</f>
        <v>0</v>
      </c>
      <c r="O1457" s="64" t="n">
        <f aca="false">IF(OR($I1457="",$I1457="NR"),0,IFERROR(MATCH($I1457,GradeList,0),0))</f>
        <v>0</v>
      </c>
      <c r="P1457" s="64" t="n">
        <f aca="false">IF(AND($M1457&gt;0,ISNUMBER(MATCH($F1457,Lists!$A$2:$A$5,0)),ISNUMBER(MATCH($G1457,Lists!$B$2:$B$7,0)),OR($H1457="",$N1457&gt;0),OR($I1457="",$I1457="NR",$O1457&gt;0),IF(ISNUMBER($J1457),AND($J1457&gt;=0,$J1457=INT($J1457)),FALSE())),$J1457,0)</f>
        <v>0</v>
      </c>
      <c r="Q1457" s="64" t="n">
        <f aca="false">IF(AND($P1457&gt;0,$O1457&gt;0),$P1457,0)</f>
        <v>0</v>
      </c>
      <c r="R1457" s="64" t="n">
        <f aca="false">IF(AND($Q1457&gt;0,$O1457&gt;=AtRank),$Q1457,0)</f>
        <v>0</v>
      </c>
      <c r="S1457" s="64" t="n">
        <f aca="false">IF(AND($Q1457&gt;0,$O1457&gt;=AboveRank),$Q1457,0)</f>
        <v>0</v>
      </c>
      <c r="T1457" s="64" t="n">
        <f aca="false">IF($K1457="Less",$P1457,0)</f>
        <v>0</v>
      </c>
      <c r="U1457" s="64" t="n">
        <f aca="false">IF($K1457="Expected",$P1457,0)</f>
        <v>0</v>
      </c>
      <c r="V1457" s="64" t="n">
        <f aca="false">IF($K1457="Better",$P1457,0)</f>
        <v>0</v>
      </c>
      <c r="W1457" s="64" t="n">
        <f aca="false">IF($K1457="U – needs rule",$P1457,0)</f>
        <v>0</v>
      </c>
      <c r="X1457" s="64" t="n">
        <f aca="false">IF($K1457="No Start (attainment only)",$P1457,0)</f>
        <v>0</v>
      </c>
    </row>
    <row r="1458" customFormat="false" ht="15" hidden="false" customHeight="false" outlineLevel="0" collapsed="false">
      <c r="A1458" s="60"/>
      <c r="B1458" s="61" t="str">
        <f aca="false">IF($M1458=0,"",INDEX(Classes!$E$6:$E$420,$M1458))</f>
        <v/>
      </c>
      <c r="C1458" s="62" t="str">
        <f aca="false">IF($M1458=0,"",INDEX(Classes!$H$6:$H$420,$M1458))</f>
        <v/>
      </c>
      <c r="D1458" s="61" t="str">
        <f aca="false">IF($M1458=0,"",INDEX(Classes!$B$6:$B$420,$M1458))</f>
        <v/>
      </c>
      <c r="E1458" s="61" t="str">
        <f aca="false">IF($M1458=0,"",INDEX(Classes!$C$6:$C$420,$M1458))</f>
        <v/>
      </c>
      <c r="F1458" s="63"/>
      <c r="G1458" s="63"/>
      <c r="H1458" s="60"/>
      <c r="I1458" s="60"/>
      <c r="J1458" s="63"/>
      <c r="K1458" s="61" t="str">
        <f aca="false">IF($P1458=0,"",IF($F1458="Baseline","— Baseline",IF($O1458=0,"No result",IF($N1458=0,"No Start (attainment only)",IF(OR($N1458=1,$O1458=1),"U – needs rule",INDEX(MxBody,MATCH($I1458,MxCurr,0),MATCH($H1458,MxStart,0)))))))</f>
        <v/>
      </c>
      <c r="L1458" s="62" t="str">
        <f aca="false">IF(COUNTA($A1458,$F1458,$G1458,$H1458,$I1458,$J1458)=0,"",IF($M1458=0,"✖ كود الصف غير موجود",IF(ISNA(MATCH($F1458,Lists!$A$2:$A$5,0)),"✖ الفترة غير صحيحة",IF(ISNA(MATCH($G1458,Lists!$B$2:$B$7,0)),"✖ المجموعة غير صحيحة",IF(NOT(OR($H1458="",$N1458&gt;0)),"✖ Start غير صحيح",IF(NOT(OR($I1458="",$I1458="NR",$O1458&gt;0)),"✖ Current غير صحيح",IF(NOT(IF(ISNUMBER($J1458),AND($J1458&gt;=0,$J1458=INT($J1458)),FALSE())),"✖ العدد يجب أن يكون صحيحًا ≥ 0",IF(AND($F1458="Baseline",$H1458&lt;&gt;""),"⚠ Baseline: Start لا يدخل في التقدم",IF($K1458="No Start (attainment only)","ℹ تحصيل فقط (بدون Start)",IF($K1458="U – needs rule","ℹ حالة U تحتاج قاعدة معتمدة",IF($K1458="No result","ℹ بدون نتيجة (يُستبعد من التحصيل)","OK")))))))))))</f>
        <v/>
      </c>
      <c r="M1458" s="64" t="n">
        <f aca="false">IF($A1458="",0,IFERROR(MATCH($A1458,Classes!$A$6:$A$420,0),0))</f>
        <v>0</v>
      </c>
      <c r="N1458" s="64" t="n">
        <f aca="false">IF($H1458="",0,IFERROR(MATCH($H1458,GradeList,0),0))</f>
        <v>0</v>
      </c>
      <c r="O1458" s="64" t="n">
        <f aca="false">IF(OR($I1458="",$I1458="NR"),0,IFERROR(MATCH($I1458,GradeList,0),0))</f>
        <v>0</v>
      </c>
      <c r="P1458" s="64" t="n">
        <f aca="false">IF(AND($M1458&gt;0,ISNUMBER(MATCH($F1458,Lists!$A$2:$A$5,0)),ISNUMBER(MATCH($G1458,Lists!$B$2:$B$7,0)),OR($H1458="",$N1458&gt;0),OR($I1458="",$I1458="NR",$O1458&gt;0),IF(ISNUMBER($J1458),AND($J1458&gt;=0,$J1458=INT($J1458)),FALSE())),$J1458,0)</f>
        <v>0</v>
      </c>
      <c r="Q1458" s="64" t="n">
        <f aca="false">IF(AND($P1458&gt;0,$O1458&gt;0),$P1458,0)</f>
        <v>0</v>
      </c>
      <c r="R1458" s="64" t="n">
        <f aca="false">IF(AND($Q1458&gt;0,$O1458&gt;=AtRank),$Q1458,0)</f>
        <v>0</v>
      </c>
      <c r="S1458" s="64" t="n">
        <f aca="false">IF(AND($Q1458&gt;0,$O1458&gt;=AboveRank),$Q1458,0)</f>
        <v>0</v>
      </c>
      <c r="T1458" s="64" t="n">
        <f aca="false">IF($K1458="Less",$P1458,0)</f>
        <v>0</v>
      </c>
      <c r="U1458" s="64" t="n">
        <f aca="false">IF($K1458="Expected",$P1458,0)</f>
        <v>0</v>
      </c>
      <c r="V1458" s="64" t="n">
        <f aca="false">IF($K1458="Better",$P1458,0)</f>
        <v>0</v>
      </c>
      <c r="W1458" s="64" t="n">
        <f aca="false">IF($K1458="U – needs rule",$P1458,0)</f>
        <v>0</v>
      </c>
      <c r="X1458" s="64" t="n">
        <f aca="false">IF($K1458="No Start (attainment only)",$P1458,0)</f>
        <v>0</v>
      </c>
    </row>
    <row r="1459" customFormat="false" ht="15" hidden="false" customHeight="false" outlineLevel="0" collapsed="false">
      <c r="A1459" s="60"/>
      <c r="B1459" s="61" t="str">
        <f aca="false">IF($M1459=0,"",INDEX(Classes!$E$6:$E$420,$M1459))</f>
        <v/>
      </c>
      <c r="C1459" s="62" t="str">
        <f aca="false">IF($M1459=0,"",INDEX(Classes!$H$6:$H$420,$M1459))</f>
        <v/>
      </c>
      <c r="D1459" s="61" t="str">
        <f aca="false">IF($M1459=0,"",INDEX(Classes!$B$6:$B$420,$M1459))</f>
        <v/>
      </c>
      <c r="E1459" s="61" t="str">
        <f aca="false">IF($M1459=0,"",INDEX(Classes!$C$6:$C$420,$M1459))</f>
        <v/>
      </c>
      <c r="F1459" s="63"/>
      <c r="G1459" s="63"/>
      <c r="H1459" s="60"/>
      <c r="I1459" s="60"/>
      <c r="J1459" s="63"/>
      <c r="K1459" s="61" t="str">
        <f aca="false">IF($P1459=0,"",IF($F1459="Baseline","— Baseline",IF($O1459=0,"No result",IF($N1459=0,"No Start (attainment only)",IF(OR($N1459=1,$O1459=1),"U – needs rule",INDEX(MxBody,MATCH($I1459,MxCurr,0),MATCH($H1459,MxStart,0)))))))</f>
        <v/>
      </c>
      <c r="L1459" s="62" t="str">
        <f aca="false">IF(COUNTA($A1459,$F1459,$G1459,$H1459,$I1459,$J1459)=0,"",IF($M1459=0,"✖ كود الصف غير موجود",IF(ISNA(MATCH($F1459,Lists!$A$2:$A$5,0)),"✖ الفترة غير صحيحة",IF(ISNA(MATCH($G1459,Lists!$B$2:$B$7,0)),"✖ المجموعة غير صحيحة",IF(NOT(OR($H1459="",$N1459&gt;0)),"✖ Start غير صحيح",IF(NOT(OR($I1459="",$I1459="NR",$O1459&gt;0)),"✖ Current غير صحيح",IF(NOT(IF(ISNUMBER($J1459),AND($J1459&gt;=0,$J1459=INT($J1459)),FALSE())),"✖ العدد يجب أن يكون صحيحًا ≥ 0",IF(AND($F1459="Baseline",$H1459&lt;&gt;""),"⚠ Baseline: Start لا يدخل في التقدم",IF($K1459="No Start (attainment only)","ℹ تحصيل فقط (بدون Start)",IF($K1459="U – needs rule","ℹ حالة U تحتاج قاعدة معتمدة",IF($K1459="No result","ℹ بدون نتيجة (يُستبعد من التحصيل)","OK")))))))))))</f>
        <v/>
      </c>
      <c r="M1459" s="64" t="n">
        <f aca="false">IF($A1459="",0,IFERROR(MATCH($A1459,Classes!$A$6:$A$420,0),0))</f>
        <v>0</v>
      </c>
      <c r="N1459" s="64" t="n">
        <f aca="false">IF($H1459="",0,IFERROR(MATCH($H1459,GradeList,0),0))</f>
        <v>0</v>
      </c>
      <c r="O1459" s="64" t="n">
        <f aca="false">IF(OR($I1459="",$I1459="NR"),0,IFERROR(MATCH($I1459,GradeList,0),0))</f>
        <v>0</v>
      </c>
      <c r="P1459" s="64" t="n">
        <f aca="false">IF(AND($M1459&gt;0,ISNUMBER(MATCH($F1459,Lists!$A$2:$A$5,0)),ISNUMBER(MATCH($G1459,Lists!$B$2:$B$7,0)),OR($H1459="",$N1459&gt;0),OR($I1459="",$I1459="NR",$O1459&gt;0),IF(ISNUMBER($J1459),AND($J1459&gt;=0,$J1459=INT($J1459)),FALSE())),$J1459,0)</f>
        <v>0</v>
      </c>
      <c r="Q1459" s="64" t="n">
        <f aca="false">IF(AND($P1459&gt;0,$O1459&gt;0),$P1459,0)</f>
        <v>0</v>
      </c>
      <c r="R1459" s="64" t="n">
        <f aca="false">IF(AND($Q1459&gt;0,$O1459&gt;=AtRank),$Q1459,0)</f>
        <v>0</v>
      </c>
      <c r="S1459" s="64" t="n">
        <f aca="false">IF(AND($Q1459&gt;0,$O1459&gt;=AboveRank),$Q1459,0)</f>
        <v>0</v>
      </c>
      <c r="T1459" s="64" t="n">
        <f aca="false">IF($K1459="Less",$P1459,0)</f>
        <v>0</v>
      </c>
      <c r="U1459" s="64" t="n">
        <f aca="false">IF($K1459="Expected",$P1459,0)</f>
        <v>0</v>
      </c>
      <c r="V1459" s="64" t="n">
        <f aca="false">IF($K1459="Better",$P1459,0)</f>
        <v>0</v>
      </c>
      <c r="W1459" s="64" t="n">
        <f aca="false">IF($K1459="U – needs rule",$P1459,0)</f>
        <v>0</v>
      </c>
      <c r="X1459" s="64" t="n">
        <f aca="false">IF($K1459="No Start (attainment only)",$P1459,0)</f>
        <v>0</v>
      </c>
    </row>
    <row r="1460" customFormat="false" ht="15" hidden="false" customHeight="false" outlineLevel="0" collapsed="false">
      <c r="A1460" s="60"/>
      <c r="B1460" s="61" t="str">
        <f aca="false">IF($M1460=0,"",INDEX(Classes!$E$6:$E$420,$M1460))</f>
        <v/>
      </c>
      <c r="C1460" s="62" t="str">
        <f aca="false">IF($M1460=0,"",INDEX(Classes!$H$6:$H$420,$M1460))</f>
        <v/>
      </c>
      <c r="D1460" s="61" t="str">
        <f aca="false">IF($M1460=0,"",INDEX(Classes!$B$6:$B$420,$M1460))</f>
        <v/>
      </c>
      <c r="E1460" s="61" t="str">
        <f aca="false">IF($M1460=0,"",INDEX(Classes!$C$6:$C$420,$M1460))</f>
        <v/>
      </c>
      <c r="F1460" s="63"/>
      <c r="G1460" s="63"/>
      <c r="H1460" s="60"/>
      <c r="I1460" s="60"/>
      <c r="J1460" s="63"/>
      <c r="K1460" s="61" t="str">
        <f aca="false">IF($P1460=0,"",IF($F1460="Baseline","— Baseline",IF($O1460=0,"No result",IF($N1460=0,"No Start (attainment only)",IF(OR($N1460=1,$O1460=1),"U – needs rule",INDEX(MxBody,MATCH($I1460,MxCurr,0),MATCH($H1460,MxStart,0)))))))</f>
        <v/>
      </c>
      <c r="L1460" s="62" t="str">
        <f aca="false">IF(COUNTA($A1460,$F1460,$G1460,$H1460,$I1460,$J1460)=0,"",IF($M1460=0,"✖ كود الصف غير موجود",IF(ISNA(MATCH($F1460,Lists!$A$2:$A$5,0)),"✖ الفترة غير صحيحة",IF(ISNA(MATCH($G1460,Lists!$B$2:$B$7,0)),"✖ المجموعة غير صحيحة",IF(NOT(OR($H1460="",$N1460&gt;0)),"✖ Start غير صحيح",IF(NOT(OR($I1460="",$I1460="NR",$O1460&gt;0)),"✖ Current غير صحيح",IF(NOT(IF(ISNUMBER($J1460),AND($J1460&gt;=0,$J1460=INT($J1460)),FALSE())),"✖ العدد يجب أن يكون صحيحًا ≥ 0",IF(AND($F1460="Baseline",$H1460&lt;&gt;""),"⚠ Baseline: Start لا يدخل في التقدم",IF($K1460="No Start (attainment only)","ℹ تحصيل فقط (بدون Start)",IF($K1460="U – needs rule","ℹ حالة U تحتاج قاعدة معتمدة",IF($K1460="No result","ℹ بدون نتيجة (يُستبعد من التحصيل)","OK")))))))))))</f>
        <v/>
      </c>
      <c r="M1460" s="64" t="n">
        <f aca="false">IF($A1460="",0,IFERROR(MATCH($A1460,Classes!$A$6:$A$420,0),0))</f>
        <v>0</v>
      </c>
      <c r="N1460" s="64" t="n">
        <f aca="false">IF($H1460="",0,IFERROR(MATCH($H1460,GradeList,0),0))</f>
        <v>0</v>
      </c>
      <c r="O1460" s="64" t="n">
        <f aca="false">IF(OR($I1460="",$I1460="NR"),0,IFERROR(MATCH($I1460,GradeList,0),0))</f>
        <v>0</v>
      </c>
      <c r="P1460" s="64" t="n">
        <f aca="false">IF(AND($M1460&gt;0,ISNUMBER(MATCH($F1460,Lists!$A$2:$A$5,0)),ISNUMBER(MATCH($G1460,Lists!$B$2:$B$7,0)),OR($H1460="",$N1460&gt;0),OR($I1460="",$I1460="NR",$O1460&gt;0),IF(ISNUMBER($J1460),AND($J1460&gt;=0,$J1460=INT($J1460)),FALSE())),$J1460,0)</f>
        <v>0</v>
      </c>
      <c r="Q1460" s="64" t="n">
        <f aca="false">IF(AND($P1460&gt;0,$O1460&gt;0),$P1460,0)</f>
        <v>0</v>
      </c>
      <c r="R1460" s="64" t="n">
        <f aca="false">IF(AND($Q1460&gt;0,$O1460&gt;=AtRank),$Q1460,0)</f>
        <v>0</v>
      </c>
      <c r="S1460" s="64" t="n">
        <f aca="false">IF(AND($Q1460&gt;0,$O1460&gt;=AboveRank),$Q1460,0)</f>
        <v>0</v>
      </c>
      <c r="T1460" s="64" t="n">
        <f aca="false">IF($K1460="Less",$P1460,0)</f>
        <v>0</v>
      </c>
      <c r="U1460" s="64" t="n">
        <f aca="false">IF($K1460="Expected",$P1460,0)</f>
        <v>0</v>
      </c>
      <c r="V1460" s="64" t="n">
        <f aca="false">IF($K1460="Better",$P1460,0)</f>
        <v>0</v>
      </c>
      <c r="W1460" s="64" t="n">
        <f aca="false">IF($K1460="U – needs rule",$P1460,0)</f>
        <v>0</v>
      </c>
      <c r="X1460" s="64" t="n">
        <f aca="false">IF($K1460="No Start (attainment only)",$P1460,0)</f>
        <v>0</v>
      </c>
    </row>
    <row r="1461" customFormat="false" ht="15" hidden="false" customHeight="false" outlineLevel="0" collapsed="false">
      <c r="A1461" s="60"/>
      <c r="B1461" s="61" t="str">
        <f aca="false">IF($M1461=0,"",INDEX(Classes!$E$6:$E$420,$M1461))</f>
        <v/>
      </c>
      <c r="C1461" s="62" t="str">
        <f aca="false">IF($M1461=0,"",INDEX(Classes!$H$6:$H$420,$M1461))</f>
        <v/>
      </c>
      <c r="D1461" s="61" t="str">
        <f aca="false">IF($M1461=0,"",INDEX(Classes!$B$6:$B$420,$M1461))</f>
        <v/>
      </c>
      <c r="E1461" s="61" t="str">
        <f aca="false">IF($M1461=0,"",INDEX(Classes!$C$6:$C$420,$M1461))</f>
        <v/>
      </c>
      <c r="F1461" s="63"/>
      <c r="G1461" s="63"/>
      <c r="H1461" s="60"/>
      <c r="I1461" s="60"/>
      <c r="J1461" s="63"/>
      <c r="K1461" s="61" t="str">
        <f aca="false">IF($P1461=0,"",IF($F1461="Baseline","— Baseline",IF($O1461=0,"No result",IF($N1461=0,"No Start (attainment only)",IF(OR($N1461=1,$O1461=1),"U – needs rule",INDEX(MxBody,MATCH($I1461,MxCurr,0),MATCH($H1461,MxStart,0)))))))</f>
        <v/>
      </c>
      <c r="L1461" s="62" t="str">
        <f aca="false">IF(COUNTA($A1461,$F1461,$G1461,$H1461,$I1461,$J1461)=0,"",IF($M1461=0,"✖ كود الصف غير موجود",IF(ISNA(MATCH($F1461,Lists!$A$2:$A$5,0)),"✖ الفترة غير صحيحة",IF(ISNA(MATCH($G1461,Lists!$B$2:$B$7,0)),"✖ المجموعة غير صحيحة",IF(NOT(OR($H1461="",$N1461&gt;0)),"✖ Start غير صحيح",IF(NOT(OR($I1461="",$I1461="NR",$O1461&gt;0)),"✖ Current غير صحيح",IF(NOT(IF(ISNUMBER($J1461),AND($J1461&gt;=0,$J1461=INT($J1461)),FALSE())),"✖ العدد يجب أن يكون صحيحًا ≥ 0",IF(AND($F1461="Baseline",$H1461&lt;&gt;""),"⚠ Baseline: Start لا يدخل في التقدم",IF($K1461="No Start (attainment only)","ℹ تحصيل فقط (بدون Start)",IF($K1461="U – needs rule","ℹ حالة U تحتاج قاعدة معتمدة",IF($K1461="No result","ℹ بدون نتيجة (يُستبعد من التحصيل)","OK")))))))))))</f>
        <v/>
      </c>
      <c r="M1461" s="64" t="n">
        <f aca="false">IF($A1461="",0,IFERROR(MATCH($A1461,Classes!$A$6:$A$420,0),0))</f>
        <v>0</v>
      </c>
      <c r="N1461" s="64" t="n">
        <f aca="false">IF($H1461="",0,IFERROR(MATCH($H1461,GradeList,0),0))</f>
        <v>0</v>
      </c>
      <c r="O1461" s="64" t="n">
        <f aca="false">IF(OR($I1461="",$I1461="NR"),0,IFERROR(MATCH($I1461,GradeList,0),0))</f>
        <v>0</v>
      </c>
      <c r="P1461" s="64" t="n">
        <f aca="false">IF(AND($M1461&gt;0,ISNUMBER(MATCH($F1461,Lists!$A$2:$A$5,0)),ISNUMBER(MATCH($G1461,Lists!$B$2:$B$7,0)),OR($H1461="",$N1461&gt;0),OR($I1461="",$I1461="NR",$O1461&gt;0),IF(ISNUMBER($J1461),AND($J1461&gt;=0,$J1461=INT($J1461)),FALSE())),$J1461,0)</f>
        <v>0</v>
      </c>
      <c r="Q1461" s="64" t="n">
        <f aca="false">IF(AND($P1461&gt;0,$O1461&gt;0),$P1461,0)</f>
        <v>0</v>
      </c>
      <c r="R1461" s="64" t="n">
        <f aca="false">IF(AND($Q1461&gt;0,$O1461&gt;=AtRank),$Q1461,0)</f>
        <v>0</v>
      </c>
      <c r="S1461" s="64" t="n">
        <f aca="false">IF(AND($Q1461&gt;0,$O1461&gt;=AboveRank),$Q1461,0)</f>
        <v>0</v>
      </c>
      <c r="T1461" s="64" t="n">
        <f aca="false">IF($K1461="Less",$P1461,0)</f>
        <v>0</v>
      </c>
      <c r="U1461" s="64" t="n">
        <f aca="false">IF($K1461="Expected",$P1461,0)</f>
        <v>0</v>
      </c>
      <c r="V1461" s="64" t="n">
        <f aca="false">IF($K1461="Better",$P1461,0)</f>
        <v>0</v>
      </c>
      <c r="W1461" s="64" t="n">
        <f aca="false">IF($K1461="U – needs rule",$P1461,0)</f>
        <v>0</v>
      </c>
      <c r="X1461" s="64" t="n">
        <f aca="false">IF($K1461="No Start (attainment only)",$P1461,0)</f>
        <v>0</v>
      </c>
    </row>
    <row r="1462" customFormat="false" ht="15" hidden="false" customHeight="false" outlineLevel="0" collapsed="false">
      <c r="A1462" s="60"/>
      <c r="B1462" s="61" t="str">
        <f aca="false">IF($M1462=0,"",INDEX(Classes!$E$6:$E$420,$M1462))</f>
        <v/>
      </c>
      <c r="C1462" s="62" t="str">
        <f aca="false">IF($M1462=0,"",INDEX(Classes!$H$6:$H$420,$M1462))</f>
        <v/>
      </c>
      <c r="D1462" s="61" t="str">
        <f aca="false">IF($M1462=0,"",INDEX(Classes!$B$6:$B$420,$M1462))</f>
        <v/>
      </c>
      <c r="E1462" s="61" t="str">
        <f aca="false">IF($M1462=0,"",INDEX(Classes!$C$6:$C$420,$M1462))</f>
        <v/>
      </c>
      <c r="F1462" s="63"/>
      <c r="G1462" s="63"/>
      <c r="H1462" s="60"/>
      <c r="I1462" s="60"/>
      <c r="J1462" s="63"/>
      <c r="K1462" s="61" t="str">
        <f aca="false">IF($P1462=0,"",IF($F1462="Baseline","— Baseline",IF($O1462=0,"No result",IF($N1462=0,"No Start (attainment only)",IF(OR($N1462=1,$O1462=1),"U – needs rule",INDEX(MxBody,MATCH($I1462,MxCurr,0),MATCH($H1462,MxStart,0)))))))</f>
        <v/>
      </c>
      <c r="L1462" s="62" t="str">
        <f aca="false">IF(COUNTA($A1462,$F1462,$G1462,$H1462,$I1462,$J1462)=0,"",IF($M1462=0,"✖ كود الصف غير موجود",IF(ISNA(MATCH($F1462,Lists!$A$2:$A$5,0)),"✖ الفترة غير صحيحة",IF(ISNA(MATCH($G1462,Lists!$B$2:$B$7,0)),"✖ المجموعة غير صحيحة",IF(NOT(OR($H1462="",$N1462&gt;0)),"✖ Start غير صحيح",IF(NOT(OR($I1462="",$I1462="NR",$O1462&gt;0)),"✖ Current غير صحيح",IF(NOT(IF(ISNUMBER($J1462),AND($J1462&gt;=0,$J1462=INT($J1462)),FALSE())),"✖ العدد يجب أن يكون صحيحًا ≥ 0",IF(AND($F1462="Baseline",$H1462&lt;&gt;""),"⚠ Baseline: Start لا يدخل في التقدم",IF($K1462="No Start (attainment only)","ℹ تحصيل فقط (بدون Start)",IF($K1462="U – needs rule","ℹ حالة U تحتاج قاعدة معتمدة",IF($K1462="No result","ℹ بدون نتيجة (يُستبعد من التحصيل)","OK")))))))))))</f>
        <v/>
      </c>
      <c r="M1462" s="64" t="n">
        <f aca="false">IF($A1462="",0,IFERROR(MATCH($A1462,Classes!$A$6:$A$420,0),0))</f>
        <v>0</v>
      </c>
      <c r="N1462" s="64" t="n">
        <f aca="false">IF($H1462="",0,IFERROR(MATCH($H1462,GradeList,0),0))</f>
        <v>0</v>
      </c>
      <c r="O1462" s="64" t="n">
        <f aca="false">IF(OR($I1462="",$I1462="NR"),0,IFERROR(MATCH($I1462,GradeList,0),0))</f>
        <v>0</v>
      </c>
      <c r="P1462" s="64" t="n">
        <f aca="false">IF(AND($M1462&gt;0,ISNUMBER(MATCH($F1462,Lists!$A$2:$A$5,0)),ISNUMBER(MATCH($G1462,Lists!$B$2:$B$7,0)),OR($H1462="",$N1462&gt;0),OR($I1462="",$I1462="NR",$O1462&gt;0),IF(ISNUMBER($J1462),AND($J1462&gt;=0,$J1462=INT($J1462)),FALSE())),$J1462,0)</f>
        <v>0</v>
      </c>
      <c r="Q1462" s="64" t="n">
        <f aca="false">IF(AND($P1462&gt;0,$O1462&gt;0),$P1462,0)</f>
        <v>0</v>
      </c>
      <c r="R1462" s="64" t="n">
        <f aca="false">IF(AND($Q1462&gt;0,$O1462&gt;=AtRank),$Q1462,0)</f>
        <v>0</v>
      </c>
      <c r="S1462" s="64" t="n">
        <f aca="false">IF(AND($Q1462&gt;0,$O1462&gt;=AboveRank),$Q1462,0)</f>
        <v>0</v>
      </c>
      <c r="T1462" s="64" t="n">
        <f aca="false">IF($K1462="Less",$P1462,0)</f>
        <v>0</v>
      </c>
      <c r="U1462" s="64" t="n">
        <f aca="false">IF($K1462="Expected",$P1462,0)</f>
        <v>0</v>
      </c>
      <c r="V1462" s="64" t="n">
        <f aca="false">IF($K1462="Better",$P1462,0)</f>
        <v>0</v>
      </c>
      <c r="W1462" s="64" t="n">
        <f aca="false">IF($K1462="U – needs rule",$P1462,0)</f>
        <v>0</v>
      </c>
      <c r="X1462" s="64" t="n">
        <f aca="false">IF($K1462="No Start (attainment only)",$P1462,0)</f>
        <v>0</v>
      </c>
    </row>
    <row r="1463" customFormat="false" ht="15" hidden="false" customHeight="false" outlineLevel="0" collapsed="false">
      <c r="A1463" s="60"/>
      <c r="B1463" s="61" t="str">
        <f aca="false">IF($M1463=0,"",INDEX(Classes!$E$6:$E$420,$M1463))</f>
        <v/>
      </c>
      <c r="C1463" s="62" t="str">
        <f aca="false">IF($M1463=0,"",INDEX(Classes!$H$6:$H$420,$M1463))</f>
        <v/>
      </c>
      <c r="D1463" s="61" t="str">
        <f aca="false">IF($M1463=0,"",INDEX(Classes!$B$6:$B$420,$M1463))</f>
        <v/>
      </c>
      <c r="E1463" s="61" t="str">
        <f aca="false">IF($M1463=0,"",INDEX(Classes!$C$6:$C$420,$M1463))</f>
        <v/>
      </c>
      <c r="F1463" s="63"/>
      <c r="G1463" s="63"/>
      <c r="H1463" s="60"/>
      <c r="I1463" s="60"/>
      <c r="J1463" s="63"/>
      <c r="K1463" s="61" t="str">
        <f aca="false">IF($P1463=0,"",IF($F1463="Baseline","— Baseline",IF($O1463=0,"No result",IF($N1463=0,"No Start (attainment only)",IF(OR($N1463=1,$O1463=1),"U – needs rule",INDEX(MxBody,MATCH($I1463,MxCurr,0),MATCH($H1463,MxStart,0)))))))</f>
        <v/>
      </c>
      <c r="L1463" s="62" t="str">
        <f aca="false">IF(COUNTA($A1463,$F1463,$G1463,$H1463,$I1463,$J1463)=0,"",IF($M1463=0,"✖ كود الصف غير موجود",IF(ISNA(MATCH($F1463,Lists!$A$2:$A$5,0)),"✖ الفترة غير صحيحة",IF(ISNA(MATCH($G1463,Lists!$B$2:$B$7,0)),"✖ المجموعة غير صحيحة",IF(NOT(OR($H1463="",$N1463&gt;0)),"✖ Start غير صحيح",IF(NOT(OR($I1463="",$I1463="NR",$O1463&gt;0)),"✖ Current غير صحيح",IF(NOT(IF(ISNUMBER($J1463),AND($J1463&gt;=0,$J1463=INT($J1463)),FALSE())),"✖ العدد يجب أن يكون صحيحًا ≥ 0",IF(AND($F1463="Baseline",$H1463&lt;&gt;""),"⚠ Baseline: Start لا يدخل في التقدم",IF($K1463="No Start (attainment only)","ℹ تحصيل فقط (بدون Start)",IF($K1463="U – needs rule","ℹ حالة U تحتاج قاعدة معتمدة",IF($K1463="No result","ℹ بدون نتيجة (يُستبعد من التحصيل)","OK")))))))))))</f>
        <v/>
      </c>
      <c r="M1463" s="64" t="n">
        <f aca="false">IF($A1463="",0,IFERROR(MATCH($A1463,Classes!$A$6:$A$420,0),0))</f>
        <v>0</v>
      </c>
      <c r="N1463" s="64" t="n">
        <f aca="false">IF($H1463="",0,IFERROR(MATCH($H1463,GradeList,0),0))</f>
        <v>0</v>
      </c>
      <c r="O1463" s="64" t="n">
        <f aca="false">IF(OR($I1463="",$I1463="NR"),0,IFERROR(MATCH($I1463,GradeList,0),0))</f>
        <v>0</v>
      </c>
      <c r="P1463" s="64" t="n">
        <f aca="false">IF(AND($M1463&gt;0,ISNUMBER(MATCH($F1463,Lists!$A$2:$A$5,0)),ISNUMBER(MATCH($G1463,Lists!$B$2:$B$7,0)),OR($H1463="",$N1463&gt;0),OR($I1463="",$I1463="NR",$O1463&gt;0),IF(ISNUMBER($J1463),AND($J1463&gt;=0,$J1463=INT($J1463)),FALSE())),$J1463,0)</f>
        <v>0</v>
      </c>
      <c r="Q1463" s="64" t="n">
        <f aca="false">IF(AND($P1463&gt;0,$O1463&gt;0),$P1463,0)</f>
        <v>0</v>
      </c>
      <c r="R1463" s="64" t="n">
        <f aca="false">IF(AND($Q1463&gt;0,$O1463&gt;=AtRank),$Q1463,0)</f>
        <v>0</v>
      </c>
      <c r="S1463" s="64" t="n">
        <f aca="false">IF(AND($Q1463&gt;0,$O1463&gt;=AboveRank),$Q1463,0)</f>
        <v>0</v>
      </c>
      <c r="T1463" s="64" t="n">
        <f aca="false">IF($K1463="Less",$P1463,0)</f>
        <v>0</v>
      </c>
      <c r="U1463" s="64" t="n">
        <f aca="false">IF($K1463="Expected",$P1463,0)</f>
        <v>0</v>
      </c>
      <c r="V1463" s="64" t="n">
        <f aca="false">IF($K1463="Better",$P1463,0)</f>
        <v>0</v>
      </c>
      <c r="W1463" s="64" t="n">
        <f aca="false">IF($K1463="U – needs rule",$P1463,0)</f>
        <v>0</v>
      </c>
      <c r="X1463" s="64" t="n">
        <f aca="false">IF($K1463="No Start (attainment only)",$P1463,0)</f>
        <v>0</v>
      </c>
    </row>
    <row r="1464" customFormat="false" ht="15" hidden="false" customHeight="false" outlineLevel="0" collapsed="false">
      <c r="A1464" s="60"/>
      <c r="B1464" s="61" t="str">
        <f aca="false">IF($M1464=0,"",INDEX(Classes!$E$6:$E$420,$M1464))</f>
        <v/>
      </c>
      <c r="C1464" s="62" t="str">
        <f aca="false">IF($M1464=0,"",INDEX(Classes!$H$6:$H$420,$M1464))</f>
        <v/>
      </c>
      <c r="D1464" s="61" t="str">
        <f aca="false">IF($M1464=0,"",INDEX(Classes!$B$6:$B$420,$M1464))</f>
        <v/>
      </c>
      <c r="E1464" s="61" t="str">
        <f aca="false">IF($M1464=0,"",INDEX(Classes!$C$6:$C$420,$M1464))</f>
        <v/>
      </c>
      <c r="F1464" s="63"/>
      <c r="G1464" s="63"/>
      <c r="H1464" s="60"/>
      <c r="I1464" s="60"/>
      <c r="J1464" s="63"/>
      <c r="K1464" s="61" t="str">
        <f aca="false">IF($P1464=0,"",IF($F1464="Baseline","— Baseline",IF($O1464=0,"No result",IF($N1464=0,"No Start (attainment only)",IF(OR($N1464=1,$O1464=1),"U – needs rule",INDEX(MxBody,MATCH($I1464,MxCurr,0),MATCH($H1464,MxStart,0)))))))</f>
        <v/>
      </c>
      <c r="L1464" s="62" t="str">
        <f aca="false">IF(COUNTA($A1464,$F1464,$G1464,$H1464,$I1464,$J1464)=0,"",IF($M1464=0,"✖ كود الصف غير موجود",IF(ISNA(MATCH($F1464,Lists!$A$2:$A$5,0)),"✖ الفترة غير صحيحة",IF(ISNA(MATCH($G1464,Lists!$B$2:$B$7,0)),"✖ المجموعة غير صحيحة",IF(NOT(OR($H1464="",$N1464&gt;0)),"✖ Start غير صحيح",IF(NOT(OR($I1464="",$I1464="NR",$O1464&gt;0)),"✖ Current غير صحيح",IF(NOT(IF(ISNUMBER($J1464),AND($J1464&gt;=0,$J1464=INT($J1464)),FALSE())),"✖ العدد يجب أن يكون صحيحًا ≥ 0",IF(AND($F1464="Baseline",$H1464&lt;&gt;""),"⚠ Baseline: Start لا يدخل في التقدم",IF($K1464="No Start (attainment only)","ℹ تحصيل فقط (بدون Start)",IF($K1464="U – needs rule","ℹ حالة U تحتاج قاعدة معتمدة",IF($K1464="No result","ℹ بدون نتيجة (يُستبعد من التحصيل)","OK")))))))))))</f>
        <v/>
      </c>
      <c r="M1464" s="64" t="n">
        <f aca="false">IF($A1464="",0,IFERROR(MATCH($A1464,Classes!$A$6:$A$420,0),0))</f>
        <v>0</v>
      </c>
      <c r="N1464" s="64" t="n">
        <f aca="false">IF($H1464="",0,IFERROR(MATCH($H1464,GradeList,0),0))</f>
        <v>0</v>
      </c>
      <c r="O1464" s="64" t="n">
        <f aca="false">IF(OR($I1464="",$I1464="NR"),0,IFERROR(MATCH($I1464,GradeList,0),0))</f>
        <v>0</v>
      </c>
      <c r="P1464" s="64" t="n">
        <f aca="false">IF(AND($M1464&gt;0,ISNUMBER(MATCH($F1464,Lists!$A$2:$A$5,0)),ISNUMBER(MATCH($G1464,Lists!$B$2:$B$7,0)),OR($H1464="",$N1464&gt;0),OR($I1464="",$I1464="NR",$O1464&gt;0),IF(ISNUMBER($J1464),AND($J1464&gt;=0,$J1464=INT($J1464)),FALSE())),$J1464,0)</f>
        <v>0</v>
      </c>
      <c r="Q1464" s="64" t="n">
        <f aca="false">IF(AND($P1464&gt;0,$O1464&gt;0),$P1464,0)</f>
        <v>0</v>
      </c>
      <c r="R1464" s="64" t="n">
        <f aca="false">IF(AND($Q1464&gt;0,$O1464&gt;=AtRank),$Q1464,0)</f>
        <v>0</v>
      </c>
      <c r="S1464" s="64" t="n">
        <f aca="false">IF(AND($Q1464&gt;0,$O1464&gt;=AboveRank),$Q1464,0)</f>
        <v>0</v>
      </c>
      <c r="T1464" s="64" t="n">
        <f aca="false">IF($K1464="Less",$P1464,0)</f>
        <v>0</v>
      </c>
      <c r="U1464" s="64" t="n">
        <f aca="false">IF($K1464="Expected",$P1464,0)</f>
        <v>0</v>
      </c>
      <c r="V1464" s="64" t="n">
        <f aca="false">IF($K1464="Better",$P1464,0)</f>
        <v>0</v>
      </c>
      <c r="W1464" s="64" t="n">
        <f aca="false">IF($K1464="U – needs rule",$P1464,0)</f>
        <v>0</v>
      </c>
      <c r="X1464" s="64" t="n">
        <f aca="false">IF($K1464="No Start (attainment only)",$P1464,0)</f>
        <v>0</v>
      </c>
    </row>
    <row r="1465" customFormat="false" ht="15" hidden="false" customHeight="false" outlineLevel="0" collapsed="false">
      <c r="A1465" s="60"/>
      <c r="B1465" s="61" t="str">
        <f aca="false">IF($M1465=0,"",INDEX(Classes!$E$6:$E$420,$M1465))</f>
        <v/>
      </c>
      <c r="C1465" s="62" t="str">
        <f aca="false">IF($M1465=0,"",INDEX(Classes!$H$6:$H$420,$M1465))</f>
        <v/>
      </c>
      <c r="D1465" s="61" t="str">
        <f aca="false">IF($M1465=0,"",INDEX(Classes!$B$6:$B$420,$M1465))</f>
        <v/>
      </c>
      <c r="E1465" s="61" t="str">
        <f aca="false">IF($M1465=0,"",INDEX(Classes!$C$6:$C$420,$M1465))</f>
        <v/>
      </c>
      <c r="F1465" s="63"/>
      <c r="G1465" s="63"/>
      <c r="H1465" s="60"/>
      <c r="I1465" s="60"/>
      <c r="J1465" s="63"/>
      <c r="K1465" s="61" t="str">
        <f aca="false">IF($P1465=0,"",IF($F1465="Baseline","— Baseline",IF($O1465=0,"No result",IF($N1465=0,"No Start (attainment only)",IF(OR($N1465=1,$O1465=1),"U – needs rule",INDEX(MxBody,MATCH($I1465,MxCurr,0),MATCH($H1465,MxStart,0)))))))</f>
        <v/>
      </c>
      <c r="L1465" s="62" t="str">
        <f aca="false">IF(COUNTA($A1465,$F1465,$G1465,$H1465,$I1465,$J1465)=0,"",IF($M1465=0,"✖ كود الصف غير موجود",IF(ISNA(MATCH($F1465,Lists!$A$2:$A$5,0)),"✖ الفترة غير صحيحة",IF(ISNA(MATCH($G1465,Lists!$B$2:$B$7,0)),"✖ المجموعة غير صحيحة",IF(NOT(OR($H1465="",$N1465&gt;0)),"✖ Start غير صحيح",IF(NOT(OR($I1465="",$I1465="NR",$O1465&gt;0)),"✖ Current غير صحيح",IF(NOT(IF(ISNUMBER($J1465),AND($J1465&gt;=0,$J1465=INT($J1465)),FALSE())),"✖ العدد يجب أن يكون صحيحًا ≥ 0",IF(AND($F1465="Baseline",$H1465&lt;&gt;""),"⚠ Baseline: Start لا يدخل في التقدم",IF($K1465="No Start (attainment only)","ℹ تحصيل فقط (بدون Start)",IF($K1465="U – needs rule","ℹ حالة U تحتاج قاعدة معتمدة",IF($K1465="No result","ℹ بدون نتيجة (يُستبعد من التحصيل)","OK")))))))))))</f>
        <v/>
      </c>
      <c r="M1465" s="64" t="n">
        <f aca="false">IF($A1465="",0,IFERROR(MATCH($A1465,Classes!$A$6:$A$420,0),0))</f>
        <v>0</v>
      </c>
      <c r="N1465" s="64" t="n">
        <f aca="false">IF($H1465="",0,IFERROR(MATCH($H1465,GradeList,0),0))</f>
        <v>0</v>
      </c>
      <c r="O1465" s="64" t="n">
        <f aca="false">IF(OR($I1465="",$I1465="NR"),0,IFERROR(MATCH($I1465,GradeList,0),0))</f>
        <v>0</v>
      </c>
      <c r="P1465" s="64" t="n">
        <f aca="false">IF(AND($M1465&gt;0,ISNUMBER(MATCH($F1465,Lists!$A$2:$A$5,0)),ISNUMBER(MATCH($G1465,Lists!$B$2:$B$7,0)),OR($H1465="",$N1465&gt;0),OR($I1465="",$I1465="NR",$O1465&gt;0),IF(ISNUMBER($J1465),AND($J1465&gt;=0,$J1465=INT($J1465)),FALSE())),$J1465,0)</f>
        <v>0</v>
      </c>
      <c r="Q1465" s="64" t="n">
        <f aca="false">IF(AND($P1465&gt;0,$O1465&gt;0),$P1465,0)</f>
        <v>0</v>
      </c>
      <c r="R1465" s="64" t="n">
        <f aca="false">IF(AND($Q1465&gt;0,$O1465&gt;=AtRank),$Q1465,0)</f>
        <v>0</v>
      </c>
      <c r="S1465" s="64" t="n">
        <f aca="false">IF(AND($Q1465&gt;0,$O1465&gt;=AboveRank),$Q1465,0)</f>
        <v>0</v>
      </c>
      <c r="T1465" s="64" t="n">
        <f aca="false">IF($K1465="Less",$P1465,0)</f>
        <v>0</v>
      </c>
      <c r="U1465" s="64" t="n">
        <f aca="false">IF($K1465="Expected",$P1465,0)</f>
        <v>0</v>
      </c>
      <c r="V1465" s="64" t="n">
        <f aca="false">IF($K1465="Better",$P1465,0)</f>
        <v>0</v>
      </c>
      <c r="W1465" s="64" t="n">
        <f aca="false">IF($K1465="U – needs rule",$P1465,0)</f>
        <v>0</v>
      </c>
      <c r="X1465" s="64" t="n">
        <f aca="false">IF($K1465="No Start (attainment only)",$P1465,0)</f>
        <v>0</v>
      </c>
    </row>
    <row r="1466" customFormat="false" ht="15" hidden="false" customHeight="false" outlineLevel="0" collapsed="false">
      <c r="A1466" s="60"/>
      <c r="B1466" s="61" t="str">
        <f aca="false">IF($M1466=0,"",INDEX(Classes!$E$6:$E$420,$M1466))</f>
        <v/>
      </c>
      <c r="C1466" s="62" t="str">
        <f aca="false">IF($M1466=0,"",INDEX(Classes!$H$6:$H$420,$M1466))</f>
        <v/>
      </c>
      <c r="D1466" s="61" t="str">
        <f aca="false">IF($M1466=0,"",INDEX(Classes!$B$6:$B$420,$M1466))</f>
        <v/>
      </c>
      <c r="E1466" s="61" t="str">
        <f aca="false">IF($M1466=0,"",INDEX(Classes!$C$6:$C$420,$M1466))</f>
        <v/>
      </c>
      <c r="F1466" s="63"/>
      <c r="G1466" s="63"/>
      <c r="H1466" s="60"/>
      <c r="I1466" s="60"/>
      <c r="J1466" s="63"/>
      <c r="K1466" s="61" t="str">
        <f aca="false">IF($P1466=0,"",IF($F1466="Baseline","— Baseline",IF($O1466=0,"No result",IF($N1466=0,"No Start (attainment only)",IF(OR($N1466=1,$O1466=1),"U – needs rule",INDEX(MxBody,MATCH($I1466,MxCurr,0),MATCH($H1466,MxStart,0)))))))</f>
        <v/>
      </c>
      <c r="L1466" s="62" t="str">
        <f aca="false">IF(COUNTA($A1466,$F1466,$G1466,$H1466,$I1466,$J1466)=0,"",IF($M1466=0,"✖ كود الصف غير موجود",IF(ISNA(MATCH($F1466,Lists!$A$2:$A$5,0)),"✖ الفترة غير صحيحة",IF(ISNA(MATCH($G1466,Lists!$B$2:$B$7,0)),"✖ المجموعة غير صحيحة",IF(NOT(OR($H1466="",$N1466&gt;0)),"✖ Start غير صحيح",IF(NOT(OR($I1466="",$I1466="NR",$O1466&gt;0)),"✖ Current غير صحيح",IF(NOT(IF(ISNUMBER($J1466),AND($J1466&gt;=0,$J1466=INT($J1466)),FALSE())),"✖ العدد يجب أن يكون صحيحًا ≥ 0",IF(AND($F1466="Baseline",$H1466&lt;&gt;""),"⚠ Baseline: Start لا يدخل في التقدم",IF($K1466="No Start (attainment only)","ℹ تحصيل فقط (بدون Start)",IF($K1466="U – needs rule","ℹ حالة U تحتاج قاعدة معتمدة",IF($K1466="No result","ℹ بدون نتيجة (يُستبعد من التحصيل)","OK")))))))))))</f>
        <v/>
      </c>
      <c r="M1466" s="64" t="n">
        <f aca="false">IF($A1466="",0,IFERROR(MATCH($A1466,Classes!$A$6:$A$420,0),0))</f>
        <v>0</v>
      </c>
      <c r="N1466" s="64" t="n">
        <f aca="false">IF($H1466="",0,IFERROR(MATCH($H1466,GradeList,0),0))</f>
        <v>0</v>
      </c>
      <c r="O1466" s="64" t="n">
        <f aca="false">IF(OR($I1466="",$I1466="NR"),0,IFERROR(MATCH($I1466,GradeList,0),0))</f>
        <v>0</v>
      </c>
      <c r="P1466" s="64" t="n">
        <f aca="false">IF(AND($M1466&gt;0,ISNUMBER(MATCH($F1466,Lists!$A$2:$A$5,0)),ISNUMBER(MATCH($G1466,Lists!$B$2:$B$7,0)),OR($H1466="",$N1466&gt;0),OR($I1466="",$I1466="NR",$O1466&gt;0),IF(ISNUMBER($J1466),AND($J1466&gt;=0,$J1466=INT($J1466)),FALSE())),$J1466,0)</f>
        <v>0</v>
      </c>
      <c r="Q1466" s="64" t="n">
        <f aca="false">IF(AND($P1466&gt;0,$O1466&gt;0),$P1466,0)</f>
        <v>0</v>
      </c>
      <c r="R1466" s="64" t="n">
        <f aca="false">IF(AND($Q1466&gt;0,$O1466&gt;=AtRank),$Q1466,0)</f>
        <v>0</v>
      </c>
      <c r="S1466" s="64" t="n">
        <f aca="false">IF(AND($Q1466&gt;0,$O1466&gt;=AboveRank),$Q1466,0)</f>
        <v>0</v>
      </c>
      <c r="T1466" s="64" t="n">
        <f aca="false">IF($K1466="Less",$P1466,0)</f>
        <v>0</v>
      </c>
      <c r="U1466" s="64" t="n">
        <f aca="false">IF($K1466="Expected",$P1466,0)</f>
        <v>0</v>
      </c>
      <c r="V1466" s="64" t="n">
        <f aca="false">IF($K1466="Better",$P1466,0)</f>
        <v>0</v>
      </c>
      <c r="W1466" s="64" t="n">
        <f aca="false">IF($K1466="U – needs rule",$P1466,0)</f>
        <v>0</v>
      </c>
      <c r="X1466" s="64" t="n">
        <f aca="false">IF($K1466="No Start (attainment only)",$P1466,0)</f>
        <v>0</v>
      </c>
    </row>
    <row r="1467" customFormat="false" ht="15" hidden="false" customHeight="false" outlineLevel="0" collapsed="false">
      <c r="A1467" s="60"/>
      <c r="B1467" s="61" t="str">
        <f aca="false">IF($M1467=0,"",INDEX(Classes!$E$6:$E$420,$M1467))</f>
        <v/>
      </c>
      <c r="C1467" s="62" t="str">
        <f aca="false">IF($M1467=0,"",INDEX(Classes!$H$6:$H$420,$M1467))</f>
        <v/>
      </c>
      <c r="D1467" s="61" t="str">
        <f aca="false">IF($M1467=0,"",INDEX(Classes!$B$6:$B$420,$M1467))</f>
        <v/>
      </c>
      <c r="E1467" s="61" t="str">
        <f aca="false">IF($M1467=0,"",INDEX(Classes!$C$6:$C$420,$M1467))</f>
        <v/>
      </c>
      <c r="F1467" s="63"/>
      <c r="G1467" s="63"/>
      <c r="H1467" s="60"/>
      <c r="I1467" s="60"/>
      <c r="J1467" s="63"/>
      <c r="K1467" s="61" t="str">
        <f aca="false">IF($P1467=0,"",IF($F1467="Baseline","— Baseline",IF($O1467=0,"No result",IF($N1467=0,"No Start (attainment only)",IF(OR($N1467=1,$O1467=1),"U – needs rule",INDEX(MxBody,MATCH($I1467,MxCurr,0),MATCH($H1467,MxStart,0)))))))</f>
        <v/>
      </c>
      <c r="L1467" s="62" t="str">
        <f aca="false">IF(COUNTA($A1467,$F1467,$G1467,$H1467,$I1467,$J1467)=0,"",IF($M1467=0,"✖ كود الصف غير موجود",IF(ISNA(MATCH($F1467,Lists!$A$2:$A$5,0)),"✖ الفترة غير صحيحة",IF(ISNA(MATCH($G1467,Lists!$B$2:$B$7,0)),"✖ المجموعة غير صحيحة",IF(NOT(OR($H1467="",$N1467&gt;0)),"✖ Start غير صحيح",IF(NOT(OR($I1467="",$I1467="NR",$O1467&gt;0)),"✖ Current غير صحيح",IF(NOT(IF(ISNUMBER($J1467),AND($J1467&gt;=0,$J1467=INT($J1467)),FALSE())),"✖ العدد يجب أن يكون صحيحًا ≥ 0",IF(AND($F1467="Baseline",$H1467&lt;&gt;""),"⚠ Baseline: Start لا يدخل في التقدم",IF($K1467="No Start (attainment only)","ℹ تحصيل فقط (بدون Start)",IF($K1467="U – needs rule","ℹ حالة U تحتاج قاعدة معتمدة",IF($K1467="No result","ℹ بدون نتيجة (يُستبعد من التحصيل)","OK")))))))))))</f>
        <v/>
      </c>
      <c r="M1467" s="64" t="n">
        <f aca="false">IF($A1467="",0,IFERROR(MATCH($A1467,Classes!$A$6:$A$420,0),0))</f>
        <v>0</v>
      </c>
      <c r="N1467" s="64" t="n">
        <f aca="false">IF($H1467="",0,IFERROR(MATCH($H1467,GradeList,0),0))</f>
        <v>0</v>
      </c>
      <c r="O1467" s="64" t="n">
        <f aca="false">IF(OR($I1467="",$I1467="NR"),0,IFERROR(MATCH($I1467,GradeList,0),0))</f>
        <v>0</v>
      </c>
      <c r="P1467" s="64" t="n">
        <f aca="false">IF(AND($M1467&gt;0,ISNUMBER(MATCH($F1467,Lists!$A$2:$A$5,0)),ISNUMBER(MATCH($G1467,Lists!$B$2:$B$7,0)),OR($H1467="",$N1467&gt;0),OR($I1467="",$I1467="NR",$O1467&gt;0),IF(ISNUMBER($J1467),AND($J1467&gt;=0,$J1467=INT($J1467)),FALSE())),$J1467,0)</f>
        <v>0</v>
      </c>
      <c r="Q1467" s="64" t="n">
        <f aca="false">IF(AND($P1467&gt;0,$O1467&gt;0),$P1467,0)</f>
        <v>0</v>
      </c>
      <c r="R1467" s="64" t="n">
        <f aca="false">IF(AND($Q1467&gt;0,$O1467&gt;=AtRank),$Q1467,0)</f>
        <v>0</v>
      </c>
      <c r="S1467" s="64" t="n">
        <f aca="false">IF(AND($Q1467&gt;0,$O1467&gt;=AboveRank),$Q1467,0)</f>
        <v>0</v>
      </c>
      <c r="T1467" s="64" t="n">
        <f aca="false">IF($K1467="Less",$P1467,0)</f>
        <v>0</v>
      </c>
      <c r="U1467" s="64" t="n">
        <f aca="false">IF($K1467="Expected",$P1467,0)</f>
        <v>0</v>
      </c>
      <c r="V1467" s="64" t="n">
        <f aca="false">IF($K1467="Better",$P1467,0)</f>
        <v>0</v>
      </c>
      <c r="W1467" s="64" t="n">
        <f aca="false">IF($K1467="U – needs rule",$P1467,0)</f>
        <v>0</v>
      </c>
      <c r="X1467" s="64" t="n">
        <f aca="false">IF($K1467="No Start (attainment only)",$P1467,0)</f>
        <v>0</v>
      </c>
    </row>
    <row r="1468" customFormat="false" ht="15" hidden="false" customHeight="false" outlineLevel="0" collapsed="false">
      <c r="A1468" s="60"/>
      <c r="B1468" s="61" t="str">
        <f aca="false">IF($M1468=0,"",INDEX(Classes!$E$6:$E$420,$M1468))</f>
        <v/>
      </c>
      <c r="C1468" s="62" t="str">
        <f aca="false">IF($M1468=0,"",INDEX(Classes!$H$6:$H$420,$M1468))</f>
        <v/>
      </c>
      <c r="D1468" s="61" t="str">
        <f aca="false">IF($M1468=0,"",INDEX(Classes!$B$6:$B$420,$M1468))</f>
        <v/>
      </c>
      <c r="E1468" s="61" t="str">
        <f aca="false">IF($M1468=0,"",INDEX(Classes!$C$6:$C$420,$M1468))</f>
        <v/>
      </c>
      <c r="F1468" s="63"/>
      <c r="G1468" s="63"/>
      <c r="H1468" s="60"/>
      <c r="I1468" s="60"/>
      <c r="J1468" s="63"/>
      <c r="K1468" s="61" t="str">
        <f aca="false">IF($P1468=0,"",IF($F1468="Baseline","— Baseline",IF($O1468=0,"No result",IF($N1468=0,"No Start (attainment only)",IF(OR($N1468=1,$O1468=1),"U – needs rule",INDEX(MxBody,MATCH($I1468,MxCurr,0),MATCH($H1468,MxStart,0)))))))</f>
        <v/>
      </c>
      <c r="L1468" s="62" t="str">
        <f aca="false">IF(COUNTA($A1468,$F1468,$G1468,$H1468,$I1468,$J1468)=0,"",IF($M1468=0,"✖ كود الصف غير موجود",IF(ISNA(MATCH($F1468,Lists!$A$2:$A$5,0)),"✖ الفترة غير صحيحة",IF(ISNA(MATCH($G1468,Lists!$B$2:$B$7,0)),"✖ المجموعة غير صحيحة",IF(NOT(OR($H1468="",$N1468&gt;0)),"✖ Start غير صحيح",IF(NOT(OR($I1468="",$I1468="NR",$O1468&gt;0)),"✖ Current غير صحيح",IF(NOT(IF(ISNUMBER($J1468),AND($J1468&gt;=0,$J1468=INT($J1468)),FALSE())),"✖ العدد يجب أن يكون صحيحًا ≥ 0",IF(AND($F1468="Baseline",$H1468&lt;&gt;""),"⚠ Baseline: Start لا يدخل في التقدم",IF($K1468="No Start (attainment only)","ℹ تحصيل فقط (بدون Start)",IF($K1468="U – needs rule","ℹ حالة U تحتاج قاعدة معتمدة",IF($K1468="No result","ℹ بدون نتيجة (يُستبعد من التحصيل)","OK")))))))))))</f>
        <v/>
      </c>
      <c r="M1468" s="64" t="n">
        <f aca="false">IF($A1468="",0,IFERROR(MATCH($A1468,Classes!$A$6:$A$420,0),0))</f>
        <v>0</v>
      </c>
      <c r="N1468" s="64" t="n">
        <f aca="false">IF($H1468="",0,IFERROR(MATCH($H1468,GradeList,0),0))</f>
        <v>0</v>
      </c>
      <c r="O1468" s="64" t="n">
        <f aca="false">IF(OR($I1468="",$I1468="NR"),0,IFERROR(MATCH($I1468,GradeList,0),0))</f>
        <v>0</v>
      </c>
      <c r="P1468" s="64" t="n">
        <f aca="false">IF(AND($M1468&gt;0,ISNUMBER(MATCH($F1468,Lists!$A$2:$A$5,0)),ISNUMBER(MATCH($G1468,Lists!$B$2:$B$7,0)),OR($H1468="",$N1468&gt;0),OR($I1468="",$I1468="NR",$O1468&gt;0),IF(ISNUMBER($J1468),AND($J1468&gt;=0,$J1468=INT($J1468)),FALSE())),$J1468,0)</f>
        <v>0</v>
      </c>
      <c r="Q1468" s="64" t="n">
        <f aca="false">IF(AND($P1468&gt;0,$O1468&gt;0),$P1468,0)</f>
        <v>0</v>
      </c>
      <c r="R1468" s="64" t="n">
        <f aca="false">IF(AND($Q1468&gt;0,$O1468&gt;=AtRank),$Q1468,0)</f>
        <v>0</v>
      </c>
      <c r="S1468" s="64" t="n">
        <f aca="false">IF(AND($Q1468&gt;0,$O1468&gt;=AboveRank),$Q1468,0)</f>
        <v>0</v>
      </c>
      <c r="T1468" s="64" t="n">
        <f aca="false">IF($K1468="Less",$P1468,0)</f>
        <v>0</v>
      </c>
      <c r="U1468" s="64" t="n">
        <f aca="false">IF($K1468="Expected",$P1468,0)</f>
        <v>0</v>
      </c>
      <c r="V1468" s="64" t="n">
        <f aca="false">IF($K1468="Better",$P1468,0)</f>
        <v>0</v>
      </c>
      <c r="W1468" s="64" t="n">
        <f aca="false">IF($K1468="U – needs rule",$P1468,0)</f>
        <v>0</v>
      </c>
      <c r="X1468" s="64" t="n">
        <f aca="false">IF($K1468="No Start (attainment only)",$P1468,0)</f>
        <v>0</v>
      </c>
    </row>
    <row r="1469" customFormat="false" ht="15" hidden="false" customHeight="false" outlineLevel="0" collapsed="false">
      <c r="A1469" s="60"/>
      <c r="B1469" s="61" t="str">
        <f aca="false">IF($M1469=0,"",INDEX(Classes!$E$6:$E$420,$M1469))</f>
        <v/>
      </c>
      <c r="C1469" s="62" t="str">
        <f aca="false">IF($M1469=0,"",INDEX(Classes!$H$6:$H$420,$M1469))</f>
        <v/>
      </c>
      <c r="D1469" s="61" t="str">
        <f aca="false">IF($M1469=0,"",INDEX(Classes!$B$6:$B$420,$M1469))</f>
        <v/>
      </c>
      <c r="E1469" s="61" t="str">
        <f aca="false">IF($M1469=0,"",INDEX(Classes!$C$6:$C$420,$M1469))</f>
        <v/>
      </c>
      <c r="F1469" s="63"/>
      <c r="G1469" s="63"/>
      <c r="H1469" s="60"/>
      <c r="I1469" s="60"/>
      <c r="J1469" s="63"/>
      <c r="K1469" s="61" t="str">
        <f aca="false">IF($P1469=0,"",IF($F1469="Baseline","— Baseline",IF($O1469=0,"No result",IF($N1469=0,"No Start (attainment only)",IF(OR($N1469=1,$O1469=1),"U – needs rule",INDEX(MxBody,MATCH($I1469,MxCurr,0),MATCH($H1469,MxStart,0)))))))</f>
        <v/>
      </c>
      <c r="L1469" s="62" t="str">
        <f aca="false">IF(COUNTA($A1469,$F1469,$G1469,$H1469,$I1469,$J1469)=0,"",IF($M1469=0,"✖ كود الصف غير موجود",IF(ISNA(MATCH($F1469,Lists!$A$2:$A$5,0)),"✖ الفترة غير صحيحة",IF(ISNA(MATCH($G1469,Lists!$B$2:$B$7,0)),"✖ المجموعة غير صحيحة",IF(NOT(OR($H1469="",$N1469&gt;0)),"✖ Start غير صحيح",IF(NOT(OR($I1469="",$I1469="NR",$O1469&gt;0)),"✖ Current غير صحيح",IF(NOT(IF(ISNUMBER($J1469),AND($J1469&gt;=0,$J1469=INT($J1469)),FALSE())),"✖ العدد يجب أن يكون صحيحًا ≥ 0",IF(AND($F1469="Baseline",$H1469&lt;&gt;""),"⚠ Baseline: Start لا يدخل في التقدم",IF($K1469="No Start (attainment only)","ℹ تحصيل فقط (بدون Start)",IF($K1469="U – needs rule","ℹ حالة U تحتاج قاعدة معتمدة",IF($K1469="No result","ℹ بدون نتيجة (يُستبعد من التحصيل)","OK")))))))))))</f>
        <v/>
      </c>
      <c r="M1469" s="64" t="n">
        <f aca="false">IF($A1469="",0,IFERROR(MATCH($A1469,Classes!$A$6:$A$420,0),0))</f>
        <v>0</v>
      </c>
      <c r="N1469" s="64" t="n">
        <f aca="false">IF($H1469="",0,IFERROR(MATCH($H1469,GradeList,0),0))</f>
        <v>0</v>
      </c>
      <c r="O1469" s="64" t="n">
        <f aca="false">IF(OR($I1469="",$I1469="NR"),0,IFERROR(MATCH($I1469,GradeList,0),0))</f>
        <v>0</v>
      </c>
      <c r="P1469" s="64" t="n">
        <f aca="false">IF(AND($M1469&gt;0,ISNUMBER(MATCH($F1469,Lists!$A$2:$A$5,0)),ISNUMBER(MATCH($G1469,Lists!$B$2:$B$7,0)),OR($H1469="",$N1469&gt;0),OR($I1469="",$I1469="NR",$O1469&gt;0),IF(ISNUMBER($J1469),AND($J1469&gt;=0,$J1469=INT($J1469)),FALSE())),$J1469,0)</f>
        <v>0</v>
      </c>
      <c r="Q1469" s="64" t="n">
        <f aca="false">IF(AND($P1469&gt;0,$O1469&gt;0),$P1469,0)</f>
        <v>0</v>
      </c>
      <c r="R1469" s="64" t="n">
        <f aca="false">IF(AND($Q1469&gt;0,$O1469&gt;=AtRank),$Q1469,0)</f>
        <v>0</v>
      </c>
      <c r="S1469" s="64" t="n">
        <f aca="false">IF(AND($Q1469&gt;0,$O1469&gt;=AboveRank),$Q1469,0)</f>
        <v>0</v>
      </c>
      <c r="T1469" s="64" t="n">
        <f aca="false">IF($K1469="Less",$P1469,0)</f>
        <v>0</v>
      </c>
      <c r="U1469" s="64" t="n">
        <f aca="false">IF($K1469="Expected",$P1469,0)</f>
        <v>0</v>
      </c>
      <c r="V1469" s="64" t="n">
        <f aca="false">IF($K1469="Better",$P1469,0)</f>
        <v>0</v>
      </c>
      <c r="W1469" s="64" t="n">
        <f aca="false">IF($K1469="U – needs rule",$P1469,0)</f>
        <v>0</v>
      </c>
      <c r="X1469" s="64" t="n">
        <f aca="false">IF($K1469="No Start (attainment only)",$P1469,0)</f>
        <v>0</v>
      </c>
    </row>
    <row r="1470" customFormat="false" ht="15" hidden="false" customHeight="false" outlineLevel="0" collapsed="false">
      <c r="A1470" s="60"/>
      <c r="B1470" s="61" t="str">
        <f aca="false">IF($M1470=0,"",INDEX(Classes!$E$6:$E$420,$M1470))</f>
        <v/>
      </c>
      <c r="C1470" s="62" t="str">
        <f aca="false">IF($M1470=0,"",INDEX(Classes!$H$6:$H$420,$M1470))</f>
        <v/>
      </c>
      <c r="D1470" s="61" t="str">
        <f aca="false">IF($M1470=0,"",INDEX(Classes!$B$6:$B$420,$M1470))</f>
        <v/>
      </c>
      <c r="E1470" s="61" t="str">
        <f aca="false">IF($M1470=0,"",INDEX(Classes!$C$6:$C$420,$M1470))</f>
        <v/>
      </c>
      <c r="F1470" s="63"/>
      <c r="G1470" s="63"/>
      <c r="H1470" s="60"/>
      <c r="I1470" s="60"/>
      <c r="J1470" s="63"/>
      <c r="K1470" s="61" t="str">
        <f aca="false">IF($P1470=0,"",IF($F1470="Baseline","— Baseline",IF($O1470=0,"No result",IF($N1470=0,"No Start (attainment only)",IF(OR($N1470=1,$O1470=1),"U – needs rule",INDEX(MxBody,MATCH($I1470,MxCurr,0),MATCH($H1470,MxStart,0)))))))</f>
        <v/>
      </c>
      <c r="L1470" s="62" t="str">
        <f aca="false">IF(COUNTA($A1470,$F1470,$G1470,$H1470,$I1470,$J1470)=0,"",IF($M1470=0,"✖ كود الصف غير موجود",IF(ISNA(MATCH($F1470,Lists!$A$2:$A$5,0)),"✖ الفترة غير صحيحة",IF(ISNA(MATCH($G1470,Lists!$B$2:$B$7,0)),"✖ المجموعة غير صحيحة",IF(NOT(OR($H1470="",$N1470&gt;0)),"✖ Start غير صحيح",IF(NOT(OR($I1470="",$I1470="NR",$O1470&gt;0)),"✖ Current غير صحيح",IF(NOT(IF(ISNUMBER($J1470),AND($J1470&gt;=0,$J1470=INT($J1470)),FALSE())),"✖ العدد يجب أن يكون صحيحًا ≥ 0",IF(AND($F1470="Baseline",$H1470&lt;&gt;""),"⚠ Baseline: Start لا يدخل في التقدم",IF($K1470="No Start (attainment only)","ℹ تحصيل فقط (بدون Start)",IF($K1470="U – needs rule","ℹ حالة U تحتاج قاعدة معتمدة",IF($K1470="No result","ℹ بدون نتيجة (يُستبعد من التحصيل)","OK")))))))))))</f>
        <v/>
      </c>
      <c r="M1470" s="64" t="n">
        <f aca="false">IF($A1470="",0,IFERROR(MATCH($A1470,Classes!$A$6:$A$420,0),0))</f>
        <v>0</v>
      </c>
      <c r="N1470" s="64" t="n">
        <f aca="false">IF($H1470="",0,IFERROR(MATCH($H1470,GradeList,0),0))</f>
        <v>0</v>
      </c>
      <c r="O1470" s="64" t="n">
        <f aca="false">IF(OR($I1470="",$I1470="NR"),0,IFERROR(MATCH($I1470,GradeList,0),0))</f>
        <v>0</v>
      </c>
      <c r="P1470" s="64" t="n">
        <f aca="false">IF(AND($M1470&gt;0,ISNUMBER(MATCH($F1470,Lists!$A$2:$A$5,0)),ISNUMBER(MATCH($G1470,Lists!$B$2:$B$7,0)),OR($H1470="",$N1470&gt;0),OR($I1470="",$I1470="NR",$O1470&gt;0),IF(ISNUMBER($J1470),AND($J1470&gt;=0,$J1470=INT($J1470)),FALSE())),$J1470,0)</f>
        <v>0</v>
      </c>
      <c r="Q1470" s="64" t="n">
        <f aca="false">IF(AND($P1470&gt;0,$O1470&gt;0),$P1470,0)</f>
        <v>0</v>
      </c>
      <c r="R1470" s="64" t="n">
        <f aca="false">IF(AND($Q1470&gt;0,$O1470&gt;=AtRank),$Q1470,0)</f>
        <v>0</v>
      </c>
      <c r="S1470" s="64" t="n">
        <f aca="false">IF(AND($Q1470&gt;0,$O1470&gt;=AboveRank),$Q1470,0)</f>
        <v>0</v>
      </c>
      <c r="T1470" s="64" t="n">
        <f aca="false">IF($K1470="Less",$P1470,0)</f>
        <v>0</v>
      </c>
      <c r="U1470" s="64" t="n">
        <f aca="false">IF($K1470="Expected",$P1470,0)</f>
        <v>0</v>
      </c>
      <c r="V1470" s="64" t="n">
        <f aca="false">IF($K1470="Better",$P1470,0)</f>
        <v>0</v>
      </c>
      <c r="W1470" s="64" t="n">
        <f aca="false">IF($K1470="U – needs rule",$P1470,0)</f>
        <v>0</v>
      </c>
      <c r="X1470" s="64" t="n">
        <f aca="false">IF($K1470="No Start (attainment only)",$P1470,0)</f>
        <v>0</v>
      </c>
    </row>
    <row r="1471" customFormat="false" ht="15" hidden="false" customHeight="false" outlineLevel="0" collapsed="false">
      <c r="A1471" s="60"/>
      <c r="B1471" s="61" t="str">
        <f aca="false">IF($M1471=0,"",INDEX(Classes!$E$6:$E$420,$M1471))</f>
        <v/>
      </c>
      <c r="C1471" s="62" t="str">
        <f aca="false">IF($M1471=0,"",INDEX(Classes!$H$6:$H$420,$M1471))</f>
        <v/>
      </c>
      <c r="D1471" s="61" t="str">
        <f aca="false">IF($M1471=0,"",INDEX(Classes!$B$6:$B$420,$M1471))</f>
        <v/>
      </c>
      <c r="E1471" s="61" t="str">
        <f aca="false">IF($M1471=0,"",INDEX(Classes!$C$6:$C$420,$M1471))</f>
        <v/>
      </c>
      <c r="F1471" s="63"/>
      <c r="G1471" s="63"/>
      <c r="H1471" s="60"/>
      <c r="I1471" s="60"/>
      <c r="J1471" s="63"/>
      <c r="K1471" s="61" t="str">
        <f aca="false">IF($P1471=0,"",IF($F1471="Baseline","— Baseline",IF($O1471=0,"No result",IF($N1471=0,"No Start (attainment only)",IF(OR($N1471=1,$O1471=1),"U – needs rule",INDEX(MxBody,MATCH($I1471,MxCurr,0),MATCH($H1471,MxStart,0)))))))</f>
        <v/>
      </c>
      <c r="L1471" s="62" t="str">
        <f aca="false">IF(COUNTA($A1471,$F1471,$G1471,$H1471,$I1471,$J1471)=0,"",IF($M1471=0,"✖ كود الصف غير موجود",IF(ISNA(MATCH($F1471,Lists!$A$2:$A$5,0)),"✖ الفترة غير صحيحة",IF(ISNA(MATCH($G1471,Lists!$B$2:$B$7,0)),"✖ المجموعة غير صحيحة",IF(NOT(OR($H1471="",$N1471&gt;0)),"✖ Start غير صحيح",IF(NOT(OR($I1471="",$I1471="NR",$O1471&gt;0)),"✖ Current غير صحيح",IF(NOT(IF(ISNUMBER($J1471),AND($J1471&gt;=0,$J1471=INT($J1471)),FALSE())),"✖ العدد يجب أن يكون صحيحًا ≥ 0",IF(AND($F1471="Baseline",$H1471&lt;&gt;""),"⚠ Baseline: Start لا يدخل في التقدم",IF($K1471="No Start (attainment only)","ℹ تحصيل فقط (بدون Start)",IF($K1471="U – needs rule","ℹ حالة U تحتاج قاعدة معتمدة",IF($K1471="No result","ℹ بدون نتيجة (يُستبعد من التحصيل)","OK")))))))))))</f>
        <v/>
      </c>
      <c r="M1471" s="64" t="n">
        <f aca="false">IF($A1471="",0,IFERROR(MATCH($A1471,Classes!$A$6:$A$420,0),0))</f>
        <v>0</v>
      </c>
      <c r="N1471" s="64" t="n">
        <f aca="false">IF($H1471="",0,IFERROR(MATCH($H1471,GradeList,0),0))</f>
        <v>0</v>
      </c>
      <c r="O1471" s="64" t="n">
        <f aca="false">IF(OR($I1471="",$I1471="NR"),0,IFERROR(MATCH($I1471,GradeList,0),0))</f>
        <v>0</v>
      </c>
      <c r="P1471" s="64" t="n">
        <f aca="false">IF(AND($M1471&gt;0,ISNUMBER(MATCH($F1471,Lists!$A$2:$A$5,0)),ISNUMBER(MATCH($G1471,Lists!$B$2:$B$7,0)),OR($H1471="",$N1471&gt;0),OR($I1471="",$I1471="NR",$O1471&gt;0),IF(ISNUMBER($J1471),AND($J1471&gt;=0,$J1471=INT($J1471)),FALSE())),$J1471,0)</f>
        <v>0</v>
      </c>
      <c r="Q1471" s="64" t="n">
        <f aca="false">IF(AND($P1471&gt;0,$O1471&gt;0),$P1471,0)</f>
        <v>0</v>
      </c>
      <c r="R1471" s="64" t="n">
        <f aca="false">IF(AND($Q1471&gt;0,$O1471&gt;=AtRank),$Q1471,0)</f>
        <v>0</v>
      </c>
      <c r="S1471" s="64" t="n">
        <f aca="false">IF(AND($Q1471&gt;0,$O1471&gt;=AboveRank),$Q1471,0)</f>
        <v>0</v>
      </c>
      <c r="T1471" s="64" t="n">
        <f aca="false">IF($K1471="Less",$P1471,0)</f>
        <v>0</v>
      </c>
      <c r="U1471" s="64" t="n">
        <f aca="false">IF($K1471="Expected",$P1471,0)</f>
        <v>0</v>
      </c>
      <c r="V1471" s="64" t="n">
        <f aca="false">IF($K1471="Better",$P1471,0)</f>
        <v>0</v>
      </c>
      <c r="W1471" s="64" t="n">
        <f aca="false">IF($K1471="U – needs rule",$P1471,0)</f>
        <v>0</v>
      </c>
      <c r="X1471" s="64" t="n">
        <f aca="false">IF($K1471="No Start (attainment only)",$P1471,0)</f>
        <v>0</v>
      </c>
    </row>
    <row r="1472" customFormat="false" ht="15" hidden="false" customHeight="false" outlineLevel="0" collapsed="false">
      <c r="A1472" s="60"/>
      <c r="B1472" s="61" t="str">
        <f aca="false">IF($M1472=0,"",INDEX(Classes!$E$6:$E$420,$M1472))</f>
        <v/>
      </c>
      <c r="C1472" s="62" t="str">
        <f aca="false">IF($M1472=0,"",INDEX(Classes!$H$6:$H$420,$M1472))</f>
        <v/>
      </c>
      <c r="D1472" s="61" t="str">
        <f aca="false">IF($M1472=0,"",INDEX(Classes!$B$6:$B$420,$M1472))</f>
        <v/>
      </c>
      <c r="E1472" s="61" t="str">
        <f aca="false">IF($M1472=0,"",INDEX(Classes!$C$6:$C$420,$M1472))</f>
        <v/>
      </c>
      <c r="F1472" s="63"/>
      <c r="G1472" s="63"/>
      <c r="H1472" s="60"/>
      <c r="I1472" s="60"/>
      <c r="J1472" s="63"/>
      <c r="K1472" s="61" t="str">
        <f aca="false">IF($P1472=0,"",IF($F1472="Baseline","— Baseline",IF($O1472=0,"No result",IF($N1472=0,"No Start (attainment only)",IF(OR($N1472=1,$O1472=1),"U – needs rule",INDEX(MxBody,MATCH($I1472,MxCurr,0),MATCH($H1472,MxStart,0)))))))</f>
        <v/>
      </c>
      <c r="L1472" s="62" t="str">
        <f aca="false">IF(COUNTA($A1472,$F1472,$G1472,$H1472,$I1472,$J1472)=0,"",IF($M1472=0,"✖ كود الصف غير موجود",IF(ISNA(MATCH($F1472,Lists!$A$2:$A$5,0)),"✖ الفترة غير صحيحة",IF(ISNA(MATCH($G1472,Lists!$B$2:$B$7,0)),"✖ المجموعة غير صحيحة",IF(NOT(OR($H1472="",$N1472&gt;0)),"✖ Start غير صحيح",IF(NOT(OR($I1472="",$I1472="NR",$O1472&gt;0)),"✖ Current غير صحيح",IF(NOT(IF(ISNUMBER($J1472),AND($J1472&gt;=0,$J1472=INT($J1472)),FALSE())),"✖ العدد يجب أن يكون صحيحًا ≥ 0",IF(AND($F1472="Baseline",$H1472&lt;&gt;""),"⚠ Baseline: Start لا يدخل في التقدم",IF($K1472="No Start (attainment only)","ℹ تحصيل فقط (بدون Start)",IF($K1472="U – needs rule","ℹ حالة U تحتاج قاعدة معتمدة",IF($K1472="No result","ℹ بدون نتيجة (يُستبعد من التحصيل)","OK")))))))))))</f>
        <v/>
      </c>
      <c r="M1472" s="64" t="n">
        <f aca="false">IF($A1472="",0,IFERROR(MATCH($A1472,Classes!$A$6:$A$420,0),0))</f>
        <v>0</v>
      </c>
      <c r="N1472" s="64" t="n">
        <f aca="false">IF($H1472="",0,IFERROR(MATCH($H1472,GradeList,0),0))</f>
        <v>0</v>
      </c>
      <c r="O1472" s="64" t="n">
        <f aca="false">IF(OR($I1472="",$I1472="NR"),0,IFERROR(MATCH($I1472,GradeList,0),0))</f>
        <v>0</v>
      </c>
      <c r="P1472" s="64" t="n">
        <f aca="false">IF(AND($M1472&gt;0,ISNUMBER(MATCH($F1472,Lists!$A$2:$A$5,0)),ISNUMBER(MATCH($G1472,Lists!$B$2:$B$7,0)),OR($H1472="",$N1472&gt;0),OR($I1472="",$I1472="NR",$O1472&gt;0),IF(ISNUMBER($J1472),AND($J1472&gt;=0,$J1472=INT($J1472)),FALSE())),$J1472,0)</f>
        <v>0</v>
      </c>
      <c r="Q1472" s="64" t="n">
        <f aca="false">IF(AND($P1472&gt;0,$O1472&gt;0),$P1472,0)</f>
        <v>0</v>
      </c>
      <c r="R1472" s="64" t="n">
        <f aca="false">IF(AND($Q1472&gt;0,$O1472&gt;=AtRank),$Q1472,0)</f>
        <v>0</v>
      </c>
      <c r="S1472" s="64" t="n">
        <f aca="false">IF(AND($Q1472&gt;0,$O1472&gt;=AboveRank),$Q1472,0)</f>
        <v>0</v>
      </c>
      <c r="T1472" s="64" t="n">
        <f aca="false">IF($K1472="Less",$P1472,0)</f>
        <v>0</v>
      </c>
      <c r="U1472" s="64" t="n">
        <f aca="false">IF($K1472="Expected",$P1472,0)</f>
        <v>0</v>
      </c>
      <c r="V1472" s="64" t="n">
        <f aca="false">IF($K1472="Better",$P1472,0)</f>
        <v>0</v>
      </c>
      <c r="W1472" s="64" t="n">
        <f aca="false">IF($K1472="U – needs rule",$P1472,0)</f>
        <v>0</v>
      </c>
      <c r="X1472" s="64" t="n">
        <f aca="false">IF($K1472="No Start (attainment only)",$P1472,0)</f>
        <v>0</v>
      </c>
    </row>
    <row r="1473" customFormat="false" ht="15" hidden="false" customHeight="false" outlineLevel="0" collapsed="false">
      <c r="A1473" s="60"/>
      <c r="B1473" s="61" t="str">
        <f aca="false">IF($M1473=0,"",INDEX(Classes!$E$6:$E$420,$M1473))</f>
        <v/>
      </c>
      <c r="C1473" s="62" t="str">
        <f aca="false">IF($M1473=0,"",INDEX(Classes!$H$6:$H$420,$M1473))</f>
        <v/>
      </c>
      <c r="D1473" s="61" t="str">
        <f aca="false">IF($M1473=0,"",INDEX(Classes!$B$6:$B$420,$M1473))</f>
        <v/>
      </c>
      <c r="E1473" s="61" t="str">
        <f aca="false">IF($M1473=0,"",INDEX(Classes!$C$6:$C$420,$M1473))</f>
        <v/>
      </c>
      <c r="F1473" s="63"/>
      <c r="G1473" s="63"/>
      <c r="H1473" s="60"/>
      <c r="I1473" s="60"/>
      <c r="J1473" s="63"/>
      <c r="K1473" s="61" t="str">
        <f aca="false">IF($P1473=0,"",IF($F1473="Baseline","— Baseline",IF($O1473=0,"No result",IF($N1473=0,"No Start (attainment only)",IF(OR($N1473=1,$O1473=1),"U – needs rule",INDEX(MxBody,MATCH($I1473,MxCurr,0),MATCH($H1473,MxStart,0)))))))</f>
        <v/>
      </c>
      <c r="L1473" s="62" t="str">
        <f aca="false">IF(COUNTA($A1473,$F1473,$G1473,$H1473,$I1473,$J1473)=0,"",IF($M1473=0,"✖ كود الصف غير موجود",IF(ISNA(MATCH($F1473,Lists!$A$2:$A$5,0)),"✖ الفترة غير صحيحة",IF(ISNA(MATCH($G1473,Lists!$B$2:$B$7,0)),"✖ المجموعة غير صحيحة",IF(NOT(OR($H1473="",$N1473&gt;0)),"✖ Start غير صحيح",IF(NOT(OR($I1473="",$I1473="NR",$O1473&gt;0)),"✖ Current غير صحيح",IF(NOT(IF(ISNUMBER($J1473),AND($J1473&gt;=0,$J1473=INT($J1473)),FALSE())),"✖ العدد يجب أن يكون صحيحًا ≥ 0",IF(AND($F1473="Baseline",$H1473&lt;&gt;""),"⚠ Baseline: Start لا يدخل في التقدم",IF($K1473="No Start (attainment only)","ℹ تحصيل فقط (بدون Start)",IF($K1473="U – needs rule","ℹ حالة U تحتاج قاعدة معتمدة",IF($K1473="No result","ℹ بدون نتيجة (يُستبعد من التحصيل)","OK")))))))))))</f>
        <v/>
      </c>
      <c r="M1473" s="64" t="n">
        <f aca="false">IF($A1473="",0,IFERROR(MATCH($A1473,Classes!$A$6:$A$420,0),0))</f>
        <v>0</v>
      </c>
      <c r="N1473" s="64" t="n">
        <f aca="false">IF($H1473="",0,IFERROR(MATCH($H1473,GradeList,0),0))</f>
        <v>0</v>
      </c>
      <c r="O1473" s="64" t="n">
        <f aca="false">IF(OR($I1473="",$I1473="NR"),0,IFERROR(MATCH($I1473,GradeList,0),0))</f>
        <v>0</v>
      </c>
      <c r="P1473" s="64" t="n">
        <f aca="false">IF(AND($M1473&gt;0,ISNUMBER(MATCH($F1473,Lists!$A$2:$A$5,0)),ISNUMBER(MATCH($G1473,Lists!$B$2:$B$7,0)),OR($H1473="",$N1473&gt;0),OR($I1473="",$I1473="NR",$O1473&gt;0),IF(ISNUMBER($J1473),AND($J1473&gt;=0,$J1473=INT($J1473)),FALSE())),$J1473,0)</f>
        <v>0</v>
      </c>
      <c r="Q1473" s="64" t="n">
        <f aca="false">IF(AND($P1473&gt;0,$O1473&gt;0),$P1473,0)</f>
        <v>0</v>
      </c>
      <c r="R1473" s="64" t="n">
        <f aca="false">IF(AND($Q1473&gt;0,$O1473&gt;=AtRank),$Q1473,0)</f>
        <v>0</v>
      </c>
      <c r="S1473" s="64" t="n">
        <f aca="false">IF(AND($Q1473&gt;0,$O1473&gt;=AboveRank),$Q1473,0)</f>
        <v>0</v>
      </c>
      <c r="T1473" s="64" t="n">
        <f aca="false">IF($K1473="Less",$P1473,0)</f>
        <v>0</v>
      </c>
      <c r="U1473" s="64" t="n">
        <f aca="false">IF($K1473="Expected",$P1473,0)</f>
        <v>0</v>
      </c>
      <c r="V1473" s="64" t="n">
        <f aca="false">IF($K1473="Better",$P1473,0)</f>
        <v>0</v>
      </c>
      <c r="W1473" s="64" t="n">
        <f aca="false">IF($K1473="U – needs rule",$P1473,0)</f>
        <v>0</v>
      </c>
      <c r="X1473" s="64" t="n">
        <f aca="false">IF($K1473="No Start (attainment only)",$P1473,0)</f>
        <v>0</v>
      </c>
    </row>
    <row r="1474" customFormat="false" ht="15" hidden="false" customHeight="false" outlineLevel="0" collapsed="false">
      <c r="A1474" s="60"/>
      <c r="B1474" s="61" t="str">
        <f aca="false">IF($M1474=0,"",INDEX(Classes!$E$6:$E$420,$M1474))</f>
        <v/>
      </c>
      <c r="C1474" s="62" t="str">
        <f aca="false">IF($M1474=0,"",INDEX(Classes!$H$6:$H$420,$M1474))</f>
        <v/>
      </c>
      <c r="D1474" s="61" t="str">
        <f aca="false">IF($M1474=0,"",INDEX(Classes!$B$6:$B$420,$M1474))</f>
        <v/>
      </c>
      <c r="E1474" s="61" t="str">
        <f aca="false">IF($M1474=0,"",INDEX(Classes!$C$6:$C$420,$M1474))</f>
        <v/>
      </c>
      <c r="F1474" s="63"/>
      <c r="G1474" s="63"/>
      <c r="H1474" s="60"/>
      <c r="I1474" s="60"/>
      <c r="J1474" s="63"/>
      <c r="K1474" s="61" t="str">
        <f aca="false">IF($P1474=0,"",IF($F1474="Baseline","— Baseline",IF($O1474=0,"No result",IF($N1474=0,"No Start (attainment only)",IF(OR($N1474=1,$O1474=1),"U – needs rule",INDEX(MxBody,MATCH($I1474,MxCurr,0),MATCH($H1474,MxStart,0)))))))</f>
        <v/>
      </c>
      <c r="L1474" s="62" t="str">
        <f aca="false">IF(COUNTA($A1474,$F1474,$G1474,$H1474,$I1474,$J1474)=0,"",IF($M1474=0,"✖ كود الصف غير موجود",IF(ISNA(MATCH($F1474,Lists!$A$2:$A$5,0)),"✖ الفترة غير صحيحة",IF(ISNA(MATCH($G1474,Lists!$B$2:$B$7,0)),"✖ المجموعة غير صحيحة",IF(NOT(OR($H1474="",$N1474&gt;0)),"✖ Start غير صحيح",IF(NOT(OR($I1474="",$I1474="NR",$O1474&gt;0)),"✖ Current غير صحيح",IF(NOT(IF(ISNUMBER($J1474),AND($J1474&gt;=0,$J1474=INT($J1474)),FALSE())),"✖ العدد يجب أن يكون صحيحًا ≥ 0",IF(AND($F1474="Baseline",$H1474&lt;&gt;""),"⚠ Baseline: Start لا يدخل في التقدم",IF($K1474="No Start (attainment only)","ℹ تحصيل فقط (بدون Start)",IF($K1474="U – needs rule","ℹ حالة U تحتاج قاعدة معتمدة",IF($K1474="No result","ℹ بدون نتيجة (يُستبعد من التحصيل)","OK")))))))))))</f>
        <v/>
      </c>
      <c r="M1474" s="64" t="n">
        <f aca="false">IF($A1474="",0,IFERROR(MATCH($A1474,Classes!$A$6:$A$420,0),0))</f>
        <v>0</v>
      </c>
      <c r="N1474" s="64" t="n">
        <f aca="false">IF($H1474="",0,IFERROR(MATCH($H1474,GradeList,0),0))</f>
        <v>0</v>
      </c>
      <c r="O1474" s="64" t="n">
        <f aca="false">IF(OR($I1474="",$I1474="NR"),0,IFERROR(MATCH($I1474,GradeList,0),0))</f>
        <v>0</v>
      </c>
      <c r="P1474" s="64" t="n">
        <f aca="false">IF(AND($M1474&gt;0,ISNUMBER(MATCH($F1474,Lists!$A$2:$A$5,0)),ISNUMBER(MATCH($G1474,Lists!$B$2:$B$7,0)),OR($H1474="",$N1474&gt;0),OR($I1474="",$I1474="NR",$O1474&gt;0),IF(ISNUMBER($J1474),AND($J1474&gt;=0,$J1474=INT($J1474)),FALSE())),$J1474,0)</f>
        <v>0</v>
      </c>
      <c r="Q1474" s="64" t="n">
        <f aca="false">IF(AND($P1474&gt;0,$O1474&gt;0),$P1474,0)</f>
        <v>0</v>
      </c>
      <c r="R1474" s="64" t="n">
        <f aca="false">IF(AND($Q1474&gt;0,$O1474&gt;=AtRank),$Q1474,0)</f>
        <v>0</v>
      </c>
      <c r="S1474" s="64" t="n">
        <f aca="false">IF(AND($Q1474&gt;0,$O1474&gt;=AboveRank),$Q1474,0)</f>
        <v>0</v>
      </c>
      <c r="T1474" s="64" t="n">
        <f aca="false">IF($K1474="Less",$P1474,0)</f>
        <v>0</v>
      </c>
      <c r="U1474" s="64" t="n">
        <f aca="false">IF($K1474="Expected",$P1474,0)</f>
        <v>0</v>
      </c>
      <c r="V1474" s="64" t="n">
        <f aca="false">IF($K1474="Better",$P1474,0)</f>
        <v>0</v>
      </c>
      <c r="W1474" s="64" t="n">
        <f aca="false">IF($K1474="U – needs rule",$P1474,0)</f>
        <v>0</v>
      </c>
      <c r="X1474" s="64" t="n">
        <f aca="false">IF($K1474="No Start (attainment only)",$P1474,0)</f>
        <v>0</v>
      </c>
    </row>
    <row r="1475" customFormat="false" ht="15" hidden="false" customHeight="false" outlineLevel="0" collapsed="false">
      <c r="A1475" s="60"/>
      <c r="B1475" s="61" t="str">
        <f aca="false">IF($M1475=0,"",INDEX(Classes!$E$6:$E$420,$M1475))</f>
        <v/>
      </c>
      <c r="C1475" s="62" t="str">
        <f aca="false">IF($M1475=0,"",INDEX(Classes!$H$6:$H$420,$M1475))</f>
        <v/>
      </c>
      <c r="D1475" s="61" t="str">
        <f aca="false">IF($M1475=0,"",INDEX(Classes!$B$6:$B$420,$M1475))</f>
        <v/>
      </c>
      <c r="E1475" s="61" t="str">
        <f aca="false">IF($M1475=0,"",INDEX(Classes!$C$6:$C$420,$M1475))</f>
        <v/>
      </c>
      <c r="F1475" s="63"/>
      <c r="G1475" s="63"/>
      <c r="H1475" s="60"/>
      <c r="I1475" s="60"/>
      <c r="J1475" s="63"/>
      <c r="K1475" s="61" t="str">
        <f aca="false">IF($P1475=0,"",IF($F1475="Baseline","— Baseline",IF($O1475=0,"No result",IF($N1475=0,"No Start (attainment only)",IF(OR($N1475=1,$O1475=1),"U – needs rule",INDEX(MxBody,MATCH($I1475,MxCurr,0),MATCH($H1475,MxStart,0)))))))</f>
        <v/>
      </c>
      <c r="L1475" s="62" t="str">
        <f aca="false">IF(COUNTA($A1475,$F1475,$G1475,$H1475,$I1475,$J1475)=0,"",IF($M1475=0,"✖ كود الصف غير موجود",IF(ISNA(MATCH($F1475,Lists!$A$2:$A$5,0)),"✖ الفترة غير صحيحة",IF(ISNA(MATCH($G1475,Lists!$B$2:$B$7,0)),"✖ المجموعة غير صحيحة",IF(NOT(OR($H1475="",$N1475&gt;0)),"✖ Start غير صحيح",IF(NOT(OR($I1475="",$I1475="NR",$O1475&gt;0)),"✖ Current غير صحيح",IF(NOT(IF(ISNUMBER($J1475),AND($J1475&gt;=0,$J1475=INT($J1475)),FALSE())),"✖ العدد يجب أن يكون صحيحًا ≥ 0",IF(AND($F1475="Baseline",$H1475&lt;&gt;""),"⚠ Baseline: Start لا يدخل في التقدم",IF($K1475="No Start (attainment only)","ℹ تحصيل فقط (بدون Start)",IF($K1475="U – needs rule","ℹ حالة U تحتاج قاعدة معتمدة",IF($K1475="No result","ℹ بدون نتيجة (يُستبعد من التحصيل)","OK")))))))))))</f>
        <v/>
      </c>
      <c r="M1475" s="64" t="n">
        <f aca="false">IF($A1475="",0,IFERROR(MATCH($A1475,Classes!$A$6:$A$420,0),0))</f>
        <v>0</v>
      </c>
      <c r="N1475" s="64" t="n">
        <f aca="false">IF($H1475="",0,IFERROR(MATCH($H1475,GradeList,0),0))</f>
        <v>0</v>
      </c>
      <c r="O1475" s="64" t="n">
        <f aca="false">IF(OR($I1475="",$I1475="NR"),0,IFERROR(MATCH($I1475,GradeList,0),0))</f>
        <v>0</v>
      </c>
      <c r="P1475" s="64" t="n">
        <f aca="false">IF(AND($M1475&gt;0,ISNUMBER(MATCH($F1475,Lists!$A$2:$A$5,0)),ISNUMBER(MATCH($G1475,Lists!$B$2:$B$7,0)),OR($H1475="",$N1475&gt;0),OR($I1475="",$I1475="NR",$O1475&gt;0),IF(ISNUMBER($J1475),AND($J1475&gt;=0,$J1475=INT($J1475)),FALSE())),$J1475,0)</f>
        <v>0</v>
      </c>
      <c r="Q1475" s="64" t="n">
        <f aca="false">IF(AND($P1475&gt;0,$O1475&gt;0),$P1475,0)</f>
        <v>0</v>
      </c>
      <c r="R1475" s="64" t="n">
        <f aca="false">IF(AND($Q1475&gt;0,$O1475&gt;=AtRank),$Q1475,0)</f>
        <v>0</v>
      </c>
      <c r="S1475" s="64" t="n">
        <f aca="false">IF(AND($Q1475&gt;0,$O1475&gt;=AboveRank),$Q1475,0)</f>
        <v>0</v>
      </c>
      <c r="T1475" s="64" t="n">
        <f aca="false">IF($K1475="Less",$P1475,0)</f>
        <v>0</v>
      </c>
      <c r="U1475" s="64" t="n">
        <f aca="false">IF($K1475="Expected",$P1475,0)</f>
        <v>0</v>
      </c>
      <c r="V1475" s="64" t="n">
        <f aca="false">IF($K1475="Better",$P1475,0)</f>
        <v>0</v>
      </c>
      <c r="W1475" s="64" t="n">
        <f aca="false">IF($K1475="U – needs rule",$P1475,0)</f>
        <v>0</v>
      </c>
      <c r="X1475" s="64" t="n">
        <f aca="false">IF($K1475="No Start (attainment only)",$P1475,0)</f>
        <v>0</v>
      </c>
    </row>
    <row r="1476" customFormat="false" ht="15" hidden="false" customHeight="false" outlineLevel="0" collapsed="false">
      <c r="A1476" s="60"/>
      <c r="B1476" s="61" t="str">
        <f aca="false">IF($M1476=0,"",INDEX(Classes!$E$6:$E$420,$M1476))</f>
        <v/>
      </c>
      <c r="C1476" s="62" t="str">
        <f aca="false">IF($M1476=0,"",INDEX(Classes!$H$6:$H$420,$M1476))</f>
        <v/>
      </c>
      <c r="D1476" s="61" t="str">
        <f aca="false">IF($M1476=0,"",INDEX(Classes!$B$6:$B$420,$M1476))</f>
        <v/>
      </c>
      <c r="E1476" s="61" t="str">
        <f aca="false">IF($M1476=0,"",INDEX(Classes!$C$6:$C$420,$M1476))</f>
        <v/>
      </c>
      <c r="F1476" s="63"/>
      <c r="G1476" s="63"/>
      <c r="H1476" s="60"/>
      <c r="I1476" s="60"/>
      <c r="J1476" s="63"/>
      <c r="K1476" s="61" t="str">
        <f aca="false">IF($P1476=0,"",IF($F1476="Baseline","— Baseline",IF($O1476=0,"No result",IF($N1476=0,"No Start (attainment only)",IF(OR($N1476=1,$O1476=1),"U – needs rule",INDEX(MxBody,MATCH($I1476,MxCurr,0),MATCH($H1476,MxStart,0)))))))</f>
        <v/>
      </c>
      <c r="L1476" s="62" t="str">
        <f aca="false">IF(COUNTA($A1476,$F1476,$G1476,$H1476,$I1476,$J1476)=0,"",IF($M1476=0,"✖ كود الصف غير موجود",IF(ISNA(MATCH($F1476,Lists!$A$2:$A$5,0)),"✖ الفترة غير صحيحة",IF(ISNA(MATCH($G1476,Lists!$B$2:$B$7,0)),"✖ المجموعة غير صحيحة",IF(NOT(OR($H1476="",$N1476&gt;0)),"✖ Start غير صحيح",IF(NOT(OR($I1476="",$I1476="NR",$O1476&gt;0)),"✖ Current غير صحيح",IF(NOT(IF(ISNUMBER($J1476),AND($J1476&gt;=0,$J1476=INT($J1476)),FALSE())),"✖ العدد يجب أن يكون صحيحًا ≥ 0",IF(AND($F1476="Baseline",$H1476&lt;&gt;""),"⚠ Baseline: Start لا يدخل في التقدم",IF($K1476="No Start (attainment only)","ℹ تحصيل فقط (بدون Start)",IF($K1476="U – needs rule","ℹ حالة U تحتاج قاعدة معتمدة",IF($K1476="No result","ℹ بدون نتيجة (يُستبعد من التحصيل)","OK")))))))))))</f>
        <v/>
      </c>
      <c r="M1476" s="64" t="n">
        <f aca="false">IF($A1476="",0,IFERROR(MATCH($A1476,Classes!$A$6:$A$420,0),0))</f>
        <v>0</v>
      </c>
      <c r="N1476" s="64" t="n">
        <f aca="false">IF($H1476="",0,IFERROR(MATCH($H1476,GradeList,0),0))</f>
        <v>0</v>
      </c>
      <c r="O1476" s="64" t="n">
        <f aca="false">IF(OR($I1476="",$I1476="NR"),0,IFERROR(MATCH($I1476,GradeList,0),0))</f>
        <v>0</v>
      </c>
      <c r="P1476" s="64" t="n">
        <f aca="false">IF(AND($M1476&gt;0,ISNUMBER(MATCH($F1476,Lists!$A$2:$A$5,0)),ISNUMBER(MATCH($G1476,Lists!$B$2:$B$7,0)),OR($H1476="",$N1476&gt;0),OR($I1476="",$I1476="NR",$O1476&gt;0),IF(ISNUMBER($J1476),AND($J1476&gt;=0,$J1476=INT($J1476)),FALSE())),$J1476,0)</f>
        <v>0</v>
      </c>
      <c r="Q1476" s="64" t="n">
        <f aca="false">IF(AND($P1476&gt;0,$O1476&gt;0),$P1476,0)</f>
        <v>0</v>
      </c>
      <c r="R1476" s="64" t="n">
        <f aca="false">IF(AND($Q1476&gt;0,$O1476&gt;=AtRank),$Q1476,0)</f>
        <v>0</v>
      </c>
      <c r="S1476" s="64" t="n">
        <f aca="false">IF(AND($Q1476&gt;0,$O1476&gt;=AboveRank),$Q1476,0)</f>
        <v>0</v>
      </c>
      <c r="T1476" s="64" t="n">
        <f aca="false">IF($K1476="Less",$P1476,0)</f>
        <v>0</v>
      </c>
      <c r="U1476" s="64" t="n">
        <f aca="false">IF($K1476="Expected",$P1476,0)</f>
        <v>0</v>
      </c>
      <c r="V1476" s="64" t="n">
        <f aca="false">IF($K1476="Better",$P1476,0)</f>
        <v>0</v>
      </c>
      <c r="W1476" s="64" t="n">
        <f aca="false">IF($K1476="U – needs rule",$P1476,0)</f>
        <v>0</v>
      </c>
      <c r="X1476" s="64" t="n">
        <f aca="false">IF($K1476="No Start (attainment only)",$P1476,0)</f>
        <v>0</v>
      </c>
    </row>
    <row r="1477" customFormat="false" ht="15" hidden="false" customHeight="false" outlineLevel="0" collapsed="false">
      <c r="A1477" s="60"/>
      <c r="B1477" s="61" t="str">
        <f aca="false">IF($M1477=0,"",INDEX(Classes!$E$6:$E$420,$M1477))</f>
        <v/>
      </c>
      <c r="C1477" s="62" t="str">
        <f aca="false">IF($M1477=0,"",INDEX(Classes!$H$6:$H$420,$M1477))</f>
        <v/>
      </c>
      <c r="D1477" s="61" t="str">
        <f aca="false">IF($M1477=0,"",INDEX(Classes!$B$6:$B$420,$M1477))</f>
        <v/>
      </c>
      <c r="E1477" s="61" t="str">
        <f aca="false">IF($M1477=0,"",INDEX(Classes!$C$6:$C$420,$M1477))</f>
        <v/>
      </c>
      <c r="F1477" s="63"/>
      <c r="G1477" s="63"/>
      <c r="H1477" s="60"/>
      <c r="I1477" s="60"/>
      <c r="J1477" s="63"/>
      <c r="K1477" s="61" t="str">
        <f aca="false">IF($P1477=0,"",IF($F1477="Baseline","— Baseline",IF($O1477=0,"No result",IF($N1477=0,"No Start (attainment only)",IF(OR($N1477=1,$O1477=1),"U – needs rule",INDEX(MxBody,MATCH($I1477,MxCurr,0),MATCH($H1477,MxStart,0)))))))</f>
        <v/>
      </c>
      <c r="L1477" s="62" t="str">
        <f aca="false">IF(COUNTA($A1477,$F1477,$G1477,$H1477,$I1477,$J1477)=0,"",IF($M1477=0,"✖ كود الصف غير موجود",IF(ISNA(MATCH($F1477,Lists!$A$2:$A$5,0)),"✖ الفترة غير صحيحة",IF(ISNA(MATCH($G1477,Lists!$B$2:$B$7,0)),"✖ المجموعة غير صحيحة",IF(NOT(OR($H1477="",$N1477&gt;0)),"✖ Start غير صحيح",IF(NOT(OR($I1477="",$I1477="NR",$O1477&gt;0)),"✖ Current غير صحيح",IF(NOT(IF(ISNUMBER($J1477),AND($J1477&gt;=0,$J1477=INT($J1477)),FALSE())),"✖ العدد يجب أن يكون صحيحًا ≥ 0",IF(AND($F1477="Baseline",$H1477&lt;&gt;""),"⚠ Baseline: Start لا يدخل في التقدم",IF($K1477="No Start (attainment only)","ℹ تحصيل فقط (بدون Start)",IF($K1477="U – needs rule","ℹ حالة U تحتاج قاعدة معتمدة",IF($K1477="No result","ℹ بدون نتيجة (يُستبعد من التحصيل)","OK")))))))))))</f>
        <v/>
      </c>
      <c r="M1477" s="64" t="n">
        <f aca="false">IF($A1477="",0,IFERROR(MATCH($A1477,Classes!$A$6:$A$420,0),0))</f>
        <v>0</v>
      </c>
      <c r="N1477" s="64" t="n">
        <f aca="false">IF($H1477="",0,IFERROR(MATCH($H1477,GradeList,0),0))</f>
        <v>0</v>
      </c>
      <c r="O1477" s="64" t="n">
        <f aca="false">IF(OR($I1477="",$I1477="NR"),0,IFERROR(MATCH($I1477,GradeList,0),0))</f>
        <v>0</v>
      </c>
      <c r="P1477" s="64" t="n">
        <f aca="false">IF(AND($M1477&gt;0,ISNUMBER(MATCH($F1477,Lists!$A$2:$A$5,0)),ISNUMBER(MATCH($G1477,Lists!$B$2:$B$7,0)),OR($H1477="",$N1477&gt;0),OR($I1477="",$I1477="NR",$O1477&gt;0),IF(ISNUMBER($J1477),AND($J1477&gt;=0,$J1477=INT($J1477)),FALSE())),$J1477,0)</f>
        <v>0</v>
      </c>
      <c r="Q1477" s="64" t="n">
        <f aca="false">IF(AND($P1477&gt;0,$O1477&gt;0),$P1477,0)</f>
        <v>0</v>
      </c>
      <c r="R1477" s="64" t="n">
        <f aca="false">IF(AND($Q1477&gt;0,$O1477&gt;=AtRank),$Q1477,0)</f>
        <v>0</v>
      </c>
      <c r="S1477" s="64" t="n">
        <f aca="false">IF(AND($Q1477&gt;0,$O1477&gt;=AboveRank),$Q1477,0)</f>
        <v>0</v>
      </c>
      <c r="T1477" s="64" t="n">
        <f aca="false">IF($K1477="Less",$P1477,0)</f>
        <v>0</v>
      </c>
      <c r="U1477" s="64" t="n">
        <f aca="false">IF($K1477="Expected",$P1477,0)</f>
        <v>0</v>
      </c>
      <c r="V1477" s="64" t="n">
        <f aca="false">IF($K1477="Better",$P1477,0)</f>
        <v>0</v>
      </c>
      <c r="W1477" s="64" t="n">
        <f aca="false">IF($K1477="U – needs rule",$P1477,0)</f>
        <v>0</v>
      </c>
      <c r="X1477" s="64" t="n">
        <f aca="false">IF($K1477="No Start (attainment only)",$P1477,0)</f>
        <v>0</v>
      </c>
    </row>
    <row r="1478" customFormat="false" ht="15" hidden="false" customHeight="false" outlineLevel="0" collapsed="false">
      <c r="A1478" s="60"/>
      <c r="B1478" s="61" t="str">
        <f aca="false">IF($M1478=0,"",INDEX(Classes!$E$6:$E$420,$M1478))</f>
        <v/>
      </c>
      <c r="C1478" s="62" t="str">
        <f aca="false">IF($M1478=0,"",INDEX(Classes!$H$6:$H$420,$M1478))</f>
        <v/>
      </c>
      <c r="D1478" s="61" t="str">
        <f aca="false">IF($M1478=0,"",INDEX(Classes!$B$6:$B$420,$M1478))</f>
        <v/>
      </c>
      <c r="E1478" s="61" t="str">
        <f aca="false">IF($M1478=0,"",INDEX(Classes!$C$6:$C$420,$M1478))</f>
        <v/>
      </c>
      <c r="F1478" s="63"/>
      <c r="G1478" s="63"/>
      <c r="H1478" s="60"/>
      <c r="I1478" s="60"/>
      <c r="J1478" s="63"/>
      <c r="K1478" s="61" t="str">
        <f aca="false">IF($P1478=0,"",IF($F1478="Baseline","— Baseline",IF($O1478=0,"No result",IF($N1478=0,"No Start (attainment only)",IF(OR($N1478=1,$O1478=1),"U – needs rule",INDEX(MxBody,MATCH($I1478,MxCurr,0),MATCH($H1478,MxStart,0)))))))</f>
        <v/>
      </c>
      <c r="L1478" s="62" t="str">
        <f aca="false">IF(COUNTA($A1478,$F1478,$G1478,$H1478,$I1478,$J1478)=0,"",IF($M1478=0,"✖ كود الصف غير موجود",IF(ISNA(MATCH($F1478,Lists!$A$2:$A$5,0)),"✖ الفترة غير صحيحة",IF(ISNA(MATCH($G1478,Lists!$B$2:$B$7,0)),"✖ المجموعة غير صحيحة",IF(NOT(OR($H1478="",$N1478&gt;0)),"✖ Start غير صحيح",IF(NOT(OR($I1478="",$I1478="NR",$O1478&gt;0)),"✖ Current غير صحيح",IF(NOT(IF(ISNUMBER($J1478),AND($J1478&gt;=0,$J1478=INT($J1478)),FALSE())),"✖ العدد يجب أن يكون صحيحًا ≥ 0",IF(AND($F1478="Baseline",$H1478&lt;&gt;""),"⚠ Baseline: Start لا يدخل في التقدم",IF($K1478="No Start (attainment only)","ℹ تحصيل فقط (بدون Start)",IF($K1478="U – needs rule","ℹ حالة U تحتاج قاعدة معتمدة",IF($K1478="No result","ℹ بدون نتيجة (يُستبعد من التحصيل)","OK")))))))))))</f>
        <v/>
      </c>
      <c r="M1478" s="64" t="n">
        <f aca="false">IF($A1478="",0,IFERROR(MATCH($A1478,Classes!$A$6:$A$420,0),0))</f>
        <v>0</v>
      </c>
      <c r="N1478" s="64" t="n">
        <f aca="false">IF($H1478="",0,IFERROR(MATCH($H1478,GradeList,0),0))</f>
        <v>0</v>
      </c>
      <c r="O1478" s="64" t="n">
        <f aca="false">IF(OR($I1478="",$I1478="NR"),0,IFERROR(MATCH($I1478,GradeList,0),0))</f>
        <v>0</v>
      </c>
      <c r="P1478" s="64" t="n">
        <f aca="false">IF(AND($M1478&gt;0,ISNUMBER(MATCH($F1478,Lists!$A$2:$A$5,0)),ISNUMBER(MATCH($G1478,Lists!$B$2:$B$7,0)),OR($H1478="",$N1478&gt;0),OR($I1478="",$I1478="NR",$O1478&gt;0),IF(ISNUMBER($J1478),AND($J1478&gt;=0,$J1478=INT($J1478)),FALSE())),$J1478,0)</f>
        <v>0</v>
      </c>
      <c r="Q1478" s="64" t="n">
        <f aca="false">IF(AND($P1478&gt;0,$O1478&gt;0),$P1478,0)</f>
        <v>0</v>
      </c>
      <c r="R1478" s="64" t="n">
        <f aca="false">IF(AND($Q1478&gt;0,$O1478&gt;=AtRank),$Q1478,0)</f>
        <v>0</v>
      </c>
      <c r="S1478" s="64" t="n">
        <f aca="false">IF(AND($Q1478&gt;0,$O1478&gt;=AboveRank),$Q1478,0)</f>
        <v>0</v>
      </c>
      <c r="T1478" s="64" t="n">
        <f aca="false">IF($K1478="Less",$P1478,0)</f>
        <v>0</v>
      </c>
      <c r="U1478" s="64" t="n">
        <f aca="false">IF($K1478="Expected",$P1478,0)</f>
        <v>0</v>
      </c>
      <c r="V1478" s="64" t="n">
        <f aca="false">IF($K1478="Better",$P1478,0)</f>
        <v>0</v>
      </c>
      <c r="W1478" s="64" t="n">
        <f aca="false">IF($K1478="U – needs rule",$P1478,0)</f>
        <v>0</v>
      </c>
      <c r="X1478" s="64" t="n">
        <f aca="false">IF($K1478="No Start (attainment only)",$P1478,0)</f>
        <v>0</v>
      </c>
    </row>
    <row r="1479" customFormat="false" ht="15" hidden="false" customHeight="false" outlineLevel="0" collapsed="false">
      <c r="A1479" s="60"/>
      <c r="B1479" s="61" t="str">
        <f aca="false">IF($M1479=0,"",INDEX(Classes!$E$6:$E$420,$M1479))</f>
        <v/>
      </c>
      <c r="C1479" s="62" t="str">
        <f aca="false">IF($M1479=0,"",INDEX(Classes!$H$6:$H$420,$M1479))</f>
        <v/>
      </c>
      <c r="D1479" s="61" t="str">
        <f aca="false">IF($M1479=0,"",INDEX(Classes!$B$6:$B$420,$M1479))</f>
        <v/>
      </c>
      <c r="E1479" s="61" t="str">
        <f aca="false">IF($M1479=0,"",INDEX(Classes!$C$6:$C$420,$M1479))</f>
        <v/>
      </c>
      <c r="F1479" s="63"/>
      <c r="G1479" s="63"/>
      <c r="H1479" s="60"/>
      <c r="I1479" s="60"/>
      <c r="J1479" s="63"/>
      <c r="K1479" s="61" t="str">
        <f aca="false">IF($P1479=0,"",IF($F1479="Baseline","— Baseline",IF($O1479=0,"No result",IF($N1479=0,"No Start (attainment only)",IF(OR($N1479=1,$O1479=1),"U – needs rule",INDEX(MxBody,MATCH($I1479,MxCurr,0),MATCH($H1479,MxStart,0)))))))</f>
        <v/>
      </c>
      <c r="L1479" s="62" t="str">
        <f aca="false">IF(COUNTA($A1479,$F1479,$G1479,$H1479,$I1479,$J1479)=0,"",IF($M1479=0,"✖ كود الصف غير موجود",IF(ISNA(MATCH($F1479,Lists!$A$2:$A$5,0)),"✖ الفترة غير صحيحة",IF(ISNA(MATCH($G1479,Lists!$B$2:$B$7,0)),"✖ المجموعة غير صحيحة",IF(NOT(OR($H1479="",$N1479&gt;0)),"✖ Start غير صحيح",IF(NOT(OR($I1479="",$I1479="NR",$O1479&gt;0)),"✖ Current غير صحيح",IF(NOT(IF(ISNUMBER($J1479),AND($J1479&gt;=0,$J1479=INT($J1479)),FALSE())),"✖ العدد يجب أن يكون صحيحًا ≥ 0",IF(AND($F1479="Baseline",$H1479&lt;&gt;""),"⚠ Baseline: Start لا يدخل في التقدم",IF($K1479="No Start (attainment only)","ℹ تحصيل فقط (بدون Start)",IF($K1479="U – needs rule","ℹ حالة U تحتاج قاعدة معتمدة",IF($K1479="No result","ℹ بدون نتيجة (يُستبعد من التحصيل)","OK")))))))))))</f>
        <v/>
      </c>
      <c r="M1479" s="64" t="n">
        <f aca="false">IF($A1479="",0,IFERROR(MATCH($A1479,Classes!$A$6:$A$420,0),0))</f>
        <v>0</v>
      </c>
      <c r="N1479" s="64" t="n">
        <f aca="false">IF($H1479="",0,IFERROR(MATCH($H1479,GradeList,0),0))</f>
        <v>0</v>
      </c>
      <c r="O1479" s="64" t="n">
        <f aca="false">IF(OR($I1479="",$I1479="NR"),0,IFERROR(MATCH($I1479,GradeList,0),0))</f>
        <v>0</v>
      </c>
      <c r="P1479" s="64" t="n">
        <f aca="false">IF(AND($M1479&gt;0,ISNUMBER(MATCH($F1479,Lists!$A$2:$A$5,0)),ISNUMBER(MATCH($G1479,Lists!$B$2:$B$7,0)),OR($H1479="",$N1479&gt;0),OR($I1479="",$I1479="NR",$O1479&gt;0),IF(ISNUMBER($J1479),AND($J1479&gt;=0,$J1479=INT($J1479)),FALSE())),$J1479,0)</f>
        <v>0</v>
      </c>
      <c r="Q1479" s="64" t="n">
        <f aca="false">IF(AND($P1479&gt;0,$O1479&gt;0),$P1479,0)</f>
        <v>0</v>
      </c>
      <c r="R1479" s="64" t="n">
        <f aca="false">IF(AND($Q1479&gt;0,$O1479&gt;=AtRank),$Q1479,0)</f>
        <v>0</v>
      </c>
      <c r="S1479" s="64" t="n">
        <f aca="false">IF(AND($Q1479&gt;0,$O1479&gt;=AboveRank),$Q1479,0)</f>
        <v>0</v>
      </c>
      <c r="T1479" s="64" t="n">
        <f aca="false">IF($K1479="Less",$P1479,0)</f>
        <v>0</v>
      </c>
      <c r="U1479" s="64" t="n">
        <f aca="false">IF($K1479="Expected",$P1479,0)</f>
        <v>0</v>
      </c>
      <c r="V1479" s="64" t="n">
        <f aca="false">IF($K1479="Better",$P1479,0)</f>
        <v>0</v>
      </c>
      <c r="W1479" s="64" t="n">
        <f aca="false">IF($K1479="U – needs rule",$P1479,0)</f>
        <v>0</v>
      </c>
      <c r="X1479" s="64" t="n">
        <f aca="false">IF($K1479="No Start (attainment only)",$P1479,0)</f>
        <v>0</v>
      </c>
    </row>
    <row r="1480" customFormat="false" ht="15" hidden="false" customHeight="false" outlineLevel="0" collapsed="false">
      <c r="A1480" s="60"/>
      <c r="B1480" s="61" t="str">
        <f aca="false">IF($M1480=0,"",INDEX(Classes!$E$6:$E$420,$M1480))</f>
        <v/>
      </c>
      <c r="C1480" s="62" t="str">
        <f aca="false">IF($M1480=0,"",INDEX(Classes!$H$6:$H$420,$M1480))</f>
        <v/>
      </c>
      <c r="D1480" s="61" t="str">
        <f aca="false">IF($M1480=0,"",INDEX(Classes!$B$6:$B$420,$M1480))</f>
        <v/>
      </c>
      <c r="E1480" s="61" t="str">
        <f aca="false">IF($M1480=0,"",INDEX(Classes!$C$6:$C$420,$M1480))</f>
        <v/>
      </c>
      <c r="F1480" s="63"/>
      <c r="G1480" s="63"/>
      <c r="H1480" s="60"/>
      <c r="I1480" s="60"/>
      <c r="J1480" s="63"/>
      <c r="K1480" s="61" t="str">
        <f aca="false">IF($P1480=0,"",IF($F1480="Baseline","— Baseline",IF($O1480=0,"No result",IF($N1480=0,"No Start (attainment only)",IF(OR($N1480=1,$O1480=1),"U – needs rule",INDEX(MxBody,MATCH($I1480,MxCurr,0),MATCH($H1480,MxStart,0)))))))</f>
        <v/>
      </c>
      <c r="L1480" s="62" t="str">
        <f aca="false">IF(COUNTA($A1480,$F1480,$G1480,$H1480,$I1480,$J1480)=0,"",IF($M1480=0,"✖ كود الصف غير موجود",IF(ISNA(MATCH($F1480,Lists!$A$2:$A$5,0)),"✖ الفترة غير صحيحة",IF(ISNA(MATCH($G1480,Lists!$B$2:$B$7,0)),"✖ المجموعة غير صحيحة",IF(NOT(OR($H1480="",$N1480&gt;0)),"✖ Start غير صحيح",IF(NOT(OR($I1480="",$I1480="NR",$O1480&gt;0)),"✖ Current غير صحيح",IF(NOT(IF(ISNUMBER($J1480),AND($J1480&gt;=0,$J1480=INT($J1480)),FALSE())),"✖ العدد يجب أن يكون صحيحًا ≥ 0",IF(AND($F1480="Baseline",$H1480&lt;&gt;""),"⚠ Baseline: Start لا يدخل في التقدم",IF($K1480="No Start (attainment only)","ℹ تحصيل فقط (بدون Start)",IF($K1480="U – needs rule","ℹ حالة U تحتاج قاعدة معتمدة",IF($K1480="No result","ℹ بدون نتيجة (يُستبعد من التحصيل)","OK")))))))))))</f>
        <v/>
      </c>
      <c r="M1480" s="64" t="n">
        <f aca="false">IF($A1480="",0,IFERROR(MATCH($A1480,Classes!$A$6:$A$420,0),0))</f>
        <v>0</v>
      </c>
      <c r="N1480" s="64" t="n">
        <f aca="false">IF($H1480="",0,IFERROR(MATCH($H1480,GradeList,0),0))</f>
        <v>0</v>
      </c>
      <c r="O1480" s="64" t="n">
        <f aca="false">IF(OR($I1480="",$I1480="NR"),0,IFERROR(MATCH($I1480,GradeList,0),0))</f>
        <v>0</v>
      </c>
      <c r="P1480" s="64" t="n">
        <f aca="false">IF(AND($M1480&gt;0,ISNUMBER(MATCH($F1480,Lists!$A$2:$A$5,0)),ISNUMBER(MATCH($G1480,Lists!$B$2:$B$7,0)),OR($H1480="",$N1480&gt;0),OR($I1480="",$I1480="NR",$O1480&gt;0),IF(ISNUMBER($J1480),AND($J1480&gt;=0,$J1480=INT($J1480)),FALSE())),$J1480,0)</f>
        <v>0</v>
      </c>
      <c r="Q1480" s="64" t="n">
        <f aca="false">IF(AND($P1480&gt;0,$O1480&gt;0),$P1480,0)</f>
        <v>0</v>
      </c>
      <c r="R1480" s="64" t="n">
        <f aca="false">IF(AND($Q1480&gt;0,$O1480&gt;=AtRank),$Q1480,0)</f>
        <v>0</v>
      </c>
      <c r="S1480" s="64" t="n">
        <f aca="false">IF(AND($Q1480&gt;0,$O1480&gt;=AboveRank),$Q1480,0)</f>
        <v>0</v>
      </c>
      <c r="T1480" s="64" t="n">
        <f aca="false">IF($K1480="Less",$P1480,0)</f>
        <v>0</v>
      </c>
      <c r="U1480" s="64" t="n">
        <f aca="false">IF($K1480="Expected",$P1480,0)</f>
        <v>0</v>
      </c>
      <c r="V1480" s="64" t="n">
        <f aca="false">IF($K1480="Better",$P1480,0)</f>
        <v>0</v>
      </c>
      <c r="W1480" s="64" t="n">
        <f aca="false">IF($K1480="U – needs rule",$P1480,0)</f>
        <v>0</v>
      </c>
      <c r="X1480" s="64" t="n">
        <f aca="false">IF($K1480="No Start (attainment only)",$P1480,0)</f>
        <v>0</v>
      </c>
    </row>
    <row r="1481" customFormat="false" ht="15" hidden="false" customHeight="false" outlineLevel="0" collapsed="false">
      <c r="A1481" s="60"/>
      <c r="B1481" s="61" t="str">
        <f aca="false">IF($M1481=0,"",INDEX(Classes!$E$6:$E$420,$M1481))</f>
        <v/>
      </c>
      <c r="C1481" s="62" t="str">
        <f aca="false">IF($M1481=0,"",INDEX(Classes!$H$6:$H$420,$M1481))</f>
        <v/>
      </c>
      <c r="D1481" s="61" t="str">
        <f aca="false">IF($M1481=0,"",INDEX(Classes!$B$6:$B$420,$M1481))</f>
        <v/>
      </c>
      <c r="E1481" s="61" t="str">
        <f aca="false">IF($M1481=0,"",INDEX(Classes!$C$6:$C$420,$M1481))</f>
        <v/>
      </c>
      <c r="F1481" s="63"/>
      <c r="G1481" s="63"/>
      <c r="H1481" s="60"/>
      <c r="I1481" s="60"/>
      <c r="J1481" s="63"/>
      <c r="K1481" s="61" t="str">
        <f aca="false">IF($P1481=0,"",IF($F1481="Baseline","— Baseline",IF($O1481=0,"No result",IF($N1481=0,"No Start (attainment only)",IF(OR($N1481=1,$O1481=1),"U – needs rule",INDEX(MxBody,MATCH($I1481,MxCurr,0),MATCH($H1481,MxStart,0)))))))</f>
        <v/>
      </c>
      <c r="L1481" s="62" t="str">
        <f aca="false">IF(COUNTA($A1481,$F1481,$G1481,$H1481,$I1481,$J1481)=0,"",IF($M1481=0,"✖ كود الصف غير موجود",IF(ISNA(MATCH($F1481,Lists!$A$2:$A$5,0)),"✖ الفترة غير صحيحة",IF(ISNA(MATCH($G1481,Lists!$B$2:$B$7,0)),"✖ المجموعة غير صحيحة",IF(NOT(OR($H1481="",$N1481&gt;0)),"✖ Start غير صحيح",IF(NOT(OR($I1481="",$I1481="NR",$O1481&gt;0)),"✖ Current غير صحيح",IF(NOT(IF(ISNUMBER($J1481),AND($J1481&gt;=0,$J1481=INT($J1481)),FALSE())),"✖ العدد يجب أن يكون صحيحًا ≥ 0",IF(AND($F1481="Baseline",$H1481&lt;&gt;""),"⚠ Baseline: Start لا يدخل في التقدم",IF($K1481="No Start (attainment only)","ℹ تحصيل فقط (بدون Start)",IF($K1481="U – needs rule","ℹ حالة U تحتاج قاعدة معتمدة",IF($K1481="No result","ℹ بدون نتيجة (يُستبعد من التحصيل)","OK")))))))))))</f>
        <v/>
      </c>
      <c r="M1481" s="64" t="n">
        <f aca="false">IF($A1481="",0,IFERROR(MATCH($A1481,Classes!$A$6:$A$420,0),0))</f>
        <v>0</v>
      </c>
      <c r="N1481" s="64" t="n">
        <f aca="false">IF($H1481="",0,IFERROR(MATCH($H1481,GradeList,0),0))</f>
        <v>0</v>
      </c>
      <c r="O1481" s="64" t="n">
        <f aca="false">IF(OR($I1481="",$I1481="NR"),0,IFERROR(MATCH($I1481,GradeList,0),0))</f>
        <v>0</v>
      </c>
      <c r="P1481" s="64" t="n">
        <f aca="false">IF(AND($M1481&gt;0,ISNUMBER(MATCH($F1481,Lists!$A$2:$A$5,0)),ISNUMBER(MATCH($G1481,Lists!$B$2:$B$7,0)),OR($H1481="",$N1481&gt;0),OR($I1481="",$I1481="NR",$O1481&gt;0),IF(ISNUMBER($J1481),AND($J1481&gt;=0,$J1481=INT($J1481)),FALSE())),$J1481,0)</f>
        <v>0</v>
      </c>
      <c r="Q1481" s="64" t="n">
        <f aca="false">IF(AND($P1481&gt;0,$O1481&gt;0),$P1481,0)</f>
        <v>0</v>
      </c>
      <c r="R1481" s="64" t="n">
        <f aca="false">IF(AND($Q1481&gt;0,$O1481&gt;=AtRank),$Q1481,0)</f>
        <v>0</v>
      </c>
      <c r="S1481" s="64" t="n">
        <f aca="false">IF(AND($Q1481&gt;0,$O1481&gt;=AboveRank),$Q1481,0)</f>
        <v>0</v>
      </c>
      <c r="T1481" s="64" t="n">
        <f aca="false">IF($K1481="Less",$P1481,0)</f>
        <v>0</v>
      </c>
      <c r="U1481" s="64" t="n">
        <f aca="false">IF($K1481="Expected",$P1481,0)</f>
        <v>0</v>
      </c>
      <c r="V1481" s="64" t="n">
        <f aca="false">IF($K1481="Better",$P1481,0)</f>
        <v>0</v>
      </c>
      <c r="W1481" s="64" t="n">
        <f aca="false">IF($K1481="U – needs rule",$P1481,0)</f>
        <v>0</v>
      </c>
      <c r="X1481" s="64" t="n">
        <f aca="false">IF($K1481="No Start (attainment only)",$P1481,0)</f>
        <v>0</v>
      </c>
    </row>
    <row r="1482" customFormat="false" ht="15" hidden="false" customHeight="false" outlineLevel="0" collapsed="false">
      <c r="A1482" s="60"/>
      <c r="B1482" s="61" t="str">
        <f aca="false">IF($M1482=0,"",INDEX(Classes!$E$6:$E$420,$M1482))</f>
        <v/>
      </c>
      <c r="C1482" s="62" t="str">
        <f aca="false">IF($M1482=0,"",INDEX(Classes!$H$6:$H$420,$M1482))</f>
        <v/>
      </c>
      <c r="D1482" s="61" t="str">
        <f aca="false">IF($M1482=0,"",INDEX(Classes!$B$6:$B$420,$M1482))</f>
        <v/>
      </c>
      <c r="E1482" s="61" t="str">
        <f aca="false">IF($M1482=0,"",INDEX(Classes!$C$6:$C$420,$M1482))</f>
        <v/>
      </c>
      <c r="F1482" s="63"/>
      <c r="G1482" s="63"/>
      <c r="H1482" s="60"/>
      <c r="I1482" s="60"/>
      <c r="J1482" s="63"/>
      <c r="K1482" s="61" t="str">
        <f aca="false">IF($P1482=0,"",IF($F1482="Baseline","— Baseline",IF($O1482=0,"No result",IF($N1482=0,"No Start (attainment only)",IF(OR($N1482=1,$O1482=1),"U – needs rule",INDEX(MxBody,MATCH($I1482,MxCurr,0),MATCH($H1482,MxStart,0)))))))</f>
        <v/>
      </c>
      <c r="L1482" s="62" t="str">
        <f aca="false">IF(COUNTA($A1482,$F1482,$G1482,$H1482,$I1482,$J1482)=0,"",IF($M1482=0,"✖ كود الصف غير موجود",IF(ISNA(MATCH($F1482,Lists!$A$2:$A$5,0)),"✖ الفترة غير صحيحة",IF(ISNA(MATCH($G1482,Lists!$B$2:$B$7,0)),"✖ المجموعة غير صحيحة",IF(NOT(OR($H1482="",$N1482&gt;0)),"✖ Start غير صحيح",IF(NOT(OR($I1482="",$I1482="NR",$O1482&gt;0)),"✖ Current غير صحيح",IF(NOT(IF(ISNUMBER($J1482),AND($J1482&gt;=0,$J1482=INT($J1482)),FALSE())),"✖ العدد يجب أن يكون صحيحًا ≥ 0",IF(AND($F1482="Baseline",$H1482&lt;&gt;""),"⚠ Baseline: Start لا يدخل في التقدم",IF($K1482="No Start (attainment only)","ℹ تحصيل فقط (بدون Start)",IF($K1482="U – needs rule","ℹ حالة U تحتاج قاعدة معتمدة",IF($K1482="No result","ℹ بدون نتيجة (يُستبعد من التحصيل)","OK")))))))))))</f>
        <v/>
      </c>
      <c r="M1482" s="64" t="n">
        <f aca="false">IF($A1482="",0,IFERROR(MATCH($A1482,Classes!$A$6:$A$420,0),0))</f>
        <v>0</v>
      </c>
      <c r="N1482" s="64" t="n">
        <f aca="false">IF($H1482="",0,IFERROR(MATCH($H1482,GradeList,0),0))</f>
        <v>0</v>
      </c>
      <c r="O1482" s="64" t="n">
        <f aca="false">IF(OR($I1482="",$I1482="NR"),0,IFERROR(MATCH($I1482,GradeList,0),0))</f>
        <v>0</v>
      </c>
      <c r="P1482" s="64" t="n">
        <f aca="false">IF(AND($M1482&gt;0,ISNUMBER(MATCH($F1482,Lists!$A$2:$A$5,0)),ISNUMBER(MATCH($G1482,Lists!$B$2:$B$7,0)),OR($H1482="",$N1482&gt;0),OR($I1482="",$I1482="NR",$O1482&gt;0),IF(ISNUMBER($J1482),AND($J1482&gt;=0,$J1482=INT($J1482)),FALSE())),$J1482,0)</f>
        <v>0</v>
      </c>
      <c r="Q1482" s="64" t="n">
        <f aca="false">IF(AND($P1482&gt;0,$O1482&gt;0),$P1482,0)</f>
        <v>0</v>
      </c>
      <c r="R1482" s="64" t="n">
        <f aca="false">IF(AND($Q1482&gt;0,$O1482&gt;=AtRank),$Q1482,0)</f>
        <v>0</v>
      </c>
      <c r="S1482" s="64" t="n">
        <f aca="false">IF(AND($Q1482&gt;0,$O1482&gt;=AboveRank),$Q1482,0)</f>
        <v>0</v>
      </c>
      <c r="T1482" s="64" t="n">
        <f aca="false">IF($K1482="Less",$P1482,0)</f>
        <v>0</v>
      </c>
      <c r="U1482" s="64" t="n">
        <f aca="false">IF($K1482="Expected",$P1482,0)</f>
        <v>0</v>
      </c>
      <c r="V1482" s="64" t="n">
        <f aca="false">IF($K1482="Better",$P1482,0)</f>
        <v>0</v>
      </c>
      <c r="W1482" s="64" t="n">
        <f aca="false">IF($K1482="U – needs rule",$P1482,0)</f>
        <v>0</v>
      </c>
      <c r="X1482" s="64" t="n">
        <f aca="false">IF($K1482="No Start (attainment only)",$P1482,0)</f>
        <v>0</v>
      </c>
    </row>
    <row r="1483" customFormat="false" ht="15" hidden="false" customHeight="false" outlineLevel="0" collapsed="false">
      <c r="A1483" s="60"/>
      <c r="B1483" s="61" t="str">
        <f aca="false">IF($M1483=0,"",INDEX(Classes!$E$6:$E$420,$M1483))</f>
        <v/>
      </c>
      <c r="C1483" s="62" t="str">
        <f aca="false">IF($M1483=0,"",INDEX(Classes!$H$6:$H$420,$M1483))</f>
        <v/>
      </c>
      <c r="D1483" s="61" t="str">
        <f aca="false">IF($M1483=0,"",INDEX(Classes!$B$6:$B$420,$M1483))</f>
        <v/>
      </c>
      <c r="E1483" s="61" t="str">
        <f aca="false">IF($M1483=0,"",INDEX(Classes!$C$6:$C$420,$M1483))</f>
        <v/>
      </c>
      <c r="F1483" s="63"/>
      <c r="G1483" s="63"/>
      <c r="H1483" s="60"/>
      <c r="I1483" s="60"/>
      <c r="J1483" s="63"/>
      <c r="K1483" s="61" t="str">
        <f aca="false">IF($P1483=0,"",IF($F1483="Baseline","— Baseline",IF($O1483=0,"No result",IF($N1483=0,"No Start (attainment only)",IF(OR($N1483=1,$O1483=1),"U – needs rule",INDEX(MxBody,MATCH($I1483,MxCurr,0),MATCH($H1483,MxStart,0)))))))</f>
        <v/>
      </c>
      <c r="L1483" s="62" t="str">
        <f aca="false">IF(COUNTA($A1483,$F1483,$G1483,$H1483,$I1483,$J1483)=0,"",IF($M1483=0,"✖ كود الصف غير موجود",IF(ISNA(MATCH($F1483,Lists!$A$2:$A$5,0)),"✖ الفترة غير صحيحة",IF(ISNA(MATCH($G1483,Lists!$B$2:$B$7,0)),"✖ المجموعة غير صحيحة",IF(NOT(OR($H1483="",$N1483&gt;0)),"✖ Start غير صحيح",IF(NOT(OR($I1483="",$I1483="NR",$O1483&gt;0)),"✖ Current غير صحيح",IF(NOT(IF(ISNUMBER($J1483),AND($J1483&gt;=0,$J1483=INT($J1483)),FALSE())),"✖ العدد يجب أن يكون صحيحًا ≥ 0",IF(AND($F1483="Baseline",$H1483&lt;&gt;""),"⚠ Baseline: Start لا يدخل في التقدم",IF($K1483="No Start (attainment only)","ℹ تحصيل فقط (بدون Start)",IF($K1483="U – needs rule","ℹ حالة U تحتاج قاعدة معتمدة",IF($K1483="No result","ℹ بدون نتيجة (يُستبعد من التحصيل)","OK")))))))))))</f>
        <v/>
      </c>
      <c r="M1483" s="64" t="n">
        <f aca="false">IF($A1483="",0,IFERROR(MATCH($A1483,Classes!$A$6:$A$420,0),0))</f>
        <v>0</v>
      </c>
      <c r="N1483" s="64" t="n">
        <f aca="false">IF($H1483="",0,IFERROR(MATCH($H1483,GradeList,0),0))</f>
        <v>0</v>
      </c>
      <c r="O1483" s="64" t="n">
        <f aca="false">IF(OR($I1483="",$I1483="NR"),0,IFERROR(MATCH($I1483,GradeList,0),0))</f>
        <v>0</v>
      </c>
      <c r="P1483" s="64" t="n">
        <f aca="false">IF(AND($M1483&gt;0,ISNUMBER(MATCH($F1483,Lists!$A$2:$A$5,0)),ISNUMBER(MATCH($G1483,Lists!$B$2:$B$7,0)),OR($H1483="",$N1483&gt;0),OR($I1483="",$I1483="NR",$O1483&gt;0),IF(ISNUMBER($J1483),AND($J1483&gt;=0,$J1483=INT($J1483)),FALSE())),$J1483,0)</f>
        <v>0</v>
      </c>
      <c r="Q1483" s="64" t="n">
        <f aca="false">IF(AND($P1483&gt;0,$O1483&gt;0),$P1483,0)</f>
        <v>0</v>
      </c>
      <c r="R1483" s="64" t="n">
        <f aca="false">IF(AND($Q1483&gt;0,$O1483&gt;=AtRank),$Q1483,0)</f>
        <v>0</v>
      </c>
      <c r="S1483" s="64" t="n">
        <f aca="false">IF(AND($Q1483&gt;0,$O1483&gt;=AboveRank),$Q1483,0)</f>
        <v>0</v>
      </c>
      <c r="T1483" s="64" t="n">
        <f aca="false">IF($K1483="Less",$P1483,0)</f>
        <v>0</v>
      </c>
      <c r="U1483" s="64" t="n">
        <f aca="false">IF($K1483="Expected",$P1483,0)</f>
        <v>0</v>
      </c>
      <c r="V1483" s="64" t="n">
        <f aca="false">IF($K1483="Better",$P1483,0)</f>
        <v>0</v>
      </c>
      <c r="W1483" s="64" t="n">
        <f aca="false">IF($K1483="U – needs rule",$P1483,0)</f>
        <v>0</v>
      </c>
      <c r="X1483" s="64" t="n">
        <f aca="false">IF($K1483="No Start (attainment only)",$P1483,0)</f>
        <v>0</v>
      </c>
    </row>
    <row r="1484" customFormat="false" ht="15" hidden="false" customHeight="false" outlineLevel="0" collapsed="false">
      <c r="A1484" s="60"/>
      <c r="B1484" s="61" t="str">
        <f aca="false">IF($M1484=0,"",INDEX(Classes!$E$6:$E$420,$M1484))</f>
        <v/>
      </c>
      <c r="C1484" s="62" t="str">
        <f aca="false">IF($M1484=0,"",INDEX(Classes!$H$6:$H$420,$M1484))</f>
        <v/>
      </c>
      <c r="D1484" s="61" t="str">
        <f aca="false">IF($M1484=0,"",INDEX(Classes!$B$6:$B$420,$M1484))</f>
        <v/>
      </c>
      <c r="E1484" s="61" t="str">
        <f aca="false">IF($M1484=0,"",INDEX(Classes!$C$6:$C$420,$M1484))</f>
        <v/>
      </c>
      <c r="F1484" s="63"/>
      <c r="G1484" s="63"/>
      <c r="H1484" s="60"/>
      <c r="I1484" s="60"/>
      <c r="J1484" s="63"/>
      <c r="K1484" s="61" t="str">
        <f aca="false">IF($P1484=0,"",IF($F1484="Baseline","— Baseline",IF($O1484=0,"No result",IF($N1484=0,"No Start (attainment only)",IF(OR($N1484=1,$O1484=1),"U – needs rule",INDEX(MxBody,MATCH($I1484,MxCurr,0),MATCH($H1484,MxStart,0)))))))</f>
        <v/>
      </c>
      <c r="L1484" s="62" t="str">
        <f aca="false">IF(COUNTA($A1484,$F1484,$G1484,$H1484,$I1484,$J1484)=0,"",IF($M1484=0,"✖ كود الصف غير موجود",IF(ISNA(MATCH($F1484,Lists!$A$2:$A$5,0)),"✖ الفترة غير صحيحة",IF(ISNA(MATCH($G1484,Lists!$B$2:$B$7,0)),"✖ المجموعة غير صحيحة",IF(NOT(OR($H1484="",$N1484&gt;0)),"✖ Start غير صحيح",IF(NOT(OR($I1484="",$I1484="NR",$O1484&gt;0)),"✖ Current غير صحيح",IF(NOT(IF(ISNUMBER($J1484),AND($J1484&gt;=0,$J1484=INT($J1484)),FALSE())),"✖ العدد يجب أن يكون صحيحًا ≥ 0",IF(AND($F1484="Baseline",$H1484&lt;&gt;""),"⚠ Baseline: Start لا يدخل في التقدم",IF($K1484="No Start (attainment only)","ℹ تحصيل فقط (بدون Start)",IF($K1484="U – needs rule","ℹ حالة U تحتاج قاعدة معتمدة",IF($K1484="No result","ℹ بدون نتيجة (يُستبعد من التحصيل)","OK")))))))))))</f>
        <v/>
      </c>
      <c r="M1484" s="64" t="n">
        <f aca="false">IF($A1484="",0,IFERROR(MATCH($A1484,Classes!$A$6:$A$420,0),0))</f>
        <v>0</v>
      </c>
      <c r="N1484" s="64" t="n">
        <f aca="false">IF($H1484="",0,IFERROR(MATCH($H1484,GradeList,0),0))</f>
        <v>0</v>
      </c>
      <c r="O1484" s="64" t="n">
        <f aca="false">IF(OR($I1484="",$I1484="NR"),0,IFERROR(MATCH($I1484,GradeList,0),0))</f>
        <v>0</v>
      </c>
      <c r="P1484" s="64" t="n">
        <f aca="false">IF(AND($M1484&gt;0,ISNUMBER(MATCH($F1484,Lists!$A$2:$A$5,0)),ISNUMBER(MATCH($G1484,Lists!$B$2:$B$7,0)),OR($H1484="",$N1484&gt;0),OR($I1484="",$I1484="NR",$O1484&gt;0),IF(ISNUMBER($J1484),AND($J1484&gt;=0,$J1484=INT($J1484)),FALSE())),$J1484,0)</f>
        <v>0</v>
      </c>
      <c r="Q1484" s="64" t="n">
        <f aca="false">IF(AND($P1484&gt;0,$O1484&gt;0),$P1484,0)</f>
        <v>0</v>
      </c>
      <c r="R1484" s="64" t="n">
        <f aca="false">IF(AND($Q1484&gt;0,$O1484&gt;=AtRank),$Q1484,0)</f>
        <v>0</v>
      </c>
      <c r="S1484" s="64" t="n">
        <f aca="false">IF(AND($Q1484&gt;0,$O1484&gt;=AboveRank),$Q1484,0)</f>
        <v>0</v>
      </c>
      <c r="T1484" s="64" t="n">
        <f aca="false">IF($K1484="Less",$P1484,0)</f>
        <v>0</v>
      </c>
      <c r="U1484" s="64" t="n">
        <f aca="false">IF($K1484="Expected",$P1484,0)</f>
        <v>0</v>
      </c>
      <c r="V1484" s="64" t="n">
        <f aca="false">IF($K1484="Better",$P1484,0)</f>
        <v>0</v>
      </c>
      <c r="W1484" s="64" t="n">
        <f aca="false">IF($K1484="U – needs rule",$P1484,0)</f>
        <v>0</v>
      </c>
      <c r="X1484" s="64" t="n">
        <f aca="false">IF($K1484="No Start (attainment only)",$P1484,0)</f>
        <v>0</v>
      </c>
    </row>
    <row r="1485" customFormat="false" ht="15" hidden="false" customHeight="false" outlineLevel="0" collapsed="false">
      <c r="A1485" s="60"/>
      <c r="B1485" s="61" t="str">
        <f aca="false">IF($M1485=0,"",INDEX(Classes!$E$6:$E$420,$M1485))</f>
        <v/>
      </c>
      <c r="C1485" s="62" t="str">
        <f aca="false">IF($M1485=0,"",INDEX(Classes!$H$6:$H$420,$M1485))</f>
        <v/>
      </c>
      <c r="D1485" s="61" t="str">
        <f aca="false">IF($M1485=0,"",INDEX(Classes!$B$6:$B$420,$M1485))</f>
        <v/>
      </c>
      <c r="E1485" s="61" t="str">
        <f aca="false">IF($M1485=0,"",INDEX(Classes!$C$6:$C$420,$M1485))</f>
        <v/>
      </c>
      <c r="F1485" s="63"/>
      <c r="G1485" s="63"/>
      <c r="H1485" s="60"/>
      <c r="I1485" s="60"/>
      <c r="J1485" s="63"/>
      <c r="K1485" s="61" t="str">
        <f aca="false">IF($P1485=0,"",IF($F1485="Baseline","— Baseline",IF($O1485=0,"No result",IF($N1485=0,"No Start (attainment only)",IF(OR($N1485=1,$O1485=1),"U – needs rule",INDEX(MxBody,MATCH($I1485,MxCurr,0),MATCH($H1485,MxStart,0)))))))</f>
        <v/>
      </c>
      <c r="L1485" s="62" t="str">
        <f aca="false">IF(COUNTA($A1485,$F1485,$G1485,$H1485,$I1485,$J1485)=0,"",IF($M1485=0,"✖ كود الصف غير موجود",IF(ISNA(MATCH($F1485,Lists!$A$2:$A$5,0)),"✖ الفترة غير صحيحة",IF(ISNA(MATCH($G1485,Lists!$B$2:$B$7,0)),"✖ المجموعة غير صحيحة",IF(NOT(OR($H1485="",$N1485&gt;0)),"✖ Start غير صحيح",IF(NOT(OR($I1485="",$I1485="NR",$O1485&gt;0)),"✖ Current غير صحيح",IF(NOT(IF(ISNUMBER($J1485),AND($J1485&gt;=0,$J1485=INT($J1485)),FALSE())),"✖ العدد يجب أن يكون صحيحًا ≥ 0",IF(AND($F1485="Baseline",$H1485&lt;&gt;""),"⚠ Baseline: Start لا يدخل في التقدم",IF($K1485="No Start (attainment only)","ℹ تحصيل فقط (بدون Start)",IF($K1485="U – needs rule","ℹ حالة U تحتاج قاعدة معتمدة",IF($K1485="No result","ℹ بدون نتيجة (يُستبعد من التحصيل)","OK")))))))))))</f>
        <v/>
      </c>
      <c r="M1485" s="64" t="n">
        <f aca="false">IF($A1485="",0,IFERROR(MATCH($A1485,Classes!$A$6:$A$420,0),0))</f>
        <v>0</v>
      </c>
      <c r="N1485" s="64" t="n">
        <f aca="false">IF($H1485="",0,IFERROR(MATCH($H1485,GradeList,0),0))</f>
        <v>0</v>
      </c>
      <c r="O1485" s="64" t="n">
        <f aca="false">IF(OR($I1485="",$I1485="NR"),0,IFERROR(MATCH($I1485,GradeList,0),0))</f>
        <v>0</v>
      </c>
      <c r="P1485" s="64" t="n">
        <f aca="false">IF(AND($M1485&gt;0,ISNUMBER(MATCH($F1485,Lists!$A$2:$A$5,0)),ISNUMBER(MATCH($G1485,Lists!$B$2:$B$7,0)),OR($H1485="",$N1485&gt;0),OR($I1485="",$I1485="NR",$O1485&gt;0),IF(ISNUMBER($J1485),AND($J1485&gt;=0,$J1485=INT($J1485)),FALSE())),$J1485,0)</f>
        <v>0</v>
      </c>
      <c r="Q1485" s="64" t="n">
        <f aca="false">IF(AND($P1485&gt;0,$O1485&gt;0),$P1485,0)</f>
        <v>0</v>
      </c>
      <c r="R1485" s="64" t="n">
        <f aca="false">IF(AND($Q1485&gt;0,$O1485&gt;=AtRank),$Q1485,0)</f>
        <v>0</v>
      </c>
      <c r="S1485" s="64" t="n">
        <f aca="false">IF(AND($Q1485&gt;0,$O1485&gt;=AboveRank),$Q1485,0)</f>
        <v>0</v>
      </c>
      <c r="T1485" s="64" t="n">
        <f aca="false">IF($K1485="Less",$P1485,0)</f>
        <v>0</v>
      </c>
      <c r="U1485" s="64" t="n">
        <f aca="false">IF($K1485="Expected",$P1485,0)</f>
        <v>0</v>
      </c>
      <c r="V1485" s="64" t="n">
        <f aca="false">IF($K1485="Better",$P1485,0)</f>
        <v>0</v>
      </c>
      <c r="W1485" s="64" t="n">
        <f aca="false">IF($K1485="U – needs rule",$P1485,0)</f>
        <v>0</v>
      </c>
      <c r="X1485" s="64" t="n">
        <f aca="false">IF($K1485="No Start (attainment only)",$P1485,0)</f>
        <v>0</v>
      </c>
    </row>
    <row r="1486" customFormat="false" ht="15" hidden="false" customHeight="false" outlineLevel="0" collapsed="false">
      <c r="A1486" s="60"/>
      <c r="B1486" s="61" t="str">
        <f aca="false">IF($M1486=0,"",INDEX(Classes!$E$6:$E$420,$M1486))</f>
        <v/>
      </c>
      <c r="C1486" s="62" t="str">
        <f aca="false">IF($M1486=0,"",INDEX(Classes!$H$6:$H$420,$M1486))</f>
        <v/>
      </c>
      <c r="D1486" s="61" t="str">
        <f aca="false">IF($M1486=0,"",INDEX(Classes!$B$6:$B$420,$M1486))</f>
        <v/>
      </c>
      <c r="E1486" s="61" t="str">
        <f aca="false">IF($M1486=0,"",INDEX(Classes!$C$6:$C$420,$M1486))</f>
        <v/>
      </c>
      <c r="F1486" s="63"/>
      <c r="G1486" s="63"/>
      <c r="H1486" s="60"/>
      <c r="I1486" s="60"/>
      <c r="J1486" s="63"/>
      <c r="K1486" s="61" t="str">
        <f aca="false">IF($P1486=0,"",IF($F1486="Baseline","— Baseline",IF($O1486=0,"No result",IF($N1486=0,"No Start (attainment only)",IF(OR($N1486=1,$O1486=1),"U – needs rule",INDEX(MxBody,MATCH($I1486,MxCurr,0),MATCH($H1486,MxStart,0)))))))</f>
        <v/>
      </c>
      <c r="L1486" s="62" t="str">
        <f aca="false">IF(COUNTA($A1486,$F1486,$G1486,$H1486,$I1486,$J1486)=0,"",IF($M1486=0,"✖ كود الصف غير موجود",IF(ISNA(MATCH($F1486,Lists!$A$2:$A$5,0)),"✖ الفترة غير صحيحة",IF(ISNA(MATCH($G1486,Lists!$B$2:$B$7,0)),"✖ المجموعة غير صحيحة",IF(NOT(OR($H1486="",$N1486&gt;0)),"✖ Start غير صحيح",IF(NOT(OR($I1486="",$I1486="NR",$O1486&gt;0)),"✖ Current غير صحيح",IF(NOT(IF(ISNUMBER($J1486),AND($J1486&gt;=0,$J1486=INT($J1486)),FALSE())),"✖ العدد يجب أن يكون صحيحًا ≥ 0",IF(AND($F1486="Baseline",$H1486&lt;&gt;""),"⚠ Baseline: Start لا يدخل في التقدم",IF($K1486="No Start (attainment only)","ℹ تحصيل فقط (بدون Start)",IF($K1486="U – needs rule","ℹ حالة U تحتاج قاعدة معتمدة",IF($K1486="No result","ℹ بدون نتيجة (يُستبعد من التحصيل)","OK")))))))))))</f>
        <v/>
      </c>
      <c r="M1486" s="64" t="n">
        <f aca="false">IF($A1486="",0,IFERROR(MATCH($A1486,Classes!$A$6:$A$420,0),0))</f>
        <v>0</v>
      </c>
      <c r="N1486" s="64" t="n">
        <f aca="false">IF($H1486="",0,IFERROR(MATCH($H1486,GradeList,0),0))</f>
        <v>0</v>
      </c>
      <c r="O1486" s="64" t="n">
        <f aca="false">IF(OR($I1486="",$I1486="NR"),0,IFERROR(MATCH($I1486,GradeList,0),0))</f>
        <v>0</v>
      </c>
      <c r="P1486" s="64" t="n">
        <f aca="false">IF(AND($M1486&gt;0,ISNUMBER(MATCH($F1486,Lists!$A$2:$A$5,0)),ISNUMBER(MATCH($G1486,Lists!$B$2:$B$7,0)),OR($H1486="",$N1486&gt;0),OR($I1486="",$I1486="NR",$O1486&gt;0),IF(ISNUMBER($J1486),AND($J1486&gt;=0,$J1486=INT($J1486)),FALSE())),$J1486,0)</f>
        <v>0</v>
      </c>
      <c r="Q1486" s="64" t="n">
        <f aca="false">IF(AND($P1486&gt;0,$O1486&gt;0),$P1486,0)</f>
        <v>0</v>
      </c>
      <c r="R1486" s="64" t="n">
        <f aca="false">IF(AND($Q1486&gt;0,$O1486&gt;=AtRank),$Q1486,0)</f>
        <v>0</v>
      </c>
      <c r="S1486" s="64" t="n">
        <f aca="false">IF(AND($Q1486&gt;0,$O1486&gt;=AboveRank),$Q1486,0)</f>
        <v>0</v>
      </c>
      <c r="T1486" s="64" t="n">
        <f aca="false">IF($K1486="Less",$P1486,0)</f>
        <v>0</v>
      </c>
      <c r="U1486" s="64" t="n">
        <f aca="false">IF($K1486="Expected",$P1486,0)</f>
        <v>0</v>
      </c>
      <c r="V1486" s="64" t="n">
        <f aca="false">IF($K1486="Better",$P1486,0)</f>
        <v>0</v>
      </c>
      <c r="W1486" s="64" t="n">
        <f aca="false">IF($K1486="U – needs rule",$P1486,0)</f>
        <v>0</v>
      </c>
      <c r="X1486" s="64" t="n">
        <f aca="false">IF($K1486="No Start (attainment only)",$P1486,0)</f>
        <v>0</v>
      </c>
    </row>
    <row r="1487" customFormat="false" ht="15" hidden="false" customHeight="false" outlineLevel="0" collapsed="false">
      <c r="A1487" s="60"/>
      <c r="B1487" s="61" t="str">
        <f aca="false">IF($M1487=0,"",INDEX(Classes!$E$6:$E$420,$M1487))</f>
        <v/>
      </c>
      <c r="C1487" s="62" t="str">
        <f aca="false">IF($M1487=0,"",INDEX(Classes!$H$6:$H$420,$M1487))</f>
        <v/>
      </c>
      <c r="D1487" s="61" t="str">
        <f aca="false">IF($M1487=0,"",INDEX(Classes!$B$6:$B$420,$M1487))</f>
        <v/>
      </c>
      <c r="E1487" s="61" t="str">
        <f aca="false">IF($M1487=0,"",INDEX(Classes!$C$6:$C$420,$M1487))</f>
        <v/>
      </c>
      <c r="F1487" s="63"/>
      <c r="G1487" s="63"/>
      <c r="H1487" s="60"/>
      <c r="I1487" s="60"/>
      <c r="J1487" s="63"/>
      <c r="K1487" s="61" t="str">
        <f aca="false">IF($P1487=0,"",IF($F1487="Baseline","— Baseline",IF($O1487=0,"No result",IF($N1487=0,"No Start (attainment only)",IF(OR($N1487=1,$O1487=1),"U – needs rule",INDEX(MxBody,MATCH($I1487,MxCurr,0),MATCH($H1487,MxStart,0)))))))</f>
        <v/>
      </c>
      <c r="L1487" s="62" t="str">
        <f aca="false">IF(COUNTA($A1487,$F1487,$G1487,$H1487,$I1487,$J1487)=0,"",IF($M1487=0,"✖ كود الصف غير موجود",IF(ISNA(MATCH($F1487,Lists!$A$2:$A$5,0)),"✖ الفترة غير صحيحة",IF(ISNA(MATCH($G1487,Lists!$B$2:$B$7,0)),"✖ المجموعة غير صحيحة",IF(NOT(OR($H1487="",$N1487&gt;0)),"✖ Start غير صحيح",IF(NOT(OR($I1487="",$I1487="NR",$O1487&gt;0)),"✖ Current غير صحيح",IF(NOT(IF(ISNUMBER($J1487),AND($J1487&gt;=0,$J1487=INT($J1487)),FALSE())),"✖ العدد يجب أن يكون صحيحًا ≥ 0",IF(AND($F1487="Baseline",$H1487&lt;&gt;""),"⚠ Baseline: Start لا يدخل في التقدم",IF($K1487="No Start (attainment only)","ℹ تحصيل فقط (بدون Start)",IF($K1487="U – needs rule","ℹ حالة U تحتاج قاعدة معتمدة",IF($K1487="No result","ℹ بدون نتيجة (يُستبعد من التحصيل)","OK")))))))))))</f>
        <v/>
      </c>
      <c r="M1487" s="64" t="n">
        <f aca="false">IF($A1487="",0,IFERROR(MATCH($A1487,Classes!$A$6:$A$420,0),0))</f>
        <v>0</v>
      </c>
      <c r="N1487" s="64" t="n">
        <f aca="false">IF($H1487="",0,IFERROR(MATCH($H1487,GradeList,0),0))</f>
        <v>0</v>
      </c>
      <c r="O1487" s="64" t="n">
        <f aca="false">IF(OR($I1487="",$I1487="NR"),0,IFERROR(MATCH($I1487,GradeList,0),0))</f>
        <v>0</v>
      </c>
      <c r="P1487" s="64" t="n">
        <f aca="false">IF(AND($M1487&gt;0,ISNUMBER(MATCH($F1487,Lists!$A$2:$A$5,0)),ISNUMBER(MATCH($G1487,Lists!$B$2:$B$7,0)),OR($H1487="",$N1487&gt;0),OR($I1487="",$I1487="NR",$O1487&gt;0),IF(ISNUMBER($J1487),AND($J1487&gt;=0,$J1487=INT($J1487)),FALSE())),$J1487,0)</f>
        <v>0</v>
      </c>
      <c r="Q1487" s="64" t="n">
        <f aca="false">IF(AND($P1487&gt;0,$O1487&gt;0),$P1487,0)</f>
        <v>0</v>
      </c>
      <c r="R1487" s="64" t="n">
        <f aca="false">IF(AND($Q1487&gt;0,$O1487&gt;=AtRank),$Q1487,0)</f>
        <v>0</v>
      </c>
      <c r="S1487" s="64" t="n">
        <f aca="false">IF(AND($Q1487&gt;0,$O1487&gt;=AboveRank),$Q1487,0)</f>
        <v>0</v>
      </c>
      <c r="T1487" s="64" t="n">
        <f aca="false">IF($K1487="Less",$P1487,0)</f>
        <v>0</v>
      </c>
      <c r="U1487" s="64" t="n">
        <f aca="false">IF($K1487="Expected",$P1487,0)</f>
        <v>0</v>
      </c>
      <c r="V1487" s="64" t="n">
        <f aca="false">IF($K1487="Better",$P1487,0)</f>
        <v>0</v>
      </c>
      <c r="W1487" s="64" t="n">
        <f aca="false">IF($K1487="U – needs rule",$P1487,0)</f>
        <v>0</v>
      </c>
      <c r="X1487" s="64" t="n">
        <f aca="false">IF($K1487="No Start (attainment only)",$P1487,0)</f>
        <v>0</v>
      </c>
    </row>
    <row r="1488" customFormat="false" ht="15" hidden="false" customHeight="false" outlineLevel="0" collapsed="false">
      <c r="A1488" s="60"/>
      <c r="B1488" s="61" t="str">
        <f aca="false">IF($M1488=0,"",INDEX(Classes!$E$6:$E$420,$M1488))</f>
        <v/>
      </c>
      <c r="C1488" s="62" t="str">
        <f aca="false">IF($M1488=0,"",INDEX(Classes!$H$6:$H$420,$M1488))</f>
        <v/>
      </c>
      <c r="D1488" s="61" t="str">
        <f aca="false">IF($M1488=0,"",INDEX(Classes!$B$6:$B$420,$M1488))</f>
        <v/>
      </c>
      <c r="E1488" s="61" t="str">
        <f aca="false">IF($M1488=0,"",INDEX(Classes!$C$6:$C$420,$M1488))</f>
        <v/>
      </c>
      <c r="F1488" s="63"/>
      <c r="G1488" s="63"/>
      <c r="H1488" s="60"/>
      <c r="I1488" s="60"/>
      <c r="J1488" s="63"/>
      <c r="K1488" s="61" t="str">
        <f aca="false">IF($P1488=0,"",IF($F1488="Baseline","— Baseline",IF($O1488=0,"No result",IF($N1488=0,"No Start (attainment only)",IF(OR($N1488=1,$O1488=1),"U – needs rule",INDEX(MxBody,MATCH($I1488,MxCurr,0),MATCH($H1488,MxStart,0)))))))</f>
        <v/>
      </c>
      <c r="L1488" s="62" t="str">
        <f aca="false">IF(COUNTA($A1488,$F1488,$G1488,$H1488,$I1488,$J1488)=0,"",IF($M1488=0,"✖ كود الصف غير موجود",IF(ISNA(MATCH($F1488,Lists!$A$2:$A$5,0)),"✖ الفترة غير صحيحة",IF(ISNA(MATCH($G1488,Lists!$B$2:$B$7,0)),"✖ المجموعة غير صحيحة",IF(NOT(OR($H1488="",$N1488&gt;0)),"✖ Start غير صحيح",IF(NOT(OR($I1488="",$I1488="NR",$O1488&gt;0)),"✖ Current غير صحيح",IF(NOT(IF(ISNUMBER($J1488),AND($J1488&gt;=0,$J1488=INT($J1488)),FALSE())),"✖ العدد يجب أن يكون صحيحًا ≥ 0",IF(AND($F1488="Baseline",$H1488&lt;&gt;""),"⚠ Baseline: Start لا يدخل في التقدم",IF($K1488="No Start (attainment only)","ℹ تحصيل فقط (بدون Start)",IF($K1488="U – needs rule","ℹ حالة U تحتاج قاعدة معتمدة",IF($K1488="No result","ℹ بدون نتيجة (يُستبعد من التحصيل)","OK")))))))))))</f>
        <v/>
      </c>
      <c r="M1488" s="64" t="n">
        <f aca="false">IF($A1488="",0,IFERROR(MATCH($A1488,Classes!$A$6:$A$420,0),0))</f>
        <v>0</v>
      </c>
      <c r="N1488" s="64" t="n">
        <f aca="false">IF($H1488="",0,IFERROR(MATCH($H1488,GradeList,0),0))</f>
        <v>0</v>
      </c>
      <c r="O1488" s="64" t="n">
        <f aca="false">IF(OR($I1488="",$I1488="NR"),0,IFERROR(MATCH($I1488,GradeList,0),0))</f>
        <v>0</v>
      </c>
      <c r="P1488" s="64" t="n">
        <f aca="false">IF(AND($M1488&gt;0,ISNUMBER(MATCH($F1488,Lists!$A$2:$A$5,0)),ISNUMBER(MATCH($G1488,Lists!$B$2:$B$7,0)),OR($H1488="",$N1488&gt;0),OR($I1488="",$I1488="NR",$O1488&gt;0),IF(ISNUMBER($J1488),AND($J1488&gt;=0,$J1488=INT($J1488)),FALSE())),$J1488,0)</f>
        <v>0</v>
      </c>
      <c r="Q1488" s="64" t="n">
        <f aca="false">IF(AND($P1488&gt;0,$O1488&gt;0),$P1488,0)</f>
        <v>0</v>
      </c>
      <c r="R1488" s="64" t="n">
        <f aca="false">IF(AND($Q1488&gt;0,$O1488&gt;=AtRank),$Q1488,0)</f>
        <v>0</v>
      </c>
      <c r="S1488" s="64" t="n">
        <f aca="false">IF(AND($Q1488&gt;0,$O1488&gt;=AboveRank),$Q1488,0)</f>
        <v>0</v>
      </c>
      <c r="T1488" s="64" t="n">
        <f aca="false">IF($K1488="Less",$P1488,0)</f>
        <v>0</v>
      </c>
      <c r="U1488" s="64" t="n">
        <f aca="false">IF($K1488="Expected",$P1488,0)</f>
        <v>0</v>
      </c>
      <c r="V1488" s="64" t="n">
        <f aca="false">IF($K1488="Better",$P1488,0)</f>
        <v>0</v>
      </c>
      <c r="W1488" s="64" t="n">
        <f aca="false">IF($K1488="U – needs rule",$P1488,0)</f>
        <v>0</v>
      </c>
      <c r="X1488" s="64" t="n">
        <f aca="false">IF($K1488="No Start (attainment only)",$P1488,0)</f>
        <v>0</v>
      </c>
    </row>
    <row r="1489" customFormat="false" ht="15" hidden="false" customHeight="false" outlineLevel="0" collapsed="false">
      <c r="A1489" s="60"/>
      <c r="B1489" s="61" t="str">
        <f aca="false">IF($M1489=0,"",INDEX(Classes!$E$6:$E$420,$M1489))</f>
        <v/>
      </c>
      <c r="C1489" s="62" t="str">
        <f aca="false">IF($M1489=0,"",INDEX(Classes!$H$6:$H$420,$M1489))</f>
        <v/>
      </c>
      <c r="D1489" s="61" t="str">
        <f aca="false">IF($M1489=0,"",INDEX(Classes!$B$6:$B$420,$M1489))</f>
        <v/>
      </c>
      <c r="E1489" s="61" t="str">
        <f aca="false">IF($M1489=0,"",INDEX(Classes!$C$6:$C$420,$M1489))</f>
        <v/>
      </c>
      <c r="F1489" s="63"/>
      <c r="G1489" s="63"/>
      <c r="H1489" s="60"/>
      <c r="I1489" s="60"/>
      <c r="J1489" s="63"/>
      <c r="K1489" s="61" t="str">
        <f aca="false">IF($P1489=0,"",IF($F1489="Baseline","— Baseline",IF($O1489=0,"No result",IF($N1489=0,"No Start (attainment only)",IF(OR($N1489=1,$O1489=1),"U – needs rule",INDEX(MxBody,MATCH($I1489,MxCurr,0),MATCH($H1489,MxStart,0)))))))</f>
        <v/>
      </c>
      <c r="L1489" s="62" t="str">
        <f aca="false">IF(COUNTA($A1489,$F1489,$G1489,$H1489,$I1489,$J1489)=0,"",IF($M1489=0,"✖ كود الصف غير موجود",IF(ISNA(MATCH($F1489,Lists!$A$2:$A$5,0)),"✖ الفترة غير صحيحة",IF(ISNA(MATCH($G1489,Lists!$B$2:$B$7,0)),"✖ المجموعة غير صحيحة",IF(NOT(OR($H1489="",$N1489&gt;0)),"✖ Start غير صحيح",IF(NOT(OR($I1489="",$I1489="NR",$O1489&gt;0)),"✖ Current غير صحيح",IF(NOT(IF(ISNUMBER($J1489),AND($J1489&gt;=0,$J1489=INT($J1489)),FALSE())),"✖ العدد يجب أن يكون صحيحًا ≥ 0",IF(AND($F1489="Baseline",$H1489&lt;&gt;""),"⚠ Baseline: Start لا يدخل في التقدم",IF($K1489="No Start (attainment only)","ℹ تحصيل فقط (بدون Start)",IF($K1489="U – needs rule","ℹ حالة U تحتاج قاعدة معتمدة",IF($K1489="No result","ℹ بدون نتيجة (يُستبعد من التحصيل)","OK")))))))))))</f>
        <v/>
      </c>
      <c r="M1489" s="64" t="n">
        <f aca="false">IF($A1489="",0,IFERROR(MATCH($A1489,Classes!$A$6:$A$420,0),0))</f>
        <v>0</v>
      </c>
      <c r="N1489" s="64" t="n">
        <f aca="false">IF($H1489="",0,IFERROR(MATCH($H1489,GradeList,0),0))</f>
        <v>0</v>
      </c>
      <c r="O1489" s="64" t="n">
        <f aca="false">IF(OR($I1489="",$I1489="NR"),0,IFERROR(MATCH($I1489,GradeList,0),0))</f>
        <v>0</v>
      </c>
      <c r="P1489" s="64" t="n">
        <f aca="false">IF(AND($M1489&gt;0,ISNUMBER(MATCH($F1489,Lists!$A$2:$A$5,0)),ISNUMBER(MATCH($G1489,Lists!$B$2:$B$7,0)),OR($H1489="",$N1489&gt;0),OR($I1489="",$I1489="NR",$O1489&gt;0),IF(ISNUMBER($J1489),AND($J1489&gt;=0,$J1489=INT($J1489)),FALSE())),$J1489,0)</f>
        <v>0</v>
      </c>
      <c r="Q1489" s="64" t="n">
        <f aca="false">IF(AND($P1489&gt;0,$O1489&gt;0),$P1489,0)</f>
        <v>0</v>
      </c>
      <c r="R1489" s="64" t="n">
        <f aca="false">IF(AND($Q1489&gt;0,$O1489&gt;=AtRank),$Q1489,0)</f>
        <v>0</v>
      </c>
      <c r="S1489" s="64" t="n">
        <f aca="false">IF(AND($Q1489&gt;0,$O1489&gt;=AboveRank),$Q1489,0)</f>
        <v>0</v>
      </c>
      <c r="T1489" s="64" t="n">
        <f aca="false">IF($K1489="Less",$P1489,0)</f>
        <v>0</v>
      </c>
      <c r="U1489" s="64" t="n">
        <f aca="false">IF($K1489="Expected",$P1489,0)</f>
        <v>0</v>
      </c>
      <c r="V1489" s="64" t="n">
        <f aca="false">IF($K1489="Better",$P1489,0)</f>
        <v>0</v>
      </c>
      <c r="W1489" s="64" t="n">
        <f aca="false">IF($K1489="U – needs rule",$P1489,0)</f>
        <v>0</v>
      </c>
      <c r="X1489" s="64" t="n">
        <f aca="false">IF($K1489="No Start (attainment only)",$P1489,0)</f>
        <v>0</v>
      </c>
    </row>
    <row r="1490" customFormat="false" ht="15" hidden="false" customHeight="false" outlineLevel="0" collapsed="false">
      <c r="A1490" s="60"/>
      <c r="B1490" s="61" t="str">
        <f aca="false">IF($M1490=0,"",INDEX(Classes!$E$6:$E$420,$M1490))</f>
        <v/>
      </c>
      <c r="C1490" s="62" t="str">
        <f aca="false">IF($M1490=0,"",INDEX(Classes!$H$6:$H$420,$M1490))</f>
        <v/>
      </c>
      <c r="D1490" s="61" t="str">
        <f aca="false">IF($M1490=0,"",INDEX(Classes!$B$6:$B$420,$M1490))</f>
        <v/>
      </c>
      <c r="E1490" s="61" t="str">
        <f aca="false">IF($M1490=0,"",INDEX(Classes!$C$6:$C$420,$M1490))</f>
        <v/>
      </c>
      <c r="F1490" s="63"/>
      <c r="G1490" s="63"/>
      <c r="H1490" s="60"/>
      <c r="I1490" s="60"/>
      <c r="J1490" s="63"/>
      <c r="K1490" s="61" t="str">
        <f aca="false">IF($P1490=0,"",IF($F1490="Baseline","— Baseline",IF($O1490=0,"No result",IF($N1490=0,"No Start (attainment only)",IF(OR($N1490=1,$O1490=1),"U – needs rule",INDEX(MxBody,MATCH($I1490,MxCurr,0),MATCH($H1490,MxStart,0)))))))</f>
        <v/>
      </c>
      <c r="L1490" s="62" t="str">
        <f aca="false">IF(COUNTA($A1490,$F1490,$G1490,$H1490,$I1490,$J1490)=0,"",IF($M1490=0,"✖ كود الصف غير موجود",IF(ISNA(MATCH($F1490,Lists!$A$2:$A$5,0)),"✖ الفترة غير صحيحة",IF(ISNA(MATCH($G1490,Lists!$B$2:$B$7,0)),"✖ المجموعة غير صحيحة",IF(NOT(OR($H1490="",$N1490&gt;0)),"✖ Start غير صحيح",IF(NOT(OR($I1490="",$I1490="NR",$O1490&gt;0)),"✖ Current غير صحيح",IF(NOT(IF(ISNUMBER($J1490),AND($J1490&gt;=0,$J1490=INT($J1490)),FALSE())),"✖ العدد يجب أن يكون صحيحًا ≥ 0",IF(AND($F1490="Baseline",$H1490&lt;&gt;""),"⚠ Baseline: Start لا يدخل في التقدم",IF($K1490="No Start (attainment only)","ℹ تحصيل فقط (بدون Start)",IF($K1490="U – needs rule","ℹ حالة U تحتاج قاعدة معتمدة",IF($K1490="No result","ℹ بدون نتيجة (يُستبعد من التحصيل)","OK")))))))))))</f>
        <v/>
      </c>
      <c r="M1490" s="64" t="n">
        <f aca="false">IF($A1490="",0,IFERROR(MATCH($A1490,Classes!$A$6:$A$420,0),0))</f>
        <v>0</v>
      </c>
      <c r="N1490" s="64" t="n">
        <f aca="false">IF($H1490="",0,IFERROR(MATCH($H1490,GradeList,0),0))</f>
        <v>0</v>
      </c>
      <c r="O1490" s="64" t="n">
        <f aca="false">IF(OR($I1490="",$I1490="NR"),0,IFERROR(MATCH($I1490,GradeList,0),0))</f>
        <v>0</v>
      </c>
      <c r="P1490" s="64" t="n">
        <f aca="false">IF(AND($M1490&gt;0,ISNUMBER(MATCH($F1490,Lists!$A$2:$A$5,0)),ISNUMBER(MATCH($G1490,Lists!$B$2:$B$7,0)),OR($H1490="",$N1490&gt;0),OR($I1490="",$I1490="NR",$O1490&gt;0),IF(ISNUMBER($J1490),AND($J1490&gt;=0,$J1490=INT($J1490)),FALSE())),$J1490,0)</f>
        <v>0</v>
      </c>
      <c r="Q1490" s="64" t="n">
        <f aca="false">IF(AND($P1490&gt;0,$O1490&gt;0),$P1490,0)</f>
        <v>0</v>
      </c>
      <c r="R1490" s="64" t="n">
        <f aca="false">IF(AND($Q1490&gt;0,$O1490&gt;=AtRank),$Q1490,0)</f>
        <v>0</v>
      </c>
      <c r="S1490" s="64" t="n">
        <f aca="false">IF(AND($Q1490&gt;0,$O1490&gt;=AboveRank),$Q1490,0)</f>
        <v>0</v>
      </c>
      <c r="T1490" s="64" t="n">
        <f aca="false">IF($K1490="Less",$P1490,0)</f>
        <v>0</v>
      </c>
      <c r="U1490" s="64" t="n">
        <f aca="false">IF($K1490="Expected",$P1490,0)</f>
        <v>0</v>
      </c>
      <c r="V1490" s="64" t="n">
        <f aca="false">IF($K1490="Better",$P1490,0)</f>
        <v>0</v>
      </c>
      <c r="W1490" s="64" t="n">
        <f aca="false">IF($K1490="U – needs rule",$P1490,0)</f>
        <v>0</v>
      </c>
      <c r="X1490" s="64" t="n">
        <f aca="false">IF($K1490="No Start (attainment only)",$P1490,0)</f>
        <v>0</v>
      </c>
    </row>
    <row r="1491" customFormat="false" ht="15" hidden="false" customHeight="false" outlineLevel="0" collapsed="false">
      <c r="A1491" s="60"/>
      <c r="B1491" s="61" t="str">
        <f aca="false">IF($M1491=0,"",INDEX(Classes!$E$6:$E$420,$M1491))</f>
        <v/>
      </c>
      <c r="C1491" s="62" t="str">
        <f aca="false">IF($M1491=0,"",INDEX(Classes!$H$6:$H$420,$M1491))</f>
        <v/>
      </c>
      <c r="D1491" s="61" t="str">
        <f aca="false">IF($M1491=0,"",INDEX(Classes!$B$6:$B$420,$M1491))</f>
        <v/>
      </c>
      <c r="E1491" s="61" t="str">
        <f aca="false">IF($M1491=0,"",INDEX(Classes!$C$6:$C$420,$M1491))</f>
        <v/>
      </c>
      <c r="F1491" s="63"/>
      <c r="G1491" s="63"/>
      <c r="H1491" s="60"/>
      <c r="I1491" s="60"/>
      <c r="J1491" s="63"/>
      <c r="K1491" s="61" t="str">
        <f aca="false">IF($P1491=0,"",IF($F1491="Baseline","— Baseline",IF($O1491=0,"No result",IF($N1491=0,"No Start (attainment only)",IF(OR($N1491=1,$O1491=1),"U – needs rule",INDEX(MxBody,MATCH($I1491,MxCurr,0),MATCH($H1491,MxStart,0)))))))</f>
        <v/>
      </c>
      <c r="L1491" s="62" t="str">
        <f aca="false">IF(COUNTA($A1491,$F1491,$G1491,$H1491,$I1491,$J1491)=0,"",IF($M1491=0,"✖ كود الصف غير موجود",IF(ISNA(MATCH($F1491,Lists!$A$2:$A$5,0)),"✖ الفترة غير صحيحة",IF(ISNA(MATCH($G1491,Lists!$B$2:$B$7,0)),"✖ المجموعة غير صحيحة",IF(NOT(OR($H1491="",$N1491&gt;0)),"✖ Start غير صحيح",IF(NOT(OR($I1491="",$I1491="NR",$O1491&gt;0)),"✖ Current غير صحيح",IF(NOT(IF(ISNUMBER($J1491),AND($J1491&gt;=0,$J1491=INT($J1491)),FALSE())),"✖ العدد يجب أن يكون صحيحًا ≥ 0",IF(AND($F1491="Baseline",$H1491&lt;&gt;""),"⚠ Baseline: Start لا يدخل في التقدم",IF($K1491="No Start (attainment only)","ℹ تحصيل فقط (بدون Start)",IF($K1491="U – needs rule","ℹ حالة U تحتاج قاعدة معتمدة",IF($K1491="No result","ℹ بدون نتيجة (يُستبعد من التحصيل)","OK")))))))))))</f>
        <v/>
      </c>
      <c r="M1491" s="64" t="n">
        <f aca="false">IF($A1491="",0,IFERROR(MATCH($A1491,Classes!$A$6:$A$420,0),0))</f>
        <v>0</v>
      </c>
      <c r="N1491" s="64" t="n">
        <f aca="false">IF($H1491="",0,IFERROR(MATCH($H1491,GradeList,0),0))</f>
        <v>0</v>
      </c>
      <c r="O1491" s="64" t="n">
        <f aca="false">IF(OR($I1491="",$I1491="NR"),0,IFERROR(MATCH($I1491,GradeList,0),0))</f>
        <v>0</v>
      </c>
      <c r="P1491" s="64" t="n">
        <f aca="false">IF(AND($M1491&gt;0,ISNUMBER(MATCH($F1491,Lists!$A$2:$A$5,0)),ISNUMBER(MATCH($G1491,Lists!$B$2:$B$7,0)),OR($H1491="",$N1491&gt;0),OR($I1491="",$I1491="NR",$O1491&gt;0),IF(ISNUMBER($J1491),AND($J1491&gt;=0,$J1491=INT($J1491)),FALSE())),$J1491,0)</f>
        <v>0</v>
      </c>
      <c r="Q1491" s="64" t="n">
        <f aca="false">IF(AND($P1491&gt;0,$O1491&gt;0),$P1491,0)</f>
        <v>0</v>
      </c>
      <c r="R1491" s="64" t="n">
        <f aca="false">IF(AND($Q1491&gt;0,$O1491&gt;=AtRank),$Q1491,0)</f>
        <v>0</v>
      </c>
      <c r="S1491" s="64" t="n">
        <f aca="false">IF(AND($Q1491&gt;0,$O1491&gt;=AboveRank),$Q1491,0)</f>
        <v>0</v>
      </c>
      <c r="T1491" s="64" t="n">
        <f aca="false">IF($K1491="Less",$P1491,0)</f>
        <v>0</v>
      </c>
      <c r="U1491" s="64" t="n">
        <f aca="false">IF($K1491="Expected",$P1491,0)</f>
        <v>0</v>
      </c>
      <c r="V1491" s="64" t="n">
        <f aca="false">IF($K1491="Better",$P1491,0)</f>
        <v>0</v>
      </c>
      <c r="W1491" s="64" t="n">
        <f aca="false">IF($K1491="U – needs rule",$P1491,0)</f>
        <v>0</v>
      </c>
      <c r="X1491" s="64" t="n">
        <f aca="false">IF($K1491="No Start (attainment only)",$P1491,0)</f>
        <v>0</v>
      </c>
    </row>
    <row r="1492" customFormat="false" ht="15" hidden="false" customHeight="false" outlineLevel="0" collapsed="false">
      <c r="A1492" s="60"/>
      <c r="B1492" s="61" t="str">
        <f aca="false">IF($M1492=0,"",INDEX(Classes!$E$6:$E$420,$M1492))</f>
        <v/>
      </c>
      <c r="C1492" s="62" t="str">
        <f aca="false">IF($M1492=0,"",INDEX(Classes!$H$6:$H$420,$M1492))</f>
        <v/>
      </c>
      <c r="D1492" s="61" t="str">
        <f aca="false">IF($M1492=0,"",INDEX(Classes!$B$6:$B$420,$M1492))</f>
        <v/>
      </c>
      <c r="E1492" s="61" t="str">
        <f aca="false">IF($M1492=0,"",INDEX(Classes!$C$6:$C$420,$M1492))</f>
        <v/>
      </c>
      <c r="F1492" s="63"/>
      <c r="G1492" s="63"/>
      <c r="H1492" s="60"/>
      <c r="I1492" s="60"/>
      <c r="J1492" s="63"/>
      <c r="K1492" s="61" t="str">
        <f aca="false">IF($P1492=0,"",IF($F1492="Baseline","— Baseline",IF($O1492=0,"No result",IF($N1492=0,"No Start (attainment only)",IF(OR($N1492=1,$O1492=1),"U – needs rule",INDEX(MxBody,MATCH($I1492,MxCurr,0),MATCH($H1492,MxStart,0)))))))</f>
        <v/>
      </c>
      <c r="L1492" s="62" t="str">
        <f aca="false">IF(COUNTA($A1492,$F1492,$G1492,$H1492,$I1492,$J1492)=0,"",IF($M1492=0,"✖ كود الصف غير موجود",IF(ISNA(MATCH($F1492,Lists!$A$2:$A$5,0)),"✖ الفترة غير صحيحة",IF(ISNA(MATCH($G1492,Lists!$B$2:$B$7,0)),"✖ المجموعة غير صحيحة",IF(NOT(OR($H1492="",$N1492&gt;0)),"✖ Start غير صحيح",IF(NOT(OR($I1492="",$I1492="NR",$O1492&gt;0)),"✖ Current غير صحيح",IF(NOT(IF(ISNUMBER($J1492),AND($J1492&gt;=0,$J1492=INT($J1492)),FALSE())),"✖ العدد يجب أن يكون صحيحًا ≥ 0",IF(AND($F1492="Baseline",$H1492&lt;&gt;""),"⚠ Baseline: Start لا يدخل في التقدم",IF($K1492="No Start (attainment only)","ℹ تحصيل فقط (بدون Start)",IF($K1492="U – needs rule","ℹ حالة U تحتاج قاعدة معتمدة",IF($K1492="No result","ℹ بدون نتيجة (يُستبعد من التحصيل)","OK")))))))))))</f>
        <v/>
      </c>
      <c r="M1492" s="64" t="n">
        <f aca="false">IF($A1492="",0,IFERROR(MATCH($A1492,Classes!$A$6:$A$420,0),0))</f>
        <v>0</v>
      </c>
      <c r="N1492" s="64" t="n">
        <f aca="false">IF($H1492="",0,IFERROR(MATCH($H1492,GradeList,0),0))</f>
        <v>0</v>
      </c>
      <c r="O1492" s="64" t="n">
        <f aca="false">IF(OR($I1492="",$I1492="NR"),0,IFERROR(MATCH($I1492,GradeList,0),0))</f>
        <v>0</v>
      </c>
      <c r="P1492" s="64" t="n">
        <f aca="false">IF(AND($M1492&gt;0,ISNUMBER(MATCH($F1492,Lists!$A$2:$A$5,0)),ISNUMBER(MATCH($G1492,Lists!$B$2:$B$7,0)),OR($H1492="",$N1492&gt;0),OR($I1492="",$I1492="NR",$O1492&gt;0),IF(ISNUMBER($J1492),AND($J1492&gt;=0,$J1492=INT($J1492)),FALSE())),$J1492,0)</f>
        <v>0</v>
      </c>
      <c r="Q1492" s="64" t="n">
        <f aca="false">IF(AND($P1492&gt;0,$O1492&gt;0),$P1492,0)</f>
        <v>0</v>
      </c>
      <c r="R1492" s="64" t="n">
        <f aca="false">IF(AND($Q1492&gt;0,$O1492&gt;=AtRank),$Q1492,0)</f>
        <v>0</v>
      </c>
      <c r="S1492" s="64" t="n">
        <f aca="false">IF(AND($Q1492&gt;0,$O1492&gt;=AboveRank),$Q1492,0)</f>
        <v>0</v>
      </c>
      <c r="T1492" s="64" t="n">
        <f aca="false">IF($K1492="Less",$P1492,0)</f>
        <v>0</v>
      </c>
      <c r="U1492" s="64" t="n">
        <f aca="false">IF($K1492="Expected",$P1492,0)</f>
        <v>0</v>
      </c>
      <c r="V1492" s="64" t="n">
        <f aca="false">IF($K1492="Better",$P1492,0)</f>
        <v>0</v>
      </c>
      <c r="W1492" s="64" t="n">
        <f aca="false">IF($K1492="U – needs rule",$P1492,0)</f>
        <v>0</v>
      </c>
      <c r="X1492" s="64" t="n">
        <f aca="false">IF($K1492="No Start (attainment only)",$P1492,0)</f>
        <v>0</v>
      </c>
    </row>
    <row r="1493" customFormat="false" ht="15" hidden="false" customHeight="false" outlineLevel="0" collapsed="false">
      <c r="A1493" s="60"/>
      <c r="B1493" s="61" t="str">
        <f aca="false">IF($M1493=0,"",INDEX(Classes!$E$6:$E$420,$M1493))</f>
        <v/>
      </c>
      <c r="C1493" s="62" t="str">
        <f aca="false">IF($M1493=0,"",INDEX(Classes!$H$6:$H$420,$M1493))</f>
        <v/>
      </c>
      <c r="D1493" s="61" t="str">
        <f aca="false">IF($M1493=0,"",INDEX(Classes!$B$6:$B$420,$M1493))</f>
        <v/>
      </c>
      <c r="E1493" s="61" t="str">
        <f aca="false">IF($M1493=0,"",INDEX(Classes!$C$6:$C$420,$M1493))</f>
        <v/>
      </c>
      <c r="F1493" s="63"/>
      <c r="G1493" s="63"/>
      <c r="H1493" s="60"/>
      <c r="I1493" s="60"/>
      <c r="J1493" s="63"/>
      <c r="K1493" s="61" t="str">
        <f aca="false">IF($P1493=0,"",IF($F1493="Baseline","— Baseline",IF($O1493=0,"No result",IF($N1493=0,"No Start (attainment only)",IF(OR($N1493=1,$O1493=1),"U – needs rule",INDEX(MxBody,MATCH($I1493,MxCurr,0),MATCH($H1493,MxStart,0)))))))</f>
        <v/>
      </c>
      <c r="L1493" s="62" t="str">
        <f aca="false">IF(COUNTA($A1493,$F1493,$G1493,$H1493,$I1493,$J1493)=0,"",IF($M1493=0,"✖ كود الصف غير موجود",IF(ISNA(MATCH($F1493,Lists!$A$2:$A$5,0)),"✖ الفترة غير صحيحة",IF(ISNA(MATCH($G1493,Lists!$B$2:$B$7,0)),"✖ المجموعة غير صحيحة",IF(NOT(OR($H1493="",$N1493&gt;0)),"✖ Start غير صحيح",IF(NOT(OR($I1493="",$I1493="NR",$O1493&gt;0)),"✖ Current غير صحيح",IF(NOT(IF(ISNUMBER($J1493),AND($J1493&gt;=0,$J1493=INT($J1493)),FALSE())),"✖ العدد يجب أن يكون صحيحًا ≥ 0",IF(AND($F1493="Baseline",$H1493&lt;&gt;""),"⚠ Baseline: Start لا يدخل في التقدم",IF($K1493="No Start (attainment only)","ℹ تحصيل فقط (بدون Start)",IF($K1493="U – needs rule","ℹ حالة U تحتاج قاعدة معتمدة",IF($K1493="No result","ℹ بدون نتيجة (يُستبعد من التحصيل)","OK")))))))))))</f>
        <v/>
      </c>
      <c r="M1493" s="64" t="n">
        <f aca="false">IF($A1493="",0,IFERROR(MATCH($A1493,Classes!$A$6:$A$420,0),0))</f>
        <v>0</v>
      </c>
      <c r="N1493" s="64" t="n">
        <f aca="false">IF($H1493="",0,IFERROR(MATCH($H1493,GradeList,0),0))</f>
        <v>0</v>
      </c>
      <c r="O1493" s="64" t="n">
        <f aca="false">IF(OR($I1493="",$I1493="NR"),0,IFERROR(MATCH($I1493,GradeList,0),0))</f>
        <v>0</v>
      </c>
      <c r="P1493" s="64" t="n">
        <f aca="false">IF(AND($M1493&gt;0,ISNUMBER(MATCH($F1493,Lists!$A$2:$A$5,0)),ISNUMBER(MATCH($G1493,Lists!$B$2:$B$7,0)),OR($H1493="",$N1493&gt;0),OR($I1493="",$I1493="NR",$O1493&gt;0),IF(ISNUMBER($J1493),AND($J1493&gt;=0,$J1493=INT($J1493)),FALSE())),$J1493,0)</f>
        <v>0</v>
      </c>
      <c r="Q1493" s="64" t="n">
        <f aca="false">IF(AND($P1493&gt;0,$O1493&gt;0),$P1493,0)</f>
        <v>0</v>
      </c>
      <c r="R1493" s="64" t="n">
        <f aca="false">IF(AND($Q1493&gt;0,$O1493&gt;=AtRank),$Q1493,0)</f>
        <v>0</v>
      </c>
      <c r="S1493" s="64" t="n">
        <f aca="false">IF(AND($Q1493&gt;0,$O1493&gt;=AboveRank),$Q1493,0)</f>
        <v>0</v>
      </c>
      <c r="T1493" s="64" t="n">
        <f aca="false">IF($K1493="Less",$P1493,0)</f>
        <v>0</v>
      </c>
      <c r="U1493" s="64" t="n">
        <f aca="false">IF($K1493="Expected",$P1493,0)</f>
        <v>0</v>
      </c>
      <c r="V1493" s="64" t="n">
        <f aca="false">IF($K1493="Better",$P1493,0)</f>
        <v>0</v>
      </c>
      <c r="W1493" s="64" t="n">
        <f aca="false">IF($K1493="U – needs rule",$P1493,0)</f>
        <v>0</v>
      </c>
      <c r="X1493" s="64" t="n">
        <f aca="false">IF($K1493="No Start (attainment only)",$P1493,0)</f>
        <v>0</v>
      </c>
    </row>
    <row r="1494" customFormat="false" ht="15" hidden="false" customHeight="false" outlineLevel="0" collapsed="false">
      <c r="A1494" s="60"/>
      <c r="B1494" s="61" t="str">
        <f aca="false">IF($M1494=0,"",INDEX(Classes!$E$6:$E$420,$M1494))</f>
        <v/>
      </c>
      <c r="C1494" s="62" t="str">
        <f aca="false">IF($M1494=0,"",INDEX(Classes!$H$6:$H$420,$M1494))</f>
        <v/>
      </c>
      <c r="D1494" s="61" t="str">
        <f aca="false">IF($M1494=0,"",INDEX(Classes!$B$6:$B$420,$M1494))</f>
        <v/>
      </c>
      <c r="E1494" s="61" t="str">
        <f aca="false">IF($M1494=0,"",INDEX(Classes!$C$6:$C$420,$M1494))</f>
        <v/>
      </c>
      <c r="F1494" s="63"/>
      <c r="G1494" s="63"/>
      <c r="H1494" s="60"/>
      <c r="I1494" s="60"/>
      <c r="J1494" s="63"/>
      <c r="K1494" s="61" t="str">
        <f aca="false">IF($P1494=0,"",IF($F1494="Baseline","— Baseline",IF($O1494=0,"No result",IF($N1494=0,"No Start (attainment only)",IF(OR($N1494=1,$O1494=1),"U – needs rule",INDEX(MxBody,MATCH($I1494,MxCurr,0),MATCH($H1494,MxStart,0)))))))</f>
        <v/>
      </c>
      <c r="L1494" s="62" t="str">
        <f aca="false">IF(COUNTA($A1494,$F1494,$G1494,$H1494,$I1494,$J1494)=0,"",IF($M1494=0,"✖ كود الصف غير موجود",IF(ISNA(MATCH($F1494,Lists!$A$2:$A$5,0)),"✖ الفترة غير صحيحة",IF(ISNA(MATCH($G1494,Lists!$B$2:$B$7,0)),"✖ المجموعة غير صحيحة",IF(NOT(OR($H1494="",$N1494&gt;0)),"✖ Start غير صحيح",IF(NOT(OR($I1494="",$I1494="NR",$O1494&gt;0)),"✖ Current غير صحيح",IF(NOT(IF(ISNUMBER($J1494),AND($J1494&gt;=0,$J1494=INT($J1494)),FALSE())),"✖ العدد يجب أن يكون صحيحًا ≥ 0",IF(AND($F1494="Baseline",$H1494&lt;&gt;""),"⚠ Baseline: Start لا يدخل في التقدم",IF($K1494="No Start (attainment only)","ℹ تحصيل فقط (بدون Start)",IF($K1494="U – needs rule","ℹ حالة U تحتاج قاعدة معتمدة",IF($K1494="No result","ℹ بدون نتيجة (يُستبعد من التحصيل)","OK")))))))))))</f>
        <v/>
      </c>
      <c r="M1494" s="64" t="n">
        <f aca="false">IF($A1494="",0,IFERROR(MATCH($A1494,Classes!$A$6:$A$420,0),0))</f>
        <v>0</v>
      </c>
      <c r="N1494" s="64" t="n">
        <f aca="false">IF($H1494="",0,IFERROR(MATCH($H1494,GradeList,0),0))</f>
        <v>0</v>
      </c>
      <c r="O1494" s="64" t="n">
        <f aca="false">IF(OR($I1494="",$I1494="NR"),0,IFERROR(MATCH($I1494,GradeList,0),0))</f>
        <v>0</v>
      </c>
      <c r="P1494" s="64" t="n">
        <f aca="false">IF(AND($M1494&gt;0,ISNUMBER(MATCH($F1494,Lists!$A$2:$A$5,0)),ISNUMBER(MATCH($G1494,Lists!$B$2:$B$7,0)),OR($H1494="",$N1494&gt;0),OR($I1494="",$I1494="NR",$O1494&gt;0),IF(ISNUMBER($J1494),AND($J1494&gt;=0,$J1494=INT($J1494)),FALSE())),$J1494,0)</f>
        <v>0</v>
      </c>
      <c r="Q1494" s="64" t="n">
        <f aca="false">IF(AND($P1494&gt;0,$O1494&gt;0),$P1494,0)</f>
        <v>0</v>
      </c>
      <c r="R1494" s="64" t="n">
        <f aca="false">IF(AND($Q1494&gt;0,$O1494&gt;=AtRank),$Q1494,0)</f>
        <v>0</v>
      </c>
      <c r="S1494" s="64" t="n">
        <f aca="false">IF(AND($Q1494&gt;0,$O1494&gt;=AboveRank),$Q1494,0)</f>
        <v>0</v>
      </c>
      <c r="T1494" s="64" t="n">
        <f aca="false">IF($K1494="Less",$P1494,0)</f>
        <v>0</v>
      </c>
      <c r="U1494" s="64" t="n">
        <f aca="false">IF($K1494="Expected",$P1494,0)</f>
        <v>0</v>
      </c>
      <c r="V1494" s="64" t="n">
        <f aca="false">IF($K1494="Better",$P1494,0)</f>
        <v>0</v>
      </c>
      <c r="W1494" s="64" t="n">
        <f aca="false">IF($K1494="U – needs rule",$P1494,0)</f>
        <v>0</v>
      </c>
      <c r="X1494" s="64" t="n">
        <f aca="false">IF($K1494="No Start (attainment only)",$P1494,0)</f>
        <v>0</v>
      </c>
    </row>
    <row r="1495" customFormat="false" ht="15" hidden="false" customHeight="false" outlineLevel="0" collapsed="false">
      <c r="A1495" s="60"/>
      <c r="B1495" s="61" t="str">
        <f aca="false">IF($M1495=0,"",INDEX(Classes!$E$6:$E$420,$M1495))</f>
        <v/>
      </c>
      <c r="C1495" s="62" t="str">
        <f aca="false">IF($M1495=0,"",INDEX(Classes!$H$6:$H$420,$M1495))</f>
        <v/>
      </c>
      <c r="D1495" s="61" t="str">
        <f aca="false">IF($M1495=0,"",INDEX(Classes!$B$6:$B$420,$M1495))</f>
        <v/>
      </c>
      <c r="E1495" s="61" t="str">
        <f aca="false">IF($M1495=0,"",INDEX(Classes!$C$6:$C$420,$M1495))</f>
        <v/>
      </c>
      <c r="F1495" s="63"/>
      <c r="G1495" s="63"/>
      <c r="H1495" s="60"/>
      <c r="I1495" s="60"/>
      <c r="J1495" s="63"/>
      <c r="K1495" s="61" t="str">
        <f aca="false">IF($P1495=0,"",IF($F1495="Baseline","— Baseline",IF($O1495=0,"No result",IF($N1495=0,"No Start (attainment only)",IF(OR($N1495=1,$O1495=1),"U – needs rule",INDEX(MxBody,MATCH($I1495,MxCurr,0),MATCH($H1495,MxStart,0)))))))</f>
        <v/>
      </c>
      <c r="L1495" s="62" t="str">
        <f aca="false">IF(COUNTA($A1495,$F1495,$G1495,$H1495,$I1495,$J1495)=0,"",IF($M1495=0,"✖ كود الصف غير موجود",IF(ISNA(MATCH($F1495,Lists!$A$2:$A$5,0)),"✖ الفترة غير صحيحة",IF(ISNA(MATCH($G1495,Lists!$B$2:$B$7,0)),"✖ المجموعة غير صحيحة",IF(NOT(OR($H1495="",$N1495&gt;0)),"✖ Start غير صحيح",IF(NOT(OR($I1495="",$I1495="NR",$O1495&gt;0)),"✖ Current غير صحيح",IF(NOT(IF(ISNUMBER($J1495),AND($J1495&gt;=0,$J1495=INT($J1495)),FALSE())),"✖ العدد يجب أن يكون صحيحًا ≥ 0",IF(AND($F1495="Baseline",$H1495&lt;&gt;""),"⚠ Baseline: Start لا يدخل في التقدم",IF($K1495="No Start (attainment only)","ℹ تحصيل فقط (بدون Start)",IF($K1495="U – needs rule","ℹ حالة U تحتاج قاعدة معتمدة",IF($K1495="No result","ℹ بدون نتيجة (يُستبعد من التحصيل)","OK")))))))))))</f>
        <v/>
      </c>
      <c r="M1495" s="64" t="n">
        <f aca="false">IF($A1495="",0,IFERROR(MATCH($A1495,Classes!$A$6:$A$420,0),0))</f>
        <v>0</v>
      </c>
      <c r="N1495" s="64" t="n">
        <f aca="false">IF($H1495="",0,IFERROR(MATCH($H1495,GradeList,0),0))</f>
        <v>0</v>
      </c>
      <c r="O1495" s="64" t="n">
        <f aca="false">IF(OR($I1495="",$I1495="NR"),0,IFERROR(MATCH($I1495,GradeList,0),0))</f>
        <v>0</v>
      </c>
      <c r="P1495" s="64" t="n">
        <f aca="false">IF(AND($M1495&gt;0,ISNUMBER(MATCH($F1495,Lists!$A$2:$A$5,0)),ISNUMBER(MATCH($G1495,Lists!$B$2:$B$7,0)),OR($H1495="",$N1495&gt;0),OR($I1495="",$I1495="NR",$O1495&gt;0),IF(ISNUMBER($J1495),AND($J1495&gt;=0,$J1495=INT($J1495)),FALSE())),$J1495,0)</f>
        <v>0</v>
      </c>
      <c r="Q1495" s="64" t="n">
        <f aca="false">IF(AND($P1495&gt;0,$O1495&gt;0),$P1495,0)</f>
        <v>0</v>
      </c>
      <c r="R1495" s="64" t="n">
        <f aca="false">IF(AND($Q1495&gt;0,$O1495&gt;=AtRank),$Q1495,0)</f>
        <v>0</v>
      </c>
      <c r="S1495" s="64" t="n">
        <f aca="false">IF(AND($Q1495&gt;0,$O1495&gt;=AboveRank),$Q1495,0)</f>
        <v>0</v>
      </c>
      <c r="T1495" s="64" t="n">
        <f aca="false">IF($K1495="Less",$P1495,0)</f>
        <v>0</v>
      </c>
      <c r="U1495" s="64" t="n">
        <f aca="false">IF($K1495="Expected",$P1495,0)</f>
        <v>0</v>
      </c>
      <c r="V1495" s="64" t="n">
        <f aca="false">IF($K1495="Better",$P1495,0)</f>
        <v>0</v>
      </c>
      <c r="W1495" s="64" t="n">
        <f aca="false">IF($K1495="U – needs rule",$P1495,0)</f>
        <v>0</v>
      </c>
      <c r="X1495" s="64" t="n">
        <f aca="false">IF($K1495="No Start (attainment only)",$P1495,0)</f>
        <v>0</v>
      </c>
    </row>
    <row r="1496" customFormat="false" ht="15" hidden="false" customHeight="false" outlineLevel="0" collapsed="false">
      <c r="A1496" s="60"/>
      <c r="B1496" s="61" t="str">
        <f aca="false">IF($M1496=0,"",INDEX(Classes!$E$6:$E$420,$M1496))</f>
        <v/>
      </c>
      <c r="C1496" s="62" t="str">
        <f aca="false">IF($M1496=0,"",INDEX(Classes!$H$6:$H$420,$M1496))</f>
        <v/>
      </c>
      <c r="D1496" s="61" t="str">
        <f aca="false">IF($M1496=0,"",INDEX(Classes!$B$6:$B$420,$M1496))</f>
        <v/>
      </c>
      <c r="E1496" s="61" t="str">
        <f aca="false">IF($M1496=0,"",INDEX(Classes!$C$6:$C$420,$M1496))</f>
        <v/>
      </c>
      <c r="F1496" s="63"/>
      <c r="G1496" s="63"/>
      <c r="H1496" s="60"/>
      <c r="I1496" s="60"/>
      <c r="J1496" s="63"/>
      <c r="K1496" s="61" t="str">
        <f aca="false">IF($P1496=0,"",IF($F1496="Baseline","— Baseline",IF($O1496=0,"No result",IF($N1496=0,"No Start (attainment only)",IF(OR($N1496=1,$O1496=1),"U – needs rule",INDEX(MxBody,MATCH($I1496,MxCurr,0),MATCH($H1496,MxStart,0)))))))</f>
        <v/>
      </c>
      <c r="L1496" s="62" t="str">
        <f aca="false">IF(COUNTA($A1496,$F1496,$G1496,$H1496,$I1496,$J1496)=0,"",IF($M1496=0,"✖ كود الصف غير موجود",IF(ISNA(MATCH($F1496,Lists!$A$2:$A$5,0)),"✖ الفترة غير صحيحة",IF(ISNA(MATCH($G1496,Lists!$B$2:$B$7,0)),"✖ المجموعة غير صحيحة",IF(NOT(OR($H1496="",$N1496&gt;0)),"✖ Start غير صحيح",IF(NOT(OR($I1496="",$I1496="NR",$O1496&gt;0)),"✖ Current غير صحيح",IF(NOT(IF(ISNUMBER($J1496),AND($J1496&gt;=0,$J1496=INT($J1496)),FALSE())),"✖ العدد يجب أن يكون صحيحًا ≥ 0",IF(AND($F1496="Baseline",$H1496&lt;&gt;""),"⚠ Baseline: Start لا يدخل في التقدم",IF($K1496="No Start (attainment only)","ℹ تحصيل فقط (بدون Start)",IF($K1496="U – needs rule","ℹ حالة U تحتاج قاعدة معتمدة",IF($K1496="No result","ℹ بدون نتيجة (يُستبعد من التحصيل)","OK")))))))))))</f>
        <v/>
      </c>
      <c r="M1496" s="64" t="n">
        <f aca="false">IF($A1496="",0,IFERROR(MATCH($A1496,Classes!$A$6:$A$420,0),0))</f>
        <v>0</v>
      </c>
      <c r="N1496" s="64" t="n">
        <f aca="false">IF($H1496="",0,IFERROR(MATCH($H1496,GradeList,0),0))</f>
        <v>0</v>
      </c>
      <c r="O1496" s="64" t="n">
        <f aca="false">IF(OR($I1496="",$I1496="NR"),0,IFERROR(MATCH($I1496,GradeList,0),0))</f>
        <v>0</v>
      </c>
      <c r="P1496" s="64" t="n">
        <f aca="false">IF(AND($M1496&gt;0,ISNUMBER(MATCH($F1496,Lists!$A$2:$A$5,0)),ISNUMBER(MATCH($G1496,Lists!$B$2:$B$7,0)),OR($H1496="",$N1496&gt;0),OR($I1496="",$I1496="NR",$O1496&gt;0),IF(ISNUMBER($J1496),AND($J1496&gt;=0,$J1496=INT($J1496)),FALSE())),$J1496,0)</f>
        <v>0</v>
      </c>
      <c r="Q1496" s="64" t="n">
        <f aca="false">IF(AND($P1496&gt;0,$O1496&gt;0),$P1496,0)</f>
        <v>0</v>
      </c>
      <c r="R1496" s="64" t="n">
        <f aca="false">IF(AND($Q1496&gt;0,$O1496&gt;=AtRank),$Q1496,0)</f>
        <v>0</v>
      </c>
      <c r="S1496" s="64" t="n">
        <f aca="false">IF(AND($Q1496&gt;0,$O1496&gt;=AboveRank),$Q1496,0)</f>
        <v>0</v>
      </c>
      <c r="T1496" s="64" t="n">
        <f aca="false">IF($K1496="Less",$P1496,0)</f>
        <v>0</v>
      </c>
      <c r="U1496" s="64" t="n">
        <f aca="false">IF($K1496="Expected",$P1496,0)</f>
        <v>0</v>
      </c>
      <c r="V1496" s="64" t="n">
        <f aca="false">IF($K1496="Better",$P1496,0)</f>
        <v>0</v>
      </c>
      <c r="W1496" s="64" t="n">
        <f aca="false">IF($K1496="U – needs rule",$P1496,0)</f>
        <v>0</v>
      </c>
      <c r="X1496" s="64" t="n">
        <f aca="false">IF($K1496="No Start (attainment only)",$P1496,0)</f>
        <v>0</v>
      </c>
    </row>
    <row r="1497" customFormat="false" ht="15" hidden="false" customHeight="false" outlineLevel="0" collapsed="false">
      <c r="A1497" s="60"/>
      <c r="B1497" s="61" t="str">
        <f aca="false">IF($M1497=0,"",INDEX(Classes!$E$6:$E$420,$M1497))</f>
        <v/>
      </c>
      <c r="C1497" s="62" t="str">
        <f aca="false">IF($M1497=0,"",INDEX(Classes!$H$6:$H$420,$M1497))</f>
        <v/>
      </c>
      <c r="D1497" s="61" t="str">
        <f aca="false">IF($M1497=0,"",INDEX(Classes!$B$6:$B$420,$M1497))</f>
        <v/>
      </c>
      <c r="E1497" s="61" t="str">
        <f aca="false">IF($M1497=0,"",INDEX(Classes!$C$6:$C$420,$M1497))</f>
        <v/>
      </c>
      <c r="F1497" s="63"/>
      <c r="G1497" s="63"/>
      <c r="H1497" s="60"/>
      <c r="I1497" s="60"/>
      <c r="J1497" s="63"/>
      <c r="K1497" s="61" t="str">
        <f aca="false">IF($P1497=0,"",IF($F1497="Baseline","— Baseline",IF($O1497=0,"No result",IF($N1497=0,"No Start (attainment only)",IF(OR($N1497=1,$O1497=1),"U – needs rule",INDEX(MxBody,MATCH($I1497,MxCurr,0),MATCH($H1497,MxStart,0)))))))</f>
        <v/>
      </c>
      <c r="L1497" s="62" t="str">
        <f aca="false">IF(COUNTA($A1497,$F1497,$G1497,$H1497,$I1497,$J1497)=0,"",IF($M1497=0,"✖ كود الصف غير موجود",IF(ISNA(MATCH($F1497,Lists!$A$2:$A$5,0)),"✖ الفترة غير صحيحة",IF(ISNA(MATCH($G1497,Lists!$B$2:$B$7,0)),"✖ المجموعة غير صحيحة",IF(NOT(OR($H1497="",$N1497&gt;0)),"✖ Start غير صحيح",IF(NOT(OR($I1497="",$I1497="NR",$O1497&gt;0)),"✖ Current غير صحيح",IF(NOT(IF(ISNUMBER($J1497),AND($J1497&gt;=0,$J1497=INT($J1497)),FALSE())),"✖ العدد يجب أن يكون صحيحًا ≥ 0",IF(AND($F1497="Baseline",$H1497&lt;&gt;""),"⚠ Baseline: Start لا يدخل في التقدم",IF($K1497="No Start (attainment only)","ℹ تحصيل فقط (بدون Start)",IF($K1497="U – needs rule","ℹ حالة U تحتاج قاعدة معتمدة",IF($K1497="No result","ℹ بدون نتيجة (يُستبعد من التحصيل)","OK")))))))))))</f>
        <v/>
      </c>
      <c r="M1497" s="64" t="n">
        <f aca="false">IF($A1497="",0,IFERROR(MATCH($A1497,Classes!$A$6:$A$420,0),0))</f>
        <v>0</v>
      </c>
      <c r="N1497" s="64" t="n">
        <f aca="false">IF($H1497="",0,IFERROR(MATCH($H1497,GradeList,0),0))</f>
        <v>0</v>
      </c>
      <c r="O1497" s="64" t="n">
        <f aca="false">IF(OR($I1497="",$I1497="NR"),0,IFERROR(MATCH($I1497,GradeList,0),0))</f>
        <v>0</v>
      </c>
      <c r="P1497" s="64" t="n">
        <f aca="false">IF(AND($M1497&gt;0,ISNUMBER(MATCH($F1497,Lists!$A$2:$A$5,0)),ISNUMBER(MATCH($G1497,Lists!$B$2:$B$7,0)),OR($H1497="",$N1497&gt;0),OR($I1497="",$I1497="NR",$O1497&gt;0),IF(ISNUMBER($J1497),AND($J1497&gt;=0,$J1497=INT($J1497)),FALSE())),$J1497,0)</f>
        <v>0</v>
      </c>
      <c r="Q1497" s="64" t="n">
        <f aca="false">IF(AND($P1497&gt;0,$O1497&gt;0),$P1497,0)</f>
        <v>0</v>
      </c>
      <c r="R1497" s="64" t="n">
        <f aca="false">IF(AND($Q1497&gt;0,$O1497&gt;=AtRank),$Q1497,0)</f>
        <v>0</v>
      </c>
      <c r="S1497" s="64" t="n">
        <f aca="false">IF(AND($Q1497&gt;0,$O1497&gt;=AboveRank),$Q1497,0)</f>
        <v>0</v>
      </c>
      <c r="T1497" s="64" t="n">
        <f aca="false">IF($K1497="Less",$P1497,0)</f>
        <v>0</v>
      </c>
      <c r="U1497" s="64" t="n">
        <f aca="false">IF($K1497="Expected",$P1497,0)</f>
        <v>0</v>
      </c>
      <c r="V1497" s="64" t="n">
        <f aca="false">IF($K1497="Better",$P1497,0)</f>
        <v>0</v>
      </c>
      <c r="W1497" s="64" t="n">
        <f aca="false">IF($K1497="U – needs rule",$P1497,0)</f>
        <v>0</v>
      </c>
      <c r="X1497" s="64" t="n">
        <f aca="false">IF($K1497="No Start (attainment only)",$P1497,0)</f>
        <v>0</v>
      </c>
    </row>
    <row r="1498" customFormat="false" ht="15" hidden="false" customHeight="false" outlineLevel="0" collapsed="false">
      <c r="A1498" s="60"/>
      <c r="B1498" s="61" t="str">
        <f aca="false">IF($M1498=0,"",INDEX(Classes!$E$6:$E$420,$M1498))</f>
        <v/>
      </c>
      <c r="C1498" s="62" t="str">
        <f aca="false">IF($M1498=0,"",INDEX(Classes!$H$6:$H$420,$M1498))</f>
        <v/>
      </c>
      <c r="D1498" s="61" t="str">
        <f aca="false">IF($M1498=0,"",INDEX(Classes!$B$6:$B$420,$M1498))</f>
        <v/>
      </c>
      <c r="E1498" s="61" t="str">
        <f aca="false">IF($M1498=0,"",INDEX(Classes!$C$6:$C$420,$M1498))</f>
        <v/>
      </c>
      <c r="F1498" s="63"/>
      <c r="G1498" s="63"/>
      <c r="H1498" s="60"/>
      <c r="I1498" s="60"/>
      <c r="J1498" s="63"/>
      <c r="K1498" s="61" t="str">
        <f aca="false">IF($P1498=0,"",IF($F1498="Baseline","— Baseline",IF($O1498=0,"No result",IF($N1498=0,"No Start (attainment only)",IF(OR($N1498=1,$O1498=1),"U – needs rule",INDEX(MxBody,MATCH($I1498,MxCurr,0),MATCH($H1498,MxStart,0)))))))</f>
        <v/>
      </c>
      <c r="L1498" s="62" t="str">
        <f aca="false">IF(COUNTA($A1498,$F1498,$G1498,$H1498,$I1498,$J1498)=0,"",IF($M1498=0,"✖ كود الصف غير موجود",IF(ISNA(MATCH($F1498,Lists!$A$2:$A$5,0)),"✖ الفترة غير صحيحة",IF(ISNA(MATCH($G1498,Lists!$B$2:$B$7,0)),"✖ المجموعة غير صحيحة",IF(NOT(OR($H1498="",$N1498&gt;0)),"✖ Start غير صحيح",IF(NOT(OR($I1498="",$I1498="NR",$O1498&gt;0)),"✖ Current غير صحيح",IF(NOT(IF(ISNUMBER($J1498),AND($J1498&gt;=0,$J1498=INT($J1498)),FALSE())),"✖ العدد يجب أن يكون صحيحًا ≥ 0",IF(AND($F1498="Baseline",$H1498&lt;&gt;""),"⚠ Baseline: Start لا يدخل في التقدم",IF($K1498="No Start (attainment only)","ℹ تحصيل فقط (بدون Start)",IF($K1498="U – needs rule","ℹ حالة U تحتاج قاعدة معتمدة",IF($K1498="No result","ℹ بدون نتيجة (يُستبعد من التحصيل)","OK")))))))))))</f>
        <v/>
      </c>
      <c r="M1498" s="64" t="n">
        <f aca="false">IF($A1498="",0,IFERROR(MATCH($A1498,Classes!$A$6:$A$420,0),0))</f>
        <v>0</v>
      </c>
      <c r="N1498" s="64" t="n">
        <f aca="false">IF($H1498="",0,IFERROR(MATCH($H1498,GradeList,0),0))</f>
        <v>0</v>
      </c>
      <c r="O1498" s="64" t="n">
        <f aca="false">IF(OR($I1498="",$I1498="NR"),0,IFERROR(MATCH($I1498,GradeList,0),0))</f>
        <v>0</v>
      </c>
      <c r="P1498" s="64" t="n">
        <f aca="false">IF(AND($M1498&gt;0,ISNUMBER(MATCH($F1498,Lists!$A$2:$A$5,0)),ISNUMBER(MATCH($G1498,Lists!$B$2:$B$7,0)),OR($H1498="",$N1498&gt;0),OR($I1498="",$I1498="NR",$O1498&gt;0),IF(ISNUMBER($J1498),AND($J1498&gt;=0,$J1498=INT($J1498)),FALSE())),$J1498,0)</f>
        <v>0</v>
      </c>
      <c r="Q1498" s="64" t="n">
        <f aca="false">IF(AND($P1498&gt;0,$O1498&gt;0),$P1498,0)</f>
        <v>0</v>
      </c>
      <c r="R1498" s="64" t="n">
        <f aca="false">IF(AND($Q1498&gt;0,$O1498&gt;=AtRank),$Q1498,0)</f>
        <v>0</v>
      </c>
      <c r="S1498" s="64" t="n">
        <f aca="false">IF(AND($Q1498&gt;0,$O1498&gt;=AboveRank),$Q1498,0)</f>
        <v>0</v>
      </c>
      <c r="T1498" s="64" t="n">
        <f aca="false">IF($K1498="Less",$P1498,0)</f>
        <v>0</v>
      </c>
      <c r="U1498" s="64" t="n">
        <f aca="false">IF($K1498="Expected",$P1498,0)</f>
        <v>0</v>
      </c>
      <c r="V1498" s="64" t="n">
        <f aca="false">IF($K1498="Better",$P1498,0)</f>
        <v>0</v>
      </c>
      <c r="W1498" s="64" t="n">
        <f aca="false">IF($K1498="U – needs rule",$P1498,0)</f>
        <v>0</v>
      </c>
      <c r="X1498" s="64" t="n">
        <f aca="false">IF($K1498="No Start (attainment only)",$P1498,0)</f>
        <v>0</v>
      </c>
    </row>
    <row r="1499" customFormat="false" ht="15" hidden="false" customHeight="false" outlineLevel="0" collapsed="false">
      <c r="A1499" s="60"/>
      <c r="B1499" s="61" t="str">
        <f aca="false">IF($M1499=0,"",INDEX(Classes!$E$6:$E$420,$M1499))</f>
        <v/>
      </c>
      <c r="C1499" s="62" t="str">
        <f aca="false">IF($M1499=0,"",INDEX(Classes!$H$6:$H$420,$M1499))</f>
        <v/>
      </c>
      <c r="D1499" s="61" t="str">
        <f aca="false">IF($M1499=0,"",INDEX(Classes!$B$6:$B$420,$M1499))</f>
        <v/>
      </c>
      <c r="E1499" s="61" t="str">
        <f aca="false">IF($M1499=0,"",INDEX(Classes!$C$6:$C$420,$M1499))</f>
        <v/>
      </c>
      <c r="F1499" s="63"/>
      <c r="G1499" s="63"/>
      <c r="H1499" s="60"/>
      <c r="I1499" s="60"/>
      <c r="J1499" s="63"/>
      <c r="K1499" s="61" t="str">
        <f aca="false">IF($P1499=0,"",IF($F1499="Baseline","— Baseline",IF($O1499=0,"No result",IF($N1499=0,"No Start (attainment only)",IF(OR($N1499=1,$O1499=1),"U – needs rule",INDEX(MxBody,MATCH($I1499,MxCurr,0),MATCH($H1499,MxStart,0)))))))</f>
        <v/>
      </c>
      <c r="L1499" s="62" t="str">
        <f aca="false">IF(COUNTA($A1499,$F1499,$G1499,$H1499,$I1499,$J1499)=0,"",IF($M1499=0,"✖ كود الصف غير موجود",IF(ISNA(MATCH($F1499,Lists!$A$2:$A$5,0)),"✖ الفترة غير صحيحة",IF(ISNA(MATCH($G1499,Lists!$B$2:$B$7,0)),"✖ المجموعة غير صحيحة",IF(NOT(OR($H1499="",$N1499&gt;0)),"✖ Start غير صحيح",IF(NOT(OR($I1499="",$I1499="NR",$O1499&gt;0)),"✖ Current غير صحيح",IF(NOT(IF(ISNUMBER($J1499),AND($J1499&gt;=0,$J1499=INT($J1499)),FALSE())),"✖ العدد يجب أن يكون صحيحًا ≥ 0",IF(AND($F1499="Baseline",$H1499&lt;&gt;""),"⚠ Baseline: Start لا يدخل في التقدم",IF($K1499="No Start (attainment only)","ℹ تحصيل فقط (بدون Start)",IF($K1499="U – needs rule","ℹ حالة U تحتاج قاعدة معتمدة",IF($K1499="No result","ℹ بدون نتيجة (يُستبعد من التحصيل)","OK")))))))))))</f>
        <v/>
      </c>
      <c r="M1499" s="64" t="n">
        <f aca="false">IF($A1499="",0,IFERROR(MATCH($A1499,Classes!$A$6:$A$420,0),0))</f>
        <v>0</v>
      </c>
      <c r="N1499" s="64" t="n">
        <f aca="false">IF($H1499="",0,IFERROR(MATCH($H1499,GradeList,0),0))</f>
        <v>0</v>
      </c>
      <c r="O1499" s="64" t="n">
        <f aca="false">IF(OR($I1499="",$I1499="NR"),0,IFERROR(MATCH($I1499,GradeList,0),0))</f>
        <v>0</v>
      </c>
      <c r="P1499" s="64" t="n">
        <f aca="false">IF(AND($M1499&gt;0,ISNUMBER(MATCH($F1499,Lists!$A$2:$A$5,0)),ISNUMBER(MATCH($G1499,Lists!$B$2:$B$7,0)),OR($H1499="",$N1499&gt;0),OR($I1499="",$I1499="NR",$O1499&gt;0),IF(ISNUMBER($J1499),AND($J1499&gt;=0,$J1499=INT($J1499)),FALSE())),$J1499,0)</f>
        <v>0</v>
      </c>
      <c r="Q1499" s="64" t="n">
        <f aca="false">IF(AND($P1499&gt;0,$O1499&gt;0),$P1499,0)</f>
        <v>0</v>
      </c>
      <c r="R1499" s="64" t="n">
        <f aca="false">IF(AND($Q1499&gt;0,$O1499&gt;=AtRank),$Q1499,0)</f>
        <v>0</v>
      </c>
      <c r="S1499" s="64" t="n">
        <f aca="false">IF(AND($Q1499&gt;0,$O1499&gt;=AboveRank),$Q1499,0)</f>
        <v>0</v>
      </c>
      <c r="T1499" s="64" t="n">
        <f aca="false">IF($K1499="Less",$P1499,0)</f>
        <v>0</v>
      </c>
      <c r="U1499" s="64" t="n">
        <f aca="false">IF($K1499="Expected",$P1499,0)</f>
        <v>0</v>
      </c>
      <c r="V1499" s="64" t="n">
        <f aca="false">IF($K1499="Better",$P1499,0)</f>
        <v>0</v>
      </c>
      <c r="W1499" s="64" t="n">
        <f aca="false">IF($K1499="U – needs rule",$P1499,0)</f>
        <v>0</v>
      </c>
      <c r="X1499" s="64" t="n">
        <f aca="false">IF($K1499="No Start (attainment only)",$P1499,0)</f>
        <v>0</v>
      </c>
    </row>
    <row r="1500" customFormat="false" ht="15" hidden="false" customHeight="false" outlineLevel="0" collapsed="false">
      <c r="A1500" s="60"/>
      <c r="B1500" s="61" t="str">
        <f aca="false">IF($M1500=0,"",INDEX(Classes!$E$6:$E$420,$M1500))</f>
        <v/>
      </c>
      <c r="C1500" s="62" t="str">
        <f aca="false">IF($M1500=0,"",INDEX(Classes!$H$6:$H$420,$M1500))</f>
        <v/>
      </c>
      <c r="D1500" s="61" t="str">
        <f aca="false">IF($M1500=0,"",INDEX(Classes!$B$6:$B$420,$M1500))</f>
        <v/>
      </c>
      <c r="E1500" s="61" t="str">
        <f aca="false">IF($M1500=0,"",INDEX(Classes!$C$6:$C$420,$M1500))</f>
        <v/>
      </c>
      <c r="F1500" s="63"/>
      <c r="G1500" s="63"/>
      <c r="H1500" s="60"/>
      <c r="I1500" s="60"/>
      <c r="J1500" s="63"/>
      <c r="K1500" s="61" t="str">
        <f aca="false">IF($P1500=0,"",IF($F1500="Baseline","— Baseline",IF($O1500=0,"No result",IF($N1500=0,"No Start (attainment only)",IF(OR($N1500=1,$O1500=1),"U – needs rule",INDEX(MxBody,MATCH($I1500,MxCurr,0),MATCH($H1500,MxStart,0)))))))</f>
        <v/>
      </c>
      <c r="L1500" s="62" t="str">
        <f aca="false">IF(COUNTA($A1500,$F1500,$G1500,$H1500,$I1500,$J1500)=0,"",IF($M1500=0,"✖ كود الصف غير موجود",IF(ISNA(MATCH($F1500,Lists!$A$2:$A$5,0)),"✖ الفترة غير صحيحة",IF(ISNA(MATCH($G1500,Lists!$B$2:$B$7,0)),"✖ المجموعة غير صحيحة",IF(NOT(OR($H1500="",$N1500&gt;0)),"✖ Start غير صحيح",IF(NOT(OR($I1500="",$I1500="NR",$O1500&gt;0)),"✖ Current غير صحيح",IF(NOT(IF(ISNUMBER($J1500),AND($J1500&gt;=0,$J1500=INT($J1500)),FALSE())),"✖ العدد يجب أن يكون صحيحًا ≥ 0",IF(AND($F1500="Baseline",$H1500&lt;&gt;""),"⚠ Baseline: Start لا يدخل في التقدم",IF($K1500="No Start (attainment only)","ℹ تحصيل فقط (بدون Start)",IF($K1500="U – needs rule","ℹ حالة U تحتاج قاعدة معتمدة",IF($K1500="No result","ℹ بدون نتيجة (يُستبعد من التحصيل)","OK")))))))))))</f>
        <v/>
      </c>
      <c r="M1500" s="64" t="n">
        <f aca="false">IF($A1500="",0,IFERROR(MATCH($A1500,Classes!$A$6:$A$420,0),0))</f>
        <v>0</v>
      </c>
      <c r="N1500" s="64" t="n">
        <f aca="false">IF($H1500="",0,IFERROR(MATCH($H1500,GradeList,0),0))</f>
        <v>0</v>
      </c>
      <c r="O1500" s="64" t="n">
        <f aca="false">IF(OR($I1500="",$I1500="NR"),0,IFERROR(MATCH($I1500,GradeList,0),0))</f>
        <v>0</v>
      </c>
      <c r="P1500" s="64" t="n">
        <f aca="false">IF(AND($M1500&gt;0,ISNUMBER(MATCH($F1500,Lists!$A$2:$A$5,0)),ISNUMBER(MATCH($G1500,Lists!$B$2:$B$7,0)),OR($H1500="",$N1500&gt;0),OR($I1500="",$I1500="NR",$O1500&gt;0),IF(ISNUMBER($J1500),AND($J1500&gt;=0,$J1500=INT($J1500)),FALSE())),$J1500,0)</f>
        <v>0</v>
      </c>
      <c r="Q1500" s="64" t="n">
        <f aca="false">IF(AND($P1500&gt;0,$O1500&gt;0),$P1500,0)</f>
        <v>0</v>
      </c>
      <c r="R1500" s="64" t="n">
        <f aca="false">IF(AND($Q1500&gt;0,$O1500&gt;=AtRank),$Q1500,0)</f>
        <v>0</v>
      </c>
      <c r="S1500" s="64" t="n">
        <f aca="false">IF(AND($Q1500&gt;0,$O1500&gt;=AboveRank),$Q1500,0)</f>
        <v>0</v>
      </c>
      <c r="T1500" s="64" t="n">
        <f aca="false">IF($K1500="Less",$P1500,0)</f>
        <v>0</v>
      </c>
      <c r="U1500" s="64" t="n">
        <f aca="false">IF($K1500="Expected",$P1500,0)</f>
        <v>0</v>
      </c>
      <c r="V1500" s="64" t="n">
        <f aca="false">IF($K1500="Better",$P1500,0)</f>
        <v>0</v>
      </c>
      <c r="W1500" s="64" t="n">
        <f aca="false">IF($K1500="U – needs rule",$P1500,0)</f>
        <v>0</v>
      </c>
      <c r="X1500" s="64" t="n">
        <f aca="false">IF($K1500="No Start (attainment only)",$P1500,0)</f>
        <v>0</v>
      </c>
    </row>
    <row r="1501" customFormat="false" ht="15" hidden="false" customHeight="false" outlineLevel="0" collapsed="false">
      <c r="A1501" s="60"/>
      <c r="B1501" s="61" t="str">
        <f aca="false">IF($M1501=0,"",INDEX(Classes!$E$6:$E$420,$M1501))</f>
        <v/>
      </c>
      <c r="C1501" s="62" t="str">
        <f aca="false">IF($M1501=0,"",INDEX(Classes!$H$6:$H$420,$M1501))</f>
        <v/>
      </c>
      <c r="D1501" s="61" t="str">
        <f aca="false">IF($M1501=0,"",INDEX(Classes!$B$6:$B$420,$M1501))</f>
        <v/>
      </c>
      <c r="E1501" s="61" t="str">
        <f aca="false">IF($M1501=0,"",INDEX(Classes!$C$6:$C$420,$M1501))</f>
        <v/>
      </c>
      <c r="F1501" s="63"/>
      <c r="G1501" s="63"/>
      <c r="H1501" s="60"/>
      <c r="I1501" s="60"/>
      <c r="J1501" s="63"/>
      <c r="K1501" s="61" t="str">
        <f aca="false">IF($P1501=0,"",IF($F1501="Baseline","— Baseline",IF($O1501=0,"No result",IF($N1501=0,"No Start (attainment only)",IF(OR($N1501=1,$O1501=1),"U – needs rule",INDEX(MxBody,MATCH($I1501,MxCurr,0),MATCH($H1501,MxStart,0)))))))</f>
        <v/>
      </c>
      <c r="L1501" s="62" t="str">
        <f aca="false">IF(COUNTA($A1501,$F1501,$G1501,$H1501,$I1501,$J1501)=0,"",IF($M1501=0,"✖ كود الصف غير موجود",IF(ISNA(MATCH($F1501,Lists!$A$2:$A$5,0)),"✖ الفترة غير صحيحة",IF(ISNA(MATCH($G1501,Lists!$B$2:$B$7,0)),"✖ المجموعة غير صحيحة",IF(NOT(OR($H1501="",$N1501&gt;0)),"✖ Start غير صحيح",IF(NOT(OR($I1501="",$I1501="NR",$O1501&gt;0)),"✖ Current غير صحيح",IF(NOT(IF(ISNUMBER($J1501),AND($J1501&gt;=0,$J1501=INT($J1501)),FALSE())),"✖ العدد يجب أن يكون صحيحًا ≥ 0",IF(AND($F1501="Baseline",$H1501&lt;&gt;""),"⚠ Baseline: Start لا يدخل في التقدم",IF($K1501="No Start (attainment only)","ℹ تحصيل فقط (بدون Start)",IF($K1501="U – needs rule","ℹ حالة U تحتاج قاعدة معتمدة",IF($K1501="No result","ℹ بدون نتيجة (يُستبعد من التحصيل)","OK")))))))))))</f>
        <v/>
      </c>
      <c r="M1501" s="64" t="n">
        <f aca="false">IF($A1501="",0,IFERROR(MATCH($A1501,Classes!$A$6:$A$420,0),0))</f>
        <v>0</v>
      </c>
      <c r="N1501" s="64" t="n">
        <f aca="false">IF($H1501="",0,IFERROR(MATCH($H1501,GradeList,0),0))</f>
        <v>0</v>
      </c>
      <c r="O1501" s="64" t="n">
        <f aca="false">IF(OR($I1501="",$I1501="NR"),0,IFERROR(MATCH($I1501,GradeList,0),0))</f>
        <v>0</v>
      </c>
      <c r="P1501" s="64" t="n">
        <f aca="false">IF(AND($M1501&gt;0,ISNUMBER(MATCH($F1501,Lists!$A$2:$A$5,0)),ISNUMBER(MATCH($G1501,Lists!$B$2:$B$7,0)),OR($H1501="",$N1501&gt;0),OR($I1501="",$I1501="NR",$O1501&gt;0),IF(ISNUMBER($J1501),AND($J1501&gt;=0,$J1501=INT($J1501)),FALSE())),$J1501,0)</f>
        <v>0</v>
      </c>
      <c r="Q1501" s="64" t="n">
        <f aca="false">IF(AND($P1501&gt;0,$O1501&gt;0),$P1501,0)</f>
        <v>0</v>
      </c>
      <c r="R1501" s="64" t="n">
        <f aca="false">IF(AND($Q1501&gt;0,$O1501&gt;=AtRank),$Q1501,0)</f>
        <v>0</v>
      </c>
      <c r="S1501" s="64" t="n">
        <f aca="false">IF(AND($Q1501&gt;0,$O1501&gt;=AboveRank),$Q1501,0)</f>
        <v>0</v>
      </c>
      <c r="T1501" s="64" t="n">
        <f aca="false">IF($K1501="Less",$P1501,0)</f>
        <v>0</v>
      </c>
      <c r="U1501" s="64" t="n">
        <f aca="false">IF($K1501="Expected",$P1501,0)</f>
        <v>0</v>
      </c>
      <c r="V1501" s="64" t="n">
        <f aca="false">IF($K1501="Better",$P1501,0)</f>
        <v>0</v>
      </c>
      <c r="W1501" s="64" t="n">
        <f aca="false">IF($K1501="U – needs rule",$P1501,0)</f>
        <v>0</v>
      </c>
      <c r="X1501" s="64" t="n">
        <f aca="false">IF($K1501="No Start (attainment only)",$P1501,0)</f>
        <v>0</v>
      </c>
    </row>
    <row r="1502" customFormat="false" ht="15" hidden="false" customHeight="false" outlineLevel="0" collapsed="false">
      <c r="A1502" s="60"/>
      <c r="B1502" s="61" t="str">
        <f aca="false">IF($M1502=0,"",INDEX(Classes!$E$6:$E$420,$M1502))</f>
        <v/>
      </c>
      <c r="C1502" s="62" t="str">
        <f aca="false">IF($M1502=0,"",INDEX(Classes!$H$6:$H$420,$M1502))</f>
        <v/>
      </c>
      <c r="D1502" s="61" t="str">
        <f aca="false">IF($M1502=0,"",INDEX(Classes!$B$6:$B$420,$M1502))</f>
        <v/>
      </c>
      <c r="E1502" s="61" t="str">
        <f aca="false">IF($M1502=0,"",INDEX(Classes!$C$6:$C$420,$M1502))</f>
        <v/>
      </c>
      <c r="F1502" s="63"/>
      <c r="G1502" s="63"/>
      <c r="H1502" s="60"/>
      <c r="I1502" s="60"/>
      <c r="J1502" s="63"/>
      <c r="K1502" s="61" t="str">
        <f aca="false">IF($P1502=0,"",IF($F1502="Baseline","— Baseline",IF($O1502=0,"No result",IF($N1502=0,"No Start (attainment only)",IF(OR($N1502=1,$O1502=1),"U – needs rule",INDEX(MxBody,MATCH($I1502,MxCurr,0),MATCH($H1502,MxStart,0)))))))</f>
        <v/>
      </c>
      <c r="L1502" s="62" t="str">
        <f aca="false">IF(COUNTA($A1502,$F1502,$G1502,$H1502,$I1502,$J1502)=0,"",IF($M1502=0,"✖ كود الصف غير موجود",IF(ISNA(MATCH($F1502,Lists!$A$2:$A$5,0)),"✖ الفترة غير صحيحة",IF(ISNA(MATCH($G1502,Lists!$B$2:$B$7,0)),"✖ المجموعة غير صحيحة",IF(NOT(OR($H1502="",$N1502&gt;0)),"✖ Start غير صحيح",IF(NOT(OR($I1502="",$I1502="NR",$O1502&gt;0)),"✖ Current غير صحيح",IF(NOT(IF(ISNUMBER($J1502),AND($J1502&gt;=0,$J1502=INT($J1502)),FALSE())),"✖ العدد يجب أن يكون صحيحًا ≥ 0",IF(AND($F1502="Baseline",$H1502&lt;&gt;""),"⚠ Baseline: Start لا يدخل في التقدم",IF($K1502="No Start (attainment only)","ℹ تحصيل فقط (بدون Start)",IF($K1502="U – needs rule","ℹ حالة U تحتاج قاعدة معتمدة",IF($K1502="No result","ℹ بدون نتيجة (يُستبعد من التحصيل)","OK")))))))))))</f>
        <v/>
      </c>
      <c r="M1502" s="64" t="n">
        <f aca="false">IF($A1502="",0,IFERROR(MATCH($A1502,Classes!$A$6:$A$420,0),0))</f>
        <v>0</v>
      </c>
      <c r="N1502" s="64" t="n">
        <f aca="false">IF($H1502="",0,IFERROR(MATCH($H1502,GradeList,0),0))</f>
        <v>0</v>
      </c>
      <c r="O1502" s="64" t="n">
        <f aca="false">IF(OR($I1502="",$I1502="NR"),0,IFERROR(MATCH($I1502,GradeList,0),0))</f>
        <v>0</v>
      </c>
      <c r="P1502" s="64" t="n">
        <f aca="false">IF(AND($M1502&gt;0,ISNUMBER(MATCH($F1502,Lists!$A$2:$A$5,0)),ISNUMBER(MATCH($G1502,Lists!$B$2:$B$7,0)),OR($H1502="",$N1502&gt;0),OR($I1502="",$I1502="NR",$O1502&gt;0),IF(ISNUMBER($J1502),AND($J1502&gt;=0,$J1502=INT($J1502)),FALSE())),$J1502,0)</f>
        <v>0</v>
      </c>
      <c r="Q1502" s="64" t="n">
        <f aca="false">IF(AND($P1502&gt;0,$O1502&gt;0),$P1502,0)</f>
        <v>0</v>
      </c>
      <c r="R1502" s="64" t="n">
        <f aca="false">IF(AND($Q1502&gt;0,$O1502&gt;=AtRank),$Q1502,0)</f>
        <v>0</v>
      </c>
      <c r="S1502" s="64" t="n">
        <f aca="false">IF(AND($Q1502&gt;0,$O1502&gt;=AboveRank),$Q1502,0)</f>
        <v>0</v>
      </c>
      <c r="T1502" s="64" t="n">
        <f aca="false">IF($K1502="Less",$P1502,0)</f>
        <v>0</v>
      </c>
      <c r="U1502" s="64" t="n">
        <f aca="false">IF($K1502="Expected",$P1502,0)</f>
        <v>0</v>
      </c>
      <c r="V1502" s="64" t="n">
        <f aca="false">IF($K1502="Better",$P1502,0)</f>
        <v>0</v>
      </c>
      <c r="W1502" s="64" t="n">
        <f aca="false">IF($K1502="U – needs rule",$P1502,0)</f>
        <v>0</v>
      </c>
      <c r="X1502" s="64" t="n">
        <f aca="false">IF($K1502="No Start (attainment only)",$P1502,0)</f>
        <v>0</v>
      </c>
    </row>
    <row r="1503" customFormat="false" ht="15" hidden="false" customHeight="false" outlineLevel="0" collapsed="false">
      <c r="A1503" s="60"/>
      <c r="B1503" s="61" t="str">
        <f aca="false">IF($M1503=0,"",INDEX(Classes!$E$6:$E$420,$M1503))</f>
        <v/>
      </c>
      <c r="C1503" s="62" t="str">
        <f aca="false">IF($M1503=0,"",INDEX(Classes!$H$6:$H$420,$M1503))</f>
        <v/>
      </c>
      <c r="D1503" s="61" t="str">
        <f aca="false">IF($M1503=0,"",INDEX(Classes!$B$6:$B$420,$M1503))</f>
        <v/>
      </c>
      <c r="E1503" s="61" t="str">
        <f aca="false">IF($M1503=0,"",INDEX(Classes!$C$6:$C$420,$M1503))</f>
        <v/>
      </c>
      <c r="F1503" s="63"/>
      <c r="G1503" s="63"/>
      <c r="H1503" s="60"/>
      <c r="I1503" s="60"/>
      <c r="J1503" s="63"/>
      <c r="K1503" s="61" t="str">
        <f aca="false">IF($P1503=0,"",IF($F1503="Baseline","— Baseline",IF($O1503=0,"No result",IF($N1503=0,"No Start (attainment only)",IF(OR($N1503=1,$O1503=1),"U – needs rule",INDEX(MxBody,MATCH($I1503,MxCurr,0),MATCH($H1503,MxStart,0)))))))</f>
        <v/>
      </c>
      <c r="L1503" s="62" t="str">
        <f aca="false">IF(COUNTA($A1503,$F1503,$G1503,$H1503,$I1503,$J1503)=0,"",IF($M1503=0,"✖ كود الصف غير موجود",IF(ISNA(MATCH($F1503,Lists!$A$2:$A$5,0)),"✖ الفترة غير صحيحة",IF(ISNA(MATCH($G1503,Lists!$B$2:$B$7,0)),"✖ المجموعة غير صحيحة",IF(NOT(OR($H1503="",$N1503&gt;0)),"✖ Start غير صحيح",IF(NOT(OR($I1503="",$I1503="NR",$O1503&gt;0)),"✖ Current غير صحيح",IF(NOT(IF(ISNUMBER($J1503),AND($J1503&gt;=0,$J1503=INT($J1503)),FALSE())),"✖ العدد يجب أن يكون صحيحًا ≥ 0",IF(AND($F1503="Baseline",$H1503&lt;&gt;""),"⚠ Baseline: Start لا يدخل في التقدم",IF($K1503="No Start (attainment only)","ℹ تحصيل فقط (بدون Start)",IF($K1503="U – needs rule","ℹ حالة U تحتاج قاعدة معتمدة",IF($K1503="No result","ℹ بدون نتيجة (يُستبعد من التحصيل)","OK")))))))))))</f>
        <v/>
      </c>
      <c r="M1503" s="64" t="n">
        <f aca="false">IF($A1503="",0,IFERROR(MATCH($A1503,Classes!$A$6:$A$420,0),0))</f>
        <v>0</v>
      </c>
      <c r="N1503" s="64" t="n">
        <f aca="false">IF($H1503="",0,IFERROR(MATCH($H1503,GradeList,0),0))</f>
        <v>0</v>
      </c>
      <c r="O1503" s="64" t="n">
        <f aca="false">IF(OR($I1503="",$I1503="NR"),0,IFERROR(MATCH($I1503,GradeList,0),0))</f>
        <v>0</v>
      </c>
      <c r="P1503" s="64" t="n">
        <f aca="false">IF(AND($M1503&gt;0,ISNUMBER(MATCH($F1503,Lists!$A$2:$A$5,0)),ISNUMBER(MATCH($G1503,Lists!$B$2:$B$7,0)),OR($H1503="",$N1503&gt;0),OR($I1503="",$I1503="NR",$O1503&gt;0),IF(ISNUMBER($J1503),AND($J1503&gt;=0,$J1503=INT($J1503)),FALSE())),$J1503,0)</f>
        <v>0</v>
      </c>
      <c r="Q1503" s="64" t="n">
        <f aca="false">IF(AND($P1503&gt;0,$O1503&gt;0),$P1503,0)</f>
        <v>0</v>
      </c>
      <c r="R1503" s="64" t="n">
        <f aca="false">IF(AND($Q1503&gt;0,$O1503&gt;=AtRank),$Q1503,0)</f>
        <v>0</v>
      </c>
      <c r="S1503" s="64" t="n">
        <f aca="false">IF(AND($Q1503&gt;0,$O1503&gt;=AboveRank),$Q1503,0)</f>
        <v>0</v>
      </c>
      <c r="T1503" s="64" t="n">
        <f aca="false">IF($K1503="Less",$P1503,0)</f>
        <v>0</v>
      </c>
      <c r="U1503" s="64" t="n">
        <f aca="false">IF($K1503="Expected",$P1503,0)</f>
        <v>0</v>
      </c>
      <c r="V1503" s="64" t="n">
        <f aca="false">IF($K1503="Better",$P1503,0)</f>
        <v>0</v>
      </c>
      <c r="W1503" s="64" t="n">
        <f aca="false">IF($K1503="U – needs rule",$P1503,0)</f>
        <v>0</v>
      </c>
      <c r="X1503" s="64" t="n">
        <f aca="false">IF($K1503="No Start (attainment only)",$P1503,0)</f>
        <v>0</v>
      </c>
    </row>
    <row r="1504" customFormat="false" ht="15" hidden="false" customHeight="false" outlineLevel="0" collapsed="false">
      <c r="A1504" s="60"/>
      <c r="B1504" s="61" t="str">
        <f aca="false">IF($M1504=0,"",INDEX(Classes!$E$6:$E$420,$M1504))</f>
        <v/>
      </c>
      <c r="C1504" s="62" t="str">
        <f aca="false">IF($M1504=0,"",INDEX(Classes!$H$6:$H$420,$M1504))</f>
        <v/>
      </c>
      <c r="D1504" s="61" t="str">
        <f aca="false">IF($M1504=0,"",INDEX(Classes!$B$6:$B$420,$M1504))</f>
        <v/>
      </c>
      <c r="E1504" s="61" t="str">
        <f aca="false">IF($M1504=0,"",INDEX(Classes!$C$6:$C$420,$M1504))</f>
        <v/>
      </c>
      <c r="F1504" s="63"/>
      <c r="G1504" s="63"/>
      <c r="H1504" s="60"/>
      <c r="I1504" s="60"/>
      <c r="J1504" s="63"/>
      <c r="K1504" s="61" t="str">
        <f aca="false">IF($P1504=0,"",IF($F1504="Baseline","— Baseline",IF($O1504=0,"No result",IF($N1504=0,"No Start (attainment only)",IF(OR($N1504=1,$O1504=1),"U – needs rule",INDEX(MxBody,MATCH($I1504,MxCurr,0),MATCH($H1504,MxStart,0)))))))</f>
        <v/>
      </c>
      <c r="L1504" s="62" t="str">
        <f aca="false">IF(COUNTA($A1504,$F1504,$G1504,$H1504,$I1504,$J1504)=0,"",IF($M1504=0,"✖ كود الصف غير موجود",IF(ISNA(MATCH($F1504,Lists!$A$2:$A$5,0)),"✖ الفترة غير صحيحة",IF(ISNA(MATCH($G1504,Lists!$B$2:$B$7,0)),"✖ المجموعة غير صحيحة",IF(NOT(OR($H1504="",$N1504&gt;0)),"✖ Start غير صحيح",IF(NOT(OR($I1504="",$I1504="NR",$O1504&gt;0)),"✖ Current غير صحيح",IF(NOT(IF(ISNUMBER($J1504),AND($J1504&gt;=0,$J1504=INT($J1504)),FALSE())),"✖ العدد يجب أن يكون صحيحًا ≥ 0",IF(AND($F1504="Baseline",$H1504&lt;&gt;""),"⚠ Baseline: Start لا يدخل في التقدم",IF($K1504="No Start (attainment only)","ℹ تحصيل فقط (بدون Start)",IF($K1504="U – needs rule","ℹ حالة U تحتاج قاعدة معتمدة",IF($K1504="No result","ℹ بدون نتيجة (يُستبعد من التحصيل)","OK")))))))))))</f>
        <v/>
      </c>
      <c r="M1504" s="64" t="n">
        <f aca="false">IF($A1504="",0,IFERROR(MATCH($A1504,Classes!$A$6:$A$420,0),0))</f>
        <v>0</v>
      </c>
      <c r="N1504" s="64" t="n">
        <f aca="false">IF($H1504="",0,IFERROR(MATCH($H1504,GradeList,0),0))</f>
        <v>0</v>
      </c>
      <c r="O1504" s="64" t="n">
        <f aca="false">IF(OR($I1504="",$I1504="NR"),0,IFERROR(MATCH($I1504,GradeList,0),0))</f>
        <v>0</v>
      </c>
      <c r="P1504" s="64" t="n">
        <f aca="false">IF(AND($M1504&gt;0,ISNUMBER(MATCH($F1504,Lists!$A$2:$A$5,0)),ISNUMBER(MATCH($G1504,Lists!$B$2:$B$7,0)),OR($H1504="",$N1504&gt;0),OR($I1504="",$I1504="NR",$O1504&gt;0),IF(ISNUMBER($J1504),AND($J1504&gt;=0,$J1504=INT($J1504)),FALSE())),$J1504,0)</f>
        <v>0</v>
      </c>
      <c r="Q1504" s="64" t="n">
        <f aca="false">IF(AND($P1504&gt;0,$O1504&gt;0),$P1504,0)</f>
        <v>0</v>
      </c>
      <c r="R1504" s="64" t="n">
        <f aca="false">IF(AND($Q1504&gt;0,$O1504&gt;=AtRank),$Q1504,0)</f>
        <v>0</v>
      </c>
      <c r="S1504" s="64" t="n">
        <f aca="false">IF(AND($Q1504&gt;0,$O1504&gt;=AboveRank),$Q1504,0)</f>
        <v>0</v>
      </c>
      <c r="T1504" s="64" t="n">
        <f aca="false">IF($K1504="Less",$P1504,0)</f>
        <v>0</v>
      </c>
      <c r="U1504" s="64" t="n">
        <f aca="false">IF($K1504="Expected",$P1504,0)</f>
        <v>0</v>
      </c>
      <c r="V1504" s="64" t="n">
        <f aca="false">IF($K1504="Better",$P1504,0)</f>
        <v>0</v>
      </c>
      <c r="W1504" s="64" t="n">
        <f aca="false">IF($K1504="U – needs rule",$P1504,0)</f>
        <v>0</v>
      </c>
      <c r="X1504" s="64" t="n">
        <f aca="false">IF($K1504="No Start (attainment only)",$P1504,0)</f>
        <v>0</v>
      </c>
    </row>
    <row r="1505" customFormat="false" ht="15" hidden="false" customHeight="false" outlineLevel="0" collapsed="false">
      <c r="A1505" s="60"/>
      <c r="B1505" s="61" t="str">
        <f aca="false">IF($M1505=0,"",INDEX(Classes!$E$6:$E$420,$M1505))</f>
        <v/>
      </c>
      <c r="C1505" s="62" t="str">
        <f aca="false">IF($M1505=0,"",INDEX(Classes!$H$6:$H$420,$M1505))</f>
        <v/>
      </c>
      <c r="D1505" s="61" t="str">
        <f aca="false">IF($M1505=0,"",INDEX(Classes!$B$6:$B$420,$M1505))</f>
        <v/>
      </c>
      <c r="E1505" s="61" t="str">
        <f aca="false">IF($M1505=0,"",INDEX(Classes!$C$6:$C$420,$M1505))</f>
        <v/>
      </c>
      <c r="F1505" s="63"/>
      <c r="G1505" s="63"/>
      <c r="H1505" s="60"/>
      <c r="I1505" s="60"/>
      <c r="J1505" s="63"/>
      <c r="K1505" s="61" t="str">
        <f aca="false">IF($P1505=0,"",IF($F1505="Baseline","— Baseline",IF($O1505=0,"No result",IF($N1505=0,"No Start (attainment only)",IF(OR($N1505=1,$O1505=1),"U – needs rule",INDEX(MxBody,MATCH($I1505,MxCurr,0),MATCH($H1505,MxStart,0)))))))</f>
        <v/>
      </c>
      <c r="L1505" s="62" t="str">
        <f aca="false">IF(COUNTA($A1505,$F1505,$G1505,$H1505,$I1505,$J1505)=0,"",IF($M1505=0,"✖ كود الصف غير موجود",IF(ISNA(MATCH($F1505,Lists!$A$2:$A$5,0)),"✖ الفترة غير صحيحة",IF(ISNA(MATCH($G1505,Lists!$B$2:$B$7,0)),"✖ المجموعة غير صحيحة",IF(NOT(OR($H1505="",$N1505&gt;0)),"✖ Start غير صحيح",IF(NOT(OR($I1505="",$I1505="NR",$O1505&gt;0)),"✖ Current غير صحيح",IF(NOT(IF(ISNUMBER($J1505),AND($J1505&gt;=0,$J1505=INT($J1505)),FALSE())),"✖ العدد يجب أن يكون صحيحًا ≥ 0",IF(AND($F1505="Baseline",$H1505&lt;&gt;""),"⚠ Baseline: Start لا يدخل في التقدم",IF($K1505="No Start (attainment only)","ℹ تحصيل فقط (بدون Start)",IF($K1505="U – needs rule","ℹ حالة U تحتاج قاعدة معتمدة",IF($K1505="No result","ℹ بدون نتيجة (يُستبعد من التحصيل)","OK")))))))))))</f>
        <v/>
      </c>
      <c r="M1505" s="64" t="n">
        <f aca="false">IF($A1505="",0,IFERROR(MATCH($A1505,Classes!$A$6:$A$420,0),0))</f>
        <v>0</v>
      </c>
      <c r="N1505" s="64" t="n">
        <f aca="false">IF($H1505="",0,IFERROR(MATCH($H1505,GradeList,0),0))</f>
        <v>0</v>
      </c>
      <c r="O1505" s="64" t="n">
        <f aca="false">IF(OR($I1505="",$I1505="NR"),0,IFERROR(MATCH($I1505,GradeList,0),0))</f>
        <v>0</v>
      </c>
      <c r="P1505" s="64" t="n">
        <f aca="false">IF(AND($M1505&gt;0,ISNUMBER(MATCH($F1505,Lists!$A$2:$A$5,0)),ISNUMBER(MATCH($G1505,Lists!$B$2:$B$7,0)),OR($H1505="",$N1505&gt;0),OR($I1505="",$I1505="NR",$O1505&gt;0),IF(ISNUMBER($J1505),AND($J1505&gt;=0,$J1505=INT($J1505)),FALSE())),$J1505,0)</f>
        <v>0</v>
      </c>
      <c r="Q1505" s="64" t="n">
        <f aca="false">IF(AND($P1505&gt;0,$O1505&gt;0),$P1505,0)</f>
        <v>0</v>
      </c>
      <c r="R1505" s="64" t="n">
        <f aca="false">IF(AND($Q1505&gt;0,$O1505&gt;=AtRank),$Q1505,0)</f>
        <v>0</v>
      </c>
      <c r="S1505" s="64" t="n">
        <f aca="false">IF(AND($Q1505&gt;0,$O1505&gt;=AboveRank),$Q1505,0)</f>
        <v>0</v>
      </c>
      <c r="T1505" s="64" t="n">
        <f aca="false">IF($K1505="Less",$P1505,0)</f>
        <v>0</v>
      </c>
      <c r="U1505" s="64" t="n">
        <f aca="false">IF($K1505="Expected",$P1505,0)</f>
        <v>0</v>
      </c>
      <c r="V1505" s="64" t="n">
        <f aca="false">IF($K1505="Better",$P1505,0)</f>
        <v>0</v>
      </c>
      <c r="W1505" s="64" t="n">
        <f aca="false">IF($K1505="U – needs rule",$P1505,0)</f>
        <v>0</v>
      </c>
      <c r="X1505" s="64" t="n">
        <f aca="false">IF($K1505="No Start (attainment only)",$P1505,0)</f>
        <v>0</v>
      </c>
    </row>
    <row r="1506" customFormat="false" ht="15" hidden="false" customHeight="false" outlineLevel="0" collapsed="false">
      <c r="A1506" s="60"/>
      <c r="B1506" s="61" t="str">
        <f aca="false">IF($M1506=0,"",INDEX(Classes!$E$6:$E$420,$M1506))</f>
        <v/>
      </c>
      <c r="C1506" s="62" t="str">
        <f aca="false">IF($M1506=0,"",INDEX(Classes!$H$6:$H$420,$M1506))</f>
        <v/>
      </c>
      <c r="D1506" s="61" t="str">
        <f aca="false">IF($M1506=0,"",INDEX(Classes!$B$6:$B$420,$M1506))</f>
        <v/>
      </c>
      <c r="E1506" s="61" t="str">
        <f aca="false">IF($M1506=0,"",INDEX(Classes!$C$6:$C$420,$M1506))</f>
        <v/>
      </c>
      <c r="F1506" s="63"/>
      <c r="G1506" s="63"/>
      <c r="H1506" s="60"/>
      <c r="I1506" s="60"/>
      <c r="J1506" s="63"/>
      <c r="K1506" s="61" t="str">
        <f aca="false">IF($P1506=0,"",IF($F1506="Baseline","— Baseline",IF($O1506=0,"No result",IF($N1506=0,"No Start (attainment only)",IF(OR($N1506=1,$O1506=1),"U – needs rule",INDEX(MxBody,MATCH($I1506,MxCurr,0),MATCH($H1506,MxStart,0)))))))</f>
        <v/>
      </c>
      <c r="L1506" s="62" t="str">
        <f aca="false">IF(COUNTA($A1506,$F1506,$G1506,$H1506,$I1506,$J1506)=0,"",IF($M1506=0,"✖ كود الصف غير موجود",IF(ISNA(MATCH($F1506,Lists!$A$2:$A$5,0)),"✖ الفترة غير صحيحة",IF(ISNA(MATCH($G1506,Lists!$B$2:$B$7,0)),"✖ المجموعة غير صحيحة",IF(NOT(OR($H1506="",$N1506&gt;0)),"✖ Start غير صحيح",IF(NOT(OR($I1506="",$I1506="NR",$O1506&gt;0)),"✖ Current غير صحيح",IF(NOT(IF(ISNUMBER($J1506),AND($J1506&gt;=0,$J1506=INT($J1506)),FALSE())),"✖ العدد يجب أن يكون صحيحًا ≥ 0",IF(AND($F1506="Baseline",$H1506&lt;&gt;""),"⚠ Baseline: Start لا يدخل في التقدم",IF($K1506="No Start (attainment only)","ℹ تحصيل فقط (بدون Start)",IF($K1506="U – needs rule","ℹ حالة U تحتاج قاعدة معتمدة",IF($K1506="No result","ℹ بدون نتيجة (يُستبعد من التحصيل)","OK")))))))))))</f>
        <v/>
      </c>
      <c r="M1506" s="64" t="n">
        <f aca="false">IF($A1506="",0,IFERROR(MATCH($A1506,Classes!$A$6:$A$420,0),0))</f>
        <v>0</v>
      </c>
      <c r="N1506" s="64" t="n">
        <f aca="false">IF($H1506="",0,IFERROR(MATCH($H1506,GradeList,0),0))</f>
        <v>0</v>
      </c>
      <c r="O1506" s="64" t="n">
        <f aca="false">IF(OR($I1506="",$I1506="NR"),0,IFERROR(MATCH($I1506,GradeList,0),0))</f>
        <v>0</v>
      </c>
      <c r="P1506" s="64" t="n">
        <f aca="false">IF(AND($M1506&gt;0,ISNUMBER(MATCH($F1506,Lists!$A$2:$A$5,0)),ISNUMBER(MATCH($G1506,Lists!$B$2:$B$7,0)),OR($H1506="",$N1506&gt;0),OR($I1506="",$I1506="NR",$O1506&gt;0),IF(ISNUMBER($J1506),AND($J1506&gt;=0,$J1506=INT($J1506)),FALSE())),$J1506,0)</f>
        <v>0</v>
      </c>
      <c r="Q1506" s="64" t="n">
        <f aca="false">IF(AND($P1506&gt;0,$O1506&gt;0),$P1506,0)</f>
        <v>0</v>
      </c>
      <c r="R1506" s="64" t="n">
        <f aca="false">IF(AND($Q1506&gt;0,$O1506&gt;=AtRank),$Q1506,0)</f>
        <v>0</v>
      </c>
      <c r="S1506" s="64" t="n">
        <f aca="false">IF(AND($Q1506&gt;0,$O1506&gt;=AboveRank),$Q1506,0)</f>
        <v>0</v>
      </c>
      <c r="T1506" s="64" t="n">
        <f aca="false">IF($K1506="Less",$P1506,0)</f>
        <v>0</v>
      </c>
      <c r="U1506" s="64" t="n">
        <f aca="false">IF($K1506="Expected",$P1506,0)</f>
        <v>0</v>
      </c>
      <c r="V1506" s="64" t="n">
        <f aca="false">IF($K1506="Better",$P1506,0)</f>
        <v>0</v>
      </c>
      <c r="W1506" s="64" t="n">
        <f aca="false">IF($K1506="U – needs rule",$P1506,0)</f>
        <v>0</v>
      </c>
      <c r="X1506" s="64" t="n">
        <f aca="false">IF($K1506="No Start (attainment only)",$P1506,0)</f>
        <v>0</v>
      </c>
    </row>
    <row r="1507" customFormat="false" ht="15" hidden="false" customHeight="false" outlineLevel="0" collapsed="false">
      <c r="A1507" s="60"/>
      <c r="B1507" s="61" t="str">
        <f aca="false">IF($M1507=0,"",INDEX(Classes!$E$6:$E$420,$M1507))</f>
        <v/>
      </c>
      <c r="C1507" s="62" t="str">
        <f aca="false">IF($M1507=0,"",INDEX(Classes!$H$6:$H$420,$M1507))</f>
        <v/>
      </c>
      <c r="D1507" s="61" t="str">
        <f aca="false">IF($M1507=0,"",INDEX(Classes!$B$6:$B$420,$M1507))</f>
        <v/>
      </c>
      <c r="E1507" s="61" t="str">
        <f aca="false">IF($M1507=0,"",INDEX(Classes!$C$6:$C$420,$M1507))</f>
        <v/>
      </c>
      <c r="F1507" s="63"/>
      <c r="G1507" s="63"/>
      <c r="H1507" s="60"/>
      <c r="I1507" s="60"/>
      <c r="J1507" s="63"/>
      <c r="K1507" s="61" t="str">
        <f aca="false">IF($P1507=0,"",IF($F1507="Baseline","— Baseline",IF($O1507=0,"No result",IF($N1507=0,"No Start (attainment only)",IF(OR($N1507=1,$O1507=1),"U – needs rule",INDEX(MxBody,MATCH($I1507,MxCurr,0),MATCH($H1507,MxStart,0)))))))</f>
        <v/>
      </c>
      <c r="L1507" s="62" t="str">
        <f aca="false">IF(COUNTA($A1507,$F1507,$G1507,$H1507,$I1507,$J1507)=0,"",IF($M1507=0,"✖ كود الصف غير موجود",IF(ISNA(MATCH($F1507,Lists!$A$2:$A$5,0)),"✖ الفترة غير صحيحة",IF(ISNA(MATCH($G1507,Lists!$B$2:$B$7,0)),"✖ المجموعة غير صحيحة",IF(NOT(OR($H1507="",$N1507&gt;0)),"✖ Start غير صحيح",IF(NOT(OR($I1507="",$I1507="NR",$O1507&gt;0)),"✖ Current غير صحيح",IF(NOT(IF(ISNUMBER($J1507),AND($J1507&gt;=0,$J1507=INT($J1507)),FALSE())),"✖ العدد يجب أن يكون صحيحًا ≥ 0",IF(AND($F1507="Baseline",$H1507&lt;&gt;""),"⚠ Baseline: Start لا يدخل في التقدم",IF($K1507="No Start (attainment only)","ℹ تحصيل فقط (بدون Start)",IF($K1507="U – needs rule","ℹ حالة U تحتاج قاعدة معتمدة",IF($K1507="No result","ℹ بدون نتيجة (يُستبعد من التحصيل)","OK")))))))))))</f>
        <v/>
      </c>
      <c r="M1507" s="64" t="n">
        <f aca="false">IF($A1507="",0,IFERROR(MATCH($A1507,Classes!$A$6:$A$420,0),0))</f>
        <v>0</v>
      </c>
      <c r="N1507" s="64" t="n">
        <f aca="false">IF($H1507="",0,IFERROR(MATCH($H1507,GradeList,0),0))</f>
        <v>0</v>
      </c>
      <c r="O1507" s="64" t="n">
        <f aca="false">IF(OR($I1507="",$I1507="NR"),0,IFERROR(MATCH($I1507,GradeList,0),0))</f>
        <v>0</v>
      </c>
      <c r="P1507" s="64" t="n">
        <f aca="false">IF(AND($M1507&gt;0,ISNUMBER(MATCH($F1507,Lists!$A$2:$A$5,0)),ISNUMBER(MATCH($G1507,Lists!$B$2:$B$7,0)),OR($H1507="",$N1507&gt;0),OR($I1507="",$I1507="NR",$O1507&gt;0),IF(ISNUMBER($J1507),AND($J1507&gt;=0,$J1507=INT($J1507)),FALSE())),$J1507,0)</f>
        <v>0</v>
      </c>
      <c r="Q1507" s="64" t="n">
        <f aca="false">IF(AND($P1507&gt;0,$O1507&gt;0),$P1507,0)</f>
        <v>0</v>
      </c>
      <c r="R1507" s="64" t="n">
        <f aca="false">IF(AND($Q1507&gt;0,$O1507&gt;=AtRank),$Q1507,0)</f>
        <v>0</v>
      </c>
      <c r="S1507" s="64" t="n">
        <f aca="false">IF(AND($Q1507&gt;0,$O1507&gt;=AboveRank),$Q1507,0)</f>
        <v>0</v>
      </c>
      <c r="T1507" s="64" t="n">
        <f aca="false">IF($K1507="Less",$P1507,0)</f>
        <v>0</v>
      </c>
      <c r="U1507" s="64" t="n">
        <f aca="false">IF($K1507="Expected",$P1507,0)</f>
        <v>0</v>
      </c>
      <c r="V1507" s="64" t="n">
        <f aca="false">IF($K1507="Better",$P1507,0)</f>
        <v>0</v>
      </c>
      <c r="W1507" s="64" t="n">
        <f aca="false">IF($K1507="U – needs rule",$P1507,0)</f>
        <v>0</v>
      </c>
      <c r="X1507" s="64" t="n">
        <f aca="false">IF($K1507="No Start (attainment only)",$P1507,0)</f>
        <v>0</v>
      </c>
    </row>
    <row r="1508" customFormat="false" ht="15" hidden="false" customHeight="false" outlineLevel="0" collapsed="false">
      <c r="A1508" s="60"/>
      <c r="B1508" s="61" t="str">
        <f aca="false">IF($M1508=0,"",INDEX(Classes!$E$6:$E$420,$M1508))</f>
        <v/>
      </c>
      <c r="C1508" s="62" t="str">
        <f aca="false">IF($M1508=0,"",INDEX(Classes!$H$6:$H$420,$M1508))</f>
        <v/>
      </c>
      <c r="D1508" s="61" t="str">
        <f aca="false">IF($M1508=0,"",INDEX(Classes!$B$6:$B$420,$M1508))</f>
        <v/>
      </c>
      <c r="E1508" s="61" t="str">
        <f aca="false">IF($M1508=0,"",INDEX(Classes!$C$6:$C$420,$M1508))</f>
        <v/>
      </c>
      <c r="F1508" s="63"/>
      <c r="G1508" s="63"/>
      <c r="H1508" s="60"/>
      <c r="I1508" s="60"/>
      <c r="J1508" s="63"/>
      <c r="K1508" s="61" t="str">
        <f aca="false">IF($P1508=0,"",IF($F1508="Baseline","— Baseline",IF($O1508=0,"No result",IF($N1508=0,"No Start (attainment only)",IF(OR($N1508=1,$O1508=1),"U – needs rule",INDEX(MxBody,MATCH($I1508,MxCurr,0),MATCH($H1508,MxStart,0)))))))</f>
        <v/>
      </c>
      <c r="L1508" s="62" t="str">
        <f aca="false">IF(COUNTA($A1508,$F1508,$G1508,$H1508,$I1508,$J1508)=0,"",IF($M1508=0,"✖ كود الصف غير موجود",IF(ISNA(MATCH($F1508,Lists!$A$2:$A$5,0)),"✖ الفترة غير صحيحة",IF(ISNA(MATCH($G1508,Lists!$B$2:$B$7,0)),"✖ المجموعة غير صحيحة",IF(NOT(OR($H1508="",$N1508&gt;0)),"✖ Start غير صحيح",IF(NOT(OR($I1508="",$I1508="NR",$O1508&gt;0)),"✖ Current غير صحيح",IF(NOT(IF(ISNUMBER($J1508),AND($J1508&gt;=0,$J1508=INT($J1508)),FALSE())),"✖ العدد يجب أن يكون صحيحًا ≥ 0",IF(AND($F1508="Baseline",$H1508&lt;&gt;""),"⚠ Baseline: Start لا يدخل في التقدم",IF($K1508="No Start (attainment only)","ℹ تحصيل فقط (بدون Start)",IF($K1508="U – needs rule","ℹ حالة U تحتاج قاعدة معتمدة",IF($K1508="No result","ℹ بدون نتيجة (يُستبعد من التحصيل)","OK")))))))))))</f>
        <v/>
      </c>
      <c r="M1508" s="64" t="n">
        <f aca="false">IF($A1508="",0,IFERROR(MATCH($A1508,Classes!$A$6:$A$420,0),0))</f>
        <v>0</v>
      </c>
      <c r="N1508" s="64" t="n">
        <f aca="false">IF($H1508="",0,IFERROR(MATCH($H1508,GradeList,0),0))</f>
        <v>0</v>
      </c>
      <c r="O1508" s="64" t="n">
        <f aca="false">IF(OR($I1508="",$I1508="NR"),0,IFERROR(MATCH($I1508,GradeList,0),0))</f>
        <v>0</v>
      </c>
      <c r="P1508" s="64" t="n">
        <f aca="false">IF(AND($M1508&gt;0,ISNUMBER(MATCH($F1508,Lists!$A$2:$A$5,0)),ISNUMBER(MATCH($G1508,Lists!$B$2:$B$7,0)),OR($H1508="",$N1508&gt;0),OR($I1508="",$I1508="NR",$O1508&gt;0),IF(ISNUMBER($J1508),AND($J1508&gt;=0,$J1508=INT($J1508)),FALSE())),$J1508,0)</f>
        <v>0</v>
      </c>
      <c r="Q1508" s="64" t="n">
        <f aca="false">IF(AND($P1508&gt;0,$O1508&gt;0),$P1508,0)</f>
        <v>0</v>
      </c>
      <c r="R1508" s="64" t="n">
        <f aca="false">IF(AND($Q1508&gt;0,$O1508&gt;=AtRank),$Q1508,0)</f>
        <v>0</v>
      </c>
      <c r="S1508" s="64" t="n">
        <f aca="false">IF(AND($Q1508&gt;0,$O1508&gt;=AboveRank),$Q1508,0)</f>
        <v>0</v>
      </c>
      <c r="T1508" s="64" t="n">
        <f aca="false">IF($K1508="Less",$P1508,0)</f>
        <v>0</v>
      </c>
      <c r="U1508" s="64" t="n">
        <f aca="false">IF($K1508="Expected",$P1508,0)</f>
        <v>0</v>
      </c>
      <c r="V1508" s="64" t="n">
        <f aca="false">IF($K1508="Better",$P1508,0)</f>
        <v>0</v>
      </c>
      <c r="W1508" s="64" t="n">
        <f aca="false">IF($K1508="U – needs rule",$P1508,0)</f>
        <v>0</v>
      </c>
      <c r="X1508" s="64" t="n">
        <f aca="false">IF($K1508="No Start (attainment only)",$P1508,0)</f>
        <v>0</v>
      </c>
    </row>
    <row r="1509" customFormat="false" ht="15" hidden="false" customHeight="false" outlineLevel="0" collapsed="false">
      <c r="A1509" s="60"/>
      <c r="B1509" s="61" t="str">
        <f aca="false">IF($M1509=0,"",INDEX(Classes!$E$6:$E$420,$M1509))</f>
        <v/>
      </c>
      <c r="C1509" s="62" t="str">
        <f aca="false">IF($M1509=0,"",INDEX(Classes!$H$6:$H$420,$M1509))</f>
        <v/>
      </c>
      <c r="D1509" s="61" t="str">
        <f aca="false">IF($M1509=0,"",INDEX(Classes!$B$6:$B$420,$M1509))</f>
        <v/>
      </c>
      <c r="E1509" s="61" t="str">
        <f aca="false">IF($M1509=0,"",INDEX(Classes!$C$6:$C$420,$M1509))</f>
        <v/>
      </c>
      <c r="F1509" s="63"/>
      <c r="G1509" s="63"/>
      <c r="H1509" s="60"/>
      <c r="I1509" s="60"/>
      <c r="J1509" s="63"/>
      <c r="K1509" s="61" t="str">
        <f aca="false">IF($P1509=0,"",IF($F1509="Baseline","— Baseline",IF($O1509=0,"No result",IF($N1509=0,"No Start (attainment only)",IF(OR($N1509=1,$O1509=1),"U – needs rule",INDEX(MxBody,MATCH($I1509,MxCurr,0),MATCH($H1509,MxStart,0)))))))</f>
        <v/>
      </c>
      <c r="L1509" s="62" t="str">
        <f aca="false">IF(COUNTA($A1509,$F1509,$G1509,$H1509,$I1509,$J1509)=0,"",IF($M1509=0,"✖ كود الصف غير موجود",IF(ISNA(MATCH($F1509,Lists!$A$2:$A$5,0)),"✖ الفترة غير صحيحة",IF(ISNA(MATCH($G1509,Lists!$B$2:$B$7,0)),"✖ المجموعة غير صحيحة",IF(NOT(OR($H1509="",$N1509&gt;0)),"✖ Start غير صحيح",IF(NOT(OR($I1509="",$I1509="NR",$O1509&gt;0)),"✖ Current غير صحيح",IF(NOT(IF(ISNUMBER($J1509),AND($J1509&gt;=0,$J1509=INT($J1509)),FALSE())),"✖ العدد يجب أن يكون صحيحًا ≥ 0",IF(AND($F1509="Baseline",$H1509&lt;&gt;""),"⚠ Baseline: Start لا يدخل في التقدم",IF($K1509="No Start (attainment only)","ℹ تحصيل فقط (بدون Start)",IF($K1509="U – needs rule","ℹ حالة U تحتاج قاعدة معتمدة",IF($K1509="No result","ℹ بدون نتيجة (يُستبعد من التحصيل)","OK")))))))))))</f>
        <v/>
      </c>
      <c r="M1509" s="64" t="n">
        <f aca="false">IF($A1509="",0,IFERROR(MATCH($A1509,Classes!$A$6:$A$420,0),0))</f>
        <v>0</v>
      </c>
      <c r="N1509" s="64" t="n">
        <f aca="false">IF($H1509="",0,IFERROR(MATCH($H1509,GradeList,0),0))</f>
        <v>0</v>
      </c>
      <c r="O1509" s="64" t="n">
        <f aca="false">IF(OR($I1509="",$I1509="NR"),0,IFERROR(MATCH($I1509,GradeList,0),0))</f>
        <v>0</v>
      </c>
      <c r="P1509" s="64" t="n">
        <f aca="false">IF(AND($M1509&gt;0,ISNUMBER(MATCH($F1509,Lists!$A$2:$A$5,0)),ISNUMBER(MATCH($G1509,Lists!$B$2:$B$7,0)),OR($H1509="",$N1509&gt;0),OR($I1509="",$I1509="NR",$O1509&gt;0),IF(ISNUMBER($J1509),AND($J1509&gt;=0,$J1509=INT($J1509)),FALSE())),$J1509,0)</f>
        <v>0</v>
      </c>
      <c r="Q1509" s="64" t="n">
        <f aca="false">IF(AND($P1509&gt;0,$O1509&gt;0),$P1509,0)</f>
        <v>0</v>
      </c>
      <c r="R1509" s="64" t="n">
        <f aca="false">IF(AND($Q1509&gt;0,$O1509&gt;=AtRank),$Q1509,0)</f>
        <v>0</v>
      </c>
      <c r="S1509" s="64" t="n">
        <f aca="false">IF(AND($Q1509&gt;0,$O1509&gt;=AboveRank),$Q1509,0)</f>
        <v>0</v>
      </c>
      <c r="T1509" s="64" t="n">
        <f aca="false">IF($K1509="Less",$P1509,0)</f>
        <v>0</v>
      </c>
      <c r="U1509" s="64" t="n">
        <f aca="false">IF($K1509="Expected",$P1509,0)</f>
        <v>0</v>
      </c>
      <c r="V1509" s="64" t="n">
        <f aca="false">IF($K1509="Better",$P1509,0)</f>
        <v>0</v>
      </c>
      <c r="W1509" s="64" t="n">
        <f aca="false">IF($K1509="U – needs rule",$P1509,0)</f>
        <v>0</v>
      </c>
      <c r="X1509" s="64" t="n">
        <f aca="false">IF($K1509="No Start (attainment only)",$P1509,0)</f>
        <v>0</v>
      </c>
    </row>
    <row r="1510" customFormat="false" ht="15" hidden="false" customHeight="false" outlineLevel="0" collapsed="false">
      <c r="A1510" s="60"/>
      <c r="B1510" s="61" t="str">
        <f aca="false">IF($M1510=0,"",INDEX(Classes!$E$6:$E$420,$M1510))</f>
        <v/>
      </c>
      <c r="C1510" s="62" t="str">
        <f aca="false">IF($M1510=0,"",INDEX(Classes!$H$6:$H$420,$M1510))</f>
        <v/>
      </c>
      <c r="D1510" s="61" t="str">
        <f aca="false">IF($M1510=0,"",INDEX(Classes!$B$6:$B$420,$M1510))</f>
        <v/>
      </c>
      <c r="E1510" s="61" t="str">
        <f aca="false">IF($M1510=0,"",INDEX(Classes!$C$6:$C$420,$M1510))</f>
        <v/>
      </c>
      <c r="F1510" s="63"/>
      <c r="G1510" s="63"/>
      <c r="H1510" s="60"/>
      <c r="I1510" s="60"/>
      <c r="J1510" s="63"/>
      <c r="K1510" s="61" t="str">
        <f aca="false">IF($P1510=0,"",IF($F1510="Baseline","— Baseline",IF($O1510=0,"No result",IF($N1510=0,"No Start (attainment only)",IF(OR($N1510=1,$O1510=1),"U – needs rule",INDEX(MxBody,MATCH($I1510,MxCurr,0),MATCH($H1510,MxStart,0)))))))</f>
        <v/>
      </c>
      <c r="L1510" s="62" t="str">
        <f aca="false">IF(COUNTA($A1510,$F1510,$G1510,$H1510,$I1510,$J1510)=0,"",IF($M1510=0,"✖ كود الصف غير موجود",IF(ISNA(MATCH($F1510,Lists!$A$2:$A$5,0)),"✖ الفترة غير صحيحة",IF(ISNA(MATCH($G1510,Lists!$B$2:$B$7,0)),"✖ المجموعة غير صحيحة",IF(NOT(OR($H1510="",$N1510&gt;0)),"✖ Start غير صحيح",IF(NOT(OR($I1510="",$I1510="NR",$O1510&gt;0)),"✖ Current غير صحيح",IF(NOT(IF(ISNUMBER($J1510),AND($J1510&gt;=0,$J1510=INT($J1510)),FALSE())),"✖ العدد يجب أن يكون صحيحًا ≥ 0",IF(AND($F1510="Baseline",$H1510&lt;&gt;""),"⚠ Baseline: Start لا يدخل في التقدم",IF($K1510="No Start (attainment only)","ℹ تحصيل فقط (بدون Start)",IF($K1510="U – needs rule","ℹ حالة U تحتاج قاعدة معتمدة",IF($K1510="No result","ℹ بدون نتيجة (يُستبعد من التحصيل)","OK")))))))))))</f>
        <v/>
      </c>
      <c r="M1510" s="64" t="n">
        <f aca="false">IF($A1510="",0,IFERROR(MATCH($A1510,Classes!$A$6:$A$420,0),0))</f>
        <v>0</v>
      </c>
      <c r="N1510" s="64" t="n">
        <f aca="false">IF($H1510="",0,IFERROR(MATCH($H1510,GradeList,0),0))</f>
        <v>0</v>
      </c>
      <c r="O1510" s="64" t="n">
        <f aca="false">IF(OR($I1510="",$I1510="NR"),0,IFERROR(MATCH($I1510,GradeList,0),0))</f>
        <v>0</v>
      </c>
      <c r="P1510" s="64" t="n">
        <f aca="false">IF(AND($M1510&gt;0,ISNUMBER(MATCH($F1510,Lists!$A$2:$A$5,0)),ISNUMBER(MATCH($G1510,Lists!$B$2:$B$7,0)),OR($H1510="",$N1510&gt;0),OR($I1510="",$I1510="NR",$O1510&gt;0),IF(ISNUMBER($J1510),AND($J1510&gt;=0,$J1510=INT($J1510)),FALSE())),$J1510,0)</f>
        <v>0</v>
      </c>
      <c r="Q1510" s="64" t="n">
        <f aca="false">IF(AND($P1510&gt;0,$O1510&gt;0),$P1510,0)</f>
        <v>0</v>
      </c>
      <c r="R1510" s="64" t="n">
        <f aca="false">IF(AND($Q1510&gt;0,$O1510&gt;=AtRank),$Q1510,0)</f>
        <v>0</v>
      </c>
      <c r="S1510" s="64" t="n">
        <f aca="false">IF(AND($Q1510&gt;0,$O1510&gt;=AboveRank),$Q1510,0)</f>
        <v>0</v>
      </c>
      <c r="T1510" s="64" t="n">
        <f aca="false">IF($K1510="Less",$P1510,0)</f>
        <v>0</v>
      </c>
      <c r="U1510" s="64" t="n">
        <f aca="false">IF($K1510="Expected",$P1510,0)</f>
        <v>0</v>
      </c>
      <c r="V1510" s="64" t="n">
        <f aca="false">IF($K1510="Better",$P1510,0)</f>
        <v>0</v>
      </c>
      <c r="W1510" s="64" t="n">
        <f aca="false">IF($K1510="U – needs rule",$P1510,0)</f>
        <v>0</v>
      </c>
      <c r="X1510" s="64" t="n">
        <f aca="false">IF($K1510="No Start (attainment only)",$P1510,0)</f>
        <v>0</v>
      </c>
    </row>
    <row r="1511" customFormat="false" ht="15" hidden="false" customHeight="false" outlineLevel="0" collapsed="false">
      <c r="A1511" s="60"/>
      <c r="B1511" s="61" t="str">
        <f aca="false">IF($M1511=0,"",INDEX(Classes!$E$6:$E$420,$M1511))</f>
        <v/>
      </c>
      <c r="C1511" s="62" t="str">
        <f aca="false">IF($M1511=0,"",INDEX(Classes!$H$6:$H$420,$M1511))</f>
        <v/>
      </c>
      <c r="D1511" s="61" t="str">
        <f aca="false">IF($M1511=0,"",INDEX(Classes!$B$6:$B$420,$M1511))</f>
        <v/>
      </c>
      <c r="E1511" s="61" t="str">
        <f aca="false">IF($M1511=0,"",INDEX(Classes!$C$6:$C$420,$M1511))</f>
        <v/>
      </c>
      <c r="F1511" s="63"/>
      <c r="G1511" s="63"/>
      <c r="H1511" s="60"/>
      <c r="I1511" s="60"/>
      <c r="J1511" s="63"/>
      <c r="K1511" s="61" t="str">
        <f aca="false">IF($P1511=0,"",IF($F1511="Baseline","— Baseline",IF($O1511=0,"No result",IF($N1511=0,"No Start (attainment only)",IF(OR($N1511=1,$O1511=1),"U – needs rule",INDEX(MxBody,MATCH($I1511,MxCurr,0),MATCH($H1511,MxStart,0)))))))</f>
        <v/>
      </c>
      <c r="L1511" s="62" t="str">
        <f aca="false">IF(COUNTA($A1511,$F1511,$G1511,$H1511,$I1511,$J1511)=0,"",IF($M1511=0,"✖ كود الصف غير موجود",IF(ISNA(MATCH($F1511,Lists!$A$2:$A$5,0)),"✖ الفترة غير صحيحة",IF(ISNA(MATCH($G1511,Lists!$B$2:$B$7,0)),"✖ المجموعة غير صحيحة",IF(NOT(OR($H1511="",$N1511&gt;0)),"✖ Start غير صحيح",IF(NOT(OR($I1511="",$I1511="NR",$O1511&gt;0)),"✖ Current غير صحيح",IF(NOT(IF(ISNUMBER($J1511),AND($J1511&gt;=0,$J1511=INT($J1511)),FALSE())),"✖ العدد يجب أن يكون صحيحًا ≥ 0",IF(AND($F1511="Baseline",$H1511&lt;&gt;""),"⚠ Baseline: Start لا يدخل في التقدم",IF($K1511="No Start (attainment only)","ℹ تحصيل فقط (بدون Start)",IF($K1511="U – needs rule","ℹ حالة U تحتاج قاعدة معتمدة",IF($K1511="No result","ℹ بدون نتيجة (يُستبعد من التحصيل)","OK")))))))))))</f>
        <v/>
      </c>
      <c r="M1511" s="64" t="n">
        <f aca="false">IF($A1511="",0,IFERROR(MATCH($A1511,Classes!$A$6:$A$420,0),0))</f>
        <v>0</v>
      </c>
      <c r="N1511" s="64" t="n">
        <f aca="false">IF($H1511="",0,IFERROR(MATCH($H1511,GradeList,0),0))</f>
        <v>0</v>
      </c>
      <c r="O1511" s="64" t="n">
        <f aca="false">IF(OR($I1511="",$I1511="NR"),0,IFERROR(MATCH($I1511,GradeList,0),0))</f>
        <v>0</v>
      </c>
      <c r="P1511" s="64" t="n">
        <f aca="false">IF(AND($M1511&gt;0,ISNUMBER(MATCH($F1511,Lists!$A$2:$A$5,0)),ISNUMBER(MATCH($G1511,Lists!$B$2:$B$7,0)),OR($H1511="",$N1511&gt;0),OR($I1511="",$I1511="NR",$O1511&gt;0),IF(ISNUMBER($J1511),AND($J1511&gt;=0,$J1511=INT($J1511)),FALSE())),$J1511,0)</f>
        <v>0</v>
      </c>
      <c r="Q1511" s="64" t="n">
        <f aca="false">IF(AND($P1511&gt;0,$O1511&gt;0),$P1511,0)</f>
        <v>0</v>
      </c>
      <c r="R1511" s="64" t="n">
        <f aca="false">IF(AND($Q1511&gt;0,$O1511&gt;=AtRank),$Q1511,0)</f>
        <v>0</v>
      </c>
      <c r="S1511" s="64" t="n">
        <f aca="false">IF(AND($Q1511&gt;0,$O1511&gt;=AboveRank),$Q1511,0)</f>
        <v>0</v>
      </c>
      <c r="T1511" s="64" t="n">
        <f aca="false">IF($K1511="Less",$P1511,0)</f>
        <v>0</v>
      </c>
      <c r="U1511" s="64" t="n">
        <f aca="false">IF($K1511="Expected",$P1511,0)</f>
        <v>0</v>
      </c>
      <c r="V1511" s="64" t="n">
        <f aca="false">IF($K1511="Better",$P1511,0)</f>
        <v>0</v>
      </c>
      <c r="W1511" s="64" t="n">
        <f aca="false">IF($K1511="U – needs rule",$P1511,0)</f>
        <v>0</v>
      </c>
      <c r="X1511" s="64" t="n">
        <f aca="false">IF($K1511="No Start (attainment only)",$P1511,0)</f>
        <v>0</v>
      </c>
    </row>
    <row r="1512" customFormat="false" ht="15" hidden="false" customHeight="false" outlineLevel="0" collapsed="false">
      <c r="A1512" s="60"/>
      <c r="B1512" s="61" t="str">
        <f aca="false">IF($M1512=0,"",INDEX(Classes!$E$6:$E$420,$M1512))</f>
        <v/>
      </c>
      <c r="C1512" s="62" t="str">
        <f aca="false">IF($M1512=0,"",INDEX(Classes!$H$6:$H$420,$M1512))</f>
        <v/>
      </c>
      <c r="D1512" s="61" t="str">
        <f aca="false">IF($M1512=0,"",INDEX(Classes!$B$6:$B$420,$M1512))</f>
        <v/>
      </c>
      <c r="E1512" s="61" t="str">
        <f aca="false">IF($M1512=0,"",INDEX(Classes!$C$6:$C$420,$M1512))</f>
        <v/>
      </c>
      <c r="F1512" s="63"/>
      <c r="G1512" s="63"/>
      <c r="H1512" s="60"/>
      <c r="I1512" s="60"/>
      <c r="J1512" s="63"/>
      <c r="K1512" s="61" t="str">
        <f aca="false">IF($P1512=0,"",IF($F1512="Baseline","— Baseline",IF($O1512=0,"No result",IF($N1512=0,"No Start (attainment only)",IF(OR($N1512=1,$O1512=1),"U – needs rule",INDEX(MxBody,MATCH($I1512,MxCurr,0),MATCH($H1512,MxStart,0)))))))</f>
        <v/>
      </c>
      <c r="L1512" s="62" t="str">
        <f aca="false">IF(COUNTA($A1512,$F1512,$G1512,$H1512,$I1512,$J1512)=0,"",IF($M1512=0,"✖ كود الصف غير موجود",IF(ISNA(MATCH($F1512,Lists!$A$2:$A$5,0)),"✖ الفترة غير صحيحة",IF(ISNA(MATCH($G1512,Lists!$B$2:$B$7,0)),"✖ المجموعة غير صحيحة",IF(NOT(OR($H1512="",$N1512&gt;0)),"✖ Start غير صحيح",IF(NOT(OR($I1512="",$I1512="NR",$O1512&gt;0)),"✖ Current غير صحيح",IF(NOT(IF(ISNUMBER($J1512),AND($J1512&gt;=0,$J1512=INT($J1512)),FALSE())),"✖ العدد يجب أن يكون صحيحًا ≥ 0",IF(AND($F1512="Baseline",$H1512&lt;&gt;""),"⚠ Baseline: Start لا يدخل في التقدم",IF($K1512="No Start (attainment only)","ℹ تحصيل فقط (بدون Start)",IF($K1512="U – needs rule","ℹ حالة U تحتاج قاعدة معتمدة",IF($K1512="No result","ℹ بدون نتيجة (يُستبعد من التحصيل)","OK")))))))))))</f>
        <v/>
      </c>
      <c r="M1512" s="64" t="n">
        <f aca="false">IF($A1512="",0,IFERROR(MATCH($A1512,Classes!$A$6:$A$420,0),0))</f>
        <v>0</v>
      </c>
      <c r="N1512" s="64" t="n">
        <f aca="false">IF($H1512="",0,IFERROR(MATCH($H1512,GradeList,0),0))</f>
        <v>0</v>
      </c>
      <c r="O1512" s="64" t="n">
        <f aca="false">IF(OR($I1512="",$I1512="NR"),0,IFERROR(MATCH($I1512,GradeList,0),0))</f>
        <v>0</v>
      </c>
      <c r="P1512" s="64" t="n">
        <f aca="false">IF(AND($M1512&gt;0,ISNUMBER(MATCH($F1512,Lists!$A$2:$A$5,0)),ISNUMBER(MATCH($G1512,Lists!$B$2:$B$7,0)),OR($H1512="",$N1512&gt;0),OR($I1512="",$I1512="NR",$O1512&gt;0),IF(ISNUMBER($J1512),AND($J1512&gt;=0,$J1512=INT($J1512)),FALSE())),$J1512,0)</f>
        <v>0</v>
      </c>
      <c r="Q1512" s="64" t="n">
        <f aca="false">IF(AND($P1512&gt;0,$O1512&gt;0),$P1512,0)</f>
        <v>0</v>
      </c>
      <c r="R1512" s="64" t="n">
        <f aca="false">IF(AND($Q1512&gt;0,$O1512&gt;=AtRank),$Q1512,0)</f>
        <v>0</v>
      </c>
      <c r="S1512" s="64" t="n">
        <f aca="false">IF(AND($Q1512&gt;0,$O1512&gt;=AboveRank),$Q1512,0)</f>
        <v>0</v>
      </c>
      <c r="T1512" s="64" t="n">
        <f aca="false">IF($K1512="Less",$P1512,0)</f>
        <v>0</v>
      </c>
      <c r="U1512" s="64" t="n">
        <f aca="false">IF($K1512="Expected",$P1512,0)</f>
        <v>0</v>
      </c>
      <c r="V1512" s="64" t="n">
        <f aca="false">IF($K1512="Better",$P1512,0)</f>
        <v>0</v>
      </c>
      <c r="W1512" s="64" t="n">
        <f aca="false">IF($K1512="U – needs rule",$P1512,0)</f>
        <v>0</v>
      </c>
      <c r="X1512" s="64" t="n">
        <f aca="false">IF($K1512="No Start (attainment only)",$P1512,0)</f>
        <v>0</v>
      </c>
    </row>
    <row r="1513" customFormat="false" ht="15" hidden="false" customHeight="false" outlineLevel="0" collapsed="false">
      <c r="A1513" s="60"/>
      <c r="B1513" s="61" t="str">
        <f aca="false">IF($M1513=0,"",INDEX(Classes!$E$6:$E$420,$M1513))</f>
        <v/>
      </c>
      <c r="C1513" s="62" t="str">
        <f aca="false">IF($M1513=0,"",INDEX(Classes!$H$6:$H$420,$M1513))</f>
        <v/>
      </c>
      <c r="D1513" s="61" t="str">
        <f aca="false">IF($M1513=0,"",INDEX(Classes!$B$6:$B$420,$M1513))</f>
        <v/>
      </c>
      <c r="E1513" s="61" t="str">
        <f aca="false">IF($M1513=0,"",INDEX(Classes!$C$6:$C$420,$M1513))</f>
        <v/>
      </c>
      <c r="F1513" s="63"/>
      <c r="G1513" s="63"/>
      <c r="H1513" s="60"/>
      <c r="I1513" s="60"/>
      <c r="J1513" s="63"/>
      <c r="K1513" s="61" t="str">
        <f aca="false">IF($P1513=0,"",IF($F1513="Baseline","— Baseline",IF($O1513=0,"No result",IF($N1513=0,"No Start (attainment only)",IF(OR($N1513=1,$O1513=1),"U – needs rule",INDEX(MxBody,MATCH($I1513,MxCurr,0),MATCH($H1513,MxStart,0)))))))</f>
        <v/>
      </c>
      <c r="L1513" s="62" t="str">
        <f aca="false">IF(COUNTA($A1513,$F1513,$G1513,$H1513,$I1513,$J1513)=0,"",IF($M1513=0,"✖ كود الصف غير موجود",IF(ISNA(MATCH($F1513,Lists!$A$2:$A$5,0)),"✖ الفترة غير صحيحة",IF(ISNA(MATCH($G1513,Lists!$B$2:$B$7,0)),"✖ المجموعة غير صحيحة",IF(NOT(OR($H1513="",$N1513&gt;0)),"✖ Start غير صحيح",IF(NOT(OR($I1513="",$I1513="NR",$O1513&gt;0)),"✖ Current غير صحيح",IF(NOT(IF(ISNUMBER($J1513),AND($J1513&gt;=0,$J1513=INT($J1513)),FALSE())),"✖ العدد يجب أن يكون صحيحًا ≥ 0",IF(AND($F1513="Baseline",$H1513&lt;&gt;""),"⚠ Baseline: Start لا يدخل في التقدم",IF($K1513="No Start (attainment only)","ℹ تحصيل فقط (بدون Start)",IF($K1513="U – needs rule","ℹ حالة U تحتاج قاعدة معتمدة",IF($K1513="No result","ℹ بدون نتيجة (يُستبعد من التحصيل)","OK")))))))))))</f>
        <v/>
      </c>
      <c r="M1513" s="64" t="n">
        <f aca="false">IF($A1513="",0,IFERROR(MATCH($A1513,Classes!$A$6:$A$420,0),0))</f>
        <v>0</v>
      </c>
      <c r="N1513" s="64" t="n">
        <f aca="false">IF($H1513="",0,IFERROR(MATCH($H1513,GradeList,0),0))</f>
        <v>0</v>
      </c>
      <c r="O1513" s="64" t="n">
        <f aca="false">IF(OR($I1513="",$I1513="NR"),0,IFERROR(MATCH($I1513,GradeList,0),0))</f>
        <v>0</v>
      </c>
      <c r="P1513" s="64" t="n">
        <f aca="false">IF(AND($M1513&gt;0,ISNUMBER(MATCH($F1513,Lists!$A$2:$A$5,0)),ISNUMBER(MATCH($G1513,Lists!$B$2:$B$7,0)),OR($H1513="",$N1513&gt;0),OR($I1513="",$I1513="NR",$O1513&gt;0),IF(ISNUMBER($J1513),AND($J1513&gt;=0,$J1513=INT($J1513)),FALSE())),$J1513,0)</f>
        <v>0</v>
      </c>
      <c r="Q1513" s="64" t="n">
        <f aca="false">IF(AND($P1513&gt;0,$O1513&gt;0),$P1513,0)</f>
        <v>0</v>
      </c>
      <c r="R1513" s="64" t="n">
        <f aca="false">IF(AND($Q1513&gt;0,$O1513&gt;=AtRank),$Q1513,0)</f>
        <v>0</v>
      </c>
      <c r="S1513" s="64" t="n">
        <f aca="false">IF(AND($Q1513&gt;0,$O1513&gt;=AboveRank),$Q1513,0)</f>
        <v>0</v>
      </c>
      <c r="T1513" s="64" t="n">
        <f aca="false">IF($K1513="Less",$P1513,0)</f>
        <v>0</v>
      </c>
      <c r="U1513" s="64" t="n">
        <f aca="false">IF($K1513="Expected",$P1513,0)</f>
        <v>0</v>
      </c>
      <c r="V1513" s="64" t="n">
        <f aca="false">IF($K1513="Better",$P1513,0)</f>
        <v>0</v>
      </c>
      <c r="W1513" s="64" t="n">
        <f aca="false">IF($K1513="U – needs rule",$P1513,0)</f>
        <v>0</v>
      </c>
      <c r="X1513" s="64" t="n">
        <f aca="false">IF($K1513="No Start (attainment only)",$P1513,0)</f>
        <v>0</v>
      </c>
    </row>
    <row r="1514" customFormat="false" ht="15" hidden="false" customHeight="false" outlineLevel="0" collapsed="false">
      <c r="A1514" s="60"/>
      <c r="B1514" s="61" t="str">
        <f aca="false">IF($M1514=0,"",INDEX(Classes!$E$6:$E$420,$M1514))</f>
        <v/>
      </c>
      <c r="C1514" s="62" t="str">
        <f aca="false">IF($M1514=0,"",INDEX(Classes!$H$6:$H$420,$M1514))</f>
        <v/>
      </c>
      <c r="D1514" s="61" t="str">
        <f aca="false">IF($M1514=0,"",INDEX(Classes!$B$6:$B$420,$M1514))</f>
        <v/>
      </c>
      <c r="E1514" s="61" t="str">
        <f aca="false">IF($M1514=0,"",INDEX(Classes!$C$6:$C$420,$M1514))</f>
        <v/>
      </c>
      <c r="F1514" s="63"/>
      <c r="G1514" s="63"/>
      <c r="H1514" s="60"/>
      <c r="I1514" s="60"/>
      <c r="J1514" s="63"/>
      <c r="K1514" s="61" t="str">
        <f aca="false">IF($P1514=0,"",IF($F1514="Baseline","— Baseline",IF($O1514=0,"No result",IF($N1514=0,"No Start (attainment only)",IF(OR($N1514=1,$O1514=1),"U – needs rule",INDEX(MxBody,MATCH($I1514,MxCurr,0),MATCH($H1514,MxStart,0)))))))</f>
        <v/>
      </c>
      <c r="L1514" s="62" t="str">
        <f aca="false">IF(COUNTA($A1514,$F1514,$G1514,$H1514,$I1514,$J1514)=0,"",IF($M1514=0,"✖ كود الصف غير موجود",IF(ISNA(MATCH($F1514,Lists!$A$2:$A$5,0)),"✖ الفترة غير صحيحة",IF(ISNA(MATCH($G1514,Lists!$B$2:$B$7,0)),"✖ المجموعة غير صحيحة",IF(NOT(OR($H1514="",$N1514&gt;0)),"✖ Start غير صحيح",IF(NOT(OR($I1514="",$I1514="NR",$O1514&gt;0)),"✖ Current غير صحيح",IF(NOT(IF(ISNUMBER($J1514),AND($J1514&gt;=0,$J1514=INT($J1514)),FALSE())),"✖ العدد يجب أن يكون صحيحًا ≥ 0",IF(AND($F1514="Baseline",$H1514&lt;&gt;""),"⚠ Baseline: Start لا يدخل في التقدم",IF($K1514="No Start (attainment only)","ℹ تحصيل فقط (بدون Start)",IF($K1514="U – needs rule","ℹ حالة U تحتاج قاعدة معتمدة",IF($K1514="No result","ℹ بدون نتيجة (يُستبعد من التحصيل)","OK")))))))))))</f>
        <v/>
      </c>
      <c r="M1514" s="64" t="n">
        <f aca="false">IF($A1514="",0,IFERROR(MATCH($A1514,Classes!$A$6:$A$420,0),0))</f>
        <v>0</v>
      </c>
      <c r="N1514" s="64" t="n">
        <f aca="false">IF($H1514="",0,IFERROR(MATCH($H1514,GradeList,0),0))</f>
        <v>0</v>
      </c>
      <c r="O1514" s="64" t="n">
        <f aca="false">IF(OR($I1514="",$I1514="NR"),0,IFERROR(MATCH($I1514,GradeList,0),0))</f>
        <v>0</v>
      </c>
      <c r="P1514" s="64" t="n">
        <f aca="false">IF(AND($M1514&gt;0,ISNUMBER(MATCH($F1514,Lists!$A$2:$A$5,0)),ISNUMBER(MATCH($G1514,Lists!$B$2:$B$7,0)),OR($H1514="",$N1514&gt;0),OR($I1514="",$I1514="NR",$O1514&gt;0),IF(ISNUMBER($J1514),AND($J1514&gt;=0,$J1514=INT($J1514)),FALSE())),$J1514,0)</f>
        <v>0</v>
      </c>
      <c r="Q1514" s="64" t="n">
        <f aca="false">IF(AND($P1514&gt;0,$O1514&gt;0),$P1514,0)</f>
        <v>0</v>
      </c>
      <c r="R1514" s="64" t="n">
        <f aca="false">IF(AND($Q1514&gt;0,$O1514&gt;=AtRank),$Q1514,0)</f>
        <v>0</v>
      </c>
      <c r="S1514" s="64" t="n">
        <f aca="false">IF(AND($Q1514&gt;0,$O1514&gt;=AboveRank),$Q1514,0)</f>
        <v>0</v>
      </c>
      <c r="T1514" s="64" t="n">
        <f aca="false">IF($K1514="Less",$P1514,0)</f>
        <v>0</v>
      </c>
      <c r="U1514" s="64" t="n">
        <f aca="false">IF($K1514="Expected",$P1514,0)</f>
        <v>0</v>
      </c>
      <c r="V1514" s="64" t="n">
        <f aca="false">IF($K1514="Better",$P1514,0)</f>
        <v>0</v>
      </c>
      <c r="W1514" s="64" t="n">
        <f aca="false">IF($K1514="U – needs rule",$P1514,0)</f>
        <v>0</v>
      </c>
      <c r="X1514" s="64" t="n">
        <f aca="false">IF($K1514="No Start (attainment only)",$P1514,0)</f>
        <v>0</v>
      </c>
    </row>
    <row r="1515" customFormat="false" ht="15" hidden="false" customHeight="false" outlineLevel="0" collapsed="false">
      <c r="A1515" s="60"/>
      <c r="B1515" s="61" t="str">
        <f aca="false">IF($M1515=0,"",INDEX(Classes!$E$6:$E$420,$M1515))</f>
        <v/>
      </c>
      <c r="C1515" s="62" t="str">
        <f aca="false">IF($M1515=0,"",INDEX(Classes!$H$6:$H$420,$M1515))</f>
        <v/>
      </c>
      <c r="D1515" s="61" t="str">
        <f aca="false">IF($M1515=0,"",INDEX(Classes!$B$6:$B$420,$M1515))</f>
        <v/>
      </c>
      <c r="E1515" s="61" t="str">
        <f aca="false">IF($M1515=0,"",INDEX(Classes!$C$6:$C$420,$M1515))</f>
        <v/>
      </c>
      <c r="F1515" s="63"/>
      <c r="G1515" s="63"/>
      <c r="H1515" s="60"/>
      <c r="I1515" s="60"/>
      <c r="J1515" s="63"/>
      <c r="K1515" s="61" t="str">
        <f aca="false">IF($P1515=0,"",IF($F1515="Baseline","— Baseline",IF($O1515=0,"No result",IF($N1515=0,"No Start (attainment only)",IF(OR($N1515=1,$O1515=1),"U – needs rule",INDEX(MxBody,MATCH($I1515,MxCurr,0),MATCH($H1515,MxStart,0)))))))</f>
        <v/>
      </c>
      <c r="L1515" s="62" t="str">
        <f aca="false">IF(COUNTA($A1515,$F1515,$G1515,$H1515,$I1515,$J1515)=0,"",IF($M1515=0,"✖ كود الصف غير موجود",IF(ISNA(MATCH($F1515,Lists!$A$2:$A$5,0)),"✖ الفترة غير صحيحة",IF(ISNA(MATCH($G1515,Lists!$B$2:$B$7,0)),"✖ المجموعة غير صحيحة",IF(NOT(OR($H1515="",$N1515&gt;0)),"✖ Start غير صحيح",IF(NOT(OR($I1515="",$I1515="NR",$O1515&gt;0)),"✖ Current غير صحيح",IF(NOT(IF(ISNUMBER($J1515),AND($J1515&gt;=0,$J1515=INT($J1515)),FALSE())),"✖ العدد يجب أن يكون صحيحًا ≥ 0",IF(AND($F1515="Baseline",$H1515&lt;&gt;""),"⚠ Baseline: Start لا يدخل في التقدم",IF($K1515="No Start (attainment only)","ℹ تحصيل فقط (بدون Start)",IF($K1515="U – needs rule","ℹ حالة U تحتاج قاعدة معتمدة",IF($K1515="No result","ℹ بدون نتيجة (يُستبعد من التحصيل)","OK")))))))))))</f>
        <v/>
      </c>
      <c r="M1515" s="64" t="n">
        <f aca="false">IF($A1515="",0,IFERROR(MATCH($A1515,Classes!$A$6:$A$420,0),0))</f>
        <v>0</v>
      </c>
      <c r="N1515" s="64" t="n">
        <f aca="false">IF($H1515="",0,IFERROR(MATCH($H1515,GradeList,0),0))</f>
        <v>0</v>
      </c>
      <c r="O1515" s="64" t="n">
        <f aca="false">IF(OR($I1515="",$I1515="NR"),0,IFERROR(MATCH($I1515,GradeList,0),0))</f>
        <v>0</v>
      </c>
      <c r="P1515" s="64" t="n">
        <f aca="false">IF(AND($M1515&gt;0,ISNUMBER(MATCH($F1515,Lists!$A$2:$A$5,0)),ISNUMBER(MATCH($G1515,Lists!$B$2:$B$7,0)),OR($H1515="",$N1515&gt;0),OR($I1515="",$I1515="NR",$O1515&gt;0),IF(ISNUMBER($J1515),AND($J1515&gt;=0,$J1515=INT($J1515)),FALSE())),$J1515,0)</f>
        <v>0</v>
      </c>
      <c r="Q1515" s="64" t="n">
        <f aca="false">IF(AND($P1515&gt;0,$O1515&gt;0),$P1515,0)</f>
        <v>0</v>
      </c>
      <c r="R1515" s="64" t="n">
        <f aca="false">IF(AND($Q1515&gt;0,$O1515&gt;=AtRank),$Q1515,0)</f>
        <v>0</v>
      </c>
      <c r="S1515" s="64" t="n">
        <f aca="false">IF(AND($Q1515&gt;0,$O1515&gt;=AboveRank),$Q1515,0)</f>
        <v>0</v>
      </c>
      <c r="T1515" s="64" t="n">
        <f aca="false">IF($K1515="Less",$P1515,0)</f>
        <v>0</v>
      </c>
      <c r="U1515" s="64" t="n">
        <f aca="false">IF($K1515="Expected",$P1515,0)</f>
        <v>0</v>
      </c>
      <c r="V1515" s="64" t="n">
        <f aca="false">IF($K1515="Better",$P1515,0)</f>
        <v>0</v>
      </c>
      <c r="W1515" s="64" t="n">
        <f aca="false">IF($K1515="U – needs rule",$P1515,0)</f>
        <v>0</v>
      </c>
      <c r="X1515" s="64" t="n">
        <f aca="false">IF($K1515="No Start (attainment only)",$P1515,0)</f>
        <v>0</v>
      </c>
    </row>
    <row r="1516" customFormat="false" ht="15" hidden="false" customHeight="false" outlineLevel="0" collapsed="false">
      <c r="A1516" s="60"/>
      <c r="B1516" s="61" t="str">
        <f aca="false">IF($M1516=0,"",INDEX(Classes!$E$6:$E$420,$M1516))</f>
        <v/>
      </c>
      <c r="C1516" s="62" t="str">
        <f aca="false">IF($M1516=0,"",INDEX(Classes!$H$6:$H$420,$M1516))</f>
        <v/>
      </c>
      <c r="D1516" s="61" t="str">
        <f aca="false">IF($M1516=0,"",INDEX(Classes!$B$6:$B$420,$M1516))</f>
        <v/>
      </c>
      <c r="E1516" s="61" t="str">
        <f aca="false">IF($M1516=0,"",INDEX(Classes!$C$6:$C$420,$M1516))</f>
        <v/>
      </c>
      <c r="F1516" s="63"/>
      <c r="G1516" s="63"/>
      <c r="H1516" s="60"/>
      <c r="I1516" s="60"/>
      <c r="J1516" s="63"/>
      <c r="K1516" s="61" t="str">
        <f aca="false">IF($P1516=0,"",IF($F1516="Baseline","— Baseline",IF($O1516=0,"No result",IF($N1516=0,"No Start (attainment only)",IF(OR($N1516=1,$O1516=1),"U – needs rule",INDEX(MxBody,MATCH($I1516,MxCurr,0),MATCH($H1516,MxStart,0)))))))</f>
        <v/>
      </c>
      <c r="L1516" s="62" t="str">
        <f aca="false">IF(COUNTA($A1516,$F1516,$G1516,$H1516,$I1516,$J1516)=0,"",IF($M1516=0,"✖ كود الصف غير موجود",IF(ISNA(MATCH($F1516,Lists!$A$2:$A$5,0)),"✖ الفترة غير صحيحة",IF(ISNA(MATCH($G1516,Lists!$B$2:$B$7,0)),"✖ المجموعة غير صحيحة",IF(NOT(OR($H1516="",$N1516&gt;0)),"✖ Start غير صحيح",IF(NOT(OR($I1516="",$I1516="NR",$O1516&gt;0)),"✖ Current غير صحيح",IF(NOT(IF(ISNUMBER($J1516),AND($J1516&gt;=0,$J1516=INT($J1516)),FALSE())),"✖ العدد يجب أن يكون صحيحًا ≥ 0",IF(AND($F1516="Baseline",$H1516&lt;&gt;""),"⚠ Baseline: Start لا يدخل في التقدم",IF($K1516="No Start (attainment only)","ℹ تحصيل فقط (بدون Start)",IF($K1516="U – needs rule","ℹ حالة U تحتاج قاعدة معتمدة",IF($K1516="No result","ℹ بدون نتيجة (يُستبعد من التحصيل)","OK")))))))))))</f>
        <v/>
      </c>
      <c r="M1516" s="64" t="n">
        <f aca="false">IF($A1516="",0,IFERROR(MATCH($A1516,Classes!$A$6:$A$420,0),0))</f>
        <v>0</v>
      </c>
      <c r="N1516" s="64" t="n">
        <f aca="false">IF($H1516="",0,IFERROR(MATCH($H1516,GradeList,0),0))</f>
        <v>0</v>
      </c>
      <c r="O1516" s="64" t="n">
        <f aca="false">IF(OR($I1516="",$I1516="NR"),0,IFERROR(MATCH($I1516,GradeList,0),0))</f>
        <v>0</v>
      </c>
      <c r="P1516" s="64" t="n">
        <f aca="false">IF(AND($M1516&gt;0,ISNUMBER(MATCH($F1516,Lists!$A$2:$A$5,0)),ISNUMBER(MATCH($G1516,Lists!$B$2:$B$7,0)),OR($H1516="",$N1516&gt;0),OR($I1516="",$I1516="NR",$O1516&gt;0),IF(ISNUMBER($J1516),AND($J1516&gt;=0,$J1516=INT($J1516)),FALSE())),$J1516,0)</f>
        <v>0</v>
      </c>
      <c r="Q1516" s="64" t="n">
        <f aca="false">IF(AND($P1516&gt;0,$O1516&gt;0),$P1516,0)</f>
        <v>0</v>
      </c>
      <c r="R1516" s="64" t="n">
        <f aca="false">IF(AND($Q1516&gt;0,$O1516&gt;=AtRank),$Q1516,0)</f>
        <v>0</v>
      </c>
      <c r="S1516" s="64" t="n">
        <f aca="false">IF(AND($Q1516&gt;0,$O1516&gt;=AboveRank),$Q1516,0)</f>
        <v>0</v>
      </c>
      <c r="T1516" s="64" t="n">
        <f aca="false">IF($K1516="Less",$P1516,0)</f>
        <v>0</v>
      </c>
      <c r="U1516" s="64" t="n">
        <f aca="false">IF($K1516="Expected",$P1516,0)</f>
        <v>0</v>
      </c>
      <c r="V1516" s="64" t="n">
        <f aca="false">IF($K1516="Better",$P1516,0)</f>
        <v>0</v>
      </c>
      <c r="W1516" s="64" t="n">
        <f aca="false">IF($K1516="U – needs rule",$P1516,0)</f>
        <v>0</v>
      </c>
      <c r="X1516" s="64" t="n">
        <f aca="false">IF($K1516="No Start (attainment only)",$P1516,0)</f>
        <v>0</v>
      </c>
    </row>
    <row r="1517" customFormat="false" ht="15" hidden="false" customHeight="false" outlineLevel="0" collapsed="false">
      <c r="A1517" s="60"/>
      <c r="B1517" s="61" t="str">
        <f aca="false">IF($M1517=0,"",INDEX(Classes!$E$6:$E$420,$M1517))</f>
        <v/>
      </c>
      <c r="C1517" s="62" t="str">
        <f aca="false">IF($M1517=0,"",INDEX(Classes!$H$6:$H$420,$M1517))</f>
        <v/>
      </c>
      <c r="D1517" s="61" t="str">
        <f aca="false">IF($M1517=0,"",INDEX(Classes!$B$6:$B$420,$M1517))</f>
        <v/>
      </c>
      <c r="E1517" s="61" t="str">
        <f aca="false">IF($M1517=0,"",INDEX(Classes!$C$6:$C$420,$M1517))</f>
        <v/>
      </c>
      <c r="F1517" s="63"/>
      <c r="G1517" s="63"/>
      <c r="H1517" s="60"/>
      <c r="I1517" s="60"/>
      <c r="J1517" s="63"/>
      <c r="K1517" s="61" t="str">
        <f aca="false">IF($P1517=0,"",IF($F1517="Baseline","— Baseline",IF($O1517=0,"No result",IF($N1517=0,"No Start (attainment only)",IF(OR($N1517=1,$O1517=1),"U – needs rule",INDEX(MxBody,MATCH($I1517,MxCurr,0),MATCH($H1517,MxStart,0)))))))</f>
        <v/>
      </c>
      <c r="L1517" s="62" t="str">
        <f aca="false">IF(COUNTA($A1517,$F1517,$G1517,$H1517,$I1517,$J1517)=0,"",IF($M1517=0,"✖ كود الصف غير موجود",IF(ISNA(MATCH($F1517,Lists!$A$2:$A$5,0)),"✖ الفترة غير صحيحة",IF(ISNA(MATCH($G1517,Lists!$B$2:$B$7,0)),"✖ المجموعة غير صحيحة",IF(NOT(OR($H1517="",$N1517&gt;0)),"✖ Start غير صحيح",IF(NOT(OR($I1517="",$I1517="NR",$O1517&gt;0)),"✖ Current غير صحيح",IF(NOT(IF(ISNUMBER($J1517),AND($J1517&gt;=0,$J1517=INT($J1517)),FALSE())),"✖ العدد يجب أن يكون صحيحًا ≥ 0",IF(AND($F1517="Baseline",$H1517&lt;&gt;""),"⚠ Baseline: Start لا يدخل في التقدم",IF($K1517="No Start (attainment only)","ℹ تحصيل فقط (بدون Start)",IF($K1517="U – needs rule","ℹ حالة U تحتاج قاعدة معتمدة",IF($K1517="No result","ℹ بدون نتيجة (يُستبعد من التحصيل)","OK")))))))))))</f>
        <v/>
      </c>
      <c r="M1517" s="64" t="n">
        <f aca="false">IF($A1517="",0,IFERROR(MATCH($A1517,Classes!$A$6:$A$420,0),0))</f>
        <v>0</v>
      </c>
      <c r="N1517" s="64" t="n">
        <f aca="false">IF($H1517="",0,IFERROR(MATCH($H1517,GradeList,0),0))</f>
        <v>0</v>
      </c>
      <c r="O1517" s="64" t="n">
        <f aca="false">IF(OR($I1517="",$I1517="NR"),0,IFERROR(MATCH($I1517,GradeList,0),0))</f>
        <v>0</v>
      </c>
      <c r="P1517" s="64" t="n">
        <f aca="false">IF(AND($M1517&gt;0,ISNUMBER(MATCH($F1517,Lists!$A$2:$A$5,0)),ISNUMBER(MATCH($G1517,Lists!$B$2:$B$7,0)),OR($H1517="",$N1517&gt;0),OR($I1517="",$I1517="NR",$O1517&gt;0),IF(ISNUMBER($J1517),AND($J1517&gt;=0,$J1517=INT($J1517)),FALSE())),$J1517,0)</f>
        <v>0</v>
      </c>
      <c r="Q1517" s="64" t="n">
        <f aca="false">IF(AND($P1517&gt;0,$O1517&gt;0),$P1517,0)</f>
        <v>0</v>
      </c>
      <c r="R1517" s="64" t="n">
        <f aca="false">IF(AND($Q1517&gt;0,$O1517&gt;=AtRank),$Q1517,0)</f>
        <v>0</v>
      </c>
      <c r="S1517" s="64" t="n">
        <f aca="false">IF(AND($Q1517&gt;0,$O1517&gt;=AboveRank),$Q1517,0)</f>
        <v>0</v>
      </c>
      <c r="T1517" s="64" t="n">
        <f aca="false">IF($K1517="Less",$P1517,0)</f>
        <v>0</v>
      </c>
      <c r="U1517" s="64" t="n">
        <f aca="false">IF($K1517="Expected",$P1517,0)</f>
        <v>0</v>
      </c>
      <c r="V1517" s="64" t="n">
        <f aca="false">IF($K1517="Better",$P1517,0)</f>
        <v>0</v>
      </c>
      <c r="W1517" s="64" t="n">
        <f aca="false">IF($K1517="U – needs rule",$P1517,0)</f>
        <v>0</v>
      </c>
      <c r="X1517" s="64" t="n">
        <f aca="false">IF($K1517="No Start (attainment only)",$P1517,0)</f>
        <v>0</v>
      </c>
    </row>
    <row r="1518" customFormat="false" ht="15" hidden="false" customHeight="false" outlineLevel="0" collapsed="false">
      <c r="A1518" s="60"/>
      <c r="B1518" s="61" t="str">
        <f aca="false">IF($M1518=0,"",INDEX(Classes!$E$6:$E$420,$M1518))</f>
        <v/>
      </c>
      <c r="C1518" s="62" t="str">
        <f aca="false">IF($M1518=0,"",INDEX(Classes!$H$6:$H$420,$M1518))</f>
        <v/>
      </c>
      <c r="D1518" s="61" t="str">
        <f aca="false">IF($M1518=0,"",INDEX(Classes!$B$6:$B$420,$M1518))</f>
        <v/>
      </c>
      <c r="E1518" s="61" t="str">
        <f aca="false">IF($M1518=0,"",INDEX(Classes!$C$6:$C$420,$M1518))</f>
        <v/>
      </c>
      <c r="F1518" s="63"/>
      <c r="G1518" s="63"/>
      <c r="H1518" s="60"/>
      <c r="I1518" s="60"/>
      <c r="J1518" s="63"/>
      <c r="K1518" s="61" t="str">
        <f aca="false">IF($P1518=0,"",IF($F1518="Baseline","— Baseline",IF($O1518=0,"No result",IF($N1518=0,"No Start (attainment only)",IF(OR($N1518=1,$O1518=1),"U – needs rule",INDEX(MxBody,MATCH($I1518,MxCurr,0),MATCH($H1518,MxStart,0)))))))</f>
        <v/>
      </c>
      <c r="L1518" s="62" t="str">
        <f aca="false">IF(COUNTA($A1518,$F1518,$G1518,$H1518,$I1518,$J1518)=0,"",IF($M1518=0,"✖ كود الصف غير موجود",IF(ISNA(MATCH($F1518,Lists!$A$2:$A$5,0)),"✖ الفترة غير صحيحة",IF(ISNA(MATCH($G1518,Lists!$B$2:$B$7,0)),"✖ المجموعة غير صحيحة",IF(NOT(OR($H1518="",$N1518&gt;0)),"✖ Start غير صحيح",IF(NOT(OR($I1518="",$I1518="NR",$O1518&gt;0)),"✖ Current غير صحيح",IF(NOT(IF(ISNUMBER($J1518),AND($J1518&gt;=0,$J1518=INT($J1518)),FALSE())),"✖ العدد يجب أن يكون صحيحًا ≥ 0",IF(AND($F1518="Baseline",$H1518&lt;&gt;""),"⚠ Baseline: Start لا يدخل في التقدم",IF($K1518="No Start (attainment only)","ℹ تحصيل فقط (بدون Start)",IF($K1518="U – needs rule","ℹ حالة U تحتاج قاعدة معتمدة",IF($K1518="No result","ℹ بدون نتيجة (يُستبعد من التحصيل)","OK")))))))))))</f>
        <v/>
      </c>
      <c r="M1518" s="64" t="n">
        <f aca="false">IF($A1518="",0,IFERROR(MATCH($A1518,Classes!$A$6:$A$420,0),0))</f>
        <v>0</v>
      </c>
      <c r="N1518" s="64" t="n">
        <f aca="false">IF($H1518="",0,IFERROR(MATCH($H1518,GradeList,0),0))</f>
        <v>0</v>
      </c>
      <c r="O1518" s="64" t="n">
        <f aca="false">IF(OR($I1518="",$I1518="NR"),0,IFERROR(MATCH($I1518,GradeList,0),0))</f>
        <v>0</v>
      </c>
      <c r="P1518" s="64" t="n">
        <f aca="false">IF(AND($M1518&gt;0,ISNUMBER(MATCH($F1518,Lists!$A$2:$A$5,0)),ISNUMBER(MATCH($G1518,Lists!$B$2:$B$7,0)),OR($H1518="",$N1518&gt;0),OR($I1518="",$I1518="NR",$O1518&gt;0),IF(ISNUMBER($J1518),AND($J1518&gt;=0,$J1518=INT($J1518)),FALSE())),$J1518,0)</f>
        <v>0</v>
      </c>
      <c r="Q1518" s="64" t="n">
        <f aca="false">IF(AND($P1518&gt;0,$O1518&gt;0),$P1518,0)</f>
        <v>0</v>
      </c>
      <c r="R1518" s="64" t="n">
        <f aca="false">IF(AND($Q1518&gt;0,$O1518&gt;=AtRank),$Q1518,0)</f>
        <v>0</v>
      </c>
      <c r="S1518" s="64" t="n">
        <f aca="false">IF(AND($Q1518&gt;0,$O1518&gt;=AboveRank),$Q1518,0)</f>
        <v>0</v>
      </c>
      <c r="T1518" s="64" t="n">
        <f aca="false">IF($K1518="Less",$P1518,0)</f>
        <v>0</v>
      </c>
      <c r="U1518" s="64" t="n">
        <f aca="false">IF($K1518="Expected",$P1518,0)</f>
        <v>0</v>
      </c>
      <c r="V1518" s="64" t="n">
        <f aca="false">IF($K1518="Better",$P1518,0)</f>
        <v>0</v>
      </c>
      <c r="W1518" s="64" t="n">
        <f aca="false">IF($K1518="U – needs rule",$P1518,0)</f>
        <v>0</v>
      </c>
      <c r="X1518" s="64" t="n">
        <f aca="false">IF($K1518="No Start (attainment only)",$P1518,0)</f>
        <v>0</v>
      </c>
    </row>
    <row r="1519" customFormat="false" ht="15" hidden="false" customHeight="false" outlineLevel="0" collapsed="false">
      <c r="A1519" s="60"/>
      <c r="B1519" s="61" t="str">
        <f aca="false">IF($M1519=0,"",INDEX(Classes!$E$6:$E$420,$M1519))</f>
        <v/>
      </c>
      <c r="C1519" s="62" t="str">
        <f aca="false">IF($M1519=0,"",INDEX(Classes!$H$6:$H$420,$M1519))</f>
        <v/>
      </c>
      <c r="D1519" s="61" t="str">
        <f aca="false">IF($M1519=0,"",INDEX(Classes!$B$6:$B$420,$M1519))</f>
        <v/>
      </c>
      <c r="E1519" s="61" t="str">
        <f aca="false">IF($M1519=0,"",INDEX(Classes!$C$6:$C$420,$M1519))</f>
        <v/>
      </c>
      <c r="F1519" s="63"/>
      <c r="G1519" s="63"/>
      <c r="H1519" s="60"/>
      <c r="I1519" s="60"/>
      <c r="J1519" s="63"/>
      <c r="K1519" s="61" t="str">
        <f aca="false">IF($P1519=0,"",IF($F1519="Baseline","— Baseline",IF($O1519=0,"No result",IF($N1519=0,"No Start (attainment only)",IF(OR($N1519=1,$O1519=1),"U – needs rule",INDEX(MxBody,MATCH($I1519,MxCurr,0),MATCH($H1519,MxStart,0)))))))</f>
        <v/>
      </c>
      <c r="L1519" s="62" t="str">
        <f aca="false">IF(COUNTA($A1519,$F1519,$G1519,$H1519,$I1519,$J1519)=0,"",IF($M1519=0,"✖ كود الصف غير موجود",IF(ISNA(MATCH($F1519,Lists!$A$2:$A$5,0)),"✖ الفترة غير صحيحة",IF(ISNA(MATCH($G1519,Lists!$B$2:$B$7,0)),"✖ المجموعة غير صحيحة",IF(NOT(OR($H1519="",$N1519&gt;0)),"✖ Start غير صحيح",IF(NOT(OR($I1519="",$I1519="NR",$O1519&gt;0)),"✖ Current غير صحيح",IF(NOT(IF(ISNUMBER($J1519),AND($J1519&gt;=0,$J1519=INT($J1519)),FALSE())),"✖ العدد يجب أن يكون صحيحًا ≥ 0",IF(AND($F1519="Baseline",$H1519&lt;&gt;""),"⚠ Baseline: Start لا يدخل في التقدم",IF($K1519="No Start (attainment only)","ℹ تحصيل فقط (بدون Start)",IF($K1519="U – needs rule","ℹ حالة U تحتاج قاعدة معتمدة",IF($K1519="No result","ℹ بدون نتيجة (يُستبعد من التحصيل)","OK")))))))))))</f>
        <v/>
      </c>
      <c r="M1519" s="64" t="n">
        <f aca="false">IF($A1519="",0,IFERROR(MATCH($A1519,Classes!$A$6:$A$420,0),0))</f>
        <v>0</v>
      </c>
      <c r="N1519" s="64" t="n">
        <f aca="false">IF($H1519="",0,IFERROR(MATCH($H1519,GradeList,0),0))</f>
        <v>0</v>
      </c>
      <c r="O1519" s="64" t="n">
        <f aca="false">IF(OR($I1519="",$I1519="NR"),0,IFERROR(MATCH($I1519,GradeList,0),0))</f>
        <v>0</v>
      </c>
      <c r="P1519" s="64" t="n">
        <f aca="false">IF(AND($M1519&gt;0,ISNUMBER(MATCH($F1519,Lists!$A$2:$A$5,0)),ISNUMBER(MATCH($G1519,Lists!$B$2:$B$7,0)),OR($H1519="",$N1519&gt;0),OR($I1519="",$I1519="NR",$O1519&gt;0),IF(ISNUMBER($J1519),AND($J1519&gt;=0,$J1519=INT($J1519)),FALSE())),$J1519,0)</f>
        <v>0</v>
      </c>
      <c r="Q1519" s="64" t="n">
        <f aca="false">IF(AND($P1519&gt;0,$O1519&gt;0),$P1519,0)</f>
        <v>0</v>
      </c>
      <c r="R1519" s="64" t="n">
        <f aca="false">IF(AND($Q1519&gt;0,$O1519&gt;=AtRank),$Q1519,0)</f>
        <v>0</v>
      </c>
      <c r="S1519" s="64" t="n">
        <f aca="false">IF(AND($Q1519&gt;0,$O1519&gt;=AboveRank),$Q1519,0)</f>
        <v>0</v>
      </c>
      <c r="T1519" s="64" t="n">
        <f aca="false">IF($K1519="Less",$P1519,0)</f>
        <v>0</v>
      </c>
      <c r="U1519" s="64" t="n">
        <f aca="false">IF($K1519="Expected",$P1519,0)</f>
        <v>0</v>
      </c>
      <c r="V1519" s="64" t="n">
        <f aca="false">IF($K1519="Better",$P1519,0)</f>
        <v>0</v>
      </c>
      <c r="W1519" s="64" t="n">
        <f aca="false">IF($K1519="U – needs rule",$P1519,0)</f>
        <v>0</v>
      </c>
      <c r="X1519" s="64" t="n">
        <f aca="false">IF($K1519="No Start (attainment only)",$P1519,0)</f>
        <v>0</v>
      </c>
    </row>
    <row r="1520" customFormat="false" ht="15" hidden="false" customHeight="false" outlineLevel="0" collapsed="false">
      <c r="A1520" s="60"/>
      <c r="B1520" s="61" t="str">
        <f aca="false">IF($M1520=0,"",INDEX(Classes!$E$6:$E$420,$M1520))</f>
        <v/>
      </c>
      <c r="C1520" s="62" t="str">
        <f aca="false">IF($M1520=0,"",INDEX(Classes!$H$6:$H$420,$M1520))</f>
        <v/>
      </c>
      <c r="D1520" s="61" t="str">
        <f aca="false">IF($M1520=0,"",INDEX(Classes!$B$6:$B$420,$M1520))</f>
        <v/>
      </c>
      <c r="E1520" s="61" t="str">
        <f aca="false">IF($M1520=0,"",INDEX(Classes!$C$6:$C$420,$M1520))</f>
        <v/>
      </c>
      <c r="F1520" s="63"/>
      <c r="G1520" s="63"/>
      <c r="H1520" s="60"/>
      <c r="I1520" s="60"/>
      <c r="J1520" s="63"/>
      <c r="K1520" s="61" t="str">
        <f aca="false">IF($P1520=0,"",IF($F1520="Baseline","— Baseline",IF($O1520=0,"No result",IF($N1520=0,"No Start (attainment only)",IF(OR($N1520=1,$O1520=1),"U – needs rule",INDEX(MxBody,MATCH($I1520,MxCurr,0),MATCH($H1520,MxStart,0)))))))</f>
        <v/>
      </c>
      <c r="L1520" s="62" t="str">
        <f aca="false">IF(COUNTA($A1520,$F1520,$G1520,$H1520,$I1520,$J1520)=0,"",IF($M1520=0,"✖ كود الصف غير موجود",IF(ISNA(MATCH($F1520,Lists!$A$2:$A$5,0)),"✖ الفترة غير صحيحة",IF(ISNA(MATCH($G1520,Lists!$B$2:$B$7,0)),"✖ المجموعة غير صحيحة",IF(NOT(OR($H1520="",$N1520&gt;0)),"✖ Start غير صحيح",IF(NOT(OR($I1520="",$I1520="NR",$O1520&gt;0)),"✖ Current غير صحيح",IF(NOT(IF(ISNUMBER($J1520),AND($J1520&gt;=0,$J1520=INT($J1520)),FALSE())),"✖ العدد يجب أن يكون صحيحًا ≥ 0",IF(AND($F1520="Baseline",$H1520&lt;&gt;""),"⚠ Baseline: Start لا يدخل في التقدم",IF($K1520="No Start (attainment only)","ℹ تحصيل فقط (بدون Start)",IF($K1520="U – needs rule","ℹ حالة U تحتاج قاعدة معتمدة",IF($K1520="No result","ℹ بدون نتيجة (يُستبعد من التحصيل)","OK")))))))))))</f>
        <v/>
      </c>
      <c r="M1520" s="64" t="n">
        <f aca="false">IF($A1520="",0,IFERROR(MATCH($A1520,Classes!$A$6:$A$420,0),0))</f>
        <v>0</v>
      </c>
      <c r="N1520" s="64" t="n">
        <f aca="false">IF($H1520="",0,IFERROR(MATCH($H1520,GradeList,0),0))</f>
        <v>0</v>
      </c>
      <c r="O1520" s="64" t="n">
        <f aca="false">IF(OR($I1520="",$I1520="NR"),0,IFERROR(MATCH($I1520,GradeList,0),0))</f>
        <v>0</v>
      </c>
      <c r="P1520" s="64" t="n">
        <f aca="false">IF(AND($M1520&gt;0,ISNUMBER(MATCH($F1520,Lists!$A$2:$A$5,0)),ISNUMBER(MATCH($G1520,Lists!$B$2:$B$7,0)),OR($H1520="",$N1520&gt;0),OR($I1520="",$I1520="NR",$O1520&gt;0),IF(ISNUMBER($J1520),AND($J1520&gt;=0,$J1520=INT($J1520)),FALSE())),$J1520,0)</f>
        <v>0</v>
      </c>
      <c r="Q1520" s="64" t="n">
        <f aca="false">IF(AND($P1520&gt;0,$O1520&gt;0),$P1520,0)</f>
        <v>0</v>
      </c>
      <c r="R1520" s="64" t="n">
        <f aca="false">IF(AND($Q1520&gt;0,$O1520&gt;=AtRank),$Q1520,0)</f>
        <v>0</v>
      </c>
      <c r="S1520" s="64" t="n">
        <f aca="false">IF(AND($Q1520&gt;0,$O1520&gt;=AboveRank),$Q1520,0)</f>
        <v>0</v>
      </c>
      <c r="T1520" s="64" t="n">
        <f aca="false">IF($K1520="Less",$P1520,0)</f>
        <v>0</v>
      </c>
      <c r="U1520" s="64" t="n">
        <f aca="false">IF($K1520="Expected",$P1520,0)</f>
        <v>0</v>
      </c>
      <c r="V1520" s="64" t="n">
        <f aca="false">IF($K1520="Better",$P1520,0)</f>
        <v>0</v>
      </c>
      <c r="W1520" s="64" t="n">
        <f aca="false">IF($K1520="U – needs rule",$P1520,0)</f>
        <v>0</v>
      </c>
      <c r="X1520" s="64" t="n">
        <f aca="false">IF($K1520="No Start (attainment only)",$P1520,0)</f>
        <v>0</v>
      </c>
    </row>
    <row r="1521" customFormat="false" ht="15" hidden="false" customHeight="false" outlineLevel="0" collapsed="false">
      <c r="A1521" s="60"/>
      <c r="B1521" s="61" t="str">
        <f aca="false">IF($M1521=0,"",INDEX(Classes!$E$6:$E$420,$M1521))</f>
        <v/>
      </c>
      <c r="C1521" s="62" t="str">
        <f aca="false">IF($M1521=0,"",INDEX(Classes!$H$6:$H$420,$M1521))</f>
        <v/>
      </c>
      <c r="D1521" s="61" t="str">
        <f aca="false">IF($M1521=0,"",INDEX(Classes!$B$6:$B$420,$M1521))</f>
        <v/>
      </c>
      <c r="E1521" s="61" t="str">
        <f aca="false">IF($M1521=0,"",INDEX(Classes!$C$6:$C$420,$M1521))</f>
        <v/>
      </c>
      <c r="F1521" s="63"/>
      <c r="G1521" s="63"/>
      <c r="H1521" s="60"/>
      <c r="I1521" s="60"/>
      <c r="J1521" s="63"/>
      <c r="K1521" s="61" t="str">
        <f aca="false">IF($P1521=0,"",IF($F1521="Baseline","— Baseline",IF($O1521=0,"No result",IF($N1521=0,"No Start (attainment only)",IF(OR($N1521=1,$O1521=1),"U – needs rule",INDEX(MxBody,MATCH($I1521,MxCurr,0),MATCH($H1521,MxStart,0)))))))</f>
        <v/>
      </c>
      <c r="L1521" s="62" t="str">
        <f aca="false">IF(COUNTA($A1521,$F1521,$G1521,$H1521,$I1521,$J1521)=0,"",IF($M1521=0,"✖ كود الصف غير موجود",IF(ISNA(MATCH($F1521,Lists!$A$2:$A$5,0)),"✖ الفترة غير صحيحة",IF(ISNA(MATCH($G1521,Lists!$B$2:$B$7,0)),"✖ المجموعة غير صحيحة",IF(NOT(OR($H1521="",$N1521&gt;0)),"✖ Start غير صحيح",IF(NOT(OR($I1521="",$I1521="NR",$O1521&gt;0)),"✖ Current غير صحيح",IF(NOT(IF(ISNUMBER($J1521),AND($J1521&gt;=0,$J1521=INT($J1521)),FALSE())),"✖ العدد يجب أن يكون صحيحًا ≥ 0",IF(AND($F1521="Baseline",$H1521&lt;&gt;""),"⚠ Baseline: Start لا يدخل في التقدم",IF($K1521="No Start (attainment only)","ℹ تحصيل فقط (بدون Start)",IF($K1521="U – needs rule","ℹ حالة U تحتاج قاعدة معتمدة",IF($K1521="No result","ℹ بدون نتيجة (يُستبعد من التحصيل)","OK")))))))))))</f>
        <v/>
      </c>
      <c r="M1521" s="64" t="n">
        <f aca="false">IF($A1521="",0,IFERROR(MATCH($A1521,Classes!$A$6:$A$420,0),0))</f>
        <v>0</v>
      </c>
      <c r="N1521" s="64" t="n">
        <f aca="false">IF($H1521="",0,IFERROR(MATCH($H1521,GradeList,0),0))</f>
        <v>0</v>
      </c>
      <c r="O1521" s="64" t="n">
        <f aca="false">IF(OR($I1521="",$I1521="NR"),0,IFERROR(MATCH($I1521,GradeList,0),0))</f>
        <v>0</v>
      </c>
      <c r="P1521" s="64" t="n">
        <f aca="false">IF(AND($M1521&gt;0,ISNUMBER(MATCH($F1521,Lists!$A$2:$A$5,0)),ISNUMBER(MATCH($G1521,Lists!$B$2:$B$7,0)),OR($H1521="",$N1521&gt;0),OR($I1521="",$I1521="NR",$O1521&gt;0),IF(ISNUMBER($J1521),AND($J1521&gt;=0,$J1521=INT($J1521)),FALSE())),$J1521,0)</f>
        <v>0</v>
      </c>
      <c r="Q1521" s="64" t="n">
        <f aca="false">IF(AND($P1521&gt;0,$O1521&gt;0),$P1521,0)</f>
        <v>0</v>
      </c>
      <c r="R1521" s="64" t="n">
        <f aca="false">IF(AND($Q1521&gt;0,$O1521&gt;=AtRank),$Q1521,0)</f>
        <v>0</v>
      </c>
      <c r="S1521" s="64" t="n">
        <f aca="false">IF(AND($Q1521&gt;0,$O1521&gt;=AboveRank),$Q1521,0)</f>
        <v>0</v>
      </c>
      <c r="T1521" s="64" t="n">
        <f aca="false">IF($K1521="Less",$P1521,0)</f>
        <v>0</v>
      </c>
      <c r="U1521" s="64" t="n">
        <f aca="false">IF($K1521="Expected",$P1521,0)</f>
        <v>0</v>
      </c>
      <c r="V1521" s="64" t="n">
        <f aca="false">IF($K1521="Better",$P1521,0)</f>
        <v>0</v>
      </c>
      <c r="W1521" s="64" t="n">
        <f aca="false">IF($K1521="U – needs rule",$P1521,0)</f>
        <v>0</v>
      </c>
      <c r="X1521" s="64" t="n">
        <f aca="false">IF($K1521="No Start (attainment only)",$P1521,0)</f>
        <v>0</v>
      </c>
    </row>
    <row r="1522" customFormat="false" ht="15" hidden="false" customHeight="false" outlineLevel="0" collapsed="false">
      <c r="A1522" s="60"/>
      <c r="B1522" s="61" t="str">
        <f aca="false">IF($M1522=0,"",INDEX(Classes!$E$6:$E$420,$M1522))</f>
        <v/>
      </c>
      <c r="C1522" s="62" t="str">
        <f aca="false">IF($M1522=0,"",INDEX(Classes!$H$6:$H$420,$M1522))</f>
        <v/>
      </c>
      <c r="D1522" s="61" t="str">
        <f aca="false">IF($M1522=0,"",INDEX(Classes!$B$6:$B$420,$M1522))</f>
        <v/>
      </c>
      <c r="E1522" s="61" t="str">
        <f aca="false">IF($M1522=0,"",INDEX(Classes!$C$6:$C$420,$M1522))</f>
        <v/>
      </c>
      <c r="F1522" s="63"/>
      <c r="G1522" s="63"/>
      <c r="H1522" s="60"/>
      <c r="I1522" s="60"/>
      <c r="J1522" s="63"/>
      <c r="K1522" s="61" t="str">
        <f aca="false">IF($P1522=0,"",IF($F1522="Baseline","— Baseline",IF($O1522=0,"No result",IF($N1522=0,"No Start (attainment only)",IF(OR($N1522=1,$O1522=1),"U – needs rule",INDEX(MxBody,MATCH($I1522,MxCurr,0),MATCH($H1522,MxStart,0)))))))</f>
        <v/>
      </c>
      <c r="L1522" s="62" t="str">
        <f aca="false">IF(COUNTA($A1522,$F1522,$G1522,$H1522,$I1522,$J1522)=0,"",IF($M1522=0,"✖ كود الصف غير موجود",IF(ISNA(MATCH($F1522,Lists!$A$2:$A$5,0)),"✖ الفترة غير صحيحة",IF(ISNA(MATCH($G1522,Lists!$B$2:$B$7,0)),"✖ المجموعة غير صحيحة",IF(NOT(OR($H1522="",$N1522&gt;0)),"✖ Start غير صحيح",IF(NOT(OR($I1522="",$I1522="NR",$O1522&gt;0)),"✖ Current غير صحيح",IF(NOT(IF(ISNUMBER($J1522),AND($J1522&gt;=0,$J1522=INT($J1522)),FALSE())),"✖ العدد يجب أن يكون صحيحًا ≥ 0",IF(AND($F1522="Baseline",$H1522&lt;&gt;""),"⚠ Baseline: Start لا يدخل في التقدم",IF($K1522="No Start (attainment only)","ℹ تحصيل فقط (بدون Start)",IF($K1522="U – needs rule","ℹ حالة U تحتاج قاعدة معتمدة",IF($K1522="No result","ℹ بدون نتيجة (يُستبعد من التحصيل)","OK")))))))))))</f>
        <v/>
      </c>
      <c r="M1522" s="64" t="n">
        <f aca="false">IF($A1522="",0,IFERROR(MATCH($A1522,Classes!$A$6:$A$420,0),0))</f>
        <v>0</v>
      </c>
      <c r="N1522" s="64" t="n">
        <f aca="false">IF($H1522="",0,IFERROR(MATCH($H1522,GradeList,0),0))</f>
        <v>0</v>
      </c>
      <c r="O1522" s="64" t="n">
        <f aca="false">IF(OR($I1522="",$I1522="NR"),0,IFERROR(MATCH($I1522,GradeList,0),0))</f>
        <v>0</v>
      </c>
      <c r="P1522" s="64" t="n">
        <f aca="false">IF(AND($M1522&gt;0,ISNUMBER(MATCH($F1522,Lists!$A$2:$A$5,0)),ISNUMBER(MATCH($G1522,Lists!$B$2:$B$7,0)),OR($H1522="",$N1522&gt;0),OR($I1522="",$I1522="NR",$O1522&gt;0),IF(ISNUMBER($J1522),AND($J1522&gt;=0,$J1522=INT($J1522)),FALSE())),$J1522,0)</f>
        <v>0</v>
      </c>
      <c r="Q1522" s="64" t="n">
        <f aca="false">IF(AND($P1522&gt;0,$O1522&gt;0),$P1522,0)</f>
        <v>0</v>
      </c>
      <c r="R1522" s="64" t="n">
        <f aca="false">IF(AND($Q1522&gt;0,$O1522&gt;=AtRank),$Q1522,0)</f>
        <v>0</v>
      </c>
      <c r="S1522" s="64" t="n">
        <f aca="false">IF(AND($Q1522&gt;0,$O1522&gt;=AboveRank),$Q1522,0)</f>
        <v>0</v>
      </c>
      <c r="T1522" s="64" t="n">
        <f aca="false">IF($K1522="Less",$P1522,0)</f>
        <v>0</v>
      </c>
      <c r="U1522" s="64" t="n">
        <f aca="false">IF($K1522="Expected",$P1522,0)</f>
        <v>0</v>
      </c>
      <c r="V1522" s="64" t="n">
        <f aca="false">IF($K1522="Better",$P1522,0)</f>
        <v>0</v>
      </c>
      <c r="W1522" s="64" t="n">
        <f aca="false">IF($K1522="U – needs rule",$P1522,0)</f>
        <v>0</v>
      </c>
      <c r="X1522" s="64" t="n">
        <f aca="false">IF($K1522="No Start (attainment only)",$P1522,0)</f>
        <v>0</v>
      </c>
    </row>
    <row r="1523" customFormat="false" ht="15" hidden="false" customHeight="false" outlineLevel="0" collapsed="false">
      <c r="A1523" s="60"/>
      <c r="B1523" s="61" t="str">
        <f aca="false">IF($M1523=0,"",INDEX(Classes!$E$6:$E$420,$M1523))</f>
        <v/>
      </c>
      <c r="C1523" s="62" t="str">
        <f aca="false">IF($M1523=0,"",INDEX(Classes!$H$6:$H$420,$M1523))</f>
        <v/>
      </c>
      <c r="D1523" s="61" t="str">
        <f aca="false">IF($M1523=0,"",INDEX(Classes!$B$6:$B$420,$M1523))</f>
        <v/>
      </c>
      <c r="E1523" s="61" t="str">
        <f aca="false">IF($M1523=0,"",INDEX(Classes!$C$6:$C$420,$M1523))</f>
        <v/>
      </c>
      <c r="F1523" s="63"/>
      <c r="G1523" s="63"/>
      <c r="H1523" s="60"/>
      <c r="I1523" s="60"/>
      <c r="J1523" s="63"/>
      <c r="K1523" s="61" t="str">
        <f aca="false">IF($P1523=0,"",IF($F1523="Baseline","— Baseline",IF($O1523=0,"No result",IF($N1523=0,"No Start (attainment only)",IF(OR($N1523=1,$O1523=1),"U – needs rule",INDEX(MxBody,MATCH($I1523,MxCurr,0),MATCH($H1523,MxStart,0)))))))</f>
        <v/>
      </c>
      <c r="L1523" s="62" t="str">
        <f aca="false">IF(COUNTA($A1523,$F1523,$G1523,$H1523,$I1523,$J1523)=0,"",IF($M1523=0,"✖ كود الصف غير موجود",IF(ISNA(MATCH($F1523,Lists!$A$2:$A$5,0)),"✖ الفترة غير صحيحة",IF(ISNA(MATCH($G1523,Lists!$B$2:$B$7,0)),"✖ المجموعة غير صحيحة",IF(NOT(OR($H1523="",$N1523&gt;0)),"✖ Start غير صحيح",IF(NOT(OR($I1523="",$I1523="NR",$O1523&gt;0)),"✖ Current غير صحيح",IF(NOT(IF(ISNUMBER($J1523),AND($J1523&gt;=0,$J1523=INT($J1523)),FALSE())),"✖ العدد يجب أن يكون صحيحًا ≥ 0",IF(AND($F1523="Baseline",$H1523&lt;&gt;""),"⚠ Baseline: Start لا يدخل في التقدم",IF($K1523="No Start (attainment only)","ℹ تحصيل فقط (بدون Start)",IF($K1523="U – needs rule","ℹ حالة U تحتاج قاعدة معتمدة",IF($K1523="No result","ℹ بدون نتيجة (يُستبعد من التحصيل)","OK")))))))))))</f>
        <v/>
      </c>
      <c r="M1523" s="64" t="n">
        <f aca="false">IF($A1523="",0,IFERROR(MATCH($A1523,Classes!$A$6:$A$420,0),0))</f>
        <v>0</v>
      </c>
      <c r="N1523" s="64" t="n">
        <f aca="false">IF($H1523="",0,IFERROR(MATCH($H1523,GradeList,0),0))</f>
        <v>0</v>
      </c>
      <c r="O1523" s="64" t="n">
        <f aca="false">IF(OR($I1523="",$I1523="NR"),0,IFERROR(MATCH($I1523,GradeList,0),0))</f>
        <v>0</v>
      </c>
      <c r="P1523" s="64" t="n">
        <f aca="false">IF(AND($M1523&gt;0,ISNUMBER(MATCH($F1523,Lists!$A$2:$A$5,0)),ISNUMBER(MATCH($G1523,Lists!$B$2:$B$7,0)),OR($H1523="",$N1523&gt;0),OR($I1523="",$I1523="NR",$O1523&gt;0),IF(ISNUMBER($J1523),AND($J1523&gt;=0,$J1523=INT($J1523)),FALSE())),$J1523,0)</f>
        <v>0</v>
      </c>
      <c r="Q1523" s="64" t="n">
        <f aca="false">IF(AND($P1523&gt;0,$O1523&gt;0),$P1523,0)</f>
        <v>0</v>
      </c>
      <c r="R1523" s="64" t="n">
        <f aca="false">IF(AND($Q1523&gt;0,$O1523&gt;=AtRank),$Q1523,0)</f>
        <v>0</v>
      </c>
      <c r="S1523" s="64" t="n">
        <f aca="false">IF(AND($Q1523&gt;0,$O1523&gt;=AboveRank),$Q1523,0)</f>
        <v>0</v>
      </c>
      <c r="T1523" s="64" t="n">
        <f aca="false">IF($K1523="Less",$P1523,0)</f>
        <v>0</v>
      </c>
      <c r="U1523" s="64" t="n">
        <f aca="false">IF($K1523="Expected",$P1523,0)</f>
        <v>0</v>
      </c>
      <c r="V1523" s="64" t="n">
        <f aca="false">IF($K1523="Better",$P1523,0)</f>
        <v>0</v>
      </c>
      <c r="W1523" s="64" t="n">
        <f aca="false">IF($K1523="U – needs rule",$P1523,0)</f>
        <v>0</v>
      </c>
      <c r="X1523" s="64" t="n">
        <f aca="false">IF($K1523="No Start (attainment only)",$P1523,0)</f>
        <v>0</v>
      </c>
    </row>
    <row r="1524" customFormat="false" ht="15" hidden="false" customHeight="false" outlineLevel="0" collapsed="false">
      <c r="A1524" s="60"/>
      <c r="B1524" s="61" t="str">
        <f aca="false">IF($M1524=0,"",INDEX(Classes!$E$6:$E$420,$M1524))</f>
        <v/>
      </c>
      <c r="C1524" s="62" t="str">
        <f aca="false">IF($M1524=0,"",INDEX(Classes!$H$6:$H$420,$M1524))</f>
        <v/>
      </c>
      <c r="D1524" s="61" t="str">
        <f aca="false">IF($M1524=0,"",INDEX(Classes!$B$6:$B$420,$M1524))</f>
        <v/>
      </c>
      <c r="E1524" s="61" t="str">
        <f aca="false">IF($M1524=0,"",INDEX(Classes!$C$6:$C$420,$M1524))</f>
        <v/>
      </c>
      <c r="F1524" s="63"/>
      <c r="G1524" s="63"/>
      <c r="H1524" s="60"/>
      <c r="I1524" s="60"/>
      <c r="J1524" s="63"/>
      <c r="K1524" s="61" t="str">
        <f aca="false">IF($P1524=0,"",IF($F1524="Baseline","— Baseline",IF($O1524=0,"No result",IF($N1524=0,"No Start (attainment only)",IF(OR($N1524=1,$O1524=1),"U – needs rule",INDEX(MxBody,MATCH($I1524,MxCurr,0),MATCH($H1524,MxStart,0)))))))</f>
        <v/>
      </c>
      <c r="L1524" s="62" t="str">
        <f aca="false">IF(COUNTA($A1524,$F1524,$G1524,$H1524,$I1524,$J1524)=0,"",IF($M1524=0,"✖ كود الصف غير موجود",IF(ISNA(MATCH($F1524,Lists!$A$2:$A$5,0)),"✖ الفترة غير صحيحة",IF(ISNA(MATCH($G1524,Lists!$B$2:$B$7,0)),"✖ المجموعة غير صحيحة",IF(NOT(OR($H1524="",$N1524&gt;0)),"✖ Start غير صحيح",IF(NOT(OR($I1524="",$I1524="NR",$O1524&gt;0)),"✖ Current غير صحيح",IF(NOT(IF(ISNUMBER($J1524),AND($J1524&gt;=0,$J1524=INT($J1524)),FALSE())),"✖ العدد يجب أن يكون صحيحًا ≥ 0",IF(AND($F1524="Baseline",$H1524&lt;&gt;""),"⚠ Baseline: Start لا يدخل في التقدم",IF($K1524="No Start (attainment only)","ℹ تحصيل فقط (بدون Start)",IF($K1524="U – needs rule","ℹ حالة U تحتاج قاعدة معتمدة",IF($K1524="No result","ℹ بدون نتيجة (يُستبعد من التحصيل)","OK")))))))))))</f>
        <v/>
      </c>
      <c r="M1524" s="64" t="n">
        <f aca="false">IF($A1524="",0,IFERROR(MATCH($A1524,Classes!$A$6:$A$420,0),0))</f>
        <v>0</v>
      </c>
      <c r="N1524" s="64" t="n">
        <f aca="false">IF($H1524="",0,IFERROR(MATCH($H1524,GradeList,0),0))</f>
        <v>0</v>
      </c>
      <c r="O1524" s="64" t="n">
        <f aca="false">IF(OR($I1524="",$I1524="NR"),0,IFERROR(MATCH($I1524,GradeList,0),0))</f>
        <v>0</v>
      </c>
      <c r="P1524" s="64" t="n">
        <f aca="false">IF(AND($M1524&gt;0,ISNUMBER(MATCH($F1524,Lists!$A$2:$A$5,0)),ISNUMBER(MATCH($G1524,Lists!$B$2:$B$7,0)),OR($H1524="",$N1524&gt;0),OR($I1524="",$I1524="NR",$O1524&gt;0),IF(ISNUMBER($J1524),AND($J1524&gt;=0,$J1524=INT($J1524)),FALSE())),$J1524,0)</f>
        <v>0</v>
      </c>
      <c r="Q1524" s="64" t="n">
        <f aca="false">IF(AND($P1524&gt;0,$O1524&gt;0),$P1524,0)</f>
        <v>0</v>
      </c>
      <c r="R1524" s="64" t="n">
        <f aca="false">IF(AND($Q1524&gt;0,$O1524&gt;=AtRank),$Q1524,0)</f>
        <v>0</v>
      </c>
      <c r="S1524" s="64" t="n">
        <f aca="false">IF(AND($Q1524&gt;0,$O1524&gt;=AboveRank),$Q1524,0)</f>
        <v>0</v>
      </c>
      <c r="T1524" s="64" t="n">
        <f aca="false">IF($K1524="Less",$P1524,0)</f>
        <v>0</v>
      </c>
      <c r="U1524" s="64" t="n">
        <f aca="false">IF($K1524="Expected",$P1524,0)</f>
        <v>0</v>
      </c>
      <c r="V1524" s="64" t="n">
        <f aca="false">IF($K1524="Better",$P1524,0)</f>
        <v>0</v>
      </c>
      <c r="W1524" s="64" t="n">
        <f aca="false">IF($K1524="U – needs rule",$P1524,0)</f>
        <v>0</v>
      </c>
      <c r="X1524" s="64" t="n">
        <f aca="false">IF($K1524="No Start (attainment only)",$P1524,0)</f>
        <v>0</v>
      </c>
    </row>
    <row r="1525" customFormat="false" ht="15" hidden="false" customHeight="false" outlineLevel="0" collapsed="false">
      <c r="A1525" s="60"/>
      <c r="B1525" s="61" t="str">
        <f aca="false">IF($M1525=0,"",INDEX(Classes!$E$6:$E$420,$M1525))</f>
        <v/>
      </c>
      <c r="C1525" s="62" t="str">
        <f aca="false">IF($M1525=0,"",INDEX(Classes!$H$6:$H$420,$M1525))</f>
        <v/>
      </c>
      <c r="D1525" s="61" t="str">
        <f aca="false">IF($M1525=0,"",INDEX(Classes!$B$6:$B$420,$M1525))</f>
        <v/>
      </c>
      <c r="E1525" s="61" t="str">
        <f aca="false">IF($M1525=0,"",INDEX(Classes!$C$6:$C$420,$M1525))</f>
        <v/>
      </c>
      <c r="F1525" s="63"/>
      <c r="G1525" s="63"/>
      <c r="H1525" s="60"/>
      <c r="I1525" s="60"/>
      <c r="J1525" s="63"/>
      <c r="K1525" s="61" t="str">
        <f aca="false">IF($P1525=0,"",IF($F1525="Baseline","— Baseline",IF($O1525=0,"No result",IF($N1525=0,"No Start (attainment only)",IF(OR($N1525=1,$O1525=1),"U – needs rule",INDEX(MxBody,MATCH($I1525,MxCurr,0),MATCH($H1525,MxStart,0)))))))</f>
        <v/>
      </c>
      <c r="L1525" s="62" t="str">
        <f aca="false">IF(COUNTA($A1525,$F1525,$G1525,$H1525,$I1525,$J1525)=0,"",IF($M1525=0,"✖ كود الصف غير موجود",IF(ISNA(MATCH($F1525,Lists!$A$2:$A$5,0)),"✖ الفترة غير صحيحة",IF(ISNA(MATCH($G1525,Lists!$B$2:$B$7,0)),"✖ المجموعة غير صحيحة",IF(NOT(OR($H1525="",$N1525&gt;0)),"✖ Start غير صحيح",IF(NOT(OR($I1525="",$I1525="NR",$O1525&gt;0)),"✖ Current غير صحيح",IF(NOT(IF(ISNUMBER($J1525),AND($J1525&gt;=0,$J1525=INT($J1525)),FALSE())),"✖ العدد يجب أن يكون صحيحًا ≥ 0",IF(AND($F1525="Baseline",$H1525&lt;&gt;""),"⚠ Baseline: Start لا يدخل في التقدم",IF($K1525="No Start (attainment only)","ℹ تحصيل فقط (بدون Start)",IF($K1525="U – needs rule","ℹ حالة U تحتاج قاعدة معتمدة",IF($K1525="No result","ℹ بدون نتيجة (يُستبعد من التحصيل)","OK")))))))))))</f>
        <v/>
      </c>
      <c r="M1525" s="64" t="n">
        <f aca="false">IF($A1525="",0,IFERROR(MATCH($A1525,Classes!$A$6:$A$420,0),0))</f>
        <v>0</v>
      </c>
      <c r="N1525" s="64" t="n">
        <f aca="false">IF($H1525="",0,IFERROR(MATCH($H1525,GradeList,0),0))</f>
        <v>0</v>
      </c>
      <c r="O1525" s="64" t="n">
        <f aca="false">IF(OR($I1525="",$I1525="NR"),0,IFERROR(MATCH($I1525,GradeList,0),0))</f>
        <v>0</v>
      </c>
      <c r="P1525" s="64" t="n">
        <f aca="false">IF(AND($M1525&gt;0,ISNUMBER(MATCH($F1525,Lists!$A$2:$A$5,0)),ISNUMBER(MATCH($G1525,Lists!$B$2:$B$7,0)),OR($H1525="",$N1525&gt;0),OR($I1525="",$I1525="NR",$O1525&gt;0),IF(ISNUMBER($J1525),AND($J1525&gt;=0,$J1525=INT($J1525)),FALSE())),$J1525,0)</f>
        <v>0</v>
      </c>
      <c r="Q1525" s="64" t="n">
        <f aca="false">IF(AND($P1525&gt;0,$O1525&gt;0),$P1525,0)</f>
        <v>0</v>
      </c>
      <c r="R1525" s="64" t="n">
        <f aca="false">IF(AND($Q1525&gt;0,$O1525&gt;=AtRank),$Q1525,0)</f>
        <v>0</v>
      </c>
      <c r="S1525" s="64" t="n">
        <f aca="false">IF(AND($Q1525&gt;0,$O1525&gt;=AboveRank),$Q1525,0)</f>
        <v>0</v>
      </c>
      <c r="T1525" s="64" t="n">
        <f aca="false">IF($K1525="Less",$P1525,0)</f>
        <v>0</v>
      </c>
      <c r="U1525" s="64" t="n">
        <f aca="false">IF($K1525="Expected",$P1525,0)</f>
        <v>0</v>
      </c>
      <c r="V1525" s="64" t="n">
        <f aca="false">IF($K1525="Better",$P1525,0)</f>
        <v>0</v>
      </c>
      <c r="W1525" s="64" t="n">
        <f aca="false">IF($K1525="U – needs rule",$P1525,0)</f>
        <v>0</v>
      </c>
      <c r="X1525" s="64" t="n">
        <f aca="false">IF($K1525="No Start (attainment only)",$P1525,0)</f>
        <v>0</v>
      </c>
    </row>
    <row r="1526" customFormat="false" ht="15" hidden="false" customHeight="false" outlineLevel="0" collapsed="false">
      <c r="A1526" s="60"/>
      <c r="B1526" s="61" t="str">
        <f aca="false">IF($M1526=0,"",INDEX(Classes!$E$6:$E$420,$M1526))</f>
        <v/>
      </c>
      <c r="C1526" s="62" t="str">
        <f aca="false">IF($M1526=0,"",INDEX(Classes!$H$6:$H$420,$M1526))</f>
        <v/>
      </c>
      <c r="D1526" s="61" t="str">
        <f aca="false">IF($M1526=0,"",INDEX(Classes!$B$6:$B$420,$M1526))</f>
        <v/>
      </c>
      <c r="E1526" s="61" t="str">
        <f aca="false">IF($M1526=0,"",INDEX(Classes!$C$6:$C$420,$M1526))</f>
        <v/>
      </c>
      <c r="F1526" s="63"/>
      <c r="G1526" s="63"/>
      <c r="H1526" s="60"/>
      <c r="I1526" s="60"/>
      <c r="J1526" s="63"/>
      <c r="K1526" s="61" t="str">
        <f aca="false">IF($P1526=0,"",IF($F1526="Baseline","— Baseline",IF($O1526=0,"No result",IF($N1526=0,"No Start (attainment only)",IF(OR($N1526=1,$O1526=1),"U – needs rule",INDEX(MxBody,MATCH($I1526,MxCurr,0),MATCH($H1526,MxStart,0)))))))</f>
        <v/>
      </c>
      <c r="L1526" s="62" t="str">
        <f aca="false">IF(COUNTA($A1526,$F1526,$G1526,$H1526,$I1526,$J1526)=0,"",IF($M1526=0,"✖ كود الصف غير موجود",IF(ISNA(MATCH($F1526,Lists!$A$2:$A$5,0)),"✖ الفترة غير صحيحة",IF(ISNA(MATCH($G1526,Lists!$B$2:$B$7,0)),"✖ المجموعة غير صحيحة",IF(NOT(OR($H1526="",$N1526&gt;0)),"✖ Start غير صحيح",IF(NOT(OR($I1526="",$I1526="NR",$O1526&gt;0)),"✖ Current غير صحيح",IF(NOT(IF(ISNUMBER($J1526),AND($J1526&gt;=0,$J1526=INT($J1526)),FALSE())),"✖ العدد يجب أن يكون صحيحًا ≥ 0",IF(AND($F1526="Baseline",$H1526&lt;&gt;""),"⚠ Baseline: Start لا يدخل في التقدم",IF($K1526="No Start (attainment only)","ℹ تحصيل فقط (بدون Start)",IF($K1526="U – needs rule","ℹ حالة U تحتاج قاعدة معتمدة",IF($K1526="No result","ℹ بدون نتيجة (يُستبعد من التحصيل)","OK")))))))))))</f>
        <v/>
      </c>
      <c r="M1526" s="64" t="n">
        <f aca="false">IF($A1526="",0,IFERROR(MATCH($A1526,Classes!$A$6:$A$420,0),0))</f>
        <v>0</v>
      </c>
      <c r="N1526" s="64" t="n">
        <f aca="false">IF($H1526="",0,IFERROR(MATCH($H1526,GradeList,0),0))</f>
        <v>0</v>
      </c>
      <c r="O1526" s="64" t="n">
        <f aca="false">IF(OR($I1526="",$I1526="NR"),0,IFERROR(MATCH($I1526,GradeList,0),0))</f>
        <v>0</v>
      </c>
      <c r="P1526" s="64" t="n">
        <f aca="false">IF(AND($M1526&gt;0,ISNUMBER(MATCH($F1526,Lists!$A$2:$A$5,0)),ISNUMBER(MATCH($G1526,Lists!$B$2:$B$7,0)),OR($H1526="",$N1526&gt;0),OR($I1526="",$I1526="NR",$O1526&gt;0),IF(ISNUMBER($J1526),AND($J1526&gt;=0,$J1526=INT($J1526)),FALSE())),$J1526,0)</f>
        <v>0</v>
      </c>
      <c r="Q1526" s="64" t="n">
        <f aca="false">IF(AND($P1526&gt;0,$O1526&gt;0),$P1526,0)</f>
        <v>0</v>
      </c>
      <c r="R1526" s="64" t="n">
        <f aca="false">IF(AND($Q1526&gt;0,$O1526&gt;=AtRank),$Q1526,0)</f>
        <v>0</v>
      </c>
      <c r="S1526" s="64" t="n">
        <f aca="false">IF(AND($Q1526&gt;0,$O1526&gt;=AboveRank),$Q1526,0)</f>
        <v>0</v>
      </c>
      <c r="T1526" s="64" t="n">
        <f aca="false">IF($K1526="Less",$P1526,0)</f>
        <v>0</v>
      </c>
      <c r="U1526" s="64" t="n">
        <f aca="false">IF($K1526="Expected",$P1526,0)</f>
        <v>0</v>
      </c>
      <c r="V1526" s="64" t="n">
        <f aca="false">IF($K1526="Better",$P1526,0)</f>
        <v>0</v>
      </c>
      <c r="W1526" s="64" t="n">
        <f aca="false">IF($K1526="U – needs rule",$P1526,0)</f>
        <v>0</v>
      </c>
      <c r="X1526" s="64" t="n">
        <f aca="false">IF($K1526="No Start (attainment only)",$P1526,0)</f>
        <v>0</v>
      </c>
    </row>
    <row r="1527" customFormat="false" ht="15" hidden="false" customHeight="false" outlineLevel="0" collapsed="false">
      <c r="A1527" s="60"/>
      <c r="B1527" s="61" t="str">
        <f aca="false">IF($M1527=0,"",INDEX(Classes!$E$6:$E$420,$M1527))</f>
        <v/>
      </c>
      <c r="C1527" s="62" t="str">
        <f aca="false">IF($M1527=0,"",INDEX(Classes!$H$6:$H$420,$M1527))</f>
        <v/>
      </c>
      <c r="D1527" s="61" t="str">
        <f aca="false">IF($M1527=0,"",INDEX(Classes!$B$6:$B$420,$M1527))</f>
        <v/>
      </c>
      <c r="E1527" s="61" t="str">
        <f aca="false">IF($M1527=0,"",INDEX(Classes!$C$6:$C$420,$M1527))</f>
        <v/>
      </c>
      <c r="F1527" s="63"/>
      <c r="G1527" s="63"/>
      <c r="H1527" s="60"/>
      <c r="I1527" s="60"/>
      <c r="J1527" s="63"/>
      <c r="K1527" s="61" t="str">
        <f aca="false">IF($P1527=0,"",IF($F1527="Baseline","— Baseline",IF($O1527=0,"No result",IF($N1527=0,"No Start (attainment only)",IF(OR($N1527=1,$O1527=1),"U – needs rule",INDEX(MxBody,MATCH($I1527,MxCurr,0),MATCH($H1527,MxStart,0)))))))</f>
        <v/>
      </c>
      <c r="L1527" s="62" t="str">
        <f aca="false">IF(COUNTA($A1527,$F1527,$G1527,$H1527,$I1527,$J1527)=0,"",IF($M1527=0,"✖ كود الصف غير موجود",IF(ISNA(MATCH($F1527,Lists!$A$2:$A$5,0)),"✖ الفترة غير صحيحة",IF(ISNA(MATCH($G1527,Lists!$B$2:$B$7,0)),"✖ المجموعة غير صحيحة",IF(NOT(OR($H1527="",$N1527&gt;0)),"✖ Start غير صحيح",IF(NOT(OR($I1527="",$I1527="NR",$O1527&gt;0)),"✖ Current غير صحيح",IF(NOT(IF(ISNUMBER($J1527),AND($J1527&gt;=0,$J1527=INT($J1527)),FALSE())),"✖ العدد يجب أن يكون صحيحًا ≥ 0",IF(AND($F1527="Baseline",$H1527&lt;&gt;""),"⚠ Baseline: Start لا يدخل في التقدم",IF($K1527="No Start (attainment only)","ℹ تحصيل فقط (بدون Start)",IF($K1527="U – needs rule","ℹ حالة U تحتاج قاعدة معتمدة",IF($K1527="No result","ℹ بدون نتيجة (يُستبعد من التحصيل)","OK")))))))))))</f>
        <v/>
      </c>
      <c r="M1527" s="64" t="n">
        <f aca="false">IF($A1527="",0,IFERROR(MATCH($A1527,Classes!$A$6:$A$420,0),0))</f>
        <v>0</v>
      </c>
      <c r="N1527" s="64" t="n">
        <f aca="false">IF($H1527="",0,IFERROR(MATCH($H1527,GradeList,0),0))</f>
        <v>0</v>
      </c>
      <c r="O1527" s="64" t="n">
        <f aca="false">IF(OR($I1527="",$I1527="NR"),0,IFERROR(MATCH($I1527,GradeList,0),0))</f>
        <v>0</v>
      </c>
      <c r="P1527" s="64" t="n">
        <f aca="false">IF(AND($M1527&gt;0,ISNUMBER(MATCH($F1527,Lists!$A$2:$A$5,0)),ISNUMBER(MATCH($G1527,Lists!$B$2:$B$7,0)),OR($H1527="",$N1527&gt;0),OR($I1527="",$I1527="NR",$O1527&gt;0),IF(ISNUMBER($J1527),AND($J1527&gt;=0,$J1527=INT($J1527)),FALSE())),$J1527,0)</f>
        <v>0</v>
      </c>
      <c r="Q1527" s="64" t="n">
        <f aca="false">IF(AND($P1527&gt;0,$O1527&gt;0),$P1527,0)</f>
        <v>0</v>
      </c>
      <c r="R1527" s="64" t="n">
        <f aca="false">IF(AND($Q1527&gt;0,$O1527&gt;=AtRank),$Q1527,0)</f>
        <v>0</v>
      </c>
      <c r="S1527" s="64" t="n">
        <f aca="false">IF(AND($Q1527&gt;0,$O1527&gt;=AboveRank),$Q1527,0)</f>
        <v>0</v>
      </c>
      <c r="T1527" s="64" t="n">
        <f aca="false">IF($K1527="Less",$P1527,0)</f>
        <v>0</v>
      </c>
      <c r="U1527" s="64" t="n">
        <f aca="false">IF($K1527="Expected",$P1527,0)</f>
        <v>0</v>
      </c>
      <c r="V1527" s="64" t="n">
        <f aca="false">IF($K1527="Better",$P1527,0)</f>
        <v>0</v>
      </c>
      <c r="W1527" s="64" t="n">
        <f aca="false">IF($K1527="U – needs rule",$P1527,0)</f>
        <v>0</v>
      </c>
      <c r="X1527" s="64" t="n">
        <f aca="false">IF($K1527="No Start (attainment only)",$P1527,0)</f>
        <v>0</v>
      </c>
    </row>
    <row r="1528" customFormat="false" ht="15" hidden="false" customHeight="false" outlineLevel="0" collapsed="false">
      <c r="A1528" s="60"/>
      <c r="B1528" s="61" t="str">
        <f aca="false">IF($M1528=0,"",INDEX(Classes!$E$6:$E$420,$M1528))</f>
        <v/>
      </c>
      <c r="C1528" s="62" t="str">
        <f aca="false">IF($M1528=0,"",INDEX(Classes!$H$6:$H$420,$M1528))</f>
        <v/>
      </c>
      <c r="D1528" s="61" t="str">
        <f aca="false">IF($M1528=0,"",INDEX(Classes!$B$6:$B$420,$M1528))</f>
        <v/>
      </c>
      <c r="E1528" s="61" t="str">
        <f aca="false">IF($M1528=0,"",INDEX(Classes!$C$6:$C$420,$M1528))</f>
        <v/>
      </c>
      <c r="F1528" s="63"/>
      <c r="G1528" s="63"/>
      <c r="H1528" s="60"/>
      <c r="I1528" s="60"/>
      <c r="J1528" s="63"/>
      <c r="K1528" s="61" t="str">
        <f aca="false">IF($P1528=0,"",IF($F1528="Baseline","— Baseline",IF($O1528=0,"No result",IF($N1528=0,"No Start (attainment only)",IF(OR($N1528=1,$O1528=1),"U – needs rule",INDEX(MxBody,MATCH($I1528,MxCurr,0),MATCH($H1528,MxStart,0)))))))</f>
        <v/>
      </c>
      <c r="L1528" s="62" t="str">
        <f aca="false">IF(COUNTA($A1528,$F1528,$G1528,$H1528,$I1528,$J1528)=0,"",IF($M1528=0,"✖ كود الصف غير موجود",IF(ISNA(MATCH($F1528,Lists!$A$2:$A$5,0)),"✖ الفترة غير صحيحة",IF(ISNA(MATCH($G1528,Lists!$B$2:$B$7,0)),"✖ المجموعة غير صحيحة",IF(NOT(OR($H1528="",$N1528&gt;0)),"✖ Start غير صحيح",IF(NOT(OR($I1528="",$I1528="NR",$O1528&gt;0)),"✖ Current غير صحيح",IF(NOT(IF(ISNUMBER($J1528),AND($J1528&gt;=0,$J1528=INT($J1528)),FALSE())),"✖ العدد يجب أن يكون صحيحًا ≥ 0",IF(AND($F1528="Baseline",$H1528&lt;&gt;""),"⚠ Baseline: Start لا يدخل في التقدم",IF($K1528="No Start (attainment only)","ℹ تحصيل فقط (بدون Start)",IF($K1528="U – needs rule","ℹ حالة U تحتاج قاعدة معتمدة",IF($K1528="No result","ℹ بدون نتيجة (يُستبعد من التحصيل)","OK")))))))))))</f>
        <v/>
      </c>
      <c r="M1528" s="64" t="n">
        <f aca="false">IF($A1528="",0,IFERROR(MATCH($A1528,Classes!$A$6:$A$420,0),0))</f>
        <v>0</v>
      </c>
      <c r="N1528" s="64" t="n">
        <f aca="false">IF($H1528="",0,IFERROR(MATCH($H1528,GradeList,0),0))</f>
        <v>0</v>
      </c>
      <c r="O1528" s="64" t="n">
        <f aca="false">IF(OR($I1528="",$I1528="NR"),0,IFERROR(MATCH($I1528,GradeList,0),0))</f>
        <v>0</v>
      </c>
      <c r="P1528" s="64" t="n">
        <f aca="false">IF(AND($M1528&gt;0,ISNUMBER(MATCH($F1528,Lists!$A$2:$A$5,0)),ISNUMBER(MATCH($G1528,Lists!$B$2:$B$7,0)),OR($H1528="",$N1528&gt;0),OR($I1528="",$I1528="NR",$O1528&gt;0),IF(ISNUMBER($J1528),AND($J1528&gt;=0,$J1528=INT($J1528)),FALSE())),$J1528,0)</f>
        <v>0</v>
      </c>
      <c r="Q1528" s="64" t="n">
        <f aca="false">IF(AND($P1528&gt;0,$O1528&gt;0),$P1528,0)</f>
        <v>0</v>
      </c>
      <c r="R1528" s="64" t="n">
        <f aca="false">IF(AND($Q1528&gt;0,$O1528&gt;=AtRank),$Q1528,0)</f>
        <v>0</v>
      </c>
      <c r="S1528" s="64" t="n">
        <f aca="false">IF(AND($Q1528&gt;0,$O1528&gt;=AboveRank),$Q1528,0)</f>
        <v>0</v>
      </c>
      <c r="T1528" s="64" t="n">
        <f aca="false">IF($K1528="Less",$P1528,0)</f>
        <v>0</v>
      </c>
      <c r="U1528" s="64" t="n">
        <f aca="false">IF($K1528="Expected",$P1528,0)</f>
        <v>0</v>
      </c>
      <c r="V1528" s="64" t="n">
        <f aca="false">IF($K1528="Better",$P1528,0)</f>
        <v>0</v>
      </c>
      <c r="W1528" s="64" t="n">
        <f aca="false">IF($K1528="U – needs rule",$P1528,0)</f>
        <v>0</v>
      </c>
      <c r="X1528" s="64" t="n">
        <f aca="false">IF($K1528="No Start (attainment only)",$P1528,0)</f>
        <v>0</v>
      </c>
    </row>
    <row r="1529" customFormat="false" ht="15" hidden="false" customHeight="false" outlineLevel="0" collapsed="false">
      <c r="A1529" s="60"/>
      <c r="B1529" s="61" t="str">
        <f aca="false">IF($M1529=0,"",INDEX(Classes!$E$6:$E$420,$M1529))</f>
        <v/>
      </c>
      <c r="C1529" s="62" t="str">
        <f aca="false">IF($M1529=0,"",INDEX(Classes!$H$6:$H$420,$M1529))</f>
        <v/>
      </c>
      <c r="D1529" s="61" t="str">
        <f aca="false">IF($M1529=0,"",INDEX(Classes!$B$6:$B$420,$M1529))</f>
        <v/>
      </c>
      <c r="E1529" s="61" t="str">
        <f aca="false">IF($M1529=0,"",INDEX(Classes!$C$6:$C$420,$M1529))</f>
        <v/>
      </c>
      <c r="F1529" s="63"/>
      <c r="G1529" s="63"/>
      <c r="H1529" s="60"/>
      <c r="I1529" s="60"/>
      <c r="J1529" s="63"/>
      <c r="K1529" s="61" t="str">
        <f aca="false">IF($P1529=0,"",IF($F1529="Baseline","— Baseline",IF($O1529=0,"No result",IF($N1529=0,"No Start (attainment only)",IF(OR($N1529=1,$O1529=1),"U – needs rule",INDEX(MxBody,MATCH($I1529,MxCurr,0),MATCH($H1529,MxStart,0)))))))</f>
        <v/>
      </c>
      <c r="L1529" s="62" t="str">
        <f aca="false">IF(COUNTA($A1529,$F1529,$G1529,$H1529,$I1529,$J1529)=0,"",IF($M1529=0,"✖ كود الصف غير موجود",IF(ISNA(MATCH($F1529,Lists!$A$2:$A$5,0)),"✖ الفترة غير صحيحة",IF(ISNA(MATCH($G1529,Lists!$B$2:$B$7,0)),"✖ المجموعة غير صحيحة",IF(NOT(OR($H1529="",$N1529&gt;0)),"✖ Start غير صحيح",IF(NOT(OR($I1529="",$I1529="NR",$O1529&gt;0)),"✖ Current غير صحيح",IF(NOT(IF(ISNUMBER($J1529),AND($J1529&gt;=0,$J1529=INT($J1529)),FALSE())),"✖ العدد يجب أن يكون صحيحًا ≥ 0",IF(AND($F1529="Baseline",$H1529&lt;&gt;""),"⚠ Baseline: Start لا يدخل في التقدم",IF($K1529="No Start (attainment only)","ℹ تحصيل فقط (بدون Start)",IF($K1529="U – needs rule","ℹ حالة U تحتاج قاعدة معتمدة",IF($K1529="No result","ℹ بدون نتيجة (يُستبعد من التحصيل)","OK")))))))))))</f>
        <v/>
      </c>
      <c r="M1529" s="64" t="n">
        <f aca="false">IF($A1529="",0,IFERROR(MATCH($A1529,Classes!$A$6:$A$420,0),0))</f>
        <v>0</v>
      </c>
      <c r="N1529" s="64" t="n">
        <f aca="false">IF($H1529="",0,IFERROR(MATCH($H1529,GradeList,0),0))</f>
        <v>0</v>
      </c>
      <c r="O1529" s="64" t="n">
        <f aca="false">IF(OR($I1529="",$I1529="NR"),0,IFERROR(MATCH($I1529,GradeList,0),0))</f>
        <v>0</v>
      </c>
      <c r="P1529" s="64" t="n">
        <f aca="false">IF(AND($M1529&gt;0,ISNUMBER(MATCH($F1529,Lists!$A$2:$A$5,0)),ISNUMBER(MATCH($G1529,Lists!$B$2:$B$7,0)),OR($H1529="",$N1529&gt;0),OR($I1529="",$I1529="NR",$O1529&gt;0),IF(ISNUMBER($J1529),AND($J1529&gt;=0,$J1529=INT($J1529)),FALSE())),$J1529,0)</f>
        <v>0</v>
      </c>
      <c r="Q1529" s="64" t="n">
        <f aca="false">IF(AND($P1529&gt;0,$O1529&gt;0),$P1529,0)</f>
        <v>0</v>
      </c>
      <c r="R1529" s="64" t="n">
        <f aca="false">IF(AND($Q1529&gt;0,$O1529&gt;=AtRank),$Q1529,0)</f>
        <v>0</v>
      </c>
      <c r="S1529" s="64" t="n">
        <f aca="false">IF(AND($Q1529&gt;0,$O1529&gt;=AboveRank),$Q1529,0)</f>
        <v>0</v>
      </c>
      <c r="T1529" s="64" t="n">
        <f aca="false">IF($K1529="Less",$P1529,0)</f>
        <v>0</v>
      </c>
      <c r="U1529" s="64" t="n">
        <f aca="false">IF($K1529="Expected",$P1529,0)</f>
        <v>0</v>
      </c>
      <c r="V1529" s="64" t="n">
        <f aca="false">IF($K1529="Better",$P1529,0)</f>
        <v>0</v>
      </c>
      <c r="W1529" s="64" t="n">
        <f aca="false">IF($K1529="U – needs rule",$P1529,0)</f>
        <v>0</v>
      </c>
      <c r="X1529" s="64" t="n">
        <f aca="false">IF($K1529="No Start (attainment only)",$P1529,0)</f>
        <v>0</v>
      </c>
    </row>
    <row r="1530" customFormat="false" ht="15" hidden="false" customHeight="false" outlineLevel="0" collapsed="false">
      <c r="A1530" s="60"/>
      <c r="B1530" s="61" t="str">
        <f aca="false">IF($M1530=0,"",INDEX(Classes!$E$6:$E$420,$M1530))</f>
        <v/>
      </c>
      <c r="C1530" s="62" t="str">
        <f aca="false">IF($M1530=0,"",INDEX(Classes!$H$6:$H$420,$M1530))</f>
        <v/>
      </c>
      <c r="D1530" s="61" t="str">
        <f aca="false">IF($M1530=0,"",INDEX(Classes!$B$6:$B$420,$M1530))</f>
        <v/>
      </c>
      <c r="E1530" s="61" t="str">
        <f aca="false">IF($M1530=0,"",INDEX(Classes!$C$6:$C$420,$M1530))</f>
        <v/>
      </c>
      <c r="F1530" s="63"/>
      <c r="G1530" s="63"/>
      <c r="H1530" s="60"/>
      <c r="I1530" s="60"/>
      <c r="J1530" s="63"/>
      <c r="K1530" s="61" t="str">
        <f aca="false">IF($P1530=0,"",IF($F1530="Baseline","— Baseline",IF($O1530=0,"No result",IF($N1530=0,"No Start (attainment only)",IF(OR($N1530=1,$O1530=1),"U – needs rule",INDEX(MxBody,MATCH($I1530,MxCurr,0),MATCH($H1530,MxStart,0)))))))</f>
        <v/>
      </c>
      <c r="L1530" s="62" t="str">
        <f aca="false">IF(COUNTA($A1530,$F1530,$G1530,$H1530,$I1530,$J1530)=0,"",IF($M1530=0,"✖ كود الصف غير موجود",IF(ISNA(MATCH($F1530,Lists!$A$2:$A$5,0)),"✖ الفترة غير صحيحة",IF(ISNA(MATCH($G1530,Lists!$B$2:$B$7,0)),"✖ المجموعة غير صحيحة",IF(NOT(OR($H1530="",$N1530&gt;0)),"✖ Start غير صحيح",IF(NOT(OR($I1530="",$I1530="NR",$O1530&gt;0)),"✖ Current غير صحيح",IF(NOT(IF(ISNUMBER($J1530),AND($J1530&gt;=0,$J1530=INT($J1530)),FALSE())),"✖ العدد يجب أن يكون صحيحًا ≥ 0",IF(AND($F1530="Baseline",$H1530&lt;&gt;""),"⚠ Baseline: Start لا يدخل في التقدم",IF($K1530="No Start (attainment only)","ℹ تحصيل فقط (بدون Start)",IF($K1530="U – needs rule","ℹ حالة U تحتاج قاعدة معتمدة",IF($K1530="No result","ℹ بدون نتيجة (يُستبعد من التحصيل)","OK")))))))))))</f>
        <v/>
      </c>
      <c r="M1530" s="64" t="n">
        <f aca="false">IF($A1530="",0,IFERROR(MATCH($A1530,Classes!$A$6:$A$420,0),0))</f>
        <v>0</v>
      </c>
      <c r="N1530" s="64" t="n">
        <f aca="false">IF($H1530="",0,IFERROR(MATCH($H1530,GradeList,0),0))</f>
        <v>0</v>
      </c>
      <c r="O1530" s="64" t="n">
        <f aca="false">IF(OR($I1530="",$I1530="NR"),0,IFERROR(MATCH($I1530,GradeList,0),0))</f>
        <v>0</v>
      </c>
      <c r="P1530" s="64" t="n">
        <f aca="false">IF(AND($M1530&gt;0,ISNUMBER(MATCH($F1530,Lists!$A$2:$A$5,0)),ISNUMBER(MATCH($G1530,Lists!$B$2:$B$7,0)),OR($H1530="",$N1530&gt;0),OR($I1530="",$I1530="NR",$O1530&gt;0),IF(ISNUMBER($J1530),AND($J1530&gt;=0,$J1530=INT($J1530)),FALSE())),$J1530,0)</f>
        <v>0</v>
      </c>
      <c r="Q1530" s="64" t="n">
        <f aca="false">IF(AND($P1530&gt;0,$O1530&gt;0),$P1530,0)</f>
        <v>0</v>
      </c>
      <c r="R1530" s="64" t="n">
        <f aca="false">IF(AND($Q1530&gt;0,$O1530&gt;=AtRank),$Q1530,0)</f>
        <v>0</v>
      </c>
      <c r="S1530" s="64" t="n">
        <f aca="false">IF(AND($Q1530&gt;0,$O1530&gt;=AboveRank),$Q1530,0)</f>
        <v>0</v>
      </c>
      <c r="T1530" s="64" t="n">
        <f aca="false">IF($K1530="Less",$P1530,0)</f>
        <v>0</v>
      </c>
      <c r="U1530" s="64" t="n">
        <f aca="false">IF($K1530="Expected",$P1530,0)</f>
        <v>0</v>
      </c>
      <c r="V1530" s="64" t="n">
        <f aca="false">IF($K1530="Better",$P1530,0)</f>
        <v>0</v>
      </c>
      <c r="W1530" s="64" t="n">
        <f aca="false">IF($K1530="U – needs rule",$P1530,0)</f>
        <v>0</v>
      </c>
      <c r="X1530" s="64" t="n">
        <f aca="false">IF($K1530="No Start (attainment only)",$P1530,0)</f>
        <v>0</v>
      </c>
    </row>
    <row r="1531" customFormat="false" ht="15" hidden="false" customHeight="false" outlineLevel="0" collapsed="false">
      <c r="A1531" s="60"/>
      <c r="B1531" s="61" t="str">
        <f aca="false">IF($M1531=0,"",INDEX(Classes!$E$6:$E$420,$M1531))</f>
        <v/>
      </c>
      <c r="C1531" s="62" t="str">
        <f aca="false">IF($M1531=0,"",INDEX(Classes!$H$6:$H$420,$M1531))</f>
        <v/>
      </c>
      <c r="D1531" s="61" t="str">
        <f aca="false">IF($M1531=0,"",INDEX(Classes!$B$6:$B$420,$M1531))</f>
        <v/>
      </c>
      <c r="E1531" s="61" t="str">
        <f aca="false">IF($M1531=0,"",INDEX(Classes!$C$6:$C$420,$M1531))</f>
        <v/>
      </c>
      <c r="F1531" s="63"/>
      <c r="G1531" s="63"/>
      <c r="H1531" s="60"/>
      <c r="I1531" s="60"/>
      <c r="J1531" s="63"/>
      <c r="K1531" s="61" t="str">
        <f aca="false">IF($P1531=0,"",IF($F1531="Baseline","— Baseline",IF($O1531=0,"No result",IF($N1531=0,"No Start (attainment only)",IF(OR($N1531=1,$O1531=1),"U – needs rule",INDEX(MxBody,MATCH($I1531,MxCurr,0),MATCH($H1531,MxStart,0)))))))</f>
        <v/>
      </c>
      <c r="L1531" s="62" t="str">
        <f aca="false">IF(COUNTA($A1531,$F1531,$G1531,$H1531,$I1531,$J1531)=0,"",IF($M1531=0,"✖ كود الصف غير موجود",IF(ISNA(MATCH($F1531,Lists!$A$2:$A$5,0)),"✖ الفترة غير صحيحة",IF(ISNA(MATCH($G1531,Lists!$B$2:$B$7,0)),"✖ المجموعة غير صحيحة",IF(NOT(OR($H1531="",$N1531&gt;0)),"✖ Start غير صحيح",IF(NOT(OR($I1531="",$I1531="NR",$O1531&gt;0)),"✖ Current غير صحيح",IF(NOT(IF(ISNUMBER($J1531),AND($J1531&gt;=0,$J1531=INT($J1531)),FALSE())),"✖ العدد يجب أن يكون صحيحًا ≥ 0",IF(AND($F1531="Baseline",$H1531&lt;&gt;""),"⚠ Baseline: Start لا يدخل في التقدم",IF($K1531="No Start (attainment only)","ℹ تحصيل فقط (بدون Start)",IF($K1531="U – needs rule","ℹ حالة U تحتاج قاعدة معتمدة",IF($K1531="No result","ℹ بدون نتيجة (يُستبعد من التحصيل)","OK")))))))))))</f>
        <v/>
      </c>
      <c r="M1531" s="64" t="n">
        <f aca="false">IF($A1531="",0,IFERROR(MATCH($A1531,Classes!$A$6:$A$420,0),0))</f>
        <v>0</v>
      </c>
      <c r="N1531" s="64" t="n">
        <f aca="false">IF($H1531="",0,IFERROR(MATCH($H1531,GradeList,0),0))</f>
        <v>0</v>
      </c>
      <c r="O1531" s="64" t="n">
        <f aca="false">IF(OR($I1531="",$I1531="NR"),0,IFERROR(MATCH($I1531,GradeList,0),0))</f>
        <v>0</v>
      </c>
      <c r="P1531" s="64" t="n">
        <f aca="false">IF(AND($M1531&gt;0,ISNUMBER(MATCH($F1531,Lists!$A$2:$A$5,0)),ISNUMBER(MATCH($G1531,Lists!$B$2:$B$7,0)),OR($H1531="",$N1531&gt;0),OR($I1531="",$I1531="NR",$O1531&gt;0),IF(ISNUMBER($J1531),AND($J1531&gt;=0,$J1531=INT($J1531)),FALSE())),$J1531,0)</f>
        <v>0</v>
      </c>
      <c r="Q1531" s="64" t="n">
        <f aca="false">IF(AND($P1531&gt;0,$O1531&gt;0),$P1531,0)</f>
        <v>0</v>
      </c>
      <c r="R1531" s="64" t="n">
        <f aca="false">IF(AND($Q1531&gt;0,$O1531&gt;=AtRank),$Q1531,0)</f>
        <v>0</v>
      </c>
      <c r="S1531" s="64" t="n">
        <f aca="false">IF(AND($Q1531&gt;0,$O1531&gt;=AboveRank),$Q1531,0)</f>
        <v>0</v>
      </c>
      <c r="T1531" s="64" t="n">
        <f aca="false">IF($K1531="Less",$P1531,0)</f>
        <v>0</v>
      </c>
      <c r="U1531" s="64" t="n">
        <f aca="false">IF($K1531="Expected",$P1531,0)</f>
        <v>0</v>
      </c>
      <c r="V1531" s="64" t="n">
        <f aca="false">IF($K1531="Better",$P1531,0)</f>
        <v>0</v>
      </c>
      <c r="W1531" s="64" t="n">
        <f aca="false">IF($K1531="U – needs rule",$P1531,0)</f>
        <v>0</v>
      </c>
      <c r="X1531" s="64" t="n">
        <f aca="false">IF($K1531="No Start (attainment only)",$P1531,0)</f>
        <v>0</v>
      </c>
    </row>
    <row r="1532" customFormat="false" ht="15" hidden="false" customHeight="false" outlineLevel="0" collapsed="false">
      <c r="A1532" s="60"/>
      <c r="B1532" s="61" t="str">
        <f aca="false">IF($M1532=0,"",INDEX(Classes!$E$6:$E$420,$M1532))</f>
        <v/>
      </c>
      <c r="C1532" s="62" t="str">
        <f aca="false">IF($M1532=0,"",INDEX(Classes!$H$6:$H$420,$M1532))</f>
        <v/>
      </c>
      <c r="D1532" s="61" t="str">
        <f aca="false">IF($M1532=0,"",INDEX(Classes!$B$6:$B$420,$M1532))</f>
        <v/>
      </c>
      <c r="E1532" s="61" t="str">
        <f aca="false">IF($M1532=0,"",INDEX(Classes!$C$6:$C$420,$M1532))</f>
        <v/>
      </c>
      <c r="F1532" s="63"/>
      <c r="G1532" s="63"/>
      <c r="H1532" s="60"/>
      <c r="I1532" s="60"/>
      <c r="J1532" s="63"/>
      <c r="K1532" s="61" t="str">
        <f aca="false">IF($P1532=0,"",IF($F1532="Baseline","— Baseline",IF($O1532=0,"No result",IF($N1532=0,"No Start (attainment only)",IF(OR($N1532=1,$O1532=1),"U – needs rule",INDEX(MxBody,MATCH($I1532,MxCurr,0),MATCH($H1532,MxStart,0)))))))</f>
        <v/>
      </c>
      <c r="L1532" s="62" t="str">
        <f aca="false">IF(COUNTA($A1532,$F1532,$G1532,$H1532,$I1532,$J1532)=0,"",IF($M1532=0,"✖ كود الصف غير موجود",IF(ISNA(MATCH($F1532,Lists!$A$2:$A$5,0)),"✖ الفترة غير صحيحة",IF(ISNA(MATCH($G1532,Lists!$B$2:$B$7,0)),"✖ المجموعة غير صحيحة",IF(NOT(OR($H1532="",$N1532&gt;0)),"✖ Start غير صحيح",IF(NOT(OR($I1532="",$I1532="NR",$O1532&gt;0)),"✖ Current غير صحيح",IF(NOT(IF(ISNUMBER($J1532),AND($J1532&gt;=0,$J1532=INT($J1532)),FALSE())),"✖ العدد يجب أن يكون صحيحًا ≥ 0",IF(AND($F1532="Baseline",$H1532&lt;&gt;""),"⚠ Baseline: Start لا يدخل في التقدم",IF($K1532="No Start (attainment only)","ℹ تحصيل فقط (بدون Start)",IF($K1532="U – needs rule","ℹ حالة U تحتاج قاعدة معتمدة",IF($K1532="No result","ℹ بدون نتيجة (يُستبعد من التحصيل)","OK")))))))))))</f>
        <v/>
      </c>
      <c r="M1532" s="64" t="n">
        <f aca="false">IF($A1532="",0,IFERROR(MATCH($A1532,Classes!$A$6:$A$420,0),0))</f>
        <v>0</v>
      </c>
      <c r="N1532" s="64" t="n">
        <f aca="false">IF($H1532="",0,IFERROR(MATCH($H1532,GradeList,0),0))</f>
        <v>0</v>
      </c>
      <c r="O1532" s="64" t="n">
        <f aca="false">IF(OR($I1532="",$I1532="NR"),0,IFERROR(MATCH($I1532,GradeList,0),0))</f>
        <v>0</v>
      </c>
      <c r="P1532" s="64" t="n">
        <f aca="false">IF(AND($M1532&gt;0,ISNUMBER(MATCH($F1532,Lists!$A$2:$A$5,0)),ISNUMBER(MATCH($G1532,Lists!$B$2:$B$7,0)),OR($H1532="",$N1532&gt;0),OR($I1532="",$I1532="NR",$O1532&gt;0),IF(ISNUMBER($J1532),AND($J1532&gt;=0,$J1532=INT($J1532)),FALSE())),$J1532,0)</f>
        <v>0</v>
      </c>
      <c r="Q1532" s="64" t="n">
        <f aca="false">IF(AND($P1532&gt;0,$O1532&gt;0),$P1532,0)</f>
        <v>0</v>
      </c>
      <c r="R1532" s="64" t="n">
        <f aca="false">IF(AND($Q1532&gt;0,$O1532&gt;=AtRank),$Q1532,0)</f>
        <v>0</v>
      </c>
      <c r="S1532" s="64" t="n">
        <f aca="false">IF(AND($Q1532&gt;0,$O1532&gt;=AboveRank),$Q1532,0)</f>
        <v>0</v>
      </c>
      <c r="T1532" s="64" t="n">
        <f aca="false">IF($K1532="Less",$P1532,0)</f>
        <v>0</v>
      </c>
      <c r="U1532" s="64" t="n">
        <f aca="false">IF($K1532="Expected",$P1532,0)</f>
        <v>0</v>
      </c>
      <c r="V1532" s="64" t="n">
        <f aca="false">IF($K1532="Better",$P1532,0)</f>
        <v>0</v>
      </c>
      <c r="W1532" s="64" t="n">
        <f aca="false">IF($K1532="U – needs rule",$P1532,0)</f>
        <v>0</v>
      </c>
      <c r="X1532" s="64" t="n">
        <f aca="false">IF($K1532="No Start (attainment only)",$P1532,0)</f>
        <v>0</v>
      </c>
    </row>
    <row r="1533" customFormat="false" ht="15" hidden="false" customHeight="false" outlineLevel="0" collapsed="false">
      <c r="A1533" s="60"/>
      <c r="B1533" s="61" t="str">
        <f aca="false">IF($M1533=0,"",INDEX(Classes!$E$6:$E$420,$M1533))</f>
        <v/>
      </c>
      <c r="C1533" s="62" t="str">
        <f aca="false">IF($M1533=0,"",INDEX(Classes!$H$6:$H$420,$M1533))</f>
        <v/>
      </c>
      <c r="D1533" s="61" t="str">
        <f aca="false">IF($M1533=0,"",INDEX(Classes!$B$6:$B$420,$M1533))</f>
        <v/>
      </c>
      <c r="E1533" s="61" t="str">
        <f aca="false">IF($M1533=0,"",INDEX(Classes!$C$6:$C$420,$M1533))</f>
        <v/>
      </c>
      <c r="F1533" s="63"/>
      <c r="G1533" s="63"/>
      <c r="H1533" s="60"/>
      <c r="I1533" s="60"/>
      <c r="J1533" s="63"/>
      <c r="K1533" s="61" t="str">
        <f aca="false">IF($P1533=0,"",IF($F1533="Baseline","— Baseline",IF($O1533=0,"No result",IF($N1533=0,"No Start (attainment only)",IF(OR($N1533=1,$O1533=1),"U – needs rule",INDEX(MxBody,MATCH($I1533,MxCurr,0),MATCH($H1533,MxStart,0)))))))</f>
        <v/>
      </c>
      <c r="L1533" s="62" t="str">
        <f aca="false">IF(COUNTA($A1533,$F1533,$G1533,$H1533,$I1533,$J1533)=0,"",IF($M1533=0,"✖ كود الصف غير موجود",IF(ISNA(MATCH($F1533,Lists!$A$2:$A$5,0)),"✖ الفترة غير صحيحة",IF(ISNA(MATCH($G1533,Lists!$B$2:$B$7,0)),"✖ المجموعة غير صحيحة",IF(NOT(OR($H1533="",$N1533&gt;0)),"✖ Start غير صحيح",IF(NOT(OR($I1533="",$I1533="NR",$O1533&gt;0)),"✖ Current غير صحيح",IF(NOT(IF(ISNUMBER($J1533),AND($J1533&gt;=0,$J1533=INT($J1533)),FALSE())),"✖ العدد يجب أن يكون صحيحًا ≥ 0",IF(AND($F1533="Baseline",$H1533&lt;&gt;""),"⚠ Baseline: Start لا يدخل في التقدم",IF($K1533="No Start (attainment only)","ℹ تحصيل فقط (بدون Start)",IF($K1533="U – needs rule","ℹ حالة U تحتاج قاعدة معتمدة",IF($K1533="No result","ℹ بدون نتيجة (يُستبعد من التحصيل)","OK")))))))))))</f>
        <v/>
      </c>
      <c r="M1533" s="64" t="n">
        <f aca="false">IF($A1533="",0,IFERROR(MATCH($A1533,Classes!$A$6:$A$420,0),0))</f>
        <v>0</v>
      </c>
      <c r="N1533" s="64" t="n">
        <f aca="false">IF($H1533="",0,IFERROR(MATCH($H1533,GradeList,0),0))</f>
        <v>0</v>
      </c>
      <c r="O1533" s="64" t="n">
        <f aca="false">IF(OR($I1533="",$I1533="NR"),0,IFERROR(MATCH($I1533,GradeList,0),0))</f>
        <v>0</v>
      </c>
      <c r="P1533" s="64" t="n">
        <f aca="false">IF(AND($M1533&gt;0,ISNUMBER(MATCH($F1533,Lists!$A$2:$A$5,0)),ISNUMBER(MATCH($G1533,Lists!$B$2:$B$7,0)),OR($H1533="",$N1533&gt;0),OR($I1533="",$I1533="NR",$O1533&gt;0),IF(ISNUMBER($J1533),AND($J1533&gt;=0,$J1533=INT($J1533)),FALSE())),$J1533,0)</f>
        <v>0</v>
      </c>
      <c r="Q1533" s="64" t="n">
        <f aca="false">IF(AND($P1533&gt;0,$O1533&gt;0),$P1533,0)</f>
        <v>0</v>
      </c>
      <c r="R1533" s="64" t="n">
        <f aca="false">IF(AND($Q1533&gt;0,$O1533&gt;=AtRank),$Q1533,0)</f>
        <v>0</v>
      </c>
      <c r="S1533" s="64" t="n">
        <f aca="false">IF(AND($Q1533&gt;0,$O1533&gt;=AboveRank),$Q1533,0)</f>
        <v>0</v>
      </c>
      <c r="T1533" s="64" t="n">
        <f aca="false">IF($K1533="Less",$P1533,0)</f>
        <v>0</v>
      </c>
      <c r="U1533" s="64" t="n">
        <f aca="false">IF($K1533="Expected",$P1533,0)</f>
        <v>0</v>
      </c>
      <c r="V1533" s="64" t="n">
        <f aca="false">IF($K1533="Better",$P1533,0)</f>
        <v>0</v>
      </c>
      <c r="W1533" s="64" t="n">
        <f aca="false">IF($K1533="U – needs rule",$P1533,0)</f>
        <v>0</v>
      </c>
      <c r="X1533" s="64" t="n">
        <f aca="false">IF($K1533="No Start (attainment only)",$P1533,0)</f>
        <v>0</v>
      </c>
    </row>
    <row r="1534" customFormat="false" ht="15" hidden="false" customHeight="false" outlineLevel="0" collapsed="false">
      <c r="A1534" s="60"/>
      <c r="B1534" s="61" t="str">
        <f aca="false">IF($M1534=0,"",INDEX(Classes!$E$6:$E$420,$M1534))</f>
        <v/>
      </c>
      <c r="C1534" s="62" t="str">
        <f aca="false">IF($M1534=0,"",INDEX(Classes!$H$6:$H$420,$M1534))</f>
        <v/>
      </c>
      <c r="D1534" s="61" t="str">
        <f aca="false">IF($M1534=0,"",INDEX(Classes!$B$6:$B$420,$M1534))</f>
        <v/>
      </c>
      <c r="E1534" s="61" t="str">
        <f aca="false">IF($M1534=0,"",INDEX(Classes!$C$6:$C$420,$M1534))</f>
        <v/>
      </c>
      <c r="F1534" s="63"/>
      <c r="G1534" s="63"/>
      <c r="H1534" s="60"/>
      <c r="I1534" s="60"/>
      <c r="J1534" s="63"/>
      <c r="K1534" s="61" t="str">
        <f aca="false">IF($P1534=0,"",IF($F1534="Baseline","— Baseline",IF($O1534=0,"No result",IF($N1534=0,"No Start (attainment only)",IF(OR($N1534=1,$O1534=1),"U – needs rule",INDEX(MxBody,MATCH($I1534,MxCurr,0),MATCH($H1534,MxStart,0)))))))</f>
        <v/>
      </c>
      <c r="L1534" s="62" t="str">
        <f aca="false">IF(COUNTA($A1534,$F1534,$G1534,$H1534,$I1534,$J1534)=0,"",IF($M1534=0,"✖ كود الصف غير موجود",IF(ISNA(MATCH($F1534,Lists!$A$2:$A$5,0)),"✖ الفترة غير صحيحة",IF(ISNA(MATCH($G1534,Lists!$B$2:$B$7,0)),"✖ المجموعة غير صحيحة",IF(NOT(OR($H1534="",$N1534&gt;0)),"✖ Start غير صحيح",IF(NOT(OR($I1534="",$I1534="NR",$O1534&gt;0)),"✖ Current غير صحيح",IF(NOT(IF(ISNUMBER($J1534),AND($J1534&gt;=0,$J1534=INT($J1534)),FALSE())),"✖ العدد يجب أن يكون صحيحًا ≥ 0",IF(AND($F1534="Baseline",$H1534&lt;&gt;""),"⚠ Baseline: Start لا يدخل في التقدم",IF($K1534="No Start (attainment only)","ℹ تحصيل فقط (بدون Start)",IF($K1534="U – needs rule","ℹ حالة U تحتاج قاعدة معتمدة",IF($K1534="No result","ℹ بدون نتيجة (يُستبعد من التحصيل)","OK")))))))))))</f>
        <v/>
      </c>
      <c r="M1534" s="64" t="n">
        <f aca="false">IF($A1534="",0,IFERROR(MATCH($A1534,Classes!$A$6:$A$420,0),0))</f>
        <v>0</v>
      </c>
      <c r="N1534" s="64" t="n">
        <f aca="false">IF($H1534="",0,IFERROR(MATCH($H1534,GradeList,0),0))</f>
        <v>0</v>
      </c>
      <c r="O1534" s="64" t="n">
        <f aca="false">IF(OR($I1534="",$I1534="NR"),0,IFERROR(MATCH($I1534,GradeList,0),0))</f>
        <v>0</v>
      </c>
      <c r="P1534" s="64" t="n">
        <f aca="false">IF(AND($M1534&gt;0,ISNUMBER(MATCH($F1534,Lists!$A$2:$A$5,0)),ISNUMBER(MATCH($G1534,Lists!$B$2:$B$7,0)),OR($H1534="",$N1534&gt;0),OR($I1534="",$I1534="NR",$O1534&gt;0),IF(ISNUMBER($J1534),AND($J1534&gt;=0,$J1534=INT($J1534)),FALSE())),$J1534,0)</f>
        <v>0</v>
      </c>
      <c r="Q1534" s="64" t="n">
        <f aca="false">IF(AND($P1534&gt;0,$O1534&gt;0),$P1534,0)</f>
        <v>0</v>
      </c>
      <c r="R1534" s="64" t="n">
        <f aca="false">IF(AND($Q1534&gt;0,$O1534&gt;=AtRank),$Q1534,0)</f>
        <v>0</v>
      </c>
      <c r="S1534" s="64" t="n">
        <f aca="false">IF(AND($Q1534&gt;0,$O1534&gt;=AboveRank),$Q1534,0)</f>
        <v>0</v>
      </c>
      <c r="T1534" s="64" t="n">
        <f aca="false">IF($K1534="Less",$P1534,0)</f>
        <v>0</v>
      </c>
      <c r="U1534" s="64" t="n">
        <f aca="false">IF($K1534="Expected",$P1534,0)</f>
        <v>0</v>
      </c>
      <c r="V1534" s="64" t="n">
        <f aca="false">IF($K1534="Better",$P1534,0)</f>
        <v>0</v>
      </c>
      <c r="W1534" s="64" t="n">
        <f aca="false">IF($K1534="U – needs rule",$P1534,0)</f>
        <v>0</v>
      </c>
      <c r="X1534" s="64" t="n">
        <f aca="false">IF($K1534="No Start (attainment only)",$P1534,0)</f>
        <v>0</v>
      </c>
    </row>
    <row r="1535" customFormat="false" ht="15" hidden="false" customHeight="false" outlineLevel="0" collapsed="false">
      <c r="A1535" s="60"/>
      <c r="B1535" s="61" t="str">
        <f aca="false">IF($M1535=0,"",INDEX(Classes!$E$6:$E$420,$M1535))</f>
        <v/>
      </c>
      <c r="C1535" s="62" t="str">
        <f aca="false">IF($M1535=0,"",INDEX(Classes!$H$6:$H$420,$M1535))</f>
        <v/>
      </c>
      <c r="D1535" s="61" t="str">
        <f aca="false">IF($M1535=0,"",INDEX(Classes!$B$6:$B$420,$M1535))</f>
        <v/>
      </c>
      <c r="E1535" s="61" t="str">
        <f aca="false">IF($M1535=0,"",INDEX(Classes!$C$6:$C$420,$M1535))</f>
        <v/>
      </c>
      <c r="F1535" s="63"/>
      <c r="G1535" s="63"/>
      <c r="H1535" s="60"/>
      <c r="I1535" s="60"/>
      <c r="J1535" s="63"/>
      <c r="K1535" s="61" t="str">
        <f aca="false">IF($P1535=0,"",IF($F1535="Baseline","— Baseline",IF($O1535=0,"No result",IF($N1535=0,"No Start (attainment only)",IF(OR($N1535=1,$O1535=1),"U – needs rule",INDEX(MxBody,MATCH($I1535,MxCurr,0),MATCH($H1535,MxStart,0)))))))</f>
        <v/>
      </c>
      <c r="L1535" s="62" t="str">
        <f aca="false">IF(COUNTA($A1535,$F1535,$G1535,$H1535,$I1535,$J1535)=0,"",IF($M1535=0,"✖ كود الصف غير موجود",IF(ISNA(MATCH($F1535,Lists!$A$2:$A$5,0)),"✖ الفترة غير صحيحة",IF(ISNA(MATCH($G1535,Lists!$B$2:$B$7,0)),"✖ المجموعة غير صحيحة",IF(NOT(OR($H1535="",$N1535&gt;0)),"✖ Start غير صحيح",IF(NOT(OR($I1535="",$I1535="NR",$O1535&gt;0)),"✖ Current غير صحيح",IF(NOT(IF(ISNUMBER($J1535),AND($J1535&gt;=0,$J1535=INT($J1535)),FALSE())),"✖ العدد يجب أن يكون صحيحًا ≥ 0",IF(AND($F1535="Baseline",$H1535&lt;&gt;""),"⚠ Baseline: Start لا يدخل في التقدم",IF($K1535="No Start (attainment only)","ℹ تحصيل فقط (بدون Start)",IF($K1535="U – needs rule","ℹ حالة U تحتاج قاعدة معتمدة",IF($K1535="No result","ℹ بدون نتيجة (يُستبعد من التحصيل)","OK")))))))))))</f>
        <v/>
      </c>
      <c r="M1535" s="64" t="n">
        <f aca="false">IF($A1535="",0,IFERROR(MATCH($A1535,Classes!$A$6:$A$420,0),0))</f>
        <v>0</v>
      </c>
      <c r="N1535" s="64" t="n">
        <f aca="false">IF($H1535="",0,IFERROR(MATCH($H1535,GradeList,0),0))</f>
        <v>0</v>
      </c>
      <c r="O1535" s="64" t="n">
        <f aca="false">IF(OR($I1535="",$I1535="NR"),0,IFERROR(MATCH($I1535,GradeList,0),0))</f>
        <v>0</v>
      </c>
      <c r="P1535" s="64" t="n">
        <f aca="false">IF(AND($M1535&gt;0,ISNUMBER(MATCH($F1535,Lists!$A$2:$A$5,0)),ISNUMBER(MATCH($G1535,Lists!$B$2:$B$7,0)),OR($H1535="",$N1535&gt;0),OR($I1535="",$I1535="NR",$O1535&gt;0),IF(ISNUMBER($J1535),AND($J1535&gt;=0,$J1535=INT($J1535)),FALSE())),$J1535,0)</f>
        <v>0</v>
      </c>
      <c r="Q1535" s="64" t="n">
        <f aca="false">IF(AND($P1535&gt;0,$O1535&gt;0),$P1535,0)</f>
        <v>0</v>
      </c>
      <c r="R1535" s="64" t="n">
        <f aca="false">IF(AND($Q1535&gt;0,$O1535&gt;=AtRank),$Q1535,0)</f>
        <v>0</v>
      </c>
      <c r="S1535" s="64" t="n">
        <f aca="false">IF(AND($Q1535&gt;0,$O1535&gt;=AboveRank),$Q1535,0)</f>
        <v>0</v>
      </c>
      <c r="T1535" s="64" t="n">
        <f aca="false">IF($K1535="Less",$P1535,0)</f>
        <v>0</v>
      </c>
      <c r="U1535" s="64" t="n">
        <f aca="false">IF($K1535="Expected",$P1535,0)</f>
        <v>0</v>
      </c>
      <c r="V1535" s="64" t="n">
        <f aca="false">IF($K1535="Better",$P1535,0)</f>
        <v>0</v>
      </c>
      <c r="W1535" s="64" t="n">
        <f aca="false">IF($K1535="U – needs rule",$P1535,0)</f>
        <v>0</v>
      </c>
      <c r="X1535" s="64" t="n">
        <f aca="false">IF($K1535="No Start (attainment only)",$P1535,0)</f>
        <v>0</v>
      </c>
    </row>
    <row r="1536" customFormat="false" ht="15" hidden="false" customHeight="false" outlineLevel="0" collapsed="false">
      <c r="A1536" s="60"/>
      <c r="B1536" s="61" t="str">
        <f aca="false">IF($M1536=0,"",INDEX(Classes!$E$6:$E$420,$M1536))</f>
        <v/>
      </c>
      <c r="C1536" s="62" t="str">
        <f aca="false">IF($M1536=0,"",INDEX(Classes!$H$6:$H$420,$M1536))</f>
        <v/>
      </c>
      <c r="D1536" s="61" t="str">
        <f aca="false">IF($M1536=0,"",INDEX(Classes!$B$6:$B$420,$M1536))</f>
        <v/>
      </c>
      <c r="E1536" s="61" t="str">
        <f aca="false">IF($M1536=0,"",INDEX(Classes!$C$6:$C$420,$M1536))</f>
        <v/>
      </c>
      <c r="F1536" s="63"/>
      <c r="G1536" s="63"/>
      <c r="H1536" s="60"/>
      <c r="I1536" s="60"/>
      <c r="J1536" s="63"/>
      <c r="K1536" s="61" t="str">
        <f aca="false">IF($P1536=0,"",IF($F1536="Baseline","— Baseline",IF($O1536=0,"No result",IF($N1536=0,"No Start (attainment only)",IF(OR($N1536=1,$O1536=1),"U – needs rule",INDEX(MxBody,MATCH($I1536,MxCurr,0),MATCH($H1536,MxStart,0)))))))</f>
        <v/>
      </c>
      <c r="L1536" s="62" t="str">
        <f aca="false">IF(COUNTA($A1536,$F1536,$G1536,$H1536,$I1536,$J1536)=0,"",IF($M1536=0,"✖ كود الصف غير موجود",IF(ISNA(MATCH($F1536,Lists!$A$2:$A$5,0)),"✖ الفترة غير صحيحة",IF(ISNA(MATCH($G1536,Lists!$B$2:$B$7,0)),"✖ المجموعة غير صحيحة",IF(NOT(OR($H1536="",$N1536&gt;0)),"✖ Start غير صحيح",IF(NOT(OR($I1536="",$I1536="NR",$O1536&gt;0)),"✖ Current غير صحيح",IF(NOT(IF(ISNUMBER($J1536),AND($J1536&gt;=0,$J1536=INT($J1536)),FALSE())),"✖ العدد يجب أن يكون صحيحًا ≥ 0",IF(AND($F1536="Baseline",$H1536&lt;&gt;""),"⚠ Baseline: Start لا يدخل في التقدم",IF($K1536="No Start (attainment only)","ℹ تحصيل فقط (بدون Start)",IF($K1536="U – needs rule","ℹ حالة U تحتاج قاعدة معتمدة",IF($K1536="No result","ℹ بدون نتيجة (يُستبعد من التحصيل)","OK")))))))))))</f>
        <v/>
      </c>
      <c r="M1536" s="64" t="n">
        <f aca="false">IF($A1536="",0,IFERROR(MATCH($A1536,Classes!$A$6:$A$420,0),0))</f>
        <v>0</v>
      </c>
      <c r="N1536" s="64" t="n">
        <f aca="false">IF($H1536="",0,IFERROR(MATCH($H1536,GradeList,0),0))</f>
        <v>0</v>
      </c>
      <c r="O1536" s="64" t="n">
        <f aca="false">IF(OR($I1536="",$I1536="NR"),0,IFERROR(MATCH($I1536,GradeList,0),0))</f>
        <v>0</v>
      </c>
      <c r="P1536" s="64" t="n">
        <f aca="false">IF(AND($M1536&gt;0,ISNUMBER(MATCH($F1536,Lists!$A$2:$A$5,0)),ISNUMBER(MATCH($G1536,Lists!$B$2:$B$7,0)),OR($H1536="",$N1536&gt;0),OR($I1536="",$I1536="NR",$O1536&gt;0),IF(ISNUMBER($J1536),AND($J1536&gt;=0,$J1536=INT($J1536)),FALSE())),$J1536,0)</f>
        <v>0</v>
      </c>
      <c r="Q1536" s="64" t="n">
        <f aca="false">IF(AND($P1536&gt;0,$O1536&gt;0),$P1536,0)</f>
        <v>0</v>
      </c>
      <c r="R1536" s="64" t="n">
        <f aca="false">IF(AND($Q1536&gt;0,$O1536&gt;=AtRank),$Q1536,0)</f>
        <v>0</v>
      </c>
      <c r="S1536" s="64" t="n">
        <f aca="false">IF(AND($Q1536&gt;0,$O1536&gt;=AboveRank),$Q1536,0)</f>
        <v>0</v>
      </c>
      <c r="T1536" s="64" t="n">
        <f aca="false">IF($K1536="Less",$P1536,0)</f>
        <v>0</v>
      </c>
      <c r="U1536" s="64" t="n">
        <f aca="false">IF($K1536="Expected",$P1536,0)</f>
        <v>0</v>
      </c>
      <c r="V1536" s="64" t="n">
        <f aca="false">IF($K1536="Better",$P1536,0)</f>
        <v>0</v>
      </c>
      <c r="W1536" s="64" t="n">
        <f aca="false">IF($K1536="U – needs rule",$P1536,0)</f>
        <v>0</v>
      </c>
      <c r="X1536" s="64" t="n">
        <f aca="false">IF($K1536="No Start (attainment only)",$P1536,0)</f>
        <v>0</v>
      </c>
    </row>
    <row r="1537" customFormat="false" ht="15" hidden="false" customHeight="false" outlineLevel="0" collapsed="false">
      <c r="A1537" s="60"/>
      <c r="B1537" s="61" t="str">
        <f aca="false">IF($M1537=0,"",INDEX(Classes!$E$6:$E$420,$M1537))</f>
        <v/>
      </c>
      <c r="C1537" s="62" t="str">
        <f aca="false">IF($M1537=0,"",INDEX(Classes!$H$6:$H$420,$M1537))</f>
        <v/>
      </c>
      <c r="D1537" s="61" t="str">
        <f aca="false">IF($M1537=0,"",INDEX(Classes!$B$6:$B$420,$M1537))</f>
        <v/>
      </c>
      <c r="E1537" s="61" t="str">
        <f aca="false">IF($M1537=0,"",INDEX(Classes!$C$6:$C$420,$M1537))</f>
        <v/>
      </c>
      <c r="F1537" s="63"/>
      <c r="G1537" s="63"/>
      <c r="H1537" s="60"/>
      <c r="I1537" s="60"/>
      <c r="J1537" s="63"/>
      <c r="K1537" s="61" t="str">
        <f aca="false">IF($P1537=0,"",IF($F1537="Baseline","— Baseline",IF($O1537=0,"No result",IF($N1537=0,"No Start (attainment only)",IF(OR($N1537=1,$O1537=1),"U – needs rule",INDEX(MxBody,MATCH($I1537,MxCurr,0),MATCH($H1537,MxStart,0)))))))</f>
        <v/>
      </c>
      <c r="L1537" s="62" t="str">
        <f aca="false">IF(COUNTA($A1537,$F1537,$G1537,$H1537,$I1537,$J1537)=0,"",IF($M1537=0,"✖ كود الصف غير موجود",IF(ISNA(MATCH($F1537,Lists!$A$2:$A$5,0)),"✖ الفترة غير صحيحة",IF(ISNA(MATCH($G1537,Lists!$B$2:$B$7,0)),"✖ المجموعة غير صحيحة",IF(NOT(OR($H1537="",$N1537&gt;0)),"✖ Start غير صحيح",IF(NOT(OR($I1537="",$I1537="NR",$O1537&gt;0)),"✖ Current غير صحيح",IF(NOT(IF(ISNUMBER($J1537),AND($J1537&gt;=0,$J1537=INT($J1537)),FALSE())),"✖ العدد يجب أن يكون صحيحًا ≥ 0",IF(AND($F1537="Baseline",$H1537&lt;&gt;""),"⚠ Baseline: Start لا يدخل في التقدم",IF($K1537="No Start (attainment only)","ℹ تحصيل فقط (بدون Start)",IF($K1537="U – needs rule","ℹ حالة U تحتاج قاعدة معتمدة",IF($K1537="No result","ℹ بدون نتيجة (يُستبعد من التحصيل)","OK")))))))))))</f>
        <v/>
      </c>
      <c r="M1537" s="64" t="n">
        <f aca="false">IF($A1537="",0,IFERROR(MATCH($A1537,Classes!$A$6:$A$420,0),0))</f>
        <v>0</v>
      </c>
      <c r="N1537" s="64" t="n">
        <f aca="false">IF($H1537="",0,IFERROR(MATCH($H1537,GradeList,0),0))</f>
        <v>0</v>
      </c>
      <c r="O1537" s="64" t="n">
        <f aca="false">IF(OR($I1537="",$I1537="NR"),0,IFERROR(MATCH($I1537,GradeList,0),0))</f>
        <v>0</v>
      </c>
      <c r="P1537" s="64" t="n">
        <f aca="false">IF(AND($M1537&gt;0,ISNUMBER(MATCH($F1537,Lists!$A$2:$A$5,0)),ISNUMBER(MATCH($G1537,Lists!$B$2:$B$7,0)),OR($H1537="",$N1537&gt;0),OR($I1537="",$I1537="NR",$O1537&gt;0),IF(ISNUMBER($J1537),AND($J1537&gt;=0,$J1537=INT($J1537)),FALSE())),$J1537,0)</f>
        <v>0</v>
      </c>
      <c r="Q1537" s="64" t="n">
        <f aca="false">IF(AND($P1537&gt;0,$O1537&gt;0),$P1537,0)</f>
        <v>0</v>
      </c>
      <c r="R1537" s="64" t="n">
        <f aca="false">IF(AND($Q1537&gt;0,$O1537&gt;=AtRank),$Q1537,0)</f>
        <v>0</v>
      </c>
      <c r="S1537" s="64" t="n">
        <f aca="false">IF(AND($Q1537&gt;0,$O1537&gt;=AboveRank),$Q1537,0)</f>
        <v>0</v>
      </c>
      <c r="T1537" s="64" t="n">
        <f aca="false">IF($K1537="Less",$P1537,0)</f>
        <v>0</v>
      </c>
      <c r="U1537" s="64" t="n">
        <f aca="false">IF($K1537="Expected",$P1537,0)</f>
        <v>0</v>
      </c>
      <c r="V1537" s="64" t="n">
        <f aca="false">IF($K1537="Better",$P1537,0)</f>
        <v>0</v>
      </c>
      <c r="W1537" s="64" t="n">
        <f aca="false">IF($K1537="U – needs rule",$P1537,0)</f>
        <v>0</v>
      </c>
      <c r="X1537" s="64" t="n">
        <f aca="false">IF($K1537="No Start (attainment only)",$P1537,0)</f>
        <v>0</v>
      </c>
    </row>
    <row r="1538" customFormat="false" ht="15" hidden="false" customHeight="false" outlineLevel="0" collapsed="false">
      <c r="A1538" s="60"/>
      <c r="B1538" s="61" t="str">
        <f aca="false">IF($M1538=0,"",INDEX(Classes!$E$6:$E$420,$M1538))</f>
        <v/>
      </c>
      <c r="C1538" s="62" t="str">
        <f aca="false">IF($M1538=0,"",INDEX(Classes!$H$6:$H$420,$M1538))</f>
        <v/>
      </c>
      <c r="D1538" s="61" t="str">
        <f aca="false">IF($M1538=0,"",INDEX(Classes!$B$6:$B$420,$M1538))</f>
        <v/>
      </c>
      <c r="E1538" s="61" t="str">
        <f aca="false">IF($M1538=0,"",INDEX(Classes!$C$6:$C$420,$M1538))</f>
        <v/>
      </c>
      <c r="F1538" s="63"/>
      <c r="G1538" s="63"/>
      <c r="H1538" s="60"/>
      <c r="I1538" s="60"/>
      <c r="J1538" s="63"/>
      <c r="K1538" s="61" t="str">
        <f aca="false">IF($P1538=0,"",IF($F1538="Baseline","— Baseline",IF($O1538=0,"No result",IF($N1538=0,"No Start (attainment only)",IF(OR($N1538=1,$O1538=1),"U – needs rule",INDEX(MxBody,MATCH($I1538,MxCurr,0),MATCH($H1538,MxStart,0)))))))</f>
        <v/>
      </c>
      <c r="L1538" s="62" t="str">
        <f aca="false">IF(COUNTA($A1538,$F1538,$G1538,$H1538,$I1538,$J1538)=0,"",IF($M1538=0,"✖ كود الصف غير موجود",IF(ISNA(MATCH($F1538,Lists!$A$2:$A$5,0)),"✖ الفترة غير صحيحة",IF(ISNA(MATCH($G1538,Lists!$B$2:$B$7,0)),"✖ المجموعة غير صحيحة",IF(NOT(OR($H1538="",$N1538&gt;0)),"✖ Start غير صحيح",IF(NOT(OR($I1538="",$I1538="NR",$O1538&gt;0)),"✖ Current غير صحيح",IF(NOT(IF(ISNUMBER($J1538),AND($J1538&gt;=0,$J1538=INT($J1538)),FALSE())),"✖ العدد يجب أن يكون صحيحًا ≥ 0",IF(AND($F1538="Baseline",$H1538&lt;&gt;""),"⚠ Baseline: Start لا يدخل في التقدم",IF($K1538="No Start (attainment only)","ℹ تحصيل فقط (بدون Start)",IF($K1538="U – needs rule","ℹ حالة U تحتاج قاعدة معتمدة",IF($K1538="No result","ℹ بدون نتيجة (يُستبعد من التحصيل)","OK")))))))))))</f>
        <v/>
      </c>
      <c r="M1538" s="64" t="n">
        <f aca="false">IF($A1538="",0,IFERROR(MATCH($A1538,Classes!$A$6:$A$420,0),0))</f>
        <v>0</v>
      </c>
      <c r="N1538" s="64" t="n">
        <f aca="false">IF($H1538="",0,IFERROR(MATCH($H1538,GradeList,0),0))</f>
        <v>0</v>
      </c>
      <c r="O1538" s="64" t="n">
        <f aca="false">IF(OR($I1538="",$I1538="NR"),0,IFERROR(MATCH($I1538,GradeList,0),0))</f>
        <v>0</v>
      </c>
      <c r="P1538" s="64" t="n">
        <f aca="false">IF(AND($M1538&gt;0,ISNUMBER(MATCH($F1538,Lists!$A$2:$A$5,0)),ISNUMBER(MATCH($G1538,Lists!$B$2:$B$7,0)),OR($H1538="",$N1538&gt;0),OR($I1538="",$I1538="NR",$O1538&gt;0),IF(ISNUMBER($J1538),AND($J1538&gt;=0,$J1538=INT($J1538)),FALSE())),$J1538,0)</f>
        <v>0</v>
      </c>
      <c r="Q1538" s="64" t="n">
        <f aca="false">IF(AND($P1538&gt;0,$O1538&gt;0),$P1538,0)</f>
        <v>0</v>
      </c>
      <c r="R1538" s="64" t="n">
        <f aca="false">IF(AND($Q1538&gt;0,$O1538&gt;=AtRank),$Q1538,0)</f>
        <v>0</v>
      </c>
      <c r="S1538" s="64" t="n">
        <f aca="false">IF(AND($Q1538&gt;0,$O1538&gt;=AboveRank),$Q1538,0)</f>
        <v>0</v>
      </c>
      <c r="T1538" s="64" t="n">
        <f aca="false">IF($K1538="Less",$P1538,0)</f>
        <v>0</v>
      </c>
      <c r="U1538" s="64" t="n">
        <f aca="false">IF($K1538="Expected",$P1538,0)</f>
        <v>0</v>
      </c>
      <c r="V1538" s="64" t="n">
        <f aca="false">IF($K1538="Better",$P1538,0)</f>
        <v>0</v>
      </c>
      <c r="W1538" s="64" t="n">
        <f aca="false">IF($K1538="U – needs rule",$P1538,0)</f>
        <v>0</v>
      </c>
      <c r="X1538" s="64" t="n">
        <f aca="false">IF($K1538="No Start (attainment only)",$P1538,0)</f>
        <v>0</v>
      </c>
    </row>
    <row r="1539" customFormat="false" ht="15" hidden="false" customHeight="false" outlineLevel="0" collapsed="false">
      <c r="A1539" s="60"/>
      <c r="B1539" s="61" t="str">
        <f aca="false">IF($M1539=0,"",INDEX(Classes!$E$6:$E$420,$M1539))</f>
        <v/>
      </c>
      <c r="C1539" s="62" t="str">
        <f aca="false">IF($M1539=0,"",INDEX(Classes!$H$6:$H$420,$M1539))</f>
        <v/>
      </c>
      <c r="D1539" s="61" t="str">
        <f aca="false">IF($M1539=0,"",INDEX(Classes!$B$6:$B$420,$M1539))</f>
        <v/>
      </c>
      <c r="E1539" s="61" t="str">
        <f aca="false">IF($M1539=0,"",INDEX(Classes!$C$6:$C$420,$M1539))</f>
        <v/>
      </c>
      <c r="F1539" s="63"/>
      <c r="G1539" s="63"/>
      <c r="H1539" s="60"/>
      <c r="I1539" s="60"/>
      <c r="J1539" s="63"/>
      <c r="K1539" s="61" t="str">
        <f aca="false">IF($P1539=0,"",IF($F1539="Baseline","— Baseline",IF($O1539=0,"No result",IF($N1539=0,"No Start (attainment only)",IF(OR($N1539=1,$O1539=1),"U – needs rule",INDEX(MxBody,MATCH($I1539,MxCurr,0),MATCH($H1539,MxStart,0)))))))</f>
        <v/>
      </c>
      <c r="L1539" s="62" t="str">
        <f aca="false">IF(COUNTA($A1539,$F1539,$G1539,$H1539,$I1539,$J1539)=0,"",IF($M1539=0,"✖ كود الصف غير موجود",IF(ISNA(MATCH($F1539,Lists!$A$2:$A$5,0)),"✖ الفترة غير صحيحة",IF(ISNA(MATCH($G1539,Lists!$B$2:$B$7,0)),"✖ المجموعة غير صحيحة",IF(NOT(OR($H1539="",$N1539&gt;0)),"✖ Start غير صحيح",IF(NOT(OR($I1539="",$I1539="NR",$O1539&gt;0)),"✖ Current غير صحيح",IF(NOT(IF(ISNUMBER($J1539),AND($J1539&gt;=0,$J1539=INT($J1539)),FALSE())),"✖ العدد يجب أن يكون صحيحًا ≥ 0",IF(AND($F1539="Baseline",$H1539&lt;&gt;""),"⚠ Baseline: Start لا يدخل في التقدم",IF($K1539="No Start (attainment only)","ℹ تحصيل فقط (بدون Start)",IF($K1539="U – needs rule","ℹ حالة U تحتاج قاعدة معتمدة",IF($K1539="No result","ℹ بدون نتيجة (يُستبعد من التحصيل)","OK")))))))))))</f>
        <v/>
      </c>
      <c r="M1539" s="64" t="n">
        <f aca="false">IF($A1539="",0,IFERROR(MATCH($A1539,Classes!$A$6:$A$420,0),0))</f>
        <v>0</v>
      </c>
      <c r="N1539" s="64" t="n">
        <f aca="false">IF($H1539="",0,IFERROR(MATCH($H1539,GradeList,0),0))</f>
        <v>0</v>
      </c>
      <c r="O1539" s="64" t="n">
        <f aca="false">IF(OR($I1539="",$I1539="NR"),0,IFERROR(MATCH($I1539,GradeList,0),0))</f>
        <v>0</v>
      </c>
      <c r="P1539" s="64" t="n">
        <f aca="false">IF(AND($M1539&gt;0,ISNUMBER(MATCH($F1539,Lists!$A$2:$A$5,0)),ISNUMBER(MATCH($G1539,Lists!$B$2:$B$7,0)),OR($H1539="",$N1539&gt;0),OR($I1539="",$I1539="NR",$O1539&gt;0),IF(ISNUMBER($J1539),AND($J1539&gt;=0,$J1539=INT($J1539)),FALSE())),$J1539,0)</f>
        <v>0</v>
      </c>
      <c r="Q1539" s="64" t="n">
        <f aca="false">IF(AND($P1539&gt;0,$O1539&gt;0),$P1539,0)</f>
        <v>0</v>
      </c>
      <c r="R1539" s="64" t="n">
        <f aca="false">IF(AND($Q1539&gt;0,$O1539&gt;=AtRank),$Q1539,0)</f>
        <v>0</v>
      </c>
      <c r="S1539" s="64" t="n">
        <f aca="false">IF(AND($Q1539&gt;0,$O1539&gt;=AboveRank),$Q1539,0)</f>
        <v>0</v>
      </c>
      <c r="T1539" s="64" t="n">
        <f aca="false">IF($K1539="Less",$P1539,0)</f>
        <v>0</v>
      </c>
      <c r="U1539" s="64" t="n">
        <f aca="false">IF($K1539="Expected",$P1539,0)</f>
        <v>0</v>
      </c>
      <c r="V1539" s="64" t="n">
        <f aca="false">IF($K1539="Better",$P1539,0)</f>
        <v>0</v>
      </c>
      <c r="W1539" s="64" t="n">
        <f aca="false">IF($K1539="U – needs rule",$P1539,0)</f>
        <v>0</v>
      </c>
      <c r="X1539" s="64" t="n">
        <f aca="false">IF($K1539="No Start (attainment only)",$P1539,0)</f>
        <v>0</v>
      </c>
    </row>
    <row r="1540" customFormat="false" ht="15" hidden="false" customHeight="false" outlineLevel="0" collapsed="false">
      <c r="A1540" s="60"/>
      <c r="B1540" s="61" t="str">
        <f aca="false">IF($M1540=0,"",INDEX(Classes!$E$6:$E$420,$M1540))</f>
        <v/>
      </c>
      <c r="C1540" s="62" t="str">
        <f aca="false">IF($M1540=0,"",INDEX(Classes!$H$6:$H$420,$M1540))</f>
        <v/>
      </c>
      <c r="D1540" s="61" t="str">
        <f aca="false">IF($M1540=0,"",INDEX(Classes!$B$6:$B$420,$M1540))</f>
        <v/>
      </c>
      <c r="E1540" s="61" t="str">
        <f aca="false">IF($M1540=0,"",INDEX(Classes!$C$6:$C$420,$M1540))</f>
        <v/>
      </c>
      <c r="F1540" s="63"/>
      <c r="G1540" s="63"/>
      <c r="H1540" s="60"/>
      <c r="I1540" s="60"/>
      <c r="J1540" s="63"/>
      <c r="K1540" s="61" t="str">
        <f aca="false">IF($P1540=0,"",IF($F1540="Baseline","— Baseline",IF($O1540=0,"No result",IF($N1540=0,"No Start (attainment only)",IF(OR($N1540=1,$O1540=1),"U – needs rule",INDEX(MxBody,MATCH($I1540,MxCurr,0),MATCH($H1540,MxStart,0)))))))</f>
        <v/>
      </c>
      <c r="L1540" s="62" t="str">
        <f aca="false">IF(COUNTA($A1540,$F1540,$G1540,$H1540,$I1540,$J1540)=0,"",IF($M1540=0,"✖ كود الصف غير موجود",IF(ISNA(MATCH($F1540,Lists!$A$2:$A$5,0)),"✖ الفترة غير صحيحة",IF(ISNA(MATCH($G1540,Lists!$B$2:$B$7,0)),"✖ المجموعة غير صحيحة",IF(NOT(OR($H1540="",$N1540&gt;0)),"✖ Start غير صحيح",IF(NOT(OR($I1540="",$I1540="NR",$O1540&gt;0)),"✖ Current غير صحيح",IF(NOT(IF(ISNUMBER($J1540),AND($J1540&gt;=0,$J1540=INT($J1540)),FALSE())),"✖ العدد يجب أن يكون صحيحًا ≥ 0",IF(AND($F1540="Baseline",$H1540&lt;&gt;""),"⚠ Baseline: Start لا يدخل في التقدم",IF($K1540="No Start (attainment only)","ℹ تحصيل فقط (بدون Start)",IF($K1540="U – needs rule","ℹ حالة U تحتاج قاعدة معتمدة",IF($K1540="No result","ℹ بدون نتيجة (يُستبعد من التحصيل)","OK")))))))))))</f>
        <v/>
      </c>
      <c r="M1540" s="64" t="n">
        <f aca="false">IF($A1540="",0,IFERROR(MATCH($A1540,Classes!$A$6:$A$420,0),0))</f>
        <v>0</v>
      </c>
      <c r="N1540" s="64" t="n">
        <f aca="false">IF($H1540="",0,IFERROR(MATCH($H1540,GradeList,0),0))</f>
        <v>0</v>
      </c>
      <c r="O1540" s="64" t="n">
        <f aca="false">IF(OR($I1540="",$I1540="NR"),0,IFERROR(MATCH($I1540,GradeList,0),0))</f>
        <v>0</v>
      </c>
      <c r="P1540" s="64" t="n">
        <f aca="false">IF(AND($M1540&gt;0,ISNUMBER(MATCH($F1540,Lists!$A$2:$A$5,0)),ISNUMBER(MATCH($G1540,Lists!$B$2:$B$7,0)),OR($H1540="",$N1540&gt;0),OR($I1540="",$I1540="NR",$O1540&gt;0),IF(ISNUMBER($J1540),AND($J1540&gt;=0,$J1540=INT($J1540)),FALSE())),$J1540,0)</f>
        <v>0</v>
      </c>
      <c r="Q1540" s="64" t="n">
        <f aca="false">IF(AND($P1540&gt;0,$O1540&gt;0),$P1540,0)</f>
        <v>0</v>
      </c>
      <c r="R1540" s="64" t="n">
        <f aca="false">IF(AND($Q1540&gt;0,$O1540&gt;=AtRank),$Q1540,0)</f>
        <v>0</v>
      </c>
      <c r="S1540" s="64" t="n">
        <f aca="false">IF(AND($Q1540&gt;0,$O1540&gt;=AboveRank),$Q1540,0)</f>
        <v>0</v>
      </c>
      <c r="T1540" s="64" t="n">
        <f aca="false">IF($K1540="Less",$P1540,0)</f>
        <v>0</v>
      </c>
      <c r="U1540" s="64" t="n">
        <f aca="false">IF($K1540="Expected",$P1540,0)</f>
        <v>0</v>
      </c>
      <c r="V1540" s="64" t="n">
        <f aca="false">IF($K1540="Better",$P1540,0)</f>
        <v>0</v>
      </c>
      <c r="W1540" s="64" t="n">
        <f aca="false">IF($K1540="U – needs rule",$P1540,0)</f>
        <v>0</v>
      </c>
      <c r="X1540" s="64" t="n">
        <f aca="false">IF($K1540="No Start (attainment only)",$P1540,0)</f>
        <v>0</v>
      </c>
    </row>
    <row r="1541" customFormat="false" ht="15" hidden="false" customHeight="false" outlineLevel="0" collapsed="false">
      <c r="A1541" s="60"/>
      <c r="B1541" s="61" t="str">
        <f aca="false">IF($M1541=0,"",INDEX(Classes!$E$6:$E$420,$M1541))</f>
        <v/>
      </c>
      <c r="C1541" s="62" t="str">
        <f aca="false">IF($M1541=0,"",INDEX(Classes!$H$6:$H$420,$M1541))</f>
        <v/>
      </c>
      <c r="D1541" s="61" t="str">
        <f aca="false">IF($M1541=0,"",INDEX(Classes!$B$6:$B$420,$M1541))</f>
        <v/>
      </c>
      <c r="E1541" s="61" t="str">
        <f aca="false">IF($M1541=0,"",INDEX(Classes!$C$6:$C$420,$M1541))</f>
        <v/>
      </c>
      <c r="F1541" s="63"/>
      <c r="G1541" s="63"/>
      <c r="H1541" s="60"/>
      <c r="I1541" s="60"/>
      <c r="J1541" s="63"/>
      <c r="K1541" s="61" t="str">
        <f aca="false">IF($P1541=0,"",IF($F1541="Baseline","— Baseline",IF($O1541=0,"No result",IF($N1541=0,"No Start (attainment only)",IF(OR($N1541=1,$O1541=1),"U – needs rule",INDEX(MxBody,MATCH($I1541,MxCurr,0),MATCH($H1541,MxStart,0)))))))</f>
        <v/>
      </c>
      <c r="L1541" s="62" t="str">
        <f aca="false">IF(COUNTA($A1541,$F1541,$G1541,$H1541,$I1541,$J1541)=0,"",IF($M1541=0,"✖ كود الصف غير موجود",IF(ISNA(MATCH($F1541,Lists!$A$2:$A$5,0)),"✖ الفترة غير صحيحة",IF(ISNA(MATCH($G1541,Lists!$B$2:$B$7,0)),"✖ المجموعة غير صحيحة",IF(NOT(OR($H1541="",$N1541&gt;0)),"✖ Start غير صحيح",IF(NOT(OR($I1541="",$I1541="NR",$O1541&gt;0)),"✖ Current غير صحيح",IF(NOT(IF(ISNUMBER($J1541),AND($J1541&gt;=0,$J1541=INT($J1541)),FALSE())),"✖ العدد يجب أن يكون صحيحًا ≥ 0",IF(AND($F1541="Baseline",$H1541&lt;&gt;""),"⚠ Baseline: Start لا يدخل في التقدم",IF($K1541="No Start (attainment only)","ℹ تحصيل فقط (بدون Start)",IF($K1541="U – needs rule","ℹ حالة U تحتاج قاعدة معتمدة",IF($K1541="No result","ℹ بدون نتيجة (يُستبعد من التحصيل)","OK")))))))))))</f>
        <v/>
      </c>
      <c r="M1541" s="64" t="n">
        <f aca="false">IF($A1541="",0,IFERROR(MATCH($A1541,Classes!$A$6:$A$420,0),0))</f>
        <v>0</v>
      </c>
      <c r="N1541" s="64" t="n">
        <f aca="false">IF($H1541="",0,IFERROR(MATCH($H1541,GradeList,0),0))</f>
        <v>0</v>
      </c>
      <c r="O1541" s="64" t="n">
        <f aca="false">IF(OR($I1541="",$I1541="NR"),0,IFERROR(MATCH($I1541,GradeList,0),0))</f>
        <v>0</v>
      </c>
      <c r="P1541" s="64" t="n">
        <f aca="false">IF(AND($M1541&gt;0,ISNUMBER(MATCH($F1541,Lists!$A$2:$A$5,0)),ISNUMBER(MATCH($G1541,Lists!$B$2:$B$7,0)),OR($H1541="",$N1541&gt;0),OR($I1541="",$I1541="NR",$O1541&gt;0),IF(ISNUMBER($J1541),AND($J1541&gt;=0,$J1541=INT($J1541)),FALSE())),$J1541,0)</f>
        <v>0</v>
      </c>
      <c r="Q1541" s="64" t="n">
        <f aca="false">IF(AND($P1541&gt;0,$O1541&gt;0),$P1541,0)</f>
        <v>0</v>
      </c>
      <c r="R1541" s="64" t="n">
        <f aca="false">IF(AND($Q1541&gt;0,$O1541&gt;=AtRank),$Q1541,0)</f>
        <v>0</v>
      </c>
      <c r="S1541" s="64" t="n">
        <f aca="false">IF(AND($Q1541&gt;0,$O1541&gt;=AboveRank),$Q1541,0)</f>
        <v>0</v>
      </c>
      <c r="T1541" s="64" t="n">
        <f aca="false">IF($K1541="Less",$P1541,0)</f>
        <v>0</v>
      </c>
      <c r="U1541" s="64" t="n">
        <f aca="false">IF($K1541="Expected",$P1541,0)</f>
        <v>0</v>
      </c>
      <c r="V1541" s="64" t="n">
        <f aca="false">IF($K1541="Better",$P1541,0)</f>
        <v>0</v>
      </c>
      <c r="W1541" s="64" t="n">
        <f aca="false">IF($K1541="U – needs rule",$P1541,0)</f>
        <v>0</v>
      </c>
      <c r="X1541" s="64" t="n">
        <f aca="false">IF($K1541="No Start (attainment only)",$P1541,0)</f>
        <v>0</v>
      </c>
    </row>
    <row r="1542" customFormat="false" ht="15" hidden="false" customHeight="false" outlineLevel="0" collapsed="false">
      <c r="A1542" s="60"/>
      <c r="B1542" s="61" t="str">
        <f aca="false">IF($M1542=0,"",INDEX(Classes!$E$6:$E$420,$M1542))</f>
        <v/>
      </c>
      <c r="C1542" s="62" t="str">
        <f aca="false">IF($M1542=0,"",INDEX(Classes!$H$6:$H$420,$M1542))</f>
        <v/>
      </c>
      <c r="D1542" s="61" t="str">
        <f aca="false">IF($M1542=0,"",INDEX(Classes!$B$6:$B$420,$M1542))</f>
        <v/>
      </c>
      <c r="E1542" s="61" t="str">
        <f aca="false">IF($M1542=0,"",INDEX(Classes!$C$6:$C$420,$M1542))</f>
        <v/>
      </c>
      <c r="F1542" s="63"/>
      <c r="G1542" s="63"/>
      <c r="H1542" s="60"/>
      <c r="I1542" s="60"/>
      <c r="J1542" s="63"/>
      <c r="K1542" s="61" t="str">
        <f aca="false">IF($P1542=0,"",IF($F1542="Baseline","— Baseline",IF($O1542=0,"No result",IF($N1542=0,"No Start (attainment only)",IF(OR($N1542=1,$O1542=1),"U – needs rule",INDEX(MxBody,MATCH($I1542,MxCurr,0),MATCH($H1542,MxStart,0)))))))</f>
        <v/>
      </c>
      <c r="L1542" s="62" t="str">
        <f aca="false">IF(COUNTA($A1542,$F1542,$G1542,$H1542,$I1542,$J1542)=0,"",IF($M1542=0,"✖ كود الصف غير موجود",IF(ISNA(MATCH($F1542,Lists!$A$2:$A$5,0)),"✖ الفترة غير صحيحة",IF(ISNA(MATCH($G1542,Lists!$B$2:$B$7,0)),"✖ المجموعة غير صحيحة",IF(NOT(OR($H1542="",$N1542&gt;0)),"✖ Start غير صحيح",IF(NOT(OR($I1542="",$I1542="NR",$O1542&gt;0)),"✖ Current غير صحيح",IF(NOT(IF(ISNUMBER($J1542),AND($J1542&gt;=0,$J1542=INT($J1542)),FALSE())),"✖ العدد يجب أن يكون صحيحًا ≥ 0",IF(AND($F1542="Baseline",$H1542&lt;&gt;""),"⚠ Baseline: Start لا يدخل في التقدم",IF($K1542="No Start (attainment only)","ℹ تحصيل فقط (بدون Start)",IF($K1542="U – needs rule","ℹ حالة U تحتاج قاعدة معتمدة",IF($K1542="No result","ℹ بدون نتيجة (يُستبعد من التحصيل)","OK")))))))))))</f>
        <v/>
      </c>
      <c r="M1542" s="64" t="n">
        <f aca="false">IF($A1542="",0,IFERROR(MATCH($A1542,Classes!$A$6:$A$420,0),0))</f>
        <v>0</v>
      </c>
      <c r="N1542" s="64" t="n">
        <f aca="false">IF($H1542="",0,IFERROR(MATCH($H1542,GradeList,0),0))</f>
        <v>0</v>
      </c>
      <c r="O1542" s="64" t="n">
        <f aca="false">IF(OR($I1542="",$I1542="NR"),0,IFERROR(MATCH($I1542,GradeList,0),0))</f>
        <v>0</v>
      </c>
      <c r="P1542" s="64" t="n">
        <f aca="false">IF(AND($M1542&gt;0,ISNUMBER(MATCH($F1542,Lists!$A$2:$A$5,0)),ISNUMBER(MATCH($G1542,Lists!$B$2:$B$7,0)),OR($H1542="",$N1542&gt;0),OR($I1542="",$I1542="NR",$O1542&gt;0),IF(ISNUMBER($J1542),AND($J1542&gt;=0,$J1542=INT($J1542)),FALSE())),$J1542,0)</f>
        <v>0</v>
      </c>
      <c r="Q1542" s="64" t="n">
        <f aca="false">IF(AND($P1542&gt;0,$O1542&gt;0),$P1542,0)</f>
        <v>0</v>
      </c>
      <c r="R1542" s="64" t="n">
        <f aca="false">IF(AND($Q1542&gt;0,$O1542&gt;=AtRank),$Q1542,0)</f>
        <v>0</v>
      </c>
      <c r="S1542" s="64" t="n">
        <f aca="false">IF(AND($Q1542&gt;0,$O1542&gt;=AboveRank),$Q1542,0)</f>
        <v>0</v>
      </c>
      <c r="T1542" s="64" t="n">
        <f aca="false">IF($K1542="Less",$P1542,0)</f>
        <v>0</v>
      </c>
      <c r="U1542" s="64" t="n">
        <f aca="false">IF($K1542="Expected",$P1542,0)</f>
        <v>0</v>
      </c>
      <c r="V1542" s="64" t="n">
        <f aca="false">IF($K1542="Better",$P1542,0)</f>
        <v>0</v>
      </c>
      <c r="W1542" s="64" t="n">
        <f aca="false">IF($K1542="U – needs rule",$P1542,0)</f>
        <v>0</v>
      </c>
      <c r="X1542" s="64" t="n">
        <f aca="false">IF($K1542="No Start (attainment only)",$P1542,0)</f>
        <v>0</v>
      </c>
    </row>
    <row r="1543" customFormat="false" ht="15" hidden="false" customHeight="false" outlineLevel="0" collapsed="false">
      <c r="A1543" s="60"/>
      <c r="B1543" s="61" t="str">
        <f aca="false">IF($M1543=0,"",INDEX(Classes!$E$6:$E$420,$M1543))</f>
        <v/>
      </c>
      <c r="C1543" s="62" t="str">
        <f aca="false">IF($M1543=0,"",INDEX(Classes!$H$6:$H$420,$M1543))</f>
        <v/>
      </c>
      <c r="D1543" s="61" t="str">
        <f aca="false">IF($M1543=0,"",INDEX(Classes!$B$6:$B$420,$M1543))</f>
        <v/>
      </c>
      <c r="E1543" s="61" t="str">
        <f aca="false">IF($M1543=0,"",INDEX(Classes!$C$6:$C$420,$M1543))</f>
        <v/>
      </c>
      <c r="F1543" s="63"/>
      <c r="G1543" s="63"/>
      <c r="H1543" s="60"/>
      <c r="I1543" s="60"/>
      <c r="J1543" s="63"/>
      <c r="K1543" s="61" t="str">
        <f aca="false">IF($P1543=0,"",IF($F1543="Baseline","— Baseline",IF($O1543=0,"No result",IF($N1543=0,"No Start (attainment only)",IF(OR($N1543=1,$O1543=1),"U – needs rule",INDEX(MxBody,MATCH($I1543,MxCurr,0),MATCH($H1543,MxStart,0)))))))</f>
        <v/>
      </c>
      <c r="L1543" s="62" t="str">
        <f aca="false">IF(COUNTA($A1543,$F1543,$G1543,$H1543,$I1543,$J1543)=0,"",IF($M1543=0,"✖ كود الصف غير موجود",IF(ISNA(MATCH($F1543,Lists!$A$2:$A$5,0)),"✖ الفترة غير صحيحة",IF(ISNA(MATCH($G1543,Lists!$B$2:$B$7,0)),"✖ المجموعة غير صحيحة",IF(NOT(OR($H1543="",$N1543&gt;0)),"✖ Start غير صحيح",IF(NOT(OR($I1543="",$I1543="NR",$O1543&gt;0)),"✖ Current غير صحيح",IF(NOT(IF(ISNUMBER($J1543),AND($J1543&gt;=0,$J1543=INT($J1543)),FALSE())),"✖ العدد يجب أن يكون صحيحًا ≥ 0",IF(AND($F1543="Baseline",$H1543&lt;&gt;""),"⚠ Baseline: Start لا يدخل في التقدم",IF($K1543="No Start (attainment only)","ℹ تحصيل فقط (بدون Start)",IF($K1543="U – needs rule","ℹ حالة U تحتاج قاعدة معتمدة",IF($K1543="No result","ℹ بدون نتيجة (يُستبعد من التحصيل)","OK")))))))))))</f>
        <v/>
      </c>
      <c r="M1543" s="64" t="n">
        <f aca="false">IF($A1543="",0,IFERROR(MATCH($A1543,Classes!$A$6:$A$420,0),0))</f>
        <v>0</v>
      </c>
      <c r="N1543" s="64" t="n">
        <f aca="false">IF($H1543="",0,IFERROR(MATCH($H1543,GradeList,0),0))</f>
        <v>0</v>
      </c>
      <c r="O1543" s="64" t="n">
        <f aca="false">IF(OR($I1543="",$I1543="NR"),0,IFERROR(MATCH($I1543,GradeList,0),0))</f>
        <v>0</v>
      </c>
      <c r="P1543" s="64" t="n">
        <f aca="false">IF(AND($M1543&gt;0,ISNUMBER(MATCH($F1543,Lists!$A$2:$A$5,0)),ISNUMBER(MATCH($G1543,Lists!$B$2:$B$7,0)),OR($H1543="",$N1543&gt;0),OR($I1543="",$I1543="NR",$O1543&gt;0),IF(ISNUMBER($J1543),AND($J1543&gt;=0,$J1543=INT($J1543)),FALSE())),$J1543,0)</f>
        <v>0</v>
      </c>
      <c r="Q1543" s="64" t="n">
        <f aca="false">IF(AND($P1543&gt;0,$O1543&gt;0),$P1543,0)</f>
        <v>0</v>
      </c>
      <c r="R1543" s="64" t="n">
        <f aca="false">IF(AND($Q1543&gt;0,$O1543&gt;=AtRank),$Q1543,0)</f>
        <v>0</v>
      </c>
      <c r="S1543" s="64" t="n">
        <f aca="false">IF(AND($Q1543&gt;0,$O1543&gt;=AboveRank),$Q1543,0)</f>
        <v>0</v>
      </c>
      <c r="T1543" s="64" t="n">
        <f aca="false">IF($K1543="Less",$P1543,0)</f>
        <v>0</v>
      </c>
      <c r="U1543" s="64" t="n">
        <f aca="false">IF($K1543="Expected",$P1543,0)</f>
        <v>0</v>
      </c>
      <c r="V1543" s="64" t="n">
        <f aca="false">IF($K1543="Better",$P1543,0)</f>
        <v>0</v>
      </c>
      <c r="W1543" s="64" t="n">
        <f aca="false">IF($K1543="U – needs rule",$P1543,0)</f>
        <v>0</v>
      </c>
      <c r="X1543" s="64" t="n">
        <f aca="false">IF($K1543="No Start (attainment only)",$P1543,0)</f>
        <v>0</v>
      </c>
    </row>
    <row r="1544" customFormat="false" ht="15" hidden="false" customHeight="false" outlineLevel="0" collapsed="false">
      <c r="A1544" s="60"/>
      <c r="B1544" s="61" t="str">
        <f aca="false">IF($M1544=0,"",INDEX(Classes!$E$6:$E$420,$M1544))</f>
        <v/>
      </c>
      <c r="C1544" s="62" t="str">
        <f aca="false">IF($M1544=0,"",INDEX(Classes!$H$6:$H$420,$M1544))</f>
        <v/>
      </c>
      <c r="D1544" s="61" t="str">
        <f aca="false">IF($M1544=0,"",INDEX(Classes!$B$6:$B$420,$M1544))</f>
        <v/>
      </c>
      <c r="E1544" s="61" t="str">
        <f aca="false">IF($M1544=0,"",INDEX(Classes!$C$6:$C$420,$M1544))</f>
        <v/>
      </c>
      <c r="F1544" s="63"/>
      <c r="G1544" s="63"/>
      <c r="H1544" s="60"/>
      <c r="I1544" s="60"/>
      <c r="J1544" s="63"/>
      <c r="K1544" s="61" t="str">
        <f aca="false">IF($P1544=0,"",IF($F1544="Baseline","— Baseline",IF($O1544=0,"No result",IF($N1544=0,"No Start (attainment only)",IF(OR($N1544=1,$O1544=1),"U – needs rule",INDEX(MxBody,MATCH($I1544,MxCurr,0),MATCH($H1544,MxStart,0)))))))</f>
        <v/>
      </c>
      <c r="L1544" s="62" t="str">
        <f aca="false">IF(COUNTA($A1544,$F1544,$G1544,$H1544,$I1544,$J1544)=0,"",IF($M1544=0,"✖ كود الصف غير موجود",IF(ISNA(MATCH($F1544,Lists!$A$2:$A$5,0)),"✖ الفترة غير صحيحة",IF(ISNA(MATCH($G1544,Lists!$B$2:$B$7,0)),"✖ المجموعة غير صحيحة",IF(NOT(OR($H1544="",$N1544&gt;0)),"✖ Start غير صحيح",IF(NOT(OR($I1544="",$I1544="NR",$O1544&gt;0)),"✖ Current غير صحيح",IF(NOT(IF(ISNUMBER($J1544),AND($J1544&gt;=0,$J1544=INT($J1544)),FALSE())),"✖ العدد يجب أن يكون صحيحًا ≥ 0",IF(AND($F1544="Baseline",$H1544&lt;&gt;""),"⚠ Baseline: Start لا يدخل في التقدم",IF($K1544="No Start (attainment only)","ℹ تحصيل فقط (بدون Start)",IF($K1544="U – needs rule","ℹ حالة U تحتاج قاعدة معتمدة",IF($K1544="No result","ℹ بدون نتيجة (يُستبعد من التحصيل)","OK")))))))))))</f>
        <v/>
      </c>
      <c r="M1544" s="64" t="n">
        <f aca="false">IF($A1544="",0,IFERROR(MATCH($A1544,Classes!$A$6:$A$420,0),0))</f>
        <v>0</v>
      </c>
      <c r="N1544" s="64" t="n">
        <f aca="false">IF($H1544="",0,IFERROR(MATCH($H1544,GradeList,0),0))</f>
        <v>0</v>
      </c>
      <c r="O1544" s="64" t="n">
        <f aca="false">IF(OR($I1544="",$I1544="NR"),0,IFERROR(MATCH($I1544,GradeList,0),0))</f>
        <v>0</v>
      </c>
      <c r="P1544" s="64" t="n">
        <f aca="false">IF(AND($M1544&gt;0,ISNUMBER(MATCH($F1544,Lists!$A$2:$A$5,0)),ISNUMBER(MATCH($G1544,Lists!$B$2:$B$7,0)),OR($H1544="",$N1544&gt;0),OR($I1544="",$I1544="NR",$O1544&gt;0),IF(ISNUMBER($J1544),AND($J1544&gt;=0,$J1544=INT($J1544)),FALSE())),$J1544,0)</f>
        <v>0</v>
      </c>
      <c r="Q1544" s="64" t="n">
        <f aca="false">IF(AND($P1544&gt;0,$O1544&gt;0),$P1544,0)</f>
        <v>0</v>
      </c>
      <c r="R1544" s="64" t="n">
        <f aca="false">IF(AND($Q1544&gt;0,$O1544&gt;=AtRank),$Q1544,0)</f>
        <v>0</v>
      </c>
      <c r="S1544" s="64" t="n">
        <f aca="false">IF(AND($Q1544&gt;0,$O1544&gt;=AboveRank),$Q1544,0)</f>
        <v>0</v>
      </c>
      <c r="T1544" s="64" t="n">
        <f aca="false">IF($K1544="Less",$P1544,0)</f>
        <v>0</v>
      </c>
      <c r="U1544" s="64" t="n">
        <f aca="false">IF($K1544="Expected",$P1544,0)</f>
        <v>0</v>
      </c>
      <c r="V1544" s="64" t="n">
        <f aca="false">IF($K1544="Better",$P1544,0)</f>
        <v>0</v>
      </c>
      <c r="W1544" s="64" t="n">
        <f aca="false">IF($K1544="U – needs rule",$P1544,0)</f>
        <v>0</v>
      </c>
      <c r="X1544" s="64" t="n">
        <f aca="false">IF($K1544="No Start (attainment only)",$P1544,0)</f>
        <v>0</v>
      </c>
    </row>
    <row r="1545" customFormat="false" ht="15" hidden="false" customHeight="false" outlineLevel="0" collapsed="false">
      <c r="A1545" s="60"/>
      <c r="B1545" s="61" t="str">
        <f aca="false">IF($M1545=0,"",INDEX(Classes!$E$6:$E$420,$M1545))</f>
        <v/>
      </c>
      <c r="C1545" s="62" t="str">
        <f aca="false">IF($M1545=0,"",INDEX(Classes!$H$6:$H$420,$M1545))</f>
        <v/>
      </c>
      <c r="D1545" s="61" t="str">
        <f aca="false">IF($M1545=0,"",INDEX(Classes!$B$6:$B$420,$M1545))</f>
        <v/>
      </c>
      <c r="E1545" s="61" t="str">
        <f aca="false">IF($M1545=0,"",INDEX(Classes!$C$6:$C$420,$M1545))</f>
        <v/>
      </c>
      <c r="F1545" s="63"/>
      <c r="G1545" s="63"/>
      <c r="H1545" s="60"/>
      <c r="I1545" s="60"/>
      <c r="J1545" s="63"/>
      <c r="K1545" s="61" t="str">
        <f aca="false">IF($P1545=0,"",IF($F1545="Baseline","— Baseline",IF($O1545=0,"No result",IF($N1545=0,"No Start (attainment only)",IF(OR($N1545=1,$O1545=1),"U – needs rule",INDEX(MxBody,MATCH($I1545,MxCurr,0),MATCH($H1545,MxStart,0)))))))</f>
        <v/>
      </c>
      <c r="L1545" s="62" t="str">
        <f aca="false">IF(COUNTA($A1545,$F1545,$G1545,$H1545,$I1545,$J1545)=0,"",IF($M1545=0,"✖ كود الصف غير موجود",IF(ISNA(MATCH($F1545,Lists!$A$2:$A$5,0)),"✖ الفترة غير صحيحة",IF(ISNA(MATCH($G1545,Lists!$B$2:$B$7,0)),"✖ المجموعة غير صحيحة",IF(NOT(OR($H1545="",$N1545&gt;0)),"✖ Start غير صحيح",IF(NOT(OR($I1545="",$I1545="NR",$O1545&gt;0)),"✖ Current غير صحيح",IF(NOT(IF(ISNUMBER($J1545),AND($J1545&gt;=0,$J1545=INT($J1545)),FALSE())),"✖ العدد يجب أن يكون صحيحًا ≥ 0",IF(AND($F1545="Baseline",$H1545&lt;&gt;""),"⚠ Baseline: Start لا يدخل في التقدم",IF($K1545="No Start (attainment only)","ℹ تحصيل فقط (بدون Start)",IF($K1545="U – needs rule","ℹ حالة U تحتاج قاعدة معتمدة",IF($K1545="No result","ℹ بدون نتيجة (يُستبعد من التحصيل)","OK")))))))))))</f>
        <v/>
      </c>
      <c r="M1545" s="64" t="n">
        <f aca="false">IF($A1545="",0,IFERROR(MATCH($A1545,Classes!$A$6:$A$420,0),0))</f>
        <v>0</v>
      </c>
      <c r="N1545" s="64" t="n">
        <f aca="false">IF($H1545="",0,IFERROR(MATCH($H1545,GradeList,0),0))</f>
        <v>0</v>
      </c>
      <c r="O1545" s="64" t="n">
        <f aca="false">IF(OR($I1545="",$I1545="NR"),0,IFERROR(MATCH($I1545,GradeList,0),0))</f>
        <v>0</v>
      </c>
      <c r="P1545" s="64" t="n">
        <f aca="false">IF(AND($M1545&gt;0,ISNUMBER(MATCH($F1545,Lists!$A$2:$A$5,0)),ISNUMBER(MATCH($G1545,Lists!$B$2:$B$7,0)),OR($H1545="",$N1545&gt;0),OR($I1545="",$I1545="NR",$O1545&gt;0),IF(ISNUMBER($J1545),AND($J1545&gt;=0,$J1545=INT($J1545)),FALSE())),$J1545,0)</f>
        <v>0</v>
      </c>
      <c r="Q1545" s="64" t="n">
        <f aca="false">IF(AND($P1545&gt;0,$O1545&gt;0),$P1545,0)</f>
        <v>0</v>
      </c>
      <c r="R1545" s="64" t="n">
        <f aca="false">IF(AND($Q1545&gt;0,$O1545&gt;=AtRank),$Q1545,0)</f>
        <v>0</v>
      </c>
      <c r="S1545" s="64" t="n">
        <f aca="false">IF(AND($Q1545&gt;0,$O1545&gt;=AboveRank),$Q1545,0)</f>
        <v>0</v>
      </c>
      <c r="T1545" s="64" t="n">
        <f aca="false">IF($K1545="Less",$P1545,0)</f>
        <v>0</v>
      </c>
      <c r="U1545" s="64" t="n">
        <f aca="false">IF($K1545="Expected",$P1545,0)</f>
        <v>0</v>
      </c>
      <c r="V1545" s="64" t="n">
        <f aca="false">IF($K1545="Better",$P1545,0)</f>
        <v>0</v>
      </c>
      <c r="W1545" s="64" t="n">
        <f aca="false">IF($K1545="U – needs rule",$P1545,0)</f>
        <v>0</v>
      </c>
      <c r="X1545" s="64" t="n">
        <f aca="false">IF($K1545="No Start (attainment only)",$P1545,0)</f>
        <v>0</v>
      </c>
    </row>
    <row r="1546" customFormat="false" ht="15" hidden="false" customHeight="false" outlineLevel="0" collapsed="false">
      <c r="A1546" s="60"/>
      <c r="B1546" s="61" t="str">
        <f aca="false">IF($M1546=0,"",INDEX(Classes!$E$6:$E$420,$M1546))</f>
        <v/>
      </c>
      <c r="C1546" s="62" t="str">
        <f aca="false">IF($M1546=0,"",INDEX(Classes!$H$6:$H$420,$M1546))</f>
        <v/>
      </c>
      <c r="D1546" s="61" t="str">
        <f aca="false">IF($M1546=0,"",INDEX(Classes!$B$6:$B$420,$M1546))</f>
        <v/>
      </c>
      <c r="E1546" s="61" t="str">
        <f aca="false">IF($M1546=0,"",INDEX(Classes!$C$6:$C$420,$M1546))</f>
        <v/>
      </c>
      <c r="F1546" s="63"/>
      <c r="G1546" s="63"/>
      <c r="H1546" s="60"/>
      <c r="I1546" s="60"/>
      <c r="J1546" s="63"/>
      <c r="K1546" s="61" t="str">
        <f aca="false">IF($P1546=0,"",IF($F1546="Baseline","— Baseline",IF($O1546=0,"No result",IF($N1546=0,"No Start (attainment only)",IF(OR($N1546=1,$O1546=1),"U – needs rule",INDEX(MxBody,MATCH($I1546,MxCurr,0),MATCH($H1546,MxStart,0)))))))</f>
        <v/>
      </c>
      <c r="L1546" s="62" t="str">
        <f aca="false">IF(COUNTA($A1546,$F1546,$G1546,$H1546,$I1546,$J1546)=0,"",IF($M1546=0,"✖ كود الصف غير موجود",IF(ISNA(MATCH($F1546,Lists!$A$2:$A$5,0)),"✖ الفترة غير صحيحة",IF(ISNA(MATCH($G1546,Lists!$B$2:$B$7,0)),"✖ المجموعة غير صحيحة",IF(NOT(OR($H1546="",$N1546&gt;0)),"✖ Start غير صحيح",IF(NOT(OR($I1546="",$I1546="NR",$O1546&gt;0)),"✖ Current غير صحيح",IF(NOT(IF(ISNUMBER($J1546),AND($J1546&gt;=0,$J1546=INT($J1546)),FALSE())),"✖ العدد يجب أن يكون صحيحًا ≥ 0",IF(AND($F1546="Baseline",$H1546&lt;&gt;""),"⚠ Baseline: Start لا يدخل في التقدم",IF($K1546="No Start (attainment only)","ℹ تحصيل فقط (بدون Start)",IF($K1546="U – needs rule","ℹ حالة U تحتاج قاعدة معتمدة",IF($K1546="No result","ℹ بدون نتيجة (يُستبعد من التحصيل)","OK")))))))))))</f>
        <v/>
      </c>
      <c r="M1546" s="64" t="n">
        <f aca="false">IF($A1546="",0,IFERROR(MATCH($A1546,Classes!$A$6:$A$420,0),0))</f>
        <v>0</v>
      </c>
      <c r="N1546" s="64" t="n">
        <f aca="false">IF($H1546="",0,IFERROR(MATCH($H1546,GradeList,0),0))</f>
        <v>0</v>
      </c>
      <c r="O1546" s="64" t="n">
        <f aca="false">IF(OR($I1546="",$I1546="NR"),0,IFERROR(MATCH($I1546,GradeList,0),0))</f>
        <v>0</v>
      </c>
      <c r="P1546" s="64" t="n">
        <f aca="false">IF(AND($M1546&gt;0,ISNUMBER(MATCH($F1546,Lists!$A$2:$A$5,0)),ISNUMBER(MATCH($G1546,Lists!$B$2:$B$7,0)),OR($H1546="",$N1546&gt;0),OR($I1546="",$I1546="NR",$O1546&gt;0),IF(ISNUMBER($J1546),AND($J1546&gt;=0,$J1546=INT($J1546)),FALSE())),$J1546,0)</f>
        <v>0</v>
      </c>
      <c r="Q1546" s="64" t="n">
        <f aca="false">IF(AND($P1546&gt;0,$O1546&gt;0),$P1546,0)</f>
        <v>0</v>
      </c>
      <c r="R1546" s="64" t="n">
        <f aca="false">IF(AND($Q1546&gt;0,$O1546&gt;=AtRank),$Q1546,0)</f>
        <v>0</v>
      </c>
      <c r="S1546" s="64" t="n">
        <f aca="false">IF(AND($Q1546&gt;0,$O1546&gt;=AboveRank),$Q1546,0)</f>
        <v>0</v>
      </c>
      <c r="T1546" s="64" t="n">
        <f aca="false">IF($K1546="Less",$P1546,0)</f>
        <v>0</v>
      </c>
      <c r="U1546" s="64" t="n">
        <f aca="false">IF($K1546="Expected",$P1546,0)</f>
        <v>0</v>
      </c>
      <c r="V1546" s="64" t="n">
        <f aca="false">IF($K1546="Better",$P1546,0)</f>
        <v>0</v>
      </c>
      <c r="W1546" s="64" t="n">
        <f aca="false">IF($K1546="U – needs rule",$P1546,0)</f>
        <v>0</v>
      </c>
      <c r="X1546" s="64" t="n">
        <f aca="false">IF($K1546="No Start (attainment only)",$P1546,0)</f>
        <v>0</v>
      </c>
    </row>
    <row r="1547" customFormat="false" ht="15" hidden="false" customHeight="false" outlineLevel="0" collapsed="false">
      <c r="A1547" s="60"/>
      <c r="B1547" s="61" t="str">
        <f aca="false">IF($M1547=0,"",INDEX(Classes!$E$6:$E$420,$M1547))</f>
        <v/>
      </c>
      <c r="C1547" s="62" t="str">
        <f aca="false">IF($M1547=0,"",INDEX(Classes!$H$6:$H$420,$M1547))</f>
        <v/>
      </c>
      <c r="D1547" s="61" t="str">
        <f aca="false">IF($M1547=0,"",INDEX(Classes!$B$6:$B$420,$M1547))</f>
        <v/>
      </c>
      <c r="E1547" s="61" t="str">
        <f aca="false">IF($M1547=0,"",INDEX(Classes!$C$6:$C$420,$M1547))</f>
        <v/>
      </c>
      <c r="F1547" s="63"/>
      <c r="G1547" s="63"/>
      <c r="H1547" s="60"/>
      <c r="I1547" s="60"/>
      <c r="J1547" s="63"/>
      <c r="K1547" s="61" t="str">
        <f aca="false">IF($P1547=0,"",IF($F1547="Baseline","— Baseline",IF($O1547=0,"No result",IF($N1547=0,"No Start (attainment only)",IF(OR($N1547=1,$O1547=1),"U – needs rule",INDEX(MxBody,MATCH($I1547,MxCurr,0),MATCH($H1547,MxStart,0)))))))</f>
        <v/>
      </c>
      <c r="L1547" s="62" t="str">
        <f aca="false">IF(COUNTA($A1547,$F1547,$G1547,$H1547,$I1547,$J1547)=0,"",IF($M1547=0,"✖ كود الصف غير موجود",IF(ISNA(MATCH($F1547,Lists!$A$2:$A$5,0)),"✖ الفترة غير صحيحة",IF(ISNA(MATCH($G1547,Lists!$B$2:$B$7,0)),"✖ المجموعة غير صحيحة",IF(NOT(OR($H1547="",$N1547&gt;0)),"✖ Start غير صحيح",IF(NOT(OR($I1547="",$I1547="NR",$O1547&gt;0)),"✖ Current غير صحيح",IF(NOT(IF(ISNUMBER($J1547),AND($J1547&gt;=0,$J1547=INT($J1547)),FALSE())),"✖ العدد يجب أن يكون صحيحًا ≥ 0",IF(AND($F1547="Baseline",$H1547&lt;&gt;""),"⚠ Baseline: Start لا يدخل في التقدم",IF($K1547="No Start (attainment only)","ℹ تحصيل فقط (بدون Start)",IF($K1547="U – needs rule","ℹ حالة U تحتاج قاعدة معتمدة",IF($K1547="No result","ℹ بدون نتيجة (يُستبعد من التحصيل)","OK")))))))))))</f>
        <v/>
      </c>
      <c r="M1547" s="64" t="n">
        <f aca="false">IF($A1547="",0,IFERROR(MATCH($A1547,Classes!$A$6:$A$420,0),0))</f>
        <v>0</v>
      </c>
      <c r="N1547" s="64" t="n">
        <f aca="false">IF($H1547="",0,IFERROR(MATCH($H1547,GradeList,0),0))</f>
        <v>0</v>
      </c>
      <c r="O1547" s="64" t="n">
        <f aca="false">IF(OR($I1547="",$I1547="NR"),0,IFERROR(MATCH($I1547,GradeList,0),0))</f>
        <v>0</v>
      </c>
      <c r="P1547" s="64" t="n">
        <f aca="false">IF(AND($M1547&gt;0,ISNUMBER(MATCH($F1547,Lists!$A$2:$A$5,0)),ISNUMBER(MATCH($G1547,Lists!$B$2:$B$7,0)),OR($H1547="",$N1547&gt;0),OR($I1547="",$I1547="NR",$O1547&gt;0),IF(ISNUMBER($J1547),AND($J1547&gt;=0,$J1547=INT($J1547)),FALSE())),$J1547,0)</f>
        <v>0</v>
      </c>
      <c r="Q1547" s="64" t="n">
        <f aca="false">IF(AND($P1547&gt;0,$O1547&gt;0),$P1547,0)</f>
        <v>0</v>
      </c>
      <c r="R1547" s="64" t="n">
        <f aca="false">IF(AND($Q1547&gt;0,$O1547&gt;=AtRank),$Q1547,0)</f>
        <v>0</v>
      </c>
      <c r="S1547" s="64" t="n">
        <f aca="false">IF(AND($Q1547&gt;0,$O1547&gt;=AboveRank),$Q1547,0)</f>
        <v>0</v>
      </c>
      <c r="T1547" s="64" t="n">
        <f aca="false">IF($K1547="Less",$P1547,0)</f>
        <v>0</v>
      </c>
      <c r="U1547" s="64" t="n">
        <f aca="false">IF($K1547="Expected",$P1547,0)</f>
        <v>0</v>
      </c>
      <c r="V1547" s="64" t="n">
        <f aca="false">IF($K1547="Better",$P1547,0)</f>
        <v>0</v>
      </c>
      <c r="W1547" s="64" t="n">
        <f aca="false">IF($K1547="U – needs rule",$P1547,0)</f>
        <v>0</v>
      </c>
      <c r="X1547" s="64" t="n">
        <f aca="false">IF($K1547="No Start (attainment only)",$P1547,0)</f>
        <v>0</v>
      </c>
    </row>
    <row r="1548" customFormat="false" ht="15" hidden="false" customHeight="false" outlineLevel="0" collapsed="false">
      <c r="A1548" s="60"/>
      <c r="B1548" s="61" t="str">
        <f aca="false">IF($M1548=0,"",INDEX(Classes!$E$6:$E$420,$M1548))</f>
        <v/>
      </c>
      <c r="C1548" s="62" t="str">
        <f aca="false">IF($M1548=0,"",INDEX(Classes!$H$6:$H$420,$M1548))</f>
        <v/>
      </c>
      <c r="D1548" s="61" t="str">
        <f aca="false">IF($M1548=0,"",INDEX(Classes!$B$6:$B$420,$M1548))</f>
        <v/>
      </c>
      <c r="E1548" s="61" t="str">
        <f aca="false">IF($M1548=0,"",INDEX(Classes!$C$6:$C$420,$M1548))</f>
        <v/>
      </c>
      <c r="F1548" s="63"/>
      <c r="G1548" s="63"/>
      <c r="H1548" s="60"/>
      <c r="I1548" s="60"/>
      <c r="J1548" s="63"/>
      <c r="K1548" s="61" t="str">
        <f aca="false">IF($P1548=0,"",IF($F1548="Baseline","— Baseline",IF($O1548=0,"No result",IF($N1548=0,"No Start (attainment only)",IF(OR($N1548=1,$O1548=1),"U – needs rule",INDEX(MxBody,MATCH($I1548,MxCurr,0),MATCH($H1548,MxStart,0)))))))</f>
        <v/>
      </c>
      <c r="L1548" s="62" t="str">
        <f aca="false">IF(COUNTA($A1548,$F1548,$G1548,$H1548,$I1548,$J1548)=0,"",IF($M1548=0,"✖ كود الصف غير موجود",IF(ISNA(MATCH($F1548,Lists!$A$2:$A$5,0)),"✖ الفترة غير صحيحة",IF(ISNA(MATCH($G1548,Lists!$B$2:$B$7,0)),"✖ المجموعة غير صحيحة",IF(NOT(OR($H1548="",$N1548&gt;0)),"✖ Start غير صحيح",IF(NOT(OR($I1548="",$I1548="NR",$O1548&gt;0)),"✖ Current غير صحيح",IF(NOT(IF(ISNUMBER($J1548),AND($J1548&gt;=0,$J1548=INT($J1548)),FALSE())),"✖ العدد يجب أن يكون صحيحًا ≥ 0",IF(AND($F1548="Baseline",$H1548&lt;&gt;""),"⚠ Baseline: Start لا يدخل في التقدم",IF($K1548="No Start (attainment only)","ℹ تحصيل فقط (بدون Start)",IF($K1548="U – needs rule","ℹ حالة U تحتاج قاعدة معتمدة",IF($K1548="No result","ℹ بدون نتيجة (يُستبعد من التحصيل)","OK")))))))))))</f>
        <v/>
      </c>
      <c r="M1548" s="64" t="n">
        <f aca="false">IF($A1548="",0,IFERROR(MATCH($A1548,Classes!$A$6:$A$420,0),0))</f>
        <v>0</v>
      </c>
      <c r="N1548" s="64" t="n">
        <f aca="false">IF($H1548="",0,IFERROR(MATCH($H1548,GradeList,0),0))</f>
        <v>0</v>
      </c>
      <c r="O1548" s="64" t="n">
        <f aca="false">IF(OR($I1548="",$I1548="NR"),0,IFERROR(MATCH($I1548,GradeList,0),0))</f>
        <v>0</v>
      </c>
      <c r="P1548" s="64" t="n">
        <f aca="false">IF(AND($M1548&gt;0,ISNUMBER(MATCH($F1548,Lists!$A$2:$A$5,0)),ISNUMBER(MATCH($G1548,Lists!$B$2:$B$7,0)),OR($H1548="",$N1548&gt;0),OR($I1548="",$I1548="NR",$O1548&gt;0),IF(ISNUMBER($J1548),AND($J1548&gt;=0,$J1548=INT($J1548)),FALSE())),$J1548,0)</f>
        <v>0</v>
      </c>
      <c r="Q1548" s="64" t="n">
        <f aca="false">IF(AND($P1548&gt;0,$O1548&gt;0),$P1548,0)</f>
        <v>0</v>
      </c>
      <c r="R1548" s="64" t="n">
        <f aca="false">IF(AND($Q1548&gt;0,$O1548&gt;=AtRank),$Q1548,0)</f>
        <v>0</v>
      </c>
      <c r="S1548" s="64" t="n">
        <f aca="false">IF(AND($Q1548&gt;0,$O1548&gt;=AboveRank),$Q1548,0)</f>
        <v>0</v>
      </c>
      <c r="T1548" s="64" t="n">
        <f aca="false">IF($K1548="Less",$P1548,0)</f>
        <v>0</v>
      </c>
      <c r="U1548" s="64" t="n">
        <f aca="false">IF($K1548="Expected",$P1548,0)</f>
        <v>0</v>
      </c>
      <c r="V1548" s="64" t="n">
        <f aca="false">IF($K1548="Better",$P1548,0)</f>
        <v>0</v>
      </c>
      <c r="W1548" s="64" t="n">
        <f aca="false">IF($K1548="U – needs rule",$P1548,0)</f>
        <v>0</v>
      </c>
      <c r="X1548" s="64" t="n">
        <f aca="false">IF($K1548="No Start (attainment only)",$P1548,0)</f>
        <v>0</v>
      </c>
    </row>
    <row r="1549" customFormat="false" ht="15" hidden="false" customHeight="false" outlineLevel="0" collapsed="false">
      <c r="A1549" s="60"/>
      <c r="B1549" s="61" t="str">
        <f aca="false">IF($M1549=0,"",INDEX(Classes!$E$6:$E$420,$M1549))</f>
        <v/>
      </c>
      <c r="C1549" s="62" t="str">
        <f aca="false">IF($M1549=0,"",INDEX(Classes!$H$6:$H$420,$M1549))</f>
        <v/>
      </c>
      <c r="D1549" s="61" t="str">
        <f aca="false">IF($M1549=0,"",INDEX(Classes!$B$6:$B$420,$M1549))</f>
        <v/>
      </c>
      <c r="E1549" s="61" t="str">
        <f aca="false">IF($M1549=0,"",INDEX(Classes!$C$6:$C$420,$M1549))</f>
        <v/>
      </c>
      <c r="F1549" s="63"/>
      <c r="G1549" s="63"/>
      <c r="H1549" s="60"/>
      <c r="I1549" s="60"/>
      <c r="J1549" s="63"/>
      <c r="K1549" s="61" t="str">
        <f aca="false">IF($P1549=0,"",IF($F1549="Baseline","— Baseline",IF($O1549=0,"No result",IF($N1549=0,"No Start (attainment only)",IF(OR($N1549=1,$O1549=1),"U – needs rule",INDEX(MxBody,MATCH($I1549,MxCurr,0),MATCH($H1549,MxStart,0)))))))</f>
        <v/>
      </c>
      <c r="L1549" s="62" t="str">
        <f aca="false">IF(COUNTA($A1549,$F1549,$G1549,$H1549,$I1549,$J1549)=0,"",IF($M1549=0,"✖ كود الصف غير موجود",IF(ISNA(MATCH($F1549,Lists!$A$2:$A$5,0)),"✖ الفترة غير صحيحة",IF(ISNA(MATCH($G1549,Lists!$B$2:$B$7,0)),"✖ المجموعة غير صحيحة",IF(NOT(OR($H1549="",$N1549&gt;0)),"✖ Start غير صحيح",IF(NOT(OR($I1549="",$I1549="NR",$O1549&gt;0)),"✖ Current غير صحيح",IF(NOT(IF(ISNUMBER($J1549),AND($J1549&gt;=0,$J1549=INT($J1549)),FALSE())),"✖ العدد يجب أن يكون صحيحًا ≥ 0",IF(AND($F1549="Baseline",$H1549&lt;&gt;""),"⚠ Baseline: Start لا يدخل في التقدم",IF($K1549="No Start (attainment only)","ℹ تحصيل فقط (بدون Start)",IF($K1549="U – needs rule","ℹ حالة U تحتاج قاعدة معتمدة",IF($K1549="No result","ℹ بدون نتيجة (يُستبعد من التحصيل)","OK")))))))))))</f>
        <v/>
      </c>
      <c r="M1549" s="64" t="n">
        <f aca="false">IF($A1549="",0,IFERROR(MATCH($A1549,Classes!$A$6:$A$420,0),0))</f>
        <v>0</v>
      </c>
      <c r="N1549" s="64" t="n">
        <f aca="false">IF($H1549="",0,IFERROR(MATCH($H1549,GradeList,0),0))</f>
        <v>0</v>
      </c>
      <c r="O1549" s="64" t="n">
        <f aca="false">IF(OR($I1549="",$I1549="NR"),0,IFERROR(MATCH($I1549,GradeList,0),0))</f>
        <v>0</v>
      </c>
      <c r="P1549" s="64" t="n">
        <f aca="false">IF(AND($M1549&gt;0,ISNUMBER(MATCH($F1549,Lists!$A$2:$A$5,0)),ISNUMBER(MATCH($G1549,Lists!$B$2:$B$7,0)),OR($H1549="",$N1549&gt;0),OR($I1549="",$I1549="NR",$O1549&gt;0),IF(ISNUMBER($J1549),AND($J1549&gt;=0,$J1549=INT($J1549)),FALSE())),$J1549,0)</f>
        <v>0</v>
      </c>
      <c r="Q1549" s="64" t="n">
        <f aca="false">IF(AND($P1549&gt;0,$O1549&gt;0),$P1549,0)</f>
        <v>0</v>
      </c>
      <c r="R1549" s="64" t="n">
        <f aca="false">IF(AND($Q1549&gt;0,$O1549&gt;=AtRank),$Q1549,0)</f>
        <v>0</v>
      </c>
      <c r="S1549" s="64" t="n">
        <f aca="false">IF(AND($Q1549&gt;0,$O1549&gt;=AboveRank),$Q1549,0)</f>
        <v>0</v>
      </c>
      <c r="T1549" s="64" t="n">
        <f aca="false">IF($K1549="Less",$P1549,0)</f>
        <v>0</v>
      </c>
      <c r="U1549" s="64" t="n">
        <f aca="false">IF($K1549="Expected",$P1549,0)</f>
        <v>0</v>
      </c>
      <c r="V1549" s="64" t="n">
        <f aca="false">IF($K1549="Better",$P1549,0)</f>
        <v>0</v>
      </c>
      <c r="W1549" s="64" t="n">
        <f aca="false">IF($K1549="U – needs rule",$P1549,0)</f>
        <v>0</v>
      </c>
      <c r="X1549" s="64" t="n">
        <f aca="false">IF($K1549="No Start (attainment only)",$P1549,0)</f>
        <v>0</v>
      </c>
    </row>
    <row r="1550" customFormat="false" ht="15" hidden="false" customHeight="false" outlineLevel="0" collapsed="false">
      <c r="A1550" s="60"/>
      <c r="B1550" s="61" t="str">
        <f aca="false">IF($M1550=0,"",INDEX(Classes!$E$6:$E$420,$M1550))</f>
        <v/>
      </c>
      <c r="C1550" s="62" t="str">
        <f aca="false">IF($M1550=0,"",INDEX(Classes!$H$6:$H$420,$M1550))</f>
        <v/>
      </c>
      <c r="D1550" s="61" t="str">
        <f aca="false">IF($M1550=0,"",INDEX(Classes!$B$6:$B$420,$M1550))</f>
        <v/>
      </c>
      <c r="E1550" s="61" t="str">
        <f aca="false">IF($M1550=0,"",INDEX(Classes!$C$6:$C$420,$M1550))</f>
        <v/>
      </c>
      <c r="F1550" s="63"/>
      <c r="G1550" s="63"/>
      <c r="H1550" s="60"/>
      <c r="I1550" s="60"/>
      <c r="J1550" s="63"/>
      <c r="K1550" s="61" t="str">
        <f aca="false">IF($P1550=0,"",IF($F1550="Baseline","— Baseline",IF($O1550=0,"No result",IF($N1550=0,"No Start (attainment only)",IF(OR($N1550=1,$O1550=1),"U – needs rule",INDEX(MxBody,MATCH($I1550,MxCurr,0),MATCH($H1550,MxStart,0)))))))</f>
        <v/>
      </c>
      <c r="L1550" s="62" t="str">
        <f aca="false">IF(COUNTA($A1550,$F1550,$G1550,$H1550,$I1550,$J1550)=0,"",IF($M1550=0,"✖ كود الصف غير موجود",IF(ISNA(MATCH($F1550,Lists!$A$2:$A$5,0)),"✖ الفترة غير صحيحة",IF(ISNA(MATCH($G1550,Lists!$B$2:$B$7,0)),"✖ المجموعة غير صحيحة",IF(NOT(OR($H1550="",$N1550&gt;0)),"✖ Start غير صحيح",IF(NOT(OR($I1550="",$I1550="NR",$O1550&gt;0)),"✖ Current غير صحيح",IF(NOT(IF(ISNUMBER($J1550),AND($J1550&gt;=0,$J1550=INT($J1550)),FALSE())),"✖ العدد يجب أن يكون صحيحًا ≥ 0",IF(AND($F1550="Baseline",$H1550&lt;&gt;""),"⚠ Baseline: Start لا يدخل في التقدم",IF($K1550="No Start (attainment only)","ℹ تحصيل فقط (بدون Start)",IF($K1550="U – needs rule","ℹ حالة U تحتاج قاعدة معتمدة",IF($K1550="No result","ℹ بدون نتيجة (يُستبعد من التحصيل)","OK")))))))))))</f>
        <v/>
      </c>
      <c r="M1550" s="64" t="n">
        <f aca="false">IF($A1550="",0,IFERROR(MATCH($A1550,Classes!$A$6:$A$420,0),0))</f>
        <v>0</v>
      </c>
      <c r="N1550" s="64" t="n">
        <f aca="false">IF($H1550="",0,IFERROR(MATCH($H1550,GradeList,0),0))</f>
        <v>0</v>
      </c>
      <c r="O1550" s="64" t="n">
        <f aca="false">IF(OR($I1550="",$I1550="NR"),0,IFERROR(MATCH($I1550,GradeList,0),0))</f>
        <v>0</v>
      </c>
      <c r="P1550" s="64" t="n">
        <f aca="false">IF(AND($M1550&gt;0,ISNUMBER(MATCH($F1550,Lists!$A$2:$A$5,0)),ISNUMBER(MATCH($G1550,Lists!$B$2:$B$7,0)),OR($H1550="",$N1550&gt;0),OR($I1550="",$I1550="NR",$O1550&gt;0),IF(ISNUMBER($J1550),AND($J1550&gt;=0,$J1550=INT($J1550)),FALSE())),$J1550,0)</f>
        <v>0</v>
      </c>
      <c r="Q1550" s="64" t="n">
        <f aca="false">IF(AND($P1550&gt;0,$O1550&gt;0),$P1550,0)</f>
        <v>0</v>
      </c>
      <c r="R1550" s="64" t="n">
        <f aca="false">IF(AND($Q1550&gt;0,$O1550&gt;=AtRank),$Q1550,0)</f>
        <v>0</v>
      </c>
      <c r="S1550" s="64" t="n">
        <f aca="false">IF(AND($Q1550&gt;0,$O1550&gt;=AboveRank),$Q1550,0)</f>
        <v>0</v>
      </c>
      <c r="T1550" s="64" t="n">
        <f aca="false">IF($K1550="Less",$P1550,0)</f>
        <v>0</v>
      </c>
      <c r="U1550" s="64" t="n">
        <f aca="false">IF($K1550="Expected",$P1550,0)</f>
        <v>0</v>
      </c>
      <c r="V1550" s="64" t="n">
        <f aca="false">IF($K1550="Better",$P1550,0)</f>
        <v>0</v>
      </c>
      <c r="W1550" s="64" t="n">
        <f aca="false">IF($K1550="U – needs rule",$P1550,0)</f>
        <v>0</v>
      </c>
      <c r="X1550" s="64" t="n">
        <f aca="false">IF($K1550="No Start (attainment only)",$P1550,0)</f>
        <v>0</v>
      </c>
    </row>
    <row r="1551" customFormat="false" ht="15" hidden="false" customHeight="false" outlineLevel="0" collapsed="false">
      <c r="A1551" s="60"/>
      <c r="B1551" s="61" t="str">
        <f aca="false">IF($M1551=0,"",INDEX(Classes!$E$6:$E$420,$M1551))</f>
        <v/>
      </c>
      <c r="C1551" s="62" t="str">
        <f aca="false">IF($M1551=0,"",INDEX(Classes!$H$6:$H$420,$M1551))</f>
        <v/>
      </c>
      <c r="D1551" s="61" t="str">
        <f aca="false">IF($M1551=0,"",INDEX(Classes!$B$6:$B$420,$M1551))</f>
        <v/>
      </c>
      <c r="E1551" s="61" t="str">
        <f aca="false">IF($M1551=0,"",INDEX(Classes!$C$6:$C$420,$M1551))</f>
        <v/>
      </c>
      <c r="F1551" s="63"/>
      <c r="G1551" s="63"/>
      <c r="H1551" s="60"/>
      <c r="I1551" s="60"/>
      <c r="J1551" s="63"/>
      <c r="K1551" s="61" t="str">
        <f aca="false">IF($P1551=0,"",IF($F1551="Baseline","— Baseline",IF($O1551=0,"No result",IF($N1551=0,"No Start (attainment only)",IF(OR($N1551=1,$O1551=1),"U – needs rule",INDEX(MxBody,MATCH($I1551,MxCurr,0),MATCH($H1551,MxStart,0)))))))</f>
        <v/>
      </c>
      <c r="L1551" s="62" t="str">
        <f aca="false">IF(COUNTA($A1551,$F1551,$G1551,$H1551,$I1551,$J1551)=0,"",IF($M1551=0,"✖ كود الصف غير موجود",IF(ISNA(MATCH($F1551,Lists!$A$2:$A$5,0)),"✖ الفترة غير صحيحة",IF(ISNA(MATCH($G1551,Lists!$B$2:$B$7,0)),"✖ المجموعة غير صحيحة",IF(NOT(OR($H1551="",$N1551&gt;0)),"✖ Start غير صحيح",IF(NOT(OR($I1551="",$I1551="NR",$O1551&gt;0)),"✖ Current غير صحيح",IF(NOT(IF(ISNUMBER($J1551),AND($J1551&gt;=0,$J1551=INT($J1551)),FALSE())),"✖ العدد يجب أن يكون صحيحًا ≥ 0",IF(AND($F1551="Baseline",$H1551&lt;&gt;""),"⚠ Baseline: Start لا يدخل في التقدم",IF($K1551="No Start (attainment only)","ℹ تحصيل فقط (بدون Start)",IF($K1551="U – needs rule","ℹ حالة U تحتاج قاعدة معتمدة",IF($K1551="No result","ℹ بدون نتيجة (يُستبعد من التحصيل)","OK")))))))))))</f>
        <v/>
      </c>
      <c r="M1551" s="64" t="n">
        <f aca="false">IF($A1551="",0,IFERROR(MATCH($A1551,Classes!$A$6:$A$420,0),0))</f>
        <v>0</v>
      </c>
      <c r="N1551" s="64" t="n">
        <f aca="false">IF($H1551="",0,IFERROR(MATCH($H1551,GradeList,0),0))</f>
        <v>0</v>
      </c>
      <c r="O1551" s="64" t="n">
        <f aca="false">IF(OR($I1551="",$I1551="NR"),0,IFERROR(MATCH($I1551,GradeList,0),0))</f>
        <v>0</v>
      </c>
      <c r="P1551" s="64" t="n">
        <f aca="false">IF(AND($M1551&gt;0,ISNUMBER(MATCH($F1551,Lists!$A$2:$A$5,0)),ISNUMBER(MATCH($G1551,Lists!$B$2:$B$7,0)),OR($H1551="",$N1551&gt;0),OR($I1551="",$I1551="NR",$O1551&gt;0),IF(ISNUMBER($J1551),AND($J1551&gt;=0,$J1551=INT($J1551)),FALSE())),$J1551,0)</f>
        <v>0</v>
      </c>
      <c r="Q1551" s="64" t="n">
        <f aca="false">IF(AND($P1551&gt;0,$O1551&gt;0),$P1551,0)</f>
        <v>0</v>
      </c>
      <c r="R1551" s="64" t="n">
        <f aca="false">IF(AND($Q1551&gt;0,$O1551&gt;=AtRank),$Q1551,0)</f>
        <v>0</v>
      </c>
      <c r="S1551" s="64" t="n">
        <f aca="false">IF(AND($Q1551&gt;0,$O1551&gt;=AboveRank),$Q1551,0)</f>
        <v>0</v>
      </c>
      <c r="T1551" s="64" t="n">
        <f aca="false">IF($K1551="Less",$P1551,0)</f>
        <v>0</v>
      </c>
      <c r="U1551" s="64" t="n">
        <f aca="false">IF($K1551="Expected",$P1551,0)</f>
        <v>0</v>
      </c>
      <c r="V1551" s="64" t="n">
        <f aca="false">IF($K1551="Better",$P1551,0)</f>
        <v>0</v>
      </c>
      <c r="W1551" s="64" t="n">
        <f aca="false">IF($K1551="U – needs rule",$P1551,0)</f>
        <v>0</v>
      </c>
      <c r="X1551" s="64" t="n">
        <f aca="false">IF($K1551="No Start (attainment only)",$P1551,0)</f>
        <v>0</v>
      </c>
    </row>
    <row r="1552" customFormat="false" ht="15" hidden="false" customHeight="false" outlineLevel="0" collapsed="false">
      <c r="A1552" s="60"/>
      <c r="B1552" s="61" t="str">
        <f aca="false">IF($M1552=0,"",INDEX(Classes!$E$6:$E$420,$M1552))</f>
        <v/>
      </c>
      <c r="C1552" s="62" t="str">
        <f aca="false">IF($M1552=0,"",INDEX(Classes!$H$6:$H$420,$M1552))</f>
        <v/>
      </c>
      <c r="D1552" s="61" t="str">
        <f aca="false">IF($M1552=0,"",INDEX(Classes!$B$6:$B$420,$M1552))</f>
        <v/>
      </c>
      <c r="E1552" s="61" t="str">
        <f aca="false">IF($M1552=0,"",INDEX(Classes!$C$6:$C$420,$M1552))</f>
        <v/>
      </c>
      <c r="F1552" s="63"/>
      <c r="G1552" s="63"/>
      <c r="H1552" s="60"/>
      <c r="I1552" s="60"/>
      <c r="J1552" s="63"/>
      <c r="K1552" s="61" t="str">
        <f aca="false">IF($P1552=0,"",IF($F1552="Baseline","— Baseline",IF($O1552=0,"No result",IF($N1552=0,"No Start (attainment only)",IF(OR($N1552=1,$O1552=1),"U – needs rule",INDEX(MxBody,MATCH($I1552,MxCurr,0),MATCH($H1552,MxStart,0)))))))</f>
        <v/>
      </c>
      <c r="L1552" s="62" t="str">
        <f aca="false">IF(COUNTA($A1552,$F1552,$G1552,$H1552,$I1552,$J1552)=0,"",IF($M1552=0,"✖ كود الصف غير موجود",IF(ISNA(MATCH($F1552,Lists!$A$2:$A$5,0)),"✖ الفترة غير صحيحة",IF(ISNA(MATCH($G1552,Lists!$B$2:$B$7,0)),"✖ المجموعة غير صحيحة",IF(NOT(OR($H1552="",$N1552&gt;0)),"✖ Start غير صحيح",IF(NOT(OR($I1552="",$I1552="NR",$O1552&gt;0)),"✖ Current غير صحيح",IF(NOT(IF(ISNUMBER($J1552),AND($J1552&gt;=0,$J1552=INT($J1552)),FALSE())),"✖ العدد يجب أن يكون صحيحًا ≥ 0",IF(AND($F1552="Baseline",$H1552&lt;&gt;""),"⚠ Baseline: Start لا يدخل في التقدم",IF($K1552="No Start (attainment only)","ℹ تحصيل فقط (بدون Start)",IF($K1552="U – needs rule","ℹ حالة U تحتاج قاعدة معتمدة",IF($K1552="No result","ℹ بدون نتيجة (يُستبعد من التحصيل)","OK")))))))))))</f>
        <v/>
      </c>
      <c r="M1552" s="64" t="n">
        <f aca="false">IF($A1552="",0,IFERROR(MATCH($A1552,Classes!$A$6:$A$420,0),0))</f>
        <v>0</v>
      </c>
      <c r="N1552" s="64" t="n">
        <f aca="false">IF($H1552="",0,IFERROR(MATCH($H1552,GradeList,0),0))</f>
        <v>0</v>
      </c>
      <c r="O1552" s="64" t="n">
        <f aca="false">IF(OR($I1552="",$I1552="NR"),0,IFERROR(MATCH($I1552,GradeList,0),0))</f>
        <v>0</v>
      </c>
      <c r="P1552" s="64" t="n">
        <f aca="false">IF(AND($M1552&gt;0,ISNUMBER(MATCH($F1552,Lists!$A$2:$A$5,0)),ISNUMBER(MATCH($G1552,Lists!$B$2:$B$7,0)),OR($H1552="",$N1552&gt;0),OR($I1552="",$I1552="NR",$O1552&gt;0),IF(ISNUMBER($J1552),AND($J1552&gt;=0,$J1552=INT($J1552)),FALSE())),$J1552,0)</f>
        <v>0</v>
      </c>
      <c r="Q1552" s="64" t="n">
        <f aca="false">IF(AND($P1552&gt;0,$O1552&gt;0),$P1552,0)</f>
        <v>0</v>
      </c>
      <c r="R1552" s="64" t="n">
        <f aca="false">IF(AND($Q1552&gt;0,$O1552&gt;=AtRank),$Q1552,0)</f>
        <v>0</v>
      </c>
      <c r="S1552" s="64" t="n">
        <f aca="false">IF(AND($Q1552&gt;0,$O1552&gt;=AboveRank),$Q1552,0)</f>
        <v>0</v>
      </c>
      <c r="T1552" s="64" t="n">
        <f aca="false">IF($K1552="Less",$P1552,0)</f>
        <v>0</v>
      </c>
      <c r="U1552" s="64" t="n">
        <f aca="false">IF($K1552="Expected",$P1552,0)</f>
        <v>0</v>
      </c>
      <c r="V1552" s="64" t="n">
        <f aca="false">IF($K1552="Better",$P1552,0)</f>
        <v>0</v>
      </c>
      <c r="W1552" s="64" t="n">
        <f aca="false">IF($K1552="U – needs rule",$P1552,0)</f>
        <v>0</v>
      </c>
      <c r="X1552" s="64" t="n">
        <f aca="false">IF($K1552="No Start (attainment only)",$P1552,0)</f>
        <v>0</v>
      </c>
    </row>
    <row r="1553" customFormat="false" ht="15" hidden="false" customHeight="false" outlineLevel="0" collapsed="false">
      <c r="A1553" s="60"/>
      <c r="B1553" s="61" t="str">
        <f aca="false">IF($M1553=0,"",INDEX(Classes!$E$6:$E$420,$M1553))</f>
        <v/>
      </c>
      <c r="C1553" s="62" t="str">
        <f aca="false">IF($M1553=0,"",INDEX(Classes!$H$6:$H$420,$M1553))</f>
        <v/>
      </c>
      <c r="D1553" s="61" t="str">
        <f aca="false">IF($M1553=0,"",INDEX(Classes!$B$6:$B$420,$M1553))</f>
        <v/>
      </c>
      <c r="E1553" s="61" t="str">
        <f aca="false">IF($M1553=0,"",INDEX(Classes!$C$6:$C$420,$M1553))</f>
        <v/>
      </c>
      <c r="F1553" s="63"/>
      <c r="G1553" s="63"/>
      <c r="H1553" s="60"/>
      <c r="I1553" s="60"/>
      <c r="J1553" s="63"/>
      <c r="K1553" s="61" t="str">
        <f aca="false">IF($P1553=0,"",IF($F1553="Baseline","— Baseline",IF($O1553=0,"No result",IF($N1553=0,"No Start (attainment only)",IF(OR($N1553=1,$O1553=1),"U – needs rule",INDEX(MxBody,MATCH($I1553,MxCurr,0),MATCH($H1553,MxStart,0)))))))</f>
        <v/>
      </c>
      <c r="L1553" s="62" t="str">
        <f aca="false">IF(COUNTA($A1553,$F1553,$G1553,$H1553,$I1553,$J1553)=0,"",IF($M1553=0,"✖ كود الصف غير موجود",IF(ISNA(MATCH($F1553,Lists!$A$2:$A$5,0)),"✖ الفترة غير صحيحة",IF(ISNA(MATCH($G1553,Lists!$B$2:$B$7,0)),"✖ المجموعة غير صحيحة",IF(NOT(OR($H1553="",$N1553&gt;0)),"✖ Start غير صحيح",IF(NOT(OR($I1553="",$I1553="NR",$O1553&gt;0)),"✖ Current غير صحيح",IF(NOT(IF(ISNUMBER($J1553),AND($J1553&gt;=0,$J1553=INT($J1553)),FALSE())),"✖ العدد يجب أن يكون صحيحًا ≥ 0",IF(AND($F1553="Baseline",$H1553&lt;&gt;""),"⚠ Baseline: Start لا يدخل في التقدم",IF($K1553="No Start (attainment only)","ℹ تحصيل فقط (بدون Start)",IF($K1553="U – needs rule","ℹ حالة U تحتاج قاعدة معتمدة",IF($K1553="No result","ℹ بدون نتيجة (يُستبعد من التحصيل)","OK")))))))))))</f>
        <v/>
      </c>
      <c r="M1553" s="64" t="n">
        <f aca="false">IF($A1553="",0,IFERROR(MATCH($A1553,Classes!$A$6:$A$420,0),0))</f>
        <v>0</v>
      </c>
      <c r="N1553" s="64" t="n">
        <f aca="false">IF($H1553="",0,IFERROR(MATCH($H1553,GradeList,0),0))</f>
        <v>0</v>
      </c>
      <c r="O1553" s="64" t="n">
        <f aca="false">IF(OR($I1553="",$I1553="NR"),0,IFERROR(MATCH($I1553,GradeList,0),0))</f>
        <v>0</v>
      </c>
      <c r="P1553" s="64" t="n">
        <f aca="false">IF(AND($M1553&gt;0,ISNUMBER(MATCH($F1553,Lists!$A$2:$A$5,0)),ISNUMBER(MATCH($G1553,Lists!$B$2:$B$7,0)),OR($H1553="",$N1553&gt;0),OR($I1553="",$I1553="NR",$O1553&gt;0),IF(ISNUMBER($J1553),AND($J1553&gt;=0,$J1553=INT($J1553)),FALSE())),$J1553,0)</f>
        <v>0</v>
      </c>
      <c r="Q1553" s="64" t="n">
        <f aca="false">IF(AND($P1553&gt;0,$O1553&gt;0),$P1553,0)</f>
        <v>0</v>
      </c>
      <c r="R1553" s="64" t="n">
        <f aca="false">IF(AND($Q1553&gt;0,$O1553&gt;=AtRank),$Q1553,0)</f>
        <v>0</v>
      </c>
      <c r="S1553" s="64" t="n">
        <f aca="false">IF(AND($Q1553&gt;0,$O1553&gt;=AboveRank),$Q1553,0)</f>
        <v>0</v>
      </c>
      <c r="T1553" s="64" t="n">
        <f aca="false">IF($K1553="Less",$P1553,0)</f>
        <v>0</v>
      </c>
      <c r="U1553" s="64" t="n">
        <f aca="false">IF($K1553="Expected",$P1553,0)</f>
        <v>0</v>
      </c>
      <c r="V1553" s="64" t="n">
        <f aca="false">IF($K1553="Better",$P1553,0)</f>
        <v>0</v>
      </c>
      <c r="W1553" s="64" t="n">
        <f aca="false">IF($K1553="U – needs rule",$P1553,0)</f>
        <v>0</v>
      </c>
      <c r="X1553" s="64" t="n">
        <f aca="false">IF($K1553="No Start (attainment only)",$P1553,0)</f>
        <v>0</v>
      </c>
    </row>
    <row r="1554" customFormat="false" ht="15" hidden="false" customHeight="false" outlineLevel="0" collapsed="false">
      <c r="A1554" s="60"/>
      <c r="B1554" s="61" t="str">
        <f aca="false">IF($M1554=0,"",INDEX(Classes!$E$6:$E$420,$M1554))</f>
        <v/>
      </c>
      <c r="C1554" s="62" t="str">
        <f aca="false">IF($M1554=0,"",INDEX(Classes!$H$6:$H$420,$M1554))</f>
        <v/>
      </c>
      <c r="D1554" s="61" t="str">
        <f aca="false">IF($M1554=0,"",INDEX(Classes!$B$6:$B$420,$M1554))</f>
        <v/>
      </c>
      <c r="E1554" s="61" t="str">
        <f aca="false">IF($M1554=0,"",INDEX(Classes!$C$6:$C$420,$M1554))</f>
        <v/>
      </c>
      <c r="F1554" s="63"/>
      <c r="G1554" s="63"/>
      <c r="H1554" s="60"/>
      <c r="I1554" s="60"/>
      <c r="J1554" s="63"/>
      <c r="K1554" s="61" t="str">
        <f aca="false">IF($P1554=0,"",IF($F1554="Baseline","— Baseline",IF($O1554=0,"No result",IF($N1554=0,"No Start (attainment only)",IF(OR($N1554=1,$O1554=1),"U – needs rule",INDEX(MxBody,MATCH($I1554,MxCurr,0),MATCH($H1554,MxStart,0)))))))</f>
        <v/>
      </c>
      <c r="L1554" s="62" t="str">
        <f aca="false">IF(COUNTA($A1554,$F1554,$G1554,$H1554,$I1554,$J1554)=0,"",IF($M1554=0,"✖ كود الصف غير موجود",IF(ISNA(MATCH($F1554,Lists!$A$2:$A$5,0)),"✖ الفترة غير صحيحة",IF(ISNA(MATCH($G1554,Lists!$B$2:$B$7,0)),"✖ المجموعة غير صحيحة",IF(NOT(OR($H1554="",$N1554&gt;0)),"✖ Start غير صحيح",IF(NOT(OR($I1554="",$I1554="NR",$O1554&gt;0)),"✖ Current غير صحيح",IF(NOT(IF(ISNUMBER($J1554),AND($J1554&gt;=0,$J1554=INT($J1554)),FALSE())),"✖ العدد يجب أن يكون صحيحًا ≥ 0",IF(AND($F1554="Baseline",$H1554&lt;&gt;""),"⚠ Baseline: Start لا يدخل في التقدم",IF($K1554="No Start (attainment only)","ℹ تحصيل فقط (بدون Start)",IF($K1554="U – needs rule","ℹ حالة U تحتاج قاعدة معتمدة",IF($K1554="No result","ℹ بدون نتيجة (يُستبعد من التحصيل)","OK")))))))))))</f>
        <v/>
      </c>
      <c r="M1554" s="64" t="n">
        <f aca="false">IF($A1554="",0,IFERROR(MATCH($A1554,Classes!$A$6:$A$420,0),0))</f>
        <v>0</v>
      </c>
      <c r="N1554" s="64" t="n">
        <f aca="false">IF($H1554="",0,IFERROR(MATCH($H1554,GradeList,0),0))</f>
        <v>0</v>
      </c>
      <c r="O1554" s="64" t="n">
        <f aca="false">IF(OR($I1554="",$I1554="NR"),0,IFERROR(MATCH($I1554,GradeList,0),0))</f>
        <v>0</v>
      </c>
      <c r="P1554" s="64" t="n">
        <f aca="false">IF(AND($M1554&gt;0,ISNUMBER(MATCH($F1554,Lists!$A$2:$A$5,0)),ISNUMBER(MATCH($G1554,Lists!$B$2:$B$7,0)),OR($H1554="",$N1554&gt;0),OR($I1554="",$I1554="NR",$O1554&gt;0),IF(ISNUMBER($J1554),AND($J1554&gt;=0,$J1554=INT($J1554)),FALSE())),$J1554,0)</f>
        <v>0</v>
      </c>
      <c r="Q1554" s="64" t="n">
        <f aca="false">IF(AND($P1554&gt;0,$O1554&gt;0),$P1554,0)</f>
        <v>0</v>
      </c>
      <c r="R1554" s="64" t="n">
        <f aca="false">IF(AND($Q1554&gt;0,$O1554&gt;=AtRank),$Q1554,0)</f>
        <v>0</v>
      </c>
      <c r="S1554" s="64" t="n">
        <f aca="false">IF(AND($Q1554&gt;0,$O1554&gt;=AboveRank),$Q1554,0)</f>
        <v>0</v>
      </c>
      <c r="T1554" s="64" t="n">
        <f aca="false">IF($K1554="Less",$P1554,0)</f>
        <v>0</v>
      </c>
      <c r="U1554" s="64" t="n">
        <f aca="false">IF($K1554="Expected",$P1554,0)</f>
        <v>0</v>
      </c>
      <c r="V1554" s="64" t="n">
        <f aca="false">IF($K1554="Better",$P1554,0)</f>
        <v>0</v>
      </c>
      <c r="W1554" s="64" t="n">
        <f aca="false">IF($K1554="U – needs rule",$P1554,0)</f>
        <v>0</v>
      </c>
      <c r="X1554" s="64" t="n">
        <f aca="false">IF($K1554="No Start (attainment only)",$P1554,0)</f>
        <v>0</v>
      </c>
    </row>
    <row r="1555" customFormat="false" ht="15" hidden="false" customHeight="false" outlineLevel="0" collapsed="false">
      <c r="A1555" s="60"/>
      <c r="B1555" s="61" t="str">
        <f aca="false">IF($M1555=0,"",INDEX(Classes!$E$6:$E$420,$M1555))</f>
        <v/>
      </c>
      <c r="C1555" s="62" t="str">
        <f aca="false">IF($M1555=0,"",INDEX(Classes!$H$6:$H$420,$M1555))</f>
        <v/>
      </c>
      <c r="D1555" s="61" t="str">
        <f aca="false">IF($M1555=0,"",INDEX(Classes!$B$6:$B$420,$M1555))</f>
        <v/>
      </c>
      <c r="E1555" s="61" t="str">
        <f aca="false">IF($M1555=0,"",INDEX(Classes!$C$6:$C$420,$M1555))</f>
        <v/>
      </c>
      <c r="F1555" s="63"/>
      <c r="G1555" s="63"/>
      <c r="H1555" s="60"/>
      <c r="I1555" s="60"/>
      <c r="J1555" s="63"/>
      <c r="K1555" s="61" t="str">
        <f aca="false">IF($P1555=0,"",IF($F1555="Baseline","— Baseline",IF($O1555=0,"No result",IF($N1555=0,"No Start (attainment only)",IF(OR($N1555=1,$O1555=1),"U – needs rule",INDEX(MxBody,MATCH($I1555,MxCurr,0),MATCH($H1555,MxStart,0)))))))</f>
        <v/>
      </c>
      <c r="L1555" s="62" t="str">
        <f aca="false">IF(COUNTA($A1555,$F1555,$G1555,$H1555,$I1555,$J1555)=0,"",IF($M1555=0,"✖ كود الصف غير موجود",IF(ISNA(MATCH($F1555,Lists!$A$2:$A$5,0)),"✖ الفترة غير صحيحة",IF(ISNA(MATCH($G1555,Lists!$B$2:$B$7,0)),"✖ المجموعة غير صحيحة",IF(NOT(OR($H1555="",$N1555&gt;0)),"✖ Start غير صحيح",IF(NOT(OR($I1555="",$I1555="NR",$O1555&gt;0)),"✖ Current غير صحيح",IF(NOT(IF(ISNUMBER($J1555),AND($J1555&gt;=0,$J1555=INT($J1555)),FALSE())),"✖ العدد يجب أن يكون صحيحًا ≥ 0",IF(AND($F1555="Baseline",$H1555&lt;&gt;""),"⚠ Baseline: Start لا يدخل في التقدم",IF($K1555="No Start (attainment only)","ℹ تحصيل فقط (بدون Start)",IF($K1555="U – needs rule","ℹ حالة U تحتاج قاعدة معتمدة",IF($K1555="No result","ℹ بدون نتيجة (يُستبعد من التحصيل)","OK")))))))))))</f>
        <v/>
      </c>
      <c r="M1555" s="64" t="n">
        <f aca="false">IF($A1555="",0,IFERROR(MATCH($A1555,Classes!$A$6:$A$420,0),0))</f>
        <v>0</v>
      </c>
      <c r="N1555" s="64" t="n">
        <f aca="false">IF($H1555="",0,IFERROR(MATCH($H1555,GradeList,0),0))</f>
        <v>0</v>
      </c>
      <c r="O1555" s="64" t="n">
        <f aca="false">IF(OR($I1555="",$I1555="NR"),0,IFERROR(MATCH($I1555,GradeList,0),0))</f>
        <v>0</v>
      </c>
      <c r="P1555" s="64" t="n">
        <f aca="false">IF(AND($M1555&gt;0,ISNUMBER(MATCH($F1555,Lists!$A$2:$A$5,0)),ISNUMBER(MATCH($G1555,Lists!$B$2:$B$7,0)),OR($H1555="",$N1555&gt;0),OR($I1555="",$I1555="NR",$O1555&gt;0),IF(ISNUMBER($J1555),AND($J1555&gt;=0,$J1555=INT($J1555)),FALSE())),$J1555,0)</f>
        <v>0</v>
      </c>
      <c r="Q1555" s="64" t="n">
        <f aca="false">IF(AND($P1555&gt;0,$O1555&gt;0),$P1555,0)</f>
        <v>0</v>
      </c>
      <c r="R1555" s="64" t="n">
        <f aca="false">IF(AND($Q1555&gt;0,$O1555&gt;=AtRank),$Q1555,0)</f>
        <v>0</v>
      </c>
      <c r="S1555" s="64" t="n">
        <f aca="false">IF(AND($Q1555&gt;0,$O1555&gt;=AboveRank),$Q1555,0)</f>
        <v>0</v>
      </c>
      <c r="T1555" s="64" t="n">
        <f aca="false">IF($K1555="Less",$P1555,0)</f>
        <v>0</v>
      </c>
      <c r="U1555" s="64" t="n">
        <f aca="false">IF($K1555="Expected",$P1555,0)</f>
        <v>0</v>
      </c>
      <c r="V1555" s="64" t="n">
        <f aca="false">IF($K1555="Better",$P1555,0)</f>
        <v>0</v>
      </c>
      <c r="W1555" s="64" t="n">
        <f aca="false">IF($K1555="U – needs rule",$P1555,0)</f>
        <v>0</v>
      </c>
      <c r="X1555" s="64" t="n">
        <f aca="false">IF($K1555="No Start (attainment only)",$P1555,0)</f>
        <v>0</v>
      </c>
    </row>
    <row r="1556" customFormat="false" ht="15" hidden="false" customHeight="false" outlineLevel="0" collapsed="false">
      <c r="A1556" s="60"/>
      <c r="B1556" s="61" t="str">
        <f aca="false">IF($M1556=0,"",INDEX(Classes!$E$6:$E$420,$M1556))</f>
        <v/>
      </c>
      <c r="C1556" s="62" t="str">
        <f aca="false">IF($M1556=0,"",INDEX(Classes!$H$6:$H$420,$M1556))</f>
        <v/>
      </c>
      <c r="D1556" s="61" t="str">
        <f aca="false">IF($M1556=0,"",INDEX(Classes!$B$6:$B$420,$M1556))</f>
        <v/>
      </c>
      <c r="E1556" s="61" t="str">
        <f aca="false">IF($M1556=0,"",INDEX(Classes!$C$6:$C$420,$M1556))</f>
        <v/>
      </c>
      <c r="F1556" s="63"/>
      <c r="G1556" s="63"/>
      <c r="H1556" s="60"/>
      <c r="I1556" s="60"/>
      <c r="J1556" s="63"/>
      <c r="K1556" s="61" t="str">
        <f aca="false">IF($P1556=0,"",IF($F1556="Baseline","— Baseline",IF($O1556=0,"No result",IF($N1556=0,"No Start (attainment only)",IF(OR($N1556=1,$O1556=1),"U – needs rule",INDEX(MxBody,MATCH($I1556,MxCurr,0),MATCH($H1556,MxStart,0)))))))</f>
        <v/>
      </c>
      <c r="L1556" s="62" t="str">
        <f aca="false">IF(COUNTA($A1556,$F1556,$G1556,$H1556,$I1556,$J1556)=0,"",IF($M1556=0,"✖ كود الصف غير موجود",IF(ISNA(MATCH($F1556,Lists!$A$2:$A$5,0)),"✖ الفترة غير صحيحة",IF(ISNA(MATCH($G1556,Lists!$B$2:$B$7,0)),"✖ المجموعة غير صحيحة",IF(NOT(OR($H1556="",$N1556&gt;0)),"✖ Start غير صحيح",IF(NOT(OR($I1556="",$I1556="NR",$O1556&gt;0)),"✖ Current غير صحيح",IF(NOT(IF(ISNUMBER($J1556),AND($J1556&gt;=0,$J1556=INT($J1556)),FALSE())),"✖ العدد يجب أن يكون صحيحًا ≥ 0",IF(AND($F1556="Baseline",$H1556&lt;&gt;""),"⚠ Baseline: Start لا يدخل في التقدم",IF($K1556="No Start (attainment only)","ℹ تحصيل فقط (بدون Start)",IF($K1556="U – needs rule","ℹ حالة U تحتاج قاعدة معتمدة",IF($K1556="No result","ℹ بدون نتيجة (يُستبعد من التحصيل)","OK")))))))))))</f>
        <v/>
      </c>
      <c r="M1556" s="64" t="n">
        <f aca="false">IF($A1556="",0,IFERROR(MATCH($A1556,Classes!$A$6:$A$420,0),0))</f>
        <v>0</v>
      </c>
      <c r="N1556" s="64" t="n">
        <f aca="false">IF($H1556="",0,IFERROR(MATCH($H1556,GradeList,0),0))</f>
        <v>0</v>
      </c>
      <c r="O1556" s="64" t="n">
        <f aca="false">IF(OR($I1556="",$I1556="NR"),0,IFERROR(MATCH($I1556,GradeList,0),0))</f>
        <v>0</v>
      </c>
      <c r="P1556" s="64" t="n">
        <f aca="false">IF(AND($M1556&gt;0,ISNUMBER(MATCH($F1556,Lists!$A$2:$A$5,0)),ISNUMBER(MATCH($G1556,Lists!$B$2:$B$7,0)),OR($H1556="",$N1556&gt;0),OR($I1556="",$I1556="NR",$O1556&gt;0),IF(ISNUMBER($J1556),AND($J1556&gt;=0,$J1556=INT($J1556)),FALSE())),$J1556,0)</f>
        <v>0</v>
      </c>
      <c r="Q1556" s="64" t="n">
        <f aca="false">IF(AND($P1556&gt;0,$O1556&gt;0),$P1556,0)</f>
        <v>0</v>
      </c>
      <c r="R1556" s="64" t="n">
        <f aca="false">IF(AND($Q1556&gt;0,$O1556&gt;=AtRank),$Q1556,0)</f>
        <v>0</v>
      </c>
      <c r="S1556" s="64" t="n">
        <f aca="false">IF(AND($Q1556&gt;0,$O1556&gt;=AboveRank),$Q1556,0)</f>
        <v>0</v>
      </c>
      <c r="T1556" s="64" t="n">
        <f aca="false">IF($K1556="Less",$P1556,0)</f>
        <v>0</v>
      </c>
      <c r="U1556" s="64" t="n">
        <f aca="false">IF($K1556="Expected",$P1556,0)</f>
        <v>0</v>
      </c>
      <c r="V1556" s="64" t="n">
        <f aca="false">IF($K1556="Better",$P1556,0)</f>
        <v>0</v>
      </c>
      <c r="W1556" s="64" t="n">
        <f aca="false">IF($K1556="U – needs rule",$P1556,0)</f>
        <v>0</v>
      </c>
      <c r="X1556" s="64" t="n">
        <f aca="false">IF($K1556="No Start (attainment only)",$P1556,0)</f>
        <v>0</v>
      </c>
    </row>
    <row r="1557" customFormat="false" ht="15" hidden="false" customHeight="false" outlineLevel="0" collapsed="false">
      <c r="A1557" s="60"/>
      <c r="B1557" s="61" t="str">
        <f aca="false">IF($M1557=0,"",INDEX(Classes!$E$6:$E$420,$M1557))</f>
        <v/>
      </c>
      <c r="C1557" s="62" t="str">
        <f aca="false">IF($M1557=0,"",INDEX(Classes!$H$6:$H$420,$M1557))</f>
        <v/>
      </c>
      <c r="D1557" s="61" t="str">
        <f aca="false">IF($M1557=0,"",INDEX(Classes!$B$6:$B$420,$M1557))</f>
        <v/>
      </c>
      <c r="E1557" s="61" t="str">
        <f aca="false">IF($M1557=0,"",INDEX(Classes!$C$6:$C$420,$M1557))</f>
        <v/>
      </c>
      <c r="F1557" s="63"/>
      <c r="G1557" s="63"/>
      <c r="H1557" s="60"/>
      <c r="I1557" s="60"/>
      <c r="J1557" s="63"/>
      <c r="K1557" s="61" t="str">
        <f aca="false">IF($P1557=0,"",IF($F1557="Baseline","— Baseline",IF($O1557=0,"No result",IF($N1557=0,"No Start (attainment only)",IF(OR($N1557=1,$O1557=1),"U – needs rule",INDEX(MxBody,MATCH($I1557,MxCurr,0),MATCH($H1557,MxStart,0)))))))</f>
        <v/>
      </c>
      <c r="L1557" s="62" t="str">
        <f aca="false">IF(COUNTA($A1557,$F1557,$G1557,$H1557,$I1557,$J1557)=0,"",IF($M1557=0,"✖ كود الصف غير موجود",IF(ISNA(MATCH($F1557,Lists!$A$2:$A$5,0)),"✖ الفترة غير صحيحة",IF(ISNA(MATCH($G1557,Lists!$B$2:$B$7,0)),"✖ المجموعة غير صحيحة",IF(NOT(OR($H1557="",$N1557&gt;0)),"✖ Start غير صحيح",IF(NOT(OR($I1557="",$I1557="NR",$O1557&gt;0)),"✖ Current غير صحيح",IF(NOT(IF(ISNUMBER($J1557),AND($J1557&gt;=0,$J1557=INT($J1557)),FALSE())),"✖ العدد يجب أن يكون صحيحًا ≥ 0",IF(AND($F1557="Baseline",$H1557&lt;&gt;""),"⚠ Baseline: Start لا يدخل في التقدم",IF($K1557="No Start (attainment only)","ℹ تحصيل فقط (بدون Start)",IF($K1557="U – needs rule","ℹ حالة U تحتاج قاعدة معتمدة",IF($K1557="No result","ℹ بدون نتيجة (يُستبعد من التحصيل)","OK")))))))))))</f>
        <v/>
      </c>
      <c r="M1557" s="64" t="n">
        <f aca="false">IF($A1557="",0,IFERROR(MATCH($A1557,Classes!$A$6:$A$420,0),0))</f>
        <v>0</v>
      </c>
      <c r="N1557" s="64" t="n">
        <f aca="false">IF($H1557="",0,IFERROR(MATCH($H1557,GradeList,0),0))</f>
        <v>0</v>
      </c>
      <c r="O1557" s="64" t="n">
        <f aca="false">IF(OR($I1557="",$I1557="NR"),0,IFERROR(MATCH($I1557,GradeList,0),0))</f>
        <v>0</v>
      </c>
      <c r="P1557" s="64" t="n">
        <f aca="false">IF(AND($M1557&gt;0,ISNUMBER(MATCH($F1557,Lists!$A$2:$A$5,0)),ISNUMBER(MATCH($G1557,Lists!$B$2:$B$7,0)),OR($H1557="",$N1557&gt;0),OR($I1557="",$I1557="NR",$O1557&gt;0),IF(ISNUMBER($J1557),AND($J1557&gt;=0,$J1557=INT($J1557)),FALSE())),$J1557,0)</f>
        <v>0</v>
      </c>
      <c r="Q1557" s="64" t="n">
        <f aca="false">IF(AND($P1557&gt;0,$O1557&gt;0),$P1557,0)</f>
        <v>0</v>
      </c>
      <c r="R1557" s="64" t="n">
        <f aca="false">IF(AND($Q1557&gt;0,$O1557&gt;=AtRank),$Q1557,0)</f>
        <v>0</v>
      </c>
      <c r="S1557" s="64" t="n">
        <f aca="false">IF(AND($Q1557&gt;0,$O1557&gt;=AboveRank),$Q1557,0)</f>
        <v>0</v>
      </c>
      <c r="T1557" s="64" t="n">
        <f aca="false">IF($K1557="Less",$P1557,0)</f>
        <v>0</v>
      </c>
      <c r="U1557" s="64" t="n">
        <f aca="false">IF($K1557="Expected",$P1557,0)</f>
        <v>0</v>
      </c>
      <c r="V1557" s="64" t="n">
        <f aca="false">IF($K1557="Better",$P1557,0)</f>
        <v>0</v>
      </c>
      <c r="W1557" s="64" t="n">
        <f aca="false">IF($K1557="U – needs rule",$P1557,0)</f>
        <v>0</v>
      </c>
      <c r="X1557" s="64" t="n">
        <f aca="false">IF($K1557="No Start (attainment only)",$P1557,0)</f>
        <v>0</v>
      </c>
    </row>
    <row r="1558" customFormat="false" ht="15" hidden="false" customHeight="false" outlineLevel="0" collapsed="false">
      <c r="A1558" s="60"/>
      <c r="B1558" s="61" t="str">
        <f aca="false">IF($M1558=0,"",INDEX(Classes!$E$6:$E$420,$M1558))</f>
        <v/>
      </c>
      <c r="C1558" s="62" t="str">
        <f aca="false">IF($M1558=0,"",INDEX(Classes!$H$6:$H$420,$M1558))</f>
        <v/>
      </c>
      <c r="D1558" s="61" t="str">
        <f aca="false">IF($M1558=0,"",INDEX(Classes!$B$6:$B$420,$M1558))</f>
        <v/>
      </c>
      <c r="E1558" s="61" t="str">
        <f aca="false">IF($M1558=0,"",INDEX(Classes!$C$6:$C$420,$M1558))</f>
        <v/>
      </c>
      <c r="F1558" s="63"/>
      <c r="G1558" s="63"/>
      <c r="H1558" s="60"/>
      <c r="I1558" s="60"/>
      <c r="J1558" s="63"/>
      <c r="K1558" s="61" t="str">
        <f aca="false">IF($P1558=0,"",IF($F1558="Baseline","— Baseline",IF($O1558=0,"No result",IF($N1558=0,"No Start (attainment only)",IF(OR($N1558=1,$O1558=1),"U – needs rule",INDEX(MxBody,MATCH($I1558,MxCurr,0),MATCH($H1558,MxStart,0)))))))</f>
        <v/>
      </c>
      <c r="L1558" s="62" t="str">
        <f aca="false">IF(COUNTA($A1558,$F1558,$G1558,$H1558,$I1558,$J1558)=0,"",IF($M1558=0,"✖ كود الصف غير موجود",IF(ISNA(MATCH($F1558,Lists!$A$2:$A$5,0)),"✖ الفترة غير صحيحة",IF(ISNA(MATCH($G1558,Lists!$B$2:$B$7,0)),"✖ المجموعة غير صحيحة",IF(NOT(OR($H1558="",$N1558&gt;0)),"✖ Start غير صحيح",IF(NOT(OR($I1558="",$I1558="NR",$O1558&gt;0)),"✖ Current غير صحيح",IF(NOT(IF(ISNUMBER($J1558),AND($J1558&gt;=0,$J1558=INT($J1558)),FALSE())),"✖ العدد يجب أن يكون صحيحًا ≥ 0",IF(AND($F1558="Baseline",$H1558&lt;&gt;""),"⚠ Baseline: Start لا يدخل في التقدم",IF($K1558="No Start (attainment only)","ℹ تحصيل فقط (بدون Start)",IF($K1558="U – needs rule","ℹ حالة U تحتاج قاعدة معتمدة",IF($K1558="No result","ℹ بدون نتيجة (يُستبعد من التحصيل)","OK")))))))))))</f>
        <v/>
      </c>
      <c r="M1558" s="64" t="n">
        <f aca="false">IF($A1558="",0,IFERROR(MATCH($A1558,Classes!$A$6:$A$420,0),0))</f>
        <v>0</v>
      </c>
      <c r="N1558" s="64" t="n">
        <f aca="false">IF($H1558="",0,IFERROR(MATCH($H1558,GradeList,0),0))</f>
        <v>0</v>
      </c>
      <c r="O1558" s="64" t="n">
        <f aca="false">IF(OR($I1558="",$I1558="NR"),0,IFERROR(MATCH($I1558,GradeList,0),0))</f>
        <v>0</v>
      </c>
      <c r="P1558" s="64" t="n">
        <f aca="false">IF(AND($M1558&gt;0,ISNUMBER(MATCH($F1558,Lists!$A$2:$A$5,0)),ISNUMBER(MATCH($G1558,Lists!$B$2:$B$7,0)),OR($H1558="",$N1558&gt;0),OR($I1558="",$I1558="NR",$O1558&gt;0),IF(ISNUMBER($J1558),AND($J1558&gt;=0,$J1558=INT($J1558)),FALSE())),$J1558,0)</f>
        <v>0</v>
      </c>
      <c r="Q1558" s="64" t="n">
        <f aca="false">IF(AND($P1558&gt;0,$O1558&gt;0),$P1558,0)</f>
        <v>0</v>
      </c>
      <c r="R1558" s="64" t="n">
        <f aca="false">IF(AND($Q1558&gt;0,$O1558&gt;=AtRank),$Q1558,0)</f>
        <v>0</v>
      </c>
      <c r="S1558" s="64" t="n">
        <f aca="false">IF(AND($Q1558&gt;0,$O1558&gt;=AboveRank),$Q1558,0)</f>
        <v>0</v>
      </c>
      <c r="T1558" s="64" t="n">
        <f aca="false">IF($K1558="Less",$P1558,0)</f>
        <v>0</v>
      </c>
      <c r="U1558" s="64" t="n">
        <f aca="false">IF($K1558="Expected",$P1558,0)</f>
        <v>0</v>
      </c>
      <c r="V1558" s="64" t="n">
        <f aca="false">IF($K1558="Better",$P1558,0)</f>
        <v>0</v>
      </c>
      <c r="W1558" s="64" t="n">
        <f aca="false">IF($K1558="U – needs rule",$P1558,0)</f>
        <v>0</v>
      </c>
      <c r="X1558" s="64" t="n">
        <f aca="false">IF($K1558="No Start (attainment only)",$P1558,0)</f>
        <v>0</v>
      </c>
    </row>
    <row r="1559" customFormat="false" ht="15" hidden="false" customHeight="false" outlineLevel="0" collapsed="false">
      <c r="A1559" s="60"/>
      <c r="B1559" s="61" t="str">
        <f aca="false">IF($M1559=0,"",INDEX(Classes!$E$6:$E$420,$M1559))</f>
        <v/>
      </c>
      <c r="C1559" s="62" t="str">
        <f aca="false">IF($M1559=0,"",INDEX(Classes!$H$6:$H$420,$M1559))</f>
        <v/>
      </c>
      <c r="D1559" s="61" t="str">
        <f aca="false">IF($M1559=0,"",INDEX(Classes!$B$6:$B$420,$M1559))</f>
        <v/>
      </c>
      <c r="E1559" s="61" t="str">
        <f aca="false">IF($M1559=0,"",INDEX(Classes!$C$6:$C$420,$M1559))</f>
        <v/>
      </c>
      <c r="F1559" s="63"/>
      <c r="G1559" s="63"/>
      <c r="H1559" s="60"/>
      <c r="I1559" s="60"/>
      <c r="J1559" s="63"/>
      <c r="K1559" s="61" t="str">
        <f aca="false">IF($P1559=0,"",IF($F1559="Baseline","— Baseline",IF($O1559=0,"No result",IF($N1559=0,"No Start (attainment only)",IF(OR($N1559=1,$O1559=1),"U – needs rule",INDEX(MxBody,MATCH($I1559,MxCurr,0),MATCH($H1559,MxStart,0)))))))</f>
        <v/>
      </c>
      <c r="L1559" s="62" t="str">
        <f aca="false">IF(COUNTA($A1559,$F1559,$G1559,$H1559,$I1559,$J1559)=0,"",IF($M1559=0,"✖ كود الصف غير موجود",IF(ISNA(MATCH($F1559,Lists!$A$2:$A$5,0)),"✖ الفترة غير صحيحة",IF(ISNA(MATCH($G1559,Lists!$B$2:$B$7,0)),"✖ المجموعة غير صحيحة",IF(NOT(OR($H1559="",$N1559&gt;0)),"✖ Start غير صحيح",IF(NOT(OR($I1559="",$I1559="NR",$O1559&gt;0)),"✖ Current غير صحيح",IF(NOT(IF(ISNUMBER($J1559),AND($J1559&gt;=0,$J1559=INT($J1559)),FALSE())),"✖ العدد يجب أن يكون صحيحًا ≥ 0",IF(AND($F1559="Baseline",$H1559&lt;&gt;""),"⚠ Baseline: Start لا يدخل في التقدم",IF($K1559="No Start (attainment only)","ℹ تحصيل فقط (بدون Start)",IF($K1559="U – needs rule","ℹ حالة U تحتاج قاعدة معتمدة",IF($K1559="No result","ℹ بدون نتيجة (يُستبعد من التحصيل)","OK")))))))))))</f>
        <v/>
      </c>
      <c r="M1559" s="64" t="n">
        <f aca="false">IF($A1559="",0,IFERROR(MATCH($A1559,Classes!$A$6:$A$420,0),0))</f>
        <v>0</v>
      </c>
      <c r="N1559" s="64" t="n">
        <f aca="false">IF($H1559="",0,IFERROR(MATCH($H1559,GradeList,0),0))</f>
        <v>0</v>
      </c>
      <c r="O1559" s="64" t="n">
        <f aca="false">IF(OR($I1559="",$I1559="NR"),0,IFERROR(MATCH($I1559,GradeList,0),0))</f>
        <v>0</v>
      </c>
      <c r="P1559" s="64" t="n">
        <f aca="false">IF(AND($M1559&gt;0,ISNUMBER(MATCH($F1559,Lists!$A$2:$A$5,0)),ISNUMBER(MATCH($G1559,Lists!$B$2:$B$7,0)),OR($H1559="",$N1559&gt;0),OR($I1559="",$I1559="NR",$O1559&gt;0),IF(ISNUMBER($J1559),AND($J1559&gt;=0,$J1559=INT($J1559)),FALSE())),$J1559,0)</f>
        <v>0</v>
      </c>
      <c r="Q1559" s="64" t="n">
        <f aca="false">IF(AND($P1559&gt;0,$O1559&gt;0),$P1559,0)</f>
        <v>0</v>
      </c>
      <c r="R1559" s="64" t="n">
        <f aca="false">IF(AND($Q1559&gt;0,$O1559&gt;=AtRank),$Q1559,0)</f>
        <v>0</v>
      </c>
      <c r="S1559" s="64" t="n">
        <f aca="false">IF(AND($Q1559&gt;0,$O1559&gt;=AboveRank),$Q1559,0)</f>
        <v>0</v>
      </c>
      <c r="T1559" s="64" t="n">
        <f aca="false">IF($K1559="Less",$P1559,0)</f>
        <v>0</v>
      </c>
      <c r="U1559" s="64" t="n">
        <f aca="false">IF($K1559="Expected",$P1559,0)</f>
        <v>0</v>
      </c>
      <c r="V1559" s="64" t="n">
        <f aca="false">IF($K1559="Better",$P1559,0)</f>
        <v>0</v>
      </c>
      <c r="W1559" s="64" t="n">
        <f aca="false">IF($K1559="U – needs rule",$P1559,0)</f>
        <v>0</v>
      </c>
      <c r="X1559" s="64" t="n">
        <f aca="false">IF($K1559="No Start (attainment only)",$P1559,0)</f>
        <v>0</v>
      </c>
    </row>
    <row r="1560" customFormat="false" ht="15" hidden="false" customHeight="false" outlineLevel="0" collapsed="false">
      <c r="A1560" s="60"/>
      <c r="B1560" s="61" t="str">
        <f aca="false">IF($M1560=0,"",INDEX(Classes!$E$6:$E$420,$M1560))</f>
        <v/>
      </c>
      <c r="C1560" s="62" t="str">
        <f aca="false">IF($M1560=0,"",INDEX(Classes!$H$6:$H$420,$M1560))</f>
        <v/>
      </c>
      <c r="D1560" s="61" t="str">
        <f aca="false">IF($M1560=0,"",INDEX(Classes!$B$6:$B$420,$M1560))</f>
        <v/>
      </c>
      <c r="E1560" s="61" t="str">
        <f aca="false">IF($M1560=0,"",INDEX(Classes!$C$6:$C$420,$M1560))</f>
        <v/>
      </c>
      <c r="F1560" s="63"/>
      <c r="G1560" s="63"/>
      <c r="H1560" s="60"/>
      <c r="I1560" s="60"/>
      <c r="J1560" s="63"/>
      <c r="K1560" s="61" t="str">
        <f aca="false">IF($P1560=0,"",IF($F1560="Baseline","— Baseline",IF($O1560=0,"No result",IF($N1560=0,"No Start (attainment only)",IF(OR($N1560=1,$O1560=1),"U – needs rule",INDEX(MxBody,MATCH($I1560,MxCurr,0),MATCH($H1560,MxStart,0)))))))</f>
        <v/>
      </c>
      <c r="L1560" s="62" t="str">
        <f aca="false">IF(COUNTA($A1560,$F1560,$G1560,$H1560,$I1560,$J1560)=0,"",IF($M1560=0,"✖ كود الصف غير موجود",IF(ISNA(MATCH($F1560,Lists!$A$2:$A$5,0)),"✖ الفترة غير صحيحة",IF(ISNA(MATCH($G1560,Lists!$B$2:$B$7,0)),"✖ المجموعة غير صحيحة",IF(NOT(OR($H1560="",$N1560&gt;0)),"✖ Start غير صحيح",IF(NOT(OR($I1560="",$I1560="NR",$O1560&gt;0)),"✖ Current غير صحيح",IF(NOT(IF(ISNUMBER($J1560),AND($J1560&gt;=0,$J1560=INT($J1560)),FALSE())),"✖ العدد يجب أن يكون صحيحًا ≥ 0",IF(AND($F1560="Baseline",$H1560&lt;&gt;""),"⚠ Baseline: Start لا يدخل في التقدم",IF($K1560="No Start (attainment only)","ℹ تحصيل فقط (بدون Start)",IF($K1560="U – needs rule","ℹ حالة U تحتاج قاعدة معتمدة",IF($K1560="No result","ℹ بدون نتيجة (يُستبعد من التحصيل)","OK")))))))))))</f>
        <v/>
      </c>
      <c r="M1560" s="64" t="n">
        <f aca="false">IF($A1560="",0,IFERROR(MATCH($A1560,Classes!$A$6:$A$420,0),0))</f>
        <v>0</v>
      </c>
      <c r="N1560" s="64" t="n">
        <f aca="false">IF($H1560="",0,IFERROR(MATCH($H1560,GradeList,0),0))</f>
        <v>0</v>
      </c>
      <c r="O1560" s="64" t="n">
        <f aca="false">IF(OR($I1560="",$I1560="NR"),0,IFERROR(MATCH($I1560,GradeList,0),0))</f>
        <v>0</v>
      </c>
      <c r="P1560" s="64" t="n">
        <f aca="false">IF(AND($M1560&gt;0,ISNUMBER(MATCH($F1560,Lists!$A$2:$A$5,0)),ISNUMBER(MATCH($G1560,Lists!$B$2:$B$7,0)),OR($H1560="",$N1560&gt;0),OR($I1560="",$I1560="NR",$O1560&gt;0),IF(ISNUMBER($J1560),AND($J1560&gt;=0,$J1560=INT($J1560)),FALSE())),$J1560,0)</f>
        <v>0</v>
      </c>
      <c r="Q1560" s="64" t="n">
        <f aca="false">IF(AND($P1560&gt;0,$O1560&gt;0),$P1560,0)</f>
        <v>0</v>
      </c>
      <c r="R1560" s="64" t="n">
        <f aca="false">IF(AND($Q1560&gt;0,$O1560&gt;=AtRank),$Q1560,0)</f>
        <v>0</v>
      </c>
      <c r="S1560" s="64" t="n">
        <f aca="false">IF(AND($Q1560&gt;0,$O1560&gt;=AboveRank),$Q1560,0)</f>
        <v>0</v>
      </c>
      <c r="T1560" s="64" t="n">
        <f aca="false">IF($K1560="Less",$P1560,0)</f>
        <v>0</v>
      </c>
      <c r="U1560" s="64" t="n">
        <f aca="false">IF($K1560="Expected",$P1560,0)</f>
        <v>0</v>
      </c>
      <c r="V1560" s="64" t="n">
        <f aca="false">IF($K1560="Better",$P1560,0)</f>
        <v>0</v>
      </c>
      <c r="W1560" s="64" t="n">
        <f aca="false">IF($K1560="U – needs rule",$P1560,0)</f>
        <v>0</v>
      </c>
      <c r="X1560" s="64" t="n">
        <f aca="false">IF($K1560="No Start (attainment only)",$P1560,0)</f>
        <v>0</v>
      </c>
    </row>
    <row r="1561" customFormat="false" ht="15" hidden="false" customHeight="false" outlineLevel="0" collapsed="false">
      <c r="A1561" s="60"/>
      <c r="B1561" s="61" t="str">
        <f aca="false">IF($M1561=0,"",INDEX(Classes!$E$6:$E$420,$M1561))</f>
        <v/>
      </c>
      <c r="C1561" s="62" t="str">
        <f aca="false">IF($M1561=0,"",INDEX(Classes!$H$6:$H$420,$M1561))</f>
        <v/>
      </c>
      <c r="D1561" s="61" t="str">
        <f aca="false">IF($M1561=0,"",INDEX(Classes!$B$6:$B$420,$M1561))</f>
        <v/>
      </c>
      <c r="E1561" s="61" t="str">
        <f aca="false">IF($M1561=0,"",INDEX(Classes!$C$6:$C$420,$M1561))</f>
        <v/>
      </c>
      <c r="F1561" s="63"/>
      <c r="G1561" s="63"/>
      <c r="H1561" s="60"/>
      <c r="I1561" s="60"/>
      <c r="J1561" s="63"/>
      <c r="K1561" s="61" t="str">
        <f aca="false">IF($P1561=0,"",IF($F1561="Baseline","— Baseline",IF($O1561=0,"No result",IF($N1561=0,"No Start (attainment only)",IF(OR($N1561=1,$O1561=1),"U – needs rule",INDEX(MxBody,MATCH($I1561,MxCurr,0),MATCH($H1561,MxStart,0)))))))</f>
        <v/>
      </c>
      <c r="L1561" s="62" t="str">
        <f aca="false">IF(COUNTA($A1561,$F1561,$G1561,$H1561,$I1561,$J1561)=0,"",IF($M1561=0,"✖ كود الصف غير موجود",IF(ISNA(MATCH($F1561,Lists!$A$2:$A$5,0)),"✖ الفترة غير صحيحة",IF(ISNA(MATCH($G1561,Lists!$B$2:$B$7,0)),"✖ المجموعة غير صحيحة",IF(NOT(OR($H1561="",$N1561&gt;0)),"✖ Start غير صحيح",IF(NOT(OR($I1561="",$I1561="NR",$O1561&gt;0)),"✖ Current غير صحيح",IF(NOT(IF(ISNUMBER($J1561),AND($J1561&gt;=0,$J1561=INT($J1561)),FALSE())),"✖ العدد يجب أن يكون صحيحًا ≥ 0",IF(AND($F1561="Baseline",$H1561&lt;&gt;""),"⚠ Baseline: Start لا يدخل في التقدم",IF($K1561="No Start (attainment only)","ℹ تحصيل فقط (بدون Start)",IF($K1561="U – needs rule","ℹ حالة U تحتاج قاعدة معتمدة",IF($K1561="No result","ℹ بدون نتيجة (يُستبعد من التحصيل)","OK")))))))))))</f>
        <v/>
      </c>
      <c r="M1561" s="64" t="n">
        <f aca="false">IF($A1561="",0,IFERROR(MATCH($A1561,Classes!$A$6:$A$420,0),0))</f>
        <v>0</v>
      </c>
      <c r="N1561" s="64" t="n">
        <f aca="false">IF($H1561="",0,IFERROR(MATCH($H1561,GradeList,0),0))</f>
        <v>0</v>
      </c>
      <c r="O1561" s="64" t="n">
        <f aca="false">IF(OR($I1561="",$I1561="NR"),0,IFERROR(MATCH($I1561,GradeList,0),0))</f>
        <v>0</v>
      </c>
      <c r="P1561" s="64" t="n">
        <f aca="false">IF(AND($M1561&gt;0,ISNUMBER(MATCH($F1561,Lists!$A$2:$A$5,0)),ISNUMBER(MATCH($G1561,Lists!$B$2:$B$7,0)),OR($H1561="",$N1561&gt;0),OR($I1561="",$I1561="NR",$O1561&gt;0),IF(ISNUMBER($J1561),AND($J1561&gt;=0,$J1561=INT($J1561)),FALSE())),$J1561,0)</f>
        <v>0</v>
      </c>
      <c r="Q1561" s="64" t="n">
        <f aca="false">IF(AND($P1561&gt;0,$O1561&gt;0),$P1561,0)</f>
        <v>0</v>
      </c>
      <c r="R1561" s="64" t="n">
        <f aca="false">IF(AND($Q1561&gt;0,$O1561&gt;=AtRank),$Q1561,0)</f>
        <v>0</v>
      </c>
      <c r="S1561" s="64" t="n">
        <f aca="false">IF(AND($Q1561&gt;0,$O1561&gt;=AboveRank),$Q1561,0)</f>
        <v>0</v>
      </c>
      <c r="T1561" s="64" t="n">
        <f aca="false">IF($K1561="Less",$P1561,0)</f>
        <v>0</v>
      </c>
      <c r="U1561" s="64" t="n">
        <f aca="false">IF($K1561="Expected",$P1561,0)</f>
        <v>0</v>
      </c>
      <c r="V1561" s="64" t="n">
        <f aca="false">IF($K1561="Better",$P1561,0)</f>
        <v>0</v>
      </c>
      <c r="W1561" s="64" t="n">
        <f aca="false">IF($K1561="U – needs rule",$P1561,0)</f>
        <v>0</v>
      </c>
      <c r="X1561" s="64" t="n">
        <f aca="false">IF($K1561="No Start (attainment only)",$P1561,0)</f>
        <v>0</v>
      </c>
    </row>
    <row r="1562" customFormat="false" ht="15" hidden="false" customHeight="false" outlineLevel="0" collapsed="false">
      <c r="A1562" s="60"/>
      <c r="B1562" s="61" t="str">
        <f aca="false">IF($M1562=0,"",INDEX(Classes!$E$6:$E$420,$M1562))</f>
        <v/>
      </c>
      <c r="C1562" s="62" t="str">
        <f aca="false">IF($M1562=0,"",INDEX(Classes!$H$6:$H$420,$M1562))</f>
        <v/>
      </c>
      <c r="D1562" s="61" t="str">
        <f aca="false">IF($M1562=0,"",INDEX(Classes!$B$6:$B$420,$M1562))</f>
        <v/>
      </c>
      <c r="E1562" s="61" t="str">
        <f aca="false">IF($M1562=0,"",INDEX(Classes!$C$6:$C$420,$M1562))</f>
        <v/>
      </c>
      <c r="F1562" s="63"/>
      <c r="G1562" s="63"/>
      <c r="H1562" s="60"/>
      <c r="I1562" s="60"/>
      <c r="J1562" s="63"/>
      <c r="K1562" s="61" t="str">
        <f aca="false">IF($P1562=0,"",IF($F1562="Baseline","— Baseline",IF($O1562=0,"No result",IF($N1562=0,"No Start (attainment only)",IF(OR($N1562=1,$O1562=1),"U – needs rule",INDEX(MxBody,MATCH($I1562,MxCurr,0),MATCH($H1562,MxStart,0)))))))</f>
        <v/>
      </c>
      <c r="L1562" s="62" t="str">
        <f aca="false">IF(COUNTA($A1562,$F1562,$G1562,$H1562,$I1562,$J1562)=0,"",IF($M1562=0,"✖ كود الصف غير موجود",IF(ISNA(MATCH($F1562,Lists!$A$2:$A$5,0)),"✖ الفترة غير صحيحة",IF(ISNA(MATCH($G1562,Lists!$B$2:$B$7,0)),"✖ المجموعة غير صحيحة",IF(NOT(OR($H1562="",$N1562&gt;0)),"✖ Start غير صحيح",IF(NOT(OR($I1562="",$I1562="NR",$O1562&gt;0)),"✖ Current غير صحيح",IF(NOT(IF(ISNUMBER($J1562),AND($J1562&gt;=0,$J1562=INT($J1562)),FALSE())),"✖ العدد يجب أن يكون صحيحًا ≥ 0",IF(AND($F1562="Baseline",$H1562&lt;&gt;""),"⚠ Baseline: Start لا يدخل في التقدم",IF($K1562="No Start (attainment only)","ℹ تحصيل فقط (بدون Start)",IF($K1562="U – needs rule","ℹ حالة U تحتاج قاعدة معتمدة",IF($K1562="No result","ℹ بدون نتيجة (يُستبعد من التحصيل)","OK")))))))))))</f>
        <v/>
      </c>
      <c r="M1562" s="64" t="n">
        <f aca="false">IF($A1562="",0,IFERROR(MATCH($A1562,Classes!$A$6:$A$420,0),0))</f>
        <v>0</v>
      </c>
      <c r="N1562" s="64" t="n">
        <f aca="false">IF($H1562="",0,IFERROR(MATCH($H1562,GradeList,0),0))</f>
        <v>0</v>
      </c>
      <c r="O1562" s="64" t="n">
        <f aca="false">IF(OR($I1562="",$I1562="NR"),0,IFERROR(MATCH($I1562,GradeList,0),0))</f>
        <v>0</v>
      </c>
      <c r="P1562" s="64" t="n">
        <f aca="false">IF(AND($M1562&gt;0,ISNUMBER(MATCH($F1562,Lists!$A$2:$A$5,0)),ISNUMBER(MATCH($G1562,Lists!$B$2:$B$7,0)),OR($H1562="",$N1562&gt;0),OR($I1562="",$I1562="NR",$O1562&gt;0),IF(ISNUMBER($J1562),AND($J1562&gt;=0,$J1562=INT($J1562)),FALSE())),$J1562,0)</f>
        <v>0</v>
      </c>
      <c r="Q1562" s="64" t="n">
        <f aca="false">IF(AND($P1562&gt;0,$O1562&gt;0),$P1562,0)</f>
        <v>0</v>
      </c>
      <c r="R1562" s="64" t="n">
        <f aca="false">IF(AND($Q1562&gt;0,$O1562&gt;=AtRank),$Q1562,0)</f>
        <v>0</v>
      </c>
      <c r="S1562" s="64" t="n">
        <f aca="false">IF(AND($Q1562&gt;0,$O1562&gt;=AboveRank),$Q1562,0)</f>
        <v>0</v>
      </c>
      <c r="T1562" s="64" t="n">
        <f aca="false">IF($K1562="Less",$P1562,0)</f>
        <v>0</v>
      </c>
      <c r="U1562" s="64" t="n">
        <f aca="false">IF($K1562="Expected",$P1562,0)</f>
        <v>0</v>
      </c>
      <c r="V1562" s="64" t="n">
        <f aca="false">IF($K1562="Better",$P1562,0)</f>
        <v>0</v>
      </c>
      <c r="W1562" s="64" t="n">
        <f aca="false">IF($K1562="U – needs rule",$P1562,0)</f>
        <v>0</v>
      </c>
      <c r="X1562" s="64" t="n">
        <f aca="false">IF($K1562="No Start (attainment only)",$P1562,0)</f>
        <v>0</v>
      </c>
    </row>
    <row r="1563" customFormat="false" ht="15" hidden="false" customHeight="false" outlineLevel="0" collapsed="false">
      <c r="A1563" s="60"/>
      <c r="B1563" s="61" t="str">
        <f aca="false">IF($M1563=0,"",INDEX(Classes!$E$6:$E$420,$M1563))</f>
        <v/>
      </c>
      <c r="C1563" s="62" t="str">
        <f aca="false">IF($M1563=0,"",INDEX(Classes!$H$6:$H$420,$M1563))</f>
        <v/>
      </c>
      <c r="D1563" s="61" t="str">
        <f aca="false">IF($M1563=0,"",INDEX(Classes!$B$6:$B$420,$M1563))</f>
        <v/>
      </c>
      <c r="E1563" s="61" t="str">
        <f aca="false">IF($M1563=0,"",INDEX(Classes!$C$6:$C$420,$M1563))</f>
        <v/>
      </c>
      <c r="F1563" s="63"/>
      <c r="G1563" s="63"/>
      <c r="H1563" s="60"/>
      <c r="I1563" s="60"/>
      <c r="J1563" s="63"/>
      <c r="K1563" s="61" t="str">
        <f aca="false">IF($P1563=0,"",IF($F1563="Baseline","— Baseline",IF($O1563=0,"No result",IF($N1563=0,"No Start (attainment only)",IF(OR($N1563=1,$O1563=1),"U – needs rule",INDEX(MxBody,MATCH($I1563,MxCurr,0),MATCH($H1563,MxStart,0)))))))</f>
        <v/>
      </c>
      <c r="L1563" s="62" t="str">
        <f aca="false">IF(COUNTA($A1563,$F1563,$G1563,$H1563,$I1563,$J1563)=0,"",IF($M1563=0,"✖ كود الصف غير موجود",IF(ISNA(MATCH($F1563,Lists!$A$2:$A$5,0)),"✖ الفترة غير صحيحة",IF(ISNA(MATCH($G1563,Lists!$B$2:$B$7,0)),"✖ المجموعة غير صحيحة",IF(NOT(OR($H1563="",$N1563&gt;0)),"✖ Start غير صحيح",IF(NOT(OR($I1563="",$I1563="NR",$O1563&gt;0)),"✖ Current غير صحيح",IF(NOT(IF(ISNUMBER($J1563),AND($J1563&gt;=0,$J1563=INT($J1563)),FALSE())),"✖ العدد يجب أن يكون صحيحًا ≥ 0",IF(AND($F1563="Baseline",$H1563&lt;&gt;""),"⚠ Baseline: Start لا يدخل في التقدم",IF($K1563="No Start (attainment only)","ℹ تحصيل فقط (بدون Start)",IF($K1563="U – needs rule","ℹ حالة U تحتاج قاعدة معتمدة",IF($K1563="No result","ℹ بدون نتيجة (يُستبعد من التحصيل)","OK")))))))))))</f>
        <v/>
      </c>
      <c r="M1563" s="64" t="n">
        <f aca="false">IF($A1563="",0,IFERROR(MATCH($A1563,Classes!$A$6:$A$420,0),0))</f>
        <v>0</v>
      </c>
      <c r="N1563" s="64" t="n">
        <f aca="false">IF($H1563="",0,IFERROR(MATCH($H1563,GradeList,0),0))</f>
        <v>0</v>
      </c>
      <c r="O1563" s="64" t="n">
        <f aca="false">IF(OR($I1563="",$I1563="NR"),0,IFERROR(MATCH($I1563,GradeList,0),0))</f>
        <v>0</v>
      </c>
      <c r="P1563" s="64" t="n">
        <f aca="false">IF(AND($M1563&gt;0,ISNUMBER(MATCH($F1563,Lists!$A$2:$A$5,0)),ISNUMBER(MATCH($G1563,Lists!$B$2:$B$7,0)),OR($H1563="",$N1563&gt;0),OR($I1563="",$I1563="NR",$O1563&gt;0),IF(ISNUMBER($J1563),AND($J1563&gt;=0,$J1563=INT($J1563)),FALSE())),$J1563,0)</f>
        <v>0</v>
      </c>
      <c r="Q1563" s="64" t="n">
        <f aca="false">IF(AND($P1563&gt;0,$O1563&gt;0),$P1563,0)</f>
        <v>0</v>
      </c>
      <c r="R1563" s="64" t="n">
        <f aca="false">IF(AND($Q1563&gt;0,$O1563&gt;=AtRank),$Q1563,0)</f>
        <v>0</v>
      </c>
      <c r="S1563" s="64" t="n">
        <f aca="false">IF(AND($Q1563&gt;0,$O1563&gt;=AboveRank),$Q1563,0)</f>
        <v>0</v>
      </c>
      <c r="T1563" s="64" t="n">
        <f aca="false">IF($K1563="Less",$P1563,0)</f>
        <v>0</v>
      </c>
      <c r="U1563" s="64" t="n">
        <f aca="false">IF($K1563="Expected",$P1563,0)</f>
        <v>0</v>
      </c>
      <c r="V1563" s="64" t="n">
        <f aca="false">IF($K1563="Better",$P1563,0)</f>
        <v>0</v>
      </c>
      <c r="W1563" s="64" t="n">
        <f aca="false">IF($K1563="U – needs rule",$P1563,0)</f>
        <v>0</v>
      </c>
      <c r="X1563" s="64" t="n">
        <f aca="false">IF($K1563="No Start (attainment only)",$P1563,0)</f>
        <v>0</v>
      </c>
    </row>
    <row r="1564" customFormat="false" ht="15" hidden="false" customHeight="false" outlineLevel="0" collapsed="false">
      <c r="A1564" s="60"/>
      <c r="B1564" s="61" t="str">
        <f aca="false">IF($M1564=0,"",INDEX(Classes!$E$6:$E$420,$M1564))</f>
        <v/>
      </c>
      <c r="C1564" s="62" t="str">
        <f aca="false">IF($M1564=0,"",INDEX(Classes!$H$6:$H$420,$M1564))</f>
        <v/>
      </c>
      <c r="D1564" s="61" t="str">
        <f aca="false">IF($M1564=0,"",INDEX(Classes!$B$6:$B$420,$M1564))</f>
        <v/>
      </c>
      <c r="E1564" s="61" t="str">
        <f aca="false">IF($M1564=0,"",INDEX(Classes!$C$6:$C$420,$M1564))</f>
        <v/>
      </c>
      <c r="F1564" s="63"/>
      <c r="G1564" s="63"/>
      <c r="H1564" s="60"/>
      <c r="I1564" s="60"/>
      <c r="J1564" s="63"/>
      <c r="K1564" s="61" t="str">
        <f aca="false">IF($P1564=0,"",IF($F1564="Baseline","— Baseline",IF($O1564=0,"No result",IF($N1564=0,"No Start (attainment only)",IF(OR($N1564=1,$O1564=1),"U – needs rule",INDEX(MxBody,MATCH($I1564,MxCurr,0),MATCH($H1564,MxStart,0)))))))</f>
        <v/>
      </c>
      <c r="L1564" s="62" t="str">
        <f aca="false">IF(COUNTA($A1564,$F1564,$G1564,$H1564,$I1564,$J1564)=0,"",IF($M1564=0,"✖ كود الصف غير موجود",IF(ISNA(MATCH($F1564,Lists!$A$2:$A$5,0)),"✖ الفترة غير صحيحة",IF(ISNA(MATCH($G1564,Lists!$B$2:$B$7,0)),"✖ المجموعة غير صحيحة",IF(NOT(OR($H1564="",$N1564&gt;0)),"✖ Start غير صحيح",IF(NOT(OR($I1564="",$I1564="NR",$O1564&gt;0)),"✖ Current غير صحيح",IF(NOT(IF(ISNUMBER($J1564),AND($J1564&gt;=0,$J1564=INT($J1564)),FALSE())),"✖ العدد يجب أن يكون صحيحًا ≥ 0",IF(AND($F1564="Baseline",$H1564&lt;&gt;""),"⚠ Baseline: Start لا يدخل في التقدم",IF($K1564="No Start (attainment only)","ℹ تحصيل فقط (بدون Start)",IF($K1564="U – needs rule","ℹ حالة U تحتاج قاعدة معتمدة",IF($K1564="No result","ℹ بدون نتيجة (يُستبعد من التحصيل)","OK")))))))))))</f>
        <v/>
      </c>
      <c r="M1564" s="64" t="n">
        <f aca="false">IF($A1564="",0,IFERROR(MATCH($A1564,Classes!$A$6:$A$420,0),0))</f>
        <v>0</v>
      </c>
      <c r="N1564" s="64" t="n">
        <f aca="false">IF($H1564="",0,IFERROR(MATCH($H1564,GradeList,0),0))</f>
        <v>0</v>
      </c>
      <c r="O1564" s="64" t="n">
        <f aca="false">IF(OR($I1564="",$I1564="NR"),0,IFERROR(MATCH($I1564,GradeList,0),0))</f>
        <v>0</v>
      </c>
      <c r="P1564" s="64" t="n">
        <f aca="false">IF(AND($M1564&gt;0,ISNUMBER(MATCH($F1564,Lists!$A$2:$A$5,0)),ISNUMBER(MATCH($G1564,Lists!$B$2:$B$7,0)),OR($H1564="",$N1564&gt;0),OR($I1564="",$I1564="NR",$O1564&gt;0),IF(ISNUMBER($J1564),AND($J1564&gt;=0,$J1564=INT($J1564)),FALSE())),$J1564,0)</f>
        <v>0</v>
      </c>
      <c r="Q1564" s="64" t="n">
        <f aca="false">IF(AND($P1564&gt;0,$O1564&gt;0),$P1564,0)</f>
        <v>0</v>
      </c>
      <c r="R1564" s="64" t="n">
        <f aca="false">IF(AND($Q1564&gt;0,$O1564&gt;=AtRank),$Q1564,0)</f>
        <v>0</v>
      </c>
      <c r="S1564" s="64" t="n">
        <f aca="false">IF(AND($Q1564&gt;0,$O1564&gt;=AboveRank),$Q1564,0)</f>
        <v>0</v>
      </c>
      <c r="T1564" s="64" t="n">
        <f aca="false">IF($K1564="Less",$P1564,0)</f>
        <v>0</v>
      </c>
      <c r="U1564" s="64" t="n">
        <f aca="false">IF($K1564="Expected",$P1564,0)</f>
        <v>0</v>
      </c>
      <c r="V1564" s="64" t="n">
        <f aca="false">IF($K1564="Better",$P1564,0)</f>
        <v>0</v>
      </c>
      <c r="W1564" s="64" t="n">
        <f aca="false">IF($K1564="U – needs rule",$P1564,0)</f>
        <v>0</v>
      </c>
      <c r="X1564" s="64" t="n">
        <f aca="false">IF($K1564="No Start (attainment only)",$P1564,0)</f>
        <v>0</v>
      </c>
    </row>
    <row r="1565" customFormat="false" ht="15" hidden="false" customHeight="false" outlineLevel="0" collapsed="false">
      <c r="A1565" s="60"/>
      <c r="B1565" s="61" t="str">
        <f aca="false">IF($M1565=0,"",INDEX(Classes!$E$6:$E$420,$M1565))</f>
        <v/>
      </c>
      <c r="C1565" s="62" t="str">
        <f aca="false">IF($M1565=0,"",INDEX(Classes!$H$6:$H$420,$M1565))</f>
        <v/>
      </c>
      <c r="D1565" s="61" t="str">
        <f aca="false">IF($M1565=0,"",INDEX(Classes!$B$6:$B$420,$M1565))</f>
        <v/>
      </c>
      <c r="E1565" s="61" t="str">
        <f aca="false">IF($M1565=0,"",INDEX(Classes!$C$6:$C$420,$M1565))</f>
        <v/>
      </c>
      <c r="F1565" s="63"/>
      <c r="G1565" s="63"/>
      <c r="H1565" s="60"/>
      <c r="I1565" s="60"/>
      <c r="J1565" s="63"/>
      <c r="K1565" s="61" t="str">
        <f aca="false">IF($P1565=0,"",IF($F1565="Baseline","— Baseline",IF($O1565=0,"No result",IF($N1565=0,"No Start (attainment only)",IF(OR($N1565=1,$O1565=1),"U – needs rule",INDEX(MxBody,MATCH($I1565,MxCurr,0),MATCH($H1565,MxStart,0)))))))</f>
        <v/>
      </c>
      <c r="L1565" s="62" t="str">
        <f aca="false">IF(COUNTA($A1565,$F1565,$G1565,$H1565,$I1565,$J1565)=0,"",IF($M1565=0,"✖ كود الصف غير موجود",IF(ISNA(MATCH($F1565,Lists!$A$2:$A$5,0)),"✖ الفترة غير صحيحة",IF(ISNA(MATCH($G1565,Lists!$B$2:$B$7,0)),"✖ المجموعة غير صحيحة",IF(NOT(OR($H1565="",$N1565&gt;0)),"✖ Start غير صحيح",IF(NOT(OR($I1565="",$I1565="NR",$O1565&gt;0)),"✖ Current غير صحيح",IF(NOT(IF(ISNUMBER($J1565),AND($J1565&gt;=0,$J1565=INT($J1565)),FALSE())),"✖ العدد يجب أن يكون صحيحًا ≥ 0",IF(AND($F1565="Baseline",$H1565&lt;&gt;""),"⚠ Baseline: Start لا يدخل في التقدم",IF($K1565="No Start (attainment only)","ℹ تحصيل فقط (بدون Start)",IF($K1565="U – needs rule","ℹ حالة U تحتاج قاعدة معتمدة",IF($K1565="No result","ℹ بدون نتيجة (يُستبعد من التحصيل)","OK")))))))))))</f>
        <v/>
      </c>
      <c r="M1565" s="64" t="n">
        <f aca="false">IF($A1565="",0,IFERROR(MATCH($A1565,Classes!$A$6:$A$420,0),0))</f>
        <v>0</v>
      </c>
      <c r="N1565" s="64" t="n">
        <f aca="false">IF($H1565="",0,IFERROR(MATCH($H1565,GradeList,0),0))</f>
        <v>0</v>
      </c>
      <c r="O1565" s="64" t="n">
        <f aca="false">IF(OR($I1565="",$I1565="NR"),0,IFERROR(MATCH($I1565,GradeList,0),0))</f>
        <v>0</v>
      </c>
      <c r="P1565" s="64" t="n">
        <f aca="false">IF(AND($M1565&gt;0,ISNUMBER(MATCH($F1565,Lists!$A$2:$A$5,0)),ISNUMBER(MATCH($G1565,Lists!$B$2:$B$7,0)),OR($H1565="",$N1565&gt;0),OR($I1565="",$I1565="NR",$O1565&gt;0),IF(ISNUMBER($J1565),AND($J1565&gt;=0,$J1565=INT($J1565)),FALSE())),$J1565,0)</f>
        <v>0</v>
      </c>
      <c r="Q1565" s="64" t="n">
        <f aca="false">IF(AND($P1565&gt;0,$O1565&gt;0),$P1565,0)</f>
        <v>0</v>
      </c>
      <c r="R1565" s="64" t="n">
        <f aca="false">IF(AND($Q1565&gt;0,$O1565&gt;=AtRank),$Q1565,0)</f>
        <v>0</v>
      </c>
      <c r="S1565" s="64" t="n">
        <f aca="false">IF(AND($Q1565&gt;0,$O1565&gt;=AboveRank),$Q1565,0)</f>
        <v>0</v>
      </c>
      <c r="T1565" s="64" t="n">
        <f aca="false">IF($K1565="Less",$P1565,0)</f>
        <v>0</v>
      </c>
      <c r="U1565" s="64" t="n">
        <f aca="false">IF($K1565="Expected",$P1565,0)</f>
        <v>0</v>
      </c>
      <c r="V1565" s="64" t="n">
        <f aca="false">IF($K1565="Better",$P1565,0)</f>
        <v>0</v>
      </c>
      <c r="W1565" s="64" t="n">
        <f aca="false">IF($K1565="U – needs rule",$P1565,0)</f>
        <v>0</v>
      </c>
      <c r="X1565" s="64" t="n">
        <f aca="false">IF($K1565="No Start (attainment only)",$P1565,0)</f>
        <v>0</v>
      </c>
    </row>
    <row r="1566" customFormat="false" ht="15" hidden="false" customHeight="false" outlineLevel="0" collapsed="false">
      <c r="A1566" s="60"/>
      <c r="B1566" s="61" t="str">
        <f aca="false">IF($M1566=0,"",INDEX(Classes!$E$6:$E$420,$M1566))</f>
        <v/>
      </c>
      <c r="C1566" s="62" t="str">
        <f aca="false">IF($M1566=0,"",INDEX(Classes!$H$6:$H$420,$M1566))</f>
        <v/>
      </c>
      <c r="D1566" s="61" t="str">
        <f aca="false">IF($M1566=0,"",INDEX(Classes!$B$6:$B$420,$M1566))</f>
        <v/>
      </c>
      <c r="E1566" s="61" t="str">
        <f aca="false">IF($M1566=0,"",INDEX(Classes!$C$6:$C$420,$M1566))</f>
        <v/>
      </c>
      <c r="F1566" s="63"/>
      <c r="G1566" s="63"/>
      <c r="H1566" s="60"/>
      <c r="I1566" s="60"/>
      <c r="J1566" s="63"/>
      <c r="K1566" s="61" t="str">
        <f aca="false">IF($P1566=0,"",IF($F1566="Baseline","— Baseline",IF($O1566=0,"No result",IF($N1566=0,"No Start (attainment only)",IF(OR($N1566=1,$O1566=1),"U – needs rule",INDEX(MxBody,MATCH($I1566,MxCurr,0),MATCH($H1566,MxStart,0)))))))</f>
        <v/>
      </c>
      <c r="L1566" s="62" t="str">
        <f aca="false">IF(COUNTA($A1566,$F1566,$G1566,$H1566,$I1566,$J1566)=0,"",IF($M1566=0,"✖ كود الصف غير موجود",IF(ISNA(MATCH($F1566,Lists!$A$2:$A$5,0)),"✖ الفترة غير صحيحة",IF(ISNA(MATCH($G1566,Lists!$B$2:$B$7,0)),"✖ المجموعة غير صحيحة",IF(NOT(OR($H1566="",$N1566&gt;0)),"✖ Start غير صحيح",IF(NOT(OR($I1566="",$I1566="NR",$O1566&gt;0)),"✖ Current غير صحيح",IF(NOT(IF(ISNUMBER($J1566),AND($J1566&gt;=0,$J1566=INT($J1566)),FALSE())),"✖ العدد يجب أن يكون صحيحًا ≥ 0",IF(AND($F1566="Baseline",$H1566&lt;&gt;""),"⚠ Baseline: Start لا يدخل في التقدم",IF($K1566="No Start (attainment only)","ℹ تحصيل فقط (بدون Start)",IF($K1566="U – needs rule","ℹ حالة U تحتاج قاعدة معتمدة",IF($K1566="No result","ℹ بدون نتيجة (يُستبعد من التحصيل)","OK")))))))))))</f>
        <v/>
      </c>
      <c r="M1566" s="64" t="n">
        <f aca="false">IF($A1566="",0,IFERROR(MATCH($A1566,Classes!$A$6:$A$420,0),0))</f>
        <v>0</v>
      </c>
      <c r="N1566" s="64" t="n">
        <f aca="false">IF($H1566="",0,IFERROR(MATCH($H1566,GradeList,0),0))</f>
        <v>0</v>
      </c>
      <c r="O1566" s="64" t="n">
        <f aca="false">IF(OR($I1566="",$I1566="NR"),0,IFERROR(MATCH($I1566,GradeList,0),0))</f>
        <v>0</v>
      </c>
      <c r="P1566" s="64" t="n">
        <f aca="false">IF(AND($M1566&gt;0,ISNUMBER(MATCH($F1566,Lists!$A$2:$A$5,0)),ISNUMBER(MATCH($G1566,Lists!$B$2:$B$7,0)),OR($H1566="",$N1566&gt;0),OR($I1566="",$I1566="NR",$O1566&gt;0),IF(ISNUMBER($J1566),AND($J1566&gt;=0,$J1566=INT($J1566)),FALSE())),$J1566,0)</f>
        <v>0</v>
      </c>
      <c r="Q1566" s="64" t="n">
        <f aca="false">IF(AND($P1566&gt;0,$O1566&gt;0),$P1566,0)</f>
        <v>0</v>
      </c>
      <c r="R1566" s="64" t="n">
        <f aca="false">IF(AND($Q1566&gt;0,$O1566&gt;=AtRank),$Q1566,0)</f>
        <v>0</v>
      </c>
      <c r="S1566" s="64" t="n">
        <f aca="false">IF(AND($Q1566&gt;0,$O1566&gt;=AboveRank),$Q1566,0)</f>
        <v>0</v>
      </c>
      <c r="T1566" s="64" t="n">
        <f aca="false">IF($K1566="Less",$P1566,0)</f>
        <v>0</v>
      </c>
      <c r="U1566" s="64" t="n">
        <f aca="false">IF($K1566="Expected",$P1566,0)</f>
        <v>0</v>
      </c>
      <c r="V1566" s="64" t="n">
        <f aca="false">IF($K1566="Better",$P1566,0)</f>
        <v>0</v>
      </c>
      <c r="W1566" s="64" t="n">
        <f aca="false">IF($K1566="U – needs rule",$P1566,0)</f>
        <v>0</v>
      </c>
      <c r="X1566" s="64" t="n">
        <f aca="false">IF($K1566="No Start (attainment only)",$P1566,0)</f>
        <v>0</v>
      </c>
    </row>
    <row r="1567" customFormat="false" ht="15" hidden="false" customHeight="false" outlineLevel="0" collapsed="false">
      <c r="A1567" s="60"/>
      <c r="B1567" s="61" t="str">
        <f aca="false">IF($M1567=0,"",INDEX(Classes!$E$6:$E$420,$M1567))</f>
        <v/>
      </c>
      <c r="C1567" s="62" t="str">
        <f aca="false">IF($M1567=0,"",INDEX(Classes!$H$6:$H$420,$M1567))</f>
        <v/>
      </c>
      <c r="D1567" s="61" t="str">
        <f aca="false">IF($M1567=0,"",INDEX(Classes!$B$6:$B$420,$M1567))</f>
        <v/>
      </c>
      <c r="E1567" s="61" t="str">
        <f aca="false">IF($M1567=0,"",INDEX(Classes!$C$6:$C$420,$M1567))</f>
        <v/>
      </c>
      <c r="F1567" s="63"/>
      <c r="G1567" s="63"/>
      <c r="H1567" s="60"/>
      <c r="I1567" s="60"/>
      <c r="J1567" s="63"/>
      <c r="K1567" s="61" t="str">
        <f aca="false">IF($P1567=0,"",IF($F1567="Baseline","— Baseline",IF($O1567=0,"No result",IF($N1567=0,"No Start (attainment only)",IF(OR($N1567=1,$O1567=1),"U – needs rule",INDEX(MxBody,MATCH($I1567,MxCurr,0),MATCH($H1567,MxStart,0)))))))</f>
        <v/>
      </c>
      <c r="L1567" s="62" t="str">
        <f aca="false">IF(COUNTA($A1567,$F1567,$G1567,$H1567,$I1567,$J1567)=0,"",IF($M1567=0,"✖ كود الصف غير موجود",IF(ISNA(MATCH($F1567,Lists!$A$2:$A$5,0)),"✖ الفترة غير صحيحة",IF(ISNA(MATCH($G1567,Lists!$B$2:$B$7,0)),"✖ المجموعة غير صحيحة",IF(NOT(OR($H1567="",$N1567&gt;0)),"✖ Start غير صحيح",IF(NOT(OR($I1567="",$I1567="NR",$O1567&gt;0)),"✖ Current غير صحيح",IF(NOT(IF(ISNUMBER($J1567),AND($J1567&gt;=0,$J1567=INT($J1567)),FALSE())),"✖ العدد يجب أن يكون صحيحًا ≥ 0",IF(AND($F1567="Baseline",$H1567&lt;&gt;""),"⚠ Baseline: Start لا يدخل في التقدم",IF($K1567="No Start (attainment only)","ℹ تحصيل فقط (بدون Start)",IF($K1567="U – needs rule","ℹ حالة U تحتاج قاعدة معتمدة",IF($K1567="No result","ℹ بدون نتيجة (يُستبعد من التحصيل)","OK")))))))))))</f>
        <v/>
      </c>
      <c r="M1567" s="64" t="n">
        <f aca="false">IF($A1567="",0,IFERROR(MATCH($A1567,Classes!$A$6:$A$420,0),0))</f>
        <v>0</v>
      </c>
      <c r="N1567" s="64" t="n">
        <f aca="false">IF($H1567="",0,IFERROR(MATCH($H1567,GradeList,0),0))</f>
        <v>0</v>
      </c>
      <c r="O1567" s="64" t="n">
        <f aca="false">IF(OR($I1567="",$I1567="NR"),0,IFERROR(MATCH($I1567,GradeList,0),0))</f>
        <v>0</v>
      </c>
      <c r="P1567" s="64" t="n">
        <f aca="false">IF(AND($M1567&gt;0,ISNUMBER(MATCH($F1567,Lists!$A$2:$A$5,0)),ISNUMBER(MATCH($G1567,Lists!$B$2:$B$7,0)),OR($H1567="",$N1567&gt;0),OR($I1567="",$I1567="NR",$O1567&gt;0),IF(ISNUMBER($J1567),AND($J1567&gt;=0,$J1567=INT($J1567)),FALSE())),$J1567,0)</f>
        <v>0</v>
      </c>
      <c r="Q1567" s="64" t="n">
        <f aca="false">IF(AND($P1567&gt;0,$O1567&gt;0),$P1567,0)</f>
        <v>0</v>
      </c>
      <c r="R1567" s="64" t="n">
        <f aca="false">IF(AND($Q1567&gt;0,$O1567&gt;=AtRank),$Q1567,0)</f>
        <v>0</v>
      </c>
      <c r="S1567" s="64" t="n">
        <f aca="false">IF(AND($Q1567&gt;0,$O1567&gt;=AboveRank),$Q1567,0)</f>
        <v>0</v>
      </c>
      <c r="T1567" s="64" t="n">
        <f aca="false">IF($K1567="Less",$P1567,0)</f>
        <v>0</v>
      </c>
      <c r="U1567" s="64" t="n">
        <f aca="false">IF($K1567="Expected",$P1567,0)</f>
        <v>0</v>
      </c>
      <c r="V1567" s="64" t="n">
        <f aca="false">IF($K1567="Better",$P1567,0)</f>
        <v>0</v>
      </c>
      <c r="W1567" s="64" t="n">
        <f aca="false">IF($K1567="U – needs rule",$P1567,0)</f>
        <v>0</v>
      </c>
      <c r="X1567" s="64" t="n">
        <f aca="false">IF($K1567="No Start (attainment only)",$P1567,0)</f>
        <v>0</v>
      </c>
    </row>
    <row r="1568" customFormat="false" ht="15" hidden="false" customHeight="false" outlineLevel="0" collapsed="false">
      <c r="A1568" s="60"/>
      <c r="B1568" s="61" t="str">
        <f aca="false">IF($M1568=0,"",INDEX(Classes!$E$6:$E$420,$M1568))</f>
        <v/>
      </c>
      <c r="C1568" s="62" t="str">
        <f aca="false">IF($M1568=0,"",INDEX(Classes!$H$6:$H$420,$M1568))</f>
        <v/>
      </c>
      <c r="D1568" s="61" t="str">
        <f aca="false">IF($M1568=0,"",INDEX(Classes!$B$6:$B$420,$M1568))</f>
        <v/>
      </c>
      <c r="E1568" s="61" t="str">
        <f aca="false">IF($M1568=0,"",INDEX(Classes!$C$6:$C$420,$M1568))</f>
        <v/>
      </c>
      <c r="F1568" s="63"/>
      <c r="G1568" s="63"/>
      <c r="H1568" s="60"/>
      <c r="I1568" s="60"/>
      <c r="J1568" s="63"/>
      <c r="K1568" s="61" t="str">
        <f aca="false">IF($P1568=0,"",IF($F1568="Baseline","— Baseline",IF($O1568=0,"No result",IF($N1568=0,"No Start (attainment only)",IF(OR($N1568=1,$O1568=1),"U – needs rule",INDEX(MxBody,MATCH($I1568,MxCurr,0),MATCH($H1568,MxStart,0)))))))</f>
        <v/>
      </c>
      <c r="L1568" s="62" t="str">
        <f aca="false">IF(COUNTA($A1568,$F1568,$G1568,$H1568,$I1568,$J1568)=0,"",IF($M1568=0,"✖ كود الصف غير موجود",IF(ISNA(MATCH($F1568,Lists!$A$2:$A$5,0)),"✖ الفترة غير صحيحة",IF(ISNA(MATCH($G1568,Lists!$B$2:$B$7,0)),"✖ المجموعة غير صحيحة",IF(NOT(OR($H1568="",$N1568&gt;0)),"✖ Start غير صحيح",IF(NOT(OR($I1568="",$I1568="NR",$O1568&gt;0)),"✖ Current غير صحيح",IF(NOT(IF(ISNUMBER($J1568),AND($J1568&gt;=0,$J1568=INT($J1568)),FALSE())),"✖ العدد يجب أن يكون صحيحًا ≥ 0",IF(AND($F1568="Baseline",$H1568&lt;&gt;""),"⚠ Baseline: Start لا يدخل في التقدم",IF($K1568="No Start (attainment only)","ℹ تحصيل فقط (بدون Start)",IF($K1568="U – needs rule","ℹ حالة U تحتاج قاعدة معتمدة",IF($K1568="No result","ℹ بدون نتيجة (يُستبعد من التحصيل)","OK")))))))))))</f>
        <v/>
      </c>
      <c r="M1568" s="64" t="n">
        <f aca="false">IF($A1568="",0,IFERROR(MATCH($A1568,Classes!$A$6:$A$420,0),0))</f>
        <v>0</v>
      </c>
      <c r="N1568" s="64" t="n">
        <f aca="false">IF($H1568="",0,IFERROR(MATCH($H1568,GradeList,0),0))</f>
        <v>0</v>
      </c>
      <c r="O1568" s="64" t="n">
        <f aca="false">IF(OR($I1568="",$I1568="NR"),0,IFERROR(MATCH($I1568,GradeList,0),0))</f>
        <v>0</v>
      </c>
      <c r="P1568" s="64" t="n">
        <f aca="false">IF(AND($M1568&gt;0,ISNUMBER(MATCH($F1568,Lists!$A$2:$A$5,0)),ISNUMBER(MATCH($G1568,Lists!$B$2:$B$7,0)),OR($H1568="",$N1568&gt;0),OR($I1568="",$I1568="NR",$O1568&gt;0),IF(ISNUMBER($J1568),AND($J1568&gt;=0,$J1568=INT($J1568)),FALSE())),$J1568,0)</f>
        <v>0</v>
      </c>
      <c r="Q1568" s="64" t="n">
        <f aca="false">IF(AND($P1568&gt;0,$O1568&gt;0),$P1568,0)</f>
        <v>0</v>
      </c>
      <c r="R1568" s="64" t="n">
        <f aca="false">IF(AND($Q1568&gt;0,$O1568&gt;=AtRank),$Q1568,0)</f>
        <v>0</v>
      </c>
      <c r="S1568" s="64" t="n">
        <f aca="false">IF(AND($Q1568&gt;0,$O1568&gt;=AboveRank),$Q1568,0)</f>
        <v>0</v>
      </c>
      <c r="T1568" s="64" t="n">
        <f aca="false">IF($K1568="Less",$P1568,0)</f>
        <v>0</v>
      </c>
      <c r="U1568" s="64" t="n">
        <f aca="false">IF($K1568="Expected",$P1568,0)</f>
        <v>0</v>
      </c>
      <c r="V1568" s="64" t="n">
        <f aca="false">IF($K1568="Better",$P1568,0)</f>
        <v>0</v>
      </c>
      <c r="W1568" s="64" t="n">
        <f aca="false">IF($K1568="U – needs rule",$P1568,0)</f>
        <v>0</v>
      </c>
      <c r="X1568" s="64" t="n">
        <f aca="false">IF($K1568="No Start (attainment only)",$P1568,0)</f>
        <v>0</v>
      </c>
    </row>
    <row r="1569" customFormat="false" ht="15" hidden="false" customHeight="false" outlineLevel="0" collapsed="false">
      <c r="A1569" s="60"/>
      <c r="B1569" s="61" t="str">
        <f aca="false">IF($M1569=0,"",INDEX(Classes!$E$6:$E$420,$M1569))</f>
        <v/>
      </c>
      <c r="C1569" s="62" t="str">
        <f aca="false">IF($M1569=0,"",INDEX(Classes!$H$6:$H$420,$M1569))</f>
        <v/>
      </c>
      <c r="D1569" s="61" t="str">
        <f aca="false">IF($M1569=0,"",INDEX(Classes!$B$6:$B$420,$M1569))</f>
        <v/>
      </c>
      <c r="E1569" s="61" t="str">
        <f aca="false">IF($M1569=0,"",INDEX(Classes!$C$6:$C$420,$M1569))</f>
        <v/>
      </c>
      <c r="F1569" s="63"/>
      <c r="G1569" s="63"/>
      <c r="H1569" s="60"/>
      <c r="I1569" s="60"/>
      <c r="J1569" s="63"/>
      <c r="K1569" s="61" t="str">
        <f aca="false">IF($P1569=0,"",IF($F1569="Baseline","— Baseline",IF($O1569=0,"No result",IF($N1569=0,"No Start (attainment only)",IF(OR($N1569=1,$O1569=1),"U – needs rule",INDEX(MxBody,MATCH($I1569,MxCurr,0),MATCH($H1569,MxStart,0)))))))</f>
        <v/>
      </c>
      <c r="L1569" s="62" t="str">
        <f aca="false">IF(COUNTA($A1569,$F1569,$G1569,$H1569,$I1569,$J1569)=0,"",IF($M1569=0,"✖ كود الصف غير موجود",IF(ISNA(MATCH($F1569,Lists!$A$2:$A$5,0)),"✖ الفترة غير صحيحة",IF(ISNA(MATCH($G1569,Lists!$B$2:$B$7,0)),"✖ المجموعة غير صحيحة",IF(NOT(OR($H1569="",$N1569&gt;0)),"✖ Start غير صحيح",IF(NOT(OR($I1569="",$I1569="NR",$O1569&gt;0)),"✖ Current غير صحيح",IF(NOT(IF(ISNUMBER($J1569),AND($J1569&gt;=0,$J1569=INT($J1569)),FALSE())),"✖ العدد يجب أن يكون صحيحًا ≥ 0",IF(AND($F1569="Baseline",$H1569&lt;&gt;""),"⚠ Baseline: Start لا يدخل في التقدم",IF($K1569="No Start (attainment only)","ℹ تحصيل فقط (بدون Start)",IF($K1569="U – needs rule","ℹ حالة U تحتاج قاعدة معتمدة",IF($K1569="No result","ℹ بدون نتيجة (يُستبعد من التحصيل)","OK")))))))))))</f>
        <v/>
      </c>
      <c r="M1569" s="64" t="n">
        <f aca="false">IF($A1569="",0,IFERROR(MATCH($A1569,Classes!$A$6:$A$420,0),0))</f>
        <v>0</v>
      </c>
      <c r="N1569" s="64" t="n">
        <f aca="false">IF($H1569="",0,IFERROR(MATCH($H1569,GradeList,0),0))</f>
        <v>0</v>
      </c>
      <c r="O1569" s="64" t="n">
        <f aca="false">IF(OR($I1569="",$I1569="NR"),0,IFERROR(MATCH($I1569,GradeList,0),0))</f>
        <v>0</v>
      </c>
      <c r="P1569" s="64" t="n">
        <f aca="false">IF(AND($M1569&gt;0,ISNUMBER(MATCH($F1569,Lists!$A$2:$A$5,0)),ISNUMBER(MATCH($G1569,Lists!$B$2:$B$7,0)),OR($H1569="",$N1569&gt;0),OR($I1569="",$I1569="NR",$O1569&gt;0),IF(ISNUMBER($J1569),AND($J1569&gt;=0,$J1569=INT($J1569)),FALSE())),$J1569,0)</f>
        <v>0</v>
      </c>
      <c r="Q1569" s="64" t="n">
        <f aca="false">IF(AND($P1569&gt;0,$O1569&gt;0),$P1569,0)</f>
        <v>0</v>
      </c>
      <c r="R1569" s="64" t="n">
        <f aca="false">IF(AND($Q1569&gt;0,$O1569&gt;=AtRank),$Q1569,0)</f>
        <v>0</v>
      </c>
      <c r="S1569" s="64" t="n">
        <f aca="false">IF(AND($Q1569&gt;0,$O1569&gt;=AboveRank),$Q1569,0)</f>
        <v>0</v>
      </c>
      <c r="T1569" s="64" t="n">
        <f aca="false">IF($K1569="Less",$P1569,0)</f>
        <v>0</v>
      </c>
      <c r="U1569" s="64" t="n">
        <f aca="false">IF($K1569="Expected",$P1569,0)</f>
        <v>0</v>
      </c>
      <c r="V1569" s="64" t="n">
        <f aca="false">IF($K1569="Better",$P1569,0)</f>
        <v>0</v>
      </c>
      <c r="W1569" s="64" t="n">
        <f aca="false">IF($K1569="U – needs rule",$P1569,0)</f>
        <v>0</v>
      </c>
      <c r="X1569" s="64" t="n">
        <f aca="false">IF($K1569="No Start (attainment only)",$P1569,0)</f>
        <v>0</v>
      </c>
    </row>
    <row r="1570" customFormat="false" ht="15" hidden="false" customHeight="false" outlineLevel="0" collapsed="false">
      <c r="A1570" s="60"/>
      <c r="B1570" s="61" t="str">
        <f aca="false">IF($M1570=0,"",INDEX(Classes!$E$6:$E$420,$M1570))</f>
        <v/>
      </c>
      <c r="C1570" s="62" t="str">
        <f aca="false">IF($M1570=0,"",INDEX(Classes!$H$6:$H$420,$M1570))</f>
        <v/>
      </c>
      <c r="D1570" s="61" t="str">
        <f aca="false">IF($M1570=0,"",INDEX(Classes!$B$6:$B$420,$M1570))</f>
        <v/>
      </c>
      <c r="E1570" s="61" t="str">
        <f aca="false">IF($M1570=0,"",INDEX(Classes!$C$6:$C$420,$M1570))</f>
        <v/>
      </c>
      <c r="F1570" s="63"/>
      <c r="G1570" s="63"/>
      <c r="H1570" s="60"/>
      <c r="I1570" s="60"/>
      <c r="J1570" s="63"/>
      <c r="K1570" s="61" t="str">
        <f aca="false">IF($P1570=0,"",IF($F1570="Baseline","— Baseline",IF($O1570=0,"No result",IF($N1570=0,"No Start (attainment only)",IF(OR($N1570=1,$O1570=1),"U – needs rule",INDEX(MxBody,MATCH($I1570,MxCurr,0),MATCH($H1570,MxStart,0)))))))</f>
        <v/>
      </c>
      <c r="L1570" s="62" t="str">
        <f aca="false">IF(COUNTA($A1570,$F1570,$G1570,$H1570,$I1570,$J1570)=0,"",IF($M1570=0,"✖ كود الصف غير موجود",IF(ISNA(MATCH($F1570,Lists!$A$2:$A$5,0)),"✖ الفترة غير صحيحة",IF(ISNA(MATCH($G1570,Lists!$B$2:$B$7,0)),"✖ المجموعة غير صحيحة",IF(NOT(OR($H1570="",$N1570&gt;0)),"✖ Start غير صحيح",IF(NOT(OR($I1570="",$I1570="NR",$O1570&gt;0)),"✖ Current غير صحيح",IF(NOT(IF(ISNUMBER($J1570),AND($J1570&gt;=0,$J1570=INT($J1570)),FALSE())),"✖ العدد يجب أن يكون صحيحًا ≥ 0",IF(AND($F1570="Baseline",$H1570&lt;&gt;""),"⚠ Baseline: Start لا يدخل في التقدم",IF($K1570="No Start (attainment only)","ℹ تحصيل فقط (بدون Start)",IF($K1570="U – needs rule","ℹ حالة U تحتاج قاعدة معتمدة",IF($K1570="No result","ℹ بدون نتيجة (يُستبعد من التحصيل)","OK")))))))))))</f>
        <v/>
      </c>
      <c r="M1570" s="64" t="n">
        <f aca="false">IF($A1570="",0,IFERROR(MATCH($A1570,Classes!$A$6:$A$420,0),0))</f>
        <v>0</v>
      </c>
      <c r="N1570" s="64" t="n">
        <f aca="false">IF($H1570="",0,IFERROR(MATCH($H1570,GradeList,0),0))</f>
        <v>0</v>
      </c>
      <c r="O1570" s="64" t="n">
        <f aca="false">IF(OR($I1570="",$I1570="NR"),0,IFERROR(MATCH($I1570,GradeList,0),0))</f>
        <v>0</v>
      </c>
      <c r="P1570" s="64" t="n">
        <f aca="false">IF(AND($M1570&gt;0,ISNUMBER(MATCH($F1570,Lists!$A$2:$A$5,0)),ISNUMBER(MATCH($G1570,Lists!$B$2:$B$7,0)),OR($H1570="",$N1570&gt;0),OR($I1570="",$I1570="NR",$O1570&gt;0),IF(ISNUMBER($J1570),AND($J1570&gt;=0,$J1570=INT($J1570)),FALSE())),$J1570,0)</f>
        <v>0</v>
      </c>
      <c r="Q1570" s="64" t="n">
        <f aca="false">IF(AND($P1570&gt;0,$O1570&gt;0),$P1570,0)</f>
        <v>0</v>
      </c>
      <c r="R1570" s="64" t="n">
        <f aca="false">IF(AND($Q1570&gt;0,$O1570&gt;=AtRank),$Q1570,0)</f>
        <v>0</v>
      </c>
      <c r="S1570" s="64" t="n">
        <f aca="false">IF(AND($Q1570&gt;0,$O1570&gt;=AboveRank),$Q1570,0)</f>
        <v>0</v>
      </c>
      <c r="T1570" s="64" t="n">
        <f aca="false">IF($K1570="Less",$P1570,0)</f>
        <v>0</v>
      </c>
      <c r="U1570" s="64" t="n">
        <f aca="false">IF($K1570="Expected",$P1570,0)</f>
        <v>0</v>
      </c>
      <c r="V1570" s="64" t="n">
        <f aca="false">IF($K1570="Better",$P1570,0)</f>
        <v>0</v>
      </c>
      <c r="W1570" s="64" t="n">
        <f aca="false">IF($K1570="U – needs rule",$P1570,0)</f>
        <v>0</v>
      </c>
      <c r="X1570" s="64" t="n">
        <f aca="false">IF($K1570="No Start (attainment only)",$P1570,0)</f>
        <v>0</v>
      </c>
    </row>
    <row r="1571" customFormat="false" ht="15" hidden="false" customHeight="false" outlineLevel="0" collapsed="false">
      <c r="A1571" s="60"/>
      <c r="B1571" s="61" t="str">
        <f aca="false">IF($M1571=0,"",INDEX(Classes!$E$6:$E$420,$M1571))</f>
        <v/>
      </c>
      <c r="C1571" s="62" t="str">
        <f aca="false">IF($M1571=0,"",INDEX(Classes!$H$6:$H$420,$M1571))</f>
        <v/>
      </c>
      <c r="D1571" s="61" t="str">
        <f aca="false">IF($M1571=0,"",INDEX(Classes!$B$6:$B$420,$M1571))</f>
        <v/>
      </c>
      <c r="E1571" s="61" t="str">
        <f aca="false">IF($M1571=0,"",INDEX(Classes!$C$6:$C$420,$M1571))</f>
        <v/>
      </c>
      <c r="F1571" s="63"/>
      <c r="G1571" s="63"/>
      <c r="H1571" s="60"/>
      <c r="I1571" s="60"/>
      <c r="J1571" s="63"/>
      <c r="K1571" s="61" t="str">
        <f aca="false">IF($P1571=0,"",IF($F1571="Baseline","— Baseline",IF($O1571=0,"No result",IF($N1571=0,"No Start (attainment only)",IF(OR($N1571=1,$O1571=1),"U – needs rule",INDEX(MxBody,MATCH($I1571,MxCurr,0),MATCH($H1571,MxStart,0)))))))</f>
        <v/>
      </c>
      <c r="L1571" s="62" t="str">
        <f aca="false">IF(COUNTA($A1571,$F1571,$G1571,$H1571,$I1571,$J1571)=0,"",IF($M1571=0,"✖ كود الصف غير موجود",IF(ISNA(MATCH($F1571,Lists!$A$2:$A$5,0)),"✖ الفترة غير صحيحة",IF(ISNA(MATCH($G1571,Lists!$B$2:$B$7,0)),"✖ المجموعة غير صحيحة",IF(NOT(OR($H1571="",$N1571&gt;0)),"✖ Start غير صحيح",IF(NOT(OR($I1571="",$I1571="NR",$O1571&gt;0)),"✖ Current غير صحيح",IF(NOT(IF(ISNUMBER($J1571),AND($J1571&gt;=0,$J1571=INT($J1571)),FALSE())),"✖ العدد يجب أن يكون صحيحًا ≥ 0",IF(AND($F1571="Baseline",$H1571&lt;&gt;""),"⚠ Baseline: Start لا يدخل في التقدم",IF($K1571="No Start (attainment only)","ℹ تحصيل فقط (بدون Start)",IF($K1571="U – needs rule","ℹ حالة U تحتاج قاعدة معتمدة",IF($K1571="No result","ℹ بدون نتيجة (يُستبعد من التحصيل)","OK")))))))))))</f>
        <v/>
      </c>
      <c r="M1571" s="64" t="n">
        <f aca="false">IF($A1571="",0,IFERROR(MATCH($A1571,Classes!$A$6:$A$420,0),0))</f>
        <v>0</v>
      </c>
      <c r="N1571" s="64" t="n">
        <f aca="false">IF($H1571="",0,IFERROR(MATCH($H1571,GradeList,0),0))</f>
        <v>0</v>
      </c>
      <c r="O1571" s="64" t="n">
        <f aca="false">IF(OR($I1571="",$I1571="NR"),0,IFERROR(MATCH($I1571,GradeList,0),0))</f>
        <v>0</v>
      </c>
      <c r="P1571" s="64" t="n">
        <f aca="false">IF(AND($M1571&gt;0,ISNUMBER(MATCH($F1571,Lists!$A$2:$A$5,0)),ISNUMBER(MATCH($G1571,Lists!$B$2:$B$7,0)),OR($H1571="",$N1571&gt;0),OR($I1571="",$I1571="NR",$O1571&gt;0),IF(ISNUMBER($J1571),AND($J1571&gt;=0,$J1571=INT($J1571)),FALSE())),$J1571,0)</f>
        <v>0</v>
      </c>
      <c r="Q1571" s="64" t="n">
        <f aca="false">IF(AND($P1571&gt;0,$O1571&gt;0),$P1571,0)</f>
        <v>0</v>
      </c>
      <c r="R1571" s="64" t="n">
        <f aca="false">IF(AND($Q1571&gt;0,$O1571&gt;=AtRank),$Q1571,0)</f>
        <v>0</v>
      </c>
      <c r="S1571" s="64" t="n">
        <f aca="false">IF(AND($Q1571&gt;0,$O1571&gt;=AboveRank),$Q1571,0)</f>
        <v>0</v>
      </c>
      <c r="T1571" s="64" t="n">
        <f aca="false">IF($K1571="Less",$P1571,0)</f>
        <v>0</v>
      </c>
      <c r="U1571" s="64" t="n">
        <f aca="false">IF($K1571="Expected",$P1571,0)</f>
        <v>0</v>
      </c>
      <c r="V1571" s="64" t="n">
        <f aca="false">IF($K1571="Better",$P1571,0)</f>
        <v>0</v>
      </c>
      <c r="W1571" s="64" t="n">
        <f aca="false">IF($K1571="U – needs rule",$P1571,0)</f>
        <v>0</v>
      </c>
      <c r="X1571" s="64" t="n">
        <f aca="false">IF($K1571="No Start (attainment only)",$P1571,0)</f>
        <v>0</v>
      </c>
    </row>
    <row r="1572" customFormat="false" ht="15" hidden="false" customHeight="false" outlineLevel="0" collapsed="false">
      <c r="A1572" s="60"/>
      <c r="B1572" s="61" t="str">
        <f aca="false">IF($M1572=0,"",INDEX(Classes!$E$6:$E$420,$M1572))</f>
        <v/>
      </c>
      <c r="C1572" s="62" t="str">
        <f aca="false">IF($M1572=0,"",INDEX(Classes!$H$6:$H$420,$M1572))</f>
        <v/>
      </c>
      <c r="D1572" s="61" t="str">
        <f aca="false">IF($M1572=0,"",INDEX(Classes!$B$6:$B$420,$M1572))</f>
        <v/>
      </c>
      <c r="E1572" s="61" t="str">
        <f aca="false">IF($M1572=0,"",INDEX(Classes!$C$6:$C$420,$M1572))</f>
        <v/>
      </c>
      <c r="F1572" s="63"/>
      <c r="G1572" s="63"/>
      <c r="H1572" s="60"/>
      <c r="I1572" s="60"/>
      <c r="J1572" s="63"/>
      <c r="K1572" s="61" t="str">
        <f aca="false">IF($P1572=0,"",IF($F1572="Baseline","— Baseline",IF($O1572=0,"No result",IF($N1572=0,"No Start (attainment only)",IF(OR($N1572=1,$O1572=1),"U – needs rule",INDEX(MxBody,MATCH($I1572,MxCurr,0),MATCH($H1572,MxStart,0)))))))</f>
        <v/>
      </c>
      <c r="L1572" s="62" t="str">
        <f aca="false">IF(COUNTA($A1572,$F1572,$G1572,$H1572,$I1572,$J1572)=0,"",IF($M1572=0,"✖ كود الصف غير موجود",IF(ISNA(MATCH($F1572,Lists!$A$2:$A$5,0)),"✖ الفترة غير صحيحة",IF(ISNA(MATCH($G1572,Lists!$B$2:$B$7,0)),"✖ المجموعة غير صحيحة",IF(NOT(OR($H1572="",$N1572&gt;0)),"✖ Start غير صحيح",IF(NOT(OR($I1572="",$I1572="NR",$O1572&gt;0)),"✖ Current غير صحيح",IF(NOT(IF(ISNUMBER($J1572),AND($J1572&gt;=0,$J1572=INT($J1572)),FALSE())),"✖ العدد يجب أن يكون صحيحًا ≥ 0",IF(AND($F1572="Baseline",$H1572&lt;&gt;""),"⚠ Baseline: Start لا يدخل في التقدم",IF($K1572="No Start (attainment only)","ℹ تحصيل فقط (بدون Start)",IF($K1572="U – needs rule","ℹ حالة U تحتاج قاعدة معتمدة",IF($K1572="No result","ℹ بدون نتيجة (يُستبعد من التحصيل)","OK")))))))))))</f>
        <v/>
      </c>
      <c r="M1572" s="64" t="n">
        <f aca="false">IF($A1572="",0,IFERROR(MATCH($A1572,Classes!$A$6:$A$420,0),0))</f>
        <v>0</v>
      </c>
      <c r="N1572" s="64" t="n">
        <f aca="false">IF($H1572="",0,IFERROR(MATCH($H1572,GradeList,0),0))</f>
        <v>0</v>
      </c>
      <c r="O1572" s="64" t="n">
        <f aca="false">IF(OR($I1572="",$I1572="NR"),0,IFERROR(MATCH($I1572,GradeList,0),0))</f>
        <v>0</v>
      </c>
      <c r="P1572" s="64" t="n">
        <f aca="false">IF(AND($M1572&gt;0,ISNUMBER(MATCH($F1572,Lists!$A$2:$A$5,0)),ISNUMBER(MATCH($G1572,Lists!$B$2:$B$7,0)),OR($H1572="",$N1572&gt;0),OR($I1572="",$I1572="NR",$O1572&gt;0),IF(ISNUMBER($J1572),AND($J1572&gt;=0,$J1572=INT($J1572)),FALSE())),$J1572,0)</f>
        <v>0</v>
      </c>
      <c r="Q1572" s="64" t="n">
        <f aca="false">IF(AND($P1572&gt;0,$O1572&gt;0),$P1572,0)</f>
        <v>0</v>
      </c>
      <c r="R1572" s="64" t="n">
        <f aca="false">IF(AND($Q1572&gt;0,$O1572&gt;=AtRank),$Q1572,0)</f>
        <v>0</v>
      </c>
      <c r="S1572" s="64" t="n">
        <f aca="false">IF(AND($Q1572&gt;0,$O1572&gt;=AboveRank),$Q1572,0)</f>
        <v>0</v>
      </c>
      <c r="T1572" s="64" t="n">
        <f aca="false">IF($K1572="Less",$P1572,0)</f>
        <v>0</v>
      </c>
      <c r="U1572" s="64" t="n">
        <f aca="false">IF($K1572="Expected",$P1572,0)</f>
        <v>0</v>
      </c>
      <c r="V1572" s="64" t="n">
        <f aca="false">IF($K1572="Better",$P1572,0)</f>
        <v>0</v>
      </c>
      <c r="W1572" s="64" t="n">
        <f aca="false">IF($K1572="U – needs rule",$P1572,0)</f>
        <v>0</v>
      </c>
      <c r="X1572" s="64" t="n">
        <f aca="false">IF($K1572="No Start (attainment only)",$P1572,0)</f>
        <v>0</v>
      </c>
    </row>
    <row r="1573" customFormat="false" ht="15" hidden="false" customHeight="false" outlineLevel="0" collapsed="false">
      <c r="A1573" s="60"/>
      <c r="B1573" s="61" t="str">
        <f aca="false">IF($M1573=0,"",INDEX(Classes!$E$6:$E$420,$M1573))</f>
        <v/>
      </c>
      <c r="C1573" s="62" t="str">
        <f aca="false">IF($M1573=0,"",INDEX(Classes!$H$6:$H$420,$M1573))</f>
        <v/>
      </c>
      <c r="D1573" s="61" t="str">
        <f aca="false">IF($M1573=0,"",INDEX(Classes!$B$6:$B$420,$M1573))</f>
        <v/>
      </c>
      <c r="E1573" s="61" t="str">
        <f aca="false">IF($M1573=0,"",INDEX(Classes!$C$6:$C$420,$M1573))</f>
        <v/>
      </c>
      <c r="F1573" s="63"/>
      <c r="G1573" s="63"/>
      <c r="H1573" s="60"/>
      <c r="I1573" s="60"/>
      <c r="J1573" s="63"/>
      <c r="K1573" s="61" t="str">
        <f aca="false">IF($P1573=0,"",IF($F1573="Baseline","— Baseline",IF($O1573=0,"No result",IF($N1573=0,"No Start (attainment only)",IF(OR($N1573=1,$O1573=1),"U – needs rule",INDEX(MxBody,MATCH($I1573,MxCurr,0),MATCH($H1573,MxStart,0)))))))</f>
        <v/>
      </c>
      <c r="L1573" s="62" t="str">
        <f aca="false">IF(COUNTA($A1573,$F1573,$G1573,$H1573,$I1573,$J1573)=0,"",IF($M1573=0,"✖ كود الصف غير موجود",IF(ISNA(MATCH($F1573,Lists!$A$2:$A$5,0)),"✖ الفترة غير صحيحة",IF(ISNA(MATCH($G1573,Lists!$B$2:$B$7,0)),"✖ المجموعة غير صحيحة",IF(NOT(OR($H1573="",$N1573&gt;0)),"✖ Start غير صحيح",IF(NOT(OR($I1573="",$I1573="NR",$O1573&gt;0)),"✖ Current غير صحيح",IF(NOT(IF(ISNUMBER($J1573),AND($J1573&gt;=0,$J1573=INT($J1573)),FALSE())),"✖ العدد يجب أن يكون صحيحًا ≥ 0",IF(AND($F1573="Baseline",$H1573&lt;&gt;""),"⚠ Baseline: Start لا يدخل في التقدم",IF($K1573="No Start (attainment only)","ℹ تحصيل فقط (بدون Start)",IF($K1573="U – needs rule","ℹ حالة U تحتاج قاعدة معتمدة",IF($K1573="No result","ℹ بدون نتيجة (يُستبعد من التحصيل)","OK")))))))))))</f>
        <v/>
      </c>
      <c r="M1573" s="64" t="n">
        <f aca="false">IF($A1573="",0,IFERROR(MATCH($A1573,Classes!$A$6:$A$420,0),0))</f>
        <v>0</v>
      </c>
      <c r="N1573" s="64" t="n">
        <f aca="false">IF($H1573="",0,IFERROR(MATCH($H1573,GradeList,0),0))</f>
        <v>0</v>
      </c>
      <c r="O1573" s="64" t="n">
        <f aca="false">IF(OR($I1573="",$I1573="NR"),0,IFERROR(MATCH($I1573,GradeList,0),0))</f>
        <v>0</v>
      </c>
      <c r="P1573" s="64" t="n">
        <f aca="false">IF(AND($M1573&gt;0,ISNUMBER(MATCH($F1573,Lists!$A$2:$A$5,0)),ISNUMBER(MATCH($G1573,Lists!$B$2:$B$7,0)),OR($H1573="",$N1573&gt;0),OR($I1573="",$I1573="NR",$O1573&gt;0),IF(ISNUMBER($J1573),AND($J1573&gt;=0,$J1573=INT($J1573)),FALSE())),$J1573,0)</f>
        <v>0</v>
      </c>
      <c r="Q1573" s="64" t="n">
        <f aca="false">IF(AND($P1573&gt;0,$O1573&gt;0),$P1573,0)</f>
        <v>0</v>
      </c>
      <c r="R1573" s="64" t="n">
        <f aca="false">IF(AND($Q1573&gt;0,$O1573&gt;=AtRank),$Q1573,0)</f>
        <v>0</v>
      </c>
      <c r="S1573" s="64" t="n">
        <f aca="false">IF(AND($Q1573&gt;0,$O1573&gt;=AboveRank),$Q1573,0)</f>
        <v>0</v>
      </c>
      <c r="T1573" s="64" t="n">
        <f aca="false">IF($K1573="Less",$P1573,0)</f>
        <v>0</v>
      </c>
      <c r="U1573" s="64" t="n">
        <f aca="false">IF($K1573="Expected",$P1573,0)</f>
        <v>0</v>
      </c>
      <c r="V1573" s="64" t="n">
        <f aca="false">IF($K1573="Better",$P1573,0)</f>
        <v>0</v>
      </c>
      <c r="W1573" s="64" t="n">
        <f aca="false">IF($K1573="U – needs rule",$P1573,0)</f>
        <v>0</v>
      </c>
      <c r="X1573" s="64" t="n">
        <f aca="false">IF($K1573="No Start (attainment only)",$P1573,0)</f>
        <v>0</v>
      </c>
    </row>
    <row r="1574" customFormat="false" ht="15" hidden="false" customHeight="false" outlineLevel="0" collapsed="false">
      <c r="A1574" s="60"/>
      <c r="B1574" s="61" t="str">
        <f aca="false">IF($M1574=0,"",INDEX(Classes!$E$6:$E$420,$M1574))</f>
        <v/>
      </c>
      <c r="C1574" s="62" t="str">
        <f aca="false">IF($M1574=0,"",INDEX(Classes!$H$6:$H$420,$M1574))</f>
        <v/>
      </c>
      <c r="D1574" s="61" t="str">
        <f aca="false">IF($M1574=0,"",INDEX(Classes!$B$6:$B$420,$M1574))</f>
        <v/>
      </c>
      <c r="E1574" s="61" t="str">
        <f aca="false">IF($M1574=0,"",INDEX(Classes!$C$6:$C$420,$M1574))</f>
        <v/>
      </c>
      <c r="F1574" s="63"/>
      <c r="G1574" s="63"/>
      <c r="H1574" s="60"/>
      <c r="I1574" s="60"/>
      <c r="J1574" s="63"/>
      <c r="K1574" s="61" t="str">
        <f aca="false">IF($P1574=0,"",IF($F1574="Baseline","— Baseline",IF($O1574=0,"No result",IF($N1574=0,"No Start (attainment only)",IF(OR($N1574=1,$O1574=1),"U – needs rule",INDEX(MxBody,MATCH($I1574,MxCurr,0),MATCH($H1574,MxStart,0)))))))</f>
        <v/>
      </c>
      <c r="L1574" s="62" t="str">
        <f aca="false">IF(COUNTA($A1574,$F1574,$G1574,$H1574,$I1574,$J1574)=0,"",IF($M1574=0,"✖ كود الصف غير موجود",IF(ISNA(MATCH($F1574,Lists!$A$2:$A$5,0)),"✖ الفترة غير صحيحة",IF(ISNA(MATCH($G1574,Lists!$B$2:$B$7,0)),"✖ المجموعة غير صحيحة",IF(NOT(OR($H1574="",$N1574&gt;0)),"✖ Start غير صحيح",IF(NOT(OR($I1574="",$I1574="NR",$O1574&gt;0)),"✖ Current غير صحيح",IF(NOT(IF(ISNUMBER($J1574),AND($J1574&gt;=0,$J1574=INT($J1574)),FALSE())),"✖ العدد يجب أن يكون صحيحًا ≥ 0",IF(AND($F1574="Baseline",$H1574&lt;&gt;""),"⚠ Baseline: Start لا يدخل في التقدم",IF($K1574="No Start (attainment only)","ℹ تحصيل فقط (بدون Start)",IF($K1574="U – needs rule","ℹ حالة U تحتاج قاعدة معتمدة",IF($K1574="No result","ℹ بدون نتيجة (يُستبعد من التحصيل)","OK")))))))))))</f>
        <v/>
      </c>
      <c r="M1574" s="64" t="n">
        <f aca="false">IF($A1574="",0,IFERROR(MATCH($A1574,Classes!$A$6:$A$420,0),0))</f>
        <v>0</v>
      </c>
      <c r="N1574" s="64" t="n">
        <f aca="false">IF($H1574="",0,IFERROR(MATCH($H1574,GradeList,0),0))</f>
        <v>0</v>
      </c>
      <c r="O1574" s="64" t="n">
        <f aca="false">IF(OR($I1574="",$I1574="NR"),0,IFERROR(MATCH($I1574,GradeList,0),0))</f>
        <v>0</v>
      </c>
      <c r="P1574" s="64" t="n">
        <f aca="false">IF(AND($M1574&gt;0,ISNUMBER(MATCH($F1574,Lists!$A$2:$A$5,0)),ISNUMBER(MATCH($G1574,Lists!$B$2:$B$7,0)),OR($H1574="",$N1574&gt;0),OR($I1574="",$I1574="NR",$O1574&gt;0),IF(ISNUMBER($J1574),AND($J1574&gt;=0,$J1574=INT($J1574)),FALSE())),$J1574,0)</f>
        <v>0</v>
      </c>
      <c r="Q1574" s="64" t="n">
        <f aca="false">IF(AND($P1574&gt;0,$O1574&gt;0),$P1574,0)</f>
        <v>0</v>
      </c>
      <c r="R1574" s="64" t="n">
        <f aca="false">IF(AND($Q1574&gt;0,$O1574&gt;=AtRank),$Q1574,0)</f>
        <v>0</v>
      </c>
      <c r="S1574" s="64" t="n">
        <f aca="false">IF(AND($Q1574&gt;0,$O1574&gt;=AboveRank),$Q1574,0)</f>
        <v>0</v>
      </c>
      <c r="T1574" s="64" t="n">
        <f aca="false">IF($K1574="Less",$P1574,0)</f>
        <v>0</v>
      </c>
      <c r="U1574" s="64" t="n">
        <f aca="false">IF($K1574="Expected",$P1574,0)</f>
        <v>0</v>
      </c>
      <c r="V1574" s="64" t="n">
        <f aca="false">IF($K1574="Better",$P1574,0)</f>
        <v>0</v>
      </c>
      <c r="W1574" s="64" t="n">
        <f aca="false">IF($K1574="U – needs rule",$P1574,0)</f>
        <v>0</v>
      </c>
      <c r="X1574" s="64" t="n">
        <f aca="false">IF($K1574="No Start (attainment only)",$P1574,0)</f>
        <v>0</v>
      </c>
    </row>
    <row r="1575" customFormat="false" ht="15" hidden="false" customHeight="false" outlineLevel="0" collapsed="false">
      <c r="A1575" s="60"/>
      <c r="B1575" s="61" t="str">
        <f aca="false">IF($M1575=0,"",INDEX(Classes!$E$6:$E$420,$M1575))</f>
        <v/>
      </c>
      <c r="C1575" s="62" t="str">
        <f aca="false">IF($M1575=0,"",INDEX(Classes!$H$6:$H$420,$M1575))</f>
        <v/>
      </c>
      <c r="D1575" s="61" t="str">
        <f aca="false">IF($M1575=0,"",INDEX(Classes!$B$6:$B$420,$M1575))</f>
        <v/>
      </c>
      <c r="E1575" s="61" t="str">
        <f aca="false">IF($M1575=0,"",INDEX(Classes!$C$6:$C$420,$M1575))</f>
        <v/>
      </c>
      <c r="F1575" s="63"/>
      <c r="G1575" s="63"/>
      <c r="H1575" s="60"/>
      <c r="I1575" s="60"/>
      <c r="J1575" s="63"/>
      <c r="K1575" s="61" t="str">
        <f aca="false">IF($P1575=0,"",IF($F1575="Baseline","— Baseline",IF($O1575=0,"No result",IF($N1575=0,"No Start (attainment only)",IF(OR($N1575=1,$O1575=1),"U – needs rule",INDEX(MxBody,MATCH($I1575,MxCurr,0),MATCH($H1575,MxStart,0)))))))</f>
        <v/>
      </c>
      <c r="L1575" s="62" t="str">
        <f aca="false">IF(COUNTA($A1575,$F1575,$G1575,$H1575,$I1575,$J1575)=0,"",IF($M1575=0,"✖ كود الصف غير موجود",IF(ISNA(MATCH($F1575,Lists!$A$2:$A$5,0)),"✖ الفترة غير صحيحة",IF(ISNA(MATCH($G1575,Lists!$B$2:$B$7,0)),"✖ المجموعة غير صحيحة",IF(NOT(OR($H1575="",$N1575&gt;0)),"✖ Start غير صحيح",IF(NOT(OR($I1575="",$I1575="NR",$O1575&gt;0)),"✖ Current غير صحيح",IF(NOT(IF(ISNUMBER($J1575),AND($J1575&gt;=0,$J1575=INT($J1575)),FALSE())),"✖ العدد يجب أن يكون صحيحًا ≥ 0",IF(AND($F1575="Baseline",$H1575&lt;&gt;""),"⚠ Baseline: Start لا يدخل في التقدم",IF($K1575="No Start (attainment only)","ℹ تحصيل فقط (بدون Start)",IF($K1575="U – needs rule","ℹ حالة U تحتاج قاعدة معتمدة",IF($K1575="No result","ℹ بدون نتيجة (يُستبعد من التحصيل)","OK")))))))))))</f>
        <v/>
      </c>
      <c r="M1575" s="64" t="n">
        <f aca="false">IF($A1575="",0,IFERROR(MATCH($A1575,Classes!$A$6:$A$420,0),0))</f>
        <v>0</v>
      </c>
      <c r="N1575" s="64" t="n">
        <f aca="false">IF($H1575="",0,IFERROR(MATCH($H1575,GradeList,0),0))</f>
        <v>0</v>
      </c>
      <c r="O1575" s="64" t="n">
        <f aca="false">IF(OR($I1575="",$I1575="NR"),0,IFERROR(MATCH($I1575,GradeList,0),0))</f>
        <v>0</v>
      </c>
      <c r="P1575" s="64" t="n">
        <f aca="false">IF(AND($M1575&gt;0,ISNUMBER(MATCH($F1575,Lists!$A$2:$A$5,0)),ISNUMBER(MATCH($G1575,Lists!$B$2:$B$7,0)),OR($H1575="",$N1575&gt;0),OR($I1575="",$I1575="NR",$O1575&gt;0),IF(ISNUMBER($J1575),AND($J1575&gt;=0,$J1575=INT($J1575)),FALSE())),$J1575,0)</f>
        <v>0</v>
      </c>
      <c r="Q1575" s="64" t="n">
        <f aca="false">IF(AND($P1575&gt;0,$O1575&gt;0),$P1575,0)</f>
        <v>0</v>
      </c>
      <c r="R1575" s="64" t="n">
        <f aca="false">IF(AND($Q1575&gt;0,$O1575&gt;=AtRank),$Q1575,0)</f>
        <v>0</v>
      </c>
      <c r="S1575" s="64" t="n">
        <f aca="false">IF(AND($Q1575&gt;0,$O1575&gt;=AboveRank),$Q1575,0)</f>
        <v>0</v>
      </c>
      <c r="T1575" s="64" t="n">
        <f aca="false">IF($K1575="Less",$P1575,0)</f>
        <v>0</v>
      </c>
      <c r="U1575" s="64" t="n">
        <f aca="false">IF($K1575="Expected",$P1575,0)</f>
        <v>0</v>
      </c>
      <c r="V1575" s="64" t="n">
        <f aca="false">IF($K1575="Better",$P1575,0)</f>
        <v>0</v>
      </c>
      <c r="W1575" s="64" t="n">
        <f aca="false">IF($K1575="U – needs rule",$P1575,0)</f>
        <v>0</v>
      </c>
      <c r="X1575" s="64" t="n">
        <f aca="false">IF($K1575="No Start (attainment only)",$P1575,0)</f>
        <v>0</v>
      </c>
    </row>
    <row r="1576" customFormat="false" ht="15" hidden="false" customHeight="false" outlineLevel="0" collapsed="false">
      <c r="A1576" s="60"/>
      <c r="B1576" s="61" t="str">
        <f aca="false">IF($M1576=0,"",INDEX(Classes!$E$6:$E$420,$M1576))</f>
        <v/>
      </c>
      <c r="C1576" s="62" t="str">
        <f aca="false">IF($M1576=0,"",INDEX(Classes!$H$6:$H$420,$M1576))</f>
        <v/>
      </c>
      <c r="D1576" s="61" t="str">
        <f aca="false">IF($M1576=0,"",INDEX(Classes!$B$6:$B$420,$M1576))</f>
        <v/>
      </c>
      <c r="E1576" s="61" t="str">
        <f aca="false">IF($M1576=0,"",INDEX(Classes!$C$6:$C$420,$M1576))</f>
        <v/>
      </c>
      <c r="F1576" s="63"/>
      <c r="G1576" s="63"/>
      <c r="H1576" s="60"/>
      <c r="I1576" s="60"/>
      <c r="J1576" s="63"/>
      <c r="K1576" s="61" t="str">
        <f aca="false">IF($P1576=0,"",IF($F1576="Baseline","— Baseline",IF($O1576=0,"No result",IF($N1576=0,"No Start (attainment only)",IF(OR($N1576=1,$O1576=1),"U – needs rule",INDEX(MxBody,MATCH($I1576,MxCurr,0),MATCH($H1576,MxStart,0)))))))</f>
        <v/>
      </c>
      <c r="L1576" s="62" t="str">
        <f aca="false">IF(COUNTA($A1576,$F1576,$G1576,$H1576,$I1576,$J1576)=0,"",IF($M1576=0,"✖ كود الصف غير موجود",IF(ISNA(MATCH($F1576,Lists!$A$2:$A$5,0)),"✖ الفترة غير صحيحة",IF(ISNA(MATCH($G1576,Lists!$B$2:$B$7,0)),"✖ المجموعة غير صحيحة",IF(NOT(OR($H1576="",$N1576&gt;0)),"✖ Start غير صحيح",IF(NOT(OR($I1576="",$I1576="NR",$O1576&gt;0)),"✖ Current غير صحيح",IF(NOT(IF(ISNUMBER($J1576),AND($J1576&gt;=0,$J1576=INT($J1576)),FALSE())),"✖ العدد يجب أن يكون صحيحًا ≥ 0",IF(AND($F1576="Baseline",$H1576&lt;&gt;""),"⚠ Baseline: Start لا يدخل في التقدم",IF($K1576="No Start (attainment only)","ℹ تحصيل فقط (بدون Start)",IF($K1576="U – needs rule","ℹ حالة U تحتاج قاعدة معتمدة",IF($K1576="No result","ℹ بدون نتيجة (يُستبعد من التحصيل)","OK")))))))))))</f>
        <v/>
      </c>
      <c r="M1576" s="64" t="n">
        <f aca="false">IF($A1576="",0,IFERROR(MATCH($A1576,Classes!$A$6:$A$420,0),0))</f>
        <v>0</v>
      </c>
      <c r="N1576" s="64" t="n">
        <f aca="false">IF($H1576="",0,IFERROR(MATCH($H1576,GradeList,0),0))</f>
        <v>0</v>
      </c>
      <c r="O1576" s="64" t="n">
        <f aca="false">IF(OR($I1576="",$I1576="NR"),0,IFERROR(MATCH($I1576,GradeList,0),0))</f>
        <v>0</v>
      </c>
      <c r="P1576" s="64" t="n">
        <f aca="false">IF(AND($M1576&gt;0,ISNUMBER(MATCH($F1576,Lists!$A$2:$A$5,0)),ISNUMBER(MATCH($G1576,Lists!$B$2:$B$7,0)),OR($H1576="",$N1576&gt;0),OR($I1576="",$I1576="NR",$O1576&gt;0),IF(ISNUMBER($J1576),AND($J1576&gt;=0,$J1576=INT($J1576)),FALSE())),$J1576,0)</f>
        <v>0</v>
      </c>
      <c r="Q1576" s="64" t="n">
        <f aca="false">IF(AND($P1576&gt;0,$O1576&gt;0),$P1576,0)</f>
        <v>0</v>
      </c>
      <c r="R1576" s="64" t="n">
        <f aca="false">IF(AND($Q1576&gt;0,$O1576&gt;=AtRank),$Q1576,0)</f>
        <v>0</v>
      </c>
      <c r="S1576" s="64" t="n">
        <f aca="false">IF(AND($Q1576&gt;0,$O1576&gt;=AboveRank),$Q1576,0)</f>
        <v>0</v>
      </c>
      <c r="T1576" s="64" t="n">
        <f aca="false">IF($K1576="Less",$P1576,0)</f>
        <v>0</v>
      </c>
      <c r="U1576" s="64" t="n">
        <f aca="false">IF($K1576="Expected",$P1576,0)</f>
        <v>0</v>
      </c>
      <c r="V1576" s="64" t="n">
        <f aca="false">IF($K1576="Better",$P1576,0)</f>
        <v>0</v>
      </c>
      <c r="W1576" s="64" t="n">
        <f aca="false">IF($K1576="U – needs rule",$P1576,0)</f>
        <v>0</v>
      </c>
      <c r="X1576" s="64" t="n">
        <f aca="false">IF($K1576="No Start (attainment only)",$P1576,0)</f>
        <v>0</v>
      </c>
    </row>
    <row r="1577" customFormat="false" ht="15" hidden="false" customHeight="false" outlineLevel="0" collapsed="false">
      <c r="A1577" s="60"/>
      <c r="B1577" s="61" t="str">
        <f aca="false">IF($M1577=0,"",INDEX(Classes!$E$6:$E$420,$M1577))</f>
        <v/>
      </c>
      <c r="C1577" s="62" t="str">
        <f aca="false">IF($M1577=0,"",INDEX(Classes!$H$6:$H$420,$M1577))</f>
        <v/>
      </c>
      <c r="D1577" s="61" t="str">
        <f aca="false">IF($M1577=0,"",INDEX(Classes!$B$6:$B$420,$M1577))</f>
        <v/>
      </c>
      <c r="E1577" s="61" t="str">
        <f aca="false">IF($M1577=0,"",INDEX(Classes!$C$6:$C$420,$M1577))</f>
        <v/>
      </c>
      <c r="F1577" s="63"/>
      <c r="G1577" s="63"/>
      <c r="H1577" s="60"/>
      <c r="I1577" s="60"/>
      <c r="J1577" s="63"/>
      <c r="K1577" s="61" t="str">
        <f aca="false">IF($P1577=0,"",IF($F1577="Baseline","— Baseline",IF($O1577=0,"No result",IF($N1577=0,"No Start (attainment only)",IF(OR($N1577=1,$O1577=1),"U – needs rule",INDEX(MxBody,MATCH($I1577,MxCurr,0),MATCH($H1577,MxStart,0)))))))</f>
        <v/>
      </c>
      <c r="L1577" s="62" t="str">
        <f aca="false">IF(COUNTA($A1577,$F1577,$G1577,$H1577,$I1577,$J1577)=0,"",IF($M1577=0,"✖ كود الصف غير موجود",IF(ISNA(MATCH($F1577,Lists!$A$2:$A$5,0)),"✖ الفترة غير صحيحة",IF(ISNA(MATCH($G1577,Lists!$B$2:$B$7,0)),"✖ المجموعة غير صحيحة",IF(NOT(OR($H1577="",$N1577&gt;0)),"✖ Start غير صحيح",IF(NOT(OR($I1577="",$I1577="NR",$O1577&gt;0)),"✖ Current غير صحيح",IF(NOT(IF(ISNUMBER($J1577),AND($J1577&gt;=0,$J1577=INT($J1577)),FALSE())),"✖ العدد يجب أن يكون صحيحًا ≥ 0",IF(AND($F1577="Baseline",$H1577&lt;&gt;""),"⚠ Baseline: Start لا يدخل في التقدم",IF($K1577="No Start (attainment only)","ℹ تحصيل فقط (بدون Start)",IF($K1577="U – needs rule","ℹ حالة U تحتاج قاعدة معتمدة",IF($K1577="No result","ℹ بدون نتيجة (يُستبعد من التحصيل)","OK")))))))))))</f>
        <v/>
      </c>
      <c r="M1577" s="64" t="n">
        <f aca="false">IF($A1577="",0,IFERROR(MATCH($A1577,Classes!$A$6:$A$420,0),0))</f>
        <v>0</v>
      </c>
      <c r="N1577" s="64" t="n">
        <f aca="false">IF($H1577="",0,IFERROR(MATCH($H1577,GradeList,0),0))</f>
        <v>0</v>
      </c>
      <c r="O1577" s="64" t="n">
        <f aca="false">IF(OR($I1577="",$I1577="NR"),0,IFERROR(MATCH($I1577,GradeList,0),0))</f>
        <v>0</v>
      </c>
      <c r="P1577" s="64" t="n">
        <f aca="false">IF(AND($M1577&gt;0,ISNUMBER(MATCH($F1577,Lists!$A$2:$A$5,0)),ISNUMBER(MATCH($G1577,Lists!$B$2:$B$7,0)),OR($H1577="",$N1577&gt;0),OR($I1577="",$I1577="NR",$O1577&gt;0),IF(ISNUMBER($J1577),AND($J1577&gt;=0,$J1577=INT($J1577)),FALSE())),$J1577,0)</f>
        <v>0</v>
      </c>
      <c r="Q1577" s="64" t="n">
        <f aca="false">IF(AND($P1577&gt;0,$O1577&gt;0),$P1577,0)</f>
        <v>0</v>
      </c>
      <c r="R1577" s="64" t="n">
        <f aca="false">IF(AND($Q1577&gt;0,$O1577&gt;=AtRank),$Q1577,0)</f>
        <v>0</v>
      </c>
      <c r="S1577" s="64" t="n">
        <f aca="false">IF(AND($Q1577&gt;0,$O1577&gt;=AboveRank),$Q1577,0)</f>
        <v>0</v>
      </c>
      <c r="T1577" s="64" t="n">
        <f aca="false">IF($K1577="Less",$P1577,0)</f>
        <v>0</v>
      </c>
      <c r="U1577" s="64" t="n">
        <f aca="false">IF($K1577="Expected",$P1577,0)</f>
        <v>0</v>
      </c>
      <c r="V1577" s="64" t="n">
        <f aca="false">IF($K1577="Better",$P1577,0)</f>
        <v>0</v>
      </c>
      <c r="W1577" s="64" t="n">
        <f aca="false">IF($K1577="U – needs rule",$P1577,0)</f>
        <v>0</v>
      </c>
      <c r="X1577" s="64" t="n">
        <f aca="false">IF($K1577="No Start (attainment only)",$P1577,0)</f>
        <v>0</v>
      </c>
    </row>
    <row r="1578" customFormat="false" ht="15" hidden="false" customHeight="false" outlineLevel="0" collapsed="false">
      <c r="A1578" s="60"/>
      <c r="B1578" s="61" t="str">
        <f aca="false">IF($M1578=0,"",INDEX(Classes!$E$6:$E$420,$M1578))</f>
        <v/>
      </c>
      <c r="C1578" s="62" t="str">
        <f aca="false">IF($M1578=0,"",INDEX(Classes!$H$6:$H$420,$M1578))</f>
        <v/>
      </c>
      <c r="D1578" s="61" t="str">
        <f aca="false">IF($M1578=0,"",INDEX(Classes!$B$6:$B$420,$M1578))</f>
        <v/>
      </c>
      <c r="E1578" s="61" t="str">
        <f aca="false">IF($M1578=0,"",INDEX(Classes!$C$6:$C$420,$M1578))</f>
        <v/>
      </c>
      <c r="F1578" s="63"/>
      <c r="G1578" s="63"/>
      <c r="H1578" s="60"/>
      <c r="I1578" s="60"/>
      <c r="J1578" s="63"/>
      <c r="K1578" s="61" t="str">
        <f aca="false">IF($P1578=0,"",IF($F1578="Baseline","— Baseline",IF($O1578=0,"No result",IF($N1578=0,"No Start (attainment only)",IF(OR($N1578=1,$O1578=1),"U – needs rule",INDEX(MxBody,MATCH($I1578,MxCurr,0),MATCH($H1578,MxStart,0)))))))</f>
        <v/>
      </c>
      <c r="L1578" s="62" t="str">
        <f aca="false">IF(COUNTA($A1578,$F1578,$G1578,$H1578,$I1578,$J1578)=0,"",IF($M1578=0,"✖ كود الصف غير موجود",IF(ISNA(MATCH($F1578,Lists!$A$2:$A$5,0)),"✖ الفترة غير صحيحة",IF(ISNA(MATCH($G1578,Lists!$B$2:$B$7,0)),"✖ المجموعة غير صحيحة",IF(NOT(OR($H1578="",$N1578&gt;0)),"✖ Start غير صحيح",IF(NOT(OR($I1578="",$I1578="NR",$O1578&gt;0)),"✖ Current غير صحيح",IF(NOT(IF(ISNUMBER($J1578),AND($J1578&gt;=0,$J1578=INT($J1578)),FALSE())),"✖ العدد يجب أن يكون صحيحًا ≥ 0",IF(AND($F1578="Baseline",$H1578&lt;&gt;""),"⚠ Baseline: Start لا يدخل في التقدم",IF($K1578="No Start (attainment only)","ℹ تحصيل فقط (بدون Start)",IF($K1578="U – needs rule","ℹ حالة U تحتاج قاعدة معتمدة",IF($K1578="No result","ℹ بدون نتيجة (يُستبعد من التحصيل)","OK")))))))))))</f>
        <v/>
      </c>
      <c r="M1578" s="64" t="n">
        <f aca="false">IF($A1578="",0,IFERROR(MATCH($A1578,Classes!$A$6:$A$420,0),0))</f>
        <v>0</v>
      </c>
      <c r="N1578" s="64" t="n">
        <f aca="false">IF($H1578="",0,IFERROR(MATCH($H1578,GradeList,0),0))</f>
        <v>0</v>
      </c>
      <c r="O1578" s="64" t="n">
        <f aca="false">IF(OR($I1578="",$I1578="NR"),0,IFERROR(MATCH($I1578,GradeList,0),0))</f>
        <v>0</v>
      </c>
      <c r="P1578" s="64" t="n">
        <f aca="false">IF(AND($M1578&gt;0,ISNUMBER(MATCH($F1578,Lists!$A$2:$A$5,0)),ISNUMBER(MATCH($G1578,Lists!$B$2:$B$7,0)),OR($H1578="",$N1578&gt;0),OR($I1578="",$I1578="NR",$O1578&gt;0),IF(ISNUMBER($J1578),AND($J1578&gt;=0,$J1578=INT($J1578)),FALSE())),$J1578,0)</f>
        <v>0</v>
      </c>
      <c r="Q1578" s="64" t="n">
        <f aca="false">IF(AND($P1578&gt;0,$O1578&gt;0),$P1578,0)</f>
        <v>0</v>
      </c>
      <c r="R1578" s="64" t="n">
        <f aca="false">IF(AND($Q1578&gt;0,$O1578&gt;=AtRank),$Q1578,0)</f>
        <v>0</v>
      </c>
      <c r="S1578" s="64" t="n">
        <f aca="false">IF(AND($Q1578&gt;0,$O1578&gt;=AboveRank),$Q1578,0)</f>
        <v>0</v>
      </c>
      <c r="T1578" s="64" t="n">
        <f aca="false">IF($K1578="Less",$P1578,0)</f>
        <v>0</v>
      </c>
      <c r="U1578" s="64" t="n">
        <f aca="false">IF($K1578="Expected",$P1578,0)</f>
        <v>0</v>
      </c>
      <c r="V1578" s="64" t="n">
        <f aca="false">IF($K1578="Better",$P1578,0)</f>
        <v>0</v>
      </c>
      <c r="W1578" s="64" t="n">
        <f aca="false">IF($K1578="U – needs rule",$P1578,0)</f>
        <v>0</v>
      </c>
      <c r="X1578" s="64" t="n">
        <f aca="false">IF($K1578="No Start (attainment only)",$P1578,0)</f>
        <v>0</v>
      </c>
    </row>
    <row r="1579" customFormat="false" ht="15" hidden="false" customHeight="false" outlineLevel="0" collapsed="false">
      <c r="A1579" s="60"/>
      <c r="B1579" s="61" t="str">
        <f aca="false">IF($M1579=0,"",INDEX(Classes!$E$6:$E$420,$M1579))</f>
        <v/>
      </c>
      <c r="C1579" s="62" t="str">
        <f aca="false">IF($M1579=0,"",INDEX(Classes!$H$6:$H$420,$M1579))</f>
        <v/>
      </c>
      <c r="D1579" s="61" t="str">
        <f aca="false">IF($M1579=0,"",INDEX(Classes!$B$6:$B$420,$M1579))</f>
        <v/>
      </c>
      <c r="E1579" s="61" t="str">
        <f aca="false">IF($M1579=0,"",INDEX(Classes!$C$6:$C$420,$M1579))</f>
        <v/>
      </c>
      <c r="F1579" s="63"/>
      <c r="G1579" s="63"/>
      <c r="H1579" s="60"/>
      <c r="I1579" s="60"/>
      <c r="J1579" s="63"/>
      <c r="K1579" s="61" t="str">
        <f aca="false">IF($P1579=0,"",IF($F1579="Baseline","— Baseline",IF($O1579=0,"No result",IF($N1579=0,"No Start (attainment only)",IF(OR($N1579=1,$O1579=1),"U – needs rule",INDEX(MxBody,MATCH($I1579,MxCurr,0),MATCH($H1579,MxStart,0)))))))</f>
        <v/>
      </c>
      <c r="L1579" s="62" t="str">
        <f aca="false">IF(COUNTA($A1579,$F1579,$G1579,$H1579,$I1579,$J1579)=0,"",IF($M1579=0,"✖ كود الصف غير موجود",IF(ISNA(MATCH($F1579,Lists!$A$2:$A$5,0)),"✖ الفترة غير صحيحة",IF(ISNA(MATCH($G1579,Lists!$B$2:$B$7,0)),"✖ المجموعة غير صحيحة",IF(NOT(OR($H1579="",$N1579&gt;0)),"✖ Start غير صحيح",IF(NOT(OR($I1579="",$I1579="NR",$O1579&gt;0)),"✖ Current غير صحيح",IF(NOT(IF(ISNUMBER($J1579),AND($J1579&gt;=0,$J1579=INT($J1579)),FALSE())),"✖ العدد يجب أن يكون صحيحًا ≥ 0",IF(AND($F1579="Baseline",$H1579&lt;&gt;""),"⚠ Baseline: Start لا يدخل في التقدم",IF($K1579="No Start (attainment only)","ℹ تحصيل فقط (بدون Start)",IF($K1579="U – needs rule","ℹ حالة U تحتاج قاعدة معتمدة",IF($K1579="No result","ℹ بدون نتيجة (يُستبعد من التحصيل)","OK")))))))))))</f>
        <v/>
      </c>
      <c r="M1579" s="64" t="n">
        <f aca="false">IF($A1579="",0,IFERROR(MATCH($A1579,Classes!$A$6:$A$420,0),0))</f>
        <v>0</v>
      </c>
      <c r="N1579" s="64" t="n">
        <f aca="false">IF($H1579="",0,IFERROR(MATCH($H1579,GradeList,0),0))</f>
        <v>0</v>
      </c>
      <c r="O1579" s="64" t="n">
        <f aca="false">IF(OR($I1579="",$I1579="NR"),0,IFERROR(MATCH($I1579,GradeList,0),0))</f>
        <v>0</v>
      </c>
      <c r="P1579" s="64" t="n">
        <f aca="false">IF(AND($M1579&gt;0,ISNUMBER(MATCH($F1579,Lists!$A$2:$A$5,0)),ISNUMBER(MATCH($G1579,Lists!$B$2:$B$7,0)),OR($H1579="",$N1579&gt;0),OR($I1579="",$I1579="NR",$O1579&gt;0),IF(ISNUMBER($J1579),AND($J1579&gt;=0,$J1579=INT($J1579)),FALSE())),$J1579,0)</f>
        <v>0</v>
      </c>
      <c r="Q1579" s="64" t="n">
        <f aca="false">IF(AND($P1579&gt;0,$O1579&gt;0),$P1579,0)</f>
        <v>0</v>
      </c>
      <c r="R1579" s="64" t="n">
        <f aca="false">IF(AND($Q1579&gt;0,$O1579&gt;=AtRank),$Q1579,0)</f>
        <v>0</v>
      </c>
      <c r="S1579" s="64" t="n">
        <f aca="false">IF(AND($Q1579&gt;0,$O1579&gt;=AboveRank),$Q1579,0)</f>
        <v>0</v>
      </c>
      <c r="T1579" s="64" t="n">
        <f aca="false">IF($K1579="Less",$P1579,0)</f>
        <v>0</v>
      </c>
      <c r="U1579" s="64" t="n">
        <f aca="false">IF($K1579="Expected",$P1579,0)</f>
        <v>0</v>
      </c>
      <c r="V1579" s="64" t="n">
        <f aca="false">IF($K1579="Better",$P1579,0)</f>
        <v>0</v>
      </c>
      <c r="W1579" s="64" t="n">
        <f aca="false">IF($K1579="U – needs rule",$P1579,0)</f>
        <v>0</v>
      </c>
      <c r="X1579" s="64" t="n">
        <f aca="false">IF($K1579="No Start (attainment only)",$P1579,0)</f>
        <v>0</v>
      </c>
    </row>
    <row r="1580" customFormat="false" ht="15" hidden="false" customHeight="false" outlineLevel="0" collapsed="false">
      <c r="A1580" s="60"/>
      <c r="B1580" s="61" t="str">
        <f aca="false">IF($M1580=0,"",INDEX(Classes!$E$6:$E$420,$M1580))</f>
        <v/>
      </c>
      <c r="C1580" s="62" t="str">
        <f aca="false">IF($M1580=0,"",INDEX(Classes!$H$6:$H$420,$M1580))</f>
        <v/>
      </c>
      <c r="D1580" s="61" t="str">
        <f aca="false">IF($M1580=0,"",INDEX(Classes!$B$6:$B$420,$M1580))</f>
        <v/>
      </c>
      <c r="E1580" s="61" t="str">
        <f aca="false">IF($M1580=0,"",INDEX(Classes!$C$6:$C$420,$M1580))</f>
        <v/>
      </c>
      <c r="F1580" s="63"/>
      <c r="G1580" s="63"/>
      <c r="H1580" s="60"/>
      <c r="I1580" s="60"/>
      <c r="J1580" s="63"/>
      <c r="K1580" s="61" t="str">
        <f aca="false">IF($P1580=0,"",IF($F1580="Baseline","— Baseline",IF($O1580=0,"No result",IF($N1580=0,"No Start (attainment only)",IF(OR($N1580=1,$O1580=1),"U – needs rule",INDEX(MxBody,MATCH($I1580,MxCurr,0),MATCH($H1580,MxStart,0)))))))</f>
        <v/>
      </c>
      <c r="L1580" s="62" t="str">
        <f aca="false">IF(COUNTA($A1580,$F1580,$G1580,$H1580,$I1580,$J1580)=0,"",IF($M1580=0,"✖ كود الصف غير موجود",IF(ISNA(MATCH($F1580,Lists!$A$2:$A$5,0)),"✖ الفترة غير صحيحة",IF(ISNA(MATCH($G1580,Lists!$B$2:$B$7,0)),"✖ المجموعة غير صحيحة",IF(NOT(OR($H1580="",$N1580&gt;0)),"✖ Start غير صحيح",IF(NOT(OR($I1580="",$I1580="NR",$O1580&gt;0)),"✖ Current غير صحيح",IF(NOT(IF(ISNUMBER($J1580),AND($J1580&gt;=0,$J1580=INT($J1580)),FALSE())),"✖ العدد يجب أن يكون صحيحًا ≥ 0",IF(AND($F1580="Baseline",$H1580&lt;&gt;""),"⚠ Baseline: Start لا يدخل في التقدم",IF($K1580="No Start (attainment only)","ℹ تحصيل فقط (بدون Start)",IF($K1580="U – needs rule","ℹ حالة U تحتاج قاعدة معتمدة",IF($K1580="No result","ℹ بدون نتيجة (يُستبعد من التحصيل)","OK")))))))))))</f>
        <v/>
      </c>
      <c r="M1580" s="64" t="n">
        <f aca="false">IF($A1580="",0,IFERROR(MATCH($A1580,Classes!$A$6:$A$420,0),0))</f>
        <v>0</v>
      </c>
      <c r="N1580" s="64" t="n">
        <f aca="false">IF($H1580="",0,IFERROR(MATCH($H1580,GradeList,0),0))</f>
        <v>0</v>
      </c>
      <c r="O1580" s="64" t="n">
        <f aca="false">IF(OR($I1580="",$I1580="NR"),0,IFERROR(MATCH($I1580,GradeList,0),0))</f>
        <v>0</v>
      </c>
      <c r="P1580" s="64" t="n">
        <f aca="false">IF(AND($M1580&gt;0,ISNUMBER(MATCH($F1580,Lists!$A$2:$A$5,0)),ISNUMBER(MATCH($G1580,Lists!$B$2:$B$7,0)),OR($H1580="",$N1580&gt;0),OR($I1580="",$I1580="NR",$O1580&gt;0),IF(ISNUMBER($J1580),AND($J1580&gt;=0,$J1580=INT($J1580)),FALSE())),$J1580,0)</f>
        <v>0</v>
      </c>
      <c r="Q1580" s="64" t="n">
        <f aca="false">IF(AND($P1580&gt;0,$O1580&gt;0),$P1580,0)</f>
        <v>0</v>
      </c>
      <c r="R1580" s="64" t="n">
        <f aca="false">IF(AND($Q1580&gt;0,$O1580&gt;=AtRank),$Q1580,0)</f>
        <v>0</v>
      </c>
      <c r="S1580" s="64" t="n">
        <f aca="false">IF(AND($Q1580&gt;0,$O1580&gt;=AboveRank),$Q1580,0)</f>
        <v>0</v>
      </c>
      <c r="T1580" s="64" t="n">
        <f aca="false">IF($K1580="Less",$P1580,0)</f>
        <v>0</v>
      </c>
      <c r="U1580" s="64" t="n">
        <f aca="false">IF($K1580="Expected",$P1580,0)</f>
        <v>0</v>
      </c>
      <c r="V1580" s="64" t="n">
        <f aca="false">IF($K1580="Better",$P1580,0)</f>
        <v>0</v>
      </c>
      <c r="W1580" s="64" t="n">
        <f aca="false">IF($K1580="U – needs rule",$P1580,0)</f>
        <v>0</v>
      </c>
      <c r="X1580" s="64" t="n">
        <f aca="false">IF($K1580="No Start (attainment only)",$P1580,0)</f>
        <v>0</v>
      </c>
    </row>
    <row r="1581" customFormat="false" ht="15" hidden="false" customHeight="false" outlineLevel="0" collapsed="false">
      <c r="A1581" s="60"/>
      <c r="B1581" s="61" t="str">
        <f aca="false">IF($M1581=0,"",INDEX(Classes!$E$6:$E$420,$M1581))</f>
        <v/>
      </c>
      <c r="C1581" s="62" t="str">
        <f aca="false">IF($M1581=0,"",INDEX(Classes!$H$6:$H$420,$M1581))</f>
        <v/>
      </c>
      <c r="D1581" s="61" t="str">
        <f aca="false">IF($M1581=0,"",INDEX(Classes!$B$6:$B$420,$M1581))</f>
        <v/>
      </c>
      <c r="E1581" s="61" t="str">
        <f aca="false">IF($M1581=0,"",INDEX(Classes!$C$6:$C$420,$M1581))</f>
        <v/>
      </c>
      <c r="F1581" s="63"/>
      <c r="G1581" s="63"/>
      <c r="H1581" s="60"/>
      <c r="I1581" s="60"/>
      <c r="J1581" s="63"/>
      <c r="K1581" s="61" t="str">
        <f aca="false">IF($P1581=0,"",IF($F1581="Baseline","— Baseline",IF($O1581=0,"No result",IF($N1581=0,"No Start (attainment only)",IF(OR($N1581=1,$O1581=1),"U – needs rule",INDEX(MxBody,MATCH($I1581,MxCurr,0),MATCH($H1581,MxStart,0)))))))</f>
        <v/>
      </c>
      <c r="L1581" s="62" t="str">
        <f aca="false">IF(COUNTA($A1581,$F1581,$G1581,$H1581,$I1581,$J1581)=0,"",IF($M1581=0,"✖ كود الصف غير موجود",IF(ISNA(MATCH($F1581,Lists!$A$2:$A$5,0)),"✖ الفترة غير صحيحة",IF(ISNA(MATCH($G1581,Lists!$B$2:$B$7,0)),"✖ المجموعة غير صحيحة",IF(NOT(OR($H1581="",$N1581&gt;0)),"✖ Start غير صحيح",IF(NOT(OR($I1581="",$I1581="NR",$O1581&gt;0)),"✖ Current غير صحيح",IF(NOT(IF(ISNUMBER($J1581),AND($J1581&gt;=0,$J1581=INT($J1581)),FALSE())),"✖ العدد يجب أن يكون صحيحًا ≥ 0",IF(AND($F1581="Baseline",$H1581&lt;&gt;""),"⚠ Baseline: Start لا يدخل في التقدم",IF($K1581="No Start (attainment only)","ℹ تحصيل فقط (بدون Start)",IF($K1581="U – needs rule","ℹ حالة U تحتاج قاعدة معتمدة",IF($K1581="No result","ℹ بدون نتيجة (يُستبعد من التحصيل)","OK")))))))))))</f>
        <v/>
      </c>
      <c r="M1581" s="64" t="n">
        <f aca="false">IF($A1581="",0,IFERROR(MATCH($A1581,Classes!$A$6:$A$420,0),0))</f>
        <v>0</v>
      </c>
      <c r="N1581" s="64" t="n">
        <f aca="false">IF($H1581="",0,IFERROR(MATCH($H1581,GradeList,0),0))</f>
        <v>0</v>
      </c>
      <c r="O1581" s="64" t="n">
        <f aca="false">IF(OR($I1581="",$I1581="NR"),0,IFERROR(MATCH($I1581,GradeList,0),0))</f>
        <v>0</v>
      </c>
      <c r="P1581" s="64" t="n">
        <f aca="false">IF(AND($M1581&gt;0,ISNUMBER(MATCH($F1581,Lists!$A$2:$A$5,0)),ISNUMBER(MATCH($G1581,Lists!$B$2:$B$7,0)),OR($H1581="",$N1581&gt;0),OR($I1581="",$I1581="NR",$O1581&gt;0),IF(ISNUMBER($J1581),AND($J1581&gt;=0,$J1581=INT($J1581)),FALSE())),$J1581,0)</f>
        <v>0</v>
      </c>
      <c r="Q1581" s="64" t="n">
        <f aca="false">IF(AND($P1581&gt;0,$O1581&gt;0),$P1581,0)</f>
        <v>0</v>
      </c>
      <c r="R1581" s="64" t="n">
        <f aca="false">IF(AND($Q1581&gt;0,$O1581&gt;=AtRank),$Q1581,0)</f>
        <v>0</v>
      </c>
      <c r="S1581" s="64" t="n">
        <f aca="false">IF(AND($Q1581&gt;0,$O1581&gt;=AboveRank),$Q1581,0)</f>
        <v>0</v>
      </c>
      <c r="T1581" s="64" t="n">
        <f aca="false">IF($K1581="Less",$P1581,0)</f>
        <v>0</v>
      </c>
      <c r="U1581" s="64" t="n">
        <f aca="false">IF($K1581="Expected",$P1581,0)</f>
        <v>0</v>
      </c>
      <c r="V1581" s="64" t="n">
        <f aca="false">IF($K1581="Better",$P1581,0)</f>
        <v>0</v>
      </c>
      <c r="W1581" s="64" t="n">
        <f aca="false">IF($K1581="U – needs rule",$P1581,0)</f>
        <v>0</v>
      </c>
      <c r="X1581" s="64" t="n">
        <f aca="false">IF($K1581="No Start (attainment only)",$P1581,0)</f>
        <v>0</v>
      </c>
    </row>
    <row r="1582" customFormat="false" ht="15" hidden="false" customHeight="false" outlineLevel="0" collapsed="false">
      <c r="A1582" s="60"/>
      <c r="B1582" s="61" t="str">
        <f aca="false">IF($M1582=0,"",INDEX(Classes!$E$6:$E$420,$M1582))</f>
        <v/>
      </c>
      <c r="C1582" s="62" t="str">
        <f aca="false">IF($M1582=0,"",INDEX(Classes!$H$6:$H$420,$M1582))</f>
        <v/>
      </c>
      <c r="D1582" s="61" t="str">
        <f aca="false">IF($M1582=0,"",INDEX(Classes!$B$6:$B$420,$M1582))</f>
        <v/>
      </c>
      <c r="E1582" s="61" t="str">
        <f aca="false">IF($M1582=0,"",INDEX(Classes!$C$6:$C$420,$M1582))</f>
        <v/>
      </c>
      <c r="F1582" s="63"/>
      <c r="G1582" s="63"/>
      <c r="H1582" s="60"/>
      <c r="I1582" s="60"/>
      <c r="J1582" s="63"/>
      <c r="K1582" s="61" t="str">
        <f aca="false">IF($P1582=0,"",IF($F1582="Baseline","— Baseline",IF($O1582=0,"No result",IF($N1582=0,"No Start (attainment only)",IF(OR($N1582=1,$O1582=1),"U – needs rule",INDEX(MxBody,MATCH($I1582,MxCurr,0),MATCH($H1582,MxStart,0)))))))</f>
        <v/>
      </c>
      <c r="L1582" s="62" t="str">
        <f aca="false">IF(COUNTA($A1582,$F1582,$G1582,$H1582,$I1582,$J1582)=0,"",IF($M1582=0,"✖ كود الصف غير موجود",IF(ISNA(MATCH($F1582,Lists!$A$2:$A$5,0)),"✖ الفترة غير صحيحة",IF(ISNA(MATCH($G1582,Lists!$B$2:$B$7,0)),"✖ المجموعة غير صحيحة",IF(NOT(OR($H1582="",$N1582&gt;0)),"✖ Start غير صحيح",IF(NOT(OR($I1582="",$I1582="NR",$O1582&gt;0)),"✖ Current غير صحيح",IF(NOT(IF(ISNUMBER($J1582),AND($J1582&gt;=0,$J1582=INT($J1582)),FALSE())),"✖ العدد يجب أن يكون صحيحًا ≥ 0",IF(AND($F1582="Baseline",$H1582&lt;&gt;""),"⚠ Baseline: Start لا يدخل في التقدم",IF($K1582="No Start (attainment only)","ℹ تحصيل فقط (بدون Start)",IF($K1582="U – needs rule","ℹ حالة U تحتاج قاعدة معتمدة",IF($K1582="No result","ℹ بدون نتيجة (يُستبعد من التحصيل)","OK")))))))))))</f>
        <v/>
      </c>
      <c r="M1582" s="64" t="n">
        <f aca="false">IF($A1582="",0,IFERROR(MATCH($A1582,Classes!$A$6:$A$420,0),0))</f>
        <v>0</v>
      </c>
      <c r="N1582" s="64" t="n">
        <f aca="false">IF($H1582="",0,IFERROR(MATCH($H1582,GradeList,0),0))</f>
        <v>0</v>
      </c>
      <c r="O1582" s="64" t="n">
        <f aca="false">IF(OR($I1582="",$I1582="NR"),0,IFERROR(MATCH($I1582,GradeList,0),0))</f>
        <v>0</v>
      </c>
      <c r="P1582" s="64" t="n">
        <f aca="false">IF(AND($M1582&gt;0,ISNUMBER(MATCH($F1582,Lists!$A$2:$A$5,0)),ISNUMBER(MATCH($G1582,Lists!$B$2:$B$7,0)),OR($H1582="",$N1582&gt;0),OR($I1582="",$I1582="NR",$O1582&gt;0),IF(ISNUMBER($J1582),AND($J1582&gt;=0,$J1582=INT($J1582)),FALSE())),$J1582,0)</f>
        <v>0</v>
      </c>
      <c r="Q1582" s="64" t="n">
        <f aca="false">IF(AND($P1582&gt;0,$O1582&gt;0),$P1582,0)</f>
        <v>0</v>
      </c>
      <c r="R1582" s="64" t="n">
        <f aca="false">IF(AND($Q1582&gt;0,$O1582&gt;=AtRank),$Q1582,0)</f>
        <v>0</v>
      </c>
      <c r="S1582" s="64" t="n">
        <f aca="false">IF(AND($Q1582&gt;0,$O1582&gt;=AboveRank),$Q1582,0)</f>
        <v>0</v>
      </c>
      <c r="T1582" s="64" t="n">
        <f aca="false">IF($K1582="Less",$P1582,0)</f>
        <v>0</v>
      </c>
      <c r="U1582" s="64" t="n">
        <f aca="false">IF($K1582="Expected",$P1582,0)</f>
        <v>0</v>
      </c>
      <c r="V1582" s="64" t="n">
        <f aca="false">IF($K1582="Better",$P1582,0)</f>
        <v>0</v>
      </c>
      <c r="W1582" s="64" t="n">
        <f aca="false">IF($K1582="U – needs rule",$P1582,0)</f>
        <v>0</v>
      </c>
      <c r="X1582" s="64" t="n">
        <f aca="false">IF($K1582="No Start (attainment only)",$P1582,0)</f>
        <v>0</v>
      </c>
    </row>
    <row r="1583" customFormat="false" ht="15" hidden="false" customHeight="false" outlineLevel="0" collapsed="false">
      <c r="A1583" s="60"/>
      <c r="B1583" s="61" t="str">
        <f aca="false">IF($M1583=0,"",INDEX(Classes!$E$6:$E$420,$M1583))</f>
        <v/>
      </c>
      <c r="C1583" s="62" t="str">
        <f aca="false">IF($M1583=0,"",INDEX(Classes!$H$6:$H$420,$M1583))</f>
        <v/>
      </c>
      <c r="D1583" s="61" t="str">
        <f aca="false">IF($M1583=0,"",INDEX(Classes!$B$6:$B$420,$M1583))</f>
        <v/>
      </c>
      <c r="E1583" s="61" t="str">
        <f aca="false">IF($M1583=0,"",INDEX(Classes!$C$6:$C$420,$M1583))</f>
        <v/>
      </c>
      <c r="F1583" s="63"/>
      <c r="G1583" s="63"/>
      <c r="H1583" s="60"/>
      <c r="I1583" s="60"/>
      <c r="J1583" s="63"/>
      <c r="K1583" s="61" t="str">
        <f aca="false">IF($P1583=0,"",IF($F1583="Baseline","— Baseline",IF($O1583=0,"No result",IF($N1583=0,"No Start (attainment only)",IF(OR($N1583=1,$O1583=1),"U – needs rule",INDEX(MxBody,MATCH($I1583,MxCurr,0),MATCH($H1583,MxStart,0)))))))</f>
        <v/>
      </c>
      <c r="L1583" s="62" t="str">
        <f aca="false">IF(COUNTA($A1583,$F1583,$G1583,$H1583,$I1583,$J1583)=0,"",IF($M1583=0,"✖ كود الصف غير موجود",IF(ISNA(MATCH($F1583,Lists!$A$2:$A$5,0)),"✖ الفترة غير صحيحة",IF(ISNA(MATCH($G1583,Lists!$B$2:$B$7,0)),"✖ المجموعة غير صحيحة",IF(NOT(OR($H1583="",$N1583&gt;0)),"✖ Start غير صحيح",IF(NOT(OR($I1583="",$I1583="NR",$O1583&gt;0)),"✖ Current غير صحيح",IF(NOT(IF(ISNUMBER($J1583),AND($J1583&gt;=0,$J1583=INT($J1583)),FALSE())),"✖ العدد يجب أن يكون صحيحًا ≥ 0",IF(AND($F1583="Baseline",$H1583&lt;&gt;""),"⚠ Baseline: Start لا يدخل في التقدم",IF($K1583="No Start (attainment only)","ℹ تحصيل فقط (بدون Start)",IF($K1583="U – needs rule","ℹ حالة U تحتاج قاعدة معتمدة",IF($K1583="No result","ℹ بدون نتيجة (يُستبعد من التحصيل)","OK")))))))))))</f>
        <v/>
      </c>
      <c r="M1583" s="64" t="n">
        <f aca="false">IF($A1583="",0,IFERROR(MATCH($A1583,Classes!$A$6:$A$420,0),0))</f>
        <v>0</v>
      </c>
      <c r="N1583" s="64" t="n">
        <f aca="false">IF($H1583="",0,IFERROR(MATCH($H1583,GradeList,0),0))</f>
        <v>0</v>
      </c>
      <c r="O1583" s="64" t="n">
        <f aca="false">IF(OR($I1583="",$I1583="NR"),0,IFERROR(MATCH($I1583,GradeList,0),0))</f>
        <v>0</v>
      </c>
      <c r="P1583" s="64" t="n">
        <f aca="false">IF(AND($M1583&gt;0,ISNUMBER(MATCH($F1583,Lists!$A$2:$A$5,0)),ISNUMBER(MATCH($G1583,Lists!$B$2:$B$7,0)),OR($H1583="",$N1583&gt;0),OR($I1583="",$I1583="NR",$O1583&gt;0),IF(ISNUMBER($J1583),AND($J1583&gt;=0,$J1583=INT($J1583)),FALSE())),$J1583,0)</f>
        <v>0</v>
      </c>
      <c r="Q1583" s="64" t="n">
        <f aca="false">IF(AND($P1583&gt;0,$O1583&gt;0),$P1583,0)</f>
        <v>0</v>
      </c>
      <c r="R1583" s="64" t="n">
        <f aca="false">IF(AND($Q1583&gt;0,$O1583&gt;=AtRank),$Q1583,0)</f>
        <v>0</v>
      </c>
      <c r="S1583" s="64" t="n">
        <f aca="false">IF(AND($Q1583&gt;0,$O1583&gt;=AboveRank),$Q1583,0)</f>
        <v>0</v>
      </c>
      <c r="T1583" s="64" t="n">
        <f aca="false">IF($K1583="Less",$P1583,0)</f>
        <v>0</v>
      </c>
      <c r="U1583" s="64" t="n">
        <f aca="false">IF($K1583="Expected",$P1583,0)</f>
        <v>0</v>
      </c>
      <c r="V1583" s="64" t="n">
        <f aca="false">IF($K1583="Better",$P1583,0)</f>
        <v>0</v>
      </c>
      <c r="W1583" s="64" t="n">
        <f aca="false">IF($K1583="U – needs rule",$P1583,0)</f>
        <v>0</v>
      </c>
      <c r="X1583" s="64" t="n">
        <f aca="false">IF($K1583="No Start (attainment only)",$P1583,0)</f>
        <v>0</v>
      </c>
    </row>
    <row r="1584" customFormat="false" ht="15" hidden="false" customHeight="false" outlineLevel="0" collapsed="false">
      <c r="A1584" s="60"/>
      <c r="B1584" s="61" t="str">
        <f aca="false">IF($M1584=0,"",INDEX(Classes!$E$6:$E$420,$M1584))</f>
        <v/>
      </c>
      <c r="C1584" s="62" t="str">
        <f aca="false">IF($M1584=0,"",INDEX(Classes!$H$6:$H$420,$M1584))</f>
        <v/>
      </c>
      <c r="D1584" s="61" t="str">
        <f aca="false">IF($M1584=0,"",INDEX(Classes!$B$6:$B$420,$M1584))</f>
        <v/>
      </c>
      <c r="E1584" s="61" t="str">
        <f aca="false">IF($M1584=0,"",INDEX(Classes!$C$6:$C$420,$M1584))</f>
        <v/>
      </c>
      <c r="F1584" s="63"/>
      <c r="G1584" s="63"/>
      <c r="H1584" s="60"/>
      <c r="I1584" s="60"/>
      <c r="J1584" s="63"/>
      <c r="K1584" s="61" t="str">
        <f aca="false">IF($P1584=0,"",IF($F1584="Baseline","— Baseline",IF($O1584=0,"No result",IF($N1584=0,"No Start (attainment only)",IF(OR($N1584=1,$O1584=1),"U – needs rule",INDEX(MxBody,MATCH($I1584,MxCurr,0),MATCH($H1584,MxStart,0)))))))</f>
        <v/>
      </c>
      <c r="L1584" s="62" t="str">
        <f aca="false">IF(COUNTA($A1584,$F1584,$G1584,$H1584,$I1584,$J1584)=0,"",IF($M1584=0,"✖ كود الصف غير موجود",IF(ISNA(MATCH($F1584,Lists!$A$2:$A$5,0)),"✖ الفترة غير صحيحة",IF(ISNA(MATCH($G1584,Lists!$B$2:$B$7,0)),"✖ المجموعة غير صحيحة",IF(NOT(OR($H1584="",$N1584&gt;0)),"✖ Start غير صحيح",IF(NOT(OR($I1584="",$I1584="NR",$O1584&gt;0)),"✖ Current غير صحيح",IF(NOT(IF(ISNUMBER($J1584),AND($J1584&gt;=0,$J1584=INT($J1584)),FALSE())),"✖ العدد يجب أن يكون صحيحًا ≥ 0",IF(AND($F1584="Baseline",$H1584&lt;&gt;""),"⚠ Baseline: Start لا يدخل في التقدم",IF($K1584="No Start (attainment only)","ℹ تحصيل فقط (بدون Start)",IF($K1584="U – needs rule","ℹ حالة U تحتاج قاعدة معتمدة",IF($K1584="No result","ℹ بدون نتيجة (يُستبعد من التحصيل)","OK")))))))))))</f>
        <v/>
      </c>
      <c r="M1584" s="64" t="n">
        <f aca="false">IF($A1584="",0,IFERROR(MATCH($A1584,Classes!$A$6:$A$420,0),0))</f>
        <v>0</v>
      </c>
      <c r="N1584" s="64" t="n">
        <f aca="false">IF($H1584="",0,IFERROR(MATCH($H1584,GradeList,0),0))</f>
        <v>0</v>
      </c>
      <c r="O1584" s="64" t="n">
        <f aca="false">IF(OR($I1584="",$I1584="NR"),0,IFERROR(MATCH($I1584,GradeList,0),0))</f>
        <v>0</v>
      </c>
      <c r="P1584" s="64" t="n">
        <f aca="false">IF(AND($M1584&gt;0,ISNUMBER(MATCH($F1584,Lists!$A$2:$A$5,0)),ISNUMBER(MATCH($G1584,Lists!$B$2:$B$7,0)),OR($H1584="",$N1584&gt;0),OR($I1584="",$I1584="NR",$O1584&gt;0),IF(ISNUMBER($J1584),AND($J1584&gt;=0,$J1584=INT($J1584)),FALSE())),$J1584,0)</f>
        <v>0</v>
      </c>
      <c r="Q1584" s="64" t="n">
        <f aca="false">IF(AND($P1584&gt;0,$O1584&gt;0),$P1584,0)</f>
        <v>0</v>
      </c>
      <c r="R1584" s="64" t="n">
        <f aca="false">IF(AND($Q1584&gt;0,$O1584&gt;=AtRank),$Q1584,0)</f>
        <v>0</v>
      </c>
      <c r="S1584" s="64" t="n">
        <f aca="false">IF(AND($Q1584&gt;0,$O1584&gt;=AboveRank),$Q1584,0)</f>
        <v>0</v>
      </c>
      <c r="T1584" s="64" t="n">
        <f aca="false">IF($K1584="Less",$P1584,0)</f>
        <v>0</v>
      </c>
      <c r="U1584" s="64" t="n">
        <f aca="false">IF($K1584="Expected",$P1584,0)</f>
        <v>0</v>
      </c>
      <c r="V1584" s="64" t="n">
        <f aca="false">IF($K1584="Better",$P1584,0)</f>
        <v>0</v>
      </c>
      <c r="W1584" s="64" t="n">
        <f aca="false">IF($K1584="U – needs rule",$P1584,0)</f>
        <v>0</v>
      </c>
      <c r="X1584" s="64" t="n">
        <f aca="false">IF($K1584="No Start (attainment only)",$P1584,0)</f>
        <v>0</v>
      </c>
    </row>
    <row r="1585" customFormat="false" ht="15" hidden="false" customHeight="false" outlineLevel="0" collapsed="false">
      <c r="A1585" s="60"/>
      <c r="B1585" s="61" t="str">
        <f aca="false">IF($M1585=0,"",INDEX(Classes!$E$6:$E$420,$M1585))</f>
        <v/>
      </c>
      <c r="C1585" s="62" t="str">
        <f aca="false">IF($M1585=0,"",INDEX(Classes!$H$6:$H$420,$M1585))</f>
        <v/>
      </c>
      <c r="D1585" s="61" t="str">
        <f aca="false">IF($M1585=0,"",INDEX(Classes!$B$6:$B$420,$M1585))</f>
        <v/>
      </c>
      <c r="E1585" s="61" t="str">
        <f aca="false">IF($M1585=0,"",INDEX(Classes!$C$6:$C$420,$M1585))</f>
        <v/>
      </c>
      <c r="F1585" s="63"/>
      <c r="G1585" s="63"/>
      <c r="H1585" s="60"/>
      <c r="I1585" s="60"/>
      <c r="J1585" s="63"/>
      <c r="K1585" s="61" t="str">
        <f aca="false">IF($P1585=0,"",IF($F1585="Baseline","— Baseline",IF($O1585=0,"No result",IF($N1585=0,"No Start (attainment only)",IF(OR($N1585=1,$O1585=1),"U – needs rule",INDEX(MxBody,MATCH($I1585,MxCurr,0),MATCH($H1585,MxStart,0)))))))</f>
        <v/>
      </c>
      <c r="L1585" s="62" t="str">
        <f aca="false">IF(COUNTA($A1585,$F1585,$G1585,$H1585,$I1585,$J1585)=0,"",IF($M1585=0,"✖ كود الصف غير موجود",IF(ISNA(MATCH($F1585,Lists!$A$2:$A$5,0)),"✖ الفترة غير صحيحة",IF(ISNA(MATCH($G1585,Lists!$B$2:$B$7,0)),"✖ المجموعة غير صحيحة",IF(NOT(OR($H1585="",$N1585&gt;0)),"✖ Start غير صحيح",IF(NOT(OR($I1585="",$I1585="NR",$O1585&gt;0)),"✖ Current غير صحيح",IF(NOT(IF(ISNUMBER($J1585),AND($J1585&gt;=0,$J1585=INT($J1585)),FALSE())),"✖ العدد يجب أن يكون صحيحًا ≥ 0",IF(AND($F1585="Baseline",$H1585&lt;&gt;""),"⚠ Baseline: Start لا يدخل في التقدم",IF($K1585="No Start (attainment only)","ℹ تحصيل فقط (بدون Start)",IF($K1585="U – needs rule","ℹ حالة U تحتاج قاعدة معتمدة",IF($K1585="No result","ℹ بدون نتيجة (يُستبعد من التحصيل)","OK")))))))))))</f>
        <v/>
      </c>
      <c r="M1585" s="64" t="n">
        <f aca="false">IF($A1585="",0,IFERROR(MATCH($A1585,Classes!$A$6:$A$420,0),0))</f>
        <v>0</v>
      </c>
      <c r="N1585" s="64" t="n">
        <f aca="false">IF($H1585="",0,IFERROR(MATCH($H1585,GradeList,0),0))</f>
        <v>0</v>
      </c>
      <c r="O1585" s="64" t="n">
        <f aca="false">IF(OR($I1585="",$I1585="NR"),0,IFERROR(MATCH($I1585,GradeList,0),0))</f>
        <v>0</v>
      </c>
      <c r="P1585" s="64" t="n">
        <f aca="false">IF(AND($M1585&gt;0,ISNUMBER(MATCH($F1585,Lists!$A$2:$A$5,0)),ISNUMBER(MATCH($G1585,Lists!$B$2:$B$7,0)),OR($H1585="",$N1585&gt;0),OR($I1585="",$I1585="NR",$O1585&gt;0),IF(ISNUMBER($J1585),AND($J1585&gt;=0,$J1585=INT($J1585)),FALSE())),$J1585,0)</f>
        <v>0</v>
      </c>
      <c r="Q1585" s="64" t="n">
        <f aca="false">IF(AND($P1585&gt;0,$O1585&gt;0),$P1585,0)</f>
        <v>0</v>
      </c>
      <c r="R1585" s="64" t="n">
        <f aca="false">IF(AND($Q1585&gt;0,$O1585&gt;=AtRank),$Q1585,0)</f>
        <v>0</v>
      </c>
      <c r="S1585" s="64" t="n">
        <f aca="false">IF(AND($Q1585&gt;0,$O1585&gt;=AboveRank),$Q1585,0)</f>
        <v>0</v>
      </c>
      <c r="T1585" s="64" t="n">
        <f aca="false">IF($K1585="Less",$P1585,0)</f>
        <v>0</v>
      </c>
      <c r="U1585" s="64" t="n">
        <f aca="false">IF($K1585="Expected",$P1585,0)</f>
        <v>0</v>
      </c>
      <c r="V1585" s="64" t="n">
        <f aca="false">IF($K1585="Better",$P1585,0)</f>
        <v>0</v>
      </c>
      <c r="W1585" s="64" t="n">
        <f aca="false">IF($K1585="U – needs rule",$P1585,0)</f>
        <v>0</v>
      </c>
      <c r="X1585" s="64" t="n">
        <f aca="false">IF($K1585="No Start (attainment only)",$P1585,0)</f>
        <v>0</v>
      </c>
    </row>
    <row r="1586" customFormat="false" ht="15" hidden="false" customHeight="false" outlineLevel="0" collapsed="false">
      <c r="A1586" s="60"/>
      <c r="B1586" s="61" t="str">
        <f aca="false">IF($M1586=0,"",INDEX(Classes!$E$6:$E$420,$M1586))</f>
        <v/>
      </c>
      <c r="C1586" s="62" t="str">
        <f aca="false">IF($M1586=0,"",INDEX(Classes!$H$6:$H$420,$M1586))</f>
        <v/>
      </c>
      <c r="D1586" s="61" t="str">
        <f aca="false">IF($M1586=0,"",INDEX(Classes!$B$6:$B$420,$M1586))</f>
        <v/>
      </c>
      <c r="E1586" s="61" t="str">
        <f aca="false">IF($M1586=0,"",INDEX(Classes!$C$6:$C$420,$M1586))</f>
        <v/>
      </c>
      <c r="F1586" s="63"/>
      <c r="G1586" s="63"/>
      <c r="H1586" s="60"/>
      <c r="I1586" s="60"/>
      <c r="J1586" s="63"/>
      <c r="K1586" s="61" t="str">
        <f aca="false">IF($P1586=0,"",IF($F1586="Baseline","— Baseline",IF($O1586=0,"No result",IF($N1586=0,"No Start (attainment only)",IF(OR($N1586=1,$O1586=1),"U – needs rule",INDEX(MxBody,MATCH($I1586,MxCurr,0),MATCH($H1586,MxStart,0)))))))</f>
        <v/>
      </c>
      <c r="L1586" s="62" t="str">
        <f aca="false">IF(COUNTA($A1586,$F1586,$G1586,$H1586,$I1586,$J1586)=0,"",IF($M1586=0,"✖ كود الصف غير موجود",IF(ISNA(MATCH($F1586,Lists!$A$2:$A$5,0)),"✖ الفترة غير صحيحة",IF(ISNA(MATCH($G1586,Lists!$B$2:$B$7,0)),"✖ المجموعة غير صحيحة",IF(NOT(OR($H1586="",$N1586&gt;0)),"✖ Start غير صحيح",IF(NOT(OR($I1586="",$I1586="NR",$O1586&gt;0)),"✖ Current غير صحيح",IF(NOT(IF(ISNUMBER($J1586),AND($J1586&gt;=0,$J1586=INT($J1586)),FALSE())),"✖ العدد يجب أن يكون صحيحًا ≥ 0",IF(AND($F1586="Baseline",$H1586&lt;&gt;""),"⚠ Baseline: Start لا يدخل في التقدم",IF($K1586="No Start (attainment only)","ℹ تحصيل فقط (بدون Start)",IF($K1586="U – needs rule","ℹ حالة U تحتاج قاعدة معتمدة",IF($K1586="No result","ℹ بدون نتيجة (يُستبعد من التحصيل)","OK")))))))))))</f>
        <v/>
      </c>
      <c r="M1586" s="64" t="n">
        <f aca="false">IF($A1586="",0,IFERROR(MATCH($A1586,Classes!$A$6:$A$420,0),0))</f>
        <v>0</v>
      </c>
      <c r="N1586" s="64" t="n">
        <f aca="false">IF($H1586="",0,IFERROR(MATCH($H1586,GradeList,0),0))</f>
        <v>0</v>
      </c>
      <c r="O1586" s="64" t="n">
        <f aca="false">IF(OR($I1586="",$I1586="NR"),0,IFERROR(MATCH($I1586,GradeList,0),0))</f>
        <v>0</v>
      </c>
      <c r="P1586" s="64" t="n">
        <f aca="false">IF(AND($M1586&gt;0,ISNUMBER(MATCH($F1586,Lists!$A$2:$A$5,0)),ISNUMBER(MATCH($G1586,Lists!$B$2:$B$7,0)),OR($H1586="",$N1586&gt;0),OR($I1586="",$I1586="NR",$O1586&gt;0),IF(ISNUMBER($J1586),AND($J1586&gt;=0,$J1586=INT($J1586)),FALSE())),$J1586,0)</f>
        <v>0</v>
      </c>
      <c r="Q1586" s="64" t="n">
        <f aca="false">IF(AND($P1586&gt;0,$O1586&gt;0),$P1586,0)</f>
        <v>0</v>
      </c>
      <c r="R1586" s="64" t="n">
        <f aca="false">IF(AND($Q1586&gt;0,$O1586&gt;=AtRank),$Q1586,0)</f>
        <v>0</v>
      </c>
      <c r="S1586" s="64" t="n">
        <f aca="false">IF(AND($Q1586&gt;0,$O1586&gt;=AboveRank),$Q1586,0)</f>
        <v>0</v>
      </c>
      <c r="T1586" s="64" t="n">
        <f aca="false">IF($K1586="Less",$P1586,0)</f>
        <v>0</v>
      </c>
      <c r="U1586" s="64" t="n">
        <f aca="false">IF($K1586="Expected",$P1586,0)</f>
        <v>0</v>
      </c>
      <c r="V1586" s="64" t="n">
        <f aca="false">IF($K1586="Better",$P1586,0)</f>
        <v>0</v>
      </c>
      <c r="W1586" s="64" t="n">
        <f aca="false">IF($K1586="U – needs rule",$P1586,0)</f>
        <v>0</v>
      </c>
      <c r="X1586" s="64" t="n">
        <f aca="false">IF($K1586="No Start (attainment only)",$P1586,0)</f>
        <v>0</v>
      </c>
    </row>
    <row r="1587" customFormat="false" ht="15" hidden="false" customHeight="false" outlineLevel="0" collapsed="false">
      <c r="A1587" s="60"/>
      <c r="B1587" s="61" t="str">
        <f aca="false">IF($M1587=0,"",INDEX(Classes!$E$6:$E$420,$M1587))</f>
        <v/>
      </c>
      <c r="C1587" s="62" t="str">
        <f aca="false">IF($M1587=0,"",INDEX(Classes!$H$6:$H$420,$M1587))</f>
        <v/>
      </c>
      <c r="D1587" s="61" t="str">
        <f aca="false">IF($M1587=0,"",INDEX(Classes!$B$6:$B$420,$M1587))</f>
        <v/>
      </c>
      <c r="E1587" s="61" t="str">
        <f aca="false">IF($M1587=0,"",INDEX(Classes!$C$6:$C$420,$M1587))</f>
        <v/>
      </c>
      <c r="F1587" s="63"/>
      <c r="G1587" s="63"/>
      <c r="H1587" s="60"/>
      <c r="I1587" s="60"/>
      <c r="J1587" s="63"/>
      <c r="K1587" s="61" t="str">
        <f aca="false">IF($P1587=0,"",IF($F1587="Baseline","— Baseline",IF($O1587=0,"No result",IF($N1587=0,"No Start (attainment only)",IF(OR($N1587=1,$O1587=1),"U – needs rule",INDEX(MxBody,MATCH($I1587,MxCurr,0),MATCH($H1587,MxStart,0)))))))</f>
        <v/>
      </c>
      <c r="L1587" s="62" t="str">
        <f aca="false">IF(COUNTA($A1587,$F1587,$G1587,$H1587,$I1587,$J1587)=0,"",IF($M1587=0,"✖ كود الصف غير موجود",IF(ISNA(MATCH($F1587,Lists!$A$2:$A$5,0)),"✖ الفترة غير صحيحة",IF(ISNA(MATCH($G1587,Lists!$B$2:$B$7,0)),"✖ المجموعة غير صحيحة",IF(NOT(OR($H1587="",$N1587&gt;0)),"✖ Start غير صحيح",IF(NOT(OR($I1587="",$I1587="NR",$O1587&gt;0)),"✖ Current غير صحيح",IF(NOT(IF(ISNUMBER($J1587),AND($J1587&gt;=0,$J1587=INT($J1587)),FALSE())),"✖ العدد يجب أن يكون صحيحًا ≥ 0",IF(AND($F1587="Baseline",$H1587&lt;&gt;""),"⚠ Baseline: Start لا يدخل في التقدم",IF($K1587="No Start (attainment only)","ℹ تحصيل فقط (بدون Start)",IF($K1587="U – needs rule","ℹ حالة U تحتاج قاعدة معتمدة",IF($K1587="No result","ℹ بدون نتيجة (يُستبعد من التحصيل)","OK")))))))))))</f>
        <v/>
      </c>
      <c r="M1587" s="64" t="n">
        <f aca="false">IF($A1587="",0,IFERROR(MATCH($A1587,Classes!$A$6:$A$420,0),0))</f>
        <v>0</v>
      </c>
      <c r="N1587" s="64" t="n">
        <f aca="false">IF($H1587="",0,IFERROR(MATCH($H1587,GradeList,0),0))</f>
        <v>0</v>
      </c>
      <c r="O1587" s="64" t="n">
        <f aca="false">IF(OR($I1587="",$I1587="NR"),0,IFERROR(MATCH($I1587,GradeList,0),0))</f>
        <v>0</v>
      </c>
      <c r="P1587" s="64" t="n">
        <f aca="false">IF(AND($M1587&gt;0,ISNUMBER(MATCH($F1587,Lists!$A$2:$A$5,0)),ISNUMBER(MATCH($G1587,Lists!$B$2:$B$7,0)),OR($H1587="",$N1587&gt;0),OR($I1587="",$I1587="NR",$O1587&gt;0),IF(ISNUMBER($J1587),AND($J1587&gt;=0,$J1587=INT($J1587)),FALSE())),$J1587,0)</f>
        <v>0</v>
      </c>
      <c r="Q1587" s="64" t="n">
        <f aca="false">IF(AND($P1587&gt;0,$O1587&gt;0),$P1587,0)</f>
        <v>0</v>
      </c>
      <c r="R1587" s="64" t="n">
        <f aca="false">IF(AND($Q1587&gt;0,$O1587&gt;=AtRank),$Q1587,0)</f>
        <v>0</v>
      </c>
      <c r="S1587" s="64" t="n">
        <f aca="false">IF(AND($Q1587&gt;0,$O1587&gt;=AboveRank),$Q1587,0)</f>
        <v>0</v>
      </c>
      <c r="T1587" s="64" t="n">
        <f aca="false">IF($K1587="Less",$P1587,0)</f>
        <v>0</v>
      </c>
      <c r="U1587" s="64" t="n">
        <f aca="false">IF($K1587="Expected",$P1587,0)</f>
        <v>0</v>
      </c>
      <c r="V1587" s="64" t="n">
        <f aca="false">IF($K1587="Better",$P1587,0)</f>
        <v>0</v>
      </c>
      <c r="W1587" s="64" t="n">
        <f aca="false">IF($K1587="U – needs rule",$P1587,0)</f>
        <v>0</v>
      </c>
      <c r="X1587" s="64" t="n">
        <f aca="false">IF($K1587="No Start (attainment only)",$P1587,0)</f>
        <v>0</v>
      </c>
    </row>
    <row r="1588" customFormat="false" ht="15" hidden="false" customHeight="false" outlineLevel="0" collapsed="false">
      <c r="A1588" s="60"/>
      <c r="B1588" s="61" t="str">
        <f aca="false">IF($M1588=0,"",INDEX(Classes!$E$6:$E$420,$M1588))</f>
        <v/>
      </c>
      <c r="C1588" s="62" t="str">
        <f aca="false">IF($M1588=0,"",INDEX(Classes!$H$6:$H$420,$M1588))</f>
        <v/>
      </c>
      <c r="D1588" s="61" t="str">
        <f aca="false">IF($M1588=0,"",INDEX(Classes!$B$6:$B$420,$M1588))</f>
        <v/>
      </c>
      <c r="E1588" s="61" t="str">
        <f aca="false">IF($M1588=0,"",INDEX(Classes!$C$6:$C$420,$M1588))</f>
        <v/>
      </c>
      <c r="F1588" s="63"/>
      <c r="G1588" s="63"/>
      <c r="H1588" s="60"/>
      <c r="I1588" s="60"/>
      <c r="J1588" s="63"/>
      <c r="K1588" s="61" t="str">
        <f aca="false">IF($P1588=0,"",IF($F1588="Baseline","— Baseline",IF($O1588=0,"No result",IF($N1588=0,"No Start (attainment only)",IF(OR($N1588=1,$O1588=1),"U – needs rule",INDEX(MxBody,MATCH($I1588,MxCurr,0),MATCH($H1588,MxStart,0)))))))</f>
        <v/>
      </c>
      <c r="L1588" s="62" t="str">
        <f aca="false">IF(COUNTA($A1588,$F1588,$G1588,$H1588,$I1588,$J1588)=0,"",IF($M1588=0,"✖ كود الصف غير موجود",IF(ISNA(MATCH($F1588,Lists!$A$2:$A$5,0)),"✖ الفترة غير صحيحة",IF(ISNA(MATCH($G1588,Lists!$B$2:$B$7,0)),"✖ المجموعة غير صحيحة",IF(NOT(OR($H1588="",$N1588&gt;0)),"✖ Start غير صحيح",IF(NOT(OR($I1588="",$I1588="NR",$O1588&gt;0)),"✖ Current غير صحيح",IF(NOT(IF(ISNUMBER($J1588),AND($J1588&gt;=0,$J1588=INT($J1588)),FALSE())),"✖ العدد يجب أن يكون صحيحًا ≥ 0",IF(AND($F1588="Baseline",$H1588&lt;&gt;""),"⚠ Baseline: Start لا يدخل في التقدم",IF($K1588="No Start (attainment only)","ℹ تحصيل فقط (بدون Start)",IF($K1588="U – needs rule","ℹ حالة U تحتاج قاعدة معتمدة",IF($K1588="No result","ℹ بدون نتيجة (يُستبعد من التحصيل)","OK")))))))))))</f>
        <v/>
      </c>
      <c r="M1588" s="64" t="n">
        <f aca="false">IF($A1588="",0,IFERROR(MATCH($A1588,Classes!$A$6:$A$420,0),0))</f>
        <v>0</v>
      </c>
      <c r="N1588" s="64" t="n">
        <f aca="false">IF($H1588="",0,IFERROR(MATCH($H1588,GradeList,0),0))</f>
        <v>0</v>
      </c>
      <c r="O1588" s="64" t="n">
        <f aca="false">IF(OR($I1588="",$I1588="NR"),0,IFERROR(MATCH($I1588,GradeList,0),0))</f>
        <v>0</v>
      </c>
      <c r="P1588" s="64" t="n">
        <f aca="false">IF(AND($M1588&gt;0,ISNUMBER(MATCH($F1588,Lists!$A$2:$A$5,0)),ISNUMBER(MATCH($G1588,Lists!$B$2:$B$7,0)),OR($H1588="",$N1588&gt;0),OR($I1588="",$I1588="NR",$O1588&gt;0),IF(ISNUMBER($J1588),AND($J1588&gt;=0,$J1588=INT($J1588)),FALSE())),$J1588,0)</f>
        <v>0</v>
      </c>
      <c r="Q1588" s="64" t="n">
        <f aca="false">IF(AND($P1588&gt;0,$O1588&gt;0),$P1588,0)</f>
        <v>0</v>
      </c>
      <c r="R1588" s="64" t="n">
        <f aca="false">IF(AND($Q1588&gt;0,$O1588&gt;=AtRank),$Q1588,0)</f>
        <v>0</v>
      </c>
      <c r="S1588" s="64" t="n">
        <f aca="false">IF(AND($Q1588&gt;0,$O1588&gt;=AboveRank),$Q1588,0)</f>
        <v>0</v>
      </c>
      <c r="T1588" s="64" t="n">
        <f aca="false">IF($K1588="Less",$P1588,0)</f>
        <v>0</v>
      </c>
      <c r="U1588" s="64" t="n">
        <f aca="false">IF($K1588="Expected",$P1588,0)</f>
        <v>0</v>
      </c>
      <c r="V1588" s="64" t="n">
        <f aca="false">IF($K1588="Better",$P1588,0)</f>
        <v>0</v>
      </c>
      <c r="W1588" s="64" t="n">
        <f aca="false">IF($K1588="U – needs rule",$P1588,0)</f>
        <v>0</v>
      </c>
      <c r="X1588" s="64" t="n">
        <f aca="false">IF($K1588="No Start (attainment only)",$P1588,0)</f>
        <v>0</v>
      </c>
    </row>
    <row r="1589" customFormat="false" ht="15" hidden="false" customHeight="false" outlineLevel="0" collapsed="false">
      <c r="A1589" s="60"/>
      <c r="B1589" s="61" t="str">
        <f aca="false">IF($M1589=0,"",INDEX(Classes!$E$6:$E$420,$M1589))</f>
        <v/>
      </c>
      <c r="C1589" s="62" t="str">
        <f aca="false">IF($M1589=0,"",INDEX(Classes!$H$6:$H$420,$M1589))</f>
        <v/>
      </c>
      <c r="D1589" s="61" t="str">
        <f aca="false">IF($M1589=0,"",INDEX(Classes!$B$6:$B$420,$M1589))</f>
        <v/>
      </c>
      <c r="E1589" s="61" t="str">
        <f aca="false">IF($M1589=0,"",INDEX(Classes!$C$6:$C$420,$M1589))</f>
        <v/>
      </c>
      <c r="F1589" s="63"/>
      <c r="G1589" s="63"/>
      <c r="H1589" s="60"/>
      <c r="I1589" s="60"/>
      <c r="J1589" s="63"/>
      <c r="K1589" s="61" t="str">
        <f aca="false">IF($P1589=0,"",IF($F1589="Baseline","— Baseline",IF($O1589=0,"No result",IF($N1589=0,"No Start (attainment only)",IF(OR($N1589=1,$O1589=1),"U – needs rule",INDEX(MxBody,MATCH($I1589,MxCurr,0),MATCH($H1589,MxStart,0)))))))</f>
        <v/>
      </c>
      <c r="L1589" s="62" t="str">
        <f aca="false">IF(COUNTA($A1589,$F1589,$G1589,$H1589,$I1589,$J1589)=0,"",IF($M1589=0,"✖ كود الصف غير موجود",IF(ISNA(MATCH($F1589,Lists!$A$2:$A$5,0)),"✖ الفترة غير صحيحة",IF(ISNA(MATCH($G1589,Lists!$B$2:$B$7,0)),"✖ المجموعة غير صحيحة",IF(NOT(OR($H1589="",$N1589&gt;0)),"✖ Start غير صحيح",IF(NOT(OR($I1589="",$I1589="NR",$O1589&gt;0)),"✖ Current غير صحيح",IF(NOT(IF(ISNUMBER($J1589),AND($J1589&gt;=0,$J1589=INT($J1589)),FALSE())),"✖ العدد يجب أن يكون صحيحًا ≥ 0",IF(AND($F1589="Baseline",$H1589&lt;&gt;""),"⚠ Baseline: Start لا يدخل في التقدم",IF($K1589="No Start (attainment only)","ℹ تحصيل فقط (بدون Start)",IF($K1589="U – needs rule","ℹ حالة U تحتاج قاعدة معتمدة",IF($K1589="No result","ℹ بدون نتيجة (يُستبعد من التحصيل)","OK")))))))))))</f>
        <v/>
      </c>
      <c r="M1589" s="64" t="n">
        <f aca="false">IF($A1589="",0,IFERROR(MATCH($A1589,Classes!$A$6:$A$420,0),0))</f>
        <v>0</v>
      </c>
      <c r="N1589" s="64" t="n">
        <f aca="false">IF($H1589="",0,IFERROR(MATCH($H1589,GradeList,0),0))</f>
        <v>0</v>
      </c>
      <c r="O1589" s="64" t="n">
        <f aca="false">IF(OR($I1589="",$I1589="NR"),0,IFERROR(MATCH($I1589,GradeList,0),0))</f>
        <v>0</v>
      </c>
      <c r="P1589" s="64" t="n">
        <f aca="false">IF(AND($M1589&gt;0,ISNUMBER(MATCH($F1589,Lists!$A$2:$A$5,0)),ISNUMBER(MATCH($G1589,Lists!$B$2:$B$7,0)),OR($H1589="",$N1589&gt;0),OR($I1589="",$I1589="NR",$O1589&gt;0),IF(ISNUMBER($J1589),AND($J1589&gt;=0,$J1589=INT($J1589)),FALSE())),$J1589,0)</f>
        <v>0</v>
      </c>
      <c r="Q1589" s="64" t="n">
        <f aca="false">IF(AND($P1589&gt;0,$O1589&gt;0),$P1589,0)</f>
        <v>0</v>
      </c>
      <c r="R1589" s="64" t="n">
        <f aca="false">IF(AND($Q1589&gt;0,$O1589&gt;=AtRank),$Q1589,0)</f>
        <v>0</v>
      </c>
      <c r="S1589" s="64" t="n">
        <f aca="false">IF(AND($Q1589&gt;0,$O1589&gt;=AboveRank),$Q1589,0)</f>
        <v>0</v>
      </c>
      <c r="T1589" s="64" t="n">
        <f aca="false">IF($K1589="Less",$P1589,0)</f>
        <v>0</v>
      </c>
      <c r="U1589" s="64" t="n">
        <f aca="false">IF($K1589="Expected",$P1589,0)</f>
        <v>0</v>
      </c>
      <c r="V1589" s="64" t="n">
        <f aca="false">IF($K1589="Better",$P1589,0)</f>
        <v>0</v>
      </c>
      <c r="W1589" s="64" t="n">
        <f aca="false">IF($K1589="U – needs rule",$P1589,0)</f>
        <v>0</v>
      </c>
      <c r="X1589" s="64" t="n">
        <f aca="false">IF($K1589="No Start (attainment only)",$P1589,0)</f>
        <v>0</v>
      </c>
    </row>
    <row r="1590" customFormat="false" ht="15" hidden="false" customHeight="false" outlineLevel="0" collapsed="false">
      <c r="A1590" s="60"/>
      <c r="B1590" s="61" t="str">
        <f aca="false">IF($M1590=0,"",INDEX(Classes!$E$6:$E$420,$M1590))</f>
        <v/>
      </c>
      <c r="C1590" s="62" t="str">
        <f aca="false">IF($M1590=0,"",INDEX(Classes!$H$6:$H$420,$M1590))</f>
        <v/>
      </c>
      <c r="D1590" s="61" t="str">
        <f aca="false">IF($M1590=0,"",INDEX(Classes!$B$6:$B$420,$M1590))</f>
        <v/>
      </c>
      <c r="E1590" s="61" t="str">
        <f aca="false">IF($M1590=0,"",INDEX(Classes!$C$6:$C$420,$M1590))</f>
        <v/>
      </c>
      <c r="F1590" s="63"/>
      <c r="G1590" s="63"/>
      <c r="H1590" s="60"/>
      <c r="I1590" s="60"/>
      <c r="J1590" s="63"/>
      <c r="K1590" s="61" t="str">
        <f aca="false">IF($P1590=0,"",IF($F1590="Baseline","— Baseline",IF($O1590=0,"No result",IF($N1590=0,"No Start (attainment only)",IF(OR($N1590=1,$O1590=1),"U – needs rule",INDEX(MxBody,MATCH($I1590,MxCurr,0),MATCH($H1590,MxStart,0)))))))</f>
        <v/>
      </c>
      <c r="L1590" s="62" t="str">
        <f aca="false">IF(COUNTA($A1590,$F1590,$G1590,$H1590,$I1590,$J1590)=0,"",IF($M1590=0,"✖ كود الصف غير موجود",IF(ISNA(MATCH($F1590,Lists!$A$2:$A$5,0)),"✖ الفترة غير صحيحة",IF(ISNA(MATCH($G1590,Lists!$B$2:$B$7,0)),"✖ المجموعة غير صحيحة",IF(NOT(OR($H1590="",$N1590&gt;0)),"✖ Start غير صحيح",IF(NOT(OR($I1590="",$I1590="NR",$O1590&gt;0)),"✖ Current غير صحيح",IF(NOT(IF(ISNUMBER($J1590),AND($J1590&gt;=0,$J1590=INT($J1590)),FALSE())),"✖ العدد يجب أن يكون صحيحًا ≥ 0",IF(AND($F1590="Baseline",$H1590&lt;&gt;""),"⚠ Baseline: Start لا يدخل في التقدم",IF($K1590="No Start (attainment only)","ℹ تحصيل فقط (بدون Start)",IF($K1590="U – needs rule","ℹ حالة U تحتاج قاعدة معتمدة",IF($K1590="No result","ℹ بدون نتيجة (يُستبعد من التحصيل)","OK")))))))))))</f>
        <v/>
      </c>
      <c r="M1590" s="64" t="n">
        <f aca="false">IF($A1590="",0,IFERROR(MATCH($A1590,Classes!$A$6:$A$420,0),0))</f>
        <v>0</v>
      </c>
      <c r="N1590" s="64" t="n">
        <f aca="false">IF($H1590="",0,IFERROR(MATCH($H1590,GradeList,0),0))</f>
        <v>0</v>
      </c>
      <c r="O1590" s="64" t="n">
        <f aca="false">IF(OR($I1590="",$I1590="NR"),0,IFERROR(MATCH($I1590,GradeList,0),0))</f>
        <v>0</v>
      </c>
      <c r="P1590" s="64" t="n">
        <f aca="false">IF(AND($M1590&gt;0,ISNUMBER(MATCH($F1590,Lists!$A$2:$A$5,0)),ISNUMBER(MATCH($G1590,Lists!$B$2:$B$7,0)),OR($H1590="",$N1590&gt;0),OR($I1590="",$I1590="NR",$O1590&gt;0),IF(ISNUMBER($J1590),AND($J1590&gt;=0,$J1590=INT($J1590)),FALSE())),$J1590,0)</f>
        <v>0</v>
      </c>
      <c r="Q1590" s="64" t="n">
        <f aca="false">IF(AND($P1590&gt;0,$O1590&gt;0),$P1590,0)</f>
        <v>0</v>
      </c>
      <c r="R1590" s="64" t="n">
        <f aca="false">IF(AND($Q1590&gt;0,$O1590&gt;=AtRank),$Q1590,0)</f>
        <v>0</v>
      </c>
      <c r="S1590" s="64" t="n">
        <f aca="false">IF(AND($Q1590&gt;0,$O1590&gt;=AboveRank),$Q1590,0)</f>
        <v>0</v>
      </c>
      <c r="T1590" s="64" t="n">
        <f aca="false">IF($K1590="Less",$P1590,0)</f>
        <v>0</v>
      </c>
      <c r="U1590" s="64" t="n">
        <f aca="false">IF($K1590="Expected",$P1590,0)</f>
        <v>0</v>
      </c>
      <c r="V1590" s="64" t="n">
        <f aca="false">IF($K1590="Better",$P1590,0)</f>
        <v>0</v>
      </c>
      <c r="W1590" s="64" t="n">
        <f aca="false">IF($K1590="U – needs rule",$P1590,0)</f>
        <v>0</v>
      </c>
      <c r="X1590" s="64" t="n">
        <f aca="false">IF($K1590="No Start (attainment only)",$P1590,0)</f>
        <v>0</v>
      </c>
    </row>
    <row r="1591" customFormat="false" ht="15" hidden="false" customHeight="false" outlineLevel="0" collapsed="false">
      <c r="A1591" s="60"/>
      <c r="B1591" s="61" t="str">
        <f aca="false">IF($M1591=0,"",INDEX(Classes!$E$6:$E$420,$M1591))</f>
        <v/>
      </c>
      <c r="C1591" s="62" t="str">
        <f aca="false">IF($M1591=0,"",INDEX(Classes!$H$6:$H$420,$M1591))</f>
        <v/>
      </c>
      <c r="D1591" s="61" t="str">
        <f aca="false">IF($M1591=0,"",INDEX(Classes!$B$6:$B$420,$M1591))</f>
        <v/>
      </c>
      <c r="E1591" s="61" t="str">
        <f aca="false">IF($M1591=0,"",INDEX(Classes!$C$6:$C$420,$M1591))</f>
        <v/>
      </c>
      <c r="F1591" s="63"/>
      <c r="G1591" s="63"/>
      <c r="H1591" s="60"/>
      <c r="I1591" s="60"/>
      <c r="J1591" s="63"/>
      <c r="K1591" s="61" t="str">
        <f aca="false">IF($P1591=0,"",IF($F1591="Baseline","— Baseline",IF($O1591=0,"No result",IF($N1591=0,"No Start (attainment only)",IF(OR($N1591=1,$O1591=1),"U – needs rule",INDEX(MxBody,MATCH($I1591,MxCurr,0),MATCH($H1591,MxStart,0)))))))</f>
        <v/>
      </c>
      <c r="L1591" s="62" t="str">
        <f aca="false">IF(COUNTA($A1591,$F1591,$G1591,$H1591,$I1591,$J1591)=0,"",IF($M1591=0,"✖ كود الصف غير موجود",IF(ISNA(MATCH($F1591,Lists!$A$2:$A$5,0)),"✖ الفترة غير صحيحة",IF(ISNA(MATCH($G1591,Lists!$B$2:$B$7,0)),"✖ المجموعة غير صحيحة",IF(NOT(OR($H1591="",$N1591&gt;0)),"✖ Start غير صحيح",IF(NOT(OR($I1591="",$I1591="NR",$O1591&gt;0)),"✖ Current غير صحيح",IF(NOT(IF(ISNUMBER($J1591),AND($J1591&gt;=0,$J1591=INT($J1591)),FALSE())),"✖ العدد يجب أن يكون صحيحًا ≥ 0",IF(AND($F1591="Baseline",$H1591&lt;&gt;""),"⚠ Baseline: Start لا يدخل في التقدم",IF($K1591="No Start (attainment only)","ℹ تحصيل فقط (بدون Start)",IF($K1591="U – needs rule","ℹ حالة U تحتاج قاعدة معتمدة",IF($K1591="No result","ℹ بدون نتيجة (يُستبعد من التحصيل)","OK")))))))))))</f>
        <v/>
      </c>
      <c r="M1591" s="64" t="n">
        <f aca="false">IF($A1591="",0,IFERROR(MATCH($A1591,Classes!$A$6:$A$420,0),0))</f>
        <v>0</v>
      </c>
      <c r="N1591" s="64" t="n">
        <f aca="false">IF($H1591="",0,IFERROR(MATCH($H1591,GradeList,0),0))</f>
        <v>0</v>
      </c>
      <c r="O1591" s="64" t="n">
        <f aca="false">IF(OR($I1591="",$I1591="NR"),0,IFERROR(MATCH($I1591,GradeList,0),0))</f>
        <v>0</v>
      </c>
      <c r="P1591" s="64" t="n">
        <f aca="false">IF(AND($M1591&gt;0,ISNUMBER(MATCH($F1591,Lists!$A$2:$A$5,0)),ISNUMBER(MATCH($G1591,Lists!$B$2:$B$7,0)),OR($H1591="",$N1591&gt;0),OR($I1591="",$I1591="NR",$O1591&gt;0),IF(ISNUMBER($J1591),AND($J1591&gt;=0,$J1591=INT($J1591)),FALSE())),$J1591,0)</f>
        <v>0</v>
      </c>
      <c r="Q1591" s="64" t="n">
        <f aca="false">IF(AND($P1591&gt;0,$O1591&gt;0),$P1591,0)</f>
        <v>0</v>
      </c>
      <c r="R1591" s="64" t="n">
        <f aca="false">IF(AND($Q1591&gt;0,$O1591&gt;=AtRank),$Q1591,0)</f>
        <v>0</v>
      </c>
      <c r="S1591" s="64" t="n">
        <f aca="false">IF(AND($Q1591&gt;0,$O1591&gt;=AboveRank),$Q1591,0)</f>
        <v>0</v>
      </c>
      <c r="T1591" s="64" t="n">
        <f aca="false">IF($K1591="Less",$P1591,0)</f>
        <v>0</v>
      </c>
      <c r="U1591" s="64" t="n">
        <f aca="false">IF($K1591="Expected",$P1591,0)</f>
        <v>0</v>
      </c>
      <c r="V1591" s="64" t="n">
        <f aca="false">IF($K1591="Better",$P1591,0)</f>
        <v>0</v>
      </c>
      <c r="W1591" s="64" t="n">
        <f aca="false">IF($K1591="U – needs rule",$P1591,0)</f>
        <v>0</v>
      </c>
      <c r="X1591" s="64" t="n">
        <f aca="false">IF($K1591="No Start (attainment only)",$P1591,0)</f>
        <v>0</v>
      </c>
    </row>
    <row r="1592" customFormat="false" ht="15" hidden="false" customHeight="false" outlineLevel="0" collapsed="false">
      <c r="A1592" s="60"/>
      <c r="B1592" s="61" t="str">
        <f aca="false">IF($M1592=0,"",INDEX(Classes!$E$6:$E$420,$M1592))</f>
        <v/>
      </c>
      <c r="C1592" s="62" t="str">
        <f aca="false">IF($M1592=0,"",INDEX(Classes!$H$6:$H$420,$M1592))</f>
        <v/>
      </c>
      <c r="D1592" s="61" t="str">
        <f aca="false">IF($M1592=0,"",INDEX(Classes!$B$6:$B$420,$M1592))</f>
        <v/>
      </c>
      <c r="E1592" s="61" t="str">
        <f aca="false">IF($M1592=0,"",INDEX(Classes!$C$6:$C$420,$M1592))</f>
        <v/>
      </c>
      <c r="F1592" s="63"/>
      <c r="G1592" s="63"/>
      <c r="H1592" s="60"/>
      <c r="I1592" s="60"/>
      <c r="J1592" s="63"/>
      <c r="K1592" s="61" t="str">
        <f aca="false">IF($P1592=0,"",IF($F1592="Baseline","— Baseline",IF($O1592=0,"No result",IF($N1592=0,"No Start (attainment only)",IF(OR($N1592=1,$O1592=1),"U – needs rule",INDEX(MxBody,MATCH($I1592,MxCurr,0),MATCH($H1592,MxStart,0)))))))</f>
        <v/>
      </c>
      <c r="L1592" s="62" t="str">
        <f aca="false">IF(COUNTA($A1592,$F1592,$G1592,$H1592,$I1592,$J1592)=0,"",IF($M1592=0,"✖ كود الصف غير موجود",IF(ISNA(MATCH($F1592,Lists!$A$2:$A$5,0)),"✖ الفترة غير صحيحة",IF(ISNA(MATCH($G1592,Lists!$B$2:$B$7,0)),"✖ المجموعة غير صحيحة",IF(NOT(OR($H1592="",$N1592&gt;0)),"✖ Start غير صحيح",IF(NOT(OR($I1592="",$I1592="NR",$O1592&gt;0)),"✖ Current غير صحيح",IF(NOT(IF(ISNUMBER($J1592),AND($J1592&gt;=0,$J1592=INT($J1592)),FALSE())),"✖ العدد يجب أن يكون صحيحًا ≥ 0",IF(AND($F1592="Baseline",$H1592&lt;&gt;""),"⚠ Baseline: Start لا يدخل في التقدم",IF($K1592="No Start (attainment only)","ℹ تحصيل فقط (بدون Start)",IF($K1592="U – needs rule","ℹ حالة U تحتاج قاعدة معتمدة",IF($K1592="No result","ℹ بدون نتيجة (يُستبعد من التحصيل)","OK")))))))))))</f>
        <v/>
      </c>
      <c r="M1592" s="64" t="n">
        <f aca="false">IF($A1592="",0,IFERROR(MATCH($A1592,Classes!$A$6:$A$420,0),0))</f>
        <v>0</v>
      </c>
      <c r="N1592" s="64" t="n">
        <f aca="false">IF($H1592="",0,IFERROR(MATCH($H1592,GradeList,0),0))</f>
        <v>0</v>
      </c>
      <c r="O1592" s="64" t="n">
        <f aca="false">IF(OR($I1592="",$I1592="NR"),0,IFERROR(MATCH($I1592,GradeList,0),0))</f>
        <v>0</v>
      </c>
      <c r="P1592" s="64" t="n">
        <f aca="false">IF(AND($M1592&gt;0,ISNUMBER(MATCH($F1592,Lists!$A$2:$A$5,0)),ISNUMBER(MATCH($G1592,Lists!$B$2:$B$7,0)),OR($H1592="",$N1592&gt;0),OR($I1592="",$I1592="NR",$O1592&gt;0),IF(ISNUMBER($J1592),AND($J1592&gt;=0,$J1592=INT($J1592)),FALSE())),$J1592,0)</f>
        <v>0</v>
      </c>
      <c r="Q1592" s="64" t="n">
        <f aca="false">IF(AND($P1592&gt;0,$O1592&gt;0),$P1592,0)</f>
        <v>0</v>
      </c>
      <c r="R1592" s="64" t="n">
        <f aca="false">IF(AND($Q1592&gt;0,$O1592&gt;=AtRank),$Q1592,0)</f>
        <v>0</v>
      </c>
      <c r="S1592" s="64" t="n">
        <f aca="false">IF(AND($Q1592&gt;0,$O1592&gt;=AboveRank),$Q1592,0)</f>
        <v>0</v>
      </c>
      <c r="T1592" s="64" t="n">
        <f aca="false">IF($K1592="Less",$P1592,0)</f>
        <v>0</v>
      </c>
      <c r="U1592" s="64" t="n">
        <f aca="false">IF($K1592="Expected",$P1592,0)</f>
        <v>0</v>
      </c>
      <c r="V1592" s="64" t="n">
        <f aca="false">IF($K1592="Better",$P1592,0)</f>
        <v>0</v>
      </c>
      <c r="W1592" s="64" t="n">
        <f aca="false">IF($K1592="U – needs rule",$P1592,0)</f>
        <v>0</v>
      </c>
      <c r="X1592" s="64" t="n">
        <f aca="false">IF($K1592="No Start (attainment only)",$P1592,0)</f>
        <v>0</v>
      </c>
    </row>
    <row r="1593" customFormat="false" ht="15" hidden="false" customHeight="false" outlineLevel="0" collapsed="false">
      <c r="A1593" s="60"/>
      <c r="B1593" s="61" t="str">
        <f aca="false">IF($M1593=0,"",INDEX(Classes!$E$6:$E$420,$M1593))</f>
        <v/>
      </c>
      <c r="C1593" s="62" t="str">
        <f aca="false">IF($M1593=0,"",INDEX(Classes!$H$6:$H$420,$M1593))</f>
        <v/>
      </c>
      <c r="D1593" s="61" t="str">
        <f aca="false">IF($M1593=0,"",INDEX(Classes!$B$6:$B$420,$M1593))</f>
        <v/>
      </c>
      <c r="E1593" s="61" t="str">
        <f aca="false">IF($M1593=0,"",INDEX(Classes!$C$6:$C$420,$M1593))</f>
        <v/>
      </c>
      <c r="F1593" s="63"/>
      <c r="G1593" s="63"/>
      <c r="H1593" s="60"/>
      <c r="I1593" s="60"/>
      <c r="J1593" s="63"/>
      <c r="K1593" s="61" t="str">
        <f aca="false">IF($P1593=0,"",IF($F1593="Baseline","— Baseline",IF($O1593=0,"No result",IF($N1593=0,"No Start (attainment only)",IF(OR($N1593=1,$O1593=1),"U – needs rule",INDEX(MxBody,MATCH($I1593,MxCurr,0),MATCH($H1593,MxStart,0)))))))</f>
        <v/>
      </c>
      <c r="L1593" s="62" t="str">
        <f aca="false">IF(COUNTA($A1593,$F1593,$G1593,$H1593,$I1593,$J1593)=0,"",IF($M1593=0,"✖ كود الصف غير موجود",IF(ISNA(MATCH($F1593,Lists!$A$2:$A$5,0)),"✖ الفترة غير صحيحة",IF(ISNA(MATCH($G1593,Lists!$B$2:$B$7,0)),"✖ المجموعة غير صحيحة",IF(NOT(OR($H1593="",$N1593&gt;0)),"✖ Start غير صحيح",IF(NOT(OR($I1593="",$I1593="NR",$O1593&gt;0)),"✖ Current غير صحيح",IF(NOT(IF(ISNUMBER($J1593),AND($J1593&gt;=0,$J1593=INT($J1593)),FALSE())),"✖ العدد يجب أن يكون صحيحًا ≥ 0",IF(AND($F1593="Baseline",$H1593&lt;&gt;""),"⚠ Baseline: Start لا يدخل في التقدم",IF($K1593="No Start (attainment only)","ℹ تحصيل فقط (بدون Start)",IF($K1593="U – needs rule","ℹ حالة U تحتاج قاعدة معتمدة",IF($K1593="No result","ℹ بدون نتيجة (يُستبعد من التحصيل)","OK")))))))))))</f>
        <v/>
      </c>
      <c r="M1593" s="64" t="n">
        <f aca="false">IF($A1593="",0,IFERROR(MATCH($A1593,Classes!$A$6:$A$420,0),0))</f>
        <v>0</v>
      </c>
      <c r="N1593" s="64" t="n">
        <f aca="false">IF($H1593="",0,IFERROR(MATCH($H1593,GradeList,0),0))</f>
        <v>0</v>
      </c>
      <c r="O1593" s="64" t="n">
        <f aca="false">IF(OR($I1593="",$I1593="NR"),0,IFERROR(MATCH($I1593,GradeList,0),0))</f>
        <v>0</v>
      </c>
      <c r="P1593" s="64" t="n">
        <f aca="false">IF(AND($M1593&gt;0,ISNUMBER(MATCH($F1593,Lists!$A$2:$A$5,0)),ISNUMBER(MATCH($G1593,Lists!$B$2:$B$7,0)),OR($H1593="",$N1593&gt;0),OR($I1593="",$I1593="NR",$O1593&gt;0),IF(ISNUMBER($J1593),AND($J1593&gt;=0,$J1593=INT($J1593)),FALSE())),$J1593,0)</f>
        <v>0</v>
      </c>
      <c r="Q1593" s="64" t="n">
        <f aca="false">IF(AND($P1593&gt;0,$O1593&gt;0),$P1593,0)</f>
        <v>0</v>
      </c>
      <c r="R1593" s="64" t="n">
        <f aca="false">IF(AND($Q1593&gt;0,$O1593&gt;=AtRank),$Q1593,0)</f>
        <v>0</v>
      </c>
      <c r="S1593" s="64" t="n">
        <f aca="false">IF(AND($Q1593&gt;0,$O1593&gt;=AboveRank),$Q1593,0)</f>
        <v>0</v>
      </c>
      <c r="T1593" s="64" t="n">
        <f aca="false">IF($K1593="Less",$P1593,0)</f>
        <v>0</v>
      </c>
      <c r="U1593" s="64" t="n">
        <f aca="false">IF($K1593="Expected",$P1593,0)</f>
        <v>0</v>
      </c>
      <c r="V1593" s="64" t="n">
        <f aca="false">IF($K1593="Better",$P1593,0)</f>
        <v>0</v>
      </c>
      <c r="W1593" s="64" t="n">
        <f aca="false">IF($K1593="U – needs rule",$P1593,0)</f>
        <v>0</v>
      </c>
      <c r="X1593" s="64" t="n">
        <f aca="false">IF($K1593="No Start (attainment only)",$P1593,0)</f>
        <v>0</v>
      </c>
    </row>
    <row r="1594" customFormat="false" ht="15" hidden="false" customHeight="false" outlineLevel="0" collapsed="false">
      <c r="A1594" s="60"/>
      <c r="B1594" s="61" t="str">
        <f aca="false">IF($M1594=0,"",INDEX(Classes!$E$6:$E$420,$M1594))</f>
        <v/>
      </c>
      <c r="C1594" s="62" t="str">
        <f aca="false">IF($M1594=0,"",INDEX(Classes!$H$6:$H$420,$M1594))</f>
        <v/>
      </c>
      <c r="D1594" s="61" t="str">
        <f aca="false">IF($M1594=0,"",INDEX(Classes!$B$6:$B$420,$M1594))</f>
        <v/>
      </c>
      <c r="E1594" s="61" t="str">
        <f aca="false">IF($M1594=0,"",INDEX(Classes!$C$6:$C$420,$M1594))</f>
        <v/>
      </c>
      <c r="F1594" s="63"/>
      <c r="G1594" s="63"/>
      <c r="H1594" s="60"/>
      <c r="I1594" s="60"/>
      <c r="J1594" s="63"/>
      <c r="K1594" s="61" t="str">
        <f aca="false">IF($P1594=0,"",IF($F1594="Baseline","— Baseline",IF($O1594=0,"No result",IF($N1594=0,"No Start (attainment only)",IF(OR($N1594=1,$O1594=1),"U – needs rule",INDEX(MxBody,MATCH($I1594,MxCurr,0),MATCH($H1594,MxStart,0)))))))</f>
        <v/>
      </c>
      <c r="L1594" s="62" t="str">
        <f aca="false">IF(COUNTA($A1594,$F1594,$G1594,$H1594,$I1594,$J1594)=0,"",IF($M1594=0,"✖ كود الصف غير موجود",IF(ISNA(MATCH($F1594,Lists!$A$2:$A$5,0)),"✖ الفترة غير صحيحة",IF(ISNA(MATCH($G1594,Lists!$B$2:$B$7,0)),"✖ المجموعة غير صحيحة",IF(NOT(OR($H1594="",$N1594&gt;0)),"✖ Start غير صحيح",IF(NOT(OR($I1594="",$I1594="NR",$O1594&gt;0)),"✖ Current غير صحيح",IF(NOT(IF(ISNUMBER($J1594),AND($J1594&gt;=0,$J1594=INT($J1594)),FALSE())),"✖ العدد يجب أن يكون صحيحًا ≥ 0",IF(AND($F1594="Baseline",$H1594&lt;&gt;""),"⚠ Baseline: Start لا يدخل في التقدم",IF($K1594="No Start (attainment only)","ℹ تحصيل فقط (بدون Start)",IF($K1594="U – needs rule","ℹ حالة U تحتاج قاعدة معتمدة",IF($K1594="No result","ℹ بدون نتيجة (يُستبعد من التحصيل)","OK")))))))))))</f>
        <v/>
      </c>
      <c r="M1594" s="64" t="n">
        <f aca="false">IF($A1594="",0,IFERROR(MATCH($A1594,Classes!$A$6:$A$420,0),0))</f>
        <v>0</v>
      </c>
      <c r="N1594" s="64" t="n">
        <f aca="false">IF($H1594="",0,IFERROR(MATCH($H1594,GradeList,0),0))</f>
        <v>0</v>
      </c>
      <c r="O1594" s="64" t="n">
        <f aca="false">IF(OR($I1594="",$I1594="NR"),0,IFERROR(MATCH($I1594,GradeList,0),0))</f>
        <v>0</v>
      </c>
      <c r="P1594" s="64" t="n">
        <f aca="false">IF(AND($M1594&gt;0,ISNUMBER(MATCH($F1594,Lists!$A$2:$A$5,0)),ISNUMBER(MATCH($G1594,Lists!$B$2:$B$7,0)),OR($H1594="",$N1594&gt;0),OR($I1594="",$I1594="NR",$O1594&gt;0),IF(ISNUMBER($J1594),AND($J1594&gt;=0,$J1594=INT($J1594)),FALSE())),$J1594,0)</f>
        <v>0</v>
      </c>
      <c r="Q1594" s="64" t="n">
        <f aca="false">IF(AND($P1594&gt;0,$O1594&gt;0),$P1594,0)</f>
        <v>0</v>
      </c>
      <c r="R1594" s="64" t="n">
        <f aca="false">IF(AND($Q1594&gt;0,$O1594&gt;=AtRank),$Q1594,0)</f>
        <v>0</v>
      </c>
      <c r="S1594" s="64" t="n">
        <f aca="false">IF(AND($Q1594&gt;0,$O1594&gt;=AboveRank),$Q1594,0)</f>
        <v>0</v>
      </c>
      <c r="T1594" s="64" t="n">
        <f aca="false">IF($K1594="Less",$P1594,0)</f>
        <v>0</v>
      </c>
      <c r="U1594" s="64" t="n">
        <f aca="false">IF($K1594="Expected",$P1594,0)</f>
        <v>0</v>
      </c>
      <c r="V1594" s="64" t="n">
        <f aca="false">IF($K1594="Better",$P1594,0)</f>
        <v>0</v>
      </c>
      <c r="W1594" s="64" t="n">
        <f aca="false">IF($K1594="U – needs rule",$P1594,0)</f>
        <v>0</v>
      </c>
      <c r="X1594" s="64" t="n">
        <f aca="false">IF($K1594="No Start (attainment only)",$P1594,0)</f>
        <v>0</v>
      </c>
    </row>
    <row r="1595" customFormat="false" ht="15" hidden="false" customHeight="false" outlineLevel="0" collapsed="false">
      <c r="A1595" s="60"/>
      <c r="B1595" s="61" t="str">
        <f aca="false">IF($M1595=0,"",INDEX(Classes!$E$6:$E$420,$M1595))</f>
        <v/>
      </c>
      <c r="C1595" s="62" t="str">
        <f aca="false">IF($M1595=0,"",INDEX(Classes!$H$6:$H$420,$M1595))</f>
        <v/>
      </c>
      <c r="D1595" s="61" t="str">
        <f aca="false">IF($M1595=0,"",INDEX(Classes!$B$6:$B$420,$M1595))</f>
        <v/>
      </c>
      <c r="E1595" s="61" t="str">
        <f aca="false">IF($M1595=0,"",INDEX(Classes!$C$6:$C$420,$M1595))</f>
        <v/>
      </c>
      <c r="F1595" s="63"/>
      <c r="G1595" s="63"/>
      <c r="H1595" s="60"/>
      <c r="I1595" s="60"/>
      <c r="J1595" s="63"/>
      <c r="K1595" s="61" t="str">
        <f aca="false">IF($P1595=0,"",IF($F1595="Baseline","— Baseline",IF($O1595=0,"No result",IF($N1595=0,"No Start (attainment only)",IF(OR($N1595=1,$O1595=1),"U – needs rule",INDEX(MxBody,MATCH($I1595,MxCurr,0),MATCH($H1595,MxStart,0)))))))</f>
        <v/>
      </c>
      <c r="L1595" s="62" t="str">
        <f aca="false">IF(COUNTA($A1595,$F1595,$G1595,$H1595,$I1595,$J1595)=0,"",IF($M1595=0,"✖ كود الصف غير موجود",IF(ISNA(MATCH($F1595,Lists!$A$2:$A$5,0)),"✖ الفترة غير صحيحة",IF(ISNA(MATCH($G1595,Lists!$B$2:$B$7,0)),"✖ المجموعة غير صحيحة",IF(NOT(OR($H1595="",$N1595&gt;0)),"✖ Start غير صحيح",IF(NOT(OR($I1595="",$I1595="NR",$O1595&gt;0)),"✖ Current غير صحيح",IF(NOT(IF(ISNUMBER($J1595),AND($J1595&gt;=0,$J1595=INT($J1595)),FALSE())),"✖ العدد يجب أن يكون صحيحًا ≥ 0",IF(AND($F1595="Baseline",$H1595&lt;&gt;""),"⚠ Baseline: Start لا يدخل في التقدم",IF($K1595="No Start (attainment only)","ℹ تحصيل فقط (بدون Start)",IF($K1595="U – needs rule","ℹ حالة U تحتاج قاعدة معتمدة",IF($K1595="No result","ℹ بدون نتيجة (يُستبعد من التحصيل)","OK")))))))))))</f>
        <v/>
      </c>
      <c r="M1595" s="64" t="n">
        <f aca="false">IF($A1595="",0,IFERROR(MATCH($A1595,Classes!$A$6:$A$420,0),0))</f>
        <v>0</v>
      </c>
      <c r="N1595" s="64" t="n">
        <f aca="false">IF($H1595="",0,IFERROR(MATCH($H1595,GradeList,0),0))</f>
        <v>0</v>
      </c>
      <c r="O1595" s="64" t="n">
        <f aca="false">IF(OR($I1595="",$I1595="NR"),0,IFERROR(MATCH($I1595,GradeList,0),0))</f>
        <v>0</v>
      </c>
      <c r="P1595" s="64" t="n">
        <f aca="false">IF(AND($M1595&gt;0,ISNUMBER(MATCH($F1595,Lists!$A$2:$A$5,0)),ISNUMBER(MATCH($G1595,Lists!$B$2:$B$7,0)),OR($H1595="",$N1595&gt;0),OR($I1595="",$I1595="NR",$O1595&gt;0),IF(ISNUMBER($J1595),AND($J1595&gt;=0,$J1595=INT($J1595)),FALSE())),$J1595,0)</f>
        <v>0</v>
      </c>
      <c r="Q1595" s="64" t="n">
        <f aca="false">IF(AND($P1595&gt;0,$O1595&gt;0),$P1595,0)</f>
        <v>0</v>
      </c>
      <c r="R1595" s="64" t="n">
        <f aca="false">IF(AND($Q1595&gt;0,$O1595&gt;=AtRank),$Q1595,0)</f>
        <v>0</v>
      </c>
      <c r="S1595" s="64" t="n">
        <f aca="false">IF(AND($Q1595&gt;0,$O1595&gt;=AboveRank),$Q1595,0)</f>
        <v>0</v>
      </c>
      <c r="T1595" s="64" t="n">
        <f aca="false">IF($K1595="Less",$P1595,0)</f>
        <v>0</v>
      </c>
      <c r="U1595" s="64" t="n">
        <f aca="false">IF($K1595="Expected",$P1595,0)</f>
        <v>0</v>
      </c>
      <c r="V1595" s="64" t="n">
        <f aca="false">IF($K1595="Better",$P1595,0)</f>
        <v>0</v>
      </c>
      <c r="W1595" s="64" t="n">
        <f aca="false">IF($K1595="U – needs rule",$P1595,0)</f>
        <v>0</v>
      </c>
      <c r="X1595" s="64" t="n">
        <f aca="false">IF($K1595="No Start (attainment only)",$P1595,0)</f>
        <v>0</v>
      </c>
    </row>
    <row r="1596" customFormat="false" ht="15" hidden="false" customHeight="false" outlineLevel="0" collapsed="false">
      <c r="A1596" s="60"/>
      <c r="B1596" s="61" t="str">
        <f aca="false">IF($M1596=0,"",INDEX(Classes!$E$6:$E$420,$M1596))</f>
        <v/>
      </c>
      <c r="C1596" s="62" t="str">
        <f aca="false">IF($M1596=0,"",INDEX(Classes!$H$6:$H$420,$M1596))</f>
        <v/>
      </c>
      <c r="D1596" s="61" t="str">
        <f aca="false">IF($M1596=0,"",INDEX(Classes!$B$6:$B$420,$M1596))</f>
        <v/>
      </c>
      <c r="E1596" s="61" t="str">
        <f aca="false">IF($M1596=0,"",INDEX(Classes!$C$6:$C$420,$M1596))</f>
        <v/>
      </c>
      <c r="F1596" s="63"/>
      <c r="G1596" s="63"/>
      <c r="H1596" s="60"/>
      <c r="I1596" s="60"/>
      <c r="J1596" s="63"/>
      <c r="K1596" s="61" t="str">
        <f aca="false">IF($P1596=0,"",IF($F1596="Baseline","— Baseline",IF($O1596=0,"No result",IF($N1596=0,"No Start (attainment only)",IF(OR($N1596=1,$O1596=1),"U – needs rule",INDEX(MxBody,MATCH($I1596,MxCurr,0),MATCH($H1596,MxStart,0)))))))</f>
        <v/>
      </c>
      <c r="L1596" s="62" t="str">
        <f aca="false">IF(COUNTA($A1596,$F1596,$G1596,$H1596,$I1596,$J1596)=0,"",IF($M1596=0,"✖ كود الصف غير موجود",IF(ISNA(MATCH($F1596,Lists!$A$2:$A$5,0)),"✖ الفترة غير صحيحة",IF(ISNA(MATCH($G1596,Lists!$B$2:$B$7,0)),"✖ المجموعة غير صحيحة",IF(NOT(OR($H1596="",$N1596&gt;0)),"✖ Start غير صحيح",IF(NOT(OR($I1596="",$I1596="NR",$O1596&gt;0)),"✖ Current غير صحيح",IF(NOT(IF(ISNUMBER($J1596),AND($J1596&gt;=0,$J1596=INT($J1596)),FALSE())),"✖ العدد يجب أن يكون صحيحًا ≥ 0",IF(AND($F1596="Baseline",$H1596&lt;&gt;""),"⚠ Baseline: Start لا يدخل في التقدم",IF($K1596="No Start (attainment only)","ℹ تحصيل فقط (بدون Start)",IF($K1596="U – needs rule","ℹ حالة U تحتاج قاعدة معتمدة",IF($K1596="No result","ℹ بدون نتيجة (يُستبعد من التحصيل)","OK")))))))))))</f>
        <v/>
      </c>
      <c r="M1596" s="64" t="n">
        <f aca="false">IF($A1596="",0,IFERROR(MATCH($A1596,Classes!$A$6:$A$420,0),0))</f>
        <v>0</v>
      </c>
      <c r="N1596" s="64" t="n">
        <f aca="false">IF($H1596="",0,IFERROR(MATCH($H1596,GradeList,0),0))</f>
        <v>0</v>
      </c>
      <c r="O1596" s="64" t="n">
        <f aca="false">IF(OR($I1596="",$I1596="NR"),0,IFERROR(MATCH($I1596,GradeList,0),0))</f>
        <v>0</v>
      </c>
      <c r="P1596" s="64" t="n">
        <f aca="false">IF(AND($M1596&gt;0,ISNUMBER(MATCH($F1596,Lists!$A$2:$A$5,0)),ISNUMBER(MATCH($G1596,Lists!$B$2:$B$7,0)),OR($H1596="",$N1596&gt;0),OR($I1596="",$I1596="NR",$O1596&gt;0),IF(ISNUMBER($J1596),AND($J1596&gt;=0,$J1596=INT($J1596)),FALSE())),$J1596,0)</f>
        <v>0</v>
      </c>
      <c r="Q1596" s="64" t="n">
        <f aca="false">IF(AND($P1596&gt;0,$O1596&gt;0),$P1596,0)</f>
        <v>0</v>
      </c>
      <c r="R1596" s="64" t="n">
        <f aca="false">IF(AND($Q1596&gt;0,$O1596&gt;=AtRank),$Q1596,0)</f>
        <v>0</v>
      </c>
      <c r="S1596" s="64" t="n">
        <f aca="false">IF(AND($Q1596&gt;0,$O1596&gt;=AboveRank),$Q1596,0)</f>
        <v>0</v>
      </c>
      <c r="T1596" s="64" t="n">
        <f aca="false">IF($K1596="Less",$P1596,0)</f>
        <v>0</v>
      </c>
      <c r="U1596" s="64" t="n">
        <f aca="false">IF($K1596="Expected",$P1596,0)</f>
        <v>0</v>
      </c>
      <c r="V1596" s="64" t="n">
        <f aca="false">IF($K1596="Better",$P1596,0)</f>
        <v>0</v>
      </c>
      <c r="W1596" s="64" t="n">
        <f aca="false">IF($K1596="U – needs rule",$P1596,0)</f>
        <v>0</v>
      </c>
      <c r="X1596" s="64" t="n">
        <f aca="false">IF($K1596="No Start (attainment only)",$P1596,0)</f>
        <v>0</v>
      </c>
    </row>
    <row r="1597" customFormat="false" ht="15" hidden="false" customHeight="false" outlineLevel="0" collapsed="false">
      <c r="A1597" s="60"/>
      <c r="B1597" s="61" t="str">
        <f aca="false">IF($M1597=0,"",INDEX(Classes!$E$6:$E$420,$M1597))</f>
        <v/>
      </c>
      <c r="C1597" s="62" t="str">
        <f aca="false">IF($M1597=0,"",INDEX(Classes!$H$6:$H$420,$M1597))</f>
        <v/>
      </c>
      <c r="D1597" s="61" t="str">
        <f aca="false">IF($M1597=0,"",INDEX(Classes!$B$6:$B$420,$M1597))</f>
        <v/>
      </c>
      <c r="E1597" s="61" t="str">
        <f aca="false">IF($M1597=0,"",INDEX(Classes!$C$6:$C$420,$M1597))</f>
        <v/>
      </c>
      <c r="F1597" s="63"/>
      <c r="G1597" s="63"/>
      <c r="H1597" s="60"/>
      <c r="I1597" s="60"/>
      <c r="J1597" s="63"/>
      <c r="K1597" s="61" t="str">
        <f aca="false">IF($P1597=0,"",IF($F1597="Baseline","— Baseline",IF($O1597=0,"No result",IF($N1597=0,"No Start (attainment only)",IF(OR($N1597=1,$O1597=1),"U – needs rule",INDEX(MxBody,MATCH($I1597,MxCurr,0),MATCH($H1597,MxStart,0)))))))</f>
        <v/>
      </c>
      <c r="L1597" s="62" t="str">
        <f aca="false">IF(COUNTA($A1597,$F1597,$G1597,$H1597,$I1597,$J1597)=0,"",IF($M1597=0,"✖ كود الصف غير موجود",IF(ISNA(MATCH($F1597,Lists!$A$2:$A$5,0)),"✖ الفترة غير صحيحة",IF(ISNA(MATCH($G1597,Lists!$B$2:$B$7,0)),"✖ المجموعة غير صحيحة",IF(NOT(OR($H1597="",$N1597&gt;0)),"✖ Start غير صحيح",IF(NOT(OR($I1597="",$I1597="NR",$O1597&gt;0)),"✖ Current غير صحيح",IF(NOT(IF(ISNUMBER($J1597),AND($J1597&gt;=0,$J1597=INT($J1597)),FALSE())),"✖ العدد يجب أن يكون صحيحًا ≥ 0",IF(AND($F1597="Baseline",$H1597&lt;&gt;""),"⚠ Baseline: Start لا يدخل في التقدم",IF($K1597="No Start (attainment only)","ℹ تحصيل فقط (بدون Start)",IF($K1597="U – needs rule","ℹ حالة U تحتاج قاعدة معتمدة",IF($K1597="No result","ℹ بدون نتيجة (يُستبعد من التحصيل)","OK")))))))))))</f>
        <v/>
      </c>
      <c r="M1597" s="64" t="n">
        <f aca="false">IF($A1597="",0,IFERROR(MATCH($A1597,Classes!$A$6:$A$420,0),0))</f>
        <v>0</v>
      </c>
      <c r="N1597" s="64" t="n">
        <f aca="false">IF($H1597="",0,IFERROR(MATCH($H1597,GradeList,0),0))</f>
        <v>0</v>
      </c>
      <c r="O1597" s="64" t="n">
        <f aca="false">IF(OR($I1597="",$I1597="NR"),0,IFERROR(MATCH($I1597,GradeList,0),0))</f>
        <v>0</v>
      </c>
      <c r="P1597" s="64" t="n">
        <f aca="false">IF(AND($M1597&gt;0,ISNUMBER(MATCH($F1597,Lists!$A$2:$A$5,0)),ISNUMBER(MATCH($G1597,Lists!$B$2:$B$7,0)),OR($H1597="",$N1597&gt;0),OR($I1597="",$I1597="NR",$O1597&gt;0),IF(ISNUMBER($J1597),AND($J1597&gt;=0,$J1597=INT($J1597)),FALSE())),$J1597,0)</f>
        <v>0</v>
      </c>
      <c r="Q1597" s="64" t="n">
        <f aca="false">IF(AND($P1597&gt;0,$O1597&gt;0),$P1597,0)</f>
        <v>0</v>
      </c>
      <c r="R1597" s="64" t="n">
        <f aca="false">IF(AND($Q1597&gt;0,$O1597&gt;=AtRank),$Q1597,0)</f>
        <v>0</v>
      </c>
      <c r="S1597" s="64" t="n">
        <f aca="false">IF(AND($Q1597&gt;0,$O1597&gt;=AboveRank),$Q1597,0)</f>
        <v>0</v>
      </c>
      <c r="T1597" s="64" t="n">
        <f aca="false">IF($K1597="Less",$P1597,0)</f>
        <v>0</v>
      </c>
      <c r="U1597" s="64" t="n">
        <f aca="false">IF($K1597="Expected",$P1597,0)</f>
        <v>0</v>
      </c>
      <c r="V1597" s="64" t="n">
        <f aca="false">IF($K1597="Better",$P1597,0)</f>
        <v>0</v>
      </c>
      <c r="W1597" s="64" t="n">
        <f aca="false">IF($K1597="U – needs rule",$P1597,0)</f>
        <v>0</v>
      </c>
      <c r="X1597" s="64" t="n">
        <f aca="false">IF($K1597="No Start (attainment only)",$P1597,0)</f>
        <v>0</v>
      </c>
    </row>
    <row r="1598" customFormat="false" ht="15" hidden="false" customHeight="false" outlineLevel="0" collapsed="false">
      <c r="A1598" s="60"/>
      <c r="B1598" s="61" t="str">
        <f aca="false">IF($M1598=0,"",INDEX(Classes!$E$6:$E$420,$M1598))</f>
        <v/>
      </c>
      <c r="C1598" s="62" t="str">
        <f aca="false">IF($M1598=0,"",INDEX(Classes!$H$6:$H$420,$M1598))</f>
        <v/>
      </c>
      <c r="D1598" s="61" t="str">
        <f aca="false">IF($M1598=0,"",INDEX(Classes!$B$6:$B$420,$M1598))</f>
        <v/>
      </c>
      <c r="E1598" s="61" t="str">
        <f aca="false">IF($M1598=0,"",INDEX(Classes!$C$6:$C$420,$M1598))</f>
        <v/>
      </c>
      <c r="F1598" s="63"/>
      <c r="G1598" s="63"/>
      <c r="H1598" s="60"/>
      <c r="I1598" s="60"/>
      <c r="J1598" s="63"/>
      <c r="K1598" s="61" t="str">
        <f aca="false">IF($P1598=0,"",IF($F1598="Baseline","— Baseline",IF($O1598=0,"No result",IF($N1598=0,"No Start (attainment only)",IF(OR($N1598=1,$O1598=1),"U – needs rule",INDEX(MxBody,MATCH($I1598,MxCurr,0),MATCH($H1598,MxStart,0)))))))</f>
        <v/>
      </c>
      <c r="L1598" s="62" t="str">
        <f aca="false">IF(COUNTA($A1598,$F1598,$G1598,$H1598,$I1598,$J1598)=0,"",IF($M1598=0,"✖ كود الصف غير موجود",IF(ISNA(MATCH($F1598,Lists!$A$2:$A$5,0)),"✖ الفترة غير صحيحة",IF(ISNA(MATCH($G1598,Lists!$B$2:$B$7,0)),"✖ المجموعة غير صحيحة",IF(NOT(OR($H1598="",$N1598&gt;0)),"✖ Start غير صحيح",IF(NOT(OR($I1598="",$I1598="NR",$O1598&gt;0)),"✖ Current غير صحيح",IF(NOT(IF(ISNUMBER($J1598),AND($J1598&gt;=0,$J1598=INT($J1598)),FALSE())),"✖ العدد يجب أن يكون صحيحًا ≥ 0",IF(AND($F1598="Baseline",$H1598&lt;&gt;""),"⚠ Baseline: Start لا يدخل في التقدم",IF($K1598="No Start (attainment only)","ℹ تحصيل فقط (بدون Start)",IF($K1598="U – needs rule","ℹ حالة U تحتاج قاعدة معتمدة",IF($K1598="No result","ℹ بدون نتيجة (يُستبعد من التحصيل)","OK")))))))))))</f>
        <v/>
      </c>
      <c r="M1598" s="64" t="n">
        <f aca="false">IF($A1598="",0,IFERROR(MATCH($A1598,Classes!$A$6:$A$420,0),0))</f>
        <v>0</v>
      </c>
      <c r="N1598" s="64" t="n">
        <f aca="false">IF($H1598="",0,IFERROR(MATCH($H1598,GradeList,0),0))</f>
        <v>0</v>
      </c>
      <c r="O1598" s="64" t="n">
        <f aca="false">IF(OR($I1598="",$I1598="NR"),0,IFERROR(MATCH($I1598,GradeList,0),0))</f>
        <v>0</v>
      </c>
      <c r="P1598" s="64" t="n">
        <f aca="false">IF(AND($M1598&gt;0,ISNUMBER(MATCH($F1598,Lists!$A$2:$A$5,0)),ISNUMBER(MATCH($G1598,Lists!$B$2:$B$7,0)),OR($H1598="",$N1598&gt;0),OR($I1598="",$I1598="NR",$O1598&gt;0),IF(ISNUMBER($J1598),AND($J1598&gt;=0,$J1598=INT($J1598)),FALSE())),$J1598,0)</f>
        <v>0</v>
      </c>
      <c r="Q1598" s="64" t="n">
        <f aca="false">IF(AND($P1598&gt;0,$O1598&gt;0),$P1598,0)</f>
        <v>0</v>
      </c>
      <c r="R1598" s="64" t="n">
        <f aca="false">IF(AND($Q1598&gt;0,$O1598&gt;=AtRank),$Q1598,0)</f>
        <v>0</v>
      </c>
      <c r="S1598" s="64" t="n">
        <f aca="false">IF(AND($Q1598&gt;0,$O1598&gt;=AboveRank),$Q1598,0)</f>
        <v>0</v>
      </c>
      <c r="T1598" s="64" t="n">
        <f aca="false">IF($K1598="Less",$P1598,0)</f>
        <v>0</v>
      </c>
      <c r="U1598" s="64" t="n">
        <f aca="false">IF($K1598="Expected",$P1598,0)</f>
        <v>0</v>
      </c>
      <c r="V1598" s="64" t="n">
        <f aca="false">IF($K1598="Better",$P1598,0)</f>
        <v>0</v>
      </c>
      <c r="W1598" s="64" t="n">
        <f aca="false">IF($K1598="U – needs rule",$P1598,0)</f>
        <v>0</v>
      </c>
      <c r="X1598" s="64" t="n">
        <f aca="false">IF($K1598="No Start (attainment only)",$P1598,0)</f>
        <v>0</v>
      </c>
    </row>
    <row r="1599" customFormat="false" ht="15" hidden="false" customHeight="false" outlineLevel="0" collapsed="false">
      <c r="A1599" s="60"/>
      <c r="B1599" s="61" t="str">
        <f aca="false">IF($M1599=0,"",INDEX(Classes!$E$6:$E$420,$M1599))</f>
        <v/>
      </c>
      <c r="C1599" s="62" t="str">
        <f aca="false">IF($M1599=0,"",INDEX(Classes!$H$6:$H$420,$M1599))</f>
        <v/>
      </c>
      <c r="D1599" s="61" t="str">
        <f aca="false">IF($M1599=0,"",INDEX(Classes!$B$6:$B$420,$M1599))</f>
        <v/>
      </c>
      <c r="E1599" s="61" t="str">
        <f aca="false">IF($M1599=0,"",INDEX(Classes!$C$6:$C$420,$M1599))</f>
        <v/>
      </c>
      <c r="F1599" s="63"/>
      <c r="G1599" s="63"/>
      <c r="H1599" s="60"/>
      <c r="I1599" s="60"/>
      <c r="J1599" s="63"/>
      <c r="K1599" s="61" t="str">
        <f aca="false">IF($P1599=0,"",IF($F1599="Baseline","— Baseline",IF($O1599=0,"No result",IF($N1599=0,"No Start (attainment only)",IF(OR($N1599=1,$O1599=1),"U – needs rule",INDEX(MxBody,MATCH($I1599,MxCurr,0),MATCH($H1599,MxStart,0)))))))</f>
        <v/>
      </c>
      <c r="L1599" s="62" t="str">
        <f aca="false">IF(COUNTA($A1599,$F1599,$G1599,$H1599,$I1599,$J1599)=0,"",IF($M1599=0,"✖ كود الصف غير موجود",IF(ISNA(MATCH($F1599,Lists!$A$2:$A$5,0)),"✖ الفترة غير صحيحة",IF(ISNA(MATCH($G1599,Lists!$B$2:$B$7,0)),"✖ المجموعة غير صحيحة",IF(NOT(OR($H1599="",$N1599&gt;0)),"✖ Start غير صحيح",IF(NOT(OR($I1599="",$I1599="NR",$O1599&gt;0)),"✖ Current غير صحيح",IF(NOT(IF(ISNUMBER($J1599),AND($J1599&gt;=0,$J1599=INT($J1599)),FALSE())),"✖ العدد يجب أن يكون صحيحًا ≥ 0",IF(AND($F1599="Baseline",$H1599&lt;&gt;""),"⚠ Baseline: Start لا يدخل في التقدم",IF($K1599="No Start (attainment only)","ℹ تحصيل فقط (بدون Start)",IF($K1599="U – needs rule","ℹ حالة U تحتاج قاعدة معتمدة",IF($K1599="No result","ℹ بدون نتيجة (يُستبعد من التحصيل)","OK")))))))))))</f>
        <v/>
      </c>
      <c r="M1599" s="64" t="n">
        <f aca="false">IF($A1599="",0,IFERROR(MATCH($A1599,Classes!$A$6:$A$420,0),0))</f>
        <v>0</v>
      </c>
      <c r="N1599" s="64" t="n">
        <f aca="false">IF($H1599="",0,IFERROR(MATCH($H1599,GradeList,0),0))</f>
        <v>0</v>
      </c>
      <c r="O1599" s="64" t="n">
        <f aca="false">IF(OR($I1599="",$I1599="NR"),0,IFERROR(MATCH($I1599,GradeList,0),0))</f>
        <v>0</v>
      </c>
      <c r="P1599" s="64" t="n">
        <f aca="false">IF(AND($M1599&gt;0,ISNUMBER(MATCH($F1599,Lists!$A$2:$A$5,0)),ISNUMBER(MATCH($G1599,Lists!$B$2:$B$7,0)),OR($H1599="",$N1599&gt;0),OR($I1599="",$I1599="NR",$O1599&gt;0),IF(ISNUMBER($J1599),AND($J1599&gt;=0,$J1599=INT($J1599)),FALSE())),$J1599,0)</f>
        <v>0</v>
      </c>
      <c r="Q1599" s="64" t="n">
        <f aca="false">IF(AND($P1599&gt;0,$O1599&gt;0),$P1599,0)</f>
        <v>0</v>
      </c>
      <c r="R1599" s="64" t="n">
        <f aca="false">IF(AND($Q1599&gt;0,$O1599&gt;=AtRank),$Q1599,0)</f>
        <v>0</v>
      </c>
      <c r="S1599" s="64" t="n">
        <f aca="false">IF(AND($Q1599&gt;0,$O1599&gt;=AboveRank),$Q1599,0)</f>
        <v>0</v>
      </c>
      <c r="T1599" s="64" t="n">
        <f aca="false">IF($K1599="Less",$P1599,0)</f>
        <v>0</v>
      </c>
      <c r="U1599" s="64" t="n">
        <f aca="false">IF($K1599="Expected",$P1599,0)</f>
        <v>0</v>
      </c>
      <c r="V1599" s="64" t="n">
        <f aca="false">IF($K1599="Better",$P1599,0)</f>
        <v>0</v>
      </c>
      <c r="W1599" s="64" t="n">
        <f aca="false">IF($K1599="U – needs rule",$P1599,0)</f>
        <v>0</v>
      </c>
      <c r="X1599" s="64" t="n">
        <f aca="false">IF($K1599="No Start (attainment only)",$P1599,0)</f>
        <v>0</v>
      </c>
    </row>
    <row r="1600" customFormat="false" ht="15" hidden="false" customHeight="false" outlineLevel="0" collapsed="false">
      <c r="A1600" s="60"/>
      <c r="B1600" s="61" t="str">
        <f aca="false">IF($M1600=0,"",INDEX(Classes!$E$6:$E$420,$M1600))</f>
        <v/>
      </c>
      <c r="C1600" s="62" t="str">
        <f aca="false">IF($M1600=0,"",INDEX(Classes!$H$6:$H$420,$M1600))</f>
        <v/>
      </c>
      <c r="D1600" s="61" t="str">
        <f aca="false">IF($M1600=0,"",INDEX(Classes!$B$6:$B$420,$M1600))</f>
        <v/>
      </c>
      <c r="E1600" s="61" t="str">
        <f aca="false">IF($M1600=0,"",INDEX(Classes!$C$6:$C$420,$M1600))</f>
        <v/>
      </c>
      <c r="F1600" s="63"/>
      <c r="G1600" s="63"/>
      <c r="H1600" s="60"/>
      <c r="I1600" s="60"/>
      <c r="J1600" s="63"/>
      <c r="K1600" s="61" t="str">
        <f aca="false">IF($P1600=0,"",IF($F1600="Baseline","— Baseline",IF($O1600=0,"No result",IF($N1600=0,"No Start (attainment only)",IF(OR($N1600=1,$O1600=1),"U – needs rule",INDEX(MxBody,MATCH($I1600,MxCurr,0),MATCH($H1600,MxStart,0)))))))</f>
        <v/>
      </c>
      <c r="L1600" s="62" t="str">
        <f aca="false">IF(COUNTA($A1600,$F1600,$G1600,$H1600,$I1600,$J1600)=0,"",IF($M1600=0,"✖ كود الصف غير موجود",IF(ISNA(MATCH($F1600,Lists!$A$2:$A$5,0)),"✖ الفترة غير صحيحة",IF(ISNA(MATCH($G1600,Lists!$B$2:$B$7,0)),"✖ المجموعة غير صحيحة",IF(NOT(OR($H1600="",$N1600&gt;0)),"✖ Start غير صحيح",IF(NOT(OR($I1600="",$I1600="NR",$O1600&gt;0)),"✖ Current غير صحيح",IF(NOT(IF(ISNUMBER($J1600),AND($J1600&gt;=0,$J1600=INT($J1600)),FALSE())),"✖ العدد يجب أن يكون صحيحًا ≥ 0",IF(AND($F1600="Baseline",$H1600&lt;&gt;""),"⚠ Baseline: Start لا يدخل في التقدم",IF($K1600="No Start (attainment only)","ℹ تحصيل فقط (بدون Start)",IF($K1600="U – needs rule","ℹ حالة U تحتاج قاعدة معتمدة",IF($K1600="No result","ℹ بدون نتيجة (يُستبعد من التحصيل)","OK")))))))))))</f>
        <v/>
      </c>
      <c r="M1600" s="64" t="n">
        <f aca="false">IF($A1600="",0,IFERROR(MATCH($A1600,Classes!$A$6:$A$420,0),0))</f>
        <v>0</v>
      </c>
      <c r="N1600" s="64" t="n">
        <f aca="false">IF($H1600="",0,IFERROR(MATCH($H1600,GradeList,0),0))</f>
        <v>0</v>
      </c>
      <c r="O1600" s="64" t="n">
        <f aca="false">IF(OR($I1600="",$I1600="NR"),0,IFERROR(MATCH($I1600,GradeList,0),0))</f>
        <v>0</v>
      </c>
      <c r="P1600" s="64" t="n">
        <f aca="false">IF(AND($M1600&gt;0,ISNUMBER(MATCH($F1600,Lists!$A$2:$A$5,0)),ISNUMBER(MATCH($G1600,Lists!$B$2:$B$7,0)),OR($H1600="",$N1600&gt;0),OR($I1600="",$I1600="NR",$O1600&gt;0),IF(ISNUMBER($J1600),AND($J1600&gt;=0,$J1600=INT($J1600)),FALSE())),$J1600,0)</f>
        <v>0</v>
      </c>
      <c r="Q1600" s="64" t="n">
        <f aca="false">IF(AND($P1600&gt;0,$O1600&gt;0),$P1600,0)</f>
        <v>0</v>
      </c>
      <c r="R1600" s="64" t="n">
        <f aca="false">IF(AND($Q1600&gt;0,$O1600&gt;=AtRank),$Q1600,0)</f>
        <v>0</v>
      </c>
      <c r="S1600" s="64" t="n">
        <f aca="false">IF(AND($Q1600&gt;0,$O1600&gt;=AboveRank),$Q1600,0)</f>
        <v>0</v>
      </c>
      <c r="T1600" s="64" t="n">
        <f aca="false">IF($K1600="Less",$P1600,0)</f>
        <v>0</v>
      </c>
      <c r="U1600" s="64" t="n">
        <f aca="false">IF($K1600="Expected",$P1600,0)</f>
        <v>0</v>
      </c>
      <c r="V1600" s="64" t="n">
        <f aca="false">IF($K1600="Better",$P1600,0)</f>
        <v>0</v>
      </c>
      <c r="W1600" s="64" t="n">
        <f aca="false">IF($K1600="U – needs rule",$P1600,0)</f>
        <v>0</v>
      </c>
      <c r="X1600" s="64" t="n">
        <f aca="false">IF($K1600="No Start (attainment only)",$P1600,0)</f>
        <v>0</v>
      </c>
    </row>
    <row r="1601" customFormat="false" ht="15" hidden="false" customHeight="false" outlineLevel="0" collapsed="false">
      <c r="A1601" s="60"/>
      <c r="B1601" s="61" t="str">
        <f aca="false">IF($M1601=0,"",INDEX(Classes!$E$6:$E$420,$M1601))</f>
        <v/>
      </c>
      <c r="C1601" s="62" t="str">
        <f aca="false">IF($M1601=0,"",INDEX(Classes!$H$6:$H$420,$M1601))</f>
        <v/>
      </c>
      <c r="D1601" s="61" t="str">
        <f aca="false">IF($M1601=0,"",INDEX(Classes!$B$6:$B$420,$M1601))</f>
        <v/>
      </c>
      <c r="E1601" s="61" t="str">
        <f aca="false">IF($M1601=0,"",INDEX(Classes!$C$6:$C$420,$M1601))</f>
        <v/>
      </c>
      <c r="F1601" s="63"/>
      <c r="G1601" s="63"/>
      <c r="H1601" s="60"/>
      <c r="I1601" s="60"/>
      <c r="J1601" s="63"/>
      <c r="K1601" s="61" t="str">
        <f aca="false">IF($P1601=0,"",IF($F1601="Baseline","— Baseline",IF($O1601=0,"No result",IF($N1601=0,"No Start (attainment only)",IF(OR($N1601=1,$O1601=1),"U – needs rule",INDEX(MxBody,MATCH($I1601,MxCurr,0),MATCH($H1601,MxStart,0)))))))</f>
        <v/>
      </c>
      <c r="L1601" s="62" t="str">
        <f aca="false">IF(COUNTA($A1601,$F1601,$G1601,$H1601,$I1601,$J1601)=0,"",IF($M1601=0,"✖ كود الصف غير موجود",IF(ISNA(MATCH($F1601,Lists!$A$2:$A$5,0)),"✖ الفترة غير صحيحة",IF(ISNA(MATCH($G1601,Lists!$B$2:$B$7,0)),"✖ المجموعة غير صحيحة",IF(NOT(OR($H1601="",$N1601&gt;0)),"✖ Start غير صحيح",IF(NOT(OR($I1601="",$I1601="NR",$O1601&gt;0)),"✖ Current غير صحيح",IF(NOT(IF(ISNUMBER($J1601),AND($J1601&gt;=0,$J1601=INT($J1601)),FALSE())),"✖ العدد يجب أن يكون صحيحًا ≥ 0",IF(AND($F1601="Baseline",$H1601&lt;&gt;""),"⚠ Baseline: Start لا يدخل في التقدم",IF($K1601="No Start (attainment only)","ℹ تحصيل فقط (بدون Start)",IF($K1601="U – needs rule","ℹ حالة U تحتاج قاعدة معتمدة",IF($K1601="No result","ℹ بدون نتيجة (يُستبعد من التحصيل)","OK")))))))))))</f>
        <v/>
      </c>
      <c r="M1601" s="64" t="n">
        <f aca="false">IF($A1601="",0,IFERROR(MATCH($A1601,Classes!$A$6:$A$420,0),0))</f>
        <v>0</v>
      </c>
      <c r="N1601" s="64" t="n">
        <f aca="false">IF($H1601="",0,IFERROR(MATCH($H1601,GradeList,0),0))</f>
        <v>0</v>
      </c>
      <c r="O1601" s="64" t="n">
        <f aca="false">IF(OR($I1601="",$I1601="NR"),0,IFERROR(MATCH($I1601,GradeList,0),0))</f>
        <v>0</v>
      </c>
      <c r="P1601" s="64" t="n">
        <f aca="false">IF(AND($M1601&gt;0,ISNUMBER(MATCH($F1601,Lists!$A$2:$A$5,0)),ISNUMBER(MATCH($G1601,Lists!$B$2:$B$7,0)),OR($H1601="",$N1601&gt;0),OR($I1601="",$I1601="NR",$O1601&gt;0),IF(ISNUMBER($J1601),AND($J1601&gt;=0,$J1601=INT($J1601)),FALSE())),$J1601,0)</f>
        <v>0</v>
      </c>
      <c r="Q1601" s="64" t="n">
        <f aca="false">IF(AND($P1601&gt;0,$O1601&gt;0),$P1601,0)</f>
        <v>0</v>
      </c>
      <c r="R1601" s="64" t="n">
        <f aca="false">IF(AND($Q1601&gt;0,$O1601&gt;=AtRank),$Q1601,0)</f>
        <v>0</v>
      </c>
      <c r="S1601" s="64" t="n">
        <f aca="false">IF(AND($Q1601&gt;0,$O1601&gt;=AboveRank),$Q1601,0)</f>
        <v>0</v>
      </c>
      <c r="T1601" s="64" t="n">
        <f aca="false">IF($K1601="Less",$P1601,0)</f>
        <v>0</v>
      </c>
      <c r="U1601" s="64" t="n">
        <f aca="false">IF($K1601="Expected",$P1601,0)</f>
        <v>0</v>
      </c>
      <c r="V1601" s="64" t="n">
        <f aca="false">IF($K1601="Better",$P1601,0)</f>
        <v>0</v>
      </c>
      <c r="W1601" s="64" t="n">
        <f aca="false">IF($K1601="U – needs rule",$P1601,0)</f>
        <v>0</v>
      </c>
      <c r="X1601" s="64" t="n">
        <f aca="false">IF($K1601="No Start (attainment only)",$P1601,0)</f>
        <v>0</v>
      </c>
    </row>
    <row r="1602" customFormat="false" ht="15" hidden="false" customHeight="false" outlineLevel="0" collapsed="false">
      <c r="A1602" s="60"/>
      <c r="B1602" s="61" t="str">
        <f aca="false">IF($M1602=0,"",INDEX(Classes!$E$6:$E$420,$M1602))</f>
        <v/>
      </c>
      <c r="C1602" s="62" t="str">
        <f aca="false">IF($M1602=0,"",INDEX(Classes!$H$6:$H$420,$M1602))</f>
        <v/>
      </c>
      <c r="D1602" s="61" t="str">
        <f aca="false">IF($M1602=0,"",INDEX(Classes!$B$6:$B$420,$M1602))</f>
        <v/>
      </c>
      <c r="E1602" s="61" t="str">
        <f aca="false">IF($M1602=0,"",INDEX(Classes!$C$6:$C$420,$M1602))</f>
        <v/>
      </c>
      <c r="F1602" s="63"/>
      <c r="G1602" s="63"/>
      <c r="H1602" s="60"/>
      <c r="I1602" s="60"/>
      <c r="J1602" s="63"/>
      <c r="K1602" s="61" t="str">
        <f aca="false">IF($P1602=0,"",IF($F1602="Baseline","— Baseline",IF($O1602=0,"No result",IF($N1602=0,"No Start (attainment only)",IF(OR($N1602=1,$O1602=1),"U – needs rule",INDEX(MxBody,MATCH($I1602,MxCurr,0),MATCH($H1602,MxStart,0)))))))</f>
        <v/>
      </c>
      <c r="L1602" s="62" t="str">
        <f aca="false">IF(COUNTA($A1602,$F1602,$G1602,$H1602,$I1602,$J1602)=0,"",IF($M1602=0,"✖ كود الصف غير موجود",IF(ISNA(MATCH($F1602,Lists!$A$2:$A$5,0)),"✖ الفترة غير صحيحة",IF(ISNA(MATCH($G1602,Lists!$B$2:$B$7,0)),"✖ المجموعة غير صحيحة",IF(NOT(OR($H1602="",$N1602&gt;0)),"✖ Start غير صحيح",IF(NOT(OR($I1602="",$I1602="NR",$O1602&gt;0)),"✖ Current غير صحيح",IF(NOT(IF(ISNUMBER($J1602),AND($J1602&gt;=0,$J1602=INT($J1602)),FALSE())),"✖ العدد يجب أن يكون صحيحًا ≥ 0",IF(AND($F1602="Baseline",$H1602&lt;&gt;""),"⚠ Baseline: Start لا يدخل في التقدم",IF($K1602="No Start (attainment only)","ℹ تحصيل فقط (بدون Start)",IF($K1602="U – needs rule","ℹ حالة U تحتاج قاعدة معتمدة",IF($K1602="No result","ℹ بدون نتيجة (يُستبعد من التحصيل)","OK")))))))))))</f>
        <v/>
      </c>
      <c r="M1602" s="64" t="n">
        <f aca="false">IF($A1602="",0,IFERROR(MATCH($A1602,Classes!$A$6:$A$420,0),0))</f>
        <v>0</v>
      </c>
      <c r="N1602" s="64" t="n">
        <f aca="false">IF($H1602="",0,IFERROR(MATCH($H1602,GradeList,0),0))</f>
        <v>0</v>
      </c>
      <c r="O1602" s="64" t="n">
        <f aca="false">IF(OR($I1602="",$I1602="NR"),0,IFERROR(MATCH($I1602,GradeList,0),0))</f>
        <v>0</v>
      </c>
      <c r="P1602" s="64" t="n">
        <f aca="false">IF(AND($M1602&gt;0,ISNUMBER(MATCH($F1602,Lists!$A$2:$A$5,0)),ISNUMBER(MATCH($G1602,Lists!$B$2:$B$7,0)),OR($H1602="",$N1602&gt;0),OR($I1602="",$I1602="NR",$O1602&gt;0),IF(ISNUMBER($J1602),AND($J1602&gt;=0,$J1602=INT($J1602)),FALSE())),$J1602,0)</f>
        <v>0</v>
      </c>
      <c r="Q1602" s="64" t="n">
        <f aca="false">IF(AND($P1602&gt;0,$O1602&gt;0),$P1602,0)</f>
        <v>0</v>
      </c>
      <c r="R1602" s="64" t="n">
        <f aca="false">IF(AND($Q1602&gt;0,$O1602&gt;=AtRank),$Q1602,0)</f>
        <v>0</v>
      </c>
      <c r="S1602" s="64" t="n">
        <f aca="false">IF(AND($Q1602&gt;0,$O1602&gt;=AboveRank),$Q1602,0)</f>
        <v>0</v>
      </c>
      <c r="T1602" s="64" t="n">
        <f aca="false">IF($K1602="Less",$P1602,0)</f>
        <v>0</v>
      </c>
      <c r="U1602" s="64" t="n">
        <f aca="false">IF($K1602="Expected",$P1602,0)</f>
        <v>0</v>
      </c>
      <c r="V1602" s="64" t="n">
        <f aca="false">IF($K1602="Better",$P1602,0)</f>
        <v>0</v>
      </c>
      <c r="W1602" s="64" t="n">
        <f aca="false">IF($K1602="U – needs rule",$P1602,0)</f>
        <v>0</v>
      </c>
      <c r="X1602" s="64" t="n">
        <f aca="false">IF($K1602="No Start (attainment only)",$P1602,0)</f>
        <v>0</v>
      </c>
    </row>
    <row r="1603" customFormat="false" ht="15" hidden="false" customHeight="false" outlineLevel="0" collapsed="false">
      <c r="A1603" s="60"/>
      <c r="B1603" s="61" t="str">
        <f aca="false">IF($M1603=0,"",INDEX(Classes!$E$6:$E$420,$M1603))</f>
        <v/>
      </c>
      <c r="C1603" s="62" t="str">
        <f aca="false">IF($M1603=0,"",INDEX(Classes!$H$6:$H$420,$M1603))</f>
        <v/>
      </c>
      <c r="D1603" s="61" t="str">
        <f aca="false">IF($M1603=0,"",INDEX(Classes!$B$6:$B$420,$M1603))</f>
        <v/>
      </c>
      <c r="E1603" s="61" t="str">
        <f aca="false">IF($M1603=0,"",INDEX(Classes!$C$6:$C$420,$M1603))</f>
        <v/>
      </c>
      <c r="F1603" s="63"/>
      <c r="G1603" s="63"/>
      <c r="H1603" s="60"/>
      <c r="I1603" s="60"/>
      <c r="J1603" s="63"/>
      <c r="K1603" s="61" t="str">
        <f aca="false">IF($P1603=0,"",IF($F1603="Baseline","— Baseline",IF($O1603=0,"No result",IF($N1603=0,"No Start (attainment only)",IF(OR($N1603=1,$O1603=1),"U – needs rule",INDEX(MxBody,MATCH($I1603,MxCurr,0),MATCH($H1603,MxStart,0)))))))</f>
        <v/>
      </c>
      <c r="L1603" s="62" t="str">
        <f aca="false">IF(COUNTA($A1603,$F1603,$G1603,$H1603,$I1603,$J1603)=0,"",IF($M1603=0,"✖ كود الصف غير موجود",IF(ISNA(MATCH($F1603,Lists!$A$2:$A$5,0)),"✖ الفترة غير صحيحة",IF(ISNA(MATCH($G1603,Lists!$B$2:$B$7,0)),"✖ المجموعة غير صحيحة",IF(NOT(OR($H1603="",$N1603&gt;0)),"✖ Start غير صحيح",IF(NOT(OR($I1603="",$I1603="NR",$O1603&gt;0)),"✖ Current غير صحيح",IF(NOT(IF(ISNUMBER($J1603),AND($J1603&gt;=0,$J1603=INT($J1603)),FALSE())),"✖ العدد يجب أن يكون صحيحًا ≥ 0",IF(AND($F1603="Baseline",$H1603&lt;&gt;""),"⚠ Baseline: Start لا يدخل في التقدم",IF($K1603="No Start (attainment only)","ℹ تحصيل فقط (بدون Start)",IF($K1603="U – needs rule","ℹ حالة U تحتاج قاعدة معتمدة",IF($K1603="No result","ℹ بدون نتيجة (يُستبعد من التحصيل)","OK")))))))))))</f>
        <v/>
      </c>
      <c r="M1603" s="64" t="n">
        <f aca="false">IF($A1603="",0,IFERROR(MATCH($A1603,Classes!$A$6:$A$420,0),0))</f>
        <v>0</v>
      </c>
      <c r="N1603" s="64" t="n">
        <f aca="false">IF($H1603="",0,IFERROR(MATCH($H1603,GradeList,0),0))</f>
        <v>0</v>
      </c>
      <c r="O1603" s="64" t="n">
        <f aca="false">IF(OR($I1603="",$I1603="NR"),0,IFERROR(MATCH($I1603,GradeList,0),0))</f>
        <v>0</v>
      </c>
      <c r="P1603" s="64" t="n">
        <f aca="false">IF(AND($M1603&gt;0,ISNUMBER(MATCH($F1603,Lists!$A$2:$A$5,0)),ISNUMBER(MATCH($G1603,Lists!$B$2:$B$7,0)),OR($H1603="",$N1603&gt;0),OR($I1603="",$I1603="NR",$O1603&gt;0),IF(ISNUMBER($J1603),AND($J1603&gt;=0,$J1603=INT($J1603)),FALSE())),$J1603,0)</f>
        <v>0</v>
      </c>
      <c r="Q1603" s="64" t="n">
        <f aca="false">IF(AND($P1603&gt;0,$O1603&gt;0),$P1603,0)</f>
        <v>0</v>
      </c>
      <c r="R1603" s="64" t="n">
        <f aca="false">IF(AND($Q1603&gt;0,$O1603&gt;=AtRank),$Q1603,0)</f>
        <v>0</v>
      </c>
      <c r="S1603" s="64" t="n">
        <f aca="false">IF(AND($Q1603&gt;0,$O1603&gt;=AboveRank),$Q1603,0)</f>
        <v>0</v>
      </c>
      <c r="T1603" s="64" t="n">
        <f aca="false">IF($K1603="Less",$P1603,0)</f>
        <v>0</v>
      </c>
      <c r="U1603" s="64" t="n">
        <f aca="false">IF($K1603="Expected",$P1603,0)</f>
        <v>0</v>
      </c>
      <c r="V1603" s="64" t="n">
        <f aca="false">IF($K1603="Better",$P1603,0)</f>
        <v>0</v>
      </c>
      <c r="W1603" s="64" t="n">
        <f aca="false">IF($K1603="U – needs rule",$P1603,0)</f>
        <v>0</v>
      </c>
      <c r="X1603" s="64" t="n">
        <f aca="false">IF($K1603="No Start (attainment only)",$P1603,0)</f>
        <v>0</v>
      </c>
    </row>
    <row r="1604" customFormat="false" ht="15" hidden="false" customHeight="false" outlineLevel="0" collapsed="false">
      <c r="A1604" s="60"/>
      <c r="B1604" s="61" t="str">
        <f aca="false">IF($M1604=0,"",INDEX(Classes!$E$6:$E$420,$M1604))</f>
        <v/>
      </c>
      <c r="C1604" s="62" t="str">
        <f aca="false">IF($M1604=0,"",INDEX(Classes!$H$6:$H$420,$M1604))</f>
        <v/>
      </c>
      <c r="D1604" s="61" t="str">
        <f aca="false">IF($M1604=0,"",INDEX(Classes!$B$6:$B$420,$M1604))</f>
        <v/>
      </c>
      <c r="E1604" s="61" t="str">
        <f aca="false">IF($M1604=0,"",INDEX(Classes!$C$6:$C$420,$M1604))</f>
        <v/>
      </c>
      <c r="F1604" s="63"/>
      <c r="G1604" s="63"/>
      <c r="H1604" s="60"/>
      <c r="I1604" s="60"/>
      <c r="J1604" s="63"/>
      <c r="K1604" s="61" t="str">
        <f aca="false">IF($P1604=0,"",IF($F1604="Baseline","— Baseline",IF($O1604=0,"No result",IF($N1604=0,"No Start (attainment only)",IF(OR($N1604=1,$O1604=1),"U – needs rule",INDEX(MxBody,MATCH($I1604,MxCurr,0),MATCH($H1604,MxStart,0)))))))</f>
        <v/>
      </c>
      <c r="L1604" s="62" t="str">
        <f aca="false">IF(COUNTA($A1604,$F1604,$G1604,$H1604,$I1604,$J1604)=0,"",IF($M1604=0,"✖ كود الصف غير موجود",IF(ISNA(MATCH($F1604,Lists!$A$2:$A$5,0)),"✖ الفترة غير صحيحة",IF(ISNA(MATCH($G1604,Lists!$B$2:$B$7,0)),"✖ المجموعة غير صحيحة",IF(NOT(OR($H1604="",$N1604&gt;0)),"✖ Start غير صحيح",IF(NOT(OR($I1604="",$I1604="NR",$O1604&gt;0)),"✖ Current غير صحيح",IF(NOT(IF(ISNUMBER($J1604),AND($J1604&gt;=0,$J1604=INT($J1604)),FALSE())),"✖ العدد يجب أن يكون صحيحًا ≥ 0",IF(AND($F1604="Baseline",$H1604&lt;&gt;""),"⚠ Baseline: Start لا يدخل في التقدم",IF($K1604="No Start (attainment only)","ℹ تحصيل فقط (بدون Start)",IF($K1604="U – needs rule","ℹ حالة U تحتاج قاعدة معتمدة",IF($K1604="No result","ℹ بدون نتيجة (يُستبعد من التحصيل)","OK")))))))))))</f>
        <v/>
      </c>
      <c r="M1604" s="64" t="n">
        <f aca="false">IF($A1604="",0,IFERROR(MATCH($A1604,Classes!$A$6:$A$420,0),0))</f>
        <v>0</v>
      </c>
      <c r="N1604" s="64" t="n">
        <f aca="false">IF($H1604="",0,IFERROR(MATCH($H1604,GradeList,0),0))</f>
        <v>0</v>
      </c>
      <c r="O1604" s="64" t="n">
        <f aca="false">IF(OR($I1604="",$I1604="NR"),0,IFERROR(MATCH($I1604,GradeList,0),0))</f>
        <v>0</v>
      </c>
      <c r="P1604" s="64" t="n">
        <f aca="false">IF(AND($M1604&gt;0,ISNUMBER(MATCH($F1604,Lists!$A$2:$A$5,0)),ISNUMBER(MATCH($G1604,Lists!$B$2:$B$7,0)),OR($H1604="",$N1604&gt;0),OR($I1604="",$I1604="NR",$O1604&gt;0),IF(ISNUMBER($J1604),AND($J1604&gt;=0,$J1604=INT($J1604)),FALSE())),$J1604,0)</f>
        <v>0</v>
      </c>
      <c r="Q1604" s="64" t="n">
        <f aca="false">IF(AND($P1604&gt;0,$O1604&gt;0),$P1604,0)</f>
        <v>0</v>
      </c>
      <c r="R1604" s="64" t="n">
        <f aca="false">IF(AND($Q1604&gt;0,$O1604&gt;=AtRank),$Q1604,0)</f>
        <v>0</v>
      </c>
      <c r="S1604" s="64" t="n">
        <f aca="false">IF(AND($Q1604&gt;0,$O1604&gt;=AboveRank),$Q1604,0)</f>
        <v>0</v>
      </c>
      <c r="T1604" s="64" t="n">
        <f aca="false">IF($K1604="Less",$P1604,0)</f>
        <v>0</v>
      </c>
      <c r="U1604" s="64" t="n">
        <f aca="false">IF($K1604="Expected",$P1604,0)</f>
        <v>0</v>
      </c>
      <c r="V1604" s="64" t="n">
        <f aca="false">IF($K1604="Better",$P1604,0)</f>
        <v>0</v>
      </c>
      <c r="W1604" s="64" t="n">
        <f aca="false">IF($K1604="U – needs rule",$P1604,0)</f>
        <v>0</v>
      </c>
      <c r="X1604" s="64" t="n">
        <f aca="false">IF($K1604="No Start (attainment only)",$P1604,0)</f>
        <v>0</v>
      </c>
    </row>
    <row r="1605" customFormat="false" ht="15" hidden="false" customHeight="false" outlineLevel="0" collapsed="false">
      <c r="A1605" s="60"/>
      <c r="B1605" s="61" t="str">
        <f aca="false">IF($M1605=0,"",INDEX(Classes!$E$6:$E$420,$M1605))</f>
        <v/>
      </c>
      <c r="C1605" s="62" t="str">
        <f aca="false">IF($M1605=0,"",INDEX(Classes!$H$6:$H$420,$M1605))</f>
        <v/>
      </c>
      <c r="D1605" s="61" t="str">
        <f aca="false">IF($M1605=0,"",INDEX(Classes!$B$6:$B$420,$M1605))</f>
        <v/>
      </c>
      <c r="E1605" s="61" t="str">
        <f aca="false">IF($M1605=0,"",INDEX(Classes!$C$6:$C$420,$M1605))</f>
        <v/>
      </c>
      <c r="F1605" s="63"/>
      <c r="G1605" s="63"/>
      <c r="H1605" s="60"/>
      <c r="I1605" s="60"/>
      <c r="J1605" s="63"/>
      <c r="K1605" s="61" t="str">
        <f aca="false">IF($P1605=0,"",IF($F1605="Baseline","— Baseline",IF($O1605=0,"No result",IF($N1605=0,"No Start (attainment only)",IF(OR($N1605=1,$O1605=1),"U – needs rule",INDEX(MxBody,MATCH($I1605,MxCurr,0),MATCH($H1605,MxStart,0)))))))</f>
        <v/>
      </c>
      <c r="L1605" s="62" t="str">
        <f aca="false">IF(COUNTA($A1605,$F1605,$G1605,$H1605,$I1605,$J1605)=0,"",IF($M1605=0,"✖ كود الصف غير موجود",IF(ISNA(MATCH($F1605,Lists!$A$2:$A$5,0)),"✖ الفترة غير صحيحة",IF(ISNA(MATCH($G1605,Lists!$B$2:$B$7,0)),"✖ المجموعة غير صحيحة",IF(NOT(OR($H1605="",$N1605&gt;0)),"✖ Start غير صحيح",IF(NOT(OR($I1605="",$I1605="NR",$O1605&gt;0)),"✖ Current غير صحيح",IF(NOT(IF(ISNUMBER($J1605),AND($J1605&gt;=0,$J1605=INT($J1605)),FALSE())),"✖ العدد يجب أن يكون صحيحًا ≥ 0",IF(AND($F1605="Baseline",$H1605&lt;&gt;""),"⚠ Baseline: Start لا يدخل في التقدم",IF($K1605="No Start (attainment only)","ℹ تحصيل فقط (بدون Start)",IF($K1605="U – needs rule","ℹ حالة U تحتاج قاعدة معتمدة",IF($K1605="No result","ℹ بدون نتيجة (يُستبعد من التحصيل)","OK")))))))))))</f>
        <v/>
      </c>
      <c r="M1605" s="64" t="n">
        <f aca="false">IF($A1605="",0,IFERROR(MATCH($A1605,Classes!$A$6:$A$420,0),0))</f>
        <v>0</v>
      </c>
      <c r="N1605" s="64" t="n">
        <f aca="false">IF($H1605="",0,IFERROR(MATCH($H1605,GradeList,0),0))</f>
        <v>0</v>
      </c>
      <c r="O1605" s="64" t="n">
        <f aca="false">IF(OR($I1605="",$I1605="NR"),0,IFERROR(MATCH($I1605,GradeList,0),0))</f>
        <v>0</v>
      </c>
      <c r="P1605" s="64" t="n">
        <f aca="false">IF(AND($M1605&gt;0,ISNUMBER(MATCH($F1605,Lists!$A$2:$A$5,0)),ISNUMBER(MATCH($G1605,Lists!$B$2:$B$7,0)),OR($H1605="",$N1605&gt;0),OR($I1605="",$I1605="NR",$O1605&gt;0),IF(ISNUMBER($J1605),AND($J1605&gt;=0,$J1605=INT($J1605)),FALSE())),$J1605,0)</f>
        <v>0</v>
      </c>
      <c r="Q1605" s="64" t="n">
        <f aca="false">IF(AND($P1605&gt;0,$O1605&gt;0),$P1605,0)</f>
        <v>0</v>
      </c>
      <c r="R1605" s="64" t="n">
        <f aca="false">IF(AND($Q1605&gt;0,$O1605&gt;=AtRank),$Q1605,0)</f>
        <v>0</v>
      </c>
      <c r="S1605" s="64" t="n">
        <f aca="false">IF(AND($Q1605&gt;0,$O1605&gt;=AboveRank),$Q1605,0)</f>
        <v>0</v>
      </c>
      <c r="T1605" s="64" t="n">
        <f aca="false">IF($K1605="Less",$P1605,0)</f>
        <v>0</v>
      </c>
      <c r="U1605" s="64" t="n">
        <f aca="false">IF($K1605="Expected",$P1605,0)</f>
        <v>0</v>
      </c>
      <c r="V1605" s="64" t="n">
        <f aca="false">IF($K1605="Better",$P1605,0)</f>
        <v>0</v>
      </c>
      <c r="W1605" s="64" t="n">
        <f aca="false">IF($K1605="U – needs rule",$P1605,0)</f>
        <v>0</v>
      </c>
      <c r="X1605" s="64" t="n">
        <f aca="false">IF($K1605="No Start (attainment only)",$P1605,0)</f>
        <v>0</v>
      </c>
    </row>
    <row r="1606" customFormat="false" ht="15" hidden="false" customHeight="false" outlineLevel="0" collapsed="false">
      <c r="A1606" s="60"/>
      <c r="B1606" s="61" t="str">
        <f aca="false">IF($M1606=0,"",INDEX(Classes!$E$6:$E$420,$M1606))</f>
        <v/>
      </c>
      <c r="C1606" s="62" t="str">
        <f aca="false">IF($M1606=0,"",INDEX(Classes!$H$6:$H$420,$M1606))</f>
        <v/>
      </c>
      <c r="D1606" s="61" t="str">
        <f aca="false">IF($M1606=0,"",INDEX(Classes!$B$6:$B$420,$M1606))</f>
        <v/>
      </c>
      <c r="E1606" s="61" t="str">
        <f aca="false">IF($M1606=0,"",INDEX(Classes!$C$6:$C$420,$M1606))</f>
        <v/>
      </c>
      <c r="F1606" s="63"/>
      <c r="G1606" s="63"/>
      <c r="H1606" s="60"/>
      <c r="I1606" s="60"/>
      <c r="J1606" s="63"/>
      <c r="K1606" s="61" t="str">
        <f aca="false">IF($P1606=0,"",IF($F1606="Baseline","— Baseline",IF($O1606=0,"No result",IF($N1606=0,"No Start (attainment only)",IF(OR($N1606=1,$O1606=1),"U – needs rule",INDEX(MxBody,MATCH($I1606,MxCurr,0),MATCH($H1606,MxStart,0)))))))</f>
        <v/>
      </c>
      <c r="L1606" s="62" t="str">
        <f aca="false">IF(COUNTA($A1606,$F1606,$G1606,$H1606,$I1606,$J1606)=0,"",IF($M1606=0,"✖ كود الصف غير موجود",IF(ISNA(MATCH($F1606,Lists!$A$2:$A$5,0)),"✖ الفترة غير صحيحة",IF(ISNA(MATCH($G1606,Lists!$B$2:$B$7,0)),"✖ المجموعة غير صحيحة",IF(NOT(OR($H1606="",$N1606&gt;0)),"✖ Start غير صحيح",IF(NOT(OR($I1606="",$I1606="NR",$O1606&gt;0)),"✖ Current غير صحيح",IF(NOT(IF(ISNUMBER($J1606),AND($J1606&gt;=0,$J1606=INT($J1606)),FALSE())),"✖ العدد يجب أن يكون صحيحًا ≥ 0",IF(AND($F1606="Baseline",$H1606&lt;&gt;""),"⚠ Baseline: Start لا يدخل في التقدم",IF($K1606="No Start (attainment only)","ℹ تحصيل فقط (بدون Start)",IF($K1606="U – needs rule","ℹ حالة U تحتاج قاعدة معتمدة",IF($K1606="No result","ℹ بدون نتيجة (يُستبعد من التحصيل)","OK")))))))))))</f>
        <v/>
      </c>
      <c r="M1606" s="64" t="n">
        <f aca="false">IF($A1606="",0,IFERROR(MATCH($A1606,Classes!$A$6:$A$420,0),0))</f>
        <v>0</v>
      </c>
      <c r="N1606" s="64" t="n">
        <f aca="false">IF($H1606="",0,IFERROR(MATCH($H1606,GradeList,0),0))</f>
        <v>0</v>
      </c>
      <c r="O1606" s="64" t="n">
        <f aca="false">IF(OR($I1606="",$I1606="NR"),0,IFERROR(MATCH($I1606,GradeList,0),0))</f>
        <v>0</v>
      </c>
      <c r="P1606" s="64" t="n">
        <f aca="false">IF(AND($M1606&gt;0,ISNUMBER(MATCH($F1606,Lists!$A$2:$A$5,0)),ISNUMBER(MATCH($G1606,Lists!$B$2:$B$7,0)),OR($H1606="",$N1606&gt;0),OR($I1606="",$I1606="NR",$O1606&gt;0),IF(ISNUMBER($J1606),AND($J1606&gt;=0,$J1606=INT($J1606)),FALSE())),$J1606,0)</f>
        <v>0</v>
      </c>
      <c r="Q1606" s="64" t="n">
        <f aca="false">IF(AND($P1606&gt;0,$O1606&gt;0),$P1606,0)</f>
        <v>0</v>
      </c>
      <c r="R1606" s="64" t="n">
        <f aca="false">IF(AND($Q1606&gt;0,$O1606&gt;=AtRank),$Q1606,0)</f>
        <v>0</v>
      </c>
      <c r="S1606" s="64" t="n">
        <f aca="false">IF(AND($Q1606&gt;0,$O1606&gt;=AboveRank),$Q1606,0)</f>
        <v>0</v>
      </c>
      <c r="T1606" s="64" t="n">
        <f aca="false">IF($K1606="Less",$P1606,0)</f>
        <v>0</v>
      </c>
      <c r="U1606" s="64" t="n">
        <f aca="false">IF($K1606="Expected",$P1606,0)</f>
        <v>0</v>
      </c>
      <c r="V1606" s="64" t="n">
        <f aca="false">IF($K1606="Better",$P1606,0)</f>
        <v>0</v>
      </c>
      <c r="W1606" s="64" t="n">
        <f aca="false">IF($K1606="U – needs rule",$P1606,0)</f>
        <v>0</v>
      </c>
      <c r="X1606" s="64" t="n">
        <f aca="false">IF($K1606="No Start (attainment only)",$P1606,0)</f>
        <v>0</v>
      </c>
    </row>
    <row r="1607" customFormat="false" ht="15" hidden="false" customHeight="false" outlineLevel="0" collapsed="false">
      <c r="A1607" s="60"/>
      <c r="B1607" s="61" t="str">
        <f aca="false">IF($M1607=0,"",INDEX(Classes!$E$6:$E$420,$M1607))</f>
        <v/>
      </c>
      <c r="C1607" s="62" t="str">
        <f aca="false">IF($M1607=0,"",INDEX(Classes!$H$6:$H$420,$M1607))</f>
        <v/>
      </c>
      <c r="D1607" s="61" t="str">
        <f aca="false">IF($M1607=0,"",INDEX(Classes!$B$6:$B$420,$M1607))</f>
        <v/>
      </c>
      <c r="E1607" s="61" t="str">
        <f aca="false">IF($M1607=0,"",INDEX(Classes!$C$6:$C$420,$M1607))</f>
        <v/>
      </c>
      <c r="F1607" s="63"/>
      <c r="G1607" s="63"/>
      <c r="H1607" s="60"/>
      <c r="I1607" s="60"/>
      <c r="J1607" s="63"/>
      <c r="K1607" s="61" t="str">
        <f aca="false">IF($P1607=0,"",IF($F1607="Baseline","— Baseline",IF($O1607=0,"No result",IF($N1607=0,"No Start (attainment only)",IF(OR($N1607=1,$O1607=1),"U – needs rule",INDEX(MxBody,MATCH($I1607,MxCurr,0),MATCH($H1607,MxStart,0)))))))</f>
        <v/>
      </c>
      <c r="L1607" s="62" t="str">
        <f aca="false">IF(COUNTA($A1607,$F1607,$G1607,$H1607,$I1607,$J1607)=0,"",IF($M1607=0,"✖ كود الصف غير موجود",IF(ISNA(MATCH($F1607,Lists!$A$2:$A$5,0)),"✖ الفترة غير صحيحة",IF(ISNA(MATCH($G1607,Lists!$B$2:$B$7,0)),"✖ المجموعة غير صحيحة",IF(NOT(OR($H1607="",$N1607&gt;0)),"✖ Start غير صحيح",IF(NOT(OR($I1607="",$I1607="NR",$O1607&gt;0)),"✖ Current غير صحيح",IF(NOT(IF(ISNUMBER($J1607),AND($J1607&gt;=0,$J1607=INT($J1607)),FALSE())),"✖ العدد يجب أن يكون صحيحًا ≥ 0",IF(AND($F1607="Baseline",$H1607&lt;&gt;""),"⚠ Baseline: Start لا يدخل في التقدم",IF($K1607="No Start (attainment only)","ℹ تحصيل فقط (بدون Start)",IF($K1607="U – needs rule","ℹ حالة U تحتاج قاعدة معتمدة",IF($K1607="No result","ℹ بدون نتيجة (يُستبعد من التحصيل)","OK")))))))))))</f>
        <v/>
      </c>
      <c r="M1607" s="64" t="n">
        <f aca="false">IF($A1607="",0,IFERROR(MATCH($A1607,Classes!$A$6:$A$420,0),0))</f>
        <v>0</v>
      </c>
      <c r="N1607" s="64" t="n">
        <f aca="false">IF($H1607="",0,IFERROR(MATCH($H1607,GradeList,0),0))</f>
        <v>0</v>
      </c>
      <c r="O1607" s="64" t="n">
        <f aca="false">IF(OR($I1607="",$I1607="NR"),0,IFERROR(MATCH($I1607,GradeList,0),0))</f>
        <v>0</v>
      </c>
      <c r="P1607" s="64" t="n">
        <f aca="false">IF(AND($M1607&gt;0,ISNUMBER(MATCH($F1607,Lists!$A$2:$A$5,0)),ISNUMBER(MATCH($G1607,Lists!$B$2:$B$7,0)),OR($H1607="",$N1607&gt;0),OR($I1607="",$I1607="NR",$O1607&gt;0),IF(ISNUMBER($J1607),AND($J1607&gt;=0,$J1607=INT($J1607)),FALSE())),$J1607,0)</f>
        <v>0</v>
      </c>
      <c r="Q1607" s="64" t="n">
        <f aca="false">IF(AND($P1607&gt;0,$O1607&gt;0),$P1607,0)</f>
        <v>0</v>
      </c>
      <c r="R1607" s="64" t="n">
        <f aca="false">IF(AND($Q1607&gt;0,$O1607&gt;=AtRank),$Q1607,0)</f>
        <v>0</v>
      </c>
      <c r="S1607" s="64" t="n">
        <f aca="false">IF(AND($Q1607&gt;0,$O1607&gt;=AboveRank),$Q1607,0)</f>
        <v>0</v>
      </c>
      <c r="T1607" s="64" t="n">
        <f aca="false">IF($K1607="Less",$P1607,0)</f>
        <v>0</v>
      </c>
      <c r="U1607" s="64" t="n">
        <f aca="false">IF($K1607="Expected",$P1607,0)</f>
        <v>0</v>
      </c>
      <c r="V1607" s="64" t="n">
        <f aca="false">IF($K1607="Better",$P1607,0)</f>
        <v>0</v>
      </c>
      <c r="W1607" s="64" t="n">
        <f aca="false">IF($K1607="U – needs rule",$P1607,0)</f>
        <v>0</v>
      </c>
      <c r="X1607" s="64" t="n">
        <f aca="false">IF($K1607="No Start (attainment only)",$P1607,0)</f>
        <v>0</v>
      </c>
    </row>
    <row r="1608" customFormat="false" ht="15" hidden="false" customHeight="false" outlineLevel="0" collapsed="false">
      <c r="A1608" s="60"/>
      <c r="B1608" s="61" t="str">
        <f aca="false">IF($M1608=0,"",INDEX(Classes!$E$6:$E$420,$M1608))</f>
        <v/>
      </c>
      <c r="C1608" s="62" t="str">
        <f aca="false">IF($M1608=0,"",INDEX(Classes!$H$6:$H$420,$M1608))</f>
        <v/>
      </c>
      <c r="D1608" s="61" t="str">
        <f aca="false">IF($M1608=0,"",INDEX(Classes!$B$6:$B$420,$M1608))</f>
        <v/>
      </c>
      <c r="E1608" s="61" t="str">
        <f aca="false">IF($M1608=0,"",INDEX(Classes!$C$6:$C$420,$M1608))</f>
        <v/>
      </c>
      <c r="F1608" s="63"/>
      <c r="G1608" s="63"/>
      <c r="H1608" s="60"/>
      <c r="I1608" s="60"/>
      <c r="J1608" s="63"/>
      <c r="K1608" s="61" t="str">
        <f aca="false">IF($P1608=0,"",IF($F1608="Baseline","— Baseline",IF($O1608=0,"No result",IF($N1608=0,"No Start (attainment only)",IF(OR($N1608=1,$O1608=1),"U – needs rule",INDEX(MxBody,MATCH($I1608,MxCurr,0),MATCH($H1608,MxStart,0)))))))</f>
        <v/>
      </c>
      <c r="L1608" s="62" t="str">
        <f aca="false">IF(COUNTA($A1608,$F1608,$G1608,$H1608,$I1608,$J1608)=0,"",IF($M1608=0,"✖ كود الصف غير موجود",IF(ISNA(MATCH($F1608,Lists!$A$2:$A$5,0)),"✖ الفترة غير صحيحة",IF(ISNA(MATCH($G1608,Lists!$B$2:$B$7,0)),"✖ المجموعة غير صحيحة",IF(NOT(OR($H1608="",$N1608&gt;0)),"✖ Start غير صحيح",IF(NOT(OR($I1608="",$I1608="NR",$O1608&gt;0)),"✖ Current غير صحيح",IF(NOT(IF(ISNUMBER($J1608),AND($J1608&gt;=0,$J1608=INT($J1608)),FALSE())),"✖ العدد يجب أن يكون صحيحًا ≥ 0",IF(AND($F1608="Baseline",$H1608&lt;&gt;""),"⚠ Baseline: Start لا يدخل في التقدم",IF($K1608="No Start (attainment only)","ℹ تحصيل فقط (بدون Start)",IF($K1608="U – needs rule","ℹ حالة U تحتاج قاعدة معتمدة",IF($K1608="No result","ℹ بدون نتيجة (يُستبعد من التحصيل)","OK")))))))))))</f>
        <v/>
      </c>
      <c r="M1608" s="64" t="n">
        <f aca="false">IF($A1608="",0,IFERROR(MATCH($A1608,Classes!$A$6:$A$420,0),0))</f>
        <v>0</v>
      </c>
      <c r="N1608" s="64" t="n">
        <f aca="false">IF($H1608="",0,IFERROR(MATCH($H1608,GradeList,0),0))</f>
        <v>0</v>
      </c>
      <c r="O1608" s="64" t="n">
        <f aca="false">IF(OR($I1608="",$I1608="NR"),0,IFERROR(MATCH($I1608,GradeList,0),0))</f>
        <v>0</v>
      </c>
      <c r="P1608" s="64" t="n">
        <f aca="false">IF(AND($M1608&gt;0,ISNUMBER(MATCH($F1608,Lists!$A$2:$A$5,0)),ISNUMBER(MATCH($G1608,Lists!$B$2:$B$7,0)),OR($H1608="",$N1608&gt;0),OR($I1608="",$I1608="NR",$O1608&gt;0),IF(ISNUMBER($J1608),AND($J1608&gt;=0,$J1608=INT($J1608)),FALSE())),$J1608,0)</f>
        <v>0</v>
      </c>
      <c r="Q1608" s="64" t="n">
        <f aca="false">IF(AND($P1608&gt;0,$O1608&gt;0),$P1608,0)</f>
        <v>0</v>
      </c>
      <c r="R1608" s="64" t="n">
        <f aca="false">IF(AND($Q1608&gt;0,$O1608&gt;=AtRank),$Q1608,0)</f>
        <v>0</v>
      </c>
      <c r="S1608" s="64" t="n">
        <f aca="false">IF(AND($Q1608&gt;0,$O1608&gt;=AboveRank),$Q1608,0)</f>
        <v>0</v>
      </c>
      <c r="T1608" s="64" t="n">
        <f aca="false">IF($K1608="Less",$P1608,0)</f>
        <v>0</v>
      </c>
      <c r="U1608" s="64" t="n">
        <f aca="false">IF($K1608="Expected",$P1608,0)</f>
        <v>0</v>
      </c>
      <c r="V1608" s="64" t="n">
        <f aca="false">IF($K1608="Better",$P1608,0)</f>
        <v>0</v>
      </c>
      <c r="W1608" s="64" t="n">
        <f aca="false">IF($K1608="U – needs rule",$P1608,0)</f>
        <v>0</v>
      </c>
      <c r="X1608" s="64" t="n">
        <f aca="false">IF($K1608="No Start (attainment only)",$P1608,0)</f>
        <v>0</v>
      </c>
    </row>
    <row r="1609" customFormat="false" ht="15" hidden="false" customHeight="false" outlineLevel="0" collapsed="false">
      <c r="A1609" s="60"/>
      <c r="B1609" s="61" t="str">
        <f aca="false">IF($M1609=0,"",INDEX(Classes!$E$6:$E$420,$M1609))</f>
        <v/>
      </c>
      <c r="C1609" s="62" t="str">
        <f aca="false">IF($M1609=0,"",INDEX(Classes!$H$6:$H$420,$M1609))</f>
        <v/>
      </c>
      <c r="D1609" s="61" t="str">
        <f aca="false">IF($M1609=0,"",INDEX(Classes!$B$6:$B$420,$M1609))</f>
        <v/>
      </c>
      <c r="E1609" s="61" t="str">
        <f aca="false">IF($M1609=0,"",INDEX(Classes!$C$6:$C$420,$M1609))</f>
        <v/>
      </c>
      <c r="F1609" s="63"/>
      <c r="G1609" s="63"/>
      <c r="H1609" s="60"/>
      <c r="I1609" s="60"/>
      <c r="J1609" s="63"/>
      <c r="K1609" s="61" t="str">
        <f aca="false">IF($P1609=0,"",IF($F1609="Baseline","— Baseline",IF($O1609=0,"No result",IF($N1609=0,"No Start (attainment only)",IF(OR($N1609=1,$O1609=1),"U – needs rule",INDEX(MxBody,MATCH($I1609,MxCurr,0),MATCH($H1609,MxStart,0)))))))</f>
        <v/>
      </c>
      <c r="L1609" s="62" t="str">
        <f aca="false">IF(COUNTA($A1609,$F1609,$G1609,$H1609,$I1609,$J1609)=0,"",IF($M1609=0,"✖ كود الصف غير موجود",IF(ISNA(MATCH($F1609,Lists!$A$2:$A$5,0)),"✖ الفترة غير صحيحة",IF(ISNA(MATCH($G1609,Lists!$B$2:$B$7,0)),"✖ المجموعة غير صحيحة",IF(NOT(OR($H1609="",$N1609&gt;0)),"✖ Start غير صحيح",IF(NOT(OR($I1609="",$I1609="NR",$O1609&gt;0)),"✖ Current غير صحيح",IF(NOT(IF(ISNUMBER($J1609),AND($J1609&gt;=0,$J1609=INT($J1609)),FALSE())),"✖ العدد يجب أن يكون صحيحًا ≥ 0",IF(AND($F1609="Baseline",$H1609&lt;&gt;""),"⚠ Baseline: Start لا يدخل في التقدم",IF($K1609="No Start (attainment only)","ℹ تحصيل فقط (بدون Start)",IF($K1609="U – needs rule","ℹ حالة U تحتاج قاعدة معتمدة",IF($K1609="No result","ℹ بدون نتيجة (يُستبعد من التحصيل)","OK")))))))))))</f>
        <v/>
      </c>
      <c r="M1609" s="64" t="n">
        <f aca="false">IF($A1609="",0,IFERROR(MATCH($A1609,Classes!$A$6:$A$420,0),0))</f>
        <v>0</v>
      </c>
      <c r="N1609" s="64" t="n">
        <f aca="false">IF($H1609="",0,IFERROR(MATCH($H1609,GradeList,0),0))</f>
        <v>0</v>
      </c>
      <c r="O1609" s="64" t="n">
        <f aca="false">IF(OR($I1609="",$I1609="NR"),0,IFERROR(MATCH($I1609,GradeList,0),0))</f>
        <v>0</v>
      </c>
      <c r="P1609" s="64" t="n">
        <f aca="false">IF(AND($M1609&gt;0,ISNUMBER(MATCH($F1609,Lists!$A$2:$A$5,0)),ISNUMBER(MATCH($G1609,Lists!$B$2:$B$7,0)),OR($H1609="",$N1609&gt;0),OR($I1609="",$I1609="NR",$O1609&gt;0),IF(ISNUMBER($J1609),AND($J1609&gt;=0,$J1609=INT($J1609)),FALSE())),$J1609,0)</f>
        <v>0</v>
      </c>
      <c r="Q1609" s="64" t="n">
        <f aca="false">IF(AND($P1609&gt;0,$O1609&gt;0),$P1609,0)</f>
        <v>0</v>
      </c>
      <c r="R1609" s="64" t="n">
        <f aca="false">IF(AND($Q1609&gt;0,$O1609&gt;=AtRank),$Q1609,0)</f>
        <v>0</v>
      </c>
      <c r="S1609" s="64" t="n">
        <f aca="false">IF(AND($Q1609&gt;0,$O1609&gt;=AboveRank),$Q1609,0)</f>
        <v>0</v>
      </c>
      <c r="T1609" s="64" t="n">
        <f aca="false">IF($K1609="Less",$P1609,0)</f>
        <v>0</v>
      </c>
      <c r="U1609" s="64" t="n">
        <f aca="false">IF($K1609="Expected",$P1609,0)</f>
        <v>0</v>
      </c>
      <c r="V1609" s="64" t="n">
        <f aca="false">IF($K1609="Better",$P1609,0)</f>
        <v>0</v>
      </c>
      <c r="W1609" s="64" t="n">
        <f aca="false">IF($K1609="U – needs rule",$P1609,0)</f>
        <v>0</v>
      </c>
      <c r="X1609" s="64" t="n">
        <f aca="false">IF($K1609="No Start (attainment only)",$P1609,0)</f>
        <v>0</v>
      </c>
    </row>
    <row r="1610" customFormat="false" ht="15" hidden="false" customHeight="false" outlineLevel="0" collapsed="false">
      <c r="A1610" s="60"/>
      <c r="B1610" s="61" t="str">
        <f aca="false">IF($M1610=0,"",INDEX(Classes!$E$6:$E$420,$M1610))</f>
        <v/>
      </c>
      <c r="C1610" s="62" t="str">
        <f aca="false">IF($M1610=0,"",INDEX(Classes!$H$6:$H$420,$M1610))</f>
        <v/>
      </c>
      <c r="D1610" s="61" t="str">
        <f aca="false">IF($M1610=0,"",INDEX(Classes!$B$6:$B$420,$M1610))</f>
        <v/>
      </c>
      <c r="E1610" s="61" t="str">
        <f aca="false">IF($M1610=0,"",INDEX(Classes!$C$6:$C$420,$M1610))</f>
        <v/>
      </c>
      <c r="F1610" s="63"/>
      <c r="G1610" s="63"/>
      <c r="H1610" s="60"/>
      <c r="I1610" s="60"/>
      <c r="J1610" s="63"/>
      <c r="K1610" s="61" t="str">
        <f aca="false">IF($P1610=0,"",IF($F1610="Baseline","— Baseline",IF($O1610=0,"No result",IF($N1610=0,"No Start (attainment only)",IF(OR($N1610=1,$O1610=1),"U – needs rule",INDEX(MxBody,MATCH($I1610,MxCurr,0),MATCH($H1610,MxStart,0)))))))</f>
        <v/>
      </c>
      <c r="L1610" s="62" t="str">
        <f aca="false">IF(COUNTA($A1610,$F1610,$G1610,$H1610,$I1610,$J1610)=0,"",IF($M1610=0,"✖ كود الصف غير موجود",IF(ISNA(MATCH($F1610,Lists!$A$2:$A$5,0)),"✖ الفترة غير صحيحة",IF(ISNA(MATCH($G1610,Lists!$B$2:$B$7,0)),"✖ المجموعة غير صحيحة",IF(NOT(OR($H1610="",$N1610&gt;0)),"✖ Start غير صحيح",IF(NOT(OR($I1610="",$I1610="NR",$O1610&gt;0)),"✖ Current غير صحيح",IF(NOT(IF(ISNUMBER($J1610),AND($J1610&gt;=0,$J1610=INT($J1610)),FALSE())),"✖ العدد يجب أن يكون صحيحًا ≥ 0",IF(AND($F1610="Baseline",$H1610&lt;&gt;""),"⚠ Baseline: Start لا يدخل في التقدم",IF($K1610="No Start (attainment only)","ℹ تحصيل فقط (بدون Start)",IF($K1610="U – needs rule","ℹ حالة U تحتاج قاعدة معتمدة",IF($K1610="No result","ℹ بدون نتيجة (يُستبعد من التحصيل)","OK")))))))))))</f>
        <v/>
      </c>
      <c r="M1610" s="64" t="n">
        <f aca="false">IF($A1610="",0,IFERROR(MATCH($A1610,Classes!$A$6:$A$420,0),0))</f>
        <v>0</v>
      </c>
      <c r="N1610" s="64" t="n">
        <f aca="false">IF($H1610="",0,IFERROR(MATCH($H1610,GradeList,0),0))</f>
        <v>0</v>
      </c>
      <c r="O1610" s="64" t="n">
        <f aca="false">IF(OR($I1610="",$I1610="NR"),0,IFERROR(MATCH($I1610,GradeList,0),0))</f>
        <v>0</v>
      </c>
      <c r="P1610" s="64" t="n">
        <f aca="false">IF(AND($M1610&gt;0,ISNUMBER(MATCH($F1610,Lists!$A$2:$A$5,0)),ISNUMBER(MATCH($G1610,Lists!$B$2:$B$7,0)),OR($H1610="",$N1610&gt;0),OR($I1610="",$I1610="NR",$O1610&gt;0),IF(ISNUMBER($J1610),AND($J1610&gt;=0,$J1610=INT($J1610)),FALSE())),$J1610,0)</f>
        <v>0</v>
      </c>
      <c r="Q1610" s="64" t="n">
        <f aca="false">IF(AND($P1610&gt;0,$O1610&gt;0),$P1610,0)</f>
        <v>0</v>
      </c>
      <c r="R1610" s="64" t="n">
        <f aca="false">IF(AND($Q1610&gt;0,$O1610&gt;=AtRank),$Q1610,0)</f>
        <v>0</v>
      </c>
      <c r="S1610" s="64" t="n">
        <f aca="false">IF(AND($Q1610&gt;0,$O1610&gt;=AboveRank),$Q1610,0)</f>
        <v>0</v>
      </c>
      <c r="T1610" s="64" t="n">
        <f aca="false">IF($K1610="Less",$P1610,0)</f>
        <v>0</v>
      </c>
      <c r="U1610" s="64" t="n">
        <f aca="false">IF($K1610="Expected",$P1610,0)</f>
        <v>0</v>
      </c>
      <c r="V1610" s="64" t="n">
        <f aca="false">IF($K1610="Better",$P1610,0)</f>
        <v>0</v>
      </c>
      <c r="W1610" s="64" t="n">
        <f aca="false">IF($K1610="U – needs rule",$P1610,0)</f>
        <v>0</v>
      </c>
      <c r="X1610" s="64" t="n">
        <f aca="false">IF($K1610="No Start (attainment only)",$P1610,0)</f>
        <v>0</v>
      </c>
    </row>
    <row r="1611" customFormat="false" ht="15" hidden="false" customHeight="false" outlineLevel="0" collapsed="false">
      <c r="A1611" s="60"/>
      <c r="B1611" s="61" t="str">
        <f aca="false">IF($M1611=0,"",INDEX(Classes!$E$6:$E$420,$M1611))</f>
        <v/>
      </c>
      <c r="C1611" s="62" t="str">
        <f aca="false">IF($M1611=0,"",INDEX(Classes!$H$6:$H$420,$M1611))</f>
        <v/>
      </c>
      <c r="D1611" s="61" t="str">
        <f aca="false">IF($M1611=0,"",INDEX(Classes!$B$6:$B$420,$M1611))</f>
        <v/>
      </c>
      <c r="E1611" s="61" t="str">
        <f aca="false">IF($M1611=0,"",INDEX(Classes!$C$6:$C$420,$M1611))</f>
        <v/>
      </c>
      <c r="F1611" s="63"/>
      <c r="G1611" s="63"/>
      <c r="H1611" s="60"/>
      <c r="I1611" s="60"/>
      <c r="J1611" s="63"/>
      <c r="K1611" s="61" t="str">
        <f aca="false">IF($P1611=0,"",IF($F1611="Baseline","— Baseline",IF($O1611=0,"No result",IF($N1611=0,"No Start (attainment only)",IF(OR($N1611=1,$O1611=1),"U – needs rule",INDEX(MxBody,MATCH($I1611,MxCurr,0),MATCH($H1611,MxStart,0)))))))</f>
        <v/>
      </c>
      <c r="L1611" s="62" t="str">
        <f aca="false">IF(COUNTA($A1611,$F1611,$G1611,$H1611,$I1611,$J1611)=0,"",IF($M1611=0,"✖ كود الصف غير موجود",IF(ISNA(MATCH($F1611,Lists!$A$2:$A$5,0)),"✖ الفترة غير صحيحة",IF(ISNA(MATCH($G1611,Lists!$B$2:$B$7,0)),"✖ المجموعة غير صحيحة",IF(NOT(OR($H1611="",$N1611&gt;0)),"✖ Start غير صحيح",IF(NOT(OR($I1611="",$I1611="NR",$O1611&gt;0)),"✖ Current غير صحيح",IF(NOT(IF(ISNUMBER($J1611),AND($J1611&gt;=0,$J1611=INT($J1611)),FALSE())),"✖ العدد يجب أن يكون صحيحًا ≥ 0",IF(AND($F1611="Baseline",$H1611&lt;&gt;""),"⚠ Baseline: Start لا يدخل في التقدم",IF($K1611="No Start (attainment only)","ℹ تحصيل فقط (بدون Start)",IF($K1611="U – needs rule","ℹ حالة U تحتاج قاعدة معتمدة",IF($K1611="No result","ℹ بدون نتيجة (يُستبعد من التحصيل)","OK")))))))))))</f>
        <v/>
      </c>
      <c r="M1611" s="64" t="n">
        <f aca="false">IF($A1611="",0,IFERROR(MATCH($A1611,Classes!$A$6:$A$420,0),0))</f>
        <v>0</v>
      </c>
      <c r="N1611" s="64" t="n">
        <f aca="false">IF($H1611="",0,IFERROR(MATCH($H1611,GradeList,0),0))</f>
        <v>0</v>
      </c>
      <c r="O1611" s="64" t="n">
        <f aca="false">IF(OR($I1611="",$I1611="NR"),0,IFERROR(MATCH($I1611,GradeList,0),0))</f>
        <v>0</v>
      </c>
      <c r="P1611" s="64" t="n">
        <f aca="false">IF(AND($M1611&gt;0,ISNUMBER(MATCH($F1611,Lists!$A$2:$A$5,0)),ISNUMBER(MATCH($G1611,Lists!$B$2:$B$7,0)),OR($H1611="",$N1611&gt;0),OR($I1611="",$I1611="NR",$O1611&gt;0),IF(ISNUMBER($J1611),AND($J1611&gt;=0,$J1611=INT($J1611)),FALSE())),$J1611,0)</f>
        <v>0</v>
      </c>
      <c r="Q1611" s="64" t="n">
        <f aca="false">IF(AND($P1611&gt;0,$O1611&gt;0),$P1611,0)</f>
        <v>0</v>
      </c>
      <c r="R1611" s="64" t="n">
        <f aca="false">IF(AND($Q1611&gt;0,$O1611&gt;=AtRank),$Q1611,0)</f>
        <v>0</v>
      </c>
      <c r="S1611" s="64" t="n">
        <f aca="false">IF(AND($Q1611&gt;0,$O1611&gt;=AboveRank),$Q1611,0)</f>
        <v>0</v>
      </c>
      <c r="T1611" s="64" t="n">
        <f aca="false">IF($K1611="Less",$P1611,0)</f>
        <v>0</v>
      </c>
      <c r="U1611" s="64" t="n">
        <f aca="false">IF($K1611="Expected",$P1611,0)</f>
        <v>0</v>
      </c>
      <c r="V1611" s="64" t="n">
        <f aca="false">IF($K1611="Better",$P1611,0)</f>
        <v>0</v>
      </c>
      <c r="W1611" s="64" t="n">
        <f aca="false">IF($K1611="U – needs rule",$P1611,0)</f>
        <v>0</v>
      </c>
      <c r="X1611" s="64" t="n">
        <f aca="false">IF($K1611="No Start (attainment only)",$P1611,0)</f>
        <v>0</v>
      </c>
    </row>
    <row r="1612" customFormat="false" ht="15" hidden="false" customHeight="false" outlineLevel="0" collapsed="false">
      <c r="A1612" s="60"/>
      <c r="B1612" s="61" t="str">
        <f aca="false">IF($M1612=0,"",INDEX(Classes!$E$6:$E$420,$M1612))</f>
        <v/>
      </c>
      <c r="C1612" s="62" t="str">
        <f aca="false">IF($M1612=0,"",INDEX(Classes!$H$6:$H$420,$M1612))</f>
        <v/>
      </c>
      <c r="D1612" s="61" t="str">
        <f aca="false">IF($M1612=0,"",INDEX(Classes!$B$6:$B$420,$M1612))</f>
        <v/>
      </c>
      <c r="E1612" s="61" t="str">
        <f aca="false">IF($M1612=0,"",INDEX(Classes!$C$6:$C$420,$M1612))</f>
        <v/>
      </c>
      <c r="F1612" s="63"/>
      <c r="G1612" s="63"/>
      <c r="H1612" s="60"/>
      <c r="I1612" s="60"/>
      <c r="J1612" s="63"/>
      <c r="K1612" s="61" t="str">
        <f aca="false">IF($P1612=0,"",IF($F1612="Baseline","— Baseline",IF($O1612=0,"No result",IF($N1612=0,"No Start (attainment only)",IF(OR($N1612=1,$O1612=1),"U – needs rule",INDEX(MxBody,MATCH($I1612,MxCurr,0),MATCH($H1612,MxStart,0)))))))</f>
        <v/>
      </c>
      <c r="L1612" s="62" t="str">
        <f aca="false">IF(COUNTA($A1612,$F1612,$G1612,$H1612,$I1612,$J1612)=0,"",IF($M1612=0,"✖ كود الصف غير موجود",IF(ISNA(MATCH($F1612,Lists!$A$2:$A$5,0)),"✖ الفترة غير صحيحة",IF(ISNA(MATCH($G1612,Lists!$B$2:$B$7,0)),"✖ المجموعة غير صحيحة",IF(NOT(OR($H1612="",$N1612&gt;0)),"✖ Start غير صحيح",IF(NOT(OR($I1612="",$I1612="NR",$O1612&gt;0)),"✖ Current غير صحيح",IF(NOT(IF(ISNUMBER($J1612),AND($J1612&gt;=0,$J1612=INT($J1612)),FALSE())),"✖ العدد يجب أن يكون صحيحًا ≥ 0",IF(AND($F1612="Baseline",$H1612&lt;&gt;""),"⚠ Baseline: Start لا يدخل في التقدم",IF($K1612="No Start (attainment only)","ℹ تحصيل فقط (بدون Start)",IF($K1612="U – needs rule","ℹ حالة U تحتاج قاعدة معتمدة",IF($K1612="No result","ℹ بدون نتيجة (يُستبعد من التحصيل)","OK")))))))))))</f>
        <v/>
      </c>
      <c r="M1612" s="64" t="n">
        <f aca="false">IF($A1612="",0,IFERROR(MATCH($A1612,Classes!$A$6:$A$420,0),0))</f>
        <v>0</v>
      </c>
      <c r="N1612" s="64" t="n">
        <f aca="false">IF($H1612="",0,IFERROR(MATCH($H1612,GradeList,0),0))</f>
        <v>0</v>
      </c>
      <c r="O1612" s="64" t="n">
        <f aca="false">IF(OR($I1612="",$I1612="NR"),0,IFERROR(MATCH($I1612,GradeList,0),0))</f>
        <v>0</v>
      </c>
      <c r="P1612" s="64" t="n">
        <f aca="false">IF(AND($M1612&gt;0,ISNUMBER(MATCH($F1612,Lists!$A$2:$A$5,0)),ISNUMBER(MATCH($G1612,Lists!$B$2:$B$7,0)),OR($H1612="",$N1612&gt;0),OR($I1612="",$I1612="NR",$O1612&gt;0),IF(ISNUMBER($J1612),AND($J1612&gt;=0,$J1612=INT($J1612)),FALSE())),$J1612,0)</f>
        <v>0</v>
      </c>
      <c r="Q1612" s="64" t="n">
        <f aca="false">IF(AND($P1612&gt;0,$O1612&gt;0),$P1612,0)</f>
        <v>0</v>
      </c>
      <c r="R1612" s="64" t="n">
        <f aca="false">IF(AND($Q1612&gt;0,$O1612&gt;=AtRank),$Q1612,0)</f>
        <v>0</v>
      </c>
      <c r="S1612" s="64" t="n">
        <f aca="false">IF(AND($Q1612&gt;0,$O1612&gt;=AboveRank),$Q1612,0)</f>
        <v>0</v>
      </c>
      <c r="T1612" s="64" t="n">
        <f aca="false">IF($K1612="Less",$P1612,0)</f>
        <v>0</v>
      </c>
      <c r="U1612" s="64" t="n">
        <f aca="false">IF($K1612="Expected",$P1612,0)</f>
        <v>0</v>
      </c>
      <c r="V1612" s="64" t="n">
        <f aca="false">IF($K1612="Better",$P1612,0)</f>
        <v>0</v>
      </c>
      <c r="W1612" s="64" t="n">
        <f aca="false">IF($K1612="U – needs rule",$P1612,0)</f>
        <v>0</v>
      </c>
      <c r="X1612" s="64" t="n">
        <f aca="false">IF($K1612="No Start (attainment only)",$P1612,0)</f>
        <v>0</v>
      </c>
    </row>
    <row r="1613" customFormat="false" ht="15" hidden="false" customHeight="false" outlineLevel="0" collapsed="false">
      <c r="A1613" s="60"/>
      <c r="B1613" s="61" t="str">
        <f aca="false">IF($M1613=0,"",INDEX(Classes!$E$6:$E$420,$M1613))</f>
        <v/>
      </c>
      <c r="C1613" s="62" t="str">
        <f aca="false">IF($M1613=0,"",INDEX(Classes!$H$6:$H$420,$M1613))</f>
        <v/>
      </c>
      <c r="D1613" s="61" t="str">
        <f aca="false">IF($M1613=0,"",INDEX(Classes!$B$6:$B$420,$M1613))</f>
        <v/>
      </c>
      <c r="E1613" s="61" t="str">
        <f aca="false">IF($M1613=0,"",INDEX(Classes!$C$6:$C$420,$M1613))</f>
        <v/>
      </c>
      <c r="F1613" s="63"/>
      <c r="G1613" s="63"/>
      <c r="H1613" s="60"/>
      <c r="I1613" s="60"/>
      <c r="J1613" s="63"/>
      <c r="K1613" s="61" t="str">
        <f aca="false">IF($P1613=0,"",IF($F1613="Baseline","— Baseline",IF($O1613=0,"No result",IF($N1613=0,"No Start (attainment only)",IF(OR($N1613=1,$O1613=1),"U – needs rule",INDEX(MxBody,MATCH($I1613,MxCurr,0),MATCH($H1613,MxStart,0)))))))</f>
        <v/>
      </c>
      <c r="L1613" s="62" t="str">
        <f aca="false">IF(COUNTA($A1613,$F1613,$G1613,$H1613,$I1613,$J1613)=0,"",IF($M1613=0,"✖ كود الصف غير موجود",IF(ISNA(MATCH($F1613,Lists!$A$2:$A$5,0)),"✖ الفترة غير صحيحة",IF(ISNA(MATCH($G1613,Lists!$B$2:$B$7,0)),"✖ المجموعة غير صحيحة",IF(NOT(OR($H1613="",$N1613&gt;0)),"✖ Start غير صحيح",IF(NOT(OR($I1613="",$I1613="NR",$O1613&gt;0)),"✖ Current غير صحيح",IF(NOT(IF(ISNUMBER($J1613),AND($J1613&gt;=0,$J1613=INT($J1613)),FALSE())),"✖ العدد يجب أن يكون صحيحًا ≥ 0",IF(AND($F1613="Baseline",$H1613&lt;&gt;""),"⚠ Baseline: Start لا يدخل في التقدم",IF($K1613="No Start (attainment only)","ℹ تحصيل فقط (بدون Start)",IF($K1613="U – needs rule","ℹ حالة U تحتاج قاعدة معتمدة",IF($K1613="No result","ℹ بدون نتيجة (يُستبعد من التحصيل)","OK")))))))))))</f>
        <v/>
      </c>
      <c r="M1613" s="64" t="n">
        <f aca="false">IF($A1613="",0,IFERROR(MATCH($A1613,Classes!$A$6:$A$420,0),0))</f>
        <v>0</v>
      </c>
      <c r="N1613" s="64" t="n">
        <f aca="false">IF($H1613="",0,IFERROR(MATCH($H1613,GradeList,0),0))</f>
        <v>0</v>
      </c>
      <c r="O1613" s="64" t="n">
        <f aca="false">IF(OR($I1613="",$I1613="NR"),0,IFERROR(MATCH($I1613,GradeList,0),0))</f>
        <v>0</v>
      </c>
      <c r="P1613" s="64" t="n">
        <f aca="false">IF(AND($M1613&gt;0,ISNUMBER(MATCH($F1613,Lists!$A$2:$A$5,0)),ISNUMBER(MATCH($G1613,Lists!$B$2:$B$7,0)),OR($H1613="",$N1613&gt;0),OR($I1613="",$I1613="NR",$O1613&gt;0),IF(ISNUMBER($J1613),AND($J1613&gt;=0,$J1613=INT($J1613)),FALSE())),$J1613,0)</f>
        <v>0</v>
      </c>
      <c r="Q1613" s="64" t="n">
        <f aca="false">IF(AND($P1613&gt;0,$O1613&gt;0),$P1613,0)</f>
        <v>0</v>
      </c>
      <c r="R1613" s="64" t="n">
        <f aca="false">IF(AND($Q1613&gt;0,$O1613&gt;=AtRank),$Q1613,0)</f>
        <v>0</v>
      </c>
      <c r="S1613" s="64" t="n">
        <f aca="false">IF(AND($Q1613&gt;0,$O1613&gt;=AboveRank),$Q1613,0)</f>
        <v>0</v>
      </c>
      <c r="T1613" s="64" t="n">
        <f aca="false">IF($K1613="Less",$P1613,0)</f>
        <v>0</v>
      </c>
      <c r="U1613" s="64" t="n">
        <f aca="false">IF($K1613="Expected",$P1613,0)</f>
        <v>0</v>
      </c>
      <c r="V1613" s="64" t="n">
        <f aca="false">IF($K1613="Better",$P1613,0)</f>
        <v>0</v>
      </c>
      <c r="W1613" s="64" t="n">
        <f aca="false">IF($K1613="U – needs rule",$P1613,0)</f>
        <v>0</v>
      </c>
      <c r="X1613" s="64" t="n">
        <f aca="false">IF($K1613="No Start (attainment only)",$P1613,0)</f>
        <v>0</v>
      </c>
    </row>
    <row r="1614" customFormat="false" ht="15" hidden="false" customHeight="false" outlineLevel="0" collapsed="false">
      <c r="A1614" s="60"/>
      <c r="B1614" s="61" t="str">
        <f aca="false">IF($M1614=0,"",INDEX(Classes!$E$6:$E$420,$M1614))</f>
        <v/>
      </c>
      <c r="C1614" s="62" t="str">
        <f aca="false">IF($M1614=0,"",INDEX(Classes!$H$6:$H$420,$M1614))</f>
        <v/>
      </c>
      <c r="D1614" s="61" t="str">
        <f aca="false">IF($M1614=0,"",INDEX(Classes!$B$6:$B$420,$M1614))</f>
        <v/>
      </c>
      <c r="E1614" s="61" t="str">
        <f aca="false">IF($M1614=0,"",INDEX(Classes!$C$6:$C$420,$M1614))</f>
        <v/>
      </c>
      <c r="F1614" s="63"/>
      <c r="G1614" s="63"/>
      <c r="H1614" s="60"/>
      <c r="I1614" s="60"/>
      <c r="J1614" s="63"/>
      <c r="K1614" s="61" t="str">
        <f aca="false">IF($P1614=0,"",IF($F1614="Baseline","— Baseline",IF($O1614=0,"No result",IF($N1614=0,"No Start (attainment only)",IF(OR($N1614=1,$O1614=1),"U – needs rule",INDEX(MxBody,MATCH($I1614,MxCurr,0),MATCH($H1614,MxStart,0)))))))</f>
        <v/>
      </c>
      <c r="L1614" s="62" t="str">
        <f aca="false">IF(COUNTA($A1614,$F1614,$G1614,$H1614,$I1614,$J1614)=0,"",IF($M1614=0,"✖ كود الصف غير موجود",IF(ISNA(MATCH($F1614,Lists!$A$2:$A$5,0)),"✖ الفترة غير صحيحة",IF(ISNA(MATCH($G1614,Lists!$B$2:$B$7,0)),"✖ المجموعة غير صحيحة",IF(NOT(OR($H1614="",$N1614&gt;0)),"✖ Start غير صحيح",IF(NOT(OR($I1614="",$I1614="NR",$O1614&gt;0)),"✖ Current غير صحيح",IF(NOT(IF(ISNUMBER($J1614),AND($J1614&gt;=0,$J1614=INT($J1614)),FALSE())),"✖ العدد يجب أن يكون صحيحًا ≥ 0",IF(AND($F1614="Baseline",$H1614&lt;&gt;""),"⚠ Baseline: Start لا يدخل في التقدم",IF($K1614="No Start (attainment only)","ℹ تحصيل فقط (بدون Start)",IF($K1614="U – needs rule","ℹ حالة U تحتاج قاعدة معتمدة",IF($K1614="No result","ℹ بدون نتيجة (يُستبعد من التحصيل)","OK")))))))))))</f>
        <v/>
      </c>
      <c r="M1614" s="64" t="n">
        <f aca="false">IF($A1614="",0,IFERROR(MATCH($A1614,Classes!$A$6:$A$420,0),0))</f>
        <v>0</v>
      </c>
      <c r="N1614" s="64" t="n">
        <f aca="false">IF($H1614="",0,IFERROR(MATCH($H1614,GradeList,0),0))</f>
        <v>0</v>
      </c>
      <c r="O1614" s="64" t="n">
        <f aca="false">IF(OR($I1614="",$I1614="NR"),0,IFERROR(MATCH($I1614,GradeList,0),0))</f>
        <v>0</v>
      </c>
      <c r="P1614" s="64" t="n">
        <f aca="false">IF(AND($M1614&gt;0,ISNUMBER(MATCH($F1614,Lists!$A$2:$A$5,0)),ISNUMBER(MATCH($G1614,Lists!$B$2:$B$7,0)),OR($H1614="",$N1614&gt;0),OR($I1614="",$I1614="NR",$O1614&gt;0),IF(ISNUMBER($J1614),AND($J1614&gt;=0,$J1614=INT($J1614)),FALSE())),$J1614,0)</f>
        <v>0</v>
      </c>
      <c r="Q1614" s="64" t="n">
        <f aca="false">IF(AND($P1614&gt;0,$O1614&gt;0),$P1614,0)</f>
        <v>0</v>
      </c>
      <c r="R1614" s="64" t="n">
        <f aca="false">IF(AND($Q1614&gt;0,$O1614&gt;=AtRank),$Q1614,0)</f>
        <v>0</v>
      </c>
      <c r="S1614" s="64" t="n">
        <f aca="false">IF(AND($Q1614&gt;0,$O1614&gt;=AboveRank),$Q1614,0)</f>
        <v>0</v>
      </c>
      <c r="T1614" s="64" t="n">
        <f aca="false">IF($K1614="Less",$P1614,0)</f>
        <v>0</v>
      </c>
      <c r="U1614" s="64" t="n">
        <f aca="false">IF($K1614="Expected",$P1614,0)</f>
        <v>0</v>
      </c>
      <c r="V1614" s="64" t="n">
        <f aca="false">IF($K1614="Better",$P1614,0)</f>
        <v>0</v>
      </c>
      <c r="W1614" s="64" t="n">
        <f aca="false">IF($K1614="U – needs rule",$P1614,0)</f>
        <v>0</v>
      </c>
      <c r="X1614" s="64" t="n">
        <f aca="false">IF($K1614="No Start (attainment only)",$P1614,0)</f>
        <v>0</v>
      </c>
    </row>
    <row r="1615" customFormat="false" ht="15" hidden="false" customHeight="false" outlineLevel="0" collapsed="false">
      <c r="A1615" s="60"/>
      <c r="B1615" s="61" t="str">
        <f aca="false">IF($M1615=0,"",INDEX(Classes!$E$6:$E$420,$M1615))</f>
        <v/>
      </c>
      <c r="C1615" s="62" t="str">
        <f aca="false">IF($M1615=0,"",INDEX(Classes!$H$6:$H$420,$M1615))</f>
        <v/>
      </c>
      <c r="D1615" s="61" t="str">
        <f aca="false">IF($M1615=0,"",INDEX(Classes!$B$6:$B$420,$M1615))</f>
        <v/>
      </c>
      <c r="E1615" s="61" t="str">
        <f aca="false">IF($M1615=0,"",INDEX(Classes!$C$6:$C$420,$M1615))</f>
        <v/>
      </c>
      <c r="F1615" s="63"/>
      <c r="G1615" s="63"/>
      <c r="H1615" s="60"/>
      <c r="I1615" s="60"/>
      <c r="J1615" s="63"/>
      <c r="K1615" s="61" t="str">
        <f aca="false">IF($P1615=0,"",IF($F1615="Baseline","— Baseline",IF($O1615=0,"No result",IF($N1615=0,"No Start (attainment only)",IF(OR($N1615=1,$O1615=1),"U – needs rule",INDEX(MxBody,MATCH($I1615,MxCurr,0),MATCH($H1615,MxStart,0)))))))</f>
        <v/>
      </c>
      <c r="L1615" s="62" t="str">
        <f aca="false">IF(COUNTA($A1615,$F1615,$G1615,$H1615,$I1615,$J1615)=0,"",IF($M1615=0,"✖ كود الصف غير موجود",IF(ISNA(MATCH($F1615,Lists!$A$2:$A$5,0)),"✖ الفترة غير صحيحة",IF(ISNA(MATCH($G1615,Lists!$B$2:$B$7,0)),"✖ المجموعة غير صحيحة",IF(NOT(OR($H1615="",$N1615&gt;0)),"✖ Start غير صحيح",IF(NOT(OR($I1615="",$I1615="NR",$O1615&gt;0)),"✖ Current غير صحيح",IF(NOT(IF(ISNUMBER($J1615),AND($J1615&gt;=0,$J1615=INT($J1615)),FALSE())),"✖ العدد يجب أن يكون صحيحًا ≥ 0",IF(AND($F1615="Baseline",$H1615&lt;&gt;""),"⚠ Baseline: Start لا يدخل في التقدم",IF($K1615="No Start (attainment only)","ℹ تحصيل فقط (بدون Start)",IF($K1615="U – needs rule","ℹ حالة U تحتاج قاعدة معتمدة",IF($K1615="No result","ℹ بدون نتيجة (يُستبعد من التحصيل)","OK")))))))))))</f>
        <v/>
      </c>
      <c r="M1615" s="64" t="n">
        <f aca="false">IF($A1615="",0,IFERROR(MATCH($A1615,Classes!$A$6:$A$420,0),0))</f>
        <v>0</v>
      </c>
      <c r="N1615" s="64" t="n">
        <f aca="false">IF($H1615="",0,IFERROR(MATCH($H1615,GradeList,0),0))</f>
        <v>0</v>
      </c>
      <c r="O1615" s="64" t="n">
        <f aca="false">IF(OR($I1615="",$I1615="NR"),0,IFERROR(MATCH($I1615,GradeList,0),0))</f>
        <v>0</v>
      </c>
      <c r="P1615" s="64" t="n">
        <f aca="false">IF(AND($M1615&gt;0,ISNUMBER(MATCH($F1615,Lists!$A$2:$A$5,0)),ISNUMBER(MATCH($G1615,Lists!$B$2:$B$7,0)),OR($H1615="",$N1615&gt;0),OR($I1615="",$I1615="NR",$O1615&gt;0),IF(ISNUMBER($J1615),AND($J1615&gt;=0,$J1615=INT($J1615)),FALSE())),$J1615,0)</f>
        <v>0</v>
      </c>
      <c r="Q1615" s="64" t="n">
        <f aca="false">IF(AND($P1615&gt;0,$O1615&gt;0),$P1615,0)</f>
        <v>0</v>
      </c>
      <c r="R1615" s="64" t="n">
        <f aca="false">IF(AND($Q1615&gt;0,$O1615&gt;=AtRank),$Q1615,0)</f>
        <v>0</v>
      </c>
      <c r="S1615" s="64" t="n">
        <f aca="false">IF(AND($Q1615&gt;0,$O1615&gt;=AboveRank),$Q1615,0)</f>
        <v>0</v>
      </c>
      <c r="T1615" s="64" t="n">
        <f aca="false">IF($K1615="Less",$P1615,0)</f>
        <v>0</v>
      </c>
      <c r="U1615" s="64" t="n">
        <f aca="false">IF($K1615="Expected",$P1615,0)</f>
        <v>0</v>
      </c>
      <c r="V1615" s="64" t="n">
        <f aca="false">IF($K1615="Better",$P1615,0)</f>
        <v>0</v>
      </c>
      <c r="W1615" s="64" t="n">
        <f aca="false">IF($K1615="U – needs rule",$P1615,0)</f>
        <v>0</v>
      </c>
      <c r="X1615" s="64" t="n">
        <f aca="false">IF($K1615="No Start (attainment only)",$P1615,0)</f>
        <v>0</v>
      </c>
    </row>
    <row r="1616" customFormat="false" ht="15" hidden="false" customHeight="false" outlineLevel="0" collapsed="false">
      <c r="A1616" s="60"/>
      <c r="B1616" s="61" t="str">
        <f aca="false">IF($M1616=0,"",INDEX(Classes!$E$6:$E$420,$M1616))</f>
        <v/>
      </c>
      <c r="C1616" s="62" t="str">
        <f aca="false">IF($M1616=0,"",INDEX(Classes!$H$6:$H$420,$M1616))</f>
        <v/>
      </c>
      <c r="D1616" s="61" t="str">
        <f aca="false">IF($M1616=0,"",INDEX(Classes!$B$6:$B$420,$M1616))</f>
        <v/>
      </c>
      <c r="E1616" s="61" t="str">
        <f aca="false">IF($M1616=0,"",INDEX(Classes!$C$6:$C$420,$M1616))</f>
        <v/>
      </c>
      <c r="F1616" s="63"/>
      <c r="G1616" s="63"/>
      <c r="H1616" s="60"/>
      <c r="I1616" s="60"/>
      <c r="J1616" s="63"/>
      <c r="K1616" s="61" t="str">
        <f aca="false">IF($P1616=0,"",IF($F1616="Baseline","— Baseline",IF($O1616=0,"No result",IF($N1616=0,"No Start (attainment only)",IF(OR($N1616=1,$O1616=1),"U – needs rule",INDEX(MxBody,MATCH($I1616,MxCurr,0),MATCH($H1616,MxStart,0)))))))</f>
        <v/>
      </c>
      <c r="L1616" s="62" t="str">
        <f aca="false">IF(COUNTA($A1616,$F1616,$G1616,$H1616,$I1616,$J1616)=0,"",IF($M1616=0,"✖ كود الصف غير موجود",IF(ISNA(MATCH($F1616,Lists!$A$2:$A$5,0)),"✖ الفترة غير صحيحة",IF(ISNA(MATCH($G1616,Lists!$B$2:$B$7,0)),"✖ المجموعة غير صحيحة",IF(NOT(OR($H1616="",$N1616&gt;0)),"✖ Start غير صحيح",IF(NOT(OR($I1616="",$I1616="NR",$O1616&gt;0)),"✖ Current غير صحيح",IF(NOT(IF(ISNUMBER($J1616),AND($J1616&gt;=0,$J1616=INT($J1616)),FALSE())),"✖ العدد يجب أن يكون صحيحًا ≥ 0",IF(AND($F1616="Baseline",$H1616&lt;&gt;""),"⚠ Baseline: Start لا يدخل في التقدم",IF($K1616="No Start (attainment only)","ℹ تحصيل فقط (بدون Start)",IF($K1616="U – needs rule","ℹ حالة U تحتاج قاعدة معتمدة",IF($K1616="No result","ℹ بدون نتيجة (يُستبعد من التحصيل)","OK")))))))))))</f>
        <v/>
      </c>
      <c r="M1616" s="64" t="n">
        <f aca="false">IF($A1616="",0,IFERROR(MATCH($A1616,Classes!$A$6:$A$420,0),0))</f>
        <v>0</v>
      </c>
      <c r="N1616" s="64" t="n">
        <f aca="false">IF($H1616="",0,IFERROR(MATCH($H1616,GradeList,0),0))</f>
        <v>0</v>
      </c>
      <c r="O1616" s="64" t="n">
        <f aca="false">IF(OR($I1616="",$I1616="NR"),0,IFERROR(MATCH($I1616,GradeList,0),0))</f>
        <v>0</v>
      </c>
      <c r="P1616" s="64" t="n">
        <f aca="false">IF(AND($M1616&gt;0,ISNUMBER(MATCH($F1616,Lists!$A$2:$A$5,0)),ISNUMBER(MATCH($G1616,Lists!$B$2:$B$7,0)),OR($H1616="",$N1616&gt;0),OR($I1616="",$I1616="NR",$O1616&gt;0),IF(ISNUMBER($J1616),AND($J1616&gt;=0,$J1616=INT($J1616)),FALSE())),$J1616,0)</f>
        <v>0</v>
      </c>
      <c r="Q1616" s="64" t="n">
        <f aca="false">IF(AND($P1616&gt;0,$O1616&gt;0),$P1616,0)</f>
        <v>0</v>
      </c>
      <c r="R1616" s="64" t="n">
        <f aca="false">IF(AND($Q1616&gt;0,$O1616&gt;=AtRank),$Q1616,0)</f>
        <v>0</v>
      </c>
      <c r="S1616" s="64" t="n">
        <f aca="false">IF(AND($Q1616&gt;0,$O1616&gt;=AboveRank),$Q1616,0)</f>
        <v>0</v>
      </c>
      <c r="T1616" s="64" t="n">
        <f aca="false">IF($K1616="Less",$P1616,0)</f>
        <v>0</v>
      </c>
      <c r="U1616" s="64" t="n">
        <f aca="false">IF($K1616="Expected",$P1616,0)</f>
        <v>0</v>
      </c>
      <c r="V1616" s="64" t="n">
        <f aca="false">IF($K1616="Better",$P1616,0)</f>
        <v>0</v>
      </c>
      <c r="W1616" s="64" t="n">
        <f aca="false">IF($K1616="U – needs rule",$P1616,0)</f>
        <v>0</v>
      </c>
      <c r="X1616" s="64" t="n">
        <f aca="false">IF($K1616="No Start (attainment only)",$P1616,0)</f>
        <v>0</v>
      </c>
    </row>
    <row r="1617" customFormat="false" ht="15" hidden="false" customHeight="false" outlineLevel="0" collapsed="false">
      <c r="A1617" s="60"/>
      <c r="B1617" s="61" t="str">
        <f aca="false">IF($M1617=0,"",INDEX(Classes!$E$6:$E$420,$M1617))</f>
        <v/>
      </c>
      <c r="C1617" s="62" t="str">
        <f aca="false">IF($M1617=0,"",INDEX(Classes!$H$6:$H$420,$M1617))</f>
        <v/>
      </c>
      <c r="D1617" s="61" t="str">
        <f aca="false">IF($M1617=0,"",INDEX(Classes!$B$6:$B$420,$M1617))</f>
        <v/>
      </c>
      <c r="E1617" s="61" t="str">
        <f aca="false">IF($M1617=0,"",INDEX(Classes!$C$6:$C$420,$M1617))</f>
        <v/>
      </c>
      <c r="F1617" s="63"/>
      <c r="G1617" s="63"/>
      <c r="H1617" s="60"/>
      <c r="I1617" s="60"/>
      <c r="J1617" s="63"/>
      <c r="K1617" s="61" t="str">
        <f aca="false">IF($P1617=0,"",IF($F1617="Baseline","— Baseline",IF($O1617=0,"No result",IF($N1617=0,"No Start (attainment only)",IF(OR($N1617=1,$O1617=1),"U – needs rule",INDEX(MxBody,MATCH($I1617,MxCurr,0),MATCH($H1617,MxStart,0)))))))</f>
        <v/>
      </c>
      <c r="L1617" s="62" t="str">
        <f aca="false">IF(COUNTA($A1617,$F1617,$G1617,$H1617,$I1617,$J1617)=0,"",IF($M1617=0,"✖ كود الصف غير موجود",IF(ISNA(MATCH($F1617,Lists!$A$2:$A$5,0)),"✖ الفترة غير صحيحة",IF(ISNA(MATCH($G1617,Lists!$B$2:$B$7,0)),"✖ المجموعة غير صحيحة",IF(NOT(OR($H1617="",$N1617&gt;0)),"✖ Start غير صحيح",IF(NOT(OR($I1617="",$I1617="NR",$O1617&gt;0)),"✖ Current غير صحيح",IF(NOT(IF(ISNUMBER($J1617),AND($J1617&gt;=0,$J1617=INT($J1617)),FALSE())),"✖ العدد يجب أن يكون صحيحًا ≥ 0",IF(AND($F1617="Baseline",$H1617&lt;&gt;""),"⚠ Baseline: Start لا يدخل في التقدم",IF($K1617="No Start (attainment only)","ℹ تحصيل فقط (بدون Start)",IF($K1617="U – needs rule","ℹ حالة U تحتاج قاعدة معتمدة",IF($K1617="No result","ℹ بدون نتيجة (يُستبعد من التحصيل)","OK")))))))))))</f>
        <v/>
      </c>
      <c r="M1617" s="64" t="n">
        <f aca="false">IF($A1617="",0,IFERROR(MATCH($A1617,Classes!$A$6:$A$420,0),0))</f>
        <v>0</v>
      </c>
      <c r="N1617" s="64" t="n">
        <f aca="false">IF($H1617="",0,IFERROR(MATCH($H1617,GradeList,0),0))</f>
        <v>0</v>
      </c>
      <c r="O1617" s="64" t="n">
        <f aca="false">IF(OR($I1617="",$I1617="NR"),0,IFERROR(MATCH($I1617,GradeList,0),0))</f>
        <v>0</v>
      </c>
      <c r="P1617" s="64" t="n">
        <f aca="false">IF(AND($M1617&gt;0,ISNUMBER(MATCH($F1617,Lists!$A$2:$A$5,0)),ISNUMBER(MATCH($G1617,Lists!$B$2:$B$7,0)),OR($H1617="",$N1617&gt;0),OR($I1617="",$I1617="NR",$O1617&gt;0),IF(ISNUMBER($J1617),AND($J1617&gt;=0,$J1617=INT($J1617)),FALSE())),$J1617,0)</f>
        <v>0</v>
      </c>
      <c r="Q1617" s="64" t="n">
        <f aca="false">IF(AND($P1617&gt;0,$O1617&gt;0),$P1617,0)</f>
        <v>0</v>
      </c>
      <c r="R1617" s="64" t="n">
        <f aca="false">IF(AND($Q1617&gt;0,$O1617&gt;=AtRank),$Q1617,0)</f>
        <v>0</v>
      </c>
      <c r="S1617" s="64" t="n">
        <f aca="false">IF(AND($Q1617&gt;0,$O1617&gt;=AboveRank),$Q1617,0)</f>
        <v>0</v>
      </c>
      <c r="T1617" s="64" t="n">
        <f aca="false">IF($K1617="Less",$P1617,0)</f>
        <v>0</v>
      </c>
      <c r="U1617" s="64" t="n">
        <f aca="false">IF($K1617="Expected",$P1617,0)</f>
        <v>0</v>
      </c>
      <c r="V1617" s="64" t="n">
        <f aca="false">IF($K1617="Better",$P1617,0)</f>
        <v>0</v>
      </c>
      <c r="W1617" s="64" t="n">
        <f aca="false">IF($K1617="U – needs rule",$P1617,0)</f>
        <v>0</v>
      </c>
      <c r="X1617" s="64" t="n">
        <f aca="false">IF($K1617="No Start (attainment only)",$P1617,0)</f>
        <v>0</v>
      </c>
    </row>
    <row r="1618" customFormat="false" ht="15" hidden="false" customHeight="false" outlineLevel="0" collapsed="false">
      <c r="A1618" s="60"/>
      <c r="B1618" s="61" t="str">
        <f aca="false">IF($M1618=0,"",INDEX(Classes!$E$6:$E$420,$M1618))</f>
        <v/>
      </c>
      <c r="C1618" s="62" t="str">
        <f aca="false">IF($M1618=0,"",INDEX(Classes!$H$6:$H$420,$M1618))</f>
        <v/>
      </c>
      <c r="D1618" s="61" t="str">
        <f aca="false">IF($M1618=0,"",INDEX(Classes!$B$6:$B$420,$M1618))</f>
        <v/>
      </c>
      <c r="E1618" s="61" t="str">
        <f aca="false">IF($M1618=0,"",INDEX(Classes!$C$6:$C$420,$M1618))</f>
        <v/>
      </c>
      <c r="F1618" s="63"/>
      <c r="G1618" s="63"/>
      <c r="H1618" s="60"/>
      <c r="I1618" s="60"/>
      <c r="J1618" s="63"/>
      <c r="K1618" s="61" t="str">
        <f aca="false">IF($P1618=0,"",IF($F1618="Baseline","— Baseline",IF($O1618=0,"No result",IF($N1618=0,"No Start (attainment only)",IF(OR($N1618=1,$O1618=1),"U – needs rule",INDEX(MxBody,MATCH($I1618,MxCurr,0),MATCH($H1618,MxStart,0)))))))</f>
        <v/>
      </c>
      <c r="L1618" s="62" t="str">
        <f aca="false">IF(COUNTA($A1618,$F1618,$G1618,$H1618,$I1618,$J1618)=0,"",IF($M1618=0,"✖ كود الصف غير موجود",IF(ISNA(MATCH($F1618,Lists!$A$2:$A$5,0)),"✖ الفترة غير صحيحة",IF(ISNA(MATCH($G1618,Lists!$B$2:$B$7,0)),"✖ المجموعة غير صحيحة",IF(NOT(OR($H1618="",$N1618&gt;0)),"✖ Start غير صحيح",IF(NOT(OR($I1618="",$I1618="NR",$O1618&gt;0)),"✖ Current غير صحيح",IF(NOT(IF(ISNUMBER($J1618),AND($J1618&gt;=0,$J1618=INT($J1618)),FALSE())),"✖ العدد يجب أن يكون صحيحًا ≥ 0",IF(AND($F1618="Baseline",$H1618&lt;&gt;""),"⚠ Baseline: Start لا يدخل في التقدم",IF($K1618="No Start (attainment only)","ℹ تحصيل فقط (بدون Start)",IF($K1618="U – needs rule","ℹ حالة U تحتاج قاعدة معتمدة",IF($K1618="No result","ℹ بدون نتيجة (يُستبعد من التحصيل)","OK")))))))))))</f>
        <v/>
      </c>
      <c r="M1618" s="64" t="n">
        <f aca="false">IF($A1618="",0,IFERROR(MATCH($A1618,Classes!$A$6:$A$420,0),0))</f>
        <v>0</v>
      </c>
      <c r="N1618" s="64" t="n">
        <f aca="false">IF($H1618="",0,IFERROR(MATCH($H1618,GradeList,0),0))</f>
        <v>0</v>
      </c>
      <c r="O1618" s="64" t="n">
        <f aca="false">IF(OR($I1618="",$I1618="NR"),0,IFERROR(MATCH($I1618,GradeList,0),0))</f>
        <v>0</v>
      </c>
      <c r="P1618" s="64" t="n">
        <f aca="false">IF(AND($M1618&gt;0,ISNUMBER(MATCH($F1618,Lists!$A$2:$A$5,0)),ISNUMBER(MATCH($G1618,Lists!$B$2:$B$7,0)),OR($H1618="",$N1618&gt;0),OR($I1618="",$I1618="NR",$O1618&gt;0),IF(ISNUMBER($J1618),AND($J1618&gt;=0,$J1618=INT($J1618)),FALSE())),$J1618,0)</f>
        <v>0</v>
      </c>
      <c r="Q1618" s="64" t="n">
        <f aca="false">IF(AND($P1618&gt;0,$O1618&gt;0),$P1618,0)</f>
        <v>0</v>
      </c>
      <c r="R1618" s="64" t="n">
        <f aca="false">IF(AND($Q1618&gt;0,$O1618&gt;=AtRank),$Q1618,0)</f>
        <v>0</v>
      </c>
      <c r="S1618" s="64" t="n">
        <f aca="false">IF(AND($Q1618&gt;0,$O1618&gt;=AboveRank),$Q1618,0)</f>
        <v>0</v>
      </c>
      <c r="T1618" s="64" t="n">
        <f aca="false">IF($K1618="Less",$P1618,0)</f>
        <v>0</v>
      </c>
      <c r="U1618" s="64" t="n">
        <f aca="false">IF($K1618="Expected",$P1618,0)</f>
        <v>0</v>
      </c>
      <c r="V1618" s="64" t="n">
        <f aca="false">IF($K1618="Better",$P1618,0)</f>
        <v>0</v>
      </c>
      <c r="W1618" s="64" t="n">
        <f aca="false">IF($K1618="U – needs rule",$P1618,0)</f>
        <v>0</v>
      </c>
      <c r="X1618" s="64" t="n">
        <f aca="false">IF($K1618="No Start (attainment only)",$P1618,0)</f>
        <v>0</v>
      </c>
    </row>
    <row r="1619" customFormat="false" ht="15" hidden="false" customHeight="false" outlineLevel="0" collapsed="false">
      <c r="A1619" s="60"/>
      <c r="B1619" s="61" t="str">
        <f aca="false">IF($M1619=0,"",INDEX(Classes!$E$6:$E$420,$M1619))</f>
        <v/>
      </c>
      <c r="C1619" s="62" t="str">
        <f aca="false">IF($M1619=0,"",INDEX(Classes!$H$6:$H$420,$M1619))</f>
        <v/>
      </c>
      <c r="D1619" s="61" t="str">
        <f aca="false">IF($M1619=0,"",INDEX(Classes!$B$6:$B$420,$M1619))</f>
        <v/>
      </c>
      <c r="E1619" s="61" t="str">
        <f aca="false">IF($M1619=0,"",INDEX(Classes!$C$6:$C$420,$M1619))</f>
        <v/>
      </c>
      <c r="F1619" s="63"/>
      <c r="G1619" s="63"/>
      <c r="H1619" s="60"/>
      <c r="I1619" s="60"/>
      <c r="J1619" s="63"/>
      <c r="K1619" s="61" t="str">
        <f aca="false">IF($P1619=0,"",IF($F1619="Baseline","— Baseline",IF($O1619=0,"No result",IF($N1619=0,"No Start (attainment only)",IF(OR($N1619=1,$O1619=1),"U – needs rule",INDEX(MxBody,MATCH($I1619,MxCurr,0),MATCH($H1619,MxStart,0)))))))</f>
        <v/>
      </c>
      <c r="L1619" s="62" t="str">
        <f aca="false">IF(COUNTA($A1619,$F1619,$G1619,$H1619,$I1619,$J1619)=0,"",IF($M1619=0,"✖ كود الصف غير موجود",IF(ISNA(MATCH($F1619,Lists!$A$2:$A$5,0)),"✖ الفترة غير صحيحة",IF(ISNA(MATCH($G1619,Lists!$B$2:$B$7,0)),"✖ المجموعة غير صحيحة",IF(NOT(OR($H1619="",$N1619&gt;0)),"✖ Start غير صحيح",IF(NOT(OR($I1619="",$I1619="NR",$O1619&gt;0)),"✖ Current غير صحيح",IF(NOT(IF(ISNUMBER($J1619),AND($J1619&gt;=0,$J1619=INT($J1619)),FALSE())),"✖ العدد يجب أن يكون صحيحًا ≥ 0",IF(AND($F1619="Baseline",$H1619&lt;&gt;""),"⚠ Baseline: Start لا يدخل في التقدم",IF($K1619="No Start (attainment only)","ℹ تحصيل فقط (بدون Start)",IF($K1619="U – needs rule","ℹ حالة U تحتاج قاعدة معتمدة",IF($K1619="No result","ℹ بدون نتيجة (يُستبعد من التحصيل)","OK")))))))))))</f>
        <v/>
      </c>
      <c r="M1619" s="64" t="n">
        <f aca="false">IF($A1619="",0,IFERROR(MATCH($A1619,Classes!$A$6:$A$420,0),0))</f>
        <v>0</v>
      </c>
      <c r="N1619" s="64" t="n">
        <f aca="false">IF($H1619="",0,IFERROR(MATCH($H1619,GradeList,0),0))</f>
        <v>0</v>
      </c>
      <c r="O1619" s="64" t="n">
        <f aca="false">IF(OR($I1619="",$I1619="NR"),0,IFERROR(MATCH($I1619,GradeList,0),0))</f>
        <v>0</v>
      </c>
      <c r="P1619" s="64" t="n">
        <f aca="false">IF(AND($M1619&gt;0,ISNUMBER(MATCH($F1619,Lists!$A$2:$A$5,0)),ISNUMBER(MATCH($G1619,Lists!$B$2:$B$7,0)),OR($H1619="",$N1619&gt;0),OR($I1619="",$I1619="NR",$O1619&gt;0),IF(ISNUMBER($J1619),AND($J1619&gt;=0,$J1619=INT($J1619)),FALSE())),$J1619,0)</f>
        <v>0</v>
      </c>
      <c r="Q1619" s="64" t="n">
        <f aca="false">IF(AND($P1619&gt;0,$O1619&gt;0),$P1619,0)</f>
        <v>0</v>
      </c>
      <c r="R1619" s="64" t="n">
        <f aca="false">IF(AND($Q1619&gt;0,$O1619&gt;=AtRank),$Q1619,0)</f>
        <v>0</v>
      </c>
      <c r="S1619" s="64" t="n">
        <f aca="false">IF(AND($Q1619&gt;0,$O1619&gt;=AboveRank),$Q1619,0)</f>
        <v>0</v>
      </c>
      <c r="T1619" s="64" t="n">
        <f aca="false">IF($K1619="Less",$P1619,0)</f>
        <v>0</v>
      </c>
      <c r="U1619" s="64" t="n">
        <f aca="false">IF($K1619="Expected",$P1619,0)</f>
        <v>0</v>
      </c>
      <c r="V1619" s="64" t="n">
        <f aca="false">IF($K1619="Better",$P1619,0)</f>
        <v>0</v>
      </c>
      <c r="W1619" s="64" t="n">
        <f aca="false">IF($K1619="U – needs rule",$P1619,0)</f>
        <v>0</v>
      </c>
      <c r="X1619" s="64" t="n">
        <f aca="false">IF($K1619="No Start (attainment only)",$P1619,0)</f>
        <v>0</v>
      </c>
    </row>
    <row r="1620" customFormat="false" ht="15" hidden="false" customHeight="false" outlineLevel="0" collapsed="false">
      <c r="A1620" s="60"/>
      <c r="B1620" s="61" t="str">
        <f aca="false">IF($M1620=0,"",INDEX(Classes!$E$6:$E$420,$M1620))</f>
        <v/>
      </c>
      <c r="C1620" s="62" t="str">
        <f aca="false">IF($M1620=0,"",INDEX(Classes!$H$6:$H$420,$M1620))</f>
        <v/>
      </c>
      <c r="D1620" s="61" t="str">
        <f aca="false">IF($M1620=0,"",INDEX(Classes!$B$6:$B$420,$M1620))</f>
        <v/>
      </c>
      <c r="E1620" s="61" t="str">
        <f aca="false">IF($M1620=0,"",INDEX(Classes!$C$6:$C$420,$M1620))</f>
        <v/>
      </c>
      <c r="F1620" s="63"/>
      <c r="G1620" s="63"/>
      <c r="H1620" s="60"/>
      <c r="I1620" s="60"/>
      <c r="J1620" s="63"/>
      <c r="K1620" s="61" t="str">
        <f aca="false">IF($P1620=0,"",IF($F1620="Baseline","— Baseline",IF($O1620=0,"No result",IF($N1620=0,"No Start (attainment only)",IF(OR($N1620=1,$O1620=1),"U – needs rule",INDEX(MxBody,MATCH($I1620,MxCurr,0),MATCH($H1620,MxStart,0)))))))</f>
        <v/>
      </c>
      <c r="L1620" s="62" t="str">
        <f aca="false">IF(COUNTA($A1620,$F1620,$G1620,$H1620,$I1620,$J1620)=0,"",IF($M1620=0,"✖ كود الصف غير موجود",IF(ISNA(MATCH($F1620,Lists!$A$2:$A$5,0)),"✖ الفترة غير صحيحة",IF(ISNA(MATCH($G1620,Lists!$B$2:$B$7,0)),"✖ المجموعة غير صحيحة",IF(NOT(OR($H1620="",$N1620&gt;0)),"✖ Start غير صحيح",IF(NOT(OR($I1620="",$I1620="NR",$O1620&gt;0)),"✖ Current غير صحيح",IF(NOT(IF(ISNUMBER($J1620),AND($J1620&gt;=0,$J1620=INT($J1620)),FALSE())),"✖ العدد يجب أن يكون صحيحًا ≥ 0",IF(AND($F1620="Baseline",$H1620&lt;&gt;""),"⚠ Baseline: Start لا يدخل في التقدم",IF($K1620="No Start (attainment only)","ℹ تحصيل فقط (بدون Start)",IF($K1620="U – needs rule","ℹ حالة U تحتاج قاعدة معتمدة",IF($K1620="No result","ℹ بدون نتيجة (يُستبعد من التحصيل)","OK")))))))))))</f>
        <v/>
      </c>
      <c r="M1620" s="64" t="n">
        <f aca="false">IF($A1620="",0,IFERROR(MATCH($A1620,Classes!$A$6:$A$420,0),0))</f>
        <v>0</v>
      </c>
      <c r="N1620" s="64" t="n">
        <f aca="false">IF($H1620="",0,IFERROR(MATCH($H1620,GradeList,0),0))</f>
        <v>0</v>
      </c>
      <c r="O1620" s="64" t="n">
        <f aca="false">IF(OR($I1620="",$I1620="NR"),0,IFERROR(MATCH($I1620,GradeList,0),0))</f>
        <v>0</v>
      </c>
      <c r="P1620" s="64" t="n">
        <f aca="false">IF(AND($M1620&gt;0,ISNUMBER(MATCH($F1620,Lists!$A$2:$A$5,0)),ISNUMBER(MATCH($G1620,Lists!$B$2:$B$7,0)),OR($H1620="",$N1620&gt;0),OR($I1620="",$I1620="NR",$O1620&gt;0),IF(ISNUMBER($J1620),AND($J1620&gt;=0,$J1620=INT($J1620)),FALSE())),$J1620,0)</f>
        <v>0</v>
      </c>
      <c r="Q1620" s="64" t="n">
        <f aca="false">IF(AND($P1620&gt;0,$O1620&gt;0),$P1620,0)</f>
        <v>0</v>
      </c>
      <c r="R1620" s="64" t="n">
        <f aca="false">IF(AND($Q1620&gt;0,$O1620&gt;=AtRank),$Q1620,0)</f>
        <v>0</v>
      </c>
      <c r="S1620" s="64" t="n">
        <f aca="false">IF(AND($Q1620&gt;0,$O1620&gt;=AboveRank),$Q1620,0)</f>
        <v>0</v>
      </c>
      <c r="T1620" s="64" t="n">
        <f aca="false">IF($K1620="Less",$P1620,0)</f>
        <v>0</v>
      </c>
      <c r="U1620" s="64" t="n">
        <f aca="false">IF($K1620="Expected",$P1620,0)</f>
        <v>0</v>
      </c>
      <c r="V1620" s="64" t="n">
        <f aca="false">IF($K1620="Better",$P1620,0)</f>
        <v>0</v>
      </c>
      <c r="W1620" s="64" t="n">
        <f aca="false">IF($K1620="U – needs rule",$P1620,0)</f>
        <v>0</v>
      </c>
      <c r="X1620" s="64" t="n">
        <f aca="false">IF($K1620="No Start (attainment only)",$P1620,0)</f>
        <v>0</v>
      </c>
    </row>
    <row r="1621" customFormat="false" ht="15" hidden="false" customHeight="false" outlineLevel="0" collapsed="false">
      <c r="A1621" s="60"/>
      <c r="B1621" s="61" t="str">
        <f aca="false">IF($M1621=0,"",INDEX(Classes!$E$6:$E$420,$M1621))</f>
        <v/>
      </c>
      <c r="C1621" s="62" t="str">
        <f aca="false">IF($M1621=0,"",INDEX(Classes!$H$6:$H$420,$M1621))</f>
        <v/>
      </c>
      <c r="D1621" s="61" t="str">
        <f aca="false">IF($M1621=0,"",INDEX(Classes!$B$6:$B$420,$M1621))</f>
        <v/>
      </c>
      <c r="E1621" s="61" t="str">
        <f aca="false">IF($M1621=0,"",INDEX(Classes!$C$6:$C$420,$M1621))</f>
        <v/>
      </c>
      <c r="F1621" s="63"/>
      <c r="G1621" s="63"/>
      <c r="H1621" s="60"/>
      <c r="I1621" s="60"/>
      <c r="J1621" s="63"/>
      <c r="K1621" s="61" t="str">
        <f aca="false">IF($P1621=0,"",IF($F1621="Baseline","— Baseline",IF($O1621=0,"No result",IF($N1621=0,"No Start (attainment only)",IF(OR($N1621=1,$O1621=1),"U – needs rule",INDEX(MxBody,MATCH($I1621,MxCurr,0),MATCH($H1621,MxStart,0)))))))</f>
        <v/>
      </c>
      <c r="L1621" s="62" t="str">
        <f aca="false">IF(COUNTA($A1621,$F1621,$G1621,$H1621,$I1621,$J1621)=0,"",IF($M1621=0,"✖ كود الصف غير موجود",IF(ISNA(MATCH($F1621,Lists!$A$2:$A$5,0)),"✖ الفترة غير صحيحة",IF(ISNA(MATCH($G1621,Lists!$B$2:$B$7,0)),"✖ المجموعة غير صحيحة",IF(NOT(OR($H1621="",$N1621&gt;0)),"✖ Start غير صحيح",IF(NOT(OR($I1621="",$I1621="NR",$O1621&gt;0)),"✖ Current غير صحيح",IF(NOT(IF(ISNUMBER($J1621),AND($J1621&gt;=0,$J1621=INT($J1621)),FALSE())),"✖ العدد يجب أن يكون صحيحًا ≥ 0",IF(AND($F1621="Baseline",$H1621&lt;&gt;""),"⚠ Baseline: Start لا يدخل في التقدم",IF($K1621="No Start (attainment only)","ℹ تحصيل فقط (بدون Start)",IF($K1621="U – needs rule","ℹ حالة U تحتاج قاعدة معتمدة",IF($K1621="No result","ℹ بدون نتيجة (يُستبعد من التحصيل)","OK")))))))))))</f>
        <v/>
      </c>
      <c r="M1621" s="64" t="n">
        <f aca="false">IF($A1621="",0,IFERROR(MATCH($A1621,Classes!$A$6:$A$420,0),0))</f>
        <v>0</v>
      </c>
      <c r="N1621" s="64" t="n">
        <f aca="false">IF($H1621="",0,IFERROR(MATCH($H1621,GradeList,0),0))</f>
        <v>0</v>
      </c>
      <c r="O1621" s="64" t="n">
        <f aca="false">IF(OR($I1621="",$I1621="NR"),0,IFERROR(MATCH($I1621,GradeList,0),0))</f>
        <v>0</v>
      </c>
      <c r="P1621" s="64" t="n">
        <f aca="false">IF(AND($M1621&gt;0,ISNUMBER(MATCH($F1621,Lists!$A$2:$A$5,0)),ISNUMBER(MATCH($G1621,Lists!$B$2:$B$7,0)),OR($H1621="",$N1621&gt;0),OR($I1621="",$I1621="NR",$O1621&gt;0),IF(ISNUMBER($J1621),AND($J1621&gt;=0,$J1621=INT($J1621)),FALSE())),$J1621,0)</f>
        <v>0</v>
      </c>
      <c r="Q1621" s="64" t="n">
        <f aca="false">IF(AND($P1621&gt;0,$O1621&gt;0),$P1621,0)</f>
        <v>0</v>
      </c>
      <c r="R1621" s="64" t="n">
        <f aca="false">IF(AND($Q1621&gt;0,$O1621&gt;=AtRank),$Q1621,0)</f>
        <v>0</v>
      </c>
      <c r="S1621" s="64" t="n">
        <f aca="false">IF(AND($Q1621&gt;0,$O1621&gt;=AboveRank),$Q1621,0)</f>
        <v>0</v>
      </c>
      <c r="T1621" s="64" t="n">
        <f aca="false">IF($K1621="Less",$P1621,0)</f>
        <v>0</v>
      </c>
      <c r="U1621" s="64" t="n">
        <f aca="false">IF($K1621="Expected",$P1621,0)</f>
        <v>0</v>
      </c>
      <c r="V1621" s="64" t="n">
        <f aca="false">IF($K1621="Better",$P1621,0)</f>
        <v>0</v>
      </c>
      <c r="W1621" s="64" t="n">
        <f aca="false">IF($K1621="U – needs rule",$P1621,0)</f>
        <v>0</v>
      </c>
      <c r="X1621" s="64" t="n">
        <f aca="false">IF($K1621="No Start (attainment only)",$P1621,0)</f>
        <v>0</v>
      </c>
    </row>
    <row r="1622" customFormat="false" ht="15" hidden="false" customHeight="false" outlineLevel="0" collapsed="false">
      <c r="A1622" s="60"/>
      <c r="B1622" s="61" t="str">
        <f aca="false">IF($M1622=0,"",INDEX(Classes!$E$6:$E$420,$M1622))</f>
        <v/>
      </c>
      <c r="C1622" s="62" t="str">
        <f aca="false">IF($M1622=0,"",INDEX(Classes!$H$6:$H$420,$M1622))</f>
        <v/>
      </c>
      <c r="D1622" s="61" t="str">
        <f aca="false">IF($M1622=0,"",INDEX(Classes!$B$6:$B$420,$M1622))</f>
        <v/>
      </c>
      <c r="E1622" s="61" t="str">
        <f aca="false">IF($M1622=0,"",INDEX(Classes!$C$6:$C$420,$M1622))</f>
        <v/>
      </c>
      <c r="F1622" s="63"/>
      <c r="G1622" s="63"/>
      <c r="H1622" s="60"/>
      <c r="I1622" s="60"/>
      <c r="J1622" s="63"/>
      <c r="K1622" s="61" t="str">
        <f aca="false">IF($P1622=0,"",IF($F1622="Baseline","— Baseline",IF($O1622=0,"No result",IF($N1622=0,"No Start (attainment only)",IF(OR($N1622=1,$O1622=1),"U – needs rule",INDEX(MxBody,MATCH($I1622,MxCurr,0),MATCH($H1622,MxStart,0)))))))</f>
        <v/>
      </c>
      <c r="L1622" s="62" t="str">
        <f aca="false">IF(COUNTA($A1622,$F1622,$G1622,$H1622,$I1622,$J1622)=0,"",IF($M1622=0,"✖ كود الصف غير موجود",IF(ISNA(MATCH($F1622,Lists!$A$2:$A$5,0)),"✖ الفترة غير صحيحة",IF(ISNA(MATCH($G1622,Lists!$B$2:$B$7,0)),"✖ المجموعة غير صحيحة",IF(NOT(OR($H1622="",$N1622&gt;0)),"✖ Start غير صحيح",IF(NOT(OR($I1622="",$I1622="NR",$O1622&gt;0)),"✖ Current غير صحيح",IF(NOT(IF(ISNUMBER($J1622),AND($J1622&gt;=0,$J1622=INT($J1622)),FALSE())),"✖ العدد يجب أن يكون صحيحًا ≥ 0",IF(AND($F1622="Baseline",$H1622&lt;&gt;""),"⚠ Baseline: Start لا يدخل في التقدم",IF($K1622="No Start (attainment only)","ℹ تحصيل فقط (بدون Start)",IF($K1622="U – needs rule","ℹ حالة U تحتاج قاعدة معتمدة",IF($K1622="No result","ℹ بدون نتيجة (يُستبعد من التحصيل)","OK")))))))))))</f>
        <v/>
      </c>
      <c r="M1622" s="64" t="n">
        <f aca="false">IF($A1622="",0,IFERROR(MATCH($A1622,Classes!$A$6:$A$420,0),0))</f>
        <v>0</v>
      </c>
      <c r="N1622" s="64" t="n">
        <f aca="false">IF($H1622="",0,IFERROR(MATCH($H1622,GradeList,0),0))</f>
        <v>0</v>
      </c>
      <c r="O1622" s="64" t="n">
        <f aca="false">IF(OR($I1622="",$I1622="NR"),0,IFERROR(MATCH($I1622,GradeList,0),0))</f>
        <v>0</v>
      </c>
      <c r="P1622" s="64" t="n">
        <f aca="false">IF(AND($M1622&gt;0,ISNUMBER(MATCH($F1622,Lists!$A$2:$A$5,0)),ISNUMBER(MATCH($G1622,Lists!$B$2:$B$7,0)),OR($H1622="",$N1622&gt;0),OR($I1622="",$I1622="NR",$O1622&gt;0),IF(ISNUMBER($J1622),AND($J1622&gt;=0,$J1622=INT($J1622)),FALSE())),$J1622,0)</f>
        <v>0</v>
      </c>
      <c r="Q1622" s="64" t="n">
        <f aca="false">IF(AND($P1622&gt;0,$O1622&gt;0),$P1622,0)</f>
        <v>0</v>
      </c>
      <c r="R1622" s="64" t="n">
        <f aca="false">IF(AND($Q1622&gt;0,$O1622&gt;=AtRank),$Q1622,0)</f>
        <v>0</v>
      </c>
      <c r="S1622" s="64" t="n">
        <f aca="false">IF(AND($Q1622&gt;0,$O1622&gt;=AboveRank),$Q1622,0)</f>
        <v>0</v>
      </c>
      <c r="T1622" s="64" t="n">
        <f aca="false">IF($K1622="Less",$P1622,0)</f>
        <v>0</v>
      </c>
      <c r="U1622" s="64" t="n">
        <f aca="false">IF($K1622="Expected",$P1622,0)</f>
        <v>0</v>
      </c>
      <c r="V1622" s="64" t="n">
        <f aca="false">IF($K1622="Better",$P1622,0)</f>
        <v>0</v>
      </c>
      <c r="W1622" s="64" t="n">
        <f aca="false">IF($K1622="U – needs rule",$P1622,0)</f>
        <v>0</v>
      </c>
      <c r="X1622" s="64" t="n">
        <f aca="false">IF($K1622="No Start (attainment only)",$P1622,0)</f>
        <v>0</v>
      </c>
    </row>
    <row r="1623" customFormat="false" ht="15" hidden="false" customHeight="false" outlineLevel="0" collapsed="false">
      <c r="A1623" s="60"/>
      <c r="B1623" s="61" t="str">
        <f aca="false">IF($M1623=0,"",INDEX(Classes!$E$6:$E$420,$M1623))</f>
        <v/>
      </c>
      <c r="C1623" s="62" t="str">
        <f aca="false">IF($M1623=0,"",INDEX(Classes!$H$6:$H$420,$M1623))</f>
        <v/>
      </c>
      <c r="D1623" s="61" t="str">
        <f aca="false">IF($M1623=0,"",INDEX(Classes!$B$6:$B$420,$M1623))</f>
        <v/>
      </c>
      <c r="E1623" s="61" t="str">
        <f aca="false">IF($M1623=0,"",INDEX(Classes!$C$6:$C$420,$M1623))</f>
        <v/>
      </c>
      <c r="F1623" s="63"/>
      <c r="G1623" s="63"/>
      <c r="H1623" s="60"/>
      <c r="I1623" s="60"/>
      <c r="J1623" s="63"/>
      <c r="K1623" s="61" t="str">
        <f aca="false">IF($P1623=0,"",IF($F1623="Baseline","— Baseline",IF($O1623=0,"No result",IF($N1623=0,"No Start (attainment only)",IF(OR($N1623=1,$O1623=1),"U – needs rule",INDEX(MxBody,MATCH($I1623,MxCurr,0),MATCH($H1623,MxStart,0)))))))</f>
        <v/>
      </c>
      <c r="L1623" s="62" t="str">
        <f aca="false">IF(COUNTA($A1623,$F1623,$G1623,$H1623,$I1623,$J1623)=0,"",IF($M1623=0,"✖ كود الصف غير موجود",IF(ISNA(MATCH($F1623,Lists!$A$2:$A$5,0)),"✖ الفترة غير صحيحة",IF(ISNA(MATCH($G1623,Lists!$B$2:$B$7,0)),"✖ المجموعة غير صحيحة",IF(NOT(OR($H1623="",$N1623&gt;0)),"✖ Start غير صحيح",IF(NOT(OR($I1623="",$I1623="NR",$O1623&gt;0)),"✖ Current غير صحيح",IF(NOT(IF(ISNUMBER($J1623),AND($J1623&gt;=0,$J1623=INT($J1623)),FALSE())),"✖ العدد يجب أن يكون صحيحًا ≥ 0",IF(AND($F1623="Baseline",$H1623&lt;&gt;""),"⚠ Baseline: Start لا يدخل في التقدم",IF($K1623="No Start (attainment only)","ℹ تحصيل فقط (بدون Start)",IF($K1623="U – needs rule","ℹ حالة U تحتاج قاعدة معتمدة",IF($K1623="No result","ℹ بدون نتيجة (يُستبعد من التحصيل)","OK")))))))))))</f>
        <v/>
      </c>
      <c r="M1623" s="64" t="n">
        <f aca="false">IF($A1623="",0,IFERROR(MATCH($A1623,Classes!$A$6:$A$420,0),0))</f>
        <v>0</v>
      </c>
      <c r="N1623" s="64" t="n">
        <f aca="false">IF($H1623="",0,IFERROR(MATCH($H1623,GradeList,0),0))</f>
        <v>0</v>
      </c>
      <c r="O1623" s="64" t="n">
        <f aca="false">IF(OR($I1623="",$I1623="NR"),0,IFERROR(MATCH($I1623,GradeList,0),0))</f>
        <v>0</v>
      </c>
      <c r="P1623" s="64" t="n">
        <f aca="false">IF(AND($M1623&gt;0,ISNUMBER(MATCH($F1623,Lists!$A$2:$A$5,0)),ISNUMBER(MATCH($G1623,Lists!$B$2:$B$7,0)),OR($H1623="",$N1623&gt;0),OR($I1623="",$I1623="NR",$O1623&gt;0),IF(ISNUMBER($J1623),AND($J1623&gt;=0,$J1623=INT($J1623)),FALSE())),$J1623,0)</f>
        <v>0</v>
      </c>
      <c r="Q1623" s="64" t="n">
        <f aca="false">IF(AND($P1623&gt;0,$O1623&gt;0),$P1623,0)</f>
        <v>0</v>
      </c>
      <c r="R1623" s="64" t="n">
        <f aca="false">IF(AND($Q1623&gt;0,$O1623&gt;=AtRank),$Q1623,0)</f>
        <v>0</v>
      </c>
      <c r="S1623" s="64" t="n">
        <f aca="false">IF(AND($Q1623&gt;0,$O1623&gt;=AboveRank),$Q1623,0)</f>
        <v>0</v>
      </c>
      <c r="T1623" s="64" t="n">
        <f aca="false">IF($K1623="Less",$P1623,0)</f>
        <v>0</v>
      </c>
      <c r="U1623" s="64" t="n">
        <f aca="false">IF($K1623="Expected",$P1623,0)</f>
        <v>0</v>
      </c>
      <c r="V1623" s="64" t="n">
        <f aca="false">IF($K1623="Better",$P1623,0)</f>
        <v>0</v>
      </c>
      <c r="W1623" s="64" t="n">
        <f aca="false">IF($K1623="U – needs rule",$P1623,0)</f>
        <v>0</v>
      </c>
      <c r="X1623" s="64" t="n">
        <f aca="false">IF($K1623="No Start (attainment only)",$P1623,0)</f>
        <v>0</v>
      </c>
    </row>
    <row r="1624" customFormat="false" ht="15" hidden="false" customHeight="false" outlineLevel="0" collapsed="false">
      <c r="A1624" s="60"/>
      <c r="B1624" s="61" t="str">
        <f aca="false">IF($M1624=0,"",INDEX(Classes!$E$6:$E$420,$M1624))</f>
        <v/>
      </c>
      <c r="C1624" s="62" t="str">
        <f aca="false">IF($M1624=0,"",INDEX(Classes!$H$6:$H$420,$M1624))</f>
        <v/>
      </c>
      <c r="D1624" s="61" t="str">
        <f aca="false">IF($M1624=0,"",INDEX(Classes!$B$6:$B$420,$M1624))</f>
        <v/>
      </c>
      <c r="E1624" s="61" t="str">
        <f aca="false">IF($M1624=0,"",INDEX(Classes!$C$6:$C$420,$M1624))</f>
        <v/>
      </c>
      <c r="F1624" s="63"/>
      <c r="G1624" s="63"/>
      <c r="H1624" s="60"/>
      <c r="I1624" s="60"/>
      <c r="J1624" s="63"/>
      <c r="K1624" s="61" t="str">
        <f aca="false">IF($P1624=0,"",IF($F1624="Baseline","— Baseline",IF($O1624=0,"No result",IF($N1624=0,"No Start (attainment only)",IF(OR($N1624=1,$O1624=1),"U – needs rule",INDEX(MxBody,MATCH($I1624,MxCurr,0),MATCH($H1624,MxStart,0)))))))</f>
        <v/>
      </c>
      <c r="L1624" s="62" t="str">
        <f aca="false">IF(COUNTA($A1624,$F1624,$G1624,$H1624,$I1624,$J1624)=0,"",IF($M1624=0,"✖ كود الصف غير موجود",IF(ISNA(MATCH($F1624,Lists!$A$2:$A$5,0)),"✖ الفترة غير صحيحة",IF(ISNA(MATCH($G1624,Lists!$B$2:$B$7,0)),"✖ المجموعة غير صحيحة",IF(NOT(OR($H1624="",$N1624&gt;0)),"✖ Start غير صحيح",IF(NOT(OR($I1624="",$I1624="NR",$O1624&gt;0)),"✖ Current غير صحيح",IF(NOT(IF(ISNUMBER($J1624),AND($J1624&gt;=0,$J1624=INT($J1624)),FALSE())),"✖ العدد يجب أن يكون صحيحًا ≥ 0",IF(AND($F1624="Baseline",$H1624&lt;&gt;""),"⚠ Baseline: Start لا يدخل في التقدم",IF($K1624="No Start (attainment only)","ℹ تحصيل فقط (بدون Start)",IF($K1624="U – needs rule","ℹ حالة U تحتاج قاعدة معتمدة",IF($K1624="No result","ℹ بدون نتيجة (يُستبعد من التحصيل)","OK")))))))))))</f>
        <v/>
      </c>
      <c r="M1624" s="64" t="n">
        <f aca="false">IF($A1624="",0,IFERROR(MATCH($A1624,Classes!$A$6:$A$420,0),0))</f>
        <v>0</v>
      </c>
      <c r="N1624" s="64" t="n">
        <f aca="false">IF($H1624="",0,IFERROR(MATCH($H1624,GradeList,0),0))</f>
        <v>0</v>
      </c>
      <c r="O1624" s="64" t="n">
        <f aca="false">IF(OR($I1624="",$I1624="NR"),0,IFERROR(MATCH($I1624,GradeList,0),0))</f>
        <v>0</v>
      </c>
      <c r="P1624" s="64" t="n">
        <f aca="false">IF(AND($M1624&gt;0,ISNUMBER(MATCH($F1624,Lists!$A$2:$A$5,0)),ISNUMBER(MATCH($G1624,Lists!$B$2:$B$7,0)),OR($H1624="",$N1624&gt;0),OR($I1624="",$I1624="NR",$O1624&gt;0),IF(ISNUMBER($J1624),AND($J1624&gt;=0,$J1624=INT($J1624)),FALSE())),$J1624,0)</f>
        <v>0</v>
      </c>
      <c r="Q1624" s="64" t="n">
        <f aca="false">IF(AND($P1624&gt;0,$O1624&gt;0),$P1624,0)</f>
        <v>0</v>
      </c>
      <c r="R1624" s="64" t="n">
        <f aca="false">IF(AND($Q1624&gt;0,$O1624&gt;=AtRank),$Q1624,0)</f>
        <v>0</v>
      </c>
      <c r="S1624" s="64" t="n">
        <f aca="false">IF(AND($Q1624&gt;0,$O1624&gt;=AboveRank),$Q1624,0)</f>
        <v>0</v>
      </c>
      <c r="T1624" s="64" t="n">
        <f aca="false">IF($K1624="Less",$P1624,0)</f>
        <v>0</v>
      </c>
      <c r="U1624" s="64" t="n">
        <f aca="false">IF($K1624="Expected",$P1624,0)</f>
        <v>0</v>
      </c>
      <c r="V1624" s="64" t="n">
        <f aca="false">IF($K1624="Better",$P1624,0)</f>
        <v>0</v>
      </c>
      <c r="W1624" s="64" t="n">
        <f aca="false">IF($K1624="U – needs rule",$P1624,0)</f>
        <v>0</v>
      </c>
      <c r="X1624" s="64" t="n">
        <f aca="false">IF($K1624="No Start (attainment only)",$P1624,0)</f>
        <v>0</v>
      </c>
    </row>
    <row r="1625" customFormat="false" ht="15" hidden="false" customHeight="false" outlineLevel="0" collapsed="false">
      <c r="A1625" s="60"/>
      <c r="B1625" s="61" t="str">
        <f aca="false">IF($M1625=0,"",INDEX(Classes!$E$6:$E$420,$M1625))</f>
        <v/>
      </c>
      <c r="C1625" s="62" t="str">
        <f aca="false">IF($M1625=0,"",INDEX(Classes!$H$6:$H$420,$M1625))</f>
        <v/>
      </c>
      <c r="D1625" s="61" t="str">
        <f aca="false">IF($M1625=0,"",INDEX(Classes!$B$6:$B$420,$M1625))</f>
        <v/>
      </c>
      <c r="E1625" s="61" t="str">
        <f aca="false">IF($M1625=0,"",INDEX(Classes!$C$6:$C$420,$M1625))</f>
        <v/>
      </c>
      <c r="F1625" s="63"/>
      <c r="G1625" s="63"/>
      <c r="H1625" s="60"/>
      <c r="I1625" s="60"/>
      <c r="J1625" s="63"/>
      <c r="K1625" s="61" t="str">
        <f aca="false">IF($P1625=0,"",IF($F1625="Baseline","— Baseline",IF($O1625=0,"No result",IF($N1625=0,"No Start (attainment only)",IF(OR($N1625=1,$O1625=1),"U – needs rule",INDEX(MxBody,MATCH($I1625,MxCurr,0),MATCH($H1625,MxStart,0)))))))</f>
        <v/>
      </c>
      <c r="L1625" s="62" t="str">
        <f aca="false">IF(COUNTA($A1625,$F1625,$G1625,$H1625,$I1625,$J1625)=0,"",IF($M1625=0,"✖ كود الصف غير موجود",IF(ISNA(MATCH($F1625,Lists!$A$2:$A$5,0)),"✖ الفترة غير صحيحة",IF(ISNA(MATCH($G1625,Lists!$B$2:$B$7,0)),"✖ المجموعة غير صحيحة",IF(NOT(OR($H1625="",$N1625&gt;0)),"✖ Start غير صحيح",IF(NOT(OR($I1625="",$I1625="NR",$O1625&gt;0)),"✖ Current غير صحيح",IF(NOT(IF(ISNUMBER($J1625),AND($J1625&gt;=0,$J1625=INT($J1625)),FALSE())),"✖ العدد يجب أن يكون صحيحًا ≥ 0",IF(AND($F1625="Baseline",$H1625&lt;&gt;""),"⚠ Baseline: Start لا يدخل في التقدم",IF($K1625="No Start (attainment only)","ℹ تحصيل فقط (بدون Start)",IF($K1625="U – needs rule","ℹ حالة U تحتاج قاعدة معتمدة",IF($K1625="No result","ℹ بدون نتيجة (يُستبعد من التحصيل)","OK")))))))))))</f>
        <v/>
      </c>
      <c r="M1625" s="64" t="n">
        <f aca="false">IF($A1625="",0,IFERROR(MATCH($A1625,Classes!$A$6:$A$420,0),0))</f>
        <v>0</v>
      </c>
      <c r="N1625" s="64" t="n">
        <f aca="false">IF($H1625="",0,IFERROR(MATCH($H1625,GradeList,0),0))</f>
        <v>0</v>
      </c>
      <c r="O1625" s="64" t="n">
        <f aca="false">IF(OR($I1625="",$I1625="NR"),0,IFERROR(MATCH($I1625,GradeList,0),0))</f>
        <v>0</v>
      </c>
      <c r="P1625" s="64" t="n">
        <f aca="false">IF(AND($M1625&gt;0,ISNUMBER(MATCH($F1625,Lists!$A$2:$A$5,0)),ISNUMBER(MATCH($G1625,Lists!$B$2:$B$7,0)),OR($H1625="",$N1625&gt;0),OR($I1625="",$I1625="NR",$O1625&gt;0),IF(ISNUMBER($J1625),AND($J1625&gt;=0,$J1625=INT($J1625)),FALSE())),$J1625,0)</f>
        <v>0</v>
      </c>
      <c r="Q1625" s="64" t="n">
        <f aca="false">IF(AND($P1625&gt;0,$O1625&gt;0),$P1625,0)</f>
        <v>0</v>
      </c>
      <c r="R1625" s="64" t="n">
        <f aca="false">IF(AND($Q1625&gt;0,$O1625&gt;=AtRank),$Q1625,0)</f>
        <v>0</v>
      </c>
      <c r="S1625" s="64" t="n">
        <f aca="false">IF(AND($Q1625&gt;0,$O1625&gt;=AboveRank),$Q1625,0)</f>
        <v>0</v>
      </c>
      <c r="T1625" s="64" t="n">
        <f aca="false">IF($K1625="Less",$P1625,0)</f>
        <v>0</v>
      </c>
      <c r="U1625" s="64" t="n">
        <f aca="false">IF($K1625="Expected",$P1625,0)</f>
        <v>0</v>
      </c>
      <c r="V1625" s="64" t="n">
        <f aca="false">IF($K1625="Better",$P1625,0)</f>
        <v>0</v>
      </c>
      <c r="W1625" s="64" t="n">
        <f aca="false">IF($K1625="U – needs rule",$P1625,0)</f>
        <v>0</v>
      </c>
      <c r="X1625" s="64" t="n">
        <f aca="false">IF($K1625="No Start (attainment only)",$P1625,0)</f>
        <v>0</v>
      </c>
    </row>
    <row r="1626" customFormat="false" ht="15" hidden="false" customHeight="false" outlineLevel="0" collapsed="false">
      <c r="A1626" s="60"/>
      <c r="B1626" s="61" t="str">
        <f aca="false">IF($M1626=0,"",INDEX(Classes!$E$6:$E$420,$M1626))</f>
        <v/>
      </c>
      <c r="C1626" s="62" t="str">
        <f aca="false">IF($M1626=0,"",INDEX(Classes!$H$6:$H$420,$M1626))</f>
        <v/>
      </c>
      <c r="D1626" s="61" t="str">
        <f aca="false">IF($M1626=0,"",INDEX(Classes!$B$6:$B$420,$M1626))</f>
        <v/>
      </c>
      <c r="E1626" s="61" t="str">
        <f aca="false">IF($M1626=0,"",INDEX(Classes!$C$6:$C$420,$M1626))</f>
        <v/>
      </c>
      <c r="F1626" s="63"/>
      <c r="G1626" s="63"/>
      <c r="H1626" s="60"/>
      <c r="I1626" s="60"/>
      <c r="J1626" s="63"/>
      <c r="K1626" s="61" t="str">
        <f aca="false">IF($P1626=0,"",IF($F1626="Baseline","— Baseline",IF($O1626=0,"No result",IF($N1626=0,"No Start (attainment only)",IF(OR($N1626=1,$O1626=1),"U – needs rule",INDEX(MxBody,MATCH($I1626,MxCurr,0),MATCH($H1626,MxStart,0)))))))</f>
        <v/>
      </c>
      <c r="L1626" s="62" t="str">
        <f aca="false">IF(COUNTA($A1626,$F1626,$G1626,$H1626,$I1626,$J1626)=0,"",IF($M1626=0,"✖ كود الصف غير موجود",IF(ISNA(MATCH($F1626,Lists!$A$2:$A$5,0)),"✖ الفترة غير صحيحة",IF(ISNA(MATCH($G1626,Lists!$B$2:$B$7,0)),"✖ المجموعة غير صحيحة",IF(NOT(OR($H1626="",$N1626&gt;0)),"✖ Start غير صحيح",IF(NOT(OR($I1626="",$I1626="NR",$O1626&gt;0)),"✖ Current غير صحيح",IF(NOT(IF(ISNUMBER($J1626),AND($J1626&gt;=0,$J1626=INT($J1626)),FALSE())),"✖ العدد يجب أن يكون صحيحًا ≥ 0",IF(AND($F1626="Baseline",$H1626&lt;&gt;""),"⚠ Baseline: Start لا يدخل في التقدم",IF($K1626="No Start (attainment only)","ℹ تحصيل فقط (بدون Start)",IF($K1626="U – needs rule","ℹ حالة U تحتاج قاعدة معتمدة",IF($K1626="No result","ℹ بدون نتيجة (يُستبعد من التحصيل)","OK")))))))))))</f>
        <v/>
      </c>
      <c r="M1626" s="64" t="n">
        <f aca="false">IF($A1626="",0,IFERROR(MATCH($A1626,Classes!$A$6:$A$420,0),0))</f>
        <v>0</v>
      </c>
      <c r="N1626" s="64" t="n">
        <f aca="false">IF($H1626="",0,IFERROR(MATCH($H1626,GradeList,0),0))</f>
        <v>0</v>
      </c>
      <c r="O1626" s="64" t="n">
        <f aca="false">IF(OR($I1626="",$I1626="NR"),0,IFERROR(MATCH($I1626,GradeList,0),0))</f>
        <v>0</v>
      </c>
      <c r="P1626" s="64" t="n">
        <f aca="false">IF(AND($M1626&gt;0,ISNUMBER(MATCH($F1626,Lists!$A$2:$A$5,0)),ISNUMBER(MATCH($G1626,Lists!$B$2:$B$7,0)),OR($H1626="",$N1626&gt;0),OR($I1626="",$I1626="NR",$O1626&gt;0),IF(ISNUMBER($J1626),AND($J1626&gt;=0,$J1626=INT($J1626)),FALSE())),$J1626,0)</f>
        <v>0</v>
      </c>
      <c r="Q1626" s="64" t="n">
        <f aca="false">IF(AND($P1626&gt;0,$O1626&gt;0),$P1626,0)</f>
        <v>0</v>
      </c>
      <c r="R1626" s="64" t="n">
        <f aca="false">IF(AND($Q1626&gt;0,$O1626&gt;=AtRank),$Q1626,0)</f>
        <v>0</v>
      </c>
      <c r="S1626" s="64" t="n">
        <f aca="false">IF(AND($Q1626&gt;0,$O1626&gt;=AboveRank),$Q1626,0)</f>
        <v>0</v>
      </c>
      <c r="T1626" s="64" t="n">
        <f aca="false">IF($K1626="Less",$P1626,0)</f>
        <v>0</v>
      </c>
      <c r="U1626" s="64" t="n">
        <f aca="false">IF($K1626="Expected",$P1626,0)</f>
        <v>0</v>
      </c>
      <c r="V1626" s="64" t="n">
        <f aca="false">IF($K1626="Better",$P1626,0)</f>
        <v>0</v>
      </c>
      <c r="W1626" s="64" t="n">
        <f aca="false">IF($K1626="U – needs rule",$P1626,0)</f>
        <v>0</v>
      </c>
      <c r="X1626" s="64" t="n">
        <f aca="false">IF($K1626="No Start (attainment only)",$P1626,0)</f>
        <v>0</v>
      </c>
    </row>
    <row r="1627" customFormat="false" ht="15" hidden="false" customHeight="false" outlineLevel="0" collapsed="false">
      <c r="A1627" s="60"/>
      <c r="B1627" s="61" t="str">
        <f aca="false">IF($M1627=0,"",INDEX(Classes!$E$6:$E$420,$M1627))</f>
        <v/>
      </c>
      <c r="C1627" s="62" t="str">
        <f aca="false">IF($M1627=0,"",INDEX(Classes!$H$6:$H$420,$M1627))</f>
        <v/>
      </c>
      <c r="D1627" s="61" t="str">
        <f aca="false">IF($M1627=0,"",INDEX(Classes!$B$6:$B$420,$M1627))</f>
        <v/>
      </c>
      <c r="E1627" s="61" t="str">
        <f aca="false">IF($M1627=0,"",INDEX(Classes!$C$6:$C$420,$M1627))</f>
        <v/>
      </c>
      <c r="F1627" s="63"/>
      <c r="G1627" s="63"/>
      <c r="H1627" s="60"/>
      <c r="I1627" s="60"/>
      <c r="J1627" s="63"/>
      <c r="K1627" s="61" t="str">
        <f aca="false">IF($P1627=0,"",IF($F1627="Baseline","— Baseline",IF($O1627=0,"No result",IF($N1627=0,"No Start (attainment only)",IF(OR($N1627=1,$O1627=1),"U – needs rule",INDEX(MxBody,MATCH($I1627,MxCurr,0),MATCH($H1627,MxStart,0)))))))</f>
        <v/>
      </c>
      <c r="L1627" s="62" t="str">
        <f aca="false">IF(COUNTA($A1627,$F1627,$G1627,$H1627,$I1627,$J1627)=0,"",IF($M1627=0,"✖ كود الصف غير موجود",IF(ISNA(MATCH($F1627,Lists!$A$2:$A$5,0)),"✖ الفترة غير صحيحة",IF(ISNA(MATCH($G1627,Lists!$B$2:$B$7,0)),"✖ المجموعة غير صحيحة",IF(NOT(OR($H1627="",$N1627&gt;0)),"✖ Start غير صحيح",IF(NOT(OR($I1627="",$I1627="NR",$O1627&gt;0)),"✖ Current غير صحيح",IF(NOT(IF(ISNUMBER($J1627),AND($J1627&gt;=0,$J1627=INT($J1627)),FALSE())),"✖ العدد يجب أن يكون صحيحًا ≥ 0",IF(AND($F1627="Baseline",$H1627&lt;&gt;""),"⚠ Baseline: Start لا يدخل في التقدم",IF($K1627="No Start (attainment only)","ℹ تحصيل فقط (بدون Start)",IF($K1627="U – needs rule","ℹ حالة U تحتاج قاعدة معتمدة",IF($K1627="No result","ℹ بدون نتيجة (يُستبعد من التحصيل)","OK")))))))))))</f>
        <v/>
      </c>
      <c r="M1627" s="64" t="n">
        <f aca="false">IF($A1627="",0,IFERROR(MATCH($A1627,Classes!$A$6:$A$420,0),0))</f>
        <v>0</v>
      </c>
      <c r="N1627" s="64" t="n">
        <f aca="false">IF($H1627="",0,IFERROR(MATCH($H1627,GradeList,0),0))</f>
        <v>0</v>
      </c>
      <c r="O1627" s="64" t="n">
        <f aca="false">IF(OR($I1627="",$I1627="NR"),0,IFERROR(MATCH($I1627,GradeList,0),0))</f>
        <v>0</v>
      </c>
      <c r="P1627" s="64" t="n">
        <f aca="false">IF(AND($M1627&gt;0,ISNUMBER(MATCH($F1627,Lists!$A$2:$A$5,0)),ISNUMBER(MATCH($G1627,Lists!$B$2:$B$7,0)),OR($H1627="",$N1627&gt;0),OR($I1627="",$I1627="NR",$O1627&gt;0),IF(ISNUMBER($J1627),AND($J1627&gt;=0,$J1627=INT($J1627)),FALSE())),$J1627,0)</f>
        <v>0</v>
      </c>
      <c r="Q1627" s="64" t="n">
        <f aca="false">IF(AND($P1627&gt;0,$O1627&gt;0),$P1627,0)</f>
        <v>0</v>
      </c>
      <c r="R1627" s="64" t="n">
        <f aca="false">IF(AND($Q1627&gt;0,$O1627&gt;=AtRank),$Q1627,0)</f>
        <v>0</v>
      </c>
      <c r="S1627" s="64" t="n">
        <f aca="false">IF(AND($Q1627&gt;0,$O1627&gt;=AboveRank),$Q1627,0)</f>
        <v>0</v>
      </c>
      <c r="T1627" s="64" t="n">
        <f aca="false">IF($K1627="Less",$P1627,0)</f>
        <v>0</v>
      </c>
      <c r="U1627" s="64" t="n">
        <f aca="false">IF($K1627="Expected",$P1627,0)</f>
        <v>0</v>
      </c>
      <c r="V1627" s="64" t="n">
        <f aca="false">IF($K1627="Better",$P1627,0)</f>
        <v>0</v>
      </c>
      <c r="W1627" s="64" t="n">
        <f aca="false">IF($K1627="U – needs rule",$P1627,0)</f>
        <v>0</v>
      </c>
      <c r="X1627" s="64" t="n">
        <f aca="false">IF($K1627="No Start (attainment only)",$P1627,0)</f>
        <v>0</v>
      </c>
    </row>
    <row r="1628" customFormat="false" ht="15" hidden="false" customHeight="false" outlineLevel="0" collapsed="false">
      <c r="A1628" s="60"/>
      <c r="B1628" s="61" t="str">
        <f aca="false">IF($M1628=0,"",INDEX(Classes!$E$6:$E$420,$M1628))</f>
        <v/>
      </c>
      <c r="C1628" s="62" t="str">
        <f aca="false">IF($M1628=0,"",INDEX(Classes!$H$6:$H$420,$M1628))</f>
        <v/>
      </c>
      <c r="D1628" s="61" t="str">
        <f aca="false">IF($M1628=0,"",INDEX(Classes!$B$6:$B$420,$M1628))</f>
        <v/>
      </c>
      <c r="E1628" s="61" t="str">
        <f aca="false">IF($M1628=0,"",INDEX(Classes!$C$6:$C$420,$M1628))</f>
        <v/>
      </c>
      <c r="F1628" s="63"/>
      <c r="G1628" s="63"/>
      <c r="H1628" s="60"/>
      <c r="I1628" s="60"/>
      <c r="J1628" s="63"/>
      <c r="K1628" s="61" t="str">
        <f aca="false">IF($P1628=0,"",IF($F1628="Baseline","— Baseline",IF($O1628=0,"No result",IF($N1628=0,"No Start (attainment only)",IF(OR($N1628=1,$O1628=1),"U – needs rule",INDEX(MxBody,MATCH($I1628,MxCurr,0),MATCH($H1628,MxStart,0)))))))</f>
        <v/>
      </c>
      <c r="L1628" s="62" t="str">
        <f aca="false">IF(COUNTA($A1628,$F1628,$G1628,$H1628,$I1628,$J1628)=0,"",IF($M1628=0,"✖ كود الصف غير موجود",IF(ISNA(MATCH($F1628,Lists!$A$2:$A$5,0)),"✖ الفترة غير صحيحة",IF(ISNA(MATCH($G1628,Lists!$B$2:$B$7,0)),"✖ المجموعة غير صحيحة",IF(NOT(OR($H1628="",$N1628&gt;0)),"✖ Start غير صحيح",IF(NOT(OR($I1628="",$I1628="NR",$O1628&gt;0)),"✖ Current غير صحيح",IF(NOT(IF(ISNUMBER($J1628),AND($J1628&gt;=0,$J1628=INT($J1628)),FALSE())),"✖ العدد يجب أن يكون صحيحًا ≥ 0",IF(AND($F1628="Baseline",$H1628&lt;&gt;""),"⚠ Baseline: Start لا يدخل في التقدم",IF($K1628="No Start (attainment only)","ℹ تحصيل فقط (بدون Start)",IF($K1628="U – needs rule","ℹ حالة U تحتاج قاعدة معتمدة",IF($K1628="No result","ℹ بدون نتيجة (يُستبعد من التحصيل)","OK")))))))))))</f>
        <v/>
      </c>
      <c r="M1628" s="64" t="n">
        <f aca="false">IF($A1628="",0,IFERROR(MATCH($A1628,Classes!$A$6:$A$420,0),0))</f>
        <v>0</v>
      </c>
      <c r="N1628" s="64" t="n">
        <f aca="false">IF($H1628="",0,IFERROR(MATCH($H1628,GradeList,0),0))</f>
        <v>0</v>
      </c>
      <c r="O1628" s="64" t="n">
        <f aca="false">IF(OR($I1628="",$I1628="NR"),0,IFERROR(MATCH($I1628,GradeList,0),0))</f>
        <v>0</v>
      </c>
      <c r="P1628" s="64" t="n">
        <f aca="false">IF(AND($M1628&gt;0,ISNUMBER(MATCH($F1628,Lists!$A$2:$A$5,0)),ISNUMBER(MATCH($G1628,Lists!$B$2:$B$7,0)),OR($H1628="",$N1628&gt;0),OR($I1628="",$I1628="NR",$O1628&gt;0),IF(ISNUMBER($J1628),AND($J1628&gt;=0,$J1628=INT($J1628)),FALSE())),$J1628,0)</f>
        <v>0</v>
      </c>
      <c r="Q1628" s="64" t="n">
        <f aca="false">IF(AND($P1628&gt;0,$O1628&gt;0),$P1628,0)</f>
        <v>0</v>
      </c>
      <c r="R1628" s="64" t="n">
        <f aca="false">IF(AND($Q1628&gt;0,$O1628&gt;=AtRank),$Q1628,0)</f>
        <v>0</v>
      </c>
      <c r="S1628" s="64" t="n">
        <f aca="false">IF(AND($Q1628&gt;0,$O1628&gt;=AboveRank),$Q1628,0)</f>
        <v>0</v>
      </c>
      <c r="T1628" s="64" t="n">
        <f aca="false">IF($K1628="Less",$P1628,0)</f>
        <v>0</v>
      </c>
      <c r="U1628" s="64" t="n">
        <f aca="false">IF($K1628="Expected",$P1628,0)</f>
        <v>0</v>
      </c>
      <c r="V1628" s="64" t="n">
        <f aca="false">IF($K1628="Better",$P1628,0)</f>
        <v>0</v>
      </c>
      <c r="W1628" s="64" t="n">
        <f aca="false">IF($K1628="U – needs rule",$P1628,0)</f>
        <v>0</v>
      </c>
      <c r="X1628" s="64" t="n">
        <f aca="false">IF($K1628="No Start (attainment only)",$P1628,0)</f>
        <v>0</v>
      </c>
    </row>
    <row r="1629" customFormat="false" ht="15" hidden="false" customHeight="false" outlineLevel="0" collapsed="false">
      <c r="A1629" s="60"/>
      <c r="B1629" s="61" t="str">
        <f aca="false">IF($M1629=0,"",INDEX(Classes!$E$6:$E$420,$M1629))</f>
        <v/>
      </c>
      <c r="C1629" s="62" t="str">
        <f aca="false">IF($M1629=0,"",INDEX(Classes!$H$6:$H$420,$M1629))</f>
        <v/>
      </c>
      <c r="D1629" s="61" t="str">
        <f aca="false">IF($M1629=0,"",INDEX(Classes!$B$6:$B$420,$M1629))</f>
        <v/>
      </c>
      <c r="E1629" s="61" t="str">
        <f aca="false">IF($M1629=0,"",INDEX(Classes!$C$6:$C$420,$M1629))</f>
        <v/>
      </c>
      <c r="F1629" s="63"/>
      <c r="G1629" s="63"/>
      <c r="H1629" s="60"/>
      <c r="I1629" s="60"/>
      <c r="J1629" s="63"/>
      <c r="K1629" s="61" t="str">
        <f aca="false">IF($P1629=0,"",IF($F1629="Baseline","— Baseline",IF($O1629=0,"No result",IF($N1629=0,"No Start (attainment only)",IF(OR($N1629=1,$O1629=1),"U – needs rule",INDEX(MxBody,MATCH($I1629,MxCurr,0),MATCH($H1629,MxStart,0)))))))</f>
        <v/>
      </c>
      <c r="L1629" s="62" t="str">
        <f aca="false">IF(COUNTA($A1629,$F1629,$G1629,$H1629,$I1629,$J1629)=0,"",IF($M1629=0,"✖ كود الصف غير موجود",IF(ISNA(MATCH($F1629,Lists!$A$2:$A$5,0)),"✖ الفترة غير صحيحة",IF(ISNA(MATCH($G1629,Lists!$B$2:$B$7,0)),"✖ المجموعة غير صحيحة",IF(NOT(OR($H1629="",$N1629&gt;0)),"✖ Start غير صحيح",IF(NOT(OR($I1629="",$I1629="NR",$O1629&gt;0)),"✖ Current غير صحيح",IF(NOT(IF(ISNUMBER($J1629),AND($J1629&gt;=0,$J1629=INT($J1629)),FALSE())),"✖ العدد يجب أن يكون صحيحًا ≥ 0",IF(AND($F1629="Baseline",$H1629&lt;&gt;""),"⚠ Baseline: Start لا يدخل في التقدم",IF($K1629="No Start (attainment only)","ℹ تحصيل فقط (بدون Start)",IF($K1629="U – needs rule","ℹ حالة U تحتاج قاعدة معتمدة",IF($K1629="No result","ℹ بدون نتيجة (يُستبعد من التحصيل)","OK")))))))))))</f>
        <v/>
      </c>
      <c r="M1629" s="64" t="n">
        <f aca="false">IF($A1629="",0,IFERROR(MATCH($A1629,Classes!$A$6:$A$420,0),0))</f>
        <v>0</v>
      </c>
      <c r="N1629" s="64" t="n">
        <f aca="false">IF($H1629="",0,IFERROR(MATCH($H1629,GradeList,0),0))</f>
        <v>0</v>
      </c>
      <c r="O1629" s="64" t="n">
        <f aca="false">IF(OR($I1629="",$I1629="NR"),0,IFERROR(MATCH($I1629,GradeList,0),0))</f>
        <v>0</v>
      </c>
      <c r="P1629" s="64" t="n">
        <f aca="false">IF(AND($M1629&gt;0,ISNUMBER(MATCH($F1629,Lists!$A$2:$A$5,0)),ISNUMBER(MATCH($G1629,Lists!$B$2:$B$7,0)),OR($H1629="",$N1629&gt;0),OR($I1629="",$I1629="NR",$O1629&gt;0),IF(ISNUMBER($J1629),AND($J1629&gt;=0,$J1629=INT($J1629)),FALSE())),$J1629,0)</f>
        <v>0</v>
      </c>
      <c r="Q1629" s="64" t="n">
        <f aca="false">IF(AND($P1629&gt;0,$O1629&gt;0),$P1629,0)</f>
        <v>0</v>
      </c>
      <c r="R1629" s="64" t="n">
        <f aca="false">IF(AND($Q1629&gt;0,$O1629&gt;=AtRank),$Q1629,0)</f>
        <v>0</v>
      </c>
      <c r="S1629" s="64" t="n">
        <f aca="false">IF(AND($Q1629&gt;0,$O1629&gt;=AboveRank),$Q1629,0)</f>
        <v>0</v>
      </c>
      <c r="T1629" s="64" t="n">
        <f aca="false">IF($K1629="Less",$P1629,0)</f>
        <v>0</v>
      </c>
      <c r="U1629" s="64" t="n">
        <f aca="false">IF($K1629="Expected",$P1629,0)</f>
        <v>0</v>
      </c>
      <c r="V1629" s="64" t="n">
        <f aca="false">IF($K1629="Better",$P1629,0)</f>
        <v>0</v>
      </c>
      <c r="W1629" s="64" t="n">
        <f aca="false">IF($K1629="U – needs rule",$P1629,0)</f>
        <v>0</v>
      </c>
      <c r="X1629" s="64" t="n">
        <f aca="false">IF($K1629="No Start (attainment only)",$P1629,0)</f>
        <v>0</v>
      </c>
    </row>
    <row r="1630" customFormat="false" ht="15" hidden="false" customHeight="false" outlineLevel="0" collapsed="false">
      <c r="A1630" s="60"/>
      <c r="B1630" s="61" t="str">
        <f aca="false">IF($M1630=0,"",INDEX(Classes!$E$6:$E$420,$M1630))</f>
        <v/>
      </c>
      <c r="C1630" s="62" t="str">
        <f aca="false">IF($M1630=0,"",INDEX(Classes!$H$6:$H$420,$M1630))</f>
        <v/>
      </c>
      <c r="D1630" s="61" t="str">
        <f aca="false">IF($M1630=0,"",INDEX(Classes!$B$6:$B$420,$M1630))</f>
        <v/>
      </c>
      <c r="E1630" s="61" t="str">
        <f aca="false">IF($M1630=0,"",INDEX(Classes!$C$6:$C$420,$M1630))</f>
        <v/>
      </c>
      <c r="F1630" s="63"/>
      <c r="G1630" s="63"/>
      <c r="H1630" s="60"/>
      <c r="I1630" s="60"/>
      <c r="J1630" s="63"/>
      <c r="K1630" s="61" t="str">
        <f aca="false">IF($P1630=0,"",IF($F1630="Baseline","— Baseline",IF($O1630=0,"No result",IF($N1630=0,"No Start (attainment only)",IF(OR($N1630=1,$O1630=1),"U – needs rule",INDEX(MxBody,MATCH($I1630,MxCurr,0),MATCH($H1630,MxStart,0)))))))</f>
        <v/>
      </c>
      <c r="L1630" s="62" t="str">
        <f aca="false">IF(COUNTA($A1630,$F1630,$G1630,$H1630,$I1630,$J1630)=0,"",IF($M1630=0,"✖ كود الصف غير موجود",IF(ISNA(MATCH($F1630,Lists!$A$2:$A$5,0)),"✖ الفترة غير صحيحة",IF(ISNA(MATCH($G1630,Lists!$B$2:$B$7,0)),"✖ المجموعة غير صحيحة",IF(NOT(OR($H1630="",$N1630&gt;0)),"✖ Start غير صحيح",IF(NOT(OR($I1630="",$I1630="NR",$O1630&gt;0)),"✖ Current غير صحيح",IF(NOT(IF(ISNUMBER($J1630),AND($J1630&gt;=0,$J1630=INT($J1630)),FALSE())),"✖ العدد يجب أن يكون صحيحًا ≥ 0",IF(AND($F1630="Baseline",$H1630&lt;&gt;""),"⚠ Baseline: Start لا يدخل في التقدم",IF($K1630="No Start (attainment only)","ℹ تحصيل فقط (بدون Start)",IF($K1630="U – needs rule","ℹ حالة U تحتاج قاعدة معتمدة",IF($K1630="No result","ℹ بدون نتيجة (يُستبعد من التحصيل)","OK")))))))))))</f>
        <v/>
      </c>
      <c r="M1630" s="64" t="n">
        <f aca="false">IF($A1630="",0,IFERROR(MATCH($A1630,Classes!$A$6:$A$420,0),0))</f>
        <v>0</v>
      </c>
      <c r="N1630" s="64" t="n">
        <f aca="false">IF($H1630="",0,IFERROR(MATCH($H1630,GradeList,0),0))</f>
        <v>0</v>
      </c>
      <c r="O1630" s="64" t="n">
        <f aca="false">IF(OR($I1630="",$I1630="NR"),0,IFERROR(MATCH($I1630,GradeList,0),0))</f>
        <v>0</v>
      </c>
      <c r="P1630" s="64" t="n">
        <f aca="false">IF(AND($M1630&gt;0,ISNUMBER(MATCH($F1630,Lists!$A$2:$A$5,0)),ISNUMBER(MATCH($G1630,Lists!$B$2:$B$7,0)),OR($H1630="",$N1630&gt;0),OR($I1630="",$I1630="NR",$O1630&gt;0),IF(ISNUMBER($J1630),AND($J1630&gt;=0,$J1630=INT($J1630)),FALSE())),$J1630,0)</f>
        <v>0</v>
      </c>
      <c r="Q1630" s="64" t="n">
        <f aca="false">IF(AND($P1630&gt;0,$O1630&gt;0),$P1630,0)</f>
        <v>0</v>
      </c>
      <c r="R1630" s="64" t="n">
        <f aca="false">IF(AND($Q1630&gt;0,$O1630&gt;=AtRank),$Q1630,0)</f>
        <v>0</v>
      </c>
      <c r="S1630" s="64" t="n">
        <f aca="false">IF(AND($Q1630&gt;0,$O1630&gt;=AboveRank),$Q1630,0)</f>
        <v>0</v>
      </c>
      <c r="T1630" s="64" t="n">
        <f aca="false">IF($K1630="Less",$P1630,0)</f>
        <v>0</v>
      </c>
      <c r="U1630" s="64" t="n">
        <f aca="false">IF($K1630="Expected",$P1630,0)</f>
        <v>0</v>
      </c>
      <c r="V1630" s="64" t="n">
        <f aca="false">IF($K1630="Better",$P1630,0)</f>
        <v>0</v>
      </c>
      <c r="W1630" s="64" t="n">
        <f aca="false">IF($K1630="U – needs rule",$P1630,0)</f>
        <v>0</v>
      </c>
      <c r="X1630" s="64" t="n">
        <f aca="false">IF($K1630="No Start (attainment only)",$P1630,0)</f>
        <v>0</v>
      </c>
    </row>
    <row r="1631" customFormat="false" ht="15" hidden="false" customHeight="false" outlineLevel="0" collapsed="false">
      <c r="A1631" s="60"/>
      <c r="B1631" s="61" t="str">
        <f aca="false">IF($M1631=0,"",INDEX(Classes!$E$6:$E$420,$M1631))</f>
        <v/>
      </c>
      <c r="C1631" s="62" t="str">
        <f aca="false">IF($M1631=0,"",INDEX(Classes!$H$6:$H$420,$M1631))</f>
        <v/>
      </c>
      <c r="D1631" s="61" t="str">
        <f aca="false">IF($M1631=0,"",INDEX(Classes!$B$6:$B$420,$M1631))</f>
        <v/>
      </c>
      <c r="E1631" s="61" t="str">
        <f aca="false">IF($M1631=0,"",INDEX(Classes!$C$6:$C$420,$M1631))</f>
        <v/>
      </c>
      <c r="F1631" s="63"/>
      <c r="G1631" s="63"/>
      <c r="H1631" s="60"/>
      <c r="I1631" s="60"/>
      <c r="J1631" s="63"/>
      <c r="K1631" s="61" t="str">
        <f aca="false">IF($P1631=0,"",IF($F1631="Baseline","— Baseline",IF($O1631=0,"No result",IF($N1631=0,"No Start (attainment only)",IF(OR($N1631=1,$O1631=1),"U – needs rule",INDEX(MxBody,MATCH($I1631,MxCurr,0),MATCH($H1631,MxStart,0)))))))</f>
        <v/>
      </c>
      <c r="L1631" s="62" t="str">
        <f aca="false">IF(COUNTA($A1631,$F1631,$G1631,$H1631,$I1631,$J1631)=0,"",IF($M1631=0,"✖ كود الصف غير موجود",IF(ISNA(MATCH($F1631,Lists!$A$2:$A$5,0)),"✖ الفترة غير صحيحة",IF(ISNA(MATCH($G1631,Lists!$B$2:$B$7,0)),"✖ المجموعة غير صحيحة",IF(NOT(OR($H1631="",$N1631&gt;0)),"✖ Start غير صحيح",IF(NOT(OR($I1631="",$I1631="NR",$O1631&gt;0)),"✖ Current غير صحيح",IF(NOT(IF(ISNUMBER($J1631),AND($J1631&gt;=0,$J1631=INT($J1631)),FALSE())),"✖ العدد يجب أن يكون صحيحًا ≥ 0",IF(AND($F1631="Baseline",$H1631&lt;&gt;""),"⚠ Baseline: Start لا يدخل في التقدم",IF($K1631="No Start (attainment only)","ℹ تحصيل فقط (بدون Start)",IF($K1631="U – needs rule","ℹ حالة U تحتاج قاعدة معتمدة",IF($K1631="No result","ℹ بدون نتيجة (يُستبعد من التحصيل)","OK")))))))))))</f>
        <v/>
      </c>
      <c r="M1631" s="64" t="n">
        <f aca="false">IF($A1631="",0,IFERROR(MATCH($A1631,Classes!$A$6:$A$420,0),0))</f>
        <v>0</v>
      </c>
      <c r="N1631" s="64" t="n">
        <f aca="false">IF($H1631="",0,IFERROR(MATCH($H1631,GradeList,0),0))</f>
        <v>0</v>
      </c>
      <c r="O1631" s="64" t="n">
        <f aca="false">IF(OR($I1631="",$I1631="NR"),0,IFERROR(MATCH($I1631,GradeList,0),0))</f>
        <v>0</v>
      </c>
      <c r="P1631" s="64" t="n">
        <f aca="false">IF(AND($M1631&gt;0,ISNUMBER(MATCH($F1631,Lists!$A$2:$A$5,0)),ISNUMBER(MATCH($G1631,Lists!$B$2:$B$7,0)),OR($H1631="",$N1631&gt;0),OR($I1631="",$I1631="NR",$O1631&gt;0),IF(ISNUMBER($J1631),AND($J1631&gt;=0,$J1631=INT($J1631)),FALSE())),$J1631,0)</f>
        <v>0</v>
      </c>
      <c r="Q1631" s="64" t="n">
        <f aca="false">IF(AND($P1631&gt;0,$O1631&gt;0),$P1631,0)</f>
        <v>0</v>
      </c>
      <c r="R1631" s="64" t="n">
        <f aca="false">IF(AND($Q1631&gt;0,$O1631&gt;=AtRank),$Q1631,0)</f>
        <v>0</v>
      </c>
      <c r="S1631" s="64" t="n">
        <f aca="false">IF(AND($Q1631&gt;0,$O1631&gt;=AboveRank),$Q1631,0)</f>
        <v>0</v>
      </c>
      <c r="T1631" s="64" t="n">
        <f aca="false">IF($K1631="Less",$P1631,0)</f>
        <v>0</v>
      </c>
      <c r="U1631" s="64" t="n">
        <f aca="false">IF($K1631="Expected",$P1631,0)</f>
        <v>0</v>
      </c>
      <c r="V1631" s="64" t="n">
        <f aca="false">IF($K1631="Better",$P1631,0)</f>
        <v>0</v>
      </c>
      <c r="W1631" s="64" t="n">
        <f aca="false">IF($K1631="U – needs rule",$P1631,0)</f>
        <v>0</v>
      </c>
      <c r="X1631" s="64" t="n">
        <f aca="false">IF($K1631="No Start (attainment only)",$P1631,0)</f>
        <v>0</v>
      </c>
    </row>
    <row r="1632" customFormat="false" ht="15" hidden="false" customHeight="false" outlineLevel="0" collapsed="false">
      <c r="A1632" s="60"/>
      <c r="B1632" s="61" t="str">
        <f aca="false">IF($M1632=0,"",INDEX(Classes!$E$6:$E$420,$M1632))</f>
        <v/>
      </c>
      <c r="C1632" s="62" t="str">
        <f aca="false">IF($M1632=0,"",INDEX(Classes!$H$6:$H$420,$M1632))</f>
        <v/>
      </c>
      <c r="D1632" s="61" t="str">
        <f aca="false">IF($M1632=0,"",INDEX(Classes!$B$6:$B$420,$M1632))</f>
        <v/>
      </c>
      <c r="E1632" s="61" t="str">
        <f aca="false">IF($M1632=0,"",INDEX(Classes!$C$6:$C$420,$M1632))</f>
        <v/>
      </c>
      <c r="F1632" s="63"/>
      <c r="G1632" s="63"/>
      <c r="H1632" s="60"/>
      <c r="I1632" s="60"/>
      <c r="J1632" s="63"/>
      <c r="K1632" s="61" t="str">
        <f aca="false">IF($P1632=0,"",IF($F1632="Baseline","— Baseline",IF($O1632=0,"No result",IF($N1632=0,"No Start (attainment only)",IF(OR($N1632=1,$O1632=1),"U – needs rule",INDEX(MxBody,MATCH($I1632,MxCurr,0),MATCH($H1632,MxStart,0)))))))</f>
        <v/>
      </c>
      <c r="L1632" s="62" t="str">
        <f aca="false">IF(COUNTA($A1632,$F1632,$G1632,$H1632,$I1632,$J1632)=0,"",IF($M1632=0,"✖ كود الصف غير موجود",IF(ISNA(MATCH($F1632,Lists!$A$2:$A$5,0)),"✖ الفترة غير صحيحة",IF(ISNA(MATCH($G1632,Lists!$B$2:$B$7,0)),"✖ المجموعة غير صحيحة",IF(NOT(OR($H1632="",$N1632&gt;0)),"✖ Start غير صحيح",IF(NOT(OR($I1632="",$I1632="NR",$O1632&gt;0)),"✖ Current غير صحيح",IF(NOT(IF(ISNUMBER($J1632),AND($J1632&gt;=0,$J1632=INT($J1632)),FALSE())),"✖ العدد يجب أن يكون صحيحًا ≥ 0",IF(AND($F1632="Baseline",$H1632&lt;&gt;""),"⚠ Baseline: Start لا يدخل في التقدم",IF($K1632="No Start (attainment only)","ℹ تحصيل فقط (بدون Start)",IF($K1632="U – needs rule","ℹ حالة U تحتاج قاعدة معتمدة",IF($K1632="No result","ℹ بدون نتيجة (يُستبعد من التحصيل)","OK")))))))))))</f>
        <v/>
      </c>
      <c r="M1632" s="64" t="n">
        <f aca="false">IF($A1632="",0,IFERROR(MATCH($A1632,Classes!$A$6:$A$420,0),0))</f>
        <v>0</v>
      </c>
      <c r="N1632" s="64" t="n">
        <f aca="false">IF($H1632="",0,IFERROR(MATCH($H1632,GradeList,0),0))</f>
        <v>0</v>
      </c>
      <c r="O1632" s="64" t="n">
        <f aca="false">IF(OR($I1632="",$I1632="NR"),0,IFERROR(MATCH($I1632,GradeList,0),0))</f>
        <v>0</v>
      </c>
      <c r="P1632" s="64" t="n">
        <f aca="false">IF(AND($M1632&gt;0,ISNUMBER(MATCH($F1632,Lists!$A$2:$A$5,0)),ISNUMBER(MATCH($G1632,Lists!$B$2:$B$7,0)),OR($H1632="",$N1632&gt;0),OR($I1632="",$I1632="NR",$O1632&gt;0),IF(ISNUMBER($J1632),AND($J1632&gt;=0,$J1632=INT($J1632)),FALSE())),$J1632,0)</f>
        <v>0</v>
      </c>
      <c r="Q1632" s="64" t="n">
        <f aca="false">IF(AND($P1632&gt;0,$O1632&gt;0),$P1632,0)</f>
        <v>0</v>
      </c>
      <c r="R1632" s="64" t="n">
        <f aca="false">IF(AND($Q1632&gt;0,$O1632&gt;=AtRank),$Q1632,0)</f>
        <v>0</v>
      </c>
      <c r="S1632" s="64" t="n">
        <f aca="false">IF(AND($Q1632&gt;0,$O1632&gt;=AboveRank),$Q1632,0)</f>
        <v>0</v>
      </c>
      <c r="T1632" s="64" t="n">
        <f aca="false">IF($K1632="Less",$P1632,0)</f>
        <v>0</v>
      </c>
      <c r="U1632" s="64" t="n">
        <f aca="false">IF($K1632="Expected",$P1632,0)</f>
        <v>0</v>
      </c>
      <c r="V1632" s="64" t="n">
        <f aca="false">IF($K1632="Better",$P1632,0)</f>
        <v>0</v>
      </c>
      <c r="W1632" s="64" t="n">
        <f aca="false">IF($K1632="U – needs rule",$P1632,0)</f>
        <v>0</v>
      </c>
      <c r="X1632" s="64" t="n">
        <f aca="false">IF($K1632="No Start (attainment only)",$P1632,0)</f>
        <v>0</v>
      </c>
    </row>
    <row r="1633" customFormat="false" ht="15" hidden="false" customHeight="false" outlineLevel="0" collapsed="false">
      <c r="A1633" s="60"/>
      <c r="B1633" s="61" t="str">
        <f aca="false">IF($M1633=0,"",INDEX(Classes!$E$6:$E$420,$M1633))</f>
        <v/>
      </c>
      <c r="C1633" s="62" t="str">
        <f aca="false">IF($M1633=0,"",INDEX(Classes!$H$6:$H$420,$M1633))</f>
        <v/>
      </c>
      <c r="D1633" s="61" t="str">
        <f aca="false">IF($M1633=0,"",INDEX(Classes!$B$6:$B$420,$M1633))</f>
        <v/>
      </c>
      <c r="E1633" s="61" t="str">
        <f aca="false">IF($M1633=0,"",INDEX(Classes!$C$6:$C$420,$M1633))</f>
        <v/>
      </c>
      <c r="F1633" s="63"/>
      <c r="G1633" s="63"/>
      <c r="H1633" s="60"/>
      <c r="I1633" s="60"/>
      <c r="J1633" s="63"/>
      <c r="K1633" s="61" t="str">
        <f aca="false">IF($P1633=0,"",IF($F1633="Baseline","— Baseline",IF($O1633=0,"No result",IF($N1633=0,"No Start (attainment only)",IF(OR($N1633=1,$O1633=1),"U – needs rule",INDEX(MxBody,MATCH($I1633,MxCurr,0),MATCH($H1633,MxStart,0)))))))</f>
        <v/>
      </c>
      <c r="L1633" s="62" t="str">
        <f aca="false">IF(COUNTA($A1633,$F1633,$G1633,$H1633,$I1633,$J1633)=0,"",IF($M1633=0,"✖ كود الصف غير موجود",IF(ISNA(MATCH($F1633,Lists!$A$2:$A$5,0)),"✖ الفترة غير صحيحة",IF(ISNA(MATCH($G1633,Lists!$B$2:$B$7,0)),"✖ المجموعة غير صحيحة",IF(NOT(OR($H1633="",$N1633&gt;0)),"✖ Start غير صحيح",IF(NOT(OR($I1633="",$I1633="NR",$O1633&gt;0)),"✖ Current غير صحيح",IF(NOT(IF(ISNUMBER($J1633),AND($J1633&gt;=0,$J1633=INT($J1633)),FALSE())),"✖ العدد يجب أن يكون صحيحًا ≥ 0",IF(AND($F1633="Baseline",$H1633&lt;&gt;""),"⚠ Baseline: Start لا يدخل في التقدم",IF($K1633="No Start (attainment only)","ℹ تحصيل فقط (بدون Start)",IF($K1633="U – needs rule","ℹ حالة U تحتاج قاعدة معتمدة",IF($K1633="No result","ℹ بدون نتيجة (يُستبعد من التحصيل)","OK")))))))))))</f>
        <v/>
      </c>
      <c r="M1633" s="64" t="n">
        <f aca="false">IF($A1633="",0,IFERROR(MATCH($A1633,Classes!$A$6:$A$420,0),0))</f>
        <v>0</v>
      </c>
      <c r="N1633" s="64" t="n">
        <f aca="false">IF($H1633="",0,IFERROR(MATCH($H1633,GradeList,0),0))</f>
        <v>0</v>
      </c>
      <c r="O1633" s="64" t="n">
        <f aca="false">IF(OR($I1633="",$I1633="NR"),0,IFERROR(MATCH($I1633,GradeList,0),0))</f>
        <v>0</v>
      </c>
      <c r="P1633" s="64" t="n">
        <f aca="false">IF(AND($M1633&gt;0,ISNUMBER(MATCH($F1633,Lists!$A$2:$A$5,0)),ISNUMBER(MATCH($G1633,Lists!$B$2:$B$7,0)),OR($H1633="",$N1633&gt;0),OR($I1633="",$I1633="NR",$O1633&gt;0),IF(ISNUMBER($J1633),AND($J1633&gt;=0,$J1633=INT($J1633)),FALSE())),$J1633,0)</f>
        <v>0</v>
      </c>
      <c r="Q1633" s="64" t="n">
        <f aca="false">IF(AND($P1633&gt;0,$O1633&gt;0),$P1633,0)</f>
        <v>0</v>
      </c>
      <c r="R1633" s="64" t="n">
        <f aca="false">IF(AND($Q1633&gt;0,$O1633&gt;=AtRank),$Q1633,0)</f>
        <v>0</v>
      </c>
      <c r="S1633" s="64" t="n">
        <f aca="false">IF(AND($Q1633&gt;0,$O1633&gt;=AboveRank),$Q1633,0)</f>
        <v>0</v>
      </c>
      <c r="T1633" s="64" t="n">
        <f aca="false">IF($K1633="Less",$P1633,0)</f>
        <v>0</v>
      </c>
      <c r="U1633" s="64" t="n">
        <f aca="false">IF($K1633="Expected",$P1633,0)</f>
        <v>0</v>
      </c>
      <c r="V1633" s="64" t="n">
        <f aca="false">IF($K1633="Better",$P1633,0)</f>
        <v>0</v>
      </c>
      <c r="W1633" s="64" t="n">
        <f aca="false">IF($K1633="U – needs rule",$P1633,0)</f>
        <v>0</v>
      </c>
      <c r="X1633" s="64" t="n">
        <f aca="false">IF($K1633="No Start (attainment only)",$P1633,0)</f>
        <v>0</v>
      </c>
    </row>
    <row r="1634" customFormat="false" ht="15" hidden="false" customHeight="false" outlineLevel="0" collapsed="false">
      <c r="A1634" s="60"/>
      <c r="B1634" s="61" t="str">
        <f aca="false">IF($M1634=0,"",INDEX(Classes!$E$6:$E$420,$M1634))</f>
        <v/>
      </c>
      <c r="C1634" s="62" t="str">
        <f aca="false">IF($M1634=0,"",INDEX(Classes!$H$6:$H$420,$M1634))</f>
        <v/>
      </c>
      <c r="D1634" s="61" t="str">
        <f aca="false">IF($M1634=0,"",INDEX(Classes!$B$6:$B$420,$M1634))</f>
        <v/>
      </c>
      <c r="E1634" s="61" t="str">
        <f aca="false">IF($M1634=0,"",INDEX(Classes!$C$6:$C$420,$M1634))</f>
        <v/>
      </c>
      <c r="F1634" s="63"/>
      <c r="G1634" s="63"/>
      <c r="H1634" s="60"/>
      <c r="I1634" s="60"/>
      <c r="J1634" s="63"/>
      <c r="K1634" s="61" t="str">
        <f aca="false">IF($P1634=0,"",IF($F1634="Baseline","— Baseline",IF($O1634=0,"No result",IF($N1634=0,"No Start (attainment only)",IF(OR($N1634=1,$O1634=1),"U – needs rule",INDEX(MxBody,MATCH($I1634,MxCurr,0),MATCH($H1634,MxStart,0)))))))</f>
        <v/>
      </c>
      <c r="L1634" s="62" t="str">
        <f aca="false">IF(COUNTA($A1634,$F1634,$G1634,$H1634,$I1634,$J1634)=0,"",IF($M1634=0,"✖ كود الصف غير موجود",IF(ISNA(MATCH($F1634,Lists!$A$2:$A$5,0)),"✖ الفترة غير صحيحة",IF(ISNA(MATCH($G1634,Lists!$B$2:$B$7,0)),"✖ المجموعة غير صحيحة",IF(NOT(OR($H1634="",$N1634&gt;0)),"✖ Start غير صحيح",IF(NOT(OR($I1634="",$I1634="NR",$O1634&gt;0)),"✖ Current غير صحيح",IF(NOT(IF(ISNUMBER($J1634),AND($J1634&gt;=0,$J1634=INT($J1634)),FALSE())),"✖ العدد يجب أن يكون صحيحًا ≥ 0",IF(AND($F1634="Baseline",$H1634&lt;&gt;""),"⚠ Baseline: Start لا يدخل في التقدم",IF($K1634="No Start (attainment only)","ℹ تحصيل فقط (بدون Start)",IF($K1634="U – needs rule","ℹ حالة U تحتاج قاعدة معتمدة",IF($K1634="No result","ℹ بدون نتيجة (يُستبعد من التحصيل)","OK")))))))))))</f>
        <v/>
      </c>
      <c r="M1634" s="64" t="n">
        <f aca="false">IF($A1634="",0,IFERROR(MATCH($A1634,Classes!$A$6:$A$420,0),0))</f>
        <v>0</v>
      </c>
      <c r="N1634" s="64" t="n">
        <f aca="false">IF($H1634="",0,IFERROR(MATCH($H1634,GradeList,0),0))</f>
        <v>0</v>
      </c>
      <c r="O1634" s="64" t="n">
        <f aca="false">IF(OR($I1634="",$I1634="NR"),0,IFERROR(MATCH($I1634,GradeList,0),0))</f>
        <v>0</v>
      </c>
      <c r="P1634" s="64" t="n">
        <f aca="false">IF(AND($M1634&gt;0,ISNUMBER(MATCH($F1634,Lists!$A$2:$A$5,0)),ISNUMBER(MATCH($G1634,Lists!$B$2:$B$7,0)),OR($H1634="",$N1634&gt;0),OR($I1634="",$I1634="NR",$O1634&gt;0),IF(ISNUMBER($J1634),AND($J1634&gt;=0,$J1634=INT($J1634)),FALSE())),$J1634,0)</f>
        <v>0</v>
      </c>
      <c r="Q1634" s="64" t="n">
        <f aca="false">IF(AND($P1634&gt;0,$O1634&gt;0),$P1634,0)</f>
        <v>0</v>
      </c>
      <c r="R1634" s="64" t="n">
        <f aca="false">IF(AND($Q1634&gt;0,$O1634&gt;=AtRank),$Q1634,0)</f>
        <v>0</v>
      </c>
      <c r="S1634" s="64" t="n">
        <f aca="false">IF(AND($Q1634&gt;0,$O1634&gt;=AboveRank),$Q1634,0)</f>
        <v>0</v>
      </c>
      <c r="T1634" s="64" t="n">
        <f aca="false">IF($K1634="Less",$P1634,0)</f>
        <v>0</v>
      </c>
      <c r="U1634" s="64" t="n">
        <f aca="false">IF($K1634="Expected",$P1634,0)</f>
        <v>0</v>
      </c>
      <c r="V1634" s="64" t="n">
        <f aca="false">IF($K1634="Better",$P1634,0)</f>
        <v>0</v>
      </c>
      <c r="W1634" s="64" t="n">
        <f aca="false">IF($K1634="U – needs rule",$P1634,0)</f>
        <v>0</v>
      </c>
      <c r="X1634" s="64" t="n">
        <f aca="false">IF($K1634="No Start (attainment only)",$P1634,0)</f>
        <v>0</v>
      </c>
    </row>
    <row r="1635" customFormat="false" ht="15" hidden="false" customHeight="false" outlineLevel="0" collapsed="false">
      <c r="A1635" s="60"/>
      <c r="B1635" s="61" t="str">
        <f aca="false">IF($M1635=0,"",INDEX(Classes!$E$6:$E$420,$M1635))</f>
        <v/>
      </c>
      <c r="C1635" s="62" t="str">
        <f aca="false">IF($M1635=0,"",INDEX(Classes!$H$6:$H$420,$M1635))</f>
        <v/>
      </c>
      <c r="D1635" s="61" t="str">
        <f aca="false">IF($M1635=0,"",INDEX(Classes!$B$6:$B$420,$M1635))</f>
        <v/>
      </c>
      <c r="E1635" s="61" t="str">
        <f aca="false">IF($M1635=0,"",INDEX(Classes!$C$6:$C$420,$M1635))</f>
        <v/>
      </c>
      <c r="F1635" s="63"/>
      <c r="G1635" s="63"/>
      <c r="H1635" s="60"/>
      <c r="I1635" s="60"/>
      <c r="J1635" s="63"/>
      <c r="K1635" s="61" t="str">
        <f aca="false">IF($P1635=0,"",IF($F1635="Baseline","— Baseline",IF($O1635=0,"No result",IF($N1635=0,"No Start (attainment only)",IF(OR($N1635=1,$O1635=1),"U – needs rule",INDEX(MxBody,MATCH($I1635,MxCurr,0),MATCH($H1635,MxStart,0)))))))</f>
        <v/>
      </c>
      <c r="L1635" s="62" t="str">
        <f aca="false">IF(COUNTA($A1635,$F1635,$G1635,$H1635,$I1635,$J1635)=0,"",IF($M1635=0,"✖ كود الصف غير موجود",IF(ISNA(MATCH($F1635,Lists!$A$2:$A$5,0)),"✖ الفترة غير صحيحة",IF(ISNA(MATCH($G1635,Lists!$B$2:$B$7,0)),"✖ المجموعة غير صحيحة",IF(NOT(OR($H1635="",$N1635&gt;0)),"✖ Start غير صحيح",IF(NOT(OR($I1635="",$I1635="NR",$O1635&gt;0)),"✖ Current غير صحيح",IF(NOT(IF(ISNUMBER($J1635),AND($J1635&gt;=0,$J1635=INT($J1635)),FALSE())),"✖ العدد يجب أن يكون صحيحًا ≥ 0",IF(AND($F1635="Baseline",$H1635&lt;&gt;""),"⚠ Baseline: Start لا يدخل في التقدم",IF($K1635="No Start (attainment only)","ℹ تحصيل فقط (بدون Start)",IF($K1635="U – needs rule","ℹ حالة U تحتاج قاعدة معتمدة",IF($K1635="No result","ℹ بدون نتيجة (يُستبعد من التحصيل)","OK")))))))))))</f>
        <v/>
      </c>
      <c r="M1635" s="64" t="n">
        <f aca="false">IF($A1635="",0,IFERROR(MATCH($A1635,Classes!$A$6:$A$420,0),0))</f>
        <v>0</v>
      </c>
      <c r="N1635" s="64" t="n">
        <f aca="false">IF($H1635="",0,IFERROR(MATCH($H1635,GradeList,0),0))</f>
        <v>0</v>
      </c>
      <c r="O1635" s="64" t="n">
        <f aca="false">IF(OR($I1635="",$I1635="NR"),0,IFERROR(MATCH($I1635,GradeList,0),0))</f>
        <v>0</v>
      </c>
      <c r="P1635" s="64" t="n">
        <f aca="false">IF(AND($M1635&gt;0,ISNUMBER(MATCH($F1635,Lists!$A$2:$A$5,0)),ISNUMBER(MATCH($G1635,Lists!$B$2:$B$7,0)),OR($H1635="",$N1635&gt;0),OR($I1635="",$I1635="NR",$O1635&gt;0),IF(ISNUMBER($J1635),AND($J1635&gt;=0,$J1635=INT($J1635)),FALSE())),$J1635,0)</f>
        <v>0</v>
      </c>
      <c r="Q1635" s="64" t="n">
        <f aca="false">IF(AND($P1635&gt;0,$O1635&gt;0),$P1635,0)</f>
        <v>0</v>
      </c>
      <c r="R1635" s="64" t="n">
        <f aca="false">IF(AND($Q1635&gt;0,$O1635&gt;=AtRank),$Q1635,0)</f>
        <v>0</v>
      </c>
      <c r="S1635" s="64" t="n">
        <f aca="false">IF(AND($Q1635&gt;0,$O1635&gt;=AboveRank),$Q1635,0)</f>
        <v>0</v>
      </c>
      <c r="T1635" s="64" t="n">
        <f aca="false">IF($K1635="Less",$P1635,0)</f>
        <v>0</v>
      </c>
      <c r="U1635" s="64" t="n">
        <f aca="false">IF($K1635="Expected",$P1635,0)</f>
        <v>0</v>
      </c>
      <c r="V1635" s="64" t="n">
        <f aca="false">IF($K1635="Better",$P1635,0)</f>
        <v>0</v>
      </c>
      <c r="W1635" s="64" t="n">
        <f aca="false">IF($K1635="U – needs rule",$P1635,0)</f>
        <v>0</v>
      </c>
      <c r="X1635" s="64" t="n">
        <f aca="false">IF($K1635="No Start (attainment only)",$P1635,0)</f>
        <v>0</v>
      </c>
    </row>
    <row r="1636" customFormat="false" ht="15" hidden="false" customHeight="false" outlineLevel="0" collapsed="false">
      <c r="A1636" s="60"/>
      <c r="B1636" s="61" t="str">
        <f aca="false">IF($M1636=0,"",INDEX(Classes!$E$6:$E$420,$M1636))</f>
        <v/>
      </c>
      <c r="C1636" s="62" t="str">
        <f aca="false">IF($M1636=0,"",INDEX(Classes!$H$6:$H$420,$M1636))</f>
        <v/>
      </c>
      <c r="D1636" s="61" t="str">
        <f aca="false">IF($M1636=0,"",INDEX(Classes!$B$6:$B$420,$M1636))</f>
        <v/>
      </c>
      <c r="E1636" s="61" t="str">
        <f aca="false">IF($M1636=0,"",INDEX(Classes!$C$6:$C$420,$M1636))</f>
        <v/>
      </c>
      <c r="F1636" s="63"/>
      <c r="G1636" s="63"/>
      <c r="H1636" s="60"/>
      <c r="I1636" s="60"/>
      <c r="J1636" s="63"/>
      <c r="K1636" s="61" t="str">
        <f aca="false">IF($P1636=0,"",IF($F1636="Baseline","— Baseline",IF($O1636=0,"No result",IF($N1636=0,"No Start (attainment only)",IF(OR($N1636=1,$O1636=1),"U – needs rule",INDEX(MxBody,MATCH($I1636,MxCurr,0),MATCH($H1636,MxStart,0)))))))</f>
        <v/>
      </c>
      <c r="L1636" s="62" t="str">
        <f aca="false">IF(COUNTA($A1636,$F1636,$G1636,$H1636,$I1636,$J1636)=0,"",IF($M1636=0,"✖ كود الصف غير موجود",IF(ISNA(MATCH($F1636,Lists!$A$2:$A$5,0)),"✖ الفترة غير صحيحة",IF(ISNA(MATCH($G1636,Lists!$B$2:$B$7,0)),"✖ المجموعة غير صحيحة",IF(NOT(OR($H1636="",$N1636&gt;0)),"✖ Start غير صحيح",IF(NOT(OR($I1636="",$I1636="NR",$O1636&gt;0)),"✖ Current غير صحيح",IF(NOT(IF(ISNUMBER($J1636),AND($J1636&gt;=0,$J1636=INT($J1636)),FALSE())),"✖ العدد يجب أن يكون صحيحًا ≥ 0",IF(AND($F1636="Baseline",$H1636&lt;&gt;""),"⚠ Baseline: Start لا يدخل في التقدم",IF($K1636="No Start (attainment only)","ℹ تحصيل فقط (بدون Start)",IF($K1636="U – needs rule","ℹ حالة U تحتاج قاعدة معتمدة",IF($K1636="No result","ℹ بدون نتيجة (يُستبعد من التحصيل)","OK")))))))))))</f>
        <v/>
      </c>
      <c r="M1636" s="64" t="n">
        <f aca="false">IF($A1636="",0,IFERROR(MATCH($A1636,Classes!$A$6:$A$420,0),0))</f>
        <v>0</v>
      </c>
      <c r="N1636" s="64" t="n">
        <f aca="false">IF($H1636="",0,IFERROR(MATCH($H1636,GradeList,0),0))</f>
        <v>0</v>
      </c>
      <c r="O1636" s="64" t="n">
        <f aca="false">IF(OR($I1636="",$I1636="NR"),0,IFERROR(MATCH($I1636,GradeList,0),0))</f>
        <v>0</v>
      </c>
      <c r="P1636" s="64" t="n">
        <f aca="false">IF(AND($M1636&gt;0,ISNUMBER(MATCH($F1636,Lists!$A$2:$A$5,0)),ISNUMBER(MATCH($G1636,Lists!$B$2:$B$7,0)),OR($H1636="",$N1636&gt;0),OR($I1636="",$I1636="NR",$O1636&gt;0),IF(ISNUMBER($J1636),AND($J1636&gt;=0,$J1636=INT($J1636)),FALSE())),$J1636,0)</f>
        <v>0</v>
      </c>
      <c r="Q1636" s="64" t="n">
        <f aca="false">IF(AND($P1636&gt;0,$O1636&gt;0),$P1636,0)</f>
        <v>0</v>
      </c>
      <c r="R1636" s="64" t="n">
        <f aca="false">IF(AND($Q1636&gt;0,$O1636&gt;=AtRank),$Q1636,0)</f>
        <v>0</v>
      </c>
      <c r="S1636" s="64" t="n">
        <f aca="false">IF(AND($Q1636&gt;0,$O1636&gt;=AboveRank),$Q1636,0)</f>
        <v>0</v>
      </c>
      <c r="T1636" s="64" t="n">
        <f aca="false">IF($K1636="Less",$P1636,0)</f>
        <v>0</v>
      </c>
      <c r="U1636" s="64" t="n">
        <f aca="false">IF($K1636="Expected",$P1636,0)</f>
        <v>0</v>
      </c>
      <c r="V1636" s="64" t="n">
        <f aca="false">IF($K1636="Better",$P1636,0)</f>
        <v>0</v>
      </c>
      <c r="W1636" s="64" t="n">
        <f aca="false">IF($K1636="U – needs rule",$P1636,0)</f>
        <v>0</v>
      </c>
      <c r="X1636" s="64" t="n">
        <f aca="false">IF($K1636="No Start (attainment only)",$P1636,0)</f>
        <v>0</v>
      </c>
    </row>
    <row r="1637" customFormat="false" ht="15" hidden="false" customHeight="false" outlineLevel="0" collapsed="false">
      <c r="A1637" s="60"/>
      <c r="B1637" s="61" t="str">
        <f aca="false">IF($M1637=0,"",INDEX(Classes!$E$6:$E$420,$M1637))</f>
        <v/>
      </c>
      <c r="C1637" s="62" t="str">
        <f aca="false">IF($M1637=0,"",INDEX(Classes!$H$6:$H$420,$M1637))</f>
        <v/>
      </c>
      <c r="D1637" s="61" t="str">
        <f aca="false">IF($M1637=0,"",INDEX(Classes!$B$6:$B$420,$M1637))</f>
        <v/>
      </c>
      <c r="E1637" s="61" t="str">
        <f aca="false">IF($M1637=0,"",INDEX(Classes!$C$6:$C$420,$M1637))</f>
        <v/>
      </c>
      <c r="F1637" s="63"/>
      <c r="G1637" s="63"/>
      <c r="H1637" s="60"/>
      <c r="I1637" s="60"/>
      <c r="J1637" s="63"/>
      <c r="K1637" s="61" t="str">
        <f aca="false">IF($P1637=0,"",IF($F1637="Baseline","— Baseline",IF($O1637=0,"No result",IF($N1637=0,"No Start (attainment only)",IF(OR($N1637=1,$O1637=1),"U – needs rule",INDEX(MxBody,MATCH($I1637,MxCurr,0),MATCH($H1637,MxStart,0)))))))</f>
        <v/>
      </c>
      <c r="L1637" s="62" t="str">
        <f aca="false">IF(COUNTA($A1637,$F1637,$G1637,$H1637,$I1637,$J1637)=0,"",IF($M1637=0,"✖ كود الصف غير موجود",IF(ISNA(MATCH($F1637,Lists!$A$2:$A$5,0)),"✖ الفترة غير صحيحة",IF(ISNA(MATCH($G1637,Lists!$B$2:$B$7,0)),"✖ المجموعة غير صحيحة",IF(NOT(OR($H1637="",$N1637&gt;0)),"✖ Start غير صحيح",IF(NOT(OR($I1637="",$I1637="NR",$O1637&gt;0)),"✖ Current غير صحيح",IF(NOT(IF(ISNUMBER($J1637),AND($J1637&gt;=0,$J1637=INT($J1637)),FALSE())),"✖ العدد يجب أن يكون صحيحًا ≥ 0",IF(AND($F1637="Baseline",$H1637&lt;&gt;""),"⚠ Baseline: Start لا يدخل في التقدم",IF($K1637="No Start (attainment only)","ℹ تحصيل فقط (بدون Start)",IF($K1637="U – needs rule","ℹ حالة U تحتاج قاعدة معتمدة",IF($K1637="No result","ℹ بدون نتيجة (يُستبعد من التحصيل)","OK")))))))))))</f>
        <v/>
      </c>
      <c r="M1637" s="64" t="n">
        <f aca="false">IF($A1637="",0,IFERROR(MATCH($A1637,Classes!$A$6:$A$420,0),0))</f>
        <v>0</v>
      </c>
      <c r="N1637" s="64" t="n">
        <f aca="false">IF($H1637="",0,IFERROR(MATCH($H1637,GradeList,0),0))</f>
        <v>0</v>
      </c>
      <c r="O1637" s="64" t="n">
        <f aca="false">IF(OR($I1637="",$I1637="NR"),0,IFERROR(MATCH($I1637,GradeList,0),0))</f>
        <v>0</v>
      </c>
      <c r="P1637" s="64" t="n">
        <f aca="false">IF(AND($M1637&gt;0,ISNUMBER(MATCH($F1637,Lists!$A$2:$A$5,0)),ISNUMBER(MATCH($G1637,Lists!$B$2:$B$7,0)),OR($H1637="",$N1637&gt;0),OR($I1637="",$I1637="NR",$O1637&gt;0),IF(ISNUMBER($J1637),AND($J1637&gt;=0,$J1637=INT($J1637)),FALSE())),$J1637,0)</f>
        <v>0</v>
      </c>
      <c r="Q1637" s="64" t="n">
        <f aca="false">IF(AND($P1637&gt;0,$O1637&gt;0),$P1637,0)</f>
        <v>0</v>
      </c>
      <c r="R1637" s="64" t="n">
        <f aca="false">IF(AND($Q1637&gt;0,$O1637&gt;=AtRank),$Q1637,0)</f>
        <v>0</v>
      </c>
      <c r="S1637" s="64" t="n">
        <f aca="false">IF(AND($Q1637&gt;0,$O1637&gt;=AboveRank),$Q1637,0)</f>
        <v>0</v>
      </c>
      <c r="T1637" s="64" t="n">
        <f aca="false">IF($K1637="Less",$P1637,0)</f>
        <v>0</v>
      </c>
      <c r="U1637" s="64" t="n">
        <f aca="false">IF($K1637="Expected",$P1637,0)</f>
        <v>0</v>
      </c>
      <c r="V1637" s="64" t="n">
        <f aca="false">IF($K1637="Better",$P1637,0)</f>
        <v>0</v>
      </c>
      <c r="W1637" s="64" t="n">
        <f aca="false">IF($K1637="U – needs rule",$P1637,0)</f>
        <v>0</v>
      </c>
      <c r="X1637" s="64" t="n">
        <f aca="false">IF($K1637="No Start (attainment only)",$P1637,0)</f>
        <v>0</v>
      </c>
    </row>
    <row r="1638" customFormat="false" ht="15" hidden="false" customHeight="false" outlineLevel="0" collapsed="false">
      <c r="A1638" s="60"/>
      <c r="B1638" s="61" t="str">
        <f aca="false">IF($M1638=0,"",INDEX(Classes!$E$6:$E$420,$M1638))</f>
        <v/>
      </c>
      <c r="C1638" s="62" t="str">
        <f aca="false">IF($M1638=0,"",INDEX(Classes!$H$6:$H$420,$M1638))</f>
        <v/>
      </c>
      <c r="D1638" s="61" t="str">
        <f aca="false">IF($M1638=0,"",INDEX(Classes!$B$6:$B$420,$M1638))</f>
        <v/>
      </c>
      <c r="E1638" s="61" t="str">
        <f aca="false">IF($M1638=0,"",INDEX(Classes!$C$6:$C$420,$M1638))</f>
        <v/>
      </c>
      <c r="F1638" s="63"/>
      <c r="G1638" s="63"/>
      <c r="H1638" s="60"/>
      <c r="I1638" s="60"/>
      <c r="J1638" s="63"/>
      <c r="K1638" s="61" t="str">
        <f aca="false">IF($P1638=0,"",IF($F1638="Baseline","— Baseline",IF($O1638=0,"No result",IF($N1638=0,"No Start (attainment only)",IF(OR($N1638=1,$O1638=1),"U – needs rule",INDEX(MxBody,MATCH($I1638,MxCurr,0),MATCH($H1638,MxStart,0)))))))</f>
        <v/>
      </c>
      <c r="L1638" s="62" t="str">
        <f aca="false">IF(COUNTA($A1638,$F1638,$G1638,$H1638,$I1638,$J1638)=0,"",IF($M1638=0,"✖ كود الصف غير موجود",IF(ISNA(MATCH($F1638,Lists!$A$2:$A$5,0)),"✖ الفترة غير صحيحة",IF(ISNA(MATCH($G1638,Lists!$B$2:$B$7,0)),"✖ المجموعة غير صحيحة",IF(NOT(OR($H1638="",$N1638&gt;0)),"✖ Start غير صحيح",IF(NOT(OR($I1638="",$I1638="NR",$O1638&gt;0)),"✖ Current غير صحيح",IF(NOT(IF(ISNUMBER($J1638),AND($J1638&gt;=0,$J1638=INT($J1638)),FALSE())),"✖ العدد يجب أن يكون صحيحًا ≥ 0",IF(AND($F1638="Baseline",$H1638&lt;&gt;""),"⚠ Baseline: Start لا يدخل في التقدم",IF($K1638="No Start (attainment only)","ℹ تحصيل فقط (بدون Start)",IF($K1638="U – needs rule","ℹ حالة U تحتاج قاعدة معتمدة",IF($K1638="No result","ℹ بدون نتيجة (يُستبعد من التحصيل)","OK")))))))))))</f>
        <v/>
      </c>
      <c r="M1638" s="64" t="n">
        <f aca="false">IF($A1638="",0,IFERROR(MATCH($A1638,Classes!$A$6:$A$420,0),0))</f>
        <v>0</v>
      </c>
      <c r="N1638" s="64" t="n">
        <f aca="false">IF($H1638="",0,IFERROR(MATCH($H1638,GradeList,0),0))</f>
        <v>0</v>
      </c>
      <c r="O1638" s="64" t="n">
        <f aca="false">IF(OR($I1638="",$I1638="NR"),0,IFERROR(MATCH($I1638,GradeList,0),0))</f>
        <v>0</v>
      </c>
      <c r="P1638" s="64" t="n">
        <f aca="false">IF(AND($M1638&gt;0,ISNUMBER(MATCH($F1638,Lists!$A$2:$A$5,0)),ISNUMBER(MATCH($G1638,Lists!$B$2:$B$7,0)),OR($H1638="",$N1638&gt;0),OR($I1638="",$I1638="NR",$O1638&gt;0),IF(ISNUMBER($J1638),AND($J1638&gt;=0,$J1638=INT($J1638)),FALSE())),$J1638,0)</f>
        <v>0</v>
      </c>
      <c r="Q1638" s="64" t="n">
        <f aca="false">IF(AND($P1638&gt;0,$O1638&gt;0),$P1638,0)</f>
        <v>0</v>
      </c>
      <c r="R1638" s="64" t="n">
        <f aca="false">IF(AND($Q1638&gt;0,$O1638&gt;=AtRank),$Q1638,0)</f>
        <v>0</v>
      </c>
      <c r="S1638" s="64" t="n">
        <f aca="false">IF(AND($Q1638&gt;0,$O1638&gt;=AboveRank),$Q1638,0)</f>
        <v>0</v>
      </c>
      <c r="T1638" s="64" t="n">
        <f aca="false">IF($K1638="Less",$P1638,0)</f>
        <v>0</v>
      </c>
      <c r="U1638" s="64" t="n">
        <f aca="false">IF($K1638="Expected",$P1638,0)</f>
        <v>0</v>
      </c>
      <c r="V1638" s="64" t="n">
        <f aca="false">IF($K1638="Better",$P1638,0)</f>
        <v>0</v>
      </c>
      <c r="W1638" s="64" t="n">
        <f aca="false">IF($K1638="U – needs rule",$P1638,0)</f>
        <v>0</v>
      </c>
      <c r="X1638" s="64" t="n">
        <f aca="false">IF($K1638="No Start (attainment only)",$P1638,0)</f>
        <v>0</v>
      </c>
    </row>
    <row r="1639" customFormat="false" ht="15" hidden="false" customHeight="false" outlineLevel="0" collapsed="false">
      <c r="A1639" s="60"/>
      <c r="B1639" s="61" t="str">
        <f aca="false">IF($M1639=0,"",INDEX(Classes!$E$6:$E$420,$M1639))</f>
        <v/>
      </c>
      <c r="C1639" s="62" t="str">
        <f aca="false">IF($M1639=0,"",INDEX(Classes!$H$6:$H$420,$M1639))</f>
        <v/>
      </c>
      <c r="D1639" s="61" t="str">
        <f aca="false">IF($M1639=0,"",INDEX(Classes!$B$6:$B$420,$M1639))</f>
        <v/>
      </c>
      <c r="E1639" s="61" t="str">
        <f aca="false">IF($M1639=0,"",INDEX(Classes!$C$6:$C$420,$M1639))</f>
        <v/>
      </c>
      <c r="F1639" s="63"/>
      <c r="G1639" s="63"/>
      <c r="H1639" s="60"/>
      <c r="I1639" s="60"/>
      <c r="J1639" s="63"/>
      <c r="K1639" s="61" t="str">
        <f aca="false">IF($P1639=0,"",IF($F1639="Baseline","— Baseline",IF($O1639=0,"No result",IF($N1639=0,"No Start (attainment only)",IF(OR($N1639=1,$O1639=1),"U – needs rule",INDEX(MxBody,MATCH($I1639,MxCurr,0),MATCH($H1639,MxStart,0)))))))</f>
        <v/>
      </c>
      <c r="L1639" s="62" t="str">
        <f aca="false">IF(COUNTA($A1639,$F1639,$G1639,$H1639,$I1639,$J1639)=0,"",IF($M1639=0,"✖ كود الصف غير موجود",IF(ISNA(MATCH($F1639,Lists!$A$2:$A$5,0)),"✖ الفترة غير صحيحة",IF(ISNA(MATCH($G1639,Lists!$B$2:$B$7,0)),"✖ المجموعة غير صحيحة",IF(NOT(OR($H1639="",$N1639&gt;0)),"✖ Start غير صحيح",IF(NOT(OR($I1639="",$I1639="NR",$O1639&gt;0)),"✖ Current غير صحيح",IF(NOT(IF(ISNUMBER($J1639),AND($J1639&gt;=0,$J1639=INT($J1639)),FALSE())),"✖ العدد يجب أن يكون صحيحًا ≥ 0",IF(AND($F1639="Baseline",$H1639&lt;&gt;""),"⚠ Baseline: Start لا يدخل في التقدم",IF($K1639="No Start (attainment only)","ℹ تحصيل فقط (بدون Start)",IF($K1639="U – needs rule","ℹ حالة U تحتاج قاعدة معتمدة",IF($K1639="No result","ℹ بدون نتيجة (يُستبعد من التحصيل)","OK")))))))))))</f>
        <v/>
      </c>
      <c r="M1639" s="64" t="n">
        <f aca="false">IF($A1639="",0,IFERROR(MATCH($A1639,Classes!$A$6:$A$420,0),0))</f>
        <v>0</v>
      </c>
      <c r="N1639" s="64" t="n">
        <f aca="false">IF($H1639="",0,IFERROR(MATCH($H1639,GradeList,0),0))</f>
        <v>0</v>
      </c>
      <c r="O1639" s="64" t="n">
        <f aca="false">IF(OR($I1639="",$I1639="NR"),0,IFERROR(MATCH($I1639,GradeList,0),0))</f>
        <v>0</v>
      </c>
      <c r="P1639" s="64" t="n">
        <f aca="false">IF(AND($M1639&gt;0,ISNUMBER(MATCH($F1639,Lists!$A$2:$A$5,0)),ISNUMBER(MATCH($G1639,Lists!$B$2:$B$7,0)),OR($H1639="",$N1639&gt;0),OR($I1639="",$I1639="NR",$O1639&gt;0),IF(ISNUMBER($J1639),AND($J1639&gt;=0,$J1639=INT($J1639)),FALSE())),$J1639,0)</f>
        <v>0</v>
      </c>
      <c r="Q1639" s="64" t="n">
        <f aca="false">IF(AND($P1639&gt;0,$O1639&gt;0),$P1639,0)</f>
        <v>0</v>
      </c>
      <c r="R1639" s="64" t="n">
        <f aca="false">IF(AND($Q1639&gt;0,$O1639&gt;=AtRank),$Q1639,0)</f>
        <v>0</v>
      </c>
      <c r="S1639" s="64" t="n">
        <f aca="false">IF(AND($Q1639&gt;0,$O1639&gt;=AboveRank),$Q1639,0)</f>
        <v>0</v>
      </c>
      <c r="T1639" s="64" t="n">
        <f aca="false">IF($K1639="Less",$P1639,0)</f>
        <v>0</v>
      </c>
      <c r="U1639" s="64" t="n">
        <f aca="false">IF($K1639="Expected",$P1639,0)</f>
        <v>0</v>
      </c>
      <c r="V1639" s="64" t="n">
        <f aca="false">IF($K1639="Better",$P1639,0)</f>
        <v>0</v>
      </c>
      <c r="W1639" s="64" t="n">
        <f aca="false">IF($K1639="U – needs rule",$P1639,0)</f>
        <v>0</v>
      </c>
      <c r="X1639" s="64" t="n">
        <f aca="false">IF($K1639="No Start (attainment only)",$P1639,0)</f>
        <v>0</v>
      </c>
    </row>
    <row r="1640" customFormat="false" ht="15" hidden="false" customHeight="false" outlineLevel="0" collapsed="false">
      <c r="A1640" s="60"/>
      <c r="B1640" s="61" t="str">
        <f aca="false">IF($M1640=0,"",INDEX(Classes!$E$6:$E$420,$M1640))</f>
        <v/>
      </c>
      <c r="C1640" s="62" t="str">
        <f aca="false">IF($M1640=0,"",INDEX(Classes!$H$6:$H$420,$M1640))</f>
        <v/>
      </c>
      <c r="D1640" s="61" t="str">
        <f aca="false">IF($M1640=0,"",INDEX(Classes!$B$6:$B$420,$M1640))</f>
        <v/>
      </c>
      <c r="E1640" s="61" t="str">
        <f aca="false">IF($M1640=0,"",INDEX(Classes!$C$6:$C$420,$M1640))</f>
        <v/>
      </c>
      <c r="F1640" s="63"/>
      <c r="G1640" s="63"/>
      <c r="H1640" s="60"/>
      <c r="I1640" s="60"/>
      <c r="J1640" s="63"/>
      <c r="K1640" s="61" t="str">
        <f aca="false">IF($P1640=0,"",IF($F1640="Baseline","— Baseline",IF($O1640=0,"No result",IF($N1640=0,"No Start (attainment only)",IF(OR($N1640=1,$O1640=1),"U – needs rule",INDEX(MxBody,MATCH($I1640,MxCurr,0),MATCH($H1640,MxStart,0)))))))</f>
        <v/>
      </c>
      <c r="L1640" s="62" t="str">
        <f aca="false">IF(COUNTA($A1640,$F1640,$G1640,$H1640,$I1640,$J1640)=0,"",IF($M1640=0,"✖ كود الصف غير موجود",IF(ISNA(MATCH($F1640,Lists!$A$2:$A$5,0)),"✖ الفترة غير صحيحة",IF(ISNA(MATCH($G1640,Lists!$B$2:$B$7,0)),"✖ المجموعة غير صحيحة",IF(NOT(OR($H1640="",$N1640&gt;0)),"✖ Start غير صحيح",IF(NOT(OR($I1640="",$I1640="NR",$O1640&gt;0)),"✖ Current غير صحيح",IF(NOT(IF(ISNUMBER($J1640),AND($J1640&gt;=0,$J1640=INT($J1640)),FALSE())),"✖ العدد يجب أن يكون صحيحًا ≥ 0",IF(AND($F1640="Baseline",$H1640&lt;&gt;""),"⚠ Baseline: Start لا يدخل في التقدم",IF($K1640="No Start (attainment only)","ℹ تحصيل فقط (بدون Start)",IF($K1640="U – needs rule","ℹ حالة U تحتاج قاعدة معتمدة",IF($K1640="No result","ℹ بدون نتيجة (يُستبعد من التحصيل)","OK")))))))))))</f>
        <v/>
      </c>
      <c r="M1640" s="64" t="n">
        <f aca="false">IF($A1640="",0,IFERROR(MATCH($A1640,Classes!$A$6:$A$420,0),0))</f>
        <v>0</v>
      </c>
      <c r="N1640" s="64" t="n">
        <f aca="false">IF($H1640="",0,IFERROR(MATCH($H1640,GradeList,0),0))</f>
        <v>0</v>
      </c>
      <c r="O1640" s="64" t="n">
        <f aca="false">IF(OR($I1640="",$I1640="NR"),0,IFERROR(MATCH($I1640,GradeList,0),0))</f>
        <v>0</v>
      </c>
      <c r="P1640" s="64" t="n">
        <f aca="false">IF(AND($M1640&gt;0,ISNUMBER(MATCH($F1640,Lists!$A$2:$A$5,0)),ISNUMBER(MATCH($G1640,Lists!$B$2:$B$7,0)),OR($H1640="",$N1640&gt;0),OR($I1640="",$I1640="NR",$O1640&gt;0),IF(ISNUMBER($J1640),AND($J1640&gt;=0,$J1640=INT($J1640)),FALSE())),$J1640,0)</f>
        <v>0</v>
      </c>
      <c r="Q1640" s="64" t="n">
        <f aca="false">IF(AND($P1640&gt;0,$O1640&gt;0),$P1640,0)</f>
        <v>0</v>
      </c>
      <c r="R1640" s="64" t="n">
        <f aca="false">IF(AND($Q1640&gt;0,$O1640&gt;=AtRank),$Q1640,0)</f>
        <v>0</v>
      </c>
      <c r="S1640" s="64" t="n">
        <f aca="false">IF(AND($Q1640&gt;0,$O1640&gt;=AboveRank),$Q1640,0)</f>
        <v>0</v>
      </c>
      <c r="T1640" s="64" t="n">
        <f aca="false">IF($K1640="Less",$P1640,0)</f>
        <v>0</v>
      </c>
      <c r="U1640" s="64" t="n">
        <f aca="false">IF($K1640="Expected",$P1640,0)</f>
        <v>0</v>
      </c>
      <c r="V1640" s="64" t="n">
        <f aca="false">IF($K1640="Better",$P1640,0)</f>
        <v>0</v>
      </c>
      <c r="W1640" s="64" t="n">
        <f aca="false">IF($K1640="U – needs rule",$P1640,0)</f>
        <v>0</v>
      </c>
      <c r="X1640" s="64" t="n">
        <f aca="false">IF($K1640="No Start (attainment only)",$P1640,0)</f>
        <v>0</v>
      </c>
    </row>
    <row r="1641" customFormat="false" ht="15" hidden="false" customHeight="false" outlineLevel="0" collapsed="false">
      <c r="A1641" s="60"/>
      <c r="B1641" s="61" t="str">
        <f aca="false">IF($M1641=0,"",INDEX(Classes!$E$6:$E$420,$M1641))</f>
        <v/>
      </c>
      <c r="C1641" s="62" t="str">
        <f aca="false">IF($M1641=0,"",INDEX(Classes!$H$6:$H$420,$M1641))</f>
        <v/>
      </c>
      <c r="D1641" s="61" t="str">
        <f aca="false">IF($M1641=0,"",INDEX(Classes!$B$6:$B$420,$M1641))</f>
        <v/>
      </c>
      <c r="E1641" s="61" t="str">
        <f aca="false">IF($M1641=0,"",INDEX(Classes!$C$6:$C$420,$M1641))</f>
        <v/>
      </c>
      <c r="F1641" s="63"/>
      <c r="G1641" s="63"/>
      <c r="H1641" s="60"/>
      <c r="I1641" s="60"/>
      <c r="J1641" s="63"/>
      <c r="K1641" s="61" t="str">
        <f aca="false">IF($P1641=0,"",IF($F1641="Baseline","— Baseline",IF($O1641=0,"No result",IF($N1641=0,"No Start (attainment only)",IF(OR($N1641=1,$O1641=1),"U – needs rule",INDEX(MxBody,MATCH($I1641,MxCurr,0),MATCH($H1641,MxStart,0)))))))</f>
        <v/>
      </c>
      <c r="L1641" s="62" t="str">
        <f aca="false">IF(COUNTA($A1641,$F1641,$G1641,$H1641,$I1641,$J1641)=0,"",IF($M1641=0,"✖ كود الصف غير موجود",IF(ISNA(MATCH($F1641,Lists!$A$2:$A$5,0)),"✖ الفترة غير صحيحة",IF(ISNA(MATCH($G1641,Lists!$B$2:$B$7,0)),"✖ المجموعة غير صحيحة",IF(NOT(OR($H1641="",$N1641&gt;0)),"✖ Start غير صحيح",IF(NOT(OR($I1641="",$I1641="NR",$O1641&gt;0)),"✖ Current غير صحيح",IF(NOT(IF(ISNUMBER($J1641),AND($J1641&gt;=0,$J1641=INT($J1641)),FALSE())),"✖ العدد يجب أن يكون صحيحًا ≥ 0",IF(AND($F1641="Baseline",$H1641&lt;&gt;""),"⚠ Baseline: Start لا يدخل في التقدم",IF($K1641="No Start (attainment only)","ℹ تحصيل فقط (بدون Start)",IF($K1641="U – needs rule","ℹ حالة U تحتاج قاعدة معتمدة",IF($K1641="No result","ℹ بدون نتيجة (يُستبعد من التحصيل)","OK")))))))))))</f>
        <v/>
      </c>
      <c r="M1641" s="64" t="n">
        <f aca="false">IF($A1641="",0,IFERROR(MATCH($A1641,Classes!$A$6:$A$420,0),0))</f>
        <v>0</v>
      </c>
      <c r="N1641" s="64" t="n">
        <f aca="false">IF($H1641="",0,IFERROR(MATCH($H1641,GradeList,0),0))</f>
        <v>0</v>
      </c>
      <c r="O1641" s="64" t="n">
        <f aca="false">IF(OR($I1641="",$I1641="NR"),0,IFERROR(MATCH($I1641,GradeList,0),0))</f>
        <v>0</v>
      </c>
      <c r="P1641" s="64" t="n">
        <f aca="false">IF(AND($M1641&gt;0,ISNUMBER(MATCH($F1641,Lists!$A$2:$A$5,0)),ISNUMBER(MATCH($G1641,Lists!$B$2:$B$7,0)),OR($H1641="",$N1641&gt;0),OR($I1641="",$I1641="NR",$O1641&gt;0),IF(ISNUMBER($J1641),AND($J1641&gt;=0,$J1641=INT($J1641)),FALSE())),$J1641,0)</f>
        <v>0</v>
      </c>
      <c r="Q1641" s="64" t="n">
        <f aca="false">IF(AND($P1641&gt;0,$O1641&gt;0),$P1641,0)</f>
        <v>0</v>
      </c>
      <c r="R1641" s="64" t="n">
        <f aca="false">IF(AND($Q1641&gt;0,$O1641&gt;=AtRank),$Q1641,0)</f>
        <v>0</v>
      </c>
      <c r="S1641" s="64" t="n">
        <f aca="false">IF(AND($Q1641&gt;0,$O1641&gt;=AboveRank),$Q1641,0)</f>
        <v>0</v>
      </c>
      <c r="T1641" s="64" t="n">
        <f aca="false">IF($K1641="Less",$P1641,0)</f>
        <v>0</v>
      </c>
      <c r="U1641" s="64" t="n">
        <f aca="false">IF($K1641="Expected",$P1641,0)</f>
        <v>0</v>
      </c>
      <c r="V1641" s="64" t="n">
        <f aca="false">IF($K1641="Better",$P1641,0)</f>
        <v>0</v>
      </c>
      <c r="W1641" s="64" t="n">
        <f aca="false">IF($K1641="U – needs rule",$P1641,0)</f>
        <v>0</v>
      </c>
      <c r="X1641" s="64" t="n">
        <f aca="false">IF($K1641="No Start (attainment only)",$P1641,0)</f>
        <v>0</v>
      </c>
    </row>
    <row r="1642" customFormat="false" ht="15" hidden="false" customHeight="false" outlineLevel="0" collapsed="false">
      <c r="A1642" s="60"/>
      <c r="B1642" s="61" t="str">
        <f aca="false">IF($M1642=0,"",INDEX(Classes!$E$6:$E$420,$M1642))</f>
        <v/>
      </c>
      <c r="C1642" s="62" t="str">
        <f aca="false">IF($M1642=0,"",INDEX(Classes!$H$6:$H$420,$M1642))</f>
        <v/>
      </c>
      <c r="D1642" s="61" t="str">
        <f aca="false">IF($M1642=0,"",INDEX(Classes!$B$6:$B$420,$M1642))</f>
        <v/>
      </c>
      <c r="E1642" s="61" t="str">
        <f aca="false">IF($M1642=0,"",INDEX(Classes!$C$6:$C$420,$M1642))</f>
        <v/>
      </c>
      <c r="F1642" s="63"/>
      <c r="G1642" s="63"/>
      <c r="H1642" s="60"/>
      <c r="I1642" s="60"/>
      <c r="J1642" s="63"/>
      <c r="K1642" s="61" t="str">
        <f aca="false">IF($P1642=0,"",IF($F1642="Baseline","— Baseline",IF($O1642=0,"No result",IF($N1642=0,"No Start (attainment only)",IF(OR($N1642=1,$O1642=1),"U – needs rule",INDEX(MxBody,MATCH($I1642,MxCurr,0),MATCH($H1642,MxStart,0)))))))</f>
        <v/>
      </c>
      <c r="L1642" s="62" t="str">
        <f aca="false">IF(COUNTA($A1642,$F1642,$G1642,$H1642,$I1642,$J1642)=0,"",IF($M1642=0,"✖ كود الصف غير موجود",IF(ISNA(MATCH($F1642,Lists!$A$2:$A$5,0)),"✖ الفترة غير صحيحة",IF(ISNA(MATCH($G1642,Lists!$B$2:$B$7,0)),"✖ المجموعة غير صحيحة",IF(NOT(OR($H1642="",$N1642&gt;0)),"✖ Start غير صحيح",IF(NOT(OR($I1642="",$I1642="NR",$O1642&gt;0)),"✖ Current غير صحيح",IF(NOT(IF(ISNUMBER($J1642),AND($J1642&gt;=0,$J1642=INT($J1642)),FALSE())),"✖ العدد يجب أن يكون صحيحًا ≥ 0",IF(AND($F1642="Baseline",$H1642&lt;&gt;""),"⚠ Baseline: Start لا يدخل في التقدم",IF($K1642="No Start (attainment only)","ℹ تحصيل فقط (بدون Start)",IF($K1642="U – needs rule","ℹ حالة U تحتاج قاعدة معتمدة",IF($K1642="No result","ℹ بدون نتيجة (يُستبعد من التحصيل)","OK")))))))))))</f>
        <v/>
      </c>
      <c r="M1642" s="64" t="n">
        <f aca="false">IF($A1642="",0,IFERROR(MATCH($A1642,Classes!$A$6:$A$420,0),0))</f>
        <v>0</v>
      </c>
      <c r="N1642" s="64" t="n">
        <f aca="false">IF($H1642="",0,IFERROR(MATCH($H1642,GradeList,0),0))</f>
        <v>0</v>
      </c>
      <c r="O1642" s="64" t="n">
        <f aca="false">IF(OR($I1642="",$I1642="NR"),0,IFERROR(MATCH($I1642,GradeList,0),0))</f>
        <v>0</v>
      </c>
      <c r="P1642" s="64" t="n">
        <f aca="false">IF(AND($M1642&gt;0,ISNUMBER(MATCH($F1642,Lists!$A$2:$A$5,0)),ISNUMBER(MATCH($G1642,Lists!$B$2:$B$7,0)),OR($H1642="",$N1642&gt;0),OR($I1642="",$I1642="NR",$O1642&gt;0),IF(ISNUMBER($J1642),AND($J1642&gt;=0,$J1642=INT($J1642)),FALSE())),$J1642,0)</f>
        <v>0</v>
      </c>
      <c r="Q1642" s="64" t="n">
        <f aca="false">IF(AND($P1642&gt;0,$O1642&gt;0),$P1642,0)</f>
        <v>0</v>
      </c>
      <c r="R1642" s="64" t="n">
        <f aca="false">IF(AND($Q1642&gt;0,$O1642&gt;=AtRank),$Q1642,0)</f>
        <v>0</v>
      </c>
      <c r="S1642" s="64" t="n">
        <f aca="false">IF(AND($Q1642&gt;0,$O1642&gt;=AboveRank),$Q1642,0)</f>
        <v>0</v>
      </c>
      <c r="T1642" s="64" t="n">
        <f aca="false">IF($K1642="Less",$P1642,0)</f>
        <v>0</v>
      </c>
      <c r="U1642" s="64" t="n">
        <f aca="false">IF($K1642="Expected",$P1642,0)</f>
        <v>0</v>
      </c>
      <c r="V1642" s="64" t="n">
        <f aca="false">IF($K1642="Better",$P1642,0)</f>
        <v>0</v>
      </c>
      <c r="W1642" s="64" t="n">
        <f aca="false">IF($K1642="U – needs rule",$P1642,0)</f>
        <v>0</v>
      </c>
      <c r="X1642" s="64" t="n">
        <f aca="false">IF($K1642="No Start (attainment only)",$P1642,0)</f>
        <v>0</v>
      </c>
    </row>
    <row r="1643" customFormat="false" ht="15" hidden="false" customHeight="false" outlineLevel="0" collapsed="false">
      <c r="A1643" s="60"/>
      <c r="B1643" s="61" t="str">
        <f aca="false">IF($M1643=0,"",INDEX(Classes!$E$6:$E$420,$M1643))</f>
        <v/>
      </c>
      <c r="C1643" s="62" t="str">
        <f aca="false">IF($M1643=0,"",INDEX(Classes!$H$6:$H$420,$M1643))</f>
        <v/>
      </c>
      <c r="D1643" s="61" t="str">
        <f aca="false">IF($M1643=0,"",INDEX(Classes!$B$6:$B$420,$M1643))</f>
        <v/>
      </c>
      <c r="E1643" s="61" t="str">
        <f aca="false">IF($M1643=0,"",INDEX(Classes!$C$6:$C$420,$M1643))</f>
        <v/>
      </c>
      <c r="F1643" s="63"/>
      <c r="G1643" s="63"/>
      <c r="H1643" s="60"/>
      <c r="I1643" s="60"/>
      <c r="J1643" s="63"/>
      <c r="K1643" s="61" t="str">
        <f aca="false">IF($P1643=0,"",IF($F1643="Baseline","— Baseline",IF($O1643=0,"No result",IF($N1643=0,"No Start (attainment only)",IF(OR($N1643=1,$O1643=1),"U – needs rule",INDEX(MxBody,MATCH($I1643,MxCurr,0),MATCH($H1643,MxStart,0)))))))</f>
        <v/>
      </c>
      <c r="L1643" s="62" t="str">
        <f aca="false">IF(COUNTA($A1643,$F1643,$G1643,$H1643,$I1643,$J1643)=0,"",IF($M1643=0,"✖ كود الصف غير موجود",IF(ISNA(MATCH($F1643,Lists!$A$2:$A$5,0)),"✖ الفترة غير صحيحة",IF(ISNA(MATCH($G1643,Lists!$B$2:$B$7,0)),"✖ المجموعة غير صحيحة",IF(NOT(OR($H1643="",$N1643&gt;0)),"✖ Start غير صحيح",IF(NOT(OR($I1643="",$I1643="NR",$O1643&gt;0)),"✖ Current غير صحيح",IF(NOT(IF(ISNUMBER($J1643),AND($J1643&gt;=0,$J1643=INT($J1643)),FALSE())),"✖ العدد يجب أن يكون صحيحًا ≥ 0",IF(AND($F1643="Baseline",$H1643&lt;&gt;""),"⚠ Baseline: Start لا يدخل في التقدم",IF($K1643="No Start (attainment only)","ℹ تحصيل فقط (بدون Start)",IF($K1643="U – needs rule","ℹ حالة U تحتاج قاعدة معتمدة",IF($K1643="No result","ℹ بدون نتيجة (يُستبعد من التحصيل)","OK")))))))))))</f>
        <v/>
      </c>
      <c r="M1643" s="64" t="n">
        <f aca="false">IF($A1643="",0,IFERROR(MATCH($A1643,Classes!$A$6:$A$420,0),0))</f>
        <v>0</v>
      </c>
      <c r="N1643" s="64" t="n">
        <f aca="false">IF($H1643="",0,IFERROR(MATCH($H1643,GradeList,0),0))</f>
        <v>0</v>
      </c>
      <c r="O1643" s="64" t="n">
        <f aca="false">IF(OR($I1643="",$I1643="NR"),0,IFERROR(MATCH($I1643,GradeList,0),0))</f>
        <v>0</v>
      </c>
      <c r="P1643" s="64" t="n">
        <f aca="false">IF(AND($M1643&gt;0,ISNUMBER(MATCH($F1643,Lists!$A$2:$A$5,0)),ISNUMBER(MATCH($G1643,Lists!$B$2:$B$7,0)),OR($H1643="",$N1643&gt;0),OR($I1643="",$I1643="NR",$O1643&gt;0),IF(ISNUMBER($J1643),AND($J1643&gt;=0,$J1643=INT($J1643)),FALSE())),$J1643,0)</f>
        <v>0</v>
      </c>
      <c r="Q1643" s="64" t="n">
        <f aca="false">IF(AND($P1643&gt;0,$O1643&gt;0),$P1643,0)</f>
        <v>0</v>
      </c>
      <c r="R1643" s="64" t="n">
        <f aca="false">IF(AND($Q1643&gt;0,$O1643&gt;=AtRank),$Q1643,0)</f>
        <v>0</v>
      </c>
      <c r="S1643" s="64" t="n">
        <f aca="false">IF(AND($Q1643&gt;0,$O1643&gt;=AboveRank),$Q1643,0)</f>
        <v>0</v>
      </c>
      <c r="T1643" s="64" t="n">
        <f aca="false">IF($K1643="Less",$P1643,0)</f>
        <v>0</v>
      </c>
      <c r="U1643" s="64" t="n">
        <f aca="false">IF($K1643="Expected",$P1643,0)</f>
        <v>0</v>
      </c>
      <c r="V1643" s="64" t="n">
        <f aca="false">IF($K1643="Better",$P1643,0)</f>
        <v>0</v>
      </c>
      <c r="W1643" s="64" t="n">
        <f aca="false">IF($K1643="U – needs rule",$P1643,0)</f>
        <v>0</v>
      </c>
      <c r="X1643" s="64" t="n">
        <f aca="false">IF($K1643="No Start (attainment only)",$P1643,0)</f>
        <v>0</v>
      </c>
    </row>
    <row r="1644" customFormat="false" ht="15" hidden="false" customHeight="false" outlineLevel="0" collapsed="false">
      <c r="A1644" s="60"/>
      <c r="B1644" s="61" t="str">
        <f aca="false">IF($M1644=0,"",INDEX(Classes!$E$6:$E$420,$M1644))</f>
        <v/>
      </c>
      <c r="C1644" s="62" t="str">
        <f aca="false">IF($M1644=0,"",INDEX(Classes!$H$6:$H$420,$M1644))</f>
        <v/>
      </c>
      <c r="D1644" s="61" t="str">
        <f aca="false">IF($M1644=0,"",INDEX(Classes!$B$6:$B$420,$M1644))</f>
        <v/>
      </c>
      <c r="E1644" s="61" t="str">
        <f aca="false">IF($M1644=0,"",INDEX(Classes!$C$6:$C$420,$M1644))</f>
        <v/>
      </c>
      <c r="F1644" s="63"/>
      <c r="G1644" s="63"/>
      <c r="H1644" s="60"/>
      <c r="I1644" s="60"/>
      <c r="J1644" s="63"/>
      <c r="K1644" s="61" t="str">
        <f aca="false">IF($P1644=0,"",IF($F1644="Baseline","— Baseline",IF($O1644=0,"No result",IF($N1644=0,"No Start (attainment only)",IF(OR($N1644=1,$O1644=1),"U – needs rule",INDEX(MxBody,MATCH($I1644,MxCurr,0),MATCH($H1644,MxStart,0)))))))</f>
        <v/>
      </c>
      <c r="L1644" s="62" t="str">
        <f aca="false">IF(COUNTA($A1644,$F1644,$G1644,$H1644,$I1644,$J1644)=0,"",IF($M1644=0,"✖ كود الصف غير موجود",IF(ISNA(MATCH($F1644,Lists!$A$2:$A$5,0)),"✖ الفترة غير صحيحة",IF(ISNA(MATCH($G1644,Lists!$B$2:$B$7,0)),"✖ المجموعة غير صحيحة",IF(NOT(OR($H1644="",$N1644&gt;0)),"✖ Start غير صحيح",IF(NOT(OR($I1644="",$I1644="NR",$O1644&gt;0)),"✖ Current غير صحيح",IF(NOT(IF(ISNUMBER($J1644),AND($J1644&gt;=0,$J1644=INT($J1644)),FALSE())),"✖ العدد يجب أن يكون صحيحًا ≥ 0",IF(AND($F1644="Baseline",$H1644&lt;&gt;""),"⚠ Baseline: Start لا يدخل في التقدم",IF($K1644="No Start (attainment only)","ℹ تحصيل فقط (بدون Start)",IF($K1644="U – needs rule","ℹ حالة U تحتاج قاعدة معتمدة",IF($K1644="No result","ℹ بدون نتيجة (يُستبعد من التحصيل)","OK")))))))))))</f>
        <v/>
      </c>
      <c r="M1644" s="64" t="n">
        <f aca="false">IF($A1644="",0,IFERROR(MATCH($A1644,Classes!$A$6:$A$420,0),0))</f>
        <v>0</v>
      </c>
      <c r="N1644" s="64" t="n">
        <f aca="false">IF($H1644="",0,IFERROR(MATCH($H1644,GradeList,0),0))</f>
        <v>0</v>
      </c>
      <c r="O1644" s="64" t="n">
        <f aca="false">IF(OR($I1644="",$I1644="NR"),0,IFERROR(MATCH($I1644,GradeList,0),0))</f>
        <v>0</v>
      </c>
      <c r="P1644" s="64" t="n">
        <f aca="false">IF(AND($M1644&gt;0,ISNUMBER(MATCH($F1644,Lists!$A$2:$A$5,0)),ISNUMBER(MATCH($G1644,Lists!$B$2:$B$7,0)),OR($H1644="",$N1644&gt;0),OR($I1644="",$I1644="NR",$O1644&gt;0),IF(ISNUMBER($J1644),AND($J1644&gt;=0,$J1644=INT($J1644)),FALSE())),$J1644,0)</f>
        <v>0</v>
      </c>
      <c r="Q1644" s="64" t="n">
        <f aca="false">IF(AND($P1644&gt;0,$O1644&gt;0),$P1644,0)</f>
        <v>0</v>
      </c>
      <c r="R1644" s="64" t="n">
        <f aca="false">IF(AND($Q1644&gt;0,$O1644&gt;=AtRank),$Q1644,0)</f>
        <v>0</v>
      </c>
      <c r="S1644" s="64" t="n">
        <f aca="false">IF(AND($Q1644&gt;0,$O1644&gt;=AboveRank),$Q1644,0)</f>
        <v>0</v>
      </c>
      <c r="T1644" s="64" t="n">
        <f aca="false">IF($K1644="Less",$P1644,0)</f>
        <v>0</v>
      </c>
      <c r="U1644" s="64" t="n">
        <f aca="false">IF($K1644="Expected",$P1644,0)</f>
        <v>0</v>
      </c>
      <c r="V1644" s="64" t="n">
        <f aca="false">IF($K1644="Better",$P1644,0)</f>
        <v>0</v>
      </c>
      <c r="W1644" s="64" t="n">
        <f aca="false">IF($K1644="U – needs rule",$P1644,0)</f>
        <v>0</v>
      </c>
      <c r="X1644" s="64" t="n">
        <f aca="false">IF($K1644="No Start (attainment only)",$P1644,0)</f>
        <v>0</v>
      </c>
    </row>
    <row r="1645" customFormat="false" ht="15" hidden="false" customHeight="false" outlineLevel="0" collapsed="false">
      <c r="A1645" s="60"/>
      <c r="B1645" s="61" t="str">
        <f aca="false">IF($M1645=0,"",INDEX(Classes!$E$6:$E$420,$M1645))</f>
        <v/>
      </c>
      <c r="C1645" s="62" t="str">
        <f aca="false">IF($M1645=0,"",INDEX(Classes!$H$6:$H$420,$M1645))</f>
        <v/>
      </c>
      <c r="D1645" s="61" t="str">
        <f aca="false">IF($M1645=0,"",INDEX(Classes!$B$6:$B$420,$M1645))</f>
        <v/>
      </c>
      <c r="E1645" s="61" t="str">
        <f aca="false">IF($M1645=0,"",INDEX(Classes!$C$6:$C$420,$M1645))</f>
        <v/>
      </c>
      <c r="F1645" s="63"/>
      <c r="G1645" s="63"/>
      <c r="H1645" s="60"/>
      <c r="I1645" s="60"/>
      <c r="J1645" s="63"/>
      <c r="K1645" s="61" t="str">
        <f aca="false">IF($P1645=0,"",IF($F1645="Baseline","— Baseline",IF($O1645=0,"No result",IF($N1645=0,"No Start (attainment only)",IF(OR($N1645=1,$O1645=1),"U – needs rule",INDEX(MxBody,MATCH($I1645,MxCurr,0),MATCH($H1645,MxStart,0)))))))</f>
        <v/>
      </c>
      <c r="L1645" s="62" t="str">
        <f aca="false">IF(COUNTA($A1645,$F1645,$G1645,$H1645,$I1645,$J1645)=0,"",IF($M1645=0,"✖ كود الصف غير موجود",IF(ISNA(MATCH($F1645,Lists!$A$2:$A$5,0)),"✖ الفترة غير صحيحة",IF(ISNA(MATCH($G1645,Lists!$B$2:$B$7,0)),"✖ المجموعة غير صحيحة",IF(NOT(OR($H1645="",$N1645&gt;0)),"✖ Start غير صحيح",IF(NOT(OR($I1645="",$I1645="NR",$O1645&gt;0)),"✖ Current غير صحيح",IF(NOT(IF(ISNUMBER($J1645),AND($J1645&gt;=0,$J1645=INT($J1645)),FALSE())),"✖ العدد يجب أن يكون صحيحًا ≥ 0",IF(AND($F1645="Baseline",$H1645&lt;&gt;""),"⚠ Baseline: Start لا يدخل في التقدم",IF($K1645="No Start (attainment only)","ℹ تحصيل فقط (بدون Start)",IF($K1645="U – needs rule","ℹ حالة U تحتاج قاعدة معتمدة",IF($K1645="No result","ℹ بدون نتيجة (يُستبعد من التحصيل)","OK")))))))))))</f>
        <v/>
      </c>
      <c r="M1645" s="64" t="n">
        <f aca="false">IF($A1645="",0,IFERROR(MATCH($A1645,Classes!$A$6:$A$420,0),0))</f>
        <v>0</v>
      </c>
      <c r="N1645" s="64" t="n">
        <f aca="false">IF($H1645="",0,IFERROR(MATCH($H1645,GradeList,0),0))</f>
        <v>0</v>
      </c>
      <c r="O1645" s="64" t="n">
        <f aca="false">IF(OR($I1645="",$I1645="NR"),0,IFERROR(MATCH($I1645,GradeList,0),0))</f>
        <v>0</v>
      </c>
      <c r="P1645" s="64" t="n">
        <f aca="false">IF(AND($M1645&gt;0,ISNUMBER(MATCH($F1645,Lists!$A$2:$A$5,0)),ISNUMBER(MATCH($G1645,Lists!$B$2:$B$7,0)),OR($H1645="",$N1645&gt;0),OR($I1645="",$I1645="NR",$O1645&gt;0),IF(ISNUMBER($J1645),AND($J1645&gt;=0,$J1645=INT($J1645)),FALSE())),$J1645,0)</f>
        <v>0</v>
      </c>
      <c r="Q1645" s="64" t="n">
        <f aca="false">IF(AND($P1645&gt;0,$O1645&gt;0),$P1645,0)</f>
        <v>0</v>
      </c>
      <c r="R1645" s="64" t="n">
        <f aca="false">IF(AND($Q1645&gt;0,$O1645&gt;=AtRank),$Q1645,0)</f>
        <v>0</v>
      </c>
      <c r="S1645" s="64" t="n">
        <f aca="false">IF(AND($Q1645&gt;0,$O1645&gt;=AboveRank),$Q1645,0)</f>
        <v>0</v>
      </c>
      <c r="T1645" s="64" t="n">
        <f aca="false">IF($K1645="Less",$P1645,0)</f>
        <v>0</v>
      </c>
      <c r="U1645" s="64" t="n">
        <f aca="false">IF($K1645="Expected",$P1645,0)</f>
        <v>0</v>
      </c>
      <c r="V1645" s="64" t="n">
        <f aca="false">IF($K1645="Better",$P1645,0)</f>
        <v>0</v>
      </c>
      <c r="W1645" s="64" t="n">
        <f aca="false">IF($K1645="U – needs rule",$P1645,0)</f>
        <v>0</v>
      </c>
      <c r="X1645" s="64" t="n">
        <f aca="false">IF($K1645="No Start (attainment only)",$P1645,0)</f>
        <v>0</v>
      </c>
    </row>
    <row r="1646" customFormat="false" ht="15" hidden="false" customHeight="false" outlineLevel="0" collapsed="false">
      <c r="A1646" s="60"/>
      <c r="B1646" s="61" t="str">
        <f aca="false">IF($M1646=0,"",INDEX(Classes!$E$6:$E$420,$M1646))</f>
        <v/>
      </c>
      <c r="C1646" s="62" t="str">
        <f aca="false">IF($M1646=0,"",INDEX(Classes!$H$6:$H$420,$M1646))</f>
        <v/>
      </c>
      <c r="D1646" s="61" t="str">
        <f aca="false">IF($M1646=0,"",INDEX(Classes!$B$6:$B$420,$M1646))</f>
        <v/>
      </c>
      <c r="E1646" s="61" t="str">
        <f aca="false">IF($M1646=0,"",INDEX(Classes!$C$6:$C$420,$M1646))</f>
        <v/>
      </c>
      <c r="F1646" s="63"/>
      <c r="G1646" s="63"/>
      <c r="H1646" s="60"/>
      <c r="I1646" s="60"/>
      <c r="J1646" s="63"/>
      <c r="K1646" s="61" t="str">
        <f aca="false">IF($P1646=0,"",IF($F1646="Baseline","— Baseline",IF($O1646=0,"No result",IF($N1646=0,"No Start (attainment only)",IF(OR($N1646=1,$O1646=1),"U – needs rule",INDEX(MxBody,MATCH($I1646,MxCurr,0),MATCH($H1646,MxStart,0)))))))</f>
        <v/>
      </c>
      <c r="L1646" s="62" t="str">
        <f aca="false">IF(COUNTA($A1646,$F1646,$G1646,$H1646,$I1646,$J1646)=0,"",IF($M1646=0,"✖ كود الصف غير موجود",IF(ISNA(MATCH($F1646,Lists!$A$2:$A$5,0)),"✖ الفترة غير صحيحة",IF(ISNA(MATCH($G1646,Lists!$B$2:$B$7,0)),"✖ المجموعة غير صحيحة",IF(NOT(OR($H1646="",$N1646&gt;0)),"✖ Start غير صحيح",IF(NOT(OR($I1646="",$I1646="NR",$O1646&gt;0)),"✖ Current غير صحيح",IF(NOT(IF(ISNUMBER($J1646),AND($J1646&gt;=0,$J1646=INT($J1646)),FALSE())),"✖ العدد يجب أن يكون صحيحًا ≥ 0",IF(AND($F1646="Baseline",$H1646&lt;&gt;""),"⚠ Baseline: Start لا يدخل في التقدم",IF($K1646="No Start (attainment only)","ℹ تحصيل فقط (بدون Start)",IF($K1646="U – needs rule","ℹ حالة U تحتاج قاعدة معتمدة",IF($K1646="No result","ℹ بدون نتيجة (يُستبعد من التحصيل)","OK")))))))))))</f>
        <v/>
      </c>
      <c r="M1646" s="64" t="n">
        <f aca="false">IF($A1646="",0,IFERROR(MATCH($A1646,Classes!$A$6:$A$420,0),0))</f>
        <v>0</v>
      </c>
      <c r="N1646" s="64" t="n">
        <f aca="false">IF($H1646="",0,IFERROR(MATCH($H1646,GradeList,0),0))</f>
        <v>0</v>
      </c>
      <c r="O1646" s="64" t="n">
        <f aca="false">IF(OR($I1646="",$I1646="NR"),0,IFERROR(MATCH($I1646,GradeList,0),0))</f>
        <v>0</v>
      </c>
      <c r="P1646" s="64" t="n">
        <f aca="false">IF(AND($M1646&gt;0,ISNUMBER(MATCH($F1646,Lists!$A$2:$A$5,0)),ISNUMBER(MATCH($G1646,Lists!$B$2:$B$7,0)),OR($H1646="",$N1646&gt;0),OR($I1646="",$I1646="NR",$O1646&gt;0),IF(ISNUMBER($J1646),AND($J1646&gt;=0,$J1646=INT($J1646)),FALSE())),$J1646,0)</f>
        <v>0</v>
      </c>
      <c r="Q1646" s="64" t="n">
        <f aca="false">IF(AND($P1646&gt;0,$O1646&gt;0),$P1646,0)</f>
        <v>0</v>
      </c>
      <c r="R1646" s="64" t="n">
        <f aca="false">IF(AND($Q1646&gt;0,$O1646&gt;=AtRank),$Q1646,0)</f>
        <v>0</v>
      </c>
      <c r="S1646" s="64" t="n">
        <f aca="false">IF(AND($Q1646&gt;0,$O1646&gt;=AboveRank),$Q1646,0)</f>
        <v>0</v>
      </c>
      <c r="T1646" s="64" t="n">
        <f aca="false">IF($K1646="Less",$P1646,0)</f>
        <v>0</v>
      </c>
      <c r="U1646" s="64" t="n">
        <f aca="false">IF($K1646="Expected",$P1646,0)</f>
        <v>0</v>
      </c>
      <c r="V1646" s="64" t="n">
        <f aca="false">IF($K1646="Better",$P1646,0)</f>
        <v>0</v>
      </c>
      <c r="W1646" s="64" t="n">
        <f aca="false">IF($K1646="U – needs rule",$P1646,0)</f>
        <v>0</v>
      </c>
      <c r="X1646" s="64" t="n">
        <f aca="false">IF($K1646="No Start (attainment only)",$P1646,0)</f>
        <v>0</v>
      </c>
    </row>
    <row r="1647" customFormat="false" ht="15" hidden="false" customHeight="false" outlineLevel="0" collapsed="false">
      <c r="A1647" s="60"/>
      <c r="B1647" s="61" t="str">
        <f aca="false">IF($M1647=0,"",INDEX(Classes!$E$6:$E$420,$M1647))</f>
        <v/>
      </c>
      <c r="C1647" s="62" t="str">
        <f aca="false">IF($M1647=0,"",INDEX(Classes!$H$6:$H$420,$M1647))</f>
        <v/>
      </c>
      <c r="D1647" s="61" t="str">
        <f aca="false">IF($M1647=0,"",INDEX(Classes!$B$6:$B$420,$M1647))</f>
        <v/>
      </c>
      <c r="E1647" s="61" t="str">
        <f aca="false">IF($M1647=0,"",INDEX(Classes!$C$6:$C$420,$M1647))</f>
        <v/>
      </c>
      <c r="F1647" s="63"/>
      <c r="G1647" s="63"/>
      <c r="H1647" s="60"/>
      <c r="I1647" s="60"/>
      <c r="J1647" s="63"/>
      <c r="K1647" s="61" t="str">
        <f aca="false">IF($P1647=0,"",IF($F1647="Baseline","— Baseline",IF($O1647=0,"No result",IF($N1647=0,"No Start (attainment only)",IF(OR($N1647=1,$O1647=1),"U – needs rule",INDEX(MxBody,MATCH($I1647,MxCurr,0),MATCH($H1647,MxStart,0)))))))</f>
        <v/>
      </c>
      <c r="L1647" s="62" t="str">
        <f aca="false">IF(COUNTA($A1647,$F1647,$G1647,$H1647,$I1647,$J1647)=0,"",IF($M1647=0,"✖ كود الصف غير موجود",IF(ISNA(MATCH($F1647,Lists!$A$2:$A$5,0)),"✖ الفترة غير صحيحة",IF(ISNA(MATCH($G1647,Lists!$B$2:$B$7,0)),"✖ المجموعة غير صحيحة",IF(NOT(OR($H1647="",$N1647&gt;0)),"✖ Start غير صحيح",IF(NOT(OR($I1647="",$I1647="NR",$O1647&gt;0)),"✖ Current غير صحيح",IF(NOT(IF(ISNUMBER($J1647),AND($J1647&gt;=0,$J1647=INT($J1647)),FALSE())),"✖ العدد يجب أن يكون صحيحًا ≥ 0",IF(AND($F1647="Baseline",$H1647&lt;&gt;""),"⚠ Baseline: Start لا يدخل في التقدم",IF($K1647="No Start (attainment only)","ℹ تحصيل فقط (بدون Start)",IF($K1647="U – needs rule","ℹ حالة U تحتاج قاعدة معتمدة",IF($K1647="No result","ℹ بدون نتيجة (يُستبعد من التحصيل)","OK")))))))))))</f>
        <v/>
      </c>
      <c r="M1647" s="64" t="n">
        <f aca="false">IF($A1647="",0,IFERROR(MATCH($A1647,Classes!$A$6:$A$420,0),0))</f>
        <v>0</v>
      </c>
      <c r="N1647" s="64" t="n">
        <f aca="false">IF($H1647="",0,IFERROR(MATCH($H1647,GradeList,0),0))</f>
        <v>0</v>
      </c>
      <c r="O1647" s="64" t="n">
        <f aca="false">IF(OR($I1647="",$I1647="NR"),0,IFERROR(MATCH($I1647,GradeList,0),0))</f>
        <v>0</v>
      </c>
      <c r="P1647" s="64" t="n">
        <f aca="false">IF(AND($M1647&gt;0,ISNUMBER(MATCH($F1647,Lists!$A$2:$A$5,0)),ISNUMBER(MATCH($G1647,Lists!$B$2:$B$7,0)),OR($H1647="",$N1647&gt;0),OR($I1647="",$I1647="NR",$O1647&gt;0),IF(ISNUMBER($J1647),AND($J1647&gt;=0,$J1647=INT($J1647)),FALSE())),$J1647,0)</f>
        <v>0</v>
      </c>
      <c r="Q1647" s="64" t="n">
        <f aca="false">IF(AND($P1647&gt;0,$O1647&gt;0),$P1647,0)</f>
        <v>0</v>
      </c>
      <c r="R1647" s="64" t="n">
        <f aca="false">IF(AND($Q1647&gt;0,$O1647&gt;=AtRank),$Q1647,0)</f>
        <v>0</v>
      </c>
      <c r="S1647" s="64" t="n">
        <f aca="false">IF(AND($Q1647&gt;0,$O1647&gt;=AboveRank),$Q1647,0)</f>
        <v>0</v>
      </c>
      <c r="T1647" s="64" t="n">
        <f aca="false">IF($K1647="Less",$P1647,0)</f>
        <v>0</v>
      </c>
      <c r="U1647" s="64" t="n">
        <f aca="false">IF($K1647="Expected",$P1647,0)</f>
        <v>0</v>
      </c>
      <c r="V1647" s="64" t="n">
        <f aca="false">IF($K1647="Better",$P1647,0)</f>
        <v>0</v>
      </c>
      <c r="W1647" s="64" t="n">
        <f aca="false">IF($K1647="U – needs rule",$P1647,0)</f>
        <v>0</v>
      </c>
      <c r="X1647" s="64" t="n">
        <f aca="false">IF($K1647="No Start (attainment only)",$P1647,0)</f>
        <v>0</v>
      </c>
    </row>
    <row r="1648" customFormat="false" ht="15" hidden="false" customHeight="false" outlineLevel="0" collapsed="false">
      <c r="A1648" s="60"/>
      <c r="B1648" s="61" t="str">
        <f aca="false">IF($M1648=0,"",INDEX(Classes!$E$6:$E$420,$M1648))</f>
        <v/>
      </c>
      <c r="C1648" s="62" t="str">
        <f aca="false">IF($M1648=0,"",INDEX(Classes!$H$6:$H$420,$M1648))</f>
        <v/>
      </c>
      <c r="D1648" s="61" t="str">
        <f aca="false">IF($M1648=0,"",INDEX(Classes!$B$6:$B$420,$M1648))</f>
        <v/>
      </c>
      <c r="E1648" s="61" t="str">
        <f aca="false">IF($M1648=0,"",INDEX(Classes!$C$6:$C$420,$M1648))</f>
        <v/>
      </c>
      <c r="F1648" s="63"/>
      <c r="G1648" s="63"/>
      <c r="H1648" s="60"/>
      <c r="I1648" s="60"/>
      <c r="J1648" s="63"/>
      <c r="K1648" s="61" t="str">
        <f aca="false">IF($P1648=0,"",IF($F1648="Baseline","— Baseline",IF($O1648=0,"No result",IF($N1648=0,"No Start (attainment only)",IF(OR($N1648=1,$O1648=1),"U – needs rule",INDEX(MxBody,MATCH($I1648,MxCurr,0),MATCH($H1648,MxStart,0)))))))</f>
        <v/>
      </c>
      <c r="L1648" s="62" t="str">
        <f aca="false">IF(COUNTA($A1648,$F1648,$G1648,$H1648,$I1648,$J1648)=0,"",IF($M1648=0,"✖ كود الصف غير موجود",IF(ISNA(MATCH($F1648,Lists!$A$2:$A$5,0)),"✖ الفترة غير صحيحة",IF(ISNA(MATCH($G1648,Lists!$B$2:$B$7,0)),"✖ المجموعة غير صحيحة",IF(NOT(OR($H1648="",$N1648&gt;0)),"✖ Start غير صحيح",IF(NOT(OR($I1648="",$I1648="NR",$O1648&gt;0)),"✖ Current غير صحيح",IF(NOT(IF(ISNUMBER($J1648),AND($J1648&gt;=0,$J1648=INT($J1648)),FALSE())),"✖ العدد يجب أن يكون صحيحًا ≥ 0",IF(AND($F1648="Baseline",$H1648&lt;&gt;""),"⚠ Baseline: Start لا يدخل في التقدم",IF($K1648="No Start (attainment only)","ℹ تحصيل فقط (بدون Start)",IF($K1648="U – needs rule","ℹ حالة U تحتاج قاعدة معتمدة",IF($K1648="No result","ℹ بدون نتيجة (يُستبعد من التحصيل)","OK")))))))))))</f>
        <v/>
      </c>
      <c r="M1648" s="64" t="n">
        <f aca="false">IF($A1648="",0,IFERROR(MATCH($A1648,Classes!$A$6:$A$420,0),0))</f>
        <v>0</v>
      </c>
      <c r="N1648" s="64" t="n">
        <f aca="false">IF($H1648="",0,IFERROR(MATCH($H1648,GradeList,0),0))</f>
        <v>0</v>
      </c>
      <c r="O1648" s="64" t="n">
        <f aca="false">IF(OR($I1648="",$I1648="NR"),0,IFERROR(MATCH($I1648,GradeList,0),0))</f>
        <v>0</v>
      </c>
      <c r="P1648" s="64" t="n">
        <f aca="false">IF(AND($M1648&gt;0,ISNUMBER(MATCH($F1648,Lists!$A$2:$A$5,0)),ISNUMBER(MATCH($G1648,Lists!$B$2:$B$7,0)),OR($H1648="",$N1648&gt;0),OR($I1648="",$I1648="NR",$O1648&gt;0),IF(ISNUMBER($J1648),AND($J1648&gt;=0,$J1648=INT($J1648)),FALSE())),$J1648,0)</f>
        <v>0</v>
      </c>
      <c r="Q1648" s="64" t="n">
        <f aca="false">IF(AND($P1648&gt;0,$O1648&gt;0),$P1648,0)</f>
        <v>0</v>
      </c>
      <c r="R1648" s="64" t="n">
        <f aca="false">IF(AND($Q1648&gt;0,$O1648&gt;=AtRank),$Q1648,0)</f>
        <v>0</v>
      </c>
      <c r="S1648" s="64" t="n">
        <f aca="false">IF(AND($Q1648&gt;0,$O1648&gt;=AboveRank),$Q1648,0)</f>
        <v>0</v>
      </c>
      <c r="T1648" s="64" t="n">
        <f aca="false">IF($K1648="Less",$P1648,0)</f>
        <v>0</v>
      </c>
      <c r="U1648" s="64" t="n">
        <f aca="false">IF($K1648="Expected",$P1648,0)</f>
        <v>0</v>
      </c>
      <c r="V1648" s="64" t="n">
        <f aca="false">IF($K1648="Better",$P1648,0)</f>
        <v>0</v>
      </c>
      <c r="W1648" s="64" t="n">
        <f aca="false">IF($K1648="U – needs rule",$P1648,0)</f>
        <v>0</v>
      </c>
      <c r="X1648" s="64" t="n">
        <f aca="false">IF($K1648="No Start (attainment only)",$P1648,0)</f>
        <v>0</v>
      </c>
    </row>
    <row r="1649" customFormat="false" ht="15" hidden="false" customHeight="false" outlineLevel="0" collapsed="false">
      <c r="A1649" s="60"/>
      <c r="B1649" s="61" t="str">
        <f aca="false">IF($M1649=0,"",INDEX(Classes!$E$6:$E$420,$M1649))</f>
        <v/>
      </c>
      <c r="C1649" s="62" t="str">
        <f aca="false">IF($M1649=0,"",INDEX(Classes!$H$6:$H$420,$M1649))</f>
        <v/>
      </c>
      <c r="D1649" s="61" t="str">
        <f aca="false">IF($M1649=0,"",INDEX(Classes!$B$6:$B$420,$M1649))</f>
        <v/>
      </c>
      <c r="E1649" s="61" t="str">
        <f aca="false">IF($M1649=0,"",INDEX(Classes!$C$6:$C$420,$M1649))</f>
        <v/>
      </c>
      <c r="F1649" s="63"/>
      <c r="G1649" s="63"/>
      <c r="H1649" s="60"/>
      <c r="I1649" s="60"/>
      <c r="J1649" s="63"/>
      <c r="K1649" s="61" t="str">
        <f aca="false">IF($P1649=0,"",IF($F1649="Baseline","— Baseline",IF($O1649=0,"No result",IF($N1649=0,"No Start (attainment only)",IF(OR($N1649=1,$O1649=1),"U – needs rule",INDEX(MxBody,MATCH($I1649,MxCurr,0),MATCH($H1649,MxStart,0)))))))</f>
        <v/>
      </c>
      <c r="L1649" s="62" t="str">
        <f aca="false">IF(COUNTA($A1649,$F1649,$G1649,$H1649,$I1649,$J1649)=0,"",IF($M1649=0,"✖ كود الصف غير موجود",IF(ISNA(MATCH($F1649,Lists!$A$2:$A$5,0)),"✖ الفترة غير صحيحة",IF(ISNA(MATCH($G1649,Lists!$B$2:$B$7,0)),"✖ المجموعة غير صحيحة",IF(NOT(OR($H1649="",$N1649&gt;0)),"✖ Start غير صحيح",IF(NOT(OR($I1649="",$I1649="NR",$O1649&gt;0)),"✖ Current غير صحيح",IF(NOT(IF(ISNUMBER($J1649),AND($J1649&gt;=0,$J1649=INT($J1649)),FALSE())),"✖ العدد يجب أن يكون صحيحًا ≥ 0",IF(AND($F1649="Baseline",$H1649&lt;&gt;""),"⚠ Baseline: Start لا يدخل في التقدم",IF($K1649="No Start (attainment only)","ℹ تحصيل فقط (بدون Start)",IF($K1649="U – needs rule","ℹ حالة U تحتاج قاعدة معتمدة",IF($K1649="No result","ℹ بدون نتيجة (يُستبعد من التحصيل)","OK")))))))))))</f>
        <v/>
      </c>
      <c r="M1649" s="64" t="n">
        <f aca="false">IF($A1649="",0,IFERROR(MATCH($A1649,Classes!$A$6:$A$420,0),0))</f>
        <v>0</v>
      </c>
      <c r="N1649" s="64" t="n">
        <f aca="false">IF($H1649="",0,IFERROR(MATCH($H1649,GradeList,0),0))</f>
        <v>0</v>
      </c>
      <c r="O1649" s="64" t="n">
        <f aca="false">IF(OR($I1649="",$I1649="NR"),0,IFERROR(MATCH($I1649,GradeList,0),0))</f>
        <v>0</v>
      </c>
      <c r="P1649" s="64" t="n">
        <f aca="false">IF(AND($M1649&gt;0,ISNUMBER(MATCH($F1649,Lists!$A$2:$A$5,0)),ISNUMBER(MATCH($G1649,Lists!$B$2:$B$7,0)),OR($H1649="",$N1649&gt;0),OR($I1649="",$I1649="NR",$O1649&gt;0),IF(ISNUMBER($J1649),AND($J1649&gt;=0,$J1649=INT($J1649)),FALSE())),$J1649,0)</f>
        <v>0</v>
      </c>
      <c r="Q1649" s="64" t="n">
        <f aca="false">IF(AND($P1649&gt;0,$O1649&gt;0),$P1649,0)</f>
        <v>0</v>
      </c>
      <c r="R1649" s="64" t="n">
        <f aca="false">IF(AND($Q1649&gt;0,$O1649&gt;=AtRank),$Q1649,0)</f>
        <v>0</v>
      </c>
      <c r="S1649" s="64" t="n">
        <f aca="false">IF(AND($Q1649&gt;0,$O1649&gt;=AboveRank),$Q1649,0)</f>
        <v>0</v>
      </c>
      <c r="T1649" s="64" t="n">
        <f aca="false">IF($K1649="Less",$P1649,0)</f>
        <v>0</v>
      </c>
      <c r="U1649" s="64" t="n">
        <f aca="false">IF($K1649="Expected",$P1649,0)</f>
        <v>0</v>
      </c>
      <c r="V1649" s="64" t="n">
        <f aca="false">IF($K1649="Better",$P1649,0)</f>
        <v>0</v>
      </c>
      <c r="W1649" s="64" t="n">
        <f aca="false">IF($K1649="U – needs rule",$P1649,0)</f>
        <v>0</v>
      </c>
      <c r="X1649" s="64" t="n">
        <f aca="false">IF($K1649="No Start (attainment only)",$P1649,0)</f>
        <v>0</v>
      </c>
    </row>
    <row r="1650" customFormat="false" ht="15" hidden="false" customHeight="false" outlineLevel="0" collapsed="false">
      <c r="A1650" s="60"/>
      <c r="B1650" s="61" t="str">
        <f aca="false">IF($M1650=0,"",INDEX(Classes!$E$6:$E$420,$M1650))</f>
        <v/>
      </c>
      <c r="C1650" s="62" t="str">
        <f aca="false">IF($M1650=0,"",INDEX(Classes!$H$6:$H$420,$M1650))</f>
        <v/>
      </c>
      <c r="D1650" s="61" t="str">
        <f aca="false">IF($M1650=0,"",INDEX(Classes!$B$6:$B$420,$M1650))</f>
        <v/>
      </c>
      <c r="E1650" s="61" t="str">
        <f aca="false">IF($M1650=0,"",INDEX(Classes!$C$6:$C$420,$M1650))</f>
        <v/>
      </c>
      <c r="F1650" s="63"/>
      <c r="G1650" s="63"/>
      <c r="H1650" s="60"/>
      <c r="I1650" s="60"/>
      <c r="J1650" s="63"/>
      <c r="K1650" s="61" t="str">
        <f aca="false">IF($P1650=0,"",IF($F1650="Baseline","— Baseline",IF($O1650=0,"No result",IF($N1650=0,"No Start (attainment only)",IF(OR($N1650=1,$O1650=1),"U – needs rule",INDEX(MxBody,MATCH($I1650,MxCurr,0),MATCH($H1650,MxStart,0)))))))</f>
        <v/>
      </c>
      <c r="L1650" s="62" t="str">
        <f aca="false">IF(COUNTA($A1650,$F1650,$G1650,$H1650,$I1650,$J1650)=0,"",IF($M1650=0,"✖ كود الصف غير موجود",IF(ISNA(MATCH($F1650,Lists!$A$2:$A$5,0)),"✖ الفترة غير صحيحة",IF(ISNA(MATCH($G1650,Lists!$B$2:$B$7,0)),"✖ المجموعة غير صحيحة",IF(NOT(OR($H1650="",$N1650&gt;0)),"✖ Start غير صحيح",IF(NOT(OR($I1650="",$I1650="NR",$O1650&gt;0)),"✖ Current غير صحيح",IF(NOT(IF(ISNUMBER($J1650),AND($J1650&gt;=0,$J1650=INT($J1650)),FALSE())),"✖ العدد يجب أن يكون صحيحًا ≥ 0",IF(AND($F1650="Baseline",$H1650&lt;&gt;""),"⚠ Baseline: Start لا يدخل في التقدم",IF($K1650="No Start (attainment only)","ℹ تحصيل فقط (بدون Start)",IF($K1650="U – needs rule","ℹ حالة U تحتاج قاعدة معتمدة",IF($K1650="No result","ℹ بدون نتيجة (يُستبعد من التحصيل)","OK")))))))))))</f>
        <v/>
      </c>
      <c r="M1650" s="64" t="n">
        <f aca="false">IF($A1650="",0,IFERROR(MATCH($A1650,Classes!$A$6:$A$420,0),0))</f>
        <v>0</v>
      </c>
      <c r="N1650" s="64" t="n">
        <f aca="false">IF($H1650="",0,IFERROR(MATCH($H1650,GradeList,0),0))</f>
        <v>0</v>
      </c>
      <c r="O1650" s="64" t="n">
        <f aca="false">IF(OR($I1650="",$I1650="NR"),0,IFERROR(MATCH($I1650,GradeList,0),0))</f>
        <v>0</v>
      </c>
      <c r="P1650" s="64" t="n">
        <f aca="false">IF(AND($M1650&gt;0,ISNUMBER(MATCH($F1650,Lists!$A$2:$A$5,0)),ISNUMBER(MATCH($G1650,Lists!$B$2:$B$7,0)),OR($H1650="",$N1650&gt;0),OR($I1650="",$I1650="NR",$O1650&gt;0),IF(ISNUMBER($J1650),AND($J1650&gt;=0,$J1650=INT($J1650)),FALSE())),$J1650,0)</f>
        <v>0</v>
      </c>
      <c r="Q1650" s="64" t="n">
        <f aca="false">IF(AND($P1650&gt;0,$O1650&gt;0),$P1650,0)</f>
        <v>0</v>
      </c>
      <c r="R1650" s="64" t="n">
        <f aca="false">IF(AND($Q1650&gt;0,$O1650&gt;=AtRank),$Q1650,0)</f>
        <v>0</v>
      </c>
      <c r="S1650" s="64" t="n">
        <f aca="false">IF(AND($Q1650&gt;0,$O1650&gt;=AboveRank),$Q1650,0)</f>
        <v>0</v>
      </c>
      <c r="T1650" s="64" t="n">
        <f aca="false">IF($K1650="Less",$P1650,0)</f>
        <v>0</v>
      </c>
      <c r="U1650" s="64" t="n">
        <f aca="false">IF($K1650="Expected",$P1650,0)</f>
        <v>0</v>
      </c>
      <c r="V1650" s="64" t="n">
        <f aca="false">IF($K1650="Better",$P1650,0)</f>
        <v>0</v>
      </c>
      <c r="W1650" s="64" t="n">
        <f aca="false">IF($K1650="U – needs rule",$P1650,0)</f>
        <v>0</v>
      </c>
      <c r="X1650" s="64" t="n">
        <f aca="false">IF($K1650="No Start (attainment only)",$P1650,0)</f>
        <v>0</v>
      </c>
    </row>
    <row r="1651" customFormat="false" ht="15" hidden="false" customHeight="false" outlineLevel="0" collapsed="false">
      <c r="A1651" s="60"/>
      <c r="B1651" s="61" t="str">
        <f aca="false">IF($M1651=0,"",INDEX(Classes!$E$6:$E$420,$M1651))</f>
        <v/>
      </c>
      <c r="C1651" s="62" t="str">
        <f aca="false">IF($M1651=0,"",INDEX(Classes!$H$6:$H$420,$M1651))</f>
        <v/>
      </c>
      <c r="D1651" s="61" t="str">
        <f aca="false">IF($M1651=0,"",INDEX(Classes!$B$6:$B$420,$M1651))</f>
        <v/>
      </c>
      <c r="E1651" s="61" t="str">
        <f aca="false">IF($M1651=0,"",INDEX(Classes!$C$6:$C$420,$M1651))</f>
        <v/>
      </c>
      <c r="F1651" s="63"/>
      <c r="G1651" s="63"/>
      <c r="H1651" s="60"/>
      <c r="I1651" s="60"/>
      <c r="J1651" s="63"/>
      <c r="K1651" s="61" t="str">
        <f aca="false">IF($P1651=0,"",IF($F1651="Baseline","— Baseline",IF($O1651=0,"No result",IF($N1651=0,"No Start (attainment only)",IF(OR($N1651=1,$O1651=1),"U – needs rule",INDEX(MxBody,MATCH($I1651,MxCurr,0),MATCH($H1651,MxStart,0)))))))</f>
        <v/>
      </c>
      <c r="L1651" s="62" t="str">
        <f aca="false">IF(COUNTA($A1651,$F1651,$G1651,$H1651,$I1651,$J1651)=0,"",IF($M1651=0,"✖ كود الصف غير موجود",IF(ISNA(MATCH($F1651,Lists!$A$2:$A$5,0)),"✖ الفترة غير صحيحة",IF(ISNA(MATCH($G1651,Lists!$B$2:$B$7,0)),"✖ المجموعة غير صحيحة",IF(NOT(OR($H1651="",$N1651&gt;0)),"✖ Start غير صحيح",IF(NOT(OR($I1651="",$I1651="NR",$O1651&gt;0)),"✖ Current غير صحيح",IF(NOT(IF(ISNUMBER($J1651),AND($J1651&gt;=0,$J1651=INT($J1651)),FALSE())),"✖ العدد يجب أن يكون صحيحًا ≥ 0",IF(AND($F1651="Baseline",$H1651&lt;&gt;""),"⚠ Baseline: Start لا يدخل في التقدم",IF($K1651="No Start (attainment only)","ℹ تحصيل فقط (بدون Start)",IF($K1651="U – needs rule","ℹ حالة U تحتاج قاعدة معتمدة",IF($K1651="No result","ℹ بدون نتيجة (يُستبعد من التحصيل)","OK")))))))))))</f>
        <v/>
      </c>
      <c r="M1651" s="64" t="n">
        <f aca="false">IF($A1651="",0,IFERROR(MATCH($A1651,Classes!$A$6:$A$420,0),0))</f>
        <v>0</v>
      </c>
      <c r="N1651" s="64" t="n">
        <f aca="false">IF($H1651="",0,IFERROR(MATCH($H1651,GradeList,0),0))</f>
        <v>0</v>
      </c>
      <c r="O1651" s="64" t="n">
        <f aca="false">IF(OR($I1651="",$I1651="NR"),0,IFERROR(MATCH($I1651,GradeList,0),0))</f>
        <v>0</v>
      </c>
      <c r="P1651" s="64" t="n">
        <f aca="false">IF(AND($M1651&gt;0,ISNUMBER(MATCH($F1651,Lists!$A$2:$A$5,0)),ISNUMBER(MATCH($G1651,Lists!$B$2:$B$7,0)),OR($H1651="",$N1651&gt;0),OR($I1651="",$I1651="NR",$O1651&gt;0),IF(ISNUMBER($J1651),AND($J1651&gt;=0,$J1651=INT($J1651)),FALSE())),$J1651,0)</f>
        <v>0</v>
      </c>
      <c r="Q1651" s="64" t="n">
        <f aca="false">IF(AND($P1651&gt;0,$O1651&gt;0),$P1651,0)</f>
        <v>0</v>
      </c>
      <c r="R1651" s="64" t="n">
        <f aca="false">IF(AND($Q1651&gt;0,$O1651&gt;=AtRank),$Q1651,0)</f>
        <v>0</v>
      </c>
      <c r="S1651" s="64" t="n">
        <f aca="false">IF(AND($Q1651&gt;0,$O1651&gt;=AboveRank),$Q1651,0)</f>
        <v>0</v>
      </c>
      <c r="T1651" s="64" t="n">
        <f aca="false">IF($K1651="Less",$P1651,0)</f>
        <v>0</v>
      </c>
      <c r="U1651" s="64" t="n">
        <f aca="false">IF($K1651="Expected",$P1651,0)</f>
        <v>0</v>
      </c>
      <c r="V1651" s="64" t="n">
        <f aca="false">IF($K1651="Better",$P1651,0)</f>
        <v>0</v>
      </c>
      <c r="W1651" s="64" t="n">
        <f aca="false">IF($K1651="U – needs rule",$P1651,0)</f>
        <v>0</v>
      </c>
      <c r="X1651" s="64" t="n">
        <f aca="false">IF($K1651="No Start (attainment only)",$P1651,0)</f>
        <v>0</v>
      </c>
    </row>
    <row r="1652" customFormat="false" ht="15" hidden="false" customHeight="false" outlineLevel="0" collapsed="false">
      <c r="A1652" s="60"/>
      <c r="B1652" s="61" t="str">
        <f aca="false">IF($M1652=0,"",INDEX(Classes!$E$6:$E$420,$M1652))</f>
        <v/>
      </c>
      <c r="C1652" s="62" t="str">
        <f aca="false">IF($M1652=0,"",INDEX(Classes!$H$6:$H$420,$M1652))</f>
        <v/>
      </c>
      <c r="D1652" s="61" t="str">
        <f aca="false">IF($M1652=0,"",INDEX(Classes!$B$6:$B$420,$M1652))</f>
        <v/>
      </c>
      <c r="E1652" s="61" t="str">
        <f aca="false">IF($M1652=0,"",INDEX(Classes!$C$6:$C$420,$M1652))</f>
        <v/>
      </c>
      <c r="F1652" s="63"/>
      <c r="G1652" s="63"/>
      <c r="H1652" s="60"/>
      <c r="I1652" s="60"/>
      <c r="J1652" s="63"/>
      <c r="K1652" s="61" t="str">
        <f aca="false">IF($P1652=0,"",IF($F1652="Baseline","— Baseline",IF($O1652=0,"No result",IF($N1652=0,"No Start (attainment only)",IF(OR($N1652=1,$O1652=1),"U – needs rule",INDEX(MxBody,MATCH($I1652,MxCurr,0),MATCH($H1652,MxStart,0)))))))</f>
        <v/>
      </c>
      <c r="L1652" s="62" t="str">
        <f aca="false">IF(COUNTA($A1652,$F1652,$G1652,$H1652,$I1652,$J1652)=0,"",IF($M1652=0,"✖ كود الصف غير موجود",IF(ISNA(MATCH($F1652,Lists!$A$2:$A$5,0)),"✖ الفترة غير صحيحة",IF(ISNA(MATCH($G1652,Lists!$B$2:$B$7,0)),"✖ المجموعة غير صحيحة",IF(NOT(OR($H1652="",$N1652&gt;0)),"✖ Start غير صحيح",IF(NOT(OR($I1652="",$I1652="NR",$O1652&gt;0)),"✖ Current غير صحيح",IF(NOT(IF(ISNUMBER($J1652),AND($J1652&gt;=0,$J1652=INT($J1652)),FALSE())),"✖ العدد يجب أن يكون صحيحًا ≥ 0",IF(AND($F1652="Baseline",$H1652&lt;&gt;""),"⚠ Baseline: Start لا يدخل في التقدم",IF($K1652="No Start (attainment only)","ℹ تحصيل فقط (بدون Start)",IF($K1652="U – needs rule","ℹ حالة U تحتاج قاعدة معتمدة",IF($K1652="No result","ℹ بدون نتيجة (يُستبعد من التحصيل)","OK")))))))))))</f>
        <v/>
      </c>
      <c r="M1652" s="64" t="n">
        <f aca="false">IF($A1652="",0,IFERROR(MATCH($A1652,Classes!$A$6:$A$420,0),0))</f>
        <v>0</v>
      </c>
      <c r="N1652" s="64" t="n">
        <f aca="false">IF($H1652="",0,IFERROR(MATCH($H1652,GradeList,0),0))</f>
        <v>0</v>
      </c>
      <c r="O1652" s="64" t="n">
        <f aca="false">IF(OR($I1652="",$I1652="NR"),0,IFERROR(MATCH($I1652,GradeList,0),0))</f>
        <v>0</v>
      </c>
      <c r="P1652" s="64" t="n">
        <f aca="false">IF(AND($M1652&gt;0,ISNUMBER(MATCH($F1652,Lists!$A$2:$A$5,0)),ISNUMBER(MATCH($G1652,Lists!$B$2:$B$7,0)),OR($H1652="",$N1652&gt;0),OR($I1652="",$I1652="NR",$O1652&gt;0),IF(ISNUMBER($J1652),AND($J1652&gt;=0,$J1652=INT($J1652)),FALSE())),$J1652,0)</f>
        <v>0</v>
      </c>
      <c r="Q1652" s="64" t="n">
        <f aca="false">IF(AND($P1652&gt;0,$O1652&gt;0),$P1652,0)</f>
        <v>0</v>
      </c>
      <c r="R1652" s="64" t="n">
        <f aca="false">IF(AND($Q1652&gt;0,$O1652&gt;=AtRank),$Q1652,0)</f>
        <v>0</v>
      </c>
      <c r="S1652" s="64" t="n">
        <f aca="false">IF(AND($Q1652&gt;0,$O1652&gt;=AboveRank),$Q1652,0)</f>
        <v>0</v>
      </c>
      <c r="T1652" s="64" t="n">
        <f aca="false">IF($K1652="Less",$P1652,0)</f>
        <v>0</v>
      </c>
      <c r="U1652" s="64" t="n">
        <f aca="false">IF($K1652="Expected",$P1652,0)</f>
        <v>0</v>
      </c>
      <c r="V1652" s="64" t="n">
        <f aca="false">IF($K1652="Better",$P1652,0)</f>
        <v>0</v>
      </c>
      <c r="W1652" s="64" t="n">
        <f aca="false">IF($K1652="U – needs rule",$P1652,0)</f>
        <v>0</v>
      </c>
      <c r="X1652" s="64" t="n">
        <f aca="false">IF($K1652="No Start (attainment only)",$P1652,0)</f>
        <v>0</v>
      </c>
    </row>
    <row r="1653" customFormat="false" ht="15" hidden="false" customHeight="false" outlineLevel="0" collapsed="false">
      <c r="A1653" s="60"/>
      <c r="B1653" s="61" t="str">
        <f aca="false">IF($M1653=0,"",INDEX(Classes!$E$6:$E$420,$M1653))</f>
        <v/>
      </c>
      <c r="C1653" s="62" t="str">
        <f aca="false">IF($M1653=0,"",INDEX(Classes!$H$6:$H$420,$M1653))</f>
        <v/>
      </c>
      <c r="D1653" s="61" t="str">
        <f aca="false">IF($M1653=0,"",INDEX(Classes!$B$6:$B$420,$M1653))</f>
        <v/>
      </c>
      <c r="E1653" s="61" t="str">
        <f aca="false">IF($M1653=0,"",INDEX(Classes!$C$6:$C$420,$M1653))</f>
        <v/>
      </c>
      <c r="F1653" s="63"/>
      <c r="G1653" s="63"/>
      <c r="H1653" s="60"/>
      <c r="I1653" s="60"/>
      <c r="J1653" s="63"/>
      <c r="K1653" s="61" t="str">
        <f aca="false">IF($P1653=0,"",IF($F1653="Baseline","— Baseline",IF($O1653=0,"No result",IF($N1653=0,"No Start (attainment only)",IF(OR($N1653=1,$O1653=1),"U – needs rule",INDEX(MxBody,MATCH($I1653,MxCurr,0),MATCH($H1653,MxStart,0)))))))</f>
        <v/>
      </c>
      <c r="L1653" s="62" t="str">
        <f aca="false">IF(COUNTA($A1653,$F1653,$G1653,$H1653,$I1653,$J1653)=0,"",IF($M1653=0,"✖ كود الصف غير موجود",IF(ISNA(MATCH($F1653,Lists!$A$2:$A$5,0)),"✖ الفترة غير صحيحة",IF(ISNA(MATCH($G1653,Lists!$B$2:$B$7,0)),"✖ المجموعة غير صحيحة",IF(NOT(OR($H1653="",$N1653&gt;0)),"✖ Start غير صحيح",IF(NOT(OR($I1653="",$I1653="NR",$O1653&gt;0)),"✖ Current غير صحيح",IF(NOT(IF(ISNUMBER($J1653),AND($J1653&gt;=0,$J1653=INT($J1653)),FALSE())),"✖ العدد يجب أن يكون صحيحًا ≥ 0",IF(AND($F1653="Baseline",$H1653&lt;&gt;""),"⚠ Baseline: Start لا يدخل في التقدم",IF($K1653="No Start (attainment only)","ℹ تحصيل فقط (بدون Start)",IF($K1653="U – needs rule","ℹ حالة U تحتاج قاعدة معتمدة",IF($K1653="No result","ℹ بدون نتيجة (يُستبعد من التحصيل)","OK")))))))))))</f>
        <v/>
      </c>
      <c r="M1653" s="64" t="n">
        <f aca="false">IF($A1653="",0,IFERROR(MATCH($A1653,Classes!$A$6:$A$420,0),0))</f>
        <v>0</v>
      </c>
      <c r="N1653" s="64" t="n">
        <f aca="false">IF($H1653="",0,IFERROR(MATCH($H1653,GradeList,0),0))</f>
        <v>0</v>
      </c>
      <c r="O1653" s="64" t="n">
        <f aca="false">IF(OR($I1653="",$I1653="NR"),0,IFERROR(MATCH($I1653,GradeList,0),0))</f>
        <v>0</v>
      </c>
      <c r="P1653" s="64" t="n">
        <f aca="false">IF(AND($M1653&gt;0,ISNUMBER(MATCH($F1653,Lists!$A$2:$A$5,0)),ISNUMBER(MATCH($G1653,Lists!$B$2:$B$7,0)),OR($H1653="",$N1653&gt;0),OR($I1653="",$I1653="NR",$O1653&gt;0),IF(ISNUMBER($J1653),AND($J1653&gt;=0,$J1653=INT($J1653)),FALSE())),$J1653,0)</f>
        <v>0</v>
      </c>
      <c r="Q1653" s="64" t="n">
        <f aca="false">IF(AND($P1653&gt;0,$O1653&gt;0),$P1653,0)</f>
        <v>0</v>
      </c>
      <c r="R1653" s="64" t="n">
        <f aca="false">IF(AND($Q1653&gt;0,$O1653&gt;=AtRank),$Q1653,0)</f>
        <v>0</v>
      </c>
      <c r="S1653" s="64" t="n">
        <f aca="false">IF(AND($Q1653&gt;0,$O1653&gt;=AboveRank),$Q1653,0)</f>
        <v>0</v>
      </c>
      <c r="T1653" s="64" t="n">
        <f aca="false">IF($K1653="Less",$P1653,0)</f>
        <v>0</v>
      </c>
      <c r="U1653" s="64" t="n">
        <f aca="false">IF($K1653="Expected",$P1653,0)</f>
        <v>0</v>
      </c>
      <c r="V1653" s="64" t="n">
        <f aca="false">IF($K1653="Better",$P1653,0)</f>
        <v>0</v>
      </c>
      <c r="W1653" s="64" t="n">
        <f aca="false">IF($K1653="U – needs rule",$P1653,0)</f>
        <v>0</v>
      </c>
      <c r="X1653" s="64" t="n">
        <f aca="false">IF($K1653="No Start (attainment only)",$P1653,0)</f>
        <v>0</v>
      </c>
    </row>
    <row r="1654" customFormat="false" ht="15" hidden="false" customHeight="false" outlineLevel="0" collapsed="false">
      <c r="A1654" s="60"/>
      <c r="B1654" s="61" t="str">
        <f aca="false">IF($M1654=0,"",INDEX(Classes!$E$6:$E$420,$M1654))</f>
        <v/>
      </c>
      <c r="C1654" s="62" t="str">
        <f aca="false">IF($M1654=0,"",INDEX(Classes!$H$6:$H$420,$M1654))</f>
        <v/>
      </c>
      <c r="D1654" s="61" t="str">
        <f aca="false">IF($M1654=0,"",INDEX(Classes!$B$6:$B$420,$M1654))</f>
        <v/>
      </c>
      <c r="E1654" s="61" t="str">
        <f aca="false">IF($M1654=0,"",INDEX(Classes!$C$6:$C$420,$M1654))</f>
        <v/>
      </c>
      <c r="F1654" s="63"/>
      <c r="G1654" s="63"/>
      <c r="H1654" s="60"/>
      <c r="I1654" s="60"/>
      <c r="J1654" s="63"/>
      <c r="K1654" s="61" t="str">
        <f aca="false">IF($P1654=0,"",IF($F1654="Baseline","— Baseline",IF($O1654=0,"No result",IF($N1654=0,"No Start (attainment only)",IF(OR($N1654=1,$O1654=1),"U – needs rule",INDEX(MxBody,MATCH($I1654,MxCurr,0),MATCH($H1654,MxStart,0)))))))</f>
        <v/>
      </c>
      <c r="L1654" s="62" t="str">
        <f aca="false">IF(COUNTA($A1654,$F1654,$G1654,$H1654,$I1654,$J1654)=0,"",IF($M1654=0,"✖ كود الصف غير موجود",IF(ISNA(MATCH($F1654,Lists!$A$2:$A$5,0)),"✖ الفترة غير صحيحة",IF(ISNA(MATCH($G1654,Lists!$B$2:$B$7,0)),"✖ المجموعة غير صحيحة",IF(NOT(OR($H1654="",$N1654&gt;0)),"✖ Start غير صحيح",IF(NOT(OR($I1654="",$I1654="NR",$O1654&gt;0)),"✖ Current غير صحيح",IF(NOT(IF(ISNUMBER($J1654),AND($J1654&gt;=0,$J1654=INT($J1654)),FALSE())),"✖ العدد يجب أن يكون صحيحًا ≥ 0",IF(AND($F1654="Baseline",$H1654&lt;&gt;""),"⚠ Baseline: Start لا يدخل في التقدم",IF($K1654="No Start (attainment only)","ℹ تحصيل فقط (بدون Start)",IF($K1654="U – needs rule","ℹ حالة U تحتاج قاعدة معتمدة",IF($K1654="No result","ℹ بدون نتيجة (يُستبعد من التحصيل)","OK")))))))))))</f>
        <v/>
      </c>
      <c r="M1654" s="64" t="n">
        <f aca="false">IF($A1654="",0,IFERROR(MATCH($A1654,Classes!$A$6:$A$420,0),0))</f>
        <v>0</v>
      </c>
      <c r="N1654" s="64" t="n">
        <f aca="false">IF($H1654="",0,IFERROR(MATCH($H1654,GradeList,0),0))</f>
        <v>0</v>
      </c>
      <c r="O1654" s="64" t="n">
        <f aca="false">IF(OR($I1654="",$I1654="NR"),0,IFERROR(MATCH($I1654,GradeList,0),0))</f>
        <v>0</v>
      </c>
      <c r="P1654" s="64" t="n">
        <f aca="false">IF(AND($M1654&gt;0,ISNUMBER(MATCH($F1654,Lists!$A$2:$A$5,0)),ISNUMBER(MATCH($G1654,Lists!$B$2:$B$7,0)),OR($H1654="",$N1654&gt;0),OR($I1654="",$I1654="NR",$O1654&gt;0),IF(ISNUMBER($J1654),AND($J1654&gt;=0,$J1654=INT($J1654)),FALSE())),$J1654,0)</f>
        <v>0</v>
      </c>
      <c r="Q1654" s="64" t="n">
        <f aca="false">IF(AND($P1654&gt;0,$O1654&gt;0),$P1654,0)</f>
        <v>0</v>
      </c>
      <c r="R1654" s="64" t="n">
        <f aca="false">IF(AND($Q1654&gt;0,$O1654&gt;=AtRank),$Q1654,0)</f>
        <v>0</v>
      </c>
      <c r="S1654" s="64" t="n">
        <f aca="false">IF(AND($Q1654&gt;0,$O1654&gt;=AboveRank),$Q1654,0)</f>
        <v>0</v>
      </c>
      <c r="T1654" s="64" t="n">
        <f aca="false">IF($K1654="Less",$P1654,0)</f>
        <v>0</v>
      </c>
      <c r="U1654" s="64" t="n">
        <f aca="false">IF($K1654="Expected",$P1654,0)</f>
        <v>0</v>
      </c>
      <c r="V1654" s="64" t="n">
        <f aca="false">IF($K1654="Better",$P1654,0)</f>
        <v>0</v>
      </c>
      <c r="W1654" s="64" t="n">
        <f aca="false">IF($K1654="U – needs rule",$P1654,0)</f>
        <v>0</v>
      </c>
      <c r="X1654" s="64" t="n">
        <f aca="false">IF($K1654="No Start (attainment only)",$P1654,0)</f>
        <v>0</v>
      </c>
    </row>
    <row r="1655" customFormat="false" ht="15" hidden="false" customHeight="false" outlineLevel="0" collapsed="false">
      <c r="A1655" s="60"/>
      <c r="B1655" s="61" t="str">
        <f aca="false">IF($M1655=0,"",INDEX(Classes!$E$6:$E$420,$M1655))</f>
        <v/>
      </c>
      <c r="C1655" s="62" t="str">
        <f aca="false">IF($M1655=0,"",INDEX(Classes!$H$6:$H$420,$M1655))</f>
        <v/>
      </c>
      <c r="D1655" s="61" t="str">
        <f aca="false">IF($M1655=0,"",INDEX(Classes!$B$6:$B$420,$M1655))</f>
        <v/>
      </c>
      <c r="E1655" s="61" t="str">
        <f aca="false">IF($M1655=0,"",INDEX(Classes!$C$6:$C$420,$M1655))</f>
        <v/>
      </c>
      <c r="F1655" s="63"/>
      <c r="G1655" s="63"/>
      <c r="H1655" s="60"/>
      <c r="I1655" s="60"/>
      <c r="J1655" s="63"/>
      <c r="K1655" s="61" t="str">
        <f aca="false">IF($P1655=0,"",IF($F1655="Baseline","— Baseline",IF($O1655=0,"No result",IF($N1655=0,"No Start (attainment only)",IF(OR($N1655=1,$O1655=1),"U – needs rule",INDEX(MxBody,MATCH($I1655,MxCurr,0),MATCH($H1655,MxStart,0)))))))</f>
        <v/>
      </c>
      <c r="L1655" s="62" t="str">
        <f aca="false">IF(COUNTA($A1655,$F1655,$G1655,$H1655,$I1655,$J1655)=0,"",IF($M1655=0,"✖ كود الصف غير موجود",IF(ISNA(MATCH($F1655,Lists!$A$2:$A$5,0)),"✖ الفترة غير صحيحة",IF(ISNA(MATCH($G1655,Lists!$B$2:$B$7,0)),"✖ المجموعة غير صحيحة",IF(NOT(OR($H1655="",$N1655&gt;0)),"✖ Start غير صحيح",IF(NOT(OR($I1655="",$I1655="NR",$O1655&gt;0)),"✖ Current غير صحيح",IF(NOT(IF(ISNUMBER($J1655),AND($J1655&gt;=0,$J1655=INT($J1655)),FALSE())),"✖ العدد يجب أن يكون صحيحًا ≥ 0",IF(AND($F1655="Baseline",$H1655&lt;&gt;""),"⚠ Baseline: Start لا يدخل في التقدم",IF($K1655="No Start (attainment only)","ℹ تحصيل فقط (بدون Start)",IF($K1655="U – needs rule","ℹ حالة U تحتاج قاعدة معتمدة",IF($K1655="No result","ℹ بدون نتيجة (يُستبعد من التحصيل)","OK")))))))))))</f>
        <v/>
      </c>
      <c r="M1655" s="64" t="n">
        <f aca="false">IF($A1655="",0,IFERROR(MATCH($A1655,Classes!$A$6:$A$420,0),0))</f>
        <v>0</v>
      </c>
      <c r="N1655" s="64" t="n">
        <f aca="false">IF($H1655="",0,IFERROR(MATCH($H1655,GradeList,0),0))</f>
        <v>0</v>
      </c>
      <c r="O1655" s="64" t="n">
        <f aca="false">IF(OR($I1655="",$I1655="NR"),0,IFERROR(MATCH($I1655,GradeList,0),0))</f>
        <v>0</v>
      </c>
      <c r="P1655" s="64" t="n">
        <f aca="false">IF(AND($M1655&gt;0,ISNUMBER(MATCH($F1655,Lists!$A$2:$A$5,0)),ISNUMBER(MATCH($G1655,Lists!$B$2:$B$7,0)),OR($H1655="",$N1655&gt;0),OR($I1655="",$I1655="NR",$O1655&gt;0),IF(ISNUMBER($J1655),AND($J1655&gt;=0,$J1655=INT($J1655)),FALSE())),$J1655,0)</f>
        <v>0</v>
      </c>
      <c r="Q1655" s="64" t="n">
        <f aca="false">IF(AND($P1655&gt;0,$O1655&gt;0),$P1655,0)</f>
        <v>0</v>
      </c>
      <c r="R1655" s="64" t="n">
        <f aca="false">IF(AND($Q1655&gt;0,$O1655&gt;=AtRank),$Q1655,0)</f>
        <v>0</v>
      </c>
      <c r="S1655" s="64" t="n">
        <f aca="false">IF(AND($Q1655&gt;0,$O1655&gt;=AboveRank),$Q1655,0)</f>
        <v>0</v>
      </c>
      <c r="T1655" s="64" t="n">
        <f aca="false">IF($K1655="Less",$P1655,0)</f>
        <v>0</v>
      </c>
      <c r="U1655" s="64" t="n">
        <f aca="false">IF($K1655="Expected",$P1655,0)</f>
        <v>0</v>
      </c>
      <c r="V1655" s="64" t="n">
        <f aca="false">IF($K1655="Better",$P1655,0)</f>
        <v>0</v>
      </c>
      <c r="W1655" s="64" t="n">
        <f aca="false">IF($K1655="U – needs rule",$P1655,0)</f>
        <v>0</v>
      </c>
      <c r="X1655" s="64" t="n">
        <f aca="false">IF($K1655="No Start (attainment only)",$P1655,0)</f>
        <v>0</v>
      </c>
    </row>
    <row r="1656" customFormat="false" ht="15" hidden="false" customHeight="false" outlineLevel="0" collapsed="false">
      <c r="A1656" s="60"/>
      <c r="B1656" s="61" t="str">
        <f aca="false">IF($M1656=0,"",INDEX(Classes!$E$6:$E$420,$M1656))</f>
        <v/>
      </c>
      <c r="C1656" s="62" t="str">
        <f aca="false">IF($M1656=0,"",INDEX(Classes!$H$6:$H$420,$M1656))</f>
        <v/>
      </c>
      <c r="D1656" s="61" t="str">
        <f aca="false">IF($M1656=0,"",INDEX(Classes!$B$6:$B$420,$M1656))</f>
        <v/>
      </c>
      <c r="E1656" s="61" t="str">
        <f aca="false">IF($M1656=0,"",INDEX(Classes!$C$6:$C$420,$M1656))</f>
        <v/>
      </c>
      <c r="F1656" s="63"/>
      <c r="G1656" s="63"/>
      <c r="H1656" s="60"/>
      <c r="I1656" s="60"/>
      <c r="J1656" s="63"/>
      <c r="K1656" s="61" t="str">
        <f aca="false">IF($P1656=0,"",IF($F1656="Baseline","— Baseline",IF($O1656=0,"No result",IF($N1656=0,"No Start (attainment only)",IF(OR($N1656=1,$O1656=1),"U – needs rule",INDEX(MxBody,MATCH($I1656,MxCurr,0),MATCH($H1656,MxStart,0)))))))</f>
        <v/>
      </c>
      <c r="L1656" s="62" t="str">
        <f aca="false">IF(COUNTA($A1656,$F1656,$G1656,$H1656,$I1656,$J1656)=0,"",IF($M1656=0,"✖ كود الصف غير موجود",IF(ISNA(MATCH($F1656,Lists!$A$2:$A$5,0)),"✖ الفترة غير صحيحة",IF(ISNA(MATCH($G1656,Lists!$B$2:$B$7,0)),"✖ المجموعة غير صحيحة",IF(NOT(OR($H1656="",$N1656&gt;0)),"✖ Start غير صحيح",IF(NOT(OR($I1656="",$I1656="NR",$O1656&gt;0)),"✖ Current غير صحيح",IF(NOT(IF(ISNUMBER($J1656),AND($J1656&gt;=0,$J1656=INT($J1656)),FALSE())),"✖ العدد يجب أن يكون صحيحًا ≥ 0",IF(AND($F1656="Baseline",$H1656&lt;&gt;""),"⚠ Baseline: Start لا يدخل في التقدم",IF($K1656="No Start (attainment only)","ℹ تحصيل فقط (بدون Start)",IF($K1656="U – needs rule","ℹ حالة U تحتاج قاعدة معتمدة",IF($K1656="No result","ℹ بدون نتيجة (يُستبعد من التحصيل)","OK")))))))))))</f>
        <v/>
      </c>
      <c r="M1656" s="64" t="n">
        <f aca="false">IF($A1656="",0,IFERROR(MATCH($A1656,Classes!$A$6:$A$420,0),0))</f>
        <v>0</v>
      </c>
      <c r="N1656" s="64" t="n">
        <f aca="false">IF($H1656="",0,IFERROR(MATCH($H1656,GradeList,0),0))</f>
        <v>0</v>
      </c>
      <c r="O1656" s="64" t="n">
        <f aca="false">IF(OR($I1656="",$I1656="NR"),0,IFERROR(MATCH($I1656,GradeList,0),0))</f>
        <v>0</v>
      </c>
      <c r="P1656" s="64" t="n">
        <f aca="false">IF(AND($M1656&gt;0,ISNUMBER(MATCH($F1656,Lists!$A$2:$A$5,0)),ISNUMBER(MATCH($G1656,Lists!$B$2:$B$7,0)),OR($H1656="",$N1656&gt;0),OR($I1656="",$I1656="NR",$O1656&gt;0),IF(ISNUMBER($J1656),AND($J1656&gt;=0,$J1656=INT($J1656)),FALSE())),$J1656,0)</f>
        <v>0</v>
      </c>
      <c r="Q1656" s="64" t="n">
        <f aca="false">IF(AND($P1656&gt;0,$O1656&gt;0),$P1656,0)</f>
        <v>0</v>
      </c>
      <c r="R1656" s="64" t="n">
        <f aca="false">IF(AND($Q1656&gt;0,$O1656&gt;=AtRank),$Q1656,0)</f>
        <v>0</v>
      </c>
      <c r="S1656" s="64" t="n">
        <f aca="false">IF(AND($Q1656&gt;0,$O1656&gt;=AboveRank),$Q1656,0)</f>
        <v>0</v>
      </c>
      <c r="T1656" s="64" t="n">
        <f aca="false">IF($K1656="Less",$P1656,0)</f>
        <v>0</v>
      </c>
      <c r="U1656" s="64" t="n">
        <f aca="false">IF($K1656="Expected",$P1656,0)</f>
        <v>0</v>
      </c>
      <c r="V1656" s="64" t="n">
        <f aca="false">IF($K1656="Better",$P1656,0)</f>
        <v>0</v>
      </c>
      <c r="W1656" s="64" t="n">
        <f aca="false">IF($K1656="U – needs rule",$P1656,0)</f>
        <v>0</v>
      </c>
      <c r="X1656" s="64" t="n">
        <f aca="false">IF($K1656="No Start (attainment only)",$P1656,0)</f>
        <v>0</v>
      </c>
    </row>
    <row r="1657" customFormat="false" ht="15" hidden="false" customHeight="false" outlineLevel="0" collapsed="false">
      <c r="A1657" s="60"/>
      <c r="B1657" s="61" t="str">
        <f aca="false">IF($M1657=0,"",INDEX(Classes!$E$6:$E$420,$M1657))</f>
        <v/>
      </c>
      <c r="C1657" s="62" t="str">
        <f aca="false">IF($M1657=0,"",INDEX(Classes!$H$6:$H$420,$M1657))</f>
        <v/>
      </c>
      <c r="D1657" s="61" t="str">
        <f aca="false">IF($M1657=0,"",INDEX(Classes!$B$6:$B$420,$M1657))</f>
        <v/>
      </c>
      <c r="E1657" s="61" t="str">
        <f aca="false">IF($M1657=0,"",INDEX(Classes!$C$6:$C$420,$M1657))</f>
        <v/>
      </c>
      <c r="F1657" s="63"/>
      <c r="G1657" s="63"/>
      <c r="H1657" s="60"/>
      <c r="I1657" s="60"/>
      <c r="J1657" s="63"/>
      <c r="K1657" s="61" t="str">
        <f aca="false">IF($P1657=0,"",IF($F1657="Baseline","— Baseline",IF($O1657=0,"No result",IF($N1657=0,"No Start (attainment only)",IF(OR($N1657=1,$O1657=1),"U – needs rule",INDEX(MxBody,MATCH($I1657,MxCurr,0),MATCH($H1657,MxStart,0)))))))</f>
        <v/>
      </c>
      <c r="L1657" s="62" t="str">
        <f aca="false">IF(COUNTA($A1657,$F1657,$G1657,$H1657,$I1657,$J1657)=0,"",IF($M1657=0,"✖ كود الصف غير موجود",IF(ISNA(MATCH($F1657,Lists!$A$2:$A$5,0)),"✖ الفترة غير صحيحة",IF(ISNA(MATCH($G1657,Lists!$B$2:$B$7,0)),"✖ المجموعة غير صحيحة",IF(NOT(OR($H1657="",$N1657&gt;0)),"✖ Start غير صحيح",IF(NOT(OR($I1657="",$I1657="NR",$O1657&gt;0)),"✖ Current غير صحيح",IF(NOT(IF(ISNUMBER($J1657),AND($J1657&gt;=0,$J1657=INT($J1657)),FALSE())),"✖ العدد يجب أن يكون صحيحًا ≥ 0",IF(AND($F1657="Baseline",$H1657&lt;&gt;""),"⚠ Baseline: Start لا يدخل في التقدم",IF($K1657="No Start (attainment only)","ℹ تحصيل فقط (بدون Start)",IF($K1657="U – needs rule","ℹ حالة U تحتاج قاعدة معتمدة",IF($K1657="No result","ℹ بدون نتيجة (يُستبعد من التحصيل)","OK")))))))))))</f>
        <v/>
      </c>
      <c r="M1657" s="64" t="n">
        <f aca="false">IF($A1657="",0,IFERROR(MATCH($A1657,Classes!$A$6:$A$420,0),0))</f>
        <v>0</v>
      </c>
      <c r="N1657" s="64" t="n">
        <f aca="false">IF($H1657="",0,IFERROR(MATCH($H1657,GradeList,0),0))</f>
        <v>0</v>
      </c>
      <c r="O1657" s="64" t="n">
        <f aca="false">IF(OR($I1657="",$I1657="NR"),0,IFERROR(MATCH($I1657,GradeList,0),0))</f>
        <v>0</v>
      </c>
      <c r="P1657" s="64" t="n">
        <f aca="false">IF(AND($M1657&gt;0,ISNUMBER(MATCH($F1657,Lists!$A$2:$A$5,0)),ISNUMBER(MATCH($G1657,Lists!$B$2:$B$7,0)),OR($H1657="",$N1657&gt;0),OR($I1657="",$I1657="NR",$O1657&gt;0),IF(ISNUMBER($J1657),AND($J1657&gt;=0,$J1657=INT($J1657)),FALSE())),$J1657,0)</f>
        <v>0</v>
      </c>
      <c r="Q1657" s="64" t="n">
        <f aca="false">IF(AND($P1657&gt;0,$O1657&gt;0),$P1657,0)</f>
        <v>0</v>
      </c>
      <c r="R1657" s="64" t="n">
        <f aca="false">IF(AND($Q1657&gt;0,$O1657&gt;=AtRank),$Q1657,0)</f>
        <v>0</v>
      </c>
      <c r="S1657" s="64" t="n">
        <f aca="false">IF(AND($Q1657&gt;0,$O1657&gt;=AboveRank),$Q1657,0)</f>
        <v>0</v>
      </c>
      <c r="T1657" s="64" t="n">
        <f aca="false">IF($K1657="Less",$P1657,0)</f>
        <v>0</v>
      </c>
      <c r="U1657" s="64" t="n">
        <f aca="false">IF($K1657="Expected",$P1657,0)</f>
        <v>0</v>
      </c>
      <c r="V1657" s="64" t="n">
        <f aca="false">IF($K1657="Better",$P1657,0)</f>
        <v>0</v>
      </c>
      <c r="W1657" s="64" t="n">
        <f aca="false">IF($K1657="U – needs rule",$P1657,0)</f>
        <v>0</v>
      </c>
      <c r="X1657" s="64" t="n">
        <f aca="false">IF($K1657="No Start (attainment only)",$P1657,0)</f>
        <v>0</v>
      </c>
    </row>
    <row r="1658" customFormat="false" ht="15" hidden="false" customHeight="false" outlineLevel="0" collapsed="false">
      <c r="A1658" s="60"/>
      <c r="B1658" s="61" t="str">
        <f aca="false">IF($M1658=0,"",INDEX(Classes!$E$6:$E$420,$M1658))</f>
        <v/>
      </c>
      <c r="C1658" s="62" t="str">
        <f aca="false">IF($M1658=0,"",INDEX(Classes!$H$6:$H$420,$M1658))</f>
        <v/>
      </c>
      <c r="D1658" s="61" t="str">
        <f aca="false">IF($M1658=0,"",INDEX(Classes!$B$6:$B$420,$M1658))</f>
        <v/>
      </c>
      <c r="E1658" s="61" t="str">
        <f aca="false">IF($M1658=0,"",INDEX(Classes!$C$6:$C$420,$M1658))</f>
        <v/>
      </c>
      <c r="F1658" s="63"/>
      <c r="G1658" s="63"/>
      <c r="H1658" s="60"/>
      <c r="I1658" s="60"/>
      <c r="J1658" s="63"/>
      <c r="K1658" s="61" t="str">
        <f aca="false">IF($P1658=0,"",IF($F1658="Baseline","— Baseline",IF($O1658=0,"No result",IF($N1658=0,"No Start (attainment only)",IF(OR($N1658=1,$O1658=1),"U – needs rule",INDEX(MxBody,MATCH($I1658,MxCurr,0),MATCH($H1658,MxStart,0)))))))</f>
        <v/>
      </c>
      <c r="L1658" s="62" t="str">
        <f aca="false">IF(COUNTA($A1658,$F1658,$G1658,$H1658,$I1658,$J1658)=0,"",IF($M1658=0,"✖ كود الصف غير موجود",IF(ISNA(MATCH($F1658,Lists!$A$2:$A$5,0)),"✖ الفترة غير صحيحة",IF(ISNA(MATCH($G1658,Lists!$B$2:$B$7,0)),"✖ المجموعة غير صحيحة",IF(NOT(OR($H1658="",$N1658&gt;0)),"✖ Start غير صحيح",IF(NOT(OR($I1658="",$I1658="NR",$O1658&gt;0)),"✖ Current غير صحيح",IF(NOT(IF(ISNUMBER($J1658),AND($J1658&gt;=0,$J1658=INT($J1658)),FALSE())),"✖ العدد يجب أن يكون صحيحًا ≥ 0",IF(AND($F1658="Baseline",$H1658&lt;&gt;""),"⚠ Baseline: Start لا يدخل في التقدم",IF($K1658="No Start (attainment only)","ℹ تحصيل فقط (بدون Start)",IF($K1658="U – needs rule","ℹ حالة U تحتاج قاعدة معتمدة",IF($K1658="No result","ℹ بدون نتيجة (يُستبعد من التحصيل)","OK")))))))))))</f>
        <v/>
      </c>
      <c r="M1658" s="64" t="n">
        <f aca="false">IF($A1658="",0,IFERROR(MATCH($A1658,Classes!$A$6:$A$420,0),0))</f>
        <v>0</v>
      </c>
      <c r="N1658" s="64" t="n">
        <f aca="false">IF($H1658="",0,IFERROR(MATCH($H1658,GradeList,0),0))</f>
        <v>0</v>
      </c>
      <c r="O1658" s="64" t="n">
        <f aca="false">IF(OR($I1658="",$I1658="NR"),0,IFERROR(MATCH($I1658,GradeList,0),0))</f>
        <v>0</v>
      </c>
      <c r="P1658" s="64" t="n">
        <f aca="false">IF(AND($M1658&gt;0,ISNUMBER(MATCH($F1658,Lists!$A$2:$A$5,0)),ISNUMBER(MATCH($G1658,Lists!$B$2:$B$7,0)),OR($H1658="",$N1658&gt;0),OR($I1658="",$I1658="NR",$O1658&gt;0),IF(ISNUMBER($J1658),AND($J1658&gt;=0,$J1658=INT($J1658)),FALSE())),$J1658,0)</f>
        <v>0</v>
      </c>
      <c r="Q1658" s="64" t="n">
        <f aca="false">IF(AND($P1658&gt;0,$O1658&gt;0),$P1658,0)</f>
        <v>0</v>
      </c>
      <c r="R1658" s="64" t="n">
        <f aca="false">IF(AND($Q1658&gt;0,$O1658&gt;=AtRank),$Q1658,0)</f>
        <v>0</v>
      </c>
      <c r="S1658" s="64" t="n">
        <f aca="false">IF(AND($Q1658&gt;0,$O1658&gt;=AboveRank),$Q1658,0)</f>
        <v>0</v>
      </c>
      <c r="T1658" s="64" t="n">
        <f aca="false">IF($K1658="Less",$P1658,0)</f>
        <v>0</v>
      </c>
      <c r="U1658" s="64" t="n">
        <f aca="false">IF($K1658="Expected",$P1658,0)</f>
        <v>0</v>
      </c>
      <c r="V1658" s="64" t="n">
        <f aca="false">IF($K1658="Better",$P1658,0)</f>
        <v>0</v>
      </c>
      <c r="W1658" s="64" t="n">
        <f aca="false">IF($K1658="U – needs rule",$P1658,0)</f>
        <v>0</v>
      </c>
      <c r="X1658" s="64" t="n">
        <f aca="false">IF($K1658="No Start (attainment only)",$P1658,0)</f>
        <v>0</v>
      </c>
    </row>
    <row r="1659" customFormat="false" ht="15" hidden="false" customHeight="false" outlineLevel="0" collapsed="false">
      <c r="A1659" s="60"/>
      <c r="B1659" s="61" t="str">
        <f aca="false">IF($M1659=0,"",INDEX(Classes!$E$6:$E$420,$M1659))</f>
        <v/>
      </c>
      <c r="C1659" s="62" t="str">
        <f aca="false">IF($M1659=0,"",INDEX(Classes!$H$6:$H$420,$M1659))</f>
        <v/>
      </c>
      <c r="D1659" s="61" t="str">
        <f aca="false">IF($M1659=0,"",INDEX(Classes!$B$6:$B$420,$M1659))</f>
        <v/>
      </c>
      <c r="E1659" s="61" t="str">
        <f aca="false">IF($M1659=0,"",INDEX(Classes!$C$6:$C$420,$M1659))</f>
        <v/>
      </c>
      <c r="F1659" s="63"/>
      <c r="G1659" s="63"/>
      <c r="H1659" s="60"/>
      <c r="I1659" s="60"/>
      <c r="J1659" s="63"/>
      <c r="K1659" s="61" t="str">
        <f aca="false">IF($P1659=0,"",IF($F1659="Baseline","— Baseline",IF($O1659=0,"No result",IF($N1659=0,"No Start (attainment only)",IF(OR($N1659=1,$O1659=1),"U – needs rule",INDEX(MxBody,MATCH($I1659,MxCurr,0),MATCH($H1659,MxStart,0)))))))</f>
        <v/>
      </c>
      <c r="L1659" s="62" t="str">
        <f aca="false">IF(COUNTA($A1659,$F1659,$G1659,$H1659,$I1659,$J1659)=0,"",IF($M1659=0,"✖ كود الصف غير موجود",IF(ISNA(MATCH($F1659,Lists!$A$2:$A$5,0)),"✖ الفترة غير صحيحة",IF(ISNA(MATCH($G1659,Lists!$B$2:$B$7,0)),"✖ المجموعة غير صحيحة",IF(NOT(OR($H1659="",$N1659&gt;0)),"✖ Start غير صحيح",IF(NOT(OR($I1659="",$I1659="NR",$O1659&gt;0)),"✖ Current غير صحيح",IF(NOT(IF(ISNUMBER($J1659),AND($J1659&gt;=0,$J1659=INT($J1659)),FALSE())),"✖ العدد يجب أن يكون صحيحًا ≥ 0",IF(AND($F1659="Baseline",$H1659&lt;&gt;""),"⚠ Baseline: Start لا يدخل في التقدم",IF($K1659="No Start (attainment only)","ℹ تحصيل فقط (بدون Start)",IF($K1659="U – needs rule","ℹ حالة U تحتاج قاعدة معتمدة",IF($K1659="No result","ℹ بدون نتيجة (يُستبعد من التحصيل)","OK")))))))))))</f>
        <v/>
      </c>
      <c r="M1659" s="64" t="n">
        <f aca="false">IF($A1659="",0,IFERROR(MATCH($A1659,Classes!$A$6:$A$420,0),0))</f>
        <v>0</v>
      </c>
      <c r="N1659" s="64" t="n">
        <f aca="false">IF($H1659="",0,IFERROR(MATCH($H1659,GradeList,0),0))</f>
        <v>0</v>
      </c>
      <c r="O1659" s="64" t="n">
        <f aca="false">IF(OR($I1659="",$I1659="NR"),0,IFERROR(MATCH($I1659,GradeList,0),0))</f>
        <v>0</v>
      </c>
      <c r="P1659" s="64" t="n">
        <f aca="false">IF(AND($M1659&gt;0,ISNUMBER(MATCH($F1659,Lists!$A$2:$A$5,0)),ISNUMBER(MATCH($G1659,Lists!$B$2:$B$7,0)),OR($H1659="",$N1659&gt;0),OR($I1659="",$I1659="NR",$O1659&gt;0),IF(ISNUMBER($J1659),AND($J1659&gt;=0,$J1659=INT($J1659)),FALSE())),$J1659,0)</f>
        <v>0</v>
      </c>
      <c r="Q1659" s="64" t="n">
        <f aca="false">IF(AND($P1659&gt;0,$O1659&gt;0),$P1659,0)</f>
        <v>0</v>
      </c>
      <c r="R1659" s="64" t="n">
        <f aca="false">IF(AND($Q1659&gt;0,$O1659&gt;=AtRank),$Q1659,0)</f>
        <v>0</v>
      </c>
      <c r="S1659" s="64" t="n">
        <f aca="false">IF(AND($Q1659&gt;0,$O1659&gt;=AboveRank),$Q1659,0)</f>
        <v>0</v>
      </c>
      <c r="T1659" s="64" t="n">
        <f aca="false">IF($K1659="Less",$P1659,0)</f>
        <v>0</v>
      </c>
      <c r="U1659" s="64" t="n">
        <f aca="false">IF($K1659="Expected",$P1659,0)</f>
        <v>0</v>
      </c>
      <c r="V1659" s="64" t="n">
        <f aca="false">IF($K1659="Better",$P1659,0)</f>
        <v>0</v>
      </c>
      <c r="W1659" s="64" t="n">
        <f aca="false">IF($K1659="U – needs rule",$P1659,0)</f>
        <v>0</v>
      </c>
      <c r="X1659" s="64" t="n">
        <f aca="false">IF($K1659="No Start (attainment only)",$P1659,0)</f>
        <v>0</v>
      </c>
    </row>
    <row r="1660" customFormat="false" ht="15" hidden="false" customHeight="false" outlineLevel="0" collapsed="false">
      <c r="A1660" s="60"/>
      <c r="B1660" s="61" t="str">
        <f aca="false">IF($M1660=0,"",INDEX(Classes!$E$6:$E$420,$M1660))</f>
        <v/>
      </c>
      <c r="C1660" s="62" t="str">
        <f aca="false">IF($M1660=0,"",INDEX(Classes!$H$6:$H$420,$M1660))</f>
        <v/>
      </c>
      <c r="D1660" s="61" t="str">
        <f aca="false">IF($M1660=0,"",INDEX(Classes!$B$6:$B$420,$M1660))</f>
        <v/>
      </c>
      <c r="E1660" s="61" t="str">
        <f aca="false">IF($M1660=0,"",INDEX(Classes!$C$6:$C$420,$M1660))</f>
        <v/>
      </c>
      <c r="F1660" s="63"/>
      <c r="G1660" s="63"/>
      <c r="H1660" s="60"/>
      <c r="I1660" s="60"/>
      <c r="J1660" s="63"/>
      <c r="K1660" s="61" t="str">
        <f aca="false">IF($P1660=0,"",IF($F1660="Baseline","— Baseline",IF($O1660=0,"No result",IF($N1660=0,"No Start (attainment only)",IF(OR($N1660=1,$O1660=1),"U – needs rule",INDEX(MxBody,MATCH($I1660,MxCurr,0),MATCH($H1660,MxStart,0)))))))</f>
        <v/>
      </c>
      <c r="L1660" s="62" t="str">
        <f aca="false">IF(COUNTA($A1660,$F1660,$G1660,$H1660,$I1660,$J1660)=0,"",IF($M1660=0,"✖ كود الصف غير موجود",IF(ISNA(MATCH($F1660,Lists!$A$2:$A$5,0)),"✖ الفترة غير صحيحة",IF(ISNA(MATCH($G1660,Lists!$B$2:$B$7,0)),"✖ المجموعة غير صحيحة",IF(NOT(OR($H1660="",$N1660&gt;0)),"✖ Start غير صحيح",IF(NOT(OR($I1660="",$I1660="NR",$O1660&gt;0)),"✖ Current غير صحيح",IF(NOT(IF(ISNUMBER($J1660),AND($J1660&gt;=0,$J1660=INT($J1660)),FALSE())),"✖ العدد يجب أن يكون صحيحًا ≥ 0",IF(AND($F1660="Baseline",$H1660&lt;&gt;""),"⚠ Baseline: Start لا يدخل في التقدم",IF($K1660="No Start (attainment only)","ℹ تحصيل فقط (بدون Start)",IF($K1660="U – needs rule","ℹ حالة U تحتاج قاعدة معتمدة",IF($K1660="No result","ℹ بدون نتيجة (يُستبعد من التحصيل)","OK")))))))))))</f>
        <v/>
      </c>
      <c r="M1660" s="64" t="n">
        <f aca="false">IF($A1660="",0,IFERROR(MATCH($A1660,Classes!$A$6:$A$420,0),0))</f>
        <v>0</v>
      </c>
      <c r="N1660" s="64" t="n">
        <f aca="false">IF($H1660="",0,IFERROR(MATCH($H1660,GradeList,0),0))</f>
        <v>0</v>
      </c>
      <c r="O1660" s="64" t="n">
        <f aca="false">IF(OR($I1660="",$I1660="NR"),0,IFERROR(MATCH($I1660,GradeList,0),0))</f>
        <v>0</v>
      </c>
      <c r="P1660" s="64" t="n">
        <f aca="false">IF(AND($M1660&gt;0,ISNUMBER(MATCH($F1660,Lists!$A$2:$A$5,0)),ISNUMBER(MATCH($G1660,Lists!$B$2:$B$7,0)),OR($H1660="",$N1660&gt;0),OR($I1660="",$I1660="NR",$O1660&gt;0),IF(ISNUMBER($J1660),AND($J1660&gt;=0,$J1660=INT($J1660)),FALSE())),$J1660,0)</f>
        <v>0</v>
      </c>
      <c r="Q1660" s="64" t="n">
        <f aca="false">IF(AND($P1660&gt;0,$O1660&gt;0),$P1660,0)</f>
        <v>0</v>
      </c>
      <c r="R1660" s="64" t="n">
        <f aca="false">IF(AND($Q1660&gt;0,$O1660&gt;=AtRank),$Q1660,0)</f>
        <v>0</v>
      </c>
      <c r="S1660" s="64" t="n">
        <f aca="false">IF(AND($Q1660&gt;0,$O1660&gt;=AboveRank),$Q1660,0)</f>
        <v>0</v>
      </c>
      <c r="T1660" s="64" t="n">
        <f aca="false">IF($K1660="Less",$P1660,0)</f>
        <v>0</v>
      </c>
      <c r="U1660" s="64" t="n">
        <f aca="false">IF($K1660="Expected",$P1660,0)</f>
        <v>0</v>
      </c>
      <c r="V1660" s="64" t="n">
        <f aca="false">IF($K1660="Better",$P1660,0)</f>
        <v>0</v>
      </c>
      <c r="W1660" s="64" t="n">
        <f aca="false">IF($K1660="U – needs rule",$P1660,0)</f>
        <v>0</v>
      </c>
      <c r="X1660" s="64" t="n">
        <f aca="false">IF($K1660="No Start (attainment only)",$P1660,0)</f>
        <v>0</v>
      </c>
    </row>
    <row r="1661" customFormat="false" ht="15" hidden="false" customHeight="false" outlineLevel="0" collapsed="false">
      <c r="A1661" s="60"/>
      <c r="B1661" s="61" t="str">
        <f aca="false">IF($M1661=0,"",INDEX(Classes!$E$6:$E$420,$M1661))</f>
        <v/>
      </c>
      <c r="C1661" s="62" t="str">
        <f aca="false">IF($M1661=0,"",INDEX(Classes!$H$6:$H$420,$M1661))</f>
        <v/>
      </c>
      <c r="D1661" s="61" t="str">
        <f aca="false">IF($M1661=0,"",INDEX(Classes!$B$6:$B$420,$M1661))</f>
        <v/>
      </c>
      <c r="E1661" s="61" t="str">
        <f aca="false">IF($M1661=0,"",INDEX(Classes!$C$6:$C$420,$M1661))</f>
        <v/>
      </c>
      <c r="F1661" s="63"/>
      <c r="G1661" s="63"/>
      <c r="H1661" s="60"/>
      <c r="I1661" s="60"/>
      <c r="J1661" s="63"/>
      <c r="K1661" s="61" t="str">
        <f aca="false">IF($P1661=0,"",IF($F1661="Baseline","— Baseline",IF($O1661=0,"No result",IF($N1661=0,"No Start (attainment only)",IF(OR($N1661=1,$O1661=1),"U – needs rule",INDEX(MxBody,MATCH($I1661,MxCurr,0),MATCH($H1661,MxStart,0)))))))</f>
        <v/>
      </c>
      <c r="L1661" s="62" t="str">
        <f aca="false">IF(COUNTA($A1661,$F1661,$G1661,$H1661,$I1661,$J1661)=0,"",IF($M1661=0,"✖ كود الصف غير موجود",IF(ISNA(MATCH($F1661,Lists!$A$2:$A$5,0)),"✖ الفترة غير صحيحة",IF(ISNA(MATCH($G1661,Lists!$B$2:$B$7,0)),"✖ المجموعة غير صحيحة",IF(NOT(OR($H1661="",$N1661&gt;0)),"✖ Start غير صحيح",IF(NOT(OR($I1661="",$I1661="NR",$O1661&gt;0)),"✖ Current غير صحيح",IF(NOT(IF(ISNUMBER($J1661),AND($J1661&gt;=0,$J1661=INT($J1661)),FALSE())),"✖ العدد يجب أن يكون صحيحًا ≥ 0",IF(AND($F1661="Baseline",$H1661&lt;&gt;""),"⚠ Baseline: Start لا يدخل في التقدم",IF($K1661="No Start (attainment only)","ℹ تحصيل فقط (بدون Start)",IF($K1661="U – needs rule","ℹ حالة U تحتاج قاعدة معتمدة",IF($K1661="No result","ℹ بدون نتيجة (يُستبعد من التحصيل)","OK")))))))))))</f>
        <v/>
      </c>
      <c r="M1661" s="64" t="n">
        <f aca="false">IF($A1661="",0,IFERROR(MATCH($A1661,Classes!$A$6:$A$420,0),0))</f>
        <v>0</v>
      </c>
      <c r="N1661" s="64" t="n">
        <f aca="false">IF($H1661="",0,IFERROR(MATCH($H1661,GradeList,0),0))</f>
        <v>0</v>
      </c>
      <c r="O1661" s="64" t="n">
        <f aca="false">IF(OR($I1661="",$I1661="NR"),0,IFERROR(MATCH($I1661,GradeList,0),0))</f>
        <v>0</v>
      </c>
      <c r="P1661" s="64" t="n">
        <f aca="false">IF(AND($M1661&gt;0,ISNUMBER(MATCH($F1661,Lists!$A$2:$A$5,0)),ISNUMBER(MATCH($G1661,Lists!$B$2:$B$7,0)),OR($H1661="",$N1661&gt;0),OR($I1661="",$I1661="NR",$O1661&gt;0),IF(ISNUMBER($J1661),AND($J1661&gt;=0,$J1661=INT($J1661)),FALSE())),$J1661,0)</f>
        <v>0</v>
      </c>
      <c r="Q1661" s="64" t="n">
        <f aca="false">IF(AND($P1661&gt;0,$O1661&gt;0),$P1661,0)</f>
        <v>0</v>
      </c>
      <c r="R1661" s="64" t="n">
        <f aca="false">IF(AND($Q1661&gt;0,$O1661&gt;=AtRank),$Q1661,0)</f>
        <v>0</v>
      </c>
      <c r="S1661" s="64" t="n">
        <f aca="false">IF(AND($Q1661&gt;0,$O1661&gt;=AboveRank),$Q1661,0)</f>
        <v>0</v>
      </c>
      <c r="T1661" s="64" t="n">
        <f aca="false">IF($K1661="Less",$P1661,0)</f>
        <v>0</v>
      </c>
      <c r="U1661" s="64" t="n">
        <f aca="false">IF($K1661="Expected",$P1661,0)</f>
        <v>0</v>
      </c>
      <c r="V1661" s="64" t="n">
        <f aca="false">IF($K1661="Better",$P1661,0)</f>
        <v>0</v>
      </c>
      <c r="W1661" s="64" t="n">
        <f aca="false">IF($K1661="U – needs rule",$P1661,0)</f>
        <v>0</v>
      </c>
      <c r="X1661" s="64" t="n">
        <f aca="false">IF($K1661="No Start (attainment only)",$P1661,0)</f>
        <v>0</v>
      </c>
    </row>
    <row r="1662" customFormat="false" ht="15" hidden="false" customHeight="false" outlineLevel="0" collapsed="false">
      <c r="A1662" s="60"/>
      <c r="B1662" s="61" t="str">
        <f aca="false">IF($M1662=0,"",INDEX(Classes!$E$6:$E$420,$M1662))</f>
        <v/>
      </c>
      <c r="C1662" s="62" t="str">
        <f aca="false">IF($M1662=0,"",INDEX(Classes!$H$6:$H$420,$M1662))</f>
        <v/>
      </c>
      <c r="D1662" s="61" t="str">
        <f aca="false">IF($M1662=0,"",INDEX(Classes!$B$6:$B$420,$M1662))</f>
        <v/>
      </c>
      <c r="E1662" s="61" t="str">
        <f aca="false">IF($M1662=0,"",INDEX(Classes!$C$6:$C$420,$M1662))</f>
        <v/>
      </c>
      <c r="F1662" s="63"/>
      <c r="G1662" s="63"/>
      <c r="H1662" s="60"/>
      <c r="I1662" s="60"/>
      <c r="J1662" s="63"/>
      <c r="K1662" s="61" t="str">
        <f aca="false">IF($P1662=0,"",IF($F1662="Baseline","— Baseline",IF($O1662=0,"No result",IF($N1662=0,"No Start (attainment only)",IF(OR($N1662=1,$O1662=1),"U – needs rule",INDEX(MxBody,MATCH($I1662,MxCurr,0),MATCH($H1662,MxStart,0)))))))</f>
        <v/>
      </c>
      <c r="L1662" s="62" t="str">
        <f aca="false">IF(COUNTA($A1662,$F1662,$G1662,$H1662,$I1662,$J1662)=0,"",IF($M1662=0,"✖ كود الصف غير موجود",IF(ISNA(MATCH($F1662,Lists!$A$2:$A$5,0)),"✖ الفترة غير صحيحة",IF(ISNA(MATCH($G1662,Lists!$B$2:$B$7,0)),"✖ المجموعة غير صحيحة",IF(NOT(OR($H1662="",$N1662&gt;0)),"✖ Start غير صحيح",IF(NOT(OR($I1662="",$I1662="NR",$O1662&gt;0)),"✖ Current غير صحيح",IF(NOT(IF(ISNUMBER($J1662),AND($J1662&gt;=0,$J1662=INT($J1662)),FALSE())),"✖ العدد يجب أن يكون صحيحًا ≥ 0",IF(AND($F1662="Baseline",$H1662&lt;&gt;""),"⚠ Baseline: Start لا يدخل في التقدم",IF($K1662="No Start (attainment only)","ℹ تحصيل فقط (بدون Start)",IF($K1662="U – needs rule","ℹ حالة U تحتاج قاعدة معتمدة",IF($K1662="No result","ℹ بدون نتيجة (يُستبعد من التحصيل)","OK")))))))))))</f>
        <v/>
      </c>
      <c r="M1662" s="64" t="n">
        <f aca="false">IF($A1662="",0,IFERROR(MATCH($A1662,Classes!$A$6:$A$420,0),0))</f>
        <v>0</v>
      </c>
      <c r="N1662" s="64" t="n">
        <f aca="false">IF($H1662="",0,IFERROR(MATCH($H1662,GradeList,0),0))</f>
        <v>0</v>
      </c>
      <c r="O1662" s="64" t="n">
        <f aca="false">IF(OR($I1662="",$I1662="NR"),0,IFERROR(MATCH($I1662,GradeList,0),0))</f>
        <v>0</v>
      </c>
      <c r="P1662" s="64" t="n">
        <f aca="false">IF(AND($M1662&gt;0,ISNUMBER(MATCH($F1662,Lists!$A$2:$A$5,0)),ISNUMBER(MATCH($G1662,Lists!$B$2:$B$7,0)),OR($H1662="",$N1662&gt;0),OR($I1662="",$I1662="NR",$O1662&gt;0),IF(ISNUMBER($J1662),AND($J1662&gt;=0,$J1662=INT($J1662)),FALSE())),$J1662,0)</f>
        <v>0</v>
      </c>
      <c r="Q1662" s="64" t="n">
        <f aca="false">IF(AND($P1662&gt;0,$O1662&gt;0),$P1662,0)</f>
        <v>0</v>
      </c>
      <c r="R1662" s="64" t="n">
        <f aca="false">IF(AND($Q1662&gt;0,$O1662&gt;=AtRank),$Q1662,0)</f>
        <v>0</v>
      </c>
      <c r="S1662" s="64" t="n">
        <f aca="false">IF(AND($Q1662&gt;0,$O1662&gt;=AboveRank),$Q1662,0)</f>
        <v>0</v>
      </c>
      <c r="T1662" s="64" t="n">
        <f aca="false">IF($K1662="Less",$P1662,0)</f>
        <v>0</v>
      </c>
      <c r="U1662" s="64" t="n">
        <f aca="false">IF($K1662="Expected",$P1662,0)</f>
        <v>0</v>
      </c>
      <c r="V1662" s="64" t="n">
        <f aca="false">IF($K1662="Better",$P1662,0)</f>
        <v>0</v>
      </c>
      <c r="W1662" s="64" t="n">
        <f aca="false">IF($K1662="U – needs rule",$P1662,0)</f>
        <v>0</v>
      </c>
      <c r="X1662" s="64" t="n">
        <f aca="false">IF($K1662="No Start (attainment only)",$P1662,0)</f>
        <v>0</v>
      </c>
    </row>
    <row r="1663" customFormat="false" ht="15" hidden="false" customHeight="false" outlineLevel="0" collapsed="false">
      <c r="A1663" s="60"/>
      <c r="B1663" s="61" t="str">
        <f aca="false">IF($M1663=0,"",INDEX(Classes!$E$6:$E$420,$M1663))</f>
        <v/>
      </c>
      <c r="C1663" s="62" t="str">
        <f aca="false">IF($M1663=0,"",INDEX(Classes!$H$6:$H$420,$M1663))</f>
        <v/>
      </c>
      <c r="D1663" s="61" t="str">
        <f aca="false">IF($M1663=0,"",INDEX(Classes!$B$6:$B$420,$M1663))</f>
        <v/>
      </c>
      <c r="E1663" s="61" t="str">
        <f aca="false">IF($M1663=0,"",INDEX(Classes!$C$6:$C$420,$M1663))</f>
        <v/>
      </c>
      <c r="F1663" s="63"/>
      <c r="G1663" s="63"/>
      <c r="H1663" s="60"/>
      <c r="I1663" s="60"/>
      <c r="J1663" s="63"/>
      <c r="K1663" s="61" t="str">
        <f aca="false">IF($P1663=0,"",IF($F1663="Baseline","— Baseline",IF($O1663=0,"No result",IF($N1663=0,"No Start (attainment only)",IF(OR($N1663=1,$O1663=1),"U – needs rule",INDEX(MxBody,MATCH($I1663,MxCurr,0),MATCH($H1663,MxStart,0)))))))</f>
        <v/>
      </c>
      <c r="L1663" s="62" t="str">
        <f aca="false">IF(COUNTA($A1663,$F1663,$G1663,$H1663,$I1663,$J1663)=0,"",IF($M1663=0,"✖ كود الصف غير موجود",IF(ISNA(MATCH($F1663,Lists!$A$2:$A$5,0)),"✖ الفترة غير صحيحة",IF(ISNA(MATCH($G1663,Lists!$B$2:$B$7,0)),"✖ المجموعة غير صحيحة",IF(NOT(OR($H1663="",$N1663&gt;0)),"✖ Start غير صحيح",IF(NOT(OR($I1663="",$I1663="NR",$O1663&gt;0)),"✖ Current غير صحيح",IF(NOT(IF(ISNUMBER($J1663),AND($J1663&gt;=0,$J1663=INT($J1663)),FALSE())),"✖ العدد يجب أن يكون صحيحًا ≥ 0",IF(AND($F1663="Baseline",$H1663&lt;&gt;""),"⚠ Baseline: Start لا يدخل في التقدم",IF($K1663="No Start (attainment only)","ℹ تحصيل فقط (بدون Start)",IF($K1663="U – needs rule","ℹ حالة U تحتاج قاعدة معتمدة",IF($K1663="No result","ℹ بدون نتيجة (يُستبعد من التحصيل)","OK")))))))))))</f>
        <v/>
      </c>
      <c r="M1663" s="64" t="n">
        <f aca="false">IF($A1663="",0,IFERROR(MATCH($A1663,Classes!$A$6:$A$420,0),0))</f>
        <v>0</v>
      </c>
      <c r="N1663" s="64" t="n">
        <f aca="false">IF($H1663="",0,IFERROR(MATCH($H1663,GradeList,0),0))</f>
        <v>0</v>
      </c>
      <c r="O1663" s="64" t="n">
        <f aca="false">IF(OR($I1663="",$I1663="NR"),0,IFERROR(MATCH($I1663,GradeList,0),0))</f>
        <v>0</v>
      </c>
      <c r="P1663" s="64" t="n">
        <f aca="false">IF(AND($M1663&gt;0,ISNUMBER(MATCH($F1663,Lists!$A$2:$A$5,0)),ISNUMBER(MATCH($G1663,Lists!$B$2:$B$7,0)),OR($H1663="",$N1663&gt;0),OR($I1663="",$I1663="NR",$O1663&gt;0),IF(ISNUMBER($J1663),AND($J1663&gt;=0,$J1663=INT($J1663)),FALSE())),$J1663,0)</f>
        <v>0</v>
      </c>
      <c r="Q1663" s="64" t="n">
        <f aca="false">IF(AND($P1663&gt;0,$O1663&gt;0),$P1663,0)</f>
        <v>0</v>
      </c>
      <c r="R1663" s="64" t="n">
        <f aca="false">IF(AND($Q1663&gt;0,$O1663&gt;=AtRank),$Q1663,0)</f>
        <v>0</v>
      </c>
      <c r="S1663" s="64" t="n">
        <f aca="false">IF(AND($Q1663&gt;0,$O1663&gt;=AboveRank),$Q1663,0)</f>
        <v>0</v>
      </c>
      <c r="T1663" s="64" t="n">
        <f aca="false">IF($K1663="Less",$P1663,0)</f>
        <v>0</v>
      </c>
      <c r="U1663" s="64" t="n">
        <f aca="false">IF($K1663="Expected",$P1663,0)</f>
        <v>0</v>
      </c>
      <c r="V1663" s="64" t="n">
        <f aca="false">IF($K1663="Better",$P1663,0)</f>
        <v>0</v>
      </c>
      <c r="W1663" s="64" t="n">
        <f aca="false">IF($K1663="U – needs rule",$P1663,0)</f>
        <v>0</v>
      </c>
      <c r="X1663" s="64" t="n">
        <f aca="false">IF($K1663="No Start (attainment only)",$P1663,0)</f>
        <v>0</v>
      </c>
    </row>
    <row r="1664" customFormat="false" ht="15" hidden="false" customHeight="false" outlineLevel="0" collapsed="false">
      <c r="A1664" s="60"/>
      <c r="B1664" s="61" t="str">
        <f aca="false">IF($M1664=0,"",INDEX(Classes!$E$6:$E$420,$M1664))</f>
        <v/>
      </c>
      <c r="C1664" s="62" t="str">
        <f aca="false">IF($M1664=0,"",INDEX(Classes!$H$6:$H$420,$M1664))</f>
        <v/>
      </c>
      <c r="D1664" s="61" t="str">
        <f aca="false">IF($M1664=0,"",INDEX(Classes!$B$6:$B$420,$M1664))</f>
        <v/>
      </c>
      <c r="E1664" s="61" t="str">
        <f aca="false">IF($M1664=0,"",INDEX(Classes!$C$6:$C$420,$M1664))</f>
        <v/>
      </c>
      <c r="F1664" s="63"/>
      <c r="G1664" s="63"/>
      <c r="H1664" s="60"/>
      <c r="I1664" s="60"/>
      <c r="J1664" s="63"/>
      <c r="K1664" s="61" t="str">
        <f aca="false">IF($P1664=0,"",IF($F1664="Baseline","— Baseline",IF($O1664=0,"No result",IF($N1664=0,"No Start (attainment only)",IF(OR($N1664=1,$O1664=1),"U – needs rule",INDEX(MxBody,MATCH($I1664,MxCurr,0),MATCH($H1664,MxStart,0)))))))</f>
        <v/>
      </c>
      <c r="L1664" s="62" t="str">
        <f aca="false">IF(COUNTA($A1664,$F1664,$G1664,$H1664,$I1664,$J1664)=0,"",IF($M1664=0,"✖ كود الصف غير موجود",IF(ISNA(MATCH($F1664,Lists!$A$2:$A$5,0)),"✖ الفترة غير صحيحة",IF(ISNA(MATCH($G1664,Lists!$B$2:$B$7,0)),"✖ المجموعة غير صحيحة",IF(NOT(OR($H1664="",$N1664&gt;0)),"✖ Start غير صحيح",IF(NOT(OR($I1664="",$I1664="NR",$O1664&gt;0)),"✖ Current غير صحيح",IF(NOT(IF(ISNUMBER($J1664),AND($J1664&gt;=0,$J1664=INT($J1664)),FALSE())),"✖ العدد يجب أن يكون صحيحًا ≥ 0",IF(AND($F1664="Baseline",$H1664&lt;&gt;""),"⚠ Baseline: Start لا يدخل في التقدم",IF($K1664="No Start (attainment only)","ℹ تحصيل فقط (بدون Start)",IF($K1664="U – needs rule","ℹ حالة U تحتاج قاعدة معتمدة",IF($K1664="No result","ℹ بدون نتيجة (يُستبعد من التحصيل)","OK")))))))))))</f>
        <v/>
      </c>
      <c r="M1664" s="64" t="n">
        <f aca="false">IF($A1664="",0,IFERROR(MATCH($A1664,Classes!$A$6:$A$420,0),0))</f>
        <v>0</v>
      </c>
      <c r="N1664" s="64" t="n">
        <f aca="false">IF($H1664="",0,IFERROR(MATCH($H1664,GradeList,0),0))</f>
        <v>0</v>
      </c>
      <c r="O1664" s="64" t="n">
        <f aca="false">IF(OR($I1664="",$I1664="NR"),0,IFERROR(MATCH($I1664,GradeList,0),0))</f>
        <v>0</v>
      </c>
      <c r="P1664" s="64" t="n">
        <f aca="false">IF(AND($M1664&gt;0,ISNUMBER(MATCH($F1664,Lists!$A$2:$A$5,0)),ISNUMBER(MATCH($G1664,Lists!$B$2:$B$7,0)),OR($H1664="",$N1664&gt;0),OR($I1664="",$I1664="NR",$O1664&gt;0),IF(ISNUMBER($J1664),AND($J1664&gt;=0,$J1664=INT($J1664)),FALSE())),$J1664,0)</f>
        <v>0</v>
      </c>
      <c r="Q1664" s="64" t="n">
        <f aca="false">IF(AND($P1664&gt;0,$O1664&gt;0),$P1664,0)</f>
        <v>0</v>
      </c>
      <c r="R1664" s="64" t="n">
        <f aca="false">IF(AND($Q1664&gt;0,$O1664&gt;=AtRank),$Q1664,0)</f>
        <v>0</v>
      </c>
      <c r="S1664" s="64" t="n">
        <f aca="false">IF(AND($Q1664&gt;0,$O1664&gt;=AboveRank),$Q1664,0)</f>
        <v>0</v>
      </c>
      <c r="T1664" s="64" t="n">
        <f aca="false">IF($K1664="Less",$P1664,0)</f>
        <v>0</v>
      </c>
      <c r="U1664" s="64" t="n">
        <f aca="false">IF($K1664="Expected",$P1664,0)</f>
        <v>0</v>
      </c>
      <c r="V1664" s="64" t="n">
        <f aca="false">IF($K1664="Better",$P1664,0)</f>
        <v>0</v>
      </c>
      <c r="W1664" s="64" t="n">
        <f aca="false">IF($K1664="U – needs rule",$P1664,0)</f>
        <v>0</v>
      </c>
      <c r="X1664" s="64" t="n">
        <f aca="false">IF($K1664="No Start (attainment only)",$P1664,0)</f>
        <v>0</v>
      </c>
    </row>
    <row r="1665" customFormat="false" ht="15" hidden="false" customHeight="false" outlineLevel="0" collapsed="false">
      <c r="A1665" s="60"/>
      <c r="B1665" s="61" t="str">
        <f aca="false">IF($M1665=0,"",INDEX(Classes!$E$6:$E$420,$M1665))</f>
        <v/>
      </c>
      <c r="C1665" s="62" t="str">
        <f aca="false">IF($M1665=0,"",INDEX(Classes!$H$6:$H$420,$M1665))</f>
        <v/>
      </c>
      <c r="D1665" s="61" t="str">
        <f aca="false">IF($M1665=0,"",INDEX(Classes!$B$6:$B$420,$M1665))</f>
        <v/>
      </c>
      <c r="E1665" s="61" t="str">
        <f aca="false">IF($M1665=0,"",INDEX(Classes!$C$6:$C$420,$M1665))</f>
        <v/>
      </c>
      <c r="F1665" s="63"/>
      <c r="G1665" s="63"/>
      <c r="H1665" s="60"/>
      <c r="I1665" s="60"/>
      <c r="J1665" s="63"/>
      <c r="K1665" s="61" t="str">
        <f aca="false">IF($P1665=0,"",IF($F1665="Baseline","— Baseline",IF($O1665=0,"No result",IF($N1665=0,"No Start (attainment only)",IF(OR($N1665=1,$O1665=1),"U – needs rule",INDEX(MxBody,MATCH($I1665,MxCurr,0),MATCH($H1665,MxStart,0)))))))</f>
        <v/>
      </c>
      <c r="L1665" s="62" t="str">
        <f aca="false">IF(COUNTA($A1665,$F1665,$G1665,$H1665,$I1665,$J1665)=0,"",IF($M1665=0,"✖ كود الصف غير موجود",IF(ISNA(MATCH($F1665,Lists!$A$2:$A$5,0)),"✖ الفترة غير صحيحة",IF(ISNA(MATCH($G1665,Lists!$B$2:$B$7,0)),"✖ المجموعة غير صحيحة",IF(NOT(OR($H1665="",$N1665&gt;0)),"✖ Start غير صحيح",IF(NOT(OR($I1665="",$I1665="NR",$O1665&gt;0)),"✖ Current غير صحيح",IF(NOT(IF(ISNUMBER($J1665),AND($J1665&gt;=0,$J1665=INT($J1665)),FALSE())),"✖ العدد يجب أن يكون صحيحًا ≥ 0",IF(AND($F1665="Baseline",$H1665&lt;&gt;""),"⚠ Baseline: Start لا يدخل في التقدم",IF($K1665="No Start (attainment only)","ℹ تحصيل فقط (بدون Start)",IF($K1665="U – needs rule","ℹ حالة U تحتاج قاعدة معتمدة",IF($K1665="No result","ℹ بدون نتيجة (يُستبعد من التحصيل)","OK")))))))))))</f>
        <v/>
      </c>
      <c r="M1665" s="64" t="n">
        <f aca="false">IF($A1665="",0,IFERROR(MATCH($A1665,Classes!$A$6:$A$420,0),0))</f>
        <v>0</v>
      </c>
      <c r="N1665" s="64" t="n">
        <f aca="false">IF($H1665="",0,IFERROR(MATCH($H1665,GradeList,0),0))</f>
        <v>0</v>
      </c>
      <c r="O1665" s="64" t="n">
        <f aca="false">IF(OR($I1665="",$I1665="NR"),0,IFERROR(MATCH($I1665,GradeList,0),0))</f>
        <v>0</v>
      </c>
      <c r="P1665" s="64" t="n">
        <f aca="false">IF(AND($M1665&gt;0,ISNUMBER(MATCH($F1665,Lists!$A$2:$A$5,0)),ISNUMBER(MATCH($G1665,Lists!$B$2:$B$7,0)),OR($H1665="",$N1665&gt;0),OR($I1665="",$I1665="NR",$O1665&gt;0),IF(ISNUMBER($J1665),AND($J1665&gt;=0,$J1665=INT($J1665)),FALSE())),$J1665,0)</f>
        <v>0</v>
      </c>
      <c r="Q1665" s="64" t="n">
        <f aca="false">IF(AND($P1665&gt;0,$O1665&gt;0),$P1665,0)</f>
        <v>0</v>
      </c>
      <c r="R1665" s="64" t="n">
        <f aca="false">IF(AND($Q1665&gt;0,$O1665&gt;=AtRank),$Q1665,0)</f>
        <v>0</v>
      </c>
      <c r="S1665" s="64" t="n">
        <f aca="false">IF(AND($Q1665&gt;0,$O1665&gt;=AboveRank),$Q1665,0)</f>
        <v>0</v>
      </c>
      <c r="T1665" s="64" t="n">
        <f aca="false">IF($K1665="Less",$P1665,0)</f>
        <v>0</v>
      </c>
      <c r="U1665" s="64" t="n">
        <f aca="false">IF($K1665="Expected",$P1665,0)</f>
        <v>0</v>
      </c>
      <c r="V1665" s="64" t="n">
        <f aca="false">IF($K1665="Better",$P1665,0)</f>
        <v>0</v>
      </c>
      <c r="W1665" s="64" t="n">
        <f aca="false">IF($K1665="U – needs rule",$P1665,0)</f>
        <v>0</v>
      </c>
      <c r="X1665" s="64" t="n">
        <f aca="false">IF($K1665="No Start (attainment only)",$P1665,0)</f>
        <v>0</v>
      </c>
    </row>
    <row r="1666" customFormat="false" ht="15" hidden="false" customHeight="false" outlineLevel="0" collapsed="false">
      <c r="A1666" s="60"/>
      <c r="B1666" s="61" t="str">
        <f aca="false">IF($M1666=0,"",INDEX(Classes!$E$6:$E$420,$M1666))</f>
        <v/>
      </c>
      <c r="C1666" s="62" t="str">
        <f aca="false">IF($M1666=0,"",INDEX(Classes!$H$6:$H$420,$M1666))</f>
        <v/>
      </c>
      <c r="D1666" s="61" t="str">
        <f aca="false">IF($M1666=0,"",INDEX(Classes!$B$6:$B$420,$M1666))</f>
        <v/>
      </c>
      <c r="E1666" s="61" t="str">
        <f aca="false">IF($M1666=0,"",INDEX(Classes!$C$6:$C$420,$M1666))</f>
        <v/>
      </c>
      <c r="F1666" s="63"/>
      <c r="G1666" s="63"/>
      <c r="H1666" s="60"/>
      <c r="I1666" s="60"/>
      <c r="J1666" s="63"/>
      <c r="K1666" s="61" t="str">
        <f aca="false">IF($P1666=0,"",IF($F1666="Baseline","— Baseline",IF($O1666=0,"No result",IF($N1666=0,"No Start (attainment only)",IF(OR($N1666=1,$O1666=1),"U – needs rule",INDEX(MxBody,MATCH($I1666,MxCurr,0),MATCH($H1666,MxStart,0)))))))</f>
        <v/>
      </c>
      <c r="L1666" s="62" t="str">
        <f aca="false">IF(COUNTA($A1666,$F1666,$G1666,$H1666,$I1666,$J1666)=0,"",IF($M1666=0,"✖ كود الصف غير موجود",IF(ISNA(MATCH($F1666,Lists!$A$2:$A$5,0)),"✖ الفترة غير صحيحة",IF(ISNA(MATCH($G1666,Lists!$B$2:$B$7,0)),"✖ المجموعة غير صحيحة",IF(NOT(OR($H1666="",$N1666&gt;0)),"✖ Start غير صحيح",IF(NOT(OR($I1666="",$I1666="NR",$O1666&gt;0)),"✖ Current غير صحيح",IF(NOT(IF(ISNUMBER($J1666),AND($J1666&gt;=0,$J1666=INT($J1666)),FALSE())),"✖ العدد يجب أن يكون صحيحًا ≥ 0",IF(AND($F1666="Baseline",$H1666&lt;&gt;""),"⚠ Baseline: Start لا يدخل في التقدم",IF($K1666="No Start (attainment only)","ℹ تحصيل فقط (بدون Start)",IF($K1666="U – needs rule","ℹ حالة U تحتاج قاعدة معتمدة",IF($K1666="No result","ℹ بدون نتيجة (يُستبعد من التحصيل)","OK")))))))))))</f>
        <v/>
      </c>
      <c r="M1666" s="64" t="n">
        <f aca="false">IF($A1666="",0,IFERROR(MATCH($A1666,Classes!$A$6:$A$420,0),0))</f>
        <v>0</v>
      </c>
      <c r="N1666" s="64" t="n">
        <f aca="false">IF($H1666="",0,IFERROR(MATCH($H1666,GradeList,0),0))</f>
        <v>0</v>
      </c>
      <c r="O1666" s="64" t="n">
        <f aca="false">IF(OR($I1666="",$I1666="NR"),0,IFERROR(MATCH($I1666,GradeList,0),0))</f>
        <v>0</v>
      </c>
      <c r="P1666" s="64" t="n">
        <f aca="false">IF(AND($M1666&gt;0,ISNUMBER(MATCH($F1666,Lists!$A$2:$A$5,0)),ISNUMBER(MATCH($G1666,Lists!$B$2:$B$7,0)),OR($H1666="",$N1666&gt;0),OR($I1666="",$I1666="NR",$O1666&gt;0),IF(ISNUMBER($J1666),AND($J1666&gt;=0,$J1666=INT($J1666)),FALSE())),$J1666,0)</f>
        <v>0</v>
      </c>
      <c r="Q1666" s="64" t="n">
        <f aca="false">IF(AND($P1666&gt;0,$O1666&gt;0),$P1666,0)</f>
        <v>0</v>
      </c>
      <c r="R1666" s="64" t="n">
        <f aca="false">IF(AND($Q1666&gt;0,$O1666&gt;=AtRank),$Q1666,0)</f>
        <v>0</v>
      </c>
      <c r="S1666" s="64" t="n">
        <f aca="false">IF(AND($Q1666&gt;0,$O1666&gt;=AboveRank),$Q1666,0)</f>
        <v>0</v>
      </c>
      <c r="T1666" s="64" t="n">
        <f aca="false">IF($K1666="Less",$P1666,0)</f>
        <v>0</v>
      </c>
      <c r="U1666" s="64" t="n">
        <f aca="false">IF($K1666="Expected",$P1666,0)</f>
        <v>0</v>
      </c>
      <c r="V1666" s="64" t="n">
        <f aca="false">IF($K1666="Better",$P1666,0)</f>
        <v>0</v>
      </c>
      <c r="W1666" s="64" t="n">
        <f aca="false">IF($K1666="U – needs rule",$P1666,0)</f>
        <v>0</v>
      </c>
      <c r="X1666" s="64" t="n">
        <f aca="false">IF($K1666="No Start (attainment only)",$P1666,0)</f>
        <v>0</v>
      </c>
    </row>
    <row r="1667" customFormat="false" ht="15" hidden="false" customHeight="false" outlineLevel="0" collapsed="false">
      <c r="A1667" s="60"/>
      <c r="B1667" s="61" t="str">
        <f aca="false">IF($M1667=0,"",INDEX(Classes!$E$6:$E$420,$M1667))</f>
        <v/>
      </c>
      <c r="C1667" s="62" t="str">
        <f aca="false">IF($M1667=0,"",INDEX(Classes!$H$6:$H$420,$M1667))</f>
        <v/>
      </c>
      <c r="D1667" s="61" t="str">
        <f aca="false">IF($M1667=0,"",INDEX(Classes!$B$6:$B$420,$M1667))</f>
        <v/>
      </c>
      <c r="E1667" s="61" t="str">
        <f aca="false">IF($M1667=0,"",INDEX(Classes!$C$6:$C$420,$M1667))</f>
        <v/>
      </c>
      <c r="F1667" s="63"/>
      <c r="G1667" s="63"/>
      <c r="H1667" s="60"/>
      <c r="I1667" s="60"/>
      <c r="J1667" s="63"/>
      <c r="K1667" s="61" t="str">
        <f aca="false">IF($P1667=0,"",IF($F1667="Baseline","— Baseline",IF($O1667=0,"No result",IF($N1667=0,"No Start (attainment only)",IF(OR($N1667=1,$O1667=1),"U – needs rule",INDEX(MxBody,MATCH($I1667,MxCurr,0),MATCH($H1667,MxStart,0)))))))</f>
        <v/>
      </c>
      <c r="L1667" s="62" t="str">
        <f aca="false">IF(COUNTA($A1667,$F1667,$G1667,$H1667,$I1667,$J1667)=0,"",IF($M1667=0,"✖ كود الصف غير موجود",IF(ISNA(MATCH($F1667,Lists!$A$2:$A$5,0)),"✖ الفترة غير صحيحة",IF(ISNA(MATCH($G1667,Lists!$B$2:$B$7,0)),"✖ المجموعة غير صحيحة",IF(NOT(OR($H1667="",$N1667&gt;0)),"✖ Start غير صحيح",IF(NOT(OR($I1667="",$I1667="NR",$O1667&gt;0)),"✖ Current غير صحيح",IF(NOT(IF(ISNUMBER($J1667),AND($J1667&gt;=0,$J1667=INT($J1667)),FALSE())),"✖ العدد يجب أن يكون صحيحًا ≥ 0",IF(AND($F1667="Baseline",$H1667&lt;&gt;""),"⚠ Baseline: Start لا يدخل في التقدم",IF($K1667="No Start (attainment only)","ℹ تحصيل فقط (بدون Start)",IF($K1667="U – needs rule","ℹ حالة U تحتاج قاعدة معتمدة",IF($K1667="No result","ℹ بدون نتيجة (يُستبعد من التحصيل)","OK")))))))))))</f>
        <v/>
      </c>
      <c r="M1667" s="64" t="n">
        <f aca="false">IF($A1667="",0,IFERROR(MATCH($A1667,Classes!$A$6:$A$420,0),0))</f>
        <v>0</v>
      </c>
      <c r="N1667" s="64" t="n">
        <f aca="false">IF($H1667="",0,IFERROR(MATCH($H1667,GradeList,0),0))</f>
        <v>0</v>
      </c>
      <c r="O1667" s="64" t="n">
        <f aca="false">IF(OR($I1667="",$I1667="NR"),0,IFERROR(MATCH($I1667,GradeList,0),0))</f>
        <v>0</v>
      </c>
      <c r="P1667" s="64" t="n">
        <f aca="false">IF(AND($M1667&gt;0,ISNUMBER(MATCH($F1667,Lists!$A$2:$A$5,0)),ISNUMBER(MATCH($G1667,Lists!$B$2:$B$7,0)),OR($H1667="",$N1667&gt;0),OR($I1667="",$I1667="NR",$O1667&gt;0),IF(ISNUMBER($J1667),AND($J1667&gt;=0,$J1667=INT($J1667)),FALSE())),$J1667,0)</f>
        <v>0</v>
      </c>
      <c r="Q1667" s="64" t="n">
        <f aca="false">IF(AND($P1667&gt;0,$O1667&gt;0),$P1667,0)</f>
        <v>0</v>
      </c>
      <c r="R1667" s="64" t="n">
        <f aca="false">IF(AND($Q1667&gt;0,$O1667&gt;=AtRank),$Q1667,0)</f>
        <v>0</v>
      </c>
      <c r="S1667" s="64" t="n">
        <f aca="false">IF(AND($Q1667&gt;0,$O1667&gt;=AboveRank),$Q1667,0)</f>
        <v>0</v>
      </c>
      <c r="T1667" s="64" t="n">
        <f aca="false">IF($K1667="Less",$P1667,0)</f>
        <v>0</v>
      </c>
      <c r="U1667" s="64" t="n">
        <f aca="false">IF($K1667="Expected",$P1667,0)</f>
        <v>0</v>
      </c>
      <c r="V1667" s="64" t="n">
        <f aca="false">IF($K1667="Better",$P1667,0)</f>
        <v>0</v>
      </c>
      <c r="W1667" s="64" t="n">
        <f aca="false">IF($K1667="U – needs rule",$P1667,0)</f>
        <v>0</v>
      </c>
      <c r="X1667" s="64" t="n">
        <f aca="false">IF($K1667="No Start (attainment only)",$P1667,0)</f>
        <v>0</v>
      </c>
    </row>
    <row r="1668" customFormat="false" ht="15" hidden="false" customHeight="false" outlineLevel="0" collapsed="false">
      <c r="A1668" s="60"/>
      <c r="B1668" s="61" t="str">
        <f aca="false">IF($M1668=0,"",INDEX(Classes!$E$6:$E$420,$M1668))</f>
        <v/>
      </c>
      <c r="C1668" s="62" t="str">
        <f aca="false">IF($M1668=0,"",INDEX(Classes!$H$6:$H$420,$M1668))</f>
        <v/>
      </c>
      <c r="D1668" s="61" t="str">
        <f aca="false">IF($M1668=0,"",INDEX(Classes!$B$6:$B$420,$M1668))</f>
        <v/>
      </c>
      <c r="E1668" s="61" t="str">
        <f aca="false">IF($M1668=0,"",INDEX(Classes!$C$6:$C$420,$M1668))</f>
        <v/>
      </c>
      <c r="F1668" s="63"/>
      <c r="G1668" s="63"/>
      <c r="H1668" s="60"/>
      <c r="I1668" s="60"/>
      <c r="J1668" s="63"/>
      <c r="K1668" s="61" t="str">
        <f aca="false">IF($P1668=0,"",IF($F1668="Baseline","— Baseline",IF($O1668=0,"No result",IF($N1668=0,"No Start (attainment only)",IF(OR($N1668=1,$O1668=1),"U – needs rule",INDEX(MxBody,MATCH($I1668,MxCurr,0),MATCH($H1668,MxStart,0)))))))</f>
        <v/>
      </c>
      <c r="L1668" s="62" t="str">
        <f aca="false">IF(COUNTA($A1668,$F1668,$G1668,$H1668,$I1668,$J1668)=0,"",IF($M1668=0,"✖ كود الصف غير موجود",IF(ISNA(MATCH($F1668,Lists!$A$2:$A$5,0)),"✖ الفترة غير صحيحة",IF(ISNA(MATCH($G1668,Lists!$B$2:$B$7,0)),"✖ المجموعة غير صحيحة",IF(NOT(OR($H1668="",$N1668&gt;0)),"✖ Start غير صحيح",IF(NOT(OR($I1668="",$I1668="NR",$O1668&gt;0)),"✖ Current غير صحيح",IF(NOT(IF(ISNUMBER($J1668),AND($J1668&gt;=0,$J1668=INT($J1668)),FALSE())),"✖ العدد يجب أن يكون صحيحًا ≥ 0",IF(AND($F1668="Baseline",$H1668&lt;&gt;""),"⚠ Baseline: Start لا يدخل في التقدم",IF($K1668="No Start (attainment only)","ℹ تحصيل فقط (بدون Start)",IF($K1668="U – needs rule","ℹ حالة U تحتاج قاعدة معتمدة",IF($K1668="No result","ℹ بدون نتيجة (يُستبعد من التحصيل)","OK")))))))))))</f>
        <v/>
      </c>
      <c r="M1668" s="64" t="n">
        <f aca="false">IF($A1668="",0,IFERROR(MATCH($A1668,Classes!$A$6:$A$420,0),0))</f>
        <v>0</v>
      </c>
      <c r="N1668" s="64" t="n">
        <f aca="false">IF($H1668="",0,IFERROR(MATCH($H1668,GradeList,0),0))</f>
        <v>0</v>
      </c>
      <c r="O1668" s="64" t="n">
        <f aca="false">IF(OR($I1668="",$I1668="NR"),0,IFERROR(MATCH($I1668,GradeList,0),0))</f>
        <v>0</v>
      </c>
      <c r="P1668" s="64" t="n">
        <f aca="false">IF(AND($M1668&gt;0,ISNUMBER(MATCH($F1668,Lists!$A$2:$A$5,0)),ISNUMBER(MATCH($G1668,Lists!$B$2:$B$7,0)),OR($H1668="",$N1668&gt;0),OR($I1668="",$I1668="NR",$O1668&gt;0),IF(ISNUMBER($J1668),AND($J1668&gt;=0,$J1668=INT($J1668)),FALSE())),$J1668,0)</f>
        <v>0</v>
      </c>
      <c r="Q1668" s="64" t="n">
        <f aca="false">IF(AND($P1668&gt;0,$O1668&gt;0),$P1668,0)</f>
        <v>0</v>
      </c>
      <c r="R1668" s="64" t="n">
        <f aca="false">IF(AND($Q1668&gt;0,$O1668&gt;=AtRank),$Q1668,0)</f>
        <v>0</v>
      </c>
      <c r="S1668" s="64" t="n">
        <f aca="false">IF(AND($Q1668&gt;0,$O1668&gt;=AboveRank),$Q1668,0)</f>
        <v>0</v>
      </c>
      <c r="T1668" s="64" t="n">
        <f aca="false">IF($K1668="Less",$P1668,0)</f>
        <v>0</v>
      </c>
      <c r="U1668" s="64" t="n">
        <f aca="false">IF($K1668="Expected",$P1668,0)</f>
        <v>0</v>
      </c>
      <c r="V1668" s="64" t="n">
        <f aca="false">IF($K1668="Better",$P1668,0)</f>
        <v>0</v>
      </c>
      <c r="W1668" s="64" t="n">
        <f aca="false">IF($K1668="U – needs rule",$P1668,0)</f>
        <v>0</v>
      </c>
      <c r="X1668" s="64" t="n">
        <f aca="false">IF($K1668="No Start (attainment only)",$P1668,0)</f>
        <v>0</v>
      </c>
    </row>
    <row r="1669" customFormat="false" ht="15" hidden="false" customHeight="false" outlineLevel="0" collapsed="false">
      <c r="A1669" s="60"/>
      <c r="B1669" s="61" t="str">
        <f aca="false">IF($M1669=0,"",INDEX(Classes!$E$6:$E$420,$M1669))</f>
        <v/>
      </c>
      <c r="C1669" s="62" t="str">
        <f aca="false">IF($M1669=0,"",INDEX(Classes!$H$6:$H$420,$M1669))</f>
        <v/>
      </c>
      <c r="D1669" s="61" t="str">
        <f aca="false">IF($M1669=0,"",INDEX(Classes!$B$6:$B$420,$M1669))</f>
        <v/>
      </c>
      <c r="E1669" s="61" t="str">
        <f aca="false">IF($M1669=0,"",INDEX(Classes!$C$6:$C$420,$M1669))</f>
        <v/>
      </c>
      <c r="F1669" s="63"/>
      <c r="G1669" s="63"/>
      <c r="H1669" s="60"/>
      <c r="I1669" s="60"/>
      <c r="J1669" s="63"/>
      <c r="K1669" s="61" t="str">
        <f aca="false">IF($P1669=0,"",IF($F1669="Baseline","— Baseline",IF($O1669=0,"No result",IF($N1669=0,"No Start (attainment only)",IF(OR($N1669=1,$O1669=1),"U – needs rule",INDEX(MxBody,MATCH($I1669,MxCurr,0),MATCH($H1669,MxStart,0)))))))</f>
        <v/>
      </c>
      <c r="L1669" s="62" t="str">
        <f aca="false">IF(COUNTA($A1669,$F1669,$G1669,$H1669,$I1669,$J1669)=0,"",IF($M1669=0,"✖ كود الصف غير موجود",IF(ISNA(MATCH($F1669,Lists!$A$2:$A$5,0)),"✖ الفترة غير صحيحة",IF(ISNA(MATCH($G1669,Lists!$B$2:$B$7,0)),"✖ المجموعة غير صحيحة",IF(NOT(OR($H1669="",$N1669&gt;0)),"✖ Start غير صحيح",IF(NOT(OR($I1669="",$I1669="NR",$O1669&gt;0)),"✖ Current غير صحيح",IF(NOT(IF(ISNUMBER($J1669),AND($J1669&gt;=0,$J1669=INT($J1669)),FALSE())),"✖ العدد يجب أن يكون صحيحًا ≥ 0",IF(AND($F1669="Baseline",$H1669&lt;&gt;""),"⚠ Baseline: Start لا يدخل في التقدم",IF($K1669="No Start (attainment only)","ℹ تحصيل فقط (بدون Start)",IF($K1669="U – needs rule","ℹ حالة U تحتاج قاعدة معتمدة",IF($K1669="No result","ℹ بدون نتيجة (يُستبعد من التحصيل)","OK")))))))))))</f>
        <v/>
      </c>
      <c r="M1669" s="64" t="n">
        <f aca="false">IF($A1669="",0,IFERROR(MATCH($A1669,Classes!$A$6:$A$420,0),0))</f>
        <v>0</v>
      </c>
      <c r="N1669" s="64" t="n">
        <f aca="false">IF($H1669="",0,IFERROR(MATCH($H1669,GradeList,0),0))</f>
        <v>0</v>
      </c>
      <c r="O1669" s="64" t="n">
        <f aca="false">IF(OR($I1669="",$I1669="NR"),0,IFERROR(MATCH($I1669,GradeList,0),0))</f>
        <v>0</v>
      </c>
      <c r="P1669" s="64" t="n">
        <f aca="false">IF(AND($M1669&gt;0,ISNUMBER(MATCH($F1669,Lists!$A$2:$A$5,0)),ISNUMBER(MATCH($G1669,Lists!$B$2:$B$7,0)),OR($H1669="",$N1669&gt;0),OR($I1669="",$I1669="NR",$O1669&gt;0),IF(ISNUMBER($J1669),AND($J1669&gt;=0,$J1669=INT($J1669)),FALSE())),$J1669,0)</f>
        <v>0</v>
      </c>
      <c r="Q1669" s="64" t="n">
        <f aca="false">IF(AND($P1669&gt;0,$O1669&gt;0),$P1669,0)</f>
        <v>0</v>
      </c>
      <c r="R1669" s="64" t="n">
        <f aca="false">IF(AND($Q1669&gt;0,$O1669&gt;=AtRank),$Q1669,0)</f>
        <v>0</v>
      </c>
      <c r="S1669" s="64" t="n">
        <f aca="false">IF(AND($Q1669&gt;0,$O1669&gt;=AboveRank),$Q1669,0)</f>
        <v>0</v>
      </c>
      <c r="T1669" s="64" t="n">
        <f aca="false">IF($K1669="Less",$P1669,0)</f>
        <v>0</v>
      </c>
      <c r="U1669" s="64" t="n">
        <f aca="false">IF($K1669="Expected",$P1669,0)</f>
        <v>0</v>
      </c>
      <c r="V1669" s="64" t="n">
        <f aca="false">IF($K1669="Better",$P1669,0)</f>
        <v>0</v>
      </c>
      <c r="W1669" s="64" t="n">
        <f aca="false">IF($K1669="U – needs rule",$P1669,0)</f>
        <v>0</v>
      </c>
      <c r="X1669" s="64" t="n">
        <f aca="false">IF($K1669="No Start (attainment only)",$P1669,0)</f>
        <v>0</v>
      </c>
    </row>
    <row r="1670" customFormat="false" ht="15" hidden="false" customHeight="false" outlineLevel="0" collapsed="false">
      <c r="A1670" s="60"/>
      <c r="B1670" s="61" t="str">
        <f aca="false">IF($M1670=0,"",INDEX(Classes!$E$6:$E$420,$M1670))</f>
        <v/>
      </c>
      <c r="C1670" s="62" t="str">
        <f aca="false">IF($M1670=0,"",INDEX(Classes!$H$6:$H$420,$M1670))</f>
        <v/>
      </c>
      <c r="D1670" s="61" t="str">
        <f aca="false">IF($M1670=0,"",INDEX(Classes!$B$6:$B$420,$M1670))</f>
        <v/>
      </c>
      <c r="E1670" s="61" t="str">
        <f aca="false">IF($M1670=0,"",INDEX(Classes!$C$6:$C$420,$M1670))</f>
        <v/>
      </c>
      <c r="F1670" s="63"/>
      <c r="G1670" s="63"/>
      <c r="H1670" s="60"/>
      <c r="I1670" s="60"/>
      <c r="J1670" s="63"/>
      <c r="K1670" s="61" t="str">
        <f aca="false">IF($P1670=0,"",IF($F1670="Baseline","— Baseline",IF($O1670=0,"No result",IF($N1670=0,"No Start (attainment only)",IF(OR($N1670=1,$O1670=1),"U – needs rule",INDEX(MxBody,MATCH($I1670,MxCurr,0),MATCH($H1670,MxStart,0)))))))</f>
        <v/>
      </c>
      <c r="L1670" s="62" t="str">
        <f aca="false">IF(COUNTA($A1670,$F1670,$G1670,$H1670,$I1670,$J1670)=0,"",IF($M1670=0,"✖ كود الصف غير موجود",IF(ISNA(MATCH($F1670,Lists!$A$2:$A$5,0)),"✖ الفترة غير صحيحة",IF(ISNA(MATCH($G1670,Lists!$B$2:$B$7,0)),"✖ المجموعة غير صحيحة",IF(NOT(OR($H1670="",$N1670&gt;0)),"✖ Start غير صحيح",IF(NOT(OR($I1670="",$I1670="NR",$O1670&gt;0)),"✖ Current غير صحيح",IF(NOT(IF(ISNUMBER($J1670),AND($J1670&gt;=0,$J1670=INT($J1670)),FALSE())),"✖ العدد يجب أن يكون صحيحًا ≥ 0",IF(AND($F1670="Baseline",$H1670&lt;&gt;""),"⚠ Baseline: Start لا يدخل في التقدم",IF($K1670="No Start (attainment only)","ℹ تحصيل فقط (بدون Start)",IF($K1670="U – needs rule","ℹ حالة U تحتاج قاعدة معتمدة",IF($K1670="No result","ℹ بدون نتيجة (يُستبعد من التحصيل)","OK")))))))))))</f>
        <v/>
      </c>
      <c r="M1670" s="64" t="n">
        <f aca="false">IF($A1670="",0,IFERROR(MATCH($A1670,Classes!$A$6:$A$420,0),0))</f>
        <v>0</v>
      </c>
      <c r="N1670" s="64" t="n">
        <f aca="false">IF($H1670="",0,IFERROR(MATCH($H1670,GradeList,0),0))</f>
        <v>0</v>
      </c>
      <c r="O1670" s="64" t="n">
        <f aca="false">IF(OR($I1670="",$I1670="NR"),0,IFERROR(MATCH($I1670,GradeList,0),0))</f>
        <v>0</v>
      </c>
      <c r="P1670" s="64" t="n">
        <f aca="false">IF(AND($M1670&gt;0,ISNUMBER(MATCH($F1670,Lists!$A$2:$A$5,0)),ISNUMBER(MATCH($G1670,Lists!$B$2:$B$7,0)),OR($H1670="",$N1670&gt;0),OR($I1670="",$I1670="NR",$O1670&gt;0),IF(ISNUMBER($J1670),AND($J1670&gt;=0,$J1670=INT($J1670)),FALSE())),$J1670,0)</f>
        <v>0</v>
      </c>
      <c r="Q1670" s="64" t="n">
        <f aca="false">IF(AND($P1670&gt;0,$O1670&gt;0),$P1670,0)</f>
        <v>0</v>
      </c>
      <c r="R1670" s="64" t="n">
        <f aca="false">IF(AND($Q1670&gt;0,$O1670&gt;=AtRank),$Q1670,0)</f>
        <v>0</v>
      </c>
      <c r="S1670" s="64" t="n">
        <f aca="false">IF(AND($Q1670&gt;0,$O1670&gt;=AboveRank),$Q1670,0)</f>
        <v>0</v>
      </c>
      <c r="T1670" s="64" t="n">
        <f aca="false">IF($K1670="Less",$P1670,0)</f>
        <v>0</v>
      </c>
      <c r="U1670" s="64" t="n">
        <f aca="false">IF($K1670="Expected",$P1670,0)</f>
        <v>0</v>
      </c>
      <c r="V1670" s="64" t="n">
        <f aca="false">IF($K1670="Better",$P1670,0)</f>
        <v>0</v>
      </c>
      <c r="W1670" s="64" t="n">
        <f aca="false">IF($K1670="U – needs rule",$P1670,0)</f>
        <v>0</v>
      </c>
      <c r="X1670" s="64" t="n">
        <f aca="false">IF($K1670="No Start (attainment only)",$P1670,0)</f>
        <v>0</v>
      </c>
    </row>
    <row r="1671" customFormat="false" ht="15" hidden="false" customHeight="false" outlineLevel="0" collapsed="false">
      <c r="A1671" s="60"/>
      <c r="B1671" s="61" t="str">
        <f aca="false">IF($M1671=0,"",INDEX(Classes!$E$6:$E$420,$M1671))</f>
        <v/>
      </c>
      <c r="C1671" s="62" t="str">
        <f aca="false">IF($M1671=0,"",INDEX(Classes!$H$6:$H$420,$M1671))</f>
        <v/>
      </c>
      <c r="D1671" s="61" t="str">
        <f aca="false">IF($M1671=0,"",INDEX(Classes!$B$6:$B$420,$M1671))</f>
        <v/>
      </c>
      <c r="E1671" s="61" t="str">
        <f aca="false">IF($M1671=0,"",INDEX(Classes!$C$6:$C$420,$M1671))</f>
        <v/>
      </c>
      <c r="F1671" s="63"/>
      <c r="G1671" s="63"/>
      <c r="H1671" s="60"/>
      <c r="I1671" s="60"/>
      <c r="J1671" s="63"/>
      <c r="K1671" s="61" t="str">
        <f aca="false">IF($P1671=0,"",IF($F1671="Baseline","— Baseline",IF($O1671=0,"No result",IF($N1671=0,"No Start (attainment only)",IF(OR($N1671=1,$O1671=1),"U – needs rule",INDEX(MxBody,MATCH($I1671,MxCurr,0),MATCH($H1671,MxStart,0)))))))</f>
        <v/>
      </c>
      <c r="L1671" s="62" t="str">
        <f aca="false">IF(COUNTA($A1671,$F1671,$G1671,$H1671,$I1671,$J1671)=0,"",IF($M1671=0,"✖ كود الصف غير موجود",IF(ISNA(MATCH($F1671,Lists!$A$2:$A$5,0)),"✖ الفترة غير صحيحة",IF(ISNA(MATCH($G1671,Lists!$B$2:$B$7,0)),"✖ المجموعة غير صحيحة",IF(NOT(OR($H1671="",$N1671&gt;0)),"✖ Start غير صحيح",IF(NOT(OR($I1671="",$I1671="NR",$O1671&gt;0)),"✖ Current غير صحيح",IF(NOT(IF(ISNUMBER($J1671),AND($J1671&gt;=0,$J1671=INT($J1671)),FALSE())),"✖ العدد يجب أن يكون صحيحًا ≥ 0",IF(AND($F1671="Baseline",$H1671&lt;&gt;""),"⚠ Baseline: Start لا يدخل في التقدم",IF($K1671="No Start (attainment only)","ℹ تحصيل فقط (بدون Start)",IF($K1671="U – needs rule","ℹ حالة U تحتاج قاعدة معتمدة",IF($K1671="No result","ℹ بدون نتيجة (يُستبعد من التحصيل)","OK")))))))))))</f>
        <v/>
      </c>
      <c r="M1671" s="64" t="n">
        <f aca="false">IF($A1671="",0,IFERROR(MATCH($A1671,Classes!$A$6:$A$420,0),0))</f>
        <v>0</v>
      </c>
      <c r="N1671" s="64" t="n">
        <f aca="false">IF($H1671="",0,IFERROR(MATCH($H1671,GradeList,0),0))</f>
        <v>0</v>
      </c>
      <c r="O1671" s="64" t="n">
        <f aca="false">IF(OR($I1671="",$I1671="NR"),0,IFERROR(MATCH($I1671,GradeList,0),0))</f>
        <v>0</v>
      </c>
      <c r="P1671" s="64" t="n">
        <f aca="false">IF(AND($M1671&gt;0,ISNUMBER(MATCH($F1671,Lists!$A$2:$A$5,0)),ISNUMBER(MATCH($G1671,Lists!$B$2:$B$7,0)),OR($H1671="",$N1671&gt;0),OR($I1671="",$I1671="NR",$O1671&gt;0),IF(ISNUMBER($J1671),AND($J1671&gt;=0,$J1671=INT($J1671)),FALSE())),$J1671,0)</f>
        <v>0</v>
      </c>
      <c r="Q1671" s="64" t="n">
        <f aca="false">IF(AND($P1671&gt;0,$O1671&gt;0),$P1671,0)</f>
        <v>0</v>
      </c>
      <c r="R1671" s="64" t="n">
        <f aca="false">IF(AND($Q1671&gt;0,$O1671&gt;=AtRank),$Q1671,0)</f>
        <v>0</v>
      </c>
      <c r="S1671" s="64" t="n">
        <f aca="false">IF(AND($Q1671&gt;0,$O1671&gt;=AboveRank),$Q1671,0)</f>
        <v>0</v>
      </c>
      <c r="T1671" s="64" t="n">
        <f aca="false">IF($K1671="Less",$P1671,0)</f>
        <v>0</v>
      </c>
      <c r="U1671" s="64" t="n">
        <f aca="false">IF($K1671="Expected",$P1671,0)</f>
        <v>0</v>
      </c>
      <c r="V1671" s="64" t="n">
        <f aca="false">IF($K1671="Better",$P1671,0)</f>
        <v>0</v>
      </c>
      <c r="W1671" s="64" t="n">
        <f aca="false">IF($K1671="U – needs rule",$P1671,0)</f>
        <v>0</v>
      </c>
      <c r="X1671" s="64" t="n">
        <f aca="false">IF($K1671="No Start (attainment only)",$P1671,0)</f>
        <v>0</v>
      </c>
    </row>
    <row r="1672" customFormat="false" ht="15" hidden="false" customHeight="false" outlineLevel="0" collapsed="false">
      <c r="A1672" s="60"/>
      <c r="B1672" s="61" t="str">
        <f aca="false">IF($M1672=0,"",INDEX(Classes!$E$6:$E$420,$M1672))</f>
        <v/>
      </c>
      <c r="C1672" s="62" t="str">
        <f aca="false">IF($M1672=0,"",INDEX(Classes!$H$6:$H$420,$M1672))</f>
        <v/>
      </c>
      <c r="D1672" s="61" t="str">
        <f aca="false">IF($M1672=0,"",INDEX(Classes!$B$6:$B$420,$M1672))</f>
        <v/>
      </c>
      <c r="E1672" s="61" t="str">
        <f aca="false">IF($M1672=0,"",INDEX(Classes!$C$6:$C$420,$M1672))</f>
        <v/>
      </c>
      <c r="F1672" s="63"/>
      <c r="G1672" s="63"/>
      <c r="H1672" s="60"/>
      <c r="I1672" s="60"/>
      <c r="J1672" s="63"/>
      <c r="K1672" s="61" t="str">
        <f aca="false">IF($P1672=0,"",IF($F1672="Baseline","— Baseline",IF($O1672=0,"No result",IF($N1672=0,"No Start (attainment only)",IF(OR($N1672=1,$O1672=1),"U – needs rule",INDEX(MxBody,MATCH($I1672,MxCurr,0),MATCH($H1672,MxStart,0)))))))</f>
        <v/>
      </c>
      <c r="L1672" s="62" t="str">
        <f aca="false">IF(COUNTA($A1672,$F1672,$G1672,$H1672,$I1672,$J1672)=0,"",IF($M1672=0,"✖ كود الصف غير موجود",IF(ISNA(MATCH($F1672,Lists!$A$2:$A$5,0)),"✖ الفترة غير صحيحة",IF(ISNA(MATCH($G1672,Lists!$B$2:$B$7,0)),"✖ المجموعة غير صحيحة",IF(NOT(OR($H1672="",$N1672&gt;0)),"✖ Start غير صحيح",IF(NOT(OR($I1672="",$I1672="NR",$O1672&gt;0)),"✖ Current غير صحيح",IF(NOT(IF(ISNUMBER($J1672),AND($J1672&gt;=0,$J1672=INT($J1672)),FALSE())),"✖ العدد يجب أن يكون صحيحًا ≥ 0",IF(AND($F1672="Baseline",$H1672&lt;&gt;""),"⚠ Baseline: Start لا يدخل في التقدم",IF($K1672="No Start (attainment only)","ℹ تحصيل فقط (بدون Start)",IF($K1672="U – needs rule","ℹ حالة U تحتاج قاعدة معتمدة",IF($K1672="No result","ℹ بدون نتيجة (يُستبعد من التحصيل)","OK")))))))))))</f>
        <v/>
      </c>
      <c r="M1672" s="64" t="n">
        <f aca="false">IF($A1672="",0,IFERROR(MATCH($A1672,Classes!$A$6:$A$420,0),0))</f>
        <v>0</v>
      </c>
      <c r="N1672" s="64" t="n">
        <f aca="false">IF($H1672="",0,IFERROR(MATCH($H1672,GradeList,0),0))</f>
        <v>0</v>
      </c>
      <c r="O1672" s="64" t="n">
        <f aca="false">IF(OR($I1672="",$I1672="NR"),0,IFERROR(MATCH($I1672,GradeList,0),0))</f>
        <v>0</v>
      </c>
      <c r="P1672" s="64" t="n">
        <f aca="false">IF(AND($M1672&gt;0,ISNUMBER(MATCH($F1672,Lists!$A$2:$A$5,0)),ISNUMBER(MATCH($G1672,Lists!$B$2:$B$7,0)),OR($H1672="",$N1672&gt;0),OR($I1672="",$I1672="NR",$O1672&gt;0),IF(ISNUMBER($J1672),AND($J1672&gt;=0,$J1672=INT($J1672)),FALSE())),$J1672,0)</f>
        <v>0</v>
      </c>
      <c r="Q1672" s="64" t="n">
        <f aca="false">IF(AND($P1672&gt;0,$O1672&gt;0),$P1672,0)</f>
        <v>0</v>
      </c>
      <c r="R1672" s="64" t="n">
        <f aca="false">IF(AND($Q1672&gt;0,$O1672&gt;=AtRank),$Q1672,0)</f>
        <v>0</v>
      </c>
      <c r="S1672" s="64" t="n">
        <f aca="false">IF(AND($Q1672&gt;0,$O1672&gt;=AboveRank),$Q1672,0)</f>
        <v>0</v>
      </c>
      <c r="T1672" s="64" t="n">
        <f aca="false">IF($K1672="Less",$P1672,0)</f>
        <v>0</v>
      </c>
      <c r="U1672" s="64" t="n">
        <f aca="false">IF($K1672="Expected",$P1672,0)</f>
        <v>0</v>
      </c>
      <c r="V1672" s="64" t="n">
        <f aca="false">IF($K1672="Better",$P1672,0)</f>
        <v>0</v>
      </c>
      <c r="W1672" s="64" t="n">
        <f aca="false">IF($K1672="U – needs rule",$P1672,0)</f>
        <v>0</v>
      </c>
      <c r="X1672" s="64" t="n">
        <f aca="false">IF($K1672="No Start (attainment only)",$P1672,0)</f>
        <v>0</v>
      </c>
    </row>
    <row r="1673" customFormat="false" ht="15" hidden="false" customHeight="false" outlineLevel="0" collapsed="false">
      <c r="A1673" s="60"/>
      <c r="B1673" s="61" t="str">
        <f aca="false">IF($M1673=0,"",INDEX(Classes!$E$6:$E$420,$M1673))</f>
        <v/>
      </c>
      <c r="C1673" s="62" t="str">
        <f aca="false">IF($M1673=0,"",INDEX(Classes!$H$6:$H$420,$M1673))</f>
        <v/>
      </c>
      <c r="D1673" s="61" t="str">
        <f aca="false">IF($M1673=0,"",INDEX(Classes!$B$6:$B$420,$M1673))</f>
        <v/>
      </c>
      <c r="E1673" s="61" t="str">
        <f aca="false">IF($M1673=0,"",INDEX(Classes!$C$6:$C$420,$M1673))</f>
        <v/>
      </c>
      <c r="F1673" s="63"/>
      <c r="G1673" s="63"/>
      <c r="H1673" s="60"/>
      <c r="I1673" s="60"/>
      <c r="J1673" s="63"/>
      <c r="K1673" s="61" t="str">
        <f aca="false">IF($P1673=0,"",IF($F1673="Baseline","— Baseline",IF($O1673=0,"No result",IF($N1673=0,"No Start (attainment only)",IF(OR($N1673=1,$O1673=1),"U – needs rule",INDEX(MxBody,MATCH($I1673,MxCurr,0),MATCH($H1673,MxStart,0)))))))</f>
        <v/>
      </c>
      <c r="L1673" s="62" t="str">
        <f aca="false">IF(COUNTA($A1673,$F1673,$G1673,$H1673,$I1673,$J1673)=0,"",IF($M1673=0,"✖ كود الصف غير موجود",IF(ISNA(MATCH($F1673,Lists!$A$2:$A$5,0)),"✖ الفترة غير صحيحة",IF(ISNA(MATCH($G1673,Lists!$B$2:$B$7,0)),"✖ المجموعة غير صحيحة",IF(NOT(OR($H1673="",$N1673&gt;0)),"✖ Start غير صحيح",IF(NOT(OR($I1673="",$I1673="NR",$O1673&gt;0)),"✖ Current غير صحيح",IF(NOT(IF(ISNUMBER($J1673),AND($J1673&gt;=0,$J1673=INT($J1673)),FALSE())),"✖ العدد يجب أن يكون صحيحًا ≥ 0",IF(AND($F1673="Baseline",$H1673&lt;&gt;""),"⚠ Baseline: Start لا يدخل في التقدم",IF($K1673="No Start (attainment only)","ℹ تحصيل فقط (بدون Start)",IF($K1673="U – needs rule","ℹ حالة U تحتاج قاعدة معتمدة",IF($K1673="No result","ℹ بدون نتيجة (يُستبعد من التحصيل)","OK")))))))))))</f>
        <v/>
      </c>
      <c r="M1673" s="64" t="n">
        <f aca="false">IF($A1673="",0,IFERROR(MATCH($A1673,Classes!$A$6:$A$420,0),0))</f>
        <v>0</v>
      </c>
      <c r="N1673" s="64" t="n">
        <f aca="false">IF($H1673="",0,IFERROR(MATCH($H1673,GradeList,0),0))</f>
        <v>0</v>
      </c>
      <c r="O1673" s="64" t="n">
        <f aca="false">IF(OR($I1673="",$I1673="NR"),0,IFERROR(MATCH($I1673,GradeList,0),0))</f>
        <v>0</v>
      </c>
      <c r="P1673" s="64" t="n">
        <f aca="false">IF(AND($M1673&gt;0,ISNUMBER(MATCH($F1673,Lists!$A$2:$A$5,0)),ISNUMBER(MATCH($G1673,Lists!$B$2:$B$7,0)),OR($H1673="",$N1673&gt;0),OR($I1673="",$I1673="NR",$O1673&gt;0),IF(ISNUMBER($J1673),AND($J1673&gt;=0,$J1673=INT($J1673)),FALSE())),$J1673,0)</f>
        <v>0</v>
      </c>
      <c r="Q1673" s="64" t="n">
        <f aca="false">IF(AND($P1673&gt;0,$O1673&gt;0),$P1673,0)</f>
        <v>0</v>
      </c>
      <c r="R1673" s="64" t="n">
        <f aca="false">IF(AND($Q1673&gt;0,$O1673&gt;=AtRank),$Q1673,0)</f>
        <v>0</v>
      </c>
      <c r="S1673" s="64" t="n">
        <f aca="false">IF(AND($Q1673&gt;0,$O1673&gt;=AboveRank),$Q1673,0)</f>
        <v>0</v>
      </c>
      <c r="T1673" s="64" t="n">
        <f aca="false">IF($K1673="Less",$P1673,0)</f>
        <v>0</v>
      </c>
      <c r="U1673" s="64" t="n">
        <f aca="false">IF($K1673="Expected",$P1673,0)</f>
        <v>0</v>
      </c>
      <c r="V1673" s="64" t="n">
        <f aca="false">IF($K1673="Better",$P1673,0)</f>
        <v>0</v>
      </c>
      <c r="W1673" s="64" t="n">
        <f aca="false">IF($K1673="U – needs rule",$P1673,0)</f>
        <v>0</v>
      </c>
      <c r="X1673" s="64" t="n">
        <f aca="false">IF($K1673="No Start (attainment only)",$P1673,0)</f>
        <v>0</v>
      </c>
    </row>
    <row r="1674" customFormat="false" ht="15" hidden="false" customHeight="false" outlineLevel="0" collapsed="false">
      <c r="A1674" s="60"/>
      <c r="B1674" s="61" t="str">
        <f aca="false">IF($M1674=0,"",INDEX(Classes!$E$6:$E$420,$M1674))</f>
        <v/>
      </c>
      <c r="C1674" s="62" t="str">
        <f aca="false">IF($M1674=0,"",INDEX(Classes!$H$6:$H$420,$M1674))</f>
        <v/>
      </c>
      <c r="D1674" s="61" t="str">
        <f aca="false">IF($M1674=0,"",INDEX(Classes!$B$6:$B$420,$M1674))</f>
        <v/>
      </c>
      <c r="E1674" s="61" t="str">
        <f aca="false">IF($M1674=0,"",INDEX(Classes!$C$6:$C$420,$M1674))</f>
        <v/>
      </c>
      <c r="F1674" s="63"/>
      <c r="G1674" s="63"/>
      <c r="H1674" s="60"/>
      <c r="I1674" s="60"/>
      <c r="J1674" s="63"/>
      <c r="K1674" s="61" t="str">
        <f aca="false">IF($P1674=0,"",IF($F1674="Baseline","— Baseline",IF($O1674=0,"No result",IF($N1674=0,"No Start (attainment only)",IF(OR($N1674=1,$O1674=1),"U – needs rule",INDEX(MxBody,MATCH($I1674,MxCurr,0),MATCH($H1674,MxStart,0)))))))</f>
        <v/>
      </c>
      <c r="L1674" s="62" t="str">
        <f aca="false">IF(COUNTA($A1674,$F1674,$G1674,$H1674,$I1674,$J1674)=0,"",IF($M1674=0,"✖ كود الصف غير موجود",IF(ISNA(MATCH($F1674,Lists!$A$2:$A$5,0)),"✖ الفترة غير صحيحة",IF(ISNA(MATCH($G1674,Lists!$B$2:$B$7,0)),"✖ المجموعة غير صحيحة",IF(NOT(OR($H1674="",$N1674&gt;0)),"✖ Start غير صحيح",IF(NOT(OR($I1674="",$I1674="NR",$O1674&gt;0)),"✖ Current غير صحيح",IF(NOT(IF(ISNUMBER($J1674),AND($J1674&gt;=0,$J1674=INT($J1674)),FALSE())),"✖ العدد يجب أن يكون صحيحًا ≥ 0",IF(AND($F1674="Baseline",$H1674&lt;&gt;""),"⚠ Baseline: Start لا يدخل في التقدم",IF($K1674="No Start (attainment only)","ℹ تحصيل فقط (بدون Start)",IF($K1674="U – needs rule","ℹ حالة U تحتاج قاعدة معتمدة",IF($K1674="No result","ℹ بدون نتيجة (يُستبعد من التحصيل)","OK")))))))))))</f>
        <v/>
      </c>
      <c r="M1674" s="64" t="n">
        <f aca="false">IF($A1674="",0,IFERROR(MATCH($A1674,Classes!$A$6:$A$420,0),0))</f>
        <v>0</v>
      </c>
      <c r="N1674" s="64" t="n">
        <f aca="false">IF($H1674="",0,IFERROR(MATCH($H1674,GradeList,0),0))</f>
        <v>0</v>
      </c>
      <c r="O1674" s="64" t="n">
        <f aca="false">IF(OR($I1674="",$I1674="NR"),0,IFERROR(MATCH($I1674,GradeList,0),0))</f>
        <v>0</v>
      </c>
      <c r="P1674" s="64" t="n">
        <f aca="false">IF(AND($M1674&gt;0,ISNUMBER(MATCH($F1674,Lists!$A$2:$A$5,0)),ISNUMBER(MATCH($G1674,Lists!$B$2:$B$7,0)),OR($H1674="",$N1674&gt;0),OR($I1674="",$I1674="NR",$O1674&gt;0),IF(ISNUMBER($J1674),AND($J1674&gt;=0,$J1674=INT($J1674)),FALSE())),$J1674,0)</f>
        <v>0</v>
      </c>
      <c r="Q1674" s="64" t="n">
        <f aca="false">IF(AND($P1674&gt;0,$O1674&gt;0),$P1674,0)</f>
        <v>0</v>
      </c>
      <c r="R1674" s="64" t="n">
        <f aca="false">IF(AND($Q1674&gt;0,$O1674&gt;=AtRank),$Q1674,0)</f>
        <v>0</v>
      </c>
      <c r="S1674" s="64" t="n">
        <f aca="false">IF(AND($Q1674&gt;0,$O1674&gt;=AboveRank),$Q1674,0)</f>
        <v>0</v>
      </c>
      <c r="T1674" s="64" t="n">
        <f aca="false">IF($K1674="Less",$P1674,0)</f>
        <v>0</v>
      </c>
      <c r="U1674" s="64" t="n">
        <f aca="false">IF($K1674="Expected",$P1674,0)</f>
        <v>0</v>
      </c>
      <c r="V1674" s="64" t="n">
        <f aca="false">IF($K1674="Better",$P1674,0)</f>
        <v>0</v>
      </c>
      <c r="W1674" s="64" t="n">
        <f aca="false">IF($K1674="U – needs rule",$P1674,0)</f>
        <v>0</v>
      </c>
      <c r="X1674" s="64" t="n">
        <f aca="false">IF($K1674="No Start (attainment only)",$P1674,0)</f>
        <v>0</v>
      </c>
    </row>
    <row r="1675" customFormat="false" ht="15" hidden="false" customHeight="false" outlineLevel="0" collapsed="false">
      <c r="A1675" s="60"/>
      <c r="B1675" s="61" t="str">
        <f aca="false">IF($M1675=0,"",INDEX(Classes!$E$6:$E$420,$M1675))</f>
        <v/>
      </c>
      <c r="C1675" s="62" t="str">
        <f aca="false">IF($M1675=0,"",INDEX(Classes!$H$6:$H$420,$M1675))</f>
        <v/>
      </c>
      <c r="D1675" s="61" t="str">
        <f aca="false">IF($M1675=0,"",INDEX(Classes!$B$6:$B$420,$M1675))</f>
        <v/>
      </c>
      <c r="E1675" s="61" t="str">
        <f aca="false">IF($M1675=0,"",INDEX(Classes!$C$6:$C$420,$M1675))</f>
        <v/>
      </c>
      <c r="F1675" s="63"/>
      <c r="G1675" s="63"/>
      <c r="H1675" s="60"/>
      <c r="I1675" s="60"/>
      <c r="J1675" s="63"/>
      <c r="K1675" s="61" t="str">
        <f aca="false">IF($P1675=0,"",IF($F1675="Baseline","— Baseline",IF($O1675=0,"No result",IF($N1675=0,"No Start (attainment only)",IF(OR($N1675=1,$O1675=1),"U – needs rule",INDEX(MxBody,MATCH($I1675,MxCurr,0),MATCH($H1675,MxStart,0)))))))</f>
        <v/>
      </c>
      <c r="L1675" s="62" t="str">
        <f aca="false">IF(COUNTA($A1675,$F1675,$G1675,$H1675,$I1675,$J1675)=0,"",IF($M1675=0,"✖ كود الصف غير موجود",IF(ISNA(MATCH($F1675,Lists!$A$2:$A$5,0)),"✖ الفترة غير صحيحة",IF(ISNA(MATCH($G1675,Lists!$B$2:$B$7,0)),"✖ المجموعة غير صحيحة",IF(NOT(OR($H1675="",$N1675&gt;0)),"✖ Start غير صحيح",IF(NOT(OR($I1675="",$I1675="NR",$O1675&gt;0)),"✖ Current غير صحيح",IF(NOT(IF(ISNUMBER($J1675),AND($J1675&gt;=0,$J1675=INT($J1675)),FALSE())),"✖ العدد يجب أن يكون صحيحًا ≥ 0",IF(AND($F1675="Baseline",$H1675&lt;&gt;""),"⚠ Baseline: Start لا يدخل في التقدم",IF($K1675="No Start (attainment only)","ℹ تحصيل فقط (بدون Start)",IF($K1675="U – needs rule","ℹ حالة U تحتاج قاعدة معتمدة",IF($K1675="No result","ℹ بدون نتيجة (يُستبعد من التحصيل)","OK")))))))))))</f>
        <v/>
      </c>
      <c r="M1675" s="64" t="n">
        <f aca="false">IF($A1675="",0,IFERROR(MATCH($A1675,Classes!$A$6:$A$420,0),0))</f>
        <v>0</v>
      </c>
      <c r="N1675" s="64" t="n">
        <f aca="false">IF($H1675="",0,IFERROR(MATCH($H1675,GradeList,0),0))</f>
        <v>0</v>
      </c>
      <c r="O1675" s="64" t="n">
        <f aca="false">IF(OR($I1675="",$I1675="NR"),0,IFERROR(MATCH($I1675,GradeList,0),0))</f>
        <v>0</v>
      </c>
      <c r="P1675" s="64" t="n">
        <f aca="false">IF(AND($M1675&gt;0,ISNUMBER(MATCH($F1675,Lists!$A$2:$A$5,0)),ISNUMBER(MATCH($G1675,Lists!$B$2:$B$7,0)),OR($H1675="",$N1675&gt;0),OR($I1675="",$I1675="NR",$O1675&gt;0),IF(ISNUMBER($J1675),AND($J1675&gt;=0,$J1675=INT($J1675)),FALSE())),$J1675,0)</f>
        <v>0</v>
      </c>
      <c r="Q1675" s="64" t="n">
        <f aca="false">IF(AND($P1675&gt;0,$O1675&gt;0),$P1675,0)</f>
        <v>0</v>
      </c>
      <c r="R1675" s="64" t="n">
        <f aca="false">IF(AND($Q1675&gt;0,$O1675&gt;=AtRank),$Q1675,0)</f>
        <v>0</v>
      </c>
      <c r="S1675" s="64" t="n">
        <f aca="false">IF(AND($Q1675&gt;0,$O1675&gt;=AboveRank),$Q1675,0)</f>
        <v>0</v>
      </c>
      <c r="T1675" s="64" t="n">
        <f aca="false">IF($K1675="Less",$P1675,0)</f>
        <v>0</v>
      </c>
      <c r="U1675" s="64" t="n">
        <f aca="false">IF($K1675="Expected",$P1675,0)</f>
        <v>0</v>
      </c>
      <c r="V1675" s="64" t="n">
        <f aca="false">IF($K1675="Better",$P1675,0)</f>
        <v>0</v>
      </c>
      <c r="W1675" s="64" t="n">
        <f aca="false">IF($K1675="U – needs rule",$P1675,0)</f>
        <v>0</v>
      </c>
      <c r="X1675" s="64" t="n">
        <f aca="false">IF($K1675="No Start (attainment only)",$P1675,0)</f>
        <v>0</v>
      </c>
    </row>
    <row r="1676" customFormat="false" ht="15" hidden="false" customHeight="false" outlineLevel="0" collapsed="false">
      <c r="A1676" s="60"/>
      <c r="B1676" s="61" t="str">
        <f aca="false">IF($M1676=0,"",INDEX(Classes!$E$6:$E$420,$M1676))</f>
        <v/>
      </c>
      <c r="C1676" s="62" t="str">
        <f aca="false">IF($M1676=0,"",INDEX(Classes!$H$6:$H$420,$M1676))</f>
        <v/>
      </c>
      <c r="D1676" s="61" t="str">
        <f aca="false">IF($M1676=0,"",INDEX(Classes!$B$6:$B$420,$M1676))</f>
        <v/>
      </c>
      <c r="E1676" s="61" t="str">
        <f aca="false">IF($M1676=0,"",INDEX(Classes!$C$6:$C$420,$M1676))</f>
        <v/>
      </c>
      <c r="F1676" s="63"/>
      <c r="G1676" s="63"/>
      <c r="H1676" s="60"/>
      <c r="I1676" s="60"/>
      <c r="J1676" s="63"/>
      <c r="K1676" s="61" t="str">
        <f aca="false">IF($P1676=0,"",IF($F1676="Baseline","— Baseline",IF($O1676=0,"No result",IF($N1676=0,"No Start (attainment only)",IF(OR($N1676=1,$O1676=1),"U – needs rule",INDEX(MxBody,MATCH($I1676,MxCurr,0),MATCH($H1676,MxStart,0)))))))</f>
        <v/>
      </c>
      <c r="L1676" s="62" t="str">
        <f aca="false">IF(COUNTA($A1676,$F1676,$G1676,$H1676,$I1676,$J1676)=0,"",IF($M1676=0,"✖ كود الصف غير موجود",IF(ISNA(MATCH($F1676,Lists!$A$2:$A$5,0)),"✖ الفترة غير صحيحة",IF(ISNA(MATCH($G1676,Lists!$B$2:$B$7,0)),"✖ المجموعة غير صحيحة",IF(NOT(OR($H1676="",$N1676&gt;0)),"✖ Start غير صحيح",IF(NOT(OR($I1676="",$I1676="NR",$O1676&gt;0)),"✖ Current غير صحيح",IF(NOT(IF(ISNUMBER($J1676),AND($J1676&gt;=0,$J1676=INT($J1676)),FALSE())),"✖ العدد يجب أن يكون صحيحًا ≥ 0",IF(AND($F1676="Baseline",$H1676&lt;&gt;""),"⚠ Baseline: Start لا يدخل في التقدم",IF($K1676="No Start (attainment only)","ℹ تحصيل فقط (بدون Start)",IF($K1676="U – needs rule","ℹ حالة U تحتاج قاعدة معتمدة",IF($K1676="No result","ℹ بدون نتيجة (يُستبعد من التحصيل)","OK")))))))))))</f>
        <v/>
      </c>
      <c r="M1676" s="64" t="n">
        <f aca="false">IF($A1676="",0,IFERROR(MATCH($A1676,Classes!$A$6:$A$420,0),0))</f>
        <v>0</v>
      </c>
      <c r="N1676" s="64" t="n">
        <f aca="false">IF($H1676="",0,IFERROR(MATCH($H1676,GradeList,0),0))</f>
        <v>0</v>
      </c>
      <c r="O1676" s="64" t="n">
        <f aca="false">IF(OR($I1676="",$I1676="NR"),0,IFERROR(MATCH($I1676,GradeList,0),0))</f>
        <v>0</v>
      </c>
      <c r="P1676" s="64" t="n">
        <f aca="false">IF(AND($M1676&gt;0,ISNUMBER(MATCH($F1676,Lists!$A$2:$A$5,0)),ISNUMBER(MATCH($G1676,Lists!$B$2:$B$7,0)),OR($H1676="",$N1676&gt;0),OR($I1676="",$I1676="NR",$O1676&gt;0),IF(ISNUMBER($J1676),AND($J1676&gt;=0,$J1676=INT($J1676)),FALSE())),$J1676,0)</f>
        <v>0</v>
      </c>
      <c r="Q1676" s="64" t="n">
        <f aca="false">IF(AND($P1676&gt;0,$O1676&gt;0),$P1676,0)</f>
        <v>0</v>
      </c>
      <c r="R1676" s="64" t="n">
        <f aca="false">IF(AND($Q1676&gt;0,$O1676&gt;=AtRank),$Q1676,0)</f>
        <v>0</v>
      </c>
      <c r="S1676" s="64" t="n">
        <f aca="false">IF(AND($Q1676&gt;0,$O1676&gt;=AboveRank),$Q1676,0)</f>
        <v>0</v>
      </c>
      <c r="T1676" s="64" t="n">
        <f aca="false">IF($K1676="Less",$P1676,0)</f>
        <v>0</v>
      </c>
      <c r="U1676" s="64" t="n">
        <f aca="false">IF($K1676="Expected",$P1676,0)</f>
        <v>0</v>
      </c>
      <c r="V1676" s="64" t="n">
        <f aca="false">IF($K1676="Better",$P1676,0)</f>
        <v>0</v>
      </c>
      <c r="W1676" s="64" t="n">
        <f aca="false">IF($K1676="U – needs rule",$P1676,0)</f>
        <v>0</v>
      </c>
      <c r="X1676" s="64" t="n">
        <f aca="false">IF($K1676="No Start (attainment only)",$P1676,0)</f>
        <v>0</v>
      </c>
    </row>
    <row r="1677" customFormat="false" ht="15" hidden="false" customHeight="false" outlineLevel="0" collapsed="false">
      <c r="A1677" s="60"/>
      <c r="B1677" s="61" t="str">
        <f aca="false">IF($M1677=0,"",INDEX(Classes!$E$6:$E$420,$M1677))</f>
        <v/>
      </c>
      <c r="C1677" s="62" t="str">
        <f aca="false">IF($M1677=0,"",INDEX(Classes!$H$6:$H$420,$M1677))</f>
        <v/>
      </c>
      <c r="D1677" s="61" t="str">
        <f aca="false">IF($M1677=0,"",INDEX(Classes!$B$6:$B$420,$M1677))</f>
        <v/>
      </c>
      <c r="E1677" s="61" t="str">
        <f aca="false">IF($M1677=0,"",INDEX(Classes!$C$6:$C$420,$M1677))</f>
        <v/>
      </c>
      <c r="F1677" s="63"/>
      <c r="G1677" s="63"/>
      <c r="H1677" s="60"/>
      <c r="I1677" s="60"/>
      <c r="J1677" s="63"/>
      <c r="K1677" s="61" t="str">
        <f aca="false">IF($P1677=0,"",IF($F1677="Baseline","— Baseline",IF($O1677=0,"No result",IF($N1677=0,"No Start (attainment only)",IF(OR($N1677=1,$O1677=1),"U – needs rule",INDEX(MxBody,MATCH($I1677,MxCurr,0),MATCH($H1677,MxStart,0)))))))</f>
        <v/>
      </c>
      <c r="L1677" s="62" t="str">
        <f aca="false">IF(COUNTA($A1677,$F1677,$G1677,$H1677,$I1677,$J1677)=0,"",IF($M1677=0,"✖ كود الصف غير موجود",IF(ISNA(MATCH($F1677,Lists!$A$2:$A$5,0)),"✖ الفترة غير صحيحة",IF(ISNA(MATCH($G1677,Lists!$B$2:$B$7,0)),"✖ المجموعة غير صحيحة",IF(NOT(OR($H1677="",$N1677&gt;0)),"✖ Start غير صحيح",IF(NOT(OR($I1677="",$I1677="NR",$O1677&gt;0)),"✖ Current غير صحيح",IF(NOT(IF(ISNUMBER($J1677),AND($J1677&gt;=0,$J1677=INT($J1677)),FALSE())),"✖ العدد يجب أن يكون صحيحًا ≥ 0",IF(AND($F1677="Baseline",$H1677&lt;&gt;""),"⚠ Baseline: Start لا يدخل في التقدم",IF($K1677="No Start (attainment only)","ℹ تحصيل فقط (بدون Start)",IF($K1677="U – needs rule","ℹ حالة U تحتاج قاعدة معتمدة",IF($K1677="No result","ℹ بدون نتيجة (يُستبعد من التحصيل)","OK")))))))))))</f>
        <v/>
      </c>
      <c r="M1677" s="64" t="n">
        <f aca="false">IF($A1677="",0,IFERROR(MATCH($A1677,Classes!$A$6:$A$420,0),0))</f>
        <v>0</v>
      </c>
      <c r="N1677" s="64" t="n">
        <f aca="false">IF($H1677="",0,IFERROR(MATCH($H1677,GradeList,0),0))</f>
        <v>0</v>
      </c>
      <c r="O1677" s="64" t="n">
        <f aca="false">IF(OR($I1677="",$I1677="NR"),0,IFERROR(MATCH($I1677,GradeList,0),0))</f>
        <v>0</v>
      </c>
      <c r="P1677" s="64" t="n">
        <f aca="false">IF(AND($M1677&gt;0,ISNUMBER(MATCH($F1677,Lists!$A$2:$A$5,0)),ISNUMBER(MATCH($G1677,Lists!$B$2:$B$7,0)),OR($H1677="",$N1677&gt;0),OR($I1677="",$I1677="NR",$O1677&gt;0),IF(ISNUMBER($J1677),AND($J1677&gt;=0,$J1677=INT($J1677)),FALSE())),$J1677,0)</f>
        <v>0</v>
      </c>
      <c r="Q1677" s="64" t="n">
        <f aca="false">IF(AND($P1677&gt;0,$O1677&gt;0),$P1677,0)</f>
        <v>0</v>
      </c>
      <c r="R1677" s="64" t="n">
        <f aca="false">IF(AND($Q1677&gt;0,$O1677&gt;=AtRank),$Q1677,0)</f>
        <v>0</v>
      </c>
      <c r="S1677" s="64" t="n">
        <f aca="false">IF(AND($Q1677&gt;0,$O1677&gt;=AboveRank),$Q1677,0)</f>
        <v>0</v>
      </c>
      <c r="T1677" s="64" t="n">
        <f aca="false">IF($K1677="Less",$P1677,0)</f>
        <v>0</v>
      </c>
      <c r="U1677" s="64" t="n">
        <f aca="false">IF($K1677="Expected",$P1677,0)</f>
        <v>0</v>
      </c>
      <c r="V1677" s="64" t="n">
        <f aca="false">IF($K1677="Better",$P1677,0)</f>
        <v>0</v>
      </c>
      <c r="W1677" s="64" t="n">
        <f aca="false">IF($K1677="U – needs rule",$P1677,0)</f>
        <v>0</v>
      </c>
      <c r="X1677" s="64" t="n">
        <f aca="false">IF($K1677="No Start (attainment only)",$P1677,0)</f>
        <v>0</v>
      </c>
    </row>
    <row r="1678" customFormat="false" ht="15" hidden="false" customHeight="false" outlineLevel="0" collapsed="false">
      <c r="A1678" s="60"/>
      <c r="B1678" s="61" t="str">
        <f aca="false">IF($M1678=0,"",INDEX(Classes!$E$6:$E$420,$M1678))</f>
        <v/>
      </c>
      <c r="C1678" s="62" t="str">
        <f aca="false">IF($M1678=0,"",INDEX(Classes!$H$6:$H$420,$M1678))</f>
        <v/>
      </c>
      <c r="D1678" s="61" t="str">
        <f aca="false">IF($M1678=0,"",INDEX(Classes!$B$6:$B$420,$M1678))</f>
        <v/>
      </c>
      <c r="E1678" s="61" t="str">
        <f aca="false">IF($M1678=0,"",INDEX(Classes!$C$6:$C$420,$M1678))</f>
        <v/>
      </c>
      <c r="F1678" s="63"/>
      <c r="G1678" s="63"/>
      <c r="H1678" s="60"/>
      <c r="I1678" s="60"/>
      <c r="J1678" s="63"/>
      <c r="K1678" s="61" t="str">
        <f aca="false">IF($P1678=0,"",IF($F1678="Baseline","— Baseline",IF($O1678=0,"No result",IF($N1678=0,"No Start (attainment only)",IF(OR($N1678=1,$O1678=1),"U – needs rule",INDEX(MxBody,MATCH($I1678,MxCurr,0),MATCH($H1678,MxStart,0)))))))</f>
        <v/>
      </c>
      <c r="L1678" s="62" t="str">
        <f aca="false">IF(COUNTA($A1678,$F1678,$G1678,$H1678,$I1678,$J1678)=0,"",IF($M1678=0,"✖ كود الصف غير موجود",IF(ISNA(MATCH($F1678,Lists!$A$2:$A$5,0)),"✖ الفترة غير صحيحة",IF(ISNA(MATCH($G1678,Lists!$B$2:$B$7,0)),"✖ المجموعة غير صحيحة",IF(NOT(OR($H1678="",$N1678&gt;0)),"✖ Start غير صحيح",IF(NOT(OR($I1678="",$I1678="NR",$O1678&gt;0)),"✖ Current غير صحيح",IF(NOT(IF(ISNUMBER($J1678),AND($J1678&gt;=0,$J1678=INT($J1678)),FALSE())),"✖ العدد يجب أن يكون صحيحًا ≥ 0",IF(AND($F1678="Baseline",$H1678&lt;&gt;""),"⚠ Baseline: Start لا يدخل في التقدم",IF($K1678="No Start (attainment only)","ℹ تحصيل فقط (بدون Start)",IF($K1678="U – needs rule","ℹ حالة U تحتاج قاعدة معتمدة",IF($K1678="No result","ℹ بدون نتيجة (يُستبعد من التحصيل)","OK")))))))))))</f>
        <v/>
      </c>
      <c r="M1678" s="64" t="n">
        <f aca="false">IF($A1678="",0,IFERROR(MATCH($A1678,Classes!$A$6:$A$420,0),0))</f>
        <v>0</v>
      </c>
      <c r="N1678" s="64" t="n">
        <f aca="false">IF($H1678="",0,IFERROR(MATCH($H1678,GradeList,0),0))</f>
        <v>0</v>
      </c>
      <c r="O1678" s="64" t="n">
        <f aca="false">IF(OR($I1678="",$I1678="NR"),0,IFERROR(MATCH($I1678,GradeList,0),0))</f>
        <v>0</v>
      </c>
      <c r="P1678" s="64" t="n">
        <f aca="false">IF(AND($M1678&gt;0,ISNUMBER(MATCH($F1678,Lists!$A$2:$A$5,0)),ISNUMBER(MATCH($G1678,Lists!$B$2:$B$7,0)),OR($H1678="",$N1678&gt;0),OR($I1678="",$I1678="NR",$O1678&gt;0),IF(ISNUMBER($J1678),AND($J1678&gt;=0,$J1678=INT($J1678)),FALSE())),$J1678,0)</f>
        <v>0</v>
      </c>
      <c r="Q1678" s="64" t="n">
        <f aca="false">IF(AND($P1678&gt;0,$O1678&gt;0),$P1678,0)</f>
        <v>0</v>
      </c>
      <c r="R1678" s="64" t="n">
        <f aca="false">IF(AND($Q1678&gt;0,$O1678&gt;=AtRank),$Q1678,0)</f>
        <v>0</v>
      </c>
      <c r="S1678" s="64" t="n">
        <f aca="false">IF(AND($Q1678&gt;0,$O1678&gt;=AboveRank),$Q1678,0)</f>
        <v>0</v>
      </c>
      <c r="T1678" s="64" t="n">
        <f aca="false">IF($K1678="Less",$P1678,0)</f>
        <v>0</v>
      </c>
      <c r="U1678" s="64" t="n">
        <f aca="false">IF($K1678="Expected",$P1678,0)</f>
        <v>0</v>
      </c>
      <c r="V1678" s="64" t="n">
        <f aca="false">IF($K1678="Better",$P1678,0)</f>
        <v>0</v>
      </c>
      <c r="W1678" s="64" t="n">
        <f aca="false">IF($K1678="U – needs rule",$P1678,0)</f>
        <v>0</v>
      </c>
      <c r="X1678" s="64" t="n">
        <f aca="false">IF($K1678="No Start (attainment only)",$P1678,0)</f>
        <v>0</v>
      </c>
    </row>
    <row r="1679" customFormat="false" ht="15" hidden="false" customHeight="false" outlineLevel="0" collapsed="false">
      <c r="A1679" s="60"/>
      <c r="B1679" s="61" t="str">
        <f aca="false">IF($M1679=0,"",INDEX(Classes!$E$6:$E$420,$M1679))</f>
        <v/>
      </c>
      <c r="C1679" s="62" t="str">
        <f aca="false">IF($M1679=0,"",INDEX(Classes!$H$6:$H$420,$M1679))</f>
        <v/>
      </c>
      <c r="D1679" s="61" t="str">
        <f aca="false">IF($M1679=0,"",INDEX(Classes!$B$6:$B$420,$M1679))</f>
        <v/>
      </c>
      <c r="E1679" s="61" t="str">
        <f aca="false">IF($M1679=0,"",INDEX(Classes!$C$6:$C$420,$M1679))</f>
        <v/>
      </c>
      <c r="F1679" s="63"/>
      <c r="G1679" s="63"/>
      <c r="H1679" s="60"/>
      <c r="I1679" s="60"/>
      <c r="J1679" s="63"/>
      <c r="K1679" s="61" t="str">
        <f aca="false">IF($P1679=0,"",IF($F1679="Baseline","— Baseline",IF($O1679=0,"No result",IF($N1679=0,"No Start (attainment only)",IF(OR($N1679=1,$O1679=1),"U – needs rule",INDEX(MxBody,MATCH($I1679,MxCurr,0),MATCH($H1679,MxStart,0)))))))</f>
        <v/>
      </c>
      <c r="L1679" s="62" t="str">
        <f aca="false">IF(COUNTA($A1679,$F1679,$G1679,$H1679,$I1679,$J1679)=0,"",IF($M1679=0,"✖ كود الصف غير موجود",IF(ISNA(MATCH($F1679,Lists!$A$2:$A$5,0)),"✖ الفترة غير صحيحة",IF(ISNA(MATCH($G1679,Lists!$B$2:$B$7,0)),"✖ المجموعة غير صحيحة",IF(NOT(OR($H1679="",$N1679&gt;0)),"✖ Start غير صحيح",IF(NOT(OR($I1679="",$I1679="NR",$O1679&gt;0)),"✖ Current غير صحيح",IF(NOT(IF(ISNUMBER($J1679),AND($J1679&gt;=0,$J1679=INT($J1679)),FALSE())),"✖ العدد يجب أن يكون صحيحًا ≥ 0",IF(AND($F1679="Baseline",$H1679&lt;&gt;""),"⚠ Baseline: Start لا يدخل في التقدم",IF($K1679="No Start (attainment only)","ℹ تحصيل فقط (بدون Start)",IF($K1679="U – needs rule","ℹ حالة U تحتاج قاعدة معتمدة",IF($K1679="No result","ℹ بدون نتيجة (يُستبعد من التحصيل)","OK")))))))))))</f>
        <v/>
      </c>
      <c r="M1679" s="64" t="n">
        <f aca="false">IF($A1679="",0,IFERROR(MATCH($A1679,Classes!$A$6:$A$420,0),0))</f>
        <v>0</v>
      </c>
      <c r="N1679" s="64" t="n">
        <f aca="false">IF($H1679="",0,IFERROR(MATCH($H1679,GradeList,0),0))</f>
        <v>0</v>
      </c>
      <c r="O1679" s="64" t="n">
        <f aca="false">IF(OR($I1679="",$I1679="NR"),0,IFERROR(MATCH($I1679,GradeList,0),0))</f>
        <v>0</v>
      </c>
      <c r="P1679" s="64" t="n">
        <f aca="false">IF(AND($M1679&gt;0,ISNUMBER(MATCH($F1679,Lists!$A$2:$A$5,0)),ISNUMBER(MATCH($G1679,Lists!$B$2:$B$7,0)),OR($H1679="",$N1679&gt;0),OR($I1679="",$I1679="NR",$O1679&gt;0),IF(ISNUMBER($J1679),AND($J1679&gt;=0,$J1679=INT($J1679)),FALSE())),$J1679,0)</f>
        <v>0</v>
      </c>
      <c r="Q1679" s="64" t="n">
        <f aca="false">IF(AND($P1679&gt;0,$O1679&gt;0),$P1679,0)</f>
        <v>0</v>
      </c>
      <c r="R1679" s="64" t="n">
        <f aca="false">IF(AND($Q1679&gt;0,$O1679&gt;=AtRank),$Q1679,0)</f>
        <v>0</v>
      </c>
      <c r="S1679" s="64" t="n">
        <f aca="false">IF(AND($Q1679&gt;0,$O1679&gt;=AboveRank),$Q1679,0)</f>
        <v>0</v>
      </c>
      <c r="T1679" s="64" t="n">
        <f aca="false">IF($K1679="Less",$P1679,0)</f>
        <v>0</v>
      </c>
      <c r="U1679" s="64" t="n">
        <f aca="false">IF($K1679="Expected",$P1679,0)</f>
        <v>0</v>
      </c>
      <c r="V1679" s="64" t="n">
        <f aca="false">IF($K1679="Better",$P1679,0)</f>
        <v>0</v>
      </c>
      <c r="W1679" s="64" t="n">
        <f aca="false">IF($K1679="U – needs rule",$P1679,0)</f>
        <v>0</v>
      </c>
      <c r="X1679" s="64" t="n">
        <f aca="false">IF($K1679="No Start (attainment only)",$P1679,0)</f>
        <v>0</v>
      </c>
    </row>
    <row r="1680" customFormat="false" ht="15" hidden="false" customHeight="false" outlineLevel="0" collapsed="false">
      <c r="A1680" s="60"/>
      <c r="B1680" s="61" t="str">
        <f aca="false">IF($M1680=0,"",INDEX(Classes!$E$6:$E$420,$M1680))</f>
        <v/>
      </c>
      <c r="C1680" s="62" t="str">
        <f aca="false">IF($M1680=0,"",INDEX(Classes!$H$6:$H$420,$M1680))</f>
        <v/>
      </c>
      <c r="D1680" s="61" t="str">
        <f aca="false">IF($M1680=0,"",INDEX(Classes!$B$6:$B$420,$M1680))</f>
        <v/>
      </c>
      <c r="E1680" s="61" t="str">
        <f aca="false">IF($M1680=0,"",INDEX(Classes!$C$6:$C$420,$M1680))</f>
        <v/>
      </c>
      <c r="F1680" s="63"/>
      <c r="G1680" s="63"/>
      <c r="H1680" s="60"/>
      <c r="I1680" s="60"/>
      <c r="J1680" s="63"/>
      <c r="K1680" s="61" t="str">
        <f aca="false">IF($P1680=0,"",IF($F1680="Baseline","— Baseline",IF($O1680=0,"No result",IF($N1680=0,"No Start (attainment only)",IF(OR($N1680=1,$O1680=1),"U – needs rule",INDEX(MxBody,MATCH($I1680,MxCurr,0),MATCH($H1680,MxStart,0)))))))</f>
        <v/>
      </c>
      <c r="L1680" s="62" t="str">
        <f aca="false">IF(COUNTA($A1680,$F1680,$G1680,$H1680,$I1680,$J1680)=0,"",IF($M1680=0,"✖ كود الصف غير موجود",IF(ISNA(MATCH($F1680,Lists!$A$2:$A$5,0)),"✖ الفترة غير صحيحة",IF(ISNA(MATCH($G1680,Lists!$B$2:$B$7,0)),"✖ المجموعة غير صحيحة",IF(NOT(OR($H1680="",$N1680&gt;0)),"✖ Start غير صحيح",IF(NOT(OR($I1680="",$I1680="NR",$O1680&gt;0)),"✖ Current غير صحيح",IF(NOT(IF(ISNUMBER($J1680),AND($J1680&gt;=0,$J1680=INT($J1680)),FALSE())),"✖ العدد يجب أن يكون صحيحًا ≥ 0",IF(AND($F1680="Baseline",$H1680&lt;&gt;""),"⚠ Baseline: Start لا يدخل في التقدم",IF($K1680="No Start (attainment only)","ℹ تحصيل فقط (بدون Start)",IF($K1680="U – needs rule","ℹ حالة U تحتاج قاعدة معتمدة",IF($K1680="No result","ℹ بدون نتيجة (يُستبعد من التحصيل)","OK")))))))))))</f>
        <v/>
      </c>
      <c r="M1680" s="64" t="n">
        <f aca="false">IF($A1680="",0,IFERROR(MATCH($A1680,Classes!$A$6:$A$420,0),0))</f>
        <v>0</v>
      </c>
      <c r="N1680" s="64" t="n">
        <f aca="false">IF($H1680="",0,IFERROR(MATCH($H1680,GradeList,0),0))</f>
        <v>0</v>
      </c>
      <c r="O1680" s="64" t="n">
        <f aca="false">IF(OR($I1680="",$I1680="NR"),0,IFERROR(MATCH($I1680,GradeList,0),0))</f>
        <v>0</v>
      </c>
      <c r="P1680" s="64" t="n">
        <f aca="false">IF(AND($M1680&gt;0,ISNUMBER(MATCH($F1680,Lists!$A$2:$A$5,0)),ISNUMBER(MATCH($G1680,Lists!$B$2:$B$7,0)),OR($H1680="",$N1680&gt;0),OR($I1680="",$I1680="NR",$O1680&gt;0),IF(ISNUMBER($J1680),AND($J1680&gt;=0,$J1680=INT($J1680)),FALSE())),$J1680,0)</f>
        <v>0</v>
      </c>
      <c r="Q1680" s="64" t="n">
        <f aca="false">IF(AND($P1680&gt;0,$O1680&gt;0),$P1680,0)</f>
        <v>0</v>
      </c>
      <c r="R1680" s="64" t="n">
        <f aca="false">IF(AND($Q1680&gt;0,$O1680&gt;=AtRank),$Q1680,0)</f>
        <v>0</v>
      </c>
      <c r="S1680" s="64" t="n">
        <f aca="false">IF(AND($Q1680&gt;0,$O1680&gt;=AboveRank),$Q1680,0)</f>
        <v>0</v>
      </c>
      <c r="T1680" s="64" t="n">
        <f aca="false">IF($K1680="Less",$P1680,0)</f>
        <v>0</v>
      </c>
      <c r="U1680" s="64" t="n">
        <f aca="false">IF($K1680="Expected",$P1680,0)</f>
        <v>0</v>
      </c>
      <c r="V1680" s="64" t="n">
        <f aca="false">IF($K1680="Better",$P1680,0)</f>
        <v>0</v>
      </c>
      <c r="W1680" s="64" t="n">
        <f aca="false">IF($K1680="U – needs rule",$P1680,0)</f>
        <v>0</v>
      </c>
      <c r="X1680" s="64" t="n">
        <f aca="false">IF($K1680="No Start (attainment only)",$P1680,0)</f>
        <v>0</v>
      </c>
    </row>
    <row r="1681" customFormat="false" ht="15" hidden="false" customHeight="false" outlineLevel="0" collapsed="false">
      <c r="A1681" s="60"/>
      <c r="B1681" s="61" t="str">
        <f aca="false">IF($M1681=0,"",INDEX(Classes!$E$6:$E$420,$M1681))</f>
        <v/>
      </c>
      <c r="C1681" s="62" t="str">
        <f aca="false">IF($M1681=0,"",INDEX(Classes!$H$6:$H$420,$M1681))</f>
        <v/>
      </c>
      <c r="D1681" s="61" t="str">
        <f aca="false">IF($M1681=0,"",INDEX(Classes!$B$6:$B$420,$M1681))</f>
        <v/>
      </c>
      <c r="E1681" s="61" t="str">
        <f aca="false">IF($M1681=0,"",INDEX(Classes!$C$6:$C$420,$M1681))</f>
        <v/>
      </c>
      <c r="F1681" s="63"/>
      <c r="G1681" s="63"/>
      <c r="H1681" s="60"/>
      <c r="I1681" s="60"/>
      <c r="J1681" s="63"/>
      <c r="K1681" s="61" t="str">
        <f aca="false">IF($P1681=0,"",IF($F1681="Baseline","— Baseline",IF($O1681=0,"No result",IF($N1681=0,"No Start (attainment only)",IF(OR($N1681=1,$O1681=1),"U – needs rule",INDEX(MxBody,MATCH($I1681,MxCurr,0),MATCH($H1681,MxStart,0)))))))</f>
        <v/>
      </c>
      <c r="L1681" s="62" t="str">
        <f aca="false">IF(COUNTA($A1681,$F1681,$G1681,$H1681,$I1681,$J1681)=0,"",IF($M1681=0,"✖ كود الصف غير موجود",IF(ISNA(MATCH($F1681,Lists!$A$2:$A$5,0)),"✖ الفترة غير صحيحة",IF(ISNA(MATCH($G1681,Lists!$B$2:$B$7,0)),"✖ المجموعة غير صحيحة",IF(NOT(OR($H1681="",$N1681&gt;0)),"✖ Start غير صحيح",IF(NOT(OR($I1681="",$I1681="NR",$O1681&gt;0)),"✖ Current غير صحيح",IF(NOT(IF(ISNUMBER($J1681),AND($J1681&gt;=0,$J1681=INT($J1681)),FALSE())),"✖ العدد يجب أن يكون صحيحًا ≥ 0",IF(AND($F1681="Baseline",$H1681&lt;&gt;""),"⚠ Baseline: Start لا يدخل في التقدم",IF($K1681="No Start (attainment only)","ℹ تحصيل فقط (بدون Start)",IF($K1681="U – needs rule","ℹ حالة U تحتاج قاعدة معتمدة",IF($K1681="No result","ℹ بدون نتيجة (يُستبعد من التحصيل)","OK")))))))))))</f>
        <v/>
      </c>
      <c r="M1681" s="64" t="n">
        <f aca="false">IF($A1681="",0,IFERROR(MATCH($A1681,Classes!$A$6:$A$420,0),0))</f>
        <v>0</v>
      </c>
      <c r="N1681" s="64" t="n">
        <f aca="false">IF($H1681="",0,IFERROR(MATCH($H1681,GradeList,0),0))</f>
        <v>0</v>
      </c>
      <c r="O1681" s="64" t="n">
        <f aca="false">IF(OR($I1681="",$I1681="NR"),0,IFERROR(MATCH($I1681,GradeList,0),0))</f>
        <v>0</v>
      </c>
      <c r="P1681" s="64" t="n">
        <f aca="false">IF(AND($M1681&gt;0,ISNUMBER(MATCH($F1681,Lists!$A$2:$A$5,0)),ISNUMBER(MATCH($G1681,Lists!$B$2:$B$7,0)),OR($H1681="",$N1681&gt;0),OR($I1681="",$I1681="NR",$O1681&gt;0),IF(ISNUMBER($J1681),AND($J1681&gt;=0,$J1681=INT($J1681)),FALSE())),$J1681,0)</f>
        <v>0</v>
      </c>
      <c r="Q1681" s="64" t="n">
        <f aca="false">IF(AND($P1681&gt;0,$O1681&gt;0),$P1681,0)</f>
        <v>0</v>
      </c>
      <c r="R1681" s="64" t="n">
        <f aca="false">IF(AND($Q1681&gt;0,$O1681&gt;=AtRank),$Q1681,0)</f>
        <v>0</v>
      </c>
      <c r="S1681" s="64" t="n">
        <f aca="false">IF(AND($Q1681&gt;0,$O1681&gt;=AboveRank),$Q1681,0)</f>
        <v>0</v>
      </c>
      <c r="T1681" s="64" t="n">
        <f aca="false">IF($K1681="Less",$P1681,0)</f>
        <v>0</v>
      </c>
      <c r="U1681" s="64" t="n">
        <f aca="false">IF($K1681="Expected",$P1681,0)</f>
        <v>0</v>
      </c>
      <c r="V1681" s="64" t="n">
        <f aca="false">IF($K1681="Better",$P1681,0)</f>
        <v>0</v>
      </c>
      <c r="W1681" s="64" t="n">
        <f aca="false">IF($K1681="U – needs rule",$P1681,0)</f>
        <v>0</v>
      </c>
      <c r="X1681" s="64" t="n">
        <f aca="false">IF($K1681="No Start (attainment only)",$P1681,0)</f>
        <v>0</v>
      </c>
    </row>
    <row r="1682" customFormat="false" ht="15" hidden="false" customHeight="false" outlineLevel="0" collapsed="false">
      <c r="A1682" s="60"/>
      <c r="B1682" s="61" t="str">
        <f aca="false">IF($M1682=0,"",INDEX(Classes!$E$6:$E$420,$M1682))</f>
        <v/>
      </c>
      <c r="C1682" s="62" t="str">
        <f aca="false">IF($M1682=0,"",INDEX(Classes!$H$6:$H$420,$M1682))</f>
        <v/>
      </c>
      <c r="D1682" s="61" t="str">
        <f aca="false">IF($M1682=0,"",INDEX(Classes!$B$6:$B$420,$M1682))</f>
        <v/>
      </c>
      <c r="E1682" s="61" t="str">
        <f aca="false">IF($M1682=0,"",INDEX(Classes!$C$6:$C$420,$M1682))</f>
        <v/>
      </c>
      <c r="F1682" s="63"/>
      <c r="G1682" s="63"/>
      <c r="H1682" s="60"/>
      <c r="I1682" s="60"/>
      <c r="J1682" s="63"/>
      <c r="K1682" s="61" t="str">
        <f aca="false">IF($P1682=0,"",IF($F1682="Baseline","— Baseline",IF($O1682=0,"No result",IF($N1682=0,"No Start (attainment only)",IF(OR($N1682=1,$O1682=1),"U – needs rule",INDEX(MxBody,MATCH($I1682,MxCurr,0),MATCH($H1682,MxStart,0)))))))</f>
        <v/>
      </c>
      <c r="L1682" s="62" t="str">
        <f aca="false">IF(COUNTA($A1682,$F1682,$G1682,$H1682,$I1682,$J1682)=0,"",IF($M1682=0,"✖ كود الصف غير موجود",IF(ISNA(MATCH($F1682,Lists!$A$2:$A$5,0)),"✖ الفترة غير صحيحة",IF(ISNA(MATCH($G1682,Lists!$B$2:$B$7,0)),"✖ المجموعة غير صحيحة",IF(NOT(OR($H1682="",$N1682&gt;0)),"✖ Start غير صحيح",IF(NOT(OR($I1682="",$I1682="NR",$O1682&gt;0)),"✖ Current غير صحيح",IF(NOT(IF(ISNUMBER($J1682),AND($J1682&gt;=0,$J1682=INT($J1682)),FALSE())),"✖ العدد يجب أن يكون صحيحًا ≥ 0",IF(AND($F1682="Baseline",$H1682&lt;&gt;""),"⚠ Baseline: Start لا يدخل في التقدم",IF($K1682="No Start (attainment only)","ℹ تحصيل فقط (بدون Start)",IF($K1682="U – needs rule","ℹ حالة U تحتاج قاعدة معتمدة",IF($K1682="No result","ℹ بدون نتيجة (يُستبعد من التحصيل)","OK")))))))))))</f>
        <v/>
      </c>
      <c r="M1682" s="64" t="n">
        <f aca="false">IF($A1682="",0,IFERROR(MATCH($A1682,Classes!$A$6:$A$420,0),0))</f>
        <v>0</v>
      </c>
      <c r="N1682" s="64" t="n">
        <f aca="false">IF($H1682="",0,IFERROR(MATCH($H1682,GradeList,0),0))</f>
        <v>0</v>
      </c>
      <c r="O1682" s="64" t="n">
        <f aca="false">IF(OR($I1682="",$I1682="NR"),0,IFERROR(MATCH($I1682,GradeList,0),0))</f>
        <v>0</v>
      </c>
      <c r="P1682" s="64" t="n">
        <f aca="false">IF(AND($M1682&gt;0,ISNUMBER(MATCH($F1682,Lists!$A$2:$A$5,0)),ISNUMBER(MATCH($G1682,Lists!$B$2:$B$7,0)),OR($H1682="",$N1682&gt;0),OR($I1682="",$I1682="NR",$O1682&gt;0),IF(ISNUMBER($J1682),AND($J1682&gt;=0,$J1682=INT($J1682)),FALSE())),$J1682,0)</f>
        <v>0</v>
      </c>
      <c r="Q1682" s="64" t="n">
        <f aca="false">IF(AND($P1682&gt;0,$O1682&gt;0),$P1682,0)</f>
        <v>0</v>
      </c>
      <c r="R1682" s="64" t="n">
        <f aca="false">IF(AND($Q1682&gt;0,$O1682&gt;=AtRank),$Q1682,0)</f>
        <v>0</v>
      </c>
      <c r="S1682" s="64" t="n">
        <f aca="false">IF(AND($Q1682&gt;0,$O1682&gt;=AboveRank),$Q1682,0)</f>
        <v>0</v>
      </c>
      <c r="T1682" s="64" t="n">
        <f aca="false">IF($K1682="Less",$P1682,0)</f>
        <v>0</v>
      </c>
      <c r="U1682" s="64" t="n">
        <f aca="false">IF($K1682="Expected",$P1682,0)</f>
        <v>0</v>
      </c>
      <c r="V1682" s="64" t="n">
        <f aca="false">IF($K1682="Better",$P1682,0)</f>
        <v>0</v>
      </c>
      <c r="W1682" s="64" t="n">
        <f aca="false">IF($K1682="U – needs rule",$P1682,0)</f>
        <v>0</v>
      </c>
      <c r="X1682" s="64" t="n">
        <f aca="false">IF($K1682="No Start (attainment only)",$P1682,0)</f>
        <v>0</v>
      </c>
    </row>
    <row r="1683" customFormat="false" ht="15" hidden="false" customHeight="false" outlineLevel="0" collapsed="false">
      <c r="A1683" s="60"/>
      <c r="B1683" s="61" t="str">
        <f aca="false">IF($M1683=0,"",INDEX(Classes!$E$6:$E$420,$M1683))</f>
        <v/>
      </c>
      <c r="C1683" s="62" t="str">
        <f aca="false">IF($M1683=0,"",INDEX(Classes!$H$6:$H$420,$M1683))</f>
        <v/>
      </c>
      <c r="D1683" s="61" t="str">
        <f aca="false">IF($M1683=0,"",INDEX(Classes!$B$6:$B$420,$M1683))</f>
        <v/>
      </c>
      <c r="E1683" s="61" t="str">
        <f aca="false">IF($M1683=0,"",INDEX(Classes!$C$6:$C$420,$M1683))</f>
        <v/>
      </c>
      <c r="F1683" s="63"/>
      <c r="G1683" s="63"/>
      <c r="H1683" s="60"/>
      <c r="I1683" s="60"/>
      <c r="J1683" s="63"/>
      <c r="K1683" s="61" t="str">
        <f aca="false">IF($P1683=0,"",IF($F1683="Baseline","— Baseline",IF($O1683=0,"No result",IF($N1683=0,"No Start (attainment only)",IF(OR($N1683=1,$O1683=1),"U – needs rule",INDEX(MxBody,MATCH($I1683,MxCurr,0),MATCH($H1683,MxStart,0)))))))</f>
        <v/>
      </c>
      <c r="L1683" s="62" t="str">
        <f aca="false">IF(COUNTA($A1683,$F1683,$G1683,$H1683,$I1683,$J1683)=0,"",IF($M1683=0,"✖ كود الصف غير موجود",IF(ISNA(MATCH($F1683,Lists!$A$2:$A$5,0)),"✖ الفترة غير صحيحة",IF(ISNA(MATCH($G1683,Lists!$B$2:$B$7,0)),"✖ المجموعة غير صحيحة",IF(NOT(OR($H1683="",$N1683&gt;0)),"✖ Start غير صحيح",IF(NOT(OR($I1683="",$I1683="NR",$O1683&gt;0)),"✖ Current غير صحيح",IF(NOT(IF(ISNUMBER($J1683),AND($J1683&gt;=0,$J1683=INT($J1683)),FALSE())),"✖ العدد يجب أن يكون صحيحًا ≥ 0",IF(AND($F1683="Baseline",$H1683&lt;&gt;""),"⚠ Baseline: Start لا يدخل في التقدم",IF($K1683="No Start (attainment only)","ℹ تحصيل فقط (بدون Start)",IF($K1683="U – needs rule","ℹ حالة U تحتاج قاعدة معتمدة",IF($K1683="No result","ℹ بدون نتيجة (يُستبعد من التحصيل)","OK")))))))))))</f>
        <v/>
      </c>
      <c r="M1683" s="64" t="n">
        <f aca="false">IF($A1683="",0,IFERROR(MATCH($A1683,Classes!$A$6:$A$420,0),0))</f>
        <v>0</v>
      </c>
      <c r="N1683" s="64" t="n">
        <f aca="false">IF($H1683="",0,IFERROR(MATCH($H1683,GradeList,0),0))</f>
        <v>0</v>
      </c>
      <c r="O1683" s="64" t="n">
        <f aca="false">IF(OR($I1683="",$I1683="NR"),0,IFERROR(MATCH($I1683,GradeList,0),0))</f>
        <v>0</v>
      </c>
      <c r="P1683" s="64" t="n">
        <f aca="false">IF(AND($M1683&gt;0,ISNUMBER(MATCH($F1683,Lists!$A$2:$A$5,0)),ISNUMBER(MATCH($G1683,Lists!$B$2:$B$7,0)),OR($H1683="",$N1683&gt;0),OR($I1683="",$I1683="NR",$O1683&gt;0),IF(ISNUMBER($J1683),AND($J1683&gt;=0,$J1683=INT($J1683)),FALSE())),$J1683,0)</f>
        <v>0</v>
      </c>
      <c r="Q1683" s="64" t="n">
        <f aca="false">IF(AND($P1683&gt;0,$O1683&gt;0),$P1683,0)</f>
        <v>0</v>
      </c>
      <c r="R1683" s="64" t="n">
        <f aca="false">IF(AND($Q1683&gt;0,$O1683&gt;=AtRank),$Q1683,0)</f>
        <v>0</v>
      </c>
      <c r="S1683" s="64" t="n">
        <f aca="false">IF(AND($Q1683&gt;0,$O1683&gt;=AboveRank),$Q1683,0)</f>
        <v>0</v>
      </c>
      <c r="T1683" s="64" t="n">
        <f aca="false">IF($K1683="Less",$P1683,0)</f>
        <v>0</v>
      </c>
      <c r="U1683" s="64" t="n">
        <f aca="false">IF($K1683="Expected",$P1683,0)</f>
        <v>0</v>
      </c>
      <c r="V1683" s="64" t="n">
        <f aca="false">IF($K1683="Better",$P1683,0)</f>
        <v>0</v>
      </c>
      <c r="W1683" s="64" t="n">
        <f aca="false">IF($K1683="U – needs rule",$P1683,0)</f>
        <v>0</v>
      </c>
      <c r="X1683" s="64" t="n">
        <f aca="false">IF($K1683="No Start (attainment only)",$P1683,0)</f>
        <v>0</v>
      </c>
    </row>
    <row r="1684" customFormat="false" ht="15" hidden="false" customHeight="false" outlineLevel="0" collapsed="false">
      <c r="A1684" s="60"/>
      <c r="B1684" s="61" t="str">
        <f aca="false">IF($M1684=0,"",INDEX(Classes!$E$6:$E$420,$M1684))</f>
        <v/>
      </c>
      <c r="C1684" s="62" t="str">
        <f aca="false">IF($M1684=0,"",INDEX(Classes!$H$6:$H$420,$M1684))</f>
        <v/>
      </c>
      <c r="D1684" s="61" t="str">
        <f aca="false">IF($M1684=0,"",INDEX(Classes!$B$6:$B$420,$M1684))</f>
        <v/>
      </c>
      <c r="E1684" s="61" t="str">
        <f aca="false">IF($M1684=0,"",INDEX(Classes!$C$6:$C$420,$M1684))</f>
        <v/>
      </c>
      <c r="F1684" s="63"/>
      <c r="G1684" s="63"/>
      <c r="H1684" s="60"/>
      <c r="I1684" s="60"/>
      <c r="J1684" s="63"/>
      <c r="K1684" s="61" t="str">
        <f aca="false">IF($P1684=0,"",IF($F1684="Baseline","— Baseline",IF($O1684=0,"No result",IF($N1684=0,"No Start (attainment only)",IF(OR($N1684=1,$O1684=1),"U – needs rule",INDEX(MxBody,MATCH($I1684,MxCurr,0),MATCH($H1684,MxStart,0)))))))</f>
        <v/>
      </c>
      <c r="L1684" s="62" t="str">
        <f aca="false">IF(COUNTA($A1684,$F1684,$G1684,$H1684,$I1684,$J1684)=0,"",IF($M1684=0,"✖ كود الصف غير موجود",IF(ISNA(MATCH($F1684,Lists!$A$2:$A$5,0)),"✖ الفترة غير صحيحة",IF(ISNA(MATCH($G1684,Lists!$B$2:$B$7,0)),"✖ المجموعة غير صحيحة",IF(NOT(OR($H1684="",$N1684&gt;0)),"✖ Start غير صحيح",IF(NOT(OR($I1684="",$I1684="NR",$O1684&gt;0)),"✖ Current غير صحيح",IF(NOT(IF(ISNUMBER($J1684),AND($J1684&gt;=0,$J1684=INT($J1684)),FALSE())),"✖ العدد يجب أن يكون صحيحًا ≥ 0",IF(AND($F1684="Baseline",$H1684&lt;&gt;""),"⚠ Baseline: Start لا يدخل في التقدم",IF($K1684="No Start (attainment only)","ℹ تحصيل فقط (بدون Start)",IF($K1684="U – needs rule","ℹ حالة U تحتاج قاعدة معتمدة",IF($K1684="No result","ℹ بدون نتيجة (يُستبعد من التحصيل)","OK")))))))))))</f>
        <v/>
      </c>
      <c r="M1684" s="64" t="n">
        <f aca="false">IF($A1684="",0,IFERROR(MATCH($A1684,Classes!$A$6:$A$420,0),0))</f>
        <v>0</v>
      </c>
      <c r="N1684" s="64" t="n">
        <f aca="false">IF($H1684="",0,IFERROR(MATCH($H1684,GradeList,0),0))</f>
        <v>0</v>
      </c>
      <c r="O1684" s="64" t="n">
        <f aca="false">IF(OR($I1684="",$I1684="NR"),0,IFERROR(MATCH($I1684,GradeList,0),0))</f>
        <v>0</v>
      </c>
      <c r="P1684" s="64" t="n">
        <f aca="false">IF(AND($M1684&gt;0,ISNUMBER(MATCH($F1684,Lists!$A$2:$A$5,0)),ISNUMBER(MATCH($G1684,Lists!$B$2:$B$7,0)),OR($H1684="",$N1684&gt;0),OR($I1684="",$I1684="NR",$O1684&gt;0),IF(ISNUMBER($J1684),AND($J1684&gt;=0,$J1684=INT($J1684)),FALSE())),$J1684,0)</f>
        <v>0</v>
      </c>
      <c r="Q1684" s="64" t="n">
        <f aca="false">IF(AND($P1684&gt;0,$O1684&gt;0),$P1684,0)</f>
        <v>0</v>
      </c>
      <c r="R1684" s="64" t="n">
        <f aca="false">IF(AND($Q1684&gt;0,$O1684&gt;=AtRank),$Q1684,0)</f>
        <v>0</v>
      </c>
      <c r="S1684" s="64" t="n">
        <f aca="false">IF(AND($Q1684&gt;0,$O1684&gt;=AboveRank),$Q1684,0)</f>
        <v>0</v>
      </c>
      <c r="T1684" s="64" t="n">
        <f aca="false">IF($K1684="Less",$P1684,0)</f>
        <v>0</v>
      </c>
      <c r="U1684" s="64" t="n">
        <f aca="false">IF($K1684="Expected",$P1684,0)</f>
        <v>0</v>
      </c>
      <c r="V1684" s="64" t="n">
        <f aca="false">IF($K1684="Better",$P1684,0)</f>
        <v>0</v>
      </c>
      <c r="W1684" s="64" t="n">
        <f aca="false">IF($K1684="U – needs rule",$P1684,0)</f>
        <v>0</v>
      </c>
      <c r="X1684" s="64" t="n">
        <f aca="false">IF($K1684="No Start (attainment only)",$P1684,0)</f>
        <v>0</v>
      </c>
    </row>
    <row r="1685" customFormat="false" ht="15" hidden="false" customHeight="false" outlineLevel="0" collapsed="false">
      <c r="A1685" s="60"/>
      <c r="B1685" s="61" t="str">
        <f aca="false">IF($M1685=0,"",INDEX(Classes!$E$6:$E$420,$M1685))</f>
        <v/>
      </c>
      <c r="C1685" s="62" t="str">
        <f aca="false">IF($M1685=0,"",INDEX(Classes!$H$6:$H$420,$M1685))</f>
        <v/>
      </c>
      <c r="D1685" s="61" t="str">
        <f aca="false">IF($M1685=0,"",INDEX(Classes!$B$6:$B$420,$M1685))</f>
        <v/>
      </c>
      <c r="E1685" s="61" t="str">
        <f aca="false">IF($M1685=0,"",INDEX(Classes!$C$6:$C$420,$M1685))</f>
        <v/>
      </c>
      <c r="F1685" s="63"/>
      <c r="G1685" s="63"/>
      <c r="H1685" s="60"/>
      <c r="I1685" s="60"/>
      <c r="J1685" s="63"/>
      <c r="K1685" s="61" t="str">
        <f aca="false">IF($P1685=0,"",IF($F1685="Baseline","— Baseline",IF($O1685=0,"No result",IF($N1685=0,"No Start (attainment only)",IF(OR($N1685=1,$O1685=1),"U – needs rule",INDEX(MxBody,MATCH($I1685,MxCurr,0),MATCH($H1685,MxStart,0)))))))</f>
        <v/>
      </c>
      <c r="L1685" s="62" t="str">
        <f aca="false">IF(COUNTA($A1685,$F1685,$G1685,$H1685,$I1685,$J1685)=0,"",IF($M1685=0,"✖ كود الصف غير موجود",IF(ISNA(MATCH($F1685,Lists!$A$2:$A$5,0)),"✖ الفترة غير صحيحة",IF(ISNA(MATCH($G1685,Lists!$B$2:$B$7,0)),"✖ المجموعة غير صحيحة",IF(NOT(OR($H1685="",$N1685&gt;0)),"✖ Start غير صحيح",IF(NOT(OR($I1685="",$I1685="NR",$O1685&gt;0)),"✖ Current غير صحيح",IF(NOT(IF(ISNUMBER($J1685),AND($J1685&gt;=0,$J1685=INT($J1685)),FALSE())),"✖ العدد يجب أن يكون صحيحًا ≥ 0",IF(AND($F1685="Baseline",$H1685&lt;&gt;""),"⚠ Baseline: Start لا يدخل في التقدم",IF($K1685="No Start (attainment only)","ℹ تحصيل فقط (بدون Start)",IF($K1685="U – needs rule","ℹ حالة U تحتاج قاعدة معتمدة",IF($K1685="No result","ℹ بدون نتيجة (يُستبعد من التحصيل)","OK")))))))))))</f>
        <v/>
      </c>
      <c r="M1685" s="64" t="n">
        <f aca="false">IF($A1685="",0,IFERROR(MATCH($A1685,Classes!$A$6:$A$420,0),0))</f>
        <v>0</v>
      </c>
      <c r="N1685" s="64" t="n">
        <f aca="false">IF($H1685="",0,IFERROR(MATCH($H1685,GradeList,0),0))</f>
        <v>0</v>
      </c>
      <c r="O1685" s="64" t="n">
        <f aca="false">IF(OR($I1685="",$I1685="NR"),0,IFERROR(MATCH($I1685,GradeList,0),0))</f>
        <v>0</v>
      </c>
      <c r="P1685" s="64" t="n">
        <f aca="false">IF(AND($M1685&gt;0,ISNUMBER(MATCH($F1685,Lists!$A$2:$A$5,0)),ISNUMBER(MATCH($G1685,Lists!$B$2:$B$7,0)),OR($H1685="",$N1685&gt;0),OR($I1685="",$I1685="NR",$O1685&gt;0),IF(ISNUMBER($J1685),AND($J1685&gt;=0,$J1685=INT($J1685)),FALSE())),$J1685,0)</f>
        <v>0</v>
      </c>
      <c r="Q1685" s="64" t="n">
        <f aca="false">IF(AND($P1685&gt;0,$O1685&gt;0),$P1685,0)</f>
        <v>0</v>
      </c>
      <c r="R1685" s="64" t="n">
        <f aca="false">IF(AND($Q1685&gt;0,$O1685&gt;=AtRank),$Q1685,0)</f>
        <v>0</v>
      </c>
      <c r="S1685" s="64" t="n">
        <f aca="false">IF(AND($Q1685&gt;0,$O1685&gt;=AboveRank),$Q1685,0)</f>
        <v>0</v>
      </c>
      <c r="T1685" s="64" t="n">
        <f aca="false">IF($K1685="Less",$P1685,0)</f>
        <v>0</v>
      </c>
      <c r="U1685" s="64" t="n">
        <f aca="false">IF($K1685="Expected",$P1685,0)</f>
        <v>0</v>
      </c>
      <c r="V1685" s="64" t="n">
        <f aca="false">IF($K1685="Better",$P1685,0)</f>
        <v>0</v>
      </c>
      <c r="W1685" s="64" t="n">
        <f aca="false">IF($K1685="U – needs rule",$P1685,0)</f>
        <v>0</v>
      </c>
      <c r="X1685" s="64" t="n">
        <f aca="false">IF($K1685="No Start (attainment only)",$P1685,0)</f>
        <v>0</v>
      </c>
    </row>
    <row r="1686" customFormat="false" ht="15" hidden="false" customHeight="false" outlineLevel="0" collapsed="false">
      <c r="A1686" s="60"/>
      <c r="B1686" s="61" t="str">
        <f aca="false">IF($M1686=0,"",INDEX(Classes!$E$6:$E$420,$M1686))</f>
        <v/>
      </c>
      <c r="C1686" s="62" t="str">
        <f aca="false">IF($M1686=0,"",INDEX(Classes!$H$6:$H$420,$M1686))</f>
        <v/>
      </c>
      <c r="D1686" s="61" t="str">
        <f aca="false">IF($M1686=0,"",INDEX(Classes!$B$6:$B$420,$M1686))</f>
        <v/>
      </c>
      <c r="E1686" s="61" t="str">
        <f aca="false">IF($M1686=0,"",INDEX(Classes!$C$6:$C$420,$M1686))</f>
        <v/>
      </c>
      <c r="F1686" s="63"/>
      <c r="G1686" s="63"/>
      <c r="H1686" s="60"/>
      <c r="I1686" s="60"/>
      <c r="J1686" s="63"/>
      <c r="K1686" s="61" t="str">
        <f aca="false">IF($P1686=0,"",IF($F1686="Baseline","— Baseline",IF($O1686=0,"No result",IF($N1686=0,"No Start (attainment only)",IF(OR($N1686=1,$O1686=1),"U – needs rule",INDEX(MxBody,MATCH($I1686,MxCurr,0),MATCH($H1686,MxStart,0)))))))</f>
        <v/>
      </c>
      <c r="L1686" s="62" t="str">
        <f aca="false">IF(COUNTA($A1686,$F1686,$G1686,$H1686,$I1686,$J1686)=0,"",IF($M1686=0,"✖ كود الصف غير موجود",IF(ISNA(MATCH($F1686,Lists!$A$2:$A$5,0)),"✖ الفترة غير صحيحة",IF(ISNA(MATCH($G1686,Lists!$B$2:$B$7,0)),"✖ المجموعة غير صحيحة",IF(NOT(OR($H1686="",$N1686&gt;0)),"✖ Start غير صحيح",IF(NOT(OR($I1686="",$I1686="NR",$O1686&gt;0)),"✖ Current غير صحيح",IF(NOT(IF(ISNUMBER($J1686),AND($J1686&gt;=0,$J1686=INT($J1686)),FALSE())),"✖ العدد يجب أن يكون صحيحًا ≥ 0",IF(AND($F1686="Baseline",$H1686&lt;&gt;""),"⚠ Baseline: Start لا يدخل في التقدم",IF($K1686="No Start (attainment only)","ℹ تحصيل فقط (بدون Start)",IF($K1686="U – needs rule","ℹ حالة U تحتاج قاعدة معتمدة",IF($K1686="No result","ℹ بدون نتيجة (يُستبعد من التحصيل)","OK")))))))))))</f>
        <v/>
      </c>
      <c r="M1686" s="64" t="n">
        <f aca="false">IF($A1686="",0,IFERROR(MATCH($A1686,Classes!$A$6:$A$420,0),0))</f>
        <v>0</v>
      </c>
      <c r="N1686" s="64" t="n">
        <f aca="false">IF($H1686="",0,IFERROR(MATCH($H1686,GradeList,0),0))</f>
        <v>0</v>
      </c>
      <c r="O1686" s="64" t="n">
        <f aca="false">IF(OR($I1686="",$I1686="NR"),0,IFERROR(MATCH($I1686,GradeList,0),0))</f>
        <v>0</v>
      </c>
      <c r="P1686" s="64" t="n">
        <f aca="false">IF(AND($M1686&gt;0,ISNUMBER(MATCH($F1686,Lists!$A$2:$A$5,0)),ISNUMBER(MATCH($G1686,Lists!$B$2:$B$7,0)),OR($H1686="",$N1686&gt;0),OR($I1686="",$I1686="NR",$O1686&gt;0),IF(ISNUMBER($J1686),AND($J1686&gt;=0,$J1686=INT($J1686)),FALSE())),$J1686,0)</f>
        <v>0</v>
      </c>
      <c r="Q1686" s="64" t="n">
        <f aca="false">IF(AND($P1686&gt;0,$O1686&gt;0),$P1686,0)</f>
        <v>0</v>
      </c>
      <c r="R1686" s="64" t="n">
        <f aca="false">IF(AND($Q1686&gt;0,$O1686&gt;=AtRank),$Q1686,0)</f>
        <v>0</v>
      </c>
      <c r="S1686" s="64" t="n">
        <f aca="false">IF(AND($Q1686&gt;0,$O1686&gt;=AboveRank),$Q1686,0)</f>
        <v>0</v>
      </c>
      <c r="T1686" s="64" t="n">
        <f aca="false">IF($K1686="Less",$P1686,0)</f>
        <v>0</v>
      </c>
      <c r="U1686" s="64" t="n">
        <f aca="false">IF($K1686="Expected",$P1686,0)</f>
        <v>0</v>
      </c>
      <c r="V1686" s="64" t="n">
        <f aca="false">IF($K1686="Better",$P1686,0)</f>
        <v>0</v>
      </c>
      <c r="W1686" s="64" t="n">
        <f aca="false">IF($K1686="U – needs rule",$P1686,0)</f>
        <v>0</v>
      </c>
      <c r="X1686" s="64" t="n">
        <f aca="false">IF($K1686="No Start (attainment only)",$P1686,0)</f>
        <v>0</v>
      </c>
    </row>
    <row r="1687" customFormat="false" ht="15" hidden="false" customHeight="false" outlineLevel="0" collapsed="false">
      <c r="A1687" s="60"/>
      <c r="B1687" s="61" t="str">
        <f aca="false">IF($M1687=0,"",INDEX(Classes!$E$6:$E$420,$M1687))</f>
        <v/>
      </c>
      <c r="C1687" s="62" t="str">
        <f aca="false">IF($M1687=0,"",INDEX(Classes!$H$6:$H$420,$M1687))</f>
        <v/>
      </c>
      <c r="D1687" s="61" t="str">
        <f aca="false">IF($M1687=0,"",INDEX(Classes!$B$6:$B$420,$M1687))</f>
        <v/>
      </c>
      <c r="E1687" s="61" t="str">
        <f aca="false">IF($M1687=0,"",INDEX(Classes!$C$6:$C$420,$M1687))</f>
        <v/>
      </c>
      <c r="F1687" s="63"/>
      <c r="G1687" s="63"/>
      <c r="H1687" s="60"/>
      <c r="I1687" s="60"/>
      <c r="J1687" s="63"/>
      <c r="K1687" s="61" t="str">
        <f aca="false">IF($P1687=0,"",IF($F1687="Baseline","— Baseline",IF($O1687=0,"No result",IF($N1687=0,"No Start (attainment only)",IF(OR($N1687=1,$O1687=1),"U – needs rule",INDEX(MxBody,MATCH($I1687,MxCurr,0),MATCH($H1687,MxStart,0)))))))</f>
        <v/>
      </c>
      <c r="L1687" s="62" t="str">
        <f aca="false">IF(COUNTA($A1687,$F1687,$G1687,$H1687,$I1687,$J1687)=0,"",IF($M1687=0,"✖ كود الصف غير موجود",IF(ISNA(MATCH($F1687,Lists!$A$2:$A$5,0)),"✖ الفترة غير صحيحة",IF(ISNA(MATCH($G1687,Lists!$B$2:$B$7,0)),"✖ المجموعة غير صحيحة",IF(NOT(OR($H1687="",$N1687&gt;0)),"✖ Start غير صحيح",IF(NOT(OR($I1687="",$I1687="NR",$O1687&gt;0)),"✖ Current غير صحيح",IF(NOT(IF(ISNUMBER($J1687),AND($J1687&gt;=0,$J1687=INT($J1687)),FALSE())),"✖ العدد يجب أن يكون صحيحًا ≥ 0",IF(AND($F1687="Baseline",$H1687&lt;&gt;""),"⚠ Baseline: Start لا يدخل في التقدم",IF($K1687="No Start (attainment only)","ℹ تحصيل فقط (بدون Start)",IF($K1687="U – needs rule","ℹ حالة U تحتاج قاعدة معتمدة",IF($K1687="No result","ℹ بدون نتيجة (يُستبعد من التحصيل)","OK")))))))))))</f>
        <v/>
      </c>
      <c r="M1687" s="64" t="n">
        <f aca="false">IF($A1687="",0,IFERROR(MATCH($A1687,Classes!$A$6:$A$420,0),0))</f>
        <v>0</v>
      </c>
      <c r="N1687" s="64" t="n">
        <f aca="false">IF($H1687="",0,IFERROR(MATCH($H1687,GradeList,0),0))</f>
        <v>0</v>
      </c>
      <c r="O1687" s="64" t="n">
        <f aca="false">IF(OR($I1687="",$I1687="NR"),0,IFERROR(MATCH($I1687,GradeList,0),0))</f>
        <v>0</v>
      </c>
      <c r="P1687" s="64" t="n">
        <f aca="false">IF(AND($M1687&gt;0,ISNUMBER(MATCH($F1687,Lists!$A$2:$A$5,0)),ISNUMBER(MATCH($G1687,Lists!$B$2:$B$7,0)),OR($H1687="",$N1687&gt;0),OR($I1687="",$I1687="NR",$O1687&gt;0),IF(ISNUMBER($J1687),AND($J1687&gt;=0,$J1687=INT($J1687)),FALSE())),$J1687,0)</f>
        <v>0</v>
      </c>
      <c r="Q1687" s="64" t="n">
        <f aca="false">IF(AND($P1687&gt;0,$O1687&gt;0),$P1687,0)</f>
        <v>0</v>
      </c>
      <c r="R1687" s="64" t="n">
        <f aca="false">IF(AND($Q1687&gt;0,$O1687&gt;=AtRank),$Q1687,0)</f>
        <v>0</v>
      </c>
      <c r="S1687" s="64" t="n">
        <f aca="false">IF(AND($Q1687&gt;0,$O1687&gt;=AboveRank),$Q1687,0)</f>
        <v>0</v>
      </c>
      <c r="T1687" s="64" t="n">
        <f aca="false">IF($K1687="Less",$P1687,0)</f>
        <v>0</v>
      </c>
      <c r="U1687" s="64" t="n">
        <f aca="false">IF($K1687="Expected",$P1687,0)</f>
        <v>0</v>
      </c>
      <c r="V1687" s="64" t="n">
        <f aca="false">IF($K1687="Better",$P1687,0)</f>
        <v>0</v>
      </c>
      <c r="W1687" s="64" t="n">
        <f aca="false">IF($K1687="U – needs rule",$P1687,0)</f>
        <v>0</v>
      </c>
      <c r="X1687" s="64" t="n">
        <f aca="false">IF($K1687="No Start (attainment only)",$P1687,0)</f>
        <v>0</v>
      </c>
    </row>
    <row r="1688" customFormat="false" ht="15" hidden="false" customHeight="false" outlineLevel="0" collapsed="false">
      <c r="A1688" s="60"/>
      <c r="B1688" s="61" t="str">
        <f aca="false">IF($M1688=0,"",INDEX(Classes!$E$6:$E$420,$M1688))</f>
        <v/>
      </c>
      <c r="C1688" s="62" t="str">
        <f aca="false">IF($M1688=0,"",INDEX(Classes!$H$6:$H$420,$M1688))</f>
        <v/>
      </c>
      <c r="D1688" s="61" t="str">
        <f aca="false">IF($M1688=0,"",INDEX(Classes!$B$6:$B$420,$M1688))</f>
        <v/>
      </c>
      <c r="E1688" s="61" t="str">
        <f aca="false">IF($M1688=0,"",INDEX(Classes!$C$6:$C$420,$M1688))</f>
        <v/>
      </c>
      <c r="F1688" s="63"/>
      <c r="G1688" s="63"/>
      <c r="H1688" s="60"/>
      <c r="I1688" s="60"/>
      <c r="J1688" s="63"/>
      <c r="K1688" s="61" t="str">
        <f aca="false">IF($P1688=0,"",IF($F1688="Baseline","— Baseline",IF($O1688=0,"No result",IF($N1688=0,"No Start (attainment only)",IF(OR($N1688=1,$O1688=1),"U – needs rule",INDEX(MxBody,MATCH($I1688,MxCurr,0),MATCH($H1688,MxStart,0)))))))</f>
        <v/>
      </c>
      <c r="L1688" s="62" t="str">
        <f aca="false">IF(COUNTA($A1688,$F1688,$G1688,$H1688,$I1688,$J1688)=0,"",IF($M1688=0,"✖ كود الصف غير موجود",IF(ISNA(MATCH($F1688,Lists!$A$2:$A$5,0)),"✖ الفترة غير صحيحة",IF(ISNA(MATCH($G1688,Lists!$B$2:$B$7,0)),"✖ المجموعة غير صحيحة",IF(NOT(OR($H1688="",$N1688&gt;0)),"✖ Start غير صحيح",IF(NOT(OR($I1688="",$I1688="NR",$O1688&gt;0)),"✖ Current غير صحيح",IF(NOT(IF(ISNUMBER($J1688),AND($J1688&gt;=0,$J1688=INT($J1688)),FALSE())),"✖ العدد يجب أن يكون صحيحًا ≥ 0",IF(AND($F1688="Baseline",$H1688&lt;&gt;""),"⚠ Baseline: Start لا يدخل في التقدم",IF($K1688="No Start (attainment only)","ℹ تحصيل فقط (بدون Start)",IF($K1688="U – needs rule","ℹ حالة U تحتاج قاعدة معتمدة",IF($K1688="No result","ℹ بدون نتيجة (يُستبعد من التحصيل)","OK")))))))))))</f>
        <v/>
      </c>
      <c r="M1688" s="64" t="n">
        <f aca="false">IF($A1688="",0,IFERROR(MATCH($A1688,Classes!$A$6:$A$420,0),0))</f>
        <v>0</v>
      </c>
      <c r="N1688" s="64" t="n">
        <f aca="false">IF($H1688="",0,IFERROR(MATCH($H1688,GradeList,0),0))</f>
        <v>0</v>
      </c>
      <c r="O1688" s="64" t="n">
        <f aca="false">IF(OR($I1688="",$I1688="NR"),0,IFERROR(MATCH($I1688,GradeList,0),0))</f>
        <v>0</v>
      </c>
      <c r="P1688" s="64" t="n">
        <f aca="false">IF(AND($M1688&gt;0,ISNUMBER(MATCH($F1688,Lists!$A$2:$A$5,0)),ISNUMBER(MATCH($G1688,Lists!$B$2:$B$7,0)),OR($H1688="",$N1688&gt;0),OR($I1688="",$I1688="NR",$O1688&gt;0),IF(ISNUMBER($J1688),AND($J1688&gt;=0,$J1688=INT($J1688)),FALSE())),$J1688,0)</f>
        <v>0</v>
      </c>
      <c r="Q1688" s="64" t="n">
        <f aca="false">IF(AND($P1688&gt;0,$O1688&gt;0),$P1688,0)</f>
        <v>0</v>
      </c>
      <c r="R1688" s="64" t="n">
        <f aca="false">IF(AND($Q1688&gt;0,$O1688&gt;=AtRank),$Q1688,0)</f>
        <v>0</v>
      </c>
      <c r="S1688" s="64" t="n">
        <f aca="false">IF(AND($Q1688&gt;0,$O1688&gt;=AboveRank),$Q1688,0)</f>
        <v>0</v>
      </c>
      <c r="T1688" s="64" t="n">
        <f aca="false">IF($K1688="Less",$P1688,0)</f>
        <v>0</v>
      </c>
      <c r="U1688" s="64" t="n">
        <f aca="false">IF($K1688="Expected",$P1688,0)</f>
        <v>0</v>
      </c>
      <c r="V1688" s="64" t="n">
        <f aca="false">IF($K1688="Better",$P1688,0)</f>
        <v>0</v>
      </c>
      <c r="W1688" s="64" t="n">
        <f aca="false">IF($K1688="U – needs rule",$P1688,0)</f>
        <v>0</v>
      </c>
      <c r="X1688" s="64" t="n">
        <f aca="false">IF($K1688="No Start (attainment only)",$P1688,0)</f>
        <v>0</v>
      </c>
    </row>
    <row r="1689" customFormat="false" ht="15" hidden="false" customHeight="false" outlineLevel="0" collapsed="false">
      <c r="A1689" s="60"/>
      <c r="B1689" s="61" t="str">
        <f aca="false">IF($M1689=0,"",INDEX(Classes!$E$6:$E$420,$M1689))</f>
        <v/>
      </c>
      <c r="C1689" s="62" t="str">
        <f aca="false">IF($M1689=0,"",INDEX(Classes!$H$6:$H$420,$M1689))</f>
        <v/>
      </c>
      <c r="D1689" s="61" t="str">
        <f aca="false">IF($M1689=0,"",INDEX(Classes!$B$6:$B$420,$M1689))</f>
        <v/>
      </c>
      <c r="E1689" s="61" t="str">
        <f aca="false">IF($M1689=0,"",INDEX(Classes!$C$6:$C$420,$M1689))</f>
        <v/>
      </c>
      <c r="F1689" s="63"/>
      <c r="G1689" s="63"/>
      <c r="H1689" s="60"/>
      <c r="I1689" s="60"/>
      <c r="J1689" s="63"/>
      <c r="K1689" s="61" t="str">
        <f aca="false">IF($P1689=0,"",IF($F1689="Baseline","— Baseline",IF($O1689=0,"No result",IF($N1689=0,"No Start (attainment only)",IF(OR($N1689=1,$O1689=1),"U – needs rule",INDEX(MxBody,MATCH($I1689,MxCurr,0),MATCH($H1689,MxStart,0)))))))</f>
        <v/>
      </c>
      <c r="L1689" s="62" t="str">
        <f aca="false">IF(COUNTA($A1689,$F1689,$G1689,$H1689,$I1689,$J1689)=0,"",IF($M1689=0,"✖ كود الصف غير موجود",IF(ISNA(MATCH($F1689,Lists!$A$2:$A$5,0)),"✖ الفترة غير صحيحة",IF(ISNA(MATCH($G1689,Lists!$B$2:$B$7,0)),"✖ المجموعة غير صحيحة",IF(NOT(OR($H1689="",$N1689&gt;0)),"✖ Start غير صحيح",IF(NOT(OR($I1689="",$I1689="NR",$O1689&gt;0)),"✖ Current غير صحيح",IF(NOT(IF(ISNUMBER($J1689),AND($J1689&gt;=0,$J1689=INT($J1689)),FALSE())),"✖ العدد يجب أن يكون صحيحًا ≥ 0",IF(AND($F1689="Baseline",$H1689&lt;&gt;""),"⚠ Baseline: Start لا يدخل في التقدم",IF($K1689="No Start (attainment only)","ℹ تحصيل فقط (بدون Start)",IF($K1689="U – needs rule","ℹ حالة U تحتاج قاعدة معتمدة",IF($K1689="No result","ℹ بدون نتيجة (يُستبعد من التحصيل)","OK")))))))))))</f>
        <v/>
      </c>
      <c r="M1689" s="64" t="n">
        <f aca="false">IF($A1689="",0,IFERROR(MATCH($A1689,Classes!$A$6:$A$420,0),0))</f>
        <v>0</v>
      </c>
      <c r="N1689" s="64" t="n">
        <f aca="false">IF($H1689="",0,IFERROR(MATCH($H1689,GradeList,0),0))</f>
        <v>0</v>
      </c>
      <c r="O1689" s="64" t="n">
        <f aca="false">IF(OR($I1689="",$I1689="NR"),0,IFERROR(MATCH($I1689,GradeList,0),0))</f>
        <v>0</v>
      </c>
      <c r="P1689" s="64" t="n">
        <f aca="false">IF(AND($M1689&gt;0,ISNUMBER(MATCH($F1689,Lists!$A$2:$A$5,0)),ISNUMBER(MATCH($G1689,Lists!$B$2:$B$7,0)),OR($H1689="",$N1689&gt;0),OR($I1689="",$I1689="NR",$O1689&gt;0),IF(ISNUMBER($J1689),AND($J1689&gt;=0,$J1689=INT($J1689)),FALSE())),$J1689,0)</f>
        <v>0</v>
      </c>
      <c r="Q1689" s="64" t="n">
        <f aca="false">IF(AND($P1689&gt;0,$O1689&gt;0),$P1689,0)</f>
        <v>0</v>
      </c>
      <c r="R1689" s="64" t="n">
        <f aca="false">IF(AND($Q1689&gt;0,$O1689&gt;=AtRank),$Q1689,0)</f>
        <v>0</v>
      </c>
      <c r="S1689" s="64" t="n">
        <f aca="false">IF(AND($Q1689&gt;0,$O1689&gt;=AboveRank),$Q1689,0)</f>
        <v>0</v>
      </c>
      <c r="T1689" s="64" t="n">
        <f aca="false">IF($K1689="Less",$P1689,0)</f>
        <v>0</v>
      </c>
      <c r="U1689" s="64" t="n">
        <f aca="false">IF($K1689="Expected",$P1689,0)</f>
        <v>0</v>
      </c>
      <c r="V1689" s="64" t="n">
        <f aca="false">IF($K1689="Better",$P1689,0)</f>
        <v>0</v>
      </c>
      <c r="W1689" s="64" t="n">
        <f aca="false">IF($K1689="U – needs rule",$P1689,0)</f>
        <v>0</v>
      </c>
      <c r="X1689" s="64" t="n">
        <f aca="false">IF($K1689="No Start (attainment only)",$P1689,0)</f>
        <v>0</v>
      </c>
    </row>
    <row r="1690" customFormat="false" ht="15" hidden="false" customHeight="false" outlineLevel="0" collapsed="false">
      <c r="A1690" s="60"/>
      <c r="B1690" s="61" t="str">
        <f aca="false">IF($M1690=0,"",INDEX(Classes!$E$6:$E$420,$M1690))</f>
        <v/>
      </c>
      <c r="C1690" s="62" t="str">
        <f aca="false">IF($M1690=0,"",INDEX(Classes!$H$6:$H$420,$M1690))</f>
        <v/>
      </c>
      <c r="D1690" s="61" t="str">
        <f aca="false">IF($M1690=0,"",INDEX(Classes!$B$6:$B$420,$M1690))</f>
        <v/>
      </c>
      <c r="E1690" s="61" t="str">
        <f aca="false">IF($M1690=0,"",INDEX(Classes!$C$6:$C$420,$M1690))</f>
        <v/>
      </c>
      <c r="F1690" s="63"/>
      <c r="G1690" s="63"/>
      <c r="H1690" s="60"/>
      <c r="I1690" s="60"/>
      <c r="J1690" s="63"/>
      <c r="K1690" s="61" t="str">
        <f aca="false">IF($P1690=0,"",IF($F1690="Baseline","— Baseline",IF($O1690=0,"No result",IF($N1690=0,"No Start (attainment only)",IF(OR($N1690=1,$O1690=1),"U – needs rule",INDEX(MxBody,MATCH($I1690,MxCurr,0),MATCH($H1690,MxStart,0)))))))</f>
        <v/>
      </c>
      <c r="L1690" s="62" t="str">
        <f aca="false">IF(COUNTA($A1690,$F1690,$G1690,$H1690,$I1690,$J1690)=0,"",IF($M1690=0,"✖ كود الصف غير موجود",IF(ISNA(MATCH($F1690,Lists!$A$2:$A$5,0)),"✖ الفترة غير صحيحة",IF(ISNA(MATCH($G1690,Lists!$B$2:$B$7,0)),"✖ المجموعة غير صحيحة",IF(NOT(OR($H1690="",$N1690&gt;0)),"✖ Start غير صحيح",IF(NOT(OR($I1690="",$I1690="NR",$O1690&gt;0)),"✖ Current غير صحيح",IF(NOT(IF(ISNUMBER($J1690),AND($J1690&gt;=0,$J1690=INT($J1690)),FALSE())),"✖ العدد يجب أن يكون صحيحًا ≥ 0",IF(AND($F1690="Baseline",$H1690&lt;&gt;""),"⚠ Baseline: Start لا يدخل في التقدم",IF($K1690="No Start (attainment only)","ℹ تحصيل فقط (بدون Start)",IF($K1690="U – needs rule","ℹ حالة U تحتاج قاعدة معتمدة",IF($K1690="No result","ℹ بدون نتيجة (يُستبعد من التحصيل)","OK")))))))))))</f>
        <v/>
      </c>
      <c r="M1690" s="64" t="n">
        <f aca="false">IF($A1690="",0,IFERROR(MATCH($A1690,Classes!$A$6:$A$420,0),0))</f>
        <v>0</v>
      </c>
      <c r="N1690" s="64" t="n">
        <f aca="false">IF($H1690="",0,IFERROR(MATCH($H1690,GradeList,0),0))</f>
        <v>0</v>
      </c>
      <c r="O1690" s="64" t="n">
        <f aca="false">IF(OR($I1690="",$I1690="NR"),0,IFERROR(MATCH($I1690,GradeList,0),0))</f>
        <v>0</v>
      </c>
      <c r="P1690" s="64" t="n">
        <f aca="false">IF(AND($M1690&gt;0,ISNUMBER(MATCH($F1690,Lists!$A$2:$A$5,0)),ISNUMBER(MATCH($G1690,Lists!$B$2:$B$7,0)),OR($H1690="",$N1690&gt;0),OR($I1690="",$I1690="NR",$O1690&gt;0),IF(ISNUMBER($J1690),AND($J1690&gt;=0,$J1690=INT($J1690)),FALSE())),$J1690,0)</f>
        <v>0</v>
      </c>
      <c r="Q1690" s="64" t="n">
        <f aca="false">IF(AND($P1690&gt;0,$O1690&gt;0),$P1690,0)</f>
        <v>0</v>
      </c>
      <c r="R1690" s="64" t="n">
        <f aca="false">IF(AND($Q1690&gt;0,$O1690&gt;=AtRank),$Q1690,0)</f>
        <v>0</v>
      </c>
      <c r="S1690" s="64" t="n">
        <f aca="false">IF(AND($Q1690&gt;0,$O1690&gt;=AboveRank),$Q1690,0)</f>
        <v>0</v>
      </c>
      <c r="T1690" s="64" t="n">
        <f aca="false">IF($K1690="Less",$P1690,0)</f>
        <v>0</v>
      </c>
      <c r="U1690" s="64" t="n">
        <f aca="false">IF($K1690="Expected",$P1690,0)</f>
        <v>0</v>
      </c>
      <c r="V1690" s="64" t="n">
        <f aca="false">IF($K1690="Better",$P1690,0)</f>
        <v>0</v>
      </c>
      <c r="W1690" s="64" t="n">
        <f aca="false">IF($K1690="U – needs rule",$P1690,0)</f>
        <v>0</v>
      </c>
      <c r="X1690" s="64" t="n">
        <f aca="false">IF($K1690="No Start (attainment only)",$P1690,0)</f>
        <v>0</v>
      </c>
    </row>
    <row r="1691" customFormat="false" ht="15" hidden="false" customHeight="false" outlineLevel="0" collapsed="false">
      <c r="A1691" s="60"/>
      <c r="B1691" s="61" t="str">
        <f aca="false">IF($M1691=0,"",INDEX(Classes!$E$6:$E$420,$M1691))</f>
        <v/>
      </c>
      <c r="C1691" s="62" t="str">
        <f aca="false">IF($M1691=0,"",INDEX(Classes!$H$6:$H$420,$M1691))</f>
        <v/>
      </c>
      <c r="D1691" s="61" t="str">
        <f aca="false">IF($M1691=0,"",INDEX(Classes!$B$6:$B$420,$M1691))</f>
        <v/>
      </c>
      <c r="E1691" s="61" t="str">
        <f aca="false">IF($M1691=0,"",INDEX(Classes!$C$6:$C$420,$M1691))</f>
        <v/>
      </c>
      <c r="F1691" s="63"/>
      <c r="G1691" s="63"/>
      <c r="H1691" s="60"/>
      <c r="I1691" s="60"/>
      <c r="J1691" s="63"/>
      <c r="K1691" s="61" t="str">
        <f aca="false">IF($P1691=0,"",IF($F1691="Baseline","— Baseline",IF($O1691=0,"No result",IF($N1691=0,"No Start (attainment only)",IF(OR($N1691=1,$O1691=1),"U – needs rule",INDEX(MxBody,MATCH($I1691,MxCurr,0),MATCH($H1691,MxStart,0)))))))</f>
        <v/>
      </c>
      <c r="L1691" s="62" t="str">
        <f aca="false">IF(COUNTA($A1691,$F1691,$G1691,$H1691,$I1691,$J1691)=0,"",IF($M1691=0,"✖ كود الصف غير موجود",IF(ISNA(MATCH($F1691,Lists!$A$2:$A$5,0)),"✖ الفترة غير صحيحة",IF(ISNA(MATCH($G1691,Lists!$B$2:$B$7,0)),"✖ المجموعة غير صحيحة",IF(NOT(OR($H1691="",$N1691&gt;0)),"✖ Start غير صحيح",IF(NOT(OR($I1691="",$I1691="NR",$O1691&gt;0)),"✖ Current غير صحيح",IF(NOT(IF(ISNUMBER($J1691),AND($J1691&gt;=0,$J1691=INT($J1691)),FALSE())),"✖ العدد يجب أن يكون صحيحًا ≥ 0",IF(AND($F1691="Baseline",$H1691&lt;&gt;""),"⚠ Baseline: Start لا يدخل في التقدم",IF($K1691="No Start (attainment only)","ℹ تحصيل فقط (بدون Start)",IF($K1691="U – needs rule","ℹ حالة U تحتاج قاعدة معتمدة",IF($K1691="No result","ℹ بدون نتيجة (يُستبعد من التحصيل)","OK")))))))))))</f>
        <v/>
      </c>
      <c r="M1691" s="64" t="n">
        <f aca="false">IF($A1691="",0,IFERROR(MATCH($A1691,Classes!$A$6:$A$420,0),0))</f>
        <v>0</v>
      </c>
      <c r="N1691" s="64" t="n">
        <f aca="false">IF($H1691="",0,IFERROR(MATCH($H1691,GradeList,0),0))</f>
        <v>0</v>
      </c>
      <c r="O1691" s="64" t="n">
        <f aca="false">IF(OR($I1691="",$I1691="NR"),0,IFERROR(MATCH($I1691,GradeList,0),0))</f>
        <v>0</v>
      </c>
      <c r="P1691" s="64" t="n">
        <f aca="false">IF(AND($M1691&gt;0,ISNUMBER(MATCH($F1691,Lists!$A$2:$A$5,0)),ISNUMBER(MATCH($G1691,Lists!$B$2:$B$7,0)),OR($H1691="",$N1691&gt;0),OR($I1691="",$I1691="NR",$O1691&gt;0),IF(ISNUMBER($J1691),AND($J1691&gt;=0,$J1691=INT($J1691)),FALSE())),$J1691,0)</f>
        <v>0</v>
      </c>
      <c r="Q1691" s="64" t="n">
        <f aca="false">IF(AND($P1691&gt;0,$O1691&gt;0),$P1691,0)</f>
        <v>0</v>
      </c>
      <c r="R1691" s="64" t="n">
        <f aca="false">IF(AND($Q1691&gt;0,$O1691&gt;=AtRank),$Q1691,0)</f>
        <v>0</v>
      </c>
      <c r="S1691" s="64" t="n">
        <f aca="false">IF(AND($Q1691&gt;0,$O1691&gt;=AboveRank),$Q1691,0)</f>
        <v>0</v>
      </c>
      <c r="T1691" s="64" t="n">
        <f aca="false">IF($K1691="Less",$P1691,0)</f>
        <v>0</v>
      </c>
      <c r="U1691" s="64" t="n">
        <f aca="false">IF($K1691="Expected",$P1691,0)</f>
        <v>0</v>
      </c>
      <c r="V1691" s="64" t="n">
        <f aca="false">IF($K1691="Better",$P1691,0)</f>
        <v>0</v>
      </c>
      <c r="W1691" s="64" t="n">
        <f aca="false">IF($K1691="U – needs rule",$P1691,0)</f>
        <v>0</v>
      </c>
      <c r="X1691" s="64" t="n">
        <f aca="false">IF($K1691="No Start (attainment only)",$P1691,0)</f>
        <v>0</v>
      </c>
    </row>
    <row r="1692" customFormat="false" ht="15" hidden="false" customHeight="false" outlineLevel="0" collapsed="false">
      <c r="A1692" s="60"/>
      <c r="B1692" s="61" t="str">
        <f aca="false">IF($M1692=0,"",INDEX(Classes!$E$6:$E$420,$M1692))</f>
        <v/>
      </c>
      <c r="C1692" s="62" t="str">
        <f aca="false">IF($M1692=0,"",INDEX(Classes!$H$6:$H$420,$M1692))</f>
        <v/>
      </c>
      <c r="D1692" s="61" t="str">
        <f aca="false">IF($M1692=0,"",INDEX(Classes!$B$6:$B$420,$M1692))</f>
        <v/>
      </c>
      <c r="E1692" s="61" t="str">
        <f aca="false">IF($M1692=0,"",INDEX(Classes!$C$6:$C$420,$M1692))</f>
        <v/>
      </c>
      <c r="F1692" s="63"/>
      <c r="G1692" s="63"/>
      <c r="H1692" s="60"/>
      <c r="I1692" s="60"/>
      <c r="J1692" s="63"/>
      <c r="K1692" s="61" t="str">
        <f aca="false">IF($P1692=0,"",IF($F1692="Baseline","— Baseline",IF($O1692=0,"No result",IF($N1692=0,"No Start (attainment only)",IF(OR($N1692=1,$O1692=1),"U – needs rule",INDEX(MxBody,MATCH($I1692,MxCurr,0),MATCH($H1692,MxStart,0)))))))</f>
        <v/>
      </c>
      <c r="L1692" s="62" t="str">
        <f aca="false">IF(COUNTA($A1692,$F1692,$G1692,$H1692,$I1692,$J1692)=0,"",IF($M1692=0,"✖ كود الصف غير موجود",IF(ISNA(MATCH($F1692,Lists!$A$2:$A$5,0)),"✖ الفترة غير صحيحة",IF(ISNA(MATCH($G1692,Lists!$B$2:$B$7,0)),"✖ المجموعة غير صحيحة",IF(NOT(OR($H1692="",$N1692&gt;0)),"✖ Start غير صحيح",IF(NOT(OR($I1692="",$I1692="NR",$O1692&gt;0)),"✖ Current غير صحيح",IF(NOT(IF(ISNUMBER($J1692),AND($J1692&gt;=0,$J1692=INT($J1692)),FALSE())),"✖ العدد يجب أن يكون صحيحًا ≥ 0",IF(AND($F1692="Baseline",$H1692&lt;&gt;""),"⚠ Baseline: Start لا يدخل في التقدم",IF($K1692="No Start (attainment only)","ℹ تحصيل فقط (بدون Start)",IF($K1692="U – needs rule","ℹ حالة U تحتاج قاعدة معتمدة",IF($K1692="No result","ℹ بدون نتيجة (يُستبعد من التحصيل)","OK")))))))))))</f>
        <v/>
      </c>
      <c r="M1692" s="64" t="n">
        <f aca="false">IF($A1692="",0,IFERROR(MATCH($A1692,Classes!$A$6:$A$420,0),0))</f>
        <v>0</v>
      </c>
      <c r="N1692" s="64" t="n">
        <f aca="false">IF($H1692="",0,IFERROR(MATCH($H1692,GradeList,0),0))</f>
        <v>0</v>
      </c>
      <c r="O1692" s="64" t="n">
        <f aca="false">IF(OR($I1692="",$I1692="NR"),0,IFERROR(MATCH($I1692,GradeList,0),0))</f>
        <v>0</v>
      </c>
      <c r="P1692" s="64" t="n">
        <f aca="false">IF(AND($M1692&gt;0,ISNUMBER(MATCH($F1692,Lists!$A$2:$A$5,0)),ISNUMBER(MATCH($G1692,Lists!$B$2:$B$7,0)),OR($H1692="",$N1692&gt;0),OR($I1692="",$I1692="NR",$O1692&gt;0),IF(ISNUMBER($J1692),AND($J1692&gt;=0,$J1692=INT($J1692)),FALSE())),$J1692,0)</f>
        <v>0</v>
      </c>
      <c r="Q1692" s="64" t="n">
        <f aca="false">IF(AND($P1692&gt;0,$O1692&gt;0),$P1692,0)</f>
        <v>0</v>
      </c>
      <c r="R1692" s="64" t="n">
        <f aca="false">IF(AND($Q1692&gt;0,$O1692&gt;=AtRank),$Q1692,0)</f>
        <v>0</v>
      </c>
      <c r="S1692" s="64" t="n">
        <f aca="false">IF(AND($Q1692&gt;0,$O1692&gt;=AboveRank),$Q1692,0)</f>
        <v>0</v>
      </c>
      <c r="T1692" s="64" t="n">
        <f aca="false">IF($K1692="Less",$P1692,0)</f>
        <v>0</v>
      </c>
      <c r="U1692" s="64" t="n">
        <f aca="false">IF($K1692="Expected",$P1692,0)</f>
        <v>0</v>
      </c>
      <c r="V1692" s="64" t="n">
        <f aca="false">IF($K1692="Better",$P1692,0)</f>
        <v>0</v>
      </c>
      <c r="W1692" s="64" t="n">
        <f aca="false">IF($K1692="U – needs rule",$P1692,0)</f>
        <v>0</v>
      </c>
      <c r="X1692" s="64" t="n">
        <f aca="false">IF($K1692="No Start (attainment only)",$P1692,0)</f>
        <v>0</v>
      </c>
    </row>
    <row r="1693" customFormat="false" ht="15" hidden="false" customHeight="false" outlineLevel="0" collapsed="false">
      <c r="A1693" s="60"/>
      <c r="B1693" s="61" t="str">
        <f aca="false">IF($M1693=0,"",INDEX(Classes!$E$6:$E$420,$M1693))</f>
        <v/>
      </c>
      <c r="C1693" s="62" t="str">
        <f aca="false">IF($M1693=0,"",INDEX(Classes!$H$6:$H$420,$M1693))</f>
        <v/>
      </c>
      <c r="D1693" s="61" t="str">
        <f aca="false">IF($M1693=0,"",INDEX(Classes!$B$6:$B$420,$M1693))</f>
        <v/>
      </c>
      <c r="E1693" s="61" t="str">
        <f aca="false">IF($M1693=0,"",INDEX(Classes!$C$6:$C$420,$M1693))</f>
        <v/>
      </c>
      <c r="F1693" s="63"/>
      <c r="G1693" s="63"/>
      <c r="H1693" s="60"/>
      <c r="I1693" s="60"/>
      <c r="J1693" s="63"/>
      <c r="K1693" s="61" t="str">
        <f aca="false">IF($P1693=0,"",IF($F1693="Baseline","— Baseline",IF($O1693=0,"No result",IF($N1693=0,"No Start (attainment only)",IF(OR($N1693=1,$O1693=1),"U – needs rule",INDEX(MxBody,MATCH($I1693,MxCurr,0),MATCH($H1693,MxStart,0)))))))</f>
        <v/>
      </c>
      <c r="L1693" s="62" t="str">
        <f aca="false">IF(COUNTA($A1693,$F1693,$G1693,$H1693,$I1693,$J1693)=0,"",IF($M1693=0,"✖ كود الصف غير موجود",IF(ISNA(MATCH($F1693,Lists!$A$2:$A$5,0)),"✖ الفترة غير صحيحة",IF(ISNA(MATCH($G1693,Lists!$B$2:$B$7,0)),"✖ المجموعة غير صحيحة",IF(NOT(OR($H1693="",$N1693&gt;0)),"✖ Start غير صحيح",IF(NOT(OR($I1693="",$I1693="NR",$O1693&gt;0)),"✖ Current غير صحيح",IF(NOT(IF(ISNUMBER($J1693),AND($J1693&gt;=0,$J1693=INT($J1693)),FALSE())),"✖ العدد يجب أن يكون صحيحًا ≥ 0",IF(AND($F1693="Baseline",$H1693&lt;&gt;""),"⚠ Baseline: Start لا يدخل في التقدم",IF($K1693="No Start (attainment only)","ℹ تحصيل فقط (بدون Start)",IF($K1693="U – needs rule","ℹ حالة U تحتاج قاعدة معتمدة",IF($K1693="No result","ℹ بدون نتيجة (يُستبعد من التحصيل)","OK")))))))))))</f>
        <v/>
      </c>
      <c r="M1693" s="64" t="n">
        <f aca="false">IF($A1693="",0,IFERROR(MATCH($A1693,Classes!$A$6:$A$420,0),0))</f>
        <v>0</v>
      </c>
      <c r="N1693" s="64" t="n">
        <f aca="false">IF($H1693="",0,IFERROR(MATCH($H1693,GradeList,0),0))</f>
        <v>0</v>
      </c>
      <c r="O1693" s="64" t="n">
        <f aca="false">IF(OR($I1693="",$I1693="NR"),0,IFERROR(MATCH($I1693,GradeList,0),0))</f>
        <v>0</v>
      </c>
      <c r="P1693" s="64" t="n">
        <f aca="false">IF(AND($M1693&gt;0,ISNUMBER(MATCH($F1693,Lists!$A$2:$A$5,0)),ISNUMBER(MATCH($G1693,Lists!$B$2:$B$7,0)),OR($H1693="",$N1693&gt;0),OR($I1693="",$I1693="NR",$O1693&gt;0),IF(ISNUMBER($J1693),AND($J1693&gt;=0,$J1693=INT($J1693)),FALSE())),$J1693,0)</f>
        <v>0</v>
      </c>
      <c r="Q1693" s="64" t="n">
        <f aca="false">IF(AND($P1693&gt;0,$O1693&gt;0),$P1693,0)</f>
        <v>0</v>
      </c>
      <c r="R1693" s="64" t="n">
        <f aca="false">IF(AND($Q1693&gt;0,$O1693&gt;=AtRank),$Q1693,0)</f>
        <v>0</v>
      </c>
      <c r="S1693" s="64" t="n">
        <f aca="false">IF(AND($Q1693&gt;0,$O1693&gt;=AboveRank),$Q1693,0)</f>
        <v>0</v>
      </c>
      <c r="T1693" s="64" t="n">
        <f aca="false">IF($K1693="Less",$P1693,0)</f>
        <v>0</v>
      </c>
      <c r="U1693" s="64" t="n">
        <f aca="false">IF($K1693="Expected",$P1693,0)</f>
        <v>0</v>
      </c>
      <c r="V1693" s="64" t="n">
        <f aca="false">IF($K1693="Better",$P1693,0)</f>
        <v>0</v>
      </c>
      <c r="W1693" s="64" t="n">
        <f aca="false">IF($K1693="U – needs rule",$P1693,0)</f>
        <v>0</v>
      </c>
      <c r="X1693" s="64" t="n">
        <f aca="false">IF($K1693="No Start (attainment only)",$P1693,0)</f>
        <v>0</v>
      </c>
    </row>
    <row r="1694" customFormat="false" ht="15" hidden="false" customHeight="false" outlineLevel="0" collapsed="false">
      <c r="A1694" s="60"/>
      <c r="B1694" s="61" t="str">
        <f aca="false">IF($M1694=0,"",INDEX(Classes!$E$6:$E$420,$M1694))</f>
        <v/>
      </c>
      <c r="C1694" s="62" t="str">
        <f aca="false">IF($M1694=0,"",INDEX(Classes!$H$6:$H$420,$M1694))</f>
        <v/>
      </c>
      <c r="D1694" s="61" t="str">
        <f aca="false">IF($M1694=0,"",INDEX(Classes!$B$6:$B$420,$M1694))</f>
        <v/>
      </c>
      <c r="E1694" s="61" t="str">
        <f aca="false">IF($M1694=0,"",INDEX(Classes!$C$6:$C$420,$M1694))</f>
        <v/>
      </c>
      <c r="F1694" s="63"/>
      <c r="G1694" s="63"/>
      <c r="H1694" s="60"/>
      <c r="I1694" s="60"/>
      <c r="J1694" s="63"/>
      <c r="K1694" s="61" t="str">
        <f aca="false">IF($P1694=0,"",IF($F1694="Baseline","— Baseline",IF($O1694=0,"No result",IF($N1694=0,"No Start (attainment only)",IF(OR($N1694=1,$O1694=1),"U – needs rule",INDEX(MxBody,MATCH($I1694,MxCurr,0),MATCH($H1694,MxStart,0)))))))</f>
        <v/>
      </c>
      <c r="L1694" s="62" t="str">
        <f aca="false">IF(COUNTA($A1694,$F1694,$G1694,$H1694,$I1694,$J1694)=0,"",IF($M1694=0,"✖ كود الصف غير موجود",IF(ISNA(MATCH($F1694,Lists!$A$2:$A$5,0)),"✖ الفترة غير صحيحة",IF(ISNA(MATCH($G1694,Lists!$B$2:$B$7,0)),"✖ المجموعة غير صحيحة",IF(NOT(OR($H1694="",$N1694&gt;0)),"✖ Start غير صحيح",IF(NOT(OR($I1694="",$I1694="NR",$O1694&gt;0)),"✖ Current غير صحيح",IF(NOT(IF(ISNUMBER($J1694),AND($J1694&gt;=0,$J1694=INT($J1694)),FALSE())),"✖ العدد يجب أن يكون صحيحًا ≥ 0",IF(AND($F1694="Baseline",$H1694&lt;&gt;""),"⚠ Baseline: Start لا يدخل في التقدم",IF($K1694="No Start (attainment only)","ℹ تحصيل فقط (بدون Start)",IF($K1694="U – needs rule","ℹ حالة U تحتاج قاعدة معتمدة",IF($K1694="No result","ℹ بدون نتيجة (يُستبعد من التحصيل)","OK")))))))))))</f>
        <v/>
      </c>
      <c r="M1694" s="64" t="n">
        <f aca="false">IF($A1694="",0,IFERROR(MATCH($A1694,Classes!$A$6:$A$420,0),0))</f>
        <v>0</v>
      </c>
      <c r="N1694" s="64" t="n">
        <f aca="false">IF($H1694="",0,IFERROR(MATCH($H1694,GradeList,0),0))</f>
        <v>0</v>
      </c>
      <c r="O1694" s="64" t="n">
        <f aca="false">IF(OR($I1694="",$I1694="NR"),0,IFERROR(MATCH($I1694,GradeList,0),0))</f>
        <v>0</v>
      </c>
      <c r="P1694" s="64" t="n">
        <f aca="false">IF(AND($M1694&gt;0,ISNUMBER(MATCH($F1694,Lists!$A$2:$A$5,0)),ISNUMBER(MATCH($G1694,Lists!$B$2:$B$7,0)),OR($H1694="",$N1694&gt;0),OR($I1694="",$I1694="NR",$O1694&gt;0),IF(ISNUMBER($J1694),AND($J1694&gt;=0,$J1694=INT($J1694)),FALSE())),$J1694,0)</f>
        <v>0</v>
      </c>
      <c r="Q1694" s="64" t="n">
        <f aca="false">IF(AND($P1694&gt;0,$O1694&gt;0),$P1694,0)</f>
        <v>0</v>
      </c>
      <c r="R1694" s="64" t="n">
        <f aca="false">IF(AND($Q1694&gt;0,$O1694&gt;=AtRank),$Q1694,0)</f>
        <v>0</v>
      </c>
      <c r="S1694" s="64" t="n">
        <f aca="false">IF(AND($Q1694&gt;0,$O1694&gt;=AboveRank),$Q1694,0)</f>
        <v>0</v>
      </c>
      <c r="T1694" s="64" t="n">
        <f aca="false">IF($K1694="Less",$P1694,0)</f>
        <v>0</v>
      </c>
      <c r="U1694" s="64" t="n">
        <f aca="false">IF($K1694="Expected",$P1694,0)</f>
        <v>0</v>
      </c>
      <c r="V1694" s="64" t="n">
        <f aca="false">IF($K1694="Better",$P1694,0)</f>
        <v>0</v>
      </c>
      <c r="W1694" s="64" t="n">
        <f aca="false">IF($K1694="U – needs rule",$P1694,0)</f>
        <v>0</v>
      </c>
      <c r="X1694" s="64" t="n">
        <f aca="false">IF($K1694="No Start (attainment only)",$P1694,0)</f>
        <v>0</v>
      </c>
    </row>
    <row r="1695" customFormat="false" ht="15" hidden="false" customHeight="false" outlineLevel="0" collapsed="false">
      <c r="A1695" s="60"/>
      <c r="B1695" s="61" t="str">
        <f aca="false">IF($M1695=0,"",INDEX(Classes!$E$6:$E$420,$M1695))</f>
        <v/>
      </c>
      <c r="C1695" s="62" t="str">
        <f aca="false">IF($M1695=0,"",INDEX(Classes!$H$6:$H$420,$M1695))</f>
        <v/>
      </c>
      <c r="D1695" s="61" t="str">
        <f aca="false">IF($M1695=0,"",INDEX(Classes!$B$6:$B$420,$M1695))</f>
        <v/>
      </c>
      <c r="E1695" s="61" t="str">
        <f aca="false">IF($M1695=0,"",INDEX(Classes!$C$6:$C$420,$M1695))</f>
        <v/>
      </c>
      <c r="F1695" s="63"/>
      <c r="G1695" s="63"/>
      <c r="H1695" s="60"/>
      <c r="I1695" s="60"/>
      <c r="J1695" s="63"/>
      <c r="K1695" s="61" t="str">
        <f aca="false">IF($P1695=0,"",IF($F1695="Baseline","— Baseline",IF($O1695=0,"No result",IF($N1695=0,"No Start (attainment only)",IF(OR($N1695=1,$O1695=1),"U – needs rule",INDEX(MxBody,MATCH($I1695,MxCurr,0),MATCH($H1695,MxStart,0)))))))</f>
        <v/>
      </c>
      <c r="L1695" s="62" t="str">
        <f aca="false">IF(COUNTA($A1695,$F1695,$G1695,$H1695,$I1695,$J1695)=0,"",IF($M1695=0,"✖ كود الصف غير موجود",IF(ISNA(MATCH($F1695,Lists!$A$2:$A$5,0)),"✖ الفترة غير صحيحة",IF(ISNA(MATCH($G1695,Lists!$B$2:$B$7,0)),"✖ المجموعة غير صحيحة",IF(NOT(OR($H1695="",$N1695&gt;0)),"✖ Start غير صحيح",IF(NOT(OR($I1695="",$I1695="NR",$O1695&gt;0)),"✖ Current غير صحيح",IF(NOT(IF(ISNUMBER($J1695),AND($J1695&gt;=0,$J1695=INT($J1695)),FALSE())),"✖ العدد يجب أن يكون صحيحًا ≥ 0",IF(AND($F1695="Baseline",$H1695&lt;&gt;""),"⚠ Baseline: Start لا يدخل في التقدم",IF($K1695="No Start (attainment only)","ℹ تحصيل فقط (بدون Start)",IF($K1695="U – needs rule","ℹ حالة U تحتاج قاعدة معتمدة",IF($K1695="No result","ℹ بدون نتيجة (يُستبعد من التحصيل)","OK")))))))))))</f>
        <v/>
      </c>
      <c r="M1695" s="64" t="n">
        <f aca="false">IF($A1695="",0,IFERROR(MATCH($A1695,Classes!$A$6:$A$420,0),0))</f>
        <v>0</v>
      </c>
      <c r="N1695" s="64" t="n">
        <f aca="false">IF($H1695="",0,IFERROR(MATCH($H1695,GradeList,0),0))</f>
        <v>0</v>
      </c>
      <c r="O1695" s="64" t="n">
        <f aca="false">IF(OR($I1695="",$I1695="NR"),0,IFERROR(MATCH($I1695,GradeList,0),0))</f>
        <v>0</v>
      </c>
      <c r="P1695" s="64" t="n">
        <f aca="false">IF(AND($M1695&gt;0,ISNUMBER(MATCH($F1695,Lists!$A$2:$A$5,0)),ISNUMBER(MATCH($G1695,Lists!$B$2:$B$7,0)),OR($H1695="",$N1695&gt;0),OR($I1695="",$I1695="NR",$O1695&gt;0),IF(ISNUMBER($J1695),AND($J1695&gt;=0,$J1695=INT($J1695)),FALSE())),$J1695,0)</f>
        <v>0</v>
      </c>
      <c r="Q1695" s="64" t="n">
        <f aca="false">IF(AND($P1695&gt;0,$O1695&gt;0),$P1695,0)</f>
        <v>0</v>
      </c>
      <c r="R1695" s="64" t="n">
        <f aca="false">IF(AND($Q1695&gt;0,$O1695&gt;=AtRank),$Q1695,0)</f>
        <v>0</v>
      </c>
      <c r="S1695" s="64" t="n">
        <f aca="false">IF(AND($Q1695&gt;0,$O1695&gt;=AboveRank),$Q1695,0)</f>
        <v>0</v>
      </c>
      <c r="T1695" s="64" t="n">
        <f aca="false">IF($K1695="Less",$P1695,0)</f>
        <v>0</v>
      </c>
      <c r="U1695" s="64" t="n">
        <f aca="false">IF($K1695="Expected",$P1695,0)</f>
        <v>0</v>
      </c>
      <c r="V1695" s="64" t="n">
        <f aca="false">IF($K1695="Better",$P1695,0)</f>
        <v>0</v>
      </c>
      <c r="W1695" s="64" t="n">
        <f aca="false">IF($K1695="U – needs rule",$P1695,0)</f>
        <v>0</v>
      </c>
      <c r="X1695" s="64" t="n">
        <f aca="false">IF($K1695="No Start (attainment only)",$P1695,0)</f>
        <v>0</v>
      </c>
    </row>
    <row r="1696" customFormat="false" ht="15" hidden="false" customHeight="false" outlineLevel="0" collapsed="false">
      <c r="A1696" s="60"/>
      <c r="B1696" s="61" t="str">
        <f aca="false">IF($M1696=0,"",INDEX(Classes!$E$6:$E$420,$M1696))</f>
        <v/>
      </c>
      <c r="C1696" s="62" t="str">
        <f aca="false">IF($M1696=0,"",INDEX(Classes!$H$6:$H$420,$M1696))</f>
        <v/>
      </c>
      <c r="D1696" s="61" t="str">
        <f aca="false">IF($M1696=0,"",INDEX(Classes!$B$6:$B$420,$M1696))</f>
        <v/>
      </c>
      <c r="E1696" s="61" t="str">
        <f aca="false">IF($M1696=0,"",INDEX(Classes!$C$6:$C$420,$M1696))</f>
        <v/>
      </c>
      <c r="F1696" s="63"/>
      <c r="G1696" s="63"/>
      <c r="H1696" s="60"/>
      <c r="I1696" s="60"/>
      <c r="J1696" s="63"/>
      <c r="K1696" s="61" t="str">
        <f aca="false">IF($P1696=0,"",IF($F1696="Baseline","— Baseline",IF($O1696=0,"No result",IF($N1696=0,"No Start (attainment only)",IF(OR($N1696=1,$O1696=1),"U – needs rule",INDEX(MxBody,MATCH($I1696,MxCurr,0),MATCH($H1696,MxStart,0)))))))</f>
        <v/>
      </c>
      <c r="L1696" s="62" t="str">
        <f aca="false">IF(COUNTA($A1696,$F1696,$G1696,$H1696,$I1696,$J1696)=0,"",IF($M1696=0,"✖ كود الصف غير موجود",IF(ISNA(MATCH($F1696,Lists!$A$2:$A$5,0)),"✖ الفترة غير صحيحة",IF(ISNA(MATCH($G1696,Lists!$B$2:$B$7,0)),"✖ المجموعة غير صحيحة",IF(NOT(OR($H1696="",$N1696&gt;0)),"✖ Start غير صحيح",IF(NOT(OR($I1696="",$I1696="NR",$O1696&gt;0)),"✖ Current غير صحيح",IF(NOT(IF(ISNUMBER($J1696),AND($J1696&gt;=0,$J1696=INT($J1696)),FALSE())),"✖ العدد يجب أن يكون صحيحًا ≥ 0",IF(AND($F1696="Baseline",$H1696&lt;&gt;""),"⚠ Baseline: Start لا يدخل في التقدم",IF($K1696="No Start (attainment only)","ℹ تحصيل فقط (بدون Start)",IF($K1696="U – needs rule","ℹ حالة U تحتاج قاعدة معتمدة",IF($K1696="No result","ℹ بدون نتيجة (يُستبعد من التحصيل)","OK")))))))))))</f>
        <v/>
      </c>
      <c r="M1696" s="64" t="n">
        <f aca="false">IF($A1696="",0,IFERROR(MATCH($A1696,Classes!$A$6:$A$420,0),0))</f>
        <v>0</v>
      </c>
      <c r="N1696" s="64" t="n">
        <f aca="false">IF($H1696="",0,IFERROR(MATCH($H1696,GradeList,0),0))</f>
        <v>0</v>
      </c>
      <c r="O1696" s="64" t="n">
        <f aca="false">IF(OR($I1696="",$I1696="NR"),0,IFERROR(MATCH($I1696,GradeList,0),0))</f>
        <v>0</v>
      </c>
      <c r="P1696" s="64" t="n">
        <f aca="false">IF(AND($M1696&gt;0,ISNUMBER(MATCH($F1696,Lists!$A$2:$A$5,0)),ISNUMBER(MATCH($G1696,Lists!$B$2:$B$7,0)),OR($H1696="",$N1696&gt;0),OR($I1696="",$I1696="NR",$O1696&gt;0),IF(ISNUMBER($J1696),AND($J1696&gt;=0,$J1696=INT($J1696)),FALSE())),$J1696,0)</f>
        <v>0</v>
      </c>
      <c r="Q1696" s="64" t="n">
        <f aca="false">IF(AND($P1696&gt;0,$O1696&gt;0),$P1696,0)</f>
        <v>0</v>
      </c>
      <c r="R1696" s="64" t="n">
        <f aca="false">IF(AND($Q1696&gt;0,$O1696&gt;=AtRank),$Q1696,0)</f>
        <v>0</v>
      </c>
      <c r="S1696" s="64" t="n">
        <f aca="false">IF(AND($Q1696&gt;0,$O1696&gt;=AboveRank),$Q1696,0)</f>
        <v>0</v>
      </c>
      <c r="T1696" s="64" t="n">
        <f aca="false">IF($K1696="Less",$P1696,0)</f>
        <v>0</v>
      </c>
      <c r="U1696" s="64" t="n">
        <f aca="false">IF($K1696="Expected",$P1696,0)</f>
        <v>0</v>
      </c>
      <c r="V1696" s="64" t="n">
        <f aca="false">IF($K1696="Better",$P1696,0)</f>
        <v>0</v>
      </c>
      <c r="W1696" s="64" t="n">
        <f aca="false">IF($K1696="U – needs rule",$P1696,0)</f>
        <v>0</v>
      </c>
      <c r="X1696" s="64" t="n">
        <f aca="false">IF($K1696="No Start (attainment only)",$P1696,0)</f>
        <v>0</v>
      </c>
    </row>
    <row r="1697" customFormat="false" ht="15" hidden="false" customHeight="false" outlineLevel="0" collapsed="false">
      <c r="A1697" s="60"/>
      <c r="B1697" s="61" t="str">
        <f aca="false">IF($M1697=0,"",INDEX(Classes!$E$6:$E$420,$M1697))</f>
        <v/>
      </c>
      <c r="C1697" s="62" t="str">
        <f aca="false">IF($M1697=0,"",INDEX(Classes!$H$6:$H$420,$M1697))</f>
        <v/>
      </c>
      <c r="D1697" s="61" t="str">
        <f aca="false">IF($M1697=0,"",INDEX(Classes!$B$6:$B$420,$M1697))</f>
        <v/>
      </c>
      <c r="E1697" s="61" t="str">
        <f aca="false">IF($M1697=0,"",INDEX(Classes!$C$6:$C$420,$M1697))</f>
        <v/>
      </c>
      <c r="F1697" s="63"/>
      <c r="G1697" s="63"/>
      <c r="H1697" s="60"/>
      <c r="I1697" s="60"/>
      <c r="J1697" s="63"/>
      <c r="K1697" s="61" t="str">
        <f aca="false">IF($P1697=0,"",IF($F1697="Baseline","— Baseline",IF($O1697=0,"No result",IF($N1697=0,"No Start (attainment only)",IF(OR($N1697=1,$O1697=1),"U – needs rule",INDEX(MxBody,MATCH($I1697,MxCurr,0),MATCH($H1697,MxStart,0)))))))</f>
        <v/>
      </c>
      <c r="L1697" s="62" t="str">
        <f aca="false">IF(COUNTA($A1697,$F1697,$G1697,$H1697,$I1697,$J1697)=0,"",IF($M1697=0,"✖ كود الصف غير موجود",IF(ISNA(MATCH($F1697,Lists!$A$2:$A$5,0)),"✖ الفترة غير صحيحة",IF(ISNA(MATCH($G1697,Lists!$B$2:$B$7,0)),"✖ المجموعة غير صحيحة",IF(NOT(OR($H1697="",$N1697&gt;0)),"✖ Start غير صحيح",IF(NOT(OR($I1697="",$I1697="NR",$O1697&gt;0)),"✖ Current غير صحيح",IF(NOT(IF(ISNUMBER($J1697),AND($J1697&gt;=0,$J1697=INT($J1697)),FALSE())),"✖ العدد يجب أن يكون صحيحًا ≥ 0",IF(AND($F1697="Baseline",$H1697&lt;&gt;""),"⚠ Baseline: Start لا يدخل في التقدم",IF($K1697="No Start (attainment only)","ℹ تحصيل فقط (بدون Start)",IF($K1697="U – needs rule","ℹ حالة U تحتاج قاعدة معتمدة",IF($K1697="No result","ℹ بدون نتيجة (يُستبعد من التحصيل)","OK")))))))))))</f>
        <v/>
      </c>
      <c r="M1697" s="64" t="n">
        <f aca="false">IF($A1697="",0,IFERROR(MATCH($A1697,Classes!$A$6:$A$420,0),0))</f>
        <v>0</v>
      </c>
      <c r="N1697" s="64" t="n">
        <f aca="false">IF($H1697="",0,IFERROR(MATCH($H1697,GradeList,0),0))</f>
        <v>0</v>
      </c>
      <c r="O1697" s="64" t="n">
        <f aca="false">IF(OR($I1697="",$I1697="NR"),0,IFERROR(MATCH($I1697,GradeList,0),0))</f>
        <v>0</v>
      </c>
      <c r="P1697" s="64" t="n">
        <f aca="false">IF(AND($M1697&gt;0,ISNUMBER(MATCH($F1697,Lists!$A$2:$A$5,0)),ISNUMBER(MATCH($G1697,Lists!$B$2:$B$7,0)),OR($H1697="",$N1697&gt;0),OR($I1697="",$I1697="NR",$O1697&gt;0),IF(ISNUMBER($J1697),AND($J1697&gt;=0,$J1697=INT($J1697)),FALSE())),$J1697,0)</f>
        <v>0</v>
      </c>
      <c r="Q1697" s="64" t="n">
        <f aca="false">IF(AND($P1697&gt;0,$O1697&gt;0),$P1697,0)</f>
        <v>0</v>
      </c>
      <c r="R1697" s="64" t="n">
        <f aca="false">IF(AND($Q1697&gt;0,$O1697&gt;=AtRank),$Q1697,0)</f>
        <v>0</v>
      </c>
      <c r="S1697" s="64" t="n">
        <f aca="false">IF(AND($Q1697&gt;0,$O1697&gt;=AboveRank),$Q1697,0)</f>
        <v>0</v>
      </c>
      <c r="T1697" s="64" t="n">
        <f aca="false">IF($K1697="Less",$P1697,0)</f>
        <v>0</v>
      </c>
      <c r="U1697" s="64" t="n">
        <f aca="false">IF($K1697="Expected",$P1697,0)</f>
        <v>0</v>
      </c>
      <c r="V1697" s="64" t="n">
        <f aca="false">IF($K1697="Better",$P1697,0)</f>
        <v>0</v>
      </c>
      <c r="W1697" s="64" t="n">
        <f aca="false">IF($K1697="U – needs rule",$P1697,0)</f>
        <v>0</v>
      </c>
      <c r="X1697" s="64" t="n">
        <f aca="false">IF($K1697="No Start (attainment only)",$P1697,0)</f>
        <v>0</v>
      </c>
    </row>
    <row r="1698" customFormat="false" ht="15" hidden="false" customHeight="false" outlineLevel="0" collapsed="false">
      <c r="A1698" s="60"/>
      <c r="B1698" s="61" t="str">
        <f aca="false">IF($M1698=0,"",INDEX(Classes!$E$6:$E$420,$M1698))</f>
        <v/>
      </c>
      <c r="C1698" s="62" t="str">
        <f aca="false">IF($M1698=0,"",INDEX(Classes!$H$6:$H$420,$M1698))</f>
        <v/>
      </c>
      <c r="D1698" s="61" t="str">
        <f aca="false">IF($M1698=0,"",INDEX(Classes!$B$6:$B$420,$M1698))</f>
        <v/>
      </c>
      <c r="E1698" s="61" t="str">
        <f aca="false">IF($M1698=0,"",INDEX(Classes!$C$6:$C$420,$M1698))</f>
        <v/>
      </c>
      <c r="F1698" s="63"/>
      <c r="G1698" s="63"/>
      <c r="H1698" s="60"/>
      <c r="I1698" s="60"/>
      <c r="J1698" s="63"/>
      <c r="K1698" s="61" t="str">
        <f aca="false">IF($P1698=0,"",IF($F1698="Baseline","— Baseline",IF($O1698=0,"No result",IF($N1698=0,"No Start (attainment only)",IF(OR($N1698=1,$O1698=1),"U – needs rule",INDEX(MxBody,MATCH($I1698,MxCurr,0),MATCH($H1698,MxStart,0)))))))</f>
        <v/>
      </c>
      <c r="L1698" s="62" t="str">
        <f aca="false">IF(COUNTA($A1698,$F1698,$G1698,$H1698,$I1698,$J1698)=0,"",IF($M1698=0,"✖ كود الصف غير موجود",IF(ISNA(MATCH($F1698,Lists!$A$2:$A$5,0)),"✖ الفترة غير صحيحة",IF(ISNA(MATCH($G1698,Lists!$B$2:$B$7,0)),"✖ المجموعة غير صحيحة",IF(NOT(OR($H1698="",$N1698&gt;0)),"✖ Start غير صحيح",IF(NOT(OR($I1698="",$I1698="NR",$O1698&gt;0)),"✖ Current غير صحيح",IF(NOT(IF(ISNUMBER($J1698),AND($J1698&gt;=0,$J1698=INT($J1698)),FALSE())),"✖ العدد يجب أن يكون صحيحًا ≥ 0",IF(AND($F1698="Baseline",$H1698&lt;&gt;""),"⚠ Baseline: Start لا يدخل في التقدم",IF($K1698="No Start (attainment only)","ℹ تحصيل فقط (بدون Start)",IF($K1698="U – needs rule","ℹ حالة U تحتاج قاعدة معتمدة",IF($K1698="No result","ℹ بدون نتيجة (يُستبعد من التحصيل)","OK")))))))))))</f>
        <v/>
      </c>
      <c r="M1698" s="64" t="n">
        <f aca="false">IF($A1698="",0,IFERROR(MATCH($A1698,Classes!$A$6:$A$420,0),0))</f>
        <v>0</v>
      </c>
      <c r="N1698" s="64" t="n">
        <f aca="false">IF($H1698="",0,IFERROR(MATCH($H1698,GradeList,0),0))</f>
        <v>0</v>
      </c>
      <c r="O1698" s="64" t="n">
        <f aca="false">IF(OR($I1698="",$I1698="NR"),0,IFERROR(MATCH($I1698,GradeList,0),0))</f>
        <v>0</v>
      </c>
      <c r="P1698" s="64" t="n">
        <f aca="false">IF(AND($M1698&gt;0,ISNUMBER(MATCH($F1698,Lists!$A$2:$A$5,0)),ISNUMBER(MATCH($G1698,Lists!$B$2:$B$7,0)),OR($H1698="",$N1698&gt;0),OR($I1698="",$I1698="NR",$O1698&gt;0),IF(ISNUMBER($J1698),AND($J1698&gt;=0,$J1698=INT($J1698)),FALSE())),$J1698,0)</f>
        <v>0</v>
      </c>
      <c r="Q1698" s="64" t="n">
        <f aca="false">IF(AND($P1698&gt;0,$O1698&gt;0),$P1698,0)</f>
        <v>0</v>
      </c>
      <c r="R1698" s="64" t="n">
        <f aca="false">IF(AND($Q1698&gt;0,$O1698&gt;=AtRank),$Q1698,0)</f>
        <v>0</v>
      </c>
      <c r="S1698" s="64" t="n">
        <f aca="false">IF(AND($Q1698&gt;0,$O1698&gt;=AboveRank),$Q1698,0)</f>
        <v>0</v>
      </c>
      <c r="T1698" s="64" t="n">
        <f aca="false">IF($K1698="Less",$P1698,0)</f>
        <v>0</v>
      </c>
      <c r="U1698" s="64" t="n">
        <f aca="false">IF($K1698="Expected",$P1698,0)</f>
        <v>0</v>
      </c>
      <c r="V1698" s="64" t="n">
        <f aca="false">IF($K1698="Better",$P1698,0)</f>
        <v>0</v>
      </c>
      <c r="W1698" s="64" t="n">
        <f aca="false">IF($K1698="U – needs rule",$P1698,0)</f>
        <v>0</v>
      </c>
      <c r="X1698" s="64" t="n">
        <f aca="false">IF($K1698="No Start (attainment only)",$P1698,0)</f>
        <v>0</v>
      </c>
    </row>
    <row r="1699" customFormat="false" ht="15" hidden="false" customHeight="false" outlineLevel="0" collapsed="false">
      <c r="A1699" s="60"/>
      <c r="B1699" s="61" t="str">
        <f aca="false">IF($M1699=0,"",INDEX(Classes!$E$6:$E$420,$M1699))</f>
        <v/>
      </c>
      <c r="C1699" s="62" t="str">
        <f aca="false">IF($M1699=0,"",INDEX(Classes!$H$6:$H$420,$M1699))</f>
        <v/>
      </c>
      <c r="D1699" s="61" t="str">
        <f aca="false">IF($M1699=0,"",INDEX(Classes!$B$6:$B$420,$M1699))</f>
        <v/>
      </c>
      <c r="E1699" s="61" t="str">
        <f aca="false">IF($M1699=0,"",INDEX(Classes!$C$6:$C$420,$M1699))</f>
        <v/>
      </c>
      <c r="F1699" s="63"/>
      <c r="G1699" s="63"/>
      <c r="H1699" s="60"/>
      <c r="I1699" s="60"/>
      <c r="J1699" s="63"/>
      <c r="K1699" s="61" t="str">
        <f aca="false">IF($P1699=0,"",IF($F1699="Baseline","— Baseline",IF($O1699=0,"No result",IF($N1699=0,"No Start (attainment only)",IF(OR($N1699=1,$O1699=1),"U – needs rule",INDEX(MxBody,MATCH($I1699,MxCurr,0),MATCH($H1699,MxStart,0)))))))</f>
        <v/>
      </c>
      <c r="L1699" s="62" t="str">
        <f aca="false">IF(COUNTA($A1699,$F1699,$G1699,$H1699,$I1699,$J1699)=0,"",IF($M1699=0,"✖ كود الصف غير موجود",IF(ISNA(MATCH($F1699,Lists!$A$2:$A$5,0)),"✖ الفترة غير صحيحة",IF(ISNA(MATCH($G1699,Lists!$B$2:$B$7,0)),"✖ المجموعة غير صحيحة",IF(NOT(OR($H1699="",$N1699&gt;0)),"✖ Start غير صحيح",IF(NOT(OR($I1699="",$I1699="NR",$O1699&gt;0)),"✖ Current غير صحيح",IF(NOT(IF(ISNUMBER($J1699),AND($J1699&gt;=0,$J1699=INT($J1699)),FALSE())),"✖ العدد يجب أن يكون صحيحًا ≥ 0",IF(AND($F1699="Baseline",$H1699&lt;&gt;""),"⚠ Baseline: Start لا يدخل في التقدم",IF($K1699="No Start (attainment only)","ℹ تحصيل فقط (بدون Start)",IF($K1699="U – needs rule","ℹ حالة U تحتاج قاعدة معتمدة",IF($K1699="No result","ℹ بدون نتيجة (يُستبعد من التحصيل)","OK")))))))))))</f>
        <v/>
      </c>
      <c r="M1699" s="64" t="n">
        <f aca="false">IF($A1699="",0,IFERROR(MATCH($A1699,Classes!$A$6:$A$420,0),0))</f>
        <v>0</v>
      </c>
      <c r="N1699" s="64" t="n">
        <f aca="false">IF($H1699="",0,IFERROR(MATCH($H1699,GradeList,0),0))</f>
        <v>0</v>
      </c>
      <c r="O1699" s="64" t="n">
        <f aca="false">IF(OR($I1699="",$I1699="NR"),0,IFERROR(MATCH($I1699,GradeList,0),0))</f>
        <v>0</v>
      </c>
      <c r="P1699" s="64" t="n">
        <f aca="false">IF(AND($M1699&gt;0,ISNUMBER(MATCH($F1699,Lists!$A$2:$A$5,0)),ISNUMBER(MATCH($G1699,Lists!$B$2:$B$7,0)),OR($H1699="",$N1699&gt;0),OR($I1699="",$I1699="NR",$O1699&gt;0),IF(ISNUMBER($J1699),AND($J1699&gt;=0,$J1699=INT($J1699)),FALSE())),$J1699,0)</f>
        <v>0</v>
      </c>
      <c r="Q1699" s="64" t="n">
        <f aca="false">IF(AND($P1699&gt;0,$O1699&gt;0),$P1699,0)</f>
        <v>0</v>
      </c>
      <c r="R1699" s="64" t="n">
        <f aca="false">IF(AND($Q1699&gt;0,$O1699&gt;=AtRank),$Q1699,0)</f>
        <v>0</v>
      </c>
      <c r="S1699" s="64" t="n">
        <f aca="false">IF(AND($Q1699&gt;0,$O1699&gt;=AboveRank),$Q1699,0)</f>
        <v>0</v>
      </c>
      <c r="T1699" s="64" t="n">
        <f aca="false">IF($K1699="Less",$P1699,0)</f>
        <v>0</v>
      </c>
      <c r="U1699" s="64" t="n">
        <f aca="false">IF($K1699="Expected",$P1699,0)</f>
        <v>0</v>
      </c>
      <c r="V1699" s="64" t="n">
        <f aca="false">IF($K1699="Better",$P1699,0)</f>
        <v>0</v>
      </c>
      <c r="W1699" s="64" t="n">
        <f aca="false">IF($K1699="U – needs rule",$P1699,0)</f>
        <v>0</v>
      </c>
      <c r="X1699" s="64" t="n">
        <f aca="false">IF($K1699="No Start (attainment only)",$P1699,0)</f>
        <v>0</v>
      </c>
    </row>
    <row r="1700" customFormat="false" ht="15" hidden="false" customHeight="false" outlineLevel="0" collapsed="false">
      <c r="A1700" s="60"/>
      <c r="B1700" s="61" t="str">
        <f aca="false">IF($M1700=0,"",INDEX(Classes!$E$6:$E$420,$M1700))</f>
        <v/>
      </c>
      <c r="C1700" s="62" t="str">
        <f aca="false">IF($M1700=0,"",INDEX(Classes!$H$6:$H$420,$M1700))</f>
        <v/>
      </c>
      <c r="D1700" s="61" t="str">
        <f aca="false">IF($M1700=0,"",INDEX(Classes!$B$6:$B$420,$M1700))</f>
        <v/>
      </c>
      <c r="E1700" s="61" t="str">
        <f aca="false">IF($M1700=0,"",INDEX(Classes!$C$6:$C$420,$M1700))</f>
        <v/>
      </c>
      <c r="F1700" s="63"/>
      <c r="G1700" s="63"/>
      <c r="H1700" s="60"/>
      <c r="I1700" s="60"/>
      <c r="J1700" s="63"/>
      <c r="K1700" s="61" t="str">
        <f aca="false">IF($P1700=0,"",IF($F1700="Baseline","— Baseline",IF($O1700=0,"No result",IF($N1700=0,"No Start (attainment only)",IF(OR($N1700=1,$O1700=1),"U – needs rule",INDEX(MxBody,MATCH($I1700,MxCurr,0),MATCH($H1700,MxStart,0)))))))</f>
        <v/>
      </c>
      <c r="L1700" s="62" t="str">
        <f aca="false">IF(COUNTA($A1700,$F1700,$G1700,$H1700,$I1700,$J1700)=0,"",IF($M1700=0,"✖ كود الصف غير موجود",IF(ISNA(MATCH($F1700,Lists!$A$2:$A$5,0)),"✖ الفترة غير صحيحة",IF(ISNA(MATCH($G1700,Lists!$B$2:$B$7,0)),"✖ المجموعة غير صحيحة",IF(NOT(OR($H1700="",$N1700&gt;0)),"✖ Start غير صحيح",IF(NOT(OR($I1700="",$I1700="NR",$O1700&gt;0)),"✖ Current غير صحيح",IF(NOT(IF(ISNUMBER($J1700),AND($J1700&gt;=0,$J1700=INT($J1700)),FALSE())),"✖ العدد يجب أن يكون صحيحًا ≥ 0",IF(AND($F1700="Baseline",$H1700&lt;&gt;""),"⚠ Baseline: Start لا يدخل في التقدم",IF($K1700="No Start (attainment only)","ℹ تحصيل فقط (بدون Start)",IF($K1700="U – needs rule","ℹ حالة U تحتاج قاعدة معتمدة",IF($K1700="No result","ℹ بدون نتيجة (يُستبعد من التحصيل)","OK")))))))))))</f>
        <v/>
      </c>
      <c r="M1700" s="64" t="n">
        <f aca="false">IF($A1700="",0,IFERROR(MATCH($A1700,Classes!$A$6:$A$420,0),0))</f>
        <v>0</v>
      </c>
      <c r="N1700" s="64" t="n">
        <f aca="false">IF($H1700="",0,IFERROR(MATCH($H1700,GradeList,0),0))</f>
        <v>0</v>
      </c>
      <c r="O1700" s="64" t="n">
        <f aca="false">IF(OR($I1700="",$I1700="NR"),0,IFERROR(MATCH($I1700,GradeList,0),0))</f>
        <v>0</v>
      </c>
      <c r="P1700" s="64" t="n">
        <f aca="false">IF(AND($M1700&gt;0,ISNUMBER(MATCH($F1700,Lists!$A$2:$A$5,0)),ISNUMBER(MATCH($G1700,Lists!$B$2:$B$7,0)),OR($H1700="",$N1700&gt;0),OR($I1700="",$I1700="NR",$O1700&gt;0),IF(ISNUMBER($J1700),AND($J1700&gt;=0,$J1700=INT($J1700)),FALSE())),$J1700,0)</f>
        <v>0</v>
      </c>
      <c r="Q1700" s="64" t="n">
        <f aca="false">IF(AND($P1700&gt;0,$O1700&gt;0),$P1700,0)</f>
        <v>0</v>
      </c>
      <c r="R1700" s="64" t="n">
        <f aca="false">IF(AND($Q1700&gt;0,$O1700&gt;=AtRank),$Q1700,0)</f>
        <v>0</v>
      </c>
      <c r="S1700" s="64" t="n">
        <f aca="false">IF(AND($Q1700&gt;0,$O1700&gt;=AboveRank),$Q1700,0)</f>
        <v>0</v>
      </c>
      <c r="T1700" s="64" t="n">
        <f aca="false">IF($K1700="Less",$P1700,0)</f>
        <v>0</v>
      </c>
      <c r="U1700" s="64" t="n">
        <f aca="false">IF($K1700="Expected",$P1700,0)</f>
        <v>0</v>
      </c>
      <c r="V1700" s="64" t="n">
        <f aca="false">IF($K1700="Better",$P1700,0)</f>
        <v>0</v>
      </c>
      <c r="W1700" s="64" t="n">
        <f aca="false">IF($K1700="U – needs rule",$P1700,0)</f>
        <v>0</v>
      </c>
      <c r="X1700" s="64" t="n">
        <f aca="false">IF($K1700="No Start (attainment only)",$P1700,0)</f>
        <v>0</v>
      </c>
    </row>
    <row r="1701" customFormat="false" ht="15" hidden="false" customHeight="false" outlineLevel="0" collapsed="false">
      <c r="A1701" s="60"/>
      <c r="B1701" s="61" t="str">
        <f aca="false">IF($M1701=0,"",INDEX(Classes!$E$6:$E$420,$M1701))</f>
        <v/>
      </c>
      <c r="C1701" s="62" t="str">
        <f aca="false">IF($M1701=0,"",INDEX(Classes!$H$6:$H$420,$M1701))</f>
        <v/>
      </c>
      <c r="D1701" s="61" t="str">
        <f aca="false">IF($M1701=0,"",INDEX(Classes!$B$6:$B$420,$M1701))</f>
        <v/>
      </c>
      <c r="E1701" s="61" t="str">
        <f aca="false">IF($M1701=0,"",INDEX(Classes!$C$6:$C$420,$M1701))</f>
        <v/>
      </c>
      <c r="F1701" s="63"/>
      <c r="G1701" s="63"/>
      <c r="H1701" s="60"/>
      <c r="I1701" s="60"/>
      <c r="J1701" s="63"/>
      <c r="K1701" s="61" t="str">
        <f aca="false">IF($P1701=0,"",IF($F1701="Baseline","— Baseline",IF($O1701=0,"No result",IF($N1701=0,"No Start (attainment only)",IF(OR($N1701=1,$O1701=1),"U – needs rule",INDEX(MxBody,MATCH($I1701,MxCurr,0),MATCH($H1701,MxStart,0)))))))</f>
        <v/>
      </c>
      <c r="L1701" s="62" t="str">
        <f aca="false">IF(COUNTA($A1701,$F1701,$G1701,$H1701,$I1701,$J1701)=0,"",IF($M1701=0,"✖ كود الصف غير موجود",IF(ISNA(MATCH($F1701,Lists!$A$2:$A$5,0)),"✖ الفترة غير صحيحة",IF(ISNA(MATCH($G1701,Lists!$B$2:$B$7,0)),"✖ المجموعة غير صحيحة",IF(NOT(OR($H1701="",$N1701&gt;0)),"✖ Start غير صحيح",IF(NOT(OR($I1701="",$I1701="NR",$O1701&gt;0)),"✖ Current غير صحيح",IF(NOT(IF(ISNUMBER($J1701),AND($J1701&gt;=0,$J1701=INT($J1701)),FALSE())),"✖ العدد يجب أن يكون صحيحًا ≥ 0",IF(AND($F1701="Baseline",$H1701&lt;&gt;""),"⚠ Baseline: Start لا يدخل في التقدم",IF($K1701="No Start (attainment only)","ℹ تحصيل فقط (بدون Start)",IF($K1701="U – needs rule","ℹ حالة U تحتاج قاعدة معتمدة",IF($K1701="No result","ℹ بدون نتيجة (يُستبعد من التحصيل)","OK")))))))))))</f>
        <v/>
      </c>
      <c r="M1701" s="64" t="n">
        <f aca="false">IF($A1701="",0,IFERROR(MATCH($A1701,Classes!$A$6:$A$420,0),0))</f>
        <v>0</v>
      </c>
      <c r="N1701" s="64" t="n">
        <f aca="false">IF($H1701="",0,IFERROR(MATCH($H1701,GradeList,0),0))</f>
        <v>0</v>
      </c>
      <c r="O1701" s="64" t="n">
        <f aca="false">IF(OR($I1701="",$I1701="NR"),0,IFERROR(MATCH($I1701,GradeList,0),0))</f>
        <v>0</v>
      </c>
      <c r="P1701" s="64" t="n">
        <f aca="false">IF(AND($M1701&gt;0,ISNUMBER(MATCH($F1701,Lists!$A$2:$A$5,0)),ISNUMBER(MATCH($G1701,Lists!$B$2:$B$7,0)),OR($H1701="",$N1701&gt;0),OR($I1701="",$I1701="NR",$O1701&gt;0),IF(ISNUMBER($J1701),AND($J1701&gt;=0,$J1701=INT($J1701)),FALSE())),$J1701,0)</f>
        <v>0</v>
      </c>
      <c r="Q1701" s="64" t="n">
        <f aca="false">IF(AND($P1701&gt;0,$O1701&gt;0),$P1701,0)</f>
        <v>0</v>
      </c>
      <c r="R1701" s="64" t="n">
        <f aca="false">IF(AND($Q1701&gt;0,$O1701&gt;=AtRank),$Q1701,0)</f>
        <v>0</v>
      </c>
      <c r="S1701" s="64" t="n">
        <f aca="false">IF(AND($Q1701&gt;0,$O1701&gt;=AboveRank),$Q1701,0)</f>
        <v>0</v>
      </c>
      <c r="T1701" s="64" t="n">
        <f aca="false">IF($K1701="Less",$P1701,0)</f>
        <v>0</v>
      </c>
      <c r="U1701" s="64" t="n">
        <f aca="false">IF($K1701="Expected",$P1701,0)</f>
        <v>0</v>
      </c>
      <c r="V1701" s="64" t="n">
        <f aca="false">IF($K1701="Better",$P1701,0)</f>
        <v>0</v>
      </c>
      <c r="W1701" s="64" t="n">
        <f aca="false">IF($K1701="U – needs rule",$P1701,0)</f>
        <v>0</v>
      </c>
      <c r="X1701" s="64" t="n">
        <f aca="false">IF($K1701="No Start (attainment only)",$P1701,0)</f>
        <v>0</v>
      </c>
    </row>
    <row r="1702" customFormat="false" ht="15" hidden="false" customHeight="false" outlineLevel="0" collapsed="false">
      <c r="A1702" s="60"/>
      <c r="B1702" s="61" t="str">
        <f aca="false">IF($M1702=0,"",INDEX(Classes!$E$6:$E$420,$M1702))</f>
        <v/>
      </c>
      <c r="C1702" s="62" t="str">
        <f aca="false">IF($M1702=0,"",INDEX(Classes!$H$6:$H$420,$M1702))</f>
        <v/>
      </c>
      <c r="D1702" s="61" t="str">
        <f aca="false">IF($M1702=0,"",INDEX(Classes!$B$6:$B$420,$M1702))</f>
        <v/>
      </c>
      <c r="E1702" s="61" t="str">
        <f aca="false">IF($M1702=0,"",INDEX(Classes!$C$6:$C$420,$M1702))</f>
        <v/>
      </c>
      <c r="F1702" s="63"/>
      <c r="G1702" s="63"/>
      <c r="H1702" s="60"/>
      <c r="I1702" s="60"/>
      <c r="J1702" s="63"/>
      <c r="K1702" s="61" t="str">
        <f aca="false">IF($P1702=0,"",IF($F1702="Baseline","— Baseline",IF($O1702=0,"No result",IF($N1702=0,"No Start (attainment only)",IF(OR($N1702=1,$O1702=1),"U – needs rule",INDEX(MxBody,MATCH($I1702,MxCurr,0),MATCH($H1702,MxStart,0)))))))</f>
        <v/>
      </c>
      <c r="L1702" s="62" t="str">
        <f aca="false">IF(COUNTA($A1702,$F1702,$G1702,$H1702,$I1702,$J1702)=0,"",IF($M1702=0,"✖ كود الصف غير موجود",IF(ISNA(MATCH($F1702,Lists!$A$2:$A$5,0)),"✖ الفترة غير صحيحة",IF(ISNA(MATCH($G1702,Lists!$B$2:$B$7,0)),"✖ المجموعة غير صحيحة",IF(NOT(OR($H1702="",$N1702&gt;0)),"✖ Start غير صحيح",IF(NOT(OR($I1702="",$I1702="NR",$O1702&gt;0)),"✖ Current غير صحيح",IF(NOT(IF(ISNUMBER($J1702),AND($J1702&gt;=0,$J1702=INT($J1702)),FALSE())),"✖ العدد يجب أن يكون صحيحًا ≥ 0",IF(AND($F1702="Baseline",$H1702&lt;&gt;""),"⚠ Baseline: Start لا يدخل في التقدم",IF($K1702="No Start (attainment only)","ℹ تحصيل فقط (بدون Start)",IF($K1702="U – needs rule","ℹ حالة U تحتاج قاعدة معتمدة",IF($K1702="No result","ℹ بدون نتيجة (يُستبعد من التحصيل)","OK")))))))))))</f>
        <v/>
      </c>
      <c r="M1702" s="64" t="n">
        <f aca="false">IF($A1702="",0,IFERROR(MATCH($A1702,Classes!$A$6:$A$420,0),0))</f>
        <v>0</v>
      </c>
      <c r="N1702" s="64" t="n">
        <f aca="false">IF($H1702="",0,IFERROR(MATCH($H1702,GradeList,0),0))</f>
        <v>0</v>
      </c>
      <c r="O1702" s="64" t="n">
        <f aca="false">IF(OR($I1702="",$I1702="NR"),0,IFERROR(MATCH($I1702,GradeList,0),0))</f>
        <v>0</v>
      </c>
      <c r="P1702" s="64" t="n">
        <f aca="false">IF(AND($M1702&gt;0,ISNUMBER(MATCH($F1702,Lists!$A$2:$A$5,0)),ISNUMBER(MATCH($G1702,Lists!$B$2:$B$7,0)),OR($H1702="",$N1702&gt;0),OR($I1702="",$I1702="NR",$O1702&gt;0),IF(ISNUMBER($J1702),AND($J1702&gt;=0,$J1702=INT($J1702)),FALSE())),$J1702,0)</f>
        <v>0</v>
      </c>
      <c r="Q1702" s="64" t="n">
        <f aca="false">IF(AND($P1702&gt;0,$O1702&gt;0),$P1702,0)</f>
        <v>0</v>
      </c>
      <c r="R1702" s="64" t="n">
        <f aca="false">IF(AND($Q1702&gt;0,$O1702&gt;=AtRank),$Q1702,0)</f>
        <v>0</v>
      </c>
      <c r="S1702" s="64" t="n">
        <f aca="false">IF(AND($Q1702&gt;0,$O1702&gt;=AboveRank),$Q1702,0)</f>
        <v>0</v>
      </c>
      <c r="T1702" s="64" t="n">
        <f aca="false">IF($K1702="Less",$P1702,0)</f>
        <v>0</v>
      </c>
      <c r="U1702" s="64" t="n">
        <f aca="false">IF($K1702="Expected",$P1702,0)</f>
        <v>0</v>
      </c>
      <c r="V1702" s="64" t="n">
        <f aca="false">IF($K1702="Better",$P1702,0)</f>
        <v>0</v>
      </c>
      <c r="W1702" s="64" t="n">
        <f aca="false">IF($K1702="U – needs rule",$P1702,0)</f>
        <v>0</v>
      </c>
      <c r="X1702" s="64" t="n">
        <f aca="false">IF($K1702="No Start (attainment only)",$P1702,0)</f>
        <v>0</v>
      </c>
    </row>
    <row r="1703" customFormat="false" ht="15" hidden="false" customHeight="false" outlineLevel="0" collapsed="false">
      <c r="A1703" s="60"/>
      <c r="B1703" s="61" t="str">
        <f aca="false">IF($M1703=0,"",INDEX(Classes!$E$6:$E$420,$M1703))</f>
        <v/>
      </c>
      <c r="C1703" s="62" t="str">
        <f aca="false">IF($M1703=0,"",INDEX(Classes!$H$6:$H$420,$M1703))</f>
        <v/>
      </c>
      <c r="D1703" s="61" t="str">
        <f aca="false">IF($M1703=0,"",INDEX(Classes!$B$6:$B$420,$M1703))</f>
        <v/>
      </c>
      <c r="E1703" s="61" t="str">
        <f aca="false">IF($M1703=0,"",INDEX(Classes!$C$6:$C$420,$M1703))</f>
        <v/>
      </c>
      <c r="F1703" s="63"/>
      <c r="G1703" s="63"/>
      <c r="H1703" s="60"/>
      <c r="I1703" s="60"/>
      <c r="J1703" s="63"/>
      <c r="K1703" s="61" t="str">
        <f aca="false">IF($P1703=0,"",IF($F1703="Baseline","— Baseline",IF($O1703=0,"No result",IF($N1703=0,"No Start (attainment only)",IF(OR($N1703=1,$O1703=1),"U – needs rule",INDEX(MxBody,MATCH($I1703,MxCurr,0),MATCH($H1703,MxStart,0)))))))</f>
        <v/>
      </c>
      <c r="L1703" s="62" t="str">
        <f aca="false">IF(COUNTA($A1703,$F1703,$G1703,$H1703,$I1703,$J1703)=0,"",IF($M1703=0,"✖ كود الصف غير موجود",IF(ISNA(MATCH($F1703,Lists!$A$2:$A$5,0)),"✖ الفترة غير صحيحة",IF(ISNA(MATCH($G1703,Lists!$B$2:$B$7,0)),"✖ المجموعة غير صحيحة",IF(NOT(OR($H1703="",$N1703&gt;0)),"✖ Start غير صحيح",IF(NOT(OR($I1703="",$I1703="NR",$O1703&gt;0)),"✖ Current غير صحيح",IF(NOT(IF(ISNUMBER($J1703),AND($J1703&gt;=0,$J1703=INT($J1703)),FALSE())),"✖ العدد يجب أن يكون صحيحًا ≥ 0",IF(AND($F1703="Baseline",$H1703&lt;&gt;""),"⚠ Baseline: Start لا يدخل في التقدم",IF($K1703="No Start (attainment only)","ℹ تحصيل فقط (بدون Start)",IF($K1703="U – needs rule","ℹ حالة U تحتاج قاعدة معتمدة",IF($K1703="No result","ℹ بدون نتيجة (يُستبعد من التحصيل)","OK")))))))))))</f>
        <v/>
      </c>
      <c r="M1703" s="64" t="n">
        <f aca="false">IF($A1703="",0,IFERROR(MATCH($A1703,Classes!$A$6:$A$420,0),0))</f>
        <v>0</v>
      </c>
      <c r="N1703" s="64" t="n">
        <f aca="false">IF($H1703="",0,IFERROR(MATCH($H1703,GradeList,0),0))</f>
        <v>0</v>
      </c>
      <c r="O1703" s="64" t="n">
        <f aca="false">IF(OR($I1703="",$I1703="NR"),0,IFERROR(MATCH($I1703,GradeList,0),0))</f>
        <v>0</v>
      </c>
      <c r="P1703" s="64" t="n">
        <f aca="false">IF(AND($M1703&gt;0,ISNUMBER(MATCH($F1703,Lists!$A$2:$A$5,0)),ISNUMBER(MATCH($G1703,Lists!$B$2:$B$7,0)),OR($H1703="",$N1703&gt;0),OR($I1703="",$I1703="NR",$O1703&gt;0),IF(ISNUMBER($J1703),AND($J1703&gt;=0,$J1703=INT($J1703)),FALSE())),$J1703,0)</f>
        <v>0</v>
      </c>
      <c r="Q1703" s="64" t="n">
        <f aca="false">IF(AND($P1703&gt;0,$O1703&gt;0),$P1703,0)</f>
        <v>0</v>
      </c>
      <c r="R1703" s="64" t="n">
        <f aca="false">IF(AND($Q1703&gt;0,$O1703&gt;=AtRank),$Q1703,0)</f>
        <v>0</v>
      </c>
      <c r="S1703" s="64" t="n">
        <f aca="false">IF(AND($Q1703&gt;0,$O1703&gt;=AboveRank),$Q1703,0)</f>
        <v>0</v>
      </c>
      <c r="T1703" s="64" t="n">
        <f aca="false">IF($K1703="Less",$P1703,0)</f>
        <v>0</v>
      </c>
      <c r="U1703" s="64" t="n">
        <f aca="false">IF($K1703="Expected",$P1703,0)</f>
        <v>0</v>
      </c>
      <c r="V1703" s="64" t="n">
        <f aca="false">IF($K1703="Better",$P1703,0)</f>
        <v>0</v>
      </c>
      <c r="W1703" s="64" t="n">
        <f aca="false">IF($K1703="U – needs rule",$P1703,0)</f>
        <v>0</v>
      </c>
      <c r="X1703" s="64" t="n">
        <f aca="false">IF($K1703="No Start (attainment only)",$P1703,0)</f>
        <v>0</v>
      </c>
    </row>
    <row r="1704" customFormat="false" ht="15" hidden="false" customHeight="false" outlineLevel="0" collapsed="false">
      <c r="A1704" s="60"/>
      <c r="B1704" s="61" t="str">
        <f aca="false">IF($M1704=0,"",INDEX(Classes!$E$6:$E$420,$M1704))</f>
        <v/>
      </c>
      <c r="C1704" s="62" t="str">
        <f aca="false">IF($M1704=0,"",INDEX(Classes!$H$6:$H$420,$M1704))</f>
        <v/>
      </c>
      <c r="D1704" s="61" t="str">
        <f aca="false">IF($M1704=0,"",INDEX(Classes!$B$6:$B$420,$M1704))</f>
        <v/>
      </c>
      <c r="E1704" s="61" t="str">
        <f aca="false">IF($M1704=0,"",INDEX(Classes!$C$6:$C$420,$M1704))</f>
        <v/>
      </c>
      <c r="F1704" s="63"/>
      <c r="G1704" s="63"/>
      <c r="H1704" s="60"/>
      <c r="I1704" s="60"/>
      <c r="J1704" s="63"/>
      <c r="K1704" s="61" t="str">
        <f aca="false">IF($P1704=0,"",IF($F1704="Baseline","— Baseline",IF($O1704=0,"No result",IF($N1704=0,"No Start (attainment only)",IF(OR($N1704=1,$O1704=1),"U – needs rule",INDEX(MxBody,MATCH($I1704,MxCurr,0),MATCH($H1704,MxStart,0)))))))</f>
        <v/>
      </c>
      <c r="L1704" s="62" t="str">
        <f aca="false">IF(COUNTA($A1704,$F1704,$G1704,$H1704,$I1704,$J1704)=0,"",IF($M1704=0,"✖ كود الصف غير موجود",IF(ISNA(MATCH($F1704,Lists!$A$2:$A$5,0)),"✖ الفترة غير صحيحة",IF(ISNA(MATCH($G1704,Lists!$B$2:$B$7,0)),"✖ المجموعة غير صحيحة",IF(NOT(OR($H1704="",$N1704&gt;0)),"✖ Start غير صحيح",IF(NOT(OR($I1704="",$I1704="NR",$O1704&gt;0)),"✖ Current غير صحيح",IF(NOT(IF(ISNUMBER($J1704),AND($J1704&gt;=0,$J1704=INT($J1704)),FALSE())),"✖ العدد يجب أن يكون صحيحًا ≥ 0",IF(AND($F1704="Baseline",$H1704&lt;&gt;""),"⚠ Baseline: Start لا يدخل في التقدم",IF($K1704="No Start (attainment only)","ℹ تحصيل فقط (بدون Start)",IF($K1704="U – needs rule","ℹ حالة U تحتاج قاعدة معتمدة",IF($K1704="No result","ℹ بدون نتيجة (يُستبعد من التحصيل)","OK")))))))))))</f>
        <v/>
      </c>
      <c r="M1704" s="64" t="n">
        <f aca="false">IF($A1704="",0,IFERROR(MATCH($A1704,Classes!$A$6:$A$420,0),0))</f>
        <v>0</v>
      </c>
      <c r="N1704" s="64" t="n">
        <f aca="false">IF($H1704="",0,IFERROR(MATCH($H1704,GradeList,0),0))</f>
        <v>0</v>
      </c>
      <c r="O1704" s="64" t="n">
        <f aca="false">IF(OR($I1704="",$I1704="NR"),0,IFERROR(MATCH($I1704,GradeList,0),0))</f>
        <v>0</v>
      </c>
      <c r="P1704" s="64" t="n">
        <f aca="false">IF(AND($M1704&gt;0,ISNUMBER(MATCH($F1704,Lists!$A$2:$A$5,0)),ISNUMBER(MATCH($G1704,Lists!$B$2:$B$7,0)),OR($H1704="",$N1704&gt;0),OR($I1704="",$I1704="NR",$O1704&gt;0),IF(ISNUMBER($J1704),AND($J1704&gt;=0,$J1704=INT($J1704)),FALSE())),$J1704,0)</f>
        <v>0</v>
      </c>
      <c r="Q1704" s="64" t="n">
        <f aca="false">IF(AND($P1704&gt;0,$O1704&gt;0),$P1704,0)</f>
        <v>0</v>
      </c>
      <c r="R1704" s="64" t="n">
        <f aca="false">IF(AND($Q1704&gt;0,$O1704&gt;=AtRank),$Q1704,0)</f>
        <v>0</v>
      </c>
      <c r="S1704" s="64" t="n">
        <f aca="false">IF(AND($Q1704&gt;0,$O1704&gt;=AboveRank),$Q1704,0)</f>
        <v>0</v>
      </c>
      <c r="T1704" s="64" t="n">
        <f aca="false">IF($K1704="Less",$P1704,0)</f>
        <v>0</v>
      </c>
      <c r="U1704" s="64" t="n">
        <f aca="false">IF($K1704="Expected",$P1704,0)</f>
        <v>0</v>
      </c>
      <c r="V1704" s="64" t="n">
        <f aca="false">IF($K1704="Better",$P1704,0)</f>
        <v>0</v>
      </c>
      <c r="W1704" s="64" t="n">
        <f aca="false">IF($K1704="U – needs rule",$P1704,0)</f>
        <v>0</v>
      </c>
      <c r="X1704" s="64" t="n">
        <f aca="false">IF($K1704="No Start (attainment only)",$P1704,0)</f>
        <v>0</v>
      </c>
    </row>
    <row r="1705" customFormat="false" ht="15" hidden="false" customHeight="false" outlineLevel="0" collapsed="false">
      <c r="A1705" s="60"/>
      <c r="B1705" s="61" t="str">
        <f aca="false">IF($M1705=0,"",INDEX(Classes!$E$6:$E$420,$M1705))</f>
        <v/>
      </c>
      <c r="C1705" s="62" t="str">
        <f aca="false">IF($M1705=0,"",INDEX(Classes!$H$6:$H$420,$M1705))</f>
        <v/>
      </c>
      <c r="D1705" s="61" t="str">
        <f aca="false">IF($M1705=0,"",INDEX(Classes!$B$6:$B$420,$M1705))</f>
        <v/>
      </c>
      <c r="E1705" s="61" t="str">
        <f aca="false">IF($M1705=0,"",INDEX(Classes!$C$6:$C$420,$M1705))</f>
        <v/>
      </c>
      <c r="F1705" s="63"/>
      <c r="G1705" s="63"/>
      <c r="H1705" s="60"/>
      <c r="I1705" s="60"/>
      <c r="J1705" s="63"/>
      <c r="K1705" s="61" t="str">
        <f aca="false">IF($P1705=0,"",IF($F1705="Baseline","— Baseline",IF($O1705=0,"No result",IF($N1705=0,"No Start (attainment only)",IF(OR($N1705=1,$O1705=1),"U – needs rule",INDEX(MxBody,MATCH($I1705,MxCurr,0),MATCH($H1705,MxStart,0)))))))</f>
        <v/>
      </c>
      <c r="L1705" s="62" t="str">
        <f aca="false">IF(COUNTA($A1705,$F1705,$G1705,$H1705,$I1705,$J1705)=0,"",IF($M1705=0,"✖ كود الصف غير موجود",IF(ISNA(MATCH($F1705,Lists!$A$2:$A$5,0)),"✖ الفترة غير صحيحة",IF(ISNA(MATCH($G1705,Lists!$B$2:$B$7,0)),"✖ المجموعة غير صحيحة",IF(NOT(OR($H1705="",$N1705&gt;0)),"✖ Start غير صحيح",IF(NOT(OR($I1705="",$I1705="NR",$O1705&gt;0)),"✖ Current غير صحيح",IF(NOT(IF(ISNUMBER($J1705),AND($J1705&gt;=0,$J1705=INT($J1705)),FALSE())),"✖ العدد يجب أن يكون صحيحًا ≥ 0",IF(AND($F1705="Baseline",$H1705&lt;&gt;""),"⚠ Baseline: Start لا يدخل في التقدم",IF($K1705="No Start (attainment only)","ℹ تحصيل فقط (بدون Start)",IF($K1705="U – needs rule","ℹ حالة U تحتاج قاعدة معتمدة",IF($K1705="No result","ℹ بدون نتيجة (يُستبعد من التحصيل)","OK")))))))))))</f>
        <v/>
      </c>
      <c r="M1705" s="64" t="n">
        <f aca="false">IF($A1705="",0,IFERROR(MATCH($A1705,Classes!$A$6:$A$420,0),0))</f>
        <v>0</v>
      </c>
      <c r="N1705" s="64" t="n">
        <f aca="false">IF($H1705="",0,IFERROR(MATCH($H1705,GradeList,0),0))</f>
        <v>0</v>
      </c>
      <c r="O1705" s="64" t="n">
        <f aca="false">IF(OR($I1705="",$I1705="NR"),0,IFERROR(MATCH($I1705,GradeList,0),0))</f>
        <v>0</v>
      </c>
      <c r="P1705" s="64" t="n">
        <f aca="false">IF(AND($M1705&gt;0,ISNUMBER(MATCH($F1705,Lists!$A$2:$A$5,0)),ISNUMBER(MATCH($G1705,Lists!$B$2:$B$7,0)),OR($H1705="",$N1705&gt;0),OR($I1705="",$I1705="NR",$O1705&gt;0),IF(ISNUMBER($J1705),AND($J1705&gt;=0,$J1705=INT($J1705)),FALSE())),$J1705,0)</f>
        <v>0</v>
      </c>
      <c r="Q1705" s="64" t="n">
        <f aca="false">IF(AND($P1705&gt;0,$O1705&gt;0),$P1705,0)</f>
        <v>0</v>
      </c>
      <c r="R1705" s="64" t="n">
        <f aca="false">IF(AND($Q1705&gt;0,$O1705&gt;=AtRank),$Q1705,0)</f>
        <v>0</v>
      </c>
      <c r="S1705" s="64" t="n">
        <f aca="false">IF(AND($Q1705&gt;0,$O1705&gt;=AboveRank),$Q1705,0)</f>
        <v>0</v>
      </c>
      <c r="T1705" s="64" t="n">
        <f aca="false">IF($K1705="Less",$P1705,0)</f>
        <v>0</v>
      </c>
      <c r="U1705" s="64" t="n">
        <f aca="false">IF($K1705="Expected",$P1705,0)</f>
        <v>0</v>
      </c>
      <c r="V1705" s="64" t="n">
        <f aca="false">IF($K1705="Better",$P1705,0)</f>
        <v>0</v>
      </c>
      <c r="W1705" s="64" t="n">
        <f aca="false">IF($K1705="U – needs rule",$P1705,0)</f>
        <v>0</v>
      </c>
      <c r="X1705" s="64" t="n">
        <f aca="false">IF($K1705="No Start (attainment only)",$P1705,0)</f>
        <v>0</v>
      </c>
    </row>
    <row r="1706" customFormat="false" ht="15" hidden="false" customHeight="false" outlineLevel="0" collapsed="false">
      <c r="A1706" s="60"/>
      <c r="B1706" s="61" t="str">
        <f aca="false">IF($M1706=0,"",INDEX(Classes!$E$6:$E$420,$M1706))</f>
        <v/>
      </c>
      <c r="C1706" s="62" t="str">
        <f aca="false">IF($M1706=0,"",INDEX(Classes!$H$6:$H$420,$M1706))</f>
        <v/>
      </c>
      <c r="D1706" s="61" t="str">
        <f aca="false">IF($M1706=0,"",INDEX(Classes!$B$6:$B$420,$M1706))</f>
        <v/>
      </c>
      <c r="E1706" s="61" t="str">
        <f aca="false">IF($M1706=0,"",INDEX(Classes!$C$6:$C$420,$M1706))</f>
        <v/>
      </c>
      <c r="F1706" s="63"/>
      <c r="G1706" s="63"/>
      <c r="H1706" s="60"/>
      <c r="I1706" s="60"/>
      <c r="J1706" s="63"/>
      <c r="K1706" s="61" t="str">
        <f aca="false">IF($P1706=0,"",IF($F1706="Baseline","— Baseline",IF($O1706=0,"No result",IF($N1706=0,"No Start (attainment only)",IF(OR($N1706=1,$O1706=1),"U – needs rule",INDEX(MxBody,MATCH($I1706,MxCurr,0),MATCH($H1706,MxStart,0)))))))</f>
        <v/>
      </c>
      <c r="L1706" s="62" t="str">
        <f aca="false">IF(COUNTA($A1706,$F1706,$G1706,$H1706,$I1706,$J1706)=0,"",IF($M1706=0,"✖ كود الصف غير موجود",IF(ISNA(MATCH($F1706,Lists!$A$2:$A$5,0)),"✖ الفترة غير صحيحة",IF(ISNA(MATCH($G1706,Lists!$B$2:$B$7,0)),"✖ المجموعة غير صحيحة",IF(NOT(OR($H1706="",$N1706&gt;0)),"✖ Start غير صحيح",IF(NOT(OR($I1706="",$I1706="NR",$O1706&gt;0)),"✖ Current غير صحيح",IF(NOT(IF(ISNUMBER($J1706),AND($J1706&gt;=0,$J1706=INT($J1706)),FALSE())),"✖ العدد يجب أن يكون صحيحًا ≥ 0",IF(AND($F1706="Baseline",$H1706&lt;&gt;""),"⚠ Baseline: Start لا يدخل في التقدم",IF($K1706="No Start (attainment only)","ℹ تحصيل فقط (بدون Start)",IF($K1706="U – needs rule","ℹ حالة U تحتاج قاعدة معتمدة",IF($K1706="No result","ℹ بدون نتيجة (يُستبعد من التحصيل)","OK")))))))))))</f>
        <v/>
      </c>
      <c r="M1706" s="64" t="n">
        <f aca="false">IF($A1706="",0,IFERROR(MATCH($A1706,Classes!$A$6:$A$420,0),0))</f>
        <v>0</v>
      </c>
      <c r="N1706" s="64" t="n">
        <f aca="false">IF($H1706="",0,IFERROR(MATCH($H1706,GradeList,0),0))</f>
        <v>0</v>
      </c>
      <c r="O1706" s="64" t="n">
        <f aca="false">IF(OR($I1706="",$I1706="NR"),0,IFERROR(MATCH($I1706,GradeList,0),0))</f>
        <v>0</v>
      </c>
      <c r="P1706" s="64" t="n">
        <f aca="false">IF(AND($M1706&gt;0,ISNUMBER(MATCH($F1706,Lists!$A$2:$A$5,0)),ISNUMBER(MATCH($G1706,Lists!$B$2:$B$7,0)),OR($H1706="",$N1706&gt;0),OR($I1706="",$I1706="NR",$O1706&gt;0),IF(ISNUMBER($J1706),AND($J1706&gt;=0,$J1706=INT($J1706)),FALSE())),$J1706,0)</f>
        <v>0</v>
      </c>
      <c r="Q1706" s="64" t="n">
        <f aca="false">IF(AND($P1706&gt;0,$O1706&gt;0),$P1706,0)</f>
        <v>0</v>
      </c>
      <c r="R1706" s="64" t="n">
        <f aca="false">IF(AND($Q1706&gt;0,$O1706&gt;=AtRank),$Q1706,0)</f>
        <v>0</v>
      </c>
      <c r="S1706" s="64" t="n">
        <f aca="false">IF(AND($Q1706&gt;0,$O1706&gt;=AboveRank),$Q1706,0)</f>
        <v>0</v>
      </c>
      <c r="T1706" s="64" t="n">
        <f aca="false">IF($K1706="Less",$P1706,0)</f>
        <v>0</v>
      </c>
      <c r="U1706" s="64" t="n">
        <f aca="false">IF($K1706="Expected",$P1706,0)</f>
        <v>0</v>
      </c>
      <c r="V1706" s="64" t="n">
        <f aca="false">IF($K1706="Better",$P1706,0)</f>
        <v>0</v>
      </c>
      <c r="W1706" s="64" t="n">
        <f aca="false">IF($K1706="U – needs rule",$P1706,0)</f>
        <v>0</v>
      </c>
      <c r="X1706" s="64" t="n">
        <f aca="false">IF($K1706="No Start (attainment only)",$P1706,0)</f>
        <v>0</v>
      </c>
    </row>
    <row r="1707" customFormat="false" ht="15" hidden="false" customHeight="false" outlineLevel="0" collapsed="false">
      <c r="A1707" s="60"/>
      <c r="B1707" s="61" t="str">
        <f aca="false">IF($M1707=0,"",INDEX(Classes!$E$6:$E$420,$M1707))</f>
        <v/>
      </c>
      <c r="C1707" s="62" t="str">
        <f aca="false">IF($M1707=0,"",INDEX(Classes!$H$6:$H$420,$M1707))</f>
        <v/>
      </c>
      <c r="D1707" s="61" t="str">
        <f aca="false">IF($M1707=0,"",INDEX(Classes!$B$6:$B$420,$M1707))</f>
        <v/>
      </c>
      <c r="E1707" s="61" t="str">
        <f aca="false">IF($M1707=0,"",INDEX(Classes!$C$6:$C$420,$M1707))</f>
        <v/>
      </c>
      <c r="F1707" s="63"/>
      <c r="G1707" s="63"/>
      <c r="H1707" s="60"/>
      <c r="I1707" s="60"/>
      <c r="J1707" s="63"/>
      <c r="K1707" s="61" t="str">
        <f aca="false">IF($P1707=0,"",IF($F1707="Baseline","— Baseline",IF($O1707=0,"No result",IF($N1707=0,"No Start (attainment only)",IF(OR($N1707=1,$O1707=1),"U – needs rule",INDEX(MxBody,MATCH($I1707,MxCurr,0),MATCH($H1707,MxStart,0)))))))</f>
        <v/>
      </c>
      <c r="L1707" s="62" t="str">
        <f aca="false">IF(COUNTA($A1707,$F1707,$G1707,$H1707,$I1707,$J1707)=0,"",IF($M1707=0,"✖ كود الصف غير موجود",IF(ISNA(MATCH($F1707,Lists!$A$2:$A$5,0)),"✖ الفترة غير صحيحة",IF(ISNA(MATCH($G1707,Lists!$B$2:$B$7,0)),"✖ المجموعة غير صحيحة",IF(NOT(OR($H1707="",$N1707&gt;0)),"✖ Start غير صحيح",IF(NOT(OR($I1707="",$I1707="NR",$O1707&gt;0)),"✖ Current غير صحيح",IF(NOT(IF(ISNUMBER($J1707),AND($J1707&gt;=0,$J1707=INT($J1707)),FALSE())),"✖ العدد يجب أن يكون صحيحًا ≥ 0",IF(AND($F1707="Baseline",$H1707&lt;&gt;""),"⚠ Baseline: Start لا يدخل في التقدم",IF($K1707="No Start (attainment only)","ℹ تحصيل فقط (بدون Start)",IF($K1707="U – needs rule","ℹ حالة U تحتاج قاعدة معتمدة",IF($K1707="No result","ℹ بدون نتيجة (يُستبعد من التحصيل)","OK")))))))))))</f>
        <v/>
      </c>
      <c r="M1707" s="64" t="n">
        <f aca="false">IF($A1707="",0,IFERROR(MATCH($A1707,Classes!$A$6:$A$420,0),0))</f>
        <v>0</v>
      </c>
      <c r="N1707" s="64" t="n">
        <f aca="false">IF($H1707="",0,IFERROR(MATCH($H1707,GradeList,0),0))</f>
        <v>0</v>
      </c>
      <c r="O1707" s="64" t="n">
        <f aca="false">IF(OR($I1707="",$I1707="NR"),0,IFERROR(MATCH($I1707,GradeList,0),0))</f>
        <v>0</v>
      </c>
      <c r="P1707" s="64" t="n">
        <f aca="false">IF(AND($M1707&gt;0,ISNUMBER(MATCH($F1707,Lists!$A$2:$A$5,0)),ISNUMBER(MATCH($G1707,Lists!$B$2:$B$7,0)),OR($H1707="",$N1707&gt;0),OR($I1707="",$I1707="NR",$O1707&gt;0),IF(ISNUMBER($J1707),AND($J1707&gt;=0,$J1707=INT($J1707)),FALSE())),$J1707,0)</f>
        <v>0</v>
      </c>
      <c r="Q1707" s="64" t="n">
        <f aca="false">IF(AND($P1707&gt;0,$O1707&gt;0),$P1707,0)</f>
        <v>0</v>
      </c>
      <c r="R1707" s="64" t="n">
        <f aca="false">IF(AND($Q1707&gt;0,$O1707&gt;=AtRank),$Q1707,0)</f>
        <v>0</v>
      </c>
      <c r="S1707" s="64" t="n">
        <f aca="false">IF(AND($Q1707&gt;0,$O1707&gt;=AboveRank),$Q1707,0)</f>
        <v>0</v>
      </c>
      <c r="T1707" s="64" t="n">
        <f aca="false">IF($K1707="Less",$P1707,0)</f>
        <v>0</v>
      </c>
      <c r="U1707" s="64" t="n">
        <f aca="false">IF($K1707="Expected",$P1707,0)</f>
        <v>0</v>
      </c>
      <c r="V1707" s="64" t="n">
        <f aca="false">IF($K1707="Better",$P1707,0)</f>
        <v>0</v>
      </c>
      <c r="W1707" s="64" t="n">
        <f aca="false">IF($K1707="U – needs rule",$P1707,0)</f>
        <v>0</v>
      </c>
      <c r="X1707" s="64" t="n">
        <f aca="false">IF($K1707="No Start (attainment only)",$P1707,0)</f>
        <v>0</v>
      </c>
    </row>
    <row r="1708" customFormat="false" ht="15" hidden="false" customHeight="false" outlineLevel="0" collapsed="false">
      <c r="A1708" s="60"/>
      <c r="B1708" s="61" t="str">
        <f aca="false">IF($M1708=0,"",INDEX(Classes!$E$6:$E$420,$M1708))</f>
        <v/>
      </c>
      <c r="C1708" s="62" t="str">
        <f aca="false">IF($M1708=0,"",INDEX(Classes!$H$6:$H$420,$M1708))</f>
        <v/>
      </c>
      <c r="D1708" s="61" t="str">
        <f aca="false">IF($M1708=0,"",INDEX(Classes!$B$6:$B$420,$M1708))</f>
        <v/>
      </c>
      <c r="E1708" s="61" t="str">
        <f aca="false">IF($M1708=0,"",INDEX(Classes!$C$6:$C$420,$M1708))</f>
        <v/>
      </c>
      <c r="F1708" s="63"/>
      <c r="G1708" s="63"/>
      <c r="H1708" s="60"/>
      <c r="I1708" s="60"/>
      <c r="J1708" s="63"/>
      <c r="K1708" s="61" t="str">
        <f aca="false">IF($P1708=0,"",IF($F1708="Baseline","— Baseline",IF($O1708=0,"No result",IF($N1708=0,"No Start (attainment only)",IF(OR($N1708=1,$O1708=1),"U – needs rule",INDEX(MxBody,MATCH($I1708,MxCurr,0),MATCH($H1708,MxStart,0)))))))</f>
        <v/>
      </c>
      <c r="L1708" s="62" t="str">
        <f aca="false">IF(COUNTA($A1708,$F1708,$G1708,$H1708,$I1708,$J1708)=0,"",IF($M1708=0,"✖ كود الصف غير موجود",IF(ISNA(MATCH($F1708,Lists!$A$2:$A$5,0)),"✖ الفترة غير صحيحة",IF(ISNA(MATCH($G1708,Lists!$B$2:$B$7,0)),"✖ المجموعة غير صحيحة",IF(NOT(OR($H1708="",$N1708&gt;0)),"✖ Start غير صحيح",IF(NOT(OR($I1708="",$I1708="NR",$O1708&gt;0)),"✖ Current غير صحيح",IF(NOT(IF(ISNUMBER($J1708),AND($J1708&gt;=0,$J1708=INT($J1708)),FALSE())),"✖ العدد يجب أن يكون صحيحًا ≥ 0",IF(AND($F1708="Baseline",$H1708&lt;&gt;""),"⚠ Baseline: Start لا يدخل في التقدم",IF($K1708="No Start (attainment only)","ℹ تحصيل فقط (بدون Start)",IF($K1708="U – needs rule","ℹ حالة U تحتاج قاعدة معتمدة",IF($K1708="No result","ℹ بدون نتيجة (يُستبعد من التحصيل)","OK")))))))))))</f>
        <v/>
      </c>
      <c r="M1708" s="64" t="n">
        <f aca="false">IF($A1708="",0,IFERROR(MATCH($A1708,Classes!$A$6:$A$420,0),0))</f>
        <v>0</v>
      </c>
      <c r="N1708" s="64" t="n">
        <f aca="false">IF($H1708="",0,IFERROR(MATCH($H1708,GradeList,0),0))</f>
        <v>0</v>
      </c>
      <c r="O1708" s="64" t="n">
        <f aca="false">IF(OR($I1708="",$I1708="NR"),0,IFERROR(MATCH($I1708,GradeList,0),0))</f>
        <v>0</v>
      </c>
      <c r="P1708" s="64" t="n">
        <f aca="false">IF(AND($M1708&gt;0,ISNUMBER(MATCH($F1708,Lists!$A$2:$A$5,0)),ISNUMBER(MATCH($G1708,Lists!$B$2:$B$7,0)),OR($H1708="",$N1708&gt;0),OR($I1708="",$I1708="NR",$O1708&gt;0),IF(ISNUMBER($J1708),AND($J1708&gt;=0,$J1708=INT($J1708)),FALSE())),$J1708,0)</f>
        <v>0</v>
      </c>
      <c r="Q1708" s="64" t="n">
        <f aca="false">IF(AND($P1708&gt;0,$O1708&gt;0),$P1708,0)</f>
        <v>0</v>
      </c>
      <c r="R1708" s="64" t="n">
        <f aca="false">IF(AND($Q1708&gt;0,$O1708&gt;=AtRank),$Q1708,0)</f>
        <v>0</v>
      </c>
      <c r="S1708" s="64" t="n">
        <f aca="false">IF(AND($Q1708&gt;0,$O1708&gt;=AboveRank),$Q1708,0)</f>
        <v>0</v>
      </c>
      <c r="T1708" s="64" t="n">
        <f aca="false">IF($K1708="Less",$P1708,0)</f>
        <v>0</v>
      </c>
      <c r="U1708" s="64" t="n">
        <f aca="false">IF($K1708="Expected",$P1708,0)</f>
        <v>0</v>
      </c>
      <c r="V1708" s="64" t="n">
        <f aca="false">IF($K1708="Better",$P1708,0)</f>
        <v>0</v>
      </c>
      <c r="W1708" s="64" t="n">
        <f aca="false">IF($K1708="U – needs rule",$P1708,0)</f>
        <v>0</v>
      </c>
      <c r="X1708" s="64" t="n">
        <f aca="false">IF($K1708="No Start (attainment only)",$P1708,0)</f>
        <v>0</v>
      </c>
    </row>
    <row r="1709" customFormat="false" ht="15" hidden="false" customHeight="false" outlineLevel="0" collapsed="false">
      <c r="A1709" s="60"/>
      <c r="B1709" s="61" t="str">
        <f aca="false">IF($M1709=0,"",INDEX(Classes!$E$6:$E$420,$M1709))</f>
        <v/>
      </c>
      <c r="C1709" s="62" t="str">
        <f aca="false">IF($M1709=0,"",INDEX(Classes!$H$6:$H$420,$M1709))</f>
        <v/>
      </c>
      <c r="D1709" s="61" t="str">
        <f aca="false">IF($M1709=0,"",INDEX(Classes!$B$6:$B$420,$M1709))</f>
        <v/>
      </c>
      <c r="E1709" s="61" t="str">
        <f aca="false">IF($M1709=0,"",INDEX(Classes!$C$6:$C$420,$M1709))</f>
        <v/>
      </c>
      <c r="F1709" s="63"/>
      <c r="G1709" s="63"/>
      <c r="H1709" s="60"/>
      <c r="I1709" s="60"/>
      <c r="J1709" s="63"/>
      <c r="K1709" s="61" t="str">
        <f aca="false">IF($P1709=0,"",IF($F1709="Baseline","— Baseline",IF($O1709=0,"No result",IF($N1709=0,"No Start (attainment only)",IF(OR($N1709=1,$O1709=1),"U – needs rule",INDEX(MxBody,MATCH($I1709,MxCurr,0),MATCH($H1709,MxStart,0)))))))</f>
        <v/>
      </c>
      <c r="L1709" s="62" t="str">
        <f aca="false">IF(COUNTA($A1709,$F1709,$G1709,$H1709,$I1709,$J1709)=0,"",IF($M1709=0,"✖ كود الصف غير موجود",IF(ISNA(MATCH($F1709,Lists!$A$2:$A$5,0)),"✖ الفترة غير صحيحة",IF(ISNA(MATCH($G1709,Lists!$B$2:$B$7,0)),"✖ المجموعة غير صحيحة",IF(NOT(OR($H1709="",$N1709&gt;0)),"✖ Start غير صحيح",IF(NOT(OR($I1709="",$I1709="NR",$O1709&gt;0)),"✖ Current غير صحيح",IF(NOT(IF(ISNUMBER($J1709),AND($J1709&gt;=0,$J1709=INT($J1709)),FALSE())),"✖ العدد يجب أن يكون صحيحًا ≥ 0",IF(AND($F1709="Baseline",$H1709&lt;&gt;""),"⚠ Baseline: Start لا يدخل في التقدم",IF($K1709="No Start (attainment only)","ℹ تحصيل فقط (بدون Start)",IF($K1709="U – needs rule","ℹ حالة U تحتاج قاعدة معتمدة",IF($K1709="No result","ℹ بدون نتيجة (يُستبعد من التحصيل)","OK")))))))))))</f>
        <v/>
      </c>
      <c r="M1709" s="64" t="n">
        <f aca="false">IF($A1709="",0,IFERROR(MATCH($A1709,Classes!$A$6:$A$420,0),0))</f>
        <v>0</v>
      </c>
      <c r="N1709" s="64" t="n">
        <f aca="false">IF($H1709="",0,IFERROR(MATCH($H1709,GradeList,0),0))</f>
        <v>0</v>
      </c>
      <c r="O1709" s="64" t="n">
        <f aca="false">IF(OR($I1709="",$I1709="NR"),0,IFERROR(MATCH($I1709,GradeList,0),0))</f>
        <v>0</v>
      </c>
      <c r="P1709" s="64" t="n">
        <f aca="false">IF(AND($M1709&gt;0,ISNUMBER(MATCH($F1709,Lists!$A$2:$A$5,0)),ISNUMBER(MATCH($G1709,Lists!$B$2:$B$7,0)),OR($H1709="",$N1709&gt;0),OR($I1709="",$I1709="NR",$O1709&gt;0),IF(ISNUMBER($J1709),AND($J1709&gt;=0,$J1709=INT($J1709)),FALSE())),$J1709,0)</f>
        <v>0</v>
      </c>
      <c r="Q1709" s="64" t="n">
        <f aca="false">IF(AND($P1709&gt;0,$O1709&gt;0),$P1709,0)</f>
        <v>0</v>
      </c>
      <c r="R1709" s="64" t="n">
        <f aca="false">IF(AND($Q1709&gt;0,$O1709&gt;=AtRank),$Q1709,0)</f>
        <v>0</v>
      </c>
      <c r="S1709" s="64" t="n">
        <f aca="false">IF(AND($Q1709&gt;0,$O1709&gt;=AboveRank),$Q1709,0)</f>
        <v>0</v>
      </c>
      <c r="T1709" s="64" t="n">
        <f aca="false">IF($K1709="Less",$P1709,0)</f>
        <v>0</v>
      </c>
      <c r="U1709" s="64" t="n">
        <f aca="false">IF($K1709="Expected",$P1709,0)</f>
        <v>0</v>
      </c>
      <c r="V1709" s="64" t="n">
        <f aca="false">IF($K1709="Better",$P1709,0)</f>
        <v>0</v>
      </c>
      <c r="W1709" s="64" t="n">
        <f aca="false">IF($K1709="U – needs rule",$P1709,0)</f>
        <v>0</v>
      </c>
      <c r="X1709" s="64" t="n">
        <f aca="false">IF($K1709="No Start (attainment only)",$P1709,0)</f>
        <v>0</v>
      </c>
    </row>
    <row r="1710" customFormat="false" ht="15" hidden="false" customHeight="false" outlineLevel="0" collapsed="false">
      <c r="A1710" s="60"/>
      <c r="B1710" s="61" t="str">
        <f aca="false">IF($M1710=0,"",INDEX(Classes!$E$6:$E$420,$M1710))</f>
        <v/>
      </c>
      <c r="C1710" s="62" t="str">
        <f aca="false">IF($M1710=0,"",INDEX(Classes!$H$6:$H$420,$M1710))</f>
        <v/>
      </c>
      <c r="D1710" s="61" t="str">
        <f aca="false">IF($M1710=0,"",INDEX(Classes!$B$6:$B$420,$M1710))</f>
        <v/>
      </c>
      <c r="E1710" s="61" t="str">
        <f aca="false">IF($M1710=0,"",INDEX(Classes!$C$6:$C$420,$M1710))</f>
        <v/>
      </c>
      <c r="F1710" s="63"/>
      <c r="G1710" s="63"/>
      <c r="H1710" s="60"/>
      <c r="I1710" s="60"/>
      <c r="J1710" s="63"/>
      <c r="K1710" s="61" t="str">
        <f aca="false">IF($P1710=0,"",IF($F1710="Baseline","— Baseline",IF($O1710=0,"No result",IF($N1710=0,"No Start (attainment only)",IF(OR($N1710=1,$O1710=1),"U – needs rule",INDEX(MxBody,MATCH($I1710,MxCurr,0),MATCH($H1710,MxStart,0)))))))</f>
        <v/>
      </c>
      <c r="L1710" s="62" t="str">
        <f aca="false">IF(COUNTA($A1710,$F1710,$G1710,$H1710,$I1710,$J1710)=0,"",IF($M1710=0,"✖ كود الصف غير موجود",IF(ISNA(MATCH($F1710,Lists!$A$2:$A$5,0)),"✖ الفترة غير صحيحة",IF(ISNA(MATCH($G1710,Lists!$B$2:$B$7,0)),"✖ المجموعة غير صحيحة",IF(NOT(OR($H1710="",$N1710&gt;0)),"✖ Start غير صحيح",IF(NOT(OR($I1710="",$I1710="NR",$O1710&gt;0)),"✖ Current غير صحيح",IF(NOT(IF(ISNUMBER($J1710),AND($J1710&gt;=0,$J1710=INT($J1710)),FALSE())),"✖ العدد يجب أن يكون صحيحًا ≥ 0",IF(AND($F1710="Baseline",$H1710&lt;&gt;""),"⚠ Baseline: Start لا يدخل في التقدم",IF($K1710="No Start (attainment only)","ℹ تحصيل فقط (بدون Start)",IF($K1710="U – needs rule","ℹ حالة U تحتاج قاعدة معتمدة",IF($K1710="No result","ℹ بدون نتيجة (يُستبعد من التحصيل)","OK")))))))))))</f>
        <v/>
      </c>
      <c r="M1710" s="64" t="n">
        <f aca="false">IF($A1710="",0,IFERROR(MATCH($A1710,Classes!$A$6:$A$420,0),0))</f>
        <v>0</v>
      </c>
      <c r="N1710" s="64" t="n">
        <f aca="false">IF($H1710="",0,IFERROR(MATCH($H1710,GradeList,0),0))</f>
        <v>0</v>
      </c>
      <c r="O1710" s="64" t="n">
        <f aca="false">IF(OR($I1710="",$I1710="NR"),0,IFERROR(MATCH($I1710,GradeList,0),0))</f>
        <v>0</v>
      </c>
      <c r="P1710" s="64" t="n">
        <f aca="false">IF(AND($M1710&gt;0,ISNUMBER(MATCH($F1710,Lists!$A$2:$A$5,0)),ISNUMBER(MATCH($G1710,Lists!$B$2:$B$7,0)),OR($H1710="",$N1710&gt;0),OR($I1710="",$I1710="NR",$O1710&gt;0),IF(ISNUMBER($J1710),AND($J1710&gt;=0,$J1710=INT($J1710)),FALSE())),$J1710,0)</f>
        <v>0</v>
      </c>
      <c r="Q1710" s="64" t="n">
        <f aca="false">IF(AND($P1710&gt;0,$O1710&gt;0),$P1710,0)</f>
        <v>0</v>
      </c>
      <c r="R1710" s="64" t="n">
        <f aca="false">IF(AND($Q1710&gt;0,$O1710&gt;=AtRank),$Q1710,0)</f>
        <v>0</v>
      </c>
      <c r="S1710" s="64" t="n">
        <f aca="false">IF(AND($Q1710&gt;0,$O1710&gt;=AboveRank),$Q1710,0)</f>
        <v>0</v>
      </c>
      <c r="T1710" s="64" t="n">
        <f aca="false">IF($K1710="Less",$P1710,0)</f>
        <v>0</v>
      </c>
      <c r="U1710" s="64" t="n">
        <f aca="false">IF($K1710="Expected",$P1710,0)</f>
        <v>0</v>
      </c>
      <c r="V1710" s="64" t="n">
        <f aca="false">IF($K1710="Better",$P1710,0)</f>
        <v>0</v>
      </c>
      <c r="W1710" s="64" t="n">
        <f aca="false">IF($K1710="U – needs rule",$P1710,0)</f>
        <v>0</v>
      </c>
      <c r="X1710" s="64" t="n">
        <f aca="false">IF($K1710="No Start (attainment only)",$P1710,0)</f>
        <v>0</v>
      </c>
    </row>
    <row r="1711" customFormat="false" ht="15" hidden="false" customHeight="false" outlineLevel="0" collapsed="false">
      <c r="A1711" s="60"/>
      <c r="B1711" s="61" t="str">
        <f aca="false">IF($M1711=0,"",INDEX(Classes!$E$6:$E$420,$M1711))</f>
        <v/>
      </c>
      <c r="C1711" s="62" t="str">
        <f aca="false">IF($M1711=0,"",INDEX(Classes!$H$6:$H$420,$M1711))</f>
        <v/>
      </c>
      <c r="D1711" s="61" t="str">
        <f aca="false">IF($M1711=0,"",INDEX(Classes!$B$6:$B$420,$M1711))</f>
        <v/>
      </c>
      <c r="E1711" s="61" t="str">
        <f aca="false">IF($M1711=0,"",INDEX(Classes!$C$6:$C$420,$M1711))</f>
        <v/>
      </c>
      <c r="F1711" s="63"/>
      <c r="G1711" s="63"/>
      <c r="H1711" s="60"/>
      <c r="I1711" s="60"/>
      <c r="J1711" s="63"/>
      <c r="K1711" s="61" t="str">
        <f aca="false">IF($P1711=0,"",IF($F1711="Baseline","— Baseline",IF($O1711=0,"No result",IF($N1711=0,"No Start (attainment only)",IF(OR($N1711=1,$O1711=1),"U – needs rule",INDEX(MxBody,MATCH($I1711,MxCurr,0),MATCH($H1711,MxStart,0)))))))</f>
        <v/>
      </c>
      <c r="L1711" s="62" t="str">
        <f aca="false">IF(COUNTA($A1711,$F1711,$G1711,$H1711,$I1711,$J1711)=0,"",IF($M1711=0,"✖ كود الصف غير موجود",IF(ISNA(MATCH($F1711,Lists!$A$2:$A$5,0)),"✖ الفترة غير صحيحة",IF(ISNA(MATCH($G1711,Lists!$B$2:$B$7,0)),"✖ المجموعة غير صحيحة",IF(NOT(OR($H1711="",$N1711&gt;0)),"✖ Start غير صحيح",IF(NOT(OR($I1711="",$I1711="NR",$O1711&gt;0)),"✖ Current غير صحيح",IF(NOT(IF(ISNUMBER($J1711),AND($J1711&gt;=0,$J1711=INT($J1711)),FALSE())),"✖ العدد يجب أن يكون صحيحًا ≥ 0",IF(AND($F1711="Baseline",$H1711&lt;&gt;""),"⚠ Baseline: Start لا يدخل في التقدم",IF($K1711="No Start (attainment only)","ℹ تحصيل فقط (بدون Start)",IF($K1711="U – needs rule","ℹ حالة U تحتاج قاعدة معتمدة",IF($K1711="No result","ℹ بدون نتيجة (يُستبعد من التحصيل)","OK")))))))))))</f>
        <v/>
      </c>
      <c r="M1711" s="64" t="n">
        <f aca="false">IF($A1711="",0,IFERROR(MATCH($A1711,Classes!$A$6:$A$420,0),0))</f>
        <v>0</v>
      </c>
      <c r="N1711" s="64" t="n">
        <f aca="false">IF($H1711="",0,IFERROR(MATCH($H1711,GradeList,0),0))</f>
        <v>0</v>
      </c>
      <c r="O1711" s="64" t="n">
        <f aca="false">IF(OR($I1711="",$I1711="NR"),0,IFERROR(MATCH($I1711,GradeList,0),0))</f>
        <v>0</v>
      </c>
      <c r="P1711" s="64" t="n">
        <f aca="false">IF(AND($M1711&gt;0,ISNUMBER(MATCH($F1711,Lists!$A$2:$A$5,0)),ISNUMBER(MATCH($G1711,Lists!$B$2:$B$7,0)),OR($H1711="",$N1711&gt;0),OR($I1711="",$I1711="NR",$O1711&gt;0),IF(ISNUMBER($J1711),AND($J1711&gt;=0,$J1711=INT($J1711)),FALSE())),$J1711,0)</f>
        <v>0</v>
      </c>
      <c r="Q1711" s="64" t="n">
        <f aca="false">IF(AND($P1711&gt;0,$O1711&gt;0),$P1711,0)</f>
        <v>0</v>
      </c>
      <c r="R1711" s="64" t="n">
        <f aca="false">IF(AND($Q1711&gt;0,$O1711&gt;=AtRank),$Q1711,0)</f>
        <v>0</v>
      </c>
      <c r="S1711" s="64" t="n">
        <f aca="false">IF(AND($Q1711&gt;0,$O1711&gt;=AboveRank),$Q1711,0)</f>
        <v>0</v>
      </c>
      <c r="T1711" s="64" t="n">
        <f aca="false">IF($K1711="Less",$P1711,0)</f>
        <v>0</v>
      </c>
      <c r="U1711" s="64" t="n">
        <f aca="false">IF($K1711="Expected",$P1711,0)</f>
        <v>0</v>
      </c>
      <c r="V1711" s="64" t="n">
        <f aca="false">IF($K1711="Better",$P1711,0)</f>
        <v>0</v>
      </c>
      <c r="W1711" s="64" t="n">
        <f aca="false">IF($K1711="U – needs rule",$P1711,0)</f>
        <v>0</v>
      </c>
      <c r="X1711" s="64" t="n">
        <f aca="false">IF($K1711="No Start (attainment only)",$P1711,0)</f>
        <v>0</v>
      </c>
    </row>
    <row r="1712" customFormat="false" ht="15" hidden="false" customHeight="false" outlineLevel="0" collapsed="false">
      <c r="A1712" s="60"/>
      <c r="B1712" s="61" t="str">
        <f aca="false">IF($M1712=0,"",INDEX(Classes!$E$6:$E$420,$M1712))</f>
        <v/>
      </c>
      <c r="C1712" s="62" t="str">
        <f aca="false">IF($M1712=0,"",INDEX(Classes!$H$6:$H$420,$M1712))</f>
        <v/>
      </c>
      <c r="D1712" s="61" t="str">
        <f aca="false">IF($M1712=0,"",INDEX(Classes!$B$6:$B$420,$M1712))</f>
        <v/>
      </c>
      <c r="E1712" s="61" t="str">
        <f aca="false">IF($M1712=0,"",INDEX(Classes!$C$6:$C$420,$M1712))</f>
        <v/>
      </c>
      <c r="F1712" s="63"/>
      <c r="G1712" s="63"/>
      <c r="H1712" s="60"/>
      <c r="I1712" s="60"/>
      <c r="J1712" s="63"/>
      <c r="K1712" s="61" t="str">
        <f aca="false">IF($P1712=0,"",IF($F1712="Baseline","— Baseline",IF($O1712=0,"No result",IF($N1712=0,"No Start (attainment only)",IF(OR($N1712=1,$O1712=1),"U – needs rule",INDEX(MxBody,MATCH($I1712,MxCurr,0),MATCH($H1712,MxStart,0)))))))</f>
        <v/>
      </c>
      <c r="L1712" s="62" t="str">
        <f aca="false">IF(COUNTA($A1712,$F1712,$G1712,$H1712,$I1712,$J1712)=0,"",IF($M1712=0,"✖ كود الصف غير موجود",IF(ISNA(MATCH($F1712,Lists!$A$2:$A$5,0)),"✖ الفترة غير صحيحة",IF(ISNA(MATCH($G1712,Lists!$B$2:$B$7,0)),"✖ المجموعة غير صحيحة",IF(NOT(OR($H1712="",$N1712&gt;0)),"✖ Start غير صحيح",IF(NOT(OR($I1712="",$I1712="NR",$O1712&gt;0)),"✖ Current غير صحيح",IF(NOT(IF(ISNUMBER($J1712),AND($J1712&gt;=0,$J1712=INT($J1712)),FALSE())),"✖ العدد يجب أن يكون صحيحًا ≥ 0",IF(AND($F1712="Baseline",$H1712&lt;&gt;""),"⚠ Baseline: Start لا يدخل في التقدم",IF($K1712="No Start (attainment only)","ℹ تحصيل فقط (بدون Start)",IF($K1712="U – needs rule","ℹ حالة U تحتاج قاعدة معتمدة",IF($K1712="No result","ℹ بدون نتيجة (يُستبعد من التحصيل)","OK")))))))))))</f>
        <v/>
      </c>
      <c r="M1712" s="64" t="n">
        <f aca="false">IF($A1712="",0,IFERROR(MATCH($A1712,Classes!$A$6:$A$420,0),0))</f>
        <v>0</v>
      </c>
      <c r="N1712" s="64" t="n">
        <f aca="false">IF($H1712="",0,IFERROR(MATCH($H1712,GradeList,0),0))</f>
        <v>0</v>
      </c>
      <c r="O1712" s="64" t="n">
        <f aca="false">IF(OR($I1712="",$I1712="NR"),0,IFERROR(MATCH($I1712,GradeList,0),0))</f>
        <v>0</v>
      </c>
      <c r="P1712" s="64" t="n">
        <f aca="false">IF(AND($M1712&gt;0,ISNUMBER(MATCH($F1712,Lists!$A$2:$A$5,0)),ISNUMBER(MATCH($G1712,Lists!$B$2:$B$7,0)),OR($H1712="",$N1712&gt;0),OR($I1712="",$I1712="NR",$O1712&gt;0),IF(ISNUMBER($J1712),AND($J1712&gt;=0,$J1712=INT($J1712)),FALSE())),$J1712,0)</f>
        <v>0</v>
      </c>
      <c r="Q1712" s="64" t="n">
        <f aca="false">IF(AND($P1712&gt;0,$O1712&gt;0),$P1712,0)</f>
        <v>0</v>
      </c>
      <c r="R1712" s="64" t="n">
        <f aca="false">IF(AND($Q1712&gt;0,$O1712&gt;=AtRank),$Q1712,0)</f>
        <v>0</v>
      </c>
      <c r="S1712" s="64" t="n">
        <f aca="false">IF(AND($Q1712&gt;0,$O1712&gt;=AboveRank),$Q1712,0)</f>
        <v>0</v>
      </c>
      <c r="T1712" s="64" t="n">
        <f aca="false">IF($K1712="Less",$P1712,0)</f>
        <v>0</v>
      </c>
      <c r="U1712" s="64" t="n">
        <f aca="false">IF($K1712="Expected",$P1712,0)</f>
        <v>0</v>
      </c>
      <c r="V1712" s="64" t="n">
        <f aca="false">IF($K1712="Better",$P1712,0)</f>
        <v>0</v>
      </c>
      <c r="W1712" s="64" t="n">
        <f aca="false">IF($K1712="U – needs rule",$P1712,0)</f>
        <v>0</v>
      </c>
      <c r="X1712" s="64" t="n">
        <f aca="false">IF($K1712="No Start (attainment only)",$P1712,0)</f>
        <v>0</v>
      </c>
    </row>
    <row r="1713" customFormat="false" ht="15" hidden="false" customHeight="false" outlineLevel="0" collapsed="false">
      <c r="A1713" s="60"/>
      <c r="B1713" s="61" t="str">
        <f aca="false">IF($M1713=0,"",INDEX(Classes!$E$6:$E$420,$M1713))</f>
        <v/>
      </c>
      <c r="C1713" s="62" t="str">
        <f aca="false">IF($M1713=0,"",INDEX(Classes!$H$6:$H$420,$M1713))</f>
        <v/>
      </c>
      <c r="D1713" s="61" t="str">
        <f aca="false">IF($M1713=0,"",INDEX(Classes!$B$6:$B$420,$M1713))</f>
        <v/>
      </c>
      <c r="E1713" s="61" t="str">
        <f aca="false">IF($M1713=0,"",INDEX(Classes!$C$6:$C$420,$M1713))</f>
        <v/>
      </c>
      <c r="F1713" s="63"/>
      <c r="G1713" s="63"/>
      <c r="H1713" s="60"/>
      <c r="I1713" s="60"/>
      <c r="J1713" s="63"/>
      <c r="K1713" s="61" t="str">
        <f aca="false">IF($P1713=0,"",IF($F1713="Baseline","— Baseline",IF($O1713=0,"No result",IF($N1713=0,"No Start (attainment only)",IF(OR($N1713=1,$O1713=1),"U – needs rule",INDEX(MxBody,MATCH($I1713,MxCurr,0),MATCH($H1713,MxStart,0)))))))</f>
        <v/>
      </c>
      <c r="L1713" s="62" t="str">
        <f aca="false">IF(COUNTA($A1713,$F1713,$G1713,$H1713,$I1713,$J1713)=0,"",IF($M1713=0,"✖ كود الصف غير موجود",IF(ISNA(MATCH($F1713,Lists!$A$2:$A$5,0)),"✖ الفترة غير صحيحة",IF(ISNA(MATCH($G1713,Lists!$B$2:$B$7,0)),"✖ المجموعة غير صحيحة",IF(NOT(OR($H1713="",$N1713&gt;0)),"✖ Start غير صحيح",IF(NOT(OR($I1713="",$I1713="NR",$O1713&gt;0)),"✖ Current غير صحيح",IF(NOT(IF(ISNUMBER($J1713),AND($J1713&gt;=0,$J1713=INT($J1713)),FALSE())),"✖ العدد يجب أن يكون صحيحًا ≥ 0",IF(AND($F1713="Baseline",$H1713&lt;&gt;""),"⚠ Baseline: Start لا يدخل في التقدم",IF($K1713="No Start (attainment only)","ℹ تحصيل فقط (بدون Start)",IF($K1713="U – needs rule","ℹ حالة U تحتاج قاعدة معتمدة",IF($K1713="No result","ℹ بدون نتيجة (يُستبعد من التحصيل)","OK")))))))))))</f>
        <v/>
      </c>
      <c r="M1713" s="64" t="n">
        <f aca="false">IF($A1713="",0,IFERROR(MATCH($A1713,Classes!$A$6:$A$420,0),0))</f>
        <v>0</v>
      </c>
      <c r="N1713" s="64" t="n">
        <f aca="false">IF($H1713="",0,IFERROR(MATCH($H1713,GradeList,0),0))</f>
        <v>0</v>
      </c>
      <c r="O1713" s="64" t="n">
        <f aca="false">IF(OR($I1713="",$I1713="NR"),0,IFERROR(MATCH($I1713,GradeList,0),0))</f>
        <v>0</v>
      </c>
      <c r="P1713" s="64" t="n">
        <f aca="false">IF(AND($M1713&gt;0,ISNUMBER(MATCH($F1713,Lists!$A$2:$A$5,0)),ISNUMBER(MATCH($G1713,Lists!$B$2:$B$7,0)),OR($H1713="",$N1713&gt;0),OR($I1713="",$I1713="NR",$O1713&gt;0),IF(ISNUMBER($J1713),AND($J1713&gt;=0,$J1713=INT($J1713)),FALSE())),$J1713,0)</f>
        <v>0</v>
      </c>
      <c r="Q1713" s="64" t="n">
        <f aca="false">IF(AND($P1713&gt;0,$O1713&gt;0),$P1713,0)</f>
        <v>0</v>
      </c>
      <c r="R1713" s="64" t="n">
        <f aca="false">IF(AND($Q1713&gt;0,$O1713&gt;=AtRank),$Q1713,0)</f>
        <v>0</v>
      </c>
      <c r="S1713" s="64" t="n">
        <f aca="false">IF(AND($Q1713&gt;0,$O1713&gt;=AboveRank),$Q1713,0)</f>
        <v>0</v>
      </c>
      <c r="T1713" s="64" t="n">
        <f aca="false">IF($K1713="Less",$P1713,0)</f>
        <v>0</v>
      </c>
      <c r="U1713" s="64" t="n">
        <f aca="false">IF($K1713="Expected",$P1713,0)</f>
        <v>0</v>
      </c>
      <c r="V1713" s="64" t="n">
        <f aca="false">IF($K1713="Better",$P1713,0)</f>
        <v>0</v>
      </c>
      <c r="W1713" s="64" t="n">
        <f aca="false">IF($K1713="U – needs rule",$P1713,0)</f>
        <v>0</v>
      </c>
      <c r="X1713" s="64" t="n">
        <f aca="false">IF($K1713="No Start (attainment only)",$P1713,0)</f>
        <v>0</v>
      </c>
    </row>
    <row r="1714" customFormat="false" ht="15" hidden="false" customHeight="false" outlineLevel="0" collapsed="false">
      <c r="A1714" s="60"/>
      <c r="B1714" s="61" t="str">
        <f aca="false">IF($M1714=0,"",INDEX(Classes!$E$6:$E$420,$M1714))</f>
        <v/>
      </c>
      <c r="C1714" s="62" t="str">
        <f aca="false">IF($M1714=0,"",INDEX(Classes!$H$6:$H$420,$M1714))</f>
        <v/>
      </c>
      <c r="D1714" s="61" t="str">
        <f aca="false">IF($M1714=0,"",INDEX(Classes!$B$6:$B$420,$M1714))</f>
        <v/>
      </c>
      <c r="E1714" s="61" t="str">
        <f aca="false">IF($M1714=0,"",INDEX(Classes!$C$6:$C$420,$M1714))</f>
        <v/>
      </c>
      <c r="F1714" s="63"/>
      <c r="G1714" s="63"/>
      <c r="H1714" s="60"/>
      <c r="I1714" s="60"/>
      <c r="J1714" s="63"/>
      <c r="K1714" s="61" t="str">
        <f aca="false">IF($P1714=0,"",IF($F1714="Baseline","— Baseline",IF($O1714=0,"No result",IF($N1714=0,"No Start (attainment only)",IF(OR($N1714=1,$O1714=1),"U – needs rule",INDEX(MxBody,MATCH($I1714,MxCurr,0),MATCH($H1714,MxStart,0)))))))</f>
        <v/>
      </c>
      <c r="L1714" s="62" t="str">
        <f aca="false">IF(COUNTA($A1714,$F1714,$G1714,$H1714,$I1714,$J1714)=0,"",IF($M1714=0,"✖ كود الصف غير موجود",IF(ISNA(MATCH($F1714,Lists!$A$2:$A$5,0)),"✖ الفترة غير صحيحة",IF(ISNA(MATCH($G1714,Lists!$B$2:$B$7,0)),"✖ المجموعة غير صحيحة",IF(NOT(OR($H1714="",$N1714&gt;0)),"✖ Start غير صحيح",IF(NOT(OR($I1714="",$I1714="NR",$O1714&gt;0)),"✖ Current غير صحيح",IF(NOT(IF(ISNUMBER($J1714),AND($J1714&gt;=0,$J1714=INT($J1714)),FALSE())),"✖ العدد يجب أن يكون صحيحًا ≥ 0",IF(AND($F1714="Baseline",$H1714&lt;&gt;""),"⚠ Baseline: Start لا يدخل في التقدم",IF($K1714="No Start (attainment only)","ℹ تحصيل فقط (بدون Start)",IF($K1714="U – needs rule","ℹ حالة U تحتاج قاعدة معتمدة",IF($K1714="No result","ℹ بدون نتيجة (يُستبعد من التحصيل)","OK")))))))))))</f>
        <v/>
      </c>
      <c r="M1714" s="64" t="n">
        <f aca="false">IF($A1714="",0,IFERROR(MATCH($A1714,Classes!$A$6:$A$420,0),0))</f>
        <v>0</v>
      </c>
      <c r="N1714" s="64" t="n">
        <f aca="false">IF($H1714="",0,IFERROR(MATCH($H1714,GradeList,0),0))</f>
        <v>0</v>
      </c>
      <c r="O1714" s="64" t="n">
        <f aca="false">IF(OR($I1714="",$I1714="NR"),0,IFERROR(MATCH($I1714,GradeList,0),0))</f>
        <v>0</v>
      </c>
      <c r="P1714" s="64" t="n">
        <f aca="false">IF(AND($M1714&gt;0,ISNUMBER(MATCH($F1714,Lists!$A$2:$A$5,0)),ISNUMBER(MATCH($G1714,Lists!$B$2:$B$7,0)),OR($H1714="",$N1714&gt;0),OR($I1714="",$I1714="NR",$O1714&gt;0),IF(ISNUMBER($J1714),AND($J1714&gt;=0,$J1714=INT($J1714)),FALSE())),$J1714,0)</f>
        <v>0</v>
      </c>
      <c r="Q1714" s="64" t="n">
        <f aca="false">IF(AND($P1714&gt;0,$O1714&gt;0),$P1714,0)</f>
        <v>0</v>
      </c>
      <c r="R1714" s="64" t="n">
        <f aca="false">IF(AND($Q1714&gt;0,$O1714&gt;=AtRank),$Q1714,0)</f>
        <v>0</v>
      </c>
      <c r="S1714" s="64" t="n">
        <f aca="false">IF(AND($Q1714&gt;0,$O1714&gt;=AboveRank),$Q1714,0)</f>
        <v>0</v>
      </c>
      <c r="T1714" s="64" t="n">
        <f aca="false">IF($K1714="Less",$P1714,0)</f>
        <v>0</v>
      </c>
      <c r="U1714" s="64" t="n">
        <f aca="false">IF($K1714="Expected",$P1714,0)</f>
        <v>0</v>
      </c>
      <c r="V1714" s="64" t="n">
        <f aca="false">IF($K1714="Better",$P1714,0)</f>
        <v>0</v>
      </c>
      <c r="W1714" s="64" t="n">
        <f aca="false">IF($K1714="U – needs rule",$P1714,0)</f>
        <v>0</v>
      </c>
      <c r="X1714" s="64" t="n">
        <f aca="false">IF($K1714="No Start (attainment only)",$P1714,0)</f>
        <v>0</v>
      </c>
    </row>
    <row r="1715" customFormat="false" ht="15" hidden="false" customHeight="false" outlineLevel="0" collapsed="false">
      <c r="A1715" s="60"/>
      <c r="B1715" s="61" t="str">
        <f aca="false">IF($M1715=0,"",INDEX(Classes!$E$6:$E$420,$M1715))</f>
        <v/>
      </c>
      <c r="C1715" s="62" t="str">
        <f aca="false">IF($M1715=0,"",INDEX(Classes!$H$6:$H$420,$M1715))</f>
        <v/>
      </c>
      <c r="D1715" s="61" t="str">
        <f aca="false">IF($M1715=0,"",INDEX(Classes!$B$6:$B$420,$M1715))</f>
        <v/>
      </c>
      <c r="E1715" s="61" t="str">
        <f aca="false">IF($M1715=0,"",INDEX(Classes!$C$6:$C$420,$M1715))</f>
        <v/>
      </c>
      <c r="F1715" s="63"/>
      <c r="G1715" s="63"/>
      <c r="H1715" s="60"/>
      <c r="I1715" s="60"/>
      <c r="J1715" s="63"/>
      <c r="K1715" s="61" t="str">
        <f aca="false">IF($P1715=0,"",IF($F1715="Baseline","— Baseline",IF($O1715=0,"No result",IF($N1715=0,"No Start (attainment only)",IF(OR($N1715=1,$O1715=1),"U – needs rule",INDEX(MxBody,MATCH($I1715,MxCurr,0),MATCH($H1715,MxStart,0)))))))</f>
        <v/>
      </c>
      <c r="L1715" s="62" t="str">
        <f aca="false">IF(COUNTA($A1715,$F1715,$G1715,$H1715,$I1715,$J1715)=0,"",IF($M1715=0,"✖ كود الصف غير موجود",IF(ISNA(MATCH($F1715,Lists!$A$2:$A$5,0)),"✖ الفترة غير صحيحة",IF(ISNA(MATCH($G1715,Lists!$B$2:$B$7,0)),"✖ المجموعة غير صحيحة",IF(NOT(OR($H1715="",$N1715&gt;0)),"✖ Start غير صحيح",IF(NOT(OR($I1715="",$I1715="NR",$O1715&gt;0)),"✖ Current غير صحيح",IF(NOT(IF(ISNUMBER($J1715),AND($J1715&gt;=0,$J1715=INT($J1715)),FALSE())),"✖ العدد يجب أن يكون صحيحًا ≥ 0",IF(AND($F1715="Baseline",$H1715&lt;&gt;""),"⚠ Baseline: Start لا يدخل في التقدم",IF($K1715="No Start (attainment only)","ℹ تحصيل فقط (بدون Start)",IF($K1715="U – needs rule","ℹ حالة U تحتاج قاعدة معتمدة",IF($K1715="No result","ℹ بدون نتيجة (يُستبعد من التحصيل)","OK")))))))))))</f>
        <v/>
      </c>
      <c r="M1715" s="64" t="n">
        <f aca="false">IF($A1715="",0,IFERROR(MATCH($A1715,Classes!$A$6:$A$420,0),0))</f>
        <v>0</v>
      </c>
      <c r="N1715" s="64" t="n">
        <f aca="false">IF($H1715="",0,IFERROR(MATCH($H1715,GradeList,0),0))</f>
        <v>0</v>
      </c>
      <c r="O1715" s="64" t="n">
        <f aca="false">IF(OR($I1715="",$I1715="NR"),0,IFERROR(MATCH($I1715,GradeList,0),0))</f>
        <v>0</v>
      </c>
      <c r="P1715" s="64" t="n">
        <f aca="false">IF(AND($M1715&gt;0,ISNUMBER(MATCH($F1715,Lists!$A$2:$A$5,0)),ISNUMBER(MATCH($G1715,Lists!$B$2:$B$7,0)),OR($H1715="",$N1715&gt;0),OR($I1715="",$I1715="NR",$O1715&gt;0),IF(ISNUMBER($J1715),AND($J1715&gt;=0,$J1715=INT($J1715)),FALSE())),$J1715,0)</f>
        <v>0</v>
      </c>
      <c r="Q1715" s="64" t="n">
        <f aca="false">IF(AND($P1715&gt;0,$O1715&gt;0),$P1715,0)</f>
        <v>0</v>
      </c>
      <c r="R1715" s="64" t="n">
        <f aca="false">IF(AND($Q1715&gt;0,$O1715&gt;=AtRank),$Q1715,0)</f>
        <v>0</v>
      </c>
      <c r="S1715" s="64" t="n">
        <f aca="false">IF(AND($Q1715&gt;0,$O1715&gt;=AboveRank),$Q1715,0)</f>
        <v>0</v>
      </c>
      <c r="T1715" s="64" t="n">
        <f aca="false">IF($K1715="Less",$P1715,0)</f>
        <v>0</v>
      </c>
      <c r="U1715" s="64" t="n">
        <f aca="false">IF($K1715="Expected",$P1715,0)</f>
        <v>0</v>
      </c>
      <c r="V1715" s="64" t="n">
        <f aca="false">IF($K1715="Better",$P1715,0)</f>
        <v>0</v>
      </c>
      <c r="W1715" s="64" t="n">
        <f aca="false">IF($K1715="U – needs rule",$P1715,0)</f>
        <v>0</v>
      </c>
      <c r="X1715" s="64" t="n">
        <f aca="false">IF($K1715="No Start (attainment only)",$P1715,0)</f>
        <v>0</v>
      </c>
    </row>
    <row r="1716" customFormat="false" ht="15" hidden="false" customHeight="false" outlineLevel="0" collapsed="false">
      <c r="A1716" s="60"/>
      <c r="B1716" s="61" t="str">
        <f aca="false">IF($M1716=0,"",INDEX(Classes!$E$6:$E$420,$M1716))</f>
        <v/>
      </c>
      <c r="C1716" s="62" t="str">
        <f aca="false">IF($M1716=0,"",INDEX(Classes!$H$6:$H$420,$M1716))</f>
        <v/>
      </c>
      <c r="D1716" s="61" t="str">
        <f aca="false">IF($M1716=0,"",INDEX(Classes!$B$6:$B$420,$M1716))</f>
        <v/>
      </c>
      <c r="E1716" s="61" t="str">
        <f aca="false">IF($M1716=0,"",INDEX(Classes!$C$6:$C$420,$M1716))</f>
        <v/>
      </c>
      <c r="F1716" s="63"/>
      <c r="G1716" s="63"/>
      <c r="H1716" s="60"/>
      <c r="I1716" s="60"/>
      <c r="J1716" s="63"/>
      <c r="K1716" s="61" t="str">
        <f aca="false">IF($P1716=0,"",IF($F1716="Baseline","— Baseline",IF($O1716=0,"No result",IF($N1716=0,"No Start (attainment only)",IF(OR($N1716=1,$O1716=1),"U – needs rule",INDEX(MxBody,MATCH($I1716,MxCurr,0),MATCH($H1716,MxStart,0)))))))</f>
        <v/>
      </c>
      <c r="L1716" s="62" t="str">
        <f aca="false">IF(COUNTA($A1716,$F1716,$G1716,$H1716,$I1716,$J1716)=0,"",IF($M1716=0,"✖ كود الصف غير موجود",IF(ISNA(MATCH($F1716,Lists!$A$2:$A$5,0)),"✖ الفترة غير صحيحة",IF(ISNA(MATCH($G1716,Lists!$B$2:$B$7,0)),"✖ المجموعة غير صحيحة",IF(NOT(OR($H1716="",$N1716&gt;0)),"✖ Start غير صحيح",IF(NOT(OR($I1716="",$I1716="NR",$O1716&gt;0)),"✖ Current غير صحيح",IF(NOT(IF(ISNUMBER($J1716),AND($J1716&gt;=0,$J1716=INT($J1716)),FALSE())),"✖ العدد يجب أن يكون صحيحًا ≥ 0",IF(AND($F1716="Baseline",$H1716&lt;&gt;""),"⚠ Baseline: Start لا يدخل في التقدم",IF($K1716="No Start (attainment only)","ℹ تحصيل فقط (بدون Start)",IF($K1716="U – needs rule","ℹ حالة U تحتاج قاعدة معتمدة",IF($K1716="No result","ℹ بدون نتيجة (يُستبعد من التحصيل)","OK")))))))))))</f>
        <v/>
      </c>
      <c r="M1716" s="64" t="n">
        <f aca="false">IF($A1716="",0,IFERROR(MATCH($A1716,Classes!$A$6:$A$420,0),0))</f>
        <v>0</v>
      </c>
      <c r="N1716" s="64" t="n">
        <f aca="false">IF($H1716="",0,IFERROR(MATCH($H1716,GradeList,0),0))</f>
        <v>0</v>
      </c>
      <c r="O1716" s="64" t="n">
        <f aca="false">IF(OR($I1716="",$I1716="NR"),0,IFERROR(MATCH($I1716,GradeList,0),0))</f>
        <v>0</v>
      </c>
      <c r="P1716" s="64" t="n">
        <f aca="false">IF(AND($M1716&gt;0,ISNUMBER(MATCH($F1716,Lists!$A$2:$A$5,0)),ISNUMBER(MATCH($G1716,Lists!$B$2:$B$7,0)),OR($H1716="",$N1716&gt;0),OR($I1716="",$I1716="NR",$O1716&gt;0),IF(ISNUMBER($J1716),AND($J1716&gt;=0,$J1716=INT($J1716)),FALSE())),$J1716,0)</f>
        <v>0</v>
      </c>
      <c r="Q1716" s="64" t="n">
        <f aca="false">IF(AND($P1716&gt;0,$O1716&gt;0),$P1716,0)</f>
        <v>0</v>
      </c>
      <c r="R1716" s="64" t="n">
        <f aca="false">IF(AND($Q1716&gt;0,$O1716&gt;=AtRank),$Q1716,0)</f>
        <v>0</v>
      </c>
      <c r="S1716" s="64" t="n">
        <f aca="false">IF(AND($Q1716&gt;0,$O1716&gt;=AboveRank),$Q1716,0)</f>
        <v>0</v>
      </c>
      <c r="T1716" s="64" t="n">
        <f aca="false">IF($K1716="Less",$P1716,0)</f>
        <v>0</v>
      </c>
      <c r="U1716" s="64" t="n">
        <f aca="false">IF($K1716="Expected",$P1716,0)</f>
        <v>0</v>
      </c>
      <c r="V1716" s="64" t="n">
        <f aca="false">IF($K1716="Better",$P1716,0)</f>
        <v>0</v>
      </c>
      <c r="W1716" s="64" t="n">
        <f aca="false">IF($K1716="U – needs rule",$P1716,0)</f>
        <v>0</v>
      </c>
      <c r="X1716" s="64" t="n">
        <f aca="false">IF($K1716="No Start (attainment only)",$P1716,0)</f>
        <v>0</v>
      </c>
    </row>
    <row r="1717" customFormat="false" ht="15" hidden="false" customHeight="false" outlineLevel="0" collapsed="false">
      <c r="A1717" s="60"/>
      <c r="B1717" s="61" t="str">
        <f aca="false">IF($M1717=0,"",INDEX(Classes!$E$6:$E$420,$M1717))</f>
        <v/>
      </c>
      <c r="C1717" s="62" t="str">
        <f aca="false">IF($M1717=0,"",INDEX(Classes!$H$6:$H$420,$M1717))</f>
        <v/>
      </c>
      <c r="D1717" s="61" t="str">
        <f aca="false">IF($M1717=0,"",INDEX(Classes!$B$6:$B$420,$M1717))</f>
        <v/>
      </c>
      <c r="E1717" s="61" t="str">
        <f aca="false">IF($M1717=0,"",INDEX(Classes!$C$6:$C$420,$M1717))</f>
        <v/>
      </c>
      <c r="F1717" s="63"/>
      <c r="G1717" s="63"/>
      <c r="H1717" s="60"/>
      <c r="I1717" s="60"/>
      <c r="J1717" s="63"/>
      <c r="K1717" s="61" t="str">
        <f aca="false">IF($P1717=0,"",IF($F1717="Baseline","— Baseline",IF($O1717=0,"No result",IF($N1717=0,"No Start (attainment only)",IF(OR($N1717=1,$O1717=1),"U – needs rule",INDEX(MxBody,MATCH($I1717,MxCurr,0),MATCH($H1717,MxStart,0)))))))</f>
        <v/>
      </c>
      <c r="L1717" s="62" t="str">
        <f aca="false">IF(COUNTA($A1717,$F1717,$G1717,$H1717,$I1717,$J1717)=0,"",IF($M1717=0,"✖ كود الصف غير موجود",IF(ISNA(MATCH($F1717,Lists!$A$2:$A$5,0)),"✖ الفترة غير صحيحة",IF(ISNA(MATCH($G1717,Lists!$B$2:$B$7,0)),"✖ المجموعة غير صحيحة",IF(NOT(OR($H1717="",$N1717&gt;0)),"✖ Start غير صحيح",IF(NOT(OR($I1717="",$I1717="NR",$O1717&gt;0)),"✖ Current غير صحيح",IF(NOT(IF(ISNUMBER($J1717),AND($J1717&gt;=0,$J1717=INT($J1717)),FALSE())),"✖ العدد يجب أن يكون صحيحًا ≥ 0",IF(AND($F1717="Baseline",$H1717&lt;&gt;""),"⚠ Baseline: Start لا يدخل في التقدم",IF($K1717="No Start (attainment only)","ℹ تحصيل فقط (بدون Start)",IF($K1717="U – needs rule","ℹ حالة U تحتاج قاعدة معتمدة",IF($K1717="No result","ℹ بدون نتيجة (يُستبعد من التحصيل)","OK")))))))))))</f>
        <v/>
      </c>
      <c r="M1717" s="64" t="n">
        <f aca="false">IF($A1717="",0,IFERROR(MATCH($A1717,Classes!$A$6:$A$420,0),0))</f>
        <v>0</v>
      </c>
      <c r="N1717" s="64" t="n">
        <f aca="false">IF($H1717="",0,IFERROR(MATCH($H1717,GradeList,0),0))</f>
        <v>0</v>
      </c>
      <c r="O1717" s="64" t="n">
        <f aca="false">IF(OR($I1717="",$I1717="NR"),0,IFERROR(MATCH($I1717,GradeList,0),0))</f>
        <v>0</v>
      </c>
      <c r="P1717" s="64" t="n">
        <f aca="false">IF(AND($M1717&gt;0,ISNUMBER(MATCH($F1717,Lists!$A$2:$A$5,0)),ISNUMBER(MATCH($G1717,Lists!$B$2:$B$7,0)),OR($H1717="",$N1717&gt;0),OR($I1717="",$I1717="NR",$O1717&gt;0),IF(ISNUMBER($J1717),AND($J1717&gt;=0,$J1717=INT($J1717)),FALSE())),$J1717,0)</f>
        <v>0</v>
      </c>
      <c r="Q1717" s="64" t="n">
        <f aca="false">IF(AND($P1717&gt;0,$O1717&gt;0),$P1717,0)</f>
        <v>0</v>
      </c>
      <c r="R1717" s="64" t="n">
        <f aca="false">IF(AND($Q1717&gt;0,$O1717&gt;=AtRank),$Q1717,0)</f>
        <v>0</v>
      </c>
      <c r="S1717" s="64" t="n">
        <f aca="false">IF(AND($Q1717&gt;0,$O1717&gt;=AboveRank),$Q1717,0)</f>
        <v>0</v>
      </c>
      <c r="T1717" s="64" t="n">
        <f aca="false">IF($K1717="Less",$P1717,0)</f>
        <v>0</v>
      </c>
      <c r="U1717" s="64" t="n">
        <f aca="false">IF($K1717="Expected",$P1717,0)</f>
        <v>0</v>
      </c>
      <c r="V1717" s="64" t="n">
        <f aca="false">IF($K1717="Better",$P1717,0)</f>
        <v>0</v>
      </c>
      <c r="W1717" s="64" t="n">
        <f aca="false">IF($K1717="U – needs rule",$P1717,0)</f>
        <v>0</v>
      </c>
      <c r="X1717" s="64" t="n">
        <f aca="false">IF($K1717="No Start (attainment only)",$P1717,0)</f>
        <v>0</v>
      </c>
    </row>
    <row r="1718" customFormat="false" ht="15" hidden="false" customHeight="false" outlineLevel="0" collapsed="false">
      <c r="A1718" s="60"/>
      <c r="B1718" s="61" t="str">
        <f aca="false">IF($M1718=0,"",INDEX(Classes!$E$6:$E$420,$M1718))</f>
        <v/>
      </c>
      <c r="C1718" s="62" t="str">
        <f aca="false">IF($M1718=0,"",INDEX(Classes!$H$6:$H$420,$M1718))</f>
        <v/>
      </c>
      <c r="D1718" s="61" t="str">
        <f aca="false">IF($M1718=0,"",INDEX(Classes!$B$6:$B$420,$M1718))</f>
        <v/>
      </c>
      <c r="E1718" s="61" t="str">
        <f aca="false">IF($M1718=0,"",INDEX(Classes!$C$6:$C$420,$M1718))</f>
        <v/>
      </c>
      <c r="F1718" s="63"/>
      <c r="G1718" s="63"/>
      <c r="H1718" s="60"/>
      <c r="I1718" s="60"/>
      <c r="J1718" s="63"/>
      <c r="K1718" s="61" t="str">
        <f aca="false">IF($P1718=0,"",IF($F1718="Baseline","— Baseline",IF($O1718=0,"No result",IF($N1718=0,"No Start (attainment only)",IF(OR($N1718=1,$O1718=1),"U – needs rule",INDEX(MxBody,MATCH($I1718,MxCurr,0),MATCH($H1718,MxStart,0)))))))</f>
        <v/>
      </c>
      <c r="L1718" s="62" t="str">
        <f aca="false">IF(COUNTA($A1718,$F1718,$G1718,$H1718,$I1718,$J1718)=0,"",IF($M1718=0,"✖ كود الصف غير موجود",IF(ISNA(MATCH($F1718,Lists!$A$2:$A$5,0)),"✖ الفترة غير صحيحة",IF(ISNA(MATCH($G1718,Lists!$B$2:$B$7,0)),"✖ المجموعة غير صحيحة",IF(NOT(OR($H1718="",$N1718&gt;0)),"✖ Start غير صحيح",IF(NOT(OR($I1718="",$I1718="NR",$O1718&gt;0)),"✖ Current غير صحيح",IF(NOT(IF(ISNUMBER($J1718),AND($J1718&gt;=0,$J1718=INT($J1718)),FALSE())),"✖ العدد يجب أن يكون صحيحًا ≥ 0",IF(AND($F1718="Baseline",$H1718&lt;&gt;""),"⚠ Baseline: Start لا يدخل في التقدم",IF($K1718="No Start (attainment only)","ℹ تحصيل فقط (بدون Start)",IF($K1718="U – needs rule","ℹ حالة U تحتاج قاعدة معتمدة",IF($K1718="No result","ℹ بدون نتيجة (يُستبعد من التحصيل)","OK")))))))))))</f>
        <v/>
      </c>
      <c r="M1718" s="64" t="n">
        <f aca="false">IF($A1718="",0,IFERROR(MATCH($A1718,Classes!$A$6:$A$420,0),0))</f>
        <v>0</v>
      </c>
      <c r="N1718" s="64" t="n">
        <f aca="false">IF($H1718="",0,IFERROR(MATCH($H1718,GradeList,0),0))</f>
        <v>0</v>
      </c>
      <c r="O1718" s="64" t="n">
        <f aca="false">IF(OR($I1718="",$I1718="NR"),0,IFERROR(MATCH($I1718,GradeList,0),0))</f>
        <v>0</v>
      </c>
      <c r="P1718" s="64" t="n">
        <f aca="false">IF(AND($M1718&gt;0,ISNUMBER(MATCH($F1718,Lists!$A$2:$A$5,0)),ISNUMBER(MATCH($G1718,Lists!$B$2:$B$7,0)),OR($H1718="",$N1718&gt;0),OR($I1718="",$I1718="NR",$O1718&gt;0),IF(ISNUMBER($J1718),AND($J1718&gt;=0,$J1718=INT($J1718)),FALSE())),$J1718,0)</f>
        <v>0</v>
      </c>
      <c r="Q1718" s="64" t="n">
        <f aca="false">IF(AND($P1718&gt;0,$O1718&gt;0),$P1718,0)</f>
        <v>0</v>
      </c>
      <c r="R1718" s="64" t="n">
        <f aca="false">IF(AND($Q1718&gt;0,$O1718&gt;=AtRank),$Q1718,0)</f>
        <v>0</v>
      </c>
      <c r="S1718" s="64" t="n">
        <f aca="false">IF(AND($Q1718&gt;0,$O1718&gt;=AboveRank),$Q1718,0)</f>
        <v>0</v>
      </c>
      <c r="T1718" s="64" t="n">
        <f aca="false">IF($K1718="Less",$P1718,0)</f>
        <v>0</v>
      </c>
      <c r="U1718" s="64" t="n">
        <f aca="false">IF($K1718="Expected",$P1718,0)</f>
        <v>0</v>
      </c>
      <c r="V1718" s="64" t="n">
        <f aca="false">IF($K1718="Better",$P1718,0)</f>
        <v>0</v>
      </c>
      <c r="W1718" s="64" t="n">
        <f aca="false">IF($K1718="U – needs rule",$P1718,0)</f>
        <v>0</v>
      </c>
      <c r="X1718" s="64" t="n">
        <f aca="false">IF($K1718="No Start (attainment only)",$P1718,0)</f>
        <v>0</v>
      </c>
    </row>
    <row r="1719" customFormat="false" ht="15" hidden="false" customHeight="false" outlineLevel="0" collapsed="false">
      <c r="A1719" s="60"/>
      <c r="B1719" s="61" t="str">
        <f aca="false">IF($M1719=0,"",INDEX(Classes!$E$6:$E$420,$M1719))</f>
        <v/>
      </c>
      <c r="C1719" s="62" t="str">
        <f aca="false">IF($M1719=0,"",INDEX(Classes!$H$6:$H$420,$M1719))</f>
        <v/>
      </c>
      <c r="D1719" s="61" t="str">
        <f aca="false">IF($M1719=0,"",INDEX(Classes!$B$6:$B$420,$M1719))</f>
        <v/>
      </c>
      <c r="E1719" s="61" t="str">
        <f aca="false">IF($M1719=0,"",INDEX(Classes!$C$6:$C$420,$M1719))</f>
        <v/>
      </c>
      <c r="F1719" s="63"/>
      <c r="G1719" s="63"/>
      <c r="H1719" s="60"/>
      <c r="I1719" s="60"/>
      <c r="J1719" s="63"/>
      <c r="K1719" s="61" t="str">
        <f aca="false">IF($P1719=0,"",IF($F1719="Baseline","— Baseline",IF($O1719=0,"No result",IF($N1719=0,"No Start (attainment only)",IF(OR($N1719=1,$O1719=1),"U – needs rule",INDEX(MxBody,MATCH($I1719,MxCurr,0),MATCH($H1719,MxStart,0)))))))</f>
        <v/>
      </c>
      <c r="L1719" s="62" t="str">
        <f aca="false">IF(COUNTA($A1719,$F1719,$G1719,$H1719,$I1719,$J1719)=0,"",IF($M1719=0,"✖ كود الصف غير موجود",IF(ISNA(MATCH($F1719,Lists!$A$2:$A$5,0)),"✖ الفترة غير صحيحة",IF(ISNA(MATCH($G1719,Lists!$B$2:$B$7,0)),"✖ المجموعة غير صحيحة",IF(NOT(OR($H1719="",$N1719&gt;0)),"✖ Start غير صحيح",IF(NOT(OR($I1719="",$I1719="NR",$O1719&gt;0)),"✖ Current غير صحيح",IF(NOT(IF(ISNUMBER($J1719),AND($J1719&gt;=0,$J1719=INT($J1719)),FALSE())),"✖ العدد يجب أن يكون صحيحًا ≥ 0",IF(AND($F1719="Baseline",$H1719&lt;&gt;""),"⚠ Baseline: Start لا يدخل في التقدم",IF($K1719="No Start (attainment only)","ℹ تحصيل فقط (بدون Start)",IF($K1719="U – needs rule","ℹ حالة U تحتاج قاعدة معتمدة",IF($K1719="No result","ℹ بدون نتيجة (يُستبعد من التحصيل)","OK")))))))))))</f>
        <v/>
      </c>
      <c r="M1719" s="64" t="n">
        <f aca="false">IF($A1719="",0,IFERROR(MATCH($A1719,Classes!$A$6:$A$420,0),0))</f>
        <v>0</v>
      </c>
      <c r="N1719" s="64" t="n">
        <f aca="false">IF($H1719="",0,IFERROR(MATCH($H1719,GradeList,0),0))</f>
        <v>0</v>
      </c>
      <c r="O1719" s="64" t="n">
        <f aca="false">IF(OR($I1719="",$I1719="NR"),0,IFERROR(MATCH($I1719,GradeList,0),0))</f>
        <v>0</v>
      </c>
      <c r="P1719" s="64" t="n">
        <f aca="false">IF(AND($M1719&gt;0,ISNUMBER(MATCH($F1719,Lists!$A$2:$A$5,0)),ISNUMBER(MATCH($G1719,Lists!$B$2:$B$7,0)),OR($H1719="",$N1719&gt;0),OR($I1719="",$I1719="NR",$O1719&gt;0),IF(ISNUMBER($J1719),AND($J1719&gt;=0,$J1719=INT($J1719)),FALSE())),$J1719,0)</f>
        <v>0</v>
      </c>
      <c r="Q1719" s="64" t="n">
        <f aca="false">IF(AND($P1719&gt;0,$O1719&gt;0),$P1719,0)</f>
        <v>0</v>
      </c>
      <c r="R1719" s="64" t="n">
        <f aca="false">IF(AND($Q1719&gt;0,$O1719&gt;=AtRank),$Q1719,0)</f>
        <v>0</v>
      </c>
      <c r="S1719" s="64" t="n">
        <f aca="false">IF(AND($Q1719&gt;0,$O1719&gt;=AboveRank),$Q1719,0)</f>
        <v>0</v>
      </c>
      <c r="T1719" s="64" t="n">
        <f aca="false">IF($K1719="Less",$P1719,0)</f>
        <v>0</v>
      </c>
      <c r="U1719" s="64" t="n">
        <f aca="false">IF($K1719="Expected",$P1719,0)</f>
        <v>0</v>
      </c>
      <c r="V1719" s="64" t="n">
        <f aca="false">IF($K1719="Better",$P1719,0)</f>
        <v>0</v>
      </c>
      <c r="W1719" s="64" t="n">
        <f aca="false">IF($K1719="U – needs rule",$P1719,0)</f>
        <v>0</v>
      </c>
      <c r="X1719" s="64" t="n">
        <f aca="false">IF($K1719="No Start (attainment only)",$P1719,0)</f>
        <v>0</v>
      </c>
    </row>
    <row r="1720" customFormat="false" ht="15" hidden="false" customHeight="false" outlineLevel="0" collapsed="false">
      <c r="A1720" s="60"/>
      <c r="B1720" s="61" t="str">
        <f aca="false">IF($M1720=0,"",INDEX(Classes!$E$6:$E$420,$M1720))</f>
        <v/>
      </c>
      <c r="C1720" s="62" t="str">
        <f aca="false">IF($M1720=0,"",INDEX(Classes!$H$6:$H$420,$M1720))</f>
        <v/>
      </c>
      <c r="D1720" s="61" t="str">
        <f aca="false">IF($M1720=0,"",INDEX(Classes!$B$6:$B$420,$M1720))</f>
        <v/>
      </c>
      <c r="E1720" s="61" t="str">
        <f aca="false">IF($M1720=0,"",INDEX(Classes!$C$6:$C$420,$M1720))</f>
        <v/>
      </c>
      <c r="F1720" s="63"/>
      <c r="G1720" s="63"/>
      <c r="H1720" s="60"/>
      <c r="I1720" s="60"/>
      <c r="J1720" s="63"/>
      <c r="K1720" s="61" t="str">
        <f aca="false">IF($P1720=0,"",IF($F1720="Baseline","— Baseline",IF($O1720=0,"No result",IF($N1720=0,"No Start (attainment only)",IF(OR($N1720=1,$O1720=1),"U – needs rule",INDEX(MxBody,MATCH($I1720,MxCurr,0),MATCH($H1720,MxStart,0)))))))</f>
        <v/>
      </c>
      <c r="L1720" s="62" t="str">
        <f aca="false">IF(COUNTA($A1720,$F1720,$G1720,$H1720,$I1720,$J1720)=0,"",IF($M1720=0,"✖ كود الصف غير موجود",IF(ISNA(MATCH($F1720,Lists!$A$2:$A$5,0)),"✖ الفترة غير صحيحة",IF(ISNA(MATCH($G1720,Lists!$B$2:$B$7,0)),"✖ المجموعة غير صحيحة",IF(NOT(OR($H1720="",$N1720&gt;0)),"✖ Start غير صحيح",IF(NOT(OR($I1720="",$I1720="NR",$O1720&gt;0)),"✖ Current غير صحيح",IF(NOT(IF(ISNUMBER($J1720),AND($J1720&gt;=0,$J1720=INT($J1720)),FALSE())),"✖ العدد يجب أن يكون صحيحًا ≥ 0",IF(AND($F1720="Baseline",$H1720&lt;&gt;""),"⚠ Baseline: Start لا يدخل في التقدم",IF($K1720="No Start (attainment only)","ℹ تحصيل فقط (بدون Start)",IF($K1720="U – needs rule","ℹ حالة U تحتاج قاعدة معتمدة",IF($K1720="No result","ℹ بدون نتيجة (يُستبعد من التحصيل)","OK")))))))))))</f>
        <v/>
      </c>
      <c r="M1720" s="64" t="n">
        <f aca="false">IF($A1720="",0,IFERROR(MATCH($A1720,Classes!$A$6:$A$420,0),0))</f>
        <v>0</v>
      </c>
      <c r="N1720" s="64" t="n">
        <f aca="false">IF($H1720="",0,IFERROR(MATCH($H1720,GradeList,0),0))</f>
        <v>0</v>
      </c>
      <c r="O1720" s="64" t="n">
        <f aca="false">IF(OR($I1720="",$I1720="NR"),0,IFERROR(MATCH($I1720,GradeList,0),0))</f>
        <v>0</v>
      </c>
      <c r="P1720" s="64" t="n">
        <f aca="false">IF(AND($M1720&gt;0,ISNUMBER(MATCH($F1720,Lists!$A$2:$A$5,0)),ISNUMBER(MATCH($G1720,Lists!$B$2:$B$7,0)),OR($H1720="",$N1720&gt;0),OR($I1720="",$I1720="NR",$O1720&gt;0),IF(ISNUMBER($J1720),AND($J1720&gt;=0,$J1720=INT($J1720)),FALSE())),$J1720,0)</f>
        <v>0</v>
      </c>
      <c r="Q1720" s="64" t="n">
        <f aca="false">IF(AND($P1720&gt;0,$O1720&gt;0),$P1720,0)</f>
        <v>0</v>
      </c>
      <c r="R1720" s="64" t="n">
        <f aca="false">IF(AND($Q1720&gt;0,$O1720&gt;=AtRank),$Q1720,0)</f>
        <v>0</v>
      </c>
      <c r="S1720" s="64" t="n">
        <f aca="false">IF(AND($Q1720&gt;0,$O1720&gt;=AboveRank),$Q1720,0)</f>
        <v>0</v>
      </c>
      <c r="T1720" s="64" t="n">
        <f aca="false">IF($K1720="Less",$P1720,0)</f>
        <v>0</v>
      </c>
      <c r="U1720" s="64" t="n">
        <f aca="false">IF($K1720="Expected",$P1720,0)</f>
        <v>0</v>
      </c>
      <c r="V1720" s="64" t="n">
        <f aca="false">IF($K1720="Better",$P1720,0)</f>
        <v>0</v>
      </c>
      <c r="W1720" s="64" t="n">
        <f aca="false">IF($K1720="U – needs rule",$P1720,0)</f>
        <v>0</v>
      </c>
      <c r="X1720" s="64" t="n">
        <f aca="false">IF($K1720="No Start (attainment only)",$P1720,0)</f>
        <v>0</v>
      </c>
    </row>
    <row r="1721" customFormat="false" ht="15" hidden="false" customHeight="false" outlineLevel="0" collapsed="false">
      <c r="A1721" s="60"/>
      <c r="B1721" s="61" t="str">
        <f aca="false">IF($M1721=0,"",INDEX(Classes!$E$6:$E$420,$M1721))</f>
        <v/>
      </c>
      <c r="C1721" s="62" t="str">
        <f aca="false">IF($M1721=0,"",INDEX(Classes!$H$6:$H$420,$M1721))</f>
        <v/>
      </c>
      <c r="D1721" s="61" t="str">
        <f aca="false">IF($M1721=0,"",INDEX(Classes!$B$6:$B$420,$M1721))</f>
        <v/>
      </c>
      <c r="E1721" s="61" t="str">
        <f aca="false">IF($M1721=0,"",INDEX(Classes!$C$6:$C$420,$M1721))</f>
        <v/>
      </c>
      <c r="F1721" s="63"/>
      <c r="G1721" s="63"/>
      <c r="H1721" s="60"/>
      <c r="I1721" s="60"/>
      <c r="J1721" s="63"/>
      <c r="K1721" s="61" t="str">
        <f aca="false">IF($P1721=0,"",IF($F1721="Baseline","— Baseline",IF($O1721=0,"No result",IF($N1721=0,"No Start (attainment only)",IF(OR($N1721=1,$O1721=1),"U – needs rule",INDEX(MxBody,MATCH($I1721,MxCurr,0),MATCH($H1721,MxStart,0)))))))</f>
        <v/>
      </c>
      <c r="L1721" s="62" t="str">
        <f aca="false">IF(COUNTA($A1721,$F1721,$G1721,$H1721,$I1721,$J1721)=0,"",IF($M1721=0,"✖ كود الصف غير موجود",IF(ISNA(MATCH($F1721,Lists!$A$2:$A$5,0)),"✖ الفترة غير صحيحة",IF(ISNA(MATCH($G1721,Lists!$B$2:$B$7,0)),"✖ المجموعة غير صحيحة",IF(NOT(OR($H1721="",$N1721&gt;0)),"✖ Start غير صحيح",IF(NOT(OR($I1721="",$I1721="NR",$O1721&gt;0)),"✖ Current غير صحيح",IF(NOT(IF(ISNUMBER($J1721),AND($J1721&gt;=0,$J1721=INT($J1721)),FALSE())),"✖ العدد يجب أن يكون صحيحًا ≥ 0",IF(AND($F1721="Baseline",$H1721&lt;&gt;""),"⚠ Baseline: Start لا يدخل في التقدم",IF($K1721="No Start (attainment only)","ℹ تحصيل فقط (بدون Start)",IF($K1721="U – needs rule","ℹ حالة U تحتاج قاعدة معتمدة",IF($K1721="No result","ℹ بدون نتيجة (يُستبعد من التحصيل)","OK")))))))))))</f>
        <v/>
      </c>
      <c r="M1721" s="64" t="n">
        <f aca="false">IF($A1721="",0,IFERROR(MATCH($A1721,Classes!$A$6:$A$420,0),0))</f>
        <v>0</v>
      </c>
      <c r="N1721" s="64" t="n">
        <f aca="false">IF($H1721="",0,IFERROR(MATCH($H1721,GradeList,0),0))</f>
        <v>0</v>
      </c>
      <c r="O1721" s="64" t="n">
        <f aca="false">IF(OR($I1721="",$I1721="NR"),0,IFERROR(MATCH($I1721,GradeList,0),0))</f>
        <v>0</v>
      </c>
      <c r="P1721" s="64" t="n">
        <f aca="false">IF(AND($M1721&gt;0,ISNUMBER(MATCH($F1721,Lists!$A$2:$A$5,0)),ISNUMBER(MATCH($G1721,Lists!$B$2:$B$7,0)),OR($H1721="",$N1721&gt;0),OR($I1721="",$I1721="NR",$O1721&gt;0),IF(ISNUMBER($J1721),AND($J1721&gt;=0,$J1721=INT($J1721)),FALSE())),$J1721,0)</f>
        <v>0</v>
      </c>
      <c r="Q1721" s="64" t="n">
        <f aca="false">IF(AND($P1721&gt;0,$O1721&gt;0),$P1721,0)</f>
        <v>0</v>
      </c>
      <c r="R1721" s="64" t="n">
        <f aca="false">IF(AND($Q1721&gt;0,$O1721&gt;=AtRank),$Q1721,0)</f>
        <v>0</v>
      </c>
      <c r="S1721" s="64" t="n">
        <f aca="false">IF(AND($Q1721&gt;0,$O1721&gt;=AboveRank),$Q1721,0)</f>
        <v>0</v>
      </c>
      <c r="T1721" s="64" t="n">
        <f aca="false">IF($K1721="Less",$P1721,0)</f>
        <v>0</v>
      </c>
      <c r="U1721" s="64" t="n">
        <f aca="false">IF($K1721="Expected",$P1721,0)</f>
        <v>0</v>
      </c>
      <c r="V1721" s="64" t="n">
        <f aca="false">IF($K1721="Better",$P1721,0)</f>
        <v>0</v>
      </c>
      <c r="W1721" s="64" t="n">
        <f aca="false">IF($K1721="U – needs rule",$P1721,0)</f>
        <v>0</v>
      </c>
      <c r="X1721" s="64" t="n">
        <f aca="false">IF($K1721="No Start (attainment only)",$P1721,0)</f>
        <v>0</v>
      </c>
    </row>
    <row r="1722" customFormat="false" ht="15" hidden="false" customHeight="false" outlineLevel="0" collapsed="false">
      <c r="A1722" s="60"/>
      <c r="B1722" s="61" t="str">
        <f aca="false">IF($M1722=0,"",INDEX(Classes!$E$6:$E$420,$M1722))</f>
        <v/>
      </c>
      <c r="C1722" s="62" t="str">
        <f aca="false">IF($M1722=0,"",INDEX(Classes!$H$6:$H$420,$M1722))</f>
        <v/>
      </c>
      <c r="D1722" s="61" t="str">
        <f aca="false">IF($M1722=0,"",INDEX(Classes!$B$6:$B$420,$M1722))</f>
        <v/>
      </c>
      <c r="E1722" s="61" t="str">
        <f aca="false">IF($M1722=0,"",INDEX(Classes!$C$6:$C$420,$M1722))</f>
        <v/>
      </c>
      <c r="F1722" s="63"/>
      <c r="G1722" s="63"/>
      <c r="H1722" s="60"/>
      <c r="I1722" s="60"/>
      <c r="J1722" s="63"/>
      <c r="K1722" s="61" t="str">
        <f aca="false">IF($P1722=0,"",IF($F1722="Baseline","— Baseline",IF($O1722=0,"No result",IF($N1722=0,"No Start (attainment only)",IF(OR($N1722=1,$O1722=1),"U – needs rule",INDEX(MxBody,MATCH($I1722,MxCurr,0),MATCH($H1722,MxStart,0)))))))</f>
        <v/>
      </c>
      <c r="L1722" s="62" t="str">
        <f aca="false">IF(COUNTA($A1722,$F1722,$G1722,$H1722,$I1722,$J1722)=0,"",IF($M1722=0,"✖ كود الصف غير موجود",IF(ISNA(MATCH($F1722,Lists!$A$2:$A$5,0)),"✖ الفترة غير صحيحة",IF(ISNA(MATCH($G1722,Lists!$B$2:$B$7,0)),"✖ المجموعة غير صحيحة",IF(NOT(OR($H1722="",$N1722&gt;0)),"✖ Start غير صحيح",IF(NOT(OR($I1722="",$I1722="NR",$O1722&gt;0)),"✖ Current غير صحيح",IF(NOT(IF(ISNUMBER($J1722),AND($J1722&gt;=0,$J1722=INT($J1722)),FALSE())),"✖ العدد يجب أن يكون صحيحًا ≥ 0",IF(AND($F1722="Baseline",$H1722&lt;&gt;""),"⚠ Baseline: Start لا يدخل في التقدم",IF($K1722="No Start (attainment only)","ℹ تحصيل فقط (بدون Start)",IF($K1722="U – needs rule","ℹ حالة U تحتاج قاعدة معتمدة",IF($K1722="No result","ℹ بدون نتيجة (يُستبعد من التحصيل)","OK")))))))))))</f>
        <v/>
      </c>
      <c r="M1722" s="64" t="n">
        <f aca="false">IF($A1722="",0,IFERROR(MATCH($A1722,Classes!$A$6:$A$420,0),0))</f>
        <v>0</v>
      </c>
      <c r="N1722" s="64" t="n">
        <f aca="false">IF($H1722="",0,IFERROR(MATCH($H1722,GradeList,0),0))</f>
        <v>0</v>
      </c>
      <c r="O1722" s="64" t="n">
        <f aca="false">IF(OR($I1722="",$I1722="NR"),0,IFERROR(MATCH($I1722,GradeList,0),0))</f>
        <v>0</v>
      </c>
      <c r="P1722" s="64" t="n">
        <f aca="false">IF(AND($M1722&gt;0,ISNUMBER(MATCH($F1722,Lists!$A$2:$A$5,0)),ISNUMBER(MATCH($G1722,Lists!$B$2:$B$7,0)),OR($H1722="",$N1722&gt;0),OR($I1722="",$I1722="NR",$O1722&gt;0),IF(ISNUMBER($J1722),AND($J1722&gt;=0,$J1722=INT($J1722)),FALSE())),$J1722,0)</f>
        <v>0</v>
      </c>
      <c r="Q1722" s="64" t="n">
        <f aca="false">IF(AND($P1722&gt;0,$O1722&gt;0),$P1722,0)</f>
        <v>0</v>
      </c>
      <c r="R1722" s="64" t="n">
        <f aca="false">IF(AND($Q1722&gt;0,$O1722&gt;=AtRank),$Q1722,0)</f>
        <v>0</v>
      </c>
      <c r="S1722" s="64" t="n">
        <f aca="false">IF(AND($Q1722&gt;0,$O1722&gt;=AboveRank),$Q1722,0)</f>
        <v>0</v>
      </c>
      <c r="T1722" s="64" t="n">
        <f aca="false">IF($K1722="Less",$P1722,0)</f>
        <v>0</v>
      </c>
      <c r="U1722" s="64" t="n">
        <f aca="false">IF($K1722="Expected",$P1722,0)</f>
        <v>0</v>
      </c>
      <c r="V1722" s="64" t="n">
        <f aca="false">IF($K1722="Better",$P1722,0)</f>
        <v>0</v>
      </c>
      <c r="W1722" s="64" t="n">
        <f aca="false">IF($K1722="U – needs rule",$P1722,0)</f>
        <v>0</v>
      </c>
      <c r="X1722" s="64" t="n">
        <f aca="false">IF($K1722="No Start (attainment only)",$P1722,0)</f>
        <v>0</v>
      </c>
    </row>
    <row r="1723" customFormat="false" ht="15" hidden="false" customHeight="false" outlineLevel="0" collapsed="false">
      <c r="A1723" s="60"/>
      <c r="B1723" s="61" t="str">
        <f aca="false">IF($M1723=0,"",INDEX(Classes!$E$6:$E$420,$M1723))</f>
        <v/>
      </c>
      <c r="C1723" s="62" t="str">
        <f aca="false">IF($M1723=0,"",INDEX(Classes!$H$6:$H$420,$M1723))</f>
        <v/>
      </c>
      <c r="D1723" s="61" t="str">
        <f aca="false">IF($M1723=0,"",INDEX(Classes!$B$6:$B$420,$M1723))</f>
        <v/>
      </c>
      <c r="E1723" s="61" t="str">
        <f aca="false">IF($M1723=0,"",INDEX(Classes!$C$6:$C$420,$M1723))</f>
        <v/>
      </c>
      <c r="F1723" s="63"/>
      <c r="G1723" s="63"/>
      <c r="H1723" s="60"/>
      <c r="I1723" s="60"/>
      <c r="J1723" s="63"/>
      <c r="K1723" s="61" t="str">
        <f aca="false">IF($P1723=0,"",IF($F1723="Baseline","— Baseline",IF($O1723=0,"No result",IF($N1723=0,"No Start (attainment only)",IF(OR($N1723=1,$O1723=1),"U – needs rule",INDEX(MxBody,MATCH($I1723,MxCurr,0),MATCH($H1723,MxStart,0)))))))</f>
        <v/>
      </c>
      <c r="L1723" s="62" t="str">
        <f aca="false">IF(COUNTA($A1723,$F1723,$G1723,$H1723,$I1723,$J1723)=0,"",IF($M1723=0,"✖ كود الصف غير موجود",IF(ISNA(MATCH($F1723,Lists!$A$2:$A$5,0)),"✖ الفترة غير صحيحة",IF(ISNA(MATCH($G1723,Lists!$B$2:$B$7,0)),"✖ المجموعة غير صحيحة",IF(NOT(OR($H1723="",$N1723&gt;0)),"✖ Start غير صحيح",IF(NOT(OR($I1723="",$I1723="NR",$O1723&gt;0)),"✖ Current غير صحيح",IF(NOT(IF(ISNUMBER($J1723),AND($J1723&gt;=0,$J1723=INT($J1723)),FALSE())),"✖ العدد يجب أن يكون صحيحًا ≥ 0",IF(AND($F1723="Baseline",$H1723&lt;&gt;""),"⚠ Baseline: Start لا يدخل في التقدم",IF($K1723="No Start (attainment only)","ℹ تحصيل فقط (بدون Start)",IF($K1723="U – needs rule","ℹ حالة U تحتاج قاعدة معتمدة",IF($K1723="No result","ℹ بدون نتيجة (يُستبعد من التحصيل)","OK")))))))))))</f>
        <v/>
      </c>
      <c r="M1723" s="64" t="n">
        <f aca="false">IF($A1723="",0,IFERROR(MATCH($A1723,Classes!$A$6:$A$420,0),0))</f>
        <v>0</v>
      </c>
      <c r="N1723" s="64" t="n">
        <f aca="false">IF($H1723="",0,IFERROR(MATCH($H1723,GradeList,0),0))</f>
        <v>0</v>
      </c>
      <c r="O1723" s="64" t="n">
        <f aca="false">IF(OR($I1723="",$I1723="NR"),0,IFERROR(MATCH($I1723,GradeList,0),0))</f>
        <v>0</v>
      </c>
      <c r="P1723" s="64" t="n">
        <f aca="false">IF(AND($M1723&gt;0,ISNUMBER(MATCH($F1723,Lists!$A$2:$A$5,0)),ISNUMBER(MATCH($G1723,Lists!$B$2:$B$7,0)),OR($H1723="",$N1723&gt;0),OR($I1723="",$I1723="NR",$O1723&gt;0),IF(ISNUMBER($J1723),AND($J1723&gt;=0,$J1723=INT($J1723)),FALSE())),$J1723,0)</f>
        <v>0</v>
      </c>
      <c r="Q1723" s="64" t="n">
        <f aca="false">IF(AND($P1723&gt;0,$O1723&gt;0),$P1723,0)</f>
        <v>0</v>
      </c>
      <c r="R1723" s="64" t="n">
        <f aca="false">IF(AND($Q1723&gt;0,$O1723&gt;=AtRank),$Q1723,0)</f>
        <v>0</v>
      </c>
      <c r="S1723" s="64" t="n">
        <f aca="false">IF(AND($Q1723&gt;0,$O1723&gt;=AboveRank),$Q1723,0)</f>
        <v>0</v>
      </c>
      <c r="T1723" s="64" t="n">
        <f aca="false">IF($K1723="Less",$P1723,0)</f>
        <v>0</v>
      </c>
      <c r="U1723" s="64" t="n">
        <f aca="false">IF($K1723="Expected",$P1723,0)</f>
        <v>0</v>
      </c>
      <c r="V1723" s="64" t="n">
        <f aca="false">IF($K1723="Better",$P1723,0)</f>
        <v>0</v>
      </c>
      <c r="W1723" s="64" t="n">
        <f aca="false">IF($K1723="U – needs rule",$P1723,0)</f>
        <v>0</v>
      </c>
      <c r="X1723" s="64" t="n">
        <f aca="false">IF($K1723="No Start (attainment only)",$P1723,0)</f>
        <v>0</v>
      </c>
    </row>
    <row r="1724" customFormat="false" ht="15" hidden="false" customHeight="false" outlineLevel="0" collapsed="false">
      <c r="A1724" s="60"/>
      <c r="B1724" s="61" t="str">
        <f aca="false">IF($M1724=0,"",INDEX(Classes!$E$6:$E$420,$M1724))</f>
        <v/>
      </c>
      <c r="C1724" s="62" t="str">
        <f aca="false">IF($M1724=0,"",INDEX(Classes!$H$6:$H$420,$M1724))</f>
        <v/>
      </c>
      <c r="D1724" s="61" t="str">
        <f aca="false">IF($M1724=0,"",INDEX(Classes!$B$6:$B$420,$M1724))</f>
        <v/>
      </c>
      <c r="E1724" s="61" t="str">
        <f aca="false">IF($M1724=0,"",INDEX(Classes!$C$6:$C$420,$M1724))</f>
        <v/>
      </c>
      <c r="F1724" s="63"/>
      <c r="G1724" s="63"/>
      <c r="H1724" s="60"/>
      <c r="I1724" s="60"/>
      <c r="J1724" s="63"/>
      <c r="K1724" s="61" t="str">
        <f aca="false">IF($P1724=0,"",IF($F1724="Baseline","— Baseline",IF($O1724=0,"No result",IF($N1724=0,"No Start (attainment only)",IF(OR($N1724=1,$O1724=1),"U – needs rule",INDEX(MxBody,MATCH($I1724,MxCurr,0),MATCH($H1724,MxStart,0)))))))</f>
        <v/>
      </c>
      <c r="L1724" s="62" t="str">
        <f aca="false">IF(COUNTA($A1724,$F1724,$G1724,$H1724,$I1724,$J1724)=0,"",IF($M1724=0,"✖ كود الصف غير موجود",IF(ISNA(MATCH($F1724,Lists!$A$2:$A$5,0)),"✖ الفترة غير صحيحة",IF(ISNA(MATCH($G1724,Lists!$B$2:$B$7,0)),"✖ المجموعة غير صحيحة",IF(NOT(OR($H1724="",$N1724&gt;0)),"✖ Start غير صحيح",IF(NOT(OR($I1724="",$I1724="NR",$O1724&gt;0)),"✖ Current غير صحيح",IF(NOT(IF(ISNUMBER($J1724),AND($J1724&gt;=0,$J1724=INT($J1724)),FALSE())),"✖ العدد يجب أن يكون صحيحًا ≥ 0",IF(AND($F1724="Baseline",$H1724&lt;&gt;""),"⚠ Baseline: Start لا يدخل في التقدم",IF($K1724="No Start (attainment only)","ℹ تحصيل فقط (بدون Start)",IF($K1724="U – needs rule","ℹ حالة U تحتاج قاعدة معتمدة",IF($K1724="No result","ℹ بدون نتيجة (يُستبعد من التحصيل)","OK")))))))))))</f>
        <v/>
      </c>
      <c r="M1724" s="64" t="n">
        <f aca="false">IF($A1724="",0,IFERROR(MATCH($A1724,Classes!$A$6:$A$420,0),0))</f>
        <v>0</v>
      </c>
      <c r="N1724" s="64" t="n">
        <f aca="false">IF($H1724="",0,IFERROR(MATCH($H1724,GradeList,0),0))</f>
        <v>0</v>
      </c>
      <c r="O1724" s="64" t="n">
        <f aca="false">IF(OR($I1724="",$I1724="NR"),0,IFERROR(MATCH($I1724,GradeList,0),0))</f>
        <v>0</v>
      </c>
      <c r="P1724" s="64" t="n">
        <f aca="false">IF(AND($M1724&gt;0,ISNUMBER(MATCH($F1724,Lists!$A$2:$A$5,0)),ISNUMBER(MATCH($G1724,Lists!$B$2:$B$7,0)),OR($H1724="",$N1724&gt;0),OR($I1724="",$I1724="NR",$O1724&gt;0),IF(ISNUMBER($J1724),AND($J1724&gt;=0,$J1724=INT($J1724)),FALSE())),$J1724,0)</f>
        <v>0</v>
      </c>
      <c r="Q1724" s="64" t="n">
        <f aca="false">IF(AND($P1724&gt;0,$O1724&gt;0),$P1724,0)</f>
        <v>0</v>
      </c>
      <c r="R1724" s="64" t="n">
        <f aca="false">IF(AND($Q1724&gt;0,$O1724&gt;=AtRank),$Q1724,0)</f>
        <v>0</v>
      </c>
      <c r="S1724" s="64" t="n">
        <f aca="false">IF(AND($Q1724&gt;0,$O1724&gt;=AboveRank),$Q1724,0)</f>
        <v>0</v>
      </c>
      <c r="T1724" s="64" t="n">
        <f aca="false">IF($K1724="Less",$P1724,0)</f>
        <v>0</v>
      </c>
      <c r="U1724" s="64" t="n">
        <f aca="false">IF($K1724="Expected",$P1724,0)</f>
        <v>0</v>
      </c>
      <c r="V1724" s="64" t="n">
        <f aca="false">IF($K1724="Better",$P1724,0)</f>
        <v>0</v>
      </c>
      <c r="W1724" s="64" t="n">
        <f aca="false">IF($K1724="U – needs rule",$P1724,0)</f>
        <v>0</v>
      </c>
      <c r="X1724" s="64" t="n">
        <f aca="false">IF($K1724="No Start (attainment only)",$P1724,0)</f>
        <v>0</v>
      </c>
    </row>
    <row r="1725" customFormat="false" ht="15" hidden="false" customHeight="false" outlineLevel="0" collapsed="false">
      <c r="A1725" s="60"/>
      <c r="B1725" s="61" t="str">
        <f aca="false">IF($M1725=0,"",INDEX(Classes!$E$6:$E$420,$M1725))</f>
        <v/>
      </c>
      <c r="C1725" s="62" t="str">
        <f aca="false">IF($M1725=0,"",INDEX(Classes!$H$6:$H$420,$M1725))</f>
        <v/>
      </c>
      <c r="D1725" s="61" t="str">
        <f aca="false">IF($M1725=0,"",INDEX(Classes!$B$6:$B$420,$M1725))</f>
        <v/>
      </c>
      <c r="E1725" s="61" t="str">
        <f aca="false">IF($M1725=0,"",INDEX(Classes!$C$6:$C$420,$M1725))</f>
        <v/>
      </c>
      <c r="F1725" s="63"/>
      <c r="G1725" s="63"/>
      <c r="H1725" s="60"/>
      <c r="I1725" s="60"/>
      <c r="J1725" s="63"/>
      <c r="K1725" s="61" t="str">
        <f aca="false">IF($P1725=0,"",IF($F1725="Baseline","— Baseline",IF($O1725=0,"No result",IF($N1725=0,"No Start (attainment only)",IF(OR($N1725=1,$O1725=1),"U – needs rule",INDEX(MxBody,MATCH($I1725,MxCurr,0),MATCH($H1725,MxStart,0)))))))</f>
        <v/>
      </c>
      <c r="L1725" s="62" t="str">
        <f aca="false">IF(COUNTA($A1725,$F1725,$G1725,$H1725,$I1725,$J1725)=0,"",IF($M1725=0,"✖ كود الصف غير موجود",IF(ISNA(MATCH($F1725,Lists!$A$2:$A$5,0)),"✖ الفترة غير صحيحة",IF(ISNA(MATCH($G1725,Lists!$B$2:$B$7,0)),"✖ المجموعة غير صحيحة",IF(NOT(OR($H1725="",$N1725&gt;0)),"✖ Start غير صحيح",IF(NOT(OR($I1725="",$I1725="NR",$O1725&gt;0)),"✖ Current غير صحيح",IF(NOT(IF(ISNUMBER($J1725),AND($J1725&gt;=0,$J1725=INT($J1725)),FALSE())),"✖ العدد يجب أن يكون صحيحًا ≥ 0",IF(AND($F1725="Baseline",$H1725&lt;&gt;""),"⚠ Baseline: Start لا يدخل في التقدم",IF($K1725="No Start (attainment only)","ℹ تحصيل فقط (بدون Start)",IF($K1725="U – needs rule","ℹ حالة U تحتاج قاعدة معتمدة",IF($K1725="No result","ℹ بدون نتيجة (يُستبعد من التحصيل)","OK")))))))))))</f>
        <v/>
      </c>
      <c r="M1725" s="64" t="n">
        <f aca="false">IF($A1725="",0,IFERROR(MATCH($A1725,Classes!$A$6:$A$420,0),0))</f>
        <v>0</v>
      </c>
      <c r="N1725" s="64" t="n">
        <f aca="false">IF($H1725="",0,IFERROR(MATCH($H1725,GradeList,0),0))</f>
        <v>0</v>
      </c>
      <c r="O1725" s="64" t="n">
        <f aca="false">IF(OR($I1725="",$I1725="NR"),0,IFERROR(MATCH($I1725,GradeList,0),0))</f>
        <v>0</v>
      </c>
      <c r="P1725" s="64" t="n">
        <f aca="false">IF(AND($M1725&gt;0,ISNUMBER(MATCH($F1725,Lists!$A$2:$A$5,0)),ISNUMBER(MATCH($G1725,Lists!$B$2:$B$7,0)),OR($H1725="",$N1725&gt;0),OR($I1725="",$I1725="NR",$O1725&gt;0),IF(ISNUMBER($J1725),AND($J1725&gt;=0,$J1725=INT($J1725)),FALSE())),$J1725,0)</f>
        <v>0</v>
      </c>
      <c r="Q1725" s="64" t="n">
        <f aca="false">IF(AND($P1725&gt;0,$O1725&gt;0),$P1725,0)</f>
        <v>0</v>
      </c>
      <c r="R1725" s="64" t="n">
        <f aca="false">IF(AND($Q1725&gt;0,$O1725&gt;=AtRank),$Q1725,0)</f>
        <v>0</v>
      </c>
      <c r="S1725" s="64" t="n">
        <f aca="false">IF(AND($Q1725&gt;0,$O1725&gt;=AboveRank),$Q1725,0)</f>
        <v>0</v>
      </c>
      <c r="T1725" s="64" t="n">
        <f aca="false">IF($K1725="Less",$P1725,0)</f>
        <v>0</v>
      </c>
      <c r="U1725" s="64" t="n">
        <f aca="false">IF($K1725="Expected",$P1725,0)</f>
        <v>0</v>
      </c>
      <c r="V1725" s="64" t="n">
        <f aca="false">IF($K1725="Better",$P1725,0)</f>
        <v>0</v>
      </c>
      <c r="W1725" s="64" t="n">
        <f aca="false">IF($K1725="U – needs rule",$P1725,0)</f>
        <v>0</v>
      </c>
      <c r="X1725" s="64" t="n">
        <f aca="false">IF($K1725="No Start (attainment only)",$P1725,0)</f>
        <v>0</v>
      </c>
    </row>
    <row r="1726" customFormat="false" ht="15" hidden="false" customHeight="false" outlineLevel="0" collapsed="false">
      <c r="A1726" s="60"/>
      <c r="B1726" s="61" t="str">
        <f aca="false">IF($M1726=0,"",INDEX(Classes!$E$6:$E$420,$M1726))</f>
        <v/>
      </c>
      <c r="C1726" s="62" t="str">
        <f aca="false">IF($M1726=0,"",INDEX(Classes!$H$6:$H$420,$M1726))</f>
        <v/>
      </c>
      <c r="D1726" s="61" t="str">
        <f aca="false">IF($M1726=0,"",INDEX(Classes!$B$6:$B$420,$M1726))</f>
        <v/>
      </c>
      <c r="E1726" s="61" t="str">
        <f aca="false">IF($M1726=0,"",INDEX(Classes!$C$6:$C$420,$M1726))</f>
        <v/>
      </c>
      <c r="F1726" s="63"/>
      <c r="G1726" s="63"/>
      <c r="H1726" s="60"/>
      <c r="I1726" s="60"/>
      <c r="J1726" s="63"/>
      <c r="K1726" s="61" t="str">
        <f aca="false">IF($P1726=0,"",IF($F1726="Baseline","— Baseline",IF($O1726=0,"No result",IF($N1726=0,"No Start (attainment only)",IF(OR($N1726=1,$O1726=1),"U – needs rule",INDEX(MxBody,MATCH($I1726,MxCurr,0),MATCH($H1726,MxStart,0)))))))</f>
        <v/>
      </c>
      <c r="L1726" s="62" t="str">
        <f aca="false">IF(COUNTA($A1726,$F1726,$G1726,$H1726,$I1726,$J1726)=0,"",IF($M1726=0,"✖ كود الصف غير موجود",IF(ISNA(MATCH($F1726,Lists!$A$2:$A$5,0)),"✖ الفترة غير صحيحة",IF(ISNA(MATCH($G1726,Lists!$B$2:$B$7,0)),"✖ المجموعة غير صحيحة",IF(NOT(OR($H1726="",$N1726&gt;0)),"✖ Start غير صحيح",IF(NOT(OR($I1726="",$I1726="NR",$O1726&gt;0)),"✖ Current غير صحيح",IF(NOT(IF(ISNUMBER($J1726),AND($J1726&gt;=0,$J1726=INT($J1726)),FALSE())),"✖ العدد يجب أن يكون صحيحًا ≥ 0",IF(AND($F1726="Baseline",$H1726&lt;&gt;""),"⚠ Baseline: Start لا يدخل في التقدم",IF($K1726="No Start (attainment only)","ℹ تحصيل فقط (بدون Start)",IF($K1726="U – needs rule","ℹ حالة U تحتاج قاعدة معتمدة",IF($K1726="No result","ℹ بدون نتيجة (يُستبعد من التحصيل)","OK")))))))))))</f>
        <v/>
      </c>
      <c r="M1726" s="64" t="n">
        <f aca="false">IF($A1726="",0,IFERROR(MATCH($A1726,Classes!$A$6:$A$420,0),0))</f>
        <v>0</v>
      </c>
      <c r="N1726" s="64" t="n">
        <f aca="false">IF($H1726="",0,IFERROR(MATCH($H1726,GradeList,0),0))</f>
        <v>0</v>
      </c>
      <c r="O1726" s="64" t="n">
        <f aca="false">IF(OR($I1726="",$I1726="NR"),0,IFERROR(MATCH($I1726,GradeList,0),0))</f>
        <v>0</v>
      </c>
      <c r="P1726" s="64" t="n">
        <f aca="false">IF(AND($M1726&gt;0,ISNUMBER(MATCH($F1726,Lists!$A$2:$A$5,0)),ISNUMBER(MATCH($G1726,Lists!$B$2:$B$7,0)),OR($H1726="",$N1726&gt;0),OR($I1726="",$I1726="NR",$O1726&gt;0),IF(ISNUMBER($J1726),AND($J1726&gt;=0,$J1726=INT($J1726)),FALSE())),$J1726,0)</f>
        <v>0</v>
      </c>
      <c r="Q1726" s="64" t="n">
        <f aca="false">IF(AND($P1726&gt;0,$O1726&gt;0),$P1726,0)</f>
        <v>0</v>
      </c>
      <c r="R1726" s="64" t="n">
        <f aca="false">IF(AND($Q1726&gt;0,$O1726&gt;=AtRank),$Q1726,0)</f>
        <v>0</v>
      </c>
      <c r="S1726" s="64" t="n">
        <f aca="false">IF(AND($Q1726&gt;0,$O1726&gt;=AboveRank),$Q1726,0)</f>
        <v>0</v>
      </c>
      <c r="T1726" s="64" t="n">
        <f aca="false">IF($K1726="Less",$P1726,0)</f>
        <v>0</v>
      </c>
      <c r="U1726" s="64" t="n">
        <f aca="false">IF($K1726="Expected",$P1726,0)</f>
        <v>0</v>
      </c>
      <c r="V1726" s="64" t="n">
        <f aca="false">IF($K1726="Better",$P1726,0)</f>
        <v>0</v>
      </c>
      <c r="W1726" s="64" t="n">
        <f aca="false">IF($K1726="U – needs rule",$P1726,0)</f>
        <v>0</v>
      </c>
      <c r="X1726" s="64" t="n">
        <f aca="false">IF($K1726="No Start (attainment only)",$P1726,0)</f>
        <v>0</v>
      </c>
    </row>
    <row r="1727" customFormat="false" ht="15" hidden="false" customHeight="false" outlineLevel="0" collapsed="false">
      <c r="A1727" s="60"/>
      <c r="B1727" s="61" t="str">
        <f aca="false">IF($M1727=0,"",INDEX(Classes!$E$6:$E$420,$M1727))</f>
        <v/>
      </c>
      <c r="C1727" s="62" t="str">
        <f aca="false">IF($M1727=0,"",INDEX(Classes!$H$6:$H$420,$M1727))</f>
        <v/>
      </c>
      <c r="D1727" s="61" t="str">
        <f aca="false">IF($M1727=0,"",INDEX(Classes!$B$6:$B$420,$M1727))</f>
        <v/>
      </c>
      <c r="E1727" s="61" t="str">
        <f aca="false">IF($M1727=0,"",INDEX(Classes!$C$6:$C$420,$M1727))</f>
        <v/>
      </c>
      <c r="F1727" s="63"/>
      <c r="G1727" s="63"/>
      <c r="H1727" s="60"/>
      <c r="I1727" s="60"/>
      <c r="J1727" s="63"/>
      <c r="K1727" s="61" t="str">
        <f aca="false">IF($P1727=0,"",IF($F1727="Baseline","— Baseline",IF($O1727=0,"No result",IF($N1727=0,"No Start (attainment only)",IF(OR($N1727=1,$O1727=1),"U – needs rule",INDEX(MxBody,MATCH($I1727,MxCurr,0),MATCH($H1727,MxStart,0)))))))</f>
        <v/>
      </c>
      <c r="L1727" s="62" t="str">
        <f aca="false">IF(COUNTA($A1727,$F1727,$G1727,$H1727,$I1727,$J1727)=0,"",IF($M1727=0,"✖ كود الصف غير موجود",IF(ISNA(MATCH($F1727,Lists!$A$2:$A$5,0)),"✖ الفترة غير صحيحة",IF(ISNA(MATCH($G1727,Lists!$B$2:$B$7,0)),"✖ المجموعة غير صحيحة",IF(NOT(OR($H1727="",$N1727&gt;0)),"✖ Start غير صحيح",IF(NOT(OR($I1727="",$I1727="NR",$O1727&gt;0)),"✖ Current غير صحيح",IF(NOT(IF(ISNUMBER($J1727),AND($J1727&gt;=0,$J1727=INT($J1727)),FALSE())),"✖ العدد يجب أن يكون صحيحًا ≥ 0",IF(AND($F1727="Baseline",$H1727&lt;&gt;""),"⚠ Baseline: Start لا يدخل في التقدم",IF($K1727="No Start (attainment only)","ℹ تحصيل فقط (بدون Start)",IF($K1727="U – needs rule","ℹ حالة U تحتاج قاعدة معتمدة",IF($K1727="No result","ℹ بدون نتيجة (يُستبعد من التحصيل)","OK")))))))))))</f>
        <v/>
      </c>
      <c r="M1727" s="64" t="n">
        <f aca="false">IF($A1727="",0,IFERROR(MATCH($A1727,Classes!$A$6:$A$420,0),0))</f>
        <v>0</v>
      </c>
      <c r="N1727" s="64" t="n">
        <f aca="false">IF($H1727="",0,IFERROR(MATCH($H1727,GradeList,0),0))</f>
        <v>0</v>
      </c>
      <c r="O1727" s="64" t="n">
        <f aca="false">IF(OR($I1727="",$I1727="NR"),0,IFERROR(MATCH($I1727,GradeList,0),0))</f>
        <v>0</v>
      </c>
      <c r="P1727" s="64" t="n">
        <f aca="false">IF(AND($M1727&gt;0,ISNUMBER(MATCH($F1727,Lists!$A$2:$A$5,0)),ISNUMBER(MATCH($G1727,Lists!$B$2:$B$7,0)),OR($H1727="",$N1727&gt;0),OR($I1727="",$I1727="NR",$O1727&gt;0),IF(ISNUMBER($J1727),AND($J1727&gt;=0,$J1727=INT($J1727)),FALSE())),$J1727,0)</f>
        <v>0</v>
      </c>
      <c r="Q1727" s="64" t="n">
        <f aca="false">IF(AND($P1727&gt;0,$O1727&gt;0),$P1727,0)</f>
        <v>0</v>
      </c>
      <c r="R1727" s="64" t="n">
        <f aca="false">IF(AND($Q1727&gt;0,$O1727&gt;=AtRank),$Q1727,0)</f>
        <v>0</v>
      </c>
      <c r="S1727" s="64" t="n">
        <f aca="false">IF(AND($Q1727&gt;0,$O1727&gt;=AboveRank),$Q1727,0)</f>
        <v>0</v>
      </c>
      <c r="T1727" s="64" t="n">
        <f aca="false">IF($K1727="Less",$P1727,0)</f>
        <v>0</v>
      </c>
      <c r="U1727" s="64" t="n">
        <f aca="false">IF($K1727="Expected",$P1727,0)</f>
        <v>0</v>
      </c>
      <c r="V1727" s="64" t="n">
        <f aca="false">IF($K1727="Better",$P1727,0)</f>
        <v>0</v>
      </c>
      <c r="W1727" s="64" t="n">
        <f aca="false">IF($K1727="U – needs rule",$P1727,0)</f>
        <v>0</v>
      </c>
      <c r="X1727" s="64" t="n">
        <f aca="false">IF($K1727="No Start (attainment only)",$P1727,0)</f>
        <v>0</v>
      </c>
    </row>
    <row r="1728" customFormat="false" ht="15" hidden="false" customHeight="false" outlineLevel="0" collapsed="false">
      <c r="A1728" s="60"/>
      <c r="B1728" s="61" t="str">
        <f aca="false">IF($M1728=0,"",INDEX(Classes!$E$6:$E$420,$M1728))</f>
        <v/>
      </c>
      <c r="C1728" s="62" t="str">
        <f aca="false">IF($M1728=0,"",INDEX(Classes!$H$6:$H$420,$M1728))</f>
        <v/>
      </c>
      <c r="D1728" s="61" t="str">
        <f aca="false">IF($M1728=0,"",INDEX(Classes!$B$6:$B$420,$M1728))</f>
        <v/>
      </c>
      <c r="E1728" s="61" t="str">
        <f aca="false">IF($M1728=0,"",INDEX(Classes!$C$6:$C$420,$M1728))</f>
        <v/>
      </c>
      <c r="F1728" s="63"/>
      <c r="G1728" s="63"/>
      <c r="H1728" s="60"/>
      <c r="I1728" s="60"/>
      <c r="J1728" s="63"/>
      <c r="K1728" s="61" t="str">
        <f aca="false">IF($P1728=0,"",IF($F1728="Baseline","— Baseline",IF($O1728=0,"No result",IF($N1728=0,"No Start (attainment only)",IF(OR($N1728=1,$O1728=1),"U – needs rule",INDEX(MxBody,MATCH($I1728,MxCurr,0),MATCH($H1728,MxStart,0)))))))</f>
        <v/>
      </c>
      <c r="L1728" s="62" t="str">
        <f aca="false">IF(COUNTA($A1728,$F1728,$G1728,$H1728,$I1728,$J1728)=0,"",IF($M1728=0,"✖ كود الصف غير موجود",IF(ISNA(MATCH($F1728,Lists!$A$2:$A$5,0)),"✖ الفترة غير صحيحة",IF(ISNA(MATCH($G1728,Lists!$B$2:$B$7,0)),"✖ المجموعة غير صحيحة",IF(NOT(OR($H1728="",$N1728&gt;0)),"✖ Start غير صحيح",IF(NOT(OR($I1728="",$I1728="NR",$O1728&gt;0)),"✖ Current غير صحيح",IF(NOT(IF(ISNUMBER($J1728),AND($J1728&gt;=0,$J1728=INT($J1728)),FALSE())),"✖ العدد يجب أن يكون صحيحًا ≥ 0",IF(AND($F1728="Baseline",$H1728&lt;&gt;""),"⚠ Baseline: Start لا يدخل في التقدم",IF($K1728="No Start (attainment only)","ℹ تحصيل فقط (بدون Start)",IF($K1728="U – needs rule","ℹ حالة U تحتاج قاعدة معتمدة",IF($K1728="No result","ℹ بدون نتيجة (يُستبعد من التحصيل)","OK")))))))))))</f>
        <v/>
      </c>
      <c r="M1728" s="64" t="n">
        <f aca="false">IF($A1728="",0,IFERROR(MATCH($A1728,Classes!$A$6:$A$420,0),0))</f>
        <v>0</v>
      </c>
      <c r="N1728" s="64" t="n">
        <f aca="false">IF($H1728="",0,IFERROR(MATCH($H1728,GradeList,0),0))</f>
        <v>0</v>
      </c>
      <c r="O1728" s="64" t="n">
        <f aca="false">IF(OR($I1728="",$I1728="NR"),0,IFERROR(MATCH($I1728,GradeList,0),0))</f>
        <v>0</v>
      </c>
      <c r="P1728" s="64" t="n">
        <f aca="false">IF(AND($M1728&gt;0,ISNUMBER(MATCH($F1728,Lists!$A$2:$A$5,0)),ISNUMBER(MATCH($G1728,Lists!$B$2:$B$7,0)),OR($H1728="",$N1728&gt;0),OR($I1728="",$I1728="NR",$O1728&gt;0),IF(ISNUMBER($J1728),AND($J1728&gt;=0,$J1728=INT($J1728)),FALSE())),$J1728,0)</f>
        <v>0</v>
      </c>
      <c r="Q1728" s="64" t="n">
        <f aca="false">IF(AND($P1728&gt;0,$O1728&gt;0),$P1728,0)</f>
        <v>0</v>
      </c>
      <c r="R1728" s="64" t="n">
        <f aca="false">IF(AND($Q1728&gt;0,$O1728&gt;=AtRank),$Q1728,0)</f>
        <v>0</v>
      </c>
      <c r="S1728" s="64" t="n">
        <f aca="false">IF(AND($Q1728&gt;0,$O1728&gt;=AboveRank),$Q1728,0)</f>
        <v>0</v>
      </c>
      <c r="T1728" s="64" t="n">
        <f aca="false">IF($K1728="Less",$P1728,0)</f>
        <v>0</v>
      </c>
      <c r="U1728" s="64" t="n">
        <f aca="false">IF($K1728="Expected",$P1728,0)</f>
        <v>0</v>
      </c>
      <c r="V1728" s="64" t="n">
        <f aca="false">IF($K1728="Better",$P1728,0)</f>
        <v>0</v>
      </c>
      <c r="W1728" s="64" t="n">
        <f aca="false">IF($K1728="U – needs rule",$P1728,0)</f>
        <v>0</v>
      </c>
      <c r="X1728" s="64" t="n">
        <f aca="false">IF($K1728="No Start (attainment only)",$P1728,0)</f>
        <v>0</v>
      </c>
    </row>
    <row r="1729" customFormat="false" ht="15" hidden="false" customHeight="false" outlineLevel="0" collapsed="false">
      <c r="A1729" s="60"/>
      <c r="B1729" s="61" t="str">
        <f aca="false">IF($M1729=0,"",INDEX(Classes!$E$6:$E$420,$M1729))</f>
        <v/>
      </c>
      <c r="C1729" s="62" t="str">
        <f aca="false">IF($M1729=0,"",INDEX(Classes!$H$6:$H$420,$M1729))</f>
        <v/>
      </c>
      <c r="D1729" s="61" t="str">
        <f aca="false">IF($M1729=0,"",INDEX(Classes!$B$6:$B$420,$M1729))</f>
        <v/>
      </c>
      <c r="E1729" s="61" t="str">
        <f aca="false">IF($M1729=0,"",INDEX(Classes!$C$6:$C$420,$M1729))</f>
        <v/>
      </c>
      <c r="F1729" s="63"/>
      <c r="G1729" s="63"/>
      <c r="H1729" s="60"/>
      <c r="I1729" s="60"/>
      <c r="J1729" s="63"/>
      <c r="K1729" s="61" t="str">
        <f aca="false">IF($P1729=0,"",IF($F1729="Baseline","— Baseline",IF($O1729=0,"No result",IF($N1729=0,"No Start (attainment only)",IF(OR($N1729=1,$O1729=1),"U – needs rule",INDEX(MxBody,MATCH($I1729,MxCurr,0),MATCH($H1729,MxStart,0)))))))</f>
        <v/>
      </c>
      <c r="L1729" s="62" t="str">
        <f aca="false">IF(COUNTA($A1729,$F1729,$G1729,$H1729,$I1729,$J1729)=0,"",IF($M1729=0,"✖ كود الصف غير موجود",IF(ISNA(MATCH($F1729,Lists!$A$2:$A$5,0)),"✖ الفترة غير صحيحة",IF(ISNA(MATCH($G1729,Lists!$B$2:$B$7,0)),"✖ المجموعة غير صحيحة",IF(NOT(OR($H1729="",$N1729&gt;0)),"✖ Start غير صحيح",IF(NOT(OR($I1729="",$I1729="NR",$O1729&gt;0)),"✖ Current غير صحيح",IF(NOT(IF(ISNUMBER($J1729),AND($J1729&gt;=0,$J1729=INT($J1729)),FALSE())),"✖ العدد يجب أن يكون صحيحًا ≥ 0",IF(AND($F1729="Baseline",$H1729&lt;&gt;""),"⚠ Baseline: Start لا يدخل في التقدم",IF($K1729="No Start (attainment only)","ℹ تحصيل فقط (بدون Start)",IF($K1729="U – needs rule","ℹ حالة U تحتاج قاعدة معتمدة",IF($K1729="No result","ℹ بدون نتيجة (يُستبعد من التحصيل)","OK")))))))))))</f>
        <v/>
      </c>
      <c r="M1729" s="64" t="n">
        <f aca="false">IF($A1729="",0,IFERROR(MATCH($A1729,Classes!$A$6:$A$420,0),0))</f>
        <v>0</v>
      </c>
      <c r="N1729" s="64" t="n">
        <f aca="false">IF($H1729="",0,IFERROR(MATCH($H1729,GradeList,0),0))</f>
        <v>0</v>
      </c>
      <c r="O1729" s="64" t="n">
        <f aca="false">IF(OR($I1729="",$I1729="NR"),0,IFERROR(MATCH($I1729,GradeList,0),0))</f>
        <v>0</v>
      </c>
      <c r="P1729" s="64" t="n">
        <f aca="false">IF(AND($M1729&gt;0,ISNUMBER(MATCH($F1729,Lists!$A$2:$A$5,0)),ISNUMBER(MATCH($G1729,Lists!$B$2:$B$7,0)),OR($H1729="",$N1729&gt;0),OR($I1729="",$I1729="NR",$O1729&gt;0),IF(ISNUMBER($J1729),AND($J1729&gt;=0,$J1729=INT($J1729)),FALSE())),$J1729,0)</f>
        <v>0</v>
      </c>
      <c r="Q1729" s="64" t="n">
        <f aca="false">IF(AND($P1729&gt;0,$O1729&gt;0),$P1729,0)</f>
        <v>0</v>
      </c>
      <c r="R1729" s="64" t="n">
        <f aca="false">IF(AND($Q1729&gt;0,$O1729&gt;=AtRank),$Q1729,0)</f>
        <v>0</v>
      </c>
      <c r="S1729" s="64" t="n">
        <f aca="false">IF(AND($Q1729&gt;0,$O1729&gt;=AboveRank),$Q1729,0)</f>
        <v>0</v>
      </c>
      <c r="T1729" s="64" t="n">
        <f aca="false">IF($K1729="Less",$P1729,0)</f>
        <v>0</v>
      </c>
      <c r="U1729" s="64" t="n">
        <f aca="false">IF($K1729="Expected",$P1729,0)</f>
        <v>0</v>
      </c>
      <c r="V1729" s="64" t="n">
        <f aca="false">IF($K1729="Better",$P1729,0)</f>
        <v>0</v>
      </c>
      <c r="W1729" s="64" t="n">
        <f aca="false">IF($K1729="U – needs rule",$P1729,0)</f>
        <v>0</v>
      </c>
      <c r="X1729" s="64" t="n">
        <f aca="false">IF($K1729="No Start (attainment only)",$P1729,0)</f>
        <v>0</v>
      </c>
    </row>
    <row r="1730" customFormat="false" ht="15" hidden="false" customHeight="false" outlineLevel="0" collapsed="false">
      <c r="A1730" s="60"/>
      <c r="B1730" s="61" t="str">
        <f aca="false">IF($M1730=0,"",INDEX(Classes!$E$6:$E$420,$M1730))</f>
        <v/>
      </c>
      <c r="C1730" s="62" t="str">
        <f aca="false">IF($M1730=0,"",INDEX(Classes!$H$6:$H$420,$M1730))</f>
        <v/>
      </c>
      <c r="D1730" s="61" t="str">
        <f aca="false">IF($M1730=0,"",INDEX(Classes!$B$6:$B$420,$M1730))</f>
        <v/>
      </c>
      <c r="E1730" s="61" t="str">
        <f aca="false">IF($M1730=0,"",INDEX(Classes!$C$6:$C$420,$M1730))</f>
        <v/>
      </c>
      <c r="F1730" s="63"/>
      <c r="G1730" s="63"/>
      <c r="H1730" s="60"/>
      <c r="I1730" s="60"/>
      <c r="J1730" s="63"/>
      <c r="K1730" s="61" t="str">
        <f aca="false">IF($P1730=0,"",IF($F1730="Baseline","— Baseline",IF($O1730=0,"No result",IF($N1730=0,"No Start (attainment only)",IF(OR($N1730=1,$O1730=1),"U – needs rule",INDEX(MxBody,MATCH($I1730,MxCurr,0),MATCH($H1730,MxStart,0)))))))</f>
        <v/>
      </c>
      <c r="L1730" s="62" t="str">
        <f aca="false">IF(COUNTA($A1730,$F1730,$G1730,$H1730,$I1730,$J1730)=0,"",IF($M1730=0,"✖ كود الصف غير موجود",IF(ISNA(MATCH($F1730,Lists!$A$2:$A$5,0)),"✖ الفترة غير صحيحة",IF(ISNA(MATCH($G1730,Lists!$B$2:$B$7,0)),"✖ المجموعة غير صحيحة",IF(NOT(OR($H1730="",$N1730&gt;0)),"✖ Start غير صحيح",IF(NOT(OR($I1730="",$I1730="NR",$O1730&gt;0)),"✖ Current غير صحيح",IF(NOT(IF(ISNUMBER($J1730),AND($J1730&gt;=0,$J1730=INT($J1730)),FALSE())),"✖ العدد يجب أن يكون صحيحًا ≥ 0",IF(AND($F1730="Baseline",$H1730&lt;&gt;""),"⚠ Baseline: Start لا يدخل في التقدم",IF($K1730="No Start (attainment only)","ℹ تحصيل فقط (بدون Start)",IF($K1730="U – needs rule","ℹ حالة U تحتاج قاعدة معتمدة",IF($K1730="No result","ℹ بدون نتيجة (يُستبعد من التحصيل)","OK")))))))))))</f>
        <v/>
      </c>
      <c r="M1730" s="64" t="n">
        <f aca="false">IF($A1730="",0,IFERROR(MATCH($A1730,Classes!$A$6:$A$420,0),0))</f>
        <v>0</v>
      </c>
      <c r="N1730" s="64" t="n">
        <f aca="false">IF($H1730="",0,IFERROR(MATCH($H1730,GradeList,0),0))</f>
        <v>0</v>
      </c>
      <c r="O1730" s="64" t="n">
        <f aca="false">IF(OR($I1730="",$I1730="NR"),0,IFERROR(MATCH($I1730,GradeList,0),0))</f>
        <v>0</v>
      </c>
      <c r="P1730" s="64" t="n">
        <f aca="false">IF(AND($M1730&gt;0,ISNUMBER(MATCH($F1730,Lists!$A$2:$A$5,0)),ISNUMBER(MATCH($G1730,Lists!$B$2:$B$7,0)),OR($H1730="",$N1730&gt;0),OR($I1730="",$I1730="NR",$O1730&gt;0),IF(ISNUMBER($J1730),AND($J1730&gt;=0,$J1730=INT($J1730)),FALSE())),$J1730,0)</f>
        <v>0</v>
      </c>
      <c r="Q1730" s="64" t="n">
        <f aca="false">IF(AND($P1730&gt;0,$O1730&gt;0),$P1730,0)</f>
        <v>0</v>
      </c>
      <c r="R1730" s="64" t="n">
        <f aca="false">IF(AND($Q1730&gt;0,$O1730&gt;=AtRank),$Q1730,0)</f>
        <v>0</v>
      </c>
      <c r="S1730" s="64" t="n">
        <f aca="false">IF(AND($Q1730&gt;0,$O1730&gt;=AboveRank),$Q1730,0)</f>
        <v>0</v>
      </c>
      <c r="T1730" s="64" t="n">
        <f aca="false">IF($K1730="Less",$P1730,0)</f>
        <v>0</v>
      </c>
      <c r="U1730" s="64" t="n">
        <f aca="false">IF($K1730="Expected",$P1730,0)</f>
        <v>0</v>
      </c>
      <c r="V1730" s="64" t="n">
        <f aca="false">IF($K1730="Better",$P1730,0)</f>
        <v>0</v>
      </c>
      <c r="W1730" s="64" t="n">
        <f aca="false">IF($K1730="U – needs rule",$P1730,0)</f>
        <v>0</v>
      </c>
      <c r="X1730" s="64" t="n">
        <f aca="false">IF($K1730="No Start (attainment only)",$P1730,0)</f>
        <v>0</v>
      </c>
    </row>
    <row r="1731" customFormat="false" ht="15" hidden="false" customHeight="false" outlineLevel="0" collapsed="false">
      <c r="A1731" s="60"/>
      <c r="B1731" s="61" t="str">
        <f aca="false">IF($M1731=0,"",INDEX(Classes!$E$6:$E$420,$M1731))</f>
        <v/>
      </c>
      <c r="C1731" s="62" t="str">
        <f aca="false">IF($M1731=0,"",INDEX(Classes!$H$6:$H$420,$M1731))</f>
        <v/>
      </c>
      <c r="D1731" s="61" t="str">
        <f aca="false">IF($M1731=0,"",INDEX(Classes!$B$6:$B$420,$M1731))</f>
        <v/>
      </c>
      <c r="E1731" s="61" t="str">
        <f aca="false">IF($M1731=0,"",INDEX(Classes!$C$6:$C$420,$M1731))</f>
        <v/>
      </c>
      <c r="F1731" s="63"/>
      <c r="G1731" s="63"/>
      <c r="H1731" s="60"/>
      <c r="I1731" s="60"/>
      <c r="J1731" s="63"/>
      <c r="K1731" s="61" t="str">
        <f aca="false">IF($P1731=0,"",IF($F1731="Baseline","— Baseline",IF($O1731=0,"No result",IF($N1731=0,"No Start (attainment only)",IF(OR($N1731=1,$O1731=1),"U – needs rule",INDEX(MxBody,MATCH($I1731,MxCurr,0),MATCH($H1731,MxStart,0)))))))</f>
        <v/>
      </c>
      <c r="L1731" s="62" t="str">
        <f aca="false">IF(COUNTA($A1731,$F1731,$G1731,$H1731,$I1731,$J1731)=0,"",IF($M1731=0,"✖ كود الصف غير موجود",IF(ISNA(MATCH($F1731,Lists!$A$2:$A$5,0)),"✖ الفترة غير صحيحة",IF(ISNA(MATCH($G1731,Lists!$B$2:$B$7,0)),"✖ المجموعة غير صحيحة",IF(NOT(OR($H1731="",$N1731&gt;0)),"✖ Start غير صحيح",IF(NOT(OR($I1731="",$I1731="NR",$O1731&gt;0)),"✖ Current غير صحيح",IF(NOT(IF(ISNUMBER($J1731),AND($J1731&gt;=0,$J1731=INT($J1731)),FALSE())),"✖ العدد يجب أن يكون صحيحًا ≥ 0",IF(AND($F1731="Baseline",$H1731&lt;&gt;""),"⚠ Baseline: Start لا يدخل في التقدم",IF($K1731="No Start (attainment only)","ℹ تحصيل فقط (بدون Start)",IF($K1731="U – needs rule","ℹ حالة U تحتاج قاعدة معتمدة",IF($K1731="No result","ℹ بدون نتيجة (يُستبعد من التحصيل)","OK")))))))))))</f>
        <v/>
      </c>
      <c r="M1731" s="64" t="n">
        <f aca="false">IF($A1731="",0,IFERROR(MATCH($A1731,Classes!$A$6:$A$420,0),0))</f>
        <v>0</v>
      </c>
      <c r="N1731" s="64" t="n">
        <f aca="false">IF($H1731="",0,IFERROR(MATCH($H1731,GradeList,0),0))</f>
        <v>0</v>
      </c>
      <c r="O1731" s="64" t="n">
        <f aca="false">IF(OR($I1731="",$I1731="NR"),0,IFERROR(MATCH($I1731,GradeList,0),0))</f>
        <v>0</v>
      </c>
      <c r="P1731" s="64" t="n">
        <f aca="false">IF(AND($M1731&gt;0,ISNUMBER(MATCH($F1731,Lists!$A$2:$A$5,0)),ISNUMBER(MATCH($G1731,Lists!$B$2:$B$7,0)),OR($H1731="",$N1731&gt;0),OR($I1731="",$I1731="NR",$O1731&gt;0),IF(ISNUMBER($J1731),AND($J1731&gt;=0,$J1731=INT($J1731)),FALSE())),$J1731,0)</f>
        <v>0</v>
      </c>
      <c r="Q1731" s="64" t="n">
        <f aca="false">IF(AND($P1731&gt;0,$O1731&gt;0),$P1731,0)</f>
        <v>0</v>
      </c>
      <c r="R1731" s="64" t="n">
        <f aca="false">IF(AND($Q1731&gt;0,$O1731&gt;=AtRank),$Q1731,0)</f>
        <v>0</v>
      </c>
      <c r="S1731" s="64" t="n">
        <f aca="false">IF(AND($Q1731&gt;0,$O1731&gt;=AboveRank),$Q1731,0)</f>
        <v>0</v>
      </c>
      <c r="T1731" s="64" t="n">
        <f aca="false">IF($K1731="Less",$P1731,0)</f>
        <v>0</v>
      </c>
      <c r="U1731" s="64" t="n">
        <f aca="false">IF($K1731="Expected",$P1731,0)</f>
        <v>0</v>
      </c>
      <c r="V1731" s="64" t="n">
        <f aca="false">IF($K1731="Better",$P1731,0)</f>
        <v>0</v>
      </c>
      <c r="W1731" s="64" t="n">
        <f aca="false">IF($K1731="U – needs rule",$P1731,0)</f>
        <v>0</v>
      </c>
      <c r="X1731" s="64" t="n">
        <f aca="false">IF($K1731="No Start (attainment only)",$P1731,0)</f>
        <v>0</v>
      </c>
    </row>
    <row r="1732" customFormat="false" ht="15" hidden="false" customHeight="false" outlineLevel="0" collapsed="false">
      <c r="A1732" s="60"/>
      <c r="B1732" s="61" t="str">
        <f aca="false">IF($M1732=0,"",INDEX(Classes!$E$6:$E$420,$M1732))</f>
        <v/>
      </c>
      <c r="C1732" s="62" t="str">
        <f aca="false">IF($M1732=0,"",INDEX(Classes!$H$6:$H$420,$M1732))</f>
        <v/>
      </c>
      <c r="D1732" s="61" t="str">
        <f aca="false">IF($M1732=0,"",INDEX(Classes!$B$6:$B$420,$M1732))</f>
        <v/>
      </c>
      <c r="E1732" s="61" t="str">
        <f aca="false">IF($M1732=0,"",INDEX(Classes!$C$6:$C$420,$M1732))</f>
        <v/>
      </c>
      <c r="F1732" s="63"/>
      <c r="G1732" s="63"/>
      <c r="H1732" s="60"/>
      <c r="I1732" s="60"/>
      <c r="J1732" s="63"/>
      <c r="K1732" s="61" t="str">
        <f aca="false">IF($P1732=0,"",IF($F1732="Baseline","— Baseline",IF($O1732=0,"No result",IF($N1732=0,"No Start (attainment only)",IF(OR($N1732=1,$O1732=1),"U – needs rule",INDEX(MxBody,MATCH($I1732,MxCurr,0),MATCH($H1732,MxStart,0)))))))</f>
        <v/>
      </c>
      <c r="L1732" s="62" t="str">
        <f aca="false">IF(COUNTA($A1732,$F1732,$G1732,$H1732,$I1732,$J1732)=0,"",IF($M1732=0,"✖ كود الصف غير موجود",IF(ISNA(MATCH($F1732,Lists!$A$2:$A$5,0)),"✖ الفترة غير صحيحة",IF(ISNA(MATCH($G1732,Lists!$B$2:$B$7,0)),"✖ المجموعة غير صحيحة",IF(NOT(OR($H1732="",$N1732&gt;0)),"✖ Start غير صحيح",IF(NOT(OR($I1732="",$I1732="NR",$O1732&gt;0)),"✖ Current غير صحيح",IF(NOT(IF(ISNUMBER($J1732),AND($J1732&gt;=0,$J1732=INT($J1732)),FALSE())),"✖ العدد يجب أن يكون صحيحًا ≥ 0",IF(AND($F1732="Baseline",$H1732&lt;&gt;""),"⚠ Baseline: Start لا يدخل في التقدم",IF($K1732="No Start (attainment only)","ℹ تحصيل فقط (بدون Start)",IF($K1732="U – needs rule","ℹ حالة U تحتاج قاعدة معتمدة",IF($K1732="No result","ℹ بدون نتيجة (يُستبعد من التحصيل)","OK")))))))))))</f>
        <v/>
      </c>
      <c r="M1732" s="64" t="n">
        <f aca="false">IF($A1732="",0,IFERROR(MATCH($A1732,Classes!$A$6:$A$420,0),0))</f>
        <v>0</v>
      </c>
      <c r="N1732" s="64" t="n">
        <f aca="false">IF($H1732="",0,IFERROR(MATCH($H1732,GradeList,0),0))</f>
        <v>0</v>
      </c>
      <c r="O1732" s="64" t="n">
        <f aca="false">IF(OR($I1732="",$I1732="NR"),0,IFERROR(MATCH($I1732,GradeList,0),0))</f>
        <v>0</v>
      </c>
      <c r="P1732" s="64" t="n">
        <f aca="false">IF(AND($M1732&gt;0,ISNUMBER(MATCH($F1732,Lists!$A$2:$A$5,0)),ISNUMBER(MATCH($G1732,Lists!$B$2:$B$7,0)),OR($H1732="",$N1732&gt;0),OR($I1732="",$I1732="NR",$O1732&gt;0),IF(ISNUMBER($J1732),AND($J1732&gt;=0,$J1732=INT($J1732)),FALSE())),$J1732,0)</f>
        <v>0</v>
      </c>
      <c r="Q1732" s="64" t="n">
        <f aca="false">IF(AND($P1732&gt;0,$O1732&gt;0),$P1732,0)</f>
        <v>0</v>
      </c>
      <c r="R1732" s="64" t="n">
        <f aca="false">IF(AND($Q1732&gt;0,$O1732&gt;=AtRank),$Q1732,0)</f>
        <v>0</v>
      </c>
      <c r="S1732" s="64" t="n">
        <f aca="false">IF(AND($Q1732&gt;0,$O1732&gt;=AboveRank),$Q1732,0)</f>
        <v>0</v>
      </c>
      <c r="T1732" s="64" t="n">
        <f aca="false">IF($K1732="Less",$P1732,0)</f>
        <v>0</v>
      </c>
      <c r="U1732" s="64" t="n">
        <f aca="false">IF($K1732="Expected",$P1732,0)</f>
        <v>0</v>
      </c>
      <c r="V1732" s="64" t="n">
        <f aca="false">IF($K1732="Better",$P1732,0)</f>
        <v>0</v>
      </c>
      <c r="W1732" s="64" t="n">
        <f aca="false">IF($K1732="U – needs rule",$P1732,0)</f>
        <v>0</v>
      </c>
      <c r="X1732" s="64" t="n">
        <f aca="false">IF($K1732="No Start (attainment only)",$P1732,0)</f>
        <v>0</v>
      </c>
    </row>
    <row r="1733" customFormat="false" ht="15" hidden="false" customHeight="false" outlineLevel="0" collapsed="false">
      <c r="A1733" s="60"/>
      <c r="B1733" s="61" t="str">
        <f aca="false">IF($M1733=0,"",INDEX(Classes!$E$6:$E$420,$M1733))</f>
        <v/>
      </c>
      <c r="C1733" s="62" t="str">
        <f aca="false">IF($M1733=0,"",INDEX(Classes!$H$6:$H$420,$M1733))</f>
        <v/>
      </c>
      <c r="D1733" s="61" t="str">
        <f aca="false">IF($M1733=0,"",INDEX(Classes!$B$6:$B$420,$M1733))</f>
        <v/>
      </c>
      <c r="E1733" s="61" t="str">
        <f aca="false">IF($M1733=0,"",INDEX(Classes!$C$6:$C$420,$M1733))</f>
        <v/>
      </c>
      <c r="F1733" s="63"/>
      <c r="G1733" s="63"/>
      <c r="H1733" s="60"/>
      <c r="I1733" s="60"/>
      <c r="J1733" s="63"/>
      <c r="K1733" s="61" t="str">
        <f aca="false">IF($P1733=0,"",IF($F1733="Baseline","— Baseline",IF($O1733=0,"No result",IF($N1733=0,"No Start (attainment only)",IF(OR($N1733=1,$O1733=1),"U – needs rule",INDEX(MxBody,MATCH($I1733,MxCurr,0),MATCH($H1733,MxStart,0)))))))</f>
        <v/>
      </c>
      <c r="L1733" s="62" t="str">
        <f aca="false">IF(COUNTA($A1733,$F1733,$G1733,$H1733,$I1733,$J1733)=0,"",IF($M1733=0,"✖ كود الصف غير موجود",IF(ISNA(MATCH($F1733,Lists!$A$2:$A$5,0)),"✖ الفترة غير صحيحة",IF(ISNA(MATCH($G1733,Lists!$B$2:$B$7,0)),"✖ المجموعة غير صحيحة",IF(NOT(OR($H1733="",$N1733&gt;0)),"✖ Start غير صحيح",IF(NOT(OR($I1733="",$I1733="NR",$O1733&gt;0)),"✖ Current غير صحيح",IF(NOT(IF(ISNUMBER($J1733),AND($J1733&gt;=0,$J1733=INT($J1733)),FALSE())),"✖ العدد يجب أن يكون صحيحًا ≥ 0",IF(AND($F1733="Baseline",$H1733&lt;&gt;""),"⚠ Baseline: Start لا يدخل في التقدم",IF($K1733="No Start (attainment only)","ℹ تحصيل فقط (بدون Start)",IF($K1733="U – needs rule","ℹ حالة U تحتاج قاعدة معتمدة",IF($K1733="No result","ℹ بدون نتيجة (يُستبعد من التحصيل)","OK")))))))))))</f>
        <v/>
      </c>
      <c r="M1733" s="64" t="n">
        <f aca="false">IF($A1733="",0,IFERROR(MATCH($A1733,Classes!$A$6:$A$420,0),0))</f>
        <v>0</v>
      </c>
      <c r="N1733" s="64" t="n">
        <f aca="false">IF($H1733="",0,IFERROR(MATCH($H1733,GradeList,0),0))</f>
        <v>0</v>
      </c>
      <c r="O1733" s="64" t="n">
        <f aca="false">IF(OR($I1733="",$I1733="NR"),0,IFERROR(MATCH($I1733,GradeList,0),0))</f>
        <v>0</v>
      </c>
      <c r="P1733" s="64" t="n">
        <f aca="false">IF(AND($M1733&gt;0,ISNUMBER(MATCH($F1733,Lists!$A$2:$A$5,0)),ISNUMBER(MATCH($G1733,Lists!$B$2:$B$7,0)),OR($H1733="",$N1733&gt;0),OR($I1733="",$I1733="NR",$O1733&gt;0),IF(ISNUMBER($J1733),AND($J1733&gt;=0,$J1733=INT($J1733)),FALSE())),$J1733,0)</f>
        <v>0</v>
      </c>
      <c r="Q1733" s="64" t="n">
        <f aca="false">IF(AND($P1733&gt;0,$O1733&gt;0),$P1733,0)</f>
        <v>0</v>
      </c>
      <c r="R1733" s="64" t="n">
        <f aca="false">IF(AND($Q1733&gt;0,$O1733&gt;=AtRank),$Q1733,0)</f>
        <v>0</v>
      </c>
      <c r="S1733" s="64" t="n">
        <f aca="false">IF(AND($Q1733&gt;0,$O1733&gt;=AboveRank),$Q1733,0)</f>
        <v>0</v>
      </c>
      <c r="T1733" s="64" t="n">
        <f aca="false">IF($K1733="Less",$P1733,0)</f>
        <v>0</v>
      </c>
      <c r="U1733" s="64" t="n">
        <f aca="false">IF($K1733="Expected",$P1733,0)</f>
        <v>0</v>
      </c>
      <c r="V1733" s="64" t="n">
        <f aca="false">IF($K1733="Better",$P1733,0)</f>
        <v>0</v>
      </c>
      <c r="W1733" s="64" t="n">
        <f aca="false">IF($K1733="U – needs rule",$P1733,0)</f>
        <v>0</v>
      </c>
      <c r="X1733" s="64" t="n">
        <f aca="false">IF($K1733="No Start (attainment only)",$P1733,0)</f>
        <v>0</v>
      </c>
    </row>
    <row r="1734" customFormat="false" ht="15" hidden="false" customHeight="false" outlineLevel="0" collapsed="false">
      <c r="A1734" s="60"/>
      <c r="B1734" s="61" t="str">
        <f aca="false">IF($M1734=0,"",INDEX(Classes!$E$6:$E$420,$M1734))</f>
        <v/>
      </c>
      <c r="C1734" s="62" t="str">
        <f aca="false">IF($M1734=0,"",INDEX(Classes!$H$6:$H$420,$M1734))</f>
        <v/>
      </c>
      <c r="D1734" s="61" t="str">
        <f aca="false">IF($M1734=0,"",INDEX(Classes!$B$6:$B$420,$M1734))</f>
        <v/>
      </c>
      <c r="E1734" s="61" t="str">
        <f aca="false">IF($M1734=0,"",INDEX(Classes!$C$6:$C$420,$M1734))</f>
        <v/>
      </c>
      <c r="F1734" s="63"/>
      <c r="G1734" s="63"/>
      <c r="H1734" s="60"/>
      <c r="I1734" s="60"/>
      <c r="J1734" s="63"/>
      <c r="K1734" s="61" t="str">
        <f aca="false">IF($P1734=0,"",IF($F1734="Baseline","— Baseline",IF($O1734=0,"No result",IF($N1734=0,"No Start (attainment only)",IF(OR($N1734=1,$O1734=1),"U – needs rule",INDEX(MxBody,MATCH($I1734,MxCurr,0),MATCH($H1734,MxStart,0)))))))</f>
        <v/>
      </c>
      <c r="L1734" s="62" t="str">
        <f aca="false">IF(COUNTA($A1734,$F1734,$G1734,$H1734,$I1734,$J1734)=0,"",IF($M1734=0,"✖ كود الصف غير موجود",IF(ISNA(MATCH($F1734,Lists!$A$2:$A$5,0)),"✖ الفترة غير صحيحة",IF(ISNA(MATCH($G1734,Lists!$B$2:$B$7,0)),"✖ المجموعة غير صحيحة",IF(NOT(OR($H1734="",$N1734&gt;0)),"✖ Start غير صحيح",IF(NOT(OR($I1734="",$I1734="NR",$O1734&gt;0)),"✖ Current غير صحيح",IF(NOT(IF(ISNUMBER($J1734),AND($J1734&gt;=0,$J1734=INT($J1734)),FALSE())),"✖ العدد يجب أن يكون صحيحًا ≥ 0",IF(AND($F1734="Baseline",$H1734&lt;&gt;""),"⚠ Baseline: Start لا يدخل في التقدم",IF($K1734="No Start (attainment only)","ℹ تحصيل فقط (بدون Start)",IF($K1734="U – needs rule","ℹ حالة U تحتاج قاعدة معتمدة",IF($K1734="No result","ℹ بدون نتيجة (يُستبعد من التحصيل)","OK")))))))))))</f>
        <v/>
      </c>
      <c r="M1734" s="64" t="n">
        <f aca="false">IF($A1734="",0,IFERROR(MATCH($A1734,Classes!$A$6:$A$420,0),0))</f>
        <v>0</v>
      </c>
      <c r="N1734" s="64" t="n">
        <f aca="false">IF($H1734="",0,IFERROR(MATCH($H1734,GradeList,0),0))</f>
        <v>0</v>
      </c>
      <c r="O1734" s="64" t="n">
        <f aca="false">IF(OR($I1734="",$I1734="NR"),0,IFERROR(MATCH($I1734,GradeList,0),0))</f>
        <v>0</v>
      </c>
      <c r="P1734" s="64" t="n">
        <f aca="false">IF(AND($M1734&gt;0,ISNUMBER(MATCH($F1734,Lists!$A$2:$A$5,0)),ISNUMBER(MATCH($G1734,Lists!$B$2:$B$7,0)),OR($H1734="",$N1734&gt;0),OR($I1734="",$I1734="NR",$O1734&gt;0),IF(ISNUMBER($J1734),AND($J1734&gt;=0,$J1734=INT($J1734)),FALSE())),$J1734,0)</f>
        <v>0</v>
      </c>
      <c r="Q1734" s="64" t="n">
        <f aca="false">IF(AND($P1734&gt;0,$O1734&gt;0),$P1734,0)</f>
        <v>0</v>
      </c>
      <c r="R1734" s="64" t="n">
        <f aca="false">IF(AND($Q1734&gt;0,$O1734&gt;=AtRank),$Q1734,0)</f>
        <v>0</v>
      </c>
      <c r="S1734" s="64" t="n">
        <f aca="false">IF(AND($Q1734&gt;0,$O1734&gt;=AboveRank),$Q1734,0)</f>
        <v>0</v>
      </c>
      <c r="T1734" s="64" t="n">
        <f aca="false">IF($K1734="Less",$P1734,0)</f>
        <v>0</v>
      </c>
      <c r="U1734" s="64" t="n">
        <f aca="false">IF($K1734="Expected",$P1734,0)</f>
        <v>0</v>
      </c>
      <c r="V1734" s="64" t="n">
        <f aca="false">IF($K1734="Better",$P1734,0)</f>
        <v>0</v>
      </c>
      <c r="W1734" s="64" t="n">
        <f aca="false">IF($K1734="U – needs rule",$P1734,0)</f>
        <v>0</v>
      </c>
      <c r="X1734" s="64" t="n">
        <f aca="false">IF($K1734="No Start (attainment only)",$P1734,0)</f>
        <v>0</v>
      </c>
    </row>
    <row r="1735" customFormat="false" ht="15" hidden="false" customHeight="false" outlineLevel="0" collapsed="false">
      <c r="A1735" s="60"/>
      <c r="B1735" s="61" t="str">
        <f aca="false">IF($M1735=0,"",INDEX(Classes!$E$6:$E$420,$M1735))</f>
        <v/>
      </c>
      <c r="C1735" s="62" t="str">
        <f aca="false">IF($M1735=0,"",INDEX(Classes!$H$6:$H$420,$M1735))</f>
        <v/>
      </c>
      <c r="D1735" s="61" t="str">
        <f aca="false">IF($M1735=0,"",INDEX(Classes!$B$6:$B$420,$M1735))</f>
        <v/>
      </c>
      <c r="E1735" s="61" t="str">
        <f aca="false">IF($M1735=0,"",INDEX(Classes!$C$6:$C$420,$M1735))</f>
        <v/>
      </c>
      <c r="F1735" s="63"/>
      <c r="G1735" s="63"/>
      <c r="H1735" s="60"/>
      <c r="I1735" s="60"/>
      <c r="J1735" s="63"/>
      <c r="K1735" s="61" t="str">
        <f aca="false">IF($P1735=0,"",IF($F1735="Baseline","— Baseline",IF($O1735=0,"No result",IF($N1735=0,"No Start (attainment only)",IF(OR($N1735=1,$O1735=1),"U – needs rule",INDEX(MxBody,MATCH($I1735,MxCurr,0),MATCH($H1735,MxStart,0)))))))</f>
        <v/>
      </c>
      <c r="L1735" s="62" t="str">
        <f aca="false">IF(COUNTA($A1735,$F1735,$G1735,$H1735,$I1735,$J1735)=0,"",IF($M1735=0,"✖ كود الصف غير موجود",IF(ISNA(MATCH($F1735,Lists!$A$2:$A$5,0)),"✖ الفترة غير صحيحة",IF(ISNA(MATCH($G1735,Lists!$B$2:$B$7,0)),"✖ المجموعة غير صحيحة",IF(NOT(OR($H1735="",$N1735&gt;0)),"✖ Start غير صحيح",IF(NOT(OR($I1735="",$I1735="NR",$O1735&gt;0)),"✖ Current غير صحيح",IF(NOT(IF(ISNUMBER($J1735),AND($J1735&gt;=0,$J1735=INT($J1735)),FALSE())),"✖ العدد يجب أن يكون صحيحًا ≥ 0",IF(AND($F1735="Baseline",$H1735&lt;&gt;""),"⚠ Baseline: Start لا يدخل في التقدم",IF($K1735="No Start (attainment only)","ℹ تحصيل فقط (بدون Start)",IF($K1735="U – needs rule","ℹ حالة U تحتاج قاعدة معتمدة",IF($K1735="No result","ℹ بدون نتيجة (يُستبعد من التحصيل)","OK")))))))))))</f>
        <v/>
      </c>
      <c r="M1735" s="64" t="n">
        <f aca="false">IF($A1735="",0,IFERROR(MATCH($A1735,Classes!$A$6:$A$420,0),0))</f>
        <v>0</v>
      </c>
      <c r="N1735" s="64" t="n">
        <f aca="false">IF($H1735="",0,IFERROR(MATCH($H1735,GradeList,0),0))</f>
        <v>0</v>
      </c>
      <c r="O1735" s="64" t="n">
        <f aca="false">IF(OR($I1735="",$I1735="NR"),0,IFERROR(MATCH($I1735,GradeList,0),0))</f>
        <v>0</v>
      </c>
      <c r="P1735" s="64" t="n">
        <f aca="false">IF(AND($M1735&gt;0,ISNUMBER(MATCH($F1735,Lists!$A$2:$A$5,0)),ISNUMBER(MATCH($G1735,Lists!$B$2:$B$7,0)),OR($H1735="",$N1735&gt;0),OR($I1735="",$I1735="NR",$O1735&gt;0),IF(ISNUMBER($J1735),AND($J1735&gt;=0,$J1735=INT($J1735)),FALSE())),$J1735,0)</f>
        <v>0</v>
      </c>
      <c r="Q1735" s="64" t="n">
        <f aca="false">IF(AND($P1735&gt;0,$O1735&gt;0),$P1735,0)</f>
        <v>0</v>
      </c>
      <c r="R1735" s="64" t="n">
        <f aca="false">IF(AND($Q1735&gt;0,$O1735&gt;=AtRank),$Q1735,0)</f>
        <v>0</v>
      </c>
      <c r="S1735" s="64" t="n">
        <f aca="false">IF(AND($Q1735&gt;0,$O1735&gt;=AboveRank),$Q1735,0)</f>
        <v>0</v>
      </c>
      <c r="T1735" s="64" t="n">
        <f aca="false">IF($K1735="Less",$P1735,0)</f>
        <v>0</v>
      </c>
      <c r="U1735" s="64" t="n">
        <f aca="false">IF($K1735="Expected",$P1735,0)</f>
        <v>0</v>
      </c>
      <c r="V1735" s="64" t="n">
        <f aca="false">IF($K1735="Better",$P1735,0)</f>
        <v>0</v>
      </c>
      <c r="W1735" s="64" t="n">
        <f aca="false">IF($K1735="U – needs rule",$P1735,0)</f>
        <v>0</v>
      </c>
      <c r="X1735" s="64" t="n">
        <f aca="false">IF($K1735="No Start (attainment only)",$P1735,0)</f>
        <v>0</v>
      </c>
    </row>
    <row r="1736" customFormat="false" ht="15" hidden="false" customHeight="false" outlineLevel="0" collapsed="false">
      <c r="A1736" s="60"/>
      <c r="B1736" s="61" t="str">
        <f aca="false">IF($M1736=0,"",INDEX(Classes!$E$6:$E$420,$M1736))</f>
        <v/>
      </c>
      <c r="C1736" s="62" t="str">
        <f aca="false">IF($M1736=0,"",INDEX(Classes!$H$6:$H$420,$M1736))</f>
        <v/>
      </c>
      <c r="D1736" s="61" t="str">
        <f aca="false">IF($M1736=0,"",INDEX(Classes!$B$6:$B$420,$M1736))</f>
        <v/>
      </c>
      <c r="E1736" s="61" t="str">
        <f aca="false">IF($M1736=0,"",INDEX(Classes!$C$6:$C$420,$M1736))</f>
        <v/>
      </c>
      <c r="F1736" s="63"/>
      <c r="G1736" s="63"/>
      <c r="H1736" s="60"/>
      <c r="I1736" s="60"/>
      <c r="J1736" s="63"/>
      <c r="K1736" s="61" t="str">
        <f aca="false">IF($P1736=0,"",IF($F1736="Baseline","— Baseline",IF($O1736=0,"No result",IF($N1736=0,"No Start (attainment only)",IF(OR($N1736=1,$O1736=1),"U – needs rule",INDEX(MxBody,MATCH($I1736,MxCurr,0),MATCH($H1736,MxStart,0)))))))</f>
        <v/>
      </c>
      <c r="L1736" s="62" t="str">
        <f aca="false">IF(COUNTA($A1736,$F1736,$G1736,$H1736,$I1736,$J1736)=0,"",IF($M1736=0,"✖ كود الصف غير موجود",IF(ISNA(MATCH($F1736,Lists!$A$2:$A$5,0)),"✖ الفترة غير صحيحة",IF(ISNA(MATCH($G1736,Lists!$B$2:$B$7,0)),"✖ المجموعة غير صحيحة",IF(NOT(OR($H1736="",$N1736&gt;0)),"✖ Start غير صحيح",IF(NOT(OR($I1736="",$I1736="NR",$O1736&gt;0)),"✖ Current غير صحيح",IF(NOT(IF(ISNUMBER($J1736),AND($J1736&gt;=0,$J1736=INT($J1736)),FALSE())),"✖ العدد يجب أن يكون صحيحًا ≥ 0",IF(AND($F1736="Baseline",$H1736&lt;&gt;""),"⚠ Baseline: Start لا يدخل في التقدم",IF($K1736="No Start (attainment only)","ℹ تحصيل فقط (بدون Start)",IF($K1736="U – needs rule","ℹ حالة U تحتاج قاعدة معتمدة",IF($K1736="No result","ℹ بدون نتيجة (يُستبعد من التحصيل)","OK")))))))))))</f>
        <v/>
      </c>
      <c r="M1736" s="64" t="n">
        <f aca="false">IF($A1736="",0,IFERROR(MATCH($A1736,Classes!$A$6:$A$420,0),0))</f>
        <v>0</v>
      </c>
      <c r="N1736" s="64" t="n">
        <f aca="false">IF($H1736="",0,IFERROR(MATCH($H1736,GradeList,0),0))</f>
        <v>0</v>
      </c>
      <c r="O1736" s="64" t="n">
        <f aca="false">IF(OR($I1736="",$I1736="NR"),0,IFERROR(MATCH($I1736,GradeList,0),0))</f>
        <v>0</v>
      </c>
      <c r="P1736" s="64" t="n">
        <f aca="false">IF(AND($M1736&gt;0,ISNUMBER(MATCH($F1736,Lists!$A$2:$A$5,0)),ISNUMBER(MATCH($G1736,Lists!$B$2:$B$7,0)),OR($H1736="",$N1736&gt;0),OR($I1736="",$I1736="NR",$O1736&gt;0),IF(ISNUMBER($J1736),AND($J1736&gt;=0,$J1736=INT($J1736)),FALSE())),$J1736,0)</f>
        <v>0</v>
      </c>
      <c r="Q1736" s="64" t="n">
        <f aca="false">IF(AND($P1736&gt;0,$O1736&gt;0),$P1736,0)</f>
        <v>0</v>
      </c>
      <c r="R1736" s="64" t="n">
        <f aca="false">IF(AND($Q1736&gt;0,$O1736&gt;=AtRank),$Q1736,0)</f>
        <v>0</v>
      </c>
      <c r="S1736" s="64" t="n">
        <f aca="false">IF(AND($Q1736&gt;0,$O1736&gt;=AboveRank),$Q1736,0)</f>
        <v>0</v>
      </c>
      <c r="T1736" s="64" t="n">
        <f aca="false">IF($K1736="Less",$P1736,0)</f>
        <v>0</v>
      </c>
      <c r="U1736" s="64" t="n">
        <f aca="false">IF($K1736="Expected",$P1736,0)</f>
        <v>0</v>
      </c>
      <c r="V1736" s="64" t="n">
        <f aca="false">IF($K1736="Better",$P1736,0)</f>
        <v>0</v>
      </c>
      <c r="W1736" s="64" t="n">
        <f aca="false">IF($K1736="U – needs rule",$P1736,0)</f>
        <v>0</v>
      </c>
      <c r="X1736" s="64" t="n">
        <f aca="false">IF($K1736="No Start (attainment only)",$P1736,0)</f>
        <v>0</v>
      </c>
    </row>
    <row r="1737" customFormat="false" ht="15" hidden="false" customHeight="false" outlineLevel="0" collapsed="false">
      <c r="A1737" s="60"/>
      <c r="B1737" s="61" t="str">
        <f aca="false">IF($M1737=0,"",INDEX(Classes!$E$6:$E$420,$M1737))</f>
        <v/>
      </c>
      <c r="C1737" s="62" t="str">
        <f aca="false">IF($M1737=0,"",INDEX(Classes!$H$6:$H$420,$M1737))</f>
        <v/>
      </c>
      <c r="D1737" s="61" t="str">
        <f aca="false">IF($M1737=0,"",INDEX(Classes!$B$6:$B$420,$M1737))</f>
        <v/>
      </c>
      <c r="E1737" s="61" t="str">
        <f aca="false">IF($M1737=0,"",INDEX(Classes!$C$6:$C$420,$M1737))</f>
        <v/>
      </c>
      <c r="F1737" s="63"/>
      <c r="G1737" s="63"/>
      <c r="H1737" s="60"/>
      <c r="I1737" s="60"/>
      <c r="J1737" s="63"/>
      <c r="K1737" s="61" t="str">
        <f aca="false">IF($P1737=0,"",IF($F1737="Baseline","— Baseline",IF($O1737=0,"No result",IF($N1737=0,"No Start (attainment only)",IF(OR($N1737=1,$O1737=1),"U – needs rule",INDEX(MxBody,MATCH($I1737,MxCurr,0),MATCH($H1737,MxStart,0)))))))</f>
        <v/>
      </c>
      <c r="L1737" s="62" t="str">
        <f aca="false">IF(COUNTA($A1737,$F1737,$G1737,$H1737,$I1737,$J1737)=0,"",IF($M1737=0,"✖ كود الصف غير موجود",IF(ISNA(MATCH($F1737,Lists!$A$2:$A$5,0)),"✖ الفترة غير صحيحة",IF(ISNA(MATCH($G1737,Lists!$B$2:$B$7,0)),"✖ المجموعة غير صحيحة",IF(NOT(OR($H1737="",$N1737&gt;0)),"✖ Start غير صحيح",IF(NOT(OR($I1737="",$I1737="NR",$O1737&gt;0)),"✖ Current غير صحيح",IF(NOT(IF(ISNUMBER($J1737),AND($J1737&gt;=0,$J1737=INT($J1737)),FALSE())),"✖ العدد يجب أن يكون صحيحًا ≥ 0",IF(AND($F1737="Baseline",$H1737&lt;&gt;""),"⚠ Baseline: Start لا يدخل في التقدم",IF($K1737="No Start (attainment only)","ℹ تحصيل فقط (بدون Start)",IF($K1737="U – needs rule","ℹ حالة U تحتاج قاعدة معتمدة",IF($K1737="No result","ℹ بدون نتيجة (يُستبعد من التحصيل)","OK")))))))))))</f>
        <v/>
      </c>
      <c r="M1737" s="64" t="n">
        <f aca="false">IF($A1737="",0,IFERROR(MATCH($A1737,Classes!$A$6:$A$420,0),0))</f>
        <v>0</v>
      </c>
      <c r="N1737" s="64" t="n">
        <f aca="false">IF($H1737="",0,IFERROR(MATCH($H1737,GradeList,0),0))</f>
        <v>0</v>
      </c>
      <c r="O1737" s="64" t="n">
        <f aca="false">IF(OR($I1737="",$I1737="NR"),0,IFERROR(MATCH($I1737,GradeList,0),0))</f>
        <v>0</v>
      </c>
      <c r="P1737" s="64" t="n">
        <f aca="false">IF(AND($M1737&gt;0,ISNUMBER(MATCH($F1737,Lists!$A$2:$A$5,0)),ISNUMBER(MATCH($G1737,Lists!$B$2:$B$7,0)),OR($H1737="",$N1737&gt;0),OR($I1737="",$I1737="NR",$O1737&gt;0),IF(ISNUMBER($J1737),AND($J1737&gt;=0,$J1737=INT($J1737)),FALSE())),$J1737,0)</f>
        <v>0</v>
      </c>
      <c r="Q1737" s="64" t="n">
        <f aca="false">IF(AND($P1737&gt;0,$O1737&gt;0),$P1737,0)</f>
        <v>0</v>
      </c>
      <c r="R1737" s="64" t="n">
        <f aca="false">IF(AND($Q1737&gt;0,$O1737&gt;=AtRank),$Q1737,0)</f>
        <v>0</v>
      </c>
      <c r="S1737" s="64" t="n">
        <f aca="false">IF(AND($Q1737&gt;0,$O1737&gt;=AboveRank),$Q1737,0)</f>
        <v>0</v>
      </c>
      <c r="T1737" s="64" t="n">
        <f aca="false">IF($K1737="Less",$P1737,0)</f>
        <v>0</v>
      </c>
      <c r="U1737" s="64" t="n">
        <f aca="false">IF($K1737="Expected",$P1737,0)</f>
        <v>0</v>
      </c>
      <c r="V1737" s="64" t="n">
        <f aca="false">IF($K1737="Better",$P1737,0)</f>
        <v>0</v>
      </c>
      <c r="W1737" s="64" t="n">
        <f aca="false">IF($K1737="U – needs rule",$P1737,0)</f>
        <v>0</v>
      </c>
      <c r="X1737" s="64" t="n">
        <f aca="false">IF($K1737="No Start (attainment only)",$P1737,0)</f>
        <v>0</v>
      </c>
    </row>
    <row r="1738" customFormat="false" ht="15" hidden="false" customHeight="false" outlineLevel="0" collapsed="false">
      <c r="A1738" s="60"/>
      <c r="B1738" s="61" t="str">
        <f aca="false">IF($M1738=0,"",INDEX(Classes!$E$6:$E$420,$M1738))</f>
        <v/>
      </c>
      <c r="C1738" s="62" t="str">
        <f aca="false">IF($M1738=0,"",INDEX(Classes!$H$6:$H$420,$M1738))</f>
        <v/>
      </c>
      <c r="D1738" s="61" t="str">
        <f aca="false">IF($M1738=0,"",INDEX(Classes!$B$6:$B$420,$M1738))</f>
        <v/>
      </c>
      <c r="E1738" s="61" t="str">
        <f aca="false">IF($M1738=0,"",INDEX(Classes!$C$6:$C$420,$M1738))</f>
        <v/>
      </c>
      <c r="F1738" s="63"/>
      <c r="G1738" s="63"/>
      <c r="H1738" s="60"/>
      <c r="I1738" s="60"/>
      <c r="J1738" s="63"/>
      <c r="K1738" s="61" t="str">
        <f aca="false">IF($P1738=0,"",IF($F1738="Baseline","— Baseline",IF($O1738=0,"No result",IF($N1738=0,"No Start (attainment only)",IF(OR($N1738=1,$O1738=1),"U – needs rule",INDEX(MxBody,MATCH($I1738,MxCurr,0),MATCH($H1738,MxStart,0)))))))</f>
        <v/>
      </c>
      <c r="L1738" s="62" t="str">
        <f aca="false">IF(COUNTA($A1738,$F1738,$G1738,$H1738,$I1738,$J1738)=0,"",IF($M1738=0,"✖ كود الصف غير موجود",IF(ISNA(MATCH($F1738,Lists!$A$2:$A$5,0)),"✖ الفترة غير صحيحة",IF(ISNA(MATCH($G1738,Lists!$B$2:$B$7,0)),"✖ المجموعة غير صحيحة",IF(NOT(OR($H1738="",$N1738&gt;0)),"✖ Start غير صحيح",IF(NOT(OR($I1738="",$I1738="NR",$O1738&gt;0)),"✖ Current غير صحيح",IF(NOT(IF(ISNUMBER($J1738),AND($J1738&gt;=0,$J1738=INT($J1738)),FALSE())),"✖ العدد يجب أن يكون صحيحًا ≥ 0",IF(AND($F1738="Baseline",$H1738&lt;&gt;""),"⚠ Baseline: Start لا يدخل في التقدم",IF($K1738="No Start (attainment only)","ℹ تحصيل فقط (بدون Start)",IF($K1738="U – needs rule","ℹ حالة U تحتاج قاعدة معتمدة",IF($K1738="No result","ℹ بدون نتيجة (يُستبعد من التحصيل)","OK")))))))))))</f>
        <v/>
      </c>
      <c r="M1738" s="64" t="n">
        <f aca="false">IF($A1738="",0,IFERROR(MATCH($A1738,Classes!$A$6:$A$420,0),0))</f>
        <v>0</v>
      </c>
      <c r="N1738" s="64" t="n">
        <f aca="false">IF($H1738="",0,IFERROR(MATCH($H1738,GradeList,0),0))</f>
        <v>0</v>
      </c>
      <c r="O1738" s="64" t="n">
        <f aca="false">IF(OR($I1738="",$I1738="NR"),0,IFERROR(MATCH($I1738,GradeList,0),0))</f>
        <v>0</v>
      </c>
      <c r="P1738" s="64" t="n">
        <f aca="false">IF(AND($M1738&gt;0,ISNUMBER(MATCH($F1738,Lists!$A$2:$A$5,0)),ISNUMBER(MATCH($G1738,Lists!$B$2:$B$7,0)),OR($H1738="",$N1738&gt;0),OR($I1738="",$I1738="NR",$O1738&gt;0),IF(ISNUMBER($J1738),AND($J1738&gt;=0,$J1738=INT($J1738)),FALSE())),$J1738,0)</f>
        <v>0</v>
      </c>
      <c r="Q1738" s="64" t="n">
        <f aca="false">IF(AND($P1738&gt;0,$O1738&gt;0),$P1738,0)</f>
        <v>0</v>
      </c>
      <c r="R1738" s="64" t="n">
        <f aca="false">IF(AND($Q1738&gt;0,$O1738&gt;=AtRank),$Q1738,0)</f>
        <v>0</v>
      </c>
      <c r="S1738" s="64" t="n">
        <f aca="false">IF(AND($Q1738&gt;0,$O1738&gt;=AboveRank),$Q1738,0)</f>
        <v>0</v>
      </c>
      <c r="T1738" s="64" t="n">
        <f aca="false">IF($K1738="Less",$P1738,0)</f>
        <v>0</v>
      </c>
      <c r="U1738" s="64" t="n">
        <f aca="false">IF($K1738="Expected",$P1738,0)</f>
        <v>0</v>
      </c>
      <c r="V1738" s="64" t="n">
        <f aca="false">IF($K1738="Better",$P1738,0)</f>
        <v>0</v>
      </c>
      <c r="W1738" s="64" t="n">
        <f aca="false">IF($K1738="U – needs rule",$P1738,0)</f>
        <v>0</v>
      </c>
      <c r="X1738" s="64" t="n">
        <f aca="false">IF($K1738="No Start (attainment only)",$P1738,0)</f>
        <v>0</v>
      </c>
    </row>
    <row r="1739" customFormat="false" ht="15" hidden="false" customHeight="false" outlineLevel="0" collapsed="false">
      <c r="A1739" s="60"/>
      <c r="B1739" s="61" t="str">
        <f aca="false">IF($M1739=0,"",INDEX(Classes!$E$6:$E$420,$M1739))</f>
        <v/>
      </c>
      <c r="C1739" s="62" t="str">
        <f aca="false">IF($M1739=0,"",INDEX(Classes!$H$6:$H$420,$M1739))</f>
        <v/>
      </c>
      <c r="D1739" s="61" t="str">
        <f aca="false">IF($M1739=0,"",INDEX(Classes!$B$6:$B$420,$M1739))</f>
        <v/>
      </c>
      <c r="E1739" s="61" t="str">
        <f aca="false">IF($M1739=0,"",INDEX(Classes!$C$6:$C$420,$M1739))</f>
        <v/>
      </c>
      <c r="F1739" s="63"/>
      <c r="G1739" s="63"/>
      <c r="H1739" s="60"/>
      <c r="I1739" s="60"/>
      <c r="J1739" s="63"/>
      <c r="K1739" s="61" t="str">
        <f aca="false">IF($P1739=0,"",IF($F1739="Baseline","— Baseline",IF($O1739=0,"No result",IF($N1739=0,"No Start (attainment only)",IF(OR($N1739=1,$O1739=1),"U – needs rule",INDEX(MxBody,MATCH($I1739,MxCurr,0),MATCH($H1739,MxStart,0)))))))</f>
        <v/>
      </c>
      <c r="L1739" s="62" t="str">
        <f aca="false">IF(COUNTA($A1739,$F1739,$G1739,$H1739,$I1739,$J1739)=0,"",IF($M1739=0,"✖ كود الصف غير موجود",IF(ISNA(MATCH($F1739,Lists!$A$2:$A$5,0)),"✖ الفترة غير صحيحة",IF(ISNA(MATCH($G1739,Lists!$B$2:$B$7,0)),"✖ المجموعة غير صحيحة",IF(NOT(OR($H1739="",$N1739&gt;0)),"✖ Start غير صحيح",IF(NOT(OR($I1739="",$I1739="NR",$O1739&gt;0)),"✖ Current غير صحيح",IF(NOT(IF(ISNUMBER($J1739),AND($J1739&gt;=0,$J1739=INT($J1739)),FALSE())),"✖ العدد يجب أن يكون صحيحًا ≥ 0",IF(AND($F1739="Baseline",$H1739&lt;&gt;""),"⚠ Baseline: Start لا يدخل في التقدم",IF($K1739="No Start (attainment only)","ℹ تحصيل فقط (بدون Start)",IF($K1739="U – needs rule","ℹ حالة U تحتاج قاعدة معتمدة",IF($K1739="No result","ℹ بدون نتيجة (يُستبعد من التحصيل)","OK")))))))))))</f>
        <v/>
      </c>
      <c r="M1739" s="64" t="n">
        <f aca="false">IF($A1739="",0,IFERROR(MATCH($A1739,Classes!$A$6:$A$420,0),0))</f>
        <v>0</v>
      </c>
      <c r="N1739" s="64" t="n">
        <f aca="false">IF($H1739="",0,IFERROR(MATCH($H1739,GradeList,0),0))</f>
        <v>0</v>
      </c>
      <c r="O1739" s="64" t="n">
        <f aca="false">IF(OR($I1739="",$I1739="NR"),0,IFERROR(MATCH($I1739,GradeList,0),0))</f>
        <v>0</v>
      </c>
      <c r="P1739" s="64" t="n">
        <f aca="false">IF(AND($M1739&gt;0,ISNUMBER(MATCH($F1739,Lists!$A$2:$A$5,0)),ISNUMBER(MATCH($G1739,Lists!$B$2:$B$7,0)),OR($H1739="",$N1739&gt;0),OR($I1739="",$I1739="NR",$O1739&gt;0),IF(ISNUMBER($J1739),AND($J1739&gt;=0,$J1739=INT($J1739)),FALSE())),$J1739,0)</f>
        <v>0</v>
      </c>
      <c r="Q1739" s="64" t="n">
        <f aca="false">IF(AND($P1739&gt;0,$O1739&gt;0),$P1739,0)</f>
        <v>0</v>
      </c>
      <c r="R1739" s="64" t="n">
        <f aca="false">IF(AND($Q1739&gt;0,$O1739&gt;=AtRank),$Q1739,0)</f>
        <v>0</v>
      </c>
      <c r="S1739" s="64" t="n">
        <f aca="false">IF(AND($Q1739&gt;0,$O1739&gt;=AboveRank),$Q1739,0)</f>
        <v>0</v>
      </c>
      <c r="T1739" s="64" t="n">
        <f aca="false">IF($K1739="Less",$P1739,0)</f>
        <v>0</v>
      </c>
      <c r="U1739" s="64" t="n">
        <f aca="false">IF($K1739="Expected",$P1739,0)</f>
        <v>0</v>
      </c>
      <c r="V1739" s="64" t="n">
        <f aca="false">IF($K1739="Better",$P1739,0)</f>
        <v>0</v>
      </c>
      <c r="W1739" s="64" t="n">
        <f aca="false">IF($K1739="U – needs rule",$P1739,0)</f>
        <v>0</v>
      </c>
      <c r="X1739" s="64" t="n">
        <f aca="false">IF($K1739="No Start (attainment only)",$P1739,0)</f>
        <v>0</v>
      </c>
    </row>
    <row r="1740" customFormat="false" ht="15" hidden="false" customHeight="false" outlineLevel="0" collapsed="false">
      <c r="A1740" s="60"/>
      <c r="B1740" s="61" t="str">
        <f aca="false">IF($M1740=0,"",INDEX(Classes!$E$6:$E$420,$M1740))</f>
        <v/>
      </c>
      <c r="C1740" s="62" t="str">
        <f aca="false">IF($M1740=0,"",INDEX(Classes!$H$6:$H$420,$M1740))</f>
        <v/>
      </c>
      <c r="D1740" s="61" t="str">
        <f aca="false">IF($M1740=0,"",INDEX(Classes!$B$6:$B$420,$M1740))</f>
        <v/>
      </c>
      <c r="E1740" s="61" t="str">
        <f aca="false">IF($M1740=0,"",INDEX(Classes!$C$6:$C$420,$M1740))</f>
        <v/>
      </c>
      <c r="F1740" s="63"/>
      <c r="G1740" s="63"/>
      <c r="H1740" s="60"/>
      <c r="I1740" s="60"/>
      <c r="J1740" s="63"/>
      <c r="K1740" s="61" t="str">
        <f aca="false">IF($P1740=0,"",IF($F1740="Baseline","— Baseline",IF($O1740=0,"No result",IF($N1740=0,"No Start (attainment only)",IF(OR($N1740=1,$O1740=1),"U – needs rule",INDEX(MxBody,MATCH($I1740,MxCurr,0),MATCH($H1740,MxStart,0)))))))</f>
        <v/>
      </c>
      <c r="L1740" s="62" t="str">
        <f aca="false">IF(COUNTA($A1740,$F1740,$G1740,$H1740,$I1740,$J1740)=0,"",IF($M1740=0,"✖ كود الصف غير موجود",IF(ISNA(MATCH($F1740,Lists!$A$2:$A$5,0)),"✖ الفترة غير صحيحة",IF(ISNA(MATCH($G1740,Lists!$B$2:$B$7,0)),"✖ المجموعة غير صحيحة",IF(NOT(OR($H1740="",$N1740&gt;0)),"✖ Start غير صحيح",IF(NOT(OR($I1740="",$I1740="NR",$O1740&gt;0)),"✖ Current غير صحيح",IF(NOT(IF(ISNUMBER($J1740),AND($J1740&gt;=0,$J1740=INT($J1740)),FALSE())),"✖ العدد يجب أن يكون صحيحًا ≥ 0",IF(AND($F1740="Baseline",$H1740&lt;&gt;""),"⚠ Baseline: Start لا يدخل في التقدم",IF($K1740="No Start (attainment only)","ℹ تحصيل فقط (بدون Start)",IF($K1740="U – needs rule","ℹ حالة U تحتاج قاعدة معتمدة",IF($K1740="No result","ℹ بدون نتيجة (يُستبعد من التحصيل)","OK")))))))))))</f>
        <v/>
      </c>
      <c r="M1740" s="64" t="n">
        <f aca="false">IF($A1740="",0,IFERROR(MATCH($A1740,Classes!$A$6:$A$420,0),0))</f>
        <v>0</v>
      </c>
      <c r="N1740" s="64" t="n">
        <f aca="false">IF($H1740="",0,IFERROR(MATCH($H1740,GradeList,0),0))</f>
        <v>0</v>
      </c>
      <c r="O1740" s="64" t="n">
        <f aca="false">IF(OR($I1740="",$I1740="NR"),0,IFERROR(MATCH($I1740,GradeList,0),0))</f>
        <v>0</v>
      </c>
      <c r="P1740" s="64" t="n">
        <f aca="false">IF(AND($M1740&gt;0,ISNUMBER(MATCH($F1740,Lists!$A$2:$A$5,0)),ISNUMBER(MATCH($G1740,Lists!$B$2:$B$7,0)),OR($H1740="",$N1740&gt;0),OR($I1740="",$I1740="NR",$O1740&gt;0),IF(ISNUMBER($J1740),AND($J1740&gt;=0,$J1740=INT($J1740)),FALSE())),$J1740,0)</f>
        <v>0</v>
      </c>
      <c r="Q1740" s="64" t="n">
        <f aca="false">IF(AND($P1740&gt;0,$O1740&gt;0),$P1740,0)</f>
        <v>0</v>
      </c>
      <c r="R1740" s="64" t="n">
        <f aca="false">IF(AND($Q1740&gt;0,$O1740&gt;=AtRank),$Q1740,0)</f>
        <v>0</v>
      </c>
      <c r="S1740" s="64" t="n">
        <f aca="false">IF(AND($Q1740&gt;0,$O1740&gt;=AboveRank),$Q1740,0)</f>
        <v>0</v>
      </c>
      <c r="T1740" s="64" t="n">
        <f aca="false">IF($K1740="Less",$P1740,0)</f>
        <v>0</v>
      </c>
      <c r="U1740" s="64" t="n">
        <f aca="false">IF($K1740="Expected",$P1740,0)</f>
        <v>0</v>
      </c>
      <c r="V1740" s="64" t="n">
        <f aca="false">IF($K1740="Better",$P1740,0)</f>
        <v>0</v>
      </c>
      <c r="W1740" s="64" t="n">
        <f aca="false">IF($K1740="U – needs rule",$P1740,0)</f>
        <v>0</v>
      </c>
      <c r="X1740" s="64" t="n">
        <f aca="false">IF($K1740="No Start (attainment only)",$P1740,0)</f>
        <v>0</v>
      </c>
    </row>
    <row r="1741" customFormat="false" ht="15" hidden="false" customHeight="false" outlineLevel="0" collapsed="false">
      <c r="A1741" s="60"/>
      <c r="B1741" s="61" t="str">
        <f aca="false">IF($M1741=0,"",INDEX(Classes!$E$6:$E$420,$M1741))</f>
        <v/>
      </c>
      <c r="C1741" s="62" t="str">
        <f aca="false">IF($M1741=0,"",INDEX(Classes!$H$6:$H$420,$M1741))</f>
        <v/>
      </c>
      <c r="D1741" s="61" t="str">
        <f aca="false">IF($M1741=0,"",INDEX(Classes!$B$6:$B$420,$M1741))</f>
        <v/>
      </c>
      <c r="E1741" s="61" t="str">
        <f aca="false">IF($M1741=0,"",INDEX(Classes!$C$6:$C$420,$M1741))</f>
        <v/>
      </c>
      <c r="F1741" s="63"/>
      <c r="G1741" s="63"/>
      <c r="H1741" s="60"/>
      <c r="I1741" s="60"/>
      <c r="J1741" s="63"/>
      <c r="K1741" s="61" t="str">
        <f aca="false">IF($P1741=0,"",IF($F1741="Baseline","— Baseline",IF($O1741=0,"No result",IF($N1741=0,"No Start (attainment only)",IF(OR($N1741=1,$O1741=1),"U – needs rule",INDEX(MxBody,MATCH($I1741,MxCurr,0),MATCH($H1741,MxStart,0)))))))</f>
        <v/>
      </c>
      <c r="L1741" s="62" t="str">
        <f aca="false">IF(COUNTA($A1741,$F1741,$G1741,$H1741,$I1741,$J1741)=0,"",IF($M1741=0,"✖ كود الصف غير موجود",IF(ISNA(MATCH($F1741,Lists!$A$2:$A$5,0)),"✖ الفترة غير صحيحة",IF(ISNA(MATCH($G1741,Lists!$B$2:$B$7,0)),"✖ المجموعة غير صحيحة",IF(NOT(OR($H1741="",$N1741&gt;0)),"✖ Start غير صحيح",IF(NOT(OR($I1741="",$I1741="NR",$O1741&gt;0)),"✖ Current غير صحيح",IF(NOT(IF(ISNUMBER($J1741),AND($J1741&gt;=0,$J1741=INT($J1741)),FALSE())),"✖ العدد يجب أن يكون صحيحًا ≥ 0",IF(AND($F1741="Baseline",$H1741&lt;&gt;""),"⚠ Baseline: Start لا يدخل في التقدم",IF($K1741="No Start (attainment only)","ℹ تحصيل فقط (بدون Start)",IF($K1741="U – needs rule","ℹ حالة U تحتاج قاعدة معتمدة",IF($K1741="No result","ℹ بدون نتيجة (يُستبعد من التحصيل)","OK")))))))))))</f>
        <v/>
      </c>
      <c r="M1741" s="64" t="n">
        <f aca="false">IF($A1741="",0,IFERROR(MATCH($A1741,Classes!$A$6:$A$420,0),0))</f>
        <v>0</v>
      </c>
      <c r="N1741" s="64" t="n">
        <f aca="false">IF($H1741="",0,IFERROR(MATCH($H1741,GradeList,0),0))</f>
        <v>0</v>
      </c>
      <c r="O1741" s="64" t="n">
        <f aca="false">IF(OR($I1741="",$I1741="NR"),0,IFERROR(MATCH($I1741,GradeList,0),0))</f>
        <v>0</v>
      </c>
      <c r="P1741" s="64" t="n">
        <f aca="false">IF(AND($M1741&gt;0,ISNUMBER(MATCH($F1741,Lists!$A$2:$A$5,0)),ISNUMBER(MATCH($G1741,Lists!$B$2:$B$7,0)),OR($H1741="",$N1741&gt;0),OR($I1741="",$I1741="NR",$O1741&gt;0),IF(ISNUMBER($J1741),AND($J1741&gt;=0,$J1741=INT($J1741)),FALSE())),$J1741,0)</f>
        <v>0</v>
      </c>
      <c r="Q1741" s="64" t="n">
        <f aca="false">IF(AND($P1741&gt;0,$O1741&gt;0),$P1741,0)</f>
        <v>0</v>
      </c>
      <c r="R1741" s="64" t="n">
        <f aca="false">IF(AND($Q1741&gt;0,$O1741&gt;=AtRank),$Q1741,0)</f>
        <v>0</v>
      </c>
      <c r="S1741" s="64" t="n">
        <f aca="false">IF(AND($Q1741&gt;0,$O1741&gt;=AboveRank),$Q1741,0)</f>
        <v>0</v>
      </c>
      <c r="T1741" s="64" t="n">
        <f aca="false">IF($K1741="Less",$P1741,0)</f>
        <v>0</v>
      </c>
      <c r="U1741" s="64" t="n">
        <f aca="false">IF($K1741="Expected",$P1741,0)</f>
        <v>0</v>
      </c>
      <c r="V1741" s="64" t="n">
        <f aca="false">IF($K1741="Better",$P1741,0)</f>
        <v>0</v>
      </c>
      <c r="W1741" s="64" t="n">
        <f aca="false">IF($K1741="U – needs rule",$P1741,0)</f>
        <v>0</v>
      </c>
      <c r="X1741" s="64" t="n">
        <f aca="false">IF($K1741="No Start (attainment only)",$P1741,0)</f>
        <v>0</v>
      </c>
    </row>
    <row r="1742" customFormat="false" ht="15" hidden="false" customHeight="false" outlineLevel="0" collapsed="false">
      <c r="A1742" s="60"/>
      <c r="B1742" s="61" t="str">
        <f aca="false">IF($M1742=0,"",INDEX(Classes!$E$6:$E$420,$M1742))</f>
        <v/>
      </c>
      <c r="C1742" s="62" t="str">
        <f aca="false">IF($M1742=0,"",INDEX(Classes!$H$6:$H$420,$M1742))</f>
        <v/>
      </c>
      <c r="D1742" s="61" t="str">
        <f aca="false">IF($M1742=0,"",INDEX(Classes!$B$6:$B$420,$M1742))</f>
        <v/>
      </c>
      <c r="E1742" s="61" t="str">
        <f aca="false">IF($M1742=0,"",INDEX(Classes!$C$6:$C$420,$M1742))</f>
        <v/>
      </c>
      <c r="F1742" s="63"/>
      <c r="G1742" s="63"/>
      <c r="H1742" s="60"/>
      <c r="I1742" s="60"/>
      <c r="J1742" s="63"/>
      <c r="K1742" s="61" t="str">
        <f aca="false">IF($P1742=0,"",IF($F1742="Baseline","— Baseline",IF($O1742=0,"No result",IF($N1742=0,"No Start (attainment only)",IF(OR($N1742=1,$O1742=1),"U – needs rule",INDEX(MxBody,MATCH($I1742,MxCurr,0),MATCH($H1742,MxStart,0)))))))</f>
        <v/>
      </c>
      <c r="L1742" s="62" t="str">
        <f aca="false">IF(COUNTA($A1742,$F1742,$G1742,$H1742,$I1742,$J1742)=0,"",IF($M1742=0,"✖ كود الصف غير موجود",IF(ISNA(MATCH($F1742,Lists!$A$2:$A$5,0)),"✖ الفترة غير صحيحة",IF(ISNA(MATCH($G1742,Lists!$B$2:$B$7,0)),"✖ المجموعة غير صحيحة",IF(NOT(OR($H1742="",$N1742&gt;0)),"✖ Start غير صحيح",IF(NOT(OR($I1742="",$I1742="NR",$O1742&gt;0)),"✖ Current غير صحيح",IF(NOT(IF(ISNUMBER($J1742),AND($J1742&gt;=0,$J1742=INT($J1742)),FALSE())),"✖ العدد يجب أن يكون صحيحًا ≥ 0",IF(AND($F1742="Baseline",$H1742&lt;&gt;""),"⚠ Baseline: Start لا يدخل في التقدم",IF($K1742="No Start (attainment only)","ℹ تحصيل فقط (بدون Start)",IF($K1742="U – needs rule","ℹ حالة U تحتاج قاعدة معتمدة",IF($K1742="No result","ℹ بدون نتيجة (يُستبعد من التحصيل)","OK")))))))))))</f>
        <v/>
      </c>
      <c r="M1742" s="64" t="n">
        <f aca="false">IF($A1742="",0,IFERROR(MATCH($A1742,Classes!$A$6:$A$420,0),0))</f>
        <v>0</v>
      </c>
      <c r="N1742" s="64" t="n">
        <f aca="false">IF($H1742="",0,IFERROR(MATCH($H1742,GradeList,0),0))</f>
        <v>0</v>
      </c>
      <c r="O1742" s="64" t="n">
        <f aca="false">IF(OR($I1742="",$I1742="NR"),0,IFERROR(MATCH($I1742,GradeList,0),0))</f>
        <v>0</v>
      </c>
      <c r="P1742" s="64" t="n">
        <f aca="false">IF(AND($M1742&gt;0,ISNUMBER(MATCH($F1742,Lists!$A$2:$A$5,0)),ISNUMBER(MATCH($G1742,Lists!$B$2:$B$7,0)),OR($H1742="",$N1742&gt;0),OR($I1742="",$I1742="NR",$O1742&gt;0),IF(ISNUMBER($J1742),AND($J1742&gt;=0,$J1742=INT($J1742)),FALSE())),$J1742,0)</f>
        <v>0</v>
      </c>
      <c r="Q1742" s="64" t="n">
        <f aca="false">IF(AND($P1742&gt;0,$O1742&gt;0),$P1742,0)</f>
        <v>0</v>
      </c>
      <c r="R1742" s="64" t="n">
        <f aca="false">IF(AND($Q1742&gt;0,$O1742&gt;=AtRank),$Q1742,0)</f>
        <v>0</v>
      </c>
      <c r="S1742" s="64" t="n">
        <f aca="false">IF(AND($Q1742&gt;0,$O1742&gt;=AboveRank),$Q1742,0)</f>
        <v>0</v>
      </c>
      <c r="T1742" s="64" t="n">
        <f aca="false">IF($K1742="Less",$P1742,0)</f>
        <v>0</v>
      </c>
      <c r="U1742" s="64" t="n">
        <f aca="false">IF($K1742="Expected",$P1742,0)</f>
        <v>0</v>
      </c>
      <c r="V1742" s="64" t="n">
        <f aca="false">IF($K1742="Better",$P1742,0)</f>
        <v>0</v>
      </c>
      <c r="W1742" s="64" t="n">
        <f aca="false">IF($K1742="U – needs rule",$P1742,0)</f>
        <v>0</v>
      </c>
      <c r="X1742" s="64" t="n">
        <f aca="false">IF($K1742="No Start (attainment only)",$P1742,0)</f>
        <v>0</v>
      </c>
    </row>
    <row r="1743" customFormat="false" ht="15" hidden="false" customHeight="false" outlineLevel="0" collapsed="false">
      <c r="A1743" s="60"/>
      <c r="B1743" s="61" t="str">
        <f aca="false">IF($M1743=0,"",INDEX(Classes!$E$6:$E$420,$M1743))</f>
        <v/>
      </c>
      <c r="C1743" s="62" t="str">
        <f aca="false">IF($M1743=0,"",INDEX(Classes!$H$6:$H$420,$M1743))</f>
        <v/>
      </c>
      <c r="D1743" s="61" t="str">
        <f aca="false">IF($M1743=0,"",INDEX(Classes!$B$6:$B$420,$M1743))</f>
        <v/>
      </c>
      <c r="E1743" s="61" t="str">
        <f aca="false">IF($M1743=0,"",INDEX(Classes!$C$6:$C$420,$M1743))</f>
        <v/>
      </c>
      <c r="F1743" s="63"/>
      <c r="G1743" s="63"/>
      <c r="H1743" s="60"/>
      <c r="I1743" s="60"/>
      <c r="J1743" s="63"/>
      <c r="K1743" s="61" t="str">
        <f aca="false">IF($P1743=0,"",IF($F1743="Baseline","— Baseline",IF($O1743=0,"No result",IF($N1743=0,"No Start (attainment only)",IF(OR($N1743=1,$O1743=1),"U – needs rule",INDEX(MxBody,MATCH($I1743,MxCurr,0),MATCH($H1743,MxStart,0)))))))</f>
        <v/>
      </c>
      <c r="L1743" s="62" t="str">
        <f aca="false">IF(COUNTA($A1743,$F1743,$G1743,$H1743,$I1743,$J1743)=0,"",IF($M1743=0,"✖ كود الصف غير موجود",IF(ISNA(MATCH($F1743,Lists!$A$2:$A$5,0)),"✖ الفترة غير صحيحة",IF(ISNA(MATCH($G1743,Lists!$B$2:$B$7,0)),"✖ المجموعة غير صحيحة",IF(NOT(OR($H1743="",$N1743&gt;0)),"✖ Start غير صحيح",IF(NOT(OR($I1743="",$I1743="NR",$O1743&gt;0)),"✖ Current غير صحيح",IF(NOT(IF(ISNUMBER($J1743),AND($J1743&gt;=0,$J1743=INT($J1743)),FALSE())),"✖ العدد يجب أن يكون صحيحًا ≥ 0",IF(AND($F1743="Baseline",$H1743&lt;&gt;""),"⚠ Baseline: Start لا يدخل في التقدم",IF($K1743="No Start (attainment only)","ℹ تحصيل فقط (بدون Start)",IF($K1743="U – needs rule","ℹ حالة U تحتاج قاعدة معتمدة",IF($K1743="No result","ℹ بدون نتيجة (يُستبعد من التحصيل)","OK")))))))))))</f>
        <v/>
      </c>
      <c r="M1743" s="64" t="n">
        <f aca="false">IF($A1743="",0,IFERROR(MATCH($A1743,Classes!$A$6:$A$420,0),0))</f>
        <v>0</v>
      </c>
      <c r="N1743" s="64" t="n">
        <f aca="false">IF($H1743="",0,IFERROR(MATCH($H1743,GradeList,0),0))</f>
        <v>0</v>
      </c>
      <c r="O1743" s="64" t="n">
        <f aca="false">IF(OR($I1743="",$I1743="NR"),0,IFERROR(MATCH($I1743,GradeList,0),0))</f>
        <v>0</v>
      </c>
      <c r="P1743" s="64" t="n">
        <f aca="false">IF(AND($M1743&gt;0,ISNUMBER(MATCH($F1743,Lists!$A$2:$A$5,0)),ISNUMBER(MATCH($G1743,Lists!$B$2:$B$7,0)),OR($H1743="",$N1743&gt;0),OR($I1743="",$I1743="NR",$O1743&gt;0),IF(ISNUMBER($J1743),AND($J1743&gt;=0,$J1743=INT($J1743)),FALSE())),$J1743,0)</f>
        <v>0</v>
      </c>
      <c r="Q1743" s="64" t="n">
        <f aca="false">IF(AND($P1743&gt;0,$O1743&gt;0),$P1743,0)</f>
        <v>0</v>
      </c>
      <c r="R1743" s="64" t="n">
        <f aca="false">IF(AND($Q1743&gt;0,$O1743&gt;=AtRank),$Q1743,0)</f>
        <v>0</v>
      </c>
      <c r="S1743" s="64" t="n">
        <f aca="false">IF(AND($Q1743&gt;0,$O1743&gt;=AboveRank),$Q1743,0)</f>
        <v>0</v>
      </c>
      <c r="T1743" s="64" t="n">
        <f aca="false">IF($K1743="Less",$P1743,0)</f>
        <v>0</v>
      </c>
      <c r="U1743" s="64" t="n">
        <f aca="false">IF($K1743="Expected",$P1743,0)</f>
        <v>0</v>
      </c>
      <c r="V1743" s="64" t="n">
        <f aca="false">IF($K1743="Better",$P1743,0)</f>
        <v>0</v>
      </c>
      <c r="W1743" s="64" t="n">
        <f aca="false">IF($K1743="U – needs rule",$P1743,0)</f>
        <v>0</v>
      </c>
      <c r="X1743" s="64" t="n">
        <f aca="false">IF($K1743="No Start (attainment only)",$P1743,0)</f>
        <v>0</v>
      </c>
    </row>
    <row r="1744" customFormat="false" ht="15" hidden="false" customHeight="false" outlineLevel="0" collapsed="false">
      <c r="A1744" s="60"/>
      <c r="B1744" s="61" t="str">
        <f aca="false">IF($M1744=0,"",INDEX(Classes!$E$6:$E$420,$M1744))</f>
        <v/>
      </c>
      <c r="C1744" s="62" t="str">
        <f aca="false">IF($M1744=0,"",INDEX(Classes!$H$6:$H$420,$M1744))</f>
        <v/>
      </c>
      <c r="D1744" s="61" t="str">
        <f aca="false">IF($M1744=0,"",INDEX(Classes!$B$6:$B$420,$M1744))</f>
        <v/>
      </c>
      <c r="E1744" s="61" t="str">
        <f aca="false">IF($M1744=0,"",INDEX(Classes!$C$6:$C$420,$M1744))</f>
        <v/>
      </c>
      <c r="F1744" s="63"/>
      <c r="G1744" s="63"/>
      <c r="H1744" s="60"/>
      <c r="I1744" s="60"/>
      <c r="J1744" s="63"/>
      <c r="K1744" s="61" t="str">
        <f aca="false">IF($P1744=0,"",IF($F1744="Baseline","— Baseline",IF($O1744=0,"No result",IF($N1744=0,"No Start (attainment only)",IF(OR($N1744=1,$O1744=1),"U – needs rule",INDEX(MxBody,MATCH($I1744,MxCurr,0),MATCH($H1744,MxStart,0)))))))</f>
        <v/>
      </c>
      <c r="L1744" s="62" t="str">
        <f aca="false">IF(COUNTA($A1744,$F1744,$G1744,$H1744,$I1744,$J1744)=0,"",IF($M1744=0,"✖ كود الصف غير موجود",IF(ISNA(MATCH($F1744,Lists!$A$2:$A$5,0)),"✖ الفترة غير صحيحة",IF(ISNA(MATCH($G1744,Lists!$B$2:$B$7,0)),"✖ المجموعة غير صحيحة",IF(NOT(OR($H1744="",$N1744&gt;0)),"✖ Start غير صحيح",IF(NOT(OR($I1744="",$I1744="NR",$O1744&gt;0)),"✖ Current غير صحيح",IF(NOT(IF(ISNUMBER($J1744),AND($J1744&gt;=0,$J1744=INT($J1744)),FALSE())),"✖ العدد يجب أن يكون صحيحًا ≥ 0",IF(AND($F1744="Baseline",$H1744&lt;&gt;""),"⚠ Baseline: Start لا يدخل في التقدم",IF($K1744="No Start (attainment only)","ℹ تحصيل فقط (بدون Start)",IF($K1744="U – needs rule","ℹ حالة U تحتاج قاعدة معتمدة",IF($K1744="No result","ℹ بدون نتيجة (يُستبعد من التحصيل)","OK")))))))))))</f>
        <v/>
      </c>
      <c r="M1744" s="64" t="n">
        <f aca="false">IF($A1744="",0,IFERROR(MATCH($A1744,Classes!$A$6:$A$420,0),0))</f>
        <v>0</v>
      </c>
      <c r="N1744" s="64" t="n">
        <f aca="false">IF($H1744="",0,IFERROR(MATCH($H1744,GradeList,0),0))</f>
        <v>0</v>
      </c>
      <c r="O1744" s="64" t="n">
        <f aca="false">IF(OR($I1744="",$I1744="NR"),0,IFERROR(MATCH($I1744,GradeList,0),0))</f>
        <v>0</v>
      </c>
      <c r="P1744" s="64" t="n">
        <f aca="false">IF(AND($M1744&gt;0,ISNUMBER(MATCH($F1744,Lists!$A$2:$A$5,0)),ISNUMBER(MATCH($G1744,Lists!$B$2:$B$7,0)),OR($H1744="",$N1744&gt;0),OR($I1744="",$I1744="NR",$O1744&gt;0),IF(ISNUMBER($J1744),AND($J1744&gt;=0,$J1744=INT($J1744)),FALSE())),$J1744,0)</f>
        <v>0</v>
      </c>
      <c r="Q1744" s="64" t="n">
        <f aca="false">IF(AND($P1744&gt;0,$O1744&gt;0),$P1744,0)</f>
        <v>0</v>
      </c>
      <c r="R1744" s="64" t="n">
        <f aca="false">IF(AND($Q1744&gt;0,$O1744&gt;=AtRank),$Q1744,0)</f>
        <v>0</v>
      </c>
      <c r="S1744" s="64" t="n">
        <f aca="false">IF(AND($Q1744&gt;0,$O1744&gt;=AboveRank),$Q1744,0)</f>
        <v>0</v>
      </c>
      <c r="T1744" s="64" t="n">
        <f aca="false">IF($K1744="Less",$P1744,0)</f>
        <v>0</v>
      </c>
      <c r="U1744" s="64" t="n">
        <f aca="false">IF($K1744="Expected",$P1744,0)</f>
        <v>0</v>
      </c>
      <c r="V1744" s="64" t="n">
        <f aca="false">IF($K1744="Better",$P1744,0)</f>
        <v>0</v>
      </c>
      <c r="W1744" s="64" t="n">
        <f aca="false">IF($K1744="U – needs rule",$P1744,0)</f>
        <v>0</v>
      </c>
      <c r="X1744" s="64" t="n">
        <f aca="false">IF($K1744="No Start (attainment only)",$P1744,0)</f>
        <v>0</v>
      </c>
    </row>
    <row r="1745" customFormat="false" ht="15" hidden="false" customHeight="false" outlineLevel="0" collapsed="false">
      <c r="A1745" s="60"/>
      <c r="B1745" s="61" t="str">
        <f aca="false">IF($M1745=0,"",INDEX(Classes!$E$6:$E$420,$M1745))</f>
        <v/>
      </c>
      <c r="C1745" s="62" t="str">
        <f aca="false">IF($M1745=0,"",INDEX(Classes!$H$6:$H$420,$M1745))</f>
        <v/>
      </c>
      <c r="D1745" s="61" t="str">
        <f aca="false">IF($M1745=0,"",INDEX(Classes!$B$6:$B$420,$M1745))</f>
        <v/>
      </c>
      <c r="E1745" s="61" t="str">
        <f aca="false">IF($M1745=0,"",INDEX(Classes!$C$6:$C$420,$M1745))</f>
        <v/>
      </c>
      <c r="F1745" s="63"/>
      <c r="G1745" s="63"/>
      <c r="H1745" s="60"/>
      <c r="I1745" s="60"/>
      <c r="J1745" s="63"/>
      <c r="K1745" s="61" t="str">
        <f aca="false">IF($P1745=0,"",IF($F1745="Baseline","— Baseline",IF($O1745=0,"No result",IF($N1745=0,"No Start (attainment only)",IF(OR($N1745=1,$O1745=1),"U – needs rule",INDEX(MxBody,MATCH($I1745,MxCurr,0),MATCH($H1745,MxStart,0)))))))</f>
        <v/>
      </c>
      <c r="L1745" s="62" t="str">
        <f aca="false">IF(COUNTA($A1745,$F1745,$G1745,$H1745,$I1745,$J1745)=0,"",IF($M1745=0,"✖ كود الصف غير موجود",IF(ISNA(MATCH($F1745,Lists!$A$2:$A$5,0)),"✖ الفترة غير صحيحة",IF(ISNA(MATCH($G1745,Lists!$B$2:$B$7,0)),"✖ المجموعة غير صحيحة",IF(NOT(OR($H1745="",$N1745&gt;0)),"✖ Start غير صحيح",IF(NOT(OR($I1745="",$I1745="NR",$O1745&gt;0)),"✖ Current غير صحيح",IF(NOT(IF(ISNUMBER($J1745),AND($J1745&gt;=0,$J1745=INT($J1745)),FALSE())),"✖ العدد يجب أن يكون صحيحًا ≥ 0",IF(AND($F1745="Baseline",$H1745&lt;&gt;""),"⚠ Baseline: Start لا يدخل في التقدم",IF($K1745="No Start (attainment only)","ℹ تحصيل فقط (بدون Start)",IF($K1745="U – needs rule","ℹ حالة U تحتاج قاعدة معتمدة",IF($K1745="No result","ℹ بدون نتيجة (يُستبعد من التحصيل)","OK")))))))))))</f>
        <v/>
      </c>
      <c r="M1745" s="64" t="n">
        <f aca="false">IF($A1745="",0,IFERROR(MATCH($A1745,Classes!$A$6:$A$420,0),0))</f>
        <v>0</v>
      </c>
      <c r="N1745" s="64" t="n">
        <f aca="false">IF($H1745="",0,IFERROR(MATCH($H1745,GradeList,0),0))</f>
        <v>0</v>
      </c>
      <c r="O1745" s="64" t="n">
        <f aca="false">IF(OR($I1745="",$I1745="NR"),0,IFERROR(MATCH($I1745,GradeList,0),0))</f>
        <v>0</v>
      </c>
      <c r="P1745" s="64" t="n">
        <f aca="false">IF(AND($M1745&gt;0,ISNUMBER(MATCH($F1745,Lists!$A$2:$A$5,0)),ISNUMBER(MATCH($G1745,Lists!$B$2:$B$7,0)),OR($H1745="",$N1745&gt;0),OR($I1745="",$I1745="NR",$O1745&gt;0),IF(ISNUMBER($J1745),AND($J1745&gt;=0,$J1745=INT($J1745)),FALSE())),$J1745,0)</f>
        <v>0</v>
      </c>
      <c r="Q1745" s="64" t="n">
        <f aca="false">IF(AND($P1745&gt;0,$O1745&gt;0),$P1745,0)</f>
        <v>0</v>
      </c>
      <c r="R1745" s="64" t="n">
        <f aca="false">IF(AND($Q1745&gt;0,$O1745&gt;=AtRank),$Q1745,0)</f>
        <v>0</v>
      </c>
      <c r="S1745" s="64" t="n">
        <f aca="false">IF(AND($Q1745&gt;0,$O1745&gt;=AboveRank),$Q1745,0)</f>
        <v>0</v>
      </c>
      <c r="T1745" s="64" t="n">
        <f aca="false">IF($K1745="Less",$P1745,0)</f>
        <v>0</v>
      </c>
      <c r="U1745" s="64" t="n">
        <f aca="false">IF($K1745="Expected",$P1745,0)</f>
        <v>0</v>
      </c>
      <c r="V1745" s="64" t="n">
        <f aca="false">IF($K1745="Better",$P1745,0)</f>
        <v>0</v>
      </c>
      <c r="W1745" s="64" t="n">
        <f aca="false">IF($K1745="U – needs rule",$P1745,0)</f>
        <v>0</v>
      </c>
      <c r="X1745" s="64" t="n">
        <f aca="false">IF($K1745="No Start (attainment only)",$P1745,0)</f>
        <v>0</v>
      </c>
    </row>
    <row r="1746" customFormat="false" ht="15" hidden="false" customHeight="false" outlineLevel="0" collapsed="false">
      <c r="A1746" s="60"/>
      <c r="B1746" s="61" t="str">
        <f aca="false">IF($M1746=0,"",INDEX(Classes!$E$6:$E$420,$M1746))</f>
        <v/>
      </c>
      <c r="C1746" s="62" t="str">
        <f aca="false">IF($M1746=0,"",INDEX(Classes!$H$6:$H$420,$M1746))</f>
        <v/>
      </c>
      <c r="D1746" s="61" t="str">
        <f aca="false">IF($M1746=0,"",INDEX(Classes!$B$6:$B$420,$M1746))</f>
        <v/>
      </c>
      <c r="E1746" s="61" t="str">
        <f aca="false">IF($M1746=0,"",INDEX(Classes!$C$6:$C$420,$M1746))</f>
        <v/>
      </c>
      <c r="F1746" s="63"/>
      <c r="G1746" s="63"/>
      <c r="H1746" s="60"/>
      <c r="I1746" s="60"/>
      <c r="J1746" s="63"/>
      <c r="K1746" s="61" t="str">
        <f aca="false">IF($P1746=0,"",IF($F1746="Baseline","— Baseline",IF($O1746=0,"No result",IF($N1746=0,"No Start (attainment only)",IF(OR($N1746=1,$O1746=1),"U – needs rule",INDEX(MxBody,MATCH($I1746,MxCurr,0),MATCH($H1746,MxStart,0)))))))</f>
        <v/>
      </c>
      <c r="L1746" s="62" t="str">
        <f aca="false">IF(COUNTA($A1746,$F1746,$G1746,$H1746,$I1746,$J1746)=0,"",IF($M1746=0,"✖ كود الصف غير موجود",IF(ISNA(MATCH($F1746,Lists!$A$2:$A$5,0)),"✖ الفترة غير صحيحة",IF(ISNA(MATCH($G1746,Lists!$B$2:$B$7,0)),"✖ المجموعة غير صحيحة",IF(NOT(OR($H1746="",$N1746&gt;0)),"✖ Start غير صحيح",IF(NOT(OR($I1746="",$I1746="NR",$O1746&gt;0)),"✖ Current غير صحيح",IF(NOT(IF(ISNUMBER($J1746),AND($J1746&gt;=0,$J1746=INT($J1746)),FALSE())),"✖ العدد يجب أن يكون صحيحًا ≥ 0",IF(AND($F1746="Baseline",$H1746&lt;&gt;""),"⚠ Baseline: Start لا يدخل في التقدم",IF($K1746="No Start (attainment only)","ℹ تحصيل فقط (بدون Start)",IF($K1746="U – needs rule","ℹ حالة U تحتاج قاعدة معتمدة",IF($K1746="No result","ℹ بدون نتيجة (يُستبعد من التحصيل)","OK")))))))))))</f>
        <v/>
      </c>
      <c r="M1746" s="64" t="n">
        <f aca="false">IF($A1746="",0,IFERROR(MATCH($A1746,Classes!$A$6:$A$420,0),0))</f>
        <v>0</v>
      </c>
      <c r="N1746" s="64" t="n">
        <f aca="false">IF($H1746="",0,IFERROR(MATCH($H1746,GradeList,0),0))</f>
        <v>0</v>
      </c>
      <c r="O1746" s="64" t="n">
        <f aca="false">IF(OR($I1746="",$I1746="NR"),0,IFERROR(MATCH($I1746,GradeList,0),0))</f>
        <v>0</v>
      </c>
      <c r="P1746" s="64" t="n">
        <f aca="false">IF(AND($M1746&gt;0,ISNUMBER(MATCH($F1746,Lists!$A$2:$A$5,0)),ISNUMBER(MATCH($G1746,Lists!$B$2:$B$7,0)),OR($H1746="",$N1746&gt;0),OR($I1746="",$I1746="NR",$O1746&gt;0),IF(ISNUMBER($J1746),AND($J1746&gt;=0,$J1746=INT($J1746)),FALSE())),$J1746,0)</f>
        <v>0</v>
      </c>
      <c r="Q1746" s="64" t="n">
        <f aca="false">IF(AND($P1746&gt;0,$O1746&gt;0),$P1746,0)</f>
        <v>0</v>
      </c>
      <c r="R1746" s="64" t="n">
        <f aca="false">IF(AND($Q1746&gt;0,$O1746&gt;=AtRank),$Q1746,0)</f>
        <v>0</v>
      </c>
      <c r="S1746" s="64" t="n">
        <f aca="false">IF(AND($Q1746&gt;0,$O1746&gt;=AboveRank),$Q1746,0)</f>
        <v>0</v>
      </c>
      <c r="T1746" s="64" t="n">
        <f aca="false">IF($K1746="Less",$P1746,0)</f>
        <v>0</v>
      </c>
      <c r="U1746" s="64" t="n">
        <f aca="false">IF($K1746="Expected",$P1746,0)</f>
        <v>0</v>
      </c>
      <c r="V1746" s="64" t="n">
        <f aca="false">IF($K1746="Better",$P1746,0)</f>
        <v>0</v>
      </c>
      <c r="W1746" s="64" t="n">
        <f aca="false">IF($K1746="U – needs rule",$P1746,0)</f>
        <v>0</v>
      </c>
      <c r="X1746" s="64" t="n">
        <f aca="false">IF($K1746="No Start (attainment only)",$P1746,0)</f>
        <v>0</v>
      </c>
    </row>
    <row r="1747" customFormat="false" ht="15" hidden="false" customHeight="false" outlineLevel="0" collapsed="false">
      <c r="A1747" s="60"/>
      <c r="B1747" s="61" t="str">
        <f aca="false">IF($M1747=0,"",INDEX(Classes!$E$6:$E$420,$M1747))</f>
        <v/>
      </c>
      <c r="C1747" s="62" t="str">
        <f aca="false">IF($M1747=0,"",INDEX(Classes!$H$6:$H$420,$M1747))</f>
        <v/>
      </c>
      <c r="D1747" s="61" t="str">
        <f aca="false">IF($M1747=0,"",INDEX(Classes!$B$6:$B$420,$M1747))</f>
        <v/>
      </c>
      <c r="E1747" s="61" t="str">
        <f aca="false">IF($M1747=0,"",INDEX(Classes!$C$6:$C$420,$M1747))</f>
        <v/>
      </c>
      <c r="F1747" s="63"/>
      <c r="G1747" s="63"/>
      <c r="H1747" s="60"/>
      <c r="I1747" s="60"/>
      <c r="J1747" s="63"/>
      <c r="K1747" s="61" t="str">
        <f aca="false">IF($P1747=0,"",IF($F1747="Baseline","— Baseline",IF($O1747=0,"No result",IF($N1747=0,"No Start (attainment only)",IF(OR($N1747=1,$O1747=1),"U – needs rule",INDEX(MxBody,MATCH($I1747,MxCurr,0),MATCH($H1747,MxStart,0)))))))</f>
        <v/>
      </c>
      <c r="L1747" s="62" t="str">
        <f aca="false">IF(COUNTA($A1747,$F1747,$G1747,$H1747,$I1747,$J1747)=0,"",IF($M1747=0,"✖ كود الصف غير موجود",IF(ISNA(MATCH($F1747,Lists!$A$2:$A$5,0)),"✖ الفترة غير صحيحة",IF(ISNA(MATCH($G1747,Lists!$B$2:$B$7,0)),"✖ المجموعة غير صحيحة",IF(NOT(OR($H1747="",$N1747&gt;0)),"✖ Start غير صحيح",IF(NOT(OR($I1747="",$I1747="NR",$O1747&gt;0)),"✖ Current غير صحيح",IF(NOT(IF(ISNUMBER($J1747),AND($J1747&gt;=0,$J1747=INT($J1747)),FALSE())),"✖ العدد يجب أن يكون صحيحًا ≥ 0",IF(AND($F1747="Baseline",$H1747&lt;&gt;""),"⚠ Baseline: Start لا يدخل في التقدم",IF($K1747="No Start (attainment only)","ℹ تحصيل فقط (بدون Start)",IF($K1747="U – needs rule","ℹ حالة U تحتاج قاعدة معتمدة",IF($K1747="No result","ℹ بدون نتيجة (يُستبعد من التحصيل)","OK")))))))))))</f>
        <v/>
      </c>
      <c r="M1747" s="64" t="n">
        <f aca="false">IF($A1747="",0,IFERROR(MATCH($A1747,Classes!$A$6:$A$420,0),0))</f>
        <v>0</v>
      </c>
      <c r="N1747" s="64" t="n">
        <f aca="false">IF($H1747="",0,IFERROR(MATCH($H1747,GradeList,0),0))</f>
        <v>0</v>
      </c>
      <c r="O1747" s="64" t="n">
        <f aca="false">IF(OR($I1747="",$I1747="NR"),0,IFERROR(MATCH($I1747,GradeList,0),0))</f>
        <v>0</v>
      </c>
      <c r="P1747" s="64" t="n">
        <f aca="false">IF(AND($M1747&gt;0,ISNUMBER(MATCH($F1747,Lists!$A$2:$A$5,0)),ISNUMBER(MATCH($G1747,Lists!$B$2:$B$7,0)),OR($H1747="",$N1747&gt;0),OR($I1747="",$I1747="NR",$O1747&gt;0),IF(ISNUMBER($J1747),AND($J1747&gt;=0,$J1747=INT($J1747)),FALSE())),$J1747,0)</f>
        <v>0</v>
      </c>
      <c r="Q1747" s="64" t="n">
        <f aca="false">IF(AND($P1747&gt;0,$O1747&gt;0),$P1747,0)</f>
        <v>0</v>
      </c>
      <c r="R1747" s="64" t="n">
        <f aca="false">IF(AND($Q1747&gt;0,$O1747&gt;=AtRank),$Q1747,0)</f>
        <v>0</v>
      </c>
      <c r="S1747" s="64" t="n">
        <f aca="false">IF(AND($Q1747&gt;0,$O1747&gt;=AboveRank),$Q1747,0)</f>
        <v>0</v>
      </c>
      <c r="T1747" s="64" t="n">
        <f aca="false">IF($K1747="Less",$P1747,0)</f>
        <v>0</v>
      </c>
      <c r="U1747" s="64" t="n">
        <f aca="false">IF($K1747="Expected",$P1747,0)</f>
        <v>0</v>
      </c>
      <c r="V1747" s="64" t="n">
        <f aca="false">IF($K1747="Better",$P1747,0)</f>
        <v>0</v>
      </c>
      <c r="W1747" s="64" t="n">
        <f aca="false">IF($K1747="U – needs rule",$P1747,0)</f>
        <v>0</v>
      </c>
      <c r="X1747" s="64" t="n">
        <f aca="false">IF($K1747="No Start (attainment only)",$P1747,0)</f>
        <v>0</v>
      </c>
    </row>
    <row r="1748" customFormat="false" ht="15" hidden="false" customHeight="false" outlineLevel="0" collapsed="false">
      <c r="A1748" s="60"/>
      <c r="B1748" s="61" t="str">
        <f aca="false">IF($M1748=0,"",INDEX(Classes!$E$6:$E$420,$M1748))</f>
        <v/>
      </c>
      <c r="C1748" s="62" t="str">
        <f aca="false">IF($M1748=0,"",INDEX(Classes!$H$6:$H$420,$M1748))</f>
        <v/>
      </c>
      <c r="D1748" s="61" t="str">
        <f aca="false">IF($M1748=0,"",INDEX(Classes!$B$6:$B$420,$M1748))</f>
        <v/>
      </c>
      <c r="E1748" s="61" t="str">
        <f aca="false">IF($M1748=0,"",INDEX(Classes!$C$6:$C$420,$M1748))</f>
        <v/>
      </c>
      <c r="F1748" s="63"/>
      <c r="G1748" s="63"/>
      <c r="H1748" s="60"/>
      <c r="I1748" s="60"/>
      <c r="J1748" s="63"/>
      <c r="K1748" s="61" t="str">
        <f aca="false">IF($P1748=0,"",IF($F1748="Baseline","— Baseline",IF($O1748=0,"No result",IF($N1748=0,"No Start (attainment only)",IF(OR($N1748=1,$O1748=1),"U – needs rule",INDEX(MxBody,MATCH($I1748,MxCurr,0),MATCH($H1748,MxStart,0)))))))</f>
        <v/>
      </c>
      <c r="L1748" s="62" t="str">
        <f aca="false">IF(COUNTA($A1748,$F1748,$G1748,$H1748,$I1748,$J1748)=0,"",IF($M1748=0,"✖ كود الصف غير موجود",IF(ISNA(MATCH($F1748,Lists!$A$2:$A$5,0)),"✖ الفترة غير صحيحة",IF(ISNA(MATCH($G1748,Lists!$B$2:$B$7,0)),"✖ المجموعة غير صحيحة",IF(NOT(OR($H1748="",$N1748&gt;0)),"✖ Start غير صحيح",IF(NOT(OR($I1748="",$I1748="NR",$O1748&gt;0)),"✖ Current غير صحيح",IF(NOT(IF(ISNUMBER($J1748),AND($J1748&gt;=0,$J1748=INT($J1748)),FALSE())),"✖ العدد يجب أن يكون صحيحًا ≥ 0",IF(AND($F1748="Baseline",$H1748&lt;&gt;""),"⚠ Baseline: Start لا يدخل في التقدم",IF($K1748="No Start (attainment only)","ℹ تحصيل فقط (بدون Start)",IF($K1748="U – needs rule","ℹ حالة U تحتاج قاعدة معتمدة",IF($K1748="No result","ℹ بدون نتيجة (يُستبعد من التحصيل)","OK")))))))))))</f>
        <v/>
      </c>
      <c r="M1748" s="64" t="n">
        <f aca="false">IF($A1748="",0,IFERROR(MATCH($A1748,Classes!$A$6:$A$420,0),0))</f>
        <v>0</v>
      </c>
      <c r="N1748" s="64" t="n">
        <f aca="false">IF($H1748="",0,IFERROR(MATCH($H1748,GradeList,0),0))</f>
        <v>0</v>
      </c>
      <c r="O1748" s="64" t="n">
        <f aca="false">IF(OR($I1748="",$I1748="NR"),0,IFERROR(MATCH($I1748,GradeList,0),0))</f>
        <v>0</v>
      </c>
      <c r="P1748" s="64" t="n">
        <f aca="false">IF(AND($M1748&gt;0,ISNUMBER(MATCH($F1748,Lists!$A$2:$A$5,0)),ISNUMBER(MATCH($G1748,Lists!$B$2:$B$7,0)),OR($H1748="",$N1748&gt;0),OR($I1748="",$I1748="NR",$O1748&gt;0),IF(ISNUMBER($J1748),AND($J1748&gt;=0,$J1748=INT($J1748)),FALSE())),$J1748,0)</f>
        <v>0</v>
      </c>
      <c r="Q1748" s="64" t="n">
        <f aca="false">IF(AND($P1748&gt;0,$O1748&gt;0),$P1748,0)</f>
        <v>0</v>
      </c>
      <c r="R1748" s="64" t="n">
        <f aca="false">IF(AND($Q1748&gt;0,$O1748&gt;=AtRank),$Q1748,0)</f>
        <v>0</v>
      </c>
      <c r="S1748" s="64" t="n">
        <f aca="false">IF(AND($Q1748&gt;0,$O1748&gt;=AboveRank),$Q1748,0)</f>
        <v>0</v>
      </c>
      <c r="T1748" s="64" t="n">
        <f aca="false">IF($K1748="Less",$P1748,0)</f>
        <v>0</v>
      </c>
      <c r="U1748" s="64" t="n">
        <f aca="false">IF($K1748="Expected",$P1748,0)</f>
        <v>0</v>
      </c>
      <c r="V1748" s="64" t="n">
        <f aca="false">IF($K1748="Better",$P1748,0)</f>
        <v>0</v>
      </c>
      <c r="W1748" s="64" t="n">
        <f aca="false">IF($K1748="U – needs rule",$P1748,0)</f>
        <v>0</v>
      </c>
      <c r="X1748" s="64" t="n">
        <f aca="false">IF($K1748="No Start (attainment only)",$P1748,0)</f>
        <v>0</v>
      </c>
    </row>
    <row r="1749" customFormat="false" ht="15" hidden="false" customHeight="false" outlineLevel="0" collapsed="false">
      <c r="A1749" s="60"/>
      <c r="B1749" s="61" t="str">
        <f aca="false">IF($M1749=0,"",INDEX(Classes!$E$6:$E$420,$M1749))</f>
        <v/>
      </c>
      <c r="C1749" s="62" t="str">
        <f aca="false">IF($M1749=0,"",INDEX(Classes!$H$6:$H$420,$M1749))</f>
        <v/>
      </c>
      <c r="D1749" s="61" t="str">
        <f aca="false">IF($M1749=0,"",INDEX(Classes!$B$6:$B$420,$M1749))</f>
        <v/>
      </c>
      <c r="E1749" s="61" t="str">
        <f aca="false">IF($M1749=0,"",INDEX(Classes!$C$6:$C$420,$M1749))</f>
        <v/>
      </c>
      <c r="F1749" s="63"/>
      <c r="G1749" s="63"/>
      <c r="H1749" s="60"/>
      <c r="I1749" s="60"/>
      <c r="J1749" s="63"/>
      <c r="K1749" s="61" t="str">
        <f aca="false">IF($P1749=0,"",IF($F1749="Baseline","— Baseline",IF($O1749=0,"No result",IF($N1749=0,"No Start (attainment only)",IF(OR($N1749=1,$O1749=1),"U – needs rule",INDEX(MxBody,MATCH($I1749,MxCurr,0),MATCH($H1749,MxStart,0)))))))</f>
        <v/>
      </c>
      <c r="L1749" s="62" t="str">
        <f aca="false">IF(COUNTA($A1749,$F1749,$G1749,$H1749,$I1749,$J1749)=0,"",IF($M1749=0,"✖ كود الصف غير موجود",IF(ISNA(MATCH($F1749,Lists!$A$2:$A$5,0)),"✖ الفترة غير صحيحة",IF(ISNA(MATCH($G1749,Lists!$B$2:$B$7,0)),"✖ المجموعة غير صحيحة",IF(NOT(OR($H1749="",$N1749&gt;0)),"✖ Start غير صحيح",IF(NOT(OR($I1749="",$I1749="NR",$O1749&gt;0)),"✖ Current غير صحيح",IF(NOT(IF(ISNUMBER($J1749),AND($J1749&gt;=0,$J1749=INT($J1749)),FALSE())),"✖ العدد يجب أن يكون صحيحًا ≥ 0",IF(AND($F1749="Baseline",$H1749&lt;&gt;""),"⚠ Baseline: Start لا يدخل في التقدم",IF($K1749="No Start (attainment only)","ℹ تحصيل فقط (بدون Start)",IF($K1749="U – needs rule","ℹ حالة U تحتاج قاعدة معتمدة",IF($K1749="No result","ℹ بدون نتيجة (يُستبعد من التحصيل)","OK")))))))))))</f>
        <v/>
      </c>
      <c r="M1749" s="64" t="n">
        <f aca="false">IF($A1749="",0,IFERROR(MATCH($A1749,Classes!$A$6:$A$420,0),0))</f>
        <v>0</v>
      </c>
      <c r="N1749" s="64" t="n">
        <f aca="false">IF($H1749="",0,IFERROR(MATCH($H1749,GradeList,0),0))</f>
        <v>0</v>
      </c>
      <c r="O1749" s="64" t="n">
        <f aca="false">IF(OR($I1749="",$I1749="NR"),0,IFERROR(MATCH($I1749,GradeList,0),0))</f>
        <v>0</v>
      </c>
      <c r="P1749" s="64" t="n">
        <f aca="false">IF(AND($M1749&gt;0,ISNUMBER(MATCH($F1749,Lists!$A$2:$A$5,0)),ISNUMBER(MATCH($G1749,Lists!$B$2:$B$7,0)),OR($H1749="",$N1749&gt;0),OR($I1749="",$I1749="NR",$O1749&gt;0),IF(ISNUMBER($J1749),AND($J1749&gt;=0,$J1749=INT($J1749)),FALSE())),$J1749,0)</f>
        <v>0</v>
      </c>
      <c r="Q1749" s="64" t="n">
        <f aca="false">IF(AND($P1749&gt;0,$O1749&gt;0),$P1749,0)</f>
        <v>0</v>
      </c>
      <c r="R1749" s="64" t="n">
        <f aca="false">IF(AND($Q1749&gt;0,$O1749&gt;=AtRank),$Q1749,0)</f>
        <v>0</v>
      </c>
      <c r="S1749" s="64" t="n">
        <f aca="false">IF(AND($Q1749&gt;0,$O1749&gt;=AboveRank),$Q1749,0)</f>
        <v>0</v>
      </c>
      <c r="T1749" s="64" t="n">
        <f aca="false">IF($K1749="Less",$P1749,0)</f>
        <v>0</v>
      </c>
      <c r="U1749" s="64" t="n">
        <f aca="false">IF($K1749="Expected",$P1749,0)</f>
        <v>0</v>
      </c>
      <c r="V1749" s="64" t="n">
        <f aca="false">IF($K1749="Better",$P1749,0)</f>
        <v>0</v>
      </c>
      <c r="W1749" s="64" t="n">
        <f aca="false">IF($K1749="U – needs rule",$P1749,0)</f>
        <v>0</v>
      </c>
      <c r="X1749" s="64" t="n">
        <f aca="false">IF($K1749="No Start (attainment only)",$P1749,0)</f>
        <v>0</v>
      </c>
    </row>
    <row r="1750" customFormat="false" ht="15" hidden="false" customHeight="false" outlineLevel="0" collapsed="false">
      <c r="A1750" s="60"/>
      <c r="B1750" s="61" t="str">
        <f aca="false">IF($M1750=0,"",INDEX(Classes!$E$6:$E$420,$M1750))</f>
        <v/>
      </c>
      <c r="C1750" s="62" t="str">
        <f aca="false">IF($M1750=0,"",INDEX(Classes!$H$6:$H$420,$M1750))</f>
        <v/>
      </c>
      <c r="D1750" s="61" t="str">
        <f aca="false">IF($M1750=0,"",INDEX(Classes!$B$6:$B$420,$M1750))</f>
        <v/>
      </c>
      <c r="E1750" s="61" t="str">
        <f aca="false">IF($M1750=0,"",INDEX(Classes!$C$6:$C$420,$M1750))</f>
        <v/>
      </c>
      <c r="F1750" s="63"/>
      <c r="G1750" s="63"/>
      <c r="H1750" s="60"/>
      <c r="I1750" s="60"/>
      <c r="J1750" s="63"/>
      <c r="K1750" s="61" t="str">
        <f aca="false">IF($P1750=0,"",IF($F1750="Baseline","— Baseline",IF($O1750=0,"No result",IF($N1750=0,"No Start (attainment only)",IF(OR($N1750=1,$O1750=1),"U – needs rule",INDEX(MxBody,MATCH($I1750,MxCurr,0),MATCH($H1750,MxStart,0)))))))</f>
        <v/>
      </c>
      <c r="L1750" s="62" t="str">
        <f aca="false">IF(COUNTA($A1750,$F1750,$G1750,$H1750,$I1750,$J1750)=0,"",IF($M1750=0,"✖ كود الصف غير موجود",IF(ISNA(MATCH($F1750,Lists!$A$2:$A$5,0)),"✖ الفترة غير صحيحة",IF(ISNA(MATCH($G1750,Lists!$B$2:$B$7,0)),"✖ المجموعة غير صحيحة",IF(NOT(OR($H1750="",$N1750&gt;0)),"✖ Start غير صحيح",IF(NOT(OR($I1750="",$I1750="NR",$O1750&gt;0)),"✖ Current غير صحيح",IF(NOT(IF(ISNUMBER($J1750),AND($J1750&gt;=0,$J1750=INT($J1750)),FALSE())),"✖ العدد يجب أن يكون صحيحًا ≥ 0",IF(AND($F1750="Baseline",$H1750&lt;&gt;""),"⚠ Baseline: Start لا يدخل في التقدم",IF($K1750="No Start (attainment only)","ℹ تحصيل فقط (بدون Start)",IF($K1750="U – needs rule","ℹ حالة U تحتاج قاعدة معتمدة",IF($K1750="No result","ℹ بدون نتيجة (يُستبعد من التحصيل)","OK")))))))))))</f>
        <v/>
      </c>
      <c r="M1750" s="64" t="n">
        <f aca="false">IF($A1750="",0,IFERROR(MATCH($A1750,Classes!$A$6:$A$420,0),0))</f>
        <v>0</v>
      </c>
      <c r="N1750" s="64" t="n">
        <f aca="false">IF($H1750="",0,IFERROR(MATCH($H1750,GradeList,0),0))</f>
        <v>0</v>
      </c>
      <c r="O1750" s="64" t="n">
        <f aca="false">IF(OR($I1750="",$I1750="NR"),0,IFERROR(MATCH($I1750,GradeList,0),0))</f>
        <v>0</v>
      </c>
      <c r="P1750" s="64" t="n">
        <f aca="false">IF(AND($M1750&gt;0,ISNUMBER(MATCH($F1750,Lists!$A$2:$A$5,0)),ISNUMBER(MATCH($G1750,Lists!$B$2:$B$7,0)),OR($H1750="",$N1750&gt;0),OR($I1750="",$I1750="NR",$O1750&gt;0),IF(ISNUMBER($J1750),AND($J1750&gt;=0,$J1750=INT($J1750)),FALSE())),$J1750,0)</f>
        <v>0</v>
      </c>
      <c r="Q1750" s="64" t="n">
        <f aca="false">IF(AND($P1750&gt;0,$O1750&gt;0),$P1750,0)</f>
        <v>0</v>
      </c>
      <c r="R1750" s="64" t="n">
        <f aca="false">IF(AND($Q1750&gt;0,$O1750&gt;=AtRank),$Q1750,0)</f>
        <v>0</v>
      </c>
      <c r="S1750" s="64" t="n">
        <f aca="false">IF(AND($Q1750&gt;0,$O1750&gt;=AboveRank),$Q1750,0)</f>
        <v>0</v>
      </c>
      <c r="T1750" s="64" t="n">
        <f aca="false">IF($K1750="Less",$P1750,0)</f>
        <v>0</v>
      </c>
      <c r="U1750" s="64" t="n">
        <f aca="false">IF($K1750="Expected",$P1750,0)</f>
        <v>0</v>
      </c>
      <c r="V1750" s="64" t="n">
        <f aca="false">IF($K1750="Better",$P1750,0)</f>
        <v>0</v>
      </c>
      <c r="W1750" s="64" t="n">
        <f aca="false">IF($K1750="U – needs rule",$P1750,0)</f>
        <v>0</v>
      </c>
      <c r="X1750" s="64" t="n">
        <f aca="false">IF($K1750="No Start (attainment only)",$P1750,0)</f>
        <v>0</v>
      </c>
    </row>
    <row r="1751" customFormat="false" ht="15" hidden="false" customHeight="false" outlineLevel="0" collapsed="false">
      <c r="A1751" s="60"/>
      <c r="B1751" s="61" t="str">
        <f aca="false">IF($M1751=0,"",INDEX(Classes!$E$6:$E$420,$M1751))</f>
        <v/>
      </c>
      <c r="C1751" s="62" t="str">
        <f aca="false">IF($M1751=0,"",INDEX(Classes!$H$6:$H$420,$M1751))</f>
        <v/>
      </c>
      <c r="D1751" s="61" t="str">
        <f aca="false">IF($M1751=0,"",INDEX(Classes!$B$6:$B$420,$M1751))</f>
        <v/>
      </c>
      <c r="E1751" s="61" t="str">
        <f aca="false">IF($M1751=0,"",INDEX(Classes!$C$6:$C$420,$M1751))</f>
        <v/>
      </c>
      <c r="F1751" s="63"/>
      <c r="G1751" s="63"/>
      <c r="H1751" s="60"/>
      <c r="I1751" s="60"/>
      <c r="J1751" s="63"/>
      <c r="K1751" s="61" t="str">
        <f aca="false">IF($P1751=0,"",IF($F1751="Baseline","— Baseline",IF($O1751=0,"No result",IF($N1751=0,"No Start (attainment only)",IF(OR($N1751=1,$O1751=1),"U – needs rule",INDEX(MxBody,MATCH($I1751,MxCurr,0),MATCH($H1751,MxStart,0)))))))</f>
        <v/>
      </c>
      <c r="L1751" s="62" t="str">
        <f aca="false">IF(COUNTA($A1751,$F1751,$G1751,$H1751,$I1751,$J1751)=0,"",IF($M1751=0,"✖ كود الصف غير موجود",IF(ISNA(MATCH($F1751,Lists!$A$2:$A$5,0)),"✖ الفترة غير صحيحة",IF(ISNA(MATCH($G1751,Lists!$B$2:$B$7,0)),"✖ المجموعة غير صحيحة",IF(NOT(OR($H1751="",$N1751&gt;0)),"✖ Start غير صحيح",IF(NOT(OR($I1751="",$I1751="NR",$O1751&gt;0)),"✖ Current غير صحيح",IF(NOT(IF(ISNUMBER($J1751),AND($J1751&gt;=0,$J1751=INT($J1751)),FALSE())),"✖ العدد يجب أن يكون صحيحًا ≥ 0",IF(AND($F1751="Baseline",$H1751&lt;&gt;""),"⚠ Baseline: Start لا يدخل في التقدم",IF($K1751="No Start (attainment only)","ℹ تحصيل فقط (بدون Start)",IF($K1751="U – needs rule","ℹ حالة U تحتاج قاعدة معتمدة",IF($K1751="No result","ℹ بدون نتيجة (يُستبعد من التحصيل)","OK")))))))))))</f>
        <v/>
      </c>
      <c r="M1751" s="64" t="n">
        <f aca="false">IF($A1751="",0,IFERROR(MATCH($A1751,Classes!$A$6:$A$420,0),0))</f>
        <v>0</v>
      </c>
      <c r="N1751" s="64" t="n">
        <f aca="false">IF($H1751="",0,IFERROR(MATCH($H1751,GradeList,0),0))</f>
        <v>0</v>
      </c>
      <c r="O1751" s="64" t="n">
        <f aca="false">IF(OR($I1751="",$I1751="NR"),0,IFERROR(MATCH($I1751,GradeList,0),0))</f>
        <v>0</v>
      </c>
      <c r="P1751" s="64" t="n">
        <f aca="false">IF(AND($M1751&gt;0,ISNUMBER(MATCH($F1751,Lists!$A$2:$A$5,0)),ISNUMBER(MATCH($G1751,Lists!$B$2:$B$7,0)),OR($H1751="",$N1751&gt;0),OR($I1751="",$I1751="NR",$O1751&gt;0),IF(ISNUMBER($J1751),AND($J1751&gt;=0,$J1751=INT($J1751)),FALSE())),$J1751,0)</f>
        <v>0</v>
      </c>
      <c r="Q1751" s="64" t="n">
        <f aca="false">IF(AND($P1751&gt;0,$O1751&gt;0),$P1751,0)</f>
        <v>0</v>
      </c>
      <c r="R1751" s="64" t="n">
        <f aca="false">IF(AND($Q1751&gt;0,$O1751&gt;=AtRank),$Q1751,0)</f>
        <v>0</v>
      </c>
      <c r="S1751" s="64" t="n">
        <f aca="false">IF(AND($Q1751&gt;0,$O1751&gt;=AboveRank),$Q1751,0)</f>
        <v>0</v>
      </c>
      <c r="T1751" s="64" t="n">
        <f aca="false">IF($K1751="Less",$P1751,0)</f>
        <v>0</v>
      </c>
      <c r="U1751" s="64" t="n">
        <f aca="false">IF($K1751="Expected",$P1751,0)</f>
        <v>0</v>
      </c>
      <c r="V1751" s="64" t="n">
        <f aca="false">IF($K1751="Better",$P1751,0)</f>
        <v>0</v>
      </c>
      <c r="W1751" s="64" t="n">
        <f aca="false">IF($K1751="U – needs rule",$P1751,0)</f>
        <v>0</v>
      </c>
      <c r="X1751" s="64" t="n">
        <f aca="false">IF($K1751="No Start (attainment only)",$P1751,0)</f>
        <v>0</v>
      </c>
    </row>
    <row r="1752" customFormat="false" ht="15" hidden="false" customHeight="false" outlineLevel="0" collapsed="false">
      <c r="A1752" s="60"/>
      <c r="B1752" s="61" t="str">
        <f aca="false">IF($M1752=0,"",INDEX(Classes!$E$6:$E$420,$M1752))</f>
        <v/>
      </c>
      <c r="C1752" s="62" t="str">
        <f aca="false">IF($M1752=0,"",INDEX(Classes!$H$6:$H$420,$M1752))</f>
        <v/>
      </c>
      <c r="D1752" s="61" t="str">
        <f aca="false">IF($M1752=0,"",INDEX(Classes!$B$6:$B$420,$M1752))</f>
        <v/>
      </c>
      <c r="E1752" s="61" t="str">
        <f aca="false">IF($M1752=0,"",INDEX(Classes!$C$6:$C$420,$M1752))</f>
        <v/>
      </c>
      <c r="F1752" s="63"/>
      <c r="G1752" s="63"/>
      <c r="H1752" s="60"/>
      <c r="I1752" s="60"/>
      <c r="J1752" s="63"/>
      <c r="K1752" s="61" t="str">
        <f aca="false">IF($P1752=0,"",IF($F1752="Baseline","— Baseline",IF($O1752=0,"No result",IF($N1752=0,"No Start (attainment only)",IF(OR($N1752=1,$O1752=1),"U – needs rule",INDEX(MxBody,MATCH($I1752,MxCurr,0),MATCH($H1752,MxStart,0)))))))</f>
        <v/>
      </c>
      <c r="L1752" s="62" t="str">
        <f aca="false">IF(COUNTA($A1752,$F1752,$G1752,$H1752,$I1752,$J1752)=0,"",IF($M1752=0,"✖ كود الصف غير موجود",IF(ISNA(MATCH($F1752,Lists!$A$2:$A$5,0)),"✖ الفترة غير صحيحة",IF(ISNA(MATCH($G1752,Lists!$B$2:$B$7,0)),"✖ المجموعة غير صحيحة",IF(NOT(OR($H1752="",$N1752&gt;0)),"✖ Start غير صحيح",IF(NOT(OR($I1752="",$I1752="NR",$O1752&gt;0)),"✖ Current غير صحيح",IF(NOT(IF(ISNUMBER($J1752),AND($J1752&gt;=0,$J1752=INT($J1752)),FALSE())),"✖ العدد يجب أن يكون صحيحًا ≥ 0",IF(AND($F1752="Baseline",$H1752&lt;&gt;""),"⚠ Baseline: Start لا يدخل في التقدم",IF($K1752="No Start (attainment only)","ℹ تحصيل فقط (بدون Start)",IF($K1752="U – needs rule","ℹ حالة U تحتاج قاعدة معتمدة",IF($K1752="No result","ℹ بدون نتيجة (يُستبعد من التحصيل)","OK")))))))))))</f>
        <v/>
      </c>
      <c r="M1752" s="64" t="n">
        <f aca="false">IF($A1752="",0,IFERROR(MATCH($A1752,Classes!$A$6:$A$420,0),0))</f>
        <v>0</v>
      </c>
      <c r="N1752" s="64" t="n">
        <f aca="false">IF($H1752="",0,IFERROR(MATCH($H1752,GradeList,0),0))</f>
        <v>0</v>
      </c>
      <c r="O1752" s="64" t="n">
        <f aca="false">IF(OR($I1752="",$I1752="NR"),0,IFERROR(MATCH($I1752,GradeList,0),0))</f>
        <v>0</v>
      </c>
      <c r="P1752" s="64" t="n">
        <f aca="false">IF(AND($M1752&gt;0,ISNUMBER(MATCH($F1752,Lists!$A$2:$A$5,0)),ISNUMBER(MATCH($G1752,Lists!$B$2:$B$7,0)),OR($H1752="",$N1752&gt;0),OR($I1752="",$I1752="NR",$O1752&gt;0),IF(ISNUMBER($J1752),AND($J1752&gt;=0,$J1752=INT($J1752)),FALSE())),$J1752,0)</f>
        <v>0</v>
      </c>
      <c r="Q1752" s="64" t="n">
        <f aca="false">IF(AND($P1752&gt;0,$O1752&gt;0),$P1752,0)</f>
        <v>0</v>
      </c>
      <c r="R1752" s="64" t="n">
        <f aca="false">IF(AND($Q1752&gt;0,$O1752&gt;=AtRank),$Q1752,0)</f>
        <v>0</v>
      </c>
      <c r="S1752" s="64" t="n">
        <f aca="false">IF(AND($Q1752&gt;0,$O1752&gt;=AboveRank),$Q1752,0)</f>
        <v>0</v>
      </c>
      <c r="T1752" s="64" t="n">
        <f aca="false">IF($K1752="Less",$P1752,0)</f>
        <v>0</v>
      </c>
      <c r="U1752" s="64" t="n">
        <f aca="false">IF($K1752="Expected",$P1752,0)</f>
        <v>0</v>
      </c>
      <c r="V1752" s="64" t="n">
        <f aca="false">IF($K1752="Better",$P1752,0)</f>
        <v>0</v>
      </c>
      <c r="W1752" s="64" t="n">
        <f aca="false">IF($K1752="U – needs rule",$P1752,0)</f>
        <v>0</v>
      </c>
      <c r="X1752" s="64" t="n">
        <f aca="false">IF($K1752="No Start (attainment only)",$P1752,0)</f>
        <v>0</v>
      </c>
    </row>
    <row r="1753" customFormat="false" ht="15" hidden="false" customHeight="false" outlineLevel="0" collapsed="false">
      <c r="A1753" s="60"/>
      <c r="B1753" s="61" t="str">
        <f aca="false">IF($M1753=0,"",INDEX(Classes!$E$6:$E$420,$M1753))</f>
        <v/>
      </c>
      <c r="C1753" s="62" t="str">
        <f aca="false">IF($M1753=0,"",INDEX(Classes!$H$6:$H$420,$M1753))</f>
        <v/>
      </c>
      <c r="D1753" s="61" t="str">
        <f aca="false">IF($M1753=0,"",INDEX(Classes!$B$6:$B$420,$M1753))</f>
        <v/>
      </c>
      <c r="E1753" s="61" t="str">
        <f aca="false">IF($M1753=0,"",INDEX(Classes!$C$6:$C$420,$M1753))</f>
        <v/>
      </c>
      <c r="F1753" s="63"/>
      <c r="G1753" s="63"/>
      <c r="H1753" s="60"/>
      <c r="I1753" s="60"/>
      <c r="J1753" s="63"/>
      <c r="K1753" s="61" t="str">
        <f aca="false">IF($P1753=0,"",IF($F1753="Baseline","— Baseline",IF($O1753=0,"No result",IF($N1753=0,"No Start (attainment only)",IF(OR($N1753=1,$O1753=1),"U – needs rule",INDEX(MxBody,MATCH($I1753,MxCurr,0),MATCH($H1753,MxStart,0)))))))</f>
        <v/>
      </c>
      <c r="L1753" s="62" t="str">
        <f aca="false">IF(COUNTA($A1753,$F1753,$G1753,$H1753,$I1753,$J1753)=0,"",IF($M1753=0,"✖ كود الصف غير موجود",IF(ISNA(MATCH($F1753,Lists!$A$2:$A$5,0)),"✖ الفترة غير صحيحة",IF(ISNA(MATCH($G1753,Lists!$B$2:$B$7,0)),"✖ المجموعة غير صحيحة",IF(NOT(OR($H1753="",$N1753&gt;0)),"✖ Start غير صحيح",IF(NOT(OR($I1753="",$I1753="NR",$O1753&gt;0)),"✖ Current غير صحيح",IF(NOT(IF(ISNUMBER($J1753),AND($J1753&gt;=0,$J1753=INT($J1753)),FALSE())),"✖ العدد يجب أن يكون صحيحًا ≥ 0",IF(AND($F1753="Baseline",$H1753&lt;&gt;""),"⚠ Baseline: Start لا يدخل في التقدم",IF($K1753="No Start (attainment only)","ℹ تحصيل فقط (بدون Start)",IF($K1753="U – needs rule","ℹ حالة U تحتاج قاعدة معتمدة",IF($K1753="No result","ℹ بدون نتيجة (يُستبعد من التحصيل)","OK")))))))))))</f>
        <v/>
      </c>
      <c r="M1753" s="64" t="n">
        <f aca="false">IF($A1753="",0,IFERROR(MATCH($A1753,Classes!$A$6:$A$420,0),0))</f>
        <v>0</v>
      </c>
      <c r="N1753" s="64" t="n">
        <f aca="false">IF($H1753="",0,IFERROR(MATCH($H1753,GradeList,0),0))</f>
        <v>0</v>
      </c>
      <c r="O1753" s="64" t="n">
        <f aca="false">IF(OR($I1753="",$I1753="NR"),0,IFERROR(MATCH($I1753,GradeList,0),0))</f>
        <v>0</v>
      </c>
      <c r="P1753" s="64" t="n">
        <f aca="false">IF(AND($M1753&gt;0,ISNUMBER(MATCH($F1753,Lists!$A$2:$A$5,0)),ISNUMBER(MATCH($G1753,Lists!$B$2:$B$7,0)),OR($H1753="",$N1753&gt;0),OR($I1753="",$I1753="NR",$O1753&gt;0),IF(ISNUMBER($J1753),AND($J1753&gt;=0,$J1753=INT($J1753)),FALSE())),$J1753,0)</f>
        <v>0</v>
      </c>
      <c r="Q1753" s="64" t="n">
        <f aca="false">IF(AND($P1753&gt;0,$O1753&gt;0),$P1753,0)</f>
        <v>0</v>
      </c>
      <c r="R1753" s="64" t="n">
        <f aca="false">IF(AND($Q1753&gt;0,$O1753&gt;=AtRank),$Q1753,0)</f>
        <v>0</v>
      </c>
      <c r="S1753" s="64" t="n">
        <f aca="false">IF(AND($Q1753&gt;0,$O1753&gt;=AboveRank),$Q1753,0)</f>
        <v>0</v>
      </c>
      <c r="T1753" s="64" t="n">
        <f aca="false">IF($K1753="Less",$P1753,0)</f>
        <v>0</v>
      </c>
      <c r="U1753" s="64" t="n">
        <f aca="false">IF($K1753="Expected",$P1753,0)</f>
        <v>0</v>
      </c>
      <c r="V1753" s="64" t="n">
        <f aca="false">IF($K1753="Better",$P1753,0)</f>
        <v>0</v>
      </c>
      <c r="W1753" s="64" t="n">
        <f aca="false">IF($K1753="U – needs rule",$P1753,0)</f>
        <v>0</v>
      </c>
      <c r="X1753" s="64" t="n">
        <f aca="false">IF($K1753="No Start (attainment only)",$P1753,0)</f>
        <v>0</v>
      </c>
    </row>
    <row r="1754" customFormat="false" ht="15" hidden="false" customHeight="false" outlineLevel="0" collapsed="false">
      <c r="A1754" s="60"/>
      <c r="B1754" s="61" t="str">
        <f aca="false">IF($M1754=0,"",INDEX(Classes!$E$6:$E$420,$M1754))</f>
        <v/>
      </c>
      <c r="C1754" s="62" t="str">
        <f aca="false">IF($M1754=0,"",INDEX(Classes!$H$6:$H$420,$M1754))</f>
        <v/>
      </c>
      <c r="D1754" s="61" t="str">
        <f aca="false">IF($M1754=0,"",INDEX(Classes!$B$6:$B$420,$M1754))</f>
        <v/>
      </c>
      <c r="E1754" s="61" t="str">
        <f aca="false">IF($M1754=0,"",INDEX(Classes!$C$6:$C$420,$M1754))</f>
        <v/>
      </c>
      <c r="F1754" s="63"/>
      <c r="G1754" s="63"/>
      <c r="H1754" s="60"/>
      <c r="I1754" s="60"/>
      <c r="J1754" s="63"/>
      <c r="K1754" s="61" t="str">
        <f aca="false">IF($P1754=0,"",IF($F1754="Baseline","— Baseline",IF($O1754=0,"No result",IF($N1754=0,"No Start (attainment only)",IF(OR($N1754=1,$O1754=1),"U – needs rule",INDEX(MxBody,MATCH($I1754,MxCurr,0),MATCH($H1754,MxStart,0)))))))</f>
        <v/>
      </c>
      <c r="L1754" s="62" t="str">
        <f aca="false">IF(COUNTA($A1754,$F1754,$G1754,$H1754,$I1754,$J1754)=0,"",IF($M1754=0,"✖ كود الصف غير موجود",IF(ISNA(MATCH($F1754,Lists!$A$2:$A$5,0)),"✖ الفترة غير صحيحة",IF(ISNA(MATCH($G1754,Lists!$B$2:$B$7,0)),"✖ المجموعة غير صحيحة",IF(NOT(OR($H1754="",$N1754&gt;0)),"✖ Start غير صحيح",IF(NOT(OR($I1754="",$I1754="NR",$O1754&gt;0)),"✖ Current غير صحيح",IF(NOT(IF(ISNUMBER($J1754),AND($J1754&gt;=0,$J1754=INT($J1754)),FALSE())),"✖ العدد يجب أن يكون صحيحًا ≥ 0",IF(AND($F1754="Baseline",$H1754&lt;&gt;""),"⚠ Baseline: Start لا يدخل في التقدم",IF($K1754="No Start (attainment only)","ℹ تحصيل فقط (بدون Start)",IF($K1754="U – needs rule","ℹ حالة U تحتاج قاعدة معتمدة",IF($K1754="No result","ℹ بدون نتيجة (يُستبعد من التحصيل)","OK")))))))))))</f>
        <v/>
      </c>
      <c r="M1754" s="64" t="n">
        <f aca="false">IF($A1754="",0,IFERROR(MATCH($A1754,Classes!$A$6:$A$420,0),0))</f>
        <v>0</v>
      </c>
      <c r="N1754" s="64" t="n">
        <f aca="false">IF($H1754="",0,IFERROR(MATCH($H1754,GradeList,0),0))</f>
        <v>0</v>
      </c>
      <c r="O1754" s="64" t="n">
        <f aca="false">IF(OR($I1754="",$I1754="NR"),0,IFERROR(MATCH($I1754,GradeList,0),0))</f>
        <v>0</v>
      </c>
      <c r="P1754" s="64" t="n">
        <f aca="false">IF(AND($M1754&gt;0,ISNUMBER(MATCH($F1754,Lists!$A$2:$A$5,0)),ISNUMBER(MATCH($G1754,Lists!$B$2:$B$7,0)),OR($H1754="",$N1754&gt;0),OR($I1754="",$I1754="NR",$O1754&gt;0),IF(ISNUMBER($J1754),AND($J1754&gt;=0,$J1754=INT($J1754)),FALSE())),$J1754,0)</f>
        <v>0</v>
      </c>
      <c r="Q1754" s="64" t="n">
        <f aca="false">IF(AND($P1754&gt;0,$O1754&gt;0),$P1754,0)</f>
        <v>0</v>
      </c>
      <c r="R1754" s="64" t="n">
        <f aca="false">IF(AND($Q1754&gt;0,$O1754&gt;=AtRank),$Q1754,0)</f>
        <v>0</v>
      </c>
      <c r="S1754" s="64" t="n">
        <f aca="false">IF(AND($Q1754&gt;0,$O1754&gt;=AboveRank),$Q1754,0)</f>
        <v>0</v>
      </c>
      <c r="T1754" s="64" t="n">
        <f aca="false">IF($K1754="Less",$P1754,0)</f>
        <v>0</v>
      </c>
      <c r="U1754" s="64" t="n">
        <f aca="false">IF($K1754="Expected",$P1754,0)</f>
        <v>0</v>
      </c>
      <c r="V1754" s="64" t="n">
        <f aca="false">IF($K1754="Better",$P1754,0)</f>
        <v>0</v>
      </c>
      <c r="W1754" s="64" t="n">
        <f aca="false">IF($K1754="U – needs rule",$P1754,0)</f>
        <v>0</v>
      </c>
      <c r="X1754" s="64" t="n">
        <f aca="false">IF($K1754="No Start (attainment only)",$P1754,0)</f>
        <v>0</v>
      </c>
    </row>
    <row r="1755" customFormat="false" ht="15" hidden="false" customHeight="false" outlineLevel="0" collapsed="false">
      <c r="A1755" s="60"/>
      <c r="B1755" s="61" t="str">
        <f aca="false">IF($M1755=0,"",INDEX(Classes!$E$6:$E$420,$M1755))</f>
        <v/>
      </c>
      <c r="C1755" s="62" t="str">
        <f aca="false">IF($M1755=0,"",INDEX(Classes!$H$6:$H$420,$M1755))</f>
        <v/>
      </c>
      <c r="D1755" s="61" t="str">
        <f aca="false">IF($M1755=0,"",INDEX(Classes!$B$6:$B$420,$M1755))</f>
        <v/>
      </c>
      <c r="E1755" s="61" t="str">
        <f aca="false">IF($M1755=0,"",INDEX(Classes!$C$6:$C$420,$M1755))</f>
        <v/>
      </c>
      <c r="F1755" s="63"/>
      <c r="G1755" s="63"/>
      <c r="H1755" s="60"/>
      <c r="I1755" s="60"/>
      <c r="J1755" s="63"/>
      <c r="K1755" s="61" t="str">
        <f aca="false">IF($P1755=0,"",IF($F1755="Baseline","— Baseline",IF($O1755=0,"No result",IF($N1755=0,"No Start (attainment only)",IF(OR($N1755=1,$O1755=1),"U – needs rule",INDEX(MxBody,MATCH($I1755,MxCurr,0),MATCH($H1755,MxStart,0)))))))</f>
        <v/>
      </c>
      <c r="L1755" s="62" t="str">
        <f aca="false">IF(COUNTA($A1755,$F1755,$G1755,$H1755,$I1755,$J1755)=0,"",IF($M1755=0,"✖ كود الصف غير موجود",IF(ISNA(MATCH($F1755,Lists!$A$2:$A$5,0)),"✖ الفترة غير صحيحة",IF(ISNA(MATCH($G1755,Lists!$B$2:$B$7,0)),"✖ المجموعة غير صحيحة",IF(NOT(OR($H1755="",$N1755&gt;0)),"✖ Start غير صحيح",IF(NOT(OR($I1755="",$I1755="NR",$O1755&gt;0)),"✖ Current غير صحيح",IF(NOT(IF(ISNUMBER($J1755),AND($J1755&gt;=0,$J1755=INT($J1755)),FALSE())),"✖ العدد يجب أن يكون صحيحًا ≥ 0",IF(AND($F1755="Baseline",$H1755&lt;&gt;""),"⚠ Baseline: Start لا يدخل في التقدم",IF($K1755="No Start (attainment only)","ℹ تحصيل فقط (بدون Start)",IF($K1755="U – needs rule","ℹ حالة U تحتاج قاعدة معتمدة",IF($K1755="No result","ℹ بدون نتيجة (يُستبعد من التحصيل)","OK")))))))))))</f>
        <v/>
      </c>
      <c r="M1755" s="64" t="n">
        <f aca="false">IF($A1755="",0,IFERROR(MATCH($A1755,Classes!$A$6:$A$420,0),0))</f>
        <v>0</v>
      </c>
      <c r="N1755" s="64" t="n">
        <f aca="false">IF($H1755="",0,IFERROR(MATCH($H1755,GradeList,0),0))</f>
        <v>0</v>
      </c>
      <c r="O1755" s="64" t="n">
        <f aca="false">IF(OR($I1755="",$I1755="NR"),0,IFERROR(MATCH($I1755,GradeList,0),0))</f>
        <v>0</v>
      </c>
      <c r="P1755" s="64" t="n">
        <f aca="false">IF(AND($M1755&gt;0,ISNUMBER(MATCH($F1755,Lists!$A$2:$A$5,0)),ISNUMBER(MATCH($G1755,Lists!$B$2:$B$7,0)),OR($H1755="",$N1755&gt;0),OR($I1755="",$I1755="NR",$O1755&gt;0),IF(ISNUMBER($J1755),AND($J1755&gt;=0,$J1755=INT($J1755)),FALSE())),$J1755,0)</f>
        <v>0</v>
      </c>
      <c r="Q1755" s="64" t="n">
        <f aca="false">IF(AND($P1755&gt;0,$O1755&gt;0),$P1755,0)</f>
        <v>0</v>
      </c>
      <c r="R1755" s="64" t="n">
        <f aca="false">IF(AND($Q1755&gt;0,$O1755&gt;=AtRank),$Q1755,0)</f>
        <v>0</v>
      </c>
      <c r="S1755" s="64" t="n">
        <f aca="false">IF(AND($Q1755&gt;0,$O1755&gt;=AboveRank),$Q1755,0)</f>
        <v>0</v>
      </c>
      <c r="T1755" s="64" t="n">
        <f aca="false">IF($K1755="Less",$P1755,0)</f>
        <v>0</v>
      </c>
      <c r="U1755" s="64" t="n">
        <f aca="false">IF($K1755="Expected",$P1755,0)</f>
        <v>0</v>
      </c>
      <c r="V1755" s="64" t="n">
        <f aca="false">IF($K1755="Better",$P1755,0)</f>
        <v>0</v>
      </c>
      <c r="W1755" s="64" t="n">
        <f aca="false">IF($K1755="U – needs rule",$P1755,0)</f>
        <v>0</v>
      </c>
      <c r="X1755" s="64" t="n">
        <f aca="false">IF($K1755="No Start (attainment only)",$P1755,0)</f>
        <v>0</v>
      </c>
    </row>
    <row r="1756" customFormat="false" ht="15" hidden="false" customHeight="false" outlineLevel="0" collapsed="false">
      <c r="A1756" s="60"/>
      <c r="B1756" s="61" t="str">
        <f aca="false">IF($M1756=0,"",INDEX(Classes!$E$6:$E$420,$M1756))</f>
        <v/>
      </c>
      <c r="C1756" s="62" t="str">
        <f aca="false">IF($M1756=0,"",INDEX(Classes!$H$6:$H$420,$M1756))</f>
        <v/>
      </c>
      <c r="D1756" s="61" t="str">
        <f aca="false">IF($M1756=0,"",INDEX(Classes!$B$6:$B$420,$M1756))</f>
        <v/>
      </c>
      <c r="E1756" s="61" t="str">
        <f aca="false">IF($M1756=0,"",INDEX(Classes!$C$6:$C$420,$M1756))</f>
        <v/>
      </c>
      <c r="F1756" s="63"/>
      <c r="G1756" s="63"/>
      <c r="H1756" s="60"/>
      <c r="I1756" s="60"/>
      <c r="J1756" s="63"/>
      <c r="K1756" s="61" t="str">
        <f aca="false">IF($P1756=0,"",IF($F1756="Baseline","— Baseline",IF($O1756=0,"No result",IF($N1756=0,"No Start (attainment only)",IF(OR($N1756=1,$O1756=1),"U – needs rule",INDEX(MxBody,MATCH($I1756,MxCurr,0),MATCH($H1756,MxStart,0)))))))</f>
        <v/>
      </c>
      <c r="L1756" s="62" t="str">
        <f aca="false">IF(COUNTA($A1756,$F1756,$G1756,$H1756,$I1756,$J1756)=0,"",IF($M1756=0,"✖ كود الصف غير موجود",IF(ISNA(MATCH($F1756,Lists!$A$2:$A$5,0)),"✖ الفترة غير صحيحة",IF(ISNA(MATCH($G1756,Lists!$B$2:$B$7,0)),"✖ المجموعة غير صحيحة",IF(NOT(OR($H1756="",$N1756&gt;0)),"✖ Start غير صحيح",IF(NOT(OR($I1756="",$I1756="NR",$O1756&gt;0)),"✖ Current غير صحيح",IF(NOT(IF(ISNUMBER($J1756),AND($J1756&gt;=0,$J1756=INT($J1756)),FALSE())),"✖ العدد يجب أن يكون صحيحًا ≥ 0",IF(AND($F1756="Baseline",$H1756&lt;&gt;""),"⚠ Baseline: Start لا يدخل في التقدم",IF($K1756="No Start (attainment only)","ℹ تحصيل فقط (بدون Start)",IF($K1756="U – needs rule","ℹ حالة U تحتاج قاعدة معتمدة",IF($K1756="No result","ℹ بدون نتيجة (يُستبعد من التحصيل)","OK")))))))))))</f>
        <v/>
      </c>
      <c r="M1756" s="64" t="n">
        <f aca="false">IF($A1756="",0,IFERROR(MATCH($A1756,Classes!$A$6:$A$420,0),0))</f>
        <v>0</v>
      </c>
      <c r="N1756" s="64" t="n">
        <f aca="false">IF($H1756="",0,IFERROR(MATCH($H1756,GradeList,0),0))</f>
        <v>0</v>
      </c>
      <c r="O1756" s="64" t="n">
        <f aca="false">IF(OR($I1756="",$I1756="NR"),0,IFERROR(MATCH($I1756,GradeList,0),0))</f>
        <v>0</v>
      </c>
      <c r="P1756" s="64" t="n">
        <f aca="false">IF(AND($M1756&gt;0,ISNUMBER(MATCH($F1756,Lists!$A$2:$A$5,0)),ISNUMBER(MATCH($G1756,Lists!$B$2:$B$7,0)),OR($H1756="",$N1756&gt;0),OR($I1756="",$I1756="NR",$O1756&gt;0),IF(ISNUMBER($J1756),AND($J1756&gt;=0,$J1756=INT($J1756)),FALSE())),$J1756,0)</f>
        <v>0</v>
      </c>
      <c r="Q1756" s="64" t="n">
        <f aca="false">IF(AND($P1756&gt;0,$O1756&gt;0),$P1756,0)</f>
        <v>0</v>
      </c>
      <c r="R1756" s="64" t="n">
        <f aca="false">IF(AND($Q1756&gt;0,$O1756&gt;=AtRank),$Q1756,0)</f>
        <v>0</v>
      </c>
      <c r="S1756" s="64" t="n">
        <f aca="false">IF(AND($Q1756&gt;0,$O1756&gt;=AboveRank),$Q1756,0)</f>
        <v>0</v>
      </c>
      <c r="T1756" s="64" t="n">
        <f aca="false">IF($K1756="Less",$P1756,0)</f>
        <v>0</v>
      </c>
      <c r="U1756" s="64" t="n">
        <f aca="false">IF($K1756="Expected",$P1756,0)</f>
        <v>0</v>
      </c>
      <c r="V1756" s="64" t="n">
        <f aca="false">IF($K1756="Better",$P1756,0)</f>
        <v>0</v>
      </c>
      <c r="W1756" s="64" t="n">
        <f aca="false">IF($K1756="U – needs rule",$P1756,0)</f>
        <v>0</v>
      </c>
      <c r="X1756" s="64" t="n">
        <f aca="false">IF($K1756="No Start (attainment only)",$P1756,0)</f>
        <v>0</v>
      </c>
    </row>
    <row r="1757" customFormat="false" ht="15" hidden="false" customHeight="false" outlineLevel="0" collapsed="false">
      <c r="A1757" s="60"/>
      <c r="B1757" s="61" t="str">
        <f aca="false">IF($M1757=0,"",INDEX(Classes!$E$6:$E$420,$M1757))</f>
        <v/>
      </c>
      <c r="C1757" s="62" t="str">
        <f aca="false">IF($M1757=0,"",INDEX(Classes!$H$6:$H$420,$M1757))</f>
        <v/>
      </c>
      <c r="D1757" s="61" t="str">
        <f aca="false">IF($M1757=0,"",INDEX(Classes!$B$6:$B$420,$M1757))</f>
        <v/>
      </c>
      <c r="E1757" s="61" t="str">
        <f aca="false">IF($M1757=0,"",INDEX(Classes!$C$6:$C$420,$M1757))</f>
        <v/>
      </c>
      <c r="F1757" s="63"/>
      <c r="G1757" s="63"/>
      <c r="H1757" s="60"/>
      <c r="I1757" s="60"/>
      <c r="J1757" s="63"/>
      <c r="K1757" s="61" t="str">
        <f aca="false">IF($P1757=0,"",IF($F1757="Baseline","— Baseline",IF($O1757=0,"No result",IF($N1757=0,"No Start (attainment only)",IF(OR($N1757=1,$O1757=1),"U – needs rule",INDEX(MxBody,MATCH($I1757,MxCurr,0),MATCH($H1757,MxStart,0)))))))</f>
        <v/>
      </c>
      <c r="L1757" s="62" t="str">
        <f aca="false">IF(COUNTA($A1757,$F1757,$G1757,$H1757,$I1757,$J1757)=0,"",IF($M1757=0,"✖ كود الصف غير موجود",IF(ISNA(MATCH($F1757,Lists!$A$2:$A$5,0)),"✖ الفترة غير صحيحة",IF(ISNA(MATCH($G1757,Lists!$B$2:$B$7,0)),"✖ المجموعة غير صحيحة",IF(NOT(OR($H1757="",$N1757&gt;0)),"✖ Start غير صحيح",IF(NOT(OR($I1757="",$I1757="NR",$O1757&gt;0)),"✖ Current غير صحيح",IF(NOT(IF(ISNUMBER($J1757),AND($J1757&gt;=0,$J1757=INT($J1757)),FALSE())),"✖ العدد يجب أن يكون صحيحًا ≥ 0",IF(AND($F1757="Baseline",$H1757&lt;&gt;""),"⚠ Baseline: Start لا يدخل في التقدم",IF($K1757="No Start (attainment only)","ℹ تحصيل فقط (بدون Start)",IF($K1757="U – needs rule","ℹ حالة U تحتاج قاعدة معتمدة",IF($K1757="No result","ℹ بدون نتيجة (يُستبعد من التحصيل)","OK")))))))))))</f>
        <v/>
      </c>
      <c r="M1757" s="64" t="n">
        <f aca="false">IF($A1757="",0,IFERROR(MATCH($A1757,Classes!$A$6:$A$420,0),0))</f>
        <v>0</v>
      </c>
      <c r="N1757" s="64" t="n">
        <f aca="false">IF($H1757="",0,IFERROR(MATCH($H1757,GradeList,0),0))</f>
        <v>0</v>
      </c>
      <c r="O1757" s="64" t="n">
        <f aca="false">IF(OR($I1757="",$I1757="NR"),0,IFERROR(MATCH($I1757,GradeList,0),0))</f>
        <v>0</v>
      </c>
      <c r="P1757" s="64" t="n">
        <f aca="false">IF(AND($M1757&gt;0,ISNUMBER(MATCH($F1757,Lists!$A$2:$A$5,0)),ISNUMBER(MATCH($G1757,Lists!$B$2:$B$7,0)),OR($H1757="",$N1757&gt;0),OR($I1757="",$I1757="NR",$O1757&gt;0),IF(ISNUMBER($J1757),AND($J1757&gt;=0,$J1757=INT($J1757)),FALSE())),$J1757,0)</f>
        <v>0</v>
      </c>
      <c r="Q1757" s="64" t="n">
        <f aca="false">IF(AND($P1757&gt;0,$O1757&gt;0),$P1757,0)</f>
        <v>0</v>
      </c>
      <c r="R1757" s="64" t="n">
        <f aca="false">IF(AND($Q1757&gt;0,$O1757&gt;=AtRank),$Q1757,0)</f>
        <v>0</v>
      </c>
      <c r="S1757" s="64" t="n">
        <f aca="false">IF(AND($Q1757&gt;0,$O1757&gt;=AboveRank),$Q1757,0)</f>
        <v>0</v>
      </c>
      <c r="T1757" s="64" t="n">
        <f aca="false">IF($K1757="Less",$P1757,0)</f>
        <v>0</v>
      </c>
      <c r="U1757" s="64" t="n">
        <f aca="false">IF($K1757="Expected",$P1757,0)</f>
        <v>0</v>
      </c>
      <c r="V1757" s="64" t="n">
        <f aca="false">IF($K1757="Better",$P1757,0)</f>
        <v>0</v>
      </c>
      <c r="W1757" s="64" t="n">
        <f aca="false">IF($K1757="U – needs rule",$P1757,0)</f>
        <v>0</v>
      </c>
      <c r="X1757" s="64" t="n">
        <f aca="false">IF($K1757="No Start (attainment only)",$P1757,0)</f>
        <v>0</v>
      </c>
    </row>
    <row r="1758" customFormat="false" ht="15" hidden="false" customHeight="false" outlineLevel="0" collapsed="false">
      <c r="A1758" s="60"/>
      <c r="B1758" s="61" t="str">
        <f aca="false">IF($M1758=0,"",INDEX(Classes!$E$6:$E$420,$M1758))</f>
        <v/>
      </c>
      <c r="C1758" s="62" t="str">
        <f aca="false">IF($M1758=0,"",INDEX(Classes!$H$6:$H$420,$M1758))</f>
        <v/>
      </c>
      <c r="D1758" s="61" t="str">
        <f aca="false">IF($M1758=0,"",INDEX(Classes!$B$6:$B$420,$M1758))</f>
        <v/>
      </c>
      <c r="E1758" s="61" t="str">
        <f aca="false">IF($M1758=0,"",INDEX(Classes!$C$6:$C$420,$M1758))</f>
        <v/>
      </c>
      <c r="F1758" s="63"/>
      <c r="G1758" s="63"/>
      <c r="H1758" s="60"/>
      <c r="I1758" s="60"/>
      <c r="J1758" s="63"/>
      <c r="K1758" s="61" t="str">
        <f aca="false">IF($P1758=0,"",IF($F1758="Baseline","— Baseline",IF($O1758=0,"No result",IF($N1758=0,"No Start (attainment only)",IF(OR($N1758=1,$O1758=1),"U – needs rule",INDEX(MxBody,MATCH($I1758,MxCurr,0),MATCH($H1758,MxStart,0)))))))</f>
        <v/>
      </c>
      <c r="L1758" s="62" t="str">
        <f aca="false">IF(COUNTA($A1758,$F1758,$G1758,$H1758,$I1758,$J1758)=0,"",IF($M1758=0,"✖ كود الصف غير موجود",IF(ISNA(MATCH($F1758,Lists!$A$2:$A$5,0)),"✖ الفترة غير صحيحة",IF(ISNA(MATCH($G1758,Lists!$B$2:$B$7,0)),"✖ المجموعة غير صحيحة",IF(NOT(OR($H1758="",$N1758&gt;0)),"✖ Start غير صحيح",IF(NOT(OR($I1758="",$I1758="NR",$O1758&gt;0)),"✖ Current غير صحيح",IF(NOT(IF(ISNUMBER($J1758),AND($J1758&gt;=0,$J1758=INT($J1758)),FALSE())),"✖ العدد يجب أن يكون صحيحًا ≥ 0",IF(AND($F1758="Baseline",$H1758&lt;&gt;""),"⚠ Baseline: Start لا يدخل في التقدم",IF($K1758="No Start (attainment only)","ℹ تحصيل فقط (بدون Start)",IF($K1758="U – needs rule","ℹ حالة U تحتاج قاعدة معتمدة",IF($K1758="No result","ℹ بدون نتيجة (يُستبعد من التحصيل)","OK")))))))))))</f>
        <v/>
      </c>
      <c r="M1758" s="64" t="n">
        <f aca="false">IF($A1758="",0,IFERROR(MATCH($A1758,Classes!$A$6:$A$420,0),0))</f>
        <v>0</v>
      </c>
      <c r="N1758" s="64" t="n">
        <f aca="false">IF($H1758="",0,IFERROR(MATCH($H1758,GradeList,0),0))</f>
        <v>0</v>
      </c>
      <c r="O1758" s="64" t="n">
        <f aca="false">IF(OR($I1758="",$I1758="NR"),0,IFERROR(MATCH($I1758,GradeList,0),0))</f>
        <v>0</v>
      </c>
      <c r="P1758" s="64" t="n">
        <f aca="false">IF(AND($M1758&gt;0,ISNUMBER(MATCH($F1758,Lists!$A$2:$A$5,0)),ISNUMBER(MATCH($G1758,Lists!$B$2:$B$7,0)),OR($H1758="",$N1758&gt;0),OR($I1758="",$I1758="NR",$O1758&gt;0),IF(ISNUMBER($J1758),AND($J1758&gt;=0,$J1758=INT($J1758)),FALSE())),$J1758,0)</f>
        <v>0</v>
      </c>
      <c r="Q1758" s="64" t="n">
        <f aca="false">IF(AND($P1758&gt;0,$O1758&gt;0),$P1758,0)</f>
        <v>0</v>
      </c>
      <c r="R1758" s="64" t="n">
        <f aca="false">IF(AND($Q1758&gt;0,$O1758&gt;=AtRank),$Q1758,0)</f>
        <v>0</v>
      </c>
      <c r="S1758" s="64" t="n">
        <f aca="false">IF(AND($Q1758&gt;0,$O1758&gt;=AboveRank),$Q1758,0)</f>
        <v>0</v>
      </c>
      <c r="T1758" s="64" t="n">
        <f aca="false">IF($K1758="Less",$P1758,0)</f>
        <v>0</v>
      </c>
      <c r="U1758" s="64" t="n">
        <f aca="false">IF($K1758="Expected",$P1758,0)</f>
        <v>0</v>
      </c>
      <c r="V1758" s="64" t="n">
        <f aca="false">IF($K1758="Better",$P1758,0)</f>
        <v>0</v>
      </c>
      <c r="W1758" s="64" t="n">
        <f aca="false">IF($K1758="U – needs rule",$P1758,0)</f>
        <v>0</v>
      </c>
      <c r="X1758" s="64" t="n">
        <f aca="false">IF($K1758="No Start (attainment only)",$P1758,0)</f>
        <v>0</v>
      </c>
    </row>
    <row r="1759" customFormat="false" ht="15" hidden="false" customHeight="false" outlineLevel="0" collapsed="false">
      <c r="A1759" s="60"/>
      <c r="B1759" s="61" t="str">
        <f aca="false">IF($M1759=0,"",INDEX(Classes!$E$6:$E$420,$M1759))</f>
        <v/>
      </c>
      <c r="C1759" s="62" t="str">
        <f aca="false">IF($M1759=0,"",INDEX(Classes!$H$6:$H$420,$M1759))</f>
        <v/>
      </c>
      <c r="D1759" s="61" t="str">
        <f aca="false">IF($M1759=0,"",INDEX(Classes!$B$6:$B$420,$M1759))</f>
        <v/>
      </c>
      <c r="E1759" s="61" t="str">
        <f aca="false">IF($M1759=0,"",INDEX(Classes!$C$6:$C$420,$M1759))</f>
        <v/>
      </c>
      <c r="F1759" s="63"/>
      <c r="G1759" s="63"/>
      <c r="H1759" s="60"/>
      <c r="I1759" s="60"/>
      <c r="J1759" s="63"/>
      <c r="K1759" s="61" t="str">
        <f aca="false">IF($P1759=0,"",IF($F1759="Baseline","— Baseline",IF($O1759=0,"No result",IF($N1759=0,"No Start (attainment only)",IF(OR($N1759=1,$O1759=1),"U – needs rule",INDEX(MxBody,MATCH($I1759,MxCurr,0),MATCH($H1759,MxStart,0)))))))</f>
        <v/>
      </c>
      <c r="L1759" s="62" t="str">
        <f aca="false">IF(COUNTA($A1759,$F1759,$G1759,$H1759,$I1759,$J1759)=0,"",IF($M1759=0,"✖ كود الصف غير موجود",IF(ISNA(MATCH($F1759,Lists!$A$2:$A$5,0)),"✖ الفترة غير صحيحة",IF(ISNA(MATCH($G1759,Lists!$B$2:$B$7,0)),"✖ المجموعة غير صحيحة",IF(NOT(OR($H1759="",$N1759&gt;0)),"✖ Start غير صحيح",IF(NOT(OR($I1759="",$I1759="NR",$O1759&gt;0)),"✖ Current غير صحيح",IF(NOT(IF(ISNUMBER($J1759),AND($J1759&gt;=0,$J1759=INT($J1759)),FALSE())),"✖ العدد يجب أن يكون صحيحًا ≥ 0",IF(AND($F1759="Baseline",$H1759&lt;&gt;""),"⚠ Baseline: Start لا يدخل في التقدم",IF($K1759="No Start (attainment only)","ℹ تحصيل فقط (بدون Start)",IF($K1759="U – needs rule","ℹ حالة U تحتاج قاعدة معتمدة",IF($K1759="No result","ℹ بدون نتيجة (يُستبعد من التحصيل)","OK")))))))))))</f>
        <v/>
      </c>
      <c r="M1759" s="64" t="n">
        <f aca="false">IF($A1759="",0,IFERROR(MATCH($A1759,Classes!$A$6:$A$420,0),0))</f>
        <v>0</v>
      </c>
      <c r="N1759" s="64" t="n">
        <f aca="false">IF($H1759="",0,IFERROR(MATCH($H1759,GradeList,0),0))</f>
        <v>0</v>
      </c>
      <c r="O1759" s="64" t="n">
        <f aca="false">IF(OR($I1759="",$I1759="NR"),0,IFERROR(MATCH($I1759,GradeList,0),0))</f>
        <v>0</v>
      </c>
      <c r="P1759" s="64" t="n">
        <f aca="false">IF(AND($M1759&gt;0,ISNUMBER(MATCH($F1759,Lists!$A$2:$A$5,0)),ISNUMBER(MATCH($G1759,Lists!$B$2:$B$7,0)),OR($H1759="",$N1759&gt;0),OR($I1759="",$I1759="NR",$O1759&gt;0),IF(ISNUMBER($J1759),AND($J1759&gt;=0,$J1759=INT($J1759)),FALSE())),$J1759,0)</f>
        <v>0</v>
      </c>
      <c r="Q1759" s="64" t="n">
        <f aca="false">IF(AND($P1759&gt;0,$O1759&gt;0),$P1759,0)</f>
        <v>0</v>
      </c>
      <c r="R1759" s="64" t="n">
        <f aca="false">IF(AND($Q1759&gt;0,$O1759&gt;=AtRank),$Q1759,0)</f>
        <v>0</v>
      </c>
      <c r="S1759" s="64" t="n">
        <f aca="false">IF(AND($Q1759&gt;0,$O1759&gt;=AboveRank),$Q1759,0)</f>
        <v>0</v>
      </c>
      <c r="T1759" s="64" t="n">
        <f aca="false">IF($K1759="Less",$P1759,0)</f>
        <v>0</v>
      </c>
      <c r="U1759" s="64" t="n">
        <f aca="false">IF($K1759="Expected",$P1759,0)</f>
        <v>0</v>
      </c>
      <c r="V1759" s="64" t="n">
        <f aca="false">IF($K1759="Better",$P1759,0)</f>
        <v>0</v>
      </c>
      <c r="W1759" s="64" t="n">
        <f aca="false">IF($K1759="U – needs rule",$P1759,0)</f>
        <v>0</v>
      </c>
      <c r="X1759" s="64" t="n">
        <f aca="false">IF($K1759="No Start (attainment only)",$P1759,0)</f>
        <v>0</v>
      </c>
    </row>
    <row r="1760" customFormat="false" ht="15" hidden="false" customHeight="false" outlineLevel="0" collapsed="false">
      <c r="A1760" s="60"/>
      <c r="B1760" s="61" t="str">
        <f aca="false">IF($M1760=0,"",INDEX(Classes!$E$6:$E$420,$M1760))</f>
        <v/>
      </c>
      <c r="C1760" s="62" t="str">
        <f aca="false">IF($M1760=0,"",INDEX(Classes!$H$6:$H$420,$M1760))</f>
        <v/>
      </c>
      <c r="D1760" s="61" t="str">
        <f aca="false">IF($M1760=0,"",INDEX(Classes!$B$6:$B$420,$M1760))</f>
        <v/>
      </c>
      <c r="E1760" s="61" t="str">
        <f aca="false">IF($M1760=0,"",INDEX(Classes!$C$6:$C$420,$M1760))</f>
        <v/>
      </c>
      <c r="F1760" s="63"/>
      <c r="G1760" s="63"/>
      <c r="H1760" s="60"/>
      <c r="I1760" s="60"/>
      <c r="J1760" s="63"/>
      <c r="K1760" s="61" t="str">
        <f aca="false">IF($P1760=0,"",IF($F1760="Baseline","— Baseline",IF($O1760=0,"No result",IF($N1760=0,"No Start (attainment only)",IF(OR($N1760=1,$O1760=1),"U – needs rule",INDEX(MxBody,MATCH($I1760,MxCurr,0),MATCH($H1760,MxStart,0)))))))</f>
        <v/>
      </c>
      <c r="L1760" s="62" t="str">
        <f aca="false">IF(COUNTA($A1760,$F1760,$G1760,$H1760,$I1760,$J1760)=0,"",IF($M1760=0,"✖ كود الصف غير موجود",IF(ISNA(MATCH($F1760,Lists!$A$2:$A$5,0)),"✖ الفترة غير صحيحة",IF(ISNA(MATCH($G1760,Lists!$B$2:$B$7,0)),"✖ المجموعة غير صحيحة",IF(NOT(OR($H1760="",$N1760&gt;0)),"✖ Start غير صحيح",IF(NOT(OR($I1760="",$I1760="NR",$O1760&gt;0)),"✖ Current غير صحيح",IF(NOT(IF(ISNUMBER($J1760),AND($J1760&gt;=0,$J1760=INT($J1760)),FALSE())),"✖ العدد يجب أن يكون صحيحًا ≥ 0",IF(AND($F1760="Baseline",$H1760&lt;&gt;""),"⚠ Baseline: Start لا يدخل في التقدم",IF($K1760="No Start (attainment only)","ℹ تحصيل فقط (بدون Start)",IF($K1760="U – needs rule","ℹ حالة U تحتاج قاعدة معتمدة",IF($K1760="No result","ℹ بدون نتيجة (يُستبعد من التحصيل)","OK")))))))))))</f>
        <v/>
      </c>
      <c r="M1760" s="64" t="n">
        <f aca="false">IF($A1760="",0,IFERROR(MATCH($A1760,Classes!$A$6:$A$420,0),0))</f>
        <v>0</v>
      </c>
      <c r="N1760" s="64" t="n">
        <f aca="false">IF($H1760="",0,IFERROR(MATCH($H1760,GradeList,0),0))</f>
        <v>0</v>
      </c>
      <c r="O1760" s="64" t="n">
        <f aca="false">IF(OR($I1760="",$I1760="NR"),0,IFERROR(MATCH($I1760,GradeList,0),0))</f>
        <v>0</v>
      </c>
      <c r="P1760" s="64" t="n">
        <f aca="false">IF(AND($M1760&gt;0,ISNUMBER(MATCH($F1760,Lists!$A$2:$A$5,0)),ISNUMBER(MATCH($G1760,Lists!$B$2:$B$7,0)),OR($H1760="",$N1760&gt;0),OR($I1760="",$I1760="NR",$O1760&gt;0),IF(ISNUMBER($J1760),AND($J1760&gt;=0,$J1760=INT($J1760)),FALSE())),$J1760,0)</f>
        <v>0</v>
      </c>
      <c r="Q1760" s="64" t="n">
        <f aca="false">IF(AND($P1760&gt;0,$O1760&gt;0),$P1760,0)</f>
        <v>0</v>
      </c>
      <c r="R1760" s="64" t="n">
        <f aca="false">IF(AND($Q1760&gt;0,$O1760&gt;=AtRank),$Q1760,0)</f>
        <v>0</v>
      </c>
      <c r="S1760" s="64" t="n">
        <f aca="false">IF(AND($Q1760&gt;0,$O1760&gt;=AboveRank),$Q1760,0)</f>
        <v>0</v>
      </c>
      <c r="T1760" s="64" t="n">
        <f aca="false">IF($K1760="Less",$P1760,0)</f>
        <v>0</v>
      </c>
      <c r="U1760" s="64" t="n">
        <f aca="false">IF($K1760="Expected",$P1760,0)</f>
        <v>0</v>
      </c>
      <c r="V1760" s="64" t="n">
        <f aca="false">IF($K1760="Better",$P1760,0)</f>
        <v>0</v>
      </c>
      <c r="W1760" s="64" t="n">
        <f aca="false">IF($K1760="U – needs rule",$P1760,0)</f>
        <v>0</v>
      </c>
      <c r="X1760" s="64" t="n">
        <f aca="false">IF($K1760="No Start (attainment only)",$P1760,0)</f>
        <v>0</v>
      </c>
    </row>
    <row r="1761" customFormat="false" ht="15" hidden="false" customHeight="false" outlineLevel="0" collapsed="false">
      <c r="A1761" s="60"/>
      <c r="B1761" s="61" t="str">
        <f aca="false">IF($M1761=0,"",INDEX(Classes!$E$6:$E$420,$M1761))</f>
        <v/>
      </c>
      <c r="C1761" s="62" t="str">
        <f aca="false">IF($M1761=0,"",INDEX(Classes!$H$6:$H$420,$M1761))</f>
        <v/>
      </c>
      <c r="D1761" s="61" t="str">
        <f aca="false">IF($M1761=0,"",INDEX(Classes!$B$6:$B$420,$M1761))</f>
        <v/>
      </c>
      <c r="E1761" s="61" t="str">
        <f aca="false">IF($M1761=0,"",INDEX(Classes!$C$6:$C$420,$M1761))</f>
        <v/>
      </c>
      <c r="F1761" s="63"/>
      <c r="G1761" s="63"/>
      <c r="H1761" s="60"/>
      <c r="I1761" s="60"/>
      <c r="J1761" s="63"/>
      <c r="K1761" s="61" t="str">
        <f aca="false">IF($P1761=0,"",IF($F1761="Baseline","— Baseline",IF($O1761=0,"No result",IF($N1761=0,"No Start (attainment only)",IF(OR($N1761=1,$O1761=1),"U – needs rule",INDEX(MxBody,MATCH($I1761,MxCurr,0),MATCH($H1761,MxStart,0)))))))</f>
        <v/>
      </c>
      <c r="L1761" s="62" t="str">
        <f aca="false">IF(COUNTA($A1761,$F1761,$G1761,$H1761,$I1761,$J1761)=0,"",IF($M1761=0,"✖ كود الصف غير موجود",IF(ISNA(MATCH($F1761,Lists!$A$2:$A$5,0)),"✖ الفترة غير صحيحة",IF(ISNA(MATCH($G1761,Lists!$B$2:$B$7,0)),"✖ المجموعة غير صحيحة",IF(NOT(OR($H1761="",$N1761&gt;0)),"✖ Start غير صحيح",IF(NOT(OR($I1761="",$I1761="NR",$O1761&gt;0)),"✖ Current غير صحيح",IF(NOT(IF(ISNUMBER($J1761),AND($J1761&gt;=0,$J1761=INT($J1761)),FALSE())),"✖ العدد يجب أن يكون صحيحًا ≥ 0",IF(AND($F1761="Baseline",$H1761&lt;&gt;""),"⚠ Baseline: Start لا يدخل في التقدم",IF($K1761="No Start (attainment only)","ℹ تحصيل فقط (بدون Start)",IF($K1761="U – needs rule","ℹ حالة U تحتاج قاعدة معتمدة",IF($K1761="No result","ℹ بدون نتيجة (يُستبعد من التحصيل)","OK")))))))))))</f>
        <v/>
      </c>
      <c r="M1761" s="64" t="n">
        <f aca="false">IF($A1761="",0,IFERROR(MATCH($A1761,Classes!$A$6:$A$420,0),0))</f>
        <v>0</v>
      </c>
      <c r="N1761" s="64" t="n">
        <f aca="false">IF($H1761="",0,IFERROR(MATCH($H1761,GradeList,0),0))</f>
        <v>0</v>
      </c>
      <c r="O1761" s="64" t="n">
        <f aca="false">IF(OR($I1761="",$I1761="NR"),0,IFERROR(MATCH($I1761,GradeList,0),0))</f>
        <v>0</v>
      </c>
      <c r="P1761" s="64" t="n">
        <f aca="false">IF(AND($M1761&gt;0,ISNUMBER(MATCH($F1761,Lists!$A$2:$A$5,0)),ISNUMBER(MATCH($G1761,Lists!$B$2:$B$7,0)),OR($H1761="",$N1761&gt;0),OR($I1761="",$I1761="NR",$O1761&gt;0),IF(ISNUMBER($J1761),AND($J1761&gt;=0,$J1761=INT($J1761)),FALSE())),$J1761,0)</f>
        <v>0</v>
      </c>
      <c r="Q1761" s="64" t="n">
        <f aca="false">IF(AND($P1761&gt;0,$O1761&gt;0),$P1761,0)</f>
        <v>0</v>
      </c>
      <c r="R1761" s="64" t="n">
        <f aca="false">IF(AND($Q1761&gt;0,$O1761&gt;=AtRank),$Q1761,0)</f>
        <v>0</v>
      </c>
      <c r="S1761" s="64" t="n">
        <f aca="false">IF(AND($Q1761&gt;0,$O1761&gt;=AboveRank),$Q1761,0)</f>
        <v>0</v>
      </c>
      <c r="T1761" s="64" t="n">
        <f aca="false">IF($K1761="Less",$P1761,0)</f>
        <v>0</v>
      </c>
      <c r="U1761" s="64" t="n">
        <f aca="false">IF($K1761="Expected",$P1761,0)</f>
        <v>0</v>
      </c>
      <c r="V1761" s="64" t="n">
        <f aca="false">IF($K1761="Better",$P1761,0)</f>
        <v>0</v>
      </c>
      <c r="W1761" s="64" t="n">
        <f aca="false">IF($K1761="U – needs rule",$P1761,0)</f>
        <v>0</v>
      </c>
      <c r="X1761" s="64" t="n">
        <f aca="false">IF($K1761="No Start (attainment only)",$P1761,0)</f>
        <v>0</v>
      </c>
    </row>
    <row r="1762" customFormat="false" ht="15" hidden="false" customHeight="false" outlineLevel="0" collapsed="false">
      <c r="A1762" s="60"/>
      <c r="B1762" s="61" t="str">
        <f aca="false">IF($M1762=0,"",INDEX(Classes!$E$6:$E$420,$M1762))</f>
        <v/>
      </c>
      <c r="C1762" s="62" t="str">
        <f aca="false">IF($M1762=0,"",INDEX(Classes!$H$6:$H$420,$M1762))</f>
        <v/>
      </c>
      <c r="D1762" s="61" t="str">
        <f aca="false">IF($M1762=0,"",INDEX(Classes!$B$6:$B$420,$M1762))</f>
        <v/>
      </c>
      <c r="E1762" s="61" t="str">
        <f aca="false">IF($M1762=0,"",INDEX(Classes!$C$6:$C$420,$M1762))</f>
        <v/>
      </c>
      <c r="F1762" s="63"/>
      <c r="G1762" s="63"/>
      <c r="H1762" s="60"/>
      <c r="I1762" s="60"/>
      <c r="J1762" s="63"/>
      <c r="K1762" s="61" t="str">
        <f aca="false">IF($P1762=0,"",IF($F1762="Baseline","— Baseline",IF($O1762=0,"No result",IF($N1762=0,"No Start (attainment only)",IF(OR($N1762=1,$O1762=1),"U – needs rule",INDEX(MxBody,MATCH($I1762,MxCurr,0),MATCH($H1762,MxStart,0)))))))</f>
        <v/>
      </c>
      <c r="L1762" s="62" t="str">
        <f aca="false">IF(COUNTA($A1762,$F1762,$G1762,$H1762,$I1762,$J1762)=0,"",IF($M1762=0,"✖ كود الصف غير موجود",IF(ISNA(MATCH($F1762,Lists!$A$2:$A$5,0)),"✖ الفترة غير صحيحة",IF(ISNA(MATCH($G1762,Lists!$B$2:$B$7,0)),"✖ المجموعة غير صحيحة",IF(NOT(OR($H1762="",$N1762&gt;0)),"✖ Start غير صحيح",IF(NOT(OR($I1762="",$I1762="NR",$O1762&gt;0)),"✖ Current غير صحيح",IF(NOT(IF(ISNUMBER($J1762),AND($J1762&gt;=0,$J1762=INT($J1762)),FALSE())),"✖ العدد يجب أن يكون صحيحًا ≥ 0",IF(AND($F1762="Baseline",$H1762&lt;&gt;""),"⚠ Baseline: Start لا يدخل في التقدم",IF($K1762="No Start (attainment only)","ℹ تحصيل فقط (بدون Start)",IF($K1762="U – needs rule","ℹ حالة U تحتاج قاعدة معتمدة",IF($K1762="No result","ℹ بدون نتيجة (يُستبعد من التحصيل)","OK")))))))))))</f>
        <v/>
      </c>
      <c r="M1762" s="64" t="n">
        <f aca="false">IF($A1762="",0,IFERROR(MATCH($A1762,Classes!$A$6:$A$420,0),0))</f>
        <v>0</v>
      </c>
      <c r="N1762" s="64" t="n">
        <f aca="false">IF($H1762="",0,IFERROR(MATCH($H1762,GradeList,0),0))</f>
        <v>0</v>
      </c>
      <c r="O1762" s="64" t="n">
        <f aca="false">IF(OR($I1762="",$I1762="NR"),0,IFERROR(MATCH($I1762,GradeList,0),0))</f>
        <v>0</v>
      </c>
      <c r="P1762" s="64" t="n">
        <f aca="false">IF(AND($M1762&gt;0,ISNUMBER(MATCH($F1762,Lists!$A$2:$A$5,0)),ISNUMBER(MATCH($G1762,Lists!$B$2:$B$7,0)),OR($H1762="",$N1762&gt;0),OR($I1762="",$I1762="NR",$O1762&gt;0),IF(ISNUMBER($J1762),AND($J1762&gt;=0,$J1762=INT($J1762)),FALSE())),$J1762,0)</f>
        <v>0</v>
      </c>
      <c r="Q1762" s="64" t="n">
        <f aca="false">IF(AND($P1762&gt;0,$O1762&gt;0),$P1762,0)</f>
        <v>0</v>
      </c>
      <c r="R1762" s="64" t="n">
        <f aca="false">IF(AND($Q1762&gt;0,$O1762&gt;=AtRank),$Q1762,0)</f>
        <v>0</v>
      </c>
      <c r="S1762" s="64" t="n">
        <f aca="false">IF(AND($Q1762&gt;0,$O1762&gt;=AboveRank),$Q1762,0)</f>
        <v>0</v>
      </c>
      <c r="T1762" s="64" t="n">
        <f aca="false">IF($K1762="Less",$P1762,0)</f>
        <v>0</v>
      </c>
      <c r="U1762" s="64" t="n">
        <f aca="false">IF($K1762="Expected",$P1762,0)</f>
        <v>0</v>
      </c>
      <c r="V1762" s="64" t="n">
        <f aca="false">IF($K1762="Better",$P1762,0)</f>
        <v>0</v>
      </c>
      <c r="W1762" s="64" t="n">
        <f aca="false">IF($K1762="U – needs rule",$P1762,0)</f>
        <v>0</v>
      </c>
      <c r="X1762" s="64" t="n">
        <f aca="false">IF($K1762="No Start (attainment only)",$P1762,0)</f>
        <v>0</v>
      </c>
    </row>
    <row r="1763" customFormat="false" ht="15" hidden="false" customHeight="false" outlineLevel="0" collapsed="false">
      <c r="A1763" s="60"/>
      <c r="B1763" s="61" t="str">
        <f aca="false">IF($M1763=0,"",INDEX(Classes!$E$6:$E$420,$M1763))</f>
        <v/>
      </c>
      <c r="C1763" s="62" t="str">
        <f aca="false">IF($M1763=0,"",INDEX(Classes!$H$6:$H$420,$M1763))</f>
        <v/>
      </c>
      <c r="D1763" s="61" t="str">
        <f aca="false">IF($M1763=0,"",INDEX(Classes!$B$6:$B$420,$M1763))</f>
        <v/>
      </c>
      <c r="E1763" s="61" t="str">
        <f aca="false">IF($M1763=0,"",INDEX(Classes!$C$6:$C$420,$M1763))</f>
        <v/>
      </c>
      <c r="F1763" s="63"/>
      <c r="G1763" s="63"/>
      <c r="H1763" s="60"/>
      <c r="I1763" s="60"/>
      <c r="J1763" s="63"/>
      <c r="K1763" s="61" t="str">
        <f aca="false">IF($P1763=0,"",IF($F1763="Baseline","— Baseline",IF($O1763=0,"No result",IF($N1763=0,"No Start (attainment only)",IF(OR($N1763=1,$O1763=1),"U – needs rule",INDEX(MxBody,MATCH($I1763,MxCurr,0),MATCH($H1763,MxStart,0)))))))</f>
        <v/>
      </c>
      <c r="L1763" s="62" t="str">
        <f aca="false">IF(COUNTA($A1763,$F1763,$G1763,$H1763,$I1763,$J1763)=0,"",IF($M1763=0,"✖ كود الصف غير موجود",IF(ISNA(MATCH($F1763,Lists!$A$2:$A$5,0)),"✖ الفترة غير صحيحة",IF(ISNA(MATCH($G1763,Lists!$B$2:$B$7,0)),"✖ المجموعة غير صحيحة",IF(NOT(OR($H1763="",$N1763&gt;0)),"✖ Start غير صحيح",IF(NOT(OR($I1763="",$I1763="NR",$O1763&gt;0)),"✖ Current غير صحيح",IF(NOT(IF(ISNUMBER($J1763),AND($J1763&gt;=0,$J1763=INT($J1763)),FALSE())),"✖ العدد يجب أن يكون صحيحًا ≥ 0",IF(AND($F1763="Baseline",$H1763&lt;&gt;""),"⚠ Baseline: Start لا يدخل في التقدم",IF($K1763="No Start (attainment only)","ℹ تحصيل فقط (بدون Start)",IF($K1763="U – needs rule","ℹ حالة U تحتاج قاعدة معتمدة",IF($K1763="No result","ℹ بدون نتيجة (يُستبعد من التحصيل)","OK")))))))))))</f>
        <v/>
      </c>
      <c r="M1763" s="64" t="n">
        <f aca="false">IF($A1763="",0,IFERROR(MATCH($A1763,Classes!$A$6:$A$420,0),0))</f>
        <v>0</v>
      </c>
      <c r="N1763" s="64" t="n">
        <f aca="false">IF($H1763="",0,IFERROR(MATCH($H1763,GradeList,0),0))</f>
        <v>0</v>
      </c>
      <c r="O1763" s="64" t="n">
        <f aca="false">IF(OR($I1763="",$I1763="NR"),0,IFERROR(MATCH($I1763,GradeList,0),0))</f>
        <v>0</v>
      </c>
      <c r="P1763" s="64" t="n">
        <f aca="false">IF(AND($M1763&gt;0,ISNUMBER(MATCH($F1763,Lists!$A$2:$A$5,0)),ISNUMBER(MATCH($G1763,Lists!$B$2:$B$7,0)),OR($H1763="",$N1763&gt;0),OR($I1763="",$I1763="NR",$O1763&gt;0),IF(ISNUMBER($J1763),AND($J1763&gt;=0,$J1763=INT($J1763)),FALSE())),$J1763,0)</f>
        <v>0</v>
      </c>
      <c r="Q1763" s="64" t="n">
        <f aca="false">IF(AND($P1763&gt;0,$O1763&gt;0),$P1763,0)</f>
        <v>0</v>
      </c>
      <c r="R1763" s="64" t="n">
        <f aca="false">IF(AND($Q1763&gt;0,$O1763&gt;=AtRank),$Q1763,0)</f>
        <v>0</v>
      </c>
      <c r="S1763" s="64" t="n">
        <f aca="false">IF(AND($Q1763&gt;0,$O1763&gt;=AboveRank),$Q1763,0)</f>
        <v>0</v>
      </c>
      <c r="T1763" s="64" t="n">
        <f aca="false">IF($K1763="Less",$P1763,0)</f>
        <v>0</v>
      </c>
      <c r="U1763" s="64" t="n">
        <f aca="false">IF($K1763="Expected",$P1763,0)</f>
        <v>0</v>
      </c>
      <c r="V1763" s="64" t="n">
        <f aca="false">IF($K1763="Better",$P1763,0)</f>
        <v>0</v>
      </c>
      <c r="W1763" s="64" t="n">
        <f aca="false">IF($K1763="U – needs rule",$P1763,0)</f>
        <v>0</v>
      </c>
      <c r="X1763" s="64" t="n">
        <f aca="false">IF($K1763="No Start (attainment only)",$P1763,0)</f>
        <v>0</v>
      </c>
    </row>
    <row r="1764" customFormat="false" ht="15" hidden="false" customHeight="false" outlineLevel="0" collapsed="false">
      <c r="A1764" s="60"/>
      <c r="B1764" s="61" t="str">
        <f aca="false">IF($M1764=0,"",INDEX(Classes!$E$6:$E$420,$M1764))</f>
        <v/>
      </c>
      <c r="C1764" s="62" t="str">
        <f aca="false">IF($M1764=0,"",INDEX(Classes!$H$6:$H$420,$M1764))</f>
        <v/>
      </c>
      <c r="D1764" s="61" t="str">
        <f aca="false">IF($M1764=0,"",INDEX(Classes!$B$6:$B$420,$M1764))</f>
        <v/>
      </c>
      <c r="E1764" s="61" t="str">
        <f aca="false">IF($M1764=0,"",INDEX(Classes!$C$6:$C$420,$M1764))</f>
        <v/>
      </c>
      <c r="F1764" s="63"/>
      <c r="G1764" s="63"/>
      <c r="H1764" s="60"/>
      <c r="I1764" s="60"/>
      <c r="J1764" s="63"/>
      <c r="K1764" s="61" t="str">
        <f aca="false">IF($P1764=0,"",IF($F1764="Baseline","— Baseline",IF($O1764=0,"No result",IF($N1764=0,"No Start (attainment only)",IF(OR($N1764=1,$O1764=1),"U – needs rule",INDEX(MxBody,MATCH($I1764,MxCurr,0),MATCH($H1764,MxStart,0)))))))</f>
        <v/>
      </c>
      <c r="L1764" s="62" t="str">
        <f aca="false">IF(COUNTA($A1764,$F1764,$G1764,$H1764,$I1764,$J1764)=0,"",IF($M1764=0,"✖ كود الصف غير موجود",IF(ISNA(MATCH($F1764,Lists!$A$2:$A$5,0)),"✖ الفترة غير صحيحة",IF(ISNA(MATCH($G1764,Lists!$B$2:$B$7,0)),"✖ المجموعة غير صحيحة",IF(NOT(OR($H1764="",$N1764&gt;0)),"✖ Start غير صحيح",IF(NOT(OR($I1764="",$I1764="NR",$O1764&gt;0)),"✖ Current غير صحيح",IF(NOT(IF(ISNUMBER($J1764),AND($J1764&gt;=0,$J1764=INT($J1764)),FALSE())),"✖ العدد يجب أن يكون صحيحًا ≥ 0",IF(AND($F1764="Baseline",$H1764&lt;&gt;""),"⚠ Baseline: Start لا يدخل في التقدم",IF($K1764="No Start (attainment only)","ℹ تحصيل فقط (بدون Start)",IF($K1764="U – needs rule","ℹ حالة U تحتاج قاعدة معتمدة",IF($K1764="No result","ℹ بدون نتيجة (يُستبعد من التحصيل)","OK")))))))))))</f>
        <v/>
      </c>
      <c r="M1764" s="64" t="n">
        <f aca="false">IF($A1764="",0,IFERROR(MATCH($A1764,Classes!$A$6:$A$420,0),0))</f>
        <v>0</v>
      </c>
      <c r="N1764" s="64" t="n">
        <f aca="false">IF($H1764="",0,IFERROR(MATCH($H1764,GradeList,0),0))</f>
        <v>0</v>
      </c>
      <c r="O1764" s="64" t="n">
        <f aca="false">IF(OR($I1764="",$I1764="NR"),0,IFERROR(MATCH($I1764,GradeList,0),0))</f>
        <v>0</v>
      </c>
      <c r="P1764" s="64" t="n">
        <f aca="false">IF(AND($M1764&gt;0,ISNUMBER(MATCH($F1764,Lists!$A$2:$A$5,0)),ISNUMBER(MATCH($G1764,Lists!$B$2:$B$7,0)),OR($H1764="",$N1764&gt;0),OR($I1764="",$I1764="NR",$O1764&gt;0),IF(ISNUMBER($J1764),AND($J1764&gt;=0,$J1764=INT($J1764)),FALSE())),$J1764,0)</f>
        <v>0</v>
      </c>
      <c r="Q1764" s="64" t="n">
        <f aca="false">IF(AND($P1764&gt;0,$O1764&gt;0),$P1764,0)</f>
        <v>0</v>
      </c>
      <c r="R1764" s="64" t="n">
        <f aca="false">IF(AND($Q1764&gt;0,$O1764&gt;=AtRank),$Q1764,0)</f>
        <v>0</v>
      </c>
      <c r="S1764" s="64" t="n">
        <f aca="false">IF(AND($Q1764&gt;0,$O1764&gt;=AboveRank),$Q1764,0)</f>
        <v>0</v>
      </c>
      <c r="T1764" s="64" t="n">
        <f aca="false">IF($K1764="Less",$P1764,0)</f>
        <v>0</v>
      </c>
      <c r="U1764" s="64" t="n">
        <f aca="false">IF($K1764="Expected",$P1764,0)</f>
        <v>0</v>
      </c>
      <c r="V1764" s="64" t="n">
        <f aca="false">IF($K1764="Better",$P1764,0)</f>
        <v>0</v>
      </c>
      <c r="W1764" s="64" t="n">
        <f aca="false">IF($K1764="U – needs rule",$P1764,0)</f>
        <v>0</v>
      </c>
      <c r="X1764" s="64" t="n">
        <f aca="false">IF($K1764="No Start (attainment only)",$P1764,0)</f>
        <v>0</v>
      </c>
    </row>
    <row r="1765" customFormat="false" ht="15" hidden="false" customHeight="false" outlineLevel="0" collapsed="false">
      <c r="A1765" s="60"/>
      <c r="B1765" s="61" t="str">
        <f aca="false">IF($M1765=0,"",INDEX(Classes!$E$6:$E$420,$M1765))</f>
        <v/>
      </c>
      <c r="C1765" s="62" t="str">
        <f aca="false">IF($M1765=0,"",INDEX(Classes!$H$6:$H$420,$M1765))</f>
        <v/>
      </c>
      <c r="D1765" s="61" t="str">
        <f aca="false">IF($M1765=0,"",INDEX(Classes!$B$6:$B$420,$M1765))</f>
        <v/>
      </c>
      <c r="E1765" s="61" t="str">
        <f aca="false">IF($M1765=0,"",INDEX(Classes!$C$6:$C$420,$M1765))</f>
        <v/>
      </c>
      <c r="F1765" s="63"/>
      <c r="G1765" s="63"/>
      <c r="H1765" s="60"/>
      <c r="I1765" s="60"/>
      <c r="J1765" s="63"/>
      <c r="K1765" s="61" t="str">
        <f aca="false">IF($P1765=0,"",IF($F1765="Baseline","— Baseline",IF($O1765=0,"No result",IF($N1765=0,"No Start (attainment only)",IF(OR($N1765=1,$O1765=1),"U – needs rule",INDEX(MxBody,MATCH($I1765,MxCurr,0),MATCH($H1765,MxStart,0)))))))</f>
        <v/>
      </c>
      <c r="L1765" s="62" t="str">
        <f aca="false">IF(COUNTA($A1765,$F1765,$G1765,$H1765,$I1765,$J1765)=0,"",IF($M1765=0,"✖ كود الصف غير موجود",IF(ISNA(MATCH($F1765,Lists!$A$2:$A$5,0)),"✖ الفترة غير صحيحة",IF(ISNA(MATCH($G1765,Lists!$B$2:$B$7,0)),"✖ المجموعة غير صحيحة",IF(NOT(OR($H1765="",$N1765&gt;0)),"✖ Start غير صحيح",IF(NOT(OR($I1765="",$I1765="NR",$O1765&gt;0)),"✖ Current غير صحيح",IF(NOT(IF(ISNUMBER($J1765),AND($J1765&gt;=0,$J1765=INT($J1765)),FALSE())),"✖ العدد يجب أن يكون صحيحًا ≥ 0",IF(AND($F1765="Baseline",$H1765&lt;&gt;""),"⚠ Baseline: Start لا يدخل في التقدم",IF($K1765="No Start (attainment only)","ℹ تحصيل فقط (بدون Start)",IF($K1765="U – needs rule","ℹ حالة U تحتاج قاعدة معتمدة",IF($K1765="No result","ℹ بدون نتيجة (يُستبعد من التحصيل)","OK")))))))))))</f>
        <v/>
      </c>
      <c r="M1765" s="64" t="n">
        <f aca="false">IF($A1765="",0,IFERROR(MATCH($A1765,Classes!$A$6:$A$420,0),0))</f>
        <v>0</v>
      </c>
      <c r="N1765" s="64" t="n">
        <f aca="false">IF($H1765="",0,IFERROR(MATCH($H1765,GradeList,0),0))</f>
        <v>0</v>
      </c>
      <c r="O1765" s="64" t="n">
        <f aca="false">IF(OR($I1765="",$I1765="NR"),0,IFERROR(MATCH($I1765,GradeList,0),0))</f>
        <v>0</v>
      </c>
      <c r="P1765" s="64" t="n">
        <f aca="false">IF(AND($M1765&gt;0,ISNUMBER(MATCH($F1765,Lists!$A$2:$A$5,0)),ISNUMBER(MATCH($G1765,Lists!$B$2:$B$7,0)),OR($H1765="",$N1765&gt;0),OR($I1765="",$I1765="NR",$O1765&gt;0),IF(ISNUMBER($J1765),AND($J1765&gt;=0,$J1765=INT($J1765)),FALSE())),$J1765,0)</f>
        <v>0</v>
      </c>
      <c r="Q1765" s="64" t="n">
        <f aca="false">IF(AND($P1765&gt;0,$O1765&gt;0),$P1765,0)</f>
        <v>0</v>
      </c>
      <c r="R1765" s="64" t="n">
        <f aca="false">IF(AND($Q1765&gt;0,$O1765&gt;=AtRank),$Q1765,0)</f>
        <v>0</v>
      </c>
      <c r="S1765" s="64" t="n">
        <f aca="false">IF(AND($Q1765&gt;0,$O1765&gt;=AboveRank),$Q1765,0)</f>
        <v>0</v>
      </c>
      <c r="T1765" s="64" t="n">
        <f aca="false">IF($K1765="Less",$P1765,0)</f>
        <v>0</v>
      </c>
      <c r="U1765" s="64" t="n">
        <f aca="false">IF($K1765="Expected",$P1765,0)</f>
        <v>0</v>
      </c>
      <c r="V1765" s="64" t="n">
        <f aca="false">IF($K1765="Better",$P1765,0)</f>
        <v>0</v>
      </c>
      <c r="W1765" s="64" t="n">
        <f aca="false">IF($K1765="U – needs rule",$P1765,0)</f>
        <v>0</v>
      </c>
      <c r="X1765" s="64" t="n">
        <f aca="false">IF($K1765="No Start (attainment only)",$P1765,0)</f>
        <v>0</v>
      </c>
    </row>
    <row r="1766" customFormat="false" ht="15" hidden="false" customHeight="false" outlineLevel="0" collapsed="false">
      <c r="A1766" s="60"/>
      <c r="B1766" s="61" t="str">
        <f aca="false">IF($M1766=0,"",INDEX(Classes!$E$6:$E$420,$M1766))</f>
        <v/>
      </c>
      <c r="C1766" s="62" t="str">
        <f aca="false">IF($M1766=0,"",INDEX(Classes!$H$6:$H$420,$M1766))</f>
        <v/>
      </c>
      <c r="D1766" s="61" t="str">
        <f aca="false">IF($M1766=0,"",INDEX(Classes!$B$6:$B$420,$M1766))</f>
        <v/>
      </c>
      <c r="E1766" s="61" t="str">
        <f aca="false">IF($M1766=0,"",INDEX(Classes!$C$6:$C$420,$M1766))</f>
        <v/>
      </c>
      <c r="F1766" s="63"/>
      <c r="G1766" s="63"/>
      <c r="H1766" s="60"/>
      <c r="I1766" s="60"/>
      <c r="J1766" s="63"/>
      <c r="K1766" s="61" t="str">
        <f aca="false">IF($P1766=0,"",IF($F1766="Baseline","— Baseline",IF($O1766=0,"No result",IF($N1766=0,"No Start (attainment only)",IF(OR($N1766=1,$O1766=1),"U – needs rule",INDEX(MxBody,MATCH($I1766,MxCurr,0),MATCH($H1766,MxStart,0)))))))</f>
        <v/>
      </c>
      <c r="L1766" s="62" t="str">
        <f aca="false">IF(COUNTA($A1766,$F1766,$G1766,$H1766,$I1766,$J1766)=0,"",IF($M1766=0,"✖ كود الصف غير موجود",IF(ISNA(MATCH($F1766,Lists!$A$2:$A$5,0)),"✖ الفترة غير صحيحة",IF(ISNA(MATCH($G1766,Lists!$B$2:$B$7,0)),"✖ المجموعة غير صحيحة",IF(NOT(OR($H1766="",$N1766&gt;0)),"✖ Start غير صحيح",IF(NOT(OR($I1766="",$I1766="NR",$O1766&gt;0)),"✖ Current غير صحيح",IF(NOT(IF(ISNUMBER($J1766),AND($J1766&gt;=0,$J1766=INT($J1766)),FALSE())),"✖ العدد يجب أن يكون صحيحًا ≥ 0",IF(AND($F1766="Baseline",$H1766&lt;&gt;""),"⚠ Baseline: Start لا يدخل في التقدم",IF($K1766="No Start (attainment only)","ℹ تحصيل فقط (بدون Start)",IF($K1766="U – needs rule","ℹ حالة U تحتاج قاعدة معتمدة",IF($K1766="No result","ℹ بدون نتيجة (يُستبعد من التحصيل)","OK")))))))))))</f>
        <v/>
      </c>
      <c r="M1766" s="64" t="n">
        <f aca="false">IF($A1766="",0,IFERROR(MATCH($A1766,Classes!$A$6:$A$420,0),0))</f>
        <v>0</v>
      </c>
      <c r="N1766" s="64" t="n">
        <f aca="false">IF($H1766="",0,IFERROR(MATCH($H1766,GradeList,0),0))</f>
        <v>0</v>
      </c>
      <c r="O1766" s="64" t="n">
        <f aca="false">IF(OR($I1766="",$I1766="NR"),0,IFERROR(MATCH($I1766,GradeList,0),0))</f>
        <v>0</v>
      </c>
      <c r="P1766" s="64" t="n">
        <f aca="false">IF(AND($M1766&gt;0,ISNUMBER(MATCH($F1766,Lists!$A$2:$A$5,0)),ISNUMBER(MATCH($G1766,Lists!$B$2:$B$7,0)),OR($H1766="",$N1766&gt;0),OR($I1766="",$I1766="NR",$O1766&gt;0),IF(ISNUMBER($J1766),AND($J1766&gt;=0,$J1766=INT($J1766)),FALSE())),$J1766,0)</f>
        <v>0</v>
      </c>
      <c r="Q1766" s="64" t="n">
        <f aca="false">IF(AND($P1766&gt;0,$O1766&gt;0),$P1766,0)</f>
        <v>0</v>
      </c>
      <c r="R1766" s="64" t="n">
        <f aca="false">IF(AND($Q1766&gt;0,$O1766&gt;=AtRank),$Q1766,0)</f>
        <v>0</v>
      </c>
      <c r="S1766" s="64" t="n">
        <f aca="false">IF(AND($Q1766&gt;0,$O1766&gt;=AboveRank),$Q1766,0)</f>
        <v>0</v>
      </c>
      <c r="T1766" s="64" t="n">
        <f aca="false">IF($K1766="Less",$P1766,0)</f>
        <v>0</v>
      </c>
      <c r="U1766" s="64" t="n">
        <f aca="false">IF($K1766="Expected",$P1766,0)</f>
        <v>0</v>
      </c>
      <c r="V1766" s="64" t="n">
        <f aca="false">IF($K1766="Better",$P1766,0)</f>
        <v>0</v>
      </c>
      <c r="W1766" s="64" t="n">
        <f aca="false">IF($K1766="U – needs rule",$P1766,0)</f>
        <v>0</v>
      </c>
      <c r="X1766" s="64" t="n">
        <f aca="false">IF($K1766="No Start (attainment only)",$P1766,0)</f>
        <v>0</v>
      </c>
    </row>
    <row r="1767" customFormat="false" ht="15" hidden="false" customHeight="false" outlineLevel="0" collapsed="false">
      <c r="A1767" s="60"/>
      <c r="B1767" s="61" t="str">
        <f aca="false">IF($M1767=0,"",INDEX(Classes!$E$6:$E$420,$M1767))</f>
        <v/>
      </c>
      <c r="C1767" s="62" t="str">
        <f aca="false">IF($M1767=0,"",INDEX(Classes!$H$6:$H$420,$M1767))</f>
        <v/>
      </c>
      <c r="D1767" s="61" t="str">
        <f aca="false">IF($M1767=0,"",INDEX(Classes!$B$6:$B$420,$M1767))</f>
        <v/>
      </c>
      <c r="E1767" s="61" t="str">
        <f aca="false">IF($M1767=0,"",INDEX(Classes!$C$6:$C$420,$M1767))</f>
        <v/>
      </c>
      <c r="F1767" s="63"/>
      <c r="G1767" s="63"/>
      <c r="H1767" s="60"/>
      <c r="I1767" s="60"/>
      <c r="J1767" s="63"/>
      <c r="K1767" s="61" t="str">
        <f aca="false">IF($P1767=0,"",IF($F1767="Baseline","— Baseline",IF($O1767=0,"No result",IF($N1767=0,"No Start (attainment only)",IF(OR($N1767=1,$O1767=1),"U – needs rule",INDEX(MxBody,MATCH($I1767,MxCurr,0),MATCH($H1767,MxStart,0)))))))</f>
        <v/>
      </c>
      <c r="L1767" s="62" t="str">
        <f aca="false">IF(COUNTA($A1767,$F1767,$G1767,$H1767,$I1767,$J1767)=0,"",IF($M1767=0,"✖ كود الصف غير موجود",IF(ISNA(MATCH($F1767,Lists!$A$2:$A$5,0)),"✖ الفترة غير صحيحة",IF(ISNA(MATCH($G1767,Lists!$B$2:$B$7,0)),"✖ المجموعة غير صحيحة",IF(NOT(OR($H1767="",$N1767&gt;0)),"✖ Start غير صحيح",IF(NOT(OR($I1767="",$I1767="NR",$O1767&gt;0)),"✖ Current غير صحيح",IF(NOT(IF(ISNUMBER($J1767),AND($J1767&gt;=0,$J1767=INT($J1767)),FALSE())),"✖ العدد يجب أن يكون صحيحًا ≥ 0",IF(AND($F1767="Baseline",$H1767&lt;&gt;""),"⚠ Baseline: Start لا يدخل في التقدم",IF($K1767="No Start (attainment only)","ℹ تحصيل فقط (بدون Start)",IF($K1767="U – needs rule","ℹ حالة U تحتاج قاعدة معتمدة",IF($K1767="No result","ℹ بدون نتيجة (يُستبعد من التحصيل)","OK")))))))))))</f>
        <v/>
      </c>
      <c r="M1767" s="64" t="n">
        <f aca="false">IF($A1767="",0,IFERROR(MATCH($A1767,Classes!$A$6:$A$420,0),0))</f>
        <v>0</v>
      </c>
      <c r="N1767" s="64" t="n">
        <f aca="false">IF($H1767="",0,IFERROR(MATCH($H1767,GradeList,0),0))</f>
        <v>0</v>
      </c>
      <c r="O1767" s="64" t="n">
        <f aca="false">IF(OR($I1767="",$I1767="NR"),0,IFERROR(MATCH($I1767,GradeList,0),0))</f>
        <v>0</v>
      </c>
      <c r="P1767" s="64" t="n">
        <f aca="false">IF(AND($M1767&gt;0,ISNUMBER(MATCH($F1767,Lists!$A$2:$A$5,0)),ISNUMBER(MATCH($G1767,Lists!$B$2:$B$7,0)),OR($H1767="",$N1767&gt;0),OR($I1767="",$I1767="NR",$O1767&gt;0),IF(ISNUMBER($J1767),AND($J1767&gt;=0,$J1767=INT($J1767)),FALSE())),$J1767,0)</f>
        <v>0</v>
      </c>
      <c r="Q1767" s="64" t="n">
        <f aca="false">IF(AND($P1767&gt;0,$O1767&gt;0),$P1767,0)</f>
        <v>0</v>
      </c>
      <c r="R1767" s="64" t="n">
        <f aca="false">IF(AND($Q1767&gt;0,$O1767&gt;=AtRank),$Q1767,0)</f>
        <v>0</v>
      </c>
      <c r="S1767" s="64" t="n">
        <f aca="false">IF(AND($Q1767&gt;0,$O1767&gt;=AboveRank),$Q1767,0)</f>
        <v>0</v>
      </c>
      <c r="T1767" s="64" t="n">
        <f aca="false">IF($K1767="Less",$P1767,0)</f>
        <v>0</v>
      </c>
      <c r="U1767" s="64" t="n">
        <f aca="false">IF($K1767="Expected",$P1767,0)</f>
        <v>0</v>
      </c>
      <c r="V1767" s="64" t="n">
        <f aca="false">IF($K1767="Better",$P1767,0)</f>
        <v>0</v>
      </c>
      <c r="W1767" s="64" t="n">
        <f aca="false">IF($K1767="U – needs rule",$P1767,0)</f>
        <v>0</v>
      </c>
      <c r="X1767" s="64" t="n">
        <f aca="false">IF($K1767="No Start (attainment only)",$P1767,0)</f>
        <v>0</v>
      </c>
    </row>
    <row r="1768" customFormat="false" ht="15" hidden="false" customHeight="false" outlineLevel="0" collapsed="false">
      <c r="A1768" s="60"/>
      <c r="B1768" s="61" t="str">
        <f aca="false">IF($M1768=0,"",INDEX(Classes!$E$6:$E$420,$M1768))</f>
        <v/>
      </c>
      <c r="C1768" s="62" t="str">
        <f aca="false">IF($M1768=0,"",INDEX(Classes!$H$6:$H$420,$M1768))</f>
        <v/>
      </c>
      <c r="D1768" s="61" t="str">
        <f aca="false">IF($M1768=0,"",INDEX(Classes!$B$6:$B$420,$M1768))</f>
        <v/>
      </c>
      <c r="E1768" s="61" t="str">
        <f aca="false">IF($M1768=0,"",INDEX(Classes!$C$6:$C$420,$M1768))</f>
        <v/>
      </c>
      <c r="F1768" s="63"/>
      <c r="G1768" s="63"/>
      <c r="H1768" s="60"/>
      <c r="I1768" s="60"/>
      <c r="J1768" s="63"/>
      <c r="K1768" s="61" t="str">
        <f aca="false">IF($P1768=0,"",IF($F1768="Baseline","— Baseline",IF($O1768=0,"No result",IF($N1768=0,"No Start (attainment only)",IF(OR($N1768=1,$O1768=1),"U – needs rule",INDEX(MxBody,MATCH($I1768,MxCurr,0),MATCH($H1768,MxStart,0)))))))</f>
        <v/>
      </c>
      <c r="L1768" s="62" t="str">
        <f aca="false">IF(COUNTA($A1768,$F1768,$G1768,$H1768,$I1768,$J1768)=0,"",IF($M1768=0,"✖ كود الصف غير موجود",IF(ISNA(MATCH($F1768,Lists!$A$2:$A$5,0)),"✖ الفترة غير صحيحة",IF(ISNA(MATCH($G1768,Lists!$B$2:$B$7,0)),"✖ المجموعة غير صحيحة",IF(NOT(OR($H1768="",$N1768&gt;0)),"✖ Start غير صحيح",IF(NOT(OR($I1768="",$I1768="NR",$O1768&gt;0)),"✖ Current غير صحيح",IF(NOT(IF(ISNUMBER($J1768),AND($J1768&gt;=0,$J1768=INT($J1768)),FALSE())),"✖ العدد يجب أن يكون صحيحًا ≥ 0",IF(AND($F1768="Baseline",$H1768&lt;&gt;""),"⚠ Baseline: Start لا يدخل في التقدم",IF($K1768="No Start (attainment only)","ℹ تحصيل فقط (بدون Start)",IF($K1768="U – needs rule","ℹ حالة U تحتاج قاعدة معتمدة",IF($K1768="No result","ℹ بدون نتيجة (يُستبعد من التحصيل)","OK")))))))))))</f>
        <v/>
      </c>
      <c r="M1768" s="64" t="n">
        <f aca="false">IF($A1768="",0,IFERROR(MATCH($A1768,Classes!$A$6:$A$420,0),0))</f>
        <v>0</v>
      </c>
      <c r="N1768" s="64" t="n">
        <f aca="false">IF($H1768="",0,IFERROR(MATCH($H1768,GradeList,0),0))</f>
        <v>0</v>
      </c>
      <c r="O1768" s="64" t="n">
        <f aca="false">IF(OR($I1768="",$I1768="NR"),0,IFERROR(MATCH($I1768,GradeList,0),0))</f>
        <v>0</v>
      </c>
      <c r="P1768" s="64" t="n">
        <f aca="false">IF(AND($M1768&gt;0,ISNUMBER(MATCH($F1768,Lists!$A$2:$A$5,0)),ISNUMBER(MATCH($G1768,Lists!$B$2:$B$7,0)),OR($H1768="",$N1768&gt;0),OR($I1768="",$I1768="NR",$O1768&gt;0),IF(ISNUMBER($J1768),AND($J1768&gt;=0,$J1768=INT($J1768)),FALSE())),$J1768,0)</f>
        <v>0</v>
      </c>
      <c r="Q1768" s="64" t="n">
        <f aca="false">IF(AND($P1768&gt;0,$O1768&gt;0),$P1768,0)</f>
        <v>0</v>
      </c>
      <c r="R1768" s="64" t="n">
        <f aca="false">IF(AND($Q1768&gt;0,$O1768&gt;=AtRank),$Q1768,0)</f>
        <v>0</v>
      </c>
      <c r="S1768" s="64" t="n">
        <f aca="false">IF(AND($Q1768&gt;0,$O1768&gt;=AboveRank),$Q1768,0)</f>
        <v>0</v>
      </c>
      <c r="T1768" s="64" t="n">
        <f aca="false">IF($K1768="Less",$P1768,0)</f>
        <v>0</v>
      </c>
      <c r="U1768" s="64" t="n">
        <f aca="false">IF($K1768="Expected",$P1768,0)</f>
        <v>0</v>
      </c>
      <c r="V1768" s="64" t="n">
        <f aca="false">IF($K1768="Better",$P1768,0)</f>
        <v>0</v>
      </c>
      <c r="W1768" s="64" t="n">
        <f aca="false">IF($K1768="U – needs rule",$P1768,0)</f>
        <v>0</v>
      </c>
      <c r="X1768" s="64" t="n">
        <f aca="false">IF($K1768="No Start (attainment only)",$P1768,0)</f>
        <v>0</v>
      </c>
    </row>
    <row r="1769" customFormat="false" ht="15" hidden="false" customHeight="false" outlineLevel="0" collapsed="false">
      <c r="A1769" s="60"/>
      <c r="B1769" s="61" t="str">
        <f aca="false">IF($M1769=0,"",INDEX(Classes!$E$6:$E$420,$M1769))</f>
        <v/>
      </c>
      <c r="C1769" s="62" t="str">
        <f aca="false">IF($M1769=0,"",INDEX(Classes!$H$6:$H$420,$M1769))</f>
        <v/>
      </c>
      <c r="D1769" s="61" t="str">
        <f aca="false">IF($M1769=0,"",INDEX(Classes!$B$6:$B$420,$M1769))</f>
        <v/>
      </c>
      <c r="E1769" s="61" t="str">
        <f aca="false">IF($M1769=0,"",INDEX(Classes!$C$6:$C$420,$M1769))</f>
        <v/>
      </c>
      <c r="F1769" s="63"/>
      <c r="G1769" s="63"/>
      <c r="H1769" s="60"/>
      <c r="I1769" s="60"/>
      <c r="J1769" s="63"/>
      <c r="K1769" s="61" t="str">
        <f aca="false">IF($P1769=0,"",IF($F1769="Baseline","— Baseline",IF($O1769=0,"No result",IF($N1769=0,"No Start (attainment only)",IF(OR($N1769=1,$O1769=1),"U – needs rule",INDEX(MxBody,MATCH($I1769,MxCurr,0),MATCH($H1769,MxStart,0)))))))</f>
        <v/>
      </c>
      <c r="L1769" s="62" t="str">
        <f aca="false">IF(COUNTA($A1769,$F1769,$G1769,$H1769,$I1769,$J1769)=0,"",IF($M1769=0,"✖ كود الصف غير موجود",IF(ISNA(MATCH($F1769,Lists!$A$2:$A$5,0)),"✖ الفترة غير صحيحة",IF(ISNA(MATCH($G1769,Lists!$B$2:$B$7,0)),"✖ المجموعة غير صحيحة",IF(NOT(OR($H1769="",$N1769&gt;0)),"✖ Start غير صحيح",IF(NOT(OR($I1769="",$I1769="NR",$O1769&gt;0)),"✖ Current غير صحيح",IF(NOT(IF(ISNUMBER($J1769),AND($J1769&gt;=0,$J1769=INT($J1769)),FALSE())),"✖ العدد يجب أن يكون صحيحًا ≥ 0",IF(AND($F1769="Baseline",$H1769&lt;&gt;""),"⚠ Baseline: Start لا يدخل في التقدم",IF($K1769="No Start (attainment only)","ℹ تحصيل فقط (بدون Start)",IF($K1769="U – needs rule","ℹ حالة U تحتاج قاعدة معتمدة",IF($K1769="No result","ℹ بدون نتيجة (يُستبعد من التحصيل)","OK")))))))))))</f>
        <v/>
      </c>
      <c r="M1769" s="64" t="n">
        <f aca="false">IF($A1769="",0,IFERROR(MATCH($A1769,Classes!$A$6:$A$420,0),0))</f>
        <v>0</v>
      </c>
      <c r="N1769" s="64" t="n">
        <f aca="false">IF($H1769="",0,IFERROR(MATCH($H1769,GradeList,0),0))</f>
        <v>0</v>
      </c>
      <c r="O1769" s="64" t="n">
        <f aca="false">IF(OR($I1769="",$I1769="NR"),0,IFERROR(MATCH($I1769,GradeList,0),0))</f>
        <v>0</v>
      </c>
      <c r="P1769" s="64" t="n">
        <f aca="false">IF(AND($M1769&gt;0,ISNUMBER(MATCH($F1769,Lists!$A$2:$A$5,0)),ISNUMBER(MATCH($G1769,Lists!$B$2:$B$7,0)),OR($H1769="",$N1769&gt;0),OR($I1769="",$I1769="NR",$O1769&gt;0),IF(ISNUMBER($J1769),AND($J1769&gt;=0,$J1769=INT($J1769)),FALSE())),$J1769,0)</f>
        <v>0</v>
      </c>
      <c r="Q1769" s="64" t="n">
        <f aca="false">IF(AND($P1769&gt;0,$O1769&gt;0),$P1769,0)</f>
        <v>0</v>
      </c>
      <c r="R1769" s="64" t="n">
        <f aca="false">IF(AND($Q1769&gt;0,$O1769&gt;=AtRank),$Q1769,0)</f>
        <v>0</v>
      </c>
      <c r="S1769" s="64" t="n">
        <f aca="false">IF(AND($Q1769&gt;0,$O1769&gt;=AboveRank),$Q1769,0)</f>
        <v>0</v>
      </c>
      <c r="T1769" s="64" t="n">
        <f aca="false">IF($K1769="Less",$P1769,0)</f>
        <v>0</v>
      </c>
      <c r="U1769" s="64" t="n">
        <f aca="false">IF($K1769="Expected",$P1769,0)</f>
        <v>0</v>
      </c>
      <c r="V1769" s="64" t="n">
        <f aca="false">IF($K1769="Better",$P1769,0)</f>
        <v>0</v>
      </c>
      <c r="W1769" s="64" t="n">
        <f aca="false">IF($K1769="U – needs rule",$P1769,0)</f>
        <v>0</v>
      </c>
      <c r="X1769" s="64" t="n">
        <f aca="false">IF($K1769="No Start (attainment only)",$P1769,0)</f>
        <v>0</v>
      </c>
    </row>
    <row r="1770" customFormat="false" ht="15" hidden="false" customHeight="false" outlineLevel="0" collapsed="false">
      <c r="A1770" s="60"/>
      <c r="B1770" s="61" t="str">
        <f aca="false">IF($M1770=0,"",INDEX(Classes!$E$6:$E$420,$M1770))</f>
        <v/>
      </c>
      <c r="C1770" s="62" t="str">
        <f aca="false">IF($M1770=0,"",INDEX(Classes!$H$6:$H$420,$M1770))</f>
        <v/>
      </c>
      <c r="D1770" s="61" t="str">
        <f aca="false">IF($M1770=0,"",INDEX(Classes!$B$6:$B$420,$M1770))</f>
        <v/>
      </c>
      <c r="E1770" s="61" t="str">
        <f aca="false">IF($M1770=0,"",INDEX(Classes!$C$6:$C$420,$M1770))</f>
        <v/>
      </c>
      <c r="F1770" s="63"/>
      <c r="G1770" s="63"/>
      <c r="H1770" s="60"/>
      <c r="I1770" s="60"/>
      <c r="J1770" s="63"/>
      <c r="K1770" s="61" t="str">
        <f aca="false">IF($P1770=0,"",IF($F1770="Baseline","— Baseline",IF($O1770=0,"No result",IF($N1770=0,"No Start (attainment only)",IF(OR($N1770=1,$O1770=1),"U – needs rule",INDEX(MxBody,MATCH($I1770,MxCurr,0),MATCH($H1770,MxStart,0)))))))</f>
        <v/>
      </c>
      <c r="L1770" s="62" t="str">
        <f aca="false">IF(COUNTA($A1770,$F1770,$G1770,$H1770,$I1770,$J1770)=0,"",IF($M1770=0,"✖ كود الصف غير موجود",IF(ISNA(MATCH($F1770,Lists!$A$2:$A$5,0)),"✖ الفترة غير صحيحة",IF(ISNA(MATCH($G1770,Lists!$B$2:$B$7,0)),"✖ المجموعة غير صحيحة",IF(NOT(OR($H1770="",$N1770&gt;0)),"✖ Start غير صحيح",IF(NOT(OR($I1770="",$I1770="NR",$O1770&gt;0)),"✖ Current غير صحيح",IF(NOT(IF(ISNUMBER($J1770),AND($J1770&gt;=0,$J1770=INT($J1770)),FALSE())),"✖ العدد يجب أن يكون صحيحًا ≥ 0",IF(AND($F1770="Baseline",$H1770&lt;&gt;""),"⚠ Baseline: Start لا يدخل في التقدم",IF($K1770="No Start (attainment only)","ℹ تحصيل فقط (بدون Start)",IF($K1770="U – needs rule","ℹ حالة U تحتاج قاعدة معتمدة",IF($K1770="No result","ℹ بدون نتيجة (يُستبعد من التحصيل)","OK")))))))))))</f>
        <v/>
      </c>
      <c r="M1770" s="64" t="n">
        <f aca="false">IF($A1770="",0,IFERROR(MATCH($A1770,Classes!$A$6:$A$420,0),0))</f>
        <v>0</v>
      </c>
      <c r="N1770" s="64" t="n">
        <f aca="false">IF($H1770="",0,IFERROR(MATCH($H1770,GradeList,0),0))</f>
        <v>0</v>
      </c>
      <c r="O1770" s="64" t="n">
        <f aca="false">IF(OR($I1770="",$I1770="NR"),0,IFERROR(MATCH($I1770,GradeList,0),0))</f>
        <v>0</v>
      </c>
      <c r="P1770" s="64" t="n">
        <f aca="false">IF(AND($M1770&gt;0,ISNUMBER(MATCH($F1770,Lists!$A$2:$A$5,0)),ISNUMBER(MATCH($G1770,Lists!$B$2:$B$7,0)),OR($H1770="",$N1770&gt;0),OR($I1770="",$I1770="NR",$O1770&gt;0),IF(ISNUMBER($J1770),AND($J1770&gt;=0,$J1770=INT($J1770)),FALSE())),$J1770,0)</f>
        <v>0</v>
      </c>
      <c r="Q1770" s="64" t="n">
        <f aca="false">IF(AND($P1770&gt;0,$O1770&gt;0),$P1770,0)</f>
        <v>0</v>
      </c>
      <c r="R1770" s="64" t="n">
        <f aca="false">IF(AND($Q1770&gt;0,$O1770&gt;=AtRank),$Q1770,0)</f>
        <v>0</v>
      </c>
      <c r="S1770" s="64" t="n">
        <f aca="false">IF(AND($Q1770&gt;0,$O1770&gt;=AboveRank),$Q1770,0)</f>
        <v>0</v>
      </c>
      <c r="T1770" s="64" t="n">
        <f aca="false">IF($K1770="Less",$P1770,0)</f>
        <v>0</v>
      </c>
      <c r="U1770" s="64" t="n">
        <f aca="false">IF($K1770="Expected",$P1770,0)</f>
        <v>0</v>
      </c>
      <c r="V1770" s="64" t="n">
        <f aca="false">IF($K1770="Better",$P1770,0)</f>
        <v>0</v>
      </c>
      <c r="W1770" s="64" t="n">
        <f aca="false">IF($K1770="U – needs rule",$P1770,0)</f>
        <v>0</v>
      </c>
      <c r="X1770" s="64" t="n">
        <f aca="false">IF($K1770="No Start (attainment only)",$P1770,0)</f>
        <v>0</v>
      </c>
    </row>
    <row r="1771" customFormat="false" ht="15" hidden="false" customHeight="false" outlineLevel="0" collapsed="false">
      <c r="A1771" s="60"/>
      <c r="B1771" s="61" t="str">
        <f aca="false">IF($M1771=0,"",INDEX(Classes!$E$6:$E$420,$M1771))</f>
        <v/>
      </c>
      <c r="C1771" s="62" t="str">
        <f aca="false">IF($M1771=0,"",INDEX(Classes!$H$6:$H$420,$M1771))</f>
        <v/>
      </c>
      <c r="D1771" s="61" t="str">
        <f aca="false">IF($M1771=0,"",INDEX(Classes!$B$6:$B$420,$M1771))</f>
        <v/>
      </c>
      <c r="E1771" s="61" t="str">
        <f aca="false">IF($M1771=0,"",INDEX(Classes!$C$6:$C$420,$M1771))</f>
        <v/>
      </c>
      <c r="F1771" s="63"/>
      <c r="G1771" s="63"/>
      <c r="H1771" s="60"/>
      <c r="I1771" s="60"/>
      <c r="J1771" s="63"/>
      <c r="K1771" s="61" t="str">
        <f aca="false">IF($P1771=0,"",IF($F1771="Baseline","— Baseline",IF($O1771=0,"No result",IF($N1771=0,"No Start (attainment only)",IF(OR($N1771=1,$O1771=1),"U – needs rule",INDEX(MxBody,MATCH($I1771,MxCurr,0),MATCH($H1771,MxStart,0)))))))</f>
        <v/>
      </c>
      <c r="L1771" s="62" t="str">
        <f aca="false">IF(COUNTA($A1771,$F1771,$G1771,$H1771,$I1771,$J1771)=0,"",IF($M1771=0,"✖ كود الصف غير موجود",IF(ISNA(MATCH($F1771,Lists!$A$2:$A$5,0)),"✖ الفترة غير صحيحة",IF(ISNA(MATCH($G1771,Lists!$B$2:$B$7,0)),"✖ المجموعة غير صحيحة",IF(NOT(OR($H1771="",$N1771&gt;0)),"✖ Start غير صحيح",IF(NOT(OR($I1771="",$I1771="NR",$O1771&gt;0)),"✖ Current غير صحيح",IF(NOT(IF(ISNUMBER($J1771),AND($J1771&gt;=0,$J1771=INT($J1771)),FALSE())),"✖ العدد يجب أن يكون صحيحًا ≥ 0",IF(AND($F1771="Baseline",$H1771&lt;&gt;""),"⚠ Baseline: Start لا يدخل في التقدم",IF($K1771="No Start (attainment only)","ℹ تحصيل فقط (بدون Start)",IF($K1771="U – needs rule","ℹ حالة U تحتاج قاعدة معتمدة",IF($K1771="No result","ℹ بدون نتيجة (يُستبعد من التحصيل)","OK")))))))))))</f>
        <v/>
      </c>
      <c r="M1771" s="64" t="n">
        <f aca="false">IF($A1771="",0,IFERROR(MATCH($A1771,Classes!$A$6:$A$420,0),0))</f>
        <v>0</v>
      </c>
      <c r="N1771" s="64" t="n">
        <f aca="false">IF($H1771="",0,IFERROR(MATCH($H1771,GradeList,0),0))</f>
        <v>0</v>
      </c>
      <c r="O1771" s="64" t="n">
        <f aca="false">IF(OR($I1771="",$I1771="NR"),0,IFERROR(MATCH($I1771,GradeList,0),0))</f>
        <v>0</v>
      </c>
      <c r="P1771" s="64" t="n">
        <f aca="false">IF(AND($M1771&gt;0,ISNUMBER(MATCH($F1771,Lists!$A$2:$A$5,0)),ISNUMBER(MATCH($G1771,Lists!$B$2:$B$7,0)),OR($H1771="",$N1771&gt;0),OR($I1771="",$I1771="NR",$O1771&gt;0),IF(ISNUMBER($J1771),AND($J1771&gt;=0,$J1771=INT($J1771)),FALSE())),$J1771,0)</f>
        <v>0</v>
      </c>
      <c r="Q1771" s="64" t="n">
        <f aca="false">IF(AND($P1771&gt;0,$O1771&gt;0),$P1771,0)</f>
        <v>0</v>
      </c>
      <c r="R1771" s="64" t="n">
        <f aca="false">IF(AND($Q1771&gt;0,$O1771&gt;=AtRank),$Q1771,0)</f>
        <v>0</v>
      </c>
      <c r="S1771" s="64" t="n">
        <f aca="false">IF(AND($Q1771&gt;0,$O1771&gt;=AboveRank),$Q1771,0)</f>
        <v>0</v>
      </c>
      <c r="T1771" s="64" t="n">
        <f aca="false">IF($K1771="Less",$P1771,0)</f>
        <v>0</v>
      </c>
      <c r="U1771" s="64" t="n">
        <f aca="false">IF($K1771="Expected",$P1771,0)</f>
        <v>0</v>
      </c>
      <c r="V1771" s="64" t="n">
        <f aca="false">IF($K1771="Better",$P1771,0)</f>
        <v>0</v>
      </c>
      <c r="W1771" s="64" t="n">
        <f aca="false">IF($K1771="U – needs rule",$P1771,0)</f>
        <v>0</v>
      </c>
      <c r="X1771" s="64" t="n">
        <f aca="false">IF($K1771="No Start (attainment only)",$P1771,0)</f>
        <v>0</v>
      </c>
    </row>
    <row r="1772" customFormat="false" ht="15" hidden="false" customHeight="false" outlineLevel="0" collapsed="false">
      <c r="A1772" s="60"/>
      <c r="B1772" s="61" t="str">
        <f aca="false">IF($M1772=0,"",INDEX(Classes!$E$6:$E$420,$M1772))</f>
        <v/>
      </c>
      <c r="C1772" s="62" t="str">
        <f aca="false">IF($M1772=0,"",INDEX(Classes!$H$6:$H$420,$M1772))</f>
        <v/>
      </c>
      <c r="D1772" s="61" t="str">
        <f aca="false">IF($M1772=0,"",INDEX(Classes!$B$6:$B$420,$M1772))</f>
        <v/>
      </c>
      <c r="E1772" s="61" t="str">
        <f aca="false">IF($M1772=0,"",INDEX(Classes!$C$6:$C$420,$M1772))</f>
        <v/>
      </c>
      <c r="F1772" s="63"/>
      <c r="G1772" s="63"/>
      <c r="H1772" s="60"/>
      <c r="I1772" s="60"/>
      <c r="J1772" s="63"/>
      <c r="K1772" s="61" t="str">
        <f aca="false">IF($P1772=0,"",IF($F1772="Baseline","— Baseline",IF($O1772=0,"No result",IF($N1772=0,"No Start (attainment only)",IF(OR($N1772=1,$O1772=1),"U – needs rule",INDEX(MxBody,MATCH($I1772,MxCurr,0),MATCH($H1772,MxStart,0)))))))</f>
        <v/>
      </c>
      <c r="L1772" s="62" t="str">
        <f aca="false">IF(COUNTA($A1772,$F1772,$G1772,$H1772,$I1772,$J1772)=0,"",IF($M1772=0,"✖ كود الصف غير موجود",IF(ISNA(MATCH($F1772,Lists!$A$2:$A$5,0)),"✖ الفترة غير صحيحة",IF(ISNA(MATCH($G1772,Lists!$B$2:$B$7,0)),"✖ المجموعة غير صحيحة",IF(NOT(OR($H1772="",$N1772&gt;0)),"✖ Start غير صحيح",IF(NOT(OR($I1772="",$I1772="NR",$O1772&gt;0)),"✖ Current غير صحيح",IF(NOT(IF(ISNUMBER($J1772),AND($J1772&gt;=0,$J1772=INT($J1772)),FALSE())),"✖ العدد يجب أن يكون صحيحًا ≥ 0",IF(AND($F1772="Baseline",$H1772&lt;&gt;""),"⚠ Baseline: Start لا يدخل في التقدم",IF($K1772="No Start (attainment only)","ℹ تحصيل فقط (بدون Start)",IF($K1772="U – needs rule","ℹ حالة U تحتاج قاعدة معتمدة",IF($K1772="No result","ℹ بدون نتيجة (يُستبعد من التحصيل)","OK")))))))))))</f>
        <v/>
      </c>
      <c r="M1772" s="64" t="n">
        <f aca="false">IF($A1772="",0,IFERROR(MATCH($A1772,Classes!$A$6:$A$420,0),0))</f>
        <v>0</v>
      </c>
      <c r="N1772" s="64" t="n">
        <f aca="false">IF($H1772="",0,IFERROR(MATCH($H1772,GradeList,0),0))</f>
        <v>0</v>
      </c>
      <c r="O1772" s="64" t="n">
        <f aca="false">IF(OR($I1772="",$I1772="NR"),0,IFERROR(MATCH($I1772,GradeList,0),0))</f>
        <v>0</v>
      </c>
      <c r="P1772" s="64" t="n">
        <f aca="false">IF(AND($M1772&gt;0,ISNUMBER(MATCH($F1772,Lists!$A$2:$A$5,0)),ISNUMBER(MATCH($G1772,Lists!$B$2:$B$7,0)),OR($H1772="",$N1772&gt;0),OR($I1772="",$I1772="NR",$O1772&gt;0),IF(ISNUMBER($J1772),AND($J1772&gt;=0,$J1772=INT($J1772)),FALSE())),$J1772,0)</f>
        <v>0</v>
      </c>
      <c r="Q1772" s="64" t="n">
        <f aca="false">IF(AND($P1772&gt;0,$O1772&gt;0),$P1772,0)</f>
        <v>0</v>
      </c>
      <c r="R1772" s="64" t="n">
        <f aca="false">IF(AND($Q1772&gt;0,$O1772&gt;=AtRank),$Q1772,0)</f>
        <v>0</v>
      </c>
      <c r="S1772" s="64" t="n">
        <f aca="false">IF(AND($Q1772&gt;0,$O1772&gt;=AboveRank),$Q1772,0)</f>
        <v>0</v>
      </c>
      <c r="T1772" s="64" t="n">
        <f aca="false">IF($K1772="Less",$P1772,0)</f>
        <v>0</v>
      </c>
      <c r="U1772" s="64" t="n">
        <f aca="false">IF($K1772="Expected",$P1772,0)</f>
        <v>0</v>
      </c>
      <c r="V1772" s="64" t="n">
        <f aca="false">IF($K1772="Better",$P1772,0)</f>
        <v>0</v>
      </c>
      <c r="W1772" s="64" t="n">
        <f aca="false">IF($K1772="U – needs rule",$P1772,0)</f>
        <v>0</v>
      </c>
      <c r="X1772" s="64" t="n">
        <f aca="false">IF($K1772="No Start (attainment only)",$P1772,0)</f>
        <v>0</v>
      </c>
    </row>
    <row r="1773" customFormat="false" ht="15" hidden="false" customHeight="false" outlineLevel="0" collapsed="false">
      <c r="A1773" s="60"/>
      <c r="B1773" s="61" t="str">
        <f aca="false">IF($M1773=0,"",INDEX(Classes!$E$6:$E$420,$M1773))</f>
        <v/>
      </c>
      <c r="C1773" s="62" t="str">
        <f aca="false">IF($M1773=0,"",INDEX(Classes!$H$6:$H$420,$M1773))</f>
        <v/>
      </c>
      <c r="D1773" s="61" t="str">
        <f aca="false">IF($M1773=0,"",INDEX(Classes!$B$6:$B$420,$M1773))</f>
        <v/>
      </c>
      <c r="E1773" s="61" t="str">
        <f aca="false">IF($M1773=0,"",INDEX(Classes!$C$6:$C$420,$M1773))</f>
        <v/>
      </c>
      <c r="F1773" s="63"/>
      <c r="G1773" s="63"/>
      <c r="H1773" s="60"/>
      <c r="I1773" s="60"/>
      <c r="J1773" s="63"/>
      <c r="K1773" s="61" t="str">
        <f aca="false">IF($P1773=0,"",IF($F1773="Baseline","— Baseline",IF($O1773=0,"No result",IF($N1773=0,"No Start (attainment only)",IF(OR($N1773=1,$O1773=1),"U – needs rule",INDEX(MxBody,MATCH($I1773,MxCurr,0),MATCH($H1773,MxStart,0)))))))</f>
        <v/>
      </c>
      <c r="L1773" s="62" t="str">
        <f aca="false">IF(COUNTA($A1773,$F1773,$G1773,$H1773,$I1773,$J1773)=0,"",IF($M1773=0,"✖ كود الصف غير موجود",IF(ISNA(MATCH($F1773,Lists!$A$2:$A$5,0)),"✖ الفترة غير صحيحة",IF(ISNA(MATCH($G1773,Lists!$B$2:$B$7,0)),"✖ المجموعة غير صحيحة",IF(NOT(OR($H1773="",$N1773&gt;0)),"✖ Start غير صحيح",IF(NOT(OR($I1773="",$I1773="NR",$O1773&gt;0)),"✖ Current غير صحيح",IF(NOT(IF(ISNUMBER($J1773),AND($J1773&gt;=0,$J1773=INT($J1773)),FALSE())),"✖ العدد يجب أن يكون صحيحًا ≥ 0",IF(AND($F1773="Baseline",$H1773&lt;&gt;""),"⚠ Baseline: Start لا يدخل في التقدم",IF($K1773="No Start (attainment only)","ℹ تحصيل فقط (بدون Start)",IF($K1773="U – needs rule","ℹ حالة U تحتاج قاعدة معتمدة",IF($K1773="No result","ℹ بدون نتيجة (يُستبعد من التحصيل)","OK")))))))))))</f>
        <v/>
      </c>
      <c r="M1773" s="64" t="n">
        <f aca="false">IF($A1773="",0,IFERROR(MATCH($A1773,Classes!$A$6:$A$420,0),0))</f>
        <v>0</v>
      </c>
      <c r="N1773" s="64" t="n">
        <f aca="false">IF($H1773="",0,IFERROR(MATCH($H1773,GradeList,0),0))</f>
        <v>0</v>
      </c>
      <c r="O1773" s="64" t="n">
        <f aca="false">IF(OR($I1773="",$I1773="NR"),0,IFERROR(MATCH($I1773,GradeList,0),0))</f>
        <v>0</v>
      </c>
      <c r="P1773" s="64" t="n">
        <f aca="false">IF(AND($M1773&gt;0,ISNUMBER(MATCH($F1773,Lists!$A$2:$A$5,0)),ISNUMBER(MATCH($G1773,Lists!$B$2:$B$7,0)),OR($H1773="",$N1773&gt;0),OR($I1773="",$I1773="NR",$O1773&gt;0),IF(ISNUMBER($J1773),AND($J1773&gt;=0,$J1773=INT($J1773)),FALSE())),$J1773,0)</f>
        <v>0</v>
      </c>
      <c r="Q1773" s="64" t="n">
        <f aca="false">IF(AND($P1773&gt;0,$O1773&gt;0),$P1773,0)</f>
        <v>0</v>
      </c>
      <c r="R1773" s="64" t="n">
        <f aca="false">IF(AND($Q1773&gt;0,$O1773&gt;=AtRank),$Q1773,0)</f>
        <v>0</v>
      </c>
      <c r="S1773" s="64" t="n">
        <f aca="false">IF(AND($Q1773&gt;0,$O1773&gt;=AboveRank),$Q1773,0)</f>
        <v>0</v>
      </c>
      <c r="T1773" s="64" t="n">
        <f aca="false">IF($K1773="Less",$P1773,0)</f>
        <v>0</v>
      </c>
      <c r="U1773" s="64" t="n">
        <f aca="false">IF($K1773="Expected",$P1773,0)</f>
        <v>0</v>
      </c>
      <c r="V1773" s="64" t="n">
        <f aca="false">IF($K1773="Better",$P1773,0)</f>
        <v>0</v>
      </c>
      <c r="W1773" s="64" t="n">
        <f aca="false">IF($K1773="U – needs rule",$P1773,0)</f>
        <v>0</v>
      </c>
      <c r="X1773" s="64" t="n">
        <f aca="false">IF($K1773="No Start (attainment only)",$P1773,0)</f>
        <v>0</v>
      </c>
    </row>
    <row r="1774" customFormat="false" ht="15" hidden="false" customHeight="false" outlineLevel="0" collapsed="false">
      <c r="A1774" s="60"/>
      <c r="B1774" s="61" t="str">
        <f aca="false">IF($M1774=0,"",INDEX(Classes!$E$6:$E$420,$M1774))</f>
        <v/>
      </c>
      <c r="C1774" s="62" t="str">
        <f aca="false">IF($M1774=0,"",INDEX(Classes!$H$6:$H$420,$M1774))</f>
        <v/>
      </c>
      <c r="D1774" s="61" t="str">
        <f aca="false">IF($M1774=0,"",INDEX(Classes!$B$6:$B$420,$M1774))</f>
        <v/>
      </c>
      <c r="E1774" s="61" t="str">
        <f aca="false">IF($M1774=0,"",INDEX(Classes!$C$6:$C$420,$M1774))</f>
        <v/>
      </c>
      <c r="F1774" s="63"/>
      <c r="G1774" s="63"/>
      <c r="H1774" s="60"/>
      <c r="I1774" s="60"/>
      <c r="J1774" s="63"/>
      <c r="K1774" s="61" t="str">
        <f aca="false">IF($P1774=0,"",IF($F1774="Baseline","— Baseline",IF($O1774=0,"No result",IF($N1774=0,"No Start (attainment only)",IF(OR($N1774=1,$O1774=1),"U – needs rule",INDEX(MxBody,MATCH($I1774,MxCurr,0),MATCH($H1774,MxStart,0)))))))</f>
        <v/>
      </c>
      <c r="L1774" s="62" t="str">
        <f aca="false">IF(COUNTA($A1774,$F1774,$G1774,$H1774,$I1774,$J1774)=0,"",IF($M1774=0,"✖ كود الصف غير موجود",IF(ISNA(MATCH($F1774,Lists!$A$2:$A$5,0)),"✖ الفترة غير صحيحة",IF(ISNA(MATCH($G1774,Lists!$B$2:$B$7,0)),"✖ المجموعة غير صحيحة",IF(NOT(OR($H1774="",$N1774&gt;0)),"✖ Start غير صحيح",IF(NOT(OR($I1774="",$I1774="NR",$O1774&gt;0)),"✖ Current غير صحيح",IF(NOT(IF(ISNUMBER($J1774),AND($J1774&gt;=0,$J1774=INT($J1774)),FALSE())),"✖ العدد يجب أن يكون صحيحًا ≥ 0",IF(AND($F1774="Baseline",$H1774&lt;&gt;""),"⚠ Baseline: Start لا يدخل في التقدم",IF($K1774="No Start (attainment only)","ℹ تحصيل فقط (بدون Start)",IF($K1774="U – needs rule","ℹ حالة U تحتاج قاعدة معتمدة",IF($K1774="No result","ℹ بدون نتيجة (يُستبعد من التحصيل)","OK")))))))))))</f>
        <v/>
      </c>
      <c r="M1774" s="64" t="n">
        <f aca="false">IF($A1774="",0,IFERROR(MATCH($A1774,Classes!$A$6:$A$420,0),0))</f>
        <v>0</v>
      </c>
      <c r="N1774" s="64" t="n">
        <f aca="false">IF($H1774="",0,IFERROR(MATCH($H1774,GradeList,0),0))</f>
        <v>0</v>
      </c>
      <c r="O1774" s="64" t="n">
        <f aca="false">IF(OR($I1774="",$I1774="NR"),0,IFERROR(MATCH($I1774,GradeList,0),0))</f>
        <v>0</v>
      </c>
      <c r="P1774" s="64" t="n">
        <f aca="false">IF(AND($M1774&gt;0,ISNUMBER(MATCH($F1774,Lists!$A$2:$A$5,0)),ISNUMBER(MATCH($G1774,Lists!$B$2:$B$7,0)),OR($H1774="",$N1774&gt;0),OR($I1774="",$I1774="NR",$O1774&gt;0),IF(ISNUMBER($J1774),AND($J1774&gt;=0,$J1774=INT($J1774)),FALSE())),$J1774,0)</f>
        <v>0</v>
      </c>
      <c r="Q1774" s="64" t="n">
        <f aca="false">IF(AND($P1774&gt;0,$O1774&gt;0),$P1774,0)</f>
        <v>0</v>
      </c>
      <c r="R1774" s="64" t="n">
        <f aca="false">IF(AND($Q1774&gt;0,$O1774&gt;=AtRank),$Q1774,0)</f>
        <v>0</v>
      </c>
      <c r="S1774" s="64" t="n">
        <f aca="false">IF(AND($Q1774&gt;0,$O1774&gt;=AboveRank),$Q1774,0)</f>
        <v>0</v>
      </c>
      <c r="T1774" s="64" t="n">
        <f aca="false">IF($K1774="Less",$P1774,0)</f>
        <v>0</v>
      </c>
      <c r="U1774" s="64" t="n">
        <f aca="false">IF($K1774="Expected",$P1774,0)</f>
        <v>0</v>
      </c>
      <c r="V1774" s="64" t="n">
        <f aca="false">IF($K1774="Better",$P1774,0)</f>
        <v>0</v>
      </c>
      <c r="W1774" s="64" t="n">
        <f aca="false">IF($K1774="U – needs rule",$P1774,0)</f>
        <v>0</v>
      </c>
      <c r="X1774" s="64" t="n">
        <f aca="false">IF($K1774="No Start (attainment only)",$P1774,0)</f>
        <v>0</v>
      </c>
    </row>
    <row r="1775" customFormat="false" ht="15" hidden="false" customHeight="false" outlineLevel="0" collapsed="false">
      <c r="A1775" s="60"/>
      <c r="B1775" s="61" t="str">
        <f aca="false">IF($M1775=0,"",INDEX(Classes!$E$6:$E$420,$M1775))</f>
        <v/>
      </c>
      <c r="C1775" s="62" t="str">
        <f aca="false">IF($M1775=0,"",INDEX(Classes!$H$6:$H$420,$M1775))</f>
        <v/>
      </c>
      <c r="D1775" s="61" t="str">
        <f aca="false">IF($M1775=0,"",INDEX(Classes!$B$6:$B$420,$M1775))</f>
        <v/>
      </c>
      <c r="E1775" s="61" t="str">
        <f aca="false">IF($M1775=0,"",INDEX(Classes!$C$6:$C$420,$M1775))</f>
        <v/>
      </c>
      <c r="F1775" s="63"/>
      <c r="G1775" s="63"/>
      <c r="H1775" s="60"/>
      <c r="I1775" s="60"/>
      <c r="J1775" s="63"/>
      <c r="K1775" s="61" t="str">
        <f aca="false">IF($P1775=0,"",IF($F1775="Baseline","— Baseline",IF($O1775=0,"No result",IF($N1775=0,"No Start (attainment only)",IF(OR($N1775=1,$O1775=1),"U – needs rule",INDEX(MxBody,MATCH($I1775,MxCurr,0),MATCH($H1775,MxStart,0)))))))</f>
        <v/>
      </c>
      <c r="L1775" s="62" t="str">
        <f aca="false">IF(COUNTA($A1775,$F1775,$G1775,$H1775,$I1775,$J1775)=0,"",IF($M1775=0,"✖ كود الصف غير موجود",IF(ISNA(MATCH($F1775,Lists!$A$2:$A$5,0)),"✖ الفترة غير صحيحة",IF(ISNA(MATCH($G1775,Lists!$B$2:$B$7,0)),"✖ المجموعة غير صحيحة",IF(NOT(OR($H1775="",$N1775&gt;0)),"✖ Start غير صحيح",IF(NOT(OR($I1775="",$I1775="NR",$O1775&gt;0)),"✖ Current غير صحيح",IF(NOT(IF(ISNUMBER($J1775),AND($J1775&gt;=0,$J1775=INT($J1775)),FALSE())),"✖ العدد يجب أن يكون صحيحًا ≥ 0",IF(AND($F1775="Baseline",$H1775&lt;&gt;""),"⚠ Baseline: Start لا يدخل في التقدم",IF($K1775="No Start (attainment only)","ℹ تحصيل فقط (بدون Start)",IF($K1775="U – needs rule","ℹ حالة U تحتاج قاعدة معتمدة",IF($K1775="No result","ℹ بدون نتيجة (يُستبعد من التحصيل)","OK")))))))))))</f>
        <v/>
      </c>
      <c r="M1775" s="64" t="n">
        <f aca="false">IF($A1775="",0,IFERROR(MATCH($A1775,Classes!$A$6:$A$420,0),0))</f>
        <v>0</v>
      </c>
      <c r="N1775" s="64" t="n">
        <f aca="false">IF($H1775="",0,IFERROR(MATCH($H1775,GradeList,0),0))</f>
        <v>0</v>
      </c>
      <c r="O1775" s="64" t="n">
        <f aca="false">IF(OR($I1775="",$I1775="NR"),0,IFERROR(MATCH($I1775,GradeList,0),0))</f>
        <v>0</v>
      </c>
      <c r="P1775" s="64" t="n">
        <f aca="false">IF(AND($M1775&gt;0,ISNUMBER(MATCH($F1775,Lists!$A$2:$A$5,0)),ISNUMBER(MATCH($G1775,Lists!$B$2:$B$7,0)),OR($H1775="",$N1775&gt;0),OR($I1775="",$I1775="NR",$O1775&gt;0),IF(ISNUMBER($J1775),AND($J1775&gt;=0,$J1775=INT($J1775)),FALSE())),$J1775,0)</f>
        <v>0</v>
      </c>
      <c r="Q1775" s="64" t="n">
        <f aca="false">IF(AND($P1775&gt;0,$O1775&gt;0),$P1775,0)</f>
        <v>0</v>
      </c>
      <c r="R1775" s="64" t="n">
        <f aca="false">IF(AND($Q1775&gt;0,$O1775&gt;=AtRank),$Q1775,0)</f>
        <v>0</v>
      </c>
      <c r="S1775" s="64" t="n">
        <f aca="false">IF(AND($Q1775&gt;0,$O1775&gt;=AboveRank),$Q1775,0)</f>
        <v>0</v>
      </c>
      <c r="T1775" s="64" t="n">
        <f aca="false">IF($K1775="Less",$P1775,0)</f>
        <v>0</v>
      </c>
      <c r="U1775" s="64" t="n">
        <f aca="false">IF($K1775="Expected",$P1775,0)</f>
        <v>0</v>
      </c>
      <c r="V1775" s="64" t="n">
        <f aca="false">IF($K1775="Better",$P1775,0)</f>
        <v>0</v>
      </c>
      <c r="W1775" s="64" t="n">
        <f aca="false">IF($K1775="U – needs rule",$P1775,0)</f>
        <v>0</v>
      </c>
      <c r="X1775" s="64" t="n">
        <f aca="false">IF($K1775="No Start (attainment only)",$P1775,0)</f>
        <v>0</v>
      </c>
    </row>
    <row r="1776" customFormat="false" ht="15" hidden="false" customHeight="false" outlineLevel="0" collapsed="false">
      <c r="A1776" s="60"/>
      <c r="B1776" s="61" t="str">
        <f aca="false">IF($M1776=0,"",INDEX(Classes!$E$6:$E$420,$M1776))</f>
        <v/>
      </c>
      <c r="C1776" s="62" t="str">
        <f aca="false">IF($M1776=0,"",INDEX(Classes!$H$6:$H$420,$M1776))</f>
        <v/>
      </c>
      <c r="D1776" s="61" t="str">
        <f aca="false">IF($M1776=0,"",INDEX(Classes!$B$6:$B$420,$M1776))</f>
        <v/>
      </c>
      <c r="E1776" s="61" t="str">
        <f aca="false">IF($M1776=0,"",INDEX(Classes!$C$6:$C$420,$M1776))</f>
        <v/>
      </c>
      <c r="F1776" s="63"/>
      <c r="G1776" s="63"/>
      <c r="H1776" s="60"/>
      <c r="I1776" s="60"/>
      <c r="J1776" s="63"/>
      <c r="K1776" s="61" t="str">
        <f aca="false">IF($P1776=0,"",IF($F1776="Baseline","— Baseline",IF($O1776=0,"No result",IF($N1776=0,"No Start (attainment only)",IF(OR($N1776=1,$O1776=1),"U – needs rule",INDEX(MxBody,MATCH($I1776,MxCurr,0),MATCH($H1776,MxStart,0)))))))</f>
        <v/>
      </c>
      <c r="L1776" s="62" t="str">
        <f aca="false">IF(COUNTA($A1776,$F1776,$G1776,$H1776,$I1776,$J1776)=0,"",IF($M1776=0,"✖ كود الصف غير موجود",IF(ISNA(MATCH($F1776,Lists!$A$2:$A$5,0)),"✖ الفترة غير صحيحة",IF(ISNA(MATCH($G1776,Lists!$B$2:$B$7,0)),"✖ المجموعة غير صحيحة",IF(NOT(OR($H1776="",$N1776&gt;0)),"✖ Start غير صحيح",IF(NOT(OR($I1776="",$I1776="NR",$O1776&gt;0)),"✖ Current غير صحيح",IF(NOT(IF(ISNUMBER($J1776),AND($J1776&gt;=0,$J1776=INT($J1776)),FALSE())),"✖ العدد يجب أن يكون صحيحًا ≥ 0",IF(AND($F1776="Baseline",$H1776&lt;&gt;""),"⚠ Baseline: Start لا يدخل في التقدم",IF($K1776="No Start (attainment only)","ℹ تحصيل فقط (بدون Start)",IF($K1776="U – needs rule","ℹ حالة U تحتاج قاعدة معتمدة",IF($K1776="No result","ℹ بدون نتيجة (يُستبعد من التحصيل)","OK")))))))))))</f>
        <v/>
      </c>
      <c r="M1776" s="64" t="n">
        <f aca="false">IF($A1776="",0,IFERROR(MATCH($A1776,Classes!$A$6:$A$420,0),0))</f>
        <v>0</v>
      </c>
      <c r="N1776" s="64" t="n">
        <f aca="false">IF($H1776="",0,IFERROR(MATCH($H1776,GradeList,0),0))</f>
        <v>0</v>
      </c>
      <c r="O1776" s="64" t="n">
        <f aca="false">IF(OR($I1776="",$I1776="NR"),0,IFERROR(MATCH($I1776,GradeList,0),0))</f>
        <v>0</v>
      </c>
      <c r="P1776" s="64" t="n">
        <f aca="false">IF(AND($M1776&gt;0,ISNUMBER(MATCH($F1776,Lists!$A$2:$A$5,0)),ISNUMBER(MATCH($G1776,Lists!$B$2:$B$7,0)),OR($H1776="",$N1776&gt;0),OR($I1776="",$I1776="NR",$O1776&gt;0),IF(ISNUMBER($J1776),AND($J1776&gt;=0,$J1776=INT($J1776)),FALSE())),$J1776,0)</f>
        <v>0</v>
      </c>
      <c r="Q1776" s="64" t="n">
        <f aca="false">IF(AND($P1776&gt;0,$O1776&gt;0),$P1776,0)</f>
        <v>0</v>
      </c>
      <c r="R1776" s="64" t="n">
        <f aca="false">IF(AND($Q1776&gt;0,$O1776&gt;=AtRank),$Q1776,0)</f>
        <v>0</v>
      </c>
      <c r="S1776" s="64" t="n">
        <f aca="false">IF(AND($Q1776&gt;0,$O1776&gt;=AboveRank),$Q1776,0)</f>
        <v>0</v>
      </c>
      <c r="T1776" s="64" t="n">
        <f aca="false">IF($K1776="Less",$P1776,0)</f>
        <v>0</v>
      </c>
      <c r="U1776" s="64" t="n">
        <f aca="false">IF($K1776="Expected",$P1776,0)</f>
        <v>0</v>
      </c>
      <c r="V1776" s="64" t="n">
        <f aca="false">IF($K1776="Better",$P1776,0)</f>
        <v>0</v>
      </c>
      <c r="W1776" s="64" t="n">
        <f aca="false">IF($K1776="U – needs rule",$P1776,0)</f>
        <v>0</v>
      </c>
      <c r="X1776" s="64" t="n">
        <f aca="false">IF($K1776="No Start (attainment only)",$P1776,0)</f>
        <v>0</v>
      </c>
    </row>
    <row r="1777" customFormat="false" ht="15" hidden="false" customHeight="false" outlineLevel="0" collapsed="false">
      <c r="A1777" s="60"/>
      <c r="B1777" s="61" t="str">
        <f aca="false">IF($M1777=0,"",INDEX(Classes!$E$6:$E$420,$M1777))</f>
        <v/>
      </c>
      <c r="C1777" s="62" t="str">
        <f aca="false">IF($M1777=0,"",INDEX(Classes!$H$6:$H$420,$M1777))</f>
        <v/>
      </c>
      <c r="D1777" s="61" t="str">
        <f aca="false">IF($M1777=0,"",INDEX(Classes!$B$6:$B$420,$M1777))</f>
        <v/>
      </c>
      <c r="E1777" s="61" t="str">
        <f aca="false">IF($M1777=0,"",INDEX(Classes!$C$6:$C$420,$M1777))</f>
        <v/>
      </c>
      <c r="F1777" s="63"/>
      <c r="G1777" s="63"/>
      <c r="H1777" s="60"/>
      <c r="I1777" s="60"/>
      <c r="J1777" s="63"/>
      <c r="K1777" s="61" t="str">
        <f aca="false">IF($P1777=0,"",IF($F1777="Baseline","— Baseline",IF($O1777=0,"No result",IF($N1777=0,"No Start (attainment only)",IF(OR($N1777=1,$O1777=1),"U – needs rule",INDEX(MxBody,MATCH($I1777,MxCurr,0),MATCH($H1777,MxStart,0)))))))</f>
        <v/>
      </c>
      <c r="L1777" s="62" t="str">
        <f aca="false">IF(COUNTA($A1777,$F1777,$G1777,$H1777,$I1777,$J1777)=0,"",IF($M1777=0,"✖ كود الصف غير موجود",IF(ISNA(MATCH($F1777,Lists!$A$2:$A$5,0)),"✖ الفترة غير صحيحة",IF(ISNA(MATCH($G1777,Lists!$B$2:$B$7,0)),"✖ المجموعة غير صحيحة",IF(NOT(OR($H1777="",$N1777&gt;0)),"✖ Start غير صحيح",IF(NOT(OR($I1777="",$I1777="NR",$O1777&gt;0)),"✖ Current غير صحيح",IF(NOT(IF(ISNUMBER($J1777),AND($J1777&gt;=0,$J1777=INT($J1777)),FALSE())),"✖ العدد يجب أن يكون صحيحًا ≥ 0",IF(AND($F1777="Baseline",$H1777&lt;&gt;""),"⚠ Baseline: Start لا يدخل في التقدم",IF($K1777="No Start (attainment only)","ℹ تحصيل فقط (بدون Start)",IF($K1777="U – needs rule","ℹ حالة U تحتاج قاعدة معتمدة",IF($K1777="No result","ℹ بدون نتيجة (يُستبعد من التحصيل)","OK")))))))))))</f>
        <v/>
      </c>
      <c r="M1777" s="64" t="n">
        <f aca="false">IF($A1777="",0,IFERROR(MATCH($A1777,Classes!$A$6:$A$420,0),0))</f>
        <v>0</v>
      </c>
      <c r="N1777" s="64" t="n">
        <f aca="false">IF($H1777="",0,IFERROR(MATCH($H1777,GradeList,0),0))</f>
        <v>0</v>
      </c>
      <c r="O1777" s="64" t="n">
        <f aca="false">IF(OR($I1777="",$I1777="NR"),0,IFERROR(MATCH($I1777,GradeList,0),0))</f>
        <v>0</v>
      </c>
      <c r="P1777" s="64" t="n">
        <f aca="false">IF(AND($M1777&gt;0,ISNUMBER(MATCH($F1777,Lists!$A$2:$A$5,0)),ISNUMBER(MATCH($G1777,Lists!$B$2:$B$7,0)),OR($H1777="",$N1777&gt;0),OR($I1777="",$I1777="NR",$O1777&gt;0),IF(ISNUMBER($J1777),AND($J1777&gt;=0,$J1777=INT($J1777)),FALSE())),$J1777,0)</f>
        <v>0</v>
      </c>
      <c r="Q1777" s="64" t="n">
        <f aca="false">IF(AND($P1777&gt;0,$O1777&gt;0),$P1777,0)</f>
        <v>0</v>
      </c>
      <c r="R1777" s="64" t="n">
        <f aca="false">IF(AND($Q1777&gt;0,$O1777&gt;=AtRank),$Q1777,0)</f>
        <v>0</v>
      </c>
      <c r="S1777" s="64" t="n">
        <f aca="false">IF(AND($Q1777&gt;0,$O1777&gt;=AboveRank),$Q1777,0)</f>
        <v>0</v>
      </c>
      <c r="T1777" s="64" t="n">
        <f aca="false">IF($K1777="Less",$P1777,0)</f>
        <v>0</v>
      </c>
      <c r="U1777" s="64" t="n">
        <f aca="false">IF($K1777="Expected",$P1777,0)</f>
        <v>0</v>
      </c>
      <c r="V1777" s="64" t="n">
        <f aca="false">IF($K1777="Better",$P1777,0)</f>
        <v>0</v>
      </c>
      <c r="W1777" s="64" t="n">
        <f aca="false">IF($K1777="U – needs rule",$P1777,0)</f>
        <v>0</v>
      </c>
      <c r="X1777" s="64" t="n">
        <f aca="false">IF($K1777="No Start (attainment only)",$P1777,0)</f>
        <v>0</v>
      </c>
    </row>
    <row r="1778" customFormat="false" ht="15" hidden="false" customHeight="false" outlineLevel="0" collapsed="false">
      <c r="A1778" s="60"/>
      <c r="B1778" s="61" t="str">
        <f aca="false">IF($M1778=0,"",INDEX(Classes!$E$6:$E$420,$M1778))</f>
        <v/>
      </c>
      <c r="C1778" s="62" t="str">
        <f aca="false">IF($M1778=0,"",INDEX(Classes!$H$6:$H$420,$M1778))</f>
        <v/>
      </c>
      <c r="D1778" s="61" t="str">
        <f aca="false">IF($M1778=0,"",INDEX(Classes!$B$6:$B$420,$M1778))</f>
        <v/>
      </c>
      <c r="E1778" s="61" t="str">
        <f aca="false">IF($M1778=0,"",INDEX(Classes!$C$6:$C$420,$M1778))</f>
        <v/>
      </c>
      <c r="F1778" s="63"/>
      <c r="G1778" s="63"/>
      <c r="H1778" s="60"/>
      <c r="I1778" s="60"/>
      <c r="J1778" s="63"/>
      <c r="K1778" s="61" t="str">
        <f aca="false">IF($P1778=0,"",IF($F1778="Baseline","— Baseline",IF($O1778=0,"No result",IF($N1778=0,"No Start (attainment only)",IF(OR($N1778=1,$O1778=1),"U – needs rule",INDEX(MxBody,MATCH($I1778,MxCurr,0),MATCH($H1778,MxStart,0)))))))</f>
        <v/>
      </c>
      <c r="L1778" s="62" t="str">
        <f aca="false">IF(COUNTA($A1778,$F1778,$G1778,$H1778,$I1778,$J1778)=0,"",IF($M1778=0,"✖ كود الصف غير موجود",IF(ISNA(MATCH($F1778,Lists!$A$2:$A$5,0)),"✖ الفترة غير صحيحة",IF(ISNA(MATCH($G1778,Lists!$B$2:$B$7,0)),"✖ المجموعة غير صحيحة",IF(NOT(OR($H1778="",$N1778&gt;0)),"✖ Start غير صحيح",IF(NOT(OR($I1778="",$I1778="NR",$O1778&gt;0)),"✖ Current غير صحيح",IF(NOT(IF(ISNUMBER($J1778),AND($J1778&gt;=0,$J1778=INT($J1778)),FALSE())),"✖ العدد يجب أن يكون صحيحًا ≥ 0",IF(AND($F1778="Baseline",$H1778&lt;&gt;""),"⚠ Baseline: Start لا يدخل في التقدم",IF($K1778="No Start (attainment only)","ℹ تحصيل فقط (بدون Start)",IF($K1778="U – needs rule","ℹ حالة U تحتاج قاعدة معتمدة",IF($K1778="No result","ℹ بدون نتيجة (يُستبعد من التحصيل)","OK")))))))))))</f>
        <v/>
      </c>
      <c r="M1778" s="64" t="n">
        <f aca="false">IF($A1778="",0,IFERROR(MATCH($A1778,Classes!$A$6:$A$420,0),0))</f>
        <v>0</v>
      </c>
      <c r="N1778" s="64" t="n">
        <f aca="false">IF($H1778="",0,IFERROR(MATCH($H1778,GradeList,0),0))</f>
        <v>0</v>
      </c>
      <c r="O1778" s="64" t="n">
        <f aca="false">IF(OR($I1778="",$I1778="NR"),0,IFERROR(MATCH($I1778,GradeList,0),0))</f>
        <v>0</v>
      </c>
      <c r="P1778" s="64" t="n">
        <f aca="false">IF(AND($M1778&gt;0,ISNUMBER(MATCH($F1778,Lists!$A$2:$A$5,0)),ISNUMBER(MATCH($G1778,Lists!$B$2:$B$7,0)),OR($H1778="",$N1778&gt;0),OR($I1778="",$I1778="NR",$O1778&gt;0),IF(ISNUMBER($J1778),AND($J1778&gt;=0,$J1778=INT($J1778)),FALSE())),$J1778,0)</f>
        <v>0</v>
      </c>
      <c r="Q1778" s="64" t="n">
        <f aca="false">IF(AND($P1778&gt;0,$O1778&gt;0),$P1778,0)</f>
        <v>0</v>
      </c>
      <c r="R1778" s="64" t="n">
        <f aca="false">IF(AND($Q1778&gt;0,$O1778&gt;=AtRank),$Q1778,0)</f>
        <v>0</v>
      </c>
      <c r="S1778" s="64" t="n">
        <f aca="false">IF(AND($Q1778&gt;0,$O1778&gt;=AboveRank),$Q1778,0)</f>
        <v>0</v>
      </c>
      <c r="T1778" s="64" t="n">
        <f aca="false">IF($K1778="Less",$P1778,0)</f>
        <v>0</v>
      </c>
      <c r="U1778" s="64" t="n">
        <f aca="false">IF($K1778="Expected",$P1778,0)</f>
        <v>0</v>
      </c>
      <c r="V1778" s="64" t="n">
        <f aca="false">IF($K1778="Better",$P1778,0)</f>
        <v>0</v>
      </c>
      <c r="W1778" s="64" t="n">
        <f aca="false">IF($K1778="U – needs rule",$P1778,0)</f>
        <v>0</v>
      </c>
      <c r="X1778" s="64" t="n">
        <f aca="false">IF($K1778="No Start (attainment only)",$P1778,0)</f>
        <v>0</v>
      </c>
    </row>
    <row r="1779" customFormat="false" ht="15" hidden="false" customHeight="false" outlineLevel="0" collapsed="false">
      <c r="A1779" s="60"/>
      <c r="B1779" s="61" t="str">
        <f aca="false">IF($M1779=0,"",INDEX(Classes!$E$6:$E$420,$M1779))</f>
        <v/>
      </c>
      <c r="C1779" s="62" t="str">
        <f aca="false">IF($M1779=0,"",INDEX(Classes!$H$6:$H$420,$M1779))</f>
        <v/>
      </c>
      <c r="D1779" s="61" t="str">
        <f aca="false">IF($M1779=0,"",INDEX(Classes!$B$6:$B$420,$M1779))</f>
        <v/>
      </c>
      <c r="E1779" s="61" t="str">
        <f aca="false">IF($M1779=0,"",INDEX(Classes!$C$6:$C$420,$M1779))</f>
        <v/>
      </c>
      <c r="F1779" s="63"/>
      <c r="G1779" s="63"/>
      <c r="H1779" s="60"/>
      <c r="I1779" s="60"/>
      <c r="J1779" s="63"/>
      <c r="K1779" s="61" t="str">
        <f aca="false">IF($P1779=0,"",IF($F1779="Baseline","— Baseline",IF($O1779=0,"No result",IF($N1779=0,"No Start (attainment only)",IF(OR($N1779=1,$O1779=1),"U – needs rule",INDEX(MxBody,MATCH($I1779,MxCurr,0),MATCH($H1779,MxStart,0)))))))</f>
        <v/>
      </c>
      <c r="L1779" s="62" t="str">
        <f aca="false">IF(COUNTA($A1779,$F1779,$G1779,$H1779,$I1779,$J1779)=0,"",IF($M1779=0,"✖ كود الصف غير موجود",IF(ISNA(MATCH($F1779,Lists!$A$2:$A$5,0)),"✖ الفترة غير صحيحة",IF(ISNA(MATCH($G1779,Lists!$B$2:$B$7,0)),"✖ المجموعة غير صحيحة",IF(NOT(OR($H1779="",$N1779&gt;0)),"✖ Start غير صحيح",IF(NOT(OR($I1779="",$I1779="NR",$O1779&gt;0)),"✖ Current غير صحيح",IF(NOT(IF(ISNUMBER($J1779),AND($J1779&gt;=0,$J1779=INT($J1779)),FALSE())),"✖ العدد يجب أن يكون صحيحًا ≥ 0",IF(AND($F1779="Baseline",$H1779&lt;&gt;""),"⚠ Baseline: Start لا يدخل في التقدم",IF($K1779="No Start (attainment only)","ℹ تحصيل فقط (بدون Start)",IF($K1779="U – needs rule","ℹ حالة U تحتاج قاعدة معتمدة",IF($K1779="No result","ℹ بدون نتيجة (يُستبعد من التحصيل)","OK")))))))))))</f>
        <v/>
      </c>
      <c r="M1779" s="64" t="n">
        <f aca="false">IF($A1779="",0,IFERROR(MATCH($A1779,Classes!$A$6:$A$420,0),0))</f>
        <v>0</v>
      </c>
      <c r="N1779" s="64" t="n">
        <f aca="false">IF($H1779="",0,IFERROR(MATCH($H1779,GradeList,0),0))</f>
        <v>0</v>
      </c>
      <c r="O1779" s="64" t="n">
        <f aca="false">IF(OR($I1779="",$I1779="NR"),0,IFERROR(MATCH($I1779,GradeList,0),0))</f>
        <v>0</v>
      </c>
      <c r="P1779" s="64" t="n">
        <f aca="false">IF(AND($M1779&gt;0,ISNUMBER(MATCH($F1779,Lists!$A$2:$A$5,0)),ISNUMBER(MATCH($G1779,Lists!$B$2:$B$7,0)),OR($H1779="",$N1779&gt;0),OR($I1779="",$I1779="NR",$O1779&gt;0),IF(ISNUMBER($J1779),AND($J1779&gt;=0,$J1779=INT($J1779)),FALSE())),$J1779,0)</f>
        <v>0</v>
      </c>
      <c r="Q1779" s="64" t="n">
        <f aca="false">IF(AND($P1779&gt;0,$O1779&gt;0),$P1779,0)</f>
        <v>0</v>
      </c>
      <c r="R1779" s="64" t="n">
        <f aca="false">IF(AND($Q1779&gt;0,$O1779&gt;=AtRank),$Q1779,0)</f>
        <v>0</v>
      </c>
      <c r="S1779" s="64" t="n">
        <f aca="false">IF(AND($Q1779&gt;0,$O1779&gt;=AboveRank),$Q1779,0)</f>
        <v>0</v>
      </c>
      <c r="T1779" s="64" t="n">
        <f aca="false">IF($K1779="Less",$P1779,0)</f>
        <v>0</v>
      </c>
      <c r="U1779" s="64" t="n">
        <f aca="false">IF($K1779="Expected",$P1779,0)</f>
        <v>0</v>
      </c>
      <c r="V1779" s="64" t="n">
        <f aca="false">IF($K1779="Better",$P1779,0)</f>
        <v>0</v>
      </c>
      <c r="W1779" s="64" t="n">
        <f aca="false">IF($K1779="U – needs rule",$P1779,0)</f>
        <v>0</v>
      </c>
      <c r="X1779" s="64" t="n">
        <f aca="false">IF($K1779="No Start (attainment only)",$P1779,0)</f>
        <v>0</v>
      </c>
    </row>
    <row r="1780" customFormat="false" ht="15" hidden="false" customHeight="false" outlineLevel="0" collapsed="false">
      <c r="A1780" s="60"/>
      <c r="B1780" s="61" t="str">
        <f aca="false">IF($M1780=0,"",INDEX(Classes!$E$6:$E$420,$M1780))</f>
        <v/>
      </c>
      <c r="C1780" s="62" t="str">
        <f aca="false">IF($M1780=0,"",INDEX(Classes!$H$6:$H$420,$M1780))</f>
        <v/>
      </c>
      <c r="D1780" s="61" t="str">
        <f aca="false">IF($M1780=0,"",INDEX(Classes!$B$6:$B$420,$M1780))</f>
        <v/>
      </c>
      <c r="E1780" s="61" t="str">
        <f aca="false">IF($M1780=0,"",INDEX(Classes!$C$6:$C$420,$M1780))</f>
        <v/>
      </c>
      <c r="F1780" s="63"/>
      <c r="G1780" s="63"/>
      <c r="H1780" s="60"/>
      <c r="I1780" s="60"/>
      <c r="J1780" s="63"/>
      <c r="K1780" s="61" t="str">
        <f aca="false">IF($P1780=0,"",IF($F1780="Baseline","— Baseline",IF($O1780=0,"No result",IF($N1780=0,"No Start (attainment only)",IF(OR($N1780=1,$O1780=1),"U – needs rule",INDEX(MxBody,MATCH($I1780,MxCurr,0),MATCH($H1780,MxStart,0)))))))</f>
        <v/>
      </c>
      <c r="L1780" s="62" t="str">
        <f aca="false">IF(COUNTA($A1780,$F1780,$G1780,$H1780,$I1780,$J1780)=0,"",IF($M1780=0,"✖ كود الصف غير موجود",IF(ISNA(MATCH($F1780,Lists!$A$2:$A$5,0)),"✖ الفترة غير صحيحة",IF(ISNA(MATCH($G1780,Lists!$B$2:$B$7,0)),"✖ المجموعة غير صحيحة",IF(NOT(OR($H1780="",$N1780&gt;0)),"✖ Start غير صحيح",IF(NOT(OR($I1780="",$I1780="NR",$O1780&gt;0)),"✖ Current غير صحيح",IF(NOT(IF(ISNUMBER($J1780),AND($J1780&gt;=0,$J1780=INT($J1780)),FALSE())),"✖ العدد يجب أن يكون صحيحًا ≥ 0",IF(AND($F1780="Baseline",$H1780&lt;&gt;""),"⚠ Baseline: Start لا يدخل في التقدم",IF($K1780="No Start (attainment only)","ℹ تحصيل فقط (بدون Start)",IF($K1780="U – needs rule","ℹ حالة U تحتاج قاعدة معتمدة",IF($K1780="No result","ℹ بدون نتيجة (يُستبعد من التحصيل)","OK")))))))))))</f>
        <v/>
      </c>
      <c r="M1780" s="64" t="n">
        <f aca="false">IF($A1780="",0,IFERROR(MATCH($A1780,Classes!$A$6:$A$420,0),0))</f>
        <v>0</v>
      </c>
      <c r="N1780" s="64" t="n">
        <f aca="false">IF($H1780="",0,IFERROR(MATCH($H1780,GradeList,0),0))</f>
        <v>0</v>
      </c>
      <c r="O1780" s="64" t="n">
        <f aca="false">IF(OR($I1780="",$I1780="NR"),0,IFERROR(MATCH($I1780,GradeList,0),0))</f>
        <v>0</v>
      </c>
      <c r="P1780" s="64" t="n">
        <f aca="false">IF(AND($M1780&gt;0,ISNUMBER(MATCH($F1780,Lists!$A$2:$A$5,0)),ISNUMBER(MATCH($G1780,Lists!$B$2:$B$7,0)),OR($H1780="",$N1780&gt;0),OR($I1780="",$I1780="NR",$O1780&gt;0),IF(ISNUMBER($J1780),AND($J1780&gt;=0,$J1780=INT($J1780)),FALSE())),$J1780,0)</f>
        <v>0</v>
      </c>
      <c r="Q1780" s="64" t="n">
        <f aca="false">IF(AND($P1780&gt;0,$O1780&gt;0),$P1780,0)</f>
        <v>0</v>
      </c>
      <c r="R1780" s="64" t="n">
        <f aca="false">IF(AND($Q1780&gt;0,$O1780&gt;=AtRank),$Q1780,0)</f>
        <v>0</v>
      </c>
      <c r="S1780" s="64" t="n">
        <f aca="false">IF(AND($Q1780&gt;0,$O1780&gt;=AboveRank),$Q1780,0)</f>
        <v>0</v>
      </c>
      <c r="T1780" s="64" t="n">
        <f aca="false">IF($K1780="Less",$P1780,0)</f>
        <v>0</v>
      </c>
      <c r="U1780" s="64" t="n">
        <f aca="false">IF($K1780="Expected",$P1780,0)</f>
        <v>0</v>
      </c>
      <c r="V1780" s="64" t="n">
        <f aca="false">IF($K1780="Better",$P1780,0)</f>
        <v>0</v>
      </c>
      <c r="W1780" s="64" t="n">
        <f aca="false">IF($K1780="U – needs rule",$P1780,0)</f>
        <v>0</v>
      </c>
      <c r="X1780" s="64" t="n">
        <f aca="false">IF($K1780="No Start (attainment only)",$P1780,0)</f>
        <v>0</v>
      </c>
    </row>
    <row r="1781" customFormat="false" ht="15" hidden="false" customHeight="false" outlineLevel="0" collapsed="false">
      <c r="A1781" s="60"/>
      <c r="B1781" s="61" t="str">
        <f aca="false">IF($M1781=0,"",INDEX(Classes!$E$6:$E$420,$M1781))</f>
        <v/>
      </c>
      <c r="C1781" s="62" t="str">
        <f aca="false">IF($M1781=0,"",INDEX(Classes!$H$6:$H$420,$M1781))</f>
        <v/>
      </c>
      <c r="D1781" s="61" t="str">
        <f aca="false">IF($M1781=0,"",INDEX(Classes!$B$6:$B$420,$M1781))</f>
        <v/>
      </c>
      <c r="E1781" s="61" t="str">
        <f aca="false">IF($M1781=0,"",INDEX(Classes!$C$6:$C$420,$M1781))</f>
        <v/>
      </c>
      <c r="F1781" s="63"/>
      <c r="G1781" s="63"/>
      <c r="H1781" s="60"/>
      <c r="I1781" s="60"/>
      <c r="J1781" s="63"/>
      <c r="K1781" s="61" t="str">
        <f aca="false">IF($P1781=0,"",IF($F1781="Baseline","— Baseline",IF($O1781=0,"No result",IF($N1781=0,"No Start (attainment only)",IF(OR($N1781=1,$O1781=1),"U – needs rule",INDEX(MxBody,MATCH($I1781,MxCurr,0),MATCH($H1781,MxStart,0)))))))</f>
        <v/>
      </c>
      <c r="L1781" s="62" t="str">
        <f aca="false">IF(COUNTA($A1781,$F1781,$G1781,$H1781,$I1781,$J1781)=0,"",IF($M1781=0,"✖ كود الصف غير موجود",IF(ISNA(MATCH($F1781,Lists!$A$2:$A$5,0)),"✖ الفترة غير صحيحة",IF(ISNA(MATCH($G1781,Lists!$B$2:$B$7,0)),"✖ المجموعة غير صحيحة",IF(NOT(OR($H1781="",$N1781&gt;0)),"✖ Start غير صحيح",IF(NOT(OR($I1781="",$I1781="NR",$O1781&gt;0)),"✖ Current غير صحيح",IF(NOT(IF(ISNUMBER($J1781),AND($J1781&gt;=0,$J1781=INT($J1781)),FALSE())),"✖ العدد يجب أن يكون صحيحًا ≥ 0",IF(AND($F1781="Baseline",$H1781&lt;&gt;""),"⚠ Baseline: Start لا يدخل في التقدم",IF($K1781="No Start (attainment only)","ℹ تحصيل فقط (بدون Start)",IF($K1781="U – needs rule","ℹ حالة U تحتاج قاعدة معتمدة",IF($K1781="No result","ℹ بدون نتيجة (يُستبعد من التحصيل)","OK")))))))))))</f>
        <v/>
      </c>
      <c r="M1781" s="64" t="n">
        <f aca="false">IF($A1781="",0,IFERROR(MATCH($A1781,Classes!$A$6:$A$420,0),0))</f>
        <v>0</v>
      </c>
      <c r="N1781" s="64" t="n">
        <f aca="false">IF($H1781="",0,IFERROR(MATCH($H1781,GradeList,0),0))</f>
        <v>0</v>
      </c>
      <c r="O1781" s="64" t="n">
        <f aca="false">IF(OR($I1781="",$I1781="NR"),0,IFERROR(MATCH($I1781,GradeList,0),0))</f>
        <v>0</v>
      </c>
      <c r="P1781" s="64" t="n">
        <f aca="false">IF(AND($M1781&gt;0,ISNUMBER(MATCH($F1781,Lists!$A$2:$A$5,0)),ISNUMBER(MATCH($G1781,Lists!$B$2:$B$7,0)),OR($H1781="",$N1781&gt;0),OR($I1781="",$I1781="NR",$O1781&gt;0),IF(ISNUMBER($J1781),AND($J1781&gt;=0,$J1781=INT($J1781)),FALSE())),$J1781,0)</f>
        <v>0</v>
      </c>
      <c r="Q1781" s="64" t="n">
        <f aca="false">IF(AND($P1781&gt;0,$O1781&gt;0),$P1781,0)</f>
        <v>0</v>
      </c>
      <c r="R1781" s="64" t="n">
        <f aca="false">IF(AND($Q1781&gt;0,$O1781&gt;=AtRank),$Q1781,0)</f>
        <v>0</v>
      </c>
      <c r="S1781" s="64" t="n">
        <f aca="false">IF(AND($Q1781&gt;0,$O1781&gt;=AboveRank),$Q1781,0)</f>
        <v>0</v>
      </c>
      <c r="T1781" s="64" t="n">
        <f aca="false">IF($K1781="Less",$P1781,0)</f>
        <v>0</v>
      </c>
      <c r="U1781" s="64" t="n">
        <f aca="false">IF($K1781="Expected",$P1781,0)</f>
        <v>0</v>
      </c>
      <c r="V1781" s="64" t="n">
        <f aca="false">IF($K1781="Better",$P1781,0)</f>
        <v>0</v>
      </c>
      <c r="W1781" s="64" t="n">
        <f aca="false">IF($K1781="U – needs rule",$P1781,0)</f>
        <v>0</v>
      </c>
      <c r="X1781" s="64" t="n">
        <f aca="false">IF($K1781="No Start (attainment only)",$P1781,0)</f>
        <v>0</v>
      </c>
    </row>
    <row r="1782" customFormat="false" ht="15" hidden="false" customHeight="false" outlineLevel="0" collapsed="false">
      <c r="A1782" s="60"/>
      <c r="B1782" s="61" t="str">
        <f aca="false">IF($M1782=0,"",INDEX(Classes!$E$6:$E$420,$M1782))</f>
        <v/>
      </c>
      <c r="C1782" s="62" t="str">
        <f aca="false">IF($M1782=0,"",INDEX(Classes!$H$6:$H$420,$M1782))</f>
        <v/>
      </c>
      <c r="D1782" s="61" t="str">
        <f aca="false">IF($M1782=0,"",INDEX(Classes!$B$6:$B$420,$M1782))</f>
        <v/>
      </c>
      <c r="E1782" s="61" t="str">
        <f aca="false">IF($M1782=0,"",INDEX(Classes!$C$6:$C$420,$M1782))</f>
        <v/>
      </c>
      <c r="F1782" s="63"/>
      <c r="G1782" s="63"/>
      <c r="H1782" s="60"/>
      <c r="I1782" s="60"/>
      <c r="J1782" s="63"/>
      <c r="K1782" s="61" t="str">
        <f aca="false">IF($P1782=0,"",IF($F1782="Baseline","— Baseline",IF($O1782=0,"No result",IF($N1782=0,"No Start (attainment only)",IF(OR($N1782=1,$O1782=1),"U – needs rule",INDEX(MxBody,MATCH($I1782,MxCurr,0),MATCH($H1782,MxStart,0)))))))</f>
        <v/>
      </c>
      <c r="L1782" s="62" t="str">
        <f aca="false">IF(COUNTA($A1782,$F1782,$G1782,$H1782,$I1782,$J1782)=0,"",IF($M1782=0,"✖ كود الصف غير موجود",IF(ISNA(MATCH($F1782,Lists!$A$2:$A$5,0)),"✖ الفترة غير صحيحة",IF(ISNA(MATCH($G1782,Lists!$B$2:$B$7,0)),"✖ المجموعة غير صحيحة",IF(NOT(OR($H1782="",$N1782&gt;0)),"✖ Start غير صحيح",IF(NOT(OR($I1782="",$I1782="NR",$O1782&gt;0)),"✖ Current غير صحيح",IF(NOT(IF(ISNUMBER($J1782),AND($J1782&gt;=0,$J1782=INT($J1782)),FALSE())),"✖ العدد يجب أن يكون صحيحًا ≥ 0",IF(AND($F1782="Baseline",$H1782&lt;&gt;""),"⚠ Baseline: Start لا يدخل في التقدم",IF($K1782="No Start (attainment only)","ℹ تحصيل فقط (بدون Start)",IF($K1782="U – needs rule","ℹ حالة U تحتاج قاعدة معتمدة",IF($K1782="No result","ℹ بدون نتيجة (يُستبعد من التحصيل)","OK")))))))))))</f>
        <v/>
      </c>
      <c r="M1782" s="64" t="n">
        <f aca="false">IF($A1782="",0,IFERROR(MATCH($A1782,Classes!$A$6:$A$420,0),0))</f>
        <v>0</v>
      </c>
      <c r="N1782" s="64" t="n">
        <f aca="false">IF($H1782="",0,IFERROR(MATCH($H1782,GradeList,0),0))</f>
        <v>0</v>
      </c>
      <c r="O1782" s="64" t="n">
        <f aca="false">IF(OR($I1782="",$I1782="NR"),0,IFERROR(MATCH($I1782,GradeList,0),0))</f>
        <v>0</v>
      </c>
      <c r="P1782" s="64" t="n">
        <f aca="false">IF(AND($M1782&gt;0,ISNUMBER(MATCH($F1782,Lists!$A$2:$A$5,0)),ISNUMBER(MATCH($G1782,Lists!$B$2:$B$7,0)),OR($H1782="",$N1782&gt;0),OR($I1782="",$I1782="NR",$O1782&gt;0),IF(ISNUMBER($J1782),AND($J1782&gt;=0,$J1782=INT($J1782)),FALSE())),$J1782,0)</f>
        <v>0</v>
      </c>
      <c r="Q1782" s="64" t="n">
        <f aca="false">IF(AND($P1782&gt;0,$O1782&gt;0),$P1782,0)</f>
        <v>0</v>
      </c>
      <c r="R1782" s="64" t="n">
        <f aca="false">IF(AND($Q1782&gt;0,$O1782&gt;=AtRank),$Q1782,0)</f>
        <v>0</v>
      </c>
      <c r="S1782" s="64" t="n">
        <f aca="false">IF(AND($Q1782&gt;0,$O1782&gt;=AboveRank),$Q1782,0)</f>
        <v>0</v>
      </c>
      <c r="T1782" s="64" t="n">
        <f aca="false">IF($K1782="Less",$P1782,0)</f>
        <v>0</v>
      </c>
      <c r="U1782" s="64" t="n">
        <f aca="false">IF($K1782="Expected",$P1782,0)</f>
        <v>0</v>
      </c>
      <c r="V1782" s="64" t="n">
        <f aca="false">IF($K1782="Better",$P1782,0)</f>
        <v>0</v>
      </c>
      <c r="W1782" s="64" t="n">
        <f aca="false">IF($K1782="U – needs rule",$P1782,0)</f>
        <v>0</v>
      </c>
      <c r="X1782" s="64" t="n">
        <f aca="false">IF($K1782="No Start (attainment only)",$P1782,0)</f>
        <v>0</v>
      </c>
    </row>
    <row r="1783" customFormat="false" ht="15" hidden="false" customHeight="false" outlineLevel="0" collapsed="false">
      <c r="A1783" s="60"/>
      <c r="B1783" s="61" t="str">
        <f aca="false">IF($M1783=0,"",INDEX(Classes!$E$6:$E$420,$M1783))</f>
        <v/>
      </c>
      <c r="C1783" s="62" t="str">
        <f aca="false">IF($M1783=0,"",INDEX(Classes!$H$6:$H$420,$M1783))</f>
        <v/>
      </c>
      <c r="D1783" s="61" t="str">
        <f aca="false">IF($M1783=0,"",INDEX(Classes!$B$6:$B$420,$M1783))</f>
        <v/>
      </c>
      <c r="E1783" s="61" t="str">
        <f aca="false">IF($M1783=0,"",INDEX(Classes!$C$6:$C$420,$M1783))</f>
        <v/>
      </c>
      <c r="F1783" s="63"/>
      <c r="G1783" s="63"/>
      <c r="H1783" s="60"/>
      <c r="I1783" s="60"/>
      <c r="J1783" s="63"/>
      <c r="K1783" s="61" t="str">
        <f aca="false">IF($P1783=0,"",IF($F1783="Baseline","— Baseline",IF($O1783=0,"No result",IF($N1783=0,"No Start (attainment only)",IF(OR($N1783=1,$O1783=1),"U – needs rule",INDEX(MxBody,MATCH($I1783,MxCurr,0),MATCH($H1783,MxStart,0)))))))</f>
        <v/>
      </c>
      <c r="L1783" s="62" t="str">
        <f aca="false">IF(COUNTA($A1783,$F1783,$G1783,$H1783,$I1783,$J1783)=0,"",IF($M1783=0,"✖ كود الصف غير موجود",IF(ISNA(MATCH($F1783,Lists!$A$2:$A$5,0)),"✖ الفترة غير صحيحة",IF(ISNA(MATCH($G1783,Lists!$B$2:$B$7,0)),"✖ المجموعة غير صحيحة",IF(NOT(OR($H1783="",$N1783&gt;0)),"✖ Start غير صحيح",IF(NOT(OR($I1783="",$I1783="NR",$O1783&gt;0)),"✖ Current غير صحيح",IF(NOT(IF(ISNUMBER($J1783),AND($J1783&gt;=0,$J1783=INT($J1783)),FALSE())),"✖ العدد يجب أن يكون صحيحًا ≥ 0",IF(AND($F1783="Baseline",$H1783&lt;&gt;""),"⚠ Baseline: Start لا يدخل في التقدم",IF($K1783="No Start (attainment only)","ℹ تحصيل فقط (بدون Start)",IF($K1783="U – needs rule","ℹ حالة U تحتاج قاعدة معتمدة",IF($K1783="No result","ℹ بدون نتيجة (يُستبعد من التحصيل)","OK")))))))))))</f>
        <v/>
      </c>
      <c r="M1783" s="64" t="n">
        <f aca="false">IF($A1783="",0,IFERROR(MATCH($A1783,Classes!$A$6:$A$420,0),0))</f>
        <v>0</v>
      </c>
      <c r="N1783" s="64" t="n">
        <f aca="false">IF($H1783="",0,IFERROR(MATCH($H1783,GradeList,0),0))</f>
        <v>0</v>
      </c>
      <c r="O1783" s="64" t="n">
        <f aca="false">IF(OR($I1783="",$I1783="NR"),0,IFERROR(MATCH($I1783,GradeList,0),0))</f>
        <v>0</v>
      </c>
      <c r="P1783" s="64" t="n">
        <f aca="false">IF(AND($M1783&gt;0,ISNUMBER(MATCH($F1783,Lists!$A$2:$A$5,0)),ISNUMBER(MATCH($G1783,Lists!$B$2:$B$7,0)),OR($H1783="",$N1783&gt;0),OR($I1783="",$I1783="NR",$O1783&gt;0),IF(ISNUMBER($J1783),AND($J1783&gt;=0,$J1783=INT($J1783)),FALSE())),$J1783,0)</f>
        <v>0</v>
      </c>
      <c r="Q1783" s="64" t="n">
        <f aca="false">IF(AND($P1783&gt;0,$O1783&gt;0),$P1783,0)</f>
        <v>0</v>
      </c>
      <c r="R1783" s="64" t="n">
        <f aca="false">IF(AND($Q1783&gt;0,$O1783&gt;=AtRank),$Q1783,0)</f>
        <v>0</v>
      </c>
      <c r="S1783" s="64" t="n">
        <f aca="false">IF(AND($Q1783&gt;0,$O1783&gt;=AboveRank),$Q1783,0)</f>
        <v>0</v>
      </c>
      <c r="T1783" s="64" t="n">
        <f aca="false">IF($K1783="Less",$P1783,0)</f>
        <v>0</v>
      </c>
      <c r="U1783" s="64" t="n">
        <f aca="false">IF($K1783="Expected",$P1783,0)</f>
        <v>0</v>
      </c>
      <c r="V1783" s="64" t="n">
        <f aca="false">IF($K1783="Better",$P1783,0)</f>
        <v>0</v>
      </c>
      <c r="W1783" s="64" t="n">
        <f aca="false">IF($K1783="U – needs rule",$P1783,0)</f>
        <v>0</v>
      </c>
      <c r="X1783" s="64" t="n">
        <f aca="false">IF($K1783="No Start (attainment only)",$P1783,0)</f>
        <v>0</v>
      </c>
    </row>
    <row r="1784" customFormat="false" ht="15" hidden="false" customHeight="false" outlineLevel="0" collapsed="false">
      <c r="A1784" s="60"/>
      <c r="B1784" s="61" t="str">
        <f aca="false">IF($M1784=0,"",INDEX(Classes!$E$6:$E$420,$M1784))</f>
        <v/>
      </c>
      <c r="C1784" s="62" t="str">
        <f aca="false">IF($M1784=0,"",INDEX(Classes!$H$6:$H$420,$M1784))</f>
        <v/>
      </c>
      <c r="D1784" s="61" t="str">
        <f aca="false">IF($M1784=0,"",INDEX(Classes!$B$6:$B$420,$M1784))</f>
        <v/>
      </c>
      <c r="E1784" s="61" t="str">
        <f aca="false">IF($M1784=0,"",INDEX(Classes!$C$6:$C$420,$M1784))</f>
        <v/>
      </c>
      <c r="F1784" s="63"/>
      <c r="G1784" s="63"/>
      <c r="H1784" s="60"/>
      <c r="I1784" s="60"/>
      <c r="J1784" s="63"/>
      <c r="K1784" s="61" t="str">
        <f aca="false">IF($P1784=0,"",IF($F1784="Baseline","— Baseline",IF($O1784=0,"No result",IF($N1784=0,"No Start (attainment only)",IF(OR($N1784=1,$O1784=1),"U – needs rule",INDEX(MxBody,MATCH($I1784,MxCurr,0),MATCH($H1784,MxStart,0)))))))</f>
        <v/>
      </c>
      <c r="L1784" s="62" t="str">
        <f aca="false">IF(COUNTA($A1784,$F1784,$G1784,$H1784,$I1784,$J1784)=0,"",IF($M1784=0,"✖ كود الصف غير موجود",IF(ISNA(MATCH($F1784,Lists!$A$2:$A$5,0)),"✖ الفترة غير صحيحة",IF(ISNA(MATCH($G1784,Lists!$B$2:$B$7,0)),"✖ المجموعة غير صحيحة",IF(NOT(OR($H1784="",$N1784&gt;0)),"✖ Start غير صحيح",IF(NOT(OR($I1784="",$I1784="NR",$O1784&gt;0)),"✖ Current غير صحيح",IF(NOT(IF(ISNUMBER($J1784),AND($J1784&gt;=0,$J1784=INT($J1784)),FALSE())),"✖ العدد يجب أن يكون صحيحًا ≥ 0",IF(AND($F1784="Baseline",$H1784&lt;&gt;""),"⚠ Baseline: Start لا يدخل في التقدم",IF($K1784="No Start (attainment only)","ℹ تحصيل فقط (بدون Start)",IF($K1784="U – needs rule","ℹ حالة U تحتاج قاعدة معتمدة",IF($K1784="No result","ℹ بدون نتيجة (يُستبعد من التحصيل)","OK")))))))))))</f>
        <v/>
      </c>
      <c r="M1784" s="64" t="n">
        <f aca="false">IF($A1784="",0,IFERROR(MATCH($A1784,Classes!$A$6:$A$420,0),0))</f>
        <v>0</v>
      </c>
      <c r="N1784" s="64" t="n">
        <f aca="false">IF($H1784="",0,IFERROR(MATCH($H1784,GradeList,0),0))</f>
        <v>0</v>
      </c>
      <c r="O1784" s="64" t="n">
        <f aca="false">IF(OR($I1784="",$I1784="NR"),0,IFERROR(MATCH($I1784,GradeList,0),0))</f>
        <v>0</v>
      </c>
      <c r="P1784" s="64" t="n">
        <f aca="false">IF(AND($M1784&gt;0,ISNUMBER(MATCH($F1784,Lists!$A$2:$A$5,0)),ISNUMBER(MATCH($G1784,Lists!$B$2:$B$7,0)),OR($H1784="",$N1784&gt;0),OR($I1784="",$I1784="NR",$O1784&gt;0),IF(ISNUMBER($J1784),AND($J1784&gt;=0,$J1784=INT($J1784)),FALSE())),$J1784,0)</f>
        <v>0</v>
      </c>
      <c r="Q1784" s="64" t="n">
        <f aca="false">IF(AND($P1784&gt;0,$O1784&gt;0),$P1784,0)</f>
        <v>0</v>
      </c>
      <c r="R1784" s="64" t="n">
        <f aca="false">IF(AND($Q1784&gt;0,$O1784&gt;=AtRank),$Q1784,0)</f>
        <v>0</v>
      </c>
      <c r="S1784" s="64" t="n">
        <f aca="false">IF(AND($Q1784&gt;0,$O1784&gt;=AboveRank),$Q1784,0)</f>
        <v>0</v>
      </c>
      <c r="T1784" s="64" t="n">
        <f aca="false">IF($K1784="Less",$P1784,0)</f>
        <v>0</v>
      </c>
      <c r="U1784" s="64" t="n">
        <f aca="false">IF($K1784="Expected",$P1784,0)</f>
        <v>0</v>
      </c>
      <c r="V1784" s="64" t="n">
        <f aca="false">IF($K1784="Better",$P1784,0)</f>
        <v>0</v>
      </c>
      <c r="W1784" s="64" t="n">
        <f aca="false">IF($K1784="U – needs rule",$P1784,0)</f>
        <v>0</v>
      </c>
      <c r="X1784" s="64" t="n">
        <f aca="false">IF($K1784="No Start (attainment only)",$P1784,0)</f>
        <v>0</v>
      </c>
    </row>
    <row r="1785" customFormat="false" ht="15" hidden="false" customHeight="false" outlineLevel="0" collapsed="false">
      <c r="A1785" s="60"/>
      <c r="B1785" s="61" t="str">
        <f aca="false">IF($M1785=0,"",INDEX(Classes!$E$6:$E$420,$M1785))</f>
        <v/>
      </c>
      <c r="C1785" s="62" t="str">
        <f aca="false">IF($M1785=0,"",INDEX(Classes!$H$6:$H$420,$M1785))</f>
        <v/>
      </c>
      <c r="D1785" s="61" t="str">
        <f aca="false">IF($M1785=0,"",INDEX(Classes!$B$6:$B$420,$M1785))</f>
        <v/>
      </c>
      <c r="E1785" s="61" t="str">
        <f aca="false">IF($M1785=0,"",INDEX(Classes!$C$6:$C$420,$M1785))</f>
        <v/>
      </c>
      <c r="F1785" s="63"/>
      <c r="G1785" s="63"/>
      <c r="H1785" s="60"/>
      <c r="I1785" s="60"/>
      <c r="J1785" s="63"/>
      <c r="K1785" s="61" t="str">
        <f aca="false">IF($P1785=0,"",IF($F1785="Baseline","— Baseline",IF($O1785=0,"No result",IF($N1785=0,"No Start (attainment only)",IF(OR($N1785=1,$O1785=1),"U – needs rule",INDEX(MxBody,MATCH($I1785,MxCurr,0),MATCH($H1785,MxStart,0)))))))</f>
        <v/>
      </c>
      <c r="L1785" s="62" t="str">
        <f aca="false">IF(COUNTA($A1785,$F1785,$G1785,$H1785,$I1785,$J1785)=0,"",IF($M1785=0,"✖ كود الصف غير موجود",IF(ISNA(MATCH($F1785,Lists!$A$2:$A$5,0)),"✖ الفترة غير صحيحة",IF(ISNA(MATCH($G1785,Lists!$B$2:$B$7,0)),"✖ المجموعة غير صحيحة",IF(NOT(OR($H1785="",$N1785&gt;0)),"✖ Start غير صحيح",IF(NOT(OR($I1785="",$I1785="NR",$O1785&gt;0)),"✖ Current غير صحيح",IF(NOT(IF(ISNUMBER($J1785),AND($J1785&gt;=0,$J1785=INT($J1785)),FALSE())),"✖ العدد يجب أن يكون صحيحًا ≥ 0",IF(AND($F1785="Baseline",$H1785&lt;&gt;""),"⚠ Baseline: Start لا يدخل في التقدم",IF($K1785="No Start (attainment only)","ℹ تحصيل فقط (بدون Start)",IF($K1785="U – needs rule","ℹ حالة U تحتاج قاعدة معتمدة",IF($K1785="No result","ℹ بدون نتيجة (يُستبعد من التحصيل)","OK")))))))))))</f>
        <v/>
      </c>
      <c r="M1785" s="64" t="n">
        <f aca="false">IF($A1785="",0,IFERROR(MATCH($A1785,Classes!$A$6:$A$420,0),0))</f>
        <v>0</v>
      </c>
      <c r="N1785" s="64" t="n">
        <f aca="false">IF($H1785="",0,IFERROR(MATCH($H1785,GradeList,0),0))</f>
        <v>0</v>
      </c>
      <c r="O1785" s="64" t="n">
        <f aca="false">IF(OR($I1785="",$I1785="NR"),0,IFERROR(MATCH($I1785,GradeList,0),0))</f>
        <v>0</v>
      </c>
      <c r="P1785" s="64" t="n">
        <f aca="false">IF(AND($M1785&gt;0,ISNUMBER(MATCH($F1785,Lists!$A$2:$A$5,0)),ISNUMBER(MATCH($G1785,Lists!$B$2:$B$7,0)),OR($H1785="",$N1785&gt;0),OR($I1785="",$I1785="NR",$O1785&gt;0),IF(ISNUMBER($J1785),AND($J1785&gt;=0,$J1785=INT($J1785)),FALSE())),$J1785,0)</f>
        <v>0</v>
      </c>
      <c r="Q1785" s="64" t="n">
        <f aca="false">IF(AND($P1785&gt;0,$O1785&gt;0),$P1785,0)</f>
        <v>0</v>
      </c>
      <c r="R1785" s="64" t="n">
        <f aca="false">IF(AND($Q1785&gt;0,$O1785&gt;=AtRank),$Q1785,0)</f>
        <v>0</v>
      </c>
      <c r="S1785" s="64" t="n">
        <f aca="false">IF(AND($Q1785&gt;0,$O1785&gt;=AboveRank),$Q1785,0)</f>
        <v>0</v>
      </c>
      <c r="T1785" s="64" t="n">
        <f aca="false">IF($K1785="Less",$P1785,0)</f>
        <v>0</v>
      </c>
      <c r="U1785" s="64" t="n">
        <f aca="false">IF($K1785="Expected",$P1785,0)</f>
        <v>0</v>
      </c>
      <c r="V1785" s="64" t="n">
        <f aca="false">IF($K1785="Better",$P1785,0)</f>
        <v>0</v>
      </c>
      <c r="W1785" s="64" t="n">
        <f aca="false">IF($K1785="U – needs rule",$P1785,0)</f>
        <v>0</v>
      </c>
      <c r="X1785" s="64" t="n">
        <f aca="false">IF($K1785="No Start (attainment only)",$P1785,0)</f>
        <v>0</v>
      </c>
    </row>
    <row r="1786" customFormat="false" ht="15" hidden="false" customHeight="false" outlineLevel="0" collapsed="false">
      <c r="A1786" s="60"/>
      <c r="B1786" s="61" t="str">
        <f aca="false">IF($M1786=0,"",INDEX(Classes!$E$6:$E$420,$M1786))</f>
        <v/>
      </c>
      <c r="C1786" s="62" t="str">
        <f aca="false">IF($M1786=0,"",INDEX(Classes!$H$6:$H$420,$M1786))</f>
        <v/>
      </c>
      <c r="D1786" s="61" t="str">
        <f aca="false">IF($M1786=0,"",INDEX(Classes!$B$6:$B$420,$M1786))</f>
        <v/>
      </c>
      <c r="E1786" s="61" t="str">
        <f aca="false">IF($M1786=0,"",INDEX(Classes!$C$6:$C$420,$M1786))</f>
        <v/>
      </c>
      <c r="F1786" s="63"/>
      <c r="G1786" s="63"/>
      <c r="H1786" s="60"/>
      <c r="I1786" s="60"/>
      <c r="J1786" s="63"/>
      <c r="K1786" s="61" t="str">
        <f aca="false">IF($P1786=0,"",IF($F1786="Baseline","— Baseline",IF($O1786=0,"No result",IF($N1786=0,"No Start (attainment only)",IF(OR($N1786=1,$O1786=1),"U – needs rule",INDEX(MxBody,MATCH($I1786,MxCurr,0),MATCH($H1786,MxStart,0)))))))</f>
        <v/>
      </c>
      <c r="L1786" s="62" t="str">
        <f aca="false">IF(COUNTA($A1786,$F1786,$G1786,$H1786,$I1786,$J1786)=0,"",IF($M1786=0,"✖ كود الصف غير موجود",IF(ISNA(MATCH($F1786,Lists!$A$2:$A$5,0)),"✖ الفترة غير صحيحة",IF(ISNA(MATCH($G1786,Lists!$B$2:$B$7,0)),"✖ المجموعة غير صحيحة",IF(NOT(OR($H1786="",$N1786&gt;0)),"✖ Start غير صحيح",IF(NOT(OR($I1786="",$I1786="NR",$O1786&gt;0)),"✖ Current غير صحيح",IF(NOT(IF(ISNUMBER($J1786),AND($J1786&gt;=0,$J1786=INT($J1786)),FALSE())),"✖ العدد يجب أن يكون صحيحًا ≥ 0",IF(AND($F1786="Baseline",$H1786&lt;&gt;""),"⚠ Baseline: Start لا يدخل في التقدم",IF($K1786="No Start (attainment only)","ℹ تحصيل فقط (بدون Start)",IF($K1786="U – needs rule","ℹ حالة U تحتاج قاعدة معتمدة",IF($K1786="No result","ℹ بدون نتيجة (يُستبعد من التحصيل)","OK")))))))))))</f>
        <v/>
      </c>
      <c r="M1786" s="64" t="n">
        <f aca="false">IF($A1786="",0,IFERROR(MATCH($A1786,Classes!$A$6:$A$420,0),0))</f>
        <v>0</v>
      </c>
      <c r="N1786" s="64" t="n">
        <f aca="false">IF($H1786="",0,IFERROR(MATCH($H1786,GradeList,0),0))</f>
        <v>0</v>
      </c>
      <c r="O1786" s="64" t="n">
        <f aca="false">IF(OR($I1786="",$I1786="NR"),0,IFERROR(MATCH($I1786,GradeList,0),0))</f>
        <v>0</v>
      </c>
      <c r="P1786" s="64" t="n">
        <f aca="false">IF(AND($M1786&gt;0,ISNUMBER(MATCH($F1786,Lists!$A$2:$A$5,0)),ISNUMBER(MATCH($G1786,Lists!$B$2:$B$7,0)),OR($H1786="",$N1786&gt;0),OR($I1786="",$I1786="NR",$O1786&gt;0),IF(ISNUMBER($J1786),AND($J1786&gt;=0,$J1786=INT($J1786)),FALSE())),$J1786,0)</f>
        <v>0</v>
      </c>
      <c r="Q1786" s="64" t="n">
        <f aca="false">IF(AND($P1786&gt;0,$O1786&gt;0),$P1786,0)</f>
        <v>0</v>
      </c>
      <c r="R1786" s="64" t="n">
        <f aca="false">IF(AND($Q1786&gt;0,$O1786&gt;=AtRank),$Q1786,0)</f>
        <v>0</v>
      </c>
      <c r="S1786" s="64" t="n">
        <f aca="false">IF(AND($Q1786&gt;0,$O1786&gt;=AboveRank),$Q1786,0)</f>
        <v>0</v>
      </c>
      <c r="T1786" s="64" t="n">
        <f aca="false">IF($K1786="Less",$P1786,0)</f>
        <v>0</v>
      </c>
      <c r="U1786" s="64" t="n">
        <f aca="false">IF($K1786="Expected",$P1786,0)</f>
        <v>0</v>
      </c>
      <c r="V1786" s="64" t="n">
        <f aca="false">IF($K1786="Better",$P1786,0)</f>
        <v>0</v>
      </c>
      <c r="W1786" s="64" t="n">
        <f aca="false">IF($K1786="U – needs rule",$P1786,0)</f>
        <v>0</v>
      </c>
      <c r="X1786" s="64" t="n">
        <f aca="false">IF($K1786="No Start (attainment only)",$P1786,0)</f>
        <v>0</v>
      </c>
    </row>
    <row r="1787" customFormat="false" ht="15" hidden="false" customHeight="false" outlineLevel="0" collapsed="false">
      <c r="A1787" s="60"/>
      <c r="B1787" s="61" t="str">
        <f aca="false">IF($M1787=0,"",INDEX(Classes!$E$6:$E$420,$M1787))</f>
        <v/>
      </c>
      <c r="C1787" s="62" t="str">
        <f aca="false">IF($M1787=0,"",INDEX(Classes!$H$6:$H$420,$M1787))</f>
        <v/>
      </c>
      <c r="D1787" s="61" t="str">
        <f aca="false">IF($M1787=0,"",INDEX(Classes!$B$6:$B$420,$M1787))</f>
        <v/>
      </c>
      <c r="E1787" s="61" t="str">
        <f aca="false">IF($M1787=0,"",INDEX(Classes!$C$6:$C$420,$M1787))</f>
        <v/>
      </c>
      <c r="F1787" s="63"/>
      <c r="G1787" s="63"/>
      <c r="H1787" s="60"/>
      <c r="I1787" s="60"/>
      <c r="J1787" s="63"/>
      <c r="K1787" s="61" t="str">
        <f aca="false">IF($P1787=0,"",IF($F1787="Baseline","— Baseline",IF($O1787=0,"No result",IF($N1787=0,"No Start (attainment only)",IF(OR($N1787=1,$O1787=1),"U – needs rule",INDEX(MxBody,MATCH($I1787,MxCurr,0),MATCH($H1787,MxStart,0)))))))</f>
        <v/>
      </c>
      <c r="L1787" s="62" t="str">
        <f aca="false">IF(COUNTA($A1787,$F1787,$G1787,$H1787,$I1787,$J1787)=0,"",IF($M1787=0,"✖ كود الصف غير موجود",IF(ISNA(MATCH($F1787,Lists!$A$2:$A$5,0)),"✖ الفترة غير صحيحة",IF(ISNA(MATCH($G1787,Lists!$B$2:$B$7,0)),"✖ المجموعة غير صحيحة",IF(NOT(OR($H1787="",$N1787&gt;0)),"✖ Start غير صحيح",IF(NOT(OR($I1787="",$I1787="NR",$O1787&gt;0)),"✖ Current غير صحيح",IF(NOT(IF(ISNUMBER($J1787),AND($J1787&gt;=0,$J1787=INT($J1787)),FALSE())),"✖ العدد يجب أن يكون صحيحًا ≥ 0",IF(AND($F1787="Baseline",$H1787&lt;&gt;""),"⚠ Baseline: Start لا يدخل في التقدم",IF($K1787="No Start (attainment only)","ℹ تحصيل فقط (بدون Start)",IF($K1787="U – needs rule","ℹ حالة U تحتاج قاعدة معتمدة",IF($K1787="No result","ℹ بدون نتيجة (يُستبعد من التحصيل)","OK")))))))))))</f>
        <v/>
      </c>
      <c r="M1787" s="64" t="n">
        <f aca="false">IF($A1787="",0,IFERROR(MATCH($A1787,Classes!$A$6:$A$420,0),0))</f>
        <v>0</v>
      </c>
      <c r="N1787" s="64" t="n">
        <f aca="false">IF($H1787="",0,IFERROR(MATCH($H1787,GradeList,0),0))</f>
        <v>0</v>
      </c>
      <c r="O1787" s="64" t="n">
        <f aca="false">IF(OR($I1787="",$I1787="NR"),0,IFERROR(MATCH($I1787,GradeList,0),0))</f>
        <v>0</v>
      </c>
      <c r="P1787" s="64" t="n">
        <f aca="false">IF(AND($M1787&gt;0,ISNUMBER(MATCH($F1787,Lists!$A$2:$A$5,0)),ISNUMBER(MATCH($G1787,Lists!$B$2:$B$7,0)),OR($H1787="",$N1787&gt;0),OR($I1787="",$I1787="NR",$O1787&gt;0),IF(ISNUMBER($J1787),AND($J1787&gt;=0,$J1787=INT($J1787)),FALSE())),$J1787,0)</f>
        <v>0</v>
      </c>
      <c r="Q1787" s="64" t="n">
        <f aca="false">IF(AND($P1787&gt;0,$O1787&gt;0),$P1787,0)</f>
        <v>0</v>
      </c>
      <c r="R1787" s="64" t="n">
        <f aca="false">IF(AND($Q1787&gt;0,$O1787&gt;=AtRank),$Q1787,0)</f>
        <v>0</v>
      </c>
      <c r="S1787" s="64" t="n">
        <f aca="false">IF(AND($Q1787&gt;0,$O1787&gt;=AboveRank),$Q1787,0)</f>
        <v>0</v>
      </c>
      <c r="T1787" s="64" t="n">
        <f aca="false">IF($K1787="Less",$P1787,0)</f>
        <v>0</v>
      </c>
      <c r="U1787" s="64" t="n">
        <f aca="false">IF($K1787="Expected",$P1787,0)</f>
        <v>0</v>
      </c>
      <c r="V1787" s="64" t="n">
        <f aca="false">IF($K1787="Better",$P1787,0)</f>
        <v>0</v>
      </c>
      <c r="W1787" s="64" t="n">
        <f aca="false">IF($K1787="U – needs rule",$P1787,0)</f>
        <v>0</v>
      </c>
      <c r="X1787" s="64" t="n">
        <f aca="false">IF($K1787="No Start (attainment only)",$P1787,0)</f>
        <v>0</v>
      </c>
    </row>
    <row r="1788" customFormat="false" ht="15" hidden="false" customHeight="false" outlineLevel="0" collapsed="false">
      <c r="A1788" s="60"/>
      <c r="B1788" s="61" t="str">
        <f aca="false">IF($M1788=0,"",INDEX(Classes!$E$6:$E$420,$M1788))</f>
        <v/>
      </c>
      <c r="C1788" s="62" t="str">
        <f aca="false">IF($M1788=0,"",INDEX(Classes!$H$6:$H$420,$M1788))</f>
        <v/>
      </c>
      <c r="D1788" s="61" t="str">
        <f aca="false">IF($M1788=0,"",INDEX(Classes!$B$6:$B$420,$M1788))</f>
        <v/>
      </c>
      <c r="E1788" s="61" t="str">
        <f aca="false">IF($M1788=0,"",INDEX(Classes!$C$6:$C$420,$M1788))</f>
        <v/>
      </c>
      <c r="F1788" s="63"/>
      <c r="G1788" s="63"/>
      <c r="H1788" s="60"/>
      <c r="I1788" s="60"/>
      <c r="J1788" s="63"/>
      <c r="K1788" s="61" t="str">
        <f aca="false">IF($P1788=0,"",IF($F1788="Baseline","— Baseline",IF($O1788=0,"No result",IF($N1788=0,"No Start (attainment only)",IF(OR($N1788=1,$O1788=1),"U – needs rule",INDEX(MxBody,MATCH($I1788,MxCurr,0),MATCH($H1788,MxStart,0)))))))</f>
        <v/>
      </c>
      <c r="L1788" s="62" t="str">
        <f aca="false">IF(COUNTA($A1788,$F1788,$G1788,$H1788,$I1788,$J1788)=0,"",IF($M1788=0,"✖ كود الصف غير موجود",IF(ISNA(MATCH($F1788,Lists!$A$2:$A$5,0)),"✖ الفترة غير صحيحة",IF(ISNA(MATCH($G1788,Lists!$B$2:$B$7,0)),"✖ المجموعة غير صحيحة",IF(NOT(OR($H1788="",$N1788&gt;0)),"✖ Start غير صحيح",IF(NOT(OR($I1788="",$I1788="NR",$O1788&gt;0)),"✖ Current غير صحيح",IF(NOT(IF(ISNUMBER($J1788),AND($J1788&gt;=0,$J1788=INT($J1788)),FALSE())),"✖ العدد يجب أن يكون صحيحًا ≥ 0",IF(AND($F1788="Baseline",$H1788&lt;&gt;""),"⚠ Baseline: Start لا يدخل في التقدم",IF($K1788="No Start (attainment only)","ℹ تحصيل فقط (بدون Start)",IF($K1788="U – needs rule","ℹ حالة U تحتاج قاعدة معتمدة",IF($K1788="No result","ℹ بدون نتيجة (يُستبعد من التحصيل)","OK")))))))))))</f>
        <v/>
      </c>
      <c r="M1788" s="64" t="n">
        <f aca="false">IF($A1788="",0,IFERROR(MATCH($A1788,Classes!$A$6:$A$420,0),0))</f>
        <v>0</v>
      </c>
      <c r="N1788" s="64" t="n">
        <f aca="false">IF($H1788="",0,IFERROR(MATCH($H1788,GradeList,0),0))</f>
        <v>0</v>
      </c>
      <c r="O1788" s="64" t="n">
        <f aca="false">IF(OR($I1788="",$I1788="NR"),0,IFERROR(MATCH($I1788,GradeList,0),0))</f>
        <v>0</v>
      </c>
      <c r="P1788" s="64" t="n">
        <f aca="false">IF(AND($M1788&gt;0,ISNUMBER(MATCH($F1788,Lists!$A$2:$A$5,0)),ISNUMBER(MATCH($G1788,Lists!$B$2:$B$7,0)),OR($H1788="",$N1788&gt;0),OR($I1788="",$I1788="NR",$O1788&gt;0),IF(ISNUMBER($J1788),AND($J1788&gt;=0,$J1788=INT($J1788)),FALSE())),$J1788,0)</f>
        <v>0</v>
      </c>
      <c r="Q1788" s="64" t="n">
        <f aca="false">IF(AND($P1788&gt;0,$O1788&gt;0),$P1788,0)</f>
        <v>0</v>
      </c>
      <c r="R1788" s="64" t="n">
        <f aca="false">IF(AND($Q1788&gt;0,$O1788&gt;=AtRank),$Q1788,0)</f>
        <v>0</v>
      </c>
      <c r="S1788" s="64" t="n">
        <f aca="false">IF(AND($Q1788&gt;0,$O1788&gt;=AboveRank),$Q1788,0)</f>
        <v>0</v>
      </c>
      <c r="T1788" s="64" t="n">
        <f aca="false">IF($K1788="Less",$P1788,0)</f>
        <v>0</v>
      </c>
      <c r="U1788" s="64" t="n">
        <f aca="false">IF($K1788="Expected",$P1788,0)</f>
        <v>0</v>
      </c>
      <c r="V1788" s="64" t="n">
        <f aca="false">IF($K1788="Better",$P1788,0)</f>
        <v>0</v>
      </c>
      <c r="W1788" s="64" t="n">
        <f aca="false">IF($K1788="U – needs rule",$P1788,0)</f>
        <v>0</v>
      </c>
      <c r="X1788" s="64" t="n">
        <f aca="false">IF($K1788="No Start (attainment only)",$P1788,0)</f>
        <v>0</v>
      </c>
    </row>
    <row r="1789" customFormat="false" ht="15" hidden="false" customHeight="false" outlineLevel="0" collapsed="false">
      <c r="A1789" s="60"/>
      <c r="B1789" s="61" t="str">
        <f aca="false">IF($M1789=0,"",INDEX(Classes!$E$6:$E$420,$M1789))</f>
        <v/>
      </c>
      <c r="C1789" s="62" t="str">
        <f aca="false">IF($M1789=0,"",INDEX(Classes!$H$6:$H$420,$M1789))</f>
        <v/>
      </c>
      <c r="D1789" s="61" t="str">
        <f aca="false">IF($M1789=0,"",INDEX(Classes!$B$6:$B$420,$M1789))</f>
        <v/>
      </c>
      <c r="E1789" s="61" t="str">
        <f aca="false">IF($M1789=0,"",INDEX(Classes!$C$6:$C$420,$M1789))</f>
        <v/>
      </c>
      <c r="F1789" s="63"/>
      <c r="G1789" s="63"/>
      <c r="H1789" s="60"/>
      <c r="I1789" s="60"/>
      <c r="J1789" s="63"/>
      <c r="K1789" s="61" t="str">
        <f aca="false">IF($P1789=0,"",IF($F1789="Baseline","— Baseline",IF($O1789=0,"No result",IF($N1789=0,"No Start (attainment only)",IF(OR($N1789=1,$O1789=1),"U – needs rule",INDEX(MxBody,MATCH($I1789,MxCurr,0),MATCH($H1789,MxStart,0)))))))</f>
        <v/>
      </c>
      <c r="L1789" s="62" t="str">
        <f aca="false">IF(COUNTA($A1789,$F1789,$G1789,$H1789,$I1789,$J1789)=0,"",IF($M1789=0,"✖ كود الصف غير موجود",IF(ISNA(MATCH($F1789,Lists!$A$2:$A$5,0)),"✖ الفترة غير صحيحة",IF(ISNA(MATCH($G1789,Lists!$B$2:$B$7,0)),"✖ المجموعة غير صحيحة",IF(NOT(OR($H1789="",$N1789&gt;0)),"✖ Start غير صحيح",IF(NOT(OR($I1789="",$I1789="NR",$O1789&gt;0)),"✖ Current غير صحيح",IF(NOT(IF(ISNUMBER($J1789),AND($J1789&gt;=0,$J1789=INT($J1789)),FALSE())),"✖ العدد يجب أن يكون صحيحًا ≥ 0",IF(AND($F1789="Baseline",$H1789&lt;&gt;""),"⚠ Baseline: Start لا يدخل في التقدم",IF($K1789="No Start (attainment only)","ℹ تحصيل فقط (بدون Start)",IF($K1789="U – needs rule","ℹ حالة U تحتاج قاعدة معتمدة",IF($K1789="No result","ℹ بدون نتيجة (يُستبعد من التحصيل)","OK")))))))))))</f>
        <v/>
      </c>
      <c r="M1789" s="64" t="n">
        <f aca="false">IF($A1789="",0,IFERROR(MATCH($A1789,Classes!$A$6:$A$420,0),0))</f>
        <v>0</v>
      </c>
      <c r="N1789" s="64" t="n">
        <f aca="false">IF($H1789="",0,IFERROR(MATCH($H1789,GradeList,0),0))</f>
        <v>0</v>
      </c>
      <c r="O1789" s="64" t="n">
        <f aca="false">IF(OR($I1789="",$I1789="NR"),0,IFERROR(MATCH($I1789,GradeList,0),0))</f>
        <v>0</v>
      </c>
      <c r="P1789" s="64" t="n">
        <f aca="false">IF(AND($M1789&gt;0,ISNUMBER(MATCH($F1789,Lists!$A$2:$A$5,0)),ISNUMBER(MATCH($G1789,Lists!$B$2:$B$7,0)),OR($H1789="",$N1789&gt;0),OR($I1789="",$I1789="NR",$O1789&gt;0),IF(ISNUMBER($J1789),AND($J1789&gt;=0,$J1789=INT($J1789)),FALSE())),$J1789,0)</f>
        <v>0</v>
      </c>
      <c r="Q1789" s="64" t="n">
        <f aca="false">IF(AND($P1789&gt;0,$O1789&gt;0),$P1789,0)</f>
        <v>0</v>
      </c>
      <c r="R1789" s="64" t="n">
        <f aca="false">IF(AND($Q1789&gt;0,$O1789&gt;=AtRank),$Q1789,0)</f>
        <v>0</v>
      </c>
      <c r="S1789" s="64" t="n">
        <f aca="false">IF(AND($Q1789&gt;0,$O1789&gt;=AboveRank),$Q1789,0)</f>
        <v>0</v>
      </c>
      <c r="T1789" s="64" t="n">
        <f aca="false">IF($K1789="Less",$P1789,0)</f>
        <v>0</v>
      </c>
      <c r="U1789" s="64" t="n">
        <f aca="false">IF($K1789="Expected",$P1789,0)</f>
        <v>0</v>
      </c>
      <c r="V1789" s="64" t="n">
        <f aca="false">IF($K1789="Better",$P1789,0)</f>
        <v>0</v>
      </c>
      <c r="W1789" s="64" t="n">
        <f aca="false">IF($K1789="U – needs rule",$P1789,0)</f>
        <v>0</v>
      </c>
      <c r="X1789" s="64" t="n">
        <f aca="false">IF($K1789="No Start (attainment only)",$P1789,0)</f>
        <v>0</v>
      </c>
    </row>
    <row r="1790" customFormat="false" ht="15" hidden="false" customHeight="false" outlineLevel="0" collapsed="false">
      <c r="A1790" s="60"/>
      <c r="B1790" s="61" t="str">
        <f aca="false">IF($M1790=0,"",INDEX(Classes!$E$6:$E$420,$M1790))</f>
        <v/>
      </c>
      <c r="C1790" s="62" t="str">
        <f aca="false">IF($M1790=0,"",INDEX(Classes!$H$6:$H$420,$M1790))</f>
        <v/>
      </c>
      <c r="D1790" s="61" t="str">
        <f aca="false">IF($M1790=0,"",INDEX(Classes!$B$6:$B$420,$M1790))</f>
        <v/>
      </c>
      <c r="E1790" s="61" t="str">
        <f aca="false">IF($M1790=0,"",INDEX(Classes!$C$6:$C$420,$M1790))</f>
        <v/>
      </c>
      <c r="F1790" s="63"/>
      <c r="G1790" s="63"/>
      <c r="H1790" s="60"/>
      <c r="I1790" s="60"/>
      <c r="J1790" s="63"/>
      <c r="K1790" s="61" t="str">
        <f aca="false">IF($P1790=0,"",IF($F1790="Baseline","— Baseline",IF($O1790=0,"No result",IF($N1790=0,"No Start (attainment only)",IF(OR($N1790=1,$O1790=1),"U – needs rule",INDEX(MxBody,MATCH($I1790,MxCurr,0),MATCH($H1790,MxStart,0)))))))</f>
        <v/>
      </c>
      <c r="L1790" s="62" t="str">
        <f aca="false">IF(COUNTA($A1790,$F1790,$G1790,$H1790,$I1790,$J1790)=0,"",IF($M1790=0,"✖ كود الصف غير موجود",IF(ISNA(MATCH($F1790,Lists!$A$2:$A$5,0)),"✖ الفترة غير صحيحة",IF(ISNA(MATCH($G1790,Lists!$B$2:$B$7,0)),"✖ المجموعة غير صحيحة",IF(NOT(OR($H1790="",$N1790&gt;0)),"✖ Start غير صحيح",IF(NOT(OR($I1790="",$I1790="NR",$O1790&gt;0)),"✖ Current غير صحيح",IF(NOT(IF(ISNUMBER($J1790),AND($J1790&gt;=0,$J1790=INT($J1790)),FALSE())),"✖ العدد يجب أن يكون صحيحًا ≥ 0",IF(AND($F1790="Baseline",$H1790&lt;&gt;""),"⚠ Baseline: Start لا يدخل في التقدم",IF($K1790="No Start (attainment only)","ℹ تحصيل فقط (بدون Start)",IF($K1790="U – needs rule","ℹ حالة U تحتاج قاعدة معتمدة",IF($K1790="No result","ℹ بدون نتيجة (يُستبعد من التحصيل)","OK")))))))))))</f>
        <v/>
      </c>
      <c r="M1790" s="64" t="n">
        <f aca="false">IF($A1790="",0,IFERROR(MATCH($A1790,Classes!$A$6:$A$420,0),0))</f>
        <v>0</v>
      </c>
      <c r="N1790" s="64" t="n">
        <f aca="false">IF($H1790="",0,IFERROR(MATCH($H1790,GradeList,0),0))</f>
        <v>0</v>
      </c>
      <c r="O1790" s="64" t="n">
        <f aca="false">IF(OR($I1790="",$I1790="NR"),0,IFERROR(MATCH($I1790,GradeList,0),0))</f>
        <v>0</v>
      </c>
      <c r="P1790" s="64" t="n">
        <f aca="false">IF(AND($M1790&gt;0,ISNUMBER(MATCH($F1790,Lists!$A$2:$A$5,0)),ISNUMBER(MATCH($G1790,Lists!$B$2:$B$7,0)),OR($H1790="",$N1790&gt;0),OR($I1790="",$I1790="NR",$O1790&gt;0),IF(ISNUMBER($J1790),AND($J1790&gt;=0,$J1790=INT($J1790)),FALSE())),$J1790,0)</f>
        <v>0</v>
      </c>
      <c r="Q1790" s="64" t="n">
        <f aca="false">IF(AND($P1790&gt;0,$O1790&gt;0),$P1790,0)</f>
        <v>0</v>
      </c>
      <c r="R1790" s="64" t="n">
        <f aca="false">IF(AND($Q1790&gt;0,$O1790&gt;=AtRank),$Q1790,0)</f>
        <v>0</v>
      </c>
      <c r="S1790" s="64" t="n">
        <f aca="false">IF(AND($Q1790&gt;0,$O1790&gt;=AboveRank),$Q1790,0)</f>
        <v>0</v>
      </c>
      <c r="T1790" s="64" t="n">
        <f aca="false">IF($K1790="Less",$P1790,0)</f>
        <v>0</v>
      </c>
      <c r="U1790" s="64" t="n">
        <f aca="false">IF($K1790="Expected",$P1790,0)</f>
        <v>0</v>
      </c>
      <c r="V1790" s="64" t="n">
        <f aca="false">IF($K1790="Better",$P1790,0)</f>
        <v>0</v>
      </c>
      <c r="W1790" s="64" t="n">
        <f aca="false">IF($K1790="U – needs rule",$P1790,0)</f>
        <v>0</v>
      </c>
      <c r="X1790" s="64" t="n">
        <f aca="false">IF($K1790="No Start (attainment only)",$P1790,0)</f>
        <v>0</v>
      </c>
    </row>
    <row r="1791" customFormat="false" ht="15" hidden="false" customHeight="false" outlineLevel="0" collapsed="false">
      <c r="A1791" s="60"/>
      <c r="B1791" s="61" t="str">
        <f aca="false">IF($M1791=0,"",INDEX(Classes!$E$6:$E$420,$M1791))</f>
        <v/>
      </c>
      <c r="C1791" s="62" t="str">
        <f aca="false">IF($M1791=0,"",INDEX(Classes!$H$6:$H$420,$M1791))</f>
        <v/>
      </c>
      <c r="D1791" s="61" t="str">
        <f aca="false">IF($M1791=0,"",INDEX(Classes!$B$6:$B$420,$M1791))</f>
        <v/>
      </c>
      <c r="E1791" s="61" t="str">
        <f aca="false">IF($M1791=0,"",INDEX(Classes!$C$6:$C$420,$M1791))</f>
        <v/>
      </c>
      <c r="F1791" s="63"/>
      <c r="G1791" s="63"/>
      <c r="H1791" s="60"/>
      <c r="I1791" s="60"/>
      <c r="J1791" s="63"/>
      <c r="K1791" s="61" t="str">
        <f aca="false">IF($P1791=0,"",IF($F1791="Baseline","— Baseline",IF($O1791=0,"No result",IF($N1791=0,"No Start (attainment only)",IF(OR($N1791=1,$O1791=1),"U – needs rule",INDEX(MxBody,MATCH($I1791,MxCurr,0),MATCH($H1791,MxStart,0)))))))</f>
        <v/>
      </c>
      <c r="L1791" s="62" t="str">
        <f aca="false">IF(COUNTA($A1791,$F1791,$G1791,$H1791,$I1791,$J1791)=0,"",IF($M1791=0,"✖ كود الصف غير موجود",IF(ISNA(MATCH($F1791,Lists!$A$2:$A$5,0)),"✖ الفترة غير صحيحة",IF(ISNA(MATCH($G1791,Lists!$B$2:$B$7,0)),"✖ المجموعة غير صحيحة",IF(NOT(OR($H1791="",$N1791&gt;0)),"✖ Start غير صحيح",IF(NOT(OR($I1791="",$I1791="NR",$O1791&gt;0)),"✖ Current غير صحيح",IF(NOT(IF(ISNUMBER($J1791),AND($J1791&gt;=0,$J1791=INT($J1791)),FALSE())),"✖ العدد يجب أن يكون صحيحًا ≥ 0",IF(AND($F1791="Baseline",$H1791&lt;&gt;""),"⚠ Baseline: Start لا يدخل في التقدم",IF($K1791="No Start (attainment only)","ℹ تحصيل فقط (بدون Start)",IF($K1791="U – needs rule","ℹ حالة U تحتاج قاعدة معتمدة",IF($K1791="No result","ℹ بدون نتيجة (يُستبعد من التحصيل)","OK")))))))))))</f>
        <v/>
      </c>
      <c r="M1791" s="64" t="n">
        <f aca="false">IF($A1791="",0,IFERROR(MATCH($A1791,Classes!$A$6:$A$420,0),0))</f>
        <v>0</v>
      </c>
      <c r="N1791" s="64" t="n">
        <f aca="false">IF($H1791="",0,IFERROR(MATCH($H1791,GradeList,0),0))</f>
        <v>0</v>
      </c>
      <c r="O1791" s="64" t="n">
        <f aca="false">IF(OR($I1791="",$I1791="NR"),0,IFERROR(MATCH($I1791,GradeList,0),0))</f>
        <v>0</v>
      </c>
      <c r="P1791" s="64" t="n">
        <f aca="false">IF(AND($M1791&gt;0,ISNUMBER(MATCH($F1791,Lists!$A$2:$A$5,0)),ISNUMBER(MATCH($G1791,Lists!$B$2:$B$7,0)),OR($H1791="",$N1791&gt;0),OR($I1791="",$I1791="NR",$O1791&gt;0),IF(ISNUMBER($J1791),AND($J1791&gt;=0,$J1791=INT($J1791)),FALSE())),$J1791,0)</f>
        <v>0</v>
      </c>
      <c r="Q1791" s="64" t="n">
        <f aca="false">IF(AND($P1791&gt;0,$O1791&gt;0),$P1791,0)</f>
        <v>0</v>
      </c>
      <c r="R1791" s="64" t="n">
        <f aca="false">IF(AND($Q1791&gt;0,$O1791&gt;=AtRank),$Q1791,0)</f>
        <v>0</v>
      </c>
      <c r="S1791" s="64" t="n">
        <f aca="false">IF(AND($Q1791&gt;0,$O1791&gt;=AboveRank),$Q1791,0)</f>
        <v>0</v>
      </c>
      <c r="T1791" s="64" t="n">
        <f aca="false">IF($K1791="Less",$P1791,0)</f>
        <v>0</v>
      </c>
      <c r="U1791" s="64" t="n">
        <f aca="false">IF($K1791="Expected",$P1791,0)</f>
        <v>0</v>
      </c>
      <c r="V1791" s="64" t="n">
        <f aca="false">IF($K1791="Better",$P1791,0)</f>
        <v>0</v>
      </c>
      <c r="W1791" s="64" t="n">
        <f aca="false">IF($K1791="U – needs rule",$P1791,0)</f>
        <v>0</v>
      </c>
      <c r="X1791" s="64" t="n">
        <f aca="false">IF($K1791="No Start (attainment only)",$P1791,0)</f>
        <v>0</v>
      </c>
    </row>
    <row r="1792" customFormat="false" ht="15" hidden="false" customHeight="false" outlineLevel="0" collapsed="false">
      <c r="A1792" s="60"/>
      <c r="B1792" s="61" t="str">
        <f aca="false">IF($M1792=0,"",INDEX(Classes!$E$6:$E$420,$M1792))</f>
        <v/>
      </c>
      <c r="C1792" s="62" t="str">
        <f aca="false">IF($M1792=0,"",INDEX(Classes!$H$6:$H$420,$M1792))</f>
        <v/>
      </c>
      <c r="D1792" s="61" t="str">
        <f aca="false">IF($M1792=0,"",INDEX(Classes!$B$6:$B$420,$M1792))</f>
        <v/>
      </c>
      <c r="E1792" s="61" t="str">
        <f aca="false">IF($M1792=0,"",INDEX(Classes!$C$6:$C$420,$M1792))</f>
        <v/>
      </c>
      <c r="F1792" s="63"/>
      <c r="G1792" s="63"/>
      <c r="H1792" s="60"/>
      <c r="I1792" s="60"/>
      <c r="J1792" s="63"/>
      <c r="K1792" s="61" t="str">
        <f aca="false">IF($P1792=0,"",IF($F1792="Baseline","— Baseline",IF($O1792=0,"No result",IF($N1792=0,"No Start (attainment only)",IF(OR($N1792=1,$O1792=1),"U – needs rule",INDEX(MxBody,MATCH($I1792,MxCurr,0),MATCH($H1792,MxStart,0)))))))</f>
        <v/>
      </c>
      <c r="L1792" s="62" t="str">
        <f aca="false">IF(COUNTA($A1792,$F1792,$G1792,$H1792,$I1792,$J1792)=0,"",IF($M1792=0,"✖ كود الصف غير موجود",IF(ISNA(MATCH($F1792,Lists!$A$2:$A$5,0)),"✖ الفترة غير صحيحة",IF(ISNA(MATCH($G1792,Lists!$B$2:$B$7,0)),"✖ المجموعة غير صحيحة",IF(NOT(OR($H1792="",$N1792&gt;0)),"✖ Start غير صحيح",IF(NOT(OR($I1792="",$I1792="NR",$O1792&gt;0)),"✖ Current غير صحيح",IF(NOT(IF(ISNUMBER($J1792),AND($J1792&gt;=0,$J1792=INT($J1792)),FALSE())),"✖ العدد يجب أن يكون صحيحًا ≥ 0",IF(AND($F1792="Baseline",$H1792&lt;&gt;""),"⚠ Baseline: Start لا يدخل في التقدم",IF($K1792="No Start (attainment only)","ℹ تحصيل فقط (بدون Start)",IF($K1792="U – needs rule","ℹ حالة U تحتاج قاعدة معتمدة",IF($K1792="No result","ℹ بدون نتيجة (يُستبعد من التحصيل)","OK")))))))))))</f>
        <v/>
      </c>
      <c r="M1792" s="64" t="n">
        <f aca="false">IF($A1792="",0,IFERROR(MATCH($A1792,Classes!$A$6:$A$420,0),0))</f>
        <v>0</v>
      </c>
      <c r="N1792" s="64" t="n">
        <f aca="false">IF($H1792="",0,IFERROR(MATCH($H1792,GradeList,0),0))</f>
        <v>0</v>
      </c>
      <c r="O1792" s="64" t="n">
        <f aca="false">IF(OR($I1792="",$I1792="NR"),0,IFERROR(MATCH($I1792,GradeList,0),0))</f>
        <v>0</v>
      </c>
      <c r="P1792" s="64" t="n">
        <f aca="false">IF(AND($M1792&gt;0,ISNUMBER(MATCH($F1792,Lists!$A$2:$A$5,0)),ISNUMBER(MATCH($G1792,Lists!$B$2:$B$7,0)),OR($H1792="",$N1792&gt;0),OR($I1792="",$I1792="NR",$O1792&gt;0),IF(ISNUMBER($J1792),AND($J1792&gt;=0,$J1792=INT($J1792)),FALSE())),$J1792,0)</f>
        <v>0</v>
      </c>
      <c r="Q1792" s="64" t="n">
        <f aca="false">IF(AND($P1792&gt;0,$O1792&gt;0),$P1792,0)</f>
        <v>0</v>
      </c>
      <c r="R1792" s="64" t="n">
        <f aca="false">IF(AND($Q1792&gt;0,$O1792&gt;=AtRank),$Q1792,0)</f>
        <v>0</v>
      </c>
      <c r="S1792" s="64" t="n">
        <f aca="false">IF(AND($Q1792&gt;0,$O1792&gt;=AboveRank),$Q1792,0)</f>
        <v>0</v>
      </c>
      <c r="T1792" s="64" t="n">
        <f aca="false">IF($K1792="Less",$P1792,0)</f>
        <v>0</v>
      </c>
      <c r="U1792" s="64" t="n">
        <f aca="false">IF($K1792="Expected",$P1792,0)</f>
        <v>0</v>
      </c>
      <c r="V1792" s="64" t="n">
        <f aca="false">IF($K1792="Better",$P1792,0)</f>
        <v>0</v>
      </c>
      <c r="W1792" s="64" t="n">
        <f aca="false">IF($K1792="U – needs rule",$P1792,0)</f>
        <v>0</v>
      </c>
      <c r="X1792" s="64" t="n">
        <f aca="false">IF($K1792="No Start (attainment only)",$P1792,0)</f>
        <v>0</v>
      </c>
    </row>
    <row r="1793" customFormat="false" ht="15" hidden="false" customHeight="false" outlineLevel="0" collapsed="false">
      <c r="A1793" s="60"/>
      <c r="B1793" s="61" t="str">
        <f aca="false">IF($M1793=0,"",INDEX(Classes!$E$6:$E$420,$M1793))</f>
        <v/>
      </c>
      <c r="C1793" s="62" t="str">
        <f aca="false">IF($M1793=0,"",INDEX(Classes!$H$6:$H$420,$M1793))</f>
        <v/>
      </c>
      <c r="D1793" s="61" t="str">
        <f aca="false">IF($M1793=0,"",INDEX(Classes!$B$6:$B$420,$M1793))</f>
        <v/>
      </c>
      <c r="E1793" s="61" t="str">
        <f aca="false">IF($M1793=0,"",INDEX(Classes!$C$6:$C$420,$M1793))</f>
        <v/>
      </c>
      <c r="F1793" s="63"/>
      <c r="G1793" s="63"/>
      <c r="H1793" s="60"/>
      <c r="I1793" s="60"/>
      <c r="J1793" s="63"/>
      <c r="K1793" s="61" t="str">
        <f aca="false">IF($P1793=0,"",IF($F1793="Baseline","— Baseline",IF($O1793=0,"No result",IF($N1793=0,"No Start (attainment only)",IF(OR($N1793=1,$O1793=1),"U – needs rule",INDEX(MxBody,MATCH($I1793,MxCurr,0),MATCH($H1793,MxStart,0)))))))</f>
        <v/>
      </c>
      <c r="L1793" s="62" t="str">
        <f aca="false">IF(COUNTA($A1793,$F1793,$G1793,$H1793,$I1793,$J1793)=0,"",IF($M1793=0,"✖ كود الصف غير موجود",IF(ISNA(MATCH($F1793,Lists!$A$2:$A$5,0)),"✖ الفترة غير صحيحة",IF(ISNA(MATCH($G1793,Lists!$B$2:$B$7,0)),"✖ المجموعة غير صحيحة",IF(NOT(OR($H1793="",$N1793&gt;0)),"✖ Start غير صحيح",IF(NOT(OR($I1793="",$I1793="NR",$O1793&gt;0)),"✖ Current غير صحيح",IF(NOT(IF(ISNUMBER($J1793),AND($J1793&gt;=0,$J1793=INT($J1793)),FALSE())),"✖ العدد يجب أن يكون صحيحًا ≥ 0",IF(AND($F1793="Baseline",$H1793&lt;&gt;""),"⚠ Baseline: Start لا يدخل في التقدم",IF($K1793="No Start (attainment only)","ℹ تحصيل فقط (بدون Start)",IF($K1793="U – needs rule","ℹ حالة U تحتاج قاعدة معتمدة",IF($K1793="No result","ℹ بدون نتيجة (يُستبعد من التحصيل)","OK")))))))))))</f>
        <v/>
      </c>
      <c r="M1793" s="64" t="n">
        <f aca="false">IF($A1793="",0,IFERROR(MATCH($A1793,Classes!$A$6:$A$420,0),0))</f>
        <v>0</v>
      </c>
      <c r="N1793" s="64" t="n">
        <f aca="false">IF($H1793="",0,IFERROR(MATCH($H1793,GradeList,0),0))</f>
        <v>0</v>
      </c>
      <c r="O1793" s="64" t="n">
        <f aca="false">IF(OR($I1793="",$I1793="NR"),0,IFERROR(MATCH($I1793,GradeList,0),0))</f>
        <v>0</v>
      </c>
      <c r="P1793" s="64" t="n">
        <f aca="false">IF(AND($M1793&gt;0,ISNUMBER(MATCH($F1793,Lists!$A$2:$A$5,0)),ISNUMBER(MATCH($G1793,Lists!$B$2:$B$7,0)),OR($H1793="",$N1793&gt;0),OR($I1793="",$I1793="NR",$O1793&gt;0),IF(ISNUMBER($J1793),AND($J1793&gt;=0,$J1793=INT($J1793)),FALSE())),$J1793,0)</f>
        <v>0</v>
      </c>
      <c r="Q1793" s="64" t="n">
        <f aca="false">IF(AND($P1793&gt;0,$O1793&gt;0),$P1793,0)</f>
        <v>0</v>
      </c>
      <c r="R1793" s="64" t="n">
        <f aca="false">IF(AND($Q1793&gt;0,$O1793&gt;=AtRank),$Q1793,0)</f>
        <v>0</v>
      </c>
      <c r="S1793" s="64" t="n">
        <f aca="false">IF(AND($Q1793&gt;0,$O1793&gt;=AboveRank),$Q1793,0)</f>
        <v>0</v>
      </c>
      <c r="T1793" s="64" t="n">
        <f aca="false">IF($K1793="Less",$P1793,0)</f>
        <v>0</v>
      </c>
      <c r="U1793" s="64" t="n">
        <f aca="false">IF($K1793="Expected",$P1793,0)</f>
        <v>0</v>
      </c>
      <c r="V1793" s="64" t="n">
        <f aca="false">IF($K1793="Better",$P1793,0)</f>
        <v>0</v>
      </c>
      <c r="W1793" s="64" t="n">
        <f aca="false">IF($K1793="U – needs rule",$P1793,0)</f>
        <v>0</v>
      </c>
      <c r="X1793" s="64" t="n">
        <f aca="false">IF($K1793="No Start (attainment only)",$P1793,0)</f>
        <v>0</v>
      </c>
    </row>
    <row r="1794" customFormat="false" ht="15" hidden="false" customHeight="false" outlineLevel="0" collapsed="false">
      <c r="A1794" s="60"/>
      <c r="B1794" s="61" t="str">
        <f aca="false">IF($M1794=0,"",INDEX(Classes!$E$6:$E$420,$M1794))</f>
        <v/>
      </c>
      <c r="C1794" s="62" t="str">
        <f aca="false">IF($M1794=0,"",INDEX(Classes!$H$6:$H$420,$M1794))</f>
        <v/>
      </c>
      <c r="D1794" s="61" t="str">
        <f aca="false">IF($M1794=0,"",INDEX(Classes!$B$6:$B$420,$M1794))</f>
        <v/>
      </c>
      <c r="E1794" s="61" t="str">
        <f aca="false">IF($M1794=0,"",INDEX(Classes!$C$6:$C$420,$M1794))</f>
        <v/>
      </c>
      <c r="F1794" s="63"/>
      <c r="G1794" s="63"/>
      <c r="H1794" s="60"/>
      <c r="I1794" s="60"/>
      <c r="J1794" s="63"/>
      <c r="K1794" s="61" t="str">
        <f aca="false">IF($P1794=0,"",IF($F1794="Baseline","— Baseline",IF($O1794=0,"No result",IF($N1794=0,"No Start (attainment only)",IF(OR($N1794=1,$O1794=1),"U – needs rule",INDEX(MxBody,MATCH($I1794,MxCurr,0),MATCH($H1794,MxStart,0)))))))</f>
        <v/>
      </c>
      <c r="L1794" s="62" t="str">
        <f aca="false">IF(COUNTA($A1794,$F1794,$G1794,$H1794,$I1794,$J1794)=0,"",IF($M1794=0,"✖ كود الصف غير موجود",IF(ISNA(MATCH($F1794,Lists!$A$2:$A$5,0)),"✖ الفترة غير صحيحة",IF(ISNA(MATCH($G1794,Lists!$B$2:$B$7,0)),"✖ المجموعة غير صحيحة",IF(NOT(OR($H1794="",$N1794&gt;0)),"✖ Start غير صحيح",IF(NOT(OR($I1794="",$I1794="NR",$O1794&gt;0)),"✖ Current غير صحيح",IF(NOT(IF(ISNUMBER($J1794),AND($J1794&gt;=0,$J1794=INT($J1794)),FALSE())),"✖ العدد يجب أن يكون صحيحًا ≥ 0",IF(AND($F1794="Baseline",$H1794&lt;&gt;""),"⚠ Baseline: Start لا يدخل في التقدم",IF($K1794="No Start (attainment only)","ℹ تحصيل فقط (بدون Start)",IF($K1794="U – needs rule","ℹ حالة U تحتاج قاعدة معتمدة",IF($K1794="No result","ℹ بدون نتيجة (يُستبعد من التحصيل)","OK")))))))))))</f>
        <v/>
      </c>
      <c r="M1794" s="64" t="n">
        <f aca="false">IF($A1794="",0,IFERROR(MATCH($A1794,Classes!$A$6:$A$420,0),0))</f>
        <v>0</v>
      </c>
      <c r="N1794" s="64" t="n">
        <f aca="false">IF($H1794="",0,IFERROR(MATCH($H1794,GradeList,0),0))</f>
        <v>0</v>
      </c>
      <c r="O1794" s="64" t="n">
        <f aca="false">IF(OR($I1794="",$I1794="NR"),0,IFERROR(MATCH($I1794,GradeList,0),0))</f>
        <v>0</v>
      </c>
      <c r="P1794" s="64" t="n">
        <f aca="false">IF(AND($M1794&gt;0,ISNUMBER(MATCH($F1794,Lists!$A$2:$A$5,0)),ISNUMBER(MATCH($G1794,Lists!$B$2:$B$7,0)),OR($H1794="",$N1794&gt;0),OR($I1794="",$I1794="NR",$O1794&gt;0),IF(ISNUMBER($J1794),AND($J1794&gt;=0,$J1794=INT($J1794)),FALSE())),$J1794,0)</f>
        <v>0</v>
      </c>
      <c r="Q1794" s="64" t="n">
        <f aca="false">IF(AND($P1794&gt;0,$O1794&gt;0),$P1794,0)</f>
        <v>0</v>
      </c>
      <c r="R1794" s="64" t="n">
        <f aca="false">IF(AND($Q1794&gt;0,$O1794&gt;=AtRank),$Q1794,0)</f>
        <v>0</v>
      </c>
      <c r="S1794" s="64" t="n">
        <f aca="false">IF(AND($Q1794&gt;0,$O1794&gt;=AboveRank),$Q1794,0)</f>
        <v>0</v>
      </c>
      <c r="T1794" s="64" t="n">
        <f aca="false">IF($K1794="Less",$P1794,0)</f>
        <v>0</v>
      </c>
      <c r="U1794" s="64" t="n">
        <f aca="false">IF($K1794="Expected",$P1794,0)</f>
        <v>0</v>
      </c>
      <c r="V1794" s="64" t="n">
        <f aca="false">IF($K1794="Better",$P1794,0)</f>
        <v>0</v>
      </c>
      <c r="W1794" s="64" t="n">
        <f aca="false">IF($K1794="U – needs rule",$P1794,0)</f>
        <v>0</v>
      </c>
      <c r="X1794" s="64" t="n">
        <f aca="false">IF($K1794="No Start (attainment only)",$P1794,0)</f>
        <v>0</v>
      </c>
    </row>
    <row r="1795" customFormat="false" ht="15" hidden="false" customHeight="false" outlineLevel="0" collapsed="false">
      <c r="A1795" s="60"/>
      <c r="B1795" s="61" t="str">
        <f aca="false">IF($M1795=0,"",INDEX(Classes!$E$6:$E$420,$M1795))</f>
        <v/>
      </c>
      <c r="C1795" s="62" t="str">
        <f aca="false">IF($M1795=0,"",INDEX(Classes!$H$6:$H$420,$M1795))</f>
        <v/>
      </c>
      <c r="D1795" s="61" t="str">
        <f aca="false">IF($M1795=0,"",INDEX(Classes!$B$6:$B$420,$M1795))</f>
        <v/>
      </c>
      <c r="E1795" s="61" t="str">
        <f aca="false">IF($M1795=0,"",INDEX(Classes!$C$6:$C$420,$M1795))</f>
        <v/>
      </c>
      <c r="F1795" s="63"/>
      <c r="G1795" s="63"/>
      <c r="H1795" s="60"/>
      <c r="I1795" s="60"/>
      <c r="J1795" s="63"/>
      <c r="K1795" s="61" t="str">
        <f aca="false">IF($P1795=0,"",IF($F1795="Baseline","— Baseline",IF($O1795=0,"No result",IF($N1795=0,"No Start (attainment only)",IF(OR($N1795=1,$O1795=1),"U – needs rule",INDEX(MxBody,MATCH($I1795,MxCurr,0),MATCH($H1795,MxStart,0)))))))</f>
        <v/>
      </c>
      <c r="L1795" s="62" t="str">
        <f aca="false">IF(COUNTA($A1795,$F1795,$G1795,$H1795,$I1795,$J1795)=0,"",IF($M1795=0,"✖ كود الصف غير موجود",IF(ISNA(MATCH($F1795,Lists!$A$2:$A$5,0)),"✖ الفترة غير صحيحة",IF(ISNA(MATCH($G1795,Lists!$B$2:$B$7,0)),"✖ المجموعة غير صحيحة",IF(NOT(OR($H1795="",$N1795&gt;0)),"✖ Start غير صحيح",IF(NOT(OR($I1795="",$I1795="NR",$O1795&gt;0)),"✖ Current غير صحيح",IF(NOT(IF(ISNUMBER($J1795),AND($J1795&gt;=0,$J1795=INT($J1795)),FALSE())),"✖ العدد يجب أن يكون صحيحًا ≥ 0",IF(AND($F1795="Baseline",$H1795&lt;&gt;""),"⚠ Baseline: Start لا يدخل في التقدم",IF($K1795="No Start (attainment only)","ℹ تحصيل فقط (بدون Start)",IF($K1795="U – needs rule","ℹ حالة U تحتاج قاعدة معتمدة",IF($K1795="No result","ℹ بدون نتيجة (يُستبعد من التحصيل)","OK")))))))))))</f>
        <v/>
      </c>
      <c r="M1795" s="64" t="n">
        <f aca="false">IF($A1795="",0,IFERROR(MATCH($A1795,Classes!$A$6:$A$420,0),0))</f>
        <v>0</v>
      </c>
      <c r="N1795" s="64" t="n">
        <f aca="false">IF($H1795="",0,IFERROR(MATCH($H1795,GradeList,0),0))</f>
        <v>0</v>
      </c>
      <c r="O1795" s="64" t="n">
        <f aca="false">IF(OR($I1795="",$I1795="NR"),0,IFERROR(MATCH($I1795,GradeList,0),0))</f>
        <v>0</v>
      </c>
      <c r="P1795" s="64" t="n">
        <f aca="false">IF(AND($M1795&gt;0,ISNUMBER(MATCH($F1795,Lists!$A$2:$A$5,0)),ISNUMBER(MATCH($G1795,Lists!$B$2:$B$7,0)),OR($H1795="",$N1795&gt;0),OR($I1795="",$I1795="NR",$O1795&gt;0),IF(ISNUMBER($J1795),AND($J1795&gt;=0,$J1795=INT($J1795)),FALSE())),$J1795,0)</f>
        <v>0</v>
      </c>
      <c r="Q1795" s="64" t="n">
        <f aca="false">IF(AND($P1795&gt;0,$O1795&gt;0),$P1795,0)</f>
        <v>0</v>
      </c>
      <c r="R1795" s="64" t="n">
        <f aca="false">IF(AND($Q1795&gt;0,$O1795&gt;=AtRank),$Q1795,0)</f>
        <v>0</v>
      </c>
      <c r="S1795" s="64" t="n">
        <f aca="false">IF(AND($Q1795&gt;0,$O1795&gt;=AboveRank),$Q1795,0)</f>
        <v>0</v>
      </c>
      <c r="T1795" s="64" t="n">
        <f aca="false">IF($K1795="Less",$P1795,0)</f>
        <v>0</v>
      </c>
      <c r="U1795" s="64" t="n">
        <f aca="false">IF($K1795="Expected",$P1795,0)</f>
        <v>0</v>
      </c>
      <c r="V1795" s="64" t="n">
        <f aca="false">IF($K1795="Better",$P1795,0)</f>
        <v>0</v>
      </c>
      <c r="W1795" s="64" t="n">
        <f aca="false">IF($K1795="U – needs rule",$P1795,0)</f>
        <v>0</v>
      </c>
      <c r="X1795" s="64" t="n">
        <f aca="false">IF($K1795="No Start (attainment only)",$P1795,0)</f>
        <v>0</v>
      </c>
    </row>
    <row r="1796" customFormat="false" ht="15" hidden="false" customHeight="false" outlineLevel="0" collapsed="false">
      <c r="A1796" s="60"/>
      <c r="B1796" s="61" t="str">
        <f aca="false">IF($M1796=0,"",INDEX(Classes!$E$6:$E$420,$M1796))</f>
        <v/>
      </c>
      <c r="C1796" s="62" t="str">
        <f aca="false">IF($M1796=0,"",INDEX(Classes!$H$6:$H$420,$M1796))</f>
        <v/>
      </c>
      <c r="D1796" s="61" t="str">
        <f aca="false">IF($M1796=0,"",INDEX(Classes!$B$6:$B$420,$M1796))</f>
        <v/>
      </c>
      <c r="E1796" s="61" t="str">
        <f aca="false">IF($M1796=0,"",INDEX(Classes!$C$6:$C$420,$M1796))</f>
        <v/>
      </c>
      <c r="F1796" s="63"/>
      <c r="G1796" s="63"/>
      <c r="H1796" s="60"/>
      <c r="I1796" s="60"/>
      <c r="J1796" s="63"/>
      <c r="K1796" s="61" t="str">
        <f aca="false">IF($P1796=0,"",IF($F1796="Baseline","— Baseline",IF($O1796=0,"No result",IF($N1796=0,"No Start (attainment only)",IF(OR($N1796=1,$O1796=1),"U – needs rule",INDEX(MxBody,MATCH($I1796,MxCurr,0),MATCH($H1796,MxStart,0)))))))</f>
        <v/>
      </c>
      <c r="L1796" s="62" t="str">
        <f aca="false">IF(COUNTA($A1796,$F1796,$G1796,$H1796,$I1796,$J1796)=0,"",IF($M1796=0,"✖ كود الصف غير موجود",IF(ISNA(MATCH($F1796,Lists!$A$2:$A$5,0)),"✖ الفترة غير صحيحة",IF(ISNA(MATCH($G1796,Lists!$B$2:$B$7,0)),"✖ المجموعة غير صحيحة",IF(NOT(OR($H1796="",$N1796&gt;0)),"✖ Start غير صحيح",IF(NOT(OR($I1796="",$I1796="NR",$O1796&gt;0)),"✖ Current غير صحيح",IF(NOT(IF(ISNUMBER($J1796),AND($J1796&gt;=0,$J1796=INT($J1796)),FALSE())),"✖ العدد يجب أن يكون صحيحًا ≥ 0",IF(AND($F1796="Baseline",$H1796&lt;&gt;""),"⚠ Baseline: Start لا يدخل في التقدم",IF($K1796="No Start (attainment only)","ℹ تحصيل فقط (بدون Start)",IF($K1796="U – needs rule","ℹ حالة U تحتاج قاعدة معتمدة",IF($K1796="No result","ℹ بدون نتيجة (يُستبعد من التحصيل)","OK")))))))))))</f>
        <v/>
      </c>
      <c r="M1796" s="64" t="n">
        <f aca="false">IF($A1796="",0,IFERROR(MATCH($A1796,Classes!$A$6:$A$420,0),0))</f>
        <v>0</v>
      </c>
      <c r="N1796" s="64" t="n">
        <f aca="false">IF($H1796="",0,IFERROR(MATCH($H1796,GradeList,0),0))</f>
        <v>0</v>
      </c>
      <c r="O1796" s="64" t="n">
        <f aca="false">IF(OR($I1796="",$I1796="NR"),0,IFERROR(MATCH($I1796,GradeList,0),0))</f>
        <v>0</v>
      </c>
      <c r="P1796" s="64" t="n">
        <f aca="false">IF(AND($M1796&gt;0,ISNUMBER(MATCH($F1796,Lists!$A$2:$A$5,0)),ISNUMBER(MATCH($G1796,Lists!$B$2:$B$7,0)),OR($H1796="",$N1796&gt;0),OR($I1796="",$I1796="NR",$O1796&gt;0),IF(ISNUMBER($J1796),AND($J1796&gt;=0,$J1796=INT($J1796)),FALSE())),$J1796,0)</f>
        <v>0</v>
      </c>
      <c r="Q1796" s="64" t="n">
        <f aca="false">IF(AND($P1796&gt;0,$O1796&gt;0),$P1796,0)</f>
        <v>0</v>
      </c>
      <c r="R1796" s="64" t="n">
        <f aca="false">IF(AND($Q1796&gt;0,$O1796&gt;=AtRank),$Q1796,0)</f>
        <v>0</v>
      </c>
      <c r="S1796" s="64" t="n">
        <f aca="false">IF(AND($Q1796&gt;0,$O1796&gt;=AboveRank),$Q1796,0)</f>
        <v>0</v>
      </c>
      <c r="T1796" s="64" t="n">
        <f aca="false">IF($K1796="Less",$P1796,0)</f>
        <v>0</v>
      </c>
      <c r="U1796" s="64" t="n">
        <f aca="false">IF($K1796="Expected",$P1796,0)</f>
        <v>0</v>
      </c>
      <c r="V1796" s="64" t="n">
        <f aca="false">IF($K1796="Better",$P1796,0)</f>
        <v>0</v>
      </c>
      <c r="W1796" s="64" t="n">
        <f aca="false">IF($K1796="U – needs rule",$P1796,0)</f>
        <v>0</v>
      </c>
      <c r="X1796" s="64" t="n">
        <f aca="false">IF($K1796="No Start (attainment only)",$P1796,0)</f>
        <v>0</v>
      </c>
    </row>
    <row r="1797" customFormat="false" ht="15" hidden="false" customHeight="false" outlineLevel="0" collapsed="false">
      <c r="A1797" s="60"/>
      <c r="B1797" s="61" t="str">
        <f aca="false">IF($M1797=0,"",INDEX(Classes!$E$6:$E$420,$M1797))</f>
        <v/>
      </c>
      <c r="C1797" s="62" t="str">
        <f aca="false">IF($M1797=0,"",INDEX(Classes!$H$6:$H$420,$M1797))</f>
        <v/>
      </c>
      <c r="D1797" s="61" t="str">
        <f aca="false">IF($M1797=0,"",INDEX(Classes!$B$6:$B$420,$M1797))</f>
        <v/>
      </c>
      <c r="E1797" s="61" t="str">
        <f aca="false">IF($M1797=0,"",INDEX(Classes!$C$6:$C$420,$M1797))</f>
        <v/>
      </c>
      <c r="F1797" s="63"/>
      <c r="G1797" s="63"/>
      <c r="H1797" s="60"/>
      <c r="I1797" s="60"/>
      <c r="J1797" s="63"/>
      <c r="K1797" s="61" t="str">
        <f aca="false">IF($P1797=0,"",IF($F1797="Baseline","— Baseline",IF($O1797=0,"No result",IF($N1797=0,"No Start (attainment only)",IF(OR($N1797=1,$O1797=1),"U – needs rule",INDEX(MxBody,MATCH($I1797,MxCurr,0),MATCH($H1797,MxStart,0)))))))</f>
        <v/>
      </c>
      <c r="L1797" s="62" t="str">
        <f aca="false">IF(COUNTA($A1797,$F1797,$G1797,$H1797,$I1797,$J1797)=0,"",IF($M1797=0,"✖ كود الصف غير موجود",IF(ISNA(MATCH($F1797,Lists!$A$2:$A$5,0)),"✖ الفترة غير صحيحة",IF(ISNA(MATCH($G1797,Lists!$B$2:$B$7,0)),"✖ المجموعة غير صحيحة",IF(NOT(OR($H1797="",$N1797&gt;0)),"✖ Start غير صحيح",IF(NOT(OR($I1797="",$I1797="NR",$O1797&gt;0)),"✖ Current غير صحيح",IF(NOT(IF(ISNUMBER($J1797),AND($J1797&gt;=0,$J1797=INT($J1797)),FALSE())),"✖ العدد يجب أن يكون صحيحًا ≥ 0",IF(AND($F1797="Baseline",$H1797&lt;&gt;""),"⚠ Baseline: Start لا يدخل في التقدم",IF($K1797="No Start (attainment only)","ℹ تحصيل فقط (بدون Start)",IF($K1797="U – needs rule","ℹ حالة U تحتاج قاعدة معتمدة",IF($K1797="No result","ℹ بدون نتيجة (يُستبعد من التحصيل)","OK")))))))))))</f>
        <v/>
      </c>
      <c r="M1797" s="64" t="n">
        <f aca="false">IF($A1797="",0,IFERROR(MATCH($A1797,Classes!$A$6:$A$420,0),0))</f>
        <v>0</v>
      </c>
      <c r="N1797" s="64" t="n">
        <f aca="false">IF($H1797="",0,IFERROR(MATCH($H1797,GradeList,0),0))</f>
        <v>0</v>
      </c>
      <c r="O1797" s="64" t="n">
        <f aca="false">IF(OR($I1797="",$I1797="NR"),0,IFERROR(MATCH($I1797,GradeList,0),0))</f>
        <v>0</v>
      </c>
      <c r="P1797" s="64" t="n">
        <f aca="false">IF(AND($M1797&gt;0,ISNUMBER(MATCH($F1797,Lists!$A$2:$A$5,0)),ISNUMBER(MATCH($G1797,Lists!$B$2:$B$7,0)),OR($H1797="",$N1797&gt;0),OR($I1797="",$I1797="NR",$O1797&gt;0),IF(ISNUMBER($J1797),AND($J1797&gt;=0,$J1797=INT($J1797)),FALSE())),$J1797,0)</f>
        <v>0</v>
      </c>
      <c r="Q1797" s="64" t="n">
        <f aca="false">IF(AND($P1797&gt;0,$O1797&gt;0),$P1797,0)</f>
        <v>0</v>
      </c>
      <c r="R1797" s="64" t="n">
        <f aca="false">IF(AND($Q1797&gt;0,$O1797&gt;=AtRank),$Q1797,0)</f>
        <v>0</v>
      </c>
      <c r="S1797" s="64" t="n">
        <f aca="false">IF(AND($Q1797&gt;0,$O1797&gt;=AboveRank),$Q1797,0)</f>
        <v>0</v>
      </c>
      <c r="T1797" s="64" t="n">
        <f aca="false">IF($K1797="Less",$P1797,0)</f>
        <v>0</v>
      </c>
      <c r="U1797" s="64" t="n">
        <f aca="false">IF($K1797="Expected",$P1797,0)</f>
        <v>0</v>
      </c>
      <c r="V1797" s="64" t="n">
        <f aca="false">IF($K1797="Better",$P1797,0)</f>
        <v>0</v>
      </c>
      <c r="W1797" s="64" t="n">
        <f aca="false">IF($K1797="U – needs rule",$P1797,0)</f>
        <v>0</v>
      </c>
      <c r="X1797" s="64" t="n">
        <f aca="false">IF($K1797="No Start (attainment only)",$P1797,0)</f>
        <v>0</v>
      </c>
    </row>
    <row r="1798" customFormat="false" ht="15" hidden="false" customHeight="false" outlineLevel="0" collapsed="false">
      <c r="A1798" s="60"/>
      <c r="B1798" s="61" t="str">
        <f aca="false">IF($M1798=0,"",INDEX(Classes!$E$6:$E$420,$M1798))</f>
        <v/>
      </c>
      <c r="C1798" s="62" t="str">
        <f aca="false">IF($M1798=0,"",INDEX(Classes!$H$6:$H$420,$M1798))</f>
        <v/>
      </c>
      <c r="D1798" s="61" t="str">
        <f aca="false">IF($M1798=0,"",INDEX(Classes!$B$6:$B$420,$M1798))</f>
        <v/>
      </c>
      <c r="E1798" s="61" t="str">
        <f aca="false">IF($M1798=0,"",INDEX(Classes!$C$6:$C$420,$M1798))</f>
        <v/>
      </c>
      <c r="F1798" s="63"/>
      <c r="G1798" s="63"/>
      <c r="H1798" s="60"/>
      <c r="I1798" s="60"/>
      <c r="J1798" s="63"/>
      <c r="K1798" s="61" t="str">
        <f aca="false">IF($P1798=0,"",IF($F1798="Baseline","— Baseline",IF($O1798=0,"No result",IF($N1798=0,"No Start (attainment only)",IF(OR($N1798=1,$O1798=1),"U – needs rule",INDEX(MxBody,MATCH($I1798,MxCurr,0),MATCH($H1798,MxStart,0)))))))</f>
        <v/>
      </c>
      <c r="L1798" s="62" t="str">
        <f aca="false">IF(COUNTA($A1798,$F1798,$G1798,$H1798,$I1798,$J1798)=0,"",IF($M1798=0,"✖ كود الصف غير موجود",IF(ISNA(MATCH($F1798,Lists!$A$2:$A$5,0)),"✖ الفترة غير صحيحة",IF(ISNA(MATCH($G1798,Lists!$B$2:$B$7,0)),"✖ المجموعة غير صحيحة",IF(NOT(OR($H1798="",$N1798&gt;0)),"✖ Start غير صحيح",IF(NOT(OR($I1798="",$I1798="NR",$O1798&gt;0)),"✖ Current غير صحيح",IF(NOT(IF(ISNUMBER($J1798),AND($J1798&gt;=0,$J1798=INT($J1798)),FALSE())),"✖ العدد يجب أن يكون صحيحًا ≥ 0",IF(AND($F1798="Baseline",$H1798&lt;&gt;""),"⚠ Baseline: Start لا يدخل في التقدم",IF($K1798="No Start (attainment only)","ℹ تحصيل فقط (بدون Start)",IF($K1798="U – needs rule","ℹ حالة U تحتاج قاعدة معتمدة",IF($K1798="No result","ℹ بدون نتيجة (يُستبعد من التحصيل)","OK")))))))))))</f>
        <v/>
      </c>
      <c r="M1798" s="64" t="n">
        <f aca="false">IF($A1798="",0,IFERROR(MATCH($A1798,Classes!$A$6:$A$420,0),0))</f>
        <v>0</v>
      </c>
      <c r="N1798" s="64" t="n">
        <f aca="false">IF($H1798="",0,IFERROR(MATCH($H1798,GradeList,0),0))</f>
        <v>0</v>
      </c>
      <c r="O1798" s="64" t="n">
        <f aca="false">IF(OR($I1798="",$I1798="NR"),0,IFERROR(MATCH($I1798,GradeList,0),0))</f>
        <v>0</v>
      </c>
      <c r="P1798" s="64" t="n">
        <f aca="false">IF(AND($M1798&gt;0,ISNUMBER(MATCH($F1798,Lists!$A$2:$A$5,0)),ISNUMBER(MATCH($G1798,Lists!$B$2:$B$7,0)),OR($H1798="",$N1798&gt;0),OR($I1798="",$I1798="NR",$O1798&gt;0),IF(ISNUMBER($J1798),AND($J1798&gt;=0,$J1798=INT($J1798)),FALSE())),$J1798,0)</f>
        <v>0</v>
      </c>
      <c r="Q1798" s="64" t="n">
        <f aca="false">IF(AND($P1798&gt;0,$O1798&gt;0),$P1798,0)</f>
        <v>0</v>
      </c>
      <c r="R1798" s="64" t="n">
        <f aca="false">IF(AND($Q1798&gt;0,$O1798&gt;=AtRank),$Q1798,0)</f>
        <v>0</v>
      </c>
      <c r="S1798" s="64" t="n">
        <f aca="false">IF(AND($Q1798&gt;0,$O1798&gt;=AboveRank),$Q1798,0)</f>
        <v>0</v>
      </c>
      <c r="T1798" s="64" t="n">
        <f aca="false">IF($K1798="Less",$P1798,0)</f>
        <v>0</v>
      </c>
      <c r="U1798" s="64" t="n">
        <f aca="false">IF($K1798="Expected",$P1798,0)</f>
        <v>0</v>
      </c>
      <c r="V1798" s="64" t="n">
        <f aca="false">IF($K1798="Better",$P1798,0)</f>
        <v>0</v>
      </c>
      <c r="W1798" s="64" t="n">
        <f aca="false">IF($K1798="U – needs rule",$P1798,0)</f>
        <v>0</v>
      </c>
      <c r="X1798" s="64" t="n">
        <f aca="false">IF($K1798="No Start (attainment only)",$P1798,0)</f>
        <v>0</v>
      </c>
    </row>
    <row r="1799" customFormat="false" ht="15" hidden="false" customHeight="false" outlineLevel="0" collapsed="false">
      <c r="A1799" s="60"/>
      <c r="B1799" s="61" t="str">
        <f aca="false">IF($M1799=0,"",INDEX(Classes!$E$6:$E$420,$M1799))</f>
        <v/>
      </c>
      <c r="C1799" s="62" t="str">
        <f aca="false">IF($M1799=0,"",INDEX(Classes!$H$6:$H$420,$M1799))</f>
        <v/>
      </c>
      <c r="D1799" s="61" t="str">
        <f aca="false">IF($M1799=0,"",INDEX(Classes!$B$6:$B$420,$M1799))</f>
        <v/>
      </c>
      <c r="E1799" s="61" t="str">
        <f aca="false">IF($M1799=0,"",INDEX(Classes!$C$6:$C$420,$M1799))</f>
        <v/>
      </c>
      <c r="F1799" s="63"/>
      <c r="G1799" s="63"/>
      <c r="H1799" s="60"/>
      <c r="I1799" s="60"/>
      <c r="J1799" s="63"/>
      <c r="K1799" s="61" t="str">
        <f aca="false">IF($P1799=0,"",IF($F1799="Baseline","— Baseline",IF($O1799=0,"No result",IF($N1799=0,"No Start (attainment only)",IF(OR($N1799=1,$O1799=1),"U – needs rule",INDEX(MxBody,MATCH($I1799,MxCurr,0),MATCH($H1799,MxStart,0)))))))</f>
        <v/>
      </c>
      <c r="L1799" s="62" t="str">
        <f aca="false">IF(COUNTA($A1799,$F1799,$G1799,$H1799,$I1799,$J1799)=0,"",IF($M1799=0,"✖ كود الصف غير موجود",IF(ISNA(MATCH($F1799,Lists!$A$2:$A$5,0)),"✖ الفترة غير صحيحة",IF(ISNA(MATCH($G1799,Lists!$B$2:$B$7,0)),"✖ المجموعة غير صحيحة",IF(NOT(OR($H1799="",$N1799&gt;0)),"✖ Start غير صحيح",IF(NOT(OR($I1799="",$I1799="NR",$O1799&gt;0)),"✖ Current غير صحيح",IF(NOT(IF(ISNUMBER($J1799),AND($J1799&gt;=0,$J1799=INT($J1799)),FALSE())),"✖ العدد يجب أن يكون صحيحًا ≥ 0",IF(AND($F1799="Baseline",$H1799&lt;&gt;""),"⚠ Baseline: Start لا يدخل في التقدم",IF($K1799="No Start (attainment only)","ℹ تحصيل فقط (بدون Start)",IF($K1799="U – needs rule","ℹ حالة U تحتاج قاعدة معتمدة",IF($K1799="No result","ℹ بدون نتيجة (يُستبعد من التحصيل)","OK")))))))))))</f>
        <v/>
      </c>
      <c r="M1799" s="64" t="n">
        <f aca="false">IF($A1799="",0,IFERROR(MATCH($A1799,Classes!$A$6:$A$420,0),0))</f>
        <v>0</v>
      </c>
      <c r="N1799" s="64" t="n">
        <f aca="false">IF($H1799="",0,IFERROR(MATCH($H1799,GradeList,0),0))</f>
        <v>0</v>
      </c>
      <c r="O1799" s="64" t="n">
        <f aca="false">IF(OR($I1799="",$I1799="NR"),0,IFERROR(MATCH($I1799,GradeList,0),0))</f>
        <v>0</v>
      </c>
      <c r="P1799" s="64" t="n">
        <f aca="false">IF(AND($M1799&gt;0,ISNUMBER(MATCH($F1799,Lists!$A$2:$A$5,0)),ISNUMBER(MATCH($G1799,Lists!$B$2:$B$7,0)),OR($H1799="",$N1799&gt;0),OR($I1799="",$I1799="NR",$O1799&gt;0),IF(ISNUMBER($J1799),AND($J1799&gt;=0,$J1799=INT($J1799)),FALSE())),$J1799,0)</f>
        <v>0</v>
      </c>
      <c r="Q1799" s="64" t="n">
        <f aca="false">IF(AND($P1799&gt;0,$O1799&gt;0),$P1799,0)</f>
        <v>0</v>
      </c>
      <c r="R1799" s="64" t="n">
        <f aca="false">IF(AND($Q1799&gt;0,$O1799&gt;=AtRank),$Q1799,0)</f>
        <v>0</v>
      </c>
      <c r="S1799" s="64" t="n">
        <f aca="false">IF(AND($Q1799&gt;0,$O1799&gt;=AboveRank),$Q1799,0)</f>
        <v>0</v>
      </c>
      <c r="T1799" s="64" t="n">
        <f aca="false">IF($K1799="Less",$P1799,0)</f>
        <v>0</v>
      </c>
      <c r="U1799" s="64" t="n">
        <f aca="false">IF($K1799="Expected",$P1799,0)</f>
        <v>0</v>
      </c>
      <c r="V1799" s="64" t="n">
        <f aca="false">IF($K1799="Better",$P1799,0)</f>
        <v>0</v>
      </c>
      <c r="W1799" s="64" t="n">
        <f aca="false">IF($K1799="U – needs rule",$P1799,0)</f>
        <v>0</v>
      </c>
      <c r="X1799" s="64" t="n">
        <f aca="false">IF($K1799="No Start (attainment only)",$P1799,0)</f>
        <v>0</v>
      </c>
    </row>
    <row r="1800" customFormat="false" ht="15" hidden="false" customHeight="false" outlineLevel="0" collapsed="false">
      <c r="A1800" s="60"/>
      <c r="B1800" s="61" t="str">
        <f aca="false">IF($M1800=0,"",INDEX(Classes!$E$6:$E$420,$M1800))</f>
        <v/>
      </c>
      <c r="C1800" s="62" t="str">
        <f aca="false">IF($M1800=0,"",INDEX(Classes!$H$6:$H$420,$M1800))</f>
        <v/>
      </c>
      <c r="D1800" s="61" t="str">
        <f aca="false">IF($M1800=0,"",INDEX(Classes!$B$6:$B$420,$M1800))</f>
        <v/>
      </c>
      <c r="E1800" s="61" t="str">
        <f aca="false">IF($M1800=0,"",INDEX(Classes!$C$6:$C$420,$M1800))</f>
        <v/>
      </c>
      <c r="F1800" s="63"/>
      <c r="G1800" s="63"/>
      <c r="H1800" s="60"/>
      <c r="I1800" s="60"/>
      <c r="J1800" s="63"/>
      <c r="K1800" s="61" t="str">
        <f aca="false">IF($P1800=0,"",IF($F1800="Baseline","— Baseline",IF($O1800=0,"No result",IF($N1800=0,"No Start (attainment only)",IF(OR($N1800=1,$O1800=1),"U – needs rule",INDEX(MxBody,MATCH($I1800,MxCurr,0),MATCH($H1800,MxStart,0)))))))</f>
        <v/>
      </c>
      <c r="L1800" s="62" t="str">
        <f aca="false">IF(COUNTA($A1800,$F1800,$G1800,$H1800,$I1800,$J1800)=0,"",IF($M1800=0,"✖ كود الصف غير موجود",IF(ISNA(MATCH($F1800,Lists!$A$2:$A$5,0)),"✖ الفترة غير صحيحة",IF(ISNA(MATCH($G1800,Lists!$B$2:$B$7,0)),"✖ المجموعة غير صحيحة",IF(NOT(OR($H1800="",$N1800&gt;0)),"✖ Start غير صحيح",IF(NOT(OR($I1800="",$I1800="NR",$O1800&gt;0)),"✖ Current غير صحيح",IF(NOT(IF(ISNUMBER($J1800),AND($J1800&gt;=0,$J1800=INT($J1800)),FALSE())),"✖ العدد يجب أن يكون صحيحًا ≥ 0",IF(AND($F1800="Baseline",$H1800&lt;&gt;""),"⚠ Baseline: Start لا يدخل في التقدم",IF($K1800="No Start (attainment only)","ℹ تحصيل فقط (بدون Start)",IF($K1800="U – needs rule","ℹ حالة U تحتاج قاعدة معتمدة",IF($K1800="No result","ℹ بدون نتيجة (يُستبعد من التحصيل)","OK")))))))))))</f>
        <v/>
      </c>
      <c r="M1800" s="64" t="n">
        <f aca="false">IF($A1800="",0,IFERROR(MATCH($A1800,Classes!$A$6:$A$420,0),0))</f>
        <v>0</v>
      </c>
      <c r="N1800" s="64" t="n">
        <f aca="false">IF($H1800="",0,IFERROR(MATCH($H1800,GradeList,0),0))</f>
        <v>0</v>
      </c>
      <c r="O1800" s="64" t="n">
        <f aca="false">IF(OR($I1800="",$I1800="NR"),0,IFERROR(MATCH($I1800,GradeList,0),0))</f>
        <v>0</v>
      </c>
      <c r="P1800" s="64" t="n">
        <f aca="false">IF(AND($M1800&gt;0,ISNUMBER(MATCH($F1800,Lists!$A$2:$A$5,0)),ISNUMBER(MATCH($G1800,Lists!$B$2:$B$7,0)),OR($H1800="",$N1800&gt;0),OR($I1800="",$I1800="NR",$O1800&gt;0),IF(ISNUMBER($J1800),AND($J1800&gt;=0,$J1800=INT($J1800)),FALSE())),$J1800,0)</f>
        <v>0</v>
      </c>
      <c r="Q1800" s="64" t="n">
        <f aca="false">IF(AND($P1800&gt;0,$O1800&gt;0),$P1800,0)</f>
        <v>0</v>
      </c>
      <c r="R1800" s="64" t="n">
        <f aca="false">IF(AND($Q1800&gt;0,$O1800&gt;=AtRank),$Q1800,0)</f>
        <v>0</v>
      </c>
      <c r="S1800" s="64" t="n">
        <f aca="false">IF(AND($Q1800&gt;0,$O1800&gt;=AboveRank),$Q1800,0)</f>
        <v>0</v>
      </c>
      <c r="T1800" s="64" t="n">
        <f aca="false">IF($K1800="Less",$P1800,0)</f>
        <v>0</v>
      </c>
      <c r="U1800" s="64" t="n">
        <f aca="false">IF($K1800="Expected",$P1800,0)</f>
        <v>0</v>
      </c>
      <c r="V1800" s="64" t="n">
        <f aca="false">IF($K1800="Better",$P1800,0)</f>
        <v>0</v>
      </c>
      <c r="W1800" s="64" t="n">
        <f aca="false">IF($K1800="U – needs rule",$P1800,0)</f>
        <v>0</v>
      </c>
      <c r="X1800" s="64" t="n">
        <f aca="false">IF($K1800="No Start (attainment only)",$P1800,0)</f>
        <v>0</v>
      </c>
    </row>
    <row r="1801" customFormat="false" ht="15" hidden="false" customHeight="false" outlineLevel="0" collapsed="false">
      <c r="A1801" s="60"/>
      <c r="B1801" s="61" t="str">
        <f aca="false">IF($M1801=0,"",INDEX(Classes!$E$6:$E$420,$M1801))</f>
        <v/>
      </c>
      <c r="C1801" s="62" t="str">
        <f aca="false">IF($M1801=0,"",INDEX(Classes!$H$6:$H$420,$M1801))</f>
        <v/>
      </c>
      <c r="D1801" s="61" t="str">
        <f aca="false">IF($M1801=0,"",INDEX(Classes!$B$6:$B$420,$M1801))</f>
        <v/>
      </c>
      <c r="E1801" s="61" t="str">
        <f aca="false">IF($M1801=0,"",INDEX(Classes!$C$6:$C$420,$M1801))</f>
        <v/>
      </c>
      <c r="F1801" s="63"/>
      <c r="G1801" s="63"/>
      <c r="H1801" s="60"/>
      <c r="I1801" s="60"/>
      <c r="J1801" s="63"/>
      <c r="K1801" s="61" t="str">
        <f aca="false">IF($P1801=0,"",IF($F1801="Baseline","— Baseline",IF($O1801=0,"No result",IF($N1801=0,"No Start (attainment only)",IF(OR($N1801=1,$O1801=1),"U – needs rule",INDEX(MxBody,MATCH($I1801,MxCurr,0),MATCH($H1801,MxStart,0)))))))</f>
        <v/>
      </c>
      <c r="L1801" s="62" t="str">
        <f aca="false">IF(COUNTA($A1801,$F1801,$G1801,$H1801,$I1801,$J1801)=0,"",IF($M1801=0,"✖ كود الصف غير موجود",IF(ISNA(MATCH($F1801,Lists!$A$2:$A$5,0)),"✖ الفترة غير صحيحة",IF(ISNA(MATCH($G1801,Lists!$B$2:$B$7,0)),"✖ المجموعة غير صحيحة",IF(NOT(OR($H1801="",$N1801&gt;0)),"✖ Start غير صحيح",IF(NOT(OR($I1801="",$I1801="NR",$O1801&gt;0)),"✖ Current غير صحيح",IF(NOT(IF(ISNUMBER($J1801),AND($J1801&gt;=0,$J1801=INT($J1801)),FALSE())),"✖ العدد يجب أن يكون صحيحًا ≥ 0",IF(AND($F1801="Baseline",$H1801&lt;&gt;""),"⚠ Baseline: Start لا يدخل في التقدم",IF($K1801="No Start (attainment only)","ℹ تحصيل فقط (بدون Start)",IF($K1801="U – needs rule","ℹ حالة U تحتاج قاعدة معتمدة",IF($K1801="No result","ℹ بدون نتيجة (يُستبعد من التحصيل)","OK")))))))))))</f>
        <v/>
      </c>
      <c r="M1801" s="64" t="n">
        <f aca="false">IF($A1801="",0,IFERROR(MATCH($A1801,Classes!$A$6:$A$420,0),0))</f>
        <v>0</v>
      </c>
      <c r="N1801" s="64" t="n">
        <f aca="false">IF($H1801="",0,IFERROR(MATCH($H1801,GradeList,0),0))</f>
        <v>0</v>
      </c>
      <c r="O1801" s="64" t="n">
        <f aca="false">IF(OR($I1801="",$I1801="NR"),0,IFERROR(MATCH($I1801,GradeList,0),0))</f>
        <v>0</v>
      </c>
      <c r="P1801" s="64" t="n">
        <f aca="false">IF(AND($M1801&gt;0,ISNUMBER(MATCH($F1801,Lists!$A$2:$A$5,0)),ISNUMBER(MATCH($G1801,Lists!$B$2:$B$7,0)),OR($H1801="",$N1801&gt;0),OR($I1801="",$I1801="NR",$O1801&gt;0),IF(ISNUMBER($J1801),AND($J1801&gt;=0,$J1801=INT($J1801)),FALSE())),$J1801,0)</f>
        <v>0</v>
      </c>
      <c r="Q1801" s="64" t="n">
        <f aca="false">IF(AND($P1801&gt;0,$O1801&gt;0),$P1801,0)</f>
        <v>0</v>
      </c>
      <c r="R1801" s="64" t="n">
        <f aca="false">IF(AND($Q1801&gt;0,$O1801&gt;=AtRank),$Q1801,0)</f>
        <v>0</v>
      </c>
      <c r="S1801" s="64" t="n">
        <f aca="false">IF(AND($Q1801&gt;0,$O1801&gt;=AboveRank),$Q1801,0)</f>
        <v>0</v>
      </c>
      <c r="T1801" s="64" t="n">
        <f aca="false">IF($K1801="Less",$P1801,0)</f>
        <v>0</v>
      </c>
      <c r="U1801" s="64" t="n">
        <f aca="false">IF($K1801="Expected",$P1801,0)</f>
        <v>0</v>
      </c>
      <c r="V1801" s="64" t="n">
        <f aca="false">IF($K1801="Better",$P1801,0)</f>
        <v>0</v>
      </c>
      <c r="W1801" s="64" t="n">
        <f aca="false">IF($K1801="U – needs rule",$P1801,0)</f>
        <v>0</v>
      </c>
      <c r="X1801" s="64" t="n">
        <f aca="false">IF($K1801="No Start (attainment only)",$P1801,0)</f>
        <v>0</v>
      </c>
    </row>
    <row r="1802" customFormat="false" ht="15" hidden="false" customHeight="false" outlineLevel="0" collapsed="false">
      <c r="A1802" s="60"/>
      <c r="B1802" s="61" t="str">
        <f aca="false">IF($M1802=0,"",INDEX(Classes!$E$6:$E$420,$M1802))</f>
        <v/>
      </c>
      <c r="C1802" s="62" t="str">
        <f aca="false">IF($M1802=0,"",INDEX(Classes!$H$6:$H$420,$M1802))</f>
        <v/>
      </c>
      <c r="D1802" s="61" t="str">
        <f aca="false">IF($M1802=0,"",INDEX(Classes!$B$6:$B$420,$M1802))</f>
        <v/>
      </c>
      <c r="E1802" s="61" t="str">
        <f aca="false">IF($M1802=0,"",INDEX(Classes!$C$6:$C$420,$M1802))</f>
        <v/>
      </c>
      <c r="F1802" s="63"/>
      <c r="G1802" s="63"/>
      <c r="H1802" s="60"/>
      <c r="I1802" s="60"/>
      <c r="J1802" s="63"/>
      <c r="K1802" s="61" t="str">
        <f aca="false">IF($P1802=0,"",IF($F1802="Baseline","— Baseline",IF($O1802=0,"No result",IF($N1802=0,"No Start (attainment only)",IF(OR($N1802=1,$O1802=1),"U – needs rule",INDEX(MxBody,MATCH($I1802,MxCurr,0),MATCH($H1802,MxStart,0)))))))</f>
        <v/>
      </c>
      <c r="L1802" s="62" t="str">
        <f aca="false">IF(COUNTA($A1802,$F1802,$G1802,$H1802,$I1802,$J1802)=0,"",IF($M1802=0,"✖ كود الصف غير موجود",IF(ISNA(MATCH($F1802,Lists!$A$2:$A$5,0)),"✖ الفترة غير صحيحة",IF(ISNA(MATCH($G1802,Lists!$B$2:$B$7,0)),"✖ المجموعة غير صحيحة",IF(NOT(OR($H1802="",$N1802&gt;0)),"✖ Start غير صحيح",IF(NOT(OR($I1802="",$I1802="NR",$O1802&gt;0)),"✖ Current غير صحيح",IF(NOT(IF(ISNUMBER($J1802),AND($J1802&gt;=0,$J1802=INT($J1802)),FALSE())),"✖ العدد يجب أن يكون صحيحًا ≥ 0",IF(AND($F1802="Baseline",$H1802&lt;&gt;""),"⚠ Baseline: Start لا يدخل في التقدم",IF($K1802="No Start (attainment only)","ℹ تحصيل فقط (بدون Start)",IF($K1802="U – needs rule","ℹ حالة U تحتاج قاعدة معتمدة",IF($K1802="No result","ℹ بدون نتيجة (يُستبعد من التحصيل)","OK")))))))))))</f>
        <v/>
      </c>
      <c r="M1802" s="64" t="n">
        <f aca="false">IF($A1802="",0,IFERROR(MATCH($A1802,Classes!$A$6:$A$420,0),0))</f>
        <v>0</v>
      </c>
      <c r="N1802" s="64" t="n">
        <f aca="false">IF($H1802="",0,IFERROR(MATCH($H1802,GradeList,0),0))</f>
        <v>0</v>
      </c>
      <c r="O1802" s="64" t="n">
        <f aca="false">IF(OR($I1802="",$I1802="NR"),0,IFERROR(MATCH($I1802,GradeList,0),0))</f>
        <v>0</v>
      </c>
      <c r="P1802" s="64" t="n">
        <f aca="false">IF(AND($M1802&gt;0,ISNUMBER(MATCH($F1802,Lists!$A$2:$A$5,0)),ISNUMBER(MATCH($G1802,Lists!$B$2:$B$7,0)),OR($H1802="",$N1802&gt;0),OR($I1802="",$I1802="NR",$O1802&gt;0),IF(ISNUMBER($J1802),AND($J1802&gt;=0,$J1802=INT($J1802)),FALSE())),$J1802,0)</f>
        <v>0</v>
      </c>
      <c r="Q1802" s="64" t="n">
        <f aca="false">IF(AND($P1802&gt;0,$O1802&gt;0),$P1802,0)</f>
        <v>0</v>
      </c>
      <c r="R1802" s="64" t="n">
        <f aca="false">IF(AND($Q1802&gt;0,$O1802&gt;=AtRank),$Q1802,0)</f>
        <v>0</v>
      </c>
      <c r="S1802" s="64" t="n">
        <f aca="false">IF(AND($Q1802&gt;0,$O1802&gt;=AboveRank),$Q1802,0)</f>
        <v>0</v>
      </c>
      <c r="T1802" s="64" t="n">
        <f aca="false">IF($K1802="Less",$P1802,0)</f>
        <v>0</v>
      </c>
      <c r="U1802" s="64" t="n">
        <f aca="false">IF($K1802="Expected",$P1802,0)</f>
        <v>0</v>
      </c>
      <c r="V1802" s="64" t="n">
        <f aca="false">IF($K1802="Better",$P1802,0)</f>
        <v>0</v>
      </c>
      <c r="W1802" s="64" t="n">
        <f aca="false">IF($K1802="U – needs rule",$P1802,0)</f>
        <v>0</v>
      </c>
      <c r="X1802" s="64" t="n">
        <f aca="false">IF($K1802="No Start (attainment only)",$P1802,0)</f>
        <v>0</v>
      </c>
    </row>
    <row r="1803" customFormat="false" ht="15" hidden="false" customHeight="false" outlineLevel="0" collapsed="false">
      <c r="A1803" s="60"/>
      <c r="B1803" s="61" t="str">
        <f aca="false">IF($M1803=0,"",INDEX(Classes!$E$6:$E$420,$M1803))</f>
        <v/>
      </c>
      <c r="C1803" s="62" t="str">
        <f aca="false">IF($M1803=0,"",INDEX(Classes!$H$6:$H$420,$M1803))</f>
        <v/>
      </c>
      <c r="D1803" s="61" t="str">
        <f aca="false">IF($M1803=0,"",INDEX(Classes!$B$6:$B$420,$M1803))</f>
        <v/>
      </c>
      <c r="E1803" s="61" t="str">
        <f aca="false">IF($M1803=0,"",INDEX(Classes!$C$6:$C$420,$M1803))</f>
        <v/>
      </c>
      <c r="F1803" s="63"/>
      <c r="G1803" s="63"/>
      <c r="H1803" s="60"/>
      <c r="I1803" s="60"/>
      <c r="J1803" s="63"/>
      <c r="K1803" s="61" t="str">
        <f aca="false">IF($P1803=0,"",IF($F1803="Baseline","— Baseline",IF($O1803=0,"No result",IF($N1803=0,"No Start (attainment only)",IF(OR($N1803=1,$O1803=1),"U – needs rule",INDEX(MxBody,MATCH($I1803,MxCurr,0),MATCH($H1803,MxStart,0)))))))</f>
        <v/>
      </c>
      <c r="L1803" s="62" t="str">
        <f aca="false">IF(COUNTA($A1803,$F1803,$G1803,$H1803,$I1803,$J1803)=0,"",IF($M1803=0,"✖ كود الصف غير موجود",IF(ISNA(MATCH($F1803,Lists!$A$2:$A$5,0)),"✖ الفترة غير صحيحة",IF(ISNA(MATCH($G1803,Lists!$B$2:$B$7,0)),"✖ المجموعة غير صحيحة",IF(NOT(OR($H1803="",$N1803&gt;0)),"✖ Start غير صحيح",IF(NOT(OR($I1803="",$I1803="NR",$O1803&gt;0)),"✖ Current غير صحيح",IF(NOT(IF(ISNUMBER($J1803),AND($J1803&gt;=0,$J1803=INT($J1803)),FALSE())),"✖ العدد يجب أن يكون صحيحًا ≥ 0",IF(AND($F1803="Baseline",$H1803&lt;&gt;""),"⚠ Baseline: Start لا يدخل في التقدم",IF($K1803="No Start (attainment only)","ℹ تحصيل فقط (بدون Start)",IF($K1803="U – needs rule","ℹ حالة U تحتاج قاعدة معتمدة",IF($K1803="No result","ℹ بدون نتيجة (يُستبعد من التحصيل)","OK")))))))))))</f>
        <v/>
      </c>
      <c r="M1803" s="64" t="n">
        <f aca="false">IF($A1803="",0,IFERROR(MATCH($A1803,Classes!$A$6:$A$420,0),0))</f>
        <v>0</v>
      </c>
      <c r="N1803" s="64" t="n">
        <f aca="false">IF($H1803="",0,IFERROR(MATCH($H1803,GradeList,0),0))</f>
        <v>0</v>
      </c>
      <c r="O1803" s="64" t="n">
        <f aca="false">IF(OR($I1803="",$I1803="NR"),0,IFERROR(MATCH($I1803,GradeList,0),0))</f>
        <v>0</v>
      </c>
      <c r="P1803" s="64" t="n">
        <f aca="false">IF(AND($M1803&gt;0,ISNUMBER(MATCH($F1803,Lists!$A$2:$A$5,0)),ISNUMBER(MATCH($G1803,Lists!$B$2:$B$7,0)),OR($H1803="",$N1803&gt;0),OR($I1803="",$I1803="NR",$O1803&gt;0),IF(ISNUMBER($J1803),AND($J1803&gt;=0,$J1803=INT($J1803)),FALSE())),$J1803,0)</f>
        <v>0</v>
      </c>
      <c r="Q1803" s="64" t="n">
        <f aca="false">IF(AND($P1803&gt;0,$O1803&gt;0),$P1803,0)</f>
        <v>0</v>
      </c>
      <c r="R1803" s="64" t="n">
        <f aca="false">IF(AND($Q1803&gt;0,$O1803&gt;=AtRank),$Q1803,0)</f>
        <v>0</v>
      </c>
      <c r="S1803" s="64" t="n">
        <f aca="false">IF(AND($Q1803&gt;0,$O1803&gt;=AboveRank),$Q1803,0)</f>
        <v>0</v>
      </c>
      <c r="T1803" s="64" t="n">
        <f aca="false">IF($K1803="Less",$P1803,0)</f>
        <v>0</v>
      </c>
      <c r="U1803" s="64" t="n">
        <f aca="false">IF($K1803="Expected",$P1803,0)</f>
        <v>0</v>
      </c>
      <c r="V1803" s="64" t="n">
        <f aca="false">IF($K1803="Better",$P1803,0)</f>
        <v>0</v>
      </c>
      <c r="W1803" s="64" t="n">
        <f aca="false">IF($K1803="U – needs rule",$P1803,0)</f>
        <v>0</v>
      </c>
      <c r="X1803" s="64" t="n">
        <f aca="false">IF($K1803="No Start (attainment only)",$P1803,0)</f>
        <v>0</v>
      </c>
    </row>
    <row r="1804" customFormat="false" ht="15" hidden="false" customHeight="false" outlineLevel="0" collapsed="false">
      <c r="A1804" s="60"/>
      <c r="B1804" s="61" t="str">
        <f aca="false">IF($M1804=0,"",INDEX(Classes!$E$6:$E$420,$M1804))</f>
        <v/>
      </c>
      <c r="C1804" s="62" t="str">
        <f aca="false">IF($M1804=0,"",INDEX(Classes!$H$6:$H$420,$M1804))</f>
        <v/>
      </c>
      <c r="D1804" s="61" t="str">
        <f aca="false">IF($M1804=0,"",INDEX(Classes!$B$6:$B$420,$M1804))</f>
        <v/>
      </c>
      <c r="E1804" s="61" t="str">
        <f aca="false">IF($M1804=0,"",INDEX(Classes!$C$6:$C$420,$M1804))</f>
        <v/>
      </c>
      <c r="F1804" s="63"/>
      <c r="G1804" s="63"/>
      <c r="H1804" s="60"/>
      <c r="I1804" s="60"/>
      <c r="J1804" s="63"/>
      <c r="K1804" s="61" t="str">
        <f aca="false">IF($P1804=0,"",IF($F1804="Baseline","— Baseline",IF($O1804=0,"No result",IF($N1804=0,"No Start (attainment only)",IF(OR($N1804=1,$O1804=1),"U – needs rule",INDEX(MxBody,MATCH($I1804,MxCurr,0),MATCH($H1804,MxStart,0)))))))</f>
        <v/>
      </c>
      <c r="L1804" s="62" t="str">
        <f aca="false">IF(COUNTA($A1804,$F1804,$G1804,$H1804,$I1804,$J1804)=0,"",IF($M1804=0,"✖ كود الصف غير موجود",IF(ISNA(MATCH($F1804,Lists!$A$2:$A$5,0)),"✖ الفترة غير صحيحة",IF(ISNA(MATCH($G1804,Lists!$B$2:$B$7,0)),"✖ المجموعة غير صحيحة",IF(NOT(OR($H1804="",$N1804&gt;0)),"✖ Start غير صحيح",IF(NOT(OR($I1804="",$I1804="NR",$O1804&gt;0)),"✖ Current غير صحيح",IF(NOT(IF(ISNUMBER($J1804),AND($J1804&gt;=0,$J1804=INT($J1804)),FALSE())),"✖ العدد يجب أن يكون صحيحًا ≥ 0",IF(AND($F1804="Baseline",$H1804&lt;&gt;""),"⚠ Baseline: Start لا يدخل في التقدم",IF($K1804="No Start (attainment only)","ℹ تحصيل فقط (بدون Start)",IF($K1804="U – needs rule","ℹ حالة U تحتاج قاعدة معتمدة",IF($K1804="No result","ℹ بدون نتيجة (يُستبعد من التحصيل)","OK")))))))))))</f>
        <v/>
      </c>
      <c r="M1804" s="64" t="n">
        <f aca="false">IF($A1804="",0,IFERROR(MATCH($A1804,Classes!$A$6:$A$420,0),0))</f>
        <v>0</v>
      </c>
      <c r="N1804" s="64" t="n">
        <f aca="false">IF($H1804="",0,IFERROR(MATCH($H1804,GradeList,0),0))</f>
        <v>0</v>
      </c>
      <c r="O1804" s="64" t="n">
        <f aca="false">IF(OR($I1804="",$I1804="NR"),0,IFERROR(MATCH($I1804,GradeList,0),0))</f>
        <v>0</v>
      </c>
      <c r="P1804" s="64" t="n">
        <f aca="false">IF(AND($M1804&gt;0,ISNUMBER(MATCH($F1804,Lists!$A$2:$A$5,0)),ISNUMBER(MATCH($G1804,Lists!$B$2:$B$7,0)),OR($H1804="",$N1804&gt;0),OR($I1804="",$I1804="NR",$O1804&gt;0),IF(ISNUMBER($J1804),AND($J1804&gt;=0,$J1804=INT($J1804)),FALSE())),$J1804,0)</f>
        <v>0</v>
      </c>
      <c r="Q1804" s="64" t="n">
        <f aca="false">IF(AND($P1804&gt;0,$O1804&gt;0),$P1804,0)</f>
        <v>0</v>
      </c>
      <c r="R1804" s="64" t="n">
        <f aca="false">IF(AND($Q1804&gt;0,$O1804&gt;=AtRank),$Q1804,0)</f>
        <v>0</v>
      </c>
      <c r="S1804" s="64" t="n">
        <f aca="false">IF(AND($Q1804&gt;0,$O1804&gt;=AboveRank),$Q1804,0)</f>
        <v>0</v>
      </c>
      <c r="T1804" s="64" t="n">
        <f aca="false">IF($K1804="Less",$P1804,0)</f>
        <v>0</v>
      </c>
      <c r="U1804" s="64" t="n">
        <f aca="false">IF($K1804="Expected",$P1804,0)</f>
        <v>0</v>
      </c>
      <c r="V1804" s="64" t="n">
        <f aca="false">IF($K1804="Better",$P1804,0)</f>
        <v>0</v>
      </c>
      <c r="W1804" s="64" t="n">
        <f aca="false">IF($K1804="U – needs rule",$P1804,0)</f>
        <v>0</v>
      </c>
      <c r="X1804" s="64" t="n">
        <f aca="false">IF($K1804="No Start (attainment only)",$P1804,0)</f>
        <v>0</v>
      </c>
    </row>
    <row r="1805" customFormat="false" ht="15" hidden="false" customHeight="false" outlineLevel="0" collapsed="false">
      <c r="A1805" s="60"/>
      <c r="B1805" s="61" t="str">
        <f aca="false">IF($M1805=0,"",INDEX(Classes!$E$6:$E$420,$M1805))</f>
        <v/>
      </c>
      <c r="C1805" s="62" t="str">
        <f aca="false">IF($M1805=0,"",INDEX(Classes!$H$6:$H$420,$M1805))</f>
        <v/>
      </c>
      <c r="D1805" s="61" t="str">
        <f aca="false">IF($M1805=0,"",INDEX(Classes!$B$6:$B$420,$M1805))</f>
        <v/>
      </c>
      <c r="E1805" s="61" t="str">
        <f aca="false">IF($M1805=0,"",INDEX(Classes!$C$6:$C$420,$M1805))</f>
        <v/>
      </c>
      <c r="F1805" s="63"/>
      <c r="G1805" s="63"/>
      <c r="H1805" s="60"/>
      <c r="I1805" s="60"/>
      <c r="J1805" s="63"/>
      <c r="K1805" s="61" t="str">
        <f aca="false">IF($P1805=0,"",IF($F1805="Baseline","— Baseline",IF($O1805=0,"No result",IF($N1805=0,"No Start (attainment only)",IF(OR($N1805=1,$O1805=1),"U – needs rule",INDEX(MxBody,MATCH($I1805,MxCurr,0),MATCH($H1805,MxStart,0)))))))</f>
        <v/>
      </c>
      <c r="L1805" s="62" t="str">
        <f aca="false">IF(COUNTA($A1805,$F1805,$G1805,$H1805,$I1805,$J1805)=0,"",IF($M1805=0,"✖ كود الصف غير موجود",IF(ISNA(MATCH($F1805,Lists!$A$2:$A$5,0)),"✖ الفترة غير صحيحة",IF(ISNA(MATCH($G1805,Lists!$B$2:$B$7,0)),"✖ المجموعة غير صحيحة",IF(NOT(OR($H1805="",$N1805&gt;0)),"✖ Start غير صحيح",IF(NOT(OR($I1805="",$I1805="NR",$O1805&gt;0)),"✖ Current غير صحيح",IF(NOT(IF(ISNUMBER($J1805),AND($J1805&gt;=0,$J1805=INT($J1805)),FALSE())),"✖ العدد يجب أن يكون صحيحًا ≥ 0",IF(AND($F1805="Baseline",$H1805&lt;&gt;""),"⚠ Baseline: Start لا يدخل في التقدم",IF($K1805="No Start (attainment only)","ℹ تحصيل فقط (بدون Start)",IF($K1805="U – needs rule","ℹ حالة U تحتاج قاعدة معتمدة",IF($K1805="No result","ℹ بدون نتيجة (يُستبعد من التحصيل)","OK")))))))))))</f>
        <v/>
      </c>
      <c r="M1805" s="64" t="n">
        <f aca="false">IF($A1805="",0,IFERROR(MATCH($A1805,Classes!$A$6:$A$420,0),0))</f>
        <v>0</v>
      </c>
      <c r="N1805" s="64" t="n">
        <f aca="false">IF($H1805="",0,IFERROR(MATCH($H1805,GradeList,0),0))</f>
        <v>0</v>
      </c>
      <c r="O1805" s="64" t="n">
        <f aca="false">IF(OR($I1805="",$I1805="NR"),0,IFERROR(MATCH($I1805,GradeList,0),0))</f>
        <v>0</v>
      </c>
      <c r="P1805" s="64" t="n">
        <f aca="false">IF(AND($M1805&gt;0,ISNUMBER(MATCH($F1805,Lists!$A$2:$A$5,0)),ISNUMBER(MATCH($G1805,Lists!$B$2:$B$7,0)),OR($H1805="",$N1805&gt;0),OR($I1805="",$I1805="NR",$O1805&gt;0),IF(ISNUMBER($J1805),AND($J1805&gt;=0,$J1805=INT($J1805)),FALSE())),$J1805,0)</f>
        <v>0</v>
      </c>
      <c r="Q1805" s="64" t="n">
        <f aca="false">IF(AND($P1805&gt;0,$O1805&gt;0),$P1805,0)</f>
        <v>0</v>
      </c>
      <c r="R1805" s="64" t="n">
        <f aca="false">IF(AND($Q1805&gt;0,$O1805&gt;=AtRank),$Q1805,0)</f>
        <v>0</v>
      </c>
      <c r="S1805" s="64" t="n">
        <f aca="false">IF(AND($Q1805&gt;0,$O1805&gt;=AboveRank),$Q1805,0)</f>
        <v>0</v>
      </c>
      <c r="T1805" s="64" t="n">
        <f aca="false">IF($K1805="Less",$P1805,0)</f>
        <v>0</v>
      </c>
      <c r="U1805" s="64" t="n">
        <f aca="false">IF($K1805="Expected",$P1805,0)</f>
        <v>0</v>
      </c>
      <c r="V1805" s="64" t="n">
        <f aca="false">IF($K1805="Better",$P1805,0)</f>
        <v>0</v>
      </c>
      <c r="W1805" s="64" t="n">
        <f aca="false">IF($K1805="U – needs rule",$P1805,0)</f>
        <v>0</v>
      </c>
      <c r="X1805" s="64" t="n">
        <f aca="false">IF($K1805="No Start (attainment only)",$P1805,0)</f>
        <v>0</v>
      </c>
    </row>
    <row r="1806" customFormat="false" ht="15" hidden="false" customHeight="false" outlineLevel="0" collapsed="false">
      <c r="A1806" s="60"/>
      <c r="B1806" s="61" t="str">
        <f aca="false">IF($M1806=0,"",INDEX(Classes!$E$6:$E$420,$M1806))</f>
        <v/>
      </c>
      <c r="C1806" s="62" t="str">
        <f aca="false">IF($M1806=0,"",INDEX(Classes!$H$6:$H$420,$M1806))</f>
        <v/>
      </c>
      <c r="D1806" s="61" t="str">
        <f aca="false">IF($M1806=0,"",INDEX(Classes!$B$6:$B$420,$M1806))</f>
        <v/>
      </c>
      <c r="E1806" s="61" t="str">
        <f aca="false">IF($M1806=0,"",INDEX(Classes!$C$6:$C$420,$M1806))</f>
        <v/>
      </c>
      <c r="F1806" s="63"/>
      <c r="G1806" s="63"/>
      <c r="H1806" s="60"/>
      <c r="I1806" s="60"/>
      <c r="J1806" s="63"/>
      <c r="K1806" s="61" t="str">
        <f aca="false">IF($P1806=0,"",IF($F1806="Baseline","— Baseline",IF($O1806=0,"No result",IF($N1806=0,"No Start (attainment only)",IF(OR($N1806=1,$O1806=1),"U – needs rule",INDEX(MxBody,MATCH($I1806,MxCurr,0),MATCH($H1806,MxStart,0)))))))</f>
        <v/>
      </c>
      <c r="L1806" s="62" t="str">
        <f aca="false">IF(COUNTA($A1806,$F1806,$G1806,$H1806,$I1806,$J1806)=0,"",IF($M1806=0,"✖ كود الصف غير موجود",IF(ISNA(MATCH($F1806,Lists!$A$2:$A$5,0)),"✖ الفترة غير صحيحة",IF(ISNA(MATCH($G1806,Lists!$B$2:$B$7,0)),"✖ المجموعة غير صحيحة",IF(NOT(OR($H1806="",$N1806&gt;0)),"✖ Start غير صحيح",IF(NOT(OR($I1806="",$I1806="NR",$O1806&gt;0)),"✖ Current غير صحيح",IF(NOT(IF(ISNUMBER($J1806),AND($J1806&gt;=0,$J1806=INT($J1806)),FALSE())),"✖ العدد يجب أن يكون صحيحًا ≥ 0",IF(AND($F1806="Baseline",$H1806&lt;&gt;""),"⚠ Baseline: Start لا يدخل في التقدم",IF($K1806="No Start (attainment only)","ℹ تحصيل فقط (بدون Start)",IF($K1806="U – needs rule","ℹ حالة U تحتاج قاعدة معتمدة",IF($K1806="No result","ℹ بدون نتيجة (يُستبعد من التحصيل)","OK")))))))))))</f>
        <v/>
      </c>
      <c r="M1806" s="64" t="n">
        <f aca="false">IF($A1806="",0,IFERROR(MATCH($A1806,Classes!$A$6:$A$420,0),0))</f>
        <v>0</v>
      </c>
      <c r="N1806" s="64" t="n">
        <f aca="false">IF($H1806="",0,IFERROR(MATCH($H1806,GradeList,0),0))</f>
        <v>0</v>
      </c>
      <c r="O1806" s="64" t="n">
        <f aca="false">IF(OR($I1806="",$I1806="NR"),0,IFERROR(MATCH($I1806,GradeList,0),0))</f>
        <v>0</v>
      </c>
      <c r="P1806" s="64" t="n">
        <f aca="false">IF(AND($M1806&gt;0,ISNUMBER(MATCH($F1806,Lists!$A$2:$A$5,0)),ISNUMBER(MATCH($G1806,Lists!$B$2:$B$7,0)),OR($H1806="",$N1806&gt;0),OR($I1806="",$I1806="NR",$O1806&gt;0),IF(ISNUMBER($J1806),AND($J1806&gt;=0,$J1806=INT($J1806)),FALSE())),$J1806,0)</f>
        <v>0</v>
      </c>
      <c r="Q1806" s="64" t="n">
        <f aca="false">IF(AND($P1806&gt;0,$O1806&gt;0),$P1806,0)</f>
        <v>0</v>
      </c>
      <c r="R1806" s="64" t="n">
        <f aca="false">IF(AND($Q1806&gt;0,$O1806&gt;=AtRank),$Q1806,0)</f>
        <v>0</v>
      </c>
      <c r="S1806" s="64" t="n">
        <f aca="false">IF(AND($Q1806&gt;0,$O1806&gt;=AboveRank),$Q1806,0)</f>
        <v>0</v>
      </c>
      <c r="T1806" s="64" t="n">
        <f aca="false">IF($K1806="Less",$P1806,0)</f>
        <v>0</v>
      </c>
      <c r="U1806" s="64" t="n">
        <f aca="false">IF($K1806="Expected",$P1806,0)</f>
        <v>0</v>
      </c>
      <c r="V1806" s="64" t="n">
        <f aca="false">IF($K1806="Better",$P1806,0)</f>
        <v>0</v>
      </c>
      <c r="W1806" s="64" t="n">
        <f aca="false">IF($K1806="U – needs rule",$P1806,0)</f>
        <v>0</v>
      </c>
      <c r="X1806" s="64" t="n">
        <f aca="false">IF($K1806="No Start (attainment only)",$P1806,0)</f>
        <v>0</v>
      </c>
    </row>
    <row r="1807" customFormat="false" ht="15" hidden="false" customHeight="false" outlineLevel="0" collapsed="false">
      <c r="A1807" s="60"/>
      <c r="B1807" s="61" t="str">
        <f aca="false">IF($M1807=0,"",INDEX(Classes!$E$6:$E$420,$M1807))</f>
        <v/>
      </c>
      <c r="C1807" s="62" t="str">
        <f aca="false">IF($M1807=0,"",INDEX(Classes!$H$6:$H$420,$M1807))</f>
        <v/>
      </c>
      <c r="D1807" s="61" t="str">
        <f aca="false">IF($M1807=0,"",INDEX(Classes!$B$6:$B$420,$M1807))</f>
        <v/>
      </c>
      <c r="E1807" s="61" t="str">
        <f aca="false">IF($M1807=0,"",INDEX(Classes!$C$6:$C$420,$M1807))</f>
        <v/>
      </c>
      <c r="F1807" s="63"/>
      <c r="G1807" s="63"/>
      <c r="H1807" s="60"/>
      <c r="I1807" s="60"/>
      <c r="J1807" s="63"/>
      <c r="K1807" s="61" t="str">
        <f aca="false">IF($P1807=0,"",IF($F1807="Baseline","— Baseline",IF($O1807=0,"No result",IF($N1807=0,"No Start (attainment only)",IF(OR($N1807=1,$O1807=1),"U – needs rule",INDEX(MxBody,MATCH($I1807,MxCurr,0),MATCH($H1807,MxStart,0)))))))</f>
        <v/>
      </c>
      <c r="L1807" s="62" t="str">
        <f aca="false">IF(COUNTA($A1807,$F1807,$G1807,$H1807,$I1807,$J1807)=0,"",IF($M1807=0,"✖ كود الصف غير موجود",IF(ISNA(MATCH($F1807,Lists!$A$2:$A$5,0)),"✖ الفترة غير صحيحة",IF(ISNA(MATCH($G1807,Lists!$B$2:$B$7,0)),"✖ المجموعة غير صحيحة",IF(NOT(OR($H1807="",$N1807&gt;0)),"✖ Start غير صحيح",IF(NOT(OR($I1807="",$I1807="NR",$O1807&gt;0)),"✖ Current غير صحيح",IF(NOT(IF(ISNUMBER($J1807),AND($J1807&gt;=0,$J1807=INT($J1807)),FALSE())),"✖ العدد يجب أن يكون صحيحًا ≥ 0",IF(AND($F1807="Baseline",$H1807&lt;&gt;""),"⚠ Baseline: Start لا يدخل في التقدم",IF($K1807="No Start (attainment only)","ℹ تحصيل فقط (بدون Start)",IF($K1807="U – needs rule","ℹ حالة U تحتاج قاعدة معتمدة",IF($K1807="No result","ℹ بدون نتيجة (يُستبعد من التحصيل)","OK")))))))))))</f>
        <v/>
      </c>
      <c r="M1807" s="64" t="n">
        <f aca="false">IF($A1807="",0,IFERROR(MATCH($A1807,Classes!$A$6:$A$420,0),0))</f>
        <v>0</v>
      </c>
      <c r="N1807" s="64" t="n">
        <f aca="false">IF($H1807="",0,IFERROR(MATCH($H1807,GradeList,0),0))</f>
        <v>0</v>
      </c>
      <c r="O1807" s="64" t="n">
        <f aca="false">IF(OR($I1807="",$I1807="NR"),0,IFERROR(MATCH($I1807,GradeList,0),0))</f>
        <v>0</v>
      </c>
      <c r="P1807" s="64" t="n">
        <f aca="false">IF(AND($M1807&gt;0,ISNUMBER(MATCH($F1807,Lists!$A$2:$A$5,0)),ISNUMBER(MATCH($G1807,Lists!$B$2:$B$7,0)),OR($H1807="",$N1807&gt;0),OR($I1807="",$I1807="NR",$O1807&gt;0),IF(ISNUMBER($J1807),AND($J1807&gt;=0,$J1807=INT($J1807)),FALSE())),$J1807,0)</f>
        <v>0</v>
      </c>
      <c r="Q1807" s="64" t="n">
        <f aca="false">IF(AND($P1807&gt;0,$O1807&gt;0),$P1807,0)</f>
        <v>0</v>
      </c>
      <c r="R1807" s="64" t="n">
        <f aca="false">IF(AND($Q1807&gt;0,$O1807&gt;=AtRank),$Q1807,0)</f>
        <v>0</v>
      </c>
      <c r="S1807" s="64" t="n">
        <f aca="false">IF(AND($Q1807&gt;0,$O1807&gt;=AboveRank),$Q1807,0)</f>
        <v>0</v>
      </c>
      <c r="T1807" s="64" t="n">
        <f aca="false">IF($K1807="Less",$P1807,0)</f>
        <v>0</v>
      </c>
      <c r="U1807" s="64" t="n">
        <f aca="false">IF($K1807="Expected",$P1807,0)</f>
        <v>0</v>
      </c>
      <c r="V1807" s="64" t="n">
        <f aca="false">IF($K1807="Better",$P1807,0)</f>
        <v>0</v>
      </c>
      <c r="W1807" s="64" t="n">
        <f aca="false">IF($K1807="U – needs rule",$P1807,0)</f>
        <v>0</v>
      </c>
      <c r="X1807" s="64" t="n">
        <f aca="false">IF($K1807="No Start (attainment only)",$P1807,0)</f>
        <v>0</v>
      </c>
    </row>
    <row r="1808" customFormat="false" ht="15" hidden="false" customHeight="false" outlineLevel="0" collapsed="false">
      <c r="A1808" s="60"/>
      <c r="B1808" s="61" t="str">
        <f aca="false">IF($M1808=0,"",INDEX(Classes!$E$6:$E$420,$M1808))</f>
        <v/>
      </c>
      <c r="C1808" s="62" t="str">
        <f aca="false">IF($M1808=0,"",INDEX(Classes!$H$6:$H$420,$M1808))</f>
        <v/>
      </c>
      <c r="D1808" s="61" t="str">
        <f aca="false">IF($M1808=0,"",INDEX(Classes!$B$6:$B$420,$M1808))</f>
        <v/>
      </c>
      <c r="E1808" s="61" t="str">
        <f aca="false">IF($M1808=0,"",INDEX(Classes!$C$6:$C$420,$M1808))</f>
        <v/>
      </c>
      <c r="F1808" s="63"/>
      <c r="G1808" s="63"/>
      <c r="H1808" s="60"/>
      <c r="I1808" s="60"/>
      <c r="J1808" s="63"/>
      <c r="K1808" s="61" t="str">
        <f aca="false">IF($P1808=0,"",IF($F1808="Baseline","— Baseline",IF($O1808=0,"No result",IF($N1808=0,"No Start (attainment only)",IF(OR($N1808=1,$O1808=1),"U – needs rule",INDEX(MxBody,MATCH($I1808,MxCurr,0),MATCH($H1808,MxStart,0)))))))</f>
        <v/>
      </c>
      <c r="L1808" s="62" t="str">
        <f aca="false">IF(COUNTA($A1808,$F1808,$G1808,$H1808,$I1808,$J1808)=0,"",IF($M1808=0,"✖ كود الصف غير موجود",IF(ISNA(MATCH($F1808,Lists!$A$2:$A$5,0)),"✖ الفترة غير صحيحة",IF(ISNA(MATCH($G1808,Lists!$B$2:$B$7,0)),"✖ المجموعة غير صحيحة",IF(NOT(OR($H1808="",$N1808&gt;0)),"✖ Start غير صحيح",IF(NOT(OR($I1808="",$I1808="NR",$O1808&gt;0)),"✖ Current غير صحيح",IF(NOT(IF(ISNUMBER($J1808),AND($J1808&gt;=0,$J1808=INT($J1808)),FALSE())),"✖ العدد يجب أن يكون صحيحًا ≥ 0",IF(AND($F1808="Baseline",$H1808&lt;&gt;""),"⚠ Baseline: Start لا يدخل في التقدم",IF($K1808="No Start (attainment only)","ℹ تحصيل فقط (بدون Start)",IF($K1808="U – needs rule","ℹ حالة U تحتاج قاعدة معتمدة",IF($K1808="No result","ℹ بدون نتيجة (يُستبعد من التحصيل)","OK")))))))))))</f>
        <v/>
      </c>
      <c r="M1808" s="64" t="n">
        <f aca="false">IF($A1808="",0,IFERROR(MATCH($A1808,Classes!$A$6:$A$420,0),0))</f>
        <v>0</v>
      </c>
      <c r="N1808" s="64" t="n">
        <f aca="false">IF($H1808="",0,IFERROR(MATCH($H1808,GradeList,0),0))</f>
        <v>0</v>
      </c>
      <c r="O1808" s="64" t="n">
        <f aca="false">IF(OR($I1808="",$I1808="NR"),0,IFERROR(MATCH($I1808,GradeList,0),0))</f>
        <v>0</v>
      </c>
      <c r="P1808" s="64" t="n">
        <f aca="false">IF(AND($M1808&gt;0,ISNUMBER(MATCH($F1808,Lists!$A$2:$A$5,0)),ISNUMBER(MATCH($G1808,Lists!$B$2:$B$7,0)),OR($H1808="",$N1808&gt;0),OR($I1808="",$I1808="NR",$O1808&gt;0),IF(ISNUMBER($J1808),AND($J1808&gt;=0,$J1808=INT($J1808)),FALSE())),$J1808,0)</f>
        <v>0</v>
      </c>
      <c r="Q1808" s="64" t="n">
        <f aca="false">IF(AND($P1808&gt;0,$O1808&gt;0),$P1808,0)</f>
        <v>0</v>
      </c>
      <c r="R1808" s="64" t="n">
        <f aca="false">IF(AND($Q1808&gt;0,$O1808&gt;=AtRank),$Q1808,0)</f>
        <v>0</v>
      </c>
      <c r="S1808" s="64" t="n">
        <f aca="false">IF(AND($Q1808&gt;0,$O1808&gt;=AboveRank),$Q1808,0)</f>
        <v>0</v>
      </c>
      <c r="T1808" s="64" t="n">
        <f aca="false">IF($K1808="Less",$P1808,0)</f>
        <v>0</v>
      </c>
      <c r="U1808" s="64" t="n">
        <f aca="false">IF($K1808="Expected",$P1808,0)</f>
        <v>0</v>
      </c>
      <c r="V1808" s="64" t="n">
        <f aca="false">IF($K1808="Better",$P1808,0)</f>
        <v>0</v>
      </c>
      <c r="W1808" s="64" t="n">
        <f aca="false">IF($K1808="U – needs rule",$P1808,0)</f>
        <v>0</v>
      </c>
      <c r="X1808" s="64" t="n">
        <f aca="false">IF($K1808="No Start (attainment only)",$P1808,0)</f>
        <v>0</v>
      </c>
    </row>
    <row r="1809" customFormat="false" ht="15" hidden="false" customHeight="false" outlineLevel="0" collapsed="false">
      <c r="A1809" s="60"/>
      <c r="B1809" s="61" t="str">
        <f aca="false">IF($M1809=0,"",INDEX(Classes!$E$6:$E$420,$M1809))</f>
        <v/>
      </c>
      <c r="C1809" s="62" t="str">
        <f aca="false">IF($M1809=0,"",INDEX(Classes!$H$6:$H$420,$M1809))</f>
        <v/>
      </c>
      <c r="D1809" s="61" t="str">
        <f aca="false">IF($M1809=0,"",INDEX(Classes!$B$6:$B$420,$M1809))</f>
        <v/>
      </c>
      <c r="E1809" s="61" t="str">
        <f aca="false">IF($M1809=0,"",INDEX(Classes!$C$6:$C$420,$M1809))</f>
        <v/>
      </c>
      <c r="F1809" s="63"/>
      <c r="G1809" s="63"/>
      <c r="H1809" s="60"/>
      <c r="I1809" s="60"/>
      <c r="J1809" s="63"/>
      <c r="K1809" s="61" t="str">
        <f aca="false">IF($P1809=0,"",IF($F1809="Baseline","— Baseline",IF($O1809=0,"No result",IF($N1809=0,"No Start (attainment only)",IF(OR($N1809=1,$O1809=1),"U – needs rule",INDEX(MxBody,MATCH($I1809,MxCurr,0),MATCH($H1809,MxStart,0)))))))</f>
        <v/>
      </c>
      <c r="L1809" s="62" t="str">
        <f aca="false">IF(COUNTA($A1809,$F1809,$G1809,$H1809,$I1809,$J1809)=0,"",IF($M1809=0,"✖ كود الصف غير موجود",IF(ISNA(MATCH($F1809,Lists!$A$2:$A$5,0)),"✖ الفترة غير صحيحة",IF(ISNA(MATCH($G1809,Lists!$B$2:$B$7,0)),"✖ المجموعة غير صحيحة",IF(NOT(OR($H1809="",$N1809&gt;0)),"✖ Start غير صحيح",IF(NOT(OR($I1809="",$I1809="NR",$O1809&gt;0)),"✖ Current غير صحيح",IF(NOT(IF(ISNUMBER($J1809),AND($J1809&gt;=0,$J1809=INT($J1809)),FALSE())),"✖ العدد يجب أن يكون صحيحًا ≥ 0",IF(AND($F1809="Baseline",$H1809&lt;&gt;""),"⚠ Baseline: Start لا يدخل في التقدم",IF($K1809="No Start (attainment only)","ℹ تحصيل فقط (بدون Start)",IF($K1809="U – needs rule","ℹ حالة U تحتاج قاعدة معتمدة",IF($K1809="No result","ℹ بدون نتيجة (يُستبعد من التحصيل)","OK")))))))))))</f>
        <v/>
      </c>
      <c r="M1809" s="64" t="n">
        <f aca="false">IF($A1809="",0,IFERROR(MATCH($A1809,Classes!$A$6:$A$420,0),0))</f>
        <v>0</v>
      </c>
      <c r="N1809" s="64" t="n">
        <f aca="false">IF($H1809="",0,IFERROR(MATCH($H1809,GradeList,0),0))</f>
        <v>0</v>
      </c>
      <c r="O1809" s="64" t="n">
        <f aca="false">IF(OR($I1809="",$I1809="NR"),0,IFERROR(MATCH($I1809,GradeList,0),0))</f>
        <v>0</v>
      </c>
      <c r="P1809" s="64" t="n">
        <f aca="false">IF(AND($M1809&gt;0,ISNUMBER(MATCH($F1809,Lists!$A$2:$A$5,0)),ISNUMBER(MATCH($G1809,Lists!$B$2:$B$7,0)),OR($H1809="",$N1809&gt;0),OR($I1809="",$I1809="NR",$O1809&gt;0),IF(ISNUMBER($J1809),AND($J1809&gt;=0,$J1809=INT($J1809)),FALSE())),$J1809,0)</f>
        <v>0</v>
      </c>
      <c r="Q1809" s="64" t="n">
        <f aca="false">IF(AND($P1809&gt;0,$O1809&gt;0),$P1809,0)</f>
        <v>0</v>
      </c>
      <c r="R1809" s="64" t="n">
        <f aca="false">IF(AND($Q1809&gt;0,$O1809&gt;=AtRank),$Q1809,0)</f>
        <v>0</v>
      </c>
      <c r="S1809" s="64" t="n">
        <f aca="false">IF(AND($Q1809&gt;0,$O1809&gt;=AboveRank),$Q1809,0)</f>
        <v>0</v>
      </c>
      <c r="T1809" s="64" t="n">
        <f aca="false">IF($K1809="Less",$P1809,0)</f>
        <v>0</v>
      </c>
      <c r="U1809" s="64" t="n">
        <f aca="false">IF($K1809="Expected",$P1809,0)</f>
        <v>0</v>
      </c>
      <c r="V1809" s="64" t="n">
        <f aca="false">IF($K1809="Better",$P1809,0)</f>
        <v>0</v>
      </c>
      <c r="W1809" s="64" t="n">
        <f aca="false">IF($K1809="U – needs rule",$P1809,0)</f>
        <v>0</v>
      </c>
      <c r="X1809" s="64" t="n">
        <f aca="false">IF($K1809="No Start (attainment only)",$P1809,0)</f>
        <v>0</v>
      </c>
    </row>
    <row r="1810" customFormat="false" ht="15" hidden="false" customHeight="false" outlineLevel="0" collapsed="false">
      <c r="A1810" s="60"/>
      <c r="B1810" s="61" t="str">
        <f aca="false">IF($M1810=0,"",INDEX(Classes!$E$6:$E$420,$M1810))</f>
        <v/>
      </c>
      <c r="C1810" s="62" t="str">
        <f aca="false">IF($M1810=0,"",INDEX(Classes!$H$6:$H$420,$M1810))</f>
        <v/>
      </c>
      <c r="D1810" s="61" t="str">
        <f aca="false">IF($M1810=0,"",INDEX(Classes!$B$6:$B$420,$M1810))</f>
        <v/>
      </c>
      <c r="E1810" s="61" t="str">
        <f aca="false">IF($M1810=0,"",INDEX(Classes!$C$6:$C$420,$M1810))</f>
        <v/>
      </c>
      <c r="F1810" s="63"/>
      <c r="G1810" s="63"/>
      <c r="H1810" s="60"/>
      <c r="I1810" s="60"/>
      <c r="J1810" s="63"/>
      <c r="K1810" s="61" t="str">
        <f aca="false">IF($P1810=0,"",IF($F1810="Baseline","— Baseline",IF($O1810=0,"No result",IF($N1810=0,"No Start (attainment only)",IF(OR($N1810=1,$O1810=1),"U – needs rule",INDEX(MxBody,MATCH($I1810,MxCurr,0),MATCH($H1810,MxStart,0)))))))</f>
        <v/>
      </c>
      <c r="L1810" s="62" t="str">
        <f aca="false">IF(COUNTA($A1810,$F1810,$G1810,$H1810,$I1810,$J1810)=0,"",IF($M1810=0,"✖ كود الصف غير موجود",IF(ISNA(MATCH($F1810,Lists!$A$2:$A$5,0)),"✖ الفترة غير صحيحة",IF(ISNA(MATCH($G1810,Lists!$B$2:$B$7,0)),"✖ المجموعة غير صحيحة",IF(NOT(OR($H1810="",$N1810&gt;0)),"✖ Start غير صحيح",IF(NOT(OR($I1810="",$I1810="NR",$O1810&gt;0)),"✖ Current غير صحيح",IF(NOT(IF(ISNUMBER($J1810),AND($J1810&gt;=0,$J1810=INT($J1810)),FALSE())),"✖ العدد يجب أن يكون صحيحًا ≥ 0",IF(AND($F1810="Baseline",$H1810&lt;&gt;""),"⚠ Baseline: Start لا يدخل في التقدم",IF($K1810="No Start (attainment only)","ℹ تحصيل فقط (بدون Start)",IF($K1810="U – needs rule","ℹ حالة U تحتاج قاعدة معتمدة",IF($K1810="No result","ℹ بدون نتيجة (يُستبعد من التحصيل)","OK")))))))))))</f>
        <v/>
      </c>
      <c r="M1810" s="64" t="n">
        <f aca="false">IF($A1810="",0,IFERROR(MATCH($A1810,Classes!$A$6:$A$420,0),0))</f>
        <v>0</v>
      </c>
      <c r="N1810" s="64" t="n">
        <f aca="false">IF($H1810="",0,IFERROR(MATCH($H1810,GradeList,0),0))</f>
        <v>0</v>
      </c>
      <c r="O1810" s="64" t="n">
        <f aca="false">IF(OR($I1810="",$I1810="NR"),0,IFERROR(MATCH($I1810,GradeList,0),0))</f>
        <v>0</v>
      </c>
      <c r="P1810" s="64" t="n">
        <f aca="false">IF(AND($M1810&gt;0,ISNUMBER(MATCH($F1810,Lists!$A$2:$A$5,0)),ISNUMBER(MATCH($G1810,Lists!$B$2:$B$7,0)),OR($H1810="",$N1810&gt;0),OR($I1810="",$I1810="NR",$O1810&gt;0),IF(ISNUMBER($J1810),AND($J1810&gt;=0,$J1810=INT($J1810)),FALSE())),$J1810,0)</f>
        <v>0</v>
      </c>
      <c r="Q1810" s="64" t="n">
        <f aca="false">IF(AND($P1810&gt;0,$O1810&gt;0),$P1810,0)</f>
        <v>0</v>
      </c>
      <c r="R1810" s="64" t="n">
        <f aca="false">IF(AND($Q1810&gt;0,$O1810&gt;=AtRank),$Q1810,0)</f>
        <v>0</v>
      </c>
      <c r="S1810" s="64" t="n">
        <f aca="false">IF(AND($Q1810&gt;0,$O1810&gt;=AboveRank),$Q1810,0)</f>
        <v>0</v>
      </c>
      <c r="T1810" s="64" t="n">
        <f aca="false">IF($K1810="Less",$P1810,0)</f>
        <v>0</v>
      </c>
      <c r="U1810" s="64" t="n">
        <f aca="false">IF($K1810="Expected",$P1810,0)</f>
        <v>0</v>
      </c>
      <c r="V1810" s="64" t="n">
        <f aca="false">IF($K1810="Better",$P1810,0)</f>
        <v>0</v>
      </c>
      <c r="W1810" s="64" t="n">
        <f aca="false">IF($K1810="U – needs rule",$P1810,0)</f>
        <v>0</v>
      </c>
      <c r="X1810" s="64" t="n">
        <f aca="false">IF($K1810="No Start (attainment only)",$P1810,0)</f>
        <v>0</v>
      </c>
    </row>
    <row r="1811" customFormat="false" ht="15" hidden="false" customHeight="false" outlineLevel="0" collapsed="false">
      <c r="A1811" s="60"/>
      <c r="B1811" s="61" t="str">
        <f aca="false">IF($M1811=0,"",INDEX(Classes!$E$6:$E$420,$M1811))</f>
        <v/>
      </c>
      <c r="C1811" s="62" t="str">
        <f aca="false">IF($M1811=0,"",INDEX(Classes!$H$6:$H$420,$M1811))</f>
        <v/>
      </c>
      <c r="D1811" s="61" t="str">
        <f aca="false">IF($M1811=0,"",INDEX(Classes!$B$6:$B$420,$M1811))</f>
        <v/>
      </c>
      <c r="E1811" s="61" t="str">
        <f aca="false">IF($M1811=0,"",INDEX(Classes!$C$6:$C$420,$M1811))</f>
        <v/>
      </c>
      <c r="F1811" s="63"/>
      <c r="G1811" s="63"/>
      <c r="H1811" s="60"/>
      <c r="I1811" s="60"/>
      <c r="J1811" s="63"/>
      <c r="K1811" s="61" t="str">
        <f aca="false">IF($P1811=0,"",IF($F1811="Baseline","— Baseline",IF($O1811=0,"No result",IF($N1811=0,"No Start (attainment only)",IF(OR($N1811=1,$O1811=1),"U – needs rule",INDEX(MxBody,MATCH($I1811,MxCurr,0),MATCH($H1811,MxStart,0)))))))</f>
        <v/>
      </c>
      <c r="L1811" s="62" t="str">
        <f aca="false">IF(COUNTA($A1811,$F1811,$G1811,$H1811,$I1811,$J1811)=0,"",IF($M1811=0,"✖ كود الصف غير موجود",IF(ISNA(MATCH($F1811,Lists!$A$2:$A$5,0)),"✖ الفترة غير صحيحة",IF(ISNA(MATCH($G1811,Lists!$B$2:$B$7,0)),"✖ المجموعة غير صحيحة",IF(NOT(OR($H1811="",$N1811&gt;0)),"✖ Start غير صحيح",IF(NOT(OR($I1811="",$I1811="NR",$O1811&gt;0)),"✖ Current غير صحيح",IF(NOT(IF(ISNUMBER($J1811),AND($J1811&gt;=0,$J1811=INT($J1811)),FALSE())),"✖ العدد يجب أن يكون صحيحًا ≥ 0",IF(AND($F1811="Baseline",$H1811&lt;&gt;""),"⚠ Baseline: Start لا يدخل في التقدم",IF($K1811="No Start (attainment only)","ℹ تحصيل فقط (بدون Start)",IF($K1811="U – needs rule","ℹ حالة U تحتاج قاعدة معتمدة",IF($K1811="No result","ℹ بدون نتيجة (يُستبعد من التحصيل)","OK")))))))))))</f>
        <v/>
      </c>
      <c r="M1811" s="64" t="n">
        <f aca="false">IF($A1811="",0,IFERROR(MATCH($A1811,Classes!$A$6:$A$420,0),0))</f>
        <v>0</v>
      </c>
      <c r="N1811" s="64" t="n">
        <f aca="false">IF($H1811="",0,IFERROR(MATCH($H1811,GradeList,0),0))</f>
        <v>0</v>
      </c>
      <c r="O1811" s="64" t="n">
        <f aca="false">IF(OR($I1811="",$I1811="NR"),0,IFERROR(MATCH($I1811,GradeList,0),0))</f>
        <v>0</v>
      </c>
      <c r="P1811" s="64" t="n">
        <f aca="false">IF(AND($M1811&gt;0,ISNUMBER(MATCH($F1811,Lists!$A$2:$A$5,0)),ISNUMBER(MATCH($G1811,Lists!$B$2:$B$7,0)),OR($H1811="",$N1811&gt;0),OR($I1811="",$I1811="NR",$O1811&gt;0),IF(ISNUMBER($J1811),AND($J1811&gt;=0,$J1811=INT($J1811)),FALSE())),$J1811,0)</f>
        <v>0</v>
      </c>
      <c r="Q1811" s="64" t="n">
        <f aca="false">IF(AND($P1811&gt;0,$O1811&gt;0),$P1811,0)</f>
        <v>0</v>
      </c>
      <c r="R1811" s="64" t="n">
        <f aca="false">IF(AND($Q1811&gt;0,$O1811&gt;=AtRank),$Q1811,0)</f>
        <v>0</v>
      </c>
      <c r="S1811" s="64" t="n">
        <f aca="false">IF(AND($Q1811&gt;0,$O1811&gt;=AboveRank),$Q1811,0)</f>
        <v>0</v>
      </c>
      <c r="T1811" s="64" t="n">
        <f aca="false">IF($K1811="Less",$P1811,0)</f>
        <v>0</v>
      </c>
      <c r="U1811" s="64" t="n">
        <f aca="false">IF($K1811="Expected",$P1811,0)</f>
        <v>0</v>
      </c>
      <c r="V1811" s="64" t="n">
        <f aca="false">IF($K1811="Better",$P1811,0)</f>
        <v>0</v>
      </c>
      <c r="W1811" s="64" t="n">
        <f aca="false">IF($K1811="U – needs rule",$P1811,0)</f>
        <v>0</v>
      </c>
      <c r="X1811" s="64" t="n">
        <f aca="false">IF($K1811="No Start (attainment only)",$P1811,0)</f>
        <v>0</v>
      </c>
    </row>
    <row r="1812" customFormat="false" ht="15" hidden="false" customHeight="false" outlineLevel="0" collapsed="false">
      <c r="A1812" s="60"/>
      <c r="B1812" s="61" t="str">
        <f aca="false">IF($M1812=0,"",INDEX(Classes!$E$6:$E$420,$M1812))</f>
        <v/>
      </c>
      <c r="C1812" s="62" t="str">
        <f aca="false">IF($M1812=0,"",INDEX(Classes!$H$6:$H$420,$M1812))</f>
        <v/>
      </c>
      <c r="D1812" s="61" t="str">
        <f aca="false">IF($M1812=0,"",INDEX(Classes!$B$6:$B$420,$M1812))</f>
        <v/>
      </c>
      <c r="E1812" s="61" t="str">
        <f aca="false">IF($M1812=0,"",INDEX(Classes!$C$6:$C$420,$M1812))</f>
        <v/>
      </c>
      <c r="F1812" s="63"/>
      <c r="G1812" s="63"/>
      <c r="H1812" s="60"/>
      <c r="I1812" s="60"/>
      <c r="J1812" s="63"/>
      <c r="K1812" s="61" t="str">
        <f aca="false">IF($P1812=0,"",IF($F1812="Baseline","— Baseline",IF($O1812=0,"No result",IF($N1812=0,"No Start (attainment only)",IF(OR($N1812=1,$O1812=1),"U – needs rule",INDEX(MxBody,MATCH($I1812,MxCurr,0),MATCH($H1812,MxStart,0)))))))</f>
        <v/>
      </c>
      <c r="L1812" s="62" t="str">
        <f aca="false">IF(COUNTA($A1812,$F1812,$G1812,$H1812,$I1812,$J1812)=0,"",IF($M1812=0,"✖ كود الصف غير موجود",IF(ISNA(MATCH($F1812,Lists!$A$2:$A$5,0)),"✖ الفترة غير صحيحة",IF(ISNA(MATCH($G1812,Lists!$B$2:$B$7,0)),"✖ المجموعة غير صحيحة",IF(NOT(OR($H1812="",$N1812&gt;0)),"✖ Start غير صحيح",IF(NOT(OR($I1812="",$I1812="NR",$O1812&gt;0)),"✖ Current غير صحيح",IF(NOT(IF(ISNUMBER($J1812),AND($J1812&gt;=0,$J1812=INT($J1812)),FALSE())),"✖ العدد يجب أن يكون صحيحًا ≥ 0",IF(AND($F1812="Baseline",$H1812&lt;&gt;""),"⚠ Baseline: Start لا يدخل في التقدم",IF($K1812="No Start (attainment only)","ℹ تحصيل فقط (بدون Start)",IF($K1812="U – needs rule","ℹ حالة U تحتاج قاعدة معتمدة",IF($K1812="No result","ℹ بدون نتيجة (يُستبعد من التحصيل)","OK")))))))))))</f>
        <v/>
      </c>
      <c r="M1812" s="64" t="n">
        <f aca="false">IF($A1812="",0,IFERROR(MATCH($A1812,Classes!$A$6:$A$420,0),0))</f>
        <v>0</v>
      </c>
      <c r="N1812" s="64" t="n">
        <f aca="false">IF($H1812="",0,IFERROR(MATCH($H1812,GradeList,0),0))</f>
        <v>0</v>
      </c>
      <c r="O1812" s="64" t="n">
        <f aca="false">IF(OR($I1812="",$I1812="NR"),0,IFERROR(MATCH($I1812,GradeList,0),0))</f>
        <v>0</v>
      </c>
      <c r="P1812" s="64" t="n">
        <f aca="false">IF(AND($M1812&gt;0,ISNUMBER(MATCH($F1812,Lists!$A$2:$A$5,0)),ISNUMBER(MATCH($G1812,Lists!$B$2:$B$7,0)),OR($H1812="",$N1812&gt;0),OR($I1812="",$I1812="NR",$O1812&gt;0),IF(ISNUMBER($J1812),AND($J1812&gt;=0,$J1812=INT($J1812)),FALSE())),$J1812,0)</f>
        <v>0</v>
      </c>
      <c r="Q1812" s="64" t="n">
        <f aca="false">IF(AND($P1812&gt;0,$O1812&gt;0),$P1812,0)</f>
        <v>0</v>
      </c>
      <c r="R1812" s="64" t="n">
        <f aca="false">IF(AND($Q1812&gt;0,$O1812&gt;=AtRank),$Q1812,0)</f>
        <v>0</v>
      </c>
      <c r="S1812" s="64" t="n">
        <f aca="false">IF(AND($Q1812&gt;0,$O1812&gt;=AboveRank),$Q1812,0)</f>
        <v>0</v>
      </c>
      <c r="T1812" s="64" t="n">
        <f aca="false">IF($K1812="Less",$P1812,0)</f>
        <v>0</v>
      </c>
      <c r="U1812" s="64" t="n">
        <f aca="false">IF($K1812="Expected",$P1812,0)</f>
        <v>0</v>
      </c>
      <c r="V1812" s="64" t="n">
        <f aca="false">IF($K1812="Better",$P1812,0)</f>
        <v>0</v>
      </c>
      <c r="W1812" s="64" t="n">
        <f aca="false">IF($K1812="U – needs rule",$P1812,0)</f>
        <v>0</v>
      </c>
      <c r="X1812" s="64" t="n">
        <f aca="false">IF($K1812="No Start (attainment only)",$P1812,0)</f>
        <v>0</v>
      </c>
    </row>
    <row r="1813" customFormat="false" ht="15" hidden="false" customHeight="false" outlineLevel="0" collapsed="false">
      <c r="A1813" s="60"/>
      <c r="B1813" s="61" t="str">
        <f aca="false">IF($M1813=0,"",INDEX(Classes!$E$6:$E$420,$M1813))</f>
        <v/>
      </c>
      <c r="C1813" s="62" t="str">
        <f aca="false">IF($M1813=0,"",INDEX(Classes!$H$6:$H$420,$M1813))</f>
        <v/>
      </c>
      <c r="D1813" s="61" t="str">
        <f aca="false">IF($M1813=0,"",INDEX(Classes!$B$6:$B$420,$M1813))</f>
        <v/>
      </c>
      <c r="E1813" s="61" t="str">
        <f aca="false">IF($M1813=0,"",INDEX(Classes!$C$6:$C$420,$M1813))</f>
        <v/>
      </c>
      <c r="F1813" s="63"/>
      <c r="G1813" s="63"/>
      <c r="H1813" s="60"/>
      <c r="I1813" s="60"/>
      <c r="J1813" s="63"/>
      <c r="K1813" s="61" t="str">
        <f aca="false">IF($P1813=0,"",IF($F1813="Baseline","— Baseline",IF($O1813=0,"No result",IF($N1813=0,"No Start (attainment only)",IF(OR($N1813=1,$O1813=1),"U – needs rule",INDEX(MxBody,MATCH($I1813,MxCurr,0),MATCH($H1813,MxStart,0)))))))</f>
        <v/>
      </c>
      <c r="L1813" s="62" t="str">
        <f aca="false">IF(COUNTA($A1813,$F1813,$G1813,$H1813,$I1813,$J1813)=0,"",IF($M1813=0,"✖ كود الصف غير موجود",IF(ISNA(MATCH($F1813,Lists!$A$2:$A$5,0)),"✖ الفترة غير صحيحة",IF(ISNA(MATCH($G1813,Lists!$B$2:$B$7,0)),"✖ المجموعة غير صحيحة",IF(NOT(OR($H1813="",$N1813&gt;0)),"✖ Start غير صحيح",IF(NOT(OR($I1813="",$I1813="NR",$O1813&gt;0)),"✖ Current غير صحيح",IF(NOT(IF(ISNUMBER($J1813),AND($J1813&gt;=0,$J1813=INT($J1813)),FALSE())),"✖ العدد يجب أن يكون صحيحًا ≥ 0",IF(AND($F1813="Baseline",$H1813&lt;&gt;""),"⚠ Baseline: Start لا يدخل في التقدم",IF($K1813="No Start (attainment only)","ℹ تحصيل فقط (بدون Start)",IF($K1813="U – needs rule","ℹ حالة U تحتاج قاعدة معتمدة",IF($K1813="No result","ℹ بدون نتيجة (يُستبعد من التحصيل)","OK")))))))))))</f>
        <v/>
      </c>
      <c r="M1813" s="64" t="n">
        <f aca="false">IF($A1813="",0,IFERROR(MATCH($A1813,Classes!$A$6:$A$420,0),0))</f>
        <v>0</v>
      </c>
      <c r="N1813" s="64" t="n">
        <f aca="false">IF($H1813="",0,IFERROR(MATCH($H1813,GradeList,0),0))</f>
        <v>0</v>
      </c>
      <c r="O1813" s="64" t="n">
        <f aca="false">IF(OR($I1813="",$I1813="NR"),0,IFERROR(MATCH($I1813,GradeList,0),0))</f>
        <v>0</v>
      </c>
      <c r="P1813" s="64" t="n">
        <f aca="false">IF(AND($M1813&gt;0,ISNUMBER(MATCH($F1813,Lists!$A$2:$A$5,0)),ISNUMBER(MATCH($G1813,Lists!$B$2:$B$7,0)),OR($H1813="",$N1813&gt;0),OR($I1813="",$I1813="NR",$O1813&gt;0),IF(ISNUMBER($J1813),AND($J1813&gt;=0,$J1813=INT($J1813)),FALSE())),$J1813,0)</f>
        <v>0</v>
      </c>
      <c r="Q1813" s="64" t="n">
        <f aca="false">IF(AND($P1813&gt;0,$O1813&gt;0),$P1813,0)</f>
        <v>0</v>
      </c>
      <c r="R1813" s="64" t="n">
        <f aca="false">IF(AND($Q1813&gt;0,$O1813&gt;=AtRank),$Q1813,0)</f>
        <v>0</v>
      </c>
      <c r="S1813" s="64" t="n">
        <f aca="false">IF(AND($Q1813&gt;0,$O1813&gt;=AboveRank),$Q1813,0)</f>
        <v>0</v>
      </c>
      <c r="T1813" s="64" t="n">
        <f aca="false">IF($K1813="Less",$P1813,0)</f>
        <v>0</v>
      </c>
      <c r="U1813" s="64" t="n">
        <f aca="false">IF($K1813="Expected",$P1813,0)</f>
        <v>0</v>
      </c>
      <c r="V1813" s="64" t="n">
        <f aca="false">IF($K1813="Better",$P1813,0)</f>
        <v>0</v>
      </c>
      <c r="W1813" s="64" t="n">
        <f aca="false">IF($K1813="U – needs rule",$P1813,0)</f>
        <v>0</v>
      </c>
      <c r="X1813" s="64" t="n">
        <f aca="false">IF($K1813="No Start (attainment only)",$P1813,0)</f>
        <v>0</v>
      </c>
    </row>
    <row r="1814" customFormat="false" ht="15" hidden="false" customHeight="false" outlineLevel="0" collapsed="false">
      <c r="A1814" s="60"/>
      <c r="B1814" s="61" t="str">
        <f aca="false">IF($M1814=0,"",INDEX(Classes!$E$6:$E$420,$M1814))</f>
        <v/>
      </c>
      <c r="C1814" s="62" t="str">
        <f aca="false">IF($M1814=0,"",INDEX(Classes!$H$6:$H$420,$M1814))</f>
        <v/>
      </c>
      <c r="D1814" s="61" t="str">
        <f aca="false">IF($M1814=0,"",INDEX(Classes!$B$6:$B$420,$M1814))</f>
        <v/>
      </c>
      <c r="E1814" s="61" t="str">
        <f aca="false">IF($M1814=0,"",INDEX(Classes!$C$6:$C$420,$M1814))</f>
        <v/>
      </c>
      <c r="F1814" s="63"/>
      <c r="G1814" s="63"/>
      <c r="H1814" s="60"/>
      <c r="I1814" s="60"/>
      <c r="J1814" s="63"/>
      <c r="K1814" s="61" t="str">
        <f aca="false">IF($P1814=0,"",IF($F1814="Baseline","— Baseline",IF($O1814=0,"No result",IF($N1814=0,"No Start (attainment only)",IF(OR($N1814=1,$O1814=1),"U – needs rule",INDEX(MxBody,MATCH($I1814,MxCurr,0),MATCH($H1814,MxStart,0)))))))</f>
        <v/>
      </c>
      <c r="L1814" s="62" t="str">
        <f aca="false">IF(COUNTA($A1814,$F1814,$G1814,$H1814,$I1814,$J1814)=0,"",IF($M1814=0,"✖ كود الصف غير موجود",IF(ISNA(MATCH($F1814,Lists!$A$2:$A$5,0)),"✖ الفترة غير صحيحة",IF(ISNA(MATCH($G1814,Lists!$B$2:$B$7,0)),"✖ المجموعة غير صحيحة",IF(NOT(OR($H1814="",$N1814&gt;0)),"✖ Start غير صحيح",IF(NOT(OR($I1814="",$I1814="NR",$O1814&gt;0)),"✖ Current غير صحيح",IF(NOT(IF(ISNUMBER($J1814),AND($J1814&gt;=0,$J1814=INT($J1814)),FALSE())),"✖ العدد يجب أن يكون صحيحًا ≥ 0",IF(AND($F1814="Baseline",$H1814&lt;&gt;""),"⚠ Baseline: Start لا يدخل في التقدم",IF($K1814="No Start (attainment only)","ℹ تحصيل فقط (بدون Start)",IF($K1814="U – needs rule","ℹ حالة U تحتاج قاعدة معتمدة",IF($K1814="No result","ℹ بدون نتيجة (يُستبعد من التحصيل)","OK")))))))))))</f>
        <v/>
      </c>
      <c r="M1814" s="64" t="n">
        <f aca="false">IF($A1814="",0,IFERROR(MATCH($A1814,Classes!$A$6:$A$420,0),0))</f>
        <v>0</v>
      </c>
      <c r="N1814" s="64" t="n">
        <f aca="false">IF($H1814="",0,IFERROR(MATCH($H1814,GradeList,0),0))</f>
        <v>0</v>
      </c>
      <c r="O1814" s="64" t="n">
        <f aca="false">IF(OR($I1814="",$I1814="NR"),0,IFERROR(MATCH($I1814,GradeList,0),0))</f>
        <v>0</v>
      </c>
      <c r="P1814" s="64" t="n">
        <f aca="false">IF(AND($M1814&gt;0,ISNUMBER(MATCH($F1814,Lists!$A$2:$A$5,0)),ISNUMBER(MATCH($G1814,Lists!$B$2:$B$7,0)),OR($H1814="",$N1814&gt;0),OR($I1814="",$I1814="NR",$O1814&gt;0),IF(ISNUMBER($J1814),AND($J1814&gt;=0,$J1814=INT($J1814)),FALSE())),$J1814,0)</f>
        <v>0</v>
      </c>
      <c r="Q1814" s="64" t="n">
        <f aca="false">IF(AND($P1814&gt;0,$O1814&gt;0),$P1814,0)</f>
        <v>0</v>
      </c>
      <c r="R1814" s="64" t="n">
        <f aca="false">IF(AND($Q1814&gt;0,$O1814&gt;=AtRank),$Q1814,0)</f>
        <v>0</v>
      </c>
      <c r="S1814" s="64" t="n">
        <f aca="false">IF(AND($Q1814&gt;0,$O1814&gt;=AboveRank),$Q1814,0)</f>
        <v>0</v>
      </c>
      <c r="T1814" s="64" t="n">
        <f aca="false">IF($K1814="Less",$P1814,0)</f>
        <v>0</v>
      </c>
      <c r="U1814" s="64" t="n">
        <f aca="false">IF($K1814="Expected",$P1814,0)</f>
        <v>0</v>
      </c>
      <c r="V1814" s="64" t="n">
        <f aca="false">IF($K1814="Better",$P1814,0)</f>
        <v>0</v>
      </c>
      <c r="W1814" s="64" t="n">
        <f aca="false">IF($K1814="U – needs rule",$P1814,0)</f>
        <v>0</v>
      </c>
      <c r="X1814" s="64" t="n">
        <f aca="false">IF($K1814="No Start (attainment only)",$P1814,0)</f>
        <v>0</v>
      </c>
    </row>
    <row r="1815" customFormat="false" ht="15" hidden="false" customHeight="false" outlineLevel="0" collapsed="false">
      <c r="A1815" s="60"/>
      <c r="B1815" s="61" t="str">
        <f aca="false">IF($M1815=0,"",INDEX(Classes!$E$6:$E$420,$M1815))</f>
        <v/>
      </c>
      <c r="C1815" s="62" t="str">
        <f aca="false">IF($M1815=0,"",INDEX(Classes!$H$6:$H$420,$M1815))</f>
        <v/>
      </c>
      <c r="D1815" s="61" t="str">
        <f aca="false">IF($M1815=0,"",INDEX(Classes!$B$6:$B$420,$M1815))</f>
        <v/>
      </c>
      <c r="E1815" s="61" t="str">
        <f aca="false">IF($M1815=0,"",INDEX(Classes!$C$6:$C$420,$M1815))</f>
        <v/>
      </c>
      <c r="F1815" s="63"/>
      <c r="G1815" s="63"/>
      <c r="H1815" s="60"/>
      <c r="I1815" s="60"/>
      <c r="J1815" s="63"/>
      <c r="K1815" s="61" t="str">
        <f aca="false">IF($P1815=0,"",IF($F1815="Baseline","— Baseline",IF($O1815=0,"No result",IF($N1815=0,"No Start (attainment only)",IF(OR($N1815=1,$O1815=1),"U – needs rule",INDEX(MxBody,MATCH($I1815,MxCurr,0),MATCH($H1815,MxStart,0)))))))</f>
        <v/>
      </c>
      <c r="L1815" s="62" t="str">
        <f aca="false">IF(COUNTA($A1815,$F1815,$G1815,$H1815,$I1815,$J1815)=0,"",IF($M1815=0,"✖ كود الصف غير موجود",IF(ISNA(MATCH($F1815,Lists!$A$2:$A$5,0)),"✖ الفترة غير صحيحة",IF(ISNA(MATCH($G1815,Lists!$B$2:$B$7,0)),"✖ المجموعة غير صحيحة",IF(NOT(OR($H1815="",$N1815&gt;0)),"✖ Start غير صحيح",IF(NOT(OR($I1815="",$I1815="NR",$O1815&gt;0)),"✖ Current غير صحيح",IF(NOT(IF(ISNUMBER($J1815),AND($J1815&gt;=0,$J1815=INT($J1815)),FALSE())),"✖ العدد يجب أن يكون صحيحًا ≥ 0",IF(AND($F1815="Baseline",$H1815&lt;&gt;""),"⚠ Baseline: Start لا يدخل في التقدم",IF($K1815="No Start (attainment only)","ℹ تحصيل فقط (بدون Start)",IF($K1815="U – needs rule","ℹ حالة U تحتاج قاعدة معتمدة",IF($K1815="No result","ℹ بدون نتيجة (يُستبعد من التحصيل)","OK")))))))))))</f>
        <v/>
      </c>
      <c r="M1815" s="64" t="n">
        <f aca="false">IF($A1815="",0,IFERROR(MATCH($A1815,Classes!$A$6:$A$420,0),0))</f>
        <v>0</v>
      </c>
      <c r="N1815" s="64" t="n">
        <f aca="false">IF($H1815="",0,IFERROR(MATCH($H1815,GradeList,0),0))</f>
        <v>0</v>
      </c>
      <c r="O1815" s="64" t="n">
        <f aca="false">IF(OR($I1815="",$I1815="NR"),0,IFERROR(MATCH($I1815,GradeList,0),0))</f>
        <v>0</v>
      </c>
      <c r="P1815" s="64" t="n">
        <f aca="false">IF(AND($M1815&gt;0,ISNUMBER(MATCH($F1815,Lists!$A$2:$A$5,0)),ISNUMBER(MATCH($G1815,Lists!$B$2:$B$7,0)),OR($H1815="",$N1815&gt;0),OR($I1815="",$I1815="NR",$O1815&gt;0),IF(ISNUMBER($J1815),AND($J1815&gt;=0,$J1815=INT($J1815)),FALSE())),$J1815,0)</f>
        <v>0</v>
      </c>
      <c r="Q1815" s="64" t="n">
        <f aca="false">IF(AND($P1815&gt;0,$O1815&gt;0),$P1815,0)</f>
        <v>0</v>
      </c>
      <c r="R1815" s="64" t="n">
        <f aca="false">IF(AND($Q1815&gt;0,$O1815&gt;=AtRank),$Q1815,0)</f>
        <v>0</v>
      </c>
      <c r="S1815" s="64" t="n">
        <f aca="false">IF(AND($Q1815&gt;0,$O1815&gt;=AboveRank),$Q1815,0)</f>
        <v>0</v>
      </c>
      <c r="T1815" s="64" t="n">
        <f aca="false">IF($K1815="Less",$P1815,0)</f>
        <v>0</v>
      </c>
      <c r="U1815" s="64" t="n">
        <f aca="false">IF($K1815="Expected",$P1815,0)</f>
        <v>0</v>
      </c>
      <c r="V1815" s="64" t="n">
        <f aca="false">IF($K1815="Better",$P1815,0)</f>
        <v>0</v>
      </c>
      <c r="W1815" s="64" t="n">
        <f aca="false">IF($K1815="U – needs rule",$P1815,0)</f>
        <v>0</v>
      </c>
      <c r="X1815" s="64" t="n">
        <f aca="false">IF($K1815="No Start (attainment only)",$P1815,0)</f>
        <v>0</v>
      </c>
    </row>
    <row r="1816" customFormat="false" ht="15" hidden="false" customHeight="false" outlineLevel="0" collapsed="false">
      <c r="A1816" s="60"/>
      <c r="B1816" s="61" t="str">
        <f aca="false">IF($M1816=0,"",INDEX(Classes!$E$6:$E$420,$M1816))</f>
        <v/>
      </c>
      <c r="C1816" s="62" t="str">
        <f aca="false">IF($M1816=0,"",INDEX(Classes!$H$6:$H$420,$M1816))</f>
        <v/>
      </c>
      <c r="D1816" s="61" t="str">
        <f aca="false">IF($M1816=0,"",INDEX(Classes!$B$6:$B$420,$M1816))</f>
        <v/>
      </c>
      <c r="E1816" s="61" t="str">
        <f aca="false">IF($M1816=0,"",INDEX(Classes!$C$6:$C$420,$M1816))</f>
        <v/>
      </c>
      <c r="F1816" s="63"/>
      <c r="G1816" s="63"/>
      <c r="H1816" s="60"/>
      <c r="I1816" s="60"/>
      <c r="J1816" s="63"/>
      <c r="K1816" s="61" t="str">
        <f aca="false">IF($P1816=0,"",IF($F1816="Baseline","— Baseline",IF($O1816=0,"No result",IF($N1816=0,"No Start (attainment only)",IF(OR($N1816=1,$O1816=1),"U – needs rule",INDEX(MxBody,MATCH($I1816,MxCurr,0),MATCH($H1816,MxStart,0)))))))</f>
        <v/>
      </c>
      <c r="L1816" s="62" t="str">
        <f aca="false">IF(COUNTA($A1816,$F1816,$G1816,$H1816,$I1816,$J1816)=0,"",IF($M1816=0,"✖ كود الصف غير موجود",IF(ISNA(MATCH($F1816,Lists!$A$2:$A$5,0)),"✖ الفترة غير صحيحة",IF(ISNA(MATCH($G1816,Lists!$B$2:$B$7,0)),"✖ المجموعة غير صحيحة",IF(NOT(OR($H1816="",$N1816&gt;0)),"✖ Start غير صحيح",IF(NOT(OR($I1816="",$I1816="NR",$O1816&gt;0)),"✖ Current غير صحيح",IF(NOT(IF(ISNUMBER($J1816),AND($J1816&gt;=0,$J1816=INT($J1816)),FALSE())),"✖ العدد يجب أن يكون صحيحًا ≥ 0",IF(AND($F1816="Baseline",$H1816&lt;&gt;""),"⚠ Baseline: Start لا يدخل في التقدم",IF($K1816="No Start (attainment only)","ℹ تحصيل فقط (بدون Start)",IF($K1816="U – needs rule","ℹ حالة U تحتاج قاعدة معتمدة",IF($K1816="No result","ℹ بدون نتيجة (يُستبعد من التحصيل)","OK")))))))))))</f>
        <v/>
      </c>
      <c r="M1816" s="64" t="n">
        <f aca="false">IF($A1816="",0,IFERROR(MATCH($A1816,Classes!$A$6:$A$420,0),0))</f>
        <v>0</v>
      </c>
      <c r="N1816" s="64" t="n">
        <f aca="false">IF($H1816="",0,IFERROR(MATCH($H1816,GradeList,0),0))</f>
        <v>0</v>
      </c>
      <c r="O1816" s="64" t="n">
        <f aca="false">IF(OR($I1816="",$I1816="NR"),0,IFERROR(MATCH($I1816,GradeList,0),0))</f>
        <v>0</v>
      </c>
      <c r="P1816" s="64" t="n">
        <f aca="false">IF(AND($M1816&gt;0,ISNUMBER(MATCH($F1816,Lists!$A$2:$A$5,0)),ISNUMBER(MATCH($G1816,Lists!$B$2:$B$7,0)),OR($H1816="",$N1816&gt;0),OR($I1816="",$I1816="NR",$O1816&gt;0),IF(ISNUMBER($J1816),AND($J1816&gt;=0,$J1816=INT($J1816)),FALSE())),$J1816,0)</f>
        <v>0</v>
      </c>
      <c r="Q1816" s="64" t="n">
        <f aca="false">IF(AND($P1816&gt;0,$O1816&gt;0),$P1816,0)</f>
        <v>0</v>
      </c>
      <c r="R1816" s="64" t="n">
        <f aca="false">IF(AND($Q1816&gt;0,$O1816&gt;=AtRank),$Q1816,0)</f>
        <v>0</v>
      </c>
      <c r="S1816" s="64" t="n">
        <f aca="false">IF(AND($Q1816&gt;0,$O1816&gt;=AboveRank),$Q1816,0)</f>
        <v>0</v>
      </c>
      <c r="T1816" s="64" t="n">
        <f aca="false">IF($K1816="Less",$P1816,0)</f>
        <v>0</v>
      </c>
      <c r="U1816" s="64" t="n">
        <f aca="false">IF($K1816="Expected",$P1816,0)</f>
        <v>0</v>
      </c>
      <c r="V1816" s="64" t="n">
        <f aca="false">IF($K1816="Better",$P1816,0)</f>
        <v>0</v>
      </c>
      <c r="W1816" s="64" t="n">
        <f aca="false">IF($K1816="U – needs rule",$P1816,0)</f>
        <v>0</v>
      </c>
      <c r="X1816" s="64" t="n">
        <f aca="false">IF($K1816="No Start (attainment only)",$P1816,0)</f>
        <v>0</v>
      </c>
    </row>
    <row r="1817" customFormat="false" ht="15" hidden="false" customHeight="false" outlineLevel="0" collapsed="false">
      <c r="A1817" s="60"/>
      <c r="B1817" s="61" t="str">
        <f aca="false">IF($M1817=0,"",INDEX(Classes!$E$6:$E$420,$M1817))</f>
        <v/>
      </c>
      <c r="C1817" s="62" t="str">
        <f aca="false">IF($M1817=0,"",INDEX(Classes!$H$6:$H$420,$M1817))</f>
        <v/>
      </c>
      <c r="D1817" s="61" t="str">
        <f aca="false">IF($M1817=0,"",INDEX(Classes!$B$6:$B$420,$M1817))</f>
        <v/>
      </c>
      <c r="E1817" s="61" t="str">
        <f aca="false">IF($M1817=0,"",INDEX(Classes!$C$6:$C$420,$M1817))</f>
        <v/>
      </c>
      <c r="F1817" s="63"/>
      <c r="G1817" s="63"/>
      <c r="H1817" s="60"/>
      <c r="I1817" s="60"/>
      <c r="J1817" s="63"/>
      <c r="K1817" s="61" t="str">
        <f aca="false">IF($P1817=0,"",IF($F1817="Baseline","— Baseline",IF($O1817=0,"No result",IF($N1817=0,"No Start (attainment only)",IF(OR($N1817=1,$O1817=1),"U – needs rule",INDEX(MxBody,MATCH($I1817,MxCurr,0),MATCH($H1817,MxStart,0)))))))</f>
        <v/>
      </c>
      <c r="L1817" s="62" t="str">
        <f aca="false">IF(COUNTA($A1817,$F1817,$G1817,$H1817,$I1817,$J1817)=0,"",IF($M1817=0,"✖ كود الصف غير موجود",IF(ISNA(MATCH($F1817,Lists!$A$2:$A$5,0)),"✖ الفترة غير صحيحة",IF(ISNA(MATCH($G1817,Lists!$B$2:$B$7,0)),"✖ المجموعة غير صحيحة",IF(NOT(OR($H1817="",$N1817&gt;0)),"✖ Start غير صحيح",IF(NOT(OR($I1817="",$I1817="NR",$O1817&gt;0)),"✖ Current غير صحيح",IF(NOT(IF(ISNUMBER($J1817),AND($J1817&gt;=0,$J1817=INT($J1817)),FALSE())),"✖ العدد يجب أن يكون صحيحًا ≥ 0",IF(AND($F1817="Baseline",$H1817&lt;&gt;""),"⚠ Baseline: Start لا يدخل في التقدم",IF($K1817="No Start (attainment only)","ℹ تحصيل فقط (بدون Start)",IF($K1817="U – needs rule","ℹ حالة U تحتاج قاعدة معتمدة",IF($K1817="No result","ℹ بدون نتيجة (يُستبعد من التحصيل)","OK")))))))))))</f>
        <v/>
      </c>
      <c r="M1817" s="64" t="n">
        <f aca="false">IF($A1817="",0,IFERROR(MATCH($A1817,Classes!$A$6:$A$420,0),0))</f>
        <v>0</v>
      </c>
      <c r="N1817" s="64" t="n">
        <f aca="false">IF($H1817="",0,IFERROR(MATCH($H1817,GradeList,0),0))</f>
        <v>0</v>
      </c>
      <c r="O1817" s="64" t="n">
        <f aca="false">IF(OR($I1817="",$I1817="NR"),0,IFERROR(MATCH($I1817,GradeList,0),0))</f>
        <v>0</v>
      </c>
      <c r="P1817" s="64" t="n">
        <f aca="false">IF(AND($M1817&gt;0,ISNUMBER(MATCH($F1817,Lists!$A$2:$A$5,0)),ISNUMBER(MATCH($G1817,Lists!$B$2:$B$7,0)),OR($H1817="",$N1817&gt;0),OR($I1817="",$I1817="NR",$O1817&gt;0),IF(ISNUMBER($J1817),AND($J1817&gt;=0,$J1817=INT($J1817)),FALSE())),$J1817,0)</f>
        <v>0</v>
      </c>
      <c r="Q1817" s="64" t="n">
        <f aca="false">IF(AND($P1817&gt;0,$O1817&gt;0),$P1817,0)</f>
        <v>0</v>
      </c>
      <c r="R1817" s="64" t="n">
        <f aca="false">IF(AND($Q1817&gt;0,$O1817&gt;=AtRank),$Q1817,0)</f>
        <v>0</v>
      </c>
      <c r="S1817" s="64" t="n">
        <f aca="false">IF(AND($Q1817&gt;0,$O1817&gt;=AboveRank),$Q1817,0)</f>
        <v>0</v>
      </c>
      <c r="T1817" s="64" t="n">
        <f aca="false">IF($K1817="Less",$P1817,0)</f>
        <v>0</v>
      </c>
      <c r="U1817" s="64" t="n">
        <f aca="false">IF($K1817="Expected",$P1817,0)</f>
        <v>0</v>
      </c>
      <c r="V1817" s="64" t="n">
        <f aca="false">IF($K1817="Better",$P1817,0)</f>
        <v>0</v>
      </c>
      <c r="W1817" s="64" t="n">
        <f aca="false">IF($K1817="U – needs rule",$P1817,0)</f>
        <v>0</v>
      </c>
      <c r="X1817" s="64" t="n">
        <f aca="false">IF($K1817="No Start (attainment only)",$P1817,0)</f>
        <v>0</v>
      </c>
    </row>
    <row r="1818" customFormat="false" ht="15" hidden="false" customHeight="false" outlineLevel="0" collapsed="false">
      <c r="A1818" s="60"/>
      <c r="B1818" s="61" t="str">
        <f aca="false">IF($M1818=0,"",INDEX(Classes!$E$6:$E$420,$M1818))</f>
        <v/>
      </c>
      <c r="C1818" s="62" t="str">
        <f aca="false">IF($M1818=0,"",INDEX(Classes!$H$6:$H$420,$M1818))</f>
        <v/>
      </c>
      <c r="D1818" s="61" t="str">
        <f aca="false">IF($M1818=0,"",INDEX(Classes!$B$6:$B$420,$M1818))</f>
        <v/>
      </c>
      <c r="E1818" s="61" t="str">
        <f aca="false">IF($M1818=0,"",INDEX(Classes!$C$6:$C$420,$M1818))</f>
        <v/>
      </c>
      <c r="F1818" s="63"/>
      <c r="G1818" s="63"/>
      <c r="H1818" s="60"/>
      <c r="I1818" s="60"/>
      <c r="J1818" s="63"/>
      <c r="K1818" s="61" t="str">
        <f aca="false">IF($P1818=0,"",IF($F1818="Baseline","— Baseline",IF($O1818=0,"No result",IF($N1818=0,"No Start (attainment only)",IF(OR($N1818=1,$O1818=1),"U – needs rule",INDEX(MxBody,MATCH($I1818,MxCurr,0),MATCH($H1818,MxStart,0)))))))</f>
        <v/>
      </c>
      <c r="L1818" s="62" t="str">
        <f aca="false">IF(COUNTA($A1818,$F1818,$G1818,$H1818,$I1818,$J1818)=0,"",IF($M1818=0,"✖ كود الصف غير موجود",IF(ISNA(MATCH($F1818,Lists!$A$2:$A$5,0)),"✖ الفترة غير صحيحة",IF(ISNA(MATCH($G1818,Lists!$B$2:$B$7,0)),"✖ المجموعة غير صحيحة",IF(NOT(OR($H1818="",$N1818&gt;0)),"✖ Start غير صحيح",IF(NOT(OR($I1818="",$I1818="NR",$O1818&gt;0)),"✖ Current غير صحيح",IF(NOT(IF(ISNUMBER($J1818),AND($J1818&gt;=0,$J1818=INT($J1818)),FALSE())),"✖ العدد يجب أن يكون صحيحًا ≥ 0",IF(AND($F1818="Baseline",$H1818&lt;&gt;""),"⚠ Baseline: Start لا يدخل في التقدم",IF($K1818="No Start (attainment only)","ℹ تحصيل فقط (بدون Start)",IF($K1818="U – needs rule","ℹ حالة U تحتاج قاعدة معتمدة",IF($K1818="No result","ℹ بدون نتيجة (يُستبعد من التحصيل)","OK")))))))))))</f>
        <v/>
      </c>
      <c r="M1818" s="64" t="n">
        <f aca="false">IF($A1818="",0,IFERROR(MATCH($A1818,Classes!$A$6:$A$420,0),0))</f>
        <v>0</v>
      </c>
      <c r="N1818" s="64" t="n">
        <f aca="false">IF($H1818="",0,IFERROR(MATCH($H1818,GradeList,0),0))</f>
        <v>0</v>
      </c>
      <c r="O1818" s="64" t="n">
        <f aca="false">IF(OR($I1818="",$I1818="NR"),0,IFERROR(MATCH($I1818,GradeList,0),0))</f>
        <v>0</v>
      </c>
      <c r="P1818" s="64" t="n">
        <f aca="false">IF(AND($M1818&gt;0,ISNUMBER(MATCH($F1818,Lists!$A$2:$A$5,0)),ISNUMBER(MATCH($G1818,Lists!$B$2:$B$7,0)),OR($H1818="",$N1818&gt;0),OR($I1818="",$I1818="NR",$O1818&gt;0),IF(ISNUMBER($J1818),AND($J1818&gt;=0,$J1818=INT($J1818)),FALSE())),$J1818,0)</f>
        <v>0</v>
      </c>
      <c r="Q1818" s="64" t="n">
        <f aca="false">IF(AND($P1818&gt;0,$O1818&gt;0),$P1818,0)</f>
        <v>0</v>
      </c>
      <c r="R1818" s="64" t="n">
        <f aca="false">IF(AND($Q1818&gt;0,$O1818&gt;=AtRank),$Q1818,0)</f>
        <v>0</v>
      </c>
      <c r="S1818" s="64" t="n">
        <f aca="false">IF(AND($Q1818&gt;0,$O1818&gt;=AboveRank),$Q1818,0)</f>
        <v>0</v>
      </c>
      <c r="T1818" s="64" t="n">
        <f aca="false">IF($K1818="Less",$P1818,0)</f>
        <v>0</v>
      </c>
      <c r="U1818" s="64" t="n">
        <f aca="false">IF($K1818="Expected",$P1818,0)</f>
        <v>0</v>
      </c>
      <c r="V1818" s="64" t="n">
        <f aca="false">IF($K1818="Better",$P1818,0)</f>
        <v>0</v>
      </c>
      <c r="W1818" s="64" t="n">
        <f aca="false">IF($K1818="U – needs rule",$P1818,0)</f>
        <v>0</v>
      </c>
      <c r="X1818" s="64" t="n">
        <f aca="false">IF($K1818="No Start (attainment only)",$P1818,0)</f>
        <v>0</v>
      </c>
    </row>
    <row r="1819" customFormat="false" ht="15" hidden="false" customHeight="false" outlineLevel="0" collapsed="false">
      <c r="A1819" s="60"/>
      <c r="B1819" s="61" t="str">
        <f aca="false">IF($M1819=0,"",INDEX(Classes!$E$6:$E$420,$M1819))</f>
        <v/>
      </c>
      <c r="C1819" s="62" t="str">
        <f aca="false">IF($M1819=0,"",INDEX(Classes!$H$6:$H$420,$M1819))</f>
        <v/>
      </c>
      <c r="D1819" s="61" t="str">
        <f aca="false">IF($M1819=0,"",INDEX(Classes!$B$6:$B$420,$M1819))</f>
        <v/>
      </c>
      <c r="E1819" s="61" t="str">
        <f aca="false">IF($M1819=0,"",INDEX(Classes!$C$6:$C$420,$M1819))</f>
        <v/>
      </c>
      <c r="F1819" s="63"/>
      <c r="G1819" s="63"/>
      <c r="H1819" s="60"/>
      <c r="I1819" s="60"/>
      <c r="J1819" s="63"/>
      <c r="K1819" s="61" t="str">
        <f aca="false">IF($P1819=0,"",IF($F1819="Baseline","— Baseline",IF($O1819=0,"No result",IF($N1819=0,"No Start (attainment only)",IF(OR($N1819=1,$O1819=1),"U – needs rule",INDEX(MxBody,MATCH($I1819,MxCurr,0),MATCH($H1819,MxStart,0)))))))</f>
        <v/>
      </c>
      <c r="L1819" s="62" t="str">
        <f aca="false">IF(COUNTA($A1819,$F1819,$G1819,$H1819,$I1819,$J1819)=0,"",IF($M1819=0,"✖ كود الصف غير موجود",IF(ISNA(MATCH($F1819,Lists!$A$2:$A$5,0)),"✖ الفترة غير صحيحة",IF(ISNA(MATCH($G1819,Lists!$B$2:$B$7,0)),"✖ المجموعة غير صحيحة",IF(NOT(OR($H1819="",$N1819&gt;0)),"✖ Start غير صحيح",IF(NOT(OR($I1819="",$I1819="NR",$O1819&gt;0)),"✖ Current غير صحيح",IF(NOT(IF(ISNUMBER($J1819),AND($J1819&gt;=0,$J1819=INT($J1819)),FALSE())),"✖ العدد يجب أن يكون صحيحًا ≥ 0",IF(AND($F1819="Baseline",$H1819&lt;&gt;""),"⚠ Baseline: Start لا يدخل في التقدم",IF($K1819="No Start (attainment only)","ℹ تحصيل فقط (بدون Start)",IF($K1819="U – needs rule","ℹ حالة U تحتاج قاعدة معتمدة",IF($K1819="No result","ℹ بدون نتيجة (يُستبعد من التحصيل)","OK")))))))))))</f>
        <v/>
      </c>
      <c r="M1819" s="64" t="n">
        <f aca="false">IF($A1819="",0,IFERROR(MATCH($A1819,Classes!$A$6:$A$420,0),0))</f>
        <v>0</v>
      </c>
      <c r="N1819" s="64" t="n">
        <f aca="false">IF($H1819="",0,IFERROR(MATCH($H1819,GradeList,0),0))</f>
        <v>0</v>
      </c>
      <c r="O1819" s="64" t="n">
        <f aca="false">IF(OR($I1819="",$I1819="NR"),0,IFERROR(MATCH($I1819,GradeList,0),0))</f>
        <v>0</v>
      </c>
      <c r="P1819" s="64" t="n">
        <f aca="false">IF(AND($M1819&gt;0,ISNUMBER(MATCH($F1819,Lists!$A$2:$A$5,0)),ISNUMBER(MATCH($G1819,Lists!$B$2:$B$7,0)),OR($H1819="",$N1819&gt;0),OR($I1819="",$I1819="NR",$O1819&gt;0),IF(ISNUMBER($J1819),AND($J1819&gt;=0,$J1819=INT($J1819)),FALSE())),$J1819,0)</f>
        <v>0</v>
      </c>
      <c r="Q1819" s="64" t="n">
        <f aca="false">IF(AND($P1819&gt;0,$O1819&gt;0),$P1819,0)</f>
        <v>0</v>
      </c>
      <c r="R1819" s="64" t="n">
        <f aca="false">IF(AND($Q1819&gt;0,$O1819&gt;=AtRank),$Q1819,0)</f>
        <v>0</v>
      </c>
      <c r="S1819" s="64" t="n">
        <f aca="false">IF(AND($Q1819&gt;0,$O1819&gt;=AboveRank),$Q1819,0)</f>
        <v>0</v>
      </c>
      <c r="T1819" s="64" t="n">
        <f aca="false">IF($K1819="Less",$P1819,0)</f>
        <v>0</v>
      </c>
      <c r="U1819" s="64" t="n">
        <f aca="false">IF($K1819="Expected",$P1819,0)</f>
        <v>0</v>
      </c>
      <c r="V1819" s="64" t="n">
        <f aca="false">IF($K1819="Better",$P1819,0)</f>
        <v>0</v>
      </c>
      <c r="W1819" s="64" t="n">
        <f aca="false">IF($K1819="U – needs rule",$P1819,0)</f>
        <v>0</v>
      </c>
      <c r="X1819" s="64" t="n">
        <f aca="false">IF($K1819="No Start (attainment only)",$P1819,0)</f>
        <v>0</v>
      </c>
    </row>
    <row r="1820" customFormat="false" ht="15" hidden="false" customHeight="false" outlineLevel="0" collapsed="false">
      <c r="A1820" s="60"/>
      <c r="B1820" s="61" t="str">
        <f aca="false">IF($M1820=0,"",INDEX(Classes!$E$6:$E$420,$M1820))</f>
        <v/>
      </c>
      <c r="C1820" s="62" t="str">
        <f aca="false">IF($M1820=0,"",INDEX(Classes!$H$6:$H$420,$M1820))</f>
        <v/>
      </c>
      <c r="D1820" s="61" t="str">
        <f aca="false">IF($M1820=0,"",INDEX(Classes!$B$6:$B$420,$M1820))</f>
        <v/>
      </c>
      <c r="E1820" s="61" t="str">
        <f aca="false">IF($M1820=0,"",INDEX(Classes!$C$6:$C$420,$M1820))</f>
        <v/>
      </c>
      <c r="F1820" s="63"/>
      <c r="G1820" s="63"/>
      <c r="H1820" s="60"/>
      <c r="I1820" s="60"/>
      <c r="J1820" s="63"/>
      <c r="K1820" s="61" t="str">
        <f aca="false">IF($P1820=0,"",IF($F1820="Baseline","— Baseline",IF($O1820=0,"No result",IF($N1820=0,"No Start (attainment only)",IF(OR($N1820=1,$O1820=1),"U – needs rule",INDEX(MxBody,MATCH($I1820,MxCurr,0),MATCH($H1820,MxStart,0)))))))</f>
        <v/>
      </c>
      <c r="L1820" s="62" t="str">
        <f aca="false">IF(COUNTA($A1820,$F1820,$G1820,$H1820,$I1820,$J1820)=0,"",IF($M1820=0,"✖ كود الصف غير موجود",IF(ISNA(MATCH($F1820,Lists!$A$2:$A$5,0)),"✖ الفترة غير صحيحة",IF(ISNA(MATCH($G1820,Lists!$B$2:$B$7,0)),"✖ المجموعة غير صحيحة",IF(NOT(OR($H1820="",$N1820&gt;0)),"✖ Start غير صحيح",IF(NOT(OR($I1820="",$I1820="NR",$O1820&gt;0)),"✖ Current غير صحيح",IF(NOT(IF(ISNUMBER($J1820),AND($J1820&gt;=0,$J1820=INT($J1820)),FALSE())),"✖ العدد يجب أن يكون صحيحًا ≥ 0",IF(AND($F1820="Baseline",$H1820&lt;&gt;""),"⚠ Baseline: Start لا يدخل في التقدم",IF($K1820="No Start (attainment only)","ℹ تحصيل فقط (بدون Start)",IF($K1820="U – needs rule","ℹ حالة U تحتاج قاعدة معتمدة",IF($K1820="No result","ℹ بدون نتيجة (يُستبعد من التحصيل)","OK")))))))))))</f>
        <v/>
      </c>
      <c r="M1820" s="64" t="n">
        <f aca="false">IF($A1820="",0,IFERROR(MATCH($A1820,Classes!$A$6:$A$420,0),0))</f>
        <v>0</v>
      </c>
      <c r="N1820" s="64" t="n">
        <f aca="false">IF($H1820="",0,IFERROR(MATCH($H1820,GradeList,0),0))</f>
        <v>0</v>
      </c>
      <c r="O1820" s="64" t="n">
        <f aca="false">IF(OR($I1820="",$I1820="NR"),0,IFERROR(MATCH($I1820,GradeList,0),0))</f>
        <v>0</v>
      </c>
      <c r="P1820" s="64" t="n">
        <f aca="false">IF(AND($M1820&gt;0,ISNUMBER(MATCH($F1820,Lists!$A$2:$A$5,0)),ISNUMBER(MATCH($G1820,Lists!$B$2:$B$7,0)),OR($H1820="",$N1820&gt;0),OR($I1820="",$I1820="NR",$O1820&gt;0),IF(ISNUMBER($J1820),AND($J1820&gt;=0,$J1820=INT($J1820)),FALSE())),$J1820,0)</f>
        <v>0</v>
      </c>
      <c r="Q1820" s="64" t="n">
        <f aca="false">IF(AND($P1820&gt;0,$O1820&gt;0),$P1820,0)</f>
        <v>0</v>
      </c>
      <c r="R1820" s="64" t="n">
        <f aca="false">IF(AND($Q1820&gt;0,$O1820&gt;=AtRank),$Q1820,0)</f>
        <v>0</v>
      </c>
      <c r="S1820" s="64" t="n">
        <f aca="false">IF(AND($Q1820&gt;0,$O1820&gt;=AboveRank),$Q1820,0)</f>
        <v>0</v>
      </c>
      <c r="T1820" s="64" t="n">
        <f aca="false">IF($K1820="Less",$P1820,0)</f>
        <v>0</v>
      </c>
      <c r="U1820" s="64" t="n">
        <f aca="false">IF($K1820="Expected",$P1820,0)</f>
        <v>0</v>
      </c>
      <c r="V1820" s="64" t="n">
        <f aca="false">IF($K1820="Better",$P1820,0)</f>
        <v>0</v>
      </c>
      <c r="W1820" s="64" t="n">
        <f aca="false">IF($K1820="U – needs rule",$P1820,0)</f>
        <v>0</v>
      </c>
      <c r="X1820" s="64" t="n">
        <f aca="false">IF($K1820="No Start (attainment only)",$P1820,0)</f>
        <v>0</v>
      </c>
    </row>
    <row r="1821" customFormat="false" ht="15" hidden="false" customHeight="false" outlineLevel="0" collapsed="false">
      <c r="A1821" s="60"/>
      <c r="B1821" s="61" t="str">
        <f aca="false">IF($M1821=0,"",INDEX(Classes!$E$6:$E$420,$M1821))</f>
        <v/>
      </c>
      <c r="C1821" s="62" t="str">
        <f aca="false">IF($M1821=0,"",INDEX(Classes!$H$6:$H$420,$M1821))</f>
        <v/>
      </c>
      <c r="D1821" s="61" t="str">
        <f aca="false">IF($M1821=0,"",INDEX(Classes!$B$6:$B$420,$M1821))</f>
        <v/>
      </c>
      <c r="E1821" s="61" t="str">
        <f aca="false">IF($M1821=0,"",INDEX(Classes!$C$6:$C$420,$M1821))</f>
        <v/>
      </c>
      <c r="F1821" s="63"/>
      <c r="G1821" s="63"/>
      <c r="H1821" s="60"/>
      <c r="I1821" s="60"/>
      <c r="J1821" s="63"/>
      <c r="K1821" s="61" t="str">
        <f aca="false">IF($P1821=0,"",IF($F1821="Baseline","— Baseline",IF($O1821=0,"No result",IF($N1821=0,"No Start (attainment only)",IF(OR($N1821=1,$O1821=1),"U – needs rule",INDEX(MxBody,MATCH($I1821,MxCurr,0),MATCH($H1821,MxStart,0)))))))</f>
        <v/>
      </c>
      <c r="L1821" s="62" t="str">
        <f aca="false">IF(COUNTA($A1821,$F1821,$G1821,$H1821,$I1821,$J1821)=0,"",IF($M1821=0,"✖ كود الصف غير موجود",IF(ISNA(MATCH($F1821,Lists!$A$2:$A$5,0)),"✖ الفترة غير صحيحة",IF(ISNA(MATCH($G1821,Lists!$B$2:$B$7,0)),"✖ المجموعة غير صحيحة",IF(NOT(OR($H1821="",$N1821&gt;0)),"✖ Start غير صحيح",IF(NOT(OR($I1821="",$I1821="NR",$O1821&gt;0)),"✖ Current غير صحيح",IF(NOT(IF(ISNUMBER($J1821),AND($J1821&gt;=0,$J1821=INT($J1821)),FALSE())),"✖ العدد يجب أن يكون صحيحًا ≥ 0",IF(AND($F1821="Baseline",$H1821&lt;&gt;""),"⚠ Baseline: Start لا يدخل في التقدم",IF($K1821="No Start (attainment only)","ℹ تحصيل فقط (بدون Start)",IF($K1821="U – needs rule","ℹ حالة U تحتاج قاعدة معتمدة",IF($K1821="No result","ℹ بدون نتيجة (يُستبعد من التحصيل)","OK")))))))))))</f>
        <v/>
      </c>
      <c r="M1821" s="64" t="n">
        <f aca="false">IF($A1821="",0,IFERROR(MATCH($A1821,Classes!$A$6:$A$420,0),0))</f>
        <v>0</v>
      </c>
      <c r="N1821" s="64" t="n">
        <f aca="false">IF($H1821="",0,IFERROR(MATCH($H1821,GradeList,0),0))</f>
        <v>0</v>
      </c>
      <c r="O1821" s="64" t="n">
        <f aca="false">IF(OR($I1821="",$I1821="NR"),0,IFERROR(MATCH($I1821,GradeList,0),0))</f>
        <v>0</v>
      </c>
      <c r="P1821" s="64" t="n">
        <f aca="false">IF(AND($M1821&gt;0,ISNUMBER(MATCH($F1821,Lists!$A$2:$A$5,0)),ISNUMBER(MATCH($G1821,Lists!$B$2:$B$7,0)),OR($H1821="",$N1821&gt;0),OR($I1821="",$I1821="NR",$O1821&gt;0),IF(ISNUMBER($J1821),AND($J1821&gt;=0,$J1821=INT($J1821)),FALSE())),$J1821,0)</f>
        <v>0</v>
      </c>
      <c r="Q1821" s="64" t="n">
        <f aca="false">IF(AND($P1821&gt;0,$O1821&gt;0),$P1821,0)</f>
        <v>0</v>
      </c>
      <c r="R1821" s="64" t="n">
        <f aca="false">IF(AND($Q1821&gt;0,$O1821&gt;=AtRank),$Q1821,0)</f>
        <v>0</v>
      </c>
      <c r="S1821" s="64" t="n">
        <f aca="false">IF(AND($Q1821&gt;0,$O1821&gt;=AboveRank),$Q1821,0)</f>
        <v>0</v>
      </c>
      <c r="T1821" s="64" t="n">
        <f aca="false">IF($K1821="Less",$P1821,0)</f>
        <v>0</v>
      </c>
      <c r="U1821" s="64" t="n">
        <f aca="false">IF($K1821="Expected",$P1821,0)</f>
        <v>0</v>
      </c>
      <c r="V1821" s="64" t="n">
        <f aca="false">IF($K1821="Better",$P1821,0)</f>
        <v>0</v>
      </c>
      <c r="W1821" s="64" t="n">
        <f aca="false">IF($K1821="U – needs rule",$P1821,0)</f>
        <v>0</v>
      </c>
      <c r="X1821" s="64" t="n">
        <f aca="false">IF($K1821="No Start (attainment only)",$P1821,0)</f>
        <v>0</v>
      </c>
    </row>
    <row r="1822" customFormat="false" ht="15" hidden="false" customHeight="false" outlineLevel="0" collapsed="false">
      <c r="A1822" s="60"/>
      <c r="B1822" s="61" t="str">
        <f aca="false">IF($M1822=0,"",INDEX(Classes!$E$6:$E$420,$M1822))</f>
        <v/>
      </c>
      <c r="C1822" s="62" t="str">
        <f aca="false">IF($M1822=0,"",INDEX(Classes!$H$6:$H$420,$M1822))</f>
        <v/>
      </c>
      <c r="D1822" s="61" t="str">
        <f aca="false">IF($M1822=0,"",INDEX(Classes!$B$6:$B$420,$M1822))</f>
        <v/>
      </c>
      <c r="E1822" s="61" t="str">
        <f aca="false">IF($M1822=0,"",INDEX(Classes!$C$6:$C$420,$M1822))</f>
        <v/>
      </c>
      <c r="F1822" s="63"/>
      <c r="G1822" s="63"/>
      <c r="H1822" s="60"/>
      <c r="I1822" s="60"/>
      <c r="J1822" s="63"/>
      <c r="K1822" s="61" t="str">
        <f aca="false">IF($P1822=0,"",IF($F1822="Baseline","— Baseline",IF($O1822=0,"No result",IF($N1822=0,"No Start (attainment only)",IF(OR($N1822=1,$O1822=1),"U – needs rule",INDEX(MxBody,MATCH($I1822,MxCurr,0),MATCH($H1822,MxStart,0)))))))</f>
        <v/>
      </c>
      <c r="L1822" s="62" t="str">
        <f aca="false">IF(COUNTA($A1822,$F1822,$G1822,$H1822,$I1822,$J1822)=0,"",IF($M1822=0,"✖ كود الصف غير موجود",IF(ISNA(MATCH($F1822,Lists!$A$2:$A$5,0)),"✖ الفترة غير صحيحة",IF(ISNA(MATCH($G1822,Lists!$B$2:$B$7,0)),"✖ المجموعة غير صحيحة",IF(NOT(OR($H1822="",$N1822&gt;0)),"✖ Start غير صحيح",IF(NOT(OR($I1822="",$I1822="NR",$O1822&gt;0)),"✖ Current غير صحيح",IF(NOT(IF(ISNUMBER($J1822),AND($J1822&gt;=0,$J1822=INT($J1822)),FALSE())),"✖ العدد يجب أن يكون صحيحًا ≥ 0",IF(AND($F1822="Baseline",$H1822&lt;&gt;""),"⚠ Baseline: Start لا يدخل في التقدم",IF($K1822="No Start (attainment only)","ℹ تحصيل فقط (بدون Start)",IF($K1822="U – needs rule","ℹ حالة U تحتاج قاعدة معتمدة",IF($K1822="No result","ℹ بدون نتيجة (يُستبعد من التحصيل)","OK")))))))))))</f>
        <v/>
      </c>
      <c r="M1822" s="64" t="n">
        <f aca="false">IF($A1822="",0,IFERROR(MATCH($A1822,Classes!$A$6:$A$420,0),0))</f>
        <v>0</v>
      </c>
      <c r="N1822" s="64" t="n">
        <f aca="false">IF($H1822="",0,IFERROR(MATCH($H1822,GradeList,0),0))</f>
        <v>0</v>
      </c>
      <c r="O1822" s="64" t="n">
        <f aca="false">IF(OR($I1822="",$I1822="NR"),0,IFERROR(MATCH($I1822,GradeList,0),0))</f>
        <v>0</v>
      </c>
      <c r="P1822" s="64" t="n">
        <f aca="false">IF(AND($M1822&gt;0,ISNUMBER(MATCH($F1822,Lists!$A$2:$A$5,0)),ISNUMBER(MATCH($G1822,Lists!$B$2:$B$7,0)),OR($H1822="",$N1822&gt;0),OR($I1822="",$I1822="NR",$O1822&gt;0),IF(ISNUMBER($J1822),AND($J1822&gt;=0,$J1822=INT($J1822)),FALSE())),$J1822,0)</f>
        <v>0</v>
      </c>
      <c r="Q1822" s="64" t="n">
        <f aca="false">IF(AND($P1822&gt;0,$O1822&gt;0),$P1822,0)</f>
        <v>0</v>
      </c>
      <c r="R1822" s="64" t="n">
        <f aca="false">IF(AND($Q1822&gt;0,$O1822&gt;=AtRank),$Q1822,0)</f>
        <v>0</v>
      </c>
      <c r="S1822" s="64" t="n">
        <f aca="false">IF(AND($Q1822&gt;0,$O1822&gt;=AboveRank),$Q1822,0)</f>
        <v>0</v>
      </c>
      <c r="T1822" s="64" t="n">
        <f aca="false">IF($K1822="Less",$P1822,0)</f>
        <v>0</v>
      </c>
      <c r="U1822" s="64" t="n">
        <f aca="false">IF($K1822="Expected",$P1822,0)</f>
        <v>0</v>
      </c>
      <c r="V1822" s="64" t="n">
        <f aca="false">IF($K1822="Better",$P1822,0)</f>
        <v>0</v>
      </c>
      <c r="W1822" s="64" t="n">
        <f aca="false">IF($K1822="U – needs rule",$P1822,0)</f>
        <v>0</v>
      </c>
      <c r="X1822" s="64" t="n">
        <f aca="false">IF($K1822="No Start (attainment only)",$P1822,0)</f>
        <v>0</v>
      </c>
    </row>
    <row r="1823" customFormat="false" ht="15" hidden="false" customHeight="false" outlineLevel="0" collapsed="false">
      <c r="A1823" s="60"/>
      <c r="B1823" s="61" t="str">
        <f aca="false">IF($M1823=0,"",INDEX(Classes!$E$6:$E$420,$M1823))</f>
        <v/>
      </c>
      <c r="C1823" s="62" t="str">
        <f aca="false">IF($M1823=0,"",INDEX(Classes!$H$6:$H$420,$M1823))</f>
        <v/>
      </c>
      <c r="D1823" s="61" t="str">
        <f aca="false">IF($M1823=0,"",INDEX(Classes!$B$6:$B$420,$M1823))</f>
        <v/>
      </c>
      <c r="E1823" s="61" t="str">
        <f aca="false">IF($M1823=0,"",INDEX(Classes!$C$6:$C$420,$M1823))</f>
        <v/>
      </c>
      <c r="F1823" s="63"/>
      <c r="G1823" s="63"/>
      <c r="H1823" s="60"/>
      <c r="I1823" s="60"/>
      <c r="J1823" s="63"/>
      <c r="K1823" s="61" t="str">
        <f aca="false">IF($P1823=0,"",IF($F1823="Baseline","— Baseline",IF($O1823=0,"No result",IF($N1823=0,"No Start (attainment only)",IF(OR($N1823=1,$O1823=1),"U – needs rule",INDEX(MxBody,MATCH($I1823,MxCurr,0),MATCH($H1823,MxStart,0)))))))</f>
        <v/>
      </c>
      <c r="L1823" s="62" t="str">
        <f aca="false">IF(COUNTA($A1823,$F1823,$G1823,$H1823,$I1823,$J1823)=0,"",IF($M1823=0,"✖ كود الصف غير موجود",IF(ISNA(MATCH($F1823,Lists!$A$2:$A$5,0)),"✖ الفترة غير صحيحة",IF(ISNA(MATCH($G1823,Lists!$B$2:$B$7,0)),"✖ المجموعة غير صحيحة",IF(NOT(OR($H1823="",$N1823&gt;0)),"✖ Start غير صحيح",IF(NOT(OR($I1823="",$I1823="NR",$O1823&gt;0)),"✖ Current غير صحيح",IF(NOT(IF(ISNUMBER($J1823),AND($J1823&gt;=0,$J1823=INT($J1823)),FALSE())),"✖ العدد يجب أن يكون صحيحًا ≥ 0",IF(AND($F1823="Baseline",$H1823&lt;&gt;""),"⚠ Baseline: Start لا يدخل في التقدم",IF($K1823="No Start (attainment only)","ℹ تحصيل فقط (بدون Start)",IF($K1823="U – needs rule","ℹ حالة U تحتاج قاعدة معتمدة",IF($K1823="No result","ℹ بدون نتيجة (يُستبعد من التحصيل)","OK")))))))))))</f>
        <v/>
      </c>
      <c r="M1823" s="64" t="n">
        <f aca="false">IF($A1823="",0,IFERROR(MATCH($A1823,Classes!$A$6:$A$420,0),0))</f>
        <v>0</v>
      </c>
      <c r="N1823" s="64" t="n">
        <f aca="false">IF($H1823="",0,IFERROR(MATCH($H1823,GradeList,0),0))</f>
        <v>0</v>
      </c>
      <c r="O1823" s="64" t="n">
        <f aca="false">IF(OR($I1823="",$I1823="NR"),0,IFERROR(MATCH($I1823,GradeList,0),0))</f>
        <v>0</v>
      </c>
      <c r="P1823" s="64" t="n">
        <f aca="false">IF(AND($M1823&gt;0,ISNUMBER(MATCH($F1823,Lists!$A$2:$A$5,0)),ISNUMBER(MATCH($G1823,Lists!$B$2:$B$7,0)),OR($H1823="",$N1823&gt;0),OR($I1823="",$I1823="NR",$O1823&gt;0),IF(ISNUMBER($J1823),AND($J1823&gt;=0,$J1823=INT($J1823)),FALSE())),$J1823,0)</f>
        <v>0</v>
      </c>
      <c r="Q1823" s="64" t="n">
        <f aca="false">IF(AND($P1823&gt;0,$O1823&gt;0),$P1823,0)</f>
        <v>0</v>
      </c>
      <c r="R1823" s="64" t="n">
        <f aca="false">IF(AND($Q1823&gt;0,$O1823&gt;=AtRank),$Q1823,0)</f>
        <v>0</v>
      </c>
      <c r="S1823" s="64" t="n">
        <f aca="false">IF(AND($Q1823&gt;0,$O1823&gt;=AboveRank),$Q1823,0)</f>
        <v>0</v>
      </c>
      <c r="T1823" s="64" t="n">
        <f aca="false">IF($K1823="Less",$P1823,0)</f>
        <v>0</v>
      </c>
      <c r="U1823" s="64" t="n">
        <f aca="false">IF($K1823="Expected",$P1823,0)</f>
        <v>0</v>
      </c>
      <c r="V1823" s="64" t="n">
        <f aca="false">IF($K1823="Better",$P1823,0)</f>
        <v>0</v>
      </c>
      <c r="W1823" s="64" t="n">
        <f aca="false">IF($K1823="U – needs rule",$P1823,0)</f>
        <v>0</v>
      </c>
      <c r="X1823" s="64" t="n">
        <f aca="false">IF($K1823="No Start (attainment only)",$P1823,0)</f>
        <v>0</v>
      </c>
    </row>
    <row r="1824" customFormat="false" ht="15" hidden="false" customHeight="false" outlineLevel="0" collapsed="false">
      <c r="A1824" s="60"/>
      <c r="B1824" s="61" t="str">
        <f aca="false">IF($M1824=0,"",INDEX(Classes!$E$6:$E$420,$M1824))</f>
        <v/>
      </c>
      <c r="C1824" s="62" t="str">
        <f aca="false">IF($M1824=0,"",INDEX(Classes!$H$6:$H$420,$M1824))</f>
        <v/>
      </c>
      <c r="D1824" s="61" t="str">
        <f aca="false">IF($M1824=0,"",INDEX(Classes!$B$6:$B$420,$M1824))</f>
        <v/>
      </c>
      <c r="E1824" s="61" t="str">
        <f aca="false">IF($M1824=0,"",INDEX(Classes!$C$6:$C$420,$M1824))</f>
        <v/>
      </c>
      <c r="F1824" s="63"/>
      <c r="G1824" s="63"/>
      <c r="H1824" s="60"/>
      <c r="I1824" s="60"/>
      <c r="J1824" s="63"/>
      <c r="K1824" s="61" t="str">
        <f aca="false">IF($P1824=0,"",IF($F1824="Baseline","— Baseline",IF($O1824=0,"No result",IF($N1824=0,"No Start (attainment only)",IF(OR($N1824=1,$O1824=1),"U – needs rule",INDEX(MxBody,MATCH($I1824,MxCurr,0),MATCH($H1824,MxStart,0)))))))</f>
        <v/>
      </c>
      <c r="L1824" s="62" t="str">
        <f aca="false">IF(COUNTA($A1824,$F1824,$G1824,$H1824,$I1824,$J1824)=0,"",IF($M1824=0,"✖ كود الصف غير موجود",IF(ISNA(MATCH($F1824,Lists!$A$2:$A$5,0)),"✖ الفترة غير صحيحة",IF(ISNA(MATCH($G1824,Lists!$B$2:$B$7,0)),"✖ المجموعة غير صحيحة",IF(NOT(OR($H1824="",$N1824&gt;0)),"✖ Start غير صحيح",IF(NOT(OR($I1824="",$I1824="NR",$O1824&gt;0)),"✖ Current غير صحيح",IF(NOT(IF(ISNUMBER($J1824),AND($J1824&gt;=0,$J1824=INT($J1824)),FALSE())),"✖ العدد يجب أن يكون صحيحًا ≥ 0",IF(AND($F1824="Baseline",$H1824&lt;&gt;""),"⚠ Baseline: Start لا يدخل في التقدم",IF($K1824="No Start (attainment only)","ℹ تحصيل فقط (بدون Start)",IF($K1824="U – needs rule","ℹ حالة U تحتاج قاعدة معتمدة",IF($K1824="No result","ℹ بدون نتيجة (يُستبعد من التحصيل)","OK")))))))))))</f>
        <v/>
      </c>
      <c r="M1824" s="64" t="n">
        <f aca="false">IF($A1824="",0,IFERROR(MATCH($A1824,Classes!$A$6:$A$420,0),0))</f>
        <v>0</v>
      </c>
      <c r="N1824" s="64" t="n">
        <f aca="false">IF($H1824="",0,IFERROR(MATCH($H1824,GradeList,0),0))</f>
        <v>0</v>
      </c>
      <c r="O1824" s="64" t="n">
        <f aca="false">IF(OR($I1824="",$I1824="NR"),0,IFERROR(MATCH($I1824,GradeList,0),0))</f>
        <v>0</v>
      </c>
      <c r="P1824" s="64" t="n">
        <f aca="false">IF(AND($M1824&gt;0,ISNUMBER(MATCH($F1824,Lists!$A$2:$A$5,0)),ISNUMBER(MATCH($G1824,Lists!$B$2:$B$7,0)),OR($H1824="",$N1824&gt;0),OR($I1824="",$I1824="NR",$O1824&gt;0),IF(ISNUMBER($J1824),AND($J1824&gt;=0,$J1824=INT($J1824)),FALSE())),$J1824,0)</f>
        <v>0</v>
      </c>
      <c r="Q1824" s="64" t="n">
        <f aca="false">IF(AND($P1824&gt;0,$O1824&gt;0),$P1824,0)</f>
        <v>0</v>
      </c>
      <c r="R1824" s="64" t="n">
        <f aca="false">IF(AND($Q1824&gt;0,$O1824&gt;=AtRank),$Q1824,0)</f>
        <v>0</v>
      </c>
      <c r="S1824" s="64" t="n">
        <f aca="false">IF(AND($Q1824&gt;0,$O1824&gt;=AboveRank),$Q1824,0)</f>
        <v>0</v>
      </c>
      <c r="T1824" s="64" t="n">
        <f aca="false">IF($K1824="Less",$P1824,0)</f>
        <v>0</v>
      </c>
      <c r="U1824" s="64" t="n">
        <f aca="false">IF($K1824="Expected",$P1824,0)</f>
        <v>0</v>
      </c>
      <c r="V1824" s="64" t="n">
        <f aca="false">IF($K1824="Better",$P1824,0)</f>
        <v>0</v>
      </c>
      <c r="W1824" s="64" t="n">
        <f aca="false">IF($K1824="U – needs rule",$P1824,0)</f>
        <v>0</v>
      </c>
      <c r="X1824" s="64" t="n">
        <f aca="false">IF($K1824="No Start (attainment only)",$P1824,0)</f>
        <v>0</v>
      </c>
    </row>
    <row r="1825" customFormat="false" ht="15" hidden="false" customHeight="false" outlineLevel="0" collapsed="false">
      <c r="A1825" s="60"/>
      <c r="B1825" s="61" t="str">
        <f aca="false">IF($M1825=0,"",INDEX(Classes!$E$6:$E$420,$M1825))</f>
        <v/>
      </c>
      <c r="C1825" s="62" t="str">
        <f aca="false">IF($M1825=0,"",INDEX(Classes!$H$6:$H$420,$M1825))</f>
        <v/>
      </c>
      <c r="D1825" s="61" t="str">
        <f aca="false">IF($M1825=0,"",INDEX(Classes!$B$6:$B$420,$M1825))</f>
        <v/>
      </c>
      <c r="E1825" s="61" t="str">
        <f aca="false">IF($M1825=0,"",INDEX(Classes!$C$6:$C$420,$M1825))</f>
        <v/>
      </c>
      <c r="F1825" s="63"/>
      <c r="G1825" s="63"/>
      <c r="H1825" s="60"/>
      <c r="I1825" s="60"/>
      <c r="J1825" s="63"/>
      <c r="K1825" s="61" t="str">
        <f aca="false">IF($P1825=0,"",IF($F1825="Baseline","— Baseline",IF($O1825=0,"No result",IF($N1825=0,"No Start (attainment only)",IF(OR($N1825=1,$O1825=1),"U – needs rule",INDEX(MxBody,MATCH($I1825,MxCurr,0),MATCH($H1825,MxStart,0)))))))</f>
        <v/>
      </c>
      <c r="L1825" s="62" t="str">
        <f aca="false">IF(COUNTA($A1825,$F1825,$G1825,$H1825,$I1825,$J1825)=0,"",IF($M1825=0,"✖ كود الصف غير موجود",IF(ISNA(MATCH($F1825,Lists!$A$2:$A$5,0)),"✖ الفترة غير صحيحة",IF(ISNA(MATCH($G1825,Lists!$B$2:$B$7,0)),"✖ المجموعة غير صحيحة",IF(NOT(OR($H1825="",$N1825&gt;0)),"✖ Start غير صحيح",IF(NOT(OR($I1825="",$I1825="NR",$O1825&gt;0)),"✖ Current غير صحيح",IF(NOT(IF(ISNUMBER($J1825),AND($J1825&gt;=0,$J1825=INT($J1825)),FALSE())),"✖ العدد يجب أن يكون صحيحًا ≥ 0",IF(AND($F1825="Baseline",$H1825&lt;&gt;""),"⚠ Baseline: Start لا يدخل في التقدم",IF($K1825="No Start (attainment only)","ℹ تحصيل فقط (بدون Start)",IF($K1825="U – needs rule","ℹ حالة U تحتاج قاعدة معتمدة",IF($K1825="No result","ℹ بدون نتيجة (يُستبعد من التحصيل)","OK")))))))))))</f>
        <v/>
      </c>
      <c r="M1825" s="64" t="n">
        <f aca="false">IF($A1825="",0,IFERROR(MATCH($A1825,Classes!$A$6:$A$420,0),0))</f>
        <v>0</v>
      </c>
      <c r="N1825" s="64" t="n">
        <f aca="false">IF($H1825="",0,IFERROR(MATCH($H1825,GradeList,0),0))</f>
        <v>0</v>
      </c>
      <c r="O1825" s="64" t="n">
        <f aca="false">IF(OR($I1825="",$I1825="NR"),0,IFERROR(MATCH($I1825,GradeList,0),0))</f>
        <v>0</v>
      </c>
      <c r="P1825" s="64" t="n">
        <f aca="false">IF(AND($M1825&gt;0,ISNUMBER(MATCH($F1825,Lists!$A$2:$A$5,0)),ISNUMBER(MATCH($G1825,Lists!$B$2:$B$7,0)),OR($H1825="",$N1825&gt;0),OR($I1825="",$I1825="NR",$O1825&gt;0),IF(ISNUMBER($J1825),AND($J1825&gt;=0,$J1825=INT($J1825)),FALSE())),$J1825,0)</f>
        <v>0</v>
      </c>
      <c r="Q1825" s="64" t="n">
        <f aca="false">IF(AND($P1825&gt;0,$O1825&gt;0),$P1825,0)</f>
        <v>0</v>
      </c>
      <c r="R1825" s="64" t="n">
        <f aca="false">IF(AND($Q1825&gt;0,$O1825&gt;=AtRank),$Q1825,0)</f>
        <v>0</v>
      </c>
      <c r="S1825" s="64" t="n">
        <f aca="false">IF(AND($Q1825&gt;0,$O1825&gt;=AboveRank),$Q1825,0)</f>
        <v>0</v>
      </c>
      <c r="T1825" s="64" t="n">
        <f aca="false">IF($K1825="Less",$P1825,0)</f>
        <v>0</v>
      </c>
      <c r="U1825" s="64" t="n">
        <f aca="false">IF($K1825="Expected",$P1825,0)</f>
        <v>0</v>
      </c>
      <c r="V1825" s="64" t="n">
        <f aca="false">IF($K1825="Better",$P1825,0)</f>
        <v>0</v>
      </c>
      <c r="W1825" s="64" t="n">
        <f aca="false">IF($K1825="U – needs rule",$P1825,0)</f>
        <v>0</v>
      </c>
      <c r="X1825" s="64" t="n">
        <f aca="false">IF($K1825="No Start (attainment only)",$P1825,0)</f>
        <v>0</v>
      </c>
    </row>
    <row r="1826" customFormat="false" ht="15" hidden="false" customHeight="false" outlineLevel="0" collapsed="false">
      <c r="A1826" s="60"/>
      <c r="B1826" s="61" t="str">
        <f aca="false">IF($M1826=0,"",INDEX(Classes!$E$6:$E$420,$M1826))</f>
        <v/>
      </c>
      <c r="C1826" s="62" t="str">
        <f aca="false">IF($M1826=0,"",INDEX(Classes!$H$6:$H$420,$M1826))</f>
        <v/>
      </c>
      <c r="D1826" s="61" t="str">
        <f aca="false">IF($M1826=0,"",INDEX(Classes!$B$6:$B$420,$M1826))</f>
        <v/>
      </c>
      <c r="E1826" s="61" t="str">
        <f aca="false">IF($M1826=0,"",INDEX(Classes!$C$6:$C$420,$M1826))</f>
        <v/>
      </c>
      <c r="F1826" s="63"/>
      <c r="G1826" s="63"/>
      <c r="H1826" s="60"/>
      <c r="I1826" s="60"/>
      <c r="J1826" s="63"/>
      <c r="K1826" s="61" t="str">
        <f aca="false">IF($P1826=0,"",IF($F1826="Baseline","— Baseline",IF($O1826=0,"No result",IF($N1826=0,"No Start (attainment only)",IF(OR($N1826=1,$O1826=1),"U – needs rule",INDEX(MxBody,MATCH($I1826,MxCurr,0),MATCH($H1826,MxStart,0)))))))</f>
        <v/>
      </c>
      <c r="L1826" s="62" t="str">
        <f aca="false">IF(COUNTA($A1826,$F1826,$G1826,$H1826,$I1826,$J1826)=0,"",IF($M1826=0,"✖ كود الصف غير موجود",IF(ISNA(MATCH($F1826,Lists!$A$2:$A$5,0)),"✖ الفترة غير صحيحة",IF(ISNA(MATCH($G1826,Lists!$B$2:$B$7,0)),"✖ المجموعة غير صحيحة",IF(NOT(OR($H1826="",$N1826&gt;0)),"✖ Start غير صحيح",IF(NOT(OR($I1826="",$I1826="NR",$O1826&gt;0)),"✖ Current غير صحيح",IF(NOT(IF(ISNUMBER($J1826),AND($J1826&gt;=0,$J1826=INT($J1826)),FALSE())),"✖ العدد يجب أن يكون صحيحًا ≥ 0",IF(AND($F1826="Baseline",$H1826&lt;&gt;""),"⚠ Baseline: Start لا يدخل في التقدم",IF($K1826="No Start (attainment only)","ℹ تحصيل فقط (بدون Start)",IF($K1826="U – needs rule","ℹ حالة U تحتاج قاعدة معتمدة",IF($K1826="No result","ℹ بدون نتيجة (يُستبعد من التحصيل)","OK")))))))))))</f>
        <v/>
      </c>
      <c r="M1826" s="64" t="n">
        <f aca="false">IF($A1826="",0,IFERROR(MATCH($A1826,Classes!$A$6:$A$420,0),0))</f>
        <v>0</v>
      </c>
      <c r="N1826" s="64" t="n">
        <f aca="false">IF($H1826="",0,IFERROR(MATCH($H1826,GradeList,0),0))</f>
        <v>0</v>
      </c>
      <c r="O1826" s="64" t="n">
        <f aca="false">IF(OR($I1826="",$I1826="NR"),0,IFERROR(MATCH($I1826,GradeList,0),0))</f>
        <v>0</v>
      </c>
      <c r="P1826" s="64" t="n">
        <f aca="false">IF(AND($M1826&gt;0,ISNUMBER(MATCH($F1826,Lists!$A$2:$A$5,0)),ISNUMBER(MATCH($G1826,Lists!$B$2:$B$7,0)),OR($H1826="",$N1826&gt;0),OR($I1826="",$I1826="NR",$O1826&gt;0),IF(ISNUMBER($J1826),AND($J1826&gt;=0,$J1826=INT($J1826)),FALSE())),$J1826,0)</f>
        <v>0</v>
      </c>
      <c r="Q1826" s="64" t="n">
        <f aca="false">IF(AND($P1826&gt;0,$O1826&gt;0),$P1826,0)</f>
        <v>0</v>
      </c>
      <c r="R1826" s="64" t="n">
        <f aca="false">IF(AND($Q1826&gt;0,$O1826&gt;=AtRank),$Q1826,0)</f>
        <v>0</v>
      </c>
      <c r="S1826" s="64" t="n">
        <f aca="false">IF(AND($Q1826&gt;0,$O1826&gt;=AboveRank),$Q1826,0)</f>
        <v>0</v>
      </c>
      <c r="T1826" s="64" t="n">
        <f aca="false">IF($K1826="Less",$P1826,0)</f>
        <v>0</v>
      </c>
      <c r="U1826" s="64" t="n">
        <f aca="false">IF($K1826="Expected",$P1826,0)</f>
        <v>0</v>
      </c>
      <c r="V1826" s="64" t="n">
        <f aca="false">IF($K1826="Better",$P1826,0)</f>
        <v>0</v>
      </c>
      <c r="W1826" s="64" t="n">
        <f aca="false">IF($K1826="U – needs rule",$P1826,0)</f>
        <v>0</v>
      </c>
      <c r="X1826" s="64" t="n">
        <f aca="false">IF($K1826="No Start (attainment only)",$P1826,0)</f>
        <v>0</v>
      </c>
    </row>
    <row r="1827" customFormat="false" ht="15" hidden="false" customHeight="false" outlineLevel="0" collapsed="false">
      <c r="A1827" s="60"/>
      <c r="B1827" s="61" t="str">
        <f aca="false">IF($M1827=0,"",INDEX(Classes!$E$6:$E$420,$M1827))</f>
        <v/>
      </c>
      <c r="C1827" s="62" t="str">
        <f aca="false">IF($M1827=0,"",INDEX(Classes!$H$6:$H$420,$M1827))</f>
        <v/>
      </c>
      <c r="D1827" s="61" t="str">
        <f aca="false">IF($M1827=0,"",INDEX(Classes!$B$6:$B$420,$M1827))</f>
        <v/>
      </c>
      <c r="E1827" s="61" t="str">
        <f aca="false">IF($M1827=0,"",INDEX(Classes!$C$6:$C$420,$M1827))</f>
        <v/>
      </c>
      <c r="F1827" s="63"/>
      <c r="G1827" s="63"/>
      <c r="H1827" s="60"/>
      <c r="I1827" s="60"/>
      <c r="J1827" s="63"/>
      <c r="K1827" s="61" t="str">
        <f aca="false">IF($P1827=0,"",IF($F1827="Baseline","— Baseline",IF($O1827=0,"No result",IF($N1827=0,"No Start (attainment only)",IF(OR($N1827=1,$O1827=1),"U – needs rule",INDEX(MxBody,MATCH($I1827,MxCurr,0),MATCH($H1827,MxStart,0)))))))</f>
        <v/>
      </c>
      <c r="L1827" s="62" t="str">
        <f aca="false">IF(COUNTA($A1827,$F1827,$G1827,$H1827,$I1827,$J1827)=0,"",IF($M1827=0,"✖ كود الصف غير موجود",IF(ISNA(MATCH($F1827,Lists!$A$2:$A$5,0)),"✖ الفترة غير صحيحة",IF(ISNA(MATCH($G1827,Lists!$B$2:$B$7,0)),"✖ المجموعة غير صحيحة",IF(NOT(OR($H1827="",$N1827&gt;0)),"✖ Start غير صحيح",IF(NOT(OR($I1827="",$I1827="NR",$O1827&gt;0)),"✖ Current غير صحيح",IF(NOT(IF(ISNUMBER($J1827),AND($J1827&gt;=0,$J1827=INT($J1827)),FALSE())),"✖ العدد يجب أن يكون صحيحًا ≥ 0",IF(AND($F1827="Baseline",$H1827&lt;&gt;""),"⚠ Baseline: Start لا يدخل في التقدم",IF($K1827="No Start (attainment only)","ℹ تحصيل فقط (بدون Start)",IF($K1827="U – needs rule","ℹ حالة U تحتاج قاعدة معتمدة",IF($K1827="No result","ℹ بدون نتيجة (يُستبعد من التحصيل)","OK")))))))))))</f>
        <v/>
      </c>
      <c r="M1827" s="64" t="n">
        <f aca="false">IF($A1827="",0,IFERROR(MATCH($A1827,Classes!$A$6:$A$420,0),0))</f>
        <v>0</v>
      </c>
      <c r="N1827" s="64" t="n">
        <f aca="false">IF($H1827="",0,IFERROR(MATCH($H1827,GradeList,0),0))</f>
        <v>0</v>
      </c>
      <c r="O1827" s="64" t="n">
        <f aca="false">IF(OR($I1827="",$I1827="NR"),0,IFERROR(MATCH($I1827,GradeList,0),0))</f>
        <v>0</v>
      </c>
      <c r="P1827" s="64" t="n">
        <f aca="false">IF(AND($M1827&gt;0,ISNUMBER(MATCH($F1827,Lists!$A$2:$A$5,0)),ISNUMBER(MATCH($G1827,Lists!$B$2:$B$7,0)),OR($H1827="",$N1827&gt;0),OR($I1827="",$I1827="NR",$O1827&gt;0),IF(ISNUMBER($J1827),AND($J1827&gt;=0,$J1827=INT($J1827)),FALSE())),$J1827,0)</f>
        <v>0</v>
      </c>
      <c r="Q1827" s="64" t="n">
        <f aca="false">IF(AND($P1827&gt;0,$O1827&gt;0),$P1827,0)</f>
        <v>0</v>
      </c>
      <c r="R1827" s="64" t="n">
        <f aca="false">IF(AND($Q1827&gt;0,$O1827&gt;=AtRank),$Q1827,0)</f>
        <v>0</v>
      </c>
      <c r="S1827" s="64" t="n">
        <f aca="false">IF(AND($Q1827&gt;0,$O1827&gt;=AboveRank),$Q1827,0)</f>
        <v>0</v>
      </c>
      <c r="T1827" s="64" t="n">
        <f aca="false">IF($K1827="Less",$P1827,0)</f>
        <v>0</v>
      </c>
      <c r="U1827" s="64" t="n">
        <f aca="false">IF($K1827="Expected",$P1827,0)</f>
        <v>0</v>
      </c>
      <c r="V1827" s="64" t="n">
        <f aca="false">IF($K1827="Better",$P1827,0)</f>
        <v>0</v>
      </c>
      <c r="W1827" s="64" t="n">
        <f aca="false">IF($K1827="U – needs rule",$P1827,0)</f>
        <v>0</v>
      </c>
      <c r="X1827" s="64" t="n">
        <f aca="false">IF($K1827="No Start (attainment only)",$P1827,0)</f>
        <v>0</v>
      </c>
    </row>
    <row r="1828" customFormat="false" ht="15" hidden="false" customHeight="false" outlineLevel="0" collapsed="false">
      <c r="A1828" s="60"/>
      <c r="B1828" s="61" t="str">
        <f aca="false">IF($M1828=0,"",INDEX(Classes!$E$6:$E$420,$M1828))</f>
        <v/>
      </c>
      <c r="C1828" s="62" t="str">
        <f aca="false">IF($M1828=0,"",INDEX(Classes!$H$6:$H$420,$M1828))</f>
        <v/>
      </c>
      <c r="D1828" s="61" t="str">
        <f aca="false">IF($M1828=0,"",INDEX(Classes!$B$6:$B$420,$M1828))</f>
        <v/>
      </c>
      <c r="E1828" s="61" t="str">
        <f aca="false">IF($M1828=0,"",INDEX(Classes!$C$6:$C$420,$M1828))</f>
        <v/>
      </c>
      <c r="F1828" s="63"/>
      <c r="G1828" s="63"/>
      <c r="H1828" s="60"/>
      <c r="I1828" s="60"/>
      <c r="J1828" s="63"/>
      <c r="K1828" s="61" t="str">
        <f aca="false">IF($P1828=0,"",IF($F1828="Baseline","— Baseline",IF($O1828=0,"No result",IF($N1828=0,"No Start (attainment only)",IF(OR($N1828=1,$O1828=1),"U – needs rule",INDEX(MxBody,MATCH($I1828,MxCurr,0),MATCH($H1828,MxStart,0)))))))</f>
        <v/>
      </c>
      <c r="L1828" s="62" t="str">
        <f aca="false">IF(COUNTA($A1828,$F1828,$G1828,$H1828,$I1828,$J1828)=0,"",IF($M1828=0,"✖ كود الصف غير موجود",IF(ISNA(MATCH($F1828,Lists!$A$2:$A$5,0)),"✖ الفترة غير صحيحة",IF(ISNA(MATCH($G1828,Lists!$B$2:$B$7,0)),"✖ المجموعة غير صحيحة",IF(NOT(OR($H1828="",$N1828&gt;0)),"✖ Start غير صحيح",IF(NOT(OR($I1828="",$I1828="NR",$O1828&gt;0)),"✖ Current غير صحيح",IF(NOT(IF(ISNUMBER($J1828),AND($J1828&gt;=0,$J1828=INT($J1828)),FALSE())),"✖ العدد يجب أن يكون صحيحًا ≥ 0",IF(AND($F1828="Baseline",$H1828&lt;&gt;""),"⚠ Baseline: Start لا يدخل في التقدم",IF($K1828="No Start (attainment only)","ℹ تحصيل فقط (بدون Start)",IF($K1828="U – needs rule","ℹ حالة U تحتاج قاعدة معتمدة",IF($K1828="No result","ℹ بدون نتيجة (يُستبعد من التحصيل)","OK")))))))))))</f>
        <v/>
      </c>
      <c r="M1828" s="64" t="n">
        <f aca="false">IF($A1828="",0,IFERROR(MATCH($A1828,Classes!$A$6:$A$420,0),0))</f>
        <v>0</v>
      </c>
      <c r="N1828" s="64" t="n">
        <f aca="false">IF($H1828="",0,IFERROR(MATCH($H1828,GradeList,0),0))</f>
        <v>0</v>
      </c>
      <c r="O1828" s="64" t="n">
        <f aca="false">IF(OR($I1828="",$I1828="NR"),0,IFERROR(MATCH($I1828,GradeList,0),0))</f>
        <v>0</v>
      </c>
      <c r="P1828" s="64" t="n">
        <f aca="false">IF(AND($M1828&gt;0,ISNUMBER(MATCH($F1828,Lists!$A$2:$A$5,0)),ISNUMBER(MATCH($G1828,Lists!$B$2:$B$7,0)),OR($H1828="",$N1828&gt;0),OR($I1828="",$I1828="NR",$O1828&gt;0),IF(ISNUMBER($J1828),AND($J1828&gt;=0,$J1828=INT($J1828)),FALSE())),$J1828,0)</f>
        <v>0</v>
      </c>
      <c r="Q1828" s="64" t="n">
        <f aca="false">IF(AND($P1828&gt;0,$O1828&gt;0),$P1828,0)</f>
        <v>0</v>
      </c>
      <c r="R1828" s="64" t="n">
        <f aca="false">IF(AND($Q1828&gt;0,$O1828&gt;=AtRank),$Q1828,0)</f>
        <v>0</v>
      </c>
      <c r="S1828" s="64" t="n">
        <f aca="false">IF(AND($Q1828&gt;0,$O1828&gt;=AboveRank),$Q1828,0)</f>
        <v>0</v>
      </c>
      <c r="T1828" s="64" t="n">
        <f aca="false">IF($K1828="Less",$P1828,0)</f>
        <v>0</v>
      </c>
      <c r="U1828" s="64" t="n">
        <f aca="false">IF($K1828="Expected",$P1828,0)</f>
        <v>0</v>
      </c>
      <c r="V1828" s="64" t="n">
        <f aca="false">IF($K1828="Better",$P1828,0)</f>
        <v>0</v>
      </c>
      <c r="W1828" s="64" t="n">
        <f aca="false">IF($K1828="U – needs rule",$P1828,0)</f>
        <v>0</v>
      </c>
      <c r="X1828" s="64" t="n">
        <f aca="false">IF($K1828="No Start (attainment only)",$P1828,0)</f>
        <v>0</v>
      </c>
    </row>
    <row r="1829" customFormat="false" ht="15" hidden="false" customHeight="false" outlineLevel="0" collapsed="false">
      <c r="A1829" s="60"/>
      <c r="B1829" s="61" t="str">
        <f aca="false">IF($M1829=0,"",INDEX(Classes!$E$6:$E$420,$M1829))</f>
        <v/>
      </c>
      <c r="C1829" s="62" t="str">
        <f aca="false">IF($M1829=0,"",INDEX(Classes!$H$6:$H$420,$M1829))</f>
        <v/>
      </c>
      <c r="D1829" s="61" t="str">
        <f aca="false">IF($M1829=0,"",INDEX(Classes!$B$6:$B$420,$M1829))</f>
        <v/>
      </c>
      <c r="E1829" s="61" t="str">
        <f aca="false">IF($M1829=0,"",INDEX(Classes!$C$6:$C$420,$M1829))</f>
        <v/>
      </c>
      <c r="F1829" s="63"/>
      <c r="G1829" s="63"/>
      <c r="H1829" s="60"/>
      <c r="I1829" s="60"/>
      <c r="J1829" s="63"/>
      <c r="K1829" s="61" t="str">
        <f aca="false">IF($P1829=0,"",IF($F1829="Baseline","— Baseline",IF($O1829=0,"No result",IF($N1829=0,"No Start (attainment only)",IF(OR($N1829=1,$O1829=1),"U – needs rule",INDEX(MxBody,MATCH($I1829,MxCurr,0),MATCH($H1829,MxStart,0)))))))</f>
        <v/>
      </c>
      <c r="L1829" s="62" t="str">
        <f aca="false">IF(COUNTA($A1829,$F1829,$G1829,$H1829,$I1829,$J1829)=0,"",IF($M1829=0,"✖ كود الصف غير موجود",IF(ISNA(MATCH($F1829,Lists!$A$2:$A$5,0)),"✖ الفترة غير صحيحة",IF(ISNA(MATCH($G1829,Lists!$B$2:$B$7,0)),"✖ المجموعة غير صحيحة",IF(NOT(OR($H1829="",$N1829&gt;0)),"✖ Start غير صحيح",IF(NOT(OR($I1829="",$I1829="NR",$O1829&gt;0)),"✖ Current غير صحيح",IF(NOT(IF(ISNUMBER($J1829),AND($J1829&gt;=0,$J1829=INT($J1829)),FALSE())),"✖ العدد يجب أن يكون صحيحًا ≥ 0",IF(AND($F1829="Baseline",$H1829&lt;&gt;""),"⚠ Baseline: Start لا يدخل في التقدم",IF($K1829="No Start (attainment only)","ℹ تحصيل فقط (بدون Start)",IF($K1829="U – needs rule","ℹ حالة U تحتاج قاعدة معتمدة",IF($K1829="No result","ℹ بدون نتيجة (يُستبعد من التحصيل)","OK")))))))))))</f>
        <v/>
      </c>
      <c r="M1829" s="64" t="n">
        <f aca="false">IF($A1829="",0,IFERROR(MATCH($A1829,Classes!$A$6:$A$420,0),0))</f>
        <v>0</v>
      </c>
      <c r="N1829" s="64" t="n">
        <f aca="false">IF($H1829="",0,IFERROR(MATCH($H1829,GradeList,0),0))</f>
        <v>0</v>
      </c>
      <c r="O1829" s="64" t="n">
        <f aca="false">IF(OR($I1829="",$I1829="NR"),0,IFERROR(MATCH($I1829,GradeList,0),0))</f>
        <v>0</v>
      </c>
      <c r="P1829" s="64" t="n">
        <f aca="false">IF(AND($M1829&gt;0,ISNUMBER(MATCH($F1829,Lists!$A$2:$A$5,0)),ISNUMBER(MATCH($G1829,Lists!$B$2:$B$7,0)),OR($H1829="",$N1829&gt;0),OR($I1829="",$I1829="NR",$O1829&gt;0),IF(ISNUMBER($J1829),AND($J1829&gt;=0,$J1829=INT($J1829)),FALSE())),$J1829,0)</f>
        <v>0</v>
      </c>
      <c r="Q1829" s="64" t="n">
        <f aca="false">IF(AND($P1829&gt;0,$O1829&gt;0),$P1829,0)</f>
        <v>0</v>
      </c>
      <c r="R1829" s="64" t="n">
        <f aca="false">IF(AND($Q1829&gt;0,$O1829&gt;=AtRank),$Q1829,0)</f>
        <v>0</v>
      </c>
      <c r="S1829" s="64" t="n">
        <f aca="false">IF(AND($Q1829&gt;0,$O1829&gt;=AboveRank),$Q1829,0)</f>
        <v>0</v>
      </c>
      <c r="T1829" s="64" t="n">
        <f aca="false">IF($K1829="Less",$P1829,0)</f>
        <v>0</v>
      </c>
      <c r="U1829" s="64" t="n">
        <f aca="false">IF($K1829="Expected",$P1829,0)</f>
        <v>0</v>
      </c>
      <c r="V1829" s="64" t="n">
        <f aca="false">IF($K1829="Better",$P1829,0)</f>
        <v>0</v>
      </c>
      <c r="W1829" s="64" t="n">
        <f aca="false">IF($K1829="U – needs rule",$P1829,0)</f>
        <v>0</v>
      </c>
      <c r="X1829" s="64" t="n">
        <f aca="false">IF($K1829="No Start (attainment only)",$P1829,0)</f>
        <v>0</v>
      </c>
    </row>
    <row r="1830" customFormat="false" ht="15" hidden="false" customHeight="false" outlineLevel="0" collapsed="false">
      <c r="A1830" s="60"/>
      <c r="B1830" s="61" t="str">
        <f aca="false">IF($M1830=0,"",INDEX(Classes!$E$6:$E$420,$M1830))</f>
        <v/>
      </c>
      <c r="C1830" s="62" t="str">
        <f aca="false">IF($M1830=0,"",INDEX(Classes!$H$6:$H$420,$M1830))</f>
        <v/>
      </c>
      <c r="D1830" s="61" t="str">
        <f aca="false">IF($M1830=0,"",INDEX(Classes!$B$6:$B$420,$M1830))</f>
        <v/>
      </c>
      <c r="E1830" s="61" t="str">
        <f aca="false">IF($M1830=0,"",INDEX(Classes!$C$6:$C$420,$M1830))</f>
        <v/>
      </c>
      <c r="F1830" s="63"/>
      <c r="G1830" s="63"/>
      <c r="H1830" s="60"/>
      <c r="I1830" s="60"/>
      <c r="J1830" s="63"/>
      <c r="K1830" s="61" t="str">
        <f aca="false">IF($P1830=0,"",IF($F1830="Baseline","— Baseline",IF($O1830=0,"No result",IF($N1830=0,"No Start (attainment only)",IF(OR($N1830=1,$O1830=1),"U – needs rule",INDEX(MxBody,MATCH($I1830,MxCurr,0),MATCH($H1830,MxStart,0)))))))</f>
        <v/>
      </c>
      <c r="L1830" s="62" t="str">
        <f aca="false">IF(COUNTA($A1830,$F1830,$G1830,$H1830,$I1830,$J1830)=0,"",IF($M1830=0,"✖ كود الصف غير موجود",IF(ISNA(MATCH($F1830,Lists!$A$2:$A$5,0)),"✖ الفترة غير صحيحة",IF(ISNA(MATCH($G1830,Lists!$B$2:$B$7,0)),"✖ المجموعة غير صحيحة",IF(NOT(OR($H1830="",$N1830&gt;0)),"✖ Start غير صحيح",IF(NOT(OR($I1830="",$I1830="NR",$O1830&gt;0)),"✖ Current غير صحيح",IF(NOT(IF(ISNUMBER($J1830),AND($J1830&gt;=0,$J1830=INT($J1830)),FALSE())),"✖ العدد يجب أن يكون صحيحًا ≥ 0",IF(AND($F1830="Baseline",$H1830&lt;&gt;""),"⚠ Baseline: Start لا يدخل في التقدم",IF($K1830="No Start (attainment only)","ℹ تحصيل فقط (بدون Start)",IF($K1830="U – needs rule","ℹ حالة U تحتاج قاعدة معتمدة",IF($K1830="No result","ℹ بدون نتيجة (يُستبعد من التحصيل)","OK")))))))))))</f>
        <v/>
      </c>
      <c r="M1830" s="64" t="n">
        <f aca="false">IF($A1830="",0,IFERROR(MATCH($A1830,Classes!$A$6:$A$420,0),0))</f>
        <v>0</v>
      </c>
      <c r="N1830" s="64" t="n">
        <f aca="false">IF($H1830="",0,IFERROR(MATCH($H1830,GradeList,0),0))</f>
        <v>0</v>
      </c>
      <c r="O1830" s="64" t="n">
        <f aca="false">IF(OR($I1830="",$I1830="NR"),0,IFERROR(MATCH($I1830,GradeList,0),0))</f>
        <v>0</v>
      </c>
      <c r="P1830" s="64" t="n">
        <f aca="false">IF(AND($M1830&gt;0,ISNUMBER(MATCH($F1830,Lists!$A$2:$A$5,0)),ISNUMBER(MATCH($G1830,Lists!$B$2:$B$7,0)),OR($H1830="",$N1830&gt;0),OR($I1830="",$I1830="NR",$O1830&gt;0),IF(ISNUMBER($J1830),AND($J1830&gt;=0,$J1830=INT($J1830)),FALSE())),$J1830,0)</f>
        <v>0</v>
      </c>
      <c r="Q1830" s="64" t="n">
        <f aca="false">IF(AND($P1830&gt;0,$O1830&gt;0),$P1830,0)</f>
        <v>0</v>
      </c>
      <c r="R1830" s="64" t="n">
        <f aca="false">IF(AND($Q1830&gt;0,$O1830&gt;=AtRank),$Q1830,0)</f>
        <v>0</v>
      </c>
      <c r="S1830" s="64" t="n">
        <f aca="false">IF(AND($Q1830&gt;0,$O1830&gt;=AboveRank),$Q1830,0)</f>
        <v>0</v>
      </c>
      <c r="T1830" s="64" t="n">
        <f aca="false">IF($K1830="Less",$P1830,0)</f>
        <v>0</v>
      </c>
      <c r="U1830" s="64" t="n">
        <f aca="false">IF($K1830="Expected",$P1830,0)</f>
        <v>0</v>
      </c>
      <c r="V1830" s="64" t="n">
        <f aca="false">IF($K1830="Better",$P1830,0)</f>
        <v>0</v>
      </c>
      <c r="W1830" s="64" t="n">
        <f aca="false">IF($K1830="U – needs rule",$P1830,0)</f>
        <v>0</v>
      </c>
      <c r="X1830" s="64" t="n">
        <f aca="false">IF($K1830="No Start (attainment only)",$P1830,0)</f>
        <v>0</v>
      </c>
    </row>
    <row r="1831" customFormat="false" ht="15" hidden="false" customHeight="false" outlineLevel="0" collapsed="false">
      <c r="A1831" s="60"/>
      <c r="B1831" s="61" t="str">
        <f aca="false">IF($M1831=0,"",INDEX(Classes!$E$6:$E$420,$M1831))</f>
        <v/>
      </c>
      <c r="C1831" s="62" t="str">
        <f aca="false">IF($M1831=0,"",INDEX(Classes!$H$6:$H$420,$M1831))</f>
        <v/>
      </c>
      <c r="D1831" s="61" t="str">
        <f aca="false">IF($M1831=0,"",INDEX(Classes!$B$6:$B$420,$M1831))</f>
        <v/>
      </c>
      <c r="E1831" s="61" t="str">
        <f aca="false">IF($M1831=0,"",INDEX(Classes!$C$6:$C$420,$M1831))</f>
        <v/>
      </c>
      <c r="F1831" s="63"/>
      <c r="G1831" s="63"/>
      <c r="H1831" s="60"/>
      <c r="I1831" s="60"/>
      <c r="J1831" s="63"/>
      <c r="K1831" s="61" t="str">
        <f aca="false">IF($P1831=0,"",IF($F1831="Baseline","— Baseline",IF($O1831=0,"No result",IF($N1831=0,"No Start (attainment only)",IF(OR($N1831=1,$O1831=1),"U – needs rule",INDEX(MxBody,MATCH($I1831,MxCurr,0),MATCH($H1831,MxStart,0)))))))</f>
        <v/>
      </c>
      <c r="L1831" s="62" t="str">
        <f aca="false">IF(COUNTA($A1831,$F1831,$G1831,$H1831,$I1831,$J1831)=0,"",IF($M1831=0,"✖ كود الصف غير موجود",IF(ISNA(MATCH($F1831,Lists!$A$2:$A$5,0)),"✖ الفترة غير صحيحة",IF(ISNA(MATCH($G1831,Lists!$B$2:$B$7,0)),"✖ المجموعة غير صحيحة",IF(NOT(OR($H1831="",$N1831&gt;0)),"✖ Start غير صحيح",IF(NOT(OR($I1831="",$I1831="NR",$O1831&gt;0)),"✖ Current غير صحيح",IF(NOT(IF(ISNUMBER($J1831),AND($J1831&gt;=0,$J1831=INT($J1831)),FALSE())),"✖ العدد يجب أن يكون صحيحًا ≥ 0",IF(AND($F1831="Baseline",$H1831&lt;&gt;""),"⚠ Baseline: Start لا يدخل في التقدم",IF($K1831="No Start (attainment only)","ℹ تحصيل فقط (بدون Start)",IF($K1831="U – needs rule","ℹ حالة U تحتاج قاعدة معتمدة",IF($K1831="No result","ℹ بدون نتيجة (يُستبعد من التحصيل)","OK")))))))))))</f>
        <v/>
      </c>
      <c r="M1831" s="64" t="n">
        <f aca="false">IF($A1831="",0,IFERROR(MATCH($A1831,Classes!$A$6:$A$420,0),0))</f>
        <v>0</v>
      </c>
      <c r="N1831" s="64" t="n">
        <f aca="false">IF($H1831="",0,IFERROR(MATCH($H1831,GradeList,0),0))</f>
        <v>0</v>
      </c>
      <c r="O1831" s="64" t="n">
        <f aca="false">IF(OR($I1831="",$I1831="NR"),0,IFERROR(MATCH($I1831,GradeList,0),0))</f>
        <v>0</v>
      </c>
      <c r="P1831" s="64" t="n">
        <f aca="false">IF(AND($M1831&gt;0,ISNUMBER(MATCH($F1831,Lists!$A$2:$A$5,0)),ISNUMBER(MATCH($G1831,Lists!$B$2:$B$7,0)),OR($H1831="",$N1831&gt;0),OR($I1831="",$I1831="NR",$O1831&gt;0),IF(ISNUMBER($J1831),AND($J1831&gt;=0,$J1831=INT($J1831)),FALSE())),$J1831,0)</f>
        <v>0</v>
      </c>
      <c r="Q1831" s="64" t="n">
        <f aca="false">IF(AND($P1831&gt;0,$O1831&gt;0),$P1831,0)</f>
        <v>0</v>
      </c>
      <c r="R1831" s="64" t="n">
        <f aca="false">IF(AND($Q1831&gt;0,$O1831&gt;=AtRank),$Q1831,0)</f>
        <v>0</v>
      </c>
      <c r="S1831" s="64" t="n">
        <f aca="false">IF(AND($Q1831&gt;0,$O1831&gt;=AboveRank),$Q1831,0)</f>
        <v>0</v>
      </c>
      <c r="T1831" s="64" t="n">
        <f aca="false">IF($K1831="Less",$P1831,0)</f>
        <v>0</v>
      </c>
      <c r="U1831" s="64" t="n">
        <f aca="false">IF($K1831="Expected",$P1831,0)</f>
        <v>0</v>
      </c>
      <c r="V1831" s="64" t="n">
        <f aca="false">IF($K1831="Better",$P1831,0)</f>
        <v>0</v>
      </c>
      <c r="W1831" s="64" t="n">
        <f aca="false">IF($K1831="U – needs rule",$P1831,0)</f>
        <v>0</v>
      </c>
      <c r="X1831" s="64" t="n">
        <f aca="false">IF($K1831="No Start (attainment only)",$P1831,0)</f>
        <v>0</v>
      </c>
    </row>
    <row r="1832" customFormat="false" ht="15" hidden="false" customHeight="false" outlineLevel="0" collapsed="false">
      <c r="A1832" s="60"/>
      <c r="B1832" s="61" t="str">
        <f aca="false">IF($M1832=0,"",INDEX(Classes!$E$6:$E$420,$M1832))</f>
        <v/>
      </c>
      <c r="C1832" s="62" t="str">
        <f aca="false">IF($M1832=0,"",INDEX(Classes!$H$6:$H$420,$M1832))</f>
        <v/>
      </c>
      <c r="D1832" s="61" t="str">
        <f aca="false">IF($M1832=0,"",INDEX(Classes!$B$6:$B$420,$M1832))</f>
        <v/>
      </c>
      <c r="E1832" s="61" t="str">
        <f aca="false">IF($M1832=0,"",INDEX(Classes!$C$6:$C$420,$M1832))</f>
        <v/>
      </c>
      <c r="F1832" s="63"/>
      <c r="G1832" s="63"/>
      <c r="H1832" s="60"/>
      <c r="I1832" s="60"/>
      <c r="J1832" s="63"/>
      <c r="K1832" s="61" t="str">
        <f aca="false">IF($P1832=0,"",IF($F1832="Baseline","— Baseline",IF($O1832=0,"No result",IF($N1832=0,"No Start (attainment only)",IF(OR($N1832=1,$O1832=1),"U – needs rule",INDEX(MxBody,MATCH($I1832,MxCurr,0),MATCH($H1832,MxStart,0)))))))</f>
        <v/>
      </c>
      <c r="L1832" s="62" t="str">
        <f aca="false">IF(COUNTA($A1832,$F1832,$G1832,$H1832,$I1832,$J1832)=0,"",IF($M1832=0,"✖ كود الصف غير موجود",IF(ISNA(MATCH($F1832,Lists!$A$2:$A$5,0)),"✖ الفترة غير صحيحة",IF(ISNA(MATCH($G1832,Lists!$B$2:$B$7,0)),"✖ المجموعة غير صحيحة",IF(NOT(OR($H1832="",$N1832&gt;0)),"✖ Start غير صحيح",IF(NOT(OR($I1832="",$I1832="NR",$O1832&gt;0)),"✖ Current غير صحيح",IF(NOT(IF(ISNUMBER($J1832),AND($J1832&gt;=0,$J1832=INT($J1832)),FALSE())),"✖ العدد يجب أن يكون صحيحًا ≥ 0",IF(AND($F1832="Baseline",$H1832&lt;&gt;""),"⚠ Baseline: Start لا يدخل في التقدم",IF($K1832="No Start (attainment only)","ℹ تحصيل فقط (بدون Start)",IF($K1832="U – needs rule","ℹ حالة U تحتاج قاعدة معتمدة",IF($K1832="No result","ℹ بدون نتيجة (يُستبعد من التحصيل)","OK")))))))))))</f>
        <v/>
      </c>
      <c r="M1832" s="64" t="n">
        <f aca="false">IF($A1832="",0,IFERROR(MATCH($A1832,Classes!$A$6:$A$420,0),0))</f>
        <v>0</v>
      </c>
      <c r="N1832" s="64" t="n">
        <f aca="false">IF($H1832="",0,IFERROR(MATCH($H1832,GradeList,0),0))</f>
        <v>0</v>
      </c>
      <c r="O1832" s="64" t="n">
        <f aca="false">IF(OR($I1832="",$I1832="NR"),0,IFERROR(MATCH($I1832,GradeList,0),0))</f>
        <v>0</v>
      </c>
      <c r="P1832" s="64" t="n">
        <f aca="false">IF(AND($M1832&gt;0,ISNUMBER(MATCH($F1832,Lists!$A$2:$A$5,0)),ISNUMBER(MATCH($G1832,Lists!$B$2:$B$7,0)),OR($H1832="",$N1832&gt;0),OR($I1832="",$I1832="NR",$O1832&gt;0),IF(ISNUMBER($J1832),AND($J1832&gt;=0,$J1832=INT($J1832)),FALSE())),$J1832,0)</f>
        <v>0</v>
      </c>
      <c r="Q1832" s="64" t="n">
        <f aca="false">IF(AND($P1832&gt;0,$O1832&gt;0),$P1832,0)</f>
        <v>0</v>
      </c>
      <c r="R1832" s="64" t="n">
        <f aca="false">IF(AND($Q1832&gt;0,$O1832&gt;=AtRank),$Q1832,0)</f>
        <v>0</v>
      </c>
      <c r="S1832" s="64" t="n">
        <f aca="false">IF(AND($Q1832&gt;0,$O1832&gt;=AboveRank),$Q1832,0)</f>
        <v>0</v>
      </c>
      <c r="T1832" s="64" t="n">
        <f aca="false">IF($K1832="Less",$P1832,0)</f>
        <v>0</v>
      </c>
      <c r="U1832" s="64" t="n">
        <f aca="false">IF($K1832="Expected",$P1832,0)</f>
        <v>0</v>
      </c>
      <c r="V1832" s="64" t="n">
        <f aca="false">IF($K1832="Better",$P1832,0)</f>
        <v>0</v>
      </c>
      <c r="W1832" s="64" t="n">
        <f aca="false">IF($K1832="U – needs rule",$P1832,0)</f>
        <v>0</v>
      </c>
      <c r="X1832" s="64" t="n">
        <f aca="false">IF($K1832="No Start (attainment only)",$P1832,0)</f>
        <v>0</v>
      </c>
    </row>
    <row r="1833" customFormat="false" ht="15" hidden="false" customHeight="false" outlineLevel="0" collapsed="false">
      <c r="A1833" s="60"/>
      <c r="B1833" s="61" t="str">
        <f aca="false">IF($M1833=0,"",INDEX(Classes!$E$6:$E$420,$M1833))</f>
        <v/>
      </c>
      <c r="C1833" s="62" t="str">
        <f aca="false">IF($M1833=0,"",INDEX(Classes!$H$6:$H$420,$M1833))</f>
        <v/>
      </c>
      <c r="D1833" s="61" t="str">
        <f aca="false">IF($M1833=0,"",INDEX(Classes!$B$6:$B$420,$M1833))</f>
        <v/>
      </c>
      <c r="E1833" s="61" t="str">
        <f aca="false">IF($M1833=0,"",INDEX(Classes!$C$6:$C$420,$M1833))</f>
        <v/>
      </c>
      <c r="F1833" s="63"/>
      <c r="G1833" s="63"/>
      <c r="H1833" s="60"/>
      <c r="I1833" s="60"/>
      <c r="J1833" s="63"/>
      <c r="K1833" s="61" t="str">
        <f aca="false">IF($P1833=0,"",IF($F1833="Baseline","— Baseline",IF($O1833=0,"No result",IF($N1833=0,"No Start (attainment only)",IF(OR($N1833=1,$O1833=1),"U – needs rule",INDEX(MxBody,MATCH($I1833,MxCurr,0),MATCH($H1833,MxStart,0)))))))</f>
        <v/>
      </c>
      <c r="L1833" s="62" t="str">
        <f aca="false">IF(COUNTA($A1833,$F1833,$G1833,$H1833,$I1833,$J1833)=0,"",IF($M1833=0,"✖ كود الصف غير موجود",IF(ISNA(MATCH($F1833,Lists!$A$2:$A$5,0)),"✖ الفترة غير صحيحة",IF(ISNA(MATCH($G1833,Lists!$B$2:$B$7,0)),"✖ المجموعة غير صحيحة",IF(NOT(OR($H1833="",$N1833&gt;0)),"✖ Start غير صحيح",IF(NOT(OR($I1833="",$I1833="NR",$O1833&gt;0)),"✖ Current غير صحيح",IF(NOT(IF(ISNUMBER($J1833),AND($J1833&gt;=0,$J1833=INT($J1833)),FALSE())),"✖ العدد يجب أن يكون صحيحًا ≥ 0",IF(AND($F1833="Baseline",$H1833&lt;&gt;""),"⚠ Baseline: Start لا يدخل في التقدم",IF($K1833="No Start (attainment only)","ℹ تحصيل فقط (بدون Start)",IF($K1833="U – needs rule","ℹ حالة U تحتاج قاعدة معتمدة",IF($K1833="No result","ℹ بدون نتيجة (يُستبعد من التحصيل)","OK")))))))))))</f>
        <v/>
      </c>
      <c r="M1833" s="64" t="n">
        <f aca="false">IF($A1833="",0,IFERROR(MATCH($A1833,Classes!$A$6:$A$420,0),0))</f>
        <v>0</v>
      </c>
      <c r="N1833" s="64" t="n">
        <f aca="false">IF($H1833="",0,IFERROR(MATCH($H1833,GradeList,0),0))</f>
        <v>0</v>
      </c>
      <c r="O1833" s="64" t="n">
        <f aca="false">IF(OR($I1833="",$I1833="NR"),0,IFERROR(MATCH($I1833,GradeList,0),0))</f>
        <v>0</v>
      </c>
      <c r="P1833" s="64" t="n">
        <f aca="false">IF(AND($M1833&gt;0,ISNUMBER(MATCH($F1833,Lists!$A$2:$A$5,0)),ISNUMBER(MATCH($G1833,Lists!$B$2:$B$7,0)),OR($H1833="",$N1833&gt;0),OR($I1833="",$I1833="NR",$O1833&gt;0),IF(ISNUMBER($J1833),AND($J1833&gt;=0,$J1833=INT($J1833)),FALSE())),$J1833,0)</f>
        <v>0</v>
      </c>
      <c r="Q1833" s="64" t="n">
        <f aca="false">IF(AND($P1833&gt;0,$O1833&gt;0),$P1833,0)</f>
        <v>0</v>
      </c>
      <c r="R1833" s="64" t="n">
        <f aca="false">IF(AND($Q1833&gt;0,$O1833&gt;=AtRank),$Q1833,0)</f>
        <v>0</v>
      </c>
      <c r="S1833" s="64" t="n">
        <f aca="false">IF(AND($Q1833&gt;0,$O1833&gt;=AboveRank),$Q1833,0)</f>
        <v>0</v>
      </c>
      <c r="T1833" s="64" t="n">
        <f aca="false">IF($K1833="Less",$P1833,0)</f>
        <v>0</v>
      </c>
      <c r="U1833" s="64" t="n">
        <f aca="false">IF($K1833="Expected",$P1833,0)</f>
        <v>0</v>
      </c>
      <c r="V1833" s="64" t="n">
        <f aca="false">IF($K1833="Better",$P1833,0)</f>
        <v>0</v>
      </c>
      <c r="W1833" s="64" t="n">
        <f aca="false">IF($K1833="U – needs rule",$P1833,0)</f>
        <v>0</v>
      </c>
      <c r="X1833" s="64" t="n">
        <f aca="false">IF($K1833="No Start (attainment only)",$P1833,0)</f>
        <v>0</v>
      </c>
    </row>
    <row r="1834" customFormat="false" ht="15" hidden="false" customHeight="false" outlineLevel="0" collapsed="false">
      <c r="A1834" s="60"/>
      <c r="B1834" s="61" t="str">
        <f aca="false">IF($M1834=0,"",INDEX(Classes!$E$6:$E$420,$M1834))</f>
        <v/>
      </c>
      <c r="C1834" s="62" t="str">
        <f aca="false">IF($M1834=0,"",INDEX(Classes!$H$6:$H$420,$M1834))</f>
        <v/>
      </c>
      <c r="D1834" s="61" t="str">
        <f aca="false">IF($M1834=0,"",INDEX(Classes!$B$6:$B$420,$M1834))</f>
        <v/>
      </c>
      <c r="E1834" s="61" t="str">
        <f aca="false">IF($M1834=0,"",INDEX(Classes!$C$6:$C$420,$M1834))</f>
        <v/>
      </c>
      <c r="F1834" s="63"/>
      <c r="G1834" s="63"/>
      <c r="H1834" s="60"/>
      <c r="I1834" s="60"/>
      <c r="J1834" s="63"/>
      <c r="K1834" s="61" t="str">
        <f aca="false">IF($P1834=0,"",IF($F1834="Baseline","— Baseline",IF($O1834=0,"No result",IF($N1834=0,"No Start (attainment only)",IF(OR($N1834=1,$O1834=1),"U – needs rule",INDEX(MxBody,MATCH($I1834,MxCurr,0),MATCH($H1834,MxStart,0)))))))</f>
        <v/>
      </c>
      <c r="L1834" s="62" t="str">
        <f aca="false">IF(COUNTA($A1834,$F1834,$G1834,$H1834,$I1834,$J1834)=0,"",IF($M1834=0,"✖ كود الصف غير موجود",IF(ISNA(MATCH($F1834,Lists!$A$2:$A$5,0)),"✖ الفترة غير صحيحة",IF(ISNA(MATCH($G1834,Lists!$B$2:$B$7,0)),"✖ المجموعة غير صحيحة",IF(NOT(OR($H1834="",$N1834&gt;0)),"✖ Start غير صحيح",IF(NOT(OR($I1834="",$I1834="NR",$O1834&gt;0)),"✖ Current غير صحيح",IF(NOT(IF(ISNUMBER($J1834),AND($J1834&gt;=0,$J1834=INT($J1834)),FALSE())),"✖ العدد يجب أن يكون صحيحًا ≥ 0",IF(AND($F1834="Baseline",$H1834&lt;&gt;""),"⚠ Baseline: Start لا يدخل في التقدم",IF($K1834="No Start (attainment only)","ℹ تحصيل فقط (بدون Start)",IF($K1834="U – needs rule","ℹ حالة U تحتاج قاعدة معتمدة",IF($K1834="No result","ℹ بدون نتيجة (يُستبعد من التحصيل)","OK")))))))))))</f>
        <v/>
      </c>
      <c r="M1834" s="64" t="n">
        <f aca="false">IF($A1834="",0,IFERROR(MATCH($A1834,Classes!$A$6:$A$420,0),0))</f>
        <v>0</v>
      </c>
      <c r="N1834" s="64" t="n">
        <f aca="false">IF($H1834="",0,IFERROR(MATCH($H1834,GradeList,0),0))</f>
        <v>0</v>
      </c>
      <c r="O1834" s="64" t="n">
        <f aca="false">IF(OR($I1834="",$I1834="NR"),0,IFERROR(MATCH($I1834,GradeList,0),0))</f>
        <v>0</v>
      </c>
      <c r="P1834" s="64" t="n">
        <f aca="false">IF(AND($M1834&gt;0,ISNUMBER(MATCH($F1834,Lists!$A$2:$A$5,0)),ISNUMBER(MATCH($G1834,Lists!$B$2:$B$7,0)),OR($H1834="",$N1834&gt;0),OR($I1834="",$I1834="NR",$O1834&gt;0),IF(ISNUMBER($J1834),AND($J1834&gt;=0,$J1834=INT($J1834)),FALSE())),$J1834,0)</f>
        <v>0</v>
      </c>
      <c r="Q1834" s="64" t="n">
        <f aca="false">IF(AND($P1834&gt;0,$O1834&gt;0),$P1834,0)</f>
        <v>0</v>
      </c>
      <c r="R1834" s="64" t="n">
        <f aca="false">IF(AND($Q1834&gt;0,$O1834&gt;=AtRank),$Q1834,0)</f>
        <v>0</v>
      </c>
      <c r="S1834" s="64" t="n">
        <f aca="false">IF(AND($Q1834&gt;0,$O1834&gt;=AboveRank),$Q1834,0)</f>
        <v>0</v>
      </c>
      <c r="T1834" s="64" t="n">
        <f aca="false">IF($K1834="Less",$P1834,0)</f>
        <v>0</v>
      </c>
      <c r="U1834" s="64" t="n">
        <f aca="false">IF($K1834="Expected",$P1834,0)</f>
        <v>0</v>
      </c>
      <c r="V1834" s="64" t="n">
        <f aca="false">IF($K1834="Better",$P1834,0)</f>
        <v>0</v>
      </c>
      <c r="W1834" s="64" t="n">
        <f aca="false">IF($K1834="U – needs rule",$P1834,0)</f>
        <v>0</v>
      </c>
      <c r="X1834" s="64" t="n">
        <f aca="false">IF($K1834="No Start (attainment only)",$P1834,0)</f>
        <v>0</v>
      </c>
    </row>
    <row r="1835" customFormat="false" ht="15" hidden="false" customHeight="false" outlineLevel="0" collapsed="false">
      <c r="A1835" s="60"/>
      <c r="B1835" s="61" t="str">
        <f aca="false">IF($M1835=0,"",INDEX(Classes!$E$6:$E$420,$M1835))</f>
        <v/>
      </c>
      <c r="C1835" s="62" t="str">
        <f aca="false">IF($M1835=0,"",INDEX(Classes!$H$6:$H$420,$M1835))</f>
        <v/>
      </c>
      <c r="D1835" s="61" t="str">
        <f aca="false">IF($M1835=0,"",INDEX(Classes!$B$6:$B$420,$M1835))</f>
        <v/>
      </c>
      <c r="E1835" s="61" t="str">
        <f aca="false">IF($M1835=0,"",INDEX(Classes!$C$6:$C$420,$M1835))</f>
        <v/>
      </c>
      <c r="F1835" s="63"/>
      <c r="G1835" s="63"/>
      <c r="H1835" s="60"/>
      <c r="I1835" s="60"/>
      <c r="J1835" s="63"/>
      <c r="K1835" s="61" t="str">
        <f aca="false">IF($P1835=0,"",IF($F1835="Baseline","— Baseline",IF($O1835=0,"No result",IF($N1835=0,"No Start (attainment only)",IF(OR($N1835=1,$O1835=1),"U – needs rule",INDEX(MxBody,MATCH($I1835,MxCurr,0),MATCH($H1835,MxStart,0)))))))</f>
        <v/>
      </c>
      <c r="L1835" s="62" t="str">
        <f aca="false">IF(COUNTA($A1835,$F1835,$G1835,$H1835,$I1835,$J1835)=0,"",IF($M1835=0,"✖ كود الصف غير موجود",IF(ISNA(MATCH($F1835,Lists!$A$2:$A$5,0)),"✖ الفترة غير صحيحة",IF(ISNA(MATCH($G1835,Lists!$B$2:$B$7,0)),"✖ المجموعة غير صحيحة",IF(NOT(OR($H1835="",$N1835&gt;0)),"✖ Start غير صحيح",IF(NOT(OR($I1835="",$I1835="NR",$O1835&gt;0)),"✖ Current غير صحيح",IF(NOT(IF(ISNUMBER($J1835),AND($J1835&gt;=0,$J1835=INT($J1835)),FALSE())),"✖ العدد يجب أن يكون صحيحًا ≥ 0",IF(AND($F1835="Baseline",$H1835&lt;&gt;""),"⚠ Baseline: Start لا يدخل في التقدم",IF($K1835="No Start (attainment only)","ℹ تحصيل فقط (بدون Start)",IF($K1835="U – needs rule","ℹ حالة U تحتاج قاعدة معتمدة",IF($K1835="No result","ℹ بدون نتيجة (يُستبعد من التحصيل)","OK")))))))))))</f>
        <v/>
      </c>
      <c r="M1835" s="64" t="n">
        <f aca="false">IF($A1835="",0,IFERROR(MATCH($A1835,Classes!$A$6:$A$420,0),0))</f>
        <v>0</v>
      </c>
      <c r="N1835" s="64" t="n">
        <f aca="false">IF($H1835="",0,IFERROR(MATCH($H1835,GradeList,0),0))</f>
        <v>0</v>
      </c>
      <c r="O1835" s="64" t="n">
        <f aca="false">IF(OR($I1835="",$I1835="NR"),0,IFERROR(MATCH($I1835,GradeList,0),0))</f>
        <v>0</v>
      </c>
      <c r="P1835" s="64" t="n">
        <f aca="false">IF(AND($M1835&gt;0,ISNUMBER(MATCH($F1835,Lists!$A$2:$A$5,0)),ISNUMBER(MATCH($G1835,Lists!$B$2:$B$7,0)),OR($H1835="",$N1835&gt;0),OR($I1835="",$I1835="NR",$O1835&gt;0),IF(ISNUMBER($J1835),AND($J1835&gt;=0,$J1835=INT($J1835)),FALSE())),$J1835,0)</f>
        <v>0</v>
      </c>
      <c r="Q1835" s="64" t="n">
        <f aca="false">IF(AND($P1835&gt;0,$O1835&gt;0),$P1835,0)</f>
        <v>0</v>
      </c>
      <c r="R1835" s="64" t="n">
        <f aca="false">IF(AND($Q1835&gt;0,$O1835&gt;=AtRank),$Q1835,0)</f>
        <v>0</v>
      </c>
      <c r="S1835" s="64" t="n">
        <f aca="false">IF(AND($Q1835&gt;0,$O1835&gt;=AboveRank),$Q1835,0)</f>
        <v>0</v>
      </c>
      <c r="T1835" s="64" t="n">
        <f aca="false">IF($K1835="Less",$P1835,0)</f>
        <v>0</v>
      </c>
      <c r="U1835" s="64" t="n">
        <f aca="false">IF($K1835="Expected",$P1835,0)</f>
        <v>0</v>
      </c>
      <c r="V1835" s="64" t="n">
        <f aca="false">IF($K1835="Better",$P1835,0)</f>
        <v>0</v>
      </c>
      <c r="W1835" s="64" t="n">
        <f aca="false">IF($K1835="U – needs rule",$P1835,0)</f>
        <v>0</v>
      </c>
      <c r="X1835" s="64" t="n">
        <f aca="false">IF($K1835="No Start (attainment only)",$P1835,0)</f>
        <v>0</v>
      </c>
    </row>
    <row r="1836" customFormat="false" ht="15" hidden="false" customHeight="false" outlineLevel="0" collapsed="false">
      <c r="A1836" s="60"/>
      <c r="B1836" s="61" t="str">
        <f aca="false">IF($M1836=0,"",INDEX(Classes!$E$6:$E$420,$M1836))</f>
        <v/>
      </c>
      <c r="C1836" s="62" t="str">
        <f aca="false">IF($M1836=0,"",INDEX(Classes!$H$6:$H$420,$M1836))</f>
        <v/>
      </c>
      <c r="D1836" s="61" t="str">
        <f aca="false">IF($M1836=0,"",INDEX(Classes!$B$6:$B$420,$M1836))</f>
        <v/>
      </c>
      <c r="E1836" s="61" t="str">
        <f aca="false">IF($M1836=0,"",INDEX(Classes!$C$6:$C$420,$M1836))</f>
        <v/>
      </c>
      <c r="F1836" s="63"/>
      <c r="G1836" s="63"/>
      <c r="H1836" s="60"/>
      <c r="I1836" s="60"/>
      <c r="J1836" s="63"/>
      <c r="K1836" s="61" t="str">
        <f aca="false">IF($P1836=0,"",IF($F1836="Baseline","— Baseline",IF($O1836=0,"No result",IF($N1836=0,"No Start (attainment only)",IF(OR($N1836=1,$O1836=1),"U – needs rule",INDEX(MxBody,MATCH($I1836,MxCurr,0),MATCH($H1836,MxStart,0)))))))</f>
        <v/>
      </c>
      <c r="L1836" s="62" t="str">
        <f aca="false">IF(COUNTA($A1836,$F1836,$G1836,$H1836,$I1836,$J1836)=0,"",IF($M1836=0,"✖ كود الصف غير موجود",IF(ISNA(MATCH($F1836,Lists!$A$2:$A$5,0)),"✖ الفترة غير صحيحة",IF(ISNA(MATCH($G1836,Lists!$B$2:$B$7,0)),"✖ المجموعة غير صحيحة",IF(NOT(OR($H1836="",$N1836&gt;0)),"✖ Start غير صحيح",IF(NOT(OR($I1836="",$I1836="NR",$O1836&gt;0)),"✖ Current غير صحيح",IF(NOT(IF(ISNUMBER($J1836),AND($J1836&gt;=0,$J1836=INT($J1836)),FALSE())),"✖ العدد يجب أن يكون صحيحًا ≥ 0",IF(AND($F1836="Baseline",$H1836&lt;&gt;""),"⚠ Baseline: Start لا يدخل في التقدم",IF($K1836="No Start (attainment only)","ℹ تحصيل فقط (بدون Start)",IF($K1836="U – needs rule","ℹ حالة U تحتاج قاعدة معتمدة",IF($K1836="No result","ℹ بدون نتيجة (يُستبعد من التحصيل)","OK")))))))))))</f>
        <v/>
      </c>
      <c r="M1836" s="64" t="n">
        <f aca="false">IF($A1836="",0,IFERROR(MATCH($A1836,Classes!$A$6:$A$420,0),0))</f>
        <v>0</v>
      </c>
      <c r="N1836" s="64" t="n">
        <f aca="false">IF($H1836="",0,IFERROR(MATCH($H1836,GradeList,0),0))</f>
        <v>0</v>
      </c>
      <c r="O1836" s="64" t="n">
        <f aca="false">IF(OR($I1836="",$I1836="NR"),0,IFERROR(MATCH($I1836,GradeList,0),0))</f>
        <v>0</v>
      </c>
      <c r="P1836" s="64" t="n">
        <f aca="false">IF(AND($M1836&gt;0,ISNUMBER(MATCH($F1836,Lists!$A$2:$A$5,0)),ISNUMBER(MATCH($G1836,Lists!$B$2:$B$7,0)),OR($H1836="",$N1836&gt;0),OR($I1836="",$I1836="NR",$O1836&gt;0),IF(ISNUMBER($J1836),AND($J1836&gt;=0,$J1836=INT($J1836)),FALSE())),$J1836,0)</f>
        <v>0</v>
      </c>
      <c r="Q1836" s="64" t="n">
        <f aca="false">IF(AND($P1836&gt;0,$O1836&gt;0),$P1836,0)</f>
        <v>0</v>
      </c>
      <c r="R1836" s="64" t="n">
        <f aca="false">IF(AND($Q1836&gt;0,$O1836&gt;=AtRank),$Q1836,0)</f>
        <v>0</v>
      </c>
      <c r="S1836" s="64" t="n">
        <f aca="false">IF(AND($Q1836&gt;0,$O1836&gt;=AboveRank),$Q1836,0)</f>
        <v>0</v>
      </c>
      <c r="T1836" s="64" t="n">
        <f aca="false">IF($K1836="Less",$P1836,0)</f>
        <v>0</v>
      </c>
      <c r="U1836" s="64" t="n">
        <f aca="false">IF($K1836="Expected",$P1836,0)</f>
        <v>0</v>
      </c>
      <c r="V1836" s="64" t="n">
        <f aca="false">IF($K1836="Better",$P1836,0)</f>
        <v>0</v>
      </c>
      <c r="W1836" s="64" t="n">
        <f aca="false">IF($K1836="U – needs rule",$P1836,0)</f>
        <v>0</v>
      </c>
      <c r="X1836" s="64" t="n">
        <f aca="false">IF($K1836="No Start (attainment only)",$P1836,0)</f>
        <v>0</v>
      </c>
    </row>
    <row r="1837" customFormat="false" ht="15" hidden="false" customHeight="false" outlineLevel="0" collapsed="false">
      <c r="A1837" s="60"/>
      <c r="B1837" s="61" t="str">
        <f aca="false">IF($M1837=0,"",INDEX(Classes!$E$6:$E$420,$M1837))</f>
        <v/>
      </c>
      <c r="C1837" s="62" t="str">
        <f aca="false">IF($M1837=0,"",INDEX(Classes!$H$6:$H$420,$M1837))</f>
        <v/>
      </c>
      <c r="D1837" s="61" t="str">
        <f aca="false">IF($M1837=0,"",INDEX(Classes!$B$6:$B$420,$M1837))</f>
        <v/>
      </c>
      <c r="E1837" s="61" t="str">
        <f aca="false">IF($M1837=0,"",INDEX(Classes!$C$6:$C$420,$M1837))</f>
        <v/>
      </c>
      <c r="F1837" s="63"/>
      <c r="G1837" s="63"/>
      <c r="H1837" s="60"/>
      <c r="I1837" s="60"/>
      <c r="J1837" s="63"/>
      <c r="K1837" s="61" t="str">
        <f aca="false">IF($P1837=0,"",IF($F1837="Baseline","— Baseline",IF($O1837=0,"No result",IF($N1837=0,"No Start (attainment only)",IF(OR($N1837=1,$O1837=1),"U – needs rule",INDEX(MxBody,MATCH($I1837,MxCurr,0),MATCH($H1837,MxStart,0)))))))</f>
        <v/>
      </c>
      <c r="L1837" s="62" t="str">
        <f aca="false">IF(COUNTA($A1837,$F1837,$G1837,$H1837,$I1837,$J1837)=0,"",IF($M1837=0,"✖ كود الصف غير موجود",IF(ISNA(MATCH($F1837,Lists!$A$2:$A$5,0)),"✖ الفترة غير صحيحة",IF(ISNA(MATCH($G1837,Lists!$B$2:$B$7,0)),"✖ المجموعة غير صحيحة",IF(NOT(OR($H1837="",$N1837&gt;0)),"✖ Start غير صحيح",IF(NOT(OR($I1837="",$I1837="NR",$O1837&gt;0)),"✖ Current غير صحيح",IF(NOT(IF(ISNUMBER($J1837),AND($J1837&gt;=0,$J1837=INT($J1837)),FALSE())),"✖ العدد يجب أن يكون صحيحًا ≥ 0",IF(AND($F1837="Baseline",$H1837&lt;&gt;""),"⚠ Baseline: Start لا يدخل في التقدم",IF($K1837="No Start (attainment only)","ℹ تحصيل فقط (بدون Start)",IF($K1837="U – needs rule","ℹ حالة U تحتاج قاعدة معتمدة",IF($K1837="No result","ℹ بدون نتيجة (يُستبعد من التحصيل)","OK")))))))))))</f>
        <v/>
      </c>
      <c r="M1837" s="64" t="n">
        <f aca="false">IF($A1837="",0,IFERROR(MATCH($A1837,Classes!$A$6:$A$420,0),0))</f>
        <v>0</v>
      </c>
      <c r="N1837" s="64" t="n">
        <f aca="false">IF($H1837="",0,IFERROR(MATCH($H1837,GradeList,0),0))</f>
        <v>0</v>
      </c>
      <c r="O1837" s="64" t="n">
        <f aca="false">IF(OR($I1837="",$I1837="NR"),0,IFERROR(MATCH($I1837,GradeList,0),0))</f>
        <v>0</v>
      </c>
      <c r="P1837" s="64" t="n">
        <f aca="false">IF(AND($M1837&gt;0,ISNUMBER(MATCH($F1837,Lists!$A$2:$A$5,0)),ISNUMBER(MATCH($G1837,Lists!$B$2:$B$7,0)),OR($H1837="",$N1837&gt;0),OR($I1837="",$I1837="NR",$O1837&gt;0),IF(ISNUMBER($J1837),AND($J1837&gt;=0,$J1837=INT($J1837)),FALSE())),$J1837,0)</f>
        <v>0</v>
      </c>
      <c r="Q1837" s="64" t="n">
        <f aca="false">IF(AND($P1837&gt;0,$O1837&gt;0),$P1837,0)</f>
        <v>0</v>
      </c>
      <c r="R1837" s="64" t="n">
        <f aca="false">IF(AND($Q1837&gt;0,$O1837&gt;=AtRank),$Q1837,0)</f>
        <v>0</v>
      </c>
      <c r="S1837" s="64" t="n">
        <f aca="false">IF(AND($Q1837&gt;0,$O1837&gt;=AboveRank),$Q1837,0)</f>
        <v>0</v>
      </c>
      <c r="T1837" s="64" t="n">
        <f aca="false">IF($K1837="Less",$P1837,0)</f>
        <v>0</v>
      </c>
      <c r="U1837" s="64" t="n">
        <f aca="false">IF($K1837="Expected",$P1837,0)</f>
        <v>0</v>
      </c>
      <c r="V1837" s="64" t="n">
        <f aca="false">IF($K1837="Better",$P1837,0)</f>
        <v>0</v>
      </c>
      <c r="W1837" s="64" t="n">
        <f aca="false">IF($K1837="U – needs rule",$P1837,0)</f>
        <v>0</v>
      </c>
      <c r="X1837" s="64" t="n">
        <f aca="false">IF($K1837="No Start (attainment only)",$P1837,0)</f>
        <v>0</v>
      </c>
    </row>
    <row r="1838" customFormat="false" ht="15" hidden="false" customHeight="false" outlineLevel="0" collapsed="false">
      <c r="A1838" s="60"/>
      <c r="B1838" s="61" t="str">
        <f aca="false">IF($M1838=0,"",INDEX(Classes!$E$6:$E$420,$M1838))</f>
        <v/>
      </c>
      <c r="C1838" s="62" t="str">
        <f aca="false">IF($M1838=0,"",INDEX(Classes!$H$6:$H$420,$M1838))</f>
        <v/>
      </c>
      <c r="D1838" s="61" t="str">
        <f aca="false">IF($M1838=0,"",INDEX(Classes!$B$6:$B$420,$M1838))</f>
        <v/>
      </c>
      <c r="E1838" s="61" t="str">
        <f aca="false">IF($M1838=0,"",INDEX(Classes!$C$6:$C$420,$M1838))</f>
        <v/>
      </c>
      <c r="F1838" s="63"/>
      <c r="G1838" s="63"/>
      <c r="H1838" s="60"/>
      <c r="I1838" s="60"/>
      <c r="J1838" s="63"/>
      <c r="K1838" s="61" t="str">
        <f aca="false">IF($P1838=0,"",IF($F1838="Baseline","— Baseline",IF($O1838=0,"No result",IF($N1838=0,"No Start (attainment only)",IF(OR($N1838=1,$O1838=1),"U – needs rule",INDEX(MxBody,MATCH($I1838,MxCurr,0),MATCH($H1838,MxStart,0)))))))</f>
        <v/>
      </c>
      <c r="L1838" s="62" t="str">
        <f aca="false">IF(COUNTA($A1838,$F1838,$G1838,$H1838,$I1838,$J1838)=0,"",IF($M1838=0,"✖ كود الصف غير موجود",IF(ISNA(MATCH($F1838,Lists!$A$2:$A$5,0)),"✖ الفترة غير صحيحة",IF(ISNA(MATCH($G1838,Lists!$B$2:$B$7,0)),"✖ المجموعة غير صحيحة",IF(NOT(OR($H1838="",$N1838&gt;0)),"✖ Start غير صحيح",IF(NOT(OR($I1838="",$I1838="NR",$O1838&gt;0)),"✖ Current غير صحيح",IF(NOT(IF(ISNUMBER($J1838),AND($J1838&gt;=0,$J1838=INT($J1838)),FALSE())),"✖ العدد يجب أن يكون صحيحًا ≥ 0",IF(AND($F1838="Baseline",$H1838&lt;&gt;""),"⚠ Baseline: Start لا يدخل في التقدم",IF($K1838="No Start (attainment only)","ℹ تحصيل فقط (بدون Start)",IF($K1838="U – needs rule","ℹ حالة U تحتاج قاعدة معتمدة",IF($K1838="No result","ℹ بدون نتيجة (يُستبعد من التحصيل)","OK")))))))))))</f>
        <v/>
      </c>
      <c r="M1838" s="64" t="n">
        <f aca="false">IF($A1838="",0,IFERROR(MATCH($A1838,Classes!$A$6:$A$420,0),0))</f>
        <v>0</v>
      </c>
      <c r="N1838" s="64" t="n">
        <f aca="false">IF($H1838="",0,IFERROR(MATCH($H1838,GradeList,0),0))</f>
        <v>0</v>
      </c>
      <c r="O1838" s="64" t="n">
        <f aca="false">IF(OR($I1838="",$I1838="NR"),0,IFERROR(MATCH($I1838,GradeList,0),0))</f>
        <v>0</v>
      </c>
      <c r="P1838" s="64" t="n">
        <f aca="false">IF(AND($M1838&gt;0,ISNUMBER(MATCH($F1838,Lists!$A$2:$A$5,0)),ISNUMBER(MATCH($G1838,Lists!$B$2:$B$7,0)),OR($H1838="",$N1838&gt;0),OR($I1838="",$I1838="NR",$O1838&gt;0),IF(ISNUMBER($J1838),AND($J1838&gt;=0,$J1838=INT($J1838)),FALSE())),$J1838,0)</f>
        <v>0</v>
      </c>
      <c r="Q1838" s="64" t="n">
        <f aca="false">IF(AND($P1838&gt;0,$O1838&gt;0),$P1838,0)</f>
        <v>0</v>
      </c>
      <c r="R1838" s="64" t="n">
        <f aca="false">IF(AND($Q1838&gt;0,$O1838&gt;=AtRank),$Q1838,0)</f>
        <v>0</v>
      </c>
      <c r="S1838" s="64" t="n">
        <f aca="false">IF(AND($Q1838&gt;0,$O1838&gt;=AboveRank),$Q1838,0)</f>
        <v>0</v>
      </c>
      <c r="T1838" s="64" t="n">
        <f aca="false">IF($K1838="Less",$P1838,0)</f>
        <v>0</v>
      </c>
      <c r="U1838" s="64" t="n">
        <f aca="false">IF($K1838="Expected",$P1838,0)</f>
        <v>0</v>
      </c>
      <c r="V1838" s="64" t="n">
        <f aca="false">IF($K1838="Better",$P1838,0)</f>
        <v>0</v>
      </c>
      <c r="W1838" s="64" t="n">
        <f aca="false">IF($K1838="U – needs rule",$P1838,0)</f>
        <v>0</v>
      </c>
      <c r="X1838" s="64" t="n">
        <f aca="false">IF($K1838="No Start (attainment only)",$P1838,0)</f>
        <v>0</v>
      </c>
    </row>
    <row r="1839" customFormat="false" ht="15" hidden="false" customHeight="false" outlineLevel="0" collapsed="false">
      <c r="A1839" s="60"/>
      <c r="B1839" s="61" t="str">
        <f aca="false">IF($M1839=0,"",INDEX(Classes!$E$6:$E$420,$M1839))</f>
        <v/>
      </c>
      <c r="C1839" s="62" t="str">
        <f aca="false">IF($M1839=0,"",INDEX(Classes!$H$6:$H$420,$M1839))</f>
        <v/>
      </c>
      <c r="D1839" s="61" t="str">
        <f aca="false">IF($M1839=0,"",INDEX(Classes!$B$6:$B$420,$M1839))</f>
        <v/>
      </c>
      <c r="E1839" s="61" t="str">
        <f aca="false">IF($M1839=0,"",INDEX(Classes!$C$6:$C$420,$M1839))</f>
        <v/>
      </c>
      <c r="F1839" s="63"/>
      <c r="G1839" s="63"/>
      <c r="H1839" s="60"/>
      <c r="I1839" s="60"/>
      <c r="J1839" s="63"/>
      <c r="K1839" s="61" t="str">
        <f aca="false">IF($P1839=0,"",IF($F1839="Baseline","— Baseline",IF($O1839=0,"No result",IF($N1839=0,"No Start (attainment only)",IF(OR($N1839=1,$O1839=1),"U – needs rule",INDEX(MxBody,MATCH($I1839,MxCurr,0),MATCH($H1839,MxStart,0)))))))</f>
        <v/>
      </c>
      <c r="L1839" s="62" t="str">
        <f aca="false">IF(COUNTA($A1839,$F1839,$G1839,$H1839,$I1839,$J1839)=0,"",IF($M1839=0,"✖ كود الصف غير موجود",IF(ISNA(MATCH($F1839,Lists!$A$2:$A$5,0)),"✖ الفترة غير صحيحة",IF(ISNA(MATCH($G1839,Lists!$B$2:$B$7,0)),"✖ المجموعة غير صحيحة",IF(NOT(OR($H1839="",$N1839&gt;0)),"✖ Start غير صحيح",IF(NOT(OR($I1839="",$I1839="NR",$O1839&gt;0)),"✖ Current غير صحيح",IF(NOT(IF(ISNUMBER($J1839),AND($J1839&gt;=0,$J1839=INT($J1839)),FALSE())),"✖ العدد يجب أن يكون صحيحًا ≥ 0",IF(AND($F1839="Baseline",$H1839&lt;&gt;""),"⚠ Baseline: Start لا يدخل في التقدم",IF($K1839="No Start (attainment only)","ℹ تحصيل فقط (بدون Start)",IF($K1839="U – needs rule","ℹ حالة U تحتاج قاعدة معتمدة",IF($K1839="No result","ℹ بدون نتيجة (يُستبعد من التحصيل)","OK")))))))))))</f>
        <v/>
      </c>
      <c r="M1839" s="64" t="n">
        <f aca="false">IF($A1839="",0,IFERROR(MATCH($A1839,Classes!$A$6:$A$420,0),0))</f>
        <v>0</v>
      </c>
      <c r="N1839" s="64" t="n">
        <f aca="false">IF($H1839="",0,IFERROR(MATCH($H1839,GradeList,0),0))</f>
        <v>0</v>
      </c>
      <c r="O1839" s="64" t="n">
        <f aca="false">IF(OR($I1839="",$I1839="NR"),0,IFERROR(MATCH($I1839,GradeList,0),0))</f>
        <v>0</v>
      </c>
      <c r="P1839" s="64" t="n">
        <f aca="false">IF(AND($M1839&gt;0,ISNUMBER(MATCH($F1839,Lists!$A$2:$A$5,0)),ISNUMBER(MATCH($G1839,Lists!$B$2:$B$7,0)),OR($H1839="",$N1839&gt;0),OR($I1839="",$I1839="NR",$O1839&gt;0),IF(ISNUMBER($J1839),AND($J1839&gt;=0,$J1839=INT($J1839)),FALSE())),$J1839,0)</f>
        <v>0</v>
      </c>
      <c r="Q1839" s="64" t="n">
        <f aca="false">IF(AND($P1839&gt;0,$O1839&gt;0),$P1839,0)</f>
        <v>0</v>
      </c>
      <c r="R1839" s="64" t="n">
        <f aca="false">IF(AND($Q1839&gt;0,$O1839&gt;=AtRank),$Q1839,0)</f>
        <v>0</v>
      </c>
      <c r="S1839" s="64" t="n">
        <f aca="false">IF(AND($Q1839&gt;0,$O1839&gt;=AboveRank),$Q1839,0)</f>
        <v>0</v>
      </c>
      <c r="T1839" s="64" t="n">
        <f aca="false">IF($K1839="Less",$P1839,0)</f>
        <v>0</v>
      </c>
      <c r="U1839" s="64" t="n">
        <f aca="false">IF($K1839="Expected",$P1839,0)</f>
        <v>0</v>
      </c>
      <c r="V1839" s="64" t="n">
        <f aca="false">IF($K1839="Better",$P1839,0)</f>
        <v>0</v>
      </c>
      <c r="W1839" s="64" t="n">
        <f aca="false">IF($K1839="U – needs rule",$P1839,0)</f>
        <v>0</v>
      </c>
      <c r="X1839" s="64" t="n">
        <f aca="false">IF($K1839="No Start (attainment only)",$P1839,0)</f>
        <v>0</v>
      </c>
    </row>
    <row r="1840" customFormat="false" ht="15" hidden="false" customHeight="false" outlineLevel="0" collapsed="false">
      <c r="A1840" s="60"/>
      <c r="B1840" s="61" t="str">
        <f aca="false">IF($M1840=0,"",INDEX(Classes!$E$6:$E$420,$M1840))</f>
        <v/>
      </c>
      <c r="C1840" s="62" t="str">
        <f aca="false">IF($M1840=0,"",INDEX(Classes!$H$6:$H$420,$M1840))</f>
        <v/>
      </c>
      <c r="D1840" s="61" t="str">
        <f aca="false">IF($M1840=0,"",INDEX(Classes!$B$6:$B$420,$M1840))</f>
        <v/>
      </c>
      <c r="E1840" s="61" t="str">
        <f aca="false">IF($M1840=0,"",INDEX(Classes!$C$6:$C$420,$M1840))</f>
        <v/>
      </c>
      <c r="F1840" s="63"/>
      <c r="G1840" s="63"/>
      <c r="H1840" s="60"/>
      <c r="I1840" s="60"/>
      <c r="J1840" s="63"/>
      <c r="K1840" s="61" t="str">
        <f aca="false">IF($P1840=0,"",IF($F1840="Baseline","— Baseline",IF($O1840=0,"No result",IF($N1840=0,"No Start (attainment only)",IF(OR($N1840=1,$O1840=1),"U – needs rule",INDEX(MxBody,MATCH($I1840,MxCurr,0),MATCH($H1840,MxStart,0)))))))</f>
        <v/>
      </c>
      <c r="L1840" s="62" t="str">
        <f aca="false">IF(COUNTA($A1840,$F1840,$G1840,$H1840,$I1840,$J1840)=0,"",IF($M1840=0,"✖ كود الصف غير موجود",IF(ISNA(MATCH($F1840,Lists!$A$2:$A$5,0)),"✖ الفترة غير صحيحة",IF(ISNA(MATCH($G1840,Lists!$B$2:$B$7,0)),"✖ المجموعة غير صحيحة",IF(NOT(OR($H1840="",$N1840&gt;0)),"✖ Start غير صحيح",IF(NOT(OR($I1840="",$I1840="NR",$O1840&gt;0)),"✖ Current غير صحيح",IF(NOT(IF(ISNUMBER($J1840),AND($J1840&gt;=0,$J1840=INT($J1840)),FALSE())),"✖ العدد يجب أن يكون صحيحًا ≥ 0",IF(AND($F1840="Baseline",$H1840&lt;&gt;""),"⚠ Baseline: Start لا يدخل في التقدم",IF($K1840="No Start (attainment only)","ℹ تحصيل فقط (بدون Start)",IF($K1840="U – needs rule","ℹ حالة U تحتاج قاعدة معتمدة",IF($K1840="No result","ℹ بدون نتيجة (يُستبعد من التحصيل)","OK")))))))))))</f>
        <v/>
      </c>
      <c r="M1840" s="64" t="n">
        <f aca="false">IF($A1840="",0,IFERROR(MATCH($A1840,Classes!$A$6:$A$420,0),0))</f>
        <v>0</v>
      </c>
      <c r="N1840" s="64" t="n">
        <f aca="false">IF($H1840="",0,IFERROR(MATCH($H1840,GradeList,0),0))</f>
        <v>0</v>
      </c>
      <c r="O1840" s="64" t="n">
        <f aca="false">IF(OR($I1840="",$I1840="NR"),0,IFERROR(MATCH($I1840,GradeList,0),0))</f>
        <v>0</v>
      </c>
      <c r="P1840" s="64" t="n">
        <f aca="false">IF(AND($M1840&gt;0,ISNUMBER(MATCH($F1840,Lists!$A$2:$A$5,0)),ISNUMBER(MATCH($G1840,Lists!$B$2:$B$7,0)),OR($H1840="",$N1840&gt;0),OR($I1840="",$I1840="NR",$O1840&gt;0),IF(ISNUMBER($J1840),AND($J1840&gt;=0,$J1840=INT($J1840)),FALSE())),$J1840,0)</f>
        <v>0</v>
      </c>
      <c r="Q1840" s="64" t="n">
        <f aca="false">IF(AND($P1840&gt;0,$O1840&gt;0),$P1840,0)</f>
        <v>0</v>
      </c>
      <c r="R1840" s="64" t="n">
        <f aca="false">IF(AND($Q1840&gt;0,$O1840&gt;=AtRank),$Q1840,0)</f>
        <v>0</v>
      </c>
      <c r="S1840" s="64" t="n">
        <f aca="false">IF(AND($Q1840&gt;0,$O1840&gt;=AboveRank),$Q1840,0)</f>
        <v>0</v>
      </c>
      <c r="T1840" s="64" t="n">
        <f aca="false">IF($K1840="Less",$P1840,0)</f>
        <v>0</v>
      </c>
      <c r="U1840" s="64" t="n">
        <f aca="false">IF($K1840="Expected",$P1840,0)</f>
        <v>0</v>
      </c>
      <c r="V1840" s="64" t="n">
        <f aca="false">IF($K1840="Better",$P1840,0)</f>
        <v>0</v>
      </c>
      <c r="W1840" s="64" t="n">
        <f aca="false">IF($K1840="U – needs rule",$P1840,0)</f>
        <v>0</v>
      </c>
      <c r="X1840" s="64" t="n">
        <f aca="false">IF($K1840="No Start (attainment only)",$P1840,0)</f>
        <v>0</v>
      </c>
    </row>
    <row r="1841" customFormat="false" ht="15" hidden="false" customHeight="false" outlineLevel="0" collapsed="false">
      <c r="A1841" s="60"/>
      <c r="B1841" s="61" t="str">
        <f aca="false">IF($M1841=0,"",INDEX(Classes!$E$6:$E$420,$M1841))</f>
        <v/>
      </c>
      <c r="C1841" s="62" t="str">
        <f aca="false">IF($M1841=0,"",INDEX(Classes!$H$6:$H$420,$M1841))</f>
        <v/>
      </c>
      <c r="D1841" s="61" t="str">
        <f aca="false">IF($M1841=0,"",INDEX(Classes!$B$6:$B$420,$M1841))</f>
        <v/>
      </c>
      <c r="E1841" s="61" t="str">
        <f aca="false">IF($M1841=0,"",INDEX(Classes!$C$6:$C$420,$M1841))</f>
        <v/>
      </c>
      <c r="F1841" s="63"/>
      <c r="G1841" s="63"/>
      <c r="H1841" s="60"/>
      <c r="I1841" s="60"/>
      <c r="J1841" s="63"/>
      <c r="K1841" s="61" t="str">
        <f aca="false">IF($P1841=0,"",IF($F1841="Baseline","— Baseline",IF($O1841=0,"No result",IF($N1841=0,"No Start (attainment only)",IF(OR($N1841=1,$O1841=1),"U – needs rule",INDEX(MxBody,MATCH($I1841,MxCurr,0),MATCH($H1841,MxStart,0)))))))</f>
        <v/>
      </c>
      <c r="L1841" s="62" t="str">
        <f aca="false">IF(COUNTA($A1841,$F1841,$G1841,$H1841,$I1841,$J1841)=0,"",IF($M1841=0,"✖ كود الصف غير موجود",IF(ISNA(MATCH($F1841,Lists!$A$2:$A$5,0)),"✖ الفترة غير صحيحة",IF(ISNA(MATCH($G1841,Lists!$B$2:$B$7,0)),"✖ المجموعة غير صحيحة",IF(NOT(OR($H1841="",$N1841&gt;0)),"✖ Start غير صحيح",IF(NOT(OR($I1841="",$I1841="NR",$O1841&gt;0)),"✖ Current غير صحيح",IF(NOT(IF(ISNUMBER($J1841),AND($J1841&gt;=0,$J1841=INT($J1841)),FALSE())),"✖ العدد يجب أن يكون صحيحًا ≥ 0",IF(AND($F1841="Baseline",$H1841&lt;&gt;""),"⚠ Baseline: Start لا يدخل في التقدم",IF($K1841="No Start (attainment only)","ℹ تحصيل فقط (بدون Start)",IF($K1841="U – needs rule","ℹ حالة U تحتاج قاعدة معتمدة",IF($K1841="No result","ℹ بدون نتيجة (يُستبعد من التحصيل)","OK")))))))))))</f>
        <v/>
      </c>
      <c r="M1841" s="64" t="n">
        <f aca="false">IF($A1841="",0,IFERROR(MATCH($A1841,Classes!$A$6:$A$420,0),0))</f>
        <v>0</v>
      </c>
      <c r="N1841" s="64" t="n">
        <f aca="false">IF($H1841="",0,IFERROR(MATCH($H1841,GradeList,0),0))</f>
        <v>0</v>
      </c>
      <c r="O1841" s="64" t="n">
        <f aca="false">IF(OR($I1841="",$I1841="NR"),0,IFERROR(MATCH($I1841,GradeList,0),0))</f>
        <v>0</v>
      </c>
      <c r="P1841" s="64" t="n">
        <f aca="false">IF(AND($M1841&gt;0,ISNUMBER(MATCH($F1841,Lists!$A$2:$A$5,0)),ISNUMBER(MATCH($G1841,Lists!$B$2:$B$7,0)),OR($H1841="",$N1841&gt;0),OR($I1841="",$I1841="NR",$O1841&gt;0),IF(ISNUMBER($J1841),AND($J1841&gt;=0,$J1841=INT($J1841)),FALSE())),$J1841,0)</f>
        <v>0</v>
      </c>
      <c r="Q1841" s="64" t="n">
        <f aca="false">IF(AND($P1841&gt;0,$O1841&gt;0),$P1841,0)</f>
        <v>0</v>
      </c>
      <c r="R1841" s="64" t="n">
        <f aca="false">IF(AND($Q1841&gt;0,$O1841&gt;=AtRank),$Q1841,0)</f>
        <v>0</v>
      </c>
      <c r="S1841" s="64" t="n">
        <f aca="false">IF(AND($Q1841&gt;0,$O1841&gt;=AboveRank),$Q1841,0)</f>
        <v>0</v>
      </c>
      <c r="T1841" s="64" t="n">
        <f aca="false">IF($K1841="Less",$P1841,0)</f>
        <v>0</v>
      </c>
      <c r="U1841" s="64" t="n">
        <f aca="false">IF($K1841="Expected",$P1841,0)</f>
        <v>0</v>
      </c>
      <c r="V1841" s="64" t="n">
        <f aca="false">IF($K1841="Better",$P1841,0)</f>
        <v>0</v>
      </c>
      <c r="W1841" s="64" t="n">
        <f aca="false">IF($K1841="U – needs rule",$P1841,0)</f>
        <v>0</v>
      </c>
      <c r="X1841" s="64" t="n">
        <f aca="false">IF($K1841="No Start (attainment only)",$P1841,0)</f>
        <v>0</v>
      </c>
    </row>
    <row r="1842" customFormat="false" ht="15" hidden="false" customHeight="false" outlineLevel="0" collapsed="false">
      <c r="A1842" s="60"/>
      <c r="B1842" s="61" t="str">
        <f aca="false">IF($M1842=0,"",INDEX(Classes!$E$6:$E$420,$M1842))</f>
        <v/>
      </c>
      <c r="C1842" s="62" t="str">
        <f aca="false">IF($M1842=0,"",INDEX(Classes!$H$6:$H$420,$M1842))</f>
        <v/>
      </c>
      <c r="D1842" s="61" t="str">
        <f aca="false">IF($M1842=0,"",INDEX(Classes!$B$6:$B$420,$M1842))</f>
        <v/>
      </c>
      <c r="E1842" s="61" t="str">
        <f aca="false">IF($M1842=0,"",INDEX(Classes!$C$6:$C$420,$M1842))</f>
        <v/>
      </c>
      <c r="F1842" s="63"/>
      <c r="G1842" s="63"/>
      <c r="H1842" s="60"/>
      <c r="I1842" s="60"/>
      <c r="J1842" s="63"/>
      <c r="K1842" s="61" t="str">
        <f aca="false">IF($P1842=0,"",IF($F1842="Baseline","— Baseline",IF($O1842=0,"No result",IF($N1842=0,"No Start (attainment only)",IF(OR($N1842=1,$O1842=1),"U – needs rule",INDEX(MxBody,MATCH($I1842,MxCurr,0),MATCH($H1842,MxStart,0)))))))</f>
        <v/>
      </c>
      <c r="L1842" s="62" t="str">
        <f aca="false">IF(COUNTA($A1842,$F1842,$G1842,$H1842,$I1842,$J1842)=0,"",IF($M1842=0,"✖ كود الصف غير موجود",IF(ISNA(MATCH($F1842,Lists!$A$2:$A$5,0)),"✖ الفترة غير صحيحة",IF(ISNA(MATCH($G1842,Lists!$B$2:$B$7,0)),"✖ المجموعة غير صحيحة",IF(NOT(OR($H1842="",$N1842&gt;0)),"✖ Start غير صحيح",IF(NOT(OR($I1842="",$I1842="NR",$O1842&gt;0)),"✖ Current غير صحيح",IF(NOT(IF(ISNUMBER($J1842),AND($J1842&gt;=0,$J1842=INT($J1842)),FALSE())),"✖ العدد يجب أن يكون صحيحًا ≥ 0",IF(AND($F1842="Baseline",$H1842&lt;&gt;""),"⚠ Baseline: Start لا يدخل في التقدم",IF($K1842="No Start (attainment only)","ℹ تحصيل فقط (بدون Start)",IF($K1842="U – needs rule","ℹ حالة U تحتاج قاعدة معتمدة",IF($K1842="No result","ℹ بدون نتيجة (يُستبعد من التحصيل)","OK")))))))))))</f>
        <v/>
      </c>
      <c r="M1842" s="64" t="n">
        <f aca="false">IF($A1842="",0,IFERROR(MATCH($A1842,Classes!$A$6:$A$420,0),0))</f>
        <v>0</v>
      </c>
      <c r="N1842" s="64" t="n">
        <f aca="false">IF($H1842="",0,IFERROR(MATCH($H1842,GradeList,0),0))</f>
        <v>0</v>
      </c>
      <c r="O1842" s="64" t="n">
        <f aca="false">IF(OR($I1842="",$I1842="NR"),0,IFERROR(MATCH($I1842,GradeList,0),0))</f>
        <v>0</v>
      </c>
      <c r="P1842" s="64" t="n">
        <f aca="false">IF(AND($M1842&gt;0,ISNUMBER(MATCH($F1842,Lists!$A$2:$A$5,0)),ISNUMBER(MATCH($G1842,Lists!$B$2:$B$7,0)),OR($H1842="",$N1842&gt;0),OR($I1842="",$I1842="NR",$O1842&gt;0),IF(ISNUMBER($J1842),AND($J1842&gt;=0,$J1842=INT($J1842)),FALSE())),$J1842,0)</f>
        <v>0</v>
      </c>
      <c r="Q1842" s="64" t="n">
        <f aca="false">IF(AND($P1842&gt;0,$O1842&gt;0),$P1842,0)</f>
        <v>0</v>
      </c>
      <c r="R1842" s="64" t="n">
        <f aca="false">IF(AND($Q1842&gt;0,$O1842&gt;=AtRank),$Q1842,0)</f>
        <v>0</v>
      </c>
      <c r="S1842" s="64" t="n">
        <f aca="false">IF(AND($Q1842&gt;0,$O1842&gt;=AboveRank),$Q1842,0)</f>
        <v>0</v>
      </c>
      <c r="T1842" s="64" t="n">
        <f aca="false">IF($K1842="Less",$P1842,0)</f>
        <v>0</v>
      </c>
      <c r="U1842" s="64" t="n">
        <f aca="false">IF($K1842="Expected",$P1842,0)</f>
        <v>0</v>
      </c>
      <c r="V1842" s="64" t="n">
        <f aca="false">IF($K1842="Better",$P1842,0)</f>
        <v>0</v>
      </c>
      <c r="W1842" s="64" t="n">
        <f aca="false">IF($K1842="U – needs rule",$P1842,0)</f>
        <v>0</v>
      </c>
      <c r="X1842" s="64" t="n">
        <f aca="false">IF($K1842="No Start (attainment only)",$P1842,0)</f>
        <v>0</v>
      </c>
    </row>
    <row r="1843" customFormat="false" ht="15" hidden="false" customHeight="false" outlineLevel="0" collapsed="false">
      <c r="A1843" s="60"/>
      <c r="B1843" s="61" t="str">
        <f aca="false">IF($M1843=0,"",INDEX(Classes!$E$6:$E$420,$M1843))</f>
        <v/>
      </c>
      <c r="C1843" s="62" t="str">
        <f aca="false">IF($M1843=0,"",INDEX(Classes!$H$6:$H$420,$M1843))</f>
        <v/>
      </c>
      <c r="D1843" s="61" t="str">
        <f aca="false">IF($M1843=0,"",INDEX(Classes!$B$6:$B$420,$M1843))</f>
        <v/>
      </c>
      <c r="E1843" s="61" t="str">
        <f aca="false">IF($M1843=0,"",INDEX(Classes!$C$6:$C$420,$M1843))</f>
        <v/>
      </c>
      <c r="F1843" s="63"/>
      <c r="G1843" s="63"/>
      <c r="H1843" s="60"/>
      <c r="I1843" s="60"/>
      <c r="J1843" s="63"/>
      <c r="K1843" s="61" t="str">
        <f aca="false">IF($P1843=0,"",IF($F1843="Baseline","— Baseline",IF($O1843=0,"No result",IF($N1843=0,"No Start (attainment only)",IF(OR($N1843=1,$O1843=1),"U – needs rule",INDEX(MxBody,MATCH($I1843,MxCurr,0),MATCH($H1843,MxStart,0)))))))</f>
        <v/>
      </c>
      <c r="L1843" s="62" t="str">
        <f aca="false">IF(COUNTA($A1843,$F1843,$G1843,$H1843,$I1843,$J1843)=0,"",IF($M1843=0,"✖ كود الصف غير موجود",IF(ISNA(MATCH($F1843,Lists!$A$2:$A$5,0)),"✖ الفترة غير صحيحة",IF(ISNA(MATCH($G1843,Lists!$B$2:$B$7,0)),"✖ المجموعة غير صحيحة",IF(NOT(OR($H1843="",$N1843&gt;0)),"✖ Start غير صحيح",IF(NOT(OR($I1843="",$I1843="NR",$O1843&gt;0)),"✖ Current غير صحيح",IF(NOT(IF(ISNUMBER($J1843),AND($J1843&gt;=0,$J1843=INT($J1843)),FALSE())),"✖ العدد يجب أن يكون صحيحًا ≥ 0",IF(AND($F1843="Baseline",$H1843&lt;&gt;""),"⚠ Baseline: Start لا يدخل في التقدم",IF($K1843="No Start (attainment only)","ℹ تحصيل فقط (بدون Start)",IF($K1843="U – needs rule","ℹ حالة U تحتاج قاعدة معتمدة",IF($K1843="No result","ℹ بدون نتيجة (يُستبعد من التحصيل)","OK")))))))))))</f>
        <v/>
      </c>
      <c r="M1843" s="64" t="n">
        <f aca="false">IF($A1843="",0,IFERROR(MATCH($A1843,Classes!$A$6:$A$420,0),0))</f>
        <v>0</v>
      </c>
      <c r="N1843" s="64" t="n">
        <f aca="false">IF($H1843="",0,IFERROR(MATCH($H1843,GradeList,0),0))</f>
        <v>0</v>
      </c>
      <c r="O1843" s="64" t="n">
        <f aca="false">IF(OR($I1843="",$I1843="NR"),0,IFERROR(MATCH($I1843,GradeList,0),0))</f>
        <v>0</v>
      </c>
      <c r="P1843" s="64" t="n">
        <f aca="false">IF(AND($M1843&gt;0,ISNUMBER(MATCH($F1843,Lists!$A$2:$A$5,0)),ISNUMBER(MATCH($G1843,Lists!$B$2:$B$7,0)),OR($H1843="",$N1843&gt;0),OR($I1843="",$I1843="NR",$O1843&gt;0),IF(ISNUMBER($J1843),AND($J1843&gt;=0,$J1843=INT($J1843)),FALSE())),$J1843,0)</f>
        <v>0</v>
      </c>
      <c r="Q1843" s="64" t="n">
        <f aca="false">IF(AND($P1843&gt;0,$O1843&gt;0),$P1843,0)</f>
        <v>0</v>
      </c>
      <c r="R1843" s="64" t="n">
        <f aca="false">IF(AND($Q1843&gt;0,$O1843&gt;=AtRank),$Q1843,0)</f>
        <v>0</v>
      </c>
      <c r="S1843" s="64" t="n">
        <f aca="false">IF(AND($Q1843&gt;0,$O1843&gt;=AboveRank),$Q1843,0)</f>
        <v>0</v>
      </c>
      <c r="T1843" s="64" t="n">
        <f aca="false">IF($K1843="Less",$P1843,0)</f>
        <v>0</v>
      </c>
      <c r="U1843" s="64" t="n">
        <f aca="false">IF($K1843="Expected",$P1843,0)</f>
        <v>0</v>
      </c>
      <c r="V1843" s="64" t="n">
        <f aca="false">IF($K1843="Better",$P1843,0)</f>
        <v>0</v>
      </c>
      <c r="W1843" s="64" t="n">
        <f aca="false">IF($K1843="U – needs rule",$P1843,0)</f>
        <v>0</v>
      </c>
      <c r="X1843" s="64" t="n">
        <f aca="false">IF($K1843="No Start (attainment only)",$P1843,0)</f>
        <v>0</v>
      </c>
    </row>
    <row r="1844" customFormat="false" ht="15" hidden="false" customHeight="false" outlineLevel="0" collapsed="false">
      <c r="A1844" s="60"/>
      <c r="B1844" s="61" t="str">
        <f aca="false">IF($M1844=0,"",INDEX(Classes!$E$6:$E$420,$M1844))</f>
        <v/>
      </c>
      <c r="C1844" s="62" t="str">
        <f aca="false">IF($M1844=0,"",INDEX(Classes!$H$6:$H$420,$M1844))</f>
        <v/>
      </c>
      <c r="D1844" s="61" t="str">
        <f aca="false">IF($M1844=0,"",INDEX(Classes!$B$6:$B$420,$M1844))</f>
        <v/>
      </c>
      <c r="E1844" s="61" t="str">
        <f aca="false">IF($M1844=0,"",INDEX(Classes!$C$6:$C$420,$M1844))</f>
        <v/>
      </c>
      <c r="F1844" s="63"/>
      <c r="G1844" s="63"/>
      <c r="H1844" s="60"/>
      <c r="I1844" s="60"/>
      <c r="J1844" s="63"/>
      <c r="K1844" s="61" t="str">
        <f aca="false">IF($P1844=0,"",IF($F1844="Baseline","— Baseline",IF($O1844=0,"No result",IF($N1844=0,"No Start (attainment only)",IF(OR($N1844=1,$O1844=1),"U – needs rule",INDEX(MxBody,MATCH($I1844,MxCurr,0),MATCH($H1844,MxStart,0)))))))</f>
        <v/>
      </c>
      <c r="L1844" s="62" t="str">
        <f aca="false">IF(COUNTA($A1844,$F1844,$G1844,$H1844,$I1844,$J1844)=0,"",IF($M1844=0,"✖ كود الصف غير موجود",IF(ISNA(MATCH($F1844,Lists!$A$2:$A$5,0)),"✖ الفترة غير صحيحة",IF(ISNA(MATCH($G1844,Lists!$B$2:$B$7,0)),"✖ المجموعة غير صحيحة",IF(NOT(OR($H1844="",$N1844&gt;0)),"✖ Start غير صحيح",IF(NOT(OR($I1844="",$I1844="NR",$O1844&gt;0)),"✖ Current غير صحيح",IF(NOT(IF(ISNUMBER($J1844),AND($J1844&gt;=0,$J1844=INT($J1844)),FALSE())),"✖ العدد يجب أن يكون صحيحًا ≥ 0",IF(AND($F1844="Baseline",$H1844&lt;&gt;""),"⚠ Baseline: Start لا يدخل في التقدم",IF($K1844="No Start (attainment only)","ℹ تحصيل فقط (بدون Start)",IF($K1844="U – needs rule","ℹ حالة U تحتاج قاعدة معتمدة",IF($K1844="No result","ℹ بدون نتيجة (يُستبعد من التحصيل)","OK")))))))))))</f>
        <v/>
      </c>
      <c r="M1844" s="64" t="n">
        <f aca="false">IF($A1844="",0,IFERROR(MATCH($A1844,Classes!$A$6:$A$420,0),0))</f>
        <v>0</v>
      </c>
      <c r="N1844" s="64" t="n">
        <f aca="false">IF($H1844="",0,IFERROR(MATCH($H1844,GradeList,0),0))</f>
        <v>0</v>
      </c>
      <c r="O1844" s="64" t="n">
        <f aca="false">IF(OR($I1844="",$I1844="NR"),0,IFERROR(MATCH($I1844,GradeList,0),0))</f>
        <v>0</v>
      </c>
      <c r="P1844" s="64" t="n">
        <f aca="false">IF(AND($M1844&gt;0,ISNUMBER(MATCH($F1844,Lists!$A$2:$A$5,0)),ISNUMBER(MATCH($G1844,Lists!$B$2:$B$7,0)),OR($H1844="",$N1844&gt;0),OR($I1844="",$I1844="NR",$O1844&gt;0),IF(ISNUMBER($J1844),AND($J1844&gt;=0,$J1844=INT($J1844)),FALSE())),$J1844,0)</f>
        <v>0</v>
      </c>
      <c r="Q1844" s="64" t="n">
        <f aca="false">IF(AND($P1844&gt;0,$O1844&gt;0),$P1844,0)</f>
        <v>0</v>
      </c>
      <c r="R1844" s="64" t="n">
        <f aca="false">IF(AND($Q1844&gt;0,$O1844&gt;=AtRank),$Q1844,0)</f>
        <v>0</v>
      </c>
      <c r="S1844" s="64" t="n">
        <f aca="false">IF(AND($Q1844&gt;0,$O1844&gt;=AboveRank),$Q1844,0)</f>
        <v>0</v>
      </c>
      <c r="T1844" s="64" t="n">
        <f aca="false">IF($K1844="Less",$P1844,0)</f>
        <v>0</v>
      </c>
      <c r="U1844" s="64" t="n">
        <f aca="false">IF($K1844="Expected",$P1844,0)</f>
        <v>0</v>
      </c>
      <c r="V1844" s="64" t="n">
        <f aca="false">IF($K1844="Better",$P1844,0)</f>
        <v>0</v>
      </c>
      <c r="W1844" s="64" t="n">
        <f aca="false">IF($K1844="U – needs rule",$P1844,0)</f>
        <v>0</v>
      </c>
      <c r="X1844" s="64" t="n">
        <f aca="false">IF($K1844="No Start (attainment only)",$P1844,0)</f>
        <v>0</v>
      </c>
    </row>
    <row r="1845" customFormat="false" ht="15" hidden="false" customHeight="false" outlineLevel="0" collapsed="false">
      <c r="A1845" s="60"/>
      <c r="B1845" s="61" t="str">
        <f aca="false">IF($M1845=0,"",INDEX(Classes!$E$6:$E$420,$M1845))</f>
        <v/>
      </c>
      <c r="C1845" s="62" t="str">
        <f aca="false">IF($M1845=0,"",INDEX(Classes!$H$6:$H$420,$M1845))</f>
        <v/>
      </c>
      <c r="D1845" s="61" t="str">
        <f aca="false">IF($M1845=0,"",INDEX(Classes!$B$6:$B$420,$M1845))</f>
        <v/>
      </c>
      <c r="E1845" s="61" t="str">
        <f aca="false">IF($M1845=0,"",INDEX(Classes!$C$6:$C$420,$M1845))</f>
        <v/>
      </c>
      <c r="F1845" s="63"/>
      <c r="G1845" s="63"/>
      <c r="H1845" s="60"/>
      <c r="I1845" s="60"/>
      <c r="J1845" s="63"/>
      <c r="K1845" s="61" t="str">
        <f aca="false">IF($P1845=0,"",IF($F1845="Baseline","— Baseline",IF($O1845=0,"No result",IF($N1845=0,"No Start (attainment only)",IF(OR($N1845=1,$O1845=1),"U – needs rule",INDEX(MxBody,MATCH($I1845,MxCurr,0),MATCH($H1845,MxStart,0)))))))</f>
        <v/>
      </c>
      <c r="L1845" s="62" t="str">
        <f aca="false">IF(COUNTA($A1845,$F1845,$G1845,$H1845,$I1845,$J1845)=0,"",IF($M1845=0,"✖ كود الصف غير موجود",IF(ISNA(MATCH($F1845,Lists!$A$2:$A$5,0)),"✖ الفترة غير صحيحة",IF(ISNA(MATCH($G1845,Lists!$B$2:$B$7,0)),"✖ المجموعة غير صحيحة",IF(NOT(OR($H1845="",$N1845&gt;0)),"✖ Start غير صحيح",IF(NOT(OR($I1845="",$I1845="NR",$O1845&gt;0)),"✖ Current غير صحيح",IF(NOT(IF(ISNUMBER($J1845),AND($J1845&gt;=0,$J1845=INT($J1845)),FALSE())),"✖ العدد يجب أن يكون صحيحًا ≥ 0",IF(AND($F1845="Baseline",$H1845&lt;&gt;""),"⚠ Baseline: Start لا يدخل في التقدم",IF($K1845="No Start (attainment only)","ℹ تحصيل فقط (بدون Start)",IF($K1845="U – needs rule","ℹ حالة U تحتاج قاعدة معتمدة",IF($K1845="No result","ℹ بدون نتيجة (يُستبعد من التحصيل)","OK")))))))))))</f>
        <v/>
      </c>
      <c r="M1845" s="64" t="n">
        <f aca="false">IF($A1845="",0,IFERROR(MATCH($A1845,Classes!$A$6:$A$420,0),0))</f>
        <v>0</v>
      </c>
      <c r="N1845" s="64" t="n">
        <f aca="false">IF($H1845="",0,IFERROR(MATCH($H1845,GradeList,0),0))</f>
        <v>0</v>
      </c>
      <c r="O1845" s="64" t="n">
        <f aca="false">IF(OR($I1845="",$I1845="NR"),0,IFERROR(MATCH($I1845,GradeList,0),0))</f>
        <v>0</v>
      </c>
      <c r="P1845" s="64" t="n">
        <f aca="false">IF(AND($M1845&gt;0,ISNUMBER(MATCH($F1845,Lists!$A$2:$A$5,0)),ISNUMBER(MATCH($G1845,Lists!$B$2:$B$7,0)),OR($H1845="",$N1845&gt;0),OR($I1845="",$I1845="NR",$O1845&gt;0),IF(ISNUMBER($J1845),AND($J1845&gt;=0,$J1845=INT($J1845)),FALSE())),$J1845,0)</f>
        <v>0</v>
      </c>
      <c r="Q1845" s="64" t="n">
        <f aca="false">IF(AND($P1845&gt;0,$O1845&gt;0),$P1845,0)</f>
        <v>0</v>
      </c>
      <c r="R1845" s="64" t="n">
        <f aca="false">IF(AND($Q1845&gt;0,$O1845&gt;=AtRank),$Q1845,0)</f>
        <v>0</v>
      </c>
      <c r="S1845" s="64" t="n">
        <f aca="false">IF(AND($Q1845&gt;0,$O1845&gt;=AboveRank),$Q1845,0)</f>
        <v>0</v>
      </c>
      <c r="T1845" s="64" t="n">
        <f aca="false">IF($K1845="Less",$P1845,0)</f>
        <v>0</v>
      </c>
      <c r="U1845" s="64" t="n">
        <f aca="false">IF($K1845="Expected",$P1845,0)</f>
        <v>0</v>
      </c>
      <c r="V1845" s="64" t="n">
        <f aca="false">IF($K1845="Better",$P1845,0)</f>
        <v>0</v>
      </c>
      <c r="W1845" s="64" t="n">
        <f aca="false">IF($K1845="U – needs rule",$P1845,0)</f>
        <v>0</v>
      </c>
      <c r="X1845" s="64" t="n">
        <f aca="false">IF($K1845="No Start (attainment only)",$P1845,0)</f>
        <v>0</v>
      </c>
    </row>
    <row r="1846" customFormat="false" ht="15" hidden="false" customHeight="false" outlineLevel="0" collapsed="false">
      <c r="A1846" s="60"/>
      <c r="B1846" s="61" t="str">
        <f aca="false">IF($M1846=0,"",INDEX(Classes!$E$6:$E$420,$M1846))</f>
        <v/>
      </c>
      <c r="C1846" s="62" t="str">
        <f aca="false">IF($M1846=0,"",INDEX(Classes!$H$6:$H$420,$M1846))</f>
        <v/>
      </c>
      <c r="D1846" s="61" t="str">
        <f aca="false">IF($M1846=0,"",INDEX(Classes!$B$6:$B$420,$M1846))</f>
        <v/>
      </c>
      <c r="E1846" s="61" t="str">
        <f aca="false">IF($M1846=0,"",INDEX(Classes!$C$6:$C$420,$M1846))</f>
        <v/>
      </c>
      <c r="F1846" s="63"/>
      <c r="G1846" s="63"/>
      <c r="H1846" s="60"/>
      <c r="I1846" s="60"/>
      <c r="J1846" s="63"/>
      <c r="K1846" s="61" t="str">
        <f aca="false">IF($P1846=0,"",IF($F1846="Baseline","— Baseline",IF($O1846=0,"No result",IF($N1846=0,"No Start (attainment only)",IF(OR($N1846=1,$O1846=1),"U – needs rule",INDEX(MxBody,MATCH($I1846,MxCurr,0),MATCH($H1846,MxStart,0)))))))</f>
        <v/>
      </c>
      <c r="L1846" s="62" t="str">
        <f aca="false">IF(COUNTA($A1846,$F1846,$G1846,$H1846,$I1846,$J1846)=0,"",IF($M1846=0,"✖ كود الصف غير موجود",IF(ISNA(MATCH($F1846,Lists!$A$2:$A$5,0)),"✖ الفترة غير صحيحة",IF(ISNA(MATCH($G1846,Lists!$B$2:$B$7,0)),"✖ المجموعة غير صحيحة",IF(NOT(OR($H1846="",$N1846&gt;0)),"✖ Start غير صحيح",IF(NOT(OR($I1846="",$I1846="NR",$O1846&gt;0)),"✖ Current غير صحيح",IF(NOT(IF(ISNUMBER($J1846),AND($J1846&gt;=0,$J1846=INT($J1846)),FALSE())),"✖ العدد يجب أن يكون صحيحًا ≥ 0",IF(AND($F1846="Baseline",$H1846&lt;&gt;""),"⚠ Baseline: Start لا يدخل في التقدم",IF($K1846="No Start (attainment only)","ℹ تحصيل فقط (بدون Start)",IF($K1846="U – needs rule","ℹ حالة U تحتاج قاعدة معتمدة",IF($K1846="No result","ℹ بدون نتيجة (يُستبعد من التحصيل)","OK")))))))))))</f>
        <v/>
      </c>
      <c r="M1846" s="64" t="n">
        <f aca="false">IF($A1846="",0,IFERROR(MATCH($A1846,Classes!$A$6:$A$420,0),0))</f>
        <v>0</v>
      </c>
      <c r="N1846" s="64" t="n">
        <f aca="false">IF($H1846="",0,IFERROR(MATCH($H1846,GradeList,0),0))</f>
        <v>0</v>
      </c>
      <c r="O1846" s="64" t="n">
        <f aca="false">IF(OR($I1846="",$I1846="NR"),0,IFERROR(MATCH($I1846,GradeList,0),0))</f>
        <v>0</v>
      </c>
      <c r="P1846" s="64" t="n">
        <f aca="false">IF(AND($M1846&gt;0,ISNUMBER(MATCH($F1846,Lists!$A$2:$A$5,0)),ISNUMBER(MATCH($G1846,Lists!$B$2:$B$7,0)),OR($H1846="",$N1846&gt;0),OR($I1846="",$I1846="NR",$O1846&gt;0),IF(ISNUMBER($J1846),AND($J1846&gt;=0,$J1846=INT($J1846)),FALSE())),$J1846,0)</f>
        <v>0</v>
      </c>
      <c r="Q1846" s="64" t="n">
        <f aca="false">IF(AND($P1846&gt;0,$O1846&gt;0),$P1846,0)</f>
        <v>0</v>
      </c>
      <c r="R1846" s="64" t="n">
        <f aca="false">IF(AND($Q1846&gt;0,$O1846&gt;=AtRank),$Q1846,0)</f>
        <v>0</v>
      </c>
      <c r="S1846" s="64" t="n">
        <f aca="false">IF(AND($Q1846&gt;0,$O1846&gt;=AboveRank),$Q1846,0)</f>
        <v>0</v>
      </c>
      <c r="T1846" s="64" t="n">
        <f aca="false">IF($K1846="Less",$P1846,0)</f>
        <v>0</v>
      </c>
      <c r="U1846" s="64" t="n">
        <f aca="false">IF($K1846="Expected",$P1846,0)</f>
        <v>0</v>
      </c>
      <c r="V1846" s="64" t="n">
        <f aca="false">IF($K1846="Better",$P1846,0)</f>
        <v>0</v>
      </c>
      <c r="W1846" s="64" t="n">
        <f aca="false">IF($K1846="U – needs rule",$P1846,0)</f>
        <v>0</v>
      </c>
      <c r="X1846" s="64" t="n">
        <f aca="false">IF($K1846="No Start (attainment only)",$P1846,0)</f>
        <v>0</v>
      </c>
    </row>
    <row r="1847" customFormat="false" ht="15" hidden="false" customHeight="false" outlineLevel="0" collapsed="false">
      <c r="A1847" s="60"/>
      <c r="B1847" s="61" t="str">
        <f aca="false">IF($M1847=0,"",INDEX(Classes!$E$6:$E$420,$M1847))</f>
        <v/>
      </c>
      <c r="C1847" s="62" t="str">
        <f aca="false">IF($M1847=0,"",INDEX(Classes!$H$6:$H$420,$M1847))</f>
        <v/>
      </c>
      <c r="D1847" s="61" t="str">
        <f aca="false">IF($M1847=0,"",INDEX(Classes!$B$6:$B$420,$M1847))</f>
        <v/>
      </c>
      <c r="E1847" s="61" t="str">
        <f aca="false">IF($M1847=0,"",INDEX(Classes!$C$6:$C$420,$M1847))</f>
        <v/>
      </c>
      <c r="F1847" s="63"/>
      <c r="G1847" s="63"/>
      <c r="H1847" s="60"/>
      <c r="I1847" s="60"/>
      <c r="J1847" s="63"/>
      <c r="K1847" s="61" t="str">
        <f aca="false">IF($P1847=0,"",IF($F1847="Baseline","— Baseline",IF($O1847=0,"No result",IF($N1847=0,"No Start (attainment only)",IF(OR($N1847=1,$O1847=1),"U – needs rule",INDEX(MxBody,MATCH($I1847,MxCurr,0),MATCH($H1847,MxStart,0)))))))</f>
        <v/>
      </c>
      <c r="L1847" s="62" t="str">
        <f aca="false">IF(COUNTA($A1847,$F1847,$G1847,$H1847,$I1847,$J1847)=0,"",IF($M1847=0,"✖ كود الصف غير موجود",IF(ISNA(MATCH($F1847,Lists!$A$2:$A$5,0)),"✖ الفترة غير صحيحة",IF(ISNA(MATCH($G1847,Lists!$B$2:$B$7,0)),"✖ المجموعة غير صحيحة",IF(NOT(OR($H1847="",$N1847&gt;0)),"✖ Start غير صحيح",IF(NOT(OR($I1847="",$I1847="NR",$O1847&gt;0)),"✖ Current غير صحيح",IF(NOT(IF(ISNUMBER($J1847),AND($J1847&gt;=0,$J1847=INT($J1847)),FALSE())),"✖ العدد يجب أن يكون صحيحًا ≥ 0",IF(AND($F1847="Baseline",$H1847&lt;&gt;""),"⚠ Baseline: Start لا يدخل في التقدم",IF($K1847="No Start (attainment only)","ℹ تحصيل فقط (بدون Start)",IF($K1847="U – needs rule","ℹ حالة U تحتاج قاعدة معتمدة",IF($K1847="No result","ℹ بدون نتيجة (يُستبعد من التحصيل)","OK")))))))))))</f>
        <v/>
      </c>
      <c r="M1847" s="64" t="n">
        <f aca="false">IF($A1847="",0,IFERROR(MATCH($A1847,Classes!$A$6:$A$420,0),0))</f>
        <v>0</v>
      </c>
      <c r="N1847" s="64" t="n">
        <f aca="false">IF($H1847="",0,IFERROR(MATCH($H1847,GradeList,0),0))</f>
        <v>0</v>
      </c>
      <c r="O1847" s="64" t="n">
        <f aca="false">IF(OR($I1847="",$I1847="NR"),0,IFERROR(MATCH($I1847,GradeList,0),0))</f>
        <v>0</v>
      </c>
      <c r="P1847" s="64" t="n">
        <f aca="false">IF(AND($M1847&gt;0,ISNUMBER(MATCH($F1847,Lists!$A$2:$A$5,0)),ISNUMBER(MATCH($G1847,Lists!$B$2:$B$7,0)),OR($H1847="",$N1847&gt;0),OR($I1847="",$I1847="NR",$O1847&gt;0),IF(ISNUMBER($J1847),AND($J1847&gt;=0,$J1847=INT($J1847)),FALSE())),$J1847,0)</f>
        <v>0</v>
      </c>
      <c r="Q1847" s="64" t="n">
        <f aca="false">IF(AND($P1847&gt;0,$O1847&gt;0),$P1847,0)</f>
        <v>0</v>
      </c>
      <c r="R1847" s="64" t="n">
        <f aca="false">IF(AND($Q1847&gt;0,$O1847&gt;=AtRank),$Q1847,0)</f>
        <v>0</v>
      </c>
      <c r="S1847" s="64" t="n">
        <f aca="false">IF(AND($Q1847&gt;0,$O1847&gt;=AboveRank),$Q1847,0)</f>
        <v>0</v>
      </c>
      <c r="T1847" s="64" t="n">
        <f aca="false">IF($K1847="Less",$P1847,0)</f>
        <v>0</v>
      </c>
      <c r="U1847" s="64" t="n">
        <f aca="false">IF($K1847="Expected",$P1847,0)</f>
        <v>0</v>
      </c>
      <c r="V1847" s="64" t="n">
        <f aca="false">IF($K1847="Better",$P1847,0)</f>
        <v>0</v>
      </c>
      <c r="W1847" s="64" t="n">
        <f aca="false">IF($K1847="U – needs rule",$P1847,0)</f>
        <v>0</v>
      </c>
      <c r="X1847" s="64" t="n">
        <f aca="false">IF($K1847="No Start (attainment only)",$P1847,0)</f>
        <v>0</v>
      </c>
    </row>
    <row r="1848" customFormat="false" ht="15" hidden="false" customHeight="false" outlineLevel="0" collapsed="false">
      <c r="A1848" s="60"/>
      <c r="B1848" s="61" t="str">
        <f aca="false">IF($M1848=0,"",INDEX(Classes!$E$6:$E$420,$M1848))</f>
        <v/>
      </c>
      <c r="C1848" s="62" t="str">
        <f aca="false">IF($M1848=0,"",INDEX(Classes!$H$6:$H$420,$M1848))</f>
        <v/>
      </c>
      <c r="D1848" s="61" t="str">
        <f aca="false">IF($M1848=0,"",INDEX(Classes!$B$6:$B$420,$M1848))</f>
        <v/>
      </c>
      <c r="E1848" s="61" t="str">
        <f aca="false">IF($M1848=0,"",INDEX(Classes!$C$6:$C$420,$M1848))</f>
        <v/>
      </c>
      <c r="F1848" s="63"/>
      <c r="G1848" s="63"/>
      <c r="H1848" s="60"/>
      <c r="I1848" s="60"/>
      <c r="J1848" s="63"/>
      <c r="K1848" s="61" t="str">
        <f aca="false">IF($P1848=0,"",IF($F1848="Baseline","— Baseline",IF($O1848=0,"No result",IF($N1848=0,"No Start (attainment only)",IF(OR($N1848=1,$O1848=1),"U – needs rule",INDEX(MxBody,MATCH($I1848,MxCurr,0),MATCH($H1848,MxStart,0)))))))</f>
        <v/>
      </c>
      <c r="L1848" s="62" t="str">
        <f aca="false">IF(COUNTA($A1848,$F1848,$G1848,$H1848,$I1848,$J1848)=0,"",IF($M1848=0,"✖ كود الصف غير موجود",IF(ISNA(MATCH($F1848,Lists!$A$2:$A$5,0)),"✖ الفترة غير صحيحة",IF(ISNA(MATCH($G1848,Lists!$B$2:$B$7,0)),"✖ المجموعة غير صحيحة",IF(NOT(OR($H1848="",$N1848&gt;0)),"✖ Start غير صحيح",IF(NOT(OR($I1848="",$I1848="NR",$O1848&gt;0)),"✖ Current غير صحيح",IF(NOT(IF(ISNUMBER($J1848),AND($J1848&gt;=0,$J1848=INT($J1848)),FALSE())),"✖ العدد يجب أن يكون صحيحًا ≥ 0",IF(AND($F1848="Baseline",$H1848&lt;&gt;""),"⚠ Baseline: Start لا يدخل في التقدم",IF($K1848="No Start (attainment only)","ℹ تحصيل فقط (بدون Start)",IF($K1848="U – needs rule","ℹ حالة U تحتاج قاعدة معتمدة",IF($K1848="No result","ℹ بدون نتيجة (يُستبعد من التحصيل)","OK")))))))))))</f>
        <v/>
      </c>
      <c r="M1848" s="64" t="n">
        <f aca="false">IF($A1848="",0,IFERROR(MATCH($A1848,Classes!$A$6:$A$420,0),0))</f>
        <v>0</v>
      </c>
      <c r="N1848" s="64" t="n">
        <f aca="false">IF($H1848="",0,IFERROR(MATCH($H1848,GradeList,0),0))</f>
        <v>0</v>
      </c>
      <c r="O1848" s="64" t="n">
        <f aca="false">IF(OR($I1848="",$I1848="NR"),0,IFERROR(MATCH($I1848,GradeList,0),0))</f>
        <v>0</v>
      </c>
      <c r="P1848" s="64" t="n">
        <f aca="false">IF(AND($M1848&gt;0,ISNUMBER(MATCH($F1848,Lists!$A$2:$A$5,0)),ISNUMBER(MATCH($G1848,Lists!$B$2:$B$7,0)),OR($H1848="",$N1848&gt;0),OR($I1848="",$I1848="NR",$O1848&gt;0),IF(ISNUMBER($J1848),AND($J1848&gt;=0,$J1848=INT($J1848)),FALSE())),$J1848,0)</f>
        <v>0</v>
      </c>
      <c r="Q1848" s="64" t="n">
        <f aca="false">IF(AND($P1848&gt;0,$O1848&gt;0),$P1848,0)</f>
        <v>0</v>
      </c>
      <c r="R1848" s="64" t="n">
        <f aca="false">IF(AND($Q1848&gt;0,$O1848&gt;=AtRank),$Q1848,0)</f>
        <v>0</v>
      </c>
      <c r="S1848" s="64" t="n">
        <f aca="false">IF(AND($Q1848&gt;0,$O1848&gt;=AboveRank),$Q1848,0)</f>
        <v>0</v>
      </c>
      <c r="T1848" s="64" t="n">
        <f aca="false">IF($K1848="Less",$P1848,0)</f>
        <v>0</v>
      </c>
      <c r="U1848" s="64" t="n">
        <f aca="false">IF($K1848="Expected",$P1848,0)</f>
        <v>0</v>
      </c>
      <c r="V1848" s="64" t="n">
        <f aca="false">IF($K1848="Better",$P1848,0)</f>
        <v>0</v>
      </c>
      <c r="W1848" s="64" t="n">
        <f aca="false">IF($K1848="U – needs rule",$P1848,0)</f>
        <v>0</v>
      </c>
      <c r="X1848" s="64" t="n">
        <f aca="false">IF($K1848="No Start (attainment only)",$P1848,0)</f>
        <v>0</v>
      </c>
    </row>
    <row r="1849" customFormat="false" ht="15" hidden="false" customHeight="false" outlineLevel="0" collapsed="false">
      <c r="A1849" s="60"/>
      <c r="B1849" s="61" t="str">
        <f aca="false">IF($M1849=0,"",INDEX(Classes!$E$6:$E$420,$M1849))</f>
        <v/>
      </c>
      <c r="C1849" s="62" t="str">
        <f aca="false">IF($M1849=0,"",INDEX(Classes!$H$6:$H$420,$M1849))</f>
        <v/>
      </c>
      <c r="D1849" s="61" t="str">
        <f aca="false">IF($M1849=0,"",INDEX(Classes!$B$6:$B$420,$M1849))</f>
        <v/>
      </c>
      <c r="E1849" s="61" t="str">
        <f aca="false">IF($M1849=0,"",INDEX(Classes!$C$6:$C$420,$M1849))</f>
        <v/>
      </c>
      <c r="F1849" s="63"/>
      <c r="G1849" s="63"/>
      <c r="H1849" s="60"/>
      <c r="I1849" s="60"/>
      <c r="J1849" s="63"/>
      <c r="K1849" s="61" t="str">
        <f aca="false">IF($P1849=0,"",IF($F1849="Baseline","— Baseline",IF($O1849=0,"No result",IF($N1849=0,"No Start (attainment only)",IF(OR($N1849=1,$O1849=1),"U – needs rule",INDEX(MxBody,MATCH($I1849,MxCurr,0),MATCH($H1849,MxStart,0)))))))</f>
        <v/>
      </c>
      <c r="L1849" s="62" t="str">
        <f aca="false">IF(COUNTA($A1849,$F1849,$G1849,$H1849,$I1849,$J1849)=0,"",IF($M1849=0,"✖ كود الصف غير موجود",IF(ISNA(MATCH($F1849,Lists!$A$2:$A$5,0)),"✖ الفترة غير صحيحة",IF(ISNA(MATCH($G1849,Lists!$B$2:$B$7,0)),"✖ المجموعة غير صحيحة",IF(NOT(OR($H1849="",$N1849&gt;0)),"✖ Start غير صحيح",IF(NOT(OR($I1849="",$I1849="NR",$O1849&gt;0)),"✖ Current غير صحيح",IF(NOT(IF(ISNUMBER($J1849),AND($J1849&gt;=0,$J1849=INT($J1849)),FALSE())),"✖ العدد يجب أن يكون صحيحًا ≥ 0",IF(AND($F1849="Baseline",$H1849&lt;&gt;""),"⚠ Baseline: Start لا يدخل في التقدم",IF($K1849="No Start (attainment only)","ℹ تحصيل فقط (بدون Start)",IF($K1849="U – needs rule","ℹ حالة U تحتاج قاعدة معتمدة",IF($K1849="No result","ℹ بدون نتيجة (يُستبعد من التحصيل)","OK")))))))))))</f>
        <v/>
      </c>
      <c r="M1849" s="64" t="n">
        <f aca="false">IF($A1849="",0,IFERROR(MATCH($A1849,Classes!$A$6:$A$420,0),0))</f>
        <v>0</v>
      </c>
      <c r="N1849" s="64" t="n">
        <f aca="false">IF($H1849="",0,IFERROR(MATCH($H1849,GradeList,0),0))</f>
        <v>0</v>
      </c>
      <c r="O1849" s="64" t="n">
        <f aca="false">IF(OR($I1849="",$I1849="NR"),0,IFERROR(MATCH($I1849,GradeList,0),0))</f>
        <v>0</v>
      </c>
      <c r="P1849" s="64" t="n">
        <f aca="false">IF(AND($M1849&gt;0,ISNUMBER(MATCH($F1849,Lists!$A$2:$A$5,0)),ISNUMBER(MATCH($G1849,Lists!$B$2:$B$7,0)),OR($H1849="",$N1849&gt;0),OR($I1849="",$I1849="NR",$O1849&gt;0),IF(ISNUMBER($J1849),AND($J1849&gt;=0,$J1849=INT($J1849)),FALSE())),$J1849,0)</f>
        <v>0</v>
      </c>
      <c r="Q1849" s="64" t="n">
        <f aca="false">IF(AND($P1849&gt;0,$O1849&gt;0),$P1849,0)</f>
        <v>0</v>
      </c>
      <c r="R1849" s="64" t="n">
        <f aca="false">IF(AND($Q1849&gt;0,$O1849&gt;=AtRank),$Q1849,0)</f>
        <v>0</v>
      </c>
      <c r="S1849" s="64" t="n">
        <f aca="false">IF(AND($Q1849&gt;0,$O1849&gt;=AboveRank),$Q1849,0)</f>
        <v>0</v>
      </c>
      <c r="T1849" s="64" t="n">
        <f aca="false">IF($K1849="Less",$P1849,0)</f>
        <v>0</v>
      </c>
      <c r="U1849" s="64" t="n">
        <f aca="false">IF($K1849="Expected",$P1849,0)</f>
        <v>0</v>
      </c>
      <c r="V1849" s="64" t="n">
        <f aca="false">IF($K1849="Better",$P1849,0)</f>
        <v>0</v>
      </c>
      <c r="W1849" s="64" t="n">
        <f aca="false">IF($K1849="U – needs rule",$P1849,0)</f>
        <v>0</v>
      </c>
      <c r="X1849" s="64" t="n">
        <f aca="false">IF($K1849="No Start (attainment only)",$P1849,0)</f>
        <v>0</v>
      </c>
    </row>
    <row r="1850" customFormat="false" ht="15" hidden="false" customHeight="false" outlineLevel="0" collapsed="false">
      <c r="A1850" s="60"/>
      <c r="B1850" s="61" t="str">
        <f aca="false">IF($M1850=0,"",INDEX(Classes!$E$6:$E$420,$M1850))</f>
        <v/>
      </c>
      <c r="C1850" s="62" t="str">
        <f aca="false">IF($M1850=0,"",INDEX(Classes!$H$6:$H$420,$M1850))</f>
        <v/>
      </c>
      <c r="D1850" s="61" t="str">
        <f aca="false">IF($M1850=0,"",INDEX(Classes!$B$6:$B$420,$M1850))</f>
        <v/>
      </c>
      <c r="E1850" s="61" t="str">
        <f aca="false">IF($M1850=0,"",INDEX(Classes!$C$6:$C$420,$M1850))</f>
        <v/>
      </c>
      <c r="F1850" s="63"/>
      <c r="G1850" s="63"/>
      <c r="H1850" s="60"/>
      <c r="I1850" s="60"/>
      <c r="J1850" s="63"/>
      <c r="K1850" s="61" t="str">
        <f aca="false">IF($P1850=0,"",IF($F1850="Baseline","— Baseline",IF($O1850=0,"No result",IF($N1850=0,"No Start (attainment only)",IF(OR($N1850=1,$O1850=1),"U – needs rule",INDEX(MxBody,MATCH($I1850,MxCurr,0),MATCH($H1850,MxStart,0)))))))</f>
        <v/>
      </c>
      <c r="L1850" s="62" t="str">
        <f aca="false">IF(COUNTA($A1850,$F1850,$G1850,$H1850,$I1850,$J1850)=0,"",IF($M1850=0,"✖ كود الصف غير موجود",IF(ISNA(MATCH($F1850,Lists!$A$2:$A$5,0)),"✖ الفترة غير صحيحة",IF(ISNA(MATCH($G1850,Lists!$B$2:$B$7,0)),"✖ المجموعة غير صحيحة",IF(NOT(OR($H1850="",$N1850&gt;0)),"✖ Start غير صحيح",IF(NOT(OR($I1850="",$I1850="NR",$O1850&gt;0)),"✖ Current غير صحيح",IF(NOT(IF(ISNUMBER($J1850),AND($J1850&gt;=0,$J1850=INT($J1850)),FALSE())),"✖ العدد يجب أن يكون صحيحًا ≥ 0",IF(AND($F1850="Baseline",$H1850&lt;&gt;""),"⚠ Baseline: Start لا يدخل في التقدم",IF($K1850="No Start (attainment only)","ℹ تحصيل فقط (بدون Start)",IF($K1850="U – needs rule","ℹ حالة U تحتاج قاعدة معتمدة",IF($K1850="No result","ℹ بدون نتيجة (يُستبعد من التحصيل)","OK")))))))))))</f>
        <v/>
      </c>
      <c r="M1850" s="64" t="n">
        <f aca="false">IF($A1850="",0,IFERROR(MATCH($A1850,Classes!$A$6:$A$420,0),0))</f>
        <v>0</v>
      </c>
      <c r="N1850" s="64" t="n">
        <f aca="false">IF($H1850="",0,IFERROR(MATCH($H1850,GradeList,0),0))</f>
        <v>0</v>
      </c>
      <c r="O1850" s="64" t="n">
        <f aca="false">IF(OR($I1850="",$I1850="NR"),0,IFERROR(MATCH($I1850,GradeList,0),0))</f>
        <v>0</v>
      </c>
      <c r="P1850" s="64" t="n">
        <f aca="false">IF(AND($M1850&gt;0,ISNUMBER(MATCH($F1850,Lists!$A$2:$A$5,0)),ISNUMBER(MATCH($G1850,Lists!$B$2:$B$7,0)),OR($H1850="",$N1850&gt;0),OR($I1850="",$I1850="NR",$O1850&gt;0),IF(ISNUMBER($J1850),AND($J1850&gt;=0,$J1850=INT($J1850)),FALSE())),$J1850,0)</f>
        <v>0</v>
      </c>
      <c r="Q1850" s="64" t="n">
        <f aca="false">IF(AND($P1850&gt;0,$O1850&gt;0),$P1850,0)</f>
        <v>0</v>
      </c>
      <c r="R1850" s="64" t="n">
        <f aca="false">IF(AND($Q1850&gt;0,$O1850&gt;=AtRank),$Q1850,0)</f>
        <v>0</v>
      </c>
      <c r="S1850" s="64" t="n">
        <f aca="false">IF(AND($Q1850&gt;0,$O1850&gt;=AboveRank),$Q1850,0)</f>
        <v>0</v>
      </c>
      <c r="T1850" s="64" t="n">
        <f aca="false">IF($K1850="Less",$P1850,0)</f>
        <v>0</v>
      </c>
      <c r="U1850" s="64" t="n">
        <f aca="false">IF($K1850="Expected",$P1850,0)</f>
        <v>0</v>
      </c>
      <c r="V1850" s="64" t="n">
        <f aca="false">IF($K1850="Better",$P1850,0)</f>
        <v>0</v>
      </c>
      <c r="W1850" s="64" t="n">
        <f aca="false">IF($K1850="U – needs rule",$P1850,0)</f>
        <v>0</v>
      </c>
      <c r="X1850" s="64" t="n">
        <f aca="false">IF($K1850="No Start (attainment only)",$P1850,0)</f>
        <v>0</v>
      </c>
    </row>
    <row r="1851" customFormat="false" ht="15" hidden="false" customHeight="false" outlineLevel="0" collapsed="false">
      <c r="A1851" s="60"/>
      <c r="B1851" s="61" t="str">
        <f aca="false">IF($M1851=0,"",INDEX(Classes!$E$6:$E$420,$M1851))</f>
        <v/>
      </c>
      <c r="C1851" s="62" t="str">
        <f aca="false">IF($M1851=0,"",INDEX(Classes!$H$6:$H$420,$M1851))</f>
        <v/>
      </c>
      <c r="D1851" s="61" t="str">
        <f aca="false">IF($M1851=0,"",INDEX(Classes!$B$6:$B$420,$M1851))</f>
        <v/>
      </c>
      <c r="E1851" s="61" t="str">
        <f aca="false">IF($M1851=0,"",INDEX(Classes!$C$6:$C$420,$M1851))</f>
        <v/>
      </c>
      <c r="F1851" s="63"/>
      <c r="G1851" s="63"/>
      <c r="H1851" s="60"/>
      <c r="I1851" s="60"/>
      <c r="J1851" s="63"/>
      <c r="K1851" s="61" t="str">
        <f aca="false">IF($P1851=0,"",IF($F1851="Baseline","— Baseline",IF($O1851=0,"No result",IF($N1851=0,"No Start (attainment only)",IF(OR($N1851=1,$O1851=1),"U – needs rule",INDEX(MxBody,MATCH($I1851,MxCurr,0),MATCH($H1851,MxStart,0)))))))</f>
        <v/>
      </c>
      <c r="L1851" s="62" t="str">
        <f aca="false">IF(COUNTA($A1851,$F1851,$G1851,$H1851,$I1851,$J1851)=0,"",IF($M1851=0,"✖ كود الصف غير موجود",IF(ISNA(MATCH($F1851,Lists!$A$2:$A$5,0)),"✖ الفترة غير صحيحة",IF(ISNA(MATCH($G1851,Lists!$B$2:$B$7,0)),"✖ المجموعة غير صحيحة",IF(NOT(OR($H1851="",$N1851&gt;0)),"✖ Start غير صحيح",IF(NOT(OR($I1851="",$I1851="NR",$O1851&gt;0)),"✖ Current غير صحيح",IF(NOT(IF(ISNUMBER($J1851),AND($J1851&gt;=0,$J1851=INT($J1851)),FALSE())),"✖ العدد يجب أن يكون صحيحًا ≥ 0",IF(AND($F1851="Baseline",$H1851&lt;&gt;""),"⚠ Baseline: Start لا يدخل في التقدم",IF($K1851="No Start (attainment only)","ℹ تحصيل فقط (بدون Start)",IF($K1851="U – needs rule","ℹ حالة U تحتاج قاعدة معتمدة",IF($K1851="No result","ℹ بدون نتيجة (يُستبعد من التحصيل)","OK")))))))))))</f>
        <v/>
      </c>
      <c r="M1851" s="64" t="n">
        <f aca="false">IF($A1851="",0,IFERROR(MATCH($A1851,Classes!$A$6:$A$420,0),0))</f>
        <v>0</v>
      </c>
      <c r="N1851" s="64" t="n">
        <f aca="false">IF($H1851="",0,IFERROR(MATCH($H1851,GradeList,0),0))</f>
        <v>0</v>
      </c>
      <c r="O1851" s="64" t="n">
        <f aca="false">IF(OR($I1851="",$I1851="NR"),0,IFERROR(MATCH($I1851,GradeList,0),0))</f>
        <v>0</v>
      </c>
      <c r="P1851" s="64" t="n">
        <f aca="false">IF(AND($M1851&gt;0,ISNUMBER(MATCH($F1851,Lists!$A$2:$A$5,0)),ISNUMBER(MATCH($G1851,Lists!$B$2:$B$7,0)),OR($H1851="",$N1851&gt;0),OR($I1851="",$I1851="NR",$O1851&gt;0),IF(ISNUMBER($J1851),AND($J1851&gt;=0,$J1851=INT($J1851)),FALSE())),$J1851,0)</f>
        <v>0</v>
      </c>
      <c r="Q1851" s="64" t="n">
        <f aca="false">IF(AND($P1851&gt;0,$O1851&gt;0),$P1851,0)</f>
        <v>0</v>
      </c>
      <c r="R1851" s="64" t="n">
        <f aca="false">IF(AND($Q1851&gt;0,$O1851&gt;=AtRank),$Q1851,0)</f>
        <v>0</v>
      </c>
      <c r="S1851" s="64" t="n">
        <f aca="false">IF(AND($Q1851&gt;0,$O1851&gt;=AboveRank),$Q1851,0)</f>
        <v>0</v>
      </c>
      <c r="T1851" s="64" t="n">
        <f aca="false">IF($K1851="Less",$P1851,0)</f>
        <v>0</v>
      </c>
      <c r="U1851" s="64" t="n">
        <f aca="false">IF($K1851="Expected",$P1851,0)</f>
        <v>0</v>
      </c>
      <c r="V1851" s="64" t="n">
        <f aca="false">IF($K1851="Better",$P1851,0)</f>
        <v>0</v>
      </c>
      <c r="W1851" s="64" t="n">
        <f aca="false">IF($K1851="U – needs rule",$P1851,0)</f>
        <v>0</v>
      </c>
      <c r="X1851" s="64" t="n">
        <f aca="false">IF($K1851="No Start (attainment only)",$P1851,0)</f>
        <v>0</v>
      </c>
    </row>
    <row r="1852" customFormat="false" ht="15" hidden="false" customHeight="false" outlineLevel="0" collapsed="false">
      <c r="A1852" s="60"/>
      <c r="B1852" s="61" t="str">
        <f aca="false">IF($M1852=0,"",INDEX(Classes!$E$6:$E$420,$M1852))</f>
        <v/>
      </c>
      <c r="C1852" s="62" t="str">
        <f aca="false">IF($M1852=0,"",INDEX(Classes!$H$6:$H$420,$M1852))</f>
        <v/>
      </c>
      <c r="D1852" s="61" t="str">
        <f aca="false">IF($M1852=0,"",INDEX(Classes!$B$6:$B$420,$M1852))</f>
        <v/>
      </c>
      <c r="E1852" s="61" t="str">
        <f aca="false">IF($M1852=0,"",INDEX(Classes!$C$6:$C$420,$M1852))</f>
        <v/>
      </c>
      <c r="F1852" s="63"/>
      <c r="G1852" s="63"/>
      <c r="H1852" s="60"/>
      <c r="I1852" s="60"/>
      <c r="J1852" s="63"/>
      <c r="K1852" s="61" t="str">
        <f aca="false">IF($P1852=0,"",IF($F1852="Baseline","— Baseline",IF($O1852=0,"No result",IF($N1852=0,"No Start (attainment only)",IF(OR($N1852=1,$O1852=1),"U – needs rule",INDEX(MxBody,MATCH($I1852,MxCurr,0),MATCH($H1852,MxStart,0)))))))</f>
        <v/>
      </c>
      <c r="L1852" s="62" t="str">
        <f aca="false">IF(COUNTA($A1852,$F1852,$G1852,$H1852,$I1852,$J1852)=0,"",IF($M1852=0,"✖ كود الصف غير موجود",IF(ISNA(MATCH($F1852,Lists!$A$2:$A$5,0)),"✖ الفترة غير صحيحة",IF(ISNA(MATCH($G1852,Lists!$B$2:$B$7,0)),"✖ المجموعة غير صحيحة",IF(NOT(OR($H1852="",$N1852&gt;0)),"✖ Start غير صحيح",IF(NOT(OR($I1852="",$I1852="NR",$O1852&gt;0)),"✖ Current غير صحيح",IF(NOT(IF(ISNUMBER($J1852),AND($J1852&gt;=0,$J1852=INT($J1852)),FALSE())),"✖ العدد يجب أن يكون صحيحًا ≥ 0",IF(AND($F1852="Baseline",$H1852&lt;&gt;""),"⚠ Baseline: Start لا يدخل في التقدم",IF($K1852="No Start (attainment only)","ℹ تحصيل فقط (بدون Start)",IF($K1852="U – needs rule","ℹ حالة U تحتاج قاعدة معتمدة",IF($K1852="No result","ℹ بدون نتيجة (يُستبعد من التحصيل)","OK")))))))))))</f>
        <v/>
      </c>
      <c r="M1852" s="64" t="n">
        <f aca="false">IF($A1852="",0,IFERROR(MATCH($A1852,Classes!$A$6:$A$420,0),0))</f>
        <v>0</v>
      </c>
      <c r="N1852" s="64" t="n">
        <f aca="false">IF($H1852="",0,IFERROR(MATCH($H1852,GradeList,0),0))</f>
        <v>0</v>
      </c>
      <c r="O1852" s="64" t="n">
        <f aca="false">IF(OR($I1852="",$I1852="NR"),0,IFERROR(MATCH($I1852,GradeList,0),0))</f>
        <v>0</v>
      </c>
      <c r="P1852" s="64" t="n">
        <f aca="false">IF(AND($M1852&gt;0,ISNUMBER(MATCH($F1852,Lists!$A$2:$A$5,0)),ISNUMBER(MATCH($G1852,Lists!$B$2:$B$7,0)),OR($H1852="",$N1852&gt;0),OR($I1852="",$I1852="NR",$O1852&gt;0),IF(ISNUMBER($J1852),AND($J1852&gt;=0,$J1852=INT($J1852)),FALSE())),$J1852,0)</f>
        <v>0</v>
      </c>
      <c r="Q1852" s="64" t="n">
        <f aca="false">IF(AND($P1852&gt;0,$O1852&gt;0),$P1852,0)</f>
        <v>0</v>
      </c>
      <c r="R1852" s="64" t="n">
        <f aca="false">IF(AND($Q1852&gt;0,$O1852&gt;=AtRank),$Q1852,0)</f>
        <v>0</v>
      </c>
      <c r="S1852" s="64" t="n">
        <f aca="false">IF(AND($Q1852&gt;0,$O1852&gt;=AboveRank),$Q1852,0)</f>
        <v>0</v>
      </c>
      <c r="T1852" s="64" t="n">
        <f aca="false">IF($K1852="Less",$P1852,0)</f>
        <v>0</v>
      </c>
      <c r="U1852" s="64" t="n">
        <f aca="false">IF($K1852="Expected",$P1852,0)</f>
        <v>0</v>
      </c>
      <c r="V1852" s="64" t="n">
        <f aca="false">IF($K1852="Better",$P1852,0)</f>
        <v>0</v>
      </c>
      <c r="W1852" s="64" t="n">
        <f aca="false">IF($K1852="U – needs rule",$P1852,0)</f>
        <v>0</v>
      </c>
      <c r="X1852" s="64" t="n">
        <f aca="false">IF($K1852="No Start (attainment only)",$P1852,0)</f>
        <v>0</v>
      </c>
    </row>
    <row r="1853" customFormat="false" ht="15" hidden="false" customHeight="false" outlineLevel="0" collapsed="false">
      <c r="A1853" s="60"/>
      <c r="B1853" s="61" t="str">
        <f aca="false">IF($M1853=0,"",INDEX(Classes!$E$6:$E$420,$M1853))</f>
        <v/>
      </c>
      <c r="C1853" s="62" t="str">
        <f aca="false">IF($M1853=0,"",INDEX(Classes!$H$6:$H$420,$M1853))</f>
        <v/>
      </c>
      <c r="D1853" s="61" t="str">
        <f aca="false">IF($M1853=0,"",INDEX(Classes!$B$6:$B$420,$M1853))</f>
        <v/>
      </c>
      <c r="E1853" s="61" t="str">
        <f aca="false">IF($M1853=0,"",INDEX(Classes!$C$6:$C$420,$M1853))</f>
        <v/>
      </c>
      <c r="F1853" s="63"/>
      <c r="G1853" s="63"/>
      <c r="H1853" s="60"/>
      <c r="I1853" s="60"/>
      <c r="J1853" s="63"/>
      <c r="K1853" s="61" t="str">
        <f aca="false">IF($P1853=0,"",IF($F1853="Baseline","— Baseline",IF($O1853=0,"No result",IF($N1853=0,"No Start (attainment only)",IF(OR($N1853=1,$O1853=1),"U – needs rule",INDEX(MxBody,MATCH($I1853,MxCurr,0),MATCH($H1853,MxStart,0)))))))</f>
        <v/>
      </c>
      <c r="L1853" s="62" t="str">
        <f aca="false">IF(COUNTA($A1853,$F1853,$G1853,$H1853,$I1853,$J1853)=0,"",IF($M1853=0,"✖ كود الصف غير موجود",IF(ISNA(MATCH($F1853,Lists!$A$2:$A$5,0)),"✖ الفترة غير صحيحة",IF(ISNA(MATCH($G1853,Lists!$B$2:$B$7,0)),"✖ المجموعة غير صحيحة",IF(NOT(OR($H1853="",$N1853&gt;0)),"✖ Start غير صحيح",IF(NOT(OR($I1853="",$I1853="NR",$O1853&gt;0)),"✖ Current غير صحيح",IF(NOT(IF(ISNUMBER($J1853),AND($J1853&gt;=0,$J1853=INT($J1853)),FALSE())),"✖ العدد يجب أن يكون صحيحًا ≥ 0",IF(AND($F1853="Baseline",$H1853&lt;&gt;""),"⚠ Baseline: Start لا يدخل في التقدم",IF($K1853="No Start (attainment only)","ℹ تحصيل فقط (بدون Start)",IF($K1853="U – needs rule","ℹ حالة U تحتاج قاعدة معتمدة",IF($K1853="No result","ℹ بدون نتيجة (يُستبعد من التحصيل)","OK")))))))))))</f>
        <v/>
      </c>
      <c r="M1853" s="64" t="n">
        <f aca="false">IF($A1853="",0,IFERROR(MATCH($A1853,Classes!$A$6:$A$420,0),0))</f>
        <v>0</v>
      </c>
      <c r="N1853" s="64" t="n">
        <f aca="false">IF($H1853="",0,IFERROR(MATCH($H1853,GradeList,0),0))</f>
        <v>0</v>
      </c>
      <c r="O1853" s="64" t="n">
        <f aca="false">IF(OR($I1853="",$I1853="NR"),0,IFERROR(MATCH($I1853,GradeList,0),0))</f>
        <v>0</v>
      </c>
      <c r="P1853" s="64" t="n">
        <f aca="false">IF(AND($M1853&gt;0,ISNUMBER(MATCH($F1853,Lists!$A$2:$A$5,0)),ISNUMBER(MATCH($G1853,Lists!$B$2:$B$7,0)),OR($H1853="",$N1853&gt;0),OR($I1853="",$I1853="NR",$O1853&gt;0),IF(ISNUMBER($J1853),AND($J1853&gt;=0,$J1853=INT($J1853)),FALSE())),$J1853,0)</f>
        <v>0</v>
      </c>
      <c r="Q1853" s="64" t="n">
        <f aca="false">IF(AND($P1853&gt;0,$O1853&gt;0),$P1853,0)</f>
        <v>0</v>
      </c>
      <c r="R1853" s="64" t="n">
        <f aca="false">IF(AND($Q1853&gt;0,$O1853&gt;=AtRank),$Q1853,0)</f>
        <v>0</v>
      </c>
      <c r="S1853" s="64" t="n">
        <f aca="false">IF(AND($Q1853&gt;0,$O1853&gt;=AboveRank),$Q1853,0)</f>
        <v>0</v>
      </c>
      <c r="T1853" s="64" t="n">
        <f aca="false">IF($K1853="Less",$P1853,0)</f>
        <v>0</v>
      </c>
      <c r="U1853" s="64" t="n">
        <f aca="false">IF($K1853="Expected",$P1853,0)</f>
        <v>0</v>
      </c>
      <c r="V1853" s="64" t="n">
        <f aca="false">IF($K1853="Better",$P1853,0)</f>
        <v>0</v>
      </c>
      <c r="W1853" s="64" t="n">
        <f aca="false">IF($K1853="U – needs rule",$P1853,0)</f>
        <v>0</v>
      </c>
      <c r="X1853" s="64" t="n">
        <f aca="false">IF($K1853="No Start (attainment only)",$P1853,0)</f>
        <v>0</v>
      </c>
    </row>
    <row r="1854" customFormat="false" ht="15" hidden="false" customHeight="false" outlineLevel="0" collapsed="false">
      <c r="A1854" s="60"/>
      <c r="B1854" s="61" t="str">
        <f aca="false">IF($M1854=0,"",INDEX(Classes!$E$6:$E$420,$M1854))</f>
        <v/>
      </c>
      <c r="C1854" s="62" t="str">
        <f aca="false">IF($M1854=0,"",INDEX(Classes!$H$6:$H$420,$M1854))</f>
        <v/>
      </c>
      <c r="D1854" s="61" t="str">
        <f aca="false">IF($M1854=0,"",INDEX(Classes!$B$6:$B$420,$M1854))</f>
        <v/>
      </c>
      <c r="E1854" s="61" t="str">
        <f aca="false">IF($M1854=0,"",INDEX(Classes!$C$6:$C$420,$M1854))</f>
        <v/>
      </c>
      <c r="F1854" s="63"/>
      <c r="G1854" s="63"/>
      <c r="H1854" s="60"/>
      <c r="I1854" s="60"/>
      <c r="J1854" s="63"/>
      <c r="K1854" s="61" t="str">
        <f aca="false">IF($P1854=0,"",IF($F1854="Baseline","— Baseline",IF($O1854=0,"No result",IF($N1854=0,"No Start (attainment only)",IF(OR($N1854=1,$O1854=1),"U – needs rule",INDEX(MxBody,MATCH($I1854,MxCurr,0),MATCH($H1854,MxStart,0)))))))</f>
        <v/>
      </c>
      <c r="L1854" s="62" t="str">
        <f aca="false">IF(COUNTA($A1854,$F1854,$G1854,$H1854,$I1854,$J1854)=0,"",IF($M1854=0,"✖ كود الصف غير موجود",IF(ISNA(MATCH($F1854,Lists!$A$2:$A$5,0)),"✖ الفترة غير صحيحة",IF(ISNA(MATCH($G1854,Lists!$B$2:$B$7,0)),"✖ المجموعة غير صحيحة",IF(NOT(OR($H1854="",$N1854&gt;0)),"✖ Start غير صحيح",IF(NOT(OR($I1854="",$I1854="NR",$O1854&gt;0)),"✖ Current غير صحيح",IF(NOT(IF(ISNUMBER($J1854),AND($J1854&gt;=0,$J1854=INT($J1854)),FALSE())),"✖ العدد يجب أن يكون صحيحًا ≥ 0",IF(AND($F1854="Baseline",$H1854&lt;&gt;""),"⚠ Baseline: Start لا يدخل في التقدم",IF($K1854="No Start (attainment only)","ℹ تحصيل فقط (بدون Start)",IF($K1854="U – needs rule","ℹ حالة U تحتاج قاعدة معتمدة",IF($K1854="No result","ℹ بدون نتيجة (يُستبعد من التحصيل)","OK")))))))))))</f>
        <v/>
      </c>
      <c r="M1854" s="64" t="n">
        <f aca="false">IF($A1854="",0,IFERROR(MATCH($A1854,Classes!$A$6:$A$420,0),0))</f>
        <v>0</v>
      </c>
      <c r="N1854" s="64" t="n">
        <f aca="false">IF($H1854="",0,IFERROR(MATCH($H1854,GradeList,0),0))</f>
        <v>0</v>
      </c>
      <c r="O1854" s="64" t="n">
        <f aca="false">IF(OR($I1854="",$I1854="NR"),0,IFERROR(MATCH($I1854,GradeList,0),0))</f>
        <v>0</v>
      </c>
      <c r="P1854" s="64" t="n">
        <f aca="false">IF(AND($M1854&gt;0,ISNUMBER(MATCH($F1854,Lists!$A$2:$A$5,0)),ISNUMBER(MATCH($G1854,Lists!$B$2:$B$7,0)),OR($H1854="",$N1854&gt;0),OR($I1854="",$I1854="NR",$O1854&gt;0),IF(ISNUMBER($J1854),AND($J1854&gt;=0,$J1854=INT($J1854)),FALSE())),$J1854,0)</f>
        <v>0</v>
      </c>
      <c r="Q1854" s="64" t="n">
        <f aca="false">IF(AND($P1854&gt;0,$O1854&gt;0),$P1854,0)</f>
        <v>0</v>
      </c>
      <c r="R1854" s="64" t="n">
        <f aca="false">IF(AND($Q1854&gt;0,$O1854&gt;=AtRank),$Q1854,0)</f>
        <v>0</v>
      </c>
      <c r="S1854" s="64" t="n">
        <f aca="false">IF(AND($Q1854&gt;0,$O1854&gt;=AboveRank),$Q1854,0)</f>
        <v>0</v>
      </c>
      <c r="T1854" s="64" t="n">
        <f aca="false">IF($K1854="Less",$P1854,0)</f>
        <v>0</v>
      </c>
      <c r="U1854" s="64" t="n">
        <f aca="false">IF($K1854="Expected",$P1854,0)</f>
        <v>0</v>
      </c>
      <c r="V1854" s="64" t="n">
        <f aca="false">IF($K1854="Better",$P1854,0)</f>
        <v>0</v>
      </c>
      <c r="W1854" s="64" t="n">
        <f aca="false">IF($K1854="U – needs rule",$P1854,0)</f>
        <v>0</v>
      </c>
      <c r="X1854" s="64" t="n">
        <f aca="false">IF($K1854="No Start (attainment only)",$P1854,0)</f>
        <v>0</v>
      </c>
    </row>
    <row r="1855" customFormat="false" ht="15" hidden="false" customHeight="false" outlineLevel="0" collapsed="false">
      <c r="A1855" s="60"/>
      <c r="B1855" s="61" t="str">
        <f aca="false">IF($M1855=0,"",INDEX(Classes!$E$6:$E$420,$M1855))</f>
        <v/>
      </c>
      <c r="C1855" s="62" t="str">
        <f aca="false">IF($M1855=0,"",INDEX(Classes!$H$6:$H$420,$M1855))</f>
        <v/>
      </c>
      <c r="D1855" s="61" t="str">
        <f aca="false">IF($M1855=0,"",INDEX(Classes!$B$6:$B$420,$M1855))</f>
        <v/>
      </c>
      <c r="E1855" s="61" t="str">
        <f aca="false">IF($M1855=0,"",INDEX(Classes!$C$6:$C$420,$M1855))</f>
        <v/>
      </c>
      <c r="F1855" s="63"/>
      <c r="G1855" s="63"/>
      <c r="H1855" s="60"/>
      <c r="I1855" s="60"/>
      <c r="J1855" s="63"/>
      <c r="K1855" s="61" t="str">
        <f aca="false">IF($P1855=0,"",IF($F1855="Baseline","— Baseline",IF($O1855=0,"No result",IF($N1855=0,"No Start (attainment only)",IF(OR($N1855=1,$O1855=1),"U – needs rule",INDEX(MxBody,MATCH($I1855,MxCurr,0),MATCH($H1855,MxStart,0)))))))</f>
        <v/>
      </c>
      <c r="L1855" s="62" t="str">
        <f aca="false">IF(COUNTA($A1855,$F1855,$G1855,$H1855,$I1855,$J1855)=0,"",IF($M1855=0,"✖ كود الصف غير موجود",IF(ISNA(MATCH($F1855,Lists!$A$2:$A$5,0)),"✖ الفترة غير صحيحة",IF(ISNA(MATCH($G1855,Lists!$B$2:$B$7,0)),"✖ المجموعة غير صحيحة",IF(NOT(OR($H1855="",$N1855&gt;0)),"✖ Start غير صحيح",IF(NOT(OR($I1855="",$I1855="NR",$O1855&gt;0)),"✖ Current غير صحيح",IF(NOT(IF(ISNUMBER($J1855),AND($J1855&gt;=0,$J1855=INT($J1855)),FALSE())),"✖ العدد يجب أن يكون صحيحًا ≥ 0",IF(AND($F1855="Baseline",$H1855&lt;&gt;""),"⚠ Baseline: Start لا يدخل في التقدم",IF($K1855="No Start (attainment only)","ℹ تحصيل فقط (بدون Start)",IF($K1855="U – needs rule","ℹ حالة U تحتاج قاعدة معتمدة",IF($K1855="No result","ℹ بدون نتيجة (يُستبعد من التحصيل)","OK")))))))))))</f>
        <v/>
      </c>
      <c r="M1855" s="64" t="n">
        <f aca="false">IF($A1855="",0,IFERROR(MATCH($A1855,Classes!$A$6:$A$420,0),0))</f>
        <v>0</v>
      </c>
      <c r="N1855" s="64" t="n">
        <f aca="false">IF($H1855="",0,IFERROR(MATCH($H1855,GradeList,0),0))</f>
        <v>0</v>
      </c>
      <c r="O1855" s="64" t="n">
        <f aca="false">IF(OR($I1855="",$I1855="NR"),0,IFERROR(MATCH($I1855,GradeList,0),0))</f>
        <v>0</v>
      </c>
      <c r="P1855" s="64" t="n">
        <f aca="false">IF(AND($M1855&gt;0,ISNUMBER(MATCH($F1855,Lists!$A$2:$A$5,0)),ISNUMBER(MATCH($G1855,Lists!$B$2:$B$7,0)),OR($H1855="",$N1855&gt;0),OR($I1855="",$I1855="NR",$O1855&gt;0),IF(ISNUMBER($J1855),AND($J1855&gt;=0,$J1855=INT($J1855)),FALSE())),$J1855,0)</f>
        <v>0</v>
      </c>
      <c r="Q1855" s="64" t="n">
        <f aca="false">IF(AND($P1855&gt;0,$O1855&gt;0),$P1855,0)</f>
        <v>0</v>
      </c>
      <c r="R1855" s="64" t="n">
        <f aca="false">IF(AND($Q1855&gt;0,$O1855&gt;=AtRank),$Q1855,0)</f>
        <v>0</v>
      </c>
      <c r="S1855" s="64" t="n">
        <f aca="false">IF(AND($Q1855&gt;0,$O1855&gt;=AboveRank),$Q1855,0)</f>
        <v>0</v>
      </c>
      <c r="T1855" s="64" t="n">
        <f aca="false">IF($K1855="Less",$P1855,0)</f>
        <v>0</v>
      </c>
      <c r="U1855" s="64" t="n">
        <f aca="false">IF($K1855="Expected",$P1855,0)</f>
        <v>0</v>
      </c>
      <c r="V1855" s="64" t="n">
        <f aca="false">IF($K1855="Better",$P1855,0)</f>
        <v>0</v>
      </c>
      <c r="W1855" s="64" t="n">
        <f aca="false">IF($K1855="U – needs rule",$P1855,0)</f>
        <v>0</v>
      </c>
      <c r="X1855" s="64" t="n">
        <f aca="false">IF($K1855="No Start (attainment only)",$P1855,0)</f>
        <v>0</v>
      </c>
    </row>
    <row r="1856" customFormat="false" ht="15" hidden="false" customHeight="false" outlineLevel="0" collapsed="false">
      <c r="A1856" s="60"/>
      <c r="B1856" s="61" t="str">
        <f aca="false">IF($M1856=0,"",INDEX(Classes!$E$6:$E$420,$M1856))</f>
        <v/>
      </c>
      <c r="C1856" s="62" t="str">
        <f aca="false">IF($M1856=0,"",INDEX(Classes!$H$6:$H$420,$M1856))</f>
        <v/>
      </c>
      <c r="D1856" s="61" t="str">
        <f aca="false">IF($M1856=0,"",INDEX(Classes!$B$6:$B$420,$M1856))</f>
        <v/>
      </c>
      <c r="E1856" s="61" t="str">
        <f aca="false">IF($M1856=0,"",INDEX(Classes!$C$6:$C$420,$M1856))</f>
        <v/>
      </c>
      <c r="F1856" s="63"/>
      <c r="G1856" s="63"/>
      <c r="H1856" s="60"/>
      <c r="I1856" s="60"/>
      <c r="J1856" s="63"/>
      <c r="K1856" s="61" t="str">
        <f aca="false">IF($P1856=0,"",IF($F1856="Baseline","— Baseline",IF($O1856=0,"No result",IF($N1856=0,"No Start (attainment only)",IF(OR($N1856=1,$O1856=1),"U – needs rule",INDEX(MxBody,MATCH($I1856,MxCurr,0),MATCH($H1856,MxStart,0)))))))</f>
        <v/>
      </c>
      <c r="L1856" s="62" t="str">
        <f aca="false">IF(COUNTA($A1856,$F1856,$G1856,$H1856,$I1856,$J1856)=0,"",IF($M1856=0,"✖ كود الصف غير موجود",IF(ISNA(MATCH($F1856,Lists!$A$2:$A$5,0)),"✖ الفترة غير صحيحة",IF(ISNA(MATCH($G1856,Lists!$B$2:$B$7,0)),"✖ المجموعة غير صحيحة",IF(NOT(OR($H1856="",$N1856&gt;0)),"✖ Start غير صحيح",IF(NOT(OR($I1856="",$I1856="NR",$O1856&gt;0)),"✖ Current غير صحيح",IF(NOT(IF(ISNUMBER($J1856),AND($J1856&gt;=0,$J1856=INT($J1856)),FALSE())),"✖ العدد يجب أن يكون صحيحًا ≥ 0",IF(AND($F1856="Baseline",$H1856&lt;&gt;""),"⚠ Baseline: Start لا يدخل في التقدم",IF($K1856="No Start (attainment only)","ℹ تحصيل فقط (بدون Start)",IF($K1856="U – needs rule","ℹ حالة U تحتاج قاعدة معتمدة",IF($K1856="No result","ℹ بدون نتيجة (يُستبعد من التحصيل)","OK")))))))))))</f>
        <v/>
      </c>
      <c r="M1856" s="64" t="n">
        <f aca="false">IF($A1856="",0,IFERROR(MATCH($A1856,Classes!$A$6:$A$420,0),0))</f>
        <v>0</v>
      </c>
      <c r="N1856" s="64" t="n">
        <f aca="false">IF($H1856="",0,IFERROR(MATCH($H1856,GradeList,0),0))</f>
        <v>0</v>
      </c>
      <c r="O1856" s="64" t="n">
        <f aca="false">IF(OR($I1856="",$I1856="NR"),0,IFERROR(MATCH($I1856,GradeList,0),0))</f>
        <v>0</v>
      </c>
      <c r="P1856" s="64" t="n">
        <f aca="false">IF(AND($M1856&gt;0,ISNUMBER(MATCH($F1856,Lists!$A$2:$A$5,0)),ISNUMBER(MATCH($G1856,Lists!$B$2:$B$7,0)),OR($H1856="",$N1856&gt;0),OR($I1856="",$I1856="NR",$O1856&gt;0),IF(ISNUMBER($J1856),AND($J1856&gt;=0,$J1856=INT($J1856)),FALSE())),$J1856,0)</f>
        <v>0</v>
      </c>
      <c r="Q1856" s="64" t="n">
        <f aca="false">IF(AND($P1856&gt;0,$O1856&gt;0),$P1856,0)</f>
        <v>0</v>
      </c>
      <c r="R1856" s="64" t="n">
        <f aca="false">IF(AND($Q1856&gt;0,$O1856&gt;=AtRank),$Q1856,0)</f>
        <v>0</v>
      </c>
      <c r="S1856" s="64" t="n">
        <f aca="false">IF(AND($Q1856&gt;0,$O1856&gt;=AboveRank),$Q1856,0)</f>
        <v>0</v>
      </c>
      <c r="T1856" s="64" t="n">
        <f aca="false">IF($K1856="Less",$P1856,0)</f>
        <v>0</v>
      </c>
      <c r="U1856" s="64" t="n">
        <f aca="false">IF($K1856="Expected",$P1856,0)</f>
        <v>0</v>
      </c>
      <c r="V1856" s="64" t="n">
        <f aca="false">IF($K1856="Better",$P1856,0)</f>
        <v>0</v>
      </c>
      <c r="W1856" s="64" t="n">
        <f aca="false">IF($K1856="U – needs rule",$P1856,0)</f>
        <v>0</v>
      </c>
      <c r="X1856" s="64" t="n">
        <f aca="false">IF($K1856="No Start (attainment only)",$P1856,0)</f>
        <v>0</v>
      </c>
    </row>
    <row r="1857" customFormat="false" ht="15" hidden="false" customHeight="false" outlineLevel="0" collapsed="false">
      <c r="A1857" s="60"/>
      <c r="B1857" s="61" t="str">
        <f aca="false">IF($M1857=0,"",INDEX(Classes!$E$6:$E$420,$M1857))</f>
        <v/>
      </c>
      <c r="C1857" s="62" t="str">
        <f aca="false">IF($M1857=0,"",INDEX(Classes!$H$6:$H$420,$M1857))</f>
        <v/>
      </c>
      <c r="D1857" s="61" t="str">
        <f aca="false">IF($M1857=0,"",INDEX(Classes!$B$6:$B$420,$M1857))</f>
        <v/>
      </c>
      <c r="E1857" s="61" t="str">
        <f aca="false">IF($M1857=0,"",INDEX(Classes!$C$6:$C$420,$M1857))</f>
        <v/>
      </c>
      <c r="F1857" s="63"/>
      <c r="G1857" s="63"/>
      <c r="H1857" s="60"/>
      <c r="I1857" s="60"/>
      <c r="J1857" s="63"/>
      <c r="K1857" s="61" t="str">
        <f aca="false">IF($P1857=0,"",IF($F1857="Baseline","— Baseline",IF($O1857=0,"No result",IF($N1857=0,"No Start (attainment only)",IF(OR($N1857=1,$O1857=1),"U – needs rule",INDEX(MxBody,MATCH($I1857,MxCurr,0),MATCH($H1857,MxStart,0)))))))</f>
        <v/>
      </c>
      <c r="L1857" s="62" t="str">
        <f aca="false">IF(COUNTA($A1857,$F1857,$G1857,$H1857,$I1857,$J1857)=0,"",IF($M1857=0,"✖ كود الصف غير موجود",IF(ISNA(MATCH($F1857,Lists!$A$2:$A$5,0)),"✖ الفترة غير صحيحة",IF(ISNA(MATCH($G1857,Lists!$B$2:$B$7,0)),"✖ المجموعة غير صحيحة",IF(NOT(OR($H1857="",$N1857&gt;0)),"✖ Start غير صحيح",IF(NOT(OR($I1857="",$I1857="NR",$O1857&gt;0)),"✖ Current غير صحيح",IF(NOT(IF(ISNUMBER($J1857),AND($J1857&gt;=0,$J1857=INT($J1857)),FALSE())),"✖ العدد يجب أن يكون صحيحًا ≥ 0",IF(AND($F1857="Baseline",$H1857&lt;&gt;""),"⚠ Baseline: Start لا يدخل في التقدم",IF($K1857="No Start (attainment only)","ℹ تحصيل فقط (بدون Start)",IF($K1857="U – needs rule","ℹ حالة U تحتاج قاعدة معتمدة",IF($K1857="No result","ℹ بدون نتيجة (يُستبعد من التحصيل)","OK")))))))))))</f>
        <v/>
      </c>
      <c r="M1857" s="64" t="n">
        <f aca="false">IF($A1857="",0,IFERROR(MATCH($A1857,Classes!$A$6:$A$420,0),0))</f>
        <v>0</v>
      </c>
      <c r="N1857" s="64" t="n">
        <f aca="false">IF($H1857="",0,IFERROR(MATCH($H1857,GradeList,0),0))</f>
        <v>0</v>
      </c>
      <c r="O1857" s="64" t="n">
        <f aca="false">IF(OR($I1857="",$I1857="NR"),0,IFERROR(MATCH($I1857,GradeList,0),0))</f>
        <v>0</v>
      </c>
      <c r="P1857" s="64" t="n">
        <f aca="false">IF(AND($M1857&gt;0,ISNUMBER(MATCH($F1857,Lists!$A$2:$A$5,0)),ISNUMBER(MATCH($G1857,Lists!$B$2:$B$7,0)),OR($H1857="",$N1857&gt;0),OR($I1857="",$I1857="NR",$O1857&gt;0),IF(ISNUMBER($J1857),AND($J1857&gt;=0,$J1857=INT($J1857)),FALSE())),$J1857,0)</f>
        <v>0</v>
      </c>
      <c r="Q1857" s="64" t="n">
        <f aca="false">IF(AND($P1857&gt;0,$O1857&gt;0),$P1857,0)</f>
        <v>0</v>
      </c>
      <c r="R1857" s="64" t="n">
        <f aca="false">IF(AND($Q1857&gt;0,$O1857&gt;=AtRank),$Q1857,0)</f>
        <v>0</v>
      </c>
      <c r="S1857" s="64" t="n">
        <f aca="false">IF(AND($Q1857&gt;0,$O1857&gt;=AboveRank),$Q1857,0)</f>
        <v>0</v>
      </c>
      <c r="T1857" s="64" t="n">
        <f aca="false">IF($K1857="Less",$P1857,0)</f>
        <v>0</v>
      </c>
      <c r="U1857" s="64" t="n">
        <f aca="false">IF($K1857="Expected",$P1857,0)</f>
        <v>0</v>
      </c>
      <c r="V1857" s="64" t="n">
        <f aca="false">IF($K1857="Better",$P1857,0)</f>
        <v>0</v>
      </c>
      <c r="W1857" s="64" t="n">
        <f aca="false">IF($K1857="U – needs rule",$P1857,0)</f>
        <v>0</v>
      </c>
      <c r="X1857" s="64" t="n">
        <f aca="false">IF($K1857="No Start (attainment only)",$P1857,0)</f>
        <v>0</v>
      </c>
    </row>
    <row r="1858" customFormat="false" ht="15" hidden="false" customHeight="false" outlineLevel="0" collapsed="false">
      <c r="A1858" s="60"/>
      <c r="B1858" s="61" t="str">
        <f aca="false">IF($M1858=0,"",INDEX(Classes!$E$6:$E$420,$M1858))</f>
        <v/>
      </c>
      <c r="C1858" s="62" t="str">
        <f aca="false">IF($M1858=0,"",INDEX(Classes!$H$6:$H$420,$M1858))</f>
        <v/>
      </c>
      <c r="D1858" s="61" t="str">
        <f aca="false">IF($M1858=0,"",INDEX(Classes!$B$6:$B$420,$M1858))</f>
        <v/>
      </c>
      <c r="E1858" s="61" t="str">
        <f aca="false">IF($M1858=0,"",INDEX(Classes!$C$6:$C$420,$M1858))</f>
        <v/>
      </c>
      <c r="F1858" s="63"/>
      <c r="G1858" s="63"/>
      <c r="H1858" s="60"/>
      <c r="I1858" s="60"/>
      <c r="J1858" s="63"/>
      <c r="K1858" s="61" t="str">
        <f aca="false">IF($P1858=0,"",IF($F1858="Baseline","— Baseline",IF($O1858=0,"No result",IF($N1858=0,"No Start (attainment only)",IF(OR($N1858=1,$O1858=1),"U – needs rule",INDEX(MxBody,MATCH($I1858,MxCurr,0),MATCH($H1858,MxStart,0)))))))</f>
        <v/>
      </c>
      <c r="L1858" s="62" t="str">
        <f aca="false">IF(COUNTA($A1858,$F1858,$G1858,$H1858,$I1858,$J1858)=0,"",IF($M1858=0,"✖ كود الصف غير موجود",IF(ISNA(MATCH($F1858,Lists!$A$2:$A$5,0)),"✖ الفترة غير صحيحة",IF(ISNA(MATCH($G1858,Lists!$B$2:$B$7,0)),"✖ المجموعة غير صحيحة",IF(NOT(OR($H1858="",$N1858&gt;0)),"✖ Start غير صحيح",IF(NOT(OR($I1858="",$I1858="NR",$O1858&gt;0)),"✖ Current غير صحيح",IF(NOT(IF(ISNUMBER($J1858),AND($J1858&gt;=0,$J1858=INT($J1858)),FALSE())),"✖ العدد يجب أن يكون صحيحًا ≥ 0",IF(AND($F1858="Baseline",$H1858&lt;&gt;""),"⚠ Baseline: Start لا يدخل في التقدم",IF($K1858="No Start (attainment only)","ℹ تحصيل فقط (بدون Start)",IF($K1858="U – needs rule","ℹ حالة U تحتاج قاعدة معتمدة",IF($K1858="No result","ℹ بدون نتيجة (يُستبعد من التحصيل)","OK")))))))))))</f>
        <v/>
      </c>
      <c r="M1858" s="64" t="n">
        <f aca="false">IF($A1858="",0,IFERROR(MATCH($A1858,Classes!$A$6:$A$420,0),0))</f>
        <v>0</v>
      </c>
      <c r="N1858" s="64" t="n">
        <f aca="false">IF($H1858="",0,IFERROR(MATCH($H1858,GradeList,0),0))</f>
        <v>0</v>
      </c>
      <c r="O1858" s="64" t="n">
        <f aca="false">IF(OR($I1858="",$I1858="NR"),0,IFERROR(MATCH($I1858,GradeList,0),0))</f>
        <v>0</v>
      </c>
      <c r="P1858" s="64" t="n">
        <f aca="false">IF(AND($M1858&gt;0,ISNUMBER(MATCH($F1858,Lists!$A$2:$A$5,0)),ISNUMBER(MATCH($G1858,Lists!$B$2:$B$7,0)),OR($H1858="",$N1858&gt;0),OR($I1858="",$I1858="NR",$O1858&gt;0),IF(ISNUMBER($J1858),AND($J1858&gt;=0,$J1858=INT($J1858)),FALSE())),$J1858,0)</f>
        <v>0</v>
      </c>
      <c r="Q1858" s="64" t="n">
        <f aca="false">IF(AND($P1858&gt;0,$O1858&gt;0),$P1858,0)</f>
        <v>0</v>
      </c>
      <c r="R1858" s="64" t="n">
        <f aca="false">IF(AND($Q1858&gt;0,$O1858&gt;=AtRank),$Q1858,0)</f>
        <v>0</v>
      </c>
      <c r="S1858" s="64" t="n">
        <f aca="false">IF(AND($Q1858&gt;0,$O1858&gt;=AboveRank),$Q1858,0)</f>
        <v>0</v>
      </c>
      <c r="T1858" s="64" t="n">
        <f aca="false">IF($K1858="Less",$P1858,0)</f>
        <v>0</v>
      </c>
      <c r="U1858" s="64" t="n">
        <f aca="false">IF($K1858="Expected",$P1858,0)</f>
        <v>0</v>
      </c>
      <c r="V1858" s="64" t="n">
        <f aca="false">IF($K1858="Better",$P1858,0)</f>
        <v>0</v>
      </c>
      <c r="W1858" s="64" t="n">
        <f aca="false">IF($K1858="U – needs rule",$P1858,0)</f>
        <v>0</v>
      </c>
      <c r="X1858" s="64" t="n">
        <f aca="false">IF($K1858="No Start (attainment only)",$P1858,0)</f>
        <v>0</v>
      </c>
    </row>
    <row r="1859" customFormat="false" ht="15" hidden="false" customHeight="false" outlineLevel="0" collapsed="false">
      <c r="A1859" s="60"/>
      <c r="B1859" s="61" t="str">
        <f aca="false">IF($M1859=0,"",INDEX(Classes!$E$6:$E$420,$M1859))</f>
        <v/>
      </c>
      <c r="C1859" s="62" t="str">
        <f aca="false">IF($M1859=0,"",INDEX(Classes!$H$6:$H$420,$M1859))</f>
        <v/>
      </c>
      <c r="D1859" s="61" t="str">
        <f aca="false">IF($M1859=0,"",INDEX(Classes!$B$6:$B$420,$M1859))</f>
        <v/>
      </c>
      <c r="E1859" s="61" t="str">
        <f aca="false">IF($M1859=0,"",INDEX(Classes!$C$6:$C$420,$M1859))</f>
        <v/>
      </c>
      <c r="F1859" s="63"/>
      <c r="G1859" s="63"/>
      <c r="H1859" s="60"/>
      <c r="I1859" s="60"/>
      <c r="J1859" s="63"/>
      <c r="K1859" s="61" t="str">
        <f aca="false">IF($P1859=0,"",IF($F1859="Baseline","— Baseline",IF($O1859=0,"No result",IF($N1859=0,"No Start (attainment only)",IF(OR($N1859=1,$O1859=1),"U – needs rule",INDEX(MxBody,MATCH($I1859,MxCurr,0),MATCH($H1859,MxStart,0)))))))</f>
        <v/>
      </c>
      <c r="L1859" s="62" t="str">
        <f aca="false">IF(COUNTA($A1859,$F1859,$G1859,$H1859,$I1859,$J1859)=0,"",IF($M1859=0,"✖ كود الصف غير موجود",IF(ISNA(MATCH($F1859,Lists!$A$2:$A$5,0)),"✖ الفترة غير صحيحة",IF(ISNA(MATCH($G1859,Lists!$B$2:$B$7,0)),"✖ المجموعة غير صحيحة",IF(NOT(OR($H1859="",$N1859&gt;0)),"✖ Start غير صحيح",IF(NOT(OR($I1859="",$I1859="NR",$O1859&gt;0)),"✖ Current غير صحيح",IF(NOT(IF(ISNUMBER($J1859),AND($J1859&gt;=0,$J1859=INT($J1859)),FALSE())),"✖ العدد يجب أن يكون صحيحًا ≥ 0",IF(AND($F1859="Baseline",$H1859&lt;&gt;""),"⚠ Baseline: Start لا يدخل في التقدم",IF($K1859="No Start (attainment only)","ℹ تحصيل فقط (بدون Start)",IF($K1859="U – needs rule","ℹ حالة U تحتاج قاعدة معتمدة",IF($K1859="No result","ℹ بدون نتيجة (يُستبعد من التحصيل)","OK")))))))))))</f>
        <v/>
      </c>
      <c r="M1859" s="64" t="n">
        <f aca="false">IF($A1859="",0,IFERROR(MATCH($A1859,Classes!$A$6:$A$420,0),0))</f>
        <v>0</v>
      </c>
      <c r="N1859" s="64" t="n">
        <f aca="false">IF($H1859="",0,IFERROR(MATCH($H1859,GradeList,0),0))</f>
        <v>0</v>
      </c>
      <c r="O1859" s="64" t="n">
        <f aca="false">IF(OR($I1859="",$I1859="NR"),0,IFERROR(MATCH($I1859,GradeList,0),0))</f>
        <v>0</v>
      </c>
      <c r="P1859" s="64" t="n">
        <f aca="false">IF(AND($M1859&gt;0,ISNUMBER(MATCH($F1859,Lists!$A$2:$A$5,0)),ISNUMBER(MATCH($G1859,Lists!$B$2:$B$7,0)),OR($H1859="",$N1859&gt;0),OR($I1859="",$I1859="NR",$O1859&gt;0),IF(ISNUMBER($J1859),AND($J1859&gt;=0,$J1859=INT($J1859)),FALSE())),$J1859,0)</f>
        <v>0</v>
      </c>
      <c r="Q1859" s="64" t="n">
        <f aca="false">IF(AND($P1859&gt;0,$O1859&gt;0),$P1859,0)</f>
        <v>0</v>
      </c>
      <c r="R1859" s="64" t="n">
        <f aca="false">IF(AND($Q1859&gt;0,$O1859&gt;=AtRank),$Q1859,0)</f>
        <v>0</v>
      </c>
      <c r="S1859" s="64" t="n">
        <f aca="false">IF(AND($Q1859&gt;0,$O1859&gt;=AboveRank),$Q1859,0)</f>
        <v>0</v>
      </c>
      <c r="T1859" s="64" t="n">
        <f aca="false">IF($K1859="Less",$P1859,0)</f>
        <v>0</v>
      </c>
      <c r="U1859" s="64" t="n">
        <f aca="false">IF($K1859="Expected",$P1859,0)</f>
        <v>0</v>
      </c>
      <c r="V1859" s="64" t="n">
        <f aca="false">IF($K1859="Better",$P1859,0)</f>
        <v>0</v>
      </c>
      <c r="W1859" s="64" t="n">
        <f aca="false">IF($K1859="U – needs rule",$P1859,0)</f>
        <v>0</v>
      </c>
      <c r="X1859" s="64" t="n">
        <f aca="false">IF($K1859="No Start (attainment only)",$P1859,0)</f>
        <v>0</v>
      </c>
    </row>
    <row r="1860" customFormat="false" ht="15" hidden="false" customHeight="false" outlineLevel="0" collapsed="false">
      <c r="A1860" s="60"/>
      <c r="B1860" s="61" t="str">
        <f aca="false">IF($M1860=0,"",INDEX(Classes!$E$6:$E$420,$M1860))</f>
        <v/>
      </c>
      <c r="C1860" s="62" t="str">
        <f aca="false">IF($M1860=0,"",INDEX(Classes!$H$6:$H$420,$M1860))</f>
        <v/>
      </c>
      <c r="D1860" s="61" t="str">
        <f aca="false">IF($M1860=0,"",INDEX(Classes!$B$6:$B$420,$M1860))</f>
        <v/>
      </c>
      <c r="E1860" s="61" t="str">
        <f aca="false">IF($M1860=0,"",INDEX(Classes!$C$6:$C$420,$M1860))</f>
        <v/>
      </c>
      <c r="F1860" s="63"/>
      <c r="G1860" s="63"/>
      <c r="H1860" s="60"/>
      <c r="I1860" s="60"/>
      <c r="J1860" s="63"/>
      <c r="K1860" s="61" t="str">
        <f aca="false">IF($P1860=0,"",IF($F1860="Baseline","— Baseline",IF($O1860=0,"No result",IF($N1860=0,"No Start (attainment only)",IF(OR($N1860=1,$O1860=1),"U – needs rule",INDEX(MxBody,MATCH($I1860,MxCurr,0),MATCH($H1860,MxStart,0)))))))</f>
        <v/>
      </c>
      <c r="L1860" s="62" t="str">
        <f aca="false">IF(COUNTA($A1860,$F1860,$G1860,$H1860,$I1860,$J1860)=0,"",IF($M1860=0,"✖ كود الصف غير موجود",IF(ISNA(MATCH($F1860,Lists!$A$2:$A$5,0)),"✖ الفترة غير صحيحة",IF(ISNA(MATCH($G1860,Lists!$B$2:$B$7,0)),"✖ المجموعة غير صحيحة",IF(NOT(OR($H1860="",$N1860&gt;0)),"✖ Start غير صحيح",IF(NOT(OR($I1860="",$I1860="NR",$O1860&gt;0)),"✖ Current غير صحيح",IF(NOT(IF(ISNUMBER($J1860),AND($J1860&gt;=0,$J1860=INT($J1860)),FALSE())),"✖ العدد يجب أن يكون صحيحًا ≥ 0",IF(AND($F1860="Baseline",$H1860&lt;&gt;""),"⚠ Baseline: Start لا يدخل في التقدم",IF($K1860="No Start (attainment only)","ℹ تحصيل فقط (بدون Start)",IF($K1860="U – needs rule","ℹ حالة U تحتاج قاعدة معتمدة",IF($K1860="No result","ℹ بدون نتيجة (يُستبعد من التحصيل)","OK")))))))))))</f>
        <v/>
      </c>
      <c r="M1860" s="64" t="n">
        <f aca="false">IF($A1860="",0,IFERROR(MATCH($A1860,Classes!$A$6:$A$420,0),0))</f>
        <v>0</v>
      </c>
      <c r="N1860" s="64" t="n">
        <f aca="false">IF($H1860="",0,IFERROR(MATCH($H1860,GradeList,0),0))</f>
        <v>0</v>
      </c>
      <c r="O1860" s="64" t="n">
        <f aca="false">IF(OR($I1860="",$I1860="NR"),0,IFERROR(MATCH($I1860,GradeList,0),0))</f>
        <v>0</v>
      </c>
      <c r="P1860" s="64" t="n">
        <f aca="false">IF(AND($M1860&gt;0,ISNUMBER(MATCH($F1860,Lists!$A$2:$A$5,0)),ISNUMBER(MATCH($G1860,Lists!$B$2:$B$7,0)),OR($H1860="",$N1860&gt;0),OR($I1860="",$I1860="NR",$O1860&gt;0),IF(ISNUMBER($J1860),AND($J1860&gt;=0,$J1860=INT($J1860)),FALSE())),$J1860,0)</f>
        <v>0</v>
      </c>
      <c r="Q1860" s="64" t="n">
        <f aca="false">IF(AND($P1860&gt;0,$O1860&gt;0),$P1860,0)</f>
        <v>0</v>
      </c>
      <c r="R1860" s="64" t="n">
        <f aca="false">IF(AND($Q1860&gt;0,$O1860&gt;=AtRank),$Q1860,0)</f>
        <v>0</v>
      </c>
      <c r="S1860" s="64" t="n">
        <f aca="false">IF(AND($Q1860&gt;0,$O1860&gt;=AboveRank),$Q1860,0)</f>
        <v>0</v>
      </c>
      <c r="T1860" s="64" t="n">
        <f aca="false">IF($K1860="Less",$P1860,0)</f>
        <v>0</v>
      </c>
      <c r="U1860" s="64" t="n">
        <f aca="false">IF($K1860="Expected",$P1860,0)</f>
        <v>0</v>
      </c>
      <c r="V1860" s="64" t="n">
        <f aca="false">IF($K1860="Better",$P1860,0)</f>
        <v>0</v>
      </c>
      <c r="W1860" s="64" t="n">
        <f aca="false">IF($K1860="U – needs rule",$P1860,0)</f>
        <v>0</v>
      </c>
      <c r="X1860" s="64" t="n">
        <f aca="false">IF($K1860="No Start (attainment only)",$P1860,0)</f>
        <v>0</v>
      </c>
    </row>
    <row r="1861" customFormat="false" ht="15" hidden="false" customHeight="false" outlineLevel="0" collapsed="false">
      <c r="A1861" s="60"/>
      <c r="B1861" s="61" t="str">
        <f aca="false">IF($M1861=0,"",INDEX(Classes!$E$6:$E$420,$M1861))</f>
        <v/>
      </c>
      <c r="C1861" s="62" t="str">
        <f aca="false">IF($M1861=0,"",INDEX(Classes!$H$6:$H$420,$M1861))</f>
        <v/>
      </c>
      <c r="D1861" s="61" t="str">
        <f aca="false">IF($M1861=0,"",INDEX(Classes!$B$6:$B$420,$M1861))</f>
        <v/>
      </c>
      <c r="E1861" s="61" t="str">
        <f aca="false">IF($M1861=0,"",INDEX(Classes!$C$6:$C$420,$M1861))</f>
        <v/>
      </c>
      <c r="F1861" s="63"/>
      <c r="G1861" s="63"/>
      <c r="H1861" s="60"/>
      <c r="I1861" s="60"/>
      <c r="J1861" s="63"/>
      <c r="K1861" s="61" t="str">
        <f aca="false">IF($P1861=0,"",IF($F1861="Baseline","— Baseline",IF($O1861=0,"No result",IF($N1861=0,"No Start (attainment only)",IF(OR($N1861=1,$O1861=1),"U – needs rule",INDEX(MxBody,MATCH($I1861,MxCurr,0),MATCH($H1861,MxStart,0)))))))</f>
        <v/>
      </c>
      <c r="L1861" s="62" t="str">
        <f aca="false">IF(COUNTA($A1861,$F1861,$G1861,$H1861,$I1861,$J1861)=0,"",IF($M1861=0,"✖ كود الصف غير موجود",IF(ISNA(MATCH($F1861,Lists!$A$2:$A$5,0)),"✖ الفترة غير صحيحة",IF(ISNA(MATCH($G1861,Lists!$B$2:$B$7,0)),"✖ المجموعة غير صحيحة",IF(NOT(OR($H1861="",$N1861&gt;0)),"✖ Start غير صحيح",IF(NOT(OR($I1861="",$I1861="NR",$O1861&gt;0)),"✖ Current غير صحيح",IF(NOT(IF(ISNUMBER($J1861),AND($J1861&gt;=0,$J1861=INT($J1861)),FALSE())),"✖ العدد يجب أن يكون صحيحًا ≥ 0",IF(AND($F1861="Baseline",$H1861&lt;&gt;""),"⚠ Baseline: Start لا يدخل في التقدم",IF($K1861="No Start (attainment only)","ℹ تحصيل فقط (بدون Start)",IF($K1861="U – needs rule","ℹ حالة U تحتاج قاعدة معتمدة",IF($K1861="No result","ℹ بدون نتيجة (يُستبعد من التحصيل)","OK")))))))))))</f>
        <v/>
      </c>
      <c r="M1861" s="64" t="n">
        <f aca="false">IF($A1861="",0,IFERROR(MATCH($A1861,Classes!$A$6:$A$420,0),0))</f>
        <v>0</v>
      </c>
      <c r="N1861" s="64" t="n">
        <f aca="false">IF($H1861="",0,IFERROR(MATCH($H1861,GradeList,0),0))</f>
        <v>0</v>
      </c>
      <c r="O1861" s="64" t="n">
        <f aca="false">IF(OR($I1861="",$I1861="NR"),0,IFERROR(MATCH($I1861,GradeList,0),0))</f>
        <v>0</v>
      </c>
      <c r="P1861" s="64" t="n">
        <f aca="false">IF(AND($M1861&gt;0,ISNUMBER(MATCH($F1861,Lists!$A$2:$A$5,0)),ISNUMBER(MATCH($G1861,Lists!$B$2:$B$7,0)),OR($H1861="",$N1861&gt;0),OR($I1861="",$I1861="NR",$O1861&gt;0),IF(ISNUMBER($J1861),AND($J1861&gt;=0,$J1861=INT($J1861)),FALSE())),$J1861,0)</f>
        <v>0</v>
      </c>
      <c r="Q1861" s="64" t="n">
        <f aca="false">IF(AND($P1861&gt;0,$O1861&gt;0),$P1861,0)</f>
        <v>0</v>
      </c>
      <c r="R1861" s="64" t="n">
        <f aca="false">IF(AND($Q1861&gt;0,$O1861&gt;=AtRank),$Q1861,0)</f>
        <v>0</v>
      </c>
      <c r="S1861" s="64" t="n">
        <f aca="false">IF(AND($Q1861&gt;0,$O1861&gt;=AboveRank),$Q1861,0)</f>
        <v>0</v>
      </c>
      <c r="T1861" s="64" t="n">
        <f aca="false">IF($K1861="Less",$P1861,0)</f>
        <v>0</v>
      </c>
      <c r="U1861" s="64" t="n">
        <f aca="false">IF($K1861="Expected",$P1861,0)</f>
        <v>0</v>
      </c>
      <c r="V1861" s="64" t="n">
        <f aca="false">IF($K1861="Better",$P1861,0)</f>
        <v>0</v>
      </c>
      <c r="W1861" s="64" t="n">
        <f aca="false">IF($K1861="U – needs rule",$P1861,0)</f>
        <v>0</v>
      </c>
      <c r="X1861" s="64" t="n">
        <f aca="false">IF($K1861="No Start (attainment only)",$P1861,0)</f>
        <v>0</v>
      </c>
    </row>
    <row r="1862" customFormat="false" ht="15" hidden="false" customHeight="false" outlineLevel="0" collapsed="false">
      <c r="A1862" s="60"/>
      <c r="B1862" s="61" t="str">
        <f aca="false">IF($M1862=0,"",INDEX(Classes!$E$6:$E$420,$M1862))</f>
        <v/>
      </c>
      <c r="C1862" s="62" t="str">
        <f aca="false">IF($M1862=0,"",INDEX(Classes!$H$6:$H$420,$M1862))</f>
        <v/>
      </c>
      <c r="D1862" s="61" t="str">
        <f aca="false">IF($M1862=0,"",INDEX(Classes!$B$6:$B$420,$M1862))</f>
        <v/>
      </c>
      <c r="E1862" s="61" t="str">
        <f aca="false">IF($M1862=0,"",INDEX(Classes!$C$6:$C$420,$M1862))</f>
        <v/>
      </c>
      <c r="F1862" s="63"/>
      <c r="G1862" s="63"/>
      <c r="H1862" s="60"/>
      <c r="I1862" s="60"/>
      <c r="J1862" s="63"/>
      <c r="K1862" s="61" t="str">
        <f aca="false">IF($P1862=0,"",IF($F1862="Baseline","— Baseline",IF($O1862=0,"No result",IF($N1862=0,"No Start (attainment only)",IF(OR($N1862=1,$O1862=1),"U – needs rule",INDEX(MxBody,MATCH($I1862,MxCurr,0),MATCH($H1862,MxStart,0)))))))</f>
        <v/>
      </c>
      <c r="L1862" s="62" t="str">
        <f aca="false">IF(COUNTA($A1862,$F1862,$G1862,$H1862,$I1862,$J1862)=0,"",IF($M1862=0,"✖ كود الصف غير موجود",IF(ISNA(MATCH($F1862,Lists!$A$2:$A$5,0)),"✖ الفترة غير صحيحة",IF(ISNA(MATCH($G1862,Lists!$B$2:$B$7,0)),"✖ المجموعة غير صحيحة",IF(NOT(OR($H1862="",$N1862&gt;0)),"✖ Start غير صحيح",IF(NOT(OR($I1862="",$I1862="NR",$O1862&gt;0)),"✖ Current غير صحيح",IF(NOT(IF(ISNUMBER($J1862),AND($J1862&gt;=0,$J1862=INT($J1862)),FALSE())),"✖ العدد يجب أن يكون صحيحًا ≥ 0",IF(AND($F1862="Baseline",$H1862&lt;&gt;""),"⚠ Baseline: Start لا يدخل في التقدم",IF($K1862="No Start (attainment only)","ℹ تحصيل فقط (بدون Start)",IF($K1862="U – needs rule","ℹ حالة U تحتاج قاعدة معتمدة",IF($K1862="No result","ℹ بدون نتيجة (يُستبعد من التحصيل)","OK")))))))))))</f>
        <v/>
      </c>
      <c r="M1862" s="64" t="n">
        <f aca="false">IF($A1862="",0,IFERROR(MATCH($A1862,Classes!$A$6:$A$420,0),0))</f>
        <v>0</v>
      </c>
      <c r="N1862" s="64" t="n">
        <f aca="false">IF($H1862="",0,IFERROR(MATCH($H1862,GradeList,0),0))</f>
        <v>0</v>
      </c>
      <c r="O1862" s="64" t="n">
        <f aca="false">IF(OR($I1862="",$I1862="NR"),0,IFERROR(MATCH($I1862,GradeList,0),0))</f>
        <v>0</v>
      </c>
      <c r="P1862" s="64" t="n">
        <f aca="false">IF(AND($M1862&gt;0,ISNUMBER(MATCH($F1862,Lists!$A$2:$A$5,0)),ISNUMBER(MATCH($G1862,Lists!$B$2:$B$7,0)),OR($H1862="",$N1862&gt;0),OR($I1862="",$I1862="NR",$O1862&gt;0),IF(ISNUMBER($J1862),AND($J1862&gt;=0,$J1862=INT($J1862)),FALSE())),$J1862,0)</f>
        <v>0</v>
      </c>
      <c r="Q1862" s="64" t="n">
        <f aca="false">IF(AND($P1862&gt;0,$O1862&gt;0),$P1862,0)</f>
        <v>0</v>
      </c>
      <c r="R1862" s="64" t="n">
        <f aca="false">IF(AND($Q1862&gt;0,$O1862&gt;=AtRank),$Q1862,0)</f>
        <v>0</v>
      </c>
      <c r="S1862" s="64" t="n">
        <f aca="false">IF(AND($Q1862&gt;0,$O1862&gt;=AboveRank),$Q1862,0)</f>
        <v>0</v>
      </c>
      <c r="T1862" s="64" t="n">
        <f aca="false">IF($K1862="Less",$P1862,0)</f>
        <v>0</v>
      </c>
      <c r="U1862" s="64" t="n">
        <f aca="false">IF($K1862="Expected",$P1862,0)</f>
        <v>0</v>
      </c>
      <c r="V1862" s="64" t="n">
        <f aca="false">IF($K1862="Better",$P1862,0)</f>
        <v>0</v>
      </c>
      <c r="W1862" s="64" t="n">
        <f aca="false">IF($K1862="U – needs rule",$P1862,0)</f>
        <v>0</v>
      </c>
      <c r="X1862" s="64" t="n">
        <f aca="false">IF($K1862="No Start (attainment only)",$P1862,0)</f>
        <v>0</v>
      </c>
    </row>
    <row r="1863" customFormat="false" ht="15" hidden="false" customHeight="false" outlineLevel="0" collapsed="false">
      <c r="A1863" s="60"/>
      <c r="B1863" s="61" t="str">
        <f aca="false">IF($M1863=0,"",INDEX(Classes!$E$6:$E$420,$M1863))</f>
        <v/>
      </c>
      <c r="C1863" s="62" t="str">
        <f aca="false">IF($M1863=0,"",INDEX(Classes!$H$6:$H$420,$M1863))</f>
        <v/>
      </c>
      <c r="D1863" s="61" t="str">
        <f aca="false">IF($M1863=0,"",INDEX(Classes!$B$6:$B$420,$M1863))</f>
        <v/>
      </c>
      <c r="E1863" s="61" t="str">
        <f aca="false">IF($M1863=0,"",INDEX(Classes!$C$6:$C$420,$M1863))</f>
        <v/>
      </c>
      <c r="F1863" s="63"/>
      <c r="G1863" s="63"/>
      <c r="H1863" s="60"/>
      <c r="I1863" s="60"/>
      <c r="J1863" s="63"/>
      <c r="K1863" s="61" t="str">
        <f aca="false">IF($P1863=0,"",IF($F1863="Baseline","— Baseline",IF($O1863=0,"No result",IF($N1863=0,"No Start (attainment only)",IF(OR($N1863=1,$O1863=1),"U – needs rule",INDEX(MxBody,MATCH($I1863,MxCurr,0),MATCH($H1863,MxStart,0)))))))</f>
        <v/>
      </c>
      <c r="L1863" s="62" t="str">
        <f aca="false">IF(COUNTA($A1863,$F1863,$G1863,$H1863,$I1863,$J1863)=0,"",IF($M1863=0,"✖ كود الصف غير موجود",IF(ISNA(MATCH($F1863,Lists!$A$2:$A$5,0)),"✖ الفترة غير صحيحة",IF(ISNA(MATCH($G1863,Lists!$B$2:$B$7,0)),"✖ المجموعة غير صحيحة",IF(NOT(OR($H1863="",$N1863&gt;0)),"✖ Start غير صحيح",IF(NOT(OR($I1863="",$I1863="NR",$O1863&gt;0)),"✖ Current غير صحيح",IF(NOT(IF(ISNUMBER($J1863),AND($J1863&gt;=0,$J1863=INT($J1863)),FALSE())),"✖ العدد يجب أن يكون صحيحًا ≥ 0",IF(AND($F1863="Baseline",$H1863&lt;&gt;""),"⚠ Baseline: Start لا يدخل في التقدم",IF($K1863="No Start (attainment only)","ℹ تحصيل فقط (بدون Start)",IF($K1863="U – needs rule","ℹ حالة U تحتاج قاعدة معتمدة",IF($K1863="No result","ℹ بدون نتيجة (يُستبعد من التحصيل)","OK")))))))))))</f>
        <v/>
      </c>
      <c r="M1863" s="64" t="n">
        <f aca="false">IF($A1863="",0,IFERROR(MATCH($A1863,Classes!$A$6:$A$420,0),0))</f>
        <v>0</v>
      </c>
      <c r="N1863" s="64" t="n">
        <f aca="false">IF($H1863="",0,IFERROR(MATCH($H1863,GradeList,0),0))</f>
        <v>0</v>
      </c>
      <c r="O1863" s="64" t="n">
        <f aca="false">IF(OR($I1863="",$I1863="NR"),0,IFERROR(MATCH($I1863,GradeList,0),0))</f>
        <v>0</v>
      </c>
      <c r="P1863" s="64" t="n">
        <f aca="false">IF(AND($M1863&gt;0,ISNUMBER(MATCH($F1863,Lists!$A$2:$A$5,0)),ISNUMBER(MATCH($G1863,Lists!$B$2:$B$7,0)),OR($H1863="",$N1863&gt;0),OR($I1863="",$I1863="NR",$O1863&gt;0),IF(ISNUMBER($J1863),AND($J1863&gt;=0,$J1863=INT($J1863)),FALSE())),$J1863,0)</f>
        <v>0</v>
      </c>
      <c r="Q1863" s="64" t="n">
        <f aca="false">IF(AND($P1863&gt;0,$O1863&gt;0),$P1863,0)</f>
        <v>0</v>
      </c>
      <c r="R1863" s="64" t="n">
        <f aca="false">IF(AND($Q1863&gt;0,$O1863&gt;=AtRank),$Q1863,0)</f>
        <v>0</v>
      </c>
      <c r="S1863" s="64" t="n">
        <f aca="false">IF(AND($Q1863&gt;0,$O1863&gt;=AboveRank),$Q1863,0)</f>
        <v>0</v>
      </c>
      <c r="T1863" s="64" t="n">
        <f aca="false">IF($K1863="Less",$P1863,0)</f>
        <v>0</v>
      </c>
      <c r="U1863" s="64" t="n">
        <f aca="false">IF($K1863="Expected",$P1863,0)</f>
        <v>0</v>
      </c>
      <c r="V1863" s="64" t="n">
        <f aca="false">IF($K1863="Better",$P1863,0)</f>
        <v>0</v>
      </c>
      <c r="W1863" s="64" t="n">
        <f aca="false">IF($K1863="U – needs rule",$P1863,0)</f>
        <v>0</v>
      </c>
      <c r="X1863" s="64" t="n">
        <f aca="false">IF($K1863="No Start (attainment only)",$P1863,0)</f>
        <v>0</v>
      </c>
    </row>
    <row r="1864" customFormat="false" ht="15" hidden="false" customHeight="false" outlineLevel="0" collapsed="false">
      <c r="A1864" s="60"/>
      <c r="B1864" s="61" t="str">
        <f aca="false">IF($M1864=0,"",INDEX(Classes!$E$6:$E$420,$M1864))</f>
        <v/>
      </c>
      <c r="C1864" s="62" t="str">
        <f aca="false">IF($M1864=0,"",INDEX(Classes!$H$6:$H$420,$M1864))</f>
        <v/>
      </c>
      <c r="D1864" s="61" t="str">
        <f aca="false">IF($M1864=0,"",INDEX(Classes!$B$6:$B$420,$M1864))</f>
        <v/>
      </c>
      <c r="E1864" s="61" t="str">
        <f aca="false">IF($M1864=0,"",INDEX(Classes!$C$6:$C$420,$M1864))</f>
        <v/>
      </c>
      <c r="F1864" s="63"/>
      <c r="G1864" s="63"/>
      <c r="H1864" s="60"/>
      <c r="I1864" s="60"/>
      <c r="J1864" s="63"/>
      <c r="K1864" s="61" t="str">
        <f aca="false">IF($P1864=0,"",IF($F1864="Baseline","— Baseline",IF($O1864=0,"No result",IF($N1864=0,"No Start (attainment only)",IF(OR($N1864=1,$O1864=1),"U – needs rule",INDEX(MxBody,MATCH($I1864,MxCurr,0),MATCH($H1864,MxStart,0)))))))</f>
        <v/>
      </c>
      <c r="L1864" s="62" t="str">
        <f aca="false">IF(COUNTA($A1864,$F1864,$G1864,$H1864,$I1864,$J1864)=0,"",IF($M1864=0,"✖ كود الصف غير موجود",IF(ISNA(MATCH($F1864,Lists!$A$2:$A$5,0)),"✖ الفترة غير صحيحة",IF(ISNA(MATCH($G1864,Lists!$B$2:$B$7,0)),"✖ المجموعة غير صحيحة",IF(NOT(OR($H1864="",$N1864&gt;0)),"✖ Start غير صحيح",IF(NOT(OR($I1864="",$I1864="NR",$O1864&gt;0)),"✖ Current غير صحيح",IF(NOT(IF(ISNUMBER($J1864),AND($J1864&gt;=0,$J1864=INT($J1864)),FALSE())),"✖ العدد يجب أن يكون صحيحًا ≥ 0",IF(AND($F1864="Baseline",$H1864&lt;&gt;""),"⚠ Baseline: Start لا يدخل في التقدم",IF($K1864="No Start (attainment only)","ℹ تحصيل فقط (بدون Start)",IF($K1864="U – needs rule","ℹ حالة U تحتاج قاعدة معتمدة",IF($K1864="No result","ℹ بدون نتيجة (يُستبعد من التحصيل)","OK")))))))))))</f>
        <v/>
      </c>
      <c r="M1864" s="64" t="n">
        <f aca="false">IF($A1864="",0,IFERROR(MATCH($A1864,Classes!$A$6:$A$420,0),0))</f>
        <v>0</v>
      </c>
      <c r="N1864" s="64" t="n">
        <f aca="false">IF($H1864="",0,IFERROR(MATCH($H1864,GradeList,0),0))</f>
        <v>0</v>
      </c>
      <c r="O1864" s="64" t="n">
        <f aca="false">IF(OR($I1864="",$I1864="NR"),0,IFERROR(MATCH($I1864,GradeList,0),0))</f>
        <v>0</v>
      </c>
      <c r="P1864" s="64" t="n">
        <f aca="false">IF(AND($M1864&gt;0,ISNUMBER(MATCH($F1864,Lists!$A$2:$A$5,0)),ISNUMBER(MATCH($G1864,Lists!$B$2:$B$7,0)),OR($H1864="",$N1864&gt;0),OR($I1864="",$I1864="NR",$O1864&gt;0),IF(ISNUMBER($J1864),AND($J1864&gt;=0,$J1864=INT($J1864)),FALSE())),$J1864,0)</f>
        <v>0</v>
      </c>
      <c r="Q1864" s="64" t="n">
        <f aca="false">IF(AND($P1864&gt;0,$O1864&gt;0),$P1864,0)</f>
        <v>0</v>
      </c>
      <c r="R1864" s="64" t="n">
        <f aca="false">IF(AND($Q1864&gt;0,$O1864&gt;=AtRank),$Q1864,0)</f>
        <v>0</v>
      </c>
      <c r="S1864" s="64" t="n">
        <f aca="false">IF(AND($Q1864&gt;0,$O1864&gt;=AboveRank),$Q1864,0)</f>
        <v>0</v>
      </c>
      <c r="T1864" s="64" t="n">
        <f aca="false">IF($K1864="Less",$P1864,0)</f>
        <v>0</v>
      </c>
      <c r="U1864" s="64" t="n">
        <f aca="false">IF($K1864="Expected",$P1864,0)</f>
        <v>0</v>
      </c>
      <c r="V1864" s="64" t="n">
        <f aca="false">IF($K1864="Better",$P1864,0)</f>
        <v>0</v>
      </c>
      <c r="W1864" s="64" t="n">
        <f aca="false">IF($K1864="U – needs rule",$P1864,0)</f>
        <v>0</v>
      </c>
      <c r="X1864" s="64" t="n">
        <f aca="false">IF($K1864="No Start (attainment only)",$P1864,0)</f>
        <v>0</v>
      </c>
    </row>
    <row r="1865" customFormat="false" ht="15" hidden="false" customHeight="false" outlineLevel="0" collapsed="false">
      <c r="A1865" s="60"/>
      <c r="B1865" s="61" t="str">
        <f aca="false">IF($M1865=0,"",INDEX(Classes!$E$6:$E$420,$M1865))</f>
        <v/>
      </c>
      <c r="C1865" s="62" t="str">
        <f aca="false">IF($M1865=0,"",INDEX(Classes!$H$6:$H$420,$M1865))</f>
        <v/>
      </c>
      <c r="D1865" s="61" t="str">
        <f aca="false">IF($M1865=0,"",INDEX(Classes!$B$6:$B$420,$M1865))</f>
        <v/>
      </c>
      <c r="E1865" s="61" t="str">
        <f aca="false">IF($M1865=0,"",INDEX(Classes!$C$6:$C$420,$M1865))</f>
        <v/>
      </c>
      <c r="F1865" s="63"/>
      <c r="G1865" s="63"/>
      <c r="H1865" s="60"/>
      <c r="I1865" s="60"/>
      <c r="J1865" s="63"/>
      <c r="K1865" s="61" t="str">
        <f aca="false">IF($P1865=0,"",IF($F1865="Baseline","— Baseline",IF($O1865=0,"No result",IF($N1865=0,"No Start (attainment only)",IF(OR($N1865=1,$O1865=1),"U – needs rule",INDEX(MxBody,MATCH($I1865,MxCurr,0),MATCH($H1865,MxStart,0)))))))</f>
        <v/>
      </c>
      <c r="L1865" s="62" t="str">
        <f aca="false">IF(COUNTA($A1865,$F1865,$G1865,$H1865,$I1865,$J1865)=0,"",IF($M1865=0,"✖ كود الصف غير موجود",IF(ISNA(MATCH($F1865,Lists!$A$2:$A$5,0)),"✖ الفترة غير صحيحة",IF(ISNA(MATCH($G1865,Lists!$B$2:$B$7,0)),"✖ المجموعة غير صحيحة",IF(NOT(OR($H1865="",$N1865&gt;0)),"✖ Start غير صحيح",IF(NOT(OR($I1865="",$I1865="NR",$O1865&gt;0)),"✖ Current غير صحيح",IF(NOT(IF(ISNUMBER($J1865),AND($J1865&gt;=0,$J1865=INT($J1865)),FALSE())),"✖ العدد يجب أن يكون صحيحًا ≥ 0",IF(AND($F1865="Baseline",$H1865&lt;&gt;""),"⚠ Baseline: Start لا يدخل في التقدم",IF($K1865="No Start (attainment only)","ℹ تحصيل فقط (بدون Start)",IF($K1865="U – needs rule","ℹ حالة U تحتاج قاعدة معتمدة",IF($K1865="No result","ℹ بدون نتيجة (يُستبعد من التحصيل)","OK")))))))))))</f>
        <v/>
      </c>
      <c r="M1865" s="64" t="n">
        <f aca="false">IF($A1865="",0,IFERROR(MATCH($A1865,Classes!$A$6:$A$420,0),0))</f>
        <v>0</v>
      </c>
      <c r="N1865" s="64" t="n">
        <f aca="false">IF($H1865="",0,IFERROR(MATCH($H1865,GradeList,0),0))</f>
        <v>0</v>
      </c>
      <c r="O1865" s="64" t="n">
        <f aca="false">IF(OR($I1865="",$I1865="NR"),0,IFERROR(MATCH($I1865,GradeList,0),0))</f>
        <v>0</v>
      </c>
      <c r="P1865" s="64" t="n">
        <f aca="false">IF(AND($M1865&gt;0,ISNUMBER(MATCH($F1865,Lists!$A$2:$A$5,0)),ISNUMBER(MATCH($G1865,Lists!$B$2:$B$7,0)),OR($H1865="",$N1865&gt;0),OR($I1865="",$I1865="NR",$O1865&gt;0),IF(ISNUMBER($J1865),AND($J1865&gt;=0,$J1865=INT($J1865)),FALSE())),$J1865,0)</f>
        <v>0</v>
      </c>
      <c r="Q1865" s="64" t="n">
        <f aca="false">IF(AND($P1865&gt;0,$O1865&gt;0),$P1865,0)</f>
        <v>0</v>
      </c>
      <c r="R1865" s="64" t="n">
        <f aca="false">IF(AND($Q1865&gt;0,$O1865&gt;=AtRank),$Q1865,0)</f>
        <v>0</v>
      </c>
      <c r="S1865" s="64" t="n">
        <f aca="false">IF(AND($Q1865&gt;0,$O1865&gt;=AboveRank),$Q1865,0)</f>
        <v>0</v>
      </c>
      <c r="T1865" s="64" t="n">
        <f aca="false">IF($K1865="Less",$P1865,0)</f>
        <v>0</v>
      </c>
      <c r="U1865" s="64" t="n">
        <f aca="false">IF($K1865="Expected",$P1865,0)</f>
        <v>0</v>
      </c>
      <c r="V1865" s="64" t="n">
        <f aca="false">IF($K1865="Better",$P1865,0)</f>
        <v>0</v>
      </c>
      <c r="W1865" s="64" t="n">
        <f aca="false">IF($K1865="U – needs rule",$P1865,0)</f>
        <v>0</v>
      </c>
      <c r="X1865" s="64" t="n">
        <f aca="false">IF($K1865="No Start (attainment only)",$P1865,0)</f>
        <v>0</v>
      </c>
    </row>
    <row r="1866" customFormat="false" ht="15" hidden="false" customHeight="false" outlineLevel="0" collapsed="false">
      <c r="A1866" s="60"/>
      <c r="B1866" s="61" t="str">
        <f aca="false">IF($M1866=0,"",INDEX(Classes!$E$6:$E$420,$M1866))</f>
        <v/>
      </c>
      <c r="C1866" s="62" t="str">
        <f aca="false">IF($M1866=0,"",INDEX(Classes!$H$6:$H$420,$M1866))</f>
        <v/>
      </c>
      <c r="D1866" s="61" t="str">
        <f aca="false">IF($M1866=0,"",INDEX(Classes!$B$6:$B$420,$M1866))</f>
        <v/>
      </c>
      <c r="E1866" s="61" t="str">
        <f aca="false">IF($M1866=0,"",INDEX(Classes!$C$6:$C$420,$M1866))</f>
        <v/>
      </c>
      <c r="F1866" s="63"/>
      <c r="G1866" s="63"/>
      <c r="H1866" s="60"/>
      <c r="I1866" s="60"/>
      <c r="J1866" s="63"/>
      <c r="K1866" s="61" t="str">
        <f aca="false">IF($P1866=0,"",IF($F1866="Baseline","— Baseline",IF($O1866=0,"No result",IF($N1866=0,"No Start (attainment only)",IF(OR($N1866=1,$O1866=1),"U – needs rule",INDEX(MxBody,MATCH($I1866,MxCurr,0),MATCH($H1866,MxStart,0)))))))</f>
        <v/>
      </c>
      <c r="L1866" s="62" t="str">
        <f aca="false">IF(COUNTA($A1866,$F1866,$G1866,$H1866,$I1866,$J1866)=0,"",IF($M1866=0,"✖ كود الصف غير موجود",IF(ISNA(MATCH($F1866,Lists!$A$2:$A$5,0)),"✖ الفترة غير صحيحة",IF(ISNA(MATCH($G1866,Lists!$B$2:$B$7,0)),"✖ المجموعة غير صحيحة",IF(NOT(OR($H1866="",$N1866&gt;0)),"✖ Start غير صحيح",IF(NOT(OR($I1866="",$I1866="NR",$O1866&gt;0)),"✖ Current غير صحيح",IF(NOT(IF(ISNUMBER($J1866),AND($J1866&gt;=0,$J1866=INT($J1866)),FALSE())),"✖ العدد يجب أن يكون صحيحًا ≥ 0",IF(AND($F1866="Baseline",$H1866&lt;&gt;""),"⚠ Baseline: Start لا يدخل في التقدم",IF($K1866="No Start (attainment only)","ℹ تحصيل فقط (بدون Start)",IF($K1866="U – needs rule","ℹ حالة U تحتاج قاعدة معتمدة",IF($K1866="No result","ℹ بدون نتيجة (يُستبعد من التحصيل)","OK")))))))))))</f>
        <v/>
      </c>
      <c r="M1866" s="64" t="n">
        <f aca="false">IF($A1866="",0,IFERROR(MATCH($A1866,Classes!$A$6:$A$420,0),0))</f>
        <v>0</v>
      </c>
      <c r="N1866" s="64" t="n">
        <f aca="false">IF($H1866="",0,IFERROR(MATCH($H1866,GradeList,0),0))</f>
        <v>0</v>
      </c>
      <c r="O1866" s="64" t="n">
        <f aca="false">IF(OR($I1866="",$I1866="NR"),0,IFERROR(MATCH($I1866,GradeList,0),0))</f>
        <v>0</v>
      </c>
      <c r="P1866" s="64" t="n">
        <f aca="false">IF(AND($M1866&gt;0,ISNUMBER(MATCH($F1866,Lists!$A$2:$A$5,0)),ISNUMBER(MATCH($G1866,Lists!$B$2:$B$7,0)),OR($H1866="",$N1866&gt;0),OR($I1866="",$I1866="NR",$O1866&gt;0),IF(ISNUMBER($J1866),AND($J1866&gt;=0,$J1866=INT($J1866)),FALSE())),$J1866,0)</f>
        <v>0</v>
      </c>
      <c r="Q1866" s="64" t="n">
        <f aca="false">IF(AND($P1866&gt;0,$O1866&gt;0),$P1866,0)</f>
        <v>0</v>
      </c>
      <c r="R1866" s="64" t="n">
        <f aca="false">IF(AND($Q1866&gt;0,$O1866&gt;=AtRank),$Q1866,0)</f>
        <v>0</v>
      </c>
      <c r="S1866" s="64" t="n">
        <f aca="false">IF(AND($Q1866&gt;0,$O1866&gt;=AboveRank),$Q1866,0)</f>
        <v>0</v>
      </c>
      <c r="T1866" s="64" t="n">
        <f aca="false">IF($K1866="Less",$P1866,0)</f>
        <v>0</v>
      </c>
      <c r="U1866" s="64" t="n">
        <f aca="false">IF($K1866="Expected",$P1866,0)</f>
        <v>0</v>
      </c>
      <c r="V1866" s="64" t="n">
        <f aca="false">IF($K1866="Better",$P1866,0)</f>
        <v>0</v>
      </c>
      <c r="W1866" s="64" t="n">
        <f aca="false">IF($K1866="U – needs rule",$P1866,0)</f>
        <v>0</v>
      </c>
      <c r="X1866" s="64" t="n">
        <f aca="false">IF($K1866="No Start (attainment only)",$P1866,0)</f>
        <v>0</v>
      </c>
    </row>
    <row r="1867" customFormat="false" ht="15" hidden="false" customHeight="false" outlineLevel="0" collapsed="false">
      <c r="A1867" s="60"/>
      <c r="B1867" s="61" t="str">
        <f aca="false">IF($M1867=0,"",INDEX(Classes!$E$6:$E$420,$M1867))</f>
        <v/>
      </c>
      <c r="C1867" s="62" t="str">
        <f aca="false">IF($M1867=0,"",INDEX(Classes!$H$6:$H$420,$M1867))</f>
        <v/>
      </c>
      <c r="D1867" s="61" t="str">
        <f aca="false">IF($M1867=0,"",INDEX(Classes!$B$6:$B$420,$M1867))</f>
        <v/>
      </c>
      <c r="E1867" s="61" t="str">
        <f aca="false">IF($M1867=0,"",INDEX(Classes!$C$6:$C$420,$M1867))</f>
        <v/>
      </c>
      <c r="F1867" s="63"/>
      <c r="G1867" s="63"/>
      <c r="H1867" s="60"/>
      <c r="I1867" s="60"/>
      <c r="J1867" s="63"/>
      <c r="K1867" s="61" t="str">
        <f aca="false">IF($P1867=0,"",IF($F1867="Baseline","— Baseline",IF($O1867=0,"No result",IF($N1867=0,"No Start (attainment only)",IF(OR($N1867=1,$O1867=1),"U – needs rule",INDEX(MxBody,MATCH($I1867,MxCurr,0),MATCH($H1867,MxStart,0)))))))</f>
        <v/>
      </c>
      <c r="L1867" s="62" t="str">
        <f aca="false">IF(COUNTA($A1867,$F1867,$G1867,$H1867,$I1867,$J1867)=0,"",IF($M1867=0,"✖ كود الصف غير موجود",IF(ISNA(MATCH($F1867,Lists!$A$2:$A$5,0)),"✖ الفترة غير صحيحة",IF(ISNA(MATCH($G1867,Lists!$B$2:$B$7,0)),"✖ المجموعة غير صحيحة",IF(NOT(OR($H1867="",$N1867&gt;0)),"✖ Start غير صحيح",IF(NOT(OR($I1867="",$I1867="NR",$O1867&gt;0)),"✖ Current غير صحيح",IF(NOT(IF(ISNUMBER($J1867),AND($J1867&gt;=0,$J1867=INT($J1867)),FALSE())),"✖ العدد يجب أن يكون صحيحًا ≥ 0",IF(AND($F1867="Baseline",$H1867&lt;&gt;""),"⚠ Baseline: Start لا يدخل في التقدم",IF($K1867="No Start (attainment only)","ℹ تحصيل فقط (بدون Start)",IF($K1867="U – needs rule","ℹ حالة U تحتاج قاعدة معتمدة",IF($K1867="No result","ℹ بدون نتيجة (يُستبعد من التحصيل)","OK")))))))))))</f>
        <v/>
      </c>
      <c r="M1867" s="64" t="n">
        <f aca="false">IF($A1867="",0,IFERROR(MATCH($A1867,Classes!$A$6:$A$420,0),0))</f>
        <v>0</v>
      </c>
      <c r="N1867" s="64" t="n">
        <f aca="false">IF($H1867="",0,IFERROR(MATCH($H1867,GradeList,0),0))</f>
        <v>0</v>
      </c>
      <c r="O1867" s="64" t="n">
        <f aca="false">IF(OR($I1867="",$I1867="NR"),0,IFERROR(MATCH($I1867,GradeList,0),0))</f>
        <v>0</v>
      </c>
      <c r="P1867" s="64" t="n">
        <f aca="false">IF(AND($M1867&gt;0,ISNUMBER(MATCH($F1867,Lists!$A$2:$A$5,0)),ISNUMBER(MATCH($G1867,Lists!$B$2:$B$7,0)),OR($H1867="",$N1867&gt;0),OR($I1867="",$I1867="NR",$O1867&gt;0),IF(ISNUMBER($J1867),AND($J1867&gt;=0,$J1867=INT($J1867)),FALSE())),$J1867,0)</f>
        <v>0</v>
      </c>
      <c r="Q1867" s="64" t="n">
        <f aca="false">IF(AND($P1867&gt;0,$O1867&gt;0),$P1867,0)</f>
        <v>0</v>
      </c>
      <c r="R1867" s="64" t="n">
        <f aca="false">IF(AND($Q1867&gt;0,$O1867&gt;=AtRank),$Q1867,0)</f>
        <v>0</v>
      </c>
      <c r="S1867" s="64" t="n">
        <f aca="false">IF(AND($Q1867&gt;0,$O1867&gt;=AboveRank),$Q1867,0)</f>
        <v>0</v>
      </c>
      <c r="T1867" s="64" t="n">
        <f aca="false">IF($K1867="Less",$P1867,0)</f>
        <v>0</v>
      </c>
      <c r="U1867" s="64" t="n">
        <f aca="false">IF($K1867="Expected",$P1867,0)</f>
        <v>0</v>
      </c>
      <c r="V1867" s="64" t="n">
        <f aca="false">IF($K1867="Better",$P1867,0)</f>
        <v>0</v>
      </c>
      <c r="W1867" s="64" t="n">
        <f aca="false">IF($K1867="U – needs rule",$P1867,0)</f>
        <v>0</v>
      </c>
      <c r="X1867" s="64" t="n">
        <f aca="false">IF($K1867="No Start (attainment only)",$P1867,0)</f>
        <v>0</v>
      </c>
    </row>
    <row r="1868" customFormat="false" ht="15" hidden="false" customHeight="false" outlineLevel="0" collapsed="false">
      <c r="A1868" s="60"/>
      <c r="B1868" s="61" t="str">
        <f aca="false">IF($M1868=0,"",INDEX(Classes!$E$6:$E$420,$M1868))</f>
        <v/>
      </c>
      <c r="C1868" s="62" t="str">
        <f aca="false">IF($M1868=0,"",INDEX(Classes!$H$6:$H$420,$M1868))</f>
        <v/>
      </c>
      <c r="D1868" s="61" t="str">
        <f aca="false">IF($M1868=0,"",INDEX(Classes!$B$6:$B$420,$M1868))</f>
        <v/>
      </c>
      <c r="E1868" s="61" t="str">
        <f aca="false">IF($M1868=0,"",INDEX(Classes!$C$6:$C$420,$M1868))</f>
        <v/>
      </c>
      <c r="F1868" s="63"/>
      <c r="G1868" s="63"/>
      <c r="H1868" s="60"/>
      <c r="I1868" s="60"/>
      <c r="J1868" s="63"/>
      <c r="K1868" s="61" t="str">
        <f aca="false">IF($P1868=0,"",IF($F1868="Baseline","— Baseline",IF($O1868=0,"No result",IF($N1868=0,"No Start (attainment only)",IF(OR($N1868=1,$O1868=1),"U – needs rule",INDEX(MxBody,MATCH($I1868,MxCurr,0),MATCH($H1868,MxStart,0)))))))</f>
        <v/>
      </c>
      <c r="L1868" s="62" t="str">
        <f aca="false">IF(COUNTA($A1868,$F1868,$G1868,$H1868,$I1868,$J1868)=0,"",IF($M1868=0,"✖ كود الصف غير موجود",IF(ISNA(MATCH($F1868,Lists!$A$2:$A$5,0)),"✖ الفترة غير صحيحة",IF(ISNA(MATCH($G1868,Lists!$B$2:$B$7,0)),"✖ المجموعة غير صحيحة",IF(NOT(OR($H1868="",$N1868&gt;0)),"✖ Start غير صحيح",IF(NOT(OR($I1868="",$I1868="NR",$O1868&gt;0)),"✖ Current غير صحيح",IF(NOT(IF(ISNUMBER($J1868),AND($J1868&gt;=0,$J1868=INT($J1868)),FALSE())),"✖ العدد يجب أن يكون صحيحًا ≥ 0",IF(AND($F1868="Baseline",$H1868&lt;&gt;""),"⚠ Baseline: Start لا يدخل في التقدم",IF($K1868="No Start (attainment only)","ℹ تحصيل فقط (بدون Start)",IF($K1868="U – needs rule","ℹ حالة U تحتاج قاعدة معتمدة",IF($K1868="No result","ℹ بدون نتيجة (يُستبعد من التحصيل)","OK")))))))))))</f>
        <v/>
      </c>
      <c r="M1868" s="64" t="n">
        <f aca="false">IF($A1868="",0,IFERROR(MATCH($A1868,Classes!$A$6:$A$420,0),0))</f>
        <v>0</v>
      </c>
      <c r="N1868" s="64" t="n">
        <f aca="false">IF($H1868="",0,IFERROR(MATCH($H1868,GradeList,0),0))</f>
        <v>0</v>
      </c>
      <c r="O1868" s="64" t="n">
        <f aca="false">IF(OR($I1868="",$I1868="NR"),0,IFERROR(MATCH($I1868,GradeList,0),0))</f>
        <v>0</v>
      </c>
      <c r="P1868" s="64" t="n">
        <f aca="false">IF(AND($M1868&gt;0,ISNUMBER(MATCH($F1868,Lists!$A$2:$A$5,0)),ISNUMBER(MATCH($G1868,Lists!$B$2:$B$7,0)),OR($H1868="",$N1868&gt;0),OR($I1868="",$I1868="NR",$O1868&gt;0),IF(ISNUMBER($J1868),AND($J1868&gt;=0,$J1868=INT($J1868)),FALSE())),$J1868,0)</f>
        <v>0</v>
      </c>
      <c r="Q1868" s="64" t="n">
        <f aca="false">IF(AND($P1868&gt;0,$O1868&gt;0),$P1868,0)</f>
        <v>0</v>
      </c>
      <c r="R1868" s="64" t="n">
        <f aca="false">IF(AND($Q1868&gt;0,$O1868&gt;=AtRank),$Q1868,0)</f>
        <v>0</v>
      </c>
      <c r="S1868" s="64" t="n">
        <f aca="false">IF(AND($Q1868&gt;0,$O1868&gt;=AboveRank),$Q1868,0)</f>
        <v>0</v>
      </c>
      <c r="T1868" s="64" t="n">
        <f aca="false">IF($K1868="Less",$P1868,0)</f>
        <v>0</v>
      </c>
      <c r="U1868" s="64" t="n">
        <f aca="false">IF($K1868="Expected",$P1868,0)</f>
        <v>0</v>
      </c>
      <c r="V1868" s="64" t="n">
        <f aca="false">IF($K1868="Better",$P1868,0)</f>
        <v>0</v>
      </c>
      <c r="W1868" s="64" t="n">
        <f aca="false">IF($K1868="U – needs rule",$P1868,0)</f>
        <v>0</v>
      </c>
      <c r="X1868" s="64" t="n">
        <f aca="false">IF($K1868="No Start (attainment only)",$P1868,0)</f>
        <v>0</v>
      </c>
    </row>
    <row r="1869" customFormat="false" ht="15" hidden="false" customHeight="false" outlineLevel="0" collapsed="false">
      <c r="A1869" s="60"/>
      <c r="B1869" s="61" t="str">
        <f aca="false">IF($M1869=0,"",INDEX(Classes!$E$6:$E$420,$M1869))</f>
        <v/>
      </c>
      <c r="C1869" s="62" t="str">
        <f aca="false">IF($M1869=0,"",INDEX(Classes!$H$6:$H$420,$M1869))</f>
        <v/>
      </c>
      <c r="D1869" s="61" t="str">
        <f aca="false">IF($M1869=0,"",INDEX(Classes!$B$6:$B$420,$M1869))</f>
        <v/>
      </c>
      <c r="E1869" s="61" t="str">
        <f aca="false">IF($M1869=0,"",INDEX(Classes!$C$6:$C$420,$M1869))</f>
        <v/>
      </c>
      <c r="F1869" s="63"/>
      <c r="G1869" s="63"/>
      <c r="H1869" s="60"/>
      <c r="I1869" s="60"/>
      <c r="J1869" s="63"/>
      <c r="K1869" s="61" t="str">
        <f aca="false">IF($P1869=0,"",IF($F1869="Baseline","— Baseline",IF($O1869=0,"No result",IF($N1869=0,"No Start (attainment only)",IF(OR($N1869=1,$O1869=1),"U – needs rule",INDEX(MxBody,MATCH($I1869,MxCurr,0),MATCH($H1869,MxStart,0)))))))</f>
        <v/>
      </c>
      <c r="L1869" s="62" t="str">
        <f aca="false">IF(COUNTA($A1869,$F1869,$G1869,$H1869,$I1869,$J1869)=0,"",IF($M1869=0,"✖ كود الصف غير موجود",IF(ISNA(MATCH($F1869,Lists!$A$2:$A$5,0)),"✖ الفترة غير صحيحة",IF(ISNA(MATCH($G1869,Lists!$B$2:$B$7,0)),"✖ المجموعة غير صحيحة",IF(NOT(OR($H1869="",$N1869&gt;0)),"✖ Start غير صحيح",IF(NOT(OR($I1869="",$I1869="NR",$O1869&gt;0)),"✖ Current غير صحيح",IF(NOT(IF(ISNUMBER($J1869),AND($J1869&gt;=0,$J1869=INT($J1869)),FALSE())),"✖ العدد يجب أن يكون صحيحًا ≥ 0",IF(AND($F1869="Baseline",$H1869&lt;&gt;""),"⚠ Baseline: Start لا يدخل في التقدم",IF($K1869="No Start (attainment only)","ℹ تحصيل فقط (بدون Start)",IF($K1869="U – needs rule","ℹ حالة U تحتاج قاعدة معتمدة",IF($K1869="No result","ℹ بدون نتيجة (يُستبعد من التحصيل)","OK")))))))))))</f>
        <v/>
      </c>
      <c r="M1869" s="64" t="n">
        <f aca="false">IF($A1869="",0,IFERROR(MATCH($A1869,Classes!$A$6:$A$420,0),0))</f>
        <v>0</v>
      </c>
      <c r="N1869" s="64" t="n">
        <f aca="false">IF($H1869="",0,IFERROR(MATCH($H1869,GradeList,0),0))</f>
        <v>0</v>
      </c>
      <c r="O1869" s="64" t="n">
        <f aca="false">IF(OR($I1869="",$I1869="NR"),0,IFERROR(MATCH($I1869,GradeList,0),0))</f>
        <v>0</v>
      </c>
      <c r="P1869" s="64" t="n">
        <f aca="false">IF(AND($M1869&gt;0,ISNUMBER(MATCH($F1869,Lists!$A$2:$A$5,0)),ISNUMBER(MATCH($G1869,Lists!$B$2:$B$7,0)),OR($H1869="",$N1869&gt;0),OR($I1869="",$I1869="NR",$O1869&gt;0),IF(ISNUMBER($J1869),AND($J1869&gt;=0,$J1869=INT($J1869)),FALSE())),$J1869,0)</f>
        <v>0</v>
      </c>
      <c r="Q1869" s="64" t="n">
        <f aca="false">IF(AND($P1869&gt;0,$O1869&gt;0),$P1869,0)</f>
        <v>0</v>
      </c>
      <c r="R1869" s="64" t="n">
        <f aca="false">IF(AND($Q1869&gt;0,$O1869&gt;=AtRank),$Q1869,0)</f>
        <v>0</v>
      </c>
      <c r="S1869" s="64" t="n">
        <f aca="false">IF(AND($Q1869&gt;0,$O1869&gt;=AboveRank),$Q1869,0)</f>
        <v>0</v>
      </c>
      <c r="T1869" s="64" t="n">
        <f aca="false">IF($K1869="Less",$P1869,0)</f>
        <v>0</v>
      </c>
      <c r="U1869" s="64" t="n">
        <f aca="false">IF($K1869="Expected",$P1869,0)</f>
        <v>0</v>
      </c>
      <c r="V1869" s="64" t="n">
        <f aca="false">IF($K1869="Better",$P1869,0)</f>
        <v>0</v>
      </c>
      <c r="W1869" s="64" t="n">
        <f aca="false">IF($K1869="U – needs rule",$P1869,0)</f>
        <v>0</v>
      </c>
      <c r="X1869" s="64" t="n">
        <f aca="false">IF($K1869="No Start (attainment only)",$P1869,0)</f>
        <v>0</v>
      </c>
    </row>
    <row r="1870" customFormat="false" ht="15" hidden="false" customHeight="false" outlineLevel="0" collapsed="false">
      <c r="A1870" s="60"/>
      <c r="B1870" s="61" t="str">
        <f aca="false">IF($M1870=0,"",INDEX(Classes!$E$6:$E$420,$M1870))</f>
        <v/>
      </c>
      <c r="C1870" s="62" t="str">
        <f aca="false">IF($M1870=0,"",INDEX(Classes!$H$6:$H$420,$M1870))</f>
        <v/>
      </c>
      <c r="D1870" s="61" t="str">
        <f aca="false">IF($M1870=0,"",INDEX(Classes!$B$6:$B$420,$M1870))</f>
        <v/>
      </c>
      <c r="E1870" s="61" t="str">
        <f aca="false">IF($M1870=0,"",INDEX(Classes!$C$6:$C$420,$M1870))</f>
        <v/>
      </c>
      <c r="F1870" s="63"/>
      <c r="G1870" s="63"/>
      <c r="H1870" s="60"/>
      <c r="I1870" s="60"/>
      <c r="J1870" s="63"/>
      <c r="K1870" s="61" t="str">
        <f aca="false">IF($P1870=0,"",IF($F1870="Baseline","— Baseline",IF($O1870=0,"No result",IF($N1870=0,"No Start (attainment only)",IF(OR($N1870=1,$O1870=1),"U – needs rule",INDEX(MxBody,MATCH($I1870,MxCurr,0),MATCH($H1870,MxStart,0)))))))</f>
        <v/>
      </c>
      <c r="L1870" s="62" t="str">
        <f aca="false">IF(COUNTA($A1870,$F1870,$G1870,$H1870,$I1870,$J1870)=0,"",IF($M1870=0,"✖ كود الصف غير موجود",IF(ISNA(MATCH($F1870,Lists!$A$2:$A$5,0)),"✖ الفترة غير صحيحة",IF(ISNA(MATCH($G1870,Lists!$B$2:$B$7,0)),"✖ المجموعة غير صحيحة",IF(NOT(OR($H1870="",$N1870&gt;0)),"✖ Start غير صحيح",IF(NOT(OR($I1870="",$I1870="NR",$O1870&gt;0)),"✖ Current غير صحيح",IF(NOT(IF(ISNUMBER($J1870),AND($J1870&gt;=0,$J1870=INT($J1870)),FALSE())),"✖ العدد يجب أن يكون صحيحًا ≥ 0",IF(AND($F1870="Baseline",$H1870&lt;&gt;""),"⚠ Baseline: Start لا يدخل في التقدم",IF($K1870="No Start (attainment only)","ℹ تحصيل فقط (بدون Start)",IF($K1870="U – needs rule","ℹ حالة U تحتاج قاعدة معتمدة",IF($K1870="No result","ℹ بدون نتيجة (يُستبعد من التحصيل)","OK")))))))))))</f>
        <v/>
      </c>
      <c r="M1870" s="64" t="n">
        <f aca="false">IF($A1870="",0,IFERROR(MATCH($A1870,Classes!$A$6:$A$420,0),0))</f>
        <v>0</v>
      </c>
      <c r="N1870" s="64" t="n">
        <f aca="false">IF($H1870="",0,IFERROR(MATCH($H1870,GradeList,0),0))</f>
        <v>0</v>
      </c>
      <c r="O1870" s="64" t="n">
        <f aca="false">IF(OR($I1870="",$I1870="NR"),0,IFERROR(MATCH($I1870,GradeList,0),0))</f>
        <v>0</v>
      </c>
      <c r="P1870" s="64" t="n">
        <f aca="false">IF(AND($M1870&gt;0,ISNUMBER(MATCH($F1870,Lists!$A$2:$A$5,0)),ISNUMBER(MATCH($G1870,Lists!$B$2:$B$7,0)),OR($H1870="",$N1870&gt;0),OR($I1870="",$I1870="NR",$O1870&gt;0),IF(ISNUMBER($J1870),AND($J1870&gt;=0,$J1870=INT($J1870)),FALSE())),$J1870,0)</f>
        <v>0</v>
      </c>
      <c r="Q1870" s="64" t="n">
        <f aca="false">IF(AND($P1870&gt;0,$O1870&gt;0),$P1870,0)</f>
        <v>0</v>
      </c>
      <c r="R1870" s="64" t="n">
        <f aca="false">IF(AND($Q1870&gt;0,$O1870&gt;=AtRank),$Q1870,0)</f>
        <v>0</v>
      </c>
      <c r="S1870" s="64" t="n">
        <f aca="false">IF(AND($Q1870&gt;0,$O1870&gt;=AboveRank),$Q1870,0)</f>
        <v>0</v>
      </c>
      <c r="T1870" s="64" t="n">
        <f aca="false">IF($K1870="Less",$P1870,0)</f>
        <v>0</v>
      </c>
      <c r="U1870" s="64" t="n">
        <f aca="false">IF($K1870="Expected",$P1870,0)</f>
        <v>0</v>
      </c>
      <c r="V1870" s="64" t="n">
        <f aca="false">IF($K1870="Better",$P1870,0)</f>
        <v>0</v>
      </c>
      <c r="W1870" s="64" t="n">
        <f aca="false">IF($K1870="U – needs rule",$P1870,0)</f>
        <v>0</v>
      </c>
      <c r="X1870" s="64" t="n">
        <f aca="false">IF($K1870="No Start (attainment only)",$P1870,0)</f>
        <v>0</v>
      </c>
    </row>
    <row r="1871" customFormat="false" ht="15" hidden="false" customHeight="false" outlineLevel="0" collapsed="false">
      <c r="A1871" s="60"/>
      <c r="B1871" s="61" t="str">
        <f aca="false">IF($M1871=0,"",INDEX(Classes!$E$6:$E$420,$M1871))</f>
        <v/>
      </c>
      <c r="C1871" s="62" t="str">
        <f aca="false">IF($M1871=0,"",INDEX(Classes!$H$6:$H$420,$M1871))</f>
        <v/>
      </c>
      <c r="D1871" s="61" t="str">
        <f aca="false">IF($M1871=0,"",INDEX(Classes!$B$6:$B$420,$M1871))</f>
        <v/>
      </c>
      <c r="E1871" s="61" t="str">
        <f aca="false">IF($M1871=0,"",INDEX(Classes!$C$6:$C$420,$M1871))</f>
        <v/>
      </c>
      <c r="F1871" s="63"/>
      <c r="G1871" s="63"/>
      <c r="H1871" s="60"/>
      <c r="I1871" s="60"/>
      <c r="J1871" s="63"/>
      <c r="K1871" s="61" t="str">
        <f aca="false">IF($P1871=0,"",IF($F1871="Baseline","— Baseline",IF($O1871=0,"No result",IF($N1871=0,"No Start (attainment only)",IF(OR($N1871=1,$O1871=1),"U – needs rule",INDEX(MxBody,MATCH($I1871,MxCurr,0),MATCH($H1871,MxStart,0)))))))</f>
        <v/>
      </c>
      <c r="L1871" s="62" t="str">
        <f aca="false">IF(COUNTA($A1871,$F1871,$G1871,$H1871,$I1871,$J1871)=0,"",IF($M1871=0,"✖ كود الصف غير موجود",IF(ISNA(MATCH($F1871,Lists!$A$2:$A$5,0)),"✖ الفترة غير صحيحة",IF(ISNA(MATCH($G1871,Lists!$B$2:$B$7,0)),"✖ المجموعة غير صحيحة",IF(NOT(OR($H1871="",$N1871&gt;0)),"✖ Start غير صحيح",IF(NOT(OR($I1871="",$I1871="NR",$O1871&gt;0)),"✖ Current غير صحيح",IF(NOT(IF(ISNUMBER($J1871),AND($J1871&gt;=0,$J1871=INT($J1871)),FALSE())),"✖ العدد يجب أن يكون صحيحًا ≥ 0",IF(AND($F1871="Baseline",$H1871&lt;&gt;""),"⚠ Baseline: Start لا يدخل في التقدم",IF($K1871="No Start (attainment only)","ℹ تحصيل فقط (بدون Start)",IF($K1871="U – needs rule","ℹ حالة U تحتاج قاعدة معتمدة",IF($K1871="No result","ℹ بدون نتيجة (يُستبعد من التحصيل)","OK")))))))))))</f>
        <v/>
      </c>
      <c r="M1871" s="64" t="n">
        <f aca="false">IF($A1871="",0,IFERROR(MATCH($A1871,Classes!$A$6:$A$420,0),0))</f>
        <v>0</v>
      </c>
      <c r="N1871" s="64" t="n">
        <f aca="false">IF($H1871="",0,IFERROR(MATCH($H1871,GradeList,0),0))</f>
        <v>0</v>
      </c>
      <c r="O1871" s="64" t="n">
        <f aca="false">IF(OR($I1871="",$I1871="NR"),0,IFERROR(MATCH($I1871,GradeList,0),0))</f>
        <v>0</v>
      </c>
      <c r="P1871" s="64" t="n">
        <f aca="false">IF(AND($M1871&gt;0,ISNUMBER(MATCH($F1871,Lists!$A$2:$A$5,0)),ISNUMBER(MATCH($G1871,Lists!$B$2:$B$7,0)),OR($H1871="",$N1871&gt;0),OR($I1871="",$I1871="NR",$O1871&gt;0),IF(ISNUMBER($J1871),AND($J1871&gt;=0,$J1871=INT($J1871)),FALSE())),$J1871,0)</f>
        <v>0</v>
      </c>
      <c r="Q1871" s="64" t="n">
        <f aca="false">IF(AND($P1871&gt;0,$O1871&gt;0),$P1871,0)</f>
        <v>0</v>
      </c>
      <c r="R1871" s="64" t="n">
        <f aca="false">IF(AND($Q1871&gt;0,$O1871&gt;=AtRank),$Q1871,0)</f>
        <v>0</v>
      </c>
      <c r="S1871" s="64" t="n">
        <f aca="false">IF(AND($Q1871&gt;0,$O1871&gt;=AboveRank),$Q1871,0)</f>
        <v>0</v>
      </c>
      <c r="T1871" s="64" t="n">
        <f aca="false">IF($K1871="Less",$P1871,0)</f>
        <v>0</v>
      </c>
      <c r="U1871" s="64" t="n">
        <f aca="false">IF($K1871="Expected",$P1871,0)</f>
        <v>0</v>
      </c>
      <c r="V1871" s="64" t="n">
        <f aca="false">IF($K1871="Better",$P1871,0)</f>
        <v>0</v>
      </c>
      <c r="W1871" s="64" t="n">
        <f aca="false">IF($K1871="U – needs rule",$P1871,0)</f>
        <v>0</v>
      </c>
      <c r="X1871" s="64" t="n">
        <f aca="false">IF($K1871="No Start (attainment only)",$P1871,0)</f>
        <v>0</v>
      </c>
    </row>
    <row r="1872" customFormat="false" ht="15" hidden="false" customHeight="false" outlineLevel="0" collapsed="false">
      <c r="A1872" s="60"/>
      <c r="B1872" s="61" t="str">
        <f aca="false">IF($M1872=0,"",INDEX(Classes!$E$6:$E$420,$M1872))</f>
        <v/>
      </c>
      <c r="C1872" s="62" t="str">
        <f aca="false">IF($M1872=0,"",INDEX(Classes!$H$6:$H$420,$M1872))</f>
        <v/>
      </c>
      <c r="D1872" s="61" t="str">
        <f aca="false">IF($M1872=0,"",INDEX(Classes!$B$6:$B$420,$M1872))</f>
        <v/>
      </c>
      <c r="E1872" s="61" t="str">
        <f aca="false">IF($M1872=0,"",INDEX(Classes!$C$6:$C$420,$M1872))</f>
        <v/>
      </c>
      <c r="F1872" s="63"/>
      <c r="G1872" s="63"/>
      <c r="H1872" s="60"/>
      <c r="I1872" s="60"/>
      <c r="J1872" s="63"/>
      <c r="K1872" s="61" t="str">
        <f aca="false">IF($P1872=0,"",IF($F1872="Baseline","— Baseline",IF($O1872=0,"No result",IF($N1872=0,"No Start (attainment only)",IF(OR($N1872=1,$O1872=1),"U – needs rule",INDEX(MxBody,MATCH($I1872,MxCurr,0),MATCH($H1872,MxStart,0)))))))</f>
        <v/>
      </c>
      <c r="L1872" s="62" t="str">
        <f aca="false">IF(COUNTA($A1872,$F1872,$G1872,$H1872,$I1872,$J1872)=0,"",IF($M1872=0,"✖ كود الصف غير موجود",IF(ISNA(MATCH($F1872,Lists!$A$2:$A$5,0)),"✖ الفترة غير صحيحة",IF(ISNA(MATCH($G1872,Lists!$B$2:$B$7,0)),"✖ المجموعة غير صحيحة",IF(NOT(OR($H1872="",$N1872&gt;0)),"✖ Start غير صحيح",IF(NOT(OR($I1872="",$I1872="NR",$O1872&gt;0)),"✖ Current غير صحيح",IF(NOT(IF(ISNUMBER($J1872),AND($J1872&gt;=0,$J1872=INT($J1872)),FALSE())),"✖ العدد يجب أن يكون صحيحًا ≥ 0",IF(AND($F1872="Baseline",$H1872&lt;&gt;""),"⚠ Baseline: Start لا يدخل في التقدم",IF($K1872="No Start (attainment only)","ℹ تحصيل فقط (بدون Start)",IF($K1872="U – needs rule","ℹ حالة U تحتاج قاعدة معتمدة",IF($K1872="No result","ℹ بدون نتيجة (يُستبعد من التحصيل)","OK")))))))))))</f>
        <v/>
      </c>
      <c r="M1872" s="64" t="n">
        <f aca="false">IF($A1872="",0,IFERROR(MATCH($A1872,Classes!$A$6:$A$420,0),0))</f>
        <v>0</v>
      </c>
      <c r="N1872" s="64" t="n">
        <f aca="false">IF($H1872="",0,IFERROR(MATCH($H1872,GradeList,0),0))</f>
        <v>0</v>
      </c>
      <c r="O1872" s="64" t="n">
        <f aca="false">IF(OR($I1872="",$I1872="NR"),0,IFERROR(MATCH($I1872,GradeList,0),0))</f>
        <v>0</v>
      </c>
      <c r="P1872" s="64" t="n">
        <f aca="false">IF(AND($M1872&gt;0,ISNUMBER(MATCH($F1872,Lists!$A$2:$A$5,0)),ISNUMBER(MATCH($G1872,Lists!$B$2:$B$7,0)),OR($H1872="",$N1872&gt;0),OR($I1872="",$I1872="NR",$O1872&gt;0),IF(ISNUMBER($J1872),AND($J1872&gt;=0,$J1872=INT($J1872)),FALSE())),$J1872,0)</f>
        <v>0</v>
      </c>
      <c r="Q1872" s="64" t="n">
        <f aca="false">IF(AND($P1872&gt;0,$O1872&gt;0),$P1872,0)</f>
        <v>0</v>
      </c>
      <c r="R1872" s="64" t="n">
        <f aca="false">IF(AND($Q1872&gt;0,$O1872&gt;=AtRank),$Q1872,0)</f>
        <v>0</v>
      </c>
      <c r="S1872" s="64" t="n">
        <f aca="false">IF(AND($Q1872&gt;0,$O1872&gt;=AboveRank),$Q1872,0)</f>
        <v>0</v>
      </c>
      <c r="T1872" s="64" t="n">
        <f aca="false">IF($K1872="Less",$P1872,0)</f>
        <v>0</v>
      </c>
      <c r="U1872" s="64" t="n">
        <f aca="false">IF($K1872="Expected",$P1872,0)</f>
        <v>0</v>
      </c>
      <c r="V1872" s="64" t="n">
        <f aca="false">IF($K1872="Better",$P1872,0)</f>
        <v>0</v>
      </c>
      <c r="W1872" s="64" t="n">
        <f aca="false">IF($K1872="U – needs rule",$P1872,0)</f>
        <v>0</v>
      </c>
      <c r="X1872" s="64" t="n">
        <f aca="false">IF($K1872="No Start (attainment only)",$P1872,0)</f>
        <v>0</v>
      </c>
    </row>
    <row r="1873" customFormat="false" ht="15" hidden="false" customHeight="false" outlineLevel="0" collapsed="false">
      <c r="A1873" s="60"/>
      <c r="B1873" s="61" t="str">
        <f aca="false">IF($M1873=0,"",INDEX(Classes!$E$6:$E$420,$M1873))</f>
        <v/>
      </c>
      <c r="C1873" s="62" t="str">
        <f aca="false">IF($M1873=0,"",INDEX(Classes!$H$6:$H$420,$M1873))</f>
        <v/>
      </c>
      <c r="D1873" s="61" t="str">
        <f aca="false">IF($M1873=0,"",INDEX(Classes!$B$6:$B$420,$M1873))</f>
        <v/>
      </c>
      <c r="E1873" s="61" t="str">
        <f aca="false">IF($M1873=0,"",INDEX(Classes!$C$6:$C$420,$M1873))</f>
        <v/>
      </c>
      <c r="F1873" s="63"/>
      <c r="G1873" s="63"/>
      <c r="H1873" s="60"/>
      <c r="I1873" s="60"/>
      <c r="J1873" s="63"/>
      <c r="K1873" s="61" t="str">
        <f aca="false">IF($P1873=0,"",IF($F1873="Baseline","— Baseline",IF($O1873=0,"No result",IF($N1873=0,"No Start (attainment only)",IF(OR($N1873=1,$O1873=1),"U – needs rule",INDEX(MxBody,MATCH($I1873,MxCurr,0),MATCH($H1873,MxStart,0)))))))</f>
        <v/>
      </c>
      <c r="L1873" s="62" t="str">
        <f aca="false">IF(COUNTA($A1873,$F1873,$G1873,$H1873,$I1873,$J1873)=0,"",IF($M1873=0,"✖ كود الصف غير موجود",IF(ISNA(MATCH($F1873,Lists!$A$2:$A$5,0)),"✖ الفترة غير صحيحة",IF(ISNA(MATCH($G1873,Lists!$B$2:$B$7,0)),"✖ المجموعة غير صحيحة",IF(NOT(OR($H1873="",$N1873&gt;0)),"✖ Start غير صحيح",IF(NOT(OR($I1873="",$I1873="NR",$O1873&gt;0)),"✖ Current غير صحيح",IF(NOT(IF(ISNUMBER($J1873),AND($J1873&gt;=0,$J1873=INT($J1873)),FALSE())),"✖ العدد يجب أن يكون صحيحًا ≥ 0",IF(AND($F1873="Baseline",$H1873&lt;&gt;""),"⚠ Baseline: Start لا يدخل في التقدم",IF($K1873="No Start (attainment only)","ℹ تحصيل فقط (بدون Start)",IF($K1873="U – needs rule","ℹ حالة U تحتاج قاعدة معتمدة",IF($K1873="No result","ℹ بدون نتيجة (يُستبعد من التحصيل)","OK")))))))))))</f>
        <v/>
      </c>
      <c r="M1873" s="64" t="n">
        <f aca="false">IF($A1873="",0,IFERROR(MATCH($A1873,Classes!$A$6:$A$420,0),0))</f>
        <v>0</v>
      </c>
      <c r="N1873" s="64" t="n">
        <f aca="false">IF($H1873="",0,IFERROR(MATCH($H1873,GradeList,0),0))</f>
        <v>0</v>
      </c>
      <c r="O1873" s="64" t="n">
        <f aca="false">IF(OR($I1873="",$I1873="NR"),0,IFERROR(MATCH($I1873,GradeList,0),0))</f>
        <v>0</v>
      </c>
      <c r="P1873" s="64" t="n">
        <f aca="false">IF(AND($M1873&gt;0,ISNUMBER(MATCH($F1873,Lists!$A$2:$A$5,0)),ISNUMBER(MATCH($G1873,Lists!$B$2:$B$7,0)),OR($H1873="",$N1873&gt;0),OR($I1873="",$I1873="NR",$O1873&gt;0),IF(ISNUMBER($J1873),AND($J1873&gt;=0,$J1873=INT($J1873)),FALSE())),$J1873,0)</f>
        <v>0</v>
      </c>
      <c r="Q1873" s="64" t="n">
        <f aca="false">IF(AND($P1873&gt;0,$O1873&gt;0),$P1873,0)</f>
        <v>0</v>
      </c>
      <c r="R1873" s="64" t="n">
        <f aca="false">IF(AND($Q1873&gt;0,$O1873&gt;=AtRank),$Q1873,0)</f>
        <v>0</v>
      </c>
      <c r="S1873" s="64" t="n">
        <f aca="false">IF(AND($Q1873&gt;0,$O1873&gt;=AboveRank),$Q1873,0)</f>
        <v>0</v>
      </c>
      <c r="T1873" s="64" t="n">
        <f aca="false">IF($K1873="Less",$P1873,0)</f>
        <v>0</v>
      </c>
      <c r="U1873" s="64" t="n">
        <f aca="false">IF($K1873="Expected",$P1873,0)</f>
        <v>0</v>
      </c>
      <c r="V1873" s="64" t="n">
        <f aca="false">IF($K1873="Better",$P1873,0)</f>
        <v>0</v>
      </c>
      <c r="W1873" s="64" t="n">
        <f aca="false">IF($K1873="U – needs rule",$P1873,0)</f>
        <v>0</v>
      </c>
      <c r="X1873" s="64" t="n">
        <f aca="false">IF($K1873="No Start (attainment only)",$P1873,0)</f>
        <v>0</v>
      </c>
    </row>
    <row r="1874" customFormat="false" ht="15" hidden="false" customHeight="false" outlineLevel="0" collapsed="false">
      <c r="A1874" s="60"/>
      <c r="B1874" s="61" t="str">
        <f aca="false">IF($M1874=0,"",INDEX(Classes!$E$6:$E$420,$M1874))</f>
        <v/>
      </c>
      <c r="C1874" s="62" t="str">
        <f aca="false">IF($M1874=0,"",INDEX(Classes!$H$6:$H$420,$M1874))</f>
        <v/>
      </c>
      <c r="D1874" s="61" t="str">
        <f aca="false">IF($M1874=0,"",INDEX(Classes!$B$6:$B$420,$M1874))</f>
        <v/>
      </c>
      <c r="E1874" s="61" t="str">
        <f aca="false">IF($M1874=0,"",INDEX(Classes!$C$6:$C$420,$M1874))</f>
        <v/>
      </c>
      <c r="F1874" s="63"/>
      <c r="G1874" s="63"/>
      <c r="H1874" s="60"/>
      <c r="I1874" s="60"/>
      <c r="J1874" s="63"/>
      <c r="K1874" s="61" t="str">
        <f aca="false">IF($P1874=0,"",IF($F1874="Baseline","— Baseline",IF($O1874=0,"No result",IF($N1874=0,"No Start (attainment only)",IF(OR($N1874=1,$O1874=1),"U – needs rule",INDEX(MxBody,MATCH($I1874,MxCurr,0),MATCH($H1874,MxStart,0)))))))</f>
        <v/>
      </c>
      <c r="L1874" s="62" t="str">
        <f aca="false">IF(COUNTA($A1874,$F1874,$G1874,$H1874,$I1874,$J1874)=0,"",IF($M1874=0,"✖ كود الصف غير موجود",IF(ISNA(MATCH($F1874,Lists!$A$2:$A$5,0)),"✖ الفترة غير صحيحة",IF(ISNA(MATCH($G1874,Lists!$B$2:$B$7,0)),"✖ المجموعة غير صحيحة",IF(NOT(OR($H1874="",$N1874&gt;0)),"✖ Start غير صحيح",IF(NOT(OR($I1874="",$I1874="NR",$O1874&gt;0)),"✖ Current غير صحيح",IF(NOT(IF(ISNUMBER($J1874),AND($J1874&gt;=0,$J1874=INT($J1874)),FALSE())),"✖ العدد يجب أن يكون صحيحًا ≥ 0",IF(AND($F1874="Baseline",$H1874&lt;&gt;""),"⚠ Baseline: Start لا يدخل في التقدم",IF($K1874="No Start (attainment only)","ℹ تحصيل فقط (بدون Start)",IF($K1874="U – needs rule","ℹ حالة U تحتاج قاعدة معتمدة",IF($K1874="No result","ℹ بدون نتيجة (يُستبعد من التحصيل)","OK")))))))))))</f>
        <v/>
      </c>
      <c r="M1874" s="64" t="n">
        <f aca="false">IF($A1874="",0,IFERROR(MATCH($A1874,Classes!$A$6:$A$420,0),0))</f>
        <v>0</v>
      </c>
      <c r="N1874" s="64" t="n">
        <f aca="false">IF($H1874="",0,IFERROR(MATCH($H1874,GradeList,0),0))</f>
        <v>0</v>
      </c>
      <c r="O1874" s="64" t="n">
        <f aca="false">IF(OR($I1874="",$I1874="NR"),0,IFERROR(MATCH($I1874,GradeList,0),0))</f>
        <v>0</v>
      </c>
      <c r="P1874" s="64" t="n">
        <f aca="false">IF(AND($M1874&gt;0,ISNUMBER(MATCH($F1874,Lists!$A$2:$A$5,0)),ISNUMBER(MATCH($G1874,Lists!$B$2:$B$7,0)),OR($H1874="",$N1874&gt;0),OR($I1874="",$I1874="NR",$O1874&gt;0),IF(ISNUMBER($J1874),AND($J1874&gt;=0,$J1874=INT($J1874)),FALSE())),$J1874,0)</f>
        <v>0</v>
      </c>
      <c r="Q1874" s="64" t="n">
        <f aca="false">IF(AND($P1874&gt;0,$O1874&gt;0),$P1874,0)</f>
        <v>0</v>
      </c>
      <c r="R1874" s="64" t="n">
        <f aca="false">IF(AND($Q1874&gt;0,$O1874&gt;=AtRank),$Q1874,0)</f>
        <v>0</v>
      </c>
      <c r="S1874" s="64" t="n">
        <f aca="false">IF(AND($Q1874&gt;0,$O1874&gt;=AboveRank),$Q1874,0)</f>
        <v>0</v>
      </c>
      <c r="T1874" s="64" t="n">
        <f aca="false">IF($K1874="Less",$P1874,0)</f>
        <v>0</v>
      </c>
      <c r="U1874" s="64" t="n">
        <f aca="false">IF($K1874="Expected",$P1874,0)</f>
        <v>0</v>
      </c>
      <c r="V1874" s="64" t="n">
        <f aca="false">IF($K1874="Better",$P1874,0)</f>
        <v>0</v>
      </c>
      <c r="W1874" s="64" t="n">
        <f aca="false">IF($K1874="U – needs rule",$P1874,0)</f>
        <v>0</v>
      </c>
      <c r="X1874" s="64" t="n">
        <f aca="false">IF($K1874="No Start (attainment only)",$P1874,0)</f>
        <v>0</v>
      </c>
    </row>
    <row r="1875" customFormat="false" ht="15" hidden="false" customHeight="false" outlineLevel="0" collapsed="false">
      <c r="A1875" s="60"/>
      <c r="B1875" s="61" t="str">
        <f aca="false">IF($M1875=0,"",INDEX(Classes!$E$6:$E$420,$M1875))</f>
        <v/>
      </c>
      <c r="C1875" s="62" t="str">
        <f aca="false">IF($M1875=0,"",INDEX(Classes!$H$6:$H$420,$M1875))</f>
        <v/>
      </c>
      <c r="D1875" s="61" t="str">
        <f aca="false">IF($M1875=0,"",INDEX(Classes!$B$6:$B$420,$M1875))</f>
        <v/>
      </c>
      <c r="E1875" s="61" t="str">
        <f aca="false">IF($M1875=0,"",INDEX(Classes!$C$6:$C$420,$M1875))</f>
        <v/>
      </c>
      <c r="F1875" s="63"/>
      <c r="G1875" s="63"/>
      <c r="H1875" s="60"/>
      <c r="I1875" s="60"/>
      <c r="J1875" s="63"/>
      <c r="K1875" s="61" t="str">
        <f aca="false">IF($P1875=0,"",IF($F1875="Baseline","— Baseline",IF($O1875=0,"No result",IF($N1875=0,"No Start (attainment only)",IF(OR($N1875=1,$O1875=1),"U – needs rule",INDEX(MxBody,MATCH($I1875,MxCurr,0),MATCH($H1875,MxStart,0)))))))</f>
        <v/>
      </c>
      <c r="L1875" s="62" t="str">
        <f aca="false">IF(COUNTA($A1875,$F1875,$G1875,$H1875,$I1875,$J1875)=0,"",IF($M1875=0,"✖ كود الصف غير موجود",IF(ISNA(MATCH($F1875,Lists!$A$2:$A$5,0)),"✖ الفترة غير صحيحة",IF(ISNA(MATCH($G1875,Lists!$B$2:$B$7,0)),"✖ المجموعة غير صحيحة",IF(NOT(OR($H1875="",$N1875&gt;0)),"✖ Start غير صحيح",IF(NOT(OR($I1875="",$I1875="NR",$O1875&gt;0)),"✖ Current غير صحيح",IF(NOT(IF(ISNUMBER($J1875),AND($J1875&gt;=0,$J1875=INT($J1875)),FALSE())),"✖ العدد يجب أن يكون صحيحًا ≥ 0",IF(AND($F1875="Baseline",$H1875&lt;&gt;""),"⚠ Baseline: Start لا يدخل في التقدم",IF($K1875="No Start (attainment only)","ℹ تحصيل فقط (بدون Start)",IF($K1875="U – needs rule","ℹ حالة U تحتاج قاعدة معتمدة",IF($K1875="No result","ℹ بدون نتيجة (يُستبعد من التحصيل)","OK")))))))))))</f>
        <v/>
      </c>
      <c r="M1875" s="64" t="n">
        <f aca="false">IF($A1875="",0,IFERROR(MATCH($A1875,Classes!$A$6:$A$420,0),0))</f>
        <v>0</v>
      </c>
      <c r="N1875" s="64" t="n">
        <f aca="false">IF($H1875="",0,IFERROR(MATCH($H1875,GradeList,0),0))</f>
        <v>0</v>
      </c>
      <c r="O1875" s="64" t="n">
        <f aca="false">IF(OR($I1875="",$I1875="NR"),0,IFERROR(MATCH($I1875,GradeList,0),0))</f>
        <v>0</v>
      </c>
      <c r="P1875" s="64" t="n">
        <f aca="false">IF(AND($M1875&gt;0,ISNUMBER(MATCH($F1875,Lists!$A$2:$A$5,0)),ISNUMBER(MATCH($G1875,Lists!$B$2:$B$7,0)),OR($H1875="",$N1875&gt;0),OR($I1875="",$I1875="NR",$O1875&gt;0),IF(ISNUMBER($J1875),AND($J1875&gt;=0,$J1875=INT($J1875)),FALSE())),$J1875,0)</f>
        <v>0</v>
      </c>
      <c r="Q1875" s="64" t="n">
        <f aca="false">IF(AND($P1875&gt;0,$O1875&gt;0),$P1875,0)</f>
        <v>0</v>
      </c>
      <c r="R1875" s="64" t="n">
        <f aca="false">IF(AND($Q1875&gt;0,$O1875&gt;=AtRank),$Q1875,0)</f>
        <v>0</v>
      </c>
      <c r="S1875" s="64" t="n">
        <f aca="false">IF(AND($Q1875&gt;0,$O1875&gt;=AboveRank),$Q1875,0)</f>
        <v>0</v>
      </c>
      <c r="T1875" s="64" t="n">
        <f aca="false">IF($K1875="Less",$P1875,0)</f>
        <v>0</v>
      </c>
      <c r="U1875" s="64" t="n">
        <f aca="false">IF($K1875="Expected",$P1875,0)</f>
        <v>0</v>
      </c>
      <c r="V1875" s="64" t="n">
        <f aca="false">IF($K1875="Better",$P1875,0)</f>
        <v>0</v>
      </c>
      <c r="W1875" s="64" t="n">
        <f aca="false">IF($K1875="U – needs rule",$P1875,0)</f>
        <v>0</v>
      </c>
      <c r="X1875" s="64" t="n">
        <f aca="false">IF($K1875="No Start (attainment only)",$P1875,0)</f>
        <v>0</v>
      </c>
    </row>
    <row r="1876" customFormat="false" ht="15" hidden="false" customHeight="false" outlineLevel="0" collapsed="false">
      <c r="A1876" s="60"/>
      <c r="B1876" s="61" t="str">
        <f aca="false">IF($M1876=0,"",INDEX(Classes!$E$6:$E$420,$M1876))</f>
        <v/>
      </c>
      <c r="C1876" s="62" t="str">
        <f aca="false">IF($M1876=0,"",INDEX(Classes!$H$6:$H$420,$M1876))</f>
        <v/>
      </c>
      <c r="D1876" s="61" t="str">
        <f aca="false">IF($M1876=0,"",INDEX(Classes!$B$6:$B$420,$M1876))</f>
        <v/>
      </c>
      <c r="E1876" s="61" t="str">
        <f aca="false">IF($M1876=0,"",INDEX(Classes!$C$6:$C$420,$M1876))</f>
        <v/>
      </c>
      <c r="F1876" s="63"/>
      <c r="G1876" s="63"/>
      <c r="H1876" s="60"/>
      <c r="I1876" s="60"/>
      <c r="J1876" s="63"/>
      <c r="K1876" s="61" t="str">
        <f aca="false">IF($P1876=0,"",IF($F1876="Baseline","— Baseline",IF($O1876=0,"No result",IF($N1876=0,"No Start (attainment only)",IF(OR($N1876=1,$O1876=1),"U – needs rule",INDEX(MxBody,MATCH($I1876,MxCurr,0),MATCH($H1876,MxStart,0)))))))</f>
        <v/>
      </c>
      <c r="L1876" s="62" t="str">
        <f aca="false">IF(COUNTA($A1876,$F1876,$G1876,$H1876,$I1876,$J1876)=0,"",IF($M1876=0,"✖ كود الصف غير موجود",IF(ISNA(MATCH($F1876,Lists!$A$2:$A$5,0)),"✖ الفترة غير صحيحة",IF(ISNA(MATCH($G1876,Lists!$B$2:$B$7,0)),"✖ المجموعة غير صحيحة",IF(NOT(OR($H1876="",$N1876&gt;0)),"✖ Start غير صحيح",IF(NOT(OR($I1876="",$I1876="NR",$O1876&gt;0)),"✖ Current غير صحيح",IF(NOT(IF(ISNUMBER($J1876),AND($J1876&gt;=0,$J1876=INT($J1876)),FALSE())),"✖ العدد يجب أن يكون صحيحًا ≥ 0",IF(AND($F1876="Baseline",$H1876&lt;&gt;""),"⚠ Baseline: Start لا يدخل في التقدم",IF($K1876="No Start (attainment only)","ℹ تحصيل فقط (بدون Start)",IF($K1876="U – needs rule","ℹ حالة U تحتاج قاعدة معتمدة",IF($K1876="No result","ℹ بدون نتيجة (يُستبعد من التحصيل)","OK")))))))))))</f>
        <v/>
      </c>
      <c r="M1876" s="64" t="n">
        <f aca="false">IF($A1876="",0,IFERROR(MATCH($A1876,Classes!$A$6:$A$420,0),0))</f>
        <v>0</v>
      </c>
      <c r="N1876" s="64" t="n">
        <f aca="false">IF($H1876="",0,IFERROR(MATCH($H1876,GradeList,0),0))</f>
        <v>0</v>
      </c>
      <c r="O1876" s="64" t="n">
        <f aca="false">IF(OR($I1876="",$I1876="NR"),0,IFERROR(MATCH($I1876,GradeList,0),0))</f>
        <v>0</v>
      </c>
      <c r="P1876" s="64" t="n">
        <f aca="false">IF(AND($M1876&gt;0,ISNUMBER(MATCH($F1876,Lists!$A$2:$A$5,0)),ISNUMBER(MATCH($G1876,Lists!$B$2:$B$7,0)),OR($H1876="",$N1876&gt;0),OR($I1876="",$I1876="NR",$O1876&gt;0),IF(ISNUMBER($J1876),AND($J1876&gt;=0,$J1876=INT($J1876)),FALSE())),$J1876,0)</f>
        <v>0</v>
      </c>
      <c r="Q1876" s="64" t="n">
        <f aca="false">IF(AND($P1876&gt;0,$O1876&gt;0),$P1876,0)</f>
        <v>0</v>
      </c>
      <c r="R1876" s="64" t="n">
        <f aca="false">IF(AND($Q1876&gt;0,$O1876&gt;=AtRank),$Q1876,0)</f>
        <v>0</v>
      </c>
      <c r="S1876" s="64" t="n">
        <f aca="false">IF(AND($Q1876&gt;0,$O1876&gt;=AboveRank),$Q1876,0)</f>
        <v>0</v>
      </c>
      <c r="T1876" s="64" t="n">
        <f aca="false">IF($K1876="Less",$P1876,0)</f>
        <v>0</v>
      </c>
      <c r="U1876" s="64" t="n">
        <f aca="false">IF($K1876="Expected",$P1876,0)</f>
        <v>0</v>
      </c>
      <c r="V1876" s="64" t="n">
        <f aca="false">IF($K1876="Better",$P1876,0)</f>
        <v>0</v>
      </c>
      <c r="W1876" s="64" t="n">
        <f aca="false">IF($K1876="U – needs rule",$P1876,0)</f>
        <v>0</v>
      </c>
      <c r="X1876" s="64" t="n">
        <f aca="false">IF($K1876="No Start (attainment only)",$P1876,0)</f>
        <v>0</v>
      </c>
    </row>
    <row r="1877" customFormat="false" ht="15" hidden="false" customHeight="false" outlineLevel="0" collapsed="false">
      <c r="A1877" s="60"/>
      <c r="B1877" s="61" t="str">
        <f aca="false">IF($M1877=0,"",INDEX(Classes!$E$6:$E$420,$M1877))</f>
        <v/>
      </c>
      <c r="C1877" s="62" t="str">
        <f aca="false">IF($M1877=0,"",INDEX(Classes!$H$6:$H$420,$M1877))</f>
        <v/>
      </c>
      <c r="D1877" s="61" t="str">
        <f aca="false">IF($M1877=0,"",INDEX(Classes!$B$6:$B$420,$M1877))</f>
        <v/>
      </c>
      <c r="E1877" s="61" t="str">
        <f aca="false">IF($M1877=0,"",INDEX(Classes!$C$6:$C$420,$M1877))</f>
        <v/>
      </c>
      <c r="F1877" s="63"/>
      <c r="G1877" s="63"/>
      <c r="H1877" s="60"/>
      <c r="I1877" s="60"/>
      <c r="J1877" s="63"/>
      <c r="K1877" s="61" t="str">
        <f aca="false">IF($P1877=0,"",IF($F1877="Baseline","— Baseline",IF($O1877=0,"No result",IF($N1877=0,"No Start (attainment only)",IF(OR($N1877=1,$O1877=1),"U – needs rule",INDEX(MxBody,MATCH($I1877,MxCurr,0),MATCH($H1877,MxStart,0)))))))</f>
        <v/>
      </c>
      <c r="L1877" s="62" t="str">
        <f aca="false">IF(COUNTA($A1877,$F1877,$G1877,$H1877,$I1877,$J1877)=0,"",IF($M1877=0,"✖ كود الصف غير موجود",IF(ISNA(MATCH($F1877,Lists!$A$2:$A$5,0)),"✖ الفترة غير صحيحة",IF(ISNA(MATCH($G1877,Lists!$B$2:$B$7,0)),"✖ المجموعة غير صحيحة",IF(NOT(OR($H1877="",$N1877&gt;0)),"✖ Start غير صحيح",IF(NOT(OR($I1877="",$I1877="NR",$O1877&gt;0)),"✖ Current غير صحيح",IF(NOT(IF(ISNUMBER($J1877),AND($J1877&gt;=0,$J1877=INT($J1877)),FALSE())),"✖ العدد يجب أن يكون صحيحًا ≥ 0",IF(AND($F1877="Baseline",$H1877&lt;&gt;""),"⚠ Baseline: Start لا يدخل في التقدم",IF($K1877="No Start (attainment only)","ℹ تحصيل فقط (بدون Start)",IF($K1877="U – needs rule","ℹ حالة U تحتاج قاعدة معتمدة",IF($K1877="No result","ℹ بدون نتيجة (يُستبعد من التحصيل)","OK")))))))))))</f>
        <v/>
      </c>
      <c r="M1877" s="64" t="n">
        <f aca="false">IF($A1877="",0,IFERROR(MATCH($A1877,Classes!$A$6:$A$420,0),0))</f>
        <v>0</v>
      </c>
      <c r="N1877" s="64" t="n">
        <f aca="false">IF($H1877="",0,IFERROR(MATCH($H1877,GradeList,0),0))</f>
        <v>0</v>
      </c>
      <c r="O1877" s="64" t="n">
        <f aca="false">IF(OR($I1877="",$I1877="NR"),0,IFERROR(MATCH($I1877,GradeList,0),0))</f>
        <v>0</v>
      </c>
      <c r="P1877" s="64" t="n">
        <f aca="false">IF(AND($M1877&gt;0,ISNUMBER(MATCH($F1877,Lists!$A$2:$A$5,0)),ISNUMBER(MATCH($G1877,Lists!$B$2:$B$7,0)),OR($H1877="",$N1877&gt;0),OR($I1877="",$I1877="NR",$O1877&gt;0),IF(ISNUMBER($J1877),AND($J1877&gt;=0,$J1877=INT($J1877)),FALSE())),$J1877,0)</f>
        <v>0</v>
      </c>
      <c r="Q1877" s="64" t="n">
        <f aca="false">IF(AND($P1877&gt;0,$O1877&gt;0),$P1877,0)</f>
        <v>0</v>
      </c>
      <c r="R1877" s="64" t="n">
        <f aca="false">IF(AND($Q1877&gt;0,$O1877&gt;=AtRank),$Q1877,0)</f>
        <v>0</v>
      </c>
      <c r="S1877" s="64" t="n">
        <f aca="false">IF(AND($Q1877&gt;0,$O1877&gt;=AboveRank),$Q1877,0)</f>
        <v>0</v>
      </c>
      <c r="T1877" s="64" t="n">
        <f aca="false">IF($K1877="Less",$P1877,0)</f>
        <v>0</v>
      </c>
      <c r="U1877" s="64" t="n">
        <f aca="false">IF($K1877="Expected",$P1877,0)</f>
        <v>0</v>
      </c>
      <c r="V1877" s="64" t="n">
        <f aca="false">IF($K1877="Better",$P1877,0)</f>
        <v>0</v>
      </c>
      <c r="W1877" s="64" t="n">
        <f aca="false">IF($K1877="U – needs rule",$P1877,0)</f>
        <v>0</v>
      </c>
      <c r="X1877" s="64" t="n">
        <f aca="false">IF($K1877="No Start (attainment only)",$P1877,0)</f>
        <v>0</v>
      </c>
    </row>
    <row r="1878" customFormat="false" ht="15" hidden="false" customHeight="false" outlineLevel="0" collapsed="false">
      <c r="A1878" s="60"/>
      <c r="B1878" s="61" t="str">
        <f aca="false">IF($M1878=0,"",INDEX(Classes!$E$6:$E$420,$M1878))</f>
        <v/>
      </c>
      <c r="C1878" s="62" t="str">
        <f aca="false">IF($M1878=0,"",INDEX(Classes!$H$6:$H$420,$M1878))</f>
        <v/>
      </c>
      <c r="D1878" s="61" t="str">
        <f aca="false">IF($M1878=0,"",INDEX(Classes!$B$6:$B$420,$M1878))</f>
        <v/>
      </c>
      <c r="E1878" s="61" t="str">
        <f aca="false">IF($M1878=0,"",INDEX(Classes!$C$6:$C$420,$M1878))</f>
        <v/>
      </c>
      <c r="F1878" s="63"/>
      <c r="G1878" s="63"/>
      <c r="H1878" s="60"/>
      <c r="I1878" s="60"/>
      <c r="J1878" s="63"/>
      <c r="K1878" s="61" t="str">
        <f aca="false">IF($P1878=0,"",IF($F1878="Baseline","— Baseline",IF($O1878=0,"No result",IF($N1878=0,"No Start (attainment only)",IF(OR($N1878=1,$O1878=1),"U – needs rule",INDEX(MxBody,MATCH($I1878,MxCurr,0),MATCH($H1878,MxStart,0)))))))</f>
        <v/>
      </c>
      <c r="L1878" s="62" t="str">
        <f aca="false">IF(COUNTA($A1878,$F1878,$G1878,$H1878,$I1878,$J1878)=0,"",IF($M1878=0,"✖ كود الصف غير موجود",IF(ISNA(MATCH($F1878,Lists!$A$2:$A$5,0)),"✖ الفترة غير صحيحة",IF(ISNA(MATCH($G1878,Lists!$B$2:$B$7,0)),"✖ المجموعة غير صحيحة",IF(NOT(OR($H1878="",$N1878&gt;0)),"✖ Start غير صحيح",IF(NOT(OR($I1878="",$I1878="NR",$O1878&gt;0)),"✖ Current غير صحيح",IF(NOT(IF(ISNUMBER($J1878),AND($J1878&gt;=0,$J1878=INT($J1878)),FALSE())),"✖ العدد يجب أن يكون صحيحًا ≥ 0",IF(AND($F1878="Baseline",$H1878&lt;&gt;""),"⚠ Baseline: Start لا يدخل في التقدم",IF($K1878="No Start (attainment only)","ℹ تحصيل فقط (بدون Start)",IF($K1878="U – needs rule","ℹ حالة U تحتاج قاعدة معتمدة",IF($K1878="No result","ℹ بدون نتيجة (يُستبعد من التحصيل)","OK")))))))))))</f>
        <v/>
      </c>
      <c r="M1878" s="64" t="n">
        <f aca="false">IF($A1878="",0,IFERROR(MATCH($A1878,Classes!$A$6:$A$420,0),0))</f>
        <v>0</v>
      </c>
      <c r="N1878" s="64" t="n">
        <f aca="false">IF($H1878="",0,IFERROR(MATCH($H1878,GradeList,0),0))</f>
        <v>0</v>
      </c>
      <c r="O1878" s="64" t="n">
        <f aca="false">IF(OR($I1878="",$I1878="NR"),0,IFERROR(MATCH($I1878,GradeList,0),0))</f>
        <v>0</v>
      </c>
      <c r="P1878" s="64" t="n">
        <f aca="false">IF(AND($M1878&gt;0,ISNUMBER(MATCH($F1878,Lists!$A$2:$A$5,0)),ISNUMBER(MATCH($G1878,Lists!$B$2:$B$7,0)),OR($H1878="",$N1878&gt;0),OR($I1878="",$I1878="NR",$O1878&gt;0),IF(ISNUMBER($J1878),AND($J1878&gt;=0,$J1878=INT($J1878)),FALSE())),$J1878,0)</f>
        <v>0</v>
      </c>
      <c r="Q1878" s="64" t="n">
        <f aca="false">IF(AND($P1878&gt;0,$O1878&gt;0),$P1878,0)</f>
        <v>0</v>
      </c>
      <c r="R1878" s="64" t="n">
        <f aca="false">IF(AND($Q1878&gt;0,$O1878&gt;=AtRank),$Q1878,0)</f>
        <v>0</v>
      </c>
      <c r="S1878" s="64" t="n">
        <f aca="false">IF(AND($Q1878&gt;0,$O1878&gt;=AboveRank),$Q1878,0)</f>
        <v>0</v>
      </c>
      <c r="T1878" s="64" t="n">
        <f aca="false">IF($K1878="Less",$P1878,0)</f>
        <v>0</v>
      </c>
      <c r="U1878" s="64" t="n">
        <f aca="false">IF($K1878="Expected",$P1878,0)</f>
        <v>0</v>
      </c>
      <c r="V1878" s="64" t="n">
        <f aca="false">IF($K1878="Better",$P1878,0)</f>
        <v>0</v>
      </c>
      <c r="W1878" s="64" t="n">
        <f aca="false">IF($K1878="U – needs rule",$P1878,0)</f>
        <v>0</v>
      </c>
      <c r="X1878" s="64" t="n">
        <f aca="false">IF($K1878="No Start (attainment only)",$P1878,0)</f>
        <v>0</v>
      </c>
    </row>
    <row r="1879" customFormat="false" ht="15" hidden="false" customHeight="false" outlineLevel="0" collapsed="false">
      <c r="A1879" s="60"/>
      <c r="B1879" s="61" t="str">
        <f aca="false">IF($M1879=0,"",INDEX(Classes!$E$6:$E$420,$M1879))</f>
        <v/>
      </c>
      <c r="C1879" s="62" t="str">
        <f aca="false">IF($M1879=0,"",INDEX(Classes!$H$6:$H$420,$M1879))</f>
        <v/>
      </c>
      <c r="D1879" s="61" t="str">
        <f aca="false">IF($M1879=0,"",INDEX(Classes!$B$6:$B$420,$M1879))</f>
        <v/>
      </c>
      <c r="E1879" s="61" t="str">
        <f aca="false">IF($M1879=0,"",INDEX(Classes!$C$6:$C$420,$M1879))</f>
        <v/>
      </c>
      <c r="F1879" s="63"/>
      <c r="G1879" s="63"/>
      <c r="H1879" s="60"/>
      <c r="I1879" s="60"/>
      <c r="J1879" s="63"/>
      <c r="K1879" s="61" t="str">
        <f aca="false">IF($P1879=0,"",IF($F1879="Baseline","— Baseline",IF($O1879=0,"No result",IF($N1879=0,"No Start (attainment only)",IF(OR($N1879=1,$O1879=1),"U – needs rule",INDEX(MxBody,MATCH($I1879,MxCurr,0),MATCH($H1879,MxStart,0)))))))</f>
        <v/>
      </c>
      <c r="L1879" s="62" t="str">
        <f aca="false">IF(COUNTA($A1879,$F1879,$G1879,$H1879,$I1879,$J1879)=0,"",IF($M1879=0,"✖ كود الصف غير موجود",IF(ISNA(MATCH($F1879,Lists!$A$2:$A$5,0)),"✖ الفترة غير صحيحة",IF(ISNA(MATCH($G1879,Lists!$B$2:$B$7,0)),"✖ المجموعة غير صحيحة",IF(NOT(OR($H1879="",$N1879&gt;0)),"✖ Start غير صحيح",IF(NOT(OR($I1879="",$I1879="NR",$O1879&gt;0)),"✖ Current غير صحيح",IF(NOT(IF(ISNUMBER($J1879),AND($J1879&gt;=0,$J1879=INT($J1879)),FALSE())),"✖ العدد يجب أن يكون صحيحًا ≥ 0",IF(AND($F1879="Baseline",$H1879&lt;&gt;""),"⚠ Baseline: Start لا يدخل في التقدم",IF($K1879="No Start (attainment only)","ℹ تحصيل فقط (بدون Start)",IF($K1879="U – needs rule","ℹ حالة U تحتاج قاعدة معتمدة",IF($K1879="No result","ℹ بدون نتيجة (يُستبعد من التحصيل)","OK")))))))))))</f>
        <v/>
      </c>
      <c r="M1879" s="64" t="n">
        <f aca="false">IF($A1879="",0,IFERROR(MATCH($A1879,Classes!$A$6:$A$420,0),0))</f>
        <v>0</v>
      </c>
      <c r="N1879" s="64" t="n">
        <f aca="false">IF($H1879="",0,IFERROR(MATCH($H1879,GradeList,0),0))</f>
        <v>0</v>
      </c>
      <c r="O1879" s="64" t="n">
        <f aca="false">IF(OR($I1879="",$I1879="NR"),0,IFERROR(MATCH($I1879,GradeList,0),0))</f>
        <v>0</v>
      </c>
      <c r="P1879" s="64" t="n">
        <f aca="false">IF(AND($M1879&gt;0,ISNUMBER(MATCH($F1879,Lists!$A$2:$A$5,0)),ISNUMBER(MATCH($G1879,Lists!$B$2:$B$7,0)),OR($H1879="",$N1879&gt;0),OR($I1879="",$I1879="NR",$O1879&gt;0),IF(ISNUMBER($J1879),AND($J1879&gt;=0,$J1879=INT($J1879)),FALSE())),$J1879,0)</f>
        <v>0</v>
      </c>
      <c r="Q1879" s="64" t="n">
        <f aca="false">IF(AND($P1879&gt;0,$O1879&gt;0),$P1879,0)</f>
        <v>0</v>
      </c>
      <c r="R1879" s="64" t="n">
        <f aca="false">IF(AND($Q1879&gt;0,$O1879&gt;=AtRank),$Q1879,0)</f>
        <v>0</v>
      </c>
      <c r="S1879" s="64" t="n">
        <f aca="false">IF(AND($Q1879&gt;0,$O1879&gt;=AboveRank),$Q1879,0)</f>
        <v>0</v>
      </c>
      <c r="T1879" s="64" t="n">
        <f aca="false">IF($K1879="Less",$P1879,0)</f>
        <v>0</v>
      </c>
      <c r="U1879" s="64" t="n">
        <f aca="false">IF($K1879="Expected",$P1879,0)</f>
        <v>0</v>
      </c>
      <c r="V1879" s="64" t="n">
        <f aca="false">IF($K1879="Better",$P1879,0)</f>
        <v>0</v>
      </c>
      <c r="W1879" s="64" t="n">
        <f aca="false">IF($K1879="U – needs rule",$P1879,0)</f>
        <v>0</v>
      </c>
      <c r="X1879" s="64" t="n">
        <f aca="false">IF($K1879="No Start (attainment only)",$P1879,0)</f>
        <v>0</v>
      </c>
    </row>
    <row r="1880" customFormat="false" ht="15" hidden="false" customHeight="false" outlineLevel="0" collapsed="false">
      <c r="A1880" s="60"/>
      <c r="B1880" s="61" t="str">
        <f aca="false">IF($M1880=0,"",INDEX(Classes!$E$6:$E$420,$M1880))</f>
        <v/>
      </c>
      <c r="C1880" s="62" t="str">
        <f aca="false">IF($M1880=0,"",INDEX(Classes!$H$6:$H$420,$M1880))</f>
        <v/>
      </c>
      <c r="D1880" s="61" t="str">
        <f aca="false">IF($M1880=0,"",INDEX(Classes!$B$6:$B$420,$M1880))</f>
        <v/>
      </c>
      <c r="E1880" s="61" t="str">
        <f aca="false">IF($M1880=0,"",INDEX(Classes!$C$6:$C$420,$M1880))</f>
        <v/>
      </c>
      <c r="F1880" s="63"/>
      <c r="G1880" s="63"/>
      <c r="H1880" s="60"/>
      <c r="I1880" s="60"/>
      <c r="J1880" s="63"/>
      <c r="K1880" s="61" t="str">
        <f aca="false">IF($P1880=0,"",IF($F1880="Baseline","— Baseline",IF($O1880=0,"No result",IF($N1880=0,"No Start (attainment only)",IF(OR($N1880=1,$O1880=1),"U – needs rule",INDEX(MxBody,MATCH($I1880,MxCurr,0),MATCH($H1880,MxStart,0)))))))</f>
        <v/>
      </c>
      <c r="L1880" s="62" t="str">
        <f aca="false">IF(COUNTA($A1880,$F1880,$G1880,$H1880,$I1880,$J1880)=0,"",IF($M1880=0,"✖ كود الصف غير موجود",IF(ISNA(MATCH($F1880,Lists!$A$2:$A$5,0)),"✖ الفترة غير صحيحة",IF(ISNA(MATCH($G1880,Lists!$B$2:$B$7,0)),"✖ المجموعة غير صحيحة",IF(NOT(OR($H1880="",$N1880&gt;0)),"✖ Start غير صحيح",IF(NOT(OR($I1880="",$I1880="NR",$O1880&gt;0)),"✖ Current غير صحيح",IF(NOT(IF(ISNUMBER($J1880),AND($J1880&gt;=0,$J1880=INT($J1880)),FALSE())),"✖ العدد يجب أن يكون صحيحًا ≥ 0",IF(AND($F1880="Baseline",$H1880&lt;&gt;""),"⚠ Baseline: Start لا يدخل في التقدم",IF($K1880="No Start (attainment only)","ℹ تحصيل فقط (بدون Start)",IF($K1880="U – needs rule","ℹ حالة U تحتاج قاعدة معتمدة",IF($K1880="No result","ℹ بدون نتيجة (يُستبعد من التحصيل)","OK")))))))))))</f>
        <v/>
      </c>
      <c r="M1880" s="64" t="n">
        <f aca="false">IF($A1880="",0,IFERROR(MATCH($A1880,Classes!$A$6:$A$420,0),0))</f>
        <v>0</v>
      </c>
      <c r="N1880" s="64" t="n">
        <f aca="false">IF($H1880="",0,IFERROR(MATCH($H1880,GradeList,0),0))</f>
        <v>0</v>
      </c>
      <c r="O1880" s="64" t="n">
        <f aca="false">IF(OR($I1880="",$I1880="NR"),0,IFERROR(MATCH($I1880,GradeList,0),0))</f>
        <v>0</v>
      </c>
      <c r="P1880" s="64" t="n">
        <f aca="false">IF(AND($M1880&gt;0,ISNUMBER(MATCH($F1880,Lists!$A$2:$A$5,0)),ISNUMBER(MATCH($G1880,Lists!$B$2:$B$7,0)),OR($H1880="",$N1880&gt;0),OR($I1880="",$I1880="NR",$O1880&gt;0),IF(ISNUMBER($J1880),AND($J1880&gt;=0,$J1880=INT($J1880)),FALSE())),$J1880,0)</f>
        <v>0</v>
      </c>
      <c r="Q1880" s="64" t="n">
        <f aca="false">IF(AND($P1880&gt;0,$O1880&gt;0),$P1880,0)</f>
        <v>0</v>
      </c>
      <c r="R1880" s="64" t="n">
        <f aca="false">IF(AND($Q1880&gt;0,$O1880&gt;=AtRank),$Q1880,0)</f>
        <v>0</v>
      </c>
      <c r="S1880" s="64" t="n">
        <f aca="false">IF(AND($Q1880&gt;0,$O1880&gt;=AboveRank),$Q1880,0)</f>
        <v>0</v>
      </c>
      <c r="T1880" s="64" t="n">
        <f aca="false">IF($K1880="Less",$P1880,0)</f>
        <v>0</v>
      </c>
      <c r="U1880" s="64" t="n">
        <f aca="false">IF($K1880="Expected",$P1880,0)</f>
        <v>0</v>
      </c>
      <c r="V1880" s="64" t="n">
        <f aca="false">IF($K1880="Better",$P1880,0)</f>
        <v>0</v>
      </c>
      <c r="W1880" s="64" t="n">
        <f aca="false">IF($K1880="U – needs rule",$P1880,0)</f>
        <v>0</v>
      </c>
      <c r="X1880" s="64" t="n">
        <f aca="false">IF($K1880="No Start (attainment only)",$P1880,0)</f>
        <v>0</v>
      </c>
    </row>
    <row r="1881" customFormat="false" ht="15" hidden="false" customHeight="false" outlineLevel="0" collapsed="false">
      <c r="A1881" s="60"/>
      <c r="B1881" s="61" t="str">
        <f aca="false">IF($M1881=0,"",INDEX(Classes!$E$6:$E$420,$M1881))</f>
        <v/>
      </c>
      <c r="C1881" s="62" t="str">
        <f aca="false">IF($M1881=0,"",INDEX(Classes!$H$6:$H$420,$M1881))</f>
        <v/>
      </c>
      <c r="D1881" s="61" t="str">
        <f aca="false">IF($M1881=0,"",INDEX(Classes!$B$6:$B$420,$M1881))</f>
        <v/>
      </c>
      <c r="E1881" s="61" t="str">
        <f aca="false">IF($M1881=0,"",INDEX(Classes!$C$6:$C$420,$M1881))</f>
        <v/>
      </c>
      <c r="F1881" s="63"/>
      <c r="G1881" s="63"/>
      <c r="H1881" s="60"/>
      <c r="I1881" s="60"/>
      <c r="J1881" s="63"/>
      <c r="K1881" s="61" t="str">
        <f aca="false">IF($P1881=0,"",IF($F1881="Baseline","— Baseline",IF($O1881=0,"No result",IF($N1881=0,"No Start (attainment only)",IF(OR($N1881=1,$O1881=1),"U – needs rule",INDEX(MxBody,MATCH($I1881,MxCurr,0),MATCH($H1881,MxStart,0)))))))</f>
        <v/>
      </c>
      <c r="L1881" s="62" t="str">
        <f aca="false">IF(COUNTA($A1881,$F1881,$G1881,$H1881,$I1881,$J1881)=0,"",IF($M1881=0,"✖ كود الصف غير موجود",IF(ISNA(MATCH($F1881,Lists!$A$2:$A$5,0)),"✖ الفترة غير صحيحة",IF(ISNA(MATCH($G1881,Lists!$B$2:$B$7,0)),"✖ المجموعة غير صحيحة",IF(NOT(OR($H1881="",$N1881&gt;0)),"✖ Start غير صحيح",IF(NOT(OR($I1881="",$I1881="NR",$O1881&gt;0)),"✖ Current غير صحيح",IF(NOT(IF(ISNUMBER($J1881),AND($J1881&gt;=0,$J1881=INT($J1881)),FALSE())),"✖ العدد يجب أن يكون صحيحًا ≥ 0",IF(AND($F1881="Baseline",$H1881&lt;&gt;""),"⚠ Baseline: Start لا يدخل في التقدم",IF($K1881="No Start (attainment only)","ℹ تحصيل فقط (بدون Start)",IF($K1881="U – needs rule","ℹ حالة U تحتاج قاعدة معتمدة",IF($K1881="No result","ℹ بدون نتيجة (يُستبعد من التحصيل)","OK")))))))))))</f>
        <v/>
      </c>
      <c r="M1881" s="64" t="n">
        <f aca="false">IF($A1881="",0,IFERROR(MATCH($A1881,Classes!$A$6:$A$420,0),0))</f>
        <v>0</v>
      </c>
      <c r="N1881" s="64" t="n">
        <f aca="false">IF($H1881="",0,IFERROR(MATCH($H1881,GradeList,0),0))</f>
        <v>0</v>
      </c>
      <c r="O1881" s="64" t="n">
        <f aca="false">IF(OR($I1881="",$I1881="NR"),0,IFERROR(MATCH($I1881,GradeList,0),0))</f>
        <v>0</v>
      </c>
      <c r="P1881" s="64" t="n">
        <f aca="false">IF(AND($M1881&gt;0,ISNUMBER(MATCH($F1881,Lists!$A$2:$A$5,0)),ISNUMBER(MATCH($G1881,Lists!$B$2:$B$7,0)),OR($H1881="",$N1881&gt;0),OR($I1881="",$I1881="NR",$O1881&gt;0),IF(ISNUMBER($J1881),AND($J1881&gt;=0,$J1881=INT($J1881)),FALSE())),$J1881,0)</f>
        <v>0</v>
      </c>
      <c r="Q1881" s="64" t="n">
        <f aca="false">IF(AND($P1881&gt;0,$O1881&gt;0),$P1881,0)</f>
        <v>0</v>
      </c>
      <c r="R1881" s="64" t="n">
        <f aca="false">IF(AND($Q1881&gt;0,$O1881&gt;=AtRank),$Q1881,0)</f>
        <v>0</v>
      </c>
      <c r="S1881" s="64" t="n">
        <f aca="false">IF(AND($Q1881&gt;0,$O1881&gt;=AboveRank),$Q1881,0)</f>
        <v>0</v>
      </c>
      <c r="T1881" s="64" t="n">
        <f aca="false">IF($K1881="Less",$P1881,0)</f>
        <v>0</v>
      </c>
      <c r="U1881" s="64" t="n">
        <f aca="false">IF($K1881="Expected",$P1881,0)</f>
        <v>0</v>
      </c>
      <c r="V1881" s="64" t="n">
        <f aca="false">IF($K1881="Better",$P1881,0)</f>
        <v>0</v>
      </c>
      <c r="W1881" s="64" t="n">
        <f aca="false">IF($K1881="U – needs rule",$P1881,0)</f>
        <v>0</v>
      </c>
      <c r="X1881" s="64" t="n">
        <f aca="false">IF($K1881="No Start (attainment only)",$P1881,0)</f>
        <v>0</v>
      </c>
    </row>
    <row r="1882" customFormat="false" ht="15" hidden="false" customHeight="false" outlineLevel="0" collapsed="false">
      <c r="A1882" s="60"/>
      <c r="B1882" s="61" t="str">
        <f aca="false">IF($M1882=0,"",INDEX(Classes!$E$6:$E$420,$M1882))</f>
        <v/>
      </c>
      <c r="C1882" s="62" t="str">
        <f aca="false">IF($M1882=0,"",INDEX(Classes!$H$6:$H$420,$M1882))</f>
        <v/>
      </c>
      <c r="D1882" s="61" t="str">
        <f aca="false">IF($M1882=0,"",INDEX(Classes!$B$6:$B$420,$M1882))</f>
        <v/>
      </c>
      <c r="E1882" s="61" t="str">
        <f aca="false">IF($M1882=0,"",INDEX(Classes!$C$6:$C$420,$M1882))</f>
        <v/>
      </c>
      <c r="F1882" s="63"/>
      <c r="G1882" s="63"/>
      <c r="H1882" s="60"/>
      <c r="I1882" s="60"/>
      <c r="J1882" s="63"/>
      <c r="K1882" s="61" t="str">
        <f aca="false">IF($P1882=0,"",IF($F1882="Baseline","— Baseline",IF($O1882=0,"No result",IF($N1882=0,"No Start (attainment only)",IF(OR($N1882=1,$O1882=1),"U – needs rule",INDEX(MxBody,MATCH($I1882,MxCurr,0),MATCH($H1882,MxStart,0)))))))</f>
        <v/>
      </c>
      <c r="L1882" s="62" t="str">
        <f aca="false">IF(COUNTA($A1882,$F1882,$G1882,$H1882,$I1882,$J1882)=0,"",IF($M1882=0,"✖ كود الصف غير موجود",IF(ISNA(MATCH($F1882,Lists!$A$2:$A$5,0)),"✖ الفترة غير صحيحة",IF(ISNA(MATCH($G1882,Lists!$B$2:$B$7,0)),"✖ المجموعة غير صحيحة",IF(NOT(OR($H1882="",$N1882&gt;0)),"✖ Start غير صحيح",IF(NOT(OR($I1882="",$I1882="NR",$O1882&gt;0)),"✖ Current غير صحيح",IF(NOT(IF(ISNUMBER($J1882),AND($J1882&gt;=0,$J1882=INT($J1882)),FALSE())),"✖ العدد يجب أن يكون صحيحًا ≥ 0",IF(AND($F1882="Baseline",$H1882&lt;&gt;""),"⚠ Baseline: Start لا يدخل في التقدم",IF($K1882="No Start (attainment only)","ℹ تحصيل فقط (بدون Start)",IF($K1882="U – needs rule","ℹ حالة U تحتاج قاعدة معتمدة",IF($K1882="No result","ℹ بدون نتيجة (يُستبعد من التحصيل)","OK")))))))))))</f>
        <v/>
      </c>
      <c r="M1882" s="64" t="n">
        <f aca="false">IF($A1882="",0,IFERROR(MATCH($A1882,Classes!$A$6:$A$420,0),0))</f>
        <v>0</v>
      </c>
      <c r="N1882" s="64" t="n">
        <f aca="false">IF($H1882="",0,IFERROR(MATCH($H1882,GradeList,0),0))</f>
        <v>0</v>
      </c>
      <c r="O1882" s="64" t="n">
        <f aca="false">IF(OR($I1882="",$I1882="NR"),0,IFERROR(MATCH($I1882,GradeList,0),0))</f>
        <v>0</v>
      </c>
      <c r="P1882" s="64" t="n">
        <f aca="false">IF(AND($M1882&gt;0,ISNUMBER(MATCH($F1882,Lists!$A$2:$A$5,0)),ISNUMBER(MATCH($G1882,Lists!$B$2:$B$7,0)),OR($H1882="",$N1882&gt;0),OR($I1882="",$I1882="NR",$O1882&gt;0),IF(ISNUMBER($J1882),AND($J1882&gt;=0,$J1882=INT($J1882)),FALSE())),$J1882,0)</f>
        <v>0</v>
      </c>
      <c r="Q1882" s="64" t="n">
        <f aca="false">IF(AND($P1882&gt;0,$O1882&gt;0),$P1882,0)</f>
        <v>0</v>
      </c>
      <c r="R1882" s="64" t="n">
        <f aca="false">IF(AND($Q1882&gt;0,$O1882&gt;=AtRank),$Q1882,0)</f>
        <v>0</v>
      </c>
      <c r="S1882" s="64" t="n">
        <f aca="false">IF(AND($Q1882&gt;0,$O1882&gt;=AboveRank),$Q1882,0)</f>
        <v>0</v>
      </c>
      <c r="T1882" s="64" t="n">
        <f aca="false">IF($K1882="Less",$P1882,0)</f>
        <v>0</v>
      </c>
      <c r="U1882" s="64" t="n">
        <f aca="false">IF($K1882="Expected",$P1882,0)</f>
        <v>0</v>
      </c>
      <c r="V1882" s="64" t="n">
        <f aca="false">IF($K1882="Better",$P1882,0)</f>
        <v>0</v>
      </c>
      <c r="W1882" s="64" t="n">
        <f aca="false">IF($K1882="U – needs rule",$P1882,0)</f>
        <v>0</v>
      </c>
      <c r="X1882" s="64" t="n">
        <f aca="false">IF($K1882="No Start (attainment only)",$P1882,0)</f>
        <v>0</v>
      </c>
    </row>
    <row r="1883" customFormat="false" ht="15" hidden="false" customHeight="false" outlineLevel="0" collapsed="false">
      <c r="A1883" s="60"/>
      <c r="B1883" s="61" t="str">
        <f aca="false">IF($M1883=0,"",INDEX(Classes!$E$6:$E$420,$M1883))</f>
        <v/>
      </c>
      <c r="C1883" s="62" t="str">
        <f aca="false">IF($M1883=0,"",INDEX(Classes!$H$6:$H$420,$M1883))</f>
        <v/>
      </c>
      <c r="D1883" s="61" t="str">
        <f aca="false">IF($M1883=0,"",INDEX(Classes!$B$6:$B$420,$M1883))</f>
        <v/>
      </c>
      <c r="E1883" s="61" t="str">
        <f aca="false">IF($M1883=0,"",INDEX(Classes!$C$6:$C$420,$M1883))</f>
        <v/>
      </c>
      <c r="F1883" s="63"/>
      <c r="G1883" s="63"/>
      <c r="H1883" s="60"/>
      <c r="I1883" s="60"/>
      <c r="J1883" s="63"/>
      <c r="K1883" s="61" t="str">
        <f aca="false">IF($P1883=0,"",IF($F1883="Baseline","— Baseline",IF($O1883=0,"No result",IF($N1883=0,"No Start (attainment only)",IF(OR($N1883=1,$O1883=1),"U – needs rule",INDEX(MxBody,MATCH($I1883,MxCurr,0),MATCH($H1883,MxStart,0)))))))</f>
        <v/>
      </c>
      <c r="L1883" s="62" t="str">
        <f aca="false">IF(COUNTA($A1883,$F1883,$G1883,$H1883,$I1883,$J1883)=0,"",IF($M1883=0,"✖ كود الصف غير موجود",IF(ISNA(MATCH($F1883,Lists!$A$2:$A$5,0)),"✖ الفترة غير صحيحة",IF(ISNA(MATCH($G1883,Lists!$B$2:$B$7,0)),"✖ المجموعة غير صحيحة",IF(NOT(OR($H1883="",$N1883&gt;0)),"✖ Start غير صحيح",IF(NOT(OR($I1883="",$I1883="NR",$O1883&gt;0)),"✖ Current غير صحيح",IF(NOT(IF(ISNUMBER($J1883),AND($J1883&gt;=0,$J1883=INT($J1883)),FALSE())),"✖ العدد يجب أن يكون صحيحًا ≥ 0",IF(AND($F1883="Baseline",$H1883&lt;&gt;""),"⚠ Baseline: Start لا يدخل في التقدم",IF($K1883="No Start (attainment only)","ℹ تحصيل فقط (بدون Start)",IF($K1883="U – needs rule","ℹ حالة U تحتاج قاعدة معتمدة",IF($K1883="No result","ℹ بدون نتيجة (يُستبعد من التحصيل)","OK")))))))))))</f>
        <v/>
      </c>
      <c r="M1883" s="64" t="n">
        <f aca="false">IF($A1883="",0,IFERROR(MATCH($A1883,Classes!$A$6:$A$420,0),0))</f>
        <v>0</v>
      </c>
      <c r="N1883" s="64" t="n">
        <f aca="false">IF($H1883="",0,IFERROR(MATCH($H1883,GradeList,0),0))</f>
        <v>0</v>
      </c>
      <c r="O1883" s="64" t="n">
        <f aca="false">IF(OR($I1883="",$I1883="NR"),0,IFERROR(MATCH($I1883,GradeList,0),0))</f>
        <v>0</v>
      </c>
      <c r="P1883" s="64" t="n">
        <f aca="false">IF(AND($M1883&gt;0,ISNUMBER(MATCH($F1883,Lists!$A$2:$A$5,0)),ISNUMBER(MATCH($G1883,Lists!$B$2:$B$7,0)),OR($H1883="",$N1883&gt;0),OR($I1883="",$I1883="NR",$O1883&gt;0),IF(ISNUMBER($J1883),AND($J1883&gt;=0,$J1883=INT($J1883)),FALSE())),$J1883,0)</f>
        <v>0</v>
      </c>
      <c r="Q1883" s="64" t="n">
        <f aca="false">IF(AND($P1883&gt;0,$O1883&gt;0),$P1883,0)</f>
        <v>0</v>
      </c>
      <c r="R1883" s="64" t="n">
        <f aca="false">IF(AND($Q1883&gt;0,$O1883&gt;=AtRank),$Q1883,0)</f>
        <v>0</v>
      </c>
      <c r="S1883" s="64" t="n">
        <f aca="false">IF(AND($Q1883&gt;0,$O1883&gt;=AboveRank),$Q1883,0)</f>
        <v>0</v>
      </c>
      <c r="T1883" s="64" t="n">
        <f aca="false">IF($K1883="Less",$P1883,0)</f>
        <v>0</v>
      </c>
      <c r="U1883" s="64" t="n">
        <f aca="false">IF($K1883="Expected",$P1883,0)</f>
        <v>0</v>
      </c>
      <c r="V1883" s="64" t="n">
        <f aca="false">IF($K1883="Better",$P1883,0)</f>
        <v>0</v>
      </c>
      <c r="W1883" s="64" t="n">
        <f aca="false">IF($K1883="U – needs rule",$P1883,0)</f>
        <v>0</v>
      </c>
      <c r="X1883" s="64" t="n">
        <f aca="false">IF($K1883="No Start (attainment only)",$P1883,0)</f>
        <v>0</v>
      </c>
    </row>
    <row r="1884" customFormat="false" ht="15" hidden="false" customHeight="false" outlineLevel="0" collapsed="false">
      <c r="A1884" s="60"/>
      <c r="B1884" s="61" t="str">
        <f aca="false">IF($M1884=0,"",INDEX(Classes!$E$6:$E$420,$M1884))</f>
        <v/>
      </c>
      <c r="C1884" s="62" t="str">
        <f aca="false">IF($M1884=0,"",INDEX(Classes!$H$6:$H$420,$M1884))</f>
        <v/>
      </c>
      <c r="D1884" s="61" t="str">
        <f aca="false">IF($M1884=0,"",INDEX(Classes!$B$6:$B$420,$M1884))</f>
        <v/>
      </c>
      <c r="E1884" s="61" t="str">
        <f aca="false">IF($M1884=0,"",INDEX(Classes!$C$6:$C$420,$M1884))</f>
        <v/>
      </c>
      <c r="F1884" s="63"/>
      <c r="G1884" s="63"/>
      <c r="H1884" s="60"/>
      <c r="I1884" s="60"/>
      <c r="J1884" s="63"/>
      <c r="K1884" s="61" t="str">
        <f aca="false">IF($P1884=0,"",IF($F1884="Baseline","— Baseline",IF($O1884=0,"No result",IF($N1884=0,"No Start (attainment only)",IF(OR($N1884=1,$O1884=1),"U – needs rule",INDEX(MxBody,MATCH($I1884,MxCurr,0),MATCH($H1884,MxStart,0)))))))</f>
        <v/>
      </c>
      <c r="L1884" s="62" t="str">
        <f aca="false">IF(COUNTA($A1884,$F1884,$G1884,$H1884,$I1884,$J1884)=0,"",IF($M1884=0,"✖ كود الصف غير موجود",IF(ISNA(MATCH($F1884,Lists!$A$2:$A$5,0)),"✖ الفترة غير صحيحة",IF(ISNA(MATCH($G1884,Lists!$B$2:$B$7,0)),"✖ المجموعة غير صحيحة",IF(NOT(OR($H1884="",$N1884&gt;0)),"✖ Start غير صحيح",IF(NOT(OR($I1884="",$I1884="NR",$O1884&gt;0)),"✖ Current غير صحيح",IF(NOT(IF(ISNUMBER($J1884),AND($J1884&gt;=0,$J1884=INT($J1884)),FALSE())),"✖ العدد يجب أن يكون صحيحًا ≥ 0",IF(AND($F1884="Baseline",$H1884&lt;&gt;""),"⚠ Baseline: Start لا يدخل في التقدم",IF($K1884="No Start (attainment only)","ℹ تحصيل فقط (بدون Start)",IF($K1884="U – needs rule","ℹ حالة U تحتاج قاعدة معتمدة",IF($K1884="No result","ℹ بدون نتيجة (يُستبعد من التحصيل)","OK")))))))))))</f>
        <v/>
      </c>
      <c r="M1884" s="64" t="n">
        <f aca="false">IF($A1884="",0,IFERROR(MATCH($A1884,Classes!$A$6:$A$420,0),0))</f>
        <v>0</v>
      </c>
      <c r="N1884" s="64" t="n">
        <f aca="false">IF($H1884="",0,IFERROR(MATCH($H1884,GradeList,0),0))</f>
        <v>0</v>
      </c>
      <c r="O1884" s="64" t="n">
        <f aca="false">IF(OR($I1884="",$I1884="NR"),0,IFERROR(MATCH($I1884,GradeList,0),0))</f>
        <v>0</v>
      </c>
      <c r="P1884" s="64" t="n">
        <f aca="false">IF(AND($M1884&gt;0,ISNUMBER(MATCH($F1884,Lists!$A$2:$A$5,0)),ISNUMBER(MATCH($G1884,Lists!$B$2:$B$7,0)),OR($H1884="",$N1884&gt;0),OR($I1884="",$I1884="NR",$O1884&gt;0),IF(ISNUMBER($J1884),AND($J1884&gt;=0,$J1884=INT($J1884)),FALSE())),$J1884,0)</f>
        <v>0</v>
      </c>
      <c r="Q1884" s="64" t="n">
        <f aca="false">IF(AND($P1884&gt;0,$O1884&gt;0),$P1884,0)</f>
        <v>0</v>
      </c>
      <c r="R1884" s="64" t="n">
        <f aca="false">IF(AND($Q1884&gt;0,$O1884&gt;=AtRank),$Q1884,0)</f>
        <v>0</v>
      </c>
      <c r="S1884" s="64" t="n">
        <f aca="false">IF(AND($Q1884&gt;0,$O1884&gt;=AboveRank),$Q1884,0)</f>
        <v>0</v>
      </c>
      <c r="T1884" s="64" t="n">
        <f aca="false">IF($K1884="Less",$P1884,0)</f>
        <v>0</v>
      </c>
      <c r="U1884" s="64" t="n">
        <f aca="false">IF($K1884="Expected",$P1884,0)</f>
        <v>0</v>
      </c>
      <c r="V1884" s="64" t="n">
        <f aca="false">IF($K1884="Better",$P1884,0)</f>
        <v>0</v>
      </c>
      <c r="W1884" s="64" t="n">
        <f aca="false">IF($K1884="U – needs rule",$P1884,0)</f>
        <v>0</v>
      </c>
      <c r="X1884" s="64" t="n">
        <f aca="false">IF($K1884="No Start (attainment only)",$P1884,0)</f>
        <v>0</v>
      </c>
    </row>
    <row r="1885" customFormat="false" ht="15" hidden="false" customHeight="false" outlineLevel="0" collapsed="false">
      <c r="A1885" s="60"/>
      <c r="B1885" s="61" t="str">
        <f aca="false">IF($M1885=0,"",INDEX(Classes!$E$6:$E$420,$M1885))</f>
        <v/>
      </c>
      <c r="C1885" s="62" t="str">
        <f aca="false">IF($M1885=0,"",INDEX(Classes!$H$6:$H$420,$M1885))</f>
        <v/>
      </c>
      <c r="D1885" s="61" t="str">
        <f aca="false">IF($M1885=0,"",INDEX(Classes!$B$6:$B$420,$M1885))</f>
        <v/>
      </c>
      <c r="E1885" s="61" t="str">
        <f aca="false">IF($M1885=0,"",INDEX(Classes!$C$6:$C$420,$M1885))</f>
        <v/>
      </c>
      <c r="F1885" s="63"/>
      <c r="G1885" s="63"/>
      <c r="H1885" s="60"/>
      <c r="I1885" s="60"/>
      <c r="J1885" s="63"/>
      <c r="K1885" s="61" t="str">
        <f aca="false">IF($P1885=0,"",IF($F1885="Baseline","— Baseline",IF($O1885=0,"No result",IF($N1885=0,"No Start (attainment only)",IF(OR($N1885=1,$O1885=1),"U – needs rule",INDEX(MxBody,MATCH($I1885,MxCurr,0),MATCH($H1885,MxStart,0)))))))</f>
        <v/>
      </c>
      <c r="L1885" s="62" t="str">
        <f aca="false">IF(COUNTA($A1885,$F1885,$G1885,$H1885,$I1885,$J1885)=0,"",IF($M1885=0,"✖ كود الصف غير موجود",IF(ISNA(MATCH($F1885,Lists!$A$2:$A$5,0)),"✖ الفترة غير صحيحة",IF(ISNA(MATCH($G1885,Lists!$B$2:$B$7,0)),"✖ المجموعة غير صحيحة",IF(NOT(OR($H1885="",$N1885&gt;0)),"✖ Start غير صحيح",IF(NOT(OR($I1885="",$I1885="NR",$O1885&gt;0)),"✖ Current غير صحيح",IF(NOT(IF(ISNUMBER($J1885),AND($J1885&gt;=0,$J1885=INT($J1885)),FALSE())),"✖ العدد يجب أن يكون صحيحًا ≥ 0",IF(AND($F1885="Baseline",$H1885&lt;&gt;""),"⚠ Baseline: Start لا يدخل في التقدم",IF($K1885="No Start (attainment only)","ℹ تحصيل فقط (بدون Start)",IF($K1885="U – needs rule","ℹ حالة U تحتاج قاعدة معتمدة",IF($K1885="No result","ℹ بدون نتيجة (يُستبعد من التحصيل)","OK")))))))))))</f>
        <v/>
      </c>
      <c r="M1885" s="64" t="n">
        <f aca="false">IF($A1885="",0,IFERROR(MATCH($A1885,Classes!$A$6:$A$420,0),0))</f>
        <v>0</v>
      </c>
      <c r="N1885" s="64" t="n">
        <f aca="false">IF($H1885="",0,IFERROR(MATCH($H1885,GradeList,0),0))</f>
        <v>0</v>
      </c>
      <c r="O1885" s="64" t="n">
        <f aca="false">IF(OR($I1885="",$I1885="NR"),0,IFERROR(MATCH($I1885,GradeList,0),0))</f>
        <v>0</v>
      </c>
      <c r="P1885" s="64" t="n">
        <f aca="false">IF(AND($M1885&gt;0,ISNUMBER(MATCH($F1885,Lists!$A$2:$A$5,0)),ISNUMBER(MATCH($G1885,Lists!$B$2:$B$7,0)),OR($H1885="",$N1885&gt;0),OR($I1885="",$I1885="NR",$O1885&gt;0),IF(ISNUMBER($J1885),AND($J1885&gt;=0,$J1885=INT($J1885)),FALSE())),$J1885,0)</f>
        <v>0</v>
      </c>
      <c r="Q1885" s="64" t="n">
        <f aca="false">IF(AND($P1885&gt;0,$O1885&gt;0),$P1885,0)</f>
        <v>0</v>
      </c>
      <c r="R1885" s="64" t="n">
        <f aca="false">IF(AND($Q1885&gt;0,$O1885&gt;=AtRank),$Q1885,0)</f>
        <v>0</v>
      </c>
      <c r="S1885" s="64" t="n">
        <f aca="false">IF(AND($Q1885&gt;0,$O1885&gt;=AboveRank),$Q1885,0)</f>
        <v>0</v>
      </c>
      <c r="T1885" s="64" t="n">
        <f aca="false">IF($K1885="Less",$P1885,0)</f>
        <v>0</v>
      </c>
      <c r="U1885" s="64" t="n">
        <f aca="false">IF($K1885="Expected",$P1885,0)</f>
        <v>0</v>
      </c>
      <c r="V1885" s="64" t="n">
        <f aca="false">IF($K1885="Better",$P1885,0)</f>
        <v>0</v>
      </c>
      <c r="W1885" s="64" t="n">
        <f aca="false">IF($K1885="U – needs rule",$P1885,0)</f>
        <v>0</v>
      </c>
      <c r="X1885" s="64" t="n">
        <f aca="false">IF($K1885="No Start (attainment only)",$P1885,0)</f>
        <v>0</v>
      </c>
    </row>
    <row r="1886" customFormat="false" ht="15" hidden="false" customHeight="false" outlineLevel="0" collapsed="false">
      <c r="A1886" s="60"/>
      <c r="B1886" s="61" t="str">
        <f aca="false">IF($M1886=0,"",INDEX(Classes!$E$6:$E$420,$M1886))</f>
        <v/>
      </c>
      <c r="C1886" s="62" t="str">
        <f aca="false">IF($M1886=0,"",INDEX(Classes!$H$6:$H$420,$M1886))</f>
        <v/>
      </c>
      <c r="D1886" s="61" t="str">
        <f aca="false">IF($M1886=0,"",INDEX(Classes!$B$6:$B$420,$M1886))</f>
        <v/>
      </c>
      <c r="E1886" s="61" t="str">
        <f aca="false">IF($M1886=0,"",INDEX(Classes!$C$6:$C$420,$M1886))</f>
        <v/>
      </c>
      <c r="F1886" s="63"/>
      <c r="G1886" s="63"/>
      <c r="H1886" s="60"/>
      <c r="I1886" s="60"/>
      <c r="J1886" s="63"/>
      <c r="K1886" s="61" t="str">
        <f aca="false">IF($P1886=0,"",IF($F1886="Baseline","— Baseline",IF($O1886=0,"No result",IF($N1886=0,"No Start (attainment only)",IF(OR($N1886=1,$O1886=1),"U – needs rule",INDEX(MxBody,MATCH($I1886,MxCurr,0),MATCH($H1886,MxStart,0)))))))</f>
        <v/>
      </c>
      <c r="L1886" s="62" t="str">
        <f aca="false">IF(COUNTA($A1886,$F1886,$G1886,$H1886,$I1886,$J1886)=0,"",IF($M1886=0,"✖ كود الصف غير موجود",IF(ISNA(MATCH($F1886,Lists!$A$2:$A$5,0)),"✖ الفترة غير صحيحة",IF(ISNA(MATCH($G1886,Lists!$B$2:$B$7,0)),"✖ المجموعة غير صحيحة",IF(NOT(OR($H1886="",$N1886&gt;0)),"✖ Start غير صحيح",IF(NOT(OR($I1886="",$I1886="NR",$O1886&gt;0)),"✖ Current غير صحيح",IF(NOT(IF(ISNUMBER($J1886),AND($J1886&gt;=0,$J1886=INT($J1886)),FALSE())),"✖ العدد يجب أن يكون صحيحًا ≥ 0",IF(AND($F1886="Baseline",$H1886&lt;&gt;""),"⚠ Baseline: Start لا يدخل في التقدم",IF($K1886="No Start (attainment only)","ℹ تحصيل فقط (بدون Start)",IF($K1886="U – needs rule","ℹ حالة U تحتاج قاعدة معتمدة",IF($K1886="No result","ℹ بدون نتيجة (يُستبعد من التحصيل)","OK")))))))))))</f>
        <v/>
      </c>
      <c r="M1886" s="64" t="n">
        <f aca="false">IF($A1886="",0,IFERROR(MATCH($A1886,Classes!$A$6:$A$420,0),0))</f>
        <v>0</v>
      </c>
      <c r="N1886" s="64" t="n">
        <f aca="false">IF($H1886="",0,IFERROR(MATCH($H1886,GradeList,0),0))</f>
        <v>0</v>
      </c>
      <c r="O1886" s="64" t="n">
        <f aca="false">IF(OR($I1886="",$I1886="NR"),0,IFERROR(MATCH($I1886,GradeList,0),0))</f>
        <v>0</v>
      </c>
      <c r="P1886" s="64" t="n">
        <f aca="false">IF(AND($M1886&gt;0,ISNUMBER(MATCH($F1886,Lists!$A$2:$A$5,0)),ISNUMBER(MATCH($G1886,Lists!$B$2:$B$7,0)),OR($H1886="",$N1886&gt;0),OR($I1886="",$I1886="NR",$O1886&gt;0),IF(ISNUMBER($J1886),AND($J1886&gt;=0,$J1886=INT($J1886)),FALSE())),$J1886,0)</f>
        <v>0</v>
      </c>
      <c r="Q1886" s="64" t="n">
        <f aca="false">IF(AND($P1886&gt;0,$O1886&gt;0),$P1886,0)</f>
        <v>0</v>
      </c>
      <c r="R1886" s="64" t="n">
        <f aca="false">IF(AND($Q1886&gt;0,$O1886&gt;=AtRank),$Q1886,0)</f>
        <v>0</v>
      </c>
      <c r="S1886" s="64" t="n">
        <f aca="false">IF(AND($Q1886&gt;0,$O1886&gt;=AboveRank),$Q1886,0)</f>
        <v>0</v>
      </c>
      <c r="T1886" s="64" t="n">
        <f aca="false">IF($K1886="Less",$P1886,0)</f>
        <v>0</v>
      </c>
      <c r="U1886" s="64" t="n">
        <f aca="false">IF($K1886="Expected",$P1886,0)</f>
        <v>0</v>
      </c>
      <c r="V1886" s="64" t="n">
        <f aca="false">IF($K1886="Better",$P1886,0)</f>
        <v>0</v>
      </c>
      <c r="W1886" s="64" t="n">
        <f aca="false">IF($K1886="U – needs rule",$P1886,0)</f>
        <v>0</v>
      </c>
      <c r="X1886" s="64" t="n">
        <f aca="false">IF($K1886="No Start (attainment only)",$P1886,0)</f>
        <v>0</v>
      </c>
    </row>
    <row r="1887" customFormat="false" ht="15" hidden="false" customHeight="false" outlineLevel="0" collapsed="false">
      <c r="A1887" s="60"/>
      <c r="B1887" s="61" t="str">
        <f aca="false">IF($M1887=0,"",INDEX(Classes!$E$6:$E$420,$M1887))</f>
        <v/>
      </c>
      <c r="C1887" s="62" t="str">
        <f aca="false">IF($M1887=0,"",INDEX(Classes!$H$6:$H$420,$M1887))</f>
        <v/>
      </c>
      <c r="D1887" s="61" t="str">
        <f aca="false">IF($M1887=0,"",INDEX(Classes!$B$6:$B$420,$M1887))</f>
        <v/>
      </c>
      <c r="E1887" s="61" t="str">
        <f aca="false">IF($M1887=0,"",INDEX(Classes!$C$6:$C$420,$M1887))</f>
        <v/>
      </c>
      <c r="F1887" s="63"/>
      <c r="G1887" s="63"/>
      <c r="H1887" s="60"/>
      <c r="I1887" s="60"/>
      <c r="J1887" s="63"/>
      <c r="K1887" s="61" t="str">
        <f aca="false">IF($P1887=0,"",IF($F1887="Baseline","— Baseline",IF($O1887=0,"No result",IF($N1887=0,"No Start (attainment only)",IF(OR($N1887=1,$O1887=1),"U – needs rule",INDEX(MxBody,MATCH($I1887,MxCurr,0),MATCH($H1887,MxStart,0)))))))</f>
        <v/>
      </c>
      <c r="L1887" s="62" t="str">
        <f aca="false">IF(COUNTA($A1887,$F1887,$G1887,$H1887,$I1887,$J1887)=0,"",IF($M1887=0,"✖ كود الصف غير موجود",IF(ISNA(MATCH($F1887,Lists!$A$2:$A$5,0)),"✖ الفترة غير صحيحة",IF(ISNA(MATCH($G1887,Lists!$B$2:$B$7,0)),"✖ المجموعة غير صحيحة",IF(NOT(OR($H1887="",$N1887&gt;0)),"✖ Start غير صحيح",IF(NOT(OR($I1887="",$I1887="NR",$O1887&gt;0)),"✖ Current غير صحيح",IF(NOT(IF(ISNUMBER($J1887),AND($J1887&gt;=0,$J1887=INT($J1887)),FALSE())),"✖ العدد يجب أن يكون صحيحًا ≥ 0",IF(AND($F1887="Baseline",$H1887&lt;&gt;""),"⚠ Baseline: Start لا يدخل في التقدم",IF($K1887="No Start (attainment only)","ℹ تحصيل فقط (بدون Start)",IF($K1887="U – needs rule","ℹ حالة U تحتاج قاعدة معتمدة",IF($K1887="No result","ℹ بدون نتيجة (يُستبعد من التحصيل)","OK")))))))))))</f>
        <v/>
      </c>
      <c r="M1887" s="64" t="n">
        <f aca="false">IF($A1887="",0,IFERROR(MATCH($A1887,Classes!$A$6:$A$420,0),0))</f>
        <v>0</v>
      </c>
      <c r="N1887" s="64" t="n">
        <f aca="false">IF($H1887="",0,IFERROR(MATCH($H1887,GradeList,0),0))</f>
        <v>0</v>
      </c>
      <c r="O1887" s="64" t="n">
        <f aca="false">IF(OR($I1887="",$I1887="NR"),0,IFERROR(MATCH($I1887,GradeList,0),0))</f>
        <v>0</v>
      </c>
      <c r="P1887" s="64" t="n">
        <f aca="false">IF(AND($M1887&gt;0,ISNUMBER(MATCH($F1887,Lists!$A$2:$A$5,0)),ISNUMBER(MATCH($G1887,Lists!$B$2:$B$7,0)),OR($H1887="",$N1887&gt;0),OR($I1887="",$I1887="NR",$O1887&gt;0),IF(ISNUMBER($J1887),AND($J1887&gt;=0,$J1887=INT($J1887)),FALSE())),$J1887,0)</f>
        <v>0</v>
      </c>
      <c r="Q1887" s="64" t="n">
        <f aca="false">IF(AND($P1887&gt;0,$O1887&gt;0),$P1887,0)</f>
        <v>0</v>
      </c>
      <c r="R1887" s="64" t="n">
        <f aca="false">IF(AND($Q1887&gt;0,$O1887&gt;=AtRank),$Q1887,0)</f>
        <v>0</v>
      </c>
      <c r="S1887" s="64" t="n">
        <f aca="false">IF(AND($Q1887&gt;0,$O1887&gt;=AboveRank),$Q1887,0)</f>
        <v>0</v>
      </c>
      <c r="T1887" s="64" t="n">
        <f aca="false">IF($K1887="Less",$P1887,0)</f>
        <v>0</v>
      </c>
      <c r="U1887" s="64" t="n">
        <f aca="false">IF($K1887="Expected",$P1887,0)</f>
        <v>0</v>
      </c>
      <c r="V1887" s="64" t="n">
        <f aca="false">IF($K1887="Better",$P1887,0)</f>
        <v>0</v>
      </c>
      <c r="W1887" s="64" t="n">
        <f aca="false">IF($K1887="U – needs rule",$P1887,0)</f>
        <v>0</v>
      </c>
      <c r="X1887" s="64" t="n">
        <f aca="false">IF($K1887="No Start (attainment only)",$P1887,0)</f>
        <v>0</v>
      </c>
    </row>
    <row r="1888" customFormat="false" ht="15" hidden="false" customHeight="false" outlineLevel="0" collapsed="false">
      <c r="A1888" s="60"/>
      <c r="B1888" s="61" t="str">
        <f aca="false">IF($M1888=0,"",INDEX(Classes!$E$6:$E$420,$M1888))</f>
        <v/>
      </c>
      <c r="C1888" s="62" t="str">
        <f aca="false">IF($M1888=0,"",INDEX(Classes!$H$6:$H$420,$M1888))</f>
        <v/>
      </c>
      <c r="D1888" s="61" t="str">
        <f aca="false">IF($M1888=0,"",INDEX(Classes!$B$6:$B$420,$M1888))</f>
        <v/>
      </c>
      <c r="E1888" s="61" t="str">
        <f aca="false">IF($M1888=0,"",INDEX(Classes!$C$6:$C$420,$M1888))</f>
        <v/>
      </c>
      <c r="F1888" s="63"/>
      <c r="G1888" s="63"/>
      <c r="H1888" s="60"/>
      <c r="I1888" s="60"/>
      <c r="J1888" s="63"/>
      <c r="K1888" s="61" t="str">
        <f aca="false">IF($P1888=0,"",IF($F1888="Baseline","— Baseline",IF($O1888=0,"No result",IF($N1888=0,"No Start (attainment only)",IF(OR($N1888=1,$O1888=1),"U – needs rule",INDEX(MxBody,MATCH($I1888,MxCurr,0),MATCH($H1888,MxStart,0)))))))</f>
        <v/>
      </c>
      <c r="L1888" s="62" t="str">
        <f aca="false">IF(COUNTA($A1888,$F1888,$G1888,$H1888,$I1888,$J1888)=0,"",IF($M1888=0,"✖ كود الصف غير موجود",IF(ISNA(MATCH($F1888,Lists!$A$2:$A$5,0)),"✖ الفترة غير صحيحة",IF(ISNA(MATCH($G1888,Lists!$B$2:$B$7,0)),"✖ المجموعة غير صحيحة",IF(NOT(OR($H1888="",$N1888&gt;0)),"✖ Start غير صحيح",IF(NOT(OR($I1888="",$I1888="NR",$O1888&gt;0)),"✖ Current غير صحيح",IF(NOT(IF(ISNUMBER($J1888),AND($J1888&gt;=0,$J1888=INT($J1888)),FALSE())),"✖ العدد يجب أن يكون صحيحًا ≥ 0",IF(AND($F1888="Baseline",$H1888&lt;&gt;""),"⚠ Baseline: Start لا يدخل في التقدم",IF($K1888="No Start (attainment only)","ℹ تحصيل فقط (بدون Start)",IF($K1888="U – needs rule","ℹ حالة U تحتاج قاعدة معتمدة",IF($K1888="No result","ℹ بدون نتيجة (يُستبعد من التحصيل)","OK")))))))))))</f>
        <v/>
      </c>
      <c r="M1888" s="64" t="n">
        <f aca="false">IF($A1888="",0,IFERROR(MATCH($A1888,Classes!$A$6:$A$420,0),0))</f>
        <v>0</v>
      </c>
      <c r="N1888" s="64" t="n">
        <f aca="false">IF($H1888="",0,IFERROR(MATCH($H1888,GradeList,0),0))</f>
        <v>0</v>
      </c>
      <c r="O1888" s="64" t="n">
        <f aca="false">IF(OR($I1888="",$I1888="NR"),0,IFERROR(MATCH($I1888,GradeList,0),0))</f>
        <v>0</v>
      </c>
      <c r="P1888" s="64" t="n">
        <f aca="false">IF(AND($M1888&gt;0,ISNUMBER(MATCH($F1888,Lists!$A$2:$A$5,0)),ISNUMBER(MATCH($G1888,Lists!$B$2:$B$7,0)),OR($H1888="",$N1888&gt;0),OR($I1888="",$I1888="NR",$O1888&gt;0),IF(ISNUMBER($J1888),AND($J1888&gt;=0,$J1888=INT($J1888)),FALSE())),$J1888,0)</f>
        <v>0</v>
      </c>
      <c r="Q1888" s="64" t="n">
        <f aca="false">IF(AND($P1888&gt;0,$O1888&gt;0),$P1888,0)</f>
        <v>0</v>
      </c>
      <c r="R1888" s="64" t="n">
        <f aca="false">IF(AND($Q1888&gt;0,$O1888&gt;=AtRank),$Q1888,0)</f>
        <v>0</v>
      </c>
      <c r="S1888" s="64" t="n">
        <f aca="false">IF(AND($Q1888&gt;0,$O1888&gt;=AboveRank),$Q1888,0)</f>
        <v>0</v>
      </c>
      <c r="T1888" s="64" t="n">
        <f aca="false">IF($K1888="Less",$P1888,0)</f>
        <v>0</v>
      </c>
      <c r="U1888" s="64" t="n">
        <f aca="false">IF($K1888="Expected",$P1888,0)</f>
        <v>0</v>
      </c>
      <c r="V1888" s="64" t="n">
        <f aca="false">IF($K1888="Better",$P1888,0)</f>
        <v>0</v>
      </c>
      <c r="W1888" s="64" t="n">
        <f aca="false">IF($K1888="U – needs rule",$P1888,0)</f>
        <v>0</v>
      </c>
      <c r="X1888" s="64" t="n">
        <f aca="false">IF($K1888="No Start (attainment only)",$P1888,0)</f>
        <v>0</v>
      </c>
    </row>
    <row r="1889" customFormat="false" ht="15" hidden="false" customHeight="false" outlineLevel="0" collapsed="false">
      <c r="A1889" s="60"/>
      <c r="B1889" s="61" t="str">
        <f aca="false">IF($M1889=0,"",INDEX(Classes!$E$6:$E$420,$M1889))</f>
        <v/>
      </c>
      <c r="C1889" s="62" t="str">
        <f aca="false">IF($M1889=0,"",INDEX(Classes!$H$6:$H$420,$M1889))</f>
        <v/>
      </c>
      <c r="D1889" s="61" t="str">
        <f aca="false">IF($M1889=0,"",INDEX(Classes!$B$6:$B$420,$M1889))</f>
        <v/>
      </c>
      <c r="E1889" s="61" t="str">
        <f aca="false">IF($M1889=0,"",INDEX(Classes!$C$6:$C$420,$M1889))</f>
        <v/>
      </c>
      <c r="F1889" s="63"/>
      <c r="G1889" s="63"/>
      <c r="H1889" s="60"/>
      <c r="I1889" s="60"/>
      <c r="J1889" s="63"/>
      <c r="K1889" s="61" t="str">
        <f aca="false">IF($P1889=0,"",IF($F1889="Baseline","— Baseline",IF($O1889=0,"No result",IF($N1889=0,"No Start (attainment only)",IF(OR($N1889=1,$O1889=1),"U – needs rule",INDEX(MxBody,MATCH($I1889,MxCurr,0),MATCH($H1889,MxStart,0)))))))</f>
        <v/>
      </c>
      <c r="L1889" s="62" t="str">
        <f aca="false">IF(COUNTA($A1889,$F1889,$G1889,$H1889,$I1889,$J1889)=0,"",IF($M1889=0,"✖ كود الصف غير موجود",IF(ISNA(MATCH($F1889,Lists!$A$2:$A$5,0)),"✖ الفترة غير صحيحة",IF(ISNA(MATCH($G1889,Lists!$B$2:$B$7,0)),"✖ المجموعة غير صحيحة",IF(NOT(OR($H1889="",$N1889&gt;0)),"✖ Start غير صحيح",IF(NOT(OR($I1889="",$I1889="NR",$O1889&gt;0)),"✖ Current غير صحيح",IF(NOT(IF(ISNUMBER($J1889),AND($J1889&gt;=0,$J1889=INT($J1889)),FALSE())),"✖ العدد يجب أن يكون صحيحًا ≥ 0",IF(AND($F1889="Baseline",$H1889&lt;&gt;""),"⚠ Baseline: Start لا يدخل في التقدم",IF($K1889="No Start (attainment only)","ℹ تحصيل فقط (بدون Start)",IF($K1889="U – needs rule","ℹ حالة U تحتاج قاعدة معتمدة",IF($K1889="No result","ℹ بدون نتيجة (يُستبعد من التحصيل)","OK")))))))))))</f>
        <v/>
      </c>
      <c r="M1889" s="64" t="n">
        <f aca="false">IF($A1889="",0,IFERROR(MATCH($A1889,Classes!$A$6:$A$420,0),0))</f>
        <v>0</v>
      </c>
      <c r="N1889" s="64" t="n">
        <f aca="false">IF($H1889="",0,IFERROR(MATCH($H1889,GradeList,0),0))</f>
        <v>0</v>
      </c>
      <c r="O1889" s="64" t="n">
        <f aca="false">IF(OR($I1889="",$I1889="NR"),0,IFERROR(MATCH($I1889,GradeList,0),0))</f>
        <v>0</v>
      </c>
      <c r="P1889" s="64" t="n">
        <f aca="false">IF(AND($M1889&gt;0,ISNUMBER(MATCH($F1889,Lists!$A$2:$A$5,0)),ISNUMBER(MATCH($G1889,Lists!$B$2:$B$7,0)),OR($H1889="",$N1889&gt;0),OR($I1889="",$I1889="NR",$O1889&gt;0),IF(ISNUMBER($J1889),AND($J1889&gt;=0,$J1889=INT($J1889)),FALSE())),$J1889,0)</f>
        <v>0</v>
      </c>
      <c r="Q1889" s="64" t="n">
        <f aca="false">IF(AND($P1889&gt;0,$O1889&gt;0),$P1889,0)</f>
        <v>0</v>
      </c>
      <c r="R1889" s="64" t="n">
        <f aca="false">IF(AND($Q1889&gt;0,$O1889&gt;=AtRank),$Q1889,0)</f>
        <v>0</v>
      </c>
      <c r="S1889" s="64" t="n">
        <f aca="false">IF(AND($Q1889&gt;0,$O1889&gt;=AboveRank),$Q1889,0)</f>
        <v>0</v>
      </c>
      <c r="T1889" s="64" t="n">
        <f aca="false">IF($K1889="Less",$P1889,0)</f>
        <v>0</v>
      </c>
      <c r="U1889" s="64" t="n">
        <f aca="false">IF($K1889="Expected",$P1889,0)</f>
        <v>0</v>
      </c>
      <c r="V1889" s="64" t="n">
        <f aca="false">IF($K1889="Better",$P1889,0)</f>
        <v>0</v>
      </c>
      <c r="W1889" s="64" t="n">
        <f aca="false">IF($K1889="U – needs rule",$P1889,0)</f>
        <v>0</v>
      </c>
      <c r="X1889" s="64" t="n">
        <f aca="false">IF($K1889="No Start (attainment only)",$P1889,0)</f>
        <v>0</v>
      </c>
    </row>
    <row r="1890" customFormat="false" ht="15" hidden="false" customHeight="false" outlineLevel="0" collapsed="false">
      <c r="A1890" s="60"/>
      <c r="B1890" s="61" t="str">
        <f aca="false">IF($M1890=0,"",INDEX(Classes!$E$6:$E$420,$M1890))</f>
        <v/>
      </c>
      <c r="C1890" s="62" t="str">
        <f aca="false">IF($M1890=0,"",INDEX(Classes!$H$6:$H$420,$M1890))</f>
        <v/>
      </c>
      <c r="D1890" s="61" t="str">
        <f aca="false">IF($M1890=0,"",INDEX(Classes!$B$6:$B$420,$M1890))</f>
        <v/>
      </c>
      <c r="E1890" s="61" t="str">
        <f aca="false">IF($M1890=0,"",INDEX(Classes!$C$6:$C$420,$M1890))</f>
        <v/>
      </c>
      <c r="F1890" s="63"/>
      <c r="G1890" s="63"/>
      <c r="H1890" s="60"/>
      <c r="I1890" s="60"/>
      <c r="J1890" s="63"/>
      <c r="K1890" s="61" t="str">
        <f aca="false">IF($P1890=0,"",IF($F1890="Baseline","— Baseline",IF($O1890=0,"No result",IF($N1890=0,"No Start (attainment only)",IF(OR($N1890=1,$O1890=1),"U – needs rule",INDEX(MxBody,MATCH($I1890,MxCurr,0),MATCH($H1890,MxStart,0)))))))</f>
        <v/>
      </c>
      <c r="L1890" s="62" t="str">
        <f aca="false">IF(COUNTA($A1890,$F1890,$G1890,$H1890,$I1890,$J1890)=0,"",IF($M1890=0,"✖ كود الصف غير موجود",IF(ISNA(MATCH($F1890,Lists!$A$2:$A$5,0)),"✖ الفترة غير صحيحة",IF(ISNA(MATCH($G1890,Lists!$B$2:$B$7,0)),"✖ المجموعة غير صحيحة",IF(NOT(OR($H1890="",$N1890&gt;0)),"✖ Start غير صحيح",IF(NOT(OR($I1890="",$I1890="NR",$O1890&gt;0)),"✖ Current غير صحيح",IF(NOT(IF(ISNUMBER($J1890),AND($J1890&gt;=0,$J1890=INT($J1890)),FALSE())),"✖ العدد يجب أن يكون صحيحًا ≥ 0",IF(AND($F1890="Baseline",$H1890&lt;&gt;""),"⚠ Baseline: Start لا يدخل في التقدم",IF($K1890="No Start (attainment only)","ℹ تحصيل فقط (بدون Start)",IF($K1890="U – needs rule","ℹ حالة U تحتاج قاعدة معتمدة",IF($K1890="No result","ℹ بدون نتيجة (يُستبعد من التحصيل)","OK")))))))))))</f>
        <v/>
      </c>
      <c r="M1890" s="64" t="n">
        <f aca="false">IF($A1890="",0,IFERROR(MATCH($A1890,Classes!$A$6:$A$420,0),0))</f>
        <v>0</v>
      </c>
      <c r="N1890" s="64" t="n">
        <f aca="false">IF($H1890="",0,IFERROR(MATCH($H1890,GradeList,0),0))</f>
        <v>0</v>
      </c>
      <c r="O1890" s="64" t="n">
        <f aca="false">IF(OR($I1890="",$I1890="NR"),0,IFERROR(MATCH($I1890,GradeList,0),0))</f>
        <v>0</v>
      </c>
      <c r="P1890" s="64" t="n">
        <f aca="false">IF(AND($M1890&gt;0,ISNUMBER(MATCH($F1890,Lists!$A$2:$A$5,0)),ISNUMBER(MATCH($G1890,Lists!$B$2:$B$7,0)),OR($H1890="",$N1890&gt;0),OR($I1890="",$I1890="NR",$O1890&gt;0),IF(ISNUMBER($J1890),AND($J1890&gt;=0,$J1890=INT($J1890)),FALSE())),$J1890,0)</f>
        <v>0</v>
      </c>
      <c r="Q1890" s="64" t="n">
        <f aca="false">IF(AND($P1890&gt;0,$O1890&gt;0),$P1890,0)</f>
        <v>0</v>
      </c>
      <c r="R1890" s="64" t="n">
        <f aca="false">IF(AND($Q1890&gt;0,$O1890&gt;=AtRank),$Q1890,0)</f>
        <v>0</v>
      </c>
      <c r="S1890" s="64" t="n">
        <f aca="false">IF(AND($Q1890&gt;0,$O1890&gt;=AboveRank),$Q1890,0)</f>
        <v>0</v>
      </c>
      <c r="T1890" s="64" t="n">
        <f aca="false">IF($K1890="Less",$P1890,0)</f>
        <v>0</v>
      </c>
      <c r="U1890" s="64" t="n">
        <f aca="false">IF($K1890="Expected",$P1890,0)</f>
        <v>0</v>
      </c>
      <c r="V1890" s="64" t="n">
        <f aca="false">IF($K1890="Better",$P1890,0)</f>
        <v>0</v>
      </c>
      <c r="W1890" s="64" t="n">
        <f aca="false">IF($K1890="U – needs rule",$P1890,0)</f>
        <v>0</v>
      </c>
      <c r="X1890" s="64" t="n">
        <f aca="false">IF($K1890="No Start (attainment only)",$P1890,0)</f>
        <v>0</v>
      </c>
    </row>
    <row r="1891" customFormat="false" ht="15" hidden="false" customHeight="false" outlineLevel="0" collapsed="false">
      <c r="A1891" s="60"/>
      <c r="B1891" s="61" t="str">
        <f aca="false">IF($M1891=0,"",INDEX(Classes!$E$6:$E$420,$M1891))</f>
        <v/>
      </c>
      <c r="C1891" s="62" t="str">
        <f aca="false">IF($M1891=0,"",INDEX(Classes!$H$6:$H$420,$M1891))</f>
        <v/>
      </c>
      <c r="D1891" s="61" t="str">
        <f aca="false">IF($M1891=0,"",INDEX(Classes!$B$6:$B$420,$M1891))</f>
        <v/>
      </c>
      <c r="E1891" s="61" t="str">
        <f aca="false">IF($M1891=0,"",INDEX(Classes!$C$6:$C$420,$M1891))</f>
        <v/>
      </c>
      <c r="F1891" s="63"/>
      <c r="G1891" s="63"/>
      <c r="H1891" s="60"/>
      <c r="I1891" s="60"/>
      <c r="J1891" s="63"/>
      <c r="K1891" s="61" t="str">
        <f aca="false">IF($P1891=0,"",IF($F1891="Baseline","— Baseline",IF($O1891=0,"No result",IF($N1891=0,"No Start (attainment only)",IF(OR($N1891=1,$O1891=1),"U – needs rule",INDEX(MxBody,MATCH($I1891,MxCurr,0),MATCH($H1891,MxStart,0)))))))</f>
        <v/>
      </c>
      <c r="L1891" s="62" t="str">
        <f aca="false">IF(COUNTA($A1891,$F1891,$G1891,$H1891,$I1891,$J1891)=0,"",IF($M1891=0,"✖ كود الصف غير موجود",IF(ISNA(MATCH($F1891,Lists!$A$2:$A$5,0)),"✖ الفترة غير صحيحة",IF(ISNA(MATCH($G1891,Lists!$B$2:$B$7,0)),"✖ المجموعة غير صحيحة",IF(NOT(OR($H1891="",$N1891&gt;0)),"✖ Start غير صحيح",IF(NOT(OR($I1891="",$I1891="NR",$O1891&gt;0)),"✖ Current غير صحيح",IF(NOT(IF(ISNUMBER($J1891),AND($J1891&gt;=0,$J1891=INT($J1891)),FALSE())),"✖ العدد يجب أن يكون صحيحًا ≥ 0",IF(AND($F1891="Baseline",$H1891&lt;&gt;""),"⚠ Baseline: Start لا يدخل في التقدم",IF($K1891="No Start (attainment only)","ℹ تحصيل فقط (بدون Start)",IF($K1891="U – needs rule","ℹ حالة U تحتاج قاعدة معتمدة",IF($K1891="No result","ℹ بدون نتيجة (يُستبعد من التحصيل)","OK")))))))))))</f>
        <v/>
      </c>
      <c r="M1891" s="64" t="n">
        <f aca="false">IF($A1891="",0,IFERROR(MATCH($A1891,Classes!$A$6:$A$420,0),0))</f>
        <v>0</v>
      </c>
      <c r="N1891" s="64" t="n">
        <f aca="false">IF($H1891="",0,IFERROR(MATCH($H1891,GradeList,0),0))</f>
        <v>0</v>
      </c>
      <c r="O1891" s="64" t="n">
        <f aca="false">IF(OR($I1891="",$I1891="NR"),0,IFERROR(MATCH($I1891,GradeList,0),0))</f>
        <v>0</v>
      </c>
      <c r="P1891" s="64" t="n">
        <f aca="false">IF(AND($M1891&gt;0,ISNUMBER(MATCH($F1891,Lists!$A$2:$A$5,0)),ISNUMBER(MATCH($G1891,Lists!$B$2:$B$7,0)),OR($H1891="",$N1891&gt;0),OR($I1891="",$I1891="NR",$O1891&gt;0),IF(ISNUMBER($J1891),AND($J1891&gt;=0,$J1891=INT($J1891)),FALSE())),$J1891,0)</f>
        <v>0</v>
      </c>
      <c r="Q1891" s="64" t="n">
        <f aca="false">IF(AND($P1891&gt;0,$O1891&gt;0),$P1891,0)</f>
        <v>0</v>
      </c>
      <c r="R1891" s="64" t="n">
        <f aca="false">IF(AND($Q1891&gt;0,$O1891&gt;=AtRank),$Q1891,0)</f>
        <v>0</v>
      </c>
      <c r="S1891" s="64" t="n">
        <f aca="false">IF(AND($Q1891&gt;0,$O1891&gt;=AboveRank),$Q1891,0)</f>
        <v>0</v>
      </c>
      <c r="T1891" s="64" t="n">
        <f aca="false">IF($K1891="Less",$P1891,0)</f>
        <v>0</v>
      </c>
      <c r="U1891" s="64" t="n">
        <f aca="false">IF($K1891="Expected",$P1891,0)</f>
        <v>0</v>
      </c>
      <c r="V1891" s="64" t="n">
        <f aca="false">IF($K1891="Better",$P1891,0)</f>
        <v>0</v>
      </c>
      <c r="W1891" s="64" t="n">
        <f aca="false">IF($K1891="U – needs rule",$P1891,0)</f>
        <v>0</v>
      </c>
      <c r="X1891" s="64" t="n">
        <f aca="false">IF($K1891="No Start (attainment only)",$P1891,0)</f>
        <v>0</v>
      </c>
    </row>
    <row r="1892" customFormat="false" ht="15" hidden="false" customHeight="false" outlineLevel="0" collapsed="false">
      <c r="A1892" s="60"/>
      <c r="B1892" s="61" t="str">
        <f aca="false">IF($M1892=0,"",INDEX(Classes!$E$6:$E$420,$M1892))</f>
        <v/>
      </c>
      <c r="C1892" s="62" t="str">
        <f aca="false">IF($M1892=0,"",INDEX(Classes!$H$6:$H$420,$M1892))</f>
        <v/>
      </c>
      <c r="D1892" s="61" t="str">
        <f aca="false">IF($M1892=0,"",INDEX(Classes!$B$6:$B$420,$M1892))</f>
        <v/>
      </c>
      <c r="E1892" s="61" t="str">
        <f aca="false">IF($M1892=0,"",INDEX(Classes!$C$6:$C$420,$M1892))</f>
        <v/>
      </c>
      <c r="F1892" s="63"/>
      <c r="G1892" s="63"/>
      <c r="H1892" s="60"/>
      <c r="I1892" s="60"/>
      <c r="J1892" s="63"/>
      <c r="K1892" s="61" t="str">
        <f aca="false">IF($P1892=0,"",IF($F1892="Baseline","— Baseline",IF($O1892=0,"No result",IF($N1892=0,"No Start (attainment only)",IF(OR($N1892=1,$O1892=1),"U – needs rule",INDEX(MxBody,MATCH($I1892,MxCurr,0),MATCH($H1892,MxStart,0)))))))</f>
        <v/>
      </c>
      <c r="L1892" s="62" t="str">
        <f aca="false">IF(COUNTA($A1892,$F1892,$G1892,$H1892,$I1892,$J1892)=0,"",IF($M1892=0,"✖ كود الصف غير موجود",IF(ISNA(MATCH($F1892,Lists!$A$2:$A$5,0)),"✖ الفترة غير صحيحة",IF(ISNA(MATCH($G1892,Lists!$B$2:$B$7,0)),"✖ المجموعة غير صحيحة",IF(NOT(OR($H1892="",$N1892&gt;0)),"✖ Start غير صحيح",IF(NOT(OR($I1892="",$I1892="NR",$O1892&gt;0)),"✖ Current غير صحيح",IF(NOT(IF(ISNUMBER($J1892),AND($J1892&gt;=0,$J1892=INT($J1892)),FALSE())),"✖ العدد يجب أن يكون صحيحًا ≥ 0",IF(AND($F1892="Baseline",$H1892&lt;&gt;""),"⚠ Baseline: Start لا يدخل في التقدم",IF($K1892="No Start (attainment only)","ℹ تحصيل فقط (بدون Start)",IF($K1892="U – needs rule","ℹ حالة U تحتاج قاعدة معتمدة",IF($K1892="No result","ℹ بدون نتيجة (يُستبعد من التحصيل)","OK")))))))))))</f>
        <v/>
      </c>
      <c r="M1892" s="64" t="n">
        <f aca="false">IF($A1892="",0,IFERROR(MATCH($A1892,Classes!$A$6:$A$420,0),0))</f>
        <v>0</v>
      </c>
      <c r="N1892" s="64" t="n">
        <f aca="false">IF($H1892="",0,IFERROR(MATCH($H1892,GradeList,0),0))</f>
        <v>0</v>
      </c>
      <c r="O1892" s="64" t="n">
        <f aca="false">IF(OR($I1892="",$I1892="NR"),0,IFERROR(MATCH($I1892,GradeList,0),0))</f>
        <v>0</v>
      </c>
      <c r="P1892" s="64" t="n">
        <f aca="false">IF(AND($M1892&gt;0,ISNUMBER(MATCH($F1892,Lists!$A$2:$A$5,0)),ISNUMBER(MATCH($G1892,Lists!$B$2:$B$7,0)),OR($H1892="",$N1892&gt;0),OR($I1892="",$I1892="NR",$O1892&gt;0),IF(ISNUMBER($J1892),AND($J1892&gt;=0,$J1892=INT($J1892)),FALSE())),$J1892,0)</f>
        <v>0</v>
      </c>
      <c r="Q1892" s="64" t="n">
        <f aca="false">IF(AND($P1892&gt;0,$O1892&gt;0),$P1892,0)</f>
        <v>0</v>
      </c>
      <c r="R1892" s="64" t="n">
        <f aca="false">IF(AND($Q1892&gt;0,$O1892&gt;=AtRank),$Q1892,0)</f>
        <v>0</v>
      </c>
      <c r="S1892" s="64" t="n">
        <f aca="false">IF(AND($Q1892&gt;0,$O1892&gt;=AboveRank),$Q1892,0)</f>
        <v>0</v>
      </c>
      <c r="T1892" s="64" t="n">
        <f aca="false">IF($K1892="Less",$P1892,0)</f>
        <v>0</v>
      </c>
      <c r="U1892" s="64" t="n">
        <f aca="false">IF($K1892="Expected",$P1892,0)</f>
        <v>0</v>
      </c>
      <c r="V1892" s="64" t="n">
        <f aca="false">IF($K1892="Better",$P1892,0)</f>
        <v>0</v>
      </c>
      <c r="W1892" s="64" t="n">
        <f aca="false">IF($K1892="U – needs rule",$P1892,0)</f>
        <v>0</v>
      </c>
      <c r="X1892" s="64" t="n">
        <f aca="false">IF($K1892="No Start (attainment only)",$P1892,0)</f>
        <v>0</v>
      </c>
    </row>
    <row r="1893" customFormat="false" ht="15" hidden="false" customHeight="false" outlineLevel="0" collapsed="false">
      <c r="A1893" s="60"/>
      <c r="B1893" s="61" t="str">
        <f aca="false">IF($M1893=0,"",INDEX(Classes!$E$6:$E$420,$M1893))</f>
        <v/>
      </c>
      <c r="C1893" s="62" t="str">
        <f aca="false">IF($M1893=0,"",INDEX(Classes!$H$6:$H$420,$M1893))</f>
        <v/>
      </c>
      <c r="D1893" s="61" t="str">
        <f aca="false">IF($M1893=0,"",INDEX(Classes!$B$6:$B$420,$M1893))</f>
        <v/>
      </c>
      <c r="E1893" s="61" t="str">
        <f aca="false">IF($M1893=0,"",INDEX(Classes!$C$6:$C$420,$M1893))</f>
        <v/>
      </c>
      <c r="F1893" s="63"/>
      <c r="G1893" s="63"/>
      <c r="H1893" s="60"/>
      <c r="I1893" s="60"/>
      <c r="J1893" s="63"/>
      <c r="K1893" s="61" t="str">
        <f aca="false">IF($P1893=0,"",IF($F1893="Baseline","— Baseline",IF($O1893=0,"No result",IF($N1893=0,"No Start (attainment only)",IF(OR($N1893=1,$O1893=1),"U – needs rule",INDEX(MxBody,MATCH($I1893,MxCurr,0),MATCH($H1893,MxStart,0)))))))</f>
        <v/>
      </c>
      <c r="L1893" s="62" t="str">
        <f aca="false">IF(COUNTA($A1893,$F1893,$G1893,$H1893,$I1893,$J1893)=0,"",IF($M1893=0,"✖ كود الصف غير موجود",IF(ISNA(MATCH($F1893,Lists!$A$2:$A$5,0)),"✖ الفترة غير صحيحة",IF(ISNA(MATCH($G1893,Lists!$B$2:$B$7,0)),"✖ المجموعة غير صحيحة",IF(NOT(OR($H1893="",$N1893&gt;0)),"✖ Start غير صحيح",IF(NOT(OR($I1893="",$I1893="NR",$O1893&gt;0)),"✖ Current غير صحيح",IF(NOT(IF(ISNUMBER($J1893),AND($J1893&gt;=0,$J1893=INT($J1893)),FALSE())),"✖ العدد يجب أن يكون صحيحًا ≥ 0",IF(AND($F1893="Baseline",$H1893&lt;&gt;""),"⚠ Baseline: Start لا يدخل في التقدم",IF($K1893="No Start (attainment only)","ℹ تحصيل فقط (بدون Start)",IF($K1893="U – needs rule","ℹ حالة U تحتاج قاعدة معتمدة",IF($K1893="No result","ℹ بدون نتيجة (يُستبعد من التحصيل)","OK")))))))))))</f>
        <v/>
      </c>
      <c r="M1893" s="64" t="n">
        <f aca="false">IF($A1893="",0,IFERROR(MATCH($A1893,Classes!$A$6:$A$420,0),0))</f>
        <v>0</v>
      </c>
      <c r="N1893" s="64" t="n">
        <f aca="false">IF($H1893="",0,IFERROR(MATCH($H1893,GradeList,0),0))</f>
        <v>0</v>
      </c>
      <c r="O1893" s="64" t="n">
        <f aca="false">IF(OR($I1893="",$I1893="NR"),0,IFERROR(MATCH($I1893,GradeList,0),0))</f>
        <v>0</v>
      </c>
      <c r="P1893" s="64" t="n">
        <f aca="false">IF(AND($M1893&gt;0,ISNUMBER(MATCH($F1893,Lists!$A$2:$A$5,0)),ISNUMBER(MATCH($G1893,Lists!$B$2:$B$7,0)),OR($H1893="",$N1893&gt;0),OR($I1893="",$I1893="NR",$O1893&gt;0),IF(ISNUMBER($J1893),AND($J1893&gt;=0,$J1893=INT($J1893)),FALSE())),$J1893,0)</f>
        <v>0</v>
      </c>
      <c r="Q1893" s="64" t="n">
        <f aca="false">IF(AND($P1893&gt;0,$O1893&gt;0),$P1893,0)</f>
        <v>0</v>
      </c>
      <c r="R1893" s="64" t="n">
        <f aca="false">IF(AND($Q1893&gt;0,$O1893&gt;=AtRank),$Q1893,0)</f>
        <v>0</v>
      </c>
      <c r="S1893" s="64" t="n">
        <f aca="false">IF(AND($Q1893&gt;0,$O1893&gt;=AboveRank),$Q1893,0)</f>
        <v>0</v>
      </c>
      <c r="T1893" s="64" t="n">
        <f aca="false">IF($K1893="Less",$P1893,0)</f>
        <v>0</v>
      </c>
      <c r="U1893" s="64" t="n">
        <f aca="false">IF($K1893="Expected",$P1893,0)</f>
        <v>0</v>
      </c>
      <c r="V1893" s="64" t="n">
        <f aca="false">IF($K1893="Better",$P1893,0)</f>
        <v>0</v>
      </c>
      <c r="W1893" s="64" t="n">
        <f aca="false">IF($K1893="U – needs rule",$P1893,0)</f>
        <v>0</v>
      </c>
      <c r="X1893" s="64" t="n">
        <f aca="false">IF($K1893="No Start (attainment only)",$P1893,0)</f>
        <v>0</v>
      </c>
    </row>
    <row r="1894" customFormat="false" ht="15" hidden="false" customHeight="false" outlineLevel="0" collapsed="false">
      <c r="A1894" s="60"/>
      <c r="B1894" s="61" t="str">
        <f aca="false">IF($M1894=0,"",INDEX(Classes!$E$6:$E$420,$M1894))</f>
        <v/>
      </c>
      <c r="C1894" s="62" t="str">
        <f aca="false">IF($M1894=0,"",INDEX(Classes!$H$6:$H$420,$M1894))</f>
        <v/>
      </c>
      <c r="D1894" s="61" t="str">
        <f aca="false">IF($M1894=0,"",INDEX(Classes!$B$6:$B$420,$M1894))</f>
        <v/>
      </c>
      <c r="E1894" s="61" t="str">
        <f aca="false">IF($M1894=0,"",INDEX(Classes!$C$6:$C$420,$M1894))</f>
        <v/>
      </c>
      <c r="F1894" s="63"/>
      <c r="G1894" s="63"/>
      <c r="H1894" s="60"/>
      <c r="I1894" s="60"/>
      <c r="J1894" s="63"/>
      <c r="K1894" s="61" t="str">
        <f aca="false">IF($P1894=0,"",IF($F1894="Baseline","— Baseline",IF($O1894=0,"No result",IF($N1894=0,"No Start (attainment only)",IF(OR($N1894=1,$O1894=1),"U – needs rule",INDEX(MxBody,MATCH($I1894,MxCurr,0),MATCH($H1894,MxStart,0)))))))</f>
        <v/>
      </c>
      <c r="L1894" s="62" t="str">
        <f aca="false">IF(COUNTA($A1894,$F1894,$G1894,$H1894,$I1894,$J1894)=0,"",IF($M1894=0,"✖ كود الصف غير موجود",IF(ISNA(MATCH($F1894,Lists!$A$2:$A$5,0)),"✖ الفترة غير صحيحة",IF(ISNA(MATCH($G1894,Lists!$B$2:$B$7,0)),"✖ المجموعة غير صحيحة",IF(NOT(OR($H1894="",$N1894&gt;0)),"✖ Start غير صحيح",IF(NOT(OR($I1894="",$I1894="NR",$O1894&gt;0)),"✖ Current غير صحيح",IF(NOT(IF(ISNUMBER($J1894),AND($J1894&gt;=0,$J1894=INT($J1894)),FALSE())),"✖ العدد يجب أن يكون صحيحًا ≥ 0",IF(AND($F1894="Baseline",$H1894&lt;&gt;""),"⚠ Baseline: Start لا يدخل في التقدم",IF($K1894="No Start (attainment only)","ℹ تحصيل فقط (بدون Start)",IF($K1894="U – needs rule","ℹ حالة U تحتاج قاعدة معتمدة",IF($K1894="No result","ℹ بدون نتيجة (يُستبعد من التحصيل)","OK")))))))))))</f>
        <v/>
      </c>
      <c r="M1894" s="64" t="n">
        <f aca="false">IF($A1894="",0,IFERROR(MATCH($A1894,Classes!$A$6:$A$420,0),0))</f>
        <v>0</v>
      </c>
      <c r="N1894" s="64" t="n">
        <f aca="false">IF($H1894="",0,IFERROR(MATCH($H1894,GradeList,0),0))</f>
        <v>0</v>
      </c>
      <c r="O1894" s="64" t="n">
        <f aca="false">IF(OR($I1894="",$I1894="NR"),0,IFERROR(MATCH($I1894,GradeList,0),0))</f>
        <v>0</v>
      </c>
      <c r="P1894" s="64" t="n">
        <f aca="false">IF(AND($M1894&gt;0,ISNUMBER(MATCH($F1894,Lists!$A$2:$A$5,0)),ISNUMBER(MATCH($G1894,Lists!$B$2:$B$7,0)),OR($H1894="",$N1894&gt;0),OR($I1894="",$I1894="NR",$O1894&gt;0),IF(ISNUMBER($J1894),AND($J1894&gt;=0,$J1894=INT($J1894)),FALSE())),$J1894,0)</f>
        <v>0</v>
      </c>
      <c r="Q1894" s="64" t="n">
        <f aca="false">IF(AND($P1894&gt;0,$O1894&gt;0),$P1894,0)</f>
        <v>0</v>
      </c>
      <c r="R1894" s="64" t="n">
        <f aca="false">IF(AND($Q1894&gt;0,$O1894&gt;=AtRank),$Q1894,0)</f>
        <v>0</v>
      </c>
      <c r="S1894" s="64" t="n">
        <f aca="false">IF(AND($Q1894&gt;0,$O1894&gt;=AboveRank),$Q1894,0)</f>
        <v>0</v>
      </c>
      <c r="T1894" s="64" t="n">
        <f aca="false">IF($K1894="Less",$P1894,0)</f>
        <v>0</v>
      </c>
      <c r="U1894" s="64" t="n">
        <f aca="false">IF($K1894="Expected",$P1894,0)</f>
        <v>0</v>
      </c>
      <c r="V1894" s="64" t="n">
        <f aca="false">IF($K1894="Better",$P1894,0)</f>
        <v>0</v>
      </c>
      <c r="W1894" s="64" t="n">
        <f aca="false">IF($K1894="U – needs rule",$P1894,0)</f>
        <v>0</v>
      </c>
      <c r="X1894" s="64" t="n">
        <f aca="false">IF($K1894="No Start (attainment only)",$P1894,0)</f>
        <v>0</v>
      </c>
    </row>
    <row r="1895" customFormat="false" ht="15" hidden="false" customHeight="false" outlineLevel="0" collapsed="false">
      <c r="A1895" s="60"/>
      <c r="B1895" s="61" t="str">
        <f aca="false">IF($M1895=0,"",INDEX(Classes!$E$6:$E$420,$M1895))</f>
        <v/>
      </c>
      <c r="C1895" s="62" t="str">
        <f aca="false">IF($M1895=0,"",INDEX(Classes!$H$6:$H$420,$M1895))</f>
        <v/>
      </c>
      <c r="D1895" s="61" t="str">
        <f aca="false">IF($M1895=0,"",INDEX(Classes!$B$6:$B$420,$M1895))</f>
        <v/>
      </c>
      <c r="E1895" s="61" t="str">
        <f aca="false">IF($M1895=0,"",INDEX(Classes!$C$6:$C$420,$M1895))</f>
        <v/>
      </c>
      <c r="F1895" s="63"/>
      <c r="G1895" s="63"/>
      <c r="H1895" s="60"/>
      <c r="I1895" s="60"/>
      <c r="J1895" s="63"/>
      <c r="K1895" s="61" t="str">
        <f aca="false">IF($P1895=0,"",IF($F1895="Baseline","— Baseline",IF($O1895=0,"No result",IF($N1895=0,"No Start (attainment only)",IF(OR($N1895=1,$O1895=1),"U – needs rule",INDEX(MxBody,MATCH($I1895,MxCurr,0),MATCH($H1895,MxStart,0)))))))</f>
        <v/>
      </c>
      <c r="L1895" s="62" t="str">
        <f aca="false">IF(COUNTA($A1895,$F1895,$G1895,$H1895,$I1895,$J1895)=0,"",IF($M1895=0,"✖ كود الصف غير موجود",IF(ISNA(MATCH($F1895,Lists!$A$2:$A$5,0)),"✖ الفترة غير صحيحة",IF(ISNA(MATCH($G1895,Lists!$B$2:$B$7,0)),"✖ المجموعة غير صحيحة",IF(NOT(OR($H1895="",$N1895&gt;0)),"✖ Start غير صحيح",IF(NOT(OR($I1895="",$I1895="NR",$O1895&gt;0)),"✖ Current غير صحيح",IF(NOT(IF(ISNUMBER($J1895),AND($J1895&gt;=0,$J1895=INT($J1895)),FALSE())),"✖ العدد يجب أن يكون صحيحًا ≥ 0",IF(AND($F1895="Baseline",$H1895&lt;&gt;""),"⚠ Baseline: Start لا يدخل في التقدم",IF($K1895="No Start (attainment only)","ℹ تحصيل فقط (بدون Start)",IF($K1895="U – needs rule","ℹ حالة U تحتاج قاعدة معتمدة",IF($K1895="No result","ℹ بدون نتيجة (يُستبعد من التحصيل)","OK")))))))))))</f>
        <v/>
      </c>
      <c r="M1895" s="64" t="n">
        <f aca="false">IF($A1895="",0,IFERROR(MATCH($A1895,Classes!$A$6:$A$420,0),0))</f>
        <v>0</v>
      </c>
      <c r="N1895" s="64" t="n">
        <f aca="false">IF($H1895="",0,IFERROR(MATCH($H1895,GradeList,0),0))</f>
        <v>0</v>
      </c>
      <c r="O1895" s="64" t="n">
        <f aca="false">IF(OR($I1895="",$I1895="NR"),0,IFERROR(MATCH($I1895,GradeList,0),0))</f>
        <v>0</v>
      </c>
      <c r="P1895" s="64" t="n">
        <f aca="false">IF(AND($M1895&gt;0,ISNUMBER(MATCH($F1895,Lists!$A$2:$A$5,0)),ISNUMBER(MATCH($G1895,Lists!$B$2:$B$7,0)),OR($H1895="",$N1895&gt;0),OR($I1895="",$I1895="NR",$O1895&gt;0),IF(ISNUMBER($J1895),AND($J1895&gt;=0,$J1895=INT($J1895)),FALSE())),$J1895,0)</f>
        <v>0</v>
      </c>
      <c r="Q1895" s="64" t="n">
        <f aca="false">IF(AND($P1895&gt;0,$O1895&gt;0),$P1895,0)</f>
        <v>0</v>
      </c>
      <c r="R1895" s="64" t="n">
        <f aca="false">IF(AND($Q1895&gt;0,$O1895&gt;=AtRank),$Q1895,0)</f>
        <v>0</v>
      </c>
      <c r="S1895" s="64" t="n">
        <f aca="false">IF(AND($Q1895&gt;0,$O1895&gt;=AboveRank),$Q1895,0)</f>
        <v>0</v>
      </c>
      <c r="T1895" s="64" t="n">
        <f aca="false">IF($K1895="Less",$P1895,0)</f>
        <v>0</v>
      </c>
      <c r="U1895" s="64" t="n">
        <f aca="false">IF($K1895="Expected",$P1895,0)</f>
        <v>0</v>
      </c>
      <c r="V1895" s="64" t="n">
        <f aca="false">IF($K1895="Better",$P1895,0)</f>
        <v>0</v>
      </c>
      <c r="W1895" s="64" t="n">
        <f aca="false">IF($K1895="U – needs rule",$P1895,0)</f>
        <v>0</v>
      </c>
      <c r="X1895" s="64" t="n">
        <f aca="false">IF($K1895="No Start (attainment only)",$P1895,0)</f>
        <v>0</v>
      </c>
    </row>
    <row r="1896" customFormat="false" ht="15" hidden="false" customHeight="false" outlineLevel="0" collapsed="false">
      <c r="A1896" s="60"/>
      <c r="B1896" s="61" t="str">
        <f aca="false">IF($M1896=0,"",INDEX(Classes!$E$6:$E$420,$M1896))</f>
        <v/>
      </c>
      <c r="C1896" s="62" t="str">
        <f aca="false">IF($M1896=0,"",INDEX(Classes!$H$6:$H$420,$M1896))</f>
        <v/>
      </c>
      <c r="D1896" s="61" t="str">
        <f aca="false">IF($M1896=0,"",INDEX(Classes!$B$6:$B$420,$M1896))</f>
        <v/>
      </c>
      <c r="E1896" s="61" t="str">
        <f aca="false">IF($M1896=0,"",INDEX(Classes!$C$6:$C$420,$M1896))</f>
        <v/>
      </c>
      <c r="F1896" s="63"/>
      <c r="G1896" s="63"/>
      <c r="H1896" s="60"/>
      <c r="I1896" s="60"/>
      <c r="J1896" s="63"/>
      <c r="K1896" s="61" t="str">
        <f aca="false">IF($P1896=0,"",IF($F1896="Baseline","— Baseline",IF($O1896=0,"No result",IF($N1896=0,"No Start (attainment only)",IF(OR($N1896=1,$O1896=1),"U – needs rule",INDEX(MxBody,MATCH($I1896,MxCurr,0),MATCH($H1896,MxStart,0)))))))</f>
        <v/>
      </c>
      <c r="L1896" s="62" t="str">
        <f aca="false">IF(COUNTA($A1896,$F1896,$G1896,$H1896,$I1896,$J1896)=0,"",IF($M1896=0,"✖ كود الصف غير موجود",IF(ISNA(MATCH($F1896,Lists!$A$2:$A$5,0)),"✖ الفترة غير صحيحة",IF(ISNA(MATCH($G1896,Lists!$B$2:$B$7,0)),"✖ المجموعة غير صحيحة",IF(NOT(OR($H1896="",$N1896&gt;0)),"✖ Start غير صحيح",IF(NOT(OR($I1896="",$I1896="NR",$O1896&gt;0)),"✖ Current غير صحيح",IF(NOT(IF(ISNUMBER($J1896),AND($J1896&gt;=0,$J1896=INT($J1896)),FALSE())),"✖ العدد يجب أن يكون صحيحًا ≥ 0",IF(AND($F1896="Baseline",$H1896&lt;&gt;""),"⚠ Baseline: Start لا يدخل في التقدم",IF($K1896="No Start (attainment only)","ℹ تحصيل فقط (بدون Start)",IF($K1896="U – needs rule","ℹ حالة U تحتاج قاعدة معتمدة",IF($K1896="No result","ℹ بدون نتيجة (يُستبعد من التحصيل)","OK")))))))))))</f>
        <v/>
      </c>
      <c r="M1896" s="64" t="n">
        <f aca="false">IF($A1896="",0,IFERROR(MATCH($A1896,Classes!$A$6:$A$420,0),0))</f>
        <v>0</v>
      </c>
      <c r="N1896" s="64" t="n">
        <f aca="false">IF($H1896="",0,IFERROR(MATCH($H1896,GradeList,0),0))</f>
        <v>0</v>
      </c>
      <c r="O1896" s="64" t="n">
        <f aca="false">IF(OR($I1896="",$I1896="NR"),0,IFERROR(MATCH($I1896,GradeList,0),0))</f>
        <v>0</v>
      </c>
      <c r="P1896" s="64" t="n">
        <f aca="false">IF(AND($M1896&gt;0,ISNUMBER(MATCH($F1896,Lists!$A$2:$A$5,0)),ISNUMBER(MATCH($G1896,Lists!$B$2:$B$7,0)),OR($H1896="",$N1896&gt;0),OR($I1896="",$I1896="NR",$O1896&gt;0),IF(ISNUMBER($J1896),AND($J1896&gt;=0,$J1896=INT($J1896)),FALSE())),$J1896,0)</f>
        <v>0</v>
      </c>
      <c r="Q1896" s="64" t="n">
        <f aca="false">IF(AND($P1896&gt;0,$O1896&gt;0),$P1896,0)</f>
        <v>0</v>
      </c>
      <c r="R1896" s="64" t="n">
        <f aca="false">IF(AND($Q1896&gt;0,$O1896&gt;=AtRank),$Q1896,0)</f>
        <v>0</v>
      </c>
      <c r="S1896" s="64" t="n">
        <f aca="false">IF(AND($Q1896&gt;0,$O1896&gt;=AboveRank),$Q1896,0)</f>
        <v>0</v>
      </c>
      <c r="T1896" s="64" t="n">
        <f aca="false">IF($K1896="Less",$P1896,0)</f>
        <v>0</v>
      </c>
      <c r="U1896" s="64" t="n">
        <f aca="false">IF($K1896="Expected",$P1896,0)</f>
        <v>0</v>
      </c>
      <c r="V1896" s="64" t="n">
        <f aca="false">IF($K1896="Better",$P1896,0)</f>
        <v>0</v>
      </c>
      <c r="W1896" s="64" t="n">
        <f aca="false">IF($K1896="U – needs rule",$P1896,0)</f>
        <v>0</v>
      </c>
      <c r="X1896" s="64" t="n">
        <f aca="false">IF($K1896="No Start (attainment only)",$P1896,0)</f>
        <v>0</v>
      </c>
    </row>
    <row r="1897" customFormat="false" ht="15" hidden="false" customHeight="false" outlineLevel="0" collapsed="false">
      <c r="A1897" s="60"/>
      <c r="B1897" s="61" t="str">
        <f aca="false">IF($M1897=0,"",INDEX(Classes!$E$6:$E$420,$M1897))</f>
        <v/>
      </c>
      <c r="C1897" s="62" t="str">
        <f aca="false">IF($M1897=0,"",INDEX(Classes!$H$6:$H$420,$M1897))</f>
        <v/>
      </c>
      <c r="D1897" s="61" t="str">
        <f aca="false">IF($M1897=0,"",INDEX(Classes!$B$6:$B$420,$M1897))</f>
        <v/>
      </c>
      <c r="E1897" s="61" t="str">
        <f aca="false">IF($M1897=0,"",INDEX(Classes!$C$6:$C$420,$M1897))</f>
        <v/>
      </c>
      <c r="F1897" s="63"/>
      <c r="G1897" s="63"/>
      <c r="H1897" s="60"/>
      <c r="I1897" s="60"/>
      <c r="J1897" s="63"/>
      <c r="K1897" s="61" t="str">
        <f aca="false">IF($P1897=0,"",IF($F1897="Baseline","— Baseline",IF($O1897=0,"No result",IF($N1897=0,"No Start (attainment only)",IF(OR($N1897=1,$O1897=1),"U – needs rule",INDEX(MxBody,MATCH($I1897,MxCurr,0),MATCH($H1897,MxStart,0)))))))</f>
        <v/>
      </c>
      <c r="L1897" s="62" t="str">
        <f aca="false">IF(COUNTA($A1897,$F1897,$G1897,$H1897,$I1897,$J1897)=0,"",IF($M1897=0,"✖ كود الصف غير موجود",IF(ISNA(MATCH($F1897,Lists!$A$2:$A$5,0)),"✖ الفترة غير صحيحة",IF(ISNA(MATCH($G1897,Lists!$B$2:$B$7,0)),"✖ المجموعة غير صحيحة",IF(NOT(OR($H1897="",$N1897&gt;0)),"✖ Start غير صحيح",IF(NOT(OR($I1897="",$I1897="NR",$O1897&gt;0)),"✖ Current غير صحيح",IF(NOT(IF(ISNUMBER($J1897),AND($J1897&gt;=0,$J1897=INT($J1897)),FALSE())),"✖ العدد يجب أن يكون صحيحًا ≥ 0",IF(AND($F1897="Baseline",$H1897&lt;&gt;""),"⚠ Baseline: Start لا يدخل في التقدم",IF($K1897="No Start (attainment only)","ℹ تحصيل فقط (بدون Start)",IF($K1897="U – needs rule","ℹ حالة U تحتاج قاعدة معتمدة",IF($K1897="No result","ℹ بدون نتيجة (يُستبعد من التحصيل)","OK")))))))))))</f>
        <v/>
      </c>
      <c r="M1897" s="64" t="n">
        <f aca="false">IF($A1897="",0,IFERROR(MATCH($A1897,Classes!$A$6:$A$420,0),0))</f>
        <v>0</v>
      </c>
      <c r="N1897" s="64" t="n">
        <f aca="false">IF($H1897="",0,IFERROR(MATCH($H1897,GradeList,0),0))</f>
        <v>0</v>
      </c>
      <c r="O1897" s="64" t="n">
        <f aca="false">IF(OR($I1897="",$I1897="NR"),0,IFERROR(MATCH($I1897,GradeList,0),0))</f>
        <v>0</v>
      </c>
      <c r="P1897" s="64" t="n">
        <f aca="false">IF(AND($M1897&gt;0,ISNUMBER(MATCH($F1897,Lists!$A$2:$A$5,0)),ISNUMBER(MATCH($G1897,Lists!$B$2:$B$7,0)),OR($H1897="",$N1897&gt;0),OR($I1897="",$I1897="NR",$O1897&gt;0),IF(ISNUMBER($J1897),AND($J1897&gt;=0,$J1897=INT($J1897)),FALSE())),$J1897,0)</f>
        <v>0</v>
      </c>
      <c r="Q1897" s="64" t="n">
        <f aca="false">IF(AND($P1897&gt;0,$O1897&gt;0),$P1897,0)</f>
        <v>0</v>
      </c>
      <c r="R1897" s="64" t="n">
        <f aca="false">IF(AND($Q1897&gt;0,$O1897&gt;=AtRank),$Q1897,0)</f>
        <v>0</v>
      </c>
      <c r="S1897" s="64" t="n">
        <f aca="false">IF(AND($Q1897&gt;0,$O1897&gt;=AboveRank),$Q1897,0)</f>
        <v>0</v>
      </c>
      <c r="T1897" s="64" t="n">
        <f aca="false">IF($K1897="Less",$P1897,0)</f>
        <v>0</v>
      </c>
      <c r="U1897" s="64" t="n">
        <f aca="false">IF($K1897="Expected",$P1897,0)</f>
        <v>0</v>
      </c>
      <c r="V1897" s="64" t="n">
        <f aca="false">IF($K1897="Better",$P1897,0)</f>
        <v>0</v>
      </c>
      <c r="W1897" s="64" t="n">
        <f aca="false">IF($K1897="U – needs rule",$P1897,0)</f>
        <v>0</v>
      </c>
      <c r="X1897" s="64" t="n">
        <f aca="false">IF($K1897="No Start (attainment only)",$P1897,0)</f>
        <v>0</v>
      </c>
    </row>
    <row r="1898" customFormat="false" ht="15" hidden="false" customHeight="false" outlineLevel="0" collapsed="false">
      <c r="A1898" s="60"/>
      <c r="B1898" s="61" t="str">
        <f aca="false">IF($M1898=0,"",INDEX(Classes!$E$6:$E$420,$M1898))</f>
        <v/>
      </c>
      <c r="C1898" s="62" t="str">
        <f aca="false">IF($M1898=0,"",INDEX(Classes!$H$6:$H$420,$M1898))</f>
        <v/>
      </c>
      <c r="D1898" s="61" t="str">
        <f aca="false">IF($M1898=0,"",INDEX(Classes!$B$6:$B$420,$M1898))</f>
        <v/>
      </c>
      <c r="E1898" s="61" t="str">
        <f aca="false">IF($M1898=0,"",INDEX(Classes!$C$6:$C$420,$M1898))</f>
        <v/>
      </c>
      <c r="F1898" s="63"/>
      <c r="G1898" s="63"/>
      <c r="H1898" s="60"/>
      <c r="I1898" s="60"/>
      <c r="J1898" s="63"/>
      <c r="K1898" s="61" t="str">
        <f aca="false">IF($P1898=0,"",IF($F1898="Baseline","— Baseline",IF($O1898=0,"No result",IF($N1898=0,"No Start (attainment only)",IF(OR($N1898=1,$O1898=1),"U – needs rule",INDEX(MxBody,MATCH($I1898,MxCurr,0),MATCH($H1898,MxStart,0)))))))</f>
        <v/>
      </c>
      <c r="L1898" s="62" t="str">
        <f aca="false">IF(COUNTA($A1898,$F1898,$G1898,$H1898,$I1898,$J1898)=0,"",IF($M1898=0,"✖ كود الصف غير موجود",IF(ISNA(MATCH($F1898,Lists!$A$2:$A$5,0)),"✖ الفترة غير صحيحة",IF(ISNA(MATCH($G1898,Lists!$B$2:$B$7,0)),"✖ المجموعة غير صحيحة",IF(NOT(OR($H1898="",$N1898&gt;0)),"✖ Start غير صحيح",IF(NOT(OR($I1898="",$I1898="NR",$O1898&gt;0)),"✖ Current غير صحيح",IF(NOT(IF(ISNUMBER($J1898),AND($J1898&gt;=0,$J1898=INT($J1898)),FALSE())),"✖ العدد يجب أن يكون صحيحًا ≥ 0",IF(AND($F1898="Baseline",$H1898&lt;&gt;""),"⚠ Baseline: Start لا يدخل في التقدم",IF($K1898="No Start (attainment only)","ℹ تحصيل فقط (بدون Start)",IF($K1898="U – needs rule","ℹ حالة U تحتاج قاعدة معتمدة",IF($K1898="No result","ℹ بدون نتيجة (يُستبعد من التحصيل)","OK")))))))))))</f>
        <v/>
      </c>
      <c r="M1898" s="64" t="n">
        <f aca="false">IF($A1898="",0,IFERROR(MATCH($A1898,Classes!$A$6:$A$420,0),0))</f>
        <v>0</v>
      </c>
      <c r="N1898" s="64" t="n">
        <f aca="false">IF($H1898="",0,IFERROR(MATCH($H1898,GradeList,0),0))</f>
        <v>0</v>
      </c>
      <c r="O1898" s="64" t="n">
        <f aca="false">IF(OR($I1898="",$I1898="NR"),0,IFERROR(MATCH($I1898,GradeList,0),0))</f>
        <v>0</v>
      </c>
      <c r="P1898" s="64" t="n">
        <f aca="false">IF(AND($M1898&gt;0,ISNUMBER(MATCH($F1898,Lists!$A$2:$A$5,0)),ISNUMBER(MATCH($G1898,Lists!$B$2:$B$7,0)),OR($H1898="",$N1898&gt;0),OR($I1898="",$I1898="NR",$O1898&gt;0),IF(ISNUMBER($J1898),AND($J1898&gt;=0,$J1898=INT($J1898)),FALSE())),$J1898,0)</f>
        <v>0</v>
      </c>
      <c r="Q1898" s="64" t="n">
        <f aca="false">IF(AND($P1898&gt;0,$O1898&gt;0),$P1898,0)</f>
        <v>0</v>
      </c>
      <c r="R1898" s="64" t="n">
        <f aca="false">IF(AND($Q1898&gt;0,$O1898&gt;=AtRank),$Q1898,0)</f>
        <v>0</v>
      </c>
      <c r="S1898" s="64" t="n">
        <f aca="false">IF(AND($Q1898&gt;0,$O1898&gt;=AboveRank),$Q1898,0)</f>
        <v>0</v>
      </c>
      <c r="T1898" s="64" t="n">
        <f aca="false">IF($K1898="Less",$P1898,0)</f>
        <v>0</v>
      </c>
      <c r="U1898" s="64" t="n">
        <f aca="false">IF($K1898="Expected",$P1898,0)</f>
        <v>0</v>
      </c>
      <c r="V1898" s="64" t="n">
        <f aca="false">IF($K1898="Better",$P1898,0)</f>
        <v>0</v>
      </c>
      <c r="W1898" s="64" t="n">
        <f aca="false">IF($K1898="U – needs rule",$P1898,0)</f>
        <v>0</v>
      </c>
      <c r="X1898" s="64" t="n">
        <f aca="false">IF($K1898="No Start (attainment only)",$P1898,0)</f>
        <v>0</v>
      </c>
    </row>
    <row r="1899" customFormat="false" ht="15" hidden="false" customHeight="false" outlineLevel="0" collapsed="false">
      <c r="A1899" s="60"/>
      <c r="B1899" s="61" t="str">
        <f aca="false">IF($M1899=0,"",INDEX(Classes!$E$6:$E$420,$M1899))</f>
        <v/>
      </c>
      <c r="C1899" s="62" t="str">
        <f aca="false">IF($M1899=0,"",INDEX(Classes!$H$6:$H$420,$M1899))</f>
        <v/>
      </c>
      <c r="D1899" s="61" t="str">
        <f aca="false">IF($M1899=0,"",INDEX(Classes!$B$6:$B$420,$M1899))</f>
        <v/>
      </c>
      <c r="E1899" s="61" t="str">
        <f aca="false">IF($M1899=0,"",INDEX(Classes!$C$6:$C$420,$M1899))</f>
        <v/>
      </c>
      <c r="F1899" s="63"/>
      <c r="G1899" s="63"/>
      <c r="H1899" s="60"/>
      <c r="I1899" s="60"/>
      <c r="J1899" s="63"/>
      <c r="K1899" s="61" t="str">
        <f aca="false">IF($P1899=0,"",IF($F1899="Baseline","— Baseline",IF($O1899=0,"No result",IF($N1899=0,"No Start (attainment only)",IF(OR($N1899=1,$O1899=1),"U – needs rule",INDEX(MxBody,MATCH($I1899,MxCurr,0),MATCH($H1899,MxStart,0)))))))</f>
        <v/>
      </c>
      <c r="L1899" s="62" t="str">
        <f aca="false">IF(COUNTA($A1899,$F1899,$G1899,$H1899,$I1899,$J1899)=0,"",IF($M1899=0,"✖ كود الصف غير موجود",IF(ISNA(MATCH($F1899,Lists!$A$2:$A$5,0)),"✖ الفترة غير صحيحة",IF(ISNA(MATCH($G1899,Lists!$B$2:$B$7,0)),"✖ المجموعة غير صحيحة",IF(NOT(OR($H1899="",$N1899&gt;0)),"✖ Start غير صحيح",IF(NOT(OR($I1899="",$I1899="NR",$O1899&gt;0)),"✖ Current غير صحيح",IF(NOT(IF(ISNUMBER($J1899),AND($J1899&gt;=0,$J1899=INT($J1899)),FALSE())),"✖ العدد يجب أن يكون صحيحًا ≥ 0",IF(AND($F1899="Baseline",$H1899&lt;&gt;""),"⚠ Baseline: Start لا يدخل في التقدم",IF($K1899="No Start (attainment only)","ℹ تحصيل فقط (بدون Start)",IF($K1899="U – needs rule","ℹ حالة U تحتاج قاعدة معتمدة",IF($K1899="No result","ℹ بدون نتيجة (يُستبعد من التحصيل)","OK")))))))))))</f>
        <v/>
      </c>
      <c r="M1899" s="64" t="n">
        <f aca="false">IF($A1899="",0,IFERROR(MATCH($A1899,Classes!$A$6:$A$420,0),0))</f>
        <v>0</v>
      </c>
      <c r="N1899" s="64" t="n">
        <f aca="false">IF($H1899="",0,IFERROR(MATCH($H1899,GradeList,0),0))</f>
        <v>0</v>
      </c>
      <c r="O1899" s="64" t="n">
        <f aca="false">IF(OR($I1899="",$I1899="NR"),0,IFERROR(MATCH($I1899,GradeList,0),0))</f>
        <v>0</v>
      </c>
      <c r="P1899" s="64" t="n">
        <f aca="false">IF(AND($M1899&gt;0,ISNUMBER(MATCH($F1899,Lists!$A$2:$A$5,0)),ISNUMBER(MATCH($G1899,Lists!$B$2:$B$7,0)),OR($H1899="",$N1899&gt;0),OR($I1899="",$I1899="NR",$O1899&gt;0),IF(ISNUMBER($J1899),AND($J1899&gt;=0,$J1899=INT($J1899)),FALSE())),$J1899,0)</f>
        <v>0</v>
      </c>
      <c r="Q1899" s="64" t="n">
        <f aca="false">IF(AND($P1899&gt;0,$O1899&gt;0),$P1899,0)</f>
        <v>0</v>
      </c>
      <c r="R1899" s="64" t="n">
        <f aca="false">IF(AND($Q1899&gt;0,$O1899&gt;=AtRank),$Q1899,0)</f>
        <v>0</v>
      </c>
      <c r="S1899" s="64" t="n">
        <f aca="false">IF(AND($Q1899&gt;0,$O1899&gt;=AboveRank),$Q1899,0)</f>
        <v>0</v>
      </c>
      <c r="T1899" s="64" t="n">
        <f aca="false">IF($K1899="Less",$P1899,0)</f>
        <v>0</v>
      </c>
      <c r="U1899" s="64" t="n">
        <f aca="false">IF($K1899="Expected",$P1899,0)</f>
        <v>0</v>
      </c>
      <c r="V1899" s="64" t="n">
        <f aca="false">IF($K1899="Better",$P1899,0)</f>
        <v>0</v>
      </c>
      <c r="W1899" s="64" t="n">
        <f aca="false">IF($K1899="U – needs rule",$P1899,0)</f>
        <v>0</v>
      </c>
      <c r="X1899" s="64" t="n">
        <f aca="false">IF($K1899="No Start (attainment only)",$P1899,0)</f>
        <v>0</v>
      </c>
    </row>
    <row r="1900" customFormat="false" ht="15" hidden="false" customHeight="false" outlineLevel="0" collapsed="false">
      <c r="A1900" s="60"/>
      <c r="B1900" s="61" t="str">
        <f aca="false">IF($M1900=0,"",INDEX(Classes!$E$6:$E$420,$M1900))</f>
        <v/>
      </c>
      <c r="C1900" s="62" t="str">
        <f aca="false">IF($M1900=0,"",INDEX(Classes!$H$6:$H$420,$M1900))</f>
        <v/>
      </c>
      <c r="D1900" s="61" t="str">
        <f aca="false">IF($M1900=0,"",INDEX(Classes!$B$6:$B$420,$M1900))</f>
        <v/>
      </c>
      <c r="E1900" s="61" t="str">
        <f aca="false">IF($M1900=0,"",INDEX(Classes!$C$6:$C$420,$M1900))</f>
        <v/>
      </c>
      <c r="F1900" s="63"/>
      <c r="G1900" s="63"/>
      <c r="H1900" s="60"/>
      <c r="I1900" s="60"/>
      <c r="J1900" s="63"/>
      <c r="K1900" s="61" t="str">
        <f aca="false">IF($P1900=0,"",IF($F1900="Baseline","— Baseline",IF($O1900=0,"No result",IF($N1900=0,"No Start (attainment only)",IF(OR($N1900=1,$O1900=1),"U – needs rule",INDEX(MxBody,MATCH($I1900,MxCurr,0),MATCH($H1900,MxStart,0)))))))</f>
        <v/>
      </c>
      <c r="L1900" s="62" t="str">
        <f aca="false">IF(COUNTA($A1900,$F1900,$G1900,$H1900,$I1900,$J1900)=0,"",IF($M1900=0,"✖ كود الصف غير موجود",IF(ISNA(MATCH($F1900,Lists!$A$2:$A$5,0)),"✖ الفترة غير صحيحة",IF(ISNA(MATCH($G1900,Lists!$B$2:$B$7,0)),"✖ المجموعة غير صحيحة",IF(NOT(OR($H1900="",$N1900&gt;0)),"✖ Start غير صحيح",IF(NOT(OR($I1900="",$I1900="NR",$O1900&gt;0)),"✖ Current غير صحيح",IF(NOT(IF(ISNUMBER($J1900),AND($J1900&gt;=0,$J1900=INT($J1900)),FALSE())),"✖ العدد يجب أن يكون صحيحًا ≥ 0",IF(AND($F1900="Baseline",$H1900&lt;&gt;""),"⚠ Baseline: Start لا يدخل في التقدم",IF($K1900="No Start (attainment only)","ℹ تحصيل فقط (بدون Start)",IF($K1900="U – needs rule","ℹ حالة U تحتاج قاعدة معتمدة",IF($K1900="No result","ℹ بدون نتيجة (يُستبعد من التحصيل)","OK")))))))))))</f>
        <v/>
      </c>
      <c r="M1900" s="64" t="n">
        <f aca="false">IF($A1900="",0,IFERROR(MATCH($A1900,Classes!$A$6:$A$420,0),0))</f>
        <v>0</v>
      </c>
      <c r="N1900" s="64" t="n">
        <f aca="false">IF($H1900="",0,IFERROR(MATCH($H1900,GradeList,0),0))</f>
        <v>0</v>
      </c>
      <c r="O1900" s="64" t="n">
        <f aca="false">IF(OR($I1900="",$I1900="NR"),0,IFERROR(MATCH($I1900,GradeList,0),0))</f>
        <v>0</v>
      </c>
      <c r="P1900" s="64" t="n">
        <f aca="false">IF(AND($M1900&gt;0,ISNUMBER(MATCH($F1900,Lists!$A$2:$A$5,0)),ISNUMBER(MATCH($G1900,Lists!$B$2:$B$7,0)),OR($H1900="",$N1900&gt;0),OR($I1900="",$I1900="NR",$O1900&gt;0),IF(ISNUMBER($J1900),AND($J1900&gt;=0,$J1900=INT($J1900)),FALSE())),$J1900,0)</f>
        <v>0</v>
      </c>
      <c r="Q1900" s="64" t="n">
        <f aca="false">IF(AND($P1900&gt;0,$O1900&gt;0),$P1900,0)</f>
        <v>0</v>
      </c>
      <c r="R1900" s="64" t="n">
        <f aca="false">IF(AND($Q1900&gt;0,$O1900&gt;=AtRank),$Q1900,0)</f>
        <v>0</v>
      </c>
      <c r="S1900" s="64" t="n">
        <f aca="false">IF(AND($Q1900&gt;0,$O1900&gt;=AboveRank),$Q1900,0)</f>
        <v>0</v>
      </c>
      <c r="T1900" s="64" t="n">
        <f aca="false">IF($K1900="Less",$P1900,0)</f>
        <v>0</v>
      </c>
      <c r="U1900" s="64" t="n">
        <f aca="false">IF($K1900="Expected",$P1900,0)</f>
        <v>0</v>
      </c>
      <c r="V1900" s="64" t="n">
        <f aca="false">IF($K1900="Better",$P1900,0)</f>
        <v>0</v>
      </c>
      <c r="W1900" s="64" t="n">
        <f aca="false">IF($K1900="U – needs rule",$P1900,0)</f>
        <v>0</v>
      </c>
      <c r="X1900" s="64" t="n">
        <f aca="false">IF($K1900="No Start (attainment only)",$P1900,0)</f>
        <v>0</v>
      </c>
    </row>
    <row r="1901" customFormat="false" ht="15" hidden="false" customHeight="false" outlineLevel="0" collapsed="false">
      <c r="A1901" s="60"/>
      <c r="B1901" s="61" t="str">
        <f aca="false">IF($M1901=0,"",INDEX(Classes!$E$6:$E$420,$M1901))</f>
        <v/>
      </c>
      <c r="C1901" s="62" t="str">
        <f aca="false">IF($M1901=0,"",INDEX(Classes!$H$6:$H$420,$M1901))</f>
        <v/>
      </c>
      <c r="D1901" s="61" t="str">
        <f aca="false">IF($M1901=0,"",INDEX(Classes!$B$6:$B$420,$M1901))</f>
        <v/>
      </c>
      <c r="E1901" s="61" t="str">
        <f aca="false">IF($M1901=0,"",INDEX(Classes!$C$6:$C$420,$M1901))</f>
        <v/>
      </c>
      <c r="F1901" s="63"/>
      <c r="G1901" s="63"/>
      <c r="H1901" s="60"/>
      <c r="I1901" s="60"/>
      <c r="J1901" s="63"/>
      <c r="K1901" s="61" t="str">
        <f aca="false">IF($P1901=0,"",IF($F1901="Baseline","— Baseline",IF($O1901=0,"No result",IF($N1901=0,"No Start (attainment only)",IF(OR($N1901=1,$O1901=1),"U – needs rule",INDEX(MxBody,MATCH($I1901,MxCurr,0),MATCH($H1901,MxStart,0)))))))</f>
        <v/>
      </c>
      <c r="L1901" s="62" t="str">
        <f aca="false">IF(COUNTA($A1901,$F1901,$G1901,$H1901,$I1901,$J1901)=0,"",IF($M1901=0,"✖ كود الصف غير موجود",IF(ISNA(MATCH($F1901,Lists!$A$2:$A$5,0)),"✖ الفترة غير صحيحة",IF(ISNA(MATCH($G1901,Lists!$B$2:$B$7,0)),"✖ المجموعة غير صحيحة",IF(NOT(OR($H1901="",$N1901&gt;0)),"✖ Start غير صحيح",IF(NOT(OR($I1901="",$I1901="NR",$O1901&gt;0)),"✖ Current غير صحيح",IF(NOT(IF(ISNUMBER($J1901),AND($J1901&gt;=0,$J1901=INT($J1901)),FALSE())),"✖ العدد يجب أن يكون صحيحًا ≥ 0",IF(AND($F1901="Baseline",$H1901&lt;&gt;""),"⚠ Baseline: Start لا يدخل في التقدم",IF($K1901="No Start (attainment only)","ℹ تحصيل فقط (بدون Start)",IF($K1901="U – needs rule","ℹ حالة U تحتاج قاعدة معتمدة",IF($K1901="No result","ℹ بدون نتيجة (يُستبعد من التحصيل)","OK")))))))))))</f>
        <v/>
      </c>
      <c r="M1901" s="64" t="n">
        <f aca="false">IF($A1901="",0,IFERROR(MATCH($A1901,Classes!$A$6:$A$420,0),0))</f>
        <v>0</v>
      </c>
      <c r="N1901" s="64" t="n">
        <f aca="false">IF($H1901="",0,IFERROR(MATCH($H1901,GradeList,0),0))</f>
        <v>0</v>
      </c>
      <c r="O1901" s="64" t="n">
        <f aca="false">IF(OR($I1901="",$I1901="NR"),0,IFERROR(MATCH($I1901,GradeList,0),0))</f>
        <v>0</v>
      </c>
      <c r="P1901" s="64" t="n">
        <f aca="false">IF(AND($M1901&gt;0,ISNUMBER(MATCH($F1901,Lists!$A$2:$A$5,0)),ISNUMBER(MATCH($G1901,Lists!$B$2:$B$7,0)),OR($H1901="",$N1901&gt;0),OR($I1901="",$I1901="NR",$O1901&gt;0),IF(ISNUMBER($J1901),AND($J1901&gt;=0,$J1901=INT($J1901)),FALSE())),$J1901,0)</f>
        <v>0</v>
      </c>
      <c r="Q1901" s="64" t="n">
        <f aca="false">IF(AND($P1901&gt;0,$O1901&gt;0),$P1901,0)</f>
        <v>0</v>
      </c>
      <c r="R1901" s="64" t="n">
        <f aca="false">IF(AND($Q1901&gt;0,$O1901&gt;=AtRank),$Q1901,0)</f>
        <v>0</v>
      </c>
      <c r="S1901" s="64" t="n">
        <f aca="false">IF(AND($Q1901&gt;0,$O1901&gt;=AboveRank),$Q1901,0)</f>
        <v>0</v>
      </c>
      <c r="T1901" s="64" t="n">
        <f aca="false">IF($K1901="Less",$P1901,0)</f>
        <v>0</v>
      </c>
      <c r="U1901" s="64" t="n">
        <f aca="false">IF($K1901="Expected",$P1901,0)</f>
        <v>0</v>
      </c>
      <c r="V1901" s="64" t="n">
        <f aca="false">IF($K1901="Better",$P1901,0)</f>
        <v>0</v>
      </c>
      <c r="W1901" s="64" t="n">
        <f aca="false">IF($K1901="U – needs rule",$P1901,0)</f>
        <v>0</v>
      </c>
      <c r="X1901" s="64" t="n">
        <f aca="false">IF($K1901="No Start (attainment only)",$P1901,0)</f>
        <v>0</v>
      </c>
    </row>
    <row r="1902" customFormat="false" ht="15" hidden="false" customHeight="false" outlineLevel="0" collapsed="false">
      <c r="A1902" s="60"/>
      <c r="B1902" s="61" t="str">
        <f aca="false">IF($M1902=0,"",INDEX(Classes!$E$6:$E$420,$M1902))</f>
        <v/>
      </c>
      <c r="C1902" s="62" t="str">
        <f aca="false">IF($M1902=0,"",INDEX(Classes!$H$6:$H$420,$M1902))</f>
        <v/>
      </c>
      <c r="D1902" s="61" t="str">
        <f aca="false">IF($M1902=0,"",INDEX(Classes!$B$6:$B$420,$M1902))</f>
        <v/>
      </c>
      <c r="E1902" s="61" t="str">
        <f aca="false">IF($M1902=0,"",INDEX(Classes!$C$6:$C$420,$M1902))</f>
        <v/>
      </c>
      <c r="F1902" s="63"/>
      <c r="G1902" s="63"/>
      <c r="H1902" s="60"/>
      <c r="I1902" s="60"/>
      <c r="J1902" s="63"/>
      <c r="K1902" s="61" t="str">
        <f aca="false">IF($P1902=0,"",IF($F1902="Baseline","— Baseline",IF($O1902=0,"No result",IF($N1902=0,"No Start (attainment only)",IF(OR($N1902=1,$O1902=1),"U – needs rule",INDEX(MxBody,MATCH($I1902,MxCurr,0),MATCH($H1902,MxStart,0)))))))</f>
        <v/>
      </c>
      <c r="L1902" s="62" t="str">
        <f aca="false">IF(COUNTA($A1902,$F1902,$G1902,$H1902,$I1902,$J1902)=0,"",IF($M1902=0,"✖ كود الصف غير موجود",IF(ISNA(MATCH($F1902,Lists!$A$2:$A$5,0)),"✖ الفترة غير صحيحة",IF(ISNA(MATCH($G1902,Lists!$B$2:$B$7,0)),"✖ المجموعة غير صحيحة",IF(NOT(OR($H1902="",$N1902&gt;0)),"✖ Start غير صحيح",IF(NOT(OR($I1902="",$I1902="NR",$O1902&gt;0)),"✖ Current غير صحيح",IF(NOT(IF(ISNUMBER($J1902),AND($J1902&gt;=0,$J1902=INT($J1902)),FALSE())),"✖ العدد يجب أن يكون صحيحًا ≥ 0",IF(AND($F1902="Baseline",$H1902&lt;&gt;""),"⚠ Baseline: Start لا يدخل في التقدم",IF($K1902="No Start (attainment only)","ℹ تحصيل فقط (بدون Start)",IF($K1902="U – needs rule","ℹ حالة U تحتاج قاعدة معتمدة",IF($K1902="No result","ℹ بدون نتيجة (يُستبعد من التحصيل)","OK")))))))))))</f>
        <v/>
      </c>
      <c r="M1902" s="64" t="n">
        <f aca="false">IF($A1902="",0,IFERROR(MATCH($A1902,Classes!$A$6:$A$420,0),0))</f>
        <v>0</v>
      </c>
      <c r="N1902" s="64" t="n">
        <f aca="false">IF($H1902="",0,IFERROR(MATCH($H1902,GradeList,0),0))</f>
        <v>0</v>
      </c>
      <c r="O1902" s="64" t="n">
        <f aca="false">IF(OR($I1902="",$I1902="NR"),0,IFERROR(MATCH($I1902,GradeList,0),0))</f>
        <v>0</v>
      </c>
      <c r="P1902" s="64" t="n">
        <f aca="false">IF(AND($M1902&gt;0,ISNUMBER(MATCH($F1902,Lists!$A$2:$A$5,0)),ISNUMBER(MATCH($G1902,Lists!$B$2:$B$7,0)),OR($H1902="",$N1902&gt;0),OR($I1902="",$I1902="NR",$O1902&gt;0),IF(ISNUMBER($J1902),AND($J1902&gt;=0,$J1902=INT($J1902)),FALSE())),$J1902,0)</f>
        <v>0</v>
      </c>
      <c r="Q1902" s="64" t="n">
        <f aca="false">IF(AND($P1902&gt;0,$O1902&gt;0),$P1902,0)</f>
        <v>0</v>
      </c>
      <c r="R1902" s="64" t="n">
        <f aca="false">IF(AND($Q1902&gt;0,$O1902&gt;=AtRank),$Q1902,0)</f>
        <v>0</v>
      </c>
      <c r="S1902" s="64" t="n">
        <f aca="false">IF(AND($Q1902&gt;0,$O1902&gt;=AboveRank),$Q1902,0)</f>
        <v>0</v>
      </c>
      <c r="T1902" s="64" t="n">
        <f aca="false">IF($K1902="Less",$P1902,0)</f>
        <v>0</v>
      </c>
      <c r="U1902" s="64" t="n">
        <f aca="false">IF($K1902="Expected",$P1902,0)</f>
        <v>0</v>
      </c>
      <c r="V1902" s="64" t="n">
        <f aca="false">IF($K1902="Better",$P1902,0)</f>
        <v>0</v>
      </c>
      <c r="W1902" s="64" t="n">
        <f aca="false">IF($K1902="U – needs rule",$P1902,0)</f>
        <v>0</v>
      </c>
      <c r="X1902" s="64" t="n">
        <f aca="false">IF($K1902="No Start (attainment only)",$P1902,0)</f>
        <v>0</v>
      </c>
    </row>
    <row r="1903" customFormat="false" ht="15" hidden="false" customHeight="false" outlineLevel="0" collapsed="false">
      <c r="A1903" s="60"/>
      <c r="B1903" s="61" t="str">
        <f aca="false">IF($M1903=0,"",INDEX(Classes!$E$6:$E$420,$M1903))</f>
        <v/>
      </c>
      <c r="C1903" s="62" t="str">
        <f aca="false">IF($M1903=0,"",INDEX(Classes!$H$6:$H$420,$M1903))</f>
        <v/>
      </c>
      <c r="D1903" s="61" t="str">
        <f aca="false">IF($M1903=0,"",INDEX(Classes!$B$6:$B$420,$M1903))</f>
        <v/>
      </c>
      <c r="E1903" s="61" t="str">
        <f aca="false">IF($M1903=0,"",INDEX(Classes!$C$6:$C$420,$M1903))</f>
        <v/>
      </c>
      <c r="F1903" s="63"/>
      <c r="G1903" s="63"/>
      <c r="H1903" s="60"/>
      <c r="I1903" s="60"/>
      <c r="J1903" s="63"/>
      <c r="K1903" s="61" t="str">
        <f aca="false">IF($P1903=0,"",IF($F1903="Baseline","— Baseline",IF($O1903=0,"No result",IF($N1903=0,"No Start (attainment only)",IF(OR($N1903=1,$O1903=1),"U – needs rule",INDEX(MxBody,MATCH($I1903,MxCurr,0),MATCH($H1903,MxStart,0)))))))</f>
        <v/>
      </c>
      <c r="L1903" s="62" t="str">
        <f aca="false">IF(COUNTA($A1903,$F1903,$G1903,$H1903,$I1903,$J1903)=0,"",IF($M1903=0,"✖ كود الصف غير موجود",IF(ISNA(MATCH($F1903,Lists!$A$2:$A$5,0)),"✖ الفترة غير صحيحة",IF(ISNA(MATCH($G1903,Lists!$B$2:$B$7,0)),"✖ المجموعة غير صحيحة",IF(NOT(OR($H1903="",$N1903&gt;0)),"✖ Start غير صحيح",IF(NOT(OR($I1903="",$I1903="NR",$O1903&gt;0)),"✖ Current غير صحيح",IF(NOT(IF(ISNUMBER($J1903),AND($J1903&gt;=0,$J1903=INT($J1903)),FALSE())),"✖ العدد يجب أن يكون صحيحًا ≥ 0",IF(AND($F1903="Baseline",$H1903&lt;&gt;""),"⚠ Baseline: Start لا يدخل في التقدم",IF($K1903="No Start (attainment only)","ℹ تحصيل فقط (بدون Start)",IF($K1903="U – needs rule","ℹ حالة U تحتاج قاعدة معتمدة",IF($K1903="No result","ℹ بدون نتيجة (يُستبعد من التحصيل)","OK")))))))))))</f>
        <v/>
      </c>
      <c r="M1903" s="64" t="n">
        <f aca="false">IF($A1903="",0,IFERROR(MATCH($A1903,Classes!$A$6:$A$420,0),0))</f>
        <v>0</v>
      </c>
      <c r="N1903" s="64" t="n">
        <f aca="false">IF($H1903="",0,IFERROR(MATCH($H1903,GradeList,0),0))</f>
        <v>0</v>
      </c>
      <c r="O1903" s="64" t="n">
        <f aca="false">IF(OR($I1903="",$I1903="NR"),0,IFERROR(MATCH($I1903,GradeList,0),0))</f>
        <v>0</v>
      </c>
      <c r="P1903" s="64" t="n">
        <f aca="false">IF(AND($M1903&gt;0,ISNUMBER(MATCH($F1903,Lists!$A$2:$A$5,0)),ISNUMBER(MATCH($G1903,Lists!$B$2:$B$7,0)),OR($H1903="",$N1903&gt;0),OR($I1903="",$I1903="NR",$O1903&gt;0),IF(ISNUMBER($J1903),AND($J1903&gt;=0,$J1903=INT($J1903)),FALSE())),$J1903,0)</f>
        <v>0</v>
      </c>
      <c r="Q1903" s="64" t="n">
        <f aca="false">IF(AND($P1903&gt;0,$O1903&gt;0),$P1903,0)</f>
        <v>0</v>
      </c>
      <c r="R1903" s="64" t="n">
        <f aca="false">IF(AND($Q1903&gt;0,$O1903&gt;=AtRank),$Q1903,0)</f>
        <v>0</v>
      </c>
      <c r="S1903" s="64" t="n">
        <f aca="false">IF(AND($Q1903&gt;0,$O1903&gt;=AboveRank),$Q1903,0)</f>
        <v>0</v>
      </c>
      <c r="T1903" s="64" t="n">
        <f aca="false">IF($K1903="Less",$P1903,0)</f>
        <v>0</v>
      </c>
      <c r="U1903" s="64" t="n">
        <f aca="false">IF($K1903="Expected",$P1903,0)</f>
        <v>0</v>
      </c>
      <c r="V1903" s="64" t="n">
        <f aca="false">IF($K1903="Better",$P1903,0)</f>
        <v>0</v>
      </c>
      <c r="W1903" s="64" t="n">
        <f aca="false">IF($K1903="U – needs rule",$P1903,0)</f>
        <v>0</v>
      </c>
      <c r="X1903" s="64" t="n">
        <f aca="false">IF($K1903="No Start (attainment only)",$P1903,0)</f>
        <v>0</v>
      </c>
    </row>
    <row r="1904" customFormat="false" ht="15" hidden="false" customHeight="false" outlineLevel="0" collapsed="false">
      <c r="A1904" s="60"/>
      <c r="B1904" s="61" t="str">
        <f aca="false">IF($M1904=0,"",INDEX(Classes!$E$6:$E$420,$M1904))</f>
        <v/>
      </c>
      <c r="C1904" s="62" t="str">
        <f aca="false">IF($M1904=0,"",INDEX(Classes!$H$6:$H$420,$M1904))</f>
        <v/>
      </c>
      <c r="D1904" s="61" t="str">
        <f aca="false">IF($M1904=0,"",INDEX(Classes!$B$6:$B$420,$M1904))</f>
        <v/>
      </c>
      <c r="E1904" s="61" t="str">
        <f aca="false">IF($M1904=0,"",INDEX(Classes!$C$6:$C$420,$M1904))</f>
        <v/>
      </c>
      <c r="F1904" s="63"/>
      <c r="G1904" s="63"/>
      <c r="H1904" s="60"/>
      <c r="I1904" s="60"/>
      <c r="J1904" s="63"/>
      <c r="K1904" s="61" t="str">
        <f aca="false">IF($P1904=0,"",IF($F1904="Baseline","— Baseline",IF($O1904=0,"No result",IF($N1904=0,"No Start (attainment only)",IF(OR($N1904=1,$O1904=1),"U – needs rule",INDEX(MxBody,MATCH($I1904,MxCurr,0),MATCH($H1904,MxStart,0)))))))</f>
        <v/>
      </c>
      <c r="L1904" s="62" t="str">
        <f aca="false">IF(COUNTA($A1904,$F1904,$G1904,$H1904,$I1904,$J1904)=0,"",IF($M1904=0,"✖ كود الصف غير موجود",IF(ISNA(MATCH($F1904,Lists!$A$2:$A$5,0)),"✖ الفترة غير صحيحة",IF(ISNA(MATCH($G1904,Lists!$B$2:$B$7,0)),"✖ المجموعة غير صحيحة",IF(NOT(OR($H1904="",$N1904&gt;0)),"✖ Start غير صحيح",IF(NOT(OR($I1904="",$I1904="NR",$O1904&gt;0)),"✖ Current غير صحيح",IF(NOT(IF(ISNUMBER($J1904),AND($J1904&gt;=0,$J1904=INT($J1904)),FALSE())),"✖ العدد يجب أن يكون صحيحًا ≥ 0",IF(AND($F1904="Baseline",$H1904&lt;&gt;""),"⚠ Baseline: Start لا يدخل في التقدم",IF($K1904="No Start (attainment only)","ℹ تحصيل فقط (بدون Start)",IF($K1904="U – needs rule","ℹ حالة U تحتاج قاعدة معتمدة",IF($K1904="No result","ℹ بدون نتيجة (يُستبعد من التحصيل)","OK")))))))))))</f>
        <v/>
      </c>
      <c r="M1904" s="64" t="n">
        <f aca="false">IF($A1904="",0,IFERROR(MATCH($A1904,Classes!$A$6:$A$420,0),0))</f>
        <v>0</v>
      </c>
      <c r="N1904" s="64" t="n">
        <f aca="false">IF($H1904="",0,IFERROR(MATCH($H1904,GradeList,0),0))</f>
        <v>0</v>
      </c>
      <c r="O1904" s="64" t="n">
        <f aca="false">IF(OR($I1904="",$I1904="NR"),0,IFERROR(MATCH($I1904,GradeList,0),0))</f>
        <v>0</v>
      </c>
      <c r="P1904" s="64" t="n">
        <f aca="false">IF(AND($M1904&gt;0,ISNUMBER(MATCH($F1904,Lists!$A$2:$A$5,0)),ISNUMBER(MATCH($G1904,Lists!$B$2:$B$7,0)),OR($H1904="",$N1904&gt;0),OR($I1904="",$I1904="NR",$O1904&gt;0),IF(ISNUMBER($J1904),AND($J1904&gt;=0,$J1904=INT($J1904)),FALSE())),$J1904,0)</f>
        <v>0</v>
      </c>
      <c r="Q1904" s="64" t="n">
        <f aca="false">IF(AND($P1904&gt;0,$O1904&gt;0),$P1904,0)</f>
        <v>0</v>
      </c>
      <c r="R1904" s="64" t="n">
        <f aca="false">IF(AND($Q1904&gt;0,$O1904&gt;=AtRank),$Q1904,0)</f>
        <v>0</v>
      </c>
      <c r="S1904" s="64" t="n">
        <f aca="false">IF(AND($Q1904&gt;0,$O1904&gt;=AboveRank),$Q1904,0)</f>
        <v>0</v>
      </c>
      <c r="T1904" s="64" t="n">
        <f aca="false">IF($K1904="Less",$P1904,0)</f>
        <v>0</v>
      </c>
      <c r="U1904" s="64" t="n">
        <f aca="false">IF($K1904="Expected",$P1904,0)</f>
        <v>0</v>
      </c>
      <c r="V1904" s="64" t="n">
        <f aca="false">IF($K1904="Better",$P1904,0)</f>
        <v>0</v>
      </c>
      <c r="W1904" s="64" t="n">
        <f aca="false">IF($K1904="U – needs rule",$P1904,0)</f>
        <v>0</v>
      </c>
      <c r="X1904" s="64" t="n">
        <f aca="false">IF($K1904="No Start (attainment only)",$P1904,0)</f>
        <v>0</v>
      </c>
    </row>
    <row r="1905" customFormat="false" ht="15" hidden="false" customHeight="false" outlineLevel="0" collapsed="false">
      <c r="A1905" s="60"/>
      <c r="B1905" s="61" t="str">
        <f aca="false">IF($M1905=0,"",INDEX(Classes!$E$6:$E$420,$M1905))</f>
        <v/>
      </c>
      <c r="C1905" s="62" t="str">
        <f aca="false">IF($M1905=0,"",INDEX(Classes!$H$6:$H$420,$M1905))</f>
        <v/>
      </c>
      <c r="D1905" s="61" t="str">
        <f aca="false">IF($M1905=0,"",INDEX(Classes!$B$6:$B$420,$M1905))</f>
        <v/>
      </c>
      <c r="E1905" s="61" t="str">
        <f aca="false">IF($M1905=0,"",INDEX(Classes!$C$6:$C$420,$M1905))</f>
        <v/>
      </c>
      <c r="F1905" s="63"/>
      <c r="G1905" s="63"/>
      <c r="H1905" s="60"/>
      <c r="I1905" s="60"/>
      <c r="J1905" s="63"/>
      <c r="K1905" s="61" t="str">
        <f aca="false">IF($P1905=0,"",IF($F1905="Baseline","— Baseline",IF($O1905=0,"No result",IF($N1905=0,"No Start (attainment only)",IF(OR($N1905=1,$O1905=1),"U – needs rule",INDEX(MxBody,MATCH($I1905,MxCurr,0),MATCH($H1905,MxStart,0)))))))</f>
        <v/>
      </c>
      <c r="L1905" s="62" t="str">
        <f aca="false">IF(COUNTA($A1905,$F1905,$G1905,$H1905,$I1905,$J1905)=0,"",IF($M1905=0,"✖ كود الصف غير موجود",IF(ISNA(MATCH($F1905,Lists!$A$2:$A$5,0)),"✖ الفترة غير صحيحة",IF(ISNA(MATCH($G1905,Lists!$B$2:$B$7,0)),"✖ المجموعة غير صحيحة",IF(NOT(OR($H1905="",$N1905&gt;0)),"✖ Start غير صحيح",IF(NOT(OR($I1905="",$I1905="NR",$O1905&gt;0)),"✖ Current غير صحيح",IF(NOT(IF(ISNUMBER($J1905),AND($J1905&gt;=0,$J1905=INT($J1905)),FALSE())),"✖ العدد يجب أن يكون صحيحًا ≥ 0",IF(AND($F1905="Baseline",$H1905&lt;&gt;""),"⚠ Baseline: Start لا يدخل في التقدم",IF($K1905="No Start (attainment only)","ℹ تحصيل فقط (بدون Start)",IF($K1905="U – needs rule","ℹ حالة U تحتاج قاعدة معتمدة",IF($K1905="No result","ℹ بدون نتيجة (يُستبعد من التحصيل)","OK")))))))))))</f>
        <v/>
      </c>
      <c r="M1905" s="64" t="n">
        <f aca="false">IF($A1905="",0,IFERROR(MATCH($A1905,Classes!$A$6:$A$420,0),0))</f>
        <v>0</v>
      </c>
      <c r="N1905" s="64" t="n">
        <f aca="false">IF($H1905="",0,IFERROR(MATCH($H1905,GradeList,0),0))</f>
        <v>0</v>
      </c>
      <c r="O1905" s="64" t="n">
        <f aca="false">IF(OR($I1905="",$I1905="NR"),0,IFERROR(MATCH($I1905,GradeList,0),0))</f>
        <v>0</v>
      </c>
      <c r="P1905" s="64" t="n">
        <f aca="false">IF(AND($M1905&gt;0,ISNUMBER(MATCH($F1905,Lists!$A$2:$A$5,0)),ISNUMBER(MATCH($G1905,Lists!$B$2:$B$7,0)),OR($H1905="",$N1905&gt;0),OR($I1905="",$I1905="NR",$O1905&gt;0),IF(ISNUMBER($J1905),AND($J1905&gt;=0,$J1905=INT($J1905)),FALSE())),$J1905,0)</f>
        <v>0</v>
      </c>
      <c r="Q1905" s="64" t="n">
        <f aca="false">IF(AND($P1905&gt;0,$O1905&gt;0),$P1905,0)</f>
        <v>0</v>
      </c>
      <c r="R1905" s="64" t="n">
        <f aca="false">IF(AND($Q1905&gt;0,$O1905&gt;=AtRank),$Q1905,0)</f>
        <v>0</v>
      </c>
      <c r="S1905" s="64" t="n">
        <f aca="false">IF(AND($Q1905&gt;0,$O1905&gt;=AboveRank),$Q1905,0)</f>
        <v>0</v>
      </c>
      <c r="T1905" s="64" t="n">
        <f aca="false">IF($K1905="Less",$P1905,0)</f>
        <v>0</v>
      </c>
      <c r="U1905" s="64" t="n">
        <f aca="false">IF($K1905="Expected",$P1905,0)</f>
        <v>0</v>
      </c>
      <c r="V1905" s="64" t="n">
        <f aca="false">IF($K1905="Better",$P1905,0)</f>
        <v>0</v>
      </c>
      <c r="W1905" s="64" t="n">
        <f aca="false">IF($K1905="U – needs rule",$P1905,0)</f>
        <v>0</v>
      </c>
      <c r="X1905" s="64" t="n">
        <f aca="false">IF($K1905="No Start (attainment only)",$P1905,0)</f>
        <v>0</v>
      </c>
    </row>
    <row r="1906" customFormat="false" ht="15" hidden="false" customHeight="false" outlineLevel="0" collapsed="false">
      <c r="A1906" s="60"/>
      <c r="B1906" s="61" t="str">
        <f aca="false">IF($M1906=0,"",INDEX(Classes!$E$6:$E$420,$M1906))</f>
        <v/>
      </c>
      <c r="C1906" s="62" t="str">
        <f aca="false">IF($M1906=0,"",INDEX(Classes!$H$6:$H$420,$M1906))</f>
        <v/>
      </c>
      <c r="D1906" s="61" t="str">
        <f aca="false">IF($M1906=0,"",INDEX(Classes!$B$6:$B$420,$M1906))</f>
        <v/>
      </c>
      <c r="E1906" s="61" t="str">
        <f aca="false">IF($M1906=0,"",INDEX(Classes!$C$6:$C$420,$M1906))</f>
        <v/>
      </c>
      <c r="F1906" s="63"/>
      <c r="G1906" s="63"/>
      <c r="H1906" s="60"/>
      <c r="I1906" s="60"/>
      <c r="J1906" s="63"/>
      <c r="K1906" s="61" t="str">
        <f aca="false">IF($P1906=0,"",IF($F1906="Baseline","— Baseline",IF($O1906=0,"No result",IF($N1906=0,"No Start (attainment only)",IF(OR($N1906=1,$O1906=1),"U – needs rule",INDEX(MxBody,MATCH($I1906,MxCurr,0),MATCH($H1906,MxStart,0)))))))</f>
        <v/>
      </c>
      <c r="L1906" s="62" t="str">
        <f aca="false">IF(COUNTA($A1906,$F1906,$G1906,$H1906,$I1906,$J1906)=0,"",IF($M1906=0,"✖ كود الصف غير موجود",IF(ISNA(MATCH($F1906,Lists!$A$2:$A$5,0)),"✖ الفترة غير صحيحة",IF(ISNA(MATCH($G1906,Lists!$B$2:$B$7,0)),"✖ المجموعة غير صحيحة",IF(NOT(OR($H1906="",$N1906&gt;0)),"✖ Start غير صحيح",IF(NOT(OR($I1906="",$I1906="NR",$O1906&gt;0)),"✖ Current غير صحيح",IF(NOT(IF(ISNUMBER($J1906),AND($J1906&gt;=0,$J1906=INT($J1906)),FALSE())),"✖ العدد يجب أن يكون صحيحًا ≥ 0",IF(AND($F1906="Baseline",$H1906&lt;&gt;""),"⚠ Baseline: Start لا يدخل في التقدم",IF($K1906="No Start (attainment only)","ℹ تحصيل فقط (بدون Start)",IF($K1906="U – needs rule","ℹ حالة U تحتاج قاعدة معتمدة",IF($K1906="No result","ℹ بدون نتيجة (يُستبعد من التحصيل)","OK")))))))))))</f>
        <v/>
      </c>
      <c r="M1906" s="64" t="n">
        <f aca="false">IF($A1906="",0,IFERROR(MATCH($A1906,Classes!$A$6:$A$420,0),0))</f>
        <v>0</v>
      </c>
      <c r="N1906" s="64" t="n">
        <f aca="false">IF($H1906="",0,IFERROR(MATCH($H1906,GradeList,0),0))</f>
        <v>0</v>
      </c>
      <c r="O1906" s="64" t="n">
        <f aca="false">IF(OR($I1906="",$I1906="NR"),0,IFERROR(MATCH($I1906,GradeList,0),0))</f>
        <v>0</v>
      </c>
      <c r="P1906" s="64" t="n">
        <f aca="false">IF(AND($M1906&gt;0,ISNUMBER(MATCH($F1906,Lists!$A$2:$A$5,0)),ISNUMBER(MATCH($G1906,Lists!$B$2:$B$7,0)),OR($H1906="",$N1906&gt;0),OR($I1906="",$I1906="NR",$O1906&gt;0),IF(ISNUMBER($J1906),AND($J1906&gt;=0,$J1906=INT($J1906)),FALSE())),$J1906,0)</f>
        <v>0</v>
      </c>
      <c r="Q1906" s="64" t="n">
        <f aca="false">IF(AND($P1906&gt;0,$O1906&gt;0),$P1906,0)</f>
        <v>0</v>
      </c>
      <c r="R1906" s="64" t="n">
        <f aca="false">IF(AND($Q1906&gt;0,$O1906&gt;=AtRank),$Q1906,0)</f>
        <v>0</v>
      </c>
      <c r="S1906" s="64" t="n">
        <f aca="false">IF(AND($Q1906&gt;0,$O1906&gt;=AboveRank),$Q1906,0)</f>
        <v>0</v>
      </c>
      <c r="T1906" s="64" t="n">
        <f aca="false">IF($K1906="Less",$P1906,0)</f>
        <v>0</v>
      </c>
      <c r="U1906" s="64" t="n">
        <f aca="false">IF($K1906="Expected",$P1906,0)</f>
        <v>0</v>
      </c>
      <c r="V1906" s="64" t="n">
        <f aca="false">IF($K1906="Better",$P1906,0)</f>
        <v>0</v>
      </c>
      <c r="W1906" s="64" t="n">
        <f aca="false">IF($K1906="U – needs rule",$P1906,0)</f>
        <v>0</v>
      </c>
      <c r="X1906" s="64" t="n">
        <f aca="false">IF($K1906="No Start (attainment only)",$P1906,0)</f>
        <v>0</v>
      </c>
    </row>
    <row r="1907" customFormat="false" ht="15" hidden="false" customHeight="false" outlineLevel="0" collapsed="false">
      <c r="A1907" s="60"/>
      <c r="B1907" s="61" t="str">
        <f aca="false">IF($M1907=0,"",INDEX(Classes!$E$6:$E$420,$M1907))</f>
        <v/>
      </c>
      <c r="C1907" s="62" t="str">
        <f aca="false">IF($M1907=0,"",INDEX(Classes!$H$6:$H$420,$M1907))</f>
        <v/>
      </c>
      <c r="D1907" s="61" t="str">
        <f aca="false">IF($M1907=0,"",INDEX(Classes!$B$6:$B$420,$M1907))</f>
        <v/>
      </c>
      <c r="E1907" s="61" t="str">
        <f aca="false">IF($M1907=0,"",INDEX(Classes!$C$6:$C$420,$M1907))</f>
        <v/>
      </c>
      <c r="F1907" s="63"/>
      <c r="G1907" s="63"/>
      <c r="H1907" s="60"/>
      <c r="I1907" s="60"/>
      <c r="J1907" s="63"/>
      <c r="K1907" s="61" t="str">
        <f aca="false">IF($P1907=0,"",IF($F1907="Baseline","— Baseline",IF($O1907=0,"No result",IF($N1907=0,"No Start (attainment only)",IF(OR($N1907=1,$O1907=1),"U – needs rule",INDEX(MxBody,MATCH($I1907,MxCurr,0),MATCH($H1907,MxStart,0)))))))</f>
        <v/>
      </c>
      <c r="L1907" s="62" t="str">
        <f aca="false">IF(COUNTA($A1907,$F1907,$G1907,$H1907,$I1907,$J1907)=0,"",IF($M1907=0,"✖ كود الصف غير موجود",IF(ISNA(MATCH($F1907,Lists!$A$2:$A$5,0)),"✖ الفترة غير صحيحة",IF(ISNA(MATCH($G1907,Lists!$B$2:$B$7,0)),"✖ المجموعة غير صحيحة",IF(NOT(OR($H1907="",$N1907&gt;0)),"✖ Start غير صحيح",IF(NOT(OR($I1907="",$I1907="NR",$O1907&gt;0)),"✖ Current غير صحيح",IF(NOT(IF(ISNUMBER($J1907),AND($J1907&gt;=0,$J1907=INT($J1907)),FALSE())),"✖ العدد يجب أن يكون صحيحًا ≥ 0",IF(AND($F1907="Baseline",$H1907&lt;&gt;""),"⚠ Baseline: Start لا يدخل في التقدم",IF($K1907="No Start (attainment only)","ℹ تحصيل فقط (بدون Start)",IF($K1907="U – needs rule","ℹ حالة U تحتاج قاعدة معتمدة",IF($K1907="No result","ℹ بدون نتيجة (يُستبعد من التحصيل)","OK")))))))))))</f>
        <v/>
      </c>
      <c r="M1907" s="64" t="n">
        <f aca="false">IF($A1907="",0,IFERROR(MATCH($A1907,Classes!$A$6:$A$420,0),0))</f>
        <v>0</v>
      </c>
      <c r="N1907" s="64" t="n">
        <f aca="false">IF($H1907="",0,IFERROR(MATCH($H1907,GradeList,0),0))</f>
        <v>0</v>
      </c>
      <c r="O1907" s="64" t="n">
        <f aca="false">IF(OR($I1907="",$I1907="NR"),0,IFERROR(MATCH($I1907,GradeList,0),0))</f>
        <v>0</v>
      </c>
      <c r="P1907" s="64" t="n">
        <f aca="false">IF(AND($M1907&gt;0,ISNUMBER(MATCH($F1907,Lists!$A$2:$A$5,0)),ISNUMBER(MATCH($G1907,Lists!$B$2:$B$7,0)),OR($H1907="",$N1907&gt;0),OR($I1907="",$I1907="NR",$O1907&gt;0),IF(ISNUMBER($J1907),AND($J1907&gt;=0,$J1907=INT($J1907)),FALSE())),$J1907,0)</f>
        <v>0</v>
      </c>
      <c r="Q1907" s="64" t="n">
        <f aca="false">IF(AND($P1907&gt;0,$O1907&gt;0),$P1907,0)</f>
        <v>0</v>
      </c>
      <c r="R1907" s="64" t="n">
        <f aca="false">IF(AND($Q1907&gt;0,$O1907&gt;=AtRank),$Q1907,0)</f>
        <v>0</v>
      </c>
      <c r="S1907" s="64" t="n">
        <f aca="false">IF(AND($Q1907&gt;0,$O1907&gt;=AboveRank),$Q1907,0)</f>
        <v>0</v>
      </c>
      <c r="T1907" s="64" t="n">
        <f aca="false">IF($K1907="Less",$P1907,0)</f>
        <v>0</v>
      </c>
      <c r="U1907" s="64" t="n">
        <f aca="false">IF($K1907="Expected",$P1907,0)</f>
        <v>0</v>
      </c>
      <c r="V1907" s="64" t="n">
        <f aca="false">IF($K1907="Better",$P1907,0)</f>
        <v>0</v>
      </c>
      <c r="W1907" s="64" t="n">
        <f aca="false">IF($K1907="U – needs rule",$P1907,0)</f>
        <v>0</v>
      </c>
      <c r="X1907" s="64" t="n">
        <f aca="false">IF($K1907="No Start (attainment only)",$P1907,0)</f>
        <v>0</v>
      </c>
    </row>
    <row r="1908" customFormat="false" ht="15" hidden="false" customHeight="false" outlineLevel="0" collapsed="false">
      <c r="A1908" s="60"/>
      <c r="B1908" s="61" t="str">
        <f aca="false">IF($M1908=0,"",INDEX(Classes!$E$6:$E$420,$M1908))</f>
        <v/>
      </c>
      <c r="C1908" s="62" t="str">
        <f aca="false">IF($M1908=0,"",INDEX(Classes!$H$6:$H$420,$M1908))</f>
        <v/>
      </c>
      <c r="D1908" s="61" t="str">
        <f aca="false">IF($M1908=0,"",INDEX(Classes!$B$6:$B$420,$M1908))</f>
        <v/>
      </c>
      <c r="E1908" s="61" t="str">
        <f aca="false">IF($M1908=0,"",INDEX(Classes!$C$6:$C$420,$M1908))</f>
        <v/>
      </c>
      <c r="F1908" s="63"/>
      <c r="G1908" s="63"/>
      <c r="H1908" s="60"/>
      <c r="I1908" s="60"/>
      <c r="J1908" s="63"/>
      <c r="K1908" s="61" t="str">
        <f aca="false">IF($P1908=0,"",IF($F1908="Baseline","— Baseline",IF($O1908=0,"No result",IF($N1908=0,"No Start (attainment only)",IF(OR($N1908=1,$O1908=1),"U – needs rule",INDEX(MxBody,MATCH($I1908,MxCurr,0),MATCH($H1908,MxStart,0)))))))</f>
        <v/>
      </c>
      <c r="L1908" s="62" t="str">
        <f aca="false">IF(COUNTA($A1908,$F1908,$G1908,$H1908,$I1908,$J1908)=0,"",IF($M1908=0,"✖ كود الصف غير موجود",IF(ISNA(MATCH($F1908,Lists!$A$2:$A$5,0)),"✖ الفترة غير صحيحة",IF(ISNA(MATCH($G1908,Lists!$B$2:$B$7,0)),"✖ المجموعة غير صحيحة",IF(NOT(OR($H1908="",$N1908&gt;0)),"✖ Start غير صحيح",IF(NOT(OR($I1908="",$I1908="NR",$O1908&gt;0)),"✖ Current غير صحيح",IF(NOT(IF(ISNUMBER($J1908),AND($J1908&gt;=0,$J1908=INT($J1908)),FALSE())),"✖ العدد يجب أن يكون صحيحًا ≥ 0",IF(AND($F1908="Baseline",$H1908&lt;&gt;""),"⚠ Baseline: Start لا يدخل في التقدم",IF($K1908="No Start (attainment only)","ℹ تحصيل فقط (بدون Start)",IF($K1908="U – needs rule","ℹ حالة U تحتاج قاعدة معتمدة",IF($K1908="No result","ℹ بدون نتيجة (يُستبعد من التحصيل)","OK")))))))))))</f>
        <v/>
      </c>
      <c r="M1908" s="64" t="n">
        <f aca="false">IF($A1908="",0,IFERROR(MATCH($A1908,Classes!$A$6:$A$420,0),0))</f>
        <v>0</v>
      </c>
      <c r="N1908" s="64" t="n">
        <f aca="false">IF($H1908="",0,IFERROR(MATCH($H1908,GradeList,0),0))</f>
        <v>0</v>
      </c>
      <c r="O1908" s="64" t="n">
        <f aca="false">IF(OR($I1908="",$I1908="NR"),0,IFERROR(MATCH($I1908,GradeList,0),0))</f>
        <v>0</v>
      </c>
      <c r="P1908" s="64" t="n">
        <f aca="false">IF(AND($M1908&gt;0,ISNUMBER(MATCH($F1908,Lists!$A$2:$A$5,0)),ISNUMBER(MATCH($G1908,Lists!$B$2:$B$7,0)),OR($H1908="",$N1908&gt;0),OR($I1908="",$I1908="NR",$O1908&gt;0),IF(ISNUMBER($J1908),AND($J1908&gt;=0,$J1908=INT($J1908)),FALSE())),$J1908,0)</f>
        <v>0</v>
      </c>
      <c r="Q1908" s="64" t="n">
        <f aca="false">IF(AND($P1908&gt;0,$O1908&gt;0),$P1908,0)</f>
        <v>0</v>
      </c>
      <c r="R1908" s="64" t="n">
        <f aca="false">IF(AND($Q1908&gt;0,$O1908&gt;=AtRank),$Q1908,0)</f>
        <v>0</v>
      </c>
      <c r="S1908" s="64" t="n">
        <f aca="false">IF(AND($Q1908&gt;0,$O1908&gt;=AboveRank),$Q1908,0)</f>
        <v>0</v>
      </c>
      <c r="T1908" s="64" t="n">
        <f aca="false">IF($K1908="Less",$P1908,0)</f>
        <v>0</v>
      </c>
      <c r="U1908" s="64" t="n">
        <f aca="false">IF($K1908="Expected",$P1908,0)</f>
        <v>0</v>
      </c>
      <c r="V1908" s="64" t="n">
        <f aca="false">IF($K1908="Better",$P1908,0)</f>
        <v>0</v>
      </c>
      <c r="W1908" s="64" t="n">
        <f aca="false">IF($K1908="U – needs rule",$P1908,0)</f>
        <v>0</v>
      </c>
      <c r="X1908" s="64" t="n">
        <f aca="false">IF($K1908="No Start (attainment only)",$P1908,0)</f>
        <v>0</v>
      </c>
    </row>
    <row r="1909" customFormat="false" ht="15" hidden="false" customHeight="false" outlineLevel="0" collapsed="false">
      <c r="A1909" s="60"/>
      <c r="B1909" s="61" t="str">
        <f aca="false">IF($M1909=0,"",INDEX(Classes!$E$6:$E$420,$M1909))</f>
        <v/>
      </c>
      <c r="C1909" s="62" t="str">
        <f aca="false">IF($M1909=0,"",INDEX(Classes!$H$6:$H$420,$M1909))</f>
        <v/>
      </c>
      <c r="D1909" s="61" t="str">
        <f aca="false">IF($M1909=0,"",INDEX(Classes!$B$6:$B$420,$M1909))</f>
        <v/>
      </c>
      <c r="E1909" s="61" t="str">
        <f aca="false">IF($M1909=0,"",INDEX(Classes!$C$6:$C$420,$M1909))</f>
        <v/>
      </c>
      <c r="F1909" s="63"/>
      <c r="G1909" s="63"/>
      <c r="H1909" s="60"/>
      <c r="I1909" s="60"/>
      <c r="J1909" s="63"/>
      <c r="K1909" s="61" t="str">
        <f aca="false">IF($P1909=0,"",IF($F1909="Baseline","— Baseline",IF($O1909=0,"No result",IF($N1909=0,"No Start (attainment only)",IF(OR($N1909=1,$O1909=1),"U – needs rule",INDEX(MxBody,MATCH($I1909,MxCurr,0),MATCH($H1909,MxStart,0)))))))</f>
        <v/>
      </c>
      <c r="L1909" s="62" t="str">
        <f aca="false">IF(COUNTA($A1909,$F1909,$G1909,$H1909,$I1909,$J1909)=0,"",IF($M1909=0,"✖ كود الصف غير موجود",IF(ISNA(MATCH($F1909,Lists!$A$2:$A$5,0)),"✖ الفترة غير صحيحة",IF(ISNA(MATCH($G1909,Lists!$B$2:$B$7,0)),"✖ المجموعة غير صحيحة",IF(NOT(OR($H1909="",$N1909&gt;0)),"✖ Start غير صحيح",IF(NOT(OR($I1909="",$I1909="NR",$O1909&gt;0)),"✖ Current غير صحيح",IF(NOT(IF(ISNUMBER($J1909),AND($J1909&gt;=0,$J1909=INT($J1909)),FALSE())),"✖ العدد يجب أن يكون صحيحًا ≥ 0",IF(AND($F1909="Baseline",$H1909&lt;&gt;""),"⚠ Baseline: Start لا يدخل في التقدم",IF($K1909="No Start (attainment only)","ℹ تحصيل فقط (بدون Start)",IF($K1909="U – needs rule","ℹ حالة U تحتاج قاعدة معتمدة",IF($K1909="No result","ℹ بدون نتيجة (يُستبعد من التحصيل)","OK")))))))))))</f>
        <v/>
      </c>
      <c r="M1909" s="64" t="n">
        <f aca="false">IF($A1909="",0,IFERROR(MATCH($A1909,Classes!$A$6:$A$420,0),0))</f>
        <v>0</v>
      </c>
      <c r="N1909" s="64" t="n">
        <f aca="false">IF($H1909="",0,IFERROR(MATCH($H1909,GradeList,0),0))</f>
        <v>0</v>
      </c>
      <c r="O1909" s="64" t="n">
        <f aca="false">IF(OR($I1909="",$I1909="NR"),0,IFERROR(MATCH($I1909,GradeList,0),0))</f>
        <v>0</v>
      </c>
      <c r="P1909" s="64" t="n">
        <f aca="false">IF(AND($M1909&gt;0,ISNUMBER(MATCH($F1909,Lists!$A$2:$A$5,0)),ISNUMBER(MATCH($G1909,Lists!$B$2:$B$7,0)),OR($H1909="",$N1909&gt;0),OR($I1909="",$I1909="NR",$O1909&gt;0),IF(ISNUMBER($J1909),AND($J1909&gt;=0,$J1909=INT($J1909)),FALSE())),$J1909,0)</f>
        <v>0</v>
      </c>
      <c r="Q1909" s="64" t="n">
        <f aca="false">IF(AND($P1909&gt;0,$O1909&gt;0),$P1909,0)</f>
        <v>0</v>
      </c>
      <c r="R1909" s="64" t="n">
        <f aca="false">IF(AND($Q1909&gt;0,$O1909&gt;=AtRank),$Q1909,0)</f>
        <v>0</v>
      </c>
      <c r="S1909" s="64" t="n">
        <f aca="false">IF(AND($Q1909&gt;0,$O1909&gt;=AboveRank),$Q1909,0)</f>
        <v>0</v>
      </c>
      <c r="T1909" s="64" t="n">
        <f aca="false">IF($K1909="Less",$P1909,0)</f>
        <v>0</v>
      </c>
      <c r="U1909" s="64" t="n">
        <f aca="false">IF($K1909="Expected",$P1909,0)</f>
        <v>0</v>
      </c>
      <c r="V1909" s="64" t="n">
        <f aca="false">IF($K1909="Better",$P1909,0)</f>
        <v>0</v>
      </c>
      <c r="W1909" s="64" t="n">
        <f aca="false">IF($K1909="U – needs rule",$P1909,0)</f>
        <v>0</v>
      </c>
      <c r="X1909" s="64" t="n">
        <f aca="false">IF($K1909="No Start (attainment only)",$P1909,0)</f>
        <v>0</v>
      </c>
    </row>
    <row r="1910" customFormat="false" ht="15" hidden="false" customHeight="false" outlineLevel="0" collapsed="false">
      <c r="A1910" s="60"/>
      <c r="B1910" s="61" t="str">
        <f aca="false">IF($M1910=0,"",INDEX(Classes!$E$6:$E$420,$M1910))</f>
        <v/>
      </c>
      <c r="C1910" s="62" t="str">
        <f aca="false">IF($M1910=0,"",INDEX(Classes!$H$6:$H$420,$M1910))</f>
        <v/>
      </c>
      <c r="D1910" s="61" t="str">
        <f aca="false">IF($M1910=0,"",INDEX(Classes!$B$6:$B$420,$M1910))</f>
        <v/>
      </c>
      <c r="E1910" s="61" t="str">
        <f aca="false">IF($M1910=0,"",INDEX(Classes!$C$6:$C$420,$M1910))</f>
        <v/>
      </c>
      <c r="F1910" s="63"/>
      <c r="G1910" s="63"/>
      <c r="H1910" s="60"/>
      <c r="I1910" s="60"/>
      <c r="J1910" s="63"/>
      <c r="K1910" s="61" t="str">
        <f aca="false">IF($P1910=0,"",IF($F1910="Baseline","— Baseline",IF($O1910=0,"No result",IF($N1910=0,"No Start (attainment only)",IF(OR($N1910=1,$O1910=1),"U – needs rule",INDEX(MxBody,MATCH($I1910,MxCurr,0),MATCH($H1910,MxStart,0)))))))</f>
        <v/>
      </c>
      <c r="L1910" s="62" t="str">
        <f aca="false">IF(COUNTA($A1910,$F1910,$G1910,$H1910,$I1910,$J1910)=0,"",IF($M1910=0,"✖ كود الصف غير موجود",IF(ISNA(MATCH($F1910,Lists!$A$2:$A$5,0)),"✖ الفترة غير صحيحة",IF(ISNA(MATCH($G1910,Lists!$B$2:$B$7,0)),"✖ المجموعة غير صحيحة",IF(NOT(OR($H1910="",$N1910&gt;0)),"✖ Start غير صحيح",IF(NOT(OR($I1910="",$I1910="NR",$O1910&gt;0)),"✖ Current غير صحيح",IF(NOT(IF(ISNUMBER($J1910),AND($J1910&gt;=0,$J1910=INT($J1910)),FALSE())),"✖ العدد يجب أن يكون صحيحًا ≥ 0",IF(AND($F1910="Baseline",$H1910&lt;&gt;""),"⚠ Baseline: Start لا يدخل في التقدم",IF($K1910="No Start (attainment only)","ℹ تحصيل فقط (بدون Start)",IF($K1910="U – needs rule","ℹ حالة U تحتاج قاعدة معتمدة",IF($K1910="No result","ℹ بدون نتيجة (يُستبعد من التحصيل)","OK")))))))))))</f>
        <v/>
      </c>
      <c r="M1910" s="64" t="n">
        <f aca="false">IF($A1910="",0,IFERROR(MATCH($A1910,Classes!$A$6:$A$420,0),0))</f>
        <v>0</v>
      </c>
      <c r="N1910" s="64" t="n">
        <f aca="false">IF($H1910="",0,IFERROR(MATCH($H1910,GradeList,0),0))</f>
        <v>0</v>
      </c>
      <c r="O1910" s="64" t="n">
        <f aca="false">IF(OR($I1910="",$I1910="NR"),0,IFERROR(MATCH($I1910,GradeList,0),0))</f>
        <v>0</v>
      </c>
      <c r="P1910" s="64" t="n">
        <f aca="false">IF(AND($M1910&gt;0,ISNUMBER(MATCH($F1910,Lists!$A$2:$A$5,0)),ISNUMBER(MATCH($G1910,Lists!$B$2:$B$7,0)),OR($H1910="",$N1910&gt;0),OR($I1910="",$I1910="NR",$O1910&gt;0),IF(ISNUMBER($J1910),AND($J1910&gt;=0,$J1910=INT($J1910)),FALSE())),$J1910,0)</f>
        <v>0</v>
      </c>
      <c r="Q1910" s="64" t="n">
        <f aca="false">IF(AND($P1910&gt;0,$O1910&gt;0),$P1910,0)</f>
        <v>0</v>
      </c>
      <c r="R1910" s="64" t="n">
        <f aca="false">IF(AND($Q1910&gt;0,$O1910&gt;=AtRank),$Q1910,0)</f>
        <v>0</v>
      </c>
      <c r="S1910" s="64" t="n">
        <f aca="false">IF(AND($Q1910&gt;0,$O1910&gt;=AboveRank),$Q1910,0)</f>
        <v>0</v>
      </c>
      <c r="T1910" s="64" t="n">
        <f aca="false">IF($K1910="Less",$P1910,0)</f>
        <v>0</v>
      </c>
      <c r="U1910" s="64" t="n">
        <f aca="false">IF($K1910="Expected",$P1910,0)</f>
        <v>0</v>
      </c>
      <c r="V1910" s="64" t="n">
        <f aca="false">IF($K1910="Better",$P1910,0)</f>
        <v>0</v>
      </c>
      <c r="W1910" s="64" t="n">
        <f aca="false">IF($K1910="U – needs rule",$P1910,0)</f>
        <v>0</v>
      </c>
      <c r="X1910" s="64" t="n">
        <f aca="false">IF($K1910="No Start (attainment only)",$P1910,0)</f>
        <v>0</v>
      </c>
    </row>
    <row r="1911" customFormat="false" ht="15" hidden="false" customHeight="false" outlineLevel="0" collapsed="false">
      <c r="A1911" s="60"/>
      <c r="B1911" s="61" t="str">
        <f aca="false">IF($M1911=0,"",INDEX(Classes!$E$6:$E$420,$M1911))</f>
        <v/>
      </c>
      <c r="C1911" s="62" t="str">
        <f aca="false">IF($M1911=0,"",INDEX(Classes!$H$6:$H$420,$M1911))</f>
        <v/>
      </c>
      <c r="D1911" s="61" t="str">
        <f aca="false">IF($M1911=0,"",INDEX(Classes!$B$6:$B$420,$M1911))</f>
        <v/>
      </c>
      <c r="E1911" s="61" t="str">
        <f aca="false">IF($M1911=0,"",INDEX(Classes!$C$6:$C$420,$M1911))</f>
        <v/>
      </c>
      <c r="F1911" s="63"/>
      <c r="G1911" s="63"/>
      <c r="H1911" s="60"/>
      <c r="I1911" s="60"/>
      <c r="J1911" s="63"/>
      <c r="K1911" s="61" t="str">
        <f aca="false">IF($P1911=0,"",IF($F1911="Baseline","— Baseline",IF($O1911=0,"No result",IF($N1911=0,"No Start (attainment only)",IF(OR($N1911=1,$O1911=1),"U – needs rule",INDEX(MxBody,MATCH($I1911,MxCurr,0),MATCH($H1911,MxStart,0)))))))</f>
        <v/>
      </c>
      <c r="L1911" s="62" t="str">
        <f aca="false">IF(COUNTA($A1911,$F1911,$G1911,$H1911,$I1911,$J1911)=0,"",IF($M1911=0,"✖ كود الصف غير موجود",IF(ISNA(MATCH($F1911,Lists!$A$2:$A$5,0)),"✖ الفترة غير صحيحة",IF(ISNA(MATCH($G1911,Lists!$B$2:$B$7,0)),"✖ المجموعة غير صحيحة",IF(NOT(OR($H1911="",$N1911&gt;0)),"✖ Start غير صحيح",IF(NOT(OR($I1911="",$I1911="NR",$O1911&gt;0)),"✖ Current غير صحيح",IF(NOT(IF(ISNUMBER($J1911),AND($J1911&gt;=0,$J1911=INT($J1911)),FALSE())),"✖ العدد يجب أن يكون صحيحًا ≥ 0",IF(AND($F1911="Baseline",$H1911&lt;&gt;""),"⚠ Baseline: Start لا يدخل في التقدم",IF($K1911="No Start (attainment only)","ℹ تحصيل فقط (بدون Start)",IF($K1911="U – needs rule","ℹ حالة U تحتاج قاعدة معتمدة",IF($K1911="No result","ℹ بدون نتيجة (يُستبعد من التحصيل)","OK")))))))))))</f>
        <v/>
      </c>
      <c r="M1911" s="64" t="n">
        <f aca="false">IF($A1911="",0,IFERROR(MATCH($A1911,Classes!$A$6:$A$420,0),0))</f>
        <v>0</v>
      </c>
      <c r="N1911" s="64" t="n">
        <f aca="false">IF($H1911="",0,IFERROR(MATCH($H1911,GradeList,0),0))</f>
        <v>0</v>
      </c>
      <c r="O1911" s="64" t="n">
        <f aca="false">IF(OR($I1911="",$I1911="NR"),0,IFERROR(MATCH($I1911,GradeList,0),0))</f>
        <v>0</v>
      </c>
      <c r="P1911" s="64" t="n">
        <f aca="false">IF(AND($M1911&gt;0,ISNUMBER(MATCH($F1911,Lists!$A$2:$A$5,0)),ISNUMBER(MATCH($G1911,Lists!$B$2:$B$7,0)),OR($H1911="",$N1911&gt;0),OR($I1911="",$I1911="NR",$O1911&gt;0),IF(ISNUMBER($J1911),AND($J1911&gt;=0,$J1911=INT($J1911)),FALSE())),$J1911,0)</f>
        <v>0</v>
      </c>
      <c r="Q1911" s="64" t="n">
        <f aca="false">IF(AND($P1911&gt;0,$O1911&gt;0),$P1911,0)</f>
        <v>0</v>
      </c>
      <c r="R1911" s="64" t="n">
        <f aca="false">IF(AND($Q1911&gt;0,$O1911&gt;=AtRank),$Q1911,0)</f>
        <v>0</v>
      </c>
      <c r="S1911" s="64" t="n">
        <f aca="false">IF(AND($Q1911&gt;0,$O1911&gt;=AboveRank),$Q1911,0)</f>
        <v>0</v>
      </c>
      <c r="T1911" s="64" t="n">
        <f aca="false">IF($K1911="Less",$P1911,0)</f>
        <v>0</v>
      </c>
      <c r="U1911" s="64" t="n">
        <f aca="false">IF($K1911="Expected",$P1911,0)</f>
        <v>0</v>
      </c>
      <c r="V1911" s="64" t="n">
        <f aca="false">IF($K1911="Better",$P1911,0)</f>
        <v>0</v>
      </c>
      <c r="W1911" s="64" t="n">
        <f aca="false">IF($K1911="U – needs rule",$P1911,0)</f>
        <v>0</v>
      </c>
      <c r="X1911" s="64" t="n">
        <f aca="false">IF($K1911="No Start (attainment only)",$P1911,0)</f>
        <v>0</v>
      </c>
    </row>
    <row r="1912" customFormat="false" ht="15" hidden="false" customHeight="false" outlineLevel="0" collapsed="false">
      <c r="A1912" s="60"/>
      <c r="B1912" s="61" t="str">
        <f aca="false">IF($M1912=0,"",INDEX(Classes!$E$6:$E$420,$M1912))</f>
        <v/>
      </c>
      <c r="C1912" s="62" t="str">
        <f aca="false">IF($M1912=0,"",INDEX(Classes!$H$6:$H$420,$M1912))</f>
        <v/>
      </c>
      <c r="D1912" s="61" t="str">
        <f aca="false">IF($M1912=0,"",INDEX(Classes!$B$6:$B$420,$M1912))</f>
        <v/>
      </c>
      <c r="E1912" s="61" t="str">
        <f aca="false">IF($M1912=0,"",INDEX(Classes!$C$6:$C$420,$M1912))</f>
        <v/>
      </c>
      <c r="F1912" s="63"/>
      <c r="G1912" s="63"/>
      <c r="H1912" s="60"/>
      <c r="I1912" s="60"/>
      <c r="J1912" s="63"/>
      <c r="K1912" s="61" t="str">
        <f aca="false">IF($P1912=0,"",IF($F1912="Baseline","— Baseline",IF($O1912=0,"No result",IF($N1912=0,"No Start (attainment only)",IF(OR($N1912=1,$O1912=1),"U – needs rule",INDEX(MxBody,MATCH($I1912,MxCurr,0),MATCH($H1912,MxStart,0)))))))</f>
        <v/>
      </c>
      <c r="L1912" s="62" t="str">
        <f aca="false">IF(COUNTA($A1912,$F1912,$G1912,$H1912,$I1912,$J1912)=0,"",IF($M1912=0,"✖ كود الصف غير موجود",IF(ISNA(MATCH($F1912,Lists!$A$2:$A$5,0)),"✖ الفترة غير صحيحة",IF(ISNA(MATCH($G1912,Lists!$B$2:$B$7,0)),"✖ المجموعة غير صحيحة",IF(NOT(OR($H1912="",$N1912&gt;0)),"✖ Start غير صحيح",IF(NOT(OR($I1912="",$I1912="NR",$O1912&gt;0)),"✖ Current غير صحيح",IF(NOT(IF(ISNUMBER($J1912),AND($J1912&gt;=0,$J1912=INT($J1912)),FALSE())),"✖ العدد يجب أن يكون صحيحًا ≥ 0",IF(AND($F1912="Baseline",$H1912&lt;&gt;""),"⚠ Baseline: Start لا يدخل في التقدم",IF($K1912="No Start (attainment only)","ℹ تحصيل فقط (بدون Start)",IF($K1912="U – needs rule","ℹ حالة U تحتاج قاعدة معتمدة",IF($K1912="No result","ℹ بدون نتيجة (يُستبعد من التحصيل)","OK")))))))))))</f>
        <v/>
      </c>
      <c r="M1912" s="64" t="n">
        <f aca="false">IF($A1912="",0,IFERROR(MATCH($A1912,Classes!$A$6:$A$420,0),0))</f>
        <v>0</v>
      </c>
      <c r="N1912" s="64" t="n">
        <f aca="false">IF($H1912="",0,IFERROR(MATCH($H1912,GradeList,0),0))</f>
        <v>0</v>
      </c>
      <c r="O1912" s="64" t="n">
        <f aca="false">IF(OR($I1912="",$I1912="NR"),0,IFERROR(MATCH($I1912,GradeList,0),0))</f>
        <v>0</v>
      </c>
      <c r="P1912" s="64" t="n">
        <f aca="false">IF(AND($M1912&gt;0,ISNUMBER(MATCH($F1912,Lists!$A$2:$A$5,0)),ISNUMBER(MATCH($G1912,Lists!$B$2:$B$7,0)),OR($H1912="",$N1912&gt;0),OR($I1912="",$I1912="NR",$O1912&gt;0),IF(ISNUMBER($J1912),AND($J1912&gt;=0,$J1912=INT($J1912)),FALSE())),$J1912,0)</f>
        <v>0</v>
      </c>
      <c r="Q1912" s="64" t="n">
        <f aca="false">IF(AND($P1912&gt;0,$O1912&gt;0),$P1912,0)</f>
        <v>0</v>
      </c>
      <c r="R1912" s="64" t="n">
        <f aca="false">IF(AND($Q1912&gt;0,$O1912&gt;=AtRank),$Q1912,0)</f>
        <v>0</v>
      </c>
      <c r="S1912" s="64" t="n">
        <f aca="false">IF(AND($Q1912&gt;0,$O1912&gt;=AboveRank),$Q1912,0)</f>
        <v>0</v>
      </c>
      <c r="T1912" s="64" t="n">
        <f aca="false">IF($K1912="Less",$P1912,0)</f>
        <v>0</v>
      </c>
      <c r="U1912" s="64" t="n">
        <f aca="false">IF($K1912="Expected",$P1912,0)</f>
        <v>0</v>
      </c>
      <c r="V1912" s="64" t="n">
        <f aca="false">IF($K1912="Better",$P1912,0)</f>
        <v>0</v>
      </c>
      <c r="W1912" s="64" t="n">
        <f aca="false">IF($K1912="U – needs rule",$P1912,0)</f>
        <v>0</v>
      </c>
      <c r="X1912" s="64" t="n">
        <f aca="false">IF($K1912="No Start (attainment only)",$P1912,0)</f>
        <v>0</v>
      </c>
    </row>
    <row r="1913" customFormat="false" ht="15" hidden="false" customHeight="false" outlineLevel="0" collapsed="false">
      <c r="A1913" s="60"/>
      <c r="B1913" s="61" t="str">
        <f aca="false">IF($M1913=0,"",INDEX(Classes!$E$6:$E$420,$M1913))</f>
        <v/>
      </c>
      <c r="C1913" s="62" t="str">
        <f aca="false">IF($M1913=0,"",INDEX(Classes!$H$6:$H$420,$M1913))</f>
        <v/>
      </c>
      <c r="D1913" s="61" t="str">
        <f aca="false">IF($M1913=0,"",INDEX(Classes!$B$6:$B$420,$M1913))</f>
        <v/>
      </c>
      <c r="E1913" s="61" t="str">
        <f aca="false">IF($M1913=0,"",INDEX(Classes!$C$6:$C$420,$M1913))</f>
        <v/>
      </c>
      <c r="F1913" s="63"/>
      <c r="G1913" s="63"/>
      <c r="H1913" s="60"/>
      <c r="I1913" s="60"/>
      <c r="J1913" s="63"/>
      <c r="K1913" s="61" t="str">
        <f aca="false">IF($P1913=0,"",IF($F1913="Baseline","— Baseline",IF($O1913=0,"No result",IF($N1913=0,"No Start (attainment only)",IF(OR($N1913=1,$O1913=1),"U – needs rule",INDEX(MxBody,MATCH($I1913,MxCurr,0),MATCH($H1913,MxStart,0)))))))</f>
        <v/>
      </c>
      <c r="L1913" s="62" t="str">
        <f aca="false">IF(COUNTA($A1913,$F1913,$G1913,$H1913,$I1913,$J1913)=0,"",IF($M1913=0,"✖ كود الصف غير موجود",IF(ISNA(MATCH($F1913,Lists!$A$2:$A$5,0)),"✖ الفترة غير صحيحة",IF(ISNA(MATCH($G1913,Lists!$B$2:$B$7,0)),"✖ المجموعة غير صحيحة",IF(NOT(OR($H1913="",$N1913&gt;0)),"✖ Start غير صحيح",IF(NOT(OR($I1913="",$I1913="NR",$O1913&gt;0)),"✖ Current غير صحيح",IF(NOT(IF(ISNUMBER($J1913),AND($J1913&gt;=0,$J1913=INT($J1913)),FALSE())),"✖ العدد يجب أن يكون صحيحًا ≥ 0",IF(AND($F1913="Baseline",$H1913&lt;&gt;""),"⚠ Baseline: Start لا يدخل في التقدم",IF($K1913="No Start (attainment only)","ℹ تحصيل فقط (بدون Start)",IF($K1913="U – needs rule","ℹ حالة U تحتاج قاعدة معتمدة",IF($K1913="No result","ℹ بدون نتيجة (يُستبعد من التحصيل)","OK")))))))))))</f>
        <v/>
      </c>
      <c r="M1913" s="64" t="n">
        <f aca="false">IF($A1913="",0,IFERROR(MATCH($A1913,Classes!$A$6:$A$420,0),0))</f>
        <v>0</v>
      </c>
      <c r="N1913" s="64" t="n">
        <f aca="false">IF($H1913="",0,IFERROR(MATCH($H1913,GradeList,0),0))</f>
        <v>0</v>
      </c>
      <c r="O1913" s="64" t="n">
        <f aca="false">IF(OR($I1913="",$I1913="NR"),0,IFERROR(MATCH($I1913,GradeList,0),0))</f>
        <v>0</v>
      </c>
      <c r="P1913" s="64" t="n">
        <f aca="false">IF(AND($M1913&gt;0,ISNUMBER(MATCH($F1913,Lists!$A$2:$A$5,0)),ISNUMBER(MATCH($G1913,Lists!$B$2:$B$7,0)),OR($H1913="",$N1913&gt;0),OR($I1913="",$I1913="NR",$O1913&gt;0),IF(ISNUMBER($J1913),AND($J1913&gt;=0,$J1913=INT($J1913)),FALSE())),$J1913,0)</f>
        <v>0</v>
      </c>
      <c r="Q1913" s="64" t="n">
        <f aca="false">IF(AND($P1913&gt;0,$O1913&gt;0),$P1913,0)</f>
        <v>0</v>
      </c>
      <c r="R1913" s="64" t="n">
        <f aca="false">IF(AND($Q1913&gt;0,$O1913&gt;=AtRank),$Q1913,0)</f>
        <v>0</v>
      </c>
      <c r="S1913" s="64" t="n">
        <f aca="false">IF(AND($Q1913&gt;0,$O1913&gt;=AboveRank),$Q1913,0)</f>
        <v>0</v>
      </c>
      <c r="T1913" s="64" t="n">
        <f aca="false">IF($K1913="Less",$P1913,0)</f>
        <v>0</v>
      </c>
      <c r="U1913" s="64" t="n">
        <f aca="false">IF($K1913="Expected",$P1913,0)</f>
        <v>0</v>
      </c>
      <c r="V1913" s="64" t="n">
        <f aca="false">IF($K1913="Better",$P1913,0)</f>
        <v>0</v>
      </c>
      <c r="W1913" s="64" t="n">
        <f aca="false">IF($K1913="U – needs rule",$P1913,0)</f>
        <v>0</v>
      </c>
      <c r="X1913" s="64" t="n">
        <f aca="false">IF($K1913="No Start (attainment only)",$P1913,0)</f>
        <v>0</v>
      </c>
    </row>
    <row r="1914" customFormat="false" ht="15" hidden="false" customHeight="false" outlineLevel="0" collapsed="false">
      <c r="A1914" s="60"/>
      <c r="B1914" s="61" t="str">
        <f aca="false">IF($M1914=0,"",INDEX(Classes!$E$6:$E$420,$M1914))</f>
        <v/>
      </c>
      <c r="C1914" s="62" t="str">
        <f aca="false">IF($M1914=0,"",INDEX(Classes!$H$6:$H$420,$M1914))</f>
        <v/>
      </c>
      <c r="D1914" s="61" t="str">
        <f aca="false">IF($M1914=0,"",INDEX(Classes!$B$6:$B$420,$M1914))</f>
        <v/>
      </c>
      <c r="E1914" s="61" t="str">
        <f aca="false">IF($M1914=0,"",INDEX(Classes!$C$6:$C$420,$M1914))</f>
        <v/>
      </c>
      <c r="F1914" s="63"/>
      <c r="G1914" s="63"/>
      <c r="H1914" s="60"/>
      <c r="I1914" s="60"/>
      <c r="J1914" s="63"/>
      <c r="K1914" s="61" t="str">
        <f aca="false">IF($P1914=0,"",IF($F1914="Baseline","— Baseline",IF($O1914=0,"No result",IF($N1914=0,"No Start (attainment only)",IF(OR($N1914=1,$O1914=1),"U – needs rule",INDEX(MxBody,MATCH($I1914,MxCurr,0),MATCH($H1914,MxStart,0)))))))</f>
        <v/>
      </c>
      <c r="L1914" s="62" t="str">
        <f aca="false">IF(COUNTA($A1914,$F1914,$G1914,$H1914,$I1914,$J1914)=0,"",IF($M1914=0,"✖ كود الصف غير موجود",IF(ISNA(MATCH($F1914,Lists!$A$2:$A$5,0)),"✖ الفترة غير صحيحة",IF(ISNA(MATCH($G1914,Lists!$B$2:$B$7,0)),"✖ المجموعة غير صحيحة",IF(NOT(OR($H1914="",$N1914&gt;0)),"✖ Start غير صحيح",IF(NOT(OR($I1914="",$I1914="NR",$O1914&gt;0)),"✖ Current غير صحيح",IF(NOT(IF(ISNUMBER($J1914),AND($J1914&gt;=0,$J1914=INT($J1914)),FALSE())),"✖ العدد يجب أن يكون صحيحًا ≥ 0",IF(AND($F1914="Baseline",$H1914&lt;&gt;""),"⚠ Baseline: Start لا يدخل في التقدم",IF($K1914="No Start (attainment only)","ℹ تحصيل فقط (بدون Start)",IF($K1914="U – needs rule","ℹ حالة U تحتاج قاعدة معتمدة",IF($K1914="No result","ℹ بدون نتيجة (يُستبعد من التحصيل)","OK")))))))))))</f>
        <v/>
      </c>
      <c r="M1914" s="64" t="n">
        <f aca="false">IF($A1914="",0,IFERROR(MATCH($A1914,Classes!$A$6:$A$420,0),0))</f>
        <v>0</v>
      </c>
      <c r="N1914" s="64" t="n">
        <f aca="false">IF($H1914="",0,IFERROR(MATCH($H1914,GradeList,0),0))</f>
        <v>0</v>
      </c>
      <c r="O1914" s="64" t="n">
        <f aca="false">IF(OR($I1914="",$I1914="NR"),0,IFERROR(MATCH($I1914,GradeList,0),0))</f>
        <v>0</v>
      </c>
      <c r="P1914" s="64" t="n">
        <f aca="false">IF(AND($M1914&gt;0,ISNUMBER(MATCH($F1914,Lists!$A$2:$A$5,0)),ISNUMBER(MATCH($G1914,Lists!$B$2:$B$7,0)),OR($H1914="",$N1914&gt;0),OR($I1914="",$I1914="NR",$O1914&gt;0),IF(ISNUMBER($J1914),AND($J1914&gt;=0,$J1914=INT($J1914)),FALSE())),$J1914,0)</f>
        <v>0</v>
      </c>
      <c r="Q1914" s="64" t="n">
        <f aca="false">IF(AND($P1914&gt;0,$O1914&gt;0),$P1914,0)</f>
        <v>0</v>
      </c>
      <c r="R1914" s="64" t="n">
        <f aca="false">IF(AND($Q1914&gt;0,$O1914&gt;=AtRank),$Q1914,0)</f>
        <v>0</v>
      </c>
      <c r="S1914" s="64" t="n">
        <f aca="false">IF(AND($Q1914&gt;0,$O1914&gt;=AboveRank),$Q1914,0)</f>
        <v>0</v>
      </c>
      <c r="T1914" s="64" t="n">
        <f aca="false">IF($K1914="Less",$P1914,0)</f>
        <v>0</v>
      </c>
      <c r="U1914" s="64" t="n">
        <f aca="false">IF($K1914="Expected",$P1914,0)</f>
        <v>0</v>
      </c>
      <c r="V1914" s="64" t="n">
        <f aca="false">IF($K1914="Better",$P1914,0)</f>
        <v>0</v>
      </c>
      <c r="W1914" s="64" t="n">
        <f aca="false">IF($K1914="U – needs rule",$P1914,0)</f>
        <v>0</v>
      </c>
      <c r="X1914" s="64" t="n">
        <f aca="false">IF($K1914="No Start (attainment only)",$P1914,0)</f>
        <v>0</v>
      </c>
    </row>
    <row r="1915" customFormat="false" ht="15" hidden="false" customHeight="false" outlineLevel="0" collapsed="false">
      <c r="A1915" s="60"/>
      <c r="B1915" s="61" t="str">
        <f aca="false">IF($M1915=0,"",INDEX(Classes!$E$6:$E$420,$M1915))</f>
        <v/>
      </c>
      <c r="C1915" s="62" t="str">
        <f aca="false">IF($M1915=0,"",INDEX(Classes!$H$6:$H$420,$M1915))</f>
        <v/>
      </c>
      <c r="D1915" s="61" t="str">
        <f aca="false">IF($M1915=0,"",INDEX(Classes!$B$6:$B$420,$M1915))</f>
        <v/>
      </c>
      <c r="E1915" s="61" t="str">
        <f aca="false">IF($M1915=0,"",INDEX(Classes!$C$6:$C$420,$M1915))</f>
        <v/>
      </c>
      <c r="F1915" s="63"/>
      <c r="G1915" s="63"/>
      <c r="H1915" s="60"/>
      <c r="I1915" s="60"/>
      <c r="J1915" s="63"/>
      <c r="K1915" s="61" t="str">
        <f aca="false">IF($P1915=0,"",IF($F1915="Baseline","— Baseline",IF($O1915=0,"No result",IF($N1915=0,"No Start (attainment only)",IF(OR($N1915=1,$O1915=1),"U – needs rule",INDEX(MxBody,MATCH($I1915,MxCurr,0),MATCH($H1915,MxStart,0)))))))</f>
        <v/>
      </c>
      <c r="L1915" s="62" t="str">
        <f aca="false">IF(COUNTA($A1915,$F1915,$G1915,$H1915,$I1915,$J1915)=0,"",IF($M1915=0,"✖ كود الصف غير موجود",IF(ISNA(MATCH($F1915,Lists!$A$2:$A$5,0)),"✖ الفترة غير صحيحة",IF(ISNA(MATCH($G1915,Lists!$B$2:$B$7,0)),"✖ المجموعة غير صحيحة",IF(NOT(OR($H1915="",$N1915&gt;0)),"✖ Start غير صحيح",IF(NOT(OR($I1915="",$I1915="NR",$O1915&gt;0)),"✖ Current غير صحيح",IF(NOT(IF(ISNUMBER($J1915),AND($J1915&gt;=0,$J1915=INT($J1915)),FALSE())),"✖ العدد يجب أن يكون صحيحًا ≥ 0",IF(AND($F1915="Baseline",$H1915&lt;&gt;""),"⚠ Baseline: Start لا يدخل في التقدم",IF($K1915="No Start (attainment only)","ℹ تحصيل فقط (بدون Start)",IF($K1915="U – needs rule","ℹ حالة U تحتاج قاعدة معتمدة",IF($K1915="No result","ℹ بدون نتيجة (يُستبعد من التحصيل)","OK")))))))))))</f>
        <v/>
      </c>
      <c r="M1915" s="64" t="n">
        <f aca="false">IF($A1915="",0,IFERROR(MATCH($A1915,Classes!$A$6:$A$420,0),0))</f>
        <v>0</v>
      </c>
      <c r="N1915" s="64" t="n">
        <f aca="false">IF($H1915="",0,IFERROR(MATCH($H1915,GradeList,0),0))</f>
        <v>0</v>
      </c>
      <c r="O1915" s="64" t="n">
        <f aca="false">IF(OR($I1915="",$I1915="NR"),0,IFERROR(MATCH($I1915,GradeList,0),0))</f>
        <v>0</v>
      </c>
      <c r="P1915" s="64" t="n">
        <f aca="false">IF(AND($M1915&gt;0,ISNUMBER(MATCH($F1915,Lists!$A$2:$A$5,0)),ISNUMBER(MATCH($G1915,Lists!$B$2:$B$7,0)),OR($H1915="",$N1915&gt;0),OR($I1915="",$I1915="NR",$O1915&gt;0),IF(ISNUMBER($J1915),AND($J1915&gt;=0,$J1915=INT($J1915)),FALSE())),$J1915,0)</f>
        <v>0</v>
      </c>
      <c r="Q1915" s="64" t="n">
        <f aca="false">IF(AND($P1915&gt;0,$O1915&gt;0),$P1915,0)</f>
        <v>0</v>
      </c>
      <c r="R1915" s="64" t="n">
        <f aca="false">IF(AND($Q1915&gt;0,$O1915&gt;=AtRank),$Q1915,0)</f>
        <v>0</v>
      </c>
      <c r="S1915" s="64" t="n">
        <f aca="false">IF(AND($Q1915&gt;0,$O1915&gt;=AboveRank),$Q1915,0)</f>
        <v>0</v>
      </c>
      <c r="T1915" s="64" t="n">
        <f aca="false">IF($K1915="Less",$P1915,0)</f>
        <v>0</v>
      </c>
      <c r="U1915" s="64" t="n">
        <f aca="false">IF($K1915="Expected",$P1915,0)</f>
        <v>0</v>
      </c>
      <c r="V1915" s="64" t="n">
        <f aca="false">IF($K1915="Better",$P1915,0)</f>
        <v>0</v>
      </c>
      <c r="W1915" s="64" t="n">
        <f aca="false">IF($K1915="U – needs rule",$P1915,0)</f>
        <v>0</v>
      </c>
      <c r="X1915" s="64" t="n">
        <f aca="false">IF($K1915="No Start (attainment only)",$P1915,0)</f>
        <v>0</v>
      </c>
    </row>
    <row r="1916" customFormat="false" ht="15" hidden="false" customHeight="false" outlineLevel="0" collapsed="false">
      <c r="A1916" s="60"/>
      <c r="B1916" s="61" t="str">
        <f aca="false">IF($M1916=0,"",INDEX(Classes!$E$6:$E$420,$M1916))</f>
        <v/>
      </c>
      <c r="C1916" s="62" t="str">
        <f aca="false">IF($M1916=0,"",INDEX(Classes!$H$6:$H$420,$M1916))</f>
        <v/>
      </c>
      <c r="D1916" s="61" t="str">
        <f aca="false">IF($M1916=0,"",INDEX(Classes!$B$6:$B$420,$M1916))</f>
        <v/>
      </c>
      <c r="E1916" s="61" t="str">
        <f aca="false">IF($M1916=0,"",INDEX(Classes!$C$6:$C$420,$M1916))</f>
        <v/>
      </c>
      <c r="F1916" s="63"/>
      <c r="G1916" s="63"/>
      <c r="H1916" s="60"/>
      <c r="I1916" s="60"/>
      <c r="J1916" s="63"/>
      <c r="K1916" s="61" t="str">
        <f aca="false">IF($P1916=0,"",IF($F1916="Baseline","— Baseline",IF($O1916=0,"No result",IF($N1916=0,"No Start (attainment only)",IF(OR($N1916=1,$O1916=1),"U – needs rule",INDEX(MxBody,MATCH($I1916,MxCurr,0),MATCH($H1916,MxStart,0)))))))</f>
        <v/>
      </c>
      <c r="L1916" s="62" t="str">
        <f aca="false">IF(COUNTA($A1916,$F1916,$G1916,$H1916,$I1916,$J1916)=0,"",IF($M1916=0,"✖ كود الصف غير موجود",IF(ISNA(MATCH($F1916,Lists!$A$2:$A$5,0)),"✖ الفترة غير صحيحة",IF(ISNA(MATCH($G1916,Lists!$B$2:$B$7,0)),"✖ المجموعة غير صحيحة",IF(NOT(OR($H1916="",$N1916&gt;0)),"✖ Start غير صحيح",IF(NOT(OR($I1916="",$I1916="NR",$O1916&gt;0)),"✖ Current غير صحيح",IF(NOT(IF(ISNUMBER($J1916),AND($J1916&gt;=0,$J1916=INT($J1916)),FALSE())),"✖ العدد يجب أن يكون صحيحًا ≥ 0",IF(AND($F1916="Baseline",$H1916&lt;&gt;""),"⚠ Baseline: Start لا يدخل في التقدم",IF($K1916="No Start (attainment only)","ℹ تحصيل فقط (بدون Start)",IF($K1916="U – needs rule","ℹ حالة U تحتاج قاعدة معتمدة",IF($K1916="No result","ℹ بدون نتيجة (يُستبعد من التحصيل)","OK")))))))))))</f>
        <v/>
      </c>
      <c r="M1916" s="64" t="n">
        <f aca="false">IF($A1916="",0,IFERROR(MATCH($A1916,Classes!$A$6:$A$420,0),0))</f>
        <v>0</v>
      </c>
      <c r="N1916" s="64" t="n">
        <f aca="false">IF($H1916="",0,IFERROR(MATCH($H1916,GradeList,0),0))</f>
        <v>0</v>
      </c>
      <c r="O1916" s="64" t="n">
        <f aca="false">IF(OR($I1916="",$I1916="NR"),0,IFERROR(MATCH($I1916,GradeList,0),0))</f>
        <v>0</v>
      </c>
      <c r="P1916" s="64" t="n">
        <f aca="false">IF(AND($M1916&gt;0,ISNUMBER(MATCH($F1916,Lists!$A$2:$A$5,0)),ISNUMBER(MATCH($G1916,Lists!$B$2:$B$7,0)),OR($H1916="",$N1916&gt;0),OR($I1916="",$I1916="NR",$O1916&gt;0),IF(ISNUMBER($J1916),AND($J1916&gt;=0,$J1916=INT($J1916)),FALSE())),$J1916,0)</f>
        <v>0</v>
      </c>
      <c r="Q1916" s="64" t="n">
        <f aca="false">IF(AND($P1916&gt;0,$O1916&gt;0),$P1916,0)</f>
        <v>0</v>
      </c>
      <c r="R1916" s="64" t="n">
        <f aca="false">IF(AND($Q1916&gt;0,$O1916&gt;=AtRank),$Q1916,0)</f>
        <v>0</v>
      </c>
      <c r="S1916" s="64" t="n">
        <f aca="false">IF(AND($Q1916&gt;0,$O1916&gt;=AboveRank),$Q1916,0)</f>
        <v>0</v>
      </c>
      <c r="T1916" s="64" t="n">
        <f aca="false">IF($K1916="Less",$P1916,0)</f>
        <v>0</v>
      </c>
      <c r="U1916" s="64" t="n">
        <f aca="false">IF($K1916="Expected",$P1916,0)</f>
        <v>0</v>
      </c>
      <c r="V1916" s="64" t="n">
        <f aca="false">IF($K1916="Better",$P1916,0)</f>
        <v>0</v>
      </c>
      <c r="W1916" s="64" t="n">
        <f aca="false">IF($K1916="U – needs rule",$P1916,0)</f>
        <v>0</v>
      </c>
      <c r="X1916" s="64" t="n">
        <f aca="false">IF($K1916="No Start (attainment only)",$P1916,0)</f>
        <v>0</v>
      </c>
    </row>
    <row r="1917" customFormat="false" ht="15" hidden="false" customHeight="false" outlineLevel="0" collapsed="false">
      <c r="A1917" s="60"/>
      <c r="B1917" s="61" t="str">
        <f aca="false">IF($M1917=0,"",INDEX(Classes!$E$6:$E$420,$M1917))</f>
        <v/>
      </c>
      <c r="C1917" s="62" t="str">
        <f aca="false">IF($M1917=0,"",INDEX(Classes!$H$6:$H$420,$M1917))</f>
        <v/>
      </c>
      <c r="D1917" s="61" t="str">
        <f aca="false">IF($M1917=0,"",INDEX(Classes!$B$6:$B$420,$M1917))</f>
        <v/>
      </c>
      <c r="E1917" s="61" t="str">
        <f aca="false">IF($M1917=0,"",INDEX(Classes!$C$6:$C$420,$M1917))</f>
        <v/>
      </c>
      <c r="F1917" s="63"/>
      <c r="G1917" s="63"/>
      <c r="H1917" s="60"/>
      <c r="I1917" s="60"/>
      <c r="J1917" s="63"/>
      <c r="K1917" s="61" t="str">
        <f aca="false">IF($P1917=0,"",IF($F1917="Baseline","— Baseline",IF($O1917=0,"No result",IF($N1917=0,"No Start (attainment only)",IF(OR($N1917=1,$O1917=1),"U – needs rule",INDEX(MxBody,MATCH($I1917,MxCurr,0),MATCH($H1917,MxStart,0)))))))</f>
        <v/>
      </c>
      <c r="L1917" s="62" t="str">
        <f aca="false">IF(COUNTA($A1917,$F1917,$G1917,$H1917,$I1917,$J1917)=0,"",IF($M1917=0,"✖ كود الصف غير موجود",IF(ISNA(MATCH($F1917,Lists!$A$2:$A$5,0)),"✖ الفترة غير صحيحة",IF(ISNA(MATCH($G1917,Lists!$B$2:$B$7,0)),"✖ المجموعة غير صحيحة",IF(NOT(OR($H1917="",$N1917&gt;0)),"✖ Start غير صحيح",IF(NOT(OR($I1917="",$I1917="NR",$O1917&gt;0)),"✖ Current غير صحيح",IF(NOT(IF(ISNUMBER($J1917),AND($J1917&gt;=0,$J1917=INT($J1917)),FALSE())),"✖ العدد يجب أن يكون صحيحًا ≥ 0",IF(AND($F1917="Baseline",$H1917&lt;&gt;""),"⚠ Baseline: Start لا يدخل في التقدم",IF($K1917="No Start (attainment only)","ℹ تحصيل فقط (بدون Start)",IF($K1917="U – needs rule","ℹ حالة U تحتاج قاعدة معتمدة",IF($K1917="No result","ℹ بدون نتيجة (يُستبعد من التحصيل)","OK")))))))))))</f>
        <v/>
      </c>
      <c r="M1917" s="64" t="n">
        <f aca="false">IF($A1917="",0,IFERROR(MATCH($A1917,Classes!$A$6:$A$420,0),0))</f>
        <v>0</v>
      </c>
      <c r="N1917" s="64" t="n">
        <f aca="false">IF($H1917="",0,IFERROR(MATCH($H1917,GradeList,0),0))</f>
        <v>0</v>
      </c>
      <c r="O1917" s="64" t="n">
        <f aca="false">IF(OR($I1917="",$I1917="NR"),0,IFERROR(MATCH($I1917,GradeList,0),0))</f>
        <v>0</v>
      </c>
      <c r="P1917" s="64" t="n">
        <f aca="false">IF(AND($M1917&gt;0,ISNUMBER(MATCH($F1917,Lists!$A$2:$A$5,0)),ISNUMBER(MATCH($G1917,Lists!$B$2:$B$7,0)),OR($H1917="",$N1917&gt;0),OR($I1917="",$I1917="NR",$O1917&gt;0),IF(ISNUMBER($J1917),AND($J1917&gt;=0,$J1917=INT($J1917)),FALSE())),$J1917,0)</f>
        <v>0</v>
      </c>
      <c r="Q1917" s="64" t="n">
        <f aca="false">IF(AND($P1917&gt;0,$O1917&gt;0),$P1917,0)</f>
        <v>0</v>
      </c>
      <c r="R1917" s="64" t="n">
        <f aca="false">IF(AND($Q1917&gt;0,$O1917&gt;=AtRank),$Q1917,0)</f>
        <v>0</v>
      </c>
      <c r="S1917" s="64" t="n">
        <f aca="false">IF(AND($Q1917&gt;0,$O1917&gt;=AboveRank),$Q1917,0)</f>
        <v>0</v>
      </c>
      <c r="T1917" s="64" t="n">
        <f aca="false">IF($K1917="Less",$P1917,0)</f>
        <v>0</v>
      </c>
      <c r="U1917" s="64" t="n">
        <f aca="false">IF($K1917="Expected",$P1917,0)</f>
        <v>0</v>
      </c>
      <c r="V1917" s="64" t="n">
        <f aca="false">IF($K1917="Better",$P1917,0)</f>
        <v>0</v>
      </c>
      <c r="W1917" s="64" t="n">
        <f aca="false">IF($K1917="U – needs rule",$P1917,0)</f>
        <v>0</v>
      </c>
      <c r="X1917" s="64" t="n">
        <f aca="false">IF($K1917="No Start (attainment only)",$P1917,0)</f>
        <v>0</v>
      </c>
    </row>
    <row r="1918" customFormat="false" ht="15" hidden="false" customHeight="false" outlineLevel="0" collapsed="false">
      <c r="A1918" s="60"/>
      <c r="B1918" s="61" t="str">
        <f aca="false">IF($M1918=0,"",INDEX(Classes!$E$6:$E$420,$M1918))</f>
        <v/>
      </c>
      <c r="C1918" s="62" t="str">
        <f aca="false">IF($M1918=0,"",INDEX(Classes!$H$6:$H$420,$M1918))</f>
        <v/>
      </c>
      <c r="D1918" s="61" t="str">
        <f aca="false">IF($M1918=0,"",INDEX(Classes!$B$6:$B$420,$M1918))</f>
        <v/>
      </c>
      <c r="E1918" s="61" t="str">
        <f aca="false">IF($M1918=0,"",INDEX(Classes!$C$6:$C$420,$M1918))</f>
        <v/>
      </c>
      <c r="F1918" s="63"/>
      <c r="G1918" s="63"/>
      <c r="H1918" s="60"/>
      <c r="I1918" s="60"/>
      <c r="J1918" s="63"/>
      <c r="K1918" s="61" t="str">
        <f aca="false">IF($P1918=0,"",IF($F1918="Baseline","— Baseline",IF($O1918=0,"No result",IF($N1918=0,"No Start (attainment only)",IF(OR($N1918=1,$O1918=1),"U – needs rule",INDEX(MxBody,MATCH($I1918,MxCurr,0),MATCH($H1918,MxStart,0)))))))</f>
        <v/>
      </c>
      <c r="L1918" s="62" t="str">
        <f aca="false">IF(COUNTA($A1918,$F1918,$G1918,$H1918,$I1918,$J1918)=0,"",IF($M1918=0,"✖ كود الصف غير موجود",IF(ISNA(MATCH($F1918,Lists!$A$2:$A$5,0)),"✖ الفترة غير صحيحة",IF(ISNA(MATCH($G1918,Lists!$B$2:$B$7,0)),"✖ المجموعة غير صحيحة",IF(NOT(OR($H1918="",$N1918&gt;0)),"✖ Start غير صحيح",IF(NOT(OR($I1918="",$I1918="NR",$O1918&gt;0)),"✖ Current غير صحيح",IF(NOT(IF(ISNUMBER($J1918),AND($J1918&gt;=0,$J1918=INT($J1918)),FALSE())),"✖ العدد يجب أن يكون صحيحًا ≥ 0",IF(AND($F1918="Baseline",$H1918&lt;&gt;""),"⚠ Baseline: Start لا يدخل في التقدم",IF($K1918="No Start (attainment only)","ℹ تحصيل فقط (بدون Start)",IF($K1918="U – needs rule","ℹ حالة U تحتاج قاعدة معتمدة",IF($K1918="No result","ℹ بدون نتيجة (يُستبعد من التحصيل)","OK")))))))))))</f>
        <v/>
      </c>
      <c r="M1918" s="64" t="n">
        <f aca="false">IF($A1918="",0,IFERROR(MATCH($A1918,Classes!$A$6:$A$420,0),0))</f>
        <v>0</v>
      </c>
      <c r="N1918" s="64" t="n">
        <f aca="false">IF($H1918="",0,IFERROR(MATCH($H1918,GradeList,0),0))</f>
        <v>0</v>
      </c>
      <c r="O1918" s="64" t="n">
        <f aca="false">IF(OR($I1918="",$I1918="NR"),0,IFERROR(MATCH($I1918,GradeList,0),0))</f>
        <v>0</v>
      </c>
      <c r="P1918" s="64" t="n">
        <f aca="false">IF(AND($M1918&gt;0,ISNUMBER(MATCH($F1918,Lists!$A$2:$A$5,0)),ISNUMBER(MATCH($G1918,Lists!$B$2:$B$7,0)),OR($H1918="",$N1918&gt;0),OR($I1918="",$I1918="NR",$O1918&gt;0),IF(ISNUMBER($J1918),AND($J1918&gt;=0,$J1918=INT($J1918)),FALSE())),$J1918,0)</f>
        <v>0</v>
      </c>
      <c r="Q1918" s="64" t="n">
        <f aca="false">IF(AND($P1918&gt;0,$O1918&gt;0),$P1918,0)</f>
        <v>0</v>
      </c>
      <c r="R1918" s="64" t="n">
        <f aca="false">IF(AND($Q1918&gt;0,$O1918&gt;=AtRank),$Q1918,0)</f>
        <v>0</v>
      </c>
      <c r="S1918" s="64" t="n">
        <f aca="false">IF(AND($Q1918&gt;0,$O1918&gt;=AboveRank),$Q1918,0)</f>
        <v>0</v>
      </c>
      <c r="T1918" s="64" t="n">
        <f aca="false">IF($K1918="Less",$P1918,0)</f>
        <v>0</v>
      </c>
      <c r="U1918" s="64" t="n">
        <f aca="false">IF($K1918="Expected",$P1918,0)</f>
        <v>0</v>
      </c>
      <c r="V1918" s="64" t="n">
        <f aca="false">IF($K1918="Better",$P1918,0)</f>
        <v>0</v>
      </c>
      <c r="W1918" s="64" t="n">
        <f aca="false">IF($K1918="U – needs rule",$P1918,0)</f>
        <v>0</v>
      </c>
      <c r="X1918" s="64" t="n">
        <f aca="false">IF($K1918="No Start (attainment only)",$P1918,0)</f>
        <v>0</v>
      </c>
    </row>
    <row r="1919" customFormat="false" ht="15" hidden="false" customHeight="false" outlineLevel="0" collapsed="false">
      <c r="A1919" s="60"/>
      <c r="B1919" s="61" t="str">
        <f aca="false">IF($M1919=0,"",INDEX(Classes!$E$6:$E$420,$M1919))</f>
        <v/>
      </c>
      <c r="C1919" s="62" t="str">
        <f aca="false">IF($M1919=0,"",INDEX(Classes!$H$6:$H$420,$M1919))</f>
        <v/>
      </c>
      <c r="D1919" s="61" t="str">
        <f aca="false">IF($M1919=0,"",INDEX(Classes!$B$6:$B$420,$M1919))</f>
        <v/>
      </c>
      <c r="E1919" s="61" t="str">
        <f aca="false">IF($M1919=0,"",INDEX(Classes!$C$6:$C$420,$M1919))</f>
        <v/>
      </c>
      <c r="F1919" s="63"/>
      <c r="G1919" s="63"/>
      <c r="H1919" s="60"/>
      <c r="I1919" s="60"/>
      <c r="J1919" s="63"/>
      <c r="K1919" s="61" t="str">
        <f aca="false">IF($P1919=0,"",IF($F1919="Baseline","— Baseline",IF($O1919=0,"No result",IF($N1919=0,"No Start (attainment only)",IF(OR($N1919=1,$O1919=1),"U – needs rule",INDEX(MxBody,MATCH($I1919,MxCurr,0),MATCH($H1919,MxStart,0)))))))</f>
        <v/>
      </c>
      <c r="L1919" s="62" t="str">
        <f aca="false">IF(COUNTA($A1919,$F1919,$G1919,$H1919,$I1919,$J1919)=0,"",IF($M1919=0,"✖ كود الصف غير موجود",IF(ISNA(MATCH($F1919,Lists!$A$2:$A$5,0)),"✖ الفترة غير صحيحة",IF(ISNA(MATCH($G1919,Lists!$B$2:$B$7,0)),"✖ المجموعة غير صحيحة",IF(NOT(OR($H1919="",$N1919&gt;0)),"✖ Start غير صحيح",IF(NOT(OR($I1919="",$I1919="NR",$O1919&gt;0)),"✖ Current غير صحيح",IF(NOT(IF(ISNUMBER($J1919),AND($J1919&gt;=0,$J1919=INT($J1919)),FALSE())),"✖ العدد يجب أن يكون صحيحًا ≥ 0",IF(AND($F1919="Baseline",$H1919&lt;&gt;""),"⚠ Baseline: Start لا يدخل في التقدم",IF($K1919="No Start (attainment only)","ℹ تحصيل فقط (بدون Start)",IF($K1919="U – needs rule","ℹ حالة U تحتاج قاعدة معتمدة",IF($K1919="No result","ℹ بدون نتيجة (يُستبعد من التحصيل)","OK")))))))))))</f>
        <v/>
      </c>
      <c r="M1919" s="64" t="n">
        <f aca="false">IF($A1919="",0,IFERROR(MATCH($A1919,Classes!$A$6:$A$420,0),0))</f>
        <v>0</v>
      </c>
      <c r="N1919" s="64" t="n">
        <f aca="false">IF($H1919="",0,IFERROR(MATCH($H1919,GradeList,0),0))</f>
        <v>0</v>
      </c>
      <c r="O1919" s="64" t="n">
        <f aca="false">IF(OR($I1919="",$I1919="NR"),0,IFERROR(MATCH($I1919,GradeList,0),0))</f>
        <v>0</v>
      </c>
      <c r="P1919" s="64" t="n">
        <f aca="false">IF(AND($M1919&gt;0,ISNUMBER(MATCH($F1919,Lists!$A$2:$A$5,0)),ISNUMBER(MATCH($G1919,Lists!$B$2:$B$7,0)),OR($H1919="",$N1919&gt;0),OR($I1919="",$I1919="NR",$O1919&gt;0),IF(ISNUMBER($J1919),AND($J1919&gt;=0,$J1919=INT($J1919)),FALSE())),$J1919,0)</f>
        <v>0</v>
      </c>
      <c r="Q1919" s="64" t="n">
        <f aca="false">IF(AND($P1919&gt;0,$O1919&gt;0),$P1919,0)</f>
        <v>0</v>
      </c>
      <c r="R1919" s="64" t="n">
        <f aca="false">IF(AND($Q1919&gt;0,$O1919&gt;=AtRank),$Q1919,0)</f>
        <v>0</v>
      </c>
      <c r="S1919" s="64" t="n">
        <f aca="false">IF(AND($Q1919&gt;0,$O1919&gt;=AboveRank),$Q1919,0)</f>
        <v>0</v>
      </c>
      <c r="T1919" s="64" t="n">
        <f aca="false">IF($K1919="Less",$P1919,0)</f>
        <v>0</v>
      </c>
      <c r="U1919" s="64" t="n">
        <f aca="false">IF($K1919="Expected",$P1919,0)</f>
        <v>0</v>
      </c>
      <c r="V1919" s="64" t="n">
        <f aca="false">IF($K1919="Better",$P1919,0)</f>
        <v>0</v>
      </c>
      <c r="W1919" s="64" t="n">
        <f aca="false">IF($K1919="U – needs rule",$P1919,0)</f>
        <v>0</v>
      </c>
      <c r="X1919" s="64" t="n">
        <f aca="false">IF($K1919="No Start (attainment only)",$P1919,0)</f>
        <v>0</v>
      </c>
    </row>
    <row r="1920" customFormat="false" ht="15" hidden="false" customHeight="false" outlineLevel="0" collapsed="false">
      <c r="A1920" s="60"/>
      <c r="B1920" s="61" t="str">
        <f aca="false">IF($M1920=0,"",INDEX(Classes!$E$6:$E$420,$M1920))</f>
        <v/>
      </c>
      <c r="C1920" s="62" t="str">
        <f aca="false">IF($M1920=0,"",INDEX(Classes!$H$6:$H$420,$M1920))</f>
        <v/>
      </c>
      <c r="D1920" s="61" t="str">
        <f aca="false">IF($M1920=0,"",INDEX(Classes!$B$6:$B$420,$M1920))</f>
        <v/>
      </c>
      <c r="E1920" s="61" t="str">
        <f aca="false">IF($M1920=0,"",INDEX(Classes!$C$6:$C$420,$M1920))</f>
        <v/>
      </c>
      <c r="F1920" s="63"/>
      <c r="G1920" s="63"/>
      <c r="H1920" s="60"/>
      <c r="I1920" s="60"/>
      <c r="J1920" s="63"/>
      <c r="K1920" s="61" t="str">
        <f aca="false">IF($P1920=0,"",IF($F1920="Baseline","— Baseline",IF($O1920=0,"No result",IF($N1920=0,"No Start (attainment only)",IF(OR($N1920=1,$O1920=1),"U – needs rule",INDEX(MxBody,MATCH($I1920,MxCurr,0),MATCH($H1920,MxStart,0)))))))</f>
        <v/>
      </c>
      <c r="L1920" s="62" t="str">
        <f aca="false">IF(COUNTA($A1920,$F1920,$G1920,$H1920,$I1920,$J1920)=0,"",IF($M1920=0,"✖ كود الصف غير موجود",IF(ISNA(MATCH($F1920,Lists!$A$2:$A$5,0)),"✖ الفترة غير صحيحة",IF(ISNA(MATCH($G1920,Lists!$B$2:$B$7,0)),"✖ المجموعة غير صحيحة",IF(NOT(OR($H1920="",$N1920&gt;0)),"✖ Start غير صحيح",IF(NOT(OR($I1920="",$I1920="NR",$O1920&gt;0)),"✖ Current غير صحيح",IF(NOT(IF(ISNUMBER($J1920),AND($J1920&gt;=0,$J1920=INT($J1920)),FALSE())),"✖ العدد يجب أن يكون صحيحًا ≥ 0",IF(AND($F1920="Baseline",$H1920&lt;&gt;""),"⚠ Baseline: Start لا يدخل في التقدم",IF($K1920="No Start (attainment only)","ℹ تحصيل فقط (بدون Start)",IF($K1920="U – needs rule","ℹ حالة U تحتاج قاعدة معتمدة",IF($K1920="No result","ℹ بدون نتيجة (يُستبعد من التحصيل)","OK")))))))))))</f>
        <v/>
      </c>
      <c r="M1920" s="64" t="n">
        <f aca="false">IF($A1920="",0,IFERROR(MATCH($A1920,Classes!$A$6:$A$420,0),0))</f>
        <v>0</v>
      </c>
      <c r="N1920" s="64" t="n">
        <f aca="false">IF($H1920="",0,IFERROR(MATCH($H1920,GradeList,0),0))</f>
        <v>0</v>
      </c>
      <c r="O1920" s="64" t="n">
        <f aca="false">IF(OR($I1920="",$I1920="NR"),0,IFERROR(MATCH($I1920,GradeList,0),0))</f>
        <v>0</v>
      </c>
      <c r="P1920" s="64" t="n">
        <f aca="false">IF(AND($M1920&gt;0,ISNUMBER(MATCH($F1920,Lists!$A$2:$A$5,0)),ISNUMBER(MATCH($G1920,Lists!$B$2:$B$7,0)),OR($H1920="",$N1920&gt;0),OR($I1920="",$I1920="NR",$O1920&gt;0),IF(ISNUMBER($J1920),AND($J1920&gt;=0,$J1920=INT($J1920)),FALSE())),$J1920,0)</f>
        <v>0</v>
      </c>
      <c r="Q1920" s="64" t="n">
        <f aca="false">IF(AND($P1920&gt;0,$O1920&gt;0),$P1920,0)</f>
        <v>0</v>
      </c>
      <c r="R1920" s="64" t="n">
        <f aca="false">IF(AND($Q1920&gt;0,$O1920&gt;=AtRank),$Q1920,0)</f>
        <v>0</v>
      </c>
      <c r="S1920" s="64" t="n">
        <f aca="false">IF(AND($Q1920&gt;0,$O1920&gt;=AboveRank),$Q1920,0)</f>
        <v>0</v>
      </c>
      <c r="T1920" s="64" t="n">
        <f aca="false">IF($K1920="Less",$P1920,0)</f>
        <v>0</v>
      </c>
      <c r="U1920" s="64" t="n">
        <f aca="false">IF($K1920="Expected",$P1920,0)</f>
        <v>0</v>
      </c>
      <c r="V1920" s="64" t="n">
        <f aca="false">IF($K1920="Better",$P1920,0)</f>
        <v>0</v>
      </c>
      <c r="W1920" s="64" t="n">
        <f aca="false">IF($K1920="U – needs rule",$P1920,0)</f>
        <v>0</v>
      </c>
      <c r="X1920" s="64" t="n">
        <f aca="false">IF($K1920="No Start (attainment only)",$P1920,0)</f>
        <v>0</v>
      </c>
    </row>
    <row r="1921" customFormat="false" ht="15" hidden="false" customHeight="false" outlineLevel="0" collapsed="false">
      <c r="A1921" s="60"/>
      <c r="B1921" s="61" t="str">
        <f aca="false">IF($M1921=0,"",INDEX(Classes!$E$6:$E$420,$M1921))</f>
        <v/>
      </c>
      <c r="C1921" s="62" t="str">
        <f aca="false">IF($M1921=0,"",INDEX(Classes!$H$6:$H$420,$M1921))</f>
        <v/>
      </c>
      <c r="D1921" s="61" t="str">
        <f aca="false">IF($M1921=0,"",INDEX(Classes!$B$6:$B$420,$M1921))</f>
        <v/>
      </c>
      <c r="E1921" s="61" t="str">
        <f aca="false">IF($M1921=0,"",INDEX(Classes!$C$6:$C$420,$M1921))</f>
        <v/>
      </c>
      <c r="F1921" s="63"/>
      <c r="G1921" s="63"/>
      <c r="H1921" s="60"/>
      <c r="I1921" s="60"/>
      <c r="J1921" s="63"/>
      <c r="K1921" s="61" t="str">
        <f aca="false">IF($P1921=0,"",IF($F1921="Baseline","— Baseline",IF($O1921=0,"No result",IF($N1921=0,"No Start (attainment only)",IF(OR($N1921=1,$O1921=1),"U – needs rule",INDEX(MxBody,MATCH($I1921,MxCurr,0),MATCH($H1921,MxStart,0)))))))</f>
        <v/>
      </c>
      <c r="L1921" s="62" t="str">
        <f aca="false">IF(COUNTA($A1921,$F1921,$G1921,$H1921,$I1921,$J1921)=0,"",IF($M1921=0,"✖ كود الصف غير موجود",IF(ISNA(MATCH($F1921,Lists!$A$2:$A$5,0)),"✖ الفترة غير صحيحة",IF(ISNA(MATCH($G1921,Lists!$B$2:$B$7,0)),"✖ المجموعة غير صحيحة",IF(NOT(OR($H1921="",$N1921&gt;0)),"✖ Start غير صحيح",IF(NOT(OR($I1921="",$I1921="NR",$O1921&gt;0)),"✖ Current غير صحيح",IF(NOT(IF(ISNUMBER($J1921),AND($J1921&gt;=0,$J1921=INT($J1921)),FALSE())),"✖ العدد يجب أن يكون صحيحًا ≥ 0",IF(AND($F1921="Baseline",$H1921&lt;&gt;""),"⚠ Baseline: Start لا يدخل في التقدم",IF($K1921="No Start (attainment only)","ℹ تحصيل فقط (بدون Start)",IF($K1921="U – needs rule","ℹ حالة U تحتاج قاعدة معتمدة",IF($K1921="No result","ℹ بدون نتيجة (يُستبعد من التحصيل)","OK")))))))))))</f>
        <v/>
      </c>
      <c r="M1921" s="64" t="n">
        <f aca="false">IF($A1921="",0,IFERROR(MATCH($A1921,Classes!$A$6:$A$420,0),0))</f>
        <v>0</v>
      </c>
      <c r="N1921" s="64" t="n">
        <f aca="false">IF($H1921="",0,IFERROR(MATCH($H1921,GradeList,0),0))</f>
        <v>0</v>
      </c>
      <c r="O1921" s="64" t="n">
        <f aca="false">IF(OR($I1921="",$I1921="NR"),0,IFERROR(MATCH($I1921,GradeList,0),0))</f>
        <v>0</v>
      </c>
      <c r="P1921" s="64" t="n">
        <f aca="false">IF(AND($M1921&gt;0,ISNUMBER(MATCH($F1921,Lists!$A$2:$A$5,0)),ISNUMBER(MATCH($G1921,Lists!$B$2:$B$7,0)),OR($H1921="",$N1921&gt;0),OR($I1921="",$I1921="NR",$O1921&gt;0),IF(ISNUMBER($J1921),AND($J1921&gt;=0,$J1921=INT($J1921)),FALSE())),$J1921,0)</f>
        <v>0</v>
      </c>
      <c r="Q1921" s="64" t="n">
        <f aca="false">IF(AND($P1921&gt;0,$O1921&gt;0),$P1921,0)</f>
        <v>0</v>
      </c>
      <c r="R1921" s="64" t="n">
        <f aca="false">IF(AND($Q1921&gt;0,$O1921&gt;=AtRank),$Q1921,0)</f>
        <v>0</v>
      </c>
      <c r="S1921" s="64" t="n">
        <f aca="false">IF(AND($Q1921&gt;0,$O1921&gt;=AboveRank),$Q1921,0)</f>
        <v>0</v>
      </c>
      <c r="T1921" s="64" t="n">
        <f aca="false">IF($K1921="Less",$P1921,0)</f>
        <v>0</v>
      </c>
      <c r="U1921" s="64" t="n">
        <f aca="false">IF($K1921="Expected",$P1921,0)</f>
        <v>0</v>
      </c>
      <c r="V1921" s="64" t="n">
        <f aca="false">IF($K1921="Better",$P1921,0)</f>
        <v>0</v>
      </c>
      <c r="W1921" s="64" t="n">
        <f aca="false">IF($K1921="U – needs rule",$P1921,0)</f>
        <v>0</v>
      </c>
      <c r="X1921" s="64" t="n">
        <f aca="false">IF($K1921="No Start (attainment only)",$P1921,0)</f>
        <v>0</v>
      </c>
    </row>
    <row r="1922" customFormat="false" ht="15" hidden="false" customHeight="false" outlineLevel="0" collapsed="false">
      <c r="A1922" s="60"/>
      <c r="B1922" s="61" t="str">
        <f aca="false">IF($M1922=0,"",INDEX(Classes!$E$6:$E$420,$M1922))</f>
        <v/>
      </c>
      <c r="C1922" s="62" t="str">
        <f aca="false">IF($M1922=0,"",INDEX(Classes!$H$6:$H$420,$M1922))</f>
        <v/>
      </c>
      <c r="D1922" s="61" t="str">
        <f aca="false">IF($M1922=0,"",INDEX(Classes!$B$6:$B$420,$M1922))</f>
        <v/>
      </c>
      <c r="E1922" s="61" t="str">
        <f aca="false">IF($M1922=0,"",INDEX(Classes!$C$6:$C$420,$M1922))</f>
        <v/>
      </c>
      <c r="F1922" s="63"/>
      <c r="G1922" s="63"/>
      <c r="H1922" s="60"/>
      <c r="I1922" s="60"/>
      <c r="J1922" s="63"/>
      <c r="K1922" s="61" t="str">
        <f aca="false">IF($P1922=0,"",IF($F1922="Baseline","— Baseline",IF($O1922=0,"No result",IF($N1922=0,"No Start (attainment only)",IF(OR($N1922=1,$O1922=1),"U – needs rule",INDEX(MxBody,MATCH($I1922,MxCurr,0),MATCH($H1922,MxStart,0)))))))</f>
        <v/>
      </c>
      <c r="L1922" s="62" t="str">
        <f aca="false">IF(COUNTA($A1922,$F1922,$G1922,$H1922,$I1922,$J1922)=0,"",IF($M1922=0,"✖ كود الصف غير موجود",IF(ISNA(MATCH($F1922,Lists!$A$2:$A$5,0)),"✖ الفترة غير صحيحة",IF(ISNA(MATCH($G1922,Lists!$B$2:$B$7,0)),"✖ المجموعة غير صحيحة",IF(NOT(OR($H1922="",$N1922&gt;0)),"✖ Start غير صحيح",IF(NOT(OR($I1922="",$I1922="NR",$O1922&gt;0)),"✖ Current غير صحيح",IF(NOT(IF(ISNUMBER($J1922),AND($J1922&gt;=0,$J1922=INT($J1922)),FALSE())),"✖ العدد يجب أن يكون صحيحًا ≥ 0",IF(AND($F1922="Baseline",$H1922&lt;&gt;""),"⚠ Baseline: Start لا يدخل في التقدم",IF($K1922="No Start (attainment only)","ℹ تحصيل فقط (بدون Start)",IF($K1922="U – needs rule","ℹ حالة U تحتاج قاعدة معتمدة",IF($K1922="No result","ℹ بدون نتيجة (يُستبعد من التحصيل)","OK")))))))))))</f>
        <v/>
      </c>
      <c r="M1922" s="64" t="n">
        <f aca="false">IF($A1922="",0,IFERROR(MATCH($A1922,Classes!$A$6:$A$420,0),0))</f>
        <v>0</v>
      </c>
      <c r="N1922" s="64" t="n">
        <f aca="false">IF($H1922="",0,IFERROR(MATCH($H1922,GradeList,0),0))</f>
        <v>0</v>
      </c>
      <c r="O1922" s="64" t="n">
        <f aca="false">IF(OR($I1922="",$I1922="NR"),0,IFERROR(MATCH($I1922,GradeList,0),0))</f>
        <v>0</v>
      </c>
      <c r="P1922" s="64" t="n">
        <f aca="false">IF(AND($M1922&gt;0,ISNUMBER(MATCH($F1922,Lists!$A$2:$A$5,0)),ISNUMBER(MATCH($G1922,Lists!$B$2:$B$7,0)),OR($H1922="",$N1922&gt;0),OR($I1922="",$I1922="NR",$O1922&gt;0),IF(ISNUMBER($J1922),AND($J1922&gt;=0,$J1922=INT($J1922)),FALSE())),$J1922,0)</f>
        <v>0</v>
      </c>
      <c r="Q1922" s="64" t="n">
        <f aca="false">IF(AND($P1922&gt;0,$O1922&gt;0),$P1922,0)</f>
        <v>0</v>
      </c>
      <c r="R1922" s="64" t="n">
        <f aca="false">IF(AND($Q1922&gt;0,$O1922&gt;=AtRank),$Q1922,0)</f>
        <v>0</v>
      </c>
      <c r="S1922" s="64" t="n">
        <f aca="false">IF(AND($Q1922&gt;0,$O1922&gt;=AboveRank),$Q1922,0)</f>
        <v>0</v>
      </c>
      <c r="T1922" s="64" t="n">
        <f aca="false">IF($K1922="Less",$P1922,0)</f>
        <v>0</v>
      </c>
      <c r="U1922" s="64" t="n">
        <f aca="false">IF($K1922="Expected",$P1922,0)</f>
        <v>0</v>
      </c>
      <c r="V1922" s="64" t="n">
        <f aca="false">IF($K1922="Better",$P1922,0)</f>
        <v>0</v>
      </c>
      <c r="W1922" s="64" t="n">
        <f aca="false">IF($K1922="U – needs rule",$P1922,0)</f>
        <v>0</v>
      </c>
      <c r="X1922" s="64" t="n">
        <f aca="false">IF($K1922="No Start (attainment only)",$P1922,0)</f>
        <v>0</v>
      </c>
    </row>
    <row r="1923" customFormat="false" ht="15" hidden="false" customHeight="false" outlineLevel="0" collapsed="false">
      <c r="A1923" s="60"/>
      <c r="B1923" s="61" t="str">
        <f aca="false">IF($M1923=0,"",INDEX(Classes!$E$6:$E$420,$M1923))</f>
        <v/>
      </c>
      <c r="C1923" s="62" t="str">
        <f aca="false">IF($M1923=0,"",INDEX(Classes!$H$6:$H$420,$M1923))</f>
        <v/>
      </c>
      <c r="D1923" s="61" t="str">
        <f aca="false">IF($M1923=0,"",INDEX(Classes!$B$6:$B$420,$M1923))</f>
        <v/>
      </c>
      <c r="E1923" s="61" t="str">
        <f aca="false">IF($M1923=0,"",INDEX(Classes!$C$6:$C$420,$M1923))</f>
        <v/>
      </c>
      <c r="F1923" s="63"/>
      <c r="G1923" s="63"/>
      <c r="H1923" s="60"/>
      <c r="I1923" s="60"/>
      <c r="J1923" s="63"/>
      <c r="K1923" s="61" t="str">
        <f aca="false">IF($P1923=0,"",IF($F1923="Baseline","— Baseline",IF($O1923=0,"No result",IF($N1923=0,"No Start (attainment only)",IF(OR($N1923=1,$O1923=1),"U – needs rule",INDEX(MxBody,MATCH($I1923,MxCurr,0),MATCH($H1923,MxStart,0)))))))</f>
        <v/>
      </c>
      <c r="L1923" s="62" t="str">
        <f aca="false">IF(COUNTA($A1923,$F1923,$G1923,$H1923,$I1923,$J1923)=0,"",IF($M1923=0,"✖ كود الصف غير موجود",IF(ISNA(MATCH($F1923,Lists!$A$2:$A$5,0)),"✖ الفترة غير صحيحة",IF(ISNA(MATCH($G1923,Lists!$B$2:$B$7,0)),"✖ المجموعة غير صحيحة",IF(NOT(OR($H1923="",$N1923&gt;0)),"✖ Start غير صحيح",IF(NOT(OR($I1923="",$I1923="NR",$O1923&gt;0)),"✖ Current غير صحيح",IF(NOT(IF(ISNUMBER($J1923),AND($J1923&gt;=0,$J1923=INT($J1923)),FALSE())),"✖ العدد يجب أن يكون صحيحًا ≥ 0",IF(AND($F1923="Baseline",$H1923&lt;&gt;""),"⚠ Baseline: Start لا يدخل في التقدم",IF($K1923="No Start (attainment only)","ℹ تحصيل فقط (بدون Start)",IF($K1923="U – needs rule","ℹ حالة U تحتاج قاعدة معتمدة",IF($K1923="No result","ℹ بدون نتيجة (يُستبعد من التحصيل)","OK")))))))))))</f>
        <v/>
      </c>
      <c r="M1923" s="64" t="n">
        <f aca="false">IF($A1923="",0,IFERROR(MATCH($A1923,Classes!$A$6:$A$420,0),0))</f>
        <v>0</v>
      </c>
      <c r="N1923" s="64" t="n">
        <f aca="false">IF($H1923="",0,IFERROR(MATCH($H1923,GradeList,0),0))</f>
        <v>0</v>
      </c>
      <c r="O1923" s="64" t="n">
        <f aca="false">IF(OR($I1923="",$I1923="NR"),0,IFERROR(MATCH($I1923,GradeList,0),0))</f>
        <v>0</v>
      </c>
      <c r="P1923" s="64" t="n">
        <f aca="false">IF(AND($M1923&gt;0,ISNUMBER(MATCH($F1923,Lists!$A$2:$A$5,0)),ISNUMBER(MATCH($G1923,Lists!$B$2:$B$7,0)),OR($H1923="",$N1923&gt;0),OR($I1923="",$I1923="NR",$O1923&gt;0),IF(ISNUMBER($J1923),AND($J1923&gt;=0,$J1923=INT($J1923)),FALSE())),$J1923,0)</f>
        <v>0</v>
      </c>
      <c r="Q1923" s="64" t="n">
        <f aca="false">IF(AND($P1923&gt;0,$O1923&gt;0),$P1923,0)</f>
        <v>0</v>
      </c>
      <c r="R1923" s="64" t="n">
        <f aca="false">IF(AND($Q1923&gt;0,$O1923&gt;=AtRank),$Q1923,0)</f>
        <v>0</v>
      </c>
      <c r="S1923" s="64" t="n">
        <f aca="false">IF(AND($Q1923&gt;0,$O1923&gt;=AboveRank),$Q1923,0)</f>
        <v>0</v>
      </c>
      <c r="T1923" s="64" t="n">
        <f aca="false">IF($K1923="Less",$P1923,0)</f>
        <v>0</v>
      </c>
      <c r="U1923" s="64" t="n">
        <f aca="false">IF($K1923="Expected",$P1923,0)</f>
        <v>0</v>
      </c>
      <c r="V1923" s="64" t="n">
        <f aca="false">IF($K1923="Better",$P1923,0)</f>
        <v>0</v>
      </c>
      <c r="W1923" s="64" t="n">
        <f aca="false">IF($K1923="U – needs rule",$P1923,0)</f>
        <v>0</v>
      </c>
      <c r="X1923" s="64" t="n">
        <f aca="false">IF($K1923="No Start (attainment only)",$P1923,0)</f>
        <v>0</v>
      </c>
    </row>
    <row r="1924" customFormat="false" ht="15" hidden="false" customHeight="false" outlineLevel="0" collapsed="false">
      <c r="A1924" s="60"/>
      <c r="B1924" s="61" t="str">
        <f aca="false">IF($M1924=0,"",INDEX(Classes!$E$6:$E$420,$M1924))</f>
        <v/>
      </c>
      <c r="C1924" s="62" t="str">
        <f aca="false">IF($M1924=0,"",INDEX(Classes!$H$6:$H$420,$M1924))</f>
        <v/>
      </c>
      <c r="D1924" s="61" t="str">
        <f aca="false">IF($M1924=0,"",INDEX(Classes!$B$6:$B$420,$M1924))</f>
        <v/>
      </c>
      <c r="E1924" s="61" t="str">
        <f aca="false">IF($M1924=0,"",INDEX(Classes!$C$6:$C$420,$M1924))</f>
        <v/>
      </c>
      <c r="F1924" s="63"/>
      <c r="G1924" s="63"/>
      <c r="H1924" s="60"/>
      <c r="I1924" s="60"/>
      <c r="J1924" s="63"/>
      <c r="K1924" s="61" t="str">
        <f aca="false">IF($P1924=0,"",IF($F1924="Baseline","— Baseline",IF($O1924=0,"No result",IF($N1924=0,"No Start (attainment only)",IF(OR($N1924=1,$O1924=1),"U – needs rule",INDEX(MxBody,MATCH($I1924,MxCurr,0),MATCH($H1924,MxStart,0)))))))</f>
        <v/>
      </c>
      <c r="L1924" s="62" t="str">
        <f aca="false">IF(COUNTA($A1924,$F1924,$G1924,$H1924,$I1924,$J1924)=0,"",IF($M1924=0,"✖ كود الصف غير موجود",IF(ISNA(MATCH($F1924,Lists!$A$2:$A$5,0)),"✖ الفترة غير صحيحة",IF(ISNA(MATCH($G1924,Lists!$B$2:$B$7,0)),"✖ المجموعة غير صحيحة",IF(NOT(OR($H1924="",$N1924&gt;0)),"✖ Start غير صحيح",IF(NOT(OR($I1924="",$I1924="NR",$O1924&gt;0)),"✖ Current غير صحيح",IF(NOT(IF(ISNUMBER($J1924),AND($J1924&gt;=0,$J1924=INT($J1924)),FALSE())),"✖ العدد يجب أن يكون صحيحًا ≥ 0",IF(AND($F1924="Baseline",$H1924&lt;&gt;""),"⚠ Baseline: Start لا يدخل في التقدم",IF($K1924="No Start (attainment only)","ℹ تحصيل فقط (بدون Start)",IF($K1924="U – needs rule","ℹ حالة U تحتاج قاعدة معتمدة",IF($K1924="No result","ℹ بدون نتيجة (يُستبعد من التحصيل)","OK")))))))))))</f>
        <v/>
      </c>
      <c r="M1924" s="64" t="n">
        <f aca="false">IF($A1924="",0,IFERROR(MATCH($A1924,Classes!$A$6:$A$420,0),0))</f>
        <v>0</v>
      </c>
      <c r="N1924" s="64" t="n">
        <f aca="false">IF($H1924="",0,IFERROR(MATCH($H1924,GradeList,0),0))</f>
        <v>0</v>
      </c>
      <c r="O1924" s="64" t="n">
        <f aca="false">IF(OR($I1924="",$I1924="NR"),0,IFERROR(MATCH($I1924,GradeList,0),0))</f>
        <v>0</v>
      </c>
      <c r="P1924" s="64" t="n">
        <f aca="false">IF(AND($M1924&gt;0,ISNUMBER(MATCH($F1924,Lists!$A$2:$A$5,0)),ISNUMBER(MATCH($G1924,Lists!$B$2:$B$7,0)),OR($H1924="",$N1924&gt;0),OR($I1924="",$I1924="NR",$O1924&gt;0),IF(ISNUMBER($J1924),AND($J1924&gt;=0,$J1924=INT($J1924)),FALSE())),$J1924,0)</f>
        <v>0</v>
      </c>
      <c r="Q1924" s="64" t="n">
        <f aca="false">IF(AND($P1924&gt;0,$O1924&gt;0),$P1924,0)</f>
        <v>0</v>
      </c>
      <c r="R1924" s="64" t="n">
        <f aca="false">IF(AND($Q1924&gt;0,$O1924&gt;=AtRank),$Q1924,0)</f>
        <v>0</v>
      </c>
      <c r="S1924" s="64" t="n">
        <f aca="false">IF(AND($Q1924&gt;0,$O1924&gt;=AboveRank),$Q1924,0)</f>
        <v>0</v>
      </c>
      <c r="T1924" s="64" t="n">
        <f aca="false">IF($K1924="Less",$P1924,0)</f>
        <v>0</v>
      </c>
      <c r="U1924" s="64" t="n">
        <f aca="false">IF($K1924="Expected",$P1924,0)</f>
        <v>0</v>
      </c>
      <c r="V1924" s="64" t="n">
        <f aca="false">IF($K1924="Better",$P1924,0)</f>
        <v>0</v>
      </c>
      <c r="W1924" s="64" t="n">
        <f aca="false">IF($K1924="U – needs rule",$P1924,0)</f>
        <v>0</v>
      </c>
      <c r="X1924" s="64" t="n">
        <f aca="false">IF($K1924="No Start (attainment only)",$P1924,0)</f>
        <v>0</v>
      </c>
    </row>
    <row r="1925" customFormat="false" ht="15" hidden="false" customHeight="false" outlineLevel="0" collapsed="false">
      <c r="A1925" s="60"/>
      <c r="B1925" s="61" t="str">
        <f aca="false">IF($M1925=0,"",INDEX(Classes!$E$6:$E$420,$M1925))</f>
        <v/>
      </c>
      <c r="C1925" s="62" t="str">
        <f aca="false">IF($M1925=0,"",INDEX(Classes!$H$6:$H$420,$M1925))</f>
        <v/>
      </c>
      <c r="D1925" s="61" t="str">
        <f aca="false">IF($M1925=0,"",INDEX(Classes!$B$6:$B$420,$M1925))</f>
        <v/>
      </c>
      <c r="E1925" s="61" t="str">
        <f aca="false">IF($M1925=0,"",INDEX(Classes!$C$6:$C$420,$M1925))</f>
        <v/>
      </c>
      <c r="F1925" s="63"/>
      <c r="G1925" s="63"/>
      <c r="H1925" s="60"/>
      <c r="I1925" s="60"/>
      <c r="J1925" s="63"/>
      <c r="K1925" s="61" t="str">
        <f aca="false">IF($P1925=0,"",IF($F1925="Baseline","— Baseline",IF($O1925=0,"No result",IF($N1925=0,"No Start (attainment only)",IF(OR($N1925=1,$O1925=1),"U – needs rule",INDEX(MxBody,MATCH($I1925,MxCurr,0),MATCH($H1925,MxStart,0)))))))</f>
        <v/>
      </c>
      <c r="L1925" s="62" t="str">
        <f aca="false">IF(COUNTA($A1925,$F1925,$G1925,$H1925,$I1925,$J1925)=0,"",IF($M1925=0,"✖ كود الصف غير موجود",IF(ISNA(MATCH($F1925,Lists!$A$2:$A$5,0)),"✖ الفترة غير صحيحة",IF(ISNA(MATCH($G1925,Lists!$B$2:$B$7,0)),"✖ المجموعة غير صحيحة",IF(NOT(OR($H1925="",$N1925&gt;0)),"✖ Start غير صحيح",IF(NOT(OR($I1925="",$I1925="NR",$O1925&gt;0)),"✖ Current غير صحيح",IF(NOT(IF(ISNUMBER($J1925),AND($J1925&gt;=0,$J1925=INT($J1925)),FALSE())),"✖ العدد يجب أن يكون صحيحًا ≥ 0",IF(AND($F1925="Baseline",$H1925&lt;&gt;""),"⚠ Baseline: Start لا يدخل في التقدم",IF($K1925="No Start (attainment only)","ℹ تحصيل فقط (بدون Start)",IF($K1925="U – needs rule","ℹ حالة U تحتاج قاعدة معتمدة",IF($K1925="No result","ℹ بدون نتيجة (يُستبعد من التحصيل)","OK")))))))))))</f>
        <v/>
      </c>
      <c r="M1925" s="64" t="n">
        <f aca="false">IF($A1925="",0,IFERROR(MATCH($A1925,Classes!$A$6:$A$420,0),0))</f>
        <v>0</v>
      </c>
      <c r="N1925" s="64" t="n">
        <f aca="false">IF($H1925="",0,IFERROR(MATCH($H1925,GradeList,0),0))</f>
        <v>0</v>
      </c>
      <c r="O1925" s="64" t="n">
        <f aca="false">IF(OR($I1925="",$I1925="NR"),0,IFERROR(MATCH($I1925,GradeList,0),0))</f>
        <v>0</v>
      </c>
      <c r="P1925" s="64" t="n">
        <f aca="false">IF(AND($M1925&gt;0,ISNUMBER(MATCH($F1925,Lists!$A$2:$A$5,0)),ISNUMBER(MATCH($G1925,Lists!$B$2:$B$7,0)),OR($H1925="",$N1925&gt;0),OR($I1925="",$I1925="NR",$O1925&gt;0),IF(ISNUMBER($J1925),AND($J1925&gt;=0,$J1925=INT($J1925)),FALSE())),$J1925,0)</f>
        <v>0</v>
      </c>
      <c r="Q1925" s="64" t="n">
        <f aca="false">IF(AND($P1925&gt;0,$O1925&gt;0),$P1925,0)</f>
        <v>0</v>
      </c>
      <c r="R1925" s="64" t="n">
        <f aca="false">IF(AND($Q1925&gt;0,$O1925&gt;=AtRank),$Q1925,0)</f>
        <v>0</v>
      </c>
      <c r="S1925" s="64" t="n">
        <f aca="false">IF(AND($Q1925&gt;0,$O1925&gt;=AboveRank),$Q1925,0)</f>
        <v>0</v>
      </c>
      <c r="T1925" s="64" t="n">
        <f aca="false">IF($K1925="Less",$P1925,0)</f>
        <v>0</v>
      </c>
      <c r="U1925" s="64" t="n">
        <f aca="false">IF($K1925="Expected",$P1925,0)</f>
        <v>0</v>
      </c>
      <c r="V1925" s="64" t="n">
        <f aca="false">IF($K1925="Better",$P1925,0)</f>
        <v>0</v>
      </c>
      <c r="W1925" s="64" t="n">
        <f aca="false">IF($K1925="U – needs rule",$P1925,0)</f>
        <v>0</v>
      </c>
      <c r="X1925" s="64" t="n">
        <f aca="false">IF($K1925="No Start (attainment only)",$P1925,0)</f>
        <v>0</v>
      </c>
    </row>
    <row r="1926" customFormat="false" ht="15" hidden="false" customHeight="false" outlineLevel="0" collapsed="false">
      <c r="A1926" s="60"/>
      <c r="B1926" s="61" t="str">
        <f aca="false">IF($M1926=0,"",INDEX(Classes!$E$6:$E$420,$M1926))</f>
        <v/>
      </c>
      <c r="C1926" s="62" t="str">
        <f aca="false">IF($M1926=0,"",INDEX(Classes!$H$6:$H$420,$M1926))</f>
        <v/>
      </c>
      <c r="D1926" s="61" t="str">
        <f aca="false">IF($M1926=0,"",INDEX(Classes!$B$6:$B$420,$M1926))</f>
        <v/>
      </c>
      <c r="E1926" s="61" t="str">
        <f aca="false">IF($M1926=0,"",INDEX(Classes!$C$6:$C$420,$M1926))</f>
        <v/>
      </c>
      <c r="F1926" s="63"/>
      <c r="G1926" s="63"/>
      <c r="H1926" s="60"/>
      <c r="I1926" s="60"/>
      <c r="J1926" s="63"/>
      <c r="K1926" s="61" t="str">
        <f aca="false">IF($P1926=0,"",IF($F1926="Baseline","— Baseline",IF($O1926=0,"No result",IF($N1926=0,"No Start (attainment only)",IF(OR($N1926=1,$O1926=1),"U – needs rule",INDEX(MxBody,MATCH($I1926,MxCurr,0),MATCH($H1926,MxStart,0)))))))</f>
        <v/>
      </c>
      <c r="L1926" s="62" t="str">
        <f aca="false">IF(COUNTA($A1926,$F1926,$G1926,$H1926,$I1926,$J1926)=0,"",IF($M1926=0,"✖ كود الصف غير موجود",IF(ISNA(MATCH($F1926,Lists!$A$2:$A$5,0)),"✖ الفترة غير صحيحة",IF(ISNA(MATCH($G1926,Lists!$B$2:$B$7,0)),"✖ المجموعة غير صحيحة",IF(NOT(OR($H1926="",$N1926&gt;0)),"✖ Start غير صحيح",IF(NOT(OR($I1926="",$I1926="NR",$O1926&gt;0)),"✖ Current غير صحيح",IF(NOT(IF(ISNUMBER($J1926),AND($J1926&gt;=0,$J1926=INT($J1926)),FALSE())),"✖ العدد يجب أن يكون صحيحًا ≥ 0",IF(AND($F1926="Baseline",$H1926&lt;&gt;""),"⚠ Baseline: Start لا يدخل في التقدم",IF($K1926="No Start (attainment only)","ℹ تحصيل فقط (بدون Start)",IF($K1926="U – needs rule","ℹ حالة U تحتاج قاعدة معتمدة",IF($K1926="No result","ℹ بدون نتيجة (يُستبعد من التحصيل)","OK")))))))))))</f>
        <v/>
      </c>
      <c r="M1926" s="64" t="n">
        <f aca="false">IF($A1926="",0,IFERROR(MATCH($A1926,Classes!$A$6:$A$420,0),0))</f>
        <v>0</v>
      </c>
      <c r="N1926" s="64" t="n">
        <f aca="false">IF($H1926="",0,IFERROR(MATCH($H1926,GradeList,0),0))</f>
        <v>0</v>
      </c>
      <c r="O1926" s="64" t="n">
        <f aca="false">IF(OR($I1926="",$I1926="NR"),0,IFERROR(MATCH($I1926,GradeList,0),0))</f>
        <v>0</v>
      </c>
      <c r="P1926" s="64" t="n">
        <f aca="false">IF(AND($M1926&gt;0,ISNUMBER(MATCH($F1926,Lists!$A$2:$A$5,0)),ISNUMBER(MATCH($G1926,Lists!$B$2:$B$7,0)),OR($H1926="",$N1926&gt;0),OR($I1926="",$I1926="NR",$O1926&gt;0),IF(ISNUMBER($J1926),AND($J1926&gt;=0,$J1926=INT($J1926)),FALSE())),$J1926,0)</f>
        <v>0</v>
      </c>
      <c r="Q1926" s="64" t="n">
        <f aca="false">IF(AND($P1926&gt;0,$O1926&gt;0),$P1926,0)</f>
        <v>0</v>
      </c>
      <c r="R1926" s="64" t="n">
        <f aca="false">IF(AND($Q1926&gt;0,$O1926&gt;=AtRank),$Q1926,0)</f>
        <v>0</v>
      </c>
      <c r="S1926" s="64" t="n">
        <f aca="false">IF(AND($Q1926&gt;0,$O1926&gt;=AboveRank),$Q1926,0)</f>
        <v>0</v>
      </c>
      <c r="T1926" s="64" t="n">
        <f aca="false">IF($K1926="Less",$P1926,0)</f>
        <v>0</v>
      </c>
      <c r="U1926" s="64" t="n">
        <f aca="false">IF($K1926="Expected",$P1926,0)</f>
        <v>0</v>
      </c>
      <c r="V1926" s="64" t="n">
        <f aca="false">IF($K1926="Better",$P1926,0)</f>
        <v>0</v>
      </c>
      <c r="W1926" s="64" t="n">
        <f aca="false">IF($K1926="U – needs rule",$P1926,0)</f>
        <v>0</v>
      </c>
      <c r="X1926" s="64" t="n">
        <f aca="false">IF($K1926="No Start (attainment only)",$P1926,0)</f>
        <v>0</v>
      </c>
    </row>
    <row r="1927" customFormat="false" ht="15" hidden="false" customHeight="false" outlineLevel="0" collapsed="false">
      <c r="A1927" s="60"/>
      <c r="B1927" s="61" t="str">
        <f aca="false">IF($M1927=0,"",INDEX(Classes!$E$6:$E$420,$M1927))</f>
        <v/>
      </c>
      <c r="C1927" s="62" t="str">
        <f aca="false">IF($M1927=0,"",INDEX(Classes!$H$6:$H$420,$M1927))</f>
        <v/>
      </c>
      <c r="D1927" s="61" t="str">
        <f aca="false">IF($M1927=0,"",INDEX(Classes!$B$6:$B$420,$M1927))</f>
        <v/>
      </c>
      <c r="E1927" s="61" t="str">
        <f aca="false">IF($M1927=0,"",INDEX(Classes!$C$6:$C$420,$M1927))</f>
        <v/>
      </c>
      <c r="F1927" s="63"/>
      <c r="G1927" s="63"/>
      <c r="H1927" s="60"/>
      <c r="I1927" s="60"/>
      <c r="J1927" s="63"/>
      <c r="K1927" s="61" t="str">
        <f aca="false">IF($P1927=0,"",IF($F1927="Baseline","— Baseline",IF($O1927=0,"No result",IF($N1927=0,"No Start (attainment only)",IF(OR($N1927=1,$O1927=1),"U – needs rule",INDEX(MxBody,MATCH($I1927,MxCurr,0),MATCH($H1927,MxStart,0)))))))</f>
        <v/>
      </c>
      <c r="L1927" s="62" t="str">
        <f aca="false">IF(COUNTA($A1927,$F1927,$G1927,$H1927,$I1927,$J1927)=0,"",IF($M1927=0,"✖ كود الصف غير موجود",IF(ISNA(MATCH($F1927,Lists!$A$2:$A$5,0)),"✖ الفترة غير صحيحة",IF(ISNA(MATCH($G1927,Lists!$B$2:$B$7,0)),"✖ المجموعة غير صحيحة",IF(NOT(OR($H1927="",$N1927&gt;0)),"✖ Start غير صحيح",IF(NOT(OR($I1927="",$I1927="NR",$O1927&gt;0)),"✖ Current غير صحيح",IF(NOT(IF(ISNUMBER($J1927),AND($J1927&gt;=0,$J1927=INT($J1927)),FALSE())),"✖ العدد يجب أن يكون صحيحًا ≥ 0",IF(AND($F1927="Baseline",$H1927&lt;&gt;""),"⚠ Baseline: Start لا يدخل في التقدم",IF($K1927="No Start (attainment only)","ℹ تحصيل فقط (بدون Start)",IF($K1927="U – needs rule","ℹ حالة U تحتاج قاعدة معتمدة",IF($K1927="No result","ℹ بدون نتيجة (يُستبعد من التحصيل)","OK")))))))))))</f>
        <v/>
      </c>
      <c r="M1927" s="64" t="n">
        <f aca="false">IF($A1927="",0,IFERROR(MATCH($A1927,Classes!$A$6:$A$420,0),0))</f>
        <v>0</v>
      </c>
      <c r="N1927" s="64" t="n">
        <f aca="false">IF($H1927="",0,IFERROR(MATCH($H1927,GradeList,0),0))</f>
        <v>0</v>
      </c>
      <c r="O1927" s="64" t="n">
        <f aca="false">IF(OR($I1927="",$I1927="NR"),0,IFERROR(MATCH($I1927,GradeList,0),0))</f>
        <v>0</v>
      </c>
      <c r="P1927" s="64" t="n">
        <f aca="false">IF(AND($M1927&gt;0,ISNUMBER(MATCH($F1927,Lists!$A$2:$A$5,0)),ISNUMBER(MATCH($G1927,Lists!$B$2:$B$7,0)),OR($H1927="",$N1927&gt;0),OR($I1927="",$I1927="NR",$O1927&gt;0),IF(ISNUMBER($J1927),AND($J1927&gt;=0,$J1927=INT($J1927)),FALSE())),$J1927,0)</f>
        <v>0</v>
      </c>
      <c r="Q1927" s="64" t="n">
        <f aca="false">IF(AND($P1927&gt;0,$O1927&gt;0),$P1927,0)</f>
        <v>0</v>
      </c>
      <c r="R1927" s="64" t="n">
        <f aca="false">IF(AND($Q1927&gt;0,$O1927&gt;=AtRank),$Q1927,0)</f>
        <v>0</v>
      </c>
      <c r="S1927" s="64" t="n">
        <f aca="false">IF(AND($Q1927&gt;0,$O1927&gt;=AboveRank),$Q1927,0)</f>
        <v>0</v>
      </c>
      <c r="T1927" s="64" t="n">
        <f aca="false">IF($K1927="Less",$P1927,0)</f>
        <v>0</v>
      </c>
      <c r="U1927" s="64" t="n">
        <f aca="false">IF($K1927="Expected",$P1927,0)</f>
        <v>0</v>
      </c>
      <c r="V1927" s="64" t="n">
        <f aca="false">IF($K1927="Better",$P1927,0)</f>
        <v>0</v>
      </c>
      <c r="W1927" s="64" t="n">
        <f aca="false">IF($K1927="U – needs rule",$P1927,0)</f>
        <v>0</v>
      </c>
      <c r="X1927" s="64" t="n">
        <f aca="false">IF($K1927="No Start (attainment only)",$P1927,0)</f>
        <v>0</v>
      </c>
    </row>
    <row r="1928" customFormat="false" ht="15" hidden="false" customHeight="false" outlineLevel="0" collapsed="false">
      <c r="A1928" s="60"/>
      <c r="B1928" s="61" t="str">
        <f aca="false">IF($M1928=0,"",INDEX(Classes!$E$6:$E$420,$M1928))</f>
        <v/>
      </c>
      <c r="C1928" s="62" t="str">
        <f aca="false">IF($M1928=0,"",INDEX(Classes!$H$6:$H$420,$M1928))</f>
        <v/>
      </c>
      <c r="D1928" s="61" t="str">
        <f aca="false">IF($M1928=0,"",INDEX(Classes!$B$6:$B$420,$M1928))</f>
        <v/>
      </c>
      <c r="E1928" s="61" t="str">
        <f aca="false">IF($M1928=0,"",INDEX(Classes!$C$6:$C$420,$M1928))</f>
        <v/>
      </c>
      <c r="F1928" s="63"/>
      <c r="G1928" s="63"/>
      <c r="H1928" s="60"/>
      <c r="I1928" s="60"/>
      <c r="J1928" s="63"/>
      <c r="K1928" s="61" t="str">
        <f aca="false">IF($P1928=0,"",IF($F1928="Baseline","— Baseline",IF($O1928=0,"No result",IF($N1928=0,"No Start (attainment only)",IF(OR($N1928=1,$O1928=1),"U – needs rule",INDEX(MxBody,MATCH($I1928,MxCurr,0),MATCH($H1928,MxStart,0)))))))</f>
        <v/>
      </c>
      <c r="L1928" s="62" t="str">
        <f aca="false">IF(COUNTA($A1928,$F1928,$G1928,$H1928,$I1928,$J1928)=0,"",IF($M1928=0,"✖ كود الصف غير موجود",IF(ISNA(MATCH($F1928,Lists!$A$2:$A$5,0)),"✖ الفترة غير صحيحة",IF(ISNA(MATCH($G1928,Lists!$B$2:$B$7,0)),"✖ المجموعة غير صحيحة",IF(NOT(OR($H1928="",$N1928&gt;0)),"✖ Start غير صحيح",IF(NOT(OR($I1928="",$I1928="NR",$O1928&gt;0)),"✖ Current غير صحيح",IF(NOT(IF(ISNUMBER($J1928),AND($J1928&gt;=0,$J1928=INT($J1928)),FALSE())),"✖ العدد يجب أن يكون صحيحًا ≥ 0",IF(AND($F1928="Baseline",$H1928&lt;&gt;""),"⚠ Baseline: Start لا يدخل في التقدم",IF($K1928="No Start (attainment only)","ℹ تحصيل فقط (بدون Start)",IF($K1928="U – needs rule","ℹ حالة U تحتاج قاعدة معتمدة",IF($K1928="No result","ℹ بدون نتيجة (يُستبعد من التحصيل)","OK")))))))))))</f>
        <v/>
      </c>
      <c r="M1928" s="64" t="n">
        <f aca="false">IF($A1928="",0,IFERROR(MATCH($A1928,Classes!$A$6:$A$420,0),0))</f>
        <v>0</v>
      </c>
      <c r="N1928" s="64" t="n">
        <f aca="false">IF($H1928="",0,IFERROR(MATCH($H1928,GradeList,0),0))</f>
        <v>0</v>
      </c>
      <c r="O1928" s="64" t="n">
        <f aca="false">IF(OR($I1928="",$I1928="NR"),0,IFERROR(MATCH($I1928,GradeList,0),0))</f>
        <v>0</v>
      </c>
      <c r="P1928" s="64" t="n">
        <f aca="false">IF(AND($M1928&gt;0,ISNUMBER(MATCH($F1928,Lists!$A$2:$A$5,0)),ISNUMBER(MATCH($G1928,Lists!$B$2:$B$7,0)),OR($H1928="",$N1928&gt;0),OR($I1928="",$I1928="NR",$O1928&gt;0),IF(ISNUMBER($J1928),AND($J1928&gt;=0,$J1928=INT($J1928)),FALSE())),$J1928,0)</f>
        <v>0</v>
      </c>
      <c r="Q1928" s="64" t="n">
        <f aca="false">IF(AND($P1928&gt;0,$O1928&gt;0),$P1928,0)</f>
        <v>0</v>
      </c>
      <c r="R1928" s="64" t="n">
        <f aca="false">IF(AND($Q1928&gt;0,$O1928&gt;=AtRank),$Q1928,0)</f>
        <v>0</v>
      </c>
      <c r="S1928" s="64" t="n">
        <f aca="false">IF(AND($Q1928&gt;0,$O1928&gt;=AboveRank),$Q1928,0)</f>
        <v>0</v>
      </c>
      <c r="T1928" s="64" t="n">
        <f aca="false">IF($K1928="Less",$P1928,0)</f>
        <v>0</v>
      </c>
      <c r="U1928" s="64" t="n">
        <f aca="false">IF($K1928="Expected",$P1928,0)</f>
        <v>0</v>
      </c>
      <c r="V1928" s="64" t="n">
        <f aca="false">IF($K1928="Better",$P1928,0)</f>
        <v>0</v>
      </c>
      <c r="W1928" s="64" t="n">
        <f aca="false">IF($K1928="U – needs rule",$P1928,0)</f>
        <v>0</v>
      </c>
      <c r="X1928" s="64" t="n">
        <f aca="false">IF($K1928="No Start (attainment only)",$P1928,0)</f>
        <v>0</v>
      </c>
    </row>
    <row r="1929" customFormat="false" ht="15" hidden="false" customHeight="false" outlineLevel="0" collapsed="false">
      <c r="A1929" s="60"/>
      <c r="B1929" s="61" t="str">
        <f aca="false">IF($M1929=0,"",INDEX(Classes!$E$6:$E$420,$M1929))</f>
        <v/>
      </c>
      <c r="C1929" s="62" t="str">
        <f aca="false">IF($M1929=0,"",INDEX(Classes!$H$6:$H$420,$M1929))</f>
        <v/>
      </c>
      <c r="D1929" s="61" t="str">
        <f aca="false">IF($M1929=0,"",INDEX(Classes!$B$6:$B$420,$M1929))</f>
        <v/>
      </c>
      <c r="E1929" s="61" t="str">
        <f aca="false">IF($M1929=0,"",INDEX(Classes!$C$6:$C$420,$M1929))</f>
        <v/>
      </c>
      <c r="F1929" s="63"/>
      <c r="G1929" s="63"/>
      <c r="H1929" s="60"/>
      <c r="I1929" s="60"/>
      <c r="J1929" s="63"/>
      <c r="K1929" s="61" t="str">
        <f aca="false">IF($P1929=0,"",IF($F1929="Baseline","— Baseline",IF($O1929=0,"No result",IF($N1929=0,"No Start (attainment only)",IF(OR($N1929=1,$O1929=1),"U – needs rule",INDEX(MxBody,MATCH($I1929,MxCurr,0),MATCH($H1929,MxStart,0)))))))</f>
        <v/>
      </c>
      <c r="L1929" s="62" t="str">
        <f aca="false">IF(COUNTA($A1929,$F1929,$G1929,$H1929,$I1929,$J1929)=0,"",IF($M1929=0,"✖ كود الصف غير موجود",IF(ISNA(MATCH($F1929,Lists!$A$2:$A$5,0)),"✖ الفترة غير صحيحة",IF(ISNA(MATCH($G1929,Lists!$B$2:$B$7,0)),"✖ المجموعة غير صحيحة",IF(NOT(OR($H1929="",$N1929&gt;0)),"✖ Start غير صحيح",IF(NOT(OR($I1929="",$I1929="NR",$O1929&gt;0)),"✖ Current غير صحيح",IF(NOT(IF(ISNUMBER($J1929),AND($J1929&gt;=0,$J1929=INT($J1929)),FALSE())),"✖ العدد يجب أن يكون صحيحًا ≥ 0",IF(AND($F1929="Baseline",$H1929&lt;&gt;""),"⚠ Baseline: Start لا يدخل في التقدم",IF($K1929="No Start (attainment only)","ℹ تحصيل فقط (بدون Start)",IF($K1929="U – needs rule","ℹ حالة U تحتاج قاعدة معتمدة",IF($K1929="No result","ℹ بدون نتيجة (يُستبعد من التحصيل)","OK")))))))))))</f>
        <v/>
      </c>
      <c r="M1929" s="64" t="n">
        <f aca="false">IF($A1929="",0,IFERROR(MATCH($A1929,Classes!$A$6:$A$420,0),0))</f>
        <v>0</v>
      </c>
      <c r="N1929" s="64" t="n">
        <f aca="false">IF($H1929="",0,IFERROR(MATCH($H1929,GradeList,0),0))</f>
        <v>0</v>
      </c>
      <c r="O1929" s="64" t="n">
        <f aca="false">IF(OR($I1929="",$I1929="NR"),0,IFERROR(MATCH($I1929,GradeList,0),0))</f>
        <v>0</v>
      </c>
      <c r="P1929" s="64" t="n">
        <f aca="false">IF(AND($M1929&gt;0,ISNUMBER(MATCH($F1929,Lists!$A$2:$A$5,0)),ISNUMBER(MATCH($G1929,Lists!$B$2:$B$7,0)),OR($H1929="",$N1929&gt;0),OR($I1929="",$I1929="NR",$O1929&gt;0),IF(ISNUMBER($J1929),AND($J1929&gt;=0,$J1929=INT($J1929)),FALSE())),$J1929,0)</f>
        <v>0</v>
      </c>
      <c r="Q1929" s="64" t="n">
        <f aca="false">IF(AND($P1929&gt;0,$O1929&gt;0),$P1929,0)</f>
        <v>0</v>
      </c>
      <c r="R1929" s="64" t="n">
        <f aca="false">IF(AND($Q1929&gt;0,$O1929&gt;=AtRank),$Q1929,0)</f>
        <v>0</v>
      </c>
      <c r="S1929" s="64" t="n">
        <f aca="false">IF(AND($Q1929&gt;0,$O1929&gt;=AboveRank),$Q1929,0)</f>
        <v>0</v>
      </c>
      <c r="T1929" s="64" t="n">
        <f aca="false">IF($K1929="Less",$P1929,0)</f>
        <v>0</v>
      </c>
      <c r="U1929" s="64" t="n">
        <f aca="false">IF($K1929="Expected",$P1929,0)</f>
        <v>0</v>
      </c>
      <c r="V1929" s="64" t="n">
        <f aca="false">IF($K1929="Better",$P1929,0)</f>
        <v>0</v>
      </c>
      <c r="W1929" s="64" t="n">
        <f aca="false">IF($K1929="U – needs rule",$P1929,0)</f>
        <v>0</v>
      </c>
      <c r="X1929" s="64" t="n">
        <f aca="false">IF($K1929="No Start (attainment only)",$P1929,0)</f>
        <v>0</v>
      </c>
    </row>
    <row r="1930" customFormat="false" ht="15" hidden="false" customHeight="false" outlineLevel="0" collapsed="false">
      <c r="A1930" s="60"/>
      <c r="B1930" s="61" t="str">
        <f aca="false">IF($M1930=0,"",INDEX(Classes!$E$6:$E$420,$M1930))</f>
        <v/>
      </c>
      <c r="C1930" s="62" t="str">
        <f aca="false">IF($M1930=0,"",INDEX(Classes!$H$6:$H$420,$M1930))</f>
        <v/>
      </c>
      <c r="D1930" s="61" t="str">
        <f aca="false">IF($M1930=0,"",INDEX(Classes!$B$6:$B$420,$M1930))</f>
        <v/>
      </c>
      <c r="E1930" s="61" t="str">
        <f aca="false">IF($M1930=0,"",INDEX(Classes!$C$6:$C$420,$M1930))</f>
        <v/>
      </c>
      <c r="F1930" s="63"/>
      <c r="G1930" s="63"/>
      <c r="H1930" s="60"/>
      <c r="I1930" s="60"/>
      <c r="J1930" s="63"/>
      <c r="K1930" s="61" t="str">
        <f aca="false">IF($P1930=0,"",IF($F1930="Baseline","— Baseline",IF($O1930=0,"No result",IF($N1930=0,"No Start (attainment only)",IF(OR($N1930=1,$O1930=1),"U – needs rule",INDEX(MxBody,MATCH($I1930,MxCurr,0),MATCH($H1930,MxStart,0)))))))</f>
        <v/>
      </c>
      <c r="L1930" s="62" t="str">
        <f aca="false">IF(COUNTA($A1930,$F1930,$G1930,$H1930,$I1930,$J1930)=0,"",IF($M1930=0,"✖ كود الصف غير موجود",IF(ISNA(MATCH($F1930,Lists!$A$2:$A$5,0)),"✖ الفترة غير صحيحة",IF(ISNA(MATCH($G1930,Lists!$B$2:$B$7,0)),"✖ المجموعة غير صحيحة",IF(NOT(OR($H1930="",$N1930&gt;0)),"✖ Start غير صحيح",IF(NOT(OR($I1930="",$I1930="NR",$O1930&gt;0)),"✖ Current غير صحيح",IF(NOT(IF(ISNUMBER($J1930),AND($J1930&gt;=0,$J1930=INT($J1930)),FALSE())),"✖ العدد يجب أن يكون صحيحًا ≥ 0",IF(AND($F1930="Baseline",$H1930&lt;&gt;""),"⚠ Baseline: Start لا يدخل في التقدم",IF($K1930="No Start (attainment only)","ℹ تحصيل فقط (بدون Start)",IF($K1930="U – needs rule","ℹ حالة U تحتاج قاعدة معتمدة",IF($K1930="No result","ℹ بدون نتيجة (يُستبعد من التحصيل)","OK")))))))))))</f>
        <v/>
      </c>
      <c r="M1930" s="64" t="n">
        <f aca="false">IF($A1930="",0,IFERROR(MATCH($A1930,Classes!$A$6:$A$420,0),0))</f>
        <v>0</v>
      </c>
      <c r="N1930" s="64" t="n">
        <f aca="false">IF($H1930="",0,IFERROR(MATCH($H1930,GradeList,0),0))</f>
        <v>0</v>
      </c>
      <c r="O1930" s="64" t="n">
        <f aca="false">IF(OR($I1930="",$I1930="NR"),0,IFERROR(MATCH($I1930,GradeList,0),0))</f>
        <v>0</v>
      </c>
      <c r="P1930" s="64" t="n">
        <f aca="false">IF(AND($M1930&gt;0,ISNUMBER(MATCH($F1930,Lists!$A$2:$A$5,0)),ISNUMBER(MATCH($G1930,Lists!$B$2:$B$7,0)),OR($H1930="",$N1930&gt;0),OR($I1930="",$I1930="NR",$O1930&gt;0),IF(ISNUMBER($J1930),AND($J1930&gt;=0,$J1930=INT($J1930)),FALSE())),$J1930,0)</f>
        <v>0</v>
      </c>
      <c r="Q1930" s="64" t="n">
        <f aca="false">IF(AND($P1930&gt;0,$O1930&gt;0),$P1930,0)</f>
        <v>0</v>
      </c>
      <c r="R1930" s="64" t="n">
        <f aca="false">IF(AND($Q1930&gt;0,$O1930&gt;=AtRank),$Q1930,0)</f>
        <v>0</v>
      </c>
      <c r="S1930" s="64" t="n">
        <f aca="false">IF(AND($Q1930&gt;0,$O1930&gt;=AboveRank),$Q1930,0)</f>
        <v>0</v>
      </c>
      <c r="T1930" s="64" t="n">
        <f aca="false">IF($K1930="Less",$P1930,0)</f>
        <v>0</v>
      </c>
      <c r="U1930" s="64" t="n">
        <f aca="false">IF($K1930="Expected",$P1930,0)</f>
        <v>0</v>
      </c>
      <c r="V1930" s="64" t="n">
        <f aca="false">IF($K1930="Better",$P1930,0)</f>
        <v>0</v>
      </c>
      <c r="W1930" s="64" t="n">
        <f aca="false">IF($K1930="U – needs rule",$P1930,0)</f>
        <v>0</v>
      </c>
      <c r="X1930" s="64" t="n">
        <f aca="false">IF($K1930="No Start (attainment only)",$P1930,0)</f>
        <v>0</v>
      </c>
    </row>
    <row r="1931" customFormat="false" ht="15" hidden="false" customHeight="false" outlineLevel="0" collapsed="false">
      <c r="A1931" s="60"/>
      <c r="B1931" s="61" t="str">
        <f aca="false">IF($M1931=0,"",INDEX(Classes!$E$6:$E$420,$M1931))</f>
        <v/>
      </c>
      <c r="C1931" s="62" t="str">
        <f aca="false">IF($M1931=0,"",INDEX(Classes!$H$6:$H$420,$M1931))</f>
        <v/>
      </c>
      <c r="D1931" s="61" t="str">
        <f aca="false">IF($M1931=0,"",INDEX(Classes!$B$6:$B$420,$M1931))</f>
        <v/>
      </c>
      <c r="E1931" s="61" t="str">
        <f aca="false">IF($M1931=0,"",INDEX(Classes!$C$6:$C$420,$M1931))</f>
        <v/>
      </c>
      <c r="F1931" s="63"/>
      <c r="G1931" s="63"/>
      <c r="H1931" s="60"/>
      <c r="I1931" s="60"/>
      <c r="J1931" s="63"/>
      <c r="K1931" s="61" t="str">
        <f aca="false">IF($P1931=0,"",IF($F1931="Baseline","— Baseline",IF($O1931=0,"No result",IF($N1931=0,"No Start (attainment only)",IF(OR($N1931=1,$O1931=1),"U – needs rule",INDEX(MxBody,MATCH($I1931,MxCurr,0),MATCH($H1931,MxStart,0)))))))</f>
        <v/>
      </c>
      <c r="L1931" s="62" t="str">
        <f aca="false">IF(COUNTA($A1931,$F1931,$G1931,$H1931,$I1931,$J1931)=0,"",IF($M1931=0,"✖ كود الصف غير موجود",IF(ISNA(MATCH($F1931,Lists!$A$2:$A$5,0)),"✖ الفترة غير صحيحة",IF(ISNA(MATCH($G1931,Lists!$B$2:$B$7,0)),"✖ المجموعة غير صحيحة",IF(NOT(OR($H1931="",$N1931&gt;0)),"✖ Start غير صحيح",IF(NOT(OR($I1931="",$I1931="NR",$O1931&gt;0)),"✖ Current غير صحيح",IF(NOT(IF(ISNUMBER($J1931),AND($J1931&gt;=0,$J1931=INT($J1931)),FALSE())),"✖ العدد يجب أن يكون صحيحًا ≥ 0",IF(AND($F1931="Baseline",$H1931&lt;&gt;""),"⚠ Baseline: Start لا يدخل في التقدم",IF($K1931="No Start (attainment only)","ℹ تحصيل فقط (بدون Start)",IF($K1931="U – needs rule","ℹ حالة U تحتاج قاعدة معتمدة",IF($K1931="No result","ℹ بدون نتيجة (يُستبعد من التحصيل)","OK")))))))))))</f>
        <v/>
      </c>
      <c r="M1931" s="64" t="n">
        <f aca="false">IF($A1931="",0,IFERROR(MATCH($A1931,Classes!$A$6:$A$420,0),0))</f>
        <v>0</v>
      </c>
      <c r="N1931" s="64" t="n">
        <f aca="false">IF($H1931="",0,IFERROR(MATCH($H1931,GradeList,0),0))</f>
        <v>0</v>
      </c>
      <c r="O1931" s="64" t="n">
        <f aca="false">IF(OR($I1931="",$I1931="NR"),0,IFERROR(MATCH($I1931,GradeList,0),0))</f>
        <v>0</v>
      </c>
      <c r="P1931" s="64" t="n">
        <f aca="false">IF(AND($M1931&gt;0,ISNUMBER(MATCH($F1931,Lists!$A$2:$A$5,0)),ISNUMBER(MATCH($G1931,Lists!$B$2:$B$7,0)),OR($H1931="",$N1931&gt;0),OR($I1931="",$I1931="NR",$O1931&gt;0),IF(ISNUMBER($J1931),AND($J1931&gt;=0,$J1931=INT($J1931)),FALSE())),$J1931,0)</f>
        <v>0</v>
      </c>
      <c r="Q1931" s="64" t="n">
        <f aca="false">IF(AND($P1931&gt;0,$O1931&gt;0),$P1931,0)</f>
        <v>0</v>
      </c>
      <c r="R1931" s="64" t="n">
        <f aca="false">IF(AND($Q1931&gt;0,$O1931&gt;=AtRank),$Q1931,0)</f>
        <v>0</v>
      </c>
      <c r="S1931" s="64" t="n">
        <f aca="false">IF(AND($Q1931&gt;0,$O1931&gt;=AboveRank),$Q1931,0)</f>
        <v>0</v>
      </c>
      <c r="T1931" s="64" t="n">
        <f aca="false">IF($K1931="Less",$P1931,0)</f>
        <v>0</v>
      </c>
      <c r="U1931" s="64" t="n">
        <f aca="false">IF($K1931="Expected",$P1931,0)</f>
        <v>0</v>
      </c>
      <c r="V1931" s="64" t="n">
        <f aca="false">IF($K1931="Better",$P1931,0)</f>
        <v>0</v>
      </c>
      <c r="W1931" s="64" t="n">
        <f aca="false">IF($K1931="U – needs rule",$P1931,0)</f>
        <v>0</v>
      </c>
      <c r="X1931" s="64" t="n">
        <f aca="false">IF($K1931="No Start (attainment only)",$P1931,0)</f>
        <v>0</v>
      </c>
    </row>
    <row r="1932" customFormat="false" ht="15" hidden="false" customHeight="false" outlineLevel="0" collapsed="false">
      <c r="A1932" s="60"/>
      <c r="B1932" s="61" t="str">
        <f aca="false">IF($M1932=0,"",INDEX(Classes!$E$6:$E$420,$M1932))</f>
        <v/>
      </c>
      <c r="C1932" s="62" t="str">
        <f aca="false">IF($M1932=0,"",INDEX(Classes!$H$6:$H$420,$M1932))</f>
        <v/>
      </c>
      <c r="D1932" s="61" t="str">
        <f aca="false">IF($M1932=0,"",INDEX(Classes!$B$6:$B$420,$M1932))</f>
        <v/>
      </c>
      <c r="E1932" s="61" t="str">
        <f aca="false">IF($M1932=0,"",INDEX(Classes!$C$6:$C$420,$M1932))</f>
        <v/>
      </c>
      <c r="F1932" s="63"/>
      <c r="G1932" s="63"/>
      <c r="H1932" s="60"/>
      <c r="I1932" s="60"/>
      <c r="J1932" s="63"/>
      <c r="K1932" s="61" t="str">
        <f aca="false">IF($P1932=0,"",IF($F1932="Baseline","— Baseline",IF($O1932=0,"No result",IF($N1932=0,"No Start (attainment only)",IF(OR($N1932=1,$O1932=1),"U – needs rule",INDEX(MxBody,MATCH($I1932,MxCurr,0),MATCH($H1932,MxStart,0)))))))</f>
        <v/>
      </c>
      <c r="L1932" s="62" t="str">
        <f aca="false">IF(COUNTA($A1932,$F1932,$G1932,$H1932,$I1932,$J1932)=0,"",IF($M1932=0,"✖ كود الصف غير موجود",IF(ISNA(MATCH($F1932,Lists!$A$2:$A$5,0)),"✖ الفترة غير صحيحة",IF(ISNA(MATCH($G1932,Lists!$B$2:$B$7,0)),"✖ المجموعة غير صحيحة",IF(NOT(OR($H1932="",$N1932&gt;0)),"✖ Start غير صحيح",IF(NOT(OR($I1932="",$I1932="NR",$O1932&gt;0)),"✖ Current غير صحيح",IF(NOT(IF(ISNUMBER($J1932),AND($J1932&gt;=0,$J1932=INT($J1932)),FALSE())),"✖ العدد يجب أن يكون صحيحًا ≥ 0",IF(AND($F1932="Baseline",$H1932&lt;&gt;""),"⚠ Baseline: Start لا يدخل في التقدم",IF($K1932="No Start (attainment only)","ℹ تحصيل فقط (بدون Start)",IF($K1932="U – needs rule","ℹ حالة U تحتاج قاعدة معتمدة",IF($K1932="No result","ℹ بدون نتيجة (يُستبعد من التحصيل)","OK")))))))))))</f>
        <v/>
      </c>
      <c r="M1932" s="64" t="n">
        <f aca="false">IF($A1932="",0,IFERROR(MATCH($A1932,Classes!$A$6:$A$420,0),0))</f>
        <v>0</v>
      </c>
      <c r="N1932" s="64" t="n">
        <f aca="false">IF($H1932="",0,IFERROR(MATCH($H1932,GradeList,0),0))</f>
        <v>0</v>
      </c>
      <c r="O1932" s="64" t="n">
        <f aca="false">IF(OR($I1932="",$I1932="NR"),0,IFERROR(MATCH($I1932,GradeList,0),0))</f>
        <v>0</v>
      </c>
      <c r="P1932" s="64" t="n">
        <f aca="false">IF(AND($M1932&gt;0,ISNUMBER(MATCH($F1932,Lists!$A$2:$A$5,0)),ISNUMBER(MATCH($G1932,Lists!$B$2:$B$7,0)),OR($H1932="",$N1932&gt;0),OR($I1932="",$I1932="NR",$O1932&gt;0),IF(ISNUMBER($J1932),AND($J1932&gt;=0,$J1932=INT($J1932)),FALSE())),$J1932,0)</f>
        <v>0</v>
      </c>
      <c r="Q1932" s="64" t="n">
        <f aca="false">IF(AND($P1932&gt;0,$O1932&gt;0),$P1932,0)</f>
        <v>0</v>
      </c>
      <c r="R1932" s="64" t="n">
        <f aca="false">IF(AND($Q1932&gt;0,$O1932&gt;=AtRank),$Q1932,0)</f>
        <v>0</v>
      </c>
      <c r="S1932" s="64" t="n">
        <f aca="false">IF(AND($Q1932&gt;0,$O1932&gt;=AboveRank),$Q1932,0)</f>
        <v>0</v>
      </c>
      <c r="T1932" s="64" t="n">
        <f aca="false">IF($K1932="Less",$P1932,0)</f>
        <v>0</v>
      </c>
      <c r="U1932" s="64" t="n">
        <f aca="false">IF($K1932="Expected",$P1932,0)</f>
        <v>0</v>
      </c>
      <c r="V1932" s="64" t="n">
        <f aca="false">IF($K1932="Better",$P1932,0)</f>
        <v>0</v>
      </c>
      <c r="W1932" s="64" t="n">
        <f aca="false">IF($K1932="U – needs rule",$P1932,0)</f>
        <v>0</v>
      </c>
      <c r="X1932" s="64" t="n">
        <f aca="false">IF($K1932="No Start (attainment only)",$P1932,0)</f>
        <v>0</v>
      </c>
    </row>
    <row r="1933" customFormat="false" ht="15" hidden="false" customHeight="false" outlineLevel="0" collapsed="false">
      <c r="A1933" s="60"/>
      <c r="B1933" s="61" t="str">
        <f aca="false">IF($M1933=0,"",INDEX(Classes!$E$6:$E$420,$M1933))</f>
        <v/>
      </c>
      <c r="C1933" s="62" t="str">
        <f aca="false">IF($M1933=0,"",INDEX(Classes!$H$6:$H$420,$M1933))</f>
        <v/>
      </c>
      <c r="D1933" s="61" t="str">
        <f aca="false">IF($M1933=0,"",INDEX(Classes!$B$6:$B$420,$M1933))</f>
        <v/>
      </c>
      <c r="E1933" s="61" t="str">
        <f aca="false">IF($M1933=0,"",INDEX(Classes!$C$6:$C$420,$M1933))</f>
        <v/>
      </c>
      <c r="F1933" s="63"/>
      <c r="G1933" s="63"/>
      <c r="H1933" s="60"/>
      <c r="I1933" s="60"/>
      <c r="J1933" s="63"/>
      <c r="K1933" s="61" t="str">
        <f aca="false">IF($P1933=0,"",IF($F1933="Baseline","— Baseline",IF($O1933=0,"No result",IF($N1933=0,"No Start (attainment only)",IF(OR($N1933=1,$O1933=1),"U – needs rule",INDEX(MxBody,MATCH($I1933,MxCurr,0),MATCH($H1933,MxStart,0)))))))</f>
        <v/>
      </c>
      <c r="L1933" s="62" t="str">
        <f aca="false">IF(COUNTA($A1933,$F1933,$G1933,$H1933,$I1933,$J1933)=0,"",IF($M1933=0,"✖ كود الصف غير موجود",IF(ISNA(MATCH($F1933,Lists!$A$2:$A$5,0)),"✖ الفترة غير صحيحة",IF(ISNA(MATCH($G1933,Lists!$B$2:$B$7,0)),"✖ المجموعة غير صحيحة",IF(NOT(OR($H1933="",$N1933&gt;0)),"✖ Start غير صحيح",IF(NOT(OR($I1933="",$I1933="NR",$O1933&gt;0)),"✖ Current غير صحيح",IF(NOT(IF(ISNUMBER($J1933),AND($J1933&gt;=0,$J1933=INT($J1933)),FALSE())),"✖ العدد يجب أن يكون صحيحًا ≥ 0",IF(AND($F1933="Baseline",$H1933&lt;&gt;""),"⚠ Baseline: Start لا يدخل في التقدم",IF($K1933="No Start (attainment only)","ℹ تحصيل فقط (بدون Start)",IF($K1933="U – needs rule","ℹ حالة U تحتاج قاعدة معتمدة",IF($K1933="No result","ℹ بدون نتيجة (يُستبعد من التحصيل)","OK")))))))))))</f>
        <v/>
      </c>
      <c r="M1933" s="64" t="n">
        <f aca="false">IF($A1933="",0,IFERROR(MATCH($A1933,Classes!$A$6:$A$420,0),0))</f>
        <v>0</v>
      </c>
      <c r="N1933" s="64" t="n">
        <f aca="false">IF($H1933="",0,IFERROR(MATCH($H1933,GradeList,0),0))</f>
        <v>0</v>
      </c>
      <c r="O1933" s="64" t="n">
        <f aca="false">IF(OR($I1933="",$I1933="NR"),0,IFERROR(MATCH($I1933,GradeList,0),0))</f>
        <v>0</v>
      </c>
      <c r="P1933" s="64" t="n">
        <f aca="false">IF(AND($M1933&gt;0,ISNUMBER(MATCH($F1933,Lists!$A$2:$A$5,0)),ISNUMBER(MATCH($G1933,Lists!$B$2:$B$7,0)),OR($H1933="",$N1933&gt;0),OR($I1933="",$I1933="NR",$O1933&gt;0),IF(ISNUMBER($J1933),AND($J1933&gt;=0,$J1933=INT($J1933)),FALSE())),$J1933,0)</f>
        <v>0</v>
      </c>
      <c r="Q1933" s="64" t="n">
        <f aca="false">IF(AND($P1933&gt;0,$O1933&gt;0),$P1933,0)</f>
        <v>0</v>
      </c>
      <c r="R1933" s="64" t="n">
        <f aca="false">IF(AND($Q1933&gt;0,$O1933&gt;=AtRank),$Q1933,0)</f>
        <v>0</v>
      </c>
      <c r="S1933" s="64" t="n">
        <f aca="false">IF(AND($Q1933&gt;0,$O1933&gt;=AboveRank),$Q1933,0)</f>
        <v>0</v>
      </c>
      <c r="T1933" s="64" t="n">
        <f aca="false">IF($K1933="Less",$P1933,0)</f>
        <v>0</v>
      </c>
      <c r="U1933" s="64" t="n">
        <f aca="false">IF($K1933="Expected",$P1933,0)</f>
        <v>0</v>
      </c>
      <c r="V1933" s="64" t="n">
        <f aca="false">IF($K1933="Better",$P1933,0)</f>
        <v>0</v>
      </c>
      <c r="W1933" s="64" t="n">
        <f aca="false">IF($K1933="U – needs rule",$P1933,0)</f>
        <v>0</v>
      </c>
      <c r="X1933" s="64" t="n">
        <f aca="false">IF($K1933="No Start (attainment only)",$P1933,0)</f>
        <v>0</v>
      </c>
    </row>
    <row r="1934" customFormat="false" ht="15" hidden="false" customHeight="false" outlineLevel="0" collapsed="false">
      <c r="A1934" s="60"/>
      <c r="B1934" s="61" t="str">
        <f aca="false">IF($M1934=0,"",INDEX(Classes!$E$6:$E$420,$M1934))</f>
        <v/>
      </c>
      <c r="C1934" s="62" t="str">
        <f aca="false">IF($M1934=0,"",INDEX(Classes!$H$6:$H$420,$M1934))</f>
        <v/>
      </c>
      <c r="D1934" s="61" t="str">
        <f aca="false">IF($M1934=0,"",INDEX(Classes!$B$6:$B$420,$M1934))</f>
        <v/>
      </c>
      <c r="E1934" s="61" t="str">
        <f aca="false">IF($M1934=0,"",INDEX(Classes!$C$6:$C$420,$M1934))</f>
        <v/>
      </c>
      <c r="F1934" s="63"/>
      <c r="G1934" s="63"/>
      <c r="H1934" s="60"/>
      <c r="I1934" s="60"/>
      <c r="J1934" s="63"/>
      <c r="K1934" s="61" t="str">
        <f aca="false">IF($P1934=0,"",IF($F1934="Baseline","— Baseline",IF($O1934=0,"No result",IF($N1934=0,"No Start (attainment only)",IF(OR($N1934=1,$O1934=1),"U – needs rule",INDEX(MxBody,MATCH($I1934,MxCurr,0),MATCH($H1934,MxStart,0)))))))</f>
        <v/>
      </c>
      <c r="L1934" s="62" t="str">
        <f aca="false">IF(COUNTA($A1934,$F1934,$G1934,$H1934,$I1934,$J1934)=0,"",IF($M1934=0,"✖ كود الصف غير موجود",IF(ISNA(MATCH($F1934,Lists!$A$2:$A$5,0)),"✖ الفترة غير صحيحة",IF(ISNA(MATCH($G1934,Lists!$B$2:$B$7,0)),"✖ المجموعة غير صحيحة",IF(NOT(OR($H1934="",$N1934&gt;0)),"✖ Start غير صحيح",IF(NOT(OR($I1934="",$I1934="NR",$O1934&gt;0)),"✖ Current غير صحيح",IF(NOT(IF(ISNUMBER($J1934),AND($J1934&gt;=0,$J1934=INT($J1934)),FALSE())),"✖ العدد يجب أن يكون صحيحًا ≥ 0",IF(AND($F1934="Baseline",$H1934&lt;&gt;""),"⚠ Baseline: Start لا يدخل في التقدم",IF($K1934="No Start (attainment only)","ℹ تحصيل فقط (بدون Start)",IF($K1934="U – needs rule","ℹ حالة U تحتاج قاعدة معتمدة",IF($K1934="No result","ℹ بدون نتيجة (يُستبعد من التحصيل)","OK")))))))))))</f>
        <v/>
      </c>
      <c r="M1934" s="64" t="n">
        <f aca="false">IF($A1934="",0,IFERROR(MATCH($A1934,Classes!$A$6:$A$420,0),0))</f>
        <v>0</v>
      </c>
      <c r="N1934" s="64" t="n">
        <f aca="false">IF($H1934="",0,IFERROR(MATCH($H1934,GradeList,0),0))</f>
        <v>0</v>
      </c>
      <c r="O1934" s="64" t="n">
        <f aca="false">IF(OR($I1934="",$I1934="NR"),0,IFERROR(MATCH($I1934,GradeList,0),0))</f>
        <v>0</v>
      </c>
      <c r="P1934" s="64" t="n">
        <f aca="false">IF(AND($M1934&gt;0,ISNUMBER(MATCH($F1934,Lists!$A$2:$A$5,0)),ISNUMBER(MATCH($G1934,Lists!$B$2:$B$7,0)),OR($H1934="",$N1934&gt;0),OR($I1934="",$I1934="NR",$O1934&gt;0),IF(ISNUMBER($J1934),AND($J1934&gt;=0,$J1934=INT($J1934)),FALSE())),$J1934,0)</f>
        <v>0</v>
      </c>
      <c r="Q1934" s="64" t="n">
        <f aca="false">IF(AND($P1934&gt;0,$O1934&gt;0),$P1934,0)</f>
        <v>0</v>
      </c>
      <c r="R1934" s="64" t="n">
        <f aca="false">IF(AND($Q1934&gt;0,$O1934&gt;=AtRank),$Q1934,0)</f>
        <v>0</v>
      </c>
      <c r="S1934" s="64" t="n">
        <f aca="false">IF(AND($Q1934&gt;0,$O1934&gt;=AboveRank),$Q1934,0)</f>
        <v>0</v>
      </c>
      <c r="T1934" s="64" t="n">
        <f aca="false">IF($K1934="Less",$P1934,0)</f>
        <v>0</v>
      </c>
      <c r="U1934" s="64" t="n">
        <f aca="false">IF($K1934="Expected",$P1934,0)</f>
        <v>0</v>
      </c>
      <c r="V1934" s="64" t="n">
        <f aca="false">IF($K1934="Better",$P1934,0)</f>
        <v>0</v>
      </c>
      <c r="W1934" s="64" t="n">
        <f aca="false">IF($K1934="U – needs rule",$P1934,0)</f>
        <v>0</v>
      </c>
      <c r="X1934" s="64" t="n">
        <f aca="false">IF($K1934="No Start (attainment only)",$P1934,0)</f>
        <v>0</v>
      </c>
    </row>
    <row r="1935" customFormat="false" ht="15" hidden="false" customHeight="false" outlineLevel="0" collapsed="false">
      <c r="A1935" s="60"/>
      <c r="B1935" s="61" t="str">
        <f aca="false">IF($M1935=0,"",INDEX(Classes!$E$6:$E$420,$M1935))</f>
        <v/>
      </c>
      <c r="C1935" s="62" t="str">
        <f aca="false">IF($M1935=0,"",INDEX(Classes!$H$6:$H$420,$M1935))</f>
        <v/>
      </c>
      <c r="D1935" s="61" t="str">
        <f aca="false">IF($M1935=0,"",INDEX(Classes!$B$6:$B$420,$M1935))</f>
        <v/>
      </c>
      <c r="E1935" s="61" t="str">
        <f aca="false">IF($M1935=0,"",INDEX(Classes!$C$6:$C$420,$M1935))</f>
        <v/>
      </c>
      <c r="F1935" s="63"/>
      <c r="G1935" s="63"/>
      <c r="H1935" s="60"/>
      <c r="I1935" s="60"/>
      <c r="J1935" s="63"/>
      <c r="K1935" s="61" t="str">
        <f aca="false">IF($P1935=0,"",IF($F1935="Baseline","— Baseline",IF($O1935=0,"No result",IF($N1935=0,"No Start (attainment only)",IF(OR($N1935=1,$O1935=1),"U – needs rule",INDEX(MxBody,MATCH($I1935,MxCurr,0),MATCH($H1935,MxStart,0)))))))</f>
        <v/>
      </c>
      <c r="L1935" s="62" t="str">
        <f aca="false">IF(COUNTA($A1935,$F1935,$G1935,$H1935,$I1935,$J1935)=0,"",IF($M1935=0,"✖ كود الصف غير موجود",IF(ISNA(MATCH($F1935,Lists!$A$2:$A$5,0)),"✖ الفترة غير صحيحة",IF(ISNA(MATCH($G1935,Lists!$B$2:$B$7,0)),"✖ المجموعة غير صحيحة",IF(NOT(OR($H1935="",$N1935&gt;0)),"✖ Start غير صحيح",IF(NOT(OR($I1935="",$I1935="NR",$O1935&gt;0)),"✖ Current غير صحيح",IF(NOT(IF(ISNUMBER($J1935),AND($J1935&gt;=0,$J1935=INT($J1935)),FALSE())),"✖ العدد يجب أن يكون صحيحًا ≥ 0",IF(AND($F1935="Baseline",$H1935&lt;&gt;""),"⚠ Baseline: Start لا يدخل في التقدم",IF($K1935="No Start (attainment only)","ℹ تحصيل فقط (بدون Start)",IF($K1935="U – needs rule","ℹ حالة U تحتاج قاعدة معتمدة",IF($K1935="No result","ℹ بدون نتيجة (يُستبعد من التحصيل)","OK")))))))))))</f>
        <v/>
      </c>
      <c r="M1935" s="64" t="n">
        <f aca="false">IF($A1935="",0,IFERROR(MATCH($A1935,Classes!$A$6:$A$420,0),0))</f>
        <v>0</v>
      </c>
      <c r="N1935" s="64" t="n">
        <f aca="false">IF($H1935="",0,IFERROR(MATCH($H1935,GradeList,0),0))</f>
        <v>0</v>
      </c>
      <c r="O1935" s="64" t="n">
        <f aca="false">IF(OR($I1935="",$I1935="NR"),0,IFERROR(MATCH($I1935,GradeList,0),0))</f>
        <v>0</v>
      </c>
      <c r="P1935" s="64" t="n">
        <f aca="false">IF(AND($M1935&gt;0,ISNUMBER(MATCH($F1935,Lists!$A$2:$A$5,0)),ISNUMBER(MATCH($G1935,Lists!$B$2:$B$7,0)),OR($H1935="",$N1935&gt;0),OR($I1935="",$I1935="NR",$O1935&gt;0),IF(ISNUMBER($J1935),AND($J1935&gt;=0,$J1935=INT($J1935)),FALSE())),$J1935,0)</f>
        <v>0</v>
      </c>
      <c r="Q1935" s="64" t="n">
        <f aca="false">IF(AND($P1935&gt;0,$O1935&gt;0),$P1935,0)</f>
        <v>0</v>
      </c>
      <c r="R1935" s="64" t="n">
        <f aca="false">IF(AND($Q1935&gt;0,$O1935&gt;=AtRank),$Q1935,0)</f>
        <v>0</v>
      </c>
      <c r="S1935" s="64" t="n">
        <f aca="false">IF(AND($Q1935&gt;0,$O1935&gt;=AboveRank),$Q1935,0)</f>
        <v>0</v>
      </c>
      <c r="T1935" s="64" t="n">
        <f aca="false">IF($K1935="Less",$P1935,0)</f>
        <v>0</v>
      </c>
      <c r="U1935" s="64" t="n">
        <f aca="false">IF($K1935="Expected",$P1935,0)</f>
        <v>0</v>
      </c>
      <c r="V1935" s="64" t="n">
        <f aca="false">IF($K1935="Better",$P1935,0)</f>
        <v>0</v>
      </c>
      <c r="W1935" s="64" t="n">
        <f aca="false">IF($K1935="U – needs rule",$P1935,0)</f>
        <v>0</v>
      </c>
      <c r="X1935" s="64" t="n">
        <f aca="false">IF($K1935="No Start (attainment only)",$P1935,0)</f>
        <v>0</v>
      </c>
    </row>
    <row r="1936" customFormat="false" ht="15" hidden="false" customHeight="false" outlineLevel="0" collapsed="false">
      <c r="A1936" s="60"/>
      <c r="B1936" s="61" t="str">
        <f aca="false">IF($M1936=0,"",INDEX(Classes!$E$6:$E$420,$M1936))</f>
        <v/>
      </c>
      <c r="C1936" s="62" t="str">
        <f aca="false">IF($M1936=0,"",INDEX(Classes!$H$6:$H$420,$M1936))</f>
        <v/>
      </c>
      <c r="D1936" s="61" t="str">
        <f aca="false">IF($M1936=0,"",INDEX(Classes!$B$6:$B$420,$M1936))</f>
        <v/>
      </c>
      <c r="E1936" s="61" t="str">
        <f aca="false">IF($M1936=0,"",INDEX(Classes!$C$6:$C$420,$M1936))</f>
        <v/>
      </c>
      <c r="F1936" s="63"/>
      <c r="G1936" s="63"/>
      <c r="H1936" s="60"/>
      <c r="I1936" s="60"/>
      <c r="J1936" s="63"/>
      <c r="K1936" s="61" t="str">
        <f aca="false">IF($P1936=0,"",IF($F1936="Baseline","— Baseline",IF($O1936=0,"No result",IF($N1936=0,"No Start (attainment only)",IF(OR($N1936=1,$O1936=1),"U – needs rule",INDEX(MxBody,MATCH($I1936,MxCurr,0),MATCH($H1936,MxStart,0)))))))</f>
        <v/>
      </c>
      <c r="L1936" s="62" t="str">
        <f aca="false">IF(COUNTA($A1936,$F1936,$G1936,$H1936,$I1936,$J1936)=0,"",IF($M1936=0,"✖ كود الصف غير موجود",IF(ISNA(MATCH($F1936,Lists!$A$2:$A$5,0)),"✖ الفترة غير صحيحة",IF(ISNA(MATCH($G1936,Lists!$B$2:$B$7,0)),"✖ المجموعة غير صحيحة",IF(NOT(OR($H1936="",$N1936&gt;0)),"✖ Start غير صحيح",IF(NOT(OR($I1936="",$I1936="NR",$O1936&gt;0)),"✖ Current غير صحيح",IF(NOT(IF(ISNUMBER($J1936),AND($J1936&gt;=0,$J1936=INT($J1936)),FALSE())),"✖ العدد يجب أن يكون صحيحًا ≥ 0",IF(AND($F1936="Baseline",$H1936&lt;&gt;""),"⚠ Baseline: Start لا يدخل في التقدم",IF($K1936="No Start (attainment only)","ℹ تحصيل فقط (بدون Start)",IF($K1936="U – needs rule","ℹ حالة U تحتاج قاعدة معتمدة",IF($K1936="No result","ℹ بدون نتيجة (يُستبعد من التحصيل)","OK")))))))))))</f>
        <v/>
      </c>
      <c r="M1936" s="64" t="n">
        <f aca="false">IF($A1936="",0,IFERROR(MATCH($A1936,Classes!$A$6:$A$420,0),0))</f>
        <v>0</v>
      </c>
      <c r="N1936" s="64" t="n">
        <f aca="false">IF($H1936="",0,IFERROR(MATCH($H1936,GradeList,0),0))</f>
        <v>0</v>
      </c>
      <c r="O1936" s="64" t="n">
        <f aca="false">IF(OR($I1936="",$I1936="NR"),0,IFERROR(MATCH($I1936,GradeList,0),0))</f>
        <v>0</v>
      </c>
      <c r="P1936" s="64" t="n">
        <f aca="false">IF(AND($M1936&gt;0,ISNUMBER(MATCH($F1936,Lists!$A$2:$A$5,0)),ISNUMBER(MATCH($G1936,Lists!$B$2:$B$7,0)),OR($H1936="",$N1936&gt;0),OR($I1936="",$I1936="NR",$O1936&gt;0),IF(ISNUMBER($J1936),AND($J1936&gt;=0,$J1936=INT($J1936)),FALSE())),$J1936,0)</f>
        <v>0</v>
      </c>
      <c r="Q1936" s="64" t="n">
        <f aca="false">IF(AND($P1936&gt;0,$O1936&gt;0),$P1936,0)</f>
        <v>0</v>
      </c>
      <c r="R1936" s="64" t="n">
        <f aca="false">IF(AND($Q1936&gt;0,$O1936&gt;=AtRank),$Q1936,0)</f>
        <v>0</v>
      </c>
      <c r="S1936" s="64" t="n">
        <f aca="false">IF(AND($Q1936&gt;0,$O1936&gt;=AboveRank),$Q1936,0)</f>
        <v>0</v>
      </c>
      <c r="T1936" s="64" t="n">
        <f aca="false">IF($K1936="Less",$P1936,0)</f>
        <v>0</v>
      </c>
      <c r="U1936" s="64" t="n">
        <f aca="false">IF($K1936="Expected",$P1936,0)</f>
        <v>0</v>
      </c>
      <c r="V1936" s="64" t="n">
        <f aca="false">IF($K1936="Better",$P1936,0)</f>
        <v>0</v>
      </c>
      <c r="W1936" s="64" t="n">
        <f aca="false">IF($K1936="U – needs rule",$P1936,0)</f>
        <v>0</v>
      </c>
      <c r="X1936" s="64" t="n">
        <f aca="false">IF($K1936="No Start (attainment only)",$P1936,0)</f>
        <v>0</v>
      </c>
    </row>
    <row r="1937" customFormat="false" ht="15" hidden="false" customHeight="false" outlineLevel="0" collapsed="false">
      <c r="A1937" s="60"/>
      <c r="B1937" s="61" t="str">
        <f aca="false">IF($M1937=0,"",INDEX(Classes!$E$6:$E$420,$M1937))</f>
        <v/>
      </c>
      <c r="C1937" s="62" t="str">
        <f aca="false">IF($M1937=0,"",INDEX(Classes!$H$6:$H$420,$M1937))</f>
        <v/>
      </c>
      <c r="D1937" s="61" t="str">
        <f aca="false">IF($M1937=0,"",INDEX(Classes!$B$6:$B$420,$M1937))</f>
        <v/>
      </c>
      <c r="E1937" s="61" t="str">
        <f aca="false">IF($M1937=0,"",INDEX(Classes!$C$6:$C$420,$M1937))</f>
        <v/>
      </c>
      <c r="F1937" s="63"/>
      <c r="G1937" s="63"/>
      <c r="H1937" s="60"/>
      <c r="I1937" s="60"/>
      <c r="J1937" s="63"/>
      <c r="K1937" s="61" t="str">
        <f aca="false">IF($P1937=0,"",IF($F1937="Baseline","— Baseline",IF($O1937=0,"No result",IF($N1937=0,"No Start (attainment only)",IF(OR($N1937=1,$O1937=1),"U – needs rule",INDEX(MxBody,MATCH($I1937,MxCurr,0),MATCH($H1937,MxStart,0)))))))</f>
        <v/>
      </c>
      <c r="L1937" s="62" t="str">
        <f aca="false">IF(COUNTA($A1937,$F1937,$G1937,$H1937,$I1937,$J1937)=0,"",IF($M1937=0,"✖ كود الصف غير موجود",IF(ISNA(MATCH($F1937,Lists!$A$2:$A$5,0)),"✖ الفترة غير صحيحة",IF(ISNA(MATCH($G1937,Lists!$B$2:$B$7,0)),"✖ المجموعة غير صحيحة",IF(NOT(OR($H1937="",$N1937&gt;0)),"✖ Start غير صحيح",IF(NOT(OR($I1937="",$I1937="NR",$O1937&gt;0)),"✖ Current غير صحيح",IF(NOT(IF(ISNUMBER($J1937),AND($J1937&gt;=0,$J1937=INT($J1937)),FALSE())),"✖ العدد يجب أن يكون صحيحًا ≥ 0",IF(AND($F1937="Baseline",$H1937&lt;&gt;""),"⚠ Baseline: Start لا يدخل في التقدم",IF($K1937="No Start (attainment only)","ℹ تحصيل فقط (بدون Start)",IF($K1937="U – needs rule","ℹ حالة U تحتاج قاعدة معتمدة",IF($K1937="No result","ℹ بدون نتيجة (يُستبعد من التحصيل)","OK")))))))))))</f>
        <v/>
      </c>
      <c r="M1937" s="64" t="n">
        <f aca="false">IF($A1937="",0,IFERROR(MATCH($A1937,Classes!$A$6:$A$420,0),0))</f>
        <v>0</v>
      </c>
      <c r="N1937" s="64" t="n">
        <f aca="false">IF($H1937="",0,IFERROR(MATCH($H1937,GradeList,0),0))</f>
        <v>0</v>
      </c>
      <c r="O1937" s="64" t="n">
        <f aca="false">IF(OR($I1937="",$I1937="NR"),0,IFERROR(MATCH($I1937,GradeList,0),0))</f>
        <v>0</v>
      </c>
      <c r="P1937" s="64" t="n">
        <f aca="false">IF(AND($M1937&gt;0,ISNUMBER(MATCH($F1937,Lists!$A$2:$A$5,0)),ISNUMBER(MATCH($G1937,Lists!$B$2:$B$7,0)),OR($H1937="",$N1937&gt;0),OR($I1937="",$I1937="NR",$O1937&gt;0),IF(ISNUMBER($J1937),AND($J1937&gt;=0,$J1937=INT($J1937)),FALSE())),$J1937,0)</f>
        <v>0</v>
      </c>
      <c r="Q1937" s="64" t="n">
        <f aca="false">IF(AND($P1937&gt;0,$O1937&gt;0),$P1937,0)</f>
        <v>0</v>
      </c>
      <c r="R1937" s="64" t="n">
        <f aca="false">IF(AND($Q1937&gt;0,$O1937&gt;=AtRank),$Q1937,0)</f>
        <v>0</v>
      </c>
      <c r="S1937" s="64" t="n">
        <f aca="false">IF(AND($Q1937&gt;0,$O1937&gt;=AboveRank),$Q1937,0)</f>
        <v>0</v>
      </c>
      <c r="T1937" s="64" t="n">
        <f aca="false">IF($K1937="Less",$P1937,0)</f>
        <v>0</v>
      </c>
      <c r="U1937" s="64" t="n">
        <f aca="false">IF($K1937="Expected",$P1937,0)</f>
        <v>0</v>
      </c>
      <c r="V1937" s="64" t="n">
        <f aca="false">IF($K1937="Better",$P1937,0)</f>
        <v>0</v>
      </c>
      <c r="W1937" s="64" t="n">
        <f aca="false">IF($K1937="U – needs rule",$P1937,0)</f>
        <v>0</v>
      </c>
      <c r="X1937" s="64" t="n">
        <f aca="false">IF($K1937="No Start (attainment only)",$P1937,0)</f>
        <v>0</v>
      </c>
    </row>
    <row r="1938" customFormat="false" ht="15" hidden="false" customHeight="false" outlineLevel="0" collapsed="false">
      <c r="A1938" s="60"/>
      <c r="B1938" s="61" t="str">
        <f aca="false">IF($M1938=0,"",INDEX(Classes!$E$6:$E$420,$M1938))</f>
        <v/>
      </c>
      <c r="C1938" s="62" t="str">
        <f aca="false">IF($M1938=0,"",INDEX(Classes!$H$6:$H$420,$M1938))</f>
        <v/>
      </c>
      <c r="D1938" s="61" t="str">
        <f aca="false">IF($M1938=0,"",INDEX(Classes!$B$6:$B$420,$M1938))</f>
        <v/>
      </c>
      <c r="E1938" s="61" t="str">
        <f aca="false">IF($M1938=0,"",INDEX(Classes!$C$6:$C$420,$M1938))</f>
        <v/>
      </c>
      <c r="F1938" s="63"/>
      <c r="G1938" s="63"/>
      <c r="H1938" s="60"/>
      <c r="I1938" s="60"/>
      <c r="J1938" s="63"/>
      <c r="K1938" s="61" t="str">
        <f aca="false">IF($P1938=0,"",IF($F1938="Baseline","— Baseline",IF($O1938=0,"No result",IF($N1938=0,"No Start (attainment only)",IF(OR($N1938=1,$O1938=1),"U – needs rule",INDEX(MxBody,MATCH($I1938,MxCurr,0),MATCH($H1938,MxStart,0)))))))</f>
        <v/>
      </c>
      <c r="L1938" s="62" t="str">
        <f aca="false">IF(COUNTA($A1938,$F1938,$G1938,$H1938,$I1938,$J1938)=0,"",IF($M1938=0,"✖ كود الصف غير موجود",IF(ISNA(MATCH($F1938,Lists!$A$2:$A$5,0)),"✖ الفترة غير صحيحة",IF(ISNA(MATCH($G1938,Lists!$B$2:$B$7,0)),"✖ المجموعة غير صحيحة",IF(NOT(OR($H1938="",$N1938&gt;0)),"✖ Start غير صحيح",IF(NOT(OR($I1938="",$I1938="NR",$O1938&gt;0)),"✖ Current غير صحيح",IF(NOT(IF(ISNUMBER($J1938),AND($J1938&gt;=0,$J1938=INT($J1938)),FALSE())),"✖ العدد يجب أن يكون صحيحًا ≥ 0",IF(AND($F1938="Baseline",$H1938&lt;&gt;""),"⚠ Baseline: Start لا يدخل في التقدم",IF($K1938="No Start (attainment only)","ℹ تحصيل فقط (بدون Start)",IF($K1938="U – needs rule","ℹ حالة U تحتاج قاعدة معتمدة",IF($K1938="No result","ℹ بدون نتيجة (يُستبعد من التحصيل)","OK")))))))))))</f>
        <v/>
      </c>
      <c r="M1938" s="64" t="n">
        <f aca="false">IF($A1938="",0,IFERROR(MATCH($A1938,Classes!$A$6:$A$420,0),0))</f>
        <v>0</v>
      </c>
      <c r="N1938" s="64" t="n">
        <f aca="false">IF($H1938="",0,IFERROR(MATCH($H1938,GradeList,0),0))</f>
        <v>0</v>
      </c>
      <c r="O1938" s="64" t="n">
        <f aca="false">IF(OR($I1938="",$I1938="NR"),0,IFERROR(MATCH($I1938,GradeList,0),0))</f>
        <v>0</v>
      </c>
      <c r="P1938" s="64" t="n">
        <f aca="false">IF(AND($M1938&gt;0,ISNUMBER(MATCH($F1938,Lists!$A$2:$A$5,0)),ISNUMBER(MATCH($G1938,Lists!$B$2:$B$7,0)),OR($H1938="",$N1938&gt;0),OR($I1938="",$I1938="NR",$O1938&gt;0),IF(ISNUMBER($J1938),AND($J1938&gt;=0,$J1938=INT($J1938)),FALSE())),$J1938,0)</f>
        <v>0</v>
      </c>
      <c r="Q1938" s="64" t="n">
        <f aca="false">IF(AND($P1938&gt;0,$O1938&gt;0),$P1938,0)</f>
        <v>0</v>
      </c>
      <c r="R1938" s="64" t="n">
        <f aca="false">IF(AND($Q1938&gt;0,$O1938&gt;=AtRank),$Q1938,0)</f>
        <v>0</v>
      </c>
      <c r="S1938" s="64" t="n">
        <f aca="false">IF(AND($Q1938&gt;0,$O1938&gt;=AboveRank),$Q1938,0)</f>
        <v>0</v>
      </c>
      <c r="T1938" s="64" t="n">
        <f aca="false">IF($K1938="Less",$P1938,0)</f>
        <v>0</v>
      </c>
      <c r="U1938" s="64" t="n">
        <f aca="false">IF($K1938="Expected",$P1938,0)</f>
        <v>0</v>
      </c>
      <c r="V1938" s="64" t="n">
        <f aca="false">IF($K1938="Better",$P1938,0)</f>
        <v>0</v>
      </c>
      <c r="W1938" s="64" t="n">
        <f aca="false">IF($K1938="U – needs rule",$P1938,0)</f>
        <v>0</v>
      </c>
      <c r="X1938" s="64" t="n">
        <f aca="false">IF($K1938="No Start (attainment only)",$P1938,0)</f>
        <v>0</v>
      </c>
    </row>
    <row r="1939" customFormat="false" ht="15" hidden="false" customHeight="false" outlineLevel="0" collapsed="false">
      <c r="A1939" s="60"/>
      <c r="B1939" s="61" t="str">
        <f aca="false">IF($M1939=0,"",INDEX(Classes!$E$6:$E$420,$M1939))</f>
        <v/>
      </c>
      <c r="C1939" s="62" t="str">
        <f aca="false">IF($M1939=0,"",INDEX(Classes!$H$6:$H$420,$M1939))</f>
        <v/>
      </c>
      <c r="D1939" s="61" t="str">
        <f aca="false">IF($M1939=0,"",INDEX(Classes!$B$6:$B$420,$M1939))</f>
        <v/>
      </c>
      <c r="E1939" s="61" t="str">
        <f aca="false">IF($M1939=0,"",INDEX(Classes!$C$6:$C$420,$M1939))</f>
        <v/>
      </c>
      <c r="F1939" s="63"/>
      <c r="G1939" s="63"/>
      <c r="H1939" s="60"/>
      <c r="I1939" s="60"/>
      <c r="J1939" s="63"/>
      <c r="K1939" s="61" t="str">
        <f aca="false">IF($P1939=0,"",IF($F1939="Baseline","— Baseline",IF($O1939=0,"No result",IF($N1939=0,"No Start (attainment only)",IF(OR($N1939=1,$O1939=1),"U – needs rule",INDEX(MxBody,MATCH($I1939,MxCurr,0),MATCH($H1939,MxStart,0)))))))</f>
        <v/>
      </c>
      <c r="L1939" s="62" t="str">
        <f aca="false">IF(COUNTA($A1939,$F1939,$G1939,$H1939,$I1939,$J1939)=0,"",IF($M1939=0,"✖ كود الصف غير موجود",IF(ISNA(MATCH($F1939,Lists!$A$2:$A$5,0)),"✖ الفترة غير صحيحة",IF(ISNA(MATCH($G1939,Lists!$B$2:$B$7,0)),"✖ المجموعة غير صحيحة",IF(NOT(OR($H1939="",$N1939&gt;0)),"✖ Start غير صحيح",IF(NOT(OR($I1939="",$I1939="NR",$O1939&gt;0)),"✖ Current غير صحيح",IF(NOT(IF(ISNUMBER($J1939),AND($J1939&gt;=0,$J1939=INT($J1939)),FALSE())),"✖ العدد يجب أن يكون صحيحًا ≥ 0",IF(AND($F1939="Baseline",$H1939&lt;&gt;""),"⚠ Baseline: Start لا يدخل في التقدم",IF($K1939="No Start (attainment only)","ℹ تحصيل فقط (بدون Start)",IF($K1939="U – needs rule","ℹ حالة U تحتاج قاعدة معتمدة",IF($K1939="No result","ℹ بدون نتيجة (يُستبعد من التحصيل)","OK")))))))))))</f>
        <v/>
      </c>
      <c r="M1939" s="64" t="n">
        <f aca="false">IF($A1939="",0,IFERROR(MATCH($A1939,Classes!$A$6:$A$420,0),0))</f>
        <v>0</v>
      </c>
      <c r="N1939" s="64" t="n">
        <f aca="false">IF($H1939="",0,IFERROR(MATCH($H1939,GradeList,0),0))</f>
        <v>0</v>
      </c>
      <c r="O1939" s="64" t="n">
        <f aca="false">IF(OR($I1939="",$I1939="NR"),0,IFERROR(MATCH($I1939,GradeList,0),0))</f>
        <v>0</v>
      </c>
      <c r="P1939" s="64" t="n">
        <f aca="false">IF(AND($M1939&gt;0,ISNUMBER(MATCH($F1939,Lists!$A$2:$A$5,0)),ISNUMBER(MATCH($G1939,Lists!$B$2:$B$7,0)),OR($H1939="",$N1939&gt;0),OR($I1939="",$I1939="NR",$O1939&gt;0),IF(ISNUMBER($J1939),AND($J1939&gt;=0,$J1939=INT($J1939)),FALSE())),$J1939,0)</f>
        <v>0</v>
      </c>
      <c r="Q1939" s="64" t="n">
        <f aca="false">IF(AND($P1939&gt;0,$O1939&gt;0),$P1939,0)</f>
        <v>0</v>
      </c>
      <c r="R1939" s="64" t="n">
        <f aca="false">IF(AND($Q1939&gt;0,$O1939&gt;=AtRank),$Q1939,0)</f>
        <v>0</v>
      </c>
      <c r="S1939" s="64" t="n">
        <f aca="false">IF(AND($Q1939&gt;0,$O1939&gt;=AboveRank),$Q1939,0)</f>
        <v>0</v>
      </c>
      <c r="T1939" s="64" t="n">
        <f aca="false">IF($K1939="Less",$P1939,0)</f>
        <v>0</v>
      </c>
      <c r="U1939" s="64" t="n">
        <f aca="false">IF($K1939="Expected",$P1939,0)</f>
        <v>0</v>
      </c>
      <c r="V1939" s="64" t="n">
        <f aca="false">IF($K1939="Better",$P1939,0)</f>
        <v>0</v>
      </c>
      <c r="W1939" s="64" t="n">
        <f aca="false">IF($K1939="U – needs rule",$P1939,0)</f>
        <v>0</v>
      </c>
      <c r="X1939" s="64" t="n">
        <f aca="false">IF($K1939="No Start (attainment only)",$P1939,0)</f>
        <v>0</v>
      </c>
    </row>
    <row r="1940" customFormat="false" ht="15" hidden="false" customHeight="false" outlineLevel="0" collapsed="false">
      <c r="A1940" s="60"/>
      <c r="B1940" s="61" t="str">
        <f aca="false">IF($M1940=0,"",INDEX(Classes!$E$6:$E$420,$M1940))</f>
        <v/>
      </c>
      <c r="C1940" s="62" t="str">
        <f aca="false">IF($M1940=0,"",INDEX(Classes!$H$6:$H$420,$M1940))</f>
        <v/>
      </c>
      <c r="D1940" s="61" t="str">
        <f aca="false">IF($M1940=0,"",INDEX(Classes!$B$6:$B$420,$M1940))</f>
        <v/>
      </c>
      <c r="E1940" s="61" t="str">
        <f aca="false">IF($M1940=0,"",INDEX(Classes!$C$6:$C$420,$M1940))</f>
        <v/>
      </c>
      <c r="F1940" s="63"/>
      <c r="G1940" s="63"/>
      <c r="H1940" s="60"/>
      <c r="I1940" s="60"/>
      <c r="J1940" s="63"/>
      <c r="K1940" s="61" t="str">
        <f aca="false">IF($P1940=0,"",IF($F1940="Baseline","— Baseline",IF($O1940=0,"No result",IF($N1940=0,"No Start (attainment only)",IF(OR($N1940=1,$O1940=1),"U – needs rule",INDEX(MxBody,MATCH($I1940,MxCurr,0),MATCH($H1940,MxStart,0)))))))</f>
        <v/>
      </c>
      <c r="L1940" s="62" t="str">
        <f aca="false">IF(COUNTA($A1940,$F1940,$G1940,$H1940,$I1940,$J1940)=0,"",IF($M1940=0,"✖ كود الصف غير موجود",IF(ISNA(MATCH($F1940,Lists!$A$2:$A$5,0)),"✖ الفترة غير صحيحة",IF(ISNA(MATCH($G1940,Lists!$B$2:$B$7,0)),"✖ المجموعة غير صحيحة",IF(NOT(OR($H1940="",$N1940&gt;0)),"✖ Start غير صحيح",IF(NOT(OR($I1940="",$I1940="NR",$O1940&gt;0)),"✖ Current غير صحيح",IF(NOT(IF(ISNUMBER($J1940),AND($J1940&gt;=0,$J1940=INT($J1940)),FALSE())),"✖ العدد يجب أن يكون صحيحًا ≥ 0",IF(AND($F1940="Baseline",$H1940&lt;&gt;""),"⚠ Baseline: Start لا يدخل في التقدم",IF($K1940="No Start (attainment only)","ℹ تحصيل فقط (بدون Start)",IF($K1940="U – needs rule","ℹ حالة U تحتاج قاعدة معتمدة",IF($K1940="No result","ℹ بدون نتيجة (يُستبعد من التحصيل)","OK")))))))))))</f>
        <v/>
      </c>
      <c r="M1940" s="64" t="n">
        <f aca="false">IF($A1940="",0,IFERROR(MATCH($A1940,Classes!$A$6:$A$420,0),0))</f>
        <v>0</v>
      </c>
      <c r="N1940" s="64" t="n">
        <f aca="false">IF($H1940="",0,IFERROR(MATCH($H1940,GradeList,0),0))</f>
        <v>0</v>
      </c>
      <c r="O1940" s="64" t="n">
        <f aca="false">IF(OR($I1940="",$I1940="NR"),0,IFERROR(MATCH($I1940,GradeList,0),0))</f>
        <v>0</v>
      </c>
      <c r="P1940" s="64" t="n">
        <f aca="false">IF(AND($M1940&gt;0,ISNUMBER(MATCH($F1940,Lists!$A$2:$A$5,0)),ISNUMBER(MATCH($G1940,Lists!$B$2:$B$7,0)),OR($H1940="",$N1940&gt;0),OR($I1940="",$I1940="NR",$O1940&gt;0),IF(ISNUMBER($J1940),AND($J1940&gt;=0,$J1940=INT($J1940)),FALSE())),$J1940,0)</f>
        <v>0</v>
      </c>
      <c r="Q1940" s="64" t="n">
        <f aca="false">IF(AND($P1940&gt;0,$O1940&gt;0),$P1940,0)</f>
        <v>0</v>
      </c>
      <c r="R1940" s="64" t="n">
        <f aca="false">IF(AND($Q1940&gt;0,$O1940&gt;=AtRank),$Q1940,0)</f>
        <v>0</v>
      </c>
      <c r="S1940" s="64" t="n">
        <f aca="false">IF(AND($Q1940&gt;0,$O1940&gt;=AboveRank),$Q1940,0)</f>
        <v>0</v>
      </c>
      <c r="T1940" s="64" t="n">
        <f aca="false">IF($K1940="Less",$P1940,0)</f>
        <v>0</v>
      </c>
      <c r="U1940" s="64" t="n">
        <f aca="false">IF($K1940="Expected",$P1940,0)</f>
        <v>0</v>
      </c>
      <c r="V1940" s="64" t="n">
        <f aca="false">IF($K1940="Better",$P1940,0)</f>
        <v>0</v>
      </c>
      <c r="W1940" s="64" t="n">
        <f aca="false">IF($K1940="U – needs rule",$P1940,0)</f>
        <v>0</v>
      </c>
      <c r="X1940" s="64" t="n">
        <f aca="false">IF($K1940="No Start (attainment only)",$P1940,0)</f>
        <v>0</v>
      </c>
    </row>
    <row r="1941" customFormat="false" ht="15" hidden="false" customHeight="false" outlineLevel="0" collapsed="false">
      <c r="A1941" s="60"/>
      <c r="B1941" s="61" t="str">
        <f aca="false">IF($M1941=0,"",INDEX(Classes!$E$6:$E$420,$M1941))</f>
        <v/>
      </c>
      <c r="C1941" s="62" t="str">
        <f aca="false">IF($M1941=0,"",INDEX(Classes!$H$6:$H$420,$M1941))</f>
        <v/>
      </c>
      <c r="D1941" s="61" t="str">
        <f aca="false">IF($M1941=0,"",INDEX(Classes!$B$6:$B$420,$M1941))</f>
        <v/>
      </c>
      <c r="E1941" s="61" t="str">
        <f aca="false">IF($M1941=0,"",INDEX(Classes!$C$6:$C$420,$M1941))</f>
        <v/>
      </c>
      <c r="F1941" s="63"/>
      <c r="G1941" s="63"/>
      <c r="H1941" s="60"/>
      <c r="I1941" s="60"/>
      <c r="J1941" s="63"/>
      <c r="K1941" s="61" t="str">
        <f aca="false">IF($P1941=0,"",IF($F1941="Baseline","— Baseline",IF($O1941=0,"No result",IF($N1941=0,"No Start (attainment only)",IF(OR($N1941=1,$O1941=1),"U – needs rule",INDEX(MxBody,MATCH($I1941,MxCurr,0),MATCH($H1941,MxStart,0)))))))</f>
        <v/>
      </c>
      <c r="L1941" s="62" t="str">
        <f aca="false">IF(COUNTA($A1941,$F1941,$G1941,$H1941,$I1941,$J1941)=0,"",IF($M1941=0,"✖ كود الصف غير موجود",IF(ISNA(MATCH($F1941,Lists!$A$2:$A$5,0)),"✖ الفترة غير صحيحة",IF(ISNA(MATCH($G1941,Lists!$B$2:$B$7,0)),"✖ المجموعة غير صحيحة",IF(NOT(OR($H1941="",$N1941&gt;0)),"✖ Start غير صحيح",IF(NOT(OR($I1941="",$I1941="NR",$O1941&gt;0)),"✖ Current غير صحيح",IF(NOT(IF(ISNUMBER($J1941),AND($J1941&gt;=0,$J1941=INT($J1941)),FALSE())),"✖ العدد يجب أن يكون صحيحًا ≥ 0",IF(AND($F1941="Baseline",$H1941&lt;&gt;""),"⚠ Baseline: Start لا يدخل في التقدم",IF($K1941="No Start (attainment only)","ℹ تحصيل فقط (بدون Start)",IF($K1941="U – needs rule","ℹ حالة U تحتاج قاعدة معتمدة",IF($K1941="No result","ℹ بدون نتيجة (يُستبعد من التحصيل)","OK")))))))))))</f>
        <v/>
      </c>
      <c r="M1941" s="64" t="n">
        <f aca="false">IF($A1941="",0,IFERROR(MATCH($A1941,Classes!$A$6:$A$420,0),0))</f>
        <v>0</v>
      </c>
      <c r="N1941" s="64" t="n">
        <f aca="false">IF($H1941="",0,IFERROR(MATCH($H1941,GradeList,0),0))</f>
        <v>0</v>
      </c>
      <c r="O1941" s="64" t="n">
        <f aca="false">IF(OR($I1941="",$I1941="NR"),0,IFERROR(MATCH($I1941,GradeList,0),0))</f>
        <v>0</v>
      </c>
      <c r="P1941" s="64" t="n">
        <f aca="false">IF(AND($M1941&gt;0,ISNUMBER(MATCH($F1941,Lists!$A$2:$A$5,0)),ISNUMBER(MATCH($G1941,Lists!$B$2:$B$7,0)),OR($H1941="",$N1941&gt;0),OR($I1941="",$I1941="NR",$O1941&gt;0),IF(ISNUMBER($J1941),AND($J1941&gt;=0,$J1941=INT($J1941)),FALSE())),$J1941,0)</f>
        <v>0</v>
      </c>
      <c r="Q1941" s="64" t="n">
        <f aca="false">IF(AND($P1941&gt;0,$O1941&gt;0),$P1941,0)</f>
        <v>0</v>
      </c>
      <c r="R1941" s="64" t="n">
        <f aca="false">IF(AND($Q1941&gt;0,$O1941&gt;=AtRank),$Q1941,0)</f>
        <v>0</v>
      </c>
      <c r="S1941" s="64" t="n">
        <f aca="false">IF(AND($Q1941&gt;0,$O1941&gt;=AboveRank),$Q1941,0)</f>
        <v>0</v>
      </c>
      <c r="T1941" s="64" t="n">
        <f aca="false">IF($K1941="Less",$P1941,0)</f>
        <v>0</v>
      </c>
      <c r="U1941" s="64" t="n">
        <f aca="false">IF($K1941="Expected",$P1941,0)</f>
        <v>0</v>
      </c>
      <c r="V1941" s="64" t="n">
        <f aca="false">IF($K1941="Better",$P1941,0)</f>
        <v>0</v>
      </c>
      <c r="W1941" s="64" t="n">
        <f aca="false">IF($K1941="U – needs rule",$P1941,0)</f>
        <v>0</v>
      </c>
      <c r="X1941" s="64" t="n">
        <f aca="false">IF($K1941="No Start (attainment only)",$P1941,0)</f>
        <v>0</v>
      </c>
    </row>
    <row r="1942" customFormat="false" ht="15" hidden="false" customHeight="false" outlineLevel="0" collapsed="false">
      <c r="A1942" s="60"/>
      <c r="B1942" s="61" t="str">
        <f aca="false">IF($M1942=0,"",INDEX(Classes!$E$6:$E$420,$M1942))</f>
        <v/>
      </c>
      <c r="C1942" s="62" t="str">
        <f aca="false">IF($M1942=0,"",INDEX(Classes!$H$6:$H$420,$M1942))</f>
        <v/>
      </c>
      <c r="D1942" s="61" t="str">
        <f aca="false">IF($M1942=0,"",INDEX(Classes!$B$6:$B$420,$M1942))</f>
        <v/>
      </c>
      <c r="E1942" s="61" t="str">
        <f aca="false">IF($M1942=0,"",INDEX(Classes!$C$6:$C$420,$M1942))</f>
        <v/>
      </c>
      <c r="F1942" s="63"/>
      <c r="G1942" s="63"/>
      <c r="H1942" s="60"/>
      <c r="I1942" s="60"/>
      <c r="J1942" s="63"/>
      <c r="K1942" s="61" t="str">
        <f aca="false">IF($P1942=0,"",IF($F1942="Baseline","— Baseline",IF($O1942=0,"No result",IF($N1942=0,"No Start (attainment only)",IF(OR($N1942=1,$O1942=1),"U – needs rule",INDEX(MxBody,MATCH($I1942,MxCurr,0),MATCH($H1942,MxStart,0)))))))</f>
        <v/>
      </c>
      <c r="L1942" s="62" t="str">
        <f aca="false">IF(COUNTA($A1942,$F1942,$G1942,$H1942,$I1942,$J1942)=0,"",IF($M1942=0,"✖ كود الصف غير موجود",IF(ISNA(MATCH($F1942,Lists!$A$2:$A$5,0)),"✖ الفترة غير صحيحة",IF(ISNA(MATCH($G1942,Lists!$B$2:$B$7,0)),"✖ المجموعة غير صحيحة",IF(NOT(OR($H1942="",$N1942&gt;0)),"✖ Start غير صحيح",IF(NOT(OR($I1942="",$I1942="NR",$O1942&gt;0)),"✖ Current غير صحيح",IF(NOT(IF(ISNUMBER($J1942),AND($J1942&gt;=0,$J1942=INT($J1942)),FALSE())),"✖ العدد يجب أن يكون صحيحًا ≥ 0",IF(AND($F1942="Baseline",$H1942&lt;&gt;""),"⚠ Baseline: Start لا يدخل في التقدم",IF($K1942="No Start (attainment only)","ℹ تحصيل فقط (بدون Start)",IF($K1942="U – needs rule","ℹ حالة U تحتاج قاعدة معتمدة",IF($K1942="No result","ℹ بدون نتيجة (يُستبعد من التحصيل)","OK")))))))))))</f>
        <v/>
      </c>
      <c r="M1942" s="64" t="n">
        <f aca="false">IF($A1942="",0,IFERROR(MATCH($A1942,Classes!$A$6:$A$420,0),0))</f>
        <v>0</v>
      </c>
      <c r="N1942" s="64" t="n">
        <f aca="false">IF($H1942="",0,IFERROR(MATCH($H1942,GradeList,0),0))</f>
        <v>0</v>
      </c>
      <c r="O1942" s="64" t="n">
        <f aca="false">IF(OR($I1942="",$I1942="NR"),0,IFERROR(MATCH($I1942,GradeList,0),0))</f>
        <v>0</v>
      </c>
      <c r="P1942" s="64" t="n">
        <f aca="false">IF(AND($M1942&gt;0,ISNUMBER(MATCH($F1942,Lists!$A$2:$A$5,0)),ISNUMBER(MATCH($G1942,Lists!$B$2:$B$7,0)),OR($H1942="",$N1942&gt;0),OR($I1942="",$I1942="NR",$O1942&gt;0),IF(ISNUMBER($J1942),AND($J1942&gt;=0,$J1942=INT($J1942)),FALSE())),$J1942,0)</f>
        <v>0</v>
      </c>
      <c r="Q1942" s="64" t="n">
        <f aca="false">IF(AND($P1942&gt;0,$O1942&gt;0),$P1942,0)</f>
        <v>0</v>
      </c>
      <c r="R1942" s="64" t="n">
        <f aca="false">IF(AND($Q1942&gt;0,$O1942&gt;=AtRank),$Q1942,0)</f>
        <v>0</v>
      </c>
      <c r="S1942" s="64" t="n">
        <f aca="false">IF(AND($Q1942&gt;0,$O1942&gt;=AboveRank),$Q1942,0)</f>
        <v>0</v>
      </c>
      <c r="T1942" s="64" t="n">
        <f aca="false">IF($K1942="Less",$P1942,0)</f>
        <v>0</v>
      </c>
      <c r="U1942" s="64" t="n">
        <f aca="false">IF($K1942="Expected",$P1942,0)</f>
        <v>0</v>
      </c>
      <c r="V1942" s="64" t="n">
        <f aca="false">IF($K1942="Better",$P1942,0)</f>
        <v>0</v>
      </c>
      <c r="W1942" s="64" t="n">
        <f aca="false">IF($K1942="U – needs rule",$P1942,0)</f>
        <v>0</v>
      </c>
      <c r="X1942" s="64" t="n">
        <f aca="false">IF($K1942="No Start (attainment only)",$P1942,0)</f>
        <v>0</v>
      </c>
    </row>
    <row r="1943" customFormat="false" ht="15" hidden="false" customHeight="false" outlineLevel="0" collapsed="false">
      <c r="A1943" s="60"/>
      <c r="B1943" s="61" t="str">
        <f aca="false">IF($M1943=0,"",INDEX(Classes!$E$6:$E$420,$M1943))</f>
        <v/>
      </c>
      <c r="C1943" s="62" t="str">
        <f aca="false">IF($M1943=0,"",INDEX(Classes!$H$6:$H$420,$M1943))</f>
        <v/>
      </c>
      <c r="D1943" s="61" t="str">
        <f aca="false">IF($M1943=0,"",INDEX(Classes!$B$6:$B$420,$M1943))</f>
        <v/>
      </c>
      <c r="E1943" s="61" t="str">
        <f aca="false">IF($M1943=0,"",INDEX(Classes!$C$6:$C$420,$M1943))</f>
        <v/>
      </c>
      <c r="F1943" s="63"/>
      <c r="G1943" s="63"/>
      <c r="H1943" s="60"/>
      <c r="I1943" s="60"/>
      <c r="J1943" s="63"/>
      <c r="K1943" s="61" t="str">
        <f aca="false">IF($P1943=0,"",IF($F1943="Baseline","— Baseline",IF($O1943=0,"No result",IF($N1943=0,"No Start (attainment only)",IF(OR($N1943=1,$O1943=1),"U – needs rule",INDEX(MxBody,MATCH($I1943,MxCurr,0),MATCH($H1943,MxStart,0)))))))</f>
        <v/>
      </c>
      <c r="L1943" s="62" t="str">
        <f aca="false">IF(COUNTA($A1943,$F1943,$G1943,$H1943,$I1943,$J1943)=0,"",IF($M1943=0,"✖ كود الصف غير موجود",IF(ISNA(MATCH($F1943,Lists!$A$2:$A$5,0)),"✖ الفترة غير صحيحة",IF(ISNA(MATCH($G1943,Lists!$B$2:$B$7,0)),"✖ المجموعة غير صحيحة",IF(NOT(OR($H1943="",$N1943&gt;0)),"✖ Start غير صحيح",IF(NOT(OR($I1943="",$I1943="NR",$O1943&gt;0)),"✖ Current غير صحيح",IF(NOT(IF(ISNUMBER($J1943),AND($J1943&gt;=0,$J1943=INT($J1943)),FALSE())),"✖ العدد يجب أن يكون صحيحًا ≥ 0",IF(AND($F1943="Baseline",$H1943&lt;&gt;""),"⚠ Baseline: Start لا يدخل في التقدم",IF($K1943="No Start (attainment only)","ℹ تحصيل فقط (بدون Start)",IF($K1943="U – needs rule","ℹ حالة U تحتاج قاعدة معتمدة",IF($K1943="No result","ℹ بدون نتيجة (يُستبعد من التحصيل)","OK")))))))))))</f>
        <v/>
      </c>
      <c r="M1943" s="64" t="n">
        <f aca="false">IF($A1943="",0,IFERROR(MATCH($A1943,Classes!$A$6:$A$420,0),0))</f>
        <v>0</v>
      </c>
      <c r="N1943" s="64" t="n">
        <f aca="false">IF($H1943="",0,IFERROR(MATCH($H1943,GradeList,0),0))</f>
        <v>0</v>
      </c>
      <c r="O1943" s="64" t="n">
        <f aca="false">IF(OR($I1943="",$I1943="NR"),0,IFERROR(MATCH($I1943,GradeList,0),0))</f>
        <v>0</v>
      </c>
      <c r="P1943" s="64" t="n">
        <f aca="false">IF(AND($M1943&gt;0,ISNUMBER(MATCH($F1943,Lists!$A$2:$A$5,0)),ISNUMBER(MATCH($G1943,Lists!$B$2:$B$7,0)),OR($H1943="",$N1943&gt;0),OR($I1943="",$I1943="NR",$O1943&gt;0),IF(ISNUMBER($J1943),AND($J1943&gt;=0,$J1943=INT($J1943)),FALSE())),$J1943,0)</f>
        <v>0</v>
      </c>
      <c r="Q1943" s="64" t="n">
        <f aca="false">IF(AND($P1943&gt;0,$O1943&gt;0),$P1943,0)</f>
        <v>0</v>
      </c>
      <c r="R1943" s="64" t="n">
        <f aca="false">IF(AND($Q1943&gt;0,$O1943&gt;=AtRank),$Q1943,0)</f>
        <v>0</v>
      </c>
      <c r="S1943" s="64" t="n">
        <f aca="false">IF(AND($Q1943&gt;0,$O1943&gt;=AboveRank),$Q1943,0)</f>
        <v>0</v>
      </c>
      <c r="T1943" s="64" t="n">
        <f aca="false">IF($K1943="Less",$P1943,0)</f>
        <v>0</v>
      </c>
      <c r="U1943" s="64" t="n">
        <f aca="false">IF($K1943="Expected",$P1943,0)</f>
        <v>0</v>
      </c>
      <c r="V1943" s="64" t="n">
        <f aca="false">IF($K1943="Better",$P1943,0)</f>
        <v>0</v>
      </c>
      <c r="W1943" s="64" t="n">
        <f aca="false">IF($K1943="U – needs rule",$P1943,0)</f>
        <v>0</v>
      </c>
      <c r="X1943" s="64" t="n">
        <f aca="false">IF($K1943="No Start (attainment only)",$P1943,0)</f>
        <v>0</v>
      </c>
    </row>
    <row r="1944" customFormat="false" ht="15" hidden="false" customHeight="false" outlineLevel="0" collapsed="false">
      <c r="A1944" s="60"/>
      <c r="B1944" s="61" t="str">
        <f aca="false">IF($M1944=0,"",INDEX(Classes!$E$6:$E$420,$M1944))</f>
        <v/>
      </c>
      <c r="C1944" s="62" t="str">
        <f aca="false">IF($M1944=0,"",INDEX(Classes!$H$6:$H$420,$M1944))</f>
        <v/>
      </c>
      <c r="D1944" s="61" t="str">
        <f aca="false">IF($M1944=0,"",INDEX(Classes!$B$6:$B$420,$M1944))</f>
        <v/>
      </c>
      <c r="E1944" s="61" t="str">
        <f aca="false">IF($M1944=0,"",INDEX(Classes!$C$6:$C$420,$M1944))</f>
        <v/>
      </c>
      <c r="F1944" s="63"/>
      <c r="G1944" s="63"/>
      <c r="H1944" s="60"/>
      <c r="I1944" s="60"/>
      <c r="J1944" s="63"/>
      <c r="K1944" s="61" t="str">
        <f aca="false">IF($P1944=0,"",IF($F1944="Baseline","— Baseline",IF($O1944=0,"No result",IF($N1944=0,"No Start (attainment only)",IF(OR($N1944=1,$O1944=1),"U – needs rule",INDEX(MxBody,MATCH($I1944,MxCurr,0),MATCH($H1944,MxStart,0)))))))</f>
        <v/>
      </c>
      <c r="L1944" s="62" t="str">
        <f aca="false">IF(COUNTA($A1944,$F1944,$G1944,$H1944,$I1944,$J1944)=0,"",IF($M1944=0,"✖ كود الصف غير موجود",IF(ISNA(MATCH($F1944,Lists!$A$2:$A$5,0)),"✖ الفترة غير صحيحة",IF(ISNA(MATCH($G1944,Lists!$B$2:$B$7,0)),"✖ المجموعة غير صحيحة",IF(NOT(OR($H1944="",$N1944&gt;0)),"✖ Start غير صحيح",IF(NOT(OR($I1944="",$I1944="NR",$O1944&gt;0)),"✖ Current غير صحيح",IF(NOT(IF(ISNUMBER($J1944),AND($J1944&gt;=0,$J1944=INT($J1944)),FALSE())),"✖ العدد يجب أن يكون صحيحًا ≥ 0",IF(AND($F1944="Baseline",$H1944&lt;&gt;""),"⚠ Baseline: Start لا يدخل في التقدم",IF($K1944="No Start (attainment only)","ℹ تحصيل فقط (بدون Start)",IF($K1944="U – needs rule","ℹ حالة U تحتاج قاعدة معتمدة",IF($K1944="No result","ℹ بدون نتيجة (يُستبعد من التحصيل)","OK")))))))))))</f>
        <v/>
      </c>
      <c r="M1944" s="64" t="n">
        <f aca="false">IF($A1944="",0,IFERROR(MATCH($A1944,Classes!$A$6:$A$420,0),0))</f>
        <v>0</v>
      </c>
      <c r="N1944" s="64" t="n">
        <f aca="false">IF($H1944="",0,IFERROR(MATCH($H1944,GradeList,0),0))</f>
        <v>0</v>
      </c>
      <c r="O1944" s="64" t="n">
        <f aca="false">IF(OR($I1944="",$I1944="NR"),0,IFERROR(MATCH($I1944,GradeList,0),0))</f>
        <v>0</v>
      </c>
      <c r="P1944" s="64" t="n">
        <f aca="false">IF(AND($M1944&gt;0,ISNUMBER(MATCH($F1944,Lists!$A$2:$A$5,0)),ISNUMBER(MATCH($G1944,Lists!$B$2:$B$7,0)),OR($H1944="",$N1944&gt;0),OR($I1944="",$I1944="NR",$O1944&gt;0),IF(ISNUMBER($J1944),AND($J1944&gt;=0,$J1944=INT($J1944)),FALSE())),$J1944,0)</f>
        <v>0</v>
      </c>
      <c r="Q1944" s="64" t="n">
        <f aca="false">IF(AND($P1944&gt;0,$O1944&gt;0),$P1944,0)</f>
        <v>0</v>
      </c>
      <c r="R1944" s="64" t="n">
        <f aca="false">IF(AND($Q1944&gt;0,$O1944&gt;=AtRank),$Q1944,0)</f>
        <v>0</v>
      </c>
      <c r="S1944" s="64" t="n">
        <f aca="false">IF(AND($Q1944&gt;0,$O1944&gt;=AboveRank),$Q1944,0)</f>
        <v>0</v>
      </c>
      <c r="T1944" s="64" t="n">
        <f aca="false">IF($K1944="Less",$P1944,0)</f>
        <v>0</v>
      </c>
      <c r="U1944" s="64" t="n">
        <f aca="false">IF($K1944="Expected",$P1944,0)</f>
        <v>0</v>
      </c>
      <c r="V1944" s="64" t="n">
        <f aca="false">IF($K1944="Better",$P1944,0)</f>
        <v>0</v>
      </c>
      <c r="W1944" s="64" t="n">
        <f aca="false">IF($K1944="U – needs rule",$P1944,0)</f>
        <v>0</v>
      </c>
      <c r="X1944" s="64" t="n">
        <f aca="false">IF($K1944="No Start (attainment only)",$P1944,0)</f>
        <v>0</v>
      </c>
    </row>
    <row r="1945" customFormat="false" ht="15" hidden="false" customHeight="false" outlineLevel="0" collapsed="false">
      <c r="A1945" s="60"/>
      <c r="B1945" s="61" t="str">
        <f aca="false">IF($M1945=0,"",INDEX(Classes!$E$6:$E$420,$M1945))</f>
        <v/>
      </c>
      <c r="C1945" s="62" t="str">
        <f aca="false">IF($M1945=0,"",INDEX(Classes!$H$6:$H$420,$M1945))</f>
        <v/>
      </c>
      <c r="D1945" s="61" t="str">
        <f aca="false">IF($M1945=0,"",INDEX(Classes!$B$6:$B$420,$M1945))</f>
        <v/>
      </c>
      <c r="E1945" s="61" t="str">
        <f aca="false">IF($M1945=0,"",INDEX(Classes!$C$6:$C$420,$M1945))</f>
        <v/>
      </c>
      <c r="F1945" s="63"/>
      <c r="G1945" s="63"/>
      <c r="H1945" s="60"/>
      <c r="I1945" s="60"/>
      <c r="J1945" s="63"/>
      <c r="K1945" s="61" t="str">
        <f aca="false">IF($P1945=0,"",IF($F1945="Baseline","— Baseline",IF($O1945=0,"No result",IF($N1945=0,"No Start (attainment only)",IF(OR($N1945=1,$O1945=1),"U – needs rule",INDEX(MxBody,MATCH($I1945,MxCurr,0),MATCH($H1945,MxStart,0)))))))</f>
        <v/>
      </c>
      <c r="L1945" s="62" t="str">
        <f aca="false">IF(COUNTA($A1945,$F1945,$G1945,$H1945,$I1945,$J1945)=0,"",IF($M1945=0,"✖ كود الصف غير موجود",IF(ISNA(MATCH($F1945,Lists!$A$2:$A$5,0)),"✖ الفترة غير صحيحة",IF(ISNA(MATCH($G1945,Lists!$B$2:$B$7,0)),"✖ المجموعة غير صحيحة",IF(NOT(OR($H1945="",$N1945&gt;0)),"✖ Start غير صحيح",IF(NOT(OR($I1945="",$I1945="NR",$O1945&gt;0)),"✖ Current غير صحيح",IF(NOT(IF(ISNUMBER($J1945),AND($J1945&gt;=0,$J1945=INT($J1945)),FALSE())),"✖ العدد يجب أن يكون صحيحًا ≥ 0",IF(AND($F1945="Baseline",$H1945&lt;&gt;""),"⚠ Baseline: Start لا يدخل في التقدم",IF($K1945="No Start (attainment only)","ℹ تحصيل فقط (بدون Start)",IF($K1945="U – needs rule","ℹ حالة U تحتاج قاعدة معتمدة",IF($K1945="No result","ℹ بدون نتيجة (يُستبعد من التحصيل)","OK")))))))))))</f>
        <v/>
      </c>
      <c r="M1945" s="64" t="n">
        <f aca="false">IF($A1945="",0,IFERROR(MATCH($A1945,Classes!$A$6:$A$420,0),0))</f>
        <v>0</v>
      </c>
      <c r="N1945" s="64" t="n">
        <f aca="false">IF($H1945="",0,IFERROR(MATCH($H1945,GradeList,0),0))</f>
        <v>0</v>
      </c>
      <c r="O1945" s="64" t="n">
        <f aca="false">IF(OR($I1945="",$I1945="NR"),0,IFERROR(MATCH($I1945,GradeList,0),0))</f>
        <v>0</v>
      </c>
      <c r="P1945" s="64" t="n">
        <f aca="false">IF(AND($M1945&gt;0,ISNUMBER(MATCH($F1945,Lists!$A$2:$A$5,0)),ISNUMBER(MATCH($G1945,Lists!$B$2:$B$7,0)),OR($H1945="",$N1945&gt;0),OR($I1945="",$I1945="NR",$O1945&gt;0),IF(ISNUMBER($J1945),AND($J1945&gt;=0,$J1945=INT($J1945)),FALSE())),$J1945,0)</f>
        <v>0</v>
      </c>
      <c r="Q1945" s="64" t="n">
        <f aca="false">IF(AND($P1945&gt;0,$O1945&gt;0),$P1945,0)</f>
        <v>0</v>
      </c>
      <c r="R1945" s="64" t="n">
        <f aca="false">IF(AND($Q1945&gt;0,$O1945&gt;=AtRank),$Q1945,0)</f>
        <v>0</v>
      </c>
      <c r="S1945" s="64" t="n">
        <f aca="false">IF(AND($Q1945&gt;0,$O1945&gt;=AboveRank),$Q1945,0)</f>
        <v>0</v>
      </c>
      <c r="T1945" s="64" t="n">
        <f aca="false">IF($K1945="Less",$P1945,0)</f>
        <v>0</v>
      </c>
      <c r="U1945" s="64" t="n">
        <f aca="false">IF($K1945="Expected",$P1945,0)</f>
        <v>0</v>
      </c>
      <c r="V1945" s="64" t="n">
        <f aca="false">IF($K1945="Better",$P1945,0)</f>
        <v>0</v>
      </c>
      <c r="W1945" s="64" t="n">
        <f aca="false">IF($K1945="U – needs rule",$P1945,0)</f>
        <v>0</v>
      </c>
      <c r="X1945" s="64" t="n">
        <f aca="false">IF($K1945="No Start (attainment only)",$P1945,0)</f>
        <v>0</v>
      </c>
    </row>
    <row r="1946" customFormat="false" ht="15" hidden="false" customHeight="false" outlineLevel="0" collapsed="false">
      <c r="A1946" s="60"/>
      <c r="B1946" s="61" t="str">
        <f aca="false">IF($M1946=0,"",INDEX(Classes!$E$6:$E$420,$M1946))</f>
        <v/>
      </c>
      <c r="C1946" s="62" t="str">
        <f aca="false">IF($M1946=0,"",INDEX(Classes!$H$6:$H$420,$M1946))</f>
        <v/>
      </c>
      <c r="D1946" s="61" t="str">
        <f aca="false">IF($M1946=0,"",INDEX(Classes!$B$6:$B$420,$M1946))</f>
        <v/>
      </c>
      <c r="E1946" s="61" t="str">
        <f aca="false">IF($M1946=0,"",INDEX(Classes!$C$6:$C$420,$M1946))</f>
        <v/>
      </c>
      <c r="F1946" s="63"/>
      <c r="G1946" s="63"/>
      <c r="H1946" s="60"/>
      <c r="I1946" s="60"/>
      <c r="J1946" s="63"/>
      <c r="K1946" s="61" t="str">
        <f aca="false">IF($P1946=0,"",IF($F1946="Baseline","— Baseline",IF($O1946=0,"No result",IF($N1946=0,"No Start (attainment only)",IF(OR($N1946=1,$O1946=1),"U – needs rule",INDEX(MxBody,MATCH($I1946,MxCurr,0),MATCH($H1946,MxStart,0)))))))</f>
        <v/>
      </c>
      <c r="L1946" s="62" t="str">
        <f aca="false">IF(COUNTA($A1946,$F1946,$G1946,$H1946,$I1946,$J1946)=0,"",IF($M1946=0,"✖ كود الصف غير موجود",IF(ISNA(MATCH($F1946,Lists!$A$2:$A$5,0)),"✖ الفترة غير صحيحة",IF(ISNA(MATCH($G1946,Lists!$B$2:$B$7,0)),"✖ المجموعة غير صحيحة",IF(NOT(OR($H1946="",$N1946&gt;0)),"✖ Start غير صحيح",IF(NOT(OR($I1946="",$I1946="NR",$O1946&gt;0)),"✖ Current غير صحيح",IF(NOT(IF(ISNUMBER($J1946),AND($J1946&gt;=0,$J1946=INT($J1946)),FALSE())),"✖ العدد يجب أن يكون صحيحًا ≥ 0",IF(AND($F1946="Baseline",$H1946&lt;&gt;""),"⚠ Baseline: Start لا يدخل في التقدم",IF($K1946="No Start (attainment only)","ℹ تحصيل فقط (بدون Start)",IF($K1946="U – needs rule","ℹ حالة U تحتاج قاعدة معتمدة",IF($K1946="No result","ℹ بدون نتيجة (يُستبعد من التحصيل)","OK")))))))))))</f>
        <v/>
      </c>
      <c r="M1946" s="64" t="n">
        <f aca="false">IF($A1946="",0,IFERROR(MATCH($A1946,Classes!$A$6:$A$420,0),0))</f>
        <v>0</v>
      </c>
      <c r="N1946" s="64" t="n">
        <f aca="false">IF($H1946="",0,IFERROR(MATCH($H1946,GradeList,0),0))</f>
        <v>0</v>
      </c>
      <c r="O1946" s="64" t="n">
        <f aca="false">IF(OR($I1946="",$I1946="NR"),0,IFERROR(MATCH($I1946,GradeList,0),0))</f>
        <v>0</v>
      </c>
      <c r="P1946" s="64" t="n">
        <f aca="false">IF(AND($M1946&gt;0,ISNUMBER(MATCH($F1946,Lists!$A$2:$A$5,0)),ISNUMBER(MATCH($G1946,Lists!$B$2:$B$7,0)),OR($H1946="",$N1946&gt;0),OR($I1946="",$I1946="NR",$O1946&gt;0),IF(ISNUMBER($J1946),AND($J1946&gt;=0,$J1946=INT($J1946)),FALSE())),$J1946,0)</f>
        <v>0</v>
      </c>
      <c r="Q1946" s="64" t="n">
        <f aca="false">IF(AND($P1946&gt;0,$O1946&gt;0),$P1946,0)</f>
        <v>0</v>
      </c>
      <c r="R1946" s="64" t="n">
        <f aca="false">IF(AND($Q1946&gt;0,$O1946&gt;=AtRank),$Q1946,0)</f>
        <v>0</v>
      </c>
      <c r="S1946" s="64" t="n">
        <f aca="false">IF(AND($Q1946&gt;0,$O1946&gt;=AboveRank),$Q1946,0)</f>
        <v>0</v>
      </c>
      <c r="T1946" s="64" t="n">
        <f aca="false">IF($K1946="Less",$P1946,0)</f>
        <v>0</v>
      </c>
      <c r="U1946" s="64" t="n">
        <f aca="false">IF($K1946="Expected",$P1946,0)</f>
        <v>0</v>
      </c>
      <c r="V1946" s="64" t="n">
        <f aca="false">IF($K1946="Better",$P1946,0)</f>
        <v>0</v>
      </c>
      <c r="W1946" s="64" t="n">
        <f aca="false">IF($K1946="U – needs rule",$P1946,0)</f>
        <v>0</v>
      </c>
      <c r="X1946" s="64" t="n">
        <f aca="false">IF($K1946="No Start (attainment only)",$P1946,0)</f>
        <v>0</v>
      </c>
    </row>
    <row r="1947" customFormat="false" ht="15" hidden="false" customHeight="false" outlineLevel="0" collapsed="false">
      <c r="A1947" s="60"/>
      <c r="B1947" s="61" t="str">
        <f aca="false">IF($M1947=0,"",INDEX(Classes!$E$6:$E$420,$M1947))</f>
        <v/>
      </c>
      <c r="C1947" s="62" t="str">
        <f aca="false">IF($M1947=0,"",INDEX(Classes!$H$6:$H$420,$M1947))</f>
        <v/>
      </c>
      <c r="D1947" s="61" t="str">
        <f aca="false">IF($M1947=0,"",INDEX(Classes!$B$6:$B$420,$M1947))</f>
        <v/>
      </c>
      <c r="E1947" s="61" t="str">
        <f aca="false">IF($M1947=0,"",INDEX(Classes!$C$6:$C$420,$M1947))</f>
        <v/>
      </c>
      <c r="F1947" s="63"/>
      <c r="G1947" s="63"/>
      <c r="H1947" s="60"/>
      <c r="I1947" s="60"/>
      <c r="J1947" s="63"/>
      <c r="K1947" s="61" t="str">
        <f aca="false">IF($P1947=0,"",IF($F1947="Baseline","— Baseline",IF($O1947=0,"No result",IF($N1947=0,"No Start (attainment only)",IF(OR($N1947=1,$O1947=1),"U – needs rule",INDEX(MxBody,MATCH($I1947,MxCurr,0),MATCH($H1947,MxStart,0)))))))</f>
        <v/>
      </c>
      <c r="L1947" s="62" t="str">
        <f aca="false">IF(COUNTA($A1947,$F1947,$G1947,$H1947,$I1947,$J1947)=0,"",IF($M1947=0,"✖ كود الصف غير موجود",IF(ISNA(MATCH($F1947,Lists!$A$2:$A$5,0)),"✖ الفترة غير صحيحة",IF(ISNA(MATCH($G1947,Lists!$B$2:$B$7,0)),"✖ المجموعة غير صحيحة",IF(NOT(OR($H1947="",$N1947&gt;0)),"✖ Start غير صحيح",IF(NOT(OR($I1947="",$I1947="NR",$O1947&gt;0)),"✖ Current غير صحيح",IF(NOT(IF(ISNUMBER($J1947),AND($J1947&gt;=0,$J1947=INT($J1947)),FALSE())),"✖ العدد يجب أن يكون صحيحًا ≥ 0",IF(AND($F1947="Baseline",$H1947&lt;&gt;""),"⚠ Baseline: Start لا يدخل في التقدم",IF($K1947="No Start (attainment only)","ℹ تحصيل فقط (بدون Start)",IF($K1947="U – needs rule","ℹ حالة U تحتاج قاعدة معتمدة",IF($K1947="No result","ℹ بدون نتيجة (يُستبعد من التحصيل)","OK")))))))))))</f>
        <v/>
      </c>
      <c r="M1947" s="64" t="n">
        <f aca="false">IF($A1947="",0,IFERROR(MATCH($A1947,Classes!$A$6:$A$420,0),0))</f>
        <v>0</v>
      </c>
      <c r="N1947" s="64" t="n">
        <f aca="false">IF($H1947="",0,IFERROR(MATCH($H1947,GradeList,0),0))</f>
        <v>0</v>
      </c>
      <c r="O1947" s="64" t="n">
        <f aca="false">IF(OR($I1947="",$I1947="NR"),0,IFERROR(MATCH($I1947,GradeList,0),0))</f>
        <v>0</v>
      </c>
      <c r="P1947" s="64" t="n">
        <f aca="false">IF(AND($M1947&gt;0,ISNUMBER(MATCH($F1947,Lists!$A$2:$A$5,0)),ISNUMBER(MATCH($G1947,Lists!$B$2:$B$7,0)),OR($H1947="",$N1947&gt;0),OR($I1947="",$I1947="NR",$O1947&gt;0),IF(ISNUMBER($J1947),AND($J1947&gt;=0,$J1947=INT($J1947)),FALSE())),$J1947,0)</f>
        <v>0</v>
      </c>
      <c r="Q1947" s="64" t="n">
        <f aca="false">IF(AND($P1947&gt;0,$O1947&gt;0),$P1947,0)</f>
        <v>0</v>
      </c>
      <c r="R1947" s="64" t="n">
        <f aca="false">IF(AND($Q1947&gt;0,$O1947&gt;=AtRank),$Q1947,0)</f>
        <v>0</v>
      </c>
      <c r="S1947" s="64" t="n">
        <f aca="false">IF(AND($Q1947&gt;0,$O1947&gt;=AboveRank),$Q1947,0)</f>
        <v>0</v>
      </c>
      <c r="T1947" s="64" t="n">
        <f aca="false">IF($K1947="Less",$P1947,0)</f>
        <v>0</v>
      </c>
      <c r="U1947" s="64" t="n">
        <f aca="false">IF($K1947="Expected",$P1947,0)</f>
        <v>0</v>
      </c>
      <c r="V1947" s="64" t="n">
        <f aca="false">IF($K1947="Better",$P1947,0)</f>
        <v>0</v>
      </c>
      <c r="W1947" s="64" t="n">
        <f aca="false">IF($K1947="U – needs rule",$P1947,0)</f>
        <v>0</v>
      </c>
      <c r="X1947" s="64" t="n">
        <f aca="false">IF($K1947="No Start (attainment only)",$P1947,0)</f>
        <v>0</v>
      </c>
    </row>
    <row r="1948" customFormat="false" ht="15" hidden="false" customHeight="false" outlineLevel="0" collapsed="false">
      <c r="A1948" s="60"/>
      <c r="B1948" s="61" t="str">
        <f aca="false">IF($M1948=0,"",INDEX(Classes!$E$6:$E$420,$M1948))</f>
        <v/>
      </c>
      <c r="C1948" s="62" t="str">
        <f aca="false">IF($M1948=0,"",INDEX(Classes!$H$6:$H$420,$M1948))</f>
        <v/>
      </c>
      <c r="D1948" s="61" t="str">
        <f aca="false">IF($M1948=0,"",INDEX(Classes!$B$6:$B$420,$M1948))</f>
        <v/>
      </c>
      <c r="E1948" s="61" t="str">
        <f aca="false">IF($M1948=0,"",INDEX(Classes!$C$6:$C$420,$M1948))</f>
        <v/>
      </c>
      <c r="F1948" s="63"/>
      <c r="G1948" s="63"/>
      <c r="H1948" s="60"/>
      <c r="I1948" s="60"/>
      <c r="J1948" s="63"/>
      <c r="K1948" s="61" t="str">
        <f aca="false">IF($P1948=0,"",IF($F1948="Baseline","— Baseline",IF($O1948=0,"No result",IF($N1948=0,"No Start (attainment only)",IF(OR($N1948=1,$O1948=1),"U – needs rule",INDEX(MxBody,MATCH($I1948,MxCurr,0),MATCH($H1948,MxStart,0)))))))</f>
        <v/>
      </c>
      <c r="L1948" s="62" t="str">
        <f aca="false">IF(COUNTA($A1948,$F1948,$G1948,$H1948,$I1948,$J1948)=0,"",IF($M1948=0,"✖ كود الصف غير موجود",IF(ISNA(MATCH($F1948,Lists!$A$2:$A$5,0)),"✖ الفترة غير صحيحة",IF(ISNA(MATCH($G1948,Lists!$B$2:$B$7,0)),"✖ المجموعة غير صحيحة",IF(NOT(OR($H1948="",$N1948&gt;0)),"✖ Start غير صحيح",IF(NOT(OR($I1948="",$I1948="NR",$O1948&gt;0)),"✖ Current غير صحيح",IF(NOT(IF(ISNUMBER($J1948),AND($J1948&gt;=0,$J1948=INT($J1948)),FALSE())),"✖ العدد يجب أن يكون صحيحًا ≥ 0",IF(AND($F1948="Baseline",$H1948&lt;&gt;""),"⚠ Baseline: Start لا يدخل في التقدم",IF($K1948="No Start (attainment only)","ℹ تحصيل فقط (بدون Start)",IF($K1948="U – needs rule","ℹ حالة U تحتاج قاعدة معتمدة",IF($K1948="No result","ℹ بدون نتيجة (يُستبعد من التحصيل)","OK")))))))))))</f>
        <v/>
      </c>
      <c r="M1948" s="64" t="n">
        <f aca="false">IF($A1948="",0,IFERROR(MATCH($A1948,Classes!$A$6:$A$420,0),0))</f>
        <v>0</v>
      </c>
      <c r="N1948" s="64" t="n">
        <f aca="false">IF($H1948="",0,IFERROR(MATCH($H1948,GradeList,0),0))</f>
        <v>0</v>
      </c>
      <c r="O1948" s="64" t="n">
        <f aca="false">IF(OR($I1948="",$I1948="NR"),0,IFERROR(MATCH($I1948,GradeList,0),0))</f>
        <v>0</v>
      </c>
      <c r="P1948" s="64" t="n">
        <f aca="false">IF(AND($M1948&gt;0,ISNUMBER(MATCH($F1948,Lists!$A$2:$A$5,0)),ISNUMBER(MATCH($G1948,Lists!$B$2:$B$7,0)),OR($H1948="",$N1948&gt;0),OR($I1948="",$I1948="NR",$O1948&gt;0),IF(ISNUMBER($J1948),AND($J1948&gt;=0,$J1948=INT($J1948)),FALSE())),$J1948,0)</f>
        <v>0</v>
      </c>
      <c r="Q1948" s="64" t="n">
        <f aca="false">IF(AND($P1948&gt;0,$O1948&gt;0),$P1948,0)</f>
        <v>0</v>
      </c>
      <c r="R1948" s="64" t="n">
        <f aca="false">IF(AND($Q1948&gt;0,$O1948&gt;=AtRank),$Q1948,0)</f>
        <v>0</v>
      </c>
      <c r="S1948" s="64" t="n">
        <f aca="false">IF(AND($Q1948&gt;0,$O1948&gt;=AboveRank),$Q1948,0)</f>
        <v>0</v>
      </c>
      <c r="T1948" s="64" t="n">
        <f aca="false">IF($K1948="Less",$P1948,0)</f>
        <v>0</v>
      </c>
      <c r="U1948" s="64" t="n">
        <f aca="false">IF($K1948="Expected",$P1948,0)</f>
        <v>0</v>
      </c>
      <c r="V1948" s="64" t="n">
        <f aca="false">IF($K1948="Better",$P1948,0)</f>
        <v>0</v>
      </c>
      <c r="W1948" s="64" t="n">
        <f aca="false">IF($K1948="U – needs rule",$P1948,0)</f>
        <v>0</v>
      </c>
      <c r="X1948" s="64" t="n">
        <f aca="false">IF($K1948="No Start (attainment only)",$P1948,0)</f>
        <v>0</v>
      </c>
    </row>
    <row r="1949" customFormat="false" ht="15" hidden="false" customHeight="false" outlineLevel="0" collapsed="false">
      <c r="A1949" s="60"/>
      <c r="B1949" s="61" t="str">
        <f aca="false">IF($M1949=0,"",INDEX(Classes!$E$6:$E$420,$M1949))</f>
        <v/>
      </c>
      <c r="C1949" s="62" t="str">
        <f aca="false">IF($M1949=0,"",INDEX(Classes!$H$6:$H$420,$M1949))</f>
        <v/>
      </c>
      <c r="D1949" s="61" t="str">
        <f aca="false">IF($M1949=0,"",INDEX(Classes!$B$6:$B$420,$M1949))</f>
        <v/>
      </c>
      <c r="E1949" s="61" t="str">
        <f aca="false">IF($M1949=0,"",INDEX(Classes!$C$6:$C$420,$M1949))</f>
        <v/>
      </c>
      <c r="F1949" s="63"/>
      <c r="G1949" s="63"/>
      <c r="H1949" s="60"/>
      <c r="I1949" s="60"/>
      <c r="J1949" s="63"/>
      <c r="K1949" s="61" t="str">
        <f aca="false">IF($P1949=0,"",IF($F1949="Baseline","— Baseline",IF($O1949=0,"No result",IF($N1949=0,"No Start (attainment only)",IF(OR($N1949=1,$O1949=1),"U – needs rule",INDEX(MxBody,MATCH($I1949,MxCurr,0),MATCH($H1949,MxStart,0)))))))</f>
        <v/>
      </c>
      <c r="L1949" s="62" t="str">
        <f aca="false">IF(COUNTA($A1949,$F1949,$G1949,$H1949,$I1949,$J1949)=0,"",IF($M1949=0,"✖ كود الصف غير موجود",IF(ISNA(MATCH($F1949,Lists!$A$2:$A$5,0)),"✖ الفترة غير صحيحة",IF(ISNA(MATCH($G1949,Lists!$B$2:$B$7,0)),"✖ المجموعة غير صحيحة",IF(NOT(OR($H1949="",$N1949&gt;0)),"✖ Start غير صحيح",IF(NOT(OR($I1949="",$I1949="NR",$O1949&gt;0)),"✖ Current غير صحيح",IF(NOT(IF(ISNUMBER($J1949),AND($J1949&gt;=0,$J1949=INT($J1949)),FALSE())),"✖ العدد يجب أن يكون صحيحًا ≥ 0",IF(AND($F1949="Baseline",$H1949&lt;&gt;""),"⚠ Baseline: Start لا يدخل في التقدم",IF($K1949="No Start (attainment only)","ℹ تحصيل فقط (بدون Start)",IF($K1949="U – needs rule","ℹ حالة U تحتاج قاعدة معتمدة",IF($K1949="No result","ℹ بدون نتيجة (يُستبعد من التحصيل)","OK")))))))))))</f>
        <v/>
      </c>
      <c r="M1949" s="64" t="n">
        <f aca="false">IF($A1949="",0,IFERROR(MATCH($A1949,Classes!$A$6:$A$420,0),0))</f>
        <v>0</v>
      </c>
      <c r="N1949" s="64" t="n">
        <f aca="false">IF($H1949="",0,IFERROR(MATCH($H1949,GradeList,0),0))</f>
        <v>0</v>
      </c>
      <c r="O1949" s="64" t="n">
        <f aca="false">IF(OR($I1949="",$I1949="NR"),0,IFERROR(MATCH($I1949,GradeList,0),0))</f>
        <v>0</v>
      </c>
      <c r="P1949" s="64" t="n">
        <f aca="false">IF(AND($M1949&gt;0,ISNUMBER(MATCH($F1949,Lists!$A$2:$A$5,0)),ISNUMBER(MATCH($G1949,Lists!$B$2:$B$7,0)),OR($H1949="",$N1949&gt;0),OR($I1949="",$I1949="NR",$O1949&gt;0),IF(ISNUMBER($J1949),AND($J1949&gt;=0,$J1949=INT($J1949)),FALSE())),$J1949,0)</f>
        <v>0</v>
      </c>
      <c r="Q1949" s="64" t="n">
        <f aca="false">IF(AND($P1949&gt;0,$O1949&gt;0),$P1949,0)</f>
        <v>0</v>
      </c>
      <c r="R1949" s="64" t="n">
        <f aca="false">IF(AND($Q1949&gt;0,$O1949&gt;=AtRank),$Q1949,0)</f>
        <v>0</v>
      </c>
      <c r="S1949" s="64" t="n">
        <f aca="false">IF(AND($Q1949&gt;0,$O1949&gt;=AboveRank),$Q1949,0)</f>
        <v>0</v>
      </c>
      <c r="T1949" s="64" t="n">
        <f aca="false">IF($K1949="Less",$P1949,0)</f>
        <v>0</v>
      </c>
      <c r="U1949" s="64" t="n">
        <f aca="false">IF($K1949="Expected",$P1949,0)</f>
        <v>0</v>
      </c>
      <c r="V1949" s="64" t="n">
        <f aca="false">IF($K1949="Better",$P1949,0)</f>
        <v>0</v>
      </c>
      <c r="W1949" s="64" t="n">
        <f aca="false">IF($K1949="U – needs rule",$P1949,0)</f>
        <v>0</v>
      </c>
      <c r="X1949" s="64" t="n">
        <f aca="false">IF($K1949="No Start (attainment only)",$P1949,0)</f>
        <v>0</v>
      </c>
    </row>
    <row r="1950" customFormat="false" ht="15" hidden="false" customHeight="false" outlineLevel="0" collapsed="false">
      <c r="A1950" s="60"/>
      <c r="B1950" s="61" t="str">
        <f aca="false">IF($M1950=0,"",INDEX(Classes!$E$6:$E$420,$M1950))</f>
        <v/>
      </c>
      <c r="C1950" s="62" t="str">
        <f aca="false">IF($M1950=0,"",INDEX(Classes!$H$6:$H$420,$M1950))</f>
        <v/>
      </c>
      <c r="D1950" s="61" t="str">
        <f aca="false">IF($M1950=0,"",INDEX(Classes!$B$6:$B$420,$M1950))</f>
        <v/>
      </c>
      <c r="E1950" s="61" t="str">
        <f aca="false">IF($M1950=0,"",INDEX(Classes!$C$6:$C$420,$M1950))</f>
        <v/>
      </c>
      <c r="F1950" s="63"/>
      <c r="G1950" s="63"/>
      <c r="H1950" s="60"/>
      <c r="I1950" s="60"/>
      <c r="J1950" s="63"/>
      <c r="K1950" s="61" t="str">
        <f aca="false">IF($P1950=0,"",IF($F1950="Baseline","— Baseline",IF($O1950=0,"No result",IF($N1950=0,"No Start (attainment only)",IF(OR($N1950=1,$O1950=1),"U – needs rule",INDEX(MxBody,MATCH($I1950,MxCurr,0),MATCH($H1950,MxStart,0)))))))</f>
        <v/>
      </c>
      <c r="L1950" s="62" t="str">
        <f aca="false">IF(COUNTA($A1950,$F1950,$G1950,$H1950,$I1950,$J1950)=0,"",IF($M1950=0,"✖ كود الصف غير موجود",IF(ISNA(MATCH($F1950,Lists!$A$2:$A$5,0)),"✖ الفترة غير صحيحة",IF(ISNA(MATCH($G1950,Lists!$B$2:$B$7,0)),"✖ المجموعة غير صحيحة",IF(NOT(OR($H1950="",$N1950&gt;0)),"✖ Start غير صحيح",IF(NOT(OR($I1950="",$I1950="NR",$O1950&gt;0)),"✖ Current غير صحيح",IF(NOT(IF(ISNUMBER($J1950),AND($J1950&gt;=0,$J1950=INT($J1950)),FALSE())),"✖ العدد يجب أن يكون صحيحًا ≥ 0",IF(AND($F1950="Baseline",$H1950&lt;&gt;""),"⚠ Baseline: Start لا يدخل في التقدم",IF($K1950="No Start (attainment only)","ℹ تحصيل فقط (بدون Start)",IF($K1950="U – needs rule","ℹ حالة U تحتاج قاعدة معتمدة",IF($K1950="No result","ℹ بدون نتيجة (يُستبعد من التحصيل)","OK")))))))))))</f>
        <v/>
      </c>
      <c r="M1950" s="64" t="n">
        <f aca="false">IF($A1950="",0,IFERROR(MATCH($A1950,Classes!$A$6:$A$420,0),0))</f>
        <v>0</v>
      </c>
      <c r="N1950" s="64" t="n">
        <f aca="false">IF($H1950="",0,IFERROR(MATCH($H1950,GradeList,0),0))</f>
        <v>0</v>
      </c>
      <c r="O1950" s="64" t="n">
        <f aca="false">IF(OR($I1950="",$I1950="NR"),0,IFERROR(MATCH($I1950,GradeList,0),0))</f>
        <v>0</v>
      </c>
      <c r="P1950" s="64" t="n">
        <f aca="false">IF(AND($M1950&gt;0,ISNUMBER(MATCH($F1950,Lists!$A$2:$A$5,0)),ISNUMBER(MATCH($G1950,Lists!$B$2:$B$7,0)),OR($H1950="",$N1950&gt;0),OR($I1950="",$I1950="NR",$O1950&gt;0),IF(ISNUMBER($J1950),AND($J1950&gt;=0,$J1950=INT($J1950)),FALSE())),$J1950,0)</f>
        <v>0</v>
      </c>
      <c r="Q1950" s="64" t="n">
        <f aca="false">IF(AND($P1950&gt;0,$O1950&gt;0),$P1950,0)</f>
        <v>0</v>
      </c>
      <c r="R1950" s="64" t="n">
        <f aca="false">IF(AND($Q1950&gt;0,$O1950&gt;=AtRank),$Q1950,0)</f>
        <v>0</v>
      </c>
      <c r="S1950" s="64" t="n">
        <f aca="false">IF(AND($Q1950&gt;0,$O1950&gt;=AboveRank),$Q1950,0)</f>
        <v>0</v>
      </c>
      <c r="T1950" s="64" t="n">
        <f aca="false">IF($K1950="Less",$P1950,0)</f>
        <v>0</v>
      </c>
      <c r="U1950" s="64" t="n">
        <f aca="false">IF($K1950="Expected",$P1950,0)</f>
        <v>0</v>
      </c>
      <c r="V1950" s="64" t="n">
        <f aca="false">IF($K1950="Better",$P1950,0)</f>
        <v>0</v>
      </c>
      <c r="W1950" s="64" t="n">
        <f aca="false">IF($K1950="U – needs rule",$P1950,0)</f>
        <v>0</v>
      </c>
      <c r="X1950" s="64" t="n">
        <f aca="false">IF($K1950="No Start (attainment only)",$P1950,0)</f>
        <v>0</v>
      </c>
    </row>
    <row r="1951" customFormat="false" ht="15" hidden="false" customHeight="false" outlineLevel="0" collapsed="false">
      <c r="A1951" s="60"/>
      <c r="B1951" s="61" t="str">
        <f aca="false">IF($M1951=0,"",INDEX(Classes!$E$6:$E$420,$M1951))</f>
        <v/>
      </c>
      <c r="C1951" s="62" t="str">
        <f aca="false">IF($M1951=0,"",INDEX(Classes!$H$6:$H$420,$M1951))</f>
        <v/>
      </c>
      <c r="D1951" s="61" t="str">
        <f aca="false">IF($M1951=0,"",INDEX(Classes!$B$6:$B$420,$M1951))</f>
        <v/>
      </c>
      <c r="E1951" s="61" t="str">
        <f aca="false">IF($M1951=0,"",INDEX(Classes!$C$6:$C$420,$M1951))</f>
        <v/>
      </c>
      <c r="F1951" s="63"/>
      <c r="G1951" s="63"/>
      <c r="H1951" s="60"/>
      <c r="I1951" s="60"/>
      <c r="J1951" s="63"/>
      <c r="K1951" s="61" t="str">
        <f aca="false">IF($P1951=0,"",IF($F1951="Baseline","— Baseline",IF($O1951=0,"No result",IF($N1951=0,"No Start (attainment only)",IF(OR($N1951=1,$O1951=1),"U – needs rule",INDEX(MxBody,MATCH($I1951,MxCurr,0),MATCH($H1951,MxStart,0)))))))</f>
        <v/>
      </c>
      <c r="L1951" s="62" t="str">
        <f aca="false">IF(COUNTA($A1951,$F1951,$G1951,$H1951,$I1951,$J1951)=0,"",IF($M1951=0,"✖ كود الصف غير موجود",IF(ISNA(MATCH($F1951,Lists!$A$2:$A$5,0)),"✖ الفترة غير صحيحة",IF(ISNA(MATCH($G1951,Lists!$B$2:$B$7,0)),"✖ المجموعة غير صحيحة",IF(NOT(OR($H1951="",$N1951&gt;0)),"✖ Start غير صحيح",IF(NOT(OR($I1951="",$I1951="NR",$O1951&gt;0)),"✖ Current غير صحيح",IF(NOT(IF(ISNUMBER($J1951),AND($J1951&gt;=0,$J1951=INT($J1951)),FALSE())),"✖ العدد يجب أن يكون صحيحًا ≥ 0",IF(AND($F1951="Baseline",$H1951&lt;&gt;""),"⚠ Baseline: Start لا يدخل في التقدم",IF($K1951="No Start (attainment only)","ℹ تحصيل فقط (بدون Start)",IF($K1951="U – needs rule","ℹ حالة U تحتاج قاعدة معتمدة",IF($K1951="No result","ℹ بدون نتيجة (يُستبعد من التحصيل)","OK")))))))))))</f>
        <v/>
      </c>
      <c r="M1951" s="64" t="n">
        <f aca="false">IF($A1951="",0,IFERROR(MATCH($A1951,Classes!$A$6:$A$420,0),0))</f>
        <v>0</v>
      </c>
      <c r="N1951" s="64" t="n">
        <f aca="false">IF($H1951="",0,IFERROR(MATCH($H1951,GradeList,0),0))</f>
        <v>0</v>
      </c>
      <c r="O1951" s="64" t="n">
        <f aca="false">IF(OR($I1951="",$I1951="NR"),0,IFERROR(MATCH($I1951,GradeList,0),0))</f>
        <v>0</v>
      </c>
      <c r="P1951" s="64" t="n">
        <f aca="false">IF(AND($M1951&gt;0,ISNUMBER(MATCH($F1951,Lists!$A$2:$A$5,0)),ISNUMBER(MATCH($G1951,Lists!$B$2:$B$7,0)),OR($H1951="",$N1951&gt;0),OR($I1951="",$I1951="NR",$O1951&gt;0),IF(ISNUMBER($J1951),AND($J1951&gt;=0,$J1951=INT($J1951)),FALSE())),$J1951,0)</f>
        <v>0</v>
      </c>
      <c r="Q1951" s="64" t="n">
        <f aca="false">IF(AND($P1951&gt;0,$O1951&gt;0),$P1951,0)</f>
        <v>0</v>
      </c>
      <c r="R1951" s="64" t="n">
        <f aca="false">IF(AND($Q1951&gt;0,$O1951&gt;=AtRank),$Q1951,0)</f>
        <v>0</v>
      </c>
      <c r="S1951" s="64" t="n">
        <f aca="false">IF(AND($Q1951&gt;0,$O1951&gt;=AboveRank),$Q1951,0)</f>
        <v>0</v>
      </c>
      <c r="T1951" s="64" t="n">
        <f aca="false">IF($K1951="Less",$P1951,0)</f>
        <v>0</v>
      </c>
      <c r="U1951" s="64" t="n">
        <f aca="false">IF($K1951="Expected",$P1951,0)</f>
        <v>0</v>
      </c>
      <c r="V1951" s="64" t="n">
        <f aca="false">IF($K1951="Better",$P1951,0)</f>
        <v>0</v>
      </c>
      <c r="W1951" s="64" t="n">
        <f aca="false">IF($K1951="U – needs rule",$P1951,0)</f>
        <v>0</v>
      </c>
      <c r="X1951" s="64" t="n">
        <f aca="false">IF($K1951="No Start (attainment only)",$P1951,0)</f>
        <v>0</v>
      </c>
    </row>
    <row r="1952" customFormat="false" ht="15" hidden="false" customHeight="false" outlineLevel="0" collapsed="false">
      <c r="A1952" s="60"/>
      <c r="B1952" s="61" t="str">
        <f aca="false">IF($M1952=0,"",INDEX(Classes!$E$6:$E$420,$M1952))</f>
        <v/>
      </c>
      <c r="C1952" s="62" t="str">
        <f aca="false">IF($M1952=0,"",INDEX(Classes!$H$6:$H$420,$M1952))</f>
        <v/>
      </c>
      <c r="D1952" s="61" t="str">
        <f aca="false">IF($M1952=0,"",INDEX(Classes!$B$6:$B$420,$M1952))</f>
        <v/>
      </c>
      <c r="E1952" s="61" t="str">
        <f aca="false">IF($M1952=0,"",INDEX(Classes!$C$6:$C$420,$M1952))</f>
        <v/>
      </c>
      <c r="F1952" s="63"/>
      <c r="G1952" s="63"/>
      <c r="H1952" s="60"/>
      <c r="I1952" s="60"/>
      <c r="J1952" s="63"/>
      <c r="K1952" s="61" t="str">
        <f aca="false">IF($P1952=0,"",IF($F1952="Baseline","— Baseline",IF($O1952=0,"No result",IF($N1952=0,"No Start (attainment only)",IF(OR($N1952=1,$O1952=1),"U – needs rule",INDEX(MxBody,MATCH($I1952,MxCurr,0),MATCH($H1952,MxStart,0)))))))</f>
        <v/>
      </c>
      <c r="L1952" s="62" t="str">
        <f aca="false">IF(COUNTA($A1952,$F1952,$G1952,$H1952,$I1952,$J1952)=0,"",IF($M1952=0,"✖ كود الصف غير موجود",IF(ISNA(MATCH($F1952,Lists!$A$2:$A$5,0)),"✖ الفترة غير صحيحة",IF(ISNA(MATCH($G1952,Lists!$B$2:$B$7,0)),"✖ المجموعة غير صحيحة",IF(NOT(OR($H1952="",$N1952&gt;0)),"✖ Start غير صحيح",IF(NOT(OR($I1952="",$I1952="NR",$O1952&gt;0)),"✖ Current غير صحيح",IF(NOT(IF(ISNUMBER($J1952),AND($J1952&gt;=0,$J1952=INT($J1952)),FALSE())),"✖ العدد يجب أن يكون صحيحًا ≥ 0",IF(AND($F1952="Baseline",$H1952&lt;&gt;""),"⚠ Baseline: Start لا يدخل في التقدم",IF($K1952="No Start (attainment only)","ℹ تحصيل فقط (بدون Start)",IF($K1952="U – needs rule","ℹ حالة U تحتاج قاعدة معتمدة",IF($K1952="No result","ℹ بدون نتيجة (يُستبعد من التحصيل)","OK")))))))))))</f>
        <v/>
      </c>
      <c r="M1952" s="64" t="n">
        <f aca="false">IF($A1952="",0,IFERROR(MATCH($A1952,Classes!$A$6:$A$420,0),0))</f>
        <v>0</v>
      </c>
      <c r="N1952" s="64" t="n">
        <f aca="false">IF($H1952="",0,IFERROR(MATCH($H1952,GradeList,0),0))</f>
        <v>0</v>
      </c>
      <c r="O1952" s="64" t="n">
        <f aca="false">IF(OR($I1952="",$I1952="NR"),0,IFERROR(MATCH($I1952,GradeList,0),0))</f>
        <v>0</v>
      </c>
      <c r="P1952" s="64" t="n">
        <f aca="false">IF(AND($M1952&gt;0,ISNUMBER(MATCH($F1952,Lists!$A$2:$A$5,0)),ISNUMBER(MATCH($G1952,Lists!$B$2:$B$7,0)),OR($H1952="",$N1952&gt;0),OR($I1952="",$I1952="NR",$O1952&gt;0),IF(ISNUMBER($J1952),AND($J1952&gt;=0,$J1952=INT($J1952)),FALSE())),$J1952,0)</f>
        <v>0</v>
      </c>
      <c r="Q1952" s="64" t="n">
        <f aca="false">IF(AND($P1952&gt;0,$O1952&gt;0),$P1952,0)</f>
        <v>0</v>
      </c>
      <c r="R1952" s="64" t="n">
        <f aca="false">IF(AND($Q1952&gt;0,$O1952&gt;=AtRank),$Q1952,0)</f>
        <v>0</v>
      </c>
      <c r="S1952" s="64" t="n">
        <f aca="false">IF(AND($Q1952&gt;0,$O1952&gt;=AboveRank),$Q1952,0)</f>
        <v>0</v>
      </c>
      <c r="T1952" s="64" t="n">
        <f aca="false">IF($K1952="Less",$P1952,0)</f>
        <v>0</v>
      </c>
      <c r="U1952" s="64" t="n">
        <f aca="false">IF($K1952="Expected",$P1952,0)</f>
        <v>0</v>
      </c>
      <c r="V1952" s="64" t="n">
        <f aca="false">IF($K1952="Better",$P1952,0)</f>
        <v>0</v>
      </c>
      <c r="W1952" s="64" t="n">
        <f aca="false">IF($K1952="U – needs rule",$P1952,0)</f>
        <v>0</v>
      </c>
      <c r="X1952" s="64" t="n">
        <f aca="false">IF($K1952="No Start (attainment only)",$P1952,0)</f>
        <v>0</v>
      </c>
    </row>
    <row r="1953" customFormat="false" ht="15" hidden="false" customHeight="false" outlineLevel="0" collapsed="false">
      <c r="A1953" s="60"/>
      <c r="B1953" s="61" t="str">
        <f aca="false">IF($M1953=0,"",INDEX(Classes!$E$6:$E$420,$M1953))</f>
        <v/>
      </c>
      <c r="C1953" s="62" t="str">
        <f aca="false">IF($M1953=0,"",INDEX(Classes!$H$6:$H$420,$M1953))</f>
        <v/>
      </c>
      <c r="D1953" s="61" t="str">
        <f aca="false">IF($M1953=0,"",INDEX(Classes!$B$6:$B$420,$M1953))</f>
        <v/>
      </c>
      <c r="E1953" s="61" t="str">
        <f aca="false">IF($M1953=0,"",INDEX(Classes!$C$6:$C$420,$M1953))</f>
        <v/>
      </c>
      <c r="F1953" s="63"/>
      <c r="G1953" s="63"/>
      <c r="H1953" s="60"/>
      <c r="I1953" s="60"/>
      <c r="J1953" s="63"/>
      <c r="K1953" s="61" t="str">
        <f aca="false">IF($P1953=0,"",IF($F1953="Baseline","— Baseline",IF($O1953=0,"No result",IF($N1953=0,"No Start (attainment only)",IF(OR($N1953=1,$O1953=1),"U – needs rule",INDEX(MxBody,MATCH($I1953,MxCurr,0),MATCH($H1953,MxStart,0)))))))</f>
        <v/>
      </c>
      <c r="L1953" s="62" t="str">
        <f aca="false">IF(COUNTA($A1953,$F1953,$G1953,$H1953,$I1953,$J1953)=0,"",IF($M1953=0,"✖ كود الصف غير موجود",IF(ISNA(MATCH($F1953,Lists!$A$2:$A$5,0)),"✖ الفترة غير صحيحة",IF(ISNA(MATCH($G1953,Lists!$B$2:$B$7,0)),"✖ المجموعة غير صحيحة",IF(NOT(OR($H1953="",$N1953&gt;0)),"✖ Start غير صحيح",IF(NOT(OR($I1953="",$I1953="NR",$O1953&gt;0)),"✖ Current غير صحيح",IF(NOT(IF(ISNUMBER($J1953),AND($J1953&gt;=0,$J1953=INT($J1953)),FALSE())),"✖ العدد يجب أن يكون صحيحًا ≥ 0",IF(AND($F1953="Baseline",$H1953&lt;&gt;""),"⚠ Baseline: Start لا يدخل في التقدم",IF($K1953="No Start (attainment only)","ℹ تحصيل فقط (بدون Start)",IF($K1953="U – needs rule","ℹ حالة U تحتاج قاعدة معتمدة",IF($K1953="No result","ℹ بدون نتيجة (يُستبعد من التحصيل)","OK")))))))))))</f>
        <v/>
      </c>
      <c r="M1953" s="64" t="n">
        <f aca="false">IF($A1953="",0,IFERROR(MATCH($A1953,Classes!$A$6:$A$420,0),0))</f>
        <v>0</v>
      </c>
      <c r="N1953" s="64" t="n">
        <f aca="false">IF($H1953="",0,IFERROR(MATCH($H1953,GradeList,0),0))</f>
        <v>0</v>
      </c>
      <c r="O1953" s="64" t="n">
        <f aca="false">IF(OR($I1953="",$I1953="NR"),0,IFERROR(MATCH($I1953,GradeList,0),0))</f>
        <v>0</v>
      </c>
      <c r="P1953" s="64" t="n">
        <f aca="false">IF(AND($M1953&gt;0,ISNUMBER(MATCH($F1953,Lists!$A$2:$A$5,0)),ISNUMBER(MATCH($G1953,Lists!$B$2:$B$7,0)),OR($H1953="",$N1953&gt;0),OR($I1953="",$I1953="NR",$O1953&gt;0),IF(ISNUMBER($J1953),AND($J1953&gt;=0,$J1953=INT($J1953)),FALSE())),$J1953,0)</f>
        <v>0</v>
      </c>
      <c r="Q1953" s="64" t="n">
        <f aca="false">IF(AND($P1953&gt;0,$O1953&gt;0),$P1953,0)</f>
        <v>0</v>
      </c>
      <c r="R1953" s="64" t="n">
        <f aca="false">IF(AND($Q1953&gt;0,$O1953&gt;=AtRank),$Q1953,0)</f>
        <v>0</v>
      </c>
      <c r="S1953" s="64" t="n">
        <f aca="false">IF(AND($Q1953&gt;0,$O1953&gt;=AboveRank),$Q1953,0)</f>
        <v>0</v>
      </c>
      <c r="T1953" s="64" t="n">
        <f aca="false">IF($K1953="Less",$P1953,0)</f>
        <v>0</v>
      </c>
      <c r="U1953" s="64" t="n">
        <f aca="false">IF($K1953="Expected",$P1953,0)</f>
        <v>0</v>
      </c>
      <c r="V1953" s="64" t="n">
        <f aca="false">IF($K1953="Better",$P1953,0)</f>
        <v>0</v>
      </c>
      <c r="W1953" s="64" t="n">
        <f aca="false">IF($K1953="U – needs rule",$P1953,0)</f>
        <v>0</v>
      </c>
      <c r="X1953" s="64" t="n">
        <f aca="false">IF($K1953="No Start (attainment only)",$P1953,0)</f>
        <v>0</v>
      </c>
    </row>
    <row r="1954" customFormat="false" ht="15" hidden="false" customHeight="false" outlineLevel="0" collapsed="false">
      <c r="A1954" s="60"/>
      <c r="B1954" s="61" t="str">
        <f aca="false">IF($M1954=0,"",INDEX(Classes!$E$6:$E$420,$M1954))</f>
        <v/>
      </c>
      <c r="C1954" s="62" t="str">
        <f aca="false">IF($M1954=0,"",INDEX(Classes!$H$6:$H$420,$M1954))</f>
        <v/>
      </c>
      <c r="D1954" s="61" t="str">
        <f aca="false">IF($M1954=0,"",INDEX(Classes!$B$6:$B$420,$M1954))</f>
        <v/>
      </c>
      <c r="E1954" s="61" t="str">
        <f aca="false">IF($M1954=0,"",INDEX(Classes!$C$6:$C$420,$M1954))</f>
        <v/>
      </c>
      <c r="F1954" s="63"/>
      <c r="G1954" s="63"/>
      <c r="H1954" s="60"/>
      <c r="I1954" s="60"/>
      <c r="J1954" s="63"/>
      <c r="K1954" s="61" t="str">
        <f aca="false">IF($P1954=0,"",IF($F1954="Baseline","— Baseline",IF($O1954=0,"No result",IF($N1954=0,"No Start (attainment only)",IF(OR($N1954=1,$O1954=1),"U – needs rule",INDEX(MxBody,MATCH($I1954,MxCurr,0),MATCH($H1954,MxStart,0)))))))</f>
        <v/>
      </c>
      <c r="L1954" s="62" t="str">
        <f aca="false">IF(COUNTA($A1954,$F1954,$G1954,$H1954,$I1954,$J1954)=0,"",IF($M1954=0,"✖ كود الصف غير موجود",IF(ISNA(MATCH($F1954,Lists!$A$2:$A$5,0)),"✖ الفترة غير صحيحة",IF(ISNA(MATCH($G1954,Lists!$B$2:$B$7,0)),"✖ المجموعة غير صحيحة",IF(NOT(OR($H1954="",$N1954&gt;0)),"✖ Start غير صحيح",IF(NOT(OR($I1954="",$I1954="NR",$O1954&gt;0)),"✖ Current غير صحيح",IF(NOT(IF(ISNUMBER($J1954),AND($J1954&gt;=0,$J1954=INT($J1954)),FALSE())),"✖ العدد يجب أن يكون صحيحًا ≥ 0",IF(AND($F1954="Baseline",$H1954&lt;&gt;""),"⚠ Baseline: Start لا يدخل في التقدم",IF($K1954="No Start (attainment only)","ℹ تحصيل فقط (بدون Start)",IF($K1954="U – needs rule","ℹ حالة U تحتاج قاعدة معتمدة",IF($K1954="No result","ℹ بدون نتيجة (يُستبعد من التحصيل)","OK")))))))))))</f>
        <v/>
      </c>
      <c r="M1954" s="64" t="n">
        <f aca="false">IF($A1954="",0,IFERROR(MATCH($A1954,Classes!$A$6:$A$420,0),0))</f>
        <v>0</v>
      </c>
      <c r="N1954" s="64" t="n">
        <f aca="false">IF($H1954="",0,IFERROR(MATCH($H1954,GradeList,0),0))</f>
        <v>0</v>
      </c>
      <c r="O1954" s="64" t="n">
        <f aca="false">IF(OR($I1954="",$I1954="NR"),0,IFERROR(MATCH($I1954,GradeList,0),0))</f>
        <v>0</v>
      </c>
      <c r="P1954" s="64" t="n">
        <f aca="false">IF(AND($M1954&gt;0,ISNUMBER(MATCH($F1954,Lists!$A$2:$A$5,0)),ISNUMBER(MATCH($G1954,Lists!$B$2:$B$7,0)),OR($H1954="",$N1954&gt;0),OR($I1954="",$I1954="NR",$O1954&gt;0),IF(ISNUMBER($J1954),AND($J1954&gt;=0,$J1954=INT($J1954)),FALSE())),$J1954,0)</f>
        <v>0</v>
      </c>
      <c r="Q1954" s="64" t="n">
        <f aca="false">IF(AND($P1954&gt;0,$O1954&gt;0),$P1954,0)</f>
        <v>0</v>
      </c>
      <c r="R1954" s="64" t="n">
        <f aca="false">IF(AND($Q1954&gt;0,$O1954&gt;=AtRank),$Q1954,0)</f>
        <v>0</v>
      </c>
      <c r="S1954" s="64" t="n">
        <f aca="false">IF(AND($Q1954&gt;0,$O1954&gt;=AboveRank),$Q1954,0)</f>
        <v>0</v>
      </c>
      <c r="T1954" s="64" t="n">
        <f aca="false">IF($K1954="Less",$P1954,0)</f>
        <v>0</v>
      </c>
      <c r="U1954" s="64" t="n">
        <f aca="false">IF($K1954="Expected",$P1954,0)</f>
        <v>0</v>
      </c>
      <c r="V1954" s="64" t="n">
        <f aca="false">IF($K1954="Better",$P1954,0)</f>
        <v>0</v>
      </c>
      <c r="W1954" s="64" t="n">
        <f aca="false">IF($K1954="U – needs rule",$P1954,0)</f>
        <v>0</v>
      </c>
      <c r="X1954" s="64" t="n">
        <f aca="false">IF($K1954="No Start (attainment only)",$P1954,0)</f>
        <v>0</v>
      </c>
    </row>
    <row r="1955" customFormat="false" ht="15" hidden="false" customHeight="false" outlineLevel="0" collapsed="false">
      <c r="A1955" s="60"/>
      <c r="B1955" s="61" t="str">
        <f aca="false">IF($M1955=0,"",INDEX(Classes!$E$6:$E$420,$M1955))</f>
        <v/>
      </c>
      <c r="C1955" s="62" t="str">
        <f aca="false">IF($M1955=0,"",INDEX(Classes!$H$6:$H$420,$M1955))</f>
        <v/>
      </c>
      <c r="D1955" s="61" t="str">
        <f aca="false">IF($M1955=0,"",INDEX(Classes!$B$6:$B$420,$M1955))</f>
        <v/>
      </c>
      <c r="E1955" s="61" t="str">
        <f aca="false">IF($M1955=0,"",INDEX(Classes!$C$6:$C$420,$M1955))</f>
        <v/>
      </c>
      <c r="F1955" s="63"/>
      <c r="G1955" s="63"/>
      <c r="H1955" s="60"/>
      <c r="I1955" s="60"/>
      <c r="J1955" s="63"/>
      <c r="K1955" s="61" t="str">
        <f aca="false">IF($P1955=0,"",IF($F1955="Baseline","— Baseline",IF($O1955=0,"No result",IF($N1955=0,"No Start (attainment only)",IF(OR($N1955=1,$O1955=1),"U – needs rule",INDEX(MxBody,MATCH($I1955,MxCurr,0),MATCH($H1955,MxStart,0)))))))</f>
        <v/>
      </c>
      <c r="L1955" s="62" t="str">
        <f aca="false">IF(COUNTA($A1955,$F1955,$G1955,$H1955,$I1955,$J1955)=0,"",IF($M1955=0,"✖ كود الصف غير موجود",IF(ISNA(MATCH($F1955,Lists!$A$2:$A$5,0)),"✖ الفترة غير صحيحة",IF(ISNA(MATCH($G1955,Lists!$B$2:$B$7,0)),"✖ المجموعة غير صحيحة",IF(NOT(OR($H1955="",$N1955&gt;0)),"✖ Start غير صحيح",IF(NOT(OR($I1955="",$I1955="NR",$O1955&gt;0)),"✖ Current غير صحيح",IF(NOT(IF(ISNUMBER($J1955),AND($J1955&gt;=0,$J1955=INT($J1955)),FALSE())),"✖ العدد يجب أن يكون صحيحًا ≥ 0",IF(AND($F1955="Baseline",$H1955&lt;&gt;""),"⚠ Baseline: Start لا يدخل في التقدم",IF($K1955="No Start (attainment only)","ℹ تحصيل فقط (بدون Start)",IF($K1955="U – needs rule","ℹ حالة U تحتاج قاعدة معتمدة",IF($K1955="No result","ℹ بدون نتيجة (يُستبعد من التحصيل)","OK")))))))))))</f>
        <v/>
      </c>
      <c r="M1955" s="64" t="n">
        <f aca="false">IF($A1955="",0,IFERROR(MATCH($A1955,Classes!$A$6:$A$420,0),0))</f>
        <v>0</v>
      </c>
      <c r="N1955" s="64" t="n">
        <f aca="false">IF($H1955="",0,IFERROR(MATCH($H1955,GradeList,0),0))</f>
        <v>0</v>
      </c>
      <c r="O1955" s="64" t="n">
        <f aca="false">IF(OR($I1955="",$I1955="NR"),0,IFERROR(MATCH($I1955,GradeList,0),0))</f>
        <v>0</v>
      </c>
      <c r="P1955" s="64" t="n">
        <f aca="false">IF(AND($M1955&gt;0,ISNUMBER(MATCH($F1955,Lists!$A$2:$A$5,0)),ISNUMBER(MATCH($G1955,Lists!$B$2:$B$7,0)),OR($H1955="",$N1955&gt;0),OR($I1955="",$I1955="NR",$O1955&gt;0),IF(ISNUMBER($J1955),AND($J1955&gt;=0,$J1955=INT($J1955)),FALSE())),$J1955,0)</f>
        <v>0</v>
      </c>
      <c r="Q1955" s="64" t="n">
        <f aca="false">IF(AND($P1955&gt;0,$O1955&gt;0),$P1955,0)</f>
        <v>0</v>
      </c>
      <c r="R1955" s="64" t="n">
        <f aca="false">IF(AND($Q1955&gt;0,$O1955&gt;=AtRank),$Q1955,0)</f>
        <v>0</v>
      </c>
      <c r="S1955" s="64" t="n">
        <f aca="false">IF(AND($Q1955&gt;0,$O1955&gt;=AboveRank),$Q1955,0)</f>
        <v>0</v>
      </c>
      <c r="T1955" s="64" t="n">
        <f aca="false">IF($K1955="Less",$P1955,0)</f>
        <v>0</v>
      </c>
      <c r="U1955" s="64" t="n">
        <f aca="false">IF($K1955="Expected",$P1955,0)</f>
        <v>0</v>
      </c>
      <c r="V1955" s="64" t="n">
        <f aca="false">IF($K1955="Better",$P1955,0)</f>
        <v>0</v>
      </c>
      <c r="W1955" s="64" t="n">
        <f aca="false">IF($K1955="U – needs rule",$P1955,0)</f>
        <v>0</v>
      </c>
      <c r="X1955" s="64" t="n">
        <f aca="false">IF($K1955="No Start (attainment only)",$P1955,0)</f>
        <v>0</v>
      </c>
    </row>
    <row r="1956" customFormat="false" ht="15" hidden="false" customHeight="false" outlineLevel="0" collapsed="false">
      <c r="A1956" s="60"/>
      <c r="B1956" s="61" t="str">
        <f aca="false">IF($M1956=0,"",INDEX(Classes!$E$6:$E$420,$M1956))</f>
        <v/>
      </c>
      <c r="C1956" s="62" t="str">
        <f aca="false">IF($M1956=0,"",INDEX(Classes!$H$6:$H$420,$M1956))</f>
        <v/>
      </c>
      <c r="D1956" s="61" t="str">
        <f aca="false">IF($M1956=0,"",INDEX(Classes!$B$6:$B$420,$M1956))</f>
        <v/>
      </c>
      <c r="E1956" s="61" t="str">
        <f aca="false">IF($M1956=0,"",INDEX(Classes!$C$6:$C$420,$M1956))</f>
        <v/>
      </c>
      <c r="F1956" s="63"/>
      <c r="G1956" s="63"/>
      <c r="H1956" s="60"/>
      <c r="I1956" s="60"/>
      <c r="J1956" s="63"/>
      <c r="K1956" s="61" t="str">
        <f aca="false">IF($P1956=0,"",IF($F1956="Baseline","— Baseline",IF($O1956=0,"No result",IF($N1956=0,"No Start (attainment only)",IF(OR($N1956=1,$O1956=1),"U – needs rule",INDEX(MxBody,MATCH($I1956,MxCurr,0),MATCH($H1956,MxStart,0)))))))</f>
        <v/>
      </c>
      <c r="L1956" s="62" t="str">
        <f aca="false">IF(COUNTA($A1956,$F1956,$G1956,$H1956,$I1956,$J1956)=0,"",IF($M1956=0,"✖ كود الصف غير موجود",IF(ISNA(MATCH($F1956,Lists!$A$2:$A$5,0)),"✖ الفترة غير صحيحة",IF(ISNA(MATCH($G1956,Lists!$B$2:$B$7,0)),"✖ المجموعة غير صحيحة",IF(NOT(OR($H1956="",$N1956&gt;0)),"✖ Start غير صحيح",IF(NOT(OR($I1956="",$I1956="NR",$O1956&gt;0)),"✖ Current غير صحيح",IF(NOT(IF(ISNUMBER($J1956),AND($J1956&gt;=0,$J1956=INT($J1956)),FALSE())),"✖ العدد يجب أن يكون صحيحًا ≥ 0",IF(AND($F1956="Baseline",$H1956&lt;&gt;""),"⚠ Baseline: Start لا يدخل في التقدم",IF($K1956="No Start (attainment only)","ℹ تحصيل فقط (بدون Start)",IF($K1956="U – needs rule","ℹ حالة U تحتاج قاعدة معتمدة",IF($K1956="No result","ℹ بدون نتيجة (يُستبعد من التحصيل)","OK")))))))))))</f>
        <v/>
      </c>
      <c r="M1956" s="64" t="n">
        <f aca="false">IF($A1956="",0,IFERROR(MATCH($A1956,Classes!$A$6:$A$420,0),0))</f>
        <v>0</v>
      </c>
      <c r="N1956" s="64" t="n">
        <f aca="false">IF($H1956="",0,IFERROR(MATCH($H1956,GradeList,0),0))</f>
        <v>0</v>
      </c>
      <c r="O1956" s="64" t="n">
        <f aca="false">IF(OR($I1956="",$I1956="NR"),0,IFERROR(MATCH($I1956,GradeList,0),0))</f>
        <v>0</v>
      </c>
      <c r="P1956" s="64" t="n">
        <f aca="false">IF(AND($M1956&gt;0,ISNUMBER(MATCH($F1956,Lists!$A$2:$A$5,0)),ISNUMBER(MATCH($G1956,Lists!$B$2:$B$7,0)),OR($H1956="",$N1956&gt;0),OR($I1956="",$I1956="NR",$O1956&gt;0),IF(ISNUMBER($J1956),AND($J1956&gt;=0,$J1956=INT($J1956)),FALSE())),$J1956,0)</f>
        <v>0</v>
      </c>
      <c r="Q1956" s="64" t="n">
        <f aca="false">IF(AND($P1956&gt;0,$O1956&gt;0),$P1956,0)</f>
        <v>0</v>
      </c>
      <c r="R1956" s="64" t="n">
        <f aca="false">IF(AND($Q1956&gt;0,$O1956&gt;=AtRank),$Q1956,0)</f>
        <v>0</v>
      </c>
      <c r="S1956" s="64" t="n">
        <f aca="false">IF(AND($Q1956&gt;0,$O1956&gt;=AboveRank),$Q1956,0)</f>
        <v>0</v>
      </c>
      <c r="T1956" s="64" t="n">
        <f aca="false">IF($K1956="Less",$P1956,0)</f>
        <v>0</v>
      </c>
      <c r="U1956" s="64" t="n">
        <f aca="false">IF($K1956="Expected",$P1956,0)</f>
        <v>0</v>
      </c>
      <c r="V1956" s="64" t="n">
        <f aca="false">IF($K1956="Better",$P1956,0)</f>
        <v>0</v>
      </c>
      <c r="W1956" s="64" t="n">
        <f aca="false">IF($K1956="U – needs rule",$P1956,0)</f>
        <v>0</v>
      </c>
      <c r="X1956" s="64" t="n">
        <f aca="false">IF($K1956="No Start (attainment only)",$P1956,0)</f>
        <v>0</v>
      </c>
    </row>
    <row r="1957" customFormat="false" ht="15" hidden="false" customHeight="false" outlineLevel="0" collapsed="false">
      <c r="A1957" s="60"/>
      <c r="B1957" s="61" t="str">
        <f aca="false">IF($M1957=0,"",INDEX(Classes!$E$6:$E$420,$M1957))</f>
        <v/>
      </c>
      <c r="C1957" s="62" t="str">
        <f aca="false">IF($M1957=0,"",INDEX(Classes!$H$6:$H$420,$M1957))</f>
        <v/>
      </c>
      <c r="D1957" s="61" t="str">
        <f aca="false">IF($M1957=0,"",INDEX(Classes!$B$6:$B$420,$M1957))</f>
        <v/>
      </c>
      <c r="E1957" s="61" t="str">
        <f aca="false">IF($M1957=0,"",INDEX(Classes!$C$6:$C$420,$M1957))</f>
        <v/>
      </c>
      <c r="F1957" s="63"/>
      <c r="G1957" s="63"/>
      <c r="H1957" s="60"/>
      <c r="I1957" s="60"/>
      <c r="J1957" s="63"/>
      <c r="K1957" s="61" t="str">
        <f aca="false">IF($P1957=0,"",IF($F1957="Baseline","— Baseline",IF($O1957=0,"No result",IF($N1957=0,"No Start (attainment only)",IF(OR($N1957=1,$O1957=1),"U – needs rule",INDEX(MxBody,MATCH($I1957,MxCurr,0),MATCH($H1957,MxStart,0)))))))</f>
        <v/>
      </c>
      <c r="L1957" s="62" t="str">
        <f aca="false">IF(COUNTA($A1957,$F1957,$G1957,$H1957,$I1957,$J1957)=0,"",IF($M1957=0,"✖ كود الصف غير موجود",IF(ISNA(MATCH($F1957,Lists!$A$2:$A$5,0)),"✖ الفترة غير صحيحة",IF(ISNA(MATCH($G1957,Lists!$B$2:$B$7,0)),"✖ المجموعة غير صحيحة",IF(NOT(OR($H1957="",$N1957&gt;0)),"✖ Start غير صحيح",IF(NOT(OR($I1957="",$I1957="NR",$O1957&gt;0)),"✖ Current غير صحيح",IF(NOT(IF(ISNUMBER($J1957),AND($J1957&gt;=0,$J1957=INT($J1957)),FALSE())),"✖ العدد يجب أن يكون صحيحًا ≥ 0",IF(AND($F1957="Baseline",$H1957&lt;&gt;""),"⚠ Baseline: Start لا يدخل في التقدم",IF($K1957="No Start (attainment only)","ℹ تحصيل فقط (بدون Start)",IF($K1957="U – needs rule","ℹ حالة U تحتاج قاعدة معتمدة",IF($K1957="No result","ℹ بدون نتيجة (يُستبعد من التحصيل)","OK")))))))))))</f>
        <v/>
      </c>
      <c r="M1957" s="64" t="n">
        <f aca="false">IF($A1957="",0,IFERROR(MATCH($A1957,Classes!$A$6:$A$420,0),0))</f>
        <v>0</v>
      </c>
      <c r="N1957" s="64" t="n">
        <f aca="false">IF($H1957="",0,IFERROR(MATCH($H1957,GradeList,0),0))</f>
        <v>0</v>
      </c>
      <c r="O1957" s="64" t="n">
        <f aca="false">IF(OR($I1957="",$I1957="NR"),0,IFERROR(MATCH($I1957,GradeList,0),0))</f>
        <v>0</v>
      </c>
      <c r="P1957" s="64" t="n">
        <f aca="false">IF(AND($M1957&gt;0,ISNUMBER(MATCH($F1957,Lists!$A$2:$A$5,0)),ISNUMBER(MATCH($G1957,Lists!$B$2:$B$7,0)),OR($H1957="",$N1957&gt;0),OR($I1957="",$I1957="NR",$O1957&gt;0),IF(ISNUMBER($J1957),AND($J1957&gt;=0,$J1957=INT($J1957)),FALSE())),$J1957,0)</f>
        <v>0</v>
      </c>
      <c r="Q1957" s="64" t="n">
        <f aca="false">IF(AND($P1957&gt;0,$O1957&gt;0),$P1957,0)</f>
        <v>0</v>
      </c>
      <c r="R1957" s="64" t="n">
        <f aca="false">IF(AND($Q1957&gt;0,$O1957&gt;=AtRank),$Q1957,0)</f>
        <v>0</v>
      </c>
      <c r="S1957" s="64" t="n">
        <f aca="false">IF(AND($Q1957&gt;0,$O1957&gt;=AboveRank),$Q1957,0)</f>
        <v>0</v>
      </c>
      <c r="T1957" s="64" t="n">
        <f aca="false">IF($K1957="Less",$P1957,0)</f>
        <v>0</v>
      </c>
      <c r="U1957" s="64" t="n">
        <f aca="false">IF($K1957="Expected",$P1957,0)</f>
        <v>0</v>
      </c>
      <c r="V1957" s="64" t="n">
        <f aca="false">IF($K1957="Better",$P1957,0)</f>
        <v>0</v>
      </c>
      <c r="W1957" s="64" t="n">
        <f aca="false">IF($K1957="U – needs rule",$P1957,0)</f>
        <v>0</v>
      </c>
      <c r="X1957" s="64" t="n">
        <f aca="false">IF($K1957="No Start (attainment only)",$P1957,0)</f>
        <v>0</v>
      </c>
    </row>
    <row r="1958" customFormat="false" ht="15" hidden="false" customHeight="false" outlineLevel="0" collapsed="false">
      <c r="A1958" s="60"/>
      <c r="B1958" s="61" t="str">
        <f aca="false">IF($M1958=0,"",INDEX(Classes!$E$6:$E$420,$M1958))</f>
        <v/>
      </c>
      <c r="C1958" s="62" t="str">
        <f aca="false">IF($M1958=0,"",INDEX(Classes!$H$6:$H$420,$M1958))</f>
        <v/>
      </c>
      <c r="D1958" s="61" t="str">
        <f aca="false">IF($M1958=0,"",INDEX(Classes!$B$6:$B$420,$M1958))</f>
        <v/>
      </c>
      <c r="E1958" s="61" t="str">
        <f aca="false">IF($M1958=0,"",INDEX(Classes!$C$6:$C$420,$M1958))</f>
        <v/>
      </c>
      <c r="F1958" s="63"/>
      <c r="G1958" s="63"/>
      <c r="H1958" s="60"/>
      <c r="I1958" s="60"/>
      <c r="J1958" s="63"/>
      <c r="K1958" s="61" t="str">
        <f aca="false">IF($P1958=0,"",IF($F1958="Baseline","— Baseline",IF($O1958=0,"No result",IF($N1958=0,"No Start (attainment only)",IF(OR($N1958=1,$O1958=1),"U – needs rule",INDEX(MxBody,MATCH($I1958,MxCurr,0),MATCH($H1958,MxStart,0)))))))</f>
        <v/>
      </c>
      <c r="L1958" s="62" t="str">
        <f aca="false">IF(COUNTA($A1958,$F1958,$G1958,$H1958,$I1958,$J1958)=0,"",IF($M1958=0,"✖ كود الصف غير موجود",IF(ISNA(MATCH($F1958,Lists!$A$2:$A$5,0)),"✖ الفترة غير صحيحة",IF(ISNA(MATCH($G1958,Lists!$B$2:$B$7,0)),"✖ المجموعة غير صحيحة",IF(NOT(OR($H1958="",$N1958&gt;0)),"✖ Start غير صحيح",IF(NOT(OR($I1958="",$I1958="NR",$O1958&gt;0)),"✖ Current غير صحيح",IF(NOT(IF(ISNUMBER($J1958),AND($J1958&gt;=0,$J1958=INT($J1958)),FALSE())),"✖ العدد يجب أن يكون صحيحًا ≥ 0",IF(AND($F1958="Baseline",$H1958&lt;&gt;""),"⚠ Baseline: Start لا يدخل في التقدم",IF($K1958="No Start (attainment only)","ℹ تحصيل فقط (بدون Start)",IF($K1958="U – needs rule","ℹ حالة U تحتاج قاعدة معتمدة",IF($K1958="No result","ℹ بدون نتيجة (يُستبعد من التحصيل)","OK")))))))))))</f>
        <v/>
      </c>
      <c r="M1958" s="64" t="n">
        <f aca="false">IF($A1958="",0,IFERROR(MATCH($A1958,Classes!$A$6:$A$420,0),0))</f>
        <v>0</v>
      </c>
      <c r="N1958" s="64" t="n">
        <f aca="false">IF($H1958="",0,IFERROR(MATCH($H1958,GradeList,0),0))</f>
        <v>0</v>
      </c>
      <c r="O1958" s="64" t="n">
        <f aca="false">IF(OR($I1958="",$I1958="NR"),0,IFERROR(MATCH($I1958,GradeList,0),0))</f>
        <v>0</v>
      </c>
      <c r="P1958" s="64" t="n">
        <f aca="false">IF(AND($M1958&gt;0,ISNUMBER(MATCH($F1958,Lists!$A$2:$A$5,0)),ISNUMBER(MATCH($G1958,Lists!$B$2:$B$7,0)),OR($H1958="",$N1958&gt;0),OR($I1958="",$I1958="NR",$O1958&gt;0),IF(ISNUMBER($J1958),AND($J1958&gt;=0,$J1958=INT($J1958)),FALSE())),$J1958,0)</f>
        <v>0</v>
      </c>
      <c r="Q1958" s="64" t="n">
        <f aca="false">IF(AND($P1958&gt;0,$O1958&gt;0),$P1958,0)</f>
        <v>0</v>
      </c>
      <c r="R1958" s="64" t="n">
        <f aca="false">IF(AND($Q1958&gt;0,$O1958&gt;=AtRank),$Q1958,0)</f>
        <v>0</v>
      </c>
      <c r="S1958" s="64" t="n">
        <f aca="false">IF(AND($Q1958&gt;0,$O1958&gt;=AboveRank),$Q1958,0)</f>
        <v>0</v>
      </c>
      <c r="T1958" s="64" t="n">
        <f aca="false">IF($K1958="Less",$P1958,0)</f>
        <v>0</v>
      </c>
      <c r="U1958" s="64" t="n">
        <f aca="false">IF($K1958="Expected",$P1958,0)</f>
        <v>0</v>
      </c>
      <c r="V1958" s="64" t="n">
        <f aca="false">IF($K1958="Better",$P1958,0)</f>
        <v>0</v>
      </c>
      <c r="W1958" s="64" t="n">
        <f aca="false">IF($K1958="U – needs rule",$P1958,0)</f>
        <v>0</v>
      </c>
      <c r="X1958" s="64" t="n">
        <f aca="false">IF($K1958="No Start (attainment only)",$P1958,0)</f>
        <v>0</v>
      </c>
    </row>
    <row r="1959" customFormat="false" ht="15" hidden="false" customHeight="false" outlineLevel="0" collapsed="false">
      <c r="A1959" s="60"/>
      <c r="B1959" s="61" t="str">
        <f aca="false">IF($M1959=0,"",INDEX(Classes!$E$6:$E$420,$M1959))</f>
        <v/>
      </c>
      <c r="C1959" s="62" t="str">
        <f aca="false">IF($M1959=0,"",INDEX(Classes!$H$6:$H$420,$M1959))</f>
        <v/>
      </c>
      <c r="D1959" s="61" t="str">
        <f aca="false">IF($M1959=0,"",INDEX(Classes!$B$6:$B$420,$M1959))</f>
        <v/>
      </c>
      <c r="E1959" s="61" t="str">
        <f aca="false">IF($M1959=0,"",INDEX(Classes!$C$6:$C$420,$M1959))</f>
        <v/>
      </c>
      <c r="F1959" s="63"/>
      <c r="G1959" s="63"/>
      <c r="H1959" s="60"/>
      <c r="I1959" s="60"/>
      <c r="J1959" s="63"/>
      <c r="K1959" s="61" t="str">
        <f aca="false">IF($P1959=0,"",IF($F1959="Baseline","— Baseline",IF($O1959=0,"No result",IF($N1959=0,"No Start (attainment only)",IF(OR($N1959=1,$O1959=1),"U – needs rule",INDEX(MxBody,MATCH($I1959,MxCurr,0),MATCH($H1959,MxStart,0)))))))</f>
        <v/>
      </c>
      <c r="L1959" s="62" t="str">
        <f aca="false">IF(COUNTA($A1959,$F1959,$G1959,$H1959,$I1959,$J1959)=0,"",IF($M1959=0,"✖ كود الصف غير موجود",IF(ISNA(MATCH($F1959,Lists!$A$2:$A$5,0)),"✖ الفترة غير صحيحة",IF(ISNA(MATCH($G1959,Lists!$B$2:$B$7,0)),"✖ المجموعة غير صحيحة",IF(NOT(OR($H1959="",$N1959&gt;0)),"✖ Start غير صحيح",IF(NOT(OR($I1959="",$I1959="NR",$O1959&gt;0)),"✖ Current غير صحيح",IF(NOT(IF(ISNUMBER($J1959),AND($J1959&gt;=0,$J1959=INT($J1959)),FALSE())),"✖ العدد يجب أن يكون صحيحًا ≥ 0",IF(AND($F1959="Baseline",$H1959&lt;&gt;""),"⚠ Baseline: Start لا يدخل في التقدم",IF($K1959="No Start (attainment only)","ℹ تحصيل فقط (بدون Start)",IF($K1959="U – needs rule","ℹ حالة U تحتاج قاعدة معتمدة",IF($K1959="No result","ℹ بدون نتيجة (يُستبعد من التحصيل)","OK")))))))))))</f>
        <v/>
      </c>
      <c r="M1959" s="64" t="n">
        <f aca="false">IF($A1959="",0,IFERROR(MATCH($A1959,Classes!$A$6:$A$420,0),0))</f>
        <v>0</v>
      </c>
      <c r="N1959" s="64" t="n">
        <f aca="false">IF($H1959="",0,IFERROR(MATCH($H1959,GradeList,0),0))</f>
        <v>0</v>
      </c>
      <c r="O1959" s="64" t="n">
        <f aca="false">IF(OR($I1959="",$I1959="NR"),0,IFERROR(MATCH($I1959,GradeList,0),0))</f>
        <v>0</v>
      </c>
      <c r="P1959" s="64" t="n">
        <f aca="false">IF(AND($M1959&gt;0,ISNUMBER(MATCH($F1959,Lists!$A$2:$A$5,0)),ISNUMBER(MATCH($G1959,Lists!$B$2:$B$7,0)),OR($H1959="",$N1959&gt;0),OR($I1959="",$I1959="NR",$O1959&gt;0),IF(ISNUMBER($J1959),AND($J1959&gt;=0,$J1959=INT($J1959)),FALSE())),$J1959,0)</f>
        <v>0</v>
      </c>
      <c r="Q1959" s="64" t="n">
        <f aca="false">IF(AND($P1959&gt;0,$O1959&gt;0),$P1959,0)</f>
        <v>0</v>
      </c>
      <c r="R1959" s="64" t="n">
        <f aca="false">IF(AND($Q1959&gt;0,$O1959&gt;=AtRank),$Q1959,0)</f>
        <v>0</v>
      </c>
      <c r="S1959" s="64" t="n">
        <f aca="false">IF(AND($Q1959&gt;0,$O1959&gt;=AboveRank),$Q1959,0)</f>
        <v>0</v>
      </c>
      <c r="T1959" s="64" t="n">
        <f aca="false">IF($K1959="Less",$P1959,0)</f>
        <v>0</v>
      </c>
      <c r="U1959" s="64" t="n">
        <f aca="false">IF($K1959="Expected",$P1959,0)</f>
        <v>0</v>
      </c>
      <c r="V1959" s="64" t="n">
        <f aca="false">IF($K1959="Better",$P1959,0)</f>
        <v>0</v>
      </c>
      <c r="W1959" s="64" t="n">
        <f aca="false">IF($K1959="U – needs rule",$P1959,0)</f>
        <v>0</v>
      </c>
      <c r="X1959" s="64" t="n">
        <f aca="false">IF($K1959="No Start (attainment only)",$P1959,0)</f>
        <v>0</v>
      </c>
    </row>
    <row r="1960" customFormat="false" ht="15" hidden="false" customHeight="false" outlineLevel="0" collapsed="false">
      <c r="A1960" s="60"/>
      <c r="B1960" s="61" t="str">
        <f aca="false">IF($M1960=0,"",INDEX(Classes!$E$6:$E$420,$M1960))</f>
        <v/>
      </c>
      <c r="C1960" s="62" t="str">
        <f aca="false">IF($M1960=0,"",INDEX(Classes!$H$6:$H$420,$M1960))</f>
        <v/>
      </c>
      <c r="D1960" s="61" t="str">
        <f aca="false">IF($M1960=0,"",INDEX(Classes!$B$6:$B$420,$M1960))</f>
        <v/>
      </c>
      <c r="E1960" s="61" t="str">
        <f aca="false">IF($M1960=0,"",INDEX(Classes!$C$6:$C$420,$M1960))</f>
        <v/>
      </c>
      <c r="F1960" s="63"/>
      <c r="G1960" s="63"/>
      <c r="H1960" s="60"/>
      <c r="I1960" s="60"/>
      <c r="J1960" s="63"/>
      <c r="K1960" s="61" t="str">
        <f aca="false">IF($P1960=0,"",IF($F1960="Baseline","— Baseline",IF($O1960=0,"No result",IF($N1960=0,"No Start (attainment only)",IF(OR($N1960=1,$O1960=1),"U – needs rule",INDEX(MxBody,MATCH($I1960,MxCurr,0),MATCH($H1960,MxStart,0)))))))</f>
        <v/>
      </c>
      <c r="L1960" s="62" t="str">
        <f aca="false">IF(COUNTA($A1960,$F1960,$G1960,$H1960,$I1960,$J1960)=0,"",IF($M1960=0,"✖ كود الصف غير موجود",IF(ISNA(MATCH($F1960,Lists!$A$2:$A$5,0)),"✖ الفترة غير صحيحة",IF(ISNA(MATCH($G1960,Lists!$B$2:$B$7,0)),"✖ المجموعة غير صحيحة",IF(NOT(OR($H1960="",$N1960&gt;0)),"✖ Start غير صحيح",IF(NOT(OR($I1960="",$I1960="NR",$O1960&gt;0)),"✖ Current غير صحيح",IF(NOT(IF(ISNUMBER($J1960),AND($J1960&gt;=0,$J1960=INT($J1960)),FALSE())),"✖ العدد يجب أن يكون صحيحًا ≥ 0",IF(AND($F1960="Baseline",$H1960&lt;&gt;""),"⚠ Baseline: Start لا يدخل في التقدم",IF($K1960="No Start (attainment only)","ℹ تحصيل فقط (بدون Start)",IF($K1960="U – needs rule","ℹ حالة U تحتاج قاعدة معتمدة",IF($K1960="No result","ℹ بدون نتيجة (يُستبعد من التحصيل)","OK")))))))))))</f>
        <v/>
      </c>
      <c r="M1960" s="64" t="n">
        <f aca="false">IF($A1960="",0,IFERROR(MATCH($A1960,Classes!$A$6:$A$420,0),0))</f>
        <v>0</v>
      </c>
      <c r="N1960" s="64" t="n">
        <f aca="false">IF($H1960="",0,IFERROR(MATCH($H1960,GradeList,0),0))</f>
        <v>0</v>
      </c>
      <c r="O1960" s="64" t="n">
        <f aca="false">IF(OR($I1960="",$I1960="NR"),0,IFERROR(MATCH($I1960,GradeList,0),0))</f>
        <v>0</v>
      </c>
      <c r="P1960" s="64" t="n">
        <f aca="false">IF(AND($M1960&gt;0,ISNUMBER(MATCH($F1960,Lists!$A$2:$A$5,0)),ISNUMBER(MATCH($G1960,Lists!$B$2:$B$7,0)),OR($H1960="",$N1960&gt;0),OR($I1960="",$I1960="NR",$O1960&gt;0),IF(ISNUMBER($J1960),AND($J1960&gt;=0,$J1960=INT($J1960)),FALSE())),$J1960,0)</f>
        <v>0</v>
      </c>
      <c r="Q1960" s="64" t="n">
        <f aca="false">IF(AND($P1960&gt;0,$O1960&gt;0),$P1960,0)</f>
        <v>0</v>
      </c>
      <c r="R1960" s="64" t="n">
        <f aca="false">IF(AND($Q1960&gt;0,$O1960&gt;=AtRank),$Q1960,0)</f>
        <v>0</v>
      </c>
      <c r="S1960" s="64" t="n">
        <f aca="false">IF(AND($Q1960&gt;0,$O1960&gt;=AboveRank),$Q1960,0)</f>
        <v>0</v>
      </c>
      <c r="T1960" s="64" t="n">
        <f aca="false">IF($K1960="Less",$P1960,0)</f>
        <v>0</v>
      </c>
      <c r="U1960" s="64" t="n">
        <f aca="false">IF($K1960="Expected",$P1960,0)</f>
        <v>0</v>
      </c>
      <c r="V1960" s="64" t="n">
        <f aca="false">IF($K1960="Better",$P1960,0)</f>
        <v>0</v>
      </c>
      <c r="W1960" s="64" t="n">
        <f aca="false">IF($K1960="U – needs rule",$P1960,0)</f>
        <v>0</v>
      </c>
      <c r="X1960" s="64" t="n">
        <f aca="false">IF($K1960="No Start (attainment only)",$P1960,0)</f>
        <v>0</v>
      </c>
    </row>
    <row r="1961" customFormat="false" ht="15" hidden="false" customHeight="false" outlineLevel="0" collapsed="false">
      <c r="A1961" s="60"/>
      <c r="B1961" s="61" t="str">
        <f aca="false">IF($M1961=0,"",INDEX(Classes!$E$6:$E$420,$M1961))</f>
        <v/>
      </c>
      <c r="C1961" s="62" t="str">
        <f aca="false">IF($M1961=0,"",INDEX(Classes!$H$6:$H$420,$M1961))</f>
        <v/>
      </c>
      <c r="D1961" s="61" t="str">
        <f aca="false">IF($M1961=0,"",INDEX(Classes!$B$6:$B$420,$M1961))</f>
        <v/>
      </c>
      <c r="E1961" s="61" t="str">
        <f aca="false">IF($M1961=0,"",INDEX(Classes!$C$6:$C$420,$M1961))</f>
        <v/>
      </c>
      <c r="F1961" s="63"/>
      <c r="G1961" s="63"/>
      <c r="H1961" s="60"/>
      <c r="I1961" s="60"/>
      <c r="J1961" s="63"/>
      <c r="K1961" s="61" t="str">
        <f aca="false">IF($P1961=0,"",IF($F1961="Baseline","— Baseline",IF($O1961=0,"No result",IF($N1961=0,"No Start (attainment only)",IF(OR($N1961=1,$O1961=1),"U – needs rule",INDEX(MxBody,MATCH($I1961,MxCurr,0),MATCH($H1961,MxStart,0)))))))</f>
        <v/>
      </c>
      <c r="L1961" s="62" t="str">
        <f aca="false">IF(COUNTA($A1961,$F1961,$G1961,$H1961,$I1961,$J1961)=0,"",IF($M1961=0,"✖ كود الصف غير موجود",IF(ISNA(MATCH($F1961,Lists!$A$2:$A$5,0)),"✖ الفترة غير صحيحة",IF(ISNA(MATCH($G1961,Lists!$B$2:$B$7,0)),"✖ المجموعة غير صحيحة",IF(NOT(OR($H1961="",$N1961&gt;0)),"✖ Start غير صحيح",IF(NOT(OR($I1961="",$I1961="NR",$O1961&gt;0)),"✖ Current غير صحيح",IF(NOT(IF(ISNUMBER($J1961),AND($J1961&gt;=0,$J1961=INT($J1961)),FALSE())),"✖ العدد يجب أن يكون صحيحًا ≥ 0",IF(AND($F1961="Baseline",$H1961&lt;&gt;""),"⚠ Baseline: Start لا يدخل في التقدم",IF($K1961="No Start (attainment only)","ℹ تحصيل فقط (بدون Start)",IF($K1961="U – needs rule","ℹ حالة U تحتاج قاعدة معتمدة",IF($K1961="No result","ℹ بدون نتيجة (يُستبعد من التحصيل)","OK")))))))))))</f>
        <v/>
      </c>
      <c r="M1961" s="64" t="n">
        <f aca="false">IF($A1961="",0,IFERROR(MATCH($A1961,Classes!$A$6:$A$420,0),0))</f>
        <v>0</v>
      </c>
      <c r="N1961" s="64" t="n">
        <f aca="false">IF($H1961="",0,IFERROR(MATCH($H1961,GradeList,0),0))</f>
        <v>0</v>
      </c>
      <c r="O1961" s="64" t="n">
        <f aca="false">IF(OR($I1961="",$I1961="NR"),0,IFERROR(MATCH($I1961,GradeList,0),0))</f>
        <v>0</v>
      </c>
      <c r="P1961" s="64" t="n">
        <f aca="false">IF(AND($M1961&gt;0,ISNUMBER(MATCH($F1961,Lists!$A$2:$A$5,0)),ISNUMBER(MATCH($G1961,Lists!$B$2:$B$7,0)),OR($H1961="",$N1961&gt;0),OR($I1961="",$I1961="NR",$O1961&gt;0),IF(ISNUMBER($J1961),AND($J1961&gt;=0,$J1961=INT($J1961)),FALSE())),$J1961,0)</f>
        <v>0</v>
      </c>
      <c r="Q1961" s="64" t="n">
        <f aca="false">IF(AND($P1961&gt;0,$O1961&gt;0),$P1961,0)</f>
        <v>0</v>
      </c>
      <c r="R1961" s="64" t="n">
        <f aca="false">IF(AND($Q1961&gt;0,$O1961&gt;=AtRank),$Q1961,0)</f>
        <v>0</v>
      </c>
      <c r="S1961" s="64" t="n">
        <f aca="false">IF(AND($Q1961&gt;0,$O1961&gt;=AboveRank),$Q1961,0)</f>
        <v>0</v>
      </c>
      <c r="T1961" s="64" t="n">
        <f aca="false">IF($K1961="Less",$P1961,0)</f>
        <v>0</v>
      </c>
      <c r="U1961" s="64" t="n">
        <f aca="false">IF($K1961="Expected",$P1961,0)</f>
        <v>0</v>
      </c>
      <c r="V1961" s="64" t="n">
        <f aca="false">IF($K1961="Better",$P1961,0)</f>
        <v>0</v>
      </c>
      <c r="W1961" s="64" t="n">
        <f aca="false">IF($K1961="U – needs rule",$P1961,0)</f>
        <v>0</v>
      </c>
      <c r="X1961" s="64" t="n">
        <f aca="false">IF($K1961="No Start (attainment only)",$P1961,0)</f>
        <v>0</v>
      </c>
    </row>
    <row r="1962" customFormat="false" ht="15" hidden="false" customHeight="false" outlineLevel="0" collapsed="false">
      <c r="A1962" s="60"/>
      <c r="B1962" s="61" t="str">
        <f aca="false">IF($M1962=0,"",INDEX(Classes!$E$6:$E$420,$M1962))</f>
        <v/>
      </c>
      <c r="C1962" s="62" t="str">
        <f aca="false">IF($M1962=0,"",INDEX(Classes!$H$6:$H$420,$M1962))</f>
        <v/>
      </c>
      <c r="D1962" s="61" t="str">
        <f aca="false">IF($M1962=0,"",INDEX(Classes!$B$6:$B$420,$M1962))</f>
        <v/>
      </c>
      <c r="E1962" s="61" t="str">
        <f aca="false">IF($M1962=0,"",INDEX(Classes!$C$6:$C$420,$M1962))</f>
        <v/>
      </c>
      <c r="F1962" s="63"/>
      <c r="G1962" s="63"/>
      <c r="H1962" s="60"/>
      <c r="I1962" s="60"/>
      <c r="J1962" s="63"/>
      <c r="K1962" s="61" t="str">
        <f aca="false">IF($P1962=0,"",IF($F1962="Baseline","— Baseline",IF($O1962=0,"No result",IF($N1962=0,"No Start (attainment only)",IF(OR($N1962=1,$O1962=1),"U – needs rule",INDEX(MxBody,MATCH($I1962,MxCurr,0),MATCH($H1962,MxStart,0)))))))</f>
        <v/>
      </c>
      <c r="L1962" s="62" t="str">
        <f aca="false">IF(COUNTA($A1962,$F1962,$G1962,$H1962,$I1962,$J1962)=0,"",IF($M1962=0,"✖ كود الصف غير موجود",IF(ISNA(MATCH($F1962,Lists!$A$2:$A$5,0)),"✖ الفترة غير صحيحة",IF(ISNA(MATCH($G1962,Lists!$B$2:$B$7,0)),"✖ المجموعة غير صحيحة",IF(NOT(OR($H1962="",$N1962&gt;0)),"✖ Start غير صحيح",IF(NOT(OR($I1962="",$I1962="NR",$O1962&gt;0)),"✖ Current غير صحيح",IF(NOT(IF(ISNUMBER($J1962),AND($J1962&gt;=0,$J1962=INT($J1962)),FALSE())),"✖ العدد يجب أن يكون صحيحًا ≥ 0",IF(AND($F1962="Baseline",$H1962&lt;&gt;""),"⚠ Baseline: Start لا يدخل في التقدم",IF($K1962="No Start (attainment only)","ℹ تحصيل فقط (بدون Start)",IF($K1962="U – needs rule","ℹ حالة U تحتاج قاعدة معتمدة",IF($K1962="No result","ℹ بدون نتيجة (يُستبعد من التحصيل)","OK")))))))))))</f>
        <v/>
      </c>
      <c r="M1962" s="64" t="n">
        <f aca="false">IF($A1962="",0,IFERROR(MATCH($A1962,Classes!$A$6:$A$420,0),0))</f>
        <v>0</v>
      </c>
      <c r="N1962" s="64" t="n">
        <f aca="false">IF($H1962="",0,IFERROR(MATCH($H1962,GradeList,0),0))</f>
        <v>0</v>
      </c>
      <c r="O1962" s="64" t="n">
        <f aca="false">IF(OR($I1962="",$I1962="NR"),0,IFERROR(MATCH($I1962,GradeList,0),0))</f>
        <v>0</v>
      </c>
      <c r="P1962" s="64" t="n">
        <f aca="false">IF(AND($M1962&gt;0,ISNUMBER(MATCH($F1962,Lists!$A$2:$A$5,0)),ISNUMBER(MATCH($G1962,Lists!$B$2:$B$7,0)),OR($H1962="",$N1962&gt;0),OR($I1962="",$I1962="NR",$O1962&gt;0),IF(ISNUMBER($J1962),AND($J1962&gt;=0,$J1962=INT($J1962)),FALSE())),$J1962,0)</f>
        <v>0</v>
      </c>
      <c r="Q1962" s="64" t="n">
        <f aca="false">IF(AND($P1962&gt;0,$O1962&gt;0),$P1962,0)</f>
        <v>0</v>
      </c>
      <c r="R1962" s="64" t="n">
        <f aca="false">IF(AND($Q1962&gt;0,$O1962&gt;=AtRank),$Q1962,0)</f>
        <v>0</v>
      </c>
      <c r="S1962" s="64" t="n">
        <f aca="false">IF(AND($Q1962&gt;0,$O1962&gt;=AboveRank),$Q1962,0)</f>
        <v>0</v>
      </c>
      <c r="T1962" s="64" t="n">
        <f aca="false">IF($K1962="Less",$P1962,0)</f>
        <v>0</v>
      </c>
      <c r="U1962" s="64" t="n">
        <f aca="false">IF($K1962="Expected",$P1962,0)</f>
        <v>0</v>
      </c>
      <c r="V1962" s="64" t="n">
        <f aca="false">IF($K1962="Better",$P1962,0)</f>
        <v>0</v>
      </c>
      <c r="W1962" s="64" t="n">
        <f aca="false">IF($K1962="U – needs rule",$P1962,0)</f>
        <v>0</v>
      </c>
      <c r="X1962" s="64" t="n">
        <f aca="false">IF($K1962="No Start (attainment only)",$P1962,0)</f>
        <v>0</v>
      </c>
    </row>
    <row r="1963" customFormat="false" ht="15" hidden="false" customHeight="false" outlineLevel="0" collapsed="false">
      <c r="A1963" s="60"/>
      <c r="B1963" s="61" t="str">
        <f aca="false">IF($M1963=0,"",INDEX(Classes!$E$6:$E$420,$M1963))</f>
        <v/>
      </c>
      <c r="C1963" s="62" t="str">
        <f aca="false">IF($M1963=0,"",INDEX(Classes!$H$6:$H$420,$M1963))</f>
        <v/>
      </c>
      <c r="D1963" s="61" t="str">
        <f aca="false">IF($M1963=0,"",INDEX(Classes!$B$6:$B$420,$M1963))</f>
        <v/>
      </c>
      <c r="E1963" s="61" t="str">
        <f aca="false">IF($M1963=0,"",INDEX(Classes!$C$6:$C$420,$M1963))</f>
        <v/>
      </c>
      <c r="F1963" s="63"/>
      <c r="G1963" s="63"/>
      <c r="H1963" s="60"/>
      <c r="I1963" s="60"/>
      <c r="J1963" s="63"/>
      <c r="K1963" s="61" t="str">
        <f aca="false">IF($P1963=0,"",IF($F1963="Baseline","— Baseline",IF($O1963=0,"No result",IF($N1963=0,"No Start (attainment only)",IF(OR($N1963=1,$O1963=1),"U – needs rule",INDEX(MxBody,MATCH($I1963,MxCurr,0),MATCH($H1963,MxStart,0)))))))</f>
        <v/>
      </c>
      <c r="L1963" s="62" t="str">
        <f aca="false">IF(COUNTA($A1963,$F1963,$G1963,$H1963,$I1963,$J1963)=0,"",IF($M1963=0,"✖ كود الصف غير موجود",IF(ISNA(MATCH($F1963,Lists!$A$2:$A$5,0)),"✖ الفترة غير صحيحة",IF(ISNA(MATCH($G1963,Lists!$B$2:$B$7,0)),"✖ المجموعة غير صحيحة",IF(NOT(OR($H1963="",$N1963&gt;0)),"✖ Start غير صحيح",IF(NOT(OR($I1963="",$I1963="NR",$O1963&gt;0)),"✖ Current غير صحيح",IF(NOT(IF(ISNUMBER($J1963),AND($J1963&gt;=0,$J1963=INT($J1963)),FALSE())),"✖ العدد يجب أن يكون صحيحًا ≥ 0",IF(AND($F1963="Baseline",$H1963&lt;&gt;""),"⚠ Baseline: Start لا يدخل في التقدم",IF($K1963="No Start (attainment only)","ℹ تحصيل فقط (بدون Start)",IF($K1963="U – needs rule","ℹ حالة U تحتاج قاعدة معتمدة",IF($K1963="No result","ℹ بدون نتيجة (يُستبعد من التحصيل)","OK")))))))))))</f>
        <v/>
      </c>
      <c r="M1963" s="64" t="n">
        <f aca="false">IF($A1963="",0,IFERROR(MATCH($A1963,Classes!$A$6:$A$420,0),0))</f>
        <v>0</v>
      </c>
      <c r="N1963" s="64" t="n">
        <f aca="false">IF($H1963="",0,IFERROR(MATCH($H1963,GradeList,0),0))</f>
        <v>0</v>
      </c>
      <c r="O1963" s="64" t="n">
        <f aca="false">IF(OR($I1963="",$I1963="NR"),0,IFERROR(MATCH($I1963,GradeList,0),0))</f>
        <v>0</v>
      </c>
      <c r="P1963" s="64" t="n">
        <f aca="false">IF(AND($M1963&gt;0,ISNUMBER(MATCH($F1963,Lists!$A$2:$A$5,0)),ISNUMBER(MATCH($G1963,Lists!$B$2:$B$7,0)),OR($H1963="",$N1963&gt;0),OR($I1963="",$I1963="NR",$O1963&gt;0),IF(ISNUMBER($J1963),AND($J1963&gt;=0,$J1963=INT($J1963)),FALSE())),$J1963,0)</f>
        <v>0</v>
      </c>
      <c r="Q1963" s="64" t="n">
        <f aca="false">IF(AND($P1963&gt;0,$O1963&gt;0),$P1963,0)</f>
        <v>0</v>
      </c>
      <c r="R1963" s="64" t="n">
        <f aca="false">IF(AND($Q1963&gt;0,$O1963&gt;=AtRank),$Q1963,0)</f>
        <v>0</v>
      </c>
      <c r="S1963" s="64" t="n">
        <f aca="false">IF(AND($Q1963&gt;0,$O1963&gt;=AboveRank),$Q1963,0)</f>
        <v>0</v>
      </c>
      <c r="T1963" s="64" t="n">
        <f aca="false">IF($K1963="Less",$P1963,0)</f>
        <v>0</v>
      </c>
      <c r="U1963" s="64" t="n">
        <f aca="false">IF($K1963="Expected",$P1963,0)</f>
        <v>0</v>
      </c>
      <c r="V1963" s="64" t="n">
        <f aca="false">IF($K1963="Better",$P1963,0)</f>
        <v>0</v>
      </c>
      <c r="W1963" s="64" t="n">
        <f aca="false">IF($K1963="U – needs rule",$P1963,0)</f>
        <v>0</v>
      </c>
      <c r="X1963" s="64" t="n">
        <f aca="false">IF($K1963="No Start (attainment only)",$P1963,0)</f>
        <v>0</v>
      </c>
    </row>
    <row r="1964" customFormat="false" ht="15" hidden="false" customHeight="false" outlineLevel="0" collapsed="false">
      <c r="A1964" s="60"/>
      <c r="B1964" s="61" t="str">
        <f aca="false">IF($M1964=0,"",INDEX(Classes!$E$6:$E$420,$M1964))</f>
        <v/>
      </c>
      <c r="C1964" s="62" t="str">
        <f aca="false">IF($M1964=0,"",INDEX(Classes!$H$6:$H$420,$M1964))</f>
        <v/>
      </c>
      <c r="D1964" s="61" t="str">
        <f aca="false">IF($M1964=0,"",INDEX(Classes!$B$6:$B$420,$M1964))</f>
        <v/>
      </c>
      <c r="E1964" s="61" t="str">
        <f aca="false">IF($M1964=0,"",INDEX(Classes!$C$6:$C$420,$M1964))</f>
        <v/>
      </c>
      <c r="F1964" s="63"/>
      <c r="G1964" s="63"/>
      <c r="H1964" s="60"/>
      <c r="I1964" s="60"/>
      <c r="J1964" s="63"/>
      <c r="K1964" s="61" t="str">
        <f aca="false">IF($P1964=0,"",IF($F1964="Baseline","— Baseline",IF($O1964=0,"No result",IF($N1964=0,"No Start (attainment only)",IF(OR($N1964=1,$O1964=1),"U – needs rule",INDEX(MxBody,MATCH($I1964,MxCurr,0),MATCH($H1964,MxStart,0)))))))</f>
        <v/>
      </c>
      <c r="L1964" s="62" t="str">
        <f aca="false">IF(COUNTA($A1964,$F1964,$G1964,$H1964,$I1964,$J1964)=0,"",IF($M1964=0,"✖ كود الصف غير موجود",IF(ISNA(MATCH($F1964,Lists!$A$2:$A$5,0)),"✖ الفترة غير صحيحة",IF(ISNA(MATCH($G1964,Lists!$B$2:$B$7,0)),"✖ المجموعة غير صحيحة",IF(NOT(OR($H1964="",$N1964&gt;0)),"✖ Start غير صحيح",IF(NOT(OR($I1964="",$I1964="NR",$O1964&gt;0)),"✖ Current غير صحيح",IF(NOT(IF(ISNUMBER($J1964),AND($J1964&gt;=0,$J1964=INT($J1964)),FALSE())),"✖ العدد يجب أن يكون صحيحًا ≥ 0",IF(AND($F1964="Baseline",$H1964&lt;&gt;""),"⚠ Baseline: Start لا يدخل في التقدم",IF($K1964="No Start (attainment only)","ℹ تحصيل فقط (بدون Start)",IF($K1964="U – needs rule","ℹ حالة U تحتاج قاعدة معتمدة",IF($K1964="No result","ℹ بدون نتيجة (يُستبعد من التحصيل)","OK")))))))))))</f>
        <v/>
      </c>
      <c r="M1964" s="64" t="n">
        <f aca="false">IF($A1964="",0,IFERROR(MATCH($A1964,Classes!$A$6:$A$420,0),0))</f>
        <v>0</v>
      </c>
      <c r="N1964" s="64" t="n">
        <f aca="false">IF($H1964="",0,IFERROR(MATCH($H1964,GradeList,0),0))</f>
        <v>0</v>
      </c>
      <c r="O1964" s="64" t="n">
        <f aca="false">IF(OR($I1964="",$I1964="NR"),0,IFERROR(MATCH($I1964,GradeList,0),0))</f>
        <v>0</v>
      </c>
      <c r="P1964" s="64" t="n">
        <f aca="false">IF(AND($M1964&gt;0,ISNUMBER(MATCH($F1964,Lists!$A$2:$A$5,0)),ISNUMBER(MATCH($G1964,Lists!$B$2:$B$7,0)),OR($H1964="",$N1964&gt;0),OR($I1964="",$I1964="NR",$O1964&gt;0),IF(ISNUMBER($J1964),AND($J1964&gt;=0,$J1964=INT($J1964)),FALSE())),$J1964,0)</f>
        <v>0</v>
      </c>
      <c r="Q1964" s="64" t="n">
        <f aca="false">IF(AND($P1964&gt;0,$O1964&gt;0),$P1964,0)</f>
        <v>0</v>
      </c>
      <c r="R1964" s="64" t="n">
        <f aca="false">IF(AND($Q1964&gt;0,$O1964&gt;=AtRank),$Q1964,0)</f>
        <v>0</v>
      </c>
      <c r="S1964" s="64" t="n">
        <f aca="false">IF(AND($Q1964&gt;0,$O1964&gt;=AboveRank),$Q1964,0)</f>
        <v>0</v>
      </c>
      <c r="T1964" s="64" t="n">
        <f aca="false">IF($K1964="Less",$P1964,0)</f>
        <v>0</v>
      </c>
      <c r="U1964" s="64" t="n">
        <f aca="false">IF($K1964="Expected",$P1964,0)</f>
        <v>0</v>
      </c>
      <c r="V1964" s="64" t="n">
        <f aca="false">IF($K1964="Better",$P1964,0)</f>
        <v>0</v>
      </c>
      <c r="W1964" s="64" t="n">
        <f aca="false">IF($K1964="U – needs rule",$P1964,0)</f>
        <v>0</v>
      </c>
      <c r="X1964" s="64" t="n">
        <f aca="false">IF($K1964="No Start (attainment only)",$P1964,0)</f>
        <v>0</v>
      </c>
    </row>
    <row r="1965" customFormat="false" ht="15" hidden="false" customHeight="false" outlineLevel="0" collapsed="false">
      <c r="A1965" s="60"/>
      <c r="B1965" s="61" t="str">
        <f aca="false">IF($M1965=0,"",INDEX(Classes!$E$6:$E$420,$M1965))</f>
        <v/>
      </c>
      <c r="C1965" s="62" t="str">
        <f aca="false">IF($M1965=0,"",INDEX(Classes!$H$6:$H$420,$M1965))</f>
        <v/>
      </c>
      <c r="D1965" s="61" t="str">
        <f aca="false">IF($M1965=0,"",INDEX(Classes!$B$6:$B$420,$M1965))</f>
        <v/>
      </c>
      <c r="E1965" s="61" t="str">
        <f aca="false">IF($M1965=0,"",INDEX(Classes!$C$6:$C$420,$M1965))</f>
        <v/>
      </c>
      <c r="F1965" s="63"/>
      <c r="G1965" s="63"/>
      <c r="H1965" s="60"/>
      <c r="I1965" s="60"/>
      <c r="J1965" s="63"/>
      <c r="K1965" s="61" t="str">
        <f aca="false">IF($P1965=0,"",IF($F1965="Baseline","— Baseline",IF($O1965=0,"No result",IF($N1965=0,"No Start (attainment only)",IF(OR($N1965=1,$O1965=1),"U – needs rule",INDEX(MxBody,MATCH($I1965,MxCurr,0),MATCH($H1965,MxStart,0)))))))</f>
        <v/>
      </c>
      <c r="L1965" s="62" t="str">
        <f aca="false">IF(COUNTA($A1965,$F1965,$G1965,$H1965,$I1965,$J1965)=0,"",IF($M1965=0,"✖ كود الصف غير موجود",IF(ISNA(MATCH($F1965,Lists!$A$2:$A$5,0)),"✖ الفترة غير صحيحة",IF(ISNA(MATCH($G1965,Lists!$B$2:$B$7,0)),"✖ المجموعة غير صحيحة",IF(NOT(OR($H1965="",$N1965&gt;0)),"✖ Start غير صحيح",IF(NOT(OR($I1965="",$I1965="NR",$O1965&gt;0)),"✖ Current غير صحيح",IF(NOT(IF(ISNUMBER($J1965),AND($J1965&gt;=0,$J1965=INT($J1965)),FALSE())),"✖ العدد يجب أن يكون صحيحًا ≥ 0",IF(AND($F1965="Baseline",$H1965&lt;&gt;""),"⚠ Baseline: Start لا يدخل في التقدم",IF($K1965="No Start (attainment only)","ℹ تحصيل فقط (بدون Start)",IF($K1965="U – needs rule","ℹ حالة U تحتاج قاعدة معتمدة",IF($K1965="No result","ℹ بدون نتيجة (يُستبعد من التحصيل)","OK")))))))))))</f>
        <v/>
      </c>
      <c r="M1965" s="64" t="n">
        <f aca="false">IF($A1965="",0,IFERROR(MATCH($A1965,Classes!$A$6:$A$420,0),0))</f>
        <v>0</v>
      </c>
      <c r="N1965" s="64" t="n">
        <f aca="false">IF($H1965="",0,IFERROR(MATCH($H1965,GradeList,0),0))</f>
        <v>0</v>
      </c>
      <c r="O1965" s="64" t="n">
        <f aca="false">IF(OR($I1965="",$I1965="NR"),0,IFERROR(MATCH($I1965,GradeList,0),0))</f>
        <v>0</v>
      </c>
      <c r="P1965" s="64" t="n">
        <f aca="false">IF(AND($M1965&gt;0,ISNUMBER(MATCH($F1965,Lists!$A$2:$A$5,0)),ISNUMBER(MATCH($G1965,Lists!$B$2:$B$7,0)),OR($H1965="",$N1965&gt;0),OR($I1965="",$I1965="NR",$O1965&gt;0),IF(ISNUMBER($J1965),AND($J1965&gt;=0,$J1965=INT($J1965)),FALSE())),$J1965,0)</f>
        <v>0</v>
      </c>
      <c r="Q1965" s="64" t="n">
        <f aca="false">IF(AND($P1965&gt;0,$O1965&gt;0),$P1965,0)</f>
        <v>0</v>
      </c>
      <c r="R1965" s="64" t="n">
        <f aca="false">IF(AND($Q1965&gt;0,$O1965&gt;=AtRank),$Q1965,0)</f>
        <v>0</v>
      </c>
      <c r="S1965" s="64" t="n">
        <f aca="false">IF(AND($Q1965&gt;0,$O1965&gt;=AboveRank),$Q1965,0)</f>
        <v>0</v>
      </c>
      <c r="T1965" s="64" t="n">
        <f aca="false">IF($K1965="Less",$P1965,0)</f>
        <v>0</v>
      </c>
      <c r="U1965" s="64" t="n">
        <f aca="false">IF($K1965="Expected",$P1965,0)</f>
        <v>0</v>
      </c>
      <c r="V1965" s="64" t="n">
        <f aca="false">IF($K1965="Better",$P1965,0)</f>
        <v>0</v>
      </c>
      <c r="W1965" s="64" t="n">
        <f aca="false">IF($K1965="U – needs rule",$P1965,0)</f>
        <v>0</v>
      </c>
      <c r="X1965" s="64" t="n">
        <f aca="false">IF($K1965="No Start (attainment only)",$P1965,0)</f>
        <v>0</v>
      </c>
    </row>
    <row r="1966" customFormat="false" ht="15" hidden="false" customHeight="false" outlineLevel="0" collapsed="false">
      <c r="A1966" s="60"/>
      <c r="B1966" s="61" t="str">
        <f aca="false">IF($M1966=0,"",INDEX(Classes!$E$6:$E$420,$M1966))</f>
        <v/>
      </c>
      <c r="C1966" s="62" t="str">
        <f aca="false">IF($M1966=0,"",INDEX(Classes!$H$6:$H$420,$M1966))</f>
        <v/>
      </c>
      <c r="D1966" s="61" t="str">
        <f aca="false">IF($M1966=0,"",INDEX(Classes!$B$6:$B$420,$M1966))</f>
        <v/>
      </c>
      <c r="E1966" s="61" t="str">
        <f aca="false">IF($M1966=0,"",INDEX(Classes!$C$6:$C$420,$M1966))</f>
        <v/>
      </c>
      <c r="F1966" s="63"/>
      <c r="G1966" s="63"/>
      <c r="H1966" s="60"/>
      <c r="I1966" s="60"/>
      <c r="J1966" s="63"/>
      <c r="K1966" s="61" t="str">
        <f aca="false">IF($P1966=0,"",IF($F1966="Baseline","— Baseline",IF($O1966=0,"No result",IF($N1966=0,"No Start (attainment only)",IF(OR($N1966=1,$O1966=1),"U – needs rule",INDEX(MxBody,MATCH($I1966,MxCurr,0),MATCH($H1966,MxStart,0)))))))</f>
        <v/>
      </c>
      <c r="L1966" s="62" t="str">
        <f aca="false">IF(COUNTA($A1966,$F1966,$G1966,$H1966,$I1966,$J1966)=0,"",IF($M1966=0,"✖ كود الصف غير موجود",IF(ISNA(MATCH($F1966,Lists!$A$2:$A$5,0)),"✖ الفترة غير صحيحة",IF(ISNA(MATCH($G1966,Lists!$B$2:$B$7,0)),"✖ المجموعة غير صحيحة",IF(NOT(OR($H1966="",$N1966&gt;0)),"✖ Start غير صحيح",IF(NOT(OR($I1966="",$I1966="NR",$O1966&gt;0)),"✖ Current غير صحيح",IF(NOT(IF(ISNUMBER($J1966),AND($J1966&gt;=0,$J1966=INT($J1966)),FALSE())),"✖ العدد يجب أن يكون صحيحًا ≥ 0",IF(AND($F1966="Baseline",$H1966&lt;&gt;""),"⚠ Baseline: Start لا يدخل في التقدم",IF($K1966="No Start (attainment only)","ℹ تحصيل فقط (بدون Start)",IF($K1966="U – needs rule","ℹ حالة U تحتاج قاعدة معتمدة",IF($K1966="No result","ℹ بدون نتيجة (يُستبعد من التحصيل)","OK")))))))))))</f>
        <v/>
      </c>
      <c r="M1966" s="64" t="n">
        <f aca="false">IF($A1966="",0,IFERROR(MATCH($A1966,Classes!$A$6:$A$420,0),0))</f>
        <v>0</v>
      </c>
      <c r="N1966" s="64" t="n">
        <f aca="false">IF($H1966="",0,IFERROR(MATCH($H1966,GradeList,0),0))</f>
        <v>0</v>
      </c>
      <c r="O1966" s="64" t="n">
        <f aca="false">IF(OR($I1966="",$I1966="NR"),0,IFERROR(MATCH($I1966,GradeList,0),0))</f>
        <v>0</v>
      </c>
      <c r="P1966" s="64" t="n">
        <f aca="false">IF(AND($M1966&gt;0,ISNUMBER(MATCH($F1966,Lists!$A$2:$A$5,0)),ISNUMBER(MATCH($G1966,Lists!$B$2:$B$7,0)),OR($H1966="",$N1966&gt;0),OR($I1966="",$I1966="NR",$O1966&gt;0),IF(ISNUMBER($J1966),AND($J1966&gt;=0,$J1966=INT($J1966)),FALSE())),$J1966,0)</f>
        <v>0</v>
      </c>
      <c r="Q1966" s="64" t="n">
        <f aca="false">IF(AND($P1966&gt;0,$O1966&gt;0),$P1966,0)</f>
        <v>0</v>
      </c>
      <c r="R1966" s="64" t="n">
        <f aca="false">IF(AND($Q1966&gt;0,$O1966&gt;=AtRank),$Q1966,0)</f>
        <v>0</v>
      </c>
      <c r="S1966" s="64" t="n">
        <f aca="false">IF(AND($Q1966&gt;0,$O1966&gt;=AboveRank),$Q1966,0)</f>
        <v>0</v>
      </c>
      <c r="T1966" s="64" t="n">
        <f aca="false">IF($K1966="Less",$P1966,0)</f>
        <v>0</v>
      </c>
      <c r="U1966" s="64" t="n">
        <f aca="false">IF($K1966="Expected",$P1966,0)</f>
        <v>0</v>
      </c>
      <c r="V1966" s="64" t="n">
        <f aca="false">IF($K1966="Better",$P1966,0)</f>
        <v>0</v>
      </c>
      <c r="W1966" s="64" t="n">
        <f aca="false">IF($K1966="U – needs rule",$P1966,0)</f>
        <v>0</v>
      </c>
      <c r="X1966" s="64" t="n">
        <f aca="false">IF($K1966="No Start (attainment only)",$P1966,0)</f>
        <v>0</v>
      </c>
    </row>
    <row r="1967" customFormat="false" ht="15" hidden="false" customHeight="false" outlineLevel="0" collapsed="false">
      <c r="A1967" s="60"/>
      <c r="B1967" s="61" t="str">
        <f aca="false">IF($M1967=0,"",INDEX(Classes!$E$6:$E$420,$M1967))</f>
        <v/>
      </c>
      <c r="C1967" s="62" t="str">
        <f aca="false">IF($M1967=0,"",INDEX(Classes!$H$6:$H$420,$M1967))</f>
        <v/>
      </c>
      <c r="D1967" s="61" t="str">
        <f aca="false">IF($M1967=0,"",INDEX(Classes!$B$6:$B$420,$M1967))</f>
        <v/>
      </c>
      <c r="E1967" s="61" t="str">
        <f aca="false">IF($M1967=0,"",INDEX(Classes!$C$6:$C$420,$M1967))</f>
        <v/>
      </c>
      <c r="F1967" s="63"/>
      <c r="G1967" s="63"/>
      <c r="H1967" s="60"/>
      <c r="I1967" s="60"/>
      <c r="J1967" s="63"/>
      <c r="K1967" s="61" t="str">
        <f aca="false">IF($P1967=0,"",IF($F1967="Baseline","— Baseline",IF($O1967=0,"No result",IF($N1967=0,"No Start (attainment only)",IF(OR($N1967=1,$O1967=1),"U – needs rule",INDEX(MxBody,MATCH($I1967,MxCurr,0),MATCH($H1967,MxStart,0)))))))</f>
        <v/>
      </c>
      <c r="L1967" s="62" t="str">
        <f aca="false">IF(COUNTA($A1967,$F1967,$G1967,$H1967,$I1967,$J1967)=0,"",IF($M1967=0,"✖ كود الصف غير موجود",IF(ISNA(MATCH($F1967,Lists!$A$2:$A$5,0)),"✖ الفترة غير صحيحة",IF(ISNA(MATCH($G1967,Lists!$B$2:$B$7,0)),"✖ المجموعة غير صحيحة",IF(NOT(OR($H1967="",$N1967&gt;0)),"✖ Start غير صحيح",IF(NOT(OR($I1967="",$I1967="NR",$O1967&gt;0)),"✖ Current غير صحيح",IF(NOT(IF(ISNUMBER($J1967),AND($J1967&gt;=0,$J1967=INT($J1967)),FALSE())),"✖ العدد يجب أن يكون صحيحًا ≥ 0",IF(AND($F1967="Baseline",$H1967&lt;&gt;""),"⚠ Baseline: Start لا يدخل في التقدم",IF($K1967="No Start (attainment only)","ℹ تحصيل فقط (بدون Start)",IF($K1967="U – needs rule","ℹ حالة U تحتاج قاعدة معتمدة",IF($K1967="No result","ℹ بدون نتيجة (يُستبعد من التحصيل)","OK")))))))))))</f>
        <v/>
      </c>
      <c r="M1967" s="64" t="n">
        <f aca="false">IF($A1967="",0,IFERROR(MATCH($A1967,Classes!$A$6:$A$420,0),0))</f>
        <v>0</v>
      </c>
      <c r="N1967" s="64" t="n">
        <f aca="false">IF($H1967="",0,IFERROR(MATCH($H1967,GradeList,0),0))</f>
        <v>0</v>
      </c>
      <c r="O1967" s="64" t="n">
        <f aca="false">IF(OR($I1967="",$I1967="NR"),0,IFERROR(MATCH($I1967,GradeList,0),0))</f>
        <v>0</v>
      </c>
      <c r="P1967" s="64" t="n">
        <f aca="false">IF(AND($M1967&gt;0,ISNUMBER(MATCH($F1967,Lists!$A$2:$A$5,0)),ISNUMBER(MATCH($G1967,Lists!$B$2:$B$7,0)),OR($H1967="",$N1967&gt;0),OR($I1967="",$I1967="NR",$O1967&gt;0),IF(ISNUMBER($J1967),AND($J1967&gt;=0,$J1967=INT($J1967)),FALSE())),$J1967,0)</f>
        <v>0</v>
      </c>
      <c r="Q1967" s="64" t="n">
        <f aca="false">IF(AND($P1967&gt;0,$O1967&gt;0),$P1967,0)</f>
        <v>0</v>
      </c>
      <c r="R1967" s="64" t="n">
        <f aca="false">IF(AND($Q1967&gt;0,$O1967&gt;=AtRank),$Q1967,0)</f>
        <v>0</v>
      </c>
      <c r="S1967" s="64" t="n">
        <f aca="false">IF(AND($Q1967&gt;0,$O1967&gt;=AboveRank),$Q1967,0)</f>
        <v>0</v>
      </c>
      <c r="T1967" s="64" t="n">
        <f aca="false">IF($K1967="Less",$P1967,0)</f>
        <v>0</v>
      </c>
      <c r="U1967" s="64" t="n">
        <f aca="false">IF($K1967="Expected",$P1967,0)</f>
        <v>0</v>
      </c>
      <c r="V1967" s="64" t="n">
        <f aca="false">IF($K1967="Better",$P1967,0)</f>
        <v>0</v>
      </c>
      <c r="W1967" s="64" t="n">
        <f aca="false">IF($K1967="U – needs rule",$P1967,0)</f>
        <v>0</v>
      </c>
      <c r="X1967" s="64" t="n">
        <f aca="false">IF($K1967="No Start (attainment only)",$P1967,0)</f>
        <v>0</v>
      </c>
    </row>
    <row r="1968" customFormat="false" ht="15" hidden="false" customHeight="false" outlineLevel="0" collapsed="false">
      <c r="A1968" s="60"/>
      <c r="B1968" s="61" t="str">
        <f aca="false">IF($M1968=0,"",INDEX(Classes!$E$6:$E$420,$M1968))</f>
        <v/>
      </c>
      <c r="C1968" s="62" t="str">
        <f aca="false">IF($M1968=0,"",INDEX(Classes!$H$6:$H$420,$M1968))</f>
        <v/>
      </c>
      <c r="D1968" s="61" t="str">
        <f aca="false">IF($M1968=0,"",INDEX(Classes!$B$6:$B$420,$M1968))</f>
        <v/>
      </c>
      <c r="E1968" s="61" t="str">
        <f aca="false">IF($M1968=0,"",INDEX(Classes!$C$6:$C$420,$M1968))</f>
        <v/>
      </c>
      <c r="F1968" s="63"/>
      <c r="G1968" s="63"/>
      <c r="H1968" s="60"/>
      <c r="I1968" s="60"/>
      <c r="J1968" s="63"/>
      <c r="K1968" s="61" t="str">
        <f aca="false">IF($P1968=0,"",IF($F1968="Baseline","— Baseline",IF($O1968=0,"No result",IF($N1968=0,"No Start (attainment only)",IF(OR($N1968=1,$O1968=1),"U – needs rule",INDEX(MxBody,MATCH($I1968,MxCurr,0),MATCH($H1968,MxStart,0)))))))</f>
        <v/>
      </c>
      <c r="L1968" s="62" t="str">
        <f aca="false">IF(COUNTA($A1968,$F1968,$G1968,$H1968,$I1968,$J1968)=0,"",IF($M1968=0,"✖ كود الصف غير موجود",IF(ISNA(MATCH($F1968,Lists!$A$2:$A$5,0)),"✖ الفترة غير صحيحة",IF(ISNA(MATCH($G1968,Lists!$B$2:$B$7,0)),"✖ المجموعة غير صحيحة",IF(NOT(OR($H1968="",$N1968&gt;0)),"✖ Start غير صحيح",IF(NOT(OR($I1968="",$I1968="NR",$O1968&gt;0)),"✖ Current غير صحيح",IF(NOT(IF(ISNUMBER($J1968),AND($J1968&gt;=0,$J1968=INT($J1968)),FALSE())),"✖ العدد يجب أن يكون صحيحًا ≥ 0",IF(AND($F1968="Baseline",$H1968&lt;&gt;""),"⚠ Baseline: Start لا يدخل في التقدم",IF($K1968="No Start (attainment only)","ℹ تحصيل فقط (بدون Start)",IF($K1968="U – needs rule","ℹ حالة U تحتاج قاعدة معتمدة",IF($K1968="No result","ℹ بدون نتيجة (يُستبعد من التحصيل)","OK")))))))))))</f>
        <v/>
      </c>
      <c r="M1968" s="64" t="n">
        <f aca="false">IF($A1968="",0,IFERROR(MATCH($A1968,Classes!$A$6:$A$420,0),0))</f>
        <v>0</v>
      </c>
      <c r="N1968" s="64" t="n">
        <f aca="false">IF($H1968="",0,IFERROR(MATCH($H1968,GradeList,0),0))</f>
        <v>0</v>
      </c>
      <c r="O1968" s="64" t="n">
        <f aca="false">IF(OR($I1968="",$I1968="NR"),0,IFERROR(MATCH($I1968,GradeList,0),0))</f>
        <v>0</v>
      </c>
      <c r="P1968" s="64" t="n">
        <f aca="false">IF(AND($M1968&gt;0,ISNUMBER(MATCH($F1968,Lists!$A$2:$A$5,0)),ISNUMBER(MATCH($G1968,Lists!$B$2:$B$7,0)),OR($H1968="",$N1968&gt;0),OR($I1968="",$I1968="NR",$O1968&gt;0),IF(ISNUMBER($J1968),AND($J1968&gt;=0,$J1968=INT($J1968)),FALSE())),$J1968,0)</f>
        <v>0</v>
      </c>
      <c r="Q1968" s="64" t="n">
        <f aca="false">IF(AND($P1968&gt;0,$O1968&gt;0),$P1968,0)</f>
        <v>0</v>
      </c>
      <c r="R1968" s="64" t="n">
        <f aca="false">IF(AND($Q1968&gt;0,$O1968&gt;=AtRank),$Q1968,0)</f>
        <v>0</v>
      </c>
      <c r="S1968" s="64" t="n">
        <f aca="false">IF(AND($Q1968&gt;0,$O1968&gt;=AboveRank),$Q1968,0)</f>
        <v>0</v>
      </c>
      <c r="T1968" s="64" t="n">
        <f aca="false">IF($K1968="Less",$P1968,0)</f>
        <v>0</v>
      </c>
      <c r="U1968" s="64" t="n">
        <f aca="false">IF($K1968="Expected",$P1968,0)</f>
        <v>0</v>
      </c>
      <c r="V1968" s="64" t="n">
        <f aca="false">IF($K1968="Better",$P1968,0)</f>
        <v>0</v>
      </c>
      <c r="W1968" s="64" t="n">
        <f aca="false">IF($K1968="U – needs rule",$P1968,0)</f>
        <v>0</v>
      </c>
      <c r="X1968" s="64" t="n">
        <f aca="false">IF($K1968="No Start (attainment only)",$P1968,0)</f>
        <v>0</v>
      </c>
    </row>
    <row r="1969" customFormat="false" ht="15" hidden="false" customHeight="false" outlineLevel="0" collapsed="false">
      <c r="A1969" s="60"/>
      <c r="B1969" s="61" t="str">
        <f aca="false">IF($M1969=0,"",INDEX(Classes!$E$6:$E$420,$M1969))</f>
        <v/>
      </c>
      <c r="C1969" s="62" t="str">
        <f aca="false">IF($M1969=0,"",INDEX(Classes!$H$6:$H$420,$M1969))</f>
        <v/>
      </c>
      <c r="D1969" s="61" t="str">
        <f aca="false">IF($M1969=0,"",INDEX(Classes!$B$6:$B$420,$M1969))</f>
        <v/>
      </c>
      <c r="E1969" s="61" t="str">
        <f aca="false">IF($M1969=0,"",INDEX(Classes!$C$6:$C$420,$M1969))</f>
        <v/>
      </c>
      <c r="F1969" s="63"/>
      <c r="G1969" s="63"/>
      <c r="H1969" s="60"/>
      <c r="I1969" s="60"/>
      <c r="J1969" s="63"/>
      <c r="K1969" s="61" t="str">
        <f aca="false">IF($P1969=0,"",IF($F1969="Baseline","— Baseline",IF($O1969=0,"No result",IF($N1969=0,"No Start (attainment only)",IF(OR($N1969=1,$O1969=1),"U – needs rule",INDEX(MxBody,MATCH($I1969,MxCurr,0),MATCH($H1969,MxStart,0)))))))</f>
        <v/>
      </c>
      <c r="L1969" s="62" t="str">
        <f aca="false">IF(COUNTA($A1969,$F1969,$G1969,$H1969,$I1969,$J1969)=0,"",IF($M1969=0,"✖ كود الصف غير موجود",IF(ISNA(MATCH($F1969,Lists!$A$2:$A$5,0)),"✖ الفترة غير صحيحة",IF(ISNA(MATCH($G1969,Lists!$B$2:$B$7,0)),"✖ المجموعة غير صحيحة",IF(NOT(OR($H1969="",$N1969&gt;0)),"✖ Start غير صحيح",IF(NOT(OR($I1969="",$I1969="NR",$O1969&gt;0)),"✖ Current غير صحيح",IF(NOT(IF(ISNUMBER($J1969),AND($J1969&gt;=0,$J1969=INT($J1969)),FALSE())),"✖ العدد يجب أن يكون صحيحًا ≥ 0",IF(AND($F1969="Baseline",$H1969&lt;&gt;""),"⚠ Baseline: Start لا يدخل في التقدم",IF($K1969="No Start (attainment only)","ℹ تحصيل فقط (بدون Start)",IF($K1969="U – needs rule","ℹ حالة U تحتاج قاعدة معتمدة",IF($K1969="No result","ℹ بدون نتيجة (يُستبعد من التحصيل)","OK")))))))))))</f>
        <v/>
      </c>
      <c r="M1969" s="64" t="n">
        <f aca="false">IF($A1969="",0,IFERROR(MATCH($A1969,Classes!$A$6:$A$420,0),0))</f>
        <v>0</v>
      </c>
      <c r="N1969" s="64" t="n">
        <f aca="false">IF($H1969="",0,IFERROR(MATCH($H1969,GradeList,0),0))</f>
        <v>0</v>
      </c>
      <c r="O1969" s="64" t="n">
        <f aca="false">IF(OR($I1969="",$I1969="NR"),0,IFERROR(MATCH($I1969,GradeList,0),0))</f>
        <v>0</v>
      </c>
      <c r="P1969" s="64" t="n">
        <f aca="false">IF(AND($M1969&gt;0,ISNUMBER(MATCH($F1969,Lists!$A$2:$A$5,0)),ISNUMBER(MATCH($G1969,Lists!$B$2:$B$7,0)),OR($H1969="",$N1969&gt;0),OR($I1969="",$I1969="NR",$O1969&gt;0),IF(ISNUMBER($J1969),AND($J1969&gt;=0,$J1969=INT($J1969)),FALSE())),$J1969,0)</f>
        <v>0</v>
      </c>
      <c r="Q1969" s="64" t="n">
        <f aca="false">IF(AND($P1969&gt;0,$O1969&gt;0),$P1969,0)</f>
        <v>0</v>
      </c>
      <c r="R1969" s="64" t="n">
        <f aca="false">IF(AND($Q1969&gt;0,$O1969&gt;=AtRank),$Q1969,0)</f>
        <v>0</v>
      </c>
      <c r="S1969" s="64" t="n">
        <f aca="false">IF(AND($Q1969&gt;0,$O1969&gt;=AboveRank),$Q1969,0)</f>
        <v>0</v>
      </c>
      <c r="T1969" s="64" t="n">
        <f aca="false">IF($K1969="Less",$P1969,0)</f>
        <v>0</v>
      </c>
      <c r="U1969" s="64" t="n">
        <f aca="false">IF($K1969="Expected",$P1969,0)</f>
        <v>0</v>
      </c>
      <c r="V1969" s="64" t="n">
        <f aca="false">IF($K1969="Better",$P1969,0)</f>
        <v>0</v>
      </c>
      <c r="W1969" s="64" t="n">
        <f aca="false">IF($K1969="U – needs rule",$P1969,0)</f>
        <v>0</v>
      </c>
      <c r="X1969" s="64" t="n">
        <f aca="false">IF($K1969="No Start (attainment only)",$P1969,0)</f>
        <v>0</v>
      </c>
    </row>
    <row r="1970" customFormat="false" ht="15" hidden="false" customHeight="false" outlineLevel="0" collapsed="false">
      <c r="A1970" s="60"/>
      <c r="B1970" s="61" t="str">
        <f aca="false">IF($M1970=0,"",INDEX(Classes!$E$6:$E$420,$M1970))</f>
        <v/>
      </c>
      <c r="C1970" s="62" t="str">
        <f aca="false">IF($M1970=0,"",INDEX(Classes!$H$6:$H$420,$M1970))</f>
        <v/>
      </c>
      <c r="D1970" s="61" t="str">
        <f aca="false">IF($M1970=0,"",INDEX(Classes!$B$6:$B$420,$M1970))</f>
        <v/>
      </c>
      <c r="E1970" s="61" t="str">
        <f aca="false">IF($M1970=0,"",INDEX(Classes!$C$6:$C$420,$M1970))</f>
        <v/>
      </c>
      <c r="F1970" s="63"/>
      <c r="G1970" s="63"/>
      <c r="H1970" s="60"/>
      <c r="I1970" s="60"/>
      <c r="J1970" s="63"/>
      <c r="K1970" s="61" t="str">
        <f aca="false">IF($P1970=0,"",IF($F1970="Baseline","— Baseline",IF($O1970=0,"No result",IF($N1970=0,"No Start (attainment only)",IF(OR($N1970=1,$O1970=1),"U – needs rule",INDEX(MxBody,MATCH($I1970,MxCurr,0),MATCH($H1970,MxStart,0)))))))</f>
        <v/>
      </c>
      <c r="L1970" s="62" t="str">
        <f aca="false">IF(COUNTA($A1970,$F1970,$G1970,$H1970,$I1970,$J1970)=0,"",IF($M1970=0,"✖ كود الصف غير موجود",IF(ISNA(MATCH($F1970,Lists!$A$2:$A$5,0)),"✖ الفترة غير صحيحة",IF(ISNA(MATCH($G1970,Lists!$B$2:$B$7,0)),"✖ المجموعة غير صحيحة",IF(NOT(OR($H1970="",$N1970&gt;0)),"✖ Start غير صحيح",IF(NOT(OR($I1970="",$I1970="NR",$O1970&gt;0)),"✖ Current غير صحيح",IF(NOT(IF(ISNUMBER($J1970),AND($J1970&gt;=0,$J1970=INT($J1970)),FALSE())),"✖ العدد يجب أن يكون صحيحًا ≥ 0",IF(AND($F1970="Baseline",$H1970&lt;&gt;""),"⚠ Baseline: Start لا يدخل في التقدم",IF($K1970="No Start (attainment only)","ℹ تحصيل فقط (بدون Start)",IF($K1970="U – needs rule","ℹ حالة U تحتاج قاعدة معتمدة",IF($K1970="No result","ℹ بدون نتيجة (يُستبعد من التحصيل)","OK")))))))))))</f>
        <v/>
      </c>
      <c r="M1970" s="64" t="n">
        <f aca="false">IF($A1970="",0,IFERROR(MATCH($A1970,Classes!$A$6:$A$420,0),0))</f>
        <v>0</v>
      </c>
      <c r="N1970" s="64" t="n">
        <f aca="false">IF($H1970="",0,IFERROR(MATCH($H1970,GradeList,0),0))</f>
        <v>0</v>
      </c>
      <c r="O1970" s="64" t="n">
        <f aca="false">IF(OR($I1970="",$I1970="NR"),0,IFERROR(MATCH($I1970,GradeList,0),0))</f>
        <v>0</v>
      </c>
      <c r="P1970" s="64" t="n">
        <f aca="false">IF(AND($M1970&gt;0,ISNUMBER(MATCH($F1970,Lists!$A$2:$A$5,0)),ISNUMBER(MATCH($G1970,Lists!$B$2:$B$7,0)),OR($H1970="",$N1970&gt;0),OR($I1970="",$I1970="NR",$O1970&gt;0),IF(ISNUMBER($J1970),AND($J1970&gt;=0,$J1970=INT($J1970)),FALSE())),$J1970,0)</f>
        <v>0</v>
      </c>
      <c r="Q1970" s="64" t="n">
        <f aca="false">IF(AND($P1970&gt;0,$O1970&gt;0),$P1970,0)</f>
        <v>0</v>
      </c>
      <c r="R1970" s="64" t="n">
        <f aca="false">IF(AND($Q1970&gt;0,$O1970&gt;=AtRank),$Q1970,0)</f>
        <v>0</v>
      </c>
      <c r="S1970" s="64" t="n">
        <f aca="false">IF(AND($Q1970&gt;0,$O1970&gt;=AboveRank),$Q1970,0)</f>
        <v>0</v>
      </c>
      <c r="T1970" s="64" t="n">
        <f aca="false">IF($K1970="Less",$P1970,0)</f>
        <v>0</v>
      </c>
      <c r="U1970" s="64" t="n">
        <f aca="false">IF($K1970="Expected",$P1970,0)</f>
        <v>0</v>
      </c>
      <c r="V1970" s="64" t="n">
        <f aca="false">IF($K1970="Better",$P1970,0)</f>
        <v>0</v>
      </c>
      <c r="W1970" s="64" t="n">
        <f aca="false">IF($K1970="U – needs rule",$P1970,0)</f>
        <v>0</v>
      </c>
      <c r="X1970" s="64" t="n">
        <f aca="false">IF($K1970="No Start (attainment only)",$P1970,0)</f>
        <v>0</v>
      </c>
    </row>
    <row r="1971" customFormat="false" ht="15" hidden="false" customHeight="false" outlineLevel="0" collapsed="false">
      <c r="A1971" s="60"/>
      <c r="B1971" s="61" t="str">
        <f aca="false">IF($M1971=0,"",INDEX(Classes!$E$6:$E$420,$M1971))</f>
        <v/>
      </c>
      <c r="C1971" s="62" t="str">
        <f aca="false">IF($M1971=0,"",INDEX(Classes!$H$6:$H$420,$M1971))</f>
        <v/>
      </c>
      <c r="D1971" s="61" t="str">
        <f aca="false">IF($M1971=0,"",INDEX(Classes!$B$6:$B$420,$M1971))</f>
        <v/>
      </c>
      <c r="E1971" s="61" t="str">
        <f aca="false">IF($M1971=0,"",INDEX(Classes!$C$6:$C$420,$M1971))</f>
        <v/>
      </c>
      <c r="F1971" s="63"/>
      <c r="G1971" s="63"/>
      <c r="H1971" s="60"/>
      <c r="I1971" s="60"/>
      <c r="J1971" s="63"/>
      <c r="K1971" s="61" t="str">
        <f aca="false">IF($P1971=0,"",IF($F1971="Baseline","— Baseline",IF($O1971=0,"No result",IF($N1971=0,"No Start (attainment only)",IF(OR($N1971=1,$O1971=1),"U – needs rule",INDEX(MxBody,MATCH($I1971,MxCurr,0),MATCH($H1971,MxStart,0)))))))</f>
        <v/>
      </c>
      <c r="L1971" s="62" t="str">
        <f aca="false">IF(COUNTA($A1971,$F1971,$G1971,$H1971,$I1971,$J1971)=0,"",IF($M1971=0,"✖ كود الصف غير موجود",IF(ISNA(MATCH($F1971,Lists!$A$2:$A$5,0)),"✖ الفترة غير صحيحة",IF(ISNA(MATCH($G1971,Lists!$B$2:$B$7,0)),"✖ المجموعة غير صحيحة",IF(NOT(OR($H1971="",$N1971&gt;0)),"✖ Start غير صحيح",IF(NOT(OR($I1971="",$I1971="NR",$O1971&gt;0)),"✖ Current غير صحيح",IF(NOT(IF(ISNUMBER($J1971),AND($J1971&gt;=0,$J1971=INT($J1971)),FALSE())),"✖ العدد يجب أن يكون صحيحًا ≥ 0",IF(AND($F1971="Baseline",$H1971&lt;&gt;""),"⚠ Baseline: Start لا يدخل في التقدم",IF($K1971="No Start (attainment only)","ℹ تحصيل فقط (بدون Start)",IF($K1971="U – needs rule","ℹ حالة U تحتاج قاعدة معتمدة",IF($K1971="No result","ℹ بدون نتيجة (يُستبعد من التحصيل)","OK")))))))))))</f>
        <v/>
      </c>
      <c r="M1971" s="64" t="n">
        <f aca="false">IF($A1971="",0,IFERROR(MATCH($A1971,Classes!$A$6:$A$420,0),0))</f>
        <v>0</v>
      </c>
      <c r="N1971" s="64" t="n">
        <f aca="false">IF($H1971="",0,IFERROR(MATCH($H1971,GradeList,0),0))</f>
        <v>0</v>
      </c>
      <c r="O1971" s="64" t="n">
        <f aca="false">IF(OR($I1971="",$I1971="NR"),0,IFERROR(MATCH($I1971,GradeList,0),0))</f>
        <v>0</v>
      </c>
      <c r="P1971" s="64" t="n">
        <f aca="false">IF(AND($M1971&gt;0,ISNUMBER(MATCH($F1971,Lists!$A$2:$A$5,0)),ISNUMBER(MATCH($G1971,Lists!$B$2:$B$7,0)),OR($H1971="",$N1971&gt;0),OR($I1971="",$I1971="NR",$O1971&gt;0),IF(ISNUMBER($J1971),AND($J1971&gt;=0,$J1971=INT($J1971)),FALSE())),$J1971,0)</f>
        <v>0</v>
      </c>
      <c r="Q1971" s="64" t="n">
        <f aca="false">IF(AND($P1971&gt;0,$O1971&gt;0),$P1971,0)</f>
        <v>0</v>
      </c>
      <c r="R1971" s="64" t="n">
        <f aca="false">IF(AND($Q1971&gt;0,$O1971&gt;=AtRank),$Q1971,0)</f>
        <v>0</v>
      </c>
      <c r="S1971" s="64" t="n">
        <f aca="false">IF(AND($Q1971&gt;0,$O1971&gt;=AboveRank),$Q1971,0)</f>
        <v>0</v>
      </c>
      <c r="T1971" s="64" t="n">
        <f aca="false">IF($K1971="Less",$P1971,0)</f>
        <v>0</v>
      </c>
      <c r="U1971" s="64" t="n">
        <f aca="false">IF($K1971="Expected",$P1971,0)</f>
        <v>0</v>
      </c>
      <c r="V1971" s="64" t="n">
        <f aca="false">IF($K1971="Better",$P1971,0)</f>
        <v>0</v>
      </c>
      <c r="W1971" s="64" t="n">
        <f aca="false">IF($K1971="U – needs rule",$P1971,0)</f>
        <v>0</v>
      </c>
      <c r="X1971" s="64" t="n">
        <f aca="false">IF($K1971="No Start (attainment only)",$P1971,0)</f>
        <v>0</v>
      </c>
    </row>
    <row r="1972" customFormat="false" ht="15" hidden="false" customHeight="false" outlineLevel="0" collapsed="false">
      <c r="A1972" s="60"/>
      <c r="B1972" s="61" t="str">
        <f aca="false">IF($M1972=0,"",INDEX(Classes!$E$6:$E$420,$M1972))</f>
        <v/>
      </c>
      <c r="C1972" s="62" t="str">
        <f aca="false">IF($M1972=0,"",INDEX(Classes!$H$6:$H$420,$M1972))</f>
        <v/>
      </c>
      <c r="D1972" s="61" t="str">
        <f aca="false">IF($M1972=0,"",INDEX(Classes!$B$6:$B$420,$M1972))</f>
        <v/>
      </c>
      <c r="E1972" s="61" t="str">
        <f aca="false">IF($M1972=0,"",INDEX(Classes!$C$6:$C$420,$M1972))</f>
        <v/>
      </c>
      <c r="F1972" s="63"/>
      <c r="G1972" s="63"/>
      <c r="H1972" s="60"/>
      <c r="I1972" s="60"/>
      <c r="J1972" s="63"/>
      <c r="K1972" s="61" t="str">
        <f aca="false">IF($P1972=0,"",IF($F1972="Baseline","— Baseline",IF($O1972=0,"No result",IF($N1972=0,"No Start (attainment only)",IF(OR($N1972=1,$O1972=1),"U – needs rule",INDEX(MxBody,MATCH($I1972,MxCurr,0),MATCH($H1972,MxStart,0)))))))</f>
        <v/>
      </c>
      <c r="L1972" s="62" t="str">
        <f aca="false">IF(COUNTA($A1972,$F1972,$G1972,$H1972,$I1972,$J1972)=0,"",IF($M1972=0,"✖ كود الصف غير موجود",IF(ISNA(MATCH($F1972,Lists!$A$2:$A$5,0)),"✖ الفترة غير صحيحة",IF(ISNA(MATCH($G1972,Lists!$B$2:$B$7,0)),"✖ المجموعة غير صحيحة",IF(NOT(OR($H1972="",$N1972&gt;0)),"✖ Start غير صحيح",IF(NOT(OR($I1972="",$I1972="NR",$O1972&gt;0)),"✖ Current غير صحيح",IF(NOT(IF(ISNUMBER($J1972),AND($J1972&gt;=0,$J1972=INT($J1972)),FALSE())),"✖ العدد يجب أن يكون صحيحًا ≥ 0",IF(AND($F1972="Baseline",$H1972&lt;&gt;""),"⚠ Baseline: Start لا يدخل في التقدم",IF($K1972="No Start (attainment only)","ℹ تحصيل فقط (بدون Start)",IF($K1972="U – needs rule","ℹ حالة U تحتاج قاعدة معتمدة",IF($K1972="No result","ℹ بدون نتيجة (يُستبعد من التحصيل)","OK")))))))))))</f>
        <v/>
      </c>
      <c r="M1972" s="64" t="n">
        <f aca="false">IF($A1972="",0,IFERROR(MATCH($A1972,Classes!$A$6:$A$420,0),0))</f>
        <v>0</v>
      </c>
      <c r="N1972" s="64" t="n">
        <f aca="false">IF($H1972="",0,IFERROR(MATCH($H1972,GradeList,0),0))</f>
        <v>0</v>
      </c>
      <c r="O1972" s="64" t="n">
        <f aca="false">IF(OR($I1972="",$I1972="NR"),0,IFERROR(MATCH($I1972,GradeList,0),0))</f>
        <v>0</v>
      </c>
      <c r="P1972" s="64" t="n">
        <f aca="false">IF(AND($M1972&gt;0,ISNUMBER(MATCH($F1972,Lists!$A$2:$A$5,0)),ISNUMBER(MATCH($G1972,Lists!$B$2:$B$7,0)),OR($H1972="",$N1972&gt;0),OR($I1972="",$I1972="NR",$O1972&gt;0),IF(ISNUMBER($J1972),AND($J1972&gt;=0,$J1972=INT($J1972)),FALSE())),$J1972,0)</f>
        <v>0</v>
      </c>
      <c r="Q1972" s="64" t="n">
        <f aca="false">IF(AND($P1972&gt;0,$O1972&gt;0),$P1972,0)</f>
        <v>0</v>
      </c>
      <c r="R1972" s="64" t="n">
        <f aca="false">IF(AND($Q1972&gt;0,$O1972&gt;=AtRank),$Q1972,0)</f>
        <v>0</v>
      </c>
      <c r="S1972" s="64" t="n">
        <f aca="false">IF(AND($Q1972&gt;0,$O1972&gt;=AboveRank),$Q1972,0)</f>
        <v>0</v>
      </c>
      <c r="T1972" s="64" t="n">
        <f aca="false">IF($K1972="Less",$P1972,0)</f>
        <v>0</v>
      </c>
      <c r="U1972" s="64" t="n">
        <f aca="false">IF($K1972="Expected",$P1972,0)</f>
        <v>0</v>
      </c>
      <c r="V1972" s="64" t="n">
        <f aca="false">IF($K1972="Better",$P1972,0)</f>
        <v>0</v>
      </c>
      <c r="W1972" s="64" t="n">
        <f aca="false">IF($K1972="U – needs rule",$P1972,0)</f>
        <v>0</v>
      </c>
      <c r="X1972" s="64" t="n">
        <f aca="false">IF($K1972="No Start (attainment only)",$P1972,0)</f>
        <v>0</v>
      </c>
    </row>
    <row r="1973" customFormat="false" ht="15" hidden="false" customHeight="false" outlineLevel="0" collapsed="false">
      <c r="A1973" s="60"/>
      <c r="B1973" s="61" t="str">
        <f aca="false">IF($M1973=0,"",INDEX(Classes!$E$6:$E$420,$M1973))</f>
        <v/>
      </c>
      <c r="C1973" s="62" t="str">
        <f aca="false">IF($M1973=0,"",INDEX(Classes!$H$6:$H$420,$M1973))</f>
        <v/>
      </c>
      <c r="D1973" s="61" t="str">
        <f aca="false">IF($M1973=0,"",INDEX(Classes!$B$6:$B$420,$M1973))</f>
        <v/>
      </c>
      <c r="E1973" s="61" t="str">
        <f aca="false">IF($M1973=0,"",INDEX(Classes!$C$6:$C$420,$M1973))</f>
        <v/>
      </c>
      <c r="F1973" s="63"/>
      <c r="G1973" s="63"/>
      <c r="H1973" s="60"/>
      <c r="I1973" s="60"/>
      <c r="J1973" s="63"/>
      <c r="K1973" s="61" t="str">
        <f aca="false">IF($P1973=0,"",IF($F1973="Baseline","— Baseline",IF($O1973=0,"No result",IF($N1973=0,"No Start (attainment only)",IF(OR($N1973=1,$O1973=1),"U – needs rule",INDEX(MxBody,MATCH($I1973,MxCurr,0),MATCH($H1973,MxStart,0)))))))</f>
        <v/>
      </c>
      <c r="L1973" s="62" t="str">
        <f aca="false">IF(COUNTA($A1973,$F1973,$G1973,$H1973,$I1973,$J1973)=0,"",IF($M1973=0,"✖ كود الصف غير موجود",IF(ISNA(MATCH($F1973,Lists!$A$2:$A$5,0)),"✖ الفترة غير صحيحة",IF(ISNA(MATCH($G1973,Lists!$B$2:$B$7,0)),"✖ المجموعة غير صحيحة",IF(NOT(OR($H1973="",$N1973&gt;0)),"✖ Start غير صحيح",IF(NOT(OR($I1973="",$I1973="NR",$O1973&gt;0)),"✖ Current غير صحيح",IF(NOT(IF(ISNUMBER($J1973),AND($J1973&gt;=0,$J1973=INT($J1973)),FALSE())),"✖ العدد يجب أن يكون صحيحًا ≥ 0",IF(AND($F1973="Baseline",$H1973&lt;&gt;""),"⚠ Baseline: Start لا يدخل في التقدم",IF($K1973="No Start (attainment only)","ℹ تحصيل فقط (بدون Start)",IF($K1973="U – needs rule","ℹ حالة U تحتاج قاعدة معتمدة",IF($K1973="No result","ℹ بدون نتيجة (يُستبعد من التحصيل)","OK")))))))))))</f>
        <v/>
      </c>
      <c r="M1973" s="64" t="n">
        <f aca="false">IF($A1973="",0,IFERROR(MATCH($A1973,Classes!$A$6:$A$420,0),0))</f>
        <v>0</v>
      </c>
      <c r="N1973" s="64" t="n">
        <f aca="false">IF($H1973="",0,IFERROR(MATCH($H1973,GradeList,0),0))</f>
        <v>0</v>
      </c>
      <c r="O1973" s="64" t="n">
        <f aca="false">IF(OR($I1973="",$I1973="NR"),0,IFERROR(MATCH($I1973,GradeList,0),0))</f>
        <v>0</v>
      </c>
      <c r="P1973" s="64" t="n">
        <f aca="false">IF(AND($M1973&gt;0,ISNUMBER(MATCH($F1973,Lists!$A$2:$A$5,0)),ISNUMBER(MATCH($G1973,Lists!$B$2:$B$7,0)),OR($H1973="",$N1973&gt;0),OR($I1973="",$I1973="NR",$O1973&gt;0),IF(ISNUMBER($J1973),AND($J1973&gt;=0,$J1973=INT($J1973)),FALSE())),$J1973,0)</f>
        <v>0</v>
      </c>
      <c r="Q1973" s="64" t="n">
        <f aca="false">IF(AND($P1973&gt;0,$O1973&gt;0),$P1973,0)</f>
        <v>0</v>
      </c>
      <c r="R1973" s="64" t="n">
        <f aca="false">IF(AND($Q1973&gt;0,$O1973&gt;=AtRank),$Q1973,0)</f>
        <v>0</v>
      </c>
      <c r="S1973" s="64" t="n">
        <f aca="false">IF(AND($Q1973&gt;0,$O1973&gt;=AboveRank),$Q1973,0)</f>
        <v>0</v>
      </c>
      <c r="T1973" s="64" t="n">
        <f aca="false">IF($K1973="Less",$P1973,0)</f>
        <v>0</v>
      </c>
      <c r="U1973" s="64" t="n">
        <f aca="false">IF($K1973="Expected",$P1973,0)</f>
        <v>0</v>
      </c>
      <c r="V1973" s="64" t="n">
        <f aca="false">IF($K1973="Better",$P1973,0)</f>
        <v>0</v>
      </c>
      <c r="W1973" s="64" t="n">
        <f aca="false">IF($K1973="U – needs rule",$P1973,0)</f>
        <v>0</v>
      </c>
      <c r="X1973" s="64" t="n">
        <f aca="false">IF($K1973="No Start (attainment only)",$P1973,0)</f>
        <v>0</v>
      </c>
    </row>
    <row r="1974" customFormat="false" ht="15" hidden="false" customHeight="false" outlineLevel="0" collapsed="false">
      <c r="A1974" s="60"/>
      <c r="B1974" s="61" t="str">
        <f aca="false">IF($M1974=0,"",INDEX(Classes!$E$6:$E$420,$M1974))</f>
        <v/>
      </c>
      <c r="C1974" s="62" t="str">
        <f aca="false">IF($M1974=0,"",INDEX(Classes!$H$6:$H$420,$M1974))</f>
        <v/>
      </c>
      <c r="D1974" s="61" t="str">
        <f aca="false">IF($M1974=0,"",INDEX(Classes!$B$6:$B$420,$M1974))</f>
        <v/>
      </c>
      <c r="E1974" s="61" t="str">
        <f aca="false">IF($M1974=0,"",INDEX(Classes!$C$6:$C$420,$M1974))</f>
        <v/>
      </c>
      <c r="F1974" s="63"/>
      <c r="G1974" s="63"/>
      <c r="H1974" s="60"/>
      <c r="I1974" s="60"/>
      <c r="J1974" s="63"/>
      <c r="K1974" s="61" t="str">
        <f aca="false">IF($P1974=0,"",IF($F1974="Baseline","— Baseline",IF($O1974=0,"No result",IF($N1974=0,"No Start (attainment only)",IF(OR($N1974=1,$O1974=1),"U – needs rule",INDEX(MxBody,MATCH($I1974,MxCurr,0),MATCH($H1974,MxStart,0)))))))</f>
        <v/>
      </c>
      <c r="L1974" s="62" t="str">
        <f aca="false">IF(COUNTA($A1974,$F1974,$G1974,$H1974,$I1974,$J1974)=0,"",IF($M1974=0,"✖ كود الصف غير موجود",IF(ISNA(MATCH($F1974,Lists!$A$2:$A$5,0)),"✖ الفترة غير صحيحة",IF(ISNA(MATCH($G1974,Lists!$B$2:$B$7,0)),"✖ المجموعة غير صحيحة",IF(NOT(OR($H1974="",$N1974&gt;0)),"✖ Start غير صحيح",IF(NOT(OR($I1974="",$I1974="NR",$O1974&gt;0)),"✖ Current غير صحيح",IF(NOT(IF(ISNUMBER($J1974),AND($J1974&gt;=0,$J1974=INT($J1974)),FALSE())),"✖ العدد يجب أن يكون صحيحًا ≥ 0",IF(AND($F1974="Baseline",$H1974&lt;&gt;""),"⚠ Baseline: Start لا يدخل في التقدم",IF($K1974="No Start (attainment only)","ℹ تحصيل فقط (بدون Start)",IF($K1974="U – needs rule","ℹ حالة U تحتاج قاعدة معتمدة",IF($K1974="No result","ℹ بدون نتيجة (يُستبعد من التحصيل)","OK")))))))))))</f>
        <v/>
      </c>
      <c r="M1974" s="64" t="n">
        <f aca="false">IF($A1974="",0,IFERROR(MATCH($A1974,Classes!$A$6:$A$420,0),0))</f>
        <v>0</v>
      </c>
      <c r="N1974" s="64" t="n">
        <f aca="false">IF($H1974="",0,IFERROR(MATCH($H1974,GradeList,0),0))</f>
        <v>0</v>
      </c>
      <c r="O1974" s="64" t="n">
        <f aca="false">IF(OR($I1974="",$I1974="NR"),0,IFERROR(MATCH($I1974,GradeList,0),0))</f>
        <v>0</v>
      </c>
      <c r="P1974" s="64" t="n">
        <f aca="false">IF(AND($M1974&gt;0,ISNUMBER(MATCH($F1974,Lists!$A$2:$A$5,0)),ISNUMBER(MATCH($G1974,Lists!$B$2:$B$7,0)),OR($H1974="",$N1974&gt;0),OR($I1974="",$I1974="NR",$O1974&gt;0),IF(ISNUMBER($J1974),AND($J1974&gt;=0,$J1974=INT($J1974)),FALSE())),$J1974,0)</f>
        <v>0</v>
      </c>
      <c r="Q1974" s="64" t="n">
        <f aca="false">IF(AND($P1974&gt;0,$O1974&gt;0),$P1974,0)</f>
        <v>0</v>
      </c>
      <c r="R1974" s="64" t="n">
        <f aca="false">IF(AND($Q1974&gt;0,$O1974&gt;=AtRank),$Q1974,0)</f>
        <v>0</v>
      </c>
      <c r="S1974" s="64" t="n">
        <f aca="false">IF(AND($Q1974&gt;0,$O1974&gt;=AboveRank),$Q1974,0)</f>
        <v>0</v>
      </c>
      <c r="T1974" s="64" t="n">
        <f aca="false">IF($K1974="Less",$P1974,0)</f>
        <v>0</v>
      </c>
      <c r="U1974" s="64" t="n">
        <f aca="false">IF($K1974="Expected",$P1974,0)</f>
        <v>0</v>
      </c>
      <c r="V1974" s="64" t="n">
        <f aca="false">IF($K1974="Better",$P1974,0)</f>
        <v>0</v>
      </c>
      <c r="W1974" s="64" t="n">
        <f aca="false">IF($K1974="U – needs rule",$P1974,0)</f>
        <v>0</v>
      </c>
      <c r="X1974" s="64" t="n">
        <f aca="false">IF($K1974="No Start (attainment only)",$P1974,0)</f>
        <v>0</v>
      </c>
    </row>
    <row r="1975" customFormat="false" ht="15" hidden="false" customHeight="false" outlineLevel="0" collapsed="false">
      <c r="A1975" s="60"/>
      <c r="B1975" s="61" t="str">
        <f aca="false">IF($M1975=0,"",INDEX(Classes!$E$6:$E$420,$M1975))</f>
        <v/>
      </c>
      <c r="C1975" s="62" t="str">
        <f aca="false">IF($M1975=0,"",INDEX(Classes!$H$6:$H$420,$M1975))</f>
        <v/>
      </c>
      <c r="D1975" s="61" t="str">
        <f aca="false">IF($M1975=0,"",INDEX(Classes!$B$6:$B$420,$M1975))</f>
        <v/>
      </c>
      <c r="E1975" s="61" t="str">
        <f aca="false">IF($M1975=0,"",INDEX(Classes!$C$6:$C$420,$M1975))</f>
        <v/>
      </c>
      <c r="F1975" s="63"/>
      <c r="G1975" s="63"/>
      <c r="H1975" s="60"/>
      <c r="I1975" s="60"/>
      <c r="J1975" s="63"/>
      <c r="K1975" s="61" t="str">
        <f aca="false">IF($P1975=0,"",IF($F1975="Baseline","— Baseline",IF($O1975=0,"No result",IF($N1975=0,"No Start (attainment only)",IF(OR($N1975=1,$O1975=1),"U – needs rule",INDEX(MxBody,MATCH($I1975,MxCurr,0),MATCH($H1975,MxStart,0)))))))</f>
        <v/>
      </c>
      <c r="L1975" s="62" t="str">
        <f aca="false">IF(COUNTA($A1975,$F1975,$G1975,$H1975,$I1975,$J1975)=0,"",IF($M1975=0,"✖ كود الصف غير موجود",IF(ISNA(MATCH($F1975,Lists!$A$2:$A$5,0)),"✖ الفترة غير صحيحة",IF(ISNA(MATCH($G1975,Lists!$B$2:$B$7,0)),"✖ المجموعة غير صحيحة",IF(NOT(OR($H1975="",$N1975&gt;0)),"✖ Start غير صحيح",IF(NOT(OR($I1975="",$I1975="NR",$O1975&gt;0)),"✖ Current غير صحيح",IF(NOT(IF(ISNUMBER($J1975),AND($J1975&gt;=0,$J1975=INT($J1975)),FALSE())),"✖ العدد يجب أن يكون صحيحًا ≥ 0",IF(AND($F1975="Baseline",$H1975&lt;&gt;""),"⚠ Baseline: Start لا يدخل في التقدم",IF($K1975="No Start (attainment only)","ℹ تحصيل فقط (بدون Start)",IF($K1975="U – needs rule","ℹ حالة U تحتاج قاعدة معتمدة",IF($K1975="No result","ℹ بدون نتيجة (يُستبعد من التحصيل)","OK")))))))))))</f>
        <v/>
      </c>
      <c r="M1975" s="64" t="n">
        <f aca="false">IF($A1975="",0,IFERROR(MATCH($A1975,Classes!$A$6:$A$420,0),0))</f>
        <v>0</v>
      </c>
      <c r="N1975" s="64" t="n">
        <f aca="false">IF($H1975="",0,IFERROR(MATCH($H1975,GradeList,0),0))</f>
        <v>0</v>
      </c>
      <c r="O1975" s="64" t="n">
        <f aca="false">IF(OR($I1975="",$I1975="NR"),0,IFERROR(MATCH($I1975,GradeList,0),0))</f>
        <v>0</v>
      </c>
      <c r="P1975" s="64" t="n">
        <f aca="false">IF(AND($M1975&gt;0,ISNUMBER(MATCH($F1975,Lists!$A$2:$A$5,0)),ISNUMBER(MATCH($G1975,Lists!$B$2:$B$7,0)),OR($H1975="",$N1975&gt;0),OR($I1975="",$I1975="NR",$O1975&gt;0),IF(ISNUMBER($J1975),AND($J1975&gt;=0,$J1975=INT($J1975)),FALSE())),$J1975,0)</f>
        <v>0</v>
      </c>
      <c r="Q1975" s="64" t="n">
        <f aca="false">IF(AND($P1975&gt;0,$O1975&gt;0),$P1975,0)</f>
        <v>0</v>
      </c>
      <c r="R1975" s="64" t="n">
        <f aca="false">IF(AND($Q1975&gt;0,$O1975&gt;=AtRank),$Q1975,0)</f>
        <v>0</v>
      </c>
      <c r="S1975" s="64" t="n">
        <f aca="false">IF(AND($Q1975&gt;0,$O1975&gt;=AboveRank),$Q1975,0)</f>
        <v>0</v>
      </c>
      <c r="T1975" s="64" t="n">
        <f aca="false">IF($K1975="Less",$P1975,0)</f>
        <v>0</v>
      </c>
      <c r="U1975" s="64" t="n">
        <f aca="false">IF($K1975="Expected",$P1975,0)</f>
        <v>0</v>
      </c>
      <c r="V1975" s="64" t="n">
        <f aca="false">IF($K1975="Better",$P1975,0)</f>
        <v>0</v>
      </c>
      <c r="W1975" s="64" t="n">
        <f aca="false">IF($K1975="U – needs rule",$P1975,0)</f>
        <v>0</v>
      </c>
      <c r="X1975" s="64" t="n">
        <f aca="false">IF($K1975="No Start (attainment only)",$P1975,0)</f>
        <v>0</v>
      </c>
    </row>
    <row r="1976" customFormat="false" ht="15" hidden="false" customHeight="false" outlineLevel="0" collapsed="false">
      <c r="A1976" s="60"/>
      <c r="B1976" s="61" t="str">
        <f aca="false">IF($M1976=0,"",INDEX(Classes!$E$6:$E$420,$M1976))</f>
        <v/>
      </c>
      <c r="C1976" s="62" t="str">
        <f aca="false">IF($M1976=0,"",INDEX(Classes!$H$6:$H$420,$M1976))</f>
        <v/>
      </c>
      <c r="D1976" s="61" t="str">
        <f aca="false">IF($M1976=0,"",INDEX(Classes!$B$6:$B$420,$M1976))</f>
        <v/>
      </c>
      <c r="E1976" s="61" t="str">
        <f aca="false">IF($M1976=0,"",INDEX(Classes!$C$6:$C$420,$M1976))</f>
        <v/>
      </c>
      <c r="F1976" s="63"/>
      <c r="G1976" s="63"/>
      <c r="H1976" s="60"/>
      <c r="I1976" s="60"/>
      <c r="J1976" s="63"/>
      <c r="K1976" s="61" t="str">
        <f aca="false">IF($P1976=0,"",IF($F1976="Baseline","— Baseline",IF($O1976=0,"No result",IF($N1976=0,"No Start (attainment only)",IF(OR($N1976=1,$O1976=1),"U – needs rule",INDEX(MxBody,MATCH($I1976,MxCurr,0),MATCH($H1976,MxStart,0)))))))</f>
        <v/>
      </c>
      <c r="L1976" s="62" t="str">
        <f aca="false">IF(COUNTA($A1976,$F1976,$G1976,$H1976,$I1976,$J1976)=0,"",IF($M1976=0,"✖ كود الصف غير موجود",IF(ISNA(MATCH($F1976,Lists!$A$2:$A$5,0)),"✖ الفترة غير صحيحة",IF(ISNA(MATCH($G1976,Lists!$B$2:$B$7,0)),"✖ المجموعة غير صحيحة",IF(NOT(OR($H1976="",$N1976&gt;0)),"✖ Start غير صحيح",IF(NOT(OR($I1976="",$I1976="NR",$O1976&gt;0)),"✖ Current غير صحيح",IF(NOT(IF(ISNUMBER($J1976),AND($J1976&gt;=0,$J1976=INT($J1976)),FALSE())),"✖ العدد يجب أن يكون صحيحًا ≥ 0",IF(AND($F1976="Baseline",$H1976&lt;&gt;""),"⚠ Baseline: Start لا يدخل في التقدم",IF($K1976="No Start (attainment only)","ℹ تحصيل فقط (بدون Start)",IF($K1976="U – needs rule","ℹ حالة U تحتاج قاعدة معتمدة",IF($K1976="No result","ℹ بدون نتيجة (يُستبعد من التحصيل)","OK")))))))))))</f>
        <v/>
      </c>
      <c r="M1976" s="64" t="n">
        <f aca="false">IF($A1976="",0,IFERROR(MATCH($A1976,Classes!$A$6:$A$420,0),0))</f>
        <v>0</v>
      </c>
      <c r="N1976" s="64" t="n">
        <f aca="false">IF($H1976="",0,IFERROR(MATCH($H1976,GradeList,0),0))</f>
        <v>0</v>
      </c>
      <c r="O1976" s="64" t="n">
        <f aca="false">IF(OR($I1976="",$I1976="NR"),0,IFERROR(MATCH($I1976,GradeList,0),0))</f>
        <v>0</v>
      </c>
      <c r="P1976" s="64" t="n">
        <f aca="false">IF(AND($M1976&gt;0,ISNUMBER(MATCH($F1976,Lists!$A$2:$A$5,0)),ISNUMBER(MATCH($G1976,Lists!$B$2:$B$7,0)),OR($H1976="",$N1976&gt;0),OR($I1976="",$I1976="NR",$O1976&gt;0),IF(ISNUMBER($J1976),AND($J1976&gt;=0,$J1976=INT($J1976)),FALSE())),$J1976,0)</f>
        <v>0</v>
      </c>
      <c r="Q1976" s="64" t="n">
        <f aca="false">IF(AND($P1976&gt;0,$O1976&gt;0),$P1976,0)</f>
        <v>0</v>
      </c>
      <c r="R1976" s="64" t="n">
        <f aca="false">IF(AND($Q1976&gt;0,$O1976&gt;=AtRank),$Q1976,0)</f>
        <v>0</v>
      </c>
      <c r="S1976" s="64" t="n">
        <f aca="false">IF(AND($Q1976&gt;0,$O1976&gt;=AboveRank),$Q1976,0)</f>
        <v>0</v>
      </c>
      <c r="T1976" s="64" t="n">
        <f aca="false">IF($K1976="Less",$P1976,0)</f>
        <v>0</v>
      </c>
      <c r="U1976" s="64" t="n">
        <f aca="false">IF($K1976="Expected",$P1976,0)</f>
        <v>0</v>
      </c>
      <c r="V1976" s="64" t="n">
        <f aca="false">IF($K1976="Better",$P1976,0)</f>
        <v>0</v>
      </c>
      <c r="W1976" s="64" t="n">
        <f aca="false">IF($K1976="U – needs rule",$P1976,0)</f>
        <v>0</v>
      </c>
      <c r="X1976" s="64" t="n">
        <f aca="false">IF($K1976="No Start (attainment only)",$P1976,0)</f>
        <v>0</v>
      </c>
    </row>
    <row r="1977" customFormat="false" ht="15" hidden="false" customHeight="false" outlineLevel="0" collapsed="false">
      <c r="A1977" s="60"/>
      <c r="B1977" s="61" t="str">
        <f aca="false">IF($M1977=0,"",INDEX(Classes!$E$6:$E$420,$M1977))</f>
        <v/>
      </c>
      <c r="C1977" s="62" t="str">
        <f aca="false">IF($M1977=0,"",INDEX(Classes!$H$6:$H$420,$M1977))</f>
        <v/>
      </c>
      <c r="D1977" s="61" t="str">
        <f aca="false">IF($M1977=0,"",INDEX(Classes!$B$6:$B$420,$M1977))</f>
        <v/>
      </c>
      <c r="E1977" s="61" t="str">
        <f aca="false">IF($M1977=0,"",INDEX(Classes!$C$6:$C$420,$M1977))</f>
        <v/>
      </c>
      <c r="F1977" s="63"/>
      <c r="G1977" s="63"/>
      <c r="H1977" s="60"/>
      <c r="I1977" s="60"/>
      <c r="J1977" s="63"/>
      <c r="K1977" s="61" t="str">
        <f aca="false">IF($P1977=0,"",IF($F1977="Baseline","— Baseline",IF($O1977=0,"No result",IF($N1977=0,"No Start (attainment only)",IF(OR($N1977=1,$O1977=1),"U – needs rule",INDEX(MxBody,MATCH($I1977,MxCurr,0),MATCH($H1977,MxStart,0)))))))</f>
        <v/>
      </c>
      <c r="L1977" s="62" t="str">
        <f aca="false">IF(COUNTA($A1977,$F1977,$G1977,$H1977,$I1977,$J1977)=0,"",IF($M1977=0,"✖ كود الصف غير موجود",IF(ISNA(MATCH($F1977,Lists!$A$2:$A$5,0)),"✖ الفترة غير صحيحة",IF(ISNA(MATCH($G1977,Lists!$B$2:$B$7,0)),"✖ المجموعة غير صحيحة",IF(NOT(OR($H1977="",$N1977&gt;0)),"✖ Start غير صحيح",IF(NOT(OR($I1977="",$I1977="NR",$O1977&gt;0)),"✖ Current غير صحيح",IF(NOT(IF(ISNUMBER($J1977),AND($J1977&gt;=0,$J1977=INT($J1977)),FALSE())),"✖ العدد يجب أن يكون صحيحًا ≥ 0",IF(AND($F1977="Baseline",$H1977&lt;&gt;""),"⚠ Baseline: Start لا يدخل في التقدم",IF($K1977="No Start (attainment only)","ℹ تحصيل فقط (بدون Start)",IF($K1977="U – needs rule","ℹ حالة U تحتاج قاعدة معتمدة",IF($K1977="No result","ℹ بدون نتيجة (يُستبعد من التحصيل)","OK")))))))))))</f>
        <v/>
      </c>
      <c r="M1977" s="64" t="n">
        <f aca="false">IF($A1977="",0,IFERROR(MATCH($A1977,Classes!$A$6:$A$420,0),0))</f>
        <v>0</v>
      </c>
      <c r="N1977" s="64" t="n">
        <f aca="false">IF($H1977="",0,IFERROR(MATCH($H1977,GradeList,0),0))</f>
        <v>0</v>
      </c>
      <c r="O1977" s="64" t="n">
        <f aca="false">IF(OR($I1977="",$I1977="NR"),0,IFERROR(MATCH($I1977,GradeList,0),0))</f>
        <v>0</v>
      </c>
      <c r="P1977" s="64" t="n">
        <f aca="false">IF(AND($M1977&gt;0,ISNUMBER(MATCH($F1977,Lists!$A$2:$A$5,0)),ISNUMBER(MATCH($G1977,Lists!$B$2:$B$7,0)),OR($H1977="",$N1977&gt;0),OR($I1977="",$I1977="NR",$O1977&gt;0),IF(ISNUMBER($J1977),AND($J1977&gt;=0,$J1977=INT($J1977)),FALSE())),$J1977,0)</f>
        <v>0</v>
      </c>
      <c r="Q1977" s="64" t="n">
        <f aca="false">IF(AND($P1977&gt;0,$O1977&gt;0),$P1977,0)</f>
        <v>0</v>
      </c>
      <c r="R1977" s="64" t="n">
        <f aca="false">IF(AND($Q1977&gt;0,$O1977&gt;=AtRank),$Q1977,0)</f>
        <v>0</v>
      </c>
      <c r="S1977" s="64" t="n">
        <f aca="false">IF(AND($Q1977&gt;0,$O1977&gt;=AboveRank),$Q1977,0)</f>
        <v>0</v>
      </c>
      <c r="T1977" s="64" t="n">
        <f aca="false">IF($K1977="Less",$P1977,0)</f>
        <v>0</v>
      </c>
      <c r="U1977" s="64" t="n">
        <f aca="false">IF($K1977="Expected",$P1977,0)</f>
        <v>0</v>
      </c>
      <c r="V1977" s="64" t="n">
        <f aca="false">IF($K1977="Better",$P1977,0)</f>
        <v>0</v>
      </c>
      <c r="W1977" s="64" t="n">
        <f aca="false">IF($K1977="U – needs rule",$P1977,0)</f>
        <v>0</v>
      </c>
      <c r="X1977" s="64" t="n">
        <f aca="false">IF($K1977="No Start (attainment only)",$P1977,0)</f>
        <v>0</v>
      </c>
    </row>
    <row r="1978" customFormat="false" ht="15" hidden="false" customHeight="false" outlineLevel="0" collapsed="false">
      <c r="A1978" s="60"/>
      <c r="B1978" s="61" t="str">
        <f aca="false">IF($M1978=0,"",INDEX(Classes!$E$6:$E$420,$M1978))</f>
        <v/>
      </c>
      <c r="C1978" s="62" t="str">
        <f aca="false">IF($M1978=0,"",INDEX(Classes!$H$6:$H$420,$M1978))</f>
        <v/>
      </c>
      <c r="D1978" s="61" t="str">
        <f aca="false">IF($M1978=0,"",INDEX(Classes!$B$6:$B$420,$M1978))</f>
        <v/>
      </c>
      <c r="E1978" s="61" t="str">
        <f aca="false">IF($M1978=0,"",INDEX(Classes!$C$6:$C$420,$M1978))</f>
        <v/>
      </c>
      <c r="F1978" s="63"/>
      <c r="G1978" s="63"/>
      <c r="H1978" s="60"/>
      <c r="I1978" s="60"/>
      <c r="J1978" s="63"/>
      <c r="K1978" s="61" t="str">
        <f aca="false">IF($P1978=0,"",IF($F1978="Baseline","— Baseline",IF($O1978=0,"No result",IF($N1978=0,"No Start (attainment only)",IF(OR($N1978=1,$O1978=1),"U – needs rule",INDEX(MxBody,MATCH($I1978,MxCurr,0),MATCH($H1978,MxStart,0)))))))</f>
        <v/>
      </c>
      <c r="L1978" s="62" t="str">
        <f aca="false">IF(COUNTA($A1978,$F1978,$G1978,$H1978,$I1978,$J1978)=0,"",IF($M1978=0,"✖ كود الصف غير موجود",IF(ISNA(MATCH($F1978,Lists!$A$2:$A$5,0)),"✖ الفترة غير صحيحة",IF(ISNA(MATCH($G1978,Lists!$B$2:$B$7,0)),"✖ المجموعة غير صحيحة",IF(NOT(OR($H1978="",$N1978&gt;0)),"✖ Start غير صحيح",IF(NOT(OR($I1978="",$I1978="NR",$O1978&gt;0)),"✖ Current غير صحيح",IF(NOT(IF(ISNUMBER($J1978),AND($J1978&gt;=0,$J1978=INT($J1978)),FALSE())),"✖ العدد يجب أن يكون صحيحًا ≥ 0",IF(AND($F1978="Baseline",$H1978&lt;&gt;""),"⚠ Baseline: Start لا يدخل في التقدم",IF($K1978="No Start (attainment only)","ℹ تحصيل فقط (بدون Start)",IF($K1978="U – needs rule","ℹ حالة U تحتاج قاعدة معتمدة",IF($K1978="No result","ℹ بدون نتيجة (يُستبعد من التحصيل)","OK")))))))))))</f>
        <v/>
      </c>
      <c r="M1978" s="64" t="n">
        <f aca="false">IF($A1978="",0,IFERROR(MATCH($A1978,Classes!$A$6:$A$420,0),0))</f>
        <v>0</v>
      </c>
      <c r="N1978" s="64" t="n">
        <f aca="false">IF($H1978="",0,IFERROR(MATCH($H1978,GradeList,0),0))</f>
        <v>0</v>
      </c>
      <c r="O1978" s="64" t="n">
        <f aca="false">IF(OR($I1978="",$I1978="NR"),0,IFERROR(MATCH($I1978,GradeList,0),0))</f>
        <v>0</v>
      </c>
      <c r="P1978" s="64" t="n">
        <f aca="false">IF(AND($M1978&gt;0,ISNUMBER(MATCH($F1978,Lists!$A$2:$A$5,0)),ISNUMBER(MATCH($G1978,Lists!$B$2:$B$7,0)),OR($H1978="",$N1978&gt;0),OR($I1978="",$I1978="NR",$O1978&gt;0),IF(ISNUMBER($J1978),AND($J1978&gt;=0,$J1978=INT($J1978)),FALSE())),$J1978,0)</f>
        <v>0</v>
      </c>
      <c r="Q1978" s="64" t="n">
        <f aca="false">IF(AND($P1978&gt;0,$O1978&gt;0),$P1978,0)</f>
        <v>0</v>
      </c>
      <c r="R1978" s="64" t="n">
        <f aca="false">IF(AND($Q1978&gt;0,$O1978&gt;=AtRank),$Q1978,0)</f>
        <v>0</v>
      </c>
      <c r="S1978" s="64" t="n">
        <f aca="false">IF(AND($Q1978&gt;0,$O1978&gt;=AboveRank),$Q1978,0)</f>
        <v>0</v>
      </c>
      <c r="T1978" s="64" t="n">
        <f aca="false">IF($K1978="Less",$P1978,0)</f>
        <v>0</v>
      </c>
      <c r="U1978" s="64" t="n">
        <f aca="false">IF($K1978="Expected",$P1978,0)</f>
        <v>0</v>
      </c>
      <c r="V1978" s="64" t="n">
        <f aca="false">IF($K1978="Better",$P1978,0)</f>
        <v>0</v>
      </c>
      <c r="W1978" s="64" t="n">
        <f aca="false">IF($K1978="U – needs rule",$P1978,0)</f>
        <v>0</v>
      </c>
      <c r="X1978" s="64" t="n">
        <f aca="false">IF($K1978="No Start (attainment only)",$P1978,0)</f>
        <v>0</v>
      </c>
    </row>
    <row r="1979" customFormat="false" ht="15" hidden="false" customHeight="false" outlineLevel="0" collapsed="false">
      <c r="A1979" s="60"/>
      <c r="B1979" s="61" t="str">
        <f aca="false">IF($M1979=0,"",INDEX(Classes!$E$6:$E$420,$M1979))</f>
        <v/>
      </c>
      <c r="C1979" s="62" t="str">
        <f aca="false">IF($M1979=0,"",INDEX(Classes!$H$6:$H$420,$M1979))</f>
        <v/>
      </c>
      <c r="D1979" s="61" t="str">
        <f aca="false">IF($M1979=0,"",INDEX(Classes!$B$6:$B$420,$M1979))</f>
        <v/>
      </c>
      <c r="E1979" s="61" t="str">
        <f aca="false">IF($M1979=0,"",INDEX(Classes!$C$6:$C$420,$M1979))</f>
        <v/>
      </c>
      <c r="F1979" s="63"/>
      <c r="G1979" s="63"/>
      <c r="H1979" s="60"/>
      <c r="I1979" s="60"/>
      <c r="J1979" s="63"/>
      <c r="K1979" s="61" t="str">
        <f aca="false">IF($P1979=0,"",IF($F1979="Baseline","— Baseline",IF($O1979=0,"No result",IF($N1979=0,"No Start (attainment only)",IF(OR($N1979=1,$O1979=1),"U – needs rule",INDEX(MxBody,MATCH($I1979,MxCurr,0),MATCH($H1979,MxStart,0)))))))</f>
        <v/>
      </c>
      <c r="L1979" s="62" t="str">
        <f aca="false">IF(COUNTA($A1979,$F1979,$G1979,$H1979,$I1979,$J1979)=0,"",IF($M1979=0,"✖ كود الصف غير موجود",IF(ISNA(MATCH($F1979,Lists!$A$2:$A$5,0)),"✖ الفترة غير صحيحة",IF(ISNA(MATCH($G1979,Lists!$B$2:$B$7,0)),"✖ المجموعة غير صحيحة",IF(NOT(OR($H1979="",$N1979&gt;0)),"✖ Start غير صحيح",IF(NOT(OR($I1979="",$I1979="NR",$O1979&gt;0)),"✖ Current غير صحيح",IF(NOT(IF(ISNUMBER($J1979),AND($J1979&gt;=0,$J1979=INT($J1979)),FALSE())),"✖ العدد يجب أن يكون صحيحًا ≥ 0",IF(AND($F1979="Baseline",$H1979&lt;&gt;""),"⚠ Baseline: Start لا يدخل في التقدم",IF($K1979="No Start (attainment only)","ℹ تحصيل فقط (بدون Start)",IF($K1979="U – needs rule","ℹ حالة U تحتاج قاعدة معتمدة",IF($K1979="No result","ℹ بدون نتيجة (يُستبعد من التحصيل)","OK")))))))))))</f>
        <v/>
      </c>
      <c r="M1979" s="64" t="n">
        <f aca="false">IF($A1979="",0,IFERROR(MATCH($A1979,Classes!$A$6:$A$420,0),0))</f>
        <v>0</v>
      </c>
      <c r="N1979" s="64" t="n">
        <f aca="false">IF($H1979="",0,IFERROR(MATCH($H1979,GradeList,0),0))</f>
        <v>0</v>
      </c>
      <c r="O1979" s="64" t="n">
        <f aca="false">IF(OR($I1979="",$I1979="NR"),0,IFERROR(MATCH($I1979,GradeList,0),0))</f>
        <v>0</v>
      </c>
      <c r="P1979" s="64" t="n">
        <f aca="false">IF(AND($M1979&gt;0,ISNUMBER(MATCH($F1979,Lists!$A$2:$A$5,0)),ISNUMBER(MATCH($G1979,Lists!$B$2:$B$7,0)),OR($H1979="",$N1979&gt;0),OR($I1979="",$I1979="NR",$O1979&gt;0),IF(ISNUMBER($J1979),AND($J1979&gt;=0,$J1979=INT($J1979)),FALSE())),$J1979,0)</f>
        <v>0</v>
      </c>
      <c r="Q1979" s="64" t="n">
        <f aca="false">IF(AND($P1979&gt;0,$O1979&gt;0),$P1979,0)</f>
        <v>0</v>
      </c>
      <c r="R1979" s="64" t="n">
        <f aca="false">IF(AND($Q1979&gt;0,$O1979&gt;=AtRank),$Q1979,0)</f>
        <v>0</v>
      </c>
      <c r="S1979" s="64" t="n">
        <f aca="false">IF(AND($Q1979&gt;0,$O1979&gt;=AboveRank),$Q1979,0)</f>
        <v>0</v>
      </c>
      <c r="T1979" s="64" t="n">
        <f aca="false">IF($K1979="Less",$P1979,0)</f>
        <v>0</v>
      </c>
      <c r="U1979" s="64" t="n">
        <f aca="false">IF($K1979="Expected",$P1979,0)</f>
        <v>0</v>
      </c>
      <c r="V1979" s="64" t="n">
        <f aca="false">IF($K1979="Better",$P1979,0)</f>
        <v>0</v>
      </c>
      <c r="W1979" s="64" t="n">
        <f aca="false">IF($K1979="U – needs rule",$P1979,0)</f>
        <v>0</v>
      </c>
      <c r="X1979" s="64" t="n">
        <f aca="false">IF($K1979="No Start (attainment only)",$P1979,0)</f>
        <v>0</v>
      </c>
    </row>
    <row r="1980" customFormat="false" ht="15" hidden="false" customHeight="false" outlineLevel="0" collapsed="false">
      <c r="A1980" s="60"/>
      <c r="B1980" s="61" t="str">
        <f aca="false">IF($M1980=0,"",INDEX(Classes!$E$6:$E$420,$M1980))</f>
        <v/>
      </c>
      <c r="C1980" s="62" t="str">
        <f aca="false">IF($M1980=0,"",INDEX(Classes!$H$6:$H$420,$M1980))</f>
        <v/>
      </c>
      <c r="D1980" s="61" t="str">
        <f aca="false">IF($M1980=0,"",INDEX(Classes!$B$6:$B$420,$M1980))</f>
        <v/>
      </c>
      <c r="E1980" s="61" t="str">
        <f aca="false">IF($M1980=0,"",INDEX(Classes!$C$6:$C$420,$M1980))</f>
        <v/>
      </c>
      <c r="F1980" s="63"/>
      <c r="G1980" s="63"/>
      <c r="H1980" s="60"/>
      <c r="I1980" s="60"/>
      <c r="J1980" s="63"/>
      <c r="K1980" s="61" t="str">
        <f aca="false">IF($P1980=0,"",IF($F1980="Baseline","— Baseline",IF($O1980=0,"No result",IF($N1980=0,"No Start (attainment only)",IF(OR($N1980=1,$O1980=1),"U – needs rule",INDEX(MxBody,MATCH($I1980,MxCurr,0),MATCH($H1980,MxStart,0)))))))</f>
        <v/>
      </c>
      <c r="L1980" s="62" t="str">
        <f aca="false">IF(COUNTA($A1980,$F1980,$G1980,$H1980,$I1980,$J1980)=0,"",IF($M1980=0,"✖ كود الصف غير موجود",IF(ISNA(MATCH($F1980,Lists!$A$2:$A$5,0)),"✖ الفترة غير صحيحة",IF(ISNA(MATCH($G1980,Lists!$B$2:$B$7,0)),"✖ المجموعة غير صحيحة",IF(NOT(OR($H1980="",$N1980&gt;0)),"✖ Start غير صحيح",IF(NOT(OR($I1980="",$I1980="NR",$O1980&gt;0)),"✖ Current غير صحيح",IF(NOT(IF(ISNUMBER($J1980),AND($J1980&gt;=0,$J1980=INT($J1980)),FALSE())),"✖ العدد يجب أن يكون صحيحًا ≥ 0",IF(AND($F1980="Baseline",$H1980&lt;&gt;""),"⚠ Baseline: Start لا يدخل في التقدم",IF($K1980="No Start (attainment only)","ℹ تحصيل فقط (بدون Start)",IF($K1980="U – needs rule","ℹ حالة U تحتاج قاعدة معتمدة",IF($K1980="No result","ℹ بدون نتيجة (يُستبعد من التحصيل)","OK")))))))))))</f>
        <v/>
      </c>
      <c r="M1980" s="64" t="n">
        <f aca="false">IF($A1980="",0,IFERROR(MATCH($A1980,Classes!$A$6:$A$420,0),0))</f>
        <v>0</v>
      </c>
      <c r="N1980" s="64" t="n">
        <f aca="false">IF($H1980="",0,IFERROR(MATCH($H1980,GradeList,0),0))</f>
        <v>0</v>
      </c>
      <c r="O1980" s="64" t="n">
        <f aca="false">IF(OR($I1980="",$I1980="NR"),0,IFERROR(MATCH($I1980,GradeList,0),0))</f>
        <v>0</v>
      </c>
      <c r="P1980" s="64" t="n">
        <f aca="false">IF(AND($M1980&gt;0,ISNUMBER(MATCH($F1980,Lists!$A$2:$A$5,0)),ISNUMBER(MATCH($G1980,Lists!$B$2:$B$7,0)),OR($H1980="",$N1980&gt;0),OR($I1980="",$I1980="NR",$O1980&gt;0),IF(ISNUMBER($J1980),AND($J1980&gt;=0,$J1980=INT($J1980)),FALSE())),$J1980,0)</f>
        <v>0</v>
      </c>
      <c r="Q1980" s="64" t="n">
        <f aca="false">IF(AND($P1980&gt;0,$O1980&gt;0),$P1980,0)</f>
        <v>0</v>
      </c>
      <c r="R1980" s="64" t="n">
        <f aca="false">IF(AND($Q1980&gt;0,$O1980&gt;=AtRank),$Q1980,0)</f>
        <v>0</v>
      </c>
      <c r="S1980" s="64" t="n">
        <f aca="false">IF(AND($Q1980&gt;0,$O1980&gt;=AboveRank),$Q1980,0)</f>
        <v>0</v>
      </c>
      <c r="T1980" s="64" t="n">
        <f aca="false">IF($K1980="Less",$P1980,0)</f>
        <v>0</v>
      </c>
      <c r="U1980" s="64" t="n">
        <f aca="false">IF($K1980="Expected",$P1980,0)</f>
        <v>0</v>
      </c>
      <c r="V1980" s="64" t="n">
        <f aca="false">IF($K1980="Better",$P1980,0)</f>
        <v>0</v>
      </c>
      <c r="W1980" s="64" t="n">
        <f aca="false">IF($K1980="U – needs rule",$P1980,0)</f>
        <v>0</v>
      </c>
      <c r="X1980" s="64" t="n">
        <f aca="false">IF($K1980="No Start (attainment only)",$P1980,0)</f>
        <v>0</v>
      </c>
    </row>
    <row r="1981" customFormat="false" ht="15" hidden="false" customHeight="false" outlineLevel="0" collapsed="false">
      <c r="A1981" s="60"/>
      <c r="B1981" s="61" t="str">
        <f aca="false">IF($M1981=0,"",INDEX(Classes!$E$6:$E$420,$M1981))</f>
        <v/>
      </c>
      <c r="C1981" s="62" t="str">
        <f aca="false">IF($M1981=0,"",INDEX(Classes!$H$6:$H$420,$M1981))</f>
        <v/>
      </c>
      <c r="D1981" s="61" t="str">
        <f aca="false">IF($M1981=0,"",INDEX(Classes!$B$6:$B$420,$M1981))</f>
        <v/>
      </c>
      <c r="E1981" s="61" t="str">
        <f aca="false">IF($M1981=0,"",INDEX(Classes!$C$6:$C$420,$M1981))</f>
        <v/>
      </c>
      <c r="F1981" s="63"/>
      <c r="G1981" s="63"/>
      <c r="H1981" s="60"/>
      <c r="I1981" s="60"/>
      <c r="J1981" s="63"/>
      <c r="K1981" s="61" t="str">
        <f aca="false">IF($P1981=0,"",IF($F1981="Baseline","— Baseline",IF($O1981=0,"No result",IF($N1981=0,"No Start (attainment only)",IF(OR($N1981=1,$O1981=1),"U – needs rule",INDEX(MxBody,MATCH($I1981,MxCurr,0),MATCH($H1981,MxStart,0)))))))</f>
        <v/>
      </c>
      <c r="L1981" s="62" t="str">
        <f aca="false">IF(COUNTA($A1981,$F1981,$G1981,$H1981,$I1981,$J1981)=0,"",IF($M1981=0,"✖ كود الصف غير موجود",IF(ISNA(MATCH($F1981,Lists!$A$2:$A$5,0)),"✖ الفترة غير صحيحة",IF(ISNA(MATCH($G1981,Lists!$B$2:$B$7,0)),"✖ المجموعة غير صحيحة",IF(NOT(OR($H1981="",$N1981&gt;0)),"✖ Start غير صحيح",IF(NOT(OR($I1981="",$I1981="NR",$O1981&gt;0)),"✖ Current غير صحيح",IF(NOT(IF(ISNUMBER($J1981),AND($J1981&gt;=0,$J1981=INT($J1981)),FALSE())),"✖ العدد يجب أن يكون صحيحًا ≥ 0",IF(AND($F1981="Baseline",$H1981&lt;&gt;""),"⚠ Baseline: Start لا يدخل في التقدم",IF($K1981="No Start (attainment only)","ℹ تحصيل فقط (بدون Start)",IF($K1981="U – needs rule","ℹ حالة U تحتاج قاعدة معتمدة",IF($K1981="No result","ℹ بدون نتيجة (يُستبعد من التحصيل)","OK")))))))))))</f>
        <v/>
      </c>
      <c r="M1981" s="64" t="n">
        <f aca="false">IF($A1981="",0,IFERROR(MATCH($A1981,Classes!$A$6:$A$420,0),0))</f>
        <v>0</v>
      </c>
      <c r="N1981" s="64" t="n">
        <f aca="false">IF($H1981="",0,IFERROR(MATCH($H1981,GradeList,0),0))</f>
        <v>0</v>
      </c>
      <c r="O1981" s="64" t="n">
        <f aca="false">IF(OR($I1981="",$I1981="NR"),0,IFERROR(MATCH($I1981,GradeList,0),0))</f>
        <v>0</v>
      </c>
      <c r="P1981" s="64" t="n">
        <f aca="false">IF(AND($M1981&gt;0,ISNUMBER(MATCH($F1981,Lists!$A$2:$A$5,0)),ISNUMBER(MATCH($G1981,Lists!$B$2:$B$7,0)),OR($H1981="",$N1981&gt;0),OR($I1981="",$I1981="NR",$O1981&gt;0),IF(ISNUMBER($J1981),AND($J1981&gt;=0,$J1981=INT($J1981)),FALSE())),$J1981,0)</f>
        <v>0</v>
      </c>
      <c r="Q1981" s="64" t="n">
        <f aca="false">IF(AND($P1981&gt;0,$O1981&gt;0),$P1981,0)</f>
        <v>0</v>
      </c>
      <c r="R1981" s="64" t="n">
        <f aca="false">IF(AND($Q1981&gt;0,$O1981&gt;=AtRank),$Q1981,0)</f>
        <v>0</v>
      </c>
      <c r="S1981" s="64" t="n">
        <f aca="false">IF(AND($Q1981&gt;0,$O1981&gt;=AboveRank),$Q1981,0)</f>
        <v>0</v>
      </c>
      <c r="T1981" s="64" t="n">
        <f aca="false">IF($K1981="Less",$P1981,0)</f>
        <v>0</v>
      </c>
      <c r="U1981" s="64" t="n">
        <f aca="false">IF($K1981="Expected",$P1981,0)</f>
        <v>0</v>
      </c>
      <c r="V1981" s="64" t="n">
        <f aca="false">IF($K1981="Better",$P1981,0)</f>
        <v>0</v>
      </c>
      <c r="W1981" s="64" t="n">
        <f aca="false">IF($K1981="U – needs rule",$P1981,0)</f>
        <v>0</v>
      </c>
      <c r="X1981" s="64" t="n">
        <f aca="false">IF($K1981="No Start (attainment only)",$P1981,0)</f>
        <v>0</v>
      </c>
    </row>
    <row r="1982" customFormat="false" ht="15" hidden="false" customHeight="false" outlineLevel="0" collapsed="false">
      <c r="A1982" s="60"/>
      <c r="B1982" s="61" t="str">
        <f aca="false">IF($M1982=0,"",INDEX(Classes!$E$6:$E$420,$M1982))</f>
        <v/>
      </c>
      <c r="C1982" s="62" t="str">
        <f aca="false">IF($M1982=0,"",INDEX(Classes!$H$6:$H$420,$M1982))</f>
        <v/>
      </c>
      <c r="D1982" s="61" t="str">
        <f aca="false">IF($M1982=0,"",INDEX(Classes!$B$6:$B$420,$M1982))</f>
        <v/>
      </c>
      <c r="E1982" s="61" t="str">
        <f aca="false">IF($M1982=0,"",INDEX(Classes!$C$6:$C$420,$M1982))</f>
        <v/>
      </c>
      <c r="F1982" s="63"/>
      <c r="G1982" s="63"/>
      <c r="H1982" s="60"/>
      <c r="I1982" s="60"/>
      <c r="J1982" s="63"/>
      <c r="K1982" s="61" t="str">
        <f aca="false">IF($P1982=0,"",IF($F1982="Baseline","— Baseline",IF($O1982=0,"No result",IF($N1982=0,"No Start (attainment only)",IF(OR($N1982=1,$O1982=1),"U – needs rule",INDEX(MxBody,MATCH($I1982,MxCurr,0),MATCH($H1982,MxStart,0)))))))</f>
        <v/>
      </c>
      <c r="L1982" s="62" t="str">
        <f aca="false">IF(COUNTA($A1982,$F1982,$G1982,$H1982,$I1982,$J1982)=0,"",IF($M1982=0,"✖ كود الصف غير موجود",IF(ISNA(MATCH($F1982,Lists!$A$2:$A$5,0)),"✖ الفترة غير صحيحة",IF(ISNA(MATCH($G1982,Lists!$B$2:$B$7,0)),"✖ المجموعة غير صحيحة",IF(NOT(OR($H1982="",$N1982&gt;0)),"✖ Start غير صحيح",IF(NOT(OR($I1982="",$I1982="NR",$O1982&gt;0)),"✖ Current غير صحيح",IF(NOT(IF(ISNUMBER($J1982),AND($J1982&gt;=0,$J1982=INT($J1982)),FALSE())),"✖ العدد يجب أن يكون صحيحًا ≥ 0",IF(AND($F1982="Baseline",$H1982&lt;&gt;""),"⚠ Baseline: Start لا يدخل في التقدم",IF($K1982="No Start (attainment only)","ℹ تحصيل فقط (بدون Start)",IF($K1982="U – needs rule","ℹ حالة U تحتاج قاعدة معتمدة",IF($K1982="No result","ℹ بدون نتيجة (يُستبعد من التحصيل)","OK")))))))))))</f>
        <v/>
      </c>
      <c r="M1982" s="64" t="n">
        <f aca="false">IF($A1982="",0,IFERROR(MATCH($A1982,Classes!$A$6:$A$420,0),0))</f>
        <v>0</v>
      </c>
      <c r="N1982" s="64" t="n">
        <f aca="false">IF($H1982="",0,IFERROR(MATCH($H1982,GradeList,0),0))</f>
        <v>0</v>
      </c>
      <c r="O1982" s="64" t="n">
        <f aca="false">IF(OR($I1982="",$I1982="NR"),0,IFERROR(MATCH($I1982,GradeList,0),0))</f>
        <v>0</v>
      </c>
      <c r="P1982" s="64" t="n">
        <f aca="false">IF(AND($M1982&gt;0,ISNUMBER(MATCH($F1982,Lists!$A$2:$A$5,0)),ISNUMBER(MATCH($G1982,Lists!$B$2:$B$7,0)),OR($H1982="",$N1982&gt;0),OR($I1982="",$I1982="NR",$O1982&gt;0),IF(ISNUMBER($J1982),AND($J1982&gt;=0,$J1982=INT($J1982)),FALSE())),$J1982,0)</f>
        <v>0</v>
      </c>
      <c r="Q1982" s="64" t="n">
        <f aca="false">IF(AND($P1982&gt;0,$O1982&gt;0),$P1982,0)</f>
        <v>0</v>
      </c>
      <c r="R1982" s="64" t="n">
        <f aca="false">IF(AND($Q1982&gt;0,$O1982&gt;=AtRank),$Q1982,0)</f>
        <v>0</v>
      </c>
      <c r="S1982" s="64" t="n">
        <f aca="false">IF(AND($Q1982&gt;0,$O1982&gt;=AboveRank),$Q1982,0)</f>
        <v>0</v>
      </c>
      <c r="T1982" s="64" t="n">
        <f aca="false">IF($K1982="Less",$P1982,0)</f>
        <v>0</v>
      </c>
      <c r="U1982" s="64" t="n">
        <f aca="false">IF($K1982="Expected",$P1982,0)</f>
        <v>0</v>
      </c>
      <c r="V1982" s="64" t="n">
        <f aca="false">IF($K1982="Better",$P1982,0)</f>
        <v>0</v>
      </c>
      <c r="W1982" s="64" t="n">
        <f aca="false">IF($K1982="U – needs rule",$P1982,0)</f>
        <v>0</v>
      </c>
      <c r="X1982" s="64" t="n">
        <f aca="false">IF($K1982="No Start (attainment only)",$P1982,0)</f>
        <v>0</v>
      </c>
    </row>
    <row r="1983" customFormat="false" ht="15" hidden="false" customHeight="false" outlineLevel="0" collapsed="false">
      <c r="A1983" s="60"/>
      <c r="B1983" s="61" t="str">
        <f aca="false">IF($M1983=0,"",INDEX(Classes!$E$6:$E$420,$M1983))</f>
        <v/>
      </c>
      <c r="C1983" s="62" t="str">
        <f aca="false">IF($M1983=0,"",INDEX(Classes!$H$6:$H$420,$M1983))</f>
        <v/>
      </c>
      <c r="D1983" s="61" t="str">
        <f aca="false">IF($M1983=0,"",INDEX(Classes!$B$6:$B$420,$M1983))</f>
        <v/>
      </c>
      <c r="E1983" s="61" t="str">
        <f aca="false">IF($M1983=0,"",INDEX(Classes!$C$6:$C$420,$M1983))</f>
        <v/>
      </c>
      <c r="F1983" s="63"/>
      <c r="G1983" s="63"/>
      <c r="H1983" s="60"/>
      <c r="I1983" s="60"/>
      <c r="J1983" s="63"/>
      <c r="K1983" s="61" t="str">
        <f aca="false">IF($P1983=0,"",IF($F1983="Baseline","— Baseline",IF($O1983=0,"No result",IF($N1983=0,"No Start (attainment only)",IF(OR($N1983=1,$O1983=1),"U – needs rule",INDEX(MxBody,MATCH($I1983,MxCurr,0),MATCH($H1983,MxStart,0)))))))</f>
        <v/>
      </c>
      <c r="L1983" s="62" t="str">
        <f aca="false">IF(COUNTA($A1983,$F1983,$G1983,$H1983,$I1983,$J1983)=0,"",IF($M1983=0,"✖ كود الصف غير موجود",IF(ISNA(MATCH($F1983,Lists!$A$2:$A$5,0)),"✖ الفترة غير صحيحة",IF(ISNA(MATCH($G1983,Lists!$B$2:$B$7,0)),"✖ المجموعة غير صحيحة",IF(NOT(OR($H1983="",$N1983&gt;0)),"✖ Start غير صحيح",IF(NOT(OR($I1983="",$I1983="NR",$O1983&gt;0)),"✖ Current غير صحيح",IF(NOT(IF(ISNUMBER($J1983),AND($J1983&gt;=0,$J1983=INT($J1983)),FALSE())),"✖ العدد يجب أن يكون صحيحًا ≥ 0",IF(AND($F1983="Baseline",$H1983&lt;&gt;""),"⚠ Baseline: Start لا يدخل في التقدم",IF($K1983="No Start (attainment only)","ℹ تحصيل فقط (بدون Start)",IF($K1983="U – needs rule","ℹ حالة U تحتاج قاعدة معتمدة",IF($K1983="No result","ℹ بدون نتيجة (يُستبعد من التحصيل)","OK")))))))))))</f>
        <v/>
      </c>
      <c r="M1983" s="64" t="n">
        <f aca="false">IF($A1983="",0,IFERROR(MATCH($A1983,Classes!$A$6:$A$420,0),0))</f>
        <v>0</v>
      </c>
      <c r="N1983" s="64" t="n">
        <f aca="false">IF($H1983="",0,IFERROR(MATCH($H1983,GradeList,0),0))</f>
        <v>0</v>
      </c>
      <c r="O1983" s="64" t="n">
        <f aca="false">IF(OR($I1983="",$I1983="NR"),0,IFERROR(MATCH($I1983,GradeList,0),0))</f>
        <v>0</v>
      </c>
      <c r="P1983" s="64" t="n">
        <f aca="false">IF(AND($M1983&gt;0,ISNUMBER(MATCH($F1983,Lists!$A$2:$A$5,0)),ISNUMBER(MATCH($G1983,Lists!$B$2:$B$7,0)),OR($H1983="",$N1983&gt;0),OR($I1983="",$I1983="NR",$O1983&gt;0),IF(ISNUMBER($J1983),AND($J1983&gt;=0,$J1983=INT($J1983)),FALSE())),$J1983,0)</f>
        <v>0</v>
      </c>
      <c r="Q1983" s="64" t="n">
        <f aca="false">IF(AND($P1983&gt;0,$O1983&gt;0),$P1983,0)</f>
        <v>0</v>
      </c>
      <c r="R1983" s="64" t="n">
        <f aca="false">IF(AND($Q1983&gt;0,$O1983&gt;=AtRank),$Q1983,0)</f>
        <v>0</v>
      </c>
      <c r="S1983" s="64" t="n">
        <f aca="false">IF(AND($Q1983&gt;0,$O1983&gt;=AboveRank),$Q1983,0)</f>
        <v>0</v>
      </c>
      <c r="T1983" s="64" t="n">
        <f aca="false">IF($K1983="Less",$P1983,0)</f>
        <v>0</v>
      </c>
      <c r="U1983" s="64" t="n">
        <f aca="false">IF($K1983="Expected",$P1983,0)</f>
        <v>0</v>
      </c>
      <c r="V1983" s="64" t="n">
        <f aca="false">IF($K1983="Better",$P1983,0)</f>
        <v>0</v>
      </c>
      <c r="W1983" s="64" t="n">
        <f aca="false">IF($K1983="U – needs rule",$P1983,0)</f>
        <v>0</v>
      </c>
      <c r="X1983" s="64" t="n">
        <f aca="false">IF($K1983="No Start (attainment only)",$P1983,0)</f>
        <v>0</v>
      </c>
    </row>
    <row r="1984" customFormat="false" ht="15" hidden="false" customHeight="false" outlineLevel="0" collapsed="false">
      <c r="A1984" s="60"/>
      <c r="B1984" s="61" t="str">
        <f aca="false">IF($M1984=0,"",INDEX(Classes!$E$6:$E$420,$M1984))</f>
        <v/>
      </c>
      <c r="C1984" s="62" t="str">
        <f aca="false">IF($M1984=0,"",INDEX(Classes!$H$6:$H$420,$M1984))</f>
        <v/>
      </c>
      <c r="D1984" s="61" t="str">
        <f aca="false">IF($M1984=0,"",INDEX(Classes!$B$6:$B$420,$M1984))</f>
        <v/>
      </c>
      <c r="E1984" s="61" t="str">
        <f aca="false">IF($M1984=0,"",INDEX(Classes!$C$6:$C$420,$M1984))</f>
        <v/>
      </c>
      <c r="F1984" s="63"/>
      <c r="G1984" s="63"/>
      <c r="H1984" s="60"/>
      <c r="I1984" s="60"/>
      <c r="J1984" s="63"/>
      <c r="K1984" s="61" t="str">
        <f aca="false">IF($P1984=0,"",IF($F1984="Baseline","— Baseline",IF($O1984=0,"No result",IF($N1984=0,"No Start (attainment only)",IF(OR($N1984=1,$O1984=1),"U – needs rule",INDEX(MxBody,MATCH($I1984,MxCurr,0),MATCH($H1984,MxStart,0)))))))</f>
        <v/>
      </c>
      <c r="L1984" s="62" t="str">
        <f aca="false">IF(COUNTA($A1984,$F1984,$G1984,$H1984,$I1984,$J1984)=0,"",IF($M1984=0,"✖ كود الصف غير موجود",IF(ISNA(MATCH($F1984,Lists!$A$2:$A$5,0)),"✖ الفترة غير صحيحة",IF(ISNA(MATCH($G1984,Lists!$B$2:$B$7,0)),"✖ المجموعة غير صحيحة",IF(NOT(OR($H1984="",$N1984&gt;0)),"✖ Start غير صحيح",IF(NOT(OR($I1984="",$I1984="NR",$O1984&gt;0)),"✖ Current غير صحيح",IF(NOT(IF(ISNUMBER($J1984),AND($J1984&gt;=0,$J1984=INT($J1984)),FALSE())),"✖ العدد يجب أن يكون صحيحًا ≥ 0",IF(AND($F1984="Baseline",$H1984&lt;&gt;""),"⚠ Baseline: Start لا يدخل في التقدم",IF($K1984="No Start (attainment only)","ℹ تحصيل فقط (بدون Start)",IF($K1984="U – needs rule","ℹ حالة U تحتاج قاعدة معتمدة",IF($K1984="No result","ℹ بدون نتيجة (يُستبعد من التحصيل)","OK")))))))))))</f>
        <v/>
      </c>
      <c r="M1984" s="64" t="n">
        <f aca="false">IF($A1984="",0,IFERROR(MATCH($A1984,Classes!$A$6:$A$420,0),0))</f>
        <v>0</v>
      </c>
      <c r="N1984" s="64" t="n">
        <f aca="false">IF($H1984="",0,IFERROR(MATCH($H1984,GradeList,0),0))</f>
        <v>0</v>
      </c>
      <c r="O1984" s="64" t="n">
        <f aca="false">IF(OR($I1984="",$I1984="NR"),0,IFERROR(MATCH($I1984,GradeList,0),0))</f>
        <v>0</v>
      </c>
      <c r="P1984" s="64" t="n">
        <f aca="false">IF(AND($M1984&gt;0,ISNUMBER(MATCH($F1984,Lists!$A$2:$A$5,0)),ISNUMBER(MATCH($G1984,Lists!$B$2:$B$7,0)),OR($H1984="",$N1984&gt;0),OR($I1984="",$I1984="NR",$O1984&gt;0),IF(ISNUMBER($J1984),AND($J1984&gt;=0,$J1984=INT($J1984)),FALSE())),$J1984,0)</f>
        <v>0</v>
      </c>
      <c r="Q1984" s="64" t="n">
        <f aca="false">IF(AND($P1984&gt;0,$O1984&gt;0),$P1984,0)</f>
        <v>0</v>
      </c>
      <c r="R1984" s="64" t="n">
        <f aca="false">IF(AND($Q1984&gt;0,$O1984&gt;=AtRank),$Q1984,0)</f>
        <v>0</v>
      </c>
      <c r="S1984" s="64" t="n">
        <f aca="false">IF(AND($Q1984&gt;0,$O1984&gt;=AboveRank),$Q1984,0)</f>
        <v>0</v>
      </c>
      <c r="T1984" s="64" t="n">
        <f aca="false">IF($K1984="Less",$P1984,0)</f>
        <v>0</v>
      </c>
      <c r="U1984" s="64" t="n">
        <f aca="false">IF($K1984="Expected",$P1984,0)</f>
        <v>0</v>
      </c>
      <c r="V1984" s="64" t="n">
        <f aca="false">IF($K1984="Better",$P1984,0)</f>
        <v>0</v>
      </c>
      <c r="W1984" s="64" t="n">
        <f aca="false">IF($K1984="U – needs rule",$P1984,0)</f>
        <v>0</v>
      </c>
      <c r="X1984" s="64" t="n">
        <f aca="false">IF($K1984="No Start (attainment only)",$P1984,0)</f>
        <v>0</v>
      </c>
    </row>
    <row r="1985" customFormat="false" ht="15" hidden="false" customHeight="false" outlineLevel="0" collapsed="false">
      <c r="A1985" s="60"/>
      <c r="B1985" s="61" t="str">
        <f aca="false">IF($M1985=0,"",INDEX(Classes!$E$6:$E$420,$M1985))</f>
        <v/>
      </c>
      <c r="C1985" s="62" t="str">
        <f aca="false">IF($M1985=0,"",INDEX(Classes!$H$6:$H$420,$M1985))</f>
        <v/>
      </c>
      <c r="D1985" s="61" t="str">
        <f aca="false">IF($M1985=0,"",INDEX(Classes!$B$6:$B$420,$M1985))</f>
        <v/>
      </c>
      <c r="E1985" s="61" t="str">
        <f aca="false">IF($M1985=0,"",INDEX(Classes!$C$6:$C$420,$M1985))</f>
        <v/>
      </c>
      <c r="F1985" s="63"/>
      <c r="G1985" s="63"/>
      <c r="H1985" s="60"/>
      <c r="I1985" s="60"/>
      <c r="J1985" s="63"/>
      <c r="K1985" s="61" t="str">
        <f aca="false">IF($P1985=0,"",IF($F1985="Baseline","— Baseline",IF($O1985=0,"No result",IF($N1985=0,"No Start (attainment only)",IF(OR($N1985=1,$O1985=1),"U – needs rule",INDEX(MxBody,MATCH($I1985,MxCurr,0),MATCH($H1985,MxStart,0)))))))</f>
        <v/>
      </c>
      <c r="L1985" s="62" t="str">
        <f aca="false">IF(COUNTA($A1985,$F1985,$G1985,$H1985,$I1985,$J1985)=0,"",IF($M1985=0,"✖ كود الصف غير موجود",IF(ISNA(MATCH($F1985,Lists!$A$2:$A$5,0)),"✖ الفترة غير صحيحة",IF(ISNA(MATCH($G1985,Lists!$B$2:$B$7,0)),"✖ المجموعة غير صحيحة",IF(NOT(OR($H1985="",$N1985&gt;0)),"✖ Start غير صحيح",IF(NOT(OR($I1985="",$I1985="NR",$O1985&gt;0)),"✖ Current غير صحيح",IF(NOT(IF(ISNUMBER($J1985),AND($J1985&gt;=0,$J1985=INT($J1985)),FALSE())),"✖ العدد يجب أن يكون صحيحًا ≥ 0",IF(AND($F1985="Baseline",$H1985&lt;&gt;""),"⚠ Baseline: Start لا يدخل في التقدم",IF($K1985="No Start (attainment only)","ℹ تحصيل فقط (بدون Start)",IF($K1985="U – needs rule","ℹ حالة U تحتاج قاعدة معتمدة",IF($K1985="No result","ℹ بدون نتيجة (يُستبعد من التحصيل)","OK")))))))))))</f>
        <v/>
      </c>
      <c r="M1985" s="64" t="n">
        <f aca="false">IF($A1985="",0,IFERROR(MATCH($A1985,Classes!$A$6:$A$420,0),0))</f>
        <v>0</v>
      </c>
      <c r="N1985" s="64" t="n">
        <f aca="false">IF($H1985="",0,IFERROR(MATCH($H1985,GradeList,0),0))</f>
        <v>0</v>
      </c>
      <c r="O1985" s="64" t="n">
        <f aca="false">IF(OR($I1985="",$I1985="NR"),0,IFERROR(MATCH($I1985,GradeList,0),0))</f>
        <v>0</v>
      </c>
      <c r="P1985" s="64" t="n">
        <f aca="false">IF(AND($M1985&gt;0,ISNUMBER(MATCH($F1985,Lists!$A$2:$A$5,0)),ISNUMBER(MATCH($G1985,Lists!$B$2:$B$7,0)),OR($H1985="",$N1985&gt;0),OR($I1985="",$I1985="NR",$O1985&gt;0),IF(ISNUMBER($J1985),AND($J1985&gt;=0,$J1985=INT($J1985)),FALSE())),$J1985,0)</f>
        <v>0</v>
      </c>
      <c r="Q1985" s="64" t="n">
        <f aca="false">IF(AND($P1985&gt;0,$O1985&gt;0),$P1985,0)</f>
        <v>0</v>
      </c>
      <c r="R1985" s="64" t="n">
        <f aca="false">IF(AND($Q1985&gt;0,$O1985&gt;=AtRank),$Q1985,0)</f>
        <v>0</v>
      </c>
      <c r="S1985" s="64" t="n">
        <f aca="false">IF(AND($Q1985&gt;0,$O1985&gt;=AboveRank),$Q1985,0)</f>
        <v>0</v>
      </c>
      <c r="T1985" s="64" t="n">
        <f aca="false">IF($K1985="Less",$P1985,0)</f>
        <v>0</v>
      </c>
      <c r="U1985" s="64" t="n">
        <f aca="false">IF($K1985="Expected",$P1985,0)</f>
        <v>0</v>
      </c>
      <c r="V1985" s="64" t="n">
        <f aca="false">IF($K1985="Better",$P1985,0)</f>
        <v>0</v>
      </c>
      <c r="W1985" s="64" t="n">
        <f aca="false">IF($K1985="U – needs rule",$P1985,0)</f>
        <v>0</v>
      </c>
      <c r="X1985" s="64" t="n">
        <f aca="false">IF($K1985="No Start (attainment only)",$P1985,0)</f>
        <v>0</v>
      </c>
    </row>
    <row r="1986" customFormat="false" ht="15" hidden="false" customHeight="false" outlineLevel="0" collapsed="false">
      <c r="A1986" s="60"/>
      <c r="B1986" s="61" t="str">
        <f aca="false">IF($M1986=0,"",INDEX(Classes!$E$6:$E$420,$M1986))</f>
        <v/>
      </c>
      <c r="C1986" s="62" t="str">
        <f aca="false">IF($M1986=0,"",INDEX(Classes!$H$6:$H$420,$M1986))</f>
        <v/>
      </c>
      <c r="D1986" s="61" t="str">
        <f aca="false">IF($M1986=0,"",INDEX(Classes!$B$6:$B$420,$M1986))</f>
        <v/>
      </c>
      <c r="E1986" s="61" t="str">
        <f aca="false">IF($M1986=0,"",INDEX(Classes!$C$6:$C$420,$M1986))</f>
        <v/>
      </c>
      <c r="F1986" s="63"/>
      <c r="G1986" s="63"/>
      <c r="H1986" s="60"/>
      <c r="I1986" s="60"/>
      <c r="J1986" s="63"/>
      <c r="K1986" s="61" t="str">
        <f aca="false">IF($P1986=0,"",IF($F1986="Baseline","— Baseline",IF($O1986=0,"No result",IF($N1986=0,"No Start (attainment only)",IF(OR($N1986=1,$O1986=1),"U – needs rule",INDEX(MxBody,MATCH($I1986,MxCurr,0),MATCH($H1986,MxStart,0)))))))</f>
        <v/>
      </c>
      <c r="L1986" s="62" t="str">
        <f aca="false">IF(COUNTA($A1986,$F1986,$G1986,$H1986,$I1986,$J1986)=0,"",IF($M1986=0,"✖ كود الصف غير موجود",IF(ISNA(MATCH($F1986,Lists!$A$2:$A$5,0)),"✖ الفترة غير صحيحة",IF(ISNA(MATCH($G1986,Lists!$B$2:$B$7,0)),"✖ المجموعة غير صحيحة",IF(NOT(OR($H1986="",$N1986&gt;0)),"✖ Start غير صحيح",IF(NOT(OR($I1986="",$I1986="NR",$O1986&gt;0)),"✖ Current غير صحيح",IF(NOT(IF(ISNUMBER($J1986),AND($J1986&gt;=0,$J1986=INT($J1986)),FALSE())),"✖ العدد يجب أن يكون صحيحًا ≥ 0",IF(AND($F1986="Baseline",$H1986&lt;&gt;""),"⚠ Baseline: Start لا يدخل في التقدم",IF($K1986="No Start (attainment only)","ℹ تحصيل فقط (بدون Start)",IF($K1986="U – needs rule","ℹ حالة U تحتاج قاعدة معتمدة",IF($K1986="No result","ℹ بدون نتيجة (يُستبعد من التحصيل)","OK")))))))))))</f>
        <v/>
      </c>
      <c r="M1986" s="64" t="n">
        <f aca="false">IF($A1986="",0,IFERROR(MATCH($A1986,Classes!$A$6:$A$420,0),0))</f>
        <v>0</v>
      </c>
      <c r="N1986" s="64" t="n">
        <f aca="false">IF($H1986="",0,IFERROR(MATCH($H1986,GradeList,0),0))</f>
        <v>0</v>
      </c>
      <c r="O1986" s="64" t="n">
        <f aca="false">IF(OR($I1986="",$I1986="NR"),0,IFERROR(MATCH($I1986,GradeList,0),0))</f>
        <v>0</v>
      </c>
      <c r="P1986" s="64" t="n">
        <f aca="false">IF(AND($M1986&gt;0,ISNUMBER(MATCH($F1986,Lists!$A$2:$A$5,0)),ISNUMBER(MATCH($G1986,Lists!$B$2:$B$7,0)),OR($H1986="",$N1986&gt;0),OR($I1986="",$I1986="NR",$O1986&gt;0),IF(ISNUMBER($J1986),AND($J1986&gt;=0,$J1986=INT($J1986)),FALSE())),$J1986,0)</f>
        <v>0</v>
      </c>
      <c r="Q1986" s="64" t="n">
        <f aca="false">IF(AND($P1986&gt;0,$O1986&gt;0),$P1986,0)</f>
        <v>0</v>
      </c>
      <c r="R1986" s="64" t="n">
        <f aca="false">IF(AND($Q1986&gt;0,$O1986&gt;=AtRank),$Q1986,0)</f>
        <v>0</v>
      </c>
      <c r="S1986" s="64" t="n">
        <f aca="false">IF(AND($Q1986&gt;0,$O1986&gt;=AboveRank),$Q1986,0)</f>
        <v>0</v>
      </c>
      <c r="T1986" s="64" t="n">
        <f aca="false">IF($K1986="Less",$P1986,0)</f>
        <v>0</v>
      </c>
      <c r="U1986" s="64" t="n">
        <f aca="false">IF($K1986="Expected",$P1986,0)</f>
        <v>0</v>
      </c>
      <c r="V1986" s="64" t="n">
        <f aca="false">IF($K1986="Better",$P1986,0)</f>
        <v>0</v>
      </c>
      <c r="W1986" s="64" t="n">
        <f aca="false">IF($K1986="U – needs rule",$P1986,0)</f>
        <v>0</v>
      </c>
      <c r="X1986" s="64" t="n">
        <f aca="false">IF($K1986="No Start (attainment only)",$P1986,0)</f>
        <v>0</v>
      </c>
    </row>
    <row r="1987" customFormat="false" ht="15" hidden="false" customHeight="false" outlineLevel="0" collapsed="false">
      <c r="A1987" s="60"/>
      <c r="B1987" s="61" t="str">
        <f aca="false">IF($M1987=0,"",INDEX(Classes!$E$6:$E$420,$M1987))</f>
        <v/>
      </c>
      <c r="C1987" s="62" t="str">
        <f aca="false">IF($M1987=0,"",INDEX(Classes!$H$6:$H$420,$M1987))</f>
        <v/>
      </c>
      <c r="D1987" s="61" t="str">
        <f aca="false">IF($M1987=0,"",INDEX(Classes!$B$6:$B$420,$M1987))</f>
        <v/>
      </c>
      <c r="E1987" s="61" t="str">
        <f aca="false">IF($M1987=0,"",INDEX(Classes!$C$6:$C$420,$M1987))</f>
        <v/>
      </c>
      <c r="F1987" s="63"/>
      <c r="G1987" s="63"/>
      <c r="H1987" s="60"/>
      <c r="I1987" s="60"/>
      <c r="J1987" s="63"/>
      <c r="K1987" s="61" t="str">
        <f aca="false">IF($P1987=0,"",IF($F1987="Baseline","— Baseline",IF($O1987=0,"No result",IF($N1987=0,"No Start (attainment only)",IF(OR($N1987=1,$O1987=1),"U – needs rule",INDEX(MxBody,MATCH($I1987,MxCurr,0),MATCH($H1987,MxStart,0)))))))</f>
        <v/>
      </c>
      <c r="L1987" s="62" t="str">
        <f aca="false">IF(COUNTA($A1987,$F1987,$G1987,$H1987,$I1987,$J1987)=0,"",IF($M1987=0,"✖ كود الصف غير موجود",IF(ISNA(MATCH($F1987,Lists!$A$2:$A$5,0)),"✖ الفترة غير صحيحة",IF(ISNA(MATCH($G1987,Lists!$B$2:$B$7,0)),"✖ المجموعة غير صحيحة",IF(NOT(OR($H1987="",$N1987&gt;0)),"✖ Start غير صحيح",IF(NOT(OR($I1987="",$I1987="NR",$O1987&gt;0)),"✖ Current غير صحيح",IF(NOT(IF(ISNUMBER($J1987),AND($J1987&gt;=0,$J1987=INT($J1987)),FALSE())),"✖ العدد يجب أن يكون صحيحًا ≥ 0",IF(AND($F1987="Baseline",$H1987&lt;&gt;""),"⚠ Baseline: Start لا يدخل في التقدم",IF($K1987="No Start (attainment only)","ℹ تحصيل فقط (بدون Start)",IF($K1987="U – needs rule","ℹ حالة U تحتاج قاعدة معتمدة",IF($K1987="No result","ℹ بدون نتيجة (يُستبعد من التحصيل)","OK")))))))))))</f>
        <v/>
      </c>
      <c r="M1987" s="64" t="n">
        <f aca="false">IF($A1987="",0,IFERROR(MATCH($A1987,Classes!$A$6:$A$420,0),0))</f>
        <v>0</v>
      </c>
      <c r="N1987" s="64" t="n">
        <f aca="false">IF($H1987="",0,IFERROR(MATCH($H1987,GradeList,0),0))</f>
        <v>0</v>
      </c>
      <c r="O1987" s="64" t="n">
        <f aca="false">IF(OR($I1987="",$I1987="NR"),0,IFERROR(MATCH($I1987,GradeList,0),0))</f>
        <v>0</v>
      </c>
      <c r="P1987" s="64" t="n">
        <f aca="false">IF(AND($M1987&gt;0,ISNUMBER(MATCH($F1987,Lists!$A$2:$A$5,0)),ISNUMBER(MATCH($G1987,Lists!$B$2:$B$7,0)),OR($H1987="",$N1987&gt;0),OR($I1987="",$I1987="NR",$O1987&gt;0),IF(ISNUMBER($J1987),AND($J1987&gt;=0,$J1987=INT($J1987)),FALSE())),$J1987,0)</f>
        <v>0</v>
      </c>
      <c r="Q1987" s="64" t="n">
        <f aca="false">IF(AND($P1987&gt;0,$O1987&gt;0),$P1987,0)</f>
        <v>0</v>
      </c>
      <c r="R1987" s="64" t="n">
        <f aca="false">IF(AND($Q1987&gt;0,$O1987&gt;=AtRank),$Q1987,0)</f>
        <v>0</v>
      </c>
      <c r="S1987" s="64" t="n">
        <f aca="false">IF(AND($Q1987&gt;0,$O1987&gt;=AboveRank),$Q1987,0)</f>
        <v>0</v>
      </c>
      <c r="T1987" s="64" t="n">
        <f aca="false">IF($K1987="Less",$P1987,0)</f>
        <v>0</v>
      </c>
      <c r="U1987" s="64" t="n">
        <f aca="false">IF($K1987="Expected",$P1987,0)</f>
        <v>0</v>
      </c>
      <c r="V1987" s="64" t="n">
        <f aca="false">IF($K1987="Better",$P1987,0)</f>
        <v>0</v>
      </c>
      <c r="W1987" s="64" t="n">
        <f aca="false">IF($K1987="U – needs rule",$P1987,0)</f>
        <v>0</v>
      </c>
      <c r="X1987" s="64" t="n">
        <f aca="false">IF($K1987="No Start (attainment only)",$P1987,0)</f>
        <v>0</v>
      </c>
    </row>
    <row r="1988" customFormat="false" ht="15" hidden="false" customHeight="false" outlineLevel="0" collapsed="false">
      <c r="A1988" s="60"/>
      <c r="B1988" s="61" t="str">
        <f aca="false">IF($M1988=0,"",INDEX(Classes!$E$6:$E$420,$M1988))</f>
        <v/>
      </c>
      <c r="C1988" s="62" t="str">
        <f aca="false">IF($M1988=0,"",INDEX(Classes!$H$6:$H$420,$M1988))</f>
        <v/>
      </c>
      <c r="D1988" s="61" t="str">
        <f aca="false">IF($M1988=0,"",INDEX(Classes!$B$6:$B$420,$M1988))</f>
        <v/>
      </c>
      <c r="E1988" s="61" t="str">
        <f aca="false">IF($M1988=0,"",INDEX(Classes!$C$6:$C$420,$M1988))</f>
        <v/>
      </c>
      <c r="F1988" s="63"/>
      <c r="G1988" s="63"/>
      <c r="H1988" s="60"/>
      <c r="I1988" s="60"/>
      <c r="J1988" s="63"/>
      <c r="K1988" s="61" t="str">
        <f aca="false">IF($P1988=0,"",IF($F1988="Baseline","— Baseline",IF($O1988=0,"No result",IF($N1988=0,"No Start (attainment only)",IF(OR($N1988=1,$O1988=1),"U – needs rule",INDEX(MxBody,MATCH($I1988,MxCurr,0),MATCH($H1988,MxStart,0)))))))</f>
        <v/>
      </c>
      <c r="L1988" s="62" t="str">
        <f aca="false">IF(COUNTA($A1988,$F1988,$G1988,$H1988,$I1988,$J1988)=0,"",IF($M1988=0,"✖ كود الصف غير موجود",IF(ISNA(MATCH($F1988,Lists!$A$2:$A$5,0)),"✖ الفترة غير صحيحة",IF(ISNA(MATCH($G1988,Lists!$B$2:$B$7,0)),"✖ المجموعة غير صحيحة",IF(NOT(OR($H1988="",$N1988&gt;0)),"✖ Start غير صحيح",IF(NOT(OR($I1988="",$I1988="NR",$O1988&gt;0)),"✖ Current غير صحيح",IF(NOT(IF(ISNUMBER($J1988),AND($J1988&gt;=0,$J1988=INT($J1988)),FALSE())),"✖ العدد يجب أن يكون صحيحًا ≥ 0",IF(AND($F1988="Baseline",$H1988&lt;&gt;""),"⚠ Baseline: Start لا يدخل في التقدم",IF($K1988="No Start (attainment only)","ℹ تحصيل فقط (بدون Start)",IF($K1988="U – needs rule","ℹ حالة U تحتاج قاعدة معتمدة",IF($K1988="No result","ℹ بدون نتيجة (يُستبعد من التحصيل)","OK")))))))))))</f>
        <v/>
      </c>
      <c r="M1988" s="64" t="n">
        <f aca="false">IF($A1988="",0,IFERROR(MATCH($A1988,Classes!$A$6:$A$420,0),0))</f>
        <v>0</v>
      </c>
      <c r="N1988" s="64" t="n">
        <f aca="false">IF($H1988="",0,IFERROR(MATCH($H1988,GradeList,0),0))</f>
        <v>0</v>
      </c>
      <c r="O1988" s="64" t="n">
        <f aca="false">IF(OR($I1988="",$I1988="NR"),0,IFERROR(MATCH($I1988,GradeList,0),0))</f>
        <v>0</v>
      </c>
      <c r="P1988" s="64" t="n">
        <f aca="false">IF(AND($M1988&gt;0,ISNUMBER(MATCH($F1988,Lists!$A$2:$A$5,0)),ISNUMBER(MATCH($G1988,Lists!$B$2:$B$7,0)),OR($H1988="",$N1988&gt;0),OR($I1988="",$I1988="NR",$O1988&gt;0),IF(ISNUMBER($J1988),AND($J1988&gt;=0,$J1988=INT($J1988)),FALSE())),$J1988,0)</f>
        <v>0</v>
      </c>
      <c r="Q1988" s="64" t="n">
        <f aca="false">IF(AND($P1988&gt;0,$O1988&gt;0),$P1988,0)</f>
        <v>0</v>
      </c>
      <c r="R1988" s="64" t="n">
        <f aca="false">IF(AND($Q1988&gt;0,$O1988&gt;=AtRank),$Q1988,0)</f>
        <v>0</v>
      </c>
      <c r="S1988" s="64" t="n">
        <f aca="false">IF(AND($Q1988&gt;0,$O1988&gt;=AboveRank),$Q1988,0)</f>
        <v>0</v>
      </c>
      <c r="T1988" s="64" t="n">
        <f aca="false">IF($K1988="Less",$P1988,0)</f>
        <v>0</v>
      </c>
      <c r="U1988" s="64" t="n">
        <f aca="false">IF($K1988="Expected",$P1988,0)</f>
        <v>0</v>
      </c>
      <c r="V1988" s="64" t="n">
        <f aca="false">IF($K1988="Better",$P1988,0)</f>
        <v>0</v>
      </c>
      <c r="W1988" s="64" t="n">
        <f aca="false">IF($K1988="U – needs rule",$P1988,0)</f>
        <v>0</v>
      </c>
      <c r="X1988" s="64" t="n">
        <f aca="false">IF($K1988="No Start (attainment only)",$P1988,0)</f>
        <v>0</v>
      </c>
    </row>
    <row r="1989" customFormat="false" ht="15" hidden="false" customHeight="false" outlineLevel="0" collapsed="false">
      <c r="A1989" s="60"/>
      <c r="B1989" s="61" t="str">
        <f aca="false">IF($M1989=0,"",INDEX(Classes!$E$6:$E$420,$M1989))</f>
        <v/>
      </c>
      <c r="C1989" s="62" t="str">
        <f aca="false">IF($M1989=0,"",INDEX(Classes!$H$6:$H$420,$M1989))</f>
        <v/>
      </c>
      <c r="D1989" s="61" t="str">
        <f aca="false">IF($M1989=0,"",INDEX(Classes!$B$6:$B$420,$M1989))</f>
        <v/>
      </c>
      <c r="E1989" s="61" t="str">
        <f aca="false">IF($M1989=0,"",INDEX(Classes!$C$6:$C$420,$M1989))</f>
        <v/>
      </c>
      <c r="F1989" s="63"/>
      <c r="G1989" s="63"/>
      <c r="H1989" s="60"/>
      <c r="I1989" s="60"/>
      <c r="J1989" s="63"/>
      <c r="K1989" s="61" t="str">
        <f aca="false">IF($P1989=0,"",IF($F1989="Baseline","— Baseline",IF($O1989=0,"No result",IF($N1989=0,"No Start (attainment only)",IF(OR($N1989=1,$O1989=1),"U – needs rule",INDEX(MxBody,MATCH($I1989,MxCurr,0),MATCH($H1989,MxStart,0)))))))</f>
        <v/>
      </c>
      <c r="L1989" s="62" t="str">
        <f aca="false">IF(COUNTA($A1989,$F1989,$G1989,$H1989,$I1989,$J1989)=0,"",IF($M1989=0,"✖ كود الصف غير موجود",IF(ISNA(MATCH($F1989,Lists!$A$2:$A$5,0)),"✖ الفترة غير صحيحة",IF(ISNA(MATCH($G1989,Lists!$B$2:$B$7,0)),"✖ المجموعة غير صحيحة",IF(NOT(OR($H1989="",$N1989&gt;0)),"✖ Start غير صحيح",IF(NOT(OR($I1989="",$I1989="NR",$O1989&gt;0)),"✖ Current غير صحيح",IF(NOT(IF(ISNUMBER($J1989),AND($J1989&gt;=0,$J1989=INT($J1989)),FALSE())),"✖ العدد يجب أن يكون صحيحًا ≥ 0",IF(AND($F1989="Baseline",$H1989&lt;&gt;""),"⚠ Baseline: Start لا يدخل في التقدم",IF($K1989="No Start (attainment only)","ℹ تحصيل فقط (بدون Start)",IF($K1989="U – needs rule","ℹ حالة U تحتاج قاعدة معتمدة",IF($K1989="No result","ℹ بدون نتيجة (يُستبعد من التحصيل)","OK")))))))))))</f>
        <v/>
      </c>
      <c r="M1989" s="64" t="n">
        <f aca="false">IF($A1989="",0,IFERROR(MATCH($A1989,Classes!$A$6:$A$420,0),0))</f>
        <v>0</v>
      </c>
      <c r="N1989" s="64" t="n">
        <f aca="false">IF($H1989="",0,IFERROR(MATCH($H1989,GradeList,0),0))</f>
        <v>0</v>
      </c>
      <c r="O1989" s="64" t="n">
        <f aca="false">IF(OR($I1989="",$I1989="NR"),0,IFERROR(MATCH($I1989,GradeList,0),0))</f>
        <v>0</v>
      </c>
      <c r="P1989" s="64" t="n">
        <f aca="false">IF(AND($M1989&gt;0,ISNUMBER(MATCH($F1989,Lists!$A$2:$A$5,0)),ISNUMBER(MATCH($G1989,Lists!$B$2:$B$7,0)),OR($H1989="",$N1989&gt;0),OR($I1989="",$I1989="NR",$O1989&gt;0),IF(ISNUMBER($J1989),AND($J1989&gt;=0,$J1989=INT($J1989)),FALSE())),$J1989,0)</f>
        <v>0</v>
      </c>
      <c r="Q1989" s="64" t="n">
        <f aca="false">IF(AND($P1989&gt;0,$O1989&gt;0),$P1989,0)</f>
        <v>0</v>
      </c>
      <c r="R1989" s="64" t="n">
        <f aca="false">IF(AND($Q1989&gt;0,$O1989&gt;=AtRank),$Q1989,0)</f>
        <v>0</v>
      </c>
      <c r="S1989" s="64" t="n">
        <f aca="false">IF(AND($Q1989&gt;0,$O1989&gt;=AboveRank),$Q1989,0)</f>
        <v>0</v>
      </c>
      <c r="T1989" s="64" t="n">
        <f aca="false">IF($K1989="Less",$P1989,0)</f>
        <v>0</v>
      </c>
      <c r="U1989" s="64" t="n">
        <f aca="false">IF($K1989="Expected",$P1989,0)</f>
        <v>0</v>
      </c>
      <c r="V1989" s="64" t="n">
        <f aca="false">IF($K1989="Better",$P1989,0)</f>
        <v>0</v>
      </c>
      <c r="W1989" s="64" t="n">
        <f aca="false">IF($K1989="U – needs rule",$P1989,0)</f>
        <v>0</v>
      </c>
      <c r="X1989" s="64" t="n">
        <f aca="false">IF($K1989="No Start (attainment only)",$P1989,0)</f>
        <v>0</v>
      </c>
    </row>
    <row r="1990" customFormat="false" ht="15" hidden="false" customHeight="false" outlineLevel="0" collapsed="false">
      <c r="A1990" s="60"/>
      <c r="B1990" s="61" t="str">
        <f aca="false">IF($M1990=0,"",INDEX(Classes!$E$6:$E$420,$M1990))</f>
        <v/>
      </c>
      <c r="C1990" s="62" t="str">
        <f aca="false">IF($M1990=0,"",INDEX(Classes!$H$6:$H$420,$M1990))</f>
        <v/>
      </c>
      <c r="D1990" s="61" t="str">
        <f aca="false">IF($M1990=0,"",INDEX(Classes!$B$6:$B$420,$M1990))</f>
        <v/>
      </c>
      <c r="E1990" s="61" t="str">
        <f aca="false">IF($M1990=0,"",INDEX(Classes!$C$6:$C$420,$M1990))</f>
        <v/>
      </c>
      <c r="F1990" s="63"/>
      <c r="G1990" s="63"/>
      <c r="H1990" s="60"/>
      <c r="I1990" s="60"/>
      <c r="J1990" s="63"/>
      <c r="K1990" s="61" t="str">
        <f aca="false">IF($P1990=0,"",IF($F1990="Baseline","— Baseline",IF($O1990=0,"No result",IF($N1990=0,"No Start (attainment only)",IF(OR($N1990=1,$O1990=1),"U – needs rule",INDEX(MxBody,MATCH($I1990,MxCurr,0),MATCH($H1990,MxStart,0)))))))</f>
        <v/>
      </c>
      <c r="L1990" s="62" t="str">
        <f aca="false">IF(COUNTA($A1990,$F1990,$G1990,$H1990,$I1990,$J1990)=0,"",IF($M1990=0,"✖ كود الصف غير موجود",IF(ISNA(MATCH($F1990,Lists!$A$2:$A$5,0)),"✖ الفترة غير صحيحة",IF(ISNA(MATCH($G1990,Lists!$B$2:$B$7,0)),"✖ المجموعة غير صحيحة",IF(NOT(OR($H1990="",$N1990&gt;0)),"✖ Start غير صحيح",IF(NOT(OR($I1990="",$I1990="NR",$O1990&gt;0)),"✖ Current غير صحيح",IF(NOT(IF(ISNUMBER($J1990),AND($J1990&gt;=0,$J1990=INT($J1990)),FALSE())),"✖ العدد يجب أن يكون صحيحًا ≥ 0",IF(AND($F1990="Baseline",$H1990&lt;&gt;""),"⚠ Baseline: Start لا يدخل في التقدم",IF($K1990="No Start (attainment only)","ℹ تحصيل فقط (بدون Start)",IF($K1990="U – needs rule","ℹ حالة U تحتاج قاعدة معتمدة",IF($K1990="No result","ℹ بدون نتيجة (يُستبعد من التحصيل)","OK")))))))))))</f>
        <v/>
      </c>
      <c r="M1990" s="64" t="n">
        <f aca="false">IF($A1990="",0,IFERROR(MATCH($A1990,Classes!$A$6:$A$420,0),0))</f>
        <v>0</v>
      </c>
      <c r="N1990" s="64" t="n">
        <f aca="false">IF($H1990="",0,IFERROR(MATCH($H1990,GradeList,0),0))</f>
        <v>0</v>
      </c>
      <c r="O1990" s="64" t="n">
        <f aca="false">IF(OR($I1990="",$I1990="NR"),0,IFERROR(MATCH($I1990,GradeList,0),0))</f>
        <v>0</v>
      </c>
      <c r="P1990" s="64" t="n">
        <f aca="false">IF(AND($M1990&gt;0,ISNUMBER(MATCH($F1990,Lists!$A$2:$A$5,0)),ISNUMBER(MATCH($G1990,Lists!$B$2:$B$7,0)),OR($H1990="",$N1990&gt;0),OR($I1990="",$I1990="NR",$O1990&gt;0),IF(ISNUMBER($J1990),AND($J1990&gt;=0,$J1990=INT($J1990)),FALSE())),$J1990,0)</f>
        <v>0</v>
      </c>
      <c r="Q1990" s="64" t="n">
        <f aca="false">IF(AND($P1990&gt;0,$O1990&gt;0),$P1990,0)</f>
        <v>0</v>
      </c>
      <c r="R1990" s="64" t="n">
        <f aca="false">IF(AND($Q1990&gt;0,$O1990&gt;=AtRank),$Q1990,0)</f>
        <v>0</v>
      </c>
      <c r="S1990" s="64" t="n">
        <f aca="false">IF(AND($Q1990&gt;0,$O1990&gt;=AboveRank),$Q1990,0)</f>
        <v>0</v>
      </c>
      <c r="T1990" s="64" t="n">
        <f aca="false">IF($K1990="Less",$P1990,0)</f>
        <v>0</v>
      </c>
      <c r="U1990" s="64" t="n">
        <f aca="false">IF($K1990="Expected",$P1990,0)</f>
        <v>0</v>
      </c>
      <c r="V1990" s="64" t="n">
        <f aca="false">IF($K1990="Better",$P1990,0)</f>
        <v>0</v>
      </c>
      <c r="W1990" s="64" t="n">
        <f aca="false">IF($K1990="U – needs rule",$P1990,0)</f>
        <v>0</v>
      </c>
      <c r="X1990" s="64" t="n">
        <f aca="false">IF($K1990="No Start (attainment only)",$P1990,0)</f>
        <v>0</v>
      </c>
    </row>
    <row r="1991" customFormat="false" ht="15" hidden="false" customHeight="false" outlineLevel="0" collapsed="false">
      <c r="A1991" s="60"/>
      <c r="B1991" s="61" t="str">
        <f aca="false">IF($M1991=0,"",INDEX(Classes!$E$6:$E$420,$M1991))</f>
        <v/>
      </c>
      <c r="C1991" s="62" t="str">
        <f aca="false">IF($M1991=0,"",INDEX(Classes!$H$6:$H$420,$M1991))</f>
        <v/>
      </c>
      <c r="D1991" s="61" t="str">
        <f aca="false">IF($M1991=0,"",INDEX(Classes!$B$6:$B$420,$M1991))</f>
        <v/>
      </c>
      <c r="E1991" s="61" t="str">
        <f aca="false">IF($M1991=0,"",INDEX(Classes!$C$6:$C$420,$M1991))</f>
        <v/>
      </c>
      <c r="F1991" s="63"/>
      <c r="G1991" s="63"/>
      <c r="H1991" s="60"/>
      <c r="I1991" s="60"/>
      <c r="J1991" s="63"/>
      <c r="K1991" s="61" t="str">
        <f aca="false">IF($P1991=0,"",IF($F1991="Baseline","— Baseline",IF($O1991=0,"No result",IF($N1991=0,"No Start (attainment only)",IF(OR($N1991=1,$O1991=1),"U – needs rule",INDEX(MxBody,MATCH($I1991,MxCurr,0),MATCH($H1991,MxStart,0)))))))</f>
        <v/>
      </c>
      <c r="L1991" s="62" t="str">
        <f aca="false">IF(COUNTA($A1991,$F1991,$G1991,$H1991,$I1991,$J1991)=0,"",IF($M1991=0,"✖ كود الصف غير موجود",IF(ISNA(MATCH($F1991,Lists!$A$2:$A$5,0)),"✖ الفترة غير صحيحة",IF(ISNA(MATCH($G1991,Lists!$B$2:$B$7,0)),"✖ المجموعة غير صحيحة",IF(NOT(OR($H1991="",$N1991&gt;0)),"✖ Start غير صحيح",IF(NOT(OR($I1991="",$I1991="NR",$O1991&gt;0)),"✖ Current غير صحيح",IF(NOT(IF(ISNUMBER($J1991),AND($J1991&gt;=0,$J1991=INT($J1991)),FALSE())),"✖ العدد يجب أن يكون صحيحًا ≥ 0",IF(AND($F1991="Baseline",$H1991&lt;&gt;""),"⚠ Baseline: Start لا يدخل في التقدم",IF($K1991="No Start (attainment only)","ℹ تحصيل فقط (بدون Start)",IF($K1991="U – needs rule","ℹ حالة U تحتاج قاعدة معتمدة",IF($K1991="No result","ℹ بدون نتيجة (يُستبعد من التحصيل)","OK")))))))))))</f>
        <v/>
      </c>
      <c r="M1991" s="64" t="n">
        <f aca="false">IF($A1991="",0,IFERROR(MATCH($A1991,Classes!$A$6:$A$420,0),0))</f>
        <v>0</v>
      </c>
      <c r="N1991" s="64" t="n">
        <f aca="false">IF($H1991="",0,IFERROR(MATCH($H1991,GradeList,0),0))</f>
        <v>0</v>
      </c>
      <c r="O1991" s="64" t="n">
        <f aca="false">IF(OR($I1991="",$I1991="NR"),0,IFERROR(MATCH($I1991,GradeList,0),0))</f>
        <v>0</v>
      </c>
      <c r="P1991" s="64" t="n">
        <f aca="false">IF(AND($M1991&gt;0,ISNUMBER(MATCH($F1991,Lists!$A$2:$A$5,0)),ISNUMBER(MATCH($G1991,Lists!$B$2:$B$7,0)),OR($H1991="",$N1991&gt;0),OR($I1991="",$I1991="NR",$O1991&gt;0),IF(ISNUMBER($J1991),AND($J1991&gt;=0,$J1991=INT($J1991)),FALSE())),$J1991,0)</f>
        <v>0</v>
      </c>
      <c r="Q1991" s="64" t="n">
        <f aca="false">IF(AND($P1991&gt;0,$O1991&gt;0),$P1991,0)</f>
        <v>0</v>
      </c>
      <c r="R1991" s="64" t="n">
        <f aca="false">IF(AND($Q1991&gt;0,$O1991&gt;=AtRank),$Q1991,0)</f>
        <v>0</v>
      </c>
      <c r="S1991" s="64" t="n">
        <f aca="false">IF(AND($Q1991&gt;0,$O1991&gt;=AboveRank),$Q1991,0)</f>
        <v>0</v>
      </c>
      <c r="T1991" s="64" t="n">
        <f aca="false">IF($K1991="Less",$P1991,0)</f>
        <v>0</v>
      </c>
      <c r="U1991" s="64" t="n">
        <f aca="false">IF($K1991="Expected",$P1991,0)</f>
        <v>0</v>
      </c>
      <c r="V1991" s="64" t="n">
        <f aca="false">IF($K1991="Better",$P1991,0)</f>
        <v>0</v>
      </c>
      <c r="W1991" s="64" t="n">
        <f aca="false">IF($K1991="U – needs rule",$P1991,0)</f>
        <v>0</v>
      </c>
      <c r="X1991" s="64" t="n">
        <f aca="false">IF($K1991="No Start (attainment only)",$P1991,0)</f>
        <v>0</v>
      </c>
    </row>
    <row r="1992" customFormat="false" ht="15" hidden="false" customHeight="false" outlineLevel="0" collapsed="false">
      <c r="A1992" s="60"/>
      <c r="B1992" s="61" t="str">
        <f aca="false">IF($M1992=0,"",INDEX(Classes!$E$6:$E$420,$M1992))</f>
        <v/>
      </c>
      <c r="C1992" s="62" t="str">
        <f aca="false">IF($M1992=0,"",INDEX(Classes!$H$6:$H$420,$M1992))</f>
        <v/>
      </c>
      <c r="D1992" s="61" t="str">
        <f aca="false">IF($M1992=0,"",INDEX(Classes!$B$6:$B$420,$M1992))</f>
        <v/>
      </c>
      <c r="E1992" s="61" t="str">
        <f aca="false">IF($M1992=0,"",INDEX(Classes!$C$6:$C$420,$M1992))</f>
        <v/>
      </c>
      <c r="F1992" s="63"/>
      <c r="G1992" s="63"/>
      <c r="H1992" s="60"/>
      <c r="I1992" s="60"/>
      <c r="J1992" s="63"/>
      <c r="K1992" s="61" t="str">
        <f aca="false">IF($P1992=0,"",IF($F1992="Baseline","— Baseline",IF($O1992=0,"No result",IF($N1992=0,"No Start (attainment only)",IF(OR($N1992=1,$O1992=1),"U – needs rule",INDEX(MxBody,MATCH($I1992,MxCurr,0),MATCH($H1992,MxStart,0)))))))</f>
        <v/>
      </c>
      <c r="L1992" s="62" t="str">
        <f aca="false">IF(COUNTA($A1992,$F1992,$G1992,$H1992,$I1992,$J1992)=0,"",IF($M1992=0,"✖ كود الصف غير موجود",IF(ISNA(MATCH($F1992,Lists!$A$2:$A$5,0)),"✖ الفترة غير صحيحة",IF(ISNA(MATCH($G1992,Lists!$B$2:$B$7,0)),"✖ المجموعة غير صحيحة",IF(NOT(OR($H1992="",$N1992&gt;0)),"✖ Start غير صحيح",IF(NOT(OR($I1992="",$I1992="NR",$O1992&gt;0)),"✖ Current غير صحيح",IF(NOT(IF(ISNUMBER($J1992),AND($J1992&gt;=0,$J1992=INT($J1992)),FALSE())),"✖ العدد يجب أن يكون صحيحًا ≥ 0",IF(AND($F1992="Baseline",$H1992&lt;&gt;""),"⚠ Baseline: Start لا يدخل في التقدم",IF($K1992="No Start (attainment only)","ℹ تحصيل فقط (بدون Start)",IF($K1992="U – needs rule","ℹ حالة U تحتاج قاعدة معتمدة",IF($K1992="No result","ℹ بدون نتيجة (يُستبعد من التحصيل)","OK")))))))))))</f>
        <v/>
      </c>
      <c r="M1992" s="64" t="n">
        <f aca="false">IF($A1992="",0,IFERROR(MATCH($A1992,Classes!$A$6:$A$420,0),0))</f>
        <v>0</v>
      </c>
      <c r="N1992" s="64" t="n">
        <f aca="false">IF($H1992="",0,IFERROR(MATCH($H1992,GradeList,0),0))</f>
        <v>0</v>
      </c>
      <c r="O1992" s="64" t="n">
        <f aca="false">IF(OR($I1992="",$I1992="NR"),0,IFERROR(MATCH($I1992,GradeList,0),0))</f>
        <v>0</v>
      </c>
      <c r="P1992" s="64" t="n">
        <f aca="false">IF(AND($M1992&gt;0,ISNUMBER(MATCH($F1992,Lists!$A$2:$A$5,0)),ISNUMBER(MATCH($G1992,Lists!$B$2:$B$7,0)),OR($H1992="",$N1992&gt;0),OR($I1992="",$I1992="NR",$O1992&gt;0),IF(ISNUMBER($J1992),AND($J1992&gt;=0,$J1992=INT($J1992)),FALSE())),$J1992,0)</f>
        <v>0</v>
      </c>
      <c r="Q1992" s="64" t="n">
        <f aca="false">IF(AND($P1992&gt;0,$O1992&gt;0),$P1992,0)</f>
        <v>0</v>
      </c>
      <c r="R1992" s="64" t="n">
        <f aca="false">IF(AND($Q1992&gt;0,$O1992&gt;=AtRank),$Q1992,0)</f>
        <v>0</v>
      </c>
      <c r="S1992" s="64" t="n">
        <f aca="false">IF(AND($Q1992&gt;0,$O1992&gt;=AboveRank),$Q1992,0)</f>
        <v>0</v>
      </c>
      <c r="T1992" s="64" t="n">
        <f aca="false">IF($K1992="Less",$P1992,0)</f>
        <v>0</v>
      </c>
      <c r="U1992" s="64" t="n">
        <f aca="false">IF($K1992="Expected",$P1992,0)</f>
        <v>0</v>
      </c>
      <c r="V1992" s="64" t="n">
        <f aca="false">IF($K1992="Better",$P1992,0)</f>
        <v>0</v>
      </c>
      <c r="W1992" s="64" t="n">
        <f aca="false">IF($K1992="U – needs rule",$P1992,0)</f>
        <v>0</v>
      </c>
      <c r="X1992" s="64" t="n">
        <f aca="false">IF($K1992="No Start (attainment only)",$P1992,0)</f>
        <v>0</v>
      </c>
    </row>
    <row r="1993" customFormat="false" ht="15" hidden="false" customHeight="false" outlineLevel="0" collapsed="false">
      <c r="A1993" s="60"/>
      <c r="B1993" s="61" t="str">
        <f aca="false">IF($M1993=0,"",INDEX(Classes!$E$6:$E$420,$M1993))</f>
        <v/>
      </c>
      <c r="C1993" s="62" t="str">
        <f aca="false">IF($M1993=0,"",INDEX(Classes!$H$6:$H$420,$M1993))</f>
        <v/>
      </c>
      <c r="D1993" s="61" t="str">
        <f aca="false">IF($M1993=0,"",INDEX(Classes!$B$6:$B$420,$M1993))</f>
        <v/>
      </c>
      <c r="E1993" s="61" t="str">
        <f aca="false">IF($M1993=0,"",INDEX(Classes!$C$6:$C$420,$M1993))</f>
        <v/>
      </c>
      <c r="F1993" s="63"/>
      <c r="G1993" s="63"/>
      <c r="H1993" s="60"/>
      <c r="I1993" s="60"/>
      <c r="J1993" s="63"/>
      <c r="K1993" s="61" t="str">
        <f aca="false">IF($P1993=0,"",IF($F1993="Baseline","— Baseline",IF($O1993=0,"No result",IF($N1993=0,"No Start (attainment only)",IF(OR($N1993=1,$O1993=1),"U – needs rule",INDEX(MxBody,MATCH($I1993,MxCurr,0),MATCH($H1993,MxStart,0)))))))</f>
        <v/>
      </c>
      <c r="L1993" s="62" t="str">
        <f aca="false">IF(COUNTA($A1993,$F1993,$G1993,$H1993,$I1993,$J1993)=0,"",IF($M1993=0,"✖ كود الصف غير موجود",IF(ISNA(MATCH($F1993,Lists!$A$2:$A$5,0)),"✖ الفترة غير صحيحة",IF(ISNA(MATCH($G1993,Lists!$B$2:$B$7,0)),"✖ المجموعة غير صحيحة",IF(NOT(OR($H1993="",$N1993&gt;0)),"✖ Start غير صحيح",IF(NOT(OR($I1993="",$I1993="NR",$O1993&gt;0)),"✖ Current غير صحيح",IF(NOT(IF(ISNUMBER($J1993),AND($J1993&gt;=0,$J1993=INT($J1993)),FALSE())),"✖ العدد يجب أن يكون صحيحًا ≥ 0",IF(AND($F1993="Baseline",$H1993&lt;&gt;""),"⚠ Baseline: Start لا يدخل في التقدم",IF($K1993="No Start (attainment only)","ℹ تحصيل فقط (بدون Start)",IF($K1993="U – needs rule","ℹ حالة U تحتاج قاعدة معتمدة",IF($K1993="No result","ℹ بدون نتيجة (يُستبعد من التحصيل)","OK")))))))))))</f>
        <v/>
      </c>
      <c r="M1993" s="64" t="n">
        <f aca="false">IF($A1993="",0,IFERROR(MATCH($A1993,Classes!$A$6:$A$420,0),0))</f>
        <v>0</v>
      </c>
      <c r="N1993" s="64" t="n">
        <f aca="false">IF($H1993="",0,IFERROR(MATCH($H1993,GradeList,0),0))</f>
        <v>0</v>
      </c>
      <c r="O1993" s="64" t="n">
        <f aca="false">IF(OR($I1993="",$I1993="NR"),0,IFERROR(MATCH($I1993,GradeList,0),0))</f>
        <v>0</v>
      </c>
      <c r="P1993" s="64" t="n">
        <f aca="false">IF(AND($M1993&gt;0,ISNUMBER(MATCH($F1993,Lists!$A$2:$A$5,0)),ISNUMBER(MATCH($G1993,Lists!$B$2:$B$7,0)),OR($H1993="",$N1993&gt;0),OR($I1993="",$I1993="NR",$O1993&gt;0),IF(ISNUMBER($J1993),AND($J1993&gt;=0,$J1993=INT($J1993)),FALSE())),$J1993,0)</f>
        <v>0</v>
      </c>
      <c r="Q1993" s="64" t="n">
        <f aca="false">IF(AND($P1993&gt;0,$O1993&gt;0),$P1993,0)</f>
        <v>0</v>
      </c>
      <c r="R1993" s="64" t="n">
        <f aca="false">IF(AND($Q1993&gt;0,$O1993&gt;=AtRank),$Q1993,0)</f>
        <v>0</v>
      </c>
      <c r="S1993" s="64" t="n">
        <f aca="false">IF(AND($Q1993&gt;0,$O1993&gt;=AboveRank),$Q1993,0)</f>
        <v>0</v>
      </c>
      <c r="T1993" s="64" t="n">
        <f aca="false">IF($K1993="Less",$P1993,0)</f>
        <v>0</v>
      </c>
      <c r="U1993" s="64" t="n">
        <f aca="false">IF($K1993="Expected",$P1993,0)</f>
        <v>0</v>
      </c>
      <c r="V1993" s="64" t="n">
        <f aca="false">IF($K1993="Better",$P1993,0)</f>
        <v>0</v>
      </c>
      <c r="W1993" s="64" t="n">
        <f aca="false">IF($K1993="U – needs rule",$P1993,0)</f>
        <v>0</v>
      </c>
      <c r="X1993" s="64" t="n">
        <f aca="false">IF($K1993="No Start (attainment only)",$P1993,0)</f>
        <v>0</v>
      </c>
    </row>
    <row r="1994" customFormat="false" ht="15" hidden="false" customHeight="false" outlineLevel="0" collapsed="false">
      <c r="A1994" s="60"/>
      <c r="B1994" s="61" t="str">
        <f aca="false">IF($M1994=0,"",INDEX(Classes!$E$6:$E$420,$M1994))</f>
        <v/>
      </c>
      <c r="C1994" s="62" t="str">
        <f aca="false">IF($M1994=0,"",INDEX(Classes!$H$6:$H$420,$M1994))</f>
        <v/>
      </c>
      <c r="D1994" s="61" t="str">
        <f aca="false">IF($M1994=0,"",INDEX(Classes!$B$6:$B$420,$M1994))</f>
        <v/>
      </c>
      <c r="E1994" s="61" t="str">
        <f aca="false">IF($M1994=0,"",INDEX(Classes!$C$6:$C$420,$M1994))</f>
        <v/>
      </c>
      <c r="F1994" s="63"/>
      <c r="G1994" s="63"/>
      <c r="H1994" s="60"/>
      <c r="I1994" s="60"/>
      <c r="J1994" s="63"/>
      <c r="K1994" s="61" t="str">
        <f aca="false">IF($P1994=0,"",IF($F1994="Baseline","— Baseline",IF($O1994=0,"No result",IF($N1994=0,"No Start (attainment only)",IF(OR($N1994=1,$O1994=1),"U – needs rule",INDEX(MxBody,MATCH($I1994,MxCurr,0),MATCH($H1994,MxStart,0)))))))</f>
        <v/>
      </c>
      <c r="L1994" s="62" t="str">
        <f aca="false">IF(COUNTA($A1994,$F1994,$G1994,$H1994,$I1994,$J1994)=0,"",IF($M1994=0,"✖ كود الصف غير موجود",IF(ISNA(MATCH($F1994,Lists!$A$2:$A$5,0)),"✖ الفترة غير صحيحة",IF(ISNA(MATCH($G1994,Lists!$B$2:$B$7,0)),"✖ المجموعة غير صحيحة",IF(NOT(OR($H1994="",$N1994&gt;0)),"✖ Start غير صحيح",IF(NOT(OR($I1994="",$I1994="NR",$O1994&gt;0)),"✖ Current غير صحيح",IF(NOT(IF(ISNUMBER($J1994),AND($J1994&gt;=0,$J1994=INT($J1994)),FALSE())),"✖ العدد يجب أن يكون صحيحًا ≥ 0",IF(AND($F1994="Baseline",$H1994&lt;&gt;""),"⚠ Baseline: Start لا يدخل في التقدم",IF($K1994="No Start (attainment only)","ℹ تحصيل فقط (بدون Start)",IF($K1994="U – needs rule","ℹ حالة U تحتاج قاعدة معتمدة",IF($K1994="No result","ℹ بدون نتيجة (يُستبعد من التحصيل)","OK")))))))))))</f>
        <v/>
      </c>
      <c r="M1994" s="64" t="n">
        <f aca="false">IF($A1994="",0,IFERROR(MATCH($A1994,Classes!$A$6:$A$420,0),0))</f>
        <v>0</v>
      </c>
      <c r="N1994" s="64" t="n">
        <f aca="false">IF($H1994="",0,IFERROR(MATCH($H1994,GradeList,0),0))</f>
        <v>0</v>
      </c>
      <c r="O1994" s="64" t="n">
        <f aca="false">IF(OR($I1994="",$I1994="NR"),0,IFERROR(MATCH($I1994,GradeList,0),0))</f>
        <v>0</v>
      </c>
      <c r="P1994" s="64" t="n">
        <f aca="false">IF(AND($M1994&gt;0,ISNUMBER(MATCH($F1994,Lists!$A$2:$A$5,0)),ISNUMBER(MATCH($G1994,Lists!$B$2:$B$7,0)),OR($H1994="",$N1994&gt;0),OR($I1994="",$I1994="NR",$O1994&gt;0),IF(ISNUMBER($J1994),AND($J1994&gt;=0,$J1994=INT($J1994)),FALSE())),$J1994,0)</f>
        <v>0</v>
      </c>
      <c r="Q1994" s="64" t="n">
        <f aca="false">IF(AND($P1994&gt;0,$O1994&gt;0),$P1994,0)</f>
        <v>0</v>
      </c>
      <c r="R1994" s="64" t="n">
        <f aca="false">IF(AND($Q1994&gt;0,$O1994&gt;=AtRank),$Q1994,0)</f>
        <v>0</v>
      </c>
      <c r="S1994" s="64" t="n">
        <f aca="false">IF(AND($Q1994&gt;0,$O1994&gt;=AboveRank),$Q1994,0)</f>
        <v>0</v>
      </c>
      <c r="T1994" s="64" t="n">
        <f aca="false">IF($K1994="Less",$P1994,0)</f>
        <v>0</v>
      </c>
      <c r="U1994" s="64" t="n">
        <f aca="false">IF($K1994="Expected",$P1994,0)</f>
        <v>0</v>
      </c>
      <c r="V1994" s="64" t="n">
        <f aca="false">IF($K1994="Better",$P1994,0)</f>
        <v>0</v>
      </c>
      <c r="W1994" s="64" t="n">
        <f aca="false">IF($K1994="U – needs rule",$P1994,0)</f>
        <v>0</v>
      </c>
      <c r="X1994" s="64" t="n">
        <f aca="false">IF($K1994="No Start (attainment only)",$P1994,0)</f>
        <v>0</v>
      </c>
    </row>
    <row r="1995" customFormat="false" ht="15" hidden="false" customHeight="false" outlineLevel="0" collapsed="false">
      <c r="A1995" s="60"/>
      <c r="B1995" s="61" t="str">
        <f aca="false">IF($M1995=0,"",INDEX(Classes!$E$6:$E$420,$M1995))</f>
        <v/>
      </c>
      <c r="C1995" s="62" t="str">
        <f aca="false">IF($M1995=0,"",INDEX(Classes!$H$6:$H$420,$M1995))</f>
        <v/>
      </c>
      <c r="D1995" s="61" t="str">
        <f aca="false">IF($M1995=0,"",INDEX(Classes!$B$6:$B$420,$M1995))</f>
        <v/>
      </c>
      <c r="E1995" s="61" t="str">
        <f aca="false">IF($M1995=0,"",INDEX(Classes!$C$6:$C$420,$M1995))</f>
        <v/>
      </c>
      <c r="F1995" s="63"/>
      <c r="G1995" s="63"/>
      <c r="H1995" s="60"/>
      <c r="I1995" s="60"/>
      <c r="J1995" s="63"/>
      <c r="K1995" s="61" t="str">
        <f aca="false">IF($P1995=0,"",IF($F1995="Baseline","— Baseline",IF($O1995=0,"No result",IF($N1995=0,"No Start (attainment only)",IF(OR($N1995=1,$O1995=1),"U – needs rule",INDEX(MxBody,MATCH($I1995,MxCurr,0),MATCH($H1995,MxStart,0)))))))</f>
        <v/>
      </c>
      <c r="L1995" s="62" t="str">
        <f aca="false">IF(COUNTA($A1995,$F1995,$G1995,$H1995,$I1995,$J1995)=0,"",IF($M1995=0,"✖ كود الصف غير موجود",IF(ISNA(MATCH($F1995,Lists!$A$2:$A$5,0)),"✖ الفترة غير صحيحة",IF(ISNA(MATCH($G1995,Lists!$B$2:$B$7,0)),"✖ المجموعة غير صحيحة",IF(NOT(OR($H1995="",$N1995&gt;0)),"✖ Start غير صحيح",IF(NOT(OR($I1995="",$I1995="NR",$O1995&gt;0)),"✖ Current غير صحيح",IF(NOT(IF(ISNUMBER($J1995),AND($J1995&gt;=0,$J1995=INT($J1995)),FALSE())),"✖ العدد يجب أن يكون صحيحًا ≥ 0",IF(AND($F1995="Baseline",$H1995&lt;&gt;""),"⚠ Baseline: Start لا يدخل في التقدم",IF($K1995="No Start (attainment only)","ℹ تحصيل فقط (بدون Start)",IF($K1995="U – needs rule","ℹ حالة U تحتاج قاعدة معتمدة",IF($K1995="No result","ℹ بدون نتيجة (يُستبعد من التحصيل)","OK")))))))))))</f>
        <v/>
      </c>
      <c r="M1995" s="64" t="n">
        <f aca="false">IF($A1995="",0,IFERROR(MATCH($A1995,Classes!$A$6:$A$420,0),0))</f>
        <v>0</v>
      </c>
      <c r="N1995" s="64" t="n">
        <f aca="false">IF($H1995="",0,IFERROR(MATCH($H1995,GradeList,0),0))</f>
        <v>0</v>
      </c>
      <c r="O1995" s="64" t="n">
        <f aca="false">IF(OR($I1995="",$I1995="NR"),0,IFERROR(MATCH($I1995,GradeList,0),0))</f>
        <v>0</v>
      </c>
      <c r="P1995" s="64" t="n">
        <f aca="false">IF(AND($M1995&gt;0,ISNUMBER(MATCH($F1995,Lists!$A$2:$A$5,0)),ISNUMBER(MATCH($G1995,Lists!$B$2:$B$7,0)),OR($H1995="",$N1995&gt;0),OR($I1995="",$I1995="NR",$O1995&gt;0),IF(ISNUMBER($J1995),AND($J1995&gt;=0,$J1995=INT($J1995)),FALSE())),$J1995,0)</f>
        <v>0</v>
      </c>
      <c r="Q1995" s="64" t="n">
        <f aca="false">IF(AND($P1995&gt;0,$O1995&gt;0),$P1995,0)</f>
        <v>0</v>
      </c>
      <c r="R1995" s="64" t="n">
        <f aca="false">IF(AND($Q1995&gt;0,$O1995&gt;=AtRank),$Q1995,0)</f>
        <v>0</v>
      </c>
      <c r="S1995" s="64" t="n">
        <f aca="false">IF(AND($Q1995&gt;0,$O1995&gt;=AboveRank),$Q1995,0)</f>
        <v>0</v>
      </c>
      <c r="T1995" s="64" t="n">
        <f aca="false">IF($K1995="Less",$P1995,0)</f>
        <v>0</v>
      </c>
      <c r="U1995" s="64" t="n">
        <f aca="false">IF($K1995="Expected",$P1995,0)</f>
        <v>0</v>
      </c>
      <c r="V1995" s="64" t="n">
        <f aca="false">IF($K1995="Better",$P1995,0)</f>
        <v>0</v>
      </c>
      <c r="W1995" s="64" t="n">
        <f aca="false">IF($K1995="U – needs rule",$P1995,0)</f>
        <v>0</v>
      </c>
      <c r="X1995" s="64" t="n">
        <f aca="false">IF($K1995="No Start (attainment only)",$P1995,0)</f>
        <v>0</v>
      </c>
    </row>
    <row r="1996" customFormat="false" ht="15" hidden="false" customHeight="false" outlineLevel="0" collapsed="false">
      <c r="A1996" s="60"/>
      <c r="B1996" s="61" t="str">
        <f aca="false">IF($M1996=0,"",INDEX(Classes!$E$6:$E$420,$M1996))</f>
        <v/>
      </c>
      <c r="C1996" s="62" t="str">
        <f aca="false">IF($M1996=0,"",INDEX(Classes!$H$6:$H$420,$M1996))</f>
        <v/>
      </c>
      <c r="D1996" s="61" t="str">
        <f aca="false">IF($M1996=0,"",INDEX(Classes!$B$6:$B$420,$M1996))</f>
        <v/>
      </c>
      <c r="E1996" s="61" t="str">
        <f aca="false">IF($M1996=0,"",INDEX(Classes!$C$6:$C$420,$M1996))</f>
        <v/>
      </c>
      <c r="F1996" s="63"/>
      <c r="G1996" s="63"/>
      <c r="H1996" s="60"/>
      <c r="I1996" s="60"/>
      <c r="J1996" s="63"/>
      <c r="K1996" s="61" t="str">
        <f aca="false">IF($P1996=0,"",IF($F1996="Baseline","— Baseline",IF($O1996=0,"No result",IF($N1996=0,"No Start (attainment only)",IF(OR($N1996=1,$O1996=1),"U – needs rule",INDEX(MxBody,MATCH($I1996,MxCurr,0),MATCH($H1996,MxStart,0)))))))</f>
        <v/>
      </c>
      <c r="L1996" s="62" t="str">
        <f aca="false">IF(COUNTA($A1996,$F1996,$G1996,$H1996,$I1996,$J1996)=0,"",IF($M1996=0,"✖ كود الصف غير موجود",IF(ISNA(MATCH($F1996,Lists!$A$2:$A$5,0)),"✖ الفترة غير صحيحة",IF(ISNA(MATCH($G1996,Lists!$B$2:$B$7,0)),"✖ المجموعة غير صحيحة",IF(NOT(OR($H1996="",$N1996&gt;0)),"✖ Start غير صحيح",IF(NOT(OR($I1996="",$I1996="NR",$O1996&gt;0)),"✖ Current غير صحيح",IF(NOT(IF(ISNUMBER($J1996),AND($J1996&gt;=0,$J1996=INT($J1996)),FALSE())),"✖ العدد يجب أن يكون صحيحًا ≥ 0",IF(AND($F1996="Baseline",$H1996&lt;&gt;""),"⚠ Baseline: Start لا يدخل في التقدم",IF($K1996="No Start (attainment only)","ℹ تحصيل فقط (بدون Start)",IF($K1996="U – needs rule","ℹ حالة U تحتاج قاعدة معتمدة",IF($K1996="No result","ℹ بدون نتيجة (يُستبعد من التحصيل)","OK")))))))))))</f>
        <v/>
      </c>
      <c r="M1996" s="64" t="n">
        <f aca="false">IF($A1996="",0,IFERROR(MATCH($A1996,Classes!$A$6:$A$420,0),0))</f>
        <v>0</v>
      </c>
      <c r="N1996" s="64" t="n">
        <f aca="false">IF($H1996="",0,IFERROR(MATCH($H1996,GradeList,0),0))</f>
        <v>0</v>
      </c>
      <c r="O1996" s="64" t="n">
        <f aca="false">IF(OR($I1996="",$I1996="NR"),0,IFERROR(MATCH($I1996,GradeList,0),0))</f>
        <v>0</v>
      </c>
      <c r="P1996" s="64" t="n">
        <f aca="false">IF(AND($M1996&gt;0,ISNUMBER(MATCH($F1996,Lists!$A$2:$A$5,0)),ISNUMBER(MATCH($G1996,Lists!$B$2:$B$7,0)),OR($H1996="",$N1996&gt;0),OR($I1996="",$I1996="NR",$O1996&gt;0),IF(ISNUMBER($J1996),AND($J1996&gt;=0,$J1996=INT($J1996)),FALSE())),$J1996,0)</f>
        <v>0</v>
      </c>
      <c r="Q1996" s="64" t="n">
        <f aca="false">IF(AND($P1996&gt;0,$O1996&gt;0),$P1996,0)</f>
        <v>0</v>
      </c>
      <c r="R1996" s="64" t="n">
        <f aca="false">IF(AND($Q1996&gt;0,$O1996&gt;=AtRank),$Q1996,0)</f>
        <v>0</v>
      </c>
      <c r="S1996" s="64" t="n">
        <f aca="false">IF(AND($Q1996&gt;0,$O1996&gt;=AboveRank),$Q1996,0)</f>
        <v>0</v>
      </c>
      <c r="T1996" s="64" t="n">
        <f aca="false">IF($K1996="Less",$P1996,0)</f>
        <v>0</v>
      </c>
      <c r="U1996" s="64" t="n">
        <f aca="false">IF($K1996="Expected",$P1996,0)</f>
        <v>0</v>
      </c>
      <c r="V1996" s="64" t="n">
        <f aca="false">IF($K1996="Better",$P1996,0)</f>
        <v>0</v>
      </c>
      <c r="W1996" s="64" t="n">
        <f aca="false">IF($K1996="U – needs rule",$P1996,0)</f>
        <v>0</v>
      </c>
      <c r="X1996" s="64" t="n">
        <f aca="false">IF($K1996="No Start (attainment only)",$P1996,0)</f>
        <v>0</v>
      </c>
    </row>
    <row r="1997" customFormat="false" ht="15" hidden="false" customHeight="false" outlineLevel="0" collapsed="false">
      <c r="A1997" s="60"/>
      <c r="B1997" s="61" t="str">
        <f aca="false">IF($M1997=0,"",INDEX(Classes!$E$6:$E$420,$M1997))</f>
        <v/>
      </c>
      <c r="C1997" s="62" t="str">
        <f aca="false">IF($M1997=0,"",INDEX(Classes!$H$6:$H$420,$M1997))</f>
        <v/>
      </c>
      <c r="D1997" s="61" t="str">
        <f aca="false">IF($M1997=0,"",INDEX(Classes!$B$6:$B$420,$M1997))</f>
        <v/>
      </c>
      <c r="E1997" s="61" t="str">
        <f aca="false">IF($M1997=0,"",INDEX(Classes!$C$6:$C$420,$M1997))</f>
        <v/>
      </c>
      <c r="F1997" s="63"/>
      <c r="G1997" s="63"/>
      <c r="H1997" s="60"/>
      <c r="I1997" s="60"/>
      <c r="J1997" s="63"/>
      <c r="K1997" s="61" t="str">
        <f aca="false">IF($P1997=0,"",IF($F1997="Baseline","— Baseline",IF($O1997=0,"No result",IF($N1997=0,"No Start (attainment only)",IF(OR($N1997=1,$O1997=1),"U – needs rule",INDEX(MxBody,MATCH($I1997,MxCurr,0),MATCH($H1997,MxStart,0)))))))</f>
        <v/>
      </c>
      <c r="L1997" s="62" t="str">
        <f aca="false">IF(COUNTA($A1997,$F1997,$G1997,$H1997,$I1997,$J1997)=0,"",IF($M1997=0,"✖ كود الصف غير موجود",IF(ISNA(MATCH($F1997,Lists!$A$2:$A$5,0)),"✖ الفترة غير صحيحة",IF(ISNA(MATCH($G1997,Lists!$B$2:$B$7,0)),"✖ المجموعة غير صحيحة",IF(NOT(OR($H1997="",$N1997&gt;0)),"✖ Start غير صحيح",IF(NOT(OR($I1997="",$I1997="NR",$O1997&gt;0)),"✖ Current غير صحيح",IF(NOT(IF(ISNUMBER($J1997),AND($J1997&gt;=0,$J1997=INT($J1997)),FALSE())),"✖ العدد يجب أن يكون صحيحًا ≥ 0",IF(AND($F1997="Baseline",$H1997&lt;&gt;""),"⚠ Baseline: Start لا يدخل في التقدم",IF($K1997="No Start (attainment only)","ℹ تحصيل فقط (بدون Start)",IF($K1997="U – needs rule","ℹ حالة U تحتاج قاعدة معتمدة",IF($K1997="No result","ℹ بدون نتيجة (يُستبعد من التحصيل)","OK")))))))))))</f>
        <v/>
      </c>
      <c r="M1997" s="64" t="n">
        <f aca="false">IF($A1997="",0,IFERROR(MATCH($A1997,Classes!$A$6:$A$420,0),0))</f>
        <v>0</v>
      </c>
      <c r="N1997" s="64" t="n">
        <f aca="false">IF($H1997="",0,IFERROR(MATCH($H1997,GradeList,0),0))</f>
        <v>0</v>
      </c>
      <c r="O1997" s="64" t="n">
        <f aca="false">IF(OR($I1997="",$I1997="NR"),0,IFERROR(MATCH($I1997,GradeList,0),0))</f>
        <v>0</v>
      </c>
      <c r="P1997" s="64" t="n">
        <f aca="false">IF(AND($M1997&gt;0,ISNUMBER(MATCH($F1997,Lists!$A$2:$A$5,0)),ISNUMBER(MATCH($G1997,Lists!$B$2:$B$7,0)),OR($H1997="",$N1997&gt;0),OR($I1997="",$I1997="NR",$O1997&gt;0),IF(ISNUMBER($J1997),AND($J1997&gt;=0,$J1997=INT($J1997)),FALSE())),$J1997,0)</f>
        <v>0</v>
      </c>
      <c r="Q1997" s="64" t="n">
        <f aca="false">IF(AND($P1997&gt;0,$O1997&gt;0),$P1997,0)</f>
        <v>0</v>
      </c>
      <c r="R1997" s="64" t="n">
        <f aca="false">IF(AND($Q1997&gt;0,$O1997&gt;=AtRank),$Q1997,0)</f>
        <v>0</v>
      </c>
      <c r="S1997" s="64" t="n">
        <f aca="false">IF(AND($Q1997&gt;0,$O1997&gt;=AboveRank),$Q1997,0)</f>
        <v>0</v>
      </c>
      <c r="T1997" s="64" t="n">
        <f aca="false">IF($K1997="Less",$P1997,0)</f>
        <v>0</v>
      </c>
      <c r="U1997" s="64" t="n">
        <f aca="false">IF($K1997="Expected",$P1997,0)</f>
        <v>0</v>
      </c>
      <c r="V1997" s="64" t="n">
        <f aca="false">IF($K1997="Better",$P1997,0)</f>
        <v>0</v>
      </c>
      <c r="W1997" s="64" t="n">
        <f aca="false">IF($K1997="U – needs rule",$P1997,0)</f>
        <v>0</v>
      </c>
      <c r="X1997" s="64" t="n">
        <f aca="false">IF($K1997="No Start (attainment only)",$P1997,0)</f>
        <v>0</v>
      </c>
    </row>
    <row r="1998" customFormat="false" ht="15" hidden="false" customHeight="false" outlineLevel="0" collapsed="false">
      <c r="A1998" s="60"/>
      <c r="B1998" s="61" t="str">
        <f aca="false">IF($M1998=0,"",INDEX(Classes!$E$6:$E$420,$M1998))</f>
        <v/>
      </c>
      <c r="C1998" s="62" t="str">
        <f aca="false">IF($M1998=0,"",INDEX(Classes!$H$6:$H$420,$M1998))</f>
        <v/>
      </c>
      <c r="D1998" s="61" t="str">
        <f aca="false">IF($M1998=0,"",INDEX(Classes!$B$6:$B$420,$M1998))</f>
        <v/>
      </c>
      <c r="E1998" s="61" t="str">
        <f aca="false">IF($M1998=0,"",INDEX(Classes!$C$6:$C$420,$M1998))</f>
        <v/>
      </c>
      <c r="F1998" s="63"/>
      <c r="G1998" s="63"/>
      <c r="H1998" s="60"/>
      <c r="I1998" s="60"/>
      <c r="J1998" s="63"/>
      <c r="K1998" s="61" t="str">
        <f aca="false">IF($P1998=0,"",IF($F1998="Baseline","— Baseline",IF($O1998=0,"No result",IF($N1998=0,"No Start (attainment only)",IF(OR($N1998=1,$O1998=1),"U – needs rule",INDEX(MxBody,MATCH($I1998,MxCurr,0),MATCH($H1998,MxStart,0)))))))</f>
        <v/>
      </c>
      <c r="L1998" s="62" t="str">
        <f aca="false">IF(COUNTA($A1998,$F1998,$G1998,$H1998,$I1998,$J1998)=0,"",IF($M1998=0,"✖ كود الصف غير موجود",IF(ISNA(MATCH($F1998,Lists!$A$2:$A$5,0)),"✖ الفترة غير صحيحة",IF(ISNA(MATCH($G1998,Lists!$B$2:$B$7,0)),"✖ المجموعة غير صحيحة",IF(NOT(OR($H1998="",$N1998&gt;0)),"✖ Start غير صحيح",IF(NOT(OR($I1998="",$I1998="NR",$O1998&gt;0)),"✖ Current غير صحيح",IF(NOT(IF(ISNUMBER($J1998),AND($J1998&gt;=0,$J1998=INT($J1998)),FALSE())),"✖ العدد يجب أن يكون صحيحًا ≥ 0",IF(AND($F1998="Baseline",$H1998&lt;&gt;""),"⚠ Baseline: Start لا يدخل في التقدم",IF($K1998="No Start (attainment only)","ℹ تحصيل فقط (بدون Start)",IF($K1998="U – needs rule","ℹ حالة U تحتاج قاعدة معتمدة",IF($K1998="No result","ℹ بدون نتيجة (يُستبعد من التحصيل)","OK")))))))))))</f>
        <v/>
      </c>
      <c r="M1998" s="64" t="n">
        <f aca="false">IF($A1998="",0,IFERROR(MATCH($A1998,Classes!$A$6:$A$420,0),0))</f>
        <v>0</v>
      </c>
      <c r="N1998" s="64" t="n">
        <f aca="false">IF($H1998="",0,IFERROR(MATCH($H1998,GradeList,0),0))</f>
        <v>0</v>
      </c>
      <c r="O1998" s="64" t="n">
        <f aca="false">IF(OR($I1998="",$I1998="NR"),0,IFERROR(MATCH($I1998,GradeList,0),0))</f>
        <v>0</v>
      </c>
      <c r="P1998" s="64" t="n">
        <f aca="false">IF(AND($M1998&gt;0,ISNUMBER(MATCH($F1998,Lists!$A$2:$A$5,0)),ISNUMBER(MATCH($G1998,Lists!$B$2:$B$7,0)),OR($H1998="",$N1998&gt;0),OR($I1998="",$I1998="NR",$O1998&gt;0),IF(ISNUMBER($J1998),AND($J1998&gt;=0,$J1998=INT($J1998)),FALSE())),$J1998,0)</f>
        <v>0</v>
      </c>
      <c r="Q1998" s="64" t="n">
        <f aca="false">IF(AND($P1998&gt;0,$O1998&gt;0),$P1998,0)</f>
        <v>0</v>
      </c>
      <c r="R1998" s="64" t="n">
        <f aca="false">IF(AND($Q1998&gt;0,$O1998&gt;=AtRank),$Q1998,0)</f>
        <v>0</v>
      </c>
      <c r="S1998" s="64" t="n">
        <f aca="false">IF(AND($Q1998&gt;0,$O1998&gt;=AboveRank),$Q1998,0)</f>
        <v>0</v>
      </c>
      <c r="T1998" s="64" t="n">
        <f aca="false">IF($K1998="Less",$P1998,0)</f>
        <v>0</v>
      </c>
      <c r="U1998" s="64" t="n">
        <f aca="false">IF($K1998="Expected",$P1998,0)</f>
        <v>0</v>
      </c>
      <c r="V1998" s="64" t="n">
        <f aca="false">IF($K1998="Better",$P1998,0)</f>
        <v>0</v>
      </c>
      <c r="W1998" s="64" t="n">
        <f aca="false">IF($K1998="U – needs rule",$P1998,0)</f>
        <v>0</v>
      </c>
      <c r="X1998" s="64" t="n">
        <f aca="false">IF($K1998="No Start (attainment only)",$P1998,0)</f>
        <v>0</v>
      </c>
    </row>
    <row r="1999" customFormat="false" ht="15" hidden="false" customHeight="false" outlineLevel="0" collapsed="false">
      <c r="A1999" s="60"/>
      <c r="B1999" s="61" t="str">
        <f aca="false">IF($M1999=0,"",INDEX(Classes!$E$6:$E$420,$M1999))</f>
        <v/>
      </c>
      <c r="C1999" s="62" t="str">
        <f aca="false">IF($M1999=0,"",INDEX(Classes!$H$6:$H$420,$M1999))</f>
        <v/>
      </c>
      <c r="D1999" s="61" t="str">
        <f aca="false">IF($M1999=0,"",INDEX(Classes!$B$6:$B$420,$M1999))</f>
        <v/>
      </c>
      <c r="E1999" s="61" t="str">
        <f aca="false">IF($M1999=0,"",INDEX(Classes!$C$6:$C$420,$M1999))</f>
        <v/>
      </c>
      <c r="F1999" s="63"/>
      <c r="G1999" s="63"/>
      <c r="H1999" s="60"/>
      <c r="I1999" s="60"/>
      <c r="J1999" s="63"/>
      <c r="K1999" s="61" t="str">
        <f aca="false">IF($P1999=0,"",IF($F1999="Baseline","— Baseline",IF($O1999=0,"No result",IF($N1999=0,"No Start (attainment only)",IF(OR($N1999=1,$O1999=1),"U – needs rule",INDEX(MxBody,MATCH($I1999,MxCurr,0),MATCH($H1999,MxStart,0)))))))</f>
        <v/>
      </c>
      <c r="L1999" s="62" t="str">
        <f aca="false">IF(COUNTA($A1999,$F1999,$G1999,$H1999,$I1999,$J1999)=0,"",IF($M1999=0,"✖ كود الصف غير موجود",IF(ISNA(MATCH($F1999,Lists!$A$2:$A$5,0)),"✖ الفترة غير صحيحة",IF(ISNA(MATCH($G1999,Lists!$B$2:$B$7,0)),"✖ المجموعة غير صحيحة",IF(NOT(OR($H1999="",$N1999&gt;0)),"✖ Start غير صحيح",IF(NOT(OR($I1999="",$I1999="NR",$O1999&gt;0)),"✖ Current غير صحيح",IF(NOT(IF(ISNUMBER($J1999),AND($J1999&gt;=0,$J1999=INT($J1999)),FALSE())),"✖ العدد يجب أن يكون صحيحًا ≥ 0",IF(AND($F1999="Baseline",$H1999&lt;&gt;""),"⚠ Baseline: Start لا يدخل في التقدم",IF($K1999="No Start (attainment only)","ℹ تحصيل فقط (بدون Start)",IF($K1999="U – needs rule","ℹ حالة U تحتاج قاعدة معتمدة",IF($K1999="No result","ℹ بدون نتيجة (يُستبعد من التحصيل)","OK")))))))))))</f>
        <v/>
      </c>
      <c r="M1999" s="64" t="n">
        <f aca="false">IF($A1999="",0,IFERROR(MATCH($A1999,Classes!$A$6:$A$420,0),0))</f>
        <v>0</v>
      </c>
      <c r="N1999" s="64" t="n">
        <f aca="false">IF($H1999="",0,IFERROR(MATCH($H1999,GradeList,0),0))</f>
        <v>0</v>
      </c>
      <c r="O1999" s="64" t="n">
        <f aca="false">IF(OR($I1999="",$I1999="NR"),0,IFERROR(MATCH($I1999,GradeList,0),0))</f>
        <v>0</v>
      </c>
      <c r="P1999" s="64" t="n">
        <f aca="false">IF(AND($M1999&gt;0,ISNUMBER(MATCH($F1999,Lists!$A$2:$A$5,0)),ISNUMBER(MATCH($G1999,Lists!$B$2:$B$7,0)),OR($H1999="",$N1999&gt;0),OR($I1999="",$I1999="NR",$O1999&gt;0),IF(ISNUMBER($J1999),AND($J1999&gt;=0,$J1999=INT($J1999)),FALSE())),$J1999,0)</f>
        <v>0</v>
      </c>
      <c r="Q1999" s="64" t="n">
        <f aca="false">IF(AND($P1999&gt;0,$O1999&gt;0),$P1999,0)</f>
        <v>0</v>
      </c>
      <c r="R1999" s="64" t="n">
        <f aca="false">IF(AND($Q1999&gt;0,$O1999&gt;=AtRank),$Q1999,0)</f>
        <v>0</v>
      </c>
      <c r="S1999" s="64" t="n">
        <f aca="false">IF(AND($Q1999&gt;0,$O1999&gt;=AboveRank),$Q1999,0)</f>
        <v>0</v>
      </c>
      <c r="T1999" s="64" t="n">
        <f aca="false">IF($K1999="Less",$P1999,0)</f>
        <v>0</v>
      </c>
      <c r="U1999" s="64" t="n">
        <f aca="false">IF($K1999="Expected",$P1999,0)</f>
        <v>0</v>
      </c>
      <c r="V1999" s="64" t="n">
        <f aca="false">IF($K1999="Better",$P1999,0)</f>
        <v>0</v>
      </c>
      <c r="W1999" s="64" t="n">
        <f aca="false">IF($K1999="U – needs rule",$P1999,0)</f>
        <v>0</v>
      </c>
      <c r="X1999" s="64" t="n">
        <f aca="false">IF($K1999="No Start (attainment only)",$P1999,0)</f>
        <v>0</v>
      </c>
    </row>
    <row r="2000" customFormat="false" ht="15" hidden="false" customHeight="false" outlineLevel="0" collapsed="false">
      <c r="A2000" s="60"/>
      <c r="B2000" s="61" t="str">
        <f aca="false">IF($M2000=0,"",INDEX(Classes!$E$6:$E$420,$M2000))</f>
        <v/>
      </c>
      <c r="C2000" s="62" t="str">
        <f aca="false">IF($M2000=0,"",INDEX(Classes!$H$6:$H$420,$M2000))</f>
        <v/>
      </c>
      <c r="D2000" s="61" t="str">
        <f aca="false">IF($M2000=0,"",INDEX(Classes!$B$6:$B$420,$M2000))</f>
        <v/>
      </c>
      <c r="E2000" s="61" t="str">
        <f aca="false">IF($M2000=0,"",INDEX(Classes!$C$6:$C$420,$M2000))</f>
        <v/>
      </c>
      <c r="F2000" s="63"/>
      <c r="G2000" s="63"/>
      <c r="H2000" s="60"/>
      <c r="I2000" s="60"/>
      <c r="J2000" s="63"/>
      <c r="K2000" s="61" t="str">
        <f aca="false">IF($P2000=0,"",IF($F2000="Baseline","— Baseline",IF($O2000=0,"No result",IF($N2000=0,"No Start (attainment only)",IF(OR($N2000=1,$O2000=1),"U – needs rule",INDEX(MxBody,MATCH($I2000,MxCurr,0),MATCH($H2000,MxStart,0)))))))</f>
        <v/>
      </c>
      <c r="L2000" s="62" t="str">
        <f aca="false">IF(COUNTA($A2000,$F2000,$G2000,$H2000,$I2000,$J2000)=0,"",IF($M2000=0,"✖ كود الصف غير موجود",IF(ISNA(MATCH($F2000,Lists!$A$2:$A$5,0)),"✖ الفترة غير صحيحة",IF(ISNA(MATCH($G2000,Lists!$B$2:$B$7,0)),"✖ المجموعة غير صحيحة",IF(NOT(OR($H2000="",$N2000&gt;0)),"✖ Start غير صحيح",IF(NOT(OR($I2000="",$I2000="NR",$O2000&gt;0)),"✖ Current غير صحيح",IF(NOT(IF(ISNUMBER($J2000),AND($J2000&gt;=0,$J2000=INT($J2000)),FALSE())),"✖ العدد يجب أن يكون صحيحًا ≥ 0",IF(AND($F2000="Baseline",$H2000&lt;&gt;""),"⚠ Baseline: Start لا يدخل في التقدم",IF($K2000="No Start (attainment only)","ℹ تحصيل فقط (بدون Start)",IF($K2000="U – needs rule","ℹ حالة U تحتاج قاعدة معتمدة",IF($K2000="No result","ℹ بدون نتيجة (يُستبعد من التحصيل)","OK")))))))))))</f>
        <v/>
      </c>
      <c r="M2000" s="64" t="n">
        <f aca="false">IF($A2000="",0,IFERROR(MATCH($A2000,Classes!$A$6:$A$420,0),0))</f>
        <v>0</v>
      </c>
      <c r="N2000" s="64" t="n">
        <f aca="false">IF($H2000="",0,IFERROR(MATCH($H2000,GradeList,0),0))</f>
        <v>0</v>
      </c>
      <c r="O2000" s="64" t="n">
        <f aca="false">IF(OR($I2000="",$I2000="NR"),0,IFERROR(MATCH($I2000,GradeList,0),0))</f>
        <v>0</v>
      </c>
      <c r="P2000" s="64" t="n">
        <f aca="false">IF(AND($M2000&gt;0,ISNUMBER(MATCH($F2000,Lists!$A$2:$A$5,0)),ISNUMBER(MATCH($G2000,Lists!$B$2:$B$7,0)),OR($H2000="",$N2000&gt;0),OR($I2000="",$I2000="NR",$O2000&gt;0),IF(ISNUMBER($J2000),AND($J2000&gt;=0,$J2000=INT($J2000)),FALSE())),$J2000,0)</f>
        <v>0</v>
      </c>
      <c r="Q2000" s="64" t="n">
        <f aca="false">IF(AND($P2000&gt;0,$O2000&gt;0),$P2000,0)</f>
        <v>0</v>
      </c>
      <c r="R2000" s="64" t="n">
        <f aca="false">IF(AND($Q2000&gt;0,$O2000&gt;=AtRank),$Q2000,0)</f>
        <v>0</v>
      </c>
      <c r="S2000" s="64" t="n">
        <f aca="false">IF(AND($Q2000&gt;0,$O2000&gt;=AboveRank),$Q2000,0)</f>
        <v>0</v>
      </c>
      <c r="T2000" s="64" t="n">
        <f aca="false">IF($K2000="Less",$P2000,0)</f>
        <v>0</v>
      </c>
      <c r="U2000" s="64" t="n">
        <f aca="false">IF($K2000="Expected",$P2000,0)</f>
        <v>0</v>
      </c>
      <c r="V2000" s="64" t="n">
        <f aca="false">IF($K2000="Better",$P2000,0)</f>
        <v>0</v>
      </c>
      <c r="W2000" s="64" t="n">
        <f aca="false">IF($K2000="U – needs rule",$P2000,0)</f>
        <v>0</v>
      </c>
      <c r="X2000" s="64" t="n">
        <f aca="false">IF($K2000="No Start (attainment only)",$P2000,0)</f>
        <v>0</v>
      </c>
    </row>
    <row r="2001" customFormat="false" ht="15" hidden="false" customHeight="false" outlineLevel="0" collapsed="false">
      <c r="A2001" s="60"/>
      <c r="B2001" s="61" t="str">
        <f aca="false">IF($M2001=0,"",INDEX(Classes!$E$6:$E$420,$M2001))</f>
        <v/>
      </c>
      <c r="C2001" s="62" t="str">
        <f aca="false">IF($M2001=0,"",INDEX(Classes!$H$6:$H$420,$M2001))</f>
        <v/>
      </c>
      <c r="D2001" s="61" t="str">
        <f aca="false">IF($M2001=0,"",INDEX(Classes!$B$6:$B$420,$M2001))</f>
        <v/>
      </c>
      <c r="E2001" s="61" t="str">
        <f aca="false">IF($M2001=0,"",INDEX(Classes!$C$6:$C$420,$M2001))</f>
        <v/>
      </c>
      <c r="F2001" s="63"/>
      <c r="G2001" s="63"/>
      <c r="H2001" s="60"/>
      <c r="I2001" s="60"/>
      <c r="J2001" s="63"/>
      <c r="K2001" s="61" t="str">
        <f aca="false">IF($P2001=0,"",IF($F2001="Baseline","— Baseline",IF($O2001=0,"No result",IF($N2001=0,"No Start (attainment only)",IF(OR($N2001=1,$O2001=1),"U – needs rule",INDEX(MxBody,MATCH($I2001,MxCurr,0),MATCH($H2001,MxStart,0)))))))</f>
        <v/>
      </c>
      <c r="L2001" s="62" t="str">
        <f aca="false">IF(COUNTA($A2001,$F2001,$G2001,$H2001,$I2001,$J2001)=0,"",IF($M2001=0,"✖ كود الصف غير موجود",IF(ISNA(MATCH($F2001,Lists!$A$2:$A$5,0)),"✖ الفترة غير صحيحة",IF(ISNA(MATCH($G2001,Lists!$B$2:$B$7,0)),"✖ المجموعة غير صحيحة",IF(NOT(OR($H2001="",$N2001&gt;0)),"✖ Start غير صحيح",IF(NOT(OR($I2001="",$I2001="NR",$O2001&gt;0)),"✖ Current غير صحيح",IF(NOT(IF(ISNUMBER($J2001),AND($J2001&gt;=0,$J2001=INT($J2001)),FALSE())),"✖ العدد يجب أن يكون صحيحًا ≥ 0",IF(AND($F2001="Baseline",$H2001&lt;&gt;""),"⚠ Baseline: Start لا يدخل في التقدم",IF($K2001="No Start (attainment only)","ℹ تحصيل فقط (بدون Start)",IF($K2001="U – needs rule","ℹ حالة U تحتاج قاعدة معتمدة",IF($K2001="No result","ℹ بدون نتيجة (يُستبعد من التحصيل)","OK")))))))))))</f>
        <v/>
      </c>
      <c r="M2001" s="64" t="n">
        <f aca="false">IF($A2001="",0,IFERROR(MATCH($A2001,Classes!$A$6:$A$420,0),0))</f>
        <v>0</v>
      </c>
      <c r="N2001" s="64" t="n">
        <f aca="false">IF($H2001="",0,IFERROR(MATCH($H2001,GradeList,0),0))</f>
        <v>0</v>
      </c>
      <c r="O2001" s="64" t="n">
        <f aca="false">IF(OR($I2001="",$I2001="NR"),0,IFERROR(MATCH($I2001,GradeList,0),0))</f>
        <v>0</v>
      </c>
      <c r="P2001" s="64" t="n">
        <f aca="false">IF(AND($M2001&gt;0,ISNUMBER(MATCH($F2001,Lists!$A$2:$A$5,0)),ISNUMBER(MATCH($G2001,Lists!$B$2:$B$7,0)),OR($H2001="",$N2001&gt;0),OR($I2001="",$I2001="NR",$O2001&gt;0),IF(ISNUMBER($J2001),AND($J2001&gt;=0,$J2001=INT($J2001)),FALSE())),$J2001,0)</f>
        <v>0</v>
      </c>
      <c r="Q2001" s="64" t="n">
        <f aca="false">IF(AND($P2001&gt;0,$O2001&gt;0),$P2001,0)</f>
        <v>0</v>
      </c>
      <c r="R2001" s="64" t="n">
        <f aca="false">IF(AND($Q2001&gt;0,$O2001&gt;=AtRank),$Q2001,0)</f>
        <v>0</v>
      </c>
      <c r="S2001" s="64" t="n">
        <f aca="false">IF(AND($Q2001&gt;0,$O2001&gt;=AboveRank),$Q2001,0)</f>
        <v>0</v>
      </c>
      <c r="T2001" s="64" t="n">
        <f aca="false">IF($K2001="Less",$P2001,0)</f>
        <v>0</v>
      </c>
      <c r="U2001" s="64" t="n">
        <f aca="false">IF($K2001="Expected",$P2001,0)</f>
        <v>0</v>
      </c>
      <c r="V2001" s="64" t="n">
        <f aca="false">IF($K2001="Better",$P2001,0)</f>
        <v>0</v>
      </c>
      <c r="W2001" s="64" t="n">
        <f aca="false">IF($K2001="U – needs rule",$P2001,0)</f>
        <v>0</v>
      </c>
      <c r="X2001" s="64" t="n">
        <f aca="false">IF($K2001="No Start (attainment only)",$P2001,0)</f>
        <v>0</v>
      </c>
    </row>
    <row r="2002" customFormat="false" ht="15" hidden="false" customHeight="false" outlineLevel="0" collapsed="false">
      <c r="A2002" s="60"/>
      <c r="B2002" s="61" t="str">
        <f aca="false">IF($M2002=0,"",INDEX(Classes!$E$6:$E$420,$M2002))</f>
        <v/>
      </c>
      <c r="C2002" s="62" t="str">
        <f aca="false">IF($M2002=0,"",INDEX(Classes!$H$6:$H$420,$M2002))</f>
        <v/>
      </c>
      <c r="D2002" s="61" t="str">
        <f aca="false">IF($M2002=0,"",INDEX(Classes!$B$6:$B$420,$M2002))</f>
        <v/>
      </c>
      <c r="E2002" s="61" t="str">
        <f aca="false">IF($M2002=0,"",INDEX(Classes!$C$6:$C$420,$M2002))</f>
        <v/>
      </c>
      <c r="F2002" s="63"/>
      <c r="G2002" s="63"/>
      <c r="H2002" s="60"/>
      <c r="I2002" s="60"/>
      <c r="J2002" s="63"/>
      <c r="K2002" s="61" t="str">
        <f aca="false">IF($P2002=0,"",IF($F2002="Baseline","— Baseline",IF($O2002=0,"No result",IF($N2002=0,"No Start (attainment only)",IF(OR($N2002=1,$O2002=1),"U – needs rule",INDEX(MxBody,MATCH($I2002,MxCurr,0),MATCH($H2002,MxStart,0)))))))</f>
        <v/>
      </c>
      <c r="L2002" s="62" t="str">
        <f aca="false">IF(COUNTA($A2002,$F2002,$G2002,$H2002,$I2002,$J2002)=0,"",IF($M2002=0,"✖ كود الصف غير موجود",IF(ISNA(MATCH($F2002,Lists!$A$2:$A$5,0)),"✖ الفترة غير صحيحة",IF(ISNA(MATCH($G2002,Lists!$B$2:$B$7,0)),"✖ المجموعة غير صحيحة",IF(NOT(OR($H2002="",$N2002&gt;0)),"✖ Start غير صحيح",IF(NOT(OR($I2002="",$I2002="NR",$O2002&gt;0)),"✖ Current غير صحيح",IF(NOT(IF(ISNUMBER($J2002),AND($J2002&gt;=0,$J2002=INT($J2002)),FALSE())),"✖ العدد يجب أن يكون صحيحًا ≥ 0",IF(AND($F2002="Baseline",$H2002&lt;&gt;""),"⚠ Baseline: Start لا يدخل في التقدم",IF($K2002="No Start (attainment only)","ℹ تحصيل فقط (بدون Start)",IF($K2002="U – needs rule","ℹ حالة U تحتاج قاعدة معتمدة",IF($K2002="No result","ℹ بدون نتيجة (يُستبعد من التحصيل)","OK")))))))))))</f>
        <v/>
      </c>
      <c r="M2002" s="64" t="n">
        <f aca="false">IF($A2002="",0,IFERROR(MATCH($A2002,Classes!$A$6:$A$420,0),0))</f>
        <v>0</v>
      </c>
      <c r="N2002" s="64" t="n">
        <f aca="false">IF($H2002="",0,IFERROR(MATCH($H2002,GradeList,0),0))</f>
        <v>0</v>
      </c>
      <c r="O2002" s="64" t="n">
        <f aca="false">IF(OR($I2002="",$I2002="NR"),0,IFERROR(MATCH($I2002,GradeList,0),0))</f>
        <v>0</v>
      </c>
      <c r="P2002" s="64" t="n">
        <f aca="false">IF(AND($M2002&gt;0,ISNUMBER(MATCH($F2002,Lists!$A$2:$A$5,0)),ISNUMBER(MATCH($G2002,Lists!$B$2:$B$7,0)),OR($H2002="",$N2002&gt;0),OR($I2002="",$I2002="NR",$O2002&gt;0),IF(ISNUMBER($J2002),AND($J2002&gt;=0,$J2002=INT($J2002)),FALSE())),$J2002,0)</f>
        <v>0</v>
      </c>
      <c r="Q2002" s="64" t="n">
        <f aca="false">IF(AND($P2002&gt;0,$O2002&gt;0),$P2002,0)</f>
        <v>0</v>
      </c>
      <c r="R2002" s="64" t="n">
        <f aca="false">IF(AND($Q2002&gt;0,$O2002&gt;=AtRank),$Q2002,0)</f>
        <v>0</v>
      </c>
      <c r="S2002" s="64" t="n">
        <f aca="false">IF(AND($Q2002&gt;0,$O2002&gt;=AboveRank),$Q2002,0)</f>
        <v>0</v>
      </c>
      <c r="T2002" s="64" t="n">
        <f aca="false">IF($K2002="Less",$P2002,0)</f>
        <v>0</v>
      </c>
      <c r="U2002" s="64" t="n">
        <f aca="false">IF($K2002="Expected",$P2002,0)</f>
        <v>0</v>
      </c>
      <c r="V2002" s="64" t="n">
        <f aca="false">IF($K2002="Better",$P2002,0)</f>
        <v>0</v>
      </c>
      <c r="W2002" s="64" t="n">
        <f aca="false">IF($K2002="U – needs rule",$P2002,0)</f>
        <v>0</v>
      </c>
      <c r="X2002" s="64" t="n">
        <f aca="false">IF($K2002="No Start (attainment only)",$P2002,0)</f>
        <v>0</v>
      </c>
    </row>
    <row r="2003" customFormat="false" ht="15" hidden="false" customHeight="false" outlineLevel="0" collapsed="false">
      <c r="A2003" s="60"/>
      <c r="B2003" s="61" t="str">
        <f aca="false">IF($M2003=0,"",INDEX(Classes!$E$6:$E$420,$M2003))</f>
        <v/>
      </c>
      <c r="C2003" s="62" t="str">
        <f aca="false">IF($M2003=0,"",INDEX(Classes!$H$6:$H$420,$M2003))</f>
        <v/>
      </c>
      <c r="D2003" s="61" t="str">
        <f aca="false">IF($M2003=0,"",INDEX(Classes!$B$6:$B$420,$M2003))</f>
        <v/>
      </c>
      <c r="E2003" s="61" t="str">
        <f aca="false">IF($M2003=0,"",INDEX(Classes!$C$6:$C$420,$M2003))</f>
        <v/>
      </c>
      <c r="F2003" s="63"/>
      <c r="G2003" s="63"/>
      <c r="H2003" s="60"/>
      <c r="I2003" s="60"/>
      <c r="J2003" s="63"/>
      <c r="K2003" s="61" t="str">
        <f aca="false">IF($P2003=0,"",IF($F2003="Baseline","— Baseline",IF($O2003=0,"No result",IF($N2003=0,"No Start (attainment only)",IF(OR($N2003=1,$O2003=1),"U – needs rule",INDEX(MxBody,MATCH($I2003,MxCurr,0),MATCH($H2003,MxStart,0)))))))</f>
        <v/>
      </c>
      <c r="L2003" s="62" t="str">
        <f aca="false">IF(COUNTA($A2003,$F2003,$G2003,$H2003,$I2003,$J2003)=0,"",IF($M2003=0,"✖ كود الصف غير موجود",IF(ISNA(MATCH($F2003,Lists!$A$2:$A$5,0)),"✖ الفترة غير صحيحة",IF(ISNA(MATCH($G2003,Lists!$B$2:$B$7,0)),"✖ المجموعة غير صحيحة",IF(NOT(OR($H2003="",$N2003&gt;0)),"✖ Start غير صحيح",IF(NOT(OR($I2003="",$I2003="NR",$O2003&gt;0)),"✖ Current غير صحيح",IF(NOT(IF(ISNUMBER($J2003),AND($J2003&gt;=0,$J2003=INT($J2003)),FALSE())),"✖ العدد يجب أن يكون صحيحًا ≥ 0",IF(AND($F2003="Baseline",$H2003&lt;&gt;""),"⚠ Baseline: Start لا يدخل في التقدم",IF($K2003="No Start (attainment only)","ℹ تحصيل فقط (بدون Start)",IF($K2003="U – needs rule","ℹ حالة U تحتاج قاعدة معتمدة",IF($K2003="No result","ℹ بدون نتيجة (يُستبعد من التحصيل)","OK")))))))))))</f>
        <v/>
      </c>
      <c r="M2003" s="64" t="n">
        <f aca="false">IF($A2003="",0,IFERROR(MATCH($A2003,Classes!$A$6:$A$420,0),0))</f>
        <v>0</v>
      </c>
      <c r="N2003" s="64" t="n">
        <f aca="false">IF($H2003="",0,IFERROR(MATCH($H2003,GradeList,0),0))</f>
        <v>0</v>
      </c>
      <c r="O2003" s="64" t="n">
        <f aca="false">IF(OR($I2003="",$I2003="NR"),0,IFERROR(MATCH($I2003,GradeList,0),0))</f>
        <v>0</v>
      </c>
      <c r="P2003" s="64" t="n">
        <f aca="false">IF(AND($M2003&gt;0,ISNUMBER(MATCH($F2003,Lists!$A$2:$A$5,0)),ISNUMBER(MATCH($G2003,Lists!$B$2:$B$7,0)),OR($H2003="",$N2003&gt;0),OR($I2003="",$I2003="NR",$O2003&gt;0),IF(ISNUMBER($J2003),AND($J2003&gt;=0,$J2003=INT($J2003)),FALSE())),$J2003,0)</f>
        <v>0</v>
      </c>
      <c r="Q2003" s="64" t="n">
        <f aca="false">IF(AND($P2003&gt;0,$O2003&gt;0),$P2003,0)</f>
        <v>0</v>
      </c>
      <c r="R2003" s="64" t="n">
        <f aca="false">IF(AND($Q2003&gt;0,$O2003&gt;=AtRank),$Q2003,0)</f>
        <v>0</v>
      </c>
      <c r="S2003" s="64" t="n">
        <f aca="false">IF(AND($Q2003&gt;0,$O2003&gt;=AboveRank),$Q2003,0)</f>
        <v>0</v>
      </c>
      <c r="T2003" s="64" t="n">
        <f aca="false">IF($K2003="Less",$P2003,0)</f>
        <v>0</v>
      </c>
      <c r="U2003" s="64" t="n">
        <f aca="false">IF($K2003="Expected",$P2003,0)</f>
        <v>0</v>
      </c>
      <c r="V2003" s="64" t="n">
        <f aca="false">IF($K2003="Better",$P2003,0)</f>
        <v>0</v>
      </c>
      <c r="W2003" s="64" t="n">
        <f aca="false">IF($K2003="U – needs rule",$P2003,0)</f>
        <v>0</v>
      </c>
      <c r="X2003" s="64" t="n">
        <f aca="false">IF($K2003="No Start (attainment only)",$P2003,0)</f>
        <v>0</v>
      </c>
    </row>
    <row r="2004" customFormat="false" ht="15" hidden="false" customHeight="false" outlineLevel="0" collapsed="false">
      <c r="A2004" s="60"/>
      <c r="B2004" s="61" t="str">
        <f aca="false">IF($M2004=0,"",INDEX(Classes!$E$6:$E$420,$M2004))</f>
        <v/>
      </c>
      <c r="C2004" s="62" t="str">
        <f aca="false">IF($M2004=0,"",INDEX(Classes!$H$6:$H$420,$M2004))</f>
        <v/>
      </c>
      <c r="D2004" s="61" t="str">
        <f aca="false">IF($M2004=0,"",INDEX(Classes!$B$6:$B$420,$M2004))</f>
        <v/>
      </c>
      <c r="E2004" s="61" t="str">
        <f aca="false">IF($M2004=0,"",INDEX(Classes!$C$6:$C$420,$M2004))</f>
        <v/>
      </c>
      <c r="F2004" s="63"/>
      <c r="G2004" s="63"/>
      <c r="H2004" s="60"/>
      <c r="I2004" s="60"/>
      <c r="J2004" s="63"/>
      <c r="K2004" s="61" t="str">
        <f aca="false">IF($P2004=0,"",IF($F2004="Baseline","— Baseline",IF($O2004=0,"No result",IF($N2004=0,"No Start (attainment only)",IF(OR($N2004=1,$O2004=1),"U – needs rule",INDEX(MxBody,MATCH($I2004,MxCurr,0),MATCH($H2004,MxStart,0)))))))</f>
        <v/>
      </c>
      <c r="L2004" s="62" t="str">
        <f aca="false">IF(COUNTA($A2004,$F2004,$G2004,$H2004,$I2004,$J2004)=0,"",IF($M2004=0,"✖ كود الصف غير موجود",IF(ISNA(MATCH($F2004,Lists!$A$2:$A$5,0)),"✖ الفترة غير صحيحة",IF(ISNA(MATCH($G2004,Lists!$B$2:$B$7,0)),"✖ المجموعة غير صحيحة",IF(NOT(OR($H2004="",$N2004&gt;0)),"✖ Start غير صحيح",IF(NOT(OR($I2004="",$I2004="NR",$O2004&gt;0)),"✖ Current غير صحيح",IF(NOT(IF(ISNUMBER($J2004),AND($J2004&gt;=0,$J2004=INT($J2004)),FALSE())),"✖ العدد يجب أن يكون صحيحًا ≥ 0",IF(AND($F2004="Baseline",$H2004&lt;&gt;""),"⚠ Baseline: Start لا يدخل في التقدم",IF($K2004="No Start (attainment only)","ℹ تحصيل فقط (بدون Start)",IF($K2004="U – needs rule","ℹ حالة U تحتاج قاعدة معتمدة",IF($K2004="No result","ℹ بدون نتيجة (يُستبعد من التحصيل)","OK")))))))))))</f>
        <v/>
      </c>
      <c r="M2004" s="64" t="n">
        <f aca="false">IF($A2004="",0,IFERROR(MATCH($A2004,Classes!$A$6:$A$420,0),0))</f>
        <v>0</v>
      </c>
      <c r="N2004" s="64" t="n">
        <f aca="false">IF($H2004="",0,IFERROR(MATCH($H2004,GradeList,0),0))</f>
        <v>0</v>
      </c>
      <c r="O2004" s="64" t="n">
        <f aca="false">IF(OR($I2004="",$I2004="NR"),0,IFERROR(MATCH($I2004,GradeList,0),0))</f>
        <v>0</v>
      </c>
      <c r="P2004" s="64" t="n">
        <f aca="false">IF(AND($M2004&gt;0,ISNUMBER(MATCH($F2004,Lists!$A$2:$A$5,0)),ISNUMBER(MATCH($G2004,Lists!$B$2:$B$7,0)),OR($H2004="",$N2004&gt;0),OR($I2004="",$I2004="NR",$O2004&gt;0),IF(ISNUMBER($J2004),AND($J2004&gt;=0,$J2004=INT($J2004)),FALSE())),$J2004,0)</f>
        <v>0</v>
      </c>
      <c r="Q2004" s="64" t="n">
        <f aca="false">IF(AND($P2004&gt;0,$O2004&gt;0),$P2004,0)</f>
        <v>0</v>
      </c>
      <c r="R2004" s="64" t="n">
        <f aca="false">IF(AND($Q2004&gt;0,$O2004&gt;=AtRank),$Q2004,0)</f>
        <v>0</v>
      </c>
      <c r="S2004" s="64" t="n">
        <f aca="false">IF(AND($Q2004&gt;0,$O2004&gt;=AboveRank),$Q2004,0)</f>
        <v>0</v>
      </c>
      <c r="T2004" s="64" t="n">
        <f aca="false">IF($K2004="Less",$P2004,0)</f>
        <v>0</v>
      </c>
      <c r="U2004" s="64" t="n">
        <f aca="false">IF($K2004="Expected",$P2004,0)</f>
        <v>0</v>
      </c>
      <c r="V2004" s="64" t="n">
        <f aca="false">IF($K2004="Better",$P2004,0)</f>
        <v>0</v>
      </c>
      <c r="W2004" s="64" t="n">
        <f aca="false">IF($K2004="U – needs rule",$P2004,0)</f>
        <v>0</v>
      </c>
      <c r="X2004" s="64" t="n">
        <f aca="false">IF($K2004="No Start (attainment only)",$P2004,0)</f>
        <v>0</v>
      </c>
    </row>
    <row r="2005" customFormat="false" ht="15" hidden="false" customHeight="false" outlineLevel="0" collapsed="false">
      <c r="A2005" s="60"/>
      <c r="B2005" s="61" t="str">
        <f aca="false">IF($M2005=0,"",INDEX(Classes!$E$6:$E$420,$M2005))</f>
        <v/>
      </c>
      <c r="C2005" s="62" t="str">
        <f aca="false">IF($M2005=0,"",INDEX(Classes!$H$6:$H$420,$M2005))</f>
        <v/>
      </c>
      <c r="D2005" s="61" t="str">
        <f aca="false">IF($M2005=0,"",INDEX(Classes!$B$6:$B$420,$M2005))</f>
        <v/>
      </c>
      <c r="E2005" s="61" t="str">
        <f aca="false">IF($M2005=0,"",INDEX(Classes!$C$6:$C$420,$M2005))</f>
        <v/>
      </c>
      <c r="F2005" s="63"/>
      <c r="G2005" s="63"/>
      <c r="H2005" s="60"/>
      <c r="I2005" s="60"/>
      <c r="J2005" s="63"/>
      <c r="K2005" s="61" t="str">
        <f aca="false">IF($P2005=0,"",IF($F2005="Baseline","— Baseline",IF($O2005=0,"No result",IF($N2005=0,"No Start (attainment only)",IF(OR($N2005=1,$O2005=1),"U – needs rule",INDEX(MxBody,MATCH($I2005,MxCurr,0),MATCH($H2005,MxStart,0)))))))</f>
        <v/>
      </c>
      <c r="L2005" s="62" t="str">
        <f aca="false">IF(COUNTA($A2005,$F2005,$G2005,$H2005,$I2005,$J2005)=0,"",IF($M2005=0,"✖ كود الصف غير موجود",IF(ISNA(MATCH($F2005,Lists!$A$2:$A$5,0)),"✖ الفترة غير صحيحة",IF(ISNA(MATCH($G2005,Lists!$B$2:$B$7,0)),"✖ المجموعة غير صحيحة",IF(NOT(OR($H2005="",$N2005&gt;0)),"✖ Start غير صحيح",IF(NOT(OR($I2005="",$I2005="NR",$O2005&gt;0)),"✖ Current غير صحيح",IF(NOT(IF(ISNUMBER($J2005),AND($J2005&gt;=0,$J2005=INT($J2005)),FALSE())),"✖ العدد يجب أن يكون صحيحًا ≥ 0",IF(AND($F2005="Baseline",$H2005&lt;&gt;""),"⚠ Baseline: Start لا يدخل في التقدم",IF($K2005="No Start (attainment only)","ℹ تحصيل فقط (بدون Start)",IF($K2005="U – needs rule","ℹ حالة U تحتاج قاعدة معتمدة",IF($K2005="No result","ℹ بدون نتيجة (يُستبعد من التحصيل)","OK")))))))))))</f>
        <v/>
      </c>
      <c r="M2005" s="64" t="n">
        <f aca="false">IF($A2005="",0,IFERROR(MATCH($A2005,Classes!$A$6:$A$420,0),0))</f>
        <v>0</v>
      </c>
      <c r="N2005" s="64" t="n">
        <f aca="false">IF($H2005="",0,IFERROR(MATCH($H2005,GradeList,0),0))</f>
        <v>0</v>
      </c>
      <c r="O2005" s="64" t="n">
        <f aca="false">IF(OR($I2005="",$I2005="NR"),0,IFERROR(MATCH($I2005,GradeList,0),0))</f>
        <v>0</v>
      </c>
      <c r="P2005" s="64" t="n">
        <f aca="false">IF(AND($M2005&gt;0,ISNUMBER(MATCH($F2005,Lists!$A$2:$A$5,0)),ISNUMBER(MATCH($G2005,Lists!$B$2:$B$7,0)),OR($H2005="",$N2005&gt;0),OR($I2005="",$I2005="NR",$O2005&gt;0),IF(ISNUMBER($J2005),AND($J2005&gt;=0,$J2005=INT($J2005)),FALSE())),$J2005,0)</f>
        <v>0</v>
      </c>
      <c r="Q2005" s="64" t="n">
        <f aca="false">IF(AND($P2005&gt;0,$O2005&gt;0),$P2005,0)</f>
        <v>0</v>
      </c>
      <c r="R2005" s="64" t="n">
        <f aca="false">IF(AND($Q2005&gt;0,$O2005&gt;=AtRank),$Q2005,0)</f>
        <v>0</v>
      </c>
      <c r="S2005" s="64" t="n">
        <f aca="false">IF(AND($Q2005&gt;0,$O2005&gt;=AboveRank),$Q2005,0)</f>
        <v>0</v>
      </c>
      <c r="T2005" s="64" t="n">
        <f aca="false">IF($K2005="Less",$P2005,0)</f>
        <v>0</v>
      </c>
      <c r="U2005" s="64" t="n">
        <f aca="false">IF($K2005="Expected",$P2005,0)</f>
        <v>0</v>
      </c>
      <c r="V2005" s="64" t="n">
        <f aca="false">IF($K2005="Better",$P2005,0)</f>
        <v>0</v>
      </c>
      <c r="W2005" s="64" t="n">
        <f aca="false">IF($K2005="U – needs rule",$P2005,0)</f>
        <v>0</v>
      </c>
      <c r="X2005" s="64" t="n">
        <f aca="false">IF($K2005="No Start (attainment only)",$P2005,0)</f>
        <v>0</v>
      </c>
    </row>
    <row r="2006" customFormat="false" ht="15" hidden="false" customHeight="false" outlineLevel="0" collapsed="false">
      <c r="A2006" s="60"/>
      <c r="B2006" s="61" t="str">
        <f aca="false">IF($M2006=0,"",INDEX(Classes!$E$6:$E$420,$M2006))</f>
        <v/>
      </c>
      <c r="C2006" s="62" t="str">
        <f aca="false">IF($M2006=0,"",INDEX(Classes!$H$6:$H$420,$M2006))</f>
        <v/>
      </c>
      <c r="D2006" s="61" t="str">
        <f aca="false">IF($M2006=0,"",INDEX(Classes!$B$6:$B$420,$M2006))</f>
        <v/>
      </c>
      <c r="E2006" s="61" t="str">
        <f aca="false">IF($M2006=0,"",INDEX(Classes!$C$6:$C$420,$M2006))</f>
        <v/>
      </c>
      <c r="F2006" s="63"/>
      <c r="G2006" s="63"/>
      <c r="H2006" s="60"/>
      <c r="I2006" s="60"/>
      <c r="J2006" s="63"/>
      <c r="K2006" s="61" t="str">
        <f aca="false">IF($P2006=0,"",IF($F2006="Baseline","— Baseline",IF($O2006=0,"No result",IF($N2006=0,"No Start (attainment only)",IF(OR($N2006=1,$O2006=1),"U – needs rule",INDEX(MxBody,MATCH($I2006,MxCurr,0),MATCH($H2006,MxStart,0)))))))</f>
        <v/>
      </c>
      <c r="L2006" s="62" t="str">
        <f aca="false">IF(COUNTA($A2006,$F2006,$G2006,$H2006,$I2006,$J2006)=0,"",IF($M2006=0,"✖ كود الصف غير موجود",IF(ISNA(MATCH($F2006,Lists!$A$2:$A$5,0)),"✖ الفترة غير صحيحة",IF(ISNA(MATCH($G2006,Lists!$B$2:$B$7,0)),"✖ المجموعة غير صحيحة",IF(NOT(OR($H2006="",$N2006&gt;0)),"✖ Start غير صحيح",IF(NOT(OR($I2006="",$I2006="NR",$O2006&gt;0)),"✖ Current غير صحيح",IF(NOT(IF(ISNUMBER($J2006),AND($J2006&gt;=0,$J2006=INT($J2006)),FALSE())),"✖ العدد يجب أن يكون صحيحًا ≥ 0",IF(AND($F2006="Baseline",$H2006&lt;&gt;""),"⚠ Baseline: Start لا يدخل في التقدم",IF($K2006="No Start (attainment only)","ℹ تحصيل فقط (بدون Start)",IF($K2006="U – needs rule","ℹ حالة U تحتاج قاعدة معتمدة",IF($K2006="No result","ℹ بدون نتيجة (يُستبعد من التحصيل)","OK")))))))))))</f>
        <v/>
      </c>
      <c r="M2006" s="64" t="n">
        <f aca="false">IF($A2006="",0,IFERROR(MATCH($A2006,Classes!$A$6:$A$420,0),0))</f>
        <v>0</v>
      </c>
      <c r="N2006" s="64" t="n">
        <f aca="false">IF($H2006="",0,IFERROR(MATCH($H2006,GradeList,0),0))</f>
        <v>0</v>
      </c>
      <c r="O2006" s="64" t="n">
        <f aca="false">IF(OR($I2006="",$I2006="NR"),0,IFERROR(MATCH($I2006,GradeList,0),0))</f>
        <v>0</v>
      </c>
      <c r="P2006" s="64" t="n">
        <f aca="false">IF(AND($M2006&gt;0,ISNUMBER(MATCH($F2006,Lists!$A$2:$A$5,0)),ISNUMBER(MATCH($G2006,Lists!$B$2:$B$7,0)),OR($H2006="",$N2006&gt;0),OR($I2006="",$I2006="NR",$O2006&gt;0),IF(ISNUMBER($J2006),AND($J2006&gt;=0,$J2006=INT($J2006)),FALSE())),$J2006,0)</f>
        <v>0</v>
      </c>
      <c r="Q2006" s="64" t="n">
        <f aca="false">IF(AND($P2006&gt;0,$O2006&gt;0),$P2006,0)</f>
        <v>0</v>
      </c>
      <c r="R2006" s="64" t="n">
        <f aca="false">IF(AND($Q2006&gt;0,$O2006&gt;=AtRank),$Q2006,0)</f>
        <v>0</v>
      </c>
      <c r="S2006" s="64" t="n">
        <f aca="false">IF(AND($Q2006&gt;0,$O2006&gt;=AboveRank),$Q2006,0)</f>
        <v>0</v>
      </c>
      <c r="T2006" s="64" t="n">
        <f aca="false">IF($K2006="Less",$P2006,0)</f>
        <v>0</v>
      </c>
      <c r="U2006" s="64" t="n">
        <f aca="false">IF($K2006="Expected",$P2006,0)</f>
        <v>0</v>
      </c>
      <c r="V2006" s="64" t="n">
        <f aca="false">IF($K2006="Better",$P2006,0)</f>
        <v>0</v>
      </c>
      <c r="W2006" s="64" t="n">
        <f aca="false">IF($K2006="U – needs rule",$P2006,0)</f>
        <v>0</v>
      </c>
      <c r="X2006" s="64" t="n">
        <f aca="false">IF($K2006="No Start (attainment only)",$P2006,0)</f>
        <v>0</v>
      </c>
    </row>
    <row r="2007" customFormat="false" ht="15" hidden="false" customHeight="false" outlineLevel="0" collapsed="false">
      <c r="A2007" s="60"/>
      <c r="B2007" s="61" t="str">
        <f aca="false">IF($M2007=0,"",INDEX(Classes!$E$6:$E$420,$M2007))</f>
        <v/>
      </c>
      <c r="C2007" s="62" t="str">
        <f aca="false">IF($M2007=0,"",INDEX(Classes!$H$6:$H$420,$M2007))</f>
        <v/>
      </c>
      <c r="D2007" s="61" t="str">
        <f aca="false">IF($M2007=0,"",INDEX(Classes!$B$6:$B$420,$M2007))</f>
        <v/>
      </c>
      <c r="E2007" s="61" t="str">
        <f aca="false">IF($M2007=0,"",INDEX(Classes!$C$6:$C$420,$M2007))</f>
        <v/>
      </c>
      <c r="F2007" s="63"/>
      <c r="G2007" s="63"/>
      <c r="H2007" s="60"/>
      <c r="I2007" s="60"/>
      <c r="J2007" s="63"/>
      <c r="K2007" s="61" t="str">
        <f aca="false">IF($P2007=0,"",IF($F2007="Baseline","— Baseline",IF($O2007=0,"No result",IF($N2007=0,"No Start (attainment only)",IF(OR($N2007=1,$O2007=1),"U – needs rule",INDEX(MxBody,MATCH($I2007,MxCurr,0),MATCH($H2007,MxStart,0)))))))</f>
        <v/>
      </c>
      <c r="L2007" s="62" t="str">
        <f aca="false">IF(COUNTA($A2007,$F2007,$G2007,$H2007,$I2007,$J2007)=0,"",IF($M2007=0,"✖ كود الصف غير موجود",IF(ISNA(MATCH($F2007,Lists!$A$2:$A$5,0)),"✖ الفترة غير صحيحة",IF(ISNA(MATCH($G2007,Lists!$B$2:$B$7,0)),"✖ المجموعة غير صحيحة",IF(NOT(OR($H2007="",$N2007&gt;0)),"✖ Start غير صحيح",IF(NOT(OR($I2007="",$I2007="NR",$O2007&gt;0)),"✖ Current غير صحيح",IF(NOT(IF(ISNUMBER($J2007),AND($J2007&gt;=0,$J2007=INT($J2007)),FALSE())),"✖ العدد يجب أن يكون صحيحًا ≥ 0",IF(AND($F2007="Baseline",$H2007&lt;&gt;""),"⚠ Baseline: Start لا يدخل في التقدم",IF($K2007="No Start (attainment only)","ℹ تحصيل فقط (بدون Start)",IF($K2007="U – needs rule","ℹ حالة U تحتاج قاعدة معتمدة",IF($K2007="No result","ℹ بدون نتيجة (يُستبعد من التحصيل)","OK")))))))))))</f>
        <v/>
      </c>
      <c r="M2007" s="64" t="n">
        <f aca="false">IF($A2007="",0,IFERROR(MATCH($A2007,Classes!$A$6:$A$420,0),0))</f>
        <v>0</v>
      </c>
      <c r="N2007" s="64" t="n">
        <f aca="false">IF($H2007="",0,IFERROR(MATCH($H2007,GradeList,0),0))</f>
        <v>0</v>
      </c>
      <c r="O2007" s="64" t="n">
        <f aca="false">IF(OR($I2007="",$I2007="NR"),0,IFERROR(MATCH($I2007,GradeList,0),0))</f>
        <v>0</v>
      </c>
      <c r="P2007" s="64" t="n">
        <f aca="false">IF(AND($M2007&gt;0,ISNUMBER(MATCH($F2007,Lists!$A$2:$A$5,0)),ISNUMBER(MATCH($G2007,Lists!$B$2:$B$7,0)),OR($H2007="",$N2007&gt;0),OR($I2007="",$I2007="NR",$O2007&gt;0),IF(ISNUMBER($J2007),AND($J2007&gt;=0,$J2007=INT($J2007)),FALSE())),$J2007,0)</f>
        <v>0</v>
      </c>
      <c r="Q2007" s="64" t="n">
        <f aca="false">IF(AND($P2007&gt;0,$O2007&gt;0),$P2007,0)</f>
        <v>0</v>
      </c>
      <c r="R2007" s="64" t="n">
        <f aca="false">IF(AND($Q2007&gt;0,$O2007&gt;=AtRank),$Q2007,0)</f>
        <v>0</v>
      </c>
      <c r="S2007" s="64" t="n">
        <f aca="false">IF(AND($Q2007&gt;0,$O2007&gt;=AboveRank),$Q2007,0)</f>
        <v>0</v>
      </c>
      <c r="T2007" s="64" t="n">
        <f aca="false">IF($K2007="Less",$P2007,0)</f>
        <v>0</v>
      </c>
      <c r="U2007" s="64" t="n">
        <f aca="false">IF($K2007="Expected",$P2007,0)</f>
        <v>0</v>
      </c>
      <c r="V2007" s="64" t="n">
        <f aca="false">IF($K2007="Better",$P2007,0)</f>
        <v>0</v>
      </c>
      <c r="W2007" s="64" t="n">
        <f aca="false">IF($K2007="U – needs rule",$P2007,0)</f>
        <v>0</v>
      </c>
      <c r="X2007" s="64" t="n">
        <f aca="false">IF($K2007="No Start (attainment only)",$P2007,0)</f>
        <v>0</v>
      </c>
    </row>
    <row r="2008" customFormat="false" ht="15" hidden="false" customHeight="false" outlineLevel="0" collapsed="false">
      <c r="A2008" s="60"/>
      <c r="B2008" s="61" t="str">
        <f aca="false">IF($M2008=0,"",INDEX(Classes!$E$6:$E$420,$M2008))</f>
        <v/>
      </c>
      <c r="C2008" s="62" t="str">
        <f aca="false">IF($M2008=0,"",INDEX(Classes!$H$6:$H$420,$M2008))</f>
        <v/>
      </c>
      <c r="D2008" s="61" t="str">
        <f aca="false">IF($M2008=0,"",INDEX(Classes!$B$6:$B$420,$M2008))</f>
        <v/>
      </c>
      <c r="E2008" s="61" t="str">
        <f aca="false">IF($M2008=0,"",INDEX(Classes!$C$6:$C$420,$M2008))</f>
        <v/>
      </c>
      <c r="F2008" s="63"/>
      <c r="G2008" s="63"/>
      <c r="H2008" s="60"/>
      <c r="I2008" s="60"/>
      <c r="J2008" s="63"/>
      <c r="K2008" s="61" t="str">
        <f aca="false">IF($P2008=0,"",IF($F2008="Baseline","— Baseline",IF($O2008=0,"No result",IF($N2008=0,"No Start (attainment only)",IF(OR($N2008=1,$O2008=1),"U – needs rule",INDEX(MxBody,MATCH($I2008,MxCurr,0),MATCH($H2008,MxStart,0)))))))</f>
        <v/>
      </c>
      <c r="L2008" s="62" t="str">
        <f aca="false">IF(COUNTA($A2008,$F2008,$G2008,$H2008,$I2008,$J2008)=0,"",IF($M2008=0,"✖ كود الصف غير موجود",IF(ISNA(MATCH($F2008,Lists!$A$2:$A$5,0)),"✖ الفترة غير صحيحة",IF(ISNA(MATCH($G2008,Lists!$B$2:$B$7,0)),"✖ المجموعة غير صحيحة",IF(NOT(OR($H2008="",$N2008&gt;0)),"✖ Start غير صحيح",IF(NOT(OR($I2008="",$I2008="NR",$O2008&gt;0)),"✖ Current غير صحيح",IF(NOT(IF(ISNUMBER($J2008),AND($J2008&gt;=0,$J2008=INT($J2008)),FALSE())),"✖ العدد يجب أن يكون صحيحًا ≥ 0",IF(AND($F2008="Baseline",$H2008&lt;&gt;""),"⚠ Baseline: Start لا يدخل في التقدم",IF($K2008="No Start (attainment only)","ℹ تحصيل فقط (بدون Start)",IF($K2008="U – needs rule","ℹ حالة U تحتاج قاعدة معتمدة",IF($K2008="No result","ℹ بدون نتيجة (يُستبعد من التحصيل)","OK")))))))))))</f>
        <v/>
      </c>
      <c r="M2008" s="64" t="n">
        <f aca="false">IF($A2008="",0,IFERROR(MATCH($A2008,Classes!$A$6:$A$420,0),0))</f>
        <v>0</v>
      </c>
      <c r="N2008" s="64" t="n">
        <f aca="false">IF($H2008="",0,IFERROR(MATCH($H2008,GradeList,0),0))</f>
        <v>0</v>
      </c>
      <c r="O2008" s="64" t="n">
        <f aca="false">IF(OR($I2008="",$I2008="NR"),0,IFERROR(MATCH($I2008,GradeList,0),0))</f>
        <v>0</v>
      </c>
      <c r="P2008" s="64" t="n">
        <f aca="false">IF(AND($M2008&gt;0,ISNUMBER(MATCH($F2008,Lists!$A$2:$A$5,0)),ISNUMBER(MATCH($G2008,Lists!$B$2:$B$7,0)),OR($H2008="",$N2008&gt;0),OR($I2008="",$I2008="NR",$O2008&gt;0),IF(ISNUMBER($J2008),AND($J2008&gt;=0,$J2008=INT($J2008)),FALSE())),$J2008,0)</f>
        <v>0</v>
      </c>
      <c r="Q2008" s="64" t="n">
        <f aca="false">IF(AND($P2008&gt;0,$O2008&gt;0),$P2008,0)</f>
        <v>0</v>
      </c>
      <c r="R2008" s="64" t="n">
        <f aca="false">IF(AND($Q2008&gt;0,$O2008&gt;=AtRank),$Q2008,0)</f>
        <v>0</v>
      </c>
      <c r="S2008" s="64" t="n">
        <f aca="false">IF(AND($Q2008&gt;0,$O2008&gt;=AboveRank),$Q2008,0)</f>
        <v>0</v>
      </c>
      <c r="T2008" s="64" t="n">
        <f aca="false">IF($K2008="Less",$P2008,0)</f>
        <v>0</v>
      </c>
      <c r="U2008" s="64" t="n">
        <f aca="false">IF($K2008="Expected",$P2008,0)</f>
        <v>0</v>
      </c>
      <c r="V2008" s="64" t="n">
        <f aca="false">IF($K2008="Better",$P2008,0)</f>
        <v>0</v>
      </c>
      <c r="W2008" s="64" t="n">
        <f aca="false">IF($K2008="U – needs rule",$P2008,0)</f>
        <v>0</v>
      </c>
      <c r="X2008" s="64" t="n">
        <f aca="false">IF($K2008="No Start (attainment only)",$P2008,0)</f>
        <v>0</v>
      </c>
    </row>
    <row r="2009" customFormat="false" ht="15" hidden="false" customHeight="false" outlineLevel="0" collapsed="false">
      <c r="A2009" s="60"/>
      <c r="B2009" s="61" t="str">
        <f aca="false">IF($M2009=0,"",INDEX(Classes!$E$6:$E$420,$M2009))</f>
        <v/>
      </c>
      <c r="C2009" s="62" t="str">
        <f aca="false">IF($M2009=0,"",INDEX(Classes!$H$6:$H$420,$M2009))</f>
        <v/>
      </c>
      <c r="D2009" s="61" t="str">
        <f aca="false">IF($M2009=0,"",INDEX(Classes!$B$6:$B$420,$M2009))</f>
        <v/>
      </c>
      <c r="E2009" s="61" t="str">
        <f aca="false">IF($M2009=0,"",INDEX(Classes!$C$6:$C$420,$M2009))</f>
        <v/>
      </c>
      <c r="F2009" s="63"/>
      <c r="G2009" s="63"/>
      <c r="H2009" s="60"/>
      <c r="I2009" s="60"/>
      <c r="J2009" s="63"/>
      <c r="K2009" s="61" t="str">
        <f aca="false">IF($P2009=0,"",IF($F2009="Baseline","— Baseline",IF($O2009=0,"No result",IF($N2009=0,"No Start (attainment only)",IF(OR($N2009=1,$O2009=1),"U – needs rule",INDEX(MxBody,MATCH($I2009,MxCurr,0),MATCH($H2009,MxStart,0)))))))</f>
        <v/>
      </c>
      <c r="L2009" s="62" t="str">
        <f aca="false">IF(COUNTA($A2009,$F2009,$G2009,$H2009,$I2009,$J2009)=0,"",IF($M2009=0,"✖ كود الصف غير موجود",IF(ISNA(MATCH($F2009,Lists!$A$2:$A$5,0)),"✖ الفترة غير صحيحة",IF(ISNA(MATCH($G2009,Lists!$B$2:$B$7,0)),"✖ المجموعة غير صحيحة",IF(NOT(OR($H2009="",$N2009&gt;0)),"✖ Start غير صحيح",IF(NOT(OR($I2009="",$I2009="NR",$O2009&gt;0)),"✖ Current غير صحيح",IF(NOT(IF(ISNUMBER($J2009),AND($J2009&gt;=0,$J2009=INT($J2009)),FALSE())),"✖ العدد يجب أن يكون صحيحًا ≥ 0",IF(AND($F2009="Baseline",$H2009&lt;&gt;""),"⚠ Baseline: Start لا يدخل في التقدم",IF($K2009="No Start (attainment only)","ℹ تحصيل فقط (بدون Start)",IF($K2009="U – needs rule","ℹ حالة U تحتاج قاعدة معتمدة",IF($K2009="No result","ℹ بدون نتيجة (يُستبعد من التحصيل)","OK")))))))))))</f>
        <v/>
      </c>
      <c r="M2009" s="64" t="n">
        <f aca="false">IF($A2009="",0,IFERROR(MATCH($A2009,Classes!$A$6:$A$420,0),0))</f>
        <v>0</v>
      </c>
      <c r="N2009" s="64" t="n">
        <f aca="false">IF($H2009="",0,IFERROR(MATCH($H2009,GradeList,0),0))</f>
        <v>0</v>
      </c>
      <c r="O2009" s="64" t="n">
        <f aca="false">IF(OR($I2009="",$I2009="NR"),0,IFERROR(MATCH($I2009,GradeList,0),0))</f>
        <v>0</v>
      </c>
      <c r="P2009" s="64" t="n">
        <f aca="false">IF(AND($M2009&gt;0,ISNUMBER(MATCH($F2009,Lists!$A$2:$A$5,0)),ISNUMBER(MATCH($G2009,Lists!$B$2:$B$7,0)),OR($H2009="",$N2009&gt;0),OR($I2009="",$I2009="NR",$O2009&gt;0),IF(ISNUMBER($J2009),AND($J2009&gt;=0,$J2009=INT($J2009)),FALSE())),$J2009,0)</f>
        <v>0</v>
      </c>
      <c r="Q2009" s="64" t="n">
        <f aca="false">IF(AND($P2009&gt;0,$O2009&gt;0),$P2009,0)</f>
        <v>0</v>
      </c>
      <c r="R2009" s="64" t="n">
        <f aca="false">IF(AND($Q2009&gt;0,$O2009&gt;=AtRank),$Q2009,0)</f>
        <v>0</v>
      </c>
      <c r="S2009" s="64" t="n">
        <f aca="false">IF(AND($Q2009&gt;0,$O2009&gt;=AboveRank),$Q2009,0)</f>
        <v>0</v>
      </c>
      <c r="T2009" s="64" t="n">
        <f aca="false">IF($K2009="Less",$P2009,0)</f>
        <v>0</v>
      </c>
      <c r="U2009" s="64" t="n">
        <f aca="false">IF($K2009="Expected",$P2009,0)</f>
        <v>0</v>
      </c>
      <c r="V2009" s="64" t="n">
        <f aca="false">IF($K2009="Better",$P2009,0)</f>
        <v>0</v>
      </c>
      <c r="W2009" s="64" t="n">
        <f aca="false">IF($K2009="U – needs rule",$P2009,0)</f>
        <v>0</v>
      </c>
      <c r="X2009" s="64" t="n">
        <f aca="false">IF($K2009="No Start (attainment only)",$P2009,0)</f>
        <v>0</v>
      </c>
    </row>
    <row r="2010" customFormat="false" ht="15" hidden="false" customHeight="false" outlineLevel="0" collapsed="false">
      <c r="A2010" s="60"/>
      <c r="B2010" s="61" t="str">
        <f aca="false">IF($M2010=0,"",INDEX(Classes!$E$6:$E$420,$M2010))</f>
        <v/>
      </c>
      <c r="C2010" s="62" t="str">
        <f aca="false">IF($M2010=0,"",INDEX(Classes!$H$6:$H$420,$M2010))</f>
        <v/>
      </c>
      <c r="D2010" s="61" t="str">
        <f aca="false">IF($M2010=0,"",INDEX(Classes!$B$6:$B$420,$M2010))</f>
        <v/>
      </c>
      <c r="E2010" s="61" t="str">
        <f aca="false">IF($M2010=0,"",INDEX(Classes!$C$6:$C$420,$M2010))</f>
        <v/>
      </c>
      <c r="F2010" s="63"/>
      <c r="G2010" s="63"/>
      <c r="H2010" s="60"/>
      <c r="I2010" s="60"/>
      <c r="J2010" s="63"/>
      <c r="K2010" s="61" t="str">
        <f aca="false">IF($P2010=0,"",IF($F2010="Baseline","— Baseline",IF($O2010=0,"No result",IF($N2010=0,"No Start (attainment only)",IF(OR($N2010=1,$O2010=1),"U – needs rule",INDEX(MxBody,MATCH($I2010,MxCurr,0),MATCH($H2010,MxStart,0)))))))</f>
        <v/>
      </c>
      <c r="L2010" s="62" t="str">
        <f aca="false">IF(COUNTA($A2010,$F2010,$G2010,$H2010,$I2010,$J2010)=0,"",IF($M2010=0,"✖ كود الصف غير موجود",IF(ISNA(MATCH($F2010,Lists!$A$2:$A$5,0)),"✖ الفترة غير صحيحة",IF(ISNA(MATCH($G2010,Lists!$B$2:$B$7,0)),"✖ المجموعة غير صحيحة",IF(NOT(OR($H2010="",$N2010&gt;0)),"✖ Start غير صحيح",IF(NOT(OR($I2010="",$I2010="NR",$O2010&gt;0)),"✖ Current غير صحيح",IF(NOT(IF(ISNUMBER($J2010),AND($J2010&gt;=0,$J2010=INT($J2010)),FALSE())),"✖ العدد يجب أن يكون صحيحًا ≥ 0",IF(AND($F2010="Baseline",$H2010&lt;&gt;""),"⚠ Baseline: Start لا يدخل في التقدم",IF($K2010="No Start (attainment only)","ℹ تحصيل فقط (بدون Start)",IF($K2010="U – needs rule","ℹ حالة U تحتاج قاعدة معتمدة",IF($K2010="No result","ℹ بدون نتيجة (يُستبعد من التحصيل)","OK")))))))))))</f>
        <v/>
      </c>
      <c r="M2010" s="64" t="n">
        <f aca="false">IF($A2010="",0,IFERROR(MATCH($A2010,Classes!$A$6:$A$420,0),0))</f>
        <v>0</v>
      </c>
      <c r="N2010" s="64" t="n">
        <f aca="false">IF($H2010="",0,IFERROR(MATCH($H2010,GradeList,0),0))</f>
        <v>0</v>
      </c>
      <c r="O2010" s="64" t="n">
        <f aca="false">IF(OR($I2010="",$I2010="NR"),0,IFERROR(MATCH($I2010,GradeList,0),0))</f>
        <v>0</v>
      </c>
      <c r="P2010" s="64" t="n">
        <f aca="false">IF(AND($M2010&gt;0,ISNUMBER(MATCH($F2010,Lists!$A$2:$A$5,0)),ISNUMBER(MATCH($G2010,Lists!$B$2:$B$7,0)),OR($H2010="",$N2010&gt;0),OR($I2010="",$I2010="NR",$O2010&gt;0),IF(ISNUMBER($J2010),AND($J2010&gt;=0,$J2010=INT($J2010)),FALSE())),$J2010,0)</f>
        <v>0</v>
      </c>
      <c r="Q2010" s="64" t="n">
        <f aca="false">IF(AND($P2010&gt;0,$O2010&gt;0),$P2010,0)</f>
        <v>0</v>
      </c>
      <c r="R2010" s="64" t="n">
        <f aca="false">IF(AND($Q2010&gt;0,$O2010&gt;=AtRank),$Q2010,0)</f>
        <v>0</v>
      </c>
      <c r="S2010" s="64" t="n">
        <f aca="false">IF(AND($Q2010&gt;0,$O2010&gt;=AboveRank),$Q2010,0)</f>
        <v>0</v>
      </c>
      <c r="T2010" s="64" t="n">
        <f aca="false">IF($K2010="Less",$P2010,0)</f>
        <v>0</v>
      </c>
      <c r="U2010" s="64" t="n">
        <f aca="false">IF($K2010="Expected",$P2010,0)</f>
        <v>0</v>
      </c>
      <c r="V2010" s="64" t="n">
        <f aca="false">IF($K2010="Better",$P2010,0)</f>
        <v>0</v>
      </c>
      <c r="W2010" s="64" t="n">
        <f aca="false">IF($K2010="U – needs rule",$P2010,0)</f>
        <v>0</v>
      </c>
      <c r="X2010" s="64" t="n">
        <f aca="false">IF($K2010="No Start (attainment only)",$P2010,0)</f>
        <v>0</v>
      </c>
    </row>
    <row r="2011" customFormat="false" ht="15" hidden="false" customHeight="false" outlineLevel="0" collapsed="false">
      <c r="A2011" s="60"/>
      <c r="B2011" s="61" t="str">
        <f aca="false">IF($M2011=0,"",INDEX(Classes!$E$6:$E$420,$M2011))</f>
        <v/>
      </c>
      <c r="C2011" s="62" t="str">
        <f aca="false">IF($M2011=0,"",INDEX(Classes!$H$6:$H$420,$M2011))</f>
        <v/>
      </c>
      <c r="D2011" s="61" t="str">
        <f aca="false">IF($M2011=0,"",INDEX(Classes!$B$6:$B$420,$M2011))</f>
        <v/>
      </c>
      <c r="E2011" s="61" t="str">
        <f aca="false">IF($M2011=0,"",INDEX(Classes!$C$6:$C$420,$M2011))</f>
        <v/>
      </c>
      <c r="F2011" s="63"/>
      <c r="G2011" s="63"/>
      <c r="H2011" s="60"/>
      <c r="I2011" s="60"/>
      <c r="J2011" s="63"/>
      <c r="K2011" s="61" t="str">
        <f aca="false">IF($P2011=0,"",IF($F2011="Baseline","— Baseline",IF($O2011=0,"No result",IF($N2011=0,"No Start (attainment only)",IF(OR($N2011=1,$O2011=1),"U – needs rule",INDEX(MxBody,MATCH($I2011,MxCurr,0),MATCH($H2011,MxStart,0)))))))</f>
        <v/>
      </c>
      <c r="L2011" s="62" t="str">
        <f aca="false">IF(COUNTA($A2011,$F2011,$G2011,$H2011,$I2011,$J2011)=0,"",IF($M2011=0,"✖ كود الصف غير موجود",IF(ISNA(MATCH($F2011,Lists!$A$2:$A$5,0)),"✖ الفترة غير صحيحة",IF(ISNA(MATCH($G2011,Lists!$B$2:$B$7,0)),"✖ المجموعة غير صحيحة",IF(NOT(OR($H2011="",$N2011&gt;0)),"✖ Start غير صحيح",IF(NOT(OR($I2011="",$I2011="NR",$O2011&gt;0)),"✖ Current غير صحيح",IF(NOT(IF(ISNUMBER($J2011),AND($J2011&gt;=0,$J2011=INT($J2011)),FALSE())),"✖ العدد يجب أن يكون صحيحًا ≥ 0",IF(AND($F2011="Baseline",$H2011&lt;&gt;""),"⚠ Baseline: Start لا يدخل في التقدم",IF($K2011="No Start (attainment only)","ℹ تحصيل فقط (بدون Start)",IF($K2011="U – needs rule","ℹ حالة U تحتاج قاعدة معتمدة",IF($K2011="No result","ℹ بدون نتيجة (يُستبعد من التحصيل)","OK")))))))))))</f>
        <v/>
      </c>
      <c r="M2011" s="64" t="n">
        <f aca="false">IF($A2011="",0,IFERROR(MATCH($A2011,Classes!$A$6:$A$420,0),0))</f>
        <v>0</v>
      </c>
      <c r="N2011" s="64" t="n">
        <f aca="false">IF($H2011="",0,IFERROR(MATCH($H2011,GradeList,0),0))</f>
        <v>0</v>
      </c>
      <c r="O2011" s="64" t="n">
        <f aca="false">IF(OR($I2011="",$I2011="NR"),0,IFERROR(MATCH($I2011,GradeList,0),0))</f>
        <v>0</v>
      </c>
      <c r="P2011" s="64" t="n">
        <f aca="false">IF(AND($M2011&gt;0,ISNUMBER(MATCH($F2011,Lists!$A$2:$A$5,0)),ISNUMBER(MATCH($G2011,Lists!$B$2:$B$7,0)),OR($H2011="",$N2011&gt;0),OR($I2011="",$I2011="NR",$O2011&gt;0),IF(ISNUMBER($J2011),AND($J2011&gt;=0,$J2011=INT($J2011)),FALSE())),$J2011,0)</f>
        <v>0</v>
      </c>
      <c r="Q2011" s="64" t="n">
        <f aca="false">IF(AND($P2011&gt;0,$O2011&gt;0),$P2011,0)</f>
        <v>0</v>
      </c>
      <c r="R2011" s="64" t="n">
        <f aca="false">IF(AND($Q2011&gt;0,$O2011&gt;=AtRank),$Q2011,0)</f>
        <v>0</v>
      </c>
      <c r="S2011" s="64" t="n">
        <f aca="false">IF(AND($Q2011&gt;0,$O2011&gt;=AboveRank),$Q2011,0)</f>
        <v>0</v>
      </c>
      <c r="T2011" s="64" t="n">
        <f aca="false">IF($K2011="Less",$P2011,0)</f>
        <v>0</v>
      </c>
      <c r="U2011" s="64" t="n">
        <f aca="false">IF($K2011="Expected",$P2011,0)</f>
        <v>0</v>
      </c>
      <c r="V2011" s="64" t="n">
        <f aca="false">IF($K2011="Better",$P2011,0)</f>
        <v>0</v>
      </c>
      <c r="W2011" s="64" t="n">
        <f aca="false">IF($K2011="U – needs rule",$P2011,0)</f>
        <v>0</v>
      </c>
      <c r="X2011" s="64" t="n">
        <f aca="false">IF($K2011="No Start (attainment only)",$P2011,0)</f>
        <v>0</v>
      </c>
    </row>
    <row r="2012" customFormat="false" ht="15" hidden="false" customHeight="false" outlineLevel="0" collapsed="false">
      <c r="A2012" s="60"/>
      <c r="B2012" s="61" t="str">
        <f aca="false">IF($M2012=0,"",INDEX(Classes!$E$6:$E$420,$M2012))</f>
        <v/>
      </c>
      <c r="C2012" s="62" t="str">
        <f aca="false">IF($M2012=0,"",INDEX(Classes!$H$6:$H$420,$M2012))</f>
        <v/>
      </c>
      <c r="D2012" s="61" t="str">
        <f aca="false">IF($M2012=0,"",INDEX(Classes!$B$6:$B$420,$M2012))</f>
        <v/>
      </c>
      <c r="E2012" s="61" t="str">
        <f aca="false">IF($M2012=0,"",INDEX(Classes!$C$6:$C$420,$M2012))</f>
        <v/>
      </c>
      <c r="F2012" s="63"/>
      <c r="G2012" s="63"/>
      <c r="H2012" s="60"/>
      <c r="I2012" s="60"/>
      <c r="J2012" s="63"/>
      <c r="K2012" s="61" t="str">
        <f aca="false">IF($P2012=0,"",IF($F2012="Baseline","— Baseline",IF($O2012=0,"No result",IF($N2012=0,"No Start (attainment only)",IF(OR($N2012=1,$O2012=1),"U – needs rule",INDEX(MxBody,MATCH($I2012,MxCurr,0),MATCH($H2012,MxStart,0)))))))</f>
        <v/>
      </c>
      <c r="L2012" s="62" t="str">
        <f aca="false">IF(COUNTA($A2012,$F2012,$G2012,$H2012,$I2012,$J2012)=0,"",IF($M2012=0,"✖ كود الصف غير موجود",IF(ISNA(MATCH($F2012,Lists!$A$2:$A$5,0)),"✖ الفترة غير صحيحة",IF(ISNA(MATCH($G2012,Lists!$B$2:$B$7,0)),"✖ المجموعة غير صحيحة",IF(NOT(OR($H2012="",$N2012&gt;0)),"✖ Start غير صحيح",IF(NOT(OR($I2012="",$I2012="NR",$O2012&gt;0)),"✖ Current غير صحيح",IF(NOT(IF(ISNUMBER($J2012),AND($J2012&gt;=0,$J2012=INT($J2012)),FALSE())),"✖ العدد يجب أن يكون صحيحًا ≥ 0",IF(AND($F2012="Baseline",$H2012&lt;&gt;""),"⚠ Baseline: Start لا يدخل في التقدم",IF($K2012="No Start (attainment only)","ℹ تحصيل فقط (بدون Start)",IF($K2012="U – needs rule","ℹ حالة U تحتاج قاعدة معتمدة",IF($K2012="No result","ℹ بدون نتيجة (يُستبعد من التحصيل)","OK")))))))))))</f>
        <v/>
      </c>
      <c r="M2012" s="64" t="n">
        <f aca="false">IF($A2012="",0,IFERROR(MATCH($A2012,Classes!$A$6:$A$420,0),0))</f>
        <v>0</v>
      </c>
      <c r="N2012" s="64" t="n">
        <f aca="false">IF($H2012="",0,IFERROR(MATCH($H2012,GradeList,0),0))</f>
        <v>0</v>
      </c>
      <c r="O2012" s="64" t="n">
        <f aca="false">IF(OR($I2012="",$I2012="NR"),0,IFERROR(MATCH($I2012,GradeList,0),0))</f>
        <v>0</v>
      </c>
      <c r="P2012" s="64" t="n">
        <f aca="false">IF(AND($M2012&gt;0,ISNUMBER(MATCH($F2012,Lists!$A$2:$A$5,0)),ISNUMBER(MATCH($G2012,Lists!$B$2:$B$7,0)),OR($H2012="",$N2012&gt;0),OR($I2012="",$I2012="NR",$O2012&gt;0),IF(ISNUMBER($J2012),AND($J2012&gt;=0,$J2012=INT($J2012)),FALSE())),$J2012,0)</f>
        <v>0</v>
      </c>
      <c r="Q2012" s="64" t="n">
        <f aca="false">IF(AND($P2012&gt;0,$O2012&gt;0),$P2012,0)</f>
        <v>0</v>
      </c>
      <c r="R2012" s="64" t="n">
        <f aca="false">IF(AND($Q2012&gt;0,$O2012&gt;=AtRank),$Q2012,0)</f>
        <v>0</v>
      </c>
      <c r="S2012" s="64" t="n">
        <f aca="false">IF(AND($Q2012&gt;0,$O2012&gt;=AboveRank),$Q2012,0)</f>
        <v>0</v>
      </c>
      <c r="T2012" s="64" t="n">
        <f aca="false">IF($K2012="Less",$P2012,0)</f>
        <v>0</v>
      </c>
      <c r="U2012" s="64" t="n">
        <f aca="false">IF($K2012="Expected",$P2012,0)</f>
        <v>0</v>
      </c>
      <c r="V2012" s="64" t="n">
        <f aca="false">IF($K2012="Better",$P2012,0)</f>
        <v>0</v>
      </c>
      <c r="W2012" s="64" t="n">
        <f aca="false">IF($K2012="U – needs rule",$P2012,0)</f>
        <v>0</v>
      </c>
      <c r="X2012" s="64" t="n">
        <f aca="false">IF($K2012="No Start (attainment only)",$P2012,0)</f>
        <v>0</v>
      </c>
    </row>
    <row r="2013" customFormat="false" ht="15" hidden="false" customHeight="false" outlineLevel="0" collapsed="false">
      <c r="A2013" s="60"/>
      <c r="B2013" s="61" t="str">
        <f aca="false">IF($M2013=0,"",INDEX(Classes!$E$6:$E$420,$M2013))</f>
        <v/>
      </c>
      <c r="C2013" s="62" t="str">
        <f aca="false">IF($M2013=0,"",INDEX(Classes!$H$6:$H$420,$M2013))</f>
        <v/>
      </c>
      <c r="D2013" s="61" t="str">
        <f aca="false">IF($M2013=0,"",INDEX(Classes!$B$6:$B$420,$M2013))</f>
        <v/>
      </c>
      <c r="E2013" s="61" t="str">
        <f aca="false">IF($M2013=0,"",INDEX(Classes!$C$6:$C$420,$M2013))</f>
        <v/>
      </c>
      <c r="F2013" s="63"/>
      <c r="G2013" s="63"/>
      <c r="H2013" s="60"/>
      <c r="I2013" s="60"/>
      <c r="J2013" s="63"/>
      <c r="K2013" s="61" t="str">
        <f aca="false">IF($P2013=0,"",IF($F2013="Baseline","— Baseline",IF($O2013=0,"No result",IF($N2013=0,"No Start (attainment only)",IF(OR($N2013=1,$O2013=1),"U – needs rule",INDEX(MxBody,MATCH($I2013,MxCurr,0),MATCH($H2013,MxStart,0)))))))</f>
        <v/>
      </c>
      <c r="L2013" s="62" t="str">
        <f aca="false">IF(COUNTA($A2013,$F2013,$G2013,$H2013,$I2013,$J2013)=0,"",IF($M2013=0,"✖ كود الصف غير موجود",IF(ISNA(MATCH($F2013,Lists!$A$2:$A$5,0)),"✖ الفترة غير صحيحة",IF(ISNA(MATCH($G2013,Lists!$B$2:$B$7,0)),"✖ المجموعة غير صحيحة",IF(NOT(OR($H2013="",$N2013&gt;0)),"✖ Start غير صحيح",IF(NOT(OR($I2013="",$I2013="NR",$O2013&gt;0)),"✖ Current غير صحيح",IF(NOT(IF(ISNUMBER($J2013),AND($J2013&gt;=0,$J2013=INT($J2013)),FALSE())),"✖ العدد يجب أن يكون صحيحًا ≥ 0",IF(AND($F2013="Baseline",$H2013&lt;&gt;""),"⚠ Baseline: Start لا يدخل في التقدم",IF($K2013="No Start (attainment only)","ℹ تحصيل فقط (بدون Start)",IF($K2013="U – needs rule","ℹ حالة U تحتاج قاعدة معتمدة",IF($K2013="No result","ℹ بدون نتيجة (يُستبعد من التحصيل)","OK")))))))))))</f>
        <v/>
      </c>
      <c r="M2013" s="64" t="n">
        <f aca="false">IF($A2013="",0,IFERROR(MATCH($A2013,Classes!$A$6:$A$420,0),0))</f>
        <v>0</v>
      </c>
      <c r="N2013" s="64" t="n">
        <f aca="false">IF($H2013="",0,IFERROR(MATCH($H2013,GradeList,0),0))</f>
        <v>0</v>
      </c>
      <c r="O2013" s="64" t="n">
        <f aca="false">IF(OR($I2013="",$I2013="NR"),0,IFERROR(MATCH($I2013,GradeList,0),0))</f>
        <v>0</v>
      </c>
      <c r="P2013" s="64" t="n">
        <f aca="false">IF(AND($M2013&gt;0,ISNUMBER(MATCH($F2013,Lists!$A$2:$A$5,0)),ISNUMBER(MATCH($G2013,Lists!$B$2:$B$7,0)),OR($H2013="",$N2013&gt;0),OR($I2013="",$I2013="NR",$O2013&gt;0),IF(ISNUMBER($J2013),AND($J2013&gt;=0,$J2013=INT($J2013)),FALSE())),$J2013,0)</f>
        <v>0</v>
      </c>
      <c r="Q2013" s="64" t="n">
        <f aca="false">IF(AND($P2013&gt;0,$O2013&gt;0),$P2013,0)</f>
        <v>0</v>
      </c>
      <c r="R2013" s="64" t="n">
        <f aca="false">IF(AND($Q2013&gt;0,$O2013&gt;=AtRank),$Q2013,0)</f>
        <v>0</v>
      </c>
      <c r="S2013" s="64" t="n">
        <f aca="false">IF(AND($Q2013&gt;0,$O2013&gt;=AboveRank),$Q2013,0)</f>
        <v>0</v>
      </c>
      <c r="T2013" s="64" t="n">
        <f aca="false">IF($K2013="Less",$P2013,0)</f>
        <v>0</v>
      </c>
      <c r="U2013" s="64" t="n">
        <f aca="false">IF($K2013="Expected",$P2013,0)</f>
        <v>0</v>
      </c>
      <c r="V2013" s="64" t="n">
        <f aca="false">IF($K2013="Better",$P2013,0)</f>
        <v>0</v>
      </c>
      <c r="W2013" s="64" t="n">
        <f aca="false">IF($K2013="U – needs rule",$P2013,0)</f>
        <v>0</v>
      </c>
      <c r="X2013" s="64" t="n">
        <f aca="false">IF($K2013="No Start (attainment only)",$P2013,0)</f>
        <v>0</v>
      </c>
    </row>
    <row r="2014" customFormat="false" ht="15" hidden="false" customHeight="false" outlineLevel="0" collapsed="false">
      <c r="A2014" s="60"/>
      <c r="B2014" s="61" t="str">
        <f aca="false">IF($M2014=0,"",INDEX(Classes!$E$6:$E$420,$M2014))</f>
        <v/>
      </c>
      <c r="C2014" s="62" t="str">
        <f aca="false">IF($M2014=0,"",INDEX(Classes!$H$6:$H$420,$M2014))</f>
        <v/>
      </c>
      <c r="D2014" s="61" t="str">
        <f aca="false">IF($M2014=0,"",INDEX(Classes!$B$6:$B$420,$M2014))</f>
        <v/>
      </c>
      <c r="E2014" s="61" t="str">
        <f aca="false">IF($M2014=0,"",INDEX(Classes!$C$6:$C$420,$M2014))</f>
        <v/>
      </c>
      <c r="F2014" s="63"/>
      <c r="G2014" s="63"/>
      <c r="H2014" s="60"/>
      <c r="I2014" s="60"/>
      <c r="J2014" s="63"/>
      <c r="K2014" s="61" t="str">
        <f aca="false">IF($P2014=0,"",IF($F2014="Baseline","— Baseline",IF($O2014=0,"No result",IF($N2014=0,"No Start (attainment only)",IF(OR($N2014=1,$O2014=1),"U – needs rule",INDEX(MxBody,MATCH($I2014,MxCurr,0),MATCH($H2014,MxStart,0)))))))</f>
        <v/>
      </c>
      <c r="L2014" s="62" t="str">
        <f aca="false">IF(COUNTA($A2014,$F2014,$G2014,$H2014,$I2014,$J2014)=0,"",IF($M2014=0,"✖ كود الصف غير موجود",IF(ISNA(MATCH($F2014,Lists!$A$2:$A$5,0)),"✖ الفترة غير صحيحة",IF(ISNA(MATCH($G2014,Lists!$B$2:$B$7,0)),"✖ المجموعة غير صحيحة",IF(NOT(OR($H2014="",$N2014&gt;0)),"✖ Start غير صحيح",IF(NOT(OR($I2014="",$I2014="NR",$O2014&gt;0)),"✖ Current غير صحيح",IF(NOT(IF(ISNUMBER($J2014),AND($J2014&gt;=0,$J2014=INT($J2014)),FALSE())),"✖ العدد يجب أن يكون صحيحًا ≥ 0",IF(AND($F2014="Baseline",$H2014&lt;&gt;""),"⚠ Baseline: Start لا يدخل في التقدم",IF($K2014="No Start (attainment only)","ℹ تحصيل فقط (بدون Start)",IF($K2014="U – needs rule","ℹ حالة U تحتاج قاعدة معتمدة",IF($K2014="No result","ℹ بدون نتيجة (يُستبعد من التحصيل)","OK")))))))))))</f>
        <v/>
      </c>
      <c r="M2014" s="64" t="n">
        <f aca="false">IF($A2014="",0,IFERROR(MATCH($A2014,Classes!$A$6:$A$420,0),0))</f>
        <v>0</v>
      </c>
      <c r="N2014" s="64" t="n">
        <f aca="false">IF($H2014="",0,IFERROR(MATCH($H2014,GradeList,0),0))</f>
        <v>0</v>
      </c>
      <c r="O2014" s="64" t="n">
        <f aca="false">IF(OR($I2014="",$I2014="NR"),0,IFERROR(MATCH($I2014,GradeList,0),0))</f>
        <v>0</v>
      </c>
      <c r="P2014" s="64" t="n">
        <f aca="false">IF(AND($M2014&gt;0,ISNUMBER(MATCH($F2014,Lists!$A$2:$A$5,0)),ISNUMBER(MATCH($G2014,Lists!$B$2:$B$7,0)),OR($H2014="",$N2014&gt;0),OR($I2014="",$I2014="NR",$O2014&gt;0),IF(ISNUMBER($J2014),AND($J2014&gt;=0,$J2014=INT($J2014)),FALSE())),$J2014,0)</f>
        <v>0</v>
      </c>
      <c r="Q2014" s="64" t="n">
        <f aca="false">IF(AND($P2014&gt;0,$O2014&gt;0),$P2014,0)</f>
        <v>0</v>
      </c>
      <c r="R2014" s="64" t="n">
        <f aca="false">IF(AND($Q2014&gt;0,$O2014&gt;=AtRank),$Q2014,0)</f>
        <v>0</v>
      </c>
      <c r="S2014" s="64" t="n">
        <f aca="false">IF(AND($Q2014&gt;0,$O2014&gt;=AboveRank),$Q2014,0)</f>
        <v>0</v>
      </c>
      <c r="T2014" s="64" t="n">
        <f aca="false">IF($K2014="Less",$P2014,0)</f>
        <v>0</v>
      </c>
      <c r="U2014" s="64" t="n">
        <f aca="false">IF($K2014="Expected",$P2014,0)</f>
        <v>0</v>
      </c>
      <c r="V2014" s="64" t="n">
        <f aca="false">IF($K2014="Better",$P2014,0)</f>
        <v>0</v>
      </c>
      <c r="W2014" s="64" t="n">
        <f aca="false">IF($K2014="U – needs rule",$P2014,0)</f>
        <v>0</v>
      </c>
      <c r="X2014" s="64" t="n">
        <f aca="false">IF($K2014="No Start (attainment only)",$P2014,0)</f>
        <v>0</v>
      </c>
    </row>
    <row r="2015" customFormat="false" ht="15" hidden="false" customHeight="false" outlineLevel="0" collapsed="false">
      <c r="A2015" s="60"/>
      <c r="B2015" s="61" t="str">
        <f aca="false">IF($M2015=0,"",INDEX(Classes!$E$6:$E$420,$M2015))</f>
        <v/>
      </c>
      <c r="C2015" s="62" t="str">
        <f aca="false">IF($M2015=0,"",INDEX(Classes!$H$6:$H$420,$M2015))</f>
        <v/>
      </c>
      <c r="D2015" s="61" t="str">
        <f aca="false">IF($M2015=0,"",INDEX(Classes!$B$6:$B$420,$M2015))</f>
        <v/>
      </c>
      <c r="E2015" s="61" t="str">
        <f aca="false">IF($M2015=0,"",INDEX(Classes!$C$6:$C$420,$M2015))</f>
        <v/>
      </c>
      <c r="F2015" s="63"/>
      <c r="G2015" s="63"/>
      <c r="H2015" s="60"/>
      <c r="I2015" s="60"/>
      <c r="J2015" s="63"/>
      <c r="K2015" s="61" t="str">
        <f aca="false">IF($P2015=0,"",IF($F2015="Baseline","— Baseline",IF($O2015=0,"No result",IF($N2015=0,"No Start (attainment only)",IF(OR($N2015=1,$O2015=1),"U – needs rule",INDEX(MxBody,MATCH($I2015,MxCurr,0),MATCH($H2015,MxStart,0)))))))</f>
        <v/>
      </c>
      <c r="L2015" s="62" t="str">
        <f aca="false">IF(COUNTA($A2015,$F2015,$G2015,$H2015,$I2015,$J2015)=0,"",IF($M2015=0,"✖ كود الصف غير موجود",IF(ISNA(MATCH($F2015,Lists!$A$2:$A$5,0)),"✖ الفترة غير صحيحة",IF(ISNA(MATCH($G2015,Lists!$B$2:$B$7,0)),"✖ المجموعة غير صحيحة",IF(NOT(OR($H2015="",$N2015&gt;0)),"✖ Start غير صحيح",IF(NOT(OR($I2015="",$I2015="NR",$O2015&gt;0)),"✖ Current غير صحيح",IF(NOT(IF(ISNUMBER($J2015),AND($J2015&gt;=0,$J2015=INT($J2015)),FALSE())),"✖ العدد يجب أن يكون صحيحًا ≥ 0",IF(AND($F2015="Baseline",$H2015&lt;&gt;""),"⚠ Baseline: Start لا يدخل في التقدم",IF($K2015="No Start (attainment only)","ℹ تحصيل فقط (بدون Start)",IF($K2015="U – needs rule","ℹ حالة U تحتاج قاعدة معتمدة",IF($K2015="No result","ℹ بدون نتيجة (يُستبعد من التحصيل)","OK")))))))))))</f>
        <v/>
      </c>
      <c r="M2015" s="64" t="n">
        <f aca="false">IF($A2015="",0,IFERROR(MATCH($A2015,Classes!$A$6:$A$420,0),0))</f>
        <v>0</v>
      </c>
      <c r="N2015" s="64" t="n">
        <f aca="false">IF($H2015="",0,IFERROR(MATCH($H2015,GradeList,0),0))</f>
        <v>0</v>
      </c>
      <c r="O2015" s="64" t="n">
        <f aca="false">IF(OR($I2015="",$I2015="NR"),0,IFERROR(MATCH($I2015,GradeList,0),0))</f>
        <v>0</v>
      </c>
      <c r="P2015" s="64" t="n">
        <f aca="false">IF(AND($M2015&gt;0,ISNUMBER(MATCH($F2015,Lists!$A$2:$A$5,0)),ISNUMBER(MATCH($G2015,Lists!$B$2:$B$7,0)),OR($H2015="",$N2015&gt;0),OR($I2015="",$I2015="NR",$O2015&gt;0),IF(ISNUMBER($J2015),AND($J2015&gt;=0,$J2015=INT($J2015)),FALSE())),$J2015,0)</f>
        <v>0</v>
      </c>
      <c r="Q2015" s="64" t="n">
        <f aca="false">IF(AND($P2015&gt;0,$O2015&gt;0),$P2015,0)</f>
        <v>0</v>
      </c>
      <c r="R2015" s="64" t="n">
        <f aca="false">IF(AND($Q2015&gt;0,$O2015&gt;=AtRank),$Q2015,0)</f>
        <v>0</v>
      </c>
      <c r="S2015" s="64" t="n">
        <f aca="false">IF(AND($Q2015&gt;0,$O2015&gt;=AboveRank),$Q2015,0)</f>
        <v>0</v>
      </c>
      <c r="T2015" s="64" t="n">
        <f aca="false">IF($K2015="Less",$P2015,0)</f>
        <v>0</v>
      </c>
      <c r="U2015" s="64" t="n">
        <f aca="false">IF($K2015="Expected",$P2015,0)</f>
        <v>0</v>
      </c>
      <c r="V2015" s="64" t="n">
        <f aca="false">IF($K2015="Better",$P2015,0)</f>
        <v>0</v>
      </c>
      <c r="W2015" s="64" t="n">
        <f aca="false">IF($K2015="U – needs rule",$P2015,0)</f>
        <v>0</v>
      </c>
      <c r="X2015" s="64" t="n">
        <f aca="false">IF($K2015="No Start (attainment only)",$P2015,0)</f>
        <v>0</v>
      </c>
    </row>
    <row r="2016" customFormat="false" ht="15" hidden="false" customHeight="false" outlineLevel="0" collapsed="false">
      <c r="A2016" s="60"/>
      <c r="B2016" s="61" t="str">
        <f aca="false">IF($M2016=0,"",INDEX(Classes!$E$6:$E$420,$M2016))</f>
        <v/>
      </c>
      <c r="C2016" s="62" t="str">
        <f aca="false">IF($M2016=0,"",INDEX(Classes!$H$6:$H$420,$M2016))</f>
        <v/>
      </c>
      <c r="D2016" s="61" t="str">
        <f aca="false">IF($M2016=0,"",INDEX(Classes!$B$6:$B$420,$M2016))</f>
        <v/>
      </c>
      <c r="E2016" s="61" t="str">
        <f aca="false">IF($M2016=0,"",INDEX(Classes!$C$6:$C$420,$M2016))</f>
        <v/>
      </c>
      <c r="F2016" s="63"/>
      <c r="G2016" s="63"/>
      <c r="H2016" s="60"/>
      <c r="I2016" s="60"/>
      <c r="J2016" s="63"/>
      <c r="K2016" s="61" t="str">
        <f aca="false">IF($P2016=0,"",IF($F2016="Baseline","— Baseline",IF($O2016=0,"No result",IF($N2016=0,"No Start (attainment only)",IF(OR($N2016=1,$O2016=1),"U – needs rule",INDEX(MxBody,MATCH($I2016,MxCurr,0),MATCH($H2016,MxStart,0)))))))</f>
        <v/>
      </c>
      <c r="L2016" s="62" t="str">
        <f aca="false">IF(COUNTA($A2016,$F2016,$G2016,$H2016,$I2016,$J2016)=0,"",IF($M2016=0,"✖ كود الصف غير موجود",IF(ISNA(MATCH($F2016,Lists!$A$2:$A$5,0)),"✖ الفترة غير صحيحة",IF(ISNA(MATCH($G2016,Lists!$B$2:$B$7,0)),"✖ المجموعة غير صحيحة",IF(NOT(OR($H2016="",$N2016&gt;0)),"✖ Start غير صحيح",IF(NOT(OR($I2016="",$I2016="NR",$O2016&gt;0)),"✖ Current غير صحيح",IF(NOT(IF(ISNUMBER($J2016),AND($J2016&gt;=0,$J2016=INT($J2016)),FALSE())),"✖ العدد يجب أن يكون صحيحًا ≥ 0",IF(AND($F2016="Baseline",$H2016&lt;&gt;""),"⚠ Baseline: Start لا يدخل في التقدم",IF($K2016="No Start (attainment only)","ℹ تحصيل فقط (بدون Start)",IF($K2016="U – needs rule","ℹ حالة U تحتاج قاعدة معتمدة",IF($K2016="No result","ℹ بدون نتيجة (يُستبعد من التحصيل)","OK")))))))))))</f>
        <v/>
      </c>
      <c r="M2016" s="64" t="n">
        <f aca="false">IF($A2016="",0,IFERROR(MATCH($A2016,Classes!$A$6:$A$420,0),0))</f>
        <v>0</v>
      </c>
      <c r="N2016" s="64" t="n">
        <f aca="false">IF($H2016="",0,IFERROR(MATCH($H2016,GradeList,0),0))</f>
        <v>0</v>
      </c>
      <c r="O2016" s="64" t="n">
        <f aca="false">IF(OR($I2016="",$I2016="NR"),0,IFERROR(MATCH($I2016,GradeList,0),0))</f>
        <v>0</v>
      </c>
      <c r="P2016" s="64" t="n">
        <f aca="false">IF(AND($M2016&gt;0,ISNUMBER(MATCH($F2016,Lists!$A$2:$A$5,0)),ISNUMBER(MATCH($G2016,Lists!$B$2:$B$7,0)),OR($H2016="",$N2016&gt;0),OR($I2016="",$I2016="NR",$O2016&gt;0),IF(ISNUMBER($J2016),AND($J2016&gt;=0,$J2016=INT($J2016)),FALSE())),$J2016,0)</f>
        <v>0</v>
      </c>
      <c r="Q2016" s="64" t="n">
        <f aca="false">IF(AND($P2016&gt;0,$O2016&gt;0),$P2016,0)</f>
        <v>0</v>
      </c>
      <c r="R2016" s="64" t="n">
        <f aca="false">IF(AND($Q2016&gt;0,$O2016&gt;=AtRank),$Q2016,0)</f>
        <v>0</v>
      </c>
      <c r="S2016" s="64" t="n">
        <f aca="false">IF(AND($Q2016&gt;0,$O2016&gt;=AboveRank),$Q2016,0)</f>
        <v>0</v>
      </c>
      <c r="T2016" s="64" t="n">
        <f aca="false">IF($K2016="Less",$P2016,0)</f>
        <v>0</v>
      </c>
      <c r="U2016" s="64" t="n">
        <f aca="false">IF($K2016="Expected",$P2016,0)</f>
        <v>0</v>
      </c>
      <c r="V2016" s="64" t="n">
        <f aca="false">IF($K2016="Better",$P2016,0)</f>
        <v>0</v>
      </c>
      <c r="W2016" s="64" t="n">
        <f aca="false">IF($K2016="U – needs rule",$P2016,0)</f>
        <v>0</v>
      </c>
      <c r="X2016" s="64" t="n">
        <f aca="false">IF($K2016="No Start (attainment only)",$P2016,0)</f>
        <v>0</v>
      </c>
    </row>
    <row r="2017" customFormat="false" ht="15" hidden="false" customHeight="false" outlineLevel="0" collapsed="false">
      <c r="A2017" s="60"/>
      <c r="B2017" s="61" t="str">
        <f aca="false">IF($M2017=0,"",INDEX(Classes!$E$6:$E$420,$M2017))</f>
        <v/>
      </c>
      <c r="C2017" s="62" t="str">
        <f aca="false">IF($M2017=0,"",INDEX(Classes!$H$6:$H$420,$M2017))</f>
        <v/>
      </c>
      <c r="D2017" s="61" t="str">
        <f aca="false">IF($M2017=0,"",INDEX(Classes!$B$6:$B$420,$M2017))</f>
        <v/>
      </c>
      <c r="E2017" s="61" t="str">
        <f aca="false">IF($M2017=0,"",INDEX(Classes!$C$6:$C$420,$M2017))</f>
        <v/>
      </c>
      <c r="F2017" s="63"/>
      <c r="G2017" s="63"/>
      <c r="H2017" s="60"/>
      <c r="I2017" s="60"/>
      <c r="J2017" s="63"/>
      <c r="K2017" s="61" t="str">
        <f aca="false">IF($P2017=0,"",IF($F2017="Baseline","— Baseline",IF($O2017=0,"No result",IF($N2017=0,"No Start (attainment only)",IF(OR($N2017=1,$O2017=1),"U – needs rule",INDEX(MxBody,MATCH($I2017,MxCurr,0),MATCH($H2017,MxStart,0)))))))</f>
        <v/>
      </c>
      <c r="L2017" s="62" t="str">
        <f aca="false">IF(COUNTA($A2017,$F2017,$G2017,$H2017,$I2017,$J2017)=0,"",IF($M2017=0,"✖ كود الصف غير موجود",IF(ISNA(MATCH($F2017,Lists!$A$2:$A$5,0)),"✖ الفترة غير صحيحة",IF(ISNA(MATCH($G2017,Lists!$B$2:$B$7,0)),"✖ المجموعة غير صحيحة",IF(NOT(OR($H2017="",$N2017&gt;0)),"✖ Start غير صحيح",IF(NOT(OR($I2017="",$I2017="NR",$O2017&gt;0)),"✖ Current غير صحيح",IF(NOT(IF(ISNUMBER($J2017),AND($J2017&gt;=0,$J2017=INT($J2017)),FALSE())),"✖ العدد يجب أن يكون صحيحًا ≥ 0",IF(AND($F2017="Baseline",$H2017&lt;&gt;""),"⚠ Baseline: Start لا يدخل في التقدم",IF($K2017="No Start (attainment only)","ℹ تحصيل فقط (بدون Start)",IF($K2017="U – needs rule","ℹ حالة U تحتاج قاعدة معتمدة",IF($K2017="No result","ℹ بدون نتيجة (يُستبعد من التحصيل)","OK")))))))))))</f>
        <v/>
      </c>
      <c r="M2017" s="64" t="n">
        <f aca="false">IF($A2017="",0,IFERROR(MATCH($A2017,Classes!$A$6:$A$420,0),0))</f>
        <v>0</v>
      </c>
      <c r="N2017" s="64" t="n">
        <f aca="false">IF($H2017="",0,IFERROR(MATCH($H2017,GradeList,0),0))</f>
        <v>0</v>
      </c>
      <c r="O2017" s="64" t="n">
        <f aca="false">IF(OR($I2017="",$I2017="NR"),0,IFERROR(MATCH($I2017,GradeList,0),0))</f>
        <v>0</v>
      </c>
      <c r="P2017" s="64" t="n">
        <f aca="false">IF(AND($M2017&gt;0,ISNUMBER(MATCH($F2017,Lists!$A$2:$A$5,0)),ISNUMBER(MATCH($G2017,Lists!$B$2:$B$7,0)),OR($H2017="",$N2017&gt;0),OR($I2017="",$I2017="NR",$O2017&gt;0),IF(ISNUMBER($J2017),AND($J2017&gt;=0,$J2017=INT($J2017)),FALSE())),$J2017,0)</f>
        <v>0</v>
      </c>
      <c r="Q2017" s="64" t="n">
        <f aca="false">IF(AND($P2017&gt;0,$O2017&gt;0),$P2017,0)</f>
        <v>0</v>
      </c>
      <c r="R2017" s="64" t="n">
        <f aca="false">IF(AND($Q2017&gt;0,$O2017&gt;=AtRank),$Q2017,0)</f>
        <v>0</v>
      </c>
      <c r="S2017" s="64" t="n">
        <f aca="false">IF(AND($Q2017&gt;0,$O2017&gt;=AboveRank),$Q2017,0)</f>
        <v>0</v>
      </c>
      <c r="T2017" s="64" t="n">
        <f aca="false">IF($K2017="Less",$P2017,0)</f>
        <v>0</v>
      </c>
      <c r="U2017" s="64" t="n">
        <f aca="false">IF($K2017="Expected",$P2017,0)</f>
        <v>0</v>
      </c>
      <c r="V2017" s="64" t="n">
        <f aca="false">IF($K2017="Better",$P2017,0)</f>
        <v>0</v>
      </c>
      <c r="W2017" s="64" t="n">
        <f aca="false">IF($K2017="U – needs rule",$P2017,0)</f>
        <v>0</v>
      </c>
      <c r="X2017" s="64" t="n">
        <f aca="false">IF($K2017="No Start (attainment only)",$P2017,0)</f>
        <v>0</v>
      </c>
    </row>
    <row r="2018" customFormat="false" ht="15" hidden="false" customHeight="false" outlineLevel="0" collapsed="false">
      <c r="A2018" s="60"/>
      <c r="B2018" s="61" t="str">
        <f aca="false">IF($M2018=0,"",INDEX(Classes!$E$6:$E$420,$M2018))</f>
        <v/>
      </c>
      <c r="C2018" s="62" t="str">
        <f aca="false">IF($M2018=0,"",INDEX(Classes!$H$6:$H$420,$M2018))</f>
        <v/>
      </c>
      <c r="D2018" s="61" t="str">
        <f aca="false">IF($M2018=0,"",INDEX(Classes!$B$6:$B$420,$M2018))</f>
        <v/>
      </c>
      <c r="E2018" s="61" t="str">
        <f aca="false">IF($M2018=0,"",INDEX(Classes!$C$6:$C$420,$M2018))</f>
        <v/>
      </c>
      <c r="F2018" s="63"/>
      <c r="G2018" s="63"/>
      <c r="H2018" s="60"/>
      <c r="I2018" s="60"/>
      <c r="J2018" s="63"/>
      <c r="K2018" s="61" t="str">
        <f aca="false">IF($P2018=0,"",IF($F2018="Baseline","— Baseline",IF($O2018=0,"No result",IF($N2018=0,"No Start (attainment only)",IF(OR($N2018=1,$O2018=1),"U – needs rule",INDEX(MxBody,MATCH($I2018,MxCurr,0),MATCH($H2018,MxStart,0)))))))</f>
        <v/>
      </c>
      <c r="L2018" s="62" t="str">
        <f aca="false">IF(COUNTA($A2018,$F2018,$G2018,$H2018,$I2018,$J2018)=0,"",IF($M2018=0,"✖ كود الصف غير موجود",IF(ISNA(MATCH($F2018,Lists!$A$2:$A$5,0)),"✖ الفترة غير صحيحة",IF(ISNA(MATCH($G2018,Lists!$B$2:$B$7,0)),"✖ المجموعة غير صحيحة",IF(NOT(OR($H2018="",$N2018&gt;0)),"✖ Start غير صحيح",IF(NOT(OR($I2018="",$I2018="NR",$O2018&gt;0)),"✖ Current غير صحيح",IF(NOT(IF(ISNUMBER($J2018),AND($J2018&gt;=0,$J2018=INT($J2018)),FALSE())),"✖ العدد يجب أن يكون صحيحًا ≥ 0",IF(AND($F2018="Baseline",$H2018&lt;&gt;""),"⚠ Baseline: Start لا يدخل في التقدم",IF($K2018="No Start (attainment only)","ℹ تحصيل فقط (بدون Start)",IF($K2018="U – needs rule","ℹ حالة U تحتاج قاعدة معتمدة",IF($K2018="No result","ℹ بدون نتيجة (يُستبعد من التحصيل)","OK")))))))))))</f>
        <v/>
      </c>
      <c r="M2018" s="64" t="n">
        <f aca="false">IF($A2018="",0,IFERROR(MATCH($A2018,Classes!$A$6:$A$420,0),0))</f>
        <v>0</v>
      </c>
      <c r="N2018" s="64" t="n">
        <f aca="false">IF($H2018="",0,IFERROR(MATCH($H2018,GradeList,0),0))</f>
        <v>0</v>
      </c>
      <c r="O2018" s="64" t="n">
        <f aca="false">IF(OR($I2018="",$I2018="NR"),0,IFERROR(MATCH($I2018,GradeList,0),0))</f>
        <v>0</v>
      </c>
      <c r="P2018" s="64" t="n">
        <f aca="false">IF(AND($M2018&gt;0,ISNUMBER(MATCH($F2018,Lists!$A$2:$A$5,0)),ISNUMBER(MATCH($G2018,Lists!$B$2:$B$7,0)),OR($H2018="",$N2018&gt;0),OR($I2018="",$I2018="NR",$O2018&gt;0),IF(ISNUMBER($J2018),AND($J2018&gt;=0,$J2018=INT($J2018)),FALSE())),$J2018,0)</f>
        <v>0</v>
      </c>
      <c r="Q2018" s="64" t="n">
        <f aca="false">IF(AND($P2018&gt;0,$O2018&gt;0),$P2018,0)</f>
        <v>0</v>
      </c>
      <c r="R2018" s="64" t="n">
        <f aca="false">IF(AND($Q2018&gt;0,$O2018&gt;=AtRank),$Q2018,0)</f>
        <v>0</v>
      </c>
      <c r="S2018" s="64" t="n">
        <f aca="false">IF(AND($Q2018&gt;0,$O2018&gt;=AboveRank),$Q2018,0)</f>
        <v>0</v>
      </c>
      <c r="T2018" s="64" t="n">
        <f aca="false">IF($K2018="Less",$P2018,0)</f>
        <v>0</v>
      </c>
      <c r="U2018" s="64" t="n">
        <f aca="false">IF($K2018="Expected",$P2018,0)</f>
        <v>0</v>
      </c>
      <c r="V2018" s="64" t="n">
        <f aca="false">IF($K2018="Better",$P2018,0)</f>
        <v>0</v>
      </c>
      <c r="W2018" s="64" t="n">
        <f aca="false">IF($K2018="U – needs rule",$P2018,0)</f>
        <v>0</v>
      </c>
      <c r="X2018" s="64" t="n">
        <f aca="false">IF($K2018="No Start (attainment only)",$P2018,0)</f>
        <v>0</v>
      </c>
    </row>
    <row r="2019" customFormat="false" ht="15" hidden="false" customHeight="false" outlineLevel="0" collapsed="false">
      <c r="A2019" s="60"/>
      <c r="B2019" s="61" t="str">
        <f aca="false">IF($M2019=0,"",INDEX(Classes!$E$6:$E$420,$M2019))</f>
        <v/>
      </c>
      <c r="C2019" s="62" t="str">
        <f aca="false">IF($M2019=0,"",INDEX(Classes!$H$6:$H$420,$M2019))</f>
        <v/>
      </c>
      <c r="D2019" s="61" t="str">
        <f aca="false">IF($M2019=0,"",INDEX(Classes!$B$6:$B$420,$M2019))</f>
        <v/>
      </c>
      <c r="E2019" s="61" t="str">
        <f aca="false">IF($M2019=0,"",INDEX(Classes!$C$6:$C$420,$M2019))</f>
        <v/>
      </c>
      <c r="F2019" s="63"/>
      <c r="G2019" s="63"/>
      <c r="H2019" s="60"/>
      <c r="I2019" s="60"/>
      <c r="J2019" s="63"/>
      <c r="K2019" s="61" t="str">
        <f aca="false">IF($P2019=0,"",IF($F2019="Baseline","— Baseline",IF($O2019=0,"No result",IF($N2019=0,"No Start (attainment only)",IF(OR($N2019=1,$O2019=1),"U – needs rule",INDEX(MxBody,MATCH($I2019,MxCurr,0),MATCH($H2019,MxStart,0)))))))</f>
        <v/>
      </c>
      <c r="L2019" s="62" t="str">
        <f aca="false">IF(COUNTA($A2019,$F2019,$G2019,$H2019,$I2019,$J2019)=0,"",IF($M2019=0,"✖ كود الصف غير موجود",IF(ISNA(MATCH($F2019,Lists!$A$2:$A$5,0)),"✖ الفترة غير صحيحة",IF(ISNA(MATCH($G2019,Lists!$B$2:$B$7,0)),"✖ المجموعة غير صحيحة",IF(NOT(OR($H2019="",$N2019&gt;0)),"✖ Start غير صحيح",IF(NOT(OR($I2019="",$I2019="NR",$O2019&gt;0)),"✖ Current غير صحيح",IF(NOT(IF(ISNUMBER($J2019),AND($J2019&gt;=0,$J2019=INT($J2019)),FALSE())),"✖ العدد يجب أن يكون صحيحًا ≥ 0",IF(AND($F2019="Baseline",$H2019&lt;&gt;""),"⚠ Baseline: Start لا يدخل في التقدم",IF($K2019="No Start (attainment only)","ℹ تحصيل فقط (بدون Start)",IF($K2019="U – needs rule","ℹ حالة U تحتاج قاعدة معتمدة",IF($K2019="No result","ℹ بدون نتيجة (يُستبعد من التحصيل)","OK")))))))))))</f>
        <v/>
      </c>
      <c r="M2019" s="64" t="n">
        <f aca="false">IF($A2019="",0,IFERROR(MATCH($A2019,Classes!$A$6:$A$420,0),0))</f>
        <v>0</v>
      </c>
      <c r="N2019" s="64" t="n">
        <f aca="false">IF($H2019="",0,IFERROR(MATCH($H2019,GradeList,0),0))</f>
        <v>0</v>
      </c>
      <c r="O2019" s="64" t="n">
        <f aca="false">IF(OR($I2019="",$I2019="NR"),0,IFERROR(MATCH($I2019,GradeList,0),0))</f>
        <v>0</v>
      </c>
      <c r="P2019" s="64" t="n">
        <f aca="false">IF(AND($M2019&gt;0,ISNUMBER(MATCH($F2019,Lists!$A$2:$A$5,0)),ISNUMBER(MATCH($G2019,Lists!$B$2:$B$7,0)),OR($H2019="",$N2019&gt;0),OR($I2019="",$I2019="NR",$O2019&gt;0),IF(ISNUMBER($J2019),AND($J2019&gt;=0,$J2019=INT($J2019)),FALSE())),$J2019,0)</f>
        <v>0</v>
      </c>
      <c r="Q2019" s="64" t="n">
        <f aca="false">IF(AND($P2019&gt;0,$O2019&gt;0),$P2019,0)</f>
        <v>0</v>
      </c>
      <c r="R2019" s="64" t="n">
        <f aca="false">IF(AND($Q2019&gt;0,$O2019&gt;=AtRank),$Q2019,0)</f>
        <v>0</v>
      </c>
      <c r="S2019" s="64" t="n">
        <f aca="false">IF(AND($Q2019&gt;0,$O2019&gt;=AboveRank),$Q2019,0)</f>
        <v>0</v>
      </c>
      <c r="T2019" s="64" t="n">
        <f aca="false">IF($K2019="Less",$P2019,0)</f>
        <v>0</v>
      </c>
      <c r="U2019" s="64" t="n">
        <f aca="false">IF($K2019="Expected",$P2019,0)</f>
        <v>0</v>
      </c>
      <c r="V2019" s="64" t="n">
        <f aca="false">IF($K2019="Better",$P2019,0)</f>
        <v>0</v>
      </c>
      <c r="W2019" s="64" t="n">
        <f aca="false">IF($K2019="U – needs rule",$P2019,0)</f>
        <v>0</v>
      </c>
      <c r="X2019" s="64" t="n">
        <f aca="false">IF($K2019="No Start (attainment only)",$P2019,0)</f>
        <v>0</v>
      </c>
    </row>
    <row r="2020" customFormat="false" ht="15" hidden="false" customHeight="false" outlineLevel="0" collapsed="false">
      <c r="A2020" s="60"/>
      <c r="B2020" s="61" t="str">
        <f aca="false">IF($M2020=0,"",INDEX(Classes!$E$6:$E$420,$M2020))</f>
        <v/>
      </c>
      <c r="C2020" s="62" t="str">
        <f aca="false">IF($M2020=0,"",INDEX(Classes!$H$6:$H$420,$M2020))</f>
        <v/>
      </c>
      <c r="D2020" s="61" t="str">
        <f aca="false">IF($M2020=0,"",INDEX(Classes!$B$6:$B$420,$M2020))</f>
        <v/>
      </c>
      <c r="E2020" s="61" t="str">
        <f aca="false">IF($M2020=0,"",INDEX(Classes!$C$6:$C$420,$M2020))</f>
        <v/>
      </c>
      <c r="F2020" s="63"/>
      <c r="G2020" s="63"/>
      <c r="H2020" s="60"/>
      <c r="I2020" s="60"/>
      <c r="J2020" s="63"/>
      <c r="K2020" s="61" t="str">
        <f aca="false">IF($P2020=0,"",IF($F2020="Baseline","— Baseline",IF($O2020=0,"No result",IF($N2020=0,"No Start (attainment only)",IF(OR($N2020=1,$O2020=1),"U – needs rule",INDEX(MxBody,MATCH($I2020,MxCurr,0),MATCH($H2020,MxStart,0)))))))</f>
        <v/>
      </c>
      <c r="L2020" s="62" t="str">
        <f aca="false">IF(COUNTA($A2020,$F2020,$G2020,$H2020,$I2020,$J2020)=0,"",IF($M2020=0,"✖ كود الصف غير موجود",IF(ISNA(MATCH($F2020,Lists!$A$2:$A$5,0)),"✖ الفترة غير صحيحة",IF(ISNA(MATCH($G2020,Lists!$B$2:$B$7,0)),"✖ المجموعة غير صحيحة",IF(NOT(OR($H2020="",$N2020&gt;0)),"✖ Start غير صحيح",IF(NOT(OR($I2020="",$I2020="NR",$O2020&gt;0)),"✖ Current غير صحيح",IF(NOT(IF(ISNUMBER($J2020),AND($J2020&gt;=0,$J2020=INT($J2020)),FALSE())),"✖ العدد يجب أن يكون صحيحًا ≥ 0",IF(AND($F2020="Baseline",$H2020&lt;&gt;""),"⚠ Baseline: Start لا يدخل في التقدم",IF($K2020="No Start (attainment only)","ℹ تحصيل فقط (بدون Start)",IF($K2020="U – needs rule","ℹ حالة U تحتاج قاعدة معتمدة",IF($K2020="No result","ℹ بدون نتيجة (يُستبعد من التحصيل)","OK")))))))))))</f>
        <v/>
      </c>
      <c r="M2020" s="64" t="n">
        <f aca="false">IF($A2020="",0,IFERROR(MATCH($A2020,Classes!$A$6:$A$420,0),0))</f>
        <v>0</v>
      </c>
      <c r="N2020" s="64" t="n">
        <f aca="false">IF($H2020="",0,IFERROR(MATCH($H2020,GradeList,0),0))</f>
        <v>0</v>
      </c>
      <c r="O2020" s="64" t="n">
        <f aca="false">IF(OR($I2020="",$I2020="NR"),0,IFERROR(MATCH($I2020,GradeList,0),0))</f>
        <v>0</v>
      </c>
      <c r="P2020" s="64" t="n">
        <f aca="false">IF(AND($M2020&gt;0,ISNUMBER(MATCH($F2020,Lists!$A$2:$A$5,0)),ISNUMBER(MATCH($G2020,Lists!$B$2:$B$7,0)),OR($H2020="",$N2020&gt;0),OR($I2020="",$I2020="NR",$O2020&gt;0),IF(ISNUMBER($J2020),AND($J2020&gt;=0,$J2020=INT($J2020)),FALSE())),$J2020,0)</f>
        <v>0</v>
      </c>
      <c r="Q2020" s="64" t="n">
        <f aca="false">IF(AND($P2020&gt;0,$O2020&gt;0),$P2020,0)</f>
        <v>0</v>
      </c>
      <c r="R2020" s="64" t="n">
        <f aca="false">IF(AND($Q2020&gt;0,$O2020&gt;=AtRank),$Q2020,0)</f>
        <v>0</v>
      </c>
      <c r="S2020" s="64" t="n">
        <f aca="false">IF(AND($Q2020&gt;0,$O2020&gt;=AboveRank),$Q2020,0)</f>
        <v>0</v>
      </c>
      <c r="T2020" s="64" t="n">
        <f aca="false">IF($K2020="Less",$P2020,0)</f>
        <v>0</v>
      </c>
      <c r="U2020" s="64" t="n">
        <f aca="false">IF($K2020="Expected",$P2020,0)</f>
        <v>0</v>
      </c>
      <c r="V2020" s="64" t="n">
        <f aca="false">IF($K2020="Better",$P2020,0)</f>
        <v>0</v>
      </c>
      <c r="W2020" s="64" t="n">
        <f aca="false">IF($K2020="U – needs rule",$P2020,0)</f>
        <v>0</v>
      </c>
      <c r="X2020" s="64" t="n">
        <f aca="false">IF($K2020="No Start (attainment only)",$P2020,0)</f>
        <v>0</v>
      </c>
    </row>
    <row r="2021" customFormat="false" ht="15" hidden="false" customHeight="false" outlineLevel="0" collapsed="false">
      <c r="A2021" s="60"/>
      <c r="B2021" s="61" t="str">
        <f aca="false">IF($M2021=0,"",INDEX(Classes!$E$6:$E$420,$M2021))</f>
        <v/>
      </c>
      <c r="C2021" s="62" t="str">
        <f aca="false">IF($M2021=0,"",INDEX(Classes!$H$6:$H$420,$M2021))</f>
        <v/>
      </c>
      <c r="D2021" s="61" t="str">
        <f aca="false">IF($M2021=0,"",INDEX(Classes!$B$6:$B$420,$M2021))</f>
        <v/>
      </c>
      <c r="E2021" s="61" t="str">
        <f aca="false">IF($M2021=0,"",INDEX(Classes!$C$6:$C$420,$M2021))</f>
        <v/>
      </c>
      <c r="F2021" s="63"/>
      <c r="G2021" s="63"/>
      <c r="H2021" s="60"/>
      <c r="I2021" s="60"/>
      <c r="J2021" s="63"/>
      <c r="K2021" s="61" t="str">
        <f aca="false">IF($P2021=0,"",IF($F2021="Baseline","— Baseline",IF($O2021=0,"No result",IF($N2021=0,"No Start (attainment only)",IF(OR($N2021=1,$O2021=1),"U – needs rule",INDEX(MxBody,MATCH($I2021,MxCurr,0),MATCH($H2021,MxStart,0)))))))</f>
        <v/>
      </c>
      <c r="L2021" s="62" t="str">
        <f aca="false">IF(COUNTA($A2021,$F2021,$G2021,$H2021,$I2021,$J2021)=0,"",IF($M2021=0,"✖ كود الصف غير موجود",IF(ISNA(MATCH($F2021,Lists!$A$2:$A$5,0)),"✖ الفترة غير صحيحة",IF(ISNA(MATCH($G2021,Lists!$B$2:$B$7,0)),"✖ المجموعة غير صحيحة",IF(NOT(OR($H2021="",$N2021&gt;0)),"✖ Start غير صحيح",IF(NOT(OR($I2021="",$I2021="NR",$O2021&gt;0)),"✖ Current غير صحيح",IF(NOT(IF(ISNUMBER($J2021),AND($J2021&gt;=0,$J2021=INT($J2021)),FALSE())),"✖ العدد يجب أن يكون صحيحًا ≥ 0",IF(AND($F2021="Baseline",$H2021&lt;&gt;""),"⚠ Baseline: Start لا يدخل في التقدم",IF($K2021="No Start (attainment only)","ℹ تحصيل فقط (بدون Start)",IF($K2021="U – needs rule","ℹ حالة U تحتاج قاعدة معتمدة",IF($K2021="No result","ℹ بدون نتيجة (يُستبعد من التحصيل)","OK")))))))))))</f>
        <v/>
      </c>
      <c r="M2021" s="64" t="n">
        <f aca="false">IF($A2021="",0,IFERROR(MATCH($A2021,Classes!$A$6:$A$420,0),0))</f>
        <v>0</v>
      </c>
      <c r="N2021" s="64" t="n">
        <f aca="false">IF($H2021="",0,IFERROR(MATCH($H2021,GradeList,0),0))</f>
        <v>0</v>
      </c>
      <c r="O2021" s="64" t="n">
        <f aca="false">IF(OR($I2021="",$I2021="NR"),0,IFERROR(MATCH($I2021,GradeList,0),0))</f>
        <v>0</v>
      </c>
      <c r="P2021" s="64" t="n">
        <f aca="false">IF(AND($M2021&gt;0,ISNUMBER(MATCH($F2021,Lists!$A$2:$A$5,0)),ISNUMBER(MATCH($G2021,Lists!$B$2:$B$7,0)),OR($H2021="",$N2021&gt;0),OR($I2021="",$I2021="NR",$O2021&gt;0),IF(ISNUMBER($J2021),AND($J2021&gt;=0,$J2021=INT($J2021)),FALSE())),$J2021,0)</f>
        <v>0</v>
      </c>
      <c r="Q2021" s="64" t="n">
        <f aca="false">IF(AND($P2021&gt;0,$O2021&gt;0),$P2021,0)</f>
        <v>0</v>
      </c>
      <c r="R2021" s="64" t="n">
        <f aca="false">IF(AND($Q2021&gt;0,$O2021&gt;=AtRank),$Q2021,0)</f>
        <v>0</v>
      </c>
      <c r="S2021" s="64" t="n">
        <f aca="false">IF(AND($Q2021&gt;0,$O2021&gt;=AboveRank),$Q2021,0)</f>
        <v>0</v>
      </c>
      <c r="T2021" s="64" t="n">
        <f aca="false">IF($K2021="Less",$P2021,0)</f>
        <v>0</v>
      </c>
      <c r="U2021" s="64" t="n">
        <f aca="false">IF($K2021="Expected",$P2021,0)</f>
        <v>0</v>
      </c>
      <c r="V2021" s="64" t="n">
        <f aca="false">IF($K2021="Better",$P2021,0)</f>
        <v>0</v>
      </c>
      <c r="W2021" s="64" t="n">
        <f aca="false">IF($K2021="U – needs rule",$P2021,0)</f>
        <v>0</v>
      </c>
      <c r="X2021" s="64" t="n">
        <f aca="false">IF($K2021="No Start (attainment only)",$P2021,0)</f>
        <v>0</v>
      </c>
    </row>
    <row r="2022" customFormat="false" ht="15" hidden="false" customHeight="false" outlineLevel="0" collapsed="false">
      <c r="A2022" s="60"/>
      <c r="B2022" s="61" t="str">
        <f aca="false">IF($M2022=0,"",INDEX(Classes!$E$6:$E$420,$M2022))</f>
        <v/>
      </c>
      <c r="C2022" s="62" t="str">
        <f aca="false">IF($M2022=0,"",INDEX(Classes!$H$6:$H$420,$M2022))</f>
        <v/>
      </c>
      <c r="D2022" s="61" t="str">
        <f aca="false">IF($M2022=0,"",INDEX(Classes!$B$6:$B$420,$M2022))</f>
        <v/>
      </c>
      <c r="E2022" s="61" t="str">
        <f aca="false">IF($M2022=0,"",INDEX(Classes!$C$6:$C$420,$M2022))</f>
        <v/>
      </c>
      <c r="F2022" s="63"/>
      <c r="G2022" s="63"/>
      <c r="H2022" s="60"/>
      <c r="I2022" s="60"/>
      <c r="J2022" s="63"/>
      <c r="K2022" s="61" t="str">
        <f aca="false">IF($P2022=0,"",IF($F2022="Baseline","— Baseline",IF($O2022=0,"No result",IF($N2022=0,"No Start (attainment only)",IF(OR($N2022=1,$O2022=1),"U – needs rule",INDEX(MxBody,MATCH($I2022,MxCurr,0),MATCH($H2022,MxStart,0)))))))</f>
        <v/>
      </c>
      <c r="L2022" s="62" t="str">
        <f aca="false">IF(COUNTA($A2022,$F2022,$G2022,$H2022,$I2022,$J2022)=0,"",IF($M2022=0,"✖ كود الصف غير موجود",IF(ISNA(MATCH($F2022,Lists!$A$2:$A$5,0)),"✖ الفترة غير صحيحة",IF(ISNA(MATCH($G2022,Lists!$B$2:$B$7,0)),"✖ المجموعة غير صحيحة",IF(NOT(OR($H2022="",$N2022&gt;0)),"✖ Start غير صحيح",IF(NOT(OR($I2022="",$I2022="NR",$O2022&gt;0)),"✖ Current غير صحيح",IF(NOT(IF(ISNUMBER($J2022),AND($J2022&gt;=0,$J2022=INT($J2022)),FALSE())),"✖ العدد يجب أن يكون صحيحًا ≥ 0",IF(AND($F2022="Baseline",$H2022&lt;&gt;""),"⚠ Baseline: Start لا يدخل في التقدم",IF($K2022="No Start (attainment only)","ℹ تحصيل فقط (بدون Start)",IF($K2022="U – needs rule","ℹ حالة U تحتاج قاعدة معتمدة",IF($K2022="No result","ℹ بدون نتيجة (يُستبعد من التحصيل)","OK")))))))))))</f>
        <v/>
      </c>
      <c r="M2022" s="64" t="n">
        <f aca="false">IF($A2022="",0,IFERROR(MATCH($A2022,Classes!$A$6:$A$420,0),0))</f>
        <v>0</v>
      </c>
      <c r="N2022" s="64" t="n">
        <f aca="false">IF($H2022="",0,IFERROR(MATCH($H2022,GradeList,0),0))</f>
        <v>0</v>
      </c>
      <c r="O2022" s="64" t="n">
        <f aca="false">IF(OR($I2022="",$I2022="NR"),0,IFERROR(MATCH($I2022,GradeList,0),0))</f>
        <v>0</v>
      </c>
      <c r="P2022" s="64" t="n">
        <f aca="false">IF(AND($M2022&gt;0,ISNUMBER(MATCH($F2022,Lists!$A$2:$A$5,0)),ISNUMBER(MATCH($G2022,Lists!$B$2:$B$7,0)),OR($H2022="",$N2022&gt;0),OR($I2022="",$I2022="NR",$O2022&gt;0),IF(ISNUMBER($J2022),AND($J2022&gt;=0,$J2022=INT($J2022)),FALSE())),$J2022,0)</f>
        <v>0</v>
      </c>
      <c r="Q2022" s="64" t="n">
        <f aca="false">IF(AND($P2022&gt;0,$O2022&gt;0),$P2022,0)</f>
        <v>0</v>
      </c>
      <c r="R2022" s="64" t="n">
        <f aca="false">IF(AND($Q2022&gt;0,$O2022&gt;=AtRank),$Q2022,0)</f>
        <v>0</v>
      </c>
      <c r="S2022" s="64" t="n">
        <f aca="false">IF(AND($Q2022&gt;0,$O2022&gt;=AboveRank),$Q2022,0)</f>
        <v>0</v>
      </c>
      <c r="T2022" s="64" t="n">
        <f aca="false">IF($K2022="Less",$P2022,0)</f>
        <v>0</v>
      </c>
      <c r="U2022" s="64" t="n">
        <f aca="false">IF($K2022="Expected",$P2022,0)</f>
        <v>0</v>
      </c>
      <c r="V2022" s="64" t="n">
        <f aca="false">IF($K2022="Better",$P2022,0)</f>
        <v>0</v>
      </c>
      <c r="W2022" s="64" t="n">
        <f aca="false">IF($K2022="U – needs rule",$P2022,0)</f>
        <v>0</v>
      </c>
      <c r="X2022" s="64" t="n">
        <f aca="false">IF($K2022="No Start (attainment only)",$P2022,0)</f>
        <v>0</v>
      </c>
    </row>
    <row r="2023" customFormat="false" ht="15" hidden="false" customHeight="false" outlineLevel="0" collapsed="false">
      <c r="A2023" s="60"/>
      <c r="B2023" s="61" t="str">
        <f aca="false">IF($M2023=0,"",INDEX(Classes!$E$6:$E$420,$M2023))</f>
        <v/>
      </c>
      <c r="C2023" s="62" t="str">
        <f aca="false">IF($M2023=0,"",INDEX(Classes!$H$6:$H$420,$M2023))</f>
        <v/>
      </c>
      <c r="D2023" s="61" t="str">
        <f aca="false">IF($M2023=0,"",INDEX(Classes!$B$6:$B$420,$M2023))</f>
        <v/>
      </c>
      <c r="E2023" s="61" t="str">
        <f aca="false">IF($M2023=0,"",INDEX(Classes!$C$6:$C$420,$M2023))</f>
        <v/>
      </c>
      <c r="F2023" s="63"/>
      <c r="G2023" s="63"/>
      <c r="H2023" s="60"/>
      <c r="I2023" s="60"/>
      <c r="J2023" s="63"/>
      <c r="K2023" s="61" t="str">
        <f aca="false">IF($P2023=0,"",IF($F2023="Baseline","— Baseline",IF($O2023=0,"No result",IF($N2023=0,"No Start (attainment only)",IF(OR($N2023=1,$O2023=1),"U – needs rule",INDEX(MxBody,MATCH($I2023,MxCurr,0),MATCH($H2023,MxStart,0)))))))</f>
        <v/>
      </c>
      <c r="L2023" s="62" t="str">
        <f aca="false">IF(COUNTA($A2023,$F2023,$G2023,$H2023,$I2023,$J2023)=0,"",IF($M2023=0,"✖ كود الصف غير موجود",IF(ISNA(MATCH($F2023,Lists!$A$2:$A$5,0)),"✖ الفترة غير صحيحة",IF(ISNA(MATCH($G2023,Lists!$B$2:$B$7,0)),"✖ المجموعة غير صحيحة",IF(NOT(OR($H2023="",$N2023&gt;0)),"✖ Start غير صحيح",IF(NOT(OR($I2023="",$I2023="NR",$O2023&gt;0)),"✖ Current غير صحيح",IF(NOT(IF(ISNUMBER($J2023),AND($J2023&gt;=0,$J2023=INT($J2023)),FALSE())),"✖ العدد يجب أن يكون صحيحًا ≥ 0",IF(AND($F2023="Baseline",$H2023&lt;&gt;""),"⚠ Baseline: Start لا يدخل في التقدم",IF($K2023="No Start (attainment only)","ℹ تحصيل فقط (بدون Start)",IF($K2023="U – needs rule","ℹ حالة U تحتاج قاعدة معتمدة",IF($K2023="No result","ℹ بدون نتيجة (يُستبعد من التحصيل)","OK")))))))))))</f>
        <v/>
      </c>
      <c r="M2023" s="64" t="n">
        <f aca="false">IF($A2023="",0,IFERROR(MATCH($A2023,Classes!$A$6:$A$420,0),0))</f>
        <v>0</v>
      </c>
      <c r="N2023" s="64" t="n">
        <f aca="false">IF($H2023="",0,IFERROR(MATCH($H2023,GradeList,0),0))</f>
        <v>0</v>
      </c>
      <c r="O2023" s="64" t="n">
        <f aca="false">IF(OR($I2023="",$I2023="NR"),0,IFERROR(MATCH($I2023,GradeList,0),0))</f>
        <v>0</v>
      </c>
      <c r="P2023" s="64" t="n">
        <f aca="false">IF(AND($M2023&gt;0,ISNUMBER(MATCH($F2023,Lists!$A$2:$A$5,0)),ISNUMBER(MATCH($G2023,Lists!$B$2:$B$7,0)),OR($H2023="",$N2023&gt;0),OR($I2023="",$I2023="NR",$O2023&gt;0),IF(ISNUMBER($J2023),AND($J2023&gt;=0,$J2023=INT($J2023)),FALSE())),$J2023,0)</f>
        <v>0</v>
      </c>
      <c r="Q2023" s="64" t="n">
        <f aca="false">IF(AND($P2023&gt;0,$O2023&gt;0),$P2023,0)</f>
        <v>0</v>
      </c>
      <c r="R2023" s="64" t="n">
        <f aca="false">IF(AND($Q2023&gt;0,$O2023&gt;=AtRank),$Q2023,0)</f>
        <v>0</v>
      </c>
      <c r="S2023" s="64" t="n">
        <f aca="false">IF(AND($Q2023&gt;0,$O2023&gt;=AboveRank),$Q2023,0)</f>
        <v>0</v>
      </c>
      <c r="T2023" s="64" t="n">
        <f aca="false">IF($K2023="Less",$P2023,0)</f>
        <v>0</v>
      </c>
      <c r="U2023" s="64" t="n">
        <f aca="false">IF($K2023="Expected",$P2023,0)</f>
        <v>0</v>
      </c>
      <c r="V2023" s="64" t="n">
        <f aca="false">IF($K2023="Better",$P2023,0)</f>
        <v>0</v>
      </c>
      <c r="W2023" s="64" t="n">
        <f aca="false">IF($K2023="U – needs rule",$P2023,0)</f>
        <v>0</v>
      </c>
      <c r="X2023" s="64" t="n">
        <f aca="false">IF($K2023="No Start (attainment only)",$P2023,0)</f>
        <v>0</v>
      </c>
    </row>
    <row r="2024" customFormat="false" ht="15" hidden="false" customHeight="false" outlineLevel="0" collapsed="false">
      <c r="A2024" s="60"/>
      <c r="B2024" s="61" t="str">
        <f aca="false">IF($M2024=0,"",INDEX(Classes!$E$6:$E$420,$M2024))</f>
        <v/>
      </c>
      <c r="C2024" s="62" t="str">
        <f aca="false">IF($M2024=0,"",INDEX(Classes!$H$6:$H$420,$M2024))</f>
        <v/>
      </c>
      <c r="D2024" s="61" t="str">
        <f aca="false">IF($M2024=0,"",INDEX(Classes!$B$6:$B$420,$M2024))</f>
        <v/>
      </c>
      <c r="E2024" s="61" t="str">
        <f aca="false">IF($M2024=0,"",INDEX(Classes!$C$6:$C$420,$M2024))</f>
        <v/>
      </c>
      <c r="F2024" s="63"/>
      <c r="G2024" s="63"/>
      <c r="H2024" s="60"/>
      <c r="I2024" s="60"/>
      <c r="J2024" s="63"/>
      <c r="K2024" s="61" t="str">
        <f aca="false">IF($P2024=0,"",IF($F2024="Baseline","— Baseline",IF($O2024=0,"No result",IF($N2024=0,"No Start (attainment only)",IF(OR($N2024=1,$O2024=1),"U – needs rule",INDEX(MxBody,MATCH($I2024,MxCurr,0),MATCH($H2024,MxStart,0)))))))</f>
        <v/>
      </c>
      <c r="L2024" s="62" t="str">
        <f aca="false">IF(COUNTA($A2024,$F2024,$G2024,$H2024,$I2024,$J2024)=0,"",IF($M2024=0,"✖ كود الصف غير موجود",IF(ISNA(MATCH($F2024,Lists!$A$2:$A$5,0)),"✖ الفترة غير صحيحة",IF(ISNA(MATCH($G2024,Lists!$B$2:$B$7,0)),"✖ المجموعة غير صحيحة",IF(NOT(OR($H2024="",$N2024&gt;0)),"✖ Start غير صحيح",IF(NOT(OR($I2024="",$I2024="NR",$O2024&gt;0)),"✖ Current غير صحيح",IF(NOT(IF(ISNUMBER($J2024),AND($J2024&gt;=0,$J2024=INT($J2024)),FALSE())),"✖ العدد يجب أن يكون صحيحًا ≥ 0",IF(AND($F2024="Baseline",$H2024&lt;&gt;""),"⚠ Baseline: Start لا يدخل في التقدم",IF($K2024="No Start (attainment only)","ℹ تحصيل فقط (بدون Start)",IF($K2024="U – needs rule","ℹ حالة U تحتاج قاعدة معتمدة",IF($K2024="No result","ℹ بدون نتيجة (يُستبعد من التحصيل)","OK")))))))))))</f>
        <v/>
      </c>
      <c r="M2024" s="64" t="n">
        <f aca="false">IF($A2024="",0,IFERROR(MATCH($A2024,Classes!$A$6:$A$420,0),0))</f>
        <v>0</v>
      </c>
      <c r="N2024" s="64" t="n">
        <f aca="false">IF($H2024="",0,IFERROR(MATCH($H2024,GradeList,0),0))</f>
        <v>0</v>
      </c>
      <c r="O2024" s="64" t="n">
        <f aca="false">IF(OR($I2024="",$I2024="NR"),0,IFERROR(MATCH($I2024,GradeList,0),0))</f>
        <v>0</v>
      </c>
      <c r="P2024" s="64" t="n">
        <f aca="false">IF(AND($M2024&gt;0,ISNUMBER(MATCH($F2024,Lists!$A$2:$A$5,0)),ISNUMBER(MATCH($G2024,Lists!$B$2:$B$7,0)),OR($H2024="",$N2024&gt;0),OR($I2024="",$I2024="NR",$O2024&gt;0),IF(ISNUMBER($J2024),AND($J2024&gt;=0,$J2024=INT($J2024)),FALSE())),$J2024,0)</f>
        <v>0</v>
      </c>
      <c r="Q2024" s="64" t="n">
        <f aca="false">IF(AND($P2024&gt;0,$O2024&gt;0),$P2024,0)</f>
        <v>0</v>
      </c>
      <c r="R2024" s="64" t="n">
        <f aca="false">IF(AND($Q2024&gt;0,$O2024&gt;=AtRank),$Q2024,0)</f>
        <v>0</v>
      </c>
      <c r="S2024" s="64" t="n">
        <f aca="false">IF(AND($Q2024&gt;0,$O2024&gt;=AboveRank),$Q2024,0)</f>
        <v>0</v>
      </c>
      <c r="T2024" s="64" t="n">
        <f aca="false">IF($K2024="Less",$P2024,0)</f>
        <v>0</v>
      </c>
      <c r="U2024" s="64" t="n">
        <f aca="false">IF($K2024="Expected",$P2024,0)</f>
        <v>0</v>
      </c>
      <c r="V2024" s="64" t="n">
        <f aca="false">IF($K2024="Better",$P2024,0)</f>
        <v>0</v>
      </c>
      <c r="W2024" s="64" t="n">
        <f aca="false">IF($K2024="U – needs rule",$P2024,0)</f>
        <v>0</v>
      </c>
      <c r="X2024" s="64" t="n">
        <f aca="false">IF($K2024="No Start (attainment only)",$P2024,0)</f>
        <v>0</v>
      </c>
    </row>
    <row r="2025" customFormat="false" ht="15" hidden="false" customHeight="false" outlineLevel="0" collapsed="false">
      <c r="A2025" s="60"/>
      <c r="B2025" s="61" t="str">
        <f aca="false">IF($M2025=0,"",INDEX(Classes!$E$6:$E$420,$M2025))</f>
        <v/>
      </c>
      <c r="C2025" s="62" t="str">
        <f aca="false">IF($M2025=0,"",INDEX(Classes!$H$6:$H$420,$M2025))</f>
        <v/>
      </c>
      <c r="D2025" s="61" t="str">
        <f aca="false">IF($M2025=0,"",INDEX(Classes!$B$6:$B$420,$M2025))</f>
        <v/>
      </c>
      <c r="E2025" s="61" t="str">
        <f aca="false">IF($M2025=0,"",INDEX(Classes!$C$6:$C$420,$M2025))</f>
        <v/>
      </c>
      <c r="F2025" s="63"/>
      <c r="G2025" s="63"/>
      <c r="H2025" s="60"/>
      <c r="I2025" s="60"/>
      <c r="J2025" s="63"/>
      <c r="K2025" s="61" t="str">
        <f aca="false">IF($P2025=0,"",IF($F2025="Baseline","— Baseline",IF($O2025=0,"No result",IF($N2025=0,"No Start (attainment only)",IF(OR($N2025=1,$O2025=1),"U – needs rule",INDEX(MxBody,MATCH($I2025,MxCurr,0),MATCH($H2025,MxStart,0)))))))</f>
        <v/>
      </c>
      <c r="L2025" s="62" t="str">
        <f aca="false">IF(COUNTA($A2025,$F2025,$G2025,$H2025,$I2025,$J2025)=0,"",IF($M2025=0,"✖ كود الصف غير موجود",IF(ISNA(MATCH($F2025,Lists!$A$2:$A$5,0)),"✖ الفترة غير صحيحة",IF(ISNA(MATCH($G2025,Lists!$B$2:$B$7,0)),"✖ المجموعة غير صحيحة",IF(NOT(OR($H2025="",$N2025&gt;0)),"✖ Start غير صحيح",IF(NOT(OR($I2025="",$I2025="NR",$O2025&gt;0)),"✖ Current غير صحيح",IF(NOT(IF(ISNUMBER($J2025),AND($J2025&gt;=0,$J2025=INT($J2025)),FALSE())),"✖ العدد يجب أن يكون صحيحًا ≥ 0",IF(AND($F2025="Baseline",$H2025&lt;&gt;""),"⚠ Baseline: Start لا يدخل في التقدم",IF($K2025="No Start (attainment only)","ℹ تحصيل فقط (بدون Start)",IF($K2025="U – needs rule","ℹ حالة U تحتاج قاعدة معتمدة",IF($K2025="No result","ℹ بدون نتيجة (يُستبعد من التحصيل)","OK")))))))))))</f>
        <v/>
      </c>
      <c r="M2025" s="64" t="n">
        <f aca="false">IF($A2025="",0,IFERROR(MATCH($A2025,Classes!$A$6:$A$420,0),0))</f>
        <v>0</v>
      </c>
      <c r="N2025" s="64" t="n">
        <f aca="false">IF($H2025="",0,IFERROR(MATCH($H2025,GradeList,0),0))</f>
        <v>0</v>
      </c>
      <c r="O2025" s="64" t="n">
        <f aca="false">IF(OR($I2025="",$I2025="NR"),0,IFERROR(MATCH($I2025,GradeList,0),0))</f>
        <v>0</v>
      </c>
      <c r="P2025" s="64" t="n">
        <f aca="false">IF(AND($M2025&gt;0,ISNUMBER(MATCH($F2025,Lists!$A$2:$A$5,0)),ISNUMBER(MATCH($G2025,Lists!$B$2:$B$7,0)),OR($H2025="",$N2025&gt;0),OR($I2025="",$I2025="NR",$O2025&gt;0),IF(ISNUMBER($J2025),AND($J2025&gt;=0,$J2025=INT($J2025)),FALSE())),$J2025,0)</f>
        <v>0</v>
      </c>
      <c r="Q2025" s="64" t="n">
        <f aca="false">IF(AND($P2025&gt;0,$O2025&gt;0),$P2025,0)</f>
        <v>0</v>
      </c>
      <c r="R2025" s="64" t="n">
        <f aca="false">IF(AND($Q2025&gt;0,$O2025&gt;=AtRank),$Q2025,0)</f>
        <v>0</v>
      </c>
      <c r="S2025" s="64" t="n">
        <f aca="false">IF(AND($Q2025&gt;0,$O2025&gt;=AboveRank),$Q2025,0)</f>
        <v>0</v>
      </c>
      <c r="T2025" s="64" t="n">
        <f aca="false">IF($K2025="Less",$P2025,0)</f>
        <v>0</v>
      </c>
      <c r="U2025" s="64" t="n">
        <f aca="false">IF($K2025="Expected",$P2025,0)</f>
        <v>0</v>
      </c>
      <c r="V2025" s="64" t="n">
        <f aca="false">IF($K2025="Better",$P2025,0)</f>
        <v>0</v>
      </c>
      <c r="W2025" s="64" t="n">
        <f aca="false">IF($K2025="U – needs rule",$P2025,0)</f>
        <v>0</v>
      </c>
      <c r="X2025" s="64" t="n">
        <f aca="false">IF($K2025="No Start (attainment only)",$P2025,0)</f>
        <v>0</v>
      </c>
    </row>
    <row r="2026" customFormat="false" ht="15" hidden="false" customHeight="false" outlineLevel="0" collapsed="false">
      <c r="A2026" s="60"/>
      <c r="B2026" s="61" t="str">
        <f aca="false">IF($M2026=0,"",INDEX(Classes!$E$6:$E$420,$M2026))</f>
        <v/>
      </c>
      <c r="C2026" s="62" t="str">
        <f aca="false">IF($M2026=0,"",INDEX(Classes!$H$6:$H$420,$M2026))</f>
        <v/>
      </c>
      <c r="D2026" s="61" t="str">
        <f aca="false">IF($M2026=0,"",INDEX(Classes!$B$6:$B$420,$M2026))</f>
        <v/>
      </c>
      <c r="E2026" s="61" t="str">
        <f aca="false">IF($M2026=0,"",INDEX(Classes!$C$6:$C$420,$M2026))</f>
        <v/>
      </c>
      <c r="F2026" s="63"/>
      <c r="G2026" s="63"/>
      <c r="H2026" s="60"/>
      <c r="I2026" s="60"/>
      <c r="J2026" s="63"/>
      <c r="K2026" s="61" t="str">
        <f aca="false">IF($P2026=0,"",IF($F2026="Baseline","— Baseline",IF($O2026=0,"No result",IF($N2026=0,"No Start (attainment only)",IF(OR($N2026=1,$O2026=1),"U – needs rule",INDEX(MxBody,MATCH($I2026,MxCurr,0),MATCH($H2026,MxStart,0)))))))</f>
        <v/>
      </c>
      <c r="L2026" s="62" t="str">
        <f aca="false">IF(COUNTA($A2026,$F2026,$G2026,$H2026,$I2026,$J2026)=0,"",IF($M2026=0,"✖ كود الصف غير موجود",IF(ISNA(MATCH($F2026,Lists!$A$2:$A$5,0)),"✖ الفترة غير صحيحة",IF(ISNA(MATCH($G2026,Lists!$B$2:$B$7,0)),"✖ المجموعة غير صحيحة",IF(NOT(OR($H2026="",$N2026&gt;0)),"✖ Start غير صحيح",IF(NOT(OR($I2026="",$I2026="NR",$O2026&gt;0)),"✖ Current غير صحيح",IF(NOT(IF(ISNUMBER($J2026),AND($J2026&gt;=0,$J2026=INT($J2026)),FALSE())),"✖ العدد يجب أن يكون صحيحًا ≥ 0",IF(AND($F2026="Baseline",$H2026&lt;&gt;""),"⚠ Baseline: Start لا يدخل في التقدم",IF($K2026="No Start (attainment only)","ℹ تحصيل فقط (بدون Start)",IF($K2026="U – needs rule","ℹ حالة U تحتاج قاعدة معتمدة",IF($K2026="No result","ℹ بدون نتيجة (يُستبعد من التحصيل)","OK")))))))))))</f>
        <v/>
      </c>
      <c r="M2026" s="64" t="n">
        <f aca="false">IF($A2026="",0,IFERROR(MATCH($A2026,Classes!$A$6:$A$420,0),0))</f>
        <v>0</v>
      </c>
      <c r="N2026" s="64" t="n">
        <f aca="false">IF($H2026="",0,IFERROR(MATCH($H2026,GradeList,0),0))</f>
        <v>0</v>
      </c>
      <c r="O2026" s="64" t="n">
        <f aca="false">IF(OR($I2026="",$I2026="NR"),0,IFERROR(MATCH($I2026,GradeList,0),0))</f>
        <v>0</v>
      </c>
      <c r="P2026" s="64" t="n">
        <f aca="false">IF(AND($M2026&gt;0,ISNUMBER(MATCH($F2026,Lists!$A$2:$A$5,0)),ISNUMBER(MATCH($G2026,Lists!$B$2:$B$7,0)),OR($H2026="",$N2026&gt;0),OR($I2026="",$I2026="NR",$O2026&gt;0),IF(ISNUMBER($J2026),AND($J2026&gt;=0,$J2026=INT($J2026)),FALSE())),$J2026,0)</f>
        <v>0</v>
      </c>
      <c r="Q2026" s="64" t="n">
        <f aca="false">IF(AND($P2026&gt;0,$O2026&gt;0),$P2026,0)</f>
        <v>0</v>
      </c>
      <c r="R2026" s="64" t="n">
        <f aca="false">IF(AND($Q2026&gt;0,$O2026&gt;=AtRank),$Q2026,0)</f>
        <v>0</v>
      </c>
      <c r="S2026" s="64" t="n">
        <f aca="false">IF(AND($Q2026&gt;0,$O2026&gt;=AboveRank),$Q2026,0)</f>
        <v>0</v>
      </c>
      <c r="T2026" s="64" t="n">
        <f aca="false">IF($K2026="Less",$P2026,0)</f>
        <v>0</v>
      </c>
      <c r="U2026" s="64" t="n">
        <f aca="false">IF($K2026="Expected",$P2026,0)</f>
        <v>0</v>
      </c>
      <c r="V2026" s="64" t="n">
        <f aca="false">IF($K2026="Better",$P2026,0)</f>
        <v>0</v>
      </c>
      <c r="W2026" s="64" t="n">
        <f aca="false">IF($K2026="U – needs rule",$P2026,0)</f>
        <v>0</v>
      </c>
      <c r="X2026" s="64" t="n">
        <f aca="false">IF($K2026="No Start (attainment only)",$P2026,0)</f>
        <v>0</v>
      </c>
    </row>
    <row r="2027" customFormat="false" ht="15" hidden="false" customHeight="false" outlineLevel="0" collapsed="false">
      <c r="A2027" s="60"/>
      <c r="B2027" s="61" t="str">
        <f aca="false">IF($M2027=0,"",INDEX(Classes!$E$6:$E$420,$M2027))</f>
        <v/>
      </c>
      <c r="C2027" s="62" t="str">
        <f aca="false">IF($M2027=0,"",INDEX(Classes!$H$6:$H$420,$M2027))</f>
        <v/>
      </c>
      <c r="D2027" s="61" t="str">
        <f aca="false">IF($M2027=0,"",INDEX(Classes!$B$6:$B$420,$M2027))</f>
        <v/>
      </c>
      <c r="E2027" s="61" t="str">
        <f aca="false">IF($M2027=0,"",INDEX(Classes!$C$6:$C$420,$M2027))</f>
        <v/>
      </c>
      <c r="F2027" s="63"/>
      <c r="G2027" s="63"/>
      <c r="H2027" s="60"/>
      <c r="I2027" s="60"/>
      <c r="J2027" s="63"/>
      <c r="K2027" s="61" t="str">
        <f aca="false">IF($P2027=0,"",IF($F2027="Baseline","— Baseline",IF($O2027=0,"No result",IF($N2027=0,"No Start (attainment only)",IF(OR($N2027=1,$O2027=1),"U – needs rule",INDEX(MxBody,MATCH($I2027,MxCurr,0),MATCH($H2027,MxStart,0)))))))</f>
        <v/>
      </c>
      <c r="L2027" s="62" t="str">
        <f aca="false">IF(COUNTA($A2027,$F2027,$G2027,$H2027,$I2027,$J2027)=0,"",IF($M2027=0,"✖ كود الصف غير موجود",IF(ISNA(MATCH($F2027,Lists!$A$2:$A$5,0)),"✖ الفترة غير صحيحة",IF(ISNA(MATCH($G2027,Lists!$B$2:$B$7,0)),"✖ المجموعة غير صحيحة",IF(NOT(OR($H2027="",$N2027&gt;0)),"✖ Start غير صحيح",IF(NOT(OR($I2027="",$I2027="NR",$O2027&gt;0)),"✖ Current غير صحيح",IF(NOT(IF(ISNUMBER($J2027),AND($J2027&gt;=0,$J2027=INT($J2027)),FALSE())),"✖ العدد يجب أن يكون صحيحًا ≥ 0",IF(AND($F2027="Baseline",$H2027&lt;&gt;""),"⚠ Baseline: Start لا يدخل في التقدم",IF($K2027="No Start (attainment only)","ℹ تحصيل فقط (بدون Start)",IF($K2027="U – needs rule","ℹ حالة U تحتاج قاعدة معتمدة",IF($K2027="No result","ℹ بدون نتيجة (يُستبعد من التحصيل)","OK")))))))))))</f>
        <v/>
      </c>
      <c r="M2027" s="64" t="n">
        <f aca="false">IF($A2027="",0,IFERROR(MATCH($A2027,Classes!$A$6:$A$420,0),0))</f>
        <v>0</v>
      </c>
      <c r="N2027" s="64" t="n">
        <f aca="false">IF($H2027="",0,IFERROR(MATCH($H2027,GradeList,0),0))</f>
        <v>0</v>
      </c>
      <c r="O2027" s="64" t="n">
        <f aca="false">IF(OR($I2027="",$I2027="NR"),0,IFERROR(MATCH($I2027,GradeList,0),0))</f>
        <v>0</v>
      </c>
      <c r="P2027" s="64" t="n">
        <f aca="false">IF(AND($M2027&gt;0,ISNUMBER(MATCH($F2027,Lists!$A$2:$A$5,0)),ISNUMBER(MATCH($G2027,Lists!$B$2:$B$7,0)),OR($H2027="",$N2027&gt;0),OR($I2027="",$I2027="NR",$O2027&gt;0),IF(ISNUMBER($J2027),AND($J2027&gt;=0,$J2027=INT($J2027)),FALSE())),$J2027,0)</f>
        <v>0</v>
      </c>
      <c r="Q2027" s="64" t="n">
        <f aca="false">IF(AND($P2027&gt;0,$O2027&gt;0),$P2027,0)</f>
        <v>0</v>
      </c>
      <c r="R2027" s="64" t="n">
        <f aca="false">IF(AND($Q2027&gt;0,$O2027&gt;=AtRank),$Q2027,0)</f>
        <v>0</v>
      </c>
      <c r="S2027" s="64" t="n">
        <f aca="false">IF(AND($Q2027&gt;0,$O2027&gt;=AboveRank),$Q2027,0)</f>
        <v>0</v>
      </c>
      <c r="T2027" s="64" t="n">
        <f aca="false">IF($K2027="Less",$P2027,0)</f>
        <v>0</v>
      </c>
      <c r="U2027" s="64" t="n">
        <f aca="false">IF($K2027="Expected",$P2027,0)</f>
        <v>0</v>
      </c>
      <c r="V2027" s="64" t="n">
        <f aca="false">IF($K2027="Better",$P2027,0)</f>
        <v>0</v>
      </c>
      <c r="W2027" s="64" t="n">
        <f aca="false">IF($K2027="U – needs rule",$P2027,0)</f>
        <v>0</v>
      </c>
      <c r="X2027" s="64" t="n">
        <f aca="false">IF($K2027="No Start (attainment only)",$P2027,0)</f>
        <v>0</v>
      </c>
    </row>
    <row r="2028" customFormat="false" ht="15" hidden="false" customHeight="false" outlineLevel="0" collapsed="false">
      <c r="A2028" s="60"/>
      <c r="B2028" s="61" t="str">
        <f aca="false">IF($M2028=0,"",INDEX(Classes!$E$6:$E$420,$M2028))</f>
        <v/>
      </c>
      <c r="C2028" s="62" t="str">
        <f aca="false">IF($M2028=0,"",INDEX(Classes!$H$6:$H$420,$M2028))</f>
        <v/>
      </c>
      <c r="D2028" s="61" t="str">
        <f aca="false">IF($M2028=0,"",INDEX(Classes!$B$6:$B$420,$M2028))</f>
        <v/>
      </c>
      <c r="E2028" s="61" t="str">
        <f aca="false">IF($M2028=0,"",INDEX(Classes!$C$6:$C$420,$M2028))</f>
        <v/>
      </c>
      <c r="F2028" s="63"/>
      <c r="G2028" s="63"/>
      <c r="H2028" s="60"/>
      <c r="I2028" s="60"/>
      <c r="J2028" s="63"/>
      <c r="K2028" s="61" t="str">
        <f aca="false">IF($P2028=0,"",IF($F2028="Baseline","— Baseline",IF($O2028=0,"No result",IF($N2028=0,"No Start (attainment only)",IF(OR($N2028=1,$O2028=1),"U – needs rule",INDEX(MxBody,MATCH($I2028,MxCurr,0),MATCH($H2028,MxStart,0)))))))</f>
        <v/>
      </c>
      <c r="L2028" s="62" t="str">
        <f aca="false">IF(COUNTA($A2028,$F2028,$G2028,$H2028,$I2028,$J2028)=0,"",IF($M2028=0,"✖ كود الصف غير موجود",IF(ISNA(MATCH($F2028,Lists!$A$2:$A$5,0)),"✖ الفترة غير صحيحة",IF(ISNA(MATCH($G2028,Lists!$B$2:$B$7,0)),"✖ المجموعة غير صحيحة",IF(NOT(OR($H2028="",$N2028&gt;0)),"✖ Start غير صحيح",IF(NOT(OR($I2028="",$I2028="NR",$O2028&gt;0)),"✖ Current غير صحيح",IF(NOT(IF(ISNUMBER($J2028),AND($J2028&gt;=0,$J2028=INT($J2028)),FALSE())),"✖ العدد يجب أن يكون صحيحًا ≥ 0",IF(AND($F2028="Baseline",$H2028&lt;&gt;""),"⚠ Baseline: Start لا يدخل في التقدم",IF($K2028="No Start (attainment only)","ℹ تحصيل فقط (بدون Start)",IF($K2028="U – needs rule","ℹ حالة U تحتاج قاعدة معتمدة",IF($K2028="No result","ℹ بدون نتيجة (يُستبعد من التحصيل)","OK")))))))))))</f>
        <v/>
      </c>
      <c r="M2028" s="64" t="n">
        <f aca="false">IF($A2028="",0,IFERROR(MATCH($A2028,Classes!$A$6:$A$420,0),0))</f>
        <v>0</v>
      </c>
      <c r="N2028" s="64" t="n">
        <f aca="false">IF($H2028="",0,IFERROR(MATCH($H2028,GradeList,0),0))</f>
        <v>0</v>
      </c>
      <c r="O2028" s="64" t="n">
        <f aca="false">IF(OR($I2028="",$I2028="NR"),0,IFERROR(MATCH($I2028,GradeList,0),0))</f>
        <v>0</v>
      </c>
      <c r="P2028" s="64" t="n">
        <f aca="false">IF(AND($M2028&gt;0,ISNUMBER(MATCH($F2028,Lists!$A$2:$A$5,0)),ISNUMBER(MATCH($G2028,Lists!$B$2:$B$7,0)),OR($H2028="",$N2028&gt;0),OR($I2028="",$I2028="NR",$O2028&gt;0),IF(ISNUMBER($J2028),AND($J2028&gt;=0,$J2028=INT($J2028)),FALSE())),$J2028,0)</f>
        <v>0</v>
      </c>
      <c r="Q2028" s="64" t="n">
        <f aca="false">IF(AND($P2028&gt;0,$O2028&gt;0),$P2028,0)</f>
        <v>0</v>
      </c>
      <c r="R2028" s="64" t="n">
        <f aca="false">IF(AND($Q2028&gt;0,$O2028&gt;=AtRank),$Q2028,0)</f>
        <v>0</v>
      </c>
      <c r="S2028" s="64" t="n">
        <f aca="false">IF(AND($Q2028&gt;0,$O2028&gt;=AboveRank),$Q2028,0)</f>
        <v>0</v>
      </c>
      <c r="T2028" s="64" t="n">
        <f aca="false">IF($K2028="Less",$P2028,0)</f>
        <v>0</v>
      </c>
      <c r="U2028" s="64" t="n">
        <f aca="false">IF($K2028="Expected",$P2028,0)</f>
        <v>0</v>
      </c>
      <c r="V2028" s="64" t="n">
        <f aca="false">IF($K2028="Better",$P2028,0)</f>
        <v>0</v>
      </c>
      <c r="W2028" s="64" t="n">
        <f aca="false">IF($K2028="U – needs rule",$P2028,0)</f>
        <v>0</v>
      </c>
      <c r="X2028" s="64" t="n">
        <f aca="false">IF($K2028="No Start (attainment only)",$P2028,0)</f>
        <v>0</v>
      </c>
    </row>
    <row r="2029" customFormat="false" ht="15" hidden="false" customHeight="false" outlineLevel="0" collapsed="false">
      <c r="A2029" s="60"/>
      <c r="B2029" s="61" t="str">
        <f aca="false">IF($M2029=0,"",INDEX(Classes!$E$6:$E$420,$M2029))</f>
        <v/>
      </c>
      <c r="C2029" s="62" t="str">
        <f aca="false">IF($M2029=0,"",INDEX(Classes!$H$6:$H$420,$M2029))</f>
        <v/>
      </c>
      <c r="D2029" s="61" t="str">
        <f aca="false">IF($M2029=0,"",INDEX(Classes!$B$6:$B$420,$M2029))</f>
        <v/>
      </c>
      <c r="E2029" s="61" t="str">
        <f aca="false">IF($M2029=0,"",INDEX(Classes!$C$6:$C$420,$M2029))</f>
        <v/>
      </c>
      <c r="F2029" s="63"/>
      <c r="G2029" s="63"/>
      <c r="H2029" s="60"/>
      <c r="I2029" s="60"/>
      <c r="J2029" s="63"/>
      <c r="K2029" s="61" t="str">
        <f aca="false">IF($P2029=0,"",IF($F2029="Baseline","— Baseline",IF($O2029=0,"No result",IF($N2029=0,"No Start (attainment only)",IF(OR($N2029=1,$O2029=1),"U – needs rule",INDEX(MxBody,MATCH($I2029,MxCurr,0),MATCH($H2029,MxStart,0)))))))</f>
        <v/>
      </c>
      <c r="L2029" s="62" t="str">
        <f aca="false">IF(COUNTA($A2029,$F2029,$G2029,$H2029,$I2029,$J2029)=0,"",IF($M2029=0,"✖ كود الصف غير موجود",IF(ISNA(MATCH($F2029,Lists!$A$2:$A$5,0)),"✖ الفترة غير صحيحة",IF(ISNA(MATCH($G2029,Lists!$B$2:$B$7,0)),"✖ المجموعة غير صحيحة",IF(NOT(OR($H2029="",$N2029&gt;0)),"✖ Start غير صحيح",IF(NOT(OR($I2029="",$I2029="NR",$O2029&gt;0)),"✖ Current غير صحيح",IF(NOT(IF(ISNUMBER($J2029),AND($J2029&gt;=0,$J2029=INT($J2029)),FALSE())),"✖ العدد يجب أن يكون صحيحًا ≥ 0",IF(AND($F2029="Baseline",$H2029&lt;&gt;""),"⚠ Baseline: Start لا يدخل في التقدم",IF($K2029="No Start (attainment only)","ℹ تحصيل فقط (بدون Start)",IF($K2029="U – needs rule","ℹ حالة U تحتاج قاعدة معتمدة",IF($K2029="No result","ℹ بدون نتيجة (يُستبعد من التحصيل)","OK")))))))))))</f>
        <v/>
      </c>
      <c r="M2029" s="64" t="n">
        <f aca="false">IF($A2029="",0,IFERROR(MATCH($A2029,Classes!$A$6:$A$420,0),0))</f>
        <v>0</v>
      </c>
      <c r="N2029" s="64" t="n">
        <f aca="false">IF($H2029="",0,IFERROR(MATCH($H2029,GradeList,0),0))</f>
        <v>0</v>
      </c>
      <c r="O2029" s="64" t="n">
        <f aca="false">IF(OR($I2029="",$I2029="NR"),0,IFERROR(MATCH($I2029,GradeList,0),0))</f>
        <v>0</v>
      </c>
      <c r="P2029" s="64" t="n">
        <f aca="false">IF(AND($M2029&gt;0,ISNUMBER(MATCH($F2029,Lists!$A$2:$A$5,0)),ISNUMBER(MATCH($G2029,Lists!$B$2:$B$7,0)),OR($H2029="",$N2029&gt;0),OR($I2029="",$I2029="NR",$O2029&gt;0),IF(ISNUMBER($J2029),AND($J2029&gt;=0,$J2029=INT($J2029)),FALSE())),$J2029,0)</f>
        <v>0</v>
      </c>
      <c r="Q2029" s="64" t="n">
        <f aca="false">IF(AND($P2029&gt;0,$O2029&gt;0),$P2029,0)</f>
        <v>0</v>
      </c>
      <c r="R2029" s="64" t="n">
        <f aca="false">IF(AND($Q2029&gt;0,$O2029&gt;=AtRank),$Q2029,0)</f>
        <v>0</v>
      </c>
      <c r="S2029" s="64" t="n">
        <f aca="false">IF(AND($Q2029&gt;0,$O2029&gt;=AboveRank),$Q2029,0)</f>
        <v>0</v>
      </c>
      <c r="T2029" s="64" t="n">
        <f aca="false">IF($K2029="Less",$P2029,0)</f>
        <v>0</v>
      </c>
      <c r="U2029" s="64" t="n">
        <f aca="false">IF($K2029="Expected",$P2029,0)</f>
        <v>0</v>
      </c>
      <c r="V2029" s="64" t="n">
        <f aca="false">IF($K2029="Better",$P2029,0)</f>
        <v>0</v>
      </c>
      <c r="W2029" s="64" t="n">
        <f aca="false">IF($K2029="U – needs rule",$P2029,0)</f>
        <v>0</v>
      </c>
      <c r="X2029" s="64" t="n">
        <f aca="false">IF($K2029="No Start (attainment only)",$P2029,0)</f>
        <v>0</v>
      </c>
    </row>
    <row r="2030" customFormat="false" ht="15" hidden="false" customHeight="false" outlineLevel="0" collapsed="false">
      <c r="A2030" s="60"/>
      <c r="B2030" s="61" t="str">
        <f aca="false">IF($M2030=0,"",INDEX(Classes!$E$6:$E$420,$M2030))</f>
        <v/>
      </c>
      <c r="C2030" s="62" t="str">
        <f aca="false">IF($M2030=0,"",INDEX(Classes!$H$6:$H$420,$M2030))</f>
        <v/>
      </c>
      <c r="D2030" s="61" t="str">
        <f aca="false">IF($M2030=0,"",INDEX(Classes!$B$6:$B$420,$M2030))</f>
        <v/>
      </c>
      <c r="E2030" s="61" t="str">
        <f aca="false">IF($M2030=0,"",INDEX(Classes!$C$6:$C$420,$M2030))</f>
        <v/>
      </c>
      <c r="F2030" s="63"/>
      <c r="G2030" s="63"/>
      <c r="H2030" s="60"/>
      <c r="I2030" s="60"/>
      <c r="J2030" s="63"/>
      <c r="K2030" s="61" t="str">
        <f aca="false">IF($P2030=0,"",IF($F2030="Baseline","— Baseline",IF($O2030=0,"No result",IF($N2030=0,"No Start (attainment only)",IF(OR($N2030=1,$O2030=1),"U – needs rule",INDEX(MxBody,MATCH($I2030,MxCurr,0),MATCH($H2030,MxStart,0)))))))</f>
        <v/>
      </c>
      <c r="L2030" s="62" t="str">
        <f aca="false">IF(COUNTA($A2030,$F2030,$G2030,$H2030,$I2030,$J2030)=0,"",IF($M2030=0,"✖ كود الصف غير موجود",IF(ISNA(MATCH($F2030,Lists!$A$2:$A$5,0)),"✖ الفترة غير صحيحة",IF(ISNA(MATCH($G2030,Lists!$B$2:$B$7,0)),"✖ المجموعة غير صحيحة",IF(NOT(OR($H2030="",$N2030&gt;0)),"✖ Start غير صحيح",IF(NOT(OR($I2030="",$I2030="NR",$O2030&gt;0)),"✖ Current غير صحيح",IF(NOT(IF(ISNUMBER($J2030),AND($J2030&gt;=0,$J2030=INT($J2030)),FALSE())),"✖ العدد يجب أن يكون صحيحًا ≥ 0",IF(AND($F2030="Baseline",$H2030&lt;&gt;""),"⚠ Baseline: Start لا يدخل في التقدم",IF($K2030="No Start (attainment only)","ℹ تحصيل فقط (بدون Start)",IF($K2030="U – needs rule","ℹ حالة U تحتاج قاعدة معتمدة",IF($K2030="No result","ℹ بدون نتيجة (يُستبعد من التحصيل)","OK")))))))))))</f>
        <v/>
      </c>
      <c r="M2030" s="64" t="n">
        <f aca="false">IF($A2030="",0,IFERROR(MATCH($A2030,Classes!$A$6:$A$420,0),0))</f>
        <v>0</v>
      </c>
      <c r="N2030" s="64" t="n">
        <f aca="false">IF($H2030="",0,IFERROR(MATCH($H2030,GradeList,0),0))</f>
        <v>0</v>
      </c>
      <c r="O2030" s="64" t="n">
        <f aca="false">IF(OR($I2030="",$I2030="NR"),0,IFERROR(MATCH($I2030,GradeList,0),0))</f>
        <v>0</v>
      </c>
      <c r="P2030" s="64" t="n">
        <f aca="false">IF(AND($M2030&gt;0,ISNUMBER(MATCH($F2030,Lists!$A$2:$A$5,0)),ISNUMBER(MATCH($G2030,Lists!$B$2:$B$7,0)),OR($H2030="",$N2030&gt;0),OR($I2030="",$I2030="NR",$O2030&gt;0),IF(ISNUMBER($J2030),AND($J2030&gt;=0,$J2030=INT($J2030)),FALSE())),$J2030,0)</f>
        <v>0</v>
      </c>
      <c r="Q2030" s="64" t="n">
        <f aca="false">IF(AND($P2030&gt;0,$O2030&gt;0),$P2030,0)</f>
        <v>0</v>
      </c>
      <c r="R2030" s="64" t="n">
        <f aca="false">IF(AND($Q2030&gt;0,$O2030&gt;=AtRank),$Q2030,0)</f>
        <v>0</v>
      </c>
      <c r="S2030" s="64" t="n">
        <f aca="false">IF(AND($Q2030&gt;0,$O2030&gt;=AboveRank),$Q2030,0)</f>
        <v>0</v>
      </c>
      <c r="T2030" s="64" t="n">
        <f aca="false">IF($K2030="Less",$P2030,0)</f>
        <v>0</v>
      </c>
      <c r="U2030" s="64" t="n">
        <f aca="false">IF($K2030="Expected",$P2030,0)</f>
        <v>0</v>
      </c>
      <c r="V2030" s="64" t="n">
        <f aca="false">IF($K2030="Better",$P2030,0)</f>
        <v>0</v>
      </c>
      <c r="W2030" s="64" t="n">
        <f aca="false">IF($K2030="U – needs rule",$P2030,0)</f>
        <v>0</v>
      </c>
      <c r="X2030" s="64" t="n">
        <f aca="false">IF($K2030="No Start (attainment only)",$P2030,0)</f>
        <v>0</v>
      </c>
    </row>
    <row r="2031" customFormat="false" ht="15" hidden="false" customHeight="false" outlineLevel="0" collapsed="false">
      <c r="A2031" s="60"/>
      <c r="B2031" s="61" t="str">
        <f aca="false">IF($M2031=0,"",INDEX(Classes!$E$6:$E$420,$M2031))</f>
        <v/>
      </c>
      <c r="C2031" s="62" t="str">
        <f aca="false">IF($M2031=0,"",INDEX(Classes!$H$6:$H$420,$M2031))</f>
        <v/>
      </c>
      <c r="D2031" s="61" t="str">
        <f aca="false">IF($M2031=0,"",INDEX(Classes!$B$6:$B$420,$M2031))</f>
        <v/>
      </c>
      <c r="E2031" s="61" t="str">
        <f aca="false">IF($M2031=0,"",INDEX(Classes!$C$6:$C$420,$M2031))</f>
        <v/>
      </c>
      <c r="F2031" s="63"/>
      <c r="G2031" s="63"/>
      <c r="H2031" s="60"/>
      <c r="I2031" s="60"/>
      <c r="J2031" s="63"/>
      <c r="K2031" s="61" t="str">
        <f aca="false">IF($P2031=0,"",IF($F2031="Baseline","— Baseline",IF($O2031=0,"No result",IF($N2031=0,"No Start (attainment only)",IF(OR($N2031=1,$O2031=1),"U – needs rule",INDEX(MxBody,MATCH($I2031,MxCurr,0),MATCH($H2031,MxStart,0)))))))</f>
        <v/>
      </c>
      <c r="L2031" s="62" t="str">
        <f aca="false">IF(COUNTA($A2031,$F2031,$G2031,$H2031,$I2031,$J2031)=0,"",IF($M2031=0,"✖ كود الصف غير موجود",IF(ISNA(MATCH($F2031,Lists!$A$2:$A$5,0)),"✖ الفترة غير صحيحة",IF(ISNA(MATCH($G2031,Lists!$B$2:$B$7,0)),"✖ المجموعة غير صحيحة",IF(NOT(OR($H2031="",$N2031&gt;0)),"✖ Start غير صحيح",IF(NOT(OR($I2031="",$I2031="NR",$O2031&gt;0)),"✖ Current غير صحيح",IF(NOT(IF(ISNUMBER($J2031),AND($J2031&gt;=0,$J2031=INT($J2031)),FALSE())),"✖ العدد يجب أن يكون صحيحًا ≥ 0",IF(AND($F2031="Baseline",$H2031&lt;&gt;""),"⚠ Baseline: Start لا يدخل في التقدم",IF($K2031="No Start (attainment only)","ℹ تحصيل فقط (بدون Start)",IF($K2031="U – needs rule","ℹ حالة U تحتاج قاعدة معتمدة",IF($K2031="No result","ℹ بدون نتيجة (يُستبعد من التحصيل)","OK")))))))))))</f>
        <v/>
      </c>
      <c r="M2031" s="64" t="n">
        <f aca="false">IF($A2031="",0,IFERROR(MATCH($A2031,Classes!$A$6:$A$420,0),0))</f>
        <v>0</v>
      </c>
      <c r="N2031" s="64" t="n">
        <f aca="false">IF($H2031="",0,IFERROR(MATCH($H2031,GradeList,0),0))</f>
        <v>0</v>
      </c>
      <c r="O2031" s="64" t="n">
        <f aca="false">IF(OR($I2031="",$I2031="NR"),0,IFERROR(MATCH($I2031,GradeList,0),0))</f>
        <v>0</v>
      </c>
      <c r="P2031" s="64" t="n">
        <f aca="false">IF(AND($M2031&gt;0,ISNUMBER(MATCH($F2031,Lists!$A$2:$A$5,0)),ISNUMBER(MATCH($G2031,Lists!$B$2:$B$7,0)),OR($H2031="",$N2031&gt;0),OR($I2031="",$I2031="NR",$O2031&gt;0),IF(ISNUMBER($J2031),AND($J2031&gt;=0,$J2031=INT($J2031)),FALSE())),$J2031,0)</f>
        <v>0</v>
      </c>
      <c r="Q2031" s="64" t="n">
        <f aca="false">IF(AND($P2031&gt;0,$O2031&gt;0),$P2031,0)</f>
        <v>0</v>
      </c>
      <c r="R2031" s="64" t="n">
        <f aca="false">IF(AND($Q2031&gt;0,$O2031&gt;=AtRank),$Q2031,0)</f>
        <v>0</v>
      </c>
      <c r="S2031" s="64" t="n">
        <f aca="false">IF(AND($Q2031&gt;0,$O2031&gt;=AboveRank),$Q2031,0)</f>
        <v>0</v>
      </c>
      <c r="T2031" s="64" t="n">
        <f aca="false">IF($K2031="Less",$P2031,0)</f>
        <v>0</v>
      </c>
      <c r="U2031" s="64" t="n">
        <f aca="false">IF($K2031="Expected",$P2031,0)</f>
        <v>0</v>
      </c>
      <c r="V2031" s="64" t="n">
        <f aca="false">IF($K2031="Better",$P2031,0)</f>
        <v>0</v>
      </c>
      <c r="W2031" s="64" t="n">
        <f aca="false">IF($K2031="U – needs rule",$P2031,0)</f>
        <v>0</v>
      </c>
      <c r="X2031" s="64" t="n">
        <f aca="false">IF($K2031="No Start (attainment only)",$P2031,0)</f>
        <v>0</v>
      </c>
    </row>
    <row r="2032" customFormat="false" ht="15" hidden="false" customHeight="false" outlineLevel="0" collapsed="false">
      <c r="A2032" s="60"/>
      <c r="B2032" s="61" t="str">
        <f aca="false">IF($M2032=0,"",INDEX(Classes!$E$6:$E$420,$M2032))</f>
        <v/>
      </c>
      <c r="C2032" s="62" t="str">
        <f aca="false">IF($M2032=0,"",INDEX(Classes!$H$6:$H$420,$M2032))</f>
        <v/>
      </c>
      <c r="D2032" s="61" t="str">
        <f aca="false">IF($M2032=0,"",INDEX(Classes!$B$6:$B$420,$M2032))</f>
        <v/>
      </c>
      <c r="E2032" s="61" t="str">
        <f aca="false">IF($M2032=0,"",INDEX(Classes!$C$6:$C$420,$M2032))</f>
        <v/>
      </c>
      <c r="F2032" s="63"/>
      <c r="G2032" s="63"/>
      <c r="H2032" s="60"/>
      <c r="I2032" s="60"/>
      <c r="J2032" s="63"/>
      <c r="K2032" s="61" t="str">
        <f aca="false">IF($P2032=0,"",IF($F2032="Baseline","— Baseline",IF($O2032=0,"No result",IF($N2032=0,"No Start (attainment only)",IF(OR($N2032=1,$O2032=1),"U – needs rule",INDEX(MxBody,MATCH($I2032,MxCurr,0),MATCH($H2032,MxStart,0)))))))</f>
        <v/>
      </c>
      <c r="L2032" s="62" t="str">
        <f aca="false">IF(COUNTA($A2032,$F2032,$G2032,$H2032,$I2032,$J2032)=0,"",IF($M2032=0,"✖ كود الصف غير موجود",IF(ISNA(MATCH($F2032,Lists!$A$2:$A$5,0)),"✖ الفترة غير صحيحة",IF(ISNA(MATCH($G2032,Lists!$B$2:$B$7,0)),"✖ المجموعة غير صحيحة",IF(NOT(OR($H2032="",$N2032&gt;0)),"✖ Start غير صحيح",IF(NOT(OR($I2032="",$I2032="NR",$O2032&gt;0)),"✖ Current غير صحيح",IF(NOT(IF(ISNUMBER($J2032),AND($J2032&gt;=0,$J2032=INT($J2032)),FALSE())),"✖ العدد يجب أن يكون صحيحًا ≥ 0",IF(AND($F2032="Baseline",$H2032&lt;&gt;""),"⚠ Baseline: Start لا يدخل في التقدم",IF($K2032="No Start (attainment only)","ℹ تحصيل فقط (بدون Start)",IF($K2032="U – needs rule","ℹ حالة U تحتاج قاعدة معتمدة",IF($K2032="No result","ℹ بدون نتيجة (يُستبعد من التحصيل)","OK")))))))))))</f>
        <v/>
      </c>
      <c r="M2032" s="64" t="n">
        <f aca="false">IF($A2032="",0,IFERROR(MATCH($A2032,Classes!$A$6:$A$420,0),0))</f>
        <v>0</v>
      </c>
      <c r="N2032" s="64" t="n">
        <f aca="false">IF($H2032="",0,IFERROR(MATCH($H2032,GradeList,0),0))</f>
        <v>0</v>
      </c>
      <c r="O2032" s="64" t="n">
        <f aca="false">IF(OR($I2032="",$I2032="NR"),0,IFERROR(MATCH($I2032,GradeList,0),0))</f>
        <v>0</v>
      </c>
      <c r="P2032" s="64" t="n">
        <f aca="false">IF(AND($M2032&gt;0,ISNUMBER(MATCH($F2032,Lists!$A$2:$A$5,0)),ISNUMBER(MATCH($G2032,Lists!$B$2:$B$7,0)),OR($H2032="",$N2032&gt;0),OR($I2032="",$I2032="NR",$O2032&gt;0),IF(ISNUMBER($J2032),AND($J2032&gt;=0,$J2032=INT($J2032)),FALSE())),$J2032,0)</f>
        <v>0</v>
      </c>
      <c r="Q2032" s="64" t="n">
        <f aca="false">IF(AND($P2032&gt;0,$O2032&gt;0),$P2032,0)</f>
        <v>0</v>
      </c>
      <c r="R2032" s="64" t="n">
        <f aca="false">IF(AND($Q2032&gt;0,$O2032&gt;=AtRank),$Q2032,0)</f>
        <v>0</v>
      </c>
      <c r="S2032" s="64" t="n">
        <f aca="false">IF(AND($Q2032&gt;0,$O2032&gt;=AboveRank),$Q2032,0)</f>
        <v>0</v>
      </c>
      <c r="T2032" s="64" t="n">
        <f aca="false">IF($K2032="Less",$P2032,0)</f>
        <v>0</v>
      </c>
      <c r="U2032" s="64" t="n">
        <f aca="false">IF($K2032="Expected",$P2032,0)</f>
        <v>0</v>
      </c>
      <c r="V2032" s="64" t="n">
        <f aca="false">IF($K2032="Better",$P2032,0)</f>
        <v>0</v>
      </c>
      <c r="W2032" s="64" t="n">
        <f aca="false">IF($K2032="U – needs rule",$P2032,0)</f>
        <v>0</v>
      </c>
      <c r="X2032" s="64" t="n">
        <f aca="false">IF($K2032="No Start (attainment only)",$P2032,0)</f>
        <v>0</v>
      </c>
    </row>
    <row r="2033" customFormat="false" ht="15" hidden="false" customHeight="false" outlineLevel="0" collapsed="false">
      <c r="A2033" s="60"/>
      <c r="B2033" s="61" t="str">
        <f aca="false">IF($M2033=0,"",INDEX(Classes!$E$6:$E$420,$M2033))</f>
        <v/>
      </c>
      <c r="C2033" s="62" t="str">
        <f aca="false">IF($M2033=0,"",INDEX(Classes!$H$6:$H$420,$M2033))</f>
        <v/>
      </c>
      <c r="D2033" s="61" t="str">
        <f aca="false">IF($M2033=0,"",INDEX(Classes!$B$6:$B$420,$M2033))</f>
        <v/>
      </c>
      <c r="E2033" s="61" t="str">
        <f aca="false">IF($M2033=0,"",INDEX(Classes!$C$6:$C$420,$M2033))</f>
        <v/>
      </c>
      <c r="F2033" s="63"/>
      <c r="G2033" s="63"/>
      <c r="H2033" s="60"/>
      <c r="I2033" s="60"/>
      <c r="J2033" s="63"/>
      <c r="K2033" s="61" t="str">
        <f aca="false">IF($P2033=0,"",IF($F2033="Baseline","— Baseline",IF($O2033=0,"No result",IF($N2033=0,"No Start (attainment only)",IF(OR($N2033=1,$O2033=1),"U – needs rule",INDEX(MxBody,MATCH($I2033,MxCurr,0),MATCH($H2033,MxStart,0)))))))</f>
        <v/>
      </c>
      <c r="L2033" s="62" t="str">
        <f aca="false">IF(COUNTA($A2033,$F2033,$G2033,$H2033,$I2033,$J2033)=0,"",IF($M2033=0,"✖ كود الصف غير موجود",IF(ISNA(MATCH($F2033,Lists!$A$2:$A$5,0)),"✖ الفترة غير صحيحة",IF(ISNA(MATCH($G2033,Lists!$B$2:$B$7,0)),"✖ المجموعة غير صحيحة",IF(NOT(OR($H2033="",$N2033&gt;0)),"✖ Start غير صحيح",IF(NOT(OR($I2033="",$I2033="NR",$O2033&gt;0)),"✖ Current غير صحيح",IF(NOT(IF(ISNUMBER($J2033),AND($J2033&gt;=0,$J2033=INT($J2033)),FALSE())),"✖ العدد يجب أن يكون صحيحًا ≥ 0",IF(AND($F2033="Baseline",$H2033&lt;&gt;""),"⚠ Baseline: Start لا يدخل في التقدم",IF($K2033="No Start (attainment only)","ℹ تحصيل فقط (بدون Start)",IF($K2033="U – needs rule","ℹ حالة U تحتاج قاعدة معتمدة",IF($K2033="No result","ℹ بدون نتيجة (يُستبعد من التحصيل)","OK")))))))))))</f>
        <v/>
      </c>
      <c r="M2033" s="64" t="n">
        <f aca="false">IF($A2033="",0,IFERROR(MATCH($A2033,Classes!$A$6:$A$420,0),0))</f>
        <v>0</v>
      </c>
      <c r="N2033" s="64" t="n">
        <f aca="false">IF($H2033="",0,IFERROR(MATCH($H2033,GradeList,0),0))</f>
        <v>0</v>
      </c>
      <c r="O2033" s="64" t="n">
        <f aca="false">IF(OR($I2033="",$I2033="NR"),0,IFERROR(MATCH($I2033,GradeList,0),0))</f>
        <v>0</v>
      </c>
      <c r="P2033" s="64" t="n">
        <f aca="false">IF(AND($M2033&gt;0,ISNUMBER(MATCH($F2033,Lists!$A$2:$A$5,0)),ISNUMBER(MATCH($G2033,Lists!$B$2:$B$7,0)),OR($H2033="",$N2033&gt;0),OR($I2033="",$I2033="NR",$O2033&gt;0),IF(ISNUMBER($J2033),AND($J2033&gt;=0,$J2033=INT($J2033)),FALSE())),$J2033,0)</f>
        <v>0</v>
      </c>
      <c r="Q2033" s="64" t="n">
        <f aca="false">IF(AND($P2033&gt;0,$O2033&gt;0),$P2033,0)</f>
        <v>0</v>
      </c>
      <c r="R2033" s="64" t="n">
        <f aca="false">IF(AND($Q2033&gt;0,$O2033&gt;=AtRank),$Q2033,0)</f>
        <v>0</v>
      </c>
      <c r="S2033" s="64" t="n">
        <f aca="false">IF(AND($Q2033&gt;0,$O2033&gt;=AboveRank),$Q2033,0)</f>
        <v>0</v>
      </c>
      <c r="T2033" s="64" t="n">
        <f aca="false">IF($K2033="Less",$P2033,0)</f>
        <v>0</v>
      </c>
      <c r="U2033" s="64" t="n">
        <f aca="false">IF($K2033="Expected",$P2033,0)</f>
        <v>0</v>
      </c>
      <c r="V2033" s="64" t="n">
        <f aca="false">IF($K2033="Better",$P2033,0)</f>
        <v>0</v>
      </c>
      <c r="W2033" s="64" t="n">
        <f aca="false">IF($K2033="U – needs rule",$P2033,0)</f>
        <v>0</v>
      </c>
      <c r="X2033" s="64" t="n">
        <f aca="false">IF($K2033="No Start (attainment only)",$P2033,0)</f>
        <v>0</v>
      </c>
    </row>
    <row r="2034" customFormat="false" ht="15" hidden="false" customHeight="false" outlineLevel="0" collapsed="false">
      <c r="A2034" s="60"/>
      <c r="B2034" s="61" t="str">
        <f aca="false">IF($M2034=0,"",INDEX(Classes!$E$6:$E$420,$M2034))</f>
        <v/>
      </c>
      <c r="C2034" s="62" t="str">
        <f aca="false">IF($M2034=0,"",INDEX(Classes!$H$6:$H$420,$M2034))</f>
        <v/>
      </c>
      <c r="D2034" s="61" t="str">
        <f aca="false">IF($M2034=0,"",INDEX(Classes!$B$6:$B$420,$M2034))</f>
        <v/>
      </c>
      <c r="E2034" s="61" t="str">
        <f aca="false">IF($M2034=0,"",INDEX(Classes!$C$6:$C$420,$M2034))</f>
        <v/>
      </c>
      <c r="F2034" s="63"/>
      <c r="G2034" s="63"/>
      <c r="H2034" s="60"/>
      <c r="I2034" s="60"/>
      <c r="J2034" s="63"/>
      <c r="K2034" s="61" t="str">
        <f aca="false">IF($P2034=0,"",IF($F2034="Baseline","— Baseline",IF($O2034=0,"No result",IF($N2034=0,"No Start (attainment only)",IF(OR($N2034=1,$O2034=1),"U – needs rule",INDEX(MxBody,MATCH($I2034,MxCurr,0),MATCH($H2034,MxStart,0)))))))</f>
        <v/>
      </c>
      <c r="L2034" s="62" t="str">
        <f aca="false">IF(COUNTA($A2034,$F2034,$G2034,$H2034,$I2034,$J2034)=0,"",IF($M2034=0,"✖ كود الصف غير موجود",IF(ISNA(MATCH($F2034,Lists!$A$2:$A$5,0)),"✖ الفترة غير صحيحة",IF(ISNA(MATCH($G2034,Lists!$B$2:$B$7,0)),"✖ المجموعة غير صحيحة",IF(NOT(OR($H2034="",$N2034&gt;0)),"✖ Start غير صحيح",IF(NOT(OR($I2034="",$I2034="NR",$O2034&gt;0)),"✖ Current غير صحيح",IF(NOT(IF(ISNUMBER($J2034),AND($J2034&gt;=0,$J2034=INT($J2034)),FALSE())),"✖ العدد يجب أن يكون صحيحًا ≥ 0",IF(AND($F2034="Baseline",$H2034&lt;&gt;""),"⚠ Baseline: Start لا يدخل في التقدم",IF($K2034="No Start (attainment only)","ℹ تحصيل فقط (بدون Start)",IF($K2034="U – needs rule","ℹ حالة U تحتاج قاعدة معتمدة",IF($K2034="No result","ℹ بدون نتيجة (يُستبعد من التحصيل)","OK")))))))))))</f>
        <v/>
      </c>
      <c r="M2034" s="64" t="n">
        <f aca="false">IF($A2034="",0,IFERROR(MATCH($A2034,Classes!$A$6:$A$420,0),0))</f>
        <v>0</v>
      </c>
      <c r="N2034" s="64" t="n">
        <f aca="false">IF($H2034="",0,IFERROR(MATCH($H2034,GradeList,0),0))</f>
        <v>0</v>
      </c>
      <c r="O2034" s="64" t="n">
        <f aca="false">IF(OR($I2034="",$I2034="NR"),0,IFERROR(MATCH($I2034,GradeList,0),0))</f>
        <v>0</v>
      </c>
      <c r="P2034" s="64" t="n">
        <f aca="false">IF(AND($M2034&gt;0,ISNUMBER(MATCH($F2034,Lists!$A$2:$A$5,0)),ISNUMBER(MATCH($G2034,Lists!$B$2:$B$7,0)),OR($H2034="",$N2034&gt;0),OR($I2034="",$I2034="NR",$O2034&gt;0),IF(ISNUMBER($J2034),AND($J2034&gt;=0,$J2034=INT($J2034)),FALSE())),$J2034,0)</f>
        <v>0</v>
      </c>
      <c r="Q2034" s="64" t="n">
        <f aca="false">IF(AND($P2034&gt;0,$O2034&gt;0),$P2034,0)</f>
        <v>0</v>
      </c>
      <c r="R2034" s="64" t="n">
        <f aca="false">IF(AND($Q2034&gt;0,$O2034&gt;=AtRank),$Q2034,0)</f>
        <v>0</v>
      </c>
      <c r="S2034" s="64" t="n">
        <f aca="false">IF(AND($Q2034&gt;0,$O2034&gt;=AboveRank),$Q2034,0)</f>
        <v>0</v>
      </c>
      <c r="T2034" s="64" t="n">
        <f aca="false">IF($K2034="Less",$P2034,0)</f>
        <v>0</v>
      </c>
      <c r="U2034" s="64" t="n">
        <f aca="false">IF($K2034="Expected",$P2034,0)</f>
        <v>0</v>
      </c>
      <c r="V2034" s="64" t="n">
        <f aca="false">IF($K2034="Better",$P2034,0)</f>
        <v>0</v>
      </c>
      <c r="W2034" s="64" t="n">
        <f aca="false">IF($K2034="U – needs rule",$P2034,0)</f>
        <v>0</v>
      </c>
      <c r="X2034" s="64" t="n">
        <f aca="false">IF($K2034="No Start (attainment only)",$P2034,0)</f>
        <v>0</v>
      </c>
    </row>
    <row r="2035" customFormat="false" ht="15" hidden="false" customHeight="false" outlineLevel="0" collapsed="false">
      <c r="A2035" s="60"/>
      <c r="B2035" s="61" t="str">
        <f aca="false">IF($M2035=0,"",INDEX(Classes!$E$6:$E$420,$M2035))</f>
        <v/>
      </c>
      <c r="C2035" s="62" t="str">
        <f aca="false">IF($M2035=0,"",INDEX(Classes!$H$6:$H$420,$M2035))</f>
        <v/>
      </c>
      <c r="D2035" s="61" t="str">
        <f aca="false">IF($M2035=0,"",INDEX(Classes!$B$6:$B$420,$M2035))</f>
        <v/>
      </c>
      <c r="E2035" s="61" t="str">
        <f aca="false">IF($M2035=0,"",INDEX(Classes!$C$6:$C$420,$M2035))</f>
        <v/>
      </c>
      <c r="F2035" s="63"/>
      <c r="G2035" s="63"/>
      <c r="H2035" s="60"/>
      <c r="I2035" s="60"/>
      <c r="J2035" s="63"/>
      <c r="K2035" s="61" t="str">
        <f aca="false">IF($P2035=0,"",IF($F2035="Baseline","— Baseline",IF($O2035=0,"No result",IF($N2035=0,"No Start (attainment only)",IF(OR($N2035=1,$O2035=1),"U – needs rule",INDEX(MxBody,MATCH($I2035,MxCurr,0),MATCH($H2035,MxStart,0)))))))</f>
        <v/>
      </c>
      <c r="L2035" s="62" t="str">
        <f aca="false">IF(COUNTA($A2035,$F2035,$G2035,$H2035,$I2035,$J2035)=0,"",IF($M2035=0,"✖ كود الصف غير موجود",IF(ISNA(MATCH($F2035,Lists!$A$2:$A$5,0)),"✖ الفترة غير صحيحة",IF(ISNA(MATCH($G2035,Lists!$B$2:$B$7,0)),"✖ المجموعة غير صحيحة",IF(NOT(OR($H2035="",$N2035&gt;0)),"✖ Start غير صحيح",IF(NOT(OR($I2035="",$I2035="NR",$O2035&gt;0)),"✖ Current غير صحيح",IF(NOT(IF(ISNUMBER($J2035),AND($J2035&gt;=0,$J2035=INT($J2035)),FALSE())),"✖ العدد يجب أن يكون صحيحًا ≥ 0",IF(AND($F2035="Baseline",$H2035&lt;&gt;""),"⚠ Baseline: Start لا يدخل في التقدم",IF($K2035="No Start (attainment only)","ℹ تحصيل فقط (بدون Start)",IF($K2035="U – needs rule","ℹ حالة U تحتاج قاعدة معتمدة",IF($K2035="No result","ℹ بدون نتيجة (يُستبعد من التحصيل)","OK")))))))))))</f>
        <v/>
      </c>
      <c r="M2035" s="64" t="n">
        <f aca="false">IF($A2035="",0,IFERROR(MATCH($A2035,Classes!$A$6:$A$420,0),0))</f>
        <v>0</v>
      </c>
      <c r="N2035" s="64" t="n">
        <f aca="false">IF($H2035="",0,IFERROR(MATCH($H2035,GradeList,0),0))</f>
        <v>0</v>
      </c>
      <c r="O2035" s="64" t="n">
        <f aca="false">IF(OR($I2035="",$I2035="NR"),0,IFERROR(MATCH($I2035,GradeList,0),0))</f>
        <v>0</v>
      </c>
      <c r="P2035" s="64" t="n">
        <f aca="false">IF(AND($M2035&gt;0,ISNUMBER(MATCH($F2035,Lists!$A$2:$A$5,0)),ISNUMBER(MATCH($G2035,Lists!$B$2:$B$7,0)),OR($H2035="",$N2035&gt;0),OR($I2035="",$I2035="NR",$O2035&gt;0),IF(ISNUMBER($J2035),AND($J2035&gt;=0,$J2035=INT($J2035)),FALSE())),$J2035,0)</f>
        <v>0</v>
      </c>
      <c r="Q2035" s="64" t="n">
        <f aca="false">IF(AND($P2035&gt;0,$O2035&gt;0),$P2035,0)</f>
        <v>0</v>
      </c>
      <c r="R2035" s="64" t="n">
        <f aca="false">IF(AND($Q2035&gt;0,$O2035&gt;=AtRank),$Q2035,0)</f>
        <v>0</v>
      </c>
      <c r="S2035" s="64" t="n">
        <f aca="false">IF(AND($Q2035&gt;0,$O2035&gt;=AboveRank),$Q2035,0)</f>
        <v>0</v>
      </c>
      <c r="T2035" s="64" t="n">
        <f aca="false">IF($K2035="Less",$P2035,0)</f>
        <v>0</v>
      </c>
      <c r="U2035" s="64" t="n">
        <f aca="false">IF($K2035="Expected",$P2035,0)</f>
        <v>0</v>
      </c>
      <c r="V2035" s="64" t="n">
        <f aca="false">IF($K2035="Better",$P2035,0)</f>
        <v>0</v>
      </c>
      <c r="W2035" s="64" t="n">
        <f aca="false">IF($K2035="U – needs rule",$P2035,0)</f>
        <v>0</v>
      </c>
      <c r="X2035" s="64" t="n">
        <f aca="false">IF($K2035="No Start (attainment only)",$P2035,0)</f>
        <v>0</v>
      </c>
    </row>
    <row r="2036" customFormat="false" ht="15" hidden="false" customHeight="false" outlineLevel="0" collapsed="false">
      <c r="A2036" s="60"/>
      <c r="B2036" s="61" t="str">
        <f aca="false">IF($M2036=0,"",INDEX(Classes!$E$6:$E$420,$M2036))</f>
        <v/>
      </c>
      <c r="C2036" s="62" t="str">
        <f aca="false">IF($M2036=0,"",INDEX(Classes!$H$6:$H$420,$M2036))</f>
        <v/>
      </c>
      <c r="D2036" s="61" t="str">
        <f aca="false">IF($M2036=0,"",INDEX(Classes!$B$6:$B$420,$M2036))</f>
        <v/>
      </c>
      <c r="E2036" s="61" t="str">
        <f aca="false">IF($M2036=0,"",INDEX(Classes!$C$6:$C$420,$M2036))</f>
        <v/>
      </c>
      <c r="F2036" s="63"/>
      <c r="G2036" s="63"/>
      <c r="H2036" s="60"/>
      <c r="I2036" s="60"/>
      <c r="J2036" s="63"/>
      <c r="K2036" s="61" t="str">
        <f aca="false">IF($P2036=0,"",IF($F2036="Baseline","— Baseline",IF($O2036=0,"No result",IF($N2036=0,"No Start (attainment only)",IF(OR($N2036=1,$O2036=1),"U – needs rule",INDEX(MxBody,MATCH($I2036,MxCurr,0),MATCH($H2036,MxStart,0)))))))</f>
        <v/>
      </c>
      <c r="L2036" s="62" t="str">
        <f aca="false">IF(COUNTA($A2036,$F2036,$G2036,$H2036,$I2036,$J2036)=0,"",IF($M2036=0,"✖ كود الصف غير موجود",IF(ISNA(MATCH($F2036,Lists!$A$2:$A$5,0)),"✖ الفترة غير صحيحة",IF(ISNA(MATCH($G2036,Lists!$B$2:$B$7,0)),"✖ المجموعة غير صحيحة",IF(NOT(OR($H2036="",$N2036&gt;0)),"✖ Start غير صحيح",IF(NOT(OR($I2036="",$I2036="NR",$O2036&gt;0)),"✖ Current غير صحيح",IF(NOT(IF(ISNUMBER($J2036),AND($J2036&gt;=0,$J2036=INT($J2036)),FALSE())),"✖ العدد يجب أن يكون صحيحًا ≥ 0",IF(AND($F2036="Baseline",$H2036&lt;&gt;""),"⚠ Baseline: Start لا يدخل في التقدم",IF($K2036="No Start (attainment only)","ℹ تحصيل فقط (بدون Start)",IF($K2036="U – needs rule","ℹ حالة U تحتاج قاعدة معتمدة",IF($K2036="No result","ℹ بدون نتيجة (يُستبعد من التحصيل)","OK")))))))))))</f>
        <v/>
      </c>
      <c r="M2036" s="64" t="n">
        <f aca="false">IF($A2036="",0,IFERROR(MATCH($A2036,Classes!$A$6:$A$420,0),0))</f>
        <v>0</v>
      </c>
      <c r="N2036" s="64" t="n">
        <f aca="false">IF($H2036="",0,IFERROR(MATCH($H2036,GradeList,0),0))</f>
        <v>0</v>
      </c>
      <c r="O2036" s="64" t="n">
        <f aca="false">IF(OR($I2036="",$I2036="NR"),0,IFERROR(MATCH($I2036,GradeList,0),0))</f>
        <v>0</v>
      </c>
      <c r="P2036" s="64" t="n">
        <f aca="false">IF(AND($M2036&gt;0,ISNUMBER(MATCH($F2036,Lists!$A$2:$A$5,0)),ISNUMBER(MATCH($G2036,Lists!$B$2:$B$7,0)),OR($H2036="",$N2036&gt;0),OR($I2036="",$I2036="NR",$O2036&gt;0),IF(ISNUMBER($J2036),AND($J2036&gt;=0,$J2036=INT($J2036)),FALSE())),$J2036,0)</f>
        <v>0</v>
      </c>
      <c r="Q2036" s="64" t="n">
        <f aca="false">IF(AND($P2036&gt;0,$O2036&gt;0),$P2036,0)</f>
        <v>0</v>
      </c>
      <c r="R2036" s="64" t="n">
        <f aca="false">IF(AND($Q2036&gt;0,$O2036&gt;=AtRank),$Q2036,0)</f>
        <v>0</v>
      </c>
      <c r="S2036" s="64" t="n">
        <f aca="false">IF(AND($Q2036&gt;0,$O2036&gt;=AboveRank),$Q2036,0)</f>
        <v>0</v>
      </c>
      <c r="T2036" s="64" t="n">
        <f aca="false">IF($K2036="Less",$P2036,0)</f>
        <v>0</v>
      </c>
      <c r="U2036" s="64" t="n">
        <f aca="false">IF($K2036="Expected",$P2036,0)</f>
        <v>0</v>
      </c>
      <c r="V2036" s="64" t="n">
        <f aca="false">IF($K2036="Better",$P2036,0)</f>
        <v>0</v>
      </c>
      <c r="W2036" s="64" t="n">
        <f aca="false">IF($K2036="U – needs rule",$P2036,0)</f>
        <v>0</v>
      </c>
      <c r="X2036" s="64" t="n">
        <f aca="false">IF($K2036="No Start (attainment only)",$P2036,0)</f>
        <v>0</v>
      </c>
    </row>
    <row r="2037" customFormat="false" ht="15" hidden="false" customHeight="false" outlineLevel="0" collapsed="false">
      <c r="A2037" s="60"/>
      <c r="B2037" s="61" t="str">
        <f aca="false">IF($M2037=0,"",INDEX(Classes!$E$6:$E$420,$M2037))</f>
        <v/>
      </c>
      <c r="C2037" s="62" t="str">
        <f aca="false">IF($M2037=0,"",INDEX(Classes!$H$6:$H$420,$M2037))</f>
        <v/>
      </c>
      <c r="D2037" s="61" t="str">
        <f aca="false">IF($M2037=0,"",INDEX(Classes!$B$6:$B$420,$M2037))</f>
        <v/>
      </c>
      <c r="E2037" s="61" t="str">
        <f aca="false">IF($M2037=0,"",INDEX(Classes!$C$6:$C$420,$M2037))</f>
        <v/>
      </c>
      <c r="F2037" s="63"/>
      <c r="G2037" s="63"/>
      <c r="H2037" s="60"/>
      <c r="I2037" s="60"/>
      <c r="J2037" s="63"/>
      <c r="K2037" s="61" t="str">
        <f aca="false">IF($P2037=0,"",IF($F2037="Baseline","— Baseline",IF($O2037=0,"No result",IF($N2037=0,"No Start (attainment only)",IF(OR($N2037=1,$O2037=1),"U – needs rule",INDEX(MxBody,MATCH($I2037,MxCurr,0),MATCH($H2037,MxStart,0)))))))</f>
        <v/>
      </c>
      <c r="L2037" s="62" t="str">
        <f aca="false">IF(COUNTA($A2037,$F2037,$G2037,$H2037,$I2037,$J2037)=0,"",IF($M2037=0,"✖ كود الصف غير موجود",IF(ISNA(MATCH($F2037,Lists!$A$2:$A$5,0)),"✖ الفترة غير صحيحة",IF(ISNA(MATCH($G2037,Lists!$B$2:$B$7,0)),"✖ المجموعة غير صحيحة",IF(NOT(OR($H2037="",$N2037&gt;0)),"✖ Start غير صحيح",IF(NOT(OR($I2037="",$I2037="NR",$O2037&gt;0)),"✖ Current غير صحيح",IF(NOT(IF(ISNUMBER($J2037),AND($J2037&gt;=0,$J2037=INT($J2037)),FALSE())),"✖ العدد يجب أن يكون صحيحًا ≥ 0",IF(AND($F2037="Baseline",$H2037&lt;&gt;""),"⚠ Baseline: Start لا يدخل في التقدم",IF($K2037="No Start (attainment only)","ℹ تحصيل فقط (بدون Start)",IF($K2037="U – needs rule","ℹ حالة U تحتاج قاعدة معتمدة",IF($K2037="No result","ℹ بدون نتيجة (يُستبعد من التحصيل)","OK")))))))))))</f>
        <v/>
      </c>
      <c r="M2037" s="64" t="n">
        <f aca="false">IF($A2037="",0,IFERROR(MATCH($A2037,Classes!$A$6:$A$420,0),0))</f>
        <v>0</v>
      </c>
      <c r="N2037" s="64" t="n">
        <f aca="false">IF($H2037="",0,IFERROR(MATCH($H2037,GradeList,0),0))</f>
        <v>0</v>
      </c>
      <c r="O2037" s="64" t="n">
        <f aca="false">IF(OR($I2037="",$I2037="NR"),0,IFERROR(MATCH($I2037,GradeList,0),0))</f>
        <v>0</v>
      </c>
      <c r="P2037" s="64" t="n">
        <f aca="false">IF(AND($M2037&gt;0,ISNUMBER(MATCH($F2037,Lists!$A$2:$A$5,0)),ISNUMBER(MATCH($G2037,Lists!$B$2:$B$7,0)),OR($H2037="",$N2037&gt;0),OR($I2037="",$I2037="NR",$O2037&gt;0),IF(ISNUMBER($J2037),AND($J2037&gt;=0,$J2037=INT($J2037)),FALSE())),$J2037,0)</f>
        <v>0</v>
      </c>
      <c r="Q2037" s="64" t="n">
        <f aca="false">IF(AND($P2037&gt;0,$O2037&gt;0),$P2037,0)</f>
        <v>0</v>
      </c>
      <c r="R2037" s="64" t="n">
        <f aca="false">IF(AND($Q2037&gt;0,$O2037&gt;=AtRank),$Q2037,0)</f>
        <v>0</v>
      </c>
      <c r="S2037" s="64" t="n">
        <f aca="false">IF(AND($Q2037&gt;0,$O2037&gt;=AboveRank),$Q2037,0)</f>
        <v>0</v>
      </c>
      <c r="T2037" s="64" t="n">
        <f aca="false">IF($K2037="Less",$P2037,0)</f>
        <v>0</v>
      </c>
      <c r="U2037" s="64" t="n">
        <f aca="false">IF($K2037="Expected",$P2037,0)</f>
        <v>0</v>
      </c>
      <c r="V2037" s="64" t="n">
        <f aca="false">IF($K2037="Better",$P2037,0)</f>
        <v>0</v>
      </c>
      <c r="W2037" s="64" t="n">
        <f aca="false">IF($K2037="U – needs rule",$P2037,0)</f>
        <v>0</v>
      </c>
      <c r="X2037" s="64" t="n">
        <f aca="false">IF($K2037="No Start (attainment only)",$P2037,0)</f>
        <v>0</v>
      </c>
    </row>
    <row r="2038" customFormat="false" ht="15" hidden="false" customHeight="false" outlineLevel="0" collapsed="false">
      <c r="A2038" s="60"/>
      <c r="B2038" s="61" t="str">
        <f aca="false">IF($M2038=0,"",INDEX(Classes!$E$6:$E$420,$M2038))</f>
        <v/>
      </c>
      <c r="C2038" s="62" t="str">
        <f aca="false">IF($M2038=0,"",INDEX(Classes!$H$6:$H$420,$M2038))</f>
        <v/>
      </c>
      <c r="D2038" s="61" t="str">
        <f aca="false">IF($M2038=0,"",INDEX(Classes!$B$6:$B$420,$M2038))</f>
        <v/>
      </c>
      <c r="E2038" s="61" t="str">
        <f aca="false">IF($M2038=0,"",INDEX(Classes!$C$6:$C$420,$M2038))</f>
        <v/>
      </c>
      <c r="F2038" s="63"/>
      <c r="G2038" s="63"/>
      <c r="H2038" s="60"/>
      <c r="I2038" s="60"/>
      <c r="J2038" s="63"/>
      <c r="K2038" s="61" t="str">
        <f aca="false">IF($P2038=0,"",IF($F2038="Baseline","— Baseline",IF($O2038=0,"No result",IF($N2038=0,"No Start (attainment only)",IF(OR($N2038=1,$O2038=1),"U – needs rule",INDEX(MxBody,MATCH($I2038,MxCurr,0),MATCH($H2038,MxStart,0)))))))</f>
        <v/>
      </c>
      <c r="L2038" s="62" t="str">
        <f aca="false">IF(COUNTA($A2038,$F2038,$G2038,$H2038,$I2038,$J2038)=0,"",IF($M2038=0,"✖ كود الصف غير موجود",IF(ISNA(MATCH($F2038,Lists!$A$2:$A$5,0)),"✖ الفترة غير صحيحة",IF(ISNA(MATCH($G2038,Lists!$B$2:$B$7,0)),"✖ المجموعة غير صحيحة",IF(NOT(OR($H2038="",$N2038&gt;0)),"✖ Start غير صحيح",IF(NOT(OR($I2038="",$I2038="NR",$O2038&gt;0)),"✖ Current غير صحيح",IF(NOT(IF(ISNUMBER($J2038),AND($J2038&gt;=0,$J2038=INT($J2038)),FALSE())),"✖ العدد يجب أن يكون صحيحًا ≥ 0",IF(AND($F2038="Baseline",$H2038&lt;&gt;""),"⚠ Baseline: Start لا يدخل في التقدم",IF($K2038="No Start (attainment only)","ℹ تحصيل فقط (بدون Start)",IF($K2038="U – needs rule","ℹ حالة U تحتاج قاعدة معتمدة",IF($K2038="No result","ℹ بدون نتيجة (يُستبعد من التحصيل)","OK")))))))))))</f>
        <v/>
      </c>
      <c r="M2038" s="64" t="n">
        <f aca="false">IF($A2038="",0,IFERROR(MATCH($A2038,Classes!$A$6:$A$420,0),0))</f>
        <v>0</v>
      </c>
      <c r="N2038" s="64" t="n">
        <f aca="false">IF($H2038="",0,IFERROR(MATCH($H2038,GradeList,0),0))</f>
        <v>0</v>
      </c>
      <c r="O2038" s="64" t="n">
        <f aca="false">IF(OR($I2038="",$I2038="NR"),0,IFERROR(MATCH($I2038,GradeList,0),0))</f>
        <v>0</v>
      </c>
      <c r="P2038" s="64" t="n">
        <f aca="false">IF(AND($M2038&gt;0,ISNUMBER(MATCH($F2038,Lists!$A$2:$A$5,0)),ISNUMBER(MATCH($G2038,Lists!$B$2:$B$7,0)),OR($H2038="",$N2038&gt;0),OR($I2038="",$I2038="NR",$O2038&gt;0),IF(ISNUMBER($J2038),AND($J2038&gt;=0,$J2038=INT($J2038)),FALSE())),$J2038,0)</f>
        <v>0</v>
      </c>
      <c r="Q2038" s="64" t="n">
        <f aca="false">IF(AND($P2038&gt;0,$O2038&gt;0),$P2038,0)</f>
        <v>0</v>
      </c>
      <c r="R2038" s="64" t="n">
        <f aca="false">IF(AND($Q2038&gt;0,$O2038&gt;=AtRank),$Q2038,0)</f>
        <v>0</v>
      </c>
      <c r="S2038" s="64" t="n">
        <f aca="false">IF(AND($Q2038&gt;0,$O2038&gt;=AboveRank),$Q2038,0)</f>
        <v>0</v>
      </c>
      <c r="T2038" s="64" t="n">
        <f aca="false">IF($K2038="Less",$P2038,0)</f>
        <v>0</v>
      </c>
      <c r="U2038" s="64" t="n">
        <f aca="false">IF($K2038="Expected",$P2038,0)</f>
        <v>0</v>
      </c>
      <c r="V2038" s="64" t="n">
        <f aca="false">IF($K2038="Better",$P2038,0)</f>
        <v>0</v>
      </c>
      <c r="W2038" s="64" t="n">
        <f aca="false">IF($K2038="U – needs rule",$P2038,0)</f>
        <v>0</v>
      </c>
      <c r="X2038" s="64" t="n">
        <f aca="false">IF($K2038="No Start (attainment only)",$P2038,0)</f>
        <v>0</v>
      </c>
    </row>
    <row r="2039" customFormat="false" ht="15" hidden="false" customHeight="false" outlineLevel="0" collapsed="false">
      <c r="A2039" s="60"/>
      <c r="B2039" s="61" t="str">
        <f aca="false">IF($M2039=0,"",INDEX(Classes!$E$6:$E$420,$M2039))</f>
        <v/>
      </c>
      <c r="C2039" s="62" t="str">
        <f aca="false">IF($M2039=0,"",INDEX(Classes!$H$6:$H$420,$M2039))</f>
        <v/>
      </c>
      <c r="D2039" s="61" t="str">
        <f aca="false">IF($M2039=0,"",INDEX(Classes!$B$6:$B$420,$M2039))</f>
        <v/>
      </c>
      <c r="E2039" s="61" t="str">
        <f aca="false">IF($M2039=0,"",INDEX(Classes!$C$6:$C$420,$M2039))</f>
        <v/>
      </c>
      <c r="F2039" s="63"/>
      <c r="G2039" s="63"/>
      <c r="H2039" s="60"/>
      <c r="I2039" s="60"/>
      <c r="J2039" s="63"/>
      <c r="K2039" s="61" t="str">
        <f aca="false">IF($P2039=0,"",IF($F2039="Baseline","— Baseline",IF($O2039=0,"No result",IF($N2039=0,"No Start (attainment only)",IF(OR($N2039=1,$O2039=1),"U – needs rule",INDEX(MxBody,MATCH($I2039,MxCurr,0),MATCH($H2039,MxStart,0)))))))</f>
        <v/>
      </c>
      <c r="L2039" s="62" t="str">
        <f aca="false">IF(COUNTA($A2039,$F2039,$G2039,$H2039,$I2039,$J2039)=0,"",IF($M2039=0,"✖ كود الصف غير موجود",IF(ISNA(MATCH($F2039,Lists!$A$2:$A$5,0)),"✖ الفترة غير صحيحة",IF(ISNA(MATCH($G2039,Lists!$B$2:$B$7,0)),"✖ المجموعة غير صحيحة",IF(NOT(OR($H2039="",$N2039&gt;0)),"✖ Start غير صحيح",IF(NOT(OR($I2039="",$I2039="NR",$O2039&gt;0)),"✖ Current غير صحيح",IF(NOT(IF(ISNUMBER($J2039),AND($J2039&gt;=0,$J2039=INT($J2039)),FALSE())),"✖ العدد يجب أن يكون صحيحًا ≥ 0",IF(AND($F2039="Baseline",$H2039&lt;&gt;""),"⚠ Baseline: Start لا يدخل في التقدم",IF($K2039="No Start (attainment only)","ℹ تحصيل فقط (بدون Start)",IF($K2039="U – needs rule","ℹ حالة U تحتاج قاعدة معتمدة",IF($K2039="No result","ℹ بدون نتيجة (يُستبعد من التحصيل)","OK")))))))))))</f>
        <v/>
      </c>
      <c r="M2039" s="64" t="n">
        <f aca="false">IF($A2039="",0,IFERROR(MATCH($A2039,Classes!$A$6:$A$420,0),0))</f>
        <v>0</v>
      </c>
      <c r="N2039" s="64" t="n">
        <f aca="false">IF($H2039="",0,IFERROR(MATCH($H2039,GradeList,0),0))</f>
        <v>0</v>
      </c>
      <c r="O2039" s="64" t="n">
        <f aca="false">IF(OR($I2039="",$I2039="NR"),0,IFERROR(MATCH($I2039,GradeList,0),0))</f>
        <v>0</v>
      </c>
      <c r="P2039" s="64" t="n">
        <f aca="false">IF(AND($M2039&gt;0,ISNUMBER(MATCH($F2039,Lists!$A$2:$A$5,0)),ISNUMBER(MATCH($G2039,Lists!$B$2:$B$7,0)),OR($H2039="",$N2039&gt;0),OR($I2039="",$I2039="NR",$O2039&gt;0),IF(ISNUMBER($J2039),AND($J2039&gt;=0,$J2039=INT($J2039)),FALSE())),$J2039,0)</f>
        <v>0</v>
      </c>
      <c r="Q2039" s="64" t="n">
        <f aca="false">IF(AND($P2039&gt;0,$O2039&gt;0),$P2039,0)</f>
        <v>0</v>
      </c>
      <c r="R2039" s="64" t="n">
        <f aca="false">IF(AND($Q2039&gt;0,$O2039&gt;=AtRank),$Q2039,0)</f>
        <v>0</v>
      </c>
      <c r="S2039" s="64" t="n">
        <f aca="false">IF(AND($Q2039&gt;0,$O2039&gt;=AboveRank),$Q2039,0)</f>
        <v>0</v>
      </c>
      <c r="T2039" s="64" t="n">
        <f aca="false">IF($K2039="Less",$P2039,0)</f>
        <v>0</v>
      </c>
      <c r="U2039" s="64" t="n">
        <f aca="false">IF($K2039="Expected",$P2039,0)</f>
        <v>0</v>
      </c>
      <c r="V2039" s="64" t="n">
        <f aca="false">IF($K2039="Better",$P2039,0)</f>
        <v>0</v>
      </c>
      <c r="W2039" s="64" t="n">
        <f aca="false">IF($K2039="U – needs rule",$P2039,0)</f>
        <v>0</v>
      </c>
      <c r="X2039" s="64" t="n">
        <f aca="false">IF($K2039="No Start (attainment only)",$P2039,0)</f>
        <v>0</v>
      </c>
    </row>
    <row r="2040" customFormat="false" ht="15" hidden="false" customHeight="false" outlineLevel="0" collapsed="false">
      <c r="A2040" s="60"/>
      <c r="B2040" s="61" t="str">
        <f aca="false">IF($M2040=0,"",INDEX(Classes!$E$6:$E$420,$M2040))</f>
        <v/>
      </c>
      <c r="C2040" s="62" t="str">
        <f aca="false">IF($M2040=0,"",INDEX(Classes!$H$6:$H$420,$M2040))</f>
        <v/>
      </c>
      <c r="D2040" s="61" t="str">
        <f aca="false">IF($M2040=0,"",INDEX(Classes!$B$6:$B$420,$M2040))</f>
        <v/>
      </c>
      <c r="E2040" s="61" t="str">
        <f aca="false">IF($M2040=0,"",INDEX(Classes!$C$6:$C$420,$M2040))</f>
        <v/>
      </c>
      <c r="F2040" s="63"/>
      <c r="G2040" s="63"/>
      <c r="H2040" s="60"/>
      <c r="I2040" s="60"/>
      <c r="J2040" s="63"/>
      <c r="K2040" s="61" t="str">
        <f aca="false">IF($P2040=0,"",IF($F2040="Baseline","— Baseline",IF($O2040=0,"No result",IF($N2040=0,"No Start (attainment only)",IF(OR($N2040=1,$O2040=1),"U – needs rule",INDEX(MxBody,MATCH($I2040,MxCurr,0),MATCH($H2040,MxStart,0)))))))</f>
        <v/>
      </c>
      <c r="L2040" s="62" t="str">
        <f aca="false">IF(COUNTA($A2040,$F2040,$G2040,$H2040,$I2040,$J2040)=0,"",IF($M2040=0,"✖ كود الصف غير موجود",IF(ISNA(MATCH($F2040,Lists!$A$2:$A$5,0)),"✖ الفترة غير صحيحة",IF(ISNA(MATCH($G2040,Lists!$B$2:$B$7,0)),"✖ المجموعة غير صحيحة",IF(NOT(OR($H2040="",$N2040&gt;0)),"✖ Start غير صحيح",IF(NOT(OR($I2040="",$I2040="NR",$O2040&gt;0)),"✖ Current غير صحيح",IF(NOT(IF(ISNUMBER($J2040),AND($J2040&gt;=0,$J2040=INT($J2040)),FALSE())),"✖ العدد يجب أن يكون صحيحًا ≥ 0",IF(AND($F2040="Baseline",$H2040&lt;&gt;""),"⚠ Baseline: Start لا يدخل في التقدم",IF($K2040="No Start (attainment only)","ℹ تحصيل فقط (بدون Start)",IF($K2040="U – needs rule","ℹ حالة U تحتاج قاعدة معتمدة",IF($K2040="No result","ℹ بدون نتيجة (يُستبعد من التحصيل)","OK")))))))))))</f>
        <v/>
      </c>
      <c r="M2040" s="64" t="n">
        <f aca="false">IF($A2040="",0,IFERROR(MATCH($A2040,Classes!$A$6:$A$420,0),0))</f>
        <v>0</v>
      </c>
      <c r="N2040" s="64" t="n">
        <f aca="false">IF($H2040="",0,IFERROR(MATCH($H2040,GradeList,0),0))</f>
        <v>0</v>
      </c>
      <c r="O2040" s="64" t="n">
        <f aca="false">IF(OR($I2040="",$I2040="NR"),0,IFERROR(MATCH($I2040,GradeList,0),0))</f>
        <v>0</v>
      </c>
      <c r="P2040" s="64" t="n">
        <f aca="false">IF(AND($M2040&gt;0,ISNUMBER(MATCH($F2040,Lists!$A$2:$A$5,0)),ISNUMBER(MATCH($G2040,Lists!$B$2:$B$7,0)),OR($H2040="",$N2040&gt;0),OR($I2040="",$I2040="NR",$O2040&gt;0),IF(ISNUMBER($J2040),AND($J2040&gt;=0,$J2040=INT($J2040)),FALSE())),$J2040,0)</f>
        <v>0</v>
      </c>
      <c r="Q2040" s="64" t="n">
        <f aca="false">IF(AND($P2040&gt;0,$O2040&gt;0),$P2040,0)</f>
        <v>0</v>
      </c>
      <c r="R2040" s="64" t="n">
        <f aca="false">IF(AND($Q2040&gt;0,$O2040&gt;=AtRank),$Q2040,0)</f>
        <v>0</v>
      </c>
      <c r="S2040" s="64" t="n">
        <f aca="false">IF(AND($Q2040&gt;0,$O2040&gt;=AboveRank),$Q2040,0)</f>
        <v>0</v>
      </c>
      <c r="T2040" s="64" t="n">
        <f aca="false">IF($K2040="Less",$P2040,0)</f>
        <v>0</v>
      </c>
      <c r="U2040" s="64" t="n">
        <f aca="false">IF($K2040="Expected",$P2040,0)</f>
        <v>0</v>
      </c>
      <c r="V2040" s="64" t="n">
        <f aca="false">IF($K2040="Better",$P2040,0)</f>
        <v>0</v>
      </c>
      <c r="W2040" s="64" t="n">
        <f aca="false">IF($K2040="U – needs rule",$P2040,0)</f>
        <v>0</v>
      </c>
      <c r="X2040" s="64" t="n">
        <f aca="false">IF($K2040="No Start (attainment only)",$P2040,0)</f>
        <v>0</v>
      </c>
    </row>
    <row r="2041" customFormat="false" ht="15" hidden="false" customHeight="false" outlineLevel="0" collapsed="false">
      <c r="A2041" s="60"/>
      <c r="B2041" s="61" t="str">
        <f aca="false">IF($M2041=0,"",INDEX(Classes!$E$6:$E$420,$M2041))</f>
        <v/>
      </c>
      <c r="C2041" s="62" t="str">
        <f aca="false">IF($M2041=0,"",INDEX(Classes!$H$6:$H$420,$M2041))</f>
        <v/>
      </c>
      <c r="D2041" s="61" t="str">
        <f aca="false">IF($M2041=0,"",INDEX(Classes!$B$6:$B$420,$M2041))</f>
        <v/>
      </c>
      <c r="E2041" s="61" t="str">
        <f aca="false">IF($M2041=0,"",INDEX(Classes!$C$6:$C$420,$M2041))</f>
        <v/>
      </c>
      <c r="F2041" s="63"/>
      <c r="G2041" s="63"/>
      <c r="H2041" s="60"/>
      <c r="I2041" s="60"/>
      <c r="J2041" s="63"/>
      <c r="K2041" s="61" t="str">
        <f aca="false">IF($P2041=0,"",IF($F2041="Baseline","— Baseline",IF($O2041=0,"No result",IF($N2041=0,"No Start (attainment only)",IF(OR($N2041=1,$O2041=1),"U – needs rule",INDEX(MxBody,MATCH($I2041,MxCurr,0),MATCH($H2041,MxStart,0)))))))</f>
        <v/>
      </c>
      <c r="L2041" s="62" t="str">
        <f aca="false">IF(COUNTA($A2041,$F2041,$G2041,$H2041,$I2041,$J2041)=0,"",IF($M2041=0,"✖ كود الصف غير موجود",IF(ISNA(MATCH($F2041,Lists!$A$2:$A$5,0)),"✖ الفترة غير صحيحة",IF(ISNA(MATCH($G2041,Lists!$B$2:$B$7,0)),"✖ المجموعة غير صحيحة",IF(NOT(OR($H2041="",$N2041&gt;0)),"✖ Start غير صحيح",IF(NOT(OR($I2041="",$I2041="NR",$O2041&gt;0)),"✖ Current غير صحيح",IF(NOT(IF(ISNUMBER($J2041),AND($J2041&gt;=0,$J2041=INT($J2041)),FALSE())),"✖ العدد يجب أن يكون صحيحًا ≥ 0",IF(AND($F2041="Baseline",$H2041&lt;&gt;""),"⚠ Baseline: Start لا يدخل في التقدم",IF($K2041="No Start (attainment only)","ℹ تحصيل فقط (بدون Start)",IF($K2041="U – needs rule","ℹ حالة U تحتاج قاعدة معتمدة",IF($K2041="No result","ℹ بدون نتيجة (يُستبعد من التحصيل)","OK")))))))))))</f>
        <v/>
      </c>
      <c r="M2041" s="64" t="n">
        <f aca="false">IF($A2041="",0,IFERROR(MATCH($A2041,Classes!$A$6:$A$420,0),0))</f>
        <v>0</v>
      </c>
      <c r="N2041" s="64" t="n">
        <f aca="false">IF($H2041="",0,IFERROR(MATCH($H2041,GradeList,0),0))</f>
        <v>0</v>
      </c>
      <c r="O2041" s="64" t="n">
        <f aca="false">IF(OR($I2041="",$I2041="NR"),0,IFERROR(MATCH($I2041,GradeList,0),0))</f>
        <v>0</v>
      </c>
      <c r="P2041" s="64" t="n">
        <f aca="false">IF(AND($M2041&gt;0,ISNUMBER(MATCH($F2041,Lists!$A$2:$A$5,0)),ISNUMBER(MATCH($G2041,Lists!$B$2:$B$7,0)),OR($H2041="",$N2041&gt;0),OR($I2041="",$I2041="NR",$O2041&gt;0),IF(ISNUMBER($J2041),AND($J2041&gt;=0,$J2041=INT($J2041)),FALSE())),$J2041,0)</f>
        <v>0</v>
      </c>
      <c r="Q2041" s="64" t="n">
        <f aca="false">IF(AND($P2041&gt;0,$O2041&gt;0),$P2041,0)</f>
        <v>0</v>
      </c>
      <c r="R2041" s="64" t="n">
        <f aca="false">IF(AND($Q2041&gt;0,$O2041&gt;=AtRank),$Q2041,0)</f>
        <v>0</v>
      </c>
      <c r="S2041" s="64" t="n">
        <f aca="false">IF(AND($Q2041&gt;0,$O2041&gt;=AboveRank),$Q2041,0)</f>
        <v>0</v>
      </c>
      <c r="T2041" s="64" t="n">
        <f aca="false">IF($K2041="Less",$P2041,0)</f>
        <v>0</v>
      </c>
      <c r="U2041" s="64" t="n">
        <f aca="false">IF($K2041="Expected",$P2041,0)</f>
        <v>0</v>
      </c>
      <c r="V2041" s="64" t="n">
        <f aca="false">IF($K2041="Better",$P2041,0)</f>
        <v>0</v>
      </c>
      <c r="W2041" s="64" t="n">
        <f aca="false">IF($K2041="U – needs rule",$P2041,0)</f>
        <v>0</v>
      </c>
      <c r="X2041" s="64" t="n">
        <f aca="false">IF($K2041="No Start (attainment only)",$P2041,0)</f>
        <v>0</v>
      </c>
    </row>
    <row r="2042" customFormat="false" ht="15" hidden="false" customHeight="false" outlineLevel="0" collapsed="false">
      <c r="A2042" s="60"/>
      <c r="B2042" s="61" t="str">
        <f aca="false">IF($M2042=0,"",INDEX(Classes!$E$6:$E$420,$M2042))</f>
        <v/>
      </c>
      <c r="C2042" s="62" t="str">
        <f aca="false">IF($M2042=0,"",INDEX(Classes!$H$6:$H$420,$M2042))</f>
        <v/>
      </c>
      <c r="D2042" s="61" t="str">
        <f aca="false">IF($M2042=0,"",INDEX(Classes!$B$6:$B$420,$M2042))</f>
        <v/>
      </c>
      <c r="E2042" s="61" t="str">
        <f aca="false">IF($M2042=0,"",INDEX(Classes!$C$6:$C$420,$M2042))</f>
        <v/>
      </c>
      <c r="F2042" s="63"/>
      <c r="G2042" s="63"/>
      <c r="H2042" s="60"/>
      <c r="I2042" s="60"/>
      <c r="J2042" s="63"/>
      <c r="K2042" s="61" t="str">
        <f aca="false">IF($P2042=0,"",IF($F2042="Baseline","— Baseline",IF($O2042=0,"No result",IF($N2042=0,"No Start (attainment only)",IF(OR($N2042=1,$O2042=1),"U – needs rule",INDEX(MxBody,MATCH($I2042,MxCurr,0),MATCH($H2042,MxStart,0)))))))</f>
        <v/>
      </c>
      <c r="L2042" s="62" t="str">
        <f aca="false">IF(COUNTA($A2042,$F2042,$G2042,$H2042,$I2042,$J2042)=0,"",IF($M2042=0,"✖ كود الصف غير موجود",IF(ISNA(MATCH($F2042,Lists!$A$2:$A$5,0)),"✖ الفترة غير صحيحة",IF(ISNA(MATCH($G2042,Lists!$B$2:$B$7,0)),"✖ المجموعة غير صحيحة",IF(NOT(OR($H2042="",$N2042&gt;0)),"✖ Start غير صحيح",IF(NOT(OR($I2042="",$I2042="NR",$O2042&gt;0)),"✖ Current غير صحيح",IF(NOT(IF(ISNUMBER($J2042),AND($J2042&gt;=0,$J2042=INT($J2042)),FALSE())),"✖ العدد يجب أن يكون صحيحًا ≥ 0",IF(AND($F2042="Baseline",$H2042&lt;&gt;""),"⚠ Baseline: Start لا يدخل في التقدم",IF($K2042="No Start (attainment only)","ℹ تحصيل فقط (بدون Start)",IF($K2042="U – needs rule","ℹ حالة U تحتاج قاعدة معتمدة",IF($K2042="No result","ℹ بدون نتيجة (يُستبعد من التحصيل)","OK")))))))))))</f>
        <v/>
      </c>
      <c r="M2042" s="64" t="n">
        <f aca="false">IF($A2042="",0,IFERROR(MATCH($A2042,Classes!$A$6:$A$420,0),0))</f>
        <v>0</v>
      </c>
      <c r="N2042" s="64" t="n">
        <f aca="false">IF($H2042="",0,IFERROR(MATCH($H2042,GradeList,0),0))</f>
        <v>0</v>
      </c>
      <c r="O2042" s="64" t="n">
        <f aca="false">IF(OR($I2042="",$I2042="NR"),0,IFERROR(MATCH($I2042,GradeList,0),0))</f>
        <v>0</v>
      </c>
      <c r="P2042" s="64" t="n">
        <f aca="false">IF(AND($M2042&gt;0,ISNUMBER(MATCH($F2042,Lists!$A$2:$A$5,0)),ISNUMBER(MATCH($G2042,Lists!$B$2:$B$7,0)),OR($H2042="",$N2042&gt;0),OR($I2042="",$I2042="NR",$O2042&gt;0),IF(ISNUMBER($J2042),AND($J2042&gt;=0,$J2042=INT($J2042)),FALSE())),$J2042,0)</f>
        <v>0</v>
      </c>
      <c r="Q2042" s="64" t="n">
        <f aca="false">IF(AND($P2042&gt;0,$O2042&gt;0),$P2042,0)</f>
        <v>0</v>
      </c>
      <c r="R2042" s="64" t="n">
        <f aca="false">IF(AND($Q2042&gt;0,$O2042&gt;=AtRank),$Q2042,0)</f>
        <v>0</v>
      </c>
      <c r="S2042" s="64" t="n">
        <f aca="false">IF(AND($Q2042&gt;0,$O2042&gt;=AboveRank),$Q2042,0)</f>
        <v>0</v>
      </c>
      <c r="T2042" s="64" t="n">
        <f aca="false">IF($K2042="Less",$P2042,0)</f>
        <v>0</v>
      </c>
      <c r="U2042" s="64" t="n">
        <f aca="false">IF($K2042="Expected",$P2042,0)</f>
        <v>0</v>
      </c>
      <c r="V2042" s="64" t="n">
        <f aca="false">IF($K2042="Better",$P2042,0)</f>
        <v>0</v>
      </c>
      <c r="W2042" s="64" t="n">
        <f aca="false">IF($K2042="U – needs rule",$P2042,0)</f>
        <v>0</v>
      </c>
      <c r="X2042" s="64" t="n">
        <f aca="false">IF($K2042="No Start (attainment only)",$P2042,0)</f>
        <v>0</v>
      </c>
    </row>
    <row r="2043" customFormat="false" ht="15" hidden="false" customHeight="false" outlineLevel="0" collapsed="false">
      <c r="A2043" s="60"/>
      <c r="B2043" s="61" t="str">
        <f aca="false">IF($M2043=0,"",INDEX(Classes!$E$6:$E$420,$M2043))</f>
        <v/>
      </c>
      <c r="C2043" s="62" t="str">
        <f aca="false">IF($M2043=0,"",INDEX(Classes!$H$6:$H$420,$M2043))</f>
        <v/>
      </c>
      <c r="D2043" s="61" t="str">
        <f aca="false">IF($M2043=0,"",INDEX(Classes!$B$6:$B$420,$M2043))</f>
        <v/>
      </c>
      <c r="E2043" s="61" t="str">
        <f aca="false">IF($M2043=0,"",INDEX(Classes!$C$6:$C$420,$M2043))</f>
        <v/>
      </c>
      <c r="F2043" s="63"/>
      <c r="G2043" s="63"/>
      <c r="H2043" s="60"/>
      <c r="I2043" s="60"/>
      <c r="J2043" s="63"/>
      <c r="K2043" s="61" t="str">
        <f aca="false">IF($P2043=0,"",IF($F2043="Baseline","— Baseline",IF($O2043=0,"No result",IF($N2043=0,"No Start (attainment only)",IF(OR($N2043=1,$O2043=1),"U – needs rule",INDEX(MxBody,MATCH($I2043,MxCurr,0),MATCH($H2043,MxStart,0)))))))</f>
        <v/>
      </c>
      <c r="L2043" s="62" t="str">
        <f aca="false">IF(COUNTA($A2043,$F2043,$G2043,$H2043,$I2043,$J2043)=0,"",IF($M2043=0,"✖ كود الصف غير موجود",IF(ISNA(MATCH($F2043,Lists!$A$2:$A$5,0)),"✖ الفترة غير صحيحة",IF(ISNA(MATCH($G2043,Lists!$B$2:$B$7,0)),"✖ المجموعة غير صحيحة",IF(NOT(OR($H2043="",$N2043&gt;0)),"✖ Start غير صحيح",IF(NOT(OR($I2043="",$I2043="NR",$O2043&gt;0)),"✖ Current غير صحيح",IF(NOT(IF(ISNUMBER($J2043),AND($J2043&gt;=0,$J2043=INT($J2043)),FALSE())),"✖ العدد يجب أن يكون صحيحًا ≥ 0",IF(AND($F2043="Baseline",$H2043&lt;&gt;""),"⚠ Baseline: Start لا يدخل في التقدم",IF($K2043="No Start (attainment only)","ℹ تحصيل فقط (بدون Start)",IF($K2043="U – needs rule","ℹ حالة U تحتاج قاعدة معتمدة",IF($K2043="No result","ℹ بدون نتيجة (يُستبعد من التحصيل)","OK")))))))))))</f>
        <v/>
      </c>
      <c r="M2043" s="64" t="n">
        <f aca="false">IF($A2043="",0,IFERROR(MATCH($A2043,Classes!$A$6:$A$420,0),0))</f>
        <v>0</v>
      </c>
      <c r="N2043" s="64" t="n">
        <f aca="false">IF($H2043="",0,IFERROR(MATCH($H2043,GradeList,0),0))</f>
        <v>0</v>
      </c>
      <c r="O2043" s="64" t="n">
        <f aca="false">IF(OR($I2043="",$I2043="NR"),0,IFERROR(MATCH($I2043,GradeList,0),0))</f>
        <v>0</v>
      </c>
      <c r="P2043" s="64" t="n">
        <f aca="false">IF(AND($M2043&gt;0,ISNUMBER(MATCH($F2043,Lists!$A$2:$A$5,0)),ISNUMBER(MATCH($G2043,Lists!$B$2:$B$7,0)),OR($H2043="",$N2043&gt;0),OR($I2043="",$I2043="NR",$O2043&gt;0),IF(ISNUMBER($J2043),AND($J2043&gt;=0,$J2043=INT($J2043)),FALSE())),$J2043,0)</f>
        <v>0</v>
      </c>
      <c r="Q2043" s="64" t="n">
        <f aca="false">IF(AND($P2043&gt;0,$O2043&gt;0),$P2043,0)</f>
        <v>0</v>
      </c>
      <c r="R2043" s="64" t="n">
        <f aca="false">IF(AND($Q2043&gt;0,$O2043&gt;=AtRank),$Q2043,0)</f>
        <v>0</v>
      </c>
      <c r="S2043" s="64" t="n">
        <f aca="false">IF(AND($Q2043&gt;0,$O2043&gt;=AboveRank),$Q2043,0)</f>
        <v>0</v>
      </c>
      <c r="T2043" s="64" t="n">
        <f aca="false">IF($K2043="Less",$P2043,0)</f>
        <v>0</v>
      </c>
      <c r="U2043" s="64" t="n">
        <f aca="false">IF($K2043="Expected",$P2043,0)</f>
        <v>0</v>
      </c>
      <c r="V2043" s="64" t="n">
        <f aca="false">IF($K2043="Better",$P2043,0)</f>
        <v>0</v>
      </c>
      <c r="W2043" s="64" t="n">
        <f aca="false">IF($K2043="U – needs rule",$P2043,0)</f>
        <v>0</v>
      </c>
      <c r="X2043" s="64" t="n">
        <f aca="false">IF($K2043="No Start (attainment only)",$P2043,0)</f>
        <v>0</v>
      </c>
    </row>
    <row r="2044" customFormat="false" ht="15" hidden="false" customHeight="false" outlineLevel="0" collapsed="false">
      <c r="A2044" s="60"/>
      <c r="B2044" s="61" t="str">
        <f aca="false">IF($M2044=0,"",INDEX(Classes!$E$6:$E$420,$M2044))</f>
        <v/>
      </c>
      <c r="C2044" s="62" t="str">
        <f aca="false">IF($M2044=0,"",INDEX(Classes!$H$6:$H$420,$M2044))</f>
        <v/>
      </c>
      <c r="D2044" s="61" t="str">
        <f aca="false">IF($M2044=0,"",INDEX(Classes!$B$6:$B$420,$M2044))</f>
        <v/>
      </c>
      <c r="E2044" s="61" t="str">
        <f aca="false">IF($M2044=0,"",INDEX(Classes!$C$6:$C$420,$M2044))</f>
        <v/>
      </c>
      <c r="F2044" s="63"/>
      <c r="G2044" s="63"/>
      <c r="H2044" s="60"/>
      <c r="I2044" s="60"/>
      <c r="J2044" s="63"/>
      <c r="K2044" s="61" t="str">
        <f aca="false">IF($P2044=0,"",IF($F2044="Baseline","— Baseline",IF($O2044=0,"No result",IF($N2044=0,"No Start (attainment only)",IF(OR($N2044=1,$O2044=1),"U – needs rule",INDEX(MxBody,MATCH($I2044,MxCurr,0),MATCH($H2044,MxStart,0)))))))</f>
        <v/>
      </c>
      <c r="L2044" s="62" t="str">
        <f aca="false">IF(COUNTA($A2044,$F2044,$G2044,$H2044,$I2044,$J2044)=0,"",IF($M2044=0,"✖ كود الصف غير موجود",IF(ISNA(MATCH($F2044,Lists!$A$2:$A$5,0)),"✖ الفترة غير صحيحة",IF(ISNA(MATCH($G2044,Lists!$B$2:$B$7,0)),"✖ المجموعة غير صحيحة",IF(NOT(OR($H2044="",$N2044&gt;0)),"✖ Start غير صحيح",IF(NOT(OR($I2044="",$I2044="NR",$O2044&gt;0)),"✖ Current غير صحيح",IF(NOT(IF(ISNUMBER($J2044),AND($J2044&gt;=0,$J2044=INT($J2044)),FALSE())),"✖ العدد يجب أن يكون صحيحًا ≥ 0",IF(AND($F2044="Baseline",$H2044&lt;&gt;""),"⚠ Baseline: Start لا يدخل في التقدم",IF($K2044="No Start (attainment only)","ℹ تحصيل فقط (بدون Start)",IF($K2044="U – needs rule","ℹ حالة U تحتاج قاعدة معتمدة",IF($K2044="No result","ℹ بدون نتيجة (يُستبعد من التحصيل)","OK")))))))))))</f>
        <v/>
      </c>
      <c r="M2044" s="64" t="n">
        <f aca="false">IF($A2044="",0,IFERROR(MATCH($A2044,Classes!$A$6:$A$420,0),0))</f>
        <v>0</v>
      </c>
      <c r="N2044" s="64" t="n">
        <f aca="false">IF($H2044="",0,IFERROR(MATCH($H2044,GradeList,0),0))</f>
        <v>0</v>
      </c>
      <c r="O2044" s="64" t="n">
        <f aca="false">IF(OR($I2044="",$I2044="NR"),0,IFERROR(MATCH($I2044,GradeList,0),0))</f>
        <v>0</v>
      </c>
      <c r="P2044" s="64" t="n">
        <f aca="false">IF(AND($M2044&gt;0,ISNUMBER(MATCH($F2044,Lists!$A$2:$A$5,0)),ISNUMBER(MATCH($G2044,Lists!$B$2:$B$7,0)),OR($H2044="",$N2044&gt;0),OR($I2044="",$I2044="NR",$O2044&gt;0),IF(ISNUMBER($J2044),AND($J2044&gt;=0,$J2044=INT($J2044)),FALSE())),$J2044,0)</f>
        <v>0</v>
      </c>
      <c r="Q2044" s="64" t="n">
        <f aca="false">IF(AND($P2044&gt;0,$O2044&gt;0),$P2044,0)</f>
        <v>0</v>
      </c>
      <c r="R2044" s="64" t="n">
        <f aca="false">IF(AND($Q2044&gt;0,$O2044&gt;=AtRank),$Q2044,0)</f>
        <v>0</v>
      </c>
      <c r="S2044" s="64" t="n">
        <f aca="false">IF(AND($Q2044&gt;0,$O2044&gt;=AboveRank),$Q2044,0)</f>
        <v>0</v>
      </c>
      <c r="T2044" s="64" t="n">
        <f aca="false">IF($K2044="Less",$P2044,0)</f>
        <v>0</v>
      </c>
      <c r="U2044" s="64" t="n">
        <f aca="false">IF($K2044="Expected",$P2044,0)</f>
        <v>0</v>
      </c>
      <c r="V2044" s="64" t="n">
        <f aca="false">IF($K2044="Better",$P2044,0)</f>
        <v>0</v>
      </c>
      <c r="W2044" s="64" t="n">
        <f aca="false">IF($K2044="U – needs rule",$P2044,0)</f>
        <v>0</v>
      </c>
      <c r="X2044" s="64" t="n">
        <f aca="false">IF($K2044="No Start (attainment only)",$P2044,0)</f>
        <v>0</v>
      </c>
    </row>
    <row r="2045" customFormat="false" ht="15" hidden="false" customHeight="false" outlineLevel="0" collapsed="false">
      <c r="A2045" s="60"/>
      <c r="B2045" s="61" t="str">
        <f aca="false">IF($M2045=0,"",INDEX(Classes!$E$6:$E$420,$M2045))</f>
        <v/>
      </c>
      <c r="C2045" s="62" t="str">
        <f aca="false">IF($M2045=0,"",INDEX(Classes!$H$6:$H$420,$M2045))</f>
        <v/>
      </c>
      <c r="D2045" s="61" t="str">
        <f aca="false">IF($M2045=0,"",INDEX(Classes!$B$6:$B$420,$M2045))</f>
        <v/>
      </c>
      <c r="E2045" s="61" t="str">
        <f aca="false">IF($M2045=0,"",INDEX(Classes!$C$6:$C$420,$M2045))</f>
        <v/>
      </c>
      <c r="F2045" s="63"/>
      <c r="G2045" s="63"/>
      <c r="H2045" s="60"/>
      <c r="I2045" s="60"/>
      <c r="J2045" s="63"/>
      <c r="K2045" s="61" t="str">
        <f aca="false">IF($P2045=0,"",IF($F2045="Baseline","— Baseline",IF($O2045=0,"No result",IF($N2045=0,"No Start (attainment only)",IF(OR($N2045=1,$O2045=1),"U – needs rule",INDEX(MxBody,MATCH($I2045,MxCurr,0),MATCH($H2045,MxStart,0)))))))</f>
        <v/>
      </c>
      <c r="L2045" s="62" t="str">
        <f aca="false">IF(COUNTA($A2045,$F2045,$G2045,$H2045,$I2045,$J2045)=0,"",IF($M2045=0,"✖ كود الصف غير موجود",IF(ISNA(MATCH($F2045,Lists!$A$2:$A$5,0)),"✖ الفترة غير صحيحة",IF(ISNA(MATCH($G2045,Lists!$B$2:$B$7,0)),"✖ المجموعة غير صحيحة",IF(NOT(OR($H2045="",$N2045&gt;0)),"✖ Start غير صحيح",IF(NOT(OR($I2045="",$I2045="NR",$O2045&gt;0)),"✖ Current غير صحيح",IF(NOT(IF(ISNUMBER($J2045),AND($J2045&gt;=0,$J2045=INT($J2045)),FALSE())),"✖ العدد يجب أن يكون صحيحًا ≥ 0",IF(AND($F2045="Baseline",$H2045&lt;&gt;""),"⚠ Baseline: Start لا يدخل في التقدم",IF($K2045="No Start (attainment only)","ℹ تحصيل فقط (بدون Start)",IF($K2045="U – needs rule","ℹ حالة U تحتاج قاعدة معتمدة",IF($K2045="No result","ℹ بدون نتيجة (يُستبعد من التحصيل)","OK")))))))))))</f>
        <v/>
      </c>
      <c r="M2045" s="64" t="n">
        <f aca="false">IF($A2045="",0,IFERROR(MATCH($A2045,Classes!$A$6:$A$420,0),0))</f>
        <v>0</v>
      </c>
      <c r="N2045" s="64" t="n">
        <f aca="false">IF($H2045="",0,IFERROR(MATCH($H2045,GradeList,0),0))</f>
        <v>0</v>
      </c>
      <c r="O2045" s="64" t="n">
        <f aca="false">IF(OR($I2045="",$I2045="NR"),0,IFERROR(MATCH($I2045,GradeList,0),0))</f>
        <v>0</v>
      </c>
      <c r="P2045" s="64" t="n">
        <f aca="false">IF(AND($M2045&gt;0,ISNUMBER(MATCH($F2045,Lists!$A$2:$A$5,0)),ISNUMBER(MATCH($G2045,Lists!$B$2:$B$7,0)),OR($H2045="",$N2045&gt;0),OR($I2045="",$I2045="NR",$O2045&gt;0),IF(ISNUMBER($J2045),AND($J2045&gt;=0,$J2045=INT($J2045)),FALSE())),$J2045,0)</f>
        <v>0</v>
      </c>
      <c r="Q2045" s="64" t="n">
        <f aca="false">IF(AND($P2045&gt;0,$O2045&gt;0),$P2045,0)</f>
        <v>0</v>
      </c>
      <c r="R2045" s="64" t="n">
        <f aca="false">IF(AND($Q2045&gt;0,$O2045&gt;=AtRank),$Q2045,0)</f>
        <v>0</v>
      </c>
      <c r="S2045" s="64" t="n">
        <f aca="false">IF(AND($Q2045&gt;0,$O2045&gt;=AboveRank),$Q2045,0)</f>
        <v>0</v>
      </c>
      <c r="T2045" s="64" t="n">
        <f aca="false">IF($K2045="Less",$P2045,0)</f>
        <v>0</v>
      </c>
      <c r="U2045" s="64" t="n">
        <f aca="false">IF($K2045="Expected",$P2045,0)</f>
        <v>0</v>
      </c>
      <c r="V2045" s="64" t="n">
        <f aca="false">IF($K2045="Better",$P2045,0)</f>
        <v>0</v>
      </c>
      <c r="W2045" s="64" t="n">
        <f aca="false">IF($K2045="U – needs rule",$P2045,0)</f>
        <v>0</v>
      </c>
      <c r="X2045" s="64" t="n">
        <f aca="false">IF($K2045="No Start (attainment only)",$P2045,0)</f>
        <v>0</v>
      </c>
    </row>
    <row r="2046" customFormat="false" ht="15" hidden="false" customHeight="false" outlineLevel="0" collapsed="false">
      <c r="A2046" s="60"/>
      <c r="B2046" s="61" t="str">
        <f aca="false">IF($M2046=0,"",INDEX(Classes!$E$6:$E$420,$M2046))</f>
        <v/>
      </c>
      <c r="C2046" s="62" t="str">
        <f aca="false">IF($M2046=0,"",INDEX(Classes!$H$6:$H$420,$M2046))</f>
        <v/>
      </c>
      <c r="D2046" s="61" t="str">
        <f aca="false">IF($M2046=0,"",INDEX(Classes!$B$6:$B$420,$M2046))</f>
        <v/>
      </c>
      <c r="E2046" s="61" t="str">
        <f aca="false">IF($M2046=0,"",INDEX(Classes!$C$6:$C$420,$M2046))</f>
        <v/>
      </c>
      <c r="F2046" s="63"/>
      <c r="G2046" s="63"/>
      <c r="H2046" s="60"/>
      <c r="I2046" s="60"/>
      <c r="J2046" s="63"/>
      <c r="K2046" s="61" t="str">
        <f aca="false">IF($P2046=0,"",IF($F2046="Baseline","— Baseline",IF($O2046=0,"No result",IF($N2046=0,"No Start (attainment only)",IF(OR($N2046=1,$O2046=1),"U – needs rule",INDEX(MxBody,MATCH($I2046,MxCurr,0),MATCH($H2046,MxStart,0)))))))</f>
        <v/>
      </c>
      <c r="L2046" s="62" t="str">
        <f aca="false">IF(COUNTA($A2046,$F2046,$G2046,$H2046,$I2046,$J2046)=0,"",IF($M2046=0,"✖ كود الصف غير موجود",IF(ISNA(MATCH($F2046,Lists!$A$2:$A$5,0)),"✖ الفترة غير صحيحة",IF(ISNA(MATCH($G2046,Lists!$B$2:$B$7,0)),"✖ المجموعة غير صحيحة",IF(NOT(OR($H2046="",$N2046&gt;0)),"✖ Start غير صحيح",IF(NOT(OR($I2046="",$I2046="NR",$O2046&gt;0)),"✖ Current غير صحيح",IF(NOT(IF(ISNUMBER($J2046),AND($J2046&gt;=0,$J2046=INT($J2046)),FALSE())),"✖ العدد يجب أن يكون صحيحًا ≥ 0",IF(AND($F2046="Baseline",$H2046&lt;&gt;""),"⚠ Baseline: Start لا يدخل في التقدم",IF($K2046="No Start (attainment only)","ℹ تحصيل فقط (بدون Start)",IF($K2046="U – needs rule","ℹ حالة U تحتاج قاعدة معتمدة",IF($K2046="No result","ℹ بدون نتيجة (يُستبعد من التحصيل)","OK")))))))))))</f>
        <v/>
      </c>
      <c r="M2046" s="64" t="n">
        <f aca="false">IF($A2046="",0,IFERROR(MATCH($A2046,Classes!$A$6:$A$420,0),0))</f>
        <v>0</v>
      </c>
      <c r="N2046" s="64" t="n">
        <f aca="false">IF($H2046="",0,IFERROR(MATCH($H2046,GradeList,0),0))</f>
        <v>0</v>
      </c>
      <c r="O2046" s="64" t="n">
        <f aca="false">IF(OR($I2046="",$I2046="NR"),0,IFERROR(MATCH($I2046,GradeList,0),0))</f>
        <v>0</v>
      </c>
      <c r="P2046" s="64" t="n">
        <f aca="false">IF(AND($M2046&gt;0,ISNUMBER(MATCH($F2046,Lists!$A$2:$A$5,0)),ISNUMBER(MATCH($G2046,Lists!$B$2:$B$7,0)),OR($H2046="",$N2046&gt;0),OR($I2046="",$I2046="NR",$O2046&gt;0),IF(ISNUMBER($J2046),AND($J2046&gt;=0,$J2046=INT($J2046)),FALSE())),$J2046,0)</f>
        <v>0</v>
      </c>
      <c r="Q2046" s="64" t="n">
        <f aca="false">IF(AND($P2046&gt;0,$O2046&gt;0),$P2046,0)</f>
        <v>0</v>
      </c>
      <c r="R2046" s="64" t="n">
        <f aca="false">IF(AND($Q2046&gt;0,$O2046&gt;=AtRank),$Q2046,0)</f>
        <v>0</v>
      </c>
      <c r="S2046" s="64" t="n">
        <f aca="false">IF(AND($Q2046&gt;0,$O2046&gt;=AboveRank),$Q2046,0)</f>
        <v>0</v>
      </c>
      <c r="T2046" s="64" t="n">
        <f aca="false">IF($K2046="Less",$P2046,0)</f>
        <v>0</v>
      </c>
      <c r="U2046" s="64" t="n">
        <f aca="false">IF($K2046="Expected",$P2046,0)</f>
        <v>0</v>
      </c>
      <c r="V2046" s="64" t="n">
        <f aca="false">IF($K2046="Better",$P2046,0)</f>
        <v>0</v>
      </c>
      <c r="W2046" s="64" t="n">
        <f aca="false">IF($K2046="U – needs rule",$P2046,0)</f>
        <v>0</v>
      </c>
      <c r="X2046" s="64" t="n">
        <f aca="false">IF($K2046="No Start (attainment only)",$P2046,0)</f>
        <v>0</v>
      </c>
    </row>
    <row r="2047" customFormat="false" ht="15" hidden="false" customHeight="false" outlineLevel="0" collapsed="false">
      <c r="A2047" s="60"/>
      <c r="B2047" s="61" t="str">
        <f aca="false">IF($M2047=0,"",INDEX(Classes!$E$6:$E$420,$M2047))</f>
        <v/>
      </c>
      <c r="C2047" s="62" t="str">
        <f aca="false">IF($M2047=0,"",INDEX(Classes!$H$6:$H$420,$M2047))</f>
        <v/>
      </c>
      <c r="D2047" s="61" t="str">
        <f aca="false">IF($M2047=0,"",INDEX(Classes!$B$6:$B$420,$M2047))</f>
        <v/>
      </c>
      <c r="E2047" s="61" t="str">
        <f aca="false">IF($M2047=0,"",INDEX(Classes!$C$6:$C$420,$M2047))</f>
        <v/>
      </c>
      <c r="F2047" s="63"/>
      <c r="G2047" s="63"/>
      <c r="H2047" s="60"/>
      <c r="I2047" s="60"/>
      <c r="J2047" s="63"/>
      <c r="K2047" s="61" t="str">
        <f aca="false">IF($P2047=0,"",IF($F2047="Baseline","— Baseline",IF($O2047=0,"No result",IF($N2047=0,"No Start (attainment only)",IF(OR($N2047=1,$O2047=1),"U – needs rule",INDEX(MxBody,MATCH($I2047,MxCurr,0),MATCH($H2047,MxStart,0)))))))</f>
        <v/>
      </c>
      <c r="L2047" s="62" t="str">
        <f aca="false">IF(COUNTA($A2047,$F2047,$G2047,$H2047,$I2047,$J2047)=0,"",IF($M2047=0,"✖ كود الصف غير موجود",IF(ISNA(MATCH($F2047,Lists!$A$2:$A$5,0)),"✖ الفترة غير صحيحة",IF(ISNA(MATCH($G2047,Lists!$B$2:$B$7,0)),"✖ المجموعة غير صحيحة",IF(NOT(OR($H2047="",$N2047&gt;0)),"✖ Start غير صحيح",IF(NOT(OR($I2047="",$I2047="NR",$O2047&gt;0)),"✖ Current غير صحيح",IF(NOT(IF(ISNUMBER($J2047),AND($J2047&gt;=0,$J2047=INT($J2047)),FALSE())),"✖ العدد يجب أن يكون صحيحًا ≥ 0",IF(AND($F2047="Baseline",$H2047&lt;&gt;""),"⚠ Baseline: Start لا يدخل في التقدم",IF($K2047="No Start (attainment only)","ℹ تحصيل فقط (بدون Start)",IF($K2047="U – needs rule","ℹ حالة U تحتاج قاعدة معتمدة",IF($K2047="No result","ℹ بدون نتيجة (يُستبعد من التحصيل)","OK")))))))))))</f>
        <v/>
      </c>
      <c r="M2047" s="64" t="n">
        <f aca="false">IF($A2047="",0,IFERROR(MATCH($A2047,Classes!$A$6:$A$420,0),0))</f>
        <v>0</v>
      </c>
      <c r="N2047" s="64" t="n">
        <f aca="false">IF($H2047="",0,IFERROR(MATCH($H2047,GradeList,0),0))</f>
        <v>0</v>
      </c>
      <c r="O2047" s="64" t="n">
        <f aca="false">IF(OR($I2047="",$I2047="NR"),0,IFERROR(MATCH($I2047,GradeList,0),0))</f>
        <v>0</v>
      </c>
      <c r="P2047" s="64" t="n">
        <f aca="false">IF(AND($M2047&gt;0,ISNUMBER(MATCH($F2047,Lists!$A$2:$A$5,0)),ISNUMBER(MATCH($G2047,Lists!$B$2:$B$7,0)),OR($H2047="",$N2047&gt;0),OR($I2047="",$I2047="NR",$O2047&gt;0),IF(ISNUMBER($J2047),AND($J2047&gt;=0,$J2047=INT($J2047)),FALSE())),$J2047,0)</f>
        <v>0</v>
      </c>
      <c r="Q2047" s="64" t="n">
        <f aca="false">IF(AND($P2047&gt;0,$O2047&gt;0),$P2047,0)</f>
        <v>0</v>
      </c>
      <c r="R2047" s="64" t="n">
        <f aca="false">IF(AND($Q2047&gt;0,$O2047&gt;=AtRank),$Q2047,0)</f>
        <v>0</v>
      </c>
      <c r="S2047" s="64" t="n">
        <f aca="false">IF(AND($Q2047&gt;0,$O2047&gt;=AboveRank),$Q2047,0)</f>
        <v>0</v>
      </c>
      <c r="T2047" s="64" t="n">
        <f aca="false">IF($K2047="Less",$P2047,0)</f>
        <v>0</v>
      </c>
      <c r="U2047" s="64" t="n">
        <f aca="false">IF($K2047="Expected",$P2047,0)</f>
        <v>0</v>
      </c>
      <c r="V2047" s="64" t="n">
        <f aca="false">IF($K2047="Better",$P2047,0)</f>
        <v>0</v>
      </c>
      <c r="W2047" s="64" t="n">
        <f aca="false">IF($K2047="U – needs rule",$P2047,0)</f>
        <v>0</v>
      </c>
      <c r="X2047" s="64" t="n">
        <f aca="false">IF($K2047="No Start (attainment only)",$P2047,0)</f>
        <v>0</v>
      </c>
    </row>
    <row r="2048" customFormat="false" ht="15" hidden="false" customHeight="false" outlineLevel="0" collapsed="false">
      <c r="A2048" s="60"/>
      <c r="B2048" s="61" t="str">
        <f aca="false">IF($M2048=0,"",INDEX(Classes!$E$6:$E$420,$M2048))</f>
        <v/>
      </c>
      <c r="C2048" s="62" t="str">
        <f aca="false">IF($M2048=0,"",INDEX(Classes!$H$6:$H$420,$M2048))</f>
        <v/>
      </c>
      <c r="D2048" s="61" t="str">
        <f aca="false">IF($M2048=0,"",INDEX(Classes!$B$6:$B$420,$M2048))</f>
        <v/>
      </c>
      <c r="E2048" s="61" t="str">
        <f aca="false">IF($M2048=0,"",INDEX(Classes!$C$6:$C$420,$M2048))</f>
        <v/>
      </c>
      <c r="F2048" s="63"/>
      <c r="G2048" s="63"/>
      <c r="H2048" s="60"/>
      <c r="I2048" s="60"/>
      <c r="J2048" s="63"/>
      <c r="K2048" s="61" t="str">
        <f aca="false">IF($P2048=0,"",IF($F2048="Baseline","— Baseline",IF($O2048=0,"No result",IF($N2048=0,"No Start (attainment only)",IF(OR($N2048=1,$O2048=1),"U – needs rule",INDEX(MxBody,MATCH($I2048,MxCurr,0),MATCH($H2048,MxStart,0)))))))</f>
        <v/>
      </c>
      <c r="L2048" s="62" t="str">
        <f aca="false">IF(COUNTA($A2048,$F2048,$G2048,$H2048,$I2048,$J2048)=0,"",IF($M2048=0,"✖ كود الصف غير موجود",IF(ISNA(MATCH($F2048,Lists!$A$2:$A$5,0)),"✖ الفترة غير صحيحة",IF(ISNA(MATCH($G2048,Lists!$B$2:$B$7,0)),"✖ المجموعة غير صحيحة",IF(NOT(OR($H2048="",$N2048&gt;0)),"✖ Start غير صحيح",IF(NOT(OR($I2048="",$I2048="NR",$O2048&gt;0)),"✖ Current غير صحيح",IF(NOT(IF(ISNUMBER($J2048),AND($J2048&gt;=0,$J2048=INT($J2048)),FALSE())),"✖ العدد يجب أن يكون صحيحًا ≥ 0",IF(AND($F2048="Baseline",$H2048&lt;&gt;""),"⚠ Baseline: Start لا يدخل في التقدم",IF($K2048="No Start (attainment only)","ℹ تحصيل فقط (بدون Start)",IF($K2048="U – needs rule","ℹ حالة U تحتاج قاعدة معتمدة",IF($K2048="No result","ℹ بدون نتيجة (يُستبعد من التحصيل)","OK")))))))))))</f>
        <v/>
      </c>
      <c r="M2048" s="64" t="n">
        <f aca="false">IF($A2048="",0,IFERROR(MATCH($A2048,Classes!$A$6:$A$420,0),0))</f>
        <v>0</v>
      </c>
      <c r="N2048" s="64" t="n">
        <f aca="false">IF($H2048="",0,IFERROR(MATCH($H2048,GradeList,0),0))</f>
        <v>0</v>
      </c>
      <c r="O2048" s="64" t="n">
        <f aca="false">IF(OR($I2048="",$I2048="NR"),0,IFERROR(MATCH($I2048,GradeList,0),0))</f>
        <v>0</v>
      </c>
      <c r="P2048" s="64" t="n">
        <f aca="false">IF(AND($M2048&gt;0,ISNUMBER(MATCH($F2048,Lists!$A$2:$A$5,0)),ISNUMBER(MATCH($G2048,Lists!$B$2:$B$7,0)),OR($H2048="",$N2048&gt;0),OR($I2048="",$I2048="NR",$O2048&gt;0),IF(ISNUMBER($J2048),AND($J2048&gt;=0,$J2048=INT($J2048)),FALSE())),$J2048,0)</f>
        <v>0</v>
      </c>
      <c r="Q2048" s="64" t="n">
        <f aca="false">IF(AND($P2048&gt;0,$O2048&gt;0),$P2048,0)</f>
        <v>0</v>
      </c>
      <c r="R2048" s="64" t="n">
        <f aca="false">IF(AND($Q2048&gt;0,$O2048&gt;=AtRank),$Q2048,0)</f>
        <v>0</v>
      </c>
      <c r="S2048" s="64" t="n">
        <f aca="false">IF(AND($Q2048&gt;0,$O2048&gt;=AboveRank),$Q2048,0)</f>
        <v>0</v>
      </c>
      <c r="T2048" s="64" t="n">
        <f aca="false">IF($K2048="Less",$P2048,0)</f>
        <v>0</v>
      </c>
      <c r="U2048" s="64" t="n">
        <f aca="false">IF($K2048="Expected",$P2048,0)</f>
        <v>0</v>
      </c>
      <c r="V2048" s="64" t="n">
        <f aca="false">IF($K2048="Better",$P2048,0)</f>
        <v>0</v>
      </c>
      <c r="W2048" s="64" t="n">
        <f aca="false">IF($K2048="U – needs rule",$P2048,0)</f>
        <v>0</v>
      </c>
      <c r="X2048" s="64" t="n">
        <f aca="false">IF($K2048="No Start (attainment only)",$P2048,0)</f>
        <v>0</v>
      </c>
    </row>
    <row r="2049" customFormat="false" ht="15" hidden="false" customHeight="false" outlineLevel="0" collapsed="false">
      <c r="A2049" s="60"/>
      <c r="B2049" s="61" t="str">
        <f aca="false">IF($M2049=0,"",INDEX(Classes!$E$6:$E$420,$M2049))</f>
        <v/>
      </c>
      <c r="C2049" s="62" t="str">
        <f aca="false">IF($M2049=0,"",INDEX(Classes!$H$6:$H$420,$M2049))</f>
        <v/>
      </c>
      <c r="D2049" s="61" t="str">
        <f aca="false">IF($M2049=0,"",INDEX(Classes!$B$6:$B$420,$M2049))</f>
        <v/>
      </c>
      <c r="E2049" s="61" t="str">
        <f aca="false">IF($M2049=0,"",INDEX(Classes!$C$6:$C$420,$M2049))</f>
        <v/>
      </c>
      <c r="F2049" s="63"/>
      <c r="G2049" s="63"/>
      <c r="H2049" s="60"/>
      <c r="I2049" s="60"/>
      <c r="J2049" s="63"/>
      <c r="K2049" s="61" t="str">
        <f aca="false">IF($P2049=0,"",IF($F2049="Baseline","— Baseline",IF($O2049=0,"No result",IF($N2049=0,"No Start (attainment only)",IF(OR($N2049=1,$O2049=1),"U – needs rule",INDEX(MxBody,MATCH($I2049,MxCurr,0),MATCH($H2049,MxStart,0)))))))</f>
        <v/>
      </c>
      <c r="L2049" s="62" t="str">
        <f aca="false">IF(COUNTA($A2049,$F2049,$G2049,$H2049,$I2049,$J2049)=0,"",IF($M2049=0,"✖ كود الصف غير موجود",IF(ISNA(MATCH($F2049,Lists!$A$2:$A$5,0)),"✖ الفترة غير صحيحة",IF(ISNA(MATCH($G2049,Lists!$B$2:$B$7,0)),"✖ المجموعة غير صحيحة",IF(NOT(OR($H2049="",$N2049&gt;0)),"✖ Start غير صحيح",IF(NOT(OR($I2049="",$I2049="NR",$O2049&gt;0)),"✖ Current غير صحيح",IF(NOT(IF(ISNUMBER($J2049),AND($J2049&gt;=0,$J2049=INT($J2049)),FALSE())),"✖ العدد يجب أن يكون صحيحًا ≥ 0",IF(AND($F2049="Baseline",$H2049&lt;&gt;""),"⚠ Baseline: Start لا يدخل في التقدم",IF($K2049="No Start (attainment only)","ℹ تحصيل فقط (بدون Start)",IF($K2049="U – needs rule","ℹ حالة U تحتاج قاعدة معتمدة",IF($K2049="No result","ℹ بدون نتيجة (يُستبعد من التحصيل)","OK")))))))))))</f>
        <v/>
      </c>
      <c r="M2049" s="64" t="n">
        <f aca="false">IF($A2049="",0,IFERROR(MATCH($A2049,Classes!$A$6:$A$420,0),0))</f>
        <v>0</v>
      </c>
      <c r="N2049" s="64" t="n">
        <f aca="false">IF($H2049="",0,IFERROR(MATCH($H2049,GradeList,0),0))</f>
        <v>0</v>
      </c>
      <c r="O2049" s="64" t="n">
        <f aca="false">IF(OR($I2049="",$I2049="NR"),0,IFERROR(MATCH($I2049,GradeList,0),0))</f>
        <v>0</v>
      </c>
      <c r="P2049" s="64" t="n">
        <f aca="false">IF(AND($M2049&gt;0,ISNUMBER(MATCH($F2049,Lists!$A$2:$A$5,0)),ISNUMBER(MATCH($G2049,Lists!$B$2:$B$7,0)),OR($H2049="",$N2049&gt;0),OR($I2049="",$I2049="NR",$O2049&gt;0),IF(ISNUMBER($J2049),AND($J2049&gt;=0,$J2049=INT($J2049)),FALSE())),$J2049,0)</f>
        <v>0</v>
      </c>
      <c r="Q2049" s="64" t="n">
        <f aca="false">IF(AND($P2049&gt;0,$O2049&gt;0),$P2049,0)</f>
        <v>0</v>
      </c>
      <c r="R2049" s="64" t="n">
        <f aca="false">IF(AND($Q2049&gt;0,$O2049&gt;=AtRank),$Q2049,0)</f>
        <v>0</v>
      </c>
      <c r="S2049" s="64" t="n">
        <f aca="false">IF(AND($Q2049&gt;0,$O2049&gt;=AboveRank),$Q2049,0)</f>
        <v>0</v>
      </c>
      <c r="T2049" s="64" t="n">
        <f aca="false">IF($K2049="Less",$P2049,0)</f>
        <v>0</v>
      </c>
      <c r="U2049" s="64" t="n">
        <f aca="false">IF($K2049="Expected",$P2049,0)</f>
        <v>0</v>
      </c>
      <c r="V2049" s="64" t="n">
        <f aca="false">IF($K2049="Better",$P2049,0)</f>
        <v>0</v>
      </c>
      <c r="W2049" s="64" t="n">
        <f aca="false">IF($K2049="U – needs rule",$P2049,0)</f>
        <v>0</v>
      </c>
      <c r="X2049" s="64" t="n">
        <f aca="false">IF($K2049="No Start (attainment only)",$P2049,0)</f>
        <v>0</v>
      </c>
    </row>
    <row r="2050" customFormat="false" ht="15" hidden="false" customHeight="false" outlineLevel="0" collapsed="false">
      <c r="A2050" s="60"/>
      <c r="B2050" s="61" t="str">
        <f aca="false">IF($M2050=0,"",INDEX(Classes!$E$6:$E$420,$M2050))</f>
        <v/>
      </c>
      <c r="C2050" s="62" t="str">
        <f aca="false">IF($M2050=0,"",INDEX(Classes!$H$6:$H$420,$M2050))</f>
        <v/>
      </c>
      <c r="D2050" s="61" t="str">
        <f aca="false">IF($M2050=0,"",INDEX(Classes!$B$6:$B$420,$M2050))</f>
        <v/>
      </c>
      <c r="E2050" s="61" t="str">
        <f aca="false">IF($M2050=0,"",INDEX(Classes!$C$6:$C$420,$M2050))</f>
        <v/>
      </c>
      <c r="F2050" s="63"/>
      <c r="G2050" s="63"/>
      <c r="H2050" s="60"/>
      <c r="I2050" s="60"/>
      <c r="J2050" s="63"/>
      <c r="K2050" s="61" t="str">
        <f aca="false">IF($P2050=0,"",IF($F2050="Baseline","— Baseline",IF($O2050=0,"No result",IF($N2050=0,"No Start (attainment only)",IF(OR($N2050=1,$O2050=1),"U – needs rule",INDEX(MxBody,MATCH($I2050,MxCurr,0),MATCH($H2050,MxStart,0)))))))</f>
        <v/>
      </c>
      <c r="L2050" s="62" t="str">
        <f aca="false">IF(COUNTA($A2050,$F2050,$G2050,$H2050,$I2050,$J2050)=0,"",IF($M2050=0,"✖ كود الصف غير موجود",IF(ISNA(MATCH($F2050,Lists!$A$2:$A$5,0)),"✖ الفترة غير صحيحة",IF(ISNA(MATCH($G2050,Lists!$B$2:$B$7,0)),"✖ المجموعة غير صحيحة",IF(NOT(OR($H2050="",$N2050&gt;0)),"✖ Start غير صحيح",IF(NOT(OR($I2050="",$I2050="NR",$O2050&gt;0)),"✖ Current غير صحيح",IF(NOT(IF(ISNUMBER($J2050),AND($J2050&gt;=0,$J2050=INT($J2050)),FALSE())),"✖ العدد يجب أن يكون صحيحًا ≥ 0",IF(AND($F2050="Baseline",$H2050&lt;&gt;""),"⚠ Baseline: Start لا يدخل في التقدم",IF($K2050="No Start (attainment only)","ℹ تحصيل فقط (بدون Start)",IF($K2050="U – needs rule","ℹ حالة U تحتاج قاعدة معتمدة",IF($K2050="No result","ℹ بدون نتيجة (يُستبعد من التحصيل)","OK")))))))))))</f>
        <v/>
      </c>
      <c r="M2050" s="64" t="n">
        <f aca="false">IF($A2050="",0,IFERROR(MATCH($A2050,Classes!$A$6:$A$420,0),0))</f>
        <v>0</v>
      </c>
      <c r="N2050" s="64" t="n">
        <f aca="false">IF($H2050="",0,IFERROR(MATCH($H2050,GradeList,0),0))</f>
        <v>0</v>
      </c>
      <c r="O2050" s="64" t="n">
        <f aca="false">IF(OR($I2050="",$I2050="NR"),0,IFERROR(MATCH($I2050,GradeList,0),0))</f>
        <v>0</v>
      </c>
      <c r="P2050" s="64" t="n">
        <f aca="false">IF(AND($M2050&gt;0,ISNUMBER(MATCH($F2050,Lists!$A$2:$A$5,0)),ISNUMBER(MATCH($G2050,Lists!$B$2:$B$7,0)),OR($H2050="",$N2050&gt;0),OR($I2050="",$I2050="NR",$O2050&gt;0),IF(ISNUMBER($J2050),AND($J2050&gt;=0,$J2050=INT($J2050)),FALSE())),$J2050,0)</f>
        <v>0</v>
      </c>
      <c r="Q2050" s="64" t="n">
        <f aca="false">IF(AND($P2050&gt;0,$O2050&gt;0),$P2050,0)</f>
        <v>0</v>
      </c>
      <c r="R2050" s="64" t="n">
        <f aca="false">IF(AND($Q2050&gt;0,$O2050&gt;=AtRank),$Q2050,0)</f>
        <v>0</v>
      </c>
      <c r="S2050" s="64" t="n">
        <f aca="false">IF(AND($Q2050&gt;0,$O2050&gt;=AboveRank),$Q2050,0)</f>
        <v>0</v>
      </c>
      <c r="T2050" s="64" t="n">
        <f aca="false">IF($K2050="Less",$P2050,0)</f>
        <v>0</v>
      </c>
      <c r="U2050" s="64" t="n">
        <f aca="false">IF($K2050="Expected",$P2050,0)</f>
        <v>0</v>
      </c>
      <c r="V2050" s="64" t="n">
        <f aca="false">IF($K2050="Better",$P2050,0)</f>
        <v>0</v>
      </c>
      <c r="W2050" s="64" t="n">
        <f aca="false">IF($K2050="U – needs rule",$P2050,0)</f>
        <v>0</v>
      </c>
      <c r="X2050" s="64" t="n">
        <f aca="false">IF($K2050="No Start (attainment only)",$P2050,0)</f>
        <v>0</v>
      </c>
    </row>
    <row r="2051" customFormat="false" ht="15" hidden="false" customHeight="false" outlineLevel="0" collapsed="false">
      <c r="A2051" s="60"/>
      <c r="B2051" s="61" t="str">
        <f aca="false">IF($M2051=0,"",INDEX(Classes!$E$6:$E$420,$M2051))</f>
        <v/>
      </c>
      <c r="C2051" s="62" t="str">
        <f aca="false">IF($M2051=0,"",INDEX(Classes!$H$6:$H$420,$M2051))</f>
        <v/>
      </c>
      <c r="D2051" s="61" t="str">
        <f aca="false">IF($M2051=0,"",INDEX(Classes!$B$6:$B$420,$M2051))</f>
        <v/>
      </c>
      <c r="E2051" s="61" t="str">
        <f aca="false">IF($M2051=0,"",INDEX(Classes!$C$6:$C$420,$M2051))</f>
        <v/>
      </c>
      <c r="F2051" s="63"/>
      <c r="G2051" s="63"/>
      <c r="H2051" s="60"/>
      <c r="I2051" s="60"/>
      <c r="J2051" s="63"/>
      <c r="K2051" s="61" t="str">
        <f aca="false">IF($P2051=0,"",IF($F2051="Baseline","— Baseline",IF($O2051=0,"No result",IF($N2051=0,"No Start (attainment only)",IF(OR($N2051=1,$O2051=1),"U – needs rule",INDEX(MxBody,MATCH($I2051,MxCurr,0),MATCH($H2051,MxStart,0)))))))</f>
        <v/>
      </c>
      <c r="L2051" s="62" t="str">
        <f aca="false">IF(COUNTA($A2051,$F2051,$G2051,$H2051,$I2051,$J2051)=0,"",IF($M2051=0,"✖ كود الصف غير موجود",IF(ISNA(MATCH($F2051,Lists!$A$2:$A$5,0)),"✖ الفترة غير صحيحة",IF(ISNA(MATCH($G2051,Lists!$B$2:$B$7,0)),"✖ المجموعة غير صحيحة",IF(NOT(OR($H2051="",$N2051&gt;0)),"✖ Start غير صحيح",IF(NOT(OR($I2051="",$I2051="NR",$O2051&gt;0)),"✖ Current غير صحيح",IF(NOT(IF(ISNUMBER($J2051),AND($J2051&gt;=0,$J2051=INT($J2051)),FALSE())),"✖ العدد يجب أن يكون صحيحًا ≥ 0",IF(AND($F2051="Baseline",$H2051&lt;&gt;""),"⚠ Baseline: Start لا يدخل في التقدم",IF($K2051="No Start (attainment only)","ℹ تحصيل فقط (بدون Start)",IF($K2051="U – needs rule","ℹ حالة U تحتاج قاعدة معتمدة",IF($K2051="No result","ℹ بدون نتيجة (يُستبعد من التحصيل)","OK")))))))))))</f>
        <v/>
      </c>
      <c r="M2051" s="64" t="n">
        <f aca="false">IF($A2051="",0,IFERROR(MATCH($A2051,Classes!$A$6:$A$420,0),0))</f>
        <v>0</v>
      </c>
      <c r="N2051" s="64" t="n">
        <f aca="false">IF($H2051="",0,IFERROR(MATCH($H2051,GradeList,0),0))</f>
        <v>0</v>
      </c>
      <c r="O2051" s="64" t="n">
        <f aca="false">IF(OR($I2051="",$I2051="NR"),0,IFERROR(MATCH($I2051,GradeList,0),0))</f>
        <v>0</v>
      </c>
      <c r="P2051" s="64" t="n">
        <f aca="false">IF(AND($M2051&gt;0,ISNUMBER(MATCH($F2051,Lists!$A$2:$A$5,0)),ISNUMBER(MATCH($G2051,Lists!$B$2:$B$7,0)),OR($H2051="",$N2051&gt;0),OR($I2051="",$I2051="NR",$O2051&gt;0),IF(ISNUMBER($J2051),AND($J2051&gt;=0,$J2051=INT($J2051)),FALSE())),$J2051,0)</f>
        <v>0</v>
      </c>
      <c r="Q2051" s="64" t="n">
        <f aca="false">IF(AND($P2051&gt;0,$O2051&gt;0),$P2051,0)</f>
        <v>0</v>
      </c>
      <c r="R2051" s="64" t="n">
        <f aca="false">IF(AND($Q2051&gt;0,$O2051&gt;=AtRank),$Q2051,0)</f>
        <v>0</v>
      </c>
      <c r="S2051" s="64" t="n">
        <f aca="false">IF(AND($Q2051&gt;0,$O2051&gt;=AboveRank),$Q2051,0)</f>
        <v>0</v>
      </c>
      <c r="T2051" s="64" t="n">
        <f aca="false">IF($K2051="Less",$P2051,0)</f>
        <v>0</v>
      </c>
      <c r="U2051" s="64" t="n">
        <f aca="false">IF($K2051="Expected",$P2051,0)</f>
        <v>0</v>
      </c>
      <c r="V2051" s="64" t="n">
        <f aca="false">IF($K2051="Better",$P2051,0)</f>
        <v>0</v>
      </c>
      <c r="W2051" s="64" t="n">
        <f aca="false">IF($K2051="U – needs rule",$P2051,0)</f>
        <v>0</v>
      </c>
      <c r="X2051" s="64" t="n">
        <f aca="false">IF($K2051="No Start (attainment only)",$P2051,0)</f>
        <v>0</v>
      </c>
    </row>
    <row r="2052" customFormat="false" ht="15" hidden="false" customHeight="false" outlineLevel="0" collapsed="false">
      <c r="A2052" s="60"/>
      <c r="B2052" s="61" t="str">
        <f aca="false">IF($M2052=0,"",INDEX(Classes!$E$6:$E$420,$M2052))</f>
        <v/>
      </c>
      <c r="C2052" s="62" t="str">
        <f aca="false">IF($M2052=0,"",INDEX(Classes!$H$6:$H$420,$M2052))</f>
        <v/>
      </c>
      <c r="D2052" s="61" t="str">
        <f aca="false">IF($M2052=0,"",INDEX(Classes!$B$6:$B$420,$M2052))</f>
        <v/>
      </c>
      <c r="E2052" s="61" t="str">
        <f aca="false">IF($M2052=0,"",INDEX(Classes!$C$6:$C$420,$M2052))</f>
        <v/>
      </c>
      <c r="F2052" s="63"/>
      <c r="G2052" s="63"/>
      <c r="H2052" s="60"/>
      <c r="I2052" s="60"/>
      <c r="J2052" s="63"/>
      <c r="K2052" s="61" t="str">
        <f aca="false">IF($P2052=0,"",IF($F2052="Baseline","— Baseline",IF($O2052=0,"No result",IF($N2052=0,"No Start (attainment only)",IF(OR($N2052=1,$O2052=1),"U – needs rule",INDEX(MxBody,MATCH($I2052,MxCurr,0),MATCH($H2052,MxStart,0)))))))</f>
        <v/>
      </c>
      <c r="L2052" s="62" t="str">
        <f aca="false">IF(COUNTA($A2052,$F2052,$G2052,$H2052,$I2052,$J2052)=0,"",IF($M2052=0,"✖ كود الصف غير موجود",IF(ISNA(MATCH($F2052,Lists!$A$2:$A$5,0)),"✖ الفترة غير صحيحة",IF(ISNA(MATCH($G2052,Lists!$B$2:$B$7,0)),"✖ المجموعة غير صحيحة",IF(NOT(OR($H2052="",$N2052&gt;0)),"✖ Start غير صحيح",IF(NOT(OR($I2052="",$I2052="NR",$O2052&gt;0)),"✖ Current غير صحيح",IF(NOT(IF(ISNUMBER($J2052),AND($J2052&gt;=0,$J2052=INT($J2052)),FALSE())),"✖ العدد يجب أن يكون صحيحًا ≥ 0",IF(AND($F2052="Baseline",$H2052&lt;&gt;""),"⚠ Baseline: Start لا يدخل في التقدم",IF($K2052="No Start (attainment only)","ℹ تحصيل فقط (بدون Start)",IF($K2052="U – needs rule","ℹ حالة U تحتاج قاعدة معتمدة",IF($K2052="No result","ℹ بدون نتيجة (يُستبعد من التحصيل)","OK")))))))))))</f>
        <v/>
      </c>
      <c r="M2052" s="64" t="n">
        <f aca="false">IF($A2052="",0,IFERROR(MATCH($A2052,Classes!$A$6:$A$420,0),0))</f>
        <v>0</v>
      </c>
      <c r="N2052" s="64" t="n">
        <f aca="false">IF($H2052="",0,IFERROR(MATCH($H2052,GradeList,0),0))</f>
        <v>0</v>
      </c>
      <c r="O2052" s="64" t="n">
        <f aca="false">IF(OR($I2052="",$I2052="NR"),0,IFERROR(MATCH($I2052,GradeList,0),0))</f>
        <v>0</v>
      </c>
      <c r="P2052" s="64" t="n">
        <f aca="false">IF(AND($M2052&gt;0,ISNUMBER(MATCH($F2052,Lists!$A$2:$A$5,0)),ISNUMBER(MATCH($G2052,Lists!$B$2:$B$7,0)),OR($H2052="",$N2052&gt;0),OR($I2052="",$I2052="NR",$O2052&gt;0),IF(ISNUMBER($J2052),AND($J2052&gt;=0,$J2052=INT($J2052)),FALSE())),$J2052,0)</f>
        <v>0</v>
      </c>
      <c r="Q2052" s="64" t="n">
        <f aca="false">IF(AND($P2052&gt;0,$O2052&gt;0),$P2052,0)</f>
        <v>0</v>
      </c>
      <c r="R2052" s="64" t="n">
        <f aca="false">IF(AND($Q2052&gt;0,$O2052&gt;=AtRank),$Q2052,0)</f>
        <v>0</v>
      </c>
      <c r="S2052" s="64" t="n">
        <f aca="false">IF(AND($Q2052&gt;0,$O2052&gt;=AboveRank),$Q2052,0)</f>
        <v>0</v>
      </c>
      <c r="T2052" s="64" t="n">
        <f aca="false">IF($K2052="Less",$P2052,0)</f>
        <v>0</v>
      </c>
      <c r="U2052" s="64" t="n">
        <f aca="false">IF($K2052="Expected",$P2052,0)</f>
        <v>0</v>
      </c>
      <c r="V2052" s="64" t="n">
        <f aca="false">IF($K2052="Better",$P2052,0)</f>
        <v>0</v>
      </c>
      <c r="W2052" s="64" t="n">
        <f aca="false">IF($K2052="U – needs rule",$P2052,0)</f>
        <v>0</v>
      </c>
      <c r="X2052" s="64" t="n">
        <f aca="false">IF($K2052="No Start (attainment only)",$P2052,0)</f>
        <v>0</v>
      </c>
    </row>
    <row r="2053" customFormat="false" ht="15" hidden="false" customHeight="false" outlineLevel="0" collapsed="false">
      <c r="A2053" s="60"/>
      <c r="B2053" s="61" t="str">
        <f aca="false">IF($M2053=0,"",INDEX(Classes!$E$6:$E$420,$M2053))</f>
        <v/>
      </c>
      <c r="C2053" s="62" t="str">
        <f aca="false">IF($M2053=0,"",INDEX(Classes!$H$6:$H$420,$M2053))</f>
        <v/>
      </c>
      <c r="D2053" s="61" t="str">
        <f aca="false">IF($M2053=0,"",INDEX(Classes!$B$6:$B$420,$M2053))</f>
        <v/>
      </c>
      <c r="E2053" s="61" t="str">
        <f aca="false">IF($M2053=0,"",INDEX(Classes!$C$6:$C$420,$M2053))</f>
        <v/>
      </c>
      <c r="F2053" s="63"/>
      <c r="G2053" s="63"/>
      <c r="H2053" s="60"/>
      <c r="I2053" s="60"/>
      <c r="J2053" s="63"/>
      <c r="K2053" s="61" t="str">
        <f aca="false">IF($P2053=0,"",IF($F2053="Baseline","— Baseline",IF($O2053=0,"No result",IF($N2053=0,"No Start (attainment only)",IF(OR($N2053=1,$O2053=1),"U – needs rule",INDEX(MxBody,MATCH($I2053,MxCurr,0),MATCH($H2053,MxStart,0)))))))</f>
        <v/>
      </c>
      <c r="L2053" s="62" t="str">
        <f aca="false">IF(COUNTA($A2053,$F2053,$G2053,$H2053,$I2053,$J2053)=0,"",IF($M2053=0,"✖ كود الصف غير موجود",IF(ISNA(MATCH($F2053,Lists!$A$2:$A$5,0)),"✖ الفترة غير صحيحة",IF(ISNA(MATCH($G2053,Lists!$B$2:$B$7,0)),"✖ المجموعة غير صحيحة",IF(NOT(OR($H2053="",$N2053&gt;0)),"✖ Start غير صحيح",IF(NOT(OR($I2053="",$I2053="NR",$O2053&gt;0)),"✖ Current غير صحيح",IF(NOT(IF(ISNUMBER($J2053),AND($J2053&gt;=0,$J2053=INT($J2053)),FALSE())),"✖ العدد يجب أن يكون صحيحًا ≥ 0",IF(AND($F2053="Baseline",$H2053&lt;&gt;""),"⚠ Baseline: Start لا يدخل في التقدم",IF($K2053="No Start (attainment only)","ℹ تحصيل فقط (بدون Start)",IF($K2053="U – needs rule","ℹ حالة U تحتاج قاعدة معتمدة",IF($K2053="No result","ℹ بدون نتيجة (يُستبعد من التحصيل)","OK")))))))))))</f>
        <v/>
      </c>
      <c r="M2053" s="64" t="n">
        <f aca="false">IF($A2053="",0,IFERROR(MATCH($A2053,Classes!$A$6:$A$420,0),0))</f>
        <v>0</v>
      </c>
      <c r="N2053" s="64" t="n">
        <f aca="false">IF($H2053="",0,IFERROR(MATCH($H2053,GradeList,0),0))</f>
        <v>0</v>
      </c>
      <c r="O2053" s="64" t="n">
        <f aca="false">IF(OR($I2053="",$I2053="NR"),0,IFERROR(MATCH($I2053,GradeList,0),0))</f>
        <v>0</v>
      </c>
      <c r="P2053" s="64" t="n">
        <f aca="false">IF(AND($M2053&gt;0,ISNUMBER(MATCH($F2053,Lists!$A$2:$A$5,0)),ISNUMBER(MATCH($G2053,Lists!$B$2:$B$7,0)),OR($H2053="",$N2053&gt;0),OR($I2053="",$I2053="NR",$O2053&gt;0),IF(ISNUMBER($J2053),AND($J2053&gt;=0,$J2053=INT($J2053)),FALSE())),$J2053,0)</f>
        <v>0</v>
      </c>
      <c r="Q2053" s="64" t="n">
        <f aca="false">IF(AND($P2053&gt;0,$O2053&gt;0),$P2053,0)</f>
        <v>0</v>
      </c>
      <c r="R2053" s="64" t="n">
        <f aca="false">IF(AND($Q2053&gt;0,$O2053&gt;=AtRank),$Q2053,0)</f>
        <v>0</v>
      </c>
      <c r="S2053" s="64" t="n">
        <f aca="false">IF(AND($Q2053&gt;0,$O2053&gt;=AboveRank),$Q2053,0)</f>
        <v>0</v>
      </c>
      <c r="T2053" s="64" t="n">
        <f aca="false">IF($K2053="Less",$P2053,0)</f>
        <v>0</v>
      </c>
      <c r="U2053" s="64" t="n">
        <f aca="false">IF($K2053="Expected",$P2053,0)</f>
        <v>0</v>
      </c>
      <c r="V2053" s="64" t="n">
        <f aca="false">IF($K2053="Better",$P2053,0)</f>
        <v>0</v>
      </c>
      <c r="W2053" s="64" t="n">
        <f aca="false">IF($K2053="U – needs rule",$P2053,0)</f>
        <v>0</v>
      </c>
      <c r="X2053" s="64" t="n">
        <f aca="false">IF($K2053="No Start (attainment only)",$P2053,0)</f>
        <v>0</v>
      </c>
    </row>
    <row r="2054" customFormat="false" ht="15" hidden="false" customHeight="false" outlineLevel="0" collapsed="false">
      <c r="A2054" s="60"/>
      <c r="B2054" s="61" t="str">
        <f aca="false">IF($M2054=0,"",INDEX(Classes!$E$6:$E$420,$M2054))</f>
        <v/>
      </c>
      <c r="C2054" s="62" t="str">
        <f aca="false">IF($M2054=0,"",INDEX(Classes!$H$6:$H$420,$M2054))</f>
        <v/>
      </c>
      <c r="D2054" s="61" t="str">
        <f aca="false">IF($M2054=0,"",INDEX(Classes!$B$6:$B$420,$M2054))</f>
        <v/>
      </c>
      <c r="E2054" s="61" t="str">
        <f aca="false">IF($M2054=0,"",INDEX(Classes!$C$6:$C$420,$M2054))</f>
        <v/>
      </c>
      <c r="F2054" s="63"/>
      <c r="G2054" s="63"/>
      <c r="H2054" s="60"/>
      <c r="I2054" s="60"/>
      <c r="J2054" s="63"/>
      <c r="K2054" s="61" t="str">
        <f aca="false">IF($P2054=0,"",IF($F2054="Baseline","— Baseline",IF($O2054=0,"No result",IF($N2054=0,"No Start (attainment only)",IF(OR($N2054=1,$O2054=1),"U – needs rule",INDEX(MxBody,MATCH($I2054,MxCurr,0),MATCH($H2054,MxStart,0)))))))</f>
        <v/>
      </c>
      <c r="L2054" s="62" t="str">
        <f aca="false">IF(COUNTA($A2054,$F2054,$G2054,$H2054,$I2054,$J2054)=0,"",IF($M2054=0,"✖ كود الصف غير موجود",IF(ISNA(MATCH($F2054,Lists!$A$2:$A$5,0)),"✖ الفترة غير صحيحة",IF(ISNA(MATCH($G2054,Lists!$B$2:$B$7,0)),"✖ المجموعة غير صحيحة",IF(NOT(OR($H2054="",$N2054&gt;0)),"✖ Start غير صحيح",IF(NOT(OR($I2054="",$I2054="NR",$O2054&gt;0)),"✖ Current غير صحيح",IF(NOT(IF(ISNUMBER($J2054),AND($J2054&gt;=0,$J2054=INT($J2054)),FALSE())),"✖ العدد يجب أن يكون صحيحًا ≥ 0",IF(AND($F2054="Baseline",$H2054&lt;&gt;""),"⚠ Baseline: Start لا يدخل في التقدم",IF($K2054="No Start (attainment only)","ℹ تحصيل فقط (بدون Start)",IF($K2054="U – needs rule","ℹ حالة U تحتاج قاعدة معتمدة",IF($K2054="No result","ℹ بدون نتيجة (يُستبعد من التحصيل)","OK")))))))))))</f>
        <v/>
      </c>
      <c r="M2054" s="64" t="n">
        <f aca="false">IF($A2054="",0,IFERROR(MATCH($A2054,Classes!$A$6:$A$420,0),0))</f>
        <v>0</v>
      </c>
      <c r="N2054" s="64" t="n">
        <f aca="false">IF($H2054="",0,IFERROR(MATCH($H2054,GradeList,0),0))</f>
        <v>0</v>
      </c>
      <c r="O2054" s="64" t="n">
        <f aca="false">IF(OR($I2054="",$I2054="NR"),0,IFERROR(MATCH($I2054,GradeList,0),0))</f>
        <v>0</v>
      </c>
      <c r="P2054" s="64" t="n">
        <f aca="false">IF(AND($M2054&gt;0,ISNUMBER(MATCH($F2054,Lists!$A$2:$A$5,0)),ISNUMBER(MATCH($G2054,Lists!$B$2:$B$7,0)),OR($H2054="",$N2054&gt;0),OR($I2054="",$I2054="NR",$O2054&gt;0),IF(ISNUMBER($J2054),AND($J2054&gt;=0,$J2054=INT($J2054)),FALSE())),$J2054,0)</f>
        <v>0</v>
      </c>
      <c r="Q2054" s="64" t="n">
        <f aca="false">IF(AND($P2054&gt;0,$O2054&gt;0),$P2054,0)</f>
        <v>0</v>
      </c>
      <c r="R2054" s="64" t="n">
        <f aca="false">IF(AND($Q2054&gt;0,$O2054&gt;=AtRank),$Q2054,0)</f>
        <v>0</v>
      </c>
      <c r="S2054" s="64" t="n">
        <f aca="false">IF(AND($Q2054&gt;0,$O2054&gt;=AboveRank),$Q2054,0)</f>
        <v>0</v>
      </c>
      <c r="T2054" s="64" t="n">
        <f aca="false">IF($K2054="Less",$P2054,0)</f>
        <v>0</v>
      </c>
      <c r="U2054" s="64" t="n">
        <f aca="false">IF($K2054="Expected",$P2054,0)</f>
        <v>0</v>
      </c>
      <c r="V2054" s="64" t="n">
        <f aca="false">IF($K2054="Better",$P2054,0)</f>
        <v>0</v>
      </c>
      <c r="W2054" s="64" t="n">
        <f aca="false">IF($K2054="U – needs rule",$P2054,0)</f>
        <v>0</v>
      </c>
      <c r="X2054" s="64" t="n">
        <f aca="false">IF($K2054="No Start (attainment only)",$P2054,0)</f>
        <v>0</v>
      </c>
    </row>
    <row r="2055" customFormat="false" ht="15" hidden="false" customHeight="false" outlineLevel="0" collapsed="false">
      <c r="A2055" s="60"/>
      <c r="B2055" s="61" t="str">
        <f aca="false">IF($M2055=0,"",INDEX(Classes!$E$6:$E$420,$M2055))</f>
        <v/>
      </c>
      <c r="C2055" s="62" t="str">
        <f aca="false">IF($M2055=0,"",INDEX(Classes!$H$6:$H$420,$M2055))</f>
        <v/>
      </c>
      <c r="D2055" s="61" t="str">
        <f aca="false">IF($M2055=0,"",INDEX(Classes!$B$6:$B$420,$M2055))</f>
        <v/>
      </c>
      <c r="E2055" s="61" t="str">
        <f aca="false">IF($M2055=0,"",INDEX(Classes!$C$6:$C$420,$M2055))</f>
        <v/>
      </c>
      <c r="F2055" s="63"/>
      <c r="G2055" s="63"/>
      <c r="H2055" s="60"/>
      <c r="I2055" s="60"/>
      <c r="J2055" s="63"/>
      <c r="K2055" s="61" t="str">
        <f aca="false">IF($P2055=0,"",IF($F2055="Baseline","— Baseline",IF($O2055=0,"No result",IF($N2055=0,"No Start (attainment only)",IF(OR($N2055=1,$O2055=1),"U – needs rule",INDEX(MxBody,MATCH($I2055,MxCurr,0),MATCH($H2055,MxStart,0)))))))</f>
        <v/>
      </c>
      <c r="L2055" s="62" t="str">
        <f aca="false">IF(COUNTA($A2055,$F2055,$G2055,$H2055,$I2055,$J2055)=0,"",IF($M2055=0,"✖ كود الصف غير موجود",IF(ISNA(MATCH($F2055,Lists!$A$2:$A$5,0)),"✖ الفترة غير صحيحة",IF(ISNA(MATCH($G2055,Lists!$B$2:$B$7,0)),"✖ المجموعة غير صحيحة",IF(NOT(OR($H2055="",$N2055&gt;0)),"✖ Start غير صحيح",IF(NOT(OR($I2055="",$I2055="NR",$O2055&gt;0)),"✖ Current غير صحيح",IF(NOT(IF(ISNUMBER($J2055),AND($J2055&gt;=0,$J2055=INT($J2055)),FALSE())),"✖ العدد يجب أن يكون صحيحًا ≥ 0",IF(AND($F2055="Baseline",$H2055&lt;&gt;""),"⚠ Baseline: Start لا يدخل في التقدم",IF($K2055="No Start (attainment only)","ℹ تحصيل فقط (بدون Start)",IF($K2055="U – needs rule","ℹ حالة U تحتاج قاعدة معتمدة",IF($K2055="No result","ℹ بدون نتيجة (يُستبعد من التحصيل)","OK")))))))))))</f>
        <v/>
      </c>
      <c r="M2055" s="64" t="n">
        <f aca="false">IF($A2055="",0,IFERROR(MATCH($A2055,Classes!$A$6:$A$420,0),0))</f>
        <v>0</v>
      </c>
      <c r="N2055" s="64" t="n">
        <f aca="false">IF($H2055="",0,IFERROR(MATCH($H2055,GradeList,0),0))</f>
        <v>0</v>
      </c>
      <c r="O2055" s="64" t="n">
        <f aca="false">IF(OR($I2055="",$I2055="NR"),0,IFERROR(MATCH($I2055,GradeList,0),0))</f>
        <v>0</v>
      </c>
      <c r="P2055" s="64" t="n">
        <f aca="false">IF(AND($M2055&gt;0,ISNUMBER(MATCH($F2055,Lists!$A$2:$A$5,0)),ISNUMBER(MATCH($G2055,Lists!$B$2:$B$7,0)),OR($H2055="",$N2055&gt;0),OR($I2055="",$I2055="NR",$O2055&gt;0),IF(ISNUMBER($J2055),AND($J2055&gt;=0,$J2055=INT($J2055)),FALSE())),$J2055,0)</f>
        <v>0</v>
      </c>
      <c r="Q2055" s="64" t="n">
        <f aca="false">IF(AND($P2055&gt;0,$O2055&gt;0),$P2055,0)</f>
        <v>0</v>
      </c>
      <c r="R2055" s="64" t="n">
        <f aca="false">IF(AND($Q2055&gt;0,$O2055&gt;=AtRank),$Q2055,0)</f>
        <v>0</v>
      </c>
      <c r="S2055" s="64" t="n">
        <f aca="false">IF(AND($Q2055&gt;0,$O2055&gt;=AboveRank),$Q2055,0)</f>
        <v>0</v>
      </c>
      <c r="T2055" s="64" t="n">
        <f aca="false">IF($K2055="Less",$P2055,0)</f>
        <v>0</v>
      </c>
      <c r="U2055" s="64" t="n">
        <f aca="false">IF($K2055="Expected",$P2055,0)</f>
        <v>0</v>
      </c>
      <c r="V2055" s="64" t="n">
        <f aca="false">IF($K2055="Better",$P2055,0)</f>
        <v>0</v>
      </c>
      <c r="W2055" s="64" t="n">
        <f aca="false">IF($K2055="U – needs rule",$P2055,0)</f>
        <v>0</v>
      </c>
      <c r="X2055" s="64" t="n">
        <f aca="false">IF($K2055="No Start (attainment only)",$P2055,0)</f>
        <v>0</v>
      </c>
    </row>
    <row r="2056" customFormat="false" ht="15" hidden="false" customHeight="false" outlineLevel="0" collapsed="false">
      <c r="A2056" s="60"/>
      <c r="B2056" s="61" t="str">
        <f aca="false">IF($M2056=0,"",INDEX(Classes!$E$6:$E$420,$M2056))</f>
        <v/>
      </c>
      <c r="C2056" s="62" t="str">
        <f aca="false">IF($M2056=0,"",INDEX(Classes!$H$6:$H$420,$M2056))</f>
        <v/>
      </c>
      <c r="D2056" s="61" t="str">
        <f aca="false">IF($M2056=0,"",INDEX(Classes!$B$6:$B$420,$M2056))</f>
        <v/>
      </c>
      <c r="E2056" s="61" t="str">
        <f aca="false">IF($M2056=0,"",INDEX(Classes!$C$6:$C$420,$M2056))</f>
        <v/>
      </c>
      <c r="F2056" s="63"/>
      <c r="G2056" s="63"/>
      <c r="H2056" s="60"/>
      <c r="I2056" s="60"/>
      <c r="J2056" s="63"/>
      <c r="K2056" s="61" t="str">
        <f aca="false">IF($P2056=0,"",IF($F2056="Baseline","— Baseline",IF($O2056=0,"No result",IF($N2056=0,"No Start (attainment only)",IF(OR($N2056=1,$O2056=1),"U – needs rule",INDEX(MxBody,MATCH($I2056,MxCurr,0),MATCH($H2056,MxStart,0)))))))</f>
        <v/>
      </c>
      <c r="L2056" s="62" t="str">
        <f aca="false">IF(COUNTA($A2056,$F2056,$G2056,$H2056,$I2056,$J2056)=0,"",IF($M2056=0,"✖ كود الصف غير موجود",IF(ISNA(MATCH($F2056,Lists!$A$2:$A$5,0)),"✖ الفترة غير صحيحة",IF(ISNA(MATCH($G2056,Lists!$B$2:$B$7,0)),"✖ المجموعة غير صحيحة",IF(NOT(OR($H2056="",$N2056&gt;0)),"✖ Start غير صحيح",IF(NOT(OR($I2056="",$I2056="NR",$O2056&gt;0)),"✖ Current غير صحيح",IF(NOT(IF(ISNUMBER($J2056),AND($J2056&gt;=0,$J2056=INT($J2056)),FALSE())),"✖ العدد يجب أن يكون صحيحًا ≥ 0",IF(AND($F2056="Baseline",$H2056&lt;&gt;""),"⚠ Baseline: Start لا يدخل في التقدم",IF($K2056="No Start (attainment only)","ℹ تحصيل فقط (بدون Start)",IF($K2056="U – needs rule","ℹ حالة U تحتاج قاعدة معتمدة",IF($K2056="No result","ℹ بدون نتيجة (يُستبعد من التحصيل)","OK")))))))))))</f>
        <v/>
      </c>
      <c r="M2056" s="64" t="n">
        <f aca="false">IF($A2056="",0,IFERROR(MATCH($A2056,Classes!$A$6:$A$420,0),0))</f>
        <v>0</v>
      </c>
      <c r="N2056" s="64" t="n">
        <f aca="false">IF($H2056="",0,IFERROR(MATCH($H2056,GradeList,0),0))</f>
        <v>0</v>
      </c>
      <c r="O2056" s="64" t="n">
        <f aca="false">IF(OR($I2056="",$I2056="NR"),0,IFERROR(MATCH($I2056,GradeList,0),0))</f>
        <v>0</v>
      </c>
      <c r="P2056" s="64" t="n">
        <f aca="false">IF(AND($M2056&gt;0,ISNUMBER(MATCH($F2056,Lists!$A$2:$A$5,0)),ISNUMBER(MATCH($G2056,Lists!$B$2:$B$7,0)),OR($H2056="",$N2056&gt;0),OR($I2056="",$I2056="NR",$O2056&gt;0),IF(ISNUMBER($J2056),AND($J2056&gt;=0,$J2056=INT($J2056)),FALSE())),$J2056,0)</f>
        <v>0</v>
      </c>
      <c r="Q2056" s="64" t="n">
        <f aca="false">IF(AND($P2056&gt;0,$O2056&gt;0),$P2056,0)</f>
        <v>0</v>
      </c>
      <c r="R2056" s="64" t="n">
        <f aca="false">IF(AND($Q2056&gt;0,$O2056&gt;=AtRank),$Q2056,0)</f>
        <v>0</v>
      </c>
      <c r="S2056" s="64" t="n">
        <f aca="false">IF(AND($Q2056&gt;0,$O2056&gt;=AboveRank),$Q2056,0)</f>
        <v>0</v>
      </c>
      <c r="T2056" s="64" t="n">
        <f aca="false">IF($K2056="Less",$P2056,0)</f>
        <v>0</v>
      </c>
      <c r="U2056" s="64" t="n">
        <f aca="false">IF($K2056="Expected",$P2056,0)</f>
        <v>0</v>
      </c>
      <c r="V2056" s="64" t="n">
        <f aca="false">IF($K2056="Better",$P2056,0)</f>
        <v>0</v>
      </c>
      <c r="W2056" s="64" t="n">
        <f aca="false">IF($K2056="U – needs rule",$P2056,0)</f>
        <v>0</v>
      </c>
      <c r="X2056" s="64" t="n">
        <f aca="false">IF($K2056="No Start (attainment only)",$P2056,0)</f>
        <v>0</v>
      </c>
    </row>
    <row r="2057" customFormat="false" ht="15" hidden="false" customHeight="false" outlineLevel="0" collapsed="false">
      <c r="A2057" s="60"/>
      <c r="B2057" s="61" t="str">
        <f aca="false">IF($M2057=0,"",INDEX(Classes!$E$6:$E$420,$M2057))</f>
        <v/>
      </c>
      <c r="C2057" s="62" t="str">
        <f aca="false">IF($M2057=0,"",INDEX(Classes!$H$6:$H$420,$M2057))</f>
        <v/>
      </c>
      <c r="D2057" s="61" t="str">
        <f aca="false">IF($M2057=0,"",INDEX(Classes!$B$6:$B$420,$M2057))</f>
        <v/>
      </c>
      <c r="E2057" s="61" t="str">
        <f aca="false">IF($M2057=0,"",INDEX(Classes!$C$6:$C$420,$M2057))</f>
        <v/>
      </c>
      <c r="F2057" s="63"/>
      <c r="G2057" s="63"/>
      <c r="H2057" s="60"/>
      <c r="I2057" s="60"/>
      <c r="J2057" s="63"/>
      <c r="K2057" s="61" t="str">
        <f aca="false">IF($P2057=0,"",IF($F2057="Baseline","— Baseline",IF($O2057=0,"No result",IF($N2057=0,"No Start (attainment only)",IF(OR($N2057=1,$O2057=1),"U – needs rule",INDEX(MxBody,MATCH($I2057,MxCurr,0),MATCH($H2057,MxStart,0)))))))</f>
        <v/>
      </c>
      <c r="L2057" s="62" t="str">
        <f aca="false">IF(COUNTA($A2057,$F2057,$G2057,$H2057,$I2057,$J2057)=0,"",IF($M2057=0,"✖ كود الصف غير موجود",IF(ISNA(MATCH($F2057,Lists!$A$2:$A$5,0)),"✖ الفترة غير صحيحة",IF(ISNA(MATCH($G2057,Lists!$B$2:$B$7,0)),"✖ المجموعة غير صحيحة",IF(NOT(OR($H2057="",$N2057&gt;0)),"✖ Start غير صحيح",IF(NOT(OR($I2057="",$I2057="NR",$O2057&gt;0)),"✖ Current غير صحيح",IF(NOT(IF(ISNUMBER($J2057),AND($J2057&gt;=0,$J2057=INT($J2057)),FALSE())),"✖ العدد يجب أن يكون صحيحًا ≥ 0",IF(AND($F2057="Baseline",$H2057&lt;&gt;""),"⚠ Baseline: Start لا يدخل في التقدم",IF($K2057="No Start (attainment only)","ℹ تحصيل فقط (بدون Start)",IF($K2057="U – needs rule","ℹ حالة U تحتاج قاعدة معتمدة",IF($K2057="No result","ℹ بدون نتيجة (يُستبعد من التحصيل)","OK")))))))))))</f>
        <v/>
      </c>
      <c r="M2057" s="64" t="n">
        <f aca="false">IF($A2057="",0,IFERROR(MATCH($A2057,Classes!$A$6:$A$420,0),0))</f>
        <v>0</v>
      </c>
      <c r="N2057" s="64" t="n">
        <f aca="false">IF($H2057="",0,IFERROR(MATCH($H2057,GradeList,0),0))</f>
        <v>0</v>
      </c>
      <c r="O2057" s="64" t="n">
        <f aca="false">IF(OR($I2057="",$I2057="NR"),0,IFERROR(MATCH($I2057,GradeList,0),0))</f>
        <v>0</v>
      </c>
      <c r="P2057" s="64" t="n">
        <f aca="false">IF(AND($M2057&gt;0,ISNUMBER(MATCH($F2057,Lists!$A$2:$A$5,0)),ISNUMBER(MATCH($G2057,Lists!$B$2:$B$7,0)),OR($H2057="",$N2057&gt;0),OR($I2057="",$I2057="NR",$O2057&gt;0),IF(ISNUMBER($J2057),AND($J2057&gt;=0,$J2057=INT($J2057)),FALSE())),$J2057,0)</f>
        <v>0</v>
      </c>
      <c r="Q2057" s="64" t="n">
        <f aca="false">IF(AND($P2057&gt;0,$O2057&gt;0),$P2057,0)</f>
        <v>0</v>
      </c>
      <c r="R2057" s="64" t="n">
        <f aca="false">IF(AND($Q2057&gt;0,$O2057&gt;=AtRank),$Q2057,0)</f>
        <v>0</v>
      </c>
      <c r="S2057" s="64" t="n">
        <f aca="false">IF(AND($Q2057&gt;0,$O2057&gt;=AboveRank),$Q2057,0)</f>
        <v>0</v>
      </c>
      <c r="T2057" s="64" t="n">
        <f aca="false">IF($K2057="Less",$P2057,0)</f>
        <v>0</v>
      </c>
      <c r="U2057" s="64" t="n">
        <f aca="false">IF($K2057="Expected",$P2057,0)</f>
        <v>0</v>
      </c>
      <c r="V2057" s="64" t="n">
        <f aca="false">IF($K2057="Better",$P2057,0)</f>
        <v>0</v>
      </c>
      <c r="W2057" s="64" t="n">
        <f aca="false">IF($K2057="U – needs rule",$P2057,0)</f>
        <v>0</v>
      </c>
      <c r="X2057" s="64" t="n">
        <f aca="false">IF($K2057="No Start (attainment only)",$P2057,0)</f>
        <v>0</v>
      </c>
    </row>
    <row r="2058" customFormat="false" ht="15" hidden="false" customHeight="false" outlineLevel="0" collapsed="false">
      <c r="A2058" s="60"/>
      <c r="B2058" s="61" t="str">
        <f aca="false">IF($M2058=0,"",INDEX(Classes!$E$6:$E$420,$M2058))</f>
        <v/>
      </c>
      <c r="C2058" s="62" t="str">
        <f aca="false">IF($M2058=0,"",INDEX(Classes!$H$6:$H$420,$M2058))</f>
        <v/>
      </c>
      <c r="D2058" s="61" t="str">
        <f aca="false">IF($M2058=0,"",INDEX(Classes!$B$6:$B$420,$M2058))</f>
        <v/>
      </c>
      <c r="E2058" s="61" t="str">
        <f aca="false">IF($M2058=0,"",INDEX(Classes!$C$6:$C$420,$M2058))</f>
        <v/>
      </c>
      <c r="F2058" s="63"/>
      <c r="G2058" s="63"/>
      <c r="H2058" s="60"/>
      <c r="I2058" s="60"/>
      <c r="J2058" s="63"/>
      <c r="K2058" s="61" t="str">
        <f aca="false">IF($P2058=0,"",IF($F2058="Baseline","— Baseline",IF($O2058=0,"No result",IF($N2058=0,"No Start (attainment only)",IF(OR($N2058=1,$O2058=1),"U – needs rule",INDEX(MxBody,MATCH($I2058,MxCurr,0),MATCH($H2058,MxStart,0)))))))</f>
        <v/>
      </c>
      <c r="L2058" s="62" t="str">
        <f aca="false">IF(COUNTA($A2058,$F2058,$G2058,$H2058,$I2058,$J2058)=0,"",IF($M2058=0,"✖ كود الصف غير موجود",IF(ISNA(MATCH($F2058,Lists!$A$2:$A$5,0)),"✖ الفترة غير صحيحة",IF(ISNA(MATCH($G2058,Lists!$B$2:$B$7,0)),"✖ المجموعة غير صحيحة",IF(NOT(OR($H2058="",$N2058&gt;0)),"✖ Start غير صحيح",IF(NOT(OR($I2058="",$I2058="NR",$O2058&gt;0)),"✖ Current غير صحيح",IF(NOT(IF(ISNUMBER($J2058),AND($J2058&gt;=0,$J2058=INT($J2058)),FALSE())),"✖ العدد يجب أن يكون صحيحًا ≥ 0",IF(AND($F2058="Baseline",$H2058&lt;&gt;""),"⚠ Baseline: Start لا يدخل في التقدم",IF($K2058="No Start (attainment only)","ℹ تحصيل فقط (بدون Start)",IF($K2058="U – needs rule","ℹ حالة U تحتاج قاعدة معتمدة",IF($K2058="No result","ℹ بدون نتيجة (يُستبعد من التحصيل)","OK")))))))))))</f>
        <v/>
      </c>
      <c r="M2058" s="64" t="n">
        <f aca="false">IF($A2058="",0,IFERROR(MATCH($A2058,Classes!$A$6:$A$420,0),0))</f>
        <v>0</v>
      </c>
      <c r="N2058" s="64" t="n">
        <f aca="false">IF($H2058="",0,IFERROR(MATCH($H2058,GradeList,0),0))</f>
        <v>0</v>
      </c>
      <c r="O2058" s="64" t="n">
        <f aca="false">IF(OR($I2058="",$I2058="NR"),0,IFERROR(MATCH($I2058,GradeList,0),0))</f>
        <v>0</v>
      </c>
      <c r="P2058" s="64" t="n">
        <f aca="false">IF(AND($M2058&gt;0,ISNUMBER(MATCH($F2058,Lists!$A$2:$A$5,0)),ISNUMBER(MATCH($G2058,Lists!$B$2:$B$7,0)),OR($H2058="",$N2058&gt;0),OR($I2058="",$I2058="NR",$O2058&gt;0),IF(ISNUMBER($J2058),AND($J2058&gt;=0,$J2058=INT($J2058)),FALSE())),$J2058,0)</f>
        <v>0</v>
      </c>
      <c r="Q2058" s="64" t="n">
        <f aca="false">IF(AND($P2058&gt;0,$O2058&gt;0),$P2058,0)</f>
        <v>0</v>
      </c>
      <c r="R2058" s="64" t="n">
        <f aca="false">IF(AND($Q2058&gt;0,$O2058&gt;=AtRank),$Q2058,0)</f>
        <v>0</v>
      </c>
      <c r="S2058" s="64" t="n">
        <f aca="false">IF(AND($Q2058&gt;0,$O2058&gt;=AboveRank),$Q2058,0)</f>
        <v>0</v>
      </c>
      <c r="T2058" s="64" t="n">
        <f aca="false">IF($K2058="Less",$P2058,0)</f>
        <v>0</v>
      </c>
      <c r="U2058" s="64" t="n">
        <f aca="false">IF($K2058="Expected",$P2058,0)</f>
        <v>0</v>
      </c>
      <c r="V2058" s="64" t="n">
        <f aca="false">IF($K2058="Better",$P2058,0)</f>
        <v>0</v>
      </c>
      <c r="W2058" s="64" t="n">
        <f aca="false">IF($K2058="U – needs rule",$P2058,0)</f>
        <v>0</v>
      </c>
      <c r="X2058" s="64" t="n">
        <f aca="false">IF($K2058="No Start (attainment only)",$P2058,0)</f>
        <v>0</v>
      </c>
    </row>
    <row r="2059" customFormat="false" ht="15" hidden="false" customHeight="false" outlineLevel="0" collapsed="false">
      <c r="A2059" s="60"/>
      <c r="B2059" s="61" t="str">
        <f aca="false">IF($M2059=0,"",INDEX(Classes!$E$6:$E$420,$M2059))</f>
        <v/>
      </c>
      <c r="C2059" s="62" t="str">
        <f aca="false">IF($M2059=0,"",INDEX(Classes!$H$6:$H$420,$M2059))</f>
        <v/>
      </c>
      <c r="D2059" s="61" t="str">
        <f aca="false">IF($M2059=0,"",INDEX(Classes!$B$6:$B$420,$M2059))</f>
        <v/>
      </c>
      <c r="E2059" s="61" t="str">
        <f aca="false">IF($M2059=0,"",INDEX(Classes!$C$6:$C$420,$M2059))</f>
        <v/>
      </c>
      <c r="F2059" s="63"/>
      <c r="G2059" s="63"/>
      <c r="H2059" s="60"/>
      <c r="I2059" s="60"/>
      <c r="J2059" s="63"/>
      <c r="K2059" s="61" t="str">
        <f aca="false">IF($P2059=0,"",IF($F2059="Baseline","— Baseline",IF($O2059=0,"No result",IF($N2059=0,"No Start (attainment only)",IF(OR($N2059=1,$O2059=1),"U – needs rule",INDEX(MxBody,MATCH($I2059,MxCurr,0),MATCH($H2059,MxStart,0)))))))</f>
        <v/>
      </c>
      <c r="L2059" s="62" t="str">
        <f aca="false">IF(COUNTA($A2059,$F2059,$G2059,$H2059,$I2059,$J2059)=0,"",IF($M2059=0,"✖ كود الصف غير موجود",IF(ISNA(MATCH($F2059,Lists!$A$2:$A$5,0)),"✖ الفترة غير صحيحة",IF(ISNA(MATCH($G2059,Lists!$B$2:$B$7,0)),"✖ المجموعة غير صحيحة",IF(NOT(OR($H2059="",$N2059&gt;0)),"✖ Start غير صحيح",IF(NOT(OR($I2059="",$I2059="NR",$O2059&gt;0)),"✖ Current غير صحيح",IF(NOT(IF(ISNUMBER($J2059),AND($J2059&gt;=0,$J2059=INT($J2059)),FALSE())),"✖ العدد يجب أن يكون صحيحًا ≥ 0",IF(AND($F2059="Baseline",$H2059&lt;&gt;""),"⚠ Baseline: Start لا يدخل في التقدم",IF($K2059="No Start (attainment only)","ℹ تحصيل فقط (بدون Start)",IF($K2059="U – needs rule","ℹ حالة U تحتاج قاعدة معتمدة",IF($K2059="No result","ℹ بدون نتيجة (يُستبعد من التحصيل)","OK")))))))))))</f>
        <v/>
      </c>
      <c r="M2059" s="64" t="n">
        <f aca="false">IF($A2059="",0,IFERROR(MATCH($A2059,Classes!$A$6:$A$420,0),0))</f>
        <v>0</v>
      </c>
      <c r="N2059" s="64" t="n">
        <f aca="false">IF($H2059="",0,IFERROR(MATCH($H2059,GradeList,0),0))</f>
        <v>0</v>
      </c>
      <c r="O2059" s="64" t="n">
        <f aca="false">IF(OR($I2059="",$I2059="NR"),0,IFERROR(MATCH($I2059,GradeList,0),0))</f>
        <v>0</v>
      </c>
      <c r="P2059" s="64" t="n">
        <f aca="false">IF(AND($M2059&gt;0,ISNUMBER(MATCH($F2059,Lists!$A$2:$A$5,0)),ISNUMBER(MATCH($G2059,Lists!$B$2:$B$7,0)),OR($H2059="",$N2059&gt;0),OR($I2059="",$I2059="NR",$O2059&gt;0),IF(ISNUMBER($J2059),AND($J2059&gt;=0,$J2059=INT($J2059)),FALSE())),$J2059,0)</f>
        <v>0</v>
      </c>
      <c r="Q2059" s="64" t="n">
        <f aca="false">IF(AND($P2059&gt;0,$O2059&gt;0),$P2059,0)</f>
        <v>0</v>
      </c>
      <c r="R2059" s="64" t="n">
        <f aca="false">IF(AND($Q2059&gt;0,$O2059&gt;=AtRank),$Q2059,0)</f>
        <v>0</v>
      </c>
      <c r="S2059" s="64" t="n">
        <f aca="false">IF(AND($Q2059&gt;0,$O2059&gt;=AboveRank),$Q2059,0)</f>
        <v>0</v>
      </c>
      <c r="T2059" s="64" t="n">
        <f aca="false">IF($K2059="Less",$P2059,0)</f>
        <v>0</v>
      </c>
      <c r="U2059" s="64" t="n">
        <f aca="false">IF($K2059="Expected",$P2059,0)</f>
        <v>0</v>
      </c>
      <c r="V2059" s="64" t="n">
        <f aca="false">IF($K2059="Better",$P2059,0)</f>
        <v>0</v>
      </c>
      <c r="W2059" s="64" t="n">
        <f aca="false">IF($K2059="U – needs rule",$P2059,0)</f>
        <v>0</v>
      </c>
      <c r="X2059" s="64" t="n">
        <f aca="false">IF($K2059="No Start (attainment only)",$P2059,0)</f>
        <v>0</v>
      </c>
    </row>
    <row r="2060" customFormat="false" ht="15" hidden="false" customHeight="false" outlineLevel="0" collapsed="false">
      <c r="A2060" s="60"/>
      <c r="B2060" s="61" t="str">
        <f aca="false">IF($M2060=0,"",INDEX(Classes!$E$6:$E$420,$M2060))</f>
        <v/>
      </c>
      <c r="C2060" s="62" t="str">
        <f aca="false">IF($M2060=0,"",INDEX(Classes!$H$6:$H$420,$M2060))</f>
        <v/>
      </c>
      <c r="D2060" s="61" t="str">
        <f aca="false">IF($M2060=0,"",INDEX(Classes!$B$6:$B$420,$M2060))</f>
        <v/>
      </c>
      <c r="E2060" s="61" t="str">
        <f aca="false">IF($M2060=0,"",INDEX(Classes!$C$6:$C$420,$M2060))</f>
        <v/>
      </c>
      <c r="F2060" s="63"/>
      <c r="G2060" s="63"/>
      <c r="H2060" s="60"/>
      <c r="I2060" s="60"/>
      <c r="J2060" s="63"/>
      <c r="K2060" s="61" t="str">
        <f aca="false">IF($P2060=0,"",IF($F2060="Baseline","— Baseline",IF($O2060=0,"No result",IF($N2060=0,"No Start (attainment only)",IF(OR($N2060=1,$O2060=1),"U – needs rule",INDEX(MxBody,MATCH($I2060,MxCurr,0),MATCH($H2060,MxStart,0)))))))</f>
        <v/>
      </c>
      <c r="L2060" s="62" t="str">
        <f aca="false">IF(COUNTA($A2060,$F2060,$G2060,$H2060,$I2060,$J2060)=0,"",IF($M2060=0,"✖ كود الصف غير موجود",IF(ISNA(MATCH($F2060,Lists!$A$2:$A$5,0)),"✖ الفترة غير صحيحة",IF(ISNA(MATCH($G2060,Lists!$B$2:$B$7,0)),"✖ المجموعة غير صحيحة",IF(NOT(OR($H2060="",$N2060&gt;0)),"✖ Start غير صحيح",IF(NOT(OR($I2060="",$I2060="NR",$O2060&gt;0)),"✖ Current غير صحيح",IF(NOT(IF(ISNUMBER($J2060),AND($J2060&gt;=0,$J2060=INT($J2060)),FALSE())),"✖ العدد يجب أن يكون صحيحًا ≥ 0",IF(AND($F2060="Baseline",$H2060&lt;&gt;""),"⚠ Baseline: Start لا يدخل في التقدم",IF($K2060="No Start (attainment only)","ℹ تحصيل فقط (بدون Start)",IF($K2060="U – needs rule","ℹ حالة U تحتاج قاعدة معتمدة",IF($K2060="No result","ℹ بدون نتيجة (يُستبعد من التحصيل)","OK")))))))))))</f>
        <v/>
      </c>
      <c r="M2060" s="64" t="n">
        <f aca="false">IF($A2060="",0,IFERROR(MATCH($A2060,Classes!$A$6:$A$420,0),0))</f>
        <v>0</v>
      </c>
      <c r="N2060" s="64" t="n">
        <f aca="false">IF($H2060="",0,IFERROR(MATCH($H2060,GradeList,0),0))</f>
        <v>0</v>
      </c>
      <c r="O2060" s="64" t="n">
        <f aca="false">IF(OR($I2060="",$I2060="NR"),0,IFERROR(MATCH($I2060,GradeList,0),0))</f>
        <v>0</v>
      </c>
      <c r="P2060" s="64" t="n">
        <f aca="false">IF(AND($M2060&gt;0,ISNUMBER(MATCH($F2060,Lists!$A$2:$A$5,0)),ISNUMBER(MATCH($G2060,Lists!$B$2:$B$7,0)),OR($H2060="",$N2060&gt;0),OR($I2060="",$I2060="NR",$O2060&gt;0),IF(ISNUMBER($J2060),AND($J2060&gt;=0,$J2060=INT($J2060)),FALSE())),$J2060,0)</f>
        <v>0</v>
      </c>
      <c r="Q2060" s="64" t="n">
        <f aca="false">IF(AND($P2060&gt;0,$O2060&gt;0),$P2060,0)</f>
        <v>0</v>
      </c>
      <c r="R2060" s="64" t="n">
        <f aca="false">IF(AND($Q2060&gt;0,$O2060&gt;=AtRank),$Q2060,0)</f>
        <v>0</v>
      </c>
      <c r="S2060" s="64" t="n">
        <f aca="false">IF(AND($Q2060&gt;0,$O2060&gt;=AboveRank),$Q2060,0)</f>
        <v>0</v>
      </c>
      <c r="T2060" s="64" t="n">
        <f aca="false">IF($K2060="Less",$P2060,0)</f>
        <v>0</v>
      </c>
      <c r="U2060" s="64" t="n">
        <f aca="false">IF($K2060="Expected",$P2060,0)</f>
        <v>0</v>
      </c>
      <c r="V2060" s="64" t="n">
        <f aca="false">IF($K2060="Better",$P2060,0)</f>
        <v>0</v>
      </c>
      <c r="W2060" s="64" t="n">
        <f aca="false">IF($K2060="U – needs rule",$P2060,0)</f>
        <v>0</v>
      </c>
      <c r="X2060" s="64" t="n">
        <f aca="false">IF($K2060="No Start (attainment only)",$P2060,0)</f>
        <v>0</v>
      </c>
    </row>
    <row r="2061" customFormat="false" ht="15" hidden="false" customHeight="false" outlineLevel="0" collapsed="false">
      <c r="A2061" s="60"/>
      <c r="B2061" s="61" t="str">
        <f aca="false">IF($M2061=0,"",INDEX(Classes!$E$6:$E$420,$M2061))</f>
        <v/>
      </c>
      <c r="C2061" s="62" t="str">
        <f aca="false">IF($M2061=0,"",INDEX(Classes!$H$6:$H$420,$M2061))</f>
        <v/>
      </c>
      <c r="D2061" s="61" t="str">
        <f aca="false">IF($M2061=0,"",INDEX(Classes!$B$6:$B$420,$M2061))</f>
        <v/>
      </c>
      <c r="E2061" s="61" t="str">
        <f aca="false">IF($M2061=0,"",INDEX(Classes!$C$6:$C$420,$M2061))</f>
        <v/>
      </c>
      <c r="F2061" s="63"/>
      <c r="G2061" s="63"/>
      <c r="H2061" s="60"/>
      <c r="I2061" s="60"/>
      <c r="J2061" s="63"/>
      <c r="K2061" s="61" t="str">
        <f aca="false">IF($P2061=0,"",IF($F2061="Baseline","— Baseline",IF($O2061=0,"No result",IF($N2061=0,"No Start (attainment only)",IF(OR($N2061=1,$O2061=1),"U – needs rule",INDEX(MxBody,MATCH($I2061,MxCurr,0),MATCH($H2061,MxStart,0)))))))</f>
        <v/>
      </c>
      <c r="L2061" s="62" t="str">
        <f aca="false">IF(COUNTA($A2061,$F2061,$G2061,$H2061,$I2061,$J2061)=0,"",IF($M2061=0,"✖ كود الصف غير موجود",IF(ISNA(MATCH($F2061,Lists!$A$2:$A$5,0)),"✖ الفترة غير صحيحة",IF(ISNA(MATCH($G2061,Lists!$B$2:$B$7,0)),"✖ المجموعة غير صحيحة",IF(NOT(OR($H2061="",$N2061&gt;0)),"✖ Start غير صحيح",IF(NOT(OR($I2061="",$I2061="NR",$O2061&gt;0)),"✖ Current غير صحيح",IF(NOT(IF(ISNUMBER($J2061),AND($J2061&gt;=0,$J2061=INT($J2061)),FALSE())),"✖ العدد يجب أن يكون صحيحًا ≥ 0",IF(AND($F2061="Baseline",$H2061&lt;&gt;""),"⚠ Baseline: Start لا يدخل في التقدم",IF($K2061="No Start (attainment only)","ℹ تحصيل فقط (بدون Start)",IF($K2061="U – needs rule","ℹ حالة U تحتاج قاعدة معتمدة",IF($K2061="No result","ℹ بدون نتيجة (يُستبعد من التحصيل)","OK")))))))))))</f>
        <v/>
      </c>
      <c r="M2061" s="64" t="n">
        <f aca="false">IF($A2061="",0,IFERROR(MATCH($A2061,Classes!$A$6:$A$420,0),0))</f>
        <v>0</v>
      </c>
      <c r="N2061" s="64" t="n">
        <f aca="false">IF($H2061="",0,IFERROR(MATCH($H2061,GradeList,0),0))</f>
        <v>0</v>
      </c>
      <c r="O2061" s="64" t="n">
        <f aca="false">IF(OR($I2061="",$I2061="NR"),0,IFERROR(MATCH($I2061,GradeList,0),0))</f>
        <v>0</v>
      </c>
      <c r="P2061" s="64" t="n">
        <f aca="false">IF(AND($M2061&gt;0,ISNUMBER(MATCH($F2061,Lists!$A$2:$A$5,0)),ISNUMBER(MATCH($G2061,Lists!$B$2:$B$7,0)),OR($H2061="",$N2061&gt;0),OR($I2061="",$I2061="NR",$O2061&gt;0),IF(ISNUMBER($J2061),AND($J2061&gt;=0,$J2061=INT($J2061)),FALSE())),$J2061,0)</f>
        <v>0</v>
      </c>
      <c r="Q2061" s="64" t="n">
        <f aca="false">IF(AND($P2061&gt;0,$O2061&gt;0),$P2061,0)</f>
        <v>0</v>
      </c>
      <c r="R2061" s="64" t="n">
        <f aca="false">IF(AND($Q2061&gt;0,$O2061&gt;=AtRank),$Q2061,0)</f>
        <v>0</v>
      </c>
      <c r="S2061" s="64" t="n">
        <f aca="false">IF(AND($Q2061&gt;0,$O2061&gt;=AboveRank),$Q2061,0)</f>
        <v>0</v>
      </c>
      <c r="T2061" s="64" t="n">
        <f aca="false">IF($K2061="Less",$P2061,0)</f>
        <v>0</v>
      </c>
      <c r="U2061" s="64" t="n">
        <f aca="false">IF($K2061="Expected",$P2061,0)</f>
        <v>0</v>
      </c>
      <c r="V2061" s="64" t="n">
        <f aca="false">IF($K2061="Better",$P2061,0)</f>
        <v>0</v>
      </c>
      <c r="W2061" s="64" t="n">
        <f aca="false">IF($K2061="U – needs rule",$P2061,0)</f>
        <v>0</v>
      </c>
      <c r="X2061" s="64" t="n">
        <f aca="false">IF($K2061="No Start (attainment only)",$P2061,0)</f>
        <v>0</v>
      </c>
    </row>
    <row r="2062" customFormat="false" ht="15" hidden="false" customHeight="false" outlineLevel="0" collapsed="false">
      <c r="A2062" s="60"/>
      <c r="B2062" s="61" t="str">
        <f aca="false">IF($M2062=0,"",INDEX(Classes!$E$6:$E$420,$M2062))</f>
        <v/>
      </c>
      <c r="C2062" s="62" t="str">
        <f aca="false">IF($M2062=0,"",INDEX(Classes!$H$6:$H$420,$M2062))</f>
        <v/>
      </c>
      <c r="D2062" s="61" t="str">
        <f aca="false">IF($M2062=0,"",INDEX(Classes!$B$6:$B$420,$M2062))</f>
        <v/>
      </c>
      <c r="E2062" s="61" t="str">
        <f aca="false">IF($M2062=0,"",INDEX(Classes!$C$6:$C$420,$M2062))</f>
        <v/>
      </c>
      <c r="F2062" s="63"/>
      <c r="G2062" s="63"/>
      <c r="H2062" s="60"/>
      <c r="I2062" s="60"/>
      <c r="J2062" s="63"/>
      <c r="K2062" s="61" t="str">
        <f aca="false">IF($P2062=0,"",IF($F2062="Baseline","— Baseline",IF($O2062=0,"No result",IF($N2062=0,"No Start (attainment only)",IF(OR($N2062=1,$O2062=1),"U – needs rule",INDEX(MxBody,MATCH($I2062,MxCurr,0),MATCH($H2062,MxStart,0)))))))</f>
        <v/>
      </c>
      <c r="L2062" s="62" t="str">
        <f aca="false">IF(COUNTA($A2062,$F2062,$G2062,$H2062,$I2062,$J2062)=0,"",IF($M2062=0,"✖ كود الصف غير موجود",IF(ISNA(MATCH($F2062,Lists!$A$2:$A$5,0)),"✖ الفترة غير صحيحة",IF(ISNA(MATCH($G2062,Lists!$B$2:$B$7,0)),"✖ المجموعة غير صحيحة",IF(NOT(OR($H2062="",$N2062&gt;0)),"✖ Start غير صحيح",IF(NOT(OR($I2062="",$I2062="NR",$O2062&gt;0)),"✖ Current غير صحيح",IF(NOT(IF(ISNUMBER($J2062),AND($J2062&gt;=0,$J2062=INT($J2062)),FALSE())),"✖ العدد يجب أن يكون صحيحًا ≥ 0",IF(AND($F2062="Baseline",$H2062&lt;&gt;""),"⚠ Baseline: Start لا يدخل في التقدم",IF($K2062="No Start (attainment only)","ℹ تحصيل فقط (بدون Start)",IF($K2062="U – needs rule","ℹ حالة U تحتاج قاعدة معتمدة",IF($K2062="No result","ℹ بدون نتيجة (يُستبعد من التحصيل)","OK")))))))))))</f>
        <v/>
      </c>
      <c r="M2062" s="64" t="n">
        <f aca="false">IF($A2062="",0,IFERROR(MATCH($A2062,Classes!$A$6:$A$420,0),0))</f>
        <v>0</v>
      </c>
      <c r="N2062" s="64" t="n">
        <f aca="false">IF($H2062="",0,IFERROR(MATCH($H2062,GradeList,0),0))</f>
        <v>0</v>
      </c>
      <c r="O2062" s="64" t="n">
        <f aca="false">IF(OR($I2062="",$I2062="NR"),0,IFERROR(MATCH($I2062,GradeList,0),0))</f>
        <v>0</v>
      </c>
      <c r="P2062" s="64" t="n">
        <f aca="false">IF(AND($M2062&gt;0,ISNUMBER(MATCH($F2062,Lists!$A$2:$A$5,0)),ISNUMBER(MATCH($G2062,Lists!$B$2:$B$7,0)),OR($H2062="",$N2062&gt;0),OR($I2062="",$I2062="NR",$O2062&gt;0),IF(ISNUMBER($J2062),AND($J2062&gt;=0,$J2062=INT($J2062)),FALSE())),$J2062,0)</f>
        <v>0</v>
      </c>
      <c r="Q2062" s="64" t="n">
        <f aca="false">IF(AND($P2062&gt;0,$O2062&gt;0),$P2062,0)</f>
        <v>0</v>
      </c>
      <c r="R2062" s="64" t="n">
        <f aca="false">IF(AND($Q2062&gt;0,$O2062&gt;=AtRank),$Q2062,0)</f>
        <v>0</v>
      </c>
      <c r="S2062" s="64" t="n">
        <f aca="false">IF(AND($Q2062&gt;0,$O2062&gt;=AboveRank),$Q2062,0)</f>
        <v>0</v>
      </c>
      <c r="T2062" s="64" t="n">
        <f aca="false">IF($K2062="Less",$P2062,0)</f>
        <v>0</v>
      </c>
      <c r="U2062" s="64" t="n">
        <f aca="false">IF($K2062="Expected",$P2062,0)</f>
        <v>0</v>
      </c>
      <c r="V2062" s="64" t="n">
        <f aca="false">IF($K2062="Better",$P2062,0)</f>
        <v>0</v>
      </c>
      <c r="W2062" s="64" t="n">
        <f aca="false">IF($K2062="U – needs rule",$P2062,0)</f>
        <v>0</v>
      </c>
      <c r="X2062" s="64" t="n">
        <f aca="false">IF($K2062="No Start (attainment only)",$P2062,0)</f>
        <v>0</v>
      </c>
    </row>
    <row r="2063" customFormat="false" ht="15" hidden="false" customHeight="false" outlineLevel="0" collapsed="false">
      <c r="A2063" s="60"/>
      <c r="B2063" s="61" t="str">
        <f aca="false">IF($M2063=0,"",INDEX(Classes!$E$6:$E$420,$M2063))</f>
        <v/>
      </c>
      <c r="C2063" s="62" t="str">
        <f aca="false">IF($M2063=0,"",INDEX(Classes!$H$6:$H$420,$M2063))</f>
        <v/>
      </c>
      <c r="D2063" s="61" t="str">
        <f aca="false">IF($M2063=0,"",INDEX(Classes!$B$6:$B$420,$M2063))</f>
        <v/>
      </c>
      <c r="E2063" s="61" t="str">
        <f aca="false">IF($M2063=0,"",INDEX(Classes!$C$6:$C$420,$M2063))</f>
        <v/>
      </c>
      <c r="F2063" s="63"/>
      <c r="G2063" s="63"/>
      <c r="H2063" s="60"/>
      <c r="I2063" s="60"/>
      <c r="J2063" s="63"/>
      <c r="K2063" s="61" t="str">
        <f aca="false">IF($P2063=0,"",IF($F2063="Baseline","— Baseline",IF($O2063=0,"No result",IF($N2063=0,"No Start (attainment only)",IF(OR($N2063=1,$O2063=1),"U – needs rule",INDEX(MxBody,MATCH($I2063,MxCurr,0),MATCH($H2063,MxStart,0)))))))</f>
        <v/>
      </c>
      <c r="L2063" s="62" t="str">
        <f aca="false">IF(COUNTA($A2063,$F2063,$G2063,$H2063,$I2063,$J2063)=0,"",IF($M2063=0,"✖ كود الصف غير موجود",IF(ISNA(MATCH($F2063,Lists!$A$2:$A$5,0)),"✖ الفترة غير صحيحة",IF(ISNA(MATCH($G2063,Lists!$B$2:$B$7,0)),"✖ المجموعة غير صحيحة",IF(NOT(OR($H2063="",$N2063&gt;0)),"✖ Start غير صحيح",IF(NOT(OR($I2063="",$I2063="NR",$O2063&gt;0)),"✖ Current غير صحيح",IF(NOT(IF(ISNUMBER($J2063),AND($J2063&gt;=0,$J2063=INT($J2063)),FALSE())),"✖ العدد يجب أن يكون صحيحًا ≥ 0",IF(AND($F2063="Baseline",$H2063&lt;&gt;""),"⚠ Baseline: Start لا يدخل في التقدم",IF($K2063="No Start (attainment only)","ℹ تحصيل فقط (بدون Start)",IF($K2063="U – needs rule","ℹ حالة U تحتاج قاعدة معتمدة",IF($K2063="No result","ℹ بدون نتيجة (يُستبعد من التحصيل)","OK")))))))))))</f>
        <v/>
      </c>
      <c r="M2063" s="64" t="n">
        <f aca="false">IF($A2063="",0,IFERROR(MATCH($A2063,Classes!$A$6:$A$420,0),0))</f>
        <v>0</v>
      </c>
      <c r="N2063" s="64" t="n">
        <f aca="false">IF($H2063="",0,IFERROR(MATCH($H2063,GradeList,0),0))</f>
        <v>0</v>
      </c>
      <c r="O2063" s="64" t="n">
        <f aca="false">IF(OR($I2063="",$I2063="NR"),0,IFERROR(MATCH($I2063,GradeList,0),0))</f>
        <v>0</v>
      </c>
      <c r="P2063" s="64" t="n">
        <f aca="false">IF(AND($M2063&gt;0,ISNUMBER(MATCH($F2063,Lists!$A$2:$A$5,0)),ISNUMBER(MATCH($G2063,Lists!$B$2:$B$7,0)),OR($H2063="",$N2063&gt;0),OR($I2063="",$I2063="NR",$O2063&gt;0),IF(ISNUMBER($J2063),AND($J2063&gt;=0,$J2063=INT($J2063)),FALSE())),$J2063,0)</f>
        <v>0</v>
      </c>
      <c r="Q2063" s="64" t="n">
        <f aca="false">IF(AND($P2063&gt;0,$O2063&gt;0),$P2063,0)</f>
        <v>0</v>
      </c>
      <c r="R2063" s="64" t="n">
        <f aca="false">IF(AND($Q2063&gt;0,$O2063&gt;=AtRank),$Q2063,0)</f>
        <v>0</v>
      </c>
      <c r="S2063" s="64" t="n">
        <f aca="false">IF(AND($Q2063&gt;0,$O2063&gt;=AboveRank),$Q2063,0)</f>
        <v>0</v>
      </c>
      <c r="T2063" s="64" t="n">
        <f aca="false">IF($K2063="Less",$P2063,0)</f>
        <v>0</v>
      </c>
      <c r="U2063" s="64" t="n">
        <f aca="false">IF($K2063="Expected",$P2063,0)</f>
        <v>0</v>
      </c>
      <c r="V2063" s="64" t="n">
        <f aca="false">IF($K2063="Better",$P2063,0)</f>
        <v>0</v>
      </c>
      <c r="W2063" s="64" t="n">
        <f aca="false">IF($K2063="U – needs rule",$P2063,0)</f>
        <v>0</v>
      </c>
      <c r="X2063" s="64" t="n">
        <f aca="false">IF($K2063="No Start (attainment only)",$P2063,0)</f>
        <v>0</v>
      </c>
    </row>
    <row r="2064" customFormat="false" ht="15" hidden="false" customHeight="false" outlineLevel="0" collapsed="false">
      <c r="A2064" s="60"/>
      <c r="B2064" s="61" t="str">
        <f aca="false">IF($M2064=0,"",INDEX(Classes!$E$6:$E$420,$M2064))</f>
        <v/>
      </c>
      <c r="C2064" s="62" t="str">
        <f aca="false">IF($M2064=0,"",INDEX(Classes!$H$6:$H$420,$M2064))</f>
        <v/>
      </c>
      <c r="D2064" s="61" t="str">
        <f aca="false">IF($M2064=0,"",INDEX(Classes!$B$6:$B$420,$M2064))</f>
        <v/>
      </c>
      <c r="E2064" s="61" t="str">
        <f aca="false">IF($M2064=0,"",INDEX(Classes!$C$6:$C$420,$M2064))</f>
        <v/>
      </c>
      <c r="F2064" s="63"/>
      <c r="G2064" s="63"/>
      <c r="H2064" s="60"/>
      <c r="I2064" s="60"/>
      <c r="J2064" s="63"/>
      <c r="K2064" s="61" t="str">
        <f aca="false">IF($P2064=0,"",IF($F2064="Baseline","— Baseline",IF($O2064=0,"No result",IF($N2064=0,"No Start (attainment only)",IF(OR($N2064=1,$O2064=1),"U – needs rule",INDEX(MxBody,MATCH($I2064,MxCurr,0),MATCH($H2064,MxStart,0)))))))</f>
        <v/>
      </c>
      <c r="L2064" s="62" t="str">
        <f aca="false">IF(COUNTA($A2064,$F2064,$G2064,$H2064,$I2064,$J2064)=0,"",IF($M2064=0,"✖ كود الصف غير موجود",IF(ISNA(MATCH($F2064,Lists!$A$2:$A$5,0)),"✖ الفترة غير صحيحة",IF(ISNA(MATCH($G2064,Lists!$B$2:$B$7,0)),"✖ المجموعة غير صحيحة",IF(NOT(OR($H2064="",$N2064&gt;0)),"✖ Start غير صحيح",IF(NOT(OR($I2064="",$I2064="NR",$O2064&gt;0)),"✖ Current غير صحيح",IF(NOT(IF(ISNUMBER($J2064),AND($J2064&gt;=0,$J2064=INT($J2064)),FALSE())),"✖ العدد يجب أن يكون صحيحًا ≥ 0",IF(AND($F2064="Baseline",$H2064&lt;&gt;""),"⚠ Baseline: Start لا يدخل في التقدم",IF($K2064="No Start (attainment only)","ℹ تحصيل فقط (بدون Start)",IF($K2064="U – needs rule","ℹ حالة U تحتاج قاعدة معتمدة",IF($K2064="No result","ℹ بدون نتيجة (يُستبعد من التحصيل)","OK")))))))))))</f>
        <v/>
      </c>
      <c r="M2064" s="64" t="n">
        <f aca="false">IF($A2064="",0,IFERROR(MATCH($A2064,Classes!$A$6:$A$420,0),0))</f>
        <v>0</v>
      </c>
      <c r="N2064" s="64" t="n">
        <f aca="false">IF($H2064="",0,IFERROR(MATCH($H2064,GradeList,0),0))</f>
        <v>0</v>
      </c>
      <c r="O2064" s="64" t="n">
        <f aca="false">IF(OR($I2064="",$I2064="NR"),0,IFERROR(MATCH($I2064,GradeList,0),0))</f>
        <v>0</v>
      </c>
      <c r="P2064" s="64" t="n">
        <f aca="false">IF(AND($M2064&gt;0,ISNUMBER(MATCH($F2064,Lists!$A$2:$A$5,0)),ISNUMBER(MATCH($G2064,Lists!$B$2:$B$7,0)),OR($H2064="",$N2064&gt;0),OR($I2064="",$I2064="NR",$O2064&gt;0),IF(ISNUMBER($J2064),AND($J2064&gt;=0,$J2064=INT($J2064)),FALSE())),$J2064,0)</f>
        <v>0</v>
      </c>
      <c r="Q2064" s="64" t="n">
        <f aca="false">IF(AND($P2064&gt;0,$O2064&gt;0),$P2064,0)</f>
        <v>0</v>
      </c>
      <c r="R2064" s="64" t="n">
        <f aca="false">IF(AND($Q2064&gt;0,$O2064&gt;=AtRank),$Q2064,0)</f>
        <v>0</v>
      </c>
      <c r="S2064" s="64" t="n">
        <f aca="false">IF(AND($Q2064&gt;0,$O2064&gt;=AboveRank),$Q2064,0)</f>
        <v>0</v>
      </c>
      <c r="T2064" s="64" t="n">
        <f aca="false">IF($K2064="Less",$P2064,0)</f>
        <v>0</v>
      </c>
      <c r="U2064" s="64" t="n">
        <f aca="false">IF($K2064="Expected",$P2064,0)</f>
        <v>0</v>
      </c>
      <c r="V2064" s="64" t="n">
        <f aca="false">IF($K2064="Better",$P2064,0)</f>
        <v>0</v>
      </c>
      <c r="W2064" s="64" t="n">
        <f aca="false">IF($K2064="U – needs rule",$P2064,0)</f>
        <v>0</v>
      </c>
      <c r="X2064" s="64" t="n">
        <f aca="false">IF($K2064="No Start (attainment only)",$P2064,0)</f>
        <v>0</v>
      </c>
    </row>
    <row r="2065" customFormat="false" ht="15" hidden="false" customHeight="false" outlineLevel="0" collapsed="false">
      <c r="A2065" s="60"/>
      <c r="B2065" s="61" t="str">
        <f aca="false">IF($M2065=0,"",INDEX(Classes!$E$6:$E$420,$M2065))</f>
        <v/>
      </c>
      <c r="C2065" s="62" t="str">
        <f aca="false">IF($M2065=0,"",INDEX(Classes!$H$6:$H$420,$M2065))</f>
        <v/>
      </c>
      <c r="D2065" s="61" t="str">
        <f aca="false">IF($M2065=0,"",INDEX(Classes!$B$6:$B$420,$M2065))</f>
        <v/>
      </c>
      <c r="E2065" s="61" t="str">
        <f aca="false">IF($M2065=0,"",INDEX(Classes!$C$6:$C$420,$M2065))</f>
        <v/>
      </c>
      <c r="F2065" s="63"/>
      <c r="G2065" s="63"/>
      <c r="H2065" s="60"/>
      <c r="I2065" s="60"/>
      <c r="J2065" s="63"/>
      <c r="K2065" s="61" t="str">
        <f aca="false">IF($P2065=0,"",IF($F2065="Baseline","— Baseline",IF($O2065=0,"No result",IF($N2065=0,"No Start (attainment only)",IF(OR($N2065=1,$O2065=1),"U – needs rule",INDEX(MxBody,MATCH($I2065,MxCurr,0),MATCH($H2065,MxStart,0)))))))</f>
        <v/>
      </c>
      <c r="L2065" s="62" t="str">
        <f aca="false">IF(COUNTA($A2065,$F2065,$G2065,$H2065,$I2065,$J2065)=0,"",IF($M2065=0,"✖ كود الصف غير موجود",IF(ISNA(MATCH($F2065,Lists!$A$2:$A$5,0)),"✖ الفترة غير صحيحة",IF(ISNA(MATCH($G2065,Lists!$B$2:$B$7,0)),"✖ المجموعة غير صحيحة",IF(NOT(OR($H2065="",$N2065&gt;0)),"✖ Start غير صحيح",IF(NOT(OR($I2065="",$I2065="NR",$O2065&gt;0)),"✖ Current غير صحيح",IF(NOT(IF(ISNUMBER($J2065),AND($J2065&gt;=0,$J2065=INT($J2065)),FALSE())),"✖ العدد يجب أن يكون صحيحًا ≥ 0",IF(AND($F2065="Baseline",$H2065&lt;&gt;""),"⚠ Baseline: Start لا يدخل في التقدم",IF($K2065="No Start (attainment only)","ℹ تحصيل فقط (بدون Start)",IF($K2065="U – needs rule","ℹ حالة U تحتاج قاعدة معتمدة",IF($K2065="No result","ℹ بدون نتيجة (يُستبعد من التحصيل)","OK")))))))))))</f>
        <v/>
      </c>
      <c r="M2065" s="64" t="n">
        <f aca="false">IF($A2065="",0,IFERROR(MATCH($A2065,Classes!$A$6:$A$420,0),0))</f>
        <v>0</v>
      </c>
      <c r="N2065" s="64" t="n">
        <f aca="false">IF($H2065="",0,IFERROR(MATCH($H2065,GradeList,0),0))</f>
        <v>0</v>
      </c>
      <c r="O2065" s="64" t="n">
        <f aca="false">IF(OR($I2065="",$I2065="NR"),0,IFERROR(MATCH($I2065,GradeList,0),0))</f>
        <v>0</v>
      </c>
      <c r="P2065" s="64" t="n">
        <f aca="false">IF(AND($M2065&gt;0,ISNUMBER(MATCH($F2065,Lists!$A$2:$A$5,0)),ISNUMBER(MATCH($G2065,Lists!$B$2:$B$7,0)),OR($H2065="",$N2065&gt;0),OR($I2065="",$I2065="NR",$O2065&gt;0),IF(ISNUMBER($J2065),AND($J2065&gt;=0,$J2065=INT($J2065)),FALSE())),$J2065,0)</f>
        <v>0</v>
      </c>
      <c r="Q2065" s="64" t="n">
        <f aca="false">IF(AND($P2065&gt;0,$O2065&gt;0),$P2065,0)</f>
        <v>0</v>
      </c>
      <c r="R2065" s="64" t="n">
        <f aca="false">IF(AND($Q2065&gt;0,$O2065&gt;=AtRank),$Q2065,0)</f>
        <v>0</v>
      </c>
      <c r="S2065" s="64" t="n">
        <f aca="false">IF(AND($Q2065&gt;0,$O2065&gt;=AboveRank),$Q2065,0)</f>
        <v>0</v>
      </c>
      <c r="T2065" s="64" t="n">
        <f aca="false">IF($K2065="Less",$P2065,0)</f>
        <v>0</v>
      </c>
      <c r="U2065" s="64" t="n">
        <f aca="false">IF($K2065="Expected",$P2065,0)</f>
        <v>0</v>
      </c>
      <c r="V2065" s="64" t="n">
        <f aca="false">IF($K2065="Better",$P2065,0)</f>
        <v>0</v>
      </c>
      <c r="W2065" s="64" t="n">
        <f aca="false">IF($K2065="U – needs rule",$P2065,0)</f>
        <v>0</v>
      </c>
      <c r="X2065" s="64" t="n">
        <f aca="false">IF($K2065="No Start (attainment only)",$P2065,0)</f>
        <v>0</v>
      </c>
    </row>
    <row r="2066" customFormat="false" ht="15" hidden="false" customHeight="false" outlineLevel="0" collapsed="false">
      <c r="A2066" s="60"/>
      <c r="B2066" s="61" t="str">
        <f aca="false">IF($M2066=0,"",INDEX(Classes!$E$6:$E$420,$M2066))</f>
        <v/>
      </c>
      <c r="C2066" s="62" t="str">
        <f aca="false">IF($M2066=0,"",INDEX(Classes!$H$6:$H$420,$M2066))</f>
        <v/>
      </c>
      <c r="D2066" s="61" t="str">
        <f aca="false">IF($M2066=0,"",INDEX(Classes!$B$6:$B$420,$M2066))</f>
        <v/>
      </c>
      <c r="E2066" s="61" t="str">
        <f aca="false">IF($M2066=0,"",INDEX(Classes!$C$6:$C$420,$M2066))</f>
        <v/>
      </c>
      <c r="F2066" s="63"/>
      <c r="G2066" s="63"/>
      <c r="H2066" s="60"/>
      <c r="I2066" s="60"/>
      <c r="J2066" s="63"/>
      <c r="K2066" s="61" t="str">
        <f aca="false">IF($P2066=0,"",IF($F2066="Baseline","— Baseline",IF($O2066=0,"No result",IF($N2066=0,"No Start (attainment only)",IF(OR($N2066=1,$O2066=1),"U – needs rule",INDEX(MxBody,MATCH($I2066,MxCurr,0),MATCH($H2066,MxStart,0)))))))</f>
        <v/>
      </c>
      <c r="L2066" s="62" t="str">
        <f aca="false">IF(COUNTA($A2066,$F2066,$G2066,$H2066,$I2066,$J2066)=0,"",IF($M2066=0,"✖ كود الصف غير موجود",IF(ISNA(MATCH($F2066,Lists!$A$2:$A$5,0)),"✖ الفترة غير صحيحة",IF(ISNA(MATCH($G2066,Lists!$B$2:$B$7,0)),"✖ المجموعة غير صحيحة",IF(NOT(OR($H2066="",$N2066&gt;0)),"✖ Start غير صحيح",IF(NOT(OR($I2066="",$I2066="NR",$O2066&gt;0)),"✖ Current غير صحيح",IF(NOT(IF(ISNUMBER($J2066),AND($J2066&gt;=0,$J2066=INT($J2066)),FALSE())),"✖ العدد يجب أن يكون صحيحًا ≥ 0",IF(AND($F2066="Baseline",$H2066&lt;&gt;""),"⚠ Baseline: Start لا يدخل في التقدم",IF($K2066="No Start (attainment only)","ℹ تحصيل فقط (بدون Start)",IF($K2066="U – needs rule","ℹ حالة U تحتاج قاعدة معتمدة",IF($K2066="No result","ℹ بدون نتيجة (يُستبعد من التحصيل)","OK")))))))))))</f>
        <v/>
      </c>
      <c r="M2066" s="64" t="n">
        <f aca="false">IF($A2066="",0,IFERROR(MATCH($A2066,Classes!$A$6:$A$420,0),0))</f>
        <v>0</v>
      </c>
      <c r="N2066" s="64" t="n">
        <f aca="false">IF($H2066="",0,IFERROR(MATCH($H2066,GradeList,0),0))</f>
        <v>0</v>
      </c>
      <c r="O2066" s="64" t="n">
        <f aca="false">IF(OR($I2066="",$I2066="NR"),0,IFERROR(MATCH($I2066,GradeList,0),0))</f>
        <v>0</v>
      </c>
      <c r="P2066" s="64" t="n">
        <f aca="false">IF(AND($M2066&gt;0,ISNUMBER(MATCH($F2066,Lists!$A$2:$A$5,0)),ISNUMBER(MATCH($G2066,Lists!$B$2:$B$7,0)),OR($H2066="",$N2066&gt;0),OR($I2066="",$I2066="NR",$O2066&gt;0),IF(ISNUMBER($J2066),AND($J2066&gt;=0,$J2066=INT($J2066)),FALSE())),$J2066,0)</f>
        <v>0</v>
      </c>
      <c r="Q2066" s="64" t="n">
        <f aca="false">IF(AND($P2066&gt;0,$O2066&gt;0),$P2066,0)</f>
        <v>0</v>
      </c>
      <c r="R2066" s="64" t="n">
        <f aca="false">IF(AND($Q2066&gt;0,$O2066&gt;=AtRank),$Q2066,0)</f>
        <v>0</v>
      </c>
      <c r="S2066" s="64" t="n">
        <f aca="false">IF(AND($Q2066&gt;0,$O2066&gt;=AboveRank),$Q2066,0)</f>
        <v>0</v>
      </c>
      <c r="T2066" s="64" t="n">
        <f aca="false">IF($K2066="Less",$P2066,0)</f>
        <v>0</v>
      </c>
      <c r="U2066" s="64" t="n">
        <f aca="false">IF($K2066="Expected",$P2066,0)</f>
        <v>0</v>
      </c>
      <c r="V2066" s="64" t="n">
        <f aca="false">IF($K2066="Better",$P2066,0)</f>
        <v>0</v>
      </c>
      <c r="W2066" s="64" t="n">
        <f aca="false">IF($K2066="U – needs rule",$P2066,0)</f>
        <v>0</v>
      </c>
      <c r="X2066" s="64" t="n">
        <f aca="false">IF($K2066="No Start (attainment only)",$P2066,0)</f>
        <v>0</v>
      </c>
    </row>
    <row r="2067" customFormat="false" ht="15" hidden="false" customHeight="false" outlineLevel="0" collapsed="false">
      <c r="A2067" s="60"/>
      <c r="B2067" s="61" t="str">
        <f aca="false">IF($M2067=0,"",INDEX(Classes!$E$6:$E$420,$M2067))</f>
        <v/>
      </c>
      <c r="C2067" s="62" t="str">
        <f aca="false">IF($M2067=0,"",INDEX(Classes!$H$6:$H$420,$M2067))</f>
        <v/>
      </c>
      <c r="D2067" s="61" t="str">
        <f aca="false">IF($M2067=0,"",INDEX(Classes!$B$6:$B$420,$M2067))</f>
        <v/>
      </c>
      <c r="E2067" s="61" t="str">
        <f aca="false">IF($M2067=0,"",INDEX(Classes!$C$6:$C$420,$M2067))</f>
        <v/>
      </c>
      <c r="F2067" s="63"/>
      <c r="G2067" s="63"/>
      <c r="H2067" s="60"/>
      <c r="I2067" s="60"/>
      <c r="J2067" s="63"/>
      <c r="K2067" s="61" t="str">
        <f aca="false">IF($P2067=0,"",IF($F2067="Baseline","— Baseline",IF($O2067=0,"No result",IF($N2067=0,"No Start (attainment only)",IF(OR($N2067=1,$O2067=1),"U – needs rule",INDEX(MxBody,MATCH($I2067,MxCurr,0),MATCH($H2067,MxStart,0)))))))</f>
        <v/>
      </c>
      <c r="L2067" s="62" t="str">
        <f aca="false">IF(COUNTA($A2067,$F2067,$G2067,$H2067,$I2067,$J2067)=0,"",IF($M2067=0,"✖ كود الصف غير موجود",IF(ISNA(MATCH($F2067,Lists!$A$2:$A$5,0)),"✖ الفترة غير صحيحة",IF(ISNA(MATCH($G2067,Lists!$B$2:$B$7,0)),"✖ المجموعة غير صحيحة",IF(NOT(OR($H2067="",$N2067&gt;0)),"✖ Start غير صحيح",IF(NOT(OR($I2067="",$I2067="NR",$O2067&gt;0)),"✖ Current غير صحيح",IF(NOT(IF(ISNUMBER($J2067),AND($J2067&gt;=0,$J2067=INT($J2067)),FALSE())),"✖ العدد يجب أن يكون صحيحًا ≥ 0",IF(AND($F2067="Baseline",$H2067&lt;&gt;""),"⚠ Baseline: Start لا يدخل في التقدم",IF($K2067="No Start (attainment only)","ℹ تحصيل فقط (بدون Start)",IF($K2067="U – needs rule","ℹ حالة U تحتاج قاعدة معتمدة",IF($K2067="No result","ℹ بدون نتيجة (يُستبعد من التحصيل)","OK")))))))))))</f>
        <v/>
      </c>
      <c r="M2067" s="64" t="n">
        <f aca="false">IF($A2067="",0,IFERROR(MATCH($A2067,Classes!$A$6:$A$420,0),0))</f>
        <v>0</v>
      </c>
      <c r="N2067" s="64" t="n">
        <f aca="false">IF($H2067="",0,IFERROR(MATCH($H2067,GradeList,0),0))</f>
        <v>0</v>
      </c>
      <c r="O2067" s="64" t="n">
        <f aca="false">IF(OR($I2067="",$I2067="NR"),0,IFERROR(MATCH($I2067,GradeList,0),0))</f>
        <v>0</v>
      </c>
      <c r="P2067" s="64" t="n">
        <f aca="false">IF(AND($M2067&gt;0,ISNUMBER(MATCH($F2067,Lists!$A$2:$A$5,0)),ISNUMBER(MATCH($G2067,Lists!$B$2:$B$7,0)),OR($H2067="",$N2067&gt;0),OR($I2067="",$I2067="NR",$O2067&gt;0),IF(ISNUMBER($J2067),AND($J2067&gt;=0,$J2067=INT($J2067)),FALSE())),$J2067,0)</f>
        <v>0</v>
      </c>
      <c r="Q2067" s="64" t="n">
        <f aca="false">IF(AND($P2067&gt;0,$O2067&gt;0),$P2067,0)</f>
        <v>0</v>
      </c>
      <c r="R2067" s="64" t="n">
        <f aca="false">IF(AND($Q2067&gt;0,$O2067&gt;=AtRank),$Q2067,0)</f>
        <v>0</v>
      </c>
      <c r="S2067" s="64" t="n">
        <f aca="false">IF(AND($Q2067&gt;0,$O2067&gt;=AboveRank),$Q2067,0)</f>
        <v>0</v>
      </c>
      <c r="T2067" s="64" t="n">
        <f aca="false">IF($K2067="Less",$P2067,0)</f>
        <v>0</v>
      </c>
      <c r="U2067" s="64" t="n">
        <f aca="false">IF($K2067="Expected",$P2067,0)</f>
        <v>0</v>
      </c>
      <c r="V2067" s="64" t="n">
        <f aca="false">IF($K2067="Better",$P2067,0)</f>
        <v>0</v>
      </c>
      <c r="W2067" s="64" t="n">
        <f aca="false">IF($K2067="U – needs rule",$P2067,0)</f>
        <v>0</v>
      </c>
      <c r="X2067" s="64" t="n">
        <f aca="false">IF($K2067="No Start (attainment only)",$P2067,0)</f>
        <v>0</v>
      </c>
    </row>
    <row r="2068" customFormat="false" ht="15" hidden="false" customHeight="false" outlineLevel="0" collapsed="false">
      <c r="A2068" s="60"/>
      <c r="B2068" s="61" t="str">
        <f aca="false">IF($M2068=0,"",INDEX(Classes!$E$6:$E$420,$M2068))</f>
        <v/>
      </c>
      <c r="C2068" s="62" t="str">
        <f aca="false">IF($M2068=0,"",INDEX(Classes!$H$6:$H$420,$M2068))</f>
        <v/>
      </c>
      <c r="D2068" s="61" t="str">
        <f aca="false">IF($M2068=0,"",INDEX(Classes!$B$6:$B$420,$M2068))</f>
        <v/>
      </c>
      <c r="E2068" s="61" t="str">
        <f aca="false">IF($M2068=0,"",INDEX(Classes!$C$6:$C$420,$M2068))</f>
        <v/>
      </c>
      <c r="F2068" s="63"/>
      <c r="G2068" s="63"/>
      <c r="H2068" s="60"/>
      <c r="I2068" s="60"/>
      <c r="J2068" s="63"/>
      <c r="K2068" s="61" t="str">
        <f aca="false">IF($P2068=0,"",IF($F2068="Baseline","— Baseline",IF($O2068=0,"No result",IF($N2068=0,"No Start (attainment only)",IF(OR($N2068=1,$O2068=1),"U – needs rule",INDEX(MxBody,MATCH($I2068,MxCurr,0),MATCH($H2068,MxStart,0)))))))</f>
        <v/>
      </c>
      <c r="L2068" s="62" t="str">
        <f aca="false">IF(COUNTA($A2068,$F2068,$G2068,$H2068,$I2068,$J2068)=0,"",IF($M2068=0,"✖ كود الصف غير موجود",IF(ISNA(MATCH($F2068,Lists!$A$2:$A$5,0)),"✖ الفترة غير صحيحة",IF(ISNA(MATCH($G2068,Lists!$B$2:$B$7,0)),"✖ المجموعة غير صحيحة",IF(NOT(OR($H2068="",$N2068&gt;0)),"✖ Start غير صحيح",IF(NOT(OR($I2068="",$I2068="NR",$O2068&gt;0)),"✖ Current غير صحيح",IF(NOT(IF(ISNUMBER($J2068),AND($J2068&gt;=0,$J2068=INT($J2068)),FALSE())),"✖ العدد يجب أن يكون صحيحًا ≥ 0",IF(AND($F2068="Baseline",$H2068&lt;&gt;""),"⚠ Baseline: Start لا يدخل في التقدم",IF($K2068="No Start (attainment only)","ℹ تحصيل فقط (بدون Start)",IF($K2068="U – needs rule","ℹ حالة U تحتاج قاعدة معتمدة",IF($K2068="No result","ℹ بدون نتيجة (يُستبعد من التحصيل)","OK")))))))))))</f>
        <v/>
      </c>
      <c r="M2068" s="64" t="n">
        <f aca="false">IF($A2068="",0,IFERROR(MATCH($A2068,Classes!$A$6:$A$420,0),0))</f>
        <v>0</v>
      </c>
      <c r="N2068" s="64" t="n">
        <f aca="false">IF($H2068="",0,IFERROR(MATCH($H2068,GradeList,0),0))</f>
        <v>0</v>
      </c>
      <c r="O2068" s="64" t="n">
        <f aca="false">IF(OR($I2068="",$I2068="NR"),0,IFERROR(MATCH($I2068,GradeList,0),0))</f>
        <v>0</v>
      </c>
      <c r="P2068" s="64" t="n">
        <f aca="false">IF(AND($M2068&gt;0,ISNUMBER(MATCH($F2068,Lists!$A$2:$A$5,0)),ISNUMBER(MATCH($G2068,Lists!$B$2:$B$7,0)),OR($H2068="",$N2068&gt;0),OR($I2068="",$I2068="NR",$O2068&gt;0),IF(ISNUMBER($J2068),AND($J2068&gt;=0,$J2068=INT($J2068)),FALSE())),$J2068,0)</f>
        <v>0</v>
      </c>
      <c r="Q2068" s="64" t="n">
        <f aca="false">IF(AND($P2068&gt;0,$O2068&gt;0),$P2068,0)</f>
        <v>0</v>
      </c>
      <c r="R2068" s="64" t="n">
        <f aca="false">IF(AND($Q2068&gt;0,$O2068&gt;=AtRank),$Q2068,0)</f>
        <v>0</v>
      </c>
      <c r="S2068" s="64" t="n">
        <f aca="false">IF(AND($Q2068&gt;0,$O2068&gt;=AboveRank),$Q2068,0)</f>
        <v>0</v>
      </c>
      <c r="T2068" s="64" t="n">
        <f aca="false">IF($K2068="Less",$P2068,0)</f>
        <v>0</v>
      </c>
      <c r="U2068" s="64" t="n">
        <f aca="false">IF($K2068="Expected",$P2068,0)</f>
        <v>0</v>
      </c>
      <c r="V2068" s="64" t="n">
        <f aca="false">IF($K2068="Better",$P2068,0)</f>
        <v>0</v>
      </c>
      <c r="W2068" s="64" t="n">
        <f aca="false">IF($K2068="U – needs rule",$P2068,0)</f>
        <v>0</v>
      </c>
      <c r="X2068" s="64" t="n">
        <f aca="false">IF($K2068="No Start (attainment only)",$P2068,0)</f>
        <v>0</v>
      </c>
    </row>
    <row r="2069" customFormat="false" ht="15" hidden="false" customHeight="false" outlineLevel="0" collapsed="false">
      <c r="A2069" s="60"/>
      <c r="B2069" s="61" t="str">
        <f aca="false">IF($M2069=0,"",INDEX(Classes!$E$6:$E$420,$M2069))</f>
        <v/>
      </c>
      <c r="C2069" s="62" t="str">
        <f aca="false">IF($M2069=0,"",INDEX(Classes!$H$6:$H$420,$M2069))</f>
        <v/>
      </c>
      <c r="D2069" s="61" t="str">
        <f aca="false">IF($M2069=0,"",INDEX(Classes!$B$6:$B$420,$M2069))</f>
        <v/>
      </c>
      <c r="E2069" s="61" t="str">
        <f aca="false">IF($M2069=0,"",INDEX(Classes!$C$6:$C$420,$M2069))</f>
        <v/>
      </c>
      <c r="F2069" s="63"/>
      <c r="G2069" s="63"/>
      <c r="H2069" s="60"/>
      <c r="I2069" s="60"/>
      <c r="J2069" s="63"/>
      <c r="K2069" s="61" t="str">
        <f aca="false">IF($P2069=0,"",IF($F2069="Baseline","— Baseline",IF($O2069=0,"No result",IF($N2069=0,"No Start (attainment only)",IF(OR($N2069=1,$O2069=1),"U – needs rule",INDEX(MxBody,MATCH($I2069,MxCurr,0),MATCH($H2069,MxStart,0)))))))</f>
        <v/>
      </c>
      <c r="L2069" s="62" t="str">
        <f aca="false">IF(COUNTA($A2069,$F2069,$G2069,$H2069,$I2069,$J2069)=0,"",IF($M2069=0,"✖ كود الصف غير موجود",IF(ISNA(MATCH($F2069,Lists!$A$2:$A$5,0)),"✖ الفترة غير صحيحة",IF(ISNA(MATCH($G2069,Lists!$B$2:$B$7,0)),"✖ المجموعة غير صحيحة",IF(NOT(OR($H2069="",$N2069&gt;0)),"✖ Start غير صحيح",IF(NOT(OR($I2069="",$I2069="NR",$O2069&gt;0)),"✖ Current غير صحيح",IF(NOT(IF(ISNUMBER($J2069),AND($J2069&gt;=0,$J2069=INT($J2069)),FALSE())),"✖ العدد يجب أن يكون صحيحًا ≥ 0",IF(AND($F2069="Baseline",$H2069&lt;&gt;""),"⚠ Baseline: Start لا يدخل في التقدم",IF($K2069="No Start (attainment only)","ℹ تحصيل فقط (بدون Start)",IF($K2069="U – needs rule","ℹ حالة U تحتاج قاعدة معتمدة",IF($K2069="No result","ℹ بدون نتيجة (يُستبعد من التحصيل)","OK")))))))))))</f>
        <v/>
      </c>
      <c r="M2069" s="64" t="n">
        <f aca="false">IF($A2069="",0,IFERROR(MATCH($A2069,Classes!$A$6:$A$420,0),0))</f>
        <v>0</v>
      </c>
      <c r="N2069" s="64" t="n">
        <f aca="false">IF($H2069="",0,IFERROR(MATCH($H2069,GradeList,0),0))</f>
        <v>0</v>
      </c>
      <c r="O2069" s="64" t="n">
        <f aca="false">IF(OR($I2069="",$I2069="NR"),0,IFERROR(MATCH($I2069,GradeList,0),0))</f>
        <v>0</v>
      </c>
      <c r="P2069" s="64" t="n">
        <f aca="false">IF(AND($M2069&gt;0,ISNUMBER(MATCH($F2069,Lists!$A$2:$A$5,0)),ISNUMBER(MATCH($G2069,Lists!$B$2:$B$7,0)),OR($H2069="",$N2069&gt;0),OR($I2069="",$I2069="NR",$O2069&gt;0),IF(ISNUMBER($J2069),AND($J2069&gt;=0,$J2069=INT($J2069)),FALSE())),$J2069,0)</f>
        <v>0</v>
      </c>
      <c r="Q2069" s="64" t="n">
        <f aca="false">IF(AND($P2069&gt;0,$O2069&gt;0),$P2069,0)</f>
        <v>0</v>
      </c>
      <c r="R2069" s="64" t="n">
        <f aca="false">IF(AND($Q2069&gt;0,$O2069&gt;=AtRank),$Q2069,0)</f>
        <v>0</v>
      </c>
      <c r="S2069" s="64" t="n">
        <f aca="false">IF(AND($Q2069&gt;0,$O2069&gt;=AboveRank),$Q2069,0)</f>
        <v>0</v>
      </c>
      <c r="T2069" s="64" t="n">
        <f aca="false">IF($K2069="Less",$P2069,0)</f>
        <v>0</v>
      </c>
      <c r="U2069" s="64" t="n">
        <f aca="false">IF($K2069="Expected",$P2069,0)</f>
        <v>0</v>
      </c>
      <c r="V2069" s="64" t="n">
        <f aca="false">IF($K2069="Better",$P2069,0)</f>
        <v>0</v>
      </c>
      <c r="W2069" s="64" t="n">
        <f aca="false">IF($K2069="U – needs rule",$P2069,0)</f>
        <v>0</v>
      </c>
      <c r="X2069" s="64" t="n">
        <f aca="false">IF($K2069="No Start (attainment only)",$P2069,0)</f>
        <v>0</v>
      </c>
    </row>
    <row r="2070" customFormat="false" ht="15" hidden="false" customHeight="false" outlineLevel="0" collapsed="false">
      <c r="A2070" s="60"/>
      <c r="B2070" s="61" t="str">
        <f aca="false">IF($M2070=0,"",INDEX(Classes!$E$6:$E$420,$M2070))</f>
        <v/>
      </c>
      <c r="C2070" s="62" t="str">
        <f aca="false">IF($M2070=0,"",INDEX(Classes!$H$6:$H$420,$M2070))</f>
        <v/>
      </c>
      <c r="D2070" s="61" t="str">
        <f aca="false">IF($M2070=0,"",INDEX(Classes!$B$6:$B$420,$M2070))</f>
        <v/>
      </c>
      <c r="E2070" s="61" t="str">
        <f aca="false">IF($M2070=0,"",INDEX(Classes!$C$6:$C$420,$M2070))</f>
        <v/>
      </c>
      <c r="F2070" s="63"/>
      <c r="G2070" s="63"/>
      <c r="H2070" s="60"/>
      <c r="I2070" s="60"/>
      <c r="J2070" s="63"/>
      <c r="K2070" s="61" t="str">
        <f aca="false">IF($P2070=0,"",IF($F2070="Baseline","— Baseline",IF($O2070=0,"No result",IF($N2070=0,"No Start (attainment only)",IF(OR($N2070=1,$O2070=1),"U – needs rule",INDEX(MxBody,MATCH($I2070,MxCurr,0),MATCH($H2070,MxStart,0)))))))</f>
        <v/>
      </c>
      <c r="L2070" s="62" t="str">
        <f aca="false">IF(COUNTA($A2070,$F2070,$G2070,$H2070,$I2070,$J2070)=0,"",IF($M2070=0,"✖ كود الصف غير موجود",IF(ISNA(MATCH($F2070,Lists!$A$2:$A$5,0)),"✖ الفترة غير صحيحة",IF(ISNA(MATCH($G2070,Lists!$B$2:$B$7,0)),"✖ المجموعة غير صحيحة",IF(NOT(OR($H2070="",$N2070&gt;0)),"✖ Start غير صحيح",IF(NOT(OR($I2070="",$I2070="NR",$O2070&gt;0)),"✖ Current غير صحيح",IF(NOT(IF(ISNUMBER($J2070),AND($J2070&gt;=0,$J2070=INT($J2070)),FALSE())),"✖ العدد يجب أن يكون صحيحًا ≥ 0",IF(AND($F2070="Baseline",$H2070&lt;&gt;""),"⚠ Baseline: Start لا يدخل في التقدم",IF($K2070="No Start (attainment only)","ℹ تحصيل فقط (بدون Start)",IF($K2070="U – needs rule","ℹ حالة U تحتاج قاعدة معتمدة",IF($K2070="No result","ℹ بدون نتيجة (يُستبعد من التحصيل)","OK")))))))))))</f>
        <v/>
      </c>
      <c r="M2070" s="64" t="n">
        <f aca="false">IF($A2070="",0,IFERROR(MATCH($A2070,Classes!$A$6:$A$420,0),0))</f>
        <v>0</v>
      </c>
      <c r="N2070" s="64" t="n">
        <f aca="false">IF($H2070="",0,IFERROR(MATCH($H2070,GradeList,0),0))</f>
        <v>0</v>
      </c>
      <c r="O2070" s="64" t="n">
        <f aca="false">IF(OR($I2070="",$I2070="NR"),0,IFERROR(MATCH($I2070,GradeList,0),0))</f>
        <v>0</v>
      </c>
      <c r="P2070" s="64" t="n">
        <f aca="false">IF(AND($M2070&gt;0,ISNUMBER(MATCH($F2070,Lists!$A$2:$A$5,0)),ISNUMBER(MATCH($G2070,Lists!$B$2:$B$7,0)),OR($H2070="",$N2070&gt;0),OR($I2070="",$I2070="NR",$O2070&gt;0),IF(ISNUMBER($J2070),AND($J2070&gt;=0,$J2070=INT($J2070)),FALSE())),$J2070,0)</f>
        <v>0</v>
      </c>
      <c r="Q2070" s="64" t="n">
        <f aca="false">IF(AND($P2070&gt;0,$O2070&gt;0),$P2070,0)</f>
        <v>0</v>
      </c>
      <c r="R2070" s="64" t="n">
        <f aca="false">IF(AND($Q2070&gt;0,$O2070&gt;=AtRank),$Q2070,0)</f>
        <v>0</v>
      </c>
      <c r="S2070" s="64" t="n">
        <f aca="false">IF(AND($Q2070&gt;0,$O2070&gt;=AboveRank),$Q2070,0)</f>
        <v>0</v>
      </c>
      <c r="T2070" s="64" t="n">
        <f aca="false">IF($K2070="Less",$P2070,0)</f>
        <v>0</v>
      </c>
      <c r="U2070" s="64" t="n">
        <f aca="false">IF($K2070="Expected",$P2070,0)</f>
        <v>0</v>
      </c>
      <c r="V2070" s="64" t="n">
        <f aca="false">IF($K2070="Better",$P2070,0)</f>
        <v>0</v>
      </c>
      <c r="W2070" s="64" t="n">
        <f aca="false">IF($K2070="U – needs rule",$P2070,0)</f>
        <v>0</v>
      </c>
      <c r="X2070" s="64" t="n">
        <f aca="false">IF($K2070="No Start (attainment only)",$P2070,0)</f>
        <v>0</v>
      </c>
    </row>
    <row r="2071" customFormat="false" ht="15" hidden="false" customHeight="false" outlineLevel="0" collapsed="false">
      <c r="A2071" s="60"/>
      <c r="B2071" s="61" t="str">
        <f aca="false">IF($M2071=0,"",INDEX(Classes!$E$6:$E$420,$M2071))</f>
        <v/>
      </c>
      <c r="C2071" s="62" t="str">
        <f aca="false">IF($M2071=0,"",INDEX(Classes!$H$6:$H$420,$M2071))</f>
        <v/>
      </c>
      <c r="D2071" s="61" t="str">
        <f aca="false">IF($M2071=0,"",INDEX(Classes!$B$6:$B$420,$M2071))</f>
        <v/>
      </c>
      <c r="E2071" s="61" t="str">
        <f aca="false">IF($M2071=0,"",INDEX(Classes!$C$6:$C$420,$M2071))</f>
        <v/>
      </c>
      <c r="F2071" s="63"/>
      <c r="G2071" s="63"/>
      <c r="H2071" s="60"/>
      <c r="I2071" s="60"/>
      <c r="J2071" s="63"/>
      <c r="K2071" s="61" t="str">
        <f aca="false">IF($P2071=0,"",IF($F2071="Baseline","— Baseline",IF($O2071=0,"No result",IF($N2071=0,"No Start (attainment only)",IF(OR($N2071=1,$O2071=1),"U – needs rule",INDEX(MxBody,MATCH($I2071,MxCurr,0),MATCH($H2071,MxStart,0)))))))</f>
        <v/>
      </c>
      <c r="L2071" s="62" t="str">
        <f aca="false">IF(COUNTA($A2071,$F2071,$G2071,$H2071,$I2071,$J2071)=0,"",IF($M2071=0,"✖ كود الصف غير موجود",IF(ISNA(MATCH($F2071,Lists!$A$2:$A$5,0)),"✖ الفترة غير صحيحة",IF(ISNA(MATCH($G2071,Lists!$B$2:$B$7,0)),"✖ المجموعة غير صحيحة",IF(NOT(OR($H2071="",$N2071&gt;0)),"✖ Start غير صحيح",IF(NOT(OR($I2071="",$I2071="NR",$O2071&gt;0)),"✖ Current غير صحيح",IF(NOT(IF(ISNUMBER($J2071),AND($J2071&gt;=0,$J2071=INT($J2071)),FALSE())),"✖ العدد يجب أن يكون صحيحًا ≥ 0",IF(AND($F2071="Baseline",$H2071&lt;&gt;""),"⚠ Baseline: Start لا يدخل في التقدم",IF($K2071="No Start (attainment only)","ℹ تحصيل فقط (بدون Start)",IF($K2071="U – needs rule","ℹ حالة U تحتاج قاعدة معتمدة",IF($K2071="No result","ℹ بدون نتيجة (يُستبعد من التحصيل)","OK")))))))))))</f>
        <v/>
      </c>
      <c r="M2071" s="64" t="n">
        <f aca="false">IF($A2071="",0,IFERROR(MATCH($A2071,Classes!$A$6:$A$420,0),0))</f>
        <v>0</v>
      </c>
      <c r="N2071" s="64" t="n">
        <f aca="false">IF($H2071="",0,IFERROR(MATCH($H2071,GradeList,0),0))</f>
        <v>0</v>
      </c>
      <c r="O2071" s="64" t="n">
        <f aca="false">IF(OR($I2071="",$I2071="NR"),0,IFERROR(MATCH($I2071,GradeList,0),0))</f>
        <v>0</v>
      </c>
      <c r="P2071" s="64" t="n">
        <f aca="false">IF(AND($M2071&gt;0,ISNUMBER(MATCH($F2071,Lists!$A$2:$A$5,0)),ISNUMBER(MATCH($G2071,Lists!$B$2:$B$7,0)),OR($H2071="",$N2071&gt;0),OR($I2071="",$I2071="NR",$O2071&gt;0),IF(ISNUMBER($J2071),AND($J2071&gt;=0,$J2071=INT($J2071)),FALSE())),$J2071,0)</f>
        <v>0</v>
      </c>
      <c r="Q2071" s="64" t="n">
        <f aca="false">IF(AND($P2071&gt;0,$O2071&gt;0),$P2071,0)</f>
        <v>0</v>
      </c>
      <c r="R2071" s="64" t="n">
        <f aca="false">IF(AND($Q2071&gt;0,$O2071&gt;=AtRank),$Q2071,0)</f>
        <v>0</v>
      </c>
      <c r="S2071" s="64" t="n">
        <f aca="false">IF(AND($Q2071&gt;0,$O2071&gt;=AboveRank),$Q2071,0)</f>
        <v>0</v>
      </c>
      <c r="T2071" s="64" t="n">
        <f aca="false">IF($K2071="Less",$P2071,0)</f>
        <v>0</v>
      </c>
      <c r="U2071" s="64" t="n">
        <f aca="false">IF($K2071="Expected",$P2071,0)</f>
        <v>0</v>
      </c>
      <c r="V2071" s="64" t="n">
        <f aca="false">IF($K2071="Better",$P2071,0)</f>
        <v>0</v>
      </c>
      <c r="W2071" s="64" t="n">
        <f aca="false">IF($K2071="U – needs rule",$P2071,0)</f>
        <v>0</v>
      </c>
      <c r="X2071" s="64" t="n">
        <f aca="false">IF($K2071="No Start (attainment only)",$P2071,0)</f>
        <v>0</v>
      </c>
    </row>
    <row r="2072" customFormat="false" ht="15" hidden="false" customHeight="false" outlineLevel="0" collapsed="false">
      <c r="A2072" s="60"/>
      <c r="B2072" s="61" t="str">
        <f aca="false">IF($M2072=0,"",INDEX(Classes!$E$6:$E$420,$M2072))</f>
        <v/>
      </c>
      <c r="C2072" s="62" t="str">
        <f aca="false">IF($M2072=0,"",INDEX(Classes!$H$6:$H$420,$M2072))</f>
        <v/>
      </c>
      <c r="D2072" s="61" t="str">
        <f aca="false">IF($M2072=0,"",INDEX(Classes!$B$6:$B$420,$M2072))</f>
        <v/>
      </c>
      <c r="E2072" s="61" t="str">
        <f aca="false">IF($M2072=0,"",INDEX(Classes!$C$6:$C$420,$M2072))</f>
        <v/>
      </c>
      <c r="F2072" s="63"/>
      <c r="G2072" s="63"/>
      <c r="H2072" s="60"/>
      <c r="I2072" s="60"/>
      <c r="J2072" s="63"/>
      <c r="K2072" s="61" t="str">
        <f aca="false">IF($P2072=0,"",IF($F2072="Baseline","— Baseline",IF($O2072=0,"No result",IF($N2072=0,"No Start (attainment only)",IF(OR($N2072=1,$O2072=1),"U – needs rule",INDEX(MxBody,MATCH($I2072,MxCurr,0),MATCH($H2072,MxStart,0)))))))</f>
        <v/>
      </c>
      <c r="L2072" s="62" t="str">
        <f aca="false">IF(COUNTA($A2072,$F2072,$G2072,$H2072,$I2072,$J2072)=0,"",IF($M2072=0,"✖ كود الصف غير موجود",IF(ISNA(MATCH($F2072,Lists!$A$2:$A$5,0)),"✖ الفترة غير صحيحة",IF(ISNA(MATCH($G2072,Lists!$B$2:$B$7,0)),"✖ المجموعة غير صحيحة",IF(NOT(OR($H2072="",$N2072&gt;0)),"✖ Start غير صحيح",IF(NOT(OR($I2072="",$I2072="NR",$O2072&gt;0)),"✖ Current غير صحيح",IF(NOT(IF(ISNUMBER($J2072),AND($J2072&gt;=0,$J2072=INT($J2072)),FALSE())),"✖ العدد يجب أن يكون صحيحًا ≥ 0",IF(AND($F2072="Baseline",$H2072&lt;&gt;""),"⚠ Baseline: Start لا يدخل في التقدم",IF($K2072="No Start (attainment only)","ℹ تحصيل فقط (بدون Start)",IF($K2072="U – needs rule","ℹ حالة U تحتاج قاعدة معتمدة",IF($K2072="No result","ℹ بدون نتيجة (يُستبعد من التحصيل)","OK")))))))))))</f>
        <v/>
      </c>
      <c r="M2072" s="64" t="n">
        <f aca="false">IF($A2072="",0,IFERROR(MATCH($A2072,Classes!$A$6:$A$420,0),0))</f>
        <v>0</v>
      </c>
      <c r="N2072" s="64" t="n">
        <f aca="false">IF($H2072="",0,IFERROR(MATCH($H2072,GradeList,0),0))</f>
        <v>0</v>
      </c>
      <c r="O2072" s="64" t="n">
        <f aca="false">IF(OR($I2072="",$I2072="NR"),0,IFERROR(MATCH($I2072,GradeList,0),0))</f>
        <v>0</v>
      </c>
      <c r="P2072" s="64" t="n">
        <f aca="false">IF(AND($M2072&gt;0,ISNUMBER(MATCH($F2072,Lists!$A$2:$A$5,0)),ISNUMBER(MATCH($G2072,Lists!$B$2:$B$7,0)),OR($H2072="",$N2072&gt;0),OR($I2072="",$I2072="NR",$O2072&gt;0),IF(ISNUMBER($J2072),AND($J2072&gt;=0,$J2072=INT($J2072)),FALSE())),$J2072,0)</f>
        <v>0</v>
      </c>
      <c r="Q2072" s="64" t="n">
        <f aca="false">IF(AND($P2072&gt;0,$O2072&gt;0),$P2072,0)</f>
        <v>0</v>
      </c>
      <c r="R2072" s="64" t="n">
        <f aca="false">IF(AND($Q2072&gt;0,$O2072&gt;=AtRank),$Q2072,0)</f>
        <v>0</v>
      </c>
      <c r="S2072" s="64" t="n">
        <f aca="false">IF(AND($Q2072&gt;0,$O2072&gt;=AboveRank),$Q2072,0)</f>
        <v>0</v>
      </c>
      <c r="T2072" s="64" t="n">
        <f aca="false">IF($K2072="Less",$P2072,0)</f>
        <v>0</v>
      </c>
      <c r="U2072" s="64" t="n">
        <f aca="false">IF($K2072="Expected",$P2072,0)</f>
        <v>0</v>
      </c>
      <c r="V2072" s="64" t="n">
        <f aca="false">IF($K2072="Better",$P2072,0)</f>
        <v>0</v>
      </c>
      <c r="W2072" s="64" t="n">
        <f aca="false">IF($K2072="U – needs rule",$P2072,0)</f>
        <v>0</v>
      </c>
      <c r="X2072" s="64" t="n">
        <f aca="false">IF($K2072="No Start (attainment only)",$P2072,0)</f>
        <v>0</v>
      </c>
    </row>
    <row r="2073" customFormat="false" ht="15" hidden="false" customHeight="false" outlineLevel="0" collapsed="false">
      <c r="A2073" s="60"/>
      <c r="B2073" s="61" t="str">
        <f aca="false">IF($M2073=0,"",INDEX(Classes!$E$6:$E$420,$M2073))</f>
        <v/>
      </c>
      <c r="C2073" s="62" t="str">
        <f aca="false">IF($M2073=0,"",INDEX(Classes!$H$6:$H$420,$M2073))</f>
        <v/>
      </c>
      <c r="D2073" s="61" t="str">
        <f aca="false">IF($M2073=0,"",INDEX(Classes!$B$6:$B$420,$M2073))</f>
        <v/>
      </c>
      <c r="E2073" s="61" t="str">
        <f aca="false">IF($M2073=0,"",INDEX(Classes!$C$6:$C$420,$M2073))</f>
        <v/>
      </c>
      <c r="F2073" s="63"/>
      <c r="G2073" s="63"/>
      <c r="H2073" s="60"/>
      <c r="I2073" s="60"/>
      <c r="J2073" s="63"/>
      <c r="K2073" s="61" t="str">
        <f aca="false">IF($P2073=0,"",IF($F2073="Baseline","— Baseline",IF($O2073=0,"No result",IF($N2073=0,"No Start (attainment only)",IF(OR($N2073=1,$O2073=1),"U – needs rule",INDEX(MxBody,MATCH($I2073,MxCurr,0),MATCH($H2073,MxStart,0)))))))</f>
        <v/>
      </c>
      <c r="L2073" s="62" t="str">
        <f aca="false">IF(COUNTA($A2073,$F2073,$G2073,$H2073,$I2073,$J2073)=0,"",IF($M2073=0,"✖ كود الصف غير موجود",IF(ISNA(MATCH($F2073,Lists!$A$2:$A$5,0)),"✖ الفترة غير صحيحة",IF(ISNA(MATCH($G2073,Lists!$B$2:$B$7,0)),"✖ المجموعة غير صحيحة",IF(NOT(OR($H2073="",$N2073&gt;0)),"✖ Start غير صحيح",IF(NOT(OR($I2073="",$I2073="NR",$O2073&gt;0)),"✖ Current غير صحيح",IF(NOT(IF(ISNUMBER($J2073),AND($J2073&gt;=0,$J2073=INT($J2073)),FALSE())),"✖ العدد يجب أن يكون صحيحًا ≥ 0",IF(AND($F2073="Baseline",$H2073&lt;&gt;""),"⚠ Baseline: Start لا يدخل في التقدم",IF($K2073="No Start (attainment only)","ℹ تحصيل فقط (بدون Start)",IF($K2073="U – needs rule","ℹ حالة U تحتاج قاعدة معتمدة",IF($K2073="No result","ℹ بدون نتيجة (يُستبعد من التحصيل)","OK")))))))))))</f>
        <v/>
      </c>
      <c r="M2073" s="64" t="n">
        <f aca="false">IF($A2073="",0,IFERROR(MATCH($A2073,Classes!$A$6:$A$420,0),0))</f>
        <v>0</v>
      </c>
      <c r="N2073" s="64" t="n">
        <f aca="false">IF($H2073="",0,IFERROR(MATCH($H2073,GradeList,0),0))</f>
        <v>0</v>
      </c>
      <c r="O2073" s="64" t="n">
        <f aca="false">IF(OR($I2073="",$I2073="NR"),0,IFERROR(MATCH($I2073,GradeList,0),0))</f>
        <v>0</v>
      </c>
      <c r="P2073" s="64" t="n">
        <f aca="false">IF(AND($M2073&gt;0,ISNUMBER(MATCH($F2073,Lists!$A$2:$A$5,0)),ISNUMBER(MATCH($G2073,Lists!$B$2:$B$7,0)),OR($H2073="",$N2073&gt;0),OR($I2073="",$I2073="NR",$O2073&gt;0),IF(ISNUMBER($J2073),AND($J2073&gt;=0,$J2073=INT($J2073)),FALSE())),$J2073,0)</f>
        <v>0</v>
      </c>
      <c r="Q2073" s="64" t="n">
        <f aca="false">IF(AND($P2073&gt;0,$O2073&gt;0),$P2073,0)</f>
        <v>0</v>
      </c>
      <c r="R2073" s="64" t="n">
        <f aca="false">IF(AND($Q2073&gt;0,$O2073&gt;=AtRank),$Q2073,0)</f>
        <v>0</v>
      </c>
      <c r="S2073" s="64" t="n">
        <f aca="false">IF(AND($Q2073&gt;0,$O2073&gt;=AboveRank),$Q2073,0)</f>
        <v>0</v>
      </c>
      <c r="T2073" s="64" t="n">
        <f aca="false">IF($K2073="Less",$P2073,0)</f>
        <v>0</v>
      </c>
      <c r="U2073" s="64" t="n">
        <f aca="false">IF($K2073="Expected",$P2073,0)</f>
        <v>0</v>
      </c>
      <c r="V2073" s="64" t="n">
        <f aca="false">IF($K2073="Better",$P2073,0)</f>
        <v>0</v>
      </c>
      <c r="W2073" s="64" t="n">
        <f aca="false">IF($K2073="U – needs rule",$P2073,0)</f>
        <v>0</v>
      </c>
      <c r="X2073" s="64" t="n">
        <f aca="false">IF($K2073="No Start (attainment only)",$P2073,0)</f>
        <v>0</v>
      </c>
    </row>
    <row r="2074" customFormat="false" ht="15" hidden="false" customHeight="false" outlineLevel="0" collapsed="false">
      <c r="A2074" s="60"/>
      <c r="B2074" s="61" t="str">
        <f aca="false">IF($M2074=0,"",INDEX(Classes!$E$6:$E$420,$M2074))</f>
        <v/>
      </c>
      <c r="C2074" s="62" t="str">
        <f aca="false">IF($M2074=0,"",INDEX(Classes!$H$6:$H$420,$M2074))</f>
        <v/>
      </c>
      <c r="D2074" s="61" t="str">
        <f aca="false">IF($M2074=0,"",INDEX(Classes!$B$6:$B$420,$M2074))</f>
        <v/>
      </c>
      <c r="E2074" s="61" t="str">
        <f aca="false">IF($M2074=0,"",INDEX(Classes!$C$6:$C$420,$M2074))</f>
        <v/>
      </c>
      <c r="F2074" s="63"/>
      <c r="G2074" s="63"/>
      <c r="H2074" s="60"/>
      <c r="I2074" s="60"/>
      <c r="J2074" s="63"/>
      <c r="K2074" s="61" t="str">
        <f aca="false">IF($P2074=0,"",IF($F2074="Baseline","— Baseline",IF($O2074=0,"No result",IF($N2074=0,"No Start (attainment only)",IF(OR($N2074=1,$O2074=1),"U – needs rule",INDEX(MxBody,MATCH($I2074,MxCurr,0),MATCH($H2074,MxStart,0)))))))</f>
        <v/>
      </c>
      <c r="L2074" s="62" t="str">
        <f aca="false">IF(COUNTA($A2074,$F2074,$G2074,$H2074,$I2074,$J2074)=0,"",IF($M2074=0,"✖ كود الصف غير موجود",IF(ISNA(MATCH($F2074,Lists!$A$2:$A$5,0)),"✖ الفترة غير صحيحة",IF(ISNA(MATCH($G2074,Lists!$B$2:$B$7,0)),"✖ المجموعة غير صحيحة",IF(NOT(OR($H2074="",$N2074&gt;0)),"✖ Start غير صحيح",IF(NOT(OR($I2074="",$I2074="NR",$O2074&gt;0)),"✖ Current غير صحيح",IF(NOT(IF(ISNUMBER($J2074),AND($J2074&gt;=0,$J2074=INT($J2074)),FALSE())),"✖ العدد يجب أن يكون صحيحًا ≥ 0",IF(AND($F2074="Baseline",$H2074&lt;&gt;""),"⚠ Baseline: Start لا يدخل في التقدم",IF($K2074="No Start (attainment only)","ℹ تحصيل فقط (بدون Start)",IF($K2074="U – needs rule","ℹ حالة U تحتاج قاعدة معتمدة",IF($K2074="No result","ℹ بدون نتيجة (يُستبعد من التحصيل)","OK")))))))))))</f>
        <v/>
      </c>
      <c r="M2074" s="64" t="n">
        <f aca="false">IF($A2074="",0,IFERROR(MATCH($A2074,Classes!$A$6:$A$420,0),0))</f>
        <v>0</v>
      </c>
      <c r="N2074" s="64" t="n">
        <f aca="false">IF($H2074="",0,IFERROR(MATCH($H2074,GradeList,0),0))</f>
        <v>0</v>
      </c>
      <c r="O2074" s="64" t="n">
        <f aca="false">IF(OR($I2074="",$I2074="NR"),0,IFERROR(MATCH($I2074,GradeList,0),0))</f>
        <v>0</v>
      </c>
      <c r="P2074" s="64" t="n">
        <f aca="false">IF(AND($M2074&gt;0,ISNUMBER(MATCH($F2074,Lists!$A$2:$A$5,0)),ISNUMBER(MATCH($G2074,Lists!$B$2:$B$7,0)),OR($H2074="",$N2074&gt;0),OR($I2074="",$I2074="NR",$O2074&gt;0),IF(ISNUMBER($J2074),AND($J2074&gt;=0,$J2074=INT($J2074)),FALSE())),$J2074,0)</f>
        <v>0</v>
      </c>
      <c r="Q2074" s="64" t="n">
        <f aca="false">IF(AND($P2074&gt;0,$O2074&gt;0),$P2074,0)</f>
        <v>0</v>
      </c>
      <c r="R2074" s="64" t="n">
        <f aca="false">IF(AND($Q2074&gt;0,$O2074&gt;=AtRank),$Q2074,0)</f>
        <v>0</v>
      </c>
      <c r="S2074" s="64" t="n">
        <f aca="false">IF(AND($Q2074&gt;0,$O2074&gt;=AboveRank),$Q2074,0)</f>
        <v>0</v>
      </c>
      <c r="T2074" s="64" t="n">
        <f aca="false">IF($K2074="Less",$P2074,0)</f>
        <v>0</v>
      </c>
      <c r="U2074" s="64" t="n">
        <f aca="false">IF($K2074="Expected",$P2074,0)</f>
        <v>0</v>
      </c>
      <c r="V2074" s="64" t="n">
        <f aca="false">IF($K2074="Better",$P2074,0)</f>
        <v>0</v>
      </c>
      <c r="W2074" s="64" t="n">
        <f aca="false">IF($K2074="U – needs rule",$P2074,0)</f>
        <v>0</v>
      </c>
      <c r="X2074" s="64" t="n">
        <f aca="false">IF($K2074="No Start (attainment only)",$P2074,0)</f>
        <v>0</v>
      </c>
    </row>
    <row r="2075" customFormat="false" ht="15" hidden="false" customHeight="false" outlineLevel="0" collapsed="false">
      <c r="A2075" s="60"/>
      <c r="B2075" s="61" t="str">
        <f aca="false">IF($M2075=0,"",INDEX(Classes!$E$6:$E$420,$M2075))</f>
        <v/>
      </c>
      <c r="C2075" s="62" t="str">
        <f aca="false">IF($M2075=0,"",INDEX(Classes!$H$6:$H$420,$M2075))</f>
        <v/>
      </c>
      <c r="D2075" s="61" t="str">
        <f aca="false">IF($M2075=0,"",INDEX(Classes!$B$6:$B$420,$M2075))</f>
        <v/>
      </c>
      <c r="E2075" s="61" t="str">
        <f aca="false">IF($M2075=0,"",INDEX(Classes!$C$6:$C$420,$M2075))</f>
        <v/>
      </c>
      <c r="F2075" s="63"/>
      <c r="G2075" s="63"/>
      <c r="H2075" s="60"/>
      <c r="I2075" s="60"/>
      <c r="J2075" s="63"/>
      <c r="K2075" s="61" t="str">
        <f aca="false">IF($P2075=0,"",IF($F2075="Baseline","— Baseline",IF($O2075=0,"No result",IF($N2075=0,"No Start (attainment only)",IF(OR($N2075=1,$O2075=1),"U – needs rule",INDEX(MxBody,MATCH($I2075,MxCurr,0),MATCH($H2075,MxStart,0)))))))</f>
        <v/>
      </c>
      <c r="L2075" s="62" t="str">
        <f aca="false">IF(COUNTA($A2075,$F2075,$G2075,$H2075,$I2075,$J2075)=0,"",IF($M2075=0,"✖ كود الصف غير موجود",IF(ISNA(MATCH($F2075,Lists!$A$2:$A$5,0)),"✖ الفترة غير صحيحة",IF(ISNA(MATCH($G2075,Lists!$B$2:$B$7,0)),"✖ المجموعة غير صحيحة",IF(NOT(OR($H2075="",$N2075&gt;0)),"✖ Start غير صحيح",IF(NOT(OR($I2075="",$I2075="NR",$O2075&gt;0)),"✖ Current غير صحيح",IF(NOT(IF(ISNUMBER($J2075),AND($J2075&gt;=0,$J2075=INT($J2075)),FALSE())),"✖ العدد يجب أن يكون صحيحًا ≥ 0",IF(AND($F2075="Baseline",$H2075&lt;&gt;""),"⚠ Baseline: Start لا يدخل في التقدم",IF($K2075="No Start (attainment only)","ℹ تحصيل فقط (بدون Start)",IF($K2075="U – needs rule","ℹ حالة U تحتاج قاعدة معتمدة",IF($K2075="No result","ℹ بدون نتيجة (يُستبعد من التحصيل)","OK")))))))))))</f>
        <v/>
      </c>
      <c r="M2075" s="64" t="n">
        <f aca="false">IF($A2075="",0,IFERROR(MATCH($A2075,Classes!$A$6:$A$420,0),0))</f>
        <v>0</v>
      </c>
      <c r="N2075" s="64" t="n">
        <f aca="false">IF($H2075="",0,IFERROR(MATCH($H2075,GradeList,0),0))</f>
        <v>0</v>
      </c>
      <c r="O2075" s="64" t="n">
        <f aca="false">IF(OR($I2075="",$I2075="NR"),0,IFERROR(MATCH($I2075,GradeList,0),0))</f>
        <v>0</v>
      </c>
      <c r="P2075" s="64" t="n">
        <f aca="false">IF(AND($M2075&gt;0,ISNUMBER(MATCH($F2075,Lists!$A$2:$A$5,0)),ISNUMBER(MATCH($G2075,Lists!$B$2:$B$7,0)),OR($H2075="",$N2075&gt;0),OR($I2075="",$I2075="NR",$O2075&gt;0),IF(ISNUMBER($J2075),AND($J2075&gt;=0,$J2075=INT($J2075)),FALSE())),$J2075,0)</f>
        <v>0</v>
      </c>
      <c r="Q2075" s="64" t="n">
        <f aca="false">IF(AND($P2075&gt;0,$O2075&gt;0),$P2075,0)</f>
        <v>0</v>
      </c>
      <c r="R2075" s="64" t="n">
        <f aca="false">IF(AND($Q2075&gt;0,$O2075&gt;=AtRank),$Q2075,0)</f>
        <v>0</v>
      </c>
      <c r="S2075" s="64" t="n">
        <f aca="false">IF(AND($Q2075&gt;0,$O2075&gt;=AboveRank),$Q2075,0)</f>
        <v>0</v>
      </c>
      <c r="T2075" s="64" t="n">
        <f aca="false">IF($K2075="Less",$P2075,0)</f>
        <v>0</v>
      </c>
      <c r="U2075" s="64" t="n">
        <f aca="false">IF($K2075="Expected",$P2075,0)</f>
        <v>0</v>
      </c>
      <c r="V2075" s="64" t="n">
        <f aca="false">IF($K2075="Better",$P2075,0)</f>
        <v>0</v>
      </c>
      <c r="W2075" s="64" t="n">
        <f aca="false">IF($K2075="U – needs rule",$P2075,0)</f>
        <v>0</v>
      </c>
      <c r="X2075" s="64" t="n">
        <f aca="false">IF($K2075="No Start (attainment only)",$P2075,0)</f>
        <v>0</v>
      </c>
    </row>
    <row r="2076" customFormat="false" ht="15" hidden="false" customHeight="false" outlineLevel="0" collapsed="false">
      <c r="A2076" s="60"/>
      <c r="B2076" s="61" t="str">
        <f aca="false">IF($M2076=0,"",INDEX(Classes!$E$6:$E$420,$M2076))</f>
        <v/>
      </c>
      <c r="C2076" s="62" t="str">
        <f aca="false">IF($M2076=0,"",INDEX(Classes!$H$6:$H$420,$M2076))</f>
        <v/>
      </c>
      <c r="D2076" s="61" t="str">
        <f aca="false">IF($M2076=0,"",INDEX(Classes!$B$6:$B$420,$M2076))</f>
        <v/>
      </c>
      <c r="E2076" s="61" t="str">
        <f aca="false">IF($M2076=0,"",INDEX(Classes!$C$6:$C$420,$M2076))</f>
        <v/>
      </c>
      <c r="F2076" s="63"/>
      <c r="G2076" s="63"/>
      <c r="H2076" s="60"/>
      <c r="I2076" s="60"/>
      <c r="J2076" s="63"/>
      <c r="K2076" s="61" t="str">
        <f aca="false">IF($P2076=0,"",IF($F2076="Baseline","— Baseline",IF($O2076=0,"No result",IF($N2076=0,"No Start (attainment only)",IF(OR($N2076=1,$O2076=1),"U – needs rule",INDEX(MxBody,MATCH($I2076,MxCurr,0),MATCH($H2076,MxStart,0)))))))</f>
        <v/>
      </c>
      <c r="L2076" s="62" t="str">
        <f aca="false">IF(COUNTA($A2076,$F2076,$G2076,$H2076,$I2076,$J2076)=0,"",IF($M2076=0,"✖ كود الصف غير موجود",IF(ISNA(MATCH($F2076,Lists!$A$2:$A$5,0)),"✖ الفترة غير صحيحة",IF(ISNA(MATCH($G2076,Lists!$B$2:$B$7,0)),"✖ المجموعة غير صحيحة",IF(NOT(OR($H2076="",$N2076&gt;0)),"✖ Start غير صحيح",IF(NOT(OR($I2076="",$I2076="NR",$O2076&gt;0)),"✖ Current غير صحيح",IF(NOT(IF(ISNUMBER($J2076),AND($J2076&gt;=0,$J2076=INT($J2076)),FALSE())),"✖ العدد يجب أن يكون صحيحًا ≥ 0",IF(AND($F2076="Baseline",$H2076&lt;&gt;""),"⚠ Baseline: Start لا يدخل في التقدم",IF($K2076="No Start (attainment only)","ℹ تحصيل فقط (بدون Start)",IF($K2076="U – needs rule","ℹ حالة U تحتاج قاعدة معتمدة",IF($K2076="No result","ℹ بدون نتيجة (يُستبعد من التحصيل)","OK")))))))))))</f>
        <v/>
      </c>
      <c r="M2076" s="64" t="n">
        <f aca="false">IF($A2076="",0,IFERROR(MATCH($A2076,Classes!$A$6:$A$420,0),0))</f>
        <v>0</v>
      </c>
      <c r="N2076" s="64" t="n">
        <f aca="false">IF($H2076="",0,IFERROR(MATCH($H2076,GradeList,0),0))</f>
        <v>0</v>
      </c>
      <c r="O2076" s="64" t="n">
        <f aca="false">IF(OR($I2076="",$I2076="NR"),0,IFERROR(MATCH($I2076,GradeList,0),0))</f>
        <v>0</v>
      </c>
      <c r="P2076" s="64" t="n">
        <f aca="false">IF(AND($M2076&gt;0,ISNUMBER(MATCH($F2076,Lists!$A$2:$A$5,0)),ISNUMBER(MATCH($G2076,Lists!$B$2:$B$7,0)),OR($H2076="",$N2076&gt;0),OR($I2076="",$I2076="NR",$O2076&gt;0),IF(ISNUMBER($J2076),AND($J2076&gt;=0,$J2076=INT($J2076)),FALSE())),$J2076,0)</f>
        <v>0</v>
      </c>
      <c r="Q2076" s="64" t="n">
        <f aca="false">IF(AND($P2076&gt;0,$O2076&gt;0),$P2076,0)</f>
        <v>0</v>
      </c>
      <c r="R2076" s="64" t="n">
        <f aca="false">IF(AND($Q2076&gt;0,$O2076&gt;=AtRank),$Q2076,0)</f>
        <v>0</v>
      </c>
      <c r="S2076" s="64" t="n">
        <f aca="false">IF(AND($Q2076&gt;0,$O2076&gt;=AboveRank),$Q2076,0)</f>
        <v>0</v>
      </c>
      <c r="T2076" s="64" t="n">
        <f aca="false">IF($K2076="Less",$P2076,0)</f>
        <v>0</v>
      </c>
      <c r="U2076" s="64" t="n">
        <f aca="false">IF($K2076="Expected",$P2076,0)</f>
        <v>0</v>
      </c>
      <c r="V2076" s="64" t="n">
        <f aca="false">IF($K2076="Better",$P2076,0)</f>
        <v>0</v>
      </c>
      <c r="W2076" s="64" t="n">
        <f aca="false">IF($K2076="U – needs rule",$P2076,0)</f>
        <v>0</v>
      </c>
      <c r="X2076" s="64" t="n">
        <f aca="false">IF($K2076="No Start (attainment only)",$P2076,0)</f>
        <v>0</v>
      </c>
    </row>
    <row r="2077" customFormat="false" ht="15" hidden="false" customHeight="false" outlineLevel="0" collapsed="false">
      <c r="A2077" s="60"/>
      <c r="B2077" s="61" t="str">
        <f aca="false">IF($M2077=0,"",INDEX(Classes!$E$6:$E$420,$M2077))</f>
        <v/>
      </c>
      <c r="C2077" s="62" t="str">
        <f aca="false">IF($M2077=0,"",INDEX(Classes!$H$6:$H$420,$M2077))</f>
        <v/>
      </c>
      <c r="D2077" s="61" t="str">
        <f aca="false">IF($M2077=0,"",INDEX(Classes!$B$6:$B$420,$M2077))</f>
        <v/>
      </c>
      <c r="E2077" s="61" t="str">
        <f aca="false">IF($M2077=0,"",INDEX(Classes!$C$6:$C$420,$M2077))</f>
        <v/>
      </c>
      <c r="F2077" s="63"/>
      <c r="G2077" s="63"/>
      <c r="H2077" s="60"/>
      <c r="I2077" s="60"/>
      <c r="J2077" s="63"/>
      <c r="K2077" s="61" t="str">
        <f aca="false">IF($P2077=0,"",IF($F2077="Baseline","— Baseline",IF($O2077=0,"No result",IF($N2077=0,"No Start (attainment only)",IF(OR($N2077=1,$O2077=1),"U – needs rule",INDEX(MxBody,MATCH($I2077,MxCurr,0),MATCH($H2077,MxStart,0)))))))</f>
        <v/>
      </c>
      <c r="L2077" s="62" t="str">
        <f aca="false">IF(COUNTA($A2077,$F2077,$G2077,$H2077,$I2077,$J2077)=0,"",IF($M2077=0,"✖ كود الصف غير موجود",IF(ISNA(MATCH($F2077,Lists!$A$2:$A$5,0)),"✖ الفترة غير صحيحة",IF(ISNA(MATCH($G2077,Lists!$B$2:$B$7,0)),"✖ المجموعة غير صحيحة",IF(NOT(OR($H2077="",$N2077&gt;0)),"✖ Start غير صحيح",IF(NOT(OR($I2077="",$I2077="NR",$O2077&gt;0)),"✖ Current غير صحيح",IF(NOT(IF(ISNUMBER($J2077),AND($J2077&gt;=0,$J2077=INT($J2077)),FALSE())),"✖ العدد يجب أن يكون صحيحًا ≥ 0",IF(AND($F2077="Baseline",$H2077&lt;&gt;""),"⚠ Baseline: Start لا يدخل في التقدم",IF($K2077="No Start (attainment only)","ℹ تحصيل فقط (بدون Start)",IF($K2077="U – needs rule","ℹ حالة U تحتاج قاعدة معتمدة",IF($K2077="No result","ℹ بدون نتيجة (يُستبعد من التحصيل)","OK")))))))))))</f>
        <v/>
      </c>
      <c r="M2077" s="64" t="n">
        <f aca="false">IF($A2077="",0,IFERROR(MATCH($A2077,Classes!$A$6:$A$420,0),0))</f>
        <v>0</v>
      </c>
      <c r="N2077" s="64" t="n">
        <f aca="false">IF($H2077="",0,IFERROR(MATCH($H2077,GradeList,0),0))</f>
        <v>0</v>
      </c>
      <c r="O2077" s="64" t="n">
        <f aca="false">IF(OR($I2077="",$I2077="NR"),0,IFERROR(MATCH($I2077,GradeList,0),0))</f>
        <v>0</v>
      </c>
      <c r="P2077" s="64" t="n">
        <f aca="false">IF(AND($M2077&gt;0,ISNUMBER(MATCH($F2077,Lists!$A$2:$A$5,0)),ISNUMBER(MATCH($G2077,Lists!$B$2:$B$7,0)),OR($H2077="",$N2077&gt;0),OR($I2077="",$I2077="NR",$O2077&gt;0),IF(ISNUMBER($J2077),AND($J2077&gt;=0,$J2077=INT($J2077)),FALSE())),$J2077,0)</f>
        <v>0</v>
      </c>
      <c r="Q2077" s="64" t="n">
        <f aca="false">IF(AND($P2077&gt;0,$O2077&gt;0),$P2077,0)</f>
        <v>0</v>
      </c>
      <c r="R2077" s="64" t="n">
        <f aca="false">IF(AND($Q2077&gt;0,$O2077&gt;=AtRank),$Q2077,0)</f>
        <v>0</v>
      </c>
      <c r="S2077" s="64" t="n">
        <f aca="false">IF(AND($Q2077&gt;0,$O2077&gt;=AboveRank),$Q2077,0)</f>
        <v>0</v>
      </c>
      <c r="T2077" s="64" t="n">
        <f aca="false">IF($K2077="Less",$P2077,0)</f>
        <v>0</v>
      </c>
      <c r="U2077" s="64" t="n">
        <f aca="false">IF($K2077="Expected",$P2077,0)</f>
        <v>0</v>
      </c>
      <c r="V2077" s="64" t="n">
        <f aca="false">IF($K2077="Better",$P2077,0)</f>
        <v>0</v>
      </c>
      <c r="W2077" s="64" t="n">
        <f aca="false">IF($K2077="U – needs rule",$P2077,0)</f>
        <v>0</v>
      </c>
      <c r="X2077" s="64" t="n">
        <f aca="false">IF($K2077="No Start (attainment only)",$P2077,0)</f>
        <v>0</v>
      </c>
    </row>
    <row r="2078" customFormat="false" ht="15" hidden="false" customHeight="false" outlineLevel="0" collapsed="false">
      <c r="A2078" s="60"/>
      <c r="B2078" s="61" t="str">
        <f aca="false">IF($M2078=0,"",INDEX(Classes!$E$6:$E$420,$M2078))</f>
        <v/>
      </c>
      <c r="C2078" s="62" t="str">
        <f aca="false">IF($M2078=0,"",INDEX(Classes!$H$6:$H$420,$M2078))</f>
        <v/>
      </c>
      <c r="D2078" s="61" t="str">
        <f aca="false">IF($M2078=0,"",INDEX(Classes!$B$6:$B$420,$M2078))</f>
        <v/>
      </c>
      <c r="E2078" s="61" t="str">
        <f aca="false">IF($M2078=0,"",INDEX(Classes!$C$6:$C$420,$M2078))</f>
        <v/>
      </c>
      <c r="F2078" s="63"/>
      <c r="G2078" s="63"/>
      <c r="H2078" s="60"/>
      <c r="I2078" s="60"/>
      <c r="J2078" s="63"/>
      <c r="K2078" s="61" t="str">
        <f aca="false">IF($P2078=0,"",IF($F2078="Baseline","— Baseline",IF($O2078=0,"No result",IF($N2078=0,"No Start (attainment only)",IF(OR($N2078=1,$O2078=1),"U – needs rule",INDEX(MxBody,MATCH($I2078,MxCurr,0),MATCH($H2078,MxStart,0)))))))</f>
        <v/>
      </c>
      <c r="L2078" s="62" t="str">
        <f aca="false">IF(COUNTA($A2078,$F2078,$G2078,$H2078,$I2078,$J2078)=0,"",IF($M2078=0,"✖ كود الصف غير موجود",IF(ISNA(MATCH($F2078,Lists!$A$2:$A$5,0)),"✖ الفترة غير صحيحة",IF(ISNA(MATCH($G2078,Lists!$B$2:$B$7,0)),"✖ المجموعة غير صحيحة",IF(NOT(OR($H2078="",$N2078&gt;0)),"✖ Start غير صحيح",IF(NOT(OR($I2078="",$I2078="NR",$O2078&gt;0)),"✖ Current غير صحيح",IF(NOT(IF(ISNUMBER($J2078),AND($J2078&gt;=0,$J2078=INT($J2078)),FALSE())),"✖ العدد يجب أن يكون صحيحًا ≥ 0",IF(AND($F2078="Baseline",$H2078&lt;&gt;""),"⚠ Baseline: Start لا يدخل في التقدم",IF($K2078="No Start (attainment only)","ℹ تحصيل فقط (بدون Start)",IF($K2078="U – needs rule","ℹ حالة U تحتاج قاعدة معتمدة",IF($K2078="No result","ℹ بدون نتيجة (يُستبعد من التحصيل)","OK")))))))))))</f>
        <v/>
      </c>
      <c r="M2078" s="64" t="n">
        <f aca="false">IF($A2078="",0,IFERROR(MATCH($A2078,Classes!$A$6:$A$420,0),0))</f>
        <v>0</v>
      </c>
      <c r="N2078" s="64" t="n">
        <f aca="false">IF($H2078="",0,IFERROR(MATCH($H2078,GradeList,0),0))</f>
        <v>0</v>
      </c>
      <c r="O2078" s="64" t="n">
        <f aca="false">IF(OR($I2078="",$I2078="NR"),0,IFERROR(MATCH($I2078,GradeList,0),0))</f>
        <v>0</v>
      </c>
      <c r="P2078" s="64" t="n">
        <f aca="false">IF(AND($M2078&gt;0,ISNUMBER(MATCH($F2078,Lists!$A$2:$A$5,0)),ISNUMBER(MATCH($G2078,Lists!$B$2:$B$7,0)),OR($H2078="",$N2078&gt;0),OR($I2078="",$I2078="NR",$O2078&gt;0),IF(ISNUMBER($J2078),AND($J2078&gt;=0,$J2078=INT($J2078)),FALSE())),$J2078,0)</f>
        <v>0</v>
      </c>
      <c r="Q2078" s="64" t="n">
        <f aca="false">IF(AND($P2078&gt;0,$O2078&gt;0),$P2078,0)</f>
        <v>0</v>
      </c>
      <c r="R2078" s="64" t="n">
        <f aca="false">IF(AND($Q2078&gt;0,$O2078&gt;=AtRank),$Q2078,0)</f>
        <v>0</v>
      </c>
      <c r="S2078" s="64" t="n">
        <f aca="false">IF(AND($Q2078&gt;0,$O2078&gt;=AboveRank),$Q2078,0)</f>
        <v>0</v>
      </c>
      <c r="T2078" s="64" t="n">
        <f aca="false">IF($K2078="Less",$P2078,0)</f>
        <v>0</v>
      </c>
      <c r="U2078" s="64" t="n">
        <f aca="false">IF($K2078="Expected",$P2078,0)</f>
        <v>0</v>
      </c>
      <c r="V2078" s="64" t="n">
        <f aca="false">IF($K2078="Better",$P2078,0)</f>
        <v>0</v>
      </c>
      <c r="W2078" s="64" t="n">
        <f aca="false">IF($K2078="U – needs rule",$P2078,0)</f>
        <v>0</v>
      </c>
      <c r="X2078" s="64" t="n">
        <f aca="false">IF($K2078="No Start (attainment only)",$P2078,0)</f>
        <v>0</v>
      </c>
    </row>
    <row r="2079" customFormat="false" ht="15" hidden="false" customHeight="false" outlineLevel="0" collapsed="false">
      <c r="A2079" s="60"/>
      <c r="B2079" s="61" t="str">
        <f aca="false">IF($M2079=0,"",INDEX(Classes!$E$6:$E$420,$M2079))</f>
        <v/>
      </c>
      <c r="C2079" s="62" t="str">
        <f aca="false">IF($M2079=0,"",INDEX(Classes!$H$6:$H$420,$M2079))</f>
        <v/>
      </c>
      <c r="D2079" s="61" t="str">
        <f aca="false">IF($M2079=0,"",INDEX(Classes!$B$6:$B$420,$M2079))</f>
        <v/>
      </c>
      <c r="E2079" s="61" t="str">
        <f aca="false">IF($M2079=0,"",INDEX(Classes!$C$6:$C$420,$M2079))</f>
        <v/>
      </c>
      <c r="F2079" s="63"/>
      <c r="G2079" s="63"/>
      <c r="H2079" s="60"/>
      <c r="I2079" s="60"/>
      <c r="J2079" s="63"/>
      <c r="K2079" s="61" t="str">
        <f aca="false">IF($P2079=0,"",IF($F2079="Baseline","— Baseline",IF($O2079=0,"No result",IF($N2079=0,"No Start (attainment only)",IF(OR($N2079=1,$O2079=1),"U – needs rule",INDEX(MxBody,MATCH($I2079,MxCurr,0),MATCH($H2079,MxStart,0)))))))</f>
        <v/>
      </c>
      <c r="L2079" s="62" t="str">
        <f aca="false">IF(COUNTA($A2079,$F2079,$G2079,$H2079,$I2079,$J2079)=0,"",IF($M2079=0,"✖ كود الصف غير موجود",IF(ISNA(MATCH($F2079,Lists!$A$2:$A$5,0)),"✖ الفترة غير صحيحة",IF(ISNA(MATCH($G2079,Lists!$B$2:$B$7,0)),"✖ المجموعة غير صحيحة",IF(NOT(OR($H2079="",$N2079&gt;0)),"✖ Start غير صحيح",IF(NOT(OR($I2079="",$I2079="NR",$O2079&gt;0)),"✖ Current غير صحيح",IF(NOT(IF(ISNUMBER($J2079),AND($J2079&gt;=0,$J2079=INT($J2079)),FALSE())),"✖ العدد يجب أن يكون صحيحًا ≥ 0",IF(AND($F2079="Baseline",$H2079&lt;&gt;""),"⚠ Baseline: Start لا يدخل في التقدم",IF($K2079="No Start (attainment only)","ℹ تحصيل فقط (بدون Start)",IF($K2079="U – needs rule","ℹ حالة U تحتاج قاعدة معتمدة",IF($K2079="No result","ℹ بدون نتيجة (يُستبعد من التحصيل)","OK")))))))))))</f>
        <v/>
      </c>
      <c r="M2079" s="64" t="n">
        <f aca="false">IF($A2079="",0,IFERROR(MATCH($A2079,Classes!$A$6:$A$420,0),0))</f>
        <v>0</v>
      </c>
      <c r="N2079" s="64" t="n">
        <f aca="false">IF($H2079="",0,IFERROR(MATCH($H2079,GradeList,0),0))</f>
        <v>0</v>
      </c>
      <c r="O2079" s="64" t="n">
        <f aca="false">IF(OR($I2079="",$I2079="NR"),0,IFERROR(MATCH($I2079,GradeList,0),0))</f>
        <v>0</v>
      </c>
      <c r="P2079" s="64" t="n">
        <f aca="false">IF(AND($M2079&gt;0,ISNUMBER(MATCH($F2079,Lists!$A$2:$A$5,0)),ISNUMBER(MATCH($G2079,Lists!$B$2:$B$7,0)),OR($H2079="",$N2079&gt;0),OR($I2079="",$I2079="NR",$O2079&gt;0),IF(ISNUMBER($J2079),AND($J2079&gt;=0,$J2079=INT($J2079)),FALSE())),$J2079,0)</f>
        <v>0</v>
      </c>
      <c r="Q2079" s="64" t="n">
        <f aca="false">IF(AND($P2079&gt;0,$O2079&gt;0),$P2079,0)</f>
        <v>0</v>
      </c>
      <c r="R2079" s="64" t="n">
        <f aca="false">IF(AND($Q2079&gt;0,$O2079&gt;=AtRank),$Q2079,0)</f>
        <v>0</v>
      </c>
      <c r="S2079" s="64" t="n">
        <f aca="false">IF(AND($Q2079&gt;0,$O2079&gt;=AboveRank),$Q2079,0)</f>
        <v>0</v>
      </c>
      <c r="T2079" s="64" t="n">
        <f aca="false">IF($K2079="Less",$P2079,0)</f>
        <v>0</v>
      </c>
      <c r="U2079" s="64" t="n">
        <f aca="false">IF($K2079="Expected",$P2079,0)</f>
        <v>0</v>
      </c>
      <c r="V2079" s="64" t="n">
        <f aca="false">IF($K2079="Better",$P2079,0)</f>
        <v>0</v>
      </c>
      <c r="W2079" s="64" t="n">
        <f aca="false">IF($K2079="U – needs rule",$P2079,0)</f>
        <v>0</v>
      </c>
      <c r="X2079" s="64" t="n">
        <f aca="false">IF($K2079="No Start (attainment only)",$P2079,0)</f>
        <v>0</v>
      </c>
    </row>
    <row r="2080" customFormat="false" ht="15" hidden="false" customHeight="false" outlineLevel="0" collapsed="false">
      <c r="A2080" s="60"/>
      <c r="B2080" s="61" t="str">
        <f aca="false">IF($M2080=0,"",INDEX(Classes!$E$6:$E$420,$M2080))</f>
        <v/>
      </c>
      <c r="C2080" s="62" t="str">
        <f aca="false">IF($M2080=0,"",INDEX(Classes!$H$6:$H$420,$M2080))</f>
        <v/>
      </c>
      <c r="D2080" s="61" t="str">
        <f aca="false">IF($M2080=0,"",INDEX(Classes!$B$6:$B$420,$M2080))</f>
        <v/>
      </c>
      <c r="E2080" s="61" t="str">
        <f aca="false">IF($M2080=0,"",INDEX(Classes!$C$6:$C$420,$M2080))</f>
        <v/>
      </c>
      <c r="F2080" s="63"/>
      <c r="G2080" s="63"/>
      <c r="H2080" s="60"/>
      <c r="I2080" s="60"/>
      <c r="J2080" s="63"/>
      <c r="K2080" s="61" t="str">
        <f aca="false">IF($P2080=0,"",IF($F2080="Baseline","— Baseline",IF($O2080=0,"No result",IF($N2080=0,"No Start (attainment only)",IF(OR($N2080=1,$O2080=1),"U – needs rule",INDEX(MxBody,MATCH($I2080,MxCurr,0),MATCH($H2080,MxStart,0)))))))</f>
        <v/>
      </c>
      <c r="L2080" s="62" t="str">
        <f aca="false">IF(COUNTA($A2080,$F2080,$G2080,$H2080,$I2080,$J2080)=0,"",IF($M2080=0,"✖ كود الصف غير موجود",IF(ISNA(MATCH($F2080,Lists!$A$2:$A$5,0)),"✖ الفترة غير صحيحة",IF(ISNA(MATCH($G2080,Lists!$B$2:$B$7,0)),"✖ المجموعة غير صحيحة",IF(NOT(OR($H2080="",$N2080&gt;0)),"✖ Start غير صحيح",IF(NOT(OR($I2080="",$I2080="NR",$O2080&gt;0)),"✖ Current غير صحيح",IF(NOT(IF(ISNUMBER($J2080),AND($J2080&gt;=0,$J2080=INT($J2080)),FALSE())),"✖ العدد يجب أن يكون صحيحًا ≥ 0",IF(AND($F2080="Baseline",$H2080&lt;&gt;""),"⚠ Baseline: Start لا يدخل في التقدم",IF($K2080="No Start (attainment only)","ℹ تحصيل فقط (بدون Start)",IF($K2080="U – needs rule","ℹ حالة U تحتاج قاعدة معتمدة",IF($K2080="No result","ℹ بدون نتيجة (يُستبعد من التحصيل)","OK")))))))))))</f>
        <v/>
      </c>
      <c r="M2080" s="64" t="n">
        <f aca="false">IF($A2080="",0,IFERROR(MATCH($A2080,Classes!$A$6:$A$420,0),0))</f>
        <v>0</v>
      </c>
      <c r="N2080" s="64" t="n">
        <f aca="false">IF($H2080="",0,IFERROR(MATCH($H2080,GradeList,0),0))</f>
        <v>0</v>
      </c>
      <c r="O2080" s="64" t="n">
        <f aca="false">IF(OR($I2080="",$I2080="NR"),0,IFERROR(MATCH($I2080,GradeList,0),0))</f>
        <v>0</v>
      </c>
      <c r="P2080" s="64" t="n">
        <f aca="false">IF(AND($M2080&gt;0,ISNUMBER(MATCH($F2080,Lists!$A$2:$A$5,0)),ISNUMBER(MATCH($G2080,Lists!$B$2:$B$7,0)),OR($H2080="",$N2080&gt;0),OR($I2080="",$I2080="NR",$O2080&gt;0),IF(ISNUMBER($J2080),AND($J2080&gt;=0,$J2080=INT($J2080)),FALSE())),$J2080,0)</f>
        <v>0</v>
      </c>
      <c r="Q2080" s="64" t="n">
        <f aca="false">IF(AND($P2080&gt;0,$O2080&gt;0),$P2080,0)</f>
        <v>0</v>
      </c>
      <c r="R2080" s="64" t="n">
        <f aca="false">IF(AND($Q2080&gt;0,$O2080&gt;=AtRank),$Q2080,0)</f>
        <v>0</v>
      </c>
      <c r="S2080" s="64" t="n">
        <f aca="false">IF(AND($Q2080&gt;0,$O2080&gt;=AboveRank),$Q2080,0)</f>
        <v>0</v>
      </c>
      <c r="T2080" s="64" t="n">
        <f aca="false">IF($K2080="Less",$P2080,0)</f>
        <v>0</v>
      </c>
      <c r="U2080" s="64" t="n">
        <f aca="false">IF($K2080="Expected",$P2080,0)</f>
        <v>0</v>
      </c>
      <c r="V2080" s="64" t="n">
        <f aca="false">IF($K2080="Better",$P2080,0)</f>
        <v>0</v>
      </c>
      <c r="W2080" s="64" t="n">
        <f aca="false">IF($K2080="U – needs rule",$P2080,0)</f>
        <v>0</v>
      </c>
      <c r="X2080" s="64" t="n">
        <f aca="false">IF($K2080="No Start (attainment only)",$P2080,0)</f>
        <v>0</v>
      </c>
    </row>
    <row r="2081" customFormat="false" ht="15" hidden="false" customHeight="false" outlineLevel="0" collapsed="false">
      <c r="A2081" s="60"/>
      <c r="B2081" s="61" t="str">
        <f aca="false">IF($M2081=0,"",INDEX(Classes!$E$6:$E$420,$M2081))</f>
        <v/>
      </c>
      <c r="C2081" s="62" t="str">
        <f aca="false">IF($M2081=0,"",INDEX(Classes!$H$6:$H$420,$M2081))</f>
        <v/>
      </c>
      <c r="D2081" s="61" t="str">
        <f aca="false">IF($M2081=0,"",INDEX(Classes!$B$6:$B$420,$M2081))</f>
        <v/>
      </c>
      <c r="E2081" s="61" t="str">
        <f aca="false">IF($M2081=0,"",INDEX(Classes!$C$6:$C$420,$M2081))</f>
        <v/>
      </c>
      <c r="F2081" s="63"/>
      <c r="G2081" s="63"/>
      <c r="H2081" s="60"/>
      <c r="I2081" s="60"/>
      <c r="J2081" s="63"/>
      <c r="K2081" s="61" t="str">
        <f aca="false">IF($P2081=0,"",IF($F2081="Baseline","— Baseline",IF($O2081=0,"No result",IF($N2081=0,"No Start (attainment only)",IF(OR($N2081=1,$O2081=1),"U – needs rule",INDEX(MxBody,MATCH($I2081,MxCurr,0),MATCH($H2081,MxStart,0)))))))</f>
        <v/>
      </c>
      <c r="L2081" s="62" t="str">
        <f aca="false">IF(COUNTA($A2081,$F2081,$G2081,$H2081,$I2081,$J2081)=0,"",IF($M2081=0,"✖ كود الصف غير موجود",IF(ISNA(MATCH($F2081,Lists!$A$2:$A$5,0)),"✖ الفترة غير صحيحة",IF(ISNA(MATCH($G2081,Lists!$B$2:$B$7,0)),"✖ المجموعة غير صحيحة",IF(NOT(OR($H2081="",$N2081&gt;0)),"✖ Start غير صحيح",IF(NOT(OR($I2081="",$I2081="NR",$O2081&gt;0)),"✖ Current غير صحيح",IF(NOT(IF(ISNUMBER($J2081),AND($J2081&gt;=0,$J2081=INT($J2081)),FALSE())),"✖ العدد يجب أن يكون صحيحًا ≥ 0",IF(AND($F2081="Baseline",$H2081&lt;&gt;""),"⚠ Baseline: Start لا يدخل في التقدم",IF($K2081="No Start (attainment only)","ℹ تحصيل فقط (بدون Start)",IF($K2081="U – needs rule","ℹ حالة U تحتاج قاعدة معتمدة",IF($K2081="No result","ℹ بدون نتيجة (يُستبعد من التحصيل)","OK")))))))))))</f>
        <v/>
      </c>
      <c r="M2081" s="64" t="n">
        <f aca="false">IF($A2081="",0,IFERROR(MATCH($A2081,Classes!$A$6:$A$420,0),0))</f>
        <v>0</v>
      </c>
      <c r="N2081" s="64" t="n">
        <f aca="false">IF($H2081="",0,IFERROR(MATCH($H2081,GradeList,0),0))</f>
        <v>0</v>
      </c>
      <c r="O2081" s="64" t="n">
        <f aca="false">IF(OR($I2081="",$I2081="NR"),0,IFERROR(MATCH($I2081,GradeList,0),0))</f>
        <v>0</v>
      </c>
      <c r="P2081" s="64" t="n">
        <f aca="false">IF(AND($M2081&gt;0,ISNUMBER(MATCH($F2081,Lists!$A$2:$A$5,0)),ISNUMBER(MATCH($G2081,Lists!$B$2:$B$7,0)),OR($H2081="",$N2081&gt;0),OR($I2081="",$I2081="NR",$O2081&gt;0),IF(ISNUMBER($J2081),AND($J2081&gt;=0,$J2081=INT($J2081)),FALSE())),$J2081,0)</f>
        <v>0</v>
      </c>
      <c r="Q2081" s="64" t="n">
        <f aca="false">IF(AND($P2081&gt;0,$O2081&gt;0),$P2081,0)</f>
        <v>0</v>
      </c>
      <c r="R2081" s="64" t="n">
        <f aca="false">IF(AND($Q2081&gt;0,$O2081&gt;=AtRank),$Q2081,0)</f>
        <v>0</v>
      </c>
      <c r="S2081" s="64" t="n">
        <f aca="false">IF(AND($Q2081&gt;0,$O2081&gt;=AboveRank),$Q2081,0)</f>
        <v>0</v>
      </c>
      <c r="T2081" s="64" t="n">
        <f aca="false">IF($K2081="Less",$P2081,0)</f>
        <v>0</v>
      </c>
      <c r="U2081" s="64" t="n">
        <f aca="false">IF($K2081="Expected",$P2081,0)</f>
        <v>0</v>
      </c>
      <c r="V2081" s="64" t="n">
        <f aca="false">IF($K2081="Better",$P2081,0)</f>
        <v>0</v>
      </c>
      <c r="W2081" s="64" t="n">
        <f aca="false">IF($K2081="U – needs rule",$P2081,0)</f>
        <v>0</v>
      </c>
      <c r="X2081" s="64" t="n">
        <f aca="false">IF($K2081="No Start (attainment only)",$P2081,0)</f>
        <v>0</v>
      </c>
    </row>
    <row r="2082" customFormat="false" ht="15" hidden="false" customHeight="false" outlineLevel="0" collapsed="false">
      <c r="A2082" s="60"/>
      <c r="B2082" s="61" t="str">
        <f aca="false">IF($M2082=0,"",INDEX(Classes!$E$6:$E$420,$M2082))</f>
        <v/>
      </c>
      <c r="C2082" s="62" t="str">
        <f aca="false">IF($M2082=0,"",INDEX(Classes!$H$6:$H$420,$M2082))</f>
        <v/>
      </c>
      <c r="D2082" s="61" t="str">
        <f aca="false">IF($M2082=0,"",INDEX(Classes!$B$6:$B$420,$M2082))</f>
        <v/>
      </c>
      <c r="E2082" s="61" t="str">
        <f aca="false">IF($M2082=0,"",INDEX(Classes!$C$6:$C$420,$M2082))</f>
        <v/>
      </c>
      <c r="F2082" s="63"/>
      <c r="G2082" s="63"/>
      <c r="H2082" s="60"/>
      <c r="I2082" s="60"/>
      <c r="J2082" s="63"/>
      <c r="K2082" s="61" t="str">
        <f aca="false">IF($P2082=0,"",IF($F2082="Baseline","— Baseline",IF($O2082=0,"No result",IF($N2082=0,"No Start (attainment only)",IF(OR($N2082=1,$O2082=1),"U – needs rule",INDEX(MxBody,MATCH($I2082,MxCurr,0),MATCH($H2082,MxStart,0)))))))</f>
        <v/>
      </c>
      <c r="L2082" s="62" t="str">
        <f aca="false">IF(COUNTA($A2082,$F2082,$G2082,$H2082,$I2082,$J2082)=0,"",IF($M2082=0,"✖ كود الصف غير موجود",IF(ISNA(MATCH($F2082,Lists!$A$2:$A$5,0)),"✖ الفترة غير صحيحة",IF(ISNA(MATCH($G2082,Lists!$B$2:$B$7,0)),"✖ المجموعة غير صحيحة",IF(NOT(OR($H2082="",$N2082&gt;0)),"✖ Start غير صحيح",IF(NOT(OR($I2082="",$I2082="NR",$O2082&gt;0)),"✖ Current غير صحيح",IF(NOT(IF(ISNUMBER($J2082),AND($J2082&gt;=0,$J2082=INT($J2082)),FALSE())),"✖ العدد يجب أن يكون صحيحًا ≥ 0",IF(AND($F2082="Baseline",$H2082&lt;&gt;""),"⚠ Baseline: Start لا يدخل في التقدم",IF($K2082="No Start (attainment only)","ℹ تحصيل فقط (بدون Start)",IF($K2082="U – needs rule","ℹ حالة U تحتاج قاعدة معتمدة",IF($K2082="No result","ℹ بدون نتيجة (يُستبعد من التحصيل)","OK")))))))))))</f>
        <v/>
      </c>
      <c r="M2082" s="64" t="n">
        <f aca="false">IF($A2082="",0,IFERROR(MATCH($A2082,Classes!$A$6:$A$420,0),0))</f>
        <v>0</v>
      </c>
      <c r="N2082" s="64" t="n">
        <f aca="false">IF($H2082="",0,IFERROR(MATCH($H2082,GradeList,0),0))</f>
        <v>0</v>
      </c>
      <c r="O2082" s="64" t="n">
        <f aca="false">IF(OR($I2082="",$I2082="NR"),0,IFERROR(MATCH($I2082,GradeList,0),0))</f>
        <v>0</v>
      </c>
      <c r="P2082" s="64" t="n">
        <f aca="false">IF(AND($M2082&gt;0,ISNUMBER(MATCH($F2082,Lists!$A$2:$A$5,0)),ISNUMBER(MATCH($G2082,Lists!$B$2:$B$7,0)),OR($H2082="",$N2082&gt;0),OR($I2082="",$I2082="NR",$O2082&gt;0),IF(ISNUMBER($J2082),AND($J2082&gt;=0,$J2082=INT($J2082)),FALSE())),$J2082,0)</f>
        <v>0</v>
      </c>
      <c r="Q2082" s="64" t="n">
        <f aca="false">IF(AND($P2082&gt;0,$O2082&gt;0),$P2082,0)</f>
        <v>0</v>
      </c>
      <c r="R2082" s="64" t="n">
        <f aca="false">IF(AND($Q2082&gt;0,$O2082&gt;=AtRank),$Q2082,0)</f>
        <v>0</v>
      </c>
      <c r="S2082" s="64" t="n">
        <f aca="false">IF(AND($Q2082&gt;0,$O2082&gt;=AboveRank),$Q2082,0)</f>
        <v>0</v>
      </c>
      <c r="T2082" s="64" t="n">
        <f aca="false">IF($K2082="Less",$P2082,0)</f>
        <v>0</v>
      </c>
      <c r="U2082" s="64" t="n">
        <f aca="false">IF($K2082="Expected",$P2082,0)</f>
        <v>0</v>
      </c>
      <c r="V2082" s="64" t="n">
        <f aca="false">IF($K2082="Better",$P2082,0)</f>
        <v>0</v>
      </c>
      <c r="W2082" s="64" t="n">
        <f aca="false">IF($K2082="U – needs rule",$P2082,0)</f>
        <v>0</v>
      </c>
      <c r="X2082" s="64" t="n">
        <f aca="false">IF($K2082="No Start (attainment only)",$P2082,0)</f>
        <v>0</v>
      </c>
    </row>
    <row r="2083" customFormat="false" ht="15" hidden="false" customHeight="false" outlineLevel="0" collapsed="false">
      <c r="A2083" s="60"/>
      <c r="B2083" s="61" t="str">
        <f aca="false">IF($M2083=0,"",INDEX(Classes!$E$6:$E$420,$M2083))</f>
        <v/>
      </c>
      <c r="C2083" s="62" t="str">
        <f aca="false">IF($M2083=0,"",INDEX(Classes!$H$6:$H$420,$M2083))</f>
        <v/>
      </c>
      <c r="D2083" s="61" t="str">
        <f aca="false">IF($M2083=0,"",INDEX(Classes!$B$6:$B$420,$M2083))</f>
        <v/>
      </c>
      <c r="E2083" s="61" t="str">
        <f aca="false">IF($M2083=0,"",INDEX(Classes!$C$6:$C$420,$M2083))</f>
        <v/>
      </c>
      <c r="F2083" s="63"/>
      <c r="G2083" s="63"/>
      <c r="H2083" s="60"/>
      <c r="I2083" s="60"/>
      <c r="J2083" s="63"/>
      <c r="K2083" s="61" t="str">
        <f aca="false">IF($P2083=0,"",IF($F2083="Baseline","— Baseline",IF($O2083=0,"No result",IF($N2083=0,"No Start (attainment only)",IF(OR($N2083=1,$O2083=1),"U – needs rule",INDEX(MxBody,MATCH($I2083,MxCurr,0),MATCH($H2083,MxStart,0)))))))</f>
        <v/>
      </c>
      <c r="L2083" s="62" t="str">
        <f aca="false">IF(COUNTA($A2083,$F2083,$G2083,$H2083,$I2083,$J2083)=0,"",IF($M2083=0,"✖ كود الصف غير موجود",IF(ISNA(MATCH($F2083,Lists!$A$2:$A$5,0)),"✖ الفترة غير صحيحة",IF(ISNA(MATCH($G2083,Lists!$B$2:$B$7,0)),"✖ المجموعة غير صحيحة",IF(NOT(OR($H2083="",$N2083&gt;0)),"✖ Start غير صحيح",IF(NOT(OR($I2083="",$I2083="NR",$O2083&gt;0)),"✖ Current غير صحيح",IF(NOT(IF(ISNUMBER($J2083),AND($J2083&gt;=0,$J2083=INT($J2083)),FALSE())),"✖ العدد يجب أن يكون صحيحًا ≥ 0",IF(AND($F2083="Baseline",$H2083&lt;&gt;""),"⚠ Baseline: Start لا يدخل في التقدم",IF($K2083="No Start (attainment only)","ℹ تحصيل فقط (بدون Start)",IF($K2083="U – needs rule","ℹ حالة U تحتاج قاعدة معتمدة",IF($K2083="No result","ℹ بدون نتيجة (يُستبعد من التحصيل)","OK")))))))))))</f>
        <v/>
      </c>
      <c r="M2083" s="64" t="n">
        <f aca="false">IF($A2083="",0,IFERROR(MATCH($A2083,Classes!$A$6:$A$420,0),0))</f>
        <v>0</v>
      </c>
      <c r="N2083" s="64" t="n">
        <f aca="false">IF($H2083="",0,IFERROR(MATCH($H2083,GradeList,0),0))</f>
        <v>0</v>
      </c>
      <c r="O2083" s="64" t="n">
        <f aca="false">IF(OR($I2083="",$I2083="NR"),0,IFERROR(MATCH($I2083,GradeList,0),0))</f>
        <v>0</v>
      </c>
      <c r="P2083" s="64" t="n">
        <f aca="false">IF(AND($M2083&gt;0,ISNUMBER(MATCH($F2083,Lists!$A$2:$A$5,0)),ISNUMBER(MATCH($G2083,Lists!$B$2:$B$7,0)),OR($H2083="",$N2083&gt;0),OR($I2083="",$I2083="NR",$O2083&gt;0),IF(ISNUMBER($J2083),AND($J2083&gt;=0,$J2083=INT($J2083)),FALSE())),$J2083,0)</f>
        <v>0</v>
      </c>
      <c r="Q2083" s="64" t="n">
        <f aca="false">IF(AND($P2083&gt;0,$O2083&gt;0),$P2083,0)</f>
        <v>0</v>
      </c>
      <c r="R2083" s="64" t="n">
        <f aca="false">IF(AND($Q2083&gt;0,$O2083&gt;=AtRank),$Q2083,0)</f>
        <v>0</v>
      </c>
      <c r="S2083" s="64" t="n">
        <f aca="false">IF(AND($Q2083&gt;0,$O2083&gt;=AboveRank),$Q2083,0)</f>
        <v>0</v>
      </c>
      <c r="T2083" s="64" t="n">
        <f aca="false">IF($K2083="Less",$P2083,0)</f>
        <v>0</v>
      </c>
      <c r="U2083" s="64" t="n">
        <f aca="false">IF($K2083="Expected",$P2083,0)</f>
        <v>0</v>
      </c>
      <c r="V2083" s="64" t="n">
        <f aca="false">IF($K2083="Better",$P2083,0)</f>
        <v>0</v>
      </c>
      <c r="W2083" s="64" t="n">
        <f aca="false">IF($K2083="U – needs rule",$P2083,0)</f>
        <v>0</v>
      </c>
      <c r="X2083" s="64" t="n">
        <f aca="false">IF($K2083="No Start (attainment only)",$P2083,0)</f>
        <v>0</v>
      </c>
    </row>
    <row r="2084" customFormat="false" ht="15" hidden="false" customHeight="false" outlineLevel="0" collapsed="false">
      <c r="A2084" s="60"/>
      <c r="B2084" s="61" t="str">
        <f aca="false">IF($M2084=0,"",INDEX(Classes!$E$6:$E$420,$M2084))</f>
        <v/>
      </c>
      <c r="C2084" s="62" t="str">
        <f aca="false">IF($M2084=0,"",INDEX(Classes!$H$6:$H$420,$M2084))</f>
        <v/>
      </c>
      <c r="D2084" s="61" t="str">
        <f aca="false">IF($M2084=0,"",INDEX(Classes!$B$6:$B$420,$M2084))</f>
        <v/>
      </c>
      <c r="E2084" s="61" t="str">
        <f aca="false">IF($M2084=0,"",INDEX(Classes!$C$6:$C$420,$M2084))</f>
        <v/>
      </c>
      <c r="F2084" s="63"/>
      <c r="G2084" s="63"/>
      <c r="H2084" s="60"/>
      <c r="I2084" s="60"/>
      <c r="J2084" s="63"/>
      <c r="K2084" s="61" t="str">
        <f aca="false">IF($P2084=0,"",IF($F2084="Baseline","— Baseline",IF($O2084=0,"No result",IF($N2084=0,"No Start (attainment only)",IF(OR($N2084=1,$O2084=1),"U – needs rule",INDEX(MxBody,MATCH($I2084,MxCurr,0),MATCH($H2084,MxStart,0)))))))</f>
        <v/>
      </c>
      <c r="L2084" s="62" t="str">
        <f aca="false">IF(COUNTA($A2084,$F2084,$G2084,$H2084,$I2084,$J2084)=0,"",IF($M2084=0,"✖ كود الصف غير موجود",IF(ISNA(MATCH($F2084,Lists!$A$2:$A$5,0)),"✖ الفترة غير صحيحة",IF(ISNA(MATCH($G2084,Lists!$B$2:$B$7,0)),"✖ المجموعة غير صحيحة",IF(NOT(OR($H2084="",$N2084&gt;0)),"✖ Start غير صحيح",IF(NOT(OR($I2084="",$I2084="NR",$O2084&gt;0)),"✖ Current غير صحيح",IF(NOT(IF(ISNUMBER($J2084),AND($J2084&gt;=0,$J2084=INT($J2084)),FALSE())),"✖ العدد يجب أن يكون صحيحًا ≥ 0",IF(AND($F2084="Baseline",$H2084&lt;&gt;""),"⚠ Baseline: Start لا يدخل في التقدم",IF($K2084="No Start (attainment only)","ℹ تحصيل فقط (بدون Start)",IF($K2084="U – needs rule","ℹ حالة U تحتاج قاعدة معتمدة",IF($K2084="No result","ℹ بدون نتيجة (يُستبعد من التحصيل)","OK")))))))))))</f>
        <v/>
      </c>
      <c r="M2084" s="64" t="n">
        <f aca="false">IF($A2084="",0,IFERROR(MATCH($A2084,Classes!$A$6:$A$420,0),0))</f>
        <v>0</v>
      </c>
      <c r="N2084" s="64" t="n">
        <f aca="false">IF($H2084="",0,IFERROR(MATCH($H2084,GradeList,0),0))</f>
        <v>0</v>
      </c>
      <c r="O2084" s="64" t="n">
        <f aca="false">IF(OR($I2084="",$I2084="NR"),0,IFERROR(MATCH($I2084,GradeList,0),0))</f>
        <v>0</v>
      </c>
      <c r="P2084" s="64" t="n">
        <f aca="false">IF(AND($M2084&gt;0,ISNUMBER(MATCH($F2084,Lists!$A$2:$A$5,0)),ISNUMBER(MATCH($G2084,Lists!$B$2:$B$7,0)),OR($H2084="",$N2084&gt;0),OR($I2084="",$I2084="NR",$O2084&gt;0),IF(ISNUMBER($J2084),AND($J2084&gt;=0,$J2084=INT($J2084)),FALSE())),$J2084,0)</f>
        <v>0</v>
      </c>
      <c r="Q2084" s="64" t="n">
        <f aca="false">IF(AND($P2084&gt;0,$O2084&gt;0),$P2084,0)</f>
        <v>0</v>
      </c>
      <c r="R2084" s="64" t="n">
        <f aca="false">IF(AND($Q2084&gt;0,$O2084&gt;=AtRank),$Q2084,0)</f>
        <v>0</v>
      </c>
      <c r="S2084" s="64" t="n">
        <f aca="false">IF(AND($Q2084&gt;0,$O2084&gt;=AboveRank),$Q2084,0)</f>
        <v>0</v>
      </c>
      <c r="T2084" s="64" t="n">
        <f aca="false">IF($K2084="Less",$P2084,0)</f>
        <v>0</v>
      </c>
      <c r="U2084" s="64" t="n">
        <f aca="false">IF($K2084="Expected",$P2084,0)</f>
        <v>0</v>
      </c>
      <c r="V2084" s="64" t="n">
        <f aca="false">IF($K2084="Better",$P2084,0)</f>
        <v>0</v>
      </c>
      <c r="W2084" s="64" t="n">
        <f aca="false">IF($K2084="U – needs rule",$P2084,0)</f>
        <v>0</v>
      </c>
      <c r="X2084" s="64" t="n">
        <f aca="false">IF($K2084="No Start (attainment only)",$P2084,0)</f>
        <v>0</v>
      </c>
    </row>
    <row r="2085" customFormat="false" ht="15" hidden="false" customHeight="false" outlineLevel="0" collapsed="false">
      <c r="A2085" s="60"/>
      <c r="B2085" s="61" t="str">
        <f aca="false">IF($M2085=0,"",INDEX(Classes!$E$6:$E$420,$M2085))</f>
        <v/>
      </c>
      <c r="C2085" s="62" t="str">
        <f aca="false">IF($M2085=0,"",INDEX(Classes!$H$6:$H$420,$M2085))</f>
        <v/>
      </c>
      <c r="D2085" s="61" t="str">
        <f aca="false">IF($M2085=0,"",INDEX(Classes!$B$6:$B$420,$M2085))</f>
        <v/>
      </c>
      <c r="E2085" s="61" t="str">
        <f aca="false">IF($M2085=0,"",INDEX(Classes!$C$6:$C$420,$M2085))</f>
        <v/>
      </c>
      <c r="F2085" s="63"/>
      <c r="G2085" s="63"/>
      <c r="H2085" s="60"/>
      <c r="I2085" s="60"/>
      <c r="J2085" s="63"/>
      <c r="K2085" s="61" t="str">
        <f aca="false">IF($P2085=0,"",IF($F2085="Baseline","— Baseline",IF($O2085=0,"No result",IF($N2085=0,"No Start (attainment only)",IF(OR($N2085=1,$O2085=1),"U – needs rule",INDEX(MxBody,MATCH($I2085,MxCurr,0),MATCH($H2085,MxStart,0)))))))</f>
        <v/>
      </c>
      <c r="L2085" s="62" t="str">
        <f aca="false">IF(COUNTA($A2085,$F2085,$G2085,$H2085,$I2085,$J2085)=0,"",IF($M2085=0,"✖ كود الصف غير موجود",IF(ISNA(MATCH($F2085,Lists!$A$2:$A$5,0)),"✖ الفترة غير صحيحة",IF(ISNA(MATCH($G2085,Lists!$B$2:$B$7,0)),"✖ المجموعة غير صحيحة",IF(NOT(OR($H2085="",$N2085&gt;0)),"✖ Start غير صحيح",IF(NOT(OR($I2085="",$I2085="NR",$O2085&gt;0)),"✖ Current غير صحيح",IF(NOT(IF(ISNUMBER($J2085),AND($J2085&gt;=0,$J2085=INT($J2085)),FALSE())),"✖ العدد يجب أن يكون صحيحًا ≥ 0",IF(AND($F2085="Baseline",$H2085&lt;&gt;""),"⚠ Baseline: Start لا يدخل في التقدم",IF($K2085="No Start (attainment only)","ℹ تحصيل فقط (بدون Start)",IF($K2085="U – needs rule","ℹ حالة U تحتاج قاعدة معتمدة",IF($K2085="No result","ℹ بدون نتيجة (يُستبعد من التحصيل)","OK")))))))))))</f>
        <v/>
      </c>
      <c r="M2085" s="64" t="n">
        <f aca="false">IF($A2085="",0,IFERROR(MATCH($A2085,Classes!$A$6:$A$420,0),0))</f>
        <v>0</v>
      </c>
      <c r="N2085" s="64" t="n">
        <f aca="false">IF($H2085="",0,IFERROR(MATCH($H2085,GradeList,0),0))</f>
        <v>0</v>
      </c>
      <c r="O2085" s="64" t="n">
        <f aca="false">IF(OR($I2085="",$I2085="NR"),0,IFERROR(MATCH($I2085,GradeList,0),0))</f>
        <v>0</v>
      </c>
      <c r="P2085" s="64" t="n">
        <f aca="false">IF(AND($M2085&gt;0,ISNUMBER(MATCH($F2085,Lists!$A$2:$A$5,0)),ISNUMBER(MATCH($G2085,Lists!$B$2:$B$7,0)),OR($H2085="",$N2085&gt;0),OR($I2085="",$I2085="NR",$O2085&gt;0),IF(ISNUMBER($J2085),AND($J2085&gt;=0,$J2085=INT($J2085)),FALSE())),$J2085,0)</f>
        <v>0</v>
      </c>
      <c r="Q2085" s="64" t="n">
        <f aca="false">IF(AND($P2085&gt;0,$O2085&gt;0),$P2085,0)</f>
        <v>0</v>
      </c>
      <c r="R2085" s="64" t="n">
        <f aca="false">IF(AND($Q2085&gt;0,$O2085&gt;=AtRank),$Q2085,0)</f>
        <v>0</v>
      </c>
      <c r="S2085" s="64" t="n">
        <f aca="false">IF(AND($Q2085&gt;0,$O2085&gt;=AboveRank),$Q2085,0)</f>
        <v>0</v>
      </c>
      <c r="T2085" s="64" t="n">
        <f aca="false">IF($K2085="Less",$P2085,0)</f>
        <v>0</v>
      </c>
      <c r="U2085" s="64" t="n">
        <f aca="false">IF($K2085="Expected",$P2085,0)</f>
        <v>0</v>
      </c>
      <c r="V2085" s="64" t="n">
        <f aca="false">IF($K2085="Better",$P2085,0)</f>
        <v>0</v>
      </c>
      <c r="W2085" s="64" t="n">
        <f aca="false">IF($K2085="U – needs rule",$P2085,0)</f>
        <v>0</v>
      </c>
      <c r="X2085" s="64" t="n">
        <f aca="false">IF($K2085="No Start (attainment only)",$P2085,0)</f>
        <v>0</v>
      </c>
    </row>
    <row r="2086" customFormat="false" ht="15" hidden="false" customHeight="false" outlineLevel="0" collapsed="false">
      <c r="A2086" s="60"/>
      <c r="B2086" s="61" t="str">
        <f aca="false">IF($M2086=0,"",INDEX(Classes!$E$6:$E$420,$M2086))</f>
        <v/>
      </c>
      <c r="C2086" s="62" t="str">
        <f aca="false">IF($M2086=0,"",INDEX(Classes!$H$6:$H$420,$M2086))</f>
        <v/>
      </c>
      <c r="D2086" s="61" t="str">
        <f aca="false">IF($M2086=0,"",INDEX(Classes!$B$6:$B$420,$M2086))</f>
        <v/>
      </c>
      <c r="E2086" s="61" t="str">
        <f aca="false">IF($M2086=0,"",INDEX(Classes!$C$6:$C$420,$M2086))</f>
        <v/>
      </c>
      <c r="F2086" s="63"/>
      <c r="G2086" s="63"/>
      <c r="H2086" s="60"/>
      <c r="I2086" s="60"/>
      <c r="J2086" s="63"/>
      <c r="K2086" s="61" t="str">
        <f aca="false">IF($P2086=0,"",IF($F2086="Baseline","— Baseline",IF($O2086=0,"No result",IF($N2086=0,"No Start (attainment only)",IF(OR($N2086=1,$O2086=1),"U – needs rule",INDEX(MxBody,MATCH($I2086,MxCurr,0),MATCH($H2086,MxStart,0)))))))</f>
        <v/>
      </c>
      <c r="L2086" s="62" t="str">
        <f aca="false">IF(COUNTA($A2086,$F2086,$G2086,$H2086,$I2086,$J2086)=0,"",IF($M2086=0,"✖ كود الصف غير موجود",IF(ISNA(MATCH($F2086,Lists!$A$2:$A$5,0)),"✖ الفترة غير صحيحة",IF(ISNA(MATCH($G2086,Lists!$B$2:$B$7,0)),"✖ المجموعة غير صحيحة",IF(NOT(OR($H2086="",$N2086&gt;0)),"✖ Start غير صحيح",IF(NOT(OR($I2086="",$I2086="NR",$O2086&gt;0)),"✖ Current غير صحيح",IF(NOT(IF(ISNUMBER($J2086),AND($J2086&gt;=0,$J2086=INT($J2086)),FALSE())),"✖ العدد يجب أن يكون صحيحًا ≥ 0",IF(AND($F2086="Baseline",$H2086&lt;&gt;""),"⚠ Baseline: Start لا يدخل في التقدم",IF($K2086="No Start (attainment only)","ℹ تحصيل فقط (بدون Start)",IF($K2086="U – needs rule","ℹ حالة U تحتاج قاعدة معتمدة",IF($K2086="No result","ℹ بدون نتيجة (يُستبعد من التحصيل)","OK")))))))))))</f>
        <v/>
      </c>
      <c r="M2086" s="64" t="n">
        <f aca="false">IF($A2086="",0,IFERROR(MATCH($A2086,Classes!$A$6:$A$420,0),0))</f>
        <v>0</v>
      </c>
      <c r="N2086" s="64" t="n">
        <f aca="false">IF($H2086="",0,IFERROR(MATCH($H2086,GradeList,0),0))</f>
        <v>0</v>
      </c>
      <c r="O2086" s="64" t="n">
        <f aca="false">IF(OR($I2086="",$I2086="NR"),0,IFERROR(MATCH($I2086,GradeList,0),0))</f>
        <v>0</v>
      </c>
      <c r="P2086" s="64" t="n">
        <f aca="false">IF(AND($M2086&gt;0,ISNUMBER(MATCH($F2086,Lists!$A$2:$A$5,0)),ISNUMBER(MATCH($G2086,Lists!$B$2:$B$7,0)),OR($H2086="",$N2086&gt;0),OR($I2086="",$I2086="NR",$O2086&gt;0),IF(ISNUMBER($J2086),AND($J2086&gt;=0,$J2086=INT($J2086)),FALSE())),$J2086,0)</f>
        <v>0</v>
      </c>
      <c r="Q2086" s="64" t="n">
        <f aca="false">IF(AND($P2086&gt;0,$O2086&gt;0),$P2086,0)</f>
        <v>0</v>
      </c>
      <c r="R2086" s="64" t="n">
        <f aca="false">IF(AND($Q2086&gt;0,$O2086&gt;=AtRank),$Q2086,0)</f>
        <v>0</v>
      </c>
      <c r="S2086" s="64" t="n">
        <f aca="false">IF(AND($Q2086&gt;0,$O2086&gt;=AboveRank),$Q2086,0)</f>
        <v>0</v>
      </c>
      <c r="T2086" s="64" t="n">
        <f aca="false">IF($K2086="Less",$P2086,0)</f>
        <v>0</v>
      </c>
      <c r="U2086" s="64" t="n">
        <f aca="false">IF($K2086="Expected",$P2086,0)</f>
        <v>0</v>
      </c>
      <c r="V2086" s="64" t="n">
        <f aca="false">IF($K2086="Better",$P2086,0)</f>
        <v>0</v>
      </c>
      <c r="W2086" s="64" t="n">
        <f aca="false">IF($K2086="U – needs rule",$P2086,0)</f>
        <v>0</v>
      </c>
      <c r="X2086" s="64" t="n">
        <f aca="false">IF($K2086="No Start (attainment only)",$P2086,0)</f>
        <v>0</v>
      </c>
    </row>
    <row r="2087" customFormat="false" ht="15" hidden="false" customHeight="false" outlineLevel="0" collapsed="false">
      <c r="A2087" s="60"/>
      <c r="B2087" s="61" t="str">
        <f aca="false">IF($M2087=0,"",INDEX(Classes!$E$6:$E$420,$M2087))</f>
        <v/>
      </c>
      <c r="C2087" s="62" t="str">
        <f aca="false">IF($M2087=0,"",INDEX(Classes!$H$6:$H$420,$M2087))</f>
        <v/>
      </c>
      <c r="D2087" s="61" t="str">
        <f aca="false">IF($M2087=0,"",INDEX(Classes!$B$6:$B$420,$M2087))</f>
        <v/>
      </c>
      <c r="E2087" s="61" t="str">
        <f aca="false">IF($M2087=0,"",INDEX(Classes!$C$6:$C$420,$M2087))</f>
        <v/>
      </c>
      <c r="F2087" s="63"/>
      <c r="G2087" s="63"/>
      <c r="H2087" s="60"/>
      <c r="I2087" s="60"/>
      <c r="J2087" s="63"/>
      <c r="K2087" s="61" t="str">
        <f aca="false">IF($P2087=0,"",IF($F2087="Baseline","— Baseline",IF($O2087=0,"No result",IF($N2087=0,"No Start (attainment only)",IF(OR($N2087=1,$O2087=1),"U – needs rule",INDEX(MxBody,MATCH($I2087,MxCurr,0),MATCH($H2087,MxStart,0)))))))</f>
        <v/>
      </c>
      <c r="L2087" s="62" t="str">
        <f aca="false">IF(COUNTA($A2087,$F2087,$G2087,$H2087,$I2087,$J2087)=0,"",IF($M2087=0,"✖ كود الصف غير موجود",IF(ISNA(MATCH($F2087,Lists!$A$2:$A$5,0)),"✖ الفترة غير صحيحة",IF(ISNA(MATCH($G2087,Lists!$B$2:$B$7,0)),"✖ المجموعة غير صحيحة",IF(NOT(OR($H2087="",$N2087&gt;0)),"✖ Start غير صحيح",IF(NOT(OR($I2087="",$I2087="NR",$O2087&gt;0)),"✖ Current غير صحيح",IF(NOT(IF(ISNUMBER($J2087),AND($J2087&gt;=0,$J2087=INT($J2087)),FALSE())),"✖ العدد يجب أن يكون صحيحًا ≥ 0",IF(AND($F2087="Baseline",$H2087&lt;&gt;""),"⚠ Baseline: Start لا يدخل في التقدم",IF($K2087="No Start (attainment only)","ℹ تحصيل فقط (بدون Start)",IF($K2087="U – needs rule","ℹ حالة U تحتاج قاعدة معتمدة",IF($K2087="No result","ℹ بدون نتيجة (يُستبعد من التحصيل)","OK")))))))))))</f>
        <v/>
      </c>
      <c r="M2087" s="64" t="n">
        <f aca="false">IF($A2087="",0,IFERROR(MATCH($A2087,Classes!$A$6:$A$420,0),0))</f>
        <v>0</v>
      </c>
      <c r="N2087" s="64" t="n">
        <f aca="false">IF($H2087="",0,IFERROR(MATCH($H2087,GradeList,0),0))</f>
        <v>0</v>
      </c>
      <c r="O2087" s="64" t="n">
        <f aca="false">IF(OR($I2087="",$I2087="NR"),0,IFERROR(MATCH($I2087,GradeList,0),0))</f>
        <v>0</v>
      </c>
      <c r="P2087" s="64" t="n">
        <f aca="false">IF(AND($M2087&gt;0,ISNUMBER(MATCH($F2087,Lists!$A$2:$A$5,0)),ISNUMBER(MATCH($G2087,Lists!$B$2:$B$7,0)),OR($H2087="",$N2087&gt;0),OR($I2087="",$I2087="NR",$O2087&gt;0),IF(ISNUMBER($J2087),AND($J2087&gt;=0,$J2087=INT($J2087)),FALSE())),$J2087,0)</f>
        <v>0</v>
      </c>
      <c r="Q2087" s="64" t="n">
        <f aca="false">IF(AND($P2087&gt;0,$O2087&gt;0),$P2087,0)</f>
        <v>0</v>
      </c>
      <c r="R2087" s="64" t="n">
        <f aca="false">IF(AND($Q2087&gt;0,$O2087&gt;=AtRank),$Q2087,0)</f>
        <v>0</v>
      </c>
      <c r="S2087" s="64" t="n">
        <f aca="false">IF(AND($Q2087&gt;0,$O2087&gt;=AboveRank),$Q2087,0)</f>
        <v>0</v>
      </c>
      <c r="T2087" s="64" t="n">
        <f aca="false">IF($K2087="Less",$P2087,0)</f>
        <v>0</v>
      </c>
      <c r="U2087" s="64" t="n">
        <f aca="false">IF($K2087="Expected",$P2087,0)</f>
        <v>0</v>
      </c>
      <c r="V2087" s="64" t="n">
        <f aca="false">IF($K2087="Better",$P2087,0)</f>
        <v>0</v>
      </c>
      <c r="W2087" s="64" t="n">
        <f aca="false">IF($K2087="U – needs rule",$P2087,0)</f>
        <v>0</v>
      </c>
      <c r="X2087" s="64" t="n">
        <f aca="false">IF($K2087="No Start (attainment only)",$P2087,0)</f>
        <v>0</v>
      </c>
    </row>
    <row r="2088" customFormat="false" ht="15" hidden="false" customHeight="false" outlineLevel="0" collapsed="false">
      <c r="A2088" s="60"/>
      <c r="B2088" s="61" t="str">
        <f aca="false">IF($M2088=0,"",INDEX(Classes!$E$6:$E$420,$M2088))</f>
        <v/>
      </c>
      <c r="C2088" s="62" t="str">
        <f aca="false">IF($M2088=0,"",INDEX(Classes!$H$6:$H$420,$M2088))</f>
        <v/>
      </c>
      <c r="D2088" s="61" t="str">
        <f aca="false">IF($M2088=0,"",INDEX(Classes!$B$6:$B$420,$M2088))</f>
        <v/>
      </c>
      <c r="E2088" s="61" t="str">
        <f aca="false">IF($M2088=0,"",INDEX(Classes!$C$6:$C$420,$M2088))</f>
        <v/>
      </c>
      <c r="F2088" s="63"/>
      <c r="G2088" s="63"/>
      <c r="H2088" s="60"/>
      <c r="I2088" s="60"/>
      <c r="J2088" s="63"/>
      <c r="K2088" s="61" t="str">
        <f aca="false">IF($P2088=0,"",IF($F2088="Baseline","— Baseline",IF($O2088=0,"No result",IF($N2088=0,"No Start (attainment only)",IF(OR($N2088=1,$O2088=1),"U – needs rule",INDEX(MxBody,MATCH($I2088,MxCurr,0),MATCH($H2088,MxStart,0)))))))</f>
        <v/>
      </c>
      <c r="L2088" s="62" t="str">
        <f aca="false">IF(COUNTA($A2088,$F2088,$G2088,$H2088,$I2088,$J2088)=0,"",IF($M2088=0,"✖ كود الصف غير موجود",IF(ISNA(MATCH($F2088,Lists!$A$2:$A$5,0)),"✖ الفترة غير صحيحة",IF(ISNA(MATCH($G2088,Lists!$B$2:$B$7,0)),"✖ المجموعة غير صحيحة",IF(NOT(OR($H2088="",$N2088&gt;0)),"✖ Start غير صحيح",IF(NOT(OR($I2088="",$I2088="NR",$O2088&gt;0)),"✖ Current غير صحيح",IF(NOT(IF(ISNUMBER($J2088),AND($J2088&gt;=0,$J2088=INT($J2088)),FALSE())),"✖ العدد يجب أن يكون صحيحًا ≥ 0",IF(AND($F2088="Baseline",$H2088&lt;&gt;""),"⚠ Baseline: Start لا يدخل في التقدم",IF($K2088="No Start (attainment only)","ℹ تحصيل فقط (بدون Start)",IF($K2088="U – needs rule","ℹ حالة U تحتاج قاعدة معتمدة",IF($K2088="No result","ℹ بدون نتيجة (يُستبعد من التحصيل)","OK")))))))))))</f>
        <v/>
      </c>
      <c r="M2088" s="64" t="n">
        <f aca="false">IF($A2088="",0,IFERROR(MATCH($A2088,Classes!$A$6:$A$420,0),0))</f>
        <v>0</v>
      </c>
      <c r="N2088" s="64" t="n">
        <f aca="false">IF($H2088="",0,IFERROR(MATCH($H2088,GradeList,0),0))</f>
        <v>0</v>
      </c>
      <c r="O2088" s="64" t="n">
        <f aca="false">IF(OR($I2088="",$I2088="NR"),0,IFERROR(MATCH($I2088,GradeList,0),0))</f>
        <v>0</v>
      </c>
      <c r="P2088" s="64" t="n">
        <f aca="false">IF(AND($M2088&gt;0,ISNUMBER(MATCH($F2088,Lists!$A$2:$A$5,0)),ISNUMBER(MATCH($G2088,Lists!$B$2:$B$7,0)),OR($H2088="",$N2088&gt;0),OR($I2088="",$I2088="NR",$O2088&gt;0),IF(ISNUMBER($J2088),AND($J2088&gt;=0,$J2088=INT($J2088)),FALSE())),$J2088,0)</f>
        <v>0</v>
      </c>
      <c r="Q2088" s="64" t="n">
        <f aca="false">IF(AND($P2088&gt;0,$O2088&gt;0),$P2088,0)</f>
        <v>0</v>
      </c>
      <c r="R2088" s="64" t="n">
        <f aca="false">IF(AND($Q2088&gt;0,$O2088&gt;=AtRank),$Q2088,0)</f>
        <v>0</v>
      </c>
      <c r="S2088" s="64" t="n">
        <f aca="false">IF(AND($Q2088&gt;0,$O2088&gt;=AboveRank),$Q2088,0)</f>
        <v>0</v>
      </c>
      <c r="T2088" s="64" t="n">
        <f aca="false">IF($K2088="Less",$P2088,0)</f>
        <v>0</v>
      </c>
      <c r="U2088" s="64" t="n">
        <f aca="false">IF($K2088="Expected",$P2088,0)</f>
        <v>0</v>
      </c>
      <c r="V2088" s="64" t="n">
        <f aca="false">IF($K2088="Better",$P2088,0)</f>
        <v>0</v>
      </c>
      <c r="W2088" s="64" t="n">
        <f aca="false">IF($K2088="U – needs rule",$P2088,0)</f>
        <v>0</v>
      </c>
      <c r="X2088" s="64" t="n">
        <f aca="false">IF($K2088="No Start (attainment only)",$P2088,0)</f>
        <v>0</v>
      </c>
    </row>
    <row r="2089" customFormat="false" ht="15" hidden="false" customHeight="false" outlineLevel="0" collapsed="false">
      <c r="A2089" s="60"/>
      <c r="B2089" s="61" t="str">
        <f aca="false">IF($M2089=0,"",INDEX(Classes!$E$6:$E$420,$M2089))</f>
        <v/>
      </c>
      <c r="C2089" s="62" t="str">
        <f aca="false">IF($M2089=0,"",INDEX(Classes!$H$6:$H$420,$M2089))</f>
        <v/>
      </c>
      <c r="D2089" s="61" t="str">
        <f aca="false">IF($M2089=0,"",INDEX(Classes!$B$6:$B$420,$M2089))</f>
        <v/>
      </c>
      <c r="E2089" s="61" t="str">
        <f aca="false">IF($M2089=0,"",INDEX(Classes!$C$6:$C$420,$M2089))</f>
        <v/>
      </c>
      <c r="F2089" s="63"/>
      <c r="G2089" s="63"/>
      <c r="H2089" s="60"/>
      <c r="I2089" s="60"/>
      <c r="J2089" s="63"/>
      <c r="K2089" s="61" t="str">
        <f aca="false">IF($P2089=0,"",IF($F2089="Baseline","— Baseline",IF($O2089=0,"No result",IF($N2089=0,"No Start (attainment only)",IF(OR($N2089=1,$O2089=1),"U – needs rule",INDEX(MxBody,MATCH($I2089,MxCurr,0),MATCH($H2089,MxStart,0)))))))</f>
        <v/>
      </c>
      <c r="L2089" s="62" t="str">
        <f aca="false">IF(COUNTA($A2089,$F2089,$G2089,$H2089,$I2089,$J2089)=0,"",IF($M2089=0,"✖ كود الصف غير موجود",IF(ISNA(MATCH($F2089,Lists!$A$2:$A$5,0)),"✖ الفترة غير صحيحة",IF(ISNA(MATCH($G2089,Lists!$B$2:$B$7,0)),"✖ المجموعة غير صحيحة",IF(NOT(OR($H2089="",$N2089&gt;0)),"✖ Start غير صحيح",IF(NOT(OR($I2089="",$I2089="NR",$O2089&gt;0)),"✖ Current غير صحيح",IF(NOT(IF(ISNUMBER($J2089),AND($J2089&gt;=0,$J2089=INT($J2089)),FALSE())),"✖ العدد يجب أن يكون صحيحًا ≥ 0",IF(AND($F2089="Baseline",$H2089&lt;&gt;""),"⚠ Baseline: Start لا يدخل في التقدم",IF($K2089="No Start (attainment only)","ℹ تحصيل فقط (بدون Start)",IF($K2089="U – needs rule","ℹ حالة U تحتاج قاعدة معتمدة",IF($K2089="No result","ℹ بدون نتيجة (يُستبعد من التحصيل)","OK")))))))))))</f>
        <v/>
      </c>
      <c r="M2089" s="64" t="n">
        <f aca="false">IF($A2089="",0,IFERROR(MATCH($A2089,Classes!$A$6:$A$420,0),0))</f>
        <v>0</v>
      </c>
      <c r="N2089" s="64" t="n">
        <f aca="false">IF($H2089="",0,IFERROR(MATCH($H2089,GradeList,0),0))</f>
        <v>0</v>
      </c>
      <c r="O2089" s="64" t="n">
        <f aca="false">IF(OR($I2089="",$I2089="NR"),0,IFERROR(MATCH($I2089,GradeList,0),0))</f>
        <v>0</v>
      </c>
      <c r="P2089" s="64" t="n">
        <f aca="false">IF(AND($M2089&gt;0,ISNUMBER(MATCH($F2089,Lists!$A$2:$A$5,0)),ISNUMBER(MATCH($G2089,Lists!$B$2:$B$7,0)),OR($H2089="",$N2089&gt;0),OR($I2089="",$I2089="NR",$O2089&gt;0),IF(ISNUMBER($J2089),AND($J2089&gt;=0,$J2089=INT($J2089)),FALSE())),$J2089,0)</f>
        <v>0</v>
      </c>
      <c r="Q2089" s="64" t="n">
        <f aca="false">IF(AND($P2089&gt;0,$O2089&gt;0),$P2089,0)</f>
        <v>0</v>
      </c>
      <c r="R2089" s="64" t="n">
        <f aca="false">IF(AND($Q2089&gt;0,$O2089&gt;=AtRank),$Q2089,0)</f>
        <v>0</v>
      </c>
      <c r="S2089" s="64" t="n">
        <f aca="false">IF(AND($Q2089&gt;0,$O2089&gt;=AboveRank),$Q2089,0)</f>
        <v>0</v>
      </c>
      <c r="T2089" s="64" t="n">
        <f aca="false">IF($K2089="Less",$P2089,0)</f>
        <v>0</v>
      </c>
      <c r="U2089" s="64" t="n">
        <f aca="false">IF($K2089="Expected",$P2089,0)</f>
        <v>0</v>
      </c>
      <c r="V2089" s="64" t="n">
        <f aca="false">IF($K2089="Better",$P2089,0)</f>
        <v>0</v>
      </c>
      <c r="W2089" s="64" t="n">
        <f aca="false">IF($K2089="U – needs rule",$P2089,0)</f>
        <v>0</v>
      </c>
      <c r="X2089" s="64" t="n">
        <f aca="false">IF($K2089="No Start (attainment only)",$P2089,0)</f>
        <v>0</v>
      </c>
    </row>
    <row r="2090" customFormat="false" ht="15" hidden="false" customHeight="false" outlineLevel="0" collapsed="false">
      <c r="A2090" s="60"/>
      <c r="B2090" s="61" t="str">
        <f aca="false">IF($M2090=0,"",INDEX(Classes!$E$6:$E$420,$M2090))</f>
        <v/>
      </c>
      <c r="C2090" s="62" t="str">
        <f aca="false">IF($M2090=0,"",INDEX(Classes!$H$6:$H$420,$M2090))</f>
        <v/>
      </c>
      <c r="D2090" s="61" t="str">
        <f aca="false">IF($M2090=0,"",INDEX(Classes!$B$6:$B$420,$M2090))</f>
        <v/>
      </c>
      <c r="E2090" s="61" t="str">
        <f aca="false">IF($M2090=0,"",INDEX(Classes!$C$6:$C$420,$M2090))</f>
        <v/>
      </c>
      <c r="F2090" s="63"/>
      <c r="G2090" s="63"/>
      <c r="H2090" s="60"/>
      <c r="I2090" s="60"/>
      <c r="J2090" s="63"/>
      <c r="K2090" s="61" t="str">
        <f aca="false">IF($P2090=0,"",IF($F2090="Baseline","— Baseline",IF($O2090=0,"No result",IF($N2090=0,"No Start (attainment only)",IF(OR($N2090=1,$O2090=1),"U – needs rule",INDEX(MxBody,MATCH($I2090,MxCurr,0),MATCH($H2090,MxStart,0)))))))</f>
        <v/>
      </c>
      <c r="L2090" s="62" t="str">
        <f aca="false">IF(COUNTA($A2090,$F2090,$G2090,$H2090,$I2090,$J2090)=0,"",IF($M2090=0,"✖ كود الصف غير موجود",IF(ISNA(MATCH($F2090,Lists!$A$2:$A$5,0)),"✖ الفترة غير صحيحة",IF(ISNA(MATCH($G2090,Lists!$B$2:$B$7,0)),"✖ المجموعة غير صحيحة",IF(NOT(OR($H2090="",$N2090&gt;0)),"✖ Start غير صحيح",IF(NOT(OR($I2090="",$I2090="NR",$O2090&gt;0)),"✖ Current غير صحيح",IF(NOT(IF(ISNUMBER($J2090),AND($J2090&gt;=0,$J2090=INT($J2090)),FALSE())),"✖ العدد يجب أن يكون صحيحًا ≥ 0",IF(AND($F2090="Baseline",$H2090&lt;&gt;""),"⚠ Baseline: Start لا يدخل في التقدم",IF($K2090="No Start (attainment only)","ℹ تحصيل فقط (بدون Start)",IF($K2090="U – needs rule","ℹ حالة U تحتاج قاعدة معتمدة",IF($K2090="No result","ℹ بدون نتيجة (يُستبعد من التحصيل)","OK")))))))))))</f>
        <v/>
      </c>
      <c r="M2090" s="64" t="n">
        <f aca="false">IF($A2090="",0,IFERROR(MATCH($A2090,Classes!$A$6:$A$420,0),0))</f>
        <v>0</v>
      </c>
      <c r="N2090" s="64" t="n">
        <f aca="false">IF($H2090="",0,IFERROR(MATCH($H2090,GradeList,0),0))</f>
        <v>0</v>
      </c>
      <c r="O2090" s="64" t="n">
        <f aca="false">IF(OR($I2090="",$I2090="NR"),0,IFERROR(MATCH($I2090,GradeList,0),0))</f>
        <v>0</v>
      </c>
      <c r="P2090" s="64" t="n">
        <f aca="false">IF(AND($M2090&gt;0,ISNUMBER(MATCH($F2090,Lists!$A$2:$A$5,0)),ISNUMBER(MATCH($G2090,Lists!$B$2:$B$7,0)),OR($H2090="",$N2090&gt;0),OR($I2090="",$I2090="NR",$O2090&gt;0),IF(ISNUMBER($J2090),AND($J2090&gt;=0,$J2090=INT($J2090)),FALSE())),$J2090,0)</f>
        <v>0</v>
      </c>
      <c r="Q2090" s="64" t="n">
        <f aca="false">IF(AND($P2090&gt;0,$O2090&gt;0),$P2090,0)</f>
        <v>0</v>
      </c>
      <c r="R2090" s="64" t="n">
        <f aca="false">IF(AND($Q2090&gt;0,$O2090&gt;=AtRank),$Q2090,0)</f>
        <v>0</v>
      </c>
      <c r="S2090" s="64" t="n">
        <f aca="false">IF(AND($Q2090&gt;0,$O2090&gt;=AboveRank),$Q2090,0)</f>
        <v>0</v>
      </c>
      <c r="T2090" s="64" t="n">
        <f aca="false">IF($K2090="Less",$P2090,0)</f>
        <v>0</v>
      </c>
      <c r="U2090" s="64" t="n">
        <f aca="false">IF($K2090="Expected",$P2090,0)</f>
        <v>0</v>
      </c>
      <c r="V2090" s="64" t="n">
        <f aca="false">IF($K2090="Better",$P2090,0)</f>
        <v>0</v>
      </c>
      <c r="W2090" s="64" t="n">
        <f aca="false">IF($K2090="U – needs rule",$P2090,0)</f>
        <v>0</v>
      </c>
      <c r="X2090" s="64" t="n">
        <f aca="false">IF($K2090="No Start (attainment only)",$P2090,0)</f>
        <v>0</v>
      </c>
    </row>
    <row r="2091" customFormat="false" ht="15" hidden="false" customHeight="false" outlineLevel="0" collapsed="false">
      <c r="A2091" s="60"/>
      <c r="B2091" s="61" t="str">
        <f aca="false">IF($M2091=0,"",INDEX(Classes!$E$6:$E$420,$M2091))</f>
        <v/>
      </c>
      <c r="C2091" s="62" t="str">
        <f aca="false">IF($M2091=0,"",INDEX(Classes!$H$6:$H$420,$M2091))</f>
        <v/>
      </c>
      <c r="D2091" s="61" t="str">
        <f aca="false">IF($M2091=0,"",INDEX(Classes!$B$6:$B$420,$M2091))</f>
        <v/>
      </c>
      <c r="E2091" s="61" t="str">
        <f aca="false">IF($M2091=0,"",INDEX(Classes!$C$6:$C$420,$M2091))</f>
        <v/>
      </c>
      <c r="F2091" s="63"/>
      <c r="G2091" s="63"/>
      <c r="H2091" s="60"/>
      <c r="I2091" s="60"/>
      <c r="J2091" s="63"/>
      <c r="K2091" s="61" t="str">
        <f aca="false">IF($P2091=0,"",IF($F2091="Baseline","— Baseline",IF($O2091=0,"No result",IF($N2091=0,"No Start (attainment only)",IF(OR($N2091=1,$O2091=1),"U – needs rule",INDEX(MxBody,MATCH($I2091,MxCurr,0),MATCH($H2091,MxStart,0)))))))</f>
        <v/>
      </c>
      <c r="L2091" s="62" t="str">
        <f aca="false">IF(COUNTA($A2091,$F2091,$G2091,$H2091,$I2091,$J2091)=0,"",IF($M2091=0,"✖ كود الصف غير موجود",IF(ISNA(MATCH($F2091,Lists!$A$2:$A$5,0)),"✖ الفترة غير صحيحة",IF(ISNA(MATCH($G2091,Lists!$B$2:$B$7,0)),"✖ المجموعة غير صحيحة",IF(NOT(OR($H2091="",$N2091&gt;0)),"✖ Start غير صحيح",IF(NOT(OR($I2091="",$I2091="NR",$O2091&gt;0)),"✖ Current غير صحيح",IF(NOT(IF(ISNUMBER($J2091),AND($J2091&gt;=0,$J2091=INT($J2091)),FALSE())),"✖ العدد يجب أن يكون صحيحًا ≥ 0",IF(AND($F2091="Baseline",$H2091&lt;&gt;""),"⚠ Baseline: Start لا يدخل في التقدم",IF($K2091="No Start (attainment only)","ℹ تحصيل فقط (بدون Start)",IF($K2091="U – needs rule","ℹ حالة U تحتاج قاعدة معتمدة",IF($K2091="No result","ℹ بدون نتيجة (يُستبعد من التحصيل)","OK")))))))))))</f>
        <v/>
      </c>
      <c r="M2091" s="64" t="n">
        <f aca="false">IF($A2091="",0,IFERROR(MATCH($A2091,Classes!$A$6:$A$420,0),0))</f>
        <v>0</v>
      </c>
      <c r="N2091" s="64" t="n">
        <f aca="false">IF($H2091="",0,IFERROR(MATCH($H2091,GradeList,0),0))</f>
        <v>0</v>
      </c>
      <c r="O2091" s="64" t="n">
        <f aca="false">IF(OR($I2091="",$I2091="NR"),0,IFERROR(MATCH($I2091,GradeList,0),0))</f>
        <v>0</v>
      </c>
      <c r="P2091" s="64" t="n">
        <f aca="false">IF(AND($M2091&gt;0,ISNUMBER(MATCH($F2091,Lists!$A$2:$A$5,0)),ISNUMBER(MATCH($G2091,Lists!$B$2:$B$7,0)),OR($H2091="",$N2091&gt;0),OR($I2091="",$I2091="NR",$O2091&gt;0),IF(ISNUMBER($J2091),AND($J2091&gt;=0,$J2091=INT($J2091)),FALSE())),$J2091,0)</f>
        <v>0</v>
      </c>
      <c r="Q2091" s="64" t="n">
        <f aca="false">IF(AND($P2091&gt;0,$O2091&gt;0),$P2091,0)</f>
        <v>0</v>
      </c>
      <c r="R2091" s="64" t="n">
        <f aca="false">IF(AND($Q2091&gt;0,$O2091&gt;=AtRank),$Q2091,0)</f>
        <v>0</v>
      </c>
      <c r="S2091" s="64" t="n">
        <f aca="false">IF(AND($Q2091&gt;0,$O2091&gt;=AboveRank),$Q2091,0)</f>
        <v>0</v>
      </c>
      <c r="T2091" s="64" t="n">
        <f aca="false">IF($K2091="Less",$P2091,0)</f>
        <v>0</v>
      </c>
      <c r="U2091" s="64" t="n">
        <f aca="false">IF($K2091="Expected",$P2091,0)</f>
        <v>0</v>
      </c>
      <c r="V2091" s="64" t="n">
        <f aca="false">IF($K2091="Better",$P2091,0)</f>
        <v>0</v>
      </c>
      <c r="W2091" s="64" t="n">
        <f aca="false">IF($K2091="U – needs rule",$P2091,0)</f>
        <v>0</v>
      </c>
      <c r="X2091" s="64" t="n">
        <f aca="false">IF($K2091="No Start (attainment only)",$P2091,0)</f>
        <v>0</v>
      </c>
    </row>
    <row r="2092" customFormat="false" ht="15" hidden="false" customHeight="false" outlineLevel="0" collapsed="false">
      <c r="A2092" s="60"/>
      <c r="B2092" s="61" t="str">
        <f aca="false">IF($M2092=0,"",INDEX(Classes!$E$6:$E$420,$M2092))</f>
        <v/>
      </c>
      <c r="C2092" s="62" t="str">
        <f aca="false">IF($M2092=0,"",INDEX(Classes!$H$6:$H$420,$M2092))</f>
        <v/>
      </c>
      <c r="D2092" s="61" t="str">
        <f aca="false">IF($M2092=0,"",INDEX(Classes!$B$6:$B$420,$M2092))</f>
        <v/>
      </c>
      <c r="E2092" s="61" t="str">
        <f aca="false">IF($M2092=0,"",INDEX(Classes!$C$6:$C$420,$M2092))</f>
        <v/>
      </c>
      <c r="F2092" s="63"/>
      <c r="G2092" s="63"/>
      <c r="H2092" s="60"/>
      <c r="I2092" s="60"/>
      <c r="J2092" s="63"/>
      <c r="K2092" s="61" t="str">
        <f aca="false">IF($P2092=0,"",IF($F2092="Baseline","— Baseline",IF($O2092=0,"No result",IF($N2092=0,"No Start (attainment only)",IF(OR($N2092=1,$O2092=1),"U – needs rule",INDEX(MxBody,MATCH($I2092,MxCurr,0),MATCH($H2092,MxStart,0)))))))</f>
        <v/>
      </c>
      <c r="L2092" s="62" t="str">
        <f aca="false">IF(COUNTA($A2092,$F2092,$G2092,$H2092,$I2092,$J2092)=0,"",IF($M2092=0,"✖ كود الصف غير موجود",IF(ISNA(MATCH($F2092,Lists!$A$2:$A$5,0)),"✖ الفترة غير صحيحة",IF(ISNA(MATCH($G2092,Lists!$B$2:$B$7,0)),"✖ المجموعة غير صحيحة",IF(NOT(OR($H2092="",$N2092&gt;0)),"✖ Start غير صحيح",IF(NOT(OR($I2092="",$I2092="NR",$O2092&gt;0)),"✖ Current غير صحيح",IF(NOT(IF(ISNUMBER($J2092),AND($J2092&gt;=0,$J2092=INT($J2092)),FALSE())),"✖ العدد يجب أن يكون صحيحًا ≥ 0",IF(AND($F2092="Baseline",$H2092&lt;&gt;""),"⚠ Baseline: Start لا يدخل في التقدم",IF($K2092="No Start (attainment only)","ℹ تحصيل فقط (بدون Start)",IF($K2092="U – needs rule","ℹ حالة U تحتاج قاعدة معتمدة",IF($K2092="No result","ℹ بدون نتيجة (يُستبعد من التحصيل)","OK")))))))))))</f>
        <v/>
      </c>
      <c r="M2092" s="64" t="n">
        <f aca="false">IF($A2092="",0,IFERROR(MATCH($A2092,Classes!$A$6:$A$420,0),0))</f>
        <v>0</v>
      </c>
      <c r="N2092" s="64" t="n">
        <f aca="false">IF($H2092="",0,IFERROR(MATCH($H2092,GradeList,0),0))</f>
        <v>0</v>
      </c>
      <c r="O2092" s="64" t="n">
        <f aca="false">IF(OR($I2092="",$I2092="NR"),0,IFERROR(MATCH($I2092,GradeList,0),0))</f>
        <v>0</v>
      </c>
      <c r="P2092" s="64" t="n">
        <f aca="false">IF(AND($M2092&gt;0,ISNUMBER(MATCH($F2092,Lists!$A$2:$A$5,0)),ISNUMBER(MATCH($G2092,Lists!$B$2:$B$7,0)),OR($H2092="",$N2092&gt;0),OR($I2092="",$I2092="NR",$O2092&gt;0),IF(ISNUMBER($J2092),AND($J2092&gt;=0,$J2092=INT($J2092)),FALSE())),$J2092,0)</f>
        <v>0</v>
      </c>
      <c r="Q2092" s="64" t="n">
        <f aca="false">IF(AND($P2092&gt;0,$O2092&gt;0),$P2092,0)</f>
        <v>0</v>
      </c>
      <c r="R2092" s="64" t="n">
        <f aca="false">IF(AND($Q2092&gt;0,$O2092&gt;=AtRank),$Q2092,0)</f>
        <v>0</v>
      </c>
      <c r="S2092" s="64" t="n">
        <f aca="false">IF(AND($Q2092&gt;0,$O2092&gt;=AboveRank),$Q2092,0)</f>
        <v>0</v>
      </c>
      <c r="T2092" s="64" t="n">
        <f aca="false">IF($K2092="Less",$P2092,0)</f>
        <v>0</v>
      </c>
      <c r="U2092" s="64" t="n">
        <f aca="false">IF($K2092="Expected",$P2092,0)</f>
        <v>0</v>
      </c>
      <c r="V2092" s="64" t="n">
        <f aca="false">IF($K2092="Better",$P2092,0)</f>
        <v>0</v>
      </c>
      <c r="W2092" s="64" t="n">
        <f aca="false">IF($K2092="U – needs rule",$P2092,0)</f>
        <v>0</v>
      </c>
      <c r="X2092" s="64" t="n">
        <f aca="false">IF($K2092="No Start (attainment only)",$P2092,0)</f>
        <v>0</v>
      </c>
    </row>
    <row r="2093" customFormat="false" ht="15" hidden="false" customHeight="false" outlineLevel="0" collapsed="false">
      <c r="A2093" s="60"/>
      <c r="B2093" s="61" t="str">
        <f aca="false">IF($M2093=0,"",INDEX(Classes!$E$6:$E$420,$M2093))</f>
        <v/>
      </c>
      <c r="C2093" s="62" t="str">
        <f aca="false">IF($M2093=0,"",INDEX(Classes!$H$6:$H$420,$M2093))</f>
        <v/>
      </c>
      <c r="D2093" s="61" t="str">
        <f aca="false">IF($M2093=0,"",INDEX(Classes!$B$6:$B$420,$M2093))</f>
        <v/>
      </c>
      <c r="E2093" s="61" t="str">
        <f aca="false">IF($M2093=0,"",INDEX(Classes!$C$6:$C$420,$M2093))</f>
        <v/>
      </c>
      <c r="F2093" s="63"/>
      <c r="G2093" s="63"/>
      <c r="H2093" s="60"/>
      <c r="I2093" s="60"/>
      <c r="J2093" s="63"/>
      <c r="K2093" s="61" t="str">
        <f aca="false">IF($P2093=0,"",IF($F2093="Baseline","— Baseline",IF($O2093=0,"No result",IF($N2093=0,"No Start (attainment only)",IF(OR($N2093=1,$O2093=1),"U – needs rule",INDEX(MxBody,MATCH($I2093,MxCurr,0),MATCH($H2093,MxStart,0)))))))</f>
        <v/>
      </c>
      <c r="L2093" s="62" t="str">
        <f aca="false">IF(COUNTA($A2093,$F2093,$G2093,$H2093,$I2093,$J2093)=0,"",IF($M2093=0,"✖ كود الصف غير موجود",IF(ISNA(MATCH($F2093,Lists!$A$2:$A$5,0)),"✖ الفترة غير صحيحة",IF(ISNA(MATCH($G2093,Lists!$B$2:$B$7,0)),"✖ المجموعة غير صحيحة",IF(NOT(OR($H2093="",$N2093&gt;0)),"✖ Start غير صحيح",IF(NOT(OR($I2093="",$I2093="NR",$O2093&gt;0)),"✖ Current غير صحيح",IF(NOT(IF(ISNUMBER($J2093),AND($J2093&gt;=0,$J2093=INT($J2093)),FALSE())),"✖ العدد يجب أن يكون صحيحًا ≥ 0",IF(AND($F2093="Baseline",$H2093&lt;&gt;""),"⚠ Baseline: Start لا يدخل في التقدم",IF($K2093="No Start (attainment only)","ℹ تحصيل فقط (بدون Start)",IF($K2093="U – needs rule","ℹ حالة U تحتاج قاعدة معتمدة",IF($K2093="No result","ℹ بدون نتيجة (يُستبعد من التحصيل)","OK")))))))))))</f>
        <v/>
      </c>
      <c r="M2093" s="64" t="n">
        <f aca="false">IF($A2093="",0,IFERROR(MATCH($A2093,Classes!$A$6:$A$420,0),0))</f>
        <v>0</v>
      </c>
      <c r="N2093" s="64" t="n">
        <f aca="false">IF($H2093="",0,IFERROR(MATCH($H2093,GradeList,0),0))</f>
        <v>0</v>
      </c>
      <c r="O2093" s="64" t="n">
        <f aca="false">IF(OR($I2093="",$I2093="NR"),0,IFERROR(MATCH($I2093,GradeList,0),0))</f>
        <v>0</v>
      </c>
      <c r="P2093" s="64" t="n">
        <f aca="false">IF(AND($M2093&gt;0,ISNUMBER(MATCH($F2093,Lists!$A$2:$A$5,0)),ISNUMBER(MATCH($G2093,Lists!$B$2:$B$7,0)),OR($H2093="",$N2093&gt;0),OR($I2093="",$I2093="NR",$O2093&gt;0),IF(ISNUMBER($J2093),AND($J2093&gt;=0,$J2093=INT($J2093)),FALSE())),$J2093,0)</f>
        <v>0</v>
      </c>
      <c r="Q2093" s="64" t="n">
        <f aca="false">IF(AND($P2093&gt;0,$O2093&gt;0),$P2093,0)</f>
        <v>0</v>
      </c>
      <c r="R2093" s="64" t="n">
        <f aca="false">IF(AND($Q2093&gt;0,$O2093&gt;=AtRank),$Q2093,0)</f>
        <v>0</v>
      </c>
      <c r="S2093" s="64" t="n">
        <f aca="false">IF(AND($Q2093&gt;0,$O2093&gt;=AboveRank),$Q2093,0)</f>
        <v>0</v>
      </c>
      <c r="T2093" s="64" t="n">
        <f aca="false">IF($K2093="Less",$P2093,0)</f>
        <v>0</v>
      </c>
      <c r="U2093" s="64" t="n">
        <f aca="false">IF($K2093="Expected",$P2093,0)</f>
        <v>0</v>
      </c>
      <c r="V2093" s="64" t="n">
        <f aca="false">IF($K2093="Better",$P2093,0)</f>
        <v>0</v>
      </c>
      <c r="W2093" s="64" t="n">
        <f aca="false">IF($K2093="U – needs rule",$P2093,0)</f>
        <v>0</v>
      </c>
      <c r="X2093" s="64" t="n">
        <f aca="false">IF($K2093="No Start (attainment only)",$P2093,0)</f>
        <v>0</v>
      </c>
    </row>
    <row r="2094" customFormat="false" ht="15" hidden="false" customHeight="false" outlineLevel="0" collapsed="false">
      <c r="A2094" s="60"/>
      <c r="B2094" s="61" t="str">
        <f aca="false">IF($M2094=0,"",INDEX(Classes!$E$6:$E$420,$M2094))</f>
        <v/>
      </c>
      <c r="C2094" s="62" t="str">
        <f aca="false">IF($M2094=0,"",INDEX(Classes!$H$6:$H$420,$M2094))</f>
        <v/>
      </c>
      <c r="D2094" s="61" t="str">
        <f aca="false">IF($M2094=0,"",INDEX(Classes!$B$6:$B$420,$M2094))</f>
        <v/>
      </c>
      <c r="E2094" s="61" t="str">
        <f aca="false">IF($M2094=0,"",INDEX(Classes!$C$6:$C$420,$M2094))</f>
        <v/>
      </c>
      <c r="F2094" s="63"/>
      <c r="G2094" s="63"/>
      <c r="H2094" s="60"/>
      <c r="I2094" s="60"/>
      <c r="J2094" s="63"/>
      <c r="K2094" s="61" t="str">
        <f aca="false">IF($P2094=0,"",IF($F2094="Baseline","— Baseline",IF($O2094=0,"No result",IF($N2094=0,"No Start (attainment only)",IF(OR($N2094=1,$O2094=1),"U – needs rule",INDEX(MxBody,MATCH($I2094,MxCurr,0),MATCH($H2094,MxStart,0)))))))</f>
        <v/>
      </c>
      <c r="L2094" s="62" t="str">
        <f aca="false">IF(COUNTA($A2094,$F2094,$G2094,$H2094,$I2094,$J2094)=0,"",IF($M2094=0,"✖ كود الصف غير موجود",IF(ISNA(MATCH($F2094,Lists!$A$2:$A$5,0)),"✖ الفترة غير صحيحة",IF(ISNA(MATCH($G2094,Lists!$B$2:$B$7,0)),"✖ المجموعة غير صحيحة",IF(NOT(OR($H2094="",$N2094&gt;0)),"✖ Start غير صحيح",IF(NOT(OR($I2094="",$I2094="NR",$O2094&gt;0)),"✖ Current غير صحيح",IF(NOT(IF(ISNUMBER($J2094),AND($J2094&gt;=0,$J2094=INT($J2094)),FALSE())),"✖ العدد يجب أن يكون صحيحًا ≥ 0",IF(AND($F2094="Baseline",$H2094&lt;&gt;""),"⚠ Baseline: Start لا يدخل في التقدم",IF($K2094="No Start (attainment only)","ℹ تحصيل فقط (بدون Start)",IF($K2094="U – needs rule","ℹ حالة U تحتاج قاعدة معتمدة",IF($K2094="No result","ℹ بدون نتيجة (يُستبعد من التحصيل)","OK")))))))))))</f>
        <v/>
      </c>
      <c r="M2094" s="64" t="n">
        <f aca="false">IF($A2094="",0,IFERROR(MATCH($A2094,Classes!$A$6:$A$420,0),0))</f>
        <v>0</v>
      </c>
      <c r="N2094" s="64" t="n">
        <f aca="false">IF($H2094="",0,IFERROR(MATCH($H2094,GradeList,0),0))</f>
        <v>0</v>
      </c>
      <c r="O2094" s="64" t="n">
        <f aca="false">IF(OR($I2094="",$I2094="NR"),0,IFERROR(MATCH($I2094,GradeList,0),0))</f>
        <v>0</v>
      </c>
      <c r="P2094" s="64" t="n">
        <f aca="false">IF(AND($M2094&gt;0,ISNUMBER(MATCH($F2094,Lists!$A$2:$A$5,0)),ISNUMBER(MATCH($G2094,Lists!$B$2:$B$7,0)),OR($H2094="",$N2094&gt;0),OR($I2094="",$I2094="NR",$O2094&gt;0),IF(ISNUMBER($J2094),AND($J2094&gt;=0,$J2094=INT($J2094)),FALSE())),$J2094,0)</f>
        <v>0</v>
      </c>
      <c r="Q2094" s="64" t="n">
        <f aca="false">IF(AND($P2094&gt;0,$O2094&gt;0),$P2094,0)</f>
        <v>0</v>
      </c>
      <c r="R2094" s="64" t="n">
        <f aca="false">IF(AND($Q2094&gt;0,$O2094&gt;=AtRank),$Q2094,0)</f>
        <v>0</v>
      </c>
      <c r="S2094" s="64" t="n">
        <f aca="false">IF(AND($Q2094&gt;0,$O2094&gt;=AboveRank),$Q2094,0)</f>
        <v>0</v>
      </c>
      <c r="T2094" s="64" t="n">
        <f aca="false">IF($K2094="Less",$P2094,0)</f>
        <v>0</v>
      </c>
      <c r="U2094" s="64" t="n">
        <f aca="false">IF($K2094="Expected",$P2094,0)</f>
        <v>0</v>
      </c>
      <c r="V2094" s="64" t="n">
        <f aca="false">IF($K2094="Better",$P2094,0)</f>
        <v>0</v>
      </c>
      <c r="W2094" s="64" t="n">
        <f aca="false">IF($K2094="U – needs rule",$P2094,0)</f>
        <v>0</v>
      </c>
      <c r="X2094" s="64" t="n">
        <f aca="false">IF($K2094="No Start (attainment only)",$P2094,0)</f>
        <v>0</v>
      </c>
    </row>
    <row r="2095" customFormat="false" ht="15" hidden="false" customHeight="false" outlineLevel="0" collapsed="false">
      <c r="A2095" s="60"/>
      <c r="B2095" s="61" t="str">
        <f aca="false">IF($M2095=0,"",INDEX(Classes!$E$6:$E$420,$M2095))</f>
        <v/>
      </c>
      <c r="C2095" s="62" t="str">
        <f aca="false">IF($M2095=0,"",INDEX(Classes!$H$6:$H$420,$M2095))</f>
        <v/>
      </c>
      <c r="D2095" s="61" t="str">
        <f aca="false">IF($M2095=0,"",INDEX(Classes!$B$6:$B$420,$M2095))</f>
        <v/>
      </c>
      <c r="E2095" s="61" t="str">
        <f aca="false">IF($M2095=0,"",INDEX(Classes!$C$6:$C$420,$M2095))</f>
        <v/>
      </c>
      <c r="F2095" s="63"/>
      <c r="G2095" s="63"/>
      <c r="H2095" s="60"/>
      <c r="I2095" s="60"/>
      <c r="J2095" s="63"/>
      <c r="K2095" s="61" t="str">
        <f aca="false">IF($P2095=0,"",IF($F2095="Baseline","— Baseline",IF($O2095=0,"No result",IF($N2095=0,"No Start (attainment only)",IF(OR($N2095=1,$O2095=1),"U – needs rule",INDEX(MxBody,MATCH($I2095,MxCurr,0),MATCH($H2095,MxStart,0)))))))</f>
        <v/>
      </c>
      <c r="L2095" s="62" t="str">
        <f aca="false">IF(COUNTA($A2095,$F2095,$G2095,$H2095,$I2095,$J2095)=0,"",IF($M2095=0,"✖ كود الصف غير موجود",IF(ISNA(MATCH($F2095,Lists!$A$2:$A$5,0)),"✖ الفترة غير صحيحة",IF(ISNA(MATCH($G2095,Lists!$B$2:$B$7,0)),"✖ المجموعة غير صحيحة",IF(NOT(OR($H2095="",$N2095&gt;0)),"✖ Start غير صحيح",IF(NOT(OR($I2095="",$I2095="NR",$O2095&gt;0)),"✖ Current غير صحيح",IF(NOT(IF(ISNUMBER($J2095),AND($J2095&gt;=0,$J2095=INT($J2095)),FALSE())),"✖ العدد يجب أن يكون صحيحًا ≥ 0",IF(AND($F2095="Baseline",$H2095&lt;&gt;""),"⚠ Baseline: Start لا يدخل في التقدم",IF($K2095="No Start (attainment only)","ℹ تحصيل فقط (بدون Start)",IF($K2095="U – needs rule","ℹ حالة U تحتاج قاعدة معتمدة",IF($K2095="No result","ℹ بدون نتيجة (يُستبعد من التحصيل)","OK")))))))))))</f>
        <v/>
      </c>
      <c r="M2095" s="64" t="n">
        <f aca="false">IF($A2095="",0,IFERROR(MATCH($A2095,Classes!$A$6:$A$420,0),0))</f>
        <v>0</v>
      </c>
      <c r="N2095" s="64" t="n">
        <f aca="false">IF($H2095="",0,IFERROR(MATCH($H2095,GradeList,0),0))</f>
        <v>0</v>
      </c>
      <c r="O2095" s="64" t="n">
        <f aca="false">IF(OR($I2095="",$I2095="NR"),0,IFERROR(MATCH($I2095,GradeList,0),0))</f>
        <v>0</v>
      </c>
      <c r="P2095" s="64" t="n">
        <f aca="false">IF(AND($M2095&gt;0,ISNUMBER(MATCH($F2095,Lists!$A$2:$A$5,0)),ISNUMBER(MATCH($G2095,Lists!$B$2:$B$7,0)),OR($H2095="",$N2095&gt;0),OR($I2095="",$I2095="NR",$O2095&gt;0),IF(ISNUMBER($J2095),AND($J2095&gt;=0,$J2095=INT($J2095)),FALSE())),$J2095,0)</f>
        <v>0</v>
      </c>
      <c r="Q2095" s="64" t="n">
        <f aca="false">IF(AND($P2095&gt;0,$O2095&gt;0),$P2095,0)</f>
        <v>0</v>
      </c>
      <c r="R2095" s="64" t="n">
        <f aca="false">IF(AND($Q2095&gt;0,$O2095&gt;=AtRank),$Q2095,0)</f>
        <v>0</v>
      </c>
      <c r="S2095" s="64" t="n">
        <f aca="false">IF(AND($Q2095&gt;0,$O2095&gt;=AboveRank),$Q2095,0)</f>
        <v>0</v>
      </c>
      <c r="T2095" s="64" t="n">
        <f aca="false">IF($K2095="Less",$P2095,0)</f>
        <v>0</v>
      </c>
      <c r="U2095" s="64" t="n">
        <f aca="false">IF($K2095="Expected",$P2095,0)</f>
        <v>0</v>
      </c>
      <c r="V2095" s="64" t="n">
        <f aca="false">IF($K2095="Better",$P2095,0)</f>
        <v>0</v>
      </c>
      <c r="W2095" s="64" t="n">
        <f aca="false">IF($K2095="U – needs rule",$P2095,0)</f>
        <v>0</v>
      </c>
      <c r="X2095" s="64" t="n">
        <f aca="false">IF($K2095="No Start (attainment only)",$P2095,0)</f>
        <v>0</v>
      </c>
    </row>
    <row r="2096" customFormat="false" ht="15" hidden="false" customHeight="false" outlineLevel="0" collapsed="false">
      <c r="A2096" s="60"/>
      <c r="B2096" s="61" t="str">
        <f aca="false">IF($M2096=0,"",INDEX(Classes!$E$6:$E$420,$M2096))</f>
        <v/>
      </c>
      <c r="C2096" s="62" t="str">
        <f aca="false">IF($M2096=0,"",INDEX(Classes!$H$6:$H$420,$M2096))</f>
        <v/>
      </c>
      <c r="D2096" s="61" t="str">
        <f aca="false">IF($M2096=0,"",INDEX(Classes!$B$6:$B$420,$M2096))</f>
        <v/>
      </c>
      <c r="E2096" s="61" t="str">
        <f aca="false">IF($M2096=0,"",INDEX(Classes!$C$6:$C$420,$M2096))</f>
        <v/>
      </c>
      <c r="F2096" s="63"/>
      <c r="G2096" s="63"/>
      <c r="H2096" s="60"/>
      <c r="I2096" s="60"/>
      <c r="J2096" s="63"/>
      <c r="K2096" s="61" t="str">
        <f aca="false">IF($P2096=0,"",IF($F2096="Baseline","— Baseline",IF($O2096=0,"No result",IF($N2096=0,"No Start (attainment only)",IF(OR($N2096=1,$O2096=1),"U – needs rule",INDEX(MxBody,MATCH($I2096,MxCurr,0),MATCH($H2096,MxStart,0)))))))</f>
        <v/>
      </c>
      <c r="L2096" s="62" t="str">
        <f aca="false">IF(COUNTA($A2096,$F2096,$G2096,$H2096,$I2096,$J2096)=0,"",IF($M2096=0,"✖ كود الصف غير موجود",IF(ISNA(MATCH($F2096,Lists!$A$2:$A$5,0)),"✖ الفترة غير صحيحة",IF(ISNA(MATCH($G2096,Lists!$B$2:$B$7,0)),"✖ المجموعة غير صحيحة",IF(NOT(OR($H2096="",$N2096&gt;0)),"✖ Start غير صحيح",IF(NOT(OR($I2096="",$I2096="NR",$O2096&gt;0)),"✖ Current غير صحيح",IF(NOT(IF(ISNUMBER($J2096),AND($J2096&gt;=0,$J2096=INT($J2096)),FALSE())),"✖ العدد يجب أن يكون صحيحًا ≥ 0",IF(AND($F2096="Baseline",$H2096&lt;&gt;""),"⚠ Baseline: Start لا يدخل في التقدم",IF($K2096="No Start (attainment only)","ℹ تحصيل فقط (بدون Start)",IF($K2096="U – needs rule","ℹ حالة U تحتاج قاعدة معتمدة",IF($K2096="No result","ℹ بدون نتيجة (يُستبعد من التحصيل)","OK")))))))))))</f>
        <v/>
      </c>
      <c r="M2096" s="64" t="n">
        <f aca="false">IF($A2096="",0,IFERROR(MATCH($A2096,Classes!$A$6:$A$420,0),0))</f>
        <v>0</v>
      </c>
      <c r="N2096" s="64" t="n">
        <f aca="false">IF($H2096="",0,IFERROR(MATCH($H2096,GradeList,0),0))</f>
        <v>0</v>
      </c>
      <c r="O2096" s="64" t="n">
        <f aca="false">IF(OR($I2096="",$I2096="NR"),0,IFERROR(MATCH($I2096,GradeList,0),0))</f>
        <v>0</v>
      </c>
      <c r="P2096" s="64" t="n">
        <f aca="false">IF(AND($M2096&gt;0,ISNUMBER(MATCH($F2096,Lists!$A$2:$A$5,0)),ISNUMBER(MATCH($G2096,Lists!$B$2:$B$7,0)),OR($H2096="",$N2096&gt;0),OR($I2096="",$I2096="NR",$O2096&gt;0),IF(ISNUMBER($J2096),AND($J2096&gt;=0,$J2096=INT($J2096)),FALSE())),$J2096,0)</f>
        <v>0</v>
      </c>
      <c r="Q2096" s="64" t="n">
        <f aca="false">IF(AND($P2096&gt;0,$O2096&gt;0),$P2096,0)</f>
        <v>0</v>
      </c>
      <c r="R2096" s="64" t="n">
        <f aca="false">IF(AND($Q2096&gt;0,$O2096&gt;=AtRank),$Q2096,0)</f>
        <v>0</v>
      </c>
      <c r="S2096" s="64" t="n">
        <f aca="false">IF(AND($Q2096&gt;0,$O2096&gt;=AboveRank),$Q2096,0)</f>
        <v>0</v>
      </c>
      <c r="T2096" s="64" t="n">
        <f aca="false">IF($K2096="Less",$P2096,0)</f>
        <v>0</v>
      </c>
      <c r="U2096" s="64" t="n">
        <f aca="false">IF($K2096="Expected",$P2096,0)</f>
        <v>0</v>
      </c>
      <c r="V2096" s="64" t="n">
        <f aca="false">IF($K2096="Better",$P2096,0)</f>
        <v>0</v>
      </c>
      <c r="W2096" s="64" t="n">
        <f aca="false">IF($K2096="U – needs rule",$P2096,0)</f>
        <v>0</v>
      </c>
      <c r="X2096" s="64" t="n">
        <f aca="false">IF($K2096="No Start (attainment only)",$P2096,0)</f>
        <v>0</v>
      </c>
    </row>
    <row r="2097" customFormat="false" ht="15" hidden="false" customHeight="false" outlineLevel="0" collapsed="false">
      <c r="A2097" s="60"/>
      <c r="B2097" s="61" t="str">
        <f aca="false">IF($M2097=0,"",INDEX(Classes!$E$6:$E$420,$M2097))</f>
        <v/>
      </c>
      <c r="C2097" s="62" t="str">
        <f aca="false">IF($M2097=0,"",INDEX(Classes!$H$6:$H$420,$M2097))</f>
        <v/>
      </c>
      <c r="D2097" s="61" t="str">
        <f aca="false">IF($M2097=0,"",INDEX(Classes!$B$6:$B$420,$M2097))</f>
        <v/>
      </c>
      <c r="E2097" s="61" t="str">
        <f aca="false">IF($M2097=0,"",INDEX(Classes!$C$6:$C$420,$M2097))</f>
        <v/>
      </c>
      <c r="F2097" s="63"/>
      <c r="G2097" s="63"/>
      <c r="H2097" s="60"/>
      <c r="I2097" s="60"/>
      <c r="J2097" s="63"/>
      <c r="K2097" s="61" t="str">
        <f aca="false">IF($P2097=0,"",IF($F2097="Baseline","— Baseline",IF($O2097=0,"No result",IF($N2097=0,"No Start (attainment only)",IF(OR($N2097=1,$O2097=1),"U – needs rule",INDEX(MxBody,MATCH($I2097,MxCurr,0),MATCH($H2097,MxStart,0)))))))</f>
        <v/>
      </c>
      <c r="L2097" s="62" t="str">
        <f aca="false">IF(COUNTA($A2097,$F2097,$G2097,$H2097,$I2097,$J2097)=0,"",IF($M2097=0,"✖ كود الصف غير موجود",IF(ISNA(MATCH($F2097,Lists!$A$2:$A$5,0)),"✖ الفترة غير صحيحة",IF(ISNA(MATCH($G2097,Lists!$B$2:$B$7,0)),"✖ المجموعة غير صحيحة",IF(NOT(OR($H2097="",$N2097&gt;0)),"✖ Start غير صحيح",IF(NOT(OR($I2097="",$I2097="NR",$O2097&gt;0)),"✖ Current غير صحيح",IF(NOT(IF(ISNUMBER($J2097),AND($J2097&gt;=0,$J2097=INT($J2097)),FALSE())),"✖ العدد يجب أن يكون صحيحًا ≥ 0",IF(AND($F2097="Baseline",$H2097&lt;&gt;""),"⚠ Baseline: Start لا يدخل في التقدم",IF($K2097="No Start (attainment only)","ℹ تحصيل فقط (بدون Start)",IF($K2097="U – needs rule","ℹ حالة U تحتاج قاعدة معتمدة",IF($K2097="No result","ℹ بدون نتيجة (يُستبعد من التحصيل)","OK")))))))))))</f>
        <v/>
      </c>
      <c r="M2097" s="64" t="n">
        <f aca="false">IF($A2097="",0,IFERROR(MATCH($A2097,Classes!$A$6:$A$420,0),0))</f>
        <v>0</v>
      </c>
      <c r="N2097" s="64" t="n">
        <f aca="false">IF($H2097="",0,IFERROR(MATCH($H2097,GradeList,0),0))</f>
        <v>0</v>
      </c>
      <c r="O2097" s="64" t="n">
        <f aca="false">IF(OR($I2097="",$I2097="NR"),0,IFERROR(MATCH($I2097,GradeList,0),0))</f>
        <v>0</v>
      </c>
      <c r="P2097" s="64" t="n">
        <f aca="false">IF(AND($M2097&gt;0,ISNUMBER(MATCH($F2097,Lists!$A$2:$A$5,0)),ISNUMBER(MATCH($G2097,Lists!$B$2:$B$7,0)),OR($H2097="",$N2097&gt;0),OR($I2097="",$I2097="NR",$O2097&gt;0),IF(ISNUMBER($J2097),AND($J2097&gt;=0,$J2097=INT($J2097)),FALSE())),$J2097,0)</f>
        <v>0</v>
      </c>
      <c r="Q2097" s="64" t="n">
        <f aca="false">IF(AND($P2097&gt;0,$O2097&gt;0),$P2097,0)</f>
        <v>0</v>
      </c>
      <c r="R2097" s="64" t="n">
        <f aca="false">IF(AND($Q2097&gt;0,$O2097&gt;=AtRank),$Q2097,0)</f>
        <v>0</v>
      </c>
      <c r="S2097" s="64" t="n">
        <f aca="false">IF(AND($Q2097&gt;0,$O2097&gt;=AboveRank),$Q2097,0)</f>
        <v>0</v>
      </c>
      <c r="T2097" s="64" t="n">
        <f aca="false">IF($K2097="Less",$P2097,0)</f>
        <v>0</v>
      </c>
      <c r="U2097" s="64" t="n">
        <f aca="false">IF($K2097="Expected",$P2097,0)</f>
        <v>0</v>
      </c>
      <c r="V2097" s="64" t="n">
        <f aca="false">IF($K2097="Better",$P2097,0)</f>
        <v>0</v>
      </c>
      <c r="W2097" s="64" t="n">
        <f aca="false">IF($K2097="U – needs rule",$P2097,0)</f>
        <v>0</v>
      </c>
      <c r="X2097" s="64" t="n">
        <f aca="false">IF($K2097="No Start (attainment only)",$P2097,0)</f>
        <v>0</v>
      </c>
    </row>
    <row r="2098" customFormat="false" ht="15" hidden="false" customHeight="false" outlineLevel="0" collapsed="false">
      <c r="A2098" s="60"/>
      <c r="B2098" s="61" t="str">
        <f aca="false">IF($M2098=0,"",INDEX(Classes!$E$6:$E$420,$M2098))</f>
        <v/>
      </c>
      <c r="C2098" s="62" t="str">
        <f aca="false">IF($M2098=0,"",INDEX(Classes!$H$6:$H$420,$M2098))</f>
        <v/>
      </c>
      <c r="D2098" s="61" t="str">
        <f aca="false">IF($M2098=0,"",INDEX(Classes!$B$6:$B$420,$M2098))</f>
        <v/>
      </c>
      <c r="E2098" s="61" t="str">
        <f aca="false">IF($M2098=0,"",INDEX(Classes!$C$6:$C$420,$M2098))</f>
        <v/>
      </c>
      <c r="F2098" s="63"/>
      <c r="G2098" s="63"/>
      <c r="H2098" s="60"/>
      <c r="I2098" s="60"/>
      <c r="J2098" s="63"/>
      <c r="K2098" s="61" t="str">
        <f aca="false">IF($P2098=0,"",IF($F2098="Baseline","— Baseline",IF($O2098=0,"No result",IF($N2098=0,"No Start (attainment only)",IF(OR($N2098=1,$O2098=1),"U – needs rule",INDEX(MxBody,MATCH($I2098,MxCurr,0),MATCH($H2098,MxStart,0)))))))</f>
        <v/>
      </c>
      <c r="L2098" s="62" t="str">
        <f aca="false">IF(COUNTA($A2098,$F2098,$G2098,$H2098,$I2098,$J2098)=0,"",IF($M2098=0,"✖ كود الصف غير موجود",IF(ISNA(MATCH($F2098,Lists!$A$2:$A$5,0)),"✖ الفترة غير صحيحة",IF(ISNA(MATCH($G2098,Lists!$B$2:$B$7,0)),"✖ المجموعة غير صحيحة",IF(NOT(OR($H2098="",$N2098&gt;0)),"✖ Start غير صحيح",IF(NOT(OR($I2098="",$I2098="NR",$O2098&gt;0)),"✖ Current غير صحيح",IF(NOT(IF(ISNUMBER($J2098),AND($J2098&gt;=0,$J2098=INT($J2098)),FALSE())),"✖ العدد يجب أن يكون صحيحًا ≥ 0",IF(AND($F2098="Baseline",$H2098&lt;&gt;""),"⚠ Baseline: Start لا يدخل في التقدم",IF($K2098="No Start (attainment only)","ℹ تحصيل فقط (بدون Start)",IF($K2098="U – needs rule","ℹ حالة U تحتاج قاعدة معتمدة",IF($K2098="No result","ℹ بدون نتيجة (يُستبعد من التحصيل)","OK")))))))))))</f>
        <v/>
      </c>
      <c r="M2098" s="64" t="n">
        <f aca="false">IF($A2098="",0,IFERROR(MATCH($A2098,Classes!$A$6:$A$420,0),0))</f>
        <v>0</v>
      </c>
      <c r="N2098" s="64" t="n">
        <f aca="false">IF($H2098="",0,IFERROR(MATCH($H2098,GradeList,0),0))</f>
        <v>0</v>
      </c>
      <c r="O2098" s="64" t="n">
        <f aca="false">IF(OR($I2098="",$I2098="NR"),0,IFERROR(MATCH($I2098,GradeList,0),0))</f>
        <v>0</v>
      </c>
      <c r="P2098" s="64" t="n">
        <f aca="false">IF(AND($M2098&gt;0,ISNUMBER(MATCH($F2098,Lists!$A$2:$A$5,0)),ISNUMBER(MATCH($G2098,Lists!$B$2:$B$7,0)),OR($H2098="",$N2098&gt;0),OR($I2098="",$I2098="NR",$O2098&gt;0),IF(ISNUMBER($J2098),AND($J2098&gt;=0,$J2098=INT($J2098)),FALSE())),$J2098,0)</f>
        <v>0</v>
      </c>
      <c r="Q2098" s="64" t="n">
        <f aca="false">IF(AND($P2098&gt;0,$O2098&gt;0),$P2098,0)</f>
        <v>0</v>
      </c>
      <c r="R2098" s="64" t="n">
        <f aca="false">IF(AND($Q2098&gt;0,$O2098&gt;=AtRank),$Q2098,0)</f>
        <v>0</v>
      </c>
      <c r="S2098" s="64" t="n">
        <f aca="false">IF(AND($Q2098&gt;0,$O2098&gt;=AboveRank),$Q2098,0)</f>
        <v>0</v>
      </c>
      <c r="T2098" s="64" t="n">
        <f aca="false">IF($K2098="Less",$P2098,0)</f>
        <v>0</v>
      </c>
      <c r="U2098" s="64" t="n">
        <f aca="false">IF($K2098="Expected",$P2098,0)</f>
        <v>0</v>
      </c>
      <c r="V2098" s="64" t="n">
        <f aca="false">IF($K2098="Better",$P2098,0)</f>
        <v>0</v>
      </c>
      <c r="W2098" s="64" t="n">
        <f aca="false">IF($K2098="U – needs rule",$P2098,0)</f>
        <v>0</v>
      </c>
      <c r="X2098" s="64" t="n">
        <f aca="false">IF($K2098="No Start (attainment only)",$P2098,0)</f>
        <v>0</v>
      </c>
    </row>
    <row r="2099" customFormat="false" ht="15" hidden="false" customHeight="false" outlineLevel="0" collapsed="false">
      <c r="A2099" s="60"/>
      <c r="B2099" s="61" t="str">
        <f aca="false">IF($M2099=0,"",INDEX(Classes!$E$6:$E$420,$M2099))</f>
        <v/>
      </c>
      <c r="C2099" s="62" t="str">
        <f aca="false">IF($M2099=0,"",INDEX(Classes!$H$6:$H$420,$M2099))</f>
        <v/>
      </c>
      <c r="D2099" s="61" t="str">
        <f aca="false">IF($M2099=0,"",INDEX(Classes!$B$6:$B$420,$M2099))</f>
        <v/>
      </c>
      <c r="E2099" s="61" t="str">
        <f aca="false">IF($M2099=0,"",INDEX(Classes!$C$6:$C$420,$M2099))</f>
        <v/>
      </c>
      <c r="F2099" s="63"/>
      <c r="G2099" s="63"/>
      <c r="H2099" s="60"/>
      <c r="I2099" s="60"/>
      <c r="J2099" s="63"/>
      <c r="K2099" s="61" t="str">
        <f aca="false">IF($P2099=0,"",IF($F2099="Baseline","— Baseline",IF($O2099=0,"No result",IF($N2099=0,"No Start (attainment only)",IF(OR($N2099=1,$O2099=1),"U – needs rule",INDEX(MxBody,MATCH($I2099,MxCurr,0),MATCH($H2099,MxStart,0)))))))</f>
        <v/>
      </c>
      <c r="L2099" s="62" t="str">
        <f aca="false">IF(COUNTA($A2099,$F2099,$G2099,$H2099,$I2099,$J2099)=0,"",IF($M2099=0,"✖ كود الصف غير موجود",IF(ISNA(MATCH($F2099,Lists!$A$2:$A$5,0)),"✖ الفترة غير صحيحة",IF(ISNA(MATCH($G2099,Lists!$B$2:$B$7,0)),"✖ المجموعة غير صحيحة",IF(NOT(OR($H2099="",$N2099&gt;0)),"✖ Start غير صحيح",IF(NOT(OR($I2099="",$I2099="NR",$O2099&gt;0)),"✖ Current غير صحيح",IF(NOT(IF(ISNUMBER($J2099),AND($J2099&gt;=0,$J2099=INT($J2099)),FALSE())),"✖ العدد يجب أن يكون صحيحًا ≥ 0",IF(AND($F2099="Baseline",$H2099&lt;&gt;""),"⚠ Baseline: Start لا يدخل في التقدم",IF($K2099="No Start (attainment only)","ℹ تحصيل فقط (بدون Start)",IF($K2099="U – needs rule","ℹ حالة U تحتاج قاعدة معتمدة",IF($K2099="No result","ℹ بدون نتيجة (يُستبعد من التحصيل)","OK")))))))))))</f>
        <v/>
      </c>
      <c r="M2099" s="64" t="n">
        <f aca="false">IF($A2099="",0,IFERROR(MATCH($A2099,Classes!$A$6:$A$420,0),0))</f>
        <v>0</v>
      </c>
      <c r="N2099" s="64" t="n">
        <f aca="false">IF($H2099="",0,IFERROR(MATCH($H2099,GradeList,0),0))</f>
        <v>0</v>
      </c>
      <c r="O2099" s="64" t="n">
        <f aca="false">IF(OR($I2099="",$I2099="NR"),0,IFERROR(MATCH($I2099,GradeList,0),0))</f>
        <v>0</v>
      </c>
      <c r="P2099" s="64" t="n">
        <f aca="false">IF(AND($M2099&gt;0,ISNUMBER(MATCH($F2099,Lists!$A$2:$A$5,0)),ISNUMBER(MATCH($G2099,Lists!$B$2:$B$7,0)),OR($H2099="",$N2099&gt;0),OR($I2099="",$I2099="NR",$O2099&gt;0),IF(ISNUMBER($J2099),AND($J2099&gt;=0,$J2099=INT($J2099)),FALSE())),$J2099,0)</f>
        <v>0</v>
      </c>
      <c r="Q2099" s="64" t="n">
        <f aca="false">IF(AND($P2099&gt;0,$O2099&gt;0),$P2099,0)</f>
        <v>0</v>
      </c>
      <c r="R2099" s="64" t="n">
        <f aca="false">IF(AND($Q2099&gt;0,$O2099&gt;=AtRank),$Q2099,0)</f>
        <v>0</v>
      </c>
      <c r="S2099" s="64" t="n">
        <f aca="false">IF(AND($Q2099&gt;0,$O2099&gt;=AboveRank),$Q2099,0)</f>
        <v>0</v>
      </c>
      <c r="T2099" s="64" t="n">
        <f aca="false">IF($K2099="Less",$P2099,0)</f>
        <v>0</v>
      </c>
      <c r="U2099" s="64" t="n">
        <f aca="false">IF($K2099="Expected",$P2099,0)</f>
        <v>0</v>
      </c>
      <c r="V2099" s="64" t="n">
        <f aca="false">IF($K2099="Better",$P2099,0)</f>
        <v>0</v>
      </c>
      <c r="W2099" s="64" t="n">
        <f aca="false">IF($K2099="U – needs rule",$P2099,0)</f>
        <v>0</v>
      </c>
      <c r="X2099" s="64" t="n">
        <f aca="false">IF($K2099="No Start (attainment only)",$P2099,0)</f>
        <v>0</v>
      </c>
    </row>
    <row r="2100" customFormat="false" ht="15" hidden="false" customHeight="false" outlineLevel="0" collapsed="false">
      <c r="A2100" s="60"/>
      <c r="B2100" s="61" t="str">
        <f aca="false">IF($M2100=0,"",INDEX(Classes!$E$6:$E$420,$M2100))</f>
        <v/>
      </c>
      <c r="C2100" s="62" t="str">
        <f aca="false">IF($M2100=0,"",INDEX(Classes!$H$6:$H$420,$M2100))</f>
        <v/>
      </c>
      <c r="D2100" s="61" t="str">
        <f aca="false">IF($M2100=0,"",INDEX(Classes!$B$6:$B$420,$M2100))</f>
        <v/>
      </c>
      <c r="E2100" s="61" t="str">
        <f aca="false">IF($M2100=0,"",INDEX(Classes!$C$6:$C$420,$M2100))</f>
        <v/>
      </c>
      <c r="F2100" s="63"/>
      <c r="G2100" s="63"/>
      <c r="H2100" s="60"/>
      <c r="I2100" s="60"/>
      <c r="J2100" s="63"/>
      <c r="K2100" s="61" t="str">
        <f aca="false">IF($P2100=0,"",IF($F2100="Baseline","— Baseline",IF($O2100=0,"No result",IF($N2100=0,"No Start (attainment only)",IF(OR($N2100=1,$O2100=1),"U – needs rule",INDEX(MxBody,MATCH($I2100,MxCurr,0),MATCH($H2100,MxStart,0)))))))</f>
        <v/>
      </c>
      <c r="L2100" s="62" t="str">
        <f aca="false">IF(COUNTA($A2100,$F2100,$G2100,$H2100,$I2100,$J2100)=0,"",IF($M2100=0,"✖ كود الصف غير موجود",IF(ISNA(MATCH($F2100,Lists!$A$2:$A$5,0)),"✖ الفترة غير صحيحة",IF(ISNA(MATCH($G2100,Lists!$B$2:$B$7,0)),"✖ المجموعة غير صحيحة",IF(NOT(OR($H2100="",$N2100&gt;0)),"✖ Start غير صحيح",IF(NOT(OR($I2100="",$I2100="NR",$O2100&gt;0)),"✖ Current غير صحيح",IF(NOT(IF(ISNUMBER($J2100),AND($J2100&gt;=0,$J2100=INT($J2100)),FALSE())),"✖ العدد يجب أن يكون صحيحًا ≥ 0",IF(AND($F2100="Baseline",$H2100&lt;&gt;""),"⚠ Baseline: Start لا يدخل في التقدم",IF($K2100="No Start (attainment only)","ℹ تحصيل فقط (بدون Start)",IF($K2100="U – needs rule","ℹ حالة U تحتاج قاعدة معتمدة",IF($K2100="No result","ℹ بدون نتيجة (يُستبعد من التحصيل)","OK")))))))))))</f>
        <v/>
      </c>
      <c r="M2100" s="64" t="n">
        <f aca="false">IF($A2100="",0,IFERROR(MATCH($A2100,Classes!$A$6:$A$420,0),0))</f>
        <v>0</v>
      </c>
      <c r="N2100" s="64" t="n">
        <f aca="false">IF($H2100="",0,IFERROR(MATCH($H2100,GradeList,0),0))</f>
        <v>0</v>
      </c>
      <c r="O2100" s="64" t="n">
        <f aca="false">IF(OR($I2100="",$I2100="NR"),0,IFERROR(MATCH($I2100,GradeList,0),0))</f>
        <v>0</v>
      </c>
      <c r="P2100" s="64" t="n">
        <f aca="false">IF(AND($M2100&gt;0,ISNUMBER(MATCH($F2100,Lists!$A$2:$A$5,0)),ISNUMBER(MATCH($G2100,Lists!$B$2:$B$7,0)),OR($H2100="",$N2100&gt;0),OR($I2100="",$I2100="NR",$O2100&gt;0),IF(ISNUMBER($J2100),AND($J2100&gt;=0,$J2100=INT($J2100)),FALSE())),$J2100,0)</f>
        <v>0</v>
      </c>
      <c r="Q2100" s="64" t="n">
        <f aca="false">IF(AND($P2100&gt;0,$O2100&gt;0),$P2100,0)</f>
        <v>0</v>
      </c>
      <c r="R2100" s="64" t="n">
        <f aca="false">IF(AND($Q2100&gt;0,$O2100&gt;=AtRank),$Q2100,0)</f>
        <v>0</v>
      </c>
      <c r="S2100" s="64" t="n">
        <f aca="false">IF(AND($Q2100&gt;0,$O2100&gt;=AboveRank),$Q2100,0)</f>
        <v>0</v>
      </c>
      <c r="T2100" s="64" t="n">
        <f aca="false">IF($K2100="Less",$P2100,0)</f>
        <v>0</v>
      </c>
      <c r="U2100" s="64" t="n">
        <f aca="false">IF($K2100="Expected",$P2100,0)</f>
        <v>0</v>
      </c>
      <c r="V2100" s="64" t="n">
        <f aca="false">IF($K2100="Better",$P2100,0)</f>
        <v>0</v>
      </c>
      <c r="W2100" s="64" t="n">
        <f aca="false">IF($K2100="U – needs rule",$P2100,0)</f>
        <v>0</v>
      </c>
      <c r="X2100" s="64" t="n">
        <f aca="false">IF($K2100="No Start (attainment only)",$P2100,0)</f>
        <v>0</v>
      </c>
    </row>
    <row r="2101" customFormat="false" ht="15" hidden="false" customHeight="false" outlineLevel="0" collapsed="false">
      <c r="A2101" s="60"/>
      <c r="B2101" s="61" t="str">
        <f aca="false">IF($M2101=0,"",INDEX(Classes!$E$6:$E$420,$M2101))</f>
        <v/>
      </c>
      <c r="C2101" s="62" t="str">
        <f aca="false">IF($M2101=0,"",INDEX(Classes!$H$6:$H$420,$M2101))</f>
        <v/>
      </c>
      <c r="D2101" s="61" t="str">
        <f aca="false">IF($M2101=0,"",INDEX(Classes!$B$6:$B$420,$M2101))</f>
        <v/>
      </c>
      <c r="E2101" s="61" t="str">
        <f aca="false">IF($M2101=0,"",INDEX(Classes!$C$6:$C$420,$M2101))</f>
        <v/>
      </c>
      <c r="F2101" s="63"/>
      <c r="G2101" s="63"/>
      <c r="H2101" s="60"/>
      <c r="I2101" s="60"/>
      <c r="J2101" s="63"/>
      <c r="K2101" s="61" t="str">
        <f aca="false">IF($P2101=0,"",IF($F2101="Baseline","— Baseline",IF($O2101=0,"No result",IF($N2101=0,"No Start (attainment only)",IF(OR($N2101=1,$O2101=1),"U – needs rule",INDEX(MxBody,MATCH($I2101,MxCurr,0),MATCH($H2101,MxStart,0)))))))</f>
        <v/>
      </c>
      <c r="L2101" s="62" t="str">
        <f aca="false">IF(COUNTA($A2101,$F2101,$G2101,$H2101,$I2101,$J2101)=0,"",IF($M2101=0,"✖ كود الصف غير موجود",IF(ISNA(MATCH($F2101,Lists!$A$2:$A$5,0)),"✖ الفترة غير صحيحة",IF(ISNA(MATCH($G2101,Lists!$B$2:$B$7,0)),"✖ المجموعة غير صحيحة",IF(NOT(OR($H2101="",$N2101&gt;0)),"✖ Start غير صحيح",IF(NOT(OR($I2101="",$I2101="NR",$O2101&gt;0)),"✖ Current غير صحيح",IF(NOT(IF(ISNUMBER($J2101),AND($J2101&gt;=0,$J2101=INT($J2101)),FALSE())),"✖ العدد يجب أن يكون صحيحًا ≥ 0",IF(AND($F2101="Baseline",$H2101&lt;&gt;""),"⚠ Baseline: Start لا يدخل في التقدم",IF($K2101="No Start (attainment only)","ℹ تحصيل فقط (بدون Start)",IF($K2101="U – needs rule","ℹ حالة U تحتاج قاعدة معتمدة",IF($K2101="No result","ℹ بدون نتيجة (يُستبعد من التحصيل)","OK")))))))))))</f>
        <v/>
      </c>
      <c r="M2101" s="64" t="n">
        <f aca="false">IF($A2101="",0,IFERROR(MATCH($A2101,Classes!$A$6:$A$420,0),0))</f>
        <v>0</v>
      </c>
      <c r="N2101" s="64" t="n">
        <f aca="false">IF($H2101="",0,IFERROR(MATCH($H2101,GradeList,0),0))</f>
        <v>0</v>
      </c>
      <c r="O2101" s="64" t="n">
        <f aca="false">IF(OR($I2101="",$I2101="NR"),0,IFERROR(MATCH($I2101,GradeList,0),0))</f>
        <v>0</v>
      </c>
      <c r="P2101" s="64" t="n">
        <f aca="false">IF(AND($M2101&gt;0,ISNUMBER(MATCH($F2101,Lists!$A$2:$A$5,0)),ISNUMBER(MATCH($G2101,Lists!$B$2:$B$7,0)),OR($H2101="",$N2101&gt;0),OR($I2101="",$I2101="NR",$O2101&gt;0),IF(ISNUMBER($J2101),AND($J2101&gt;=0,$J2101=INT($J2101)),FALSE())),$J2101,0)</f>
        <v>0</v>
      </c>
      <c r="Q2101" s="64" t="n">
        <f aca="false">IF(AND($P2101&gt;0,$O2101&gt;0),$P2101,0)</f>
        <v>0</v>
      </c>
      <c r="R2101" s="64" t="n">
        <f aca="false">IF(AND($Q2101&gt;0,$O2101&gt;=AtRank),$Q2101,0)</f>
        <v>0</v>
      </c>
      <c r="S2101" s="64" t="n">
        <f aca="false">IF(AND($Q2101&gt;0,$O2101&gt;=AboveRank),$Q2101,0)</f>
        <v>0</v>
      </c>
      <c r="T2101" s="64" t="n">
        <f aca="false">IF($K2101="Less",$P2101,0)</f>
        <v>0</v>
      </c>
      <c r="U2101" s="64" t="n">
        <f aca="false">IF($K2101="Expected",$P2101,0)</f>
        <v>0</v>
      </c>
      <c r="V2101" s="64" t="n">
        <f aca="false">IF($K2101="Better",$P2101,0)</f>
        <v>0</v>
      </c>
      <c r="W2101" s="64" t="n">
        <f aca="false">IF($K2101="U – needs rule",$P2101,0)</f>
        <v>0</v>
      </c>
      <c r="X2101" s="64" t="n">
        <f aca="false">IF($K2101="No Start (attainment only)",$P2101,0)</f>
        <v>0</v>
      </c>
    </row>
    <row r="2102" customFormat="false" ht="15" hidden="false" customHeight="false" outlineLevel="0" collapsed="false">
      <c r="A2102" s="60"/>
      <c r="B2102" s="61" t="str">
        <f aca="false">IF($M2102=0,"",INDEX(Classes!$E$6:$E$420,$M2102))</f>
        <v/>
      </c>
      <c r="C2102" s="62" t="str">
        <f aca="false">IF($M2102=0,"",INDEX(Classes!$H$6:$H$420,$M2102))</f>
        <v/>
      </c>
      <c r="D2102" s="61" t="str">
        <f aca="false">IF($M2102=0,"",INDEX(Classes!$B$6:$B$420,$M2102))</f>
        <v/>
      </c>
      <c r="E2102" s="61" t="str">
        <f aca="false">IF($M2102=0,"",INDEX(Classes!$C$6:$C$420,$M2102))</f>
        <v/>
      </c>
      <c r="F2102" s="63"/>
      <c r="G2102" s="63"/>
      <c r="H2102" s="60"/>
      <c r="I2102" s="60"/>
      <c r="J2102" s="63"/>
      <c r="K2102" s="61" t="str">
        <f aca="false">IF($P2102=0,"",IF($F2102="Baseline","— Baseline",IF($O2102=0,"No result",IF($N2102=0,"No Start (attainment only)",IF(OR($N2102=1,$O2102=1),"U – needs rule",INDEX(MxBody,MATCH($I2102,MxCurr,0),MATCH($H2102,MxStart,0)))))))</f>
        <v/>
      </c>
      <c r="L2102" s="62" t="str">
        <f aca="false">IF(COUNTA($A2102,$F2102,$G2102,$H2102,$I2102,$J2102)=0,"",IF($M2102=0,"✖ كود الصف غير موجود",IF(ISNA(MATCH($F2102,Lists!$A$2:$A$5,0)),"✖ الفترة غير صحيحة",IF(ISNA(MATCH($G2102,Lists!$B$2:$B$7,0)),"✖ المجموعة غير صحيحة",IF(NOT(OR($H2102="",$N2102&gt;0)),"✖ Start غير صحيح",IF(NOT(OR($I2102="",$I2102="NR",$O2102&gt;0)),"✖ Current غير صحيح",IF(NOT(IF(ISNUMBER($J2102),AND($J2102&gt;=0,$J2102=INT($J2102)),FALSE())),"✖ العدد يجب أن يكون صحيحًا ≥ 0",IF(AND($F2102="Baseline",$H2102&lt;&gt;""),"⚠ Baseline: Start لا يدخل في التقدم",IF($K2102="No Start (attainment only)","ℹ تحصيل فقط (بدون Start)",IF($K2102="U – needs rule","ℹ حالة U تحتاج قاعدة معتمدة",IF($K2102="No result","ℹ بدون نتيجة (يُستبعد من التحصيل)","OK")))))))))))</f>
        <v/>
      </c>
      <c r="M2102" s="64" t="n">
        <f aca="false">IF($A2102="",0,IFERROR(MATCH($A2102,Classes!$A$6:$A$420,0),0))</f>
        <v>0</v>
      </c>
      <c r="N2102" s="64" t="n">
        <f aca="false">IF($H2102="",0,IFERROR(MATCH($H2102,GradeList,0),0))</f>
        <v>0</v>
      </c>
      <c r="O2102" s="64" t="n">
        <f aca="false">IF(OR($I2102="",$I2102="NR"),0,IFERROR(MATCH($I2102,GradeList,0),0))</f>
        <v>0</v>
      </c>
      <c r="P2102" s="64" t="n">
        <f aca="false">IF(AND($M2102&gt;0,ISNUMBER(MATCH($F2102,Lists!$A$2:$A$5,0)),ISNUMBER(MATCH($G2102,Lists!$B$2:$B$7,0)),OR($H2102="",$N2102&gt;0),OR($I2102="",$I2102="NR",$O2102&gt;0),IF(ISNUMBER($J2102),AND($J2102&gt;=0,$J2102=INT($J2102)),FALSE())),$J2102,0)</f>
        <v>0</v>
      </c>
      <c r="Q2102" s="64" t="n">
        <f aca="false">IF(AND($P2102&gt;0,$O2102&gt;0),$P2102,0)</f>
        <v>0</v>
      </c>
      <c r="R2102" s="64" t="n">
        <f aca="false">IF(AND($Q2102&gt;0,$O2102&gt;=AtRank),$Q2102,0)</f>
        <v>0</v>
      </c>
      <c r="S2102" s="64" t="n">
        <f aca="false">IF(AND($Q2102&gt;0,$O2102&gt;=AboveRank),$Q2102,0)</f>
        <v>0</v>
      </c>
      <c r="T2102" s="64" t="n">
        <f aca="false">IF($K2102="Less",$P2102,0)</f>
        <v>0</v>
      </c>
      <c r="U2102" s="64" t="n">
        <f aca="false">IF($K2102="Expected",$P2102,0)</f>
        <v>0</v>
      </c>
      <c r="V2102" s="64" t="n">
        <f aca="false">IF($K2102="Better",$P2102,0)</f>
        <v>0</v>
      </c>
      <c r="W2102" s="64" t="n">
        <f aca="false">IF($K2102="U – needs rule",$P2102,0)</f>
        <v>0</v>
      </c>
      <c r="X2102" s="64" t="n">
        <f aca="false">IF($K2102="No Start (attainment only)",$P2102,0)</f>
        <v>0</v>
      </c>
    </row>
    <row r="2103" customFormat="false" ht="15" hidden="false" customHeight="false" outlineLevel="0" collapsed="false">
      <c r="A2103" s="60"/>
      <c r="B2103" s="61" t="str">
        <f aca="false">IF($M2103=0,"",INDEX(Classes!$E$6:$E$420,$M2103))</f>
        <v/>
      </c>
      <c r="C2103" s="62" t="str">
        <f aca="false">IF($M2103=0,"",INDEX(Classes!$H$6:$H$420,$M2103))</f>
        <v/>
      </c>
      <c r="D2103" s="61" t="str">
        <f aca="false">IF($M2103=0,"",INDEX(Classes!$B$6:$B$420,$M2103))</f>
        <v/>
      </c>
      <c r="E2103" s="61" t="str">
        <f aca="false">IF($M2103=0,"",INDEX(Classes!$C$6:$C$420,$M2103))</f>
        <v/>
      </c>
      <c r="F2103" s="63"/>
      <c r="G2103" s="63"/>
      <c r="H2103" s="60"/>
      <c r="I2103" s="60"/>
      <c r="J2103" s="63"/>
      <c r="K2103" s="61" t="str">
        <f aca="false">IF($P2103=0,"",IF($F2103="Baseline","— Baseline",IF($O2103=0,"No result",IF($N2103=0,"No Start (attainment only)",IF(OR($N2103=1,$O2103=1),"U – needs rule",INDEX(MxBody,MATCH($I2103,MxCurr,0),MATCH($H2103,MxStart,0)))))))</f>
        <v/>
      </c>
      <c r="L2103" s="62" t="str">
        <f aca="false">IF(COUNTA($A2103,$F2103,$G2103,$H2103,$I2103,$J2103)=0,"",IF($M2103=0,"✖ كود الصف غير موجود",IF(ISNA(MATCH($F2103,Lists!$A$2:$A$5,0)),"✖ الفترة غير صحيحة",IF(ISNA(MATCH($G2103,Lists!$B$2:$B$7,0)),"✖ المجموعة غير صحيحة",IF(NOT(OR($H2103="",$N2103&gt;0)),"✖ Start غير صحيح",IF(NOT(OR($I2103="",$I2103="NR",$O2103&gt;0)),"✖ Current غير صحيح",IF(NOT(IF(ISNUMBER($J2103),AND($J2103&gt;=0,$J2103=INT($J2103)),FALSE())),"✖ العدد يجب أن يكون صحيحًا ≥ 0",IF(AND($F2103="Baseline",$H2103&lt;&gt;""),"⚠ Baseline: Start لا يدخل في التقدم",IF($K2103="No Start (attainment only)","ℹ تحصيل فقط (بدون Start)",IF($K2103="U – needs rule","ℹ حالة U تحتاج قاعدة معتمدة",IF($K2103="No result","ℹ بدون نتيجة (يُستبعد من التحصيل)","OK")))))))))))</f>
        <v/>
      </c>
      <c r="M2103" s="64" t="n">
        <f aca="false">IF($A2103="",0,IFERROR(MATCH($A2103,Classes!$A$6:$A$420,0),0))</f>
        <v>0</v>
      </c>
      <c r="N2103" s="64" t="n">
        <f aca="false">IF($H2103="",0,IFERROR(MATCH($H2103,GradeList,0),0))</f>
        <v>0</v>
      </c>
      <c r="O2103" s="64" t="n">
        <f aca="false">IF(OR($I2103="",$I2103="NR"),0,IFERROR(MATCH($I2103,GradeList,0),0))</f>
        <v>0</v>
      </c>
      <c r="P2103" s="64" t="n">
        <f aca="false">IF(AND($M2103&gt;0,ISNUMBER(MATCH($F2103,Lists!$A$2:$A$5,0)),ISNUMBER(MATCH($G2103,Lists!$B$2:$B$7,0)),OR($H2103="",$N2103&gt;0),OR($I2103="",$I2103="NR",$O2103&gt;0),IF(ISNUMBER($J2103),AND($J2103&gt;=0,$J2103=INT($J2103)),FALSE())),$J2103,0)</f>
        <v>0</v>
      </c>
      <c r="Q2103" s="64" t="n">
        <f aca="false">IF(AND($P2103&gt;0,$O2103&gt;0),$P2103,0)</f>
        <v>0</v>
      </c>
      <c r="R2103" s="64" t="n">
        <f aca="false">IF(AND($Q2103&gt;0,$O2103&gt;=AtRank),$Q2103,0)</f>
        <v>0</v>
      </c>
      <c r="S2103" s="64" t="n">
        <f aca="false">IF(AND($Q2103&gt;0,$O2103&gt;=AboveRank),$Q2103,0)</f>
        <v>0</v>
      </c>
      <c r="T2103" s="64" t="n">
        <f aca="false">IF($K2103="Less",$P2103,0)</f>
        <v>0</v>
      </c>
      <c r="U2103" s="64" t="n">
        <f aca="false">IF($K2103="Expected",$P2103,0)</f>
        <v>0</v>
      </c>
      <c r="V2103" s="64" t="n">
        <f aca="false">IF($K2103="Better",$P2103,0)</f>
        <v>0</v>
      </c>
      <c r="W2103" s="64" t="n">
        <f aca="false">IF($K2103="U – needs rule",$P2103,0)</f>
        <v>0</v>
      </c>
      <c r="X2103" s="64" t="n">
        <f aca="false">IF($K2103="No Start (attainment only)",$P2103,0)</f>
        <v>0</v>
      </c>
    </row>
    <row r="2104" customFormat="false" ht="15" hidden="false" customHeight="false" outlineLevel="0" collapsed="false">
      <c r="A2104" s="60"/>
      <c r="B2104" s="61" t="str">
        <f aca="false">IF($M2104=0,"",INDEX(Classes!$E$6:$E$420,$M2104))</f>
        <v/>
      </c>
      <c r="C2104" s="62" t="str">
        <f aca="false">IF($M2104=0,"",INDEX(Classes!$H$6:$H$420,$M2104))</f>
        <v/>
      </c>
      <c r="D2104" s="61" t="str">
        <f aca="false">IF($M2104=0,"",INDEX(Classes!$B$6:$B$420,$M2104))</f>
        <v/>
      </c>
      <c r="E2104" s="61" t="str">
        <f aca="false">IF($M2104=0,"",INDEX(Classes!$C$6:$C$420,$M2104))</f>
        <v/>
      </c>
      <c r="F2104" s="63"/>
      <c r="G2104" s="63"/>
      <c r="H2104" s="60"/>
      <c r="I2104" s="60"/>
      <c r="J2104" s="63"/>
      <c r="K2104" s="61" t="str">
        <f aca="false">IF($P2104=0,"",IF($F2104="Baseline","— Baseline",IF($O2104=0,"No result",IF($N2104=0,"No Start (attainment only)",IF(OR($N2104=1,$O2104=1),"U – needs rule",INDEX(MxBody,MATCH($I2104,MxCurr,0),MATCH($H2104,MxStart,0)))))))</f>
        <v/>
      </c>
      <c r="L2104" s="62" t="str">
        <f aca="false">IF(COUNTA($A2104,$F2104,$G2104,$H2104,$I2104,$J2104)=0,"",IF($M2104=0,"✖ كود الصف غير موجود",IF(ISNA(MATCH($F2104,Lists!$A$2:$A$5,0)),"✖ الفترة غير صحيحة",IF(ISNA(MATCH($G2104,Lists!$B$2:$B$7,0)),"✖ المجموعة غير صحيحة",IF(NOT(OR($H2104="",$N2104&gt;0)),"✖ Start غير صحيح",IF(NOT(OR($I2104="",$I2104="NR",$O2104&gt;0)),"✖ Current غير صحيح",IF(NOT(IF(ISNUMBER($J2104),AND($J2104&gt;=0,$J2104=INT($J2104)),FALSE())),"✖ العدد يجب أن يكون صحيحًا ≥ 0",IF(AND($F2104="Baseline",$H2104&lt;&gt;""),"⚠ Baseline: Start لا يدخل في التقدم",IF($K2104="No Start (attainment only)","ℹ تحصيل فقط (بدون Start)",IF($K2104="U – needs rule","ℹ حالة U تحتاج قاعدة معتمدة",IF($K2104="No result","ℹ بدون نتيجة (يُستبعد من التحصيل)","OK")))))))))))</f>
        <v/>
      </c>
      <c r="M2104" s="64" t="n">
        <f aca="false">IF($A2104="",0,IFERROR(MATCH($A2104,Classes!$A$6:$A$420,0),0))</f>
        <v>0</v>
      </c>
      <c r="N2104" s="64" t="n">
        <f aca="false">IF($H2104="",0,IFERROR(MATCH($H2104,GradeList,0),0))</f>
        <v>0</v>
      </c>
      <c r="O2104" s="64" t="n">
        <f aca="false">IF(OR($I2104="",$I2104="NR"),0,IFERROR(MATCH($I2104,GradeList,0),0))</f>
        <v>0</v>
      </c>
      <c r="P2104" s="64" t="n">
        <f aca="false">IF(AND($M2104&gt;0,ISNUMBER(MATCH($F2104,Lists!$A$2:$A$5,0)),ISNUMBER(MATCH($G2104,Lists!$B$2:$B$7,0)),OR($H2104="",$N2104&gt;0),OR($I2104="",$I2104="NR",$O2104&gt;0),IF(ISNUMBER($J2104),AND($J2104&gt;=0,$J2104=INT($J2104)),FALSE())),$J2104,0)</f>
        <v>0</v>
      </c>
      <c r="Q2104" s="64" t="n">
        <f aca="false">IF(AND($P2104&gt;0,$O2104&gt;0),$P2104,0)</f>
        <v>0</v>
      </c>
      <c r="R2104" s="64" t="n">
        <f aca="false">IF(AND($Q2104&gt;0,$O2104&gt;=AtRank),$Q2104,0)</f>
        <v>0</v>
      </c>
      <c r="S2104" s="64" t="n">
        <f aca="false">IF(AND($Q2104&gt;0,$O2104&gt;=AboveRank),$Q2104,0)</f>
        <v>0</v>
      </c>
      <c r="T2104" s="64" t="n">
        <f aca="false">IF($K2104="Less",$P2104,0)</f>
        <v>0</v>
      </c>
      <c r="U2104" s="64" t="n">
        <f aca="false">IF($K2104="Expected",$P2104,0)</f>
        <v>0</v>
      </c>
      <c r="V2104" s="64" t="n">
        <f aca="false">IF($K2104="Better",$P2104,0)</f>
        <v>0</v>
      </c>
      <c r="W2104" s="64" t="n">
        <f aca="false">IF($K2104="U – needs rule",$P2104,0)</f>
        <v>0</v>
      </c>
      <c r="X2104" s="64" t="n">
        <f aca="false">IF($K2104="No Start (attainment only)",$P2104,0)</f>
        <v>0</v>
      </c>
    </row>
    <row r="2105" customFormat="false" ht="15" hidden="false" customHeight="false" outlineLevel="0" collapsed="false">
      <c r="A2105" s="60"/>
      <c r="B2105" s="61" t="str">
        <f aca="false">IF($M2105=0,"",INDEX(Classes!$E$6:$E$420,$M2105))</f>
        <v/>
      </c>
      <c r="C2105" s="62" t="str">
        <f aca="false">IF($M2105=0,"",INDEX(Classes!$H$6:$H$420,$M2105))</f>
        <v/>
      </c>
      <c r="D2105" s="61" t="str">
        <f aca="false">IF($M2105=0,"",INDEX(Classes!$B$6:$B$420,$M2105))</f>
        <v/>
      </c>
      <c r="E2105" s="61" t="str">
        <f aca="false">IF($M2105=0,"",INDEX(Classes!$C$6:$C$420,$M2105))</f>
        <v/>
      </c>
      <c r="F2105" s="63"/>
      <c r="G2105" s="63"/>
      <c r="H2105" s="60"/>
      <c r="I2105" s="60"/>
      <c r="J2105" s="63"/>
      <c r="K2105" s="61" t="str">
        <f aca="false">IF($P2105=0,"",IF($F2105="Baseline","— Baseline",IF($O2105=0,"No result",IF($N2105=0,"No Start (attainment only)",IF(OR($N2105=1,$O2105=1),"U – needs rule",INDEX(MxBody,MATCH($I2105,MxCurr,0),MATCH($H2105,MxStart,0)))))))</f>
        <v/>
      </c>
      <c r="L2105" s="62" t="str">
        <f aca="false">IF(COUNTA($A2105,$F2105,$G2105,$H2105,$I2105,$J2105)=0,"",IF($M2105=0,"✖ كود الصف غير موجود",IF(ISNA(MATCH($F2105,Lists!$A$2:$A$5,0)),"✖ الفترة غير صحيحة",IF(ISNA(MATCH($G2105,Lists!$B$2:$B$7,0)),"✖ المجموعة غير صحيحة",IF(NOT(OR($H2105="",$N2105&gt;0)),"✖ Start غير صحيح",IF(NOT(OR($I2105="",$I2105="NR",$O2105&gt;0)),"✖ Current غير صحيح",IF(NOT(IF(ISNUMBER($J2105),AND($J2105&gt;=0,$J2105=INT($J2105)),FALSE())),"✖ العدد يجب أن يكون صحيحًا ≥ 0",IF(AND($F2105="Baseline",$H2105&lt;&gt;""),"⚠ Baseline: Start لا يدخل في التقدم",IF($K2105="No Start (attainment only)","ℹ تحصيل فقط (بدون Start)",IF($K2105="U – needs rule","ℹ حالة U تحتاج قاعدة معتمدة",IF($K2105="No result","ℹ بدون نتيجة (يُستبعد من التحصيل)","OK")))))))))))</f>
        <v/>
      </c>
      <c r="M2105" s="64" t="n">
        <f aca="false">IF($A2105="",0,IFERROR(MATCH($A2105,Classes!$A$6:$A$420,0),0))</f>
        <v>0</v>
      </c>
      <c r="N2105" s="64" t="n">
        <f aca="false">IF($H2105="",0,IFERROR(MATCH($H2105,GradeList,0),0))</f>
        <v>0</v>
      </c>
      <c r="O2105" s="64" t="n">
        <f aca="false">IF(OR($I2105="",$I2105="NR"),0,IFERROR(MATCH($I2105,GradeList,0),0))</f>
        <v>0</v>
      </c>
      <c r="P2105" s="64" t="n">
        <f aca="false">IF(AND($M2105&gt;0,ISNUMBER(MATCH($F2105,Lists!$A$2:$A$5,0)),ISNUMBER(MATCH($G2105,Lists!$B$2:$B$7,0)),OR($H2105="",$N2105&gt;0),OR($I2105="",$I2105="NR",$O2105&gt;0),IF(ISNUMBER($J2105),AND($J2105&gt;=0,$J2105=INT($J2105)),FALSE())),$J2105,0)</f>
        <v>0</v>
      </c>
      <c r="Q2105" s="64" t="n">
        <f aca="false">IF(AND($P2105&gt;0,$O2105&gt;0),$P2105,0)</f>
        <v>0</v>
      </c>
      <c r="R2105" s="64" t="n">
        <f aca="false">IF(AND($Q2105&gt;0,$O2105&gt;=AtRank),$Q2105,0)</f>
        <v>0</v>
      </c>
      <c r="S2105" s="64" t="n">
        <f aca="false">IF(AND($Q2105&gt;0,$O2105&gt;=AboveRank),$Q2105,0)</f>
        <v>0</v>
      </c>
      <c r="T2105" s="64" t="n">
        <f aca="false">IF($K2105="Less",$P2105,0)</f>
        <v>0</v>
      </c>
      <c r="U2105" s="64" t="n">
        <f aca="false">IF($K2105="Expected",$P2105,0)</f>
        <v>0</v>
      </c>
      <c r="V2105" s="64" t="n">
        <f aca="false">IF($K2105="Better",$P2105,0)</f>
        <v>0</v>
      </c>
      <c r="W2105" s="64" t="n">
        <f aca="false">IF($K2105="U – needs rule",$P2105,0)</f>
        <v>0</v>
      </c>
      <c r="X2105" s="64" t="n">
        <f aca="false">IF($K2105="No Start (attainment only)",$P2105,0)</f>
        <v>0</v>
      </c>
    </row>
    <row r="2106" customFormat="false" ht="15" hidden="false" customHeight="false" outlineLevel="0" collapsed="false">
      <c r="A2106" s="60"/>
      <c r="B2106" s="61" t="str">
        <f aca="false">IF($M2106=0,"",INDEX(Classes!$E$6:$E$420,$M2106))</f>
        <v/>
      </c>
      <c r="C2106" s="62" t="str">
        <f aca="false">IF($M2106=0,"",INDEX(Classes!$H$6:$H$420,$M2106))</f>
        <v/>
      </c>
      <c r="D2106" s="61" t="str">
        <f aca="false">IF($M2106=0,"",INDEX(Classes!$B$6:$B$420,$M2106))</f>
        <v/>
      </c>
      <c r="E2106" s="61" t="str">
        <f aca="false">IF($M2106=0,"",INDEX(Classes!$C$6:$C$420,$M2106))</f>
        <v/>
      </c>
      <c r="F2106" s="63"/>
      <c r="G2106" s="63"/>
      <c r="H2106" s="60"/>
      <c r="I2106" s="60"/>
      <c r="J2106" s="63"/>
      <c r="K2106" s="61" t="str">
        <f aca="false">IF($P2106=0,"",IF($F2106="Baseline","— Baseline",IF($O2106=0,"No result",IF($N2106=0,"No Start (attainment only)",IF(OR($N2106=1,$O2106=1),"U – needs rule",INDEX(MxBody,MATCH($I2106,MxCurr,0),MATCH($H2106,MxStart,0)))))))</f>
        <v/>
      </c>
      <c r="L2106" s="62" t="str">
        <f aca="false">IF(COUNTA($A2106,$F2106,$G2106,$H2106,$I2106,$J2106)=0,"",IF($M2106=0,"✖ كود الصف غير موجود",IF(ISNA(MATCH($F2106,Lists!$A$2:$A$5,0)),"✖ الفترة غير صحيحة",IF(ISNA(MATCH($G2106,Lists!$B$2:$B$7,0)),"✖ المجموعة غير صحيحة",IF(NOT(OR($H2106="",$N2106&gt;0)),"✖ Start غير صحيح",IF(NOT(OR($I2106="",$I2106="NR",$O2106&gt;0)),"✖ Current غير صحيح",IF(NOT(IF(ISNUMBER($J2106),AND($J2106&gt;=0,$J2106=INT($J2106)),FALSE())),"✖ العدد يجب أن يكون صحيحًا ≥ 0",IF(AND($F2106="Baseline",$H2106&lt;&gt;""),"⚠ Baseline: Start لا يدخل في التقدم",IF($K2106="No Start (attainment only)","ℹ تحصيل فقط (بدون Start)",IF($K2106="U – needs rule","ℹ حالة U تحتاج قاعدة معتمدة",IF($K2106="No result","ℹ بدون نتيجة (يُستبعد من التحصيل)","OK")))))))))))</f>
        <v/>
      </c>
      <c r="M2106" s="64" t="n">
        <f aca="false">IF($A2106="",0,IFERROR(MATCH($A2106,Classes!$A$6:$A$420,0),0))</f>
        <v>0</v>
      </c>
      <c r="N2106" s="64" t="n">
        <f aca="false">IF($H2106="",0,IFERROR(MATCH($H2106,GradeList,0),0))</f>
        <v>0</v>
      </c>
      <c r="O2106" s="64" t="n">
        <f aca="false">IF(OR($I2106="",$I2106="NR"),0,IFERROR(MATCH($I2106,GradeList,0),0))</f>
        <v>0</v>
      </c>
      <c r="P2106" s="64" t="n">
        <f aca="false">IF(AND($M2106&gt;0,ISNUMBER(MATCH($F2106,Lists!$A$2:$A$5,0)),ISNUMBER(MATCH($G2106,Lists!$B$2:$B$7,0)),OR($H2106="",$N2106&gt;0),OR($I2106="",$I2106="NR",$O2106&gt;0),IF(ISNUMBER($J2106),AND($J2106&gt;=0,$J2106=INT($J2106)),FALSE())),$J2106,0)</f>
        <v>0</v>
      </c>
      <c r="Q2106" s="64" t="n">
        <f aca="false">IF(AND($P2106&gt;0,$O2106&gt;0),$P2106,0)</f>
        <v>0</v>
      </c>
      <c r="R2106" s="64" t="n">
        <f aca="false">IF(AND($Q2106&gt;0,$O2106&gt;=AtRank),$Q2106,0)</f>
        <v>0</v>
      </c>
      <c r="S2106" s="64" t="n">
        <f aca="false">IF(AND($Q2106&gt;0,$O2106&gt;=AboveRank),$Q2106,0)</f>
        <v>0</v>
      </c>
      <c r="T2106" s="64" t="n">
        <f aca="false">IF($K2106="Less",$P2106,0)</f>
        <v>0</v>
      </c>
      <c r="U2106" s="64" t="n">
        <f aca="false">IF($K2106="Expected",$P2106,0)</f>
        <v>0</v>
      </c>
      <c r="V2106" s="64" t="n">
        <f aca="false">IF($K2106="Better",$P2106,0)</f>
        <v>0</v>
      </c>
      <c r="W2106" s="64" t="n">
        <f aca="false">IF($K2106="U – needs rule",$P2106,0)</f>
        <v>0</v>
      </c>
      <c r="X2106" s="64" t="n">
        <f aca="false">IF($K2106="No Start (attainment only)",$P2106,0)</f>
        <v>0</v>
      </c>
    </row>
    <row r="2107" customFormat="false" ht="15" hidden="false" customHeight="false" outlineLevel="0" collapsed="false">
      <c r="A2107" s="60"/>
      <c r="B2107" s="61" t="str">
        <f aca="false">IF($M2107=0,"",INDEX(Classes!$E$6:$E$420,$M2107))</f>
        <v/>
      </c>
      <c r="C2107" s="62" t="str">
        <f aca="false">IF($M2107=0,"",INDEX(Classes!$H$6:$H$420,$M2107))</f>
        <v/>
      </c>
      <c r="D2107" s="61" t="str">
        <f aca="false">IF($M2107=0,"",INDEX(Classes!$B$6:$B$420,$M2107))</f>
        <v/>
      </c>
      <c r="E2107" s="61" t="str">
        <f aca="false">IF($M2107=0,"",INDEX(Classes!$C$6:$C$420,$M2107))</f>
        <v/>
      </c>
      <c r="F2107" s="63"/>
      <c r="G2107" s="63"/>
      <c r="H2107" s="60"/>
      <c r="I2107" s="60"/>
      <c r="J2107" s="63"/>
      <c r="K2107" s="61" t="str">
        <f aca="false">IF($P2107=0,"",IF($F2107="Baseline","— Baseline",IF($O2107=0,"No result",IF($N2107=0,"No Start (attainment only)",IF(OR($N2107=1,$O2107=1),"U – needs rule",INDEX(MxBody,MATCH($I2107,MxCurr,0),MATCH($H2107,MxStart,0)))))))</f>
        <v/>
      </c>
      <c r="L2107" s="62" t="str">
        <f aca="false">IF(COUNTA($A2107,$F2107,$G2107,$H2107,$I2107,$J2107)=0,"",IF($M2107=0,"✖ كود الصف غير موجود",IF(ISNA(MATCH($F2107,Lists!$A$2:$A$5,0)),"✖ الفترة غير صحيحة",IF(ISNA(MATCH($G2107,Lists!$B$2:$B$7,0)),"✖ المجموعة غير صحيحة",IF(NOT(OR($H2107="",$N2107&gt;0)),"✖ Start غير صحيح",IF(NOT(OR($I2107="",$I2107="NR",$O2107&gt;0)),"✖ Current غير صحيح",IF(NOT(IF(ISNUMBER($J2107),AND($J2107&gt;=0,$J2107=INT($J2107)),FALSE())),"✖ العدد يجب أن يكون صحيحًا ≥ 0",IF(AND($F2107="Baseline",$H2107&lt;&gt;""),"⚠ Baseline: Start لا يدخل في التقدم",IF($K2107="No Start (attainment only)","ℹ تحصيل فقط (بدون Start)",IF($K2107="U – needs rule","ℹ حالة U تحتاج قاعدة معتمدة",IF($K2107="No result","ℹ بدون نتيجة (يُستبعد من التحصيل)","OK")))))))))))</f>
        <v/>
      </c>
      <c r="M2107" s="64" t="n">
        <f aca="false">IF($A2107="",0,IFERROR(MATCH($A2107,Classes!$A$6:$A$420,0),0))</f>
        <v>0</v>
      </c>
      <c r="N2107" s="64" t="n">
        <f aca="false">IF($H2107="",0,IFERROR(MATCH($H2107,GradeList,0),0))</f>
        <v>0</v>
      </c>
      <c r="O2107" s="64" t="n">
        <f aca="false">IF(OR($I2107="",$I2107="NR"),0,IFERROR(MATCH($I2107,GradeList,0),0))</f>
        <v>0</v>
      </c>
      <c r="P2107" s="64" t="n">
        <f aca="false">IF(AND($M2107&gt;0,ISNUMBER(MATCH($F2107,Lists!$A$2:$A$5,0)),ISNUMBER(MATCH($G2107,Lists!$B$2:$B$7,0)),OR($H2107="",$N2107&gt;0),OR($I2107="",$I2107="NR",$O2107&gt;0),IF(ISNUMBER($J2107),AND($J2107&gt;=0,$J2107=INT($J2107)),FALSE())),$J2107,0)</f>
        <v>0</v>
      </c>
      <c r="Q2107" s="64" t="n">
        <f aca="false">IF(AND($P2107&gt;0,$O2107&gt;0),$P2107,0)</f>
        <v>0</v>
      </c>
      <c r="R2107" s="64" t="n">
        <f aca="false">IF(AND($Q2107&gt;0,$O2107&gt;=AtRank),$Q2107,0)</f>
        <v>0</v>
      </c>
      <c r="S2107" s="64" t="n">
        <f aca="false">IF(AND($Q2107&gt;0,$O2107&gt;=AboveRank),$Q2107,0)</f>
        <v>0</v>
      </c>
      <c r="T2107" s="64" t="n">
        <f aca="false">IF($K2107="Less",$P2107,0)</f>
        <v>0</v>
      </c>
      <c r="U2107" s="64" t="n">
        <f aca="false">IF($K2107="Expected",$P2107,0)</f>
        <v>0</v>
      </c>
      <c r="V2107" s="64" t="n">
        <f aca="false">IF($K2107="Better",$P2107,0)</f>
        <v>0</v>
      </c>
      <c r="W2107" s="64" t="n">
        <f aca="false">IF($K2107="U – needs rule",$P2107,0)</f>
        <v>0</v>
      </c>
      <c r="X2107" s="64" t="n">
        <f aca="false">IF($K2107="No Start (attainment only)",$P2107,0)</f>
        <v>0</v>
      </c>
    </row>
    <row r="2108" customFormat="false" ht="15" hidden="false" customHeight="false" outlineLevel="0" collapsed="false">
      <c r="A2108" s="60"/>
      <c r="B2108" s="61" t="str">
        <f aca="false">IF($M2108=0,"",INDEX(Classes!$E$6:$E$420,$M2108))</f>
        <v/>
      </c>
      <c r="C2108" s="62" t="str">
        <f aca="false">IF($M2108=0,"",INDEX(Classes!$H$6:$H$420,$M2108))</f>
        <v/>
      </c>
      <c r="D2108" s="61" t="str">
        <f aca="false">IF($M2108=0,"",INDEX(Classes!$B$6:$B$420,$M2108))</f>
        <v/>
      </c>
      <c r="E2108" s="61" t="str">
        <f aca="false">IF($M2108=0,"",INDEX(Classes!$C$6:$C$420,$M2108))</f>
        <v/>
      </c>
      <c r="F2108" s="63"/>
      <c r="G2108" s="63"/>
      <c r="H2108" s="60"/>
      <c r="I2108" s="60"/>
      <c r="J2108" s="63"/>
      <c r="K2108" s="61" t="str">
        <f aca="false">IF($P2108=0,"",IF($F2108="Baseline","— Baseline",IF($O2108=0,"No result",IF($N2108=0,"No Start (attainment only)",IF(OR($N2108=1,$O2108=1),"U – needs rule",INDEX(MxBody,MATCH($I2108,MxCurr,0),MATCH($H2108,MxStart,0)))))))</f>
        <v/>
      </c>
      <c r="L2108" s="62" t="str">
        <f aca="false">IF(COUNTA($A2108,$F2108,$G2108,$H2108,$I2108,$J2108)=0,"",IF($M2108=0,"✖ كود الصف غير موجود",IF(ISNA(MATCH($F2108,Lists!$A$2:$A$5,0)),"✖ الفترة غير صحيحة",IF(ISNA(MATCH($G2108,Lists!$B$2:$B$7,0)),"✖ المجموعة غير صحيحة",IF(NOT(OR($H2108="",$N2108&gt;0)),"✖ Start غير صحيح",IF(NOT(OR($I2108="",$I2108="NR",$O2108&gt;0)),"✖ Current غير صحيح",IF(NOT(IF(ISNUMBER($J2108),AND($J2108&gt;=0,$J2108=INT($J2108)),FALSE())),"✖ العدد يجب أن يكون صحيحًا ≥ 0",IF(AND($F2108="Baseline",$H2108&lt;&gt;""),"⚠ Baseline: Start لا يدخل في التقدم",IF($K2108="No Start (attainment only)","ℹ تحصيل فقط (بدون Start)",IF($K2108="U – needs rule","ℹ حالة U تحتاج قاعدة معتمدة",IF($K2108="No result","ℹ بدون نتيجة (يُستبعد من التحصيل)","OK")))))))))))</f>
        <v/>
      </c>
      <c r="M2108" s="64" t="n">
        <f aca="false">IF($A2108="",0,IFERROR(MATCH($A2108,Classes!$A$6:$A$420,0),0))</f>
        <v>0</v>
      </c>
      <c r="N2108" s="64" t="n">
        <f aca="false">IF($H2108="",0,IFERROR(MATCH($H2108,GradeList,0),0))</f>
        <v>0</v>
      </c>
      <c r="O2108" s="64" t="n">
        <f aca="false">IF(OR($I2108="",$I2108="NR"),0,IFERROR(MATCH($I2108,GradeList,0),0))</f>
        <v>0</v>
      </c>
      <c r="P2108" s="64" t="n">
        <f aca="false">IF(AND($M2108&gt;0,ISNUMBER(MATCH($F2108,Lists!$A$2:$A$5,0)),ISNUMBER(MATCH($G2108,Lists!$B$2:$B$7,0)),OR($H2108="",$N2108&gt;0),OR($I2108="",$I2108="NR",$O2108&gt;0),IF(ISNUMBER($J2108),AND($J2108&gt;=0,$J2108=INT($J2108)),FALSE())),$J2108,0)</f>
        <v>0</v>
      </c>
      <c r="Q2108" s="64" t="n">
        <f aca="false">IF(AND($P2108&gt;0,$O2108&gt;0),$P2108,0)</f>
        <v>0</v>
      </c>
      <c r="R2108" s="64" t="n">
        <f aca="false">IF(AND($Q2108&gt;0,$O2108&gt;=AtRank),$Q2108,0)</f>
        <v>0</v>
      </c>
      <c r="S2108" s="64" t="n">
        <f aca="false">IF(AND($Q2108&gt;0,$O2108&gt;=AboveRank),$Q2108,0)</f>
        <v>0</v>
      </c>
      <c r="T2108" s="64" t="n">
        <f aca="false">IF($K2108="Less",$P2108,0)</f>
        <v>0</v>
      </c>
      <c r="U2108" s="64" t="n">
        <f aca="false">IF($K2108="Expected",$P2108,0)</f>
        <v>0</v>
      </c>
      <c r="V2108" s="64" t="n">
        <f aca="false">IF($K2108="Better",$P2108,0)</f>
        <v>0</v>
      </c>
      <c r="W2108" s="64" t="n">
        <f aca="false">IF($K2108="U – needs rule",$P2108,0)</f>
        <v>0</v>
      </c>
      <c r="X2108" s="64" t="n">
        <f aca="false">IF($K2108="No Start (attainment only)",$P2108,0)</f>
        <v>0</v>
      </c>
    </row>
    <row r="2109" customFormat="false" ht="15" hidden="false" customHeight="false" outlineLevel="0" collapsed="false">
      <c r="A2109" s="60"/>
      <c r="B2109" s="61" t="str">
        <f aca="false">IF($M2109=0,"",INDEX(Classes!$E$6:$E$420,$M2109))</f>
        <v/>
      </c>
      <c r="C2109" s="62" t="str">
        <f aca="false">IF($M2109=0,"",INDEX(Classes!$H$6:$H$420,$M2109))</f>
        <v/>
      </c>
      <c r="D2109" s="61" t="str">
        <f aca="false">IF($M2109=0,"",INDEX(Classes!$B$6:$B$420,$M2109))</f>
        <v/>
      </c>
      <c r="E2109" s="61" t="str">
        <f aca="false">IF($M2109=0,"",INDEX(Classes!$C$6:$C$420,$M2109))</f>
        <v/>
      </c>
      <c r="F2109" s="63"/>
      <c r="G2109" s="63"/>
      <c r="H2109" s="60"/>
      <c r="I2109" s="60"/>
      <c r="J2109" s="63"/>
      <c r="K2109" s="61" t="str">
        <f aca="false">IF($P2109=0,"",IF($F2109="Baseline","— Baseline",IF($O2109=0,"No result",IF($N2109=0,"No Start (attainment only)",IF(OR($N2109=1,$O2109=1),"U – needs rule",INDEX(MxBody,MATCH($I2109,MxCurr,0),MATCH($H2109,MxStart,0)))))))</f>
        <v/>
      </c>
      <c r="L2109" s="62" t="str">
        <f aca="false">IF(COUNTA($A2109,$F2109,$G2109,$H2109,$I2109,$J2109)=0,"",IF($M2109=0,"✖ كود الصف غير موجود",IF(ISNA(MATCH($F2109,Lists!$A$2:$A$5,0)),"✖ الفترة غير صحيحة",IF(ISNA(MATCH($G2109,Lists!$B$2:$B$7,0)),"✖ المجموعة غير صحيحة",IF(NOT(OR($H2109="",$N2109&gt;0)),"✖ Start غير صحيح",IF(NOT(OR($I2109="",$I2109="NR",$O2109&gt;0)),"✖ Current غير صحيح",IF(NOT(IF(ISNUMBER($J2109),AND($J2109&gt;=0,$J2109=INT($J2109)),FALSE())),"✖ العدد يجب أن يكون صحيحًا ≥ 0",IF(AND($F2109="Baseline",$H2109&lt;&gt;""),"⚠ Baseline: Start لا يدخل في التقدم",IF($K2109="No Start (attainment only)","ℹ تحصيل فقط (بدون Start)",IF($K2109="U – needs rule","ℹ حالة U تحتاج قاعدة معتمدة",IF($K2109="No result","ℹ بدون نتيجة (يُستبعد من التحصيل)","OK")))))))))))</f>
        <v/>
      </c>
      <c r="M2109" s="64" t="n">
        <f aca="false">IF($A2109="",0,IFERROR(MATCH($A2109,Classes!$A$6:$A$420,0),0))</f>
        <v>0</v>
      </c>
      <c r="N2109" s="64" t="n">
        <f aca="false">IF($H2109="",0,IFERROR(MATCH($H2109,GradeList,0),0))</f>
        <v>0</v>
      </c>
      <c r="O2109" s="64" t="n">
        <f aca="false">IF(OR($I2109="",$I2109="NR"),0,IFERROR(MATCH($I2109,GradeList,0),0))</f>
        <v>0</v>
      </c>
      <c r="P2109" s="64" t="n">
        <f aca="false">IF(AND($M2109&gt;0,ISNUMBER(MATCH($F2109,Lists!$A$2:$A$5,0)),ISNUMBER(MATCH($G2109,Lists!$B$2:$B$7,0)),OR($H2109="",$N2109&gt;0),OR($I2109="",$I2109="NR",$O2109&gt;0),IF(ISNUMBER($J2109),AND($J2109&gt;=0,$J2109=INT($J2109)),FALSE())),$J2109,0)</f>
        <v>0</v>
      </c>
      <c r="Q2109" s="64" t="n">
        <f aca="false">IF(AND($P2109&gt;0,$O2109&gt;0),$P2109,0)</f>
        <v>0</v>
      </c>
      <c r="R2109" s="64" t="n">
        <f aca="false">IF(AND($Q2109&gt;0,$O2109&gt;=AtRank),$Q2109,0)</f>
        <v>0</v>
      </c>
      <c r="S2109" s="64" t="n">
        <f aca="false">IF(AND($Q2109&gt;0,$O2109&gt;=AboveRank),$Q2109,0)</f>
        <v>0</v>
      </c>
      <c r="T2109" s="64" t="n">
        <f aca="false">IF($K2109="Less",$P2109,0)</f>
        <v>0</v>
      </c>
      <c r="U2109" s="64" t="n">
        <f aca="false">IF($K2109="Expected",$P2109,0)</f>
        <v>0</v>
      </c>
      <c r="V2109" s="64" t="n">
        <f aca="false">IF($K2109="Better",$P2109,0)</f>
        <v>0</v>
      </c>
      <c r="W2109" s="64" t="n">
        <f aca="false">IF($K2109="U – needs rule",$P2109,0)</f>
        <v>0</v>
      </c>
      <c r="X2109" s="64" t="n">
        <f aca="false">IF($K2109="No Start (attainment only)",$P2109,0)</f>
        <v>0</v>
      </c>
    </row>
    <row r="2110" customFormat="false" ht="15" hidden="false" customHeight="false" outlineLevel="0" collapsed="false">
      <c r="A2110" s="60"/>
      <c r="B2110" s="61" t="str">
        <f aca="false">IF($M2110=0,"",INDEX(Classes!$E$6:$E$420,$M2110))</f>
        <v/>
      </c>
      <c r="C2110" s="62" t="str">
        <f aca="false">IF($M2110=0,"",INDEX(Classes!$H$6:$H$420,$M2110))</f>
        <v/>
      </c>
      <c r="D2110" s="61" t="str">
        <f aca="false">IF($M2110=0,"",INDEX(Classes!$B$6:$B$420,$M2110))</f>
        <v/>
      </c>
      <c r="E2110" s="61" t="str">
        <f aca="false">IF($M2110=0,"",INDEX(Classes!$C$6:$C$420,$M2110))</f>
        <v/>
      </c>
      <c r="F2110" s="63"/>
      <c r="G2110" s="63"/>
      <c r="H2110" s="60"/>
      <c r="I2110" s="60"/>
      <c r="J2110" s="63"/>
      <c r="K2110" s="61" t="str">
        <f aca="false">IF($P2110=0,"",IF($F2110="Baseline","— Baseline",IF($O2110=0,"No result",IF($N2110=0,"No Start (attainment only)",IF(OR($N2110=1,$O2110=1),"U – needs rule",INDEX(MxBody,MATCH($I2110,MxCurr,0),MATCH($H2110,MxStart,0)))))))</f>
        <v/>
      </c>
      <c r="L2110" s="62" t="str">
        <f aca="false">IF(COUNTA($A2110,$F2110,$G2110,$H2110,$I2110,$J2110)=0,"",IF($M2110=0,"✖ كود الصف غير موجود",IF(ISNA(MATCH($F2110,Lists!$A$2:$A$5,0)),"✖ الفترة غير صحيحة",IF(ISNA(MATCH($G2110,Lists!$B$2:$B$7,0)),"✖ المجموعة غير صحيحة",IF(NOT(OR($H2110="",$N2110&gt;0)),"✖ Start غير صحيح",IF(NOT(OR($I2110="",$I2110="NR",$O2110&gt;0)),"✖ Current غير صحيح",IF(NOT(IF(ISNUMBER($J2110),AND($J2110&gt;=0,$J2110=INT($J2110)),FALSE())),"✖ العدد يجب أن يكون صحيحًا ≥ 0",IF(AND($F2110="Baseline",$H2110&lt;&gt;""),"⚠ Baseline: Start لا يدخل في التقدم",IF($K2110="No Start (attainment only)","ℹ تحصيل فقط (بدون Start)",IF($K2110="U – needs rule","ℹ حالة U تحتاج قاعدة معتمدة",IF($K2110="No result","ℹ بدون نتيجة (يُستبعد من التحصيل)","OK")))))))))))</f>
        <v/>
      </c>
      <c r="M2110" s="64" t="n">
        <f aca="false">IF($A2110="",0,IFERROR(MATCH($A2110,Classes!$A$6:$A$420,0),0))</f>
        <v>0</v>
      </c>
      <c r="N2110" s="64" t="n">
        <f aca="false">IF($H2110="",0,IFERROR(MATCH($H2110,GradeList,0),0))</f>
        <v>0</v>
      </c>
      <c r="O2110" s="64" t="n">
        <f aca="false">IF(OR($I2110="",$I2110="NR"),0,IFERROR(MATCH($I2110,GradeList,0),0))</f>
        <v>0</v>
      </c>
      <c r="P2110" s="64" t="n">
        <f aca="false">IF(AND($M2110&gt;0,ISNUMBER(MATCH($F2110,Lists!$A$2:$A$5,0)),ISNUMBER(MATCH($G2110,Lists!$B$2:$B$7,0)),OR($H2110="",$N2110&gt;0),OR($I2110="",$I2110="NR",$O2110&gt;0),IF(ISNUMBER($J2110),AND($J2110&gt;=0,$J2110=INT($J2110)),FALSE())),$J2110,0)</f>
        <v>0</v>
      </c>
      <c r="Q2110" s="64" t="n">
        <f aca="false">IF(AND($P2110&gt;0,$O2110&gt;0),$P2110,0)</f>
        <v>0</v>
      </c>
      <c r="R2110" s="64" t="n">
        <f aca="false">IF(AND($Q2110&gt;0,$O2110&gt;=AtRank),$Q2110,0)</f>
        <v>0</v>
      </c>
      <c r="S2110" s="64" t="n">
        <f aca="false">IF(AND($Q2110&gt;0,$O2110&gt;=AboveRank),$Q2110,0)</f>
        <v>0</v>
      </c>
      <c r="T2110" s="64" t="n">
        <f aca="false">IF($K2110="Less",$P2110,0)</f>
        <v>0</v>
      </c>
      <c r="U2110" s="64" t="n">
        <f aca="false">IF($K2110="Expected",$P2110,0)</f>
        <v>0</v>
      </c>
      <c r="V2110" s="64" t="n">
        <f aca="false">IF($K2110="Better",$P2110,0)</f>
        <v>0</v>
      </c>
      <c r="W2110" s="64" t="n">
        <f aca="false">IF($K2110="U – needs rule",$P2110,0)</f>
        <v>0</v>
      </c>
      <c r="X2110" s="64" t="n">
        <f aca="false">IF($K2110="No Start (attainment only)",$P2110,0)</f>
        <v>0</v>
      </c>
    </row>
    <row r="2111" customFormat="false" ht="15" hidden="false" customHeight="false" outlineLevel="0" collapsed="false">
      <c r="A2111" s="60"/>
      <c r="B2111" s="61" t="str">
        <f aca="false">IF($M2111=0,"",INDEX(Classes!$E$6:$E$420,$M2111))</f>
        <v/>
      </c>
      <c r="C2111" s="62" t="str">
        <f aca="false">IF($M2111=0,"",INDEX(Classes!$H$6:$H$420,$M2111))</f>
        <v/>
      </c>
      <c r="D2111" s="61" t="str">
        <f aca="false">IF($M2111=0,"",INDEX(Classes!$B$6:$B$420,$M2111))</f>
        <v/>
      </c>
      <c r="E2111" s="61" t="str">
        <f aca="false">IF($M2111=0,"",INDEX(Classes!$C$6:$C$420,$M2111))</f>
        <v/>
      </c>
      <c r="F2111" s="63"/>
      <c r="G2111" s="63"/>
      <c r="H2111" s="60"/>
      <c r="I2111" s="60"/>
      <c r="J2111" s="63"/>
      <c r="K2111" s="61" t="str">
        <f aca="false">IF($P2111=0,"",IF($F2111="Baseline","— Baseline",IF($O2111=0,"No result",IF($N2111=0,"No Start (attainment only)",IF(OR($N2111=1,$O2111=1),"U – needs rule",INDEX(MxBody,MATCH($I2111,MxCurr,0),MATCH($H2111,MxStart,0)))))))</f>
        <v/>
      </c>
      <c r="L2111" s="62" t="str">
        <f aca="false">IF(COUNTA($A2111,$F2111,$G2111,$H2111,$I2111,$J2111)=0,"",IF($M2111=0,"✖ كود الصف غير موجود",IF(ISNA(MATCH($F2111,Lists!$A$2:$A$5,0)),"✖ الفترة غير صحيحة",IF(ISNA(MATCH($G2111,Lists!$B$2:$B$7,0)),"✖ المجموعة غير صحيحة",IF(NOT(OR($H2111="",$N2111&gt;0)),"✖ Start غير صحيح",IF(NOT(OR($I2111="",$I2111="NR",$O2111&gt;0)),"✖ Current غير صحيح",IF(NOT(IF(ISNUMBER($J2111),AND($J2111&gt;=0,$J2111=INT($J2111)),FALSE())),"✖ العدد يجب أن يكون صحيحًا ≥ 0",IF(AND($F2111="Baseline",$H2111&lt;&gt;""),"⚠ Baseline: Start لا يدخل في التقدم",IF($K2111="No Start (attainment only)","ℹ تحصيل فقط (بدون Start)",IF($K2111="U – needs rule","ℹ حالة U تحتاج قاعدة معتمدة",IF($K2111="No result","ℹ بدون نتيجة (يُستبعد من التحصيل)","OK")))))))))))</f>
        <v/>
      </c>
      <c r="M2111" s="64" t="n">
        <f aca="false">IF($A2111="",0,IFERROR(MATCH($A2111,Classes!$A$6:$A$420,0),0))</f>
        <v>0</v>
      </c>
      <c r="N2111" s="64" t="n">
        <f aca="false">IF($H2111="",0,IFERROR(MATCH($H2111,GradeList,0),0))</f>
        <v>0</v>
      </c>
      <c r="O2111" s="64" t="n">
        <f aca="false">IF(OR($I2111="",$I2111="NR"),0,IFERROR(MATCH($I2111,GradeList,0),0))</f>
        <v>0</v>
      </c>
      <c r="P2111" s="64" t="n">
        <f aca="false">IF(AND($M2111&gt;0,ISNUMBER(MATCH($F2111,Lists!$A$2:$A$5,0)),ISNUMBER(MATCH($G2111,Lists!$B$2:$B$7,0)),OR($H2111="",$N2111&gt;0),OR($I2111="",$I2111="NR",$O2111&gt;0),IF(ISNUMBER($J2111),AND($J2111&gt;=0,$J2111=INT($J2111)),FALSE())),$J2111,0)</f>
        <v>0</v>
      </c>
      <c r="Q2111" s="64" t="n">
        <f aca="false">IF(AND($P2111&gt;0,$O2111&gt;0),$P2111,0)</f>
        <v>0</v>
      </c>
      <c r="R2111" s="64" t="n">
        <f aca="false">IF(AND($Q2111&gt;0,$O2111&gt;=AtRank),$Q2111,0)</f>
        <v>0</v>
      </c>
      <c r="S2111" s="64" t="n">
        <f aca="false">IF(AND($Q2111&gt;0,$O2111&gt;=AboveRank),$Q2111,0)</f>
        <v>0</v>
      </c>
      <c r="T2111" s="64" t="n">
        <f aca="false">IF($K2111="Less",$P2111,0)</f>
        <v>0</v>
      </c>
      <c r="U2111" s="64" t="n">
        <f aca="false">IF($K2111="Expected",$P2111,0)</f>
        <v>0</v>
      </c>
      <c r="V2111" s="64" t="n">
        <f aca="false">IF($K2111="Better",$P2111,0)</f>
        <v>0</v>
      </c>
      <c r="W2111" s="64" t="n">
        <f aca="false">IF($K2111="U – needs rule",$P2111,0)</f>
        <v>0</v>
      </c>
      <c r="X2111" s="64" t="n">
        <f aca="false">IF($K2111="No Start (attainment only)",$P2111,0)</f>
        <v>0</v>
      </c>
    </row>
    <row r="2112" customFormat="false" ht="15" hidden="false" customHeight="false" outlineLevel="0" collapsed="false">
      <c r="A2112" s="60"/>
      <c r="B2112" s="61" t="str">
        <f aca="false">IF($M2112=0,"",INDEX(Classes!$E$6:$E$420,$M2112))</f>
        <v/>
      </c>
      <c r="C2112" s="62" t="str">
        <f aca="false">IF($M2112=0,"",INDEX(Classes!$H$6:$H$420,$M2112))</f>
        <v/>
      </c>
      <c r="D2112" s="61" t="str">
        <f aca="false">IF($M2112=0,"",INDEX(Classes!$B$6:$B$420,$M2112))</f>
        <v/>
      </c>
      <c r="E2112" s="61" t="str">
        <f aca="false">IF($M2112=0,"",INDEX(Classes!$C$6:$C$420,$M2112))</f>
        <v/>
      </c>
      <c r="F2112" s="63"/>
      <c r="G2112" s="63"/>
      <c r="H2112" s="60"/>
      <c r="I2112" s="60"/>
      <c r="J2112" s="63"/>
      <c r="K2112" s="61" t="str">
        <f aca="false">IF($P2112=0,"",IF($F2112="Baseline","— Baseline",IF($O2112=0,"No result",IF($N2112=0,"No Start (attainment only)",IF(OR($N2112=1,$O2112=1),"U – needs rule",INDEX(MxBody,MATCH($I2112,MxCurr,0),MATCH($H2112,MxStart,0)))))))</f>
        <v/>
      </c>
      <c r="L2112" s="62" t="str">
        <f aca="false">IF(COUNTA($A2112,$F2112,$G2112,$H2112,$I2112,$J2112)=0,"",IF($M2112=0,"✖ كود الصف غير موجود",IF(ISNA(MATCH($F2112,Lists!$A$2:$A$5,0)),"✖ الفترة غير صحيحة",IF(ISNA(MATCH($G2112,Lists!$B$2:$B$7,0)),"✖ المجموعة غير صحيحة",IF(NOT(OR($H2112="",$N2112&gt;0)),"✖ Start غير صحيح",IF(NOT(OR($I2112="",$I2112="NR",$O2112&gt;0)),"✖ Current غير صحيح",IF(NOT(IF(ISNUMBER($J2112),AND($J2112&gt;=0,$J2112=INT($J2112)),FALSE())),"✖ العدد يجب أن يكون صحيحًا ≥ 0",IF(AND($F2112="Baseline",$H2112&lt;&gt;""),"⚠ Baseline: Start لا يدخل في التقدم",IF($K2112="No Start (attainment only)","ℹ تحصيل فقط (بدون Start)",IF($K2112="U – needs rule","ℹ حالة U تحتاج قاعدة معتمدة",IF($K2112="No result","ℹ بدون نتيجة (يُستبعد من التحصيل)","OK")))))))))))</f>
        <v/>
      </c>
      <c r="M2112" s="64" t="n">
        <f aca="false">IF($A2112="",0,IFERROR(MATCH($A2112,Classes!$A$6:$A$420,0),0))</f>
        <v>0</v>
      </c>
      <c r="N2112" s="64" t="n">
        <f aca="false">IF($H2112="",0,IFERROR(MATCH($H2112,GradeList,0),0))</f>
        <v>0</v>
      </c>
      <c r="O2112" s="64" t="n">
        <f aca="false">IF(OR($I2112="",$I2112="NR"),0,IFERROR(MATCH($I2112,GradeList,0),0))</f>
        <v>0</v>
      </c>
      <c r="P2112" s="64" t="n">
        <f aca="false">IF(AND($M2112&gt;0,ISNUMBER(MATCH($F2112,Lists!$A$2:$A$5,0)),ISNUMBER(MATCH($G2112,Lists!$B$2:$B$7,0)),OR($H2112="",$N2112&gt;0),OR($I2112="",$I2112="NR",$O2112&gt;0),IF(ISNUMBER($J2112),AND($J2112&gt;=0,$J2112=INT($J2112)),FALSE())),$J2112,0)</f>
        <v>0</v>
      </c>
      <c r="Q2112" s="64" t="n">
        <f aca="false">IF(AND($P2112&gt;0,$O2112&gt;0),$P2112,0)</f>
        <v>0</v>
      </c>
      <c r="R2112" s="64" t="n">
        <f aca="false">IF(AND($Q2112&gt;0,$O2112&gt;=AtRank),$Q2112,0)</f>
        <v>0</v>
      </c>
      <c r="S2112" s="64" t="n">
        <f aca="false">IF(AND($Q2112&gt;0,$O2112&gt;=AboveRank),$Q2112,0)</f>
        <v>0</v>
      </c>
      <c r="T2112" s="64" t="n">
        <f aca="false">IF($K2112="Less",$P2112,0)</f>
        <v>0</v>
      </c>
      <c r="U2112" s="64" t="n">
        <f aca="false">IF($K2112="Expected",$P2112,0)</f>
        <v>0</v>
      </c>
      <c r="V2112" s="64" t="n">
        <f aca="false">IF($K2112="Better",$P2112,0)</f>
        <v>0</v>
      </c>
      <c r="W2112" s="64" t="n">
        <f aca="false">IF($K2112="U – needs rule",$P2112,0)</f>
        <v>0</v>
      </c>
      <c r="X2112" s="64" t="n">
        <f aca="false">IF($K2112="No Start (attainment only)",$P2112,0)</f>
        <v>0</v>
      </c>
    </row>
    <row r="2113" customFormat="false" ht="15" hidden="false" customHeight="false" outlineLevel="0" collapsed="false">
      <c r="A2113" s="60"/>
      <c r="B2113" s="61" t="str">
        <f aca="false">IF($M2113=0,"",INDEX(Classes!$E$6:$E$420,$M2113))</f>
        <v/>
      </c>
      <c r="C2113" s="62" t="str">
        <f aca="false">IF($M2113=0,"",INDEX(Classes!$H$6:$H$420,$M2113))</f>
        <v/>
      </c>
      <c r="D2113" s="61" t="str">
        <f aca="false">IF($M2113=0,"",INDEX(Classes!$B$6:$B$420,$M2113))</f>
        <v/>
      </c>
      <c r="E2113" s="61" t="str">
        <f aca="false">IF($M2113=0,"",INDEX(Classes!$C$6:$C$420,$M2113))</f>
        <v/>
      </c>
      <c r="F2113" s="63"/>
      <c r="G2113" s="63"/>
      <c r="H2113" s="60"/>
      <c r="I2113" s="60"/>
      <c r="J2113" s="63"/>
      <c r="K2113" s="61" t="str">
        <f aca="false">IF($P2113=0,"",IF($F2113="Baseline","— Baseline",IF($O2113=0,"No result",IF($N2113=0,"No Start (attainment only)",IF(OR($N2113=1,$O2113=1),"U – needs rule",INDEX(MxBody,MATCH($I2113,MxCurr,0),MATCH($H2113,MxStart,0)))))))</f>
        <v/>
      </c>
      <c r="L2113" s="62" t="str">
        <f aca="false">IF(COUNTA($A2113,$F2113,$G2113,$H2113,$I2113,$J2113)=0,"",IF($M2113=0,"✖ كود الصف غير موجود",IF(ISNA(MATCH($F2113,Lists!$A$2:$A$5,0)),"✖ الفترة غير صحيحة",IF(ISNA(MATCH($G2113,Lists!$B$2:$B$7,0)),"✖ المجموعة غير صحيحة",IF(NOT(OR($H2113="",$N2113&gt;0)),"✖ Start غير صحيح",IF(NOT(OR($I2113="",$I2113="NR",$O2113&gt;0)),"✖ Current غير صحيح",IF(NOT(IF(ISNUMBER($J2113),AND($J2113&gt;=0,$J2113=INT($J2113)),FALSE())),"✖ العدد يجب أن يكون صحيحًا ≥ 0",IF(AND($F2113="Baseline",$H2113&lt;&gt;""),"⚠ Baseline: Start لا يدخل في التقدم",IF($K2113="No Start (attainment only)","ℹ تحصيل فقط (بدون Start)",IF($K2113="U – needs rule","ℹ حالة U تحتاج قاعدة معتمدة",IF($K2113="No result","ℹ بدون نتيجة (يُستبعد من التحصيل)","OK")))))))))))</f>
        <v/>
      </c>
      <c r="M2113" s="64" t="n">
        <f aca="false">IF($A2113="",0,IFERROR(MATCH($A2113,Classes!$A$6:$A$420,0),0))</f>
        <v>0</v>
      </c>
      <c r="N2113" s="64" t="n">
        <f aca="false">IF($H2113="",0,IFERROR(MATCH($H2113,GradeList,0),0))</f>
        <v>0</v>
      </c>
      <c r="O2113" s="64" t="n">
        <f aca="false">IF(OR($I2113="",$I2113="NR"),0,IFERROR(MATCH($I2113,GradeList,0),0))</f>
        <v>0</v>
      </c>
      <c r="P2113" s="64" t="n">
        <f aca="false">IF(AND($M2113&gt;0,ISNUMBER(MATCH($F2113,Lists!$A$2:$A$5,0)),ISNUMBER(MATCH($G2113,Lists!$B$2:$B$7,0)),OR($H2113="",$N2113&gt;0),OR($I2113="",$I2113="NR",$O2113&gt;0),IF(ISNUMBER($J2113),AND($J2113&gt;=0,$J2113=INT($J2113)),FALSE())),$J2113,0)</f>
        <v>0</v>
      </c>
      <c r="Q2113" s="64" t="n">
        <f aca="false">IF(AND($P2113&gt;0,$O2113&gt;0),$P2113,0)</f>
        <v>0</v>
      </c>
      <c r="R2113" s="64" t="n">
        <f aca="false">IF(AND($Q2113&gt;0,$O2113&gt;=AtRank),$Q2113,0)</f>
        <v>0</v>
      </c>
      <c r="S2113" s="64" t="n">
        <f aca="false">IF(AND($Q2113&gt;0,$O2113&gt;=AboveRank),$Q2113,0)</f>
        <v>0</v>
      </c>
      <c r="T2113" s="64" t="n">
        <f aca="false">IF($K2113="Less",$P2113,0)</f>
        <v>0</v>
      </c>
      <c r="U2113" s="64" t="n">
        <f aca="false">IF($K2113="Expected",$P2113,0)</f>
        <v>0</v>
      </c>
      <c r="V2113" s="64" t="n">
        <f aca="false">IF($K2113="Better",$P2113,0)</f>
        <v>0</v>
      </c>
      <c r="W2113" s="64" t="n">
        <f aca="false">IF($K2113="U – needs rule",$P2113,0)</f>
        <v>0</v>
      </c>
      <c r="X2113" s="64" t="n">
        <f aca="false">IF($K2113="No Start (attainment only)",$P2113,0)</f>
        <v>0</v>
      </c>
    </row>
    <row r="2114" customFormat="false" ht="15" hidden="false" customHeight="false" outlineLevel="0" collapsed="false">
      <c r="A2114" s="60"/>
      <c r="B2114" s="61" t="str">
        <f aca="false">IF($M2114=0,"",INDEX(Classes!$E$6:$E$420,$M2114))</f>
        <v/>
      </c>
      <c r="C2114" s="62" t="str">
        <f aca="false">IF($M2114=0,"",INDEX(Classes!$H$6:$H$420,$M2114))</f>
        <v/>
      </c>
      <c r="D2114" s="61" t="str">
        <f aca="false">IF($M2114=0,"",INDEX(Classes!$B$6:$B$420,$M2114))</f>
        <v/>
      </c>
      <c r="E2114" s="61" t="str">
        <f aca="false">IF($M2114=0,"",INDEX(Classes!$C$6:$C$420,$M2114))</f>
        <v/>
      </c>
      <c r="F2114" s="63"/>
      <c r="G2114" s="63"/>
      <c r="H2114" s="60"/>
      <c r="I2114" s="60"/>
      <c r="J2114" s="63"/>
      <c r="K2114" s="61" t="str">
        <f aca="false">IF($P2114=0,"",IF($F2114="Baseline","— Baseline",IF($O2114=0,"No result",IF($N2114=0,"No Start (attainment only)",IF(OR($N2114=1,$O2114=1),"U – needs rule",INDEX(MxBody,MATCH($I2114,MxCurr,0),MATCH($H2114,MxStart,0)))))))</f>
        <v/>
      </c>
      <c r="L2114" s="62" t="str">
        <f aca="false">IF(COUNTA($A2114,$F2114,$G2114,$H2114,$I2114,$J2114)=0,"",IF($M2114=0,"✖ كود الصف غير موجود",IF(ISNA(MATCH($F2114,Lists!$A$2:$A$5,0)),"✖ الفترة غير صحيحة",IF(ISNA(MATCH($G2114,Lists!$B$2:$B$7,0)),"✖ المجموعة غير صحيحة",IF(NOT(OR($H2114="",$N2114&gt;0)),"✖ Start غير صحيح",IF(NOT(OR($I2114="",$I2114="NR",$O2114&gt;0)),"✖ Current غير صحيح",IF(NOT(IF(ISNUMBER($J2114),AND($J2114&gt;=0,$J2114=INT($J2114)),FALSE())),"✖ العدد يجب أن يكون صحيحًا ≥ 0",IF(AND($F2114="Baseline",$H2114&lt;&gt;""),"⚠ Baseline: Start لا يدخل في التقدم",IF($K2114="No Start (attainment only)","ℹ تحصيل فقط (بدون Start)",IF($K2114="U – needs rule","ℹ حالة U تحتاج قاعدة معتمدة",IF($K2114="No result","ℹ بدون نتيجة (يُستبعد من التحصيل)","OK")))))))))))</f>
        <v/>
      </c>
      <c r="M2114" s="64" t="n">
        <f aca="false">IF($A2114="",0,IFERROR(MATCH($A2114,Classes!$A$6:$A$420,0),0))</f>
        <v>0</v>
      </c>
      <c r="N2114" s="64" t="n">
        <f aca="false">IF($H2114="",0,IFERROR(MATCH($H2114,GradeList,0),0))</f>
        <v>0</v>
      </c>
      <c r="O2114" s="64" t="n">
        <f aca="false">IF(OR($I2114="",$I2114="NR"),0,IFERROR(MATCH($I2114,GradeList,0),0))</f>
        <v>0</v>
      </c>
      <c r="P2114" s="64" t="n">
        <f aca="false">IF(AND($M2114&gt;0,ISNUMBER(MATCH($F2114,Lists!$A$2:$A$5,0)),ISNUMBER(MATCH($G2114,Lists!$B$2:$B$7,0)),OR($H2114="",$N2114&gt;0),OR($I2114="",$I2114="NR",$O2114&gt;0),IF(ISNUMBER($J2114),AND($J2114&gt;=0,$J2114=INT($J2114)),FALSE())),$J2114,0)</f>
        <v>0</v>
      </c>
      <c r="Q2114" s="64" t="n">
        <f aca="false">IF(AND($P2114&gt;0,$O2114&gt;0),$P2114,0)</f>
        <v>0</v>
      </c>
      <c r="R2114" s="64" t="n">
        <f aca="false">IF(AND($Q2114&gt;0,$O2114&gt;=AtRank),$Q2114,0)</f>
        <v>0</v>
      </c>
      <c r="S2114" s="64" t="n">
        <f aca="false">IF(AND($Q2114&gt;0,$O2114&gt;=AboveRank),$Q2114,0)</f>
        <v>0</v>
      </c>
      <c r="T2114" s="64" t="n">
        <f aca="false">IF($K2114="Less",$P2114,0)</f>
        <v>0</v>
      </c>
      <c r="U2114" s="64" t="n">
        <f aca="false">IF($K2114="Expected",$P2114,0)</f>
        <v>0</v>
      </c>
      <c r="V2114" s="64" t="n">
        <f aca="false">IF($K2114="Better",$P2114,0)</f>
        <v>0</v>
      </c>
      <c r="W2114" s="64" t="n">
        <f aca="false">IF($K2114="U – needs rule",$P2114,0)</f>
        <v>0</v>
      </c>
      <c r="X2114" s="64" t="n">
        <f aca="false">IF($K2114="No Start (attainment only)",$P2114,0)</f>
        <v>0</v>
      </c>
    </row>
    <row r="2115" customFormat="false" ht="15" hidden="false" customHeight="false" outlineLevel="0" collapsed="false">
      <c r="A2115" s="60"/>
      <c r="B2115" s="61" t="str">
        <f aca="false">IF($M2115=0,"",INDEX(Classes!$E$6:$E$420,$M2115))</f>
        <v/>
      </c>
      <c r="C2115" s="62" t="str">
        <f aca="false">IF($M2115=0,"",INDEX(Classes!$H$6:$H$420,$M2115))</f>
        <v/>
      </c>
      <c r="D2115" s="61" t="str">
        <f aca="false">IF($M2115=0,"",INDEX(Classes!$B$6:$B$420,$M2115))</f>
        <v/>
      </c>
      <c r="E2115" s="61" t="str">
        <f aca="false">IF($M2115=0,"",INDEX(Classes!$C$6:$C$420,$M2115))</f>
        <v/>
      </c>
      <c r="F2115" s="63"/>
      <c r="G2115" s="63"/>
      <c r="H2115" s="60"/>
      <c r="I2115" s="60"/>
      <c r="J2115" s="63"/>
      <c r="K2115" s="61" t="str">
        <f aca="false">IF($P2115=0,"",IF($F2115="Baseline","— Baseline",IF($O2115=0,"No result",IF($N2115=0,"No Start (attainment only)",IF(OR($N2115=1,$O2115=1),"U – needs rule",INDEX(MxBody,MATCH($I2115,MxCurr,0),MATCH($H2115,MxStart,0)))))))</f>
        <v/>
      </c>
      <c r="L2115" s="62" t="str">
        <f aca="false">IF(COUNTA($A2115,$F2115,$G2115,$H2115,$I2115,$J2115)=0,"",IF($M2115=0,"✖ كود الصف غير موجود",IF(ISNA(MATCH($F2115,Lists!$A$2:$A$5,0)),"✖ الفترة غير صحيحة",IF(ISNA(MATCH($G2115,Lists!$B$2:$B$7,0)),"✖ المجموعة غير صحيحة",IF(NOT(OR($H2115="",$N2115&gt;0)),"✖ Start غير صحيح",IF(NOT(OR($I2115="",$I2115="NR",$O2115&gt;0)),"✖ Current غير صحيح",IF(NOT(IF(ISNUMBER($J2115),AND($J2115&gt;=0,$J2115=INT($J2115)),FALSE())),"✖ العدد يجب أن يكون صحيحًا ≥ 0",IF(AND($F2115="Baseline",$H2115&lt;&gt;""),"⚠ Baseline: Start لا يدخل في التقدم",IF($K2115="No Start (attainment only)","ℹ تحصيل فقط (بدون Start)",IF($K2115="U – needs rule","ℹ حالة U تحتاج قاعدة معتمدة",IF($K2115="No result","ℹ بدون نتيجة (يُستبعد من التحصيل)","OK")))))))))))</f>
        <v/>
      </c>
      <c r="M2115" s="64" t="n">
        <f aca="false">IF($A2115="",0,IFERROR(MATCH($A2115,Classes!$A$6:$A$420,0),0))</f>
        <v>0</v>
      </c>
      <c r="N2115" s="64" t="n">
        <f aca="false">IF($H2115="",0,IFERROR(MATCH($H2115,GradeList,0),0))</f>
        <v>0</v>
      </c>
      <c r="O2115" s="64" t="n">
        <f aca="false">IF(OR($I2115="",$I2115="NR"),0,IFERROR(MATCH($I2115,GradeList,0),0))</f>
        <v>0</v>
      </c>
      <c r="P2115" s="64" t="n">
        <f aca="false">IF(AND($M2115&gt;0,ISNUMBER(MATCH($F2115,Lists!$A$2:$A$5,0)),ISNUMBER(MATCH($G2115,Lists!$B$2:$B$7,0)),OR($H2115="",$N2115&gt;0),OR($I2115="",$I2115="NR",$O2115&gt;0),IF(ISNUMBER($J2115),AND($J2115&gt;=0,$J2115=INT($J2115)),FALSE())),$J2115,0)</f>
        <v>0</v>
      </c>
      <c r="Q2115" s="64" t="n">
        <f aca="false">IF(AND($P2115&gt;0,$O2115&gt;0),$P2115,0)</f>
        <v>0</v>
      </c>
      <c r="R2115" s="64" t="n">
        <f aca="false">IF(AND($Q2115&gt;0,$O2115&gt;=AtRank),$Q2115,0)</f>
        <v>0</v>
      </c>
      <c r="S2115" s="64" t="n">
        <f aca="false">IF(AND($Q2115&gt;0,$O2115&gt;=AboveRank),$Q2115,0)</f>
        <v>0</v>
      </c>
      <c r="T2115" s="64" t="n">
        <f aca="false">IF($K2115="Less",$P2115,0)</f>
        <v>0</v>
      </c>
      <c r="U2115" s="64" t="n">
        <f aca="false">IF($K2115="Expected",$P2115,0)</f>
        <v>0</v>
      </c>
      <c r="V2115" s="64" t="n">
        <f aca="false">IF($K2115="Better",$P2115,0)</f>
        <v>0</v>
      </c>
      <c r="W2115" s="64" t="n">
        <f aca="false">IF($K2115="U – needs rule",$P2115,0)</f>
        <v>0</v>
      </c>
      <c r="X2115" s="64" t="n">
        <f aca="false">IF($K2115="No Start (attainment only)",$P2115,0)</f>
        <v>0</v>
      </c>
    </row>
    <row r="2116" customFormat="false" ht="15" hidden="false" customHeight="false" outlineLevel="0" collapsed="false">
      <c r="A2116" s="60"/>
      <c r="B2116" s="61" t="str">
        <f aca="false">IF($M2116=0,"",INDEX(Classes!$E$6:$E$420,$M2116))</f>
        <v/>
      </c>
      <c r="C2116" s="62" t="str">
        <f aca="false">IF($M2116=0,"",INDEX(Classes!$H$6:$H$420,$M2116))</f>
        <v/>
      </c>
      <c r="D2116" s="61" t="str">
        <f aca="false">IF($M2116=0,"",INDEX(Classes!$B$6:$B$420,$M2116))</f>
        <v/>
      </c>
      <c r="E2116" s="61" t="str">
        <f aca="false">IF($M2116=0,"",INDEX(Classes!$C$6:$C$420,$M2116))</f>
        <v/>
      </c>
      <c r="F2116" s="63"/>
      <c r="G2116" s="63"/>
      <c r="H2116" s="60"/>
      <c r="I2116" s="60"/>
      <c r="J2116" s="63"/>
      <c r="K2116" s="61" t="str">
        <f aca="false">IF($P2116=0,"",IF($F2116="Baseline","— Baseline",IF($O2116=0,"No result",IF($N2116=0,"No Start (attainment only)",IF(OR($N2116=1,$O2116=1),"U – needs rule",INDEX(MxBody,MATCH($I2116,MxCurr,0),MATCH($H2116,MxStart,0)))))))</f>
        <v/>
      </c>
      <c r="L2116" s="62" t="str">
        <f aca="false">IF(COUNTA($A2116,$F2116,$G2116,$H2116,$I2116,$J2116)=0,"",IF($M2116=0,"✖ كود الصف غير موجود",IF(ISNA(MATCH($F2116,Lists!$A$2:$A$5,0)),"✖ الفترة غير صحيحة",IF(ISNA(MATCH($G2116,Lists!$B$2:$B$7,0)),"✖ المجموعة غير صحيحة",IF(NOT(OR($H2116="",$N2116&gt;0)),"✖ Start غير صحيح",IF(NOT(OR($I2116="",$I2116="NR",$O2116&gt;0)),"✖ Current غير صحيح",IF(NOT(IF(ISNUMBER($J2116),AND($J2116&gt;=0,$J2116=INT($J2116)),FALSE())),"✖ العدد يجب أن يكون صحيحًا ≥ 0",IF(AND($F2116="Baseline",$H2116&lt;&gt;""),"⚠ Baseline: Start لا يدخل في التقدم",IF($K2116="No Start (attainment only)","ℹ تحصيل فقط (بدون Start)",IF($K2116="U – needs rule","ℹ حالة U تحتاج قاعدة معتمدة",IF($K2116="No result","ℹ بدون نتيجة (يُستبعد من التحصيل)","OK")))))))))))</f>
        <v/>
      </c>
      <c r="M2116" s="64" t="n">
        <f aca="false">IF($A2116="",0,IFERROR(MATCH($A2116,Classes!$A$6:$A$420,0),0))</f>
        <v>0</v>
      </c>
      <c r="N2116" s="64" t="n">
        <f aca="false">IF($H2116="",0,IFERROR(MATCH($H2116,GradeList,0),0))</f>
        <v>0</v>
      </c>
      <c r="O2116" s="64" t="n">
        <f aca="false">IF(OR($I2116="",$I2116="NR"),0,IFERROR(MATCH($I2116,GradeList,0),0))</f>
        <v>0</v>
      </c>
      <c r="P2116" s="64" t="n">
        <f aca="false">IF(AND($M2116&gt;0,ISNUMBER(MATCH($F2116,Lists!$A$2:$A$5,0)),ISNUMBER(MATCH($G2116,Lists!$B$2:$B$7,0)),OR($H2116="",$N2116&gt;0),OR($I2116="",$I2116="NR",$O2116&gt;0),IF(ISNUMBER($J2116),AND($J2116&gt;=0,$J2116=INT($J2116)),FALSE())),$J2116,0)</f>
        <v>0</v>
      </c>
      <c r="Q2116" s="64" t="n">
        <f aca="false">IF(AND($P2116&gt;0,$O2116&gt;0),$P2116,0)</f>
        <v>0</v>
      </c>
      <c r="R2116" s="64" t="n">
        <f aca="false">IF(AND($Q2116&gt;0,$O2116&gt;=AtRank),$Q2116,0)</f>
        <v>0</v>
      </c>
      <c r="S2116" s="64" t="n">
        <f aca="false">IF(AND($Q2116&gt;0,$O2116&gt;=AboveRank),$Q2116,0)</f>
        <v>0</v>
      </c>
      <c r="T2116" s="64" t="n">
        <f aca="false">IF($K2116="Less",$P2116,0)</f>
        <v>0</v>
      </c>
      <c r="U2116" s="64" t="n">
        <f aca="false">IF($K2116="Expected",$P2116,0)</f>
        <v>0</v>
      </c>
      <c r="V2116" s="64" t="n">
        <f aca="false">IF($K2116="Better",$P2116,0)</f>
        <v>0</v>
      </c>
      <c r="W2116" s="64" t="n">
        <f aca="false">IF($K2116="U – needs rule",$P2116,0)</f>
        <v>0</v>
      </c>
      <c r="X2116" s="64" t="n">
        <f aca="false">IF($K2116="No Start (attainment only)",$P2116,0)</f>
        <v>0</v>
      </c>
    </row>
    <row r="2117" customFormat="false" ht="15" hidden="false" customHeight="false" outlineLevel="0" collapsed="false">
      <c r="A2117" s="60"/>
      <c r="B2117" s="61" t="str">
        <f aca="false">IF($M2117=0,"",INDEX(Classes!$E$6:$E$420,$M2117))</f>
        <v/>
      </c>
      <c r="C2117" s="62" t="str">
        <f aca="false">IF($M2117=0,"",INDEX(Classes!$H$6:$H$420,$M2117))</f>
        <v/>
      </c>
      <c r="D2117" s="61" t="str">
        <f aca="false">IF($M2117=0,"",INDEX(Classes!$B$6:$B$420,$M2117))</f>
        <v/>
      </c>
      <c r="E2117" s="61" t="str">
        <f aca="false">IF($M2117=0,"",INDEX(Classes!$C$6:$C$420,$M2117))</f>
        <v/>
      </c>
      <c r="F2117" s="63"/>
      <c r="G2117" s="63"/>
      <c r="H2117" s="60"/>
      <c r="I2117" s="60"/>
      <c r="J2117" s="63"/>
      <c r="K2117" s="61" t="str">
        <f aca="false">IF($P2117=0,"",IF($F2117="Baseline","— Baseline",IF($O2117=0,"No result",IF($N2117=0,"No Start (attainment only)",IF(OR($N2117=1,$O2117=1),"U – needs rule",INDEX(MxBody,MATCH($I2117,MxCurr,0),MATCH($H2117,MxStart,0)))))))</f>
        <v/>
      </c>
      <c r="L2117" s="62" t="str">
        <f aca="false">IF(COUNTA($A2117,$F2117,$G2117,$H2117,$I2117,$J2117)=0,"",IF($M2117=0,"✖ كود الصف غير موجود",IF(ISNA(MATCH($F2117,Lists!$A$2:$A$5,0)),"✖ الفترة غير صحيحة",IF(ISNA(MATCH($G2117,Lists!$B$2:$B$7,0)),"✖ المجموعة غير صحيحة",IF(NOT(OR($H2117="",$N2117&gt;0)),"✖ Start غير صحيح",IF(NOT(OR($I2117="",$I2117="NR",$O2117&gt;0)),"✖ Current غير صحيح",IF(NOT(IF(ISNUMBER($J2117),AND($J2117&gt;=0,$J2117=INT($J2117)),FALSE())),"✖ العدد يجب أن يكون صحيحًا ≥ 0",IF(AND($F2117="Baseline",$H2117&lt;&gt;""),"⚠ Baseline: Start لا يدخل في التقدم",IF($K2117="No Start (attainment only)","ℹ تحصيل فقط (بدون Start)",IF($K2117="U – needs rule","ℹ حالة U تحتاج قاعدة معتمدة",IF($K2117="No result","ℹ بدون نتيجة (يُستبعد من التحصيل)","OK")))))))))))</f>
        <v/>
      </c>
      <c r="M2117" s="64" t="n">
        <f aca="false">IF($A2117="",0,IFERROR(MATCH($A2117,Classes!$A$6:$A$420,0),0))</f>
        <v>0</v>
      </c>
      <c r="N2117" s="64" t="n">
        <f aca="false">IF($H2117="",0,IFERROR(MATCH($H2117,GradeList,0),0))</f>
        <v>0</v>
      </c>
      <c r="O2117" s="64" t="n">
        <f aca="false">IF(OR($I2117="",$I2117="NR"),0,IFERROR(MATCH($I2117,GradeList,0),0))</f>
        <v>0</v>
      </c>
      <c r="P2117" s="64" t="n">
        <f aca="false">IF(AND($M2117&gt;0,ISNUMBER(MATCH($F2117,Lists!$A$2:$A$5,0)),ISNUMBER(MATCH($G2117,Lists!$B$2:$B$7,0)),OR($H2117="",$N2117&gt;0),OR($I2117="",$I2117="NR",$O2117&gt;0),IF(ISNUMBER($J2117),AND($J2117&gt;=0,$J2117=INT($J2117)),FALSE())),$J2117,0)</f>
        <v>0</v>
      </c>
      <c r="Q2117" s="64" t="n">
        <f aca="false">IF(AND($P2117&gt;0,$O2117&gt;0),$P2117,0)</f>
        <v>0</v>
      </c>
      <c r="R2117" s="64" t="n">
        <f aca="false">IF(AND($Q2117&gt;0,$O2117&gt;=AtRank),$Q2117,0)</f>
        <v>0</v>
      </c>
      <c r="S2117" s="64" t="n">
        <f aca="false">IF(AND($Q2117&gt;0,$O2117&gt;=AboveRank),$Q2117,0)</f>
        <v>0</v>
      </c>
      <c r="T2117" s="64" t="n">
        <f aca="false">IF($K2117="Less",$P2117,0)</f>
        <v>0</v>
      </c>
      <c r="U2117" s="64" t="n">
        <f aca="false">IF($K2117="Expected",$P2117,0)</f>
        <v>0</v>
      </c>
      <c r="V2117" s="64" t="n">
        <f aca="false">IF($K2117="Better",$P2117,0)</f>
        <v>0</v>
      </c>
      <c r="W2117" s="64" t="n">
        <f aca="false">IF($K2117="U – needs rule",$P2117,0)</f>
        <v>0</v>
      </c>
      <c r="X2117" s="64" t="n">
        <f aca="false">IF($K2117="No Start (attainment only)",$P2117,0)</f>
        <v>0</v>
      </c>
    </row>
    <row r="2118" customFormat="false" ht="15" hidden="false" customHeight="false" outlineLevel="0" collapsed="false">
      <c r="A2118" s="60"/>
      <c r="B2118" s="61" t="str">
        <f aca="false">IF($M2118=0,"",INDEX(Classes!$E$6:$E$420,$M2118))</f>
        <v/>
      </c>
      <c r="C2118" s="62" t="str">
        <f aca="false">IF($M2118=0,"",INDEX(Classes!$H$6:$H$420,$M2118))</f>
        <v/>
      </c>
      <c r="D2118" s="61" t="str">
        <f aca="false">IF($M2118=0,"",INDEX(Classes!$B$6:$B$420,$M2118))</f>
        <v/>
      </c>
      <c r="E2118" s="61" t="str">
        <f aca="false">IF($M2118=0,"",INDEX(Classes!$C$6:$C$420,$M2118))</f>
        <v/>
      </c>
      <c r="F2118" s="63"/>
      <c r="G2118" s="63"/>
      <c r="H2118" s="60"/>
      <c r="I2118" s="60"/>
      <c r="J2118" s="63"/>
      <c r="K2118" s="61" t="str">
        <f aca="false">IF($P2118=0,"",IF($F2118="Baseline","— Baseline",IF($O2118=0,"No result",IF($N2118=0,"No Start (attainment only)",IF(OR($N2118=1,$O2118=1),"U – needs rule",INDEX(MxBody,MATCH($I2118,MxCurr,0),MATCH($H2118,MxStart,0)))))))</f>
        <v/>
      </c>
      <c r="L2118" s="62" t="str">
        <f aca="false">IF(COUNTA($A2118,$F2118,$G2118,$H2118,$I2118,$J2118)=0,"",IF($M2118=0,"✖ كود الصف غير موجود",IF(ISNA(MATCH($F2118,Lists!$A$2:$A$5,0)),"✖ الفترة غير صحيحة",IF(ISNA(MATCH($G2118,Lists!$B$2:$B$7,0)),"✖ المجموعة غير صحيحة",IF(NOT(OR($H2118="",$N2118&gt;0)),"✖ Start غير صحيح",IF(NOT(OR($I2118="",$I2118="NR",$O2118&gt;0)),"✖ Current غير صحيح",IF(NOT(IF(ISNUMBER($J2118),AND($J2118&gt;=0,$J2118=INT($J2118)),FALSE())),"✖ العدد يجب أن يكون صحيحًا ≥ 0",IF(AND($F2118="Baseline",$H2118&lt;&gt;""),"⚠ Baseline: Start لا يدخل في التقدم",IF($K2118="No Start (attainment only)","ℹ تحصيل فقط (بدون Start)",IF($K2118="U – needs rule","ℹ حالة U تحتاج قاعدة معتمدة",IF($K2118="No result","ℹ بدون نتيجة (يُستبعد من التحصيل)","OK")))))))))))</f>
        <v/>
      </c>
      <c r="M2118" s="64" t="n">
        <f aca="false">IF($A2118="",0,IFERROR(MATCH($A2118,Classes!$A$6:$A$420,0),0))</f>
        <v>0</v>
      </c>
      <c r="N2118" s="64" t="n">
        <f aca="false">IF($H2118="",0,IFERROR(MATCH($H2118,GradeList,0),0))</f>
        <v>0</v>
      </c>
      <c r="O2118" s="64" t="n">
        <f aca="false">IF(OR($I2118="",$I2118="NR"),0,IFERROR(MATCH($I2118,GradeList,0),0))</f>
        <v>0</v>
      </c>
      <c r="P2118" s="64" t="n">
        <f aca="false">IF(AND($M2118&gt;0,ISNUMBER(MATCH($F2118,Lists!$A$2:$A$5,0)),ISNUMBER(MATCH($G2118,Lists!$B$2:$B$7,0)),OR($H2118="",$N2118&gt;0),OR($I2118="",$I2118="NR",$O2118&gt;0),IF(ISNUMBER($J2118),AND($J2118&gt;=0,$J2118=INT($J2118)),FALSE())),$J2118,0)</f>
        <v>0</v>
      </c>
      <c r="Q2118" s="64" t="n">
        <f aca="false">IF(AND($P2118&gt;0,$O2118&gt;0),$P2118,0)</f>
        <v>0</v>
      </c>
      <c r="R2118" s="64" t="n">
        <f aca="false">IF(AND($Q2118&gt;0,$O2118&gt;=AtRank),$Q2118,0)</f>
        <v>0</v>
      </c>
      <c r="S2118" s="64" t="n">
        <f aca="false">IF(AND($Q2118&gt;0,$O2118&gt;=AboveRank),$Q2118,0)</f>
        <v>0</v>
      </c>
      <c r="T2118" s="64" t="n">
        <f aca="false">IF($K2118="Less",$P2118,0)</f>
        <v>0</v>
      </c>
      <c r="U2118" s="64" t="n">
        <f aca="false">IF($K2118="Expected",$P2118,0)</f>
        <v>0</v>
      </c>
      <c r="V2118" s="64" t="n">
        <f aca="false">IF($K2118="Better",$P2118,0)</f>
        <v>0</v>
      </c>
      <c r="W2118" s="64" t="n">
        <f aca="false">IF($K2118="U – needs rule",$P2118,0)</f>
        <v>0</v>
      </c>
      <c r="X2118" s="64" t="n">
        <f aca="false">IF($K2118="No Start (attainment only)",$P2118,0)</f>
        <v>0</v>
      </c>
    </row>
    <row r="2119" customFormat="false" ht="15" hidden="false" customHeight="false" outlineLevel="0" collapsed="false">
      <c r="A2119" s="60"/>
      <c r="B2119" s="61" t="str">
        <f aca="false">IF($M2119=0,"",INDEX(Classes!$E$6:$E$420,$M2119))</f>
        <v/>
      </c>
      <c r="C2119" s="62" t="str">
        <f aca="false">IF($M2119=0,"",INDEX(Classes!$H$6:$H$420,$M2119))</f>
        <v/>
      </c>
      <c r="D2119" s="61" t="str">
        <f aca="false">IF($M2119=0,"",INDEX(Classes!$B$6:$B$420,$M2119))</f>
        <v/>
      </c>
      <c r="E2119" s="61" t="str">
        <f aca="false">IF($M2119=0,"",INDEX(Classes!$C$6:$C$420,$M2119))</f>
        <v/>
      </c>
      <c r="F2119" s="63"/>
      <c r="G2119" s="63"/>
      <c r="H2119" s="60"/>
      <c r="I2119" s="60"/>
      <c r="J2119" s="63"/>
      <c r="K2119" s="61" t="str">
        <f aca="false">IF($P2119=0,"",IF($F2119="Baseline","— Baseline",IF($O2119=0,"No result",IF($N2119=0,"No Start (attainment only)",IF(OR($N2119=1,$O2119=1),"U – needs rule",INDEX(MxBody,MATCH($I2119,MxCurr,0),MATCH($H2119,MxStart,0)))))))</f>
        <v/>
      </c>
      <c r="L2119" s="62" t="str">
        <f aca="false">IF(COUNTA($A2119,$F2119,$G2119,$H2119,$I2119,$J2119)=0,"",IF($M2119=0,"✖ كود الصف غير موجود",IF(ISNA(MATCH($F2119,Lists!$A$2:$A$5,0)),"✖ الفترة غير صحيحة",IF(ISNA(MATCH($G2119,Lists!$B$2:$B$7,0)),"✖ المجموعة غير صحيحة",IF(NOT(OR($H2119="",$N2119&gt;0)),"✖ Start غير صحيح",IF(NOT(OR($I2119="",$I2119="NR",$O2119&gt;0)),"✖ Current غير صحيح",IF(NOT(IF(ISNUMBER($J2119),AND($J2119&gt;=0,$J2119=INT($J2119)),FALSE())),"✖ العدد يجب أن يكون صحيحًا ≥ 0",IF(AND($F2119="Baseline",$H2119&lt;&gt;""),"⚠ Baseline: Start لا يدخل في التقدم",IF($K2119="No Start (attainment only)","ℹ تحصيل فقط (بدون Start)",IF($K2119="U – needs rule","ℹ حالة U تحتاج قاعدة معتمدة",IF($K2119="No result","ℹ بدون نتيجة (يُستبعد من التحصيل)","OK")))))))))))</f>
        <v/>
      </c>
      <c r="M2119" s="64" t="n">
        <f aca="false">IF($A2119="",0,IFERROR(MATCH($A2119,Classes!$A$6:$A$420,0),0))</f>
        <v>0</v>
      </c>
      <c r="N2119" s="64" t="n">
        <f aca="false">IF($H2119="",0,IFERROR(MATCH($H2119,GradeList,0),0))</f>
        <v>0</v>
      </c>
      <c r="O2119" s="64" t="n">
        <f aca="false">IF(OR($I2119="",$I2119="NR"),0,IFERROR(MATCH($I2119,GradeList,0),0))</f>
        <v>0</v>
      </c>
      <c r="P2119" s="64" t="n">
        <f aca="false">IF(AND($M2119&gt;0,ISNUMBER(MATCH($F2119,Lists!$A$2:$A$5,0)),ISNUMBER(MATCH($G2119,Lists!$B$2:$B$7,0)),OR($H2119="",$N2119&gt;0),OR($I2119="",$I2119="NR",$O2119&gt;0),IF(ISNUMBER($J2119),AND($J2119&gt;=0,$J2119=INT($J2119)),FALSE())),$J2119,0)</f>
        <v>0</v>
      </c>
      <c r="Q2119" s="64" t="n">
        <f aca="false">IF(AND($P2119&gt;0,$O2119&gt;0),$P2119,0)</f>
        <v>0</v>
      </c>
      <c r="R2119" s="64" t="n">
        <f aca="false">IF(AND($Q2119&gt;0,$O2119&gt;=AtRank),$Q2119,0)</f>
        <v>0</v>
      </c>
      <c r="S2119" s="64" t="n">
        <f aca="false">IF(AND($Q2119&gt;0,$O2119&gt;=AboveRank),$Q2119,0)</f>
        <v>0</v>
      </c>
      <c r="T2119" s="64" t="n">
        <f aca="false">IF($K2119="Less",$P2119,0)</f>
        <v>0</v>
      </c>
      <c r="U2119" s="64" t="n">
        <f aca="false">IF($K2119="Expected",$P2119,0)</f>
        <v>0</v>
      </c>
      <c r="V2119" s="64" t="n">
        <f aca="false">IF($K2119="Better",$P2119,0)</f>
        <v>0</v>
      </c>
      <c r="W2119" s="64" t="n">
        <f aca="false">IF($K2119="U – needs rule",$P2119,0)</f>
        <v>0</v>
      </c>
      <c r="X2119" s="64" t="n">
        <f aca="false">IF($K2119="No Start (attainment only)",$P2119,0)</f>
        <v>0</v>
      </c>
    </row>
    <row r="2120" customFormat="false" ht="15" hidden="false" customHeight="false" outlineLevel="0" collapsed="false">
      <c r="A2120" s="60"/>
      <c r="B2120" s="61" t="str">
        <f aca="false">IF($M2120=0,"",INDEX(Classes!$E$6:$E$420,$M2120))</f>
        <v/>
      </c>
      <c r="C2120" s="62" t="str">
        <f aca="false">IF($M2120=0,"",INDEX(Classes!$H$6:$H$420,$M2120))</f>
        <v/>
      </c>
      <c r="D2120" s="61" t="str">
        <f aca="false">IF($M2120=0,"",INDEX(Classes!$B$6:$B$420,$M2120))</f>
        <v/>
      </c>
      <c r="E2120" s="61" t="str">
        <f aca="false">IF($M2120=0,"",INDEX(Classes!$C$6:$C$420,$M2120))</f>
        <v/>
      </c>
      <c r="F2120" s="63"/>
      <c r="G2120" s="63"/>
      <c r="H2120" s="60"/>
      <c r="I2120" s="60"/>
      <c r="J2120" s="63"/>
      <c r="K2120" s="61" t="str">
        <f aca="false">IF($P2120=0,"",IF($F2120="Baseline","— Baseline",IF($O2120=0,"No result",IF($N2120=0,"No Start (attainment only)",IF(OR($N2120=1,$O2120=1),"U – needs rule",INDEX(MxBody,MATCH($I2120,MxCurr,0),MATCH($H2120,MxStart,0)))))))</f>
        <v/>
      </c>
      <c r="L2120" s="62" t="str">
        <f aca="false">IF(COUNTA($A2120,$F2120,$G2120,$H2120,$I2120,$J2120)=0,"",IF($M2120=0,"✖ كود الصف غير موجود",IF(ISNA(MATCH($F2120,Lists!$A$2:$A$5,0)),"✖ الفترة غير صحيحة",IF(ISNA(MATCH($G2120,Lists!$B$2:$B$7,0)),"✖ المجموعة غير صحيحة",IF(NOT(OR($H2120="",$N2120&gt;0)),"✖ Start غير صحيح",IF(NOT(OR($I2120="",$I2120="NR",$O2120&gt;0)),"✖ Current غير صحيح",IF(NOT(IF(ISNUMBER($J2120),AND($J2120&gt;=0,$J2120=INT($J2120)),FALSE())),"✖ العدد يجب أن يكون صحيحًا ≥ 0",IF(AND($F2120="Baseline",$H2120&lt;&gt;""),"⚠ Baseline: Start لا يدخل في التقدم",IF($K2120="No Start (attainment only)","ℹ تحصيل فقط (بدون Start)",IF($K2120="U – needs rule","ℹ حالة U تحتاج قاعدة معتمدة",IF($K2120="No result","ℹ بدون نتيجة (يُستبعد من التحصيل)","OK")))))))))))</f>
        <v/>
      </c>
      <c r="M2120" s="64" t="n">
        <f aca="false">IF($A2120="",0,IFERROR(MATCH($A2120,Classes!$A$6:$A$420,0),0))</f>
        <v>0</v>
      </c>
      <c r="N2120" s="64" t="n">
        <f aca="false">IF($H2120="",0,IFERROR(MATCH($H2120,GradeList,0),0))</f>
        <v>0</v>
      </c>
      <c r="O2120" s="64" t="n">
        <f aca="false">IF(OR($I2120="",$I2120="NR"),0,IFERROR(MATCH($I2120,GradeList,0),0))</f>
        <v>0</v>
      </c>
      <c r="P2120" s="64" t="n">
        <f aca="false">IF(AND($M2120&gt;0,ISNUMBER(MATCH($F2120,Lists!$A$2:$A$5,0)),ISNUMBER(MATCH($G2120,Lists!$B$2:$B$7,0)),OR($H2120="",$N2120&gt;0),OR($I2120="",$I2120="NR",$O2120&gt;0),IF(ISNUMBER($J2120),AND($J2120&gt;=0,$J2120=INT($J2120)),FALSE())),$J2120,0)</f>
        <v>0</v>
      </c>
      <c r="Q2120" s="64" t="n">
        <f aca="false">IF(AND($P2120&gt;0,$O2120&gt;0),$P2120,0)</f>
        <v>0</v>
      </c>
      <c r="R2120" s="64" t="n">
        <f aca="false">IF(AND($Q2120&gt;0,$O2120&gt;=AtRank),$Q2120,0)</f>
        <v>0</v>
      </c>
      <c r="S2120" s="64" t="n">
        <f aca="false">IF(AND($Q2120&gt;0,$O2120&gt;=AboveRank),$Q2120,0)</f>
        <v>0</v>
      </c>
      <c r="T2120" s="64" t="n">
        <f aca="false">IF($K2120="Less",$P2120,0)</f>
        <v>0</v>
      </c>
      <c r="U2120" s="64" t="n">
        <f aca="false">IF($K2120="Expected",$P2120,0)</f>
        <v>0</v>
      </c>
      <c r="V2120" s="64" t="n">
        <f aca="false">IF($K2120="Better",$P2120,0)</f>
        <v>0</v>
      </c>
      <c r="W2120" s="64" t="n">
        <f aca="false">IF($K2120="U – needs rule",$P2120,0)</f>
        <v>0</v>
      </c>
      <c r="X2120" s="64" t="n">
        <f aca="false">IF($K2120="No Start (attainment only)",$P2120,0)</f>
        <v>0</v>
      </c>
    </row>
    <row r="2121" customFormat="false" ht="15" hidden="false" customHeight="false" outlineLevel="0" collapsed="false">
      <c r="A2121" s="60"/>
      <c r="B2121" s="61" t="str">
        <f aca="false">IF($M2121=0,"",INDEX(Classes!$E$6:$E$420,$M2121))</f>
        <v/>
      </c>
      <c r="C2121" s="62" t="str">
        <f aca="false">IF($M2121=0,"",INDEX(Classes!$H$6:$H$420,$M2121))</f>
        <v/>
      </c>
      <c r="D2121" s="61" t="str">
        <f aca="false">IF($M2121=0,"",INDEX(Classes!$B$6:$B$420,$M2121))</f>
        <v/>
      </c>
      <c r="E2121" s="61" t="str">
        <f aca="false">IF($M2121=0,"",INDEX(Classes!$C$6:$C$420,$M2121))</f>
        <v/>
      </c>
      <c r="F2121" s="63"/>
      <c r="G2121" s="63"/>
      <c r="H2121" s="60"/>
      <c r="I2121" s="60"/>
      <c r="J2121" s="63"/>
      <c r="K2121" s="61" t="str">
        <f aca="false">IF($P2121=0,"",IF($F2121="Baseline","— Baseline",IF($O2121=0,"No result",IF($N2121=0,"No Start (attainment only)",IF(OR($N2121=1,$O2121=1),"U – needs rule",INDEX(MxBody,MATCH($I2121,MxCurr,0),MATCH($H2121,MxStart,0)))))))</f>
        <v/>
      </c>
      <c r="L2121" s="62" t="str">
        <f aca="false">IF(COUNTA($A2121,$F2121,$G2121,$H2121,$I2121,$J2121)=0,"",IF($M2121=0,"✖ كود الصف غير موجود",IF(ISNA(MATCH($F2121,Lists!$A$2:$A$5,0)),"✖ الفترة غير صحيحة",IF(ISNA(MATCH($G2121,Lists!$B$2:$B$7,0)),"✖ المجموعة غير صحيحة",IF(NOT(OR($H2121="",$N2121&gt;0)),"✖ Start غير صحيح",IF(NOT(OR($I2121="",$I2121="NR",$O2121&gt;0)),"✖ Current غير صحيح",IF(NOT(IF(ISNUMBER($J2121),AND($J2121&gt;=0,$J2121=INT($J2121)),FALSE())),"✖ العدد يجب أن يكون صحيحًا ≥ 0",IF(AND($F2121="Baseline",$H2121&lt;&gt;""),"⚠ Baseline: Start لا يدخل في التقدم",IF($K2121="No Start (attainment only)","ℹ تحصيل فقط (بدون Start)",IF($K2121="U – needs rule","ℹ حالة U تحتاج قاعدة معتمدة",IF($K2121="No result","ℹ بدون نتيجة (يُستبعد من التحصيل)","OK")))))))))))</f>
        <v/>
      </c>
      <c r="M2121" s="64" t="n">
        <f aca="false">IF($A2121="",0,IFERROR(MATCH($A2121,Classes!$A$6:$A$420,0),0))</f>
        <v>0</v>
      </c>
      <c r="N2121" s="64" t="n">
        <f aca="false">IF($H2121="",0,IFERROR(MATCH($H2121,GradeList,0),0))</f>
        <v>0</v>
      </c>
      <c r="O2121" s="64" t="n">
        <f aca="false">IF(OR($I2121="",$I2121="NR"),0,IFERROR(MATCH($I2121,GradeList,0),0))</f>
        <v>0</v>
      </c>
      <c r="P2121" s="64" t="n">
        <f aca="false">IF(AND($M2121&gt;0,ISNUMBER(MATCH($F2121,Lists!$A$2:$A$5,0)),ISNUMBER(MATCH($G2121,Lists!$B$2:$B$7,0)),OR($H2121="",$N2121&gt;0),OR($I2121="",$I2121="NR",$O2121&gt;0),IF(ISNUMBER($J2121),AND($J2121&gt;=0,$J2121=INT($J2121)),FALSE())),$J2121,0)</f>
        <v>0</v>
      </c>
      <c r="Q2121" s="64" t="n">
        <f aca="false">IF(AND($P2121&gt;0,$O2121&gt;0),$P2121,0)</f>
        <v>0</v>
      </c>
      <c r="R2121" s="64" t="n">
        <f aca="false">IF(AND($Q2121&gt;0,$O2121&gt;=AtRank),$Q2121,0)</f>
        <v>0</v>
      </c>
      <c r="S2121" s="64" t="n">
        <f aca="false">IF(AND($Q2121&gt;0,$O2121&gt;=AboveRank),$Q2121,0)</f>
        <v>0</v>
      </c>
      <c r="T2121" s="64" t="n">
        <f aca="false">IF($K2121="Less",$P2121,0)</f>
        <v>0</v>
      </c>
      <c r="U2121" s="64" t="n">
        <f aca="false">IF($K2121="Expected",$P2121,0)</f>
        <v>0</v>
      </c>
      <c r="V2121" s="64" t="n">
        <f aca="false">IF($K2121="Better",$P2121,0)</f>
        <v>0</v>
      </c>
      <c r="W2121" s="64" t="n">
        <f aca="false">IF($K2121="U – needs rule",$P2121,0)</f>
        <v>0</v>
      </c>
      <c r="X2121" s="64" t="n">
        <f aca="false">IF($K2121="No Start (attainment only)",$P2121,0)</f>
        <v>0</v>
      </c>
    </row>
    <row r="2122" customFormat="false" ht="15" hidden="false" customHeight="false" outlineLevel="0" collapsed="false">
      <c r="A2122" s="60"/>
      <c r="B2122" s="61" t="str">
        <f aca="false">IF($M2122=0,"",INDEX(Classes!$E$6:$E$420,$M2122))</f>
        <v/>
      </c>
      <c r="C2122" s="62" t="str">
        <f aca="false">IF($M2122=0,"",INDEX(Classes!$H$6:$H$420,$M2122))</f>
        <v/>
      </c>
      <c r="D2122" s="61" t="str">
        <f aca="false">IF($M2122=0,"",INDEX(Classes!$B$6:$B$420,$M2122))</f>
        <v/>
      </c>
      <c r="E2122" s="61" t="str">
        <f aca="false">IF($M2122=0,"",INDEX(Classes!$C$6:$C$420,$M2122))</f>
        <v/>
      </c>
      <c r="F2122" s="63"/>
      <c r="G2122" s="63"/>
      <c r="H2122" s="60"/>
      <c r="I2122" s="60"/>
      <c r="J2122" s="63"/>
      <c r="K2122" s="61" t="str">
        <f aca="false">IF($P2122=0,"",IF($F2122="Baseline","— Baseline",IF($O2122=0,"No result",IF($N2122=0,"No Start (attainment only)",IF(OR($N2122=1,$O2122=1),"U – needs rule",INDEX(MxBody,MATCH($I2122,MxCurr,0),MATCH($H2122,MxStart,0)))))))</f>
        <v/>
      </c>
      <c r="L2122" s="62" t="str">
        <f aca="false">IF(COUNTA($A2122,$F2122,$G2122,$H2122,$I2122,$J2122)=0,"",IF($M2122=0,"✖ كود الصف غير موجود",IF(ISNA(MATCH($F2122,Lists!$A$2:$A$5,0)),"✖ الفترة غير صحيحة",IF(ISNA(MATCH($G2122,Lists!$B$2:$B$7,0)),"✖ المجموعة غير صحيحة",IF(NOT(OR($H2122="",$N2122&gt;0)),"✖ Start غير صحيح",IF(NOT(OR($I2122="",$I2122="NR",$O2122&gt;0)),"✖ Current غير صحيح",IF(NOT(IF(ISNUMBER($J2122),AND($J2122&gt;=0,$J2122=INT($J2122)),FALSE())),"✖ العدد يجب أن يكون صحيحًا ≥ 0",IF(AND($F2122="Baseline",$H2122&lt;&gt;""),"⚠ Baseline: Start لا يدخل في التقدم",IF($K2122="No Start (attainment only)","ℹ تحصيل فقط (بدون Start)",IF($K2122="U – needs rule","ℹ حالة U تحتاج قاعدة معتمدة",IF($K2122="No result","ℹ بدون نتيجة (يُستبعد من التحصيل)","OK")))))))))))</f>
        <v/>
      </c>
      <c r="M2122" s="64" t="n">
        <f aca="false">IF($A2122="",0,IFERROR(MATCH($A2122,Classes!$A$6:$A$420,0),0))</f>
        <v>0</v>
      </c>
      <c r="N2122" s="64" t="n">
        <f aca="false">IF($H2122="",0,IFERROR(MATCH($H2122,GradeList,0),0))</f>
        <v>0</v>
      </c>
      <c r="O2122" s="64" t="n">
        <f aca="false">IF(OR($I2122="",$I2122="NR"),0,IFERROR(MATCH($I2122,GradeList,0),0))</f>
        <v>0</v>
      </c>
      <c r="P2122" s="64" t="n">
        <f aca="false">IF(AND($M2122&gt;0,ISNUMBER(MATCH($F2122,Lists!$A$2:$A$5,0)),ISNUMBER(MATCH($G2122,Lists!$B$2:$B$7,0)),OR($H2122="",$N2122&gt;0),OR($I2122="",$I2122="NR",$O2122&gt;0),IF(ISNUMBER($J2122),AND($J2122&gt;=0,$J2122=INT($J2122)),FALSE())),$J2122,0)</f>
        <v>0</v>
      </c>
      <c r="Q2122" s="64" t="n">
        <f aca="false">IF(AND($P2122&gt;0,$O2122&gt;0),$P2122,0)</f>
        <v>0</v>
      </c>
      <c r="R2122" s="64" t="n">
        <f aca="false">IF(AND($Q2122&gt;0,$O2122&gt;=AtRank),$Q2122,0)</f>
        <v>0</v>
      </c>
      <c r="S2122" s="64" t="n">
        <f aca="false">IF(AND($Q2122&gt;0,$O2122&gt;=AboveRank),$Q2122,0)</f>
        <v>0</v>
      </c>
      <c r="T2122" s="64" t="n">
        <f aca="false">IF($K2122="Less",$P2122,0)</f>
        <v>0</v>
      </c>
      <c r="U2122" s="64" t="n">
        <f aca="false">IF($K2122="Expected",$P2122,0)</f>
        <v>0</v>
      </c>
      <c r="V2122" s="64" t="n">
        <f aca="false">IF($K2122="Better",$P2122,0)</f>
        <v>0</v>
      </c>
      <c r="W2122" s="64" t="n">
        <f aca="false">IF($K2122="U – needs rule",$P2122,0)</f>
        <v>0</v>
      </c>
      <c r="X2122" s="64" t="n">
        <f aca="false">IF($K2122="No Start (attainment only)",$P2122,0)</f>
        <v>0</v>
      </c>
    </row>
    <row r="2123" customFormat="false" ht="15" hidden="false" customHeight="false" outlineLevel="0" collapsed="false">
      <c r="A2123" s="60"/>
      <c r="B2123" s="61" t="str">
        <f aca="false">IF($M2123=0,"",INDEX(Classes!$E$6:$E$420,$M2123))</f>
        <v/>
      </c>
      <c r="C2123" s="62" t="str">
        <f aca="false">IF($M2123=0,"",INDEX(Classes!$H$6:$H$420,$M2123))</f>
        <v/>
      </c>
      <c r="D2123" s="61" t="str">
        <f aca="false">IF($M2123=0,"",INDEX(Classes!$B$6:$B$420,$M2123))</f>
        <v/>
      </c>
      <c r="E2123" s="61" t="str">
        <f aca="false">IF($M2123=0,"",INDEX(Classes!$C$6:$C$420,$M2123))</f>
        <v/>
      </c>
      <c r="F2123" s="63"/>
      <c r="G2123" s="63"/>
      <c r="H2123" s="60"/>
      <c r="I2123" s="60"/>
      <c r="J2123" s="63"/>
      <c r="K2123" s="61" t="str">
        <f aca="false">IF($P2123=0,"",IF($F2123="Baseline","— Baseline",IF($O2123=0,"No result",IF($N2123=0,"No Start (attainment only)",IF(OR($N2123=1,$O2123=1),"U – needs rule",INDEX(MxBody,MATCH($I2123,MxCurr,0),MATCH($H2123,MxStart,0)))))))</f>
        <v/>
      </c>
      <c r="L2123" s="62" t="str">
        <f aca="false">IF(COUNTA($A2123,$F2123,$G2123,$H2123,$I2123,$J2123)=0,"",IF($M2123=0,"✖ كود الصف غير موجود",IF(ISNA(MATCH($F2123,Lists!$A$2:$A$5,0)),"✖ الفترة غير صحيحة",IF(ISNA(MATCH($G2123,Lists!$B$2:$B$7,0)),"✖ المجموعة غير صحيحة",IF(NOT(OR($H2123="",$N2123&gt;0)),"✖ Start غير صحيح",IF(NOT(OR($I2123="",$I2123="NR",$O2123&gt;0)),"✖ Current غير صحيح",IF(NOT(IF(ISNUMBER($J2123),AND($J2123&gt;=0,$J2123=INT($J2123)),FALSE())),"✖ العدد يجب أن يكون صحيحًا ≥ 0",IF(AND($F2123="Baseline",$H2123&lt;&gt;""),"⚠ Baseline: Start لا يدخل في التقدم",IF($K2123="No Start (attainment only)","ℹ تحصيل فقط (بدون Start)",IF($K2123="U – needs rule","ℹ حالة U تحتاج قاعدة معتمدة",IF($K2123="No result","ℹ بدون نتيجة (يُستبعد من التحصيل)","OK")))))))))))</f>
        <v/>
      </c>
      <c r="M2123" s="64" t="n">
        <f aca="false">IF($A2123="",0,IFERROR(MATCH($A2123,Classes!$A$6:$A$420,0),0))</f>
        <v>0</v>
      </c>
      <c r="N2123" s="64" t="n">
        <f aca="false">IF($H2123="",0,IFERROR(MATCH($H2123,GradeList,0),0))</f>
        <v>0</v>
      </c>
      <c r="O2123" s="64" t="n">
        <f aca="false">IF(OR($I2123="",$I2123="NR"),0,IFERROR(MATCH($I2123,GradeList,0),0))</f>
        <v>0</v>
      </c>
      <c r="P2123" s="64" t="n">
        <f aca="false">IF(AND($M2123&gt;0,ISNUMBER(MATCH($F2123,Lists!$A$2:$A$5,0)),ISNUMBER(MATCH($G2123,Lists!$B$2:$B$7,0)),OR($H2123="",$N2123&gt;0),OR($I2123="",$I2123="NR",$O2123&gt;0),IF(ISNUMBER($J2123),AND($J2123&gt;=0,$J2123=INT($J2123)),FALSE())),$J2123,0)</f>
        <v>0</v>
      </c>
      <c r="Q2123" s="64" t="n">
        <f aca="false">IF(AND($P2123&gt;0,$O2123&gt;0),$P2123,0)</f>
        <v>0</v>
      </c>
      <c r="R2123" s="64" t="n">
        <f aca="false">IF(AND($Q2123&gt;0,$O2123&gt;=AtRank),$Q2123,0)</f>
        <v>0</v>
      </c>
      <c r="S2123" s="64" t="n">
        <f aca="false">IF(AND($Q2123&gt;0,$O2123&gt;=AboveRank),$Q2123,0)</f>
        <v>0</v>
      </c>
      <c r="T2123" s="64" t="n">
        <f aca="false">IF($K2123="Less",$P2123,0)</f>
        <v>0</v>
      </c>
      <c r="U2123" s="64" t="n">
        <f aca="false">IF($K2123="Expected",$P2123,0)</f>
        <v>0</v>
      </c>
      <c r="V2123" s="64" t="n">
        <f aca="false">IF($K2123="Better",$P2123,0)</f>
        <v>0</v>
      </c>
      <c r="W2123" s="64" t="n">
        <f aca="false">IF($K2123="U – needs rule",$P2123,0)</f>
        <v>0</v>
      </c>
      <c r="X2123" s="64" t="n">
        <f aca="false">IF($K2123="No Start (attainment only)",$P2123,0)</f>
        <v>0</v>
      </c>
    </row>
    <row r="2124" customFormat="false" ht="15" hidden="false" customHeight="false" outlineLevel="0" collapsed="false">
      <c r="A2124" s="60"/>
      <c r="B2124" s="61" t="str">
        <f aca="false">IF($M2124=0,"",INDEX(Classes!$E$6:$E$420,$M2124))</f>
        <v/>
      </c>
      <c r="C2124" s="62" t="str">
        <f aca="false">IF($M2124=0,"",INDEX(Classes!$H$6:$H$420,$M2124))</f>
        <v/>
      </c>
      <c r="D2124" s="61" t="str">
        <f aca="false">IF($M2124=0,"",INDEX(Classes!$B$6:$B$420,$M2124))</f>
        <v/>
      </c>
      <c r="E2124" s="61" t="str">
        <f aca="false">IF($M2124=0,"",INDEX(Classes!$C$6:$C$420,$M2124))</f>
        <v/>
      </c>
      <c r="F2124" s="63"/>
      <c r="G2124" s="63"/>
      <c r="H2124" s="60"/>
      <c r="I2124" s="60"/>
      <c r="J2124" s="63"/>
      <c r="K2124" s="61" t="str">
        <f aca="false">IF($P2124=0,"",IF($F2124="Baseline","— Baseline",IF($O2124=0,"No result",IF($N2124=0,"No Start (attainment only)",IF(OR($N2124=1,$O2124=1),"U – needs rule",INDEX(MxBody,MATCH($I2124,MxCurr,0),MATCH($H2124,MxStart,0)))))))</f>
        <v/>
      </c>
      <c r="L2124" s="62" t="str">
        <f aca="false">IF(COUNTA($A2124,$F2124,$G2124,$H2124,$I2124,$J2124)=0,"",IF($M2124=0,"✖ كود الصف غير موجود",IF(ISNA(MATCH($F2124,Lists!$A$2:$A$5,0)),"✖ الفترة غير صحيحة",IF(ISNA(MATCH($G2124,Lists!$B$2:$B$7,0)),"✖ المجموعة غير صحيحة",IF(NOT(OR($H2124="",$N2124&gt;0)),"✖ Start غير صحيح",IF(NOT(OR($I2124="",$I2124="NR",$O2124&gt;0)),"✖ Current غير صحيح",IF(NOT(IF(ISNUMBER($J2124),AND($J2124&gt;=0,$J2124=INT($J2124)),FALSE())),"✖ العدد يجب أن يكون صحيحًا ≥ 0",IF(AND($F2124="Baseline",$H2124&lt;&gt;""),"⚠ Baseline: Start لا يدخل في التقدم",IF($K2124="No Start (attainment only)","ℹ تحصيل فقط (بدون Start)",IF($K2124="U – needs rule","ℹ حالة U تحتاج قاعدة معتمدة",IF($K2124="No result","ℹ بدون نتيجة (يُستبعد من التحصيل)","OK")))))))))))</f>
        <v/>
      </c>
      <c r="M2124" s="64" t="n">
        <f aca="false">IF($A2124="",0,IFERROR(MATCH($A2124,Classes!$A$6:$A$420,0),0))</f>
        <v>0</v>
      </c>
      <c r="N2124" s="64" t="n">
        <f aca="false">IF($H2124="",0,IFERROR(MATCH($H2124,GradeList,0),0))</f>
        <v>0</v>
      </c>
      <c r="O2124" s="64" t="n">
        <f aca="false">IF(OR($I2124="",$I2124="NR"),0,IFERROR(MATCH($I2124,GradeList,0),0))</f>
        <v>0</v>
      </c>
      <c r="P2124" s="64" t="n">
        <f aca="false">IF(AND($M2124&gt;0,ISNUMBER(MATCH($F2124,Lists!$A$2:$A$5,0)),ISNUMBER(MATCH($G2124,Lists!$B$2:$B$7,0)),OR($H2124="",$N2124&gt;0),OR($I2124="",$I2124="NR",$O2124&gt;0),IF(ISNUMBER($J2124),AND($J2124&gt;=0,$J2124=INT($J2124)),FALSE())),$J2124,0)</f>
        <v>0</v>
      </c>
      <c r="Q2124" s="64" t="n">
        <f aca="false">IF(AND($P2124&gt;0,$O2124&gt;0),$P2124,0)</f>
        <v>0</v>
      </c>
      <c r="R2124" s="64" t="n">
        <f aca="false">IF(AND($Q2124&gt;0,$O2124&gt;=AtRank),$Q2124,0)</f>
        <v>0</v>
      </c>
      <c r="S2124" s="64" t="n">
        <f aca="false">IF(AND($Q2124&gt;0,$O2124&gt;=AboveRank),$Q2124,0)</f>
        <v>0</v>
      </c>
      <c r="T2124" s="64" t="n">
        <f aca="false">IF($K2124="Less",$P2124,0)</f>
        <v>0</v>
      </c>
      <c r="U2124" s="64" t="n">
        <f aca="false">IF($K2124="Expected",$P2124,0)</f>
        <v>0</v>
      </c>
      <c r="V2124" s="64" t="n">
        <f aca="false">IF($K2124="Better",$P2124,0)</f>
        <v>0</v>
      </c>
      <c r="W2124" s="64" t="n">
        <f aca="false">IF($K2124="U – needs rule",$P2124,0)</f>
        <v>0</v>
      </c>
      <c r="X2124" s="64" t="n">
        <f aca="false">IF($K2124="No Start (attainment only)",$P2124,0)</f>
        <v>0</v>
      </c>
    </row>
    <row r="2125" customFormat="false" ht="15" hidden="false" customHeight="false" outlineLevel="0" collapsed="false">
      <c r="A2125" s="60"/>
      <c r="B2125" s="61" t="str">
        <f aca="false">IF($M2125=0,"",INDEX(Classes!$E$6:$E$420,$M2125))</f>
        <v/>
      </c>
      <c r="C2125" s="62" t="str">
        <f aca="false">IF($M2125=0,"",INDEX(Classes!$H$6:$H$420,$M2125))</f>
        <v/>
      </c>
      <c r="D2125" s="61" t="str">
        <f aca="false">IF($M2125=0,"",INDEX(Classes!$B$6:$B$420,$M2125))</f>
        <v/>
      </c>
      <c r="E2125" s="61" t="str">
        <f aca="false">IF($M2125=0,"",INDEX(Classes!$C$6:$C$420,$M2125))</f>
        <v/>
      </c>
      <c r="F2125" s="63"/>
      <c r="G2125" s="63"/>
      <c r="H2125" s="60"/>
      <c r="I2125" s="60"/>
      <c r="J2125" s="63"/>
      <c r="K2125" s="61" t="str">
        <f aca="false">IF($P2125=0,"",IF($F2125="Baseline","— Baseline",IF($O2125=0,"No result",IF($N2125=0,"No Start (attainment only)",IF(OR($N2125=1,$O2125=1),"U – needs rule",INDEX(MxBody,MATCH($I2125,MxCurr,0),MATCH($H2125,MxStart,0)))))))</f>
        <v/>
      </c>
      <c r="L2125" s="62" t="str">
        <f aca="false">IF(COUNTA($A2125,$F2125,$G2125,$H2125,$I2125,$J2125)=0,"",IF($M2125=0,"✖ كود الصف غير موجود",IF(ISNA(MATCH($F2125,Lists!$A$2:$A$5,0)),"✖ الفترة غير صحيحة",IF(ISNA(MATCH($G2125,Lists!$B$2:$B$7,0)),"✖ المجموعة غير صحيحة",IF(NOT(OR($H2125="",$N2125&gt;0)),"✖ Start غير صحيح",IF(NOT(OR($I2125="",$I2125="NR",$O2125&gt;0)),"✖ Current غير صحيح",IF(NOT(IF(ISNUMBER($J2125),AND($J2125&gt;=0,$J2125=INT($J2125)),FALSE())),"✖ العدد يجب أن يكون صحيحًا ≥ 0",IF(AND($F2125="Baseline",$H2125&lt;&gt;""),"⚠ Baseline: Start لا يدخل في التقدم",IF($K2125="No Start (attainment only)","ℹ تحصيل فقط (بدون Start)",IF($K2125="U – needs rule","ℹ حالة U تحتاج قاعدة معتمدة",IF($K2125="No result","ℹ بدون نتيجة (يُستبعد من التحصيل)","OK")))))))))))</f>
        <v/>
      </c>
      <c r="M2125" s="64" t="n">
        <f aca="false">IF($A2125="",0,IFERROR(MATCH($A2125,Classes!$A$6:$A$420,0),0))</f>
        <v>0</v>
      </c>
      <c r="N2125" s="64" t="n">
        <f aca="false">IF($H2125="",0,IFERROR(MATCH($H2125,GradeList,0),0))</f>
        <v>0</v>
      </c>
      <c r="O2125" s="64" t="n">
        <f aca="false">IF(OR($I2125="",$I2125="NR"),0,IFERROR(MATCH($I2125,GradeList,0),0))</f>
        <v>0</v>
      </c>
      <c r="P2125" s="64" t="n">
        <f aca="false">IF(AND($M2125&gt;0,ISNUMBER(MATCH($F2125,Lists!$A$2:$A$5,0)),ISNUMBER(MATCH($G2125,Lists!$B$2:$B$7,0)),OR($H2125="",$N2125&gt;0),OR($I2125="",$I2125="NR",$O2125&gt;0),IF(ISNUMBER($J2125),AND($J2125&gt;=0,$J2125=INT($J2125)),FALSE())),$J2125,0)</f>
        <v>0</v>
      </c>
      <c r="Q2125" s="64" t="n">
        <f aca="false">IF(AND($P2125&gt;0,$O2125&gt;0),$P2125,0)</f>
        <v>0</v>
      </c>
      <c r="R2125" s="64" t="n">
        <f aca="false">IF(AND($Q2125&gt;0,$O2125&gt;=AtRank),$Q2125,0)</f>
        <v>0</v>
      </c>
      <c r="S2125" s="64" t="n">
        <f aca="false">IF(AND($Q2125&gt;0,$O2125&gt;=AboveRank),$Q2125,0)</f>
        <v>0</v>
      </c>
      <c r="T2125" s="64" t="n">
        <f aca="false">IF($K2125="Less",$P2125,0)</f>
        <v>0</v>
      </c>
      <c r="U2125" s="64" t="n">
        <f aca="false">IF($K2125="Expected",$P2125,0)</f>
        <v>0</v>
      </c>
      <c r="V2125" s="64" t="n">
        <f aca="false">IF($K2125="Better",$P2125,0)</f>
        <v>0</v>
      </c>
      <c r="W2125" s="64" t="n">
        <f aca="false">IF($K2125="U – needs rule",$P2125,0)</f>
        <v>0</v>
      </c>
      <c r="X2125" s="64" t="n">
        <f aca="false">IF($K2125="No Start (attainment only)",$P2125,0)</f>
        <v>0</v>
      </c>
    </row>
    <row r="2126" customFormat="false" ht="15" hidden="false" customHeight="false" outlineLevel="0" collapsed="false">
      <c r="A2126" s="60"/>
      <c r="B2126" s="61" t="str">
        <f aca="false">IF($M2126=0,"",INDEX(Classes!$E$6:$E$420,$M2126))</f>
        <v/>
      </c>
      <c r="C2126" s="62" t="str">
        <f aca="false">IF($M2126=0,"",INDEX(Classes!$H$6:$H$420,$M2126))</f>
        <v/>
      </c>
      <c r="D2126" s="61" t="str">
        <f aca="false">IF($M2126=0,"",INDEX(Classes!$B$6:$B$420,$M2126))</f>
        <v/>
      </c>
      <c r="E2126" s="61" t="str">
        <f aca="false">IF($M2126=0,"",INDEX(Classes!$C$6:$C$420,$M2126))</f>
        <v/>
      </c>
      <c r="F2126" s="63"/>
      <c r="G2126" s="63"/>
      <c r="H2126" s="60"/>
      <c r="I2126" s="60"/>
      <c r="J2126" s="63"/>
      <c r="K2126" s="61" t="str">
        <f aca="false">IF($P2126=0,"",IF($F2126="Baseline","— Baseline",IF($O2126=0,"No result",IF($N2126=0,"No Start (attainment only)",IF(OR($N2126=1,$O2126=1),"U – needs rule",INDEX(MxBody,MATCH($I2126,MxCurr,0),MATCH($H2126,MxStart,0)))))))</f>
        <v/>
      </c>
      <c r="L2126" s="62" t="str">
        <f aca="false">IF(COUNTA($A2126,$F2126,$G2126,$H2126,$I2126,$J2126)=0,"",IF($M2126=0,"✖ كود الصف غير موجود",IF(ISNA(MATCH($F2126,Lists!$A$2:$A$5,0)),"✖ الفترة غير صحيحة",IF(ISNA(MATCH($G2126,Lists!$B$2:$B$7,0)),"✖ المجموعة غير صحيحة",IF(NOT(OR($H2126="",$N2126&gt;0)),"✖ Start غير صحيح",IF(NOT(OR($I2126="",$I2126="NR",$O2126&gt;0)),"✖ Current غير صحيح",IF(NOT(IF(ISNUMBER($J2126),AND($J2126&gt;=0,$J2126=INT($J2126)),FALSE())),"✖ العدد يجب أن يكون صحيحًا ≥ 0",IF(AND($F2126="Baseline",$H2126&lt;&gt;""),"⚠ Baseline: Start لا يدخل في التقدم",IF($K2126="No Start (attainment only)","ℹ تحصيل فقط (بدون Start)",IF($K2126="U – needs rule","ℹ حالة U تحتاج قاعدة معتمدة",IF($K2126="No result","ℹ بدون نتيجة (يُستبعد من التحصيل)","OK")))))))))))</f>
        <v/>
      </c>
      <c r="M2126" s="64" t="n">
        <f aca="false">IF($A2126="",0,IFERROR(MATCH($A2126,Classes!$A$6:$A$420,0),0))</f>
        <v>0</v>
      </c>
      <c r="N2126" s="64" t="n">
        <f aca="false">IF($H2126="",0,IFERROR(MATCH($H2126,GradeList,0),0))</f>
        <v>0</v>
      </c>
      <c r="O2126" s="64" t="n">
        <f aca="false">IF(OR($I2126="",$I2126="NR"),0,IFERROR(MATCH($I2126,GradeList,0),0))</f>
        <v>0</v>
      </c>
      <c r="P2126" s="64" t="n">
        <f aca="false">IF(AND($M2126&gt;0,ISNUMBER(MATCH($F2126,Lists!$A$2:$A$5,0)),ISNUMBER(MATCH($G2126,Lists!$B$2:$B$7,0)),OR($H2126="",$N2126&gt;0),OR($I2126="",$I2126="NR",$O2126&gt;0),IF(ISNUMBER($J2126),AND($J2126&gt;=0,$J2126=INT($J2126)),FALSE())),$J2126,0)</f>
        <v>0</v>
      </c>
      <c r="Q2126" s="64" t="n">
        <f aca="false">IF(AND($P2126&gt;0,$O2126&gt;0),$P2126,0)</f>
        <v>0</v>
      </c>
      <c r="R2126" s="64" t="n">
        <f aca="false">IF(AND($Q2126&gt;0,$O2126&gt;=AtRank),$Q2126,0)</f>
        <v>0</v>
      </c>
      <c r="S2126" s="64" t="n">
        <f aca="false">IF(AND($Q2126&gt;0,$O2126&gt;=AboveRank),$Q2126,0)</f>
        <v>0</v>
      </c>
      <c r="T2126" s="64" t="n">
        <f aca="false">IF($K2126="Less",$P2126,0)</f>
        <v>0</v>
      </c>
      <c r="U2126" s="64" t="n">
        <f aca="false">IF($K2126="Expected",$P2126,0)</f>
        <v>0</v>
      </c>
      <c r="V2126" s="64" t="n">
        <f aca="false">IF($K2126="Better",$P2126,0)</f>
        <v>0</v>
      </c>
      <c r="W2126" s="64" t="n">
        <f aca="false">IF($K2126="U – needs rule",$P2126,0)</f>
        <v>0</v>
      </c>
      <c r="X2126" s="64" t="n">
        <f aca="false">IF($K2126="No Start (attainment only)",$P2126,0)</f>
        <v>0</v>
      </c>
    </row>
    <row r="2127" customFormat="false" ht="15" hidden="false" customHeight="false" outlineLevel="0" collapsed="false">
      <c r="A2127" s="60"/>
      <c r="B2127" s="61" t="str">
        <f aca="false">IF($M2127=0,"",INDEX(Classes!$E$6:$E$420,$M2127))</f>
        <v/>
      </c>
      <c r="C2127" s="62" t="str">
        <f aca="false">IF($M2127=0,"",INDEX(Classes!$H$6:$H$420,$M2127))</f>
        <v/>
      </c>
      <c r="D2127" s="61" t="str">
        <f aca="false">IF($M2127=0,"",INDEX(Classes!$B$6:$B$420,$M2127))</f>
        <v/>
      </c>
      <c r="E2127" s="61" t="str">
        <f aca="false">IF($M2127=0,"",INDEX(Classes!$C$6:$C$420,$M2127))</f>
        <v/>
      </c>
      <c r="F2127" s="63"/>
      <c r="G2127" s="63"/>
      <c r="H2127" s="60"/>
      <c r="I2127" s="60"/>
      <c r="J2127" s="63"/>
      <c r="K2127" s="61" t="str">
        <f aca="false">IF($P2127=0,"",IF($F2127="Baseline","— Baseline",IF($O2127=0,"No result",IF($N2127=0,"No Start (attainment only)",IF(OR($N2127=1,$O2127=1),"U – needs rule",INDEX(MxBody,MATCH($I2127,MxCurr,0),MATCH($H2127,MxStart,0)))))))</f>
        <v/>
      </c>
      <c r="L2127" s="62" t="str">
        <f aca="false">IF(COUNTA($A2127,$F2127,$G2127,$H2127,$I2127,$J2127)=0,"",IF($M2127=0,"✖ كود الصف غير موجود",IF(ISNA(MATCH($F2127,Lists!$A$2:$A$5,0)),"✖ الفترة غير صحيحة",IF(ISNA(MATCH($G2127,Lists!$B$2:$B$7,0)),"✖ المجموعة غير صحيحة",IF(NOT(OR($H2127="",$N2127&gt;0)),"✖ Start غير صحيح",IF(NOT(OR($I2127="",$I2127="NR",$O2127&gt;0)),"✖ Current غير صحيح",IF(NOT(IF(ISNUMBER($J2127),AND($J2127&gt;=0,$J2127=INT($J2127)),FALSE())),"✖ العدد يجب أن يكون صحيحًا ≥ 0",IF(AND($F2127="Baseline",$H2127&lt;&gt;""),"⚠ Baseline: Start لا يدخل في التقدم",IF($K2127="No Start (attainment only)","ℹ تحصيل فقط (بدون Start)",IF($K2127="U – needs rule","ℹ حالة U تحتاج قاعدة معتمدة",IF($K2127="No result","ℹ بدون نتيجة (يُستبعد من التحصيل)","OK")))))))))))</f>
        <v/>
      </c>
      <c r="M2127" s="64" t="n">
        <f aca="false">IF($A2127="",0,IFERROR(MATCH($A2127,Classes!$A$6:$A$420,0),0))</f>
        <v>0</v>
      </c>
      <c r="N2127" s="64" t="n">
        <f aca="false">IF($H2127="",0,IFERROR(MATCH($H2127,GradeList,0),0))</f>
        <v>0</v>
      </c>
      <c r="O2127" s="64" t="n">
        <f aca="false">IF(OR($I2127="",$I2127="NR"),0,IFERROR(MATCH($I2127,GradeList,0),0))</f>
        <v>0</v>
      </c>
      <c r="P2127" s="64" t="n">
        <f aca="false">IF(AND($M2127&gt;0,ISNUMBER(MATCH($F2127,Lists!$A$2:$A$5,0)),ISNUMBER(MATCH($G2127,Lists!$B$2:$B$7,0)),OR($H2127="",$N2127&gt;0),OR($I2127="",$I2127="NR",$O2127&gt;0),IF(ISNUMBER($J2127),AND($J2127&gt;=0,$J2127=INT($J2127)),FALSE())),$J2127,0)</f>
        <v>0</v>
      </c>
      <c r="Q2127" s="64" t="n">
        <f aca="false">IF(AND($P2127&gt;0,$O2127&gt;0),$P2127,0)</f>
        <v>0</v>
      </c>
      <c r="R2127" s="64" t="n">
        <f aca="false">IF(AND($Q2127&gt;0,$O2127&gt;=AtRank),$Q2127,0)</f>
        <v>0</v>
      </c>
      <c r="S2127" s="64" t="n">
        <f aca="false">IF(AND($Q2127&gt;0,$O2127&gt;=AboveRank),$Q2127,0)</f>
        <v>0</v>
      </c>
      <c r="T2127" s="64" t="n">
        <f aca="false">IF($K2127="Less",$P2127,0)</f>
        <v>0</v>
      </c>
      <c r="U2127" s="64" t="n">
        <f aca="false">IF($K2127="Expected",$P2127,0)</f>
        <v>0</v>
      </c>
      <c r="V2127" s="64" t="n">
        <f aca="false">IF($K2127="Better",$P2127,0)</f>
        <v>0</v>
      </c>
      <c r="W2127" s="64" t="n">
        <f aca="false">IF($K2127="U – needs rule",$P2127,0)</f>
        <v>0</v>
      </c>
      <c r="X2127" s="64" t="n">
        <f aca="false">IF($K2127="No Start (attainment only)",$P2127,0)</f>
        <v>0</v>
      </c>
    </row>
    <row r="2128" customFormat="false" ht="15" hidden="false" customHeight="false" outlineLevel="0" collapsed="false">
      <c r="A2128" s="60"/>
      <c r="B2128" s="61" t="str">
        <f aca="false">IF($M2128=0,"",INDEX(Classes!$E$6:$E$420,$M2128))</f>
        <v/>
      </c>
      <c r="C2128" s="62" t="str">
        <f aca="false">IF($M2128=0,"",INDEX(Classes!$H$6:$H$420,$M2128))</f>
        <v/>
      </c>
      <c r="D2128" s="61" t="str">
        <f aca="false">IF($M2128=0,"",INDEX(Classes!$B$6:$B$420,$M2128))</f>
        <v/>
      </c>
      <c r="E2128" s="61" t="str">
        <f aca="false">IF($M2128=0,"",INDEX(Classes!$C$6:$C$420,$M2128))</f>
        <v/>
      </c>
      <c r="F2128" s="63"/>
      <c r="G2128" s="63"/>
      <c r="H2128" s="60"/>
      <c r="I2128" s="60"/>
      <c r="J2128" s="63"/>
      <c r="K2128" s="61" t="str">
        <f aca="false">IF($P2128=0,"",IF($F2128="Baseline","— Baseline",IF($O2128=0,"No result",IF($N2128=0,"No Start (attainment only)",IF(OR($N2128=1,$O2128=1),"U – needs rule",INDEX(MxBody,MATCH($I2128,MxCurr,0),MATCH($H2128,MxStart,0)))))))</f>
        <v/>
      </c>
      <c r="L2128" s="62" t="str">
        <f aca="false">IF(COUNTA($A2128,$F2128,$G2128,$H2128,$I2128,$J2128)=0,"",IF($M2128=0,"✖ كود الصف غير موجود",IF(ISNA(MATCH($F2128,Lists!$A$2:$A$5,0)),"✖ الفترة غير صحيحة",IF(ISNA(MATCH($G2128,Lists!$B$2:$B$7,0)),"✖ المجموعة غير صحيحة",IF(NOT(OR($H2128="",$N2128&gt;0)),"✖ Start غير صحيح",IF(NOT(OR($I2128="",$I2128="NR",$O2128&gt;0)),"✖ Current غير صحيح",IF(NOT(IF(ISNUMBER($J2128),AND($J2128&gt;=0,$J2128=INT($J2128)),FALSE())),"✖ العدد يجب أن يكون صحيحًا ≥ 0",IF(AND($F2128="Baseline",$H2128&lt;&gt;""),"⚠ Baseline: Start لا يدخل في التقدم",IF($K2128="No Start (attainment only)","ℹ تحصيل فقط (بدون Start)",IF($K2128="U – needs rule","ℹ حالة U تحتاج قاعدة معتمدة",IF($K2128="No result","ℹ بدون نتيجة (يُستبعد من التحصيل)","OK")))))))))))</f>
        <v/>
      </c>
      <c r="M2128" s="64" t="n">
        <f aca="false">IF($A2128="",0,IFERROR(MATCH($A2128,Classes!$A$6:$A$420,0),0))</f>
        <v>0</v>
      </c>
      <c r="N2128" s="64" t="n">
        <f aca="false">IF($H2128="",0,IFERROR(MATCH($H2128,GradeList,0),0))</f>
        <v>0</v>
      </c>
      <c r="O2128" s="64" t="n">
        <f aca="false">IF(OR($I2128="",$I2128="NR"),0,IFERROR(MATCH($I2128,GradeList,0),0))</f>
        <v>0</v>
      </c>
      <c r="P2128" s="64" t="n">
        <f aca="false">IF(AND($M2128&gt;0,ISNUMBER(MATCH($F2128,Lists!$A$2:$A$5,0)),ISNUMBER(MATCH($G2128,Lists!$B$2:$B$7,0)),OR($H2128="",$N2128&gt;0),OR($I2128="",$I2128="NR",$O2128&gt;0),IF(ISNUMBER($J2128),AND($J2128&gt;=0,$J2128=INT($J2128)),FALSE())),$J2128,0)</f>
        <v>0</v>
      </c>
      <c r="Q2128" s="64" t="n">
        <f aca="false">IF(AND($P2128&gt;0,$O2128&gt;0),$P2128,0)</f>
        <v>0</v>
      </c>
      <c r="R2128" s="64" t="n">
        <f aca="false">IF(AND($Q2128&gt;0,$O2128&gt;=AtRank),$Q2128,0)</f>
        <v>0</v>
      </c>
      <c r="S2128" s="64" t="n">
        <f aca="false">IF(AND($Q2128&gt;0,$O2128&gt;=AboveRank),$Q2128,0)</f>
        <v>0</v>
      </c>
      <c r="T2128" s="64" t="n">
        <f aca="false">IF($K2128="Less",$P2128,0)</f>
        <v>0</v>
      </c>
      <c r="U2128" s="64" t="n">
        <f aca="false">IF($K2128="Expected",$P2128,0)</f>
        <v>0</v>
      </c>
      <c r="V2128" s="64" t="n">
        <f aca="false">IF($K2128="Better",$P2128,0)</f>
        <v>0</v>
      </c>
      <c r="W2128" s="64" t="n">
        <f aca="false">IF($K2128="U – needs rule",$P2128,0)</f>
        <v>0</v>
      </c>
      <c r="X2128" s="64" t="n">
        <f aca="false">IF($K2128="No Start (attainment only)",$P2128,0)</f>
        <v>0</v>
      </c>
    </row>
    <row r="2129" customFormat="false" ht="15" hidden="false" customHeight="false" outlineLevel="0" collapsed="false">
      <c r="A2129" s="60"/>
      <c r="B2129" s="61" t="str">
        <f aca="false">IF($M2129=0,"",INDEX(Classes!$E$6:$E$420,$M2129))</f>
        <v/>
      </c>
      <c r="C2129" s="62" t="str">
        <f aca="false">IF($M2129=0,"",INDEX(Classes!$H$6:$H$420,$M2129))</f>
        <v/>
      </c>
      <c r="D2129" s="61" t="str">
        <f aca="false">IF($M2129=0,"",INDEX(Classes!$B$6:$B$420,$M2129))</f>
        <v/>
      </c>
      <c r="E2129" s="61" t="str">
        <f aca="false">IF($M2129=0,"",INDEX(Classes!$C$6:$C$420,$M2129))</f>
        <v/>
      </c>
      <c r="F2129" s="63"/>
      <c r="G2129" s="63"/>
      <c r="H2129" s="60"/>
      <c r="I2129" s="60"/>
      <c r="J2129" s="63"/>
      <c r="K2129" s="61" t="str">
        <f aca="false">IF($P2129=0,"",IF($F2129="Baseline","— Baseline",IF($O2129=0,"No result",IF($N2129=0,"No Start (attainment only)",IF(OR($N2129=1,$O2129=1),"U – needs rule",INDEX(MxBody,MATCH($I2129,MxCurr,0),MATCH($H2129,MxStart,0)))))))</f>
        <v/>
      </c>
      <c r="L2129" s="62" t="str">
        <f aca="false">IF(COUNTA($A2129,$F2129,$G2129,$H2129,$I2129,$J2129)=0,"",IF($M2129=0,"✖ كود الصف غير موجود",IF(ISNA(MATCH($F2129,Lists!$A$2:$A$5,0)),"✖ الفترة غير صحيحة",IF(ISNA(MATCH($G2129,Lists!$B$2:$B$7,0)),"✖ المجموعة غير صحيحة",IF(NOT(OR($H2129="",$N2129&gt;0)),"✖ Start غير صحيح",IF(NOT(OR($I2129="",$I2129="NR",$O2129&gt;0)),"✖ Current غير صحيح",IF(NOT(IF(ISNUMBER($J2129),AND($J2129&gt;=0,$J2129=INT($J2129)),FALSE())),"✖ العدد يجب أن يكون صحيحًا ≥ 0",IF(AND($F2129="Baseline",$H2129&lt;&gt;""),"⚠ Baseline: Start لا يدخل في التقدم",IF($K2129="No Start (attainment only)","ℹ تحصيل فقط (بدون Start)",IF($K2129="U – needs rule","ℹ حالة U تحتاج قاعدة معتمدة",IF($K2129="No result","ℹ بدون نتيجة (يُستبعد من التحصيل)","OK")))))))))))</f>
        <v/>
      </c>
      <c r="M2129" s="64" t="n">
        <f aca="false">IF($A2129="",0,IFERROR(MATCH($A2129,Classes!$A$6:$A$420,0),0))</f>
        <v>0</v>
      </c>
      <c r="N2129" s="64" t="n">
        <f aca="false">IF($H2129="",0,IFERROR(MATCH($H2129,GradeList,0),0))</f>
        <v>0</v>
      </c>
      <c r="O2129" s="64" t="n">
        <f aca="false">IF(OR($I2129="",$I2129="NR"),0,IFERROR(MATCH($I2129,GradeList,0),0))</f>
        <v>0</v>
      </c>
      <c r="P2129" s="64" t="n">
        <f aca="false">IF(AND($M2129&gt;0,ISNUMBER(MATCH($F2129,Lists!$A$2:$A$5,0)),ISNUMBER(MATCH($G2129,Lists!$B$2:$B$7,0)),OR($H2129="",$N2129&gt;0),OR($I2129="",$I2129="NR",$O2129&gt;0),IF(ISNUMBER($J2129),AND($J2129&gt;=0,$J2129=INT($J2129)),FALSE())),$J2129,0)</f>
        <v>0</v>
      </c>
      <c r="Q2129" s="64" t="n">
        <f aca="false">IF(AND($P2129&gt;0,$O2129&gt;0),$P2129,0)</f>
        <v>0</v>
      </c>
      <c r="R2129" s="64" t="n">
        <f aca="false">IF(AND($Q2129&gt;0,$O2129&gt;=AtRank),$Q2129,0)</f>
        <v>0</v>
      </c>
      <c r="S2129" s="64" t="n">
        <f aca="false">IF(AND($Q2129&gt;0,$O2129&gt;=AboveRank),$Q2129,0)</f>
        <v>0</v>
      </c>
      <c r="T2129" s="64" t="n">
        <f aca="false">IF($K2129="Less",$P2129,0)</f>
        <v>0</v>
      </c>
      <c r="U2129" s="64" t="n">
        <f aca="false">IF($K2129="Expected",$P2129,0)</f>
        <v>0</v>
      </c>
      <c r="V2129" s="64" t="n">
        <f aca="false">IF($K2129="Better",$P2129,0)</f>
        <v>0</v>
      </c>
      <c r="W2129" s="64" t="n">
        <f aca="false">IF($K2129="U – needs rule",$P2129,0)</f>
        <v>0</v>
      </c>
      <c r="X2129" s="64" t="n">
        <f aca="false">IF($K2129="No Start (attainment only)",$P2129,0)</f>
        <v>0</v>
      </c>
    </row>
    <row r="2130" customFormat="false" ht="15" hidden="false" customHeight="false" outlineLevel="0" collapsed="false">
      <c r="A2130" s="60"/>
      <c r="B2130" s="61" t="str">
        <f aca="false">IF($M2130=0,"",INDEX(Classes!$E$6:$E$420,$M2130))</f>
        <v/>
      </c>
      <c r="C2130" s="62" t="str">
        <f aca="false">IF($M2130=0,"",INDEX(Classes!$H$6:$H$420,$M2130))</f>
        <v/>
      </c>
      <c r="D2130" s="61" t="str">
        <f aca="false">IF($M2130=0,"",INDEX(Classes!$B$6:$B$420,$M2130))</f>
        <v/>
      </c>
      <c r="E2130" s="61" t="str">
        <f aca="false">IF($M2130=0,"",INDEX(Classes!$C$6:$C$420,$M2130))</f>
        <v/>
      </c>
      <c r="F2130" s="63"/>
      <c r="G2130" s="63"/>
      <c r="H2130" s="60"/>
      <c r="I2130" s="60"/>
      <c r="J2130" s="63"/>
      <c r="K2130" s="61" t="str">
        <f aca="false">IF($P2130=0,"",IF($F2130="Baseline","— Baseline",IF($O2130=0,"No result",IF($N2130=0,"No Start (attainment only)",IF(OR($N2130=1,$O2130=1),"U – needs rule",INDEX(MxBody,MATCH($I2130,MxCurr,0),MATCH($H2130,MxStart,0)))))))</f>
        <v/>
      </c>
      <c r="L2130" s="62" t="str">
        <f aca="false">IF(COUNTA($A2130,$F2130,$G2130,$H2130,$I2130,$J2130)=0,"",IF($M2130=0,"✖ كود الصف غير موجود",IF(ISNA(MATCH($F2130,Lists!$A$2:$A$5,0)),"✖ الفترة غير صحيحة",IF(ISNA(MATCH($G2130,Lists!$B$2:$B$7,0)),"✖ المجموعة غير صحيحة",IF(NOT(OR($H2130="",$N2130&gt;0)),"✖ Start غير صحيح",IF(NOT(OR($I2130="",$I2130="NR",$O2130&gt;0)),"✖ Current غير صحيح",IF(NOT(IF(ISNUMBER($J2130),AND($J2130&gt;=0,$J2130=INT($J2130)),FALSE())),"✖ العدد يجب أن يكون صحيحًا ≥ 0",IF(AND($F2130="Baseline",$H2130&lt;&gt;""),"⚠ Baseline: Start لا يدخل في التقدم",IF($K2130="No Start (attainment only)","ℹ تحصيل فقط (بدون Start)",IF($K2130="U – needs rule","ℹ حالة U تحتاج قاعدة معتمدة",IF($K2130="No result","ℹ بدون نتيجة (يُستبعد من التحصيل)","OK")))))))))))</f>
        <v/>
      </c>
      <c r="M2130" s="64" t="n">
        <f aca="false">IF($A2130="",0,IFERROR(MATCH($A2130,Classes!$A$6:$A$420,0),0))</f>
        <v>0</v>
      </c>
      <c r="N2130" s="64" t="n">
        <f aca="false">IF($H2130="",0,IFERROR(MATCH($H2130,GradeList,0),0))</f>
        <v>0</v>
      </c>
      <c r="O2130" s="64" t="n">
        <f aca="false">IF(OR($I2130="",$I2130="NR"),0,IFERROR(MATCH($I2130,GradeList,0),0))</f>
        <v>0</v>
      </c>
      <c r="P2130" s="64" t="n">
        <f aca="false">IF(AND($M2130&gt;0,ISNUMBER(MATCH($F2130,Lists!$A$2:$A$5,0)),ISNUMBER(MATCH($G2130,Lists!$B$2:$B$7,0)),OR($H2130="",$N2130&gt;0),OR($I2130="",$I2130="NR",$O2130&gt;0),IF(ISNUMBER($J2130),AND($J2130&gt;=0,$J2130=INT($J2130)),FALSE())),$J2130,0)</f>
        <v>0</v>
      </c>
      <c r="Q2130" s="64" t="n">
        <f aca="false">IF(AND($P2130&gt;0,$O2130&gt;0),$P2130,0)</f>
        <v>0</v>
      </c>
      <c r="R2130" s="64" t="n">
        <f aca="false">IF(AND($Q2130&gt;0,$O2130&gt;=AtRank),$Q2130,0)</f>
        <v>0</v>
      </c>
      <c r="S2130" s="64" t="n">
        <f aca="false">IF(AND($Q2130&gt;0,$O2130&gt;=AboveRank),$Q2130,0)</f>
        <v>0</v>
      </c>
      <c r="T2130" s="64" t="n">
        <f aca="false">IF($K2130="Less",$P2130,0)</f>
        <v>0</v>
      </c>
      <c r="U2130" s="64" t="n">
        <f aca="false">IF($K2130="Expected",$P2130,0)</f>
        <v>0</v>
      </c>
      <c r="V2130" s="64" t="n">
        <f aca="false">IF($K2130="Better",$P2130,0)</f>
        <v>0</v>
      </c>
      <c r="W2130" s="64" t="n">
        <f aca="false">IF($K2130="U – needs rule",$P2130,0)</f>
        <v>0</v>
      </c>
      <c r="X2130" s="64" t="n">
        <f aca="false">IF($K2130="No Start (attainment only)",$P2130,0)</f>
        <v>0</v>
      </c>
    </row>
    <row r="2131" customFormat="false" ht="15" hidden="false" customHeight="false" outlineLevel="0" collapsed="false">
      <c r="A2131" s="60"/>
      <c r="B2131" s="61" t="str">
        <f aca="false">IF($M2131=0,"",INDEX(Classes!$E$6:$E$420,$M2131))</f>
        <v/>
      </c>
      <c r="C2131" s="62" t="str">
        <f aca="false">IF($M2131=0,"",INDEX(Classes!$H$6:$H$420,$M2131))</f>
        <v/>
      </c>
      <c r="D2131" s="61" t="str">
        <f aca="false">IF($M2131=0,"",INDEX(Classes!$B$6:$B$420,$M2131))</f>
        <v/>
      </c>
      <c r="E2131" s="61" t="str">
        <f aca="false">IF($M2131=0,"",INDEX(Classes!$C$6:$C$420,$M2131))</f>
        <v/>
      </c>
      <c r="F2131" s="63"/>
      <c r="G2131" s="63"/>
      <c r="H2131" s="60"/>
      <c r="I2131" s="60"/>
      <c r="J2131" s="63"/>
      <c r="K2131" s="61" t="str">
        <f aca="false">IF($P2131=0,"",IF($F2131="Baseline","— Baseline",IF($O2131=0,"No result",IF($N2131=0,"No Start (attainment only)",IF(OR($N2131=1,$O2131=1),"U – needs rule",INDEX(MxBody,MATCH($I2131,MxCurr,0),MATCH($H2131,MxStart,0)))))))</f>
        <v/>
      </c>
      <c r="L2131" s="62" t="str">
        <f aca="false">IF(COUNTA($A2131,$F2131,$G2131,$H2131,$I2131,$J2131)=0,"",IF($M2131=0,"✖ كود الصف غير موجود",IF(ISNA(MATCH($F2131,Lists!$A$2:$A$5,0)),"✖ الفترة غير صحيحة",IF(ISNA(MATCH($G2131,Lists!$B$2:$B$7,0)),"✖ المجموعة غير صحيحة",IF(NOT(OR($H2131="",$N2131&gt;0)),"✖ Start غير صحيح",IF(NOT(OR($I2131="",$I2131="NR",$O2131&gt;0)),"✖ Current غير صحيح",IF(NOT(IF(ISNUMBER($J2131),AND($J2131&gt;=0,$J2131=INT($J2131)),FALSE())),"✖ العدد يجب أن يكون صحيحًا ≥ 0",IF(AND($F2131="Baseline",$H2131&lt;&gt;""),"⚠ Baseline: Start لا يدخل في التقدم",IF($K2131="No Start (attainment only)","ℹ تحصيل فقط (بدون Start)",IF($K2131="U – needs rule","ℹ حالة U تحتاج قاعدة معتمدة",IF($K2131="No result","ℹ بدون نتيجة (يُستبعد من التحصيل)","OK")))))))))))</f>
        <v/>
      </c>
      <c r="M2131" s="64" t="n">
        <f aca="false">IF($A2131="",0,IFERROR(MATCH($A2131,Classes!$A$6:$A$420,0),0))</f>
        <v>0</v>
      </c>
      <c r="N2131" s="64" t="n">
        <f aca="false">IF($H2131="",0,IFERROR(MATCH($H2131,GradeList,0),0))</f>
        <v>0</v>
      </c>
      <c r="O2131" s="64" t="n">
        <f aca="false">IF(OR($I2131="",$I2131="NR"),0,IFERROR(MATCH($I2131,GradeList,0),0))</f>
        <v>0</v>
      </c>
      <c r="P2131" s="64" t="n">
        <f aca="false">IF(AND($M2131&gt;0,ISNUMBER(MATCH($F2131,Lists!$A$2:$A$5,0)),ISNUMBER(MATCH($G2131,Lists!$B$2:$B$7,0)),OR($H2131="",$N2131&gt;0),OR($I2131="",$I2131="NR",$O2131&gt;0),IF(ISNUMBER($J2131),AND($J2131&gt;=0,$J2131=INT($J2131)),FALSE())),$J2131,0)</f>
        <v>0</v>
      </c>
      <c r="Q2131" s="64" t="n">
        <f aca="false">IF(AND($P2131&gt;0,$O2131&gt;0),$P2131,0)</f>
        <v>0</v>
      </c>
      <c r="R2131" s="64" t="n">
        <f aca="false">IF(AND($Q2131&gt;0,$O2131&gt;=AtRank),$Q2131,0)</f>
        <v>0</v>
      </c>
      <c r="S2131" s="64" t="n">
        <f aca="false">IF(AND($Q2131&gt;0,$O2131&gt;=AboveRank),$Q2131,0)</f>
        <v>0</v>
      </c>
      <c r="T2131" s="64" t="n">
        <f aca="false">IF($K2131="Less",$P2131,0)</f>
        <v>0</v>
      </c>
      <c r="U2131" s="64" t="n">
        <f aca="false">IF($K2131="Expected",$P2131,0)</f>
        <v>0</v>
      </c>
      <c r="V2131" s="64" t="n">
        <f aca="false">IF($K2131="Better",$P2131,0)</f>
        <v>0</v>
      </c>
      <c r="W2131" s="64" t="n">
        <f aca="false">IF($K2131="U – needs rule",$P2131,0)</f>
        <v>0</v>
      </c>
      <c r="X2131" s="64" t="n">
        <f aca="false">IF($K2131="No Start (attainment only)",$P2131,0)</f>
        <v>0</v>
      </c>
    </row>
    <row r="2132" customFormat="false" ht="15" hidden="false" customHeight="false" outlineLevel="0" collapsed="false">
      <c r="A2132" s="60"/>
      <c r="B2132" s="61" t="str">
        <f aca="false">IF($M2132=0,"",INDEX(Classes!$E$6:$E$420,$M2132))</f>
        <v/>
      </c>
      <c r="C2132" s="62" t="str">
        <f aca="false">IF($M2132=0,"",INDEX(Classes!$H$6:$H$420,$M2132))</f>
        <v/>
      </c>
      <c r="D2132" s="61" t="str">
        <f aca="false">IF($M2132=0,"",INDEX(Classes!$B$6:$B$420,$M2132))</f>
        <v/>
      </c>
      <c r="E2132" s="61" t="str">
        <f aca="false">IF($M2132=0,"",INDEX(Classes!$C$6:$C$420,$M2132))</f>
        <v/>
      </c>
      <c r="F2132" s="63"/>
      <c r="G2132" s="63"/>
      <c r="H2132" s="60"/>
      <c r="I2132" s="60"/>
      <c r="J2132" s="63"/>
      <c r="K2132" s="61" t="str">
        <f aca="false">IF($P2132=0,"",IF($F2132="Baseline","— Baseline",IF($O2132=0,"No result",IF($N2132=0,"No Start (attainment only)",IF(OR($N2132=1,$O2132=1),"U – needs rule",INDEX(MxBody,MATCH($I2132,MxCurr,0),MATCH($H2132,MxStart,0)))))))</f>
        <v/>
      </c>
      <c r="L2132" s="62" t="str">
        <f aca="false">IF(COUNTA($A2132,$F2132,$G2132,$H2132,$I2132,$J2132)=0,"",IF($M2132=0,"✖ كود الصف غير موجود",IF(ISNA(MATCH($F2132,Lists!$A$2:$A$5,0)),"✖ الفترة غير صحيحة",IF(ISNA(MATCH($G2132,Lists!$B$2:$B$7,0)),"✖ المجموعة غير صحيحة",IF(NOT(OR($H2132="",$N2132&gt;0)),"✖ Start غير صحيح",IF(NOT(OR($I2132="",$I2132="NR",$O2132&gt;0)),"✖ Current غير صحيح",IF(NOT(IF(ISNUMBER($J2132),AND($J2132&gt;=0,$J2132=INT($J2132)),FALSE())),"✖ العدد يجب أن يكون صحيحًا ≥ 0",IF(AND($F2132="Baseline",$H2132&lt;&gt;""),"⚠ Baseline: Start لا يدخل في التقدم",IF($K2132="No Start (attainment only)","ℹ تحصيل فقط (بدون Start)",IF($K2132="U – needs rule","ℹ حالة U تحتاج قاعدة معتمدة",IF($K2132="No result","ℹ بدون نتيجة (يُستبعد من التحصيل)","OK")))))))))))</f>
        <v/>
      </c>
      <c r="M2132" s="64" t="n">
        <f aca="false">IF($A2132="",0,IFERROR(MATCH($A2132,Classes!$A$6:$A$420,0),0))</f>
        <v>0</v>
      </c>
      <c r="N2132" s="64" t="n">
        <f aca="false">IF($H2132="",0,IFERROR(MATCH($H2132,GradeList,0),0))</f>
        <v>0</v>
      </c>
      <c r="O2132" s="64" t="n">
        <f aca="false">IF(OR($I2132="",$I2132="NR"),0,IFERROR(MATCH($I2132,GradeList,0),0))</f>
        <v>0</v>
      </c>
      <c r="P2132" s="64" t="n">
        <f aca="false">IF(AND($M2132&gt;0,ISNUMBER(MATCH($F2132,Lists!$A$2:$A$5,0)),ISNUMBER(MATCH($G2132,Lists!$B$2:$B$7,0)),OR($H2132="",$N2132&gt;0),OR($I2132="",$I2132="NR",$O2132&gt;0),IF(ISNUMBER($J2132),AND($J2132&gt;=0,$J2132=INT($J2132)),FALSE())),$J2132,0)</f>
        <v>0</v>
      </c>
      <c r="Q2132" s="64" t="n">
        <f aca="false">IF(AND($P2132&gt;0,$O2132&gt;0),$P2132,0)</f>
        <v>0</v>
      </c>
      <c r="R2132" s="64" t="n">
        <f aca="false">IF(AND($Q2132&gt;0,$O2132&gt;=AtRank),$Q2132,0)</f>
        <v>0</v>
      </c>
      <c r="S2132" s="64" t="n">
        <f aca="false">IF(AND($Q2132&gt;0,$O2132&gt;=AboveRank),$Q2132,0)</f>
        <v>0</v>
      </c>
      <c r="T2132" s="64" t="n">
        <f aca="false">IF($K2132="Less",$P2132,0)</f>
        <v>0</v>
      </c>
      <c r="U2132" s="64" t="n">
        <f aca="false">IF($K2132="Expected",$P2132,0)</f>
        <v>0</v>
      </c>
      <c r="V2132" s="64" t="n">
        <f aca="false">IF($K2132="Better",$P2132,0)</f>
        <v>0</v>
      </c>
      <c r="W2132" s="64" t="n">
        <f aca="false">IF($K2132="U – needs rule",$P2132,0)</f>
        <v>0</v>
      </c>
      <c r="X2132" s="64" t="n">
        <f aca="false">IF($K2132="No Start (attainment only)",$P2132,0)</f>
        <v>0</v>
      </c>
    </row>
    <row r="2133" customFormat="false" ht="15" hidden="false" customHeight="false" outlineLevel="0" collapsed="false">
      <c r="A2133" s="60"/>
      <c r="B2133" s="61" t="str">
        <f aca="false">IF($M2133=0,"",INDEX(Classes!$E$6:$E$420,$M2133))</f>
        <v/>
      </c>
      <c r="C2133" s="62" t="str">
        <f aca="false">IF($M2133=0,"",INDEX(Classes!$H$6:$H$420,$M2133))</f>
        <v/>
      </c>
      <c r="D2133" s="61" t="str">
        <f aca="false">IF($M2133=0,"",INDEX(Classes!$B$6:$B$420,$M2133))</f>
        <v/>
      </c>
      <c r="E2133" s="61" t="str">
        <f aca="false">IF($M2133=0,"",INDEX(Classes!$C$6:$C$420,$M2133))</f>
        <v/>
      </c>
      <c r="F2133" s="63"/>
      <c r="G2133" s="63"/>
      <c r="H2133" s="60"/>
      <c r="I2133" s="60"/>
      <c r="J2133" s="63"/>
      <c r="K2133" s="61" t="str">
        <f aca="false">IF($P2133=0,"",IF($F2133="Baseline","— Baseline",IF($O2133=0,"No result",IF($N2133=0,"No Start (attainment only)",IF(OR($N2133=1,$O2133=1),"U – needs rule",INDEX(MxBody,MATCH($I2133,MxCurr,0),MATCH($H2133,MxStart,0)))))))</f>
        <v/>
      </c>
      <c r="L2133" s="62" t="str">
        <f aca="false">IF(COUNTA($A2133,$F2133,$G2133,$H2133,$I2133,$J2133)=0,"",IF($M2133=0,"✖ كود الصف غير موجود",IF(ISNA(MATCH($F2133,Lists!$A$2:$A$5,0)),"✖ الفترة غير صحيحة",IF(ISNA(MATCH($G2133,Lists!$B$2:$B$7,0)),"✖ المجموعة غير صحيحة",IF(NOT(OR($H2133="",$N2133&gt;0)),"✖ Start غير صحيح",IF(NOT(OR($I2133="",$I2133="NR",$O2133&gt;0)),"✖ Current غير صحيح",IF(NOT(IF(ISNUMBER($J2133),AND($J2133&gt;=0,$J2133=INT($J2133)),FALSE())),"✖ العدد يجب أن يكون صحيحًا ≥ 0",IF(AND($F2133="Baseline",$H2133&lt;&gt;""),"⚠ Baseline: Start لا يدخل في التقدم",IF($K2133="No Start (attainment only)","ℹ تحصيل فقط (بدون Start)",IF($K2133="U – needs rule","ℹ حالة U تحتاج قاعدة معتمدة",IF($K2133="No result","ℹ بدون نتيجة (يُستبعد من التحصيل)","OK")))))))))))</f>
        <v/>
      </c>
      <c r="M2133" s="64" t="n">
        <f aca="false">IF($A2133="",0,IFERROR(MATCH($A2133,Classes!$A$6:$A$420,0),0))</f>
        <v>0</v>
      </c>
      <c r="N2133" s="64" t="n">
        <f aca="false">IF($H2133="",0,IFERROR(MATCH($H2133,GradeList,0),0))</f>
        <v>0</v>
      </c>
      <c r="O2133" s="64" t="n">
        <f aca="false">IF(OR($I2133="",$I2133="NR"),0,IFERROR(MATCH($I2133,GradeList,0),0))</f>
        <v>0</v>
      </c>
      <c r="P2133" s="64" t="n">
        <f aca="false">IF(AND($M2133&gt;0,ISNUMBER(MATCH($F2133,Lists!$A$2:$A$5,0)),ISNUMBER(MATCH($G2133,Lists!$B$2:$B$7,0)),OR($H2133="",$N2133&gt;0),OR($I2133="",$I2133="NR",$O2133&gt;0),IF(ISNUMBER($J2133),AND($J2133&gt;=0,$J2133=INT($J2133)),FALSE())),$J2133,0)</f>
        <v>0</v>
      </c>
      <c r="Q2133" s="64" t="n">
        <f aca="false">IF(AND($P2133&gt;0,$O2133&gt;0),$P2133,0)</f>
        <v>0</v>
      </c>
      <c r="R2133" s="64" t="n">
        <f aca="false">IF(AND($Q2133&gt;0,$O2133&gt;=AtRank),$Q2133,0)</f>
        <v>0</v>
      </c>
      <c r="S2133" s="64" t="n">
        <f aca="false">IF(AND($Q2133&gt;0,$O2133&gt;=AboveRank),$Q2133,0)</f>
        <v>0</v>
      </c>
      <c r="T2133" s="64" t="n">
        <f aca="false">IF($K2133="Less",$P2133,0)</f>
        <v>0</v>
      </c>
      <c r="U2133" s="64" t="n">
        <f aca="false">IF($K2133="Expected",$P2133,0)</f>
        <v>0</v>
      </c>
      <c r="V2133" s="64" t="n">
        <f aca="false">IF($K2133="Better",$P2133,0)</f>
        <v>0</v>
      </c>
      <c r="W2133" s="64" t="n">
        <f aca="false">IF($K2133="U – needs rule",$P2133,0)</f>
        <v>0</v>
      </c>
      <c r="X2133" s="64" t="n">
        <f aca="false">IF($K2133="No Start (attainment only)",$P2133,0)</f>
        <v>0</v>
      </c>
    </row>
    <row r="2134" customFormat="false" ht="15" hidden="false" customHeight="false" outlineLevel="0" collapsed="false">
      <c r="A2134" s="60"/>
      <c r="B2134" s="61" t="str">
        <f aca="false">IF($M2134=0,"",INDEX(Classes!$E$6:$E$420,$M2134))</f>
        <v/>
      </c>
      <c r="C2134" s="62" t="str">
        <f aca="false">IF($M2134=0,"",INDEX(Classes!$H$6:$H$420,$M2134))</f>
        <v/>
      </c>
      <c r="D2134" s="61" t="str">
        <f aca="false">IF($M2134=0,"",INDEX(Classes!$B$6:$B$420,$M2134))</f>
        <v/>
      </c>
      <c r="E2134" s="61" t="str">
        <f aca="false">IF($M2134=0,"",INDEX(Classes!$C$6:$C$420,$M2134))</f>
        <v/>
      </c>
      <c r="F2134" s="63"/>
      <c r="G2134" s="63"/>
      <c r="H2134" s="60"/>
      <c r="I2134" s="60"/>
      <c r="J2134" s="63"/>
      <c r="K2134" s="61" t="str">
        <f aca="false">IF($P2134=0,"",IF($F2134="Baseline","— Baseline",IF($O2134=0,"No result",IF($N2134=0,"No Start (attainment only)",IF(OR($N2134=1,$O2134=1),"U – needs rule",INDEX(MxBody,MATCH($I2134,MxCurr,0),MATCH($H2134,MxStart,0)))))))</f>
        <v/>
      </c>
      <c r="L2134" s="62" t="str">
        <f aca="false">IF(COUNTA($A2134,$F2134,$G2134,$H2134,$I2134,$J2134)=0,"",IF($M2134=0,"✖ كود الصف غير موجود",IF(ISNA(MATCH($F2134,Lists!$A$2:$A$5,0)),"✖ الفترة غير صحيحة",IF(ISNA(MATCH($G2134,Lists!$B$2:$B$7,0)),"✖ المجموعة غير صحيحة",IF(NOT(OR($H2134="",$N2134&gt;0)),"✖ Start غير صحيح",IF(NOT(OR($I2134="",$I2134="NR",$O2134&gt;0)),"✖ Current غير صحيح",IF(NOT(IF(ISNUMBER($J2134),AND($J2134&gt;=0,$J2134=INT($J2134)),FALSE())),"✖ العدد يجب أن يكون صحيحًا ≥ 0",IF(AND($F2134="Baseline",$H2134&lt;&gt;""),"⚠ Baseline: Start لا يدخل في التقدم",IF($K2134="No Start (attainment only)","ℹ تحصيل فقط (بدون Start)",IF($K2134="U – needs rule","ℹ حالة U تحتاج قاعدة معتمدة",IF($K2134="No result","ℹ بدون نتيجة (يُستبعد من التحصيل)","OK")))))))))))</f>
        <v/>
      </c>
      <c r="M2134" s="64" t="n">
        <f aca="false">IF($A2134="",0,IFERROR(MATCH($A2134,Classes!$A$6:$A$420,0),0))</f>
        <v>0</v>
      </c>
      <c r="N2134" s="64" t="n">
        <f aca="false">IF($H2134="",0,IFERROR(MATCH($H2134,GradeList,0),0))</f>
        <v>0</v>
      </c>
      <c r="O2134" s="64" t="n">
        <f aca="false">IF(OR($I2134="",$I2134="NR"),0,IFERROR(MATCH($I2134,GradeList,0),0))</f>
        <v>0</v>
      </c>
      <c r="P2134" s="64" t="n">
        <f aca="false">IF(AND($M2134&gt;0,ISNUMBER(MATCH($F2134,Lists!$A$2:$A$5,0)),ISNUMBER(MATCH($G2134,Lists!$B$2:$B$7,0)),OR($H2134="",$N2134&gt;0),OR($I2134="",$I2134="NR",$O2134&gt;0),IF(ISNUMBER($J2134),AND($J2134&gt;=0,$J2134=INT($J2134)),FALSE())),$J2134,0)</f>
        <v>0</v>
      </c>
      <c r="Q2134" s="64" t="n">
        <f aca="false">IF(AND($P2134&gt;0,$O2134&gt;0),$P2134,0)</f>
        <v>0</v>
      </c>
      <c r="R2134" s="64" t="n">
        <f aca="false">IF(AND($Q2134&gt;0,$O2134&gt;=AtRank),$Q2134,0)</f>
        <v>0</v>
      </c>
      <c r="S2134" s="64" t="n">
        <f aca="false">IF(AND($Q2134&gt;0,$O2134&gt;=AboveRank),$Q2134,0)</f>
        <v>0</v>
      </c>
      <c r="T2134" s="64" t="n">
        <f aca="false">IF($K2134="Less",$P2134,0)</f>
        <v>0</v>
      </c>
      <c r="U2134" s="64" t="n">
        <f aca="false">IF($K2134="Expected",$P2134,0)</f>
        <v>0</v>
      </c>
      <c r="V2134" s="64" t="n">
        <f aca="false">IF($K2134="Better",$P2134,0)</f>
        <v>0</v>
      </c>
      <c r="W2134" s="64" t="n">
        <f aca="false">IF($K2134="U – needs rule",$P2134,0)</f>
        <v>0</v>
      </c>
      <c r="X2134" s="64" t="n">
        <f aca="false">IF($K2134="No Start (attainment only)",$P2134,0)</f>
        <v>0</v>
      </c>
    </row>
    <row r="2135" customFormat="false" ht="15" hidden="false" customHeight="false" outlineLevel="0" collapsed="false">
      <c r="A2135" s="60"/>
      <c r="B2135" s="61" t="str">
        <f aca="false">IF($M2135=0,"",INDEX(Classes!$E$6:$E$420,$M2135))</f>
        <v/>
      </c>
      <c r="C2135" s="62" t="str">
        <f aca="false">IF($M2135=0,"",INDEX(Classes!$H$6:$H$420,$M2135))</f>
        <v/>
      </c>
      <c r="D2135" s="61" t="str">
        <f aca="false">IF($M2135=0,"",INDEX(Classes!$B$6:$B$420,$M2135))</f>
        <v/>
      </c>
      <c r="E2135" s="61" t="str">
        <f aca="false">IF($M2135=0,"",INDEX(Classes!$C$6:$C$420,$M2135))</f>
        <v/>
      </c>
      <c r="F2135" s="63"/>
      <c r="G2135" s="63"/>
      <c r="H2135" s="60"/>
      <c r="I2135" s="60"/>
      <c r="J2135" s="63"/>
      <c r="K2135" s="61" t="str">
        <f aca="false">IF($P2135=0,"",IF($F2135="Baseline","— Baseline",IF($O2135=0,"No result",IF($N2135=0,"No Start (attainment only)",IF(OR($N2135=1,$O2135=1),"U – needs rule",INDEX(MxBody,MATCH($I2135,MxCurr,0),MATCH($H2135,MxStart,0)))))))</f>
        <v/>
      </c>
      <c r="L2135" s="62" t="str">
        <f aca="false">IF(COUNTA($A2135,$F2135,$G2135,$H2135,$I2135,$J2135)=0,"",IF($M2135=0,"✖ كود الصف غير موجود",IF(ISNA(MATCH($F2135,Lists!$A$2:$A$5,0)),"✖ الفترة غير صحيحة",IF(ISNA(MATCH($G2135,Lists!$B$2:$B$7,0)),"✖ المجموعة غير صحيحة",IF(NOT(OR($H2135="",$N2135&gt;0)),"✖ Start غير صحيح",IF(NOT(OR($I2135="",$I2135="NR",$O2135&gt;0)),"✖ Current غير صحيح",IF(NOT(IF(ISNUMBER($J2135),AND($J2135&gt;=0,$J2135=INT($J2135)),FALSE())),"✖ العدد يجب أن يكون صحيحًا ≥ 0",IF(AND($F2135="Baseline",$H2135&lt;&gt;""),"⚠ Baseline: Start لا يدخل في التقدم",IF($K2135="No Start (attainment only)","ℹ تحصيل فقط (بدون Start)",IF($K2135="U – needs rule","ℹ حالة U تحتاج قاعدة معتمدة",IF($K2135="No result","ℹ بدون نتيجة (يُستبعد من التحصيل)","OK")))))))))))</f>
        <v/>
      </c>
      <c r="M2135" s="64" t="n">
        <f aca="false">IF($A2135="",0,IFERROR(MATCH($A2135,Classes!$A$6:$A$420,0),0))</f>
        <v>0</v>
      </c>
      <c r="N2135" s="64" t="n">
        <f aca="false">IF($H2135="",0,IFERROR(MATCH($H2135,GradeList,0),0))</f>
        <v>0</v>
      </c>
      <c r="O2135" s="64" t="n">
        <f aca="false">IF(OR($I2135="",$I2135="NR"),0,IFERROR(MATCH($I2135,GradeList,0),0))</f>
        <v>0</v>
      </c>
      <c r="P2135" s="64" t="n">
        <f aca="false">IF(AND($M2135&gt;0,ISNUMBER(MATCH($F2135,Lists!$A$2:$A$5,0)),ISNUMBER(MATCH($G2135,Lists!$B$2:$B$7,0)),OR($H2135="",$N2135&gt;0),OR($I2135="",$I2135="NR",$O2135&gt;0),IF(ISNUMBER($J2135),AND($J2135&gt;=0,$J2135=INT($J2135)),FALSE())),$J2135,0)</f>
        <v>0</v>
      </c>
      <c r="Q2135" s="64" t="n">
        <f aca="false">IF(AND($P2135&gt;0,$O2135&gt;0),$P2135,0)</f>
        <v>0</v>
      </c>
      <c r="R2135" s="64" t="n">
        <f aca="false">IF(AND($Q2135&gt;0,$O2135&gt;=AtRank),$Q2135,0)</f>
        <v>0</v>
      </c>
      <c r="S2135" s="64" t="n">
        <f aca="false">IF(AND($Q2135&gt;0,$O2135&gt;=AboveRank),$Q2135,0)</f>
        <v>0</v>
      </c>
      <c r="T2135" s="64" t="n">
        <f aca="false">IF($K2135="Less",$P2135,0)</f>
        <v>0</v>
      </c>
      <c r="U2135" s="64" t="n">
        <f aca="false">IF($K2135="Expected",$P2135,0)</f>
        <v>0</v>
      </c>
      <c r="V2135" s="64" t="n">
        <f aca="false">IF($K2135="Better",$P2135,0)</f>
        <v>0</v>
      </c>
      <c r="W2135" s="64" t="n">
        <f aca="false">IF($K2135="U – needs rule",$P2135,0)</f>
        <v>0</v>
      </c>
      <c r="X2135" s="64" t="n">
        <f aca="false">IF($K2135="No Start (attainment only)",$P2135,0)</f>
        <v>0</v>
      </c>
    </row>
    <row r="2136" customFormat="false" ht="15" hidden="false" customHeight="false" outlineLevel="0" collapsed="false">
      <c r="A2136" s="60"/>
      <c r="B2136" s="61" t="str">
        <f aca="false">IF($M2136=0,"",INDEX(Classes!$E$6:$E$420,$M2136))</f>
        <v/>
      </c>
      <c r="C2136" s="62" t="str">
        <f aca="false">IF($M2136=0,"",INDEX(Classes!$H$6:$H$420,$M2136))</f>
        <v/>
      </c>
      <c r="D2136" s="61" t="str">
        <f aca="false">IF($M2136=0,"",INDEX(Classes!$B$6:$B$420,$M2136))</f>
        <v/>
      </c>
      <c r="E2136" s="61" t="str">
        <f aca="false">IF($M2136=0,"",INDEX(Classes!$C$6:$C$420,$M2136))</f>
        <v/>
      </c>
      <c r="F2136" s="63"/>
      <c r="G2136" s="63"/>
      <c r="H2136" s="60"/>
      <c r="I2136" s="60"/>
      <c r="J2136" s="63"/>
      <c r="K2136" s="61" t="str">
        <f aca="false">IF($P2136=0,"",IF($F2136="Baseline","— Baseline",IF($O2136=0,"No result",IF($N2136=0,"No Start (attainment only)",IF(OR($N2136=1,$O2136=1),"U – needs rule",INDEX(MxBody,MATCH($I2136,MxCurr,0),MATCH($H2136,MxStart,0)))))))</f>
        <v/>
      </c>
      <c r="L2136" s="62" t="str">
        <f aca="false">IF(COUNTA($A2136,$F2136,$G2136,$H2136,$I2136,$J2136)=0,"",IF($M2136=0,"✖ كود الصف غير موجود",IF(ISNA(MATCH($F2136,Lists!$A$2:$A$5,0)),"✖ الفترة غير صحيحة",IF(ISNA(MATCH($G2136,Lists!$B$2:$B$7,0)),"✖ المجموعة غير صحيحة",IF(NOT(OR($H2136="",$N2136&gt;0)),"✖ Start غير صحيح",IF(NOT(OR($I2136="",$I2136="NR",$O2136&gt;0)),"✖ Current غير صحيح",IF(NOT(IF(ISNUMBER($J2136),AND($J2136&gt;=0,$J2136=INT($J2136)),FALSE())),"✖ العدد يجب أن يكون صحيحًا ≥ 0",IF(AND($F2136="Baseline",$H2136&lt;&gt;""),"⚠ Baseline: Start لا يدخل في التقدم",IF($K2136="No Start (attainment only)","ℹ تحصيل فقط (بدون Start)",IF($K2136="U – needs rule","ℹ حالة U تحتاج قاعدة معتمدة",IF($K2136="No result","ℹ بدون نتيجة (يُستبعد من التحصيل)","OK")))))))))))</f>
        <v/>
      </c>
      <c r="M2136" s="64" t="n">
        <f aca="false">IF($A2136="",0,IFERROR(MATCH($A2136,Classes!$A$6:$A$420,0),0))</f>
        <v>0</v>
      </c>
      <c r="N2136" s="64" t="n">
        <f aca="false">IF($H2136="",0,IFERROR(MATCH($H2136,GradeList,0),0))</f>
        <v>0</v>
      </c>
      <c r="O2136" s="64" t="n">
        <f aca="false">IF(OR($I2136="",$I2136="NR"),0,IFERROR(MATCH($I2136,GradeList,0),0))</f>
        <v>0</v>
      </c>
      <c r="P2136" s="64" t="n">
        <f aca="false">IF(AND($M2136&gt;0,ISNUMBER(MATCH($F2136,Lists!$A$2:$A$5,0)),ISNUMBER(MATCH($G2136,Lists!$B$2:$B$7,0)),OR($H2136="",$N2136&gt;0),OR($I2136="",$I2136="NR",$O2136&gt;0),IF(ISNUMBER($J2136),AND($J2136&gt;=0,$J2136=INT($J2136)),FALSE())),$J2136,0)</f>
        <v>0</v>
      </c>
      <c r="Q2136" s="64" t="n">
        <f aca="false">IF(AND($P2136&gt;0,$O2136&gt;0),$P2136,0)</f>
        <v>0</v>
      </c>
      <c r="R2136" s="64" t="n">
        <f aca="false">IF(AND($Q2136&gt;0,$O2136&gt;=AtRank),$Q2136,0)</f>
        <v>0</v>
      </c>
      <c r="S2136" s="64" t="n">
        <f aca="false">IF(AND($Q2136&gt;0,$O2136&gt;=AboveRank),$Q2136,0)</f>
        <v>0</v>
      </c>
      <c r="T2136" s="64" t="n">
        <f aca="false">IF($K2136="Less",$P2136,0)</f>
        <v>0</v>
      </c>
      <c r="U2136" s="64" t="n">
        <f aca="false">IF($K2136="Expected",$P2136,0)</f>
        <v>0</v>
      </c>
      <c r="V2136" s="64" t="n">
        <f aca="false">IF($K2136="Better",$P2136,0)</f>
        <v>0</v>
      </c>
      <c r="W2136" s="64" t="n">
        <f aca="false">IF($K2136="U – needs rule",$P2136,0)</f>
        <v>0</v>
      </c>
      <c r="X2136" s="64" t="n">
        <f aca="false">IF($K2136="No Start (attainment only)",$P2136,0)</f>
        <v>0</v>
      </c>
    </row>
    <row r="2137" customFormat="false" ht="15" hidden="false" customHeight="false" outlineLevel="0" collapsed="false">
      <c r="A2137" s="60"/>
      <c r="B2137" s="61" t="str">
        <f aca="false">IF($M2137=0,"",INDEX(Classes!$E$6:$E$420,$M2137))</f>
        <v/>
      </c>
      <c r="C2137" s="62" t="str">
        <f aca="false">IF($M2137=0,"",INDEX(Classes!$H$6:$H$420,$M2137))</f>
        <v/>
      </c>
      <c r="D2137" s="61" t="str">
        <f aca="false">IF($M2137=0,"",INDEX(Classes!$B$6:$B$420,$M2137))</f>
        <v/>
      </c>
      <c r="E2137" s="61" t="str">
        <f aca="false">IF($M2137=0,"",INDEX(Classes!$C$6:$C$420,$M2137))</f>
        <v/>
      </c>
      <c r="F2137" s="63"/>
      <c r="G2137" s="63"/>
      <c r="H2137" s="60"/>
      <c r="I2137" s="60"/>
      <c r="J2137" s="63"/>
      <c r="K2137" s="61" t="str">
        <f aca="false">IF($P2137=0,"",IF($F2137="Baseline","— Baseline",IF($O2137=0,"No result",IF($N2137=0,"No Start (attainment only)",IF(OR($N2137=1,$O2137=1),"U – needs rule",INDEX(MxBody,MATCH($I2137,MxCurr,0),MATCH($H2137,MxStart,0)))))))</f>
        <v/>
      </c>
      <c r="L2137" s="62" t="str">
        <f aca="false">IF(COUNTA($A2137,$F2137,$G2137,$H2137,$I2137,$J2137)=0,"",IF($M2137=0,"✖ كود الصف غير موجود",IF(ISNA(MATCH($F2137,Lists!$A$2:$A$5,0)),"✖ الفترة غير صحيحة",IF(ISNA(MATCH($G2137,Lists!$B$2:$B$7,0)),"✖ المجموعة غير صحيحة",IF(NOT(OR($H2137="",$N2137&gt;0)),"✖ Start غير صحيح",IF(NOT(OR($I2137="",$I2137="NR",$O2137&gt;0)),"✖ Current غير صحيح",IF(NOT(IF(ISNUMBER($J2137),AND($J2137&gt;=0,$J2137=INT($J2137)),FALSE())),"✖ العدد يجب أن يكون صحيحًا ≥ 0",IF(AND($F2137="Baseline",$H2137&lt;&gt;""),"⚠ Baseline: Start لا يدخل في التقدم",IF($K2137="No Start (attainment only)","ℹ تحصيل فقط (بدون Start)",IF($K2137="U – needs rule","ℹ حالة U تحتاج قاعدة معتمدة",IF($K2137="No result","ℹ بدون نتيجة (يُستبعد من التحصيل)","OK")))))))))))</f>
        <v/>
      </c>
      <c r="M2137" s="64" t="n">
        <f aca="false">IF($A2137="",0,IFERROR(MATCH($A2137,Classes!$A$6:$A$420,0),0))</f>
        <v>0</v>
      </c>
      <c r="N2137" s="64" t="n">
        <f aca="false">IF($H2137="",0,IFERROR(MATCH($H2137,GradeList,0),0))</f>
        <v>0</v>
      </c>
      <c r="O2137" s="64" t="n">
        <f aca="false">IF(OR($I2137="",$I2137="NR"),0,IFERROR(MATCH($I2137,GradeList,0),0))</f>
        <v>0</v>
      </c>
      <c r="P2137" s="64" t="n">
        <f aca="false">IF(AND($M2137&gt;0,ISNUMBER(MATCH($F2137,Lists!$A$2:$A$5,0)),ISNUMBER(MATCH($G2137,Lists!$B$2:$B$7,0)),OR($H2137="",$N2137&gt;0),OR($I2137="",$I2137="NR",$O2137&gt;0),IF(ISNUMBER($J2137),AND($J2137&gt;=0,$J2137=INT($J2137)),FALSE())),$J2137,0)</f>
        <v>0</v>
      </c>
      <c r="Q2137" s="64" t="n">
        <f aca="false">IF(AND($P2137&gt;0,$O2137&gt;0),$P2137,0)</f>
        <v>0</v>
      </c>
      <c r="R2137" s="64" t="n">
        <f aca="false">IF(AND($Q2137&gt;0,$O2137&gt;=AtRank),$Q2137,0)</f>
        <v>0</v>
      </c>
      <c r="S2137" s="64" t="n">
        <f aca="false">IF(AND($Q2137&gt;0,$O2137&gt;=AboveRank),$Q2137,0)</f>
        <v>0</v>
      </c>
      <c r="T2137" s="64" t="n">
        <f aca="false">IF($K2137="Less",$P2137,0)</f>
        <v>0</v>
      </c>
      <c r="U2137" s="64" t="n">
        <f aca="false">IF($K2137="Expected",$P2137,0)</f>
        <v>0</v>
      </c>
      <c r="V2137" s="64" t="n">
        <f aca="false">IF($K2137="Better",$P2137,0)</f>
        <v>0</v>
      </c>
      <c r="W2137" s="64" t="n">
        <f aca="false">IF($K2137="U – needs rule",$P2137,0)</f>
        <v>0</v>
      </c>
      <c r="X2137" s="64" t="n">
        <f aca="false">IF($K2137="No Start (attainment only)",$P2137,0)</f>
        <v>0</v>
      </c>
    </row>
    <row r="2138" customFormat="false" ht="15" hidden="false" customHeight="false" outlineLevel="0" collapsed="false">
      <c r="A2138" s="60"/>
      <c r="B2138" s="61" t="str">
        <f aca="false">IF($M2138=0,"",INDEX(Classes!$E$6:$E$420,$M2138))</f>
        <v/>
      </c>
      <c r="C2138" s="62" t="str">
        <f aca="false">IF($M2138=0,"",INDEX(Classes!$H$6:$H$420,$M2138))</f>
        <v/>
      </c>
      <c r="D2138" s="61" t="str">
        <f aca="false">IF($M2138=0,"",INDEX(Classes!$B$6:$B$420,$M2138))</f>
        <v/>
      </c>
      <c r="E2138" s="61" t="str">
        <f aca="false">IF($M2138=0,"",INDEX(Classes!$C$6:$C$420,$M2138))</f>
        <v/>
      </c>
      <c r="F2138" s="63"/>
      <c r="G2138" s="63"/>
      <c r="H2138" s="60"/>
      <c r="I2138" s="60"/>
      <c r="J2138" s="63"/>
      <c r="K2138" s="61" t="str">
        <f aca="false">IF($P2138=0,"",IF($F2138="Baseline","— Baseline",IF($O2138=0,"No result",IF($N2138=0,"No Start (attainment only)",IF(OR($N2138=1,$O2138=1),"U – needs rule",INDEX(MxBody,MATCH($I2138,MxCurr,0),MATCH($H2138,MxStart,0)))))))</f>
        <v/>
      </c>
      <c r="L2138" s="62" t="str">
        <f aca="false">IF(COUNTA($A2138,$F2138,$G2138,$H2138,$I2138,$J2138)=0,"",IF($M2138=0,"✖ كود الصف غير موجود",IF(ISNA(MATCH($F2138,Lists!$A$2:$A$5,0)),"✖ الفترة غير صحيحة",IF(ISNA(MATCH($G2138,Lists!$B$2:$B$7,0)),"✖ المجموعة غير صحيحة",IF(NOT(OR($H2138="",$N2138&gt;0)),"✖ Start غير صحيح",IF(NOT(OR($I2138="",$I2138="NR",$O2138&gt;0)),"✖ Current غير صحيح",IF(NOT(IF(ISNUMBER($J2138),AND($J2138&gt;=0,$J2138=INT($J2138)),FALSE())),"✖ العدد يجب أن يكون صحيحًا ≥ 0",IF(AND($F2138="Baseline",$H2138&lt;&gt;""),"⚠ Baseline: Start لا يدخل في التقدم",IF($K2138="No Start (attainment only)","ℹ تحصيل فقط (بدون Start)",IF($K2138="U – needs rule","ℹ حالة U تحتاج قاعدة معتمدة",IF($K2138="No result","ℹ بدون نتيجة (يُستبعد من التحصيل)","OK")))))))))))</f>
        <v/>
      </c>
      <c r="M2138" s="64" t="n">
        <f aca="false">IF($A2138="",0,IFERROR(MATCH($A2138,Classes!$A$6:$A$420,0),0))</f>
        <v>0</v>
      </c>
      <c r="N2138" s="64" t="n">
        <f aca="false">IF($H2138="",0,IFERROR(MATCH($H2138,GradeList,0),0))</f>
        <v>0</v>
      </c>
      <c r="O2138" s="64" t="n">
        <f aca="false">IF(OR($I2138="",$I2138="NR"),0,IFERROR(MATCH($I2138,GradeList,0),0))</f>
        <v>0</v>
      </c>
      <c r="P2138" s="64" t="n">
        <f aca="false">IF(AND($M2138&gt;0,ISNUMBER(MATCH($F2138,Lists!$A$2:$A$5,0)),ISNUMBER(MATCH($G2138,Lists!$B$2:$B$7,0)),OR($H2138="",$N2138&gt;0),OR($I2138="",$I2138="NR",$O2138&gt;0),IF(ISNUMBER($J2138),AND($J2138&gt;=0,$J2138=INT($J2138)),FALSE())),$J2138,0)</f>
        <v>0</v>
      </c>
      <c r="Q2138" s="64" t="n">
        <f aca="false">IF(AND($P2138&gt;0,$O2138&gt;0),$P2138,0)</f>
        <v>0</v>
      </c>
      <c r="R2138" s="64" t="n">
        <f aca="false">IF(AND($Q2138&gt;0,$O2138&gt;=AtRank),$Q2138,0)</f>
        <v>0</v>
      </c>
      <c r="S2138" s="64" t="n">
        <f aca="false">IF(AND($Q2138&gt;0,$O2138&gt;=AboveRank),$Q2138,0)</f>
        <v>0</v>
      </c>
      <c r="T2138" s="64" t="n">
        <f aca="false">IF($K2138="Less",$P2138,0)</f>
        <v>0</v>
      </c>
      <c r="U2138" s="64" t="n">
        <f aca="false">IF($K2138="Expected",$P2138,0)</f>
        <v>0</v>
      </c>
      <c r="V2138" s="64" t="n">
        <f aca="false">IF($K2138="Better",$P2138,0)</f>
        <v>0</v>
      </c>
      <c r="W2138" s="64" t="n">
        <f aca="false">IF($K2138="U – needs rule",$P2138,0)</f>
        <v>0</v>
      </c>
      <c r="X2138" s="64" t="n">
        <f aca="false">IF($K2138="No Start (attainment only)",$P2138,0)</f>
        <v>0</v>
      </c>
    </row>
    <row r="2139" customFormat="false" ht="15" hidden="false" customHeight="false" outlineLevel="0" collapsed="false">
      <c r="A2139" s="60"/>
      <c r="B2139" s="61" t="str">
        <f aca="false">IF($M2139=0,"",INDEX(Classes!$E$6:$E$420,$M2139))</f>
        <v/>
      </c>
      <c r="C2139" s="62" t="str">
        <f aca="false">IF($M2139=0,"",INDEX(Classes!$H$6:$H$420,$M2139))</f>
        <v/>
      </c>
      <c r="D2139" s="61" t="str">
        <f aca="false">IF($M2139=0,"",INDEX(Classes!$B$6:$B$420,$M2139))</f>
        <v/>
      </c>
      <c r="E2139" s="61" t="str">
        <f aca="false">IF($M2139=0,"",INDEX(Classes!$C$6:$C$420,$M2139))</f>
        <v/>
      </c>
      <c r="F2139" s="63"/>
      <c r="G2139" s="63"/>
      <c r="H2139" s="60"/>
      <c r="I2139" s="60"/>
      <c r="J2139" s="63"/>
      <c r="K2139" s="61" t="str">
        <f aca="false">IF($P2139=0,"",IF($F2139="Baseline","— Baseline",IF($O2139=0,"No result",IF($N2139=0,"No Start (attainment only)",IF(OR($N2139=1,$O2139=1),"U – needs rule",INDEX(MxBody,MATCH($I2139,MxCurr,0),MATCH($H2139,MxStart,0)))))))</f>
        <v/>
      </c>
      <c r="L2139" s="62" t="str">
        <f aca="false">IF(COUNTA($A2139,$F2139,$G2139,$H2139,$I2139,$J2139)=0,"",IF($M2139=0,"✖ كود الصف غير موجود",IF(ISNA(MATCH($F2139,Lists!$A$2:$A$5,0)),"✖ الفترة غير صحيحة",IF(ISNA(MATCH($G2139,Lists!$B$2:$B$7,0)),"✖ المجموعة غير صحيحة",IF(NOT(OR($H2139="",$N2139&gt;0)),"✖ Start غير صحيح",IF(NOT(OR($I2139="",$I2139="NR",$O2139&gt;0)),"✖ Current غير صحيح",IF(NOT(IF(ISNUMBER($J2139),AND($J2139&gt;=0,$J2139=INT($J2139)),FALSE())),"✖ العدد يجب أن يكون صحيحًا ≥ 0",IF(AND($F2139="Baseline",$H2139&lt;&gt;""),"⚠ Baseline: Start لا يدخل في التقدم",IF($K2139="No Start (attainment only)","ℹ تحصيل فقط (بدون Start)",IF($K2139="U – needs rule","ℹ حالة U تحتاج قاعدة معتمدة",IF($K2139="No result","ℹ بدون نتيجة (يُستبعد من التحصيل)","OK")))))))))))</f>
        <v/>
      </c>
      <c r="M2139" s="64" t="n">
        <f aca="false">IF($A2139="",0,IFERROR(MATCH($A2139,Classes!$A$6:$A$420,0),0))</f>
        <v>0</v>
      </c>
      <c r="N2139" s="64" t="n">
        <f aca="false">IF($H2139="",0,IFERROR(MATCH($H2139,GradeList,0),0))</f>
        <v>0</v>
      </c>
      <c r="O2139" s="64" t="n">
        <f aca="false">IF(OR($I2139="",$I2139="NR"),0,IFERROR(MATCH($I2139,GradeList,0),0))</f>
        <v>0</v>
      </c>
      <c r="P2139" s="64" t="n">
        <f aca="false">IF(AND($M2139&gt;0,ISNUMBER(MATCH($F2139,Lists!$A$2:$A$5,0)),ISNUMBER(MATCH($G2139,Lists!$B$2:$B$7,0)),OR($H2139="",$N2139&gt;0),OR($I2139="",$I2139="NR",$O2139&gt;0),IF(ISNUMBER($J2139),AND($J2139&gt;=0,$J2139=INT($J2139)),FALSE())),$J2139,0)</f>
        <v>0</v>
      </c>
      <c r="Q2139" s="64" t="n">
        <f aca="false">IF(AND($P2139&gt;0,$O2139&gt;0),$P2139,0)</f>
        <v>0</v>
      </c>
      <c r="R2139" s="64" t="n">
        <f aca="false">IF(AND($Q2139&gt;0,$O2139&gt;=AtRank),$Q2139,0)</f>
        <v>0</v>
      </c>
      <c r="S2139" s="64" t="n">
        <f aca="false">IF(AND($Q2139&gt;0,$O2139&gt;=AboveRank),$Q2139,0)</f>
        <v>0</v>
      </c>
      <c r="T2139" s="64" t="n">
        <f aca="false">IF($K2139="Less",$P2139,0)</f>
        <v>0</v>
      </c>
      <c r="U2139" s="64" t="n">
        <f aca="false">IF($K2139="Expected",$P2139,0)</f>
        <v>0</v>
      </c>
      <c r="V2139" s="64" t="n">
        <f aca="false">IF($K2139="Better",$P2139,0)</f>
        <v>0</v>
      </c>
      <c r="W2139" s="64" t="n">
        <f aca="false">IF($K2139="U – needs rule",$P2139,0)</f>
        <v>0</v>
      </c>
      <c r="X2139" s="64" t="n">
        <f aca="false">IF($K2139="No Start (attainment only)",$P2139,0)</f>
        <v>0</v>
      </c>
    </row>
    <row r="2140" customFormat="false" ht="15" hidden="false" customHeight="false" outlineLevel="0" collapsed="false">
      <c r="A2140" s="60"/>
      <c r="B2140" s="61" t="str">
        <f aca="false">IF($M2140=0,"",INDEX(Classes!$E$6:$E$420,$M2140))</f>
        <v/>
      </c>
      <c r="C2140" s="62" t="str">
        <f aca="false">IF($M2140=0,"",INDEX(Classes!$H$6:$H$420,$M2140))</f>
        <v/>
      </c>
      <c r="D2140" s="61" t="str">
        <f aca="false">IF($M2140=0,"",INDEX(Classes!$B$6:$B$420,$M2140))</f>
        <v/>
      </c>
      <c r="E2140" s="61" t="str">
        <f aca="false">IF($M2140=0,"",INDEX(Classes!$C$6:$C$420,$M2140))</f>
        <v/>
      </c>
      <c r="F2140" s="63"/>
      <c r="G2140" s="63"/>
      <c r="H2140" s="60"/>
      <c r="I2140" s="60"/>
      <c r="J2140" s="63"/>
      <c r="K2140" s="61" t="str">
        <f aca="false">IF($P2140=0,"",IF($F2140="Baseline","— Baseline",IF($O2140=0,"No result",IF($N2140=0,"No Start (attainment only)",IF(OR($N2140=1,$O2140=1),"U – needs rule",INDEX(MxBody,MATCH($I2140,MxCurr,0),MATCH($H2140,MxStart,0)))))))</f>
        <v/>
      </c>
      <c r="L2140" s="62" t="str">
        <f aca="false">IF(COUNTA($A2140,$F2140,$G2140,$H2140,$I2140,$J2140)=0,"",IF($M2140=0,"✖ كود الصف غير موجود",IF(ISNA(MATCH($F2140,Lists!$A$2:$A$5,0)),"✖ الفترة غير صحيحة",IF(ISNA(MATCH($G2140,Lists!$B$2:$B$7,0)),"✖ المجموعة غير صحيحة",IF(NOT(OR($H2140="",$N2140&gt;0)),"✖ Start غير صحيح",IF(NOT(OR($I2140="",$I2140="NR",$O2140&gt;0)),"✖ Current غير صحيح",IF(NOT(IF(ISNUMBER($J2140),AND($J2140&gt;=0,$J2140=INT($J2140)),FALSE())),"✖ العدد يجب أن يكون صحيحًا ≥ 0",IF(AND($F2140="Baseline",$H2140&lt;&gt;""),"⚠ Baseline: Start لا يدخل في التقدم",IF($K2140="No Start (attainment only)","ℹ تحصيل فقط (بدون Start)",IF($K2140="U – needs rule","ℹ حالة U تحتاج قاعدة معتمدة",IF($K2140="No result","ℹ بدون نتيجة (يُستبعد من التحصيل)","OK")))))))))))</f>
        <v/>
      </c>
      <c r="M2140" s="64" t="n">
        <f aca="false">IF($A2140="",0,IFERROR(MATCH($A2140,Classes!$A$6:$A$420,0),0))</f>
        <v>0</v>
      </c>
      <c r="N2140" s="64" t="n">
        <f aca="false">IF($H2140="",0,IFERROR(MATCH($H2140,GradeList,0),0))</f>
        <v>0</v>
      </c>
      <c r="O2140" s="64" t="n">
        <f aca="false">IF(OR($I2140="",$I2140="NR"),0,IFERROR(MATCH($I2140,GradeList,0),0))</f>
        <v>0</v>
      </c>
      <c r="P2140" s="64" t="n">
        <f aca="false">IF(AND($M2140&gt;0,ISNUMBER(MATCH($F2140,Lists!$A$2:$A$5,0)),ISNUMBER(MATCH($G2140,Lists!$B$2:$B$7,0)),OR($H2140="",$N2140&gt;0),OR($I2140="",$I2140="NR",$O2140&gt;0),IF(ISNUMBER($J2140),AND($J2140&gt;=0,$J2140=INT($J2140)),FALSE())),$J2140,0)</f>
        <v>0</v>
      </c>
      <c r="Q2140" s="64" t="n">
        <f aca="false">IF(AND($P2140&gt;0,$O2140&gt;0),$P2140,0)</f>
        <v>0</v>
      </c>
      <c r="R2140" s="64" t="n">
        <f aca="false">IF(AND($Q2140&gt;0,$O2140&gt;=AtRank),$Q2140,0)</f>
        <v>0</v>
      </c>
      <c r="S2140" s="64" t="n">
        <f aca="false">IF(AND($Q2140&gt;0,$O2140&gt;=AboveRank),$Q2140,0)</f>
        <v>0</v>
      </c>
      <c r="T2140" s="64" t="n">
        <f aca="false">IF($K2140="Less",$P2140,0)</f>
        <v>0</v>
      </c>
      <c r="U2140" s="64" t="n">
        <f aca="false">IF($K2140="Expected",$P2140,0)</f>
        <v>0</v>
      </c>
      <c r="V2140" s="64" t="n">
        <f aca="false">IF($K2140="Better",$P2140,0)</f>
        <v>0</v>
      </c>
      <c r="W2140" s="64" t="n">
        <f aca="false">IF($K2140="U – needs rule",$P2140,0)</f>
        <v>0</v>
      </c>
      <c r="X2140" s="64" t="n">
        <f aca="false">IF($K2140="No Start (attainment only)",$P2140,0)</f>
        <v>0</v>
      </c>
    </row>
    <row r="2141" customFormat="false" ht="15" hidden="false" customHeight="false" outlineLevel="0" collapsed="false">
      <c r="A2141" s="60"/>
      <c r="B2141" s="61" t="str">
        <f aca="false">IF($M2141=0,"",INDEX(Classes!$E$6:$E$420,$M2141))</f>
        <v/>
      </c>
      <c r="C2141" s="62" t="str">
        <f aca="false">IF($M2141=0,"",INDEX(Classes!$H$6:$H$420,$M2141))</f>
        <v/>
      </c>
      <c r="D2141" s="61" t="str">
        <f aca="false">IF($M2141=0,"",INDEX(Classes!$B$6:$B$420,$M2141))</f>
        <v/>
      </c>
      <c r="E2141" s="61" t="str">
        <f aca="false">IF($M2141=0,"",INDEX(Classes!$C$6:$C$420,$M2141))</f>
        <v/>
      </c>
      <c r="F2141" s="63"/>
      <c r="G2141" s="63"/>
      <c r="H2141" s="60"/>
      <c r="I2141" s="60"/>
      <c r="J2141" s="63"/>
      <c r="K2141" s="61" t="str">
        <f aca="false">IF($P2141=0,"",IF($F2141="Baseline","— Baseline",IF($O2141=0,"No result",IF($N2141=0,"No Start (attainment only)",IF(OR($N2141=1,$O2141=1),"U – needs rule",INDEX(MxBody,MATCH($I2141,MxCurr,0),MATCH($H2141,MxStart,0)))))))</f>
        <v/>
      </c>
      <c r="L2141" s="62" t="str">
        <f aca="false">IF(COUNTA($A2141,$F2141,$G2141,$H2141,$I2141,$J2141)=0,"",IF($M2141=0,"✖ كود الصف غير موجود",IF(ISNA(MATCH($F2141,Lists!$A$2:$A$5,0)),"✖ الفترة غير صحيحة",IF(ISNA(MATCH($G2141,Lists!$B$2:$B$7,0)),"✖ المجموعة غير صحيحة",IF(NOT(OR($H2141="",$N2141&gt;0)),"✖ Start غير صحيح",IF(NOT(OR($I2141="",$I2141="NR",$O2141&gt;0)),"✖ Current غير صحيح",IF(NOT(IF(ISNUMBER($J2141),AND($J2141&gt;=0,$J2141=INT($J2141)),FALSE())),"✖ العدد يجب أن يكون صحيحًا ≥ 0",IF(AND($F2141="Baseline",$H2141&lt;&gt;""),"⚠ Baseline: Start لا يدخل في التقدم",IF($K2141="No Start (attainment only)","ℹ تحصيل فقط (بدون Start)",IF($K2141="U – needs rule","ℹ حالة U تحتاج قاعدة معتمدة",IF($K2141="No result","ℹ بدون نتيجة (يُستبعد من التحصيل)","OK")))))))))))</f>
        <v/>
      </c>
      <c r="M2141" s="64" t="n">
        <f aca="false">IF($A2141="",0,IFERROR(MATCH($A2141,Classes!$A$6:$A$420,0),0))</f>
        <v>0</v>
      </c>
      <c r="N2141" s="64" t="n">
        <f aca="false">IF($H2141="",0,IFERROR(MATCH($H2141,GradeList,0),0))</f>
        <v>0</v>
      </c>
      <c r="O2141" s="64" t="n">
        <f aca="false">IF(OR($I2141="",$I2141="NR"),0,IFERROR(MATCH($I2141,GradeList,0),0))</f>
        <v>0</v>
      </c>
      <c r="P2141" s="64" t="n">
        <f aca="false">IF(AND($M2141&gt;0,ISNUMBER(MATCH($F2141,Lists!$A$2:$A$5,0)),ISNUMBER(MATCH($G2141,Lists!$B$2:$B$7,0)),OR($H2141="",$N2141&gt;0),OR($I2141="",$I2141="NR",$O2141&gt;0),IF(ISNUMBER($J2141),AND($J2141&gt;=0,$J2141=INT($J2141)),FALSE())),$J2141,0)</f>
        <v>0</v>
      </c>
      <c r="Q2141" s="64" t="n">
        <f aca="false">IF(AND($P2141&gt;0,$O2141&gt;0),$P2141,0)</f>
        <v>0</v>
      </c>
      <c r="R2141" s="64" t="n">
        <f aca="false">IF(AND($Q2141&gt;0,$O2141&gt;=AtRank),$Q2141,0)</f>
        <v>0</v>
      </c>
      <c r="S2141" s="64" t="n">
        <f aca="false">IF(AND($Q2141&gt;0,$O2141&gt;=AboveRank),$Q2141,0)</f>
        <v>0</v>
      </c>
      <c r="T2141" s="64" t="n">
        <f aca="false">IF($K2141="Less",$P2141,0)</f>
        <v>0</v>
      </c>
      <c r="U2141" s="64" t="n">
        <f aca="false">IF($K2141="Expected",$P2141,0)</f>
        <v>0</v>
      </c>
      <c r="V2141" s="64" t="n">
        <f aca="false">IF($K2141="Better",$P2141,0)</f>
        <v>0</v>
      </c>
      <c r="W2141" s="64" t="n">
        <f aca="false">IF($K2141="U – needs rule",$P2141,0)</f>
        <v>0</v>
      </c>
      <c r="X2141" s="64" t="n">
        <f aca="false">IF($K2141="No Start (attainment only)",$P2141,0)</f>
        <v>0</v>
      </c>
    </row>
    <row r="2142" customFormat="false" ht="15" hidden="false" customHeight="false" outlineLevel="0" collapsed="false">
      <c r="A2142" s="60"/>
      <c r="B2142" s="61" t="str">
        <f aca="false">IF($M2142=0,"",INDEX(Classes!$E$6:$E$420,$M2142))</f>
        <v/>
      </c>
      <c r="C2142" s="62" t="str">
        <f aca="false">IF($M2142=0,"",INDEX(Classes!$H$6:$H$420,$M2142))</f>
        <v/>
      </c>
      <c r="D2142" s="61" t="str">
        <f aca="false">IF($M2142=0,"",INDEX(Classes!$B$6:$B$420,$M2142))</f>
        <v/>
      </c>
      <c r="E2142" s="61" t="str">
        <f aca="false">IF($M2142=0,"",INDEX(Classes!$C$6:$C$420,$M2142))</f>
        <v/>
      </c>
      <c r="F2142" s="63"/>
      <c r="G2142" s="63"/>
      <c r="H2142" s="60"/>
      <c r="I2142" s="60"/>
      <c r="J2142" s="63"/>
      <c r="K2142" s="61" t="str">
        <f aca="false">IF($P2142=0,"",IF($F2142="Baseline","— Baseline",IF($O2142=0,"No result",IF($N2142=0,"No Start (attainment only)",IF(OR($N2142=1,$O2142=1),"U – needs rule",INDEX(MxBody,MATCH($I2142,MxCurr,0),MATCH($H2142,MxStart,0)))))))</f>
        <v/>
      </c>
      <c r="L2142" s="62" t="str">
        <f aca="false">IF(COUNTA($A2142,$F2142,$G2142,$H2142,$I2142,$J2142)=0,"",IF($M2142=0,"✖ كود الصف غير موجود",IF(ISNA(MATCH($F2142,Lists!$A$2:$A$5,0)),"✖ الفترة غير صحيحة",IF(ISNA(MATCH($G2142,Lists!$B$2:$B$7,0)),"✖ المجموعة غير صحيحة",IF(NOT(OR($H2142="",$N2142&gt;0)),"✖ Start غير صحيح",IF(NOT(OR($I2142="",$I2142="NR",$O2142&gt;0)),"✖ Current غير صحيح",IF(NOT(IF(ISNUMBER($J2142),AND($J2142&gt;=0,$J2142=INT($J2142)),FALSE())),"✖ العدد يجب أن يكون صحيحًا ≥ 0",IF(AND($F2142="Baseline",$H2142&lt;&gt;""),"⚠ Baseline: Start لا يدخل في التقدم",IF($K2142="No Start (attainment only)","ℹ تحصيل فقط (بدون Start)",IF($K2142="U – needs rule","ℹ حالة U تحتاج قاعدة معتمدة",IF($K2142="No result","ℹ بدون نتيجة (يُستبعد من التحصيل)","OK")))))))))))</f>
        <v/>
      </c>
      <c r="M2142" s="64" t="n">
        <f aca="false">IF($A2142="",0,IFERROR(MATCH($A2142,Classes!$A$6:$A$420,0),0))</f>
        <v>0</v>
      </c>
      <c r="N2142" s="64" t="n">
        <f aca="false">IF($H2142="",0,IFERROR(MATCH($H2142,GradeList,0),0))</f>
        <v>0</v>
      </c>
      <c r="O2142" s="64" t="n">
        <f aca="false">IF(OR($I2142="",$I2142="NR"),0,IFERROR(MATCH($I2142,GradeList,0),0))</f>
        <v>0</v>
      </c>
      <c r="P2142" s="64" t="n">
        <f aca="false">IF(AND($M2142&gt;0,ISNUMBER(MATCH($F2142,Lists!$A$2:$A$5,0)),ISNUMBER(MATCH($G2142,Lists!$B$2:$B$7,0)),OR($H2142="",$N2142&gt;0),OR($I2142="",$I2142="NR",$O2142&gt;0),IF(ISNUMBER($J2142),AND($J2142&gt;=0,$J2142=INT($J2142)),FALSE())),$J2142,0)</f>
        <v>0</v>
      </c>
      <c r="Q2142" s="64" t="n">
        <f aca="false">IF(AND($P2142&gt;0,$O2142&gt;0),$P2142,0)</f>
        <v>0</v>
      </c>
      <c r="R2142" s="64" t="n">
        <f aca="false">IF(AND($Q2142&gt;0,$O2142&gt;=AtRank),$Q2142,0)</f>
        <v>0</v>
      </c>
      <c r="S2142" s="64" t="n">
        <f aca="false">IF(AND($Q2142&gt;0,$O2142&gt;=AboveRank),$Q2142,0)</f>
        <v>0</v>
      </c>
      <c r="T2142" s="64" t="n">
        <f aca="false">IF($K2142="Less",$P2142,0)</f>
        <v>0</v>
      </c>
      <c r="U2142" s="64" t="n">
        <f aca="false">IF($K2142="Expected",$P2142,0)</f>
        <v>0</v>
      </c>
      <c r="V2142" s="64" t="n">
        <f aca="false">IF($K2142="Better",$P2142,0)</f>
        <v>0</v>
      </c>
      <c r="W2142" s="64" t="n">
        <f aca="false">IF($K2142="U – needs rule",$P2142,0)</f>
        <v>0</v>
      </c>
      <c r="X2142" s="64" t="n">
        <f aca="false">IF($K2142="No Start (attainment only)",$P2142,0)</f>
        <v>0</v>
      </c>
    </row>
    <row r="2143" customFormat="false" ht="15" hidden="false" customHeight="false" outlineLevel="0" collapsed="false">
      <c r="A2143" s="60"/>
      <c r="B2143" s="61" t="str">
        <f aca="false">IF($M2143=0,"",INDEX(Classes!$E$6:$E$420,$M2143))</f>
        <v/>
      </c>
      <c r="C2143" s="62" t="str">
        <f aca="false">IF($M2143=0,"",INDEX(Classes!$H$6:$H$420,$M2143))</f>
        <v/>
      </c>
      <c r="D2143" s="61" t="str">
        <f aca="false">IF($M2143=0,"",INDEX(Classes!$B$6:$B$420,$M2143))</f>
        <v/>
      </c>
      <c r="E2143" s="61" t="str">
        <f aca="false">IF($M2143=0,"",INDEX(Classes!$C$6:$C$420,$M2143))</f>
        <v/>
      </c>
      <c r="F2143" s="63"/>
      <c r="G2143" s="63"/>
      <c r="H2143" s="60"/>
      <c r="I2143" s="60"/>
      <c r="J2143" s="63"/>
      <c r="K2143" s="61" t="str">
        <f aca="false">IF($P2143=0,"",IF($F2143="Baseline","— Baseline",IF($O2143=0,"No result",IF($N2143=0,"No Start (attainment only)",IF(OR($N2143=1,$O2143=1),"U – needs rule",INDEX(MxBody,MATCH($I2143,MxCurr,0),MATCH($H2143,MxStart,0)))))))</f>
        <v/>
      </c>
      <c r="L2143" s="62" t="str">
        <f aca="false">IF(COUNTA($A2143,$F2143,$G2143,$H2143,$I2143,$J2143)=0,"",IF($M2143=0,"✖ كود الصف غير موجود",IF(ISNA(MATCH($F2143,Lists!$A$2:$A$5,0)),"✖ الفترة غير صحيحة",IF(ISNA(MATCH($G2143,Lists!$B$2:$B$7,0)),"✖ المجموعة غير صحيحة",IF(NOT(OR($H2143="",$N2143&gt;0)),"✖ Start غير صحيح",IF(NOT(OR($I2143="",$I2143="NR",$O2143&gt;0)),"✖ Current غير صحيح",IF(NOT(IF(ISNUMBER($J2143),AND($J2143&gt;=0,$J2143=INT($J2143)),FALSE())),"✖ العدد يجب أن يكون صحيحًا ≥ 0",IF(AND($F2143="Baseline",$H2143&lt;&gt;""),"⚠ Baseline: Start لا يدخل في التقدم",IF($K2143="No Start (attainment only)","ℹ تحصيل فقط (بدون Start)",IF($K2143="U – needs rule","ℹ حالة U تحتاج قاعدة معتمدة",IF($K2143="No result","ℹ بدون نتيجة (يُستبعد من التحصيل)","OK")))))))))))</f>
        <v/>
      </c>
      <c r="M2143" s="64" t="n">
        <f aca="false">IF($A2143="",0,IFERROR(MATCH($A2143,Classes!$A$6:$A$420,0),0))</f>
        <v>0</v>
      </c>
      <c r="N2143" s="64" t="n">
        <f aca="false">IF($H2143="",0,IFERROR(MATCH($H2143,GradeList,0),0))</f>
        <v>0</v>
      </c>
      <c r="O2143" s="64" t="n">
        <f aca="false">IF(OR($I2143="",$I2143="NR"),0,IFERROR(MATCH($I2143,GradeList,0),0))</f>
        <v>0</v>
      </c>
      <c r="P2143" s="64" t="n">
        <f aca="false">IF(AND($M2143&gt;0,ISNUMBER(MATCH($F2143,Lists!$A$2:$A$5,0)),ISNUMBER(MATCH($G2143,Lists!$B$2:$B$7,0)),OR($H2143="",$N2143&gt;0),OR($I2143="",$I2143="NR",$O2143&gt;0),IF(ISNUMBER($J2143),AND($J2143&gt;=0,$J2143=INT($J2143)),FALSE())),$J2143,0)</f>
        <v>0</v>
      </c>
      <c r="Q2143" s="64" t="n">
        <f aca="false">IF(AND($P2143&gt;0,$O2143&gt;0),$P2143,0)</f>
        <v>0</v>
      </c>
      <c r="R2143" s="64" t="n">
        <f aca="false">IF(AND($Q2143&gt;0,$O2143&gt;=AtRank),$Q2143,0)</f>
        <v>0</v>
      </c>
      <c r="S2143" s="64" t="n">
        <f aca="false">IF(AND($Q2143&gt;0,$O2143&gt;=AboveRank),$Q2143,0)</f>
        <v>0</v>
      </c>
      <c r="T2143" s="64" t="n">
        <f aca="false">IF($K2143="Less",$P2143,0)</f>
        <v>0</v>
      </c>
      <c r="U2143" s="64" t="n">
        <f aca="false">IF($K2143="Expected",$P2143,0)</f>
        <v>0</v>
      </c>
      <c r="V2143" s="64" t="n">
        <f aca="false">IF($K2143="Better",$P2143,0)</f>
        <v>0</v>
      </c>
      <c r="W2143" s="64" t="n">
        <f aca="false">IF($K2143="U – needs rule",$P2143,0)</f>
        <v>0</v>
      </c>
      <c r="X2143" s="64" t="n">
        <f aca="false">IF($K2143="No Start (attainment only)",$P2143,0)</f>
        <v>0</v>
      </c>
    </row>
    <row r="2144" customFormat="false" ht="15" hidden="false" customHeight="false" outlineLevel="0" collapsed="false">
      <c r="A2144" s="60"/>
      <c r="B2144" s="61" t="str">
        <f aca="false">IF($M2144=0,"",INDEX(Classes!$E$6:$E$420,$M2144))</f>
        <v/>
      </c>
      <c r="C2144" s="62" t="str">
        <f aca="false">IF($M2144=0,"",INDEX(Classes!$H$6:$H$420,$M2144))</f>
        <v/>
      </c>
      <c r="D2144" s="61" t="str">
        <f aca="false">IF($M2144=0,"",INDEX(Classes!$B$6:$B$420,$M2144))</f>
        <v/>
      </c>
      <c r="E2144" s="61" t="str">
        <f aca="false">IF($M2144=0,"",INDEX(Classes!$C$6:$C$420,$M2144))</f>
        <v/>
      </c>
      <c r="F2144" s="63"/>
      <c r="G2144" s="63"/>
      <c r="H2144" s="60"/>
      <c r="I2144" s="60"/>
      <c r="J2144" s="63"/>
      <c r="K2144" s="61" t="str">
        <f aca="false">IF($P2144=0,"",IF($F2144="Baseline","— Baseline",IF($O2144=0,"No result",IF($N2144=0,"No Start (attainment only)",IF(OR($N2144=1,$O2144=1),"U – needs rule",INDEX(MxBody,MATCH($I2144,MxCurr,0),MATCH($H2144,MxStart,0)))))))</f>
        <v/>
      </c>
      <c r="L2144" s="62" t="str">
        <f aca="false">IF(COUNTA($A2144,$F2144,$G2144,$H2144,$I2144,$J2144)=0,"",IF($M2144=0,"✖ كود الصف غير موجود",IF(ISNA(MATCH($F2144,Lists!$A$2:$A$5,0)),"✖ الفترة غير صحيحة",IF(ISNA(MATCH($G2144,Lists!$B$2:$B$7,0)),"✖ المجموعة غير صحيحة",IF(NOT(OR($H2144="",$N2144&gt;0)),"✖ Start غير صحيح",IF(NOT(OR($I2144="",$I2144="NR",$O2144&gt;0)),"✖ Current غير صحيح",IF(NOT(IF(ISNUMBER($J2144),AND($J2144&gt;=0,$J2144=INT($J2144)),FALSE())),"✖ العدد يجب أن يكون صحيحًا ≥ 0",IF(AND($F2144="Baseline",$H2144&lt;&gt;""),"⚠ Baseline: Start لا يدخل في التقدم",IF($K2144="No Start (attainment only)","ℹ تحصيل فقط (بدون Start)",IF($K2144="U – needs rule","ℹ حالة U تحتاج قاعدة معتمدة",IF($K2144="No result","ℹ بدون نتيجة (يُستبعد من التحصيل)","OK")))))))))))</f>
        <v/>
      </c>
      <c r="M2144" s="64" t="n">
        <f aca="false">IF($A2144="",0,IFERROR(MATCH($A2144,Classes!$A$6:$A$420,0),0))</f>
        <v>0</v>
      </c>
      <c r="N2144" s="64" t="n">
        <f aca="false">IF($H2144="",0,IFERROR(MATCH($H2144,GradeList,0),0))</f>
        <v>0</v>
      </c>
      <c r="O2144" s="64" t="n">
        <f aca="false">IF(OR($I2144="",$I2144="NR"),0,IFERROR(MATCH($I2144,GradeList,0),0))</f>
        <v>0</v>
      </c>
      <c r="P2144" s="64" t="n">
        <f aca="false">IF(AND($M2144&gt;0,ISNUMBER(MATCH($F2144,Lists!$A$2:$A$5,0)),ISNUMBER(MATCH($G2144,Lists!$B$2:$B$7,0)),OR($H2144="",$N2144&gt;0),OR($I2144="",$I2144="NR",$O2144&gt;0),IF(ISNUMBER($J2144),AND($J2144&gt;=0,$J2144=INT($J2144)),FALSE())),$J2144,0)</f>
        <v>0</v>
      </c>
      <c r="Q2144" s="64" t="n">
        <f aca="false">IF(AND($P2144&gt;0,$O2144&gt;0),$P2144,0)</f>
        <v>0</v>
      </c>
      <c r="R2144" s="64" t="n">
        <f aca="false">IF(AND($Q2144&gt;0,$O2144&gt;=AtRank),$Q2144,0)</f>
        <v>0</v>
      </c>
      <c r="S2144" s="64" t="n">
        <f aca="false">IF(AND($Q2144&gt;0,$O2144&gt;=AboveRank),$Q2144,0)</f>
        <v>0</v>
      </c>
      <c r="T2144" s="64" t="n">
        <f aca="false">IF($K2144="Less",$P2144,0)</f>
        <v>0</v>
      </c>
      <c r="U2144" s="64" t="n">
        <f aca="false">IF($K2144="Expected",$P2144,0)</f>
        <v>0</v>
      </c>
      <c r="V2144" s="64" t="n">
        <f aca="false">IF($K2144="Better",$P2144,0)</f>
        <v>0</v>
      </c>
      <c r="W2144" s="64" t="n">
        <f aca="false">IF($K2144="U – needs rule",$P2144,0)</f>
        <v>0</v>
      </c>
      <c r="X2144" s="64" t="n">
        <f aca="false">IF($K2144="No Start (attainment only)",$P2144,0)</f>
        <v>0</v>
      </c>
    </row>
    <row r="2145" customFormat="false" ht="15" hidden="false" customHeight="false" outlineLevel="0" collapsed="false">
      <c r="A2145" s="60"/>
      <c r="B2145" s="61" t="str">
        <f aca="false">IF($M2145=0,"",INDEX(Classes!$E$6:$E$420,$M2145))</f>
        <v/>
      </c>
      <c r="C2145" s="62" t="str">
        <f aca="false">IF($M2145=0,"",INDEX(Classes!$H$6:$H$420,$M2145))</f>
        <v/>
      </c>
      <c r="D2145" s="61" t="str">
        <f aca="false">IF($M2145=0,"",INDEX(Classes!$B$6:$B$420,$M2145))</f>
        <v/>
      </c>
      <c r="E2145" s="61" t="str">
        <f aca="false">IF($M2145=0,"",INDEX(Classes!$C$6:$C$420,$M2145))</f>
        <v/>
      </c>
      <c r="F2145" s="63"/>
      <c r="G2145" s="63"/>
      <c r="H2145" s="60"/>
      <c r="I2145" s="60"/>
      <c r="J2145" s="63"/>
      <c r="K2145" s="61" t="str">
        <f aca="false">IF($P2145=0,"",IF($F2145="Baseline","— Baseline",IF($O2145=0,"No result",IF($N2145=0,"No Start (attainment only)",IF(OR($N2145=1,$O2145=1),"U – needs rule",INDEX(MxBody,MATCH($I2145,MxCurr,0),MATCH($H2145,MxStart,0)))))))</f>
        <v/>
      </c>
      <c r="L2145" s="62" t="str">
        <f aca="false">IF(COUNTA($A2145,$F2145,$G2145,$H2145,$I2145,$J2145)=0,"",IF($M2145=0,"✖ كود الصف غير موجود",IF(ISNA(MATCH($F2145,Lists!$A$2:$A$5,0)),"✖ الفترة غير صحيحة",IF(ISNA(MATCH($G2145,Lists!$B$2:$B$7,0)),"✖ المجموعة غير صحيحة",IF(NOT(OR($H2145="",$N2145&gt;0)),"✖ Start غير صحيح",IF(NOT(OR($I2145="",$I2145="NR",$O2145&gt;0)),"✖ Current غير صحيح",IF(NOT(IF(ISNUMBER($J2145),AND($J2145&gt;=0,$J2145=INT($J2145)),FALSE())),"✖ العدد يجب أن يكون صحيحًا ≥ 0",IF(AND($F2145="Baseline",$H2145&lt;&gt;""),"⚠ Baseline: Start لا يدخل في التقدم",IF($K2145="No Start (attainment only)","ℹ تحصيل فقط (بدون Start)",IF($K2145="U – needs rule","ℹ حالة U تحتاج قاعدة معتمدة",IF($K2145="No result","ℹ بدون نتيجة (يُستبعد من التحصيل)","OK")))))))))))</f>
        <v/>
      </c>
      <c r="M2145" s="64" t="n">
        <f aca="false">IF($A2145="",0,IFERROR(MATCH($A2145,Classes!$A$6:$A$420,0),0))</f>
        <v>0</v>
      </c>
      <c r="N2145" s="64" t="n">
        <f aca="false">IF($H2145="",0,IFERROR(MATCH($H2145,GradeList,0),0))</f>
        <v>0</v>
      </c>
      <c r="O2145" s="64" t="n">
        <f aca="false">IF(OR($I2145="",$I2145="NR"),0,IFERROR(MATCH($I2145,GradeList,0),0))</f>
        <v>0</v>
      </c>
      <c r="P2145" s="64" t="n">
        <f aca="false">IF(AND($M2145&gt;0,ISNUMBER(MATCH($F2145,Lists!$A$2:$A$5,0)),ISNUMBER(MATCH($G2145,Lists!$B$2:$B$7,0)),OR($H2145="",$N2145&gt;0),OR($I2145="",$I2145="NR",$O2145&gt;0),IF(ISNUMBER($J2145),AND($J2145&gt;=0,$J2145=INT($J2145)),FALSE())),$J2145,0)</f>
        <v>0</v>
      </c>
      <c r="Q2145" s="64" t="n">
        <f aca="false">IF(AND($P2145&gt;0,$O2145&gt;0),$P2145,0)</f>
        <v>0</v>
      </c>
      <c r="R2145" s="64" t="n">
        <f aca="false">IF(AND($Q2145&gt;0,$O2145&gt;=AtRank),$Q2145,0)</f>
        <v>0</v>
      </c>
      <c r="S2145" s="64" t="n">
        <f aca="false">IF(AND($Q2145&gt;0,$O2145&gt;=AboveRank),$Q2145,0)</f>
        <v>0</v>
      </c>
      <c r="T2145" s="64" t="n">
        <f aca="false">IF($K2145="Less",$P2145,0)</f>
        <v>0</v>
      </c>
      <c r="U2145" s="64" t="n">
        <f aca="false">IF($K2145="Expected",$P2145,0)</f>
        <v>0</v>
      </c>
      <c r="V2145" s="64" t="n">
        <f aca="false">IF($K2145="Better",$P2145,0)</f>
        <v>0</v>
      </c>
      <c r="W2145" s="64" t="n">
        <f aca="false">IF($K2145="U – needs rule",$P2145,0)</f>
        <v>0</v>
      </c>
      <c r="X2145" s="64" t="n">
        <f aca="false">IF($K2145="No Start (attainment only)",$P2145,0)</f>
        <v>0</v>
      </c>
    </row>
    <row r="2146" customFormat="false" ht="15" hidden="false" customHeight="false" outlineLevel="0" collapsed="false">
      <c r="A2146" s="60"/>
      <c r="B2146" s="61" t="str">
        <f aca="false">IF($M2146=0,"",INDEX(Classes!$E$6:$E$420,$M2146))</f>
        <v/>
      </c>
      <c r="C2146" s="62" t="str">
        <f aca="false">IF($M2146=0,"",INDEX(Classes!$H$6:$H$420,$M2146))</f>
        <v/>
      </c>
      <c r="D2146" s="61" t="str">
        <f aca="false">IF($M2146=0,"",INDEX(Classes!$B$6:$B$420,$M2146))</f>
        <v/>
      </c>
      <c r="E2146" s="61" t="str">
        <f aca="false">IF($M2146=0,"",INDEX(Classes!$C$6:$C$420,$M2146))</f>
        <v/>
      </c>
      <c r="F2146" s="63"/>
      <c r="G2146" s="63"/>
      <c r="H2146" s="60"/>
      <c r="I2146" s="60"/>
      <c r="J2146" s="63"/>
      <c r="K2146" s="61" t="str">
        <f aca="false">IF($P2146=0,"",IF($F2146="Baseline","— Baseline",IF($O2146=0,"No result",IF($N2146=0,"No Start (attainment only)",IF(OR($N2146=1,$O2146=1),"U – needs rule",INDEX(MxBody,MATCH($I2146,MxCurr,0),MATCH($H2146,MxStart,0)))))))</f>
        <v/>
      </c>
      <c r="L2146" s="62" t="str">
        <f aca="false">IF(COUNTA($A2146,$F2146,$G2146,$H2146,$I2146,$J2146)=0,"",IF($M2146=0,"✖ كود الصف غير موجود",IF(ISNA(MATCH($F2146,Lists!$A$2:$A$5,0)),"✖ الفترة غير صحيحة",IF(ISNA(MATCH($G2146,Lists!$B$2:$B$7,0)),"✖ المجموعة غير صحيحة",IF(NOT(OR($H2146="",$N2146&gt;0)),"✖ Start غير صحيح",IF(NOT(OR($I2146="",$I2146="NR",$O2146&gt;0)),"✖ Current غير صحيح",IF(NOT(IF(ISNUMBER($J2146),AND($J2146&gt;=0,$J2146=INT($J2146)),FALSE())),"✖ العدد يجب أن يكون صحيحًا ≥ 0",IF(AND($F2146="Baseline",$H2146&lt;&gt;""),"⚠ Baseline: Start لا يدخل في التقدم",IF($K2146="No Start (attainment only)","ℹ تحصيل فقط (بدون Start)",IF($K2146="U – needs rule","ℹ حالة U تحتاج قاعدة معتمدة",IF($K2146="No result","ℹ بدون نتيجة (يُستبعد من التحصيل)","OK")))))))))))</f>
        <v/>
      </c>
      <c r="M2146" s="64" t="n">
        <f aca="false">IF($A2146="",0,IFERROR(MATCH($A2146,Classes!$A$6:$A$420,0),0))</f>
        <v>0</v>
      </c>
      <c r="N2146" s="64" t="n">
        <f aca="false">IF($H2146="",0,IFERROR(MATCH($H2146,GradeList,0),0))</f>
        <v>0</v>
      </c>
      <c r="O2146" s="64" t="n">
        <f aca="false">IF(OR($I2146="",$I2146="NR"),0,IFERROR(MATCH($I2146,GradeList,0),0))</f>
        <v>0</v>
      </c>
      <c r="P2146" s="64" t="n">
        <f aca="false">IF(AND($M2146&gt;0,ISNUMBER(MATCH($F2146,Lists!$A$2:$A$5,0)),ISNUMBER(MATCH($G2146,Lists!$B$2:$B$7,0)),OR($H2146="",$N2146&gt;0),OR($I2146="",$I2146="NR",$O2146&gt;0),IF(ISNUMBER($J2146),AND($J2146&gt;=0,$J2146=INT($J2146)),FALSE())),$J2146,0)</f>
        <v>0</v>
      </c>
      <c r="Q2146" s="64" t="n">
        <f aca="false">IF(AND($P2146&gt;0,$O2146&gt;0),$P2146,0)</f>
        <v>0</v>
      </c>
      <c r="R2146" s="64" t="n">
        <f aca="false">IF(AND($Q2146&gt;0,$O2146&gt;=AtRank),$Q2146,0)</f>
        <v>0</v>
      </c>
      <c r="S2146" s="64" t="n">
        <f aca="false">IF(AND($Q2146&gt;0,$O2146&gt;=AboveRank),$Q2146,0)</f>
        <v>0</v>
      </c>
      <c r="T2146" s="64" t="n">
        <f aca="false">IF($K2146="Less",$P2146,0)</f>
        <v>0</v>
      </c>
      <c r="U2146" s="64" t="n">
        <f aca="false">IF($K2146="Expected",$P2146,0)</f>
        <v>0</v>
      </c>
      <c r="V2146" s="64" t="n">
        <f aca="false">IF($K2146="Better",$P2146,0)</f>
        <v>0</v>
      </c>
      <c r="W2146" s="64" t="n">
        <f aca="false">IF($K2146="U – needs rule",$P2146,0)</f>
        <v>0</v>
      </c>
      <c r="X2146" s="64" t="n">
        <f aca="false">IF($K2146="No Start (attainment only)",$P2146,0)</f>
        <v>0</v>
      </c>
    </row>
    <row r="2147" customFormat="false" ht="15" hidden="false" customHeight="false" outlineLevel="0" collapsed="false">
      <c r="A2147" s="60"/>
      <c r="B2147" s="61" t="str">
        <f aca="false">IF($M2147=0,"",INDEX(Classes!$E$6:$E$420,$M2147))</f>
        <v/>
      </c>
      <c r="C2147" s="62" t="str">
        <f aca="false">IF($M2147=0,"",INDEX(Classes!$H$6:$H$420,$M2147))</f>
        <v/>
      </c>
      <c r="D2147" s="61" t="str">
        <f aca="false">IF($M2147=0,"",INDEX(Classes!$B$6:$B$420,$M2147))</f>
        <v/>
      </c>
      <c r="E2147" s="61" t="str">
        <f aca="false">IF($M2147=0,"",INDEX(Classes!$C$6:$C$420,$M2147))</f>
        <v/>
      </c>
      <c r="F2147" s="63"/>
      <c r="G2147" s="63"/>
      <c r="H2147" s="60"/>
      <c r="I2147" s="60"/>
      <c r="J2147" s="63"/>
      <c r="K2147" s="61" t="str">
        <f aca="false">IF($P2147=0,"",IF($F2147="Baseline","— Baseline",IF($O2147=0,"No result",IF($N2147=0,"No Start (attainment only)",IF(OR($N2147=1,$O2147=1),"U – needs rule",INDEX(MxBody,MATCH($I2147,MxCurr,0),MATCH($H2147,MxStart,0)))))))</f>
        <v/>
      </c>
      <c r="L2147" s="62" t="str">
        <f aca="false">IF(COUNTA($A2147,$F2147,$G2147,$H2147,$I2147,$J2147)=0,"",IF($M2147=0,"✖ كود الصف غير موجود",IF(ISNA(MATCH($F2147,Lists!$A$2:$A$5,0)),"✖ الفترة غير صحيحة",IF(ISNA(MATCH($G2147,Lists!$B$2:$B$7,0)),"✖ المجموعة غير صحيحة",IF(NOT(OR($H2147="",$N2147&gt;0)),"✖ Start غير صحيح",IF(NOT(OR($I2147="",$I2147="NR",$O2147&gt;0)),"✖ Current غير صحيح",IF(NOT(IF(ISNUMBER($J2147),AND($J2147&gt;=0,$J2147=INT($J2147)),FALSE())),"✖ العدد يجب أن يكون صحيحًا ≥ 0",IF(AND($F2147="Baseline",$H2147&lt;&gt;""),"⚠ Baseline: Start لا يدخل في التقدم",IF($K2147="No Start (attainment only)","ℹ تحصيل فقط (بدون Start)",IF($K2147="U – needs rule","ℹ حالة U تحتاج قاعدة معتمدة",IF($K2147="No result","ℹ بدون نتيجة (يُستبعد من التحصيل)","OK")))))))))))</f>
        <v/>
      </c>
      <c r="M2147" s="64" t="n">
        <f aca="false">IF($A2147="",0,IFERROR(MATCH($A2147,Classes!$A$6:$A$420,0),0))</f>
        <v>0</v>
      </c>
      <c r="N2147" s="64" t="n">
        <f aca="false">IF($H2147="",0,IFERROR(MATCH($H2147,GradeList,0),0))</f>
        <v>0</v>
      </c>
      <c r="O2147" s="64" t="n">
        <f aca="false">IF(OR($I2147="",$I2147="NR"),0,IFERROR(MATCH($I2147,GradeList,0),0))</f>
        <v>0</v>
      </c>
      <c r="P2147" s="64" t="n">
        <f aca="false">IF(AND($M2147&gt;0,ISNUMBER(MATCH($F2147,Lists!$A$2:$A$5,0)),ISNUMBER(MATCH($G2147,Lists!$B$2:$B$7,0)),OR($H2147="",$N2147&gt;0),OR($I2147="",$I2147="NR",$O2147&gt;0),IF(ISNUMBER($J2147),AND($J2147&gt;=0,$J2147=INT($J2147)),FALSE())),$J2147,0)</f>
        <v>0</v>
      </c>
      <c r="Q2147" s="64" t="n">
        <f aca="false">IF(AND($P2147&gt;0,$O2147&gt;0),$P2147,0)</f>
        <v>0</v>
      </c>
      <c r="R2147" s="64" t="n">
        <f aca="false">IF(AND($Q2147&gt;0,$O2147&gt;=AtRank),$Q2147,0)</f>
        <v>0</v>
      </c>
      <c r="S2147" s="64" t="n">
        <f aca="false">IF(AND($Q2147&gt;0,$O2147&gt;=AboveRank),$Q2147,0)</f>
        <v>0</v>
      </c>
      <c r="T2147" s="64" t="n">
        <f aca="false">IF($K2147="Less",$P2147,0)</f>
        <v>0</v>
      </c>
      <c r="U2147" s="64" t="n">
        <f aca="false">IF($K2147="Expected",$P2147,0)</f>
        <v>0</v>
      </c>
      <c r="V2147" s="64" t="n">
        <f aca="false">IF($K2147="Better",$P2147,0)</f>
        <v>0</v>
      </c>
      <c r="W2147" s="64" t="n">
        <f aca="false">IF($K2147="U – needs rule",$P2147,0)</f>
        <v>0</v>
      </c>
      <c r="X2147" s="64" t="n">
        <f aca="false">IF($K2147="No Start (attainment only)",$P2147,0)</f>
        <v>0</v>
      </c>
    </row>
    <row r="2148" customFormat="false" ht="15" hidden="false" customHeight="false" outlineLevel="0" collapsed="false">
      <c r="A2148" s="60"/>
      <c r="B2148" s="61" t="str">
        <f aca="false">IF($M2148=0,"",INDEX(Classes!$E$6:$E$420,$M2148))</f>
        <v/>
      </c>
      <c r="C2148" s="62" t="str">
        <f aca="false">IF($M2148=0,"",INDEX(Classes!$H$6:$H$420,$M2148))</f>
        <v/>
      </c>
      <c r="D2148" s="61" t="str">
        <f aca="false">IF($M2148=0,"",INDEX(Classes!$B$6:$B$420,$M2148))</f>
        <v/>
      </c>
      <c r="E2148" s="61" t="str">
        <f aca="false">IF($M2148=0,"",INDEX(Classes!$C$6:$C$420,$M2148))</f>
        <v/>
      </c>
      <c r="F2148" s="63"/>
      <c r="G2148" s="63"/>
      <c r="H2148" s="60"/>
      <c r="I2148" s="60"/>
      <c r="J2148" s="63"/>
      <c r="K2148" s="61" t="str">
        <f aca="false">IF($P2148=0,"",IF($F2148="Baseline","— Baseline",IF($O2148=0,"No result",IF($N2148=0,"No Start (attainment only)",IF(OR($N2148=1,$O2148=1),"U – needs rule",INDEX(MxBody,MATCH($I2148,MxCurr,0),MATCH($H2148,MxStart,0)))))))</f>
        <v/>
      </c>
      <c r="L2148" s="62" t="str">
        <f aca="false">IF(COUNTA($A2148,$F2148,$G2148,$H2148,$I2148,$J2148)=0,"",IF($M2148=0,"✖ كود الصف غير موجود",IF(ISNA(MATCH($F2148,Lists!$A$2:$A$5,0)),"✖ الفترة غير صحيحة",IF(ISNA(MATCH($G2148,Lists!$B$2:$B$7,0)),"✖ المجموعة غير صحيحة",IF(NOT(OR($H2148="",$N2148&gt;0)),"✖ Start غير صحيح",IF(NOT(OR($I2148="",$I2148="NR",$O2148&gt;0)),"✖ Current غير صحيح",IF(NOT(IF(ISNUMBER($J2148),AND($J2148&gt;=0,$J2148=INT($J2148)),FALSE())),"✖ العدد يجب أن يكون صحيحًا ≥ 0",IF(AND($F2148="Baseline",$H2148&lt;&gt;""),"⚠ Baseline: Start لا يدخل في التقدم",IF($K2148="No Start (attainment only)","ℹ تحصيل فقط (بدون Start)",IF($K2148="U – needs rule","ℹ حالة U تحتاج قاعدة معتمدة",IF($K2148="No result","ℹ بدون نتيجة (يُستبعد من التحصيل)","OK")))))))))))</f>
        <v/>
      </c>
      <c r="M2148" s="64" t="n">
        <f aca="false">IF($A2148="",0,IFERROR(MATCH($A2148,Classes!$A$6:$A$420,0),0))</f>
        <v>0</v>
      </c>
      <c r="N2148" s="64" t="n">
        <f aca="false">IF($H2148="",0,IFERROR(MATCH($H2148,GradeList,0),0))</f>
        <v>0</v>
      </c>
      <c r="O2148" s="64" t="n">
        <f aca="false">IF(OR($I2148="",$I2148="NR"),0,IFERROR(MATCH($I2148,GradeList,0),0))</f>
        <v>0</v>
      </c>
      <c r="P2148" s="64" t="n">
        <f aca="false">IF(AND($M2148&gt;0,ISNUMBER(MATCH($F2148,Lists!$A$2:$A$5,0)),ISNUMBER(MATCH($G2148,Lists!$B$2:$B$7,0)),OR($H2148="",$N2148&gt;0),OR($I2148="",$I2148="NR",$O2148&gt;0),IF(ISNUMBER($J2148),AND($J2148&gt;=0,$J2148=INT($J2148)),FALSE())),$J2148,0)</f>
        <v>0</v>
      </c>
      <c r="Q2148" s="64" t="n">
        <f aca="false">IF(AND($P2148&gt;0,$O2148&gt;0),$P2148,0)</f>
        <v>0</v>
      </c>
      <c r="R2148" s="64" t="n">
        <f aca="false">IF(AND($Q2148&gt;0,$O2148&gt;=AtRank),$Q2148,0)</f>
        <v>0</v>
      </c>
      <c r="S2148" s="64" t="n">
        <f aca="false">IF(AND($Q2148&gt;0,$O2148&gt;=AboveRank),$Q2148,0)</f>
        <v>0</v>
      </c>
      <c r="T2148" s="64" t="n">
        <f aca="false">IF($K2148="Less",$P2148,0)</f>
        <v>0</v>
      </c>
      <c r="U2148" s="64" t="n">
        <f aca="false">IF($K2148="Expected",$P2148,0)</f>
        <v>0</v>
      </c>
      <c r="V2148" s="64" t="n">
        <f aca="false">IF($K2148="Better",$P2148,0)</f>
        <v>0</v>
      </c>
      <c r="W2148" s="64" t="n">
        <f aca="false">IF($K2148="U – needs rule",$P2148,0)</f>
        <v>0</v>
      </c>
      <c r="X2148" s="64" t="n">
        <f aca="false">IF($K2148="No Start (attainment only)",$P2148,0)</f>
        <v>0</v>
      </c>
    </row>
    <row r="2149" customFormat="false" ht="15" hidden="false" customHeight="false" outlineLevel="0" collapsed="false">
      <c r="A2149" s="60"/>
      <c r="B2149" s="61" t="str">
        <f aca="false">IF($M2149=0,"",INDEX(Classes!$E$6:$E$420,$M2149))</f>
        <v/>
      </c>
      <c r="C2149" s="62" t="str">
        <f aca="false">IF($M2149=0,"",INDEX(Classes!$H$6:$H$420,$M2149))</f>
        <v/>
      </c>
      <c r="D2149" s="61" t="str">
        <f aca="false">IF($M2149=0,"",INDEX(Classes!$B$6:$B$420,$M2149))</f>
        <v/>
      </c>
      <c r="E2149" s="61" t="str">
        <f aca="false">IF($M2149=0,"",INDEX(Classes!$C$6:$C$420,$M2149))</f>
        <v/>
      </c>
      <c r="F2149" s="63"/>
      <c r="G2149" s="63"/>
      <c r="H2149" s="60"/>
      <c r="I2149" s="60"/>
      <c r="J2149" s="63"/>
      <c r="K2149" s="61" t="str">
        <f aca="false">IF($P2149=0,"",IF($F2149="Baseline","— Baseline",IF($O2149=0,"No result",IF($N2149=0,"No Start (attainment only)",IF(OR($N2149=1,$O2149=1),"U – needs rule",INDEX(MxBody,MATCH($I2149,MxCurr,0),MATCH($H2149,MxStart,0)))))))</f>
        <v/>
      </c>
      <c r="L2149" s="62" t="str">
        <f aca="false">IF(COUNTA($A2149,$F2149,$G2149,$H2149,$I2149,$J2149)=0,"",IF($M2149=0,"✖ كود الصف غير موجود",IF(ISNA(MATCH($F2149,Lists!$A$2:$A$5,0)),"✖ الفترة غير صحيحة",IF(ISNA(MATCH($G2149,Lists!$B$2:$B$7,0)),"✖ المجموعة غير صحيحة",IF(NOT(OR($H2149="",$N2149&gt;0)),"✖ Start غير صحيح",IF(NOT(OR($I2149="",$I2149="NR",$O2149&gt;0)),"✖ Current غير صحيح",IF(NOT(IF(ISNUMBER($J2149),AND($J2149&gt;=0,$J2149=INT($J2149)),FALSE())),"✖ العدد يجب أن يكون صحيحًا ≥ 0",IF(AND($F2149="Baseline",$H2149&lt;&gt;""),"⚠ Baseline: Start لا يدخل في التقدم",IF($K2149="No Start (attainment only)","ℹ تحصيل فقط (بدون Start)",IF($K2149="U – needs rule","ℹ حالة U تحتاج قاعدة معتمدة",IF($K2149="No result","ℹ بدون نتيجة (يُستبعد من التحصيل)","OK")))))))))))</f>
        <v/>
      </c>
      <c r="M2149" s="64" t="n">
        <f aca="false">IF($A2149="",0,IFERROR(MATCH($A2149,Classes!$A$6:$A$420,0),0))</f>
        <v>0</v>
      </c>
      <c r="N2149" s="64" t="n">
        <f aca="false">IF($H2149="",0,IFERROR(MATCH($H2149,GradeList,0),0))</f>
        <v>0</v>
      </c>
      <c r="O2149" s="64" t="n">
        <f aca="false">IF(OR($I2149="",$I2149="NR"),0,IFERROR(MATCH($I2149,GradeList,0),0))</f>
        <v>0</v>
      </c>
      <c r="P2149" s="64" t="n">
        <f aca="false">IF(AND($M2149&gt;0,ISNUMBER(MATCH($F2149,Lists!$A$2:$A$5,0)),ISNUMBER(MATCH($G2149,Lists!$B$2:$B$7,0)),OR($H2149="",$N2149&gt;0),OR($I2149="",$I2149="NR",$O2149&gt;0),IF(ISNUMBER($J2149),AND($J2149&gt;=0,$J2149=INT($J2149)),FALSE())),$J2149,0)</f>
        <v>0</v>
      </c>
      <c r="Q2149" s="64" t="n">
        <f aca="false">IF(AND($P2149&gt;0,$O2149&gt;0),$P2149,0)</f>
        <v>0</v>
      </c>
      <c r="R2149" s="64" t="n">
        <f aca="false">IF(AND($Q2149&gt;0,$O2149&gt;=AtRank),$Q2149,0)</f>
        <v>0</v>
      </c>
      <c r="S2149" s="64" t="n">
        <f aca="false">IF(AND($Q2149&gt;0,$O2149&gt;=AboveRank),$Q2149,0)</f>
        <v>0</v>
      </c>
      <c r="T2149" s="64" t="n">
        <f aca="false">IF($K2149="Less",$P2149,0)</f>
        <v>0</v>
      </c>
      <c r="U2149" s="64" t="n">
        <f aca="false">IF($K2149="Expected",$P2149,0)</f>
        <v>0</v>
      </c>
      <c r="V2149" s="64" t="n">
        <f aca="false">IF($K2149="Better",$P2149,0)</f>
        <v>0</v>
      </c>
      <c r="W2149" s="64" t="n">
        <f aca="false">IF($K2149="U – needs rule",$P2149,0)</f>
        <v>0</v>
      </c>
      <c r="X2149" s="64" t="n">
        <f aca="false">IF($K2149="No Start (attainment only)",$P2149,0)</f>
        <v>0</v>
      </c>
    </row>
    <row r="2150" customFormat="false" ht="15" hidden="false" customHeight="false" outlineLevel="0" collapsed="false">
      <c r="A2150" s="60"/>
      <c r="B2150" s="61" t="str">
        <f aca="false">IF($M2150=0,"",INDEX(Classes!$E$6:$E$420,$M2150))</f>
        <v/>
      </c>
      <c r="C2150" s="62" t="str">
        <f aca="false">IF($M2150=0,"",INDEX(Classes!$H$6:$H$420,$M2150))</f>
        <v/>
      </c>
      <c r="D2150" s="61" t="str">
        <f aca="false">IF($M2150=0,"",INDEX(Classes!$B$6:$B$420,$M2150))</f>
        <v/>
      </c>
      <c r="E2150" s="61" t="str">
        <f aca="false">IF($M2150=0,"",INDEX(Classes!$C$6:$C$420,$M2150))</f>
        <v/>
      </c>
      <c r="F2150" s="63"/>
      <c r="G2150" s="63"/>
      <c r="H2150" s="60"/>
      <c r="I2150" s="60"/>
      <c r="J2150" s="63"/>
      <c r="K2150" s="61" t="str">
        <f aca="false">IF($P2150=0,"",IF($F2150="Baseline","— Baseline",IF($O2150=0,"No result",IF($N2150=0,"No Start (attainment only)",IF(OR($N2150=1,$O2150=1),"U – needs rule",INDEX(MxBody,MATCH($I2150,MxCurr,0),MATCH($H2150,MxStart,0)))))))</f>
        <v/>
      </c>
      <c r="L2150" s="62" t="str">
        <f aca="false">IF(COUNTA($A2150,$F2150,$G2150,$H2150,$I2150,$J2150)=0,"",IF($M2150=0,"✖ كود الصف غير موجود",IF(ISNA(MATCH($F2150,Lists!$A$2:$A$5,0)),"✖ الفترة غير صحيحة",IF(ISNA(MATCH($G2150,Lists!$B$2:$B$7,0)),"✖ المجموعة غير صحيحة",IF(NOT(OR($H2150="",$N2150&gt;0)),"✖ Start غير صحيح",IF(NOT(OR($I2150="",$I2150="NR",$O2150&gt;0)),"✖ Current غير صحيح",IF(NOT(IF(ISNUMBER($J2150),AND($J2150&gt;=0,$J2150=INT($J2150)),FALSE())),"✖ العدد يجب أن يكون صحيحًا ≥ 0",IF(AND($F2150="Baseline",$H2150&lt;&gt;""),"⚠ Baseline: Start لا يدخل في التقدم",IF($K2150="No Start (attainment only)","ℹ تحصيل فقط (بدون Start)",IF($K2150="U – needs rule","ℹ حالة U تحتاج قاعدة معتمدة",IF($K2150="No result","ℹ بدون نتيجة (يُستبعد من التحصيل)","OK")))))))))))</f>
        <v/>
      </c>
      <c r="M2150" s="64" t="n">
        <f aca="false">IF($A2150="",0,IFERROR(MATCH($A2150,Classes!$A$6:$A$420,0),0))</f>
        <v>0</v>
      </c>
      <c r="N2150" s="64" t="n">
        <f aca="false">IF($H2150="",0,IFERROR(MATCH($H2150,GradeList,0),0))</f>
        <v>0</v>
      </c>
      <c r="O2150" s="64" t="n">
        <f aca="false">IF(OR($I2150="",$I2150="NR"),0,IFERROR(MATCH($I2150,GradeList,0),0))</f>
        <v>0</v>
      </c>
      <c r="P2150" s="64" t="n">
        <f aca="false">IF(AND($M2150&gt;0,ISNUMBER(MATCH($F2150,Lists!$A$2:$A$5,0)),ISNUMBER(MATCH($G2150,Lists!$B$2:$B$7,0)),OR($H2150="",$N2150&gt;0),OR($I2150="",$I2150="NR",$O2150&gt;0),IF(ISNUMBER($J2150),AND($J2150&gt;=0,$J2150=INT($J2150)),FALSE())),$J2150,0)</f>
        <v>0</v>
      </c>
      <c r="Q2150" s="64" t="n">
        <f aca="false">IF(AND($P2150&gt;0,$O2150&gt;0),$P2150,0)</f>
        <v>0</v>
      </c>
      <c r="R2150" s="64" t="n">
        <f aca="false">IF(AND($Q2150&gt;0,$O2150&gt;=AtRank),$Q2150,0)</f>
        <v>0</v>
      </c>
      <c r="S2150" s="64" t="n">
        <f aca="false">IF(AND($Q2150&gt;0,$O2150&gt;=AboveRank),$Q2150,0)</f>
        <v>0</v>
      </c>
      <c r="T2150" s="64" t="n">
        <f aca="false">IF($K2150="Less",$P2150,0)</f>
        <v>0</v>
      </c>
      <c r="U2150" s="64" t="n">
        <f aca="false">IF($K2150="Expected",$P2150,0)</f>
        <v>0</v>
      </c>
      <c r="V2150" s="64" t="n">
        <f aca="false">IF($K2150="Better",$P2150,0)</f>
        <v>0</v>
      </c>
      <c r="W2150" s="64" t="n">
        <f aca="false">IF($K2150="U – needs rule",$P2150,0)</f>
        <v>0</v>
      </c>
      <c r="X2150" s="64" t="n">
        <f aca="false">IF($K2150="No Start (attainment only)",$P2150,0)</f>
        <v>0</v>
      </c>
    </row>
    <row r="2151" customFormat="false" ht="15" hidden="false" customHeight="false" outlineLevel="0" collapsed="false">
      <c r="A2151" s="60"/>
      <c r="B2151" s="61" t="str">
        <f aca="false">IF($M2151=0,"",INDEX(Classes!$E$6:$E$420,$M2151))</f>
        <v/>
      </c>
      <c r="C2151" s="62" t="str">
        <f aca="false">IF($M2151=0,"",INDEX(Classes!$H$6:$H$420,$M2151))</f>
        <v/>
      </c>
      <c r="D2151" s="61" t="str">
        <f aca="false">IF($M2151=0,"",INDEX(Classes!$B$6:$B$420,$M2151))</f>
        <v/>
      </c>
      <c r="E2151" s="61" t="str">
        <f aca="false">IF($M2151=0,"",INDEX(Classes!$C$6:$C$420,$M2151))</f>
        <v/>
      </c>
      <c r="F2151" s="63"/>
      <c r="G2151" s="63"/>
      <c r="H2151" s="60"/>
      <c r="I2151" s="60"/>
      <c r="J2151" s="63"/>
      <c r="K2151" s="61" t="str">
        <f aca="false">IF($P2151=0,"",IF($F2151="Baseline","— Baseline",IF($O2151=0,"No result",IF($N2151=0,"No Start (attainment only)",IF(OR($N2151=1,$O2151=1),"U – needs rule",INDEX(MxBody,MATCH($I2151,MxCurr,0),MATCH($H2151,MxStart,0)))))))</f>
        <v/>
      </c>
      <c r="L2151" s="62" t="str">
        <f aca="false">IF(COUNTA($A2151,$F2151,$G2151,$H2151,$I2151,$J2151)=0,"",IF($M2151=0,"✖ كود الصف غير موجود",IF(ISNA(MATCH($F2151,Lists!$A$2:$A$5,0)),"✖ الفترة غير صحيحة",IF(ISNA(MATCH($G2151,Lists!$B$2:$B$7,0)),"✖ المجموعة غير صحيحة",IF(NOT(OR($H2151="",$N2151&gt;0)),"✖ Start غير صحيح",IF(NOT(OR($I2151="",$I2151="NR",$O2151&gt;0)),"✖ Current غير صحيح",IF(NOT(IF(ISNUMBER($J2151),AND($J2151&gt;=0,$J2151=INT($J2151)),FALSE())),"✖ العدد يجب أن يكون صحيحًا ≥ 0",IF(AND($F2151="Baseline",$H2151&lt;&gt;""),"⚠ Baseline: Start لا يدخل في التقدم",IF($K2151="No Start (attainment only)","ℹ تحصيل فقط (بدون Start)",IF($K2151="U – needs rule","ℹ حالة U تحتاج قاعدة معتمدة",IF($K2151="No result","ℹ بدون نتيجة (يُستبعد من التحصيل)","OK")))))))))))</f>
        <v/>
      </c>
      <c r="M2151" s="64" t="n">
        <f aca="false">IF($A2151="",0,IFERROR(MATCH($A2151,Classes!$A$6:$A$420,0),0))</f>
        <v>0</v>
      </c>
      <c r="N2151" s="64" t="n">
        <f aca="false">IF($H2151="",0,IFERROR(MATCH($H2151,GradeList,0),0))</f>
        <v>0</v>
      </c>
      <c r="O2151" s="64" t="n">
        <f aca="false">IF(OR($I2151="",$I2151="NR"),0,IFERROR(MATCH($I2151,GradeList,0),0))</f>
        <v>0</v>
      </c>
      <c r="P2151" s="64" t="n">
        <f aca="false">IF(AND($M2151&gt;0,ISNUMBER(MATCH($F2151,Lists!$A$2:$A$5,0)),ISNUMBER(MATCH($G2151,Lists!$B$2:$B$7,0)),OR($H2151="",$N2151&gt;0),OR($I2151="",$I2151="NR",$O2151&gt;0),IF(ISNUMBER($J2151),AND($J2151&gt;=0,$J2151=INT($J2151)),FALSE())),$J2151,0)</f>
        <v>0</v>
      </c>
      <c r="Q2151" s="64" t="n">
        <f aca="false">IF(AND($P2151&gt;0,$O2151&gt;0),$P2151,0)</f>
        <v>0</v>
      </c>
      <c r="R2151" s="64" t="n">
        <f aca="false">IF(AND($Q2151&gt;0,$O2151&gt;=AtRank),$Q2151,0)</f>
        <v>0</v>
      </c>
      <c r="S2151" s="64" t="n">
        <f aca="false">IF(AND($Q2151&gt;0,$O2151&gt;=AboveRank),$Q2151,0)</f>
        <v>0</v>
      </c>
      <c r="T2151" s="64" t="n">
        <f aca="false">IF($K2151="Less",$P2151,0)</f>
        <v>0</v>
      </c>
      <c r="U2151" s="64" t="n">
        <f aca="false">IF($K2151="Expected",$P2151,0)</f>
        <v>0</v>
      </c>
      <c r="V2151" s="64" t="n">
        <f aca="false">IF($K2151="Better",$P2151,0)</f>
        <v>0</v>
      </c>
      <c r="W2151" s="64" t="n">
        <f aca="false">IF($K2151="U – needs rule",$P2151,0)</f>
        <v>0</v>
      </c>
      <c r="X2151" s="64" t="n">
        <f aca="false">IF($K2151="No Start (attainment only)",$P2151,0)</f>
        <v>0</v>
      </c>
    </row>
    <row r="2152" customFormat="false" ht="15" hidden="false" customHeight="false" outlineLevel="0" collapsed="false">
      <c r="A2152" s="60"/>
      <c r="B2152" s="61" t="str">
        <f aca="false">IF($M2152=0,"",INDEX(Classes!$E$6:$E$420,$M2152))</f>
        <v/>
      </c>
      <c r="C2152" s="62" t="str">
        <f aca="false">IF($M2152=0,"",INDEX(Classes!$H$6:$H$420,$M2152))</f>
        <v/>
      </c>
      <c r="D2152" s="61" t="str">
        <f aca="false">IF($M2152=0,"",INDEX(Classes!$B$6:$B$420,$M2152))</f>
        <v/>
      </c>
      <c r="E2152" s="61" t="str">
        <f aca="false">IF($M2152=0,"",INDEX(Classes!$C$6:$C$420,$M2152))</f>
        <v/>
      </c>
      <c r="F2152" s="63"/>
      <c r="G2152" s="63"/>
      <c r="H2152" s="60"/>
      <c r="I2152" s="60"/>
      <c r="J2152" s="63"/>
      <c r="K2152" s="61" t="str">
        <f aca="false">IF($P2152=0,"",IF($F2152="Baseline","— Baseline",IF($O2152=0,"No result",IF($N2152=0,"No Start (attainment only)",IF(OR($N2152=1,$O2152=1),"U – needs rule",INDEX(MxBody,MATCH($I2152,MxCurr,0),MATCH($H2152,MxStart,0)))))))</f>
        <v/>
      </c>
      <c r="L2152" s="62" t="str">
        <f aca="false">IF(COUNTA($A2152,$F2152,$G2152,$H2152,$I2152,$J2152)=0,"",IF($M2152=0,"✖ كود الصف غير موجود",IF(ISNA(MATCH($F2152,Lists!$A$2:$A$5,0)),"✖ الفترة غير صحيحة",IF(ISNA(MATCH($G2152,Lists!$B$2:$B$7,0)),"✖ المجموعة غير صحيحة",IF(NOT(OR($H2152="",$N2152&gt;0)),"✖ Start غير صحيح",IF(NOT(OR($I2152="",$I2152="NR",$O2152&gt;0)),"✖ Current غير صحيح",IF(NOT(IF(ISNUMBER($J2152),AND($J2152&gt;=0,$J2152=INT($J2152)),FALSE())),"✖ العدد يجب أن يكون صحيحًا ≥ 0",IF(AND($F2152="Baseline",$H2152&lt;&gt;""),"⚠ Baseline: Start لا يدخل في التقدم",IF($K2152="No Start (attainment only)","ℹ تحصيل فقط (بدون Start)",IF($K2152="U – needs rule","ℹ حالة U تحتاج قاعدة معتمدة",IF($K2152="No result","ℹ بدون نتيجة (يُستبعد من التحصيل)","OK")))))))))))</f>
        <v/>
      </c>
      <c r="M2152" s="64" t="n">
        <f aca="false">IF($A2152="",0,IFERROR(MATCH($A2152,Classes!$A$6:$A$420,0),0))</f>
        <v>0</v>
      </c>
      <c r="N2152" s="64" t="n">
        <f aca="false">IF($H2152="",0,IFERROR(MATCH($H2152,GradeList,0),0))</f>
        <v>0</v>
      </c>
      <c r="O2152" s="64" t="n">
        <f aca="false">IF(OR($I2152="",$I2152="NR"),0,IFERROR(MATCH($I2152,GradeList,0),0))</f>
        <v>0</v>
      </c>
      <c r="P2152" s="64" t="n">
        <f aca="false">IF(AND($M2152&gt;0,ISNUMBER(MATCH($F2152,Lists!$A$2:$A$5,0)),ISNUMBER(MATCH($G2152,Lists!$B$2:$B$7,0)),OR($H2152="",$N2152&gt;0),OR($I2152="",$I2152="NR",$O2152&gt;0),IF(ISNUMBER($J2152),AND($J2152&gt;=0,$J2152=INT($J2152)),FALSE())),$J2152,0)</f>
        <v>0</v>
      </c>
      <c r="Q2152" s="64" t="n">
        <f aca="false">IF(AND($P2152&gt;0,$O2152&gt;0),$P2152,0)</f>
        <v>0</v>
      </c>
      <c r="R2152" s="64" t="n">
        <f aca="false">IF(AND($Q2152&gt;0,$O2152&gt;=AtRank),$Q2152,0)</f>
        <v>0</v>
      </c>
      <c r="S2152" s="64" t="n">
        <f aca="false">IF(AND($Q2152&gt;0,$O2152&gt;=AboveRank),$Q2152,0)</f>
        <v>0</v>
      </c>
      <c r="T2152" s="64" t="n">
        <f aca="false">IF($K2152="Less",$P2152,0)</f>
        <v>0</v>
      </c>
      <c r="U2152" s="64" t="n">
        <f aca="false">IF($K2152="Expected",$P2152,0)</f>
        <v>0</v>
      </c>
      <c r="V2152" s="64" t="n">
        <f aca="false">IF($K2152="Better",$P2152,0)</f>
        <v>0</v>
      </c>
      <c r="W2152" s="64" t="n">
        <f aca="false">IF($K2152="U – needs rule",$P2152,0)</f>
        <v>0</v>
      </c>
      <c r="X2152" s="64" t="n">
        <f aca="false">IF($K2152="No Start (attainment only)",$P2152,0)</f>
        <v>0</v>
      </c>
    </row>
    <row r="2153" customFormat="false" ht="15" hidden="false" customHeight="false" outlineLevel="0" collapsed="false">
      <c r="A2153" s="60"/>
      <c r="B2153" s="61" t="str">
        <f aca="false">IF($M2153=0,"",INDEX(Classes!$E$6:$E$420,$M2153))</f>
        <v/>
      </c>
      <c r="C2153" s="62" t="str">
        <f aca="false">IF($M2153=0,"",INDEX(Classes!$H$6:$H$420,$M2153))</f>
        <v/>
      </c>
      <c r="D2153" s="61" t="str">
        <f aca="false">IF($M2153=0,"",INDEX(Classes!$B$6:$B$420,$M2153))</f>
        <v/>
      </c>
      <c r="E2153" s="61" t="str">
        <f aca="false">IF($M2153=0,"",INDEX(Classes!$C$6:$C$420,$M2153))</f>
        <v/>
      </c>
      <c r="F2153" s="63"/>
      <c r="G2153" s="63"/>
      <c r="H2153" s="60"/>
      <c r="I2153" s="60"/>
      <c r="J2153" s="63"/>
      <c r="K2153" s="61" t="str">
        <f aca="false">IF($P2153=0,"",IF($F2153="Baseline","— Baseline",IF($O2153=0,"No result",IF($N2153=0,"No Start (attainment only)",IF(OR($N2153=1,$O2153=1),"U – needs rule",INDEX(MxBody,MATCH($I2153,MxCurr,0),MATCH($H2153,MxStart,0)))))))</f>
        <v/>
      </c>
      <c r="L2153" s="62" t="str">
        <f aca="false">IF(COUNTA($A2153,$F2153,$G2153,$H2153,$I2153,$J2153)=0,"",IF($M2153=0,"✖ كود الصف غير موجود",IF(ISNA(MATCH($F2153,Lists!$A$2:$A$5,0)),"✖ الفترة غير صحيحة",IF(ISNA(MATCH($G2153,Lists!$B$2:$B$7,0)),"✖ المجموعة غير صحيحة",IF(NOT(OR($H2153="",$N2153&gt;0)),"✖ Start غير صحيح",IF(NOT(OR($I2153="",$I2153="NR",$O2153&gt;0)),"✖ Current غير صحيح",IF(NOT(IF(ISNUMBER($J2153),AND($J2153&gt;=0,$J2153=INT($J2153)),FALSE())),"✖ العدد يجب أن يكون صحيحًا ≥ 0",IF(AND($F2153="Baseline",$H2153&lt;&gt;""),"⚠ Baseline: Start لا يدخل في التقدم",IF($K2153="No Start (attainment only)","ℹ تحصيل فقط (بدون Start)",IF($K2153="U – needs rule","ℹ حالة U تحتاج قاعدة معتمدة",IF($K2153="No result","ℹ بدون نتيجة (يُستبعد من التحصيل)","OK")))))))))))</f>
        <v/>
      </c>
      <c r="M2153" s="64" t="n">
        <f aca="false">IF($A2153="",0,IFERROR(MATCH($A2153,Classes!$A$6:$A$420,0),0))</f>
        <v>0</v>
      </c>
      <c r="N2153" s="64" t="n">
        <f aca="false">IF($H2153="",0,IFERROR(MATCH($H2153,GradeList,0),0))</f>
        <v>0</v>
      </c>
      <c r="O2153" s="64" t="n">
        <f aca="false">IF(OR($I2153="",$I2153="NR"),0,IFERROR(MATCH($I2153,GradeList,0),0))</f>
        <v>0</v>
      </c>
      <c r="P2153" s="64" t="n">
        <f aca="false">IF(AND($M2153&gt;0,ISNUMBER(MATCH($F2153,Lists!$A$2:$A$5,0)),ISNUMBER(MATCH($G2153,Lists!$B$2:$B$7,0)),OR($H2153="",$N2153&gt;0),OR($I2153="",$I2153="NR",$O2153&gt;0),IF(ISNUMBER($J2153),AND($J2153&gt;=0,$J2153=INT($J2153)),FALSE())),$J2153,0)</f>
        <v>0</v>
      </c>
      <c r="Q2153" s="64" t="n">
        <f aca="false">IF(AND($P2153&gt;0,$O2153&gt;0),$P2153,0)</f>
        <v>0</v>
      </c>
      <c r="R2153" s="64" t="n">
        <f aca="false">IF(AND($Q2153&gt;0,$O2153&gt;=AtRank),$Q2153,0)</f>
        <v>0</v>
      </c>
      <c r="S2153" s="64" t="n">
        <f aca="false">IF(AND($Q2153&gt;0,$O2153&gt;=AboveRank),$Q2153,0)</f>
        <v>0</v>
      </c>
      <c r="T2153" s="64" t="n">
        <f aca="false">IF($K2153="Less",$P2153,0)</f>
        <v>0</v>
      </c>
      <c r="U2153" s="64" t="n">
        <f aca="false">IF($K2153="Expected",$P2153,0)</f>
        <v>0</v>
      </c>
      <c r="V2153" s="64" t="n">
        <f aca="false">IF($K2153="Better",$P2153,0)</f>
        <v>0</v>
      </c>
      <c r="W2153" s="64" t="n">
        <f aca="false">IF($K2153="U – needs rule",$P2153,0)</f>
        <v>0</v>
      </c>
      <c r="X2153" s="64" t="n">
        <f aca="false">IF($K2153="No Start (attainment only)",$P2153,0)</f>
        <v>0</v>
      </c>
    </row>
    <row r="2154" customFormat="false" ht="15" hidden="false" customHeight="false" outlineLevel="0" collapsed="false">
      <c r="A2154" s="60"/>
      <c r="B2154" s="61" t="str">
        <f aca="false">IF($M2154=0,"",INDEX(Classes!$E$6:$E$420,$M2154))</f>
        <v/>
      </c>
      <c r="C2154" s="62" t="str">
        <f aca="false">IF($M2154=0,"",INDEX(Classes!$H$6:$H$420,$M2154))</f>
        <v/>
      </c>
      <c r="D2154" s="61" t="str">
        <f aca="false">IF($M2154=0,"",INDEX(Classes!$B$6:$B$420,$M2154))</f>
        <v/>
      </c>
      <c r="E2154" s="61" t="str">
        <f aca="false">IF($M2154=0,"",INDEX(Classes!$C$6:$C$420,$M2154))</f>
        <v/>
      </c>
      <c r="F2154" s="63"/>
      <c r="G2154" s="63"/>
      <c r="H2154" s="60"/>
      <c r="I2154" s="60"/>
      <c r="J2154" s="63"/>
      <c r="K2154" s="61" t="str">
        <f aca="false">IF($P2154=0,"",IF($F2154="Baseline","— Baseline",IF($O2154=0,"No result",IF($N2154=0,"No Start (attainment only)",IF(OR($N2154=1,$O2154=1),"U – needs rule",INDEX(MxBody,MATCH($I2154,MxCurr,0),MATCH($H2154,MxStart,0)))))))</f>
        <v/>
      </c>
      <c r="L2154" s="62" t="str">
        <f aca="false">IF(COUNTA($A2154,$F2154,$G2154,$H2154,$I2154,$J2154)=0,"",IF($M2154=0,"✖ كود الصف غير موجود",IF(ISNA(MATCH($F2154,Lists!$A$2:$A$5,0)),"✖ الفترة غير صحيحة",IF(ISNA(MATCH($G2154,Lists!$B$2:$B$7,0)),"✖ المجموعة غير صحيحة",IF(NOT(OR($H2154="",$N2154&gt;0)),"✖ Start غير صحيح",IF(NOT(OR($I2154="",$I2154="NR",$O2154&gt;0)),"✖ Current غير صحيح",IF(NOT(IF(ISNUMBER($J2154),AND($J2154&gt;=0,$J2154=INT($J2154)),FALSE())),"✖ العدد يجب أن يكون صحيحًا ≥ 0",IF(AND($F2154="Baseline",$H2154&lt;&gt;""),"⚠ Baseline: Start لا يدخل في التقدم",IF($K2154="No Start (attainment only)","ℹ تحصيل فقط (بدون Start)",IF($K2154="U – needs rule","ℹ حالة U تحتاج قاعدة معتمدة",IF($K2154="No result","ℹ بدون نتيجة (يُستبعد من التحصيل)","OK")))))))))))</f>
        <v/>
      </c>
      <c r="M2154" s="64" t="n">
        <f aca="false">IF($A2154="",0,IFERROR(MATCH($A2154,Classes!$A$6:$A$420,0),0))</f>
        <v>0</v>
      </c>
      <c r="N2154" s="64" t="n">
        <f aca="false">IF($H2154="",0,IFERROR(MATCH($H2154,GradeList,0),0))</f>
        <v>0</v>
      </c>
      <c r="O2154" s="64" t="n">
        <f aca="false">IF(OR($I2154="",$I2154="NR"),0,IFERROR(MATCH($I2154,GradeList,0),0))</f>
        <v>0</v>
      </c>
      <c r="P2154" s="64" t="n">
        <f aca="false">IF(AND($M2154&gt;0,ISNUMBER(MATCH($F2154,Lists!$A$2:$A$5,0)),ISNUMBER(MATCH($G2154,Lists!$B$2:$B$7,0)),OR($H2154="",$N2154&gt;0),OR($I2154="",$I2154="NR",$O2154&gt;0),IF(ISNUMBER($J2154),AND($J2154&gt;=0,$J2154=INT($J2154)),FALSE())),$J2154,0)</f>
        <v>0</v>
      </c>
      <c r="Q2154" s="64" t="n">
        <f aca="false">IF(AND($P2154&gt;0,$O2154&gt;0),$P2154,0)</f>
        <v>0</v>
      </c>
      <c r="R2154" s="64" t="n">
        <f aca="false">IF(AND($Q2154&gt;0,$O2154&gt;=AtRank),$Q2154,0)</f>
        <v>0</v>
      </c>
      <c r="S2154" s="64" t="n">
        <f aca="false">IF(AND($Q2154&gt;0,$O2154&gt;=AboveRank),$Q2154,0)</f>
        <v>0</v>
      </c>
      <c r="T2154" s="64" t="n">
        <f aca="false">IF($K2154="Less",$P2154,0)</f>
        <v>0</v>
      </c>
      <c r="U2154" s="64" t="n">
        <f aca="false">IF($K2154="Expected",$P2154,0)</f>
        <v>0</v>
      </c>
      <c r="V2154" s="64" t="n">
        <f aca="false">IF($K2154="Better",$P2154,0)</f>
        <v>0</v>
      </c>
      <c r="W2154" s="64" t="n">
        <f aca="false">IF($K2154="U – needs rule",$P2154,0)</f>
        <v>0</v>
      </c>
      <c r="X2154" s="64" t="n">
        <f aca="false">IF($K2154="No Start (attainment only)",$P2154,0)</f>
        <v>0</v>
      </c>
    </row>
    <row r="2155" customFormat="false" ht="15" hidden="false" customHeight="false" outlineLevel="0" collapsed="false">
      <c r="A2155" s="60"/>
      <c r="B2155" s="61" t="str">
        <f aca="false">IF($M2155=0,"",INDEX(Classes!$E$6:$E$420,$M2155))</f>
        <v/>
      </c>
      <c r="C2155" s="62" t="str">
        <f aca="false">IF($M2155=0,"",INDEX(Classes!$H$6:$H$420,$M2155))</f>
        <v/>
      </c>
      <c r="D2155" s="61" t="str">
        <f aca="false">IF($M2155=0,"",INDEX(Classes!$B$6:$B$420,$M2155))</f>
        <v/>
      </c>
      <c r="E2155" s="61" t="str">
        <f aca="false">IF($M2155=0,"",INDEX(Classes!$C$6:$C$420,$M2155))</f>
        <v/>
      </c>
      <c r="F2155" s="63"/>
      <c r="G2155" s="63"/>
      <c r="H2155" s="60"/>
      <c r="I2155" s="60"/>
      <c r="J2155" s="63"/>
      <c r="K2155" s="61" t="str">
        <f aca="false">IF($P2155=0,"",IF($F2155="Baseline","— Baseline",IF($O2155=0,"No result",IF($N2155=0,"No Start (attainment only)",IF(OR($N2155=1,$O2155=1),"U – needs rule",INDEX(MxBody,MATCH($I2155,MxCurr,0),MATCH($H2155,MxStart,0)))))))</f>
        <v/>
      </c>
      <c r="L2155" s="62" t="str">
        <f aca="false">IF(COUNTA($A2155,$F2155,$G2155,$H2155,$I2155,$J2155)=0,"",IF($M2155=0,"✖ كود الصف غير موجود",IF(ISNA(MATCH($F2155,Lists!$A$2:$A$5,0)),"✖ الفترة غير صحيحة",IF(ISNA(MATCH($G2155,Lists!$B$2:$B$7,0)),"✖ المجموعة غير صحيحة",IF(NOT(OR($H2155="",$N2155&gt;0)),"✖ Start غير صحيح",IF(NOT(OR($I2155="",$I2155="NR",$O2155&gt;0)),"✖ Current غير صحيح",IF(NOT(IF(ISNUMBER($J2155),AND($J2155&gt;=0,$J2155=INT($J2155)),FALSE())),"✖ العدد يجب أن يكون صحيحًا ≥ 0",IF(AND($F2155="Baseline",$H2155&lt;&gt;""),"⚠ Baseline: Start لا يدخل في التقدم",IF($K2155="No Start (attainment only)","ℹ تحصيل فقط (بدون Start)",IF($K2155="U – needs rule","ℹ حالة U تحتاج قاعدة معتمدة",IF($K2155="No result","ℹ بدون نتيجة (يُستبعد من التحصيل)","OK")))))))))))</f>
        <v/>
      </c>
      <c r="M2155" s="64" t="n">
        <f aca="false">IF($A2155="",0,IFERROR(MATCH($A2155,Classes!$A$6:$A$420,0),0))</f>
        <v>0</v>
      </c>
      <c r="N2155" s="64" t="n">
        <f aca="false">IF($H2155="",0,IFERROR(MATCH($H2155,GradeList,0),0))</f>
        <v>0</v>
      </c>
      <c r="O2155" s="64" t="n">
        <f aca="false">IF(OR($I2155="",$I2155="NR"),0,IFERROR(MATCH($I2155,GradeList,0),0))</f>
        <v>0</v>
      </c>
      <c r="P2155" s="64" t="n">
        <f aca="false">IF(AND($M2155&gt;0,ISNUMBER(MATCH($F2155,Lists!$A$2:$A$5,0)),ISNUMBER(MATCH($G2155,Lists!$B$2:$B$7,0)),OR($H2155="",$N2155&gt;0),OR($I2155="",$I2155="NR",$O2155&gt;0),IF(ISNUMBER($J2155),AND($J2155&gt;=0,$J2155=INT($J2155)),FALSE())),$J2155,0)</f>
        <v>0</v>
      </c>
      <c r="Q2155" s="64" t="n">
        <f aca="false">IF(AND($P2155&gt;0,$O2155&gt;0),$P2155,0)</f>
        <v>0</v>
      </c>
      <c r="R2155" s="64" t="n">
        <f aca="false">IF(AND($Q2155&gt;0,$O2155&gt;=AtRank),$Q2155,0)</f>
        <v>0</v>
      </c>
      <c r="S2155" s="64" t="n">
        <f aca="false">IF(AND($Q2155&gt;0,$O2155&gt;=AboveRank),$Q2155,0)</f>
        <v>0</v>
      </c>
      <c r="T2155" s="64" t="n">
        <f aca="false">IF($K2155="Less",$P2155,0)</f>
        <v>0</v>
      </c>
      <c r="U2155" s="64" t="n">
        <f aca="false">IF($K2155="Expected",$P2155,0)</f>
        <v>0</v>
      </c>
      <c r="V2155" s="64" t="n">
        <f aca="false">IF($K2155="Better",$P2155,0)</f>
        <v>0</v>
      </c>
      <c r="W2155" s="64" t="n">
        <f aca="false">IF($K2155="U – needs rule",$P2155,0)</f>
        <v>0</v>
      </c>
      <c r="X2155" s="64" t="n">
        <f aca="false">IF($K2155="No Start (attainment only)",$P2155,0)</f>
        <v>0</v>
      </c>
    </row>
    <row r="2156" customFormat="false" ht="15" hidden="false" customHeight="false" outlineLevel="0" collapsed="false">
      <c r="A2156" s="60"/>
      <c r="B2156" s="61" t="str">
        <f aca="false">IF($M2156=0,"",INDEX(Classes!$E$6:$E$420,$M2156))</f>
        <v/>
      </c>
      <c r="C2156" s="62" t="str">
        <f aca="false">IF($M2156=0,"",INDEX(Classes!$H$6:$H$420,$M2156))</f>
        <v/>
      </c>
      <c r="D2156" s="61" t="str">
        <f aca="false">IF($M2156=0,"",INDEX(Classes!$B$6:$B$420,$M2156))</f>
        <v/>
      </c>
      <c r="E2156" s="61" t="str">
        <f aca="false">IF($M2156=0,"",INDEX(Classes!$C$6:$C$420,$M2156))</f>
        <v/>
      </c>
      <c r="F2156" s="63"/>
      <c r="G2156" s="63"/>
      <c r="H2156" s="60"/>
      <c r="I2156" s="60"/>
      <c r="J2156" s="63"/>
      <c r="K2156" s="61" t="str">
        <f aca="false">IF($P2156=0,"",IF($F2156="Baseline","— Baseline",IF($O2156=0,"No result",IF($N2156=0,"No Start (attainment only)",IF(OR($N2156=1,$O2156=1),"U – needs rule",INDEX(MxBody,MATCH($I2156,MxCurr,0),MATCH($H2156,MxStart,0)))))))</f>
        <v/>
      </c>
      <c r="L2156" s="62" t="str">
        <f aca="false">IF(COUNTA($A2156,$F2156,$G2156,$H2156,$I2156,$J2156)=0,"",IF($M2156=0,"✖ كود الصف غير موجود",IF(ISNA(MATCH($F2156,Lists!$A$2:$A$5,0)),"✖ الفترة غير صحيحة",IF(ISNA(MATCH($G2156,Lists!$B$2:$B$7,0)),"✖ المجموعة غير صحيحة",IF(NOT(OR($H2156="",$N2156&gt;0)),"✖ Start غير صحيح",IF(NOT(OR($I2156="",$I2156="NR",$O2156&gt;0)),"✖ Current غير صحيح",IF(NOT(IF(ISNUMBER($J2156),AND($J2156&gt;=0,$J2156=INT($J2156)),FALSE())),"✖ العدد يجب أن يكون صحيحًا ≥ 0",IF(AND($F2156="Baseline",$H2156&lt;&gt;""),"⚠ Baseline: Start لا يدخل في التقدم",IF($K2156="No Start (attainment only)","ℹ تحصيل فقط (بدون Start)",IF($K2156="U – needs rule","ℹ حالة U تحتاج قاعدة معتمدة",IF($K2156="No result","ℹ بدون نتيجة (يُستبعد من التحصيل)","OK")))))))))))</f>
        <v/>
      </c>
      <c r="M2156" s="64" t="n">
        <f aca="false">IF($A2156="",0,IFERROR(MATCH($A2156,Classes!$A$6:$A$420,0),0))</f>
        <v>0</v>
      </c>
      <c r="N2156" s="64" t="n">
        <f aca="false">IF($H2156="",0,IFERROR(MATCH($H2156,GradeList,0),0))</f>
        <v>0</v>
      </c>
      <c r="O2156" s="64" t="n">
        <f aca="false">IF(OR($I2156="",$I2156="NR"),0,IFERROR(MATCH($I2156,GradeList,0),0))</f>
        <v>0</v>
      </c>
      <c r="P2156" s="64" t="n">
        <f aca="false">IF(AND($M2156&gt;0,ISNUMBER(MATCH($F2156,Lists!$A$2:$A$5,0)),ISNUMBER(MATCH($G2156,Lists!$B$2:$B$7,0)),OR($H2156="",$N2156&gt;0),OR($I2156="",$I2156="NR",$O2156&gt;0),IF(ISNUMBER($J2156),AND($J2156&gt;=0,$J2156=INT($J2156)),FALSE())),$J2156,0)</f>
        <v>0</v>
      </c>
      <c r="Q2156" s="64" t="n">
        <f aca="false">IF(AND($P2156&gt;0,$O2156&gt;0),$P2156,0)</f>
        <v>0</v>
      </c>
      <c r="R2156" s="64" t="n">
        <f aca="false">IF(AND($Q2156&gt;0,$O2156&gt;=AtRank),$Q2156,0)</f>
        <v>0</v>
      </c>
      <c r="S2156" s="64" t="n">
        <f aca="false">IF(AND($Q2156&gt;0,$O2156&gt;=AboveRank),$Q2156,0)</f>
        <v>0</v>
      </c>
      <c r="T2156" s="64" t="n">
        <f aca="false">IF($K2156="Less",$P2156,0)</f>
        <v>0</v>
      </c>
      <c r="U2156" s="64" t="n">
        <f aca="false">IF($K2156="Expected",$P2156,0)</f>
        <v>0</v>
      </c>
      <c r="V2156" s="64" t="n">
        <f aca="false">IF($K2156="Better",$P2156,0)</f>
        <v>0</v>
      </c>
      <c r="W2156" s="64" t="n">
        <f aca="false">IF($K2156="U – needs rule",$P2156,0)</f>
        <v>0</v>
      </c>
      <c r="X2156" s="64" t="n">
        <f aca="false">IF($K2156="No Start (attainment only)",$P2156,0)</f>
        <v>0</v>
      </c>
    </row>
    <row r="2157" customFormat="false" ht="15" hidden="false" customHeight="false" outlineLevel="0" collapsed="false">
      <c r="A2157" s="60"/>
      <c r="B2157" s="61" t="str">
        <f aca="false">IF($M2157=0,"",INDEX(Classes!$E$6:$E$420,$M2157))</f>
        <v/>
      </c>
      <c r="C2157" s="62" t="str">
        <f aca="false">IF($M2157=0,"",INDEX(Classes!$H$6:$H$420,$M2157))</f>
        <v/>
      </c>
      <c r="D2157" s="61" t="str">
        <f aca="false">IF($M2157=0,"",INDEX(Classes!$B$6:$B$420,$M2157))</f>
        <v/>
      </c>
      <c r="E2157" s="61" t="str">
        <f aca="false">IF($M2157=0,"",INDEX(Classes!$C$6:$C$420,$M2157))</f>
        <v/>
      </c>
      <c r="F2157" s="63"/>
      <c r="G2157" s="63"/>
      <c r="H2157" s="60"/>
      <c r="I2157" s="60"/>
      <c r="J2157" s="63"/>
      <c r="K2157" s="61" t="str">
        <f aca="false">IF($P2157=0,"",IF($F2157="Baseline","— Baseline",IF($O2157=0,"No result",IF($N2157=0,"No Start (attainment only)",IF(OR($N2157=1,$O2157=1),"U – needs rule",INDEX(MxBody,MATCH($I2157,MxCurr,0),MATCH($H2157,MxStart,0)))))))</f>
        <v/>
      </c>
      <c r="L2157" s="62" t="str">
        <f aca="false">IF(COUNTA($A2157,$F2157,$G2157,$H2157,$I2157,$J2157)=0,"",IF($M2157=0,"✖ كود الصف غير موجود",IF(ISNA(MATCH($F2157,Lists!$A$2:$A$5,0)),"✖ الفترة غير صحيحة",IF(ISNA(MATCH($G2157,Lists!$B$2:$B$7,0)),"✖ المجموعة غير صحيحة",IF(NOT(OR($H2157="",$N2157&gt;0)),"✖ Start غير صحيح",IF(NOT(OR($I2157="",$I2157="NR",$O2157&gt;0)),"✖ Current غير صحيح",IF(NOT(IF(ISNUMBER($J2157),AND($J2157&gt;=0,$J2157=INT($J2157)),FALSE())),"✖ العدد يجب أن يكون صحيحًا ≥ 0",IF(AND($F2157="Baseline",$H2157&lt;&gt;""),"⚠ Baseline: Start لا يدخل في التقدم",IF($K2157="No Start (attainment only)","ℹ تحصيل فقط (بدون Start)",IF($K2157="U – needs rule","ℹ حالة U تحتاج قاعدة معتمدة",IF($K2157="No result","ℹ بدون نتيجة (يُستبعد من التحصيل)","OK")))))))))))</f>
        <v/>
      </c>
      <c r="M2157" s="64" t="n">
        <f aca="false">IF($A2157="",0,IFERROR(MATCH($A2157,Classes!$A$6:$A$420,0),0))</f>
        <v>0</v>
      </c>
      <c r="N2157" s="64" t="n">
        <f aca="false">IF($H2157="",0,IFERROR(MATCH($H2157,GradeList,0),0))</f>
        <v>0</v>
      </c>
      <c r="O2157" s="64" t="n">
        <f aca="false">IF(OR($I2157="",$I2157="NR"),0,IFERROR(MATCH($I2157,GradeList,0),0))</f>
        <v>0</v>
      </c>
      <c r="P2157" s="64" t="n">
        <f aca="false">IF(AND($M2157&gt;0,ISNUMBER(MATCH($F2157,Lists!$A$2:$A$5,0)),ISNUMBER(MATCH($G2157,Lists!$B$2:$B$7,0)),OR($H2157="",$N2157&gt;0),OR($I2157="",$I2157="NR",$O2157&gt;0),IF(ISNUMBER($J2157),AND($J2157&gt;=0,$J2157=INT($J2157)),FALSE())),$J2157,0)</f>
        <v>0</v>
      </c>
      <c r="Q2157" s="64" t="n">
        <f aca="false">IF(AND($P2157&gt;0,$O2157&gt;0),$P2157,0)</f>
        <v>0</v>
      </c>
      <c r="R2157" s="64" t="n">
        <f aca="false">IF(AND($Q2157&gt;0,$O2157&gt;=AtRank),$Q2157,0)</f>
        <v>0</v>
      </c>
      <c r="S2157" s="64" t="n">
        <f aca="false">IF(AND($Q2157&gt;0,$O2157&gt;=AboveRank),$Q2157,0)</f>
        <v>0</v>
      </c>
      <c r="T2157" s="64" t="n">
        <f aca="false">IF($K2157="Less",$P2157,0)</f>
        <v>0</v>
      </c>
      <c r="U2157" s="64" t="n">
        <f aca="false">IF($K2157="Expected",$P2157,0)</f>
        <v>0</v>
      </c>
      <c r="V2157" s="64" t="n">
        <f aca="false">IF($K2157="Better",$P2157,0)</f>
        <v>0</v>
      </c>
      <c r="W2157" s="64" t="n">
        <f aca="false">IF($K2157="U – needs rule",$P2157,0)</f>
        <v>0</v>
      </c>
      <c r="X2157" s="64" t="n">
        <f aca="false">IF($K2157="No Start (attainment only)",$P2157,0)</f>
        <v>0</v>
      </c>
    </row>
    <row r="2158" customFormat="false" ht="15" hidden="false" customHeight="false" outlineLevel="0" collapsed="false">
      <c r="A2158" s="60"/>
      <c r="B2158" s="61" t="str">
        <f aca="false">IF($M2158=0,"",INDEX(Classes!$E$6:$E$420,$M2158))</f>
        <v/>
      </c>
      <c r="C2158" s="62" t="str">
        <f aca="false">IF($M2158=0,"",INDEX(Classes!$H$6:$H$420,$M2158))</f>
        <v/>
      </c>
      <c r="D2158" s="61" t="str">
        <f aca="false">IF($M2158=0,"",INDEX(Classes!$B$6:$B$420,$M2158))</f>
        <v/>
      </c>
      <c r="E2158" s="61" t="str">
        <f aca="false">IF($M2158=0,"",INDEX(Classes!$C$6:$C$420,$M2158))</f>
        <v/>
      </c>
      <c r="F2158" s="63"/>
      <c r="G2158" s="63"/>
      <c r="H2158" s="60"/>
      <c r="I2158" s="60"/>
      <c r="J2158" s="63"/>
      <c r="K2158" s="61" t="str">
        <f aca="false">IF($P2158=0,"",IF($F2158="Baseline","— Baseline",IF($O2158=0,"No result",IF($N2158=0,"No Start (attainment only)",IF(OR($N2158=1,$O2158=1),"U – needs rule",INDEX(MxBody,MATCH($I2158,MxCurr,0),MATCH($H2158,MxStart,0)))))))</f>
        <v/>
      </c>
      <c r="L2158" s="62" t="str">
        <f aca="false">IF(COUNTA($A2158,$F2158,$G2158,$H2158,$I2158,$J2158)=0,"",IF($M2158=0,"✖ كود الصف غير موجود",IF(ISNA(MATCH($F2158,Lists!$A$2:$A$5,0)),"✖ الفترة غير صحيحة",IF(ISNA(MATCH($G2158,Lists!$B$2:$B$7,0)),"✖ المجموعة غير صحيحة",IF(NOT(OR($H2158="",$N2158&gt;0)),"✖ Start غير صحيح",IF(NOT(OR($I2158="",$I2158="NR",$O2158&gt;0)),"✖ Current غير صحيح",IF(NOT(IF(ISNUMBER($J2158),AND($J2158&gt;=0,$J2158=INT($J2158)),FALSE())),"✖ العدد يجب أن يكون صحيحًا ≥ 0",IF(AND($F2158="Baseline",$H2158&lt;&gt;""),"⚠ Baseline: Start لا يدخل في التقدم",IF($K2158="No Start (attainment only)","ℹ تحصيل فقط (بدون Start)",IF($K2158="U – needs rule","ℹ حالة U تحتاج قاعدة معتمدة",IF($K2158="No result","ℹ بدون نتيجة (يُستبعد من التحصيل)","OK")))))))))))</f>
        <v/>
      </c>
      <c r="M2158" s="64" t="n">
        <f aca="false">IF($A2158="",0,IFERROR(MATCH($A2158,Classes!$A$6:$A$420,0),0))</f>
        <v>0</v>
      </c>
      <c r="N2158" s="64" t="n">
        <f aca="false">IF($H2158="",0,IFERROR(MATCH($H2158,GradeList,0),0))</f>
        <v>0</v>
      </c>
      <c r="O2158" s="64" t="n">
        <f aca="false">IF(OR($I2158="",$I2158="NR"),0,IFERROR(MATCH($I2158,GradeList,0),0))</f>
        <v>0</v>
      </c>
      <c r="P2158" s="64" t="n">
        <f aca="false">IF(AND($M2158&gt;0,ISNUMBER(MATCH($F2158,Lists!$A$2:$A$5,0)),ISNUMBER(MATCH($G2158,Lists!$B$2:$B$7,0)),OR($H2158="",$N2158&gt;0),OR($I2158="",$I2158="NR",$O2158&gt;0),IF(ISNUMBER($J2158),AND($J2158&gt;=0,$J2158=INT($J2158)),FALSE())),$J2158,0)</f>
        <v>0</v>
      </c>
      <c r="Q2158" s="64" t="n">
        <f aca="false">IF(AND($P2158&gt;0,$O2158&gt;0),$P2158,0)</f>
        <v>0</v>
      </c>
      <c r="R2158" s="64" t="n">
        <f aca="false">IF(AND($Q2158&gt;0,$O2158&gt;=AtRank),$Q2158,0)</f>
        <v>0</v>
      </c>
      <c r="S2158" s="64" t="n">
        <f aca="false">IF(AND($Q2158&gt;0,$O2158&gt;=AboveRank),$Q2158,0)</f>
        <v>0</v>
      </c>
      <c r="T2158" s="64" t="n">
        <f aca="false">IF($K2158="Less",$P2158,0)</f>
        <v>0</v>
      </c>
      <c r="U2158" s="64" t="n">
        <f aca="false">IF($K2158="Expected",$P2158,0)</f>
        <v>0</v>
      </c>
      <c r="V2158" s="64" t="n">
        <f aca="false">IF($K2158="Better",$P2158,0)</f>
        <v>0</v>
      </c>
      <c r="W2158" s="64" t="n">
        <f aca="false">IF($K2158="U – needs rule",$P2158,0)</f>
        <v>0</v>
      </c>
      <c r="X2158" s="64" t="n">
        <f aca="false">IF($K2158="No Start (attainment only)",$P2158,0)</f>
        <v>0</v>
      </c>
    </row>
    <row r="2159" customFormat="false" ht="15" hidden="false" customHeight="false" outlineLevel="0" collapsed="false">
      <c r="A2159" s="60"/>
      <c r="B2159" s="61" t="str">
        <f aca="false">IF($M2159=0,"",INDEX(Classes!$E$6:$E$420,$M2159))</f>
        <v/>
      </c>
      <c r="C2159" s="62" t="str">
        <f aca="false">IF($M2159=0,"",INDEX(Classes!$H$6:$H$420,$M2159))</f>
        <v/>
      </c>
      <c r="D2159" s="61" t="str">
        <f aca="false">IF($M2159=0,"",INDEX(Classes!$B$6:$B$420,$M2159))</f>
        <v/>
      </c>
      <c r="E2159" s="61" t="str">
        <f aca="false">IF($M2159=0,"",INDEX(Classes!$C$6:$C$420,$M2159))</f>
        <v/>
      </c>
      <c r="F2159" s="63"/>
      <c r="G2159" s="63"/>
      <c r="H2159" s="60"/>
      <c r="I2159" s="60"/>
      <c r="J2159" s="63"/>
      <c r="K2159" s="61" t="str">
        <f aca="false">IF($P2159=0,"",IF($F2159="Baseline","— Baseline",IF($O2159=0,"No result",IF($N2159=0,"No Start (attainment only)",IF(OR($N2159=1,$O2159=1),"U – needs rule",INDEX(MxBody,MATCH($I2159,MxCurr,0),MATCH($H2159,MxStart,0)))))))</f>
        <v/>
      </c>
      <c r="L2159" s="62" t="str">
        <f aca="false">IF(COUNTA($A2159,$F2159,$G2159,$H2159,$I2159,$J2159)=0,"",IF($M2159=0,"✖ كود الصف غير موجود",IF(ISNA(MATCH($F2159,Lists!$A$2:$A$5,0)),"✖ الفترة غير صحيحة",IF(ISNA(MATCH($G2159,Lists!$B$2:$B$7,0)),"✖ المجموعة غير صحيحة",IF(NOT(OR($H2159="",$N2159&gt;0)),"✖ Start غير صحيح",IF(NOT(OR($I2159="",$I2159="NR",$O2159&gt;0)),"✖ Current غير صحيح",IF(NOT(IF(ISNUMBER($J2159),AND($J2159&gt;=0,$J2159=INT($J2159)),FALSE())),"✖ العدد يجب أن يكون صحيحًا ≥ 0",IF(AND($F2159="Baseline",$H2159&lt;&gt;""),"⚠ Baseline: Start لا يدخل في التقدم",IF($K2159="No Start (attainment only)","ℹ تحصيل فقط (بدون Start)",IF($K2159="U – needs rule","ℹ حالة U تحتاج قاعدة معتمدة",IF($K2159="No result","ℹ بدون نتيجة (يُستبعد من التحصيل)","OK")))))))))))</f>
        <v/>
      </c>
      <c r="M2159" s="64" t="n">
        <f aca="false">IF($A2159="",0,IFERROR(MATCH($A2159,Classes!$A$6:$A$420,0),0))</f>
        <v>0</v>
      </c>
      <c r="N2159" s="64" t="n">
        <f aca="false">IF($H2159="",0,IFERROR(MATCH($H2159,GradeList,0),0))</f>
        <v>0</v>
      </c>
      <c r="O2159" s="64" t="n">
        <f aca="false">IF(OR($I2159="",$I2159="NR"),0,IFERROR(MATCH($I2159,GradeList,0),0))</f>
        <v>0</v>
      </c>
      <c r="P2159" s="64" t="n">
        <f aca="false">IF(AND($M2159&gt;0,ISNUMBER(MATCH($F2159,Lists!$A$2:$A$5,0)),ISNUMBER(MATCH($G2159,Lists!$B$2:$B$7,0)),OR($H2159="",$N2159&gt;0),OR($I2159="",$I2159="NR",$O2159&gt;0),IF(ISNUMBER($J2159),AND($J2159&gt;=0,$J2159=INT($J2159)),FALSE())),$J2159,0)</f>
        <v>0</v>
      </c>
      <c r="Q2159" s="64" t="n">
        <f aca="false">IF(AND($P2159&gt;0,$O2159&gt;0),$P2159,0)</f>
        <v>0</v>
      </c>
      <c r="R2159" s="64" t="n">
        <f aca="false">IF(AND($Q2159&gt;0,$O2159&gt;=AtRank),$Q2159,0)</f>
        <v>0</v>
      </c>
      <c r="S2159" s="64" t="n">
        <f aca="false">IF(AND($Q2159&gt;0,$O2159&gt;=AboveRank),$Q2159,0)</f>
        <v>0</v>
      </c>
      <c r="T2159" s="64" t="n">
        <f aca="false">IF($K2159="Less",$P2159,0)</f>
        <v>0</v>
      </c>
      <c r="U2159" s="64" t="n">
        <f aca="false">IF($K2159="Expected",$P2159,0)</f>
        <v>0</v>
      </c>
      <c r="V2159" s="64" t="n">
        <f aca="false">IF($K2159="Better",$P2159,0)</f>
        <v>0</v>
      </c>
      <c r="W2159" s="64" t="n">
        <f aca="false">IF($K2159="U – needs rule",$P2159,0)</f>
        <v>0</v>
      </c>
      <c r="X2159" s="64" t="n">
        <f aca="false">IF($K2159="No Start (attainment only)",$P2159,0)</f>
        <v>0</v>
      </c>
    </row>
    <row r="2160" customFormat="false" ht="15" hidden="false" customHeight="false" outlineLevel="0" collapsed="false">
      <c r="A2160" s="60"/>
      <c r="B2160" s="61" t="str">
        <f aca="false">IF($M2160=0,"",INDEX(Classes!$E$6:$E$420,$M2160))</f>
        <v/>
      </c>
      <c r="C2160" s="62" t="str">
        <f aca="false">IF($M2160=0,"",INDEX(Classes!$H$6:$H$420,$M2160))</f>
        <v/>
      </c>
      <c r="D2160" s="61" t="str">
        <f aca="false">IF($M2160=0,"",INDEX(Classes!$B$6:$B$420,$M2160))</f>
        <v/>
      </c>
      <c r="E2160" s="61" t="str">
        <f aca="false">IF($M2160=0,"",INDEX(Classes!$C$6:$C$420,$M2160))</f>
        <v/>
      </c>
      <c r="F2160" s="63"/>
      <c r="G2160" s="63"/>
      <c r="H2160" s="60"/>
      <c r="I2160" s="60"/>
      <c r="J2160" s="63"/>
      <c r="K2160" s="61" t="str">
        <f aca="false">IF($P2160=0,"",IF($F2160="Baseline","— Baseline",IF($O2160=0,"No result",IF($N2160=0,"No Start (attainment only)",IF(OR($N2160=1,$O2160=1),"U – needs rule",INDEX(MxBody,MATCH($I2160,MxCurr,0),MATCH($H2160,MxStart,0)))))))</f>
        <v/>
      </c>
      <c r="L2160" s="62" t="str">
        <f aca="false">IF(COUNTA($A2160,$F2160,$G2160,$H2160,$I2160,$J2160)=0,"",IF($M2160=0,"✖ كود الصف غير موجود",IF(ISNA(MATCH($F2160,Lists!$A$2:$A$5,0)),"✖ الفترة غير صحيحة",IF(ISNA(MATCH($G2160,Lists!$B$2:$B$7,0)),"✖ المجموعة غير صحيحة",IF(NOT(OR($H2160="",$N2160&gt;0)),"✖ Start غير صحيح",IF(NOT(OR($I2160="",$I2160="NR",$O2160&gt;0)),"✖ Current غير صحيح",IF(NOT(IF(ISNUMBER($J2160),AND($J2160&gt;=0,$J2160=INT($J2160)),FALSE())),"✖ العدد يجب أن يكون صحيحًا ≥ 0",IF(AND($F2160="Baseline",$H2160&lt;&gt;""),"⚠ Baseline: Start لا يدخل في التقدم",IF($K2160="No Start (attainment only)","ℹ تحصيل فقط (بدون Start)",IF($K2160="U – needs rule","ℹ حالة U تحتاج قاعدة معتمدة",IF($K2160="No result","ℹ بدون نتيجة (يُستبعد من التحصيل)","OK")))))))))))</f>
        <v/>
      </c>
      <c r="M2160" s="64" t="n">
        <f aca="false">IF($A2160="",0,IFERROR(MATCH($A2160,Classes!$A$6:$A$420,0),0))</f>
        <v>0</v>
      </c>
      <c r="N2160" s="64" t="n">
        <f aca="false">IF($H2160="",0,IFERROR(MATCH($H2160,GradeList,0),0))</f>
        <v>0</v>
      </c>
      <c r="O2160" s="64" t="n">
        <f aca="false">IF(OR($I2160="",$I2160="NR"),0,IFERROR(MATCH($I2160,GradeList,0),0))</f>
        <v>0</v>
      </c>
      <c r="P2160" s="64" t="n">
        <f aca="false">IF(AND($M2160&gt;0,ISNUMBER(MATCH($F2160,Lists!$A$2:$A$5,0)),ISNUMBER(MATCH($G2160,Lists!$B$2:$B$7,0)),OR($H2160="",$N2160&gt;0),OR($I2160="",$I2160="NR",$O2160&gt;0),IF(ISNUMBER($J2160),AND($J2160&gt;=0,$J2160=INT($J2160)),FALSE())),$J2160,0)</f>
        <v>0</v>
      </c>
      <c r="Q2160" s="64" t="n">
        <f aca="false">IF(AND($P2160&gt;0,$O2160&gt;0),$P2160,0)</f>
        <v>0</v>
      </c>
      <c r="R2160" s="64" t="n">
        <f aca="false">IF(AND($Q2160&gt;0,$O2160&gt;=AtRank),$Q2160,0)</f>
        <v>0</v>
      </c>
      <c r="S2160" s="64" t="n">
        <f aca="false">IF(AND($Q2160&gt;0,$O2160&gt;=AboveRank),$Q2160,0)</f>
        <v>0</v>
      </c>
      <c r="T2160" s="64" t="n">
        <f aca="false">IF($K2160="Less",$P2160,0)</f>
        <v>0</v>
      </c>
      <c r="U2160" s="64" t="n">
        <f aca="false">IF($K2160="Expected",$P2160,0)</f>
        <v>0</v>
      </c>
      <c r="V2160" s="64" t="n">
        <f aca="false">IF($K2160="Better",$P2160,0)</f>
        <v>0</v>
      </c>
      <c r="W2160" s="64" t="n">
        <f aca="false">IF($K2160="U – needs rule",$P2160,0)</f>
        <v>0</v>
      </c>
      <c r="X2160" s="64" t="n">
        <f aca="false">IF($K2160="No Start (attainment only)",$P2160,0)</f>
        <v>0</v>
      </c>
    </row>
    <row r="2161" customFormat="false" ht="15" hidden="false" customHeight="false" outlineLevel="0" collapsed="false">
      <c r="A2161" s="60"/>
      <c r="B2161" s="61" t="str">
        <f aca="false">IF($M2161=0,"",INDEX(Classes!$E$6:$E$420,$M2161))</f>
        <v/>
      </c>
      <c r="C2161" s="62" t="str">
        <f aca="false">IF($M2161=0,"",INDEX(Classes!$H$6:$H$420,$M2161))</f>
        <v/>
      </c>
      <c r="D2161" s="61" t="str">
        <f aca="false">IF($M2161=0,"",INDEX(Classes!$B$6:$B$420,$M2161))</f>
        <v/>
      </c>
      <c r="E2161" s="61" t="str">
        <f aca="false">IF($M2161=0,"",INDEX(Classes!$C$6:$C$420,$M2161))</f>
        <v/>
      </c>
      <c r="F2161" s="63"/>
      <c r="G2161" s="63"/>
      <c r="H2161" s="60"/>
      <c r="I2161" s="60"/>
      <c r="J2161" s="63"/>
      <c r="K2161" s="61" t="str">
        <f aca="false">IF($P2161=0,"",IF($F2161="Baseline","— Baseline",IF($O2161=0,"No result",IF($N2161=0,"No Start (attainment only)",IF(OR($N2161=1,$O2161=1),"U – needs rule",INDEX(MxBody,MATCH($I2161,MxCurr,0),MATCH($H2161,MxStart,0)))))))</f>
        <v/>
      </c>
      <c r="L2161" s="62" t="str">
        <f aca="false">IF(COUNTA($A2161,$F2161,$G2161,$H2161,$I2161,$J2161)=0,"",IF($M2161=0,"✖ كود الصف غير موجود",IF(ISNA(MATCH($F2161,Lists!$A$2:$A$5,0)),"✖ الفترة غير صحيحة",IF(ISNA(MATCH($G2161,Lists!$B$2:$B$7,0)),"✖ المجموعة غير صحيحة",IF(NOT(OR($H2161="",$N2161&gt;0)),"✖ Start غير صحيح",IF(NOT(OR($I2161="",$I2161="NR",$O2161&gt;0)),"✖ Current غير صحيح",IF(NOT(IF(ISNUMBER($J2161),AND($J2161&gt;=0,$J2161=INT($J2161)),FALSE())),"✖ العدد يجب أن يكون صحيحًا ≥ 0",IF(AND($F2161="Baseline",$H2161&lt;&gt;""),"⚠ Baseline: Start لا يدخل في التقدم",IF($K2161="No Start (attainment only)","ℹ تحصيل فقط (بدون Start)",IF($K2161="U – needs rule","ℹ حالة U تحتاج قاعدة معتمدة",IF($K2161="No result","ℹ بدون نتيجة (يُستبعد من التحصيل)","OK")))))))))))</f>
        <v/>
      </c>
      <c r="M2161" s="64" t="n">
        <f aca="false">IF($A2161="",0,IFERROR(MATCH($A2161,Classes!$A$6:$A$420,0),0))</f>
        <v>0</v>
      </c>
      <c r="N2161" s="64" t="n">
        <f aca="false">IF($H2161="",0,IFERROR(MATCH($H2161,GradeList,0),0))</f>
        <v>0</v>
      </c>
      <c r="O2161" s="64" t="n">
        <f aca="false">IF(OR($I2161="",$I2161="NR"),0,IFERROR(MATCH($I2161,GradeList,0),0))</f>
        <v>0</v>
      </c>
      <c r="P2161" s="64" t="n">
        <f aca="false">IF(AND($M2161&gt;0,ISNUMBER(MATCH($F2161,Lists!$A$2:$A$5,0)),ISNUMBER(MATCH($G2161,Lists!$B$2:$B$7,0)),OR($H2161="",$N2161&gt;0),OR($I2161="",$I2161="NR",$O2161&gt;0),IF(ISNUMBER($J2161),AND($J2161&gt;=0,$J2161=INT($J2161)),FALSE())),$J2161,0)</f>
        <v>0</v>
      </c>
      <c r="Q2161" s="64" t="n">
        <f aca="false">IF(AND($P2161&gt;0,$O2161&gt;0),$P2161,0)</f>
        <v>0</v>
      </c>
      <c r="R2161" s="64" t="n">
        <f aca="false">IF(AND($Q2161&gt;0,$O2161&gt;=AtRank),$Q2161,0)</f>
        <v>0</v>
      </c>
      <c r="S2161" s="64" t="n">
        <f aca="false">IF(AND($Q2161&gt;0,$O2161&gt;=AboveRank),$Q2161,0)</f>
        <v>0</v>
      </c>
      <c r="T2161" s="64" t="n">
        <f aca="false">IF($K2161="Less",$P2161,0)</f>
        <v>0</v>
      </c>
      <c r="U2161" s="64" t="n">
        <f aca="false">IF($K2161="Expected",$P2161,0)</f>
        <v>0</v>
      </c>
      <c r="V2161" s="64" t="n">
        <f aca="false">IF($K2161="Better",$P2161,0)</f>
        <v>0</v>
      </c>
      <c r="W2161" s="64" t="n">
        <f aca="false">IF($K2161="U – needs rule",$P2161,0)</f>
        <v>0</v>
      </c>
      <c r="X2161" s="64" t="n">
        <f aca="false">IF($K2161="No Start (attainment only)",$P2161,0)</f>
        <v>0</v>
      </c>
    </row>
    <row r="2162" customFormat="false" ht="15" hidden="false" customHeight="false" outlineLevel="0" collapsed="false">
      <c r="A2162" s="60"/>
      <c r="B2162" s="61" t="str">
        <f aca="false">IF($M2162=0,"",INDEX(Classes!$E$6:$E$420,$M2162))</f>
        <v/>
      </c>
      <c r="C2162" s="62" t="str">
        <f aca="false">IF($M2162=0,"",INDEX(Classes!$H$6:$H$420,$M2162))</f>
        <v/>
      </c>
      <c r="D2162" s="61" t="str">
        <f aca="false">IF($M2162=0,"",INDEX(Classes!$B$6:$B$420,$M2162))</f>
        <v/>
      </c>
      <c r="E2162" s="61" t="str">
        <f aca="false">IF($M2162=0,"",INDEX(Classes!$C$6:$C$420,$M2162))</f>
        <v/>
      </c>
      <c r="F2162" s="63"/>
      <c r="G2162" s="63"/>
      <c r="H2162" s="60"/>
      <c r="I2162" s="60"/>
      <c r="J2162" s="63"/>
      <c r="K2162" s="61" t="str">
        <f aca="false">IF($P2162=0,"",IF($F2162="Baseline","— Baseline",IF($O2162=0,"No result",IF($N2162=0,"No Start (attainment only)",IF(OR($N2162=1,$O2162=1),"U – needs rule",INDEX(MxBody,MATCH($I2162,MxCurr,0),MATCH($H2162,MxStart,0)))))))</f>
        <v/>
      </c>
      <c r="L2162" s="62" t="str">
        <f aca="false">IF(COUNTA($A2162,$F2162,$G2162,$H2162,$I2162,$J2162)=0,"",IF($M2162=0,"✖ كود الصف غير موجود",IF(ISNA(MATCH($F2162,Lists!$A$2:$A$5,0)),"✖ الفترة غير صحيحة",IF(ISNA(MATCH($G2162,Lists!$B$2:$B$7,0)),"✖ المجموعة غير صحيحة",IF(NOT(OR($H2162="",$N2162&gt;0)),"✖ Start غير صحيح",IF(NOT(OR($I2162="",$I2162="NR",$O2162&gt;0)),"✖ Current غير صحيح",IF(NOT(IF(ISNUMBER($J2162),AND($J2162&gt;=0,$J2162=INT($J2162)),FALSE())),"✖ العدد يجب أن يكون صحيحًا ≥ 0",IF(AND($F2162="Baseline",$H2162&lt;&gt;""),"⚠ Baseline: Start لا يدخل في التقدم",IF($K2162="No Start (attainment only)","ℹ تحصيل فقط (بدون Start)",IF($K2162="U – needs rule","ℹ حالة U تحتاج قاعدة معتمدة",IF($K2162="No result","ℹ بدون نتيجة (يُستبعد من التحصيل)","OK")))))))))))</f>
        <v/>
      </c>
      <c r="M2162" s="64" t="n">
        <f aca="false">IF($A2162="",0,IFERROR(MATCH($A2162,Classes!$A$6:$A$420,0),0))</f>
        <v>0</v>
      </c>
      <c r="N2162" s="64" t="n">
        <f aca="false">IF($H2162="",0,IFERROR(MATCH($H2162,GradeList,0),0))</f>
        <v>0</v>
      </c>
      <c r="O2162" s="64" t="n">
        <f aca="false">IF(OR($I2162="",$I2162="NR"),0,IFERROR(MATCH($I2162,GradeList,0),0))</f>
        <v>0</v>
      </c>
      <c r="P2162" s="64" t="n">
        <f aca="false">IF(AND($M2162&gt;0,ISNUMBER(MATCH($F2162,Lists!$A$2:$A$5,0)),ISNUMBER(MATCH($G2162,Lists!$B$2:$B$7,0)),OR($H2162="",$N2162&gt;0),OR($I2162="",$I2162="NR",$O2162&gt;0),IF(ISNUMBER($J2162),AND($J2162&gt;=0,$J2162=INT($J2162)),FALSE())),$J2162,0)</f>
        <v>0</v>
      </c>
      <c r="Q2162" s="64" t="n">
        <f aca="false">IF(AND($P2162&gt;0,$O2162&gt;0),$P2162,0)</f>
        <v>0</v>
      </c>
      <c r="R2162" s="64" t="n">
        <f aca="false">IF(AND($Q2162&gt;0,$O2162&gt;=AtRank),$Q2162,0)</f>
        <v>0</v>
      </c>
      <c r="S2162" s="64" t="n">
        <f aca="false">IF(AND($Q2162&gt;0,$O2162&gt;=AboveRank),$Q2162,0)</f>
        <v>0</v>
      </c>
      <c r="T2162" s="64" t="n">
        <f aca="false">IF($K2162="Less",$P2162,0)</f>
        <v>0</v>
      </c>
      <c r="U2162" s="64" t="n">
        <f aca="false">IF($K2162="Expected",$P2162,0)</f>
        <v>0</v>
      </c>
      <c r="V2162" s="64" t="n">
        <f aca="false">IF($K2162="Better",$P2162,0)</f>
        <v>0</v>
      </c>
      <c r="W2162" s="64" t="n">
        <f aca="false">IF($K2162="U – needs rule",$P2162,0)</f>
        <v>0</v>
      </c>
      <c r="X2162" s="64" t="n">
        <f aca="false">IF($K2162="No Start (attainment only)",$P2162,0)</f>
        <v>0</v>
      </c>
    </row>
    <row r="2163" customFormat="false" ht="15" hidden="false" customHeight="false" outlineLevel="0" collapsed="false">
      <c r="A2163" s="60"/>
      <c r="B2163" s="61" t="str">
        <f aca="false">IF($M2163=0,"",INDEX(Classes!$E$6:$E$420,$M2163))</f>
        <v/>
      </c>
      <c r="C2163" s="62" t="str">
        <f aca="false">IF($M2163=0,"",INDEX(Classes!$H$6:$H$420,$M2163))</f>
        <v/>
      </c>
      <c r="D2163" s="61" t="str">
        <f aca="false">IF($M2163=0,"",INDEX(Classes!$B$6:$B$420,$M2163))</f>
        <v/>
      </c>
      <c r="E2163" s="61" t="str">
        <f aca="false">IF($M2163=0,"",INDEX(Classes!$C$6:$C$420,$M2163))</f>
        <v/>
      </c>
      <c r="F2163" s="63"/>
      <c r="G2163" s="63"/>
      <c r="H2163" s="60"/>
      <c r="I2163" s="60"/>
      <c r="J2163" s="63"/>
      <c r="K2163" s="61" t="str">
        <f aca="false">IF($P2163=0,"",IF($F2163="Baseline","— Baseline",IF($O2163=0,"No result",IF($N2163=0,"No Start (attainment only)",IF(OR($N2163=1,$O2163=1),"U – needs rule",INDEX(MxBody,MATCH($I2163,MxCurr,0),MATCH($H2163,MxStart,0)))))))</f>
        <v/>
      </c>
      <c r="L2163" s="62" t="str">
        <f aca="false">IF(COUNTA($A2163,$F2163,$G2163,$H2163,$I2163,$J2163)=0,"",IF($M2163=0,"✖ كود الصف غير موجود",IF(ISNA(MATCH($F2163,Lists!$A$2:$A$5,0)),"✖ الفترة غير صحيحة",IF(ISNA(MATCH($G2163,Lists!$B$2:$B$7,0)),"✖ المجموعة غير صحيحة",IF(NOT(OR($H2163="",$N2163&gt;0)),"✖ Start غير صحيح",IF(NOT(OR($I2163="",$I2163="NR",$O2163&gt;0)),"✖ Current غير صحيح",IF(NOT(IF(ISNUMBER($J2163),AND($J2163&gt;=0,$J2163=INT($J2163)),FALSE())),"✖ العدد يجب أن يكون صحيحًا ≥ 0",IF(AND($F2163="Baseline",$H2163&lt;&gt;""),"⚠ Baseline: Start لا يدخل في التقدم",IF($K2163="No Start (attainment only)","ℹ تحصيل فقط (بدون Start)",IF($K2163="U – needs rule","ℹ حالة U تحتاج قاعدة معتمدة",IF($K2163="No result","ℹ بدون نتيجة (يُستبعد من التحصيل)","OK")))))))))))</f>
        <v/>
      </c>
      <c r="M2163" s="64" t="n">
        <f aca="false">IF($A2163="",0,IFERROR(MATCH($A2163,Classes!$A$6:$A$420,0),0))</f>
        <v>0</v>
      </c>
      <c r="N2163" s="64" t="n">
        <f aca="false">IF($H2163="",0,IFERROR(MATCH($H2163,GradeList,0),0))</f>
        <v>0</v>
      </c>
      <c r="O2163" s="64" t="n">
        <f aca="false">IF(OR($I2163="",$I2163="NR"),0,IFERROR(MATCH($I2163,GradeList,0),0))</f>
        <v>0</v>
      </c>
      <c r="P2163" s="64" t="n">
        <f aca="false">IF(AND($M2163&gt;0,ISNUMBER(MATCH($F2163,Lists!$A$2:$A$5,0)),ISNUMBER(MATCH($G2163,Lists!$B$2:$B$7,0)),OR($H2163="",$N2163&gt;0),OR($I2163="",$I2163="NR",$O2163&gt;0),IF(ISNUMBER($J2163),AND($J2163&gt;=0,$J2163=INT($J2163)),FALSE())),$J2163,0)</f>
        <v>0</v>
      </c>
      <c r="Q2163" s="64" t="n">
        <f aca="false">IF(AND($P2163&gt;0,$O2163&gt;0),$P2163,0)</f>
        <v>0</v>
      </c>
      <c r="R2163" s="64" t="n">
        <f aca="false">IF(AND($Q2163&gt;0,$O2163&gt;=AtRank),$Q2163,0)</f>
        <v>0</v>
      </c>
      <c r="S2163" s="64" t="n">
        <f aca="false">IF(AND($Q2163&gt;0,$O2163&gt;=AboveRank),$Q2163,0)</f>
        <v>0</v>
      </c>
      <c r="T2163" s="64" t="n">
        <f aca="false">IF($K2163="Less",$P2163,0)</f>
        <v>0</v>
      </c>
      <c r="U2163" s="64" t="n">
        <f aca="false">IF($K2163="Expected",$P2163,0)</f>
        <v>0</v>
      </c>
      <c r="V2163" s="64" t="n">
        <f aca="false">IF($K2163="Better",$P2163,0)</f>
        <v>0</v>
      </c>
      <c r="W2163" s="64" t="n">
        <f aca="false">IF($K2163="U – needs rule",$P2163,0)</f>
        <v>0</v>
      </c>
      <c r="X2163" s="64" t="n">
        <f aca="false">IF($K2163="No Start (attainment only)",$P2163,0)</f>
        <v>0</v>
      </c>
    </row>
    <row r="2164" customFormat="false" ht="15" hidden="false" customHeight="false" outlineLevel="0" collapsed="false">
      <c r="A2164" s="60"/>
      <c r="B2164" s="61" t="str">
        <f aca="false">IF($M2164=0,"",INDEX(Classes!$E$6:$E$420,$M2164))</f>
        <v/>
      </c>
      <c r="C2164" s="62" t="str">
        <f aca="false">IF($M2164=0,"",INDEX(Classes!$H$6:$H$420,$M2164))</f>
        <v/>
      </c>
      <c r="D2164" s="61" t="str">
        <f aca="false">IF($M2164=0,"",INDEX(Classes!$B$6:$B$420,$M2164))</f>
        <v/>
      </c>
      <c r="E2164" s="61" t="str">
        <f aca="false">IF($M2164=0,"",INDEX(Classes!$C$6:$C$420,$M2164))</f>
        <v/>
      </c>
      <c r="F2164" s="63"/>
      <c r="G2164" s="63"/>
      <c r="H2164" s="60"/>
      <c r="I2164" s="60"/>
      <c r="J2164" s="63"/>
      <c r="K2164" s="61" t="str">
        <f aca="false">IF($P2164=0,"",IF($F2164="Baseline","— Baseline",IF($O2164=0,"No result",IF($N2164=0,"No Start (attainment only)",IF(OR($N2164=1,$O2164=1),"U – needs rule",INDEX(MxBody,MATCH($I2164,MxCurr,0),MATCH($H2164,MxStart,0)))))))</f>
        <v/>
      </c>
      <c r="L2164" s="62" t="str">
        <f aca="false">IF(COUNTA($A2164,$F2164,$G2164,$H2164,$I2164,$J2164)=0,"",IF($M2164=0,"✖ كود الصف غير موجود",IF(ISNA(MATCH($F2164,Lists!$A$2:$A$5,0)),"✖ الفترة غير صحيحة",IF(ISNA(MATCH($G2164,Lists!$B$2:$B$7,0)),"✖ المجموعة غير صحيحة",IF(NOT(OR($H2164="",$N2164&gt;0)),"✖ Start غير صحيح",IF(NOT(OR($I2164="",$I2164="NR",$O2164&gt;0)),"✖ Current غير صحيح",IF(NOT(IF(ISNUMBER($J2164),AND($J2164&gt;=0,$J2164=INT($J2164)),FALSE())),"✖ العدد يجب أن يكون صحيحًا ≥ 0",IF(AND($F2164="Baseline",$H2164&lt;&gt;""),"⚠ Baseline: Start لا يدخل في التقدم",IF($K2164="No Start (attainment only)","ℹ تحصيل فقط (بدون Start)",IF($K2164="U – needs rule","ℹ حالة U تحتاج قاعدة معتمدة",IF($K2164="No result","ℹ بدون نتيجة (يُستبعد من التحصيل)","OK")))))))))))</f>
        <v/>
      </c>
      <c r="M2164" s="64" t="n">
        <f aca="false">IF($A2164="",0,IFERROR(MATCH($A2164,Classes!$A$6:$A$420,0),0))</f>
        <v>0</v>
      </c>
      <c r="N2164" s="64" t="n">
        <f aca="false">IF($H2164="",0,IFERROR(MATCH($H2164,GradeList,0),0))</f>
        <v>0</v>
      </c>
      <c r="O2164" s="64" t="n">
        <f aca="false">IF(OR($I2164="",$I2164="NR"),0,IFERROR(MATCH($I2164,GradeList,0),0))</f>
        <v>0</v>
      </c>
      <c r="P2164" s="64" t="n">
        <f aca="false">IF(AND($M2164&gt;0,ISNUMBER(MATCH($F2164,Lists!$A$2:$A$5,0)),ISNUMBER(MATCH($G2164,Lists!$B$2:$B$7,0)),OR($H2164="",$N2164&gt;0),OR($I2164="",$I2164="NR",$O2164&gt;0),IF(ISNUMBER($J2164),AND($J2164&gt;=0,$J2164=INT($J2164)),FALSE())),$J2164,0)</f>
        <v>0</v>
      </c>
      <c r="Q2164" s="64" t="n">
        <f aca="false">IF(AND($P2164&gt;0,$O2164&gt;0),$P2164,0)</f>
        <v>0</v>
      </c>
      <c r="R2164" s="64" t="n">
        <f aca="false">IF(AND($Q2164&gt;0,$O2164&gt;=AtRank),$Q2164,0)</f>
        <v>0</v>
      </c>
      <c r="S2164" s="64" t="n">
        <f aca="false">IF(AND($Q2164&gt;0,$O2164&gt;=AboveRank),$Q2164,0)</f>
        <v>0</v>
      </c>
      <c r="T2164" s="64" t="n">
        <f aca="false">IF($K2164="Less",$P2164,0)</f>
        <v>0</v>
      </c>
      <c r="U2164" s="64" t="n">
        <f aca="false">IF($K2164="Expected",$P2164,0)</f>
        <v>0</v>
      </c>
      <c r="V2164" s="64" t="n">
        <f aca="false">IF($K2164="Better",$P2164,0)</f>
        <v>0</v>
      </c>
      <c r="W2164" s="64" t="n">
        <f aca="false">IF($K2164="U – needs rule",$P2164,0)</f>
        <v>0</v>
      </c>
      <c r="X2164" s="64" t="n">
        <f aca="false">IF($K2164="No Start (attainment only)",$P2164,0)</f>
        <v>0</v>
      </c>
    </row>
    <row r="2165" customFormat="false" ht="15" hidden="false" customHeight="false" outlineLevel="0" collapsed="false">
      <c r="A2165" s="60"/>
      <c r="B2165" s="61" t="str">
        <f aca="false">IF($M2165=0,"",INDEX(Classes!$E$6:$E$420,$M2165))</f>
        <v/>
      </c>
      <c r="C2165" s="62" t="str">
        <f aca="false">IF($M2165=0,"",INDEX(Classes!$H$6:$H$420,$M2165))</f>
        <v/>
      </c>
      <c r="D2165" s="61" t="str">
        <f aca="false">IF($M2165=0,"",INDEX(Classes!$B$6:$B$420,$M2165))</f>
        <v/>
      </c>
      <c r="E2165" s="61" t="str">
        <f aca="false">IF($M2165=0,"",INDEX(Classes!$C$6:$C$420,$M2165))</f>
        <v/>
      </c>
      <c r="F2165" s="63"/>
      <c r="G2165" s="63"/>
      <c r="H2165" s="60"/>
      <c r="I2165" s="60"/>
      <c r="J2165" s="63"/>
      <c r="K2165" s="61" t="str">
        <f aca="false">IF($P2165=0,"",IF($F2165="Baseline","— Baseline",IF($O2165=0,"No result",IF($N2165=0,"No Start (attainment only)",IF(OR($N2165=1,$O2165=1),"U – needs rule",INDEX(MxBody,MATCH($I2165,MxCurr,0),MATCH($H2165,MxStart,0)))))))</f>
        <v/>
      </c>
      <c r="L2165" s="62" t="str">
        <f aca="false">IF(COUNTA($A2165,$F2165,$G2165,$H2165,$I2165,$J2165)=0,"",IF($M2165=0,"✖ كود الصف غير موجود",IF(ISNA(MATCH($F2165,Lists!$A$2:$A$5,0)),"✖ الفترة غير صحيحة",IF(ISNA(MATCH($G2165,Lists!$B$2:$B$7,0)),"✖ المجموعة غير صحيحة",IF(NOT(OR($H2165="",$N2165&gt;0)),"✖ Start غير صحيح",IF(NOT(OR($I2165="",$I2165="NR",$O2165&gt;0)),"✖ Current غير صحيح",IF(NOT(IF(ISNUMBER($J2165),AND($J2165&gt;=0,$J2165=INT($J2165)),FALSE())),"✖ العدد يجب أن يكون صحيحًا ≥ 0",IF(AND($F2165="Baseline",$H2165&lt;&gt;""),"⚠ Baseline: Start لا يدخل في التقدم",IF($K2165="No Start (attainment only)","ℹ تحصيل فقط (بدون Start)",IF($K2165="U – needs rule","ℹ حالة U تحتاج قاعدة معتمدة",IF($K2165="No result","ℹ بدون نتيجة (يُستبعد من التحصيل)","OK")))))))))))</f>
        <v/>
      </c>
      <c r="M2165" s="64" t="n">
        <f aca="false">IF($A2165="",0,IFERROR(MATCH($A2165,Classes!$A$6:$A$420,0),0))</f>
        <v>0</v>
      </c>
      <c r="N2165" s="64" t="n">
        <f aca="false">IF($H2165="",0,IFERROR(MATCH($H2165,GradeList,0),0))</f>
        <v>0</v>
      </c>
      <c r="O2165" s="64" t="n">
        <f aca="false">IF(OR($I2165="",$I2165="NR"),0,IFERROR(MATCH($I2165,GradeList,0),0))</f>
        <v>0</v>
      </c>
      <c r="P2165" s="64" t="n">
        <f aca="false">IF(AND($M2165&gt;0,ISNUMBER(MATCH($F2165,Lists!$A$2:$A$5,0)),ISNUMBER(MATCH($G2165,Lists!$B$2:$B$7,0)),OR($H2165="",$N2165&gt;0),OR($I2165="",$I2165="NR",$O2165&gt;0),IF(ISNUMBER($J2165),AND($J2165&gt;=0,$J2165=INT($J2165)),FALSE())),$J2165,0)</f>
        <v>0</v>
      </c>
      <c r="Q2165" s="64" t="n">
        <f aca="false">IF(AND($P2165&gt;0,$O2165&gt;0),$P2165,0)</f>
        <v>0</v>
      </c>
      <c r="R2165" s="64" t="n">
        <f aca="false">IF(AND($Q2165&gt;0,$O2165&gt;=AtRank),$Q2165,0)</f>
        <v>0</v>
      </c>
      <c r="S2165" s="64" t="n">
        <f aca="false">IF(AND($Q2165&gt;0,$O2165&gt;=AboveRank),$Q2165,0)</f>
        <v>0</v>
      </c>
      <c r="T2165" s="64" t="n">
        <f aca="false">IF($K2165="Less",$P2165,0)</f>
        <v>0</v>
      </c>
      <c r="U2165" s="64" t="n">
        <f aca="false">IF($K2165="Expected",$P2165,0)</f>
        <v>0</v>
      </c>
      <c r="V2165" s="64" t="n">
        <f aca="false">IF($K2165="Better",$P2165,0)</f>
        <v>0</v>
      </c>
      <c r="W2165" s="64" t="n">
        <f aca="false">IF($K2165="U – needs rule",$P2165,0)</f>
        <v>0</v>
      </c>
      <c r="X2165" s="64" t="n">
        <f aca="false">IF($K2165="No Start (attainment only)",$P2165,0)</f>
        <v>0</v>
      </c>
    </row>
    <row r="2166" customFormat="false" ht="15" hidden="false" customHeight="false" outlineLevel="0" collapsed="false">
      <c r="A2166" s="60"/>
      <c r="B2166" s="61" t="str">
        <f aca="false">IF($M2166=0,"",INDEX(Classes!$E$6:$E$420,$M2166))</f>
        <v/>
      </c>
      <c r="C2166" s="62" t="str">
        <f aca="false">IF($M2166=0,"",INDEX(Classes!$H$6:$H$420,$M2166))</f>
        <v/>
      </c>
      <c r="D2166" s="61" t="str">
        <f aca="false">IF($M2166=0,"",INDEX(Classes!$B$6:$B$420,$M2166))</f>
        <v/>
      </c>
      <c r="E2166" s="61" t="str">
        <f aca="false">IF($M2166=0,"",INDEX(Classes!$C$6:$C$420,$M2166))</f>
        <v/>
      </c>
      <c r="F2166" s="63"/>
      <c r="G2166" s="63"/>
      <c r="H2166" s="60"/>
      <c r="I2166" s="60"/>
      <c r="J2166" s="63"/>
      <c r="K2166" s="61" t="str">
        <f aca="false">IF($P2166=0,"",IF($F2166="Baseline","— Baseline",IF($O2166=0,"No result",IF($N2166=0,"No Start (attainment only)",IF(OR($N2166=1,$O2166=1),"U – needs rule",INDEX(MxBody,MATCH($I2166,MxCurr,0),MATCH($H2166,MxStart,0)))))))</f>
        <v/>
      </c>
      <c r="L2166" s="62" t="str">
        <f aca="false">IF(COUNTA($A2166,$F2166,$G2166,$H2166,$I2166,$J2166)=0,"",IF($M2166=0,"✖ كود الصف غير موجود",IF(ISNA(MATCH($F2166,Lists!$A$2:$A$5,0)),"✖ الفترة غير صحيحة",IF(ISNA(MATCH($G2166,Lists!$B$2:$B$7,0)),"✖ المجموعة غير صحيحة",IF(NOT(OR($H2166="",$N2166&gt;0)),"✖ Start غير صحيح",IF(NOT(OR($I2166="",$I2166="NR",$O2166&gt;0)),"✖ Current غير صحيح",IF(NOT(IF(ISNUMBER($J2166),AND($J2166&gt;=0,$J2166=INT($J2166)),FALSE())),"✖ العدد يجب أن يكون صحيحًا ≥ 0",IF(AND($F2166="Baseline",$H2166&lt;&gt;""),"⚠ Baseline: Start لا يدخل في التقدم",IF($K2166="No Start (attainment only)","ℹ تحصيل فقط (بدون Start)",IF($K2166="U – needs rule","ℹ حالة U تحتاج قاعدة معتمدة",IF($K2166="No result","ℹ بدون نتيجة (يُستبعد من التحصيل)","OK")))))))))))</f>
        <v/>
      </c>
      <c r="M2166" s="64" t="n">
        <f aca="false">IF($A2166="",0,IFERROR(MATCH($A2166,Classes!$A$6:$A$420,0),0))</f>
        <v>0</v>
      </c>
      <c r="N2166" s="64" t="n">
        <f aca="false">IF($H2166="",0,IFERROR(MATCH($H2166,GradeList,0),0))</f>
        <v>0</v>
      </c>
      <c r="O2166" s="64" t="n">
        <f aca="false">IF(OR($I2166="",$I2166="NR"),0,IFERROR(MATCH($I2166,GradeList,0),0))</f>
        <v>0</v>
      </c>
      <c r="P2166" s="64" t="n">
        <f aca="false">IF(AND($M2166&gt;0,ISNUMBER(MATCH($F2166,Lists!$A$2:$A$5,0)),ISNUMBER(MATCH($G2166,Lists!$B$2:$B$7,0)),OR($H2166="",$N2166&gt;0),OR($I2166="",$I2166="NR",$O2166&gt;0),IF(ISNUMBER($J2166),AND($J2166&gt;=0,$J2166=INT($J2166)),FALSE())),$J2166,0)</f>
        <v>0</v>
      </c>
      <c r="Q2166" s="64" t="n">
        <f aca="false">IF(AND($P2166&gt;0,$O2166&gt;0),$P2166,0)</f>
        <v>0</v>
      </c>
      <c r="R2166" s="64" t="n">
        <f aca="false">IF(AND($Q2166&gt;0,$O2166&gt;=AtRank),$Q2166,0)</f>
        <v>0</v>
      </c>
      <c r="S2166" s="64" t="n">
        <f aca="false">IF(AND($Q2166&gt;0,$O2166&gt;=AboveRank),$Q2166,0)</f>
        <v>0</v>
      </c>
      <c r="T2166" s="64" t="n">
        <f aca="false">IF($K2166="Less",$P2166,0)</f>
        <v>0</v>
      </c>
      <c r="U2166" s="64" t="n">
        <f aca="false">IF($K2166="Expected",$P2166,0)</f>
        <v>0</v>
      </c>
      <c r="V2166" s="64" t="n">
        <f aca="false">IF($K2166="Better",$P2166,0)</f>
        <v>0</v>
      </c>
      <c r="W2166" s="64" t="n">
        <f aca="false">IF($K2166="U – needs rule",$P2166,0)</f>
        <v>0</v>
      </c>
      <c r="X2166" s="64" t="n">
        <f aca="false">IF($K2166="No Start (attainment only)",$P2166,0)</f>
        <v>0</v>
      </c>
    </row>
    <row r="2167" customFormat="false" ht="15" hidden="false" customHeight="false" outlineLevel="0" collapsed="false">
      <c r="A2167" s="60"/>
      <c r="B2167" s="61" t="str">
        <f aca="false">IF($M2167=0,"",INDEX(Classes!$E$6:$E$420,$M2167))</f>
        <v/>
      </c>
      <c r="C2167" s="62" t="str">
        <f aca="false">IF($M2167=0,"",INDEX(Classes!$H$6:$H$420,$M2167))</f>
        <v/>
      </c>
      <c r="D2167" s="61" t="str">
        <f aca="false">IF($M2167=0,"",INDEX(Classes!$B$6:$B$420,$M2167))</f>
        <v/>
      </c>
      <c r="E2167" s="61" t="str">
        <f aca="false">IF($M2167=0,"",INDEX(Classes!$C$6:$C$420,$M2167))</f>
        <v/>
      </c>
      <c r="F2167" s="63"/>
      <c r="G2167" s="63"/>
      <c r="H2167" s="60"/>
      <c r="I2167" s="60"/>
      <c r="J2167" s="63"/>
      <c r="K2167" s="61" t="str">
        <f aca="false">IF($P2167=0,"",IF($F2167="Baseline","— Baseline",IF($O2167=0,"No result",IF($N2167=0,"No Start (attainment only)",IF(OR($N2167=1,$O2167=1),"U – needs rule",INDEX(MxBody,MATCH($I2167,MxCurr,0),MATCH($H2167,MxStart,0)))))))</f>
        <v/>
      </c>
      <c r="L2167" s="62" t="str">
        <f aca="false">IF(COUNTA($A2167,$F2167,$G2167,$H2167,$I2167,$J2167)=0,"",IF($M2167=0,"✖ كود الصف غير موجود",IF(ISNA(MATCH($F2167,Lists!$A$2:$A$5,0)),"✖ الفترة غير صحيحة",IF(ISNA(MATCH($G2167,Lists!$B$2:$B$7,0)),"✖ المجموعة غير صحيحة",IF(NOT(OR($H2167="",$N2167&gt;0)),"✖ Start غير صحيح",IF(NOT(OR($I2167="",$I2167="NR",$O2167&gt;0)),"✖ Current غير صحيح",IF(NOT(IF(ISNUMBER($J2167),AND($J2167&gt;=0,$J2167=INT($J2167)),FALSE())),"✖ العدد يجب أن يكون صحيحًا ≥ 0",IF(AND($F2167="Baseline",$H2167&lt;&gt;""),"⚠ Baseline: Start لا يدخل في التقدم",IF($K2167="No Start (attainment only)","ℹ تحصيل فقط (بدون Start)",IF($K2167="U – needs rule","ℹ حالة U تحتاج قاعدة معتمدة",IF($K2167="No result","ℹ بدون نتيجة (يُستبعد من التحصيل)","OK")))))))))))</f>
        <v/>
      </c>
      <c r="M2167" s="64" t="n">
        <f aca="false">IF($A2167="",0,IFERROR(MATCH($A2167,Classes!$A$6:$A$420,0),0))</f>
        <v>0</v>
      </c>
      <c r="N2167" s="64" t="n">
        <f aca="false">IF($H2167="",0,IFERROR(MATCH($H2167,GradeList,0),0))</f>
        <v>0</v>
      </c>
      <c r="O2167" s="64" t="n">
        <f aca="false">IF(OR($I2167="",$I2167="NR"),0,IFERROR(MATCH($I2167,GradeList,0),0))</f>
        <v>0</v>
      </c>
      <c r="P2167" s="64" t="n">
        <f aca="false">IF(AND($M2167&gt;0,ISNUMBER(MATCH($F2167,Lists!$A$2:$A$5,0)),ISNUMBER(MATCH($G2167,Lists!$B$2:$B$7,0)),OR($H2167="",$N2167&gt;0),OR($I2167="",$I2167="NR",$O2167&gt;0),IF(ISNUMBER($J2167),AND($J2167&gt;=0,$J2167=INT($J2167)),FALSE())),$J2167,0)</f>
        <v>0</v>
      </c>
      <c r="Q2167" s="64" t="n">
        <f aca="false">IF(AND($P2167&gt;0,$O2167&gt;0),$P2167,0)</f>
        <v>0</v>
      </c>
      <c r="R2167" s="64" t="n">
        <f aca="false">IF(AND($Q2167&gt;0,$O2167&gt;=AtRank),$Q2167,0)</f>
        <v>0</v>
      </c>
      <c r="S2167" s="64" t="n">
        <f aca="false">IF(AND($Q2167&gt;0,$O2167&gt;=AboveRank),$Q2167,0)</f>
        <v>0</v>
      </c>
      <c r="T2167" s="64" t="n">
        <f aca="false">IF($K2167="Less",$P2167,0)</f>
        <v>0</v>
      </c>
      <c r="U2167" s="64" t="n">
        <f aca="false">IF($K2167="Expected",$P2167,0)</f>
        <v>0</v>
      </c>
      <c r="V2167" s="64" t="n">
        <f aca="false">IF($K2167="Better",$P2167,0)</f>
        <v>0</v>
      </c>
      <c r="W2167" s="64" t="n">
        <f aca="false">IF($K2167="U – needs rule",$P2167,0)</f>
        <v>0</v>
      </c>
      <c r="X2167" s="64" t="n">
        <f aca="false">IF($K2167="No Start (attainment only)",$P2167,0)</f>
        <v>0</v>
      </c>
    </row>
    <row r="2168" customFormat="false" ht="15" hidden="false" customHeight="false" outlineLevel="0" collapsed="false">
      <c r="A2168" s="60"/>
      <c r="B2168" s="61" t="str">
        <f aca="false">IF($M2168=0,"",INDEX(Classes!$E$6:$E$420,$M2168))</f>
        <v/>
      </c>
      <c r="C2168" s="62" t="str">
        <f aca="false">IF($M2168=0,"",INDEX(Classes!$H$6:$H$420,$M2168))</f>
        <v/>
      </c>
      <c r="D2168" s="61" t="str">
        <f aca="false">IF($M2168=0,"",INDEX(Classes!$B$6:$B$420,$M2168))</f>
        <v/>
      </c>
      <c r="E2168" s="61" t="str">
        <f aca="false">IF($M2168=0,"",INDEX(Classes!$C$6:$C$420,$M2168))</f>
        <v/>
      </c>
      <c r="F2168" s="63"/>
      <c r="G2168" s="63"/>
      <c r="H2168" s="60"/>
      <c r="I2168" s="60"/>
      <c r="J2168" s="63"/>
      <c r="K2168" s="61" t="str">
        <f aca="false">IF($P2168=0,"",IF($F2168="Baseline","— Baseline",IF($O2168=0,"No result",IF($N2168=0,"No Start (attainment only)",IF(OR($N2168=1,$O2168=1),"U – needs rule",INDEX(MxBody,MATCH($I2168,MxCurr,0),MATCH($H2168,MxStart,0)))))))</f>
        <v/>
      </c>
      <c r="L2168" s="62" t="str">
        <f aca="false">IF(COUNTA($A2168,$F2168,$G2168,$H2168,$I2168,$J2168)=0,"",IF($M2168=0,"✖ كود الصف غير موجود",IF(ISNA(MATCH($F2168,Lists!$A$2:$A$5,0)),"✖ الفترة غير صحيحة",IF(ISNA(MATCH($G2168,Lists!$B$2:$B$7,0)),"✖ المجموعة غير صحيحة",IF(NOT(OR($H2168="",$N2168&gt;0)),"✖ Start غير صحيح",IF(NOT(OR($I2168="",$I2168="NR",$O2168&gt;0)),"✖ Current غير صحيح",IF(NOT(IF(ISNUMBER($J2168),AND($J2168&gt;=0,$J2168=INT($J2168)),FALSE())),"✖ العدد يجب أن يكون صحيحًا ≥ 0",IF(AND($F2168="Baseline",$H2168&lt;&gt;""),"⚠ Baseline: Start لا يدخل في التقدم",IF($K2168="No Start (attainment only)","ℹ تحصيل فقط (بدون Start)",IF($K2168="U – needs rule","ℹ حالة U تحتاج قاعدة معتمدة",IF($K2168="No result","ℹ بدون نتيجة (يُستبعد من التحصيل)","OK")))))))))))</f>
        <v/>
      </c>
      <c r="M2168" s="64" t="n">
        <f aca="false">IF($A2168="",0,IFERROR(MATCH($A2168,Classes!$A$6:$A$420,0),0))</f>
        <v>0</v>
      </c>
      <c r="N2168" s="64" t="n">
        <f aca="false">IF($H2168="",0,IFERROR(MATCH($H2168,GradeList,0),0))</f>
        <v>0</v>
      </c>
      <c r="O2168" s="64" t="n">
        <f aca="false">IF(OR($I2168="",$I2168="NR"),0,IFERROR(MATCH($I2168,GradeList,0),0))</f>
        <v>0</v>
      </c>
      <c r="P2168" s="64" t="n">
        <f aca="false">IF(AND($M2168&gt;0,ISNUMBER(MATCH($F2168,Lists!$A$2:$A$5,0)),ISNUMBER(MATCH($G2168,Lists!$B$2:$B$7,0)),OR($H2168="",$N2168&gt;0),OR($I2168="",$I2168="NR",$O2168&gt;0),IF(ISNUMBER($J2168),AND($J2168&gt;=0,$J2168=INT($J2168)),FALSE())),$J2168,0)</f>
        <v>0</v>
      </c>
      <c r="Q2168" s="64" t="n">
        <f aca="false">IF(AND($P2168&gt;0,$O2168&gt;0),$P2168,0)</f>
        <v>0</v>
      </c>
      <c r="R2168" s="64" t="n">
        <f aca="false">IF(AND($Q2168&gt;0,$O2168&gt;=AtRank),$Q2168,0)</f>
        <v>0</v>
      </c>
      <c r="S2168" s="64" t="n">
        <f aca="false">IF(AND($Q2168&gt;0,$O2168&gt;=AboveRank),$Q2168,0)</f>
        <v>0</v>
      </c>
      <c r="T2168" s="64" t="n">
        <f aca="false">IF($K2168="Less",$P2168,0)</f>
        <v>0</v>
      </c>
      <c r="U2168" s="64" t="n">
        <f aca="false">IF($K2168="Expected",$P2168,0)</f>
        <v>0</v>
      </c>
      <c r="V2168" s="64" t="n">
        <f aca="false">IF($K2168="Better",$P2168,0)</f>
        <v>0</v>
      </c>
      <c r="W2168" s="64" t="n">
        <f aca="false">IF($K2168="U – needs rule",$P2168,0)</f>
        <v>0</v>
      </c>
      <c r="X2168" s="64" t="n">
        <f aca="false">IF($K2168="No Start (attainment only)",$P2168,0)</f>
        <v>0</v>
      </c>
    </row>
    <row r="2169" customFormat="false" ht="15" hidden="false" customHeight="false" outlineLevel="0" collapsed="false">
      <c r="A2169" s="60"/>
      <c r="B2169" s="61" t="str">
        <f aca="false">IF($M2169=0,"",INDEX(Classes!$E$6:$E$420,$M2169))</f>
        <v/>
      </c>
      <c r="C2169" s="62" t="str">
        <f aca="false">IF($M2169=0,"",INDEX(Classes!$H$6:$H$420,$M2169))</f>
        <v/>
      </c>
      <c r="D2169" s="61" t="str">
        <f aca="false">IF($M2169=0,"",INDEX(Classes!$B$6:$B$420,$M2169))</f>
        <v/>
      </c>
      <c r="E2169" s="61" t="str">
        <f aca="false">IF($M2169=0,"",INDEX(Classes!$C$6:$C$420,$M2169))</f>
        <v/>
      </c>
      <c r="F2169" s="63"/>
      <c r="G2169" s="63"/>
      <c r="H2169" s="60"/>
      <c r="I2169" s="60"/>
      <c r="J2169" s="63"/>
      <c r="K2169" s="61" t="str">
        <f aca="false">IF($P2169=0,"",IF($F2169="Baseline","— Baseline",IF($O2169=0,"No result",IF($N2169=0,"No Start (attainment only)",IF(OR($N2169=1,$O2169=1),"U – needs rule",INDEX(MxBody,MATCH($I2169,MxCurr,0),MATCH($H2169,MxStart,0)))))))</f>
        <v/>
      </c>
      <c r="L2169" s="62" t="str">
        <f aca="false">IF(COUNTA($A2169,$F2169,$G2169,$H2169,$I2169,$J2169)=0,"",IF($M2169=0,"✖ كود الصف غير موجود",IF(ISNA(MATCH($F2169,Lists!$A$2:$A$5,0)),"✖ الفترة غير صحيحة",IF(ISNA(MATCH($G2169,Lists!$B$2:$B$7,0)),"✖ المجموعة غير صحيحة",IF(NOT(OR($H2169="",$N2169&gt;0)),"✖ Start غير صحيح",IF(NOT(OR($I2169="",$I2169="NR",$O2169&gt;0)),"✖ Current غير صحيح",IF(NOT(IF(ISNUMBER($J2169),AND($J2169&gt;=0,$J2169=INT($J2169)),FALSE())),"✖ العدد يجب أن يكون صحيحًا ≥ 0",IF(AND($F2169="Baseline",$H2169&lt;&gt;""),"⚠ Baseline: Start لا يدخل في التقدم",IF($K2169="No Start (attainment only)","ℹ تحصيل فقط (بدون Start)",IF($K2169="U – needs rule","ℹ حالة U تحتاج قاعدة معتمدة",IF($K2169="No result","ℹ بدون نتيجة (يُستبعد من التحصيل)","OK")))))))))))</f>
        <v/>
      </c>
      <c r="M2169" s="64" t="n">
        <f aca="false">IF($A2169="",0,IFERROR(MATCH($A2169,Classes!$A$6:$A$420,0),0))</f>
        <v>0</v>
      </c>
      <c r="N2169" s="64" t="n">
        <f aca="false">IF($H2169="",0,IFERROR(MATCH($H2169,GradeList,0),0))</f>
        <v>0</v>
      </c>
      <c r="O2169" s="64" t="n">
        <f aca="false">IF(OR($I2169="",$I2169="NR"),0,IFERROR(MATCH($I2169,GradeList,0),0))</f>
        <v>0</v>
      </c>
      <c r="P2169" s="64" t="n">
        <f aca="false">IF(AND($M2169&gt;0,ISNUMBER(MATCH($F2169,Lists!$A$2:$A$5,0)),ISNUMBER(MATCH($G2169,Lists!$B$2:$B$7,0)),OR($H2169="",$N2169&gt;0),OR($I2169="",$I2169="NR",$O2169&gt;0),IF(ISNUMBER($J2169),AND($J2169&gt;=0,$J2169=INT($J2169)),FALSE())),$J2169,0)</f>
        <v>0</v>
      </c>
      <c r="Q2169" s="64" t="n">
        <f aca="false">IF(AND($P2169&gt;0,$O2169&gt;0),$P2169,0)</f>
        <v>0</v>
      </c>
      <c r="R2169" s="64" t="n">
        <f aca="false">IF(AND($Q2169&gt;0,$O2169&gt;=AtRank),$Q2169,0)</f>
        <v>0</v>
      </c>
      <c r="S2169" s="64" t="n">
        <f aca="false">IF(AND($Q2169&gt;0,$O2169&gt;=AboveRank),$Q2169,0)</f>
        <v>0</v>
      </c>
      <c r="T2169" s="64" t="n">
        <f aca="false">IF($K2169="Less",$P2169,0)</f>
        <v>0</v>
      </c>
      <c r="U2169" s="64" t="n">
        <f aca="false">IF($K2169="Expected",$P2169,0)</f>
        <v>0</v>
      </c>
      <c r="V2169" s="64" t="n">
        <f aca="false">IF($K2169="Better",$P2169,0)</f>
        <v>0</v>
      </c>
      <c r="W2169" s="64" t="n">
        <f aca="false">IF($K2169="U – needs rule",$P2169,0)</f>
        <v>0</v>
      </c>
      <c r="X2169" s="64" t="n">
        <f aca="false">IF($K2169="No Start (attainment only)",$P2169,0)</f>
        <v>0</v>
      </c>
    </row>
    <row r="2170" customFormat="false" ht="15" hidden="false" customHeight="false" outlineLevel="0" collapsed="false">
      <c r="A2170" s="60"/>
      <c r="B2170" s="61" t="str">
        <f aca="false">IF($M2170=0,"",INDEX(Classes!$E$6:$E$420,$M2170))</f>
        <v/>
      </c>
      <c r="C2170" s="62" t="str">
        <f aca="false">IF($M2170=0,"",INDEX(Classes!$H$6:$H$420,$M2170))</f>
        <v/>
      </c>
      <c r="D2170" s="61" t="str">
        <f aca="false">IF($M2170=0,"",INDEX(Classes!$B$6:$B$420,$M2170))</f>
        <v/>
      </c>
      <c r="E2170" s="61" t="str">
        <f aca="false">IF($M2170=0,"",INDEX(Classes!$C$6:$C$420,$M2170))</f>
        <v/>
      </c>
      <c r="F2170" s="63"/>
      <c r="G2170" s="63"/>
      <c r="H2170" s="60"/>
      <c r="I2170" s="60"/>
      <c r="J2170" s="63"/>
      <c r="K2170" s="61" t="str">
        <f aca="false">IF($P2170=0,"",IF($F2170="Baseline","— Baseline",IF($O2170=0,"No result",IF($N2170=0,"No Start (attainment only)",IF(OR($N2170=1,$O2170=1),"U – needs rule",INDEX(MxBody,MATCH($I2170,MxCurr,0),MATCH($H2170,MxStart,0)))))))</f>
        <v/>
      </c>
      <c r="L2170" s="62" t="str">
        <f aca="false">IF(COUNTA($A2170,$F2170,$G2170,$H2170,$I2170,$J2170)=0,"",IF($M2170=0,"✖ كود الصف غير موجود",IF(ISNA(MATCH($F2170,Lists!$A$2:$A$5,0)),"✖ الفترة غير صحيحة",IF(ISNA(MATCH($G2170,Lists!$B$2:$B$7,0)),"✖ المجموعة غير صحيحة",IF(NOT(OR($H2170="",$N2170&gt;0)),"✖ Start غير صحيح",IF(NOT(OR($I2170="",$I2170="NR",$O2170&gt;0)),"✖ Current غير صحيح",IF(NOT(IF(ISNUMBER($J2170),AND($J2170&gt;=0,$J2170=INT($J2170)),FALSE())),"✖ العدد يجب أن يكون صحيحًا ≥ 0",IF(AND($F2170="Baseline",$H2170&lt;&gt;""),"⚠ Baseline: Start لا يدخل في التقدم",IF($K2170="No Start (attainment only)","ℹ تحصيل فقط (بدون Start)",IF($K2170="U – needs rule","ℹ حالة U تحتاج قاعدة معتمدة",IF($K2170="No result","ℹ بدون نتيجة (يُستبعد من التحصيل)","OK")))))))))))</f>
        <v/>
      </c>
      <c r="M2170" s="64" t="n">
        <f aca="false">IF($A2170="",0,IFERROR(MATCH($A2170,Classes!$A$6:$A$420,0),0))</f>
        <v>0</v>
      </c>
      <c r="N2170" s="64" t="n">
        <f aca="false">IF($H2170="",0,IFERROR(MATCH($H2170,GradeList,0),0))</f>
        <v>0</v>
      </c>
      <c r="O2170" s="64" t="n">
        <f aca="false">IF(OR($I2170="",$I2170="NR"),0,IFERROR(MATCH($I2170,GradeList,0),0))</f>
        <v>0</v>
      </c>
      <c r="P2170" s="64" t="n">
        <f aca="false">IF(AND($M2170&gt;0,ISNUMBER(MATCH($F2170,Lists!$A$2:$A$5,0)),ISNUMBER(MATCH($G2170,Lists!$B$2:$B$7,0)),OR($H2170="",$N2170&gt;0),OR($I2170="",$I2170="NR",$O2170&gt;0),IF(ISNUMBER($J2170),AND($J2170&gt;=0,$J2170=INT($J2170)),FALSE())),$J2170,0)</f>
        <v>0</v>
      </c>
      <c r="Q2170" s="64" t="n">
        <f aca="false">IF(AND($P2170&gt;0,$O2170&gt;0),$P2170,0)</f>
        <v>0</v>
      </c>
      <c r="R2170" s="64" t="n">
        <f aca="false">IF(AND($Q2170&gt;0,$O2170&gt;=AtRank),$Q2170,0)</f>
        <v>0</v>
      </c>
      <c r="S2170" s="64" t="n">
        <f aca="false">IF(AND($Q2170&gt;0,$O2170&gt;=AboveRank),$Q2170,0)</f>
        <v>0</v>
      </c>
      <c r="T2170" s="64" t="n">
        <f aca="false">IF($K2170="Less",$P2170,0)</f>
        <v>0</v>
      </c>
      <c r="U2170" s="64" t="n">
        <f aca="false">IF($K2170="Expected",$P2170,0)</f>
        <v>0</v>
      </c>
      <c r="V2170" s="64" t="n">
        <f aca="false">IF($K2170="Better",$P2170,0)</f>
        <v>0</v>
      </c>
      <c r="W2170" s="64" t="n">
        <f aca="false">IF($K2170="U – needs rule",$P2170,0)</f>
        <v>0</v>
      </c>
      <c r="X2170" s="64" t="n">
        <f aca="false">IF($K2170="No Start (attainment only)",$P2170,0)</f>
        <v>0</v>
      </c>
    </row>
    <row r="2171" customFormat="false" ht="15" hidden="false" customHeight="false" outlineLevel="0" collapsed="false">
      <c r="A2171" s="60"/>
      <c r="B2171" s="61" t="str">
        <f aca="false">IF($M2171=0,"",INDEX(Classes!$E$6:$E$420,$M2171))</f>
        <v/>
      </c>
      <c r="C2171" s="62" t="str">
        <f aca="false">IF($M2171=0,"",INDEX(Classes!$H$6:$H$420,$M2171))</f>
        <v/>
      </c>
      <c r="D2171" s="61" t="str">
        <f aca="false">IF($M2171=0,"",INDEX(Classes!$B$6:$B$420,$M2171))</f>
        <v/>
      </c>
      <c r="E2171" s="61" t="str">
        <f aca="false">IF($M2171=0,"",INDEX(Classes!$C$6:$C$420,$M2171))</f>
        <v/>
      </c>
      <c r="F2171" s="63"/>
      <c r="G2171" s="63"/>
      <c r="H2171" s="60"/>
      <c r="I2171" s="60"/>
      <c r="J2171" s="63"/>
      <c r="K2171" s="61" t="str">
        <f aca="false">IF($P2171=0,"",IF($F2171="Baseline","— Baseline",IF($O2171=0,"No result",IF($N2171=0,"No Start (attainment only)",IF(OR($N2171=1,$O2171=1),"U – needs rule",INDEX(MxBody,MATCH($I2171,MxCurr,0),MATCH($H2171,MxStart,0)))))))</f>
        <v/>
      </c>
      <c r="L2171" s="62" t="str">
        <f aca="false">IF(COUNTA($A2171,$F2171,$G2171,$H2171,$I2171,$J2171)=0,"",IF($M2171=0,"✖ كود الصف غير موجود",IF(ISNA(MATCH($F2171,Lists!$A$2:$A$5,0)),"✖ الفترة غير صحيحة",IF(ISNA(MATCH($G2171,Lists!$B$2:$B$7,0)),"✖ المجموعة غير صحيحة",IF(NOT(OR($H2171="",$N2171&gt;0)),"✖ Start غير صحيح",IF(NOT(OR($I2171="",$I2171="NR",$O2171&gt;0)),"✖ Current غير صحيح",IF(NOT(IF(ISNUMBER($J2171),AND($J2171&gt;=0,$J2171=INT($J2171)),FALSE())),"✖ العدد يجب أن يكون صحيحًا ≥ 0",IF(AND($F2171="Baseline",$H2171&lt;&gt;""),"⚠ Baseline: Start لا يدخل في التقدم",IF($K2171="No Start (attainment only)","ℹ تحصيل فقط (بدون Start)",IF($K2171="U – needs rule","ℹ حالة U تحتاج قاعدة معتمدة",IF($K2171="No result","ℹ بدون نتيجة (يُستبعد من التحصيل)","OK")))))))))))</f>
        <v/>
      </c>
      <c r="M2171" s="64" t="n">
        <f aca="false">IF($A2171="",0,IFERROR(MATCH($A2171,Classes!$A$6:$A$420,0),0))</f>
        <v>0</v>
      </c>
      <c r="N2171" s="64" t="n">
        <f aca="false">IF($H2171="",0,IFERROR(MATCH($H2171,GradeList,0),0))</f>
        <v>0</v>
      </c>
      <c r="O2171" s="64" t="n">
        <f aca="false">IF(OR($I2171="",$I2171="NR"),0,IFERROR(MATCH($I2171,GradeList,0),0))</f>
        <v>0</v>
      </c>
      <c r="P2171" s="64" t="n">
        <f aca="false">IF(AND($M2171&gt;0,ISNUMBER(MATCH($F2171,Lists!$A$2:$A$5,0)),ISNUMBER(MATCH($G2171,Lists!$B$2:$B$7,0)),OR($H2171="",$N2171&gt;0),OR($I2171="",$I2171="NR",$O2171&gt;0),IF(ISNUMBER($J2171),AND($J2171&gt;=0,$J2171=INT($J2171)),FALSE())),$J2171,0)</f>
        <v>0</v>
      </c>
      <c r="Q2171" s="64" t="n">
        <f aca="false">IF(AND($P2171&gt;0,$O2171&gt;0),$P2171,0)</f>
        <v>0</v>
      </c>
      <c r="R2171" s="64" t="n">
        <f aca="false">IF(AND($Q2171&gt;0,$O2171&gt;=AtRank),$Q2171,0)</f>
        <v>0</v>
      </c>
      <c r="S2171" s="64" t="n">
        <f aca="false">IF(AND($Q2171&gt;0,$O2171&gt;=AboveRank),$Q2171,0)</f>
        <v>0</v>
      </c>
      <c r="T2171" s="64" t="n">
        <f aca="false">IF($K2171="Less",$P2171,0)</f>
        <v>0</v>
      </c>
      <c r="U2171" s="64" t="n">
        <f aca="false">IF($K2171="Expected",$P2171,0)</f>
        <v>0</v>
      </c>
      <c r="V2171" s="64" t="n">
        <f aca="false">IF($K2171="Better",$P2171,0)</f>
        <v>0</v>
      </c>
      <c r="W2171" s="64" t="n">
        <f aca="false">IF($K2171="U – needs rule",$P2171,0)</f>
        <v>0</v>
      </c>
      <c r="X2171" s="64" t="n">
        <f aca="false">IF($K2171="No Start (attainment only)",$P2171,0)</f>
        <v>0</v>
      </c>
    </row>
    <row r="2172" customFormat="false" ht="15" hidden="false" customHeight="false" outlineLevel="0" collapsed="false">
      <c r="A2172" s="60"/>
      <c r="B2172" s="61" t="str">
        <f aca="false">IF($M2172=0,"",INDEX(Classes!$E$6:$E$420,$M2172))</f>
        <v/>
      </c>
      <c r="C2172" s="62" t="str">
        <f aca="false">IF($M2172=0,"",INDEX(Classes!$H$6:$H$420,$M2172))</f>
        <v/>
      </c>
      <c r="D2172" s="61" t="str">
        <f aca="false">IF($M2172=0,"",INDEX(Classes!$B$6:$B$420,$M2172))</f>
        <v/>
      </c>
      <c r="E2172" s="61" t="str">
        <f aca="false">IF($M2172=0,"",INDEX(Classes!$C$6:$C$420,$M2172))</f>
        <v/>
      </c>
      <c r="F2172" s="63"/>
      <c r="G2172" s="63"/>
      <c r="H2172" s="60"/>
      <c r="I2172" s="60"/>
      <c r="J2172" s="63"/>
      <c r="K2172" s="61" t="str">
        <f aca="false">IF($P2172=0,"",IF($F2172="Baseline","— Baseline",IF($O2172=0,"No result",IF($N2172=0,"No Start (attainment only)",IF(OR($N2172=1,$O2172=1),"U – needs rule",INDEX(MxBody,MATCH($I2172,MxCurr,0),MATCH($H2172,MxStart,0)))))))</f>
        <v/>
      </c>
      <c r="L2172" s="62" t="str">
        <f aca="false">IF(COUNTA($A2172,$F2172,$G2172,$H2172,$I2172,$J2172)=0,"",IF($M2172=0,"✖ كود الصف غير موجود",IF(ISNA(MATCH($F2172,Lists!$A$2:$A$5,0)),"✖ الفترة غير صحيحة",IF(ISNA(MATCH($G2172,Lists!$B$2:$B$7,0)),"✖ المجموعة غير صحيحة",IF(NOT(OR($H2172="",$N2172&gt;0)),"✖ Start غير صحيح",IF(NOT(OR($I2172="",$I2172="NR",$O2172&gt;0)),"✖ Current غير صحيح",IF(NOT(IF(ISNUMBER($J2172),AND($J2172&gt;=0,$J2172=INT($J2172)),FALSE())),"✖ العدد يجب أن يكون صحيحًا ≥ 0",IF(AND($F2172="Baseline",$H2172&lt;&gt;""),"⚠ Baseline: Start لا يدخل في التقدم",IF($K2172="No Start (attainment only)","ℹ تحصيل فقط (بدون Start)",IF($K2172="U – needs rule","ℹ حالة U تحتاج قاعدة معتمدة",IF($K2172="No result","ℹ بدون نتيجة (يُستبعد من التحصيل)","OK")))))))))))</f>
        <v/>
      </c>
      <c r="M2172" s="64" t="n">
        <f aca="false">IF($A2172="",0,IFERROR(MATCH($A2172,Classes!$A$6:$A$420,0),0))</f>
        <v>0</v>
      </c>
      <c r="N2172" s="64" t="n">
        <f aca="false">IF($H2172="",0,IFERROR(MATCH($H2172,GradeList,0),0))</f>
        <v>0</v>
      </c>
      <c r="O2172" s="64" t="n">
        <f aca="false">IF(OR($I2172="",$I2172="NR"),0,IFERROR(MATCH($I2172,GradeList,0),0))</f>
        <v>0</v>
      </c>
      <c r="P2172" s="64" t="n">
        <f aca="false">IF(AND($M2172&gt;0,ISNUMBER(MATCH($F2172,Lists!$A$2:$A$5,0)),ISNUMBER(MATCH($G2172,Lists!$B$2:$B$7,0)),OR($H2172="",$N2172&gt;0),OR($I2172="",$I2172="NR",$O2172&gt;0),IF(ISNUMBER($J2172),AND($J2172&gt;=0,$J2172=INT($J2172)),FALSE())),$J2172,0)</f>
        <v>0</v>
      </c>
      <c r="Q2172" s="64" t="n">
        <f aca="false">IF(AND($P2172&gt;0,$O2172&gt;0),$P2172,0)</f>
        <v>0</v>
      </c>
      <c r="R2172" s="64" t="n">
        <f aca="false">IF(AND($Q2172&gt;0,$O2172&gt;=AtRank),$Q2172,0)</f>
        <v>0</v>
      </c>
      <c r="S2172" s="64" t="n">
        <f aca="false">IF(AND($Q2172&gt;0,$O2172&gt;=AboveRank),$Q2172,0)</f>
        <v>0</v>
      </c>
      <c r="T2172" s="64" t="n">
        <f aca="false">IF($K2172="Less",$P2172,0)</f>
        <v>0</v>
      </c>
      <c r="U2172" s="64" t="n">
        <f aca="false">IF($K2172="Expected",$P2172,0)</f>
        <v>0</v>
      </c>
      <c r="V2172" s="64" t="n">
        <f aca="false">IF($K2172="Better",$P2172,0)</f>
        <v>0</v>
      </c>
      <c r="W2172" s="64" t="n">
        <f aca="false">IF($K2172="U – needs rule",$P2172,0)</f>
        <v>0</v>
      </c>
      <c r="X2172" s="64" t="n">
        <f aca="false">IF($K2172="No Start (attainment only)",$P2172,0)</f>
        <v>0</v>
      </c>
    </row>
    <row r="2173" customFormat="false" ht="15" hidden="false" customHeight="false" outlineLevel="0" collapsed="false">
      <c r="A2173" s="60"/>
      <c r="B2173" s="61" t="str">
        <f aca="false">IF($M2173=0,"",INDEX(Classes!$E$6:$E$420,$M2173))</f>
        <v/>
      </c>
      <c r="C2173" s="62" t="str">
        <f aca="false">IF($M2173=0,"",INDEX(Classes!$H$6:$H$420,$M2173))</f>
        <v/>
      </c>
      <c r="D2173" s="61" t="str">
        <f aca="false">IF($M2173=0,"",INDEX(Classes!$B$6:$B$420,$M2173))</f>
        <v/>
      </c>
      <c r="E2173" s="61" t="str">
        <f aca="false">IF($M2173=0,"",INDEX(Classes!$C$6:$C$420,$M2173))</f>
        <v/>
      </c>
      <c r="F2173" s="63"/>
      <c r="G2173" s="63"/>
      <c r="H2173" s="60"/>
      <c r="I2173" s="60"/>
      <c r="J2173" s="63"/>
      <c r="K2173" s="61" t="str">
        <f aca="false">IF($P2173=0,"",IF($F2173="Baseline","— Baseline",IF($O2173=0,"No result",IF($N2173=0,"No Start (attainment only)",IF(OR($N2173=1,$O2173=1),"U – needs rule",INDEX(MxBody,MATCH($I2173,MxCurr,0),MATCH($H2173,MxStart,0)))))))</f>
        <v/>
      </c>
      <c r="L2173" s="62" t="str">
        <f aca="false">IF(COUNTA($A2173,$F2173,$G2173,$H2173,$I2173,$J2173)=0,"",IF($M2173=0,"✖ كود الصف غير موجود",IF(ISNA(MATCH($F2173,Lists!$A$2:$A$5,0)),"✖ الفترة غير صحيحة",IF(ISNA(MATCH($G2173,Lists!$B$2:$B$7,0)),"✖ المجموعة غير صحيحة",IF(NOT(OR($H2173="",$N2173&gt;0)),"✖ Start غير صحيح",IF(NOT(OR($I2173="",$I2173="NR",$O2173&gt;0)),"✖ Current غير صحيح",IF(NOT(IF(ISNUMBER($J2173),AND($J2173&gt;=0,$J2173=INT($J2173)),FALSE())),"✖ العدد يجب أن يكون صحيحًا ≥ 0",IF(AND($F2173="Baseline",$H2173&lt;&gt;""),"⚠ Baseline: Start لا يدخل في التقدم",IF($K2173="No Start (attainment only)","ℹ تحصيل فقط (بدون Start)",IF($K2173="U – needs rule","ℹ حالة U تحتاج قاعدة معتمدة",IF($K2173="No result","ℹ بدون نتيجة (يُستبعد من التحصيل)","OK")))))))))))</f>
        <v/>
      </c>
      <c r="M2173" s="64" t="n">
        <f aca="false">IF($A2173="",0,IFERROR(MATCH($A2173,Classes!$A$6:$A$420,0),0))</f>
        <v>0</v>
      </c>
      <c r="N2173" s="64" t="n">
        <f aca="false">IF($H2173="",0,IFERROR(MATCH($H2173,GradeList,0),0))</f>
        <v>0</v>
      </c>
      <c r="O2173" s="64" t="n">
        <f aca="false">IF(OR($I2173="",$I2173="NR"),0,IFERROR(MATCH($I2173,GradeList,0),0))</f>
        <v>0</v>
      </c>
      <c r="P2173" s="64" t="n">
        <f aca="false">IF(AND($M2173&gt;0,ISNUMBER(MATCH($F2173,Lists!$A$2:$A$5,0)),ISNUMBER(MATCH($G2173,Lists!$B$2:$B$7,0)),OR($H2173="",$N2173&gt;0),OR($I2173="",$I2173="NR",$O2173&gt;0),IF(ISNUMBER($J2173),AND($J2173&gt;=0,$J2173=INT($J2173)),FALSE())),$J2173,0)</f>
        <v>0</v>
      </c>
      <c r="Q2173" s="64" t="n">
        <f aca="false">IF(AND($P2173&gt;0,$O2173&gt;0),$P2173,0)</f>
        <v>0</v>
      </c>
      <c r="R2173" s="64" t="n">
        <f aca="false">IF(AND($Q2173&gt;0,$O2173&gt;=AtRank),$Q2173,0)</f>
        <v>0</v>
      </c>
      <c r="S2173" s="64" t="n">
        <f aca="false">IF(AND($Q2173&gt;0,$O2173&gt;=AboveRank),$Q2173,0)</f>
        <v>0</v>
      </c>
      <c r="T2173" s="64" t="n">
        <f aca="false">IF($K2173="Less",$P2173,0)</f>
        <v>0</v>
      </c>
      <c r="U2173" s="64" t="n">
        <f aca="false">IF($K2173="Expected",$P2173,0)</f>
        <v>0</v>
      </c>
      <c r="V2173" s="64" t="n">
        <f aca="false">IF($K2173="Better",$P2173,0)</f>
        <v>0</v>
      </c>
      <c r="W2173" s="64" t="n">
        <f aca="false">IF($K2173="U – needs rule",$P2173,0)</f>
        <v>0</v>
      </c>
      <c r="X2173" s="64" t="n">
        <f aca="false">IF($K2173="No Start (attainment only)",$P2173,0)</f>
        <v>0</v>
      </c>
    </row>
    <row r="2174" customFormat="false" ht="15" hidden="false" customHeight="false" outlineLevel="0" collapsed="false">
      <c r="A2174" s="60"/>
      <c r="B2174" s="61" t="str">
        <f aca="false">IF($M2174=0,"",INDEX(Classes!$E$6:$E$420,$M2174))</f>
        <v/>
      </c>
      <c r="C2174" s="62" t="str">
        <f aca="false">IF($M2174=0,"",INDEX(Classes!$H$6:$H$420,$M2174))</f>
        <v/>
      </c>
      <c r="D2174" s="61" t="str">
        <f aca="false">IF($M2174=0,"",INDEX(Classes!$B$6:$B$420,$M2174))</f>
        <v/>
      </c>
      <c r="E2174" s="61" t="str">
        <f aca="false">IF($M2174=0,"",INDEX(Classes!$C$6:$C$420,$M2174))</f>
        <v/>
      </c>
      <c r="F2174" s="63"/>
      <c r="G2174" s="63"/>
      <c r="H2174" s="60"/>
      <c r="I2174" s="60"/>
      <c r="J2174" s="63"/>
      <c r="K2174" s="61" t="str">
        <f aca="false">IF($P2174=0,"",IF($F2174="Baseline","— Baseline",IF($O2174=0,"No result",IF($N2174=0,"No Start (attainment only)",IF(OR($N2174=1,$O2174=1),"U – needs rule",INDEX(MxBody,MATCH($I2174,MxCurr,0),MATCH($H2174,MxStart,0)))))))</f>
        <v/>
      </c>
      <c r="L2174" s="62" t="str">
        <f aca="false">IF(COUNTA($A2174,$F2174,$G2174,$H2174,$I2174,$J2174)=0,"",IF($M2174=0,"✖ كود الصف غير موجود",IF(ISNA(MATCH($F2174,Lists!$A$2:$A$5,0)),"✖ الفترة غير صحيحة",IF(ISNA(MATCH($G2174,Lists!$B$2:$B$7,0)),"✖ المجموعة غير صحيحة",IF(NOT(OR($H2174="",$N2174&gt;0)),"✖ Start غير صحيح",IF(NOT(OR($I2174="",$I2174="NR",$O2174&gt;0)),"✖ Current غير صحيح",IF(NOT(IF(ISNUMBER($J2174),AND($J2174&gt;=0,$J2174=INT($J2174)),FALSE())),"✖ العدد يجب أن يكون صحيحًا ≥ 0",IF(AND($F2174="Baseline",$H2174&lt;&gt;""),"⚠ Baseline: Start لا يدخل في التقدم",IF($K2174="No Start (attainment only)","ℹ تحصيل فقط (بدون Start)",IF($K2174="U – needs rule","ℹ حالة U تحتاج قاعدة معتمدة",IF($K2174="No result","ℹ بدون نتيجة (يُستبعد من التحصيل)","OK")))))))))))</f>
        <v/>
      </c>
      <c r="M2174" s="64" t="n">
        <f aca="false">IF($A2174="",0,IFERROR(MATCH($A2174,Classes!$A$6:$A$420,0),0))</f>
        <v>0</v>
      </c>
      <c r="N2174" s="64" t="n">
        <f aca="false">IF($H2174="",0,IFERROR(MATCH($H2174,GradeList,0),0))</f>
        <v>0</v>
      </c>
      <c r="O2174" s="64" t="n">
        <f aca="false">IF(OR($I2174="",$I2174="NR"),0,IFERROR(MATCH($I2174,GradeList,0),0))</f>
        <v>0</v>
      </c>
      <c r="P2174" s="64" t="n">
        <f aca="false">IF(AND($M2174&gt;0,ISNUMBER(MATCH($F2174,Lists!$A$2:$A$5,0)),ISNUMBER(MATCH($G2174,Lists!$B$2:$B$7,0)),OR($H2174="",$N2174&gt;0),OR($I2174="",$I2174="NR",$O2174&gt;0),IF(ISNUMBER($J2174),AND($J2174&gt;=0,$J2174=INT($J2174)),FALSE())),$J2174,0)</f>
        <v>0</v>
      </c>
      <c r="Q2174" s="64" t="n">
        <f aca="false">IF(AND($P2174&gt;0,$O2174&gt;0),$P2174,0)</f>
        <v>0</v>
      </c>
      <c r="R2174" s="64" t="n">
        <f aca="false">IF(AND($Q2174&gt;0,$O2174&gt;=AtRank),$Q2174,0)</f>
        <v>0</v>
      </c>
      <c r="S2174" s="64" t="n">
        <f aca="false">IF(AND($Q2174&gt;0,$O2174&gt;=AboveRank),$Q2174,0)</f>
        <v>0</v>
      </c>
      <c r="T2174" s="64" t="n">
        <f aca="false">IF($K2174="Less",$P2174,0)</f>
        <v>0</v>
      </c>
      <c r="U2174" s="64" t="n">
        <f aca="false">IF($K2174="Expected",$P2174,0)</f>
        <v>0</v>
      </c>
      <c r="V2174" s="64" t="n">
        <f aca="false">IF($K2174="Better",$P2174,0)</f>
        <v>0</v>
      </c>
      <c r="W2174" s="64" t="n">
        <f aca="false">IF($K2174="U – needs rule",$P2174,0)</f>
        <v>0</v>
      </c>
      <c r="X2174" s="64" t="n">
        <f aca="false">IF($K2174="No Start (attainment only)",$P2174,0)</f>
        <v>0</v>
      </c>
    </row>
    <row r="2175" customFormat="false" ht="15" hidden="false" customHeight="false" outlineLevel="0" collapsed="false">
      <c r="A2175" s="60"/>
      <c r="B2175" s="61" t="str">
        <f aca="false">IF($M2175=0,"",INDEX(Classes!$E$6:$E$420,$M2175))</f>
        <v/>
      </c>
      <c r="C2175" s="62" t="str">
        <f aca="false">IF($M2175=0,"",INDEX(Classes!$H$6:$H$420,$M2175))</f>
        <v/>
      </c>
      <c r="D2175" s="61" t="str">
        <f aca="false">IF($M2175=0,"",INDEX(Classes!$B$6:$B$420,$M2175))</f>
        <v/>
      </c>
      <c r="E2175" s="61" t="str">
        <f aca="false">IF($M2175=0,"",INDEX(Classes!$C$6:$C$420,$M2175))</f>
        <v/>
      </c>
      <c r="F2175" s="63"/>
      <c r="G2175" s="63"/>
      <c r="H2175" s="60"/>
      <c r="I2175" s="60"/>
      <c r="J2175" s="63"/>
      <c r="K2175" s="61" t="str">
        <f aca="false">IF($P2175=0,"",IF($F2175="Baseline","— Baseline",IF($O2175=0,"No result",IF($N2175=0,"No Start (attainment only)",IF(OR($N2175=1,$O2175=1),"U – needs rule",INDEX(MxBody,MATCH($I2175,MxCurr,0),MATCH($H2175,MxStart,0)))))))</f>
        <v/>
      </c>
      <c r="L2175" s="62" t="str">
        <f aca="false">IF(COUNTA($A2175,$F2175,$G2175,$H2175,$I2175,$J2175)=0,"",IF($M2175=0,"✖ كود الصف غير موجود",IF(ISNA(MATCH($F2175,Lists!$A$2:$A$5,0)),"✖ الفترة غير صحيحة",IF(ISNA(MATCH($G2175,Lists!$B$2:$B$7,0)),"✖ المجموعة غير صحيحة",IF(NOT(OR($H2175="",$N2175&gt;0)),"✖ Start غير صحيح",IF(NOT(OR($I2175="",$I2175="NR",$O2175&gt;0)),"✖ Current غير صحيح",IF(NOT(IF(ISNUMBER($J2175),AND($J2175&gt;=0,$J2175=INT($J2175)),FALSE())),"✖ العدد يجب أن يكون صحيحًا ≥ 0",IF(AND($F2175="Baseline",$H2175&lt;&gt;""),"⚠ Baseline: Start لا يدخل في التقدم",IF($K2175="No Start (attainment only)","ℹ تحصيل فقط (بدون Start)",IF($K2175="U – needs rule","ℹ حالة U تحتاج قاعدة معتمدة",IF($K2175="No result","ℹ بدون نتيجة (يُستبعد من التحصيل)","OK")))))))))))</f>
        <v/>
      </c>
      <c r="M2175" s="64" t="n">
        <f aca="false">IF($A2175="",0,IFERROR(MATCH($A2175,Classes!$A$6:$A$420,0),0))</f>
        <v>0</v>
      </c>
      <c r="N2175" s="64" t="n">
        <f aca="false">IF($H2175="",0,IFERROR(MATCH($H2175,GradeList,0),0))</f>
        <v>0</v>
      </c>
      <c r="O2175" s="64" t="n">
        <f aca="false">IF(OR($I2175="",$I2175="NR"),0,IFERROR(MATCH($I2175,GradeList,0),0))</f>
        <v>0</v>
      </c>
      <c r="P2175" s="64" t="n">
        <f aca="false">IF(AND($M2175&gt;0,ISNUMBER(MATCH($F2175,Lists!$A$2:$A$5,0)),ISNUMBER(MATCH($G2175,Lists!$B$2:$B$7,0)),OR($H2175="",$N2175&gt;0),OR($I2175="",$I2175="NR",$O2175&gt;0),IF(ISNUMBER($J2175),AND($J2175&gt;=0,$J2175=INT($J2175)),FALSE())),$J2175,0)</f>
        <v>0</v>
      </c>
      <c r="Q2175" s="64" t="n">
        <f aca="false">IF(AND($P2175&gt;0,$O2175&gt;0),$P2175,0)</f>
        <v>0</v>
      </c>
      <c r="R2175" s="64" t="n">
        <f aca="false">IF(AND($Q2175&gt;0,$O2175&gt;=AtRank),$Q2175,0)</f>
        <v>0</v>
      </c>
      <c r="S2175" s="64" t="n">
        <f aca="false">IF(AND($Q2175&gt;0,$O2175&gt;=AboveRank),$Q2175,0)</f>
        <v>0</v>
      </c>
      <c r="T2175" s="64" t="n">
        <f aca="false">IF($K2175="Less",$P2175,0)</f>
        <v>0</v>
      </c>
      <c r="U2175" s="64" t="n">
        <f aca="false">IF($K2175="Expected",$P2175,0)</f>
        <v>0</v>
      </c>
      <c r="V2175" s="64" t="n">
        <f aca="false">IF($K2175="Better",$P2175,0)</f>
        <v>0</v>
      </c>
      <c r="W2175" s="64" t="n">
        <f aca="false">IF($K2175="U – needs rule",$P2175,0)</f>
        <v>0</v>
      </c>
      <c r="X2175" s="64" t="n">
        <f aca="false">IF($K2175="No Start (attainment only)",$P2175,0)</f>
        <v>0</v>
      </c>
    </row>
    <row r="2176" customFormat="false" ht="15" hidden="false" customHeight="false" outlineLevel="0" collapsed="false">
      <c r="A2176" s="60"/>
      <c r="B2176" s="61" t="str">
        <f aca="false">IF($M2176=0,"",INDEX(Classes!$E$6:$E$420,$M2176))</f>
        <v/>
      </c>
      <c r="C2176" s="62" t="str">
        <f aca="false">IF($M2176=0,"",INDEX(Classes!$H$6:$H$420,$M2176))</f>
        <v/>
      </c>
      <c r="D2176" s="61" t="str">
        <f aca="false">IF($M2176=0,"",INDEX(Classes!$B$6:$B$420,$M2176))</f>
        <v/>
      </c>
      <c r="E2176" s="61" t="str">
        <f aca="false">IF($M2176=0,"",INDEX(Classes!$C$6:$C$420,$M2176))</f>
        <v/>
      </c>
      <c r="F2176" s="63"/>
      <c r="G2176" s="63"/>
      <c r="H2176" s="60"/>
      <c r="I2176" s="60"/>
      <c r="J2176" s="63"/>
      <c r="K2176" s="61" t="str">
        <f aca="false">IF($P2176=0,"",IF($F2176="Baseline","— Baseline",IF($O2176=0,"No result",IF($N2176=0,"No Start (attainment only)",IF(OR($N2176=1,$O2176=1),"U – needs rule",INDEX(MxBody,MATCH($I2176,MxCurr,0),MATCH($H2176,MxStart,0)))))))</f>
        <v/>
      </c>
      <c r="L2176" s="62" t="str">
        <f aca="false">IF(COUNTA($A2176,$F2176,$G2176,$H2176,$I2176,$J2176)=0,"",IF($M2176=0,"✖ كود الصف غير موجود",IF(ISNA(MATCH($F2176,Lists!$A$2:$A$5,0)),"✖ الفترة غير صحيحة",IF(ISNA(MATCH($G2176,Lists!$B$2:$B$7,0)),"✖ المجموعة غير صحيحة",IF(NOT(OR($H2176="",$N2176&gt;0)),"✖ Start غير صحيح",IF(NOT(OR($I2176="",$I2176="NR",$O2176&gt;0)),"✖ Current غير صحيح",IF(NOT(IF(ISNUMBER($J2176),AND($J2176&gt;=0,$J2176=INT($J2176)),FALSE())),"✖ العدد يجب أن يكون صحيحًا ≥ 0",IF(AND($F2176="Baseline",$H2176&lt;&gt;""),"⚠ Baseline: Start لا يدخل في التقدم",IF($K2176="No Start (attainment only)","ℹ تحصيل فقط (بدون Start)",IF($K2176="U – needs rule","ℹ حالة U تحتاج قاعدة معتمدة",IF($K2176="No result","ℹ بدون نتيجة (يُستبعد من التحصيل)","OK")))))))))))</f>
        <v/>
      </c>
      <c r="M2176" s="64" t="n">
        <f aca="false">IF($A2176="",0,IFERROR(MATCH($A2176,Classes!$A$6:$A$420,0),0))</f>
        <v>0</v>
      </c>
      <c r="N2176" s="64" t="n">
        <f aca="false">IF($H2176="",0,IFERROR(MATCH($H2176,GradeList,0),0))</f>
        <v>0</v>
      </c>
      <c r="O2176" s="64" t="n">
        <f aca="false">IF(OR($I2176="",$I2176="NR"),0,IFERROR(MATCH($I2176,GradeList,0),0))</f>
        <v>0</v>
      </c>
      <c r="P2176" s="64" t="n">
        <f aca="false">IF(AND($M2176&gt;0,ISNUMBER(MATCH($F2176,Lists!$A$2:$A$5,0)),ISNUMBER(MATCH($G2176,Lists!$B$2:$B$7,0)),OR($H2176="",$N2176&gt;0),OR($I2176="",$I2176="NR",$O2176&gt;0),IF(ISNUMBER($J2176),AND($J2176&gt;=0,$J2176=INT($J2176)),FALSE())),$J2176,0)</f>
        <v>0</v>
      </c>
      <c r="Q2176" s="64" t="n">
        <f aca="false">IF(AND($P2176&gt;0,$O2176&gt;0),$P2176,0)</f>
        <v>0</v>
      </c>
      <c r="R2176" s="64" t="n">
        <f aca="false">IF(AND($Q2176&gt;0,$O2176&gt;=AtRank),$Q2176,0)</f>
        <v>0</v>
      </c>
      <c r="S2176" s="64" t="n">
        <f aca="false">IF(AND($Q2176&gt;0,$O2176&gt;=AboveRank),$Q2176,0)</f>
        <v>0</v>
      </c>
      <c r="T2176" s="64" t="n">
        <f aca="false">IF($K2176="Less",$P2176,0)</f>
        <v>0</v>
      </c>
      <c r="U2176" s="64" t="n">
        <f aca="false">IF($K2176="Expected",$P2176,0)</f>
        <v>0</v>
      </c>
      <c r="V2176" s="64" t="n">
        <f aca="false">IF($K2176="Better",$P2176,0)</f>
        <v>0</v>
      </c>
      <c r="W2176" s="64" t="n">
        <f aca="false">IF($K2176="U – needs rule",$P2176,0)</f>
        <v>0</v>
      </c>
      <c r="X2176" s="64" t="n">
        <f aca="false">IF($K2176="No Start (attainment only)",$P2176,0)</f>
        <v>0</v>
      </c>
    </row>
    <row r="2177" customFormat="false" ht="15" hidden="false" customHeight="false" outlineLevel="0" collapsed="false">
      <c r="A2177" s="60"/>
      <c r="B2177" s="61" t="str">
        <f aca="false">IF($M2177=0,"",INDEX(Classes!$E$6:$E$420,$M2177))</f>
        <v/>
      </c>
      <c r="C2177" s="62" t="str">
        <f aca="false">IF($M2177=0,"",INDEX(Classes!$H$6:$H$420,$M2177))</f>
        <v/>
      </c>
      <c r="D2177" s="61" t="str">
        <f aca="false">IF($M2177=0,"",INDEX(Classes!$B$6:$B$420,$M2177))</f>
        <v/>
      </c>
      <c r="E2177" s="61" t="str">
        <f aca="false">IF($M2177=0,"",INDEX(Classes!$C$6:$C$420,$M2177))</f>
        <v/>
      </c>
      <c r="F2177" s="63"/>
      <c r="G2177" s="63"/>
      <c r="H2177" s="60"/>
      <c r="I2177" s="60"/>
      <c r="J2177" s="63"/>
      <c r="K2177" s="61" t="str">
        <f aca="false">IF($P2177=0,"",IF($F2177="Baseline","— Baseline",IF($O2177=0,"No result",IF($N2177=0,"No Start (attainment only)",IF(OR($N2177=1,$O2177=1),"U – needs rule",INDEX(MxBody,MATCH($I2177,MxCurr,0),MATCH($H2177,MxStart,0)))))))</f>
        <v/>
      </c>
      <c r="L2177" s="62" t="str">
        <f aca="false">IF(COUNTA($A2177,$F2177,$G2177,$H2177,$I2177,$J2177)=0,"",IF($M2177=0,"✖ كود الصف غير موجود",IF(ISNA(MATCH($F2177,Lists!$A$2:$A$5,0)),"✖ الفترة غير صحيحة",IF(ISNA(MATCH($G2177,Lists!$B$2:$B$7,0)),"✖ المجموعة غير صحيحة",IF(NOT(OR($H2177="",$N2177&gt;0)),"✖ Start غير صحيح",IF(NOT(OR($I2177="",$I2177="NR",$O2177&gt;0)),"✖ Current غير صحيح",IF(NOT(IF(ISNUMBER($J2177),AND($J2177&gt;=0,$J2177=INT($J2177)),FALSE())),"✖ العدد يجب أن يكون صحيحًا ≥ 0",IF(AND($F2177="Baseline",$H2177&lt;&gt;""),"⚠ Baseline: Start لا يدخل في التقدم",IF($K2177="No Start (attainment only)","ℹ تحصيل فقط (بدون Start)",IF($K2177="U – needs rule","ℹ حالة U تحتاج قاعدة معتمدة",IF($K2177="No result","ℹ بدون نتيجة (يُستبعد من التحصيل)","OK")))))))))))</f>
        <v/>
      </c>
      <c r="M2177" s="64" t="n">
        <f aca="false">IF($A2177="",0,IFERROR(MATCH($A2177,Classes!$A$6:$A$420,0),0))</f>
        <v>0</v>
      </c>
      <c r="N2177" s="64" t="n">
        <f aca="false">IF($H2177="",0,IFERROR(MATCH($H2177,GradeList,0),0))</f>
        <v>0</v>
      </c>
      <c r="O2177" s="64" t="n">
        <f aca="false">IF(OR($I2177="",$I2177="NR"),0,IFERROR(MATCH($I2177,GradeList,0),0))</f>
        <v>0</v>
      </c>
      <c r="P2177" s="64" t="n">
        <f aca="false">IF(AND($M2177&gt;0,ISNUMBER(MATCH($F2177,Lists!$A$2:$A$5,0)),ISNUMBER(MATCH($G2177,Lists!$B$2:$B$7,0)),OR($H2177="",$N2177&gt;0),OR($I2177="",$I2177="NR",$O2177&gt;0),IF(ISNUMBER($J2177),AND($J2177&gt;=0,$J2177=INT($J2177)),FALSE())),$J2177,0)</f>
        <v>0</v>
      </c>
      <c r="Q2177" s="64" t="n">
        <f aca="false">IF(AND($P2177&gt;0,$O2177&gt;0),$P2177,0)</f>
        <v>0</v>
      </c>
      <c r="R2177" s="64" t="n">
        <f aca="false">IF(AND($Q2177&gt;0,$O2177&gt;=AtRank),$Q2177,0)</f>
        <v>0</v>
      </c>
      <c r="S2177" s="64" t="n">
        <f aca="false">IF(AND($Q2177&gt;0,$O2177&gt;=AboveRank),$Q2177,0)</f>
        <v>0</v>
      </c>
      <c r="T2177" s="64" t="n">
        <f aca="false">IF($K2177="Less",$P2177,0)</f>
        <v>0</v>
      </c>
      <c r="U2177" s="64" t="n">
        <f aca="false">IF($K2177="Expected",$P2177,0)</f>
        <v>0</v>
      </c>
      <c r="V2177" s="64" t="n">
        <f aca="false">IF($K2177="Better",$P2177,0)</f>
        <v>0</v>
      </c>
      <c r="W2177" s="64" t="n">
        <f aca="false">IF($K2177="U – needs rule",$P2177,0)</f>
        <v>0</v>
      </c>
      <c r="X2177" s="64" t="n">
        <f aca="false">IF($K2177="No Start (attainment only)",$P2177,0)</f>
        <v>0</v>
      </c>
    </row>
    <row r="2178" customFormat="false" ht="15" hidden="false" customHeight="false" outlineLevel="0" collapsed="false">
      <c r="A2178" s="60"/>
      <c r="B2178" s="61" t="str">
        <f aca="false">IF($M2178=0,"",INDEX(Classes!$E$6:$E$420,$M2178))</f>
        <v/>
      </c>
      <c r="C2178" s="62" t="str">
        <f aca="false">IF($M2178=0,"",INDEX(Classes!$H$6:$H$420,$M2178))</f>
        <v/>
      </c>
      <c r="D2178" s="61" t="str">
        <f aca="false">IF($M2178=0,"",INDEX(Classes!$B$6:$B$420,$M2178))</f>
        <v/>
      </c>
      <c r="E2178" s="61" t="str">
        <f aca="false">IF($M2178=0,"",INDEX(Classes!$C$6:$C$420,$M2178))</f>
        <v/>
      </c>
      <c r="F2178" s="63"/>
      <c r="G2178" s="63"/>
      <c r="H2178" s="60"/>
      <c r="I2178" s="60"/>
      <c r="J2178" s="63"/>
      <c r="K2178" s="61" t="str">
        <f aca="false">IF($P2178=0,"",IF($F2178="Baseline","— Baseline",IF($O2178=0,"No result",IF($N2178=0,"No Start (attainment only)",IF(OR($N2178=1,$O2178=1),"U – needs rule",INDEX(MxBody,MATCH($I2178,MxCurr,0),MATCH($H2178,MxStart,0)))))))</f>
        <v/>
      </c>
      <c r="L2178" s="62" t="str">
        <f aca="false">IF(COUNTA($A2178,$F2178,$G2178,$H2178,$I2178,$J2178)=0,"",IF($M2178=0,"✖ كود الصف غير موجود",IF(ISNA(MATCH($F2178,Lists!$A$2:$A$5,0)),"✖ الفترة غير صحيحة",IF(ISNA(MATCH($G2178,Lists!$B$2:$B$7,0)),"✖ المجموعة غير صحيحة",IF(NOT(OR($H2178="",$N2178&gt;0)),"✖ Start غير صحيح",IF(NOT(OR($I2178="",$I2178="NR",$O2178&gt;0)),"✖ Current غير صحيح",IF(NOT(IF(ISNUMBER($J2178),AND($J2178&gt;=0,$J2178=INT($J2178)),FALSE())),"✖ العدد يجب أن يكون صحيحًا ≥ 0",IF(AND($F2178="Baseline",$H2178&lt;&gt;""),"⚠ Baseline: Start لا يدخل في التقدم",IF($K2178="No Start (attainment only)","ℹ تحصيل فقط (بدون Start)",IF($K2178="U – needs rule","ℹ حالة U تحتاج قاعدة معتمدة",IF($K2178="No result","ℹ بدون نتيجة (يُستبعد من التحصيل)","OK")))))))))))</f>
        <v/>
      </c>
      <c r="M2178" s="64" t="n">
        <f aca="false">IF($A2178="",0,IFERROR(MATCH($A2178,Classes!$A$6:$A$420,0),0))</f>
        <v>0</v>
      </c>
      <c r="N2178" s="64" t="n">
        <f aca="false">IF($H2178="",0,IFERROR(MATCH($H2178,GradeList,0),0))</f>
        <v>0</v>
      </c>
      <c r="O2178" s="64" t="n">
        <f aca="false">IF(OR($I2178="",$I2178="NR"),0,IFERROR(MATCH($I2178,GradeList,0),0))</f>
        <v>0</v>
      </c>
      <c r="P2178" s="64" t="n">
        <f aca="false">IF(AND($M2178&gt;0,ISNUMBER(MATCH($F2178,Lists!$A$2:$A$5,0)),ISNUMBER(MATCH($G2178,Lists!$B$2:$B$7,0)),OR($H2178="",$N2178&gt;0),OR($I2178="",$I2178="NR",$O2178&gt;0),IF(ISNUMBER($J2178),AND($J2178&gt;=0,$J2178=INT($J2178)),FALSE())),$J2178,0)</f>
        <v>0</v>
      </c>
      <c r="Q2178" s="64" t="n">
        <f aca="false">IF(AND($P2178&gt;0,$O2178&gt;0),$P2178,0)</f>
        <v>0</v>
      </c>
      <c r="R2178" s="64" t="n">
        <f aca="false">IF(AND($Q2178&gt;0,$O2178&gt;=AtRank),$Q2178,0)</f>
        <v>0</v>
      </c>
      <c r="S2178" s="64" t="n">
        <f aca="false">IF(AND($Q2178&gt;0,$O2178&gt;=AboveRank),$Q2178,0)</f>
        <v>0</v>
      </c>
      <c r="T2178" s="64" t="n">
        <f aca="false">IF($K2178="Less",$P2178,0)</f>
        <v>0</v>
      </c>
      <c r="U2178" s="64" t="n">
        <f aca="false">IF($K2178="Expected",$P2178,0)</f>
        <v>0</v>
      </c>
      <c r="V2178" s="64" t="n">
        <f aca="false">IF($K2178="Better",$P2178,0)</f>
        <v>0</v>
      </c>
      <c r="W2178" s="64" t="n">
        <f aca="false">IF($K2178="U – needs rule",$P2178,0)</f>
        <v>0</v>
      </c>
      <c r="X2178" s="64" t="n">
        <f aca="false">IF($K2178="No Start (attainment only)",$P2178,0)</f>
        <v>0</v>
      </c>
    </row>
    <row r="2179" customFormat="false" ht="15" hidden="false" customHeight="false" outlineLevel="0" collapsed="false">
      <c r="A2179" s="60"/>
      <c r="B2179" s="61" t="str">
        <f aca="false">IF($M2179=0,"",INDEX(Classes!$E$6:$E$420,$M2179))</f>
        <v/>
      </c>
      <c r="C2179" s="62" t="str">
        <f aca="false">IF($M2179=0,"",INDEX(Classes!$H$6:$H$420,$M2179))</f>
        <v/>
      </c>
      <c r="D2179" s="61" t="str">
        <f aca="false">IF($M2179=0,"",INDEX(Classes!$B$6:$B$420,$M2179))</f>
        <v/>
      </c>
      <c r="E2179" s="61" t="str">
        <f aca="false">IF($M2179=0,"",INDEX(Classes!$C$6:$C$420,$M2179))</f>
        <v/>
      </c>
      <c r="F2179" s="63"/>
      <c r="G2179" s="63"/>
      <c r="H2179" s="60"/>
      <c r="I2179" s="60"/>
      <c r="J2179" s="63"/>
      <c r="K2179" s="61" t="str">
        <f aca="false">IF($P2179=0,"",IF($F2179="Baseline","— Baseline",IF($O2179=0,"No result",IF($N2179=0,"No Start (attainment only)",IF(OR($N2179=1,$O2179=1),"U – needs rule",INDEX(MxBody,MATCH($I2179,MxCurr,0),MATCH($H2179,MxStart,0)))))))</f>
        <v/>
      </c>
      <c r="L2179" s="62" t="str">
        <f aca="false">IF(COUNTA($A2179,$F2179,$G2179,$H2179,$I2179,$J2179)=0,"",IF($M2179=0,"✖ كود الصف غير موجود",IF(ISNA(MATCH($F2179,Lists!$A$2:$A$5,0)),"✖ الفترة غير صحيحة",IF(ISNA(MATCH($G2179,Lists!$B$2:$B$7,0)),"✖ المجموعة غير صحيحة",IF(NOT(OR($H2179="",$N2179&gt;0)),"✖ Start غير صحيح",IF(NOT(OR($I2179="",$I2179="NR",$O2179&gt;0)),"✖ Current غير صحيح",IF(NOT(IF(ISNUMBER($J2179),AND($J2179&gt;=0,$J2179=INT($J2179)),FALSE())),"✖ العدد يجب أن يكون صحيحًا ≥ 0",IF(AND($F2179="Baseline",$H2179&lt;&gt;""),"⚠ Baseline: Start لا يدخل في التقدم",IF($K2179="No Start (attainment only)","ℹ تحصيل فقط (بدون Start)",IF($K2179="U – needs rule","ℹ حالة U تحتاج قاعدة معتمدة",IF($K2179="No result","ℹ بدون نتيجة (يُستبعد من التحصيل)","OK")))))))))))</f>
        <v/>
      </c>
      <c r="M2179" s="64" t="n">
        <f aca="false">IF($A2179="",0,IFERROR(MATCH($A2179,Classes!$A$6:$A$420,0),0))</f>
        <v>0</v>
      </c>
      <c r="N2179" s="64" t="n">
        <f aca="false">IF($H2179="",0,IFERROR(MATCH($H2179,GradeList,0),0))</f>
        <v>0</v>
      </c>
      <c r="O2179" s="64" t="n">
        <f aca="false">IF(OR($I2179="",$I2179="NR"),0,IFERROR(MATCH($I2179,GradeList,0),0))</f>
        <v>0</v>
      </c>
      <c r="P2179" s="64" t="n">
        <f aca="false">IF(AND($M2179&gt;0,ISNUMBER(MATCH($F2179,Lists!$A$2:$A$5,0)),ISNUMBER(MATCH($G2179,Lists!$B$2:$B$7,0)),OR($H2179="",$N2179&gt;0),OR($I2179="",$I2179="NR",$O2179&gt;0),IF(ISNUMBER($J2179),AND($J2179&gt;=0,$J2179=INT($J2179)),FALSE())),$J2179,0)</f>
        <v>0</v>
      </c>
      <c r="Q2179" s="64" t="n">
        <f aca="false">IF(AND($P2179&gt;0,$O2179&gt;0),$P2179,0)</f>
        <v>0</v>
      </c>
      <c r="R2179" s="64" t="n">
        <f aca="false">IF(AND($Q2179&gt;0,$O2179&gt;=AtRank),$Q2179,0)</f>
        <v>0</v>
      </c>
      <c r="S2179" s="64" t="n">
        <f aca="false">IF(AND($Q2179&gt;0,$O2179&gt;=AboveRank),$Q2179,0)</f>
        <v>0</v>
      </c>
      <c r="T2179" s="64" t="n">
        <f aca="false">IF($K2179="Less",$P2179,0)</f>
        <v>0</v>
      </c>
      <c r="U2179" s="64" t="n">
        <f aca="false">IF($K2179="Expected",$P2179,0)</f>
        <v>0</v>
      </c>
      <c r="V2179" s="64" t="n">
        <f aca="false">IF($K2179="Better",$P2179,0)</f>
        <v>0</v>
      </c>
      <c r="W2179" s="64" t="n">
        <f aca="false">IF($K2179="U – needs rule",$P2179,0)</f>
        <v>0</v>
      </c>
      <c r="X2179" s="64" t="n">
        <f aca="false">IF($K2179="No Start (attainment only)",$P2179,0)</f>
        <v>0</v>
      </c>
    </row>
    <row r="2180" customFormat="false" ht="15" hidden="false" customHeight="false" outlineLevel="0" collapsed="false">
      <c r="A2180" s="60"/>
      <c r="B2180" s="61" t="str">
        <f aca="false">IF($M2180=0,"",INDEX(Classes!$E$6:$E$420,$M2180))</f>
        <v/>
      </c>
      <c r="C2180" s="62" t="str">
        <f aca="false">IF($M2180=0,"",INDEX(Classes!$H$6:$H$420,$M2180))</f>
        <v/>
      </c>
      <c r="D2180" s="61" t="str">
        <f aca="false">IF($M2180=0,"",INDEX(Classes!$B$6:$B$420,$M2180))</f>
        <v/>
      </c>
      <c r="E2180" s="61" t="str">
        <f aca="false">IF($M2180=0,"",INDEX(Classes!$C$6:$C$420,$M2180))</f>
        <v/>
      </c>
      <c r="F2180" s="63"/>
      <c r="G2180" s="63"/>
      <c r="H2180" s="60"/>
      <c r="I2180" s="60"/>
      <c r="J2180" s="63"/>
      <c r="K2180" s="61" t="str">
        <f aca="false">IF($P2180=0,"",IF($F2180="Baseline","— Baseline",IF($O2180=0,"No result",IF($N2180=0,"No Start (attainment only)",IF(OR($N2180=1,$O2180=1),"U – needs rule",INDEX(MxBody,MATCH($I2180,MxCurr,0),MATCH($H2180,MxStart,0)))))))</f>
        <v/>
      </c>
      <c r="L2180" s="62" t="str">
        <f aca="false">IF(COUNTA($A2180,$F2180,$G2180,$H2180,$I2180,$J2180)=0,"",IF($M2180=0,"✖ كود الصف غير موجود",IF(ISNA(MATCH($F2180,Lists!$A$2:$A$5,0)),"✖ الفترة غير صحيحة",IF(ISNA(MATCH($G2180,Lists!$B$2:$B$7,0)),"✖ المجموعة غير صحيحة",IF(NOT(OR($H2180="",$N2180&gt;0)),"✖ Start غير صحيح",IF(NOT(OR($I2180="",$I2180="NR",$O2180&gt;0)),"✖ Current غير صحيح",IF(NOT(IF(ISNUMBER($J2180),AND($J2180&gt;=0,$J2180=INT($J2180)),FALSE())),"✖ العدد يجب أن يكون صحيحًا ≥ 0",IF(AND($F2180="Baseline",$H2180&lt;&gt;""),"⚠ Baseline: Start لا يدخل في التقدم",IF($K2180="No Start (attainment only)","ℹ تحصيل فقط (بدون Start)",IF($K2180="U – needs rule","ℹ حالة U تحتاج قاعدة معتمدة",IF($K2180="No result","ℹ بدون نتيجة (يُستبعد من التحصيل)","OK")))))))))))</f>
        <v/>
      </c>
      <c r="M2180" s="64" t="n">
        <f aca="false">IF($A2180="",0,IFERROR(MATCH($A2180,Classes!$A$6:$A$420,0),0))</f>
        <v>0</v>
      </c>
      <c r="N2180" s="64" t="n">
        <f aca="false">IF($H2180="",0,IFERROR(MATCH($H2180,GradeList,0),0))</f>
        <v>0</v>
      </c>
      <c r="O2180" s="64" t="n">
        <f aca="false">IF(OR($I2180="",$I2180="NR"),0,IFERROR(MATCH($I2180,GradeList,0),0))</f>
        <v>0</v>
      </c>
      <c r="P2180" s="64" t="n">
        <f aca="false">IF(AND($M2180&gt;0,ISNUMBER(MATCH($F2180,Lists!$A$2:$A$5,0)),ISNUMBER(MATCH($G2180,Lists!$B$2:$B$7,0)),OR($H2180="",$N2180&gt;0),OR($I2180="",$I2180="NR",$O2180&gt;0),IF(ISNUMBER($J2180),AND($J2180&gt;=0,$J2180=INT($J2180)),FALSE())),$J2180,0)</f>
        <v>0</v>
      </c>
      <c r="Q2180" s="64" t="n">
        <f aca="false">IF(AND($P2180&gt;0,$O2180&gt;0),$P2180,0)</f>
        <v>0</v>
      </c>
      <c r="R2180" s="64" t="n">
        <f aca="false">IF(AND($Q2180&gt;0,$O2180&gt;=AtRank),$Q2180,0)</f>
        <v>0</v>
      </c>
      <c r="S2180" s="64" t="n">
        <f aca="false">IF(AND($Q2180&gt;0,$O2180&gt;=AboveRank),$Q2180,0)</f>
        <v>0</v>
      </c>
      <c r="T2180" s="64" t="n">
        <f aca="false">IF($K2180="Less",$P2180,0)</f>
        <v>0</v>
      </c>
      <c r="U2180" s="64" t="n">
        <f aca="false">IF($K2180="Expected",$P2180,0)</f>
        <v>0</v>
      </c>
      <c r="V2180" s="64" t="n">
        <f aca="false">IF($K2180="Better",$P2180,0)</f>
        <v>0</v>
      </c>
      <c r="W2180" s="64" t="n">
        <f aca="false">IF($K2180="U – needs rule",$P2180,0)</f>
        <v>0</v>
      </c>
      <c r="X2180" s="64" t="n">
        <f aca="false">IF($K2180="No Start (attainment only)",$P2180,0)</f>
        <v>0</v>
      </c>
    </row>
    <row r="2181" customFormat="false" ht="15" hidden="false" customHeight="false" outlineLevel="0" collapsed="false">
      <c r="A2181" s="60"/>
      <c r="B2181" s="61" t="str">
        <f aca="false">IF($M2181=0,"",INDEX(Classes!$E$6:$E$420,$M2181))</f>
        <v/>
      </c>
      <c r="C2181" s="62" t="str">
        <f aca="false">IF($M2181=0,"",INDEX(Classes!$H$6:$H$420,$M2181))</f>
        <v/>
      </c>
      <c r="D2181" s="61" t="str">
        <f aca="false">IF($M2181=0,"",INDEX(Classes!$B$6:$B$420,$M2181))</f>
        <v/>
      </c>
      <c r="E2181" s="61" t="str">
        <f aca="false">IF($M2181=0,"",INDEX(Classes!$C$6:$C$420,$M2181))</f>
        <v/>
      </c>
      <c r="F2181" s="63"/>
      <c r="G2181" s="63"/>
      <c r="H2181" s="60"/>
      <c r="I2181" s="60"/>
      <c r="J2181" s="63"/>
      <c r="K2181" s="61" t="str">
        <f aca="false">IF($P2181=0,"",IF($F2181="Baseline","— Baseline",IF($O2181=0,"No result",IF($N2181=0,"No Start (attainment only)",IF(OR($N2181=1,$O2181=1),"U – needs rule",INDEX(MxBody,MATCH($I2181,MxCurr,0),MATCH($H2181,MxStart,0)))))))</f>
        <v/>
      </c>
      <c r="L2181" s="62" t="str">
        <f aca="false">IF(COUNTA($A2181,$F2181,$G2181,$H2181,$I2181,$J2181)=0,"",IF($M2181=0,"✖ كود الصف غير موجود",IF(ISNA(MATCH($F2181,Lists!$A$2:$A$5,0)),"✖ الفترة غير صحيحة",IF(ISNA(MATCH($G2181,Lists!$B$2:$B$7,0)),"✖ المجموعة غير صحيحة",IF(NOT(OR($H2181="",$N2181&gt;0)),"✖ Start غير صحيح",IF(NOT(OR($I2181="",$I2181="NR",$O2181&gt;0)),"✖ Current غير صحيح",IF(NOT(IF(ISNUMBER($J2181),AND($J2181&gt;=0,$J2181=INT($J2181)),FALSE())),"✖ العدد يجب أن يكون صحيحًا ≥ 0",IF(AND($F2181="Baseline",$H2181&lt;&gt;""),"⚠ Baseline: Start لا يدخل في التقدم",IF($K2181="No Start (attainment only)","ℹ تحصيل فقط (بدون Start)",IF($K2181="U – needs rule","ℹ حالة U تحتاج قاعدة معتمدة",IF($K2181="No result","ℹ بدون نتيجة (يُستبعد من التحصيل)","OK")))))))))))</f>
        <v/>
      </c>
      <c r="M2181" s="64" t="n">
        <f aca="false">IF($A2181="",0,IFERROR(MATCH($A2181,Classes!$A$6:$A$420,0),0))</f>
        <v>0</v>
      </c>
      <c r="N2181" s="64" t="n">
        <f aca="false">IF($H2181="",0,IFERROR(MATCH($H2181,GradeList,0),0))</f>
        <v>0</v>
      </c>
      <c r="O2181" s="64" t="n">
        <f aca="false">IF(OR($I2181="",$I2181="NR"),0,IFERROR(MATCH($I2181,GradeList,0),0))</f>
        <v>0</v>
      </c>
      <c r="P2181" s="64" t="n">
        <f aca="false">IF(AND($M2181&gt;0,ISNUMBER(MATCH($F2181,Lists!$A$2:$A$5,0)),ISNUMBER(MATCH($G2181,Lists!$B$2:$B$7,0)),OR($H2181="",$N2181&gt;0),OR($I2181="",$I2181="NR",$O2181&gt;0),IF(ISNUMBER($J2181),AND($J2181&gt;=0,$J2181=INT($J2181)),FALSE())),$J2181,0)</f>
        <v>0</v>
      </c>
      <c r="Q2181" s="64" t="n">
        <f aca="false">IF(AND($P2181&gt;0,$O2181&gt;0),$P2181,0)</f>
        <v>0</v>
      </c>
      <c r="R2181" s="64" t="n">
        <f aca="false">IF(AND($Q2181&gt;0,$O2181&gt;=AtRank),$Q2181,0)</f>
        <v>0</v>
      </c>
      <c r="S2181" s="64" t="n">
        <f aca="false">IF(AND($Q2181&gt;0,$O2181&gt;=AboveRank),$Q2181,0)</f>
        <v>0</v>
      </c>
      <c r="T2181" s="64" t="n">
        <f aca="false">IF($K2181="Less",$P2181,0)</f>
        <v>0</v>
      </c>
      <c r="U2181" s="64" t="n">
        <f aca="false">IF($K2181="Expected",$P2181,0)</f>
        <v>0</v>
      </c>
      <c r="V2181" s="64" t="n">
        <f aca="false">IF($K2181="Better",$P2181,0)</f>
        <v>0</v>
      </c>
      <c r="W2181" s="64" t="n">
        <f aca="false">IF($K2181="U – needs rule",$P2181,0)</f>
        <v>0</v>
      </c>
      <c r="X2181" s="64" t="n">
        <f aca="false">IF($K2181="No Start (attainment only)",$P2181,0)</f>
        <v>0</v>
      </c>
    </row>
    <row r="2182" customFormat="false" ht="15" hidden="false" customHeight="false" outlineLevel="0" collapsed="false">
      <c r="A2182" s="60"/>
      <c r="B2182" s="61" t="str">
        <f aca="false">IF($M2182=0,"",INDEX(Classes!$E$6:$E$420,$M2182))</f>
        <v/>
      </c>
      <c r="C2182" s="62" t="str">
        <f aca="false">IF($M2182=0,"",INDEX(Classes!$H$6:$H$420,$M2182))</f>
        <v/>
      </c>
      <c r="D2182" s="61" t="str">
        <f aca="false">IF($M2182=0,"",INDEX(Classes!$B$6:$B$420,$M2182))</f>
        <v/>
      </c>
      <c r="E2182" s="61" t="str">
        <f aca="false">IF($M2182=0,"",INDEX(Classes!$C$6:$C$420,$M2182))</f>
        <v/>
      </c>
      <c r="F2182" s="63"/>
      <c r="G2182" s="63"/>
      <c r="H2182" s="60"/>
      <c r="I2182" s="60"/>
      <c r="J2182" s="63"/>
      <c r="K2182" s="61" t="str">
        <f aca="false">IF($P2182=0,"",IF($F2182="Baseline","— Baseline",IF($O2182=0,"No result",IF($N2182=0,"No Start (attainment only)",IF(OR($N2182=1,$O2182=1),"U – needs rule",INDEX(MxBody,MATCH($I2182,MxCurr,0),MATCH($H2182,MxStart,0)))))))</f>
        <v/>
      </c>
      <c r="L2182" s="62" t="str">
        <f aca="false">IF(COUNTA($A2182,$F2182,$G2182,$H2182,$I2182,$J2182)=0,"",IF($M2182=0,"✖ كود الصف غير موجود",IF(ISNA(MATCH($F2182,Lists!$A$2:$A$5,0)),"✖ الفترة غير صحيحة",IF(ISNA(MATCH($G2182,Lists!$B$2:$B$7,0)),"✖ المجموعة غير صحيحة",IF(NOT(OR($H2182="",$N2182&gt;0)),"✖ Start غير صحيح",IF(NOT(OR($I2182="",$I2182="NR",$O2182&gt;0)),"✖ Current غير صحيح",IF(NOT(IF(ISNUMBER($J2182),AND($J2182&gt;=0,$J2182=INT($J2182)),FALSE())),"✖ العدد يجب أن يكون صحيحًا ≥ 0",IF(AND($F2182="Baseline",$H2182&lt;&gt;""),"⚠ Baseline: Start لا يدخل في التقدم",IF($K2182="No Start (attainment only)","ℹ تحصيل فقط (بدون Start)",IF($K2182="U – needs rule","ℹ حالة U تحتاج قاعدة معتمدة",IF($K2182="No result","ℹ بدون نتيجة (يُستبعد من التحصيل)","OK")))))))))))</f>
        <v/>
      </c>
      <c r="M2182" s="64" t="n">
        <f aca="false">IF($A2182="",0,IFERROR(MATCH($A2182,Classes!$A$6:$A$420,0),0))</f>
        <v>0</v>
      </c>
      <c r="N2182" s="64" t="n">
        <f aca="false">IF($H2182="",0,IFERROR(MATCH($H2182,GradeList,0),0))</f>
        <v>0</v>
      </c>
      <c r="O2182" s="64" t="n">
        <f aca="false">IF(OR($I2182="",$I2182="NR"),0,IFERROR(MATCH($I2182,GradeList,0),0))</f>
        <v>0</v>
      </c>
      <c r="P2182" s="64" t="n">
        <f aca="false">IF(AND($M2182&gt;0,ISNUMBER(MATCH($F2182,Lists!$A$2:$A$5,0)),ISNUMBER(MATCH($G2182,Lists!$B$2:$B$7,0)),OR($H2182="",$N2182&gt;0),OR($I2182="",$I2182="NR",$O2182&gt;0),IF(ISNUMBER($J2182),AND($J2182&gt;=0,$J2182=INT($J2182)),FALSE())),$J2182,0)</f>
        <v>0</v>
      </c>
      <c r="Q2182" s="64" t="n">
        <f aca="false">IF(AND($P2182&gt;0,$O2182&gt;0),$P2182,0)</f>
        <v>0</v>
      </c>
      <c r="R2182" s="64" t="n">
        <f aca="false">IF(AND($Q2182&gt;0,$O2182&gt;=AtRank),$Q2182,0)</f>
        <v>0</v>
      </c>
      <c r="S2182" s="64" t="n">
        <f aca="false">IF(AND($Q2182&gt;0,$O2182&gt;=AboveRank),$Q2182,0)</f>
        <v>0</v>
      </c>
      <c r="T2182" s="64" t="n">
        <f aca="false">IF($K2182="Less",$P2182,0)</f>
        <v>0</v>
      </c>
      <c r="U2182" s="64" t="n">
        <f aca="false">IF($K2182="Expected",$P2182,0)</f>
        <v>0</v>
      </c>
      <c r="V2182" s="64" t="n">
        <f aca="false">IF($K2182="Better",$P2182,0)</f>
        <v>0</v>
      </c>
      <c r="W2182" s="64" t="n">
        <f aca="false">IF($K2182="U – needs rule",$P2182,0)</f>
        <v>0</v>
      </c>
      <c r="X2182" s="64" t="n">
        <f aca="false">IF($K2182="No Start (attainment only)",$P2182,0)</f>
        <v>0</v>
      </c>
    </row>
    <row r="2183" customFormat="false" ht="15" hidden="false" customHeight="false" outlineLevel="0" collapsed="false">
      <c r="A2183" s="60"/>
      <c r="B2183" s="61" t="str">
        <f aca="false">IF($M2183=0,"",INDEX(Classes!$E$6:$E$420,$M2183))</f>
        <v/>
      </c>
      <c r="C2183" s="62" t="str">
        <f aca="false">IF($M2183=0,"",INDEX(Classes!$H$6:$H$420,$M2183))</f>
        <v/>
      </c>
      <c r="D2183" s="61" t="str">
        <f aca="false">IF($M2183=0,"",INDEX(Classes!$B$6:$B$420,$M2183))</f>
        <v/>
      </c>
      <c r="E2183" s="61" t="str">
        <f aca="false">IF($M2183=0,"",INDEX(Classes!$C$6:$C$420,$M2183))</f>
        <v/>
      </c>
      <c r="F2183" s="63"/>
      <c r="G2183" s="63"/>
      <c r="H2183" s="60"/>
      <c r="I2183" s="60"/>
      <c r="J2183" s="63"/>
      <c r="K2183" s="61" t="str">
        <f aca="false">IF($P2183=0,"",IF($F2183="Baseline","— Baseline",IF($O2183=0,"No result",IF($N2183=0,"No Start (attainment only)",IF(OR($N2183=1,$O2183=1),"U – needs rule",INDEX(MxBody,MATCH($I2183,MxCurr,0),MATCH($H2183,MxStart,0)))))))</f>
        <v/>
      </c>
      <c r="L2183" s="62" t="str">
        <f aca="false">IF(COUNTA($A2183,$F2183,$G2183,$H2183,$I2183,$J2183)=0,"",IF($M2183=0,"✖ كود الصف غير موجود",IF(ISNA(MATCH($F2183,Lists!$A$2:$A$5,0)),"✖ الفترة غير صحيحة",IF(ISNA(MATCH($G2183,Lists!$B$2:$B$7,0)),"✖ المجموعة غير صحيحة",IF(NOT(OR($H2183="",$N2183&gt;0)),"✖ Start غير صحيح",IF(NOT(OR($I2183="",$I2183="NR",$O2183&gt;0)),"✖ Current غير صحيح",IF(NOT(IF(ISNUMBER($J2183),AND($J2183&gt;=0,$J2183=INT($J2183)),FALSE())),"✖ العدد يجب أن يكون صحيحًا ≥ 0",IF(AND($F2183="Baseline",$H2183&lt;&gt;""),"⚠ Baseline: Start لا يدخل في التقدم",IF($K2183="No Start (attainment only)","ℹ تحصيل فقط (بدون Start)",IF($K2183="U – needs rule","ℹ حالة U تحتاج قاعدة معتمدة",IF($K2183="No result","ℹ بدون نتيجة (يُستبعد من التحصيل)","OK")))))))))))</f>
        <v/>
      </c>
      <c r="M2183" s="64" t="n">
        <f aca="false">IF($A2183="",0,IFERROR(MATCH($A2183,Classes!$A$6:$A$420,0),0))</f>
        <v>0</v>
      </c>
      <c r="N2183" s="64" t="n">
        <f aca="false">IF($H2183="",0,IFERROR(MATCH($H2183,GradeList,0),0))</f>
        <v>0</v>
      </c>
      <c r="O2183" s="64" t="n">
        <f aca="false">IF(OR($I2183="",$I2183="NR"),0,IFERROR(MATCH($I2183,GradeList,0),0))</f>
        <v>0</v>
      </c>
      <c r="P2183" s="64" t="n">
        <f aca="false">IF(AND($M2183&gt;0,ISNUMBER(MATCH($F2183,Lists!$A$2:$A$5,0)),ISNUMBER(MATCH($G2183,Lists!$B$2:$B$7,0)),OR($H2183="",$N2183&gt;0),OR($I2183="",$I2183="NR",$O2183&gt;0),IF(ISNUMBER($J2183),AND($J2183&gt;=0,$J2183=INT($J2183)),FALSE())),$J2183,0)</f>
        <v>0</v>
      </c>
      <c r="Q2183" s="64" t="n">
        <f aca="false">IF(AND($P2183&gt;0,$O2183&gt;0),$P2183,0)</f>
        <v>0</v>
      </c>
      <c r="R2183" s="64" t="n">
        <f aca="false">IF(AND($Q2183&gt;0,$O2183&gt;=AtRank),$Q2183,0)</f>
        <v>0</v>
      </c>
      <c r="S2183" s="64" t="n">
        <f aca="false">IF(AND($Q2183&gt;0,$O2183&gt;=AboveRank),$Q2183,0)</f>
        <v>0</v>
      </c>
      <c r="T2183" s="64" t="n">
        <f aca="false">IF($K2183="Less",$P2183,0)</f>
        <v>0</v>
      </c>
      <c r="U2183" s="64" t="n">
        <f aca="false">IF($K2183="Expected",$P2183,0)</f>
        <v>0</v>
      </c>
      <c r="V2183" s="64" t="n">
        <f aca="false">IF($K2183="Better",$P2183,0)</f>
        <v>0</v>
      </c>
      <c r="W2183" s="64" t="n">
        <f aca="false">IF($K2183="U – needs rule",$P2183,0)</f>
        <v>0</v>
      </c>
      <c r="X2183" s="64" t="n">
        <f aca="false">IF($K2183="No Start (attainment only)",$P2183,0)</f>
        <v>0</v>
      </c>
    </row>
    <row r="2184" customFormat="false" ht="15" hidden="false" customHeight="false" outlineLevel="0" collapsed="false">
      <c r="A2184" s="60"/>
      <c r="B2184" s="61" t="str">
        <f aca="false">IF($M2184=0,"",INDEX(Classes!$E$6:$E$420,$M2184))</f>
        <v/>
      </c>
      <c r="C2184" s="62" t="str">
        <f aca="false">IF($M2184=0,"",INDEX(Classes!$H$6:$H$420,$M2184))</f>
        <v/>
      </c>
      <c r="D2184" s="61" t="str">
        <f aca="false">IF($M2184=0,"",INDEX(Classes!$B$6:$B$420,$M2184))</f>
        <v/>
      </c>
      <c r="E2184" s="61" t="str">
        <f aca="false">IF($M2184=0,"",INDEX(Classes!$C$6:$C$420,$M2184))</f>
        <v/>
      </c>
      <c r="F2184" s="63"/>
      <c r="G2184" s="63"/>
      <c r="H2184" s="60"/>
      <c r="I2184" s="60"/>
      <c r="J2184" s="63"/>
      <c r="K2184" s="61" t="str">
        <f aca="false">IF($P2184=0,"",IF($F2184="Baseline","— Baseline",IF($O2184=0,"No result",IF($N2184=0,"No Start (attainment only)",IF(OR($N2184=1,$O2184=1),"U – needs rule",INDEX(MxBody,MATCH($I2184,MxCurr,0),MATCH($H2184,MxStart,0)))))))</f>
        <v/>
      </c>
      <c r="L2184" s="62" t="str">
        <f aca="false">IF(COUNTA($A2184,$F2184,$G2184,$H2184,$I2184,$J2184)=0,"",IF($M2184=0,"✖ كود الصف غير موجود",IF(ISNA(MATCH($F2184,Lists!$A$2:$A$5,0)),"✖ الفترة غير صحيحة",IF(ISNA(MATCH($G2184,Lists!$B$2:$B$7,0)),"✖ المجموعة غير صحيحة",IF(NOT(OR($H2184="",$N2184&gt;0)),"✖ Start غير صحيح",IF(NOT(OR($I2184="",$I2184="NR",$O2184&gt;0)),"✖ Current غير صحيح",IF(NOT(IF(ISNUMBER($J2184),AND($J2184&gt;=0,$J2184=INT($J2184)),FALSE())),"✖ العدد يجب أن يكون صحيحًا ≥ 0",IF(AND($F2184="Baseline",$H2184&lt;&gt;""),"⚠ Baseline: Start لا يدخل في التقدم",IF($K2184="No Start (attainment only)","ℹ تحصيل فقط (بدون Start)",IF($K2184="U – needs rule","ℹ حالة U تحتاج قاعدة معتمدة",IF($K2184="No result","ℹ بدون نتيجة (يُستبعد من التحصيل)","OK")))))))))))</f>
        <v/>
      </c>
      <c r="M2184" s="64" t="n">
        <f aca="false">IF($A2184="",0,IFERROR(MATCH($A2184,Classes!$A$6:$A$420,0),0))</f>
        <v>0</v>
      </c>
      <c r="N2184" s="64" t="n">
        <f aca="false">IF($H2184="",0,IFERROR(MATCH($H2184,GradeList,0),0))</f>
        <v>0</v>
      </c>
      <c r="O2184" s="64" t="n">
        <f aca="false">IF(OR($I2184="",$I2184="NR"),0,IFERROR(MATCH($I2184,GradeList,0),0))</f>
        <v>0</v>
      </c>
      <c r="P2184" s="64" t="n">
        <f aca="false">IF(AND($M2184&gt;0,ISNUMBER(MATCH($F2184,Lists!$A$2:$A$5,0)),ISNUMBER(MATCH($G2184,Lists!$B$2:$B$7,0)),OR($H2184="",$N2184&gt;0),OR($I2184="",$I2184="NR",$O2184&gt;0),IF(ISNUMBER($J2184),AND($J2184&gt;=0,$J2184=INT($J2184)),FALSE())),$J2184,0)</f>
        <v>0</v>
      </c>
      <c r="Q2184" s="64" t="n">
        <f aca="false">IF(AND($P2184&gt;0,$O2184&gt;0),$P2184,0)</f>
        <v>0</v>
      </c>
      <c r="R2184" s="64" t="n">
        <f aca="false">IF(AND($Q2184&gt;0,$O2184&gt;=AtRank),$Q2184,0)</f>
        <v>0</v>
      </c>
      <c r="S2184" s="64" t="n">
        <f aca="false">IF(AND($Q2184&gt;0,$O2184&gt;=AboveRank),$Q2184,0)</f>
        <v>0</v>
      </c>
      <c r="T2184" s="64" t="n">
        <f aca="false">IF($K2184="Less",$P2184,0)</f>
        <v>0</v>
      </c>
      <c r="U2184" s="64" t="n">
        <f aca="false">IF($K2184="Expected",$P2184,0)</f>
        <v>0</v>
      </c>
      <c r="V2184" s="64" t="n">
        <f aca="false">IF($K2184="Better",$P2184,0)</f>
        <v>0</v>
      </c>
      <c r="W2184" s="64" t="n">
        <f aca="false">IF($K2184="U – needs rule",$P2184,0)</f>
        <v>0</v>
      </c>
      <c r="X2184" s="64" t="n">
        <f aca="false">IF($K2184="No Start (attainment only)",$P2184,0)</f>
        <v>0</v>
      </c>
    </row>
    <row r="2185" customFormat="false" ht="15" hidden="false" customHeight="false" outlineLevel="0" collapsed="false">
      <c r="A2185" s="60"/>
      <c r="B2185" s="61" t="str">
        <f aca="false">IF($M2185=0,"",INDEX(Classes!$E$6:$E$420,$M2185))</f>
        <v/>
      </c>
      <c r="C2185" s="62" t="str">
        <f aca="false">IF($M2185=0,"",INDEX(Classes!$H$6:$H$420,$M2185))</f>
        <v/>
      </c>
      <c r="D2185" s="61" t="str">
        <f aca="false">IF($M2185=0,"",INDEX(Classes!$B$6:$B$420,$M2185))</f>
        <v/>
      </c>
      <c r="E2185" s="61" t="str">
        <f aca="false">IF($M2185=0,"",INDEX(Classes!$C$6:$C$420,$M2185))</f>
        <v/>
      </c>
      <c r="F2185" s="63"/>
      <c r="G2185" s="63"/>
      <c r="H2185" s="60"/>
      <c r="I2185" s="60"/>
      <c r="J2185" s="63"/>
      <c r="K2185" s="61" t="str">
        <f aca="false">IF($P2185=0,"",IF($F2185="Baseline","— Baseline",IF($O2185=0,"No result",IF($N2185=0,"No Start (attainment only)",IF(OR($N2185=1,$O2185=1),"U – needs rule",INDEX(MxBody,MATCH($I2185,MxCurr,0),MATCH($H2185,MxStart,0)))))))</f>
        <v/>
      </c>
      <c r="L2185" s="62" t="str">
        <f aca="false">IF(COUNTA($A2185,$F2185,$G2185,$H2185,$I2185,$J2185)=0,"",IF($M2185=0,"✖ كود الصف غير موجود",IF(ISNA(MATCH($F2185,Lists!$A$2:$A$5,0)),"✖ الفترة غير صحيحة",IF(ISNA(MATCH($G2185,Lists!$B$2:$B$7,0)),"✖ المجموعة غير صحيحة",IF(NOT(OR($H2185="",$N2185&gt;0)),"✖ Start غير صحيح",IF(NOT(OR($I2185="",$I2185="NR",$O2185&gt;0)),"✖ Current غير صحيح",IF(NOT(IF(ISNUMBER($J2185),AND($J2185&gt;=0,$J2185=INT($J2185)),FALSE())),"✖ العدد يجب أن يكون صحيحًا ≥ 0",IF(AND($F2185="Baseline",$H2185&lt;&gt;""),"⚠ Baseline: Start لا يدخل في التقدم",IF($K2185="No Start (attainment only)","ℹ تحصيل فقط (بدون Start)",IF($K2185="U – needs rule","ℹ حالة U تحتاج قاعدة معتمدة",IF($K2185="No result","ℹ بدون نتيجة (يُستبعد من التحصيل)","OK")))))))))))</f>
        <v/>
      </c>
      <c r="M2185" s="64" t="n">
        <f aca="false">IF($A2185="",0,IFERROR(MATCH($A2185,Classes!$A$6:$A$420,0),0))</f>
        <v>0</v>
      </c>
      <c r="N2185" s="64" t="n">
        <f aca="false">IF($H2185="",0,IFERROR(MATCH($H2185,GradeList,0),0))</f>
        <v>0</v>
      </c>
      <c r="O2185" s="64" t="n">
        <f aca="false">IF(OR($I2185="",$I2185="NR"),0,IFERROR(MATCH($I2185,GradeList,0),0))</f>
        <v>0</v>
      </c>
      <c r="P2185" s="64" t="n">
        <f aca="false">IF(AND($M2185&gt;0,ISNUMBER(MATCH($F2185,Lists!$A$2:$A$5,0)),ISNUMBER(MATCH($G2185,Lists!$B$2:$B$7,0)),OR($H2185="",$N2185&gt;0),OR($I2185="",$I2185="NR",$O2185&gt;0),IF(ISNUMBER($J2185),AND($J2185&gt;=0,$J2185=INT($J2185)),FALSE())),$J2185,0)</f>
        <v>0</v>
      </c>
      <c r="Q2185" s="64" t="n">
        <f aca="false">IF(AND($P2185&gt;0,$O2185&gt;0),$P2185,0)</f>
        <v>0</v>
      </c>
      <c r="R2185" s="64" t="n">
        <f aca="false">IF(AND($Q2185&gt;0,$O2185&gt;=AtRank),$Q2185,0)</f>
        <v>0</v>
      </c>
      <c r="S2185" s="64" t="n">
        <f aca="false">IF(AND($Q2185&gt;0,$O2185&gt;=AboveRank),$Q2185,0)</f>
        <v>0</v>
      </c>
      <c r="T2185" s="64" t="n">
        <f aca="false">IF($K2185="Less",$P2185,0)</f>
        <v>0</v>
      </c>
      <c r="U2185" s="64" t="n">
        <f aca="false">IF($K2185="Expected",$P2185,0)</f>
        <v>0</v>
      </c>
      <c r="V2185" s="64" t="n">
        <f aca="false">IF($K2185="Better",$P2185,0)</f>
        <v>0</v>
      </c>
      <c r="W2185" s="64" t="n">
        <f aca="false">IF($K2185="U – needs rule",$P2185,0)</f>
        <v>0</v>
      </c>
      <c r="X2185" s="64" t="n">
        <f aca="false">IF($K2185="No Start (attainment only)",$P2185,0)</f>
        <v>0</v>
      </c>
    </row>
    <row r="2186" customFormat="false" ht="15" hidden="false" customHeight="false" outlineLevel="0" collapsed="false">
      <c r="A2186" s="60"/>
      <c r="B2186" s="61" t="str">
        <f aca="false">IF($M2186=0,"",INDEX(Classes!$E$6:$E$420,$M2186))</f>
        <v/>
      </c>
      <c r="C2186" s="62" t="str">
        <f aca="false">IF($M2186=0,"",INDEX(Classes!$H$6:$H$420,$M2186))</f>
        <v/>
      </c>
      <c r="D2186" s="61" t="str">
        <f aca="false">IF($M2186=0,"",INDEX(Classes!$B$6:$B$420,$M2186))</f>
        <v/>
      </c>
      <c r="E2186" s="61" t="str">
        <f aca="false">IF($M2186=0,"",INDEX(Classes!$C$6:$C$420,$M2186))</f>
        <v/>
      </c>
      <c r="F2186" s="63"/>
      <c r="G2186" s="63"/>
      <c r="H2186" s="60"/>
      <c r="I2186" s="60"/>
      <c r="J2186" s="63"/>
      <c r="K2186" s="61" t="str">
        <f aca="false">IF($P2186=0,"",IF($F2186="Baseline","— Baseline",IF($O2186=0,"No result",IF($N2186=0,"No Start (attainment only)",IF(OR($N2186=1,$O2186=1),"U – needs rule",INDEX(MxBody,MATCH($I2186,MxCurr,0),MATCH($H2186,MxStart,0)))))))</f>
        <v/>
      </c>
      <c r="L2186" s="62" t="str">
        <f aca="false">IF(COUNTA($A2186,$F2186,$G2186,$H2186,$I2186,$J2186)=0,"",IF($M2186=0,"✖ كود الصف غير موجود",IF(ISNA(MATCH($F2186,Lists!$A$2:$A$5,0)),"✖ الفترة غير صحيحة",IF(ISNA(MATCH($G2186,Lists!$B$2:$B$7,0)),"✖ المجموعة غير صحيحة",IF(NOT(OR($H2186="",$N2186&gt;0)),"✖ Start غير صحيح",IF(NOT(OR($I2186="",$I2186="NR",$O2186&gt;0)),"✖ Current غير صحيح",IF(NOT(IF(ISNUMBER($J2186),AND($J2186&gt;=0,$J2186=INT($J2186)),FALSE())),"✖ العدد يجب أن يكون صحيحًا ≥ 0",IF(AND($F2186="Baseline",$H2186&lt;&gt;""),"⚠ Baseline: Start لا يدخل في التقدم",IF($K2186="No Start (attainment only)","ℹ تحصيل فقط (بدون Start)",IF($K2186="U – needs rule","ℹ حالة U تحتاج قاعدة معتمدة",IF($K2186="No result","ℹ بدون نتيجة (يُستبعد من التحصيل)","OK")))))))))))</f>
        <v/>
      </c>
      <c r="M2186" s="64" t="n">
        <f aca="false">IF($A2186="",0,IFERROR(MATCH($A2186,Classes!$A$6:$A$420,0),0))</f>
        <v>0</v>
      </c>
      <c r="N2186" s="64" t="n">
        <f aca="false">IF($H2186="",0,IFERROR(MATCH($H2186,GradeList,0),0))</f>
        <v>0</v>
      </c>
      <c r="O2186" s="64" t="n">
        <f aca="false">IF(OR($I2186="",$I2186="NR"),0,IFERROR(MATCH($I2186,GradeList,0),0))</f>
        <v>0</v>
      </c>
      <c r="P2186" s="64" t="n">
        <f aca="false">IF(AND($M2186&gt;0,ISNUMBER(MATCH($F2186,Lists!$A$2:$A$5,0)),ISNUMBER(MATCH($G2186,Lists!$B$2:$B$7,0)),OR($H2186="",$N2186&gt;0),OR($I2186="",$I2186="NR",$O2186&gt;0),IF(ISNUMBER($J2186),AND($J2186&gt;=0,$J2186=INT($J2186)),FALSE())),$J2186,0)</f>
        <v>0</v>
      </c>
      <c r="Q2186" s="64" t="n">
        <f aca="false">IF(AND($P2186&gt;0,$O2186&gt;0),$P2186,0)</f>
        <v>0</v>
      </c>
      <c r="R2186" s="64" t="n">
        <f aca="false">IF(AND($Q2186&gt;0,$O2186&gt;=AtRank),$Q2186,0)</f>
        <v>0</v>
      </c>
      <c r="S2186" s="64" t="n">
        <f aca="false">IF(AND($Q2186&gt;0,$O2186&gt;=AboveRank),$Q2186,0)</f>
        <v>0</v>
      </c>
      <c r="T2186" s="64" t="n">
        <f aca="false">IF($K2186="Less",$P2186,0)</f>
        <v>0</v>
      </c>
      <c r="U2186" s="64" t="n">
        <f aca="false">IF($K2186="Expected",$P2186,0)</f>
        <v>0</v>
      </c>
      <c r="V2186" s="64" t="n">
        <f aca="false">IF($K2186="Better",$P2186,0)</f>
        <v>0</v>
      </c>
      <c r="W2186" s="64" t="n">
        <f aca="false">IF($K2186="U – needs rule",$P2186,0)</f>
        <v>0</v>
      </c>
      <c r="X2186" s="64" t="n">
        <f aca="false">IF($K2186="No Start (attainment only)",$P2186,0)</f>
        <v>0</v>
      </c>
    </row>
    <row r="2187" customFormat="false" ht="15" hidden="false" customHeight="false" outlineLevel="0" collapsed="false">
      <c r="A2187" s="60"/>
      <c r="B2187" s="61" t="str">
        <f aca="false">IF($M2187=0,"",INDEX(Classes!$E$6:$E$420,$M2187))</f>
        <v/>
      </c>
      <c r="C2187" s="62" t="str">
        <f aca="false">IF($M2187=0,"",INDEX(Classes!$H$6:$H$420,$M2187))</f>
        <v/>
      </c>
      <c r="D2187" s="61" t="str">
        <f aca="false">IF($M2187=0,"",INDEX(Classes!$B$6:$B$420,$M2187))</f>
        <v/>
      </c>
      <c r="E2187" s="61" t="str">
        <f aca="false">IF($M2187=0,"",INDEX(Classes!$C$6:$C$420,$M2187))</f>
        <v/>
      </c>
      <c r="F2187" s="63"/>
      <c r="G2187" s="63"/>
      <c r="H2187" s="60"/>
      <c r="I2187" s="60"/>
      <c r="J2187" s="63"/>
      <c r="K2187" s="61" t="str">
        <f aca="false">IF($P2187=0,"",IF($F2187="Baseline","— Baseline",IF($O2187=0,"No result",IF($N2187=0,"No Start (attainment only)",IF(OR($N2187=1,$O2187=1),"U – needs rule",INDEX(MxBody,MATCH($I2187,MxCurr,0),MATCH($H2187,MxStart,0)))))))</f>
        <v/>
      </c>
      <c r="L2187" s="62" t="str">
        <f aca="false">IF(COUNTA($A2187,$F2187,$G2187,$H2187,$I2187,$J2187)=0,"",IF($M2187=0,"✖ كود الصف غير موجود",IF(ISNA(MATCH($F2187,Lists!$A$2:$A$5,0)),"✖ الفترة غير صحيحة",IF(ISNA(MATCH($G2187,Lists!$B$2:$B$7,0)),"✖ المجموعة غير صحيحة",IF(NOT(OR($H2187="",$N2187&gt;0)),"✖ Start غير صحيح",IF(NOT(OR($I2187="",$I2187="NR",$O2187&gt;0)),"✖ Current غير صحيح",IF(NOT(IF(ISNUMBER($J2187),AND($J2187&gt;=0,$J2187=INT($J2187)),FALSE())),"✖ العدد يجب أن يكون صحيحًا ≥ 0",IF(AND($F2187="Baseline",$H2187&lt;&gt;""),"⚠ Baseline: Start لا يدخل في التقدم",IF($K2187="No Start (attainment only)","ℹ تحصيل فقط (بدون Start)",IF($K2187="U – needs rule","ℹ حالة U تحتاج قاعدة معتمدة",IF($K2187="No result","ℹ بدون نتيجة (يُستبعد من التحصيل)","OK")))))))))))</f>
        <v/>
      </c>
      <c r="M2187" s="64" t="n">
        <f aca="false">IF($A2187="",0,IFERROR(MATCH($A2187,Classes!$A$6:$A$420,0),0))</f>
        <v>0</v>
      </c>
      <c r="N2187" s="64" t="n">
        <f aca="false">IF($H2187="",0,IFERROR(MATCH($H2187,GradeList,0),0))</f>
        <v>0</v>
      </c>
      <c r="O2187" s="64" t="n">
        <f aca="false">IF(OR($I2187="",$I2187="NR"),0,IFERROR(MATCH($I2187,GradeList,0),0))</f>
        <v>0</v>
      </c>
      <c r="P2187" s="64" t="n">
        <f aca="false">IF(AND($M2187&gt;0,ISNUMBER(MATCH($F2187,Lists!$A$2:$A$5,0)),ISNUMBER(MATCH($G2187,Lists!$B$2:$B$7,0)),OR($H2187="",$N2187&gt;0),OR($I2187="",$I2187="NR",$O2187&gt;0),IF(ISNUMBER($J2187),AND($J2187&gt;=0,$J2187=INT($J2187)),FALSE())),$J2187,0)</f>
        <v>0</v>
      </c>
      <c r="Q2187" s="64" t="n">
        <f aca="false">IF(AND($P2187&gt;0,$O2187&gt;0),$P2187,0)</f>
        <v>0</v>
      </c>
      <c r="R2187" s="64" t="n">
        <f aca="false">IF(AND($Q2187&gt;0,$O2187&gt;=AtRank),$Q2187,0)</f>
        <v>0</v>
      </c>
      <c r="S2187" s="64" t="n">
        <f aca="false">IF(AND($Q2187&gt;0,$O2187&gt;=AboveRank),$Q2187,0)</f>
        <v>0</v>
      </c>
      <c r="T2187" s="64" t="n">
        <f aca="false">IF($K2187="Less",$P2187,0)</f>
        <v>0</v>
      </c>
      <c r="U2187" s="64" t="n">
        <f aca="false">IF($K2187="Expected",$P2187,0)</f>
        <v>0</v>
      </c>
      <c r="V2187" s="64" t="n">
        <f aca="false">IF($K2187="Better",$P2187,0)</f>
        <v>0</v>
      </c>
      <c r="W2187" s="64" t="n">
        <f aca="false">IF($K2187="U – needs rule",$P2187,0)</f>
        <v>0</v>
      </c>
      <c r="X2187" s="64" t="n">
        <f aca="false">IF($K2187="No Start (attainment only)",$P2187,0)</f>
        <v>0</v>
      </c>
    </row>
    <row r="2188" customFormat="false" ht="15" hidden="false" customHeight="false" outlineLevel="0" collapsed="false">
      <c r="A2188" s="60"/>
      <c r="B2188" s="61" t="str">
        <f aca="false">IF($M2188=0,"",INDEX(Classes!$E$6:$E$420,$M2188))</f>
        <v/>
      </c>
      <c r="C2188" s="62" t="str">
        <f aca="false">IF($M2188=0,"",INDEX(Classes!$H$6:$H$420,$M2188))</f>
        <v/>
      </c>
      <c r="D2188" s="61" t="str">
        <f aca="false">IF($M2188=0,"",INDEX(Classes!$B$6:$B$420,$M2188))</f>
        <v/>
      </c>
      <c r="E2188" s="61" t="str">
        <f aca="false">IF($M2188=0,"",INDEX(Classes!$C$6:$C$420,$M2188))</f>
        <v/>
      </c>
      <c r="F2188" s="63"/>
      <c r="G2188" s="63"/>
      <c r="H2188" s="60"/>
      <c r="I2188" s="60"/>
      <c r="J2188" s="63"/>
      <c r="K2188" s="61" t="str">
        <f aca="false">IF($P2188=0,"",IF($F2188="Baseline","— Baseline",IF($O2188=0,"No result",IF($N2188=0,"No Start (attainment only)",IF(OR($N2188=1,$O2188=1),"U – needs rule",INDEX(MxBody,MATCH($I2188,MxCurr,0),MATCH($H2188,MxStart,0)))))))</f>
        <v/>
      </c>
      <c r="L2188" s="62" t="str">
        <f aca="false">IF(COUNTA($A2188,$F2188,$G2188,$H2188,$I2188,$J2188)=0,"",IF($M2188=0,"✖ كود الصف غير موجود",IF(ISNA(MATCH($F2188,Lists!$A$2:$A$5,0)),"✖ الفترة غير صحيحة",IF(ISNA(MATCH($G2188,Lists!$B$2:$B$7,0)),"✖ المجموعة غير صحيحة",IF(NOT(OR($H2188="",$N2188&gt;0)),"✖ Start غير صحيح",IF(NOT(OR($I2188="",$I2188="NR",$O2188&gt;0)),"✖ Current غير صحيح",IF(NOT(IF(ISNUMBER($J2188),AND($J2188&gt;=0,$J2188=INT($J2188)),FALSE())),"✖ العدد يجب أن يكون صحيحًا ≥ 0",IF(AND($F2188="Baseline",$H2188&lt;&gt;""),"⚠ Baseline: Start لا يدخل في التقدم",IF($K2188="No Start (attainment only)","ℹ تحصيل فقط (بدون Start)",IF($K2188="U – needs rule","ℹ حالة U تحتاج قاعدة معتمدة",IF($K2188="No result","ℹ بدون نتيجة (يُستبعد من التحصيل)","OK")))))))))))</f>
        <v/>
      </c>
      <c r="M2188" s="64" t="n">
        <f aca="false">IF($A2188="",0,IFERROR(MATCH($A2188,Classes!$A$6:$A$420,0),0))</f>
        <v>0</v>
      </c>
      <c r="N2188" s="64" t="n">
        <f aca="false">IF($H2188="",0,IFERROR(MATCH($H2188,GradeList,0),0))</f>
        <v>0</v>
      </c>
      <c r="O2188" s="64" t="n">
        <f aca="false">IF(OR($I2188="",$I2188="NR"),0,IFERROR(MATCH($I2188,GradeList,0),0))</f>
        <v>0</v>
      </c>
      <c r="P2188" s="64" t="n">
        <f aca="false">IF(AND($M2188&gt;0,ISNUMBER(MATCH($F2188,Lists!$A$2:$A$5,0)),ISNUMBER(MATCH($G2188,Lists!$B$2:$B$7,0)),OR($H2188="",$N2188&gt;0),OR($I2188="",$I2188="NR",$O2188&gt;0),IF(ISNUMBER($J2188),AND($J2188&gt;=0,$J2188=INT($J2188)),FALSE())),$J2188,0)</f>
        <v>0</v>
      </c>
      <c r="Q2188" s="64" t="n">
        <f aca="false">IF(AND($P2188&gt;0,$O2188&gt;0),$P2188,0)</f>
        <v>0</v>
      </c>
      <c r="R2188" s="64" t="n">
        <f aca="false">IF(AND($Q2188&gt;0,$O2188&gt;=AtRank),$Q2188,0)</f>
        <v>0</v>
      </c>
      <c r="S2188" s="64" t="n">
        <f aca="false">IF(AND($Q2188&gt;0,$O2188&gt;=AboveRank),$Q2188,0)</f>
        <v>0</v>
      </c>
      <c r="T2188" s="64" t="n">
        <f aca="false">IF($K2188="Less",$P2188,0)</f>
        <v>0</v>
      </c>
      <c r="U2188" s="64" t="n">
        <f aca="false">IF($K2188="Expected",$P2188,0)</f>
        <v>0</v>
      </c>
      <c r="V2188" s="64" t="n">
        <f aca="false">IF($K2188="Better",$P2188,0)</f>
        <v>0</v>
      </c>
      <c r="W2188" s="64" t="n">
        <f aca="false">IF($K2188="U – needs rule",$P2188,0)</f>
        <v>0</v>
      </c>
      <c r="X2188" s="64" t="n">
        <f aca="false">IF($K2188="No Start (attainment only)",$P2188,0)</f>
        <v>0</v>
      </c>
    </row>
    <row r="2189" customFormat="false" ht="15" hidden="false" customHeight="false" outlineLevel="0" collapsed="false">
      <c r="A2189" s="60"/>
      <c r="B2189" s="61" t="str">
        <f aca="false">IF($M2189=0,"",INDEX(Classes!$E$6:$E$420,$M2189))</f>
        <v/>
      </c>
      <c r="C2189" s="62" t="str">
        <f aca="false">IF($M2189=0,"",INDEX(Classes!$H$6:$H$420,$M2189))</f>
        <v/>
      </c>
      <c r="D2189" s="61" t="str">
        <f aca="false">IF($M2189=0,"",INDEX(Classes!$B$6:$B$420,$M2189))</f>
        <v/>
      </c>
      <c r="E2189" s="61" t="str">
        <f aca="false">IF($M2189=0,"",INDEX(Classes!$C$6:$C$420,$M2189))</f>
        <v/>
      </c>
      <c r="F2189" s="63"/>
      <c r="G2189" s="63"/>
      <c r="H2189" s="60"/>
      <c r="I2189" s="60"/>
      <c r="J2189" s="63"/>
      <c r="K2189" s="61" t="str">
        <f aca="false">IF($P2189=0,"",IF($F2189="Baseline","— Baseline",IF($O2189=0,"No result",IF($N2189=0,"No Start (attainment only)",IF(OR($N2189=1,$O2189=1),"U – needs rule",INDEX(MxBody,MATCH($I2189,MxCurr,0),MATCH($H2189,MxStart,0)))))))</f>
        <v/>
      </c>
      <c r="L2189" s="62" t="str">
        <f aca="false">IF(COUNTA($A2189,$F2189,$G2189,$H2189,$I2189,$J2189)=0,"",IF($M2189=0,"✖ كود الصف غير موجود",IF(ISNA(MATCH($F2189,Lists!$A$2:$A$5,0)),"✖ الفترة غير صحيحة",IF(ISNA(MATCH($G2189,Lists!$B$2:$B$7,0)),"✖ المجموعة غير صحيحة",IF(NOT(OR($H2189="",$N2189&gt;0)),"✖ Start غير صحيح",IF(NOT(OR($I2189="",$I2189="NR",$O2189&gt;0)),"✖ Current غير صحيح",IF(NOT(IF(ISNUMBER($J2189),AND($J2189&gt;=0,$J2189=INT($J2189)),FALSE())),"✖ العدد يجب أن يكون صحيحًا ≥ 0",IF(AND($F2189="Baseline",$H2189&lt;&gt;""),"⚠ Baseline: Start لا يدخل في التقدم",IF($K2189="No Start (attainment only)","ℹ تحصيل فقط (بدون Start)",IF($K2189="U – needs rule","ℹ حالة U تحتاج قاعدة معتمدة",IF($K2189="No result","ℹ بدون نتيجة (يُستبعد من التحصيل)","OK")))))))))))</f>
        <v/>
      </c>
      <c r="M2189" s="64" t="n">
        <f aca="false">IF($A2189="",0,IFERROR(MATCH($A2189,Classes!$A$6:$A$420,0),0))</f>
        <v>0</v>
      </c>
      <c r="N2189" s="64" t="n">
        <f aca="false">IF($H2189="",0,IFERROR(MATCH($H2189,GradeList,0),0))</f>
        <v>0</v>
      </c>
      <c r="O2189" s="64" t="n">
        <f aca="false">IF(OR($I2189="",$I2189="NR"),0,IFERROR(MATCH($I2189,GradeList,0),0))</f>
        <v>0</v>
      </c>
      <c r="P2189" s="64" t="n">
        <f aca="false">IF(AND($M2189&gt;0,ISNUMBER(MATCH($F2189,Lists!$A$2:$A$5,0)),ISNUMBER(MATCH($G2189,Lists!$B$2:$B$7,0)),OR($H2189="",$N2189&gt;0),OR($I2189="",$I2189="NR",$O2189&gt;0),IF(ISNUMBER($J2189),AND($J2189&gt;=0,$J2189=INT($J2189)),FALSE())),$J2189,0)</f>
        <v>0</v>
      </c>
      <c r="Q2189" s="64" t="n">
        <f aca="false">IF(AND($P2189&gt;0,$O2189&gt;0),$P2189,0)</f>
        <v>0</v>
      </c>
      <c r="R2189" s="64" t="n">
        <f aca="false">IF(AND($Q2189&gt;0,$O2189&gt;=AtRank),$Q2189,0)</f>
        <v>0</v>
      </c>
      <c r="S2189" s="64" t="n">
        <f aca="false">IF(AND($Q2189&gt;0,$O2189&gt;=AboveRank),$Q2189,0)</f>
        <v>0</v>
      </c>
      <c r="T2189" s="64" t="n">
        <f aca="false">IF($K2189="Less",$P2189,0)</f>
        <v>0</v>
      </c>
      <c r="U2189" s="64" t="n">
        <f aca="false">IF($K2189="Expected",$P2189,0)</f>
        <v>0</v>
      </c>
      <c r="V2189" s="64" t="n">
        <f aca="false">IF($K2189="Better",$P2189,0)</f>
        <v>0</v>
      </c>
      <c r="W2189" s="64" t="n">
        <f aca="false">IF($K2189="U – needs rule",$P2189,0)</f>
        <v>0</v>
      </c>
      <c r="X2189" s="64" t="n">
        <f aca="false">IF($K2189="No Start (attainment only)",$P2189,0)</f>
        <v>0</v>
      </c>
    </row>
    <row r="2190" customFormat="false" ht="15" hidden="false" customHeight="false" outlineLevel="0" collapsed="false">
      <c r="A2190" s="60"/>
      <c r="B2190" s="61" t="str">
        <f aca="false">IF($M2190=0,"",INDEX(Classes!$E$6:$E$420,$M2190))</f>
        <v/>
      </c>
      <c r="C2190" s="62" t="str">
        <f aca="false">IF($M2190=0,"",INDEX(Classes!$H$6:$H$420,$M2190))</f>
        <v/>
      </c>
      <c r="D2190" s="61" t="str">
        <f aca="false">IF($M2190=0,"",INDEX(Classes!$B$6:$B$420,$M2190))</f>
        <v/>
      </c>
      <c r="E2190" s="61" t="str">
        <f aca="false">IF($M2190=0,"",INDEX(Classes!$C$6:$C$420,$M2190))</f>
        <v/>
      </c>
      <c r="F2190" s="63"/>
      <c r="G2190" s="63"/>
      <c r="H2190" s="60"/>
      <c r="I2190" s="60"/>
      <c r="J2190" s="63"/>
      <c r="K2190" s="61" t="str">
        <f aca="false">IF($P2190=0,"",IF($F2190="Baseline","— Baseline",IF($O2190=0,"No result",IF($N2190=0,"No Start (attainment only)",IF(OR($N2190=1,$O2190=1),"U – needs rule",INDEX(MxBody,MATCH($I2190,MxCurr,0),MATCH($H2190,MxStart,0)))))))</f>
        <v/>
      </c>
      <c r="L2190" s="62" t="str">
        <f aca="false">IF(COUNTA($A2190,$F2190,$G2190,$H2190,$I2190,$J2190)=0,"",IF($M2190=0,"✖ كود الصف غير موجود",IF(ISNA(MATCH($F2190,Lists!$A$2:$A$5,0)),"✖ الفترة غير صحيحة",IF(ISNA(MATCH($G2190,Lists!$B$2:$B$7,0)),"✖ المجموعة غير صحيحة",IF(NOT(OR($H2190="",$N2190&gt;0)),"✖ Start غير صحيح",IF(NOT(OR($I2190="",$I2190="NR",$O2190&gt;0)),"✖ Current غير صحيح",IF(NOT(IF(ISNUMBER($J2190),AND($J2190&gt;=0,$J2190=INT($J2190)),FALSE())),"✖ العدد يجب أن يكون صحيحًا ≥ 0",IF(AND($F2190="Baseline",$H2190&lt;&gt;""),"⚠ Baseline: Start لا يدخل في التقدم",IF($K2190="No Start (attainment only)","ℹ تحصيل فقط (بدون Start)",IF($K2190="U – needs rule","ℹ حالة U تحتاج قاعدة معتمدة",IF($K2190="No result","ℹ بدون نتيجة (يُستبعد من التحصيل)","OK")))))))))))</f>
        <v/>
      </c>
      <c r="M2190" s="64" t="n">
        <f aca="false">IF($A2190="",0,IFERROR(MATCH($A2190,Classes!$A$6:$A$420,0),0))</f>
        <v>0</v>
      </c>
      <c r="N2190" s="64" t="n">
        <f aca="false">IF($H2190="",0,IFERROR(MATCH($H2190,GradeList,0),0))</f>
        <v>0</v>
      </c>
      <c r="O2190" s="64" t="n">
        <f aca="false">IF(OR($I2190="",$I2190="NR"),0,IFERROR(MATCH($I2190,GradeList,0),0))</f>
        <v>0</v>
      </c>
      <c r="P2190" s="64" t="n">
        <f aca="false">IF(AND($M2190&gt;0,ISNUMBER(MATCH($F2190,Lists!$A$2:$A$5,0)),ISNUMBER(MATCH($G2190,Lists!$B$2:$B$7,0)),OR($H2190="",$N2190&gt;0),OR($I2190="",$I2190="NR",$O2190&gt;0),IF(ISNUMBER($J2190),AND($J2190&gt;=0,$J2190=INT($J2190)),FALSE())),$J2190,0)</f>
        <v>0</v>
      </c>
      <c r="Q2190" s="64" t="n">
        <f aca="false">IF(AND($P2190&gt;0,$O2190&gt;0),$P2190,0)</f>
        <v>0</v>
      </c>
      <c r="R2190" s="64" t="n">
        <f aca="false">IF(AND($Q2190&gt;0,$O2190&gt;=AtRank),$Q2190,0)</f>
        <v>0</v>
      </c>
      <c r="S2190" s="64" t="n">
        <f aca="false">IF(AND($Q2190&gt;0,$O2190&gt;=AboveRank),$Q2190,0)</f>
        <v>0</v>
      </c>
      <c r="T2190" s="64" t="n">
        <f aca="false">IF($K2190="Less",$P2190,0)</f>
        <v>0</v>
      </c>
      <c r="U2190" s="64" t="n">
        <f aca="false">IF($K2190="Expected",$P2190,0)</f>
        <v>0</v>
      </c>
      <c r="V2190" s="64" t="n">
        <f aca="false">IF($K2190="Better",$P2190,0)</f>
        <v>0</v>
      </c>
      <c r="W2190" s="64" t="n">
        <f aca="false">IF($K2190="U – needs rule",$P2190,0)</f>
        <v>0</v>
      </c>
      <c r="X2190" s="64" t="n">
        <f aca="false">IF($K2190="No Start (attainment only)",$P2190,0)</f>
        <v>0</v>
      </c>
    </row>
    <row r="2191" customFormat="false" ht="15" hidden="false" customHeight="false" outlineLevel="0" collapsed="false">
      <c r="A2191" s="60"/>
      <c r="B2191" s="61" t="str">
        <f aca="false">IF($M2191=0,"",INDEX(Classes!$E$6:$E$420,$M2191))</f>
        <v/>
      </c>
      <c r="C2191" s="62" t="str">
        <f aca="false">IF($M2191=0,"",INDEX(Classes!$H$6:$H$420,$M2191))</f>
        <v/>
      </c>
      <c r="D2191" s="61" t="str">
        <f aca="false">IF($M2191=0,"",INDEX(Classes!$B$6:$B$420,$M2191))</f>
        <v/>
      </c>
      <c r="E2191" s="61" t="str">
        <f aca="false">IF($M2191=0,"",INDEX(Classes!$C$6:$C$420,$M2191))</f>
        <v/>
      </c>
      <c r="F2191" s="63"/>
      <c r="G2191" s="63"/>
      <c r="H2191" s="60"/>
      <c r="I2191" s="60"/>
      <c r="J2191" s="63"/>
      <c r="K2191" s="61" t="str">
        <f aca="false">IF($P2191=0,"",IF($F2191="Baseline","— Baseline",IF($O2191=0,"No result",IF($N2191=0,"No Start (attainment only)",IF(OR($N2191=1,$O2191=1),"U – needs rule",INDEX(MxBody,MATCH($I2191,MxCurr,0),MATCH($H2191,MxStart,0)))))))</f>
        <v/>
      </c>
      <c r="L2191" s="62" t="str">
        <f aca="false">IF(COUNTA($A2191,$F2191,$G2191,$H2191,$I2191,$J2191)=0,"",IF($M2191=0,"✖ كود الصف غير موجود",IF(ISNA(MATCH($F2191,Lists!$A$2:$A$5,0)),"✖ الفترة غير صحيحة",IF(ISNA(MATCH($G2191,Lists!$B$2:$B$7,0)),"✖ المجموعة غير صحيحة",IF(NOT(OR($H2191="",$N2191&gt;0)),"✖ Start غير صحيح",IF(NOT(OR($I2191="",$I2191="NR",$O2191&gt;0)),"✖ Current غير صحيح",IF(NOT(IF(ISNUMBER($J2191),AND($J2191&gt;=0,$J2191=INT($J2191)),FALSE())),"✖ العدد يجب أن يكون صحيحًا ≥ 0",IF(AND($F2191="Baseline",$H2191&lt;&gt;""),"⚠ Baseline: Start لا يدخل في التقدم",IF($K2191="No Start (attainment only)","ℹ تحصيل فقط (بدون Start)",IF($K2191="U – needs rule","ℹ حالة U تحتاج قاعدة معتمدة",IF($K2191="No result","ℹ بدون نتيجة (يُستبعد من التحصيل)","OK")))))))))))</f>
        <v/>
      </c>
      <c r="M2191" s="64" t="n">
        <f aca="false">IF($A2191="",0,IFERROR(MATCH($A2191,Classes!$A$6:$A$420,0),0))</f>
        <v>0</v>
      </c>
      <c r="N2191" s="64" t="n">
        <f aca="false">IF($H2191="",0,IFERROR(MATCH($H2191,GradeList,0),0))</f>
        <v>0</v>
      </c>
      <c r="O2191" s="64" t="n">
        <f aca="false">IF(OR($I2191="",$I2191="NR"),0,IFERROR(MATCH($I2191,GradeList,0),0))</f>
        <v>0</v>
      </c>
      <c r="P2191" s="64" t="n">
        <f aca="false">IF(AND($M2191&gt;0,ISNUMBER(MATCH($F2191,Lists!$A$2:$A$5,0)),ISNUMBER(MATCH($G2191,Lists!$B$2:$B$7,0)),OR($H2191="",$N2191&gt;0),OR($I2191="",$I2191="NR",$O2191&gt;0),IF(ISNUMBER($J2191),AND($J2191&gt;=0,$J2191=INT($J2191)),FALSE())),$J2191,0)</f>
        <v>0</v>
      </c>
      <c r="Q2191" s="64" t="n">
        <f aca="false">IF(AND($P2191&gt;0,$O2191&gt;0),$P2191,0)</f>
        <v>0</v>
      </c>
      <c r="R2191" s="64" t="n">
        <f aca="false">IF(AND($Q2191&gt;0,$O2191&gt;=AtRank),$Q2191,0)</f>
        <v>0</v>
      </c>
      <c r="S2191" s="64" t="n">
        <f aca="false">IF(AND($Q2191&gt;0,$O2191&gt;=AboveRank),$Q2191,0)</f>
        <v>0</v>
      </c>
      <c r="T2191" s="64" t="n">
        <f aca="false">IF($K2191="Less",$P2191,0)</f>
        <v>0</v>
      </c>
      <c r="U2191" s="64" t="n">
        <f aca="false">IF($K2191="Expected",$P2191,0)</f>
        <v>0</v>
      </c>
      <c r="V2191" s="64" t="n">
        <f aca="false">IF($K2191="Better",$P2191,0)</f>
        <v>0</v>
      </c>
      <c r="W2191" s="64" t="n">
        <f aca="false">IF($K2191="U – needs rule",$P2191,0)</f>
        <v>0</v>
      </c>
      <c r="X2191" s="64" t="n">
        <f aca="false">IF($K2191="No Start (attainment only)",$P2191,0)</f>
        <v>0</v>
      </c>
    </row>
    <row r="2192" customFormat="false" ht="15" hidden="false" customHeight="false" outlineLevel="0" collapsed="false">
      <c r="A2192" s="60"/>
      <c r="B2192" s="61" t="str">
        <f aca="false">IF($M2192=0,"",INDEX(Classes!$E$6:$E$420,$M2192))</f>
        <v/>
      </c>
      <c r="C2192" s="62" t="str">
        <f aca="false">IF($M2192=0,"",INDEX(Classes!$H$6:$H$420,$M2192))</f>
        <v/>
      </c>
      <c r="D2192" s="61" t="str">
        <f aca="false">IF($M2192=0,"",INDEX(Classes!$B$6:$B$420,$M2192))</f>
        <v/>
      </c>
      <c r="E2192" s="61" t="str">
        <f aca="false">IF($M2192=0,"",INDEX(Classes!$C$6:$C$420,$M2192))</f>
        <v/>
      </c>
      <c r="F2192" s="63"/>
      <c r="G2192" s="63"/>
      <c r="H2192" s="60"/>
      <c r="I2192" s="60"/>
      <c r="J2192" s="63"/>
      <c r="K2192" s="61" t="str">
        <f aca="false">IF($P2192=0,"",IF($F2192="Baseline","— Baseline",IF($O2192=0,"No result",IF($N2192=0,"No Start (attainment only)",IF(OR($N2192=1,$O2192=1),"U – needs rule",INDEX(MxBody,MATCH($I2192,MxCurr,0),MATCH($H2192,MxStart,0)))))))</f>
        <v/>
      </c>
      <c r="L2192" s="62" t="str">
        <f aca="false">IF(COUNTA($A2192,$F2192,$G2192,$H2192,$I2192,$J2192)=0,"",IF($M2192=0,"✖ كود الصف غير موجود",IF(ISNA(MATCH($F2192,Lists!$A$2:$A$5,0)),"✖ الفترة غير صحيحة",IF(ISNA(MATCH($G2192,Lists!$B$2:$B$7,0)),"✖ المجموعة غير صحيحة",IF(NOT(OR($H2192="",$N2192&gt;0)),"✖ Start غير صحيح",IF(NOT(OR($I2192="",$I2192="NR",$O2192&gt;0)),"✖ Current غير صحيح",IF(NOT(IF(ISNUMBER($J2192),AND($J2192&gt;=0,$J2192=INT($J2192)),FALSE())),"✖ العدد يجب أن يكون صحيحًا ≥ 0",IF(AND($F2192="Baseline",$H2192&lt;&gt;""),"⚠ Baseline: Start لا يدخل في التقدم",IF($K2192="No Start (attainment only)","ℹ تحصيل فقط (بدون Start)",IF($K2192="U – needs rule","ℹ حالة U تحتاج قاعدة معتمدة",IF($K2192="No result","ℹ بدون نتيجة (يُستبعد من التحصيل)","OK")))))))))))</f>
        <v/>
      </c>
      <c r="M2192" s="64" t="n">
        <f aca="false">IF($A2192="",0,IFERROR(MATCH($A2192,Classes!$A$6:$A$420,0),0))</f>
        <v>0</v>
      </c>
      <c r="N2192" s="64" t="n">
        <f aca="false">IF($H2192="",0,IFERROR(MATCH($H2192,GradeList,0),0))</f>
        <v>0</v>
      </c>
      <c r="O2192" s="64" t="n">
        <f aca="false">IF(OR($I2192="",$I2192="NR"),0,IFERROR(MATCH($I2192,GradeList,0),0))</f>
        <v>0</v>
      </c>
      <c r="P2192" s="64" t="n">
        <f aca="false">IF(AND($M2192&gt;0,ISNUMBER(MATCH($F2192,Lists!$A$2:$A$5,0)),ISNUMBER(MATCH($G2192,Lists!$B$2:$B$7,0)),OR($H2192="",$N2192&gt;0),OR($I2192="",$I2192="NR",$O2192&gt;0),IF(ISNUMBER($J2192),AND($J2192&gt;=0,$J2192=INT($J2192)),FALSE())),$J2192,0)</f>
        <v>0</v>
      </c>
      <c r="Q2192" s="64" t="n">
        <f aca="false">IF(AND($P2192&gt;0,$O2192&gt;0),$P2192,0)</f>
        <v>0</v>
      </c>
      <c r="R2192" s="64" t="n">
        <f aca="false">IF(AND($Q2192&gt;0,$O2192&gt;=AtRank),$Q2192,0)</f>
        <v>0</v>
      </c>
      <c r="S2192" s="64" t="n">
        <f aca="false">IF(AND($Q2192&gt;0,$O2192&gt;=AboveRank),$Q2192,0)</f>
        <v>0</v>
      </c>
      <c r="T2192" s="64" t="n">
        <f aca="false">IF($K2192="Less",$P2192,0)</f>
        <v>0</v>
      </c>
      <c r="U2192" s="64" t="n">
        <f aca="false">IF($K2192="Expected",$P2192,0)</f>
        <v>0</v>
      </c>
      <c r="V2192" s="64" t="n">
        <f aca="false">IF($K2192="Better",$P2192,0)</f>
        <v>0</v>
      </c>
      <c r="W2192" s="64" t="n">
        <f aca="false">IF($K2192="U – needs rule",$P2192,0)</f>
        <v>0</v>
      </c>
      <c r="X2192" s="64" t="n">
        <f aca="false">IF($K2192="No Start (attainment only)",$P2192,0)</f>
        <v>0</v>
      </c>
    </row>
    <row r="2193" customFormat="false" ht="15" hidden="false" customHeight="false" outlineLevel="0" collapsed="false">
      <c r="A2193" s="60"/>
      <c r="B2193" s="61" t="str">
        <f aca="false">IF($M2193=0,"",INDEX(Classes!$E$6:$E$420,$M2193))</f>
        <v/>
      </c>
      <c r="C2193" s="62" t="str">
        <f aca="false">IF($M2193=0,"",INDEX(Classes!$H$6:$H$420,$M2193))</f>
        <v/>
      </c>
      <c r="D2193" s="61" t="str">
        <f aca="false">IF($M2193=0,"",INDEX(Classes!$B$6:$B$420,$M2193))</f>
        <v/>
      </c>
      <c r="E2193" s="61" t="str">
        <f aca="false">IF($M2193=0,"",INDEX(Classes!$C$6:$C$420,$M2193))</f>
        <v/>
      </c>
      <c r="F2193" s="63"/>
      <c r="G2193" s="63"/>
      <c r="H2193" s="60"/>
      <c r="I2193" s="60"/>
      <c r="J2193" s="63"/>
      <c r="K2193" s="61" t="str">
        <f aca="false">IF($P2193=0,"",IF($F2193="Baseline","— Baseline",IF($O2193=0,"No result",IF($N2193=0,"No Start (attainment only)",IF(OR($N2193=1,$O2193=1),"U – needs rule",INDEX(MxBody,MATCH($I2193,MxCurr,0),MATCH($H2193,MxStart,0)))))))</f>
        <v/>
      </c>
      <c r="L2193" s="62" t="str">
        <f aca="false">IF(COUNTA($A2193,$F2193,$G2193,$H2193,$I2193,$J2193)=0,"",IF($M2193=0,"✖ كود الصف غير موجود",IF(ISNA(MATCH($F2193,Lists!$A$2:$A$5,0)),"✖ الفترة غير صحيحة",IF(ISNA(MATCH($G2193,Lists!$B$2:$B$7,0)),"✖ المجموعة غير صحيحة",IF(NOT(OR($H2193="",$N2193&gt;0)),"✖ Start غير صحيح",IF(NOT(OR($I2193="",$I2193="NR",$O2193&gt;0)),"✖ Current غير صحيح",IF(NOT(IF(ISNUMBER($J2193),AND($J2193&gt;=0,$J2193=INT($J2193)),FALSE())),"✖ العدد يجب أن يكون صحيحًا ≥ 0",IF(AND($F2193="Baseline",$H2193&lt;&gt;""),"⚠ Baseline: Start لا يدخل في التقدم",IF($K2193="No Start (attainment only)","ℹ تحصيل فقط (بدون Start)",IF($K2193="U – needs rule","ℹ حالة U تحتاج قاعدة معتمدة",IF($K2193="No result","ℹ بدون نتيجة (يُستبعد من التحصيل)","OK")))))))))))</f>
        <v/>
      </c>
      <c r="M2193" s="64" t="n">
        <f aca="false">IF($A2193="",0,IFERROR(MATCH($A2193,Classes!$A$6:$A$420,0),0))</f>
        <v>0</v>
      </c>
      <c r="N2193" s="64" t="n">
        <f aca="false">IF($H2193="",0,IFERROR(MATCH($H2193,GradeList,0),0))</f>
        <v>0</v>
      </c>
      <c r="O2193" s="64" t="n">
        <f aca="false">IF(OR($I2193="",$I2193="NR"),0,IFERROR(MATCH($I2193,GradeList,0),0))</f>
        <v>0</v>
      </c>
      <c r="P2193" s="64" t="n">
        <f aca="false">IF(AND($M2193&gt;0,ISNUMBER(MATCH($F2193,Lists!$A$2:$A$5,0)),ISNUMBER(MATCH($G2193,Lists!$B$2:$B$7,0)),OR($H2193="",$N2193&gt;0),OR($I2193="",$I2193="NR",$O2193&gt;0),IF(ISNUMBER($J2193),AND($J2193&gt;=0,$J2193=INT($J2193)),FALSE())),$J2193,0)</f>
        <v>0</v>
      </c>
      <c r="Q2193" s="64" t="n">
        <f aca="false">IF(AND($P2193&gt;0,$O2193&gt;0),$P2193,0)</f>
        <v>0</v>
      </c>
      <c r="R2193" s="64" t="n">
        <f aca="false">IF(AND($Q2193&gt;0,$O2193&gt;=AtRank),$Q2193,0)</f>
        <v>0</v>
      </c>
      <c r="S2193" s="64" t="n">
        <f aca="false">IF(AND($Q2193&gt;0,$O2193&gt;=AboveRank),$Q2193,0)</f>
        <v>0</v>
      </c>
      <c r="T2193" s="64" t="n">
        <f aca="false">IF($K2193="Less",$P2193,0)</f>
        <v>0</v>
      </c>
      <c r="U2193" s="64" t="n">
        <f aca="false">IF($K2193="Expected",$P2193,0)</f>
        <v>0</v>
      </c>
      <c r="V2193" s="64" t="n">
        <f aca="false">IF($K2193="Better",$P2193,0)</f>
        <v>0</v>
      </c>
      <c r="W2193" s="64" t="n">
        <f aca="false">IF($K2193="U – needs rule",$P2193,0)</f>
        <v>0</v>
      </c>
      <c r="X2193" s="64" t="n">
        <f aca="false">IF($K2193="No Start (attainment only)",$P2193,0)</f>
        <v>0</v>
      </c>
    </row>
    <row r="2194" customFormat="false" ht="15" hidden="false" customHeight="false" outlineLevel="0" collapsed="false">
      <c r="A2194" s="60"/>
      <c r="B2194" s="61" t="str">
        <f aca="false">IF($M2194=0,"",INDEX(Classes!$E$6:$E$420,$M2194))</f>
        <v/>
      </c>
      <c r="C2194" s="62" t="str">
        <f aca="false">IF($M2194=0,"",INDEX(Classes!$H$6:$H$420,$M2194))</f>
        <v/>
      </c>
      <c r="D2194" s="61" t="str">
        <f aca="false">IF($M2194=0,"",INDEX(Classes!$B$6:$B$420,$M2194))</f>
        <v/>
      </c>
      <c r="E2194" s="61" t="str">
        <f aca="false">IF($M2194=0,"",INDEX(Classes!$C$6:$C$420,$M2194))</f>
        <v/>
      </c>
      <c r="F2194" s="63"/>
      <c r="G2194" s="63"/>
      <c r="H2194" s="60"/>
      <c r="I2194" s="60"/>
      <c r="J2194" s="63"/>
      <c r="K2194" s="61" t="str">
        <f aca="false">IF($P2194=0,"",IF($F2194="Baseline","— Baseline",IF($O2194=0,"No result",IF($N2194=0,"No Start (attainment only)",IF(OR($N2194=1,$O2194=1),"U – needs rule",INDEX(MxBody,MATCH($I2194,MxCurr,0),MATCH($H2194,MxStart,0)))))))</f>
        <v/>
      </c>
      <c r="L2194" s="62" t="str">
        <f aca="false">IF(COUNTA($A2194,$F2194,$G2194,$H2194,$I2194,$J2194)=0,"",IF($M2194=0,"✖ كود الصف غير موجود",IF(ISNA(MATCH($F2194,Lists!$A$2:$A$5,0)),"✖ الفترة غير صحيحة",IF(ISNA(MATCH($G2194,Lists!$B$2:$B$7,0)),"✖ المجموعة غير صحيحة",IF(NOT(OR($H2194="",$N2194&gt;0)),"✖ Start غير صحيح",IF(NOT(OR($I2194="",$I2194="NR",$O2194&gt;0)),"✖ Current غير صحيح",IF(NOT(IF(ISNUMBER($J2194),AND($J2194&gt;=0,$J2194=INT($J2194)),FALSE())),"✖ العدد يجب أن يكون صحيحًا ≥ 0",IF(AND($F2194="Baseline",$H2194&lt;&gt;""),"⚠ Baseline: Start لا يدخل في التقدم",IF($K2194="No Start (attainment only)","ℹ تحصيل فقط (بدون Start)",IF($K2194="U – needs rule","ℹ حالة U تحتاج قاعدة معتمدة",IF($K2194="No result","ℹ بدون نتيجة (يُستبعد من التحصيل)","OK")))))))))))</f>
        <v/>
      </c>
      <c r="M2194" s="64" t="n">
        <f aca="false">IF($A2194="",0,IFERROR(MATCH($A2194,Classes!$A$6:$A$420,0),0))</f>
        <v>0</v>
      </c>
      <c r="N2194" s="64" t="n">
        <f aca="false">IF($H2194="",0,IFERROR(MATCH($H2194,GradeList,0),0))</f>
        <v>0</v>
      </c>
      <c r="O2194" s="64" t="n">
        <f aca="false">IF(OR($I2194="",$I2194="NR"),0,IFERROR(MATCH($I2194,GradeList,0),0))</f>
        <v>0</v>
      </c>
      <c r="P2194" s="64" t="n">
        <f aca="false">IF(AND($M2194&gt;0,ISNUMBER(MATCH($F2194,Lists!$A$2:$A$5,0)),ISNUMBER(MATCH($G2194,Lists!$B$2:$B$7,0)),OR($H2194="",$N2194&gt;0),OR($I2194="",$I2194="NR",$O2194&gt;0),IF(ISNUMBER($J2194),AND($J2194&gt;=0,$J2194=INT($J2194)),FALSE())),$J2194,0)</f>
        <v>0</v>
      </c>
      <c r="Q2194" s="64" t="n">
        <f aca="false">IF(AND($P2194&gt;0,$O2194&gt;0),$P2194,0)</f>
        <v>0</v>
      </c>
      <c r="R2194" s="64" t="n">
        <f aca="false">IF(AND($Q2194&gt;0,$O2194&gt;=AtRank),$Q2194,0)</f>
        <v>0</v>
      </c>
      <c r="S2194" s="64" t="n">
        <f aca="false">IF(AND($Q2194&gt;0,$O2194&gt;=AboveRank),$Q2194,0)</f>
        <v>0</v>
      </c>
      <c r="T2194" s="64" t="n">
        <f aca="false">IF($K2194="Less",$P2194,0)</f>
        <v>0</v>
      </c>
      <c r="U2194" s="64" t="n">
        <f aca="false">IF($K2194="Expected",$P2194,0)</f>
        <v>0</v>
      </c>
      <c r="V2194" s="64" t="n">
        <f aca="false">IF($K2194="Better",$P2194,0)</f>
        <v>0</v>
      </c>
      <c r="W2194" s="64" t="n">
        <f aca="false">IF($K2194="U – needs rule",$P2194,0)</f>
        <v>0</v>
      </c>
      <c r="X2194" s="64" t="n">
        <f aca="false">IF($K2194="No Start (attainment only)",$P2194,0)</f>
        <v>0</v>
      </c>
    </row>
    <row r="2195" customFormat="false" ht="15" hidden="false" customHeight="false" outlineLevel="0" collapsed="false">
      <c r="A2195" s="60"/>
      <c r="B2195" s="61" t="str">
        <f aca="false">IF($M2195=0,"",INDEX(Classes!$E$6:$E$420,$M2195))</f>
        <v/>
      </c>
      <c r="C2195" s="62" t="str">
        <f aca="false">IF($M2195=0,"",INDEX(Classes!$H$6:$H$420,$M2195))</f>
        <v/>
      </c>
      <c r="D2195" s="61" t="str">
        <f aca="false">IF($M2195=0,"",INDEX(Classes!$B$6:$B$420,$M2195))</f>
        <v/>
      </c>
      <c r="E2195" s="61" t="str">
        <f aca="false">IF($M2195=0,"",INDEX(Classes!$C$6:$C$420,$M2195))</f>
        <v/>
      </c>
      <c r="F2195" s="63"/>
      <c r="G2195" s="63"/>
      <c r="H2195" s="60"/>
      <c r="I2195" s="60"/>
      <c r="J2195" s="63"/>
      <c r="K2195" s="61" t="str">
        <f aca="false">IF($P2195=0,"",IF($F2195="Baseline","— Baseline",IF($O2195=0,"No result",IF($N2195=0,"No Start (attainment only)",IF(OR($N2195=1,$O2195=1),"U – needs rule",INDEX(MxBody,MATCH($I2195,MxCurr,0),MATCH($H2195,MxStart,0)))))))</f>
        <v/>
      </c>
      <c r="L2195" s="62" t="str">
        <f aca="false">IF(COUNTA($A2195,$F2195,$G2195,$H2195,$I2195,$J2195)=0,"",IF($M2195=0,"✖ كود الصف غير موجود",IF(ISNA(MATCH($F2195,Lists!$A$2:$A$5,0)),"✖ الفترة غير صحيحة",IF(ISNA(MATCH($G2195,Lists!$B$2:$B$7,0)),"✖ المجموعة غير صحيحة",IF(NOT(OR($H2195="",$N2195&gt;0)),"✖ Start غير صحيح",IF(NOT(OR($I2195="",$I2195="NR",$O2195&gt;0)),"✖ Current غير صحيح",IF(NOT(IF(ISNUMBER($J2195),AND($J2195&gt;=0,$J2195=INT($J2195)),FALSE())),"✖ العدد يجب أن يكون صحيحًا ≥ 0",IF(AND($F2195="Baseline",$H2195&lt;&gt;""),"⚠ Baseline: Start لا يدخل في التقدم",IF($K2195="No Start (attainment only)","ℹ تحصيل فقط (بدون Start)",IF($K2195="U – needs rule","ℹ حالة U تحتاج قاعدة معتمدة",IF($K2195="No result","ℹ بدون نتيجة (يُستبعد من التحصيل)","OK")))))))))))</f>
        <v/>
      </c>
      <c r="M2195" s="64" t="n">
        <f aca="false">IF($A2195="",0,IFERROR(MATCH($A2195,Classes!$A$6:$A$420,0),0))</f>
        <v>0</v>
      </c>
      <c r="N2195" s="64" t="n">
        <f aca="false">IF($H2195="",0,IFERROR(MATCH($H2195,GradeList,0),0))</f>
        <v>0</v>
      </c>
      <c r="O2195" s="64" t="n">
        <f aca="false">IF(OR($I2195="",$I2195="NR"),0,IFERROR(MATCH($I2195,GradeList,0),0))</f>
        <v>0</v>
      </c>
      <c r="P2195" s="64" t="n">
        <f aca="false">IF(AND($M2195&gt;0,ISNUMBER(MATCH($F2195,Lists!$A$2:$A$5,0)),ISNUMBER(MATCH($G2195,Lists!$B$2:$B$7,0)),OR($H2195="",$N2195&gt;0),OR($I2195="",$I2195="NR",$O2195&gt;0),IF(ISNUMBER($J2195),AND($J2195&gt;=0,$J2195=INT($J2195)),FALSE())),$J2195,0)</f>
        <v>0</v>
      </c>
      <c r="Q2195" s="64" t="n">
        <f aca="false">IF(AND($P2195&gt;0,$O2195&gt;0),$P2195,0)</f>
        <v>0</v>
      </c>
      <c r="R2195" s="64" t="n">
        <f aca="false">IF(AND($Q2195&gt;0,$O2195&gt;=AtRank),$Q2195,0)</f>
        <v>0</v>
      </c>
      <c r="S2195" s="64" t="n">
        <f aca="false">IF(AND($Q2195&gt;0,$O2195&gt;=AboveRank),$Q2195,0)</f>
        <v>0</v>
      </c>
      <c r="T2195" s="64" t="n">
        <f aca="false">IF($K2195="Less",$P2195,0)</f>
        <v>0</v>
      </c>
      <c r="U2195" s="64" t="n">
        <f aca="false">IF($K2195="Expected",$P2195,0)</f>
        <v>0</v>
      </c>
      <c r="V2195" s="64" t="n">
        <f aca="false">IF($K2195="Better",$P2195,0)</f>
        <v>0</v>
      </c>
      <c r="W2195" s="64" t="n">
        <f aca="false">IF($K2195="U – needs rule",$P2195,0)</f>
        <v>0</v>
      </c>
      <c r="X2195" s="64" t="n">
        <f aca="false">IF($K2195="No Start (attainment only)",$P2195,0)</f>
        <v>0</v>
      </c>
    </row>
    <row r="2196" customFormat="false" ht="15" hidden="false" customHeight="false" outlineLevel="0" collapsed="false">
      <c r="A2196" s="60"/>
      <c r="B2196" s="61" t="str">
        <f aca="false">IF($M2196=0,"",INDEX(Classes!$E$6:$E$420,$M2196))</f>
        <v/>
      </c>
      <c r="C2196" s="62" t="str">
        <f aca="false">IF($M2196=0,"",INDEX(Classes!$H$6:$H$420,$M2196))</f>
        <v/>
      </c>
      <c r="D2196" s="61" t="str">
        <f aca="false">IF($M2196=0,"",INDEX(Classes!$B$6:$B$420,$M2196))</f>
        <v/>
      </c>
      <c r="E2196" s="61" t="str">
        <f aca="false">IF($M2196=0,"",INDEX(Classes!$C$6:$C$420,$M2196))</f>
        <v/>
      </c>
      <c r="F2196" s="63"/>
      <c r="G2196" s="63"/>
      <c r="H2196" s="60"/>
      <c r="I2196" s="60"/>
      <c r="J2196" s="63"/>
      <c r="K2196" s="61" t="str">
        <f aca="false">IF($P2196=0,"",IF($F2196="Baseline","— Baseline",IF($O2196=0,"No result",IF($N2196=0,"No Start (attainment only)",IF(OR($N2196=1,$O2196=1),"U – needs rule",INDEX(MxBody,MATCH($I2196,MxCurr,0),MATCH($H2196,MxStart,0)))))))</f>
        <v/>
      </c>
      <c r="L2196" s="62" t="str">
        <f aca="false">IF(COUNTA($A2196,$F2196,$G2196,$H2196,$I2196,$J2196)=0,"",IF($M2196=0,"✖ كود الصف غير موجود",IF(ISNA(MATCH($F2196,Lists!$A$2:$A$5,0)),"✖ الفترة غير صحيحة",IF(ISNA(MATCH($G2196,Lists!$B$2:$B$7,0)),"✖ المجموعة غير صحيحة",IF(NOT(OR($H2196="",$N2196&gt;0)),"✖ Start غير صحيح",IF(NOT(OR($I2196="",$I2196="NR",$O2196&gt;0)),"✖ Current غير صحيح",IF(NOT(IF(ISNUMBER($J2196),AND($J2196&gt;=0,$J2196=INT($J2196)),FALSE())),"✖ العدد يجب أن يكون صحيحًا ≥ 0",IF(AND($F2196="Baseline",$H2196&lt;&gt;""),"⚠ Baseline: Start لا يدخل في التقدم",IF($K2196="No Start (attainment only)","ℹ تحصيل فقط (بدون Start)",IF($K2196="U – needs rule","ℹ حالة U تحتاج قاعدة معتمدة",IF($K2196="No result","ℹ بدون نتيجة (يُستبعد من التحصيل)","OK")))))))))))</f>
        <v/>
      </c>
      <c r="M2196" s="64" t="n">
        <f aca="false">IF($A2196="",0,IFERROR(MATCH($A2196,Classes!$A$6:$A$420,0),0))</f>
        <v>0</v>
      </c>
      <c r="N2196" s="64" t="n">
        <f aca="false">IF($H2196="",0,IFERROR(MATCH($H2196,GradeList,0),0))</f>
        <v>0</v>
      </c>
      <c r="O2196" s="64" t="n">
        <f aca="false">IF(OR($I2196="",$I2196="NR"),0,IFERROR(MATCH($I2196,GradeList,0),0))</f>
        <v>0</v>
      </c>
      <c r="P2196" s="64" t="n">
        <f aca="false">IF(AND($M2196&gt;0,ISNUMBER(MATCH($F2196,Lists!$A$2:$A$5,0)),ISNUMBER(MATCH($G2196,Lists!$B$2:$B$7,0)),OR($H2196="",$N2196&gt;0),OR($I2196="",$I2196="NR",$O2196&gt;0),IF(ISNUMBER($J2196),AND($J2196&gt;=0,$J2196=INT($J2196)),FALSE())),$J2196,0)</f>
        <v>0</v>
      </c>
      <c r="Q2196" s="64" t="n">
        <f aca="false">IF(AND($P2196&gt;0,$O2196&gt;0),$P2196,0)</f>
        <v>0</v>
      </c>
      <c r="R2196" s="64" t="n">
        <f aca="false">IF(AND($Q2196&gt;0,$O2196&gt;=AtRank),$Q2196,0)</f>
        <v>0</v>
      </c>
      <c r="S2196" s="64" t="n">
        <f aca="false">IF(AND($Q2196&gt;0,$O2196&gt;=AboveRank),$Q2196,0)</f>
        <v>0</v>
      </c>
      <c r="T2196" s="64" t="n">
        <f aca="false">IF($K2196="Less",$P2196,0)</f>
        <v>0</v>
      </c>
      <c r="U2196" s="64" t="n">
        <f aca="false">IF($K2196="Expected",$P2196,0)</f>
        <v>0</v>
      </c>
      <c r="V2196" s="64" t="n">
        <f aca="false">IF($K2196="Better",$P2196,0)</f>
        <v>0</v>
      </c>
      <c r="W2196" s="64" t="n">
        <f aca="false">IF($K2196="U – needs rule",$P2196,0)</f>
        <v>0</v>
      </c>
      <c r="X2196" s="64" t="n">
        <f aca="false">IF($K2196="No Start (attainment only)",$P2196,0)</f>
        <v>0</v>
      </c>
    </row>
    <row r="2197" customFormat="false" ht="15" hidden="false" customHeight="false" outlineLevel="0" collapsed="false">
      <c r="A2197" s="60"/>
      <c r="B2197" s="61" t="str">
        <f aca="false">IF($M2197=0,"",INDEX(Classes!$E$6:$E$420,$M2197))</f>
        <v/>
      </c>
      <c r="C2197" s="62" t="str">
        <f aca="false">IF($M2197=0,"",INDEX(Classes!$H$6:$H$420,$M2197))</f>
        <v/>
      </c>
      <c r="D2197" s="61" t="str">
        <f aca="false">IF($M2197=0,"",INDEX(Classes!$B$6:$B$420,$M2197))</f>
        <v/>
      </c>
      <c r="E2197" s="61" t="str">
        <f aca="false">IF($M2197=0,"",INDEX(Classes!$C$6:$C$420,$M2197))</f>
        <v/>
      </c>
      <c r="F2197" s="63"/>
      <c r="G2197" s="63"/>
      <c r="H2197" s="60"/>
      <c r="I2197" s="60"/>
      <c r="J2197" s="63"/>
      <c r="K2197" s="61" t="str">
        <f aca="false">IF($P2197=0,"",IF($F2197="Baseline","— Baseline",IF($O2197=0,"No result",IF($N2197=0,"No Start (attainment only)",IF(OR($N2197=1,$O2197=1),"U – needs rule",INDEX(MxBody,MATCH($I2197,MxCurr,0),MATCH($H2197,MxStart,0)))))))</f>
        <v/>
      </c>
      <c r="L2197" s="62" t="str">
        <f aca="false">IF(COUNTA($A2197,$F2197,$G2197,$H2197,$I2197,$J2197)=0,"",IF($M2197=0,"✖ كود الصف غير موجود",IF(ISNA(MATCH($F2197,Lists!$A$2:$A$5,0)),"✖ الفترة غير صحيحة",IF(ISNA(MATCH($G2197,Lists!$B$2:$B$7,0)),"✖ المجموعة غير صحيحة",IF(NOT(OR($H2197="",$N2197&gt;0)),"✖ Start غير صحيح",IF(NOT(OR($I2197="",$I2197="NR",$O2197&gt;0)),"✖ Current غير صحيح",IF(NOT(IF(ISNUMBER($J2197),AND($J2197&gt;=0,$J2197=INT($J2197)),FALSE())),"✖ العدد يجب أن يكون صحيحًا ≥ 0",IF(AND($F2197="Baseline",$H2197&lt;&gt;""),"⚠ Baseline: Start لا يدخل في التقدم",IF($K2197="No Start (attainment only)","ℹ تحصيل فقط (بدون Start)",IF($K2197="U – needs rule","ℹ حالة U تحتاج قاعدة معتمدة",IF($K2197="No result","ℹ بدون نتيجة (يُستبعد من التحصيل)","OK")))))))))))</f>
        <v/>
      </c>
      <c r="M2197" s="64" t="n">
        <f aca="false">IF($A2197="",0,IFERROR(MATCH($A2197,Classes!$A$6:$A$420,0),0))</f>
        <v>0</v>
      </c>
      <c r="N2197" s="64" t="n">
        <f aca="false">IF($H2197="",0,IFERROR(MATCH($H2197,GradeList,0),0))</f>
        <v>0</v>
      </c>
      <c r="O2197" s="64" t="n">
        <f aca="false">IF(OR($I2197="",$I2197="NR"),0,IFERROR(MATCH($I2197,GradeList,0),0))</f>
        <v>0</v>
      </c>
      <c r="P2197" s="64" t="n">
        <f aca="false">IF(AND($M2197&gt;0,ISNUMBER(MATCH($F2197,Lists!$A$2:$A$5,0)),ISNUMBER(MATCH($G2197,Lists!$B$2:$B$7,0)),OR($H2197="",$N2197&gt;0),OR($I2197="",$I2197="NR",$O2197&gt;0),IF(ISNUMBER($J2197),AND($J2197&gt;=0,$J2197=INT($J2197)),FALSE())),$J2197,0)</f>
        <v>0</v>
      </c>
      <c r="Q2197" s="64" t="n">
        <f aca="false">IF(AND($P2197&gt;0,$O2197&gt;0),$P2197,0)</f>
        <v>0</v>
      </c>
      <c r="R2197" s="64" t="n">
        <f aca="false">IF(AND($Q2197&gt;0,$O2197&gt;=AtRank),$Q2197,0)</f>
        <v>0</v>
      </c>
      <c r="S2197" s="64" t="n">
        <f aca="false">IF(AND($Q2197&gt;0,$O2197&gt;=AboveRank),$Q2197,0)</f>
        <v>0</v>
      </c>
      <c r="T2197" s="64" t="n">
        <f aca="false">IF($K2197="Less",$P2197,0)</f>
        <v>0</v>
      </c>
      <c r="U2197" s="64" t="n">
        <f aca="false">IF($K2197="Expected",$P2197,0)</f>
        <v>0</v>
      </c>
      <c r="V2197" s="64" t="n">
        <f aca="false">IF($K2197="Better",$P2197,0)</f>
        <v>0</v>
      </c>
      <c r="W2197" s="64" t="n">
        <f aca="false">IF($K2197="U – needs rule",$P2197,0)</f>
        <v>0</v>
      </c>
      <c r="X2197" s="64" t="n">
        <f aca="false">IF($K2197="No Start (attainment only)",$P2197,0)</f>
        <v>0</v>
      </c>
    </row>
    <row r="2198" customFormat="false" ht="15" hidden="false" customHeight="false" outlineLevel="0" collapsed="false">
      <c r="A2198" s="60"/>
      <c r="B2198" s="61" t="str">
        <f aca="false">IF($M2198=0,"",INDEX(Classes!$E$6:$E$420,$M2198))</f>
        <v/>
      </c>
      <c r="C2198" s="62" t="str">
        <f aca="false">IF($M2198=0,"",INDEX(Classes!$H$6:$H$420,$M2198))</f>
        <v/>
      </c>
      <c r="D2198" s="61" t="str">
        <f aca="false">IF($M2198=0,"",INDEX(Classes!$B$6:$B$420,$M2198))</f>
        <v/>
      </c>
      <c r="E2198" s="61" t="str">
        <f aca="false">IF($M2198=0,"",INDEX(Classes!$C$6:$C$420,$M2198))</f>
        <v/>
      </c>
      <c r="F2198" s="63"/>
      <c r="G2198" s="63"/>
      <c r="H2198" s="60"/>
      <c r="I2198" s="60"/>
      <c r="J2198" s="63"/>
      <c r="K2198" s="61" t="str">
        <f aca="false">IF($P2198=0,"",IF($F2198="Baseline","— Baseline",IF($O2198=0,"No result",IF($N2198=0,"No Start (attainment only)",IF(OR($N2198=1,$O2198=1),"U – needs rule",INDEX(MxBody,MATCH($I2198,MxCurr,0),MATCH($H2198,MxStart,0)))))))</f>
        <v/>
      </c>
      <c r="L2198" s="62" t="str">
        <f aca="false">IF(COUNTA($A2198,$F2198,$G2198,$H2198,$I2198,$J2198)=0,"",IF($M2198=0,"✖ كود الصف غير موجود",IF(ISNA(MATCH($F2198,Lists!$A$2:$A$5,0)),"✖ الفترة غير صحيحة",IF(ISNA(MATCH($G2198,Lists!$B$2:$B$7,0)),"✖ المجموعة غير صحيحة",IF(NOT(OR($H2198="",$N2198&gt;0)),"✖ Start غير صحيح",IF(NOT(OR($I2198="",$I2198="NR",$O2198&gt;0)),"✖ Current غير صحيح",IF(NOT(IF(ISNUMBER($J2198),AND($J2198&gt;=0,$J2198=INT($J2198)),FALSE())),"✖ العدد يجب أن يكون صحيحًا ≥ 0",IF(AND($F2198="Baseline",$H2198&lt;&gt;""),"⚠ Baseline: Start لا يدخل في التقدم",IF($K2198="No Start (attainment only)","ℹ تحصيل فقط (بدون Start)",IF($K2198="U – needs rule","ℹ حالة U تحتاج قاعدة معتمدة",IF($K2198="No result","ℹ بدون نتيجة (يُستبعد من التحصيل)","OK")))))))))))</f>
        <v/>
      </c>
      <c r="M2198" s="64" t="n">
        <f aca="false">IF($A2198="",0,IFERROR(MATCH($A2198,Classes!$A$6:$A$420,0),0))</f>
        <v>0</v>
      </c>
      <c r="N2198" s="64" t="n">
        <f aca="false">IF($H2198="",0,IFERROR(MATCH($H2198,GradeList,0),0))</f>
        <v>0</v>
      </c>
      <c r="O2198" s="64" t="n">
        <f aca="false">IF(OR($I2198="",$I2198="NR"),0,IFERROR(MATCH($I2198,GradeList,0),0))</f>
        <v>0</v>
      </c>
      <c r="P2198" s="64" t="n">
        <f aca="false">IF(AND($M2198&gt;0,ISNUMBER(MATCH($F2198,Lists!$A$2:$A$5,0)),ISNUMBER(MATCH($G2198,Lists!$B$2:$B$7,0)),OR($H2198="",$N2198&gt;0),OR($I2198="",$I2198="NR",$O2198&gt;0),IF(ISNUMBER($J2198),AND($J2198&gt;=0,$J2198=INT($J2198)),FALSE())),$J2198,0)</f>
        <v>0</v>
      </c>
      <c r="Q2198" s="64" t="n">
        <f aca="false">IF(AND($P2198&gt;0,$O2198&gt;0),$P2198,0)</f>
        <v>0</v>
      </c>
      <c r="R2198" s="64" t="n">
        <f aca="false">IF(AND($Q2198&gt;0,$O2198&gt;=AtRank),$Q2198,0)</f>
        <v>0</v>
      </c>
      <c r="S2198" s="64" t="n">
        <f aca="false">IF(AND($Q2198&gt;0,$O2198&gt;=AboveRank),$Q2198,0)</f>
        <v>0</v>
      </c>
      <c r="T2198" s="64" t="n">
        <f aca="false">IF($K2198="Less",$P2198,0)</f>
        <v>0</v>
      </c>
      <c r="U2198" s="64" t="n">
        <f aca="false">IF($K2198="Expected",$P2198,0)</f>
        <v>0</v>
      </c>
      <c r="V2198" s="64" t="n">
        <f aca="false">IF($K2198="Better",$P2198,0)</f>
        <v>0</v>
      </c>
      <c r="W2198" s="64" t="n">
        <f aca="false">IF($K2198="U – needs rule",$P2198,0)</f>
        <v>0</v>
      </c>
      <c r="X2198" s="64" t="n">
        <f aca="false">IF($K2198="No Start (attainment only)",$P2198,0)</f>
        <v>0</v>
      </c>
    </row>
    <row r="2199" customFormat="false" ht="15" hidden="false" customHeight="false" outlineLevel="0" collapsed="false">
      <c r="A2199" s="60"/>
      <c r="B2199" s="61" t="str">
        <f aca="false">IF($M2199=0,"",INDEX(Classes!$E$6:$E$420,$M2199))</f>
        <v/>
      </c>
      <c r="C2199" s="62" t="str">
        <f aca="false">IF($M2199=0,"",INDEX(Classes!$H$6:$H$420,$M2199))</f>
        <v/>
      </c>
      <c r="D2199" s="61" t="str">
        <f aca="false">IF($M2199=0,"",INDEX(Classes!$B$6:$B$420,$M2199))</f>
        <v/>
      </c>
      <c r="E2199" s="61" t="str">
        <f aca="false">IF($M2199=0,"",INDEX(Classes!$C$6:$C$420,$M2199))</f>
        <v/>
      </c>
      <c r="F2199" s="63"/>
      <c r="G2199" s="63"/>
      <c r="H2199" s="60"/>
      <c r="I2199" s="60"/>
      <c r="J2199" s="63"/>
      <c r="K2199" s="61" t="str">
        <f aca="false">IF($P2199=0,"",IF($F2199="Baseline","— Baseline",IF($O2199=0,"No result",IF($N2199=0,"No Start (attainment only)",IF(OR($N2199=1,$O2199=1),"U – needs rule",INDEX(MxBody,MATCH($I2199,MxCurr,0),MATCH($H2199,MxStart,0)))))))</f>
        <v/>
      </c>
      <c r="L2199" s="62" t="str">
        <f aca="false">IF(COUNTA($A2199,$F2199,$G2199,$H2199,$I2199,$J2199)=0,"",IF($M2199=0,"✖ كود الصف غير موجود",IF(ISNA(MATCH($F2199,Lists!$A$2:$A$5,0)),"✖ الفترة غير صحيحة",IF(ISNA(MATCH($G2199,Lists!$B$2:$B$7,0)),"✖ المجموعة غير صحيحة",IF(NOT(OR($H2199="",$N2199&gt;0)),"✖ Start غير صحيح",IF(NOT(OR($I2199="",$I2199="NR",$O2199&gt;0)),"✖ Current غير صحيح",IF(NOT(IF(ISNUMBER($J2199),AND($J2199&gt;=0,$J2199=INT($J2199)),FALSE())),"✖ العدد يجب أن يكون صحيحًا ≥ 0",IF(AND($F2199="Baseline",$H2199&lt;&gt;""),"⚠ Baseline: Start لا يدخل في التقدم",IF($K2199="No Start (attainment only)","ℹ تحصيل فقط (بدون Start)",IF($K2199="U – needs rule","ℹ حالة U تحتاج قاعدة معتمدة",IF($K2199="No result","ℹ بدون نتيجة (يُستبعد من التحصيل)","OK")))))))))))</f>
        <v/>
      </c>
      <c r="M2199" s="64" t="n">
        <f aca="false">IF($A2199="",0,IFERROR(MATCH($A2199,Classes!$A$6:$A$420,0),0))</f>
        <v>0</v>
      </c>
      <c r="N2199" s="64" t="n">
        <f aca="false">IF($H2199="",0,IFERROR(MATCH($H2199,GradeList,0),0))</f>
        <v>0</v>
      </c>
      <c r="O2199" s="64" t="n">
        <f aca="false">IF(OR($I2199="",$I2199="NR"),0,IFERROR(MATCH($I2199,GradeList,0),0))</f>
        <v>0</v>
      </c>
      <c r="P2199" s="64" t="n">
        <f aca="false">IF(AND($M2199&gt;0,ISNUMBER(MATCH($F2199,Lists!$A$2:$A$5,0)),ISNUMBER(MATCH($G2199,Lists!$B$2:$B$7,0)),OR($H2199="",$N2199&gt;0),OR($I2199="",$I2199="NR",$O2199&gt;0),IF(ISNUMBER($J2199),AND($J2199&gt;=0,$J2199=INT($J2199)),FALSE())),$J2199,0)</f>
        <v>0</v>
      </c>
      <c r="Q2199" s="64" t="n">
        <f aca="false">IF(AND($P2199&gt;0,$O2199&gt;0),$P2199,0)</f>
        <v>0</v>
      </c>
      <c r="R2199" s="64" t="n">
        <f aca="false">IF(AND($Q2199&gt;0,$O2199&gt;=AtRank),$Q2199,0)</f>
        <v>0</v>
      </c>
      <c r="S2199" s="64" t="n">
        <f aca="false">IF(AND($Q2199&gt;0,$O2199&gt;=AboveRank),$Q2199,0)</f>
        <v>0</v>
      </c>
      <c r="T2199" s="64" t="n">
        <f aca="false">IF($K2199="Less",$P2199,0)</f>
        <v>0</v>
      </c>
      <c r="U2199" s="64" t="n">
        <f aca="false">IF($K2199="Expected",$P2199,0)</f>
        <v>0</v>
      </c>
      <c r="V2199" s="64" t="n">
        <f aca="false">IF($K2199="Better",$P2199,0)</f>
        <v>0</v>
      </c>
      <c r="W2199" s="64" t="n">
        <f aca="false">IF($K2199="U – needs rule",$P2199,0)</f>
        <v>0</v>
      </c>
      <c r="X2199" s="64" t="n">
        <f aca="false">IF($K2199="No Start (attainment only)",$P2199,0)</f>
        <v>0</v>
      </c>
    </row>
    <row r="2200" customFormat="false" ht="15" hidden="false" customHeight="false" outlineLevel="0" collapsed="false">
      <c r="A2200" s="60"/>
      <c r="B2200" s="61" t="str">
        <f aca="false">IF($M2200=0,"",INDEX(Classes!$E$6:$E$420,$M2200))</f>
        <v/>
      </c>
      <c r="C2200" s="62" t="str">
        <f aca="false">IF($M2200=0,"",INDEX(Classes!$H$6:$H$420,$M2200))</f>
        <v/>
      </c>
      <c r="D2200" s="61" t="str">
        <f aca="false">IF($M2200=0,"",INDEX(Classes!$B$6:$B$420,$M2200))</f>
        <v/>
      </c>
      <c r="E2200" s="61" t="str">
        <f aca="false">IF($M2200=0,"",INDEX(Classes!$C$6:$C$420,$M2200))</f>
        <v/>
      </c>
      <c r="F2200" s="63"/>
      <c r="G2200" s="63"/>
      <c r="H2200" s="60"/>
      <c r="I2200" s="60"/>
      <c r="J2200" s="63"/>
      <c r="K2200" s="61" t="str">
        <f aca="false">IF($P2200=0,"",IF($F2200="Baseline","— Baseline",IF($O2200=0,"No result",IF($N2200=0,"No Start (attainment only)",IF(OR($N2200=1,$O2200=1),"U – needs rule",INDEX(MxBody,MATCH($I2200,MxCurr,0),MATCH($H2200,MxStart,0)))))))</f>
        <v/>
      </c>
      <c r="L2200" s="62" t="str">
        <f aca="false">IF(COUNTA($A2200,$F2200,$G2200,$H2200,$I2200,$J2200)=0,"",IF($M2200=0,"✖ كود الصف غير موجود",IF(ISNA(MATCH($F2200,Lists!$A$2:$A$5,0)),"✖ الفترة غير صحيحة",IF(ISNA(MATCH($G2200,Lists!$B$2:$B$7,0)),"✖ المجموعة غير صحيحة",IF(NOT(OR($H2200="",$N2200&gt;0)),"✖ Start غير صحيح",IF(NOT(OR($I2200="",$I2200="NR",$O2200&gt;0)),"✖ Current غير صحيح",IF(NOT(IF(ISNUMBER($J2200),AND($J2200&gt;=0,$J2200=INT($J2200)),FALSE())),"✖ العدد يجب أن يكون صحيحًا ≥ 0",IF(AND($F2200="Baseline",$H2200&lt;&gt;""),"⚠ Baseline: Start لا يدخل في التقدم",IF($K2200="No Start (attainment only)","ℹ تحصيل فقط (بدون Start)",IF($K2200="U – needs rule","ℹ حالة U تحتاج قاعدة معتمدة",IF($K2200="No result","ℹ بدون نتيجة (يُستبعد من التحصيل)","OK")))))))))))</f>
        <v/>
      </c>
      <c r="M2200" s="64" t="n">
        <f aca="false">IF($A2200="",0,IFERROR(MATCH($A2200,Classes!$A$6:$A$420,0),0))</f>
        <v>0</v>
      </c>
      <c r="N2200" s="64" t="n">
        <f aca="false">IF($H2200="",0,IFERROR(MATCH($H2200,GradeList,0),0))</f>
        <v>0</v>
      </c>
      <c r="O2200" s="64" t="n">
        <f aca="false">IF(OR($I2200="",$I2200="NR"),0,IFERROR(MATCH($I2200,GradeList,0),0))</f>
        <v>0</v>
      </c>
      <c r="P2200" s="64" t="n">
        <f aca="false">IF(AND($M2200&gt;0,ISNUMBER(MATCH($F2200,Lists!$A$2:$A$5,0)),ISNUMBER(MATCH($G2200,Lists!$B$2:$B$7,0)),OR($H2200="",$N2200&gt;0),OR($I2200="",$I2200="NR",$O2200&gt;0),IF(ISNUMBER($J2200),AND($J2200&gt;=0,$J2200=INT($J2200)),FALSE())),$J2200,0)</f>
        <v>0</v>
      </c>
      <c r="Q2200" s="64" t="n">
        <f aca="false">IF(AND($P2200&gt;0,$O2200&gt;0),$P2200,0)</f>
        <v>0</v>
      </c>
      <c r="R2200" s="64" t="n">
        <f aca="false">IF(AND($Q2200&gt;0,$O2200&gt;=AtRank),$Q2200,0)</f>
        <v>0</v>
      </c>
      <c r="S2200" s="64" t="n">
        <f aca="false">IF(AND($Q2200&gt;0,$O2200&gt;=AboveRank),$Q2200,0)</f>
        <v>0</v>
      </c>
      <c r="T2200" s="64" t="n">
        <f aca="false">IF($K2200="Less",$P2200,0)</f>
        <v>0</v>
      </c>
      <c r="U2200" s="64" t="n">
        <f aca="false">IF($K2200="Expected",$P2200,0)</f>
        <v>0</v>
      </c>
      <c r="V2200" s="64" t="n">
        <f aca="false">IF($K2200="Better",$P2200,0)</f>
        <v>0</v>
      </c>
      <c r="W2200" s="64" t="n">
        <f aca="false">IF($K2200="U – needs rule",$P2200,0)</f>
        <v>0</v>
      </c>
      <c r="X2200" s="64" t="n">
        <f aca="false">IF($K2200="No Start (attainment only)",$P2200,0)</f>
        <v>0</v>
      </c>
    </row>
    <row r="2201" customFormat="false" ht="15" hidden="false" customHeight="false" outlineLevel="0" collapsed="false">
      <c r="A2201" s="60"/>
      <c r="B2201" s="61" t="str">
        <f aca="false">IF($M2201=0,"",INDEX(Classes!$E$6:$E$420,$M2201))</f>
        <v/>
      </c>
      <c r="C2201" s="62" t="str">
        <f aca="false">IF($M2201=0,"",INDEX(Classes!$H$6:$H$420,$M2201))</f>
        <v/>
      </c>
      <c r="D2201" s="61" t="str">
        <f aca="false">IF($M2201=0,"",INDEX(Classes!$B$6:$B$420,$M2201))</f>
        <v/>
      </c>
      <c r="E2201" s="61" t="str">
        <f aca="false">IF($M2201=0,"",INDEX(Classes!$C$6:$C$420,$M2201))</f>
        <v/>
      </c>
      <c r="F2201" s="63"/>
      <c r="G2201" s="63"/>
      <c r="H2201" s="60"/>
      <c r="I2201" s="60"/>
      <c r="J2201" s="63"/>
      <c r="K2201" s="61" t="str">
        <f aca="false">IF($P2201=0,"",IF($F2201="Baseline","— Baseline",IF($O2201=0,"No result",IF($N2201=0,"No Start (attainment only)",IF(OR($N2201=1,$O2201=1),"U – needs rule",INDEX(MxBody,MATCH($I2201,MxCurr,0),MATCH($H2201,MxStart,0)))))))</f>
        <v/>
      </c>
      <c r="L2201" s="62" t="str">
        <f aca="false">IF(COUNTA($A2201,$F2201,$G2201,$H2201,$I2201,$J2201)=0,"",IF($M2201=0,"✖ كود الصف غير موجود",IF(ISNA(MATCH($F2201,Lists!$A$2:$A$5,0)),"✖ الفترة غير صحيحة",IF(ISNA(MATCH($G2201,Lists!$B$2:$B$7,0)),"✖ المجموعة غير صحيحة",IF(NOT(OR($H2201="",$N2201&gt;0)),"✖ Start غير صحيح",IF(NOT(OR($I2201="",$I2201="NR",$O2201&gt;0)),"✖ Current غير صحيح",IF(NOT(IF(ISNUMBER($J2201),AND($J2201&gt;=0,$J2201=INT($J2201)),FALSE())),"✖ العدد يجب أن يكون صحيحًا ≥ 0",IF(AND($F2201="Baseline",$H2201&lt;&gt;""),"⚠ Baseline: Start لا يدخل في التقدم",IF($K2201="No Start (attainment only)","ℹ تحصيل فقط (بدون Start)",IF($K2201="U – needs rule","ℹ حالة U تحتاج قاعدة معتمدة",IF($K2201="No result","ℹ بدون نتيجة (يُستبعد من التحصيل)","OK")))))))))))</f>
        <v/>
      </c>
      <c r="M2201" s="64" t="n">
        <f aca="false">IF($A2201="",0,IFERROR(MATCH($A2201,Classes!$A$6:$A$420,0),0))</f>
        <v>0</v>
      </c>
      <c r="N2201" s="64" t="n">
        <f aca="false">IF($H2201="",0,IFERROR(MATCH($H2201,GradeList,0),0))</f>
        <v>0</v>
      </c>
      <c r="O2201" s="64" t="n">
        <f aca="false">IF(OR($I2201="",$I2201="NR"),0,IFERROR(MATCH($I2201,GradeList,0),0))</f>
        <v>0</v>
      </c>
      <c r="P2201" s="64" t="n">
        <f aca="false">IF(AND($M2201&gt;0,ISNUMBER(MATCH($F2201,Lists!$A$2:$A$5,0)),ISNUMBER(MATCH($G2201,Lists!$B$2:$B$7,0)),OR($H2201="",$N2201&gt;0),OR($I2201="",$I2201="NR",$O2201&gt;0),IF(ISNUMBER($J2201),AND($J2201&gt;=0,$J2201=INT($J2201)),FALSE())),$J2201,0)</f>
        <v>0</v>
      </c>
      <c r="Q2201" s="64" t="n">
        <f aca="false">IF(AND($P2201&gt;0,$O2201&gt;0),$P2201,0)</f>
        <v>0</v>
      </c>
      <c r="R2201" s="64" t="n">
        <f aca="false">IF(AND($Q2201&gt;0,$O2201&gt;=AtRank),$Q2201,0)</f>
        <v>0</v>
      </c>
      <c r="S2201" s="64" t="n">
        <f aca="false">IF(AND($Q2201&gt;0,$O2201&gt;=AboveRank),$Q2201,0)</f>
        <v>0</v>
      </c>
      <c r="T2201" s="64" t="n">
        <f aca="false">IF($K2201="Less",$P2201,0)</f>
        <v>0</v>
      </c>
      <c r="U2201" s="64" t="n">
        <f aca="false">IF($K2201="Expected",$P2201,0)</f>
        <v>0</v>
      </c>
      <c r="V2201" s="64" t="n">
        <f aca="false">IF($K2201="Better",$P2201,0)</f>
        <v>0</v>
      </c>
      <c r="W2201" s="64" t="n">
        <f aca="false">IF($K2201="U – needs rule",$P2201,0)</f>
        <v>0</v>
      </c>
      <c r="X2201" s="64" t="n">
        <f aca="false">IF($K2201="No Start (attainment only)",$P2201,0)</f>
        <v>0</v>
      </c>
    </row>
    <row r="2202" customFormat="false" ht="15" hidden="false" customHeight="false" outlineLevel="0" collapsed="false">
      <c r="A2202" s="60"/>
      <c r="B2202" s="61" t="str">
        <f aca="false">IF($M2202=0,"",INDEX(Classes!$E$6:$E$420,$M2202))</f>
        <v/>
      </c>
      <c r="C2202" s="62" t="str">
        <f aca="false">IF($M2202=0,"",INDEX(Classes!$H$6:$H$420,$M2202))</f>
        <v/>
      </c>
      <c r="D2202" s="61" t="str">
        <f aca="false">IF($M2202=0,"",INDEX(Classes!$B$6:$B$420,$M2202))</f>
        <v/>
      </c>
      <c r="E2202" s="61" t="str">
        <f aca="false">IF($M2202=0,"",INDEX(Classes!$C$6:$C$420,$M2202))</f>
        <v/>
      </c>
      <c r="F2202" s="63"/>
      <c r="G2202" s="63"/>
      <c r="H2202" s="60"/>
      <c r="I2202" s="60"/>
      <c r="J2202" s="63"/>
      <c r="K2202" s="61" t="str">
        <f aca="false">IF($P2202=0,"",IF($F2202="Baseline","— Baseline",IF($O2202=0,"No result",IF($N2202=0,"No Start (attainment only)",IF(OR($N2202=1,$O2202=1),"U – needs rule",INDEX(MxBody,MATCH($I2202,MxCurr,0),MATCH($H2202,MxStart,0)))))))</f>
        <v/>
      </c>
      <c r="L2202" s="62" t="str">
        <f aca="false">IF(COUNTA($A2202,$F2202,$G2202,$H2202,$I2202,$J2202)=0,"",IF($M2202=0,"✖ كود الصف غير موجود",IF(ISNA(MATCH($F2202,Lists!$A$2:$A$5,0)),"✖ الفترة غير صحيحة",IF(ISNA(MATCH($G2202,Lists!$B$2:$B$7,0)),"✖ المجموعة غير صحيحة",IF(NOT(OR($H2202="",$N2202&gt;0)),"✖ Start غير صحيح",IF(NOT(OR($I2202="",$I2202="NR",$O2202&gt;0)),"✖ Current غير صحيح",IF(NOT(IF(ISNUMBER($J2202),AND($J2202&gt;=0,$J2202=INT($J2202)),FALSE())),"✖ العدد يجب أن يكون صحيحًا ≥ 0",IF(AND($F2202="Baseline",$H2202&lt;&gt;""),"⚠ Baseline: Start لا يدخل في التقدم",IF($K2202="No Start (attainment only)","ℹ تحصيل فقط (بدون Start)",IF($K2202="U – needs rule","ℹ حالة U تحتاج قاعدة معتمدة",IF($K2202="No result","ℹ بدون نتيجة (يُستبعد من التحصيل)","OK")))))))))))</f>
        <v/>
      </c>
      <c r="M2202" s="64" t="n">
        <f aca="false">IF($A2202="",0,IFERROR(MATCH($A2202,Classes!$A$6:$A$420,0),0))</f>
        <v>0</v>
      </c>
      <c r="N2202" s="64" t="n">
        <f aca="false">IF($H2202="",0,IFERROR(MATCH($H2202,GradeList,0),0))</f>
        <v>0</v>
      </c>
      <c r="O2202" s="64" t="n">
        <f aca="false">IF(OR($I2202="",$I2202="NR"),0,IFERROR(MATCH($I2202,GradeList,0),0))</f>
        <v>0</v>
      </c>
      <c r="P2202" s="64" t="n">
        <f aca="false">IF(AND($M2202&gt;0,ISNUMBER(MATCH($F2202,Lists!$A$2:$A$5,0)),ISNUMBER(MATCH($G2202,Lists!$B$2:$B$7,0)),OR($H2202="",$N2202&gt;0),OR($I2202="",$I2202="NR",$O2202&gt;0),IF(ISNUMBER($J2202),AND($J2202&gt;=0,$J2202=INT($J2202)),FALSE())),$J2202,0)</f>
        <v>0</v>
      </c>
      <c r="Q2202" s="64" t="n">
        <f aca="false">IF(AND($P2202&gt;0,$O2202&gt;0),$P2202,0)</f>
        <v>0</v>
      </c>
      <c r="R2202" s="64" t="n">
        <f aca="false">IF(AND($Q2202&gt;0,$O2202&gt;=AtRank),$Q2202,0)</f>
        <v>0</v>
      </c>
      <c r="S2202" s="64" t="n">
        <f aca="false">IF(AND($Q2202&gt;0,$O2202&gt;=AboveRank),$Q2202,0)</f>
        <v>0</v>
      </c>
      <c r="T2202" s="64" t="n">
        <f aca="false">IF($K2202="Less",$P2202,0)</f>
        <v>0</v>
      </c>
      <c r="U2202" s="64" t="n">
        <f aca="false">IF($K2202="Expected",$P2202,0)</f>
        <v>0</v>
      </c>
      <c r="V2202" s="64" t="n">
        <f aca="false">IF($K2202="Better",$P2202,0)</f>
        <v>0</v>
      </c>
      <c r="W2202" s="64" t="n">
        <f aca="false">IF($K2202="U – needs rule",$P2202,0)</f>
        <v>0</v>
      </c>
      <c r="X2202" s="64" t="n">
        <f aca="false">IF($K2202="No Start (attainment only)",$P2202,0)</f>
        <v>0</v>
      </c>
    </row>
    <row r="2203" customFormat="false" ht="15" hidden="false" customHeight="false" outlineLevel="0" collapsed="false">
      <c r="A2203" s="60"/>
      <c r="B2203" s="61" t="str">
        <f aca="false">IF($M2203=0,"",INDEX(Classes!$E$6:$E$420,$M2203))</f>
        <v/>
      </c>
      <c r="C2203" s="62" t="str">
        <f aca="false">IF($M2203=0,"",INDEX(Classes!$H$6:$H$420,$M2203))</f>
        <v/>
      </c>
      <c r="D2203" s="61" t="str">
        <f aca="false">IF($M2203=0,"",INDEX(Classes!$B$6:$B$420,$M2203))</f>
        <v/>
      </c>
      <c r="E2203" s="61" t="str">
        <f aca="false">IF($M2203=0,"",INDEX(Classes!$C$6:$C$420,$M2203))</f>
        <v/>
      </c>
      <c r="F2203" s="63"/>
      <c r="G2203" s="63"/>
      <c r="H2203" s="60"/>
      <c r="I2203" s="60"/>
      <c r="J2203" s="63"/>
      <c r="K2203" s="61" t="str">
        <f aca="false">IF($P2203=0,"",IF($F2203="Baseline","— Baseline",IF($O2203=0,"No result",IF($N2203=0,"No Start (attainment only)",IF(OR($N2203=1,$O2203=1),"U – needs rule",INDEX(MxBody,MATCH($I2203,MxCurr,0),MATCH($H2203,MxStart,0)))))))</f>
        <v/>
      </c>
      <c r="L2203" s="62" t="str">
        <f aca="false">IF(COUNTA($A2203,$F2203,$G2203,$H2203,$I2203,$J2203)=0,"",IF($M2203=0,"✖ كود الصف غير موجود",IF(ISNA(MATCH($F2203,Lists!$A$2:$A$5,0)),"✖ الفترة غير صحيحة",IF(ISNA(MATCH($G2203,Lists!$B$2:$B$7,0)),"✖ المجموعة غير صحيحة",IF(NOT(OR($H2203="",$N2203&gt;0)),"✖ Start غير صحيح",IF(NOT(OR($I2203="",$I2203="NR",$O2203&gt;0)),"✖ Current غير صحيح",IF(NOT(IF(ISNUMBER($J2203),AND($J2203&gt;=0,$J2203=INT($J2203)),FALSE())),"✖ العدد يجب أن يكون صحيحًا ≥ 0",IF(AND($F2203="Baseline",$H2203&lt;&gt;""),"⚠ Baseline: Start لا يدخل في التقدم",IF($K2203="No Start (attainment only)","ℹ تحصيل فقط (بدون Start)",IF($K2203="U – needs rule","ℹ حالة U تحتاج قاعدة معتمدة",IF($K2203="No result","ℹ بدون نتيجة (يُستبعد من التحصيل)","OK")))))))))))</f>
        <v/>
      </c>
      <c r="M2203" s="64" t="n">
        <f aca="false">IF($A2203="",0,IFERROR(MATCH($A2203,Classes!$A$6:$A$420,0),0))</f>
        <v>0</v>
      </c>
      <c r="N2203" s="64" t="n">
        <f aca="false">IF($H2203="",0,IFERROR(MATCH($H2203,GradeList,0),0))</f>
        <v>0</v>
      </c>
      <c r="O2203" s="64" t="n">
        <f aca="false">IF(OR($I2203="",$I2203="NR"),0,IFERROR(MATCH($I2203,GradeList,0),0))</f>
        <v>0</v>
      </c>
      <c r="P2203" s="64" t="n">
        <f aca="false">IF(AND($M2203&gt;0,ISNUMBER(MATCH($F2203,Lists!$A$2:$A$5,0)),ISNUMBER(MATCH($G2203,Lists!$B$2:$B$7,0)),OR($H2203="",$N2203&gt;0),OR($I2203="",$I2203="NR",$O2203&gt;0),IF(ISNUMBER($J2203),AND($J2203&gt;=0,$J2203=INT($J2203)),FALSE())),$J2203,0)</f>
        <v>0</v>
      </c>
      <c r="Q2203" s="64" t="n">
        <f aca="false">IF(AND($P2203&gt;0,$O2203&gt;0),$P2203,0)</f>
        <v>0</v>
      </c>
      <c r="R2203" s="64" t="n">
        <f aca="false">IF(AND($Q2203&gt;0,$O2203&gt;=AtRank),$Q2203,0)</f>
        <v>0</v>
      </c>
      <c r="S2203" s="64" t="n">
        <f aca="false">IF(AND($Q2203&gt;0,$O2203&gt;=AboveRank),$Q2203,0)</f>
        <v>0</v>
      </c>
      <c r="T2203" s="64" t="n">
        <f aca="false">IF($K2203="Less",$P2203,0)</f>
        <v>0</v>
      </c>
      <c r="U2203" s="64" t="n">
        <f aca="false">IF($K2203="Expected",$P2203,0)</f>
        <v>0</v>
      </c>
      <c r="V2203" s="64" t="n">
        <f aca="false">IF($K2203="Better",$P2203,0)</f>
        <v>0</v>
      </c>
      <c r="W2203" s="64" t="n">
        <f aca="false">IF($K2203="U – needs rule",$P2203,0)</f>
        <v>0</v>
      </c>
      <c r="X2203" s="64" t="n">
        <f aca="false">IF($K2203="No Start (attainment only)",$P2203,0)</f>
        <v>0</v>
      </c>
    </row>
    <row r="2204" customFormat="false" ht="15" hidden="false" customHeight="false" outlineLevel="0" collapsed="false">
      <c r="A2204" s="60"/>
      <c r="B2204" s="61" t="str">
        <f aca="false">IF($M2204=0,"",INDEX(Classes!$E$6:$E$420,$M2204))</f>
        <v/>
      </c>
      <c r="C2204" s="62" t="str">
        <f aca="false">IF($M2204=0,"",INDEX(Classes!$H$6:$H$420,$M2204))</f>
        <v/>
      </c>
      <c r="D2204" s="61" t="str">
        <f aca="false">IF($M2204=0,"",INDEX(Classes!$B$6:$B$420,$M2204))</f>
        <v/>
      </c>
      <c r="E2204" s="61" t="str">
        <f aca="false">IF($M2204=0,"",INDEX(Classes!$C$6:$C$420,$M2204))</f>
        <v/>
      </c>
      <c r="F2204" s="63"/>
      <c r="G2204" s="63"/>
      <c r="H2204" s="60"/>
      <c r="I2204" s="60"/>
      <c r="J2204" s="63"/>
      <c r="K2204" s="61" t="str">
        <f aca="false">IF($P2204=0,"",IF($F2204="Baseline","— Baseline",IF($O2204=0,"No result",IF($N2204=0,"No Start (attainment only)",IF(OR($N2204=1,$O2204=1),"U – needs rule",INDEX(MxBody,MATCH($I2204,MxCurr,0),MATCH($H2204,MxStart,0)))))))</f>
        <v/>
      </c>
      <c r="L2204" s="62" t="str">
        <f aca="false">IF(COUNTA($A2204,$F2204,$G2204,$H2204,$I2204,$J2204)=0,"",IF($M2204=0,"✖ كود الصف غير موجود",IF(ISNA(MATCH($F2204,Lists!$A$2:$A$5,0)),"✖ الفترة غير صحيحة",IF(ISNA(MATCH($G2204,Lists!$B$2:$B$7,0)),"✖ المجموعة غير صحيحة",IF(NOT(OR($H2204="",$N2204&gt;0)),"✖ Start غير صحيح",IF(NOT(OR($I2204="",$I2204="NR",$O2204&gt;0)),"✖ Current غير صحيح",IF(NOT(IF(ISNUMBER($J2204),AND($J2204&gt;=0,$J2204=INT($J2204)),FALSE())),"✖ العدد يجب أن يكون صحيحًا ≥ 0",IF(AND($F2204="Baseline",$H2204&lt;&gt;""),"⚠ Baseline: Start لا يدخل في التقدم",IF($K2204="No Start (attainment only)","ℹ تحصيل فقط (بدون Start)",IF($K2204="U – needs rule","ℹ حالة U تحتاج قاعدة معتمدة",IF($K2204="No result","ℹ بدون نتيجة (يُستبعد من التحصيل)","OK")))))))))))</f>
        <v/>
      </c>
      <c r="M2204" s="64" t="n">
        <f aca="false">IF($A2204="",0,IFERROR(MATCH($A2204,Classes!$A$6:$A$420,0),0))</f>
        <v>0</v>
      </c>
      <c r="N2204" s="64" t="n">
        <f aca="false">IF($H2204="",0,IFERROR(MATCH($H2204,GradeList,0),0))</f>
        <v>0</v>
      </c>
      <c r="O2204" s="64" t="n">
        <f aca="false">IF(OR($I2204="",$I2204="NR"),0,IFERROR(MATCH($I2204,GradeList,0),0))</f>
        <v>0</v>
      </c>
      <c r="P2204" s="64" t="n">
        <f aca="false">IF(AND($M2204&gt;0,ISNUMBER(MATCH($F2204,Lists!$A$2:$A$5,0)),ISNUMBER(MATCH($G2204,Lists!$B$2:$B$7,0)),OR($H2204="",$N2204&gt;0),OR($I2204="",$I2204="NR",$O2204&gt;0),IF(ISNUMBER($J2204),AND($J2204&gt;=0,$J2204=INT($J2204)),FALSE())),$J2204,0)</f>
        <v>0</v>
      </c>
      <c r="Q2204" s="64" t="n">
        <f aca="false">IF(AND($P2204&gt;0,$O2204&gt;0),$P2204,0)</f>
        <v>0</v>
      </c>
      <c r="R2204" s="64" t="n">
        <f aca="false">IF(AND($Q2204&gt;0,$O2204&gt;=AtRank),$Q2204,0)</f>
        <v>0</v>
      </c>
      <c r="S2204" s="64" t="n">
        <f aca="false">IF(AND($Q2204&gt;0,$O2204&gt;=AboveRank),$Q2204,0)</f>
        <v>0</v>
      </c>
      <c r="T2204" s="64" t="n">
        <f aca="false">IF($K2204="Less",$P2204,0)</f>
        <v>0</v>
      </c>
      <c r="U2204" s="64" t="n">
        <f aca="false">IF($K2204="Expected",$P2204,0)</f>
        <v>0</v>
      </c>
      <c r="V2204" s="64" t="n">
        <f aca="false">IF($K2204="Better",$P2204,0)</f>
        <v>0</v>
      </c>
      <c r="W2204" s="64" t="n">
        <f aca="false">IF($K2204="U – needs rule",$P2204,0)</f>
        <v>0</v>
      </c>
      <c r="X2204" s="64" t="n">
        <f aca="false">IF($K2204="No Start (attainment only)",$P2204,0)</f>
        <v>0</v>
      </c>
    </row>
    <row r="2205" customFormat="false" ht="15" hidden="false" customHeight="false" outlineLevel="0" collapsed="false">
      <c r="A2205" s="60"/>
      <c r="B2205" s="61" t="str">
        <f aca="false">IF($M2205=0,"",INDEX(Classes!$E$6:$E$420,$M2205))</f>
        <v/>
      </c>
      <c r="C2205" s="62" t="str">
        <f aca="false">IF($M2205=0,"",INDEX(Classes!$H$6:$H$420,$M2205))</f>
        <v/>
      </c>
      <c r="D2205" s="61" t="str">
        <f aca="false">IF($M2205=0,"",INDEX(Classes!$B$6:$B$420,$M2205))</f>
        <v/>
      </c>
      <c r="E2205" s="61" t="str">
        <f aca="false">IF($M2205=0,"",INDEX(Classes!$C$6:$C$420,$M2205))</f>
        <v/>
      </c>
      <c r="F2205" s="63"/>
      <c r="G2205" s="63"/>
      <c r="H2205" s="60"/>
      <c r="I2205" s="60"/>
      <c r="J2205" s="63"/>
      <c r="K2205" s="61" t="str">
        <f aca="false">IF($P2205=0,"",IF($F2205="Baseline","— Baseline",IF($O2205=0,"No result",IF($N2205=0,"No Start (attainment only)",IF(OR($N2205=1,$O2205=1),"U – needs rule",INDEX(MxBody,MATCH($I2205,MxCurr,0),MATCH($H2205,MxStart,0)))))))</f>
        <v/>
      </c>
      <c r="L2205" s="62" t="str">
        <f aca="false">IF(COUNTA($A2205,$F2205,$G2205,$H2205,$I2205,$J2205)=0,"",IF($M2205=0,"✖ كود الصف غير موجود",IF(ISNA(MATCH($F2205,Lists!$A$2:$A$5,0)),"✖ الفترة غير صحيحة",IF(ISNA(MATCH($G2205,Lists!$B$2:$B$7,0)),"✖ المجموعة غير صحيحة",IF(NOT(OR($H2205="",$N2205&gt;0)),"✖ Start غير صحيح",IF(NOT(OR($I2205="",$I2205="NR",$O2205&gt;0)),"✖ Current غير صحيح",IF(NOT(IF(ISNUMBER($J2205),AND($J2205&gt;=0,$J2205=INT($J2205)),FALSE())),"✖ العدد يجب أن يكون صحيحًا ≥ 0",IF(AND($F2205="Baseline",$H2205&lt;&gt;""),"⚠ Baseline: Start لا يدخل في التقدم",IF($K2205="No Start (attainment only)","ℹ تحصيل فقط (بدون Start)",IF($K2205="U – needs rule","ℹ حالة U تحتاج قاعدة معتمدة",IF($K2205="No result","ℹ بدون نتيجة (يُستبعد من التحصيل)","OK")))))))))))</f>
        <v/>
      </c>
      <c r="M2205" s="64" t="n">
        <f aca="false">IF($A2205="",0,IFERROR(MATCH($A2205,Classes!$A$6:$A$420,0),0))</f>
        <v>0</v>
      </c>
      <c r="N2205" s="64" t="n">
        <f aca="false">IF($H2205="",0,IFERROR(MATCH($H2205,GradeList,0),0))</f>
        <v>0</v>
      </c>
      <c r="O2205" s="64" t="n">
        <f aca="false">IF(OR($I2205="",$I2205="NR"),0,IFERROR(MATCH($I2205,GradeList,0),0))</f>
        <v>0</v>
      </c>
      <c r="P2205" s="64" t="n">
        <f aca="false">IF(AND($M2205&gt;0,ISNUMBER(MATCH($F2205,Lists!$A$2:$A$5,0)),ISNUMBER(MATCH($G2205,Lists!$B$2:$B$7,0)),OR($H2205="",$N2205&gt;0),OR($I2205="",$I2205="NR",$O2205&gt;0),IF(ISNUMBER($J2205),AND($J2205&gt;=0,$J2205=INT($J2205)),FALSE())),$J2205,0)</f>
        <v>0</v>
      </c>
      <c r="Q2205" s="64" t="n">
        <f aca="false">IF(AND($P2205&gt;0,$O2205&gt;0),$P2205,0)</f>
        <v>0</v>
      </c>
      <c r="R2205" s="64" t="n">
        <f aca="false">IF(AND($Q2205&gt;0,$O2205&gt;=AtRank),$Q2205,0)</f>
        <v>0</v>
      </c>
      <c r="S2205" s="64" t="n">
        <f aca="false">IF(AND($Q2205&gt;0,$O2205&gt;=AboveRank),$Q2205,0)</f>
        <v>0</v>
      </c>
      <c r="T2205" s="64" t="n">
        <f aca="false">IF($K2205="Less",$P2205,0)</f>
        <v>0</v>
      </c>
      <c r="U2205" s="64" t="n">
        <f aca="false">IF($K2205="Expected",$P2205,0)</f>
        <v>0</v>
      </c>
      <c r="V2205" s="64" t="n">
        <f aca="false">IF($K2205="Better",$P2205,0)</f>
        <v>0</v>
      </c>
      <c r="W2205" s="64" t="n">
        <f aca="false">IF($K2205="U – needs rule",$P2205,0)</f>
        <v>0</v>
      </c>
      <c r="X2205" s="64" t="n">
        <f aca="false">IF($K2205="No Start (attainment only)",$P2205,0)</f>
        <v>0</v>
      </c>
    </row>
    <row r="2206" customFormat="false" ht="15" hidden="false" customHeight="false" outlineLevel="0" collapsed="false">
      <c r="A2206" s="60"/>
      <c r="B2206" s="61" t="str">
        <f aca="false">IF($M2206=0,"",INDEX(Classes!$E$6:$E$420,$M2206))</f>
        <v/>
      </c>
      <c r="C2206" s="62" t="str">
        <f aca="false">IF($M2206=0,"",INDEX(Classes!$H$6:$H$420,$M2206))</f>
        <v/>
      </c>
      <c r="D2206" s="61" t="str">
        <f aca="false">IF($M2206=0,"",INDEX(Classes!$B$6:$B$420,$M2206))</f>
        <v/>
      </c>
      <c r="E2206" s="61" t="str">
        <f aca="false">IF($M2206=0,"",INDEX(Classes!$C$6:$C$420,$M2206))</f>
        <v/>
      </c>
      <c r="F2206" s="63"/>
      <c r="G2206" s="63"/>
      <c r="H2206" s="60"/>
      <c r="I2206" s="60"/>
      <c r="J2206" s="63"/>
      <c r="K2206" s="61" t="str">
        <f aca="false">IF($P2206=0,"",IF($F2206="Baseline","— Baseline",IF($O2206=0,"No result",IF($N2206=0,"No Start (attainment only)",IF(OR($N2206=1,$O2206=1),"U – needs rule",INDEX(MxBody,MATCH($I2206,MxCurr,0),MATCH($H2206,MxStart,0)))))))</f>
        <v/>
      </c>
      <c r="L2206" s="62" t="str">
        <f aca="false">IF(COUNTA($A2206,$F2206,$G2206,$H2206,$I2206,$J2206)=0,"",IF($M2206=0,"✖ كود الصف غير موجود",IF(ISNA(MATCH($F2206,Lists!$A$2:$A$5,0)),"✖ الفترة غير صحيحة",IF(ISNA(MATCH($G2206,Lists!$B$2:$B$7,0)),"✖ المجموعة غير صحيحة",IF(NOT(OR($H2206="",$N2206&gt;0)),"✖ Start غير صحيح",IF(NOT(OR($I2206="",$I2206="NR",$O2206&gt;0)),"✖ Current غير صحيح",IF(NOT(IF(ISNUMBER($J2206),AND($J2206&gt;=0,$J2206=INT($J2206)),FALSE())),"✖ العدد يجب أن يكون صحيحًا ≥ 0",IF(AND($F2206="Baseline",$H2206&lt;&gt;""),"⚠ Baseline: Start لا يدخل في التقدم",IF($K2206="No Start (attainment only)","ℹ تحصيل فقط (بدون Start)",IF($K2206="U – needs rule","ℹ حالة U تحتاج قاعدة معتمدة",IF($K2206="No result","ℹ بدون نتيجة (يُستبعد من التحصيل)","OK")))))))))))</f>
        <v/>
      </c>
      <c r="M2206" s="64" t="n">
        <f aca="false">IF($A2206="",0,IFERROR(MATCH($A2206,Classes!$A$6:$A$420,0),0))</f>
        <v>0</v>
      </c>
      <c r="N2206" s="64" t="n">
        <f aca="false">IF($H2206="",0,IFERROR(MATCH($H2206,GradeList,0),0))</f>
        <v>0</v>
      </c>
      <c r="O2206" s="64" t="n">
        <f aca="false">IF(OR($I2206="",$I2206="NR"),0,IFERROR(MATCH($I2206,GradeList,0),0))</f>
        <v>0</v>
      </c>
      <c r="P2206" s="64" t="n">
        <f aca="false">IF(AND($M2206&gt;0,ISNUMBER(MATCH($F2206,Lists!$A$2:$A$5,0)),ISNUMBER(MATCH($G2206,Lists!$B$2:$B$7,0)),OR($H2206="",$N2206&gt;0),OR($I2206="",$I2206="NR",$O2206&gt;0),IF(ISNUMBER($J2206),AND($J2206&gt;=0,$J2206=INT($J2206)),FALSE())),$J2206,0)</f>
        <v>0</v>
      </c>
      <c r="Q2206" s="64" t="n">
        <f aca="false">IF(AND($P2206&gt;0,$O2206&gt;0),$P2206,0)</f>
        <v>0</v>
      </c>
      <c r="R2206" s="64" t="n">
        <f aca="false">IF(AND($Q2206&gt;0,$O2206&gt;=AtRank),$Q2206,0)</f>
        <v>0</v>
      </c>
      <c r="S2206" s="64" t="n">
        <f aca="false">IF(AND($Q2206&gt;0,$O2206&gt;=AboveRank),$Q2206,0)</f>
        <v>0</v>
      </c>
      <c r="T2206" s="64" t="n">
        <f aca="false">IF($K2206="Less",$P2206,0)</f>
        <v>0</v>
      </c>
      <c r="U2206" s="64" t="n">
        <f aca="false">IF($K2206="Expected",$P2206,0)</f>
        <v>0</v>
      </c>
      <c r="V2206" s="64" t="n">
        <f aca="false">IF($K2206="Better",$P2206,0)</f>
        <v>0</v>
      </c>
      <c r="W2206" s="64" t="n">
        <f aca="false">IF($K2206="U – needs rule",$P2206,0)</f>
        <v>0</v>
      </c>
      <c r="X2206" s="64" t="n">
        <f aca="false">IF($K2206="No Start (attainment only)",$P2206,0)</f>
        <v>0</v>
      </c>
    </row>
    <row r="2207" customFormat="false" ht="15" hidden="false" customHeight="false" outlineLevel="0" collapsed="false">
      <c r="A2207" s="60"/>
      <c r="B2207" s="61" t="str">
        <f aca="false">IF($M2207=0,"",INDEX(Classes!$E$6:$E$420,$M2207))</f>
        <v/>
      </c>
      <c r="C2207" s="62" t="str">
        <f aca="false">IF($M2207=0,"",INDEX(Classes!$H$6:$H$420,$M2207))</f>
        <v/>
      </c>
      <c r="D2207" s="61" t="str">
        <f aca="false">IF($M2207=0,"",INDEX(Classes!$B$6:$B$420,$M2207))</f>
        <v/>
      </c>
      <c r="E2207" s="61" t="str">
        <f aca="false">IF($M2207=0,"",INDEX(Classes!$C$6:$C$420,$M2207))</f>
        <v/>
      </c>
      <c r="F2207" s="63"/>
      <c r="G2207" s="63"/>
      <c r="H2207" s="60"/>
      <c r="I2207" s="60"/>
      <c r="J2207" s="63"/>
      <c r="K2207" s="61" t="str">
        <f aca="false">IF($P2207=0,"",IF($F2207="Baseline","— Baseline",IF($O2207=0,"No result",IF($N2207=0,"No Start (attainment only)",IF(OR($N2207=1,$O2207=1),"U – needs rule",INDEX(MxBody,MATCH($I2207,MxCurr,0),MATCH($H2207,MxStart,0)))))))</f>
        <v/>
      </c>
      <c r="L2207" s="62" t="str">
        <f aca="false">IF(COUNTA($A2207,$F2207,$G2207,$H2207,$I2207,$J2207)=0,"",IF($M2207=0,"✖ كود الصف غير موجود",IF(ISNA(MATCH($F2207,Lists!$A$2:$A$5,0)),"✖ الفترة غير صحيحة",IF(ISNA(MATCH($G2207,Lists!$B$2:$B$7,0)),"✖ المجموعة غير صحيحة",IF(NOT(OR($H2207="",$N2207&gt;0)),"✖ Start غير صحيح",IF(NOT(OR($I2207="",$I2207="NR",$O2207&gt;0)),"✖ Current غير صحيح",IF(NOT(IF(ISNUMBER($J2207),AND($J2207&gt;=0,$J2207=INT($J2207)),FALSE())),"✖ العدد يجب أن يكون صحيحًا ≥ 0",IF(AND($F2207="Baseline",$H2207&lt;&gt;""),"⚠ Baseline: Start لا يدخل في التقدم",IF($K2207="No Start (attainment only)","ℹ تحصيل فقط (بدون Start)",IF($K2207="U – needs rule","ℹ حالة U تحتاج قاعدة معتمدة",IF($K2207="No result","ℹ بدون نتيجة (يُستبعد من التحصيل)","OK")))))))))))</f>
        <v/>
      </c>
      <c r="M2207" s="64" t="n">
        <f aca="false">IF($A2207="",0,IFERROR(MATCH($A2207,Classes!$A$6:$A$420,0),0))</f>
        <v>0</v>
      </c>
      <c r="N2207" s="64" t="n">
        <f aca="false">IF($H2207="",0,IFERROR(MATCH($H2207,GradeList,0),0))</f>
        <v>0</v>
      </c>
      <c r="O2207" s="64" t="n">
        <f aca="false">IF(OR($I2207="",$I2207="NR"),0,IFERROR(MATCH($I2207,GradeList,0),0))</f>
        <v>0</v>
      </c>
      <c r="P2207" s="64" t="n">
        <f aca="false">IF(AND($M2207&gt;0,ISNUMBER(MATCH($F2207,Lists!$A$2:$A$5,0)),ISNUMBER(MATCH($G2207,Lists!$B$2:$B$7,0)),OR($H2207="",$N2207&gt;0),OR($I2207="",$I2207="NR",$O2207&gt;0),IF(ISNUMBER($J2207),AND($J2207&gt;=0,$J2207=INT($J2207)),FALSE())),$J2207,0)</f>
        <v>0</v>
      </c>
      <c r="Q2207" s="64" t="n">
        <f aca="false">IF(AND($P2207&gt;0,$O2207&gt;0),$P2207,0)</f>
        <v>0</v>
      </c>
      <c r="R2207" s="64" t="n">
        <f aca="false">IF(AND($Q2207&gt;0,$O2207&gt;=AtRank),$Q2207,0)</f>
        <v>0</v>
      </c>
      <c r="S2207" s="64" t="n">
        <f aca="false">IF(AND($Q2207&gt;0,$O2207&gt;=AboveRank),$Q2207,0)</f>
        <v>0</v>
      </c>
      <c r="T2207" s="64" t="n">
        <f aca="false">IF($K2207="Less",$P2207,0)</f>
        <v>0</v>
      </c>
      <c r="U2207" s="64" t="n">
        <f aca="false">IF($K2207="Expected",$P2207,0)</f>
        <v>0</v>
      </c>
      <c r="V2207" s="64" t="n">
        <f aca="false">IF($K2207="Better",$P2207,0)</f>
        <v>0</v>
      </c>
      <c r="W2207" s="64" t="n">
        <f aca="false">IF($K2207="U – needs rule",$P2207,0)</f>
        <v>0</v>
      </c>
      <c r="X2207" s="64" t="n">
        <f aca="false">IF($K2207="No Start (attainment only)",$P2207,0)</f>
        <v>0</v>
      </c>
    </row>
    <row r="2208" customFormat="false" ht="15" hidden="false" customHeight="false" outlineLevel="0" collapsed="false">
      <c r="A2208" s="60"/>
      <c r="B2208" s="61" t="str">
        <f aca="false">IF($M2208=0,"",INDEX(Classes!$E$6:$E$420,$M2208))</f>
        <v/>
      </c>
      <c r="C2208" s="62" t="str">
        <f aca="false">IF($M2208=0,"",INDEX(Classes!$H$6:$H$420,$M2208))</f>
        <v/>
      </c>
      <c r="D2208" s="61" t="str">
        <f aca="false">IF($M2208=0,"",INDEX(Classes!$B$6:$B$420,$M2208))</f>
        <v/>
      </c>
      <c r="E2208" s="61" t="str">
        <f aca="false">IF($M2208=0,"",INDEX(Classes!$C$6:$C$420,$M2208))</f>
        <v/>
      </c>
      <c r="F2208" s="63"/>
      <c r="G2208" s="63"/>
      <c r="H2208" s="60"/>
      <c r="I2208" s="60"/>
      <c r="J2208" s="63"/>
      <c r="K2208" s="61" t="str">
        <f aca="false">IF($P2208=0,"",IF($F2208="Baseline","— Baseline",IF($O2208=0,"No result",IF($N2208=0,"No Start (attainment only)",IF(OR($N2208=1,$O2208=1),"U – needs rule",INDEX(MxBody,MATCH($I2208,MxCurr,0),MATCH($H2208,MxStart,0)))))))</f>
        <v/>
      </c>
      <c r="L2208" s="62" t="str">
        <f aca="false">IF(COUNTA($A2208,$F2208,$G2208,$H2208,$I2208,$J2208)=0,"",IF($M2208=0,"✖ كود الصف غير موجود",IF(ISNA(MATCH($F2208,Lists!$A$2:$A$5,0)),"✖ الفترة غير صحيحة",IF(ISNA(MATCH($G2208,Lists!$B$2:$B$7,0)),"✖ المجموعة غير صحيحة",IF(NOT(OR($H2208="",$N2208&gt;0)),"✖ Start غير صحيح",IF(NOT(OR($I2208="",$I2208="NR",$O2208&gt;0)),"✖ Current غير صحيح",IF(NOT(IF(ISNUMBER($J2208),AND($J2208&gt;=0,$J2208=INT($J2208)),FALSE())),"✖ العدد يجب أن يكون صحيحًا ≥ 0",IF(AND($F2208="Baseline",$H2208&lt;&gt;""),"⚠ Baseline: Start لا يدخل في التقدم",IF($K2208="No Start (attainment only)","ℹ تحصيل فقط (بدون Start)",IF($K2208="U – needs rule","ℹ حالة U تحتاج قاعدة معتمدة",IF($K2208="No result","ℹ بدون نتيجة (يُستبعد من التحصيل)","OK")))))))))))</f>
        <v/>
      </c>
      <c r="M2208" s="64" t="n">
        <f aca="false">IF($A2208="",0,IFERROR(MATCH($A2208,Classes!$A$6:$A$420,0),0))</f>
        <v>0</v>
      </c>
      <c r="N2208" s="64" t="n">
        <f aca="false">IF($H2208="",0,IFERROR(MATCH($H2208,GradeList,0),0))</f>
        <v>0</v>
      </c>
      <c r="O2208" s="64" t="n">
        <f aca="false">IF(OR($I2208="",$I2208="NR"),0,IFERROR(MATCH($I2208,GradeList,0),0))</f>
        <v>0</v>
      </c>
      <c r="P2208" s="64" t="n">
        <f aca="false">IF(AND($M2208&gt;0,ISNUMBER(MATCH($F2208,Lists!$A$2:$A$5,0)),ISNUMBER(MATCH($G2208,Lists!$B$2:$B$7,0)),OR($H2208="",$N2208&gt;0),OR($I2208="",$I2208="NR",$O2208&gt;0),IF(ISNUMBER($J2208),AND($J2208&gt;=0,$J2208=INT($J2208)),FALSE())),$J2208,0)</f>
        <v>0</v>
      </c>
      <c r="Q2208" s="64" t="n">
        <f aca="false">IF(AND($P2208&gt;0,$O2208&gt;0),$P2208,0)</f>
        <v>0</v>
      </c>
      <c r="R2208" s="64" t="n">
        <f aca="false">IF(AND($Q2208&gt;0,$O2208&gt;=AtRank),$Q2208,0)</f>
        <v>0</v>
      </c>
      <c r="S2208" s="64" t="n">
        <f aca="false">IF(AND($Q2208&gt;0,$O2208&gt;=AboveRank),$Q2208,0)</f>
        <v>0</v>
      </c>
      <c r="T2208" s="64" t="n">
        <f aca="false">IF($K2208="Less",$P2208,0)</f>
        <v>0</v>
      </c>
      <c r="U2208" s="64" t="n">
        <f aca="false">IF($K2208="Expected",$P2208,0)</f>
        <v>0</v>
      </c>
      <c r="V2208" s="64" t="n">
        <f aca="false">IF($K2208="Better",$P2208,0)</f>
        <v>0</v>
      </c>
      <c r="W2208" s="64" t="n">
        <f aca="false">IF($K2208="U – needs rule",$P2208,0)</f>
        <v>0</v>
      </c>
      <c r="X2208" s="64" t="n">
        <f aca="false">IF($K2208="No Start (attainment only)",$P2208,0)</f>
        <v>0</v>
      </c>
    </row>
    <row r="2209" customFormat="false" ht="15" hidden="false" customHeight="false" outlineLevel="0" collapsed="false">
      <c r="A2209" s="60"/>
      <c r="B2209" s="61" t="str">
        <f aca="false">IF($M2209=0,"",INDEX(Classes!$E$6:$E$420,$M2209))</f>
        <v/>
      </c>
      <c r="C2209" s="62" t="str">
        <f aca="false">IF($M2209=0,"",INDEX(Classes!$H$6:$H$420,$M2209))</f>
        <v/>
      </c>
      <c r="D2209" s="61" t="str">
        <f aca="false">IF($M2209=0,"",INDEX(Classes!$B$6:$B$420,$M2209))</f>
        <v/>
      </c>
      <c r="E2209" s="61" t="str">
        <f aca="false">IF($M2209=0,"",INDEX(Classes!$C$6:$C$420,$M2209))</f>
        <v/>
      </c>
      <c r="F2209" s="63"/>
      <c r="G2209" s="63"/>
      <c r="H2209" s="60"/>
      <c r="I2209" s="60"/>
      <c r="J2209" s="63"/>
      <c r="K2209" s="61" t="str">
        <f aca="false">IF($P2209=0,"",IF($F2209="Baseline","— Baseline",IF($O2209=0,"No result",IF($N2209=0,"No Start (attainment only)",IF(OR($N2209=1,$O2209=1),"U – needs rule",INDEX(MxBody,MATCH($I2209,MxCurr,0),MATCH($H2209,MxStart,0)))))))</f>
        <v/>
      </c>
      <c r="L2209" s="62" t="str">
        <f aca="false">IF(COUNTA($A2209,$F2209,$G2209,$H2209,$I2209,$J2209)=0,"",IF($M2209=0,"✖ كود الصف غير موجود",IF(ISNA(MATCH($F2209,Lists!$A$2:$A$5,0)),"✖ الفترة غير صحيحة",IF(ISNA(MATCH($G2209,Lists!$B$2:$B$7,0)),"✖ المجموعة غير صحيحة",IF(NOT(OR($H2209="",$N2209&gt;0)),"✖ Start غير صحيح",IF(NOT(OR($I2209="",$I2209="NR",$O2209&gt;0)),"✖ Current غير صحيح",IF(NOT(IF(ISNUMBER($J2209),AND($J2209&gt;=0,$J2209=INT($J2209)),FALSE())),"✖ العدد يجب أن يكون صحيحًا ≥ 0",IF(AND($F2209="Baseline",$H2209&lt;&gt;""),"⚠ Baseline: Start لا يدخل في التقدم",IF($K2209="No Start (attainment only)","ℹ تحصيل فقط (بدون Start)",IF($K2209="U – needs rule","ℹ حالة U تحتاج قاعدة معتمدة",IF($K2209="No result","ℹ بدون نتيجة (يُستبعد من التحصيل)","OK")))))))))))</f>
        <v/>
      </c>
      <c r="M2209" s="64" t="n">
        <f aca="false">IF($A2209="",0,IFERROR(MATCH($A2209,Classes!$A$6:$A$420,0),0))</f>
        <v>0</v>
      </c>
      <c r="N2209" s="64" t="n">
        <f aca="false">IF($H2209="",0,IFERROR(MATCH($H2209,GradeList,0),0))</f>
        <v>0</v>
      </c>
      <c r="O2209" s="64" t="n">
        <f aca="false">IF(OR($I2209="",$I2209="NR"),0,IFERROR(MATCH($I2209,GradeList,0),0))</f>
        <v>0</v>
      </c>
      <c r="P2209" s="64" t="n">
        <f aca="false">IF(AND($M2209&gt;0,ISNUMBER(MATCH($F2209,Lists!$A$2:$A$5,0)),ISNUMBER(MATCH($G2209,Lists!$B$2:$B$7,0)),OR($H2209="",$N2209&gt;0),OR($I2209="",$I2209="NR",$O2209&gt;0),IF(ISNUMBER($J2209),AND($J2209&gt;=0,$J2209=INT($J2209)),FALSE())),$J2209,0)</f>
        <v>0</v>
      </c>
      <c r="Q2209" s="64" t="n">
        <f aca="false">IF(AND($P2209&gt;0,$O2209&gt;0),$P2209,0)</f>
        <v>0</v>
      </c>
      <c r="R2209" s="64" t="n">
        <f aca="false">IF(AND($Q2209&gt;0,$O2209&gt;=AtRank),$Q2209,0)</f>
        <v>0</v>
      </c>
      <c r="S2209" s="64" t="n">
        <f aca="false">IF(AND($Q2209&gt;0,$O2209&gt;=AboveRank),$Q2209,0)</f>
        <v>0</v>
      </c>
      <c r="T2209" s="64" t="n">
        <f aca="false">IF($K2209="Less",$P2209,0)</f>
        <v>0</v>
      </c>
      <c r="U2209" s="64" t="n">
        <f aca="false">IF($K2209="Expected",$P2209,0)</f>
        <v>0</v>
      </c>
      <c r="V2209" s="64" t="n">
        <f aca="false">IF($K2209="Better",$P2209,0)</f>
        <v>0</v>
      </c>
      <c r="W2209" s="64" t="n">
        <f aca="false">IF($K2209="U – needs rule",$P2209,0)</f>
        <v>0</v>
      </c>
      <c r="X2209" s="64" t="n">
        <f aca="false">IF($K2209="No Start (attainment only)",$P2209,0)</f>
        <v>0</v>
      </c>
    </row>
    <row r="2210" customFormat="false" ht="15" hidden="false" customHeight="false" outlineLevel="0" collapsed="false">
      <c r="A2210" s="60"/>
      <c r="B2210" s="61" t="str">
        <f aca="false">IF($M2210=0,"",INDEX(Classes!$E$6:$E$420,$M2210))</f>
        <v/>
      </c>
      <c r="C2210" s="62" t="str">
        <f aca="false">IF($M2210=0,"",INDEX(Classes!$H$6:$H$420,$M2210))</f>
        <v/>
      </c>
      <c r="D2210" s="61" t="str">
        <f aca="false">IF($M2210=0,"",INDEX(Classes!$B$6:$B$420,$M2210))</f>
        <v/>
      </c>
      <c r="E2210" s="61" t="str">
        <f aca="false">IF($M2210=0,"",INDEX(Classes!$C$6:$C$420,$M2210))</f>
        <v/>
      </c>
      <c r="F2210" s="63"/>
      <c r="G2210" s="63"/>
      <c r="H2210" s="60"/>
      <c r="I2210" s="60"/>
      <c r="J2210" s="63"/>
      <c r="K2210" s="61" t="str">
        <f aca="false">IF($P2210=0,"",IF($F2210="Baseline","— Baseline",IF($O2210=0,"No result",IF($N2210=0,"No Start (attainment only)",IF(OR($N2210=1,$O2210=1),"U – needs rule",INDEX(MxBody,MATCH($I2210,MxCurr,0),MATCH($H2210,MxStart,0)))))))</f>
        <v/>
      </c>
      <c r="L2210" s="62" t="str">
        <f aca="false">IF(COUNTA($A2210,$F2210,$G2210,$H2210,$I2210,$J2210)=0,"",IF($M2210=0,"✖ كود الصف غير موجود",IF(ISNA(MATCH($F2210,Lists!$A$2:$A$5,0)),"✖ الفترة غير صحيحة",IF(ISNA(MATCH($G2210,Lists!$B$2:$B$7,0)),"✖ المجموعة غير صحيحة",IF(NOT(OR($H2210="",$N2210&gt;0)),"✖ Start غير صحيح",IF(NOT(OR($I2210="",$I2210="NR",$O2210&gt;0)),"✖ Current غير صحيح",IF(NOT(IF(ISNUMBER($J2210),AND($J2210&gt;=0,$J2210=INT($J2210)),FALSE())),"✖ العدد يجب أن يكون صحيحًا ≥ 0",IF(AND($F2210="Baseline",$H2210&lt;&gt;""),"⚠ Baseline: Start لا يدخل في التقدم",IF($K2210="No Start (attainment only)","ℹ تحصيل فقط (بدون Start)",IF($K2210="U – needs rule","ℹ حالة U تحتاج قاعدة معتمدة",IF($K2210="No result","ℹ بدون نتيجة (يُستبعد من التحصيل)","OK")))))))))))</f>
        <v/>
      </c>
      <c r="M2210" s="64" t="n">
        <f aca="false">IF($A2210="",0,IFERROR(MATCH($A2210,Classes!$A$6:$A$420,0),0))</f>
        <v>0</v>
      </c>
      <c r="N2210" s="64" t="n">
        <f aca="false">IF($H2210="",0,IFERROR(MATCH($H2210,GradeList,0),0))</f>
        <v>0</v>
      </c>
      <c r="O2210" s="64" t="n">
        <f aca="false">IF(OR($I2210="",$I2210="NR"),0,IFERROR(MATCH($I2210,GradeList,0),0))</f>
        <v>0</v>
      </c>
      <c r="P2210" s="64" t="n">
        <f aca="false">IF(AND($M2210&gt;0,ISNUMBER(MATCH($F2210,Lists!$A$2:$A$5,0)),ISNUMBER(MATCH($G2210,Lists!$B$2:$B$7,0)),OR($H2210="",$N2210&gt;0),OR($I2210="",$I2210="NR",$O2210&gt;0),IF(ISNUMBER($J2210),AND($J2210&gt;=0,$J2210=INT($J2210)),FALSE())),$J2210,0)</f>
        <v>0</v>
      </c>
      <c r="Q2210" s="64" t="n">
        <f aca="false">IF(AND($P2210&gt;0,$O2210&gt;0),$P2210,0)</f>
        <v>0</v>
      </c>
      <c r="R2210" s="64" t="n">
        <f aca="false">IF(AND($Q2210&gt;0,$O2210&gt;=AtRank),$Q2210,0)</f>
        <v>0</v>
      </c>
      <c r="S2210" s="64" t="n">
        <f aca="false">IF(AND($Q2210&gt;0,$O2210&gt;=AboveRank),$Q2210,0)</f>
        <v>0</v>
      </c>
      <c r="T2210" s="64" t="n">
        <f aca="false">IF($K2210="Less",$P2210,0)</f>
        <v>0</v>
      </c>
      <c r="U2210" s="64" t="n">
        <f aca="false">IF($K2210="Expected",$P2210,0)</f>
        <v>0</v>
      </c>
      <c r="V2210" s="64" t="n">
        <f aca="false">IF($K2210="Better",$P2210,0)</f>
        <v>0</v>
      </c>
      <c r="W2210" s="64" t="n">
        <f aca="false">IF($K2210="U – needs rule",$P2210,0)</f>
        <v>0</v>
      </c>
      <c r="X2210" s="64" t="n">
        <f aca="false">IF($K2210="No Start (attainment only)",$P2210,0)</f>
        <v>0</v>
      </c>
    </row>
    <row r="2211" customFormat="false" ht="15" hidden="false" customHeight="false" outlineLevel="0" collapsed="false">
      <c r="A2211" s="60"/>
      <c r="B2211" s="61" t="str">
        <f aca="false">IF($M2211=0,"",INDEX(Classes!$E$6:$E$420,$M2211))</f>
        <v/>
      </c>
      <c r="C2211" s="62" t="str">
        <f aca="false">IF($M2211=0,"",INDEX(Classes!$H$6:$H$420,$M2211))</f>
        <v/>
      </c>
      <c r="D2211" s="61" t="str">
        <f aca="false">IF($M2211=0,"",INDEX(Classes!$B$6:$B$420,$M2211))</f>
        <v/>
      </c>
      <c r="E2211" s="61" t="str">
        <f aca="false">IF($M2211=0,"",INDEX(Classes!$C$6:$C$420,$M2211))</f>
        <v/>
      </c>
      <c r="F2211" s="63"/>
      <c r="G2211" s="63"/>
      <c r="H2211" s="60"/>
      <c r="I2211" s="60"/>
      <c r="J2211" s="63"/>
      <c r="K2211" s="61" t="str">
        <f aca="false">IF($P2211=0,"",IF($F2211="Baseline","— Baseline",IF($O2211=0,"No result",IF($N2211=0,"No Start (attainment only)",IF(OR($N2211=1,$O2211=1),"U – needs rule",INDEX(MxBody,MATCH($I2211,MxCurr,0),MATCH($H2211,MxStart,0)))))))</f>
        <v/>
      </c>
      <c r="L2211" s="62" t="str">
        <f aca="false">IF(COUNTA($A2211,$F2211,$G2211,$H2211,$I2211,$J2211)=0,"",IF($M2211=0,"✖ كود الصف غير موجود",IF(ISNA(MATCH($F2211,Lists!$A$2:$A$5,0)),"✖ الفترة غير صحيحة",IF(ISNA(MATCH($G2211,Lists!$B$2:$B$7,0)),"✖ المجموعة غير صحيحة",IF(NOT(OR($H2211="",$N2211&gt;0)),"✖ Start غير صحيح",IF(NOT(OR($I2211="",$I2211="NR",$O2211&gt;0)),"✖ Current غير صحيح",IF(NOT(IF(ISNUMBER($J2211),AND($J2211&gt;=0,$J2211=INT($J2211)),FALSE())),"✖ العدد يجب أن يكون صحيحًا ≥ 0",IF(AND($F2211="Baseline",$H2211&lt;&gt;""),"⚠ Baseline: Start لا يدخل في التقدم",IF($K2211="No Start (attainment only)","ℹ تحصيل فقط (بدون Start)",IF($K2211="U – needs rule","ℹ حالة U تحتاج قاعدة معتمدة",IF($K2211="No result","ℹ بدون نتيجة (يُستبعد من التحصيل)","OK")))))))))))</f>
        <v/>
      </c>
      <c r="M2211" s="64" t="n">
        <f aca="false">IF($A2211="",0,IFERROR(MATCH($A2211,Classes!$A$6:$A$420,0),0))</f>
        <v>0</v>
      </c>
      <c r="N2211" s="64" t="n">
        <f aca="false">IF($H2211="",0,IFERROR(MATCH($H2211,GradeList,0),0))</f>
        <v>0</v>
      </c>
      <c r="O2211" s="64" t="n">
        <f aca="false">IF(OR($I2211="",$I2211="NR"),0,IFERROR(MATCH($I2211,GradeList,0),0))</f>
        <v>0</v>
      </c>
      <c r="P2211" s="64" t="n">
        <f aca="false">IF(AND($M2211&gt;0,ISNUMBER(MATCH($F2211,Lists!$A$2:$A$5,0)),ISNUMBER(MATCH($G2211,Lists!$B$2:$B$7,0)),OR($H2211="",$N2211&gt;0),OR($I2211="",$I2211="NR",$O2211&gt;0),IF(ISNUMBER($J2211),AND($J2211&gt;=0,$J2211=INT($J2211)),FALSE())),$J2211,0)</f>
        <v>0</v>
      </c>
      <c r="Q2211" s="64" t="n">
        <f aca="false">IF(AND($P2211&gt;0,$O2211&gt;0),$P2211,0)</f>
        <v>0</v>
      </c>
      <c r="R2211" s="64" t="n">
        <f aca="false">IF(AND($Q2211&gt;0,$O2211&gt;=AtRank),$Q2211,0)</f>
        <v>0</v>
      </c>
      <c r="S2211" s="64" t="n">
        <f aca="false">IF(AND($Q2211&gt;0,$O2211&gt;=AboveRank),$Q2211,0)</f>
        <v>0</v>
      </c>
      <c r="T2211" s="64" t="n">
        <f aca="false">IF($K2211="Less",$P2211,0)</f>
        <v>0</v>
      </c>
      <c r="U2211" s="64" t="n">
        <f aca="false">IF($K2211="Expected",$P2211,0)</f>
        <v>0</v>
      </c>
      <c r="V2211" s="64" t="n">
        <f aca="false">IF($K2211="Better",$P2211,0)</f>
        <v>0</v>
      </c>
      <c r="W2211" s="64" t="n">
        <f aca="false">IF($K2211="U – needs rule",$P2211,0)</f>
        <v>0</v>
      </c>
      <c r="X2211" s="64" t="n">
        <f aca="false">IF($K2211="No Start (attainment only)",$P2211,0)</f>
        <v>0</v>
      </c>
    </row>
    <row r="2212" customFormat="false" ht="15" hidden="false" customHeight="false" outlineLevel="0" collapsed="false">
      <c r="A2212" s="60"/>
      <c r="B2212" s="61" t="str">
        <f aca="false">IF($M2212=0,"",INDEX(Classes!$E$6:$E$420,$M2212))</f>
        <v/>
      </c>
      <c r="C2212" s="62" t="str">
        <f aca="false">IF($M2212=0,"",INDEX(Classes!$H$6:$H$420,$M2212))</f>
        <v/>
      </c>
      <c r="D2212" s="61" t="str">
        <f aca="false">IF($M2212=0,"",INDEX(Classes!$B$6:$B$420,$M2212))</f>
        <v/>
      </c>
      <c r="E2212" s="61" t="str">
        <f aca="false">IF($M2212=0,"",INDEX(Classes!$C$6:$C$420,$M2212))</f>
        <v/>
      </c>
      <c r="F2212" s="63"/>
      <c r="G2212" s="63"/>
      <c r="H2212" s="60"/>
      <c r="I2212" s="60"/>
      <c r="J2212" s="63"/>
      <c r="K2212" s="61" t="str">
        <f aca="false">IF($P2212=0,"",IF($F2212="Baseline","— Baseline",IF($O2212=0,"No result",IF($N2212=0,"No Start (attainment only)",IF(OR($N2212=1,$O2212=1),"U – needs rule",INDEX(MxBody,MATCH($I2212,MxCurr,0),MATCH($H2212,MxStart,0)))))))</f>
        <v/>
      </c>
      <c r="L2212" s="62" t="str">
        <f aca="false">IF(COUNTA($A2212,$F2212,$G2212,$H2212,$I2212,$J2212)=0,"",IF($M2212=0,"✖ كود الصف غير موجود",IF(ISNA(MATCH($F2212,Lists!$A$2:$A$5,0)),"✖ الفترة غير صحيحة",IF(ISNA(MATCH($G2212,Lists!$B$2:$B$7,0)),"✖ المجموعة غير صحيحة",IF(NOT(OR($H2212="",$N2212&gt;0)),"✖ Start غير صحيح",IF(NOT(OR($I2212="",$I2212="NR",$O2212&gt;0)),"✖ Current غير صحيح",IF(NOT(IF(ISNUMBER($J2212),AND($J2212&gt;=0,$J2212=INT($J2212)),FALSE())),"✖ العدد يجب أن يكون صحيحًا ≥ 0",IF(AND($F2212="Baseline",$H2212&lt;&gt;""),"⚠ Baseline: Start لا يدخل في التقدم",IF($K2212="No Start (attainment only)","ℹ تحصيل فقط (بدون Start)",IF($K2212="U – needs rule","ℹ حالة U تحتاج قاعدة معتمدة",IF($K2212="No result","ℹ بدون نتيجة (يُستبعد من التحصيل)","OK")))))))))))</f>
        <v/>
      </c>
      <c r="M2212" s="64" t="n">
        <f aca="false">IF($A2212="",0,IFERROR(MATCH($A2212,Classes!$A$6:$A$420,0),0))</f>
        <v>0</v>
      </c>
      <c r="N2212" s="64" t="n">
        <f aca="false">IF($H2212="",0,IFERROR(MATCH($H2212,GradeList,0),0))</f>
        <v>0</v>
      </c>
      <c r="O2212" s="64" t="n">
        <f aca="false">IF(OR($I2212="",$I2212="NR"),0,IFERROR(MATCH($I2212,GradeList,0),0))</f>
        <v>0</v>
      </c>
      <c r="P2212" s="64" t="n">
        <f aca="false">IF(AND($M2212&gt;0,ISNUMBER(MATCH($F2212,Lists!$A$2:$A$5,0)),ISNUMBER(MATCH($G2212,Lists!$B$2:$B$7,0)),OR($H2212="",$N2212&gt;0),OR($I2212="",$I2212="NR",$O2212&gt;0),IF(ISNUMBER($J2212),AND($J2212&gt;=0,$J2212=INT($J2212)),FALSE())),$J2212,0)</f>
        <v>0</v>
      </c>
      <c r="Q2212" s="64" t="n">
        <f aca="false">IF(AND($P2212&gt;0,$O2212&gt;0),$P2212,0)</f>
        <v>0</v>
      </c>
      <c r="R2212" s="64" t="n">
        <f aca="false">IF(AND($Q2212&gt;0,$O2212&gt;=AtRank),$Q2212,0)</f>
        <v>0</v>
      </c>
      <c r="S2212" s="64" t="n">
        <f aca="false">IF(AND($Q2212&gt;0,$O2212&gt;=AboveRank),$Q2212,0)</f>
        <v>0</v>
      </c>
      <c r="T2212" s="64" t="n">
        <f aca="false">IF($K2212="Less",$P2212,0)</f>
        <v>0</v>
      </c>
      <c r="U2212" s="64" t="n">
        <f aca="false">IF($K2212="Expected",$P2212,0)</f>
        <v>0</v>
      </c>
      <c r="V2212" s="64" t="n">
        <f aca="false">IF($K2212="Better",$P2212,0)</f>
        <v>0</v>
      </c>
      <c r="W2212" s="64" t="n">
        <f aca="false">IF($K2212="U – needs rule",$P2212,0)</f>
        <v>0</v>
      </c>
      <c r="X2212" s="64" t="n">
        <f aca="false">IF($K2212="No Start (attainment only)",$P2212,0)</f>
        <v>0</v>
      </c>
    </row>
    <row r="2213" customFormat="false" ht="15" hidden="false" customHeight="false" outlineLevel="0" collapsed="false">
      <c r="A2213" s="60"/>
      <c r="B2213" s="61" t="str">
        <f aca="false">IF($M2213=0,"",INDEX(Classes!$E$6:$E$420,$M2213))</f>
        <v/>
      </c>
      <c r="C2213" s="62" t="str">
        <f aca="false">IF($M2213=0,"",INDEX(Classes!$H$6:$H$420,$M2213))</f>
        <v/>
      </c>
      <c r="D2213" s="61" t="str">
        <f aca="false">IF($M2213=0,"",INDEX(Classes!$B$6:$B$420,$M2213))</f>
        <v/>
      </c>
      <c r="E2213" s="61" t="str">
        <f aca="false">IF($M2213=0,"",INDEX(Classes!$C$6:$C$420,$M2213))</f>
        <v/>
      </c>
      <c r="F2213" s="63"/>
      <c r="G2213" s="63"/>
      <c r="H2213" s="60"/>
      <c r="I2213" s="60"/>
      <c r="J2213" s="63"/>
      <c r="K2213" s="61" t="str">
        <f aca="false">IF($P2213=0,"",IF($F2213="Baseline","— Baseline",IF($O2213=0,"No result",IF($N2213=0,"No Start (attainment only)",IF(OR($N2213=1,$O2213=1),"U – needs rule",INDEX(MxBody,MATCH($I2213,MxCurr,0),MATCH($H2213,MxStart,0)))))))</f>
        <v/>
      </c>
      <c r="L2213" s="62" t="str">
        <f aca="false">IF(COUNTA($A2213,$F2213,$G2213,$H2213,$I2213,$J2213)=0,"",IF($M2213=0,"✖ كود الصف غير موجود",IF(ISNA(MATCH($F2213,Lists!$A$2:$A$5,0)),"✖ الفترة غير صحيحة",IF(ISNA(MATCH($G2213,Lists!$B$2:$B$7,0)),"✖ المجموعة غير صحيحة",IF(NOT(OR($H2213="",$N2213&gt;0)),"✖ Start غير صحيح",IF(NOT(OR($I2213="",$I2213="NR",$O2213&gt;0)),"✖ Current غير صحيح",IF(NOT(IF(ISNUMBER($J2213),AND($J2213&gt;=0,$J2213=INT($J2213)),FALSE())),"✖ العدد يجب أن يكون صحيحًا ≥ 0",IF(AND($F2213="Baseline",$H2213&lt;&gt;""),"⚠ Baseline: Start لا يدخل في التقدم",IF($K2213="No Start (attainment only)","ℹ تحصيل فقط (بدون Start)",IF($K2213="U – needs rule","ℹ حالة U تحتاج قاعدة معتمدة",IF($K2213="No result","ℹ بدون نتيجة (يُستبعد من التحصيل)","OK")))))))))))</f>
        <v/>
      </c>
      <c r="M2213" s="64" t="n">
        <f aca="false">IF($A2213="",0,IFERROR(MATCH($A2213,Classes!$A$6:$A$420,0),0))</f>
        <v>0</v>
      </c>
      <c r="N2213" s="64" t="n">
        <f aca="false">IF($H2213="",0,IFERROR(MATCH($H2213,GradeList,0),0))</f>
        <v>0</v>
      </c>
      <c r="O2213" s="64" t="n">
        <f aca="false">IF(OR($I2213="",$I2213="NR"),0,IFERROR(MATCH($I2213,GradeList,0),0))</f>
        <v>0</v>
      </c>
      <c r="P2213" s="64" t="n">
        <f aca="false">IF(AND($M2213&gt;0,ISNUMBER(MATCH($F2213,Lists!$A$2:$A$5,0)),ISNUMBER(MATCH($G2213,Lists!$B$2:$B$7,0)),OR($H2213="",$N2213&gt;0),OR($I2213="",$I2213="NR",$O2213&gt;0),IF(ISNUMBER($J2213),AND($J2213&gt;=0,$J2213=INT($J2213)),FALSE())),$J2213,0)</f>
        <v>0</v>
      </c>
      <c r="Q2213" s="64" t="n">
        <f aca="false">IF(AND($P2213&gt;0,$O2213&gt;0),$P2213,0)</f>
        <v>0</v>
      </c>
      <c r="R2213" s="64" t="n">
        <f aca="false">IF(AND($Q2213&gt;0,$O2213&gt;=AtRank),$Q2213,0)</f>
        <v>0</v>
      </c>
      <c r="S2213" s="64" t="n">
        <f aca="false">IF(AND($Q2213&gt;0,$O2213&gt;=AboveRank),$Q2213,0)</f>
        <v>0</v>
      </c>
      <c r="T2213" s="64" t="n">
        <f aca="false">IF($K2213="Less",$P2213,0)</f>
        <v>0</v>
      </c>
      <c r="U2213" s="64" t="n">
        <f aca="false">IF($K2213="Expected",$P2213,0)</f>
        <v>0</v>
      </c>
      <c r="V2213" s="64" t="n">
        <f aca="false">IF($K2213="Better",$P2213,0)</f>
        <v>0</v>
      </c>
      <c r="W2213" s="64" t="n">
        <f aca="false">IF($K2213="U – needs rule",$P2213,0)</f>
        <v>0</v>
      </c>
      <c r="X2213" s="64" t="n">
        <f aca="false">IF($K2213="No Start (attainment only)",$P2213,0)</f>
        <v>0</v>
      </c>
    </row>
    <row r="2214" customFormat="false" ht="15" hidden="false" customHeight="false" outlineLevel="0" collapsed="false">
      <c r="A2214" s="60"/>
      <c r="B2214" s="61" t="str">
        <f aca="false">IF($M2214=0,"",INDEX(Classes!$E$6:$E$420,$M2214))</f>
        <v/>
      </c>
      <c r="C2214" s="62" t="str">
        <f aca="false">IF($M2214=0,"",INDEX(Classes!$H$6:$H$420,$M2214))</f>
        <v/>
      </c>
      <c r="D2214" s="61" t="str">
        <f aca="false">IF($M2214=0,"",INDEX(Classes!$B$6:$B$420,$M2214))</f>
        <v/>
      </c>
      <c r="E2214" s="61" t="str">
        <f aca="false">IF($M2214=0,"",INDEX(Classes!$C$6:$C$420,$M2214))</f>
        <v/>
      </c>
      <c r="F2214" s="63"/>
      <c r="G2214" s="63"/>
      <c r="H2214" s="60"/>
      <c r="I2214" s="60"/>
      <c r="J2214" s="63"/>
      <c r="K2214" s="61" t="str">
        <f aca="false">IF($P2214=0,"",IF($F2214="Baseline","— Baseline",IF($O2214=0,"No result",IF($N2214=0,"No Start (attainment only)",IF(OR($N2214=1,$O2214=1),"U – needs rule",INDEX(MxBody,MATCH($I2214,MxCurr,0),MATCH($H2214,MxStart,0)))))))</f>
        <v/>
      </c>
      <c r="L2214" s="62" t="str">
        <f aca="false">IF(COUNTA($A2214,$F2214,$G2214,$H2214,$I2214,$J2214)=0,"",IF($M2214=0,"✖ كود الصف غير موجود",IF(ISNA(MATCH($F2214,Lists!$A$2:$A$5,0)),"✖ الفترة غير صحيحة",IF(ISNA(MATCH($G2214,Lists!$B$2:$B$7,0)),"✖ المجموعة غير صحيحة",IF(NOT(OR($H2214="",$N2214&gt;0)),"✖ Start غير صحيح",IF(NOT(OR($I2214="",$I2214="NR",$O2214&gt;0)),"✖ Current غير صحيح",IF(NOT(IF(ISNUMBER($J2214),AND($J2214&gt;=0,$J2214=INT($J2214)),FALSE())),"✖ العدد يجب أن يكون صحيحًا ≥ 0",IF(AND($F2214="Baseline",$H2214&lt;&gt;""),"⚠ Baseline: Start لا يدخل في التقدم",IF($K2214="No Start (attainment only)","ℹ تحصيل فقط (بدون Start)",IF($K2214="U – needs rule","ℹ حالة U تحتاج قاعدة معتمدة",IF($K2214="No result","ℹ بدون نتيجة (يُستبعد من التحصيل)","OK")))))))))))</f>
        <v/>
      </c>
      <c r="M2214" s="64" t="n">
        <f aca="false">IF($A2214="",0,IFERROR(MATCH($A2214,Classes!$A$6:$A$420,0),0))</f>
        <v>0</v>
      </c>
      <c r="N2214" s="64" t="n">
        <f aca="false">IF($H2214="",0,IFERROR(MATCH($H2214,GradeList,0),0))</f>
        <v>0</v>
      </c>
      <c r="O2214" s="64" t="n">
        <f aca="false">IF(OR($I2214="",$I2214="NR"),0,IFERROR(MATCH($I2214,GradeList,0),0))</f>
        <v>0</v>
      </c>
      <c r="P2214" s="64" t="n">
        <f aca="false">IF(AND($M2214&gt;0,ISNUMBER(MATCH($F2214,Lists!$A$2:$A$5,0)),ISNUMBER(MATCH($G2214,Lists!$B$2:$B$7,0)),OR($H2214="",$N2214&gt;0),OR($I2214="",$I2214="NR",$O2214&gt;0),IF(ISNUMBER($J2214),AND($J2214&gt;=0,$J2214=INT($J2214)),FALSE())),$J2214,0)</f>
        <v>0</v>
      </c>
      <c r="Q2214" s="64" t="n">
        <f aca="false">IF(AND($P2214&gt;0,$O2214&gt;0),$P2214,0)</f>
        <v>0</v>
      </c>
      <c r="R2214" s="64" t="n">
        <f aca="false">IF(AND($Q2214&gt;0,$O2214&gt;=AtRank),$Q2214,0)</f>
        <v>0</v>
      </c>
      <c r="S2214" s="64" t="n">
        <f aca="false">IF(AND($Q2214&gt;0,$O2214&gt;=AboveRank),$Q2214,0)</f>
        <v>0</v>
      </c>
      <c r="T2214" s="64" t="n">
        <f aca="false">IF($K2214="Less",$P2214,0)</f>
        <v>0</v>
      </c>
      <c r="U2214" s="64" t="n">
        <f aca="false">IF($K2214="Expected",$P2214,0)</f>
        <v>0</v>
      </c>
      <c r="V2214" s="64" t="n">
        <f aca="false">IF($K2214="Better",$P2214,0)</f>
        <v>0</v>
      </c>
      <c r="W2214" s="64" t="n">
        <f aca="false">IF($K2214="U – needs rule",$P2214,0)</f>
        <v>0</v>
      </c>
      <c r="X2214" s="64" t="n">
        <f aca="false">IF($K2214="No Start (attainment only)",$P2214,0)</f>
        <v>0</v>
      </c>
    </row>
    <row r="2215" customFormat="false" ht="15" hidden="false" customHeight="false" outlineLevel="0" collapsed="false">
      <c r="A2215" s="60"/>
      <c r="B2215" s="61" t="str">
        <f aca="false">IF($M2215=0,"",INDEX(Classes!$E$6:$E$420,$M2215))</f>
        <v/>
      </c>
      <c r="C2215" s="62" t="str">
        <f aca="false">IF($M2215=0,"",INDEX(Classes!$H$6:$H$420,$M2215))</f>
        <v/>
      </c>
      <c r="D2215" s="61" t="str">
        <f aca="false">IF($M2215=0,"",INDEX(Classes!$B$6:$B$420,$M2215))</f>
        <v/>
      </c>
      <c r="E2215" s="61" t="str">
        <f aca="false">IF($M2215=0,"",INDEX(Classes!$C$6:$C$420,$M2215))</f>
        <v/>
      </c>
      <c r="F2215" s="63"/>
      <c r="G2215" s="63"/>
      <c r="H2215" s="60"/>
      <c r="I2215" s="60"/>
      <c r="J2215" s="63"/>
      <c r="K2215" s="61" t="str">
        <f aca="false">IF($P2215=0,"",IF($F2215="Baseline","— Baseline",IF($O2215=0,"No result",IF($N2215=0,"No Start (attainment only)",IF(OR($N2215=1,$O2215=1),"U – needs rule",INDEX(MxBody,MATCH($I2215,MxCurr,0),MATCH($H2215,MxStart,0)))))))</f>
        <v/>
      </c>
      <c r="L2215" s="62" t="str">
        <f aca="false">IF(COUNTA($A2215,$F2215,$G2215,$H2215,$I2215,$J2215)=0,"",IF($M2215=0,"✖ كود الصف غير موجود",IF(ISNA(MATCH($F2215,Lists!$A$2:$A$5,0)),"✖ الفترة غير صحيحة",IF(ISNA(MATCH($G2215,Lists!$B$2:$B$7,0)),"✖ المجموعة غير صحيحة",IF(NOT(OR($H2215="",$N2215&gt;0)),"✖ Start غير صحيح",IF(NOT(OR($I2215="",$I2215="NR",$O2215&gt;0)),"✖ Current غير صحيح",IF(NOT(IF(ISNUMBER($J2215),AND($J2215&gt;=0,$J2215=INT($J2215)),FALSE())),"✖ العدد يجب أن يكون صحيحًا ≥ 0",IF(AND($F2215="Baseline",$H2215&lt;&gt;""),"⚠ Baseline: Start لا يدخل في التقدم",IF($K2215="No Start (attainment only)","ℹ تحصيل فقط (بدون Start)",IF($K2215="U – needs rule","ℹ حالة U تحتاج قاعدة معتمدة",IF($K2215="No result","ℹ بدون نتيجة (يُستبعد من التحصيل)","OK")))))))))))</f>
        <v/>
      </c>
      <c r="M2215" s="64" t="n">
        <f aca="false">IF($A2215="",0,IFERROR(MATCH($A2215,Classes!$A$6:$A$420,0),0))</f>
        <v>0</v>
      </c>
      <c r="N2215" s="64" t="n">
        <f aca="false">IF($H2215="",0,IFERROR(MATCH($H2215,GradeList,0),0))</f>
        <v>0</v>
      </c>
      <c r="O2215" s="64" t="n">
        <f aca="false">IF(OR($I2215="",$I2215="NR"),0,IFERROR(MATCH($I2215,GradeList,0),0))</f>
        <v>0</v>
      </c>
      <c r="P2215" s="64" t="n">
        <f aca="false">IF(AND($M2215&gt;0,ISNUMBER(MATCH($F2215,Lists!$A$2:$A$5,0)),ISNUMBER(MATCH($G2215,Lists!$B$2:$B$7,0)),OR($H2215="",$N2215&gt;0),OR($I2215="",$I2215="NR",$O2215&gt;0),IF(ISNUMBER($J2215),AND($J2215&gt;=0,$J2215=INT($J2215)),FALSE())),$J2215,0)</f>
        <v>0</v>
      </c>
      <c r="Q2215" s="64" t="n">
        <f aca="false">IF(AND($P2215&gt;0,$O2215&gt;0),$P2215,0)</f>
        <v>0</v>
      </c>
      <c r="R2215" s="64" t="n">
        <f aca="false">IF(AND($Q2215&gt;0,$O2215&gt;=AtRank),$Q2215,0)</f>
        <v>0</v>
      </c>
      <c r="S2215" s="64" t="n">
        <f aca="false">IF(AND($Q2215&gt;0,$O2215&gt;=AboveRank),$Q2215,0)</f>
        <v>0</v>
      </c>
      <c r="T2215" s="64" t="n">
        <f aca="false">IF($K2215="Less",$P2215,0)</f>
        <v>0</v>
      </c>
      <c r="U2215" s="64" t="n">
        <f aca="false">IF($K2215="Expected",$P2215,0)</f>
        <v>0</v>
      </c>
      <c r="V2215" s="64" t="n">
        <f aca="false">IF($K2215="Better",$P2215,0)</f>
        <v>0</v>
      </c>
      <c r="W2215" s="64" t="n">
        <f aca="false">IF($K2215="U – needs rule",$P2215,0)</f>
        <v>0</v>
      </c>
      <c r="X2215" s="64" t="n">
        <f aca="false">IF($K2215="No Start (attainment only)",$P2215,0)</f>
        <v>0</v>
      </c>
    </row>
    <row r="2216" customFormat="false" ht="15" hidden="false" customHeight="false" outlineLevel="0" collapsed="false">
      <c r="A2216" s="60"/>
      <c r="B2216" s="61" t="str">
        <f aca="false">IF($M2216=0,"",INDEX(Classes!$E$6:$E$420,$M2216))</f>
        <v/>
      </c>
      <c r="C2216" s="62" t="str">
        <f aca="false">IF($M2216=0,"",INDEX(Classes!$H$6:$H$420,$M2216))</f>
        <v/>
      </c>
      <c r="D2216" s="61" t="str">
        <f aca="false">IF($M2216=0,"",INDEX(Classes!$B$6:$B$420,$M2216))</f>
        <v/>
      </c>
      <c r="E2216" s="61" t="str">
        <f aca="false">IF($M2216=0,"",INDEX(Classes!$C$6:$C$420,$M2216))</f>
        <v/>
      </c>
      <c r="F2216" s="63"/>
      <c r="G2216" s="63"/>
      <c r="H2216" s="60"/>
      <c r="I2216" s="60"/>
      <c r="J2216" s="63"/>
      <c r="K2216" s="61" t="str">
        <f aca="false">IF($P2216=0,"",IF($F2216="Baseline","— Baseline",IF($O2216=0,"No result",IF($N2216=0,"No Start (attainment only)",IF(OR($N2216=1,$O2216=1),"U – needs rule",INDEX(MxBody,MATCH($I2216,MxCurr,0),MATCH($H2216,MxStart,0)))))))</f>
        <v/>
      </c>
      <c r="L2216" s="62" t="str">
        <f aca="false">IF(COUNTA($A2216,$F2216,$G2216,$H2216,$I2216,$J2216)=0,"",IF($M2216=0,"✖ كود الصف غير موجود",IF(ISNA(MATCH($F2216,Lists!$A$2:$A$5,0)),"✖ الفترة غير صحيحة",IF(ISNA(MATCH($G2216,Lists!$B$2:$B$7,0)),"✖ المجموعة غير صحيحة",IF(NOT(OR($H2216="",$N2216&gt;0)),"✖ Start غير صحيح",IF(NOT(OR($I2216="",$I2216="NR",$O2216&gt;0)),"✖ Current غير صحيح",IF(NOT(IF(ISNUMBER($J2216),AND($J2216&gt;=0,$J2216=INT($J2216)),FALSE())),"✖ العدد يجب أن يكون صحيحًا ≥ 0",IF(AND($F2216="Baseline",$H2216&lt;&gt;""),"⚠ Baseline: Start لا يدخل في التقدم",IF($K2216="No Start (attainment only)","ℹ تحصيل فقط (بدون Start)",IF($K2216="U – needs rule","ℹ حالة U تحتاج قاعدة معتمدة",IF($K2216="No result","ℹ بدون نتيجة (يُستبعد من التحصيل)","OK")))))))))))</f>
        <v/>
      </c>
      <c r="M2216" s="64" t="n">
        <f aca="false">IF($A2216="",0,IFERROR(MATCH($A2216,Classes!$A$6:$A$420,0),0))</f>
        <v>0</v>
      </c>
      <c r="N2216" s="64" t="n">
        <f aca="false">IF($H2216="",0,IFERROR(MATCH($H2216,GradeList,0),0))</f>
        <v>0</v>
      </c>
      <c r="O2216" s="64" t="n">
        <f aca="false">IF(OR($I2216="",$I2216="NR"),0,IFERROR(MATCH($I2216,GradeList,0),0))</f>
        <v>0</v>
      </c>
      <c r="P2216" s="64" t="n">
        <f aca="false">IF(AND($M2216&gt;0,ISNUMBER(MATCH($F2216,Lists!$A$2:$A$5,0)),ISNUMBER(MATCH($G2216,Lists!$B$2:$B$7,0)),OR($H2216="",$N2216&gt;0),OR($I2216="",$I2216="NR",$O2216&gt;0),IF(ISNUMBER($J2216),AND($J2216&gt;=0,$J2216=INT($J2216)),FALSE())),$J2216,0)</f>
        <v>0</v>
      </c>
      <c r="Q2216" s="64" t="n">
        <f aca="false">IF(AND($P2216&gt;0,$O2216&gt;0),$P2216,0)</f>
        <v>0</v>
      </c>
      <c r="R2216" s="64" t="n">
        <f aca="false">IF(AND($Q2216&gt;0,$O2216&gt;=AtRank),$Q2216,0)</f>
        <v>0</v>
      </c>
      <c r="S2216" s="64" t="n">
        <f aca="false">IF(AND($Q2216&gt;0,$O2216&gt;=AboveRank),$Q2216,0)</f>
        <v>0</v>
      </c>
      <c r="T2216" s="64" t="n">
        <f aca="false">IF($K2216="Less",$P2216,0)</f>
        <v>0</v>
      </c>
      <c r="U2216" s="64" t="n">
        <f aca="false">IF($K2216="Expected",$P2216,0)</f>
        <v>0</v>
      </c>
      <c r="V2216" s="64" t="n">
        <f aca="false">IF($K2216="Better",$P2216,0)</f>
        <v>0</v>
      </c>
      <c r="W2216" s="64" t="n">
        <f aca="false">IF($K2216="U – needs rule",$P2216,0)</f>
        <v>0</v>
      </c>
      <c r="X2216" s="64" t="n">
        <f aca="false">IF($K2216="No Start (attainment only)",$P2216,0)</f>
        <v>0</v>
      </c>
    </row>
    <row r="2217" customFormat="false" ht="15" hidden="false" customHeight="false" outlineLevel="0" collapsed="false">
      <c r="A2217" s="60"/>
      <c r="B2217" s="61" t="str">
        <f aca="false">IF($M2217=0,"",INDEX(Classes!$E$6:$E$420,$M2217))</f>
        <v/>
      </c>
      <c r="C2217" s="62" t="str">
        <f aca="false">IF($M2217=0,"",INDEX(Classes!$H$6:$H$420,$M2217))</f>
        <v/>
      </c>
      <c r="D2217" s="61" t="str">
        <f aca="false">IF($M2217=0,"",INDEX(Classes!$B$6:$B$420,$M2217))</f>
        <v/>
      </c>
      <c r="E2217" s="61" t="str">
        <f aca="false">IF($M2217=0,"",INDEX(Classes!$C$6:$C$420,$M2217))</f>
        <v/>
      </c>
      <c r="F2217" s="63"/>
      <c r="G2217" s="63"/>
      <c r="H2217" s="60"/>
      <c r="I2217" s="60"/>
      <c r="J2217" s="63"/>
      <c r="K2217" s="61" t="str">
        <f aca="false">IF($P2217=0,"",IF($F2217="Baseline","— Baseline",IF($O2217=0,"No result",IF($N2217=0,"No Start (attainment only)",IF(OR($N2217=1,$O2217=1),"U – needs rule",INDEX(MxBody,MATCH($I2217,MxCurr,0),MATCH($H2217,MxStart,0)))))))</f>
        <v/>
      </c>
      <c r="L2217" s="62" t="str">
        <f aca="false">IF(COUNTA($A2217,$F2217,$G2217,$H2217,$I2217,$J2217)=0,"",IF($M2217=0,"✖ كود الصف غير موجود",IF(ISNA(MATCH($F2217,Lists!$A$2:$A$5,0)),"✖ الفترة غير صحيحة",IF(ISNA(MATCH($G2217,Lists!$B$2:$B$7,0)),"✖ المجموعة غير صحيحة",IF(NOT(OR($H2217="",$N2217&gt;0)),"✖ Start غير صحيح",IF(NOT(OR($I2217="",$I2217="NR",$O2217&gt;0)),"✖ Current غير صحيح",IF(NOT(IF(ISNUMBER($J2217),AND($J2217&gt;=0,$J2217=INT($J2217)),FALSE())),"✖ العدد يجب أن يكون صحيحًا ≥ 0",IF(AND($F2217="Baseline",$H2217&lt;&gt;""),"⚠ Baseline: Start لا يدخل في التقدم",IF($K2217="No Start (attainment only)","ℹ تحصيل فقط (بدون Start)",IF($K2217="U – needs rule","ℹ حالة U تحتاج قاعدة معتمدة",IF($K2217="No result","ℹ بدون نتيجة (يُستبعد من التحصيل)","OK")))))))))))</f>
        <v/>
      </c>
      <c r="M2217" s="64" t="n">
        <f aca="false">IF($A2217="",0,IFERROR(MATCH($A2217,Classes!$A$6:$A$420,0),0))</f>
        <v>0</v>
      </c>
      <c r="N2217" s="64" t="n">
        <f aca="false">IF($H2217="",0,IFERROR(MATCH($H2217,GradeList,0),0))</f>
        <v>0</v>
      </c>
      <c r="O2217" s="64" t="n">
        <f aca="false">IF(OR($I2217="",$I2217="NR"),0,IFERROR(MATCH($I2217,GradeList,0),0))</f>
        <v>0</v>
      </c>
      <c r="P2217" s="64" t="n">
        <f aca="false">IF(AND($M2217&gt;0,ISNUMBER(MATCH($F2217,Lists!$A$2:$A$5,0)),ISNUMBER(MATCH($G2217,Lists!$B$2:$B$7,0)),OR($H2217="",$N2217&gt;0),OR($I2217="",$I2217="NR",$O2217&gt;0),IF(ISNUMBER($J2217),AND($J2217&gt;=0,$J2217=INT($J2217)),FALSE())),$J2217,0)</f>
        <v>0</v>
      </c>
      <c r="Q2217" s="64" t="n">
        <f aca="false">IF(AND($P2217&gt;0,$O2217&gt;0),$P2217,0)</f>
        <v>0</v>
      </c>
      <c r="R2217" s="64" t="n">
        <f aca="false">IF(AND($Q2217&gt;0,$O2217&gt;=AtRank),$Q2217,0)</f>
        <v>0</v>
      </c>
      <c r="S2217" s="64" t="n">
        <f aca="false">IF(AND($Q2217&gt;0,$O2217&gt;=AboveRank),$Q2217,0)</f>
        <v>0</v>
      </c>
      <c r="T2217" s="64" t="n">
        <f aca="false">IF($K2217="Less",$P2217,0)</f>
        <v>0</v>
      </c>
      <c r="U2217" s="64" t="n">
        <f aca="false">IF($K2217="Expected",$P2217,0)</f>
        <v>0</v>
      </c>
      <c r="V2217" s="64" t="n">
        <f aca="false">IF($K2217="Better",$P2217,0)</f>
        <v>0</v>
      </c>
      <c r="W2217" s="64" t="n">
        <f aca="false">IF($K2217="U – needs rule",$P2217,0)</f>
        <v>0</v>
      </c>
      <c r="X2217" s="64" t="n">
        <f aca="false">IF($K2217="No Start (attainment only)",$P2217,0)</f>
        <v>0</v>
      </c>
    </row>
    <row r="2218" customFormat="false" ht="15" hidden="false" customHeight="false" outlineLevel="0" collapsed="false">
      <c r="A2218" s="60"/>
      <c r="B2218" s="61" t="str">
        <f aca="false">IF($M2218=0,"",INDEX(Classes!$E$6:$E$420,$M2218))</f>
        <v/>
      </c>
      <c r="C2218" s="62" t="str">
        <f aca="false">IF($M2218=0,"",INDEX(Classes!$H$6:$H$420,$M2218))</f>
        <v/>
      </c>
      <c r="D2218" s="61" t="str">
        <f aca="false">IF($M2218=0,"",INDEX(Classes!$B$6:$B$420,$M2218))</f>
        <v/>
      </c>
      <c r="E2218" s="61" t="str">
        <f aca="false">IF($M2218=0,"",INDEX(Classes!$C$6:$C$420,$M2218))</f>
        <v/>
      </c>
      <c r="F2218" s="63"/>
      <c r="G2218" s="63"/>
      <c r="H2218" s="60"/>
      <c r="I2218" s="60"/>
      <c r="J2218" s="63"/>
      <c r="K2218" s="61" t="str">
        <f aca="false">IF($P2218=0,"",IF($F2218="Baseline","— Baseline",IF($O2218=0,"No result",IF($N2218=0,"No Start (attainment only)",IF(OR($N2218=1,$O2218=1),"U – needs rule",INDEX(MxBody,MATCH($I2218,MxCurr,0),MATCH($H2218,MxStart,0)))))))</f>
        <v/>
      </c>
      <c r="L2218" s="62" t="str">
        <f aca="false">IF(COUNTA($A2218,$F2218,$G2218,$H2218,$I2218,$J2218)=0,"",IF($M2218=0,"✖ كود الصف غير موجود",IF(ISNA(MATCH($F2218,Lists!$A$2:$A$5,0)),"✖ الفترة غير صحيحة",IF(ISNA(MATCH($G2218,Lists!$B$2:$B$7,0)),"✖ المجموعة غير صحيحة",IF(NOT(OR($H2218="",$N2218&gt;0)),"✖ Start غير صحيح",IF(NOT(OR($I2218="",$I2218="NR",$O2218&gt;0)),"✖ Current غير صحيح",IF(NOT(IF(ISNUMBER($J2218),AND($J2218&gt;=0,$J2218=INT($J2218)),FALSE())),"✖ العدد يجب أن يكون صحيحًا ≥ 0",IF(AND($F2218="Baseline",$H2218&lt;&gt;""),"⚠ Baseline: Start لا يدخل في التقدم",IF($K2218="No Start (attainment only)","ℹ تحصيل فقط (بدون Start)",IF($K2218="U – needs rule","ℹ حالة U تحتاج قاعدة معتمدة",IF($K2218="No result","ℹ بدون نتيجة (يُستبعد من التحصيل)","OK")))))))))))</f>
        <v/>
      </c>
      <c r="M2218" s="64" t="n">
        <f aca="false">IF($A2218="",0,IFERROR(MATCH($A2218,Classes!$A$6:$A$420,0),0))</f>
        <v>0</v>
      </c>
      <c r="N2218" s="64" t="n">
        <f aca="false">IF($H2218="",0,IFERROR(MATCH($H2218,GradeList,0),0))</f>
        <v>0</v>
      </c>
      <c r="O2218" s="64" t="n">
        <f aca="false">IF(OR($I2218="",$I2218="NR"),0,IFERROR(MATCH($I2218,GradeList,0),0))</f>
        <v>0</v>
      </c>
      <c r="P2218" s="64" t="n">
        <f aca="false">IF(AND($M2218&gt;0,ISNUMBER(MATCH($F2218,Lists!$A$2:$A$5,0)),ISNUMBER(MATCH($G2218,Lists!$B$2:$B$7,0)),OR($H2218="",$N2218&gt;0),OR($I2218="",$I2218="NR",$O2218&gt;0),IF(ISNUMBER($J2218),AND($J2218&gt;=0,$J2218=INT($J2218)),FALSE())),$J2218,0)</f>
        <v>0</v>
      </c>
      <c r="Q2218" s="64" t="n">
        <f aca="false">IF(AND($P2218&gt;0,$O2218&gt;0),$P2218,0)</f>
        <v>0</v>
      </c>
      <c r="R2218" s="64" t="n">
        <f aca="false">IF(AND($Q2218&gt;0,$O2218&gt;=AtRank),$Q2218,0)</f>
        <v>0</v>
      </c>
      <c r="S2218" s="64" t="n">
        <f aca="false">IF(AND($Q2218&gt;0,$O2218&gt;=AboveRank),$Q2218,0)</f>
        <v>0</v>
      </c>
      <c r="T2218" s="64" t="n">
        <f aca="false">IF($K2218="Less",$P2218,0)</f>
        <v>0</v>
      </c>
      <c r="U2218" s="64" t="n">
        <f aca="false">IF($K2218="Expected",$P2218,0)</f>
        <v>0</v>
      </c>
      <c r="V2218" s="64" t="n">
        <f aca="false">IF($K2218="Better",$P2218,0)</f>
        <v>0</v>
      </c>
      <c r="W2218" s="64" t="n">
        <f aca="false">IF($K2218="U – needs rule",$P2218,0)</f>
        <v>0</v>
      </c>
      <c r="X2218" s="64" t="n">
        <f aca="false">IF($K2218="No Start (attainment only)",$P2218,0)</f>
        <v>0</v>
      </c>
    </row>
    <row r="2219" customFormat="false" ht="15" hidden="false" customHeight="false" outlineLevel="0" collapsed="false">
      <c r="A2219" s="60"/>
      <c r="B2219" s="61" t="str">
        <f aca="false">IF($M2219=0,"",INDEX(Classes!$E$6:$E$420,$M2219))</f>
        <v/>
      </c>
      <c r="C2219" s="62" t="str">
        <f aca="false">IF($M2219=0,"",INDEX(Classes!$H$6:$H$420,$M2219))</f>
        <v/>
      </c>
      <c r="D2219" s="61" t="str">
        <f aca="false">IF($M2219=0,"",INDEX(Classes!$B$6:$B$420,$M2219))</f>
        <v/>
      </c>
      <c r="E2219" s="61" t="str">
        <f aca="false">IF($M2219=0,"",INDEX(Classes!$C$6:$C$420,$M2219))</f>
        <v/>
      </c>
      <c r="F2219" s="63"/>
      <c r="G2219" s="63"/>
      <c r="H2219" s="60"/>
      <c r="I2219" s="60"/>
      <c r="J2219" s="63"/>
      <c r="K2219" s="61" t="str">
        <f aca="false">IF($P2219=0,"",IF($F2219="Baseline","— Baseline",IF($O2219=0,"No result",IF($N2219=0,"No Start (attainment only)",IF(OR($N2219=1,$O2219=1),"U – needs rule",INDEX(MxBody,MATCH($I2219,MxCurr,0),MATCH($H2219,MxStart,0)))))))</f>
        <v/>
      </c>
      <c r="L2219" s="62" t="str">
        <f aca="false">IF(COUNTA($A2219,$F2219,$G2219,$H2219,$I2219,$J2219)=0,"",IF($M2219=0,"✖ كود الصف غير موجود",IF(ISNA(MATCH($F2219,Lists!$A$2:$A$5,0)),"✖ الفترة غير صحيحة",IF(ISNA(MATCH($G2219,Lists!$B$2:$B$7,0)),"✖ المجموعة غير صحيحة",IF(NOT(OR($H2219="",$N2219&gt;0)),"✖ Start غير صحيح",IF(NOT(OR($I2219="",$I2219="NR",$O2219&gt;0)),"✖ Current غير صحيح",IF(NOT(IF(ISNUMBER($J2219),AND($J2219&gt;=0,$J2219=INT($J2219)),FALSE())),"✖ العدد يجب أن يكون صحيحًا ≥ 0",IF(AND($F2219="Baseline",$H2219&lt;&gt;""),"⚠ Baseline: Start لا يدخل في التقدم",IF($K2219="No Start (attainment only)","ℹ تحصيل فقط (بدون Start)",IF($K2219="U – needs rule","ℹ حالة U تحتاج قاعدة معتمدة",IF($K2219="No result","ℹ بدون نتيجة (يُستبعد من التحصيل)","OK")))))))))))</f>
        <v/>
      </c>
      <c r="M2219" s="64" t="n">
        <f aca="false">IF($A2219="",0,IFERROR(MATCH($A2219,Classes!$A$6:$A$420,0),0))</f>
        <v>0</v>
      </c>
      <c r="N2219" s="64" t="n">
        <f aca="false">IF($H2219="",0,IFERROR(MATCH($H2219,GradeList,0),0))</f>
        <v>0</v>
      </c>
      <c r="O2219" s="64" t="n">
        <f aca="false">IF(OR($I2219="",$I2219="NR"),0,IFERROR(MATCH($I2219,GradeList,0),0))</f>
        <v>0</v>
      </c>
      <c r="P2219" s="64" t="n">
        <f aca="false">IF(AND($M2219&gt;0,ISNUMBER(MATCH($F2219,Lists!$A$2:$A$5,0)),ISNUMBER(MATCH($G2219,Lists!$B$2:$B$7,0)),OR($H2219="",$N2219&gt;0),OR($I2219="",$I2219="NR",$O2219&gt;0),IF(ISNUMBER($J2219),AND($J2219&gt;=0,$J2219=INT($J2219)),FALSE())),$J2219,0)</f>
        <v>0</v>
      </c>
      <c r="Q2219" s="64" t="n">
        <f aca="false">IF(AND($P2219&gt;0,$O2219&gt;0),$P2219,0)</f>
        <v>0</v>
      </c>
      <c r="R2219" s="64" t="n">
        <f aca="false">IF(AND($Q2219&gt;0,$O2219&gt;=AtRank),$Q2219,0)</f>
        <v>0</v>
      </c>
      <c r="S2219" s="64" t="n">
        <f aca="false">IF(AND($Q2219&gt;0,$O2219&gt;=AboveRank),$Q2219,0)</f>
        <v>0</v>
      </c>
      <c r="T2219" s="64" t="n">
        <f aca="false">IF($K2219="Less",$P2219,0)</f>
        <v>0</v>
      </c>
      <c r="U2219" s="64" t="n">
        <f aca="false">IF($K2219="Expected",$P2219,0)</f>
        <v>0</v>
      </c>
      <c r="V2219" s="64" t="n">
        <f aca="false">IF($K2219="Better",$P2219,0)</f>
        <v>0</v>
      </c>
      <c r="W2219" s="64" t="n">
        <f aca="false">IF($K2219="U – needs rule",$P2219,0)</f>
        <v>0</v>
      </c>
      <c r="X2219" s="64" t="n">
        <f aca="false">IF($K2219="No Start (attainment only)",$P2219,0)</f>
        <v>0</v>
      </c>
    </row>
    <row r="2220" customFormat="false" ht="15" hidden="false" customHeight="false" outlineLevel="0" collapsed="false">
      <c r="A2220" s="60"/>
      <c r="B2220" s="61" t="str">
        <f aca="false">IF($M2220=0,"",INDEX(Classes!$E$6:$E$420,$M2220))</f>
        <v/>
      </c>
      <c r="C2220" s="62" t="str">
        <f aca="false">IF($M2220=0,"",INDEX(Classes!$H$6:$H$420,$M2220))</f>
        <v/>
      </c>
      <c r="D2220" s="61" t="str">
        <f aca="false">IF($M2220=0,"",INDEX(Classes!$B$6:$B$420,$M2220))</f>
        <v/>
      </c>
      <c r="E2220" s="61" t="str">
        <f aca="false">IF($M2220=0,"",INDEX(Classes!$C$6:$C$420,$M2220))</f>
        <v/>
      </c>
      <c r="F2220" s="63"/>
      <c r="G2220" s="63"/>
      <c r="H2220" s="60"/>
      <c r="I2220" s="60"/>
      <c r="J2220" s="63"/>
      <c r="K2220" s="61" t="str">
        <f aca="false">IF($P2220=0,"",IF($F2220="Baseline","— Baseline",IF($O2220=0,"No result",IF($N2220=0,"No Start (attainment only)",IF(OR($N2220=1,$O2220=1),"U – needs rule",INDEX(MxBody,MATCH($I2220,MxCurr,0),MATCH($H2220,MxStart,0)))))))</f>
        <v/>
      </c>
      <c r="L2220" s="62" t="str">
        <f aca="false">IF(COUNTA($A2220,$F2220,$G2220,$H2220,$I2220,$J2220)=0,"",IF($M2220=0,"✖ كود الصف غير موجود",IF(ISNA(MATCH($F2220,Lists!$A$2:$A$5,0)),"✖ الفترة غير صحيحة",IF(ISNA(MATCH($G2220,Lists!$B$2:$B$7,0)),"✖ المجموعة غير صحيحة",IF(NOT(OR($H2220="",$N2220&gt;0)),"✖ Start غير صحيح",IF(NOT(OR($I2220="",$I2220="NR",$O2220&gt;0)),"✖ Current غير صحيح",IF(NOT(IF(ISNUMBER($J2220),AND($J2220&gt;=0,$J2220=INT($J2220)),FALSE())),"✖ العدد يجب أن يكون صحيحًا ≥ 0",IF(AND($F2220="Baseline",$H2220&lt;&gt;""),"⚠ Baseline: Start لا يدخل في التقدم",IF($K2220="No Start (attainment only)","ℹ تحصيل فقط (بدون Start)",IF($K2220="U – needs rule","ℹ حالة U تحتاج قاعدة معتمدة",IF($K2220="No result","ℹ بدون نتيجة (يُستبعد من التحصيل)","OK")))))))))))</f>
        <v/>
      </c>
      <c r="M2220" s="64" t="n">
        <f aca="false">IF($A2220="",0,IFERROR(MATCH($A2220,Classes!$A$6:$A$420,0),0))</f>
        <v>0</v>
      </c>
      <c r="N2220" s="64" t="n">
        <f aca="false">IF($H2220="",0,IFERROR(MATCH($H2220,GradeList,0),0))</f>
        <v>0</v>
      </c>
      <c r="O2220" s="64" t="n">
        <f aca="false">IF(OR($I2220="",$I2220="NR"),0,IFERROR(MATCH($I2220,GradeList,0),0))</f>
        <v>0</v>
      </c>
      <c r="P2220" s="64" t="n">
        <f aca="false">IF(AND($M2220&gt;0,ISNUMBER(MATCH($F2220,Lists!$A$2:$A$5,0)),ISNUMBER(MATCH($G2220,Lists!$B$2:$B$7,0)),OR($H2220="",$N2220&gt;0),OR($I2220="",$I2220="NR",$O2220&gt;0),IF(ISNUMBER($J2220),AND($J2220&gt;=0,$J2220=INT($J2220)),FALSE())),$J2220,0)</f>
        <v>0</v>
      </c>
      <c r="Q2220" s="64" t="n">
        <f aca="false">IF(AND($P2220&gt;0,$O2220&gt;0),$P2220,0)</f>
        <v>0</v>
      </c>
      <c r="R2220" s="64" t="n">
        <f aca="false">IF(AND($Q2220&gt;0,$O2220&gt;=AtRank),$Q2220,0)</f>
        <v>0</v>
      </c>
      <c r="S2220" s="64" t="n">
        <f aca="false">IF(AND($Q2220&gt;0,$O2220&gt;=AboveRank),$Q2220,0)</f>
        <v>0</v>
      </c>
      <c r="T2220" s="64" t="n">
        <f aca="false">IF($K2220="Less",$P2220,0)</f>
        <v>0</v>
      </c>
      <c r="U2220" s="64" t="n">
        <f aca="false">IF($K2220="Expected",$P2220,0)</f>
        <v>0</v>
      </c>
      <c r="V2220" s="64" t="n">
        <f aca="false">IF($K2220="Better",$P2220,0)</f>
        <v>0</v>
      </c>
      <c r="W2220" s="64" t="n">
        <f aca="false">IF($K2220="U – needs rule",$P2220,0)</f>
        <v>0</v>
      </c>
      <c r="X2220" s="64" t="n">
        <f aca="false">IF($K2220="No Start (attainment only)",$P2220,0)</f>
        <v>0</v>
      </c>
    </row>
    <row r="2221" customFormat="false" ht="15" hidden="false" customHeight="false" outlineLevel="0" collapsed="false">
      <c r="A2221" s="60"/>
      <c r="B2221" s="61" t="str">
        <f aca="false">IF($M2221=0,"",INDEX(Classes!$E$6:$E$420,$M2221))</f>
        <v/>
      </c>
      <c r="C2221" s="62" t="str">
        <f aca="false">IF($M2221=0,"",INDEX(Classes!$H$6:$H$420,$M2221))</f>
        <v/>
      </c>
      <c r="D2221" s="61" t="str">
        <f aca="false">IF($M2221=0,"",INDEX(Classes!$B$6:$B$420,$M2221))</f>
        <v/>
      </c>
      <c r="E2221" s="61" t="str">
        <f aca="false">IF($M2221=0,"",INDEX(Classes!$C$6:$C$420,$M2221))</f>
        <v/>
      </c>
      <c r="F2221" s="63"/>
      <c r="G2221" s="63"/>
      <c r="H2221" s="60"/>
      <c r="I2221" s="60"/>
      <c r="J2221" s="63"/>
      <c r="K2221" s="61" t="str">
        <f aca="false">IF($P2221=0,"",IF($F2221="Baseline","— Baseline",IF($O2221=0,"No result",IF($N2221=0,"No Start (attainment only)",IF(OR($N2221=1,$O2221=1),"U – needs rule",INDEX(MxBody,MATCH($I2221,MxCurr,0),MATCH($H2221,MxStart,0)))))))</f>
        <v/>
      </c>
      <c r="L2221" s="62" t="str">
        <f aca="false">IF(COUNTA($A2221,$F2221,$G2221,$H2221,$I2221,$J2221)=0,"",IF($M2221=0,"✖ كود الصف غير موجود",IF(ISNA(MATCH($F2221,Lists!$A$2:$A$5,0)),"✖ الفترة غير صحيحة",IF(ISNA(MATCH($G2221,Lists!$B$2:$B$7,0)),"✖ المجموعة غير صحيحة",IF(NOT(OR($H2221="",$N2221&gt;0)),"✖ Start غير صحيح",IF(NOT(OR($I2221="",$I2221="NR",$O2221&gt;0)),"✖ Current غير صحيح",IF(NOT(IF(ISNUMBER($J2221),AND($J2221&gt;=0,$J2221=INT($J2221)),FALSE())),"✖ العدد يجب أن يكون صحيحًا ≥ 0",IF(AND($F2221="Baseline",$H2221&lt;&gt;""),"⚠ Baseline: Start لا يدخل في التقدم",IF($K2221="No Start (attainment only)","ℹ تحصيل فقط (بدون Start)",IF($K2221="U – needs rule","ℹ حالة U تحتاج قاعدة معتمدة",IF($K2221="No result","ℹ بدون نتيجة (يُستبعد من التحصيل)","OK")))))))))))</f>
        <v/>
      </c>
      <c r="M2221" s="64" t="n">
        <f aca="false">IF($A2221="",0,IFERROR(MATCH($A2221,Classes!$A$6:$A$420,0),0))</f>
        <v>0</v>
      </c>
      <c r="N2221" s="64" t="n">
        <f aca="false">IF($H2221="",0,IFERROR(MATCH($H2221,GradeList,0),0))</f>
        <v>0</v>
      </c>
      <c r="O2221" s="64" t="n">
        <f aca="false">IF(OR($I2221="",$I2221="NR"),0,IFERROR(MATCH($I2221,GradeList,0),0))</f>
        <v>0</v>
      </c>
      <c r="P2221" s="64" t="n">
        <f aca="false">IF(AND($M2221&gt;0,ISNUMBER(MATCH($F2221,Lists!$A$2:$A$5,0)),ISNUMBER(MATCH($G2221,Lists!$B$2:$B$7,0)),OR($H2221="",$N2221&gt;0),OR($I2221="",$I2221="NR",$O2221&gt;0),IF(ISNUMBER($J2221),AND($J2221&gt;=0,$J2221=INT($J2221)),FALSE())),$J2221,0)</f>
        <v>0</v>
      </c>
      <c r="Q2221" s="64" t="n">
        <f aca="false">IF(AND($P2221&gt;0,$O2221&gt;0),$P2221,0)</f>
        <v>0</v>
      </c>
      <c r="R2221" s="64" t="n">
        <f aca="false">IF(AND($Q2221&gt;0,$O2221&gt;=AtRank),$Q2221,0)</f>
        <v>0</v>
      </c>
      <c r="S2221" s="64" t="n">
        <f aca="false">IF(AND($Q2221&gt;0,$O2221&gt;=AboveRank),$Q2221,0)</f>
        <v>0</v>
      </c>
      <c r="T2221" s="64" t="n">
        <f aca="false">IF($K2221="Less",$P2221,0)</f>
        <v>0</v>
      </c>
      <c r="U2221" s="64" t="n">
        <f aca="false">IF($K2221="Expected",$P2221,0)</f>
        <v>0</v>
      </c>
      <c r="V2221" s="64" t="n">
        <f aca="false">IF($K2221="Better",$P2221,0)</f>
        <v>0</v>
      </c>
      <c r="W2221" s="64" t="n">
        <f aca="false">IF($K2221="U – needs rule",$P2221,0)</f>
        <v>0</v>
      </c>
      <c r="X2221" s="64" t="n">
        <f aca="false">IF($K2221="No Start (attainment only)",$P2221,0)</f>
        <v>0</v>
      </c>
    </row>
    <row r="2222" customFormat="false" ht="15" hidden="false" customHeight="false" outlineLevel="0" collapsed="false">
      <c r="A2222" s="60"/>
      <c r="B2222" s="61" t="str">
        <f aca="false">IF($M2222=0,"",INDEX(Classes!$E$6:$E$420,$M2222))</f>
        <v/>
      </c>
      <c r="C2222" s="62" t="str">
        <f aca="false">IF($M2222=0,"",INDEX(Classes!$H$6:$H$420,$M2222))</f>
        <v/>
      </c>
      <c r="D2222" s="61" t="str">
        <f aca="false">IF($M2222=0,"",INDEX(Classes!$B$6:$B$420,$M2222))</f>
        <v/>
      </c>
      <c r="E2222" s="61" t="str">
        <f aca="false">IF($M2222=0,"",INDEX(Classes!$C$6:$C$420,$M2222))</f>
        <v/>
      </c>
      <c r="F2222" s="63"/>
      <c r="G2222" s="63"/>
      <c r="H2222" s="60"/>
      <c r="I2222" s="60"/>
      <c r="J2222" s="63"/>
      <c r="K2222" s="61" t="str">
        <f aca="false">IF($P2222=0,"",IF($F2222="Baseline","— Baseline",IF($O2222=0,"No result",IF($N2222=0,"No Start (attainment only)",IF(OR($N2222=1,$O2222=1),"U – needs rule",INDEX(MxBody,MATCH($I2222,MxCurr,0),MATCH($H2222,MxStart,0)))))))</f>
        <v/>
      </c>
      <c r="L2222" s="62" t="str">
        <f aca="false">IF(COUNTA($A2222,$F2222,$G2222,$H2222,$I2222,$J2222)=0,"",IF($M2222=0,"✖ كود الصف غير موجود",IF(ISNA(MATCH($F2222,Lists!$A$2:$A$5,0)),"✖ الفترة غير صحيحة",IF(ISNA(MATCH($G2222,Lists!$B$2:$B$7,0)),"✖ المجموعة غير صحيحة",IF(NOT(OR($H2222="",$N2222&gt;0)),"✖ Start غير صحيح",IF(NOT(OR($I2222="",$I2222="NR",$O2222&gt;0)),"✖ Current غير صحيح",IF(NOT(IF(ISNUMBER($J2222),AND($J2222&gt;=0,$J2222=INT($J2222)),FALSE())),"✖ العدد يجب أن يكون صحيحًا ≥ 0",IF(AND($F2222="Baseline",$H2222&lt;&gt;""),"⚠ Baseline: Start لا يدخل في التقدم",IF($K2222="No Start (attainment only)","ℹ تحصيل فقط (بدون Start)",IF($K2222="U – needs rule","ℹ حالة U تحتاج قاعدة معتمدة",IF($K2222="No result","ℹ بدون نتيجة (يُستبعد من التحصيل)","OK")))))))))))</f>
        <v/>
      </c>
      <c r="M2222" s="64" t="n">
        <f aca="false">IF($A2222="",0,IFERROR(MATCH($A2222,Classes!$A$6:$A$420,0),0))</f>
        <v>0</v>
      </c>
      <c r="N2222" s="64" t="n">
        <f aca="false">IF($H2222="",0,IFERROR(MATCH($H2222,GradeList,0),0))</f>
        <v>0</v>
      </c>
      <c r="O2222" s="64" t="n">
        <f aca="false">IF(OR($I2222="",$I2222="NR"),0,IFERROR(MATCH($I2222,GradeList,0),0))</f>
        <v>0</v>
      </c>
      <c r="P2222" s="64" t="n">
        <f aca="false">IF(AND($M2222&gt;0,ISNUMBER(MATCH($F2222,Lists!$A$2:$A$5,0)),ISNUMBER(MATCH($G2222,Lists!$B$2:$B$7,0)),OR($H2222="",$N2222&gt;0),OR($I2222="",$I2222="NR",$O2222&gt;0),IF(ISNUMBER($J2222),AND($J2222&gt;=0,$J2222=INT($J2222)),FALSE())),$J2222,0)</f>
        <v>0</v>
      </c>
      <c r="Q2222" s="64" t="n">
        <f aca="false">IF(AND($P2222&gt;0,$O2222&gt;0),$P2222,0)</f>
        <v>0</v>
      </c>
      <c r="R2222" s="64" t="n">
        <f aca="false">IF(AND($Q2222&gt;0,$O2222&gt;=AtRank),$Q2222,0)</f>
        <v>0</v>
      </c>
      <c r="S2222" s="64" t="n">
        <f aca="false">IF(AND($Q2222&gt;0,$O2222&gt;=AboveRank),$Q2222,0)</f>
        <v>0</v>
      </c>
      <c r="T2222" s="64" t="n">
        <f aca="false">IF($K2222="Less",$P2222,0)</f>
        <v>0</v>
      </c>
      <c r="U2222" s="64" t="n">
        <f aca="false">IF($K2222="Expected",$P2222,0)</f>
        <v>0</v>
      </c>
      <c r="V2222" s="64" t="n">
        <f aca="false">IF($K2222="Better",$P2222,0)</f>
        <v>0</v>
      </c>
      <c r="W2222" s="64" t="n">
        <f aca="false">IF($K2222="U – needs rule",$P2222,0)</f>
        <v>0</v>
      </c>
      <c r="X2222" s="64" t="n">
        <f aca="false">IF($K2222="No Start (attainment only)",$P2222,0)</f>
        <v>0</v>
      </c>
    </row>
    <row r="2223" customFormat="false" ht="15" hidden="false" customHeight="false" outlineLevel="0" collapsed="false">
      <c r="A2223" s="60"/>
      <c r="B2223" s="61" t="str">
        <f aca="false">IF($M2223=0,"",INDEX(Classes!$E$6:$E$420,$M2223))</f>
        <v/>
      </c>
      <c r="C2223" s="62" t="str">
        <f aca="false">IF($M2223=0,"",INDEX(Classes!$H$6:$H$420,$M2223))</f>
        <v/>
      </c>
      <c r="D2223" s="61" t="str">
        <f aca="false">IF($M2223=0,"",INDEX(Classes!$B$6:$B$420,$M2223))</f>
        <v/>
      </c>
      <c r="E2223" s="61" t="str">
        <f aca="false">IF($M2223=0,"",INDEX(Classes!$C$6:$C$420,$M2223))</f>
        <v/>
      </c>
      <c r="F2223" s="63"/>
      <c r="G2223" s="63"/>
      <c r="H2223" s="60"/>
      <c r="I2223" s="60"/>
      <c r="J2223" s="63"/>
      <c r="K2223" s="61" t="str">
        <f aca="false">IF($P2223=0,"",IF($F2223="Baseline","— Baseline",IF($O2223=0,"No result",IF($N2223=0,"No Start (attainment only)",IF(OR($N2223=1,$O2223=1),"U – needs rule",INDEX(MxBody,MATCH($I2223,MxCurr,0),MATCH($H2223,MxStart,0)))))))</f>
        <v/>
      </c>
      <c r="L2223" s="62" t="str">
        <f aca="false">IF(COUNTA($A2223,$F2223,$G2223,$H2223,$I2223,$J2223)=0,"",IF($M2223=0,"✖ كود الصف غير موجود",IF(ISNA(MATCH($F2223,Lists!$A$2:$A$5,0)),"✖ الفترة غير صحيحة",IF(ISNA(MATCH($G2223,Lists!$B$2:$B$7,0)),"✖ المجموعة غير صحيحة",IF(NOT(OR($H2223="",$N2223&gt;0)),"✖ Start غير صحيح",IF(NOT(OR($I2223="",$I2223="NR",$O2223&gt;0)),"✖ Current غير صحيح",IF(NOT(IF(ISNUMBER($J2223),AND($J2223&gt;=0,$J2223=INT($J2223)),FALSE())),"✖ العدد يجب أن يكون صحيحًا ≥ 0",IF(AND($F2223="Baseline",$H2223&lt;&gt;""),"⚠ Baseline: Start لا يدخل في التقدم",IF($K2223="No Start (attainment only)","ℹ تحصيل فقط (بدون Start)",IF($K2223="U – needs rule","ℹ حالة U تحتاج قاعدة معتمدة",IF($K2223="No result","ℹ بدون نتيجة (يُستبعد من التحصيل)","OK")))))))))))</f>
        <v/>
      </c>
      <c r="M2223" s="64" t="n">
        <f aca="false">IF($A2223="",0,IFERROR(MATCH($A2223,Classes!$A$6:$A$420,0),0))</f>
        <v>0</v>
      </c>
      <c r="N2223" s="64" t="n">
        <f aca="false">IF($H2223="",0,IFERROR(MATCH($H2223,GradeList,0),0))</f>
        <v>0</v>
      </c>
      <c r="O2223" s="64" t="n">
        <f aca="false">IF(OR($I2223="",$I2223="NR"),0,IFERROR(MATCH($I2223,GradeList,0),0))</f>
        <v>0</v>
      </c>
      <c r="P2223" s="64" t="n">
        <f aca="false">IF(AND($M2223&gt;0,ISNUMBER(MATCH($F2223,Lists!$A$2:$A$5,0)),ISNUMBER(MATCH($G2223,Lists!$B$2:$B$7,0)),OR($H2223="",$N2223&gt;0),OR($I2223="",$I2223="NR",$O2223&gt;0),IF(ISNUMBER($J2223),AND($J2223&gt;=0,$J2223=INT($J2223)),FALSE())),$J2223,0)</f>
        <v>0</v>
      </c>
      <c r="Q2223" s="64" t="n">
        <f aca="false">IF(AND($P2223&gt;0,$O2223&gt;0),$P2223,0)</f>
        <v>0</v>
      </c>
      <c r="R2223" s="64" t="n">
        <f aca="false">IF(AND($Q2223&gt;0,$O2223&gt;=AtRank),$Q2223,0)</f>
        <v>0</v>
      </c>
      <c r="S2223" s="64" t="n">
        <f aca="false">IF(AND($Q2223&gt;0,$O2223&gt;=AboveRank),$Q2223,0)</f>
        <v>0</v>
      </c>
      <c r="T2223" s="64" t="n">
        <f aca="false">IF($K2223="Less",$P2223,0)</f>
        <v>0</v>
      </c>
      <c r="U2223" s="64" t="n">
        <f aca="false">IF($K2223="Expected",$P2223,0)</f>
        <v>0</v>
      </c>
      <c r="V2223" s="64" t="n">
        <f aca="false">IF($K2223="Better",$P2223,0)</f>
        <v>0</v>
      </c>
      <c r="W2223" s="64" t="n">
        <f aca="false">IF($K2223="U – needs rule",$P2223,0)</f>
        <v>0</v>
      </c>
      <c r="X2223" s="64" t="n">
        <f aca="false">IF($K2223="No Start (attainment only)",$P2223,0)</f>
        <v>0</v>
      </c>
    </row>
    <row r="2224" customFormat="false" ht="15" hidden="false" customHeight="false" outlineLevel="0" collapsed="false">
      <c r="A2224" s="60"/>
      <c r="B2224" s="61" t="str">
        <f aca="false">IF($M2224=0,"",INDEX(Classes!$E$6:$E$420,$M2224))</f>
        <v/>
      </c>
      <c r="C2224" s="62" t="str">
        <f aca="false">IF($M2224=0,"",INDEX(Classes!$H$6:$H$420,$M2224))</f>
        <v/>
      </c>
      <c r="D2224" s="61" t="str">
        <f aca="false">IF($M2224=0,"",INDEX(Classes!$B$6:$B$420,$M2224))</f>
        <v/>
      </c>
      <c r="E2224" s="61" t="str">
        <f aca="false">IF($M2224=0,"",INDEX(Classes!$C$6:$C$420,$M2224))</f>
        <v/>
      </c>
      <c r="F2224" s="63"/>
      <c r="G2224" s="63"/>
      <c r="H2224" s="60"/>
      <c r="I2224" s="60"/>
      <c r="J2224" s="63"/>
      <c r="K2224" s="61" t="str">
        <f aca="false">IF($P2224=0,"",IF($F2224="Baseline","— Baseline",IF($O2224=0,"No result",IF($N2224=0,"No Start (attainment only)",IF(OR($N2224=1,$O2224=1),"U – needs rule",INDEX(MxBody,MATCH($I2224,MxCurr,0),MATCH($H2224,MxStart,0)))))))</f>
        <v/>
      </c>
      <c r="L2224" s="62" t="str">
        <f aca="false">IF(COUNTA($A2224,$F2224,$G2224,$H2224,$I2224,$J2224)=0,"",IF($M2224=0,"✖ كود الصف غير موجود",IF(ISNA(MATCH($F2224,Lists!$A$2:$A$5,0)),"✖ الفترة غير صحيحة",IF(ISNA(MATCH($G2224,Lists!$B$2:$B$7,0)),"✖ المجموعة غير صحيحة",IF(NOT(OR($H2224="",$N2224&gt;0)),"✖ Start غير صحيح",IF(NOT(OR($I2224="",$I2224="NR",$O2224&gt;0)),"✖ Current غير صحيح",IF(NOT(IF(ISNUMBER($J2224),AND($J2224&gt;=0,$J2224=INT($J2224)),FALSE())),"✖ العدد يجب أن يكون صحيحًا ≥ 0",IF(AND($F2224="Baseline",$H2224&lt;&gt;""),"⚠ Baseline: Start لا يدخل في التقدم",IF($K2224="No Start (attainment only)","ℹ تحصيل فقط (بدون Start)",IF($K2224="U – needs rule","ℹ حالة U تحتاج قاعدة معتمدة",IF($K2224="No result","ℹ بدون نتيجة (يُستبعد من التحصيل)","OK")))))))))))</f>
        <v/>
      </c>
      <c r="M2224" s="64" t="n">
        <f aca="false">IF($A2224="",0,IFERROR(MATCH($A2224,Classes!$A$6:$A$420,0),0))</f>
        <v>0</v>
      </c>
      <c r="N2224" s="64" t="n">
        <f aca="false">IF($H2224="",0,IFERROR(MATCH($H2224,GradeList,0),0))</f>
        <v>0</v>
      </c>
      <c r="O2224" s="64" t="n">
        <f aca="false">IF(OR($I2224="",$I2224="NR"),0,IFERROR(MATCH($I2224,GradeList,0),0))</f>
        <v>0</v>
      </c>
      <c r="P2224" s="64" t="n">
        <f aca="false">IF(AND($M2224&gt;0,ISNUMBER(MATCH($F2224,Lists!$A$2:$A$5,0)),ISNUMBER(MATCH($G2224,Lists!$B$2:$B$7,0)),OR($H2224="",$N2224&gt;0),OR($I2224="",$I2224="NR",$O2224&gt;0),IF(ISNUMBER($J2224),AND($J2224&gt;=0,$J2224=INT($J2224)),FALSE())),$J2224,0)</f>
        <v>0</v>
      </c>
      <c r="Q2224" s="64" t="n">
        <f aca="false">IF(AND($P2224&gt;0,$O2224&gt;0),$P2224,0)</f>
        <v>0</v>
      </c>
      <c r="R2224" s="64" t="n">
        <f aca="false">IF(AND($Q2224&gt;0,$O2224&gt;=AtRank),$Q2224,0)</f>
        <v>0</v>
      </c>
      <c r="S2224" s="64" t="n">
        <f aca="false">IF(AND($Q2224&gt;0,$O2224&gt;=AboveRank),$Q2224,0)</f>
        <v>0</v>
      </c>
      <c r="T2224" s="64" t="n">
        <f aca="false">IF($K2224="Less",$P2224,0)</f>
        <v>0</v>
      </c>
      <c r="U2224" s="64" t="n">
        <f aca="false">IF($K2224="Expected",$P2224,0)</f>
        <v>0</v>
      </c>
      <c r="V2224" s="64" t="n">
        <f aca="false">IF($K2224="Better",$P2224,0)</f>
        <v>0</v>
      </c>
      <c r="W2224" s="64" t="n">
        <f aca="false">IF($K2224="U – needs rule",$P2224,0)</f>
        <v>0</v>
      </c>
      <c r="X2224" s="64" t="n">
        <f aca="false">IF($K2224="No Start (attainment only)",$P2224,0)</f>
        <v>0</v>
      </c>
    </row>
    <row r="2225" customFormat="false" ht="15" hidden="false" customHeight="false" outlineLevel="0" collapsed="false">
      <c r="A2225" s="60"/>
      <c r="B2225" s="61" t="str">
        <f aca="false">IF($M2225=0,"",INDEX(Classes!$E$6:$E$420,$M2225))</f>
        <v/>
      </c>
      <c r="C2225" s="62" t="str">
        <f aca="false">IF($M2225=0,"",INDEX(Classes!$H$6:$H$420,$M2225))</f>
        <v/>
      </c>
      <c r="D2225" s="61" t="str">
        <f aca="false">IF($M2225=0,"",INDEX(Classes!$B$6:$B$420,$M2225))</f>
        <v/>
      </c>
      <c r="E2225" s="61" t="str">
        <f aca="false">IF($M2225=0,"",INDEX(Classes!$C$6:$C$420,$M2225))</f>
        <v/>
      </c>
      <c r="F2225" s="63"/>
      <c r="G2225" s="63"/>
      <c r="H2225" s="60"/>
      <c r="I2225" s="60"/>
      <c r="J2225" s="63"/>
      <c r="K2225" s="61" t="str">
        <f aca="false">IF($P2225=0,"",IF($F2225="Baseline","— Baseline",IF($O2225=0,"No result",IF($N2225=0,"No Start (attainment only)",IF(OR($N2225=1,$O2225=1),"U – needs rule",INDEX(MxBody,MATCH($I2225,MxCurr,0),MATCH($H2225,MxStart,0)))))))</f>
        <v/>
      </c>
      <c r="L2225" s="62" t="str">
        <f aca="false">IF(COUNTA($A2225,$F2225,$G2225,$H2225,$I2225,$J2225)=0,"",IF($M2225=0,"✖ كود الصف غير موجود",IF(ISNA(MATCH($F2225,Lists!$A$2:$A$5,0)),"✖ الفترة غير صحيحة",IF(ISNA(MATCH($G2225,Lists!$B$2:$B$7,0)),"✖ المجموعة غير صحيحة",IF(NOT(OR($H2225="",$N2225&gt;0)),"✖ Start غير صحيح",IF(NOT(OR($I2225="",$I2225="NR",$O2225&gt;0)),"✖ Current غير صحيح",IF(NOT(IF(ISNUMBER($J2225),AND($J2225&gt;=0,$J2225=INT($J2225)),FALSE())),"✖ العدد يجب أن يكون صحيحًا ≥ 0",IF(AND($F2225="Baseline",$H2225&lt;&gt;""),"⚠ Baseline: Start لا يدخل في التقدم",IF($K2225="No Start (attainment only)","ℹ تحصيل فقط (بدون Start)",IF($K2225="U – needs rule","ℹ حالة U تحتاج قاعدة معتمدة",IF($K2225="No result","ℹ بدون نتيجة (يُستبعد من التحصيل)","OK")))))))))))</f>
        <v/>
      </c>
      <c r="M2225" s="64" t="n">
        <f aca="false">IF($A2225="",0,IFERROR(MATCH($A2225,Classes!$A$6:$A$420,0),0))</f>
        <v>0</v>
      </c>
      <c r="N2225" s="64" t="n">
        <f aca="false">IF($H2225="",0,IFERROR(MATCH($H2225,GradeList,0),0))</f>
        <v>0</v>
      </c>
      <c r="O2225" s="64" t="n">
        <f aca="false">IF(OR($I2225="",$I2225="NR"),0,IFERROR(MATCH($I2225,GradeList,0),0))</f>
        <v>0</v>
      </c>
      <c r="P2225" s="64" t="n">
        <f aca="false">IF(AND($M2225&gt;0,ISNUMBER(MATCH($F2225,Lists!$A$2:$A$5,0)),ISNUMBER(MATCH($G2225,Lists!$B$2:$B$7,0)),OR($H2225="",$N2225&gt;0),OR($I2225="",$I2225="NR",$O2225&gt;0),IF(ISNUMBER($J2225),AND($J2225&gt;=0,$J2225=INT($J2225)),FALSE())),$J2225,0)</f>
        <v>0</v>
      </c>
      <c r="Q2225" s="64" t="n">
        <f aca="false">IF(AND($P2225&gt;0,$O2225&gt;0),$P2225,0)</f>
        <v>0</v>
      </c>
      <c r="R2225" s="64" t="n">
        <f aca="false">IF(AND($Q2225&gt;0,$O2225&gt;=AtRank),$Q2225,0)</f>
        <v>0</v>
      </c>
      <c r="S2225" s="64" t="n">
        <f aca="false">IF(AND($Q2225&gt;0,$O2225&gt;=AboveRank),$Q2225,0)</f>
        <v>0</v>
      </c>
      <c r="T2225" s="64" t="n">
        <f aca="false">IF($K2225="Less",$P2225,0)</f>
        <v>0</v>
      </c>
      <c r="U2225" s="64" t="n">
        <f aca="false">IF($K2225="Expected",$P2225,0)</f>
        <v>0</v>
      </c>
      <c r="V2225" s="64" t="n">
        <f aca="false">IF($K2225="Better",$P2225,0)</f>
        <v>0</v>
      </c>
      <c r="W2225" s="64" t="n">
        <f aca="false">IF($K2225="U – needs rule",$P2225,0)</f>
        <v>0</v>
      </c>
      <c r="X2225" s="64" t="n">
        <f aca="false">IF($K2225="No Start (attainment only)",$P2225,0)</f>
        <v>0</v>
      </c>
    </row>
    <row r="2226" customFormat="false" ht="15" hidden="false" customHeight="false" outlineLevel="0" collapsed="false">
      <c r="A2226" s="60"/>
      <c r="B2226" s="61" t="str">
        <f aca="false">IF($M2226=0,"",INDEX(Classes!$E$6:$E$420,$M2226))</f>
        <v/>
      </c>
      <c r="C2226" s="62" t="str">
        <f aca="false">IF($M2226=0,"",INDEX(Classes!$H$6:$H$420,$M2226))</f>
        <v/>
      </c>
      <c r="D2226" s="61" t="str">
        <f aca="false">IF($M2226=0,"",INDEX(Classes!$B$6:$B$420,$M2226))</f>
        <v/>
      </c>
      <c r="E2226" s="61" t="str">
        <f aca="false">IF($M2226=0,"",INDEX(Classes!$C$6:$C$420,$M2226))</f>
        <v/>
      </c>
      <c r="F2226" s="63"/>
      <c r="G2226" s="63"/>
      <c r="H2226" s="60"/>
      <c r="I2226" s="60"/>
      <c r="J2226" s="63"/>
      <c r="K2226" s="61" t="str">
        <f aca="false">IF($P2226=0,"",IF($F2226="Baseline","— Baseline",IF($O2226=0,"No result",IF($N2226=0,"No Start (attainment only)",IF(OR($N2226=1,$O2226=1),"U – needs rule",INDEX(MxBody,MATCH($I2226,MxCurr,0),MATCH($H2226,MxStart,0)))))))</f>
        <v/>
      </c>
      <c r="L2226" s="62" t="str">
        <f aca="false">IF(COUNTA($A2226,$F2226,$G2226,$H2226,$I2226,$J2226)=0,"",IF($M2226=0,"✖ كود الصف غير موجود",IF(ISNA(MATCH($F2226,Lists!$A$2:$A$5,0)),"✖ الفترة غير صحيحة",IF(ISNA(MATCH($G2226,Lists!$B$2:$B$7,0)),"✖ المجموعة غير صحيحة",IF(NOT(OR($H2226="",$N2226&gt;0)),"✖ Start غير صحيح",IF(NOT(OR($I2226="",$I2226="NR",$O2226&gt;0)),"✖ Current غير صحيح",IF(NOT(IF(ISNUMBER($J2226),AND($J2226&gt;=0,$J2226=INT($J2226)),FALSE())),"✖ العدد يجب أن يكون صحيحًا ≥ 0",IF(AND($F2226="Baseline",$H2226&lt;&gt;""),"⚠ Baseline: Start لا يدخل في التقدم",IF($K2226="No Start (attainment only)","ℹ تحصيل فقط (بدون Start)",IF($K2226="U – needs rule","ℹ حالة U تحتاج قاعدة معتمدة",IF($K2226="No result","ℹ بدون نتيجة (يُستبعد من التحصيل)","OK")))))))))))</f>
        <v/>
      </c>
      <c r="M2226" s="64" t="n">
        <f aca="false">IF($A2226="",0,IFERROR(MATCH($A2226,Classes!$A$6:$A$420,0),0))</f>
        <v>0</v>
      </c>
      <c r="N2226" s="64" t="n">
        <f aca="false">IF($H2226="",0,IFERROR(MATCH($H2226,GradeList,0),0))</f>
        <v>0</v>
      </c>
      <c r="O2226" s="64" t="n">
        <f aca="false">IF(OR($I2226="",$I2226="NR"),0,IFERROR(MATCH($I2226,GradeList,0),0))</f>
        <v>0</v>
      </c>
      <c r="P2226" s="64" t="n">
        <f aca="false">IF(AND($M2226&gt;0,ISNUMBER(MATCH($F2226,Lists!$A$2:$A$5,0)),ISNUMBER(MATCH($G2226,Lists!$B$2:$B$7,0)),OR($H2226="",$N2226&gt;0),OR($I2226="",$I2226="NR",$O2226&gt;0),IF(ISNUMBER($J2226),AND($J2226&gt;=0,$J2226=INT($J2226)),FALSE())),$J2226,0)</f>
        <v>0</v>
      </c>
      <c r="Q2226" s="64" t="n">
        <f aca="false">IF(AND($P2226&gt;0,$O2226&gt;0),$P2226,0)</f>
        <v>0</v>
      </c>
      <c r="R2226" s="64" t="n">
        <f aca="false">IF(AND($Q2226&gt;0,$O2226&gt;=AtRank),$Q2226,0)</f>
        <v>0</v>
      </c>
      <c r="S2226" s="64" t="n">
        <f aca="false">IF(AND($Q2226&gt;0,$O2226&gt;=AboveRank),$Q2226,0)</f>
        <v>0</v>
      </c>
      <c r="T2226" s="64" t="n">
        <f aca="false">IF($K2226="Less",$P2226,0)</f>
        <v>0</v>
      </c>
      <c r="U2226" s="64" t="n">
        <f aca="false">IF($K2226="Expected",$P2226,0)</f>
        <v>0</v>
      </c>
      <c r="V2226" s="64" t="n">
        <f aca="false">IF($K2226="Better",$P2226,0)</f>
        <v>0</v>
      </c>
      <c r="W2226" s="64" t="n">
        <f aca="false">IF($K2226="U – needs rule",$P2226,0)</f>
        <v>0</v>
      </c>
      <c r="X2226" s="64" t="n">
        <f aca="false">IF($K2226="No Start (attainment only)",$P2226,0)</f>
        <v>0</v>
      </c>
    </row>
    <row r="2227" customFormat="false" ht="15" hidden="false" customHeight="false" outlineLevel="0" collapsed="false">
      <c r="A2227" s="60"/>
      <c r="B2227" s="61" t="str">
        <f aca="false">IF($M2227=0,"",INDEX(Classes!$E$6:$E$420,$M2227))</f>
        <v/>
      </c>
      <c r="C2227" s="62" t="str">
        <f aca="false">IF($M2227=0,"",INDEX(Classes!$H$6:$H$420,$M2227))</f>
        <v/>
      </c>
      <c r="D2227" s="61" t="str">
        <f aca="false">IF($M2227=0,"",INDEX(Classes!$B$6:$B$420,$M2227))</f>
        <v/>
      </c>
      <c r="E2227" s="61" t="str">
        <f aca="false">IF($M2227=0,"",INDEX(Classes!$C$6:$C$420,$M2227))</f>
        <v/>
      </c>
      <c r="F2227" s="63"/>
      <c r="G2227" s="63"/>
      <c r="H2227" s="60"/>
      <c r="I2227" s="60"/>
      <c r="J2227" s="63"/>
      <c r="K2227" s="61" t="str">
        <f aca="false">IF($P2227=0,"",IF($F2227="Baseline","— Baseline",IF($O2227=0,"No result",IF($N2227=0,"No Start (attainment only)",IF(OR($N2227=1,$O2227=1),"U – needs rule",INDEX(MxBody,MATCH($I2227,MxCurr,0),MATCH($H2227,MxStart,0)))))))</f>
        <v/>
      </c>
      <c r="L2227" s="62" t="str">
        <f aca="false">IF(COUNTA($A2227,$F2227,$G2227,$H2227,$I2227,$J2227)=0,"",IF($M2227=0,"✖ كود الصف غير موجود",IF(ISNA(MATCH($F2227,Lists!$A$2:$A$5,0)),"✖ الفترة غير صحيحة",IF(ISNA(MATCH($G2227,Lists!$B$2:$B$7,0)),"✖ المجموعة غير صحيحة",IF(NOT(OR($H2227="",$N2227&gt;0)),"✖ Start غير صحيح",IF(NOT(OR($I2227="",$I2227="NR",$O2227&gt;0)),"✖ Current غير صحيح",IF(NOT(IF(ISNUMBER($J2227),AND($J2227&gt;=0,$J2227=INT($J2227)),FALSE())),"✖ العدد يجب أن يكون صحيحًا ≥ 0",IF(AND($F2227="Baseline",$H2227&lt;&gt;""),"⚠ Baseline: Start لا يدخل في التقدم",IF($K2227="No Start (attainment only)","ℹ تحصيل فقط (بدون Start)",IF($K2227="U – needs rule","ℹ حالة U تحتاج قاعدة معتمدة",IF($K2227="No result","ℹ بدون نتيجة (يُستبعد من التحصيل)","OK")))))))))))</f>
        <v/>
      </c>
      <c r="M2227" s="64" t="n">
        <f aca="false">IF($A2227="",0,IFERROR(MATCH($A2227,Classes!$A$6:$A$420,0),0))</f>
        <v>0</v>
      </c>
      <c r="N2227" s="64" t="n">
        <f aca="false">IF($H2227="",0,IFERROR(MATCH($H2227,GradeList,0),0))</f>
        <v>0</v>
      </c>
      <c r="O2227" s="64" t="n">
        <f aca="false">IF(OR($I2227="",$I2227="NR"),0,IFERROR(MATCH($I2227,GradeList,0),0))</f>
        <v>0</v>
      </c>
      <c r="P2227" s="64" t="n">
        <f aca="false">IF(AND($M2227&gt;0,ISNUMBER(MATCH($F2227,Lists!$A$2:$A$5,0)),ISNUMBER(MATCH($G2227,Lists!$B$2:$B$7,0)),OR($H2227="",$N2227&gt;0),OR($I2227="",$I2227="NR",$O2227&gt;0),IF(ISNUMBER($J2227),AND($J2227&gt;=0,$J2227=INT($J2227)),FALSE())),$J2227,0)</f>
        <v>0</v>
      </c>
      <c r="Q2227" s="64" t="n">
        <f aca="false">IF(AND($P2227&gt;0,$O2227&gt;0),$P2227,0)</f>
        <v>0</v>
      </c>
      <c r="R2227" s="64" t="n">
        <f aca="false">IF(AND($Q2227&gt;0,$O2227&gt;=AtRank),$Q2227,0)</f>
        <v>0</v>
      </c>
      <c r="S2227" s="64" t="n">
        <f aca="false">IF(AND($Q2227&gt;0,$O2227&gt;=AboveRank),$Q2227,0)</f>
        <v>0</v>
      </c>
      <c r="T2227" s="64" t="n">
        <f aca="false">IF($K2227="Less",$P2227,0)</f>
        <v>0</v>
      </c>
      <c r="U2227" s="64" t="n">
        <f aca="false">IF($K2227="Expected",$P2227,0)</f>
        <v>0</v>
      </c>
      <c r="V2227" s="64" t="n">
        <f aca="false">IF($K2227="Better",$P2227,0)</f>
        <v>0</v>
      </c>
      <c r="W2227" s="64" t="n">
        <f aca="false">IF($K2227="U – needs rule",$P2227,0)</f>
        <v>0</v>
      </c>
      <c r="X2227" s="64" t="n">
        <f aca="false">IF($K2227="No Start (attainment only)",$P2227,0)</f>
        <v>0</v>
      </c>
    </row>
    <row r="2228" customFormat="false" ht="15" hidden="false" customHeight="false" outlineLevel="0" collapsed="false">
      <c r="A2228" s="60"/>
      <c r="B2228" s="61" t="str">
        <f aca="false">IF($M2228=0,"",INDEX(Classes!$E$6:$E$420,$M2228))</f>
        <v/>
      </c>
      <c r="C2228" s="62" t="str">
        <f aca="false">IF($M2228=0,"",INDEX(Classes!$H$6:$H$420,$M2228))</f>
        <v/>
      </c>
      <c r="D2228" s="61" t="str">
        <f aca="false">IF($M2228=0,"",INDEX(Classes!$B$6:$B$420,$M2228))</f>
        <v/>
      </c>
      <c r="E2228" s="61" t="str">
        <f aca="false">IF($M2228=0,"",INDEX(Classes!$C$6:$C$420,$M2228))</f>
        <v/>
      </c>
      <c r="F2228" s="63"/>
      <c r="G2228" s="63"/>
      <c r="H2228" s="60"/>
      <c r="I2228" s="60"/>
      <c r="J2228" s="63"/>
      <c r="K2228" s="61" t="str">
        <f aca="false">IF($P2228=0,"",IF($F2228="Baseline","— Baseline",IF($O2228=0,"No result",IF($N2228=0,"No Start (attainment only)",IF(OR($N2228=1,$O2228=1),"U – needs rule",INDEX(MxBody,MATCH($I2228,MxCurr,0),MATCH($H2228,MxStart,0)))))))</f>
        <v/>
      </c>
      <c r="L2228" s="62" t="str">
        <f aca="false">IF(COUNTA($A2228,$F2228,$G2228,$H2228,$I2228,$J2228)=0,"",IF($M2228=0,"✖ كود الصف غير موجود",IF(ISNA(MATCH($F2228,Lists!$A$2:$A$5,0)),"✖ الفترة غير صحيحة",IF(ISNA(MATCH($G2228,Lists!$B$2:$B$7,0)),"✖ المجموعة غير صحيحة",IF(NOT(OR($H2228="",$N2228&gt;0)),"✖ Start غير صحيح",IF(NOT(OR($I2228="",$I2228="NR",$O2228&gt;0)),"✖ Current غير صحيح",IF(NOT(IF(ISNUMBER($J2228),AND($J2228&gt;=0,$J2228=INT($J2228)),FALSE())),"✖ العدد يجب أن يكون صحيحًا ≥ 0",IF(AND($F2228="Baseline",$H2228&lt;&gt;""),"⚠ Baseline: Start لا يدخل في التقدم",IF($K2228="No Start (attainment only)","ℹ تحصيل فقط (بدون Start)",IF($K2228="U – needs rule","ℹ حالة U تحتاج قاعدة معتمدة",IF($K2228="No result","ℹ بدون نتيجة (يُستبعد من التحصيل)","OK")))))))))))</f>
        <v/>
      </c>
      <c r="M2228" s="64" t="n">
        <f aca="false">IF($A2228="",0,IFERROR(MATCH($A2228,Classes!$A$6:$A$420,0),0))</f>
        <v>0</v>
      </c>
      <c r="N2228" s="64" t="n">
        <f aca="false">IF($H2228="",0,IFERROR(MATCH($H2228,GradeList,0),0))</f>
        <v>0</v>
      </c>
      <c r="O2228" s="64" t="n">
        <f aca="false">IF(OR($I2228="",$I2228="NR"),0,IFERROR(MATCH($I2228,GradeList,0),0))</f>
        <v>0</v>
      </c>
      <c r="P2228" s="64" t="n">
        <f aca="false">IF(AND($M2228&gt;0,ISNUMBER(MATCH($F2228,Lists!$A$2:$A$5,0)),ISNUMBER(MATCH($G2228,Lists!$B$2:$B$7,0)),OR($H2228="",$N2228&gt;0),OR($I2228="",$I2228="NR",$O2228&gt;0),IF(ISNUMBER($J2228),AND($J2228&gt;=0,$J2228=INT($J2228)),FALSE())),$J2228,0)</f>
        <v>0</v>
      </c>
      <c r="Q2228" s="64" t="n">
        <f aca="false">IF(AND($P2228&gt;0,$O2228&gt;0),$P2228,0)</f>
        <v>0</v>
      </c>
      <c r="R2228" s="64" t="n">
        <f aca="false">IF(AND($Q2228&gt;0,$O2228&gt;=AtRank),$Q2228,0)</f>
        <v>0</v>
      </c>
      <c r="S2228" s="64" t="n">
        <f aca="false">IF(AND($Q2228&gt;0,$O2228&gt;=AboveRank),$Q2228,0)</f>
        <v>0</v>
      </c>
      <c r="T2228" s="64" t="n">
        <f aca="false">IF($K2228="Less",$P2228,0)</f>
        <v>0</v>
      </c>
      <c r="U2228" s="64" t="n">
        <f aca="false">IF($K2228="Expected",$P2228,0)</f>
        <v>0</v>
      </c>
      <c r="V2228" s="64" t="n">
        <f aca="false">IF($K2228="Better",$P2228,0)</f>
        <v>0</v>
      </c>
      <c r="W2228" s="64" t="n">
        <f aca="false">IF($K2228="U – needs rule",$P2228,0)</f>
        <v>0</v>
      </c>
      <c r="X2228" s="64" t="n">
        <f aca="false">IF($K2228="No Start (attainment only)",$P2228,0)</f>
        <v>0</v>
      </c>
    </row>
    <row r="2229" customFormat="false" ht="15" hidden="false" customHeight="false" outlineLevel="0" collapsed="false">
      <c r="A2229" s="60"/>
      <c r="B2229" s="61" t="str">
        <f aca="false">IF($M2229=0,"",INDEX(Classes!$E$6:$E$420,$M2229))</f>
        <v/>
      </c>
      <c r="C2229" s="62" t="str">
        <f aca="false">IF($M2229=0,"",INDEX(Classes!$H$6:$H$420,$M2229))</f>
        <v/>
      </c>
      <c r="D2229" s="61" t="str">
        <f aca="false">IF($M2229=0,"",INDEX(Classes!$B$6:$B$420,$M2229))</f>
        <v/>
      </c>
      <c r="E2229" s="61" t="str">
        <f aca="false">IF($M2229=0,"",INDEX(Classes!$C$6:$C$420,$M2229))</f>
        <v/>
      </c>
      <c r="F2229" s="63"/>
      <c r="G2229" s="63"/>
      <c r="H2229" s="60"/>
      <c r="I2229" s="60"/>
      <c r="J2229" s="63"/>
      <c r="K2229" s="61" t="str">
        <f aca="false">IF($P2229=0,"",IF($F2229="Baseline","— Baseline",IF($O2229=0,"No result",IF($N2229=0,"No Start (attainment only)",IF(OR($N2229=1,$O2229=1),"U – needs rule",INDEX(MxBody,MATCH($I2229,MxCurr,0),MATCH($H2229,MxStart,0)))))))</f>
        <v/>
      </c>
      <c r="L2229" s="62" t="str">
        <f aca="false">IF(COUNTA($A2229,$F2229,$G2229,$H2229,$I2229,$J2229)=0,"",IF($M2229=0,"✖ كود الصف غير موجود",IF(ISNA(MATCH($F2229,Lists!$A$2:$A$5,0)),"✖ الفترة غير صحيحة",IF(ISNA(MATCH($G2229,Lists!$B$2:$B$7,0)),"✖ المجموعة غير صحيحة",IF(NOT(OR($H2229="",$N2229&gt;0)),"✖ Start غير صحيح",IF(NOT(OR($I2229="",$I2229="NR",$O2229&gt;0)),"✖ Current غير صحيح",IF(NOT(IF(ISNUMBER($J2229),AND($J2229&gt;=0,$J2229=INT($J2229)),FALSE())),"✖ العدد يجب أن يكون صحيحًا ≥ 0",IF(AND($F2229="Baseline",$H2229&lt;&gt;""),"⚠ Baseline: Start لا يدخل في التقدم",IF($K2229="No Start (attainment only)","ℹ تحصيل فقط (بدون Start)",IF($K2229="U – needs rule","ℹ حالة U تحتاج قاعدة معتمدة",IF($K2229="No result","ℹ بدون نتيجة (يُستبعد من التحصيل)","OK")))))))))))</f>
        <v/>
      </c>
      <c r="M2229" s="64" t="n">
        <f aca="false">IF($A2229="",0,IFERROR(MATCH($A2229,Classes!$A$6:$A$420,0),0))</f>
        <v>0</v>
      </c>
      <c r="N2229" s="64" t="n">
        <f aca="false">IF($H2229="",0,IFERROR(MATCH($H2229,GradeList,0),0))</f>
        <v>0</v>
      </c>
      <c r="O2229" s="64" t="n">
        <f aca="false">IF(OR($I2229="",$I2229="NR"),0,IFERROR(MATCH($I2229,GradeList,0),0))</f>
        <v>0</v>
      </c>
      <c r="P2229" s="64" t="n">
        <f aca="false">IF(AND($M2229&gt;0,ISNUMBER(MATCH($F2229,Lists!$A$2:$A$5,0)),ISNUMBER(MATCH($G2229,Lists!$B$2:$B$7,0)),OR($H2229="",$N2229&gt;0),OR($I2229="",$I2229="NR",$O2229&gt;0),IF(ISNUMBER($J2229),AND($J2229&gt;=0,$J2229=INT($J2229)),FALSE())),$J2229,0)</f>
        <v>0</v>
      </c>
      <c r="Q2229" s="64" t="n">
        <f aca="false">IF(AND($P2229&gt;0,$O2229&gt;0),$P2229,0)</f>
        <v>0</v>
      </c>
      <c r="R2229" s="64" t="n">
        <f aca="false">IF(AND($Q2229&gt;0,$O2229&gt;=AtRank),$Q2229,0)</f>
        <v>0</v>
      </c>
      <c r="S2229" s="64" t="n">
        <f aca="false">IF(AND($Q2229&gt;0,$O2229&gt;=AboveRank),$Q2229,0)</f>
        <v>0</v>
      </c>
      <c r="T2229" s="64" t="n">
        <f aca="false">IF($K2229="Less",$P2229,0)</f>
        <v>0</v>
      </c>
      <c r="U2229" s="64" t="n">
        <f aca="false">IF($K2229="Expected",$P2229,0)</f>
        <v>0</v>
      </c>
      <c r="V2229" s="64" t="n">
        <f aca="false">IF($K2229="Better",$P2229,0)</f>
        <v>0</v>
      </c>
      <c r="W2229" s="64" t="n">
        <f aca="false">IF($K2229="U – needs rule",$P2229,0)</f>
        <v>0</v>
      </c>
      <c r="X2229" s="64" t="n">
        <f aca="false">IF($K2229="No Start (attainment only)",$P2229,0)</f>
        <v>0</v>
      </c>
    </row>
    <row r="2230" customFormat="false" ht="15" hidden="false" customHeight="false" outlineLevel="0" collapsed="false">
      <c r="A2230" s="60"/>
      <c r="B2230" s="61" t="str">
        <f aca="false">IF($M2230=0,"",INDEX(Classes!$E$6:$E$420,$M2230))</f>
        <v/>
      </c>
      <c r="C2230" s="62" t="str">
        <f aca="false">IF($M2230=0,"",INDEX(Classes!$H$6:$H$420,$M2230))</f>
        <v/>
      </c>
      <c r="D2230" s="61" t="str">
        <f aca="false">IF($M2230=0,"",INDEX(Classes!$B$6:$B$420,$M2230))</f>
        <v/>
      </c>
      <c r="E2230" s="61" t="str">
        <f aca="false">IF($M2230=0,"",INDEX(Classes!$C$6:$C$420,$M2230))</f>
        <v/>
      </c>
      <c r="F2230" s="63"/>
      <c r="G2230" s="63"/>
      <c r="H2230" s="60"/>
      <c r="I2230" s="60"/>
      <c r="J2230" s="63"/>
      <c r="K2230" s="61" t="str">
        <f aca="false">IF($P2230=0,"",IF($F2230="Baseline","— Baseline",IF($O2230=0,"No result",IF($N2230=0,"No Start (attainment only)",IF(OR($N2230=1,$O2230=1),"U – needs rule",INDEX(MxBody,MATCH($I2230,MxCurr,0),MATCH($H2230,MxStart,0)))))))</f>
        <v/>
      </c>
      <c r="L2230" s="62" t="str">
        <f aca="false">IF(COUNTA($A2230,$F2230,$G2230,$H2230,$I2230,$J2230)=0,"",IF($M2230=0,"✖ كود الصف غير موجود",IF(ISNA(MATCH($F2230,Lists!$A$2:$A$5,0)),"✖ الفترة غير صحيحة",IF(ISNA(MATCH($G2230,Lists!$B$2:$B$7,0)),"✖ المجموعة غير صحيحة",IF(NOT(OR($H2230="",$N2230&gt;0)),"✖ Start غير صحيح",IF(NOT(OR($I2230="",$I2230="NR",$O2230&gt;0)),"✖ Current غير صحيح",IF(NOT(IF(ISNUMBER($J2230),AND($J2230&gt;=0,$J2230=INT($J2230)),FALSE())),"✖ العدد يجب أن يكون صحيحًا ≥ 0",IF(AND($F2230="Baseline",$H2230&lt;&gt;""),"⚠ Baseline: Start لا يدخل في التقدم",IF($K2230="No Start (attainment only)","ℹ تحصيل فقط (بدون Start)",IF($K2230="U – needs rule","ℹ حالة U تحتاج قاعدة معتمدة",IF($K2230="No result","ℹ بدون نتيجة (يُستبعد من التحصيل)","OK")))))))))))</f>
        <v/>
      </c>
      <c r="M2230" s="64" t="n">
        <f aca="false">IF($A2230="",0,IFERROR(MATCH($A2230,Classes!$A$6:$A$420,0),0))</f>
        <v>0</v>
      </c>
      <c r="N2230" s="64" t="n">
        <f aca="false">IF($H2230="",0,IFERROR(MATCH($H2230,GradeList,0),0))</f>
        <v>0</v>
      </c>
      <c r="O2230" s="64" t="n">
        <f aca="false">IF(OR($I2230="",$I2230="NR"),0,IFERROR(MATCH($I2230,GradeList,0),0))</f>
        <v>0</v>
      </c>
      <c r="P2230" s="64" t="n">
        <f aca="false">IF(AND($M2230&gt;0,ISNUMBER(MATCH($F2230,Lists!$A$2:$A$5,0)),ISNUMBER(MATCH($G2230,Lists!$B$2:$B$7,0)),OR($H2230="",$N2230&gt;0),OR($I2230="",$I2230="NR",$O2230&gt;0),IF(ISNUMBER($J2230),AND($J2230&gt;=0,$J2230=INT($J2230)),FALSE())),$J2230,0)</f>
        <v>0</v>
      </c>
      <c r="Q2230" s="64" t="n">
        <f aca="false">IF(AND($P2230&gt;0,$O2230&gt;0),$P2230,0)</f>
        <v>0</v>
      </c>
      <c r="R2230" s="64" t="n">
        <f aca="false">IF(AND($Q2230&gt;0,$O2230&gt;=AtRank),$Q2230,0)</f>
        <v>0</v>
      </c>
      <c r="S2230" s="64" t="n">
        <f aca="false">IF(AND($Q2230&gt;0,$O2230&gt;=AboveRank),$Q2230,0)</f>
        <v>0</v>
      </c>
      <c r="T2230" s="64" t="n">
        <f aca="false">IF($K2230="Less",$P2230,0)</f>
        <v>0</v>
      </c>
      <c r="U2230" s="64" t="n">
        <f aca="false">IF($K2230="Expected",$P2230,0)</f>
        <v>0</v>
      </c>
      <c r="V2230" s="64" t="n">
        <f aca="false">IF($K2230="Better",$P2230,0)</f>
        <v>0</v>
      </c>
      <c r="W2230" s="64" t="n">
        <f aca="false">IF($K2230="U – needs rule",$P2230,0)</f>
        <v>0</v>
      </c>
      <c r="X2230" s="64" t="n">
        <f aca="false">IF($K2230="No Start (attainment only)",$P2230,0)</f>
        <v>0</v>
      </c>
    </row>
    <row r="2231" customFormat="false" ht="15" hidden="false" customHeight="false" outlineLevel="0" collapsed="false">
      <c r="A2231" s="60"/>
      <c r="B2231" s="61" t="str">
        <f aca="false">IF($M2231=0,"",INDEX(Classes!$E$6:$E$420,$M2231))</f>
        <v/>
      </c>
      <c r="C2231" s="62" t="str">
        <f aca="false">IF($M2231=0,"",INDEX(Classes!$H$6:$H$420,$M2231))</f>
        <v/>
      </c>
      <c r="D2231" s="61" t="str">
        <f aca="false">IF($M2231=0,"",INDEX(Classes!$B$6:$B$420,$M2231))</f>
        <v/>
      </c>
      <c r="E2231" s="61" t="str">
        <f aca="false">IF($M2231=0,"",INDEX(Classes!$C$6:$C$420,$M2231))</f>
        <v/>
      </c>
      <c r="F2231" s="63"/>
      <c r="G2231" s="63"/>
      <c r="H2231" s="60"/>
      <c r="I2231" s="60"/>
      <c r="J2231" s="63"/>
      <c r="K2231" s="61" t="str">
        <f aca="false">IF($P2231=0,"",IF($F2231="Baseline","— Baseline",IF($O2231=0,"No result",IF($N2231=0,"No Start (attainment only)",IF(OR($N2231=1,$O2231=1),"U – needs rule",INDEX(MxBody,MATCH($I2231,MxCurr,0),MATCH($H2231,MxStart,0)))))))</f>
        <v/>
      </c>
      <c r="L2231" s="62" t="str">
        <f aca="false">IF(COUNTA($A2231,$F2231,$G2231,$H2231,$I2231,$J2231)=0,"",IF($M2231=0,"✖ كود الصف غير موجود",IF(ISNA(MATCH($F2231,Lists!$A$2:$A$5,0)),"✖ الفترة غير صحيحة",IF(ISNA(MATCH($G2231,Lists!$B$2:$B$7,0)),"✖ المجموعة غير صحيحة",IF(NOT(OR($H2231="",$N2231&gt;0)),"✖ Start غير صحيح",IF(NOT(OR($I2231="",$I2231="NR",$O2231&gt;0)),"✖ Current غير صحيح",IF(NOT(IF(ISNUMBER($J2231),AND($J2231&gt;=0,$J2231=INT($J2231)),FALSE())),"✖ العدد يجب أن يكون صحيحًا ≥ 0",IF(AND($F2231="Baseline",$H2231&lt;&gt;""),"⚠ Baseline: Start لا يدخل في التقدم",IF($K2231="No Start (attainment only)","ℹ تحصيل فقط (بدون Start)",IF($K2231="U – needs rule","ℹ حالة U تحتاج قاعدة معتمدة",IF($K2231="No result","ℹ بدون نتيجة (يُستبعد من التحصيل)","OK")))))))))))</f>
        <v/>
      </c>
      <c r="M2231" s="64" t="n">
        <f aca="false">IF($A2231="",0,IFERROR(MATCH($A2231,Classes!$A$6:$A$420,0),0))</f>
        <v>0</v>
      </c>
      <c r="N2231" s="64" t="n">
        <f aca="false">IF($H2231="",0,IFERROR(MATCH($H2231,GradeList,0),0))</f>
        <v>0</v>
      </c>
      <c r="O2231" s="64" t="n">
        <f aca="false">IF(OR($I2231="",$I2231="NR"),0,IFERROR(MATCH($I2231,GradeList,0),0))</f>
        <v>0</v>
      </c>
      <c r="P2231" s="64" t="n">
        <f aca="false">IF(AND($M2231&gt;0,ISNUMBER(MATCH($F2231,Lists!$A$2:$A$5,0)),ISNUMBER(MATCH($G2231,Lists!$B$2:$B$7,0)),OR($H2231="",$N2231&gt;0),OR($I2231="",$I2231="NR",$O2231&gt;0),IF(ISNUMBER($J2231),AND($J2231&gt;=0,$J2231=INT($J2231)),FALSE())),$J2231,0)</f>
        <v>0</v>
      </c>
      <c r="Q2231" s="64" t="n">
        <f aca="false">IF(AND($P2231&gt;0,$O2231&gt;0),$P2231,0)</f>
        <v>0</v>
      </c>
      <c r="R2231" s="64" t="n">
        <f aca="false">IF(AND($Q2231&gt;0,$O2231&gt;=AtRank),$Q2231,0)</f>
        <v>0</v>
      </c>
      <c r="S2231" s="64" t="n">
        <f aca="false">IF(AND($Q2231&gt;0,$O2231&gt;=AboveRank),$Q2231,0)</f>
        <v>0</v>
      </c>
      <c r="T2231" s="64" t="n">
        <f aca="false">IF($K2231="Less",$P2231,0)</f>
        <v>0</v>
      </c>
      <c r="U2231" s="64" t="n">
        <f aca="false">IF($K2231="Expected",$P2231,0)</f>
        <v>0</v>
      </c>
      <c r="V2231" s="64" t="n">
        <f aca="false">IF($K2231="Better",$P2231,0)</f>
        <v>0</v>
      </c>
      <c r="W2231" s="64" t="n">
        <f aca="false">IF($K2231="U – needs rule",$P2231,0)</f>
        <v>0</v>
      </c>
      <c r="X2231" s="64" t="n">
        <f aca="false">IF($K2231="No Start (attainment only)",$P2231,0)</f>
        <v>0</v>
      </c>
    </row>
    <row r="2232" customFormat="false" ht="15" hidden="false" customHeight="false" outlineLevel="0" collapsed="false">
      <c r="A2232" s="60"/>
      <c r="B2232" s="61" t="str">
        <f aca="false">IF($M2232=0,"",INDEX(Classes!$E$6:$E$420,$M2232))</f>
        <v/>
      </c>
      <c r="C2232" s="62" t="str">
        <f aca="false">IF($M2232=0,"",INDEX(Classes!$H$6:$H$420,$M2232))</f>
        <v/>
      </c>
      <c r="D2232" s="61" t="str">
        <f aca="false">IF($M2232=0,"",INDEX(Classes!$B$6:$B$420,$M2232))</f>
        <v/>
      </c>
      <c r="E2232" s="61" t="str">
        <f aca="false">IF($M2232=0,"",INDEX(Classes!$C$6:$C$420,$M2232))</f>
        <v/>
      </c>
      <c r="F2232" s="63"/>
      <c r="G2232" s="63"/>
      <c r="H2232" s="60"/>
      <c r="I2232" s="60"/>
      <c r="J2232" s="63"/>
      <c r="K2232" s="61" t="str">
        <f aca="false">IF($P2232=0,"",IF($F2232="Baseline","— Baseline",IF($O2232=0,"No result",IF($N2232=0,"No Start (attainment only)",IF(OR($N2232=1,$O2232=1),"U – needs rule",INDEX(MxBody,MATCH($I2232,MxCurr,0),MATCH($H2232,MxStart,0)))))))</f>
        <v/>
      </c>
      <c r="L2232" s="62" t="str">
        <f aca="false">IF(COUNTA($A2232,$F2232,$G2232,$H2232,$I2232,$J2232)=0,"",IF($M2232=0,"✖ كود الصف غير موجود",IF(ISNA(MATCH($F2232,Lists!$A$2:$A$5,0)),"✖ الفترة غير صحيحة",IF(ISNA(MATCH($G2232,Lists!$B$2:$B$7,0)),"✖ المجموعة غير صحيحة",IF(NOT(OR($H2232="",$N2232&gt;0)),"✖ Start غير صحيح",IF(NOT(OR($I2232="",$I2232="NR",$O2232&gt;0)),"✖ Current غير صحيح",IF(NOT(IF(ISNUMBER($J2232),AND($J2232&gt;=0,$J2232=INT($J2232)),FALSE())),"✖ العدد يجب أن يكون صحيحًا ≥ 0",IF(AND($F2232="Baseline",$H2232&lt;&gt;""),"⚠ Baseline: Start لا يدخل في التقدم",IF($K2232="No Start (attainment only)","ℹ تحصيل فقط (بدون Start)",IF($K2232="U – needs rule","ℹ حالة U تحتاج قاعدة معتمدة",IF($K2232="No result","ℹ بدون نتيجة (يُستبعد من التحصيل)","OK")))))))))))</f>
        <v/>
      </c>
      <c r="M2232" s="64" t="n">
        <f aca="false">IF($A2232="",0,IFERROR(MATCH($A2232,Classes!$A$6:$A$420,0),0))</f>
        <v>0</v>
      </c>
      <c r="N2232" s="64" t="n">
        <f aca="false">IF($H2232="",0,IFERROR(MATCH($H2232,GradeList,0),0))</f>
        <v>0</v>
      </c>
      <c r="O2232" s="64" t="n">
        <f aca="false">IF(OR($I2232="",$I2232="NR"),0,IFERROR(MATCH($I2232,GradeList,0),0))</f>
        <v>0</v>
      </c>
      <c r="P2232" s="64" t="n">
        <f aca="false">IF(AND($M2232&gt;0,ISNUMBER(MATCH($F2232,Lists!$A$2:$A$5,0)),ISNUMBER(MATCH($G2232,Lists!$B$2:$B$7,0)),OR($H2232="",$N2232&gt;0),OR($I2232="",$I2232="NR",$O2232&gt;0),IF(ISNUMBER($J2232),AND($J2232&gt;=0,$J2232=INT($J2232)),FALSE())),$J2232,0)</f>
        <v>0</v>
      </c>
      <c r="Q2232" s="64" t="n">
        <f aca="false">IF(AND($P2232&gt;0,$O2232&gt;0),$P2232,0)</f>
        <v>0</v>
      </c>
      <c r="R2232" s="64" t="n">
        <f aca="false">IF(AND($Q2232&gt;0,$O2232&gt;=AtRank),$Q2232,0)</f>
        <v>0</v>
      </c>
      <c r="S2232" s="64" t="n">
        <f aca="false">IF(AND($Q2232&gt;0,$O2232&gt;=AboveRank),$Q2232,0)</f>
        <v>0</v>
      </c>
      <c r="T2232" s="64" t="n">
        <f aca="false">IF($K2232="Less",$P2232,0)</f>
        <v>0</v>
      </c>
      <c r="U2232" s="64" t="n">
        <f aca="false">IF($K2232="Expected",$P2232,0)</f>
        <v>0</v>
      </c>
      <c r="V2232" s="64" t="n">
        <f aca="false">IF($K2232="Better",$P2232,0)</f>
        <v>0</v>
      </c>
      <c r="W2232" s="64" t="n">
        <f aca="false">IF($K2232="U – needs rule",$P2232,0)</f>
        <v>0</v>
      </c>
      <c r="X2232" s="64" t="n">
        <f aca="false">IF($K2232="No Start (attainment only)",$P2232,0)</f>
        <v>0</v>
      </c>
    </row>
    <row r="2233" customFormat="false" ht="15" hidden="false" customHeight="false" outlineLevel="0" collapsed="false">
      <c r="A2233" s="60"/>
      <c r="B2233" s="61" t="str">
        <f aca="false">IF($M2233=0,"",INDEX(Classes!$E$6:$E$420,$M2233))</f>
        <v/>
      </c>
      <c r="C2233" s="62" t="str">
        <f aca="false">IF($M2233=0,"",INDEX(Classes!$H$6:$H$420,$M2233))</f>
        <v/>
      </c>
      <c r="D2233" s="61" t="str">
        <f aca="false">IF($M2233=0,"",INDEX(Classes!$B$6:$B$420,$M2233))</f>
        <v/>
      </c>
      <c r="E2233" s="61" t="str">
        <f aca="false">IF($M2233=0,"",INDEX(Classes!$C$6:$C$420,$M2233))</f>
        <v/>
      </c>
      <c r="F2233" s="63"/>
      <c r="G2233" s="63"/>
      <c r="H2233" s="60"/>
      <c r="I2233" s="60"/>
      <c r="J2233" s="63"/>
      <c r="K2233" s="61" t="str">
        <f aca="false">IF($P2233=0,"",IF($F2233="Baseline","— Baseline",IF($O2233=0,"No result",IF($N2233=0,"No Start (attainment only)",IF(OR($N2233=1,$O2233=1),"U – needs rule",INDEX(MxBody,MATCH($I2233,MxCurr,0),MATCH($H2233,MxStart,0)))))))</f>
        <v/>
      </c>
      <c r="L2233" s="62" t="str">
        <f aca="false">IF(COUNTA($A2233,$F2233,$G2233,$H2233,$I2233,$J2233)=0,"",IF($M2233=0,"✖ كود الصف غير موجود",IF(ISNA(MATCH($F2233,Lists!$A$2:$A$5,0)),"✖ الفترة غير صحيحة",IF(ISNA(MATCH($G2233,Lists!$B$2:$B$7,0)),"✖ المجموعة غير صحيحة",IF(NOT(OR($H2233="",$N2233&gt;0)),"✖ Start غير صحيح",IF(NOT(OR($I2233="",$I2233="NR",$O2233&gt;0)),"✖ Current غير صحيح",IF(NOT(IF(ISNUMBER($J2233),AND($J2233&gt;=0,$J2233=INT($J2233)),FALSE())),"✖ العدد يجب أن يكون صحيحًا ≥ 0",IF(AND($F2233="Baseline",$H2233&lt;&gt;""),"⚠ Baseline: Start لا يدخل في التقدم",IF($K2233="No Start (attainment only)","ℹ تحصيل فقط (بدون Start)",IF($K2233="U – needs rule","ℹ حالة U تحتاج قاعدة معتمدة",IF($K2233="No result","ℹ بدون نتيجة (يُستبعد من التحصيل)","OK")))))))))))</f>
        <v/>
      </c>
      <c r="M2233" s="64" t="n">
        <f aca="false">IF($A2233="",0,IFERROR(MATCH($A2233,Classes!$A$6:$A$420,0),0))</f>
        <v>0</v>
      </c>
      <c r="N2233" s="64" t="n">
        <f aca="false">IF($H2233="",0,IFERROR(MATCH($H2233,GradeList,0),0))</f>
        <v>0</v>
      </c>
      <c r="O2233" s="64" t="n">
        <f aca="false">IF(OR($I2233="",$I2233="NR"),0,IFERROR(MATCH($I2233,GradeList,0),0))</f>
        <v>0</v>
      </c>
      <c r="P2233" s="64" t="n">
        <f aca="false">IF(AND($M2233&gt;0,ISNUMBER(MATCH($F2233,Lists!$A$2:$A$5,0)),ISNUMBER(MATCH($G2233,Lists!$B$2:$B$7,0)),OR($H2233="",$N2233&gt;0),OR($I2233="",$I2233="NR",$O2233&gt;0),IF(ISNUMBER($J2233),AND($J2233&gt;=0,$J2233=INT($J2233)),FALSE())),$J2233,0)</f>
        <v>0</v>
      </c>
      <c r="Q2233" s="64" t="n">
        <f aca="false">IF(AND($P2233&gt;0,$O2233&gt;0),$P2233,0)</f>
        <v>0</v>
      </c>
      <c r="R2233" s="64" t="n">
        <f aca="false">IF(AND($Q2233&gt;0,$O2233&gt;=AtRank),$Q2233,0)</f>
        <v>0</v>
      </c>
      <c r="S2233" s="64" t="n">
        <f aca="false">IF(AND($Q2233&gt;0,$O2233&gt;=AboveRank),$Q2233,0)</f>
        <v>0</v>
      </c>
      <c r="T2233" s="64" t="n">
        <f aca="false">IF($K2233="Less",$P2233,0)</f>
        <v>0</v>
      </c>
      <c r="U2233" s="64" t="n">
        <f aca="false">IF($K2233="Expected",$P2233,0)</f>
        <v>0</v>
      </c>
      <c r="V2233" s="64" t="n">
        <f aca="false">IF($K2233="Better",$P2233,0)</f>
        <v>0</v>
      </c>
      <c r="W2233" s="64" t="n">
        <f aca="false">IF($K2233="U – needs rule",$P2233,0)</f>
        <v>0</v>
      </c>
      <c r="X2233" s="64" t="n">
        <f aca="false">IF($K2233="No Start (attainment only)",$P2233,0)</f>
        <v>0</v>
      </c>
    </row>
    <row r="2234" customFormat="false" ht="15" hidden="false" customHeight="false" outlineLevel="0" collapsed="false">
      <c r="A2234" s="60"/>
      <c r="B2234" s="61" t="str">
        <f aca="false">IF($M2234=0,"",INDEX(Classes!$E$6:$E$420,$M2234))</f>
        <v/>
      </c>
      <c r="C2234" s="62" t="str">
        <f aca="false">IF($M2234=0,"",INDEX(Classes!$H$6:$H$420,$M2234))</f>
        <v/>
      </c>
      <c r="D2234" s="61" t="str">
        <f aca="false">IF($M2234=0,"",INDEX(Classes!$B$6:$B$420,$M2234))</f>
        <v/>
      </c>
      <c r="E2234" s="61" t="str">
        <f aca="false">IF($M2234=0,"",INDEX(Classes!$C$6:$C$420,$M2234))</f>
        <v/>
      </c>
      <c r="F2234" s="63"/>
      <c r="G2234" s="63"/>
      <c r="H2234" s="60"/>
      <c r="I2234" s="60"/>
      <c r="J2234" s="63"/>
      <c r="K2234" s="61" t="str">
        <f aca="false">IF($P2234=0,"",IF($F2234="Baseline","— Baseline",IF($O2234=0,"No result",IF($N2234=0,"No Start (attainment only)",IF(OR($N2234=1,$O2234=1),"U – needs rule",INDEX(MxBody,MATCH($I2234,MxCurr,0),MATCH($H2234,MxStart,0)))))))</f>
        <v/>
      </c>
      <c r="L2234" s="62" t="str">
        <f aca="false">IF(COUNTA($A2234,$F2234,$G2234,$H2234,$I2234,$J2234)=0,"",IF($M2234=0,"✖ كود الصف غير موجود",IF(ISNA(MATCH($F2234,Lists!$A$2:$A$5,0)),"✖ الفترة غير صحيحة",IF(ISNA(MATCH($G2234,Lists!$B$2:$B$7,0)),"✖ المجموعة غير صحيحة",IF(NOT(OR($H2234="",$N2234&gt;0)),"✖ Start غير صحيح",IF(NOT(OR($I2234="",$I2234="NR",$O2234&gt;0)),"✖ Current غير صحيح",IF(NOT(IF(ISNUMBER($J2234),AND($J2234&gt;=0,$J2234=INT($J2234)),FALSE())),"✖ العدد يجب أن يكون صحيحًا ≥ 0",IF(AND($F2234="Baseline",$H2234&lt;&gt;""),"⚠ Baseline: Start لا يدخل في التقدم",IF($K2234="No Start (attainment only)","ℹ تحصيل فقط (بدون Start)",IF($K2234="U – needs rule","ℹ حالة U تحتاج قاعدة معتمدة",IF($K2234="No result","ℹ بدون نتيجة (يُستبعد من التحصيل)","OK")))))))))))</f>
        <v/>
      </c>
      <c r="M2234" s="64" t="n">
        <f aca="false">IF($A2234="",0,IFERROR(MATCH($A2234,Classes!$A$6:$A$420,0),0))</f>
        <v>0</v>
      </c>
      <c r="N2234" s="64" t="n">
        <f aca="false">IF($H2234="",0,IFERROR(MATCH($H2234,GradeList,0),0))</f>
        <v>0</v>
      </c>
      <c r="O2234" s="64" t="n">
        <f aca="false">IF(OR($I2234="",$I2234="NR"),0,IFERROR(MATCH($I2234,GradeList,0),0))</f>
        <v>0</v>
      </c>
      <c r="P2234" s="64" t="n">
        <f aca="false">IF(AND($M2234&gt;0,ISNUMBER(MATCH($F2234,Lists!$A$2:$A$5,0)),ISNUMBER(MATCH($G2234,Lists!$B$2:$B$7,0)),OR($H2234="",$N2234&gt;0),OR($I2234="",$I2234="NR",$O2234&gt;0),IF(ISNUMBER($J2234),AND($J2234&gt;=0,$J2234=INT($J2234)),FALSE())),$J2234,0)</f>
        <v>0</v>
      </c>
      <c r="Q2234" s="64" t="n">
        <f aca="false">IF(AND($P2234&gt;0,$O2234&gt;0),$P2234,0)</f>
        <v>0</v>
      </c>
      <c r="R2234" s="64" t="n">
        <f aca="false">IF(AND($Q2234&gt;0,$O2234&gt;=AtRank),$Q2234,0)</f>
        <v>0</v>
      </c>
      <c r="S2234" s="64" t="n">
        <f aca="false">IF(AND($Q2234&gt;0,$O2234&gt;=AboveRank),$Q2234,0)</f>
        <v>0</v>
      </c>
      <c r="T2234" s="64" t="n">
        <f aca="false">IF($K2234="Less",$P2234,0)</f>
        <v>0</v>
      </c>
      <c r="U2234" s="64" t="n">
        <f aca="false">IF($K2234="Expected",$P2234,0)</f>
        <v>0</v>
      </c>
      <c r="V2234" s="64" t="n">
        <f aca="false">IF($K2234="Better",$P2234,0)</f>
        <v>0</v>
      </c>
      <c r="W2234" s="64" t="n">
        <f aca="false">IF($K2234="U – needs rule",$P2234,0)</f>
        <v>0</v>
      </c>
      <c r="X2234" s="64" t="n">
        <f aca="false">IF($K2234="No Start (attainment only)",$P2234,0)</f>
        <v>0</v>
      </c>
    </row>
    <row r="2235" customFormat="false" ht="15" hidden="false" customHeight="false" outlineLevel="0" collapsed="false">
      <c r="A2235" s="60"/>
      <c r="B2235" s="61" t="str">
        <f aca="false">IF($M2235=0,"",INDEX(Classes!$E$6:$E$420,$M2235))</f>
        <v/>
      </c>
      <c r="C2235" s="62" t="str">
        <f aca="false">IF($M2235=0,"",INDEX(Classes!$H$6:$H$420,$M2235))</f>
        <v/>
      </c>
      <c r="D2235" s="61" t="str">
        <f aca="false">IF($M2235=0,"",INDEX(Classes!$B$6:$B$420,$M2235))</f>
        <v/>
      </c>
      <c r="E2235" s="61" t="str">
        <f aca="false">IF($M2235=0,"",INDEX(Classes!$C$6:$C$420,$M2235))</f>
        <v/>
      </c>
      <c r="F2235" s="63"/>
      <c r="G2235" s="63"/>
      <c r="H2235" s="60"/>
      <c r="I2235" s="60"/>
      <c r="J2235" s="63"/>
      <c r="K2235" s="61" t="str">
        <f aca="false">IF($P2235=0,"",IF($F2235="Baseline","— Baseline",IF($O2235=0,"No result",IF($N2235=0,"No Start (attainment only)",IF(OR($N2235=1,$O2235=1),"U – needs rule",INDEX(MxBody,MATCH($I2235,MxCurr,0),MATCH($H2235,MxStart,0)))))))</f>
        <v/>
      </c>
      <c r="L2235" s="62" t="str">
        <f aca="false">IF(COUNTA($A2235,$F2235,$G2235,$H2235,$I2235,$J2235)=0,"",IF($M2235=0,"✖ كود الصف غير موجود",IF(ISNA(MATCH($F2235,Lists!$A$2:$A$5,0)),"✖ الفترة غير صحيحة",IF(ISNA(MATCH($G2235,Lists!$B$2:$B$7,0)),"✖ المجموعة غير صحيحة",IF(NOT(OR($H2235="",$N2235&gt;0)),"✖ Start غير صحيح",IF(NOT(OR($I2235="",$I2235="NR",$O2235&gt;0)),"✖ Current غير صحيح",IF(NOT(IF(ISNUMBER($J2235),AND($J2235&gt;=0,$J2235=INT($J2235)),FALSE())),"✖ العدد يجب أن يكون صحيحًا ≥ 0",IF(AND($F2235="Baseline",$H2235&lt;&gt;""),"⚠ Baseline: Start لا يدخل في التقدم",IF($K2235="No Start (attainment only)","ℹ تحصيل فقط (بدون Start)",IF($K2235="U – needs rule","ℹ حالة U تحتاج قاعدة معتمدة",IF($K2235="No result","ℹ بدون نتيجة (يُستبعد من التحصيل)","OK")))))))))))</f>
        <v/>
      </c>
      <c r="M2235" s="64" t="n">
        <f aca="false">IF($A2235="",0,IFERROR(MATCH($A2235,Classes!$A$6:$A$420,0),0))</f>
        <v>0</v>
      </c>
      <c r="N2235" s="64" t="n">
        <f aca="false">IF($H2235="",0,IFERROR(MATCH($H2235,GradeList,0),0))</f>
        <v>0</v>
      </c>
      <c r="O2235" s="64" t="n">
        <f aca="false">IF(OR($I2235="",$I2235="NR"),0,IFERROR(MATCH($I2235,GradeList,0),0))</f>
        <v>0</v>
      </c>
      <c r="P2235" s="64" t="n">
        <f aca="false">IF(AND($M2235&gt;0,ISNUMBER(MATCH($F2235,Lists!$A$2:$A$5,0)),ISNUMBER(MATCH($G2235,Lists!$B$2:$B$7,0)),OR($H2235="",$N2235&gt;0),OR($I2235="",$I2235="NR",$O2235&gt;0),IF(ISNUMBER($J2235),AND($J2235&gt;=0,$J2235=INT($J2235)),FALSE())),$J2235,0)</f>
        <v>0</v>
      </c>
      <c r="Q2235" s="64" t="n">
        <f aca="false">IF(AND($P2235&gt;0,$O2235&gt;0),$P2235,0)</f>
        <v>0</v>
      </c>
      <c r="R2235" s="64" t="n">
        <f aca="false">IF(AND($Q2235&gt;0,$O2235&gt;=AtRank),$Q2235,0)</f>
        <v>0</v>
      </c>
      <c r="S2235" s="64" t="n">
        <f aca="false">IF(AND($Q2235&gt;0,$O2235&gt;=AboveRank),$Q2235,0)</f>
        <v>0</v>
      </c>
      <c r="T2235" s="64" t="n">
        <f aca="false">IF($K2235="Less",$P2235,0)</f>
        <v>0</v>
      </c>
      <c r="U2235" s="64" t="n">
        <f aca="false">IF($K2235="Expected",$P2235,0)</f>
        <v>0</v>
      </c>
      <c r="V2235" s="64" t="n">
        <f aca="false">IF($K2235="Better",$P2235,0)</f>
        <v>0</v>
      </c>
      <c r="W2235" s="64" t="n">
        <f aca="false">IF($K2235="U – needs rule",$P2235,0)</f>
        <v>0</v>
      </c>
      <c r="X2235" s="64" t="n">
        <f aca="false">IF($K2235="No Start (attainment only)",$P2235,0)</f>
        <v>0</v>
      </c>
    </row>
    <row r="2236" customFormat="false" ht="15" hidden="false" customHeight="false" outlineLevel="0" collapsed="false">
      <c r="A2236" s="60"/>
      <c r="B2236" s="61" t="str">
        <f aca="false">IF($M2236=0,"",INDEX(Classes!$E$6:$E$420,$M2236))</f>
        <v/>
      </c>
      <c r="C2236" s="62" t="str">
        <f aca="false">IF($M2236=0,"",INDEX(Classes!$H$6:$H$420,$M2236))</f>
        <v/>
      </c>
      <c r="D2236" s="61" t="str">
        <f aca="false">IF($M2236=0,"",INDEX(Classes!$B$6:$B$420,$M2236))</f>
        <v/>
      </c>
      <c r="E2236" s="61" t="str">
        <f aca="false">IF($M2236=0,"",INDEX(Classes!$C$6:$C$420,$M2236))</f>
        <v/>
      </c>
      <c r="F2236" s="63"/>
      <c r="G2236" s="63"/>
      <c r="H2236" s="60"/>
      <c r="I2236" s="60"/>
      <c r="J2236" s="63"/>
      <c r="K2236" s="61" t="str">
        <f aca="false">IF($P2236=0,"",IF($F2236="Baseline","— Baseline",IF($O2236=0,"No result",IF($N2236=0,"No Start (attainment only)",IF(OR($N2236=1,$O2236=1),"U – needs rule",INDEX(MxBody,MATCH($I2236,MxCurr,0),MATCH($H2236,MxStart,0)))))))</f>
        <v/>
      </c>
      <c r="L2236" s="62" t="str">
        <f aca="false">IF(COUNTA($A2236,$F2236,$G2236,$H2236,$I2236,$J2236)=0,"",IF($M2236=0,"✖ كود الصف غير موجود",IF(ISNA(MATCH($F2236,Lists!$A$2:$A$5,0)),"✖ الفترة غير صحيحة",IF(ISNA(MATCH($G2236,Lists!$B$2:$B$7,0)),"✖ المجموعة غير صحيحة",IF(NOT(OR($H2236="",$N2236&gt;0)),"✖ Start غير صحيح",IF(NOT(OR($I2236="",$I2236="NR",$O2236&gt;0)),"✖ Current غير صحيح",IF(NOT(IF(ISNUMBER($J2236),AND($J2236&gt;=0,$J2236=INT($J2236)),FALSE())),"✖ العدد يجب أن يكون صحيحًا ≥ 0",IF(AND($F2236="Baseline",$H2236&lt;&gt;""),"⚠ Baseline: Start لا يدخل في التقدم",IF($K2236="No Start (attainment only)","ℹ تحصيل فقط (بدون Start)",IF($K2236="U – needs rule","ℹ حالة U تحتاج قاعدة معتمدة",IF($K2236="No result","ℹ بدون نتيجة (يُستبعد من التحصيل)","OK")))))))))))</f>
        <v/>
      </c>
      <c r="M2236" s="64" t="n">
        <f aca="false">IF($A2236="",0,IFERROR(MATCH($A2236,Classes!$A$6:$A$420,0),0))</f>
        <v>0</v>
      </c>
      <c r="N2236" s="64" t="n">
        <f aca="false">IF($H2236="",0,IFERROR(MATCH($H2236,GradeList,0),0))</f>
        <v>0</v>
      </c>
      <c r="O2236" s="64" t="n">
        <f aca="false">IF(OR($I2236="",$I2236="NR"),0,IFERROR(MATCH($I2236,GradeList,0),0))</f>
        <v>0</v>
      </c>
      <c r="P2236" s="64" t="n">
        <f aca="false">IF(AND($M2236&gt;0,ISNUMBER(MATCH($F2236,Lists!$A$2:$A$5,0)),ISNUMBER(MATCH($G2236,Lists!$B$2:$B$7,0)),OR($H2236="",$N2236&gt;0),OR($I2236="",$I2236="NR",$O2236&gt;0),IF(ISNUMBER($J2236),AND($J2236&gt;=0,$J2236=INT($J2236)),FALSE())),$J2236,0)</f>
        <v>0</v>
      </c>
      <c r="Q2236" s="64" t="n">
        <f aca="false">IF(AND($P2236&gt;0,$O2236&gt;0),$P2236,0)</f>
        <v>0</v>
      </c>
      <c r="R2236" s="64" t="n">
        <f aca="false">IF(AND($Q2236&gt;0,$O2236&gt;=AtRank),$Q2236,0)</f>
        <v>0</v>
      </c>
      <c r="S2236" s="64" t="n">
        <f aca="false">IF(AND($Q2236&gt;0,$O2236&gt;=AboveRank),$Q2236,0)</f>
        <v>0</v>
      </c>
      <c r="T2236" s="64" t="n">
        <f aca="false">IF($K2236="Less",$P2236,0)</f>
        <v>0</v>
      </c>
      <c r="U2236" s="64" t="n">
        <f aca="false">IF($K2236="Expected",$P2236,0)</f>
        <v>0</v>
      </c>
      <c r="V2236" s="64" t="n">
        <f aca="false">IF($K2236="Better",$P2236,0)</f>
        <v>0</v>
      </c>
      <c r="W2236" s="64" t="n">
        <f aca="false">IF($K2236="U – needs rule",$P2236,0)</f>
        <v>0</v>
      </c>
      <c r="X2236" s="64" t="n">
        <f aca="false">IF($K2236="No Start (attainment only)",$P2236,0)</f>
        <v>0</v>
      </c>
    </row>
    <row r="2237" customFormat="false" ht="15" hidden="false" customHeight="false" outlineLevel="0" collapsed="false">
      <c r="A2237" s="60"/>
      <c r="B2237" s="61" t="str">
        <f aca="false">IF($M2237=0,"",INDEX(Classes!$E$6:$E$420,$M2237))</f>
        <v/>
      </c>
      <c r="C2237" s="62" t="str">
        <f aca="false">IF($M2237=0,"",INDEX(Classes!$H$6:$H$420,$M2237))</f>
        <v/>
      </c>
      <c r="D2237" s="61" t="str">
        <f aca="false">IF($M2237=0,"",INDEX(Classes!$B$6:$B$420,$M2237))</f>
        <v/>
      </c>
      <c r="E2237" s="61" t="str">
        <f aca="false">IF($M2237=0,"",INDEX(Classes!$C$6:$C$420,$M2237))</f>
        <v/>
      </c>
      <c r="F2237" s="63"/>
      <c r="G2237" s="63"/>
      <c r="H2237" s="60"/>
      <c r="I2237" s="60"/>
      <c r="J2237" s="63"/>
      <c r="K2237" s="61" t="str">
        <f aca="false">IF($P2237=0,"",IF($F2237="Baseline","— Baseline",IF($O2237=0,"No result",IF($N2237=0,"No Start (attainment only)",IF(OR($N2237=1,$O2237=1),"U – needs rule",INDEX(MxBody,MATCH($I2237,MxCurr,0),MATCH($H2237,MxStart,0)))))))</f>
        <v/>
      </c>
      <c r="L2237" s="62" t="str">
        <f aca="false">IF(COUNTA($A2237,$F2237,$G2237,$H2237,$I2237,$J2237)=0,"",IF($M2237=0,"✖ كود الصف غير موجود",IF(ISNA(MATCH($F2237,Lists!$A$2:$A$5,0)),"✖ الفترة غير صحيحة",IF(ISNA(MATCH($G2237,Lists!$B$2:$B$7,0)),"✖ المجموعة غير صحيحة",IF(NOT(OR($H2237="",$N2237&gt;0)),"✖ Start غير صحيح",IF(NOT(OR($I2237="",$I2237="NR",$O2237&gt;0)),"✖ Current غير صحيح",IF(NOT(IF(ISNUMBER($J2237),AND($J2237&gt;=0,$J2237=INT($J2237)),FALSE())),"✖ العدد يجب أن يكون صحيحًا ≥ 0",IF(AND($F2237="Baseline",$H2237&lt;&gt;""),"⚠ Baseline: Start لا يدخل في التقدم",IF($K2237="No Start (attainment only)","ℹ تحصيل فقط (بدون Start)",IF($K2237="U – needs rule","ℹ حالة U تحتاج قاعدة معتمدة",IF($K2237="No result","ℹ بدون نتيجة (يُستبعد من التحصيل)","OK")))))))))))</f>
        <v/>
      </c>
      <c r="M2237" s="64" t="n">
        <f aca="false">IF($A2237="",0,IFERROR(MATCH($A2237,Classes!$A$6:$A$420,0),0))</f>
        <v>0</v>
      </c>
      <c r="N2237" s="64" t="n">
        <f aca="false">IF($H2237="",0,IFERROR(MATCH($H2237,GradeList,0),0))</f>
        <v>0</v>
      </c>
      <c r="O2237" s="64" t="n">
        <f aca="false">IF(OR($I2237="",$I2237="NR"),0,IFERROR(MATCH($I2237,GradeList,0),0))</f>
        <v>0</v>
      </c>
      <c r="P2237" s="64" t="n">
        <f aca="false">IF(AND($M2237&gt;0,ISNUMBER(MATCH($F2237,Lists!$A$2:$A$5,0)),ISNUMBER(MATCH($G2237,Lists!$B$2:$B$7,0)),OR($H2237="",$N2237&gt;0),OR($I2237="",$I2237="NR",$O2237&gt;0),IF(ISNUMBER($J2237),AND($J2237&gt;=0,$J2237=INT($J2237)),FALSE())),$J2237,0)</f>
        <v>0</v>
      </c>
      <c r="Q2237" s="64" t="n">
        <f aca="false">IF(AND($P2237&gt;0,$O2237&gt;0),$P2237,0)</f>
        <v>0</v>
      </c>
      <c r="R2237" s="64" t="n">
        <f aca="false">IF(AND($Q2237&gt;0,$O2237&gt;=AtRank),$Q2237,0)</f>
        <v>0</v>
      </c>
      <c r="S2237" s="64" t="n">
        <f aca="false">IF(AND($Q2237&gt;0,$O2237&gt;=AboveRank),$Q2237,0)</f>
        <v>0</v>
      </c>
      <c r="T2237" s="64" t="n">
        <f aca="false">IF($K2237="Less",$P2237,0)</f>
        <v>0</v>
      </c>
      <c r="U2237" s="64" t="n">
        <f aca="false">IF($K2237="Expected",$P2237,0)</f>
        <v>0</v>
      </c>
      <c r="V2237" s="64" t="n">
        <f aca="false">IF($K2237="Better",$P2237,0)</f>
        <v>0</v>
      </c>
      <c r="W2237" s="64" t="n">
        <f aca="false">IF($K2237="U – needs rule",$P2237,0)</f>
        <v>0</v>
      </c>
      <c r="X2237" s="64" t="n">
        <f aca="false">IF($K2237="No Start (attainment only)",$P2237,0)</f>
        <v>0</v>
      </c>
    </row>
    <row r="2238" customFormat="false" ht="15" hidden="false" customHeight="false" outlineLevel="0" collapsed="false">
      <c r="A2238" s="60"/>
      <c r="B2238" s="61" t="str">
        <f aca="false">IF($M2238=0,"",INDEX(Classes!$E$6:$E$420,$M2238))</f>
        <v/>
      </c>
      <c r="C2238" s="62" t="str">
        <f aca="false">IF($M2238=0,"",INDEX(Classes!$H$6:$H$420,$M2238))</f>
        <v/>
      </c>
      <c r="D2238" s="61" t="str">
        <f aca="false">IF($M2238=0,"",INDEX(Classes!$B$6:$B$420,$M2238))</f>
        <v/>
      </c>
      <c r="E2238" s="61" t="str">
        <f aca="false">IF($M2238=0,"",INDEX(Classes!$C$6:$C$420,$M2238))</f>
        <v/>
      </c>
      <c r="F2238" s="63"/>
      <c r="G2238" s="63"/>
      <c r="H2238" s="60"/>
      <c r="I2238" s="60"/>
      <c r="J2238" s="63"/>
      <c r="K2238" s="61" t="str">
        <f aca="false">IF($P2238=0,"",IF($F2238="Baseline","— Baseline",IF($O2238=0,"No result",IF($N2238=0,"No Start (attainment only)",IF(OR($N2238=1,$O2238=1),"U – needs rule",INDEX(MxBody,MATCH($I2238,MxCurr,0),MATCH($H2238,MxStart,0)))))))</f>
        <v/>
      </c>
      <c r="L2238" s="62" t="str">
        <f aca="false">IF(COUNTA($A2238,$F2238,$G2238,$H2238,$I2238,$J2238)=0,"",IF($M2238=0,"✖ كود الصف غير موجود",IF(ISNA(MATCH($F2238,Lists!$A$2:$A$5,0)),"✖ الفترة غير صحيحة",IF(ISNA(MATCH($G2238,Lists!$B$2:$B$7,0)),"✖ المجموعة غير صحيحة",IF(NOT(OR($H2238="",$N2238&gt;0)),"✖ Start غير صحيح",IF(NOT(OR($I2238="",$I2238="NR",$O2238&gt;0)),"✖ Current غير صحيح",IF(NOT(IF(ISNUMBER($J2238),AND($J2238&gt;=0,$J2238=INT($J2238)),FALSE())),"✖ العدد يجب أن يكون صحيحًا ≥ 0",IF(AND($F2238="Baseline",$H2238&lt;&gt;""),"⚠ Baseline: Start لا يدخل في التقدم",IF($K2238="No Start (attainment only)","ℹ تحصيل فقط (بدون Start)",IF($K2238="U – needs rule","ℹ حالة U تحتاج قاعدة معتمدة",IF($K2238="No result","ℹ بدون نتيجة (يُستبعد من التحصيل)","OK")))))))))))</f>
        <v/>
      </c>
      <c r="M2238" s="64" t="n">
        <f aca="false">IF($A2238="",0,IFERROR(MATCH($A2238,Classes!$A$6:$A$420,0),0))</f>
        <v>0</v>
      </c>
      <c r="N2238" s="64" t="n">
        <f aca="false">IF($H2238="",0,IFERROR(MATCH($H2238,GradeList,0),0))</f>
        <v>0</v>
      </c>
      <c r="O2238" s="64" t="n">
        <f aca="false">IF(OR($I2238="",$I2238="NR"),0,IFERROR(MATCH($I2238,GradeList,0),0))</f>
        <v>0</v>
      </c>
      <c r="P2238" s="64" t="n">
        <f aca="false">IF(AND($M2238&gt;0,ISNUMBER(MATCH($F2238,Lists!$A$2:$A$5,0)),ISNUMBER(MATCH($G2238,Lists!$B$2:$B$7,0)),OR($H2238="",$N2238&gt;0),OR($I2238="",$I2238="NR",$O2238&gt;0),IF(ISNUMBER($J2238),AND($J2238&gt;=0,$J2238=INT($J2238)),FALSE())),$J2238,0)</f>
        <v>0</v>
      </c>
      <c r="Q2238" s="64" t="n">
        <f aca="false">IF(AND($P2238&gt;0,$O2238&gt;0),$P2238,0)</f>
        <v>0</v>
      </c>
      <c r="R2238" s="64" t="n">
        <f aca="false">IF(AND($Q2238&gt;0,$O2238&gt;=AtRank),$Q2238,0)</f>
        <v>0</v>
      </c>
      <c r="S2238" s="64" t="n">
        <f aca="false">IF(AND($Q2238&gt;0,$O2238&gt;=AboveRank),$Q2238,0)</f>
        <v>0</v>
      </c>
      <c r="T2238" s="64" t="n">
        <f aca="false">IF($K2238="Less",$P2238,0)</f>
        <v>0</v>
      </c>
      <c r="U2238" s="64" t="n">
        <f aca="false">IF($K2238="Expected",$P2238,0)</f>
        <v>0</v>
      </c>
      <c r="V2238" s="64" t="n">
        <f aca="false">IF($K2238="Better",$P2238,0)</f>
        <v>0</v>
      </c>
      <c r="W2238" s="64" t="n">
        <f aca="false">IF($K2238="U – needs rule",$P2238,0)</f>
        <v>0</v>
      </c>
      <c r="X2238" s="64" t="n">
        <f aca="false">IF($K2238="No Start (attainment only)",$P2238,0)</f>
        <v>0</v>
      </c>
    </row>
    <row r="2239" customFormat="false" ht="15" hidden="false" customHeight="false" outlineLevel="0" collapsed="false">
      <c r="A2239" s="60"/>
      <c r="B2239" s="61" t="str">
        <f aca="false">IF($M2239=0,"",INDEX(Classes!$E$6:$E$420,$M2239))</f>
        <v/>
      </c>
      <c r="C2239" s="62" t="str">
        <f aca="false">IF($M2239=0,"",INDEX(Classes!$H$6:$H$420,$M2239))</f>
        <v/>
      </c>
      <c r="D2239" s="61" t="str">
        <f aca="false">IF($M2239=0,"",INDEX(Classes!$B$6:$B$420,$M2239))</f>
        <v/>
      </c>
      <c r="E2239" s="61" t="str">
        <f aca="false">IF($M2239=0,"",INDEX(Classes!$C$6:$C$420,$M2239))</f>
        <v/>
      </c>
      <c r="F2239" s="63"/>
      <c r="G2239" s="63"/>
      <c r="H2239" s="60"/>
      <c r="I2239" s="60"/>
      <c r="J2239" s="63"/>
      <c r="K2239" s="61" t="str">
        <f aca="false">IF($P2239=0,"",IF($F2239="Baseline","— Baseline",IF($O2239=0,"No result",IF($N2239=0,"No Start (attainment only)",IF(OR($N2239=1,$O2239=1),"U – needs rule",INDEX(MxBody,MATCH($I2239,MxCurr,0),MATCH($H2239,MxStart,0)))))))</f>
        <v/>
      </c>
      <c r="L2239" s="62" t="str">
        <f aca="false">IF(COUNTA($A2239,$F2239,$G2239,$H2239,$I2239,$J2239)=0,"",IF($M2239=0,"✖ كود الصف غير موجود",IF(ISNA(MATCH($F2239,Lists!$A$2:$A$5,0)),"✖ الفترة غير صحيحة",IF(ISNA(MATCH($G2239,Lists!$B$2:$B$7,0)),"✖ المجموعة غير صحيحة",IF(NOT(OR($H2239="",$N2239&gt;0)),"✖ Start غير صحيح",IF(NOT(OR($I2239="",$I2239="NR",$O2239&gt;0)),"✖ Current غير صحيح",IF(NOT(IF(ISNUMBER($J2239),AND($J2239&gt;=0,$J2239=INT($J2239)),FALSE())),"✖ العدد يجب أن يكون صحيحًا ≥ 0",IF(AND($F2239="Baseline",$H2239&lt;&gt;""),"⚠ Baseline: Start لا يدخل في التقدم",IF($K2239="No Start (attainment only)","ℹ تحصيل فقط (بدون Start)",IF($K2239="U – needs rule","ℹ حالة U تحتاج قاعدة معتمدة",IF($K2239="No result","ℹ بدون نتيجة (يُستبعد من التحصيل)","OK")))))))))))</f>
        <v/>
      </c>
      <c r="M2239" s="64" t="n">
        <f aca="false">IF($A2239="",0,IFERROR(MATCH($A2239,Classes!$A$6:$A$420,0),0))</f>
        <v>0</v>
      </c>
      <c r="N2239" s="64" t="n">
        <f aca="false">IF($H2239="",0,IFERROR(MATCH($H2239,GradeList,0),0))</f>
        <v>0</v>
      </c>
      <c r="O2239" s="64" t="n">
        <f aca="false">IF(OR($I2239="",$I2239="NR"),0,IFERROR(MATCH($I2239,GradeList,0),0))</f>
        <v>0</v>
      </c>
      <c r="P2239" s="64" t="n">
        <f aca="false">IF(AND($M2239&gt;0,ISNUMBER(MATCH($F2239,Lists!$A$2:$A$5,0)),ISNUMBER(MATCH($G2239,Lists!$B$2:$B$7,0)),OR($H2239="",$N2239&gt;0),OR($I2239="",$I2239="NR",$O2239&gt;0),IF(ISNUMBER($J2239),AND($J2239&gt;=0,$J2239=INT($J2239)),FALSE())),$J2239,0)</f>
        <v>0</v>
      </c>
      <c r="Q2239" s="64" t="n">
        <f aca="false">IF(AND($P2239&gt;0,$O2239&gt;0),$P2239,0)</f>
        <v>0</v>
      </c>
      <c r="R2239" s="64" t="n">
        <f aca="false">IF(AND($Q2239&gt;0,$O2239&gt;=AtRank),$Q2239,0)</f>
        <v>0</v>
      </c>
      <c r="S2239" s="64" t="n">
        <f aca="false">IF(AND($Q2239&gt;0,$O2239&gt;=AboveRank),$Q2239,0)</f>
        <v>0</v>
      </c>
      <c r="T2239" s="64" t="n">
        <f aca="false">IF($K2239="Less",$P2239,0)</f>
        <v>0</v>
      </c>
      <c r="U2239" s="64" t="n">
        <f aca="false">IF($K2239="Expected",$P2239,0)</f>
        <v>0</v>
      </c>
      <c r="V2239" s="64" t="n">
        <f aca="false">IF($K2239="Better",$P2239,0)</f>
        <v>0</v>
      </c>
      <c r="W2239" s="64" t="n">
        <f aca="false">IF($K2239="U – needs rule",$P2239,0)</f>
        <v>0</v>
      </c>
      <c r="X2239" s="64" t="n">
        <f aca="false">IF($K2239="No Start (attainment only)",$P2239,0)</f>
        <v>0</v>
      </c>
    </row>
    <row r="2240" customFormat="false" ht="15" hidden="false" customHeight="false" outlineLevel="0" collapsed="false">
      <c r="A2240" s="60"/>
      <c r="B2240" s="61" t="str">
        <f aca="false">IF($M2240=0,"",INDEX(Classes!$E$6:$E$420,$M2240))</f>
        <v/>
      </c>
      <c r="C2240" s="62" t="str">
        <f aca="false">IF($M2240=0,"",INDEX(Classes!$H$6:$H$420,$M2240))</f>
        <v/>
      </c>
      <c r="D2240" s="61" t="str">
        <f aca="false">IF($M2240=0,"",INDEX(Classes!$B$6:$B$420,$M2240))</f>
        <v/>
      </c>
      <c r="E2240" s="61" t="str">
        <f aca="false">IF($M2240=0,"",INDEX(Classes!$C$6:$C$420,$M2240))</f>
        <v/>
      </c>
      <c r="F2240" s="63"/>
      <c r="G2240" s="63"/>
      <c r="H2240" s="60"/>
      <c r="I2240" s="60"/>
      <c r="J2240" s="63"/>
      <c r="K2240" s="61" t="str">
        <f aca="false">IF($P2240=0,"",IF($F2240="Baseline","— Baseline",IF($O2240=0,"No result",IF($N2240=0,"No Start (attainment only)",IF(OR($N2240=1,$O2240=1),"U – needs rule",INDEX(MxBody,MATCH($I2240,MxCurr,0),MATCH($H2240,MxStart,0)))))))</f>
        <v/>
      </c>
      <c r="L2240" s="62" t="str">
        <f aca="false">IF(COUNTA($A2240,$F2240,$G2240,$H2240,$I2240,$J2240)=0,"",IF($M2240=0,"✖ كود الصف غير موجود",IF(ISNA(MATCH($F2240,Lists!$A$2:$A$5,0)),"✖ الفترة غير صحيحة",IF(ISNA(MATCH($G2240,Lists!$B$2:$B$7,0)),"✖ المجموعة غير صحيحة",IF(NOT(OR($H2240="",$N2240&gt;0)),"✖ Start غير صحيح",IF(NOT(OR($I2240="",$I2240="NR",$O2240&gt;0)),"✖ Current غير صحيح",IF(NOT(IF(ISNUMBER($J2240),AND($J2240&gt;=0,$J2240=INT($J2240)),FALSE())),"✖ العدد يجب أن يكون صحيحًا ≥ 0",IF(AND($F2240="Baseline",$H2240&lt;&gt;""),"⚠ Baseline: Start لا يدخل في التقدم",IF($K2240="No Start (attainment only)","ℹ تحصيل فقط (بدون Start)",IF($K2240="U – needs rule","ℹ حالة U تحتاج قاعدة معتمدة",IF($K2240="No result","ℹ بدون نتيجة (يُستبعد من التحصيل)","OK")))))))))))</f>
        <v/>
      </c>
      <c r="M2240" s="64" t="n">
        <f aca="false">IF($A2240="",0,IFERROR(MATCH($A2240,Classes!$A$6:$A$420,0),0))</f>
        <v>0</v>
      </c>
      <c r="N2240" s="64" t="n">
        <f aca="false">IF($H2240="",0,IFERROR(MATCH($H2240,GradeList,0),0))</f>
        <v>0</v>
      </c>
      <c r="O2240" s="64" t="n">
        <f aca="false">IF(OR($I2240="",$I2240="NR"),0,IFERROR(MATCH($I2240,GradeList,0),0))</f>
        <v>0</v>
      </c>
      <c r="P2240" s="64" t="n">
        <f aca="false">IF(AND($M2240&gt;0,ISNUMBER(MATCH($F2240,Lists!$A$2:$A$5,0)),ISNUMBER(MATCH($G2240,Lists!$B$2:$B$7,0)),OR($H2240="",$N2240&gt;0),OR($I2240="",$I2240="NR",$O2240&gt;0),IF(ISNUMBER($J2240),AND($J2240&gt;=0,$J2240=INT($J2240)),FALSE())),$J2240,0)</f>
        <v>0</v>
      </c>
      <c r="Q2240" s="64" t="n">
        <f aca="false">IF(AND($P2240&gt;0,$O2240&gt;0),$P2240,0)</f>
        <v>0</v>
      </c>
      <c r="R2240" s="64" t="n">
        <f aca="false">IF(AND($Q2240&gt;0,$O2240&gt;=AtRank),$Q2240,0)</f>
        <v>0</v>
      </c>
      <c r="S2240" s="64" t="n">
        <f aca="false">IF(AND($Q2240&gt;0,$O2240&gt;=AboveRank),$Q2240,0)</f>
        <v>0</v>
      </c>
      <c r="T2240" s="64" t="n">
        <f aca="false">IF($K2240="Less",$P2240,0)</f>
        <v>0</v>
      </c>
      <c r="U2240" s="64" t="n">
        <f aca="false">IF($K2240="Expected",$P2240,0)</f>
        <v>0</v>
      </c>
      <c r="V2240" s="64" t="n">
        <f aca="false">IF($K2240="Better",$P2240,0)</f>
        <v>0</v>
      </c>
      <c r="W2240" s="64" t="n">
        <f aca="false">IF($K2240="U – needs rule",$P2240,0)</f>
        <v>0</v>
      </c>
      <c r="X2240" s="64" t="n">
        <f aca="false">IF($K2240="No Start (attainment only)",$P2240,0)</f>
        <v>0</v>
      </c>
    </row>
    <row r="2241" customFormat="false" ht="15" hidden="false" customHeight="false" outlineLevel="0" collapsed="false">
      <c r="A2241" s="60"/>
      <c r="B2241" s="61" t="str">
        <f aca="false">IF($M2241=0,"",INDEX(Classes!$E$6:$E$420,$M2241))</f>
        <v/>
      </c>
      <c r="C2241" s="62" t="str">
        <f aca="false">IF($M2241=0,"",INDEX(Classes!$H$6:$H$420,$M2241))</f>
        <v/>
      </c>
      <c r="D2241" s="61" t="str">
        <f aca="false">IF($M2241=0,"",INDEX(Classes!$B$6:$B$420,$M2241))</f>
        <v/>
      </c>
      <c r="E2241" s="61" t="str">
        <f aca="false">IF($M2241=0,"",INDEX(Classes!$C$6:$C$420,$M2241))</f>
        <v/>
      </c>
      <c r="F2241" s="63"/>
      <c r="G2241" s="63"/>
      <c r="H2241" s="60"/>
      <c r="I2241" s="60"/>
      <c r="J2241" s="63"/>
      <c r="K2241" s="61" t="str">
        <f aca="false">IF($P2241=0,"",IF($F2241="Baseline","— Baseline",IF($O2241=0,"No result",IF($N2241=0,"No Start (attainment only)",IF(OR($N2241=1,$O2241=1),"U – needs rule",INDEX(MxBody,MATCH($I2241,MxCurr,0),MATCH($H2241,MxStart,0)))))))</f>
        <v/>
      </c>
      <c r="L2241" s="62" t="str">
        <f aca="false">IF(COUNTA($A2241,$F2241,$G2241,$H2241,$I2241,$J2241)=0,"",IF($M2241=0,"✖ كود الصف غير موجود",IF(ISNA(MATCH($F2241,Lists!$A$2:$A$5,0)),"✖ الفترة غير صحيحة",IF(ISNA(MATCH($G2241,Lists!$B$2:$B$7,0)),"✖ المجموعة غير صحيحة",IF(NOT(OR($H2241="",$N2241&gt;0)),"✖ Start غير صحيح",IF(NOT(OR($I2241="",$I2241="NR",$O2241&gt;0)),"✖ Current غير صحيح",IF(NOT(IF(ISNUMBER($J2241),AND($J2241&gt;=0,$J2241=INT($J2241)),FALSE())),"✖ العدد يجب أن يكون صحيحًا ≥ 0",IF(AND($F2241="Baseline",$H2241&lt;&gt;""),"⚠ Baseline: Start لا يدخل في التقدم",IF($K2241="No Start (attainment only)","ℹ تحصيل فقط (بدون Start)",IF($K2241="U – needs rule","ℹ حالة U تحتاج قاعدة معتمدة",IF($K2241="No result","ℹ بدون نتيجة (يُستبعد من التحصيل)","OK")))))))))))</f>
        <v/>
      </c>
      <c r="M2241" s="64" t="n">
        <f aca="false">IF($A2241="",0,IFERROR(MATCH($A2241,Classes!$A$6:$A$420,0),0))</f>
        <v>0</v>
      </c>
      <c r="N2241" s="64" t="n">
        <f aca="false">IF($H2241="",0,IFERROR(MATCH($H2241,GradeList,0),0))</f>
        <v>0</v>
      </c>
      <c r="O2241" s="64" t="n">
        <f aca="false">IF(OR($I2241="",$I2241="NR"),0,IFERROR(MATCH($I2241,GradeList,0),0))</f>
        <v>0</v>
      </c>
      <c r="P2241" s="64" t="n">
        <f aca="false">IF(AND($M2241&gt;0,ISNUMBER(MATCH($F2241,Lists!$A$2:$A$5,0)),ISNUMBER(MATCH($G2241,Lists!$B$2:$B$7,0)),OR($H2241="",$N2241&gt;0),OR($I2241="",$I2241="NR",$O2241&gt;0),IF(ISNUMBER($J2241),AND($J2241&gt;=0,$J2241=INT($J2241)),FALSE())),$J2241,0)</f>
        <v>0</v>
      </c>
      <c r="Q2241" s="64" t="n">
        <f aca="false">IF(AND($P2241&gt;0,$O2241&gt;0),$P2241,0)</f>
        <v>0</v>
      </c>
      <c r="R2241" s="64" t="n">
        <f aca="false">IF(AND($Q2241&gt;0,$O2241&gt;=AtRank),$Q2241,0)</f>
        <v>0</v>
      </c>
      <c r="S2241" s="64" t="n">
        <f aca="false">IF(AND($Q2241&gt;0,$O2241&gt;=AboveRank),$Q2241,0)</f>
        <v>0</v>
      </c>
      <c r="T2241" s="64" t="n">
        <f aca="false">IF($K2241="Less",$P2241,0)</f>
        <v>0</v>
      </c>
      <c r="U2241" s="64" t="n">
        <f aca="false">IF($K2241="Expected",$P2241,0)</f>
        <v>0</v>
      </c>
      <c r="V2241" s="64" t="n">
        <f aca="false">IF($K2241="Better",$P2241,0)</f>
        <v>0</v>
      </c>
      <c r="W2241" s="64" t="n">
        <f aca="false">IF($K2241="U – needs rule",$P2241,0)</f>
        <v>0</v>
      </c>
      <c r="X2241" s="64" t="n">
        <f aca="false">IF($K2241="No Start (attainment only)",$P2241,0)</f>
        <v>0</v>
      </c>
    </row>
    <row r="2242" customFormat="false" ht="15" hidden="false" customHeight="false" outlineLevel="0" collapsed="false">
      <c r="A2242" s="60"/>
      <c r="B2242" s="61" t="str">
        <f aca="false">IF($M2242=0,"",INDEX(Classes!$E$6:$E$420,$M2242))</f>
        <v/>
      </c>
      <c r="C2242" s="62" t="str">
        <f aca="false">IF($M2242=0,"",INDEX(Classes!$H$6:$H$420,$M2242))</f>
        <v/>
      </c>
      <c r="D2242" s="61" t="str">
        <f aca="false">IF($M2242=0,"",INDEX(Classes!$B$6:$B$420,$M2242))</f>
        <v/>
      </c>
      <c r="E2242" s="61" t="str">
        <f aca="false">IF($M2242=0,"",INDEX(Classes!$C$6:$C$420,$M2242))</f>
        <v/>
      </c>
      <c r="F2242" s="63"/>
      <c r="G2242" s="63"/>
      <c r="H2242" s="60"/>
      <c r="I2242" s="60"/>
      <c r="J2242" s="63"/>
      <c r="K2242" s="61" t="str">
        <f aca="false">IF($P2242=0,"",IF($F2242="Baseline","— Baseline",IF($O2242=0,"No result",IF($N2242=0,"No Start (attainment only)",IF(OR($N2242=1,$O2242=1),"U – needs rule",INDEX(MxBody,MATCH($I2242,MxCurr,0),MATCH($H2242,MxStart,0)))))))</f>
        <v/>
      </c>
      <c r="L2242" s="62" t="str">
        <f aca="false">IF(COUNTA($A2242,$F2242,$G2242,$H2242,$I2242,$J2242)=0,"",IF($M2242=0,"✖ كود الصف غير موجود",IF(ISNA(MATCH($F2242,Lists!$A$2:$A$5,0)),"✖ الفترة غير صحيحة",IF(ISNA(MATCH($G2242,Lists!$B$2:$B$7,0)),"✖ المجموعة غير صحيحة",IF(NOT(OR($H2242="",$N2242&gt;0)),"✖ Start غير صحيح",IF(NOT(OR($I2242="",$I2242="NR",$O2242&gt;0)),"✖ Current غير صحيح",IF(NOT(IF(ISNUMBER($J2242),AND($J2242&gt;=0,$J2242=INT($J2242)),FALSE())),"✖ العدد يجب أن يكون صحيحًا ≥ 0",IF(AND($F2242="Baseline",$H2242&lt;&gt;""),"⚠ Baseline: Start لا يدخل في التقدم",IF($K2242="No Start (attainment only)","ℹ تحصيل فقط (بدون Start)",IF($K2242="U – needs rule","ℹ حالة U تحتاج قاعدة معتمدة",IF($K2242="No result","ℹ بدون نتيجة (يُستبعد من التحصيل)","OK")))))))))))</f>
        <v/>
      </c>
      <c r="M2242" s="64" t="n">
        <f aca="false">IF($A2242="",0,IFERROR(MATCH($A2242,Classes!$A$6:$A$420,0),0))</f>
        <v>0</v>
      </c>
      <c r="N2242" s="64" t="n">
        <f aca="false">IF($H2242="",0,IFERROR(MATCH($H2242,GradeList,0),0))</f>
        <v>0</v>
      </c>
      <c r="O2242" s="64" t="n">
        <f aca="false">IF(OR($I2242="",$I2242="NR"),0,IFERROR(MATCH($I2242,GradeList,0),0))</f>
        <v>0</v>
      </c>
      <c r="P2242" s="64" t="n">
        <f aca="false">IF(AND($M2242&gt;0,ISNUMBER(MATCH($F2242,Lists!$A$2:$A$5,0)),ISNUMBER(MATCH($G2242,Lists!$B$2:$B$7,0)),OR($H2242="",$N2242&gt;0),OR($I2242="",$I2242="NR",$O2242&gt;0),IF(ISNUMBER($J2242),AND($J2242&gt;=0,$J2242=INT($J2242)),FALSE())),$J2242,0)</f>
        <v>0</v>
      </c>
      <c r="Q2242" s="64" t="n">
        <f aca="false">IF(AND($P2242&gt;0,$O2242&gt;0),$P2242,0)</f>
        <v>0</v>
      </c>
      <c r="R2242" s="64" t="n">
        <f aca="false">IF(AND($Q2242&gt;0,$O2242&gt;=AtRank),$Q2242,0)</f>
        <v>0</v>
      </c>
      <c r="S2242" s="64" t="n">
        <f aca="false">IF(AND($Q2242&gt;0,$O2242&gt;=AboveRank),$Q2242,0)</f>
        <v>0</v>
      </c>
      <c r="T2242" s="64" t="n">
        <f aca="false">IF($K2242="Less",$P2242,0)</f>
        <v>0</v>
      </c>
      <c r="U2242" s="64" t="n">
        <f aca="false">IF($K2242="Expected",$P2242,0)</f>
        <v>0</v>
      </c>
      <c r="V2242" s="64" t="n">
        <f aca="false">IF($K2242="Better",$P2242,0)</f>
        <v>0</v>
      </c>
      <c r="W2242" s="64" t="n">
        <f aca="false">IF($K2242="U – needs rule",$P2242,0)</f>
        <v>0</v>
      </c>
      <c r="X2242" s="64" t="n">
        <f aca="false">IF($K2242="No Start (attainment only)",$P2242,0)</f>
        <v>0</v>
      </c>
    </row>
    <row r="2243" customFormat="false" ht="15" hidden="false" customHeight="false" outlineLevel="0" collapsed="false">
      <c r="A2243" s="60"/>
      <c r="B2243" s="61" t="str">
        <f aca="false">IF($M2243=0,"",INDEX(Classes!$E$6:$E$420,$M2243))</f>
        <v/>
      </c>
      <c r="C2243" s="62" t="str">
        <f aca="false">IF($M2243=0,"",INDEX(Classes!$H$6:$H$420,$M2243))</f>
        <v/>
      </c>
      <c r="D2243" s="61" t="str">
        <f aca="false">IF($M2243=0,"",INDEX(Classes!$B$6:$B$420,$M2243))</f>
        <v/>
      </c>
      <c r="E2243" s="61" t="str">
        <f aca="false">IF($M2243=0,"",INDEX(Classes!$C$6:$C$420,$M2243))</f>
        <v/>
      </c>
      <c r="F2243" s="63"/>
      <c r="G2243" s="63"/>
      <c r="H2243" s="60"/>
      <c r="I2243" s="60"/>
      <c r="J2243" s="63"/>
      <c r="K2243" s="61" t="str">
        <f aca="false">IF($P2243=0,"",IF($F2243="Baseline","— Baseline",IF($O2243=0,"No result",IF($N2243=0,"No Start (attainment only)",IF(OR($N2243=1,$O2243=1),"U – needs rule",INDEX(MxBody,MATCH($I2243,MxCurr,0),MATCH($H2243,MxStart,0)))))))</f>
        <v/>
      </c>
      <c r="L2243" s="62" t="str">
        <f aca="false">IF(COUNTA($A2243,$F2243,$G2243,$H2243,$I2243,$J2243)=0,"",IF($M2243=0,"✖ كود الصف غير موجود",IF(ISNA(MATCH($F2243,Lists!$A$2:$A$5,0)),"✖ الفترة غير صحيحة",IF(ISNA(MATCH($G2243,Lists!$B$2:$B$7,0)),"✖ المجموعة غير صحيحة",IF(NOT(OR($H2243="",$N2243&gt;0)),"✖ Start غير صحيح",IF(NOT(OR($I2243="",$I2243="NR",$O2243&gt;0)),"✖ Current غير صحيح",IF(NOT(IF(ISNUMBER($J2243),AND($J2243&gt;=0,$J2243=INT($J2243)),FALSE())),"✖ العدد يجب أن يكون صحيحًا ≥ 0",IF(AND($F2243="Baseline",$H2243&lt;&gt;""),"⚠ Baseline: Start لا يدخل في التقدم",IF($K2243="No Start (attainment only)","ℹ تحصيل فقط (بدون Start)",IF($K2243="U – needs rule","ℹ حالة U تحتاج قاعدة معتمدة",IF($K2243="No result","ℹ بدون نتيجة (يُستبعد من التحصيل)","OK")))))))))))</f>
        <v/>
      </c>
      <c r="M2243" s="64" t="n">
        <f aca="false">IF($A2243="",0,IFERROR(MATCH($A2243,Classes!$A$6:$A$420,0),0))</f>
        <v>0</v>
      </c>
      <c r="N2243" s="64" t="n">
        <f aca="false">IF($H2243="",0,IFERROR(MATCH($H2243,GradeList,0),0))</f>
        <v>0</v>
      </c>
      <c r="O2243" s="64" t="n">
        <f aca="false">IF(OR($I2243="",$I2243="NR"),0,IFERROR(MATCH($I2243,GradeList,0),0))</f>
        <v>0</v>
      </c>
      <c r="P2243" s="64" t="n">
        <f aca="false">IF(AND($M2243&gt;0,ISNUMBER(MATCH($F2243,Lists!$A$2:$A$5,0)),ISNUMBER(MATCH($G2243,Lists!$B$2:$B$7,0)),OR($H2243="",$N2243&gt;0),OR($I2243="",$I2243="NR",$O2243&gt;0),IF(ISNUMBER($J2243),AND($J2243&gt;=0,$J2243=INT($J2243)),FALSE())),$J2243,0)</f>
        <v>0</v>
      </c>
      <c r="Q2243" s="64" t="n">
        <f aca="false">IF(AND($P2243&gt;0,$O2243&gt;0),$P2243,0)</f>
        <v>0</v>
      </c>
      <c r="R2243" s="64" t="n">
        <f aca="false">IF(AND($Q2243&gt;0,$O2243&gt;=AtRank),$Q2243,0)</f>
        <v>0</v>
      </c>
      <c r="S2243" s="64" t="n">
        <f aca="false">IF(AND($Q2243&gt;0,$O2243&gt;=AboveRank),$Q2243,0)</f>
        <v>0</v>
      </c>
      <c r="T2243" s="64" t="n">
        <f aca="false">IF($K2243="Less",$P2243,0)</f>
        <v>0</v>
      </c>
      <c r="U2243" s="64" t="n">
        <f aca="false">IF($K2243="Expected",$P2243,0)</f>
        <v>0</v>
      </c>
      <c r="V2243" s="64" t="n">
        <f aca="false">IF($K2243="Better",$P2243,0)</f>
        <v>0</v>
      </c>
      <c r="W2243" s="64" t="n">
        <f aca="false">IF($K2243="U – needs rule",$P2243,0)</f>
        <v>0</v>
      </c>
      <c r="X2243" s="64" t="n">
        <f aca="false">IF($K2243="No Start (attainment only)",$P2243,0)</f>
        <v>0</v>
      </c>
    </row>
    <row r="2244" customFormat="false" ht="15" hidden="false" customHeight="false" outlineLevel="0" collapsed="false">
      <c r="A2244" s="60"/>
      <c r="B2244" s="61" t="str">
        <f aca="false">IF($M2244=0,"",INDEX(Classes!$E$6:$E$420,$M2244))</f>
        <v/>
      </c>
      <c r="C2244" s="62" t="str">
        <f aca="false">IF($M2244=0,"",INDEX(Classes!$H$6:$H$420,$M2244))</f>
        <v/>
      </c>
      <c r="D2244" s="61" t="str">
        <f aca="false">IF($M2244=0,"",INDEX(Classes!$B$6:$B$420,$M2244))</f>
        <v/>
      </c>
      <c r="E2244" s="61" t="str">
        <f aca="false">IF($M2244=0,"",INDEX(Classes!$C$6:$C$420,$M2244))</f>
        <v/>
      </c>
      <c r="F2244" s="63"/>
      <c r="G2244" s="63"/>
      <c r="H2244" s="60"/>
      <c r="I2244" s="60"/>
      <c r="J2244" s="63"/>
      <c r="K2244" s="61" t="str">
        <f aca="false">IF($P2244=0,"",IF($F2244="Baseline","— Baseline",IF($O2244=0,"No result",IF($N2244=0,"No Start (attainment only)",IF(OR($N2244=1,$O2244=1),"U – needs rule",INDEX(MxBody,MATCH($I2244,MxCurr,0),MATCH($H2244,MxStart,0)))))))</f>
        <v/>
      </c>
      <c r="L2244" s="62" t="str">
        <f aca="false">IF(COUNTA($A2244,$F2244,$G2244,$H2244,$I2244,$J2244)=0,"",IF($M2244=0,"✖ كود الصف غير موجود",IF(ISNA(MATCH($F2244,Lists!$A$2:$A$5,0)),"✖ الفترة غير صحيحة",IF(ISNA(MATCH($G2244,Lists!$B$2:$B$7,0)),"✖ المجموعة غير صحيحة",IF(NOT(OR($H2244="",$N2244&gt;0)),"✖ Start غير صحيح",IF(NOT(OR($I2244="",$I2244="NR",$O2244&gt;0)),"✖ Current غير صحيح",IF(NOT(IF(ISNUMBER($J2244),AND($J2244&gt;=0,$J2244=INT($J2244)),FALSE())),"✖ العدد يجب أن يكون صحيحًا ≥ 0",IF(AND($F2244="Baseline",$H2244&lt;&gt;""),"⚠ Baseline: Start لا يدخل في التقدم",IF($K2244="No Start (attainment only)","ℹ تحصيل فقط (بدون Start)",IF($K2244="U – needs rule","ℹ حالة U تحتاج قاعدة معتمدة",IF($K2244="No result","ℹ بدون نتيجة (يُستبعد من التحصيل)","OK")))))))))))</f>
        <v/>
      </c>
      <c r="M2244" s="64" t="n">
        <f aca="false">IF($A2244="",0,IFERROR(MATCH($A2244,Classes!$A$6:$A$420,0),0))</f>
        <v>0</v>
      </c>
      <c r="N2244" s="64" t="n">
        <f aca="false">IF($H2244="",0,IFERROR(MATCH($H2244,GradeList,0),0))</f>
        <v>0</v>
      </c>
      <c r="O2244" s="64" t="n">
        <f aca="false">IF(OR($I2244="",$I2244="NR"),0,IFERROR(MATCH($I2244,GradeList,0),0))</f>
        <v>0</v>
      </c>
      <c r="P2244" s="64" t="n">
        <f aca="false">IF(AND($M2244&gt;0,ISNUMBER(MATCH($F2244,Lists!$A$2:$A$5,0)),ISNUMBER(MATCH($G2244,Lists!$B$2:$B$7,0)),OR($H2244="",$N2244&gt;0),OR($I2244="",$I2244="NR",$O2244&gt;0),IF(ISNUMBER($J2244),AND($J2244&gt;=0,$J2244=INT($J2244)),FALSE())),$J2244,0)</f>
        <v>0</v>
      </c>
      <c r="Q2244" s="64" t="n">
        <f aca="false">IF(AND($P2244&gt;0,$O2244&gt;0),$P2244,0)</f>
        <v>0</v>
      </c>
      <c r="R2244" s="64" t="n">
        <f aca="false">IF(AND($Q2244&gt;0,$O2244&gt;=AtRank),$Q2244,0)</f>
        <v>0</v>
      </c>
      <c r="S2244" s="64" t="n">
        <f aca="false">IF(AND($Q2244&gt;0,$O2244&gt;=AboveRank),$Q2244,0)</f>
        <v>0</v>
      </c>
      <c r="T2244" s="64" t="n">
        <f aca="false">IF($K2244="Less",$P2244,0)</f>
        <v>0</v>
      </c>
      <c r="U2244" s="64" t="n">
        <f aca="false">IF($K2244="Expected",$P2244,0)</f>
        <v>0</v>
      </c>
      <c r="V2244" s="64" t="n">
        <f aca="false">IF($K2244="Better",$P2244,0)</f>
        <v>0</v>
      </c>
      <c r="W2244" s="64" t="n">
        <f aca="false">IF($K2244="U – needs rule",$P2244,0)</f>
        <v>0</v>
      </c>
      <c r="X2244" s="64" t="n">
        <f aca="false">IF($K2244="No Start (attainment only)",$P2244,0)</f>
        <v>0</v>
      </c>
    </row>
    <row r="2245" customFormat="false" ht="15" hidden="false" customHeight="false" outlineLevel="0" collapsed="false">
      <c r="A2245" s="60"/>
      <c r="B2245" s="61" t="str">
        <f aca="false">IF($M2245=0,"",INDEX(Classes!$E$6:$E$420,$M2245))</f>
        <v/>
      </c>
      <c r="C2245" s="62" t="str">
        <f aca="false">IF($M2245=0,"",INDEX(Classes!$H$6:$H$420,$M2245))</f>
        <v/>
      </c>
      <c r="D2245" s="61" t="str">
        <f aca="false">IF($M2245=0,"",INDEX(Classes!$B$6:$B$420,$M2245))</f>
        <v/>
      </c>
      <c r="E2245" s="61" t="str">
        <f aca="false">IF($M2245=0,"",INDEX(Classes!$C$6:$C$420,$M2245))</f>
        <v/>
      </c>
      <c r="F2245" s="63"/>
      <c r="G2245" s="63"/>
      <c r="H2245" s="60"/>
      <c r="I2245" s="60"/>
      <c r="J2245" s="63"/>
      <c r="K2245" s="61" t="str">
        <f aca="false">IF($P2245=0,"",IF($F2245="Baseline","— Baseline",IF($O2245=0,"No result",IF($N2245=0,"No Start (attainment only)",IF(OR($N2245=1,$O2245=1),"U – needs rule",INDEX(MxBody,MATCH($I2245,MxCurr,0),MATCH($H2245,MxStart,0)))))))</f>
        <v/>
      </c>
      <c r="L2245" s="62" t="str">
        <f aca="false">IF(COUNTA($A2245,$F2245,$G2245,$H2245,$I2245,$J2245)=0,"",IF($M2245=0,"✖ كود الصف غير موجود",IF(ISNA(MATCH($F2245,Lists!$A$2:$A$5,0)),"✖ الفترة غير صحيحة",IF(ISNA(MATCH($G2245,Lists!$B$2:$B$7,0)),"✖ المجموعة غير صحيحة",IF(NOT(OR($H2245="",$N2245&gt;0)),"✖ Start غير صحيح",IF(NOT(OR($I2245="",$I2245="NR",$O2245&gt;0)),"✖ Current غير صحيح",IF(NOT(IF(ISNUMBER($J2245),AND($J2245&gt;=0,$J2245=INT($J2245)),FALSE())),"✖ العدد يجب أن يكون صحيحًا ≥ 0",IF(AND($F2245="Baseline",$H2245&lt;&gt;""),"⚠ Baseline: Start لا يدخل في التقدم",IF($K2245="No Start (attainment only)","ℹ تحصيل فقط (بدون Start)",IF($K2245="U – needs rule","ℹ حالة U تحتاج قاعدة معتمدة",IF($K2245="No result","ℹ بدون نتيجة (يُستبعد من التحصيل)","OK")))))))))))</f>
        <v/>
      </c>
      <c r="M2245" s="64" t="n">
        <f aca="false">IF($A2245="",0,IFERROR(MATCH($A2245,Classes!$A$6:$A$420,0),0))</f>
        <v>0</v>
      </c>
      <c r="N2245" s="64" t="n">
        <f aca="false">IF($H2245="",0,IFERROR(MATCH($H2245,GradeList,0),0))</f>
        <v>0</v>
      </c>
      <c r="O2245" s="64" t="n">
        <f aca="false">IF(OR($I2245="",$I2245="NR"),0,IFERROR(MATCH($I2245,GradeList,0),0))</f>
        <v>0</v>
      </c>
      <c r="P2245" s="64" t="n">
        <f aca="false">IF(AND($M2245&gt;0,ISNUMBER(MATCH($F2245,Lists!$A$2:$A$5,0)),ISNUMBER(MATCH($G2245,Lists!$B$2:$B$7,0)),OR($H2245="",$N2245&gt;0),OR($I2245="",$I2245="NR",$O2245&gt;0),IF(ISNUMBER($J2245),AND($J2245&gt;=0,$J2245=INT($J2245)),FALSE())),$J2245,0)</f>
        <v>0</v>
      </c>
      <c r="Q2245" s="64" t="n">
        <f aca="false">IF(AND($P2245&gt;0,$O2245&gt;0),$P2245,0)</f>
        <v>0</v>
      </c>
      <c r="R2245" s="64" t="n">
        <f aca="false">IF(AND($Q2245&gt;0,$O2245&gt;=AtRank),$Q2245,0)</f>
        <v>0</v>
      </c>
      <c r="S2245" s="64" t="n">
        <f aca="false">IF(AND($Q2245&gt;0,$O2245&gt;=AboveRank),$Q2245,0)</f>
        <v>0</v>
      </c>
      <c r="T2245" s="64" t="n">
        <f aca="false">IF($K2245="Less",$P2245,0)</f>
        <v>0</v>
      </c>
      <c r="U2245" s="64" t="n">
        <f aca="false">IF($K2245="Expected",$P2245,0)</f>
        <v>0</v>
      </c>
      <c r="V2245" s="64" t="n">
        <f aca="false">IF($K2245="Better",$P2245,0)</f>
        <v>0</v>
      </c>
      <c r="W2245" s="64" t="n">
        <f aca="false">IF($K2245="U – needs rule",$P2245,0)</f>
        <v>0</v>
      </c>
      <c r="X2245" s="64" t="n">
        <f aca="false">IF($K2245="No Start (attainment only)",$P2245,0)</f>
        <v>0</v>
      </c>
    </row>
    <row r="2246" customFormat="false" ht="15" hidden="false" customHeight="false" outlineLevel="0" collapsed="false">
      <c r="A2246" s="60"/>
      <c r="B2246" s="61" t="str">
        <f aca="false">IF($M2246=0,"",INDEX(Classes!$E$6:$E$420,$M2246))</f>
        <v/>
      </c>
      <c r="C2246" s="62" t="str">
        <f aca="false">IF($M2246=0,"",INDEX(Classes!$H$6:$H$420,$M2246))</f>
        <v/>
      </c>
      <c r="D2246" s="61" t="str">
        <f aca="false">IF($M2246=0,"",INDEX(Classes!$B$6:$B$420,$M2246))</f>
        <v/>
      </c>
      <c r="E2246" s="61" t="str">
        <f aca="false">IF($M2246=0,"",INDEX(Classes!$C$6:$C$420,$M2246))</f>
        <v/>
      </c>
      <c r="F2246" s="63"/>
      <c r="G2246" s="63"/>
      <c r="H2246" s="60"/>
      <c r="I2246" s="60"/>
      <c r="J2246" s="63"/>
      <c r="K2246" s="61" t="str">
        <f aca="false">IF($P2246=0,"",IF($F2246="Baseline","— Baseline",IF($O2246=0,"No result",IF($N2246=0,"No Start (attainment only)",IF(OR($N2246=1,$O2246=1),"U – needs rule",INDEX(MxBody,MATCH($I2246,MxCurr,0),MATCH($H2246,MxStart,0)))))))</f>
        <v/>
      </c>
      <c r="L2246" s="62" t="str">
        <f aca="false">IF(COUNTA($A2246,$F2246,$G2246,$H2246,$I2246,$J2246)=0,"",IF($M2246=0,"✖ كود الصف غير موجود",IF(ISNA(MATCH($F2246,Lists!$A$2:$A$5,0)),"✖ الفترة غير صحيحة",IF(ISNA(MATCH($G2246,Lists!$B$2:$B$7,0)),"✖ المجموعة غير صحيحة",IF(NOT(OR($H2246="",$N2246&gt;0)),"✖ Start غير صحيح",IF(NOT(OR($I2246="",$I2246="NR",$O2246&gt;0)),"✖ Current غير صحيح",IF(NOT(IF(ISNUMBER($J2246),AND($J2246&gt;=0,$J2246=INT($J2246)),FALSE())),"✖ العدد يجب أن يكون صحيحًا ≥ 0",IF(AND($F2246="Baseline",$H2246&lt;&gt;""),"⚠ Baseline: Start لا يدخل في التقدم",IF($K2246="No Start (attainment only)","ℹ تحصيل فقط (بدون Start)",IF($K2246="U – needs rule","ℹ حالة U تحتاج قاعدة معتمدة",IF($K2246="No result","ℹ بدون نتيجة (يُستبعد من التحصيل)","OK")))))))))))</f>
        <v/>
      </c>
      <c r="M2246" s="64" t="n">
        <f aca="false">IF($A2246="",0,IFERROR(MATCH($A2246,Classes!$A$6:$A$420,0),0))</f>
        <v>0</v>
      </c>
      <c r="N2246" s="64" t="n">
        <f aca="false">IF($H2246="",0,IFERROR(MATCH($H2246,GradeList,0),0))</f>
        <v>0</v>
      </c>
      <c r="O2246" s="64" t="n">
        <f aca="false">IF(OR($I2246="",$I2246="NR"),0,IFERROR(MATCH($I2246,GradeList,0),0))</f>
        <v>0</v>
      </c>
      <c r="P2246" s="64" t="n">
        <f aca="false">IF(AND($M2246&gt;0,ISNUMBER(MATCH($F2246,Lists!$A$2:$A$5,0)),ISNUMBER(MATCH($G2246,Lists!$B$2:$B$7,0)),OR($H2246="",$N2246&gt;0),OR($I2246="",$I2246="NR",$O2246&gt;0),IF(ISNUMBER($J2246),AND($J2246&gt;=0,$J2246=INT($J2246)),FALSE())),$J2246,0)</f>
        <v>0</v>
      </c>
      <c r="Q2246" s="64" t="n">
        <f aca="false">IF(AND($P2246&gt;0,$O2246&gt;0),$P2246,0)</f>
        <v>0</v>
      </c>
      <c r="R2246" s="64" t="n">
        <f aca="false">IF(AND($Q2246&gt;0,$O2246&gt;=AtRank),$Q2246,0)</f>
        <v>0</v>
      </c>
      <c r="S2246" s="64" t="n">
        <f aca="false">IF(AND($Q2246&gt;0,$O2246&gt;=AboveRank),$Q2246,0)</f>
        <v>0</v>
      </c>
      <c r="T2246" s="64" t="n">
        <f aca="false">IF($K2246="Less",$P2246,0)</f>
        <v>0</v>
      </c>
      <c r="U2246" s="64" t="n">
        <f aca="false">IF($K2246="Expected",$P2246,0)</f>
        <v>0</v>
      </c>
      <c r="V2246" s="64" t="n">
        <f aca="false">IF($K2246="Better",$P2246,0)</f>
        <v>0</v>
      </c>
      <c r="W2246" s="64" t="n">
        <f aca="false">IF($K2246="U – needs rule",$P2246,0)</f>
        <v>0</v>
      </c>
      <c r="X2246" s="64" t="n">
        <f aca="false">IF($K2246="No Start (attainment only)",$P2246,0)</f>
        <v>0</v>
      </c>
    </row>
    <row r="2247" customFormat="false" ht="15" hidden="false" customHeight="false" outlineLevel="0" collapsed="false">
      <c r="A2247" s="60"/>
      <c r="B2247" s="61" t="str">
        <f aca="false">IF($M2247=0,"",INDEX(Classes!$E$6:$E$420,$M2247))</f>
        <v/>
      </c>
      <c r="C2247" s="62" t="str">
        <f aca="false">IF($M2247=0,"",INDEX(Classes!$H$6:$H$420,$M2247))</f>
        <v/>
      </c>
      <c r="D2247" s="61" t="str">
        <f aca="false">IF($M2247=0,"",INDEX(Classes!$B$6:$B$420,$M2247))</f>
        <v/>
      </c>
      <c r="E2247" s="61" t="str">
        <f aca="false">IF($M2247=0,"",INDEX(Classes!$C$6:$C$420,$M2247))</f>
        <v/>
      </c>
      <c r="F2247" s="63"/>
      <c r="G2247" s="63"/>
      <c r="H2247" s="60"/>
      <c r="I2247" s="60"/>
      <c r="J2247" s="63"/>
      <c r="K2247" s="61" t="str">
        <f aca="false">IF($P2247=0,"",IF($F2247="Baseline","— Baseline",IF($O2247=0,"No result",IF($N2247=0,"No Start (attainment only)",IF(OR($N2247=1,$O2247=1),"U – needs rule",INDEX(MxBody,MATCH($I2247,MxCurr,0),MATCH($H2247,MxStart,0)))))))</f>
        <v/>
      </c>
      <c r="L2247" s="62" t="str">
        <f aca="false">IF(COUNTA($A2247,$F2247,$G2247,$H2247,$I2247,$J2247)=0,"",IF($M2247=0,"✖ كود الصف غير موجود",IF(ISNA(MATCH($F2247,Lists!$A$2:$A$5,0)),"✖ الفترة غير صحيحة",IF(ISNA(MATCH($G2247,Lists!$B$2:$B$7,0)),"✖ المجموعة غير صحيحة",IF(NOT(OR($H2247="",$N2247&gt;0)),"✖ Start غير صحيح",IF(NOT(OR($I2247="",$I2247="NR",$O2247&gt;0)),"✖ Current غير صحيح",IF(NOT(IF(ISNUMBER($J2247),AND($J2247&gt;=0,$J2247=INT($J2247)),FALSE())),"✖ العدد يجب أن يكون صحيحًا ≥ 0",IF(AND($F2247="Baseline",$H2247&lt;&gt;""),"⚠ Baseline: Start لا يدخل في التقدم",IF($K2247="No Start (attainment only)","ℹ تحصيل فقط (بدون Start)",IF($K2247="U – needs rule","ℹ حالة U تحتاج قاعدة معتمدة",IF($K2247="No result","ℹ بدون نتيجة (يُستبعد من التحصيل)","OK")))))))))))</f>
        <v/>
      </c>
      <c r="M2247" s="64" t="n">
        <f aca="false">IF($A2247="",0,IFERROR(MATCH($A2247,Classes!$A$6:$A$420,0),0))</f>
        <v>0</v>
      </c>
      <c r="N2247" s="64" t="n">
        <f aca="false">IF($H2247="",0,IFERROR(MATCH($H2247,GradeList,0),0))</f>
        <v>0</v>
      </c>
      <c r="O2247" s="64" t="n">
        <f aca="false">IF(OR($I2247="",$I2247="NR"),0,IFERROR(MATCH($I2247,GradeList,0),0))</f>
        <v>0</v>
      </c>
      <c r="P2247" s="64" t="n">
        <f aca="false">IF(AND($M2247&gt;0,ISNUMBER(MATCH($F2247,Lists!$A$2:$A$5,0)),ISNUMBER(MATCH($G2247,Lists!$B$2:$B$7,0)),OR($H2247="",$N2247&gt;0),OR($I2247="",$I2247="NR",$O2247&gt;0),IF(ISNUMBER($J2247),AND($J2247&gt;=0,$J2247=INT($J2247)),FALSE())),$J2247,0)</f>
        <v>0</v>
      </c>
      <c r="Q2247" s="64" t="n">
        <f aca="false">IF(AND($P2247&gt;0,$O2247&gt;0),$P2247,0)</f>
        <v>0</v>
      </c>
      <c r="R2247" s="64" t="n">
        <f aca="false">IF(AND($Q2247&gt;0,$O2247&gt;=AtRank),$Q2247,0)</f>
        <v>0</v>
      </c>
      <c r="S2247" s="64" t="n">
        <f aca="false">IF(AND($Q2247&gt;0,$O2247&gt;=AboveRank),$Q2247,0)</f>
        <v>0</v>
      </c>
      <c r="T2247" s="64" t="n">
        <f aca="false">IF($K2247="Less",$P2247,0)</f>
        <v>0</v>
      </c>
      <c r="U2247" s="64" t="n">
        <f aca="false">IF($K2247="Expected",$P2247,0)</f>
        <v>0</v>
      </c>
      <c r="V2247" s="64" t="n">
        <f aca="false">IF($K2247="Better",$P2247,0)</f>
        <v>0</v>
      </c>
      <c r="W2247" s="64" t="n">
        <f aca="false">IF($K2247="U – needs rule",$P2247,0)</f>
        <v>0</v>
      </c>
      <c r="X2247" s="64" t="n">
        <f aca="false">IF($K2247="No Start (attainment only)",$P2247,0)</f>
        <v>0</v>
      </c>
    </row>
    <row r="2248" customFormat="false" ht="15" hidden="false" customHeight="false" outlineLevel="0" collapsed="false">
      <c r="A2248" s="60"/>
      <c r="B2248" s="61" t="str">
        <f aca="false">IF($M2248=0,"",INDEX(Classes!$E$6:$E$420,$M2248))</f>
        <v/>
      </c>
      <c r="C2248" s="62" t="str">
        <f aca="false">IF($M2248=0,"",INDEX(Classes!$H$6:$H$420,$M2248))</f>
        <v/>
      </c>
      <c r="D2248" s="61" t="str">
        <f aca="false">IF($M2248=0,"",INDEX(Classes!$B$6:$B$420,$M2248))</f>
        <v/>
      </c>
      <c r="E2248" s="61" t="str">
        <f aca="false">IF($M2248=0,"",INDEX(Classes!$C$6:$C$420,$M2248))</f>
        <v/>
      </c>
      <c r="F2248" s="63"/>
      <c r="G2248" s="63"/>
      <c r="H2248" s="60"/>
      <c r="I2248" s="60"/>
      <c r="J2248" s="63"/>
      <c r="K2248" s="61" t="str">
        <f aca="false">IF($P2248=0,"",IF($F2248="Baseline","— Baseline",IF($O2248=0,"No result",IF($N2248=0,"No Start (attainment only)",IF(OR($N2248=1,$O2248=1),"U – needs rule",INDEX(MxBody,MATCH($I2248,MxCurr,0),MATCH($H2248,MxStart,0)))))))</f>
        <v/>
      </c>
      <c r="L2248" s="62" t="str">
        <f aca="false">IF(COUNTA($A2248,$F2248,$G2248,$H2248,$I2248,$J2248)=0,"",IF($M2248=0,"✖ كود الصف غير موجود",IF(ISNA(MATCH($F2248,Lists!$A$2:$A$5,0)),"✖ الفترة غير صحيحة",IF(ISNA(MATCH($G2248,Lists!$B$2:$B$7,0)),"✖ المجموعة غير صحيحة",IF(NOT(OR($H2248="",$N2248&gt;0)),"✖ Start غير صحيح",IF(NOT(OR($I2248="",$I2248="NR",$O2248&gt;0)),"✖ Current غير صحيح",IF(NOT(IF(ISNUMBER($J2248),AND($J2248&gt;=0,$J2248=INT($J2248)),FALSE())),"✖ العدد يجب أن يكون صحيحًا ≥ 0",IF(AND($F2248="Baseline",$H2248&lt;&gt;""),"⚠ Baseline: Start لا يدخل في التقدم",IF($K2248="No Start (attainment only)","ℹ تحصيل فقط (بدون Start)",IF($K2248="U – needs rule","ℹ حالة U تحتاج قاعدة معتمدة",IF($K2248="No result","ℹ بدون نتيجة (يُستبعد من التحصيل)","OK")))))))))))</f>
        <v/>
      </c>
      <c r="M2248" s="64" t="n">
        <f aca="false">IF($A2248="",0,IFERROR(MATCH($A2248,Classes!$A$6:$A$420,0),0))</f>
        <v>0</v>
      </c>
      <c r="N2248" s="64" t="n">
        <f aca="false">IF($H2248="",0,IFERROR(MATCH($H2248,GradeList,0),0))</f>
        <v>0</v>
      </c>
      <c r="O2248" s="64" t="n">
        <f aca="false">IF(OR($I2248="",$I2248="NR"),0,IFERROR(MATCH($I2248,GradeList,0),0))</f>
        <v>0</v>
      </c>
      <c r="P2248" s="64" t="n">
        <f aca="false">IF(AND($M2248&gt;0,ISNUMBER(MATCH($F2248,Lists!$A$2:$A$5,0)),ISNUMBER(MATCH($G2248,Lists!$B$2:$B$7,0)),OR($H2248="",$N2248&gt;0),OR($I2248="",$I2248="NR",$O2248&gt;0),IF(ISNUMBER($J2248),AND($J2248&gt;=0,$J2248=INT($J2248)),FALSE())),$J2248,0)</f>
        <v>0</v>
      </c>
      <c r="Q2248" s="64" t="n">
        <f aca="false">IF(AND($P2248&gt;0,$O2248&gt;0),$P2248,0)</f>
        <v>0</v>
      </c>
      <c r="R2248" s="64" t="n">
        <f aca="false">IF(AND($Q2248&gt;0,$O2248&gt;=AtRank),$Q2248,0)</f>
        <v>0</v>
      </c>
      <c r="S2248" s="64" t="n">
        <f aca="false">IF(AND($Q2248&gt;0,$O2248&gt;=AboveRank),$Q2248,0)</f>
        <v>0</v>
      </c>
      <c r="T2248" s="64" t="n">
        <f aca="false">IF($K2248="Less",$P2248,0)</f>
        <v>0</v>
      </c>
      <c r="U2248" s="64" t="n">
        <f aca="false">IF($K2248="Expected",$P2248,0)</f>
        <v>0</v>
      </c>
      <c r="V2248" s="64" t="n">
        <f aca="false">IF($K2248="Better",$P2248,0)</f>
        <v>0</v>
      </c>
      <c r="W2248" s="64" t="n">
        <f aca="false">IF($K2248="U – needs rule",$P2248,0)</f>
        <v>0</v>
      </c>
      <c r="X2248" s="64" t="n">
        <f aca="false">IF($K2248="No Start (attainment only)",$P2248,0)</f>
        <v>0</v>
      </c>
    </row>
    <row r="2249" customFormat="false" ht="15" hidden="false" customHeight="false" outlineLevel="0" collapsed="false">
      <c r="A2249" s="60"/>
      <c r="B2249" s="61" t="str">
        <f aca="false">IF($M2249=0,"",INDEX(Classes!$E$6:$E$420,$M2249))</f>
        <v/>
      </c>
      <c r="C2249" s="62" t="str">
        <f aca="false">IF($M2249=0,"",INDEX(Classes!$H$6:$H$420,$M2249))</f>
        <v/>
      </c>
      <c r="D2249" s="61" t="str">
        <f aca="false">IF($M2249=0,"",INDEX(Classes!$B$6:$B$420,$M2249))</f>
        <v/>
      </c>
      <c r="E2249" s="61" t="str">
        <f aca="false">IF($M2249=0,"",INDEX(Classes!$C$6:$C$420,$M2249))</f>
        <v/>
      </c>
      <c r="F2249" s="63"/>
      <c r="G2249" s="63"/>
      <c r="H2249" s="60"/>
      <c r="I2249" s="60"/>
      <c r="J2249" s="63"/>
      <c r="K2249" s="61" t="str">
        <f aca="false">IF($P2249=0,"",IF($F2249="Baseline","— Baseline",IF($O2249=0,"No result",IF($N2249=0,"No Start (attainment only)",IF(OR($N2249=1,$O2249=1),"U – needs rule",INDEX(MxBody,MATCH($I2249,MxCurr,0),MATCH($H2249,MxStart,0)))))))</f>
        <v/>
      </c>
      <c r="L2249" s="62" t="str">
        <f aca="false">IF(COUNTA($A2249,$F2249,$G2249,$H2249,$I2249,$J2249)=0,"",IF($M2249=0,"✖ كود الصف غير موجود",IF(ISNA(MATCH($F2249,Lists!$A$2:$A$5,0)),"✖ الفترة غير صحيحة",IF(ISNA(MATCH($G2249,Lists!$B$2:$B$7,0)),"✖ المجموعة غير صحيحة",IF(NOT(OR($H2249="",$N2249&gt;0)),"✖ Start غير صحيح",IF(NOT(OR($I2249="",$I2249="NR",$O2249&gt;0)),"✖ Current غير صحيح",IF(NOT(IF(ISNUMBER($J2249),AND($J2249&gt;=0,$J2249=INT($J2249)),FALSE())),"✖ العدد يجب أن يكون صحيحًا ≥ 0",IF(AND($F2249="Baseline",$H2249&lt;&gt;""),"⚠ Baseline: Start لا يدخل في التقدم",IF($K2249="No Start (attainment only)","ℹ تحصيل فقط (بدون Start)",IF($K2249="U – needs rule","ℹ حالة U تحتاج قاعدة معتمدة",IF($K2249="No result","ℹ بدون نتيجة (يُستبعد من التحصيل)","OK")))))))))))</f>
        <v/>
      </c>
      <c r="M2249" s="64" t="n">
        <f aca="false">IF($A2249="",0,IFERROR(MATCH($A2249,Classes!$A$6:$A$420,0),0))</f>
        <v>0</v>
      </c>
      <c r="N2249" s="64" t="n">
        <f aca="false">IF($H2249="",0,IFERROR(MATCH($H2249,GradeList,0),0))</f>
        <v>0</v>
      </c>
      <c r="O2249" s="64" t="n">
        <f aca="false">IF(OR($I2249="",$I2249="NR"),0,IFERROR(MATCH($I2249,GradeList,0),0))</f>
        <v>0</v>
      </c>
      <c r="P2249" s="64" t="n">
        <f aca="false">IF(AND($M2249&gt;0,ISNUMBER(MATCH($F2249,Lists!$A$2:$A$5,0)),ISNUMBER(MATCH($G2249,Lists!$B$2:$B$7,0)),OR($H2249="",$N2249&gt;0),OR($I2249="",$I2249="NR",$O2249&gt;0),IF(ISNUMBER($J2249),AND($J2249&gt;=0,$J2249=INT($J2249)),FALSE())),$J2249,0)</f>
        <v>0</v>
      </c>
      <c r="Q2249" s="64" t="n">
        <f aca="false">IF(AND($P2249&gt;0,$O2249&gt;0),$P2249,0)</f>
        <v>0</v>
      </c>
      <c r="R2249" s="64" t="n">
        <f aca="false">IF(AND($Q2249&gt;0,$O2249&gt;=AtRank),$Q2249,0)</f>
        <v>0</v>
      </c>
      <c r="S2249" s="64" t="n">
        <f aca="false">IF(AND($Q2249&gt;0,$O2249&gt;=AboveRank),$Q2249,0)</f>
        <v>0</v>
      </c>
      <c r="T2249" s="64" t="n">
        <f aca="false">IF($K2249="Less",$P2249,0)</f>
        <v>0</v>
      </c>
      <c r="U2249" s="64" t="n">
        <f aca="false">IF($K2249="Expected",$P2249,0)</f>
        <v>0</v>
      </c>
      <c r="V2249" s="64" t="n">
        <f aca="false">IF($K2249="Better",$P2249,0)</f>
        <v>0</v>
      </c>
      <c r="W2249" s="64" t="n">
        <f aca="false">IF($K2249="U – needs rule",$P2249,0)</f>
        <v>0</v>
      </c>
      <c r="X2249" s="64" t="n">
        <f aca="false">IF($K2249="No Start (attainment only)",$P2249,0)</f>
        <v>0</v>
      </c>
    </row>
    <row r="2250" customFormat="false" ht="15" hidden="false" customHeight="false" outlineLevel="0" collapsed="false">
      <c r="A2250" s="60"/>
      <c r="B2250" s="61" t="str">
        <f aca="false">IF($M2250=0,"",INDEX(Classes!$E$6:$E$420,$M2250))</f>
        <v/>
      </c>
      <c r="C2250" s="62" t="str">
        <f aca="false">IF($M2250=0,"",INDEX(Classes!$H$6:$H$420,$M2250))</f>
        <v/>
      </c>
      <c r="D2250" s="61" t="str">
        <f aca="false">IF($M2250=0,"",INDEX(Classes!$B$6:$B$420,$M2250))</f>
        <v/>
      </c>
      <c r="E2250" s="61" t="str">
        <f aca="false">IF($M2250=0,"",INDEX(Classes!$C$6:$C$420,$M2250))</f>
        <v/>
      </c>
      <c r="F2250" s="63"/>
      <c r="G2250" s="63"/>
      <c r="H2250" s="60"/>
      <c r="I2250" s="60"/>
      <c r="J2250" s="63"/>
      <c r="K2250" s="61" t="str">
        <f aca="false">IF($P2250=0,"",IF($F2250="Baseline","— Baseline",IF($O2250=0,"No result",IF($N2250=0,"No Start (attainment only)",IF(OR($N2250=1,$O2250=1),"U – needs rule",INDEX(MxBody,MATCH($I2250,MxCurr,0),MATCH($H2250,MxStart,0)))))))</f>
        <v/>
      </c>
      <c r="L2250" s="62" t="str">
        <f aca="false">IF(COUNTA($A2250,$F2250,$G2250,$H2250,$I2250,$J2250)=0,"",IF($M2250=0,"✖ كود الصف غير موجود",IF(ISNA(MATCH($F2250,Lists!$A$2:$A$5,0)),"✖ الفترة غير صحيحة",IF(ISNA(MATCH($G2250,Lists!$B$2:$B$7,0)),"✖ المجموعة غير صحيحة",IF(NOT(OR($H2250="",$N2250&gt;0)),"✖ Start غير صحيح",IF(NOT(OR($I2250="",$I2250="NR",$O2250&gt;0)),"✖ Current غير صحيح",IF(NOT(IF(ISNUMBER($J2250),AND($J2250&gt;=0,$J2250=INT($J2250)),FALSE())),"✖ العدد يجب أن يكون صحيحًا ≥ 0",IF(AND($F2250="Baseline",$H2250&lt;&gt;""),"⚠ Baseline: Start لا يدخل في التقدم",IF($K2250="No Start (attainment only)","ℹ تحصيل فقط (بدون Start)",IF($K2250="U – needs rule","ℹ حالة U تحتاج قاعدة معتمدة",IF($K2250="No result","ℹ بدون نتيجة (يُستبعد من التحصيل)","OK")))))))))))</f>
        <v/>
      </c>
      <c r="M2250" s="64" t="n">
        <f aca="false">IF($A2250="",0,IFERROR(MATCH($A2250,Classes!$A$6:$A$420,0),0))</f>
        <v>0</v>
      </c>
      <c r="N2250" s="64" t="n">
        <f aca="false">IF($H2250="",0,IFERROR(MATCH($H2250,GradeList,0),0))</f>
        <v>0</v>
      </c>
      <c r="O2250" s="64" t="n">
        <f aca="false">IF(OR($I2250="",$I2250="NR"),0,IFERROR(MATCH($I2250,GradeList,0),0))</f>
        <v>0</v>
      </c>
      <c r="P2250" s="64" t="n">
        <f aca="false">IF(AND($M2250&gt;0,ISNUMBER(MATCH($F2250,Lists!$A$2:$A$5,0)),ISNUMBER(MATCH($G2250,Lists!$B$2:$B$7,0)),OR($H2250="",$N2250&gt;0),OR($I2250="",$I2250="NR",$O2250&gt;0),IF(ISNUMBER($J2250),AND($J2250&gt;=0,$J2250=INT($J2250)),FALSE())),$J2250,0)</f>
        <v>0</v>
      </c>
      <c r="Q2250" s="64" t="n">
        <f aca="false">IF(AND($P2250&gt;0,$O2250&gt;0),$P2250,0)</f>
        <v>0</v>
      </c>
      <c r="R2250" s="64" t="n">
        <f aca="false">IF(AND($Q2250&gt;0,$O2250&gt;=AtRank),$Q2250,0)</f>
        <v>0</v>
      </c>
      <c r="S2250" s="64" t="n">
        <f aca="false">IF(AND($Q2250&gt;0,$O2250&gt;=AboveRank),$Q2250,0)</f>
        <v>0</v>
      </c>
      <c r="T2250" s="64" t="n">
        <f aca="false">IF($K2250="Less",$P2250,0)</f>
        <v>0</v>
      </c>
      <c r="U2250" s="64" t="n">
        <f aca="false">IF($K2250="Expected",$P2250,0)</f>
        <v>0</v>
      </c>
      <c r="V2250" s="64" t="n">
        <f aca="false">IF($K2250="Better",$P2250,0)</f>
        <v>0</v>
      </c>
      <c r="W2250" s="64" t="n">
        <f aca="false">IF($K2250="U – needs rule",$P2250,0)</f>
        <v>0</v>
      </c>
      <c r="X2250" s="64" t="n">
        <f aca="false">IF($K2250="No Start (attainment only)",$P2250,0)</f>
        <v>0</v>
      </c>
    </row>
    <row r="2251" customFormat="false" ht="15" hidden="false" customHeight="false" outlineLevel="0" collapsed="false">
      <c r="A2251" s="60"/>
      <c r="B2251" s="61" t="str">
        <f aca="false">IF($M2251=0,"",INDEX(Classes!$E$6:$E$420,$M2251))</f>
        <v/>
      </c>
      <c r="C2251" s="62" t="str">
        <f aca="false">IF($M2251=0,"",INDEX(Classes!$H$6:$H$420,$M2251))</f>
        <v/>
      </c>
      <c r="D2251" s="61" t="str">
        <f aca="false">IF($M2251=0,"",INDEX(Classes!$B$6:$B$420,$M2251))</f>
        <v/>
      </c>
      <c r="E2251" s="61" t="str">
        <f aca="false">IF($M2251=0,"",INDEX(Classes!$C$6:$C$420,$M2251))</f>
        <v/>
      </c>
      <c r="F2251" s="63"/>
      <c r="G2251" s="63"/>
      <c r="H2251" s="60"/>
      <c r="I2251" s="60"/>
      <c r="J2251" s="63"/>
      <c r="K2251" s="61" t="str">
        <f aca="false">IF($P2251=0,"",IF($F2251="Baseline","— Baseline",IF($O2251=0,"No result",IF($N2251=0,"No Start (attainment only)",IF(OR($N2251=1,$O2251=1),"U – needs rule",INDEX(MxBody,MATCH($I2251,MxCurr,0),MATCH($H2251,MxStart,0)))))))</f>
        <v/>
      </c>
      <c r="L2251" s="62" t="str">
        <f aca="false">IF(COUNTA($A2251,$F2251,$G2251,$H2251,$I2251,$J2251)=0,"",IF($M2251=0,"✖ كود الصف غير موجود",IF(ISNA(MATCH($F2251,Lists!$A$2:$A$5,0)),"✖ الفترة غير صحيحة",IF(ISNA(MATCH($G2251,Lists!$B$2:$B$7,0)),"✖ المجموعة غير صحيحة",IF(NOT(OR($H2251="",$N2251&gt;0)),"✖ Start غير صحيح",IF(NOT(OR($I2251="",$I2251="NR",$O2251&gt;0)),"✖ Current غير صحيح",IF(NOT(IF(ISNUMBER($J2251),AND($J2251&gt;=0,$J2251=INT($J2251)),FALSE())),"✖ العدد يجب أن يكون صحيحًا ≥ 0",IF(AND($F2251="Baseline",$H2251&lt;&gt;""),"⚠ Baseline: Start لا يدخل في التقدم",IF($K2251="No Start (attainment only)","ℹ تحصيل فقط (بدون Start)",IF($K2251="U – needs rule","ℹ حالة U تحتاج قاعدة معتمدة",IF($K2251="No result","ℹ بدون نتيجة (يُستبعد من التحصيل)","OK")))))))))))</f>
        <v/>
      </c>
      <c r="M2251" s="64" t="n">
        <f aca="false">IF($A2251="",0,IFERROR(MATCH($A2251,Classes!$A$6:$A$420,0),0))</f>
        <v>0</v>
      </c>
      <c r="N2251" s="64" t="n">
        <f aca="false">IF($H2251="",0,IFERROR(MATCH($H2251,GradeList,0),0))</f>
        <v>0</v>
      </c>
      <c r="O2251" s="64" t="n">
        <f aca="false">IF(OR($I2251="",$I2251="NR"),0,IFERROR(MATCH($I2251,GradeList,0),0))</f>
        <v>0</v>
      </c>
      <c r="P2251" s="64" t="n">
        <f aca="false">IF(AND($M2251&gt;0,ISNUMBER(MATCH($F2251,Lists!$A$2:$A$5,0)),ISNUMBER(MATCH($G2251,Lists!$B$2:$B$7,0)),OR($H2251="",$N2251&gt;0),OR($I2251="",$I2251="NR",$O2251&gt;0),IF(ISNUMBER($J2251),AND($J2251&gt;=0,$J2251=INT($J2251)),FALSE())),$J2251,0)</f>
        <v>0</v>
      </c>
      <c r="Q2251" s="64" t="n">
        <f aca="false">IF(AND($P2251&gt;0,$O2251&gt;0),$P2251,0)</f>
        <v>0</v>
      </c>
      <c r="R2251" s="64" t="n">
        <f aca="false">IF(AND($Q2251&gt;0,$O2251&gt;=AtRank),$Q2251,0)</f>
        <v>0</v>
      </c>
      <c r="S2251" s="64" t="n">
        <f aca="false">IF(AND($Q2251&gt;0,$O2251&gt;=AboveRank),$Q2251,0)</f>
        <v>0</v>
      </c>
      <c r="T2251" s="64" t="n">
        <f aca="false">IF($K2251="Less",$P2251,0)</f>
        <v>0</v>
      </c>
      <c r="U2251" s="64" t="n">
        <f aca="false">IF($K2251="Expected",$P2251,0)</f>
        <v>0</v>
      </c>
      <c r="V2251" s="64" t="n">
        <f aca="false">IF($K2251="Better",$P2251,0)</f>
        <v>0</v>
      </c>
      <c r="W2251" s="64" t="n">
        <f aca="false">IF($K2251="U – needs rule",$P2251,0)</f>
        <v>0</v>
      </c>
      <c r="X2251" s="64" t="n">
        <f aca="false">IF($K2251="No Start (attainment only)",$P2251,0)</f>
        <v>0</v>
      </c>
    </row>
    <row r="2252" customFormat="false" ht="15" hidden="false" customHeight="false" outlineLevel="0" collapsed="false">
      <c r="A2252" s="60"/>
      <c r="B2252" s="61" t="str">
        <f aca="false">IF($M2252=0,"",INDEX(Classes!$E$6:$E$420,$M2252))</f>
        <v/>
      </c>
      <c r="C2252" s="62" t="str">
        <f aca="false">IF($M2252=0,"",INDEX(Classes!$H$6:$H$420,$M2252))</f>
        <v/>
      </c>
      <c r="D2252" s="61" t="str">
        <f aca="false">IF($M2252=0,"",INDEX(Classes!$B$6:$B$420,$M2252))</f>
        <v/>
      </c>
      <c r="E2252" s="61" t="str">
        <f aca="false">IF($M2252=0,"",INDEX(Classes!$C$6:$C$420,$M2252))</f>
        <v/>
      </c>
      <c r="F2252" s="63"/>
      <c r="G2252" s="63"/>
      <c r="H2252" s="60"/>
      <c r="I2252" s="60"/>
      <c r="J2252" s="63"/>
      <c r="K2252" s="61" t="str">
        <f aca="false">IF($P2252=0,"",IF($F2252="Baseline","— Baseline",IF($O2252=0,"No result",IF($N2252=0,"No Start (attainment only)",IF(OR($N2252=1,$O2252=1),"U – needs rule",INDEX(MxBody,MATCH($I2252,MxCurr,0),MATCH($H2252,MxStart,0)))))))</f>
        <v/>
      </c>
      <c r="L2252" s="62" t="str">
        <f aca="false">IF(COUNTA($A2252,$F2252,$G2252,$H2252,$I2252,$J2252)=0,"",IF($M2252=0,"✖ كود الصف غير موجود",IF(ISNA(MATCH($F2252,Lists!$A$2:$A$5,0)),"✖ الفترة غير صحيحة",IF(ISNA(MATCH($G2252,Lists!$B$2:$B$7,0)),"✖ المجموعة غير صحيحة",IF(NOT(OR($H2252="",$N2252&gt;0)),"✖ Start غير صحيح",IF(NOT(OR($I2252="",$I2252="NR",$O2252&gt;0)),"✖ Current غير صحيح",IF(NOT(IF(ISNUMBER($J2252),AND($J2252&gt;=0,$J2252=INT($J2252)),FALSE())),"✖ العدد يجب أن يكون صحيحًا ≥ 0",IF(AND($F2252="Baseline",$H2252&lt;&gt;""),"⚠ Baseline: Start لا يدخل في التقدم",IF($K2252="No Start (attainment only)","ℹ تحصيل فقط (بدون Start)",IF($K2252="U – needs rule","ℹ حالة U تحتاج قاعدة معتمدة",IF($K2252="No result","ℹ بدون نتيجة (يُستبعد من التحصيل)","OK")))))))))))</f>
        <v/>
      </c>
      <c r="M2252" s="64" t="n">
        <f aca="false">IF($A2252="",0,IFERROR(MATCH($A2252,Classes!$A$6:$A$420,0),0))</f>
        <v>0</v>
      </c>
      <c r="N2252" s="64" t="n">
        <f aca="false">IF($H2252="",0,IFERROR(MATCH($H2252,GradeList,0),0))</f>
        <v>0</v>
      </c>
      <c r="O2252" s="64" t="n">
        <f aca="false">IF(OR($I2252="",$I2252="NR"),0,IFERROR(MATCH($I2252,GradeList,0),0))</f>
        <v>0</v>
      </c>
      <c r="P2252" s="64" t="n">
        <f aca="false">IF(AND($M2252&gt;0,ISNUMBER(MATCH($F2252,Lists!$A$2:$A$5,0)),ISNUMBER(MATCH($G2252,Lists!$B$2:$B$7,0)),OR($H2252="",$N2252&gt;0),OR($I2252="",$I2252="NR",$O2252&gt;0),IF(ISNUMBER($J2252),AND($J2252&gt;=0,$J2252=INT($J2252)),FALSE())),$J2252,0)</f>
        <v>0</v>
      </c>
      <c r="Q2252" s="64" t="n">
        <f aca="false">IF(AND($P2252&gt;0,$O2252&gt;0),$P2252,0)</f>
        <v>0</v>
      </c>
      <c r="R2252" s="64" t="n">
        <f aca="false">IF(AND($Q2252&gt;0,$O2252&gt;=AtRank),$Q2252,0)</f>
        <v>0</v>
      </c>
      <c r="S2252" s="64" t="n">
        <f aca="false">IF(AND($Q2252&gt;0,$O2252&gt;=AboveRank),$Q2252,0)</f>
        <v>0</v>
      </c>
      <c r="T2252" s="64" t="n">
        <f aca="false">IF($K2252="Less",$P2252,0)</f>
        <v>0</v>
      </c>
      <c r="U2252" s="64" t="n">
        <f aca="false">IF($K2252="Expected",$P2252,0)</f>
        <v>0</v>
      </c>
      <c r="V2252" s="64" t="n">
        <f aca="false">IF($K2252="Better",$P2252,0)</f>
        <v>0</v>
      </c>
      <c r="W2252" s="64" t="n">
        <f aca="false">IF($K2252="U – needs rule",$P2252,0)</f>
        <v>0</v>
      </c>
      <c r="X2252" s="64" t="n">
        <f aca="false">IF($K2252="No Start (attainment only)",$P2252,0)</f>
        <v>0</v>
      </c>
    </row>
    <row r="2253" customFormat="false" ht="15" hidden="false" customHeight="false" outlineLevel="0" collapsed="false">
      <c r="A2253" s="60"/>
      <c r="B2253" s="61" t="str">
        <f aca="false">IF($M2253=0,"",INDEX(Classes!$E$6:$E$420,$M2253))</f>
        <v/>
      </c>
      <c r="C2253" s="62" t="str">
        <f aca="false">IF($M2253=0,"",INDEX(Classes!$H$6:$H$420,$M2253))</f>
        <v/>
      </c>
      <c r="D2253" s="61" t="str">
        <f aca="false">IF($M2253=0,"",INDEX(Classes!$B$6:$B$420,$M2253))</f>
        <v/>
      </c>
      <c r="E2253" s="61" t="str">
        <f aca="false">IF($M2253=0,"",INDEX(Classes!$C$6:$C$420,$M2253))</f>
        <v/>
      </c>
      <c r="F2253" s="63"/>
      <c r="G2253" s="63"/>
      <c r="H2253" s="60"/>
      <c r="I2253" s="60"/>
      <c r="J2253" s="63"/>
      <c r="K2253" s="61" t="str">
        <f aca="false">IF($P2253=0,"",IF($F2253="Baseline","— Baseline",IF($O2253=0,"No result",IF($N2253=0,"No Start (attainment only)",IF(OR($N2253=1,$O2253=1),"U – needs rule",INDEX(MxBody,MATCH($I2253,MxCurr,0),MATCH($H2253,MxStart,0)))))))</f>
        <v/>
      </c>
      <c r="L2253" s="62" t="str">
        <f aca="false">IF(COUNTA($A2253,$F2253,$G2253,$H2253,$I2253,$J2253)=0,"",IF($M2253=0,"✖ كود الصف غير موجود",IF(ISNA(MATCH($F2253,Lists!$A$2:$A$5,0)),"✖ الفترة غير صحيحة",IF(ISNA(MATCH($G2253,Lists!$B$2:$B$7,0)),"✖ المجموعة غير صحيحة",IF(NOT(OR($H2253="",$N2253&gt;0)),"✖ Start غير صحيح",IF(NOT(OR($I2253="",$I2253="NR",$O2253&gt;0)),"✖ Current غير صحيح",IF(NOT(IF(ISNUMBER($J2253),AND($J2253&gt;=0,$J2253=INT($J2253)),FALSE())),"✖ العدد يجب أن يكون صحيحًا ≥ 0",IF(AND($F2253="Baseline",$H2253&lt;&gt;""),"⚠ Baseline: Start لا يدخل في التقدم",IF($K2253="No Start (attainment only)","ℹ تحصيل فقط (بدون Start)",IF($K2253="U – needs rule","ℹ حالة U تحتاج قاعدة معتمدة",IF($K2253="No result","ℹ بدون نتيجة (يُستبعد من التحصيل)","OK")))))))))))</f>
        <v/>
      </c>
      <c r="M2253" s="64" t="n">
        <f aca="false">IF($A2253="",0,IFERROR(MATCH($A2253,Classes!$A$6:$A$420,0),0))</f>
        <v>0</v>
      </c>
      <c r="N2253" s="64" t="n">
        <f aca="false">IF($H2253="",0,IFERROR(MATCH($H2253,GradeList,0),0))</f>
        <v>0</v>
      </c>
      <c r="O2253" s="64" t="n">
        <f aca="false">IF(OR($I2253="",$I2253="NR"),0,IFERROR(MATCH($I2253,GradeList,0),0))</f>
        <v>0</v>
      </c>
      <c r="P2253" s="64" t="n">
        <f aca="false">IF(AND($M2253&gt;0,ISNUMBER(MATCH($F2253,Lists!$A$2:$A$5,0)),ISNUMBER(MATCH($G2253,Lists!$B$2:$B$7,0)),OR($H2253="",$N2253&gt;0),OR($I2253="",$I2253="NR",$O2253&gt;0),IF(ISNUMBER($J2253),AND($J2253&gt;=0,$J2253=INT($J2253)),FALSE())),$J2253,0)</f>
        <v>0</v>
      </c>
      <c r="Q2253" s="64" t="n">
        <f aca="false">IF(AND($P2253&gt;0,$O2253&gt;0),$P2253,0)</f>
        <v>0</v>
      </c>
      <c r="R2253" s="64" t="n">
        <f aca="false">IF(AND($Q2253&gt;0,$O2253&gt;=AtRank),$Q2253,0)</f>
        <v>0</v>
      </c>
      <c r="S2253" s="64" t="n">
        <f aca="false">IF(AND($Q2253&gt;0,$O2253&gt;=AboveRank),$Q2253,0)</f>
        <v>0</v>
      </c>
      <c r="T2253" s="64" t="n">
        <f aca="false">IF($K2253="Less",$P2253,0)</f>
        <v>0</v>
      </c>
      <c r="U2253" s="64" t="n">
        <f aca="false">IF($K2253="Expected",$P2253,0)</f>
        <v>0</v>
      </c>
      <c r="V2253" s="64" t="n">
        <f aca="false">IF($K2253="Better",$P2253,0)</f>
        <v>0</v>
      </c>
      <c r="W2253" s="64" t="n">
        <f aca="false">IF($K2253="U – needs rule",$P2253,0)</f>
        <v>0</v>
      </c>
      <c r="X2253" s="64" t="n">
        <f aca="false">IF($K2253="No Start (attainment only)",$P2253,0)</f>
        <v>0</v>
      </c>
    </row>
    <row r="2254" customFormat="false" ht="15" hidden="false" customHeight="false" outlineLevel="0" collapsed="false">
      <c r="A2254" s="60"/>
      <c r="B2254" s="61" t="str">
        <f aca="false">IF($M2254=0,"",INDEX(Classes!$E$6:$E$420,$M2254))</f>
        <v/>
      </c>
      <c r="C2254" s="62" t="str">
        <f aca="false">IF($M2254=0,"",INDEX(Classes!$H$6:$H$420,$M2254))</f>
        <v/>
      </c>
      <c r="D2254" s="61" t="str">
        <f aca="false">IF($M2254=0,"",INDEX(Classes!$B$6:$B$420,$M2254))</f>
        <v/>
      </c>
      <c r="E2254" s="61" t="str">
        <f aca="false">IF($M2254=0,"",INDEX(Classes!$C$6:$C$420,$M2254))</f>
        <v/>
      </c>
      <c r="F2254" s="63"/>
      <c r="G2254" s="63"/>
      <c r="H2254" s="60"/>
      <c r="I2254" s="60"/>
      <c r="J2254" s="63"/>
      <c r="K2254" s="61" t="str">
        <f aca="false">IF($P2254=0,"",IF($F2254="Baseline","— Baseline",IF($O2254=0,"No result",IF($N2254=0,"No Start (attainment only)",IF(OR($N2254=1,$O2254=1),"U – needs rule",INDEX(MxBody,MATCH($I2254,MxCurr,0),MATCH($H2254,MxStart,0)))))))</f>
        <v/>
      </c>
      <c r="L2254" s="62" t="str">
        <f aca="false">IF(COUNTA($A2254,$F2254,$G2254,$H2254,$I2254,$J2254)=0,"",IF($M2254=0,"✖ كود الصف غير موجود",IF(ISNA(MATCH($F2254,Lists!$A$2:$A$5,0)),"✖ الفترة غير صحيحة",IF(ISNA(MATCH($G2254,Lists!$B$2:$B$7,0)),"✖ المجموعة غير صحيحة",IF(NOT(OR($H2254="",$N2254&gt;0)),"✖ Start غير صحيح",IF(NOT(OR($I2254="",$I2254="NR",$O2254&gt;0)),"✖ Current غير صحيح",IF(NOT(IF(ISNUMBER($J2254),AND($J2254&gt;=0,$J2254=INT($J2254)),FALSE())),"✖ العدد يجب أن يكون صحيحًا ≥ 0",IF(AND($F2254="Baseline",$H2254&lt;&gt;""),"⚠ Baseline: Start لا يدخل في التقدم",IF($K2254="No Start (attainment only)","ℹ تحصيل فقط (بدون Start)",IF($K2254="U – needs rule","ℹ حالة U تحتاج قاعدة معتمدة",IF($K2254="No result","ℹ بدون نتيجة (يُستبعد من التحصيل)","OK")))))))))))</f>
        <v/>
      </c>
      <c r="M2254" s="64" t="n">
        <f aca="false">IF($A2254="",0,IFERROR(MATCH($A2254,Classes!$A$6:$A$420,0),0))</f>
        <v>0</v>
      </c>
      <c r="N2254" s="64" t="n">
        <f aca="false">IF($H2254="",0,IFERROR(MATCH($H2254,GradeList,0),0))</f>
        <v>0</v>
      </c>
      <c r="O2254" s="64" t="n">
        <f aca="false">IF(OR($I2254="",$I2254="NR"),0,IFERROR(MATCH($I2254,GradeList,0),0))</f>
        <v>0</v>
      </c>
      <c r="P2254" s="64" t="n">
        <f aca="false">IF(AND($M2254&gt;0,ISNUMBER(MATCH($F2254,Lists!$A$2:$A$5,0)),ISNUMBER(MATCH($G2254,Lists!$B$2:$B$7,0)),OR($H2254="",$N2254&gt;0),OR($I2254="",$I2254="NR",$O2254&gt;0),IF(ISNUMBER($J2254),AND($J2254&gt;=0,$J2254=INT($J2254)),FALSE())),$J2254,0)</f>
        <v>0</v>
      </c>
      <c r="Q2254" s="64" t="n">
        <f aca="false">IF(AND($P2254&gt;0,$O2254&gt;0),$P2254,0)</f>
        <v>0</v>
      </c>
      <c r="R2254" s="64" t="n">
        <f aca="false">IF(AND($Q2254&gt;0,$O2254&gt;=AtRank),$Q2254,0)</f>
        <v>0</v>
      </c>
      <c r="S2254" s="64" t="n">
        <f aca="false">IF(AND($Q2254&gt;0,$O2254&gt;=AboveRank),$Q2254,0)</f>
        <v>0</v>
      </c>
      <c r="T2254" s="64" t="n">
        <f aca="false">IF($K2254="Less",$P2254,0)</f>
        <v>0</v>
      </c>
      <c r="U2254" s="64" t="n">
        <f aca="false">IF($K2254="Expected",$P2254,0)</f>
        <v>0</v>
      </c>
      <c r="V2254" s="64" t="n">
        <f aca="false">IF($K2254="Better",$P2254,0)</f>
        <v>0</v>
      </c>
      <c r="W2254" s="64" t="n">
        <f aca="false">IF($K2254="U – needs rule",$P2254,0)</f>
        <v>0</v>
      </c>
      <c r="X2254" s="64" t="n">
        <f aca="false">IF($K2254="No Start (attainment only)",$P2254,0)</f>
        <v>0</v>
      </c>
    </row>
    <row r="2255" customFormat="false" ht="15" hidden="false" customHeight="false" outlineLevel="0" collapsed="false">
      <c r="A2255" s="60"/>
      <c r="B2255" s="61" t="str">
        <f aca="false">IF($M2255=0,"",INDEX(Classes!$E$6:$E$420,$M2255))</f>
        <v/>
      </c>
      <c r="C2255" s="62" t="str">
        <f aca="false">IF($M2255=0,"",INDEX(Classes!$H$6:$H$420,$M2255))</f>
        <v/>
      </c>
      <c r="D2255" s="61" t="str">
        <f aca="false">IF($M2255=0,"",INDEX(Classes!$B$6:$B$420,$M2255))</f>
        <v/>
      </c>
      <c r="E2255" s="61" t="str">
        <f aca="false">IF($M2255=0,"",INDEX(Classes!$C$6:$C$420,$M2255))</f>
        <v/>
      </c>
      <c r="F2255" s="63"/>
      <c r="G2255" s="63"/>
      <c r="H2255" s="60"/>
      <c r="I2255" s="60"/>
      <c r="J2255" s="63"/>
      <c r="K2255" s="61" t="str">
        <f aca="false">IF($P2255=0,"",IF($F2255="Baseline","— Baseline",IF($O2255=0,"No result",IF($N2255=0,"No Start (attainment only)",IF(OR($N2255=1,$O2255=1),"U – needs rule",INDEX(MxBody,MATCH($I2255,MxCurr,0),MATCH($H2255,MxStart,0)))))))</f>
        <v/>
      </c>
      <c r="L2255" s="62" t="str">
        <f aca="false">IF(COUNTA($A2255,$F2255,$G2255,$H2255,$I2255,$J2255)=0,"",IF($M2255=0,"✖ كود الصف غير موجود",IF(ISNA(MATCH($F2255,Lists!$A$2:$A$5,0)),"✖ الفترة غير صحيحة",IF(ISNA(MATCH($G2255,Lists!$B$2:$B$7,0)),"✖ المجموعة غير صحيحة",IF(NOT(OR($H2255="",$N2255&gt;0)),"✖ Start غير صحيح",IF(NOT(OR($I2255="",$I2255="NR",$O2255&gt;0)),"✖ Current غير صحيح",IF(NOT(IF(ISNUMBER($J2255),AND($J2255&gt;=0,$J2255=INT($J2255)),FALSE())),"✖ العدد يجب أن يكون صحيحًا ≥ 0",IF(AND($F2255="Baseline",$H2255&lt;&gt;""),"⚠ Baseline: Start لا يدخل في التقدم",IF($K2255="No Start (attainment only)","ℹ تحصيل فقط (بدون Start)",IF($K2255="U – needs rule","ℹ حالة U تحتاج قاعدة معتمدة",IF($K2255="No result","ℹ بدون نتيجة (يُستبعد من التحصيل)","OK")))))))))))</f>
        <v/>
      </c>
      <c r="M2255" s="64" t="n">
        <f aca="false">IF($A2255="",0,IFERROR(MATCH($A2255,Classes!$A$6:$A$420,0),0))</f>
        <v>0</v>
      </c>
      <c r="N2255" s="64" t="n">
        <f aca="false">IF($H2255="",0,IFERROR(MATCH($H2255,GradeList,0),0))</f>
        <v>0</v>
      </c>
      <c r="O2255" s="64" t="n">
        <f aca="false">IF(OR($I2255="",$I2255="NR"),0,IFERROR(MATCH($I2255,GradeList,0),0))</f>
        <v>0</v>
      </c>
      <c r="P2255" s="64" t="n">
        <f aca="false">IF(AND($M2255&gt;0,ISNUMBER(MATCH($F2255,Lists!$A$2:$A$5,0)),ISNUMBER(MATCH($G2255,Lists!$B$2:$B$7,0)),OR($H2255="",$N2255&gt;0),OR($I2255="",$I2255="NR",$O2255&gt;0),IF(ISNUMBER($J2255),AND($J2255&gt;=0,$J2255=INT($J2255)),FALSE())),$J2255,0)</f>
        <v>0</v>
      </c>
      <c r="Q2255" s="64" t="n">
        <f aca="false">IF(AND($P2255&gt;0,$O2255&gt;0),$P2255,0)</f>
        <v>0</v>
      </c>
      <c r="R2255" s="64" t="n">
        <f aca="false">IF(AND($Q2255&gt;0,$O2255&gt;=AtRank),$Q2255,0)</f>
        <v>0</v>
      </c>
      <c r="S2255" s="64" t="n">
        <f aca="false">IF(AND($Q2255&gt;0,$O2255&gt;=AboveRank),$Q2255,0)</f>
        <v>0</v>
      </c>
      <c r="T2255" s="64" t="n">
        <f aca="false">IF($K2255="Less",$P2255,0)</f>
        <v>0</v>
      </c>
      <c r="U2255" s="64" t="n">
        <f aca="false">IF($K2255="Expected",$P2255,0)</f>
        <v>0</v>
      </c>
      <c r="V2255" s="64" t="n">
        <f aca="false">IF($K2255="Better",$P2255,0)</f>
        <v>0</v>
      </c>
      <c r="W2255" s="64" t="n">
        <f aca="false">IF($K2255="U – needs rule",$P2255,0)</f>
        <v>0</v>
      </c>
      <c r="X2255" s="64" t="n">
        <f aca="false">IF($K2255="No Start (attainment only)",$P2255,0)</f>
        <v>0</v>
      </c>
    </row>
    <row r="2256" customFormat="false" ht="15" hidden="false" customHeight="false" outlineLevel="0" collapsed="false">
      <c r="A2256" s="60"/>
      <c r="B2256" s="61" t="str">
        <f aca="false">IF($M2256=0,"",INDEX(Classes!$E$6:$E$420,$M2256))</f>
        <v/>
      </c>
      <c r="C2256" s="62" t="str">
        <f aca="false">IF($M2256=0,"",INDEX(Classes!$H$6:$H$420,$M2256))</f>
        <v/>
      </c>
      <c r="D2256" s="61" t="str">
        <f aca="false">IF($M2256=0,"",INDEX(Classes!$B$6:$B$420,$M2256))</f>
        <v/>
      </c>
      <c r="E2256" s="61" t="str">
        <f aca="false">IF($M2256=0,"",INDEX(Classes!$C$6:$C$420,$M2256))</f>
        <v/>
      </c>
      <c r="F2256" s="63"/>
      <c r="G2256" s="63"/>
      <c r="H2256" s="60"/>
      <c r="I2256" s="60"/>
      <c r="J2256" s="63"/>
      <c r="K2256" s="61" t="str">
        <f aca="false">IF($P2256=0,"",IF($F2256="Baseline","— Baseline",IF($O2256=0,"No result",IF($N2256=0,"No Start (attainment only)",IF(OR($N2256=1,$O2256=1),"U – needs rule",INDEX(MxBody,MATCH($I2256,MxCurr,0),MATCH($H2256,MxStart,0)))))))</f>
        <v/>
      </c>
      <c r="L2256" s="62" t="str">
        <f aca="false">IF(COUNTA($A2256,$F2256,$G2256,$H2256,$I2256,$J2256)=0,"",IF($M2256=0,"✖ كود الصف غير موجود",IF(ISNA(MATCH($F2256,Lists!$A$2:$A$5,0)),"✖ الفترة غير صحيحة",IF(ISNA(MATCH($G2256,Lists!$B$2:$B$7,0)),"✖ المجموعة غير صحيحة",IF(NOT(OR($H2256="",$N2256&gt;0)),"✖ Start غير صحيح",IF(NOT(OR($I2256="",$I2256="NR",$O2256&gt;0)),"✖ Current غير صحيح",IF(NOT(IF(ISNUMBER($J2256),AND($J2256&gt;=0,$J2256=INT($J2256)),FALSE())),"✖ العدد يجب أن يكون صحيحًا ≥ 0",IF(AND($F2256="Baseline",$H2256&lt;&gt;""),"⚠ Baseline: Start لا يدخل في التقدم",IF($K2256="No Start (attainment only)","ℹ تحصيل فقط (بدون Start)",IF($K2256="U – needs rule","ℹ حالة U تحتاج قاعدة معتمدة",IF($K2256="No result","ℹ بدون نتيجة (يُستبعد من التحصيل)","OK")))))))))))</f>
        <v/>
      </c>
      <c r="M2256" s="64" t="n">
        <f aca="false">IF($A2256="",0,IFERROR(MATCH($A2256,Classes!$A$6:$A$420,0),0))</f>
        <v>0</v>
      </c>
      <c r="N2256" s="64" t="n">
        <f aca="false">IF($H2256="",0,IFERROR(MATCH($H2256,GradeList,0),0))</f>
        <v>0</v>
      </c>
      <c r="O2256" s="64" t="n">
        <f aca="false">IF(OR($I2256="",$I2256="NR"),0,IFERROR(MATCH($I2256,GradeList,0),0))</f>
        <v>0</v>
      </c>
      <c r="P2256" s="64" t="n">
        <f aca="false">IF(AND($M2256&gt;0,ISNUMBER(MATCH($F2256,Lists!$A$2:$A$5,0)),ISNUMBER(MATCH($G2256,Lists!$B$2:$B$7,0)),OR($H2256="",$N2256&gt;0),OR($I2256="",$I2256="NR",$O2256&gt;0),IF(ISNUMBER($J2256),AND($J2256&gt;=0,$J2256=INT($J2256)),FALSE())),$J2256,0)</f>
        <v>0</v>
      </c>
      <c r="Q2256" s="64" t="n">
        <f aca="false">IF(AND($P2256&gt;0,$O2256&gt;0),$P2256,0)</f>
        <v>0</v>
      </c>
      <c r="R2256" s="64" t="n">
        <f aca="false">IF(AND($Q2256&gt;0,$O2256&gt;=AtRank),$Q2256,0)</f>
        <v>0</v>
      </c>
      <c r="S2256" s="64" t="n">
        <f aca="false">IF(AND($Q2256&gt;0,$O2256&gt;=AboveRank),$Q2256,0)</f>
        <v>0</v>
      </c>
      <c r="T2256" s="64" t="n">
        <f aca="false">IF($K2256="Less",$P2256,0)</f>
        <v>0</v>
      </c>
      <c r="U2256" s="64" t="n">
        <f aca="false">IF($K2256="Expected",$P2256,0)</f>
        <v>0</v>
      </c>
      <c r="V2256" s="64" t="n">
        <f aca="false">IF($K2256="Better",$P2256,0)</f>
        <v>0</v>
      </c>
      <c r="W2256" s="64" t="n">
        <f aca="false">IF($K2256="U – needs rule",$P2256,0)</f>
        <v>0</v>
      </c>
      <c r="X2256" s="64" t="n">
        <f aca="false">IF($K2256="No Start (attainment only)",$P2256,0)</f>
        <v>0</v>
      </c>
    </row>
    <row r="2257" customFormat="false" ht="15" hidden="false" customHeight="false" outlineLevel="0" collapsed="false">
      <c r="A2257" s="60"/>
      <c r="B2257" s="61" t="str">
        <f aca="false">IF($M2257=0,"",INDEX(Classes!$E$6:$E$420,$M2257))</f>
        <v/>
      </c>
      <c r="C2257" s="62" t="str">
        <f aca="false">IF($M2257=0,"",INDEX(Classes!$H$6:$H$420,$M2257))</f>
        <v/>
      </c>
      <c r="D2257" s="61" t="str">
        <f aca="false">IF($M2257=0,"",INDEX(Classes!$B$6:$B$420,$M2257))</f>
        <v/>
      </c>
      <c r="E2257" s="61" t="str">
        <f aca="false">IF($M2257=0,"",INDEX(Classes!$C$6:$C$420,$M2257))</f>
        <v/>
      </c>
      <c r="F2257" s="63"/>
      <c r="G2257" s="63"/>
      <c r="H2257" s="60"/>
      <c r="I2257" s="60"/>
      <c r="J2257" s="63"/>
      <c r="K2257" s="61" t="str">
        <f aca="false">IF($P2257=0,"",IF($F2257="Baseline","— Baseline",IF($O2257=0,"No result",IF($N2257=0,"No Start (attainment only)",IF(OR($N2257=1,$O2257=1),"U – needs rule",INDEX(MxBody,MATCH($I2257,MxCurr,0),MATCH($H2257,MxStart,0)))))))</f>
        <v/>
      </c>
      <c r="L2257" s="62" t="str">
        <f aca="false">IF(COUNTA($A2257,$F2257,$G2257,$H2257,$I2257,$J2257)=0,"",IF($M2257=0,"✖ كود الصف غير موجود",IF(ISNA(MATCH($F2257,Lists!$A$2:$A$5,0)),"✖ الفترة غير صحيحة",IF(ISNA(MATCH($G2257,Lists!$B$2:$B$7,0)),"✖ المجموعة غير صحيحة",IF(NOT(OR($H2257="",$N2257&gt;0)),"✖ Start غير صحيح",IF(NOT(OR($I2257="",$I2257="NR",$O2257&gt;0)),"✖ Current غير صحيح",IF(NOT(IF(ISNUMBER($J2257),AND($J2257&gt;=0,$J2257=INT($J2257)),FALSE())),"✖ العدد يجب أن يكون صحيحًا ≥ 0",IF(AND($F2257="Baseline",$H2257&lt;&gt;""),"⚠ Baseline: Start لا يدخل في التقدم",IF($K2257="No Start (attainment only)","ℹ تحصيل فقط (بدون Start)",IF($K2257="U – needs rule","ℹ حالة U تحتاج قاعدة معتمدة",IF($K2257="No result","ℹ بدون نتيجة (يُستبعد من التحصيل)","OK")))))))))))</f>
        <v/>
      </c>
      <c r="M2257" s="64" t="n">
        <f aca="false">IF($A2257="",0,IFERROR(MATCH($A2257,Classes!$A$6:$A$420,0),0))</f>
        <v>0</v>
      </c>
      <c r="N2257" s="64" t="n">
        <f aca="false">IF($H2257="",0,IFERROR(MATCH($H2257,GradeList,0),0))</f>
        <v>0</v>
      </c>
      <c r="O2257" s="64" t="n">
        <f aca="false">IF(OR($I2257="",$I2257="NR"),0,IFERROR(MATCH($I2257,GradeList,0),0))</f>
        <v>0</v>
      </c>
      <c r="P2257" s="64" t="n">
        <f aca="false">IF(AND($M2257&gt;0,ISNUMBER(MATCH($F2257,Lists!$A$2:$A$5,0)),ISNUMBER(MATCH($G2257,Lists!$B$2:$B$7,0)),OR($H2257="",$N2257&gt;0),OR($I2257="",$I2257="NR",$O2257&gt;0),IF(ISNUMBER($J2257),AND($J2257&gt;=0,$J2257=INT($J2257)),FALSE())),$J2257,0)</f>
        <v>0</v>
      </c>
      <c r="Q2257" s="64" t="n">
        <f aca="false">IF(AND($P2257&gt;0,$O2257&gt;0),$P2257,0)</f>
        <v>0</v>
      </c>
      <c r="R2257" s="64" t="n">
        <f aca="false">IF(AND($Q2257&gt;0,$O2257&gt;=AtRank),$Q2257,0)</f>
        <v>0</v>
      </c>
      <c r="S2257" s="64" t="n">
        <f aca="false">IF(AND($Q2257&gt;0,$O2257&gt;=AboveRank),$Q2257,0)</f>
        <v>0</v>
      </c>
      <c r="T2257" s="64" t="n">
        <f aca="false">IF($K2257="Less",$P2257,0)</f>
        <v>0</v>
      </c>
      <c r="U2257" s="64" t="n">
        <f aca="false">IF($K2257="Expected",$P2257,0)</f>
        <v>0</v>
      </c>
      <c r="V2257" s="64" t="n">
        <f aca="false">IF($K2257="Better",$P2257,0)</f>
        <v>0</v>
      </c>
      <c r="W2257" s="64" t="n">
        <f aca="false">IF($K2257="U – needs rule",$P2257,0)</f>
        <v>0</v>
      </c>
      <c r="X2257" s="64" t="n">
        <f aca="false">IF($K2257="No Start (attainment only)",$P2257,0)</f>
        <v>0</v>
      </c>
    </row>
    <row r="2258" customFormat="false" ht="15" hidden="false" customHeight="false" outlineLevel="0" collapsed="false">
      <c r="A2258" s="60"/>
      <c r="B2258" s="61" t="str">
        <f aca="false">IF($M2258=0,"",INDEX(Classes!$E$6:$E$420,$M2258))</f>
        <v/>
      </c>
      <c r="C2258" s="62" t="str">
        <f aca="false">IF($M2258=0,"",INDEX(Classes!$H$6:$H$420,$M2258))</f>
        <v/>
      </c>
      <c r="D2258" s="61" t="str">
        <f aca="false">IF($M2258=0,"",INDEX(Classes!$B$6:$B$420,$M2258))</f>
        <v/>
      </c>
      <c r="E2258" s="61" t="str">
        <f aca="false">IF($M2258=0,"",INDEX(Classes!$C$6:$C$420,$M2258))</f>
        <v/>
      </c>
      <c r="F2258" s="63"/>
      <c r="G2258" s="63"/>
      <c r="H2258" s="60"/>
      <c r="I2258" s="60"/>
      <c r="J2258" s="63"/>
      <c r="K2258" s="61" t="str">
        <f aca="false">IF($P2258=0,"",IF($F2258="Baseline","— Baseline",IF($O2258=0,"No result",IF($N2258=0,"No Start (attainment only)",IF(OR($N2258=1,$O2258=1),"U – needs rule",INDEX(MxBody,MATCH($I2258,MxCurr,0),MATCH($H2258,MxStart,0)))))))</f>
        <v/>
      </c>
      <c r="L2258" s="62" t="str">
        <f aca="false">IF(COUNTA($A2258,$F2258,$G2258,$H2258,$I2258,$J2258)=0,"",IF($M2258=0,"✖ كود الصف غير موجود",IF(ISNA(MATCH($F2258,Lists!$A$2:$A$5,0)),"✖ الفترة غير صحيحة",IF(ISNA(MATCH($G2258,Lists!$B$2:$B$7,0)),"✖ المجموعة غير صحيحة",IF(NOT(OR($H2258="",$N2258&gt;0)),"✖ Start غير صحيح",IF(NOT(OR($I2258="",$I2258="NR",$O2258&gt;0)),"✖ Current غير صحيح",IF(NOT(IF(ISNUMBER($J2258),AND($J2258&gt;=0,$J2258=INT($J2258)),FALSE())),"✖ العدد يجب أن يكون صحيحًا ≥ 0",IF(AND($F2258="Baseline",$H2258&lt;&gt;""),"⚠ Baseline: Start لا يدخل في التقدم",IF($K2258="No Start (attainment only)","ℹ تحصيل فقط (بدون Start)",IF($K2258="U – needs rule","ℹ حالة U تحتاج قاعدة معتمدة",IF($K2258="No result","ℹ بدون نتيجة (يُستبعد من التحصيل)","OK")))))))))))</f>
        <v/>
      </c>
      <c r="M2258" s="64" t="n">
        <f aca="false">IF($A2258="",0,IFERROR(MATCH($A2258,Classes!$A$6:$A$420,0),0))</f>
        <v>0</v>
      </c>
      <c r="N2258" s="64" t="n">
        <f aca="false">IF($H2258="",0,IFERROR(MATCH($H2258,GradeList,0),0))</f>
        <v>0</v>
      </c>
      <c r="O2258" s="64" t="n">
        <f aca="false">IF(OR($I2258="",$I2258="NR"),0,IFERROR(MATCH($I2258,GradeList,0),0))</f>
        <v>0</v>
      </c>
      <c r="P2258" s="64" t="n">
        <f aca="false">IF(AND($M2258&gt;0,ISNUMBER(MATCH($F2258,Lists!$A$2:$A$5,0)),ISNUMBER(MATCH($G2258,Lists!$B$2:$B$7,0)),OR($H2258="",$N2258&gt;0),OR($I2258="",$I2258="NR",$O2258&gt;0),IF(ISNUMBER($J2258),AND($J2258&gt;=0,$J2258=INT($J2258)),FALSE())),$J2258,0)</f>
        <v>0</v>
      </c>
      <c r="Q2258" s="64" t="n">
        <f aca="false">IF(AND($P2258&gt;0,$O2258&gt;0),$P2258,0)</f>
        <v>0</v>
      </c>
      <c r="R2258" s="64" t="n">
        <f aca="false">IF(AND($Q2258&gt;0,$O2258&gt;=AtRank),$Q2258,0)</f>
        <v>0</v>
      </c>
      <c r="S2258" s="64" t="n">
        <f aca="false">IF(AND($Q2258&gt;0,$O2258&gt;=AboveRank),$Q2258,0)</f>
        <v>0</v>
      </c>
      <c r="T2258" s="64" t="n">
        <f aca="false">IF($K2258="Less",$P2258,0)</f>
        <v>0</v>
      </c>
      <c r="U2258" s="64" t="n">
        <f aca="false">IF($K2258="Expected",$P2258,0)</f>
        <v>0</v>
      </c>
      <c r="V2258" s="64" t="n">
        <f aca="false">IF($K2258="Better",$P2258,0)</f>
        <v>0</v>
      </c>
      <c r="W2258" s="64" t="n">
        <f aca="false">IF($K2258="U – needs rule",$P2258,0)</f>
        <v>0</v>
      </c>
      <c r="X2258" s="64" t="n">
        <f aca="false">IF($K2258="No Start (attainment only)",$P2258,0)</f>
        <v>0</v>
      </c>
    </row>
    <row r="2259" customFormat="false" ht="15" hidden="false" customHeight="false" outlineLevel="0" collapsed="false">
      <c r="A2259" s="60"/>
      <c r="B2259" s="61" t="str">
        <f aca="false">IF($M2259=0,"",INDEX(Classes!$E$6:$E$420,$M2259))</f>
        <v/>
      </c>
      <c r="C2259" s="62" t="str">
        <f aca="false">IF($M2259=0,"",INDEX(Classes!$H$6:$H$420,$M2259))</f>
        <v/>
      </c>
      <c r="D2259" s="61" t="str">
        <f aca="false">IF($M2259=0,"",INDEX(Classes!$B$6:$B$420,$M2259))</f>
        <v/>
      </c>
      <c r="E2259" s="61" t="str">
        <f aca="false">IF($M2259=0,"",INDEX(Classes!$C$6:$C$420,$M2259))</f>
        <v/>
      </c>
      <c r="F2259" s="63"/>
      <c r="G2259" s="63"/>
      <c r="H2259" s="60"/>
      <c r="I2259" s="60"/>
      <c r="J2259" s="63"/>
      <c r="K2259" s="61" t="str">
        <f aca="false">IF($P2259=0,"",IF($F2259="Baseline","— Baseline",IF($O2259=0,"No result",IF($N2259=0,"No Start (attainment only)",IF(OR($N2259=1,$O2259=1),"U – needs rule",INDEX(MxBody,MATCH($I2259,MxCurr,0),MATCH($H2259,MxStart,0)))))))</f>
        <v/>
      </c>
      <c r="L2259" s="62" t="str">
        <f aca="false">IF(COUNTA($A2259,$F2259,$G2259,$H2259,$I2259,$J2259)=0,"",IF($M2259=0,"✖ كود الصف غير موجود",IF(ISNA(MATCH($F2259,Lists!$A$2:$A$5,0)),"✖ الفترة غير صحيحة",IF(ISNA(MATCH($G2259,Lists!$B$2:$B$7,0)),"✖ المجموعة غير صحيحة",IF(NOT(OR($H2259="",$N2259&gt;0)),"✖ Start غير صحيح",IF(NOT(OR($I2259="",$I2259="NR",$O2259&gt;0)),"✖ Current غير صحيح",IF(NOT(IF(ISNUMBER($J2259),AND($J2259&gt;=0,$J2259=INT($J2259)),FALSE())),"✖ العدد يجب أن يكون صحيحًا ≥ 0",IF(AND($F2259="Baseline",$H2259&lt;&gt;""),"⚠ Baseline: Start لا يدخل في التقدم",IF($K2259="No Start (attainment only)","ℹ تحصيل فقط (بدون Start)",IF($K2259="U – needs rule","ℹ حالة U تحتاج قاعدة معتمدة",IF($K2259="No result","ℹ بدون نتيجة (يُستبعد من التحصيل)","OK")))))))))))</f>
        <v/>
      </c>
      <c r="M2259" s="64" t="n">
        <f aca="false">IF($A2259="",0,IFERROR(MATCH($A2259,Classes!$A$6:$A$420,0),0))</f>
        <v>0</v>
      </c>
      <c r="N2259" s="64" t="n">
        <f aca="false">IF($H2259="",0,IFERROR(MATCH($H2259,GradeList,0),0))</f>
        <v>0</v>
      </c>
      <c r="O2259" s="64" t="n">
        <f aca="false">IF(OR($I2259="",$I2259="NR"),0,IFERROR(MATCH($I2259,GradeList,0),0))</f>
        <v>0</v>
      </c>
      <c r="P2259" s="64" t="n">
        <f aca="false">IF(AND($M2259&gt;0,ISNUMBER(MATCH($F2259,Lists!$A$2:$A$5,0)),ISNUMBER(MATCH($G2259,Lists!$B$2:$B$7,0)),OR($H2259="",$N2259&gt;0),OR($I2259="",$I2259="NR",$O2259&gt;0),IF(ISNUMBER($J2259),AND($J2259&gt;=0,$J2259=INT($J2259)),FALSE())),$J2259,0)</f>
        <v>0</v>
      </c>
      <c r="Q2259" s="64" t="n">
        <f aca="false">IF(AND($P2259&gt;0,$O2259&gt;0),$P2259,0)</f>
        <v>0</v>
      </c>
      <c r="R2259" s="64" t="n">
        <f aca="false">IF(AND($Q2259&gt;0,$O2259&gt;=AtRank),$Q2259,0)</f>
        <v>0</v>
      </c>
      <c r="S2259" s="64" t="n">
        <f aca="false">IF(AND($Q2259&gt;0,$O2259&gt;=AboveRank),$Q2259,0)</f>
        <v>0</v>
      </c>
      <c r="T2259" s="64" t="n">
        <f aca="false">IF($K2259="Less",$P2259,0)</f>
        <v>0</v>
      </c>
      <c r="U2259" s="64" t="n">
        <f aca="false">IF($K2259="Expected",$P2259,0)</f>
        <v>0</v>
      </c>
      <c r="V2259" s="64" t="n">
        <f aca="false">IF($K2259="Better",$P2259,0)</f>
        <v>0</v>
      </c>
      <c r="W2259" s="64" t="n">
        <f aca="false">IF($K2259="U – needs rule",$P2259,0)</f>
        <v>0</v>
      </c>
      <c r="X2259" s="64" t="n">
        <f aca="false">IF($K2259="No Start (attainment only)",$P2259,0)</f>
        <v>0</v>
      </c>
    </row>
    <row r="2260" customFormat="false" ht="15" hidden="false" customHeight="false" outlineLevel="0" collapsed="false">
      <c r="A2260" s="60"/>
      <c r="B2260" s="61" t="str">
        <f aca="false">IF($M2260=0,"",INDEX(Classes!$E$6:$E$420,$M2260))</f>
        <v/>
      </c>
      <c r="C2260" s="62" t="str">
        <f aca="false">IF($M2260=0,"",INDEX(Classes!$H$6:$H$420,$M2260))</f>
        <v/>
      </c>
      <c r="D2260" s="61" t="str">
        <f aca="false">IF($M2260=0,"",INDEX(Classes!$B$6:$B$420,$M2260))</f>
        <v/>
      </c>
      <c r="E2260" s="61" t="str">
        <f aca="false">IF($M2260=0,"",INDEX(Classes!$C$6:$C$420,$M2260))</f>
        <v/>
      </c>
      <c r="F2260" s="63"/>
      <c r="G2260" s="63"/>
      <c r="H2260" s="60"/>
      <c r="I2260" s="60"/>
      <c r="J2260" s="63"/>
      <c r="K2260" s="61" t="str">
        <f aca="false">IF($P2260=0,"",IF($F2260="Baseline","— Baseline",IF($O2260=0,"No result",IF($N2260=0,"No Start (attainment only)",IF(OR($N2260=1,$O2260=1),"U – needs rule",INDEX(MxBody,MATCH($I2260,MxCurr,0),MATCH($H2260,MxStart,0)))))))</f>
        <v/>
      </c>
      <c r="L2260" s="62" t="str">
        <f aca="false">IF(COUNTA($A2260,$F2260,$G2260,$H2260,$I2260,$J2260)=0,"",IF($M2260=0,"✖ كود الصف غير موجود",IF(ISNA(MATCH($F2260,Lists!$A$2:$A$5,0)),"✖ الفترة غير صحيحة",IF(ISNA(MATCH($G2260,Lists!$B$2:$B$7,0)),"✖ المجموعة غير صحيحة",IF(NOT(OR($H2260="",$N2260&gt;0)),"✖ Start غير صحيح",IF(NOT(OR($I2260="",$I2260="NR",$O2260&gt;0)),"✖ Current غير صحيح",IF(NOT(IF(ISNUMBER($J2260),AND($J2260&gt;=0,$J2260=INT($J2260)),FALSE())),"✖ العدد يجب أن يكون صحيحًا ≥ 0",IF(AND($F2260="Baseline",$H2260&lt;&gt;""),"⚠ Baseline: Start لا يدخل في التقدم",IF($K2260="No Start (attainment only)","ℹ تحصيل فقط (بدون Start)",IF($K2260="U – needs rule","ℹ حالة U تحتاج قاعدة معتمدة",IF($K2260="No result","ℹ بدون نتيجة (يُستبعد من التحصيل)","OK")))))))))))</f>
        <v/>
      </c>
      <c r="M2260" s="64" t="n">
        <f aca="false">IF($A2260="",0,IFERROR(MATCH($A2260,Classes!$A$6:$A$420,0),0))</f>
        <v>0</v>
      </c>
      <c r="N2260" s="64" t="n">
        <f aca="false">IF($H2260="",0,IFERROR(MATCH($H2260,GradeList,0),0))</f>
        <v>0</v>
      </c>
      <c r="O2260" s="64" t="n">
        <f aca="false">IF(OR($I2260="",$I2260="NR"),0,IFERROR(MATCH($I2260,GradeList,0),0))</f>
        <v>0</v>
      </c>
      <c r="P2260" s="64" t="n">
        <f aca="false">IF(AND($M2260&gt;0,ISNUMBER(MATCH($F2260,Lists!$A$2:$A$5,0)),ISNUMBER(MATCH($G2260,Lists!$B$2:$B$7,0)),OR($H2260="",$N2260&gt;0),OR($I2260="",$I2260="NR",$O2260&gt;0),IF(ISNUMBER($J2260),AND($J2260&gt;=0,$J2260=INT($J2260)),FALSE())),$J2260,0)</f>
        <v>0</v>
      </c>
      <c r="Q2260" s="64" t="n">
        <f aca="false">IF(AND($P2260&gt;0,$O2260&gt;0),$P2260,0)</f>
        <v>0</v>
      </c>
      <c r="R2260" s="64" t="n">
        <f aca="false">IF(AND($Q2260&gt;0,$O2260&gt;=AtRank),$Q2260,0)</f>
        <v>0</v>
      </c>
      <c r="S2260" s="64" t="n">
        <f aca="false">IF(AND($Q2260&gt;0,$O2260&gt;=AboveRank),$Q2260,0)</f>
        <v>0</v>
      </c>
      <c r="T2260" s="64" t="n">
        <f aca="false">IF($K2260="Less",$P2260,0)</f>
        <v>0</v>
      </c>
      <c r="U2260" s="64" t="n">
        <f aca="false">IF($K2260="Expected",$P2260,0)</f>
        <v>0</v>
      </c>
      <c r="V2260" s="64" t="n">
        <f aca="false">IF($K2260="Better",$P2260,0)</f>
        <v>0</v>
      </c>
      <c r="W2260" s="64" t="n">
        <f aca="false">IF($K2260="U – needs rule",$P2260,0)</f>
        <v>0</v>
      </c>
      <c r="X2260" s="64" t="n">
        <f aca="false">IF($K2260="No Start (attainment only)",$P2260,0)</f>
        <v>0</v>
      </c>
    </row>
    <row r="2261" customFormat="false" ht="15" hidden="false" customHeight="false" outlineLevel="0" collapsed="false">
      <c r="A2261" s="60"/>
      <c r="B2261" s="61" t="str">
        <f aca="false">IF($M2261=0,"",INDEX(Classes!$E$6:$E$420,$M2261))</f>
        <v/>
      </c>
      <c r="C2261" s="62" t="str">
        <f aca="false">IF($M2261=0,"",INDEX(Classes!$H$6:$H$420,$M2261))</f>
        <v/>
      </c>
      <c r="D2261" s="61" t="str">
        <f aca="false">IF($M2261=0,"",INDEX(Classes!$B$6:$B$420,$M2261))</f>
        <v/>
      </c>
      <c r="E2261" s="61" t="str">
        <f aca="false">IF($M2261=0,"",INDEX(Classes!$C$6:$C$420,$M2261))</f>
        <v/>
      </c>
      <c r="F2261" s="63"/>
      <c r="G2261" s="63"/>
      <c r="H2261" s="60"/>
      <c r="I2261" s="60"/>
      <c r="J2261" s="63"/>
      <c r="K2261" s="61" t="str">
        <f aca="false">IF($P2261=0,"",IF($F2261="Baseline","— Baseline",IF($O2261=0,"No result",IF($N2261=0,"No Start (attainment only)",IF(OR($N2261=1,$O2261=1),"U – needs rule",INDEX(MxBody,MATCH($I2261,MxCurr,0),MATCH($H2261,MxStart,0)))))))</f>
        <v/>
      </c>
      <c r="L2261" s="62" t="str">
        <f aca="false">IF(COUNTA($A2261,$F2261,$G2261,$H2261,$I2261,$J2261)=0,"",IF($M2261=0,"✖ كود الصف غير موجود",IF(ISNA(MATCH($F2261,Lists!$A$2:$A$5,0)),"✖ الفترة غير صحيحة",IF(ISNA(MATCH($G2261,Lists!$B$2:$B$7,0)),"✖ المجموعة غير صحيحة",IF(NOT(OR($H2261="",$N2261&gt;0)),"✖ Start غير صحيح",IF(NOT(OR($I2261="",$I2261="NR",$O2261&gt;0)),"✖ Current غير صحيح",IF(NOT(IF(ISNUMBER($J2261),AND($J2261&gt;=0,$J2261=INT($J2261)),FALSE())),"✖ العدد يجب أن يكون صحيحًا ≥ 0",IF(AND($F2261="Baseline",$H2261&lt;&gt;""),"⚠ Baseline: Start لا يدخل في التقدم",IF($K2261="No Start (attainment only)","ℹ تحصيل فقط (بدون Start)",IF($K2261="U – needs rule","ℹ حالة U تحتاج قاعدة معتمدة",IF($K2261="No result","ℹ بدون نتيجة (يُستبعد من التحصيل)","OK")))))))))))</f>
        <v/>
      </c>
      <c r="M2261" s="64" t="n">
        <f aca="false">IF($A2261="",0,IFERROR(MATCH($A2261,Classes!$A$6:$A$420,0),0))</f>
        <v>0</v>
      </c>
      <c r="N2261" s="64" t="n">
        <f aca="false">IF($H2261="",0,IFERROR(MATCH($H2261,GradeList,0),0))</f>
        <v>0</v>
      </c>
      <c r="O2261" s="64" t="n">
        <f aca="false">IF(OR($I2261="",$I2261="NR"),0,IFERROR(MATCH($I2261,GradeList,0),0))</f>
        <v>0</v>
      </c>
      <c r="P2261" s="64" t="n">
        <f aca="false">IF(AND($M2261&gt;0,ISNUMBER(MATCH($F2261,Lists!$A$2:$A$5,0)),ISNUMBER(MATCH($G2261,Lists!$B$2:$B$7,0)),OR($H2261="",$N2261&gt;0),OR($I2261="",$I2261="NR",$O2261&gt;0),IF(ISNUMBER($J2261),AND($J2261&gt;=0,$J2261=INT($J2261)),FALSE())),$J2261,0)</f>
        <v>0</v>
      </c>
      <c r="Q2261" s="64" t="n">
        <f aca="false">IF(AND($P2261&gt;0,$O2261&gt;0),$P2261,0)</f>
        <v>0</v>
      </c>
      <c r="R2261" s="64" t="n">
        <f aca="false">IF(AND($Q2261&gt;0,$O2261&gt;=AtRank),$Q2261,0)</f>
        <v>0</v>
      </c>
      <c r="S2261" s="64" t="n">
        <f aca="false">IF(AND($Q2261&gt;0,$O2261&gt;=AboveRank),$Q2261,0)</f>
        <v>0</v>
      </c>
      <c r="T2261" s="64" t="n">
        <f aca="false">IF($K2261="Less",$P2261,0)</f>
        <v>0</v>
      </c>
      <c r="U2261" s="64" t="n">
        <f aca="false">IF($K2261="Expected",$P2261,0)</f>
        <v>0</v>
      </c>
      <c r="V2261" s="64" t="n">
        <f aca="false">IF($K2261="Better",$P2261,0)</f>
        <v>0</v>
      </c>
      <c r="W2261" s="64" t="n">
        <f aca="false">IF($K2261="U – needs rule",$P2261,0)</f>
        <v>0</v>
      </c>
      <c r="X2261" s="64" t="n">
        <f aca="false">IF($K2261="No Start (attainment only)",$P2261,0)</f>
        <v>0</v>
      </c>
    </row>
    <row r="2262" customFormat="false" ht="15" hidden="false" customHeight="false" outlineLevel="0" collapsed="false">
      <c r="A2262" s="60"/>
      <c r="B2262" s="61" t="str">
        <f aca="false">IF($M2262=0,"",INDEX(Classes!$E$6:$E$420,$M2262))</f>
        <v/>
      </c>
      <c r="C2262" s="62" t="str">
        <f aca="false">IF($M2262=0,"",INDEX(Classes!$H$6:$H$420,$M2262))</f>
        <v/>
      </c>
      <c r="D2262" s="61" t="str">
        <f aca="false">IF($M2262=0,"",INDEX(Classes!$B$6:$B$420,$M2262))</f>
        <v/>
      </c>
      <c r="E2262" s="61" t="str">
        <f aca="false">IF($M2262=0,"",INDEX(Classes!$C$6:$C$420,$M2262))</f>
        <v/>
      </c>
      <c r="F2262" s="63"/>
      <c r="G2262" s="63"/>
      <c r="H2262" s="60"/>
      <c r="I2262" s="60"/>
      <c r="J2262" s="63"/>
      <c r="K2262" s="61" t="str">
        <f aca="false">IF($P2262=0,"",IF($F2262="Baseline","— Baseline",IF($O2262=0,"No result",IF($N2262=0,"No Start (attainment only)",IF(OR($N2262=1,$O2262=1),"U – needs rule",INDEX(MxBody,MATCH($I2262,MxCurr,0),MATCH($H2262,MxStart,0)))))))</f>
        <v/>
      </c>
      <c r="L2262" s="62" t="str">
        <f aca="false">IF(COUNTA($A2262,$F2262,$G2262,$H2262,$I2262,$J2262)=0,"",IF($M2262=0,"✖ كود الصف غير موجود",IF(ISNA(MATCH($F2262,Lists!$A$2:$A$5,0)),"✖ الفترة غير صحيحة",IF(ISNA(MATCH($G2262,Lists!$B$2:$B$7,0)),"✖ المجموعة غير صحيحة",IF(NOT(OR($H2262="",$N2262&gt;0)),"✖ Start غير صحيح",IF(NOT(OR($I2262="",$I2262="NR",$O2262&gt;0)),"✖ Current غير صحيح",IF(NOT(IF(ISNUMBER($J2262),AND($J2262&gt;=0,$J2262=INT($J2262)),FALSE())),"✖ العدد يجب أن يكون صحيحًا ≥ 0",IF(AND($F2262="Baseline",$H2262&lt;&gt;""),"⚠ Baseline: Start لا يدخل في التقدم",IF($K2262="No Start (attainment only)","ℹ تحصيل فقط (بدون Start)",IF($K2262="U – needs rule","ℹ حالة U تحتاج قاعدة معتمدة",IF($K2262="No result","ℹ بدون نتيجة (يُستبعد من التحصيل)","OK")))))))))))</f>
        <v/>
      </c>
      <c r="M2262" s="64" t="n">
        <f aca="false">IF($A2262="",0,IFERROR(MATCH($A2262,Classes!$A$6:$A$420,0),0))</f>
        <v>0</v>
      </c>
      <c r="N2262" s="64" t="n">
        <f aca="false">IF($H2262="",0,IFERROR(MATCH($H2262,GradeList,0),0))</f>
        <v>0</v>
      </c>
      <c r="O2262" s="64" t="n">
        <f aca="false">IF(OR($I2262="",$I2262="NR"),0,IFERROR(MATCH($I2262,GradeList,0),0))</f>
        <v>0</v>
      </c>
      <c r="P2262" s="64" t="n">
        <f aca="false">IF(AND($M2262&gt;0,ISNUMBER(MATCH($F2262,Lists!$A$2:$A$5,0)),ISNUMBER(MATCH($G2262,Lists!$B$2:$B$7,0)),OR($H2262="",$N2262&gt;0),OR($I2262="",$I2262="NR",$O2262&gt;0),IF(ISNUMBER($J2262),AND($J2262&gt;=0,$J2262=INT($J2262)),FALSE())),$J2262,0)</f>
        <v>0</v>
      </c>
      <c r="Q2262" s="64" t="n">
        <f aca="false">IF(AND($P2262&gt;0,$O2262&gt;0),$P2262,0)</f>
        <v>0</v>
      </c>
      <c r="R2262" s="64" t="n">
        <f aca="false">IF(AND($Q2262&gt;0,$O2262&gt;=AtRank),$Q2262,0)</f>
        <v>0</v>
      </c>
      <c r="S2262" s="64" t="n">
        <f aca="false">IF(AND($Q2262&gt;0,$O2262&gt;=AboveRank),$Q2262,0)</f>
        <v>0</v>
      </c>
      <c r="T2262" s="64" t="n">
        <f aca="false">IF($K2262="Less",$P2262,0)</f>
        <v>0</v>
      </c>
      <c r="U2262" s="64" t="n">
        <f aca="false">IF($K2262="Expected",$P2262,0)</f>
        <v>0</v>
      </c>
      <c r="V2262" s="64" t="n">
        <f aca="false">IF($K2262="Better",$P2262,0)</f>
        <v>0</v>
      </c>
      <c r="W2262" s="64" t="n">
        <f aca="false">IF($K2262="U – needs rule",$P2262,0)</f>
        <v>0</v>
      </c>
      <c r="X2262" s="64" t="n">
        <f aca="false">IF($K2262="No Start (attainment only)",$P2262,0)</f>
        <v>0</v>
      </c>
    </row>
    <row r="2263" customFormat="false" ht="15" hidden="false" customHeight="false" outlineLevel="0" collapsed="false">
      <c r="A2263" s="60"/>
      <c r="B2263" s="61" t="str">
        <f aca="false">IF($M2263=0,"",INDEX(Classes!$E$6:$E$420,$M2263))</f>
        <v/>
      </c>
      <c r="C2263" s="62" t="str">
        <f aca="false">IF($M2263=0,"",INDEX(Classes!$H$6:$H$420,$M2263))</f>
        <v/>
      </c>
      <c r="D2263" s="61" t="str">
        <f aca="false">IF($M2263=0,"",INDEX(Classes!$B$6:$B$420,$M2263))</f>
        <v/>
      </c>
      <c r="E2263" s="61" t="str">
        <f aca="false">IF($M2263=0,"",INDEX(Classes!$C$6:$C$420,$M2263))</f>
        <v/>
      </c>
      <c r="F2263" s="63"/>
      <c r="G2263" s="63"/>
      <c r="H2263" s="60"/>
      <c r="I2263" s="60"/>
      <c r="J2263" s="63"/>
      <c r="K2263" s="61" t="str">
        <f aca="false">IF($P2263=0,"",IF($F2263="Baseline","— Baseline",IF($O2263=0,"No result",IF($N2263=0,"No Start (attainment only)",IF(OR($N2263=1,$O2263=1),"U – needs rule",INDEX(MxBody,MATCH($I2263,MxCurr,0),MATCH($H2263,MxStart,0)))))))</f>
        <v/>
      </c>
      <c r="L2263" s="62" t="str">
        <f aca="false">IF(COUNTA($A2263,$F2263,$G2263,$H2263,$I2263,$J2263)=0,"",IF($M2263=0,"✖ كود الصف غير موجود",IF(ISNA(MATCH($F2263,Lists!$A$2:$A$5,0)),"✖ الفترة غير صحيحة",IF(ISNA(MATCH($G2263,Lists!$B$2:$B$7,0)),"✖ المجموعة غير صحيحة",IF(NOT(OR($H2263="",$N2263&gt;0)),"✖ Start غير صحيح",IF(NOT(OR($I2263="",$I2263="NR",$O2263&gt;0)),"✖ Current غير صحيح",IF(NOT(IF(ISNUMBER($J2263),AND($J2263&gt;=0,$J2263=INT($J2263)),FALSE())),"✖ العدد يجب أن يكون صحيحًا ≥ 0",IF(AND($F2263="Baseline",$H2263&lt;&gt;""),"⚠ Baseline: Start لا يدخل في التقدم",IF($K2263="No Start (attainment only)","ℹ تحصيل فقط (بدون Start)",IF($K2263="U – needs rule","ℹ حالة U تحتاج قاعدة معتمدة",IF($K2263="No result","ℹ بدون نتيجة (يُستبعد من التحصيل)","OK")))))))))))</f>
        <v/>
      </c>
      <c r="M2263" s="64" t="n">
        <f aca="false">IF($A2263="",0,IFERROR(MATCH($A2263,Classes!$A$6:$A$420,0),0))</f>
        <v>0</v>
      </c>
      <c r="N2263" s="64" t="n">
        <f aca="false">IF($H2263="",0,IFERROR(MATCH($H2263,GradeList,0),0))</f>
        <v>0</v>
      </c>
      <c r="O2263" s="64" t="n">
        <f aca="false">IF(OR($I2263="",$I2263="NR"),0,IFERROR(MATCH($I2263,GradeList,0),0))</f>
        <v>0</v>
      </c>
      <c r="P2263" s="64" t="n">
        <f aca="false">IF(AND($M2263&gt;0,ISNUMBER(MATCH($F2263,Lists!$A$2:$A$5,0)),ISNUMBER(MATCH($G2263,Lists!$B$2:$B$7,0)),OR($H2263="",$N2263&gt;0),OR($I2263="",$I2263="NR",$O2263&gt;0),IF(ISNUMBER($J2263),AND($J2263&gt;=0,$J2263=INT($J2263)),FALSE())),$J2263,0)</f>
        <v>0</v>
      </c>
      <c r="Q2263" s="64" t="n">
        <f aca="false">IF(AND($P2263&gt;0,$O2263&gt;0),$P2263,0)</f>
        <v>0</v>
      </c>
      <c r="R2263" s="64" t="n">
        <f aca="false">IF(AND($Q2263&gt;0,$O2263&gt;=AtRank),$Q2263,0)</f>
        <v>0</v>
      </c>
      <c r="S2263" s="64" t="n">
        <f aca="false">IF(AND($Q2263&gt;0,$O2263&gt;=AboveRank),$Q2263,0)</f>
        <v>0</v>
      </c>
      <c r="T2263" s="64" t="n">
        <f aca="false">IF($K2263="Less",$P2263,0)</f>
        <v>0</v>
      </c>
      <c r="U2263" s="64" t="n">
        <f aca="false">IF($K2263="Expected",$P2263,0)</f>
        <v>0</v>
      </c>
      <c r="V2263" s="64" t="n">
        <f aca="false">IF($K2263="Better",$P2263,0)</f>
        <v>0</v>
      </c>
      <c r="W2263" s="64" t="n">
        <f aca="false">IF($K2263="U – needs rule",$P2263,0)</f>
        <v>0</v>
      </c>
      <c r="X2263" s="64" t="n">
        <f aca="false">IF($K2263="No Start (attainment only)",$P2263,0)</f>
        <v>0</v>
      </c>
    </row>
    <row r="2264" customFormat="false" ht="15" hidden="false" customHeight="false" outlineLevel="0" collapsed="false">
      <c r="A2264" s="60"/>
      <c r="B2264" s="61" t="str">
        <f aca="false">IF($M2264=0,"",INDEX(Classes!$E$6:$E$420,$M2264))</f>
        <v/>
      </c>
      <c r="C2264" s="62" t="str">
        <f aca="false">IF($M2264=0,"",INDEX(Classes!$H$6:$H$420,$M2264))</f>
        <v/>
      </c>
      <c r="D2264" s="61" t="str">
        <f aca="false">IF($M2264=0,"",INDEX(Classes!$B$6:$B$420,$M2264))</f>
        <v/>
      </c>
      <c r="E2264" s="61" t="str">
        <f aca="false">IF($M2264=0,"",INDEX(Classes!$C$6:$C$420,$M2264))</f>
        <v/>
      </c>
      <c r="F2264" s="63"/>
      <c r="G2264" s="63"/>
      <c r="H2264" s="60"/>
      <c r="I2264" s="60"/>
      <c r="J2264" s="63"/>
      <c r="K2264" s="61" t="str">
        <f aca="false">IF($P2264=0,"",IF($F2264="Baseline","— Baseline",IF($O2264=0,"No result",IF($N2264=0,"No Start (attainment only)",IF(OR($N2264=1,$O2264=1),"U – needs rule",INDEX(MxBody,MATCH($I2264,MxCurr,0),MATCH($H2264,MxStart,0)))))))</f>
        <v/>
      </c>
      <c r="L2264" s="62" t="str">
        <f aca="false">IF(COUNTA($A2264,$F2264,$G2264,$H2264,$I2264,$J2264)=0,"",IF($M2264=0,"✖ كود الصف غير موجود",IF(ISNA(MATCH($F2264,Lists!$A$2:$A$5,0)),"✖ الفترة غير صحيحة",IF(ISNA(MATCH($G2264,Lists!$B$2:$B$7,0)),"✖ المجموعة غير صحيحة",IF(NOT(OR($H2264="",$N2264&gt;0)),"✖ Start غير صحيح",IF(NOT(OR($I2264="",$I2264="NR",$O2264&gt;0)),"✖ Current غير صحيح",IF(NOT(IF(ISNUMBER($J2264),AND($J2264&gt;=0,$J2264=INT($J2264)),FALSE())),"✖ العدد يجب أن يكون صحيحًا ≥ 0",IF(AND($F2264="Baseline",$H2264&lt;&gt;""),"⚠ Baseline: Start لا يدخل في التقدم",IF($K2264="No Start (attainment only)","ℹ تحصيل فقط (بدون Start)",IF($K2264="U – needs rule","ℹ حالة U تحتاج قاعدة معتمدة",IF($K2264="No result","ℹ بدون نتيجة (يُستبعد من التحصيل)","OK")))))))))))</f>
        <v/>
      </c>
      <c r="M2264" s="64" t="n">
        <f aca="false">IF($A2264="",0,IFERROR(MATCH($A2264,Classes!$A$6:$A$420,0),0))</f>
        <v>0</v>
      </c>
      <c r="N2264" s="64" t="n">
        <f aca="false">IF($H2264="",0,IFERROR(MATCH($H2264,GradeList,0),0))</f>
        <v>0</v>
      </c>
      <c r="O2264" s="64" t="n">
        <f aca="false">IF(OR($I2264="",$I2264="NR"),0,IFERROR(MATCH($I2264,GradeList,0),0))</f>
        <v>0</v>
      </c>
      <c r="P2264" s="64" t="n">
        <f aca="false">IF(AND($M2264&gt;0,ISNUMBER(MATCH($F2264,Lists!$A$2:$A$5,0)),ISNUMBER(MATCH($G2264,Lists!$B$2:$B$7,0)),OR($H2264="",$N2264&gt;0),OR($I2264="",$I2264="NR",$O2264&gt;0),IF(ISNUMBER($J2264),AND($J2264&gt;=0,$J2264=INT($J2264)),FALSE())),$J2264,0)</f>
        <v>0</v>
      </c>
      <c r="Q2264" s="64" t="n">
        <f aca="false">IF(AND($P2264&gt;0,$O2264&gt;0),$P2264,0)</f>
        <v>0</v>
      </c>
      <c r="R2264" s="64" t="n">
        <f aca="false">IF(AND($Q2264&gt;0,$O2264&gt;=AtRank),$Q2264,0)</f>
        <v>0</v>
      </c>
      <c r="S2264" s="64" t="n">
        <f aca="false">IF(AND($Q2264&gt;0,$O2264&gt;=AboveRank),$Q2264,0)</f>
        <v>0</v>
      </c>
      <c r="T2264" s="64" t="n">
        <f aca="false">IF($K2264="Less",$P2264,0)</f>
        <v>0</v>
      </c>
      <c r="U2264" s="64" t="n">
        <f aca="false">IF($K2264="Expected",$P2264,0)</f>
        <v>0</v>
      </c>
      <c r="V2264" s="64" t="n">
        <f aca="false">IF($K2264="Better",$P2264,0)</f>
        <v>0</v>
      </c>
      <c r="W2264" s="64" t="n">
        <f aca="false">IF($K2264="U – needs rule",$P2264,0)</f>
        <v>0</v>
      </c>
      <c r="X2264" s="64" t="n">
        <f aca="false">IF($K2264="No Start (attainment only)",$P2264,0)</f>
        <v>0</v>
      </c>
    </row>
    <row r="2265" customFormat="false" ht="15" hidden="false" customHeight="false" outlineLevel="0" collapsed="false">
      <c r="A2265" s="60"/>
      <c r="B2265" s="61" t="str">
        <f aca="false">IF($M2265=0,"",INDEX(Classes!$E$6:$E$420,$M2265))</f>
        <v/>
      </c>
      <c r="C2265" s="62" t="str">
        <f aca="false">IF($M2265=0,"",INDEX(Classes!$H$6:$H$420,$M2265))</f>
        <v/>
      </c>
      <c r="D2265" s="61" t="str">
        <f aca="false">IF($M2265=0,"",INDEX(Classes!$B$6:$B$420,$M2265))</f>
        <v/>
      </c>
      <c r="E2265" s="61" t="str">
        <f aca="false">IF($M2265=0,"",INDEX(Classes!$C$6:$C$420,$M2265))</f>
        <v/>
      </c>
      <c r="F2265" s="63"/>
      <c r="G2265" s="63"/>
      <c r="H2265" s="60"/>
      <c r="I2265" s="60"/>
      <c r="J2265" s="63"/>
      <c r="K2265" s="61" t="str">
        <f aca="false">IF($P2265=0,"",IF($F2265="Baseline","— Baseline",IF($O2265=0,"No result",IF($N2265=0,"No Start (attainment only)",IF(OR($N2265=1,$O2265=1),"U – needs rule",INDEX(MxBody,MATCH($I2265,MxCurr,0),MATCH($H2265,MxStart,0)))))))</f>
        <v/>
      </c>
      <c r="L2265" s="62" t="str">
        <f aca="false">IF(COUNTA($A2265,$F2265,$G2265,$H2265,$I2265,$J2265)=0,"",IF($M2265=0,"✖ كود الصف غير موجود",IF(ISNA(MATCH($F2265,Lists!$A$2:$A$5,0)),"✖ الفترة غير صحيحة",IF(ISNA(MATCH($G2265,Lists!$B$2:$B$7,0)),"✖ المجموعة غير صحيحة",IF(NOT(OR($H2265="",$N2265&gt;0)),"✖ Start غير صحيح",IF(NOT(OR($I2265="",$I2265="NR",$O2265&gt;0)),"✖ Current غير صحيح",IF(NOT(IF(ISNUMBER($J2265),AND($J2265&gt;=0,$J2265=INT($J2265)),FALSE())),"✖ العدد يجب أن يكون صحيحًا ≥ 0",IF(AND($F2265="Baseline",$H2265&lt;&gt;""),"⚠ Baseline: Start لا يدخل في التقدم",IF($K2265="No Start (attainment only)","ℹ تحصيل فقط (بدون Start)",IF($K2265="U – needs rule","ℹ حالة U تحتاج قاعدة معتمدة",IF($K2265="No result","ℹ بدون نتيجة (يُستبعد من التحصيل)","OK")))))))))))</f>
        <v/>
      </c>
      <c r="M2265" s="64" t="n">
        <f aca="false">IF($A2265="",0,IFERROR(MATCH($A2265,Classes!$A$6:$A$420,0),0))</f>
        <v>0</v>
      </c>
      <c r="N2265" s="64" t="n">
        <f aca="false">IF($H2265="",0,IFERROR(MATCH($H2265,GradeList,0),0))</f>
        <v>0</v>
      </c>
      <c r="O2265" s="64" t="n">
        <f aca="false">IF(OR($I2265="",$I2265="NR"),0,IFERROR(MATCH($I2265,GradeList,0),0))</f>
        <v>0</v>
      </c>
      <c r="P2265" s="64" t="n">
        <f aca="false">IF(AND($M2265&gt;0,ISNUMBER(MATCH($F2265,Lists!$A$2:$A$5,0)),ISNUMBER(MATCH($G2265,Lists!$B$2:$B$7,0)),OR($H2265="",$N2265&gt;0),OR($I2265="",$I2265="NR",$O2265&gt;0),IF(ISNUMBER($J2265),AND($J2265&gt;=0,$J2265=INT($J2265)),FALSE())),$J2265,0)</f>
        <v>0</v>
      </c>
      <c r="Q2265" s="64" t="n">
        <f aca="false">IF(AND($P2265&gt;0,$O2265&gt;0),$P2265,0)</f>
        <v>0</v>
      </c>
      <c r="R2265" s="64" t="n">
        <f aca="false">IF(AND($Q2265&gt;0,$O2265&gt;=AtRank),$Q2265,0)</f>
        <v>0</v>
      </c>
      <c r="S2265" s="64" t="n">
        <f aca="false">IF(AND($Q2265&gt;0,$O2265&gt;=AboveRank),$Q2265,0)</f>
        <v>0</v>
      </c>
      <c r="T2265" s="64" t="n">
        <f aca="false">IF($K2265="Less",$P2265,0)</f>
        <v>0</v>
      </c>
      <c r="U2265" s="64" t="n">
        <f aca="false">IF($K2265="Expected",$P2265,0)</f>
        <v>0</v>
      </c>
      <c r="V2265" s="64" t="n">
        <f aca="false">IF($K2265="Better",$P2265,0)</f>
        <v>0</v>
      </c>
      <c r="W2265" s="64" t="n">
        <f aca="false">IF($K2265="U – needs rule",$P2265,0)</f>
        <v>0</v>
      </c>
      <c r="X2265" s="64" t="n">
        <f aca="false">IF($K2265="No Start (attainment only)",$P2265,0)</f>
        <v>0</v>
      </c>
    </row>
    <row r="2266" customFormat="false" ht="15" hidden="false" customHeight="false" outlineLevel="0" collapsed="false">
      <c r="A2266" s="60"/>
      <c r="B2266" s="61" t="str">
        <f aca="false">IF($M2266=0,"",INDEX(Classes!$E$6:$E$420,$M2266))</f>
        <v/>
      </c>
      <c r="C2266" s="62" t="str">
        <f aca="false">IF($M2266=0,"",INDEX(Classes!$H$6:$H$420,$M2266))</f>
        <v/>
      </c>
      <c r="D2266" s="61" t="str">
        <f aca="false">IF($M2266=0,"",INDEX(Classes!$B$6:$B$420,$M2266))</f>
        <v/>
      </c>
      <c r="E2266" s="61" t="str">
        <f aca="false">IF($M2266=0,"",INDEX(Classes!$C$6:$C$420,$M2266))</f>
        <v/>
      </c>
      <c r="F2266" s="63"/>
      <c r="G2266" s="63"/>
      <c r="H2266" s="60"/>
      <c r="I2266" s="60"/>
      <c r="J2266" s="63"/>
      <c r="K2266" s="61" t="str">
        <f aca="false">IF($P2266=0,"",IF($F2266="Baseline","— Baseline",IF($O2266=0,"No result",IF($N2266=0,"No Start (attainment only)",IF(OR($N2266=1,$O2266=1),"U – needs rule",INDEX(MxBody,MATCH($I2266,MxCurr,0),MATCH($H2266,MxStart,0)))))))</f>
        <v/>
      </c>
      <c r="L2266" s="62" t="str">
        <f aca="false">IF(COUNTA($A2266,$F2266,$G2266,$H2266,$I2266,$J2266)=0,"",IF($M2266=0,"✖ كود الصف غير موجود",IF(ISNA(MATCH($F2266,Lists!$A$2:$A$5,0)),"✖ الفترة غير صحيحة",IF(ISNA(MATCH($G2266,Lists!$B$2:$B$7,0)),"✖ المجموعة غير صحيحة",IF(NOT(OR($H2266="",$N2266&gt;0)),"✖ Start غير صحيح",IF(NOT(OR($I2266="",$I2266="NR",$O2266&gt;0)),"✖ Current غير صحيح",IF(NOT(IF(ISNUMBER($J2266),AND($J2266&gt;=0,$J2266=INT($J2266)),FALSE())),"✖ العدد يجب أن يكون صحيحًا ≥ 0",IF(AND($F2266="Baseline",$H2266&lt;&gt;""),"⚠ Baseline: Start لا يدخل في التقدم",IF($K2266="No Start (attainment only)","ℹ تحصيل فقط (بدون Start)",IF($K2266="U – needs rule","ℹ حالة U تحتاج قاعدة معتمدة",IF($K2266="No result","ℹ بدون نتيجة (يُستبعد من التحصيل)","OK")))))))))))</f>
        <v/>
      </c>
      <c r="M2266" s="64" t="n">
        <f aca="false">IF($A2266="",0,IFERROR(MATCH($A2266,Classes!$A$6:$A$420,0),0))</f>
        <v>0</v>
      </c>
      <c r="N2266" s="64" t="n">
        <f aca="false">IF($H2266="",0,IFERROR(MATCH($H2266,GradeList,0),0))</f>
        <v>0</v>
      </c>
      <c r="O2266" s="64" t="n">
        <f aca="false">IF(OR($I2266="",$I2266="NR"),0,IFERROR(MATCH($I2266,GradeList,0),0))</f>
        <v>0</v>
      </c>
      <c r="P2266" s="64" t="n">
        <f aca="false">IF(AND($M2266&gt;0,ISNUMBER(MATCH($F2266,Lists!$A$2:$A$5,0)),ISNUMBER(MATCH($G2266,Lists!$B$2:$B$7,0)),OR($H2266="",$N2266&gt;0),OR($I2266="",$I2266="NR",$O2266&gt;0),IF(ISNUMBER($J2266),AND($J2266&gt;=0,$J2266=INT($J2266)),FALSE())),$J2266,0)</f>
        <v>0</v>
      </c>
      <c r="Q2266" s="64" t="n">
        <f aca="false">IF(AND($P2266&gt;0,$O2266&gt;0),$P2266,0)</f>
        <v>0</v>
      </c>
      <c r="R2266" s="64" t="n">
        <f aca="false">IF(AND($Q2266&gt;0,$O2266&gt;=AtRank),$Q2266,0)</f>
        <v>0</v>
      </c>
      <c r="S2266" s="64" t="n">
        <f aca="false">IF(AND($Q2266&gt;0,$O2266&gt;=AboveRank),$Q2266,0)</f>
        <v>0</v>
      </c>
      <c r="T2266" s="64" t="n">
        <f aca="false">IF($K2266="Less",$P2266,0)</f>
        <v>0</v>
      </c>
      <c r="U2266" s="64" t="n">
        <f aca="false">IF($K2266="Expected",$P2266,0)</f>
        <v>0</v>
      </c>
      <c r="V2266" s="64" t="n">
        <f aca="false">IF($K2266="Better",$P2266,0)</f>
        <v>0</v>
      </c>
      <c r="W2266" s="64" t="n">
        <f aca="false">IF($K2266="U – needs rule",$P2266,0)</f>
        <v>0</v>
      </c>
      <c r="X2266" s="64" t="n">
        <f aca="false">IF($K2266="No Start (attainment only)",$P2266,0)</f>
        <v>0</v>
      </c>
    </row>
    <row r="2267" customFormat="false" ht="15" hidden="false" customHeight="false" outlineLevel="0" collapsed="false">
      <c r="A2267" s="60"/>
      <c r="B2267" s="61" t="str">
        <f aca="false">IF($M2267=0,"",INDEX(Classes!$E$6:$E$420,$M2267))</f>
        <v/>
      </c>
      <c r="C2267" s="62" t="str">
        <f aca="false">IF($M2267=0,"",INDEX(Classes!$H$6:$H$420,$M2267))</f>
        <v/>
      </c>
      <c r="D2267" s="61" t="str">
        <f aca="false">IF($M2267=0,"",INDEX(Classes!$B$6:$B$420,$M2267))</f>
        <v/>
      </c>
      <c r="E2267" s="61" t="str">
        <f aca="false">IF($M2267=0,"",INDEX(Classes!$C$6:$C$420,$M2267))</f>
        <v/>
      </c>
      <c r="F2267" s="63"/>
      <c r="G2267" s="63"/>
      <c r="H2267" s="60"/>
      <c r="I2267" s="60"/>
      <c r="J2267" s="63"/>
      <c r="K2267" s="61" t="str">
        <f aca="false">IF($P2267=0,"",IF($F2267="Baseline","— Baseline",IF($O2267=0,"No result",IF($N2267=0,"No Start (attainment only)",IF(OR($N2267=1,$O2267=1),"U – needs rule",INDEX(MxBody,MATCH($I2267,MxCurr,0),MATCH($H2267,MxStart,0)))))))</f>
        <v/>
      </c>
      <c r="L2267" s="62" t="str">
        <f aca="false">IF(COUNTA($A2267,$F2267,$G2267,$H2267,$I2267,$J2267)=0,"",IF($M2267=0,"✖ كود الصف غير موجود",IF(ISNA(MATCH($F2267,Lists!$A$2:$A$5,0)),"✖ الفترة غير صحيحة",IF(ISNA(MATCH($G2267,Lists!$B$2:$B$7,0)),"✖ المجموعة غير صحيحة",IF(NOT(OR($H2267="",$N2267&gt;0)),"✖ Start غير صحيح",IF(NOT(OR($I2267="",$I2267="NR",$O2267&gt;0)),"✖ Current غير صحيح",IF(NOT(IF(ISNUMBER($J2267),AND($J2267&gt;=0,$J2267=INT($J2267)),FALSE())),"✖ العدد يجب أن يكون صحيحًا ≥ 0",IF(AND($F2267="Baseline",$H2267&lt;&gt;""),"⚠ Baseline: Start لا يدخل في التقدم",IF($K2267="No Start (attainment only)","ℹ تحصيل فقط (بدون Start)",IF($K2267="U – needs rule","ℹ حالة U تحتاج قاعدة معتمدة",IF($K2267="No result","ℹ بدون نتيجة (يُستبعد من التحصيل)","OK")))))))))))</f>
        <v/>
      </c>
      <c r="M2267" s="64" t="n">
        <f aca="false">IF($A2267="",0,IFERROR(MATCH($A2267,Classes!$A$6:$A$420,0),0))</f>
        <v>0</v>
      </c>
      <c r="N2267" s="64" t="n">
        <f aca="false">IF($H2267="",0,IFERROR(MATCH($H2267,GradeList,0),0))</f>
        <v>0</v>
      </c>
      <c r="O2267" s="64" t="n">
        <f aca="false">IF(OR($I2267="",$I2267="NR"),0,IFERROR(MATCH($I2267,GradeList,0),0))</f>
        <v>0</v>
      </c>
      <c r="P2267" s="64" t="n">
        <f aca="false">IF(AND($M2267&gt;0,ISNUMBER(MATCH($F2267,Lists!$A$2:$A$5,0)),ISNUMBER(MATCH($G2267,Lists!$B$2:$B$7,0)),OR($H2267="",$N2267&gt;0),OR($I2267="",$I2267="NR",$O2267&gt;0),IF(ISNUMBER($J2267),AND($J2267&gt;=0,$J2267=INT($J2267)),FALSE())),$J2267,0)</f>
        <v>0</v>
      </c>
      <c r="Q2267" s="64" t="n">
        <f aca="false">IF(AND($P2267&gt;0,$O2267&gt;0),$P2267,0)</f>
        <v>0</v>
      </c>
      <c r="R2267" s="64" t="n">
        <f aca="false">IF(AND($Q2267&gt;0,$O2267&gt;=AtRank),$Q2267,0)</f>
        <v>0</v>
      </c>
      <c r="S2267" s="64" t="n">
        <f aca="false">IF(AND($Q2267&gt;0,$O2267&gt;=AboveRank),$Q2267,0)</f>
        <v>0</v>
      </c>
      <c r="T2267" s="64" t="n">
        <f aca="false">IF($K2267="Less",$P2267,0)</f>
        <v>0</v>
      </c>
      <c r="U2267" s="64" t="n">
        <f aca="false">IF($K2267="Expected",$P2267,0)</f>
        <v>0</v>
      </c>
      <c r="V2267" s="64" t="n">
        <f aca="false">IF($K2267="Better",$P2267,0)</f>
        <v>0</v>
      </c>
      <c r="W2267" s="64" t="n">
        <f aca="false">IF($K2267="U – needs rule",$P2267,0)</f>
        <v>0</v>
      </c>
      <c r="X2267" s="64" t="n">
        <f aca="false">IF($K2267="No Start (attainment only)",$P2267,0)</f>
        <v>0</v>
      </c>
    </row>
    <row r="2268" customFormat="false" ht="15" hidden="false" customHeight="false" outlineLevel="0" collapsed="false">
      <c r="A2268" s="60"/>
      <c r="B2268" s="61" t="str">
        <f aca="false">IF($M2268=0,"",INDEX(Classes!$E$6:$E$420,$M2268))</f>
        <v/>
      </c>
      <c r="C2268" s="62" t="str">
        <f aca="false">IF($M2268=0,"",INDEX(Classes!$H$6:$H$420,$M2268))</f>
        <v/>
      </c>
      <c r="D2268" s="61" t="str">
        <f aca="false">IF($M2268=0,"",INDEX(Classes!$B$6:$B$420,$M2268))</f>
        <v/>
      </c>
      <c r="E2268" s="61" t="str">
        <f aca="false">IF($M2268=0,"",INDEX(Classes!$C$6:$C$420,$M2268))</f>
        <v/>
      </c>
      <c r="F2268" s="63"/>
      <c r="G2268" s="63"/>
      <c r="H2268" s="60"/>
      <c r="I2268" s="60"/>
      <c r="J2268" s="63"/>
      <c r="K2268" s="61" t="str">
        <f aca="false">IF($P2268=0,"",IF($F2268="Baseline","— Baseline",IF($O2268=0,"No result",IF($N2268=0,"No Start (attainment only)",IF(OR($N2268=1,$O2268=1),"U – needs rule",INDEX(MxBody,MATCH($I2268,MxCurr,0),MATCH($H2268,MxStart,0)))))))</f>
        <v/>
      </c>
      <c r="L2268" s="62" t="str">
        <f aca="false">IF(COUNTA($A2268,$F2268,$G2268,$H2268,$I2268,$J2268)=0,"",IF($M2268=0,"✖ كود الصف غير موجود",IF(ISNA(MATCH($F2268,Lists!$A$2:$A$5,0)),"✖ الفترة غير صحيحة",IF(ISNA(MATCH($G2268,Lists!$B$2:$B$7,0)),"✖ المجموعة غير صحيحة",IF(NOT(OR($H2268="",$N2268&gt;0)),"✖ Start غير صحيح",IF(NOT(OR($I2268="",$I2268="NR",$O2268&gt;0)),"✖ Current غير صحيح",IF(NOT(IF(ISNUMBER($J2268),AND($J2268&gt;=0,$J2268=INT($J2268)),FALSE())),"✖ العدد يجب أن يكون صحيحًا ≥ 0",IF(AND($F2268="Baseline",$H2268&lt;&gt;""),"⚠ Baseline: Start لا يدخل في التقدم",IF($K2268="No Start (attainment only)","ℹ تحصيل فقط (بدون Start)",IF($K2268="U – needs rule","ℹ حالة U تحتاج قاعدة معتمدة",IF($K2268="No result","ℹ بدون نتيجة (يُستبعد من التحصيل)","OK")))))))))))</f>
        <v/>
      </c>
      <c r="M2268" s="64" t="n">
        <f aca="false">IF($A2268="",0,IFERROR(MATCH($A2268,Classes!$A$6:$A$420,0),0))</f>
        <v>0</v>
      </c>
      <c r="N2268" s="64" t="n">
        <f aca="false">IF($H2268="",0,IFERROR(MATCH($H2268,GradeList,0),0))</f>
        <v>0</v>
      </c>
      <c r="O2268" s="64" t="n">
        <f aca="false">IF(OR($I2268="",$I2268="NR"),0,IFERROR(MATCH($I2268,GradeList,0),0))</f>
        <v>0</v>
      </c>
      <c r="P2268" s="64" t="n">
        <f aca="false">IF(AND($M2268&gt;0,ISNUMBER(MATCH($F2268,Lists!$A$2:$A$5,0)),ISNUMBER(MATCH($G2268,Lists!$B$2:$B$7,0)),OR($H2268="",$N2268&gt;0),OR($I2268="",$I2268="NR",$O2268&gt;0),IF(ISNUMBER($J2268),AND($J2268&gt;=0,$J2268=INT($J2268)),FALSE())),$J2268,0)</f>
        <v>0</v>
      </c>
      <c r="Q2268" s="64" t="n">
        <f aca="false">IF(AND($P2268&gt;0,$O2268&gt;0),$P2268,0)</f>
        <v>0</v>
      </c>
      <c r="R2268" s="64" t="n">
        <f aca="false">IF(AND($Q2268&gt;0,$O2268&gt;=AtRank),$Q2268,0)</f>
        <v>0</v>
      </c>
      <c r="S2268" s="64" t="n">
        <f aca="false">IF(AND($Q2268&gt;0,$O2268&gt;=AboveRank),$Q2268,0)</f>
        <v>0</v>
      </c>
      <c r="T2268" s="64" t="n">
        <f aca="false">IF($K2268="Less",$P2268,0)</f>
        <v>0</v>
      </c>
      <c r="U2268" s="64" t="n">
        <f aca="false">IF($K2268="Expected",$P2268,0)</f>
        <v>0</v>
      </c>
      <c r="V2268" s="64" t="n">
        <f aca="false">IF($K2268="Better",$P2268,0)</f>
        <v>0</v>
      </c>
      <c r="W2268" s="64" t="n">
        <f aca="false">IF($K2268="U – needs rule",$P2268,0)</f>
        <v>0</v>
      </c>
      <c r="X2268" s="64" t="n">
        <f aca="false">IF($K2268="No Start (attainment only)",$P2268,0)</f>
        <v>0</v>
      </c>
    </row>
    <row r="2269" customFormat="false" ht="15" hidden="false" customHeight="false" outlineLevel="0" collapsed="false">
      <c r="A2269" s="60"/>
      <c r="B2269" s="61" t="str">
        <f aca="false">IF($M2269=0,"",INDEX(Classes!$E$6:$E$420,$M2269))</f>
        <v/>
      </c>
      <c r="C2269" s="62" t="str">
        <f aca="false">IF($M2269=0,"",INDEX(Classes!$H$6:$H$420,$M2269))</f>
        <v/>
      </c>
      <c r="D2269" s="61" t="str">
        <f aca="false">IF($M2269=0,"",INDEX(Classes!$B$6:$B$420,$M2269))</f>
        <v/>
      </c>
      <c r="E2269" s="61" t="str">
        <f aca="false">IF($M2269=0,"",INDEX(Classes!$C$6:$C$420,$M2269))</f>
        <v/>
      </c>
      <c r="F2269" s="63"/>
      <c r="G2269" s="63"/>
      <c r="H2269" s="60"/>
      <c r="I2269" s="60"/>
      <c r="J2269" s="63"/>
      <c r="K2269" s="61" t="str">
        <f aca="false">IF($P2269=0,"",IF($F2269="Baseline","— Baseline",IF($O2269=0,"No result",IF($N2269=0,"No Start (attainment only)",IF(OR($N2269=1,$O2269=1),"U – needs rule",INDEX(MxBody,MATCH($I2269,MxCurr,0),MATCH($H2269,MxStart,0)))))))</f>
        <v/>
      </c>
      <c r="L2269" s="62" t="str">
        <f aca="false">IF(COUNTA($A2269,$F2269,$G2269,$H2269,$I2269,$J2269)=0,"",IF($M2269=0,"✖ كود الصف غير موجود",IF(ISNA(MATCH($F2269,Lists!$A$2:$A$5,0)),"✖ الفترة غير صحيحة",IF(ISNA(MATCH($G2269,Lists!$B$2:$B$7,0)),"✖ المجموعة غير صحيحة",IF(NOT(OR($H2269="",$N2269&gt;0)),"✖ Start غير صحيح",IF(NOT(OR($I2269="",$I2269="NR",$O2269&gt;0)),"✖ Current غير صحيح",IF(NOT(IF(ISNUMBER($J2269),AND($J2269&gt;=0,$J2269=INT($J2269)),FALSE())),"✖ العدد يجب أن يكون صحيحًا ≥ 0",IF(AND($F2269="Baseline",$H2269&lt;&gt;""),"⚠ Baseline: Start لا يدخل في التقدم",IF($K2269="No Start (attainment only)","ℹ تحصيل فقط (بدون Start)",IF($K2269="U – needs rule","ℹ حالة U تحتاج قاعدة معتمدة",IF($K2269="No result","ℹ بدون نتيجة (يُستبعد من التحصيل)","OK")))))))))))</f>
        <v/>
      </c>
      <c r="M2269" s="64" t="n">
        <f aca="false">IF($A2269="",0,IFERROR(MATCH($A2269,Classes!$A$6:$A$420,0),0))</f>
        <v>0</v>
      </c>
      <c r="N2269" s="64" t="n">
        <f aca="false">IF($H2269="",0,IFERROR(MATCH($H2269,GradeList,0),0))</f>
        <v>0</v>
      </c>
      <c r="O2269" s="64" t="n">
        <f aca="false">IF(OR($I2269="",$I2269="NR"),0,IFERROR(MATCH($I2269,GradeList,0),0))</f>
        <v>0</v>
      </c>
      <c r="P2269" s="64" t="n">
        <f aca="false">IF(AND($M2269&gt;0,ISNUMBER(MATCH($F2269,Lists!$A$2:$A$5,0)),ISNUMBER(MATCH($G2269,Lists!$B$2:$B$7,0)),OR($H2269="",$N2269&gt;0),OR($I2269="",$I2269="NR",$O2269&gt;0),IF(ISNUMBER($J2269),AND($J2269&gt;=0,$J2269=INT($J2269)),FALSE())),$J2269,0)</f>
        <v>0</v>
      </c>
      <c r="Q2269" s="64" t="n">
        <f aca="false">IF(AND($P2269&gt;0,$O2269&gt;0),$P2269,0)</f>
        <v>0</v>
      </c>
      <c r="R2269" s="64" t="n">
        <f aca="false">IF(AND($Q2269&gt;0,$O2269&gt;=AtRank),$Q2269,0)</f>
        <v>0</v>
      </c>
      <c r="S2269" s="64" t="n">
        <f aca="false">IF(AND($Q2269&gt;0,$O2269&gt;=AboveRank),$Q2269,0)</f>
        <v>0</v>
      </c>
      <c r="T2269" s="64" t="n">
        <f aca="false">IF($K2269="Less",$P2269,0)</f>
        <v>0</v>
      </c>
      <c r="U2269" s="64" t="n">
        <f aca="false">IF($K2269="Expected",$P2269,0)</f>
        <v>0</v>
      </c>
      <c r="V2269" s="64" t="n">
        <f aca="false">IF($K2269="Better",$P2269,0)</f>
        <v>0</v>
      </c>
      <c r="W2269" s="64" t="n">
        <f aca="false">IF($K2269="U – needs rule",$P2269,0)</f>
        <v>0</v>
      </c>
      <c r="X2269" s="64" t="n">
        <f aca="false">IF($K2269="No Start (attainment only)",$P2269,0)</f>
        <v>0</v>
      </c>
    </row>
    <row r="2270" customFormat="false" ht="15" hidden="false" customHeight="false" outlineLevel="0" collapsed="false">
      <c r="A2270" s="60"/>
      <c r="B2270" s="61" t="str">
        <f aca="false">IF($M2270=0,"",INDEX(Classes!$E$6:$E$420,$M2270))</f>
        <v/>
      </c>
      <c r="C2270" s="62" t="str">
        <f aca="false">IF($M2270=0,"",INDEX(Classes!$H$6:$H$420,$M2270))</f>
        <v/>
      </c>
      <c r="D2270" s="61" t="str">
        <f aca="false">IF($M2270=0,"",INDEX(Classes!$B$6:$B$420,$M2270))</f>
        <v/>
      </c>
      <c r="E2270" s="61" t="str">
        <f aca="false">IF($M2270=0,"",INDEX(Classes!$C$6:$C$420,$M2270))</f>
        <v/>
      </c>
      <c r="F2270" s="63"/>
      <c r="G2270" s="63"/>
      <c r="H2270" s="60"/>
      <c r="I2270" s="60"/>
      <c r="J2270" s="63"/>
      <c r="K2270" s="61" t="str">
        <f aca="false">IF($P2270=0,"",IF($F2270="Baseline","— Baseline",IF($O2270=0,"No result",IF($N2270=0,"No Start (attainment only)",IF(OR($N2270=1,$O2270=1),"U – needs rule",INDEX(MxBody,MATCH($I2270,MxCurr,0),MATCH($H2270,MxStart,0)))))))</f>
        <v/>
      </c>
      <c r="L2270" s="62" t="str">
        <f aca="false">IF(COUNTA($A2270,$F2270,$G2270,$H2270,$I2270,$J2270)=0,"",IF($M2270=0,"✖ كود الصف غير موجود",IF(ISNA(MATCH($F2270,Lists!$A$2:$A$5,0)),"✖ الفترة غير صحيحة",IF(ISNA(MATCH($G2270,Lists!$B$2:$B$7,0)),"✖ المجموعة غير صحيحة",IF(NOT(OR($H2270="",$N2270&gt;0)),"✖ Start غير صحيح",IF(NOT(OR($I2270="",$I2270="NR",$O2270&gt;0)),"✖ Current غير صحيح",IF(NOT(IF(ISNUMBER($J2270),AND($J2270&gt;=0,$J2270=INT($J2270)),FALSE())),"✖ العدد يجب أن يكون صحيحًا ≥ 0",IF(AND($F2270="Baseline",$H2270&lt;&gt;""),"⚠ Baseline: Start لا يدخل في التقدم",IF($K2270="No Start (attainment only)","ℹ تحصيل فقط (بدون Start)",IF($K2270="U – needs rule","ℹ حالة U تحتاج قاعدة معتمدة",IF($K2270="No result","ℹ بدون نتيجة (يُستبعد من التحصيل)","OK")))))))))))</f>
        <v/>
      </c>
      <c r="M2270" s="64" t="n">
        <f aca="false">IF($A2270="",0,IFERROR(MATCH($A2270,Classes!$A$6:$A$420,0),0))</f>
        <v>0</v>
      </c>
      <c r="N2270" s="64" t="n">
        <f aca="false">IF($H2270="",0,IFERROR(MATCH($H2270,GradeList,0),0))</f>
        <v>0</v>
      </c>
      <c r="O2270" s="64" t="n">
        <f aca="false">IF(OR($I2270="",$I2270="NR"),0,IFERROR(MATCH($I2270,GradeList,0),0))</f>
        <v>0</v>
      </c>
      <c r="P2270" s="64" t="n">
        <f aca="false">IF(AND($M2270&gt;0,ISNUMBER(MATCH($F2270,Lists!$A$2:$A$5,0)),ISNUMBER(MATCH($G2270,Lists!$B$2:$B$7,0)),OR($H2270="",$N2270&gt;0),OR($I2270="",$I2270="NR",$O2270&gt;0),IF(ISNUMBER($J2270),AND($J2270&gt;=0,$J2270=INT($J2270)),FALSE())),$J2270,0)</f>
        <v>0</v>
      </c>
      <c r="Q2270" s="64" t="n">
        <f aca="false">IF(AND($P2270&gt;0,$O2270&gt;0),$P2270,0)</f>
        <v>0</v>
      </c>
      <c r="R2270" s="64" t="n">
        <f aca="false">IF(AND($Q2270&gt;0,$O2270&gt;=AtRank),$Q2270,0)</f>
        <v>0</v>
      </c>
      <c r="S2270" s="64" t="n">
        <f aca="false">IF(AND($Q2270&gt;0,$O2270&gt;=AboveRank),$Q2270,0)</f>
        <v>0</v>
      </c>
      <c r="T2270" s="64" t="n">
        <f aca="false">IF($K2270="Less",$P2270,0)</f>
        <v>0</v>
      </c>
      <c r="U2270" s="64" t="n">
        <f aca="false">IF($K2270="Expected",$P2270,0)</f>
        <v>0</v>
      </c>
      <c r="V2270" s="64" t="n">
        <f aca="false">IF($K2270="Better",$P2270,0)</f>
        <v>0</v>
      </c>
      <c r="W2270" s="64" t="n">
        <f aca="false">IF($K2270="U – needs rule",$P2270,0)</f>
        <v>0</v>
      </c>
      <c r="X2270" s="64" t="n">
        <f aca="false">IF($K2270="No Start (attainment only)",$P2270,0)</f>
        <v>0</v>
      </c>
    </row>
    <row r="2271" customFormat="false" ht="15" hidden="false" customHeight="false" outlineLevel="0" collapsed="false">
      <c r="A2271" s="60"/>
      <c r="B2271" s="61" t="str">
        <f aca="false">IF($M2271=0,"",INDEX(Classes!$E$6:$E$420,$M2271))</f>
        <v/>
      </c>
      <c r="C2271" s="62" t="str">
        <f aca="false">IF($M2271=0,"",INDEX(Classes!$H$6:$H$420,$M2271))</f>
        <v/>
      </c>
      <c r="D2271" s="61" t="str">
        <f aca="false">IF($M2271=0,"",INDEX(Classes!$B$6:$B$420,$M2271))</f>
        <v/>
      </c>
      <c r="E2271" s="61" t="str">
        <f aca="false">IF($M2271=0,"",INDEX(Classes!$C$6:$C$420,$M2271))</f>
        <v/>
      </c>
      <c r="F2271" s="63"/>
      <c r="G2271" s="63"/>
      <c r="H2271" s="60"/>
      <c r="I2271" s="60"/>
      <c r="J2271" s="63"/>
      <c r="K2271" s="61" t="str">
        <f aca="false">IF($P2271=0,"",IF($F2271="Baseline","— Baseline",IF($O2271=0,"No result",IF($N2271=0,"No Start (attainment only)",IF(OR($N2271=1,$O2271=1),"U – needs rule",INDEX(MxBody,MATCH($I2271,MxCurr,0),MATCH($H2271,MxStart,0)))))))</f>
        <v/>
      </c>
      <c r="L2271" s="62" t="str">
        <f aca="false">IF(COUNTA($A2271,$F2271,$G2271,$H2271,$I2271,$J2271)=0,"",IF($M2271=0,"✖ كود الصف غير موجود",IF(ISNA(MATCH($F2271,Lists!$A$2:$A$5,0)),"✖ الفترة غير صحيحة",IF(ISNA(MATCH($G2271,Lists!$B$2:$B$7,0)),"✖ المجموعة غير صحيحة",IF(NOT(OR($H2271="",$N2271&gt;0)),"✖ Start غير صحيح",IF(NOT(OR($I2271="",$I2271="NR",$O2271&gt;0)),"✖ Current غير صحيح",IF(NOT(IF(ISNUMBER($J2271),AND($J2271&gt;=0,$J2271=INT($J2271)),FALSE())),"✖ العدد يجب أن يكون صحيحًا ≥ 0",IF(AND($F2271="Baseline",$H2271&lt;&gt;""),"⚠ Baseline: Start لا يدخل في التقدم",IF($K2271="No Start (attainment only)","ℹ تحصيل فقط (بدون Start)",IF($K2271="U – needs rule","ℹ حالة U تحتاج قاعدة معتمدة",IF($K2271="No result","ℹ بدون نتيجة (يُستبعد من التحصيل)","OK")))))))))))</f>
        <v/>
      </c>
      <c r="M2271" s="64" t="n">
        <f aca="false">IF($A2271="",0,IFERROR(MATCH($A2271,Classes!$A$6:$A$420,0),0))</f>
        <v>0</v>
      </c>
      <c r="N2271" s="64" t="n">
        <f aca="false">IF($H2271="",0,IFERROR(MATCH($H2271,GradeList,0),0))</f>
        <v>0</v>
      </c>
      <c r="O2271" s="64" t="n">
        <f aca="false">IF(OR($I2271="",$I2271="NR"),0,IFERROR(MATCH($I2271,GradeList,0),0))</f>
        <v>0</v>
      </c>
      <c r="P2271" s="64" t="n">
        <f aca="false">IF(AND($M2271&gt;0,ISNUMBER(MATCH($F2271,Lists!$A$2:$A$5,0)),ISNUMBER(MATCH($G2271,Lists!$B$2:$B$7,0)),OR($H2271="",$N2271&gt;0),OR($I2271="",$I2271="NR",$O2271&gt;0),IF(ISNUMBER($J2271),AND($J2271&gt;=0,$J2271=INT($J2271)),FALSE())),$J2271,0)</f>
        <v>0</v>
      </c>
      <c r="Q2271" s="64" t="n">
        <f aca="false">IF(AND($P2271&gt;0,$O2271&gt;0),$P2271,0)</f>
        <v>0</v>
      </c>
      <c r="R2271" s="64" t="n">
        <f aca="false">IF(AND($Q2271&gt;0,$O2271&gt;=AtRank),$Q2271,0)</f>
        <v>0</v>
      </c>
      <c r="S2271" s="64" t="n">
        <f aca="false">IF(AND($Q2271&gt;0,$O2271&gt;=AboveRank),$Q2271,0)</f>
        <v>0</v>
      </c>
      <c r="T2271" s="64" t="n">
        <f aca="false">IF($K2271="Less",$P2271,0)</f>
        <v>0</v>
      </c>
      <c r="U2271" s="64" t="n">
        <f aca="false">IF($K2271="Expected",$P2271,0)</f>
        <v>0</v>
      </c>
      <c r="V2271" s="64" t="n">
        <f aca="false">IF($K2271="Better",$P2271,0)</f>
        <v>0</v>
      </c>
      <c r="W2271" s="64" t="n">
        <f aca="false">IF($K2271="U – needs rule",$P2271,0)</f>
        <v>0</v>
      </c>
      <c r="X2271" s="64" t="n">
        <f aca="false">IF($K2271="No Start (attainment only)",$P2271,0)</f>
        <v>0</v>
      </c>
    </row>
    <row r="2272" customFormat="false" ht="15" hidden="false" customHeight="false" outlineLevel="0" collapsed="false">
      <c r="A2272" s="60"/>
      <c r="B2272" s="61" t="str">
        <f aca="false">IF($M2272=0,"",INDEX(Classes!$E$6:$E$420,$M2272))</f>
        <v/>
      </c>
      <c r="C2272" s="62" t="str">
        <f aca="false">IF($M2272=0,"",INDEX(Classes!$H$6:$H$420,$M2272))</f>
        <v/>
      </c>
      <c r="D2272" s="61" t="str">
        <f aca="false">IF($M2272=0,"",INDEX(Classes!$B$6:$B$420,$M2272))</f>
        <v/>
      </c>
      <c r="E2272" s="61" t="str">
        <f aca="false">IF($M2272=0,"",INDEX(Classes!$C$6:$C$420,$M2272))</f>
        <v/>
      </c>
      <c r="F2272" s="63"/>
      <c r="G2272" s="63"/>
      <c r="H2272" s="60"/>
      <c r="I2272" s="60"/>
      <c r="J2272" s="63"/>
      <c r="K2272" s="61" t="str">
        <f aca="false">IF($P2272=0,"",IF($F2272="Baseline","— Baseline",IF($O2272=0,"No result",IF($N2272=0,"No Start (attainment only)",IF(OR($N2272=1,$O2272=1),"U – needs rule",INDEX(MxBody,MATCH($I2272,MxCurr,0),MATCH($H2272,MxStart,0)))))))</f>
        <v/>
      </c>
      <c r="L2272" s="62" t="str">
        <f aca="false">IF(COUNTA($A2272,$F2272,$G2272,$H2272,$I2272,$J2272)=0,"",IF($M2272=0,"✖ كود الصف غير موجود",IF(ISNA(MATCH($F2272,Lists!$A$2:$A$5,0)),"✖ الفترة غير صحيحة",IF(ISNA(MATCH($G2272,Lists!$B$2:$B$7,0)),"✖ المجموعة غير صحيحة",IF(NOT(OR($H2272="",$N2272&gt;0)),"✖ Start غير صحيح",IF(NOT(OR($I2272="",$I2272="NR",$O2272&gt;0)),"✖ Current غير صحيح",IF(NOT(IF(ISNUMBER($J2272),AND($J2272&gt;=0,$J2272=INT($J2272)),FALSE())),"✖ العدد يجب أن يكون صحيحًا ≥ 0",IF(AND($F2272="Baseline",$H2272&lt;&gt;""),"⚠ Baseline: Start لا يدخل في التقدم",IF($K2272="No Start (attainment only)","ℹ تحصيل فقط (بدون Start)",IF($K2272="U – needs rule","ℹ حالة U تحتاج قاعدة معتمدة",IF($K2272="No result","ℹ بدون نتيجة (يُستبعد من التحصيل)","OK")))))))))))</f>
        <v/>
      </c>
      <c r="M2272" s="64" t="n">
        <f aca="false">IF($A2272="",0,IFERROR(MATCH($A2272,Classes!$A$6:$A$420,0),0))</f>
        <v>0</v>
      </c>
      <c r="N2272" s="64" t="n">
        <f aca="false">IF($H2272="",0,IFERROR(MATCH($H2272,GradeList,0),0))</f>
        <v>0</v>
      </c>
      <c r="O2272" s="64" t="n">
        <f aca="false">IF(OR($I2272="",$I2272="NR"),0,IFERROR(MATCH($I2272,GradeList,0),0))</f>
        <v>0</v>
      </c>
      <c r="P2272" s="64" t="n">
        <f aca="false">IF(AND($M2272&gt;0,ISNUMBER(MATCH($F2272,Lists!$A$2:$A$5,0)),ISNUMBER(MATCH($G2272,Lists!$B$2:$B$7,0)),OR($H2272="",$N2272&gt;0),OR($I2272="",$I2272="NR",$O2272&gt;0),IF(ISNUMBER($J2272),AND($J2272&gt;=0,$J2272=INT($J2272)),FALSE())),$J2272,0)</f>
        <v>0</v>
      </c>
      <c r="Q2272" s="64" t="n">
        <f aca="false">IF(AND($P2272&gt;0,$O2272&gt;0),$P2272,0)</f>
        <v>0</v>
      </c>
      <c r="R2272" s="64" t="n">
        <f aca="false">IF(AND($Q2272&gt;0,$O2272&gt;=AtRank),$Q2272,0)</f>
        <v>0</v>
      </c>
      <c r="S2272" s="64" t="n">
        <f aca="false">IF(AND($Q2272&gt;0,$O2272&gt;=AboveRank),$Q2272,0)</f>
        <v>0</v>
      </c>
      <c r="T2272" s="64" t="n">
        <f aca="false">IF($K2272="Less",$P2272,0)</f>
        <v>0</v>
      </c>
      <c r="U2272" s="64" t="n">
        <f aca="false">IF($K2272="Expected",$P2272,0)</f>
        <v>0</v>
      </c>
      <c r="V2272" s="64" t="n">
        <f aca="false">IF($K2272="Better",$P2272,0)</f>
        <v>0</v>
      </c>
      <c r="W2272" s="64" t="n">
        <f aca="false">IF($K2272="U – needs rule",$P2272,0)</f>
        <v>0</v>
      </c>
      <c r="X2272" s="64" t="n">
        <f aca="false">IF($K2272="No Start (attainment only)",$P2272,0)</f>
        <v>0</v>
      </c>
    </row>
    <row r="2273" customFormat="false" ht="15" hidden="false" customHeight="false" outlineLevel="0" collapsed="false">
      <c r="A2273" s="60"/>
      <c r="B2273" s="61" t="str">
        <f aca="false">IF($M2273=0,"",INDEX(Classes!$E$6:$E$420,$M2273))</f>
        <v/>
      </c>
      <c r="C2273" s="62" t="str">
        <f aca="false">IF($M2273=0,"",INDEX(Classes!$H$6:$H$420,$M2273))</f>
        <v/>
      </c>
      <c r="D2273" s="61" t="str">
        <f aca="false">IF($M2273=0,"",INDEX(Classes!$B$6:$B$420,$M2273))</f>
        <v/>
      </c>
      <c r="E2273" s="61" t="str">
        <f aca="false">IF($M2273=0,"",INDEX(Classes!$C$6:$C$420,$M2273))</f>
        <v/>
      </c>
      <c r="F2273" s="63"/>
      <c r="G2273" s="63"/>
      <c r="H2273" s="60"/>
      <c r="I2273" s="60"/>
      <c r="J2273" s="63"/>
      <c r="K2273" s="61" t="str">
        <f aca="false">IF($P2273=0,"",IF($F2273="Baseline","— Baseline",IF($O2273=0,"No result",IF($N2273=0,"No Start (attainment only)",IF(OR($N2273=1,$O2273=1),"U – needs rule",INDEX(MxBody,MATCH($I2273,MxCurr,0),MATCH($H2273,MxStart,0)))))))</f>
        <v/>
      </c>
      <c r="L2273" s="62" t="str">
        <f aca="false">IF(COUNTA($A2273,$F2273,$G2273,$H2273,$I2273,$J2273)=0,"",IF($M2273=0,"✖ كود الصف غير موجود",IF(ISNA(MATCH($F2273,Lists!$A$2:$A$5,0)),"✖ الفترة غير صحيحة",IF(ISNA(MATCH($G2273,Lists!$B$2:$B$7,0)),"✖ المجموعة غير صحيحة",IF(NOT(OR($H2273="",$N2273&gt;0)),"✖ Start غير صحيح",IF(NOT(OR($I2273="",$I2273="NR",$O2273&gt;0)),"✖ Current غير صحيح",IF(NOT(IF(ISNUMBER($J2273),AND($J2273&gt;=0,$J2273=INT($J2273)),FALSE())),"✖ العدد يجب أن يكون صحيحًا ≥ 0",IF(AND($F2273="Baseline",$H2273&lt;&gt;""),"⚠ Baseline: Start لا يدخل في التقدم",IF($K2273="No Start (attainment only)","ℹ تحصيل فقط (بدون Start)",IF($K2273="U – needs rule","ℹ حالة U تحتاج قاعدة معتمدة",IF($K2273="No result","ℹ بدون نتيجة (يُستبعد من التحصيل)","OK")))))))))))</f>
        <v/>
      </c>
      <c r="M2273" s="64" t="n">
        <f aca="false">IF($A2273="",0,IFERROR(MATCH($A2273,Classes!$A$6:$A$420,0),0))</f>
        <v>0</v>
      </c>
      <c r="N2273" s="64" t="n">
        <f aca="false">IF($H2273="",0,IFERROR(MATCH($H2273,GradeList,0),0))</f>
        <v>0</v>
      </c>
      <c r="O2273" s="64" t="n">
        <f aca="false">IF(OR($I2273="",$I2273="NR"),0,IFERROR(MATCH($I2273,GradeList,0),0))</f>
        <v>0</v>
      </c>
      <c r="P2273" s="64" t="n">
        <f aca="false">IF(AND($M2273&gt;0,ISNUMBER(MATCH($F2273,Lists!$A$2:$A$5,0)),ISNUMBER(MATCH($G2273,Lists!$B$2:$B$7,0)),OR($H2273="",$N2273&gt;0),OR($I2273="",$I2273="NR",$O2273&gt;0),IF(ISNUMBER($J2273),AND($J2273&gt;=0,$J2273=INT($J2273)),FALSE())),$J2273,0)</f>
        <v>0</v>
      </c>
      <c r="Q2273" s="64" t="n">
        <f aca="false">IF(AND($P2273&gt;0,$O2273&gt;0),$P2273,0)</f>
        <v>0</v>
      </c>
      <c r="R2273" s="64" t="n">
        <f aca="false">IF(AND($Q2273&gt;0,$O2273&gt;=AtRank),$Q2273,0)</f>
        <v>0</v>
      </c>
      <c r="S2273" s="64" t="n">
        <f aca="false">IF(AND($Q2273&gt;0,$O2273&gt;=AboveRank),$Q2273,0)</f>
        <v>0</v>
      </c>
      <c r="T2273" s="64" t="n">
        <f aca="false">IF($K2273="Less",$P2273,0)</f>
        <v>0</v>
      </c>
      <c r="U2273" s="64" t="n">
        <f aca="false">IF($K2273="Expected",$P2273,0)</f>
        <v>0</v>
      </c>
      <c r="V2273" s="64" t="n">
        <f aca="false">IF($K2273="Better",$P2273,0)</f>
        <v>0</v>
      </c>
      <c r="W2273" s="64" t="n">
        <f aca="false">IF($K2273="U – needs rule",$P2273,0)</f>
        <v>0</v>
      </c>
      <c r="X2273" s="64" t="n">
        <f aca="false">IF($K2273="No Start (attainment only)",$P2273,0)</f>
        <v>0</v>
      </c>
    </row>
    <row r="2274" customFormat="false" ht="15" hidden="false" customHeight="false" outlineLevel="0" collapsed="false">
      <c r="A2274" s="60"/>
      <c r="B2274" s="61" t="str">
        <f aca="false">IF($M2274=0,"",INDEX(Classes!$E$6:$E$420,$M2274))</f>
        <v/>
      </c>
      <c r="C2274" s="62" t="str">
        <f aca="false">IF($M2274=0,"",INDEX(Classes!$H$6:$H$420,$M2274))</f>
        <v/>
      </c>
      <c r="D2274" s="61" t="str">
        <f aca="false">IF($M2274=0,"",INDEX(Classes!$B$6:$B$420,$M2274))</f>
        <v/>
      </c>
      <c r="E2274" s="61" t="str">
        <f aca="false">IF($M2274=0,"",INDEX(Classes!$C$6:$C$420,$M2274))</f>
        <v/>
      </c>
      <c r="F2274" s="63"/>
      <c r="G2274" s="63"/>
      <c r="H2274" s="60"/>
      <c r="I2274" s="60"/>
      <c r="J2274" s="63"/>
      <c r="K2274" s="61" t="str">
        <f aca="false">IF($P2274=0,"",IF($F2274="Baseline","— Baseline",IF($O2274=0,"No result",IF($N2274=0,"No Start (attainment only)",IF(OR($N2274=1,$O2274=1),"U – needs rule",INDEX(MxBody,MATCH($I2274,MxCurr,0),MATCH($H2274,MxStart,0)))))))</f>
        <v/>
      </c>
      <c r="L2274" s="62" t="str">
        <f aca="false">IF(COUNTA($A2274,$F2274,$G2274,$H2274,$I2274,$J2274)=0,"",IF($M2274=0,"✖ كود الصف غير موجود",IF(ISNA(MATCH($F2274,Lists!$A$2:$A$5,0)),"✖ الفترة غير صحيحة",IF(ISNA(MATCH($G2274,Lists!$B$2:$B$7,0)),"✖ المجموعة غير صحيحة",IF(NOT(OR($H2274="",$N2274&gt;0)),"✖ Start غير صحيح",IF(NOT(OR($I2274="",$I2274="NR",$O2274&gt;0)),"✖ Current غير صحيح",IF(NOT(IF(ISNUMBER($J2274),AND($J2274&gt;=0,$J2274=INT($J2274)),FALSE())),"✖ العدد يجب أن يكون صحيحًا ≥ 0",IF(AND($F2274="Baseline",$H2274&lt;&gt;""),"⚠ Baseline: Start لا يدخل في التقدم",IF($K2274="No Start (attainment only)","ℹ تحصيل فقط (بدون Start)",IF($K2274="U – needs rule","ℹ حالة U تحتاج قاعدة معتمدة",IF($K2274="No result","ℹ بدون نتيجة (يُستبعد من التحصيل)","OK")))))))))))</f>
        <v/>
      </c>
      <c r="M2274" s="64" t="n">
        <f aca="false">IF($A2274="",0,IFERROR(MATCH($A2274,Classes!$A$6:$A$420,0),0))</f>
        <v>0</v>
      </c>
      <c r="N2274" s="64" t="n">
        <f aca="false">IF($H2274="",0,IFERROR(MATCH($H2274,GradeList,0),0))</f>
        <v>0</v>
      </c>
      <c r="O2274" s="64" t="n">
        <f aca="false">IF(OR($I2274="",$I2274="NR"),0,IFERROR(MATCH($I2274,GradeList,0),0))</f>
        <v>0</v>
      </c>
      <c r="P2274" s="64" t="n">
        <f aca="false">IF(AND($M2274&gt;0,ISNUMBER(MATCH($F2274,Lists!$A$2:$A$5,0)),ISNUMBER(MATCH($G2274,Lists!$B$2:$B$7,0)),OR($H2274="",$N2274&gt;0),OR($I2274="",$I2274="NR",$O2274&gt;0),IF(ISNUMBER($J2274),AND($J2274&gt;=0,$J2274=INT($J2274)),FALSE())),$J2274,0)</f>
        <v>0</v>
      </c>
      <c r="Q2274" s="64" t="n">
        <f aca="false">IF(AND($P2274&gt;0,$O2274&gt;0),$P2274,0)</f>
        <v>0</v>
      </c>
      <c r="R2274" s="64" t="n">
        <f aca="false">IF(AND($Q2274&gt;0,$O2274&gt;=AtRank),$Q2274,0)</f>
        <v>0</v>
      </c>
      <c r="S2274" s="64" t="n">
        <f aca="false">IF(AND($Q2274&gt;0,$O2274&gt;=AboveRank),$Q2274,0)</f>
        <v>0</v>
      </c>
      <c r="T2274" s="64" t="n">
        <f aca="false">IF($K2274="Less",$P2274,0)</f>
        <v>0</v>
      </c>
      <c r="U2274" s="64" t="n">
        <f aca="false">IF($K2274="Expected",$P2274,0)</f>
        <v>0</v>
      </c>
      <c r="V2274" s="64" t="n">
        <f aca="false">IF($K2274="Better",$P2274,0)</f>
        <v>0</v>
      </c>
      <c r="W2274" s="64" t="n">
        <f aca="false">IF($K2274="U – needs rule",$P2274,0)</f>
        <v>0</v>
      </c>
      <c r="X2274" s="64" t="n">
        <f aca="false">IF($K2274="No Start (attainment only)",$P2274,0)</f>
        <v>0</v>
      </c>
    </row>
    <row r="2275" customFormat="false" ht="15" hidden="false" customHeight="false" outlineLevel="0" collapsed="false">
      <c r="A2275" s="60"/>
      <c r="B2275" s="61" t="str">
        <f aca="false">IF($M2275=0,"",INDEX(Classes!$E$6:$E$420,$M2275))</f>
        <v/>
      </c>
      <c r="C2275" s="62" t="str">
        <f aca="false">IF($M2275=0,"",INDEX(Classes!$H$6:$H$420,$M2275))</f>
        <v/>
      </c>
      <c r="D2275" s="61" t="str">
        <f aca="false">IF($M2275=0,"",INDEX(Classes!$B$6:$B$420,$M2275))</f>
        <v/>
      </c>
      <c r="E2275" s="61" t="str">
        <f aca="false">IF($M2275=0,"",INDEX(Classes!$C$6:$C$420,$M2275))</f>
        <v/>
      </c>
      <c r="F2275" s="63"/>
      <c r="G2275" s="63"/>
      <c r="H2275" s="60"/>
      <c r="I2275" s="60"/>
      <c r="J2275" s="63"/>
      <c r="K2275" s="61" t="str">
        <f aca="false">IF($P2275=0,"",IF($F2275="Baseline","— Baseline",IF($O2275=0,"No result",IF($N2275=0,"No Start (attainment only)",IF(OR($N2275=1,$O2275=1),"U – needs rule",INDEX(MxBody,MATCH($I2275,MxCurr,0),MATCH($H2275,MxStart,0)))))))</f>
        <v/>
      </c>
      <c r="L2275" s="62" t="str">
        <f aca="false">IF(COUNTA($A2275,$F2275,$G2275,$H2275,$I2275,$J2275)=0,"",IF($M2275=0,"✖ كود الصف غير موجود",IF(ISNA(MATCH($F2275,Lists!$A$2:$A$5,0)),"✖ الفترة غير صحيحة",IF(ISNA(MATCH($G2275,Lists!$B$2:$B$7,0)),"✖ المجموعة غير صحيحة",IF(NOT(OR($H2275="",$N2275&gt;0)),"✖ Start غير صحيح",IF(NOT(OR($I2275="",$I2275="NR",$O2275&gt;0)),"✖ Current غير صحيح",IF(NOT(IF(ISNUMBER($J2275),AND($J2275&gt;=0,$J2275=INT($J2275)),FALSE())),"✖ العدد يجب أن يكون صحيحًا ≥ 0",IF(AND($F2275="Baseline",$H2275&lt;&gt;""),"⚠ Baseline: Start لا يدخل في التقدم",IF($K2275="No Start (attainment only)","ℹ تحصيل فقط (بدون Start)",IF($K2275="U – needs rule","ℹ حالة U تحتاج قاعدة معتمدة",IF($K2275="No result","ℹ بدون نتيجة (يُستبعد من التحصيل)","OK")))))))))))</f>
        <v/>
      </c>
      <c r="M2275" s="64" t="n">
        <f aca="false">IF($A2275="",0,IFERROR(MATCH($A2275,Classes!$A$6:$A$420,0),0))</f>
        <v>0</v>
      </c>
      <c r="N2275" s="64" t="n">
        <f aca="false">IF($H2275="",0,IFERROR(MATCH($H2275,GradeList,0),0))</f>
        <v>0</v>
      </c>
      <c r="O2275" s="64" t="n">
        <f aca="false">IF(OR($I2275="",$I2275="NR"),0,IFERROR(MATCH($I2275,GradeList,0),0))</f>
        <v>0</v>
      </c>
      <c r="P2275" s="64" t="n">
        <f aca="false">IF(AND($M2275&gt;0,ISNUMBER(MATCH($F2275,Lists!$A$2:$A$5,0)),ISNUMBER(MATCH($G2275,Lists!$B$2:$B$7,0)),OR($H2275="",$N2275&gt;0),OR($I2275="",$I2275="NR",$O2275&gt;0),IF(ISNUMBER($J2275),AND($J2275&gt;=0,$J2275=INT($J2275)),FALSE())),$J2275,0)</f>
        <v>0</v>
      </c>
      <c r="Q2275" s="64" t="n">
        <f aca="false">IF(AND($P2275&gt;0,$O2275&gt;0),$P2275,0)</f>
        <v>0</v>
      </c>
      <c r="R2275" s="64" t="n">
        <f aca="false">IF(AND($Q2275&gt;0,$O2275&gt;=AtRank),$Q2275,0)</f>
        <v>0</v>
      </c>
      <c r="S2275" s="64" t="n">
        <f aca="false">IF(AND($Q2275&gt;0,$O2275&gt;=AboveRank),$Q2275,0)</f>
        <v>0</v>
      </c>
      <c r="T2275" s="64" t="n">
        <f aca="false">IF($K2275="Less",$P2275,0)</f>
        <v>0</v>
      </c>
      <c r="U2275" s="64" t="n">
        <f aca="false">IF($K2275="Expected",$P2275,0)</f>
        <v>0</v>
      </c>
      <c r="V2275" s="64" t="n">
        <f aca="false">IF($K2275="Better",$P2275,0)</f>
        <v>0</v>
      </c>
      <c r="W2275" s="64" t="n">
        <f aca="false">IF($K2275="U – needs rule",$P2275,0)</f>
        <v>0</v>
      </c>
      <c r="X2275" s="64" t="n">
        <f aca="false">IF($K2275="No Start (attainment only)",$P2275,0)</f>
        <v>0</v>
      </c>
    </row>
    <row r="2276" customFormat="false" ht="15" hidden="false" customHeight="false" outlineLevel="0" collapsed="false">
      <c r="A2276" s="60"/>
      <c r="B2276" s="61" t="str">
        <f aca="false">IF($M2276=0,"",INDEX(Classes!$E$6:$E$420,$M2276))</f>
        <v/>
      </c>
      <c r="C2276" s="62" t="str">
        <f aca="false">IF($M2276=0,"",INDEX(Classes!$H$6:$H$420,$M2276))</f>
        <v/>
      </c>
      <c r="D2276" s="61" t="str">
        <f aca="false">IF($M2276=0,"",INDEX(Classes!$B$6:$B$420,$M2276))</f>
        <v/>
      </c>
      <c r="E2276" s="61" t="str">
        <f aca="false">IF($M2276=0,"",INDEX(Classes!$C$6:$C$420,$M2276))</f>
        <v/>
      </c>
      <c r="F2276" s="63"/>
      <c r="G2276" s="63"/>
      <c r="H2276" s="60"/>
      <c r="I2276" s="60"/>
      <c r="J2276" s="63"/>
      <c r="K2276" s="61" t="str">
        <f aca="false">IF($P2276=0,"",IF($F2276="Baseline","— Baseline",IF($O2276=0,"No result",IF($N2276=0,"No Start (attainment only)",IF(OR($N2276=1,$O2276=1),"U – needs rule",INDEX(MxBody,MATCH($I2276,MxCurr,0),MATCH($H2276,MxStart,0)))))))</f>
        <v/>
      </c>
      <c r="L2276" s="62" t="str">
        <f aca="false">IF(COUNTA($A2276,$F2276,$G2276,$H2276,$I2276,$J2276)=0,"",IF($M2276=0,"✖ كود الصف غير موجود",IF(ISNA(MATCH($F2276,Lists!$A$2:$A$5,0)),"✖ الفترة غير صحيحة",IF(ISNA(MATCH($G2276,Lists!$B$2:$B$7,0)),"✖ المجموعة غير صحيحة",IF(NOT(OR($H2276="",$N2276&gt;0)),"✖ Start غير صحيح",IF(NOT(OR($I2276="",$I2276="NR",$O2276&gt;0)),"✖ Current غير صحيح",IF(NOT(IF(ISNUMBER($J2276),AND($J2276&gt;=0,$J2276=INT($J2276)),FALSE())),"✖ العدد يجب أن يكون صحيحًا ≥ 0",IF(AND($F2276="Baseline",$H2276&lt;&gt;""),"⚠ Baseline: Start لا يدخل في التقدم",IF($K2276="No Start (attainment only)","ℹ تحصيل فقط (بدون Start)",IF($K2276="U – needs rule","ℹ حالة U تحتاج قاعدة معتمدة",IF($K2276="No result","ℹ بدون نتيجة (يُستبعد من التحصيل)","OK")))))))))))</f>
        <v/>
      </c>
      <c r="M2276" s="64" t="n">
        <f aca="false">IF($A2276="",0,IFERROR(MATCH($A2276,Classes!$A$6:$A$420,0),0))</f>
        <v>0</v>
      </c>
      <c r="N2276" s="64" t="n">
        <f aca="false">IF($H2276="",0,IFERROR(MATCH($H2276,GradeList,0),0))</f>
        <v>0</v>
      </c>
      <c r="O2276" s="64" t="n">
        <f aca="false">IF(OR($I2276="",$I2276="NR"),0,IFERROR(MATCH($I2276,GradeList,0),0))</f>
        <v>0</v>
      </c>
      <c r="P2276" s="64" t="n">
        <f aca="false">IF(AND($M2276&gt;0,ISNUMBER(MATCH($F2276,Lists!$A$2:$A$5,0)),ISNUMBER(MATCH($G2276,Lists!$B$2:$B$7,0)),OR($H2276="",$N2276&gt;0),OR($I2276="",$I2276="NR",$O2276&gt;0),IF(ISNUMBER($J2276),AND($J2276&gt;=0,$J2276=INT($J2276)),FALSE())),$J2276,0)</f>
        <v>0</v>
      </c>
      <c r="Q2276" s="64" t="n">
        <f aca="false">IF(AND($P2276&gt;0,$O2276&gt;0),$P2276,0)</f>
        <v>0</v>
      </c>
      <c r="R2276" s="64" t="n">
        <f aca="false">IF(AND($Q2276&gt;0,$O2276&gt;=AtRank),$Q2276,0)</f>
        <v>0</v>
      </c>
      <c r="S2276" s="64" t="n">
        <f aca="false">IF(AND($Q2276&gt;0,$O2276&gt;=AboveRank),$Q2276,0)</f>
        <v>0</v>
      </c>
      <c r="T2276" s="64" t="n">
        <f aca="false">IF($K2276="Less",$P2276,0)</f>
        <v>0</v>
      </c>
      <c r="U2276" s="64" t="n">
        <f aca="false">IF($K2276="Expected",$P2276,0)</f>
        <v>0</v>
      </c>
      <c r="V2276" s="64" t="n">
        <f aca="false">IF($K2276="Better",$P2276,0)</f>
        <v>0</v>
      </c>
      <c r="W2276" s="64" t="n">
        <f aca="false">IF($K2276="U – needs rule",$P2276,0)</f>
        <v>0</v>
      </c>
      <c r="X2276" s="64" t="n">
        <f aca="false">IF($K2276="No Start (attainment only)",$P2276,0)</f>
        <v>0</v>
      </c>
    </row>
    <row r="2277" customFormat="false" ht="15" hidden="false" customHeight="false" outlineLevel="0" collapsed="false">
      <c r="A2277" s="60"/>
      <c r="B2277" s="61" t="str">
        <f aca="false">IF($M2277=0,"",INDEX(Classes!$E$6:$E$420,$M2277))</f>
        <v/>
      </c>
      <c r="C2277" s="62" t="str">
        <f aca="false">IF($M2277=0,"",INDEX(Classes!$H$6:$H$420,$M2277))</f>
        <v/>
      </c>
      <c r="D2277" s="61" t="str">
        <f aca="false">IF($M2277=0,"",INDEX(Classes!$B$6:$B$420,$M2277))</f>
        <v/>
      </c>
      <c r="E2277" s="61" t="str">
        <f aca="false">IF($M2277=0,"",INDEX(Classes!$C$6:$C$420,$M2277))</f>
        <v/>
      </c>
      <c r="F2277" s="63"/>
      <c r="G2277" s="63"/>
      <c r="H2277" s="60"/>
      <c r="I2277" s="60"/>
      <c r="J2277" s="63"/>
      <c r="K2277" s="61" t="str">
        <f aca="false">IF($P2277=0,"",IF($F2277="Baseline","— Baseline",IF($O2277=0,"No result",IF($N2277=0,"No Start (attainment only)",IF(OR($N2277=1,$O2277=1),"U – needs rule",INDEX(MxBody,MATCH($I2277,MxCurr,0),MATCH($H2277,MxStart,0)))))))</f>
        <v/>
      </c>
      <c r="L2277" s="62" t="str">
        <f aca="false">IF(COUNTA($A2277,$F2277,$G2277,$H2277,$I2277,$J2277)=0,"",IF($M2277=0,"✖ كود الصف غير موجود",IF(ISNA(MATCH($F2277,Lists!$A$2:$A$5,0)),"✖ الفترة غير صحيحة",IF(ISNA(MATCH($G2277,Lists!$B$2:$B$7,0)),"✖ المجموعة غير صحيحة",IF(NOT(OR($H2277="",$N2277&gt;0)),"✖ Start غير صحيح",IF(NOT(OR($I2277="",$I2277="NR",$O2277&gt;0)),"✖ Current غير صحيح",IF(NOT(IF(ISNUMBER($J2277),AND($J2277&gt;=0,$J2277=INT($J2277)),FALSE())),"✖ العدد يجب أن يكون صحيحًا ≥ 0",IF(AND($F2277="Baseline",$H2277&lt;&gt;""),"⚠ Baseline: Start لا يدخل في التقدم",IF($K2277="No Start (attainment only)","ℹ تحصيل فقط (بدون Start)",IF($K2277="U – needs rule","ℹ حالة U تحتاج قاعدة معتمدة",IF($K2277="No result","ℹ بدون نتيجة (يُستبعد من التحصيل)","OK")))))))))))</f>
        <v/>
      </c>
      <c r="M2277" s="64" t="n">
        <f aca="false">IF($A2277="",0,IFERROR(MATCH($A2277,Classes!$A$6:$A$420,0),0))</f>
        <v>0</v>
      </c>
      <c r="N2277" s="64" t="n">
        <f aca="false">IF($H2277="",0,IFERROR(MATCH($H2277,GradeList,0),0))</f>
        <v>0</v>
      </c>
      <c r="O2277" s="64" t="n">
        <f aca="false">IF(OR($I2277="",$I2277="NR"),0,IFERROR(MATCH($I2277,GradeList,0),0))</f>
        <v>0</v>
      </c>
      <c r="P2277" s="64" t="n">
        <f aca="false">IF(AND($M2277&gt;0,ISNUMBER(MATCH($F2277,Lists!$A$2:$A$5,0)),ISNUMBER(MATCH($G2277,Lists!$B$2:$B$7,0)),OR($H2277="",$N2277&gt;0),OR($I2277="",$I2277="NR",$O2277&gt;0),IF(ISNUMBER($J2277),AND($J2277&gt;=0,$J2277=INT($J2277)),FALSE())),$J2277,0)</f>
        <v>0</v>
      </c>
      <c r="Q2277" s="64" t="n">
        <f aca="false">IF(AND($P2277&gt;0,$O2277&gt;0),$P2277,0)</f>
        <v>0</v>
      </c>
      <c r="R2277" s="64" t="n">
        <f aca="false">IF(AND($Q2277&gt;0,$O2277&gt;=AtRank),$Q2277,0)</f>
        <v>0</v>
      </c>
      <c r="S2277" s="64" t="n">
        <f aca="false">IF(AND($Q2277&gt;0,$O2277&gt;=AboveRank),$Q2277,0)</f>
        <v>0</v>
      </c>
      <c r="T2277" s="64" t="n">
        <f aca="false">IF($K2277="Less",$P2277,0)</f>
        <v>0</v>
      </c>
      <c r="U2277" s="64" t="n">
        <f aca="false">IF($K2277="Expected",$P2277,0)</f>
        <v>0</v>
      </c>
      <c r="V2277" s="64" t="n">
        <f aca="false">IF($K2277="Better",$P2277,0)</f>
        <v>0</v>
      </c>
      <c r="W2277" s="64" t="n">
        <f aca="false">IF($K2277="U – needs rule",$P2277,0)</f>
        <v>0</v>
      </c>
      <c r="X2277" s="64" t="n">
        <f aca="false">IF($K2277="No Start (attainment only)",$P2277,0)</f>
        <v>0</v>
      </c>
    </row>
    <row r="2278" customFormat="false" ht="15" hidden="false" customHeight="false" outlineLevel="0" collapsed="false">
      <c r="A2278" s="60"/>
      <c r="B2278" s="61" t="str">
        <f aca="false">IF($M2278=0,"",INDEX(Classes!$E$6:$E$420,$M2278))</f>
        <v/>
      </c>
      <c r="C2278" s="62" t="str">
        <f aca="false">IF($M2278=0,"",INDEX(Classes!$H$6:$H$420,$M2278))</f>
        <v/>
      </c>
      <c r="D2278" s="61" t="str">
        <f aca="false">IF($M2278=0,"",INDEX(Classes!$B$6:$B$420,$M2278))</f>
        <v/>
      </c>
      <c r="E2278" s="61" t="str">
        <f aca="false">IF($M2278=0,"",INDEX(Classes!$C$6:$C$420,$M2278))</f>
        <v/>
      </c>
      <c r="F2278" s="63"/>
      <c r="G2278" s="63"/>
      <c r="H2278" s="60"/>
      <c r="I2278" s="60"/>
      <c r="J2278" s="63"/>
      <c r="K2278" s="61" t="str">
        <f aca="false">IF($P2278=0,"",IF($F2278="Baseline","— Baseline",IF($O2278=0,"No result",IF($N2278=0,"No Start (attainment only)",IF(OR($N2278=1,$O2278=1),"U – needs rule",INDEX(MxBody,MATCH($I2278,MxCurr,0),MATCH($H2278,MxStart,0)))))))</f>
        <v/>
      </c>
      <c r="L2278" s="62" t="str">
        <f aca="false">IF(COUNTA($A2278,$F2278,$G2278,$H2278,$I2278,$J2278)=0,"",IF($M2278=0,"✖ كود الصف غير موجود",IF(ISNA(MATCH($F2278,Lists!$A$2:$A$5,0)),"✖ الفترة غير صحيحة",IF(ISNA(MATCH($G2278,Lists!$B$2:$B$7,0)),"✖ المجموعة غير صحيحة",IF(NOT(OR($H2278="",$N2278&gt;0)),"✖ Start غير صحيح",IF(NOT(OR($I2278="",$I2278="NR",$O2278&gt;0)),"✖ Current غير صحيح",IF(NOT(IF(ISNUMBER($J2278),AND($J2278&gt;=0,$J2278=INT($J2278)),FALSE())),"✖ العدد يجب أن يكون صحيحًا ≥ 0",IF(AND($F2278="Baseline",$H2278&lt;&gt;""),"⚠ Baseline: Start لا يدخل في التقدم",IF($K2278="No Start (attainment only)","ℹ تحصيل فقط (بدون Start)",IF($K2278="U – needs rule","ℹ حالة U تحتاج قاعدة معتمدة",IF($K2278="No result","ℹ بدون نتيجة (يُستبعد من التحصيل)","OK")))))))))))</f>
        <v/>
      </c>
      <c r="M2278" s="64" t="n">
        <f aca="false">IF($A2278="",0,IFERROR(MATCH($A2278,Classes!$A$6:$A$420,0),0))</f>
        <v>0</v>
      </c>
      <c r="N2278" s="64" t="n">
        <f aca="false">IF($H2278="",0,IFERROR(MATCH($H2278,GradeList,0),0))</f>
        <v>0</v>
      </c>
      <c r="O2278" s="64" t="n">
        <f aca="false">IF(OR($I2278="",$I2278="NR"),0,IFERROR(MATCH($I2278,GradeList,0),0))</f>
        <v>0</v>
      </c>
      <c r="P2278" s="64" t="n">
        <f aca="false">IF(AND($M2278&gt;0,ISNUMBER(MATCH($F2278,Lists!$A$2:$A$5,0)),ISNUMBER(MATCH($G2278,Lists!$B$2:$B$7,0)),OR($H2278="",$N2278&gt;0),OR($I2278="",$I2278="NR",$O2278&gt;0),IF(ISNUMBER($J2278),AND($J2278&gt;=0,$J2278=INT($J2278)),FALSE())),$J2278,0)</f>
        <v>0</v>
      </c>
      <c r="Q2278" s="64" t="n">
        <f aca="false">IF(AND($P2278&gt;0,$O2278&gt;0),$P2278,0)</f>
        <v>0</v>
      </c>
      <c r="R2278" s="64" t="n">
        <f aca="false">IF(AND($Q2278&gt;0,$O2278&gt;=AtRank),$Q2278,0)</f>
        <v>0</v>
      </c>
      <c r="S2278" s="64" t="n">
        <f aca="false">IF(AND($Q2278&gt;0,$O2278&gt;=AboveRank),$Q2278,0)</f>
        <v>0</v>
      </c>
      <c r="T2278" s="64" t="n">
        <f aca="false">IF($K2278="Less",$P2278,0)</f>
        <v>0</v>
      </c>
      <c r="U2278" s="64" t="n">
        <f aca="false">IF($K2278="Expected",$P2278,0)</f>
        <v>0</v>
      </c>
      <c r="V2278" s="64" t="n">
        <f aca="false">IF($K2278="Better",$P2278,0)</f>
        <v>0</v>
      </c>
      <c r="W2278" s="64" t="n">
        <f aca="false">IF($K2278="U – needs rule",$P2278,0)</f>
        <v>0</v>
      </c>
      <c r="X2278" s="64" t="n">
        <f aca="false">IF($K2278="No Start (attainment only)",$P2278,0)</f>
        <v>0</v>
      </c>
    </row>
    <row r="2279" customFormat="false" ht="15" hidden="false" customHeight="false" outlineLevel="0" collapsed="false">
      <c r="A2279" s="60"/>
      <c r="B2279" s="61" t="str">
        <f aca="false">IF($M2279=0,"",INDEX(Classes!$E$6:$E$420,$M2279))</f>
        <v/>
      </c>
      <c r="C2279" s="62" t="str">
        <f aca="false">IF($M2279=0,"",INDEX(Classes!$H$6:$H$420,$M2279))</f>
        <v/>
      </c>
      <c r="D2279" s="61" t="str">
        <f aca="false">IF($M2279=0,"",INDEX(Classes!$B$6:$B$420,$M2279))</f>
        <v/>
      </c>
      <c r="E2279" s="61" t="str">
        <f aca="false">IF($M2279=0,"",INDEX(Classes!$C$6:$C$420,$M2279))</f>
        <v/>
      </c>
      <c r="F2279" s="63"/>
      <c r="G2279" s="63"/>
      <c r="H2279" s="60"/>
      <c r="I2279" s="60"/>
      <c r="J2279" s="63"/>
      <c r="K2279" s="61" t="str">
        <f aca="false">IF($P2279=0,"",IF($F2279="Baseline","— Baseline",IF($O2279=0,"No result",IF($N2279=0,"No Start (attainment only)",IF(OR($N2279=1,$O2279=1),"U – needs rule",INDEX(MxBody,MATCH($I2279,MxCurr,0),MATCH($H2279,MxStart,0)))))))</f>
        <v/>
      </c>
      <c r="L2279" s="62" t="str">
        <f aca="false">IF(COUNTA($A2279,$F2279,$G2279,$H2279,$I2279,$J2279)=0,"",IF($M2279=0,"✖ كود الصف غير موجود",IF(ISNA(MATCH($F2279,Lists!$A$2:$A$5,0)),"✖ الفترة غير صحيحة",IF(ISNA(MATCH($G2279,Lists!$B$2:$B$7,0)),"✖ المجموعة غير صحيحة",IF(NOT(OR($H2279="",$N2279&gt;0)),"✖ Start غير صحيح",IF(NOT(OR($I2279="",$I2279="NR",$O2279&gt;0)),"✖ Current غير صحيح",IF(NOT(IF(ISNUMBER($J2279),AND($J2279&gt;=0,$J2279=INT($J2279)),FALSE())),"✖ العدد يجب أن يكون صحيحًا ≥ 0",IF(AND($F2279="Baseline",$H2279&lt;&gt;""),"⚠ Baseline: Start لا يدخل في التقدم",IF($K2279="No Start (attainment only)","ℹ تحصيل فقط (بدون Start)",IF($K2279="U – needs rule","ℹ حالة U تحتاج قاعدة معتمدة",IF($K2279="No result","ℹ بدون نتيجة (يُستبعد من التحصيل)","OK")))))))))))</f>
        <v/>
      </c>
      <c r="M2279" s="64" t="n">
        <f aca="false">IF($A2279="",0,IFERROR(MATCH($A2279,Classes!$A$6:$A$420,0),0))</f>
        <v>0</v>
      </c>
      <c r="N2279" s="64" t="n">
        <f aca="false">IF($H2279="",0,IFERROR(MATCH($H2279,GradeList,0),0))</f>
        <v>0</v>
      </c>
      <c r="O2279" s="64" t="n">
        <f aca="false">IF(OR($I2279="",$I2279="NR"),0,IFERROR(MATCH($I2279,GradeList,0),0))</f>
        <v>0</v>
      </c>
      <c r="P2279" s="64" t="n">
        <f aca="false">IF(AND($M2279&gt;0,ISNUMBER(MATCH($F2279,Lists!$A$2:$A$5,0)),ISNUMBER(MATCH($G2279,Lists!$B$2:$B$7,0)),OR($H2279="",$N2279&gt;0),OR($I2279="",$I2279="NR",$O2279&gt;0),IF(ISNUMBER($J2279),AND($J2279&gt;=0,$J2279=INT($J2279)),FALSE())),$J2279,0)</f>
        <v>0</v>
      </c>
      <c r="Q2279" s="64" t="n">
        <f aca="false">IF(AND($P2279&gt;0,$O2279&gt;0),$P2279,0)</f>
        <v>0</v>
      </c>
      <c r="R2279" s="64" t="n">
        <f aca="false">IF(AND($Q2279&gt;0,$O2279&gt;=AtRank),$Q2279,0)</f>
        <v>0</v>
      </c>
      <c r="S2279" s="64" t="n">
        <f aca="false">IF(AND($Q2279&gt;0,$O2279&gt;=AboveRank),$Q2279,0)</f>
        <v>0</v>
      </c>
      <c r="T2279" s="64" t="n">
        <f aca="false">IF($K2279="Less",$P2279,0)</f>
        <v>0</v>
      </c>
      <c r="U2279" s="64" t="n">
        <f aca="false">IF($K2279="Expected",$P2279,0)</f>
        <v>0</v>
      </c>
      <c r="V2279" s="64" t="n">
        <f aca="false">IF($K2279="Better",$P2279,0)</f>
        <v>0</v>
      </c>
      <c r="W2279" s="64" t="n">
        <f aca="false">IF($K2279="U – needs rule",$P2279,0)</f>
        <v>0</v>
      </c>
      <c r="X2279" s="64" t="n">
        <f aca="false">IF($K2279="No Start (attainment only)",$P2279,0)</f>
        <v>0</v>
      </c>
    </row>
    <row r="2280" customFormat="false" ht="15" hidden="false" customHeight="false" outlineLevel="0" collapsed="false">
      <c r="A2280" s="60"/>
      <c r="B2280" s="61" t="str">
        <f aca="false">IF($M2280=0,"",INDEX(Classes!$E$6:$E$420,$M2280))</f>
        <v/>
      </c>
      <c r="C2280" s="62" t="str">
        <f aca="false">IF($M2280=0,"",INDEX(Classes!$H$6:$H$420,$M2280))</f>
        <v/>
      </c>
      <c r="D2280" s="61" t="str">
        <f aca="false">IF($M2280=0,"",INDEX(Classes!$B$6:$B$420,$M2280))</f>
        <v/>
      </c>
      <c r="E2280" s="61" t="str">
        <f aca="false">IF($M2280=0,"",INDEX(Classes!$C$6:$C$420,$M2280))</f>
        <v/>
      </c>
      <c r="F2280" s="63"/>
      <c r="G2280" s="63"/>
      <c r="H2280" s="60"/>
      <c r="I2280" s="60"/>
      <c r="J2280" s="63"/>
      <c r="K2280" s="61" t="str">
        <f aca="false">IF($P2280=0,"",IF($F2280="Baseline","— Baseline",IF($O2280=0,"No result",IF($N2280=0,"No Start (attainment only)",IF(OR($N2280=1,$O2280=1),"U – needs rule",INDEX(MxBody,MATCH($I2280,MxCurr,0),MATCH($H2280,MxStart,0)))))))</f>
        <v/>
      </c>
      <c r="L2280" s="62" t="str">
        <f aca="false">IF(COUNTA($A2280,$F2280,$G2280,$H2280,$I2280,$J2280)=0,"",IF($M2280=0,"✖ كود الصف غير موجود",IF(ISNA(MATCH($F2280,Lists!$A$2:$A$5,0)),"✖ الفترة غير صحيحة",IF(ISNA(MATCH($G2280,Lists!$B$2:$B$7,0)),"✖ المجموعة غير صحيحة",IF(NOT(OR($H2280="",$N2280&gt;0)),"✖ Start غير صحيح",IF(NOT(OR($I2280="",$I2280="NR",$O2280&gt;0)),"✖ Current غير صحيح",IF(NOT(IF(ISNUMBER($J2280),AND($J2280&gt;=0,$J2280=INT($J2280)),FALSE())),"✖ العدد يجب أن يكون صحيحًا ≥ 0",IF(AND($F2280="Baseline",$H2280&lt;&gt;""),"⚠ Baseline: Start لا يدخل في التقدم",IF($K2280="No Start (attainment only)","ℹ تحصيل فقط (بدون Start)",IF($K2280="U – needs rule","ℹ حالة U تحتاج قاعدة معتمدة",IF($K2280="No result","ℹ بدون نتيجة (يُستبعد من التحصيل)","OK")))))))))))</f>
        <v/>
      </c>
      <c r="M2280" s="64" t="n">
        <f aca="false">IF($A2280="",0,IFERROR(MATCH($A2280,Classes!$A$6:$A$420,0),0))</f>
        <v>0</v>
      </c>
      <c r="N2280" s="64" t="n">
        <f aca="false">IF($H2280="",0,IFERROR(MATCH($H2280,GradeList,0),0))</f>
        <v>0</v>
      </c>
      <c r="O2280" s="64" t="n">
        <f aca="false">IF(OR($I2280="",$I2280="NR"),0,IFERROR(MATCH($I2280,GradeList,0),0))</f>
        <v>0</v>
      </c>
      <c r="P2280" s="64" t="n">
        <f aca="false">IF(AND($M2280&gt;0,ISNUMBER(MATCH($F2280,Lists!$A$2:$A$5,0)),ISNUMBER(MATCH($G2280,Lists!$B$2:$B$7,0)),OR($H2280="",$N2280&gt;0),OR($I2280="",$I2280="NR",$O2280&gt;0),IF(ISNUMBER($J2280),AND($J2280&gt;=0,$J2280=INT($J2280)),FALSE())),$J2280,0)</f>
        <v>0</v>
      </c>
      <c r="Q2280" s="64" t="n">
        <f aca="false">IF(AND($P2280&gt;0,$O2280&gt;0),$P2280,0)</f>
        <v>0</v>
      </c>
      <c r="R2280" s="64" t="n">
        <f aca="false">IF(AND($Q2280&gt;0,$O2280&gt;=AtRank),$Q2280,0)</f>
        <v>0</v>
      </c>
      <c r="S2280" s="64" t="n">
        <f aca="false">IF(AND($Q2280&gt;0,$O2280&gt;=AboveRank),$Q2280,0)</f>
        <v>0</v>
      </c>
      <c r="T2280" s="64" t="n">
        <f aca="false">IF($K2280="Less",$P2280,0)</f>
        <v>0</v>
      </c>
      <c r="U2280" s="64" t="n">
        <f aca="false">IF($K2280="Expected",$P2280,0)</f>
        <v>0</v>
      </c>
      <c r="V2280" s="64" t="n">
        <f aca="false">IF($K2280="Better",$P2280,0)</f>
        <v>0</v>
      </c>
      <c r="W2280" s="64" t="n">
        <f aca="false">IF($K2280="U – needs rule",$P2280,0)</f>
        <v>0</v>
      </c>
      <c r="X2280" s="64" t="n">
        <f aca="false">IF($K2280="No Start (attainment only)",$P2280,0)</f>
        <v>0</v>
      </c>
    </row>
    <row r="2281" customFormat="false" ht="15" hidden="false" customHeight="false" outlineLevel="0" collapsed="false">
      <c r="A2281" s="60"/>
      <c r="B2281" s="61" t="str">
        <f aca="false">IF($M2281=0,"",INDEX(Classes!$E$6:$E$420,$M2281))</f>
        <v/>
      </c>
      <c r="C2281" s="62" t="str">
        <f aca="false">IF($M2281=0,"",INDEX(Classes!$H$6:$H$420,$M2281))</f>
        <v/>
      </c>
      <c r="D2281" s="61" t="str">
        <f aca="false">IF($M2281=0,"",INDEX(Classes!$B$6:$B$420,$M2281))</f>
        <v/>
      </c>
      <c r="E2281" s="61" t="str">
        <f aca="false">IF($M2281=0,"",INDEX(Classes!$C$6:$C$420,$M2281))</f>
        <v/>
      </c>
      <c r="F2281" s="63"/>
      <c r="G2281" s="63"/>
      <c r="H2281" s="60"/>
      <c r="I2281" s="60"/>
      <c r="J2281" s="63"/>
      <c r="K2281" s="61" t="str">
        <f aca="false">IF($P2281=0,"",IF($F2281="Baseline","— Baseline",IF($O2281=0,"No result",IF($N2281=0,"No Start (attainment only)",IF(OR($N2281=1,$O2281=1),"U – needs rule",INDEX(MxBody,MATCH($I2281,MxCurr,0),MATCH($H2281,MxStart,0)))))))</f>
        <v/>
      </c>
      <c r="L2281" s="62" t="str">
        <f aca="false">IF(COUNTA($A2281,$F2281,$G2281,$H2281,$I2281,$J2281)=0,"",IF($M2281=0,"✖ كود الصف غير موجود",IF(ISNA(MATCH($F2281,Lists!$A$2:$A$5,0)),"✖ الفترة غير صحيحة",IF(ISNA(MATCH($G2281,Lists!$B$2:$B$7,0)),"✖ المجموعة غير صحيحة",IF(NOT(OR($H2281="",$N2281&gt;0)),"✖ Start غير صحيح",IF(NOT(OR($I2281="",$I2281="NR",$O2281&gt;0)),"✖ Current غير صحيح",IF(NOT(IF(ISNUMBER($J2281),AND($J2281&gt;=0,$J2281=INT($J2281)),FALSE())),"✖ العدد يجب أن يكون صحيحًا ≥ 0",IF(AND($F2281="Baseline",$H2281&lt;&gt;""),"⚠ Baseline: Start لا يدخل في التقدم",IF($K2281="No Start (attainment only)","ℹ تحصيل فقط (بدون Start)",IF($K2281="U – needs rule","ℹ حالة U تحتاج قاعدة معتمدة",IF($K2281="No result","ℹ بدون نتيجة (يُستبعد من التحصيل)","OK")))))))))))</f>
        <v/>
      </c>
      <c r="M2281" s="64" t="n">
        <f aca="false">IF($A2281="",0,IFERROR(MATCH($A2281,Classes!$A$6:$A$420,0),0))</f>
        <v>0</v>
      </c>
      <c r="N2281" s="64" t="n">
        <f aca="false">IF($H2281="",0,IFERROR(MATCH($H2281,GradeList,0),0))</f>
        <v>0</v>
      </c>
      <c r="O2281" s="64" t="n">
        <f aca="false">IF(OR($I2281="",$I2281="NR"),0,IFERROR(MATCH($I2281,GradeList,0),0))</f>
        <v>0</v>
      </c>
      <c r="P2281" s="64" t="n">
        <f aca="false">IF(AND($M2281&gt;0,ISNUMBER(MATCH($F2281,Lists!$A$2:$A$5,0)),ISNUMBER(MATCH($G2281,Lists!$B$2:$B$7,0)),OR($H2281="",$N2281&gt;0),OR($I2281="",$I2281="NR",$O2281&gt;0),IF(ISNUMBER($J2281),AND($J2281&gt;=0,$J2281=INT($J2281)),FALSE())),$J2281,0)</f>
        <v>0</v>
      </c>
      <c r="Q2281" s="64" t="n">
        <f aca="false">IF(AND($P2281&gt;0,$O2281&gt;0),$P2281,0)</f>
        <v>0</v>
      </c>
      <c r="R2281" s="64" t="n">
        <f aca="false">IF(AND($Q2281&gt;0,$O2281&gt;=AtRank),$Q2281,0)</f>
        <v>0</v>
      </c>
      <c r="S2281" s="64" t="n">
        <f aca="false">IF(AND($Q2281&gt;0,$O2281&gt;=AboveRank),$Q2281,0)</f>
        <v>0</v>
      </c>
      <c r="T2281" s="64" t="n">
        <f aca="false">IF($K2281="Less",$P2281,0)</f>
        <v>0</v>
      </c>
      <c r="U2281" s="64" t="n">
        <f aca="false">IF($K2281="Expected",$P2281,0)</f>
        <v>0</v>
      </c>
      <c r="V2281" s="64" t="n">
        <f aca="false">IF($K2281="Better",$P2281,0)</f>
        <v>0</v>
      </c>
      <c r="W2281" s="64" t="n">
        <f aca="false">IF($K2281="U – needs rule",$P2281,0)</f>
        <v>0</v>
      </c>
      <c r="X2281" s="64" t="n">
        <f aca="false">IF($K2281="No Start (attainment only)",$P2281,0)</f>
        <v>0</v>
      </c>
    </row>
    <row r="2282" customFormat="false" ht="15" hidden="false" customHeight="false" outlineLevel="0" collapsed="false">
      <c r="A2282" s="60"/>
      <c r="B2282" s="61" t="str">
        <f aca="false">IF($M2282=0,"",INDEX(Classes!$E$6:$E$420,$M2282))</f>
        <v/>
      </c>
      <c r="C2282" s="62" t="str">
        <f aca="false">IF($M2282=0,"",INDEX(Classes!$H$6:$H$420,$M2282))</f>
        <v/>
      </c>
      <c r="D2282" s="61" t="str">
        <f aca="false">IF($M2282=0,"",INDEX(Classes!$B$6:$B$420,$M2282))</f>
        <v/>
      </c>
      <c r="E2282" s="61" t="str">
        <f aca="false">IF($M2282=0,"",INDEX(Classes!$C$6:$C$420,$M2282))</f>
        <v/>
      </c>
      <c r="F2282" s="63"/>
      <c r="G2282" s="63"/>
      <c r="H2282" s="60"/>
      <c r="I2282" s="60"/>
      <c r="J2282" s="63"/>
      <c r="K2282" s="61" t="str">
        <f aca="false">IF($P2282=0,"",IF($F2282="Baseline","— Baseline",IF($O2282=0,"No result",IF($N2282=0,"No Start (attainment only)",IF(OR($N2282=1,$O2282=1),"U – needs rule",INDEX(MxBody,MATCH($I2282,MxCurr,0),MATCH($H2282,MxStart,0)))))))</f>
        <v/>
      </c>
      <c r="L2282" s="62" t="str">
        <f aca="false">IF(COUNTA($A2282,$F2282,$G2282,$H2282,$I2282,$J2282)=0,"",IF($M2282=0,"✖ كود الصف غير موجود",IF(ISNA(MATCH($F2282,Lists!$A$2:$A$5,0)),"✖ الفترة غير صحيحة",IF(ISNA(MATCH($G2282,Lists!$B$2:$B$7,0)),"✖ المجموعة غير صحيحة",IF(NOT(OR($H2282="",$N2282&gt;0)),"✖ Start غير صحيح",IF(NOT(OR($I2282="",$I2282="NR",$O2282&gt;0)),"✖ Current غير صحيح",IF(NOT(IF(ISNUMBER($J2282),AND($J2282&gt;=0,$J2282=INT($J2282)),FALSE())),"✖ العدد يجب أن يكون صحيحًا ≥ 0",IF(AND($F2282="Baseline",$H2282&lt;&gt;""),"⚠ Baseline: Start لا يدخل في التقدم",IF($K2282="No Start (attainment only)","ℹ تحصيل فقط (بدون Start)",IF($K2282="U – needs rule","ℹ حالة U تحتاج قاعدة معتمدة",IF($K2282="No result","ℹ بدون نتيجة (يُستبعد من التحصيل)","OK")))))))))))</f>
        <v/>
      </c>
      <c r="M2282" s="64" t="n">
        <f aca="false">IF($A2282="",0,IFERROR(MATCH($A2282,Classes!$A$6:$A$420,0),0))</f>
        <v>0</v>
      </c>
      <c r="N2282" s="64" t="n">
        <f aca="false">IF($H2282="",0,IFERROR(MATCH($H2282,GradeList,0),0))</f>
        <v>0</v>
      </c>
      <c r="O2282" s="64" t="n">
        <f aca="false">IF(OR($I2282="",$I2282="NR"),0,IFERROR(MATCH($I2282,GradeList,0),0))</f>
        <v>0</v>
      </c>
      <c r="P2282" s="64" t="n">
        <f aca="false">IF(AND($M2282&gt;0,ISNUMBER(MATCH($F2282,Lists!$A$2:$A$5,0)),ISNUMBER(MATCH($G2282,Lists!$B$2:$B$7,0)),OR($H2282="",$N2282&gt;0),OR($I2282="",$I2282="NR",$O2282&gt;0),IF(ISNUMBER($J2282),AND($J2282&gt;=0,$J2282=INT($J2282)),FALSE())),$J2282,0)</f>
        <v>0</v>
      </c>
      <c r="Q2282" s="64" t="n">
        <f aca="false">IF(AND($P2282&gt;0,$O2282&gt;0),$P2282,0)</f>
        <v>0</v>
      </c>
      <c r="R2282" s="64" t="n">
        <f aca="false">IF(AND($Q2282&gt;0,$O2282&gt;=AtRank),$Q2282,0)</f>
        <v>0</v>
      </c>
      <c r="S2282" s="64" t="n">
        <f aca="false">IF(AND($Q2282&gt;0,$O2282&gt;=AboveRank),$Q2282,0)</f>
        <v>0</v>
      </c>
      <c r="T2282" s="64" t="n">
        <f aca="false">IF($K2282="Less",$P2282,0)</f>
        <v>0</v>
      </c>
      <c r="U2282" s="64" t="n">
        <f aca="false">IF($K2282="Expected",$P2282,0)</f>
        <v>0</v>
      </c>
      <c r="V2282" s="64" t="n">
        <f aca="false">IF($K2282="Better",$P2282,0)</f>
        <v>0</v>
      </c>
      <c r="W2282" s="64" t="n">
        <f aca="false">IF($K2282="U – needs rule",$P2282,0)</f>
        <v>0</v>
      </c>
      <c r="X2282" s="64" t="n">
        <f aca="false">IF($K2282="No Start (attainment only)",$P2282,0)</f>
        <v>0</v>
      </c>
    </row>
    <row r="2283" customFormat="false" ht="15" hidden="false" customHeight="false" outlineLevel="0" collapsed="false">
      <c r="A2283" s="60"/>
      <c r="B2283" s="61" t="str">
        <f aca="false">IF($M2283=0,"",INDEX(Classes!$E$6:$E$420,$M2283))</f>
        <v/>
      </c>
      <c r="C2283" s="62" t="str">
        <f aca="false">IF($M2283=0,"",INDEX(Classes!$H$6:$H$420,$M2283))</f>
        <v/>
      </c>
      <c r="D2283" s="61" t="str">
        <f aca="false">IF($M2283=0,"",INDEX(Classes!$B$6:$B$420,$M2283))</f>
        <v/>
      </c>
      <c r="E2283" s="61" t="str">
        <f aca="false">IF($M2283=0,"",INDEX(Classes!$C$6:$C$420,$M2283))</f>
        <v/>
      </c>
      <c r="F2283" s="63"/>
      <c r="G2283" s="63"/>
      <c r="H2283" s="60"/>
      <c r="I2283" s="60"/>
      <c r="J2283" s="63"/>
      <c r="K2283" s="61" t="str">
        <f aca="false">IF($P2283=0,"",IF($F2283="Baseline","— Baseline",IF($O2283=0,"No result",IF($N2283=0,"No Start (attainment only)",IF(OR($N2283=1,$O2283=1),"U – needs rule",INDEX(MxBody,MATCH($I2283,MxCurr,0),MATCH($H2283,MxStart,0)))))))</f>
        <v/>
      </c>
      <c r="L2283" s="62" t="str">
        <f aca="false">IF(COUNTA($A2283,$F2283,$G2283,$H2283,$I2283,$J2283)=0,"",IF($M2283=0,"✖ كود الصف غير موجود",IF(ISNA(MATCH($F2283,Lists!$A$2:$A$5,0)),"✖ الفترة غير صحيحة",IF(ISNA(MATCH($G2283,Lists!$B$2:$B$7,0)),"✖ المجموعة غير صحيحة",IF(NOT(OR($H2283="",$N2283&gt;0)),"✖ Start غير صحيح",IF(NOT(OR($I2283="",$I2283="NR",$O2283&gt;0)),"✖ Current غير صحيح",IF(NOT(IF(ISNUMBER($J2283),AND($J2283&gt;=0,$J2283=INT($J2283)),FALSE())),"✖ العدد يجب أن يكون صحيحًا ≥ 0",IF(AND($F2283="Baseline",$H2283&lt;&gt;""),"⚠ Baseline: Start لا يدخل في التقدم",IF($K2283="No Start (attainment only)","ℹ تحصيل فقط (بدون Start)",IF($K2283="U – needs rule","ℹ حالة U تحتاج قاعدة معتمدة",IF($K2283="No result","ℹ بدون نتيجة (يُستبعد من التحصيل)","OK")))))))))))</f>
        <v/>
      </c>
      <c r="M2283" s="64" t="n">
        <f aca="false">IF($A2283="",0,IFERROR(MATCH($A2283,Classes!$A$6:$A$420,0),0))</f>
        <v>0</v>
      </c>
      <c r="N2283" s="64" t="n">
        <f aca="false">IF($H2283="",0,IFERROR(MATCH($H2283,GradeList,0),0))</f>
        <v>0</v>
      </c>
      <c r="O2283" s="64" t="n">
        <f aca="false">IF(OR($I2283="",$I2283="NR"),0,IFERROR(MATCH($I2283,GradeList,0),0))</f>
        <v>0</v>
      </c>
      <c r="P2283" s="64" t="n">
        <f aca="false">IF(AND($M2283&gt;0,ISNUMBER(MATCH($F2283,Lists!$A$2:$A$5,0)),ISNUMBER(MATCH($G2283,Lists!$B$2:$B$7,0)),OR($H2283="",$N2283&gt;0),OR($I2283="",$I2283="NR",$O2283&gt;0),IF(ISNUMBER($J2283),AND($J2283&gt;=0,$J2283=INT($J2283)),FALSE())),$J2283,0)</f>
        <v>0</v>
      </c>
      <c r="Q2283" s="64" t="n">
        <f aca="false">IF(AND($P2283&gt;0,$O2283&gt;0),$P2283,0)</f>
        <v>0</v>
      </c>
      <c r="R2283" s="64" t="n">
        <f aca="false">IF(AND($Q2283&gt;0,$O2283&gt;=AtRank),$Q2283,0)</f>
        <v>0</v>
      </c>
      <c r="S2283" s="64" t="n">
        <f aca="false">IF(AND($Q2283&gt;0,$O2283&gt;=AboveRank),$Q2283,0)</f>
        <v>0</v>
      </c>
      <c r="T2283" s="64" t="n">
        <f aca="false">IF($K2283="Less",$P2283,0)</f>
        <v>0</v>
      </c>
      <c r="U2283" s="64" t="n">
        <f aca="false">IF($K2283="Expected",$P2283,0)</f>
        <v>0</v>
      </c>
      <c r="V2283" s="64" t="n">
        <f aca="false">IF($K2283="Better",$P2283,0)</f>
        <v>0</v>
      </c>
      <c r="W2283" s="64" t="n">
        <f aca="false">IF($K2283="U – needs rule",$P2283,0)</f>
        <v>0</v>
      </c>
      <c r="X2283" s="64" t="n">
        <f aca="false">IF($K2283="No Start (attainment only)",$P2283,0)</f>
        <v>0</v>
      </c>
    </row>
    <row r="2284" customFormat="false" ht="15" hidden="false" customHeight="false" outlineLevel="0" collapsed="false">
      <c r="A2284" s="60"/>
      <c r="B2284" s="61" t="str">
        <f aca="false">IF($M2284=0,"",INDEX(Classes!$E$6:$E$420,$M2284))</f>
        <v/>
      </c>
      <c r="C2284" s="62" t="str">
        <f aca="false">IF($M2284=0,"",INDEX(Classes!$H$6:$H$420,$M2284))</f>
        <v/>
      </c>
      <c r="D2284" s="61" t="str">
        <f aca="false">IF($M2284=0,"",INDEX(Classes!$B$6:$B$420,$M2284))</f>
        <v/>
      </c>
      <c r="E2284" s="61" t="str">
        <f aca="false">IF($M2284=0,"",INDEX(Classes!$C$6:$C$420,$M2284))</f>
        <v/>
      </c>
      <c r="F2284" s="63"/>
      <c r="G2284" s="63"/>
      <c r="H2284" s="60"/>
      <c r="I2284" s="60"/>
      <c r="J2284" s="63"/>
      <c r="K2284" s="61" t="str">
        <f aca="false">IF($P2284=0,"",IF($F2284="Baseline","— Baseline",IF($O2284=0,"No result",IF($N2284=0,"No Start (attainment only)",IF(OR($N2284=1,$O2284=1),"U – needs rule",INDEX(MxBody,MATCH($I2284,MxCurr,0),MATCH($H2284,MxStart,0)))))))</f>
        <v/>
      </c>
      <c r="L2284" s="62" t="str">
        <f aca="false">IF(COUNTA($A2284,$F2284,$G2284,$H2284,$I2284,$J2284)=0,"",IF($M2284=0,"✖ كود الصف غير موجود",IF(ISNA(MATCH($F2284,Lists!$A$2:$A$5,0)),"✖ الفترة غير صحيحة",IF(ISNA(MATCH($G2284,Lists!$B$2:$B$7,0)),"✖ المجموعة غير صحيحة",IF(NOT(OR($H2284="",$N2284&gt;0)),"✖ Start غير صحيح",IF(NOT(OR($I2284="",$I2284="NR",$O2284&gt;0)),"✖ Current غير صحيح",IF(NOT(IF(ISNUMBER($J2284),AND($J2284&gt;=0,$J2284=INT($J2284)),FALSE())),"✖ العدد يجب أن يكون صحيحًا ≥ 0",IF(AND($F2284="Baseline",$H2284&lt;&gt;""),"⚠ Baseline: Start لا يدخل في التقدم",IF($K2284="No Start (attainment only)","ℹ تحصيل فقط (بدون Start)",IF($K2284="U – needs rule","ℹ حالة U تحتاج قاعدة معتمدة",IF($K2284="No result","ℹ بدون نتيجة (يُستبعد من التحصيل)","OK")))))))))))</f>
        <v/>
      </c>
      <c r="M2284" s="64" t="n">
        <f aca="false">IF($A2284="",0,IFERROR(MATCH($A2284,Classes!$A$6:$A$420,0),0))</f>
        <v>0</v>
      </c>
      <c r="N2284" s="64" t="n">
        <f aca="false">IF($H2284="",0,IFERROR(MATCH($H2284,GradeList,0),0))</f>
        <v>0</v>
      </c>
      <c r="O2284" s="64" t="n">
        <f aca="false">IF(OR($I2284="",$I2284="NR"),0,IFERROR(MATCH($I2284,GradeList,0),0))</f>
        <v>0</v>
      </c>
      <c r="P2284" s="64" t="n">
        <f aca="false">IF(AND($M2284&gt;0,ISNUMBER(MATCH($F2284,Lists!$A$2:$A$5,0)),ISNUMBER(MATCH($G2284,Lists!$B$2:$B$7,0)),OR($H2284="",$N2284&gt;0),OR($I2284="",$I2284="NR",$O2284&gt;0),IF(ISNUMBER($J2284),AND($J2284&gt;=0,$J2284=INT($J2284)),FALSE())),$J2284,0)</f>
        <v>0</v>
      </c>
      <c r="Q2284" s="64" t="n">
        <f aca="false">IF(AND($P2284&gt;0,$O2284&gt;0),$P2284,0)</f>
        <v>0</v>
      </c>
      <c r="R2284" s="64" t="n">
        <f aca="false">IF(AND($Q2284&gt;0,$O2284&gt;=AtRank),$Q2284,0)</f>
        <v>0</v>
      </c>
      <c r="S2284" s="64" t="n">
        <f aca="false">IF(AND($Q2284&gt;0,$O2284&gt;=AboveRank),$Q2284,0)</f>
        <v>0</v>
      </c>
      <c r="T2284" s="64" t="n">
        <f aca="false">IF($K2284="Less",$P2284,0)</f>
        <v>0</v>
      </c>
      <c r="U2284" s="64" t="n">
        <f aca="false">IF($K2284="Expected",$P2284,0)</f>
        <v>0</v>
      </c>
      <c r="V2284" s="64" t="n">
        <f aca="false">IF($K2284="Better",$P2284,0)</f>
        <v>0</v>
      </c>
      <c r="W2284" s="64" t="n">
        <f aca="false">IF($K2284="U – needs rule",$P2284,0)</f>
        <v>0</v>
      </c>
      <c r="X2284" s="64" t="n">
        <f aca="false">IF($K2284="No Start (attainment only)",$P2284,0)</f>
        <v>0</v>
      </c>
    </row>
    <row r="2285" customFormat="false" ht="15" hidden="false" customHeight="false" outlineLevel="0" collapsed="false">
      <c r="A2285" s="60"/>
      <c r="B2285" s="61" t="str">
        <f aca="false">IF($M2285=0,"",INDEX(Classes!$E$6:$E$420,$M2285))</f>
        <v/>
      </c>
      <c r="C2285" s="62" t="str">
        <f aca="false">IF($M2285=0,"",INDEX(Classes!$H$6:$H$420,$M2285))</f>
        <v/>
      </c>
      <c r="D2285" s="61" t="str">
        <f aca="false">IF($M2285=0,"",INDEX(Classes!$B$6:$B$420,$M2285))</f>
        <v/>
      </c>
      <c r="E2285" s="61" t="str">
        <f aca="false">IF($M2285=0,"",INDEX(Classes!$C$6:$C$420,$M2285))</f>
        <v/>
      </c>
      <c r="F2285" s="63"/>
      <c r="G2285" s="63"/>
      <c r="H2285" s="60"/>
      <c r="I2285" s="60"/>
      <c r="J2285" s="63"/>
      <c r="K2285" s="61" t="str">
        <f aca="false">IF($P2285=0,"",IF($F2285="Baseline","— Baseline",IF($O2285=0,"No result",IF($N2285=0,"No Start (attainment only)",IF(OR($N2285=1,$O2285=1),"U – needs rule",INDEX(MxBody,MATCH($I2285,MxCurr,0),MATCH($H2285,MxStart,0)))))))</f>
        <v/>
      </c>
      <c r="L2285" s="62" t="str">
        <f aca="false">IF(COUNTA($A2285,$F2285,$G2285,$H2285,$I2285,$J2285)=0,"",IF($M2285=0,"✖ كود الصف غير موجود",IF(ISNA(MATCH($F2285,Lists!$A$2:$A$5,0)),"✖ الفترة غير صحيحة",IF(ISNA(MATCH($G2285,Lists!$B$2:$B$7,0)),"✖ المجموعة غير صحيحة",IF(NOT(OR($H2285="",$N2285&gt;0)),"✖ Start غير صحيح",IF(NOT(OR($I2285="",$I2285="NR",$O2285&gt;0)),"✖ Current غير صحيح",IF(NOT(IF(ISNUMBER($J2285),AND($J2285&gt;=0,$J2285=INT($J2285)),FALSE())),"✖ العدد يجب أن يكون صحيحًا ≥ 0",IF(AND($F2285="Baseline",$H2285&lt;&gt;""),"⚠ Baseline: Start لا يدخل في التقدم",IF($K2285="No Start (attainment only)","ℹ تحصيل فقط (بدون Start)",IF($K2285="U – needs rule","ℹ حالة U تحتاج قاعدة معتمدة",IF($K2285="No result","ℹ بدون نتيجة (يُستبعد من التحصيل)","OK")))))))))))</f>
        <v/>
      </c>
      <c r="M2285" s="64" t="n">
        <f aca="false">IF($A2285="",0,IFERROR(MATCH($A2285,Classes!$A$6:$A$420,0),0))</f>
        <v>0</v>
      </c>
      <c r="N2285" s="64" t="n">
        <f aca="false">IF($H2285="",0,IFERROR(MATCH($H2285,GradeList,0),0))</f>
        <v>0</v>
      </c>
      <c r="O2285" s="64" t="n">
        <f aca="false">IF(OR($I2285="",$I2285="NR"),0,IFERROR(MATCH($I2285,GradeList,0),0))</f>
        <v>0</v>
      </c>
      <c r="P2285" s="64" t="n">
        <f aca="false">IF(AND($M2285&gt;0,ISNUMBER(MATCH($F2285,Lists!$A$2:$A$5,0)),ISNUMBER(MATCH($G2285,Lists!$B$2:$B$7,0)),OR($H2285="",$N2285&gt;0),OR($I2285="",$I2285="NR",$O2285&gt;0),IF(ISNUMBER($J2285),AND($J2285&gt;=0,$J2285=INT($J2285)),FALSE())),$J2285,0)</f>
        <v>0</v>
      </c>
      <c r="Q2285" s="64" t="n">
        <f aca="false">IF(AND($P2285&gt;0,$O2285&gt;0),$P2285,0)</f>
        <v>0</v>
      </c>
      <c r="R2285" s="64" t="n">
        <f aca="false">IF(AND($Q2285&gt;0,$O2285&gt;=AtRank),$Q2285,0)</f>
        <v>0</v>
      </c>
      <c r="S2285" s="64" t="n">
        <f aca="false">IF(AND($Q2285&gt;0,$O2285&gt;=AboveRank),$Q2285,0)</f>
        <v>0</v>
      </c>
      <c r="T2285" s="64" t="n">
        <f aca="false">IF($K2285="Less",$P2285,0)</f>
        <v>0</v>
      </c>
      <c r="U2285" s="64" t="n">
        <f aca="false">IF($K2285="Expected",$P2285,0)</f>
        <v>0</v>
      </c>
      <c r="V2285" s="64" t="n">
        <f aca="false">IF($K2285="Better",$P2285,0)</f>
        <v>0</v>
      </c>
      <c r="W2285" s="64" t="n">
        <f aca="false">IF($K2285="U – needs rule",$P2285,0)</f>
        <v>0</v>
      </c>
      <c r="X2285" s="64" t="n">
        <f aca="false">IF($K2285="No Start (attainment only)",$P2285,0)</f>
        <v>0</v>
      </c>
    </row>
    <row r="2286" customFormat="false" ht="15" hidden="false" customHeight="false" outlineLevel="0" collapsed="false">
      <c r="A2286" s="60"/>
      <c r="B2286" s="61" t="str">
        <f aca="false">IF($M2286=0,"",INDEX(Classes!$E$6:$E$420,$M2286))</f>
        <v/>
      </c>
      <c r="C2286" s="62" t="str">
        <f aca="false">IF($M2286=0,"",INDEX(Classes!$H$6:$H$420,$M2286))</f>
        <v/>
      </c>
      <c r="D2286" s="61" t="str">
        <f aca="false">IF($M2286=0,"",INDEX(Classes!$B$6:$B$420,$M2286))</f>
        <v/>
      </c>
      <c r="E2286" s="61" t="str">
        <f aca="false">IF($M2286=0,"",INDEX(Classes!$C$6:$C$420,$M2286))</f>
        <v/>
      </c>
      <c r="F2286" s="63"/>
      <c r="G2286" s="63"/>
      <c r="H2286" s="60"/>
      <c r="I2286" s="60"/>
      <c r="J2286" s="63"/>
      <c r="K2286" s="61" t="str">
        <f aca="false">IF($P2286=0,"",IF($F2286="Baseline","— Baseline",IF($O2286=0,"No result",IF($N2286=0,"No Start (attainment only)",IF(OR($N2286=1,$O2286=1),"U – needs rule",INDEX(MxBody,MATCH($I2286,MxCurr,0),MATCH($H2286,MxStart,0)))))))</f>
        <v/>
      </c>
      <c r="L2286" s="62" t="str">
        <f aca="false">IF(COUNTA($A2286,$F2286,$G2286,$H2286,$I2286,$J2286)=0,"",IF($M2286=0,"✖ كود الصف غير موجود",IF(ISNA(MATCH($F2286,Lists!$A$2:$A$5,0)),"✖ الفترة غير صحيحة",IF(ISNA(MATCH($G2286,Lists!$B$2:$B$7,0)),"✖ المجموعة غير صحيحة",IF(NOT(OR($H2286="",$N2286&gt;0)),"✖ Start غير صحيح",IF(NOT(OR($I2286="",$I2286="NR",$O2286&gt;0)),"✖ Current غير صحيح",IF(NOT(IF(ISNUMBER($J2286),AND($J2286&gt;=0,$J2286=INT($J2286)),FALSE())),"✖ العدد يجب أن يكون صحيحًا ≥ 0",IF(AND($F2286="Baseline",$H2286&lt;&gt;""),"⚠ Baseline: Start لا يدخل في التقدم",IF($K2286="No Start (attainment only)","ℹ تحصيل فقط (بدون Start)",IF($K2286="U – needs rule","ℹ حالة U تحتاج قاعدة معتمدة",IF($K2286="No result","ℹ بدون نتيجة (يُستبعد من التحصيل)","OK")))))))))))</f>
        <v/>
      </c>
      <c r="M2286" s="64" t="n">
        <f aca="false">IF($A2286="",0,IFERROR(MATCH($A2286,Classes!$A$6:$A$420,0),0))</f>
        <v>0</v>
      </c>
      <c r="N2286" s="64" t="n">
        <f aca="false">IF($H2286="",0,IFERROR(MATCH($H2286,GradeList,0),0))</f>
        <v>0</v>
      </c>
      <c r="O2286" s="64" t="n">
        <f aca="false">IF(OR($I2286="",$I2286="NR"),0,IFERROR(MATCH($I2286,GradeList,0),0))</f>
        <v>0</v>
      </c>
      <c r="P2286" s="64" t="n">
        <f aca="false">IF(AND($M2286&gt;0,ISNUMBER(MATCH($F2286,Lists!$A$2:$A$5,0)),ISNUMBER(MATCH($G2286,Lists!$B$2:$B$7,0)),OR($H2286="",$N2286&gt;0),OR($I2286="",$I2286="NR",$O2286&gt;0),IF(ISNUMBER($J2286),AND($J2286&gt;=0,$J2286=INT($J2286)),FALSE())),$J2286,0)</f>
        <v>0</v>
      </c>
      <c r="Q2286" s="64" t="n">
        <f aca="false">IF(AND($P2286&gt;0,$O2286&gt;0),$P2286,0)</f>
        <v>0</v>
      </c>
      <c r="R2286" s="64" t="n">
        <f aca="false">IF(AND($Q2286&gt;0,$O2286&gt;=AtRank),$Q2286,0)</f>
        <v>0</v>
      </c>
      <c r="S2286" s="64" t="n">
        <f aca="false">IF(AND($Q2286&gt;0,$O2286&gt;=AboveRank),$Q2286,0)</f>
        <v>0</v>
      </c>
      <c r="T2286" s="64" t="n">
        <f aca="false">IF($K2286="Less",$P2286,0)</f>
        <v>0</v>
      </c>
      <c r="U2286" s="64" t="n">
        <f aca="false">IF($K2286="Expected",$P2286,0)</f>
        <v>0</v>
      </c>
      <c r="V2286" s="64" t="n">
        <f aca="false">IF($K2286="Better",$P2286,0)</f>
        <v>0</v>
      </c>
      <c r="W2286" s="64" t="n">
        <f aca="false">IF($K2286="U – needs rule",$P2286,0)</f>
        <v>0</v>
      </c>
      <c r="X2286" s="64" t="n">
        <f aca="false">IF($K2286="No Start (attainment only)",$P2286,0)</f>
        <v>0</v>
      </c>
    </row>
    <row r="2287" customFormat="false" ht="15" hidden="false" customHeight="false" outlineLevel="0" collapsed="false">
      <c r="A2287" s="60"/>
      <c r="B2287" s="61" t="str">
        <f aca="false">IF($M2287=0,"",INDEX(Classes!$E$6:$E$420,$M2287))</f>
        <v/>
      </c>
      <c r="C2287" s="62" t="str">
        <f aca="false">IF($M2287=0,"",INDEX(Classes!$H$6:$H$420,$M2287))</f>
        <v/>
      </c>
      <c r="D2287" s="61" t="str">
        <f aca="false">IF($M2287=0,"",INDEX(Classes!$B$6:$B$420,$M2287))</f>
        <v/>
      </c>
      <c r="E2287" s="61" t="str">
        <f aca="false">IF($M2287=0,"",INDEX(Classes!$C$6:$C$420,$M2287))</f>
        <v/>
      </c>
      <c r="F2287" s="63"/>
      <c r="G2287" s="63"/>
      <c r="H2287" s="60"/>
      <c r="I2287" s="60"/>
      <c r="J2287" s="63"/>
      <c r="K2287" s="61" t="str">
        <f aca="false">IF($P2287=0,"",IF($F2287="Baseline","— Baseline",IF($O2287=0,"No result",IF($N2287=0,"No Start (attainment only)",IF(OR($N2287=1,$O2287=1),"U – needs rule",INDEX(MxBody,MATCH($I2287,MxCurr,0),MATCH($H2287,MxStart,0)))))))</f>
        <v/>
      </c>
      <c r="L2287" s="62" t="str">
        <f aca="false">IF(COUNTA($A2287,$F2287,$G2287,$H2287,$I2287,$J2287)=0,"",IF($M2287=0,"✖ كود الصف غير موجود",IF(ISNA(MATCH($F2287,Lists!$A$2:$A$5,0)),"✖ الفترة غير صحيحة",IF(ISNA(MATCH($G2287,Lists!$B$2:$B$7,0)),"✖ المجموعة غير صحيحة",IF(NOT(OR($H2287="",$N2287&gt;0)),"✖ Start غير صحيح",IF(NOT(OR($I2287="",$I2287="NR",$O2287&gt;0)),"✖ Current غير صحيح",IF(NOT(IF(ISNUMBER($J2287),AND($J2287&gt;=0,$J2287=INT($J2287)),FALSE())),"✖ العدد يجب أن يكون صحيحًا ≥ 0",IF(AND($F2287="Baseline",$H2287&lt;&gt;""),"⚠ Baseline: Start لا يدخل في التقدم",IF($K2287="No Start (attainment only)","ℹ تحصيل فقط (بدون Start)",IF($K2287="U – needs rule","ℹ حالة U تحتاج قاعدة معتمدة",IF($K2287="No result","ℹ بدون نتيجة (يُستبعد من التحصيل)","OK")))))))))))</f>
        <v/>
      </c>
      <c r="M2287" s="64" t="n">
        <f aca="false">IF($A2287="",0,IFERROR(MATCH($A2287,Classes!$A$6:$A$420,0),0))</f>
        <v>0</v>
      </c>
      <c r="N2287" s="64" t="n">
        <f aca="false">IF($H2287="",0,IFERROR(MATCH($H2287,GradeList,0),0))</f>
        <v>0</v>
      </c>
      <c r="O2287" s="64" t="n">
        <f aca="false">IF(OR($I2287="",$I2287="NR"),0,IFERROR(MATCH($I2287,GradeList,0),0))</f>
        <v>0</v>
      </c>
      <c r="P2287" s="64" t="n">
        <f aca="false">IF(AND($M2287&gt;0,ISNUMBER(MATCH($F2287,Lists!$A$2:$A$5,0)),ISNUMBER(MATCH($G2287,Lists!$B$2:$B$7,0)),OR($H2287="",$N2287&gt;0),OR($I2287="",$I2287="NR",$O2287&gt;0),IF(ISNUMBER($J2287),AND($J2287&gt;=0,$J2287=INT($J2287)),FALSE())),$J2287,0)</f>
        <v>0</v>
      </c>
      <c r="Q2287" s="64" t="n">
        <f aca="false">IF(AND($P2287&gt;0,$O2287&gt;0),$P2287,0)</f>
        <v>0</v>
      </c>
      <c r="R2287" s="64" t="n">
        <f aca="false">IF(AND($Q2287&gt;0,$O2287&gt;=AtRank),$Q2287,0)</f>
        <v>0</v>
      </c>
      <c r="S2287" s="64" t="n">
        <f aca="false">IF(AND($Q2287&gt;0,$O2287&gt;=AboveRank),$Q2287,0)</f>
        <v>0</v>
      </c>
      <c r="T2287" s="64" t="n">
        <f aca="false">IF($K2287="Less",$P2287,0)</f>
        <v>0</v>
      </c>
      <c r="U2287" s="64" t="n">
        <f aca="false">IF($K2287="Expected",$P2287,0)</f>
        <v>0</v>
      </c>
      <c r="V2287" s="64" t="n">
        <f aca="false">IF($K2287="Better",$P2287,0)</f>
        <v>0</v>
      </c>
      <c r="W2287" s="64" t="n">
        <f aca="false">IF($K2287="U – needs rule",$P2287,0)</f>
        <v>0</v>
      </c>
      <c r="X2287" s="64" t="n">
        <f aca="false">IF($K2287="No Start (attainment only)",$P2287,0)</f>
        <v>0</v>
      </c>
    </row>
    <row r="2288" customFormat="false" ht="15" hidden="false" customHeight="false" outlineLevel="0" collapsed="false">
      <c r="A2288" s="60"/>
      <c r="B2288" s="61" t="str">
        <f aca="false">IF($M2288=0,"",INDEX(Classes!$E$6:$E$420,$M2288))</f>
        <v/>
      </c>
      <c r="C2288" s="62" t="str">
        <f aca="false">IF($M2288=0,"",INDEX(Classes!$H$6:$H$420,$M2288))</f>
        <v/>
      </c>
      <c r="D2288" s="61" t="str">
        <f aca="false">IF($M2288=0,"",INDEX(Classes!$B$6:$B$420,$M2288))</f>
        <v/>
      </c>
      <c r="E2288" s="61" t="str">
        <f aca="false">IF($M2288=0,"",INDEX(Classes!$C$6:$C$420,$M2288))</f>
        <v/>
      </c>
      <c r="F2288" s="63"/>
      <c r="G2288" s="63"/>
      <c r="H2288" s="60"/>
      <c r="I2288" s="60"/>
      <c r="J2288" s="63"/>
      <c r="K2288" s="61" t="str">
        <f aca="false">IF($P2288=0,"",IF($F2288="Baseline","— Baseline",IF($O2288=0,"No result",IF($N2288=0,"No Start (attainment only)",IF(OR($N2288=1,$O2288=1),"U – needs rule",INDEX(MxBody,MATCH($I2288,MxCurr,0),MATCH($H2288,MxStart,0)))))))</f>
        <v/>
      </c>
      <c r="L2288" s="62" t="str">
        <f aca="false">IF(COUNTA($A2288,$F2288,$G2288,$H2288,$I2288,$J2288)=0,"",IF($M2288=0,"✖ كود الصف غير موجود",IF(ISNA(MATCH($F2288,Lists!$A$2:$A$5,0)),"✖ الفترة غير صحيحة",IF(ISNA(MATCH($G2288,Lists!$B$2:$B$7,0)),"✖ المجموعة غير صحيحة",IF(NOT(OR($H2288="",$N2288&gt;0)),"✖ Start غير صحيح",IF(NOT(OR($I2288="",$I2288="NR",$O2288&gt;0)),"✖ Current غير صحيح",IF(NOT(IF(ISNUMBER($J2288),AND($J2288&gt;=0,$J2288=INT($J2288)),FALSE())),"✖ العدد يجب أن يكون صحيحًا ≥ 0",IF(AND($F2288="Baseline",$H2288&lt;&gt;""),"⚠ Baseline: Start لا يدخل في التقدم",IF($K2288="No Start (attainment only)","ℹ تحصيل فقط (بدون Start)",IF($K2288="U – needs rule","ℹ حالة U تحتاج قاعدة معتمدة",IF($K2288="No result","ℹ بدون نتيجة (يُستبعد من التحصيل)","OK")))))))))))</f>
        <v/>
      </c>
      <c r="M2288" s="64" t="n">
        <f aca="false">IF($A2288="",0,IFERROR(MATCH($A2288,Classes!$A$6:$A$420,0),0))</f>
        <v>0</v>
      </c>
      <c r="N2288" s="64" t="n">
        <f aca="false">IF($H2288="",0,IFERROR(MATCH($H2288,GradeList,0),0))</f>
        <v>0</v>
      </c>
      <c r="O2288" s="64" t="n">
        <f aca="false">IF(OR($I2288="",$I2288="NR"),0,IFERROR(MATCH($I2288,GradeList,0),0))</f>
        <v>0</v>
      </c>
      <c r="P2288" s="64" t="n">
        <f aca="false">IF(AND($M2288&gt;0,ISNUMBER(MATCH($F2288,Lists!$A$2:$A$5,0)),ISNUMBER(MATCH($G2288,Lists!$B$2:$B$7,0)),OR($H2288="",$N2288&gt;0),OR($I2288="",$I2288="NR",$O2288&gt;0),IF(ISNUMBER($J2288),AND($J2288&gt;=0,$J2288=INT($J2288)),FALSE())),$J2288,0)</f>
        <v>0</v>
      </c>
      <c r="Q2288" s="64" t="n">
        <f aca="false">IF(AND($P2288&gt;0,$O2288&gt;0),$P2288,0)</f>
        <v>0</v>
      </c>
      <c r="R2288" s="64" t="n">
        <f aca="false">IF(AND($Q2288&gt;0,$O2288&gt;=AtRank),$Q2288,0)</f>
        <v>0</v>
      </c>
      <c r="S2288" s="64" t="n">
        <f aca="false">IF(AND($Q2288&gt;0,$O2288&gt;=AboveRank),$Q2288,0)</f>
        <v>0</v>
      </c>
      <c r="T2288" s="64" t="n">
        <f aca="false">IF($K2288="Less",$P2288,0)</f>
        <v>0</v>
      </c>
      <c r="U2288" s="64" t="n">
        <f aca="false">IF($K2288="Expected",$P2288,0)</f>
        <v>0</v>
      </c>
      <c r="V2288" s="64" t="n">
        <f aca="false">IF($K2288="Better",$P2288,0)</f>
        <v>0</v>
      </c>
      <c r="W2288" s="64" t="n">
        <f aca="false">IF($K2288="U – needs rule",$P2288,0)</f>
        <v>0</v>
      </c>
      <c r="X2288" s="64" t="n">
        <f aca="false">IF($K2288="No Start (attainment only)",$P2288,0)</f>
        <v>0</v>
      </c>
    </row>
    <row r="2289" customFormat="false" ht="15" hidden="false" customHeight="false" outlineLevel="0" collapsed="false">
      <c r="A2289" s="60"/>
      <c r="B2289" s="61" t="str">
        <f aca="false">IF($M2289=0,"",INDEX(Classes!$E$6:$E$420,$M2289))</f>
        <v/>
      </c>
      <c r="C2289" s="62" t="str">
        <f aca="false">IF($M2289=0,"",INDEX(Classes!$H$6:$H$420,$M2289))</f>
        <v/>
      </c>
      <c r="D2289" s="61" t="str">
        <f aca="false">IF($M2289=0,"",INDEX(Classes!$B$6:$B$420,$M2289))</f>
        <v/>
      </c>
      <c r="E2289" s="61" t="str">
        <f aca="false">IF($M2289=0,"",INDEX(Classes!$C$6:$C$420,$M2289))</f>
        <v/>
      </c>
      <c r="F2289" s="63"/>
      <c r="G2289" s="63"/>
      <c r="H2289" s="60"/>
      <c r="I2289" s="60"/>
      <c r="J2289" s="63"/>
      <c r="K2289" s="61" t="str">
        <f aca="false">IF($P2289=0,"",IF($F2289="Baseline","— Baseline",IF($O2289=0,"No result",IF($N2289=0,"No Start (attainment only)",IF(OR($N2289=1,$O2289=1),"U – needs rule",INDEX(MxBody,MATCH($I2289,MxCurr,0),MATCH($H2289,MxStart,0)))))))</f>
        <v/>
      </c>
      <c r="L2289" s="62" t="str">
        <f aca="false">IF(COUNTA($A2289,$F2289,$G2289,$H2289,$I2289,$J2289)=0,"",IF($M2289=0,"✖ كود الصف غير موجود",IF(ISNA(MATCH($F2289,Lists!$A$2:$A$5,0)),"✖ الفترة غير صحيحة",IF(ISNA(MATCH($G2289,Lists!$B$2:$B$7,0)),"✖ المجموعة غير صحيحة",IF(NOT(OR($H2289="",$N2289&gt;0)),"✖ Start غير صحيح",IF(NOT(OR($I2289="",$I2289="NR",$O2289&gt;0)),"✖ Current غير صحيح",IF(NOT(IF(ISNUMBER($J2289),AND($J2289&gt;=0,$J2289=INT($J2289)),FALSE())),"✖ العدد يجب أن يكون صحيحًا ≥ 0",IF(AND($F2289="Baseline",$H2289&lt;&gt;""),"⚠ Baseline: Start لا يدخل في التقدم",IF($K2289="No Start (attainment only)","ℹ تحصيل فقط (بدون Start)",IF($K2289="U – needs rule","ℹ حالة U تحتاج قاعدة معتمدة",IF($K2289="No result","ℹ بدون نتيجة (يُستبعد من التحصيل)","OK")))))))))))</f>
        <v/>
      </c>
      <c r="M2289" s="64" t="n">
        <f aca="false">IF($A2289="",0,IFERROR(MATCH($A2289,Classes!$A$6:$A$420,0),0))</f>
        <v>0</v>
      </c>
      <c r="N2289" s="64" t="n">
        <f aca="false">IF($H2289="",0,IFERROR(MATCH($H2289,GradeList,0),0))</f>
        <v>0</v>
      </c>
      <c r="O2289" s="64" t="n">
        <f aca="false">IF(OR($I2289="",$I2289="NR"),0,IFERROR(MATCH($I2289,GradeList,0),0))</f>
        <v>0</v>
      </c>
      <c r="P2289" s="64" t="n">
        <f aca="false">IF(AND($M2289&gt;0,ISNUMBER(MATCH($F2289,Lists!$A$2:$A$5,0)),ISNUMBER(MATCH($G2289,Lists!$B$2:$B$7,0)),OR($H2289="",$N2289&gt;0),OR($I2289="",$I2289="NR",$O2289&gt;0),IF(ISNUMBER($J2289),AND($J2289&gt;=0,$J2289=INT($J2289)),FALSE())),$J2289,0)</f>
        <v>0</v>
      </c>
      <c r="Q2289" s="64" t="n">
        <f aca="false">IF(AND($P2289&gt;0,$O2289&gt;0),$P2289,0)</f>
        <v>0</v>
      </c>
      <c r="R2289" s="64" t="n">
        <f aca="false">IF(AND($Q2289&gt;0,$O2289&gt;=AtRank),$Q2289,0)</f>
        <v>0</v>
      </c>
      <c r="S2289" s="64" t="n">
        <f aca="false">IF(AND($Q2289&gt;0,$O2289&gt;=AboveRank),$Q2289,0)</f>
        <v>0</v>
      </c>
      <c r="T2289" s="64" t="n">
        <f aca="false">IF($K2289="Less",$P2289,0)</f>
        <v>0</v>
      </c>
      <c r="U2289" s="64" t="n">
        <f aca="false">IF($K2289="Expected",$P2289,0)</f>
        <v>0</v>
      </c>
      <c r="V2289" s="64" t="n">
        <f aca="false">IF($K2289="Better",$P2289,0)</f>
        <v>0</v>
      </c>
      <c r="W2289" s="64" t="n">
        <f aca="false">IF($K2289="U – needs rule",$P2289,0)</f>
        <v>0</v>
      </c>
      <c r="X2289" s="64" t="n">
        <f aca="false">IF($K2289="No Start (attainment only)",$P2289,0)</f>
        <v>0</v>
      </c>
    </row>
    <row r="2290" customFormat="false" ht="15" hidden="false" customHeight="false" outlineLevel="0" collapsed="false">
      <c r="A2290" s="60"/>
      <c r="B2290" s="61" t="str">
        <f aca="false">IF($M2290=0,"",INDEX(Classes!$E$6:$E$420,$M2290))</f>
        <v/>
      </c>
      <c r="C2290" s="62" t="str">
        <f aca="false">IF($M2290=0,"",INDEX(Classes!$H$6:$H$420,$M2290))</f>
        <v/>
      </c>
      <c r="D2290" s="61" t="str">
        <f aca="false">IF($M2290=0,"",INDEX(Classes!$B$6:$B$420,$M2290))</f>
        <v/>
      </c>
      <c r="E2290" s="61" t="str">
        <f aca="false">IF($M2290=0,"",INDEX(Classes!$C$6:$C$420,$M2290))</f>
        <v/>
      </c>
      <c r="F2290" s="63"/>
      <c r="G2290" s="63"/>
      <c r="H2290" s="60"/>
      <c r="I2290" s="60"/>
      <c r="J2290" s="63"/>
      <c r="K2290" s="61" t="str">
        <f aca="false">IF($P2290=0,"",IF($F2290="Baseline","— Baseline",IF($O2290=0,"No result",IF($N2290=0,"No Start (attainment only)",IF(OR($N2290=1,$O2290=1),"U – needs rule",INDEX(MxBody,MATCH($I2290,MxCurr,0),MATCH($H2290,MxStart,0)))))))</f>
        <v/>
      </c>
      <c r="L2290" s="62" t="str">
        <f aca="false">IF(COUNTA($A2290,$F2290,$G2290,$H2290,$I2290,$J2290)=0,"",IF($M2290=0,"✖ كود الصف غير موجود",IF(ISNA(MATCH($F2290,Lists!$A$2:$A$5,0)),"✖ الفترة غير صحيحة",IF(ISNA(MATCH($G2290,Lists!$B$2:$B$7,0)),"✖ المجموعة غير صحيحة",IF(NOT(OR($H2290="",$N2290&gt;0)),"✖ Start غير صحيح",IF(NOT(OR($I2290="",$I2290="NR",$O2290&gt;0)),"✖ Current غير صحيح",IF(NOT(IF(ISNUMBER($J2290),AND($J2290&gt;=0,$J2290=INT($J2290)),FALSE())),"✖ العدد يجب أن يكون صحيحًا ≥ 0",IF(AND($F2290="Baseline",$H2290&lt;&gt;""),"⚠ Baseline: Start لا يدخل في التقدم",IF($K2290="No Start (attainment only)","ℹ تحصيل فقط (بدون Start)",IF($K2290="U – needs rule","ℹ حالة U تحتاج قاعدة معتمدة",IF($K2290="No result","ℹ بدون نتيجة (يُستبعد من التحصيل)","OK")))))))))))</f>
        <v/>
      </c>
      <c r="M2290" s="64" t="n">
        <f aca="false">IF($A2290="",0,IFERROR(MATCH($A2290,Classes!$A$6:$A$420,0),0))</f>
        <v>0</v>
      </c>
      <c r="N2290" s="64" t="n">
        <f aca="false">IF($H2290="",0,IFERROR(MATCH($H2290,GradeList,0),0))</f>
        <v>0</v>
      </c>
      <c r="O2290" s="64" t="n">
        <f aca="false">IF(OR($I2290="",$I2290="NR"),0,IFERROR(MATCH($I2290,GradeList,0),0))</f>
        <v>0</v>
      </c>
      <c r="P2290" s="64" t="n">
        <f aca="false">IF(AND($M2290&gt;0,ISNUMBER(MATCH($F2290,Lists!$A$2:$A$5,0)),ISNUMBER(MATCH($G2290,Lists!$B$2:$B$7,0)),OR($H2290="",$N2290&gt;0),OR($I2290="",$I2290="NR",$O2290&gt;0),IF(ISNUMBER($J2290),AND($J2290&gt;=0,$J2290=INT($J2290)),FALSE())),$J2290,0)</f>
        <v>0</v>
      </c>
      <c r="Q2290" s="64" t="n">
        <f aca="false">IF(AND($P2290&gt;0,$O2290&gt;0),$P2290,0)</f>
        <v>0</v>
      </c>
      <c r="R2290" s="64" t="n">
        <f aca="false">IF(AND($Q2290&gt;0,$O2290&gt;=AtRank),$Q2290,0)</f>
        <v>0</v>
      </c>
      <c r="S2290" s="64" t="n">
        <f aca="false">IF(AND($Q2290&gt;0,$O2290&gt;=AboveRank),$Q2290,0)</f>
        <v>0</v>
      </c>
      <c r="T2290" s="64" t="n">
        <f aca="false">IF($K2290="Less",$P2290,0)</f>
        <v>0</v>
      </c>
      <c r="U2290" s="64" t="n">
        <f aca="false">IF($K2290="Expected",$P2290,0)</f>
        <v>0</v>
      </c>
      <c r="V2290" s="64" t="n">
        <f aca="false">IF($K2290="Better",$P2290,0)</f>
        <v>0</v>
      </c>
      <c r="W2290" s="64" t="n">
        <f aca="false">IF($K2290="U – needs rule",$P2290,0)</f>
        <v>0</v>
      </c>
      <c r="X2290" s="64" t="n">
        <f aca="false">IF($K2290="No Start (attainment only)",$P2290,0)</f>
        <v>0</v>
      </c>
    </row>
    <row r="2291" customFormat="false" ht="15" hidden="false" customHeight="false" outlineLevel="0" collapsed="false">
      <c r="A2291" s="60"/>
      <c r="B2291" s="61" t="str">
        <f aca="false">IF($M2291=0,"",INDEX(Classes!$E$6:$E$420,$M2291))</f>
        <v/>
      </c>
      <c r="C2291" s="62" t="str">
        <f aca="false">IF($M2291=0,"",INDEX(Classes!$H$6:$H$420,$M2291))</f>
        <v/>
      </c>
      <c r="D2291" s="61" t="str">
        <f aca="false">IF($M2291=0,"",INDEX(Classes!$B$6:$B$420,$M2291))</f>
        <v/>
      </c>
      <c r="E2291" s="61" t="str">
        <f aca="false">IF($M2291=0,"",INDEX(Classes!$C$6:$C$420,$M2291))</f>
        <v/>
      </c>
      <c r="F2291" s="63"/>
      <c r="G2291" s="63"/>
      <c r="H2291" s="60"/>
      <c r="I2291" s="60"/>
      <c r="J2291" s="63"/>
      <c r="K2291" s="61" t="str">
        <f aca="false">IF($P2291=0,"",IF($F2291="Baseline","— Baseline",IF($O2291=0,"No result",IF($N2291=0,"No Start (attainment only)",IF(OR($N2291=1,$O2291=1),"U – needs rule",INDEX(MxBody,MATCH($I2291,MxCurr,0),MATCH($H2291,MxStart,0)))))))</f>
        <v/>
      </c>
      <c r="L2291" s="62" t="str">
        <f aca="false">IF(COUNTA($A2291,$F2291,$G2291,$H2291,$I2291,$J2291)=0,"",IF($M2291=0,"✖ كود الصف غير موجود",IF(ISNA(MATCH($F2291,Lists!$A$2:$A$5,0)),"✖ الفترة غير صحيحة",IF(ISNA(MATCH($G2291,Lists!$B$2:$B$7,0)),"✖ المجموعة غير صحيحة",IF(NOT(OR($H2291="",$N2291&gt;0)),"✖ Start غير صحيح",IF(NOT(OR($I2291="",$I2291="NR",$O2291&gt;0)),"✖ Current غير صحيح",IF(NOT(IF(ISNUMBER($J2291),AND($J2291&gt;=0,$J2291=INT($J2291)),FALSE())),"✖ العدد يجب أن يكون صحيحًا ≥ 0",IF(AND($F2291="Baseline",$H2291&lt;&gt;""),"⚠ Baseline: Start لا يدخل في التقدم",IF($K2291="No Start (attainment only)","ℹ تحصيل فقط (بدون Start)",IF($K2291="U – needs rule","ℹ حالة U تحتاج قاعدة معتمدة",IF($K2291="No result","ℹ بدون نتيجة (يُستبعد من التحصيل)","OK")))))))))))</f>
        <v/>
      </c>
      <c r="M2291" s="64" t="n">
        <f aca="false">IF($A2291="",0,IFERROR(MATCH($A2291,Classes!$A$6:$A$420,0),0))</f>
        <v>0</v>
      </c>
      <c r="N2291" s="64" t="n">
        <f aca="false">IF($H2291="",0,IFERROR(MATCH($H2291,GradeList,0),0))</f>
        <v>0</v>
      </c>
      <c r="O2291" s="64" t="n">
        <f aca="false">IF(OR($I2291="",$I2291="NR"),0,IFERROR(MATCH($I2291,GradeList,0),0))</f>
        <v>0</v>
      </c>
      <c r="P2291" s="64" t="n">
        <f aca="false">IF(AND($M2291&gt;0,ISNUMBER(MATCH($F2291,Lists!$A$2:$A$5,0)),ISNUMBER(MATCH($G2291,Lists!$B$2:$B$7,0)),OR($H2291="",$N2291&gt;0),OR($I2291="",$I2291="NR",$O2291&gt;0),IF(ISNUMBER($J2291),AND($J2291&gt;=0,$J2291=INT($J2291)),FALSE())),$J2291,0)</f>
        <v>0</v>
      </c>
      <c r="Q2291" s="64" t="n">
        <f aca="false">IF(AND($P2291&gt;0,$O2291&gt;0),$P2291,0)</f>
        <v>0</v>
      </c>
      <c r="R2291" s="64" t="n">
        <f aca="false">IF(AND($Q2291&gt;0,$O2291&gt;=AtRank),$Q2291,0)</f>
        <v>0</v>
      </c>
      <c r="S2291" s="64" t="n">
        <f aca="false">IF(AND($Q2291&gt;0,$O2291&gt;=AboveRank),$Q2291,0)</f>
        <v>0</v>
      </c>
      <c r="T2291" s="64" t="n">
        <f aca="false">IF($K2291="Less",$P2291,0)</f>
        <v>0</v>
      </c>
      <c r="U2291" s="64" t="n">
        <f aca="false">IF($K2291="Expected",$P2291,0)</f>
        <v>0</v>
      </c>
      <c r="V2291" s="64" t="n">
        <f aca="false">IF($K2291="Better",$P2291,0)</f>
        <v>0</v>
      </c>
      <c r="W2291" s="64" t="n">
        <f aca="false">IF($K2291="U – needs rule",$P2291,0)</f>
        <v>0</v>
      </c>
      <c r="X2291" s="64" t="n">
        <f aca="false">IF($K2291="No Start (attainment only)",$P2291,0)</f>
        <v>0</v>
      </c>
    </row>
    <row r="2292" customFormat="false" ht="15" hidden="false" customHeight="false" outlineLevel="0" collapsed="false">
      <c r="A2292" s="60"/>
      <c r="B2292" s="61" t="str">
        <f aca="false">IF($M2292=0,"",INDEX(Classes!$E$6:$E$420,$M2292))</f>
        <v/>
      </c>
      <c r="C2292" s="62" t="str">
        <f aca="false">IF($M2292=0,"",INDEX(Classes!$H$6:$H$420,$M2292))</f>
        <v/>
      </c>
      <c r="D2292" s="61" t="str">
        <f aca="false">IF($M2292=0,"",INDEX(Classes!$B$6:$B$420,$M2292))</f>
        <v/>
      </c>
      <c r="E2292" s="61" t="str">
        <f aca="false">IF($M2292=0,"",INDEX(Classes!$C$6:$C$420,$M2292))</f>
        <v/>
      </c>
      <c r="F2292" s="63"/>
      <c r="G2292" s="63"/>
      <c r="H2292" s="60"/>
      <c r="I2292" s="60"/>
      <c r="J2292" s="63"/>
      <c r="K2292" s="61" t="str">
        <f aca="false">IF($P2292=0,"",IF($F2292="Baseline","— Baseline",IF($O2292=0,"No result",IF($N2292=0,"No Start (attainment only)",IF(OR($N2292=1,$O2292=1),"U – needs rule",INDEX(MxBody,MATCH($I2292,MxCurr,0),MATCH($H2292,MxStart,0)))))))</f>
        <v/>
      </c>
      <c r="L2292" s="62" t="str">
        <f aca="false">IF(COUNTA($A2292,$F2292,$G2292,$H2292,$I2292,$J2292)=0,"",IF($M2292=0,"✖ كود الصف غير موجود",IF(ISNA(MATCH($F2292,Lists!$A$2:$A$5,0)),"✖ الفترة غير صحيحة",IF(ISNA(MATCH($G2292,Lists!$B$2:$B$7,0)),"✖ المجموعة غير صحيحة",IF(NOT(OR($H2292="",$N2292&gt;0)),"✖ Start غير صحيح",IF(NOT(OR($I2292="",$I2292="NR",$O2292&gt;0)),"✖ Current غير صحيح",IF(NOT(IF(ISNUMBER($J2292),AND($J2292&gt;=0,$J2292=INT($J2292)),FALSE())),"✖ العدد يجب أن يكون صحيحًا ≥ 0",IF(AND($F2292="Baseline",$H2292&lt;&gt;""),"⚠ Baseline: Start لا يدخل في التقدم",IF($K2292="No Start (attainment only)","ℹ تحصيل فقط (بدون Start)",IF($K2292="U – needs rule","ℹ حالة U تحتاج قاعدة معتمدة",IF($K2292="No result","ℹ بدون نتيجة (يُستبعد من التحصيل)","OK")))))))))))</f>
        <v/>
      </c>
      <c r="M2292" s="64" t="n">
        <f aca="false">IF($A2292="",0,IFERROR(MATCH($A2292,Classes!$A$6:$A$420,0),0))</f>
        <v>0</v>
      </c>
      <c r="N2292" s="64" t="n">
        <f aca="false">IF($H2292="",0,IFERROR(MATCH($H2292,GradeList,0),0))</f>
        <v>0</v>
      </c>
      <c r="O2292" s="64" t="n">
        <f aca="false">IF(OR($I2292="",$I2292="NR"),0,IFERROR(MATCH($I2292,GradeList,0),0))</f>
        <v>0</v>
      </c>
      <c r="P2292" s="64" t="n">
        <f aca="false">IF(AND($M2292&gt;0,ISNUMBER(MATCH($F2292,Lists!$A$2:$A$5,0)),ISNUMBER(MATCH($G2292,Lists!$B$2:$B$7,0)),OR($H2292="",$N2292&gt;0),OR($I2292="",$I2292="NR",$O2292&gt;0),IF(ISNUMBER($J2292),AND($J2292&gt;=0,$J2292=INT($J2292)),FALSE())),$J2292,0)</f>
        <v>0</v>
      </c>
      <c r="Q2292" s="64" t="n">
        <f aca="false">IF(AND($P2292&gt;0,$O2292&gt;0),$P2292,0)</f>
        <v>0</v>
      </c>
      <c r="R2292" s="64" t="n">
        <f aca="false">IF(AND($Q2292&gt;0,$O2292&gt;=AtRank),$Q2292,0)</f>
        <v>0</v>
      </c>
      <c r="S2292" s="64" t="n">
        <f aca="false">IF(AND($Q2292&gt;0,$O2292&gt;=AboveRank),$Q2292,0)</f>
        <v>0</v>
      </c>
      <c r="T2292" s="64" t="n">
        <f aca="false">IF($K2292="Less",$P2292,0)</f>
        <v>0</v>
      </c>
      <c r="U2292" s="64" t="n">
        <f aca="false">IF($K2292="Expected",$P2292,0)</f>
        <v>0</v>
      </c>
      <c r="V2292" s="64" t="n">
        <f aca="false">IF($K2292="Better",$P2292,0)</f>
        <v>0</v>
      </c>
      <c r="W2292" s="64" t="n">
        <f aca="false">IF($K2292="U – needs rule",$P2292,0)</f>
        <v>0</v>
      </c>
      <c r="X2292" s="64" t="n">
        <f aca="false">IF($K2292="No Start (attainment only)",$P2292,0)</f>
        <v>0</v>
      </c>
    </row>
    <row r="2293" customFormat="false" ht="15" hidden="false" customHeight="false" outlineLevel="0" collapsed="false">
      <c r="A2293" s="60"/>
      <c r="B2293" s="61" t="str">
        <f aca="false">IF($M2293=0,"",INDEX(Classes!$E$6:$E$420,$M2293))</f>
        <v/>
      </c>
      <c r="C2293" s="62" t="str">
        <f aca="false">IF($M2293=0,"",INDEX(Classes!$H$6:$H$420,$M2293))</f>
        <v/>
      </c>
      <c r="D2293" s="61" t="str">
        <f aca="false">IF($M2293=0,"",INDEX(Classes!$B$6:$B$420,$M2293))</f>
        <v/>
      </c>
      <c r="E2293" s="61" t="str">
        <f aca="false">IF($M2293=0,"",INDEX(Classes!$C$6:$C$420,$M2293))</f>
        <v/>
      </c>
      <c r="F2293" s="63"/>
      <c r="G2293" s="63"/>
      <c r="H2293" s="60"/>
      <c r="I2293" s="60"/>
      <c r="J2293" s="63"/>
      <c r="K2293" s="61" t="str">
        <f aca="false">IF($P2293=0,"",IF($F2293="Baseline","— Baseline",IF($O2293=0,"No result",IF($N2293=0,"No Start (attainment only)",IF(OR($N2293=1,$O2293=1),"U – needs rule",INDEX(MxBody,MATCH($I2293,MxCurr,0),MATCH($H2293,MxStart,0)))))))</f>
        <v/>
      </c>
      <c r="L2293" s="62" t="str">
        <f aca="false">IF(COUNTA($A2293,$F2293,$G2293,$H2293,$I2293,$J2293)=0,"",IF($M2293=0,"✖ كود الصف غير موجود",IF(ISNA(MATCH($F2293,Lists!$A$2:$A$5,0)),"✖ الفترة غير صحيحة",IF(ISNA(MATCH($G2293,Lists!$B$2:$B$7,0)),"✖ المجموعة غير صحيحة",IF(NOT(OR($H2293="",$N2293&gt;0)),"✖ Start غير صحيح",IF(NOT(OR($I2293="",$I2293="NR",$O2293&gt;0)),"✖ Current غير صحيح",IF(NOT(IF(ISNUMBER($J2293),AND($J2293&gt;=0,$J2293=INT($J2293)),FALSE())),"✖ العدد يجب أن يكون صحيحًا ≥ 0",IF(AND($F2293="Baseline",$H2293&lt;&gt;""),"⚠ Baseline: Start لا يدخل في التقدم",IF($K2293="No Start (attainment only)","ℹ تحصيل فقط (بدون Start)",IF($K2293="U – needs rule","ℹ حالة U تحتاج قاعدة معتمدة",IF($K2293="No result","ℹ بدون نتيجة (يُستبعد من التحصيل)","OK")))))))))))</f>
        <v/>
      </c>
      <c r="M2293" s="64" t="n">
        <f aca="false">IF($A2293="",0,IFERROR(MATCH($A2293,Classes!$A$6:$A$420,0),0))</f>
        <v>0</v>
      </c>
      <c r="N2293" s="64" t="n">
        <f aca="false">IF($H2293="",0,IFERROR(MATCH($H2293,GradeList,0),0))</f>
        <v>0</v>
      </c>
      <c r="O2293" s="64" t="n">
        <f aca="false">IF(OR($I2293="",$I2293="NR"),0,IFERROR(MATCH($I2293,GradeList,0),0))</f>
        <v>0</v>
      </c>
      <c r="P2293" s="64" t="n">
        <f aca="false">IF(AND($M2293&gt;0,ISNUMBER(MATCH($F2293,Lists!$A$2:$A$5,0)),ISNUMBER(MATCH($G2293,Lists!$B$2:$B$7,0)),OR($H2293="",$N2293&gt;0),OR($I2293="",$I2293="NR",$O2293&gt;0),IF(ISNUMBER($J2293),AND($J2293&gt;=0,$J2293=INT($J2293)),FALSE())),$J2293,0)</f>
        <v>0</v>
      </c>
      <c r="Q2293" s="64" t="n">
        <f aca="false">IF(AND($P2293&gt;0,$O2293&gt;0),$P2293,0)</f>
        <v>0</v>
      </c>
      <c r="R2293" s="64" t="n">
        <f aca="false">IF(AND($Q2293&gt;0,$O2293&gt;=AtRank),$Q2293,0)</f>
        <v>0</v>
      </c>
      <c r="S2293" s="64" t="n">
        <f aca="false">IF(AND($Q2293&gt;0,$O2293&gt;=AboveRank),$Q2293,0)</f>
        <v>0</v>
      </c>
      <c r="T2293" s="64" t="n">
        <f aca="false">IF($K2293="Less",$P2293,0)</f>
        <v>0</v>
      </c>
      <c r="U2293" s="64" t="n">
        <f aca="false">IF($K2293="Expected",$P2293,0)</f>
        <v>0</v>
      </c>
      <c r="V2293" s="64" t="n">
        <f aca="false">IF($K2293="Better",$P2293,0)</f>
        <v>0</v>
      </c>
      <c r="W2293" s="64" t="n">
        <f aca="false">IF($K2293="U – needs rule",$P2293,0)</f>
        <v>0</v>
      </c>
      <c r="X2293" s="64" t="n">
        <f aca="false">IF($K2293="No Start (attainment only)",$P2293,0)</f>
        <v>0</v>
      </c>
    </row>
    <row r="2294" customFormat="false" ht="15" hidden="false" customHeight="false" outlineLevel="0" collapsed="false">
      <c r="A2294" s="60"/>
      <c r="B2294" s="61" t="str">
        <f aca="false">IF($M2294=0,"",INDEX(Classes!$E$6:$E$420,$M2294))</f>
        <v/>
      </c>
      <c r="C2294" s="62" t="str">
        <f aca="false">IF($M2294=0,"",INDEX(Classes!$H$6:$H$420,$M2294))</f>
        <v/>
      </c>
      <c r="D2294" s="61" t="str">
        <f aca="false">IF($M2294=0,"",INDEX(Classes!$B$6:$B$420,$M2294))</f>
        <v/>
      </c>
      <c r="E2294" s="61" t="str">
        <f aca="false">IF($M2294=0,"",INDEX(Classes!$C$6:$C$420,$M2294))</f>
        <v/>
      </c>
      <c r="F2294" s="63"/>
      <c r="G2294" s="63"/>
      <c r="H2294" s="60"/>
      <c r="I2294" s="60"/>
      <c r="J2294" s="63"/>
      <c r="K2294" s="61" t="str">
        <f aca="false">IF($P2294=0,"",IF($F2294="Baseline","— Baseline",IF($O2294=0,"No result",IF($N2294=0,"No Start (attainment only)",IF(OR($N2294=1,$O2294=1),"U – needs rule",INDEX(MxBody,MATCH($I2294,MxCurr,0),MATCH($H2294,MxStart,0)))))))</f>
        <v/>
      </c>
      <c r="L2294" s="62" t="str">
        <f aca="false">IF(COUNTA($A2294,$F2294,$G2294,$H2294,$I2294,$J2294)=0,"",IF($M2294=0,"✖ كود الصف غير موجود",IF(ISNA(MATCH($F2294,Lists!$A$2:$A$5,0)),"✖ الفترة غير صحيحة",IF(ISNA(MATCH($G2294,Lists!$B$2:$B$7,0)),"✖ المجموعة غير صحيحة",IF(NOT(OR($H2294="",$N2294&gt;0)),"✖ Start غير صحيح",IF(NOT(OR($I2294="",$I2294="NR",$O2294&gt;0)),"✖ Current غير صحيح",IF(NOT(IF(ISNUMBER($J2294),AND($J2294&gt;=0,$J2294=INT($J2294)),FALSE())),"✖ العدد يجب أن يكون صحيحًا ≥ 0",IF(AND($F2294="Baseline",$H2294&lt;&gt;""),"⚠ Baseline: Start لا يدخل في التقدم",IF($K2294="No Start (attainment only)","ℹ تحصيل فقط (بدون Start)",IF($K2294="U – needs rule","ℹ حالة U تحتاج قاعدة معتمدة",IF($K2294="No result","ℹ بدون نتيجة (يُستبعد من التحصيل)","OK")))))))))))</f>
        <v/>
      </c>
      <c r="M2294" s="64" t="n">
        <f aca="false">IF($A2294="",0,IFERROR(MATCH($A2294,Classes!$A$6:$A$420,0),0))</f>
        <v>0</v>
      </c>
      <c r="N2294" s="64" t="n">
        <f aca="false">IF($H2294="",0,IFERROR(MATCH($H2294,GradeList,0),0))</f>
        <v>0</v>
      </c>
      <c r="O2294" s="64" t="n">
        <f aca="false">IF(OR($I2294="",$I2294="NR"),0,IFERROR(MATCH($I2294,GradeList,0),0))</f>
        <v>0</v>
      </c>
      <c r="P2294" s="64" t="n">
        <f aca="false">IF(AND($M2294&gt;0,ISNUMBER(MATCH($F2294,Lists!$A$2:$A$5,0)),ISNUMBER(MATCH($G2294,Lists!$B$2:$B$7,0)),OR($H2294="",$N2294&gt;0),OR($I2294="",$I2294="NR",$O2294&gt;0),IF(ISNUMBER($J2294),AND($J2294&gt;=0,$J2294=INT($J2294)),FALSE())),$J2294,0)</f>
        <v>0</v>
      </c>
      <c r="Q2294" s="64" t="n">
        <f aca="false">IF(AND($P2294&gt;0,$O2294&gt;0),$P2294,0)</f>
        <v>0</v>
      </c>
      <c r="R2294" s="64" t="n">
        <f aca="false">IF(AND($Q2294&gt;0,$O2294&gt;=AtRank),$Q2294,0)</f>
        <v>0</v>
      </c>
      <c r="S2294" s="64" t="n">
        <f aca="false">IF(AND($Q2294&gt;0,$O2294&gt;=AboveRank),$Q2294,0)</f>
        <v>0</v>
      </c>
      <c r="T2294" s="64" t="n">
        <f aca="false">IF($K2294="Less",$P2294,0)</f>
        <v>0</v>
      </c>
      <c r="U2294" s="64" t="n">
        <f aca="false">IF($K2294="Expected",$P2294,0)</f>
        <v>0</v>
      </c>
      <c r="V2294" s="64" t="n">
        <f aca="false">IF($K2294="Better",$P2294,0)</f>
        <v>0</v>
      </c>
      <c r="W2294" s="64" t="n">
        <f aca="false">IF($K2294="U – needs rule",$P2294,0)</f>
        <v>0</v>
      </c>
      <c r="X2294" s="64" t="n">
        <f aca="false">IF($K2294="No Start (attainment only)",$P2294,0)</f>
        <v>0</v>
      </c>
    </row>
    <row r="2295" customFormat="false" ht="15" hidden="false" customHeight="false" outlineLevel="0" collapsed="false">
      <c r="A2295" s="60"/>
      <c r="B2295" s="61" t="str">
        <f aca="false">IF($M2295=0,"",INDEX(Classes!$E$6:$E$420,$M2295))</f>
        <v/>
      </c>
      <c r="C2295" s="62" t="str">
        <f aca="false">IF($M2295=0,"",INDEX(Classes!$H$6:$H$420,$M2295))</f>
        <v/>
      </c>
      <c r="D2295" s="61" t="str">
        <f aca="false">IF($M2295=0,"",INDEX(Classes!$B$6:$B$420,$M2295))</f>
        <v/>
      </c>
      <c r="E2295" s="61" t="str">
        <f aca="false">IF($M2295=0,"",INDEX(Classes!$C$6:$C$420,$M2295))</f>
        <v/>
      </c>
      <c r="F2295" s="63"/>
      <c r="G2295" s="63"/>
      <c r="H2295" s="60"/>
      <c r="I2295" s="60"/>
      <c r="J2295" s="63"/>
      <c r="K2295" s="61" t="str">
        <f aca="false">IF($P2295=0,"",IF($F2295="Baseline","— Baseline",IF($O2295=0,"No result",IF($N2295=0,"No Start (attainment only)",IF(OR($N2295=1,$O2295=1),"U – needs rule",INDEX(MxBody,MATCH($I2295,MxCurr,0),MATCH($H2295,MxStart,0)))))))</f>
        <v/>
      </c>
      <c r="L2295" s="62" t="str">
        <f aca="false">IF(COUNTA($A2295,$F2295,$G2295,$H2295,$I2295,$J2295)=0,"",IF($M2295=0,"✖ كود الصف غير موجود",IF(ISNA(MATCH($F2295,Lists!$A$2:$A$5,0)),"✖ الفترة غير صحيحة",IF(ISNA(MATCH($G2295,Lists!$B$2:$B$7,0)),"✖ المجموعة غير صحيحة",IF(NOT(OR($H2295="",$N2295&gt;0)),"✖ Start غير صحيح",IF(NOT(OR($I2295="",$I2295="NR",$O2295&gt;0)),"✖ Current غير صحيح",IF(NOT(IF(ISNUMBER($J2295),AND($J2295&gt;=0,$J2295=INT($J2295)),FALSE())),"✖ العدد يجب أن يكون صحيحًا ≥ 0",IF(AND($F2295="Baseline",$H2295&lt;&gt;""),"⚠ Baseline: Start لا يدخل في التقدم",IF($K2295="No Start (attainment only)","ℹ تحصيل فقط (بدون Start)",IF($K2295="U – needs rule","ℹ حالة U تحتاج قاعدة معتمدة",IF($K2295="No result","ℹ بدون نتيجة (يُستبعد من التحصيل)","OK")))))))))))</f>
        <v/>
      </c>
      <c r="M2295" s="64" t="n">
        <f aca="false">IF($A2295="",0,IFERROR(MATCH($A2295,Classes!$A$6:$A$420,0),0))</f>
        <v>0</v>
      </c>
      <c r="N2295" s="64" t="n">
        <f aca="false">IF($H2295="",0,IFERROR(MATCH($H2295,GradeList,0),0))</f>
        <v>0</v>
      </c>
      <c r="O2295" s="64" t="n">
        <f aca="false">IF(OR($I2295="",$I2295="NR"),0,IFERROR(MATCH($I2295,GradeList,0),0))</f>
        <v>0</v>
      </c>
      <c r="P2295" s="64" t="n">
        <f aca="false">IF(AND($M2295&gt;0,ISNUMBER(MATCH($F2295,Lists!$A$2:$A$5,0)),ISNUMBER(MATCH($G2295,Lists!$B$2:$B$7,0)),OR($H2295="",$N2295&gt;0),OR($I2295="",$I2295="NR",$O2295&gt;0),IF(ISNUMBER($J2295),AND($J2295&gt;=0,$J2295=INT($J2295)),FALSE())),$J2295,0)</f>
        <v>0</v>
      </c>
      <c r="Q2295" s="64" t="n">
        <f aca="false">IF(AND($P2295&gt;0,$O2295&gt;0),$P2295,0)</f>
        <v>0</v>
      </c>
      <c r="R2295" s="64" t="n">
        <f aca="false">IF(AND($Q2295&gt;0,$O2295&gt;=AtRank),$Q2295,0)</f>
        <v>0</v>
      </c>
      <c r="S2295" s="64" t="n">
        <f aca="false">IF(AND($Q2295&gt;0,$O2295&gt;=AboveRank),$Q2295,0)</f>
        <v>0</v>
      </c>
      <c r="T2295" s="64" t="n">
        <f aca="false">IF($K2295="Less",$P2295,0)</f>
        <v>0</v>
      </c>
      <c r="U2295" s="64" t="n">
        <f aca="false">IF($K2295="Expected",$P2295,0)</f>
        <v>0</v>
      </c>
      <c r="V2295" s="64" t="n">
        <f aca="false">IF($K2295="Better",$P2295,0)</f>
        <v>0</v>
      </c>
      <c r="W2295" s="64" t="n">
        <f aca="false">IF($K2295="U – needs rule",$P2295,0)</f>
        <v>0</v>
      </c>
      <c r="X2295" s="64" t="n">
        <f aca="false">IF($K2295="No Start (attainment only)",$P2295,0)</f>
        <v>0</v>
      </c>
    </row>
    <row r="2296" customFormat="false" ht="15" hidden="false" customHeight="false" outlineLevel="0" collapsed="false">
      <c r="A2296" s="60"/>
      <c r="B2296" s="61" t="str">
        <f aca="false">IF($M2296=0,"",INDEX(Classes!$E$6:$E$420,$M2296))</f>
        <v/>
      </c>
      <c r="C2296" s="62" t="str">
        <f aca="false">IF($M2296=0,"",INDEX(Classes!$H$6:$H$420,$M2296))</f>
        <v/>
      </c>
      <c r="D2296" s="61" t="str">
        <f aca="false">IF($M2296=0,"",INDEX(Classes!$B$6:$B$420,$M2296))</f>
        <v/>
      </c>
      <c r="E2296" s="61" t="str">
        <f aca="false">IF($M2296=0,"",INDEX(Classes!$C$6:$C$420,$M2296))</f>
        <v/>
      </c>
      <c r="F2296" s="63"/>
      <c r="G2296" s="63"/>
      <c r="H2296" s="60"/>
      <c r="I2296" s="60"/>
      <c r="J2296" s="63"/>
      <c r="K2296" s="61" t="str">
        <f aca="false">IF($P2296=0,"",IF($F2296="Baseline","— Baseline",IF($O2296=0,"No result",IF($N2296=0,"No Start (attainment only)",IF(OR($N2296=1,$O2296=1),"U – needs rule",INDEX(MxBody,MATCH($I2296,MxCurr,0),MATCH($H2296,MxStart,0)))))))</f>
        <v/>
      </c>
      <c r="L2296" s="62" t="str">
        <f aca="false">IF(COUNTA($A2296,$F2296,$G2296,$H2296,$I2296,$J2296)=0,"",IF($M2296=0,"✖ كود الصف غير موجود",IF(ISNA(MATCH($F2296,Lists!$A$2:$A$5,0)),"✖ الفترة غير صحيحة",IF(ISNA(MATCH($G2296,Lists!$B$2:$B$7,0)),"✖ المجموعة غير صحيحة",IF(NOT(OR($H2296="",$N2296&gt;0)),"✖ Start غير صحيح",IF(NOT(OR($I2296="",$I2296="NR",$O2296&gt;0)),"✖ Current غير صحيح",IF(NOT(IF(ISNUMBER($J2296),AND($J2296&gt;=0,$J2296=INT($J2296)),FALSE())),"✖ العدد يجب أن يكون صحيحًا ≥ 0",IF(AND($F2296="Baseline",$H2296&lt;&gt;""),"⚠ Baseline: Start لا يدخل في التقدم",IF($K2296="No Start (attainment only)","ℹ تحصيل فقط (بدون Start)",IF($K2296="U – needs rule","ℹ حالة U تحتاج قاعدة معتمدة",IF($K2296="No result","ℹ بدون نتيجة (يُستبعد من التحصيل)","OK")))))))))))</f>
        <v/>
      </c>
      <c r="M2296" s="64" t="n">
        <f aca="false">IF($A2296="",0,IFERROR(MATCH($A2296,Classes!$A$6:$A$420,0),0))</f>
        <v>0</v>
      </c>
      <c r="N2296" s="64" t="n">
        <f aca="false">IF($H2296="",0,IFERROR(MATCH($H2296,GradeList,0),0))</f>
        <v>0</v>
      </c>
      <c r="O2296" s="64" t="n">
        <f aca="false">IF(OR($I2296="",$I2296="NR"),0,IFERROR(MATCH($I2296,GradeList,0),0))</f>
        <v>0</v>
      </c>
      <c r="P2296" s="64" t="n">
        <f aca="false">IF(AND($M2296&gt;0,ISNUMBER(MATCH($F2296,Lists!$A$2:$A$5,0)),ISNUMBER(MATCH($G2296,Lists!$B$2:$B$7,0)),OR($H2296="",$N2296&gt;0),OR($I2296="",$I2296="NR",$O2296&gt;0),IF(ISNUMBER($J2296),AND($J2296&gt;=0,$J2296=INT($J2296)),FALSE())),$J2296,0)</f>
        <v>0</v>
      </c>
      <c r="Q2296" s="64" t="n">
        <f aca="false">IF(AND($P2296&gt;0,$O2296&gt;0),$P2296,0)</f>
        <v>0</v>
      </c>
      <c r="R2296" s="64" t="n">
        <f aca="false">IF(AND($Q2296&gt;0,$O2296&gt;=AtRank),$Q2296,0)</f>
        <v>0</v>
      </c>
      <c r="S2296" s="64" t="n">
        <f aca="false">IF(AND($Q2296&gt;0,$O2296&gt;=AboveRank),$Q2296,0)</f>
        <v>0</v>
      </c>
      <c r="T2296" s="64" t="n">
        <f aca="false">IF($K2296="Less",$P2296,0)</f>
        <v>0</v>
      </c>
      <c r="U2296" s="64" t="n">
        <f aca="false">IF($K2296="Expected",$P2296,0)</f>
        <v>0</v>
      </c>
      <c r="V2296" s="64" t="n">
        <f aca="false">IF($K2296="Better",$P2296,0)</f>
        <v>0</v>
      </c>
      <c r="W2296" s="64" t="n">
        <f aca="false">IF($K2296="U – needs rule",$P2296,0)</f>
        <v>0</v>
      </c>
      <c r="X2296" s="64" t="n">
        <f aca="false">IF($K2296="No Start (attainment only)",$P2296,0)</f>
        <v>0</v>
      </c>
    </row>
    <row r="2297" customFormat="false" ht="15" hidden="false" customHeight="false" outlineLevel="0" collapsed="false">
      <c r="A2297" s="60"/>
      <c r="B2297" s="61" t="str">
        <f aca="false">IF($M2297=0,"",INDEX(Classes!$E$6:$E$420,$M2297))</f>
        <v/>
      </c>
      <c r="C2297" s="62" t="str">
        <f aca="false">IF($M2297=0,"",INDEX(Classes!$H$6:$H$420,$M2297))</f>
        <v/>
      </c>
      <c r="D2297" s="61" t="str">
        <f aca="false">IF($M2297=0,"",INDEX(Classes!$B$6:$B$420,$M2297))</f>
        <v/>
      </c>
      <c r="E2297" s="61" t="str">
        <f aca="false">IF($M2297=0,"",INDEX(Classes!$C$6:$C$420,$M2297))</f>
        <v/>
      </c>
      <c r="F2297" s="63"/>
      <c r="G2297" s="63"/>
      <c r="H2297" s="60"/>
      <c r="I2297" s="60"/>
      <c r="J2297" s="63"/>
      <c r="K2297" s="61" t="str">
        <f aca="false">IF($P2297=0,"",IF($F2297="Baseline","— Baseline",IF($O2297=0,"No result",IF($N2297=0,"No Start (attainment only)",IF(OR($N2297=1,$O2297=1),"U – needs rule",INDEX(MxBody,MATCH($I2297,MxCurr,0),MATCH($H2297,MxStart,0)))))))</f>
        <v/>
      </c>
      <c r="L2297" s="62" t="str">
        <f aca="false">IF(COUNTA($A2297,$F2297,$G2297,$H2297,$I2297,$J2297)=0,"",IF($M2297=0,"✖ كود الصف غير موجود",IF(ISNA(MATCH($F2297,Lists!$A$2:$A$5,0)),"✖ الفترة غير صحيحة",IF(ISNA(MATCH($G2297,Lists!$B$2:$B$7,0)),"✖ المجموعة غير صحيحة",IF(NOT(OR($H2297="",$N2297&gt;0)),"✖ Start غير صحيح",IF(NOT(OR($I2297="",$I2297="NR",$O2297&gt;0)),"✖ Current غير صحيح",IF(NOT(IF(ISNUMBER($J2297),AND($J2297&gt;=0,$J2297=INT($J2297)),FALSE())),"✖ العدد يجب أن يكون صحيحًا ≥ 0",IF(AND($F2297="Baseline",$H2297&lt;&gt;""),"⚠ Baseline: Start لا يدخل في التقدم",IF($K2297="No Start (attainment only)","ℹ تحصيل فقط (بدون Start)",IF($K2297="U – needs rule","ℹ حالة U تحتاج قاعدة معتمدة",IF($K2297="No result","ℹ بدون نتيجة (يُستبعد من التحصيل)","OK")))))))))))</f>
        <v/>
      </c>
      <c r="M2297" s="64" t="n">
        <f aca="false">IF($A2297="",0,IFERROR(MATCH($A2297,Classes!$A$6:$A$420,0),0))</f>
        <v>0</v>
      </c>
      <c r="N2297" s="64" t="n">
        <f aca="false">IF($H2297="",0,IFERROR(MATCH($H2297,GradeList,0),0))</f>
        <v>0</v>
      </c>
      <c r="O2297" s="64" t="n">
        <f aca="false">IF(OR($I2297="",$I2297="NR"),0,IFERROR(MATCH($I2297,GradeList,0),0))</f>
        <v>0</v>
      </c>
      <c r="P2297" s="64" t="n">
        <f aca="false">IF(AND($M2297&gt;0,ISNUMBER(MATCH($F2297,Lists!$A$2:$A$5,0)),ISNUMBER(MATCH($G2297,Lists!$B$2:$B$7,0)),OR($H2297="",$N2297&gt;0),OR($I2297="",$I2297="NR",$O2297&gt;0),IF(ISNUMBER($J2297),AND($J2297&gt;=0,$J2297=INT($J2297)),FALSE())),$J2297,0)</f>
        <v>0</v>
      </c>
      <c r="Q2297" s="64" t="n">
        <f aca="false">IF(AND($P2297&gt;0,$O2297&gt;0),$P2297,0)</f>
        <v>0</v>
      </c>
      <c r="R2297" s="64" t="n">
        <f aca="false">IF(AND($Q2297&gt;0,$O2297&gt;=AtRank),$Q2297,0)</f>
        <v>0</v>
      </c>
      <c r="S2297" s="64" t="n">
        <f aca="false">IF(AND($Q2297&gt;0,$O2297&gt;=AboveRank),$Q2297,0)</f>
        <v>0</v>
      </c>
      <c r="T2297" s="64" t="n">
        <f aca="false">IF($K2297="Less",$P2297,0)</f>
        <v>0</v>
      </c>
      <c r="U2297" s="64" t="n">
        <f aca="false">IF($K2297="Expected",$P2297,0)</f>
        <v>0</v>
      </c>
      <c r="V2297" s="64" t="n">
        <f aca="false">IF($K2297="Better",$P2297,0)</f>
        <v>0</v>
      </c>
      <c r="W2297" s="64" t="n">
        <f aca="false">IF($K2297="U – needs rule",$P2297,0)</f>
        <v>0</v>
      </c>
      <c r="X2297" s="64" t="n">
        <f aca="false">IF($K2297="No Start (attainment only)",$P2297,0)</f>
        <v>0</v>
      </c>
    </row>
    <row r="2298" customFormat="false" ht="15" hidden="false" customHeight="false" outlineLevel="0" collapsed="false">
      <c r="A2298" s="60"/>
      <c r="B2298" s="61" t="str">
        <f aca="false">IF($M2298=0,"",INDEX(Classes!$E$6:$E$420,$M2298))</f>
        <v/>
      </c>
      <c r="C2298" s="62" t="str">
        <f aca="false">IF($M2298=0,"",INDEX(Classes!$H$6:$H$420,$M2298))</f>
        <v/>
      </c>
      <c r="D2298" s="61" t="str">
        <f aca="false">IF($M2298=0,"",INDEX(Classes!$B$6:$B$420,$M2298))</f>
        <v/>
      </c>
      <c r="E2298" s="61" t="str">
        <f aca="false">IF($M2298=0,"",INDEX(Classes!$C$6:$C$420,$M2298))</f>
        <v/>
      </c>
      <c r="F2298" s="63"/>
      <c r="G2298" s="63"/>
      <c r="H2298" s="60"/>
      <c r="I2298" s="60"/>
      <c r="J2298" s="63"/>
      <c r="K2298" s="61" t="str">
        <f aca="false">IF($P2298=0,"",IF($F2298="Baseline","— Baseline",IF($O2298=0,"No result",IF($N2298=0,"No Start (attainment only)",IF(OR($N2298=1,$O2298=1),"U – needs rule",INDEX(MxBody,MATCH($I2298,MxCurr,0),MATCH($H2298,MxStart,0)))))))</f>
        <v/>
      </c>
      <c r="L2298" s="62" t="str">
        <f aca="false">IF(COUNTA($A2298,$F2298,$G2298,$H2298,$I2298,$J2298)=0,"",IF($M2298=0,"✖ كود الصف غير موجود",IF(ISNA(MATCH($F2298,Lists!$A$2:$A$5,0)),"✖ الفترة غير صحيحة",IF(ISNA(MATCH($G2298,Lists!$B$2:$B$7,0)),"✖ المجموعة غير صحيحة",IF(NOT(OR($H2298="",$N2298&gt;0)),"✖ Start غير صحيح",IF(NOT(OR($I2298="",$I2298="NR",$O2298&gt;0)),"✖ Current غير صحيح",IF(NOT(IF(ISNUMBER($J2298),AND($J2298&gt;=0,$J2298=INT($J2298)),FALSE())),"✖ العدد يجب أن يكون صحيحًا ≥ 0",IF(AND($F2298="Baseline",$H2298&lt;&gt;""),"⚠ Baseline: Start لا يدخل في التقدم",IF($K2298="No Start (attainment only)","ℹ تحصيل فقط (بدون Start)",IF($K2298="U – needs rule","ℹ حالة U تحتاج قاعدة معتمدة",IF($K2298="No result","ℹ بدون نتيجة (يُستبعد من التحصيل)","OK")))))))))))</f>
        <v/>
      </c>
      <c r="M2298" s="64" t="n">
        <f aca="false">IF($A2298="",0,IFERROR(MATCH($A2298,Classes!$A$6:$A$420,0),0))</f>
        <v>0</v>
      </c>
      <c r="N2298" s="64" t="n">
        <f aca="false">IF($H2298="",0,IFERROR(MATCH($H2298,GradeList,0),0))</f>
        <v>0</v>
      </c>
      <c r="O2298" s="64" t="n">
        <f aca="false">IF(OR($I2298="",$I2298="NR"),0,IFERROR(MATCH($I2298,GradeList,0),0))</f>
        <v>0</v>
      </c>
      <c r="P2298" s="64" t="n">
        <f aca="false">IF(AND($M2298&gt;0,ISNUMBER(MATCH($F2298,Lists!$A$2:$A$5,0)),ISNUMBER(MATCH($G2298,Lists!$B$2:$B$7,0)),OR($H2298="",$N2298&gt;0),OR($I2298="",$I2298="NR",$O2298&gt;0),IF(ISNUMBER($J2298),AND($J2298&gt;=0,$J2298=INT($J2298)),FALSE())),$J2298,0)</f>
        <v>0</v>
      </c>
      <c r="Q2298" s="64" t="n">
        <f aca="false">IF(AND($P2298&gt;0,$O2298&gt;0),$P2298,0)</f>
        <v>0</v>
      </c>
      <c r="R2298" s="64" t="n">
        <f aca="false">IF(AND($Q2298&gt;0,$O2298&gt;=AtRank),$Q2298,0)</f>
        <v>0</v>
      </c>
      <c r="S2298" s="64" t="n">
        <f aca="false">IF(AND($Q2298&gt;0,$O2298&gt;=AboveRank),$Q2298,0)</f>
        <v>0</v>
      </c>
      <c r="T2298" s="64" t="n">
        <f aca="false">IF($K2298="Less",$P2298,0)</f>
        <v>0</v>
      </c>
      <c r="U2298" s="64" t="n">
        <f aca="false">IF($K2298="Expected",$P2298,0)</f>
        <v>0</v>
      </c>
      <c r="V2298" s="64" t="n">
        <f aca="false">IF($K2298="Better",$P2298,0)</f>
        <v>0</v>
      </c>
      <c r="W2298" s="64" t="n">
        <f aca="false">IF($K2298="U – needs rule",$P2298,0)</f>
        <v>0</v>
      </c>
      <c r="X2298" s="64" t="n">
        <f aca="false">IF($K2298="No Start (attainment only)",$P2298,0)</f>
        <v>0</v>
      </c>
    </row>
    <row r="2299" customFormat="false" ht="15" hidden="false" customHeight="false" outlineLevel="0" collapsed="false">
      <c r="A2299" s="60"/>
      <c r="B2299" s="61" t="str">
        <f aca="false">IF($M2299=0,"",INDEX(Classes!$E$6:$E$420,$M2299))</f>
        <v/>
      </c>
      <c r="C2299" s="62" t="str">
        <f aca="false">IF($M2299=0,"",INDEX(Classes!$H$6:$H$420,$M2299))</f>
        <v/>
      </c>
      <c r="D2299" s="61" t="str">
        <f aca="false">IF($M2299=0,"",INDEX(Classes!$B$6:$B$420,$M2299))</f>
        <v/>
      </c>
      <c r="E2299" s="61" t="str">
        <f aca="false">IF($M2299=0,"",INDEX(Classes!$C$6:$C$420,$M2299))</f>
        <v/>
      </c>
      <c r="F2299" s="63"/>
      <c r="G2299" s="63"/>
      <c r="H2299" s="60"/>
      <c r="I2299" s="60"/>
      <c r="J2299" s="63"/>
      <c r="K2299" s="61" t="str">
        <f aca="false">IF($P2299=0,"",IF($F2299="Baseline","— Baseline",IF($O2299=0,"No result",IF($N2299=0,"No Start (attainment only)",IF(OR($N2299=1,$O2299=1),"U – needs rule",INDEX(MxBody,MATCH($I2299,MxCurr,0),MATCH($H2299,MxStart,0)))))))</f>
        <v/>
      </c>
      <c r="L2299" s="62" t="str">
        <f aca="false">IF(COUNTA($A2299,$F2299,$G2299,$H2299,$I2299,$J2299)=0,"",IF($M2299=0,"✖ كود الصف غير موجود",IF(ISNA(MATCH($F2299,Lists!$A$2:$A$5,0)),"✖ الفترة غير صحيحة",IF(ISNA(MATCH($G2299,Lists!$B$2:$B$7,0)),"✖ المجموعة غير صحيحة",IF(NOT(OR($H2299="",$N2299&gt;0)),"✖ Start غير صحيح",IF(NOT(OR($I2299="",$I2299="NR",$O2299&gt;0)),"✖ Current غير صحيح",IF(NOT(IF(ISNUMBER($J2299),AND($J2299&gt;=0,$J2299=INT($J2299)),FALSE())),"✖ العدد يجب أن يكون صحيحًا ≥ 0",IF(AND($F2299="Baseline",$H2299&lt;&gt;""),"⚠ Baseline: Start لا يدخل في التقدم",IF($K2299="No Start (attainment only)","ℹ تحصيل فقط (بدون Start)",IF($K2299="U – needs rule","ℹ حالة U تحتاج قاعدة معتمدة",IF($K2299="No result","ℹ بدون نتيجة (يُستبعد من التحصيل)","OK")))))))))))</f>
        <v/>
      </c>
      <c r="M2299" s="64" t="n">
        <f aca="false">IF($A2299="",0,IFERROR(MATCH($A2299,Classes!$A$6:$A$420,0),0))</f>
        <v>0</v>
      </c>
      <c r="N2299" s="64" t="n">
        <f aca="false">IF($H2299="",0,IFERROR(MATCH($H2299,GradeList,0),0))</f>
        <v>0</v>
      </c>
      <c r="O2299" s="64" t="n">
        <f aca="false">IF(OR($I2299="",$I2299="NR"),0,IFERROR(MATCH($I2299,GradeList,0),0))</f>
        <v>0</v>
      </c>
      <c r="P2299" s="64" t="n">
        <f aca="false">IF(AND($M2299&gt;0,ISNUMBER(MATCH($F2299,Lists!$A$2:$A$5,0)),ISNUMBER(MATCH($G2299,Lists!$B$2:$B$7,0)),OR($H2299="",$N2299&gt;0),OR($I2299="",$I2299="NR",$O2299&gt;0),IF(ISNUMBER($J2299),AND($J2299&gt;=0,$J2299=INT($J2299)),FALSE())),$J2299,0)</f>
        <v>0</v>
      </c>
      <c r="Q2299" s="64" t="n">
        <f aca="false">IF(AND($P2299&gt;0,$O2299&gt;0),$P2299,0)</f>
        <v>0</v>
      </c>
      <c r="R2299" s="64" t="n">
        <f aca="false">IF(AND($Q2299&gt;0,$O2299&gt;=AtRank),$Q2299,0)</f>
        <v>0</v>
      </c>
      <c r="S2299" s="64" t="n">
        <f aca="false">IF(AND($Q2299&gt;0,$O2299&gt;=AboveRank),$Q2299,0)</f>
        <v>0</v>
      </c>
      <c r="T2299" s="64" t="n">
        <f aca="false">IF($K2299="Less",$P2299,0)</f>
        <v>0</v>
      </c>
      <c r="U2299" s="64" t="n">
        <f aca="false">IF($K2299="Expected",$P2299,0)</f>
        <v>0</v>
      </c>
      <c r="V2299" s="64" t="n">
        <f aca="false">IF($K2299="Better",$P2299,0)</f>
        <v>0</v>
      </c>
      <c r="W2299" s="64" t="n">
        <f aca="false">IF($K2299="U – needs rule",$P2299,0)</f>
        <v>0</v>
      </c>
      <c r="X2299" s="64" t="n">
        <f aca="false">IF($K2299="No Start (attainment only)",$P2299,0)</f>
        <v>0</v>
      </c>
    </row>
    <row r="2300" customFormat="false" ht="15" hidden="false" customHeight="false" outlineLevel="0" collapsed="false">
      <c r="A2300" s="60"/>
      <c r="B2300" s="61" t="str">
        <f aca="false">IF($M2300=0,"",INDEX(Classes!$E$6:$E$420,$M2300))</f>
        <v/>
      </c>
      <c r="C2300" s="62" t="str">
        <f aca="false">IF($M2300=0,"",INDEX(Classes!$H$6:$H$420,$M2300))</f>
        <v/>
      </c>
      <c r="D2300" s="61" t="str">
        <f aca="false">IF($M2300=0,"",INDEX(Classes!$B$6:$B$420,$M2300))</f>
        <v/>
      </c>
      <c r="E2300" s="61" t="str">
        <f aca="false">IF($M2300=0,"",INDEX(Classes!$C$6:$C$420,$M2300))</f>
        <v/>
      </c>
      <c r="F2300" s="63"/>
      <c r="G2300" s="63"/>
      <c r="H2300" s="60"/>
      <c r="I2300" s="60"/>
      <c r="J2300" s="63"/>
      <c r="K2300" s="61" t="str">
        <f aca="false">IF($P2300=0,"",IF($F2300="Baseline","— Baseline",IF($O2300=0,"No result",IF($N2300=0,"No Start (attainment only)",IF(OR($N2300=1,$O2300=1),"U – needs rule",INDEX(MxBody,MATCH($I2300,MxCurr,0),MATCH($H2300,MxStart,0)))))))</f>
        <v/>
      </c>
      <c r="L2300" s="62" t="str">
        <f aca="false">IF(COUNTA($A2300,$F2300,$G2300,$H2300,$I2300,$J2300)=0,"",IF($M2300=0,"✖ كود الصف غير موجود",IF(ISNA(MATCH($F2300,Lists!$A$2:$A$5,0)),"✖ الفترة غير صحيحة",IF(ISNA(MATCH($G2300,Lists!$B$2:$B$7,0)),"✖ المجموعة غير صحيحة",IF(NOT(OR($H2300="",$N2300&gt;0)),"✖ Start غير صحيح",IF(NOT(OR($I2300="",$I2300="NR",$O2300&gt;0)),"✖ Current غير صحيح",IF(NOT(IF(ISNUMBER($J2300),AND($J2300&gt;=0,$J2300=INT($J2300)),FALSE())),"✖ العدد يجب أن يكون صحيحًا ≥ 0",IF(AND($F2300="Baseline",$H2300&lt;&gt;""),"⚠ Baseline: Start لا يدخل في التقدم",IF($K2300="No Start (attainment only)","ℹ تحصيل فقط (بدون Start)",IF($K2300="U – needs rule","ℹ حالة U تحتاج قاعدة معتمدة",IF($K2300="No result","ℹ بدون نتيجة (يُستبعد من التحصيل)","OK")))))))))))</f>
        <v/>
      </c>
      <c r="M2300" s="64" t="n">
        <f aca="false">IF($A2300="",0,IFERROR(MATCH($A2300,Classes!$A$6:$A$420,0),0))</f>
        <v>0</v>
      </c>
      <c r="N2300" s="64" t="n">
        <f aca="false">IF($H2300="",0,IFERROR(MATCH($H2300,GradeList,0),0))</f>
        <v>0</v>
      </c>
      <c r="O2300" s="64" t="n">
        <f aca="false">IF(OR($I2300="",$I2300="NR"),0,IFERROR(MATCH($I2300,GradeList,0),0))</f>
        <v>0</v>
      </c>
      <c r="P2300" s="64" t="n">
        <f aca="false">IF(AND($M2300&gt;0,ISNUMBER(MATCH($F2300,Lists!$A$2:$A$5,0)),ISNUMBER(MATCH($G2300,Lists!$B$2:$B$7,0)),OR($H2300="",$N2300&gt;0),OR($I2300="",$I2300="NR",$O2300&gt;0),IF(ISNUMBER($J2300),AND($J2300&gt;=0,$J2300=INT($J2300)),FALSE())),$J2300,0)</f>
        <v>0</v>
      </c>
      <c r="Q2300" s="64" t="n">
        <f aca="false">IF(AND($P2300&gt;0,$O2300&gt;0),$P2300,0)</f>
        <v>0</v>
      </c>
      <c r="R2300" s="64" t="n">
        <f aca="false">IF(AND($Q2300&gt;0,$O2300&gt;=AtRank),$Q2300,0)</f>
        <v>0</v>
      </c>
      <c r="S2300" s="64" t="n">
        <f aca="false">IF(AND($Q2300&gt;0,$O2300&gt;=AboveRank),$Q2300,0)</f>
        <v>0</v>
      </c>
      <c r="T2300" s="64" t="n">
        <f aca="false">IF($K2300="Less",$P2300,0)</f>
        <v>0</v>
      </c>
      <c r="U2300" s="64" t="n">
        <f aca="false">IF($K2300="Expected",$P2300,0)</f>
        <v>0</v>
      </c>
      <c r="V2300" s="64" t="n">
        <f aca="false">IF($K2300="Better",$P2300,0)</f>
        <v>0</v>
      </c>
      <c r="W2300" s="64" t="n">
        <f aca="false">IF($K2300="U – needs rule",$P2300,0)</f>
        <v>0</v>
      </c>
      <c r="X2300" s="64" t="n">
        <f aca="false">IF($K2300="No Start (attainment only)",$P2300,0)</f>
        <v>0</v>
      </c>
    </row>
    <row r="2301" customFormat="false" ht="15" hidden="false" customHeight="false" outlineLevel="0" collapsed="false">
      <c r="A2301" s="60"/>
      <c r="B2301" s="61" t="str">
        <f aca="false">IF($M2301=0,"",INDEX(Classes!$E$6:$E$420,$M2301))</f>
        <v/>
      </c>
      <c r="C2301" s="62" t="str">
        <f aca="false">IF($M2301=0,"",INDEX(Classes!$H$6:$H$420,$M2301))</f>
        <v/>
      </c>
      <c r="D2301" s="61" t="str">
        <f aca="false">IF($M2301=0,"",INDEX(Classes!$B$6:$B$420,$M2301))</f>
        <v/>
      </c>
      <c r="E2301" s="61" t="str">
        <f aca="false">IF($M2301=0,"",INDEX(Classes!$C$6:$C$420,$M2301))</f>
        <v/>
      </c>
      <c r="F2301" s="63"/>
      <c r="G2301" s="63"/>
      <c r="H2301" s="60"/>
      <c r="I2301" s="60"/>
      <c r="J2301" s="63"/>
      <c r="K2301" s="61" t="str">
        <f aca="false">IF($P2301=0,"",IF($F2301="Baseline","— Baseline",IF($O2301=0,"No result",IF($N2301=0,"No Start (attainment only)",IF(OR($N2301=1,$O2301=1),"U – needs rule",INDEX(MxBody,MATCH($I2301,MxCurr,0),MATCH($H2301,MxStart,0)))))))</f>
        <v/>
      </c>
      <c r="L2301" s="62" t="str">
        <f aca="false">IF(COUNTA($A2301,$F2301,$G2301,$H2301,$I2301,$J2301)=0,"",IF($M2301=0,"✖ كود الصف غير موجود",IF(ISNA(MATCH($F2301,Lists!$A$2:$A$5,0)),"✖ الفترة غير صحيحة",IF(ISNA(MATCH($G2301,Lists!$B$2:$B$7,0)),"✖ المجموعة غير صحيحة",IF(NOT(OR($H2301="",$N2301&gt;0)),"✖ Start غير صحيح",IF(NOT(OR($I2301="",$I2301="NR",$O2301&gt;0)),"✖ Current غير صحيح",IF(NOT(IF(ISNUMBER($J2301),AND($J2301&gt;=0,$J2301=INT($J2301)),FALSE())),"✖ العدد يجب أن يكون صحيحًا ≥ 0",IF(AND($F2301="Baseline",$H2301&lt;&gt;""),"⚠ Baseline: Start لا يدخل في التقدم",IF($K2301="No Start (attainment only)","ℹ تحصيل فقط (بدون Start)",IF($K2301="U – needs rule","ℹ حالة U تحتاج قاعدة معتمدة",IF($K2301="No result","ℹ بدون نتيجة (يُستبعد من التحصيل)","OK")))))))))))</f>
        <v/>
      </c>
      <c r="M2301" s="64" t="n">
        <f aca="false">IF($A2301="",0,IFERROR(MATCH($A2301,Classes!$A$6:$A$420,0),0))</f>
        <v>0</v>
      </c>
      <c r="N2301" s="64" t="n">
        <f aca="false">IF($H2301="",0,IFERROR(MATCH($H2301,GradeList,0),0))</f>
        <v>0</v>
      </c>
      <c r="O2301" s="64" t="n">
        <f aca="false">IF(OR($I2301="",$I2301="NR"),0,IFERROR(MATCH($I2301,GradeList,0),0))</f>
        <v>0</v>
      </c>
      <c r="P2301" s="64" t="n">
        <f aca="false">IF(AND($M2301&gt;0,ISNUMBER(MATCH($F2301,Lists!$A$2:$A$5,0)),ISNUMBER(MATCH($G2301,Lists!$B$2:$B$7,0)),OR($H2301="",$N2301&gt;0),OR($I2301="",$I2301="NR",$O2301&gt;0),IF(ISNUMBER($J2301),AND($J2301&gt;=0,$J2301=INT($J2301)),FALSE())),$J2301,0)</f>
        <v>0</v>
      </c>
      <c r="Q2301" s="64" t="n">
        <f aca="false">IF(AND($P2301&gt;0,$O2301&gt;0),$P2301,0)</f>
        <v>0</v>
      </c>
      <c r="R2301" s="64" t="n">
        <f aca="false">IF(AND($Q2301&gt;0,$O2301&gt;=AtRank),$Q2301,0)</f>
        <v>0</v>
      </c>
      <c r="S2301" s="64" t="n">
        <f aca="false">IF(AND($Q2301&gt;0,$O2301&gt;=AboveRank),$Q2301,0)</f>
        <v>0</v>
      </c>
      <c r="T2301" s="64" t="n">
        <f aca="false">IF($K2301="Less",$P2301,0)</f>
        <v>0</v>
      </c>
      <c r="U2301" s="64" t="n">
        <f aca="false">IF($K2301="Expected",$P2301,0)</f>
        <v>0</v>
      </c>
      <c r="V2301" s="64" t="n">
        <f aca="false">IF($K2301="Better",$P2301,0)</f>
        <v>0</v>
      </c>
      <c r="W2301" s="64" t="n">
        <f aca="false">IF($K2301="U – needs rule",$P2301,0)</f>
        <v>0</v>
      </c>
      <c r="X2301" s="64" t="n">
        <f aca="false">IF($K2301="No Start (attainment only)",$P2301,0)</f>
        <v>0</v>
      </c>
    </row>
    <row r="2302" customFormat="false" ht="15" hidden="false" customHeight="false" outlineLevel="0" collapsed="false">
      <c r="A2302" s="60"/>
      <c r="B2302" s="61" t="str">
        <f aca="false">IF($M2302=0,"",INDEX(Classes!$E$6:$E$420,$M2302))</f>
        <v/>
      </c>
      <c r="C2302" s="62" t="str">
        <f aca="false">IF($M2302=0,"",INDEX(Classes!$H$6:$H$420,$M2302))</f>
        <v/>
      </c>
      <c r="D2302" s="61" t="str">
        <f aca="false">IF($M2302=0,"",INDEX(Classes!$B$6:$B$420,$M2302))</f>
        <v/>
      </c>
      <c r="E2302" s="61" t="str">
        <f aca="false">IF($M2302=0,"",INDEX(Classes!$C$6:$C$420,$M2302))</f>
        <v/>
      </c>
      <c r="F2302" s="63"/>
      <c r="G2302" s="63"/>
      <c r="H2302" s="60"/>
      <c r="I2302" s="60"/>
      <c r="J2302" s="63"/>
      <c r="K2302" s="61" t="str">
        <f aca="false">IF($P2302=0,"",IF($F2302="Baseline","— Baseline",IF($O2302=0,"No result",IF($N2302=0,"No Start (attainment only)",IF(OR($N2302=1,$O2302=1),"U – needs rule",INDEX(MxBody,MATCH($I2302,MxCurr,0),MATCH($H2302,MxStart,0)))))))</f>
        <v/>
      </c>
      <c r="L2302" s="62" t="str">
        <f aca="false">IF(COUNTA($A2302,$F2302,$G2302,$H2302,$I2302,$J2302)=0,"",IF($M2302=0,"✖ كود الصف غير موجود",IF(ISNA(MATCH($F2302,Lists!$A$2:$A$5,0)),"✖ الفترة غير صحيحة",IF(ISNA(MATCH($G2302,Lists!$B$2:$B$7,0)),"✖ المجموعة غير صحيحة",IF(NOT(OR($H2302="",$N2302&gt;0)),"✖ Start غير صحيح",IF(NOT(OR($I2302="",$I2302="NR",$O2302&gt;0)),"✖ Current غير صحيح",IF(NOT(IF(ISNUMBER($J2302),AND($J2302&gt;=0,$J2302=INT($J2302)),FALSE())),"✖ العدد يجب أن يكون صحيحًا ≥ 0",IF(AND($F2302="Baseline",$H2302&lt;&gt;""),"⚠ Baseline: Start لا يدخل في التقدم",IF($K2302="No Start (attainment only)","ℹ تحصيل فقط (بدون Start)",IF($K2302="U – needs rule","ℹ حالة U تحتاج قاعدة معتمدة",IF($K2302="No result","ℹ بدون نتيجة (يُستبعد من التحصيل)","OK")))))))))))</f>
        <v/>
      </c>
      <c r="M2302" s="64" t="n">
        <f aca="false">IF($A2302="",0,IFERROR(MATCH($A2302,Classes!$A$6:$A$420,0),0))</f>
        <v>0</v>
      </c>
      <c r="N2302" s="64" t="n">
        <f aca="false">IF($H2302="",0,IFERROR(MATCH($H2302,GradeList,0),0))</f>
        <v>0</v>
      </c>
      <c r="O2302" s="64" t="n">
        <f aca="false">IF(OR($I2302="",$I2302="NR"),0,IFERROR(MATCH($I2302,GradeList,0),0))</f>
        <v>0</v>
      </c>
      <c r="P2302" s="64" t="n">
        <f aca="false">IF(AND($M2302&gt;0,ISNUMBER(MATCH($F2302,Lists!$A$2:$A$5,0)),ISNUMBER(MATCH($G2302,Lists!$B$2:$B$7,0)),OR($H2302="",$N2302&gt;0),OR($I2302="",$I2302="NR",$O2302&gt;0),IF(ISNUMBER($J2302),AND($J2302&gt;=0,$J2302=INT($J2302)),FALSE())),$J2302,0)</f>
        <v>0</v>
      </c>
      <c r="Q2302" s="64" t="n">
        <f aca="false">IF(AND($P2302&gt;0,$O2302&gt;0),$P2302,0)</f>
        <v>0</v>
      </c>
      <c r="R2302" s="64" t="n">
        <f aca="false">IF(AND($Q2302&gt;0,$O2302&gt;=AtRank),$Q2302,0)</f>
        <v>0</v>
      </c>
      <c r="S2302" s="64" t="n">
        <f aca="false">IF(AND($Q2302&gt;0,$O2302&gt;=AboveRank),$Q2302,0)</f>
        <v>0</v>
      </c>
      <c r="T2302" s="64" t="n">
        <f aca="false">IF($K2302="Less",$P2302,0)</f>
        <v>0</v>
      </c>
      <c r="U2302" s="64" t="n">
        <f aca="false">IF($K2302="Expected",$P2302,0)</f>
        <v>0</v>
      </c>
      <c r="V2302" s="64" t="n">
        <f aca="false">IF($K2302="Better",$P2302,0)</f>
        <v>0</v>
      </c>
      <c r="W2302" s="64" t="n">
        <f aca="false">IF($K2302="U – needs rule",$P2302,0)</f>
        <v>0</v>
      </c>
      <c r="X2302" s="64" t="n">
        <f aca="false">IF($K2302="No Start (attainment only)",$P2302,0)</f>
        <v>0</v>
      </c>
    </row>
    <row r="2303" customFormat="false" ht="15" hidden="false" customHeight="false" outlineLevel="0" collapsed="false">
      <c r="A2303" s="60"/>
      <c r="B2303" s="61" t="str">
        <f aca="false">IF($M2303=0,"",INDEX(Classes!$E$6:$E$420,$M2303))</f>
        <v/>
      </c>
      <c r="C2303" s="62" t="str">
        <f aca="false">IF($M2303=0,"",INDEX(Classes!$H$6:$H$420,$M2303))</f>
        <v/>
      </c>
      <c r="D2303" s="61" t="str">
        <f aca="false">IF($M2303=0,"",INDEX(Classes!$B$6:$B$420,$M2303))</f>
        <v/>
      </c>
      <c r="E2303" s="61" t="str">
        <f aca="false">IF($M2303=0,"",INDEX(Classes!$C$6:$C$420,$M2303))</f>
        <v/>
      </c>
      <c r="F2303" s="63"/>
      <c r="G2303" s="63"/>
      <c r="H2303" s="60"/>
      <c r="I2303" s="60"/>
      <c r="J2303" s="63"/>
      <c r="K2303" s="61" t="str">
        <f aca="false">IF($P2303=0,"",IF($F2303="Baseline","— Baseline",IF($O2303=0,"No result",IF($N2303=0,"No Start (attainment only)",IF(OR($N2303=1,$O2303=1),"U – needs rule",INDEX(MxBody,MATCH($I2303,MxCurr,0),MATCH($H2303,MxStart,0)))))))</f>
        <v/>
      </c>
      <c r="L2303" s="62" t="str">
        <f aca="false">IF(COUNTA($A2303,$F2303,$G2303,$H2303,$I2303,$J2303)=0,"",IF($M2303=0,"✖ كود الصف غير موجود",IF(ISNA(MATCH($F2303,Lists!$A$2:$A$5,0)),"✖ الفترة غير صحيحة",IF(ISNA(MATCH($G2303,Lists!$B$2:$B$7,0)),"✖ المجموعة غير صحيحة",IF(NOT(OR($H2303="",$N2303&gt;0)),"✖ Start غير صحيح",IF(NOT(OR($I2303="",$I2303="NR",$O2303&gt;0)),"✖ Current غير صحيح",IF(NOT(IF(ISNUMBER($J2303),AND($J2303&gt;=0,$J2303=INT($J2303)),FALSE())),"✖ العدد يجب أن يكون صحيحًا ≥ 0",IF(AND($F2303="Baseline",$H2303&lt;&gt;""),"⚠ Baseline: Start لا يدخل في التقدم",IF($K2303="No Start (attainment only)","ℹ تحصيل فقط (بدون Start)",IF($K2303="U – needs rule","ℹ حالة U تحتاج قاعدة معتمدة",IF($K2303="No result","ℹ بدون نتيجة (يُستبعد من التحصيل)","OK")))))))))))</f>
        <v/>
      </c>
      <c r="M2303" s="64" t="n">
        <f aca="false">IF($A2303="",0,IFERROR(MATCH($A2303,Classes!$A$6:$A$420,0),0))</f>
        <v>0</v>
      </c>
      <c r="N2303" s="64" t="n">
        <f aca="false">IF($H2303="",0,IFERROR(MATCH($H2303,GradeList,0),0))</f>
        <v>0</v>
      </c>
      <c r="O2303" s="64" t="n">
        <f aca="false">IF(OR($I2303="",$I2303="NR"),0,IFERROR(MATCH($I2303,GradeList,0),0))</f>
        <v>0</v>
      </c>
      <c r="P2303" s="64" t="n">
        <f aca="false">IF(AND($M2303&gt;0,ISNUMBER(MATCH($F2303,Lists!$A$2:$A$5,0)),ISNUMBER(MATCH($G2303,Lists!$B$2:$B$7,0)),OR($H2303="",$N2303&gt;0),OR($I2303="",$I2303="NR",$O2303&gt;0),IF(ISNUMBER($J2303),AND($J2303&gt;=0,$J2303=INT($J2303)),FALSE())),$J2303,0)</f>
        <v>0</v>
      </c>
      <c r="Q2303" s="64" t="n">
        <f aca="false">IF(AND($P2303&gt;0,$O2303&gt;0),$P2303,0)</f>
        <v>0</v>
      </c>
      <c r="R2303" s="64" t="n">
        <f aca="false">IF(AND($Q2303&gt;0,$O2303&gt;=AtRank),$Q2303,0)</f>
        <v>0</v>
      </c>
      <c r="S2303" s="64" t="n">
        <f aca="false">IF(AND($Q2303&gt;0,$O2303&gt;=AboveRank),$Q2303,0)</f>
        <v>0</v>
      </c>
      <c r="T2303" s="64" t="n">
        <f aca="false">IF($K2303="Less",$P2303,0)</f>
        <v>0</v>
      </c>
      <c r="U2303" s="64" t="n">
        <f aca="false">IF($K2303="Expected",$P2303,0)</f>
        <v>0</v>
      </c>
      <c r="V2303" s="64" t="n">
        <f aca="false">IF($K2303="Better",$P2303,0)</f>
        <v>0</v>
      </c>
      <c r="W2303" s="64" t="n">
        <f aca="false">IF($K2303="U – needs rule",$P2303,0)</f>
        <v>0</v>
      </c>
      <c r="X2303" s="64" t="n">
        <f aca="false">IF($K2303="No Start (attainment only)",$P2303,0)</f>
        <v>0</v>
      </c>
    </row>
    <row r="2304" customFormat="false" ht="15" hidden="false" customHeight="false" outlineLevel="0" collapsed="false">
      <c r="A2304" s="60"/>
      <c r="B2304" s="61" t="str">
        <f aca="false">IF($M2304=0,"",INDEX(Classes!$E$6:$E$420,$M2304))</f>
        <v/>
      </c>
      <c r="C2304" s="62" t="str">
        <f aca="false">IF($M2304=0,"",INDEX(Classes!$H$6:$H$420,$M2304))</f>
        <v/>
      </c>
      <c r="D2304" s="61" t="str">
        <f aca="false">IF($M2304=0,"",INDEX(Classes!$B$6:$B$420,$M2304))</f>
        <v/>
      </c>
      <c r="E2304" s="61" t="str">
        <f aca="false">IF($M2304=0,"",INDEX(Classes!$C$6:$C$420,$M2304))</f>
        <v/>
      </c>
      <c r="F2304" s="63"/>
      <c r="G2304" s="63"/>
      <c r="H2304" s="60"/>
      <c r="I2304" s="60"/>
      <c r="J2304" s="63"/>
      <c r="K2304" s="61" t="str">
        <f aca="false">IF($P2304=0,"",IF($F2304="Baseline","— Baseline",IF($O2304=0,"No result",IF($N2304=0,"No Start (attainment only)",IF(OR($N2304=1,$O2304=1),"U – needs rule",INDEX(MxBody,MATCH($I2304,MxCurr,0),MATCH($H2304,MxStart,0)))))))</f>
        <v/>
      </c>
      <c r="L2304" s="62" t="str">
        <f aca="false">IF(COUNTA($A2304,$F2304,$G2304,$H2304,$I2304,$J2304)=0,"",IF($M2304=0,"✖ كود الصف غير موجود",IF(ISNA(MATCH($F2304,Lists!$A$2:$A$5,0)),"✖ الفترة غير صحيحة",IF(ISNA(MATCH($G2304,Lists!$B$2:$B$7,0)),"✖ المجموعة غير صحيحة",IF(NOT(OR($H2304="",$N2304&gt;0)),"✖ Start غير صحيح",IF(NOT(OR($I2304="",$I2304="NR",$O2304&gt;0)),"✖ Current غير صحيح",IF(NOT(IF(ISNUMBER($J2304),AND($J2304&gt;=0,$J2304=INT($J2304)),FALSE())),"✖ العدد يجب أن يكون صحيحًا ≥ 0",IF(AND($F2304="Baseline",$H2304&lt;&gt;""),"⚠ Baseline: Start لا يدخل في التقدم",IF($K2304="No Start (attainment only)","ℹ تحصيل فقط (بدون Start)",IF($K2304="U – needs rule","ℹ حالة U تحتاج قاعدة معتمدة",IF($K2304="No result","ℹ بدون نتيجة (يُستبعد من التحصيل)","OK")))))))))))</f>
        <v/>
      </c>
      <c r="M2304" s="64" t="n">
        <f aca="false">IF($A2304="",0,IFERROR(MATCH($A2304,Classes!$A$6:$A$420,0),0))</f>
        <v>0</v>
      </c>
      <c r="N2304" s="64" t="n">
        <f aca="false">IF($H2304="",0,IFERROR(MATCH($H2304,GradeList,0),0))</f>
        <v>0</v>
      </c>
      <c r="O2304" s="64" t="n">
        <f aca="false">IF(OR($I2304="",$I2304="NR"),0,IFERROR(MATCH($I2304,GradeList,0),0))</f>
        <v>0</v>
      </c>
      <c r="P2304" s="64" t="n">
        <f aca="false">IF(AND($M2304&gt;0,ISNUMBER(MATCH($F2304,Lists!$A$2:$A$5,0)),ISNUMBER(MATCH($G2304,Lists!$B$2:$B$7,0)),OR($H2304="",$N2304&gt;0),OR($I2304="",$I2304="NR",$O2304&gt;0),IF(ISNUMBER($J2304),AND($J2304&gt;=0,$J2304=INT($J2304)),FALSE())),$J2304,0)</f>
        <v>0</v>
      </c>
      <c r="Q2304" s="64" t="n">
        <f aca="false">IF(AND($P2304&gt;0,$O2304&gt;0),$P2304,0)</f>
        <v>0</v>
      </c>
      <c r="R2304" s="64" t="n">
        <f aca="false">IF(AND($Q2304&gt;0,$O2304&gt;=AtRank),$Q2304,0)</f>
        <v>0</v>
      </c>
      <c r="S2304" s="64" t="n">
        <f aca="false">IF(AND($Q2304&gt;0,$O2304&gt;=AboveRank),$Q2304,0)</f>
        <v>0</v>
      </c>
      <c r="T2304" s="64" t="n">
        <f aca="false">IF($K2304="Less",$P2304,0)</f>
        <v>0</v>
      </c>
      <c r="U2304" s="64" t="n">
        <f aca="false">IF($K2304="Expected",$P2304,0)</f>
        <v>0</v>
      </c>
      <c r="V2304" s="64" t="n">
        <f aca="false">IF($K2304="Better",$P2304,0)</f>
        <v>0</v>
      </c>
      <c r="W2304" s="64" t="n">
        <f aca="false">IF($K2304="U – needs rule",$P2304,0)</f>
        <v>0</v>
      </c>
      <c r="X2304" s="64" t="n">
        <f aca="false">IF($K2304="No Start (attainment only)",$P2304,0)</f>
        <v>0</v>
      </c>
    </row>
    <row r="2305" customFormat="false" ht="15" hidden="false" customHeight="false" outlineLevel="0" collapsed="false">
      <c r="A2305" s="60"/>
      <c r="B2305" s="61" t="str">
        <f aca="false">IF($M2305=0,"",INDEX(Classes!$E$6:$E$420,$M2305))</f>
        <v/>
      </c>
      <c r="C2305" s="62" t="str">
        <f aca="false">IF($M2305=0,"",INDEX(Classes!$H$6:$H$420,$M2305))</f>
        <v/>
      </c>
      <c r="D2305" s="61" t="str">
        <f aca="false">IF($M2305=0,"",INDEX(Classes!$B$6:$B$420,$M2305))</f>
        <v/>
      </c>
      <c r="E2305" s="61" t="str">
        <f aca="false">IF($M2305=0,"",INDEX(Classes!$C$6:$C$420,$M2305))</f>
        <v/>
      </c>
      <c r="F2305" s="63"/>
      <c r="G2305" s="63"/>
      <c r="H2305" s="60"/>
      <c r="I2305" s="60"/>
      <c r="J2305" s="63"/>
      <c r="K2305" s="61" t="str">
        <f aca="false">IF($P2305=0,"",IF($F2305="Baseline","— Baseline",IF($O2305=0,"No result",IF($N2305=0,"No Start (attainment only)",IF(OR($N2305=1,$O2305=1),"U – needs rule",INDEX(MxBody,MATCH($I2305,MxCurr,0),MATCH($H2305,MxStart,0)))))))</f>
        <v/>
      </c>
      <c r="L2305" s="62" t="str">
        <f aca="false">IF(COUNTA($A2305,$F2305,$G2305,$H2305,$I2305,$J2305)=0,"",IF($M2305=0,"✖ كود الصف غير موجود",IF(ISNA(MATCH($F2305,Lists!$A$2:$A$5,0)),"✖ الفترة غير صحيحة",IF(ISNA(MATCH($G2305,Lists!$B$2:$B$7,0)),"✖ المجموعة غير صحيحة",IF(NOT(OR($H2305="",$N2305&gt;0)),"✖ Start غير صحيح",IF(NOT(OR($I2305="",$I2305="NR",$O2305&gt;0)),"✖ Current غير صحيح",IF(NOT(IF(ISNUMBER($J2305),AND($J2305&gt;=0,$J2305=INT($J2305)),FALSE())),"✖ العدد يجب أن يكون صحيحًا ≥ 0",IF(AND($F2305="Baseline",$H2305&lt;&gt;""),"⚠ Baseline: Start لا يدخل في التقدم",IF($K2305="No Start (attainment only)","ℹ تحصيل فقط (بدون Start)",IF($K2305="U – needs rule","ℹ حالة U تحتاج قاعدة معتمدة",IF($K2305="No result","ℹ بدون نتيجة (يُستبعد من التحصيل)","OK")))))))))))</f>
        <v/>
      </c>
      <c r="M2305" s="64" t="n">
        <f aca="false">IF($A2305="",0,IFERROR(MATCH($A2305,Classes!$A$6:$A$420,0),0))</f>
        <v>0</v>
      </c>
      <c r="N2305" s="64" t="n">
        <f aca="false">IF($H2305="",0,IFERROR(MATCH($H2305,GradeList,0),0))</f>
        <v>0</v>
      </c>
      <c r="O2305" s="64" t="n">
        <f aca="false">IF(OR($I2305="",$I2305="NR"),0,IFERROR(MATCH($I2305,GradeList,0),0))</f>
        <v>0</v>
      </c>
      <c r="P2305" s="64" t="n">
        <f aca="false">IF(AND($M2305&gt;0,ISNUMBER(MATCH($F2305,Lists!$A$2:$A$5,0)),ISNUMBER(MATCH($G2305,Lists!$B$2:$B$7,0)),OR($H2305="",$N2305&gt;0),OR($I2305="",$I2305="NR",$O2305&gt;0),IF(ISNUMBER($J2305),AND($J2305&gt;=0,$J2305=INT($J2305)),FALSE())),$J2305,0)</f>
        <v>0</v>
      </c>
      <c r="Q2305" s="64" t="n">
        <f aca="false">IF(AND($P2305&gt;0,$O2305&gt;0),$P2305,0)</f>
        <v>0</v>
      </c>
      <c r="R2305" s="64" t="n">
        <f aca="false">IF(AND($Q2305&gt;0,$O2305&gt;=AtRank),$Q2305,0)</f>
        <v>0</v>
      </c>
      <c r="S2305" s="64" t="n">
        <f aca="false">IF(AND($Q2305&gt;0,$O2305&gt;=AboveRank),$Q2305,0)</f>
        <v>0</v>
      </c>
      <c r="T2305" s="64" t="n">
        <f aca="false">IF($K2305="Less",$P2305,0)</f>
        <v>0</v>
      </c>
      <c r="U2305" s="64" t="n">
        <f aca="false">IF($K2305="Expected",$P2305,0)</f>
        <v>0</v>
      </c>
      <c r="V2305" s="64" t="n">
        <f aca="false">IF($K2305="Better",$P2305,0)</f>
        <v>0</v>
      </c>
      <c r="W2305" s="64" t="n">
        <f aca="false">IF($K2305="U – needs rule",$P2305,0)</f>
        <v>0</v>
      </c>
      <c r="X2305" s="64" t="n">
        <f aca="false">IF($K2305="No Start (attainment only)",$P2305,0)</f>
        <v>0</v>
      </c>
    </row>
    <row r="2306" customFormat="false" ht="15" hidden="false" customHeight="false" outlineLevel="0" collapsed="false">
      <c r="A2306" s="60"/>
      <c r="B2306" s="61" t="str">
        <f aca="false">IF($M2306=0,"",INDEX(Classes!$E$6:$E$420,$M2306))</f>
        <v/>
      </c>
      <c r="C2306" s="62" t="str">
        <f aca="false">IF($M2306=0,"",INDEX(Classes!$H$6:$H$420,$M2306))</f>
        <v/>
      </c>
      <c r="D2306" s="61" t="str">
        <f aca="false">IF($M2306=0,"",INDEX(Classes!$B$6:$B$420,$M2306))</f>
        <v/>
      </c>
      <c r="E2306" s="61" t="str">
        <f aca="false">IF($M2306=0,"",INDEX(Classes!$C$6:$C$420,$M2306))</f>
        <v/>
      </c>
      <c r="F2306" s="63"/>
      <c r="G2306" s="63"/>
      <c r="H2306" s="60"/>
      <c r="I2306" s="60"/>
      <c r="J2306" s="63"/>
      <c r="K2306" s="61" t="str">
        <f aca="false">IF($P2306=0,"",IF($F2306="Baseline","— Baseline",IF($O2306=0,"No result",IF($N2306=0,"No Start (attainment only)",IF(OR($N2306=1,$O2306=1),"U – needs rule",INDEX(MxBody,MATCH($I2306,MxCurr,0),MATCH($H2306,MxStart,0)))))))</f>
        <v/>
      </c>
      <c r="L2306" s="62" t="str">
        <f aca="false">IF(COUNTA($A2306,$F2306,$G2306,$H2306,$I2306,$J2306)=0,"",IF($M2306=0,"✖ كود الصف غير موجود",IF(ISNA(MATCH($F2306,Lists!$A$2:$A$5,0)),"✖ الفترة غير صحيحة",IF(ISNA(MATCH($G2306,Lists!$B$2:$B$7,0)),"✖ المجموعة غير صحيحة",IF(NOT(OR($H2306="",$N2306&gt;0)),"✖ Start غير صحيح",IF(NOT(OR($I2306="",$I2306="NR",$O2306&gt;0)),"✖ Current غير صحيح",IF(NOT(IF(ISNUMBER($J2306),AND($J2306&gt;=0,$J2306=INT($J2306)),FALSE())),"✖ العدد يجب أن يكون صحيحًا ≥ 0",IF(AND($F2306="Baseline",$H2306&lt;&gt;""),"⚠ Baseline: Start لا يدخل في التقدم",IF($K2306="No Start (attainment only)","ℹ تحصيل فقط (بدون Start)",IF($K2306="U – needs rule","ℹ حالة U تحتاج قاعدة معتمدة",IF($K2306="No result","ℹ بدون نتيجة (يُستبعد من التحصيل)","OK")))))))))))</f>
        <v/>
      </c>
      <c r="M2306" s="64" t="n">
        <f aca="false">IF($A2306="",0,IFERROR(MATCH($A2306,Classes!$A$6:$A$420,0),0))</f>
        <v>0</v>
      </c>
      <c r="N2306" s="64" t="n">
        <f aca="false">IF($H2306="",0,IFERROR(MATCH($H2306,GradeList,0),0))</f>
        <v>0</v>
      </c>
      <c r="O2306" s="64" t="n">
        <f aca="false">IF(OR($I2306="",$I2306="NR"),0,IFERROR(MATCH($I2306,GradeList,0),0))</f>
        <v>0</v>
      </c>
      <c r="P2306" s="64" t="n">
        <f aca="false">IF(AND($M2306&gt;0,ISNUMBER(MATCH($F2306,Lists!$A$2:$A$5,0)),ISNUMBER(MATCH($G2306,Lists!$B$2:$B$7,0)),OR($H2306="",$N2306&gt;0),OR($I2306="",$I2306="NR",$O2306&gt;0),IF(ISNUMBER($J2306),AND($J2306&gt;=0,$J2306=INT($J2306)),FALSE())),$J2306,0)</f>
        <v>0</v>
      </c>
      <c r="Q2306" s="64" t="n">
        <f aca="false">IF(AND($P2306&gt;0,$O2306&gt;0),$P2306,0)</f>
        <v>0</v>
      </c>
      <c r="R2306" s="64" t="n">
        <f aca="false">IF(AND($Q2306&gt;0,$O2306&gt;=AtRank),$Q2306,0)</f>
        <v>0</v>
      </c>
      <c r="S2306" s="64" t="n">
        <f aca="false">IF(AND($Q2306&gt;0,$O2306&gt;=AboveRank),$Q2306,0)</f>
        <v>0</v>
      </c>
      <c r="T2306" s="64" t="n">
        <f aca="false">IF($K2306="Less",$P2306,0)</f>
        <v>0</v>
      </c>
      <c r="U2306" s="64" t="n">
        <f aca="false">IF($K2306="Expected",$P2306,0)</f>
        <v>0</v>
      </c>
      <c r="V2306" s="64" t="n">
        <f aca="false">IF($K2306="Better",$P2306,0)</f>
        <v>0</v>
      </c>
      <c r="W2306" s="64" t="n">
        <f aca="false">IF($K2306="U – needs rule",$P2306,0)</f>
        <v>0</v>
      </c>
      <c r="X2306" s="64" t="n">
        <f aca="false">IF($K2306="No Start (attainment only)",$P2306,0)</f>
        <v>0</v>
      </c>
    </row>
    <row r="2307" customFormat="false" ht="15" hidden="false" customHeight="false" outlineLevel="0" collapsed="false">
      <c r="A2307" s="60"/>
      <c r="B2307" s="61" t="str">
        <f aca="false">IF($M2307=0,"",INDEX(Classes!$E$6:$E$420,$M2307))</f>
        <v/>
      </c>
      <c r="C2307" s="62" t="str">
        <f aca="false">IF($M2307=0,"",INDEX(Classes!$H$6:$H$420,$M2307))</f>
        <v/>
      </c>
      <c r="D2307" s="61" t="str">
        <f aca="false">IF($M2307=0,"",INDEX(Classes!$B$6:$B$420,$M2307))</f>
        <v/>
      </c>
      <c r="E2307" s="61" t="str">
        <f aca="false">IF($M2307=0,"",INDEX(Classes!$C$6:$C$420,$M2307))</f>
        <v/>
      </c>
      <c r="F2307" s="63"/>
      <c r="G2307" s="63"/>
      <c r="H2307" s="60"/>
      <c r="I2307" s="60"/>
      <c r="J2307" s="63"/>
      <c r="K2307" s="61" t="str">
        <f aca="false">IF($P2307=0,"",IF($F2307="Baseline","— Baseline",IF($O2307=0,"No result",IF($N2307=0,"No Start (attainment only)",IF(OR($N2307=1,$O2307=1),"U – needs rule",INDEX(MxBody,MATCH($I2307,MxCurr,0),MATCH($H2307,MxStart,0)))))))</f>
        <v/>
      </c>
      <c r="L2307" s="62" t="str">
        <f aca="false">IF(COUNTA($A2307,$F2307,$G2307,$H2307,$I2307,$J2307)=0,"",IF($M2307=0,"✖ كود الصف غير موجود",IF(ISNA(MATCH($F2307,Lists!$A$2:$A$5,0)),"✖ الفترة غير صحيحة",IF(ISNA(MATCH($G2307,Lists!$B$2:$B$7,0)),"✖ المجموعة غير صحيحة",IF(NOT(OR($H2307="",$N2307&gt;0)),"✖ Start غير صحيح",IF(NOT(OR($I2307="",$I2307="NR",$O2307&gt;0)),"✖ Current غير صحيح",IF(NOT(IF(ISNUMBER($J2307),AND($J2307&gt;=0,$J2307=INT($J2307)),FALSE())),"✖ العدد يجب أن يكون صحيحًا ≥ 0",IF(AND($F2307="Baseline",$H2307&lt;&gt;""),"⚠ Baseline: Start لا يدخل في التقدم",IF($K2307="No Start (attainment only)","ℹ تحصيل فقط (بدون Start)",IF($K2307="U – needs rule","ℹ حالة U تحتاج قاعدة معتمدة",IF($K2307="No result","ℹ بدون نتيجة (يُستبعد من التحصيل)","OK")))))))))))</f>
        <v/>
      </c>
      <c r="M2307" s="64" t="n">
        <f aca="false">IF($A2307="",0,IFERROR(MATCH($A2307,Classes!$A$6:$A$420,0),0))</f>
        <v>0</v>
      </c>
      <c r="N2307" s="64" t="n">
        <f aca="false">IF($H2307="",0,IFERROR(MATCH($H2307,GradeList,0),0))</f>
        <v>0</v>
      </c>
      <c r="O2307" s="64" t="n">
        <f aca="false">IF(OR($I2307="",$I2307="NR"),0,IFERROR(MATCH($I2307,GradeList,0),0))</f>
        <v>0</v>
      </c>
      <c r="P2307" s="64" t="n">
        <f aca="false">IF(AND($M2307&gt;0,ISNUMBER(MATCH($F2307,Lists!$A$2:$A$5,0)),ISNUMBER(MATCH($G2307,Lists!$B$2:$B$7,0)),OR($H2307="",$N2307&gt;0),OR($I2307="",$I2307="NR",$O2307&gt;0),IF(ISNUMBER($J2307),AND($J2307&gt;=0,$J2307=INT($J2307)),FALSE())),$J2307,0)</f>
        <v>0</v>
      </c>
      <c r="Q2307" s="64" t="n">
        <f aca="false">IF(AND($P2307&gt;0,$O2307&gt;0),$P2307,0)</f>
        <v>0</v>
      </c>
      <c r="R2307" s="64" t="n">
        <f aca="false">IF(AND($Q2307&gt;0,$O2307&gt;=AtRank),$Q2307,0)</f>
        <v>0</v>
      </c>
      <c r="S2307" s="64" t="n">
        <f aca="false">IF(AND($Q2307&gt;0,$O2307&gt;=AboveRank),$Q2307,0)</f>
        <v>0</v>
      </c>
      <c r="T2307" s="64" t="n">
        <f aca="false">IF($K2307="Less",$P2307,0)</f>
        <v>0</v>
      </c>
      <c r="U2307" s="64" t="n">
        <f aca="false">IF($K2307="Expected",$P2307,0)</f>
        <v>0</v>
      </c>
      <c r="V2307" s="64" t="n">
        <f aca="false">IF($K2307="Better",$P2307,0)</f>
        <v>0</v>
      </c>
      <c r="W2307" s="64" t="n">
        <f aca="false">IF($K2307="U – needs rule",$P2307,0)</f>
        <v>0</v>
      </c>
      <c r="X2307" s="64" t="n">
        <f aca="false">IF($K2307="No Start (attainment only)",$P2307,0)</f>
        <v>0</v>
      </c>
    </row>
    <row r="2308" customFormat="false" ht="15" hidden="false" customHeight="false" outlineLevel="0" collapsed="false">
      <c r="A2308" s="60"/>
      <c r="B2308" s="61" t="str">
        <f aca="false">IF($M2308=0,"",INDEX(Classes!$E$6:$E$420,$M2308))</f>
        <v/>
      </c>
      <c r="C2308" s="62" t="str">
        <f aca="false">IF($M2308=0,"",INDEX(Classes!$H$6:$H$420,$M2308))</f>
        <v/>
      </c>
      <c r="D2308" s="61" t="str">
        <f aca="false">IF($M2308=0,"",INDEX(Classes!$B$6:$B$420,$M2308))</f>
        <v/>
      </c>
      <c r="E2308" s="61" t="str">
        <f aca="false">IF($M2308=0,"",INDEX(Classes!$C$6:$C$420,$M2308))</f>
        <v/>
      </c>
      <c r="F2308" s="63"/>
      <c r="G2308" s="63"/>
      <c r="H2308" s="60"/>
      <c r="I2308" s="60"/>
      <c r="J2308" s="63"/>
      <c r="K2308" s="61" t="str">
        <f aca="false">IF($P2308=0,"",IF($F2308="Baseline","— Baseline",IF($O2308=0,"No result",IF($N2308=0,"No Start (attainment only)",IF(OR($N2308=1,$O2308=1),"U – needs rule",INDEX(MxBody,MATCH($I2308,MxCurr,0),MATCH($H2308,MxStart,0)))))))</f>
        <v/>
      </c>
      <c r="L2308" s="62" t="str">
        <f aca="false">IF(COUNTA($A2308,$F2308,$G2308,$H2308,$I2308,$J2308)=0,"",IF($M2308=0,"✖ كود الصف غير موجود",IF(ISNA(MATCH($F2308,Lists!$A$2:$A$5,0)),"✖ الفترة غير صحيحة",IF(ISNA(MATCH($G2308,Lists!$B$2:$B$7,0)),"✖ المجموعة غير صحيحة",IF(NOT(OR($H2308="",$N2308&gt;0)),"✖ Start غير صحيح",IF(NOT(OR($I2308="",$I2308="NR",$O2308&gt;0)),"✖ Current غير صحيح",IF(NOT(IF(ISNUMBER($J2308),AND($J2308&gt;=0,$J2308=INT($J2308)),FALSE())),"✖ العدد يجب أن يكون صحيحًا ≥ 0",IF(AND($F2308="Baseline",$H2308&lt;&gt;""),"⚠ Baseline: Start لا يدخل في التقدم",IF($K2308="No Start (attainment only)","ℹ تحصيل فقط (بدون Start)",IF($K2308="U – needs rule","ℹ حالة U تحتاج قاعدة معتمدة",IF($K2308="No result","ℹ بدون نتيجة (يُستبعد من التحصيل)","OK")))))))))))</f>
        <v/>
      </c>
      <c r="M2308" s="64" t="n">
        <f aca="false">IF($A2308="",0,IFERROR(MATCH($A2308,Classes!$A$6:$A$420,0),0))</f>
        <v>0</v>
      </c>
      <c r="N2308" s="64" t="n">
        <f aca="false">IF($H2308="",0,IFERROR(MATCH($H2308,GradeList,0),0))</f>
        <v>0</v>
      </c>
      <c r="O2308" s="64" t="n">
        <f aca="false">IF(OR($I2308="",$I2308="NR"),0,IFERROR(MATCH($I2308,GradeList,0),0))</f>
        <v>0</v>
      </c>
      <c r="P2308" s="64" t="n">
        <f aca="false">IF(AND($M2308&gt;0,ISNUMBER(MATCH($F2308,Lists!$A$2:$A$5,0)),ISNUMBER(MATCH($G2308,Lists!$B$2:$B$7,0)),OR($H2308="",$N2308&gt;0),OR($I2308="",$I2308="NR",$O2308&gt;0),IF(ISNUMBER($J2308),AND($J2308&gt;=0,$J2308=INT($J2308)),FALSE())),$J2308,0)</f>
        <v>0</v>
      </c>
      <c r="Q2308" s="64" t="n">
        <f aca="false">IF(AND($P2308&gt;0,$O2308&gt;0),$P2308,0)</f>
        <v>0</v>
      </c>
      <c r="R2308" s="64" t="n">
        <f aca="false">IF(AND($Q2308&gt;0,$O2308&gt;=AtRank),$Q2308,0)</f>
        <v>0</v>
      </c>
      <c r="S2308" s="64" t="n">
        <f aca="false">IF(AND($Q2308&gt;0,$O2308&gt;=AboveRank),$Q2308,0)</f>
        <v>0</v>
      </c>
      <c r="T2308" s="64" t="n">
        <f aca="false">IF($K2308="Less",$P2308,0)</f>
        <v>0</v>
      </c>
      <c r="U2308" s="64" t="n">
        <f aca="false">IF($K2308="Expected",$P2308,0)</f>
        <v>0</v>
      </c>
      <c r="V2308" s="64" t="n">
        <f aca="false">IF($K2308="Better",$P2308,0)</f>
        <v>0</v>
      </c>
      <c r="W2308" s="64" t="n">
        <f aca="false">IF($K2308="U – needs rule",$P2308,0)</f>
        <v>0</v>
      </c>
      <c r="X2308" s="64" t="n">
        <f aca="false">IF($K2308="No Start (attainment only)",$P2308,0)</f>
        <v>0</v>
      </c>
    </row>
    <row r="2309" customFormat="false" ht="15" hidden="false" customHeight="false" outlineLevel="0" collapsed="false">
      <c r="A2309" s="60"/>
      <c r="B2309" s="61" t="str">
        <f aca="false">IF($M2309=0,"",INDEX(Classes!$E$6:$E$420,$M2309))</f>
        <v/>
      </c>
      <c r="C2309" s="62" t="str">
        <f aca="false">IF($M2309=0,"",INDEX(Classes!$H$6:$H$420,$M2309))</f>
        <v/>
      </c>
      <c r="D2309" s="61" t="str">
        <f aca="false">IF($M2309=0,"",INDEX(Classes!$B$6:$B$420,$M2309))</f>
        <v/>
      </c>
      <c r="E2309" s="61" t="str">
        <f aca="false">IF($M2309=0,"",INDEX(Classes!$C$6:$C$420,$M2309))</f>
        <v/>
      </c>
      <c r="F2309" s="63"/>
      <c r="G2309" s="63"/>
      <c r="H2309" s="60"/>
      <c r="I2309" s="60"/>
      <c r="J2309" s="63"/>
      <c r="K2309" s="61" t="str">
        <f aca="false">IF($P2309=0,"",IF($F2309="Baseline","— Baseline",IF($O2309=0,"No result",IF($N2309=0,"No Start (attainment only)",IF(OR($N2309=1,$O2309=1),"U – needs rule",INDEX(MxBody,MATCH($I2309,MxCurr,0),MATCH($H2309,MxStart,0)))))))</f>
        <v/>
      </c>
      <c r="L2309" s="62" t="str">
        <f aca="false">IF(COUNTA($A2309,$F2309,$G2309,$H2309,$I2309,$J2309)=0,"",IF($M2309=0,"✖ كود الصف غير موجود",IF(ISNA(MATCH($F2309,Lists!$A$2:$A$5,0)),"✖ الفترة غير صحيحة",IF(ISNA(MATCH($G2309,Lists!$B$2:$B$7,0)),"✖ المجموعة غير صحيحة",IF(NOT(OR($H2309="",$N2309&gt;0)),"✖ Start غير صحيح",IF(NOT(OR($I2309="",$I2309="NR",$O2309&gt;0)),"✖ Current غير صحيح",IF(NOT(IF(ISNUMBER($J2309),AND($J2309&gt;=0,$J2309=INT($J2309)),FALSE())),"✖ العدد يجب أن يكون صحيحًا ≥ 0",IF(AND($F2309="Baseline",$H2309&lt;&gt;""),"⚠ Baseline: Start لا يدخل في التقدم",IF($K2309="No Start (attainment only)","ℹ تحصيل فقط (بدون Start)",IF($K2309="U – needs rule","ℹ حالة U تحتاج قاعدة معتمدة",IF($K2309="No result","ℹ بدون نتيجة (يُستبعد من التحصيل)","OK")))))))))))</f>
        <v/>
      </c>
      <c r="M2309" s="64" t="n">
        <f aca="false">IF($A2309="",0,IFERROR(MATCH($A2309,Classes!$A$6:$A$420,0),0))</f>
        <v>0</v>
      </c>
      <c r="N2309" s="64" t="n">
        <f aca="false">IF($H2309="",0,IFERROR(MATCH($H2309,GradeList,0),0))</f>
        <v>0</v>
      </c>
      <c r="O2309" s="64" t="n">
        <f aca="false">IF(OR($I2309="",$I2309="NR"),0,IFERROR(MATCH($I2309,GradeList,0),0))</f>
        <v>0</v>
      </c>
      <c r="P2309" s="64" t="n">
        <f aca="false">IF(AND($M2309&gt;0,ISNUMBER(MATCH($F2309,Lists!$A$2:$A$5,0)),ISNUMBER(MATCH($G2309,Lists!$B$2:$B$7,0)),OR($H2309="",$N2309&gt;0),OR($I2309="",$I2309="NR",$O2309&gt;0),IF(ISNUMBER($J2309),AND($J2309&gt;=0,$J2309=INT($J2309)),FALSE())),$J2309,0)</f>
        <v>0</v>
      </c>
      <c r="Q2309" s="64" t="n">
        <f aca="false">IF(AND($P2309&gt;0,$O2309&gt;0),$P2309,0)</f>
        <v>0</v>
      </c>
      <c r="R2309" s="64" t="n">
        <f aca="false">IF(AND($Q2309&gt;0,$O2309&gt;=AtRank),$Q2309,0)</f>
        <v>0</v>
      </c>
      <c r="S2309" s="64" t="n">
        <f aca="false">IF(AND($Q2309&gt;0,$O2309&gt;=AboveRank),$Q2309,0)</f>
        <v>0</v>
      </c>
      <c r="T2309" s="64" t="n">
        <f aca="false">IF($K2309="Less",$P2309,0)</f>
        <v>0</v>
      </c>
      <c r="U2309" s="64" t="n">
        <f aca="false">IF($K2309="Expected",$P2309,0)</f>
        <v>0</v>
      </c>
      <c r="V2309" s="64" t="n">
        <f aca="false">IF($K2309="Better",$P2309,0)</f>
        <v>0</v>
      </c>
      <c r="W2309" s="64" t="n">
        <f aca="false">IF($K2309="U – needs rule",$P2309,0)</f>
        <v>0</v>
      </c>
      <c r="X2309" s="64" t="n">
        <f aca="false">IF($K2309="No Start (attainment only)",$P2309,0)</f>
        <v>0</v>
      </c>
    </row>
    <row r="2310" customFormat="false" ht="15" hidden="false" customHeight="false" outlineLevel="0" collapsed="false">
      <c r="A2310" s="60"/>
      <c r="B2310" s="61" t="str">
        <f aca="false">IF($M2310=0,"",INDEX(Classes!$E$6:$E$420,$M2310))</f>
        <v/>
      </c>
      <c r="C2310" s="62" t="str">
        <f aca="false">IF($M2310=0,"",INDEX(Classes!$H$6:$H$420,$M2310))</f>
        <v/>
      </c>
      <c r="D2310" s="61" t="str">
        <f aca="false">IF($M2310=0,"",INDEX(Classes!$B$6:$B$420,$M2310))</f>
        <v/>
      </c>
      <c r="E2310" s="61" t="str">
        <f aca="false">IF($M2310=0,"",INDEX(Classes!$C$6:$C$420,$M2310))</f>
        <v/>
      </c>
      <c r="F2310" s="63"/>
      <c r="G2310" s="63"/>
      <c r="H2310" s="60"/>
      <c r="I2310" s="60"/>
      <c r="J2310" s="63"/>
      <c r="K2310" s="61" t="str">
        <f aca="false">IF($P2310=0,"",IF($F2310="Baseline","— Baseline",IF($O2310=0,"No result",IF($N2310=0,"No Start (attainment only)",IF(OR($N2310=1,$O2310=1),"U – needs rule",INDEX(MxBody,MATCH($I2310,MxCurr,0),MATCH($H2310,MxStart,0)))))))</f>
        <v/>
      </c>
      <c r="L2310" s="62" t="str">
        <f aca="false">IF(COUNTA($A2310,$F2310,$G2310,$H2310,$I2310,$J2310)=0,"",IF($M2310=0,"✖ كود الصف غير موجود",IF(ISNA(MATCH($F2310,Lists!$A$2:$A$5,0)),"✖ الفترة غير صحيحة",IF(ISNA(MATCH($G2310,Lists!$B$2:$B$7,0)),"✖ المجموعة غير صحيحة",IF(NOT(OR($H2310="",$N2310&gt;0)),"✖ Start غير صحيح",IF(NOT(OR($I2310="",$I2310="NR",$O2310&gt;0)),"✖ Current غير صحيح",IF(NOT(IF(ISNUMBER($J2310),AND($J2310&gt;=0,$J2310=INT($J2310)),FALSE())),"✖ العدد يجب أن يكون صحيحًا ≥ 0",IF(AND($F2310="Baseline",$H2310&lt;&gt;""),"⚠ Baseline: Start لا يدخل في التقدم",IF($K2310="No Start (attainment only)","ℹ تحصيل فقط (بدون Start)",IF($K2310="U – needs rule","ℹ حالة U تحتاج قاعدة معتمدة",IF($K2310="No result","ℹ بدون نتيجة (يُستبعد من التحصيل)","OK")))))))))))</f>
        <v/>
      </c>
      <c r="M2310" s="64" t="n">
        <f aca="false">IF($A2310="",0,IFERROR(MATCH($A2310,Classes!$A$6:$A$420,0),0))</f>
        <v>0</v>
      </c>
      <c r="N2310" s="64" t="n">
        <f aca="false">IF($H2310="",0,IFERROR(MATCH($H2310,GradeList,0),0))</f>
        <v>0</v>
      </c>
      <c r="O2310" s="64" t="n">
        <f aca="false">IF(OR($I2310="",$I2310="NR"),0,IFERROR(MATCH($I2310,GradeList,0),0))</f>
        <v>0</v>
      </c>
      <c r="P2310" s="64" t="n">
        <f aca="false">IF(AND($M2310&gt;0,ISNUMBER(MATCH($F2310,Lists!$A$2:$A$5,0)),ISNUMBER(MATCH($G2310,Lists!$B$2:$B$7,0)),OR($H2310="",$N2310&gt;0),OR($I2310="",$I2310="NR",$O2310&gt;0),IF(ISNUMBER($J2310),AND($J2310&gt;=0,$J2310=INT($J2310)),FALSE())),$J2310,0)</f>
        <v>0</v>
      </c>
      <c r="Q2310" s="64" t="n">
        <f aca="false">IF(AND($P2310&gt;0,$O2310&gt;0),$P2310,0)</f>
        <v>0</v>
      </c>
      <c r="R2310" s="64" t="n">
        <f aca="false">IF(AND($Q2310&gt;0,$O2310&gt;=AtRank),$Q2310,0)</f>
        <v>0</v>
      </c>
      <c r="S2310" s="64" t="n">
        <f aca="false">IF(AND($Q2310&gt;0,$O2310&gt;=AboveRank),$Q2310,0)</f>
        <v>0</v>
      </c>
      <c r="T2310" s="64" t="n">
        <f aca="false">IF($K2310="Less",$P2310,0)</f>
        <v>0</v>
      </c>
      <c r="U2310" s="64" t="n">
        <f aca="false">IF($K2310="Expected",$P2310,0)</f>
        <v>0</v>
      </c>
      <c r="V2310" s="64" t="n">
        <f aca="false">IF($K2310="Better",$P2310,0)</f>
        <v>0</v>
      </c>
      <c r="W2310" s="64" t="n">
        <f aca="false">IF($K2310="U – needs rule",$P2310,0)</f>
        <v>0</v>
      </c>
      <c r="X2310" s="64" t="n">
        <f aca="false">IF($K2310="No Start (attainment only)",$P2310,0)</f>
        <v>0</v>
      </c>
    </row>
    <row r="2311" customFormat="false" ht="15" hidden="false" customHeight="false" outlineLevel="0" collapsed="false">
      <c r="A2311" s="60"/>
      <c r="B2311" s="61" t="str">
        <f aca="false">IF($M2311=0,"",INDEX(Classes!$E$6:$E$420,$M2311))</f>
        <v/>
      </c>
      <c r="C2311" s="62" t="str">
        <f aca="false">IF($M2311=0,"",INDEX(Classes!$H$6:$H$420,$M2311))</f>
        <v/>
      </c>
      <c r="D2311" s="61" t="str">
        <f aca="false">IF($M2311=0,"",INDEX(Classes!$B$6:$B$420,$M2311))</f>
        <v/>
      </c>
      <c r="E2311" s="61" t="str">
        <f aca="false">IF($M2311=0,"",INDEX(Classes!$C$6:$C$420,$M2311))</f>
        <v/>
      </c>
      <c r="F2311" s="63"/>
      <c r="G2311" s="63"/>
      <c r="H2311" s="60"/>
      <c r="I2311" s="60"/>
      <c r="J2311" s="63"/>
      <c r="K2311" s="61" t="str">
        <f aca="false">IF($P2311=0,"",IF($F2311="Baseline","— Baseline",IF($O2311=0,"No result",IF($N2311=0,"No Start (attainment only)",IF(OR($N2311=1,$O2311=1),"U – needs rule",INDEX(MxBody,MATCH($I2311,MxCurr,0),MATCH($H2311,MxStart,0)))))))</f>
        <v/>
      </c>
      <c r="L2311" s="62" t="str">
        <f aca="false">IF(COUNTA($A2311,$F2311,$G2311,$H2311,$I2311,$J2311)=0,"",IF($M2311=0,"✖ كود الصف غير موجود",IF(ISNA(MATCH($F2311,Lists!$A$2:$A$5,0)),"✖ الفترة غير صحيحة",IF(ISNA(MATCH($G2311,Lists!$B$2:$B$7,0)),"✖ المجموعة غير صحيحة",IF(NOT(OR($H2311="",$N2311&gt;0)),"✖ Start غير صحيح",IF(NOT(OR($I2311="",$I2311="NR",$O2311&gt;0)),"✖ Current غير صحيح",IF(NOT(IF(ISNUMBER($J2311),AND($J2311&gt;=0,$J2311=INT($J2311)),FALSE())),"✖ العدد يجب أن يكون صحيحًا ≥ 0",IF(AND($F2311="Baseline",$H2311&lt;&gt;""),"⚠ Baseline: Start لا يدخل في التقدم",IF($K2311="No Start (attainment only)","ℹ تحصيل فقط (بدون Start)",IF($K2311="U – needs rule","ℹ حالة U تحتاج قاعدة معتمدة",IF($K2311="No result","ℹ بدون نتيجة (يُستبعد من التحصيل)","OK")))))))))))</f>
        <v/>
      </c>
      <c r="M2311" s="64" t="n">
        <f aca="false">IF($A2311="",0,IFERROR(MATCH($A2311,Classes!$A$6:$A$420,0),0))</f>
        <v>0</v>
      </c>
      <c r="N2311" s="64" t="n">
        <f aca="false">IF($H2311="",0,IFERROR(MATCH($H2311,GradeList,0),0))</f>
        <v>0</v>
      </c>
      <c r="O2311" s="64" t="n">
        <f aca="false">IF(OR($I2311="",$I2311="NR"),0,IFERROR(MATCH($I2311,GradeList,0),0))</f>
        <v>0</v>
      </c>
      <c r="P2311" s="64" t="n">
        <f aca="false">IF(AND($M2311&gt;0,ISNUMBER(MATCH($F2311,Lists!$A$2:$A$5,0)),ISNUMBER(MATCH($G2311,Lists!$B$2:$B$7,0)),OR($H2311="",$N2311&gt;0),OR($I2311="",$I2311="NR",$O2311&gt;0),IF(ISNUMBER($J2311),AND($J2311&gt;=0,$J2311=INT($J2311)),FALSE())),$J2311,0)</f>
        <v>0</v>
      </c>
      <c r="Q2311" s="64" t="n">
        <f aca="false">IF(AND($P2311&gt;0,$O2311&gt;0),$P2311,0)</f>
        <v>0</v>
      </c>
      <c r="R2311" s="64" t="n">
        <f aca="false">IF(AND($Q2311&gt;0,$O2311&gt;=AtRank),$Q2311,0)</f>
        <v>0</v>
      </c>
      <c r="S2311" s="64" t="n">
        <f aca="false">IF(AND($Q2311&gt;0,$O2311&gt;=AboveRank),$Q2311,0)</f>
        <v>0</v>
      </c>
      <c r="T2311" s="64" t="n">
        <f aca="false">IF($K2311="Less",$P2311,0)</f>
        <v>0</v>
      </c>
      <c r="U2311" s="64" t="n">
        <f aca="false">IF($K2311="Expected",$P2311,0)</f>
        <v>0</v>
      </c>
      <c r="V2311" s="64" t="n">
        <f aca="false">IF($K2311="Better",$P2311,0)</f>
        <v>0</v>
      </c>
      <c r="W2311" s="64" t="n">
        <f aca="false">IF($K2311="U – needs rule",$P2311,0)</f>
        <v>0</v>
      </c>
      <c r="X2311" s="64" t="n">
        <f aca="false">IF($K2311="No Start (attainment only)",$P2311,0)</f>
        <v>0</v>
      </c>
    </row>
    <row r="2312" customFormat="false" ht="15" hidden="false" customHeight="false" outlineLevel="0" collapsed="false">
      <c r="A2312" s="60"/>
      <c r="B2312" s="61" t="str">
        <f aca="false">IF($M2312=0,"",INDEX(Classes!$E$6:$E$420,$M2312))</f>
        <v/>
      </c>
      <c r="C2312" s="62" t="str">
        <f aca="false">IF($M2312=0,"",INDEX(Classes!$H$6:$H$420,$M2312))</f>
        <v/>
      </c>
      <c r="D2312" s="61" t="str">
        <f aca="false">IF($M2312=0,"",INDEX(Classes!$B$6:$B$420,$M2312))</f>
        <v/>
      </c>
      <c r="E2312" s="61" t="str">
        <f aca="false">IF($M2312=0,"",INDEX(Classes!$C$6:$C$420,$M2312))</f>
        <v/>
      </c>
      <c r="F2312" s="63"/>
      <c r="G2312" s="63"/>
      <c r="H2312" s="60"/>
      <c r="I2312" s="60"/>
      <c r="J2312" s="63"/>
      <c r="K2312" s="61" t="str">
        <f aca="false">IF($P2312=0,"",IF($F2312="Baseline","— Baseline",IF($O2312=0,"No result",IF($N2312=0,"No Start (attainment only)",IF(OR($N2312=1,$O2312=1),"U – needs rule",INDEX(MxBody,MATCH($I2312,MxCurr,0),MATCH($H2312,MxStart,0)))))))</f>
        <v/>
      </c>
      <c r="L2312" s="62" t="str">
        <f aca="false">IF(COUNTA($A2312,$F2312,$G2312,$H2312,$I2312,$J2312)=0,"",IF($M2312=0,"✖ كود الصف غير موجود",IF(ISNA(MATCH($F2312,Lists!$A$2:$A$5,0)),"✖ الفترة غير صحيحة",IF(ISNA(MATCH($G2312,Lists!$B$2:$B$7,0)),"✖ المجموعة غير صحيحة",IF(NOT(OR($H2312="",$N2312&gt;0)),"✖ Start غير صحيح",IF(NOT(OR($I2312="",$I2312="NR",$O2312&gt;0)),"✖ Current غير صحيح",IF(NOT(IF(ISNUMBER($J2312),AND($J2312&gt;=0,$J2312=INT($J2312)),FALSE())),"✖ العدد يجب أن يكون صحيحًا ≥ 0",IF(AND($F2312="Baseline",$H2312&lt;&gt;""),"⚠ Baseline: Start لا يدخل في التقدم",IF($K2312="No Start (attainment only)","ℹ تحصيل فقط (بدون Start)",IF($K2312="U – needs rule","ℹ حالة U تحتاج قاعدة معتمدة",IF($K2312="No result","ℹ بدون نتيجة (يُستبعد من التحصيل)","OK")))))))))))</f>
        <v/>
      </c>
      <c r="M2312" s="64" t="n">
        <f aca="false">IF($A2312="",0,IFERROR(MATCH($A2312,Classes!$A$6:$A$420,0),0))</f>
        <v>0</v>
      </c>
      <c r="N2312" s="64" t="n">
        <f aca="false">IF($H2312="",0,IFERROR(MATCH($H2312,GradeList,0),0))</f>
        <v>0</v>
      </c>
      <c r="O2312" s="64" t="n">
        <f aca="false">IF(OR($I2312="",$I2312="NR"),0,IFERROR(MATCH($I2312,GradeList,0),0))</f>
        <v>0</v>
      </c>
      <c r="P2312" s="64" t="n">
        <f aca="false">IF(AND($M2312&gt;0,ISNUMBER(MATCH($F2312,Lists!$A$2:$A$5,0)),ISNUMBER(MATCH($G2312,Lists!$B$2:$B$7,0)),OR($H2312="",$N2312&gt;0),OR($I2312="",$I2312="NR",$O2312&gt;0),IF(ISNUMBER($J2312),AND($J2312&gt;=0,$J2312=INT($J2312)),FALSE())),$J2312,0)</f>
        <v>0</v>
      </c>
      <c r="Q2312" s="64" t="n">
        <f aca="false">IF(AND($P2312&gt;0,$O2312&gt;0),$P2312,0)</f>
        <v>0</v>
      </c>
      <c r="R2312" s="64" t="n">
        <f aca="false">IF(AND($Q2312&gt;0,$O2312&gt;=AtRank),$Q2312,0)</f>
        <v>0</v>
      </c>
      <c r="S2312" s="64" t="n">
        <f aca="false">IF(AND($Q2312&gt;0,$O2312&gt;=AboveRank),$Q2312,0)</f>
        <v>0</v>
      </c>
      <c r="T2312" s="64" t="n">
        <f aca="false">IF($K2312="Less",$P2312,0)</f>
        <v>0</v>
      </c>
      <c r="U2312" s="64" t="n">
        <f aca="false">IF($K2312="Expected",$P2312,0)</f>
        <v>0</v>
      </c>
      <c r="V2312" s="64" t="n">
        <f aca="false">IF($K2312="Better",$P2312,0)</f>
        <v>0</v>
      </c>
      <c r="W2312" s="64" t="n">
        <f aca="false">IF($K2312="U – needs rule",$P2312,0)</f>
        <v>0</v>
      </c>
      <c r="X2312" s="64" t="n">
        <f aca="false">IF($K2312="No Start (attainment only)",$P2312,0)</f>
        <v>0</v>
      </c>
    </row>
    <row r="2313" customFormat="false" ht="15" hidden="false" customHeight="false" outlineLevel="0" collapsed="false">
      <c r="A2313" s="60"/>
      <c r="B2313" s="61" t="str">
        <f aca="false">IF($M2313=0,"",INDEX(Classes!$E$6:$E$420,$M2313))</f>
        <v/>
      </c>
      <c r="C2313" s="62" t="str">
        <f aca="false">IF($M2313=0,"",INDEX(Classes!$H$6:$H$420,$M2313))</f>
        <v/>
      </c>
      <c r="D2313" s="61" t="str">
        <f aca="false">IF($M2313=0,"",INDEX(Classes!$B$6:$B$420,$M2313))</f>
        <v/>
      </c>
      <c r="E2313" s="61" t="str">
        <f aca="false">IF($M2313=0,"",INDEX(Classes!$C$6:$C$420,$M2313))</f>
        <v/>
      </c>
      <c r="F2313" s="63"/>
      <c r="G2313" s="63"/>
      <c r="H2313" s="60"/>
      <c r="I2313" s="60"/>
      <c r="J2313" s="63"/>
      <c r="K2313" s="61" t="str">
        <f aca="false">IF($P2313=0,"",IF($F2313="Baseline","— Baseline",IF($O2313=0,"No result",IF($N2313=0,"No Start (attainment only)",IF(OR($N2313=1,$O2313=1),"U – needs rule",INDEX(MxBody,MATCH($I2313,MxCurr,0),MATCH($H2313,MxStart,0)))))))</f>
        <v/>
      </c>
      <c r="L2313" s="62" t="str">
        <f aca="false">IF(COUNTA($A2313,$F2313,$G2313,$H2313,$I2313,$J2313)=0,"",IF($M2313=0,"✖ كود الصف غير موجود",IF(ISNA(MATCH($F2313,Lists!$A$2:$A$5,0)),"✖ الفترة غير صحيحة",IF(ISNA(MATCH($G2313,Lists!$B$2:$B$7,0)),"✖ المجموعة غير صحيحة",IF(NOT(OR($H2313="",$N2313&gt;0)),"✖ Start غير صحيح",IF(NOT(OR($I2313="",$I2313="NR",$O2313&gt;0)),"✖ Current غير صحيح",IF(NOT(IF(ISNUMBER($J2313),AND($J2313&gt;=0,$J2313=INT($J2313)),FALSE())),"✖ العدد يجب أن يكون صحيحًا ≥ 0",IF(AND($F2313="Baseline",$H2313&lt;&gt;""),"⚠ Baseline: Start لا يدخل في التقدم",IF($K2313="No Start (attainment only)","ℹ تحصيل فقط (بدون Start)",IF($K2313="U – needs rule","ℹ حالة U تحتاج قاعدة معتمدة",IF($K2313="No result","ℹ بدون نتيجة (يُستبعد من التحصيل)","OK")))))))))))</f>
        <v/>
      </c>
      <c r="M2313" s="64" t="n">
        <f aca="false">IF($A2313="",0,IFERROR(MATCH($A2313,Classes!$A$6:$A$420,0),0))</f>
        <v>0</v>
      </c>
      <c r="N2313" s="64" t="n">
        <f aca="false">IF($H2313="",0,IFERROR(MATCH($H2313,GradeList,0),0))</f>
        <v>0</v>
      </c>
      <c r="O2313" s="64" t="n">
        <f aca="false">IF(OR($I2313="",$I2313="NR"),0,IFERROR(MATCH($I2313,GradeList,0),0))</f>
        <v>0</v>
      </c>
      <c r="P2313" s="64" t="n">
        <f aca="false">IF(AND($M2313&gt;0,ISNUMBER(MATCH($F2313,Lists!$A$2:$A$5,0)),ISNUMBER(MATCH($G2313,Lists!$B$2:$B$7,0)),OR($H2313="",$N2313&gt;0),OR($I2313="",$I2313="NR",$O2313&gt;0),IF(ISNUMBER($J2313),AND($J2313&gt;=0,$J2313=INT($J2313)),FALSE())),$J2313,0)</f>
        <v>0</v>
      </c>
      <c r="Q2313" s="64" t="n">
        <f aca="false">IF(AND($P2313&gt;0,$O2313&gt;0),$P2313,0)</f>
        <v>0</v>
      </c>
      <c r="R2313" s="64" t="n">
        <f aca="false">IF(AND($Q2313&gt;0,$O2313&gt;=AtRank),$Q2313,0)</f>
        <v>0</v>
      </c>
      <c r="S2313" s="64" t="n">
        <f aca="false">IF(AND($Q2313&gt;0,$O2313&gt;=AboveRank),$Q2313,0)</f>
        <v>0</v>
      </c>
      <c r="T2313" s="64" t="n">
        <f aca="false">IF($K2313="Less",$P2313,0)</f>
        <v>0</v>
      </c>
      <c r="U2313" s="64" t="n">
        <f aca="false">IF($K2313="Expected",$P2313,0)</f>
        <v>0</v>
      </c>
      <c r="V2313" s="64" t="n">
        <f aca="false">IF($K2313="Better",$P2313,0)</f>
        <v>0</v>
      </c>
      <c r="W2313" s="64" t="n">
        <f aca="false">IF($K2313="U – needs rule",$P2313,0)</f>
        <v>0</v>
      </c>
      <c r="X2313" s="64" t="n">
        <f aca="false">IF($K2313="No Start (attainment only)",$P2313,0)</f>
        <v>0</v>
      </c>
    </row>
    <row r="2314" customFormat="false" ht="15" hidden="false" customHeight="false" outlineLevel="0" collapsed="false">
      <c r="A2314" s="60"/>
      <c r="B2314" s="61" t="str">
        <f aca="false">IF($M2314=0,"",INDEX(Classes!$E$6:$E$420,$M2314))</f>
        <v/>
      </c>
      <c r="C2314" s="62" t="str">
        <f aca="false">IF($M2314=0,"",INDEX(Classes!$H$6:$H$420,$M2314))</f>
        <v/>
      </c>
      <c r="D2314" s="61" t="str">
        <f aca="false">IF($M2314=0,"",INDEX(Classes!$B$6:$B$420,$M2314))</f>
        <v/>
      </c>
      <c r="E2314" s="61" t="str">
        <f aca="false">IF($M2314=0,"",INDEX(Classes!$C$6:$C$420,$M2314))</f>
        <v/>
      </c>
      <c r="F2314" s="63"/>
      <c r="G2314" s="63"/>
      <c r="H2314" s="60"/>
      <c r="I2314" s="60"/>
      <c r="J2314" s="63"/>
      <c r="K2314" s="61" t="str">
        <f aca="false">IF($P2314=0,"",IF($F2314="Baseline","— Baseline",IF($O2314=0,"No result",IF($N2314=0,"No Start (attainment only)",IF(OR($N2314=1,$O2314=1),"U – needs rule",INDEX(MxBody,MATCH($I2314,MxCurr,0),MATCH($H2314,MxStart,0)))))))</f>
        <v/>
      </c>
      <c r="L2314" s="62" t="str">
        <f aca="false">IF(COUNTA($A2314,$F2314,$G2314,$H2314,$I2314,$J2314)=0,"",IF($M2314=0,"✖ كود الصف غير موجود",IF(ISNA(MATCH($F2314,Lists!$A$2:$A$5,0)),"✖ الفترة غير صحيحة",IF(ISNA(MATCH($G2314,Lists!$B$2:$B$7,0)),"✖ المجموعة غير صحيحة",IF(NOT(OR($H2314="",$N2314&gt;0)),"✖ Start غير صحيح",IF(NOT(OR($I2314="",$I2314="NR",$O2314&gt;0)),"✖ Current غير صحيح",IF(NOT(IF(ISNUMBER($J2314),AND($J2314&gt;=0,$J2314=INT($J2314)),FALSE())),"✖ العدد يجب أن يكون صحيحًا ≥ 0",IF(AND($F2314="Baseline",$H2314&lt;&gt;""),"⚠ Baseline: Start لا يدخل في التقدم",IF($K2314="No Start (attainment only)","ℹ تحصيل فقط (بدون Start)",IF($K2314="U – needs rule","ℹ حالة U تحتاج قاعدة معتمدة",IF($K2314="No result","ℹ بدون نتيجة (يُستبعد من التحصيل)","OK")))))))))))</f>
        <v/>
      </c>
      <c r="M2314" s="64" t="n">
        <f aca="false">IF($A2314="",0,IFERROR(MATCH($A2314,Classes!$A$6:$A$420,0),0))</f>
        <v>0</v>
      </c>
      <c r="N2314" s="64" t="n">
        <f aca="false">IF($H2314="",0,IFERROR(MATCH($H2314,GradeList,0),0))</f>
        <v>0</v>
      </c>
      <c r="O2314" s="64" t="n">
        <f aca="false">IF(OR($I2314="",$I2314="NR"),0,IFERROR(MATCH($I2314,GradeList,0),0))</f>
        <v>0</v>
      </c>
      <c r="P2314" s="64" t="n">
        <f aca="false">IF(AND($M2314&gt;0,ISNUMBER(MATCH($F2314,Lists!$A$2:$A$5,0)),ISNUMBER(MATCH($G2314,Lists!$B$2:$B$7,0)),OR($H2314="",$N2314&gt;0),OR($I2314="",$I2314="NR",$O2314&gt;0),IF(ISNUMBER($J2314),AND($J2314&gt;=0,$J2314=INT($J2314)),FALSE())),$J2314,0)</f>
        <v>0</v>
      </c>
      <c r="Q2314" s="64" t="n">
        <f aca="false">IF(AND($P2314&gt;0,$O2314&gt;0),$P2314,0)</f>
        <v>0</v>
      </c>
      <c r="R2314" s="64" t="n">
        <f aca="false">IF(AND($Q2314&gt;0,$O2314&gt;=AtRank),$Q2314,0)</f>
        <v>0</v>
      </c>
      <c r="S2314" s="64" t="n">
        <f aca="false">IF(AND($Q2314&gt;0,$O2314&gt;=AboveRank),$Q2314,0)</f>
        <v>0</v>
      </c>
      <c r="T2314" s="64" t="n">
        <f aca="false">IF($K2314="Less",$P2314,0)</f>
        <v>0</v>
      </c>
      <c r="U2314" s="64" t="n">
        <f aca="false">IF($K2314="Expected",$P2314,0)</f>
        <v>0</v>
      </c>
      <c r="V2314" s="64" t="n">
        <f aca="false">IF($K2314="Better",$P2314,0)</f>
        <v>0</v>
      </c>
      <c r="W2314" s="64" t="n">
        <f aca="false">IF($K2314="U – needs rule",$P2314,0)</f>
        <v>0</v>
      </c>
      <c r="X2314" s="64" t="n">
        <f aca="false">IF($K2314="No Start (attainment only)",$P2314,0)</f>
        <v>0</v>
      </c>
    </row>
    <row r="2315" customFormat="false" ht="15" hidden="false" customHeight="false" outlineLevel="0" collapsed="false">
      <c r="A2315" s="60"/>
      <c r="B2315" s="61" t="str">
        <f aca="false">IF($M2315=0,"",INDEX(Classes!$E$6:$E$420,$M2315))</f>
        <v/>
      </c>
      <c r="C2315" s="62" t="str">
        <f aca="false">IF($M2315=0,"",INDEX(Classes!$H$6:$H$420,$M2315))</f>
        <v/>
      </c>
      <c r="D2315" s="61" t="str">
        <f aca="false">IF($M2315=0,"",INDEX(Classes!$B$6:$B$420,$M2315))</f>
        <v/>
      </c>
      <c r="E2315" s="61" t="str">
        <f aca="false">IF($M2315=0,"",INDEX(Classes!$C$6:$C$420,$M2315))</f>
        <v/>
      </c>
      <c r="F2315" s="63"/>
      <c r="G2315" s="63"/>
      <c r="H2315" s="60"/>
      <c r="I2315" s="60"/>
      <c r="J2315" s="63"/>
      <c r="K2315" s="61" t="str">
        <f aca="false">IF($P2315=0,"",IF($F2315="Baseline","— Baseline",IF($O2315=0,"No result",IF($N2315=0,"No Start (attainment only)",IF(OR($N2315=1,$O2315=1),"U – needs rule",INDEX(MxBody,MATCH($I2315,MxCurr,0),MATCH($H2315,MxStart,0)))))))</f>
        <v/>
      </c>
      <c r="L2315" s="62" t="str">
        <f aca="false">IF(COUNTA($A2315,$F2315,$G2315,$H2315,$I2315,$J2315)=0,"",IF($M2315=0,"✖ كود الصف غير موجود",IF(ISNA(MATCH($F2315,Lists!$A$2:$A$5,0)),"✖ الفترة غير صحيحة",IF(ISNA(MATCH($G2315,Lists!$B$2:$B$7,0)),"✖ المجموعة غير صحيحة",IF(NOT(OR($H2315="",$N2315&gt;0)),"✖ Start غير صحيح",IF(NOT(OR($I2315="",$I2315="NR",$O2315&gt;0)),"✖ Current غير صحيح",IF(NOT(IF(ISNUMBER($J2315),AND($J2315&gt;=0,$J2315=INT($J2315)),FALSE())),"✖ العدد يجب أن يكون صحيحًا ≥ 0",IF(AND($F2315="Baseline",$H2315&lt;&gt;""),"⚠ Baseline: Start لا يدخل في التقدم",IF($K2315="No Start (attainment only)","ℹ تحصيل فقط (بدون Start)",IF($K2315="U – needs rule","ℹ حالة U تحتاج قاعدة معتمدة",IF($K2315="No result","ℹ بدون نتيجة (يُستبعد من التحصيل)","OK")))))))))))</f>
        <v/>
      </c>
      <c r="M2315" s="64" t="n">
        <f aca="false">IF($A2315="",0,IFERROR(MATCH($A2315,Classes!$A$6:$A$420,0),0))</f>
        <v>0</v>
      </c>
      <c r="N2315" s="64" t="n">
        <f aca="false">IF($H2315="",0,IFERROR(MATCH($H2315,GradeList,0),0))</f>
        <v>0</v>
      </c>
      <c r="O2315" s="64" t="n">
        <f aca="false">IF(OR($I2315="",$I2315="NR"),0,IFERROR(MATCH($I2315,GradeList,0),0))</f>
        <v>0</v>
      </c>
      <c r="P2315" s="64" t="n">
        <f aca="false">IF(AND($M2315&gt;0,ISNUMBER(MATCH($F2315,Lists!$A$2:$A$5,0)),ISNUMBER(MATCH($G2315,Lists!$B$2:$B$7,0)),OR($H2315="",$N2315&gt;0),OR($I2315="",$I2315="NR",$O2315&gt;0),IF(ISNUMBER($J2315),AND($J2315&gt;=0,$J2315=INT($J2315)),FALSE())),$J2315,0)</f>
        <v>0</v>
      </c>
      <c r="Q2315" s="64" t="n">
        <f aca="false">IF(AND($P2315&gt;0,$O2315&gt;0),$P2315,0)</f>
        <v>0</v>
      </c>
      <c r="R2315" s="64" t="n">
        <f aca="false">IF(AND($Q2315&gt;0,$O2315&gt;=AtRank),$Q2315,0)</f>
        <v>0</v>
      </c>
      <c r="S2315" s="64" t="n">
        <f aca="false">IF(AND($Q2315&gt;0,$O2315&gt;=AboveRank),$Q2315,0)</f>
        <v>0</v>
      </c>
      <c r="T2315" s="64" t="n">
        <f aca="false">IF($K2315="Less",$P2315,0)</f>
        <v>0</v>
      </c>
      <c r="U2315" s="64" t="n">
        <f aca="false">IF($K2315="Expected",$P2315,0)</f>
        <v>0</v>
      </c>
      <c r="V2315" s="64" t="n">
        <f aca="false">IF($K2315="Better",$P2315,0)</f>
        <v>0</v>
      </c>
      <c r="W2315" s="64" t="n">
        <f aca="false">IF($K2315="U – needs rule",$P2315,0)</f>
        <v>0</v>
      </c>
      <c r="X2315" s="64" t="n">
        <f aca="false">IF($K2315="No Start (attainment only)",$P2315,0)</f>
        <v>0</v>
      </c>
    </row>
    <row r="2316" customFormat="false" ht="15" hidden="false" customHeight="false" outlineLevel="0" collapsed="false">
      <c r="A2316" s="60"/>
      <c r="B2316" s="61" t="str">
        <f aca="false">IF($M2316=0,"",INDEX(Classes!$E$6:$E$420,$M2316))</f>
        <v/>
      </c>
      <c r="C2316" s="62" t="str">
        <f aca="false">IF($M2316=0,"",INDEX(Classes!$H$6:$H$420,$M2316))</f>
        <v/>
      </c>
      <c r="D2316" s="61" t="str">
        <f aca="false">IF($M2316=0,"",INDEX(Classes!$B$6:$B$420,$M2316))</f>
        <v/>
      </c>
      <c r="E2316" s="61" t="str">
        <f aca="false">IF($M2316=0,"",INDEX(Classes!$C$6:$C$420,$M2316))</f>
        <v/>
      </c>
      <c r="F2316" s="63"/>
      <c r="G2316" s="63"/>
      <c r="H2316" s="60"/>
      <c r="I2316" s="60"/>
      <c r="J2316" s="63"/>
      <c r="K2316" s="61" t="str">
        <f aca="false">IF($P2316=0,"",IF($F2316="Baseline","— Baseline",IF($O2316=0,"No result",IF($N2316=0,"No Start (attainment only)",IF(OR($N2316=1,$O2316=1),"U – needs rule",INDEX(MxBody,MATCH($I2316,MxCurr,0),MATCH($H2316,MxStart,0)))))))</f>
        <v/>
      </c>
      <c r="L2316" s="62" t="str">
        <f aca="false">IF(COUNTA($A2316,$F2316,$G2316,$H2316,$I2316,$J2316)=0,"",IF($M2316=0,"✖ كود الصف غير موجود",IF(ISNA(MATCH($F2316,Lists!$A$2:$A$5,0)),"✖ الفترة غير صحيحة",IF(ISNA(MATCH($G2316,Lists!$B$2:$B$7,0)),"✖ المجموعة غير صحيحة",IF(NOT(OR($H2316="",$N2316&gt;0)),"✖ Start غير صحيح",IF(NOT(OR($I2316="",$I2316="NR",$O2316&gt;0)),"✖ Current غير صحيح",IF(NOT(IF(ISNUMBER($J2316),AND($J2316&gt;=0,$J2316=INT($J2316)),FALSE())),"✖ العدد يجب أن يكون صحيحًا ≥ 0",IF(AND($F2316="Baseline",$H2316&lt;&gt;""),"⚠ Baseline: Start لا يدخل في التقدم",IF($K2316="No Start (attainment only)","ℹ تحصيل فقط (بدون Start)",IF($K2316="U – needs rule","ℹ حالة U تحتاج قاعدة معتمدة",IF($K2316="No result","ℹ بدون نتيجة (يُستبعد من التحصيل)","OK")))))))))))</f>
        <v/>
      </c>
      <c r="M2316" s="64" t="n">
        <f aca="false">IF($A2316="",0,IFERROR(MATCH($A2316,Classes!$A$6:$A$420,0),0))</f>
        <v>0</v>
      </c>
      <c r="N2316" s="64" t="n">
        <f aca="false">IF($H2316="",0,IFERROR(MATCH($H2316,GradeList,0),0))</f>
        <v>0</v>
      </c>
      <c r="O2316" s="64" t="n">
        <f aca="false">IF(OR($I2316="",$I2316="NR"),0,IFERROR(MATCH($I2316,GradeList,0),0))</f>
        <v>0</v>
      </c>
      <c r="P2316" s="64" t="n">
        <f aca="false">IF(AND($M2316&gt;0,ISNUMBER(MATCH($F2316,Lists!$A$2:$A$5,0)),ISNUMBER(MATCH($G2316,Lists!$B$2:$B$7,0)),OR($H2316="",$N2316&gt;0),OR($I2316="",$I2316="NR",$O2316&gt;0),IF(ISNUMBER($J2316),AND($J2316&gt;=0,$J2316=INT($J2316)),FALSE())),$J2316,0)</f>
        <v>0</v>
      </c>
      <c r="Q2316" s="64" t="n">
        <f aca="false">IF(AND($P2316&gt;0,$O2316&gt;0),$P2316,0)</f>
        <v>0</v>
      </c>
      <c r="R2316" s="64" t="n">
        <f aca="false">IF(AND($Q2316&gt;0,$O2316&gt;=AtRank),$Q2316,0)</f>
        <v>0</v>
      </c>
      <c r="S2316" s="64" t="n">
        <f aca="false">IF(AND($Q2316&gt;0,$O2316&gt;=AboveRank),$Q2316,0)</f>
        <v>0</v>
      </c>
      <c r="T2316" s="64" t="n">
        <f aca="false">IF($K2316="Less",$P2316,0)</f>
        <v>0</v>
      </c>
      <c r="U2316" s="64" t="n">
        <f aca="false">IF($K2316="Expected",$P2316,0)</f>
        <v>0</v>
      </c>
      <c r="V2316" s="64" t="n">
        <f aca="false">IF($K2316="Better",$P2316,0)</f>
        <v>0</v>
      </c>
      <c r="W2316" s="64" t="n">
        <f aca="false">IF($K2316="U – needs rule",$P2316,0)</f>
        <v>0</v>
      </c>
      <c r="X2316" s="64" t="n">
        <f aca="false">IF($K2316="No Start (attainment only)",$P2316,0)</f>
        <v>0</v>
      </c>
    </row>
    <row r="2317" customFormat="false" ht="15" hidden="false" customHeight="false" outlineLevel="0" collapsed="false">
      <c r="A2317" s="60"/>
      <c r="B2317" s="61" t="str">
        <f aca="false">IF($M2317=0,"",INDEX(Classes!$E$6:$E$420,$M2317))</f>
        <v/>
      </c>
      <c r="C2317" s="62" t="str">
        <f aca="false">IF($M2317=0,"",INDEX(Classes!$H$6:$H$420,$M2317))</f>
        <v/>
      </c>
      <c r="D2317" s="61" t="str">
        <f aca="false">IF($M2317=0,"",INDEX(Classes!$B$6:$B$420,$M2317))</f>
        <v/>
      </c>
      <c r="E2317" s="61" t="str">
        <f aca="false">IF($M2317=0,"",INDEX(Classes!$C$6:$C$420,$M2317))</f>
        <v/>
      </c>
      <c r="F2317" s="63"/>
      <c r="G2317" s="63"/>
      <c r="H2317" s="60"/>
      <c r="I2317" s="60"/>
      <c r="J2317" s="63"/>
      <c r="K2317" s="61" t="str">
        <f aca="false">IF($P2317=0,"",IF($F2317="Baseline","— Baseline",IF($O2317=0,"No result",IF($N2317=0,"No Start (attainment only)",IF(OR($N2317=1,$O2317=1),"U – needs rule",INDEX(MxBody,MATCH($I2317,MxCurr,0),MATCH($H2317,MxStart,0)))))))</f>
        <v/>
      </c>
      <c r="L2317" s="62" t="str">
        <f aca="false">IF(COUNTA($A2317,$F2317,$G2317,$H2317,$I2317,$J2317)=0,"",IF($M2317=0,"✖ كود الصف غير موجود",IF(ISNA(MATCH($F2317,Lists!$A$2:$A$5,0)),"✖ الفترة غير صحيحة",IF(ISNA(MATCH($G2317,Lists!$B$2:$B$7,0)),"✖ المجموعة غير صحيحة",IF(NOT(OR($H2317="",$N2317&gt;0)),"✖ Start غير صحيح",IF(NOT(OR($I2317="",$I2317="NR",$O2317&gt;0)),"✖ Current غير صحيح",IF(NOT(IF(ISNUMBER($J2317),AND($J2317&gt;=0,$J2317=INT($J2317)),FALSE())),"✖ العدد يجب أن يكون صحيحًا ≥ 0",IF(AND($F2317="Baseline",$H2317&lt;&gt;""),"⚠ Baseline: Start لا يدخل في التقدم",IF($K2317="No Start (attainment only)","ℹ تحصيل فقط (بدون Start)",IF($K2317="U – needs rule","ℹ حالة U تحتاج قاعدة معتمدة",IF($K2317="No result","ℹ بدون نتيجة (يُستبعد من التحصيل)","OK")))))))))))</f>
        <v/>
      </c>
      <c r="M2317" s="64" t="n">
        <f aca="false">IF($A2317="",0,IFERROR(MATCH($A2317,Classes!$A$6:$A$420,0),0))</f>
        <v>0</v>
      </c>
      <c r="N2317" s="64" t="n">
        <f aca="false">IF($H2317="",0,IFERROR(MATCH($H2317,GradeList,0),0))</f>
        <v>0</v>
      </c>
      <c r="O2317" s="64" t="n">
        <f aca="false">IF(OR($I2317="",$I2317="NR"),0,IFERROR(MATCH($I2317,GradeList,0),0))</f>
        <v>0</v>
      </c>
      <c r="P2317" s="64" t="n">
        <f aca="false">IF(AND($M2317&gt;0,ISNUMBER(MATCH($F2317,Lists!$A$2:$A$5,0)),ISNUMBER(MATCH($G2317,Lists!$B$2:$B$7,0)),OR($H2317="",$N2317&gt;0),OR($I2317="",$I2317="NR",$O2317&gt;0),IF(ISNUMBER($J2317),AND($J2317&gt;=0,$J2317=INT($J2317)),FALSE())),$J2317,0)</f>
        <v>0</v>
      </c>
      <c r="Q2317" s="64" t="n">
        <f aca="false">IF(AND($P2317&gt;0,$O2317&gt;0),$P2317,0)</f>
        <v>0</v>
      </c>
      <c r="R2317" s="64" t="n">
        <f aca="false">IF(AND($Q2317&gt;0,$O2317&gt;=AtRank),$Q2317,0)</f>
        <v>0</v>
      </c>
      <c r="S2317" s="64" t="n">
        <f aca="false">IF(AND($Q2317&gt;0,$O2317&gt;=AboveRank),$Q2317,0)</f>
        <v>0</v>
      </c>
      <c r="T2317" s="64" t="n">
        <f aca="false">IF($K2317="Less",$P2317,0)</f>
        <v>0</v>
      </c>
      <c r="U2317" s="64" t="n">
        <f aca="false">IF($K2317="Expected",$P2317,0)</f>
        <v>0</v>
      </c>
      <c r="V2317" s="64" t="n">
        <f aca="false">IF($K2317="Better",$P2317,0)</f>
        <v>0</v>
      </c>
      <c r="W2317" s="64" t="n">
        <f aca="false">IF($K2317="U – needs rule",$P2317,0)</f>
        <v>0</v>
      </c>
      <c r="X2317" s="64" t="n">
        <f aca="false">IF($K2317="No Start (attainment only)",$P2317,0)</f>
        <v>0</v>
      </c>
    </row>
    <row r="2318" customFormat="false" ht="15" hidden="false" customHeight="false" outlineLevel="0" collapsed="false">
      <c r="A2318" s="60"/>
      <c r="B2318" s="61" t="str">
        <f aca="false">IF($M2318=0,"",INDEX(Classes!$E$6:$E$420,$M2318))</f>
        <v/>
      </c>
      <c r="C2318" s="62" t="str">
        <f aca="false">IF($M2318=0,"",INDEX(Classes!$H$6:$H$420,$M2318))</f>
        <v/>
      </c>
      <c r="D2318" s="61" t="str">
        <f aca="false">IF($M2318=0,"",INDEX(Classes!$B$6:$B$420,$M2318))</f>
        <v/>
      </c>
      <c r="E2318" s="61" t="str">
        <f aca="false">IF($M2318=0,"",INDEX(Classes!$C$6:$C$420,$M2318))</f>
        <v/>
      </c>
      <c r="F2318" s="63"/>
      <c r="G2318" s="63"/>
      <c r="H2318" s="60"/>
      <c r="I2318" s="60"/>
      <c r="J2318" s="63"/>
      <c r="K2318" s="61" t="str">
        <f aca="false">IF($P2318=0,"",IF($F2318="Baseline","— Baseline",IF($O2318=0,"No result",IF($N2318=0,"No Start (attainment only)",IF(OR($N2318=1,$O2318=1),"U – needs rule",INDEX(MxBody,MATCH($I2318,MxCurr,0),MATCH($H2318,MxStart,0)))))))</f>
        <v/>
      </c>
      <c r="L2318" s="62" t="str">
        <f aca="false">IF(COUNTA($A2318,$F2318,$G2318,$H2318,$I2318,$J2318)=0,"",IF($M2318=0,"✖ كود الصف غير موجود",IF(ISNA(MATCH($F2318,Lists!$A$2:$A$5,0)),"✖ الفترة غير صحيحة",IF(ISNA(MATCH($G2318,Lists!$B$2:$B$7,0)),"✖ المجموعة غير صحيحة",IF(NOT(OR($H2318="",$N2318&gt;0)),"✖ Start غير صحيح",IF(NOT(OR($I2318="",$I2318="NR",$O2318&gt;0)),"✖ Current غير صحيح",IF(NOT(IF(ISNUMBER($J2318),AND($J2318&gt;=0,$J2318=INT($J2318)),FALSE())),"✖ العدد يجب أن يكون صحيحًا ≥ 0",IF(AND($F2318="Baseline",$H2318&lt;&gt;""),"⚠ Baseline: Start لا يدخل في التقدم",IF($K2318="No Start (attainment only)","ℹ تحصيل فقط (بدون Start)",IF($K2318="U – needs rule","ℹ حالة U تحتاج قاعدة معتمدة",IF($K2318="No result","ℹ بدون نتيجة (يُستبعد من التحصيل)","OK")))))))))))</f>
        <v/>
      </c>
      <c r="M2318" s="64" t="n">
        <f aca="false">IF($A2318="",0,IFERROR(MATCH($A2318,Classes!$A$6:$A$420,0),0))</f>
        <v>0</v>
      </c>
      <c r="N2318" s="64" t="n">
        <f aca="false">IF($H2318="",0,IFERROR(MATCH($H2318,GradeList,0),0))</f>
        <v>0</v>
      </c>
      <c r="O2318" s="64" t="n">
        <f aca="false">IF(OR($I2318="",$I2318="NR"),0,IFERROR(MATCH($I2318,GradeList,0),0))</f>
        <v>0</v>
      </c>
      <c r="P2318" s="64" t="n">
        <f aca="false">IF(AND($M2318&gt;0,ISNUMBER(MATCH($F2318,Lists!$A$2:$A$5,0)),ISNUMBER(MATCH($G2318,Lists!$B$2:$B$7,0)),OR($H2318="",$N2318&gt;0),OR($I2318="",$I2318="NR",$O2318&gt;0),IF(ISNUMBER($J2318),AND($J2318&gt;=0,$J2318=INT($J2318)),FALSE())),$J2318,0)</f>
        <v>0</v>
      </c>
      <c r="Q2318" s="64" t="n">
        <f aca="false">IF(AND($P2318&gt;0,$O2318&gt;0),$P2318,0)</f>
        <v>0</v>
      </c>
      <c r="R2318" s="64" t="n">
        <f aca="false">IF(AND($Q2318&gt;0,$O2318&gt;=AtRank),$Q2318,0)</f>
        <v>0</v>
      </c>
      <c r="S2318" s="64" t="n">
        <f aca="false">IF(AND($Q2318&gt;0,$O2318&gt;=AboveRank),$Q2318,0)</f>
        <v>0</v>
      </c>
      <c r="T2318" s="64" t="n">
        <f aca="false">IF($K2318="Less",$P2318,0)</f>
        <v>0</v>
      </c>
      <c r="U2318" s="64" t="n">
        <f aca="false">IF($K2318="Expected",$P2318,0)</f>
        <v>0</v>
      </c>
      <c r="V2318" s="64" t="n">
        <f aca="false">IF($K2318="Better",$P2318,0)</f>
        <v>0</v>
      </c>
      <c r="W2318" s="64" t="n">
        <f aca="false">IF($K2318="U – needs rule",$P2318,0)</f>
        <v>0</v>
      </c>
      <c r="X2318" s="64" t="n">
        <f aca="false">IF($K2318="No Start (attainment only)",$P2318,0)</f>
        <v>0</v>
      </c>
    </row>
    <row r="2319" customFormat="false" ht="15" hidden="false" customHeight="false" outlineLevel="0" collapsed="false">
      <c r="A2319" s="60"/>
      <c r="B2319" s="61" t="str">
        <f aca="false">IF($M2319=0,"",INDEX(Classes!$E$6:$E$420,$M2319))</f>
        <v/>
      </c>
      <c r="C2319" s="62" t="str">
        <f aca="false">IF($M2319=0,"",INDEX(Classes!$H$6:$H$420,$M2319))</f>
        <v/>
      </c>
      <c r="D2319" s="61" t="str">
        <f aca="false">IF($M2319=0,"",INDEX(Classes!$B$6:$B$420,$M2319))</f>
        <v/>
      </c>
      <c r="E2319" s="61" t="str">
        <f aca="false">IF($M2319=0,"",INDEX(Classes!$C$6:$C$420,$M2319))</f>
        <v/>
      </c>
      <c r="F2319" s="63"/>
      <c r="G2319" s="63"/>
      <c r="H2319" s="60"/>
      <c r="I2319" s="60"/>
      <c r="J2319" s="63"/>
      <c r="K2319" s="61" t="str">
        <f aca="false">IF($P2319=0,"",IF($F2319="Baseline","— Baseline",IF($O2319=0,"No result",IF($N2319=0,"No Start (attainment only)",IF(OR($N2319=1,$O2319=1),"U – needs rule",INDEX(MxBody,MATCH($I2319,MxCurr,0),MATCH($H2319,MxStart,0)))))))</f>
        <v/>
      </c>
      <c r="L2319" s="62" t="str">
        <f aca="false">IF(COUNTA($A2319,$F2319,$G2319,$H2319,$I2319,$J2319)=0,"",IF($M2319=0,"✖ كود الصف غير موجود",IF(ISNA(MATCH($F2319,Lists!$A$2:$A$5,0)),"✖ الفترة غير صحيحة",IF(ISNA(MATCH($G2319,Lists!$B$2:$B$7,0)),"✖ المجموعة غير صحيحة",IF(NOT(OR($H2319="",$N2319&gt;0)),"✖ Start غير صحيح",IF(NOT(OR($I2319="",$I2319="NR",$O2319&gt;0)),"✖ Current غير صحيح",IF(NOT(IF(ISNUMBER($J2319),AND($J2319&gt;=0,$J2319=INT($J2319)),FALSE())),"✖ العدد يجب أن يكون صحيحًا ≥ 0",IF(AND($F2319="Baseline",$H2319&lt;&gt;""),"⚠ Baseline: Start لا يدخل في التقدم",IF($K2319="No Start (attainment only)","ℹ تحصيل فقط (بدون Start)",IF($K2319="U – needs rule","ℹ حالة U تحتاج قاعدة معتمدة",IF($K2319="No result","ℹ بدون نتيجة (يُستبعد من التحصيل)","OK")))))))))))</f>
        <v/>
      </c>
      <c r="M2319" s="64" t="n">
        <f aca="false">IF($A2319="",0,IFERROR(MATCH($A2319,Classes!$A$6:$A$420,0),0))</f>
        <v>0</v>
      </c>
      <c r="N2319" s="64" t="n">
        <f aca="false">IF($H2319="",0,IFERROR(MATCH($H2319,GradeList,0),0))</f>
        <v>0</v>
      </c>
      <c r="O2319" s="64" t="n">
        <f aca="false">IF(OR($I2319="",$I2319="NR"),0,IFERROR(MATCH($I2319,GradeList,0),0))</f>
        <v>0</v>
      </c>
      <c r="P2319" s="64" t="n">
        <f aca="false">IF(AND($M2319&gt;0,ISNUMBER(MATCH($F2319,Lists!$A$2:$A$5,0)),ISNUMBER(MATCH($G2319,Lists!$B$2:$B$7,0)),OR($H2319="",$N2319&gt;0),OR($I2319="",$I2319="NR",$O2319&gt;0),IF(ISNUMBER($J2319),AND($J2319&gt;=0,$J2319=INT($J2319)),FALSE())),$J2319,0)</f>
        <v>0</v>
      </c>
      <c r="Q2319" s="64" t="n">
        <f aca="false">IF(AND($P2319&gt;0,$O2319&gt;0),$P2319,0)</f>
        <v>0</v>
      </c>
      <c r="R2319" s="64" t="n">
        <f aca="false">IF(AND($Q2319&gt;0,$O2319&gt;=AtRank),$Q2319,0)</f>
        <v>0</v>
      </c>
      <c r="S2319" s="64" t="n">
        <f aca="false">IF(AND($Q2319&gt;0,$O2319&gt;=AboveRank),$Q2319,0)</f>
        <v>0</v>
      </c>
      <c r="T2319" s="64" t="n">
        <f aca="false">IF($K2319="Less",$P2319,0)</f>
        <v>0</v>
      </c>
      <c r="U2319" s="64" t="n">
        <f aca="false">IF($K2319="Expected",$P2319,0)</f>
        <v>0</v>
      </c>
      <c r="V2319" s="64" t="n">
        <f aca="false">IF($K2319="Better",$P2319,0)</f>
        <v>0</v>
      </c>
      <c r="W2319" s="64" t="n">
        <f aca="false">IF($K2319="U – needs rule",$P2319,0)</f>
        <v>0</v>
      </c>
      <c r="X2319" s="64" t="n">
        <f aca="false">IF($K2319="No Start (attainment only)",$P2319,0)</f>
        <v>0</v>
      </c>
    </row>
    <row r="2320" customFormat="false" ht="15" hidden="false" customHeight="false" outlineLevel="0" collapsed="false">
      <c r="A2320" s="60"/>
      <c r="B2320" s="61" t="str">
        <f aca="false">IF($M2320=0,"",INDEX(Classes!$E$6:$E$420,$M2320))</f>
        <v/>
      </c>
      <c r="C2320" s="62" t="str">
        <f aca="false">IF($M2320=0,"",INDEX(Classes!$H$6:$H$420,$M2320))</f>
        <v/>
      </c>
      <c r="D2320" s="61" t="str">
        <f aca="false">IF($M2320=0,"",INDEX(Classes!$B$6:$B$420,$M2320))</f>
        <v/>
      </c>
      <c r="E2320" s="61" t="str">
        <f aca="false">IF($M2320=0,"",INDEX(Classes!$C$6:$C$420,$M2320))</f>
        <v/>
      </c>
      <c r="F2320" s="63"/>
      <c r="G2320" s="63"/>
      <c r="H2320" s="60"/>
      <c r="I2320" s="60"/>
      <c r="J2320" s="63"/>
      <c r="K2320" s="61" t="str">
        <f aca="false">IF($P2320=0,"",IF($F2320="Baseline","— Baseline",IF($O2320=0,"No result",IF($N2320=0,"No Start (attainment only)",IF(OR($N2320=1,$O2320=1),"U – needs rule",INDEX(MxBody,MATCH($I2320,MxCurr,0),MATCH($H2320,MxStart,0)))))))</f>
        <v/>
      </c>
      <c r="L2320" s="62" t="str">
        <f aca="false">IF(COUNTA($A2320,$F2320,$G2320,$H2320,$I2320,$J2320)=0,"",IF($M2320=0,"✖ كود الصف غير موجود",IF(ISNA(MATCH($F2320,Lists!$A$2:$A$5,0)),"✖ الفترة غير صحيحة",IF(ISNA(MATCH($G2320,Lists!$B$2:$B$7,0)),"✖ المجموعة غير صحيحة",IF(NOT(OR($H2320="",$N2320&gt;0)),"✖ Start غير صحيح",IF(NOT(OR($I2320="",$I2320="NR",$O2320&gt;0)),"✖ Current غير صحيح",IF(NOT(IF(ISNUMBER($J2320),AND($J2320&gt;=0,$J2320=INT($J2320)),FALSE())),"✖ العدد يجب أن يكون صحيحًا ≥ 0",IF(AND($F2320="Baseline",$H2320&lt;&gt;""),"⚠ Baseline: Start لا يدخل في التقدم",IF($K2320="No Start (attainment only)","ℹ تحصيل فقط (بدون Start)",IF($K2320="U – needs rule","ℹ حالة U تحتاج قاعدة معتمدة",IF($K2320="No result","ℹ بدون نتيجة (يُستبعد من التحصيل)","OK")))))))))))</f>
        <v/>
      </c>
      <c r="M2320" s="64" t="n">
        <f aca="false">IF($A2320="",0,IFERROR(MATCH($A2320,Classes!$A$6:$A$420,0),0))</f>
        <v>0</v>
      </c>
      <c r="N2320" s="64" t="n">
        <f aca="false">IF($H2320="",0,IFERROR(MATCH($H2320,GradeList,0),0))</f>
        <v>0</v>
      </c>
      <c r="O2320" s="64" t="n">
        <f aca="false">IF(OR($I2320="",$I2320="NR"),0,IFERROR(MATCH($I2320,GradeList,0),0))</f>
        <v>0</v>
      </c>
      <c r="P2320" s="64" t="n">
        <f aca="false">IF(AND($M2320&gt;0,ISNUMBER(MATCH($F2320,Lists!$A$2:$A$5,0)),ISNUMBER(MATCH($G2320,Lists!$B$2:$B$7,0)),OR($H2320="",$N2320&gt;0),OR($I2320="",$I2320="NR",$O2320&gt;0),IF(ISNUMBER($J2320),AND($J2320&gt;=0,$J2320=INT($J2320)),FALSE())),$J2320,0)</f>
        <v>0</v>
      </c>
      <c r="Q2320" s="64" t="n">
        <f aca="false">IF(AND($P2320&gt;0,$O2320&gt;0),$P2320,0)</f>
        <v>0</v>
      </c>
      <c r="R2320" s="64" t="n">
        <f aca="false">IF(AND($Q2320&gt;0,$O2320&gt;=AtRank),$Q2320,0)</f>
        <v>0</v>
      </c>
      <c r="S2320" s="64" t="n">
        <f aca="false">IF(AND($Q2320&gt;0,$O2320&gt;=AboveRank),$Q2320,0)</f>
        <v>0</v>
      </c>
      <c r="T2320" s="64" t="n">
        <f aca="false">IF($K2320="Less",$P2320,0)</f>
        <v>0</v>
      </c>
      <c r="U2320" s="64" t="n">
        <f aca="false">IF($K2320="Expected",$P2320,0)</f>
        <v>0</v>
      </c>
      <c r="V2320" s="64" t="n">
        <f aca="false">IF($K2320="Better",$P2320,0)</f>
        <v>0</v>
      </c>
      <c r="W2320" s="64" t="n">
        <f aca="false">IF($K2320="U – needs rule",$P2320,0)</f>
        <v>0</v>
      </c>
      <c r="X2320" s="64" t="n">
        <f aca="false">IF($K2320="No Start (attainment only)",$P2320,0)</f>
        <v>0</v>
      </c>
    </row>
    <row r="2321" customFormat="false" ht="15" hidden="false" customHeight="false" outlineLevel="0" collapsed="false">
      <c r="A2321" s="60"/>
      <c r="B2321" s="61" t="str">
        <f aca="false">IF($M2321=0,"",INDEX(Classes!$E$6:$E$420,$M2321))</f>
        <v/>
      </c>
      <c r="C2321" s="62" t="str">
        <f aca="false">IF($M2321=0,"",INDEX(Classes!$H$6:$H$420,$M2321))</f>
        <v/>
      </c>
      <c r="D2321" s="61" t="str">
        <f aca="false">IF($M2321=0,"",INDEX(Classes!$B$6:$B$420,$M2321))</f>
        <v/>
      </c>
      <c r="E2321" s="61" t="str">
        <f aca="false">IF($M2321=0,"",INDEX(Classes!$C$6:$C$420,$M2321))</f>
        <v/>
      </c>
      <c r="F2321" s="63"/>
      <c r="G2321" s="63"/>
      <c r="H2321" s="60"/>
      <c r="I2321" s="60"/>
      <c r="J2321" s="63"/>
      <c r="K2321" s="61" t="str">
        <f aca="false">IF($P2321=0,"",IF($F2321="Baseline","— Baseline",IF($O2321=0,"No result",IF($N2321=0,"No Start (attainment only)",IF(OR($N2321=1,$O2321=1),"U – needs rule",INDEX(MxBody,MATCH($I2321,MxCurr,0),MATCH($H2321,MxStart,0)))))))</f>
        <v/>
      </c>
      <c r="L2321" s="62" t="str">
        <f aca="false">IF(COUNTA($A2321,$F2321,$G2321,$H2321,$I2321,$J2321)=0,"",IF($M2321=0,"✖ كود الصف غير موجود",IF(ISNA(MATCH($F2321,Lists!$A$2:$A$5,0)),"✖ الفترة غير صحيحة",IF(ISNA(MATCH($G2321,Lists!$B$2:$B$7,0)),"✖ المجموعة غير صحيحة",IF(NOT(OR($H2321="",$N2321&gt;0)),"✖ Start غير صحيح",IF(NOT(OR($I2321="",$I2321="NR",$O2321&gt;0)),"✖ Current غير صحيح",IF(NOT(IF(ISNUMBER($J2321),AND($J2321&gt;=0,$J2321=INT($J2321)),FALSE())),"✖ العدد يجب أن يكون صحيحًا ≥ 0",IF(AND($F2321="Baseline",$H2321&lt;&gt;""),"⚠ Baseline: Start لا يدخل في التقدم",IF($K2321="No Start (attainment only)","ℹ تحصيل فقط (بدون Start)",IF($K2321="U – needs rule","ℹ حالة U تحتاج قاعدة معتمدة",IF($K2321="No result","ℹ بدون نتيجة (يُستبعد من التحصيل)","OK")))))))))))</f>
        <v/>
      </c>
      <c r="M2321" s="64" t="n">
        <f aca="false">IF($A2321="",0,IFERROR(MATCH($A2321,Classes!$A$6:$A$420,0),0))</f>
        <v>0</v>
      </c>
      <c r="N2321" s="64" t="n">
        <f aca="false">IF($H2321="",0,IFERROR(MATCH($H2321,GradeList,0),0))</f>
        <v>0</v>
      </c>
      <c r="O2321" s="64" t="n">
        <f aca="false">IF(OR($I2321="",$I2321="NR"),0,IFERROR(MATCH($I2321,GradeList,0),0))</f>
        <v>0</v>
      </c>
      <c r="P2321" s="64" t="n">
        <f aca="false">IF(AND($M2321&gt;0,ISNUMBER(MATCH($F2321,Lists!$A$2:$A$5,0)),ISNUMBER(MATCH($G2321,Lists!$B$2:$B$7,0)),OR($H2321="",$N2321&gt;0),OR($I2321="",$I2321="NR",$O2321&gt;0),IF(ISNUMBER($J2321),AND($J2321&gt;=0,$J2321=INT($J2321)),FALSE())),$J2321,0)</f>
        <v>0</v>
      </c>
      <c r="Q2321" s="64" t="n">
        <f aca="false">IF(AND($P2321&gt;0,$O2321&gt;0),$P2321,0)</f>
        <v>0</v>
      </c>
      <c r="R2321" s="64" t="n">
        <f aca="false">IF(AND($Q2321&gt;0,$O2321&gt;=AtRank),$Q2321,0)</f>
        <v>0</v>
      </c>
      <c r="S2321" s="64" t="n">
        <f aca="false">IF(AND($Q2321&gt;0,$O2321&gt;=AboveRank),$Q2321,0)</f>
        <v>0</v>
      </c>
      <c r="T2321" s="64" t="n">
        <f aca="false">IF($K2321="Less",$P2321,0)</f>
        <v>0</v>
      </c>
      <c r="U2321" s="64" t="n">
        <f aca="false">IF($K2321="Expected",$P2321,0)</f>
        <v>0</v>
      </c>
      <c r="V2321" s="64" t="n">
        <f aca="false">IF($K2321="Better",$P2321,0)</f>
        <v>0</v>
      </c>
      <c r="W2321" s="64" t="n">
        <f aca="false">IF($K2321="U – needs rule",$P2321,0)</f>
        <v>0</v>
      </c>
      <c r="X2321" s="64" t="n">
        <f aca="false">IF($K2321="No Start (attainment only)",$P2321,0)</f>
        <v>0</v>
      </c>
    </row>
    <row r="2322" customFormat="false" ht="15" hidden="false" customHeight="false" outlineLevel="0" collapsed="false">
      <c r="A2322" s="60"/>
      <c r="B2322" s="61" t="str">
        <f aca="false">IF($M2322=0,"",INDEX(Classes!$E$6:$E$420,$M2322))</f>
        <v/>
      </c>
      <c r="C2322" s="62" t="str">
        <f aca="false">IF($M2322=0,"",INDEX(Classes!$H$6:$H$420,$M2322))</f>
        <v/>
      </c>
      <c r="D2322" s="61" t="str">
        <f aca="false">IF($M2322=0,"",INDEX(Classes!$B$6:$B$420,$M2322))</f>
        <v/>
      </c>
      <c r="E2322" s="61" t="str">
        <f aca="false">IF($M2322=0,"",INDEX(Classes!$C$6:$C$420,$M2322))</f>
        <v/>
      </c>
      <c r="F2322" s="63"/>
      <c r="G2322" s="63"/>
      <c r="H2322" s="60"/>
      <c r="I2322" s="60"/>
      <c r="J2322" s="63"/>
      <c r="K2322" s="61" t="str">
        <f aca="false">IF($P2322=0,"",IF($F2322="Baseline","— Baseline",IF($O2322=0,"No result",IF($N2322=0,"No Start (attainment only)",IF(OR($N2322=1,$O2322=1),"U – needs rule",INDEX(MxBody,MATCH($I2322,MxCurr,0),MATCH($H2322,MxStart,0)))))))</f>
        <v/>
      </c>
      <c r="L2322" s="62" t="str">
        <f aca="false">IF(COUNTA($A2322,$F2322,$G2322,$H2322,$I2322,$J2322)=0,"",IF($M2322=0,"✖ كود الصف غير موجود",IF(ISNA(MATCH($F2322,Lists!$A$2:$A$5,0)),"✖ الفترة غير صحيحة",IF(ISNA(MATCH($G2322,Lists!$B$2:$B$7,0)),"✖ المجموعة غير صحيحة",IF(NOT(OR($H2322="",$N2322&gt;0)),"✖ Start غير صحيح",IF(NOT(OR($I2322="",$I2322="NR",$O2322&gt;0)),"✖ Current غير صحيح",IF(NOT(IF(ISNUMBER($J2322),AND($J2322&gt;=0,$J2322=INT($J2322)),FALSE())),"✖ العدد يجب أن يكون صحيحًا ≥ 0",IF(AND($F2322="Baseline",$H2322&lt;&gt;""),"⚠ Baseline: Start لا يدخل في التقدم",IF($K2322="No Start (attainment only)","ℹ تحصيل فقط (بدون Start)",IF($K2322="U – needs rule","ℹ حالة U تحتاج قاعدة معتمدة",IF($K2322="No result","ℹ بدون نتيجة (يُستبعد من التحصيل)","OK")))))))))))</f>
        <v/>
      </c>
      <c r="M2322" s="64" t="n">
        <f aca="false">IF($A2322="",0,IFERROR(MATCH($A2322,Classes!$A$6:$A$420,0),0))</f>
        <v>0</v>
      </c>
      <c r="N2322" s="64" t="n">
        <f aca="false">IF($H2322="",0,IFERROR(MATCH($H2322,GradeList,0),0))</f>
        <v>0</v>
      </c>
      <c r="O2322" s="64" t="n">
        <f aca="false">IF(OR($I2322="",$I2322="NR"),0,IFERROR(MATCH($I2322,GradeList,0),0))</f>
        <v>0</v>
      </c>
      <c r="P2322" s="64" t="n">
        <f aca="false">IF(AND($M2322&gt;0,ISNUMBER(MATCH($F2322,Lists!$A$2:$A$5,0)),ISNUMBER(MATCH($G2322,Lists!$B$2:$B$7,0)),OR($H2322="",$N2322&gt;0),OR($I2322="",$I2322="NR",$O2322&gt;0),IF(ISNUMBER($J2322),AND($J2322&gt;=0,$J2322=INT($J2322)),FALSE())),$J2322,0)</f>
        <v>0</v>
      </c>
      <c r="Q2322" s="64" t="n">
        <f aca="false">IF(AND($P2322&gt;0,$O2322&gt;0),$P2322,0)</f>
        <v>0</v>
      </c>
      <c r="R2322" s="64" t="n">
        <f aca="false">IF(AND($Q2322&gt;0,$O2322&gt;=AtRank),$Q2322,0)</f>
        <v>0</v>
      </c>
      <c r="S2322" s="64" t="n">
        <f aca="false">IF(AND($Q2322&gt;0,$O2322&gt;=AboveRank),$Q2322,0)</f>
        <v>0</v>
      </c>
      <c r="T2322" s="64" t="n">
        <f aca="false">IF($K2322="Less",$P2322,0)</f>
        <v>0</v>
      </c>
      <c r="U2322" s="64" t="n">
        <f aca="false">IF($K2322="Expected",$P2322,0)</f>
        <v>0</v>
      </c>
      <c r="V2322" s="64" t="n">
        <f aca="false">IF($K2322="Better",$P2322,0)</f>
        <v>0</v>
      </c>
      <c r="W2322" s="64" t="n">
        <f aca="false">IF($K2322="U – needs rule",$P2322,0)</f>
        <v>0</v>
      </c>
      <c r="X2322" s="64" t="n">
        <f aca="false">IF($K2322="No Start (attainment only)",$P2322,0)</f>
        <v>0</v>
      </c>
    </row>
    <row r="2323" customFormat="false" ht="15" hidden="false" customHeight="false" outlineLevel="0" collapsed="false">
      <c r="A2323" s="60"/>
      <c r="B2323" s="61" t="str">
        <f aca="false">IF($M2323=0,"",INDEX(Classes!$E$6:$E$420,$M2323))</f>
        <v/>
      </c>
      <c r="C2323" s="62" t="str">
        <f aca="false">IF($M2323=0,"",INDEX(Classes!$H$6:$H$420,$M2323))</f>
        <v/>
      </c>
      <c r="D2323" s="61" t="str">
        <f aca="false">IF($M2323=0,"",INDEX(Classes!$B$6:$B$420,$M2323))</f>
        <v/>
      </c>
      <c r="E2323" s="61" t="str">
        <f aca="false">IF($M2323=0,"",INDEX(Classes!$C$6:$C$420,$M2323))</f>
        <v/>
      </c>
      <c r="F2323" s="63"/>
      <c r="G2323" s="63"/>
      <c r="H2323" s="60"/>
      <c r="I2323" s="60"/>
      <c r="J2323" s="63"/>
      <c r="K2323" s="61" t="str">
        <f aca="false">IF($P2323=0,"",IF($F2323="Baseline","— Baseline",IF($O2323=0,"No result",IF($N2323=0,"No Start (attainment only)",IF(OR($N2323=1,$O2323=1),"U – needs rule",INDEX(MxBody,MATCH($I2323,MxCurr,0),MATCH($H2323,MxStart,0)))))))</f>
        <v/>
      </c>
      <c r="L2323" s="62" t="str">
        <f aca="false">IF(COUNTA($A2323,$F2323,$G2323,$H2323,$I2323,$J2323)=0,"",IF($M2323=0,"✖ كود الصف غير موجود",IF(ISNA(MATCH($F2323,Lists!$A$2:$A$5,0)),"✖ الفترة غير صحيحة",IF(ISNA(MATCH($G2323,Lists!$B$2:$B$7,0)),"✖ المجموعة غير صحيحة",IF(NOT(OR($H2323="",$N2323&gt;0)),"✖ Start غير صحيح",IF(NOT(OR($I2323="",$I2323="NR",$O2323&gt;0)),"✖ Current غير صحيح",IF(NOT(IF(ISNUMBER($J2323),AND($J2323&gt;=0,$J2323=INT($J2323)),FALSE())),"✖ العدد يجب أن يكون صحيحًا ≥ 0",IF(AND($F2323="Baseline",$H2323&lt;&gt;""),"⚠ Baseline: Start لا يدخل في التقدم",IF($K2323="No Start (attainment only)","ℹ تحصيل فقط (بدون Start)",IF($K2323="U – needs rule","ℹ حالة U تحتاج قاعدة معتمدة",IF($K2323="No result","ℹ بدون نتيجة (يُستبعد من التحصيل)","OK")))))))))))</f>
        <v/>
      </c>
      <c r="M2323" s="64" t="n">
        <f aca="false">IF($A2323="",0,IFERROR(MATCH($A2323,Classes!$A$6:$A$420,0),0))</f>
        <v>0</v>
      </c>
      <c r="N2323" s="64" t="n">
        <f aca="false">IF($H2323="",0,IFERROR(MATCH($H2323,GradeList,0),0))</f>
        <v>0</v>
      </c>
      <c r="O2323" s="64" t="n">
        <f aca="false">IF(OR($I2323="",$I2323="NR"),0,IFERROR(MATCH($I2323,GradeList,0),0))</f>
        <v>0</v>
      </c>
      <c r="P2323" s="64" t="n">
        <f aca="false">IF(AND($M2323&gt;0,ISNUMBER(MATCH($F2323,Lists!$A$2:$A$5,0)),ISNUMBER(MATCH($G2323,Lists!$B$2:$B$7,0)),OR($H2323="",$N2323&gt;0),OR($I2323="",$I2323="NR",$O2323&gt;0),IF(ISNUMBER($J2323),AND($J2323&gt;=0,$J2323=INT($J2323)),FALSE())),$J2323,0)</f>
        <v>0</v>
      </c>
      <c r="Q2323" s="64" t="n">
        <f aca="false">IF(AND($P2323&gt;0,$O2323&gt;0),$P2323,0)</f>
        <v>0</v>
      </c>
      <c r="R2323" s="64" t="n">
        <f aca="false">IF(AND($Q2323&gt;0,$O2323&gt;=AtRank),$Q2323,0)</f>
        <v>0</v>
      </c>
      <c r="S2323" s="64" t="n">
        <f aca="false">IF(AND($Q2323&gt;0,$O2323&gt;=AboveRank),$Q2323,0)</f>
        <v>0</v>
      </c>
      <c r="T2323" s="64" t="n">
        <f aca="false">IF($K2323="Less",$P2323,0)</f>
        <v>0</v>
      </c>
      <c r="U2323" s="64" t="n">
        <f aca="false">IF($K2323="Expected",$P2323,0)</f>
        <v>0</v>
      </c>
      <c r="V2323" s="64" t="n">
        <f aca="false">IF($K2323="Better",$P2323,0)</f>
        <v>0</v>
      </c>
      <c r="W2323" s="64" t="n">
        <f aca="false">IF($K2323="U – needs rule",$P2323,0)</f>
        <v>0</v>
      </c>
      <c r="X2323" s="64" t="n">
        <f aca="false">IF($K2323="No Start (attainment only)",$P2323,0)</f>
        <v>0</v>
      </c>
    </row>
    <row r="2324" customFormat="false" ht="15" hidden="false" customHeight="false" outlineLevel="0" collapsed="false">
      <c r="A2324" s="60"/>
      <c r="B2324" s="61" t="str">
        <f aca="false">IF($M2324=0,"",INDEX(Classes!$E$6:$E$420,$M2324))</f>
        <v/>
      </c>
      <c r="C2324" s="62" t="str">
        <f aca="false">IF($M2324=0,"",INDEX(Classes!$H$6:$H$420,$M2324))</f>
        <v/>
      </c>
      <c r="D2324" s="61" t="str">
        <f aca="false">IF($M2324=0,"",INDEX(Classes!$B$6:$B$420,$M2324))</f>
        <v/>
      </c>
      <c r="E2324" s="61" t="str">
        <f aca="false">IF($M2324=0,"",INDEX(Classes!$C$6:$C$420,$M2324))</f>
        <v/>
      </c>
      <c r="F2324" s="63"/>
      <c r="G2324" s="63"/>
      <c r="H2324" s="60"/>
      <c r="I2324" s="60"/>
      <c r="J2324" s="63"/>
      <c r="K2324" s="61" t="str">
        <f aca="false">IF($P2324=0,"",IF($F2324="Baseline","— Baseline",IF($O2324=0,"No result",IF($N2324=0,"No Start (attainment only)",IF(OR($N2324=1,$O2324=1),"U – needs rule",INDEX(MxBody,MATCH($I2324,MxCurr,0),MATCH($H2324,MxStart,0)))))))</f>
        <v/>
      </c>
      <c r="L2324" s="62" t="str">
        <f aca="false">IF(COUNTA($A2324,$F2324,$G2324,$H2324,$I2324,$J2324)=0,"",IF($M2324=0,"✖ كود الصف غير موجود",IF(ISNA(MATCH($F2324,Lists!$A$2:$A$5,0)),"✖ الفترة غير صحيحة",IF(ISNA(MATCH($G2324,Lists!$B$2:$B$7,0)),"✖ المجموعة غير صحيحة",IF(NOT(OR($H2324="",$N2324&gt;0)),"✖ Start غير صحيح",IF(NOT(OR($I2324="",$I2324="NR",$O2324&gt;0)),"✖ Current غير صحيح",IF(NOT(IF(ISNUMBER($J2324),AND($J2324&gt;=0,$J2324=INT($J2324)),FALSE())),"✖ العدد يجب أن يكون صحيحًا ≥ 0",IF(AND($F2324="Baseline",$H2324&lt;&gt;""),"⚠ Baseline: Start لا يدخل في التقدم",IF($K2324="No Start (attainment only)","ℹ تحصيل فقط (بدون Start)",IF($K2324="U – needs rule","ℹ حالة U تحتاج قاعدة معتمدة",IF($K2324="No result","ℹ بدون نتيجة (يُستبعد من التحصيل)","OK")))))))))))</f>
        <v/>
      </c>
      <c r="M2324" s="64" t="n">
        <f aca="false">IF($A2324="",0,IFERROR(MATCH($A2324,Classes!$A$6:$A$420,0),0))</f>
        <v>0</v>
      </c>
      <c r="N2324" s="64" t="n">
        <f aca="false">IF($H2324="",0,IFERROR(MATCH($H2324,GradeList,0),0))</f>
        <v>0</v>
      </c>
      <c r="O2324" s="64" t="n">
        <f aca="false">IF(OR($I2324="",$I2324="NR"),0,IFERROR(MATCH($I2324,GradeList,0),0))</f>
        <v>0</v>
      </c>
      <c r="P2324" s="64" t="n">
        <f aca="false">IF(AND($M2324&gt;0,ISNUMBER(MATCH($F2324,Lists!$A$2:$A$5,0)),ISNUMBER(MATCH($G2324,Lists!$B$2:$B$7,0)),OR($H2324="",$N2324&gt;0),OR($I2324="",$I2324="NR",$O2324&gt;0),IF(ISNUMBER($J2324),AND($J2324&gt;=0,$J2324=INT($J2324)),FALSE())),$J2324,0)</f>
        <v>0</v>
      </c>
      <c r="Q2324" s="64" t="n">
        <f aca="false">IF(AND($P2324&gt;0,$O2324&gt;0),$P2324,0)</f>
        <v>0</v>
      </c>
      <c r="R2324" s="64" t="n">
        <f aca="false">IF(AND($Q2324&gt;0,$O2324&gt;=AtRank),$Q2324,0)</f>
        <v>0</v>
      </c>
      <c r="S2324" s="64" t="n">
        <f aca="false">IF(AND($Q2324&gt;0,$O2324&gt;=AboveRank),$Q2324,0)</f>
        <v>0</v>
      </c>
      <c r="T2324" s="64" t="n">
        <f aca="false">IF($K2324="Less",$P2324,0)</f>
        <v>0</v>
      </c>
      <c r="U2324" s="64" t="n">
        <f aca="false">IF($K2324="Expected",$P2324,0)</f>
        <v>0</v>
      </c>
      <c r="V2324" s="64" t="n">
        <f aca="false">IF($K2324="Better",$P2324,0)</f>
        <v>0</v>
      </c>
      <c r="W2324" s="64" t="n">
        <f aca="false">IF($K2324="U – needs rule",$P2324,0)</f>
        <v>0</v>
      </c>
      <c r="X2324" s="64" t="n">
        <f aca="false">IF($K2324="No Start (attainment only)",$P2324,0)</f>
        <v>0</v>
      </c>
    </row>
    <row r="2325" customFormat="false" ht="15" hidden="false" customHeight="false" outlineLevel="0" collapsed="false">
      <c r="A2325" s="60"/>
      <c r="B2325" s="61" t="str">
        <f aca="false">IF($M2325=0,"",INDEX(Classes!$E$6:$E$420,$M2325))</f>
        <v/>
      </c>
      <c r="C2325" s="62" t="str">
        <f aca="false">IF($M2325=0,"",INDEX(Classes!$H$6:$H$420,$M2325))</f>
        <v/>
      </c>
      <c r="D2325" s="61" t="str">
        <f aca="false">IF($M2325=0,"",INDEX(Classes!$B$6:$B$420,$M2325))</f>
        <v/>
      </c>
      <c r="E2325" s="61" t="str">
        <f aca="false">IF($M2325=0,"",INDEX(Classes!$C$6:$C$420,$M2325))</f>
        <v/>
      </c>
      <c r="F2325" s="63"/>
      <c r="G2325" s="63"/>
      <c r="H2325" s="60"/>
      <c r="I2325" s="60"/>
      <c r="J2325" s="63"/>
      <c r="K2325" s="61" t="str">
        <f aca="false">IF($P2325=0,"",IF($F2325="Baseline","— Baseline",IF($O2325=0,"No result",IF($N2325=0,"No Start (attainment only)",IF(OR($N2325=1,$O2325=1),"U – needs rule",INDEX(MxBody,MATCH($I2325,MxCurr,0),MATCH($H2325,MxStart,0)))))))</f>
        <v/>
      </c>
      <c r="L2325" s="62" t="str">
        <f aca="false">IF(COUNTA($A2325,$F2325,$G2325,$H2325,$I2325,$J2325)=0,"",IF($M2325=0,"✖ كود الصف غير موجود",IF(ISNA(MATCH($F2325,Lists!$A$2:$A$5,0)),"✖ الفترة غير صحيحة",IF(ISNA(MATCH($G2325,Lists!$B$2:$B$7,0)),"✖ المجموعة غير صحيحة",IF(NOT(OR($H2325="",$N2325&gt;0)),"✖ Start غير صحيح",IF(NOT(OR($I2325="",$I2325="NR",$O2325&gt;0)),"✖ Current غير صحيح",IF(NOT(IF(ISNUMBER($J2325),AND($J2325&gt;=0,$J2325=INT($J2325)),FALSE())),"✖ العدد يجب أن يكون صحيحًا ≥ 0",IF(AND($F2325="Baseline",$H2325&lt;&gt;""),"⚠ Baseline: Start لا يدخل في التقدم",IF($K2325="No Start (attainment only)","ℹ تحصيل فقط (بدون Start)",IF($K2325="U – needs rule","ℹ حالة U تحتاج قاعدة معتمدة",IF($K2325="No result","ℹ بدون نتيجة (يُستبعد من التحصيل)","OK")))))))))))</f>
        <v/>
      </c>
      <c r="M2325" s="64" t="n">
        <f aca="false">IF($A2325="",0,IFERROR(MATCH($A2325,Classes!$A$6:$A$420,0),0))</f>
        <v>0</v>
      </c>
      <c r="N2325" s="64" t="n">
        <f aca="false">IF($H2325="",0,IFERROR(MATCH($H2325,GradeList,0),0))</f>
        <v>0</v>
      </c>
      <c r="O2325" s="64" t="n">
        <f aca="false">IF(OR($I2325="",$I2325="NR"),0,IFERROR(MATCH($I2325,GradeList,0),0))</f>
        <v>0</v>
      </c>
      <c r="P2325" s="64" t="n">
        <f aca="false">IF(AND($M2325&gt;0,ISNUMBER(MATCH($F2325,Lists!$A$2:$A$5,0)),ISNUMBER(MATCH($G2325,Lists!$B$2:$B$7,0)),OR($H2325="",$N2325&gt;0),OR($I2325="",$I2325="NR",$O2325&gt;0),IF(ISNUMBER($J2325),AND($J2325&gt;=0,$J2325=INT($J2325)),FALSE())),$J2325,0)</f>
        <v>0</v>
      </c>
      <c r="Q2325" s="64" t="n">
        <f aca="false">IF(AND($P2325&gt;0,$O2325&gt;0),$P2325,0)</f>
        <v>0</v>
      </c>
      <c r="R2325" s="64" t="n">
        <f aca="false">IF(AND($Q2325&gt;0,$O2325&gt;=AtRank),$Q2325,0)</f>
        <v>0</v>
      </c>
      <c r="S2325" s="64" t="n">
        <f aca="false">IF(AND($Q2325&gt;0,$O2325&gt;=AboveRank),$Q2325,0)</f>
        <v>0</v>
      </c>
      <c r="T2325" s="64" t="n">
        <f aca="false">IF($K2325="Less",$P2325,0)</f>
        <v>0</v>
      </c>
      <c r="U2325" s="64" t="n">
        <f aca="false">IF($K2325="Expected",$P2325,0)</f>
        <v>0</v>
      </c>
      <c r="V2325" s="64" t="n">
        <f aca="false">IF($K2325="Better",$P2325,0)</f>
        <v>0</v>
      </c>
      <c r="W2325" s="64" t="n">
        <f aca="false">IF($K2325="U – needs rule",$P2325,0)</f>
        <v>0</v>
      </c>
      <c r="X2325" s="64" t="n">
        <f aca="false">IF($K2325="No Start (attainment only)",$P2325,0)</f>
        <v>0</v>
      </c>
    </row>
    <row r="2326" customFormat="false" ht="15" hidden="false" customHeight="false" outlineLevel="0" collapsed="false">
      <c r="A2326" s="60"/>
      <c r="B2326" s="61" t="str">
        <f aca="false">IF($M2326=0,"",INDEX(Classes!$E$6:$E$420,$M2326))</f>
        <v/>
      </c>
      <c r="C2326" s="62" t="str">
        <f aca="false">IF($M2326=0,"",INDEX(Classes!$H$6:$H$420,$M2326))</f>
        <v/>
      </c>
      <c r="D2326" s="61" t="str">
        <f aca="false">IF($M2326=0,"",INDEX(Classes!$B$6:$B$420,$M2326))</f>
        <v/>
      </c>
      <c r="E2326" s="61" t="str">
        <f aca="false">IF($M2326=0,"",INDEX(Classes!$C$6:$C$420,$M2326))</f>
        <v/>
      </c>
      <c r="F2326" s="63"/>
      <c r="G2326" s="63"/>
      <c r="H2326" s="60"/>
      <c r="I2326" s="60"/>
      <c r="J2326" s="63"/>
      <c r="K2326" s="61" t="str">
        <f aca="false">IF($P2326=0,"",IF($F2326="Baseline","— Baseline",IF($O2326=0,"No result",IF($N2326=0,"No Start (attainment only)",IF(OR($N2326=1,$O2326=1),"U – needs rule",INDEX(MxBody,MATCH($I2326,MxCurr,0),MATCH($H2326,MxStart,0)))))))</f>
        <v/>
      </c>
      <c r="L2326" s="62" t="str">
        <f aca="false">IF(COUNTA($A2326,$F2326,$G2326,$H2326,$I2326,$J2326)=0,"",IF($M2326=0,"✖ كود الصف غير موجود",IF(ISNA(MATCH($F2326,Lists!$A$2:$A$5,0)),"✖ الفترة غير صحيحة",IF(ISNA(MATCH($G2326,Lists!$B$2:$B$7,0)),"✖ المجموعة غير صحيحة",IF(NOT(OR($H2326="",$N2326&gt;0)),"✖ Start غير صحيح",IF(NOT(OR($I2326="",$I2326="NR",$O2326&gt;0)),"✖ Current غير صحيح",IF(NOT(IF(ISNUMBER($J2326),AND($J2326&gt;=0,$J2326=INT($J2326)),FALSE())),"✖ العدد يجب أن يكون صحيحًا ≥ 0",IF(AND($F2326="Baseline",$H2326&lt;&gt;""),"⚠ Baseline: Start لا يدخل في التقدم",IF($K2326="No Start (attainment only)","ℹ تحصيل فقط (بدون Start)",IF($K2326="U – needs rule","ℹ حالة U تحتاج قاعدة معتمدة",IF($K2326="No result","ℹ بدون نتيجة (يُستبعد من التحصيل)","OK")))))))))))</f>
        <v/>
      </c>
      <c r="M2326" s="64" t="n">
        <f aca="false">IF($A2326="",0,IFERROR(MATCH($A2326,Classes!$A$6:$A$420,0),0))</f>
        <v>0</v>
      </c>
      <c r="N2326" s="64" t="n">
        <f aca="false">IF($H2326="",0,IFERROR(MATCH($H2326,GradeList,0),0))</f>
        <v>0</v>
      </c>
      <c r="O2326" s="64" t="n">
        <f aca="false">IF(OR($I2326="",$I2326="NR"),0,IFERROR(MATCH($I2326,GradeList,0),0))</f>
        <v>0</v>
      </c>
      <c r="P2326" s="64" t="n">
        <f aca="false">IF(AND($M2326&gt;0,ISNUMBER(MATCH($F2326,Lists!$A$2:$A$5,0)),ISNUMBER(MATCH($G2326,Lists!$B$2:$B$7,0)),OR($H2326="",$N2326&gt;0),OR($I2326="",$I2326="NR",$O2326&gt;0),IF(ISNUMBER($J2326),AND($J2326&gt;=0,$J2326=INT($J2326)),FALSE())),$J2326,0)</f>
        <v>0</v>
      </c>
      <c r="Q2326" s="64" t="n">
        <f aca="false">IF(AND($P2326&gt;0,$O2326&gt;0),$P2326,0)</f>
        <v>0</v>
      </c>
      <c r="R2326" s="64" t="n">
        <f aca="false">IF(AND($Q2326&gt;0,$O2326&gt;=AtRank),$Q2326,0)</f>
        <v>0</v>
      </c>
      <c r="S2326" s="64" t="n">
        <f aca="false">IF(AND($Q2326&gt;0,$O2326&gt;=AboveRank),$Q2326,0)</f>
        <v>0</v>
      </c>
      <c r="T2326" s="64" t="n">
        <f aca="false">IF($K2326="Less",$P2326,0)</f>
        <v>0</v>
      </c>
      <c r="U2326" s="64" t="n">
        <f aca="false">IF($K2326="Expected",$P2326,0)</f>
        <v>0</v>
      </c>
      <c r="V2326" s="64" t="n">
        <f aca="false">IF($K2326="Better",$P2326,0)</f>
        <v>0</v>
      </c>
      <c r="W2326" s="64" t="n">
        <f aca="false">IF($K2326="U – needs rule",$P2326,0)</f>
        <v>0</v>
      </c>
      <c r="X2326" s="64" t="n">
        <f aca="false">IF($K2326="No Start (attainment only)",$P2326,0)</f>
        <v>0</v>
      </c>
    </row>
    <row r="2327" customFormat="false" ht="15" hidden="false" customHeight="false" outlineLevel="0" collapsed="false">
      <c r="A2327" s="60"/>
      <c r="B2327" s="61" t="str">
        <f aca="false">IF($M2327=0,"",INDEX(Classes!$E$6:$E$420,$M2327))</f>
        <v/>
      </c>
      <c r="C2327" s="62" t="str">
        <f aca="false">IF($M2327=0,"",INDEX(Classes!$H$6:$H$420,$M2327))</f>
        <v/>
      </c>
      <c r="D2327" s="61" t="str">
        <f aca="false">IF($M2327=0,"",INDEX(Classes!$B$6:$B$420,$M2327))</f>
        <v/>
      </c>
      <c r="E2327" s="61" t="str">
        <f aca="false">IF($M2327=0,"",INDEX(Classes!$C$6:$C$420,$M2327))</f>
        <v/>
      </c>
      <c r="F2327" s="63"/>
      <c r="G2327" s="63"/>
      <c r="H2327" s="60"/>
      <c r="I2327" s="60"/>
      <c r="J2327" s="63"/>
      <c r="K2327" s="61" t="str">
        <f aca="false">IF($P2327=0,"",IF($F2327="Baseline","— Baseline",IF($O2327=0,"No result",IF($N2327=0,"No Start (attainment only)",IF(OR($N2327=1,$O2327=1),"U – needs rule",INDEX(MxBody,MATCH($I2327,MxCurr,0),MATCH($H2327,MxStart,0)))))))</f>
        <v/>
      </c>
      <c r="L2327" s="62" t="str">
        <f aca="false">IF(COUNTA($A2327,$F2327,$G2327,$H2327,$I2327,$J2327)=0,"",IF($M2327=0,"✖ كود الصف غير موجود",IF(ISNA(MATCH($F2327,Lists!$A$2:$A$5,0)),"✖ الفترة غير صحيحة",IF(ISNA(MATCH($G2327,Lists!$B$2:$B$7,0)),"✖ المجموعة غير صحيحة",IF(NOT(OR($H2327="",$N2327&gt;0)),"✖ Start غير صحيح",IF(NOT(OR($I2327="",$I2327="NR",$O2327&gt;0)),"✖ Current غير صحيح",IF(NOT(IF(ISNUMBER($J2327),AND($J2327&gt;=0,$J2327=INT($J2327)),FALSE())),"✖ العدد يجب أن يكون صحيحًا ≥ 0",IF(AND($F2327="Baseline",$H2327&lt;&gt;""),"⚠ Baseline: Start لا يدخل في التقدم",IF($K2327="No Start (attainment only)","ℹ تحصيل فقط (بدون Start)",IF($K2327="U – needs rule","ℹ حالة U تحتاج قاعدة معتمدة",IF($K2327="No result","ℹ بدون نتيجة (يُستبعد من التحصيل)","OK")))))))))))</f>
        <v/>
      </c>
      <c r="M2327" s="64" t="n">
        <f aca="false">IF($A2327="",0,IFERROR(MATCH($A2327,Classes!$A$6:$A$420,0),0))</f>
        <v>0</v>
      </c>
      <c r="N2327" s="64" t="n">
        <f aca="false">IF($H2327="",0,IFERROR(MATCH($H2327,GradeList,0),0))</f>
        <v>0</v>
      </c>
      <c r="O2327" s="64" t="n">
        <f aca="false">IF(OR($I2327="",$I2327="NR"),0,IFERROR(MATCH($I2327,GradeList,0),0))</f>
        <v>0</v>
      </c>
      <c r="P2327" s="64" t="n">
        <f aca="false">IF(AND($M2327&gt;0,ISNUMBER(MATCH($F2327,Lists!$A$2:$A$5,0)),ISNUMBER(MATCH($G2327,Lists!$B$2:$B$7,0)),OR($H2327="",$N2327&gt;0),OR($I2327="",$I2327="NR",$O2327&gt;0),IF(ISNUMBER($J2327),AND($J2327&gt;=0,$J2327=INT($J2327)),FALSE())),$J2327,0)</f>
        <v>0</v>
      </c>
      <c r="Q2327" s="64" t="n">
        <f aca="false">IF(AND($P2327&gt;0,$O2327&gt;0),$P2327,0)</f>
        <v>0</v>
      </c>
      <c r="R2327" s="64" t="n">
        <f aca="false">IF(AND($Q2327&gt;0,$O2327&gt;=AtRank),$Q2327,0)</f>
        <v>0</v>
      </c>
      <c r="S2327" s="64" t="n">
        <f aca="false">IF(AND($Q2327&gt;0,$O2327&gt;=AboveRank),$Q2327,0)</f>
        <v>0</v>
      </c>
      <c r="T2327" s="64" t="n">
        <f aca="false">IF($K2327="Less",$P2327,0)</f>
        <v>0</v>
      </c>
      <c r="U2327" s="64" t="n">
        <f aca="false">IF($K2327="Expected",$P2327,0)</f>
        <v>0</v>
      </c>
      <c r="V2327" s="64" t="n">
        <f aca="false">IF($K2327="Better",$P2327,0)</f>
        <v>0</v>
      </c>
      <c r="W2327" s="64" t="n">
        <f aca="false">IF($K2327="U – needs rule",$P2327,0)</f>
        <v>0</v>
      </c>
      <c r="X2327" s="64" t="n">
        <f aca="false">IF($K2327="No Start (attainment only)",$P2327,0)</f>
        <v>0</v>
      </c>
    </row>
    <row r="2328" customFormat="false" ht="15" hidden="false" customHeight="false" outlineLevel="0" collapsed="false">
      <c r="A2328" s="60"/>
      <c r="B2328" s="61" t="str">
        <f aca="false">IF($M2328=0,"",INDEX(Classes!$E$6:$E$420,$M2328))</f>
        <v/>
      </c>
      <c r="C2328" s="62" t="str">
        <f aca="false">IF($M2328=0,"",INDEX(Classes!$H$6:$H$420,$M2328))</f>
        <v/>
      </c>
      <c r="D2328" s="61" t="str">
        <f aca="false">IF($M2328=0,"",INDEX(Classes!$B$6:$B$420,$M2328))</f>
        <v/>
      </c>
      <c r="E2328" s="61" t="str">
        <f aca="false">IF($M2328=0,"",INDEX(Classes!$C$6:$C$420,$M2328))</f>
        <v/>
      </c>
      <c r="F2328" s="63"/>
      <c r="G2328" s="63"/>
      <c r="H2328" s="60"/>
      <c r="I2328" s="60"/>
      <c r="J2328" s="63"/>
      <c r="K2328" s="61" t="str">
        <f aca="false">IF($P2328=0,"",IF($F2328="Baseline","— Baseline",IF($O2328=0,"No result",IF($N2328=0,"No Start (attainment only)",IF(OR($N2328=1,$O2328=1),"U – needs rule",INDEX(MxBody,MATCH($I2328,MxCurr,0),MATCH($H2328,MxStart,0)))))))</f>
        <v/>
      </c>
      <c r="L2328" s="62" t="str">
        <f aca="false">IF(COUNTA($A2328,$F2328,$G2328,$H2328,$I2328,$J2328)=0,"",IF($M2328=0,"✖ كود الصف غير موجود",IF(ISNA(MATCH($F2328,Lists!$A$2:$A$5,0)),"✖ الفترة غير صحيحة",IF(ISNA(MATCH($G2328,Lists!$B$2:$B$7,0)),"✖ المجموعة غير صحيحة",IF(NOT(OR($H2328="",$N2328&gt;0)),"✖ Start غير صحيح",IF(NOT(OR($I2328="",$I2328="NR",$O2328&gt;0)),"✖ Current غير صحيح",IF(NOT(IF(ISNUMBER($J2328),AND($J2328&gt;=0,$J2328=INT($J2328)),FALSE())),"✖ العدد يجب أن يكون صحيحًا ≥ 0",IF(AND($F2328="Baseline",$H2328&lt;&gt;""),"⚠ Baseline: Start لا يدخل في التقدم",IF($K2328="No Start (attainment only)","ℹ تحصيل فقط (بدون Start)",IF($K2328="U – needs rule","ℹ حالة U تحتاج قاعدة معتمدة",IF($K2328="No result","ℹ بدون نتيجة (يُستبعد من التحصيل)","OK")))))))))))</f>
        <v/>
      </c>
      <c r="M2328" s="64" t="n">
        <f aca="false">IF($A2328="",0,IFERROR(MATCH($A2328,Classes!$A$6:$A$420,0),0))</f>
        <v>0</v>
      </c>
      <c r="N2328" s="64" t="n">
        <f aca="false">IF($H2328="",0,IFERROR(MATCH($H2328,GradeList,0),0))</f>
        <v>0</v>
      </c>
      <c r="O2328" s="64" t="n">
        <f aca="false">IF(OR($I2328="",$I2328="NR"),0,IFERROR(MATCH($I2328,GradeList,0),0))</f>
        <v>0</v>
      </c>
      <c r="P2328" s="64" t="n">
        <f aca="false">IF(AND($M2328&gt;0,ISNUMBER(MATCH($F2328,Lists!$A$2:$A$5,0)),ISNUMBER(MATCH($G2328,Lists!$B$2:$B$7,0)),OR($H2328="",$N2328&gt;0),OR($I2328="",$I2328="NR",$O2328&gt;0),IF(ISNUMBER($J2328),AND($J2328&gt;=0,$J2328=INT($J2328)),FALSE())),$J2328,0)</f>
        <v>0</v>
      </c>
      <c r="Q2328" s="64" t="n">
        <f aca="false">IF(AND($P2328&gt;0,$O2328&gt;0),$P2328,0)</f>
        <v>0</v>
      </c>
      <c r="R2328" s="64" t="n">
        <f aca="false">IF(AND($Q2328&gt;0,$O2328&gt;=AtRank),$Q2328,0)</f>
        <v>0</v>
      </c>
      <c r="S2328" s="64" t="n">
        <f aca="false">IF(AND($Q2328&gt;0,$O2328&gt;=AboveRank),$Q2328,0)</f>
        <v>0</v>
      </c>
      <c r="T2328" s="64" t="n">
        <f aca="false">IF($K2328="Less",$P2328,0)</f>
        <v>0</v>
      </c>
      <c r="U2328" s="64" t="n">
        <f aca="false">IF($K2328="Expected",$P2328,0)</f>
        <v>0</v>
      </c>
      <c r="V2328" s="64" t="n">
        <f aca="false">IF($K2328="Better",$P2328,0)</f>
        <v>0</v>
      </c>
      <c r="W2328" s="64" t="n">
        <f aca="false">IF($K2328="U – needs rule",$P2328,0)</f>
        <v>0</v>
      </c>
      <c r="X2328" s="64" t="n">
        <f aca="false">IF($K2328="No Start (attainment only)",$P2328,0)</f>
        <v>0</v>
      </c>
    </row>
    <row r="2329" customFormat="false" ht="15" hidden="false" customHeight="false" outlineLevel="0" collapsed="false">
      <c r="A2329" s="60"/>
      <c r="B2329" s="61" t="str">
        <f aca="false">IF($M2329=0,"",INDEX(Classes!$E$6:$E$420,$M2329))</f>
        <v/>
      </c>
      <c r="C2329" s="62" t="str">
        <f aca="false">IF($M2329=0,"",INDEX(Classes!$H$6:$H$420,$M2329))</f>
        <v/>
      </c>
      <c r="D2329" s="61" t="str">
        <f aca="false">IF($M2329=0,"",INDEX(Classes!$B$6:$B$420,$M2329))</f>
        <v/>
      </c>
      <c r="E2329" s="61" t="str">
        <f aca="false">IF($M2329=0,"",INDEX(Classes!$C$6:$C$420,$M2329))</f>
        <v/>
      </c>
      <c r="F2329" s="63"/>
      <c r="G2329" s="63"/>
      <c r="H2329" s="60"/>
      <c r="I2329" s="60"/>
      <c r="J2329" s="63"/>
      <c r="K2329" s="61" t="str">
        <f aca="false">IF($P2329=0,"",IF($F2329="Baseline","— Baseline",IF($O2329=0,"No result",IF($N2329=0,"No Start (attainment only)",IF(OR($N2329=1,$O2329=1),"U – needs rule",INDEX(MxBody,MATCH($I2329,MxCurr,0),MATCH($H2329,MxStart,0)))))))</f>
        <v/>
      </c>
      <c r="L2329" s="62" t="str">
        <f aca="false">IF(COUNTA($A2329,$F2329,$G2329,$H2329,$I2329,$J2329)=0,"",IF($M2329=0,"✖ كود الصف غير موجود",IF(ISNA(MATCH($F2329,Lists!$A$2:$A$5,0)),"✖ الفترة غير صحيحة",IF(ISNA(MATCH($G2329,Lists!$B$2:$B$7,0)),"✖ المجموعة غير صحيحة",IF(NOT(OR($H2329="",$N2329&gt;0)),"✖ Start غير صحيح",IF(NOT(OR($I2329="",$I2329="NR",$O2329&gt;0)),"✖ Current غير صحيح",IF(NOT(IF(ISNUMBER($J2329),AND($J2329&gt;=0,$J2329=INT($J2329)),FALSE())),"✖ العدد يجب أن يكون صحيحًا ≥ 0",IF(AND($F2329="Baseline",$H2329&lt;&gt;""),"⚠ Baseline: Start لا يدخل في التقدم",IF($K2329="No Start (attainment only)","ℹ تحصيل فقط (بدون Start)",IF($K2329="U – needs rule","ℹ حالة U تحتاج قاعدة معتمدة",IF($K2329="No result","ℹ بدون نتيجة (يُستبعد من التحصيل)","OK")))))))))))</f>
        <v/>
      </c>
      <c r="M2329" s="64" t="n">
        <f aca="false">IF($A2329="",0,IFERROR(MATCH($A2329,Classes!$A$6:$A$420,0),0))</f>
        <v>0</v>
      </c>
      <c r="N2329" s="64" t="n">
        <f aca="false">IF($H2329="",0,IFERROR(MATCH($H2329,GradeList,0),0))</f>
        <v>0</v>
      </c>
      <c r="O2329" s="64" t="n">
        <f aca="false">IF(OR($I2329="",$I2329="NR"),0,IFERROR(MATCH($I2329,GradeList,0),0))</f>
        <v>0</v>
      </c>
      <c r="P2329" s="64" t="n">
        <f aca="false">IF(AND($M2329&gt;0,ISNUMBER(MATCH($F2329,Lists!$A$2:$A$5,0)),ISNUMBER(MATCH($G2329,Lists!$B$2:$B$7,0)),OR($H2329="",$N2329&gt;0),OR($I2329="",$I2329="NR",$O2329&gt;0),IF(ISNUMBER($J2329),AND($J2329&gt;=0,$J2329=INT($J2329)),FALSE())),$J2329,0)</f>
        <v>0</v>
      </c>
      <c r="Q2329" s="64" t="n">
        <f aca="false">IF(AND($P2329&gt;0,$O2329&gt;0),$P2329,0)</f>
        <v>0</v>
      </c>
      <c r="R2329" s="64" t="n">
        <f aca="false">IF(AND($Q2329&gt;0,$O2329&gt;=AtRank),$Q2329,0)</f>
        <v>0</v>
      </c>
      <c r="S2329" s="64" t="n">
        <f aca="false">IF(AND($Q2329&gt;0,$O2329&gt;=AboveRank),$Q2329,0)</f>
        <v>0</v>
      </c>
      <c r="T2329" s="64" t="n">
        <f aca="false">IF($K2329="Less",$P2329,0)</f>
        <v>0</v>
      </c>
      <c r="U2329" s="64" t="n">
        <f aca="false">IF($K2329="Expected",$P2329,0)</f>
        <v>0</v>
      </c>
      <c r="V2329" s="64" t="n">
        <f aca="false">IF($K2329="Better",$P2329,0)</f>
        <v>0</v>
      </c>
      <c r="W2329" s="64" t="n">
        <f aca="false">IF($K2329="U – needs rule",$P2329,0)</f>
        <v>0</v>
      </c>
      <c r="X2329" s="64" t="n">
        <f aca="false">IF($K2329="No Start (attainment only)",$P2329,0)</f>
        <v>0</v>
      </c>
    </row>
    <row r="2330" customFormat="false" ht="15" hidden="false" customHeight="false" outlineLevel="0" collapsed="false">
      <c r="A2330" s="60"/>
      <c r="B2330" s="61" t="str">
        <f aca="false">IF($M2330=0,"",INDEX(Classes!$E$6:$E$420,$M2330))</f>
        <v/>
      </c>
      <c r="C2330" s="62" t="str">
        <f aca="false">IF($M2330=0,"",INDEX(Classes!$H$6:$H$420,$M2330))</f>
        <v/>
      </c>
      <c r="D2330" s="61" t="str">
        <f aca="false">IF($M2330=0,"",INDEX(Classes!$B$6:$B$420,$M2330))</f>
        <v/>
      </c>
      <c r="E2330" s="61" t="str">
        <f aca="false">IF($M2330=0,"",INDEX(Classes!$C$6:$C$420,$M2330))</f>
        <v/>
      </c>
      <c r="F2330" s="63"/>
      <c r="G2330" s="63"/>
      <c r="H2330" s="60"/>
      <c r="I2330" s="60"/>
      <c r="J2330" s="63"/>
      <c r="K2330" s="61" t="str">
        <f aca="false">IF($P2330=0,"",IF($F2330="Baseline","— Baseline",IF($O2330=0,"No result",IF($N2330=0,"No Start (attainment only)",IF(OR($N2330=1,$O2330=1),"U – needs rule",INDEX(MxBody,MATCH($I2330,MxCurr,0),MATCH($H2330,MxStart,0)))))))</f>
        <v/>
      </c>
      <c r="L2330" s="62" t="str">
        <f aca="false">IF(COUNTA($A2330,$F2330,$G2330,$H2330,$I2330,$J2330)=0,"",IF($M2330=0,"✖ كود الصف غير موجود",IF(ISNA(MATCH($F2330,Lists!$A$2:$A$5,0)),"✖ الفترة غير صحيحة",IF(ISNA(MATCH($G2330,Lists!$B$2:$B$7,0)),"✖ المجموعة غير صحيحة",IF(NOT(OR($H2330="",$N2330&gt;0)),"✖ Start غير صحيح",IF(NOT(OR($I2330="",$I2330="NR",$O2330&gt;0)),"✖ Current غير صحيح",IF(NOT(IF(ISNUMBER($J2330),AND($J2330&gt;=0,$J2330=INT($J2330)),FALSE())),"✖ العدد يجب أن يكون صحيحًا ≥ 0",IF(AND($F2330="Baseline",$H2330&lt;&gt;""),"⚠ Baseline: Start لا يدخل في التقدم",IF($K2330="No Start (attainment only)","ℹ تحصيل فقط (بدون Start)",IF($K2330="U – needs rule","ℹ حالة U تحتاج قاعدة معتمدة",IF($K2330="No result","ℹ بدون نتيجة (يُستبعد من التحصيل)","OK")))))))))))</f>
        <v/>
      </c>
      <c r="M2330" s="64" t="n">
        <f aca="false">IF($A2330="",0,IFERROR(MATCH($A2330,Classes!$A$6:$A$420,0),0))</f>
        <v>0</v>
      </c>
      <c r="N2330" s="64" t="n">
        <f aca="false">IF($H2330="",0,IFERROR(MATCH($H2330,GradeList,0),0))</f>
        <v>0</v>
      </c>
      <c r="O2330" s="64" t="n">
        <f aca="false">IF(OR($I2330="",$I2330="NR"),0,IFERROR(MATCH($I2330,GradeList,0),0))</f>
        <v>0</v>
      </c>
      <c r="P2330" s="64" t="n">
        <f aca="false">IF(AND($M2330&gt;0,ISNUMBER(MATCH($F2330,Lists!$A$2:$A$5,0)),ISNUMBER(MATCH($G2330,Lists!$B$2:$B$7,0)),OR($H2330="",$N2330&gt;0),OR($I2330="",$I2330="NR",$O2330&gt;0),IF(ISNUMBER($J2330),AND($J2330&gt;=0,$J2330=INT($J2330)),FALSE())),$J2330,0)</f>
        <v>0</v>
      </c>
      <c r="Q2330" s="64" t="n">
        <f aca="false">IF(AND($P2330&gt;0,$O2330&gt;0),$P2330,0)</f>
        <v>0</v>
      </c>
      <c r="R2330" s="64" t="n">
        <f aca="false">IF(AND($Q2330&gt;0,$O2330&gt;=AtRank),$Q2330,0)</f>
        <v>0</v>
      </c>
      <c r="S2330" s="64" t="n">
        <f aca="false">IF(AND($Q2330&gt;0,$O2330&gt;=AboveRank),$Q2330,0)</f>
        <v>0</v>
      </c>
      <c r="T2330" s="64" t="n">
        <f aca="false">IF($K2330="Less",$P2330,0)</f>
        <v>0</v>
      </c>
      <c r="U2330" s="64" t="n">
        <f aca="false">IF($K2330="Expected",$P2330,0)</f>
        <v>0</v>
      </c>
      <c r="V2330" s="64" t="n">
        <f aca="false">IF($K2330="Better",$P2330,0)</f>
        <v>0</v>
      </c>
      <c r="W2330" s="64" t="n">
        <f aca="false">IF($K2330="U – needs rule",$P2330,0)</f>
        <v>0</v>
      </c>
      <c r="X2330" s="64" t="n">
        <f aca="false">IF($K2330="No Start (attainment only)",$P2330,0)</f>
        <v>0</v>
      </c>
    </row>
    <row r="2331" customFormat="false" ht="15" hidden="false" customHeight="false" outlineLevel="0" collapsed="false">
      <c r="A2331" s="60"/>
      <c r="B2331" s="61" t="str">
        <f aca="false">IF($M2331=0,"",INDEX(Classes!$E$6:$E$420,$M2331))</f>
        <v/>
      </c>
      <c r="C2331" s="62" t="str">
        <f aca="false">IF($M2331=0,"",INDEX(Classes!$H$6:$H$420,$M2331))</f>
        <v/>
      </c>
      <c r="D2331" s="61" t="str">
        <f aca="false">IF($M2331=0,"",INDEX(Classes!$B$6:$B$420,$M2331))</f>
        <v/>
      </c>
      <c r="E2331" s="61" t="str">
        <f aca="false">IF($M2331=0,"",INDEX(Classes!$C$6:$C$420,$M2331))</f>
        <v/>
      </c>
      <c r="F2331" s="63"/>
      <c r="G2331" s="63"/>
      <c r="H2331" s="60"/>
      <c r="I2331" s="60"/>
      <c r="J2331" s="63"/>
      <c r="K2331" s="61" t="str">
        <f aca="false">IF($P2331=0,"",IF($F2331="Baseline","— Baseline",IF($O2331=0,"No result",IF($N2331=0,"No Start (attainment only)",IF(OR($N2331=1,$O2331=1),"U – needs rule",INDEX(MxBody,MATCH($I2331,MxCurr,0),MATCH($H2331,MxStart,0)))))))</f>
        <v/>
      </c>
      <c r="L2331" s="62" t="str">
        <f aca="false">IF(COUNTA($A2331,$F2331,$G2331,$H2331,$I2331,$J2331)=0,"",IF($M2331=0,"✖ كود الصف غير موجود",IF(ISNA(MATCH($F2331,Lists!$A$2:$A$5,0)),"✖ الفترة غير صحيحة",IF(ISNA(MATCH($G2331,Lists!$B$2:$B$7,0)),"✖ المجموعة غير صحيحة",IF(NOT(OR($H2331="",$N2331&gt;0)),"✖ Start غير صحيح",IF(NOT(OR($I2331="",$I2331="NR",$O2331&gt;0)),"✖ Current غير صحيح",IF(NOT(IF(ISNUMBER($J2331),AND($J2331&gt;=0,$J2331=INT($J2331)),FALSE())),"✖ العدد يجب أن يكون صحيحًا ≥ 0",IF(AND($F2331="Baseline",$H2331&lt;&gt;""),"⚠ Baseline: Start لا يدخل في التقدم",IF($K2331="No Start (attainment only)","ℹ تحصيل فقط (بدون Start)",IF($K2331="U – needs rule","ℹ حالة U تحتاج قاعدة معتمدة",IF($K2331="No result","ℹ بدون نتيجة (يُستبعد من التحصيل)","OK")))))))))))</f>
        <v/>
      </c>
      <c r="M2331" s="64" t="n">
        <f aca="false">IF($A2331="",0,IFERROR(MATCH($A2331,Classes!$A$6:$A$420,0),0))</f>
        <v>0</v>
      </c>
      <c r="N2331" s="64" t="n">
        <f aca="false">IF($H2331="",0,IFERROR(MATCH($H2331,GradeList,0),0))</f>
        <v>0</v>
      </c>
      <c r="O2331" s="64" t="n">
        <f aca="false">IF(OR($I2331="",$I2331="NR"),0,IFERROR(MATCH($I2331,GradeList,0),0))</f>
        <v>0</v>
      </c>
      <c r="P2331" s="64" t="n">
        <f aca="false">IF(AND($M2331&gt;0,ISNUMBER(MATCH($F2331,Lists!$A$2:$A$5,0)),ISNUMBER(MATCH($G2331,Lists!$B$2:$B$7,0)),OR($H2331="",$N2331&gt;0),OR($I2331="",$I2331="NR",$O2331&gt;0),IF(ISNUMBER($J2331),AND($J2331&gt;=0,$J2331=INT($J2331)),FALSE())),$J2331,0)</f>
        <v>0</v>
      </c>
      <c r="Q2331" s="64" t="n">
        <f aca="false">IF(AND($P2331&gt;0,$O2331&gt;0),$P2331,0)</f>
        <v>0</v>
      </c>
      <c r="R2331" s="64" t="n">
        <f aca="false">IF(AND($Q2331&gt;0,$O2331&gt;=AtRank),$Q2331,0)</f>
        <v>0</v>
      </c>
      <c r="S2331" s="64" t="n">
        <f aca="false">IF(AND($Q2331&gt;0,$O2331&gt;=AboveRank),$Q2331,0)</f>
        <v>0</v>
      </c>
      <c r="T2331" s="64" t="n">
        <f aca="false">IF($K2331="Less",$P2331,0)</f>
        <v>0</v>
      </c>
      <c r="U2331" s="64" t="n">
        <f aca="false">IF($K2331="Expected",$P2331,0)</f>
        <v>0</v>
      </c>
      <c r="V2331" s="64" t="n">
        <f aca="false">IF($K2331="Better",$P2331,0)</f>
        <v>0</v>
      </c>
      <c r="W2331" s="64" t="n">
        <f aca="false">IF($K2331="U – needs rule",$P2331,0)</f>
        <v>0</v>
      </c>
      <c r="X2331" s="64" t="n">
        <f aca="false">IF($K2331="No Start (attainment only)",$P2331,0)</f>
        <v>0</v>
      </c>
    </row>
    <row r="2332" customFormat="false" ht="15" hidden="false" customHeight="false" outlineLevel="0" collapsed="false">
      <c r="A2332" s="60"/>
      <c r="B2332" s="61" t="str">
        <f aca="false">IF($M2332=0,"",INDEX(Classes!$E$6:$E$420,$M2332))</f>
        <v/>
      </c>
      <c r="C2332" s="62" t="str">
        <f aca="false">IF($M2332=0,"",INDEX(Classes!$H$6:$H$420,$M2332))</f>
        <v/>
      </c>
      <c r="D2332" s="61" t="str">
        <f aca="false">IF($M2332=0,"",INDEX(Classes!$B$6:$B$420,$M2332))</f>
        <v/>
      </c>
      <c r="E2332" s="61" t="str">
        <f aca="false">IF($M2332=0,"",INDEX(Classes!$C$6:$C$420,$M2332))</f>
        <v/>
      </c>
      <c r="F2332" s="63"/>
      <c r="G2332" s="63"/>
      <c r="H2332" s="60"/>
      <c r="I2332" s="60"/>
      <c r="J2332" s="63"/>
      <c r="K2332" s="61" t="str">
        <f aca="false">IF($P2332=0,"",IF($F2332="Baseline","— Baseline",IF($O2332=0,"No result",IF($N2332=0,"No Start (attainment only)",IF(OR($N2332=1,$O2332=1),"U – needs rule",INDEX(MxBody,MATCH($I2332,MxCurr,0),MATCH($H2332,MxStart,0)))))))</f>
        <v/>
      </c>
      <c r="L2332" s="62" t="str">
        <f aca="false">IF(COUNTA($A2332,$F2332,$G2332,$H2332,$I2332,$J2332)=0,"",IF($M2332=0,"✖ كود الصف غير موجود",IF(ISNA(MATCH($F2332,Lists!$A$2:$A$5,0)),"✖ الفترة غير صحيحة",IF(ISNA(MATCH($G2332,Lists!$B$2:$B$7,0)),"✖ المجموعة غير صحيحة",IF(NOT(OR($H2332="",$N2332&gt;0)),"✖ Start غير صحيح",IF(NOT(OR($I2332="",$I2332="NR",$O2332&gt;0)),"✖ Current غير صحيح",IF(NOT(IF(ISNUMBER($J2332),AND($J2332&gt;=0,$J2332=INT($J2332)),FALSE())),"✖ العدد يجب أن يكون صحيحًا ≥ 0",IF(AND($F2332="Baseline",$H2332&lt;&gt;""),"⚠ Baseline: Start لا يدخل في التقدم",IF($K2332="No Start (attainment only)","ℹ تحصيل فقط (بدون Start)",IF($K2332="U – needs rule","ℹ حالة U تحتاج قاعدة معتمدة",IF($K2332="No result","ℹ بدون نتيجة (يُستبعد من التحصيل)","OK")))))))))))</f>
        <v/>
      </c>
      <c r="M2332" s="64" t="n">
        <f aca="false">IF($A2332="",0,IFERROR(MATCH($A2332,Classes!$A$6:$A$420,0),0))</f>
        <v>0</v>
      </c>
      <c r="N2332" s="64" t="n">
        <f aca="false">IF($H2332="",0,IFERROR(MATCH($H2332,GradeList,0),0))</f>
        <v>0</v>
      </c>
      <c r="O2332" s="64" t="n">
        <f aca="false">IF(OR($I2332="",$I2332="NR"),0,IFERROR(MATCH($I2332,GradeList,0),0))</f>
        <v>0</v>
      </c>
      <c r="P2332" s="64" t="n">
        <f aca="false">IF(AND($M2332&gt;0,ISNUMBER(MATCH($F2332,Lists!$A$2:$A$5,0)),ISNUMBER(MATCH($G2332,Lists!$B$2:$B$7,0)),OR($H2332="",$N2332&gt;0),OR($I2332="",$I2332="NR",$O2332&gt;0),IF(ISNUMBER($J2332),AND($J2332&gt;=0,$J2332=INT($J2332)),FALSE())),$J2332,0)</f>
        <v>0</v>
      </c>
      <c r="Q2332" s="64" t="n">
        <f aca="false">IF(AND($P2332&gt;0,$O2332&gt;0),$P2332,0)</f>
        <v>0</v>
      </c>
      <c r="R2332" s="64" t="n">
        <f aca="false">IF(AND($Q2332&gt;0,$O2332&gt;=AtRank),$Q2332,0)</f>
        <v>0</v>
      </c>
      <c r="S2332" s="64" t="n">
        <f aca="false">IF(AND($Q2332&gt;0,$O2332&gt;=AboveRank),$Q2332,0)</f>
        <v>0</v>
      </c>
      <c r="T2332" s="64" t="n">
        <f aca="false">IF($K2332="Less",$P2332,0)</f>
        <v>0</v>
      </c>
      <c r="U2332" s="64" t="n">
        <f aca="false">IF($K2332="Expected",$P2332,0)</f>
        <v>0</v>
      </c>
      <c r="V2332" s="64" t="n">
        <f aca="false">IF($K2332="Better",$P2332,0)</f>
        <v>0</v>
      </c>
      <c r="W2332" s="64" t="n">
        <f aca="false">IF($K2332="U – needs rule",$P2332,0)</f>
        <v>0</v>
      </c>
      <c r="X2332" s="64" t="n">
        <f aca="false">IF($K2332="No Start (attainment only)",$P2332,0)</f>
        <v>0</v>
      </c>
    </row>
    <row r="2333" customFormat="false" ht="15" hidden="false" customHeight="false" outlineLevel="0" collapsed="false">
      <c r="A2333" s="60"/>
      <c r="B2333" s="61" t="str">
        <f aca="false">IF($M2333=0,"",INDEX(Classes!$E$6:$E$420,$M2333))</f>
        <v/>
      </c>
      <c r="C2333" s="62" t="str">
        <f aca="false">IF($M2333=0,"",INDEX(Classes!$H$6:$H$420,$M2333))</f>
        <v/>
      </c>
      <c r="D2333" s="61" t="str">
        <f aca="false">IF($M2333=0,"",INDEX(Classes!$B$6:$B$420,$M2333))</f>
        <v/>
      </c>
      <c r="E2333" s="61" t="str">
        <f aca="false">IF($M2333=0,"",INDEX(Classes!$C$6:$C$420,$M2333))</f>
        <v/>
      </c>
      <c r="F2333" s="63"/>
      <c r="G2333" s="63"/>
      <c r="H2333" s="60"/>
      <c r="I2333" s="60"/>
      <c r="J2333" s="63"/>
      <c r="K2333" s="61" t="str">
        <f aca="false">IF($P2333=0,"",IF($F2333="Baseline","— Baseline",IF($O2333=0,"No result",IF($N2333=0,"No Start (attainment only)",IF(OR($N2333=1,$O2333=1),"U – needs rule",INDEX(MxBody,MATCH($I2333,MxCurr,0),MATCH($H2333,MxStart,0)))))))</f>
        <v/>
      </c>
      <c r="L2333" s="62" t="str">
        <f aca="false">IF(COUNTA($A2333,$F2333,$G2333,$H2333,$I2333,$J2333)=0,"",IF($M2333=0,"✖ كود الصف غير موجود",IF(ISNA(MATCH($F2333,Lists!$A$2:$A$5,0)),"✖ الفترة غير صحيحة",IF(ISNA(MATCH($G2333,Lists!$B$2:$B$7,0)),"✖ المجموعة غير صحيحة",IF(NOT(OR($H2333="",$N2333&gt;0)),"✖ Start غير صحيح",IF(NOT(OR($I2333="",$I2333="NR",$O2333&gt;0)),"✖ Current غير صحيح",IF(NOT(IF(ISNUMBER($J2333),AND($J2333&gt;=0,$J2333=INT($J2333)),FALSE())),"✖ العدد يجب أن يكون صحيحًا ≥ 0",IF(AND($F2333="Baseline",$H2333&lt;&gt;""),"⚠ Baseline: Start لا يدخل في التقدم",IF($K2333="No Start (attainment only)","ℹ تحصيل فقط (بدون Start)",IF($K2333="U – needs rule","ℹ حالة U تحتاج قاعدة معتمدة",IF($K2333="No result","ℹ بدون نتيجة (يُستبعد من التحصيل)","OK")))))))))))</f>
        <v/>
      </c>
      <c r="M2333" s="64" t="n">
        <f aca="false">IF($A2333="",0,IFERROR(MATCH($A2333,Classes!$A$6:$A$420,0),0))</f>
        <v>0</v>
      </c>
      <c r="N2333" s="64" t="n">
        <f aca="false">IF($H2333="",0,IFERROR(MATCH($H2333,GradeList,0),0))</f>
        <v>0</v>
      </c>
      <c r="O2333" s="64" t="n">
        <f aca="false">IF(OR($I2333="",$I2333="NR"),0,IFERROR(MATCH($I2333,GradeList,0),0))</f>
        <v>0</v>
      </c>
      <c r="P2333" s="64" t="n">
        <f aca="false">IF(AND($M2333&gt;0,ISNUMBER(MATCH($F2333,Lists!$A$2:$A$5,0)),ISNUMBER(MATCH($G2333,Lists!$B$2:$B$7,0)),OR($H2333="",$N2333&gt;0),OR($I2333="",$I2333="NR",$O2333&gt;0),IF(ISNUMBER($J2333),AND($J2333&gt;=0,$J2333=INT($J2333)),FALSE())),$J2333,0)</f>
        <v>0</v>
      </c>
      <c r="Q2333" s="64" t="n">
        <f aca="false">IF(AND($P2333&gt;0,$O2333&gt;0),$P2333,0)</f>
        <v>0</v>
      </c>
      <c r="R2333" s="64" t="n">
        <f aca="false">IF(AND($Q2333&gt;0,$O2333&gt;=AtRank),$Q2333,0)</f>
        <v>0</v>
      </c>
      <c r="S2333" s="64" t="n">
        <f aca="false">IF(AND($Q2333&gt;0,$O2333&gt;=AboveRank),$Q2333,0)</f>
        <v>0</v>
      </c>
      <c r="T2333" s="64" t="n">
        <f aca="false">IF($K2333="Less",$P2333,0)</f>
        <v>0</v>
      </c>
      <c r="U2333" s="64" t="n">
        <f aca="false">IF($K2333="Expected",$P2333,0)</f>
        <v>0</v>
      </c>
      <c r="V2333" s="64" t="n">
        <f aca="false">IF($K2333="Better",$P2333,0)</f>
        <v>0</v>
      </c>
      <c r="W2333" s="64" t="n">
        <f aca="false">IF($K2333="U – needs rule",$P2333,0)</f>
        <v>0</v>
      </c>
      <c r="X2333" s="64" t="n">
        <f aca="false">IF($K2333="No Start (attainment only)",$P2333,0)</f>
        <v>0</v>
      </c>
    </row>
    <row r="2334" customFormat="false" ht="15" hidden="false" customHeight="false" outlineLevel="0" collapsed="false">
      <c r="A2334" s="60"/>
      <c r="B2334" s="61" t="str">
        <f aca="false">IF($M2334=0,"",INDEX(Classes!$E$6:$E$420,$M2334))</f>
        <v/>
      </c>
      <c r="C2334" s="62" t="str">
        <f aca="false">IF($M2334=0,"",INDEX(Classes!$H$6:$H$420,$M2334))</f>
        <v/>
      </c>
      <c r="D2334" s="61" t="str">
        <f aca="false">IF($M2334=0,"",INDEX(Classes!$B$6:$B$420,$M2334))</f>
        <v/>
      </c>
      <c r="E2334" s="61" t="str">
        <f aca="false">IF($M2334=0,"",INDEX(Classes!$C$6:$C$420,$M2334))</f>
        <v/>
      </c>
      <c r="F2334" s="63"/>
      <c r="G2334" s="63"/>
      <c r="H2334" s="60"/>
      <c r="I2334" s="60"/>
      <c r="J2334" s="63"/>
      <c r="K2334" s="61" t="str">
        <f aca="false">IF($P2334=0,"",IF($F2334="Baseline","— Baseline",IF($O2334=0,"No result",IF($N2334=0,"No Start (attainment only)",IF(OR($N2334=1,$O2334=1),"U – needs rule",INDEX(MxBody,MATCH($I2334,MxCurr,0),MATCH($H2334,MxStart,0)))))))</f>
        <v/>
      </c>
      <c r="L2334" s="62" t="str">
        <f aca="false">IF(COUNTA($A2334,$F2334,$G2334,$H2334,$I2334,$J2334)=0,"",IF($M2334=0,"✖ كود الصف غير موجود",IF(ISNA(MATCH($F2334,Lists!$A$2:$A$5,0)),"✖ الفترة غير صحيحة",IF(ISNA(MATCH($G2334,Lists!$B$2:$B$7,0)),"✖ المجموعة غير صحيحة",IF(NOT(OR($H2334="",$N2334&gt;0)),"✖ Start غير صحيح",IF(NOT(OR($I2334="",$I2334="NR",$O2334&gt;0)),"✖ Current غير صحيح",IF(NOT(IF(ISNUMBER($J2334),AND($J2334&gt;=0,$J2334=INT($J2334)),FALSE())),"✖ العدد يجب أن يكون صحيحًا ≥ 0",IF(AND($F2334="Baseline",$H2334&lt;&gt;""),"⚠ Baseline: Start لا يدخل في التقدم",IF($K2334="No Start (attainment only)","ℹ تحصيل فقط (بدون Start)",IF($K2334="U – needs rule","ℹ حالة U تحتاج قاعدة معتمدة",IF($K2334="No result","ℹ بدون نتيجة (يُستبعد من التحصيل)","OK")))))))))))</f>
        <v/>
      </c>
      <c r="M2334" s="64" t="n">
        <f aca="false">IF($A2334="",0,IFERROR(MATCH($A2334,Classes!$A$6:$A$420,0),0))</f>
        <v>0</v>
      </c>
      <c r="N2334" s="64" t="n">
        <f aca="false">IF($H2334="",0,IFERROR(MATCH($H2334,GradeList,0),0))</f>
        <v>0</v>
      </c>
      <c r="O2334" s="64" t="n">
        <f aca="false">IF(OR($I2334="",$I2334="NR"),0,IFERROR(MATCH($I2334,GradeList,0),0))</f>
        <v>0</v>
      </c>
      <c r="P2334" s="64" t="n">
        <f aca="false">IF(AND($M2334&gt;0,ISNUMBER(MATCH($F2334,Lists!$A$2:$A$5,0)),ISNUMBER(MATCH($G2334,Lists!$B$2:$B$7,0)),OR($H2334="",$N2334&gt;0),OR($I2334="",$I2334="NR",$O2334&gt;0),IF(ISNUMBER($J2334),AND($J2334&gt;=0,$J2334=INT($J2334)),FALSE())),$J2334,0)</f>
        <v>0</v>
      </c>
      <c r="Q2334" s="64" t="n">
        <f aca="false">IF(AND($P2334&gt;0,$O2334&gt;0),$P2334,0)</f>
        <v>0</v>
      </c>
      <c r="R2334" s="64" t="n">
        <f aca="false">IF(AND($Q2334&gt;0,$O2334&gt;=AtRank),$Q2334,0)</f>
        <v>0</v>
      </c>
      <c r="S2334" s="64" t="n">
        <f aca="false">IF(AND($Q2334&gt;0,$O2334&gt;=AboveRank),$Q2334,0)</f>
        <v>0</v>
      </c>
      <c r="T2334" s="64" t="n">
        <f aca="false">IF($K2334="Less",$P2334,0)</f>
        <v>0</v>
      </c>
      <c r="U2334" s="64" t="n">
        <f aca="false">IF($K2334="Expected",$P2334,0)</f>
        <v>0</v>
      </c>
      <c r="V2334" s="64" t="n">
        <f aca="false">IF($K2334="Better",$P2334,0)</f>
        <v>0</v>
      </c>
      <c r="W2334" s="64" t="n">
        <f aca="false">IF($K2334="U – needs rule",$P2334,0)</f>
        <v>0</v>
      </c>
      <c r="X2334" s="64" t="n">
        <f aca="false">IF($K2334="No Start (attainment only)",$P2334,0)</f>
        <v>0</v>
      </c>
    </row>
    <row r="2335" customFormat="false" ht="15" hidden="false" customHeight="false" outlineLevel="0" collapsed="false">
      <c r="A2335" s="60"/>
      <c r="B2335" s="61" t="str">
        <f aca="false">IF($M2335=0,"",INDEX(Classes!$E$6:$E$420,$M2335))</f>
        <v/>
      </c>
      <c r="C2335" s="62" t="str">
        <f aca="false">IF($M2335=0,"",INDEX(Classes!$H$6:$H$420,$M2335))</f>
        <v/>
      </c>
      <c r="D2335" s="61" t="str">
        <f aca="false">IF($M2335=0,"",INDEX(Classes!$B$6:$B$420,$M2335))</f>
        <v/>
      </c>
      <c r="E2335" s="61" t="str">
        <f aca="false">IF($M2335=0,"",INDEX(Classes!$C$6:$C$420,$M2335))</f>
        <v/>
      </c>
      <c r="F2335" s="63"/>
      <c r="G2335" s="63"/>
      <c r="H2335" s="60"/>
      <c r="I2335" s="60"/>
      <c r="J2335" s="63"/>
      <c r="K2335" s="61" t="str">
        <f aca="false">IF($P2335=0,"",IF($F2335="Baseline","— Baseline",IF($O2335=0,"No result",IF($N2335=0,"No Start (attainment only)",IF(OR($N2335=1,$O2335=1),"U – needs rule",INDEX(MxBody,MATCH($I2335,MxCurr,0),MATCH($H2335,MxStart,0)))))))</f>
        <v/>
      </c>
      <c r="L2335" s="62" t="str">
        <f aca="false">IF(COUNTA($A2335,$F2335,$G2335,$H2335,$I2335,$J2335)=0,"",IF($M2335=0,"✖ كود الصف غير موجود",IF(ISNA(MATCH($F2335,Lists!$A$2:$A$5,0)),"✖ الفترة غير صحيحة",IF(ISNA(MATCH($G2335,Lists!$B$2:$B$7,0)),"✖ المجموعة غير صحيحة",IF(NOT(OR($H2335="",$N2335&gt;0)),"✖ Start غير صحيح",IF(NOT(OR($I2335="",$I2335="NR",$O2335&gt;0)),"✖ Current غير صحيح",IF(NOT(IF(ISNUMBER($J2335),AND($J2335&gt;=0,$J2335=INT($J2335)),FALSE())),"✖ العدد يجب أن يكون صحيحًا ≥ 0",IF(AND($F2335="Baseline",$H2335&lt;&gt;""),"⚠ Baseline: Start لا يدخل في التقدم",IF($K2335="No Start (attainment only)","ℹ تحصيل فقط (بدون Start)",IF($K2335="U – needs rule","ℹ حالة U تحتاج قاعدة معتمدة",IF($K2335="No result","ℹ بدون نتيجة (يُستبعد من التحصيل)","OK")))))))))))</f>
        <v/>
      </c>
      <c r="M2335" s="64" t="n">
        <f aca="false">IF($A2335="",0,IFERROR(MATCH($A2335,Classes!$A$6:$A$420,0),0))</f>
        <v>0</v>
      </c>
      <c r="N2335" s="64" t="n">
        <f aca="false">IF($H2335="",0,IFERROR(MATCH($H2335,GradeList,0),0))</f>
        <v>0</v>
      </c>
      <c r="O2335" s="64" t="n">
        <f aca="false">IF(OR($I2335="",$I2335="NR"),0,IFERROR(MATCH($I2335,GradeList,0),0))</f>
        <v>0</v>
      </c>
      <c r="P2335" s="64" t="n">
        <f aca="false">IF(AND($M2335&gt;0,ISNUMBER(MATCH($F2335,Lists!$A$2:$A$5,0)),ISNUMBER(MATCH($G2335,Lists!$B$2:$B$7,0)),OR($H2335="",$N2335&gt;0),OR($I2335="",$I2335="NR",$O2335&gt;0),IF(ISNUMBER($J2335),AND($J2335&gt;=0,$J2335=INT($J2335)),FALSE())),$J2335,0)</f>
        <v>0</v>
      </c>
      <c r="Q2335" s="64" t="n">
        <f aca="false">IF(AND($P2335&gt;0,$O2335&gt;0),$P2335,0)</f>
        <v>0</v>
      </c>
      <c r="R2335" s="64" t="n">
        <f aca="false">IF(AND($Q2335&gt;0,$O2335&gt;=AtRank),$Q2335,0)</f>
        <v>0</v>
      </c>
      <c r="S2335" s="64" t="n">
        <f aca="false">IF(AND($Q2335&gt;0,$O2335&gt;=AboveRank),$Q2335,0)</f>
        <v>0</v>
      </c>
      <c r="T2335" s="64" t="n">
        <f aca="false">IF($K2335="Less",$P2335,0)</f>
        <v>0</v>
      </c>
      <c r="U2335" s="64" t="n">
        <f aca="false">IF($K2335="Expected",$P2335,0)</f>
        <v>0</v>
      </c>
      <c r="V2335" s="64" t="n">
        <f aca="false">IF($K2335="Better",$P2335,0)</f>
        <v>0</v>
      </c>
      <c r="W2335" s="64" t="n">
        <f aca="false">IF($K2335="U – needs rule",$P2335,0)</f>
        <v>0</v>
      </c>
      <c r="X2335" s="64" t="n">
        <f aca="false">IF($K2335="No Start (attainment only)",$P2335,0)</f>
        <v>0</v>
      </c>
    </row>
    <row r="2336" customFormat="false" ht="15" hidden="false" customHeight="false" outlineLevel="0" collapsed="false">
      <c r="A2336" s="60"/>
      <c r="B2336" s="61" t="str">
        <f aca="false">IF($M2336=0,"",INDEX(Classes!$E$6:$E$420,$M2336))</f>
        <v/>
      </c>
      <c r="C2336" s="62" t="str">
        <f aca="false">IF($M2336=0,"",INDEX(Classes!$H$6:$H$420,$M2336))</f>
        <v/>
      </c>
      <c r="D2336" s="61" t="str">
        <f aca="false">IF($M2336=0,"",INDEX(Classes!$B$6:$B$420,$M2336))</f>
        <v/>
      </c>
      <c r="E2336" s="61" t="str">
        <f aca="false">IF($M2336=0,"",INDEX(Classes!$C$6:$C$420,$M2336))</f>
        <v/>
      </c>
      <c r="F2336" s="63"/>
      <c r="G2336" s="63"/>
      <c r="H2336" s="60"/>
      <c r="I2336" s="60"/>
      <c r="J2336" s="63"/>
      <c r="K2336" s="61" t="str">
        <f aca="false">IF($P2336=0,"",IF($F2336="Baseline","— Baseline",IF($O2336=0,"No result",IF($N2336=0,"No Start (attainment only)",IF(OR($N2336=1,$O2336=1),"U – needs rule",INDEX(MxBody,MATCH($I2336,MxCurr,0),MATCH($H2336,MxStart,0)))))))</f>
        <v/>
      </c>
      <c r="L2336" s="62" t="str">
        <f aca="false">IF(COUNTA($A2336,$F2336,$G2336,$H2336,$I2336,$J2336)=0,"",IF($M2336=0,"✖ كود الصف غير موجود",IF(ISNA(MATCH($F2336,Lists!$A$2:$A$5,0)),"✖ الفترة غير صحيحة",IF(ISNA(MATCH($G2336,Lists!$B$2:$B$7,0)),"✖ المجموعة غير صحيحة",IF(NOT(OR($H2336="",$N2336&gt;0)),"✖ Start غير صحيح",IF(NOT(OR($I2336="",$I2336="NR",$O2336&gt;0)),"✖ Current غير صحيح",IF(NOT(IF(ISNUMBER($J2336),AND($J2336&gt;=0,$J2336=INT($J2336)),FALSE())),"✖ العدد يجب أن يكون صحيحًا ≥ 0",IF(AND($F2336="Baseline",$H2336&lt;&gt;""),"⚠ Baseline: Start لا يدخل في التقدم",IF($K2336="No Start (attainment only)","ℹ تحصيل فقط (بدون Start)",IF($K2336="U – needs rule","ℹ حالة U تحتاج قاعدة معتمدة",IF($K2336="No result","ℹ بدون نتيجة (يُستبعد من التحصيل)","OK")))))))))))</f>
        <v/>
      </c>
      <c r="M2336" s="64" t="n">
        <f aca="false">IF($A2336="",0,IFERROR(MATCH($A2336,Classes!$A$6:$A$420,0),0))</f>
        <v>0</v>
      </c>
      <c r="N2336" s="64" t="n">
        <f aca="false">IF($H2336="",0,IFERROR(MATCH($H2336,GradeList,0),0))</f>
        <v>0</v>
      </c>
      <c r="O2336" s="64" t="n">
        <f aca="false">IF(OR($I2336="",$I2336="NR"),0,IFERROR(MATCH($I2336,GradeList,0),0))</f>
        <v>0</v>
      </c>
      <c r="P2336" s="64" t="n">
        <f aca="false">IF(AND($M2336&gt;0,ISNUMBER(MATCH($F2336,Lists!$A$2:$A$5,0)),ISNUMBER(MATCH($G2336,Lists!$B$2:$B$7,0)),OR($H2336="",$N2336&gt;0),OR($I2336="",$I2336="NR",$O2336&gt;0),IF(ISNUMBER($J2336),AND($J2336&gt;=0,$J2336=INT($J2336)),FALSE())),$J2336,0)</f>
        <v>0</v>
      </c>
      <c r="Q2336" s="64" t="n">
        <f aca="false">IF(AND($P2336&gt;0,$O2336&gt;0),$P2336,0)</f>
        <v>0</v>
      </c>
      <c r="R2336" s="64" t="n">
        <f aca="false">IF(AND($Q2336&gt;0,$O2336&gt;=AtRank),$Q2336,0)</f>
        <v>0</v>
      </c>
      <c r="S2336" s="64" t="n">
        <f aca="false">IF(AND($Q2336&gt;0,$O2336&gt;=AboveRank),$Q2336,0)</f>
        <v>0</v>
      </c>
      <c r="T2336" s="64" t="n">
        <f aca="false">IF($K2336="Less",$P2336,0)</f>
        <v>0</v>
      </c>
      <c r="U2336" s="64" t="n">
        <f aca="false">IF($K2336="Expected",$P2336,0)</f>
        <v>0</v>
      </c>
      <c r="V2336" s="64" t="n">
        <f aca="false">IF($K2336="Better",$P2336,0)</f>
        <v>0</v>
      </c>
      <c r="W2336" s="64" t="n">
        <f aca="false">IF($K2336="U – needs rule",$P2336,0)</f>
        <v>0</v>
      </c>
      <c r="X2336" s="64" t="n">
        <f aca="false">IF($K2336="No Start (attainment only)",$P2336,0)</f>
        <v>0</v>
      </c>
    </row>
    <row r="2337" customFormat="false" ht="15" hidden="false" customHeight="false" outlineLevel="0" collapsed="false">
      <c r="A2337" s="60"/>
      <c r="B2337" s="61" t="str">
        <f aca="false">IF($M2337=0,"",INDEX(Classes!$E$6:$E$420,$M2337))</f>
        <v/>
      </c>
      <c r="C2337" s="62" t="str">
        <f aca="false">IF($M2337=0,"",INDEX(Classes!$H$6:$H$420,$M2337))</f>
        <v/>
      </c>
      <c r="D2337" s="61" t="str">
        <f aca="false">IF($M2337=0,"",INDEX(Classes!$B$6:$B$420,$M2337))</f>
        <v/>
      </c>
      <c r="E2337" s="61" t="str">
        <f aca="false">IF($M2337=0,"",INDEX(Classes!$C$6:$C$420,$M2337))</f>
        <v/>
      </c>
      <c r="F2337" s="63"/>
      <c r="G2337" s="63"/>
      <c r="H2337" s="60"/>
      <c r="I2337" s="60"/>
      <c r="J2337" s="63"/>
      <c r="K2337" s="61" t="str">
        <f aca="false">IF($P2337=0,"",IF($F2337="Baseline","— Baseline",IF($O2337=0,"No result",IF($N2337=0,"No Start (attainment only)",IF(OR($N2337=1,$O2337=1),"U – needs rule",INDEX(MxBody,MATCH($I2337,MxCurr,0),MATCH($H2337,MxStart,0)))))))</f>
        <v/>
      </c>
      <c r="L2337" s="62" t="str">
        <f aca="false">IF(COUNTA($A2337,$F2337,$G2337,$H2337,$I2337,$J2337)=0,"",IF($M2337=0,"✖ كود الصف غير موجود",IF(ISNA(MATCH($F2337,Lists!$A$2:$A$5,0)),"✖ الفترة غير صحيحة",IF(ISNA(MATCH($G2337,Lists!$B$2:$B$7,0)),"✖ المجموعة غير صحيحة",IF(NOT(OR($H2337="",$N2337&gt;0)),"✖ Start غير صحيح",IF(NOT(OR($I2337="",$I2337="NR",$O2337&gt;0)),"✖ Current غير صحيح",IF(NOT(IF(ISNUMBER($J2337),AND($J2337&gt;=0,$J2337=INT($J2337)),FALSE())),"✖ العدد يجب أن يكون صحيحًا ≥ 0",IF(AND($F2337="Baseline",$H2337&lt;&gt;""),"⚠ Baseline: Start لا يدخل في التقدم",IF($K2337="No Start (attainment only)","ℹ تحصيل فقط (بدون Start)",IF($K2337="U – needs rule","ℹ حالة U تحتاج قاعدة معتمدة",IF($K2337="No result","ℹ بدون نتيجة (يُستبعد من التحصيل)","OK")))))))))))</f>
        <v/>
      </c>
      <c r="M2337" s="64" t="n">
        <f aca="false">IF($A2337="",0,IFERROR(MATCH($A2337,Classes!$A$6:$A$420,0),0))</f>
        <v>0</v>
      </c>
      <c r="N2337" s="64" t="n">
        <f aca="false">IF($H2337="",0,IFERROR(MATCH($H2337,GradeList,0),0))</f>
        <v>0</v>
      </c>
      <c r="O2337" s="64" t="n">
        <f aca="false">IF(OR($I2337="",$I2337="NR"),0,IFERROR(MATCH($I2337,GradeList,0),0))</f>
        <v>0</v>
      </c>
      <c r="P2337" s="64" t="n">
        <f aca="false">IF(AND($M2337&gt;0,ISNUMBER(MATCH($F2337,Lists!$A$2:$A$5,0)),ISNUMBER(MATCH($G2337,Lists!$B$2:$B$7,0)),OR($H2337="",$N2337&gt;0),OR($I2337="",$I2337="NR",$O2337&gt;0),IF(ISNUMBER($J2337),AND($J2337&gt;=0,$J2337=INT($J2337)),FALSE())),$J2337,0)</f>
        <v>0</v>
      </c>
      <c r="Q2337" s="64" t="n">
        <f aca="false">IF(AND($P2337&gt;0,$O2337&gt;0),$P2337,0)</f>
        <v>0</v>
      </c>
      <c r="R2337" s="64" t="n">
        <f aca="false">IF(AND($Q2337&gt;0,$O2337&gt;=AtRank),$Q2337,0)</f>
        <v>0</v>
      </c>
      <c r="S2337" s="64" t="n">
        <f aca="false">IF(AND($Q2337&gt;0,$O2337&gt;=AboveRank),$Q2337,0)</f>
        <v>0</v>
      </c>
      <c r="T2337" s="64" t="n">
        <f aca="false">IF($K2337="Less",$P2337,0)</f>
        <v>0</v>
      </c>
      <c r="U2337" s="64" t="n">
        <f aca="false">IF($K2337="Expected",$P2337,0)</f>
        <v>0</v>
      </c>
      <c r="V2337" s="64" t="n">
        <f aca="false">IF($K2337="Better",$P2337,0)</f>
        <v>0</v>
      </c>
      <c r="W2337" s="64" t="n">
        <f aca="false">IF($K2337="U – needs rule",$P2337,0)</f>
        <v>0</v>
      </c>
      <c r="X2337" s="64" t="n">
        <f aca="false">IF($K2337="No Start (attainment only)",$P2337,0)</f>
        <v>0</v>
      </c>
    </row>
    <row r="2338" customFormat="false" ht="15" hidden="false" customHeight="false" outlineLevel="0" collapsed="false">
      <c r="A2338" s="60"/>
      <c r="B2338" s="61" t="str">
        <f aca="false">IF($M2338=0,"",INDEX(Classes!$E$6:$E$420,$M2338))</f>
        <v/>
      </c>
      <c r="C2338" s="62" t="str">
        <f aca="false">IF($M2338=0,"",INDEX(Classes!$H$6:$H$420,$M2338))</f>
        <v/>
      </c>
      <c r="D2338" s="61" t="str">
        <f aca="false">IF($M2338=0,"",INDEX(Classes!$B$6:$B$420,$M2338))</f>
        <v/>
      </c>
      <c r="E2338" s="61" t="str">
        <f aca="false">IF($M2338=0,"",INDEX(Classes!$C$6:$C$420,$M2338))</f>
        <v/>
      </c>
      <c r="F2338" s="63"/>
      <c r="G2338" s="63"/>
      <c r="H2338" s="60"/>
      <c r="I2338" s="60"/>
      <c r="J2338" s="63"/>
      <c r="K2338" s="61" t="str">
        <f aca="false">IF($P2338=0,"",IF($F2338="Baseline","— Baseline",IF($O2338=0,"No result",IF($N2338=0,"No Start (attainment only)",IF(OR($N2338=1,$O2338=1),"U – needs rule",INDEX(MxBody,MATCH($I2338,MxCurr,0),MATCH($H2338,MxStart,0)))))))</f>
        <v/>
      </c>
      <c r="L2338" s="62" t="str">
        <f aca="false">IF(COUNTA($A2338,$F2338,$G2338,$H2338,$I2338,$J2338)=0,"",IF($M2338=0,"✖ كود الصف غير موجود",IF(ISNA(MATCH($F2338,Lists!$A$2:$A$5,0)),"✖ الفترة غير صحيحة",IF(ISNA(MATCH($G2338,Lists!$B$2:$B$7,0)),"✖ المجموعة غير صحيحة",IF(NOT(OR($H2338="",$N2338&gt;0)),"✖ Start غير صحيح",IF(NOT(OR($I2338="",$I2338="NR",$O2338&gt;0)),"✖ Current غير صحيح",IF(NOT(IF(ISNUMBER($J2338),AND($J2338&gt;=0,$J2338=INT($J2338)),FALSE())),"✖ العدد يجب أن يكون صحيحًا ≥ 0",IF(AND($F2338="Baseline",$H2338&lt;&gt;""),"⚠ Baseline: Start لا يدخل في التقدم",IF($K2338="No Start (attainment only)","ℹ تحصيل فقط (بدون Start)",IF($K2338="U – needs rule","ℹ حالة U تحتاج قاعدة معتمدة",IF($K2338="No result","ℹ بدون نتيجة (يُستبعد من التحصيل)","OK")))))))))))</f>
        <v/>
      </c>
      <c r="M2338" s="64" t="n">
        <f aca="false">IF($A2338="",0,IFERROR(MATCH($A2338,Classes!$A$6:$A$420,0),0))</f>
        <v>0</v>
      </c>
      <c r="N2338" s="64" t="n">
        <f aca="false">IF($H2338="",0,IFERROR(MATCH($H2338,GradeList,0),0))</f>
        <v>0</v>
      </c>
      <c r="O2338" s="64" t="n">
        <f aca="false">IF(OR($I2338="",$I2338="NR"),0,IFERROR(MATCH($I2338,GradeList,0),0))</f>
        <v>0</v>
      </c>
      <c r="P2338" s="64" t="n">
        <f aca="false">IF(AND($M2338&gt;0,ISNUMBER(MATCH($F2338,Lists!$A$2:$A$5,0)),ISNUMBER(MATCH($G2338,Lists!$B$2:$B$7,0)),OR($H2338="",$N2338&gt;0),OR($I2338="",$I2338="NR",$O2338&gt;0),IF(ISNUMBER($J2338),AND($J2338&gt;=0,$J2338=INT($J2338)),FALSE())),$J2338,0)</f>
        <v>0</v>
      </c>
      <c r="Q2338" s="64" t="n">
        <f aca="false">IF(AND($P2338&gt;0,$O2338&gt;0),$P2338,0)</f>
        <v>0</v>
      </c>
      <c r="R2338" s="64" t="n">
        <f aca="false">IF(AND($Q2338&gt;0,$O2338&gt;=AtRank),$Q2338,0)</f>
        <v>0</v>
      </c>
      <c r="S2338" s="64" t="n">
        <f aca="false">IF(AND($Q2338&gt;0,$O2338&gt;=AboveRank),$Q2338,0)</f>
        <v>0</v>
      </c>
      <c r="T2338" s="64" t="n">
        <f aca="false">IF($K2338="Less",$P2338,0)</f>
        <v>0</v>
      </c>
      <c r="U2338" s="64" t="n">
        <f aca="false">IF($K2338="Expected",$P2338,0)</f>
        <v>0</v>
      </c>
      <c r="V2338" s="64" t="n">
        <f aca="false">IF($K2338="Better",$P2338,0)</f>
        <v>0</v>
      </c>
      <c r="W2338" s="64" t="n">
        <f aca="false">IF($K2338="U – needs rule",$P2338,0)</f>
        <v>0</v>
      </c>
      <c r="X2338" s="64" t="n">
        <f aca="false">IF($K2338="No Start (attainment only)",$P2338,0)</f>
        <v>0</v>
      </c>
    </row>
    <row r="2339" customFormat="false" ht="15" hidden="false" customHeight="false" outlineLevel="0" collapsed="false">
      <c r="A2339" s="60"/>
      <c r="B2339" s="61" t="str">
        <f aca="false">IF($M2339=0,"",INDEX(Classes!$E$6:$E$420,$M2339))</f>
        <v/>
      </c>
      <c r="C2339" s="62" t="str">
        <f aca="false">IF($M2339=0,"",INDEX(Classes!$H$6:$H$420,$M2339))</f>
        <v/>
      </c>
      <c r="D2339" s="61" t="str">
        <f aca="false">IF($M2339=0,"",INDEX(Classes!$B$6:$B$420,$M2339))</f>
        <v/>
      </c>
      <c r="E2339" s="61" t="str">
        <f aca="false">IF($M2339=0,"",INDEX(Classes!$C$6:$C$420,$M2339))</f>
        <v/>
      </c>
      <c r="F2339" s="63"/>
      <c r="G2339" s="63"/>
      <c r="H2339" s="60"/>
      <c r="I2339" s="60"/>
      <c r="J2339" s="63"/>
      <c r="K2339" s="61" t="str">
        <f aca="false">IF($P2339=0,"",IF($F2339="Baseline","— Baseline",IF($O2339=0,"No result",IF($N2339=0,"No Start (attainment only)",IF(OR($N2339=1,$O2339=1),"U – needs rule",INDEX(MxBody,MATCH($I2339,MxCurr,0),MATCH($H2339,MxStart,0)))))))</f>
        <v/>
      </c>
      <c r="L2339" s="62" t="str">
        <f aca="false">IF(COUNTA($A2339,$F2339,$G2339,$H2339,$I2339,$J2339)=0,"",IF($M2339=0,"✖ كود الصف غير موجود",IF(ISNA(MATCH($F2339,Lists!$A$2:$A$5,0)),"✖ الفترة غير صحيحة",IF(ISNA(MATCH($G2339,Lists!$B$2:$B$7,0)),"✖ المجموعة غير صحيحة",IF(NOT(OR($H2339="",$N2339&gt;0)),"✖ Start غير صحيح",IF(NOT(OR($I2339="",$I2339="NR",$O2339&gt;0)),"✖ Current غير صحيح",IF(NOT(IF(ISNUMBER($J2339),AND($J2339&gt;=0,$J2339=INT($J2339)),FALSE())),"✖ العدد يجب أن يكون صحيحًا ≥ 0",IF(AND($F2339="Baseline",$H2339&lt;&gt;""),"⚠ Baseline: Start لا يدخل في التقدم",IF($K2339="No Start (attainment only)","ℹ تحصيل فقط (بدون Start)",IF($K2339="U – needs rule","ℹ حالة U تحتاج قاعدة معتمدة",IF($K2339="No result","ℹ بدون نتيجة (يُستبعد من التحصيل)","OK")))))))))))</f>
        <v/>
      </c>
      <c r="M2339" s="64" t="n">
        <f aca="false">IF($A2339="",0,IFERROR(MATCH($A2339,Classes!$A$6:$A$420,0),0))</f>
        <v>0</v>
      </c>
      <c r="N2339" s="64" t="n">
        <f aca="false">IF($H2339="",0,IFERROR(MATCH($H2339,GradeList,0),0))</f>
        <v>0</v>
      </c>
      <c r="O2339" s="64" t="n">
        <f aca="false">IF(OR($I2339="",$I2339="NR"),0,IFERROR(MATCH($I2339,GradeList,0),0))</f>
        <v>0</v>
      </c>
      <c r="P2339" s="64" t="n">
        <f aca="false">IF(AND($M2339&gt;0,ISNUMBER(MATCH($F2339,Lists!$A$2:$A$5,0)),ISNUMBER(MATCH($G2339,Lists!$B$2:$B$7,0)),OR($H2339="",$N2339&gt;0),OR($I2339="",$I2339="NR",$O2339&gt;0),IF(ISNUMBER($J2339),AND($J2339&gt;=0,$J2339=INT($J2339)),FALSE())),$J2339,0)</f>
        <v>0</v>
      </c>
      <c r="Q2339" s="64" t="n">
        <f aca="false">IF(AND($P2339&gt;0,$O2339&gt;0),$P2339,0)</f>
        <v>0</v>
      </c>
      <c r="R2339" s="64" t="n">
        <f aca="false">IF(AND($Q2339&gt;0,$O2339&gt;=AtRank),$Q2339,0)</f>
        <v>0</v>
      </c>
      <c r="S2339" s="64" t="n">
        <f aca="false">IF(AND($Q2339&gt;0,$O2339&gt;=AboveRank),$Q2339,0)</f>
        <v>0</v>
      </c>
      <c r="T2339" s="64" t="n">
        <f aca="false">IF($K2339="Less",$P2339,0)</f>
        <v>0</v>
      </c>
      <c r="U2339" s="64" t="n">
        <f aca="false">IF($K2339="Expected",$P2339,0)</f>
        <v>0</v>
      </c>
      <c r="V2339" s="64" t="n">
        <f aca="false">IF($K2339="Better",$P2339,0)</f>
        <v>0</v>
      </c>
      <c r="W2339" s="64" t="n">
        <f aca="false">IF($K2339="U – needs rule",$P2339,0)</f>
        <v>0</v>
      </c>
      <c r="X2339" s="64" t="n">
        <f aca="false">IF($K2339="No Start (attainment only)",$P2339,0)</f>
        <v>0</v>
      </c>
    </row>
    <row r="2340" customFormat="false" ht="15" hidden="false" customHeight="false" outlineLevel="0" collapsed="false">
      <c r="A2340" s="60"/>
      <c r="B2340" s="61" t="str">
        <f aca="false">IF($M2340=0,"",INDEX(Classes!$E$6:$E$420,$M2340))</f>
        <v/>
      </c>
      <c r="C2340" s="62" t="str">
        <f aca="false">IF($M2340=0,"",INDEX(Classes!$H$6:$H$420,$M2340))</f>
        <v/>
      </c>
      <c r="D2340" s="61" t="str">
        <f aca="false">IF($M2340=0,"",INDEX(Classes!$B$6:$B$420,$M2340))</f>
        <v/>
      </c>
      <c r="E2340" s="61" t="str">
        <f aca="false">IF($M2340=0,"",INDEX(Classes!$C$6:$C$420,$M2340))</f>
        <v/>
      </c>
      <c r="F2340" s="63"/>
      <c r="G2340" s="63"/>
      <c r="H2340" s="60"/>
      <c r="I2340" s="60"/>
      <c r="J2340" s="63"/>
      <c r="K2340" s="61" t="str">
        <f aca="false">IF($P2340=0,"",IF($F2340="Baseline","— Baseline",IF($O2340=0,"No result",IF($N2340=0,"No Start (attainment only)",IF(OR($N2340=1,$O2340=1),"U – needs rule",INDEX(MxBody,MATCH($I2340,MxCurr,0),MATCH($H2340,MxStart,0)))))))</f>
        <v/>
      </c>
      <c r="L2340" s="62" t="str">
        <f aca="false">IF(COUNTA($A2340,$F2340,$G2340,$H2340,$I2340,$J2340)=0,"",IF($M2340=0,"✖ كود الصف غير موجود",IF(ISNA(MATCH($F2340,Lists!$A$2:$A$5,0)),"✖ الفترة غير صحيحة",IF(ISNA(MATCH($G2340,Lists!$B$2:$B$7,0)),"✖ المجموعة غير صحيحة",IF(NOT(OR($H2340="",$N2340&gt;0)),"✖ Start غير صحيح",IF(NOT(OR($I2340="",$I2340="NR",$O2340&gt;0)),"✖ Current غير صحيح",IF(NOT(IF(ISNUMBER($J2340),AND($J2340&gt;=0,$J2340=INT($J2340)),FALSE())),"✖ العدد يجب أن يكون صحيحًا ≥ 0",IF(AND($F2340="Baseline",$H2340&lt;&gt;""),"⚠ Baseline: Start لا يدخل في التقدم",IF($K2340="No Start (attainment only)","ℹ تحصيل فقط (بدون Start)",IF($K2340="U – needs rule","ℹ حالة U تحتاج قاعدة معتمدة",IF($K2340="No result","ℹ بدون نتيجة (يُستبعد من التحصيل)","OK")))))))))))</f>
        <v/>
      </c>
      <c r="M2340" s="64" t="n">
        <f aca="false">IF($A2340="",0,IFERROR(MATCH($A2340,Classes!$A$6:$A$420,0),0))</f>
        <v>0</v>
      </c>
      <c r="N2340" s="64" t="n">
        <f aca="false">IF($H2340="",0,IFERROR(MATCH($H2340,GradeList,0),0))</f>
        <v>0</v>
      </c>
      <c r="O2340" s="64" t="n">
        <f aca="false">IF(OR($I2340="",$I2340="NR"),0,IFERROR(MATCH($I2340,GradeList,0),0))</f>
        <v>0</v>
      </c>
      <c r="P2340" s="64" t="n">
        <f aca="false">IF(AND($M2340&gt;0,ISNUMBER(MATCH($F2340,Lists!$A$2:$A$5,0)),ISNUMBER(MATCH($G2340,Lists!$B$2:$B$7,0)),OR($H2340="",$N2340&gt;0),OR($I2340="",$I2340="NR",$O2340&gt;0),IF(ISNUMBER($J2340),AND($J2340&gt;=0,$J2340=INT($J2340)),FALSE())),$J2340,0)</f>
        <v>0</v>
      </c>
      <c r="Q2340" s="64" t="n">
        <f aca="false">IF(AND($P2340&gt;0,$O2340&gt;0),$P2340,0)</f>
        <v>0</v>
      </c>
      <c r="R2340" s="64" t="n">
        <f aca="false">IF(AND($Q2340&gt;0,$O2340&gt;=AtRank),$Q2340,0)</f>
        <v>0</v>
      </c>
      <c r="S2340" s="64" t="n">
        <f aca="false">IF(AND($Q2340&gt;0,$O2340&gt;=AboveRank),$Q2340,0)</f>
        <v>0</v>
      </c>
      <c r="T2340" s="64" t="n">
        <f aca="false">IF($K2340="Less",$P2340,0)</f>
        <v>0</v>
      </c>
      <c r="U2340" s="64" t="n">
        <f aca="false">IF($K2340="Expected",$P2340,0)</f>
        <v>0</v>
      </c>
      <c r="V2340" s="64" t="n">
        <f aca="false">IF($K2340="Better",$P2340,0)</f>
        <v>0</v>
      </c>
      <c r="W2340" s="64" t="n">
        <f aca="false">IF($K2340="U – needs rule",$P2340,0)</f>
        <v>0</v>
      </c>
      <c r="X2340" s="64" t="n">
        <f aca="false">IF($K2340="No Start (attainment only)",$P2340,0)</f>
        <v>0</v>
      </c>
    </row>
    <row r="2341" customFormat="false" ht="15" hidden="false" customHeight="false" outlineLevel="0" collapsed="false">
      <c r="A2341" s="60"/>
      <c r="B2341" s="61" t="str">
        <f aca="false">IF($M2341=0,"",INDEX(Classes!$E$6:$E$420,$M2341))</f>
        <v/>
      </c>
      <c r="C2341" s="62" t="str">
        <f aca="false">IF($M2341=0,"",INDEX(Classes!$H$6:$H$420,$M2341))</f>
        <v/>
      </c>
      <c r="D2341" s="61" t="str">
        <f aca="false">IF($M2341=0,"",INDEX(Classes!$B$6:$B$420,$M2341))</f>
        <v/>
      </c>
      <c r="E2341" s="61" t="str">
        <f aca="false">IF($M2341=0,"",INDEX(Classes!$C$6:$C$420,$M2341))</f>
        <v/>
      </c>
      <c r="F2341" s="63"/>
      <c r="G2341" s="63"/>
      <c r="H2341" s="60"/>
      <c r="I2341" s="60"/>
      <c r="J2341" s="63"/>
      <c r="K2341" s="61" t="str">
        <f aca="false">IF($P2341=0,"",IF($F2341="Baseline","— Baseline",IF($O2341=0,"No result",IF($N2341=0,"No Start (attainment only)",IF(OR($N2341=1,$O2341=1),"U – needs rule",INDEX(MxBody,MATCH($I2341,MxCurr,0),MATCH($H2341,MxStart,0)))))))</f>
        <v/>
      </c>
      <c r="L2341" s="62" t="str">
        <f aca="false">IF(COUNTA($A2341,$F2341,$G2341,$H2341,$I2341,$J2341)=0,"",IF($M2341=0,"✖ كود الصف غير موجود",IF(ISNA(MATCH($F2341,Lists!$A$2:$A$5,0)),"✖ الفترة غير صحيحة",IF(ISNA(MATCH($G2341,Lists!$B$2:$B$7,0)),"✖ المجموعة غير صحيحة",IF(NOT(OR($H2341="",$N2341&gt;0)),"✖ Start غير صحيح",IF(NOT(OR($I2341="",$I2341="NR",$O2341&gt;0)),"✖ Current غير صحيح",IF(NOT(IF(ISNUMBER($J2341),AND($J2341&gt;=0,$J2341=INT($J2341)),FALSE())),"✖ العدد يجب أن يكون صحيحًا ≥ 0",IF(AND($F2341="Baseline",$H2341&lt;&gt;""),"⚠ Baseline: Start لا يدخل في التقدم",IF($K2341="No Start (attainment only)","ℹ تحصيل فقط (بدون Start)",IF($K2341="U – needs rule","ℹ حالة U تحتاج قاعدة معتمدة",IF($K2341="No result","ℹ بدون نتيجة (يُستبعد من التحصيل)","OK")))))))))))</f>
        <v/>
      </c>
      <c r="M2341" s="64" t="n">
        <f aca="false">IF($A2341="",0,IFERROR(MATCH($A2341,Classes!$A$6:$A$420,0),0))</f>
        <v>0</v>
      </c>
      <c r="N2341" s="64" t="n">
        <f aca="false">IF($H2341="",0,IFERROR(MATCH($H2341,GradeList,0),0))</f>
        <v>0</v>
      </c>
      <c r="O2341" s="64" t="n">
        <f aca="false">IF(OR($I2341="",$I2341="NR"),0,IFERROR(MATCH($I2341,GradeList,0),0))</f>
        <v>0</v>
      </c>
      <c r="P2341" s="64" t="n">
        <f aca="false">IF(AND($M2341&gt;0,ISNUMBER(MATCH($F2341,Lists!$A$2:$A$5,0)),ISNUMBER(MATCH($G2341,Lists!$B$2:$B$7,0)),OR($H2341="",$N2341&gt;0),OR($I2341="",$I2341="NR",$O2341&gt;0),IF(ISNUMBER($J2341),AND($J2341&gt;=0,$J2341=INT($J2341)),FALSE())),$J2341,0)</f>
        <v>0</v>
      </c>
      <c r="Q2341" s="64" t="n">
        <f aca="false">IF(AND($P2341&gt;0,$O2341&gt;0),$P2341,0)</f>
        <v>0</v>
      </c>
      <c r="R2341" s="64" t="n">
        <f aca="false">IF(AND($Q2341&gt;0,$O2341&gt;=AtRank),$Q2341,0)</f>
        <v>0</v>
      </c>
      <c r="S2341" s="64" t="n">
        <f aca="false">IF(AND($Q2341&gt;0,$O2341&gt;=AboveRank),$Q2341,0)</f>
        <v>0</v>
      </c>
      <c r="T2341" s="64" t="n">
        <f aca="false">IF($K2341="Less",$P2341,0)</f>
        <v>0</v>
      </c>
      <c r="U2341" s="64" t="n">
        <f aca="false">IF($K2341="Expected",$P2341,0)</f>
        <v>0</v>
      </c>
      <c r="V2341" s="64" t="n">
        <f aca="false">IF($K2341="Better",$P2341,0)</f>
        <v>0</v>
      </c>
      <c r="W2341" s="64" t="n">
        <f aca="false">IF($K2341="U – needs rule",$P2341,0)</f>
        <v>0</v>
      </c>
      <c r="X2341" s="64" t="n">
        <f aca="false">IF($K2341="No Start (attainment only)",$P2341,0)</f>
        <v>0</v>
      </c>
    </row>
    <row r="2342" customFormat="false" ht="15" hidden="false" customHeight="false" outlineLevel="0" collapsed="false">
      <c r="A2342" s="60"/>
      <c r="B2342" s="61" t="str">
        <f aca="false">IF($M2342=0,"",INDEX(Classes!$E$6:$E$420,$M2342))</f>
        <v/>
      </c>
      <c r="C2342" s="62" t="str">
        <f aca="false">IF($M2342=0,"",INDEX(Classes!$H$6:$H$420,$M2342))</f>
        <v/>
      </c>
      <c r="D2342" s="61" t="str">
        <f aca="false">IF($M2342=0,"",INDEX(Classes!$B$6:$B$420,$M2342))</f>
        <v/>
      </c>
      <c r="E2342" s="61" t="str">
        <f aca="false">IF($M2342=0,"",INDEX(Classes!$C$6:$C$420,$M2342))</f>
        <v/>
      </c>
      <c r="F2342" s="63"/>
      <c r="G2342" s="63"/>
      <c r="H2342" s="60"/>
      <c r="I2342" s="60"/>
      <c r="J2342" s="63"/>
      <c r="K2342" s="61" t="str">
        <f aca="false">IF($P2342=0,"",IF($F2342="Baseline","— Baseline",IF($O2342=0,"No result",IF($N2342=0,"No Start (attainment only)",IF(OR($N2342=1,$O2342=1),"U – needs rule",INDEX(MxBody,MATCH($I2342,MxCurr,0),MATCH($H2342,MxStart,0)))))))</f>
        <v/>
      </c>
      <c r="L2342" s="62" t="str">
        <f aca="false">IF(COUNTA($A2342,$F2342,$G2342,$H2342,$I2342,$J2342)=0,"",IF($M2342=0,"✖ كود الصف غير موجود",IF(ISNA(MATCH($F2342,Lists!$A$2:$A$5,0)),"✖ الفترة غير صحيحة",IF(ISNA(MATCH($G2342,Lists!$B$2:$B$7,0)),"✖ المجموعة غير صحيحة",IF(NOT(OR($H2342="",$N2342&gt;0)),"✖ Start غير صحيح",IF(NOT(OR($I2342="",$I2342="NR",$O2342&gt;0)),"✖ Current غير صحيح",IF(NOT(IF(ISNUMBER($J2342),AND($J2342&gt;=0,$J2342=INT($J2342)),FALSE())),"✖ العدد يجب أن يكون صحيحًا ≥ 0",IF(AND($F2342="Baseline",$H2342&lt;&gt;""),"⚠ Baseline: Start لا يدخل في التقدم",IF($K2342="No Start (attainment only)","ℹ تحصيل فقط (بدون Start)",IF($K2342="U – needs rule","ℹ حالة U تحتاج قاعدة معتمدة",IF($K2342="No result","ℹ بدون نتيجة (يُستبعد من التحصيل)","OK")))))))))))</f>
        <v/>
      </c>
      <c r="M2342" s="64" t="n">
        <f aca="false">IF($A2342="",0,IFERROR(MATCH($A2342,Classes!$A$6:$A$420,0),0))</f>
        <v>0</v>
      </c>
      <c r="N2342" s="64" t="n">
        <f aca="false">IF($H2342="",0,IFERROR(MATCH($H2342,GradeList,0),0))</f>
        <v>0</v>
      </c>
      <c r="O2342" s="64" t="n">
        <f aca="false">IF(OR($I2342="",$I2342="NR"),0,IFERROR(MATCH($I2342,GradeList,0),0))</f>
        <v>0</v>
      </c>
      <c r="P2342" s="64" t="n">
        <f aca="false">IF(AND($M2342&gt;0,ISNUMBER(MATCH($F2342,Lists!$A$2:$A$5,0)),ISNUMBER(MATCH($G2342,Lists!$B$2:$B$7,0)),OR($H2342="",$N2342&gt;0),OR($I2342="",$I2342="NR",$O2342&gt;0),IF(ISNUMBER($J2342),AND($J2342&gt;=0,$J2342=INT($J2342)),FALSE())),$J2342,0)</f>
        <v>0</v>
      </c>
      <c r="Q2342" s="64" t="n">
        <f aca="false">IF(AND($P2342&gt;0,$O2342&gt;0),$P2342,0)</f>
        <v>0</v>
      </c>
      <c r="R2342" s="64" t="n">
        <f aca="false">IF(AND($Q2342&gt;0,$O2342&gt;=AtRank),$Q2342,0)</f>
        <v>0</v>
      </c>
      <c r="S2342" s="64" t="n">
        <f aca="false">IF(AND($Q2342&gt;0,$O2342&gt;=AboveRank),$Q2342,0)</f>
        <v>0</v>
      </c>
      <c r="T2342" s="64" t="n">
        <f aca="false">IF($K2342="Less",$P2342,0)</f>
        <v>0</v>
      </c>
      <c r="U2342" s="64" t="n">
        <f aca="false">IF($K2342="Expected",$P2342,0)</f>
        <v>0</v>
      </c>
      <c r="V2342" s="64" t="n">
        <f aca="false">IF($K2342="Better",$P2342,0)</f>
        <v>0</v>
      </c>
      <c r="W2342" s="64" t="n">
        <f aca="false">IF($K2342="U – needs rule",$P2342,0)</f>
        <v>0</v>
      </c>
      <c r="X2342" s="64" t="n">
        <f aca="false">IF($K2342="No Start (attainment only)",$P2342,0)</f>
        <v>0</v>
      </c>
    </row>
    <row r="2343" customFormat="false" ht="15" hidden="false" customHeight="false" outlineLevel="0" collapsed="false">
      <c r="A2343" s="60"/>
      <c r="B2343" s="61" t="str">
        <f aca="false">IF($M2343=0,"",INDEX(Classes!$E$6:$E$420,$M2343))</f>
        <v/>
      </c>
      <c r="C2343" s="62" t="str">
        <f aca="false">IF($M2343=0,"",INDEX(Classes!$H$6:$H$420,$M2343))</f>
        <v/>
      </c>
      <c r="D2343" s="61" t="str">
        <f aca="false">IF($M2343=0,"",INDEX(Classes!$B$6:$B$420,$M2343))</f>
        <v/>
      </c>
      <c r="E2343" s="61" t="str">
        <f aca="false">IF($M2343=0,"",INDEX(Classes!$C$6:$C$420,$M2343))</f>
        <v/>
      </c>
      <c r="F2343" s="63"/>
      <c r="G2343" s="63"/>
      <c r="H2343" s="60"/>
      <c r="I2343" s="60"/>
      <c r="J2343" s="63"/>
      <c r="K2343" s="61" t="str">
        <f aca="false">IF($P2343=0,"",IF($F2343="Baseline","— Baseline",IF($O2343=0,"No result",IF($N2343=0,"No Start (attainment only)",IF(OR($N2343=1,$O2343=1),"U – needs rule",INDEX(MxBody,MATCH($I2343,MxCurr,0),MATCH($H2343,MxStart,0)))))))</f>
        <v/>
      </c>
      <c r="L2343" s="62" t="str">
        <f aca="false">IF(COUNTA($A2343,$F2343,$G2343,$H2343,$I2343,$J2343)=0,"",IF($M2343=0,"✖ كود الصف غير موجود",IF(ISNA(MATCH($F2343,Lists!$A$2:$A$5,0)),"✖ الفترة غير صحيحة",IF(ISNA(MATCH($G2343,Lists!$B$2:$B$7,0)),"✖ المجموعة غير صحيحة",IF(NOT(OR($H2343="",$N2343&gt;0)),"✖ Start غير صحيح",IF(NOT(OR($I2343="",$I2343="NR",$O2343&gt;0)),"✖ Current غير صحيح",IF(NOT(IF(ISNUMBER($J2343),AND($J2343&gt;=0,$J2343=INT($J2343)),FALSE())),"✖ العدد يجب أن يكون صحيحًا ≥ 0",IF(AND($F2343="Baseline",$H2343&lt;&gt;""),"⚠ Baseline: Start لا يدخل في التقدم",IF($K2343="No Start (attainment only)","ℹ تحصيل فقط (بدون Start)",IF($K2343="U – needs rule","ℹ حالة U تحتاج قاعدة معتمدة",IF($K2343="No result","ℹ بدون نتيجة (يُستبعد من التحصيل)","OK")))))))))))</f>
        <v/>
      </c>
      <c r="M2343" s="64" t="n">
        <f aca="false">IF($A2343="",0,IFERROR(MATCH($A2343,Classes!$A$6:$A$420,0),0))</f>
        <v>0</v>
      </c>
      <c r="N2343" s="64" t="n">
        <f aca="false">IF($H2343="",0,IFERROR(MATCH($H2343,GradeList,0),0))</f>
        <v>0</v>
      </c>
      <c r="O2343" s="64" t="n">
        <f aca="false">IF(OR($I2343="",$I2343="NR"),0,IFERROR(MATCH($I2343,GradeList,0),0))</f>
        <v>0</v>
      </c>
      <c r="P2343" s="64" t="n">
        <f aca="false">IF(AND($M2343&gt;0,ISNUMBER(MATCH($F2343,Lists!$A$2:$A$5,0)),ISNUMBER(MATCH($G2343,Lists!$B$2:$B$7,0)),OR($H2343="",$N2343&gt;0),OR($I2343="",$I2343="NR",$O2343&gt;0),IF(ISNUMBER($J2343),AND($J2343&gt;=0,$J2343=INT($J2343)),FALSE())),$J2343,0)</f>
        <v>0</v>
      </c>
      <c r="Q2343" s="64" t="n">
        <f aca="false">IF(AND($P2343&gt;0,$O2343&gt;0),$P2343,0)</f>
        <v>0</v>
      </c>
      <c r="R2343" s="64" t="n">
        <f aca="false">IF(AND($Q2343&gt;0,$O2343&gt;=AtRank),$Q2343,0)</f>
        <v>0</v>
      </c>
      <c r="S2343" s="64" t="n">
        <f aca="false">IF(AND($Q2343&gt;0,$O2343&gt;=AboveRank),$Q2343,0)</f>
        <v>0</v>
      </c>
      <c r="T2343" s="64" t="n">
        <f aca="false">IF($K2343="Less",$P2343,0)</f>
        <v>0</v>
      </c>
      <c r="U2343" s="64" t="n">
        <f aca="false">IF($K2343="Expected",$P2343,0)</f>
        <v>0</v>
      </c>
      <c r="V2343" s="64" t="n">
        <f aca="false">IF($K2343="Better",$P2343,0)</f>
        <v>0</v>
      </c>
      <c r="W2343" s="64" t="n">
        <f aca="false">IF($K2343="U – needs rule",$P2343,0)</f>
        <v>0</v>
      </c>
      <c r="X2343" s="64" t="n">
        <f aca="false">IF($K2343="No Start (attainment only)",$P2343,0)</f>
        <v>0</v>
      </c>
    </row>
    <row r="2344" customFormat="false" ht="15" hidden="false" customHeight="false" outlineLevel="0" collapsed="false">
      <c r="A2344" s="60"/>
      <c r="B2344" s="61" t="str">
        <f aca="false">IF($M2344=0,"",INDEX(Classes!$E$6:$E$420,$M2344))</f>
        <v/>
      </c>
      <c r="C2344" s="62" t="str">
        <f aca="false">IF($M2344=0,"",INDEX(Classes!$H$6:$H$420,$M2344))</f>
        <v/>
      </c>
      <c r="D2344" s="61" t="str">
        <f aca="false">IF($M2344=0,"",INDEX(Classes!$B$6:$B$420,$M2344))</f>
        <v/>
      </c>
      <c r="E2344" s="61" t="str">
        <f aca="false">IF($M2344=0,"",INDEX(Classes!$C$6:$C$420,$M2344))</f>
        <v/>
      </c>
      <c r="F2344" s="63"/>
      <c r="G2344" s="63"/>
      <c r="H2344" s="60"/>
      <c r="I2344" s="60"/>
      <c r="J2344" s="63"/>
      <c r="K2344" s="61" t="str">
        <f aca="false">IF($P2344=0,"",IF($F2344="Baseline","— Baseline",IF($O2344=0,"No result",IF($N2344=0,"No Start (attainment only)",IF(OR($N2344=1,$O2344=1),"U – needs rule",INDEX(MxBody,MATCH($I2344,MxCurr,0),MATCH($H2344,MxStart,0)))))))</f>
        <v/>
      </c>
      <c r="L2344" s="62" t="str">
        <f aca="false">IF(COUNTA($A2344,$F2344,$G2344,$H2344,$I2344,$J2344)=0,"",IF($M2344=0,"✖ كود الصف غير موجود",IF(ISNA(MATCH($F2344,Lists!$A$2:$A$5,0)),"✖ الفترة غير صحيحة",IF(ISNA(MATCH($G2344,Lists!$B$2:$B$7,0)),"✖ المجموعة غير صحيحة",IF(NOT(OR($H2344="",$N2344&gt;0)),"✖ Start غير صحيح",IF(NOT(OR($I2344="",$I2344="NR",$O2344&gt;0)),"✖ Current غير صحيح",IF(NOT(IF(ISNUMBER($J2344),AND($J2344&gt;=0,$J2344=INT($J2344)),FALSE())),"✖ العدد يجب أن يكون صحيحًا ≥ 0",IF(AND($F2344="Baseline",$H2344&lt;&gt;""),"⚠ Baseline: Start لا يدخل في التقدم",IF($K2344="No Start (attainment only)","ℹ تحصيل فقط (بدون Start)",IF($K2344="U – needs rule","ℹ حالة U تحتاج قاعدة معتمدة",IF($K2344="No result","ℹ بدون نتيجة (يُستبعد من التحصيل)","OK")))))))))))</f>
        <v/>
      </c>
      <c r="M2344" s="64" t="n">
        <f aca="false">IF($A2344="",0,IFERROR(MATCH($A2344,Classes!$A$6:$A$420,0),0))</f>
        <v>0</v>
      </c>
      <c r="N2344" s="64" t="n">
        <f aca="false">IF($H2344="",0,IFERROR(MATCH($H2344,GradeList,0),0))</f>
        <v>0</v>
      </c>
      <c r="O2344" s="64" t="n">
        <f aca="false">IF(OR($I2344="",$I2344="NR"),0,IFERROR(MATCH($I2344,GradeList,0),0))</f>
        <v>0</v>
      </c>
      <c r="P2344" s="64" t="n">
        <f aca="false">IF(AND($M2344&gt;0,ISNUMBER(MATCH($F2344,Lists!$A$2:$A$5,0)),ISNUMBER(MATCH($G2344,Lists!$B$2:$B$7,0)),OR($H2344="",$N2344&gt;0),OR($I2344="",$I2344="NR",$O2344&gt;0),IF(ISNUMBER($J2344),AND($J2344&gt;=0,$J2344=INT($J2344)),FALSE())),$J2344,0)</f>
        <v>0</v>
      </c>
      <c r="Q2344" s="64" t="n">
        <f aca="false">IF(AND($P2344&gt;0,$O2344&gt;0),$P2344,0)</f>
        <v>0</v>
      </c>
      <c r="R2344" s="64" t="n">
        <f aca="false">IF(AND($Q2344&gt;0,$O2344&gt;=AtRank),$Q2344,0)</f>
        <v>0</v>
      </c>
      <c r="S2344" s="64" t="n">
        <f aca="false">IF(AND($Q2344&gt;0,$O2344&gt;=AboveRank),$Q2344,0)</f>
        <v>0</v>
      </c>
      <c r="T2344" s="64" t="n">
        <f aca="false">IF($K2344="Less",$P2344,0)</f>
        <v>0</v>
      </c>
      <c r="U2344" s="64" t="n">
        <f aca="false">IF($K2344="Expected",$P2344,0)</f>
        <v>0</v>
      </c>
      <c r="V2344" s="64" t="n">
        <f aca="false">IF($K2344="Better",$P2344,0)</f>
        <v>0</v>
      </c>
      <c r="W2344" s="64" t="n">
        <f aca="false">IF($K2344="U – needs rule",$P2344,0)</f>
        <v>0</v>
      </c>
      <c r="X2344" s="64" t="n">
        <f aca="false">IF($K2344="No Start (attainment only)",$P2344,0)</f>
        <v>0</v>
      </c>
    </row>
    <row r="2345" customFormat="false" ht="15" hidden="false" customHeight="false" outlineLevel="0" collapsed="false">
      <c r="A2345" s="60"/>
      <c r="B2345" s="61" t="str">
        <f aca="false">IF($M2345=0,"",INDEX(Classes!$E$6:$E$420,$M2345))</f>
        <v/>
      </c>
      <c r="C2345" s="62" t="str">
        <f aca="false">IF($M2345=0,"",INDEX(Classes!$H$6:$H$420,$M2345))</f>
        <v/>
      </c>
      <c r="D2345" s="61" t="str">
        <f aca="false">IF($M2345=0,"",INDEX(Classes!$B$6:$B$420,$M2345))</f>
        <v/>
      </c>
      <c r="E2345" s="61" t="str">
        <f aca="false">IF($M2345=0,"",INDEX(Classes!$C$6:$C$420,$M2345))</f>
        <v/>
      </c>
      <c r="F2345" s="63"/>
      <c r="G2345" s="63"/>
      <c r="H2345" s="60"/>
      <c r="I2345" s="60"/>
      <c r="J2345" s="63"/>
      <c r="K2345" s="61" t="str">
        <f aca="false">IF($P2345=0,"",IF($F2345="Baseline","— Baseline",IF($O2345=0,"No result",IF($N2345=0,"No Start (attainment only)",IF(OR($N2345=1,$O2345=1),"U – needs rule",INDEX(MxBody,MATCH($I2345,MxCurr,0),MATCH($H2345,MxStart,0)))))))</f>
        <v/>
      </c>
      <c r="L2345" s="62" t="str">
        <f aca="false">IF(COUNTA($A2345,$F2345,$G2345,$H2345,$I2345,$J2345)=0,"",IF($M2345=0,"✖ كود الصف غير موجود",IF(ISNA(MATCH($F2345,Lists!$A$2:$A$5,0)),"✖ الفترة غير صحيحة",IF(ISNA(MATCH($G2345,Lists!$B$2:$B$7,0)),"✖ المجموعة غير صحيحة",IF(NOT(OR($H2345="",$N2345&gt;0)),"✖ Start غير صحيح",IF(NOT(OR($I2345="",$I2345="NR",$O2345&gt;0)),"✖ Current غير صحيح",IF(NOT(IF(ISNUMBER($J2345),AND($J2345&gt;=0,$J2345=INT($J2345)),FALSE())),"✖ العدد يجب أن يكون صحيحًا ≥ 0",IF(AND($F2345="Baseline",$H2345&lt;&gt;""),"⚠ Baseline: Start لا يدخل في التقدم",IF($K2345="No Start (attainment only)","ℹ تحصيل فقط (بدون Start)",IF($K2345="U – needs rule","ℹ حالة U تحتاج قاعدة معتمدة",IF($K2345="No result","ℹ بدون نتيجة (يُستبعد من التحصيل)","OK")))))))))))</f>
        <v/>
      </c>
      <c r="M2345" s="64" t="n">
        <f aca="false">IF($A2345="",0,IFERROR(MATCH($A2345,Classes!$A$6:$A$420,0),0))</f>
        <v>0</v>
      </c>
      <c r="N2345" s="64" t="n">
        <f aca="false">IF($H2345="",0,IFERROR(MATCH($H2345,GradeList,0),0))</f>
        <v>0</v>
      </c>
      <c r="O2345" s="64" t="n">
        <f aca="false">IF(OR($I2345="",$I2345="NR"),0,IFERROR(MATCH($I2345,GradeList,0),0))</f>
        <v>0</v>
      </c>
      <c r="P2345" s="64" t="n">
        <f aca="false">IF(AND($M2345&gt;0,ISNUMBER(MATCH($F2345,Lists!$A$2:$A$5,0)),ISNUMBER(MATCH($G2345,Lists!$B$2:$B$7,0)),OR($H2345="",$N2345&gt;0),OR($I2345="",$I2345="NR",$O2345&gt;0),IF(ISNUMBER($J2345),AND($J2345&gt;=0,$J2345=INT($J2345)),FALSE())),$J2345,0)</f>
        <v>0</v>
      </c>
      <c r="Q2345" s="64" t="n">
        <f aca="false">IF(AND($P2345&gt;0,$O2345&gt;0),$P2345,0)</f>
        <v>0</v>
      </c>
      <c r="R2345" s="64" t="n">
        <f aca="false">IF(AND($Q2345&gt;0,$O2345&gt;=AtRank),$Q2345,0)</f>
        <v>0</v>
      </c>
      <c r="S2345" s="64" t="n">
        <f aca="false">IF(AND($Q2345&gt;0,$O2345&gt;=AboveRank),$Q2345,0)</f>
        <v>0</v>
      </c>
      <c r="T2345" s="64" t="n">
        <f aca="false">IF($K2345="Less",$P2345,0)</f>
        <v>0</v>
      </c>
      <c r="U2345" s="64" t="n">
        <f aca="false">IF($K2345="Expected",$P2345,0)</f>
        <v>0</v>
      </c>
      <c r="V2345" s="64" t="n">
        <f aca="false">IF($K2345="Better",$P2345,0)</f>
        <v>0</v>
      </c>
      <c r="W2345" s="64" t="n">
        <f aca="false">IF($K2345="U – needs rule",$P2345,0)</f>
        <v>0</v>
      </c>
      <c r="X2345" s="64" t="n">
        <f aca="false">IF($K2345="No Start (attainment only)",$P2345,0)</f>
        <v>0</v>
      </c>
    </row>
    <row r="2346" customFormat="false" ht="15" hidden="false" customHeight="false" outlineLevel="0" collapsed="false">
      <c r="A2346" s="60"/>
      <c r="B2346" s="61" t="str">
        <f aca="false">IF($M2346=0,"",INDEX(Classes!$E$6:$E$420,$M2346))</f>
        <v/>
      </c>
      <c r="C2346" s="62" t="str">
        <f aca="false">IF($M2346=0,"",INDEX(Classes!$H$6:$H$420,$M2346))</f>
        <v/>
      </c>
      <c r="D2346" s="61" t="str">
        <f aca="false">IF($M2346=0,"",INDEX(Classes!$B$6:$B$420,$M2346))</f>
        <v/>
      </c>
      <c r="E2346" s="61" t="str">
        <f aca="false">IF($M2346=0,"",INDEX(Classes!$C$6:$C$420,$M2346))</f>
        <v/>
      </c>
      <c r="F2346" s="63"/>
      <c r="G2346" s="63"/>
      <c r="H2346" s="60"/>
      <c r="I2346" s="60"/>
      <c r="J2346" s="63"/>
      <c r="K2346" s="61" t="str">
        <f aca="false">IF($P2346=0,"",IF($F2346="Baseline","— Baseline",IF($O2346=0,"No result",IF($N2346=0,"No Start (attainment only)",IF(OR($N2346=1,$O2346=1),"U – needs rule",INDEX(MxBody,MATCH($I2346,MxCurr,0),MATCH($H2346,MxStart,0)))))))</f>
        <v/>
      </c>
      <c r="L2346" s="62" t="str">
        <f aca="false">IF(COUNTA($A2346,$F2346,$G2346,$H2346,$I2346,$J2346)=0,"",IF($M2346=0,"✖ كود الصف غير موجود",IF(ISNA(MATCH($F2346,Lists!$A$2:$A$5,0)),"✖ الفترة غير صحيحة",IF(ISNA(MATCH($G2346,Lists!$B$2:$B$7,0)),"✖ المجموعة غير صحيحة",IF(NOT(OR($H2346="",$N2346&gt;0)),"✖ Start غير صحيح",IF(NOT(OR($I2346="",$I2346="NR",$O2346&gt;0)),"✖ Current غير صحيح",IF(NOT(IF(ISNUMBER($J2346),AND($J2346&gt;=0,$J2346=INT($J2346)),FALSE())),"✖ العدد يجب أن يكون صحيحًا ≥ 0",IF(AND($F2346="Baseline",$H2346&lt;&gt;""),"⚠ Baseline: Start لا يدخل في التقدم",IF($K2346="No Start (attainment only)","ℹ تحصيل فقط (بدون Start)",IF($K2346="U – needs rule","ℹ حالة U تحتاج قاعدة معتمدة",IF($K2346="No result","ℹ بدون نتيجة (يُستبعد من التحصيل)","OK")))))))))))</f>
        <v/>
      </c>
      <c r="M2346" s="64" t="n">
        <f aca="false">IF($A2346="",0,IFERROR(MATCH($A2346,Classes!$A$6:$A$420,0),0))</f>
        <v>0</v>
      </c>
      <c r="N2346" s="64" t="n">
        <f aca="false">IF($H2346="",0,IFERROR(MATCH($H2346,GradeList,0),0))</f>
        <v>0</v>
      </c>
      <c r="O2346" s="64" t="n">
        <f aca="false">IF(OR($I2346="",$I2346="NR"),0,IFERROR(MATCH($I2346,GradeList,0),0))</f>
        <v>0</v>
      </c>
      <c r="P2346" s="64" t="n">
        <f aca="false">IF(AND($M2346&gt;0,ISNUMBER(MATCH($F2346,Lists!$A$2:$A$5,0)),ISNUMBER(MATCH($G2346,Lists!$B$2:$B$7,0)),OR($H2346="",$N2346&gt;0),OR($I2346="",$I2346="NR",$O2346&gt;0),IF(ISNUMBER($J2346),AND($J2346&gt;=0,$J2346=INT($J2346)),FALSE())),$J2346,0)</f>
        <v>0</v>
      </c>
      <c r="Q2346" s="64" t="n">
        <f aca="false">IF(AND($P2346&gt;0,$O2346&gt;0),$P2346,0)</f>
        <v>0</v>
      </c>
      <c r="R2346" s="64" t="n">
        <f aca="false">IF(AND($Q2346&gt;0,$O2346&gt;=AtRank),$Q2346,0)</f>
        <v>0</v>
      </c>
      <c r="S2346" s="64" t="n">
        <f aca="false">IF(AND($Q2346&gt;0,$O2346&gt;=AboveRank),$Q2346,0)</f>
        <v>0</v>
      </c>
      <c r="T2346" s="64" t="n">
        <f aca="false">IF($K2346="Less",$P2346,0)</f>
        <v>0</v>
      </c>
      <c r="U2346" s="64" t="n">
        <f aca="false">IF($K2346="Expected",$P2346,0)</f>
        <v>0</v>
      </c>
      <c r="V2346" s="64" t="n">
        <f aca="false">IF($K2346="Better",$P2346,0)</f>
        <v>0</v>
      </c>
      <c r="W2346" s="64" t="n">
        <f aca="false">IF($K2346="U – needs rule",$P2346,0)</f>
        <v>0</v>
      </c>
      <c r="X2346" s="64" t="n">
        <f aca="false">IF($K2346="No Start (attainment only)",$P2346,0)</f>
        <v>0</v>
      </c>
    </row>
    <row r="2347" customFormat="false" ht="15" hidden="false" customHeight="false" outlineLevel="0" collapsed="false">
      <c r="A2347" s="60"/>
      <c r="B2347" s="61" t="str">
        <f aca="false">IF($M2347=0,"",INDEX(Classes!$E$6:$E$420,$M2347))</f>
        <v/>
      </c>
      <c r="C2347" s="62" t="str">
        <f aca="false">IF($M2347=0,"",INDEX(Classes!$H$6:$H$420,$M2347))</f>
        <v/>
      </c>
      <c r="D2347" s="61" t="str">
        <f aca="false">IF($M2347=0,"",INDEX(Classes!$B$6:$B$420,$M2347))</f>
        <v/>
      </c>
      <c r="E2347" s="61" t="str">
        <f aca="false">IF($M2347=0,"",INDEX(Classes!$C$6:$C$420,$M2347))</f>
        <v/>
      </c>
      <c r="F2347" s="63"/>
      <c r="G2347" s="63"/>
      <c r="H2347" s="60"/>
      <c r="I2347" s="60"/>
      <c r="J2347" s="63"/>
      <c r="K2347" s="61" t="str">
        <f aca="false">IF($P2347=0,"",IF($F2347="Baseline","— Baseline",IF($O2347=0,"No result",IF($N2347=0,"No Start (attainment only)",IF(OR($N2347=1,$O2347=1),"U – needs rule",INDEX(MxBody,MATCH($I2347,MxCurr,0),MATCH($H2347,MxStart,0)))))))</f>
        <v/>
      </c>
      <c r="L2347" s="62" t="str">
        <f aca="false">IF(COUNTA($A2347,$F2347,$G2347,$H2347,$I2347,$J2347)=0,"",IF($M2347=0,"✖ كود الصف غير موجود",IF(ISNA(MATCH($F2347,Lists!$A$2:$A$5,0)),"✖ الفترة غير صحيحة",IF(ISNA(MATCH($G2347,Lists!$B$2:$B$7,0)),"✖ المجموعة غير صحيحة",IF(NOT(OR($H2347="",$N2347&gt;0)),"✖ Start غير صحيح",IF(NOT(OR($I2347="",$I2347="NR",$O2347&gt;0)),"✖ Current غير صحيح",IF(NOT(IF(ISNUMBER($J2347),AND($J2347&gt;=0,$J2347=INT($J2347)),FALSE())),"✖ العدد يجب أن يكون صحيحًا ≥ 0",IF(AND($F2347="Baseline",$H2347&lt;&gt;""),"⚠ Baseline: Start لا يدخل في التقدم",IF($K2347="No Start (attainment only)","ℹ تحصيل فقط (بدون Start)",IF($K2347="U – needs rule","ℹ حالة U تحتاج قاعدة معتمدة",IF($K2347="No result","ℹ بدون نتيجة (يُستبعد من التحصيل)","OK")))))))))))</f>
        <v/>
      </c>
      <c r="M2347" s="64" t="n">
        <f aca="false">IF($A2347="",0,IFERROR(MATCH($A2347,Classes!$A$6:$A$420,0),0))</f>
        <v>0</v>
      </c>
      <c r="N2347" s="64" t="n">
        <f aca="false">IF($H2347="",0,IFERROR(MATCH($H2347,GradeList,0),0))</f>
        <v>0</v>
      </c>
      <c r="O2347" s="64" t="n">
        <f aca="false">IF(OR($I2347="",$I2347="NR"),0,IFERROR(MATCH($I2347,GradeList,0),0))</f>
        <v>0</v>
      </c>
      <c r="P2347" s="64" t="n">
        <f aca="false">IF(AND($M2347&gt;0,ISNUMBER(MATCH($F2347,Lists!$A$2:$A$5,0)),ISNUMBER(MATCH($G2347,Lists!$B$2:$B$7,0)),OR($H2347="",$N2347&gt;0),OR($I2347="",$I2347="NR",$O2347&gt;0),IF(ISNUMBER($J2347),AND($J2347&gt;=0,$J2347=INT($J2347)),FALSE())),$J2347,0)</f>
        <v>0</v>
      </c>
      <c r="Q2347" s="64" t="n">
        <f aca="false">IF(AND($P2347&gt;0,$O2347&gt;0),$P2347,0)</f>
        <v>0</v>
      </c>
      <c r="R2347" s="64" t="n">
        <f aca="false">IF(AND($Q2347&gt;0,$O2347&gt;=AtRank),$Q2347,0)</f>
        <v>0</v>
      </c>
      <c r="S2347" s="64" t="n">
        <f aca="false">IF(AND($Q2347&gt;0,$O2347&gt;=AboveRank),$Q2347,0)</f>
        <v>0</v>
      </c>
      <c r="T2347" s="64" t="n">
        <f aca="false">IF($K2347="Less",$P2347,0)</f>
        <v>0</v>
      </c>
      <c r="U2347" s="64" t="n">
        <f aca="false">IF($K2347="Expected",$P2347,0)</f>
        <v>0</v>
      </c>
      <c r="V2347" s="64" t="n">
        <f aca="false">IF($K2347="Better",$P2347,0)</f>
        <v>0</v>
      </c>
      <c r="W2347" s="64" t="n">
        <f aca="false">IF($K2347="U – needs rule",$P2347,0)</f>
        <v>0</v>
      </c>
      <c r="X2347" s="64" t="n">
        <f aca="false">IF($K2347="No Start (attainment only)",$P2347,0)</f>
        <v>0</v>
      </c>
    </row>
    <row r="2348" customFormat="false" ht="15" hidden="false" customHeight="false" outlineLevel="0" collapsed="false">
      <c r="A2348" s="60"/>
      <c r="B2348" s="61" t="str">
        <f aca="false">IF($M2348=0,"",INDEX(Classes!$E$6:$E$420,$M2348))</f>
        <v/>
      </c>
      <c r="C2348" s="62" t="str">
        <f aca="false">IF($M2348=0,"",INDEX(Classes!$H$6:$H$420,$M2348))</f>
        <v/>
      </c>
      <c r="D2348" s="61" t="str">
        <f aca="false">IF($M2348=0,"",INDEX(Classes!$B$6:$B$420,$M2348))</f>
        <v/>
      </c>
      <c r="E2348" s="61" t="str">
        <f aca="false">IF($M2348=0,"",INDEX(Classes!$C$6:$C$420,$M2348))</f>
        <v/>
      </c>
      <c r="F2348" s="63"/>
      <c r="G2348" s="63"/>
      <c r="H2348" s="60"/>
      <c r="I2348" s="60"/>
      <c r="J2348" s="63"/>
      <c r="K2348" s="61" t="str">
        <f aca="false">IF($P2348=0,"",IF($F2348="Baseline","— Baseline",IF($O2348=0,"No result",IF($N2348=0,"No Start (attainment only)",IF(OR($N2348=1,$O2348=1),"U – needs rule",INDEX(MxBody,MATCH($I2348,MxCurr,0),MATCH($H2348,MxStart,0)))))))</f>
        <v/>
      </c>
      <c r="L2348" s="62" t="str">
        <f aca="false">IF(COUNTA($A2348,$F2348,$G2348,$H2348,$I2348,$J2348)=0,"",IF($M2348=0,"✖ كود الصف غير موجود",IF(ISNA(MATCH($F2348,Lists!$A$2:$A$5,0)),"✖ الفترة غير صحيحة",IF(ISNA(MATCH($G2348,Lists!$B$2:$B$7,0)),"✖ المجموعة غير صحيحة",IF(NOT(OR($H2348="",$N2348&gt;0)),"✖ Start غير صحيح",IF(NOT(OR($I2348="",$I2348="NR",$O2348&gt;0)),"✖ Current غير صحيح",IF(NOT(IF(ISNUMBER($J2348),AND($J2348&gt;=0,$J2348=INT($J2348)),FALSE())),"✖ العدد يجب أن يكون صحيحًا ≥ 0",IF(AND($F2348="Baseline",$H2348&lt;&gt;""),"⚠ Baseline: Start لا يدخل في التقدم",IF($K2348="No Start (attainment only)","ℹ تحصيل فقط (بدون Start)",IF($K2348="U – needs rule","ℹ حالة U تحتاج قاعدة معتمدة",IF($K2348="No result","ℹ بدون نتيجة (يُستبعد من التحصيل)","OK")))))))))))</f>
        <v/>
      </c>
      <c r="M2348" s="64" t="n">
        <f aca="false">IF($A2348="",0,IFERROR(MATCH($A2348,Classes!$A$6:$A$420,0),0))</f>
        <v>0</v>
      </c>
      <c r="N2348" s="64" t="n">
        <f aca="false">IF($H2348="",0,IFERROR(MATCH($H2348,GradeList,0),0))</f>
        <v>0</v>
      </c>
      <c r="O2348" s="64" t="n">
        <f aca="false">IF(OR($I2348="",$I2348="NR"),0,IFERROR(MATCH($I2348,GradeList,0),0))</f>
        <v>0</v>
      </c>
      <c r="P2348" s="64" t="n">
        <f aca="false">IF(AND($M2348&gt;0,ISNUMBER(MATCH($F2348,Lists!$A$2:$A$5,0)),ISNUMBER(MATCH($G2348,Lists!$B$2:$B$7,0)),OR($H2348="",$N2348&gt;0),OR($I2348="",$I2348="NR",$O2348&gt;0),IF(ISNUMBER($J2348),AND($J2348&gt;=0,$J2348=INT($J2348)),FALSE())),$J2348,0)</f>
        <v>0</v>
      </c>
      <c r="Q2348" s="64" t="n">
        <f aca="false">IF(AND($P2348&gt;0,$O2348&gt;0),$P2348,0)</f>
        <v>0</v>
      </c>
      <c r="R2348" s="64" t="n">
        <f aca="false">IF(AND($Q2348&gt;0,$O2348&gt;=AtRank),$Q2348,0)</f>
        <v>0</v>
      </c>
      <c r="S2348" s="64" t="n">
        <f aca="false">IF(AND($Q2348&gt;0,$O2348&gt;=AboveRank),$Q2348,0)</f>
        <v>0</v>
      </c>
      <c r="T2348" s="64" t="n">
        <f aca="false">IF($K2348="Less",$P2348,0)</f>
        <v>0</v>
      </c>
      <c r="U2348" s="64" t="n">
        <f aca="false">IF($K2348="Expected",$P2348,0)</f>
        <v>0</v>
      </c>
      <c r="V2348" s="64" t="n">
        <f aca="false">IF($K2348="Better",$P2348,0)</f>
        <v>0</v>
      </c>
      <c r="W2348" s="64" t="n">
        <f aca="false">IF($K2348="U – needs rule",$P2348,0)</f>
        <v>0</v>
      </c>
      <c r="X2348" s="64" t="n">
        <f aca="false">IF($K2348="No Start (attainment only)",$P2348,0)</f>
        <v>0</v>
      </c>
    </row>
    <row r="2349" customFormat="false" ht="15" hidden="false" customHeight="false" outlineLevel="0" collapsed="false">
      <c r="A2349" s="60"/>
      <c r="B2349" s="61" t="str">
        <f aca="false">IF($M2349=0,"",INDEX(Classes!$E$6:$E$420,$M2349))</f>
        <v/>
      </c>
      <c r="C2349" s="62" t="str">
        <f aca="false">IF($M2349=0,"",INDEX(Classes!$H$6:$H$420,$M2349))</f>
        <v/>
      </c>
      <c r="D2349" s="61" t="str">
        <f aca="false">IF($M2349=0,"",INDEX(Classes!$B$6:$B$420,$M2349))</f>
        <v/>
      </c>
      <c r="E2349" s="61" t="str">
        <f aca="false">IF($M2349=0,"",INDEX(Classes!$C$6:$C$420,$M2349))</f>
        <v/>
      </c>
      <c r="F2349" s="63"/>
      <c r="G2349" s="63"/>
      <c r="H2349" s="60"/>
      <c r="I2349" s="60"/>
      <c r="J2349" s="63"/>
      <c r="K2349" s="61" t="str">
        <f aca="false">IF($P2349=0,"",IF($F2349="Baseline","— Baseline",IF($O2349=0,"No result",IF($N2349=0,"No Start (attainment only)",IF(OR($N2349=1,$O2349=1),"U – needs rule",INDEX(MxBody,MATCH($I2349,MxCurr,0),MATCH($H2349,MxStart,0)))))))</f>
        <v/>
      </c>
      <c r="L2349" s="62" t="str">
        <f aca="false">IF(COUNTA($A2349,$F2349,$G2349,$H2349,$I2349,$J2349)=0,"",IF($M2349=0,"✖ كود الصف غير موجود",IF(ISNA(MATCH($F2349,Lists!$A$2:$A$5,0)),"✖ الفترة غير صحيحة",IF(ISNA(MATCH($G2349,Lists!$B$2:$B$7,0)),"✖ المجموعة غير صحيحة",IF(NOT(OR($H2349="",$N2349&gt;0)),"✖ Start غير صحيح",IF(NOT(OR($I2349="",$I2349="NR",$O2349&gt;0)),"✖ Current غير صحيح",IF(NOT(IF(ISNUMBER($J2349),AND($J2349&gt;=0,$J2349=INT($J2349)),FALSE())),"✖ العدد يجب أن يكون صحيحًا ≥ 0",IF(AND($F2349="Baseline",$H2349&lt;&gt;""),"⚠ Baseline: Start لا يدخل في التقدم",IF($K2349="No Start (attainment only)","ℹ تحصيل فقط (بدون Start)",IF($K2349="U – needs rule","ℹ حالة U تحتاج قاعدة معتمدة",IF($K2349="No result","ℹ بدون نتيجة (يُستبعد من التحصيل)","OK")))))))))))</f>
        <v/>
      </c>
      <c r="M2349" s="64" t="n">
        <f aca="false">IF($A2349="",0,IFERROR(MATCH($A2349,Classes!$A$6:$A$420,0),0))</f>
        <v>0</v>
      </c>
      <c r="N2349" s="64" t="n">
        <f aca="false">IF($H2349="",0,IFERROR(MATCH($H2349,GradeList,0),0))</f>
        <v>0</v>
      </c>
      <c r="O2349" s="64" t="n">
        <f aca="false">IF(OR($I2349="",$I2349="NR"),0,IFERROR(MATCH($I2349,GradeList,0),0))</f>
        <v>0</v>
      </c>
      <c r="P2349" s="64" t="n">
        <f aca="false">IF(AND($M2349&gt;0,ISNUMBER(MATCH($F2349,Lists!$A$2:$A$5,0)),ISNUMBER(MATCH($G2349,Lists!$B$2:$B$7,0)),OR($H2349="",$N2349&gt;0),OR($I2349="",$I2349="NR",$O2349&gt;0),IF(ISNUMBER($J2349),AND($J2349&gt;=0,$J2349=INT($J2349)),FALSE())),$J2349,0)</f>
        <v>0</v>
      </c>
      <c r="Q2349" s="64" t="n">
        <f aca="false">IF(AND($P2349&gt;0,$O2349&gt;0),$P2349,0)</f>
        <v>0</v>
      </c>
      <c r="R2349" s="64" t="n">
        <f aca="false">IF(AND($Q2349&gt;0,$O2349&gt;=AtRank),$Q2349,0)</f>
        <v>0</v>
      </c>
      <c r="S2349" s="64" t="n">
        <f aca="false">IF(AND($Q2349&gt;0,$O2349&gt;=AboveRank),$Q2349,0)</f>
        <v>0</v>
      </c>
      <c r="T2349" s="64" t="n">
        <f aca="false">IF($K2349="Less",$P2349,0)</f>
        <v>0</v>
      </c>
      <c r="U2349" s="64" t="n">
        <f aca="false">IF($K2349="Expected",$P2349,0)</f>
        <v>0</v>
      </c>
      <c r="V2349" s="64" t="n">
        <f aca="false">IF($K2349="Better",$P2349,0)</f>
        <v>0</v>
      </c>
      <c r="W2349" s="64" t="n">
        <f aca="false">IF($K2349="U – needs rule",$P2349,0)</f>
        <v>0</v>
      </c>
      <c r="X2349" s="64" t="n">
        <f aca="false">IF($K2349="No Start (attainment only)",$P2349,0)</f>
        <v>0</v>
      </c>
    </row>
    <row r="2350" customFormat="false" ht="15" hidden="false" customHeight="false" outlineLevel="0" collapsed="false">
      <c r="A2350" s="60"/>
      <c r="B2350" s="61" t="str">
        <f aca="false">IF($M2350=0,"",INDEX(Classes!$E$6:$E$420,$M2350))</f>
        <v/>
      </c>
      <c r="C2350" s="62" t="str">
        <f aca="false">IF($M2350=0,"",INDEX(Classes!$H$6:$H$420,$M2350))</f>
        <v/>
      </c>
      <c r="D2350" s="61" t="str">
        <f aca="false">IF($M2350=0,"",INDEX(Classes!$B$6:$B$420,$M2350))</f>
        <v/>
      </c>
      <c r="E2350" s="61" t="str">
        <f aca="false">IF($M2350=0,"",INDEX(Classes!$C$6:$C$420,$M2350))</f>
        <v/>
      </c>
      <c r="F2350" s="63"/>
      <c r="G2350" s="63"/>
      <c r="H2350" s="60"/>
      <c r="I2350" s="60"/>
      <c r="J2350" s="63"/>
      <c r="K2350" s="61" t="str">
        <f aca="false">IF($P2350=0,"",IF($F2350="Baseline","— Baseline",IF($O2350=0,"No result",IF($N2350=0,"No Start (attainment only)",IF(OR($N2350=1,$O2350=1),"U – needs rule",INDEX(MxBody,MATCH($I2350,MxCurr,0),MATCH($H2350,MxStart,0)))))))</f>
        <v/>
      </c>
      <c r="L2350" s="62" t="str">
        <f aca="false">IF(COUNTA($A2350,$F2350,$G2350,$H2350,$I2350,$J2350)=0,"",IF($M2350=0,"✖ كود الصف غير موجود",IF(ISNA(MATCH($F2350,Lists!$A$2:$A$5,0)),"✖ الفترة غير صحيحة",IF(ISNA(MATCH($G2350,Lists!$B$2:$B$7,0)),"✖ المجموعة غير صحيحة",IF(NOT(OR($H2350="",$N2350&gt;0)),"✖ Start غير صحيح",IF(NOT(OR($I2350="",$I2350="NR",$O2350&gt;0)),"✖ Current غير صحيح",IF(NOT(IF(ISNUMBER($J2350),AND($J2350&gt;=0,$J2350=INT($J2350)),FALSE())),"✖ العدد يجب أن يكون صحيحًا ≥ 0",IF(AND($F2350="Baseline",$H2350&lt;&gt;""),"⚠ Baseline: Start لا يدخل في التقدم",IF($K2350="No Start (attainment only)","ℹ تحصيل فقط (بدون Start)",IF($K2350="U – needs rule","ℹ حالة U تحتاج قاعدة معتمدة",IF($K2350="No result","ℹ بدون نتيجة (يُستبعد من التحصيل)","OK")))))))))))</f>
        <v/>
      </c>
      <c r="M2350" s="64" t="n">
        <f aca="false">IF($A2350="",0,IFERROR(MATCH($A2350,Classes!$A$6:$A$420,0),0))</f>
        <v>0</v>
      </c>
      <c r="N2350" s="64" t="n">
        <f aca="false">IF($H2350="",0,IFERROR(MATCH($H2350,GradeList,0),0))</f>
        <v>0</v>
      </c>
      <c r="O2350" s="64" t="n">
        <f aca="false">IF(OR($I2350="",$I2350="NR"),0,IFERROR(MATCH($I2350,GradeList,0),0))</f>
        <v>0</v>
      </c>
      <c r="P2350" s="64" t="n">
        <f aca="false">IF(AND($M2350&gt;0,ISNUMBER(MATCH($F2350,Lists!$A$2:$A$5,0)),ISNUMBER(MATCH($G2350,Lists!$B$2:$B$7,0)),OR($H2350="",$N2350&gt;0),OR($I2350="",$I2350="NR",$O2350&gt;0),IF(ISNUMBER($J2350),AND($J2350&gt;=0,$J2350=INT($J2350)),FALSE())),$J2350,0)</f>
        <v>0</v>
      </c>
      <c r="Q2350" s="64" t="n">
        <f aca="false">IF(AND($P2350&gt;0,$O2350&gt;0),$P2350,0)</f>
        <v>0</v>
      </c>
      <c r="R2350" s="64" t="n">
        <f aca="false">IF(AND($Q2350&gt;0,$O2350&gt;=AtRank),$Q2350,0)</f>
        <v>0</v>
      </c>
      <c r="S2350" s="64" t="n">
        <f aca="false">IF(AND($Q2350&gt;0,$O2350&gt;=AboveRank),$Q2350,0)</f>
        <v>0</v>
      </c>
      <c r="T2350" s="64" t="n">
        <f aca="false">IF($K2350="Less",$P2350,0)</f>
        <v>0</v>
      </c>
      <c r="U2350" s="64" t="n">
        <f aca="false">IF($K2350="Expected",$P2350,0)</f>
        <v>0</v>
      </c>
      <c r="V2350" s="64" t="n">
        <f aca="false">IF($K2350="Better",$P2350,0)</f>
        <v>0</v>
      </c>
      <c r="W2350" s="64" t="n">
        <f aca="false">IF($K2350="U – needs rule",$P2350,0)</f>
        <v>0</v>
      </c>
      <c r="X2350" s="64" t="n">
        <f aca="false">IF($K2350="No Start (attainment only)",$P2350,0)</f>
        <v>0</v>
      </c>
    </row>
    <row r="2351" customFormat="false" ht="15" hidden="false" customHeight="false" outlineLevel="0" collapsed="false">
      <c r="A2351" s="60"/>
      <c r="B2351" s="61" t="str">
        <f aca="false">IF($M2351=0,"",INDEX(Classes!$E$6:$E$420,$M2351))</f>
        <v/>
      </c>
      <c r="C2351" s="62" t="str">
        <f aca="false">IF($M2351=0,"",INDEX(Classes!$H$6:$H$420,$M2351))</f>
        <v/>
      </c>
      <c r="D2351" s="61" t="str">
        <f aca="false">IF($M2351=0,"",INDEX(Classes!$B$6:$B$420,$M2351))</f>
        <v/>
      </c>
      <c r="E2351" s="61" t="str">
        <f aca="false">IF($M2351=0,"",INDEX(Classes!$C$6:$C$420,$M2351))</f>
        <v/>
      </c>
      <c r="F2351" s="63"/>
      <c r="G2351" s="63"/>
      <c r="H2351" s="60"/>
      <c r="I2351" s="60"/>
      <c r="J2351" s="63"/>
      <c r="K2351" s="61" t="str">
        <f aca="false">IF($P2351=0,"",IF($F2351="Baseline","— Baseline",IF($O2351=0,"No result",IF($N2351=0,"No Start (attainment only)",IF(OR($N2351=1,$O2351=1),"U – needs rule",INDEX(MxBody,MATCH($I2351,MxCurr,0),MATCH($H2351,MxStart,0)))))))</f>
        <v/>
      </c>
      <c r="L2351" s="62" t="str">
        <f aca="false">IF(COUNTA($A2351,$F2351,$G2351,$H2351,$I2351,$J2351)=0,"",IF($M2351=0,"✖ كود الصف غير موجود",IF(ISNA(MATCH($F2351,Lists!$A$2:$A$5,0)),"✖ الفترة غير صحيحة",IF(ISNA(MATCH($G2351,Lists!$B$2:$B$7,0)),"✖ المجموعة غير صحيحة",IF(NOT(OR($H2351="",$N2351&gt;0)),"✖ Start غير صحيح",IF(NOT(OR($I2351="",$I2351="NR",$O2351&gt;0)),"✖ Current غير صحيح",IF(NOT(IF(ISNUMBER($J2351),AND($J2351&gt;=0,$J2351=INT($J2351)),FALSE())),"✖ العدد يجب أن يكون صحيحًا ≥ 0",IF(AND($F2351="Baseline",$H2351&lt;&gt;""),"⚠ Baseline: Start لا يدخل في التقدم",IF($K2351="No Start (attainment only)","ℹ تحصيل فقط (بدون Start)",IF($K2351="U – needs rule","ℹ حالة U تحتاج قاعدة معتمدة",IF($K2351="No result","ℹ بدون نتيجة (يُستبعد من التحصيل)","OK")))))))))))</f>
        <v/>
      </c>
      <c r="M2351" s="64" t="n">
        <f aca="false">IF($A2351="",0,IFERROR(MATCH($A2351,Classes!$A$6:$A$420,0),0))</f>
        <v>0</v>
      </c>
      <c r="N2351" s="64" t="n">
        <f aca="false">IF($H2351="",0,IFERROR(MATCH($H2351,GradeList,0),0))</f>
        <v>0</v>
      </c>
      <c r="O2351" s="64" t="n">
        <f aca="false">IF(OR($I2351="",$I2351="NR"),0,IFERROR(MATCH($I2351,GradeList,0),0))</f>
        <v>0</v>
      </c>
      <c r="P2351" s="64" t="n">
        <f aca="false">IF(AND($M2351&gt;0,ISNUMBER(MATCH($F2351,Lists!$A$2:$A$5,0)),ISNUMBER(MATCH($G2351,Lists!$B$2:$B$7,0)),OR($H2351="",$N2351&gt;0),OR($I2351="",$I2351="NR",$O2351&gt;0),IF(ISNUMBER($J2351),AND($J2351&gt;=0,$J2351=INT($J2351)),FALSE())),$J2351,0)</f>
        <v>0</v>
      </c>
      <c r="Q2351" s="64" t="n">
        <f aca="false">IF(AND($P2351&gt;0,$O2351&gt;0),$P2351,0)</f>
        <v>0</v>
      </c>
      <c r="R2351" s="64" t="n">
        <f aca="false">IF(AND($Q2351&gt;0,$O2351&gt;=AtRank),$Q2351,0)</f>
        <v>0</v>
      </c>
      <c r="S2351" s="64" t="n">
        <f aca="false">IF(AND($Q2351&gt;0,$O2351&gt;=AboveRank),$Q2351,0)</f>
        <v>0</v>
      </c>
      <c r="T2351" s="64" t="n">
        <f aca="false">IF($K2351="Less",$P2351,0)</f>
        <v>0</v>
      </c>
      <c r="U2351" s="64" t="n">
        <f aca="false">IF($K2351="Expected",$P2351,0)</f>
        <v>0</v>
      </c>
      <c r="V2351" s="64" t="n">
        <f aca="false">IF($K2351="Better",$P2351,0)</f>
        <v>0</v>
      </c>
      <c r="W2351" s="64" t="n">
        <f aca="false">IF($K2351="U – needs rule",$P2351,0)</f>
        <v>0</v>
      </c>
      <c r="X2351" s="64" t="n">
        <f aca="false">IF($K2351="No Start (attainment only)",$P2351,0)</f>
        <v>0</v>
      </c>
    </row>
    <row r="2352" customFormat="false" ht="15" hidden="false" customHeight="false" outlineLevel="0" collapsed="false">
      <c r="A2352" s="60"/>
      <c r="B2352" s="61" t="str">
        <f aca="false">IF($M2352=0,"",INDEX(Classes!$E$6:$E$420,$M2352))</f>
        <v/>
      </c>
      <c r="C2352" s="62" t="str">
        <f aca="false">IF($M2352=0,"",INDEX(Classes!$H$6:$H$420,$M2352))</f>
        <v/>
      </c>
      <c r="D2352" s="61" t="str">
        <f aca="false">IF($M2352=0,"",INDEX(Classes!$B$6:$B$420,$M2352))</f>
        <v/>
      </c>
      <c r="E2352" s="61" t="str">
        <f aca="false">IF($M2352=0,"",INDEX(Classes!$C$6:$C$420,$M2352))</f>
        <v/>
      </c>
      <c r="F2352" s="63"/>
      <c r="G2352" s="63"/>
      <c r="H2352" s="60"/>
      <c r="I2352" s="60"/>
      <c r="J2352" s="63"/>
      <c r="K2352" s="61" t="str">
        <f aca="false">IF($P2352=0,"",IF($F2352="Baseline","— Baseline",IF($O2352=0,"No result",IF($N2352=0,"No Start (attainment only)",IF(OR($N2352=1,$O2352=1),"U – needs rule",INDEX(MxBody,MATCH($I2352,MxCurr,0),MATCH($H2352,MxStart,0)))))))</f>
        <v/>
      </c>
      <c r="L2352" s="62" t="str">
        <f aca="false">IF(COUNTA($A2352,$F2352,$G2352,$H2352,$I2352,$J2352)=0,"",IF($M2352=0,"✖ كود الصف غير موجود",IF(ISNA(MATCH($F2352,Lists!$A$2:$A$5,0)),"✖ الفترة غير صحيحة",IF(ISNA(MATCH($G2352,Lists!$B$2:$B$7,0)),"✖ المجموعة غير صحيحة",IF(NOT(OR($H2352="",$N2352&gt;0)),"✖ Start غير صحيح",IF(NOT(OR($I2352="",$I2352="NR",$O2352&gt;0)),"✖ Current غير صحيح",IF(NOT(IF(ISNUMBER($J2352),AND($J2352&gt;=0,$J2352=INT($J2352)),FALSE())),"✖ العدد يجب أن يكون صحيحًا ≥ 0",IF(AND($F2352="Baseline",$H2352&lt;&gt;""),"⚠ Baseline: Start لا يدخل في التقدم",IF($K2352="No Start (attainment only)","ℹ تحصيل فقط (بدون Start)",IF($K2352="U – needs rule","ℹ حالة U تحتاج قاعدة معتمدة",IF($K2352="No result","ℹ بدون نتيجة (يُستبعد من التحصيل)","OK")))))))))))</f>
        <v/>
      </c>
      <c r="M2352" s="64" t="n">
        <f aca="false">IF($A2352="",0,IFERROR(MATCH($A2352,Classes!$A$6:$A$420,0),0))</f>
        <v>0</v>
      </c>
      <c r="N2352" s="64" t="n">
        <f aca="false">IF($H2352="",0,IFERROR(MATCH($H2352,GradeList,0),0))</f>
        <v>0</v>
      </c>
      <c r="O2352" s="64" t="n">
        <f aca="false">IF(OR($I2352="",$I2352="NR"),0,IFERROR(MATCH($I2352,GradeList,0),0))</f>
        <v>0</v>
      </c>
      <c r="P2352" s="64" t="n">
        <f aca="false">IF(AND($M2352&gt;0,ISNUMBER(MATCH($F2352,Lists!$A$2:$A$5,0)),ISNUMBER(MATCH($G2352,Lists!$B$2:$B$7,0)),OR($H2352="",$N2352&gt;0),OR($I2352="",$I2352="NR",$O2352&gt;0),IF(ISNUMBER($J2352),AND($J2352&gt;=0,$J2352=INT($J2352)),FALSE())),$J2352,0)</f>
        <v>0</v>
      </c>
      <c r="Q2352" s="64" t="n">
        <f aca="false">IF(AND($P2352&gt;0,$O2352&gt;0),$P2352,0)</f>
        <v>0</v>
      </c>
      <c r="R2352" s="64" t="n">
        <f aca="false">IF(AND($Q2352&gt;0,$O2352&gt;=AtRank),$Q2352,0)</f>
        <v>0</v>
      </c>
      <c r="S2352" s="64" t="n">
        <f aca="false">IF(AND($Q2352&gt;0,$O2352&gt;=AboveRank),$Q2352,0)</f>
        <v>0</v>
      </c>
      <c r="T2352" s="64" t="n">
        <f aca="false">IF($K2352="Less",$P2352,0)</f>
        <v>0</v>
      </c>
      <c r="U2352" s="64" t="n">
        <f aca="false">IF($K2352="Expected",$P2352,0)</f>
        <v>0</v>
      </c>
      <c r="V2352" s="64" t="n">
        <f aca="false">IF($K2352="Better",$P2352,0)</f>
        <v>0</v>
      </c>
      <c r="W2352" s="64" t="n">
        <f aca="false">IF($K2352="U – needs rule",$P2352,0)</f>
        <v>0</v>
      </c>
      <c r="X2352" s="64" t="n">
        <f aca="false">IF($K2352="No Start (attainment only)",$P2352,0)</f>
        <v>0</v>
      </c>
    </row>
    <row r="2353" customFormat="false" ht="15" hidden="false" customHeight="false" outlineLevel="0" collapsed="false">
      <c r="A2353" s="60"/>
      <c r="B2353" s="61" t="str">
        <f aca="false">IF($M2353=0,"",INDEX(Classes!$E$6:$E$420,$M2353))</f>
        <v/>
      </c>
      <c r="C2353" s="62" t="str">
        <f aca="false">IF($M2353=0,"",INDEX(Classes!$H$6:$H$420,$M2353))</f>
        <v/>
      </c>
      <c r="D2353" s="61" t="str">
        <f aca="false">IF($M2353=0,"",INDEX(Classes!$B$6:$B$420,$M2353))</f>
        <v/>
      </c>
      <c r="E2353" s="61" t="str">
        <f aca="false">IF($M2353=0,"",INDEX(Classes!$C$6:$C$420,$M2353))</f>
        <v/>
      </c>
      <c r="F2353" s="63"/>
      <c r="G2353" s="63"/>
      <c r="H2353" s="60"/>
      <c r="I2353" s="60"/>
      <c r="J2353" s="63"/>
      <c r="K2353" s="61" t="str">
        <f aca="false">IF($P2353=0,"",IF($F2353="Baseline","— Baseline",IF($O2353=0,"No result",IF($N2353=0,"No Start (attainment only)",IF(OR($N2353=1,$O2353=1),"U – needs rule",INDEX(MxBody,MATCH($I2353,MxCurr,0),MATCH($H2353,MxStart,0)))))))</f>
        <v/>
      </c>
      <c r="L2353" s="62" t="str">
        <f aca="false">IF(COUNTA($A2353,$F2353,$G2353,$H2353,$I2353,$J2353)=0,"",IF($M2353=0,"✖ كود الصف غير موجود",IF(ISNA(MATCH($F2353,Lists!$A$2:$A$5,0)),"✖ الفترة غير صحيحة",IF(ISNA(MATCH($G2353,Lists!$B$2:$B$7,0)),"✖ المجموعة غير صحيحة",IF(NOT(OR($H2353="",$N2353&gt;0)),"✖ Start غير صحيح",IF(NOT(OR($I2353="",$I2353="NR",$O2353&gt;0)),"✖ Current غير صحيح",IF(NOT(IF(ISNUMBER($J2353),AND($J2353&gt;=0,$J2353=INT($J2353)),FALSE())),"✖ العدد يجب أن يكون صحيحًا ≥ 0",IF(AND($F2353="Baseline",$H2353&lt;&gt;""),"⚠ Baseline: Start لا يدخل في التقدم",IF($K2353="No Start (attainment only)","ℹ تحصيل فقط (بدون Start)",IF($K2353="U – needs rule","ℹ حالة U تحتاج قاعدة معتمدة",IF($K2353="No result","ℹ بدون نتيجة (يُستبعد من التحصيل)","OK")))))))))))</f>
        <v/>
      </c>
      <c r="M2353" s="64" t="n">
        <f aca="false">IF($A2353="",0,IFERROR(MATCH($A2353,Classes!$A$6:$A$420,0),0))</f>
        <v>0</v>
      </c>
      <c r="N2353" s="64" t="n">
        <f aca="false">IF($H2353="",0,IFERROR(MATCH($H2353,GradeList,0),0))</f>
        <v>0</v>
      </c>
      <c r="O2353" s="64" t="n">
        <f aca="false">IF(OR($I2353="",$I2353="NR"),0,IFERROR(MATCH($I2353,GradeList,0),0))</f>
        <v>0</v>
      </c>
      <c r="P2353" s="64" t="n">
        <f aca="false">IF(AND($M2353&gt;0,ISNUMBER(MATCH($F2353,Lists!$A$2:$A$5,0)),ISNUMBER(MATCH($G2353,Lists!$B$2:$B$7,0)),OR($H2353="",$N2353&gt;0),OR($I2353="",$I2353="NR",$O2353&gt;0),IF(ISNUMBER($J2353),AND($J2353&gt;=0,$J2353=INT($J2353)),FALSE())),$J2353,0)</f>
        <v>0</v>
      </c>
      <c r="Q2353" s="64" t="n">
        <f aca="false">IF(AND($P2353&gt;0,$O2353&gt;0),$P2353,0)</f>
        <v>0</v>
      </c>
      <c r="R2353" s="64" t="n">
        <f aca="false">IF(AND($Q2353&gt;0,$O2353&gt;=AtRank),$Q2353,0)</f>
        <v>0</v>
      </c>
      <c r="S2353" s="64" t="n">
        <f aca="false">IF(AND($Q2353&gt;0,$O2353&gt;=AboveRank),$Q2353,0)</f>
        <v>0</v>
      </c>
      <c r="T2353" s="64" t="n">
        <f aca="false">IF($K2353="Less",$P2353,0)</f>
        <v>0</v>
      </c>
      <c r="U2353" s="64" t="n">
        <f aca="false">IF($K2353="Expected",$P2353,0)</f>
        <v>0</v>
      </c>
      <c r="V2353" s="64" t="n">
        <f aca="false">IF($K2353="Better",$P2353,0)</f>
        <v>0</v>
      </c>
      <c r="W2353" s="64" t="n">
        <f aca="false">IF($K2353="U – needs rule",$P2353,0)</f>
        <v>0</v>
      </c>
      <c r="X2353" s="64" t="n">
        <f aca="false">IF($K2353="No Start (attainment only)",$P2353,0)</f>
        <v>0</v>
      </c>
    </row>
    <row r="2354" customFormat="false" ht="15" hidden="false" customHeight="false" outlineLevel="0" collapsed="false">
      <c r="A2354" s="60"/>
      <c r="B2354" s="61" t="str">
        <f aca="false">IF($M2354=0,"",INDEX(Classes!$E$6:$E$420,$M2354))</f>
        <v/>
      </c>
      <c r="C2354" s="62" t="str">
        <f aca="false">IF($M2354=0,"",INDEX(Classes!$H$6:$H$420,$M2354))</f>
        <v/>
      </c>
      <c r="D2354" s="61" t="str">
        <f aca="false">IF($M2354=0,"",INDEX(Classes!$B$6:$B$420,$M2354))</f>
        <v/>
      </c>
      <c r="E2354" s="61" t="str">
        <f aca="false">IF($M2354=0,"",INDEX(Classes!$C$6:$C$420,$M2354))</f>
        <v/>
      </c>
      <c r="F2354" s="63"/>
      <c r="G2354" s="63"/>
      <c r="H2354" s="60"/>
      <c r="I2354" s="60"/>
      <c r="J2354" s="63"/>
      <c r="K2354" s="61" t="str">
        <f aca="false">IF($P2354=0,"",IF($F2354="Baseline","— Baseline",IF($O2354=0,"No result",IF($N2354=0,"No Start (attainment only)",IF(OR($N2354=1,$O2354=1),"U – needs rule",INDEX(MxBody,MATCH($I2354,MxCurr,0),MATCH($H2354,MxStart,0)))))))</f>
        <v/>
      </c>
      <c r="L2354" s="62" t="str">
        <f aca="false">IF(COUNTA($A2354,$F2354,$G2354,$H2354,$I2354,$J2354)=0,"",IF($M2354=0,"✖ كود الصف غير موجود",IF(ISNA(MATCH($F2354,Lists!$A$2:$A$5,0)),"✖ الفترة غير صحيحة",IF(ISNA(MATCH($G2354,Lists!$B$2:$B$7,0)),"✖ المجموعة غير صحيحة",IF(NOT(OR($H2354="",$N2354&gt;0)),"✖ Start غير صحيح",IF(NOT(OR($I2354="",$I2354="NR",$O2354&gt;0)),"✖ Current غير صحيح",IF(NOT(IF(ISNUMBER($J2354),AND($J2354&gt;=0,$J2354=INT($J2354)),FALSE())),"✖ العدد يجب أن يكون صحيحًا ≥ 0",IF(AND($F2354="Baseline",$H2354&lt;&gt;""),"⚠ Baseline: Start لا يدخل في التقدم",IF($K2354="No Start (attainment only)","ℹ تحصيل فقط (بدون Start)",IF($K2354="U – needs rule","ℹ حالة U تحتاج قاعدة معتمدة",IF($K2354="No result","ℹ بدون نتيجة (يُستبعد من التحصيل)","OK")))))))))))</f>
        <v/>
      </c>
      <c r="M2354" s="64" t="n">
        <f aca="false">IF($A2354="",0,IFERROR(MATCH($A2354,Classes!$A$6:$A$420,0),0))</f>
        <v>0</v>
      </c>
      <c r="N2354" s="64" t="n">
        <f aca="false">IF($H2354="",0,IFERROR(MATCH($H2354,GradeList,0),0))</f>
        <v>0</v>
      </c>
      <c r="O2354" s="64" t="n">
        <f aca="false">IF(OR($I2354="",$I2354="NR"),0,IFERROR(MATCH($I2354,GradeList,0),0))</f>
        <v>0</v>
      </c>
      <c r="P2354" s="64" t="n">
        <f aca="false">IF(AND($M2354&gt;0,ISNUMBER(MATCH($F2354,Lists!$A$2:$A$5,0)),ISNUMBER(MATCH($G2354,Lists!$B$2:$B$7,0)),OR($H2354="",$N2354&gt;0),OR($I2354="",$I2354="NR",$O2354&gt;0),IF(ISNUMBER($J2354),AND($J2354&gt;=0,$J2354=INT($J2354)),FALSE())),$J2354,0)</f>
        <v>0</v>
      </c>
      <c r="Q2354" s="64" t="n">
        <f aca="false">IF(AND($P2354&gt;0,$O2354&gt;0),$P2354,0)</f>
        <v>0</v>
      </c>
      <c r="R2354" s="64" t="n">
        <f aca="false">IF(AND($Q2354&gt;0,$O2354&gt;=AtRank),$Q2354,0)</f>
        <v>0</v>
      </c>
      <c r="S2354" s="64" t="n">
        <f aca="false">IF(AND($Q2354&gt;0,$O2354&gt;=AboveRank),$Q2354,0)</f>
        <v>0</v>
      </c>
      <c r="T2354" s="64" t="n">
        <f aca="false">IF($K2354="Less",$P2354,0)</f>
        <v>0</v>
      </c>
      <c r="U2354" s="64" t="n">
        <f aca="false">IF($K2354="Expected",$P2354,0)</f>
        <v>0</v>
      </c>
      <c r="V2354" s="64" t="n">
        <f aca="false">IF($K2354="Better",$P2354,0)</f>
        <v>0</v>
      </c>
      <c r="W2354" s="64" t="n">
        <f aca="false">IF($K2354="U – needs rule",$P2354,0)</f>
        <v>0</v>
      </c>
      <c r="X2354" s="64" t="n">
        <f aca="false">IF($K2354="No Start (attainment only)",$P2354,0)</f>
        <v>0</v>
      </c>
    </row>
    <row r="2355" customFormat="false" ht="15" hidden="false" customHeight="false" outlineLevel="0" collapsed="false">
      <c r="A2355" s="60"/>
      <c r="B2355" s="61" t="str">
        <f aca="false">IF($M2355=0,"",INDEX(Classes!$E$6:$E$420,$M2355))</f>
        <v/>
      </c>
      <c r="C2355" s="62" t="str">
        <f aca="false">IF($M2355=0,"",INDEX(Classes!$H$6:$H$420,$M2355))</f>
        <v/>
      </c>
      <c r="D2355" s="61" t="str">
        <f aca="false">IF($M2355=0,"",INDEX(Classes!$B$6:$B$420,$M2355))</f>
        <v/>
      </c>
      <c r="E2355" s="61" t="str">
        <f aca="false">IF($M2355=0,"",INDEX(Classes!$C$6:$C$420,$M2355))</f>
        <v/>
      </c>
      <c r="F2355" s="63"/>
      <c r="G2355" s="63"/>
      <c r="H2355" s="60"/>
      <c r="I2355" s="60"/>
      <c r="J2355" s="63"/>
      <c r="K2355" s="61" t="str">
        <f aca="false">IF($P2355=0,"",IF($F2355="Baseline","— Baseline",IF($O2355=0,"No result",IF($N2355=0,"No Start (attainment only)",IF(OR($N2355=1,$O2355=1),"U – needs rule",INDEX(MxBody,MATCH($I2355,MxCurr,0),MATCH($H2355,MxStart,0)))))))</f>
        <v/>
      </c>
      <c r="L2355" s="62" t="str">
        <f aca="false">IF(COUNTA($A2355,$F2355,$G2355,$H2355,$I2355,$J2355)=0,"",IF($M2355=0,"✖ كود الصف غير موجود",IF(ISNA(MATCH($F2355,Lists!$A$2:$A$5,0)),"✖ الفترة غير صحيحة",IF(ISNA(MATCH($G2355,Lists!$B$2:$B$7,0)),"✖ المجموعة غير صحيحة",IF(NOT(OR($H2355="",$N2355&gt;0)),"✖ Start غير صحيح",IF(NOT(OR($I2355="",$I2355="NR",$O2355&gt;0)),"✖ Current غير صحيح",IF(NOT(IF(ISNUMBER($J2355),AND($J2355&gt;=0,$J2355=INT($J2355)),FALSE())),"✖ العدد يجب أن يكون صحيحًا ≥ 0",IF(AND($F2355="Baseline",$H2355&lt;&gt;""),"⚠ Baseline: Start لا يدخل في التقدم",IF($K2355="No Start (attainment only)","ℹ تحصيل فقط (بدون Start)",IF($K2355="U – needs rule","ℹ حالة U تحتاج قاعدة معتمدة",IF($K2355="No result","ℹ بدون نتيجة (يُستبعد من التحصيل)","OK")))))))))))</f>
        <v/>
      </c>
      <c r="M2355" s="64" t="n">
        <f aca="false">IF($A2355="",0,IFERROR(MATCH($A2355,Classes!$A$6:$A$420,0),0))</f>
        <v>0</v>
      </c>
      <c r="N2355" s="64" t="n">
        <f aca="false">IF($H2355="",0,IFERROR(MATCH($H2355,GradeList,0),0))</f>
        <v>0</v>
      </c>
      <c r="O2355" s="64" t="n">
        <f aca="false">IF(OR($I2355="",$I2355="NR"),0,IFERROR(MATCH($I2355,GradeList,0),0))</f>
        <v>0</v>
      </c>
      <c r="P2355" s="64" t="n">
        <f aca="false">IF(AND($M2355&gt;0,ISNUMBER(MATCH($F2355,Lists!$A$2:$A$5,0)),ISNUMBER(MATCH($G2355,Lists!$B$2:$B$7,0)),OR($H2355="",$N2355&gt;0),OR($I2355="",$I2355="NR",$O2355&gt;0),IF(ISNUMBER($J2355),AND($J2355&gt;=0,$J2355=INT($J2355)),FALSE())),$J2355,0)</f>
        <v>0</v>
      </c>
      <c r="Q2355" s="64" t="n">
        <f aca="false">IF(AND($P2355&gt;0,$O2355&gt;0),$P2355,0)</f>
        <v>0</v>
      </c>
      <c r="R2355" s="64" t="n">
        <f aca="false">IF(AND($Q2355&gt;0,$O2355&gt;=AtRank),$Q2355,0)</f>
        <v>0</v>
      </c>
      <c r="S2355" s="64" t="n">
        <f aca="false">IF(AND($Q2355&gt;0,$O2355&gt;=AboveRank),$Q2355,0)</f>
        <v>0</v>
      </c>
      <c r="T2355" s="64" t="n">
        <f aca="false">IF($K2355="Less",$P2355,0)</f>
        <v>0</v>
      </c>
      <c r="U2355" s="64" t="n">
        <f aca="false">IF($K2355="Expected",$P2355,0)</f>
        <v>0</v>
      </c>
      <c r="V2355" s="64" t="n">
        <f aca="false">IF($K2355="Better",$P2355,0)</f>
        <v>0</v>
      </c>
      <c r="W2355" s="64" t="n">
        <f aca="false">IF($K2355="U – needs rule",$P2355,0)</f>
        <v>0</v>
      </c>
      <c r="X2355" s="64" t="n">
        <f aca="false">IF($K2355="No Start (attainment only)",$P2355,0)</f>
        <v>0</v>
      </c>
    </row>
    <row r="2356" customFormat="false" ht="15" hidden="false" customHeight="false" outlineLevel="0" collapsed="false">
      <c r="A2356" s="60"/>
      <c r="B2356" s="61" t="str">
        <f aca="false">IF($M2356=0,"",INDEX(Classes!$E$6:$E$420,$M2356))</f>
        <v/>
      </c>
      <c r="C2356" s="62" t="str">
        <f aca="false">IF($M2356=0,"",INDEX(Classes!$H$6:$H$420,$M2356))</f>
        <v/>
      </c>
      <c r="D2356" s="61" t="str">
        <f aca="false">IF($M2356=0,"",INDEX(Classes!$B$6:$B$420,$M2356))</f>
        <v/>
      </c>
      <c r="E2356" s="61" t="str">
        <f aca="false">IF($M2356=0,"",INDEX(Classes!$C$6:$C$420,$M2356))</f>
        <v/>
      </c>
      <c r="F2356" s="63"/>
      <c r="G2356" s="63"/>
      <c r="H2356" s="60"/>
      <c r="I2356" s="60"/>
      <c r="J2356" s="63"/>
      <c r="K2356" s="61" t="str">
        <f aca="false">IF($P2356=0,"",IF($F2356="Baseline","— Baseline",IF($O2356=0,"No result",IF($N2356=0,"No Start (attainment only)",IF(OR($N2356=1,$O2356=1),"U – needs rule",INDEX(MxBody,MATCH($I2356,MxCurr,0),MATCH($H2356,MxStart,0)))))))</f>
        <v/>
      </c>
      <c r="L2356" s="62" t="str">
        <f aca="false">IF(COUNTA($A2356,$F2356,$G2356,$H2356,$I2356,$J2356)=0,"",IF($M2356=0,"✖ كود الصف غير موجود",IF(ISNA(MATCH($F2356,Lists!$A$2:$A$5,0)),"✖ الفترة غير صحيحة",IF(ISNA(MATCH($G2356,Lists!$B$2:$B$7,0)),"✖ المجموعة غير صحيحة",IF(NOT(OR($H2356="",$N2356&gt;0)),"✖ Start غير صحيح",IF(NOT(OR($I2356="",$I2356="NR",$O2356&gt;0)),"✖ Current غير صحيح",IF(NOT(IF(ISNUMBER($J2356),AND($J2356&gt;=0,$J2356=INT($J2356)),FALSE())),"✖ العدد يجب أن يكون صحيحًا ≥ 0",IF(AND($F2356="Baseline",$H2356&lt;&gt;""),"⚠ Baseline: Start لا يدخل في التقدم",IF($K2356="No Start (attainment only)","ℹ تحصيل فقط (بدون Start)",IF($K2356="U – needs rule","ℹ حالة U تحتاج قاعدة معتمدة",IF($K2356="No result","ℹ بدون نتيجة (يُستبعد من التحصيل)","OK")))))))))))</f>
        <v/>
      </c>
      <c r="M2356" s="64" t="n">
        <f aca="false">IF($A2356="",0,IFERROR(MATCH($A2356,Classes!$A$6:$A$420,0),0))</f>
        <v>0</v>
      </c>
      <c r="N2356" s="64" t="n">
        <f aca="false">IF($H2356="",0,IFERROR(MATCH($H2356,GradeList,0),0))</f>
        <v>0</v>
      </c>
      <c r="O2356" s="64" t="n">
        <f aca="false">IF(OR($I2356="",$I2356="NR"),0,IFERROR(MATCH($I2356,GradeList,0),0))</f>
        <v>0</v>
      </c>
      <c r="P2356" s="64" t="n">
        <f aca="false">IF(AND($M2356&gt;0,ISNUMBER(MATCH($F2356,Lists!$A$2:$A$5,0)),ISNUMBER(MATCH($G2356,Lists!$B$2:$B$7,0)),OR($H2356="",$N2356&gt;0),OR($I2356="",$I2356="NR",$O2356&gt;0),IF(ISNUMBER($J2356),AND($J2356&gt;=0,$J2356=INT($J2356)),FALSE())),$J2356,0)</f>
        <v>0</v>
      </c>
      <c r="Q2356" s="64" t="n">
        <f aca="false">IF(AND($P2356&gt;0,$O2356&gt;0),$P2356,0)</f>
        <v>0</v>
      </c>
      <c r="R2356" s="64" t="n">
        <f aca="false">IF(AND($Q2356&gt;0,$O2356&gt;=AtRank),$Q2356,0)</f>
        <v>0</v>
      </c>
      <c r="S2356" s="64" t="n">
        <f aca="false">IF(AND($Q2356&gt;0,$O2356&gt;=AboveRank),$Q2356,0)</f>
        <v>0</v>
      </c>
      <c r="T2356" s="64" t="n">
        <f aca="false">IF($K2356="Less",$P2356,0)</f>
        <v>0</v>
      </c>
      <c r="U2356" s="64" t="n">
        <f aca="false">IF($K2356="Expected",$P2356,0)</f>
        <v>0</v>
      </c>
      <c r="V2356" s="64" t="n">
        <f aca="false">IF($K2356="Better",$P2356,0)</f>
        <v>0</v>
      </c>
      <c r="W2356" s="64" t="n">
        <f aca="false">IF($K2356="U – needs rule",$P2356,0)</f>
        <v>0</v>
      </c>
      <c r="X2356" s="64" t="n">
        <f aca="false">IF($K2356="No Start (attainment only)",$P2356,0)</f>
        <v>0</v>
      </c>
    </row>
    <row r="2357" customFormat="false" ht="15" hidden="false" customHeight="false" outlineLevel="0" collapsed="false">
      <c r="A2357" s="60"/>
      <c r="B2357" s="61" t="str">
        <f aca="false">IF($M2357=0,"",INDEX(Classes!$E$6:$E$420,$M2357))</f>
        <v/>
      </c>
      <c r="C2357" s="62" t="str">
        <f aca="false">IF($M2357=0,"",INDEX(Classes!$H$6:$H$420,$M2357))</f>
        <v/>
      </c>
      <c r="D2357" s="61" t="str">
        <f aca="false">IF($M2357=0,"",INDEX(Classes!$B$6:$B$420,$M2357))</f>
        <v/>
      </c>
      <c r="E2357" s="61" t="str">
        <f aca="false">IF($M2357=0,"",INDEX(Classes!$C$6:$C$420,$M2357))</f>
        <v/>
      </c>
      <c r="F2357" s="63"/>
      <c r="G2357" s="63"/>
      <c r="H2357" s="60"/>
      <c r="I2357" s="60"/>
      <c r="J2357" s="63"/>
      <c r="K2357" s="61" t="str">
        <f aca="false">IF($P2357=0,"",IF($F2357="Baseline","— Baseline",IF($O2357=0,"No result",IF($N2357=0,"No Start (attainment only)",IF(OR($N2357=1,$O2357=1),"U – needs rule",INDEX(MxBody,MATCH($I2357,MxCurr,0),MATCH($H2357,MxStart,0)))))))</f>
        <v/>
      </c>
      <c r="L2357" s="62" t="str">
        <f aca="false">IF(COUNTA($A2357,$F2357,$G2357,$H2357,$I2357,$J2357)=0,"",IF($M2357=0,"✖ كود الصف غير موجود",IF(ISNA(MATCH($F2357,Lists!$A$2:$A$5,0)),"✖ الفترة غير صحيحة",IF(ISNA(MATCH($G2357,Lists!$B$2:$B$7,0)),"✖ المجموعة غير صحيحة",IF(NOT(OR($H2357="",$N2357&gt;0)),"✖ Start غير صحيح",IF(NOT(OR($I2357="",$I2357="NR",$O2357&gt;0)),"✖ Current غير صحيح",IF(NOT(IF(ISNUMBER($J2357),AND($J2357&gt;=0,$J2357=INT($J2357)),FALSE())),"✖ العدد يجب أن يكون صحيحًا ≥ 0",IF(AND($F2357="Baseline",$H2357&lt;&gt;""),"⚠ Baseline: Start لا يدخل في التقدم",IF($K2357="No Start (attainment only)","ℹ تحصيل فقط (بدون Start)",IF($K2357="U – needs rule","ℹ حالة U تحتاج قاعدة معتمدة",IF($K2357="No result","ℹ بدون نتيجة (يُستبعد من التحصيل)","OK")))))))))))</f>
        <v/>
      </c>
      <c r="M2357" s="64" t="n">
        <f aca="false">IF($A2357="",0,IFERROR(MATCH($A2357,Classes!$A$6:$A$420,0),0))</f>
        <v>0</v>
      </c>
      <c r="N2357" s="64" t="n">
        <f aca="false">IF($H2357="",0,IFERROR(MATCH($H2357,GradeList,0),0))</f>
        <v>0</v>
      </c>
      <c r="O2357" s="64" t="n">
        <f aca="false">IF(OR($I2357="",$I2357="NR"),0,IFERROR(MATCH($I2357,GradeList,0),0))</f>
        <v>0</v>
      </c>
      <c r="P2357" s="64" t="n">
        <f aca="false">IF(AND($M2357&gt;0,ISNUMBER(MATCH($F2357,Lists!$A$2:$A$5,0)),ISNUMBER(MATCH($G2357,Lists!$B$2:$B$7,0)),OR($H2357="",$N2357&gt;0),OR($I2357="",$I2357="NR",$O2357&gt;0),IF(ISNUMBER($J2357),AND($J2357&gt;=0,$J2357=INT($J2357)),FALSE())),$J2357,0)</f>
        <v>0</v>
      </c>
      <c r="Q2357" s="64" t="n">
        <f aca="false">IF(AND($P2357&gt;0,$O2357&gt;0),$P2357,0)</f>
        <v>0</v>
      </c>
      <c r="R2357" s="64" t="n">
        <f aca="false">IF(AND($Q2357&gt;0,$O2357&gt;=AtRank),$Q2357,0)</f>
        <v>0</v>
      </c>
      <c r="S2357" s="64" t="n">
        <f aca="false">IF(AND($Q2357&gt;0,$O2357&gt;=AboveRank),$Q2357,0)</f>
        <v>0</v>
      </c>
      <c r="T2357" s="64" t="n">
        <f aca="false">IF($K2357="Less",$P2357,0)</f>
        <v>0</v>
      </c>
      <c r="U2357" s="64" t="n">
        <f aca="false">IF($K2357="Expected",$P2357,0)</f>
        <v>0</v>
      </c>
      <c r="V2357" s="64" t="n">
        <f aca="false">IF($K2357="Better",$P2357,0)</f>
        <v>0</v>
      </c>
      <c r="W2357" s="64" t="n">
        <f aca="false">IF($K2357="U – needs rule",$P2357,0)</f>
        <v>0</v>
      </c>
      <c r="X2357" s="64" t="n">
        <f aca="false">IF($K2357="No Start (attainment only)",$P2357,0)</f>
        <v>0</v>
      </c>
    </row>
    <row r="2358" customFormat="false" ht="15" hidden="false" customHeight="false" outlineLevel="0" collapsed="false">
      <c r="A2358" s="60"/>
      <c r="B2358" s="61" t="str">
        <f aca="false">IF($M2358=0,"",INDEX(Classes!$E$6:$E$420,$M2358))</f>
        <v/>
      </c>
      <c r="C2358" s="62" t="str">
        <f aca="false">IF($M2358=0,"",INDEX(Classes!$H$6:$H$420,$M2358))</f>
        <v/>
      </c>
      <c r="D2358" s="61" t="str">
        <f aca="false">IF($M2358=0,"",INDEX(Classes!$B$6:$B$420,$M2358))</f>
        <v/>
      </c>
      <c r="E2358" s="61" t="str">
        <f aca="false">IF($M2358=0,"",INDEX(Classes!$C$6:$C$420,$M2358))</f>
        <v/>
      </c>
      <c r="F2358" s="63"/>
      <c r="G2358" s="63"/>
      <c r="H2358" s="60"/>
      <c r="I2358" s="60"/>
      <c r="J2358" s="63"/>
      <c r="K2358" s="61" t="str">
        <f aca="false">IF($P2358=0,"",IF($F2358="Baseline","— Baseline",IF($O2358=0,"No result",IF($N2358=0,"No Start (attainment only)",IF(OR($N2358=1,$O2358=1),"U – needs rule",INDEX(MxBody,MATCH($I2358,MxCurr,0),MATCH($H2358,MxStart,0)))))))</f>
        <v/>
      </c>
      <c r="L2358" s="62" t="str">
        <f aca="false">IF(COUNTA($A2358,$F2358,$G2358,$H2358,$I2358,$J2358)=0,"",IF($M2358=0,"✖ كود الصف غير موجود",IF(ISNA(MATCH($F2358,Lists!$A$2:$A$5,0)),"✖ الفترة غير صحيحة",IF(ISNA(MATCH($G2358,Lists!$B$2:$B$7,0)),"✖ المجموعة غير صحيحة",IF(NOT(OR($H2358="",$N2358&gt;0)),"✖ Start غير صحيح",IF(NOT(OR($I2358="",$I2358="NR",$O2358&gt;0)),"✖ Current غير صحيح",IF(NOT(IF(ISNUMBER($J2358),AND($J2358&gt;=0,$J2358=INT($J2358)),FALSE())),"✖ العدد يجب أن يكون صحيحًا ≥ 0",IF(AND($F2358="Baseline",$H2358&lt;&gt;""),"⚠ Baseline: Start لا يدخل في التقدم",IF($K2358="No Start (attainment only)","ℹ تحصيل فقط (بدون Start)",IF($K2358="U – needs rule","ℹ حالة U تحتاج قاعدة معتمدة",IF($K2358="No result","ℹ بدون نتيجة (يُستبعد من التحصيل)","OK")))))))))))</f>
        <v/>
      </c>
      <c r="M2358" s="64" t="n">
        <f aca="false">IF($A2358="",0,IFERROR(MATCH($A2358,Classes!$A$6:$A$420,0),0))</f>
        <v>0</v>
      </c>
      <c r="N2358" s="64" t="n">
        <f aca="false">IF($H2358="",0,IFERROR(MATCH($H2358,GradeList,0),0))</f>
        <v>0</v>
      </c>
      <c r="O2358" s="64" t="n">
        <f aca="false">IF(OR($I2358="",$I2358="NR"),0,IFERROR(MATCH($I2358,GradeList,0),0))</f>
        <v>0</v>
      </c>
      <c r="P2358" s="64" t="n">
        <f aca="false">IF(AND($M2358&gt;0,ISNUMBER(MATCH($F2358,Lists!$A$2:$A$5,0)),ISNUMBER(MATCH($G2358,Lists!$B$2:$B$7,0)),OR($H2358="",$N2358&gt;0),OR($I2358="",$I2358="NR",$O2358&gt;0),IF(ISNUMBER($J2358),AND($J2358&gt;=0,$J2358=INT($J2358)),FALSE())),$J2358,0)</f>
        <v>0</v>
      </c>
      <c r="Q2358" s="64" t="n">
        <f aca="false">IF(AND($P2358&gt;0,$O2358&gt;0),$P2358,0)</f>
        <v>0</v>
      </c>
      <c r="R2358" s="64" t="n">
        <f aca="false">IF(AND($Q2358&gt;0,$O2358&gt;=AtRank),$Q2358,0)</f>
        <v>0</v>
      </c>
      <c r="S2358" s="64" t="n">
        <f aca="false">IF(AND($Q2358&gt;0,$O2358&gt;=AboveRank),$Q2358,0)</f>
        <v>0</v>
      </c>
      <c r="T2358" s="64" t="n">
        <f aca="false">IF($K2358="Less",$P2358,0)</f>
        <v>0</v>
      </c>
      <c r="U2358" s="64" t="n">
        <f aca="false">IF($K2358="Expected",$P2358,0)</f>
        <v>0</v>
      </c>
      <c r="V2358" s="64" t="n">
        <f aca="false">IF($K2358="Better",$P2358,0)</f>
        <v>0</v>
      </c>
      <c r="W2358" s="64" t="n">
        <f aca="false">IF($K2358="U – needs rule",$P2358,0)</f>
        <v>0</v>
      </c>
      <c r="X2358" s="64" t="n">
        <f aca="false">IF($K2358="No Start (attainment only)",$P2358,0)</f>
        <v>0</v>
      </c>
    </row>
    <row r="2359" customFormat="false" ht="15" hidden="false" customHeight="false" outlineLevel="0" collapsed="false">
      <c r="A2359" s="60"/>
      <c r="B2359" s="61" t="str">
        <f aca="false">IF($M2359=0,"",INDEX(Classes!$E$6:$E$420,$M2359))</f>
        <v/>
      </c>
      <c r="C2359" s="62" t="str">
        <f aca="false">IF($M2359=0,"",INDEX(Classes!$H$6:$H$420,$M2359))</f>
        <v/>
      </c>
      <c r="D2359" s="61" t="str">
        <f aca="false">IF($M2359=0,"",INDEX(Classes!$B$6:$B$420,$M2359))</f>
        <v/>
      </c>
      <c r="E2359" s="61" t="str">
        <f aca="false">IF($M2359=0,"",INDEX(Classes!$C$6:$C$420,$M2359))</f>
        <v/>
      </c>
      <c r="F2359" s="63"/>
      <c r="G2359" s="63"/>
      <c r="H2359" s="60"/>
      <c r="I2359" s="60"/>
      <c r="J2359" s="63"/>
      <c r="K2359" s="61" t="str">
        <f aca="false">IF($P2359=0,"",IF($F2359="Baseline","— Baseline",IF($O2359=0,"No result",IF($N2359=0,"No Start (attainment only)",IF(OR($N2359=1,$O2359=1),"U – needs rule",INDEX(MxBody,MATCH($I2359,MxCurr,0),MATCH($H2359,MxStart,0)))))))</f>
        <v/>
      </c>
      <c r="L2359" s="62" t="str">
        <f aca="false">IF(COUNTA($A2359,$F2359,$G2359,$H2359,$I2359,$J2359)=0,"",IF($M2359=0,"✖ كود الصف غير موجود",IF(ISNA(MATCH($F2359,Lists!$A$2:$A$5,0)),"✖ الفترة غير صحيحة",IF(ISNA(MATCH($G2359,Lists!$B$2:$B$7,0)),"✖ المجموعة غير صحيحة",IF(NOT(OR($H2359="",$N2359&gt;0)),"✖ Start غير صحيح",IF(NOT(OR($I2359="",$I2359="NR",$O2359&gt;0)),"✖ Current غير صحيح",IF(NOT(IF(ISNUMBER($J2359),AND($J2359&gt;=0,$J2359=INT($J2359)),FALSE())),"✖ العدد يجب أن يكون صحيحًا ≥ 0",IF(AND($F2359="Baseline",$H2359&lt;&gt;""),"⚠ Baseline: Start لا يدخل في التقدم",IF($K2359="No Start (attainment only)","ℹ تحصيل فقط (بدون Start)",IF($K2359="U – needs rule","ℹ حالة U تحتاج قاعدة معتمدة",IF($K2359="No result","ℹ بدون نتيجة (يُستبعد من التحصيل)","OK")))))))))))</f>
        <v/>
      </c>
      <c r="M2359" s="64" t="n">
        <f aca="false">IF($A2359="",0,IFERROR(MATCH($A2359,Classes!$A$6:$A$420,0),0))</f>
        <v>0</v>
      </c>
      <c r="N2359" s="64" t="n">
        <f aca="false">IF($H2359="",0,IFERROR(MATCH($H2359,GradeList,0),0))</f>
        <v>0</v>
      </c>
      <c r="O2359" s="64" t="n">
        <f aca="false">IF(OR($I2359="",$I2359="NR"),0,IFERROR(MATCH($I2359,GradeList,0),0))</f>
        <v>0</v>
      </c>
      <c r="P2359" s="64" t="n">
        <f aca="false">IF(AND($M2359&gt;0,ISNUMBER(MATCH($F2359,Lists!$A$2:$A$5,0)),ISNUMBER(MATCH($G2359,Lists!$B$2:$B$7,0)),OR($H2359="",$N2359&gt;0),OR($I2359="",$I2359="NR",$O2359&gt;0),IF(ISNUMBER($J2359),AND($J2359&gt;=0,$J2359=INT($J2359)),FALSE())),$J2359,0)</f>
        <v>0</v>
      </c>
      <c r="Q2359" s="64" t="n">
        <f aca="false">IF(AND($P2359&gt;0,$O2359&gt;0),$P2359,0)</f>
        <v>0</v>
      </c>
      <c r="R2359" s="64" t="n">
        <f aca="false">IF(AND($Q2359&gt;0,$O2359&gt;=AtRank),$Q2359,0)</f>
        <v>0</v>
      </c>
      <c r="S2359" s="64" t="n">
        <f aca="false">IF(AND($Q2359&gt;0,$O2359&gt;=AboveRank),$Q2359,0)</f>
        <v>0</v>
      </c>
      <c r="T2359" s="64" t="n">
        <f aca="false">IF($K2359="Less",$P2359,0)</f>
        <v>0</v>
      </c>
      <c r="U2359" s="64" t="n">
        <f aca="false">IF($K2359="Expected",$P2359,0)</f>
        <v>0</v>
      </c>
      <c r="V2359" s="64" t="n">
        <f aca="false">IF($K2359="Better",$P2359,0)</f>
        <v>0</v>
      </c>
      <c r="W2359" s="64" t="n">
        <f aca="false">IF($K2359="U – needs rule",$P2359,0)</f>
        <v>0</v>
      </c>
      <c r="X2359" s="64" t="n">
        <f aca="false">IF($K2359="No Start (attainment only)",$P2359,0)</f>
        <v>0</v>
      </c>
    </row>
    <row r="2360" customFormat="false" ht="15" hidden="false" customHeight="false" outlineLevel="0" collapsed="false">
      <c r="A2360" s="60"/>
      <c r="B2360" s="61" t="str">
        <f aca="false">IF($M2360=0,"",INDEX(Classes!$E$6:$E$420,$M2360))</f>
        <v/>
      </c>
      <c r="C2360" s="62" t="str">
        <f aca="false">IF($M2360=0,"",INDEX(Classes!$H$6:$H$420,$M2360))</f>
        <v/>
      </c>
      <c r="D2360" s="61" t="str">
        <f aca="false">IF($M2360=0,"",INDEX(Classes!$B$6:$B$420,$M2360))</f>
        <v/>
      </c>
      <c r="E2360" s="61" t="str">
        <f aca="false">IF($M2360=0,"",INDEX(Classes!$C$6:$C$420,$M2360))</f>
        <v/>
      </c>
      <c r="F2360" s="63"/>
      <c r="G2360" s="63"/>
      <c r="H2360" s="60"/>
      <c r="I2360" s="60"/>
      <c r="J2360" s="63"/>
      <c r="K2360" s="61" t="str">
        <f aca="false">IF($P2360=0,"",IF($F2360="Baseline","— Baseline",IF($O2360=0,"No result",IF($N2360=0,"No Start (attainment only)",IF(OR($N2360=1,$O2360=1),"U – needs rule",INDEX(MxBody,MATCH($I2360,MxCurr,0),MATCH($H2360,MxStart,0)))))))</f>
        <v/>
      </c>
      <c r="L2360" s="62" t="str">
        <f aca="false">IF(COUNTA($A2360,$F2360,$G2360,$H2360,$I2360,$J2360)=0,"",IF($M2360=0,"✖ كود الصف غير موجود",IF(ISNA(MATCH($F2360,Lists!$A$2:$A$5,0)),"✖ الفترة غير صحيحة",IF(ISNA(MATCH($G2360,Lists!$B$2:$B$7,0)),"✖ المجموعة غير صحيحة",IF(NOT(OR($H2360="",$N2360&gt;0)),"✖ Start غير صحيح",IF(NOT(OR($I2360="",$I2360="NR",$O2360&gt;0)),"✖ Current غير صحيح",IF(NOT(IF(ISNUMBER($J2360),AND($J2360&gt;=0,$J2360=INT($J2360)),FALSE())),"✖ العدد يجب أن يكون صحيحًا ≥ 0",IF(AND($F2360="Baseline",$H2360&lt;&gt;""),"⚠ Baseline: Start لا يدخل في التقدم",IF($K2360="No Start (attainment only)","ℹ تحصيل فقط (بدون Start)",IF($K2360="U – needs rule","ℹ حالة U تحتاج قاعدة معتمدة",IF($K2360="No result","ℹ بدون نتيجة (يُستبعد من التحصيل)","OK")))))))))))</f>
        <v/>
      </c>
      <c r="M2360" s="64" t="n">
        <f aca="false">IF($A2360="",0,IFERROR(MATCH($A2360,Classes!$A$6:$A$420,0),0))</f>
        <v>0</v>
      </c>
      <c r="N2360" s="64" t="n">
        <f aca="false">IF($H2360="",0,IFERROR(MATCH($H2360,GradeList,0),0))</f>
        <v>0</v>
      </c>
      <c r="O2360" s="64" t="n">
        <f aca="false">IF(OR($I2360="",$I2360="NR"),0,IFERROR(MATCH($I2360,GradeList,0),0))</f>
        <v>0</v>
      </c>
      <c r="P2360" s="64" t="n">
        <f aca="false">IF(AND($M2360&gt;0,ISNUMBER(MATCH($F2360,Lists!$A$2:$A$5,0)),ISNUMBER(MATCH($G2360,Lists!$B$2:$B$7,0)),OR($H2360="",$N2360&gt;0),OR($I2360="",$I2360="NR",$O2360&gt;0),IF(ISNUMBER($J2360),AND($J2360&gt;=0,$J2360=INT($J2360)),FALSE())),$J2360,0)</f>
        <v>0</v>
      </c>
      <c r="Q2360" s="64" t="n">
        <f aca="false">IF(AND($P2360&gt;0,$O2360&gt;0),$P2360,0)</f>
        <v>0</v>
      </c>
      <c r="R2360" s="64" t="n">
        <f aca="false">IF(AND($Q2360&gt;0,$O2360&gt;=AtRank),$Q2360,0)</f>
        <v>0</v>
      </c>
      <c r="S2360" s="64" t="n">
        <f aca="false">IF(AND($Q2360&gt;0,$O2360&gt;=AboveRank),$Q2360,0)</f>
        <v>0</v>
      </c>
      <c r="T2360" s="64" t="n">
        <f aca="false">IF($K2360="Less",$P2360,0)</f>
        <v>0</v>
      </c>
      <c r="U2360" s="64" t="n">
        <f aca="false">IF($K2360="Expected",$P2360,0)</f>
        <v>0</v>
      </c>
      <c r="V2360" s="64" t="n">
        <f aca="false">IF($K2360="Better",$P2360,0)</f>
        <v>0</v>
      </c>
      <c r="W2360" s="64" t="n">
        <f aca="false">IF($K2360="U – needs rule",$P2360,0)</f>
        <v>0</v>
      </c>
      <c r="X2360" s="64" t="n">
        <f aca="false">IF($K2360="No Start (attainment only)",$P2360,0)</f>
        <v>0</v>
      </c>
    </row>
    <row r="2361" customFormat="false" ht="15" hidden="false" customHeight="false" outlineLevel="0" collapsed="false">
      <c r="A2361" s="60"/>
      <c r="B2361" s="61" t="str">
        <f aca="false">IF($M2361=0,"",INDEX(Classes!$E$6:$E$420,$M2361))</f>
        <v/>
      </c>
      <c r="C2361" s="62" t="str">
        <f aca="false">IF($M2361=0,"",INDEX(Classes!$H$6:$H$420,$M2361))</f>
        <v/>
      </c>
      <c r="D2361" s="61" t="str">
        <f aca="false">IF($M2361=0,"",INDEX(Classes!$B$6:$B$420,$M2361))</f>
        <v/>
      </c>
      <c r="E2361" s="61" t="str">
        <f aca="false">IF($M2361=0,"",INDEX(Classes!$C$6:$C$420,$M2361))</f>
        <v/>
      </c>
      <c r="F2361" s="63"/>
      <c r="G2361" s="63"/>
      <c r="H2361" s="60"/>
      <c r="I2361" s="60"/>
      <c r="J2361" s="63"/>
      <c r="K2361" s="61" t="str">
        <f aca="false">IF($P2361=0,"",IF($F2361="Baseline","— Baseline",IF($O2361=0,"No result",IF($N2361=0,"No Start (attainment only)",IF(OR($N2361=1,$O2361=1),"U – needs rule",INDEX(MxBody,MATCH($I2361,MxCurr,0),MATCH($H2361,MxStart,0)))))))</f>
        <v/>
      </c>
      <c r="L2361" s="62" t="str">
        <f aca="false">IF(COUNTA($A2361,$F2361,$G2361,$H2361,$I2361,$J2361)=0,"",IF($M2361=0,"✖ كود الصف غير موجود",IF(ISNA(MATCH($F2361,Lists!$A$2:$A$5,0)),"✖ الفترة غير صحيحة",IF(ISNA(MATCH($G2361,Lists!$B$2:$B$7,0)),"✖ المجموعة غير صحيحة",IF(NOT(OR($H2361="",$N2361&gt;0)),"✖ Start غير صحيح",IF(NOT(OR($I2361="",$I2361="NR",$O2361&gt;0)),"✖ Current غير صحيح",IF(NOT(IF(ISNUMBER($J2361),AND($J2361&gt;=0,$J2361=INT($J2361)),FALSE())),"✖ العدد يجب أن يكون صحيحًا ≥ 0",IF(AND($F2361="Baseline",$H2361&lt;&gt;""),"⚠ Baseline: Start لا يدخل في التقدم",IF($K2361="No Start (attainment only)","ℹ تحصيل فقط (بدون Start)",IF($K2361="U – needs rule","ℹ حالة U تحتاج قاعدة معتمدة",IF($K2361="No result","ℹ بدون نتيجة (يُستبعد من التحصيل)","OK")))))))))))</f>
        <v/>
      </c>
      <c r="M2361" s="64" t="n">
        <f aca="false">IF($A2361="",0,IFERROR(MATCH($A2361,Classes!$A$6:$A$420,0),0))</f>
        <v>0</v>
      </c>
      <c r="N2361" s="64" t="n">
        <f aca="false">IF($H2361="",0,IFERROR(MATCH($H2361,GradeList,0),0))</f>
        <v>0</v>
      </c>
      <c r="O2361" s="64" t="n">
        <f aca="false">IF(OR($I2361="",$I2361="NR"),0,IFERROR(MATCH($I2361,GradeList,0),0))</f>
        <v>0</v>
      </c>
      <c r="P2361" s="64" t="n">
        <f aca="false">IF(AND($M2361&gt;0,ISNUMBER(MATCH($F2361,Lists!$A$2:$A$5,0)),ISNUMBER(MATCH($G2361,Lists!$B$2:$B$7,0)),OR($H2361="",$N2361&gt;0),OR($I2361="",$I2361="NR",$O2361&gt;0),IF(ISNUMBER($J2361),AND($J2361&gt;=0,$J2361=INT($J2361)),FALSE())),$J2361,0)</f>
        <v>0</v>
      </c>
      <c r="Q2361" s="64" t="n">
        <f aca="false">IF(AND($P2361&gt;0,$O2361&gt;0),$P2361,0)</f>
        <v>0</v>
      </c>
      <c r="R2361" s="64" t="n">
        <f aca="false">IF(AND($Q2361&gt;0,$O2361&gt;=AtRank),$Q2361,0)</f>
        <v>0</v>
      </c>
      <c r="S2361" s="64" t="n">
        <f aca="false">IF(AND($Q2361&gt;0,$O2361&gt;=AboveRank),$Q2361,0)</f>
        <v>0</v>
      </c>
      <c r="T2361" s="64" t="n">
        <f aca="false">IF($K2361="Less",$P2361,0)</f>
        <v>0</v>
      </c>
      <c r="U2361" s="64" t="n">
        <f aca="false">IF($K2361="Expected",$P2361,0)</f>
        <v>0</v>
      </c>
      <c r="V2361" s="64" t="n">
        <f aca="false">IF($K2361="Better",$P2361,0)</f>
        <v>0</v>
      </c>
      <c r="W2361" s="64" t="n">
        <f aca="false">IF($K2361="U – needs rule",$P2361,0)</f>
        <v>0</v>
      </c>
      <c r="X2361" s="64" t="n">
        <f aca="false">IF($K2361="No Start (attainment only)",$P2361,0)</f>
        <v>0</v>
      </c>
    </row>
    <row r="2362" customFormat="false" ht="15" hidden="false" customHeight="false" outlineLevel="0" collapsed="false">
      <c r="A2362" s="60"/>
      <c r="B2362" s="61" t="str">
        <f aca="false">IF($M2362=0,"",INDEX(Classes!$E$6:$E$420,$M2362))</f>
        <v/>
      </c>
      <c r="C2362" s="62" t="str">
        <f aca="false">IF($M2362=0,"",INDEX(Classes!$H$6:$H$420,$M2362))</f>
        <v/>
      </c>
      <c r="D2362" s="61" t="str">
        <f aca="false">IF($M2362=0,"",INDEX(Classes!$B$6:$B$420,$M2362))</f>
        <v/>
      </c>
      <c r="E2362" s="61" t="str">
        <f aca="false">IF($M2362=0,"",INDEX(Classes!$C$6:$C$420,$M2362))</f>
        <v/>
      </c>
      <c r="F2362" s="63"/>
      <c r="G2362" s="63"/>
      <c r="H2362" s="60"/>
      <c r="I2362" s="60"/>
      <c r="J2362" s="63"/>
      <c r="K2362" s="61" t="str">
        <f aca="false">IF($P2362=0,"",IF($F2362="Baseline","— Baseline",IF($O2362=0,"No result",IF($N2362=0,"No Start (attainment only)",IF(OR($N2362=1,$O2362=1),"U – needs rule",INDEX(MxBody,MATCH($I2362,MxCurr,0),MATCH($H2362,MxStart,0)))))))</f>
        <v/>
      </c>
      <c r="L2362" s="62" t="str">
        <f aca="false">IF(COUNTA($A2362,$F2362,$G2362,$H2362,$I2362,$J2362)=0,"",IF($M2362=0,"✖ كود الصف غير موجود",IF(ISNA(MATCH($F2362,Lists!$A$2:$A$5,0)),"✖ الفترة غير صحيحة",IF(ISNA(MATCH($G2362,Lists!$B$2:$B$7,0)),"✖ المجموعة غير صحيحة",IF(NOT(OR($H2362="",$N2362&gt;0)),"✖ Start غير صحيح",IF(NOT(OR($I2362="",$I2362="NR",$O2362&gt;0)),"✖ Current غير صحيح",IF(NOT(IF(ISNUMBER($J2362),AND($J2362&gt;=0,$J2362=INT($J2362)),FALSE())),"✖ العدد يجب أن يكون صحيحًا ≥ 0",IF(AND($F2362="Baseline",$H2362&lt;&gt;""),"⚠ Baseline: Start لا يدخل في التقدم",IF($K2362="No Start (attainment only)","ℹ تحصيل فقط (بدون Start)",IF($K2362="U – needs rule","ℹ حالة U تحتاج قاعدة معتمدة",IF($K2362="No result","ℹ بدون نتيجة (يُستبعد من التحصيل)","OK")))))))))))</f>
        <v/>
      </c>
      <c r="M2362" s="64" t="n">
        <f aca="false">IF($A2362="",0,IFERROR(MATCH($A2362,Classes!$A$6:$A$420,0),0))</f>
        <v>0</v>
      </c>
      <c r="N2362" s="64" t="n">
        <f aca="false">IF($H2362="",0,IFERROR(MATCH($H2362,GradeList,0),0))</f>
        <v>0</v>
      </c>
      <c r="O2362" s="64" t="n">
        <f aca="false">IF(OR($I2362="",$I2362="NR"),0,IFERROR(MATCH($I2362,GradeList,0),0))</f>
        <v>0</v>
      </c>
      <c r="P2362" s="64" t="n">
        <f aca="false">IF(AND($M2362&gt;0,ISNUMBER(MATCH($F2362,Lists!$A$2:$A$5,0)),ISNUMBER(MATCH($G2362,Lists!$B$2:$B$7,0)),OR($H2362="",$N2362&gt;0),OR($I2362="",$I2362="NR",$O2362&gt;0),IF(ISNUMBER($J2362),AND($J2362&gt;=0,$J2362=INT($J2362)),FALSE())),$J2362,0)</f>
        <v>0</v>
      </c>
      <c r="Q2362" s="64" t="n">
        <f aca="false">IF(AND($P2362&gt;0,$O2362&gt;0),$P2362,0)</f>
        <v>0</v>
      </c>
      <c r="R2362" s="64" t="n">
        <f aca="false">IF(AND($Q2362&gt;0,$O2362&gt;=AtRank),$Q2362,0)</f>
        <v>0</v>
      </c>
      <c r="S2362" s="64" t="n">
        <f aca="false">IF(AND($Q2362&gt;0,$O2362&gt;=AboveRank),$Q2362,0)</f>
        <v>0</v>
      </c>
      <c r="T2362" s="64" t="n">
        <f aca="false">IF($K2362="Less",$P2362,0)</f>
        <v>0</v>
      </c>
      <c r="U2362" s="64" t="n">
        <f aca="false">IF($K2362="Expected",$P2362,0)</f>
        <v>0</v>
      </c>
      <c r="V2362" s="64" t="n">
        <f aca="false">IF($K2362="Better",$P2362,0)</f>
        <v>0</v>
      </c>
      <c r="W2362" s="64" t="n">
        <f aca="false">IF($K2362="U – needs rule",$P2362,0)</f>
        <v>0</v>
      </c>
      <c r="X2362" s="64" t="n">
        <f aca="false">IF($K2362="No Start (attainment only)",$P2362,0)</f>
        <v>0</v>
      </c>
    </row>
    <row r="2363" customFormat="false" ht="15" hidden="false" customHeight="false" outlineLevel="0" collapsed="false">
      <c r="A2363" s="60"/>
      <c r="B2363" s="61" t="str">
        <f aca="false">IF($M2363=0,"",INDEX(Classes!$E$6:$E$420,$M2363))</f>
        <v/>
      </c>
      <c r="C2363" s="62" t="str">
        <f aca="false">IF($M2363=0,"",INDEX(Classes!$H$6:$H$420,$M2363))</f>
        <v/>
      </c>
      <c r="D2363" s="61" t="str">
        <f aca="false">IF($M2363=0,"",INDEX(Classes!$B$6:$B$420,$M2363))</f>
        <v/>
      </c>
      <c r="E2363" s="61" t="str">
        <f aca="false">IF($M2363=0,"",INDEX(Classes!$C$6:$C$420,$M2363))</f>
        <v/>
      </c>
      <c r="F2363" s="63"/>
      <c r="G2363" s="63"/>
      <c r="H2363" s="60"/>
      <c r="I2363" s="60"/>
      <c r="J2363" s="63"/>
      <c r="K2363" s="61" t="str">
        <f aca="false">IF($P2363=0,"",IF($F2363="Baseline","— Baseline",IF($O2363=0,"No result",IF($N2363=0,"No Start (attainment only)",IF(OR($N2363=1,$O2363=1),"U – needs rule",INDEX(MxBody,MATCH($I2363,MxCurr,0),MATCH($H2363,MxStart,0)))))))</f>
        <v/>
      </c>
      <c r="L2363" s="62" t="str">
        <f aca="false">IF(COUNTA($A2363,$F2363,$G2363,$H2363,$I2363,$J2363)=0,"",IF($M2363=0,"✖ كود الصف غير موجود",IF(ISNA(MATCH($F2363,Lists!$A$2:$A$5,0)),"✖ الفترة غير صحيحة",IF(ISNA(MATCH($G2363,Lists!$B$2:$B$7,0)),"✖ المجموعة غير صحيحة",IF(NOT(OR($H2363="",$N2363&gt;0)),"✖ Start غير صحيح",IF(NOT(OR($I2363="",$I2363="NR",$O2363&gt;0)),"✖ Current غير صحيح",IF(NOT(IF(ISNUMBER($J2363),AND($J2363&gt;=0,$J2363=INT($J2363)),FALSE())),"✖ العدد يجب أن يكون صحيحًا ≥ 0",IF(AND($F2363="Baseline",$H2363&lt;&gt;""),"⚠ Baseline: Start لا يدخل في التقدم",IF($K2363="No Start (attainment only)","ℹ تحصيل فقط (بدون Start)",IF($K2363="U – needs rule","ℹ حالة U تحتاج قاعدة معتمدة",IF($K2363="No result","ℹ بدون نتيجة (يُستبعد من التحصيل)","OK")))))))))))</f>
        <v/>
      </c>
      <c r="M2363" s="64" t="n">
        <f aca="false">IF($A2363="",0,IFERROR(MATCH($A2363,Classes!$A$6:$A$420,0),0))</f>
        <v>0</v>
      </c>
      <c r="N2363" s="64" t="n">
        <f aca="false">IF($H2363="",0,IFERROR(MATCH($H2363,GradeList,0),0))</f>
        <v>0</v>
      </c>
      <c r="O2363" s="64" t="n">
        <f aca="false">IF(OR($I2363="",$I2363="NR"),0,IFERROR(MATCH($I2363,GradeList,0),0))</f>
        <v>0</v>
      </c>
      <c r="P2363" s="64" t="n">
        <f aca="false">IF(AND($M2363&gt;0,ISNUMBER(MATCH($F2363,Lists!$A$2:$A$5,0)),ISNUMBER(MATCH($G2363,Lists!$B$2:$B$7,0)),OR($H2363="",$N2363&gt;0),OR($I2363="",$I2363="NR",$O2363&gt;0),IF(ISNUMBER($J2363),AND($J2363&gt;=0,$J2363=INT($J2363)),FALSE())),$J2363,0)</f>
        <v>0</v>
      </c>
      <c r="Q2363" s="64" t="n">
        <f aca="false">IF(AND($P2363&gt;0,$O2363&gt;0),$P2363,0)</f>
        <v>0</v>
      </c>
      <c r="R2363" s="64" t="n">
        <f aca="false">IF(AND($Q2363&gt;0,$O2363&gt;=AtRank),$Q2363,0)</f>
        <v>0</v>
      </c>
      <c r="S2363" s="64" t="n">
        <f aca="false">IF(AND($Q2363&gt;0,$O2363&gt;=AboveRank),$Q2363,0)</f>
        <v>0</v>
      </c>
      <c r="T2363" s="64" t="n">
        <f aca="false">IF($K2363="Less",$P2363,0)</f>
        <v>0</v>
      </c>
      <c r="U2363" s="64" t="n">
        <f aca="false">IF($K2363="Expected",$P2363,0)</f>
        <v>0</v>
      </c>
      <c r="V2363" s="64" t="n">
        <f aca="false">IF($K2363="Better",$P2363,0)</f>
        <v>0</v>
      </c>
      <c r="W2363" s="64" t="n">
        <f aca="false">IF($K2363="U – needs rule",$P2363,0)</f>
        <v>0</v>
      </c>
      <c r="X2363" s="64" t="n">
        <f aca="false">IF($K2363="No Start (attainment only)",$P2363,0)</f>
        <v>0</v>
      </c>
    </row>
    <row r="2364" customFormat="false" ht="15" hidden="false" customHeight="false" outlineLevel="0" collapsed="false">
      <c r="A2364" s="60"/>
      <c r="B2364" s="61" t="str">
        <f aca="false">IF($M2364=0,"",INDEX(Classes!$E$6:$E$420,$M2364))</f>
        <v/>
      </c>
      <c r="C2364" s="62" t="str">
        <f aca="false">IF($M2364=0,"",INDEX(Classes!$H$6:$H$420,$M2364))</f>
        <v/>
      </c>
      <c r="D2364" s="61" t="str">
        <f aca="false">IF($M2364=0,"",INDEX(Classes!$B$6:$B$420,$M2364))</f>
        <v/>
      </c>
      <c r="E2364" s="61" t="str">
        <f aca="false">IF($M2364=0,"",INDEX(Classes!$C$6:$C$420,$M2364))</f>
        <v/>
      </c>
      <c r="F2364" s="63"/>
      <c r="G2364" s="63"/>
      <c r="H2364" s="60"/>
      <c r="I2364" s="60"/>
      <c r="J2364" s="63"/>
      <c r="K2364" s="61" t="str">
        <f aca="false">IF($P2364=0,"",IF($F2364="Baseline","— Baseline",IF($O2364=0,"No result",IF($N2364=0,"No Start (attainment only)",IF(OR($N2364=1,$O2364=1),"U – needs rule",INDEX(MxBody,MATCH($I2364,MxCurr,0),MATCH($H2364,MxStart,0)))))))</f>
        <v/>
      </c>
      <c r="L2364" s="62" t="str">
        <f aca="false">IF(COUNTA($A2364,$F2364,$G2364,$H2364,$I2364,$J2364)=0,"",IF($M2364=0,"✖ كود الصف غير موجود",IF(ISNA(MATCH($F2364,Lists!$A$2:$A$5,0)),"✖ الفترة غير صحيحة",IF(ISNA(MATCH($G2364,Lists!$B$2:$B$7,0)),"✖ المجموعة غير صحيحة",IF(NOT(OR($H2364="",$N2364&gt;0)),"✖ Start غير صحيح",IF(NOT(OR($I2364="",$I2364="NR",$O2364&gt;0)),"✖ Current غير صحيح",IF(NOT(IF(ISNUMBER($J2364),AND($J2364&gt;=0,$J2364=INT($J2364)),FALSE())),"✖ العدد يجب أن يكون صحيحًا ≥ 0",IF(AND($F2364="Baseline",$H2364&lt;&gt;""),"⚠ Baseline: Start لا يدخل في التقدم",IF($K2364="No Start (attainment only)","ℹ تحصيل فقط (بدون Start)",IF($K2364="U – needs rule","ℹ حالة U تحتاج قاعدة معتمدة",IF($K2364="No result","ℹ بدون نتيجة (يُستبعد من التحصيل)","OK")))))))))))</f>
        <v/>
      </c>
      <c r="M2364" s="64" t="n">
        <f aca="false">IF($A2364="",0,IFERROR(MATCH($A2364,Classes!$A$6:$A$420,0),0))</f>
        <v>0</v>
      </c>
      <c r="N2364" s="64" t="n">
        <f aca="false">IF($H2364="",0,IFERROR(MATCH($H2364,GradeList,0),0))</f>
        <v>0</v>
      </c>
      <c r="O2364" s="64" t="n">
        <f aca="false">IF(OR($I2364="",$I2364="NR"),0,IFERROR(MATCH($I2364,GradeList,0),0))</f>
        <v>0</v>
      </c>
      <c r="P2364" s="64" t="n">
        <f aca="false">IF(AND($M2364&gt;0,ISNUMBER(MATCH($F2364,Lists!$A$2:$A$5,0)),ISNUMBER(MATCH($G2364,Lists!$B$2:$B$7,0)),OR($H2364="",$N2364&gt;0),OR($I2364="",$I2364="NR",$O2364&gt;0),IF(ISNUMBER($J2364),AND($J2364&gt;=0,$J2364=INT($J2364)),FALSE())),$J2364,0)</f>
        <v>0</v>
      </c>
      <c r="Q2364" s="64" t="n">
        <f aca="false">IF(AND($P2364&gt;0,$O2364&gt;0),$P2364,0)</f>
        <v>0</v>
      </c>
      <c r="R2364" s="64" t="n">
        <f aca="false">IF(AND($Q2364&gt;0,$O2364&gt;=AtRank),$Q2364,0)</f>
        <v>0</v>
      </c>
      <c r="S2364" s="64" t="n">
        <f aca="false">IF(AND($Q2364&gt;0,$O2364&gt;=AboveRank),$Q2364,0)</f>
        <v>0</v>
      </c>
      <c r="T2364" s="64" t="n">
        <f aca="false">IF($K2364="Less",$P2364,0)</f>
        <v>0</v>
      </c>
      <c r="U2364" s="64" t="n">
        <f aca="false">IF($K2364="Expected",$P2364,0)</f>
        <v>0</v>
      </c>
      <c r="V2364" s="64" t="n">
        <f aca="false">IF($K2364="Better",$P2364,0)</f>
        <v>0</v>
      </c>
      <c r="W2364" s="64" t="n">
        <f aca="false">IF($K2364="U – needs rule",$P2364,0)</f>
        <v>0</v>
      </c>
      <c r="X2364" s="64" t="n">
        <f aca="false">IF($K2364="No Start (attainment only)",$P2364,0)</f>
        <v>0</v>
      </c>
    </row>
    <row r="2365" customFormat="false" ht="15" hidden="false" customHeight="false" outlineLevel="0" collapsed="false">
      <c r="A2365" s="60"/>
      <c r="B2365" s="61" t="str">
        <f aca="false">IF($M2365=0,"",INDEX(Classes!$E$6:$E$420,$M2365))</f>
        <v/>
      </c>
      <c r="C2365" s="62" t="str">
        <f aca="false">IF($M2365=0,"",INDEX(Classes!$H$6:$H$420,$M2365))</f>
        <v/>
      </c>
      <c r="D2365" s="61" t="str">
        <f aca="false">IF($M2365=0,"",INDEX(Classes!$B$6:$B$420,$M2365))</f>
        <v/>
      </c>
      <c r="E2365" s="61" t="str">
        <f aca="false">IF($M2365=0,"",INDEX(Classes!$C$6:$C$420,$M2365))</f>
        <v/>
      </c>
      <c r="F2365" s="63"/>
      <c r="G2365" s="63"/>
      <c r="H2365" s="60"/>
      <c r="I2365" s="60"/>
      <c r="J2365" s="63"/>
      <c r="K2365" s="61" t="str">
        <f aca="false">IF($P2365=0,"",IF($F2365="Baseline","— Baseline",IF($O2365=0,"No result",IF($N2365=0,"No Start (attainment only)",IF(OR($N2365=1,$O2365=1),"U – needs rule",INDEX(MxBody,MATCH($I2365,MxCurr,0),MATCH($H2365,MxStart,0)))))))</f>
        <v/>
      </c>
      <c r="L2365" s="62" t="str">
        <f aca="false">IF(COUNTA($A2365,$F2365,$G2365,$H2365,$I2365,$J2365)=0,"",IF($M2365=0,"✖ كود الصف غير موجود",IF(ISNA(MATCH($F2365,Lists!$A$2:$A$5,0)),"✖ الفترة غير صحيحة",IF(ISNA(MATCH($G2365,Lists!$B$2:$B$7,0)),"✖ المجموعة غير صحيحة",IF(NOT(OR($H2365="",$N2365&gt;0)),"✖ Start غير صحيح",IF(NOT(OR($I2365="",$I2365="NR",$O2365&gt;0)),"✖ Current غير صحيح",IF(NOT(IF(ISNUMBER($J2365),AND($J2365&gt;=0,$J2365=INT($J2365)),FALSE())),"✖ العدد يجب أن يكون صحيحًا ≥ 0",IF(AND($F2365="Baseline",$H2365&lt;&gt;""),"⚠ Baseline: Start لا يدخل في التقدم",IF($K2365="No Start (attainment only)","ℹ تحصيل فقط (بدون Start)",IF($K2365="U – needs rule","ℹ حالة U تحتاج قاعدة معتمدة",IF($K2365="No result","ℹ بدون نتيجة (يُستبعد من التحصيل)","OK")))))))))))</f>
        <v/>
      </c>
      <c r="M2365" s="64" t="n">
        <f aca="false">IF($A2365="",0,IFERROR(MATCH($A2365,Classes!$A$6:$A$420,0),0))</f>
        <v>0</v>
      </c>
      <c r="N2365" s="64" t="n">
        <f aca="false">IF($H2365="",0,IFERROR(MATCH($H2365,GradeList,0),0))</f>
        <v>0</v>
      </c>
      <c r="O2365" s="64" t="n">
        <f aca="false">IF(OR($I2365="",$I2365="NR"),0,IFERROR(MATCH($I2365,GradeList,0),0))</f>
        <v>0</v>
      </c>
      <c r="P2365" s="64" t="n">
        <f aca="false">IF(AND($M2365&gt;0,ISNUMBER(MATCH($F2365,Lists!$A$2:$A$5,0)),ISNUMBER(MATCH($G2365,Lists!$B$2:$B$7,0)),OR($H2365="",$N2365&gt;0),OR($I2365="",$I2365="NR",$O2365&gt;0),IF(ISNUMBER($J2365),AND($J2365&gt;=0,$J2365=INT($J2365)),FALSE())),$J2365,0)</f>
        <v>0</v>
      </c>
      <c r="Q2365" s="64" t="n">
        <f aca="false">IF(AND($P2365&gt;0,$O2365&gt;0),$P2365,0)</f>
        <v>0</v>
      </c>
      <c r="R2365" s="64" t="n">
        <f aca="false">IF(AND($Q2365&gt;0,$O2365&gt;=AtRank),$Q2365,0)</f>
        <v>0</v>
      </c>
      <c r="S2365" s="64" t="n">
        <f aca="false">IF(AND($Q2365&gt;0,$O2365&gt;=AboveRank),$Q2365,0)</f>
        <v>0</v>
      </c>
      <c r="T2365" s="64" t="n">
        <f aca="false">IF($K2365="Less",$P2365,0)</f>
        <v>0</v>
      </c>
      <c r="U2365" s="64" t="n">
        <f aca="false">IF($K2365="Expected",$P2365,0)</f>
        <v>0</v>
      </c>
      <c r="V2365" s="64" t="n">
        <f aca="false">IF($K2365="Better",$P2365,0)</f>
        <v>0</v>
      </c>
      <c r="W2365" s="64" t="n">
        <f aca="false">IF($K2365="U – needs rule",$P2365,0)</f>
        <v>0</v>
      </c>
      <c r="X2365" s="64" t="n">
        <f aca="false">IF($K2365="No Start (attainment only)",$P2365,0)</f>
        <v>0</v>
      </c>
    </row>
    <row r="2366" customFormat="false" ht="15" hidden="false" customHeight="false" outlineLevel="0" collapsed="false">
      <c r="A2366" s="60"/>
      <c r="B2366" s="61" t="str">
        <f aca="false">IF($M2366=0,"",INDEX(Classes!$E$6:$E$420,$M2366))</f>
        <v/>
      </c>
      <c r="C2366" s="62" t="str">
        <f aca="false">IF($M2366=0,"",INDEX(Classes!$H$6:$H$420,$M2366))</f>
        <v/>
      </c>
      <c r="D2366" s="61" t="str">
        <f aca="false">IF($M2366=0,"",INDEX(Classes!$B$6:$B$420,$M2366))</f>
        <v/>
      </c>
      <c r="E2366" s="61" t="str">
        <f aca="false">IF($M2366=0,"",INDEX(Classes!$C$6:$C$420,$M2366))</f>
        <v/>
      </c>
      <c r="F2366" s="63"/>
      <c r="G2366" s="63"/>
      <c r="H2366" s="60"/>
      <c r="I2366" s="60"/>
      <c r="J2366" s="63"/>
      <c r="K2366" s="61" t="str">
        <f aca="false">IF($P2366=0,"",IF($F2366="Baseline","— Baseline",IF($O2366=0,"No result",IF($N2366=0,"No Start (attainment only)",IF(OR($N2366=1,$O2366=1),"U – needs rule",INDEX(MxBody,MATCH($I2366,MxCurr,0),MATCH($H2366,MxStart,0)))))))</f>
        <v/>
      </c>
      <c r="L2366" s="62" t="str">
        <f aca="false">IF(COUNTA($A2366,$F2366,$G2366,$H2366,$I2366,$J2366)=0,"",IF($M2366=0,"✖ كود الصف غير موجود",IF(ISNA(MATCH($F2366,Lists!$A$2:$A$5,0)),"✖ الفترة غير صحيحة",IF(ISNA(MATCH($G2366,Lists!$B$2:$B$7,0)),"✖ المجموعة غير صحيحة",IF(NOT(OR($H2366="",$N2366&gt;0)),"✖ Start غير صحيح",IF(NOT(OR($I2366="",$I2366="NR",$O2366&gt;0)),"✖ Current غير صحيح",IF(NOT(IF(ISNUMBER($J2366),AND($J2366&gt;=0,$J2366=INT($J2366)),FALSE())),"✖ العدد يجب أن يكون صحيحًا ≥ 0",IF(AND($F2366="Baseline",$H2366&lt;&gt;""),"⚠ Baseline: Start لا يدخل في التقدم",IF($K2366="No Start (attainment only)","ℹ تحصيل فقط (بدون Start)",IF($K2366="U – needs rule","ℹ حالة U تحتاج قاعدة معتمدة",IF($K2366="No result","ℹ بدون نتيجة (يُستبعد من التحصيل)","OK")))))))))))</f>
        <v/>
      </c>
      <c r="M2366" s="64" t="n">
        <f aca="false">IF($A2366="",0,IFERROR(MATCH($A2366,Classes!$A$6:$A$420,0),0))</f>
        <v>0</v>
      </c>
      <c r="N2366" s="64" t="n">
        <f aca="false">IF($H2366="",0,IFERROR(MATCH($H2366,GradeList,0),0))</f>
        <v>0</v>
      </c>
      <c r="O2366" s="64" t="n">
        <f aca="false">IF(OR($I2366="",$I2366="NR"),0,IFERROR(MATCH($I2366,GradeList,0),0))</f>
        <v>0</v>
      </c>
      <c r="P2366" s="64" t="n">
        <f aca="false">IF(AND($M2366&gt;0,ISNUMBER(MATCH($F2366,Lists!$A$2:$A$5,0)),ISNUMBER(MATCH($G2366,Lists!$B$2:$B$7,0)),OR($H2366="",$N2366&gt;0),OR($I2366="",$I2366="NR",$O2366&gt;0),IF(ISNUMBER($J2366),AND($J2366&gt;=0,$J2366=INT($J2366)),FALSE())),$J2366,0)</f>
        <v>0</v>
      </c>
      <c r="Q2366" s="64" t="n">
        <f aca="false">IF(AND($P2366&gt;0,$O2366&gt;0),$P2366,0)</f>
        <v>0</v>
      </c>
      <c r="R2366" s="64" t="n">
        <f aca="false">IF(AND($Q2366&gt;0,$O2366&gt;=AtRank),$Q2366,0)</f>
        <v>0</v>
      </c>
      <c r="S2366" s="64" t="n">
        <f aca="false">IF(AND($Q2366&gt;0,$O2366&gt;=AboveRank),$Q2366,0)</f>
        <v>0</v>
      </c>
      <c r="T2366" s="64" t="n">
        <f aca="false">IF($K2366="Less",$P2366,0)</f>
        <v>0</v>
      </c>
      <c r="U2366" s="64" t="n">
        <f aca="false">IF($K2366="Expected",$P2366,0)</f>
        <v>0</v>
      </c>
      <c r="V2366" s="64" t="n">
        <f aca="false">IF($K2366="Better",$P2366,0)</f>
        <v>0</v>
      </c>
      <c r="W2366" s="64" t="n">
        <f aca="false">IF($K2366="U – needs rule",$P2366,0)</f>
        <v>0</v>
      </c>
      <c r="X2366" s="64" t="n">
        <f aca="false">IF($K2366="No Start (attainment only)",$P2366,0)</f>
        <v>0</v>
      </c>
    </row>
    <row r="2367" customFormat="false" ht="15" hidden="false" customHeight="false" outlineLevel="0" collapsed="false">
      <c r="A2367" s="60"/>
      <c r="B2367" s="61" t="str">
        <f aca="false">IF($M2367=0,"",INDEX(Classes!$E$6:$E$420,$M2367))</f>
        <v/>
      </c>
      <c r="C2367" s="62" t="str">
        <f aca="false">IF($M2367=0,"",INDEX(Classes!$H$6:$H$420,$M2367))</f>
        <v/>
      </c>
      <c r="D2367" s="61" t="str">
        <f aca="false">IF($M2367=0,"",INDEX(Classes!$B$6:$B$420,$M2367))</f>
        <v/>
      </c>
      <c r="E2367" s="61" t="str">
        <f aca="false">IF($M2367=0,"",INDEX(Classes!$C$6:$C$420,$M2367))</f>
        <v/>
      </c>
      <c r="F2367" s="63"/>
      <c r="G2367" s="63"/>
      <c r="H2367" s="60"/>
      <c r="I2367" s="60"/>
      <c r="J2367" s="63"/>
      <c r="K2367" s="61" t="str">
        <f aca="false">IF($P2367=0,"",IF($F2367="Baseline","— Baseline",IF($O2367=0,"No result",IF($N2367=0,"No Start (attainment only)",IF(OR($N2367=1,$O2367=1),"U – needs rule",INDEX(MxBody,MATCH($I2367,MxCurr,0),MATCH($H2367,MxStart,0)))))))</f>
        <v/>
      </c>
      <c r="L2367" s="62" t="str">
        <f aca="false">IF(COUNTA($A2367,$F2367,$G2367,$H2367,$I2367,$J2367)=0,"",IF($M2367=0,"✖ كود الصف غير موجود",IF(ISNA(MATCH($F2367,Lists!$A$2:$A$5,0)),"✖ الفترة غير صحيحة",IF(ISNA(MATCH($G2367,Lists!$B$2:$B$7,0)),"✖ المجموعة غير صحيحة",IF(NOT(OR($H2367="",$N2367&gt;0)),"✖ Start غير صحيح",IF(NOT(OR($I2367="",$I2367="NR",$O2367&gt;0)),"✖ Current غير صحيح",IF(NOT(IF(ISNUMBER($J2367),AND($J2367&gt;=0,$J2367=INT($J2367)),FALSE())),"✖ العدد يجب أن يكون صحيحًا ≥ 0",IF(AND($F2367="Baseline",$H2367&lt;&gt;""),"⚠ Baseline: Start لا يدخل في التقدم",IF($K2367="No Start (attainment only)","ℹ تحصيل فقط (بدون Start)",IF($K2367="U – needs rule","ℹ حالة U تحتاج قاعدة معتمدة",IF($K2367="No result","ℹ بدون نتيجة (يُستبعد من التحصيل)","OK")))))))))))</f>
        <v/>
      </c>
      <c r="M2367" s="64" t="n">
        <f aca="false">IF($A2367="",0,IFERROR(MATCH($A2367,Classes!$A$6:$A$420,0),0))</f>
        <v>0</v>
      </c>
      <c r="N2367" s="64" t="n">
        <f aca="false">IF($H2367="",0,IFERROR(MATCH($H2367,GradeList,0),0))</f>
        <v>0</v>
      </c>
      <c r="O2367" s="64" t="n">
        <f aca="false">IF(OR($I2367="",$I2367="NR"),0,IFERROR(MATCH($I2367,GradeList,0),0))</f>
        <v>0</v>
      </c>
      <c r="P2367" s="64" t="n">
        <f aca="false">IF(AND($M2367&gt;0,ISNUMBER(MATCH($F2367,Lists!$A$2:$A$5,0)),ISNUMBER(MATCH($G2367,Lists!$B$2:$B$7,0)),OR($H2367="",$N2367&gt;0),OR($I2367="",$I2367="NR",$O2367&gt;0),IF(ISNUMBER($J2367),AND($J2367&gt;=0,$J2367=INT($J2367)),FALSE())),$J2367,0)</f>
        <v>0</v>
      </c>
      <c r="Q2367" s="64" t="n">
        <f aca="false">IF(AND($P2367&gt;0,$O2367&gt;0),$P2367,0)</f>
        <v>0</v>
      </c>
      <c r="R2367" s="64" t="n">
        <f aca="false">IF(AND($Q2367&gt;0,$O2367&gt;=AtRank),$Q2367,0)</f>
        <v>0</v>
      </c>
      <c r="S2367" s="64" t="n">
        <f aca="false">IF(AND($Q2367&gt;0,$O2367&gt;=AboveRank),$Q2367,0)</f>
        <v>0</v>
      </c>
      <c r="T2367" s="64" t="n">
        <f aca="false">IF($K2367="Less",$P2367,0)</f>
        <v>0</v>
      </c>
      <c r="U2367" s="64" t="n">
        <f aca="false">IF($K2367="Expected",$P2367,0)</f>
        <v>0</v>
      </c>
      <c r="V2367" s="64" t="n">
        <f aca="false">IF($K2367="Better",$P2367,0)</f>
        <v>0</v>
      </c>
      <c r="W2367" s="64" t="n">
        <f aca="false">IF($K2367="U – needs rule",$P2367,0)</f>
        <v>0</v>
      </c>
      <c r="X2367" s="64" t="n">
        <f aca="false">IF($K2367="No Start (attainment only)",$P2367,0)</f>
        <v>0</v>
      </c>
    </row>
    <row r="2368" customFormat="false" ht="15" hidden="false" customHeight="false" outlineLevel="0" collapsed="false">
      <c r="A2368" s="60"/>
      <c r="B2368" s="61" t="str">
        <f aca="false">IF($M2368=0,"",INDEX(Classes!$E$6:$E$420,$M2368))</f>
        <v/>
      </c>
      <c r="C2368" s="62" t="str">
        <f aca="false">IF($M2368=0,"",INDEX(Classes!$H$6:$H$420,$M2368))</f>
        <v/>
      </c>
      <c r="D2368" s="61" t="str">
        <f aca="false">IF($M2368=0,"",INDEX(Classes!$B$6:$B$420,$M2368))</f>
        <v/>
      </c>
      <c r="E2368" s="61" t="str">
        <f aca="false">IF($M2368=0,"",INDEX(Classes!$C$6:$C$420,$M2368))</f>
        <v/>
      </c>
      <c r="F2368" s="63"/>
      <c r="G2368" s="63"/>
      <c r="H2368" s="60"/>
      <c r="I2368" s="60"/>
      <c r="J2368" s="63"/>
      <c r="K2368" s="61" t="str">
        <f aca="false">IF($P2368=0,"",IF($F2368="Baseline","— Baseline",IF($O2368=0,"No result",IF($N2368=0,"No Start (attainment only)",IF(OR($N2368=1,$O2368=1),"U – needs rule",INDEX(MxBody,MATCH($I2368,MxCurr,0),MATCH($H2368,MxStart,0)))))))</f>
        <v/>
      </c>
      <c r="L2368" s="62" t="str">
        <f aca="false">IF(COUNTA($A2368,$F2368,$G2368,$H2368,$I2368,$J2368)=0,"",IF($M2368=0,"✖ كود الصف غير موجود",IF(ISNA(MATCH($F2368,Lists!$A$2:$A$5,0)),"✖ الفترة غير صحيحة",IF(ISNA(MATCH($G2368,Lists!$B$2:$B$7,0)),"✖ المجموعة غير صحيحة",IF(NOT(OR($H2368="",$N2368&gt;0)),"✖ Start غير صحيح",IF(NOT(OR($I2368="",$I2368="NR",$O2368&gt;0)),"✖ Current غير صحيح",IF(NOT(IF(ISNUMBER($J2368),AND($J2368&gt;=0,$J2368=INT($J2368)),FALSE())),"✖ العدد يجب أن يكون صحيحًا ≥ 0",IF(AND($F2368="Baseline",$H2368&lt;&gt;""),"⚠ Baseline: Start لا يدخل في التقدم",IF($K2368="No Start (attainment only)","ℹ تحصيل فقط (بدون Start)",IF($K2368="U – needs rule","ℹ حالة U تحتاج قاعدة معتمدة",IF($K2368="No result","ℹ بدون نتيجة (يُستبعد من التحصيل)","OK")))))))))))</f>
        <v/>
      </c>
      <c r="M2368" s="64" t="n">
        <f aca="false">IF($A2368="",0,IFERROR(MATCH($A2368,Classes!$A$6:$A$420,0),0))</f>
        <v>0</v>
      </c>
      <c r="N2368" s="64" t="n">
        <f aca="false">IF($H2368="",0,IFERROR(MATCH($H2368,GradeList,0),0))</f>
        <v>0</v>
      </c>
      <c r="O2368" s="64" t="n">
        <f aca="false">IF(OR($I2368="",$I2368="NR"),0,IFERROR(MATCH($I2368,GradeList,0),0))</f>
        <v>0</v>
      </c>
      <c r="P2368" s="64" t="n">
        <f aca="false">IF(AND($M2368&gt;0,ISNUMBER(MATCH($F2368,Lists!$A$2:$A$5,0)),ISNUMBER(MATCH($G2368,Lists!$B$2:$B$7,0)),OR($H2368="",$N2368&gt;0),OR($I2368="",$I2368="NR",$O2368&gt;0),IF(ISNUMBER($J2368),AND($J2368&gt;=0,$J2368=INT($J2368)),FALSE())),$J2368,0)</f>
        <v>0</v>
      </c>
      <c r="Q2368" s="64" t="n">
        <f aca="false">IF(AND($P2368&gt;0,$O2368&gt;0),$P2368,0)</f>
        <v>0</v>
      </c>
      <c r="R2368" s="64" t="n">
        <f aca="false">IF(AND($Q2368&gt;0,$O2368&gt;=AtRank),$Q2368,0)</f>
        <v>0</v>
      </c>
      <c r="S2368" s="64" t="n">
        <f aca="false">IF(AND($Q2368&gt;0,$O2368&gt;=AboveRank),$Q2368,0)</f>
        <v>0</v>
      </c>
      <c r="T2368" s="64" t="n">
        <f aca="false">IF($K2368="Less",$P2368,0)</f>
        <v>0</v>
      </c>
      <c r="U2368" s="64" t="n">
        <f aca="false">IF($K2368="Expected",$P2368,0)</f>
        <v>0</v>
      </c>
      <c r="V2368" s="64" t="n">
        <f aca="false">IF($K2368="Better",$P2368,0)</f>
        <v>0</v>
      </c>
      <c r="W2368" s="64" t="n">
        <f aca="false">IF($K2368="U – needs rule",$P2368,0)</f>
        <v>0</v>
      </c>
      <c r="X2368" s="64" t="n">
        <f aca="false">IF($K2368="No Start (attainment only)",$P2368,0)</f>
        <v>0</v>
      </c>
    </row>
    <row r="2369" customFormat="false" ht="15" hidden="false" customHeight="false" outlineLevel="0" collapsed="false">
      <c r="A2369" s="60"/>
      <c r="B2369" s="61" t="str">
        <f aca="false">IF($M2369=0,"",INDEX(Classes!$E$6:$E$420,$M2369))</f>
        <v/>
      </c>
      <c r="C2369" s="62" t="str">
        <f aca="false">IF($M2369=0,"",INDEX(Classes!$H$6:$H$420,$M2369))</f>
        <v/>
      </c>
      <c r="D2369" s="61" t="str">
        <f aca="false">IF($M2369=0,"",INDEX(Classes!$B$6:$B$420,$M2369))</f>
        <v/>
      </c>
      <c r="E2369" s="61" t="str">
        <f aca="false">IF($M2369=0,"",INDEX(Classes!$C$6:$C$420,$M2369))</f>
        <v/>
      </c>
      <c r="F2369" s="63"/>
      <c r="G2369" s="63"/>
      <c r="H2369" s="60"/>
      <c r="I2369" s="60"/>
      <c r="J2369" s="63"/>
      <c r="K2369" s="61" t="str">
        <f aca="false">IF($P2369=0,"",IF($F2369="Baseline","— Baseline",IF($O2369=0,"No result",IF($N2369=0,"No Start (attainment only)",IF(OR($N2369=1,$O2369=1),"U – needs rule",INDEX(MxBody,MATCH($I2369,MxCurr,0),MATCH($H2369,MxStart,0)))))))</f>
        <v/>
      </c>
      <c r="L2369" s="62" t="str">
        <f aca="false">IF(COUNTA($A2369,$F2369,$G2369,$H2369,$I2369,$J2369)=0,"",IF($M2369=0,"✖ كود الصف غير موجود",IF(ISNA(MATCH($F2369,Lists!$A$2:$A$5,0)),"✖ الفترة غير صحيحة",IF(ISNA(MATCH($G2369,Lists!$B$2:$B$7,0)),"✖ المجموعة غير صحيحة",IF(NOT(OR($H2369="",$N2369&gt;0)),"✖ Start غير صحيح",IF(NOT(OR($I2369="",$I2369="NR",$O2369&gt;0)),"✖ Current غير صحيح",IF(NOT(IF(ISNUMBER($J2369),AND($J2369&gt;=0,$J2369=INT($J2369)),FALSE())),"✖ العدد يجب أن يكون صحيحًا ≥ 0",IF(AND($F2369="Baseline",$H2369&lt;&gt;""),"⚠ Baseline: Start لا يدخل في التقدم",IF($K2369="No Start (attainment only)","ℹ تحصيل فقط (بدون Start)",IF($K2369="U – needs rule","ℹ حالة U تحتاج قاعدة معتمدة",IF($K2369="No result","ℹ بدون نتيجة (يُستبعد من التحصيل)","OK")))))))))))</f>
        <v/>
      </c>
      <c r="M2369" s="64" t="n">
        <f aca="false">IF($A2369="",0,IFERROR(MATCH($A2369,Classes!$A$6:$A$420,0),0))</f>
        <v>0</v>
      </c>
      <c r="N2369" s="64" t="n">
        <f aca="false">IF($H2369="",0,IFERROR(MATCH($H2369,GradeList,0),0))</f>
        <v>0</v>
      </c>
      <c r="O2369" s="64" t="n">
        <f aca="false">IF(OR($I2369="",$I2369="NR"),0,IFERROR(MATCH($I2369,GradeList,0),0))</f>
        <v>0</v>
      </c>
      <c r="P2369" s="64" t="n">
        <f aca="false">IF(AND($M2369&gt;0,ISNUMBER(MATCH($F2369,Lists!$A$2:$A$5,0)),ISNUMBER(MATCH($G2369,Lists!$B$2:$B$7,0)),OR($H2369="",$N2369&gt;0),OR($I2369="",$I2369="NR",$O2369&gt;0),IF(ISNUMBER($J2369),AND($J2369&gt;=0,$J2369=INT($J2369)),FALSE())),$J2369,0)</f>
        <v>0</v>
      </c>
      <c r="Q2369" s="64" t="n">
        <f aca="false">IF(AND($P2369&gt;0,$O2369&gt;0),$P2369,0)</f>
        <v>0</v>
      </c>
      <c r="R2369" s="64" t="n">
        <f aca="false">IF(AND($Q2369&gt;0,$O2369&gt;=AtRank),$Q2369,0)</f>
        <v>0</v>
      </c>
      <c r="S2369" s="64" t="n">
        <f aca="false">IF(AND($Q2369&gt;0,$O2369&gt;=AboveRank),$Q2369,0)</f>
        <v>0</v>
      </c>
      <c r="T2369" s="64" t="n">
        <f aca="false">IF($K2369="Less",$P2369,0)</f>
        <v>0</v>
      </c>
      <c r="U2369" s="64" t="n">
        <f aca="false">IF($K2369="Expected",$P2369,0)</f>
        <v>0</v>
      </c>
      <c r="V2369" s="64" t="n">
        <f aca="false">IF($K2369="Better",$P2369,0)</f>
        <v>0</v>
      </c>
      <c r="W2369" s="64" t="n">
        <f aca="false">IF($K2369="U – needs rule",$P2369,0)</f>
        <v>0</v>
      </c>
      <c r="X2369" s="64" t="n">
        <f aca="false">IF($K2369="No Start (attainment only)",$P2369,0)</f>
        <v>0</v>
      </c>
    </row>
    <row r="2370" customFormat="false" ht="15" hidden="false" customHeight="false" outlineLevel="0" collapsed="false">
      <c r="A2370" s="60"/>
      <c r="B2370" s="61" t="str">
        <f aca="false">IF($M2370=0,"",INDEX(Classes!$E$6:$E$420,$M2370))</f>
        <v/>
      </c>
      <c r="C2370" s="62" t="str">
        <f aca="false">IF($M2370=0,"",INDEX(Classes!$H$6:$H$420,$M2370))</f>
        <v/>
      </c>
      <c r="D2370" s="61" t="str">
        <f aca="false">IF($M2370=0,"",INDEX(Classes!$B$6:$B$420,$M2370))</f>
        <v/>
      </c>
      <c r="E2370" s="61" t="str">
        <f aca="false">IF($M2370=0,"",INDEX(Classes!$C$6:$C$420,$M2370))</f>
        <v/>
      </c>
      <c r="F2370" s="63"/>
      <c r="G2370" s="63"/>
      <c r="H2370" s="60"/>
      <c r="I2370" s="60"/>
      <c r="J2370" s="63"/>
      <c r="K2370" s="61" t="str">
        <f aca="false">IF($P2370=0,"",IF($F2370="Baseline","— Baseline",IF($O2370=0,"No result",IF($N2370=0,"No Start (attainment only)",IF(OR($N2370=1,$O2370=1),"U – needs rule",INDEX(MxBody,MATCH($I2370,MxCurr,0),MATCH($H2370,MxStart,0)))))))</f>
        <v/>
      </c>
      <c r="L2370" s="62" t="str">
        <f aca="false">IF(COUNTA($A2370,$F2370,$G2370,$H2370,$I2370,$J2370)=0,"",IF($M2370=0,"✖ كود الصف غير موجود",IF(ISNA(MATCH($F2370,Lists!$A$2:$A$5,0)),"✖ الفترة غير صحيحة",IF(ISNA(MATCH($G2370,Lists!$B$2:$B$7,0)),"✖ المجموعة غير صحيحة",IF(NOT(OR($H2370="",$N2370&gt;0)),"✖ Start غير صحيح",IF(NOT(OR($I2370="",$I2370="NR",$O2370&gt;0)),"✖ Current غير صحيح",IF(NOT(IF(ISNUMBER($J2370),AND($J2370&gt;=0,$J2370=INT($J2370)),FALSE())),"✖ العدد يجب أن يكون صحيحًا ≥ 0",IF(AND($F2370="Baseline",$H2370&lt;&gt;""),"⚠ Baseline: Start لا يدخل في التقدم",IF($K2370="No Start (attainment only)","ℹ تحصيل فقط (بدون Start)",IF($K2370="U – needs rule","ℹ حالة U تحتاج قاعدة معتمدة",IF($K2370="No result","ℹ بدون نتيجة (يُستبعد من التحصيل)","OK")))))))))))</f>
        <v/>
      </c>
      <c r="M2370" s="64" t="n">
        <f aca="false">IF($A2370="",0,IFERROR(MATCH($A2370,Classes!$A$6:$A$420,0),0))</f>
        <v>0</v>
      </c>
      <c r="N2370" s="64" t="n">
        <f aca="false">IF($H2370="",0,IFERROR(MATCH($H2370,GradeList,0),0))</f>
        <v>0</v>
      </c>
      <c r="O2370" s="64" t="n">
        <f aca="false">IF(OR($I2370="",$I2370="NR"),0,IFERROR(MATCH($I2370,GradeList,0),0))</f>
        <v>0</v>
      </c>
      <c r="P2370" s="64" t="n">
        <f aca="false">IF(AND($M2370&gt;0,ISNUMBER(MATCH($F2370,Lists!$A$2:$A$5,0)),ISNUMBER(MATCH($G2370,Lists!$B$2:$B$7,0)),OR($H2370="",$N2370&gt;0),OR($I2370="",$I2370="NR",$O2370&gt;0),IF(ISNUMBER($J2370),AND($J2370&gt;=0,$J2370=INT($J2370)),FALSE())),$J2370,0)</f>
        <v>0</v>
      </c>
      <c r="Q2370" s="64" t="n">
        <f aca="false">IF(AND($P2370&gt;0,$O2370&gt;0),$P2370,0)</f>
        <v>0</v>
      </c>
      <c r="R2370" s="64" t="n">
        <f aca="false">IF(AND($Q2370&gt;0,$O2370&gt;=AtRank),$Q2370,0)</f>
        <v>0</v>
      </c>
      <c r="S2370" s="64" t="n">
        <f aca="false">IF(AND($Q2370&gt;0,$O2370&gt;=AboveRank),$Q2370,0)</f>
        <v>0</v>
      </c>
      <c r="T2370" s="64" t="n">
        <f aca="false">IF($K2370="Less",$P2370,0)</f>
        <v>0</v>
      </c>
      <c r="U2370" s="64" t="n">
        <f aca="false">IF($K2370="Expected",$P2370,0)</f>
        <v>0</v>
      </c>
      <c r="V2370" s="64" t="n">
        <f aca="false">IF($K2370="Better",$P2370,0)</f>
        <v>0</v>
      </c>
      <c r="W2370" s="64" t="n">
        <f aca="false">IF($K2370="U – needs rule",$P2370,0)</f>
        <v>0</v>
      </c>
      <c r="X2370" s="64" t="n">
        <f aca="false">IF($K2370="No Start (attainment only)",$P2370,0)</f>
        <v>0</v>
      </c>
    </row>
    <row r="2371" customFormat="false" ht="15" hidden="false" customHeight="false" outlineLevel="0" collapsed="false">
      <c r="A2371" s="60"/>
      <c r="B2371" s="61" t="str">
        <f aca="false">IF($M2371=0,"",INDEX(Classes!$E$6:$E$420,$M2371))</f>
        <v/>
      </c>
      <c r="C2371" s="62" t="str">
        <f aca="false">IF($M2371=0,"",INDEX(Classes!$H$6:$H$420,$M2371))</f>
        <v/>
      </c>
      <c r="D2371" s="61" t="str">
        <f aca="false">IF($M2371=0,"",INDEX(Classes!$B$6:$B$420,$M2371))</f>
        <v/>
      </c>
      <c r="E2371" s="61" t="str">
        <f aca="false">IF($M2371=0,"",INDEX(Classes!$C$6:$C$420,$M2371))</f>
        <v/>
      </c>
      <c r="F2371" s="63"/>
      <c r="G2371" s="63"/>
      <c r="H2371" s="60"/>
      <c r="I2371" s="60"/>
      <c r="J2371" s="63"/>
      <c r="K2371" s="61" t="str">
        <f aca="false">IF($P2371=0,"",IF($F2371="Baseline","— Baseline",IF($O2371=0,"No result",IF($N2371=0,"No Start (attainment only)",IF(OR($N2371=1,$O2371=1),"U – needs rule",INDEX(MxBody,MATCH($I2371,MxCurr,0),MATCH($H2371,MxStart,0)))))))</f>
        <v/>
      </c>
      <c r="L2371" s="62" t="str">
        <f aca="false">IF(COUNTA($A2371,$F2371,$G2371,$H2371,$I2371,$J2371)=0,"",IF($M2371=0,"✖ كود الصف غير موجود",IF(ISNA(MATCH($F2371,Lists!$A$2:$A$5,0)),"✖ الفترة غير صحيحة",IF(ISNA(MATCH($G2371,Lists!$B$2:$B$7,0)),"✖ المجموعة غير صحيحة",IF(NOT(OR($H2371="",$N2371&gt;0)),"✖ Start غير صحيح",IF(NOT(OR($I2371="",$I2371="NR",$O2371&gt;0)),"✖ Current غير صحيح",IF(NOT(IF(ISNUMBER($J2371),AND($J2371&gt;=0,$J2371=INT($J2371)),FALSE())),"✖ العدد يجب أن يكون صحيحًا ≥ 0",IF(AND($F2371="Baseline",$H2371&lt;&gt;""),"⚠ Baseline: Start لا يدخل في التقدم",IF($K2371="No Start (attainment only)","ℹ تحصيل فقط (بدون Start)",IF($K2371="U – needs rule","ℹ حالة U تحتاج قاعدة معتمدة",IF($K2371="No result","ℹ بدون نتيجة (يُستبعد من التحصيل)","OK")))))))))))</f>
        <v/>
      </c>
      <c r="M2371" s="64" t="n">
        <f aca="false">IF($A2371="",0,IFERROR(MATCH($A2371,Classes!$A$6:$A$420,0),0))</f>
        <v>0</v>
      </c>
      <c r="N2371" s="64" t="n">
        <f aca="false">IF($H2371="",0,IFERROR(MATCH($H2371,GradeList,0),0))</f>
        <v>0</v>
      </c>
      <c r="O2371" s="64" t="n">
        <f aca="false">IF(OR($I2371="",$I2371="NR"),0,IFERROR(MATCH($I2371,GradeList,0),0))</f>
        <v>0</v>
      </c>
      <c r="P2371" s="64" t="n">
        <f aca="false">IF(AND($M2371&gt;0,ISNUMBER(MATCH($F2371,Lists!$A$2:$A$5,0)),ISNUMBER(MATCH($G2371,Lists!$B$2:$B$7,0)),OR($H2371="",$N2371&gt;0),OR($I2371="",$I2371="NR",$O2371&gt;0),IF(ISNUMBER($J2371),AND($J2371&gt;=0,$J2371=INT($J2371)),FALSE())),$J2371,0)</f>
        <v>0</v>
      </c>
      <c r="Q2371" s="64" t="n">
        <f aca="false">IF(AND($P2371&gt;0,$O2371&gt;0),$P2371,0)</f>
        <v>0</v>
      </c>
      <c r="R2371" s="64" t="n">
        <f aca="false">IF(AND($Q2371&gt;0,$O2371&gt;=AtRank),$Q2371,0)</f>
        <v>0</v>
      </c>
      <c r="S2371" s="64" t="n">
        <f aca="false">IF(AND($Q2371&gt;0,$O2371&gt;=AboveRank),$Q2371,0)</f>
        <v>0</v>
      </c>
      <c r="T2371" s="64" t="n">
        <f aca="false">IF($K2371="Less",$P2371,0)</f>
        <v>0</v>
      </c>
      <c r="U2371" s="64" t="n">
        <f aca="false">IF($K2371="Expected",$P2371,0)</f>
        <v>0</v>
      </c>
      <c r="V2371" s="64" t="n">
        <f aca="false">IF($K2371="Better",$P2371,0)</f>
        <v>0</v>
      </c>
      <c r="W2371" s="64" t="n">
        <f aca="false">IF($K2371="U – needs rule",$P2371,0)</f>
        <v>0</v>
      </c>
      <c r="X2371" s="64" t="n">
        <f aca="false">IF($K2371="No Start (attainment only)",$P2371,0)</f>
        <v>0</v>
      </c>
    </row>
    <row r="2372" customFormat="false" ht="15" hidden="false" customHeight="false" outlineLevel="0" collapsed="false">
      <c r="A2372" s="60"/>
      <c r="B2372" s="61" t="str">
        <f aca="false">IF($M2372=0,"",INDEX(Classes!$E$6:$E$420,$M2372))</f>
        <v/>
      </c>
      <c r="C2372" s="62" t="str">
        <f aca="false">IF($M2372=0,"",INDEX(Classes!$H$6:$H$420,$M2372))</f>
        <v/>
      </c>
      <c r="D2372" s="61" t="str">
        <f aca="false">IF($M2372=0,"",INDEX(Classes!$B$6:$B$420,$M2372))</f>
        <v/>
      </c>
      <c r="E2372" s="61" t="str">
        <f aca="false">IF($M2372=0,"",INDEX(Classes!$C$6:$C$420,$M2372))</f>
        <v/>
      </c>
      <c r="F2372" s="63"/>
      <c r="G2372" s="63"/>
      <c r="H2372" s="60"/>
      <c r="I2372" s="60"/>
      <c r="J2372" s="63"/>
      <c r="K2372" s="61" t="str">
        <f aca="false">IF($P2372=0,"",IF($F2372="Baseline","— Baseline",IF($O2372=0,"No result",IF($N2372=0,"No Start (attainment only)",IF(OR($N2372=1,$O2372=1),"U – needs rule",INDEX(MxBody,MATCH($I2372,MxCurr,0),MATCH($H2372,MxStart,0)))))))</f>
        <v/>
      </c>
      <c r="L2372" s="62" t="str">
        <f aca="false">IF(COUNTA($A2372,$F2372,$G2372,$H2372,$I2372,$J2372)=0,"",IF($M2372=0,"✖ كود الصف غير موجود",IF(ISNA(MATCH($F2372,Lists!$A$2:$A$5,0)),"✖ الفترة غير صحيحة",IF(ISNA(MATCH($G2372,Lists!$B$2:$B$7,0)),"✖ المجموعة غير صحيحة",IF(NOT(OR($H2372="",$N2372&gt;0)),"✖ Start غير صحيح",IF(NOT(OR($I2372="",$I2372="NR",$O2372&gt;0)),"✖ Current غير صحيح",IF(NOT(IF(ISNUMBER($J2372),AND($J2372&gt;=0,$J2372=INT($J2372)),FALSE())),"✖ العدد يجب أن يكون صحيحًا ≥ 0",IF(AND($F2372="Baseline",$H2372&lt;&gt;""),"⚠ Baseline: Start لا يدخل في التقدم",IF($K2372="No Start (attainment only)","ℹ تحصيل فقط (بدون Start)",IF($K2372="U – needs rule","ℹ حالة U تحتاج قاعدة معتمدة",IF($K2372="No result","ℹ بدون نتيجة (يُستبعد من التحصيل)","OK")))))))))))</f>
        <v/>
      </c>
      <c r="M2372" s="64" t="n">
        <f aca="false">IF($A2372="",0,IFERROR(MATCH($A2372,Classes!$A$6:$A$420,0),0))</f>
        <v>0</v>
      </c>
      <c r="N2372" s="64" t="n">
        <f aca="false">IF($H2372="",0,IFERROR(MATCH($H2372,GradeList,0),0))</f>
        <v>0</v>
      </c>
      <c r="O2372" s="64" t="n">
        <f aca="false">IF(OR($I2372="",$I2372="NR"),0,IFERROR(MATCH($I2372,GradeList,0),0))</f>
        <v>0</v>
      </c>
      <c r="P2372" s="64" t="n">
        <f aca="false">IF(AND($M2372&gt;0,ISNUMBER(MATCH($F2372,Lists!$A$2:$A$5,0)),ISNUMBER(MATCH($G2372,Lists!$B$2:$B$7,0)),OR($H2372="",$N2372&gt;0),OR($I2372="",$I2372="NR",$O2372&gt;0),IF(ISNUMBER($J2372),AND($J2372&gt;=0,$J2372=INT($J2372)),FALSE())),$J2372,0)</f>
        <v>0</v>
      </c>
      <c r="Q2372" s="64" t="n">
        <f aca="false">IF(AND($P2372&gt;0,$O2372&gt;0),$P2372,0)</f>
        <v>0</v>
      </c>
      <c r="R2372" s="64" t="n">
        <f aca="false">IF(AND($Q2372&gt;0,$O2372&gt;=AtRank),$Q2372,0)</f>
        <v>0</v>
      </c>
      <c r="S2372" s="64" t="n">
        <f aca="false">IF(AND($Q2372&gt;0,$O2372&gt;=AboveRank),$Q2372,0)</f>
        <v>0</v>
      </c>
      <c r="T2372" s="64" t="n">
        <f aca="false">IF($K2372="Less",$P2372,0)</f>
        <v>0</v>
      </c>
      <c r="U2372" s="64" t="n">
        <f aca="false">IF($K2372="Expected",$P2372,0)</f>
        <v>0</v>
      </c>
      <c r="V2372" s="64" t="n">
        <f aca="false">IF($K2372="Better",$P2372,0)</f>
        <v>0</v>
      </c>
      <c r="W2372" s="64" t="n">
        <f aca="false">IF($K2372="U – needs rule",$P2372,0)</f>
        <v>0</v>
      </c>
      <c r="X2372" s="64" t="n">
        <f aca="false">IF($K2372="No Start (attainment only)",$P2372,0)</f>
        <v>0</v>
      </c>
    </row>
    <row r="2373" customFormat="false" ht="15" hidden="false" customHeight="false" outlineLevel="0" collapsed="false">
      <c r="A2373" s="60"/>
      <c r="B2373" s="61" t="str">
        <f aca="false">IF($M2373=0,"",INDEX(Classes!$E$6:$E$420,$M2373))</f>
        <v/>
      </c>
      <c r="C2373" s="62" t="str">
        <f aca="false">IF($M2373=0,"",INDEX(Classes!$H$6:$H$420,$M2373))</f>
        <v/>
      </c>
      <c r="D2373" s="61" t="str">
        <f aca="false">IF($M2373=0,"",INDEX(Classes!$B$6:$B$420,$M2373))</f>
        <v/>
      </c>
      <c r="E2373" s="61" t="str">
        <f aca="false">IF($M2373=0,"",INDEX(Classes!$C$6:$C$420,$M2373))</f>
        <v/>
      </c>
      <c r="F2373" s="63"/>
      <c r="G2373" s="63"/>
      <c r="H2373" s="60"/>
      <c r="I2373" s="60"/>
      <c r="J2373" s="63"/>
      <c r="K2373" s="61" t="str">
        <f aca="false">IF($P2373=0,"",IF($F2373="Baseline","— Baseline",IF($O2373=0,"No result",IF($N2373=0,"No Start (attainment only)",IF(OR($N2373=1,$O2373=1),"U – needs rule",INDEX(MxBody,MATCH($I2373,MxCurr,0),MATCH($H2373,MxStart,0)))))))</f>
        <v/>
      </c>
      <c r="L2373" s="62" t="str">
        <f aca="false">IF(COUNTA($A2373,$F2373,$G2373,$H2373,$I2373,$J2373)=0,"",IF($M2373=0,"✖ كود الصف غير موجود",IF(ISNA(MATCH($F2373,Lists!$A$2:$A$5,0)),"✖ الفترة غير صحيحة",IF(ISNA(MATCH($G2373,Lists!$B$2:$B$7,0)),"✖ المجموعة غير صحيحة",IF(NOT(OR($H2373="",$N2373&gt;0)),"✖ Start غير صحيح",IF(NOT(OR($I2373="",$I2373="NR",$O2373&gt;0)),"✖ Current غير صحيح",IF(NOT(IF(ISNUMBER($J2373),AND($J2373&gt;=0,$J2373=INT($J2373)),FALSE())),"✖ العدد يجب أن يكون صحيحًا ≥ 0",IF(AND($F2373="Baseline",$H2373&lt;&gt;""),"⚠ Baseline: Start لا يدخل في التقدم",IF($K2373="No Start (attainment only)","ℹ تحصيل فقط (بدون Start)",IF($K2373="U – needs rule","ℹ حالة U تحتاج قاعدة معتمدة",IF($K2373="No result","ℹ بدون نتيجة (يُستبعد من التحصيل)","OK")))))))))))</f>
        <v/>
      </c>
      <c r="M2373" s="64" t="n">
        <f aca="false">IF($A2373="",0,IFERROR(MATCH($A2373,Classes!$A$6:$A$420,0),0))</f>
        <v>0</v>
      </c>
      <c r="N2373" s="64" t="n">
        <f aca="false">IF($H2373="",0,IFERROR(MATCH($H2373,GradeList,0),0))</f>
        <v>0</v>
      </c>
      <c r="O2373" s="64" t="n">
        <f aca="false">IF(OR($I2373="",$I2373="NR"),0,IFERROR(MATCH($I2373,GradeList,0),0))</f>
        <v>0</v>
      </c>
      <c r="P2373" s="64" t="n">
        <f aca="false">IF(AND($M2373&gt;0,ISNUMBER(MATCH($F2373,Lists!$A$2:$A$5,0)),ISNUMBER(MATCH($G2373,Lists!$B$2:$B$7,0)),OR($H2373="",$N2373&gt;0),OR($I2373="",$I2373="NR",$O2373&gt;0),IF(ISNUMBER($J2373),AND($J2373&gt;=0,$J2373=INT($J2373)),FALSE())),$J2373,0)</f>
        <v>0</v>
      </c>
      <c r="Q2373" s="64" t="n">
        <f aca="false">IF(AND($P2373&gt;0,$O2373&gt;0),$P2373,0)</f>
        <v>0</v>
      </c>
      <c r="R2373" s="64" t="n">
        <f aca="false">IF(AND($Q2373&gt;0,$O2373&gt;=AtRank),$Q2373,0)</f>
        <v>0</v>
      </c>
      <c r="S2373" s="64" t="n">
        <f aca="false">IF(AND($Q2373&gt;0,$O2373&gt;=AboveRank),$Q2373,0)</f>
        <v>0</v>
      </c>
      <c r="T2373" s="64" t="n">
        <f aca="false">IF($K2373="Less",$P2373,0)</f>
        <v>0</v>
      </c>
      <c r="U2373" s="64" t="n">
        <f aca="false">IF($K2373="Expected",$P2373,0)</f>
        <v>0</v>
      </c>
      <c r="V2373" s="64" t="n">
        <f aca="false">IF($K2373="Better",$P2373,0)</f>
        <v>0</v>
      </c>
      <c r="W2373" s="64" t="n">
        <f aca="false">IF($K2373="U – needs rule",$P2373,0)</f>
        <v>0</v>
      </c>
      <c r="X2373" s="64" t="n">
        <f aca="false">IF($K2373="No Start (attainment only)",$P2373,0)</f>
        <v>0</v>
      </c>
    </row>
    <row r="2374" customFormat="false" ht="15" hidden="false" customHeight="false" outlineLevel="0" collapsed="false">
      <c r="A2374" s="60"/>
      <c r="B2374" s="61" t="str">
        <f aca="false">IF($M2374=0,"",INDEX(Classes!$E$6:$E$420,$M2374))</f>
        <v/>
      </c>
      <c r="C2374" s="62" t="str">
        <f aca="false">IF($M2374=0,"",INDEX(Classes!$H$6:$H$420,$M2374))</f>
        <v/>
      </c>
      <c r="D2374" s="61" t="str">
        <f aca="false">IF($M2374=0,"",INDEX(Classes!$B$6:$B$420,$M2374))</f>
        <v/>
      </c>
      <c r="E2374" s="61" t="str">
        <f aca="false">IF($M2374=0,"",INDEX(Classes!$C$6:$C$420,$M2374))</f>
        <v/>
      </c>
      <c r="F2374" s="63"/>
      <c r="G2374" s="63"/>
      <c r="H2374" s="60"/>
      <c r="I2374" s="60"/>
      <c r="J2374" s="63"/>
      <c r="K2374" s="61" t="str">
        <f aca="false">IF($P2374=0,"",IF($F2374="Baseline","— Baseline",IF($O2374=0,"No result",IF($N2374=0,"No Start (attainment only)",IF(OR($N2374=1,$O2374=1),"U – needs rule",INDEX(MxBody,MATCH($I2374,MxCurr,0),MATCH($H2374,MxStart,0)))))))</f>
        <v/>
      </c>
      <c r="L2374" s="62" t="str">
        <f aca="false">IF(COUNTA($A2374,$F2374,$G2374,$H2374,$I2374,$J2374)=0,"",IF($M2374=0,"✖ كود الصف غير موجود",IF(ISNA(MATCH($F2374,Lists!$A$2:$A$5,0)),"✖ الفترة غير صحيحة",IF(ISNA(MATCH($G2374,Lists!$B$2:$B$7,0)),"✖ المجموعة غير صحيحة",IF(NOT(OR($H2374="",$N2374&gt;0)),"✖ Start غير صحيح",IF(NOT(OR($I2374="",$I2374="NR",$O2374&gt;0)),"✖ Current غير صحيح",IF(NOT(IF(ISNUMBER($J2374),AND($J2374&gt;=0,$J2374=INT($J2374)),FALSE())),"✖ العدد يجب أن يكون صحيحًا ≥ 0",IF(AND($F2374="Baseline",$H2374&lt;&gt;""),"⚠ Baseline: Start لا يدخل في التقدم",IF($K2374="No Start (attainment only)","ℹ تحصيل فقط (بدون Start)",IF($K2374="U – needs rule","ℹ حالة U تحتاج قاعدة معتمدة",IF($K2374="No result","ℹ بدون نتيجة (يُستبعد من التحصيل)","OK")))))))))))</f>
        <v/>
      </c>
      <c r="M2374" s="64" t="n">
        <f aca="false">IF($A2374="",0,IFERROR(MATCH($A2374,Classes!$A$6:$A$420,0),0))</f>
        <v>0</v>
      </c>
      <c r="N2374" s="64" t="n">
        <f aca="false">IF($H2374="",0,IFERROR(MATCH($H2374,GradeList,0),0))</f>
        <v>0</v>
      </c>
      <c r="O2374" s="64" t="n">
        <f aca="false">IF(OR($I2374="",$I2374="NR"),0,IFERROR(MATCH($I2374,GradeList,0),0))</f>
        <v>0</v>
      </c>
      <c r="P2374" s="64" t="n">
        <f aca="false">IF(AND($M2374&gt;0,ISNUMBER(MATCH($F2374,Lists!$A$2:$A$5,0)),ISNUMBER(MATCH($G2374,Lists!$B$2:$B$7,0)),OR($H2374="",$N2374&gt;0),OR($I2374="",$I2374="NR",$O2374&gt;0),IF(ISNUMBER($J2374),AND($J2374&gt;=0,$J2374=INT($J2374)),FALSE())),$J2374,0)</f>
        <v>0</v>
      </c>
      <c r="Q2374" s="64" t="n">
        <f aca="false">IF(AND($P2374&gt;0,$O2374&gt;0),$P2374,0)</f>
        <v>0</v>
      </c>
      <c r="R2374" s="64" t="n">
        <f aca="false">IF(AND($Q2374&gt;0,$O2374&gt;=AtRank),$Q2374,0)</f>
        <v>0</v>
      </c>
      <c r="S2374" s="64" t="n">
        <f aca="false">IF(AND($Q2374&gt;0,$O2374&gt;=AboveRank),$Q2374,0)</f>
        <v>0</v>
      </c>
      <c r="T2374" s="64" t="n">
        <f aca="false">IF($K2374="Less",$P2374,0)</f>
        <v>0</v>
      </c>
      <c r="U2374" s="64" t="n">
        <f aca="false">IF($K2374="Expected",$P2374,0)</f>
        <v>0</v>
      </c>
      <c r="V2374" s="64" t="n">
        <f aca="false">IF($K2374="Better",$P2374,0)</f>
        <v>0</v>
      </c>
      <c r="W2374" s="64" t="n">
        <f aca="false">IF($K2374="U – needs rule",$P2374,0)</f>
        <v>0</v>
      </c>
      <c r="X2374" s="64" t="n">
        <f aca="false">IF($K2374="No Start (attainment only)",$P2374,0)</f>
        <v>0</v>
      </c>
    </row>
    <row r="2375" customFormat="false" ht="15" hidden="false" customHeight="false" outlineLevel="0" collapsed="false">
      <c r="A2375" s="60"/>
      <c r="B2375" s="61" t="str">
        <f aca="false">IF($M2375=0,"",INDEX(Classes!$E$6:$E$420,$M2375))</f>
        <v/>
      </c>
      <c r="C2375" s="62" t="str">
        <f aca="false">IF($M2375=0,"",INDEX(Classes!$H$6:$H$420,$M2375))</f>
        <v/>
      </c>
      <c r="D2375" s="61" t="str">
        <f aca="false">IF($M2375=0,"",INDEX(Classes!$B$6:$B$420,$M2375))</f>
        <v/>
      </c>
      <c r="E2375" s="61" t="str">
        <f aca="false">IF($M2375=0,"",INDEX(Classes!$C$6:$C$420,$M2375))</f>
        <v/>
      </c>
      <c r="F2375" s="63"/>
      <c r="G2375" s="63"/>
      <c r="H2375" s="60"/>
      <c r="I2375" s="60"/>
      <c r="J2375" s="63"/>
      <c r="K2375" s="61" t="str">
        <f aca="false">IF($P2375=0,"",IF($F2375="Baseline","— Baseline",IF($O2375=0,"No result",IF($N2375=0,"No Start (attainment only)",IF(OR($N2375=1,$O2375=1),"U – needs rule",INDEX(MxBody,MATCH($I2375,MxCurr,0),MATCH($H2375,MxStart,0)))))))</f>
        <v/>
      </c>
      <c r="L2375" s="62" t="str">
        <f aca="false">IF(COUNTA($A2375,$F2375,$G2375,$H2375,$I2375,$J2375)=0,"",IF($M2375=0,"✖ كود الصف غير موجود",IF(ISNA(MATCH($F2375,Lists!$A$2:$A$5,0)),"✖ الفترة غير صحيحة",IF(ISNA(MATCH($G2375,Lists!$B$2:$B$7,0)),"✖ المجموعة غير صحيحة",IF(NOT(OR($H2375="",$N2375&gt;0)),"✖ Start غير صحيح",IF(NOT(OR($I2375="",$I2375="NR",$O2375&gt;0)),"✖ Current غير صحيح",IF(NOT(IF(ISNUMBER($J2375),AND($J2375&gt;=0,$J2375=INT($J2375)),FALSE())),"✖ العدد يجب أن يكون صحيحًا ≥ 0",IF(AND($F2375="Baseline",$H2375&lt;&gt;""),"⚠ Baseline: Start لا يدخل في التقدم",IF($K2375="No Start (attainment only)","ℹ تحصيل فقط (بدون Start)",IF($K2375="U – needs rule","ℹ حالة U تحتاج قاعدة معتمدة",IF($K2375="No result","ℹ بدون نتيجة (يُستبعد من التحصيل)","OK")))))))))))</f>
        <v/>
      </c>
      <c r="M2375" s="64" t="n">
        <f aca="false">IF($A2375="",0,IFERROR(MATCH($A2375,Classes!$A$6:$A$420,0),0))</f>
        <v>0</v>
      </c>
      <c r="N2375" s="64" t="n">
        <f aca="false">IF($H2375="",0,IFERROR(MATCH($H2375,GradeList,0),0))</f>
        <v>0</v>
      </c>
      <c r="O2375" s="64" t="n">
        <f aca="false">IF(OR($I2375="",$I2375="NR"),0,IFERROR(MATCH($I2375,GradeList,0),0))</f>
        <v>0</v>
      </c>
      <c r="P2375" s="64" t="n">
        <f aca="false">IF(AND($M2375&gt;0,ISNUMBER(MATCH($F2375,Lists!$A$2:$A$5,0)),ISNUMBER(MATCH($G2375,Lists!$B$2:$B$7,0)),OR($H2375="",$N2375&gt;0),OR($I2375="",$I2375="NR",$O2375&gt;0),IF(ISNUMBER($J2375),AND($J2375&gt;=0,$J2375=INT($J2375)),FALSE())),$J2375,0)</f>
        <v>0</v>
      </c>
      <c r="Q2375" s="64" t="n">
        <f aca="false">IF(AND($P2375&gt;0,$O2375&gt;0),$P2375,0)</f>
        <v>0</v>
      </c>
      <c r="R2375" s="64" t="n">
        <f aca="false">IF(AND($Q2375&gt;0,$O2375&gt;=AtRank),$Q2375,0)</f>
        <v>0</v>
      </c>
      <c r="S2375" s="64" t="n">
        <f aca="false">IF(AND($Q2375&gt;0,$O2375&gt;=AboveRank),$Q2375,0)</f>
        <v>0</v>
      </c>
      <c r="T2375" s="64" t="n">
        <f aca="false">IF($K2375="Less",$P2375,0)</f>
        <v>0</v>
      </c>
      <c r="U2375" s="64" t="n">
        <f aca="false">IF($K2375="Expected",$P2375,0)</f>
        <v>0</v>
      </c>
      <c r="V2375" s="64" t="n">
        <f aca="false">IF($K2375="Better",$P2375,0)</f>
        <v>0</v>
      </c>
      <c r="W2375" s="64" t="n">
        <f aca="false">IF($K2375="U – needs rule",$P2375,0)</f>
        <v>0</v>
      </c>
      <c r="X2375" s="64" t="n">
        <f aca="false">IF($K2375="No Start (attainment only)",$P2375,0)</f>
        <v>0</v>
      </c>
    </row>
    <row r="2376" customFormat="false" ht="15" hidden="false" customHeight="false" outlineLevel="0" collapsed="false">
      <c r="A2376" s="60"/>
      <c r="B2376" s="61" t="str">
        <f aca="false">IF($M2376=0,"",INDEX(Classes!$E$6:$E$420,$M2376))</f>
        <v/>
      </c>
      <c r="C2376" s="62" t="str">
        <f aca="false">IF($M2376=0,"",INDEX(Classes!$H$6:$H$420,$M2376))</f>
        <v/>
      </c>
      <c r="D2376" s="61" t="str">
        <f aca="false">IF($M2376=0,"",INDEX(Classes!$B$6:$B$420,$M2376))</f>
        <v/>
      </c>
      <c r="E2376" s="61" t="str">
        <f aca="false">IF($M2376=0,"",INDEX(Classes!$C$6:$C$420,$M2376))</f>
        <v/>
      </c>
      <c r="F2376" s="63"/>
      <c r="G2376" s="63"/>
      <c r="H2376" s="60"/>
      <c r="I2376" s="60"/>
      <c r="J2376" s="63"/>
      <c r="K2376" s="61" t="str">
        <f aca="false">IF($P2376=0,"",IF($F2376="Baseline","— Baseline",IF($O2376=0,"No result",IF($N2376=0,"No Start (attainment only)",IF(OR($N2376=1,$O2376=1),"U – needs rule",INDEX(MxBody,MATCH($I2376,MxCurr,0),MATCH($H2376,MxStart,0)))))))</f>
        <v/>
      </c>
      <c r="L2376" s="62" t="str">
        <f aca="false">IF(COUNTA($A2376,$F2376,$G2376,$H2376,$I2376,$J2376)=0,"",IF($M2376=0,"✖ كود الصف غير موجود",IF(ISNA(MATCH($F2376,Lists!$A$2:$A$5,0)),"✖ الفترة غير صحيحة",IF(ISNA(MATCH($G2376,Lists!$B$2:$B$7,0)),"✖ المجموعة غير صحيحة",IF(NOT(OR($H2376="",$N2376&gt;0)),"✖ Start غير صحيح",IF(NOT(OR($I2376="",$I2376="NR",$O2376&gt;0)),"✖ Current غير صحيح",IF(NOT(IF(ISNUMBER($J2376),AND($J2376&gt;=0,$J2376=INT($J2376)),FALSE())),"✖ العدد يجب أن يكون صحيحًا ≥ 0",IF(AND($F2376="Baseline",$H2376&lt;&gt;""),"⚠ Baseline: Start لا يدخل في التقدم",IF($K2376="No Start (attainment only)","ℹ تحصيل فقط (بدون Start)",IF($K2376="U – needs rule","ℹ حالة U تحتاج قاعدة معتمدة",IF($K2376="No result","ℹ بدون نتيجة (يُستبعد من التحصيل)","OK")))))))))))</f>
        <v/>
      </c>
      <c r="M2376" s="64" t="n">
        <f aca="false">IF($A2376="",0,IFERROR(MATCH($A2376,Classes!$A$6:$A$420,0),0))</f>
        <v>0</v>
      </c>
      <c r="N2376" s="64" t="n">
        <f aca="false">IF($H2376="",0,IFERROR(MATCH($H2376,GradeList,0),0))</f>
        <v>0</v>
      </c>
      <c r="O2376" s="64" t="n">
        <f aca="false">IF(OR($I2376="",$I2376="NR"),0,IFERROR(MATCH($I2376,GradeList,0),0))</f>
        <v>0</v>
      </c>
      <c r="P2376" s="64" t="n">
        <f aca="false">IF(AND($M2376&gt;0,ISNUMBER(MATCH($F2376,Lists!$A$2:$A$5,0)),ISNUMBER(MATCH($G2376,Lists!$B$2:$B$7,0)),OR($H2376="",$N2376&gt;0),OR($I2376="",$I2376="NR",$O2376&gt;0),IF(ISNUMBER($J2376),AND($J2376&gt;=0,$J2376=INT($J2376)),FALSE())),$J2376,0)</f>
        <v>0</v>
      </c>
      <c r="Q2376" s="64" t="n">
        <f aca="false">IF(AND($P2376&gt;0,$O2376&gt;0),$P2376,0)</f>
        <v>0</v>
      </c>
      <c r="R2376" s="64" t="n">
        <f aca="false">IF(AND($Q2376&gt;0,$O2376&gt;=AtRank),$Q2376,0)</f>
        <v>0</v>
      </c>
      <c r="S2376" s="64" t="n">
        <f aca="false">IF(AND($Q2376&gt;0,$O2376&gt;=AboveRank),$Q2376,0)</f>
        <v>0</v>
      </c>
      <c r="T2376" s="64" t="n">
        <f aca="false">IF($K2376="Less",$P2376,0)</f>
        <v>0</v>
      </c>
      <c r="U2376" s="64" t="n">
        <f aca="false">IF($K2376="Expected",$P2376,0)</f>
        <v>0</v>
      </c>
      <c r="V2376" s="64" t="n">
        <f aca="false">IF($K2376="Better",$P2376,0)</f>
        <v>0</v>
      </c>
      <c r="W2376" s="64" t="n">
        <f aca="false">IF($K2376="U – needs rule",$P2376,0)</f>
        <v>0</v>
      </c>
      <c r="X2376" s="64" t="n">
        <f aca="false">IF($K2376="No Start (attainment only)",$P2376,0)</f>
        <v>0</v>
      </c>
    </row>
    <row r="2377" customFormat="false" ht="15" hidden="false" customHeight="false" outlineLevel="0" collapsed="false">
      <c r="A2377" s="60"/>
      <c r="B2377" s="61" t="str">
        <f aca="false">IF($M2377=0,"",INDEX(Classes!$E$6:$E$420,$M2377))</f>
        <v/>
      </c>
      <c r="C2377" s="62" t="str">
        <f aca="false">IF($M2377=0,"",INDEX(Classes!$H$6:$H$420,$M2377))</f>
        <v/>
      </c>
      <c r="D2377" s="61" t="str">
        <f aca="false">IF($M2377=0,"",INDEX(Classes!$B$6:$B$420,$M2377))</f>
        <v/>
      </c>
      <c r="E2377" s="61" t="str">
        <f aca="false">IF($M2377=0,"",INDEX(Classes!$C$6:$C$420,$M2377))</f>
        <v/>
      </c>
      <c r="F2377" s="63"/>
      <c r="G2377" s="63"/>
      <c r="H2377" s="60"/>
      <c r="I2377" s="60"/>
      <c r="J2377" s="63"/>
      <c r="K2377" s="61" t="str">
        <f aca="false">IF($P2377=0,"",IF($F2377="Baseline","— Baseline",IF($O2377=0,"No result",IF($N2377=0,"No Start (attainment only)",IF(OR($N2377=1,$O2377=1),"U – needs rule",INDEX(MxBody,MATCH($I2377,MxCurr,0),MATCH($H2377,MxStart,0)))))))</f>
        <v/>
      </c>
      <c r="L2377" s="62" t="str">
        <f aca="false">IF(COUNTA($A2377,$F2377,$G2377,$H2377,$I2377,$J2377)=0,"",IF($M2377=0,"✖ كود الصف غير موجود",IF(ISNA(MATCH($F2377,Lists!$A$2:$A$5,0)),"✖ الفترة غير صحيحة",IF(ISNA(MATCH($G2377,Lists!$B$2:$B$7,0)),"✖ المجموعة غير صحيحة",IF(NOT(OR($H2377="",$N2377&gt;0)),"✖ Start غير صحيح",IF(NOT(OR($I2377="",$I2377="NR",$O2377&gt;0)),"✖ Current غير صحيح",IF(NOT(IF(ISNUMBER($J2377),AND($J2377&gt;=0,$J2377=INT($J2377)),FALSE())),"✖ العدد يجب أن يكون صحيحًا ≥ 0",IF(AND($F2377="Baseline",$H2377&lt;&gt;""),"⚠ Baseline: Start لا يدخل في التقدم",IF($K2377="No Start (attainment only)","ℹ تحصيل فقط (بدون Start)",IF($K2377="U – needs rule","ℹ حالة U تحتاج قاعدة معتمدة",IF($K2377="No result","ℹ بدون نتيجة (يُستبعد من التحصيل)","OK")))))))))))</f>
        <v/>
      </c>
      <c r="M2377" s="64" t="n">
        <f aca="false">IF($A2377="",0,IFERROR(MATCH($A2377,Classes!$A$6:$A$420,0),0))</f>
        <v>0</v>
      </c>
      <c r="N2377" s="64" t="n">
        <f aca="false">IF($H2377="",0,IFERROR(MATCH($H2377,GradeList,0),0))</f>
        <v>0</v>
      </c>
      <c r="O2377" s="64" t="n">
        <f aca="false">IF(OR($I2377="",$I2377="NR"),0,IFERROR(MATCH($I2377,GradeList,0),0))</f>
        <v>0</v>
      </c>
      <c r="P2377" s="64" t="n">
        <f aca="false">IF(AND($M2377&gt;0,ISNUMBER(MATCH($F2377,Lists!$A$2:$A$5,0)),ISNUMBER(MATCH($G2377,Lists!$B$2:$B$7,0)),OR($H2377="",$N2377&gt;0),OR($I2377="",$I2377="NR",$O2377&gt;0),IF(ISNUMBER($J2377),AND($J2377&gt;=0,$J2377=INT($J2377)),FALSE())),$J2377,0)</f>
        <v>0</v>
      </c>
      <c r="Q2377" s="64" t="n">
        <f aca="false">IF(AND($P2377&gt;0,$O2377&gt;0),$P2377,0)</f>
        <v>0</v>
      </c>
      <c r="R2377" s="64" t="n">
        <f aca="false">IF(AND($Q2377&gt;0,$O2377&gt;=AtRank),$Q2377,0)</f>
        <v>0</v>
      </c>
      <c r="S2377" s="64" t="n">
        <f aca="false">IF(AND($Q2377&gt;0,$O2377&gt;=AboveRank),$Q2377,0)</f>
        <v>0</v>
      </c>
      <c r="T2377" s="64" t="n">
        <f aca="false">IF($K2377="Less",$P2377,0)</f>
        <v>0</v>
      </c>
      <c r="U2377" s="64" t="n">
        <f aca="false">IF($K2377="Expected",$P2377,0)</f>
        <v>0</v>
      </c>
      <c r="V2377" s="64" t="n">
        <f aca="false">IF($K2377="Better",$P2377,0)</f>
        <v>0</v>
      </c>
      <c r="W2377" s="64" t="n">
        <f aca="false">IF($K2377="U – needs rule",$P2377,0)</f>
        <v>0</v>
      </c>
      <c r="X2377" s="64" t="n">
        <f aca="false">IF($K2377="No Start (attainment only)",$P2377,0)</f>
        <v>0</v>
      </c>
    </row>
    <row r="2378" customFormat="false" ht="15" hidden="false" customHeight="false" outlineLevel="0" collapsed="false">
      <c r="A2378" s="60"/>
      <c r="B2378" s="61" t="str">
        <f aca="false">IF($M2378=0,"",INDEX(Classes!$E$6:$E$420,$M2378))</f>
        <v/>
      </c>
      <c r="C2378" s="62" t="str">
        <f aca="false">IF($M2378=0,"",INDEX(Classes!$H$6:$H$420,$M2378))</f>
        <v/>
      </c>
      <c r="D2378" s="61" t="str">
        <f aca="false">IF($M2378=0,"",INDEX(Classes!$B$6:$B$420,$M2378))</f>
        <v/>
      </c>
      <c r="E2378" s="61" t="str">
        <f aca="false">IF($M2378=0,"",INDEX(Classes!$C$6:$C$420,$M2378))</f>
        <v/>
      </c>
      <c r="F2378" s="63"/>
      <c r="G2378" s="63"/>
      <c r="H2378" s="60"/>
      <c r="I2378" s="60"/>
      <c r="J2378" s="63"/>
      <c r="K2378" s="61" t="str">
        <f aca="false">IF($P2378=0,"",IF($F2378="Baseline","— Baseline",IF($O2378=0,"No result",IF($N2378=0,"No Start (attainment only)",IF(OR($N2378=1,$O2378=1),"U – needs rule",INDEX(MxBody,MATCH($I2378,MxCurr,0),MATCH($H2378,MxStart,0)))))))</f>
        <v/>
      </c>
      <c r="L2378" s="62" t="str">
        <f aca="false">IF(COUNTA($A2378,$F2378,$G2378,$H2378,$I2378,$J2378)=0,"",IF($M2378=0,"✖ كود الصف غير موجود",IF(ISNA(MATCH($F2378,Lists!$A$2:$A$5,0)),"✖ الفترة غير صحيحة",IF(ISNA(MATCH($G2378,Lists!$B$2:$B$7,0)),"✖ المجموعة غير صحيحة",IF(NOT(OR($H2378="",$N2378&gt;0)),"✖ Start غير صحيح",IF(NOT(OR($I2378="",$I2378="NR",$O2378&gt;0)),"✖ Current غير صحيح",IF(NOT(IF(ISNUMBER($J2378),AND($J2378&gt;=0,$J2378=INT($J2378)),FALSE())),"✖ العدد يجب أن يكون صحيحًا ≥ 0",IF(AND($F2378="Baseline",$H2378&lt;&gt;""),"⚠ Baseline: Start لا يدخل في التقدم",IF($K2378="No Start (attainment only)","ℹ تحصيل فقط (بدون Start)",IF($K2378="U – needs rule","ℹ حالة U تحتاج قاعدة معتمدة",IF($K2378="No result","ℹ بدون نتيجة (يُستبعد من التحصيل)","OK")))))))))))</f>
        <v/>
      </c>
      <c r="M2378" s="64" t="n">
        <f aca="false">IF($A2378="",0,IFERROR(MATCH($A2378,Classes!$A$6:$A$420,0),0))</f>
        <v>0</v>
      </c>
      <c r="N2378" s="64" t="n">
        <f aca="false">IF($H2378="",0,IFERROR(MATCH($H2378,GradeList,0),0))</f>
        <v>0</v>
      </c>
      <c r="O2378" s="64" t="n">
        <f aca="false">IF(OR($I2378="",$I2378="NR"),0,IFERROR(MATCH($I2378,GradeList,0),0))</f>
        <v>0</v>
      </c>
      <c r="P2378" s="64" t="n">
        <f aca="false">IF(AND($M2378&gt;0,ISNUMBER(MATCH($F2378,Lists!$A$2:$A$5,0)),ISNUMBER(MATCH($G2378,Lists!$B$2:$B$7,0)),OR($H2378="",$N2378&gt;0),OR($I2378="",$I2378="NR",$O2378&gt;0),IF(ISNUMBER($J2378),AND($J2378&gt;=0,$J2378=INT($J2378)),FALSE())),$J2378,0)</f>
        <v>0</v>
      </c>
      <c r="Q2378" s="64" t="n">
        <f aca="false">IF(AND($P2378&gt;0,$O2378&gt;0),$P2378,0)</f>
        <v>0</v>
      </c>
      <c r="R2378" s="64" t="n">
        <f aca="false">IF(AND($Q2378&gt;0,$O2378&gt;=AtRank),$Q2378,0)</f>
        <v>0</v>
      </c>
      <c r="S2378" s="64" t="n">
        <f aca="false">IF(AND($Q2378&gt;0,$O2378&gt;=AboveRank),$Q2378,0)</f>
        <v>0</v>
      </c>
      <c r="T2378" s="64" t="n">
        <f aca="false">IF($K2378="Less",$P2378,0)</f>
        <v>0</v>
      </c>
      <c r="U2378" s="64" t="n">
        <f aca="false">IF($K2378="Expected",$P2378,0)</f>
        <v>0</v>
      </c>
      <c r="V2378" s="64" t="n">
        <f aca="false">IF($K2378="Better",$P2378,0)</f>
        <v>0</v>
      </c>
      <c r="W2378" s="64" t="n">
        <f aca="false">IF($K2378="U – needs rule",$P2378,0)</f>
        <v>0</v>
      </c>
      <c r="X2378" s="64" t="n">
        <f aca="false">IF($K2378="No Start (attainment only)",$P2378,0)</f>
        <v>0</v>
      </c>
    </row>
    <row r="2379" customFormat="false" ht="15" hidden="false" customHeight="false" outlineLevel="0" collapsed="false">
      <c r="A2379" s="60"/>
      <c r="B2379" s="61" t="str">
        <f aca="false">IF($M2379=0,"",INDEX(Classes!$E$6:$E$420,$M2379))</f>
        <v/>
      </c>
      <c r="C2379" s="62" t="str">
        <f aca="false">IF($M2379=0,"",INDEX(Classes!$H$6:$H$420,$M2379))</f>
        <v/>
      </c>
      <c r="D2379" s="61" t="str">
        <f aca="false">IF($M2379=0,"",INDEX(Classes!$B$6:$B$420,$M2379))</f>
        <v/>
      </c>
      <c r="E2379" s="61" t="str">
        <f aca="false">IF($M2379=0,"",INDEX(Classes!$C$6:$C$420,$M2379))</f>
        <v/>
      </c>
      <c r="F2379" s="63"/>
      <c r="G2379" s="63"/>
      <c r="H2379" s="60"/>
      <c r="I2379" s="60"/>
      <c r="J2379" s="63"/>
      <c r="K2379" s="61" t="str">
        <f aca="false">IF($P2379=0,"",IF($F2379="Baseline","— Baseline",IF($O2379=0,"No result",IF($N2379=0,"No Start (attainment only)",IF(OR($N2379=1,$O2379=1),"U – needs rule",INDEX(MxBody,MATCH($I2379,MxCurr,0),MATCH($H2379,MxStart,0)))))))</f>
        <v/>
      </c>
      <c r="L2379" s="62" t="str">
        <f aca="false">IF(COUNTA($A2379,$F2379,$G2379,$H2379,$I2379,$J2379)=0,"",IF($M2379=0,"✖ كود الصف غير موجود",IF(ISNA(MATCH($F2379,Lists!$A$2:$A$5,0)),"✖ الفترة غير صحيحة",IF(ISNA(MATCH($G2379,Lists!$B$2:$B$7,0)),"✖ المجموعة غير صحيحة",IF(NOT(OR($H2379="",$N2379&gt;0)),"✖ Start غير صحيح",IF(NOT(OR($I2379="",$I2379="NR",$O2379&gt;0)),"✖ Current غير صحيح",IF(NOT(IF(ISNUMBER($J2379),AND($J2379&gt;=0,$J2379=INT($J2379)),FALSE())),"✖ العدد يجب أن يكون صحيحًا ≥ 0",IF(AND($F2379="Baseline",$H2379&lt;&gt;""),"⚠ Baseline: Start لا يدخل في التقدم",IF($K2379="No Start (attainment only)","ℹ تحصيل فقط (بدون Start)",IF($K2379="U – needs rule","ℹ حالة U تحتاج قاعدة معتمدة",IF($K2379="No result","ℹ بدون نتيجة (يُستبعد من التحصيل)","OK")))))))))))</f>
        <v/>
      </c>
      <c r="M2379" s="64" t="n">
        <f aca="false">IF($A2379="",0,IFERROR(MATCH($A2379,Classes!$A$6:$A$420,0),0))</f>
        <v>0</v>
      </c>
      <c r="N2379" s="64" t="n">
        <f aca="false">IF($H2379="",0,IFERROR(MATCH($H2379,GradeList,0),0))</f>
        <v>0</v>
      </c>
      <c r="O2379" s="64" t="n">
        <f aca="false">IF(OR($I2379="",$I2379="NR"),0,IFERROR(MATCH($I2379,GradeList,0),0))</f>
        <v>0</v>
      </c>
      <c r="P2379" s="64" t="n">
        <f aca="false">IF(AND($M2379&gt;0,ISNUMBER(MATCH($F2379,Lists!$A$2:$A$5,0)),ISNUMBER(MATCH($G2379,Lists!$B$2:$B$7,0)),OR($H2379="",$N2379&gt;0),OR($I2379="",$I2379="NR",$O2379&gt;0),IF(ISNUMBER($J2379),AND($J2379&gt;=0,$J2379=INT($J2379)),FALSE())),$J2379,0)</f>
        <v>0</v>
      </c>
      <c r="Q2379" s="64" t="n">
        <f aca="false">IF(AND($P2379&gt;0,$O2379&gt;0),$P2379,0)</f>
        <v>0</v>
      </c>
      <c r="R2379" s="64" t="n">
        <f aca="false">IF(AND($Q2379&gt;0,$O2379&gt;=AtRank),$Q2379,0)</f>
        <v>0</v>
      </c>
      <c r="S2379" s="64" t="n">
        <f aca="false">IF(AND($Q2379&gt;0,$O2379&gt;=AboveRank),$Q2379,0)</f>
        <v>0</v>
      </c>
      <c r="T2379" s="64" t="n">
        <f aca="false">IF($K2379="Less",$P2379,0)</f>
        <v>0</v>
      </c>
      <c r="U2379" s="64" t="n">
        <f aca="false">IF($K2379="Expected",$P2379,0)</f>
        <v>0</v>
      </c>
      <c r="V2379" s="64" t="n">
        <f aca="false">IF($K2379="Better",$P2379,0)</f>
        <v>0</v>
      </c>
      <c r="W2379" s="64" t="n">
        <f aca="false">IF($K2379="U – needs rule",$P2379,0)</f>
        <v>0</v>
      </c>
      <c r="X2379" s="64" t="n">
        <f aca="false">IF($K2379="No Start (attainment only)",$P2379,0)</f>
        <v>0</v>
      </c>
    </row>
    <row r="2380" customFormat="false" ht="15" hidden="false" customHeight="false" outlineLevel="0" collapsed="false">
      <c r="A2380" s="60"/>
      <c r="B2380" s="61" t="str">
        <f aca="false">IF($M2380=0,"",INDEX(Classes!$E$6:$E$420,$M2380))</f>
        <v/>
      </c>
      <c r="C2380" s="62" t="str">
        <f aca="false">IF($M2380=0,"",INDEX(Classes!$H$6:$H$420,$M2380))</f>
        <v/>
      </c>
      <c r="D2380" s="61" t="str">
        <f aca="false">IF($M2380=0,"",INDEX(Classes!$B$6:$B$420,$M2380))</f>
        <v/>
      </c>
      <c r="E2380" s="61" t="str">
        <f aca="false">IF($M2380=0,"",INDEX(Classes!$C$6:$C$420,$M2380))</f>
        <v/>
      </c>
      <c r="F2380" s="63"/>
      <c r="G2380" s="63"/>
      <c r="H2380" s="60"/>
      <c r="I2380" s="60"/>
      <c r="J2380" s="63"/>
      <c r="K2380" s="61" t="str">
        <f aca="false">IF($P2380=0,"",IF($F2380="Baseline","— Baseline",IF($O2380=0,"No result",IF($N2380=0,"No Start (attainment only)",IF(OR($N2380=1,$O2380=1),"U – needs rule",INDEX(MxBody,MATCH($I2380,MxCurr,0),MATCH($H2380,MxStart,0)))))))</f>
        <v/>
      </c>
      <c r="L2380" s="62" t="str">
        <f aca="false">IF(COUNTA($A2380,$F2380,$G2380,$H2380,$I2380,$J2380)=0,"",IF($M2380=0,"✖ كود الصف غير موجود",IF(ISNA(MATCH($F2380,Lists!$A$2:$A$5,0)),"✖ الفترة غير صحيحة",IF(ISNA(MATCH($G2380,Lists!$B$2:$B$7,0)),"✖ المجموعة غير صحيحة",IF(NOT(OR($H2380="",$N2380&gt;0)),"✖ Start غير صحيح",IF(NOT(OR($I2380="",$I2380="NR",$O2380&gt;0)),"✖ Current غير صحيح",IF(NOT(IF(ISNUMBER($J2380),AND($J2380&gt;=0,$J2380=INT($J2380)),FALSE())),"✖ العدد يجب أن يكون صحيحًا ≥ 0",IF(AND($F2380="Baseline",$H2380&lt;&gt;""),"⚠ Baseline: Start لا يدخل في التقدم",IF($K2380="No Start (attainment only)","ℹ تحصيل فقط (بدون Start)",IF($K2380="U – needs rule","ℹ حالة U تحتاج قاعدة معتمدة",IF($K2380="No result","ℹ بدون نتيجة (يُستبعد من التحصيل)","OK")))))))))))</f>
        <v/>
      </c>
      <c r="M2380" s="64" t="n">
        <f aca="false">IF($A2380="",0,IFERROR(MATCH($A2380,Classes!$A$6:$A$420,0),0))</f>
        <v>0</v>
      </c>
      <c r="N2380" s="64" t="n">
        <f aca="false">IF($H2380="",0,IFERROR(MATCH($H2380,GradeList,0),0))</f>
        <v>0</v>
      </c>
      <c r="O2380" s="64" t="n">
        <f aca="false">IF(OR($I2380="",$I2380="NR"),0,IFERROR(MATCH($I2380,GradeList,0),0))</f>
        <v>0</v>
      </c>
      <c r="P2380" s="64" t="n">
        <f aca="false">IF(AND($M2380&gt;0,ISNUMBER(MATCH($F2380,Lists!$A$2:$A$5,0)),ISNUMBER(MATCH($G2380,Lists!$B$2:$B$7,0)),OR($H2380="",$N2380&gt;0),OR($I2380="",$I2380="NR",$O2380&gt;0),IF(ISNUMBER($J2380),AND($J2380&gt;=0,$J2380=INT($J2380)),FALSE())),$J2380,0)</f>
        <v>0</v>
      </c>
      <c r="Q2380" s="64" t="n">
        <f aca="false">IF(AND($P2380&gt;0,$O2380&gt;0),$P2380,0)</f>
        <v>0</v>
      </c>
      <c r="R2380" s="64" t="n">
        <f aca="false">IF(AND($Q2380&gt;0,$O2380&gt;=AtRank),$Q2380,0)</f>
        <v>0</v>
      </c>
      <c r="S2380" s="64" t="n">
        <f aca="false">IF(AND($Q2380&gt;0,$O2380&gt;=AboveRank),$Q2380,0)</f>
        <v>0</v>
      </c>
      <c r="T2380" s="64" t="n">
        <f aca="false">IF($K2380="Less",$P2380,0)</f>
        <v>0</v>
      </c>
      <c r="U2380" s="64" t="n">
        <f aca="false">IF($K2380="Expected",$P2380,0)</f>
        <v>0</v>
      </c>
      <c r="V2380" s="64" t="n">
        <f aca="false">IF($K2380="Better",$P2380,0)</f>
        <v>0</v>
      </c>
      <c r="W2380" s="64" t="n">
        <f aca="false">IF($K2380="U – needs rule",$P2380,0)</f>
        <v>0</v>
      </c>
      <c r="X2380" s="64" t="n">
        <f aca="false">IF($K2380="No Start (attainment only)",$P2380,0)</f>
        <v>0</v>
      </c>
    </row>
    <row r="2381" customFormat="false" ht="15" hidden="false" customHeight="false" outlineLevel="0" collapsed="false">
      <c r="A2381" s="60"/>
      <c r="B2381" s="61" t="str">
        <f aca="false">IF($M2381=0,"",INDEX(Classes!$E$6:$E$420,$M2381))</f>
        <v/>
      </c>
      <c r="C2381" s="62" t="str">
        <f aca="false">IF($M2381=0,"",INDEX(Classes!$H$6:$H$420,$M2381))</f>
        <v/>
      </c>
      <c r="D2381" s="61" t="str">
        <f aca="false">IF($M2381=0,"",INDEX(Classes!$B$6:$B$420,$M2381))</f>
        <v/>
      </c>
      <c r="E2381" s="61" t="str">
        <f aca="false">IF($M2381=0,"",INDEX(Classes!$C$6:$C$420,$M2381))</f>
        <v/>
      </c>
      <c r="F2381" s="63"/>
      <c r="G2381" s="63"/>
      <c r="H2381" s="60"/>
      <c r="I2381" s="60"/>
      <c r="J2381" s="63"/>
      <c r="K2381" s="61" t="str">
        <f aca="false">IF($P2381=0,"",IF($F2381="Baseline","— Baseline",IF($O2381=0,"No result",IF($N2381=0,"No Start (attainment only)",IF(OR($N2381=1,$O2381=1),"U – needs rule",INDEX(MxBody,MATCH($I2381,MxCurr,0),MATCH($H2381,MxStart,0)))))))</f>
        <v/>
      </c>
      <c r="L2381" s="62" t="str">
        <f aca="false">IF(COUNTA($A2381,$F2381,$G2381,$H2381,$I2381,$J2381)=0,"",IF($M2381=0,"✖ كود الصف غير موجود",IF(ISNA(MATCH($F2381,Lists!$A$2:$A$5,0)),"✖ الفترة غير صحيحة",IF(ISNA(MATCH($G2381,Lists!$B$2:$B$7,0)),"✖ المجموعة غير صحيحة",IF(NOT(OR($H2381="",$N2381&gt;0)),"✖ Start غير صحيح",IF(NOT(OR($I2381="",$I2381="NR",$O2381&gt;0)),"✖ Current غير صحيح",IF(NOT(IF(ISNUMBER($J2381),AND($J2381&gt;=0,$J2381=INT($J2381)),FALSE())),"✖ العدد يجب أن يكون صحيحًا ≥ 0",IF(AND($F2381="Baseline",$H2381&lt;&gt;""),"⚠ Baseline: Start لا يدخل في التقدم",IF($K2381="No Start (attainment only)","ℹ تحصيل فقط (بدون Start)",IF($K2381="U – needs rule","ℹ حالة U تحتاج قاعدة معتمدة",IF($K2381="No result","ℹ بدون نتيجة (يُستبعد من التحصيل)","OK")))))))))))</f>
        <v/>
      </c>
      <c r="M2381" s="64" t="n">
        <f aca="false">IF($A2381="",0,IFERROR(MATCH($A2381,Classes!$A$6:$A$420,0),0))</f>
        <v>0</v>
      </c>
      <c r="N2381" s="64" t="n">
        <f aca="false">IF($H2381="",0,IFERROR(MATCH($H2381,GradeList,0),0))</f>
        <v>0</v>
      </c>
      <c r="O2381" s="64" t="n">
        <f aca="false">IF(OR($I2381="",$I2381="NR"),0,IFERROR(MATCH($I2381,GradeList,0),0))</f>
        <v>0</v>
      </c>
      <c r="P2381" s="64" t="n">
        <f aca="false">IF(AND($M2381&gt;0,ISNUMBER(MATCH($F2381,Lists!$A$2:$A$5,0)),ISNUMBER(MATCH($G2381,Lists!$B$2:$B$7,0)),OR($H2381="",$N2381&gt;0),OR($I2381="",$I2381="NR",$O2381&gt;0),IF(ISNUMBER($J2381),AND($J2381&gt;=0,$J2381=INT($J2381)),FALSE())),$J2381,0)</f>
        <v>0</v>
      </c>
      <c r="Q2381" s="64" t="n">
        <f aca="false">IF(AND($P2381&gt;0,$O2381&gt;0),$P2381,0)</f>
        <v>0</v>
      </c>
      <c r="R2381" s="64" t="n">
        <f aca="false">IF(AND($Q2381&gt;0,$O2381&gt;=AtRank),$Q2381,0)</f>
        <v>0</v>
      </c>
      <c r="S2381" s="64" t="n">
        <f aca="false">IF(AND($Q2381&gt;0,$O2381&gt;=AboveRank),$Q2381,0)</f>
        <v>0</v>
      </c>
      <c r="T2381" s="64" t="n">
        <f aca="false">IF($K2381="Less",$P2381,0)</f>
        <v>0</v>
      </c>
      <c r="U2381" s="64" t="n">
        <f aca="false">IF($K2381="Expected",$P2381,0)</f>
        <v>0</v>
      </c>
      <c r="V2381" s="64" t="n">
        <f aca="false">IF($K2381="Better",$P2381,0)</f>
        <v>0</v>
      </c>
      <c r="W2381" s="64" t="n">
        <f aca="false">IF($K2381="U – needs rule",$P2381,0)</f>
        <v>0</v>
      </c>
      <c r="X2381" s="64" t="n">
        <f aca="false">IF($K2381="No Start (attainment only)",$P2381,0)</f>
        <v>0</v>
      </c>
    </row>
    <row r="2382" customFormat="false" ht="15" hidden="false" customHeight="false" outlineLevel="0" collapsed="false">
      <c r="A2382" s="60"/>
      <c r="B2382" s="61" t="str">
        <f aca="false">IF($M2382=0,"",INDEX(Classes!$E$6:$E$420,$M2382))</f>
        <v/>
      </c>
      <c r="C2382" s="62" t="str">
        <f aca="false">IF($M2382=0,"",INDEX(Classes!$H$6:$H$420,$M2382))</f>
        <v/>
      </c>
      <c r="D2382" s="61" t="str">
        <f aca="false">IF($M2382=0,"",INDEX(Classes!$B$6:$B$420,$M2382))</f>
        <v/>
      </c>
      <c r="E2382" s="61" t="str">
        <f aca="false">IF($M2382=0,"",INDEX(Classes!$C$6:$C$420,$M2382))</f>
        <v/>
      </c>
      <c r="F2382" s="63"/>
      <c r="G2382" s="63"/>
      <c r="H2382" s="60"/>
      <c r="I2382" s="60"/>
      <c r="J2382" s="63"/>
      <c r="K2382" s="61" t="str">
        <f aca="false">IF($P2382=0,"",IF($F2382="Baseline","— Baseline",IF($O2382=0,"No result",IF($N2382=0,"No Start (attainment only)",IF(OR($N2382=1,$O2382=1),"U – needs rule",INDEX(MxBody,MATCH($I2382,MxCurr,0),MATCH($H2382,MxStart,0)))))))</f>
        <v/>
      </c>
      <c r="L2382" s="62" t="str">
        <f aca="false">IF(COUNTA($A2382,$F2382,$G2382,$H2382,$I2382,$J2382)=0,"",IF($M2382=0,"✖ كود الصف غير موجود",IF(ISNA(MATCH($F2382,Lists!$A$2:$A$5,0)),"✖ الفترة غير صحيحة",IF(ISNA(MATCH($G2382,Lists!$B$2:$B$7,0)),"✖ المجموعة غير صحيحة",IF(NOT(OR($H2382="",$N2382&gt;0)),"✖ Start غير صحيح",IF(NOT(OR($I2382="",$I2382="NR",$O2382&gt;0)),"✖ Current غير صحيح",IF(NOT(IF(ISNUMBER($J2382),AND($J2382&gt;=0,$J2382=INT($J2382)),FALSE())),"✖ العدد يجب أن يكون صحيحًا ≥ 0",IF(AND($F2382="Baseline",$H2382&lt;&gt;""),"⚠ Baseline: Start لا يدخل في التقدم",IF($K2382="No Start (attainment only)","ℹ تحصيل فقط (بدون Start)",IF($K2382="U – needs rule","ℹ حالة U تحتاج قاعدة معتمدة",IF($K2382="No result","ℹ بدون نتيجة (يُستبعد من التحصيل)","OK")))))))))))</f>
        <v/>
      </c>
      <c r="M2382" s="64" t="n">
        <f aca="false">IF($A2382="",0,IFERROR(MATCH($A2382,Classes!$A$6:$A$420,0),0))</f>
        <v>0</v>
      </c>
      <c r="N2382" s="64" t="n">
        <f aca="false">IF($H2382="",0,IFERROR(MATCH($H2382,GradeList,0),0))</f>
        <v>0</v>
      </c>
      <c r="O2382" s="64" t="n">
        <f aca="false">IF(OR($I2382="",$I2382="NR"),0,IFERROR(MATCH($I2382,GradeList,0),0))</f>
        <v>0</v>
      </c>
      <c r="P2382" s="64" t="n">
        <f aca="false">IF(AND($M2382&gt;0,ISNUMBER(MATCH($F2382,Lists!$A$2:$A$5,0)),ISNUMBER(MATCH($G2382,Lists!$B$2:$B$7,0)),OR($H2382="",$N2382&gt;0),OR($I2382="",$I2382="NR",$O2382&gt;0),IF(ISNUMBER($J2382),AND($J2382&gt;=0,$J2382=INT($J2382)),FALSE())),$J2382,0)</f>
        <v>0</v>
      </c>
      <c r="Q2382" s="64" t="n">
        <f aca="false">IF(AND($P2382&gt;0,$O2382&gt;0),$P2382,0)</f>
        <v>0</v>
      </c>
      <c r="R2382" s="64" t="n">
        <f aca="false">IF(AND($Q2382&gt;0,$O2382&gt;=AtRank),$Q2382,0)</f>
        <v>0</v>
      </c>
      <c r="S2382" s="64" t="n">
        <f aca="false">IF(AND($Q2382&gt;0,$O2382&gt;=AboveRank),$Q2382,0)</f>
        <v>0</v>
      </c>
      <c r="T2382" s="64" t="n">
        <f aca="false">IF($K2382="Less",$P2382,0)</f>
        <v>0</v>
      </c>
      <c r="U2382" s="64" t="n">
        <f aca="false">IF($K2382="Expected",$P2382,0)</f>
        <v>0</v>
      </c>
      <c r="V2382" s="64" t="n">
        <f aca="false">IF($K2382="Better",$P2382,0)</f>
        <v>0</v>
      </c>
      <c r="W2382" s="64" t="n">
        <f aca="false">IF($K2382="U – needs rule",$P2382,0)</f>
        <v>0</v>
      </c>
      <c r="X2382" s="64" t="n">
        <f aca="false">IF($K2382="No Start (attainment only)",$P2382,0)</f>
        <v>0</v>
      </c>
    </row>
    <row r="2383" customFormat="false" ht="15" hidden="false" customHeight="false" outlineLevel="0" collapsed="false">
      <c r="A2383" s="60"/>
      <c r="B2383" s="61" t="str">
        <f aca="false">IF($M2383=0,"",INDEX(Classes!$E$6:$E$420,$M2383))</f>
        <v/>
      </c>
      <c r="C2383" s="62" t="str">
        <f aca="false">IF($M2383=0,"",INDEX(Classes!$H$6:$H$420,$M2383))</f>
        <v/>
      </c>
      <c r="D2383" s="61" t="str">
        <f aca="false">IF($M2383=0,"",INDEX(Classes!$B$6:$B$420,$M2383))</f>
        <v/>
      </c>
      <c r="E2383" s="61" t="str">
        <f aca="false">IF($M2383=0,"",INDEX(Classes!$C$6:$C$420,$M2383))</f>
        <v/>
      </c>
      <c r="F2383" s="63"/>
      <c r="G2383" s="63"/>
      <c r="H2383" s="60"/>
      <c r="I2383" s="60"/>
      <c r="J2383" s="63"/>
      <c r="K2383" s="61" t="str">
        <f aca="false">IF($P2383=0,"",IF($F2383="Baseline","— Baseline",IF($O2383=0,"No result",IF($N2383=0,"No Start (attainment only)",IF(OR($N2383=1,$O2383=1),"U – needs rule",INDEX(MxBody,MATCH($I2383,MxCurr,0),MATCH($H2383,MxStart,0)))))))</f>
        <v/>
      </c>
      <c r="L2383" s="62" t="str">
        <f aca="false">IF(COUNTA($A2383,$F2383,$G2383,$H2383,$I2383,$J2383)=0,"",IF($M2383=0,"✖ كود الصف غير موجود",IF(ISNA(MATCH($F2383,Lists!$A$2:$A$5,0)),"✖ الفترة غير صحيحة",IF(ISNA(MATCH($G2383,Lists!$B$2:$B$7,0)),"✖ المجموعة غير صحيحة",IF(NOT(OR($H2383="",$N2383&gt;0)),"✖ Start غير صحيح",IF(NOT(OR($I2383="",$I2383="NR",$O2383&gt;0)),"✖ Current غير صحيح",IF(NOT(IF(ISNUMBER($J2383),AND($J2383&gt;=0,$J2383=INT($J2383)),FALSE())),"✖ العدد يجب أن يكون صحيحًا ≥ 0",IF(AND($F2383="Baseline",$H2383&lt;&gt;""),"⚠ Baseline: Start لا يدخل في التقدم",IF($K2383="No Start (attainment only)","ℹ تحصيل فقط (بدون Start)",IF($K2383="U – needs rule","ℹ حالة U تحتاج قاعدة معتمدة",IF($K2383="No result","ℹ بدون نتيجة (يُستبعد من التحصيل)","OK")))))))))))</f>
        <v/>
      </c>
      <c r="M2383" s="64" t="n">
        <f aca="false">IF($A2383="",0,IFERROR(MATCH($A2383,Classes!$A$6:$A$420,0),0))</f>
        <v>0</v>
      </c>
      <c r="N2383" s="64" t="n">
        <f aca="false">IF($H2383="",0,IFERROR(MATCH($H2383,GradeList,0),0))</f>
        <v>0</v>
      </c>
      <c r="O2383" s="64" t="n">
        <f aca="false">IF(OR($I2383="",$I2383="NR"),0,IFERROR(MATCH($I2383,GradeList,0),0))</f>
        <v>0</v>
      </c>
      <c r="P2383" s="64" t="n">
        <f aca="false">IF(AND($M2383&gt;0,ISNUMBER(MATCH($F2383,Lists!$A$2:$A$5,0)),ISNUMBER(MATCH($G2383,Lists!$B$2:$B$7,0)),OR($H2383="",$N2383&gt;0),OR($I2383="",$I2383="NR",$O2383&gt;0),IF(ISNUMBER($J2383),AND($J2383&gt;=0,$J2383=INT($J2383)),FALSE())),$J2383,0)</f>
        <v>0</v>
      </c>
      <c r="Q2383" s="64" t="n">
        <f aca="false">IF(AND($P2383&gt;0,$O2383&gt;0),$P2383,0)</f>
        <v>0</v>
      </c>
      <c r="R2383" s="64" t="n">
        <f aca="false">IF(AND($Q2383&gt;0,$O2383&gt;=AtRank),$Q2383,0)</f>
        <v>0</v>
      </c>
      <c r="S2383" s="64" t="n">
        <f aca="false">IF(AND($Q2383&gt;0,$O2383&gt;=AboveRank),$Q2383,0)</f>
        <v>0</v>
      </c>
      <c r="T2383" s="64" t="n">
        <f aca="false">IF($K2383="Less",$P2383,0)</f>
        <v>0</v>
      </c>
      <c r="U2383" s="64" t="n">
        <f aca="false">IF($K2383="Expected",$P2383,0)</f>
        <v>0</v>
      </c>
      <c r="V2383" s="64" t="n">
        <f aca="false">IF($K2383="Better",$P2383,0)</f>
        <v>0</v>
      </c>
      <c r="W2383" s="64" t="n">
        <f aca="false">IF($K2383="U – needs rule",$P2383,0)</f>
        <v>0</v>
      </c>
      <c r="X2383" s="64" t="n">
        <f aca="false">IF($K2383="No Start (attainment only)",$P2383,0)</f>
        <v>0</v>
      </c>
    </row>
    <row r="2384" customFormat="false" ht="15" hidden="false" customHeight="false" outlineLevel="0" collapsed="false">
      <c r="A2384" s="60"/>
      <c r="B2384" s="61" t="str">
        <f aca="false">IF($M2384=0,"",INDEX(Classes!$E$6:$E$420,$M2384))</f>
        <v/>
      </c>
      <c r="C2384" s="62" t="str">
        <f aca="false">IF($M2384=0,"",INDEX(Classes!$H$6:$H$420,$M2384))</f>
        <v/>
      </c>
      <c r="D2384" s="61" t="str">
        <f aca="false">IF($M2384=0,"",INDEX(Classes!$B$6:$B$420,$M2384))</f>
        <v/>
      </c>
      <c r="E2384" s="61" t="str">
        <f aca="false">IF($M2384=0,"",INDEX(Classes!$C$6:$C$420,$M2384))</f>
        <v/>
      </c>
      <c r="F2384" s="63"/>
      <c r="G2384" s="63"/>
      <c r="H2384" s="60"/>
      <c r="I2384" s="60"/>
      <c r="J2384" s="63"/>
      <c r="K2384" s="61" t="str">
        <f aca="false">IF($P2384=0,"",IF($F2384="Baseline","— Baseline",IF($O2384=0,"No result",IF($N2384=0,"No Start (attainment only)",IF(OR($N2384=1,$O2384=1),"U – needs rule",INDEX(MxBody,MATCH($I2384,MxCurr,0),MATCH($H2384,MxStart,0)))))))</f>
        <v/>
      </c>
      <c r="L2384" s="62" t="str">
        <f aca="false">IF(COUNTA($A2384,$F2384,$G2384,$H2384,$I2384,$J2384)=0,"",IF($M2384=0,"✖ كود الصف غير موجود",IF(ISNA(MATCH($F2384,Lists!$A$2:$A$5,0)),"✖ الفترة غير صحيحة",IF(ISNA(MATCH($G2384,Lists!$B$2:$B$7,0)),"✖ المجموعة غير صحيحة",IF(NOT(OR($H2384="",$N2384&gt;0)),"✖ Start غير صحيح",IF(NOT(OR($I2384="",$I2384="NR",$O2384&gt;0)),"✖ Current غير صحيح",IF(NOT(IF(ISNUMBER($J2384),AND($J2384&gt;=0,$J2384=INT($J2384)),FALSE())),"✖ العدد يجب أن يكون صحيحًا ≥ 0",IF(AND($F2384="Baseline",$H2384&lt;&gt;""),"⚠ Baseline: Start لا يدخل في التقدم",IF($K2384="No Start (attainment only)","ℹ تحصيل فقط (بدون Start)",IF($K2384="U – needs rule","ℹ حالة U تحتاج قاعدة معتمدة",IF($K2384="No result","ℹ بدون نتيجة (يُستبعد من التحصيل)","OK")))))))))))</f>
        <v/>
      </c>
      <c r="M2384" s="64" t="n">
        <f aca="false">IF($A2384="",0,IFERROR(MATCH($A2384,Classes!$A$6:$A$420,0),0))</f>
        <v>0</v>
      </c>
      <c r="N2384" s="64" t="n">
        <f aca="false">IF($H2384="",0,IFERROR(MATCH($H2384,GradeList,0),0))</f>
        <v>0</v>
      </c>
      <c r="O2384" s="64" t="n">
        <f aca="false">IF(OR($I2384="",$I2384="NR"),0,IFERROR(MATCH($I2384,GradeList,0),0))</f>
        <v>0</v>
      </c>
      <c r="P2384" s="64" t="n">
        <f aca="false">IF(AND($M2384&gt;0,ISNUMBER(MATCH($F2384,Lists!$A$2:$A$5,0)),ISNUMBER(MATCH($G2384,Lists!$B$2:$B$7,0)),OR($H2384="",$N2384&gt;0),OR($I2384="",$I2384="NR",$O2384&gt;0),IF(ISNUMBER($J2384),AND($J2384&gt;=0,$J2384=INT($J2384)),FALSE())),$J2384,0)</f>
        <v>0</v>
      </c>
      <c r="Q2384" s="64" t="n">
        <f aca="false">IF(AND($P2384&gt;0,$O2384&gt;0),$P2384,0)</f>
        <v>0</v>
      </c>
      <c r="R2384" s="64" t="n">
        <f aca="false">IF(AND($Q2384&gt;0,$O2384&gt;=AtRank),$Q2384,0)</f>
        <v>0</v>
      </c>
      <c r="S2384" s="64" t="n">
        <f aca="false">IF(AND($Q2384&gt;0,$O2384&gt;=AboveRank),$Q2384,0)</f>
        <v>0</v>
      </c>
      <c r="T2384" s="64" t="n">
        <f aca="false">IF($K2384="Less",$P2384,0)</f>
        <v>0</v>
      </c>
      <c r="U2384" s="64" t="n">
        <f aca="false">IF($K2384="Expected",$P2384,0)</f>
        <v>0</v>
      </c>
      <c r="V2384" s="64" t="n">
        <f aca="false">IF($K2384="Better",$P2384,0)</f>
        <v>0</v>
      </c>
      <c r="W2384" s="64" t="n">
        <f aca="false">IF($K2384="U – needs rule",$P2384,0)</f>
        <v>0</v>
      </c>
      <c r="X2384" s="64" t="n">
        <f aca="false">IF($K2384="No Start (attainment only)",$P2384,0)</f>
        <v>0</v>
      </c>
    </row>
    <row r="2385" customFormat="false" ht="15" hidden="false" customHeight="false" outlineLevel="0" collapsed="false">
      <c r="A2385" s="60"/>
      <c r="B2385" s="61" t="str">
        <f aca="false">IF($M2385=0,"",INDEX(Classes!$E$6:$E$420,$M2385))</f>
        <v/>
      </c>
      <c r="C2385" s="62" t="str">
        <f aca="false">IF($M2385=0,"",INDEX(Classes!$H$6:$H$420,$M2385))</f>
        <v/>
      </c>
      <c r="D2385" s="61" t="str">
        <f aca="false">IF($M2385=0,"",INDEX(Classes!$B$6:$B$420,$M2385))</f>
        <v/>
      </c>
      <c r="E2385" s="61" t="str">
        <f aca="false">IF($M2385=0,"",INDEX(Classes!$C$6:$C$420,$M2385))</f>
        <v/>
      </c>
      <c r="F2385" s="63"/>
      <c r="G2385" s="63"/>
      <c r="H2385" s="60"/>
      <c r="I2385" s="60"/>
      <c r="J2385" s="63"/>
      <c r="K2385" s="61" t="str">
        <f aca="false">IF($P2385=0,"",IF($F2385="Baseline","— Baseline",IF($O2385=0,"No result",IF($N2385=0,"No Start (attainment only)",IF(OR($N2385=1,$O2385=1),"U – needs rule",INDEX(MxBody,MATCH($I2385,MxCurr,0),MATCH($H2385,MxStart,0)))))))</f>
        <v/>
      </c>
      <c r="L2385" s="62" t="str">
        <f aca="false">IF(COUNTA($A2385,$F2385,$G2385,$H2385,$I2385,$J2385)=0,"",IF($M2385=0,"✖ كود الصف غير موجود",IF(ISNA(MATCH($F2385,Lists!$A$2:$A$5,0)),"✖ الفترة غير صحيحة",IF(ISNA(MATCH($G2385,Lists!$B$2:$B$7,0)),"✖ المجموعة غير صحيحة",IF(NOT(OR($H2385="",$N2385&gt;0)),"✖ Start غير صحيح",IF(NOT(OR($I2385="",$I2385="NR",$O2385&gt;0)),"✖ Current غير صحيح",IF(NOT(IF(ISNUMBER($J2385),AND($J2385&gt;=0,$J2385=INT($J2385)),FALSE())),"✖ العدد يجب أن يكون صحيحًا ≥ 0",IF(AND($F2385="Baseline",$H2385&lt;&gt;""),"⚠ Baseline: Start لا يدخل في التقدم",IF($K2385="No Start (attainment only)","ℹ تحصيل فقط (بدون Start)",IF($K2385="U – needs rule","ℹ حالة U تحتاج قاعدة معتمدة",IF($K2385="No result","ℹ بدون نتيجة (يُستبعد من التحصيل)","OK")))))))))))</f>
        <v/>
      </c>
      <c r="M2385" s="64" t="n">
        <f aca="false">IF($A2385="",0,IFERROR(MATCH($A2385,Classes!$A$6:$A$420,0),0))</f>
        <v>0</v>
      </c>
      <c r="N2385" s="64" t="n">
        <f aca="false">IF($H2385="",0,IFERROR(MATCH($H2385,GradeList,0),0))</f>
        <v>0</v>
      </c>
      <c r="O2385" s="64" t="n">
        <f aca="false">IF(OR($I2385="",$I2385="NR"),0,IFERROR(MATCH($I2385,GradeList,0),0))</f>
        <v>0</v>
      </c>
      <c r="P2385" s="64" t="n">
        <f aca="false">IF(AND($M2385&gt;0,ISNUMBER(MATCH($F2385,Lists!$A$2:$A$5,0)),ISNUMBER(MATCH($G2385,Lists!$B$2:$B$7,0)),OR($H2385="",$N2385&gt;0),OR($I2385="",$I2385="NR",$O2385&gt;0),IF(ISNUMBER($J2385),AND($J2385&gt;=0,$J2385=INT($J2385)),FALSE())),$J2385,0)</f>
        <v>0</v>
      </c>
      <c r="Q2385" s="64" t="n">
        <f aca="false">IF(AND($P2385&gt;0,$O2385&gt;0),$P2385,0)</f>
        <v>0</v>
      </c>
      <c r="R2385" s="64" t="n">
        <f aca="false">IF(AND($Q2385&gt;0,$O2385&gt;=AtRank),$Q2385,0)</f>
        <v>0</v>
      </c>
      <c r="S2385" s="64" t="n">
        <f aca="false">IF(AND($Q2385&gt;0,$O2385&gt;=AboveRank),$Q2385,0)</f>
        <v>0</v>
      </c>
      <c r="T2385" s="64" t="n">
        <f aca="false">IF($K2385="Less",$P2385,0)</f>
        <v>0</v>
      </c>
      <c r="U2385" s="64" t="n">
        <f aca="false">IF($K2385="Expected",$P2385,0)</f>
        <v>0</v>
      </c>
      <c r="V2385" s="64" t="n">
        <f aca="false">IF($K2385="Better",$P2385,0)</f>
        <v>0</v>
      </c>
      <c r="W2385" s="64" t="n">
        <f aca="false">IF($K2385="U – needs rule",$P2385,0)</f>
        <v>0</v>
      </c>
      <c r="X2385" s="64" t="n">
        <f aca="false">IF($K2385="No Start (attainment only)",$P2385,0)</f>
        <v>0</v>
      </c>
    </row>
    <row r="2386" customFormat="false" ht="15" hidden="false" customHeight="false" outlineLevel="0" collapsed="false">
      <c r="A2386" s="60"/>
      <c r="B2386" s="61" t="str">
        <f aca="false">IF($M2386=0,"",INDEX(Classes!$E$6:$E$420,$M2386))</f>
        <v/>
      </c>
      <c r="C2386" s="62" t="str">
        <f aca="false">IF($M2386=0,"",INDEX(Classes!$H$6:$H$420,$M2386))</f>
        <v/>
      </c>
      <c r="D2386" s="61" t="str">
        <f aca="false">IF($M2386=0,"",INDEX(Classes!$B$6:$B$420,$M2386))</f>
        <v/>
      </c>
      <c r="E2386" s="61" t="str">
        <f aca="false">IF($M2386=0,"",INDEX(Classes!$C$6:$C$420,$M2386))</f>
        <v/>
      </c>
      <c r="F2386" s="63"/>
      <c r="G2386" s="63"/>
      <c r="H2386" s="60"/>
      <c r="I2386" s="60"/>
      <c r="J2386" s="63"/>
      <c r="K2386" s="61" t="str">
        <f aca="false">IF($P2386=0,"",IF($F2386="Baseline","— Baseline",IF($O2386=0,"No result",IF($N2386=0,"No Start (attainment only)",IF(OR($N2386=1,$O2386=1),"U – needs rule",INDEX(MxBody,MATCH($I2386,MxCurr,0),MATCH($H2386,MxStart,0)))))))</f>
        <v/>
      </c>
      <c r="L2386" s="62" t="str">
        <f aca="false">IF(COUNTA($A2386,$F2386,$G2386,$H2386,$I2386,$J2386)=0,"",IF($M2386=0,"✖ كود الصف غير موجود",IF(ISNA(MATCH($F2386,Lists!$A$2:$A$5,0)),"✖ الفترة غير صحيحة",IF(ISNA(MATCH($G2386,Lists!$B$2:$B$7,0)),"✖ المجموعة غير صحيحة",IF(NOT(OR($H2386="",$N2386&gt;0)),"✖ Start غير صحيح",IF(NOT(OR($I2386="",$I2386="NR",$O2386&gt;0)),"✖ Current غير صحيح",IF(NOT(IF(ISNUMBER($J2386),AND($J2386&gt;=0,$J2386=INT($J2386)),FALSE())),"✖ العدد يجب أن يكون صحيحًا ≥ 0",IF(AND($F2386="Baseline",$H2386&lt;&gt;""),"⚠ Baseline: Start لا يدخل في التقدم",IF($K2386="No Start (attainment only)","ℹ تحصيل فقط (بدون Start)",IF($K2386="U – needs rule","ℹ حالة U تحتاج قاعدة معتمدة",IF($K2386="No result","ℹ بدون نتيجة (يُستبعد من التحصيل)","OK")))))))))))</f>
        <v/>
      </c>
      <c r="M2386" s="64" t="n">
        <f aca="false">IF($A2386="",0,IFERROR(MATCH($A2386,Classes!$A$6:$A$420,0),0))</f>
        <v>0</v>
      </c>
      <c r="N2386" s="64" t="n">
        <f aca="false">IF($H2386="",0,IFERROR(MATCH($H2386,GradeList,0),0))</f>
        <v>0</v>
      </c>
      <c r="O2386" s="64" t="n">
        <f aca="false">IF(OR($I2386="",$I2386="NR"),0,IFERROR(MATCH($I2386,GradeList,0),0))</f>
        <v>0</v>
      </c>
      <c r="P2386" s="64" t="n">
        <f aca="false">IF(AND($M2386&gt;0,ISNUMBER(MATCH($F2386,Lists!$A$2:$A$5,0)),ISNUMBER(MATCH($G2386,Lists!$B$2:$B$7,0)),OR($H2386="",$N2386&gt;0),OR($I2386="",$I2386="NR",$O2386&gt;0),IF(ISNUMBER($J2386),AND($J2386&gt;=0,$J2386=INT($J2386)),FALSE())),$J2386,0)</f>
        <v>0</v>
      </c>
      <c r="Q2386" s="64" t="n">
        <f aca="false">IF(AND($P2386&gt;0,$O2386&gt;0),$P2386,0)</f>
        <v>0</v>
      </c>
      <c r="R2386" s="64" t="n">
        <f aca="false">IF(AND($Q2386&gt;0,$O2386&gt;=AtRank),$Q2386,0)</f>
        <v>0</v>
      </c>
      <c r="S2386" s="64" t="n">
        <f aca="false">IF(AND($Q2386&gt;0,$O2386&gt;=AboveRank),$Q2386,0)</f>
        <v>0</v>
      </c>
      <c r="T2386" s="64" t="n">
        <f aca="false">IF($K2386="Less",$P2386,0)</f>
        <v>0</v>
      </c>
      <c r="U2386" s="64" t="n">
        <f aca="false">IF($K2386="Expected",$P2386,0)</f>
        <v>0</v>
      </c>
      <c r="V2386" s="64" t="n">
        <f aca="false">IF($K2386="Better",$P2386,0)</f>
        <v>0</v>
      </c>
      <c r="W2386" s="64" t="n">
        <f aca="false">IF($K2386="U – needs rule",$P2386,0)</f>
        <v>0</v>
      </c>
      <c r="X2386" s="64" t="n">
        <f aca="false">IF($K2386="No Start (attainment only)",$P2386,0)</f>
        <v>0</v>
      </c>
    </row>
    <row r="2387" customFormat="false" ht="15" hidden="false" customHeight="false" outlineLevel="0" collapsed="false">
      <c r="A2387" s="60"/>
      <c r="B2387" s="61" t="str">
        <f aca="false">IF($M2387=0,"",INDEX(Classes!$E$6:$E$420,$M2387))</f>
        <v/>
      </c>
      <c r="C2387" s="62" t="str">
        <f aca="false">IF($M2387=0,"",INDEX(Classes!$H$6:$H$420,$M2387))</f>
        <v/>
      </c>
      <c r="D2387" s="61" t="str">
        <f aca="false">IF($M2387=0,"",INDEX(Classes!$B$6:$B$420,$M2387))</f>
        <v/>
      </c>
      <c r="E2387" s="61" t="str">
        <f aca="false">IF($M2387=0,"",INDEX(Classes!$C$6:$C$420,$M2387))</f>
        <v/>
      </c>
      <c r="F2387" s="63"/>
      <c r="G2387" s="63"/>
      <c r="H2387" s="60"/>
      <c r="I2387" s="60"/>
      <c r="J2387" s="63"/>
      <c r="K2387" s="61" t="str">
        <f aca="false">IF($P2387=0,"",IF($F2387="Baseline","— Baseline",IF($O2387=0,"No result",IF($N2387=0,"No Start (attainment only)",IF(OR($N2387=1,$O2387=1),"U – needs rule",INDEX(MxBody,MATCH($I2387,MxCurr,0),MATCH($H2387,MxStart,0)))))))</f>
        <v/>
      </c>
      <c r="L2387" s="62" t="str">
        <f aca="false">IF(COUNTA($A2387,$F2387,$G2387,$H2387,$I2387,$J2387)=0,"",IF($M2387=0,"✖ كود الصف غير موجود",IF(ISNA(MATCH($F2387,Lists!$A$2:$A$5,0)),"✖ الفترة غير صحيحة",IF(ISNA(MATCH($G2387,Lists!$B$2:$B$7,0)),"✖ المجموعة غير صحيحة",IF(NOT(OR($H2387="",$N2387&gt;0)),"✖ Start غير صحيح",IF(NOT(OR($I2387="",$I2387="NR",$O2387&gt;0)),"✖ Current غير صحيح",IF(NOT(IF(ISNUMBER($J2387),AND($J2387&gt;=0,$J2387=INT($J2387)),FALSE())),"✖ العدد يجب أن يكون صحيحًا ≥ 0",IF(AND($F2387="Baseline",$H2387&lt;&gt;""),"⚠ Baseline: Start لا يدخل في التقدم",IF($K2387="No Start (attainment only)","ℹ تحصيل فقط (بدون Start)",IF($K2387="U – needs rule","ℹ حالة U تحتاج قاعدة معتمدة",IF($K2387="No result","ℹ بدون نتيجة (يُستبعد من التحصيل)","OK")))))))))))</f>
        <v/>
      </c>
      <c r="M2387" s="64" t="n">
        <f aca="false">IF($A2387="",0,IFERROR(MATCH($A2387,Classes!$A$6:$A$420,0),0))</f>
        <v>0</v>
      </c>
      <c r="N2387" s="64" t="n">
        <f aca="false">IF($H2387="",0,IFERROR(MATCH($H2387,GradeList,0),0))</f>
        <v>0</v>
      </c>
      <c r="O2387" s="64" t="n">
        <f aca="false">IF(OR($I2387="",$I2387="NR"),0,IFERROR(MATCH($I2387,GradeList,0),0))</f>
        <v>0</v>
      </c>
      <c r="P2387" s="64" t="n">
        <f aca="false">IF(AND($M2387&gt;0,ISNUMBER(MATCH($F2387,Lists!$A$2:$A$5,0)),ISNUMBER(MATCH($G2387,Lists!$B$2:$B$7,0)),OR($H2387="",$N2387&gt;0),OR($I2387="",$I2387="NR",$O2387&gt;0),IF(ISNUMBER($J2387),AND($J2387&gt;=0,$J2387=INT($J2387)),FALSE())),$J2387,0)</f>
        <v>0</v>
      </c>
      <c r="Q2387" s="64" t="n">
        <f aca="false">IF(AND($P2387&gt;0,$O2387&gt;0),$P2387,0)</f>
        <v>0</v>
      </c>
      <c r="R2387" s="64" t="n">
        <f aca="false">IF(AND($Q2387&gt;0,$O2387&gt;=AtRank),$Q2387,0)</f>
        <v>0</v>
      </c>
      <c r="S2387" s="64" t="n">
        <f aca="false">IF(AND($Q2387&gt;0,$O2387&gt;=AboveRank),$Q2387,0)</f>
        <v>0</v>
      </c>
      <c r="T2387" s="64" t="n">
        <f aca="false">IF($K2387="Less",$P2387,0)</f>
        <v>0</v>
      </c>
      <c r="U2387" s="64" t="n">
        <f aca="false">IF($K2387="Expected",$P2387,0)</f>
        <v>0</v>
      </c>
      <c r="V2387" s="64" t="n">
        <f aca="false">IF($K2387="Better",$P2387,0)</f>
        <v>0</v>
      </c>
      <c r="W2387" s="64" t="n">
        <f aca="false">IF($K2387="U – needs rule",$P2387,0)</f>
        <v>0</v>
      </c>
      <c r="X2387" s="64" t="n">
        <f aca="false">IF($K2387="No Start (attainment only)",$P2387,0)</f>
        <v>0</v>
      </c>
    </row>
    <row r="2388" customFormat="false" ht="15" hidden="false" customHeight="false" outlineLevel="0" collapsed="false">
      <c r="A2388" s="60"/>
      <c r="B2388" s="61" t="str">
        <f aca="false">IF($M2388=0,"",INDEX(Classes!$E$6:$E$420,$M2388))</f>
        <v/>
      </c>
      <c r="C2388" s="62" t="str">
        <f aca="false">IF($M2388=0,"",INDEX(Classes!$H$6:$H$420,$M2388))</f>
        <v/>
      </c>
      <c r="D2388" s="61" t="str">
        <f aca="false">IF($M2388=0,"",INDEX(Classes!$B$6:$B$420,$M2388))</f>
        <v/>
      </c>
      <c r="E2388" s="61" t="str">
        <f aca="false">IF($M2388=0,"",INDEX(Classes!$C$6:$C$420,$M2388))</f>
        <v/>
      </c>
      <c r="F2388" s="63"/>
      <c r="G2388" s="63"/>
      <c r="H2388" s="60"/>
      <c r="I2388" s="60"/>
      <c r="J2388" s="63"/>
      <c r="K2388" s="61" t="str">
        <f aca="false">IF($P2388=0,"",IF($F2388="Baseline","— Baseline",IF($O2388=0,"No result",IF($N2388=0,"No Start (attainment only)",IF(OR($N2388=1,$O2388=1),"U – needs rule",INDEX(MxBody,MATCH($I2388,MxCurr,0),MATCH($H2388,MxStart,0)))))))</f>
        <v/>
      </c>
      <c r="L2388" s="62" t="str">
        <f aca="false">IF(COUNTA($A2388,$F2388,$G2388,$H2388,$I2388,$J2388)=0,"",IF($M2388=0,"✖ كود الصف غير موجود",IF(ISNA(MATCH($F2388,Lists!$A$2:$A$5,0)),"✖ الفترة غير صحيحة",IF(ISNA(MATCH($G2388,Lists!$B$2:$B$7,0)),"✖ المجموعة غير صحيحة",IF(NOT(OR($H2388="",$N2388&gt;0)),"✖ Start غير صحيح",IF(NOT(OR($I2388="",$I2388="NR",$O2388&gt;0)),"✖ Current غير صحيح",IF(NOT(IF(ISNUMBER($J2388),AND($J2388&gt;=0,$J2388=INT($J2388)),FALSE())),"✖ العدد يجب أن يكون صحيحًا ≥ 0",IF(AND($F2388="Baseline",$H2388&lt;&gt;""),"⚠ Baseline: Start لا يدخل في التقدم",IF($K2388="No Start (attainment only)","ℹ تحصيل فقط (بدون Start)",IF($K2388="U – needs rule","ℹ حالة U تحتاج قاعدة معتمدة",IF($K2388="No result","ℹ بدون نتيجة (يُستبعد من التحصيل)","OK")))))))))))</f>
        <v/>
      </c>
      <c r="M2388" s="64" t="n">
        <f aca="false">IF($A2388="",0,IFERROR(MATCH($A2388,Classes!$A$6:$A$420,0),0))</f>
        <v>0</v>
      </c>
      <c r="N2388" s="64" t="n">
        <f aca="false">IF($H2388="",0,IFERROR(MATCH($H2388,GradeList,0),0))</f>
        <v>0</v>
      </c>
      <c r="O2388" s="64" t="n">
        <f aca="false">IF(OR($I2388="",$I2388="NR"),0,IFERROR(MATCH($I2388,GradeList,0),0))</f>
        <v>0</v>
      </c>
      <c r="P2388" s="64" t="n">
        <f aca="false">IF(AND($M2388&gt;0,ISNUMBER(MATCH($F2388,Lists!$A$2:$A$5,0)),ISNUMBER(MATCH($G2388,Lists!$B$2:$B$7,0)),OR($H2388="",$N2388&gt;0),OR($I2388="",$I2388="NR",$O2388&gt;0),IF(ISNUMBER($J2388),AND($J2388&gt;=0,$J2388=INT($J2388)),FALSE())),$J2388,0)</f>
        <v>0</v>
      </c>
      <c r="Q2388" s="64" t="n">
        <f aca="false">IF(AND($P2388&gt;0,$O2388&gt;0),$P2388,0)</f>
        <v>0</v>
      </c>
      <c r="R2388" s="64" t="n">
        <f aca="false">IF(AND($Q2388&gt;0,$O2388&gt;=AtRank),$Q2388,0)</f>
        <v>0</v>
      </c>
      <c r="S2388" s="64" t="n">
        <f aca="false">IF(AND($Q2388&gt;0,$O2388&gt;=AboveRank),$Q2388,0)</f>
        <v>0</v>
      </c>
      <c r="T2388" s="64" t="n">
        <f aca="false">IF($K2388="Less",$P2388,0)</f>
        <v>0</v>
      </c>
      <c r="U2388" s="64" t="n">
        <f aca="false">IF($K2388="Expected",$P2388,0)</f>
        <v>0</v>
      </c>
      <c r="V2388" s="64" t="n">
        <f aca="false">IF($K2388="Better",$P2388,0)</f>
        <v>0</v>
      </c>
      <c r="W2388" s="64" t="n">
        <f aca="false">IF($K2388="U – needs rule",$P2388,0)</f>
        <v>0</v>
      </c>
      <c r="X2388" s="64" t="n">
        <f aca="false">IF($K2388="No Start (attainment only)",$P2388,0)</f>
        <v>0</v>
      </c>
    </row>
    <row r="2389" customFormat="false" ht="15" hidden="false" customHeight="false" outlineLevel="0" collapsed="false">
      <c r="A2389" s="60"/>
      <c r="B2389" s="61" t="str">
        <f aca="false">IF($M2389=0,"",INDEX(Classes!$E$6:$E$420,$M2389))</f>
        <v/>
      </c>
      <c r="C2389" s="62" t="str">
        <f aca="false">IF($M2389=0,"",INDEX(Classes!$H$6:$H$420,$M2389))</f>
        <v/>
      </c>
      <c r="D2389" s="61" t="str">
        <f aca="false">IF($M2389=0,"",INDEX(Classes!$B$6:$B$420,$M2389))</f>
        <v/>
      </c>
      <c r="E2389" s="61" t="str">
        <f aca="false">IF($M2389=0,"",INDEX(Classes!$C$6:$C$420,$M2389))</f>
        <v/>
      </c>
      <c r="F2389" s="63"/>
      <c r="G2389" s="63"/>
      <c r="H2389" s="60"/>
      <c r="I2389" s="60"/>
      <c r="J2389" s="63"/>
      <c r="K2389" s="61" t="str">
        <f aca="false">IF($P2389=0,"",IF($F2389="Baseline","— Baseline",IF($O2389=0,"No result",IF($N2389=0,"No Start (attainment only)",IF(OR($N2389=1,$O2389=1),"U – needs rule",INDEX(MxBody,MATCH($I2389,MxCurr,0),MATCH($H2389,MxStart,0)))))))</f>
        <v/>
      </c>
      <c r="L2389" s="62" t="str">
        <f aca="false">IF(COUNTA($A2389,$F2389,$G2389,$H2389,$I2389,$J2389)=0,"",IF($M2389=0,"✖ كود الصف غير موجود",IF(ISNA(MATCH($F2389,Lists!$A$2:$A$5,0)),"✖ الفترة غير صحيحة",IF(ISNA(MATCH($G2389,Lists!$B$2:$B$7,0)),"✖ المجموعة غير صحيحة",IF(NOT(OR($H2389="",$N2389&gt;0)),"✖ Start غير صحيح",IF(NOT(OR($I2389="",$I2389="NR",$O2389&gt;0)),"✖ Current غير صحيح",IF(NOT(IF(ISNUMBER($J2389),AND($J2389&gt;=0,$J2389=INT($J2389)),FALSE())),"✖ العدد يجب أن يكون صحيحًا ≥ 0",IF(AND($F2389="Baseline",$H2389&lt;&gt;""),"⚠ Baseline: Start لا يدخل في التقدم",IF($K2389="No Start (attainment only)","ℹ تحصيل فقط (بدون Start)",IF($K2389="U – needs rule","ℹ حالة U تحتاج قاعدة معتمدة",IF($K2389="No result","ℹ بدون نتيجة (يُستبعد من التحصيل)","OK")))))))))))</f>
        <v/>
      </c>
      <c r="M2389" s="64" t="n">
        <f aca="false">IF($A2389="",0,IFERROR(MATCH($A2389,Classes!$A$6:$A$420,0),0))</f>
        <v>0</v>
      </c>
      <c r="N2389" s="64" t="n">
        <f aca="false">IF($H2389="",0,IFERROR(MATCH($H2389,GradeList,0),0))</f>
        <v>0</v>
      </c>
      <c r="O2389" s="64" t="n">
        <f aca="false">IF(OR($I2389="",$I2389="NR"),0,IFERROR(MATCH($I2389,GradeList,0),0))</f>
        <v>0</v>
      </c>
      <c r="P2389" s="64" t="n">
        <f aca="false">IF(AND($M2389&gt;0,ISNUMBER(MATCH($F2389,Lists!$A$2:$A$5,0)),ISNUMBER(MATCH($G2389,Lists!$B$2:$B$7,0)),OR($H2389="",$N2389&gt;0),OR($I2389="",$I2389="NR",$O2389&gt;0),IF(ISNUMBER($J2389),AND($J2389&gt;=0,$J2389=INT($J2389)),FALSE())),$J2389,0)</f>
        <v>0</v>
      </c>
      <c r="Q2389" s="64" t="n">
        <f aca="false">IF(AND($P2389&gt;0,$O2389&gt;0),$P2389,0)</f>
        <v>0</v>
      </c>
      <c r="R2389" s="64" t="n">
        <f aca="false">IF(AND($Q2389&gt;0,$O2389&gt;=AtRank),$Q2389,0)</f>
        <v>0</v>
      </c>
      <c r="S2389" s="64" t="n">
        <f aca="false">IF(AND($Q2389&gt;0,$O2389&gt;=AboveRank),$Q2389,0)</f>
        <v>0</v>
      </c>
      <c r="T2389" s="64" t="n">
        <f aca="false">IF($K2389="Less",$P2389,0)</f>
        <v>0</v>
      </c>
      <c r="U2389" s="64" t="n">
        <f aca="false">IF($K2389="Expected",$P2389,0)</f>
        <v>0</v>
      </c>
      <c r="V2389" s="64" t="n">
        <f aca="false">IF($K2389="Better",$P2389,0)</f>
        <v>0</v>
      </c>
      <c r="W2389" s="64" t="n">
        <f aca="false">IF($K2389="U – needs rule",$P2389,0)</f>
        <v>0</v>
      </c>
      <c r="X2389" s="64" t="n">
        <f aca="false">IF($K2389="No Start (attainment only)",$P2389,0)</f>
        <v>0</v>
      </c>
    </row>
    <row r="2390" customFormat="false" ht="15" hidden="false" customHeight="false" outlineLevel="0" collapsed="false">
      <c r="A2390" s="60"/>
      <c r="B2390" s="61" t="str">
        <f aca="false">IF($M2390=0,"",INDEX(Classes!$E$6:$E$420,$M2390))</f>
        <v/>
      </c>
      <c r="C2390" s="62" t="str">
        <f aca="false">IF($M2390=0,"",INDEX(Classes!$H$6:$H$420,$M2390))</f>
        <v/>
      </c>
      <c r="D2390" s="61" t="str">
        <f aca="false">IF($M2390=0,"",INDEX(Classes!$B$6:$B$420,$M2390))</f>
        <v/>
      </c>
      <c r="E2390" s="61" t="str">
        <f aca="false">IF($M2390=0,"",INDEX(Classes!$C$6:$C$420,$M2390))</f>
        <v/>
      </c>
      <c r="F2390" s="63"/>
      <c r="G2390" s="63"/>
      <c r="H2390" s="60"/>
      <c r="I2390" s="60"/>
      <c r="J2390" s="63"/>
      <c r="K2390" s="61" t="str">
        <f aca="false">IF($P2390=0,"",IF($F2390="Baseline","— Baseline",IF($O2390=0,"No result",IF($N2390=0,"No Start (attainment only)",IF(OR($N2390=1,$O2390=1),"U – needs rule",INDEX(MxBody,MATCH($I2390,MxCurr,0),MATCH($H2390,MxStart,0)))))))</f>
        <v/>
      </c>
      <c r="L2390" s="62" t="str">
        <f aca="false">IF(COUNTA($A2390,$F2390,$G2390,$H2390,$I2390,$J2390)=0,"",IF($M2390=0,"✖ كود الصف غير موجود",IF(ISNA(MATCH($F2390,Lists!$A$2:$A$5,0)),"✖ الفترة غير صحيحة",IF(ISNA(MATCH($G2390,Lists!$B$2:$B$7,0)),"✖ المجموعة غير صحيحة",IF(NOT(OR($H2390="",$N2390&gt;0)),"✖ Start غير صحيح",IF(NOT(OR($I2390="",$I2390="NR",$O2390&gt;0)),"✖ Current غير صحيح",IF(NOT(IF(ISNUMBER($J2390),AND($J2390&gt;=0,$J2390=INT($J2390)),FALSE())),"✖ العدد يجب أن يكون صحيحًا ≥ 0",IF(AND($F2390="Baseline",$H2390&lt;&gt;""),"⚠ Baseline: Start لا يدخل في التقدم",IF($K2390="No Start (attainment only)","ℹ تحصيل فقط (بدون Start)",IF($K2390="U – needs rule","ℹ حالة U تحتاج قاعدة معتمدة",IF($K2390="No result","ℹ بدون نتيجة (يُستبعد من التحصيل)","OK")))))))))))</f>
        <v/>
      </c>
      <c r="M2390" s="64" t="n">
        <f aca="false">IF($A2390="",0,IFERROR(MATCH($A2390,Classes!$A$6:$A$420,0),0))</f>
        <v>0</v>
      </c>
      <c r="N2390" s="64" t="n">
        <f aca="false">IF($H2390="",0,IFERROR(MATCH($H2390,GradeList,0),0))</f>
        <v>0</v>
      </c>
      <c r="O2390" s="64" t="n">
        <f aca="false">IF(OR($I2390="",$I2390="NR"),0,IFERROR(MATCH($I2390,GradeList,0),0))</f>
        <v>0</v>
      </c>
      <c r="P2390" s="64" t="n">
        <f aca="false">IF(AND($M2390&gt;0,ISNUMBER(MATCH($F2390,Lists!$A$2:$A$5,0)),ISNUMBER(MATCH($G2390,Lists!$B$2:$B$7,0)),OR($H2390="",$N2390&gt;0),OR($I2390="",$I2390="NR",$O2390&gt;0),IF(ISNUMBER($J2390),AND($J2390&gt;=0,$J2390=INT($J2390)),FALSE())),$J2390,0)</f>
        <v>0</v>
      </c>
      <c r="Q2390" s="64" t="n">
        <f aca="false">IF(AND($P2390&gt;0,$O2390&gt;0),$P2390,0)</f>
        <v>0</v>
      </c>
      <c r="R2390" s="64" t="n">
        <f aca="false">IF(AND($Q2390&gt;0,$O2390&gt;=AtRank),$Q2390,0)</f>
        <v>0</v>
      </c>
      <c r="S2390" s="64" t="n">
        <f aca="false">IF(AND($Q2390&gt;0,$O2390&gt;=AboveRank),$Q2390,0)</f>
        <v>0</v>
      </c>
      <c r="T2390" s="64" t="n">
        <f aca="false">IF($K2390="Less",$P2390,0)</f>
        <v>0</v>
      </c>
      <c r="U2390" s="64" t="n">
        <f aca="false">IF($K2390="Expected",$P2390,0)</f>
        <v>0</v>
      </c>
      <c r="V2390" s="64" t="n">
        <f aca="false">IF($K2390="Better",$P2390,0)</f>
        <v>0</v>
      </c>
      <c r="W2390" s="64" t="n">
        <f aca="false">IF($K2390="U – needs rule",$P2390,0)</f>
        <v>0</v>
      </c>
      <c r="X2390" s="64" t="n">
        <f aca="false">IF($K2390="No Start (attainment only)",$P2390,0)</f>
        <v>0</v>
      </c>
    </row>
    <row r="2391" customFormat="false" ht="15" hidden="false" customHeight="false" outlineLevel="0" collapsed="false">
      <c r="A2391" s="60"/>
      <c r="B2391" s="61" t="str">
        <f aca="false">IF($M2391=0,"",INDEX(Classes!$E$6:$E$420,$M2391))</f>
        <v/>
      </c>
      <c r="C2391" s="62" t="str">
        <f aca="false">IF($M2391=0,"",INDEX(Classes!$H$6:$H$420,$M2391))</f>
        <v/>
      </c>
      <c r="D2391" s="61" t="str">
        <f aca="false">IF($M2391=0,"",INDEX(Classes!$B$6:$B$420,$M2391))</f>
        <v/>
      </c>
      <c r="E2391" s="61" t="str">
        <f aca="false">IF($M2391=0,"",INDEX(Classes!$C$6:$C$420,$M2391))</f>
        <v/>
      </c>
      <c r="F2391" s="63"/>
      <c r="G2391" s="63"/>
      <c r="H2391" s="60"/>
      <c r="I2391" s="60"/>
      <c r="J2391" s="63"/>
      <c r="K2391" s="61" t="str">
        <f aca="false">IF($P2391=0,"",IF($F2391="Baseline","— Baseline",IF($O2391=0,"No result",IF($N2391=0,"No Start (attainment only)",IF(OR($N2391=1,$O2391=1),"U – needs rule",INDEX(MxBody,MATCH($I2391,MxCurr,0),MATCH($H2391,MxStart,0)))))))</f>
        <v/>
      </c>
      <c r="L2391" s="62" t="str">
        <f aca="false">IF(COUNTA($A2391,$F2391,$G2391,$H2391,$I2391,$J2391)=0,"",IF($M2391=0,"✖ كود الصف غير موجود",IF(ISNA(MATCH($F2391,Lists!$A$2:$A$5,0)),"✖ الفترة غير صحيحة",IF(ISNA(MATCH($G2391,Lists!$B$2:$B$7,0)),"✖ المجموعة غير صحيحة",IF(NOT(OR($H2391="",$N2391&gt;0)),"✖ Start غير صحيح",IF(NOT(OR($I2391="",$I2391="NR",$O2391&gt;0)),"✖ Current غير صحيح",IF(NOT(IF(ISNUMBER($J2391),AND($J2391&gt;=0,$J2391=INT($J2391)),FALSE())),"✖ العدد يجب أن يكون صحيحًا ≥ 0",IF(AND($F2391="Baseline",$H2391&lt;&gt;""),"⚠ Baseline: Start لا يدخل في التقدم",IF($K2391="No Start (attainment only)","ℹ تحصيل فقط (بدون Start)",IF($K2391="U – needs rule","ℹ حالة U تحتاج قاعدة معتمدة",IF($K2391="No result","ℹ بدون نتيجة (يُستبعد من التحصيل)","OK")))))))))))</f>
        <v/>
      </c>
      <c r="M2391" s="64" t="n">
        <f aca="false">IF($A2391="",0,IFERROR(MATCH($A2391,Classes!$A$6:$A$420,0),0))</f>
        <v>0</v>
      </c>
      <c r="N2391" s="64" t="n">
        <f aca="false">IF($H2391="",0,IFERROR(MATCH($H2391,GradeList,0),0))</f>
        <v>0</v>
      </c>
      <c r="O2391" s="64" t="n">
        <f aca="false">IF(OR($I2391="",$I2391="NR"),0,IFERROR(MATCH($I2391,GradeList,0),0))</f>
        <v>0</v>
      </c>
      <c r="P2391" s="64" t="n">
        <f aca="false">IF(AND($M2391&gt;0,ISNUMBER(MATCH($F2391,Lists!$A$2:$A$5,0)),ISNUMBER(MATCH($G2391,Lists!$B$2:$B$7,0)),OR($H2391="",$N2391&gt;0),OR($I2391="",$I2391="NR",$O2391&gt;0),IF(ISNUMBER($J2391),AND($J2391&gt;=0,$J2391=INT($J2391)),FALSE())),$J2391,0)</f>
        <v>0</v>
      </c>
      <c r="Q2391" s="64" t="n">
        <f aca="false">IF(AND($P2391&gt;0,$O2391&gt;0),$P2391,0)</f>
        <v>0</v>
      </c>
      <c r="R2391" s="64" t="n">
        <f aca="false">IF(AND($Q2391&gt;0,$O2391&gt;=AtRank),$Q2391,0)</f>
        <v>0</v>
      </c>
      <c r="S2391" s="64" t="n">
        <f aca="false">IF(AND($Q2391&gt;0,$O2391&gt;=AboveRank),$Q2391,0)</f>
        <v>0</v>
      </c>
      <c r="T2391" s="64" t="n">
        <f aca="false">IF($K2391="Less",$P2391,0)</f>
        <v>0</v>
      </c>
      <c r="U2391" s="64" t="n">
        <f aca="false">IF($K2391="Expected",$P2391,0)</f>
        <v>0</v>
      </c>
      <c r="V2391" s="64" t="n">
        <f aca="false">IF($K2391="Better",$P2391,0)</f>
        <v>0</v>
      </c>
      <c r="W2391" s="64" t="n">
        <f aca="false">IF($K2391="U – needs rule",$P2391,0)</f>
        <v>0</v>
      </c>
      <c r="X2391" s="64" t="n">
        <f aca="false">IF($K2391="No Start (attainment only)",$P2391,0)</f>
        <v>0</v>
      </c>
    </row>
    <row r="2392" customFormat="false" ht="15" hidden="false" customHeight="false" outlineLevel="0" collapsed="false">
      <c r="A2392" s="60"/>
      <c r="B2392" s="61" t="str">
        <f aca="false">IF($M2392=0,"",INDEX(Classes!$E$6:$E$420,$M2392))</f>
        <v/>
      </c>
      <c r="C2392" s="62" t="str">
        <f aca="false">IF($M2392=0,"",INDEX(Classes!$H$6:$H$420,$M2392))</f>
        <v/>
      </c>
      <c r="D2392" s="61" t="str">
        <f aca="false">IF($M2392=0,"",INDEX(Classes!$B$6:$B$420,$M2392))</f>
        <v/>
      </c>
      <c r="E2392" s="61" t="str">
        <f aca="false">IF($M2392=0,"",INDEX(Classes!$C$6:$C$420,$M2392))</f>
        <v/>
      </c>
      <c r="F2392" s="63"/>
      <c r="G2392" s="63"/>
      <c r="H2392" s="60"/>
      <c r="I2392" s="60"/>
      <c r="J2392" s="63"/>
      <c r="K2392" s="61" t="str">
        <f aca="false">IF($P2392=0,"",IF($F2392="Baseline","— Baseline",IF($O2392=0,"No result",IF($N2392=0,"No Start (attainment only)",IF(OR($N2392=1,$O2392=1),"U – needs rule",INDEX(MxBody,MATCH($I2392,MxCurr,0),MATCH($H2392,MxStart,0)))))))</f>
        <v/>
      </c>
      <c r="L2392" s="62" t="str">
        <f aca="false">IF(COUNTA($A2392,$F2392,$G2392,$H2392,$I2392,$J2392)=0,"",IF($M2392=0,"✖ كود الصف غير موجود",IF(ISNA(MATCH($F2392,Lists!$A$2:$A$5,0)),"✖ الفترة غير صحيحة",IF(ISNA(MATCH($G2392,Lists!$B$2:$B$7,0)),"✖ المجموعة غير صحيحة",IF(NOT(OR($H2392="",$N2392&gt;0)),"✖ Start غير صحيح",IF(NOT(OR($I2392="",$I2392="NR",$O2392&gt;0)),"✖ Current غير صحيح",IF(NOT(IF(ISNUMBER($J2392),AND($J2392&gt;=0,$J2392=INT($J2392)),FALSE())),"✖ العدد يجب أن يكون صحيحًا ≥ 0",IF(AND($F2392="Baseline",$H2392&lt;&gt;""),"⚠ Baseline: Start لا يدخل في التقدم",IF($K2392="No Start (attainment only)","ℹ تحصيل فقط (بدون Start)",IF($K2392="U – needs rule","ℹ حالة U تحتاج قاعدة معتمدة",IF($K2392="No result","ℹ بدون نتيجة (يُستبعد من التحصيل)","OK")))))))))))</f>
        <v/>
      </c>
      <c r="M2392" s="64" t="n">
        <f aca="false">IF($A2392="",0,IFERROR(MATCH($A2392,Classes!$A$6:$A$420,0),0))</f>
        <v>0</v>
      </c>
      <c r="N2392" s="64" t="n">
        <f aca="false">IF($H2392="",0,IFERROR(MATCH($H2392,GradeList,0),0))</f>
        <v>0</v>
      </c>
      <c r="O2392" s="64" t="n">
        <f aca="false">IF(OR($I2392="",$I2392="NR"),0,IFERROR(MATCH($I2392,GradeList,0),0))</f>
        <v>0</v>
      </c>
      <c r="P2392" s="64" t="n">
        <f aca="false">IF(AND($M2392&gt;0,ISNUMBER(MATCH($F2392,Lists!$A$2:$A$5,0)),ISNUMBER(MATCH($G2392,Lists!$B$2:$B$7,0)),OR($H2392="",$N2392&gt;0),OR($I2392="",$I2392="NR",$O2392&gt;0),IF(ISNUMBER($J2392),AND($J2392&gt;=0,$J2392=INT($J2392)),FALSE())),$J2392,0)</f>
        <v>0</v>
      </c>
      <c r="Q2392" s="64" t="n">
        <f aca="false">IF(AND($P2392&gt;0,$O2392&gt;0),$P2392,0)</f>
        <v>0</v>
      </c>
      <c r="R2392" s="64" t="n">
        <f aca="false">IF(AND($Q2392&gt;0,$O2392&gt;=AtRank),$Q2392,0)</f>
        <v>0</v>
      </c>
      <c r="S2392" s="64" t="n">
        <f aca="false">IF(AND($Q2392&gt;0,$O2392&gt;=AboveRank),$Q2392,0)</f>
        <v>0</v>
      </c>
      <c r="T2392" s="64" t="n">
        <f aca="false">IF($K2392="Less",$P2392,0)</f>
        <v>0</v>
      </c>
      <c r="U2392" s="64" t="n">
        <f aca="false">IF($K2392="Expected",$P2392,0)</f>
        <v>0</v>
      </c>
      <c r="V2392" s="64" t="n">
        <f aca="false">IF($K2392="Better",$P2392,0)</f>
        <v>0</v>
      </c>
      <c r="W2392" s="64" t="n">
        <f aca="false">IF($K2392="U – needs rule",$P2392,0)</f>
        <v>0</v>
      </c>
      <c r="X2392" s="64" t="n">
        <f aca="false">IF($K2392="No Start (attainment only)",$P2392,0)</f>
        <v>0</v>
      </c>
    </row>
    <row r="2393" customFormat="false" ht="15" hidden="false" customHeight="false" outlineLevel="0" collapsed="false">
      <c r="A2393" s="60"/>
      <c r="B2393" s="61" t="str">
        <f aca="false">IF($M2393=0,"",INDEX(Classes!$E$6:$E$420,$M2393))</f>
        <v/>
      </c>
      <c r="C2393" s="62" t="str">
        <f aca="false">IF($M2393=0,"",INDEX(Classes!$H$6:$H$420,$M2393))</f>
        <v/>
      </c>
      <c r="D2393" s="61" t="str">
        <f aca="false">IF($M2393=0,"",INDEX(Classes!$B$6:$B$420,$M2393))</f>
        <v/>
      </c>
      <c r="E2393" s="61" t="str">
        <f aca="false">IF($M2393=0,"",INDEX(Classes!$C$6:$C$420,$M2393))</f>
        <v/>
      </c>
      <c r="F2393" s="63"/>
      <c r="G2393" s="63"/>
      <c r="H2393" s="60"/>
      <c r="I2393" s="60"/>
      <c r="J2393" s="63"/>
      <c r="K2393" s="61" t="str">
        <f aca="false">IF($P2393=0,"",IF($F2393="Baseline","— Baseline",IF($O2393=0,"No result",IF($N2393=0,"No Start (attainment only)",IF(OR($N2393=1,$O2393=1),"U – needs rule",INDEX(MxBody,MATCH($I2393,MxCurr,0),MATCH($H2393,MxStart,0)))))))</f>
        <v/>
      </c>
      <c r="L2393" s="62" t="str">
        <f aca="false">IF(COUNTA($A2393,$F2393,$G2393,$H2393,$I2393,$J2393)=0,"",IF($M2393=0,"✖ كود الصف غير موجود",IF(ISNA(MATCH($F2393,Lists!$A$2:$A$5,0)),"✖ الفترة غير صحيحة",IF(ISNA(MATCH($G2393,Lists!$B$2:$B$7,0)),"✖ المجموعة غير صحيحة",IF(NOT(OR($H2393="",$N2393&gt;0)),"✖ Start غير صحيح",IF(NOT(OR($I2393="",$I2393="NR",$O2393&gt;0)),"✖ Current غير صحيح",IF(NOT(IF(ISNUMBER($J2393),AND($J2393&gt;=0,$J2393=INT($J2393)),FALSE())),"✖ العدد يجب أن يكون صحيحًا ≥ 0",IF(AND($F2393="Baseline",$H2393&lt;&gt;""),"⚠ Baseline: Start لا يدخل في التقدم",IF($K2393="No Start (attainment only)","ℹ تحصيل فقط (بدون Start)",IF($K2393="U – needs rule","ℹ حالة U تحتاج قاعدة معتمدة",IF($K2393="No result","ℹ بدون نتيجة (يُستبعد من التحصيل)","OK")))))))))))</f>
        <v/>
      </c>
      <c r="M2393" s="64" t="n">
        <f aca="false">IF($A2393="",0,IFERROR(MATCH($A2393,Classes!$A$6:$A$420,0),0))</f>
        <v>0</v>
      </c>
      <c r="N2393" s="64" t="n">
        <f aca="false">IF($H2393="",0,IFERROR(MATCH($H2393,GradeList,0),0))</f>
        <v>0</v>
      </c>
      <c r="O2393" s="64" t="n">
        <f aca="false">IF(OR($I2393="",$I2393="NR"),0,IFERROR(MATCH($I2393,GradeList,0),0))</f>
        <v>0</v>
      </c>
      <c r="P2393" s="64" t="n">
        <f aca="false">IF(AND($M2393&gt;0,ISNUMBER(MATCH($F2393,Lists!$A$2:$A$5,0)),ISNUMBER(MATCH($G2393,Lists!$B$2:$B$7,0)),OR($H2393="",$N2393&gt;0),OR($I2393="",$I2393="NR",$O2393&gt;0),IF(ISNUMBER($J2393),AND($J2393&gt;=0,$J2393=INT($J2393)),FALSE())),$J2393,0)</f>
        <v>0</v>
      </c>
      <c r="Q2393" s="64" t="n">
        <f aca="false">IF(AND($P2393&gt;0,$O2393&gt;0),$P2393,0)</f>
        <v>0</v>
      </c>
      <c r="R2393" s="64" t="n">
        <f aca="false">IF(AND($Q2393&gt;0,$O2393&gt;=AtRank),$Q2393,0)</f>
        <v>0</v>
      </c>
      <c r="S2393" s="64" t="n">
        <f aca="false">IF(AND($Q2393&gt;0,$O2393&gt;=AboveRank),$Q2393,0)</f>
        <v>0</v>
      </c>
      <c r="T2393" s="64" t="n">
        <f aca="false">IF($K2393="Less",$P2393,0)</f>
        <v>0</v>
      </c>
      <c r="U2393" s="64" t="n">
        <f aca="false">IF($K2393="Expected",$P2393,0)</f>
        <v>0</v>
      </c>
      <c r="V2393" s="64" t="n">
        <f aca="false">IF($K2393="Better",$P2393,0)</f>
        <v>0</v>
      </c>
      <c r="W2393" s="64" t="n">
        <f aca="false">IF($K2393="U – needs rule",$P2393,0)</f>
        <v>0</v>
      </c>
      <c r="X2393" s="64" t="n">
        <f aca="false">IF($K2393="No Start (attainment only)",$P2393,0)</f>
        <v>0</v>
      </c>
    </row>
    <row r="2394" customFormat="false" ht="15" hidden="false" customHeight="false" outlineLevel="0" collapsed="false">
      <c r="A2394" s="60"/>
      <c r="B2394" s="61" t="str">
        <f aca="false">IF($M2394=0,"",INDEX(Classes!$E$6:$E$420,$M2394))</f>
        <v/>
      </c>
      <c r="C2394" s="62" t="str">
        <f aca="false">IF($M2394=0,"",INDEX(Classes!$H$6:$H$420,$M2394))</f>
        <v/>
      </c>
      <c r="D2394" s="61" t="str">
        <f aca="false">IF($M2394=0,"",INDEX(Classes!$B$6:$B$420,$M2394))</f>
        <v/>
      </c>
      <c r="E2394" s="61" t="str">
        <f aca="false">IF($M2394=0,"",INDEX(Classes!$C$6:$C$420,$M2394))</f>
        <v/>
      </c>
      <c r="F2394" s="63"/>
      <c r="G2394" s="63"/>
      <c r="H2394" s="60"/>
      <c r="I2394" s="60"/>
      <c r="J2394" s="63"/>
      <c r="K2394" s="61" t="str">
        <f aca="false">IF($P2394=0,"",IF($F2394="Baseline","— Baseline",IF($O2394=0,"No result",IF($N2394=0,"No Start (attainment only)",IF(OR($N2394=1,$O2394=1),"U – needs rule",INDEX(MxBody,MATCH($I2394,MxCurr,0),MATCH($H2394,MxStart,0)))))))</f>
        <v/>
      </c>
      <c r="L2394" s="62" t="str">
        <f aca="false">IF(COUNTA($A2394,$F2394,$G2394,$H2394,$I2394,$J2394)=0,"",IF($M2394=0,"✖ كود الصف غير موجود",IF(ISNA(MATCH($F2394,Lists!$A$2:$A$5,0)),"✖ الفترة غير صحيحة",IF(ISNA(MATCH($G2394,Lists!$B$2:$B$7,0)),"✖ المجموعة غير صحيحة",IF(NOT(OR($H2394="",$N2394&gt;0)),"✖ Start غير صحيح",IF(NOT(OR($I2394="",$I2394="NR",$O2394&gt;0)),"✖ Current غير صحيح",IF(NOT(IF(ISNUMBER($J2394),AND($J2394&gt;=0,$J2394=INT($J2394)),FALSE())),"✖ العدد يجب أن يكون صحيحًا ≥ 0",IF(AND($F2394="Baseline",$H2394&lt;&gt;""),"⚠ Baseline: Start لا يدخل في التقدم",IF($K2394="No Start (attainment only)","ℹ تحصيل فقط (بدون Start)",IF($K2394="U – needs rule","ℹ حالة U تحتاج قاعدة معتمدة",IF($K2394="No result","ℹ بدون نتيجة (يُستبعد من التحصيل)","OK")))))))))))</f>
        <v/>
      </c>
      <c r="M2394" s="64" t="n">
        <f aca="false">IF($A2394="",0,IFERROR(MATCH($A2394,Classes!$A$6:$A$420,0),0))</f>
        <v>0</v>
      </c>
      <c r="N2394" s="64" t="n">
        <f aca="false">IF($H2394="",0,IFERROR(MATCH($H2394,GradeList,0),0))</f>
        <v>0</v>
      </c>
      <c r="O2394" s="64" t="n">
        <f aca="false">IF(OR($I2394="",$I2394="NR"),0,IFERROR(MATCH($I2394,GradeList,0),0))</f>
        <v>0</v>
      </c>
      <c r="P2394" s="64" t="n">
        <f aca="false">IF(AND($M2394&gt;0,ISNUMBER(MATCH($F2394,Lists!$A$2:$A$5,0)),ISNUMBER(MATCH($G2394,Lists!$B$2:$B$7,0)),OR($H2394="",$N2394&gt;0),OR($I2394="",$I2394="NR",$O2394&gt;0),IF(ISNUMBER($J2394),AND($J2394&gt;=0,$J2394=INT($J2394)),FALSE())),$J2394,0)</f>
        <v>0</v>
      </c>
      <c r="Q2394" s="64" t="n">
        <f aca="false">IF(AND($P2394&gt;0,$O2394&gt;0),$P2394,0)</f>
        <v>0</v>
      </c>
      <c r="R2394" s="64" t="n">
        <f aca="false">IF(AND($Q2394&gt;0,$O2394&gt;=AtRank),$Q2394,0)</f>
        <v>0</v>
      </c>
      <c r="S2394" s="64" t="n">
        <f aca="false">IF(AND($Q2394&gt;0,$O2394&gt;=AboveRank),$Q2394,0)</f>
        <v>0</v>
      </c>
      <c r="T2394" s="64" t="n">
        <f aca="false">IF($K2394="Less",$P2394,0)</f>
        <v>0</v>
      </c>
      <c r="U2394" s="64" t="n">
        <f aca="false">IF($K2394="Expected",$P2394,0)</f>
        <v>0</v>
      </c>
      <c r="V2394" s="64" t="n">
        <f aca="false">IF($K2394="Better",$P2394,0)</f>
        <v>0</v>
      </c>
      <c r="W2394" s="64" t="n">
        <f aca="false">IF($K2394="U – needs rule",$P2394,0)</f>
        <v>0</v>
      </c>
      <c r="X2394" s="64" t="n">
        <f aca="false">IF($K2394="No Start (attainment only)",$P2394,0)</f>
        <v>0</v>
      </c>
    </row>
    <row r="2395" customFormat="false" ht="15" hidden="false" customHeight="false" outlineLevel="0" collapsed="false">
      <c r="A2395" s="60"/>
      <c r="B2395" s="61" t="str">
        <f aca="false">IF($M2395=0,"",INDEX(Classes!$E$6:$E$420,$M2395))</f>
        <v/>
      </c>
      <c r="C2395" s="62" t="str">
        <f aca="false">IF($M2395=0,"",INDEX(Classes!$H$6:$H$420,$M2395))</f>
        <v/>
      </c>
      <c r="D2395" s="61" t="str">
        <f aca="false">IF($M2395=0,"",INDEX(Classes!$B$6:$B$420,$M2395))</f>
        <v/>
      </c>
      <c r="E2395" s="61" t="str">
        <f aca="false">IF($M2395=0,"",INDEX(Classes!$C$6:$C$420,$M2395))</f>
        <v/>
      </c>
      <c r="F2395" s="63"/>
      <c r="G2395" s="63"/>
      <c r="H2395" s="60"/>
      <c r="I2395" s="60"/>
      <c r="J2395" s="63"/>
      <c r="K2395" s="61" t="str">
        <f aca="false">IF($P2395=0,"",IF($F2395="Baseline","— Baseline",IF($O2395=0,"No result",IF($N2395=0,"No Start (attainment only)",IF(OR($N2395=1,$O2395=1),"U – needs rule",INDEX(MxBody,MATCH($I2395,MxCurr,0),MATCH($H2395,MxStart,0)))))))</f>
        <v/>
      </c>
      <c r="L2395" s="62" t="str">
        <f aca="false">IF(COUNTA($A2395,$F2395,$G2395,$H2395,$I2395,$J2395)=0,"",IF($M2395=0,"✖ كود الصف غير موجود",IF(ISNA(MATCH($F2395,Lists!$A$2:$A$5,0)),"✖ الفترة غير صحيحة",IF(ISNA(MATCH($G2395,Lists!$B$2:$B$7,0)),"✖ المجموعة غير صحيحة",IF(NOT(OR($H2395="",$N2395&gt;0)),"✖ Start غير صحيح",IF(NOT(OR($I2395="",$I2395="NR",$O2395&gt;0)),"✖ Current غير صحيح",IF(NOT(IF(ISNUMBER($J2395),AND($J2395&gt;=0,$J2395=INT($J2395)),FALSE())),"✖ العدد يجب أن يكون صحيحًا ≥ 0",IF(AND($F2395="Baseline",$H2395&lt;&gt;""),"⚠ Baseline: Start لا يدخل في التقدم",IF($K2395="No Start (attainment only)","ℹ تحصيل فقط (بدون Start)",IF($K2395="U – needs rule","ℹ حالة U تحتاج قاعدة معتمدة",IF($K2395="No result","ℹ بدون نتيجة (يُستبعد من التحصيل)","OK")))))))))))</f>
        <v/>
      </c>
      <c r="M2395" s="64" t="n">
        <f aca="false">IF($A2395="",0,IFERROR(MATCH($A2395,Classes!$A$6:$A$420,0),0))</f>
        <v>0</v>
      </c>
      <c r="N2395" s="64" t="n">
        <f aca="false">IF($H2395="",0,IFERROR(MATCH($H2395,GradeList,0),0))</f>
        <v>0</v>
      </c>
      <c r="O2395" s="64" t="n">
        <f aca="false">IF(OR($I2395="",$I2395="NR"),0,IFERROR(MATCH($I2395,GradeList,0),0))</f>
        <v>0</v>
      </c>
      <c r="P2395" s="64" t="n">
        <f aca="false">IF(AND($M2395&gt;0,ISNUMBER(MATCH($F2395,Lists!$A$2:$A$5,0)),ISNUMBER(MATCH($G2395,Lists!$B$2:$B$7,0)),OR($H2395="",$N2395&gt;0),OR($I2395="",$I2395="NR",$O2395&gt;0),IF(ISNUMBER($J2395),AND($J2395&gt;=0,$J2395=INT($J2395)),FALSE())),$J2395,0)</f>
        <v>0</v>
      </c>
      <c r="Q2395" s="64" t="n">
        <f aca="false">IF(AND($P2395&gt;0,$O2395&gt;0),$P2395,0)</f>
        <v>0</v>
      </c>
      <c r="R2395" s="64" t="n">
        <f aca="false">IF(AND($Q2395&gt;0,$O2395&gt;=AtRank),$Q2395,0)</f>
        <v>0</v>
      </c>
      <c r="S2395" s="64" t="n">
        <f aca="false">IF(AND($Q2395&gt;0,$O2395&gt;=AboveRank),$Q2395,0)</f>
        <v>0</v>
      </c>
      <c r="T2395" s="64" t="n">
        <f aca="false">IF($K2395="Less",$P2395,0)</f>
        <v>0</v>
      </c>
      <c r="U2395" s="64" t="n">
        <f aca="false">IF($K2395="Expected",$P2395,0)</f>
        <v>0</v>
      </c>
      <c r="V2395" s="64" t="n">
        <f aca="false">IF($K2395="Better",$P2395,0)</f>
        <v>0</v>
      </c>
      <c r="W2395" s="64" t="n">
        <f aca="false">IF($K2395="U – needs rule",$P2395,0)</f>
        <v>0</v>
      </c>
      <c r="X2395" s="64" t="n">
        <f aca="false">IF($K2395="No Start (attainment only)",$P2395,0)</f>
        <v>0</v>
      </c>
    </row>
    <row r="2396" customFormat="false" ht="15" hidden="false" customHeight="false" outlineLevel="0" collapsed="false">
      <c r="A2396" s="60"/>
      <c r="B2396" s="61" t="str">
        <f aca="false">IF($M2396=0,"",INDEX(Classes!$E$6:$E$420,$M2396))</f>
        <v/>
      </c>
      <c r="C2396" s="62" t="str">
        <f aca="false">IF($M2396=0,"",INDEX(Classes!$H$6:$H$420,$M2396))</f>
        <v/>
      </c>
      <c r="D2396" s="61" t="str">
        <f aca="false">IF($M2396=0,"",INDEX(Classes!$B$6:$B$420,$M2396))</f>
        <v/>
      </c>
      <c r="E2396" s="61" t="str">
        <f aca="false">IF($M2396=0,"",INDEX(Classes!$C$6:$C$420,$M2396))</f>
        <v/>
      </c>
      <c r="F2396" s="63"/>
      <c r="G2396" s="63"/>
      <c r="H2396" s="60"/>
      <c r="I2396" s="60"/>
      <c r="J2396" s="63"/>
      <c r="K2396" s="61" t="str">
        <f aca="false">IF($P2396=0,"",IF($F2396="Baseline","— Baseline",IF($O2396=0,"No result",IF($N2396=0,"No Start (attainment only)",IF(OR($N2396=1,$O2396=1),"U – needs rule",INDEX(MxBody,MATCH($I2396,MxCurr,0),MATCH($H2396,MxStart,0)))))))</f>
        <v/>
      </c>
      <c r="L2396" s="62" t="str">
        <f aca="false">IF(COUNTA($A2396,$F2396,$G2396,$H2396,$I2396,$J2396)=0,"",IF($M2396=0,"✖ كود الصف غير موجود",IF(ISNA(MATCH($F2396,Lists!$A$2:$A$5,0)),"✖ الفترة غير صحيحة",IF(ISNA(MATCH($G2396,Lists!$B$2:$B$7,0)),"✖ المجموعة غير صحيحة",IF(NOT(OR($H2396="",$N2396&gt;0)),"✖ Start غير صحيح",IF(NOT(OR($I2396="",$I2396="NR",$O2396&gt;0)),"✖ Current غير صحيح",IF(NOT(IF(ISNUMBER($J2396),AND($J2396&gt;=0,$J2396=INT($J2396)),FALSE())),"✖ العدد يجب أن يكون صحيحًا ≥ 0",IF(AND($F2396="Baseline",$H2396&lt;&gt;""),"⚠ Baseline: Start لا يدخل في التقدم",IF($K2396="No Start (attainment only)","ℹ تحصيل فقط (بدون Start)",IF($K2396="U – needs rule","ℹ حالة U تحتاج قاعدة معتمدة",IF($K2396="No result","ℹ بدون نتيجة (يُستبعد من التحصيل)","OK")))))))))))</f>
        <v/>
      </c>
      <c r="M2396" s="64" t="n">
        <f aca="false">IF($A2396="",0,IFERROR(MATCH($A2396,Classes!$A$6:$A$420,0),0))</f>
        <v>0</v>
      </c>
      <c r="N2396" s="64" t="n">
        <f aca="false">IF($H2396="",0,IFERROR(MATCH($H2396,GradeList,0),0))</f>
        <v>0</v>
      </c>
      <c r="O2396" s="64" t="n">
        <f aca="false">IF(OR($I2396="",$I2396="NR"),0,IFERROR(MATCH($I2396,GradeList,0),0))</f>
        <v>0</v>
      </c>
      <c r="P2396" s="64" t="n">
        <f aca="false">IF(AND($M2396&gt;0,ISNUMBER(MATCH($F2396,Lists!$A$2:$A$5,0)),ISNUMBER(MATCH($G2396,Lists!$B$2:$B$7,0)),OR($H2396="",$N2396&gt;0),OR($I2396="",$I2396="NR",$O2396&gt;0),IF(ISNUMBER($J2396),AND($J2396&gt;=0,$J2396=INT($J2396)),FALSE())),$J2396,0)</f>
        <v>0</v>
      </c>
      <c r="Q2396" s="64" t="n">
        <f aca="false">IF(AND($P2396&gt;0,$O2396&gt;0),$P2396,0)</f>
        <v>0</v>
      </c>
      <c r="R2396" s="64" t="n">
        <f aca="false">IF(AND($Q2396&gt;0,$O2396&gt;=AtRank),$Q2396,0)</f>
        <v>0</v>
      </c>
      <c r="S2396" s="64" t="n">
        <f aca="false">IF(AND($Q2396&gt;0,$O2396&gt;=AboveRank),$Q2396,0)</f>
        <v>0</v>
      </c>
      <c r="T2396" s="64" t="n">
        <f aca="false">IF($K2396="Less",$P2396,0)</f>
        <v>0</v>
      </c>
      <c r="U2396" s="64" t="n">
        <f aca="false">IF($K2396="Expected",$P2396,0)</f>
        <v>0</v>
      </c>
      <c r="V2396" s="64" t="n">
        <f aca="false">IF($K2396="Better",$P2396,0)</f>
        <v>0</v>
      </c>
      <c r="W2396" s="64" t="n">
        <f aca="false">IF($K2396="U – needs rule",$P2396,0)</f>
        <v>0</v>
      </c>
      <c r="X2396" s="64" t="n">
        <f aca="false">IF($K2396="No Start (attainment only)",$P2396,0)</f>
        <v>0</v>
      </c>
    </row>
    <row r="2397" customFormat="false" ht="15" hidden="false" customHeight="false" outlineLevel="0" collapsed="false">
      <c r="A2397" s="60"/>
      <c r="B2397" s="61" t="str">
        <f aca="false">IF($M2397=0,"",INDEX(Classes!$E$6:$E$420,$M2397))</f>
        <v/>
      </c>
      <c r="C2397" s="62" t="str">
        <f aca="false">IF($M2397=0,"",INDEX(Classes!$H$6:$H$420,$M2397))</f>
        <v/>
      </c>
      <c r="D2397" s="61" t="str">
        <f aca="false">IF($M2397=0,"",INDEX(Classes!$B$6:$B$420,$M2397))</f>
        <v/>
      </c>
      <c r="E2397" s="61" t="str">
        <f aca="false">IF($M2397=0,"",INDEX(Classes!$C$6:$C$420,$M2397))</f>
        <v/>
      </c>
      <c r="F2397" s="63"/>
      <c r="G2397" s="63"/>
      <c r="H2397" s="60"/>
      <c r="I2397" s="60"/>
      <c r="J2397" s="63"/>
      <c r="K2397" s="61" t="str">
        <f aca="false">IF($P2397=0,"",IF($F2397="Baseline","— Baseline",IF($O2397=0,"No result",IF($N2397=0,"No Start (attainment only)",IF(OR($N2397=1,$O2397=1),"U – needs rule",INDEX(MxBody,MATCH($I2397,MxCurr,0),MATCH($H2397,MxStart,0)))))))</f>
        <v/>
      </c>
      <c r="L2397" s="62" t="str">
        <f aca="false">IF(COUNTA($A2397,$F2397,$G2397,$H2397,$I2397,$J2397)=0,"",IF($M2397=0,"✖ كود الصف غير موجود",IF(ISNA(MATCH($F2397,Lists!$A$2:$A$5,0)),"✖ الفترة غير صحيحة",IF(ISNA(MATCH($G2397,Lists!$B$2:$B$7,0)),"✖ المجموعة غير صحيحة",IF(NOT(OR($H2397="",$N2397&gt;0)),"✖ Start غير صحيح",IF(NOT(OR($I2397="",$I2397="NR",$O2397&gt;0)),"✖ Current غير صحيح",IF(NOT(IF(ISNUMBER($J2397),AND($J2397&gt;=0,$J2397=INT($J2397)),FALSE())),"✖ العدد يجب أن يكون صحيحًا ≥ 0",IF(AND($F2397="Baseline",$H2397&lt;&gt;""),"⚠ Baseline: Start لا يدخل في التقدم",IF($K2397="No Start (attainment only)","ℹ تحصيل فقط (بدون Start)",IF($K2397="U – needs rule","ℹ حالة U تحتاج قاعدة معتمدة",IF($K2397="No result","ℹ بدون نتيجة (يُستبعد من التحصيل)","OK")))))))))))</f>
        <v/>
      </c>
      <c r="M2397" s="64" t="n">
        <f aca="false">IF($A2397="",0,IFERROR(MATCH($A2397,Classes!$A$6:$A$420,0),0))</f>
        <v>0</v>
      </c>
      <c r="N2397" s="64" t="n">
        <f aca="false">IF($H2397="",0,IFERROR(MATCH($H2397,GradeList,0),0))</f>
        <v>0</v>
      </c>
      <c r="O2397" s="64" t="n">
        <f aca="false">IF(OR($I2397="",$I2397="NR"),0,IFERROR(MATCH($I2397,GradeList,0),0))</f>
        <v>0</v>
      </c>
      <c r="P2397" s="64" t="n">
        <f aca="false">IF(AND($M2397&gt;0,ISNUMBER(MATCH($F2397,Lists!$A$2:$A$5,0)),ISNUMBER(MATCH($G2397,Lists!$B$2:$B$7,0)),OR($H2397="",$N2397&gt;0),OR($I2397="",$I2397="NR",$O2397&gt;0),IF(ISNUMBER($J2397),AND($J2397&gt;=0,$J2397=INT($J2397)),FALSE())),$J2397,0)</f>
        <v>0</v>
      </c>
      <c r="Q2397" s="64" t="n">
        <f aca="false">IF(AND($P2397&gt;0,$O2397&gt;0),$P2397,0)</f>
        <v>0</v>
      </c>
      <c r="R2397" s="64" t="n">
        <f aca="false">IF(AND($Q2397&gt;0,$O2397&gt;=AtRank),$Q2397,0)</f>
        <v>0</v>
      </c>
      <c r="S2397" s="64" t="n">
        <f aca="false">IF(AND($Q2397&gt;0,$O2397&gt;=AboveRank),$Q2397,0)</f>
        <v>0</v>
      </c>
      <c r="T2397" s="64" t="n">
        <f aca="false">IF($K2397="Less",$P2397,0)</f>
        <v>0</v>
      </c>
      <c r="U2397" s="64" t="n">
        <f aca="false">IF($K2397="Expected",$P2397,0)</f>
        <v>0</v>
      </c>
      <c r="V2397" s="64" t="n">
        <f aca="false">IF($K2397="Better",$P2397,0)</f>
        <v>0</v>
      </c>
      <c r="W2397" s="64" t="n">
        <f aca="false">IF($K2397="U – needs rule",$P2397,0)</f>
        <v>0</v>
      </c>
      <c r="X2397" s="64" t="n">
        <f aca="false">IF($K2397="No Start (attainment only)",$P2397,0)</f>
        <v>0</v>
      </c>
    </row>
    <row r="2398" customFormat="false" ht="15" hidden="false" customHeight="false" outlineLevel="0" collapsed="false">
      <c r="A2398" s="60"/>
      <c r="B2398" s="61" t="str">
        <f aca="false">IF($M2398=0,"",INDEX(Classes!$E$6:$E$420,$M2398))</f>
        <v/>
      </c>
      <c r="C2398" s="62" t="str">
        <f aca="false">IF($M2398=0,"",INDEX(Classes!$H$6:$H$420,$M2398))</f>
        <v/>
      </c>
      <c r="D2398" s="61" t="str">
        <f aca="false">IF($M2398=0,"",INDEX(Classes!$B$6:$B$420,$M2398))</f>
        <v/>
      </c>
      <c r="E2398" s="61" t="str">
        <f aca="false">IF($M2398=0,"",INDEX(Classes!$C$6:$C$420,$M2398))</f>
        <v/>
      </c>
      <c r="F2398" s="63"/>
      <c r="G2398" s="63"/>
      <c r="H2398" s="60"/>
      <c r="I2398" s="60"/>
      <c r="J2398" s="63"/>
      <c r="K2398" s="61" t="str">
        <f aca="false">IF($P2398=0,"",IF($F2398="Baseline","— Baseline",IF($O2398=0,"No result",IF($N2398=0,"No Start (attainment only)",IF(OR($N2398=1,$O2398=1),"U – needs rule",INDEX(MxBody,MATCH($I2398,MxCurr,0),MATCH($H2398,MxStart,0)))))))</f>
        <v/>
      </c>
      <c r="L2398" s="62" t="str">
        <f aca="false">IF(COUNTA($A2398,$F2398,$G2398,$H2398,$I2398,$J2398)=0,"",IF($M2398=0,"✖ كود الصف غير موجود",IF(ISNA(MATCH($F2398,Lists!$A$2:$A$5,0)),"✖ الفترة غير صحيحة",IF(ISNA(MATCH($G2398,Lists!$B$2:$B$7,0)),"✖ المجموعة غير صحيحة",IF(NOT(OR($H2398="",$N2398&gt;0)),"✖ Start غير صحيح",IF(NOT(OR($I2398="",$I2398="NR",$O2398&gt;0)),"✖ Current غير صحيح",IF(NOT(IF(ISNUMBER($J2398),AND($J2398&gt;=0,$J2398=INT($J2398)),FALSE())),"✖ العدد يجب أن يكون صحيحًا ≥ 0",IF(AND($F2398="Baseline",$H2398&lt;&gt;""),"⚠ Baseline: Start لا يدخل في التقدم",IF($K2398="No Start (attainment only)","ℹ تحصيل فقط (بدون Start)",IF($K2398="U – needs rule","ℹ حالة U تحتاج قاعدة معتمدة",IF($K2398="No result","ℹ بدون نتيجة (يُستبعد من التحصيل)","OK")))))))))))</f>
        <v/>
      </c>
      <c r="M2398" s="64" t="n">
        <f aca="false">IF($A2398="",0,IFERROR(MATCH($A2398,Classes!$A$6:$A$420,0),0))</f>
        <v>0</v>
      </c>
      <c r="N2398" s="64" t="n">
        <f aca="false">IF($H2398="",0,IFERROR(MATCH($H2398,GradeList,0),0))</f>
        <v>0</v>
      </c>
      <c r="O2398" s="64" t="n">
        <f aca="false">IF(OR($I2398="",$I2398="NR"),0,IFERROR(MATCH($I2398,GradeList,0),0))</f>
        <v>0</v>
      </c>
      <c r="P2398" s="64" t="n">
        <f aca="false">IF(AND($M2398&gt;0,ISNUMBER(MATCH($F2398,Lists!$A$2:$A$5,0)),ISNUMBER(MATCH($G2398,Lists!$B$2:$B$7,0)),OR($H2398="",$N2398&gt;0),OR($I2398="",$I2398="NR",$O2398&gt;0),IF(ISNUMBER($J2398),AND($J2398&gt;=0,$J2398=INT($J2398)),FALSE())),$J2398,0)</f>
        <v>0</v>
      </c>
      <c r="Q2398" s="64" t="n">
        <f aca="false">IF(AND($P2398&gt;0,$O2398&gt;0),$P2398,0)</f>
        <v>0</v>
      </c>
      <c r="R2398" s="64" t="n">
        <f aca="false">IF(AND($Q2398&gt;0,$O2398&gt;=AtRank),$Q2398,0)</f>
        <v>0</v>
      </c>
      <c r="S2398" s="64" t="n">
        <f aca="false">IF(AND($Q2398&gt;0,$O2398&gt;=AboveRank),$Q2398,0)</f>
        <v>0</v>
      </c>
      <c r="T2398" s="64" t="n">
        <f aca="false">IF($K2398="Less",$P2398,0)</f>
        <v>0</v>
      </c>
      <c r="U2398" s="64" t="n">
        <f aca="false">IF($K2398="Expected",$P2398,0)</f>
        <v>0</v>
      </c>
      <c r="V2398" s="64" t="n">
        <f aca="false">IF($K2398="Better",$P2398,0)</f>
        <v>0</v>
      </c>
      <c r="W2398" s="64" t="n">
        <f aca="false">IF($K2398="U – needs rule",$P2398,0)</f>
        <v>0</v>
      </c>
      <c r="X2398" s="64" t="n">
        <f aca="false">IF($K2398="No Start (attainment only)",$P2398,0)</f>
        <v>0</v>
      </c>
    </row>
    <row r="2399" customFormat="false" ht="15" hidden="false" customHeight="false" outlineLevel="0" collapsed="false">
      <c r="A2399" s="60"/>
      <c r="B2399" s="61" t="str">
        <f aca="false">IF($M2399=0,"",INDEX(Classes!$E$6:$E$420,$M2399))</f>
        <v/>
      </c>
      <c r="C2399" s="62" t="str">
        <f aca="false">IF($M2399=0,"",INDEX(Classes!$H$6:$H$420,$M2399))</f>
        <v/>
      </c>
      <c r="D2399" s="61" t="str">
        <f aca="false">IF($M2399=0,"",INDEX(Classes!$B$6:$B$420,$M2399))</f>
        <v/>
      </c>
      <c r="E2399" s="61" t="str">
        <f aca="false">IF($M2399=0,"",INDEX(Classes!$C$6:$C$420,$M2399))</f>
        <v/>
      </c>
      <c r="F2399" s="63"/>
      <c r="G2399" s="63"/>
      <c r="H2399" s="60"/>
      <c r="I2399" s="60"/>
      <c r="J2399" s="63"/>
      <c r="K2399" s="61" t="str">
        <f aca="false">IF($P2399=0,"",IF($F2399="Baseline","— Baseline",IF($O2399=0,"No result",IF($N2399=0,"No Start (attainment only)",IF(OR($N2399=1,$O2399=1),"U – needs rule",INDEX(MxBody,MATCH($I2399,MxCurr,0),MATCH($H2399,MxStart,0)))))))</f>
        <v/>
      </c>
      <c r="L2399" s="62" t="str">
        <f aca="false">IF(COUNTA($A2399,$F2399,$G2399,$H2399,$I2399,$J2399)=0,"",IF($M2399=0,"✖ كود الصف غير موجود",IF(ISNA(MATCH($F2399,Lists!$A$2:$A$5,0)),"✖ الفترة غير صحيحة",IF(ISNA(MATCH($G2399,Lists!$B$2:$B$7,0)),"✖ المجموعة غير صحيحة",IF(NOT(OR($H2399="",$N2399&gt;0)),"✖ Start غير صحيح",IF(NOT(OR($I2399="",$I2399="NR",$O2399&gt;0)),"✖ Current غير صحيح",IF(NOT(IF(ISNUMBER($J2399),AND($J2399&gt;=0,$J2399=INT($J2399)),FALSE())),"✖ العدد يجب أن يكون صحيحًا ≥ 0",IF(AND($F2399="Baseline",$H2399&lt;&gt;""),"⚠ Baseline: Start لا يدخل في التقدم",IF($K2399="No Start (attainment only)","ℹ تحصيل فقط (بدون Start)",IF($K2399="U – needs rule","ℹ حالة U تحتاج قاعدة معتمدة",IF($K2399="No result","ℹ بدون نتيجة (يُستبعد من التحصيل)","OK")))))))))))</f>
        <v/>
      </c>
      <c r="M2399" s="64" t="n">
        <f aca="false">IF($A2399="",0,IFERROR(MATCH($A2399,Classes!$A$6:$A$420,0),0))</f>
        <v>0</v>
      </c>
      <c r="N2399" s="64" t="n">
        <f aca="false">IF($H2399="",0,IFERROR(MATCH($H2399,GradeList,0),0))</f>
        <v>0</v>
      </c>
      <c r="O2399" s="64" t="n">
        <f aca="false">IF(OR($I2399="",$I2399="NR"),0,IFERROR(MATCH($I2399,GradeList,0),0))</f>
        <v>0</v>
      </c>
      <c r="P2399" s="64" t="n">
        <f aca="false">IF(AND($M2399&gt;0,ISNUMBER(MATCH($F2399,Lists!$A$2:$A$5,0)),ISNUMBER(MATCH($G2399,Lists!$B$2:$B$7,0)),OR($H2399="",$N2399&gt;0),OR($I2399="",$I2399="NR",$O2399&gt;0),IF(ISNUMBER($J2399),AND($J2399&gt;=0,$J2399=INT($J2399)),FALSE())),$J2399,0)</f>
        <v>0</v>
      </c>
      <c r="Q2399" s="64" t="n">
        <f aca="false">IF(AND($P2399&gt;0,$O2399&gt;0),$P2399,0)</f>
        <v>0</v>
      </c>
      <c r="R2399" s="64" t="n">
        <f aca="false">IF(AND($Q2399&gt;0,$O2399&gt;=AtRank),$Q2399,0)</f>
        <v>0</v>
      </c>
      <c r="S2399" s="64" t="n">
        <f aca="false">IF(AND($Q2399&gt;0,$O2399&gt;=AboveRank),$Q2399,0)</f>
        <v>0</v>
      </c>
      <c r="T2399" s="64" t="n">
        <f aca="false">IF($K2399="Less",$P2399,0)</f>
        <v>0</v>
      </c>
      <c r="U2399" s="64" t="n">
        <f aca="false">IF($K2399="Expected",$P2399,0)</f>
        <v>0</v>
      </c>
      <c r="V2399" s="64" t="n">
        <f aca="false">IF($K2399="Better",$P2399,0)</f>
        <v>0</v>
      </c>
      <c r="W2399" s="64" t="n">
        <f aca="false">IF($K2399="U – needs rule",$P2399,0)</f>
        <v>0</v>
      </c>
      <c r="X2399" s="64" t="n">
        <f aca="false">IF($K2399="No Start (attainment only)",$P2399,0)</f>
        <v>0</v>
      </c>
    </row>
    <row r="2400" customFormat="false" ht="15" hidden="false" customHeight="false" outlineLevel="0" collapsed="false">
      <c r="A2400" s="60"/>
      <c r="B2400" s="61" t="str">
        <f aca="false">IF($M2400=0,"",INDEX(Classes!$E$6:$E$420,$M2400))</f>
        <v/>
      </c>
      <c r="C2400" s="62" t="str">
        <f aca="false">IF($M2400=0,"",INDEX(Classes!$H$6:$H$420,$M2400))</f>
        <v/>
      </c>
      <c r="D2400" s="61" t="str">
        <f aca="false">IF($M2400=0,"",INDEX(Classes!$B$6:$B$420,$M2400))</f>
        <v/>
      </c>
      <c r="E2400" s="61" t="str">
        <f aca="false">IF($M2400=0,"",INDEX(Classes!$C$6:$C$420,$M2400))</f>
        <v/>
      </c>
      <c r="F2400" s="63"/>
      <c r="G2400" s="63"/>
      <c r="H2400" s="60"/>
      <c r="I2400" s="60"/>
      <c r="J2400" s="63"/>
      <c r="K2400" s="61" t="str">
        <f aca="false">IF($P2400=0,"",IF($F2400="Baseline","— Baseline",IF($O2400=0,"No result",IF($N2400=0,"No Start (attainment only)",IF(OR($N2400=1,$O2400=1),"U – needs rule",INDEX(MxBody,MATCH($I2400,MxCurr,0),MATCH($H2400,MxStart,0)))))))</f>
        <v/>
      </c>
      <c r="L2400" s="62" t="str">
        <f aca="false">IF(COUNTA($A2400,$F2400,$G2400,$H2400,$I2400,$J2400)=0,"",IF($M2400=0,"✖ كود الصف غير موجود",IF(ISNA(MATCH($F2400,Lists!$A$2:$A$5,0)),"✖ الفترة غير صحيحة",IF(ISNA(MATCH($G2400,Lists!$B$2:$B$7,0)),"✖ المجموعة غير صحيحة",IF(NOT(OR($H2400="",$N2400&gt;0)),"✖ Start غير صحيح",IF(NOT(OR($I2400="",$I2400="NR",$O2400&gt;0)),"✖ Current غير صحيح",IF(NOT(IF(ISNUMBER($J2400),AND($J2400&gt;=0,$J2400=INT($J2400)),FALSE())),"✖ العدد يجب أن يكون صحيحًا ≥ 0",IF(AND($F2400="Baseline",$H2400&lt;&gt;""),"⚠ Baseline: Start لا يدخل في التقدم",IF($K2400="No Start (attainment only)","ℹ تحصيل فقط (بدون Start)",IF($K2400="U – needs rule","ℹ حالة U تحتاج قاعدة معتمدة",IF($K2400="No result","ℹ بدون نتيجة (يُستبعد من التحصيل)","OK")))))))))))</f>
        <v/>
      </c>
      <c r="M2400" s="64" t="n">
        <f aca="false">IF($A2400="",0,IFERROR(MATCH($A2400,Classes!$A$6:$A$420,0),0))</f>
        <v>0</v>
      </c>
      <c r="N2400" s="64" t="n">
        <f aca="false">IF($H2400="",0,IFERROR(MATCH($H2400,GradeList,0),0))</f>
        <v>0</v>
      </c>
      <c r="O2400" s="64" t="n">
        <f aca="false">IF(OR($I2400="",$I2400="NR"),0,IFERROR(MATCH($I2400,GradeList,0),0))</f>
        <v>0</v>
      </c>
      <c r="P2400" s="64" t="n">
        <f aca="false">IF(AND($M2400&gt;0,ISNUMBER(MATCH($F2400,Lists!$A$2:$A$5,0)),ISNUMBER(MATCH($G2400,Lists!$B$2:$B$7,0)),OR($H2400="",$N2400&gt;0),OR($I2400="",$I2400="NR",$O2400&gt;0),IF(ISNUMBER($J2400),AND($J2400&gt;=0,$J2400=INT($J2400)),FALSE())),$J2400,0)</f>
        <v>0</v>
      </c>
      <c r="Q2400" s="64" t="n">
        <f aca="false">IF(AND($P2400&gt;0,$O2400&gt;0),$P2400,0)</f>
        <v>0</v>
      </c>
      <c r="R2400" s="64" t="n">
        <f aca="false">IF(AND($Q2400&gt;0,$O2400&gt;=AtRank),$Q2400,0)</f>
        <v>0</v>
      </c>
      <c r="S2400" s="64" t="n">
        <f aca="false">IF(AND($Q2400&gt;0,$O2400&gt;=AboveRank),$Q2400,0)</f>
        <v>0</v>
      </c>
      <c r="T2400" s="64" t="n">
        <f aca="false">IF($K2400="Less",$P2400,0)</f>
        <v>0</v>
      </c>
      <c r="U2400" s="64" t="n">
        <f aca="false">IF($K2400="Expected",$P2400,0)</f>
        <v>0</v>
      </c>
      <c r="V2400" s="64" t="n">
        <f aca="false">IF($K2400="Better",$P2400,0)</f>
        <v>0</v>
      </c>
      <c r="W2400" s="64" t="n">
        <f aca="false">IF($K2400="U – needs rule",$P2400,0)</f>
        <v>0</v>
      </c>
      <c r="X2400" s="64" t="n">
        <f aca="false">IF($K2400="No Start (attainment only)",$P2400,0)</f>
        <v>0</v>
      </c>
    </row>
    <row r="2401" customFormat="false" ht="15" hidden="false" customHeight="false" outlineLevel="0" collapsed="false">
      <c r="A2401" s="60"/>
      <c r="B2401" s="61" t="str">
        <f aca="false">IF($M2401=0,"",INDEX(Classes!$E$6:$E$420,$M2401))</f>
        <v/>
      </c>
      <c r="C2401" s="62" t="str">
        <f aca="false">IF($M2401=0,"",INDEX(Classes!$H$6:$H$420,$M2401))</f>
        <v/>
      </c>
      <c r="D2401" s="61" t="str">
        <f aca="false">IF($M2401=0,"",INDEX(Classes!$B$6:$B$420,$M2401))</f>
        <v/>
      </c>
      <c r="E2401" s="61" t="str">
        <f aca="false">IF($M2401=0,"",INDEX(Classes!$C$6:$C$420,$M2401))</f>
        <v/>
      </c>
      <c r="F2401" s="63"/>
      <c r="G2401" s="63"/>
      <c r="H2401" s="60"/>
      <c r="I2401" s="60"/>
      <c r="J2401" s="63"/>
      <c r="K2401" s="61" t="str">
        <f aca="false">IF($P2401=0,"",IF($F2401="Baseline","— Baseline",IF($O2401=0,"No result",IF($N2401=0,"No Start (attainment only)",IF(OR($N2401=1,$O2401=1),"U – needs rule",INDEX(MxBody,MATCH($I2401,MxCurr,0),MATCH($H2401,MxStart,0)))))))</f>
        <v/>
      </c>
      <c r="L2401" s="62" t="str">
        <f aca="false">IF(COUNTA($A2401,$F2401,$G2401,$H2401,$I2401,$J2401)=0,"",IF($M2401=0,"✖ كود الصف غير موجود",IF(ISNA(MATCH($F2401,Lists!$A$2:$A$5,0)),"✖ الفترة غير صحيحة",IF(ISNA(MATCH($G2401,Lists!$B$2:$B$7,0)),"✖ المجموعة غير صحيحة",IF(NOT(OR($H2401="",$N2401&gt;0)),"✖ Start غير صحيح",IF(NOT(OR($I2401="",$I2401="NR",$O2401&gt;0)),"✖ Current غير صحيح",IF(NOT(IF(ISNUMBER($J2401),AND($J2401&gt;=0,$J2401=INT($J2401)),FALSE())),"✖ العدد يجب أن يكون صحيحًا ≥ 0",IF(AND($F2401="Baseline",$H2401&lt;&gt;""),"⚠ Baseline: Start لا يدخل في التقدم",IF($K2401="No Start (attainment only)","ℹ تحصيل فقط (بدون Start)",IF($K2401="U – needs rule","ℹ حالة U تحتاج قاعدة معتمدة",IF($K2401="No result","ℹ بدون نتيجة (يُستبعد من التحصيل)","OK")))))))))))</f>
        <v/>
      </c>
      <c r="M2401" s="64" t="n">
        <f aca="false">IF($A2401="",0,IFERROR(MATCH($A2401,Classes!$A$6:$A$420,0),0))</f>
        <v>0</v>
      </c>
      <c r="N2401" s="64" t="n">
        <f aca="false">IF($H2401="",0,IFERROR(MATCH($H2401,GradeList,0),0))</f>
        <v>0</v>
      </c>
      <c r="O2401" s="64" t="n">
        <f aca="false">IF(OR($I2401="",$I2401="NR"),0,IFERROR(MATCH($I2401,GradeList,0),0))</f>
        <v>0</v>
      </c>
      <c r="P2401" s="64" t="n">
        <f aca="false">IF(AND($M2401&gt;0,ISNUMBER(MATCH($F2401,Lists!$A$2:$A$5,0)),ISNUMBER(MATCH($G2401,Lists!$B$2:$B$7,0)),OR($H2401="",$N2401&gt;0),OR($I2401="",$I2401="NR",$O2401&gt;0),IF(ISNUMBER($J2401),AND($J2401&gt;=0,$J2401=INT($J2401)),FALSE())),$J2401,0)</f>
        <v>0</v>
      </c>
      <c r="Q2401" s="64" t="n">
        <f aca="false">IF(AND($P2401&gt;0,$O2401&gt;0),$P2401,0)</f>
        <v>0</v>
      </c>
      <c r="R2401" s="64" t="n">
        <f aca="false">IF(AND($Q2401&gt;0,$O2401&gt;=AtRank),$Q2401,0)</f>
        <v>0</v>
      </c>
      <c r="S2401" s="64" t="n">
        <f aca="false">IF(AND($Q2401&gt;0,$O2401&gt;=AboveRank),$Q2401,0)</f>
        <v>0</v>
      </c>
      <c r="T2401" s="64" t="n">
        <f aca="false">IF($K2401="Less",$P2401,0)</f>
        <v>0</v>
      </c>
      <c r="U2401" s="64" t="n">
        <f aca="false">IF($K2401="Expected",$P2401,0)</f>
        <v>0</v>
      </c>
      <c r="V2401" s="64" t="n">
        <f aca="false">IF($K2401="Better",$P2401,0)</f>
        <v>0</v>
      </c>
      <c r="W2401" s="64" t="n">
        <f aca="false">IF($K2401="U – needs rule",$P2401,0)</f>
        <v>0</v>
      </c>
      <c r="X2401" s="64" t="n">
        <f aca="false">IF($K2401="No Start (attainment only)",$P2401,0)</f>
        <v>0</v>
      </c>
    </row>
    <row r="2402" customFormat="false" ht="15" hidden="false" customHeight="false" outlineLevel="0" collapsed="false">
      <c r="A2402" s="60"/>
      <c r="B2402" s="61" t="str">
        <f aca="false">IF($M2402=0,"",INDEX(Classes!$E$6:$E$420,$M2402))</f>
        <v/>
      </c>
      <c r="C2402" s="62" t="str">
        <f aca="false">IF($M2402=0,"",INDEX(Classes!$H$6:$H$420,$M2402))</f>
        <v/>
      </c>
      <c r="D2402" s="61" t="str">
        <f aca="false">IF($M2402=0,"",INDEX(Classes!$B$6:$B$420,$M2402))</f>
        <v/>
      </c>
      <c r="E2402" s="61" t="str">
        <f aca="false">IF($M2402=0,"",INDEX(Classes!$C$6:$C$420,$M2402))</f>
        <v/>
      </c>
      <c r="F2402" s="63"/>
      <c r="G2402" s="63"/>
      <c r="H2402" s="60"/>
      <c r="I2402" s="60"/>
      <c r="J2402" s="63"/>
      <c r="K2402" s="61" t="str">
        <f aca="false">IF($P2402=0,"",IF($F2402="Baseline","— Baseline",IF($O2402=0,"No result",IF($N2402=0,"No Start (attainment only)",IF(OR($N2402=1,$O2402=1),"U – needs rule",INDEX(MxBody,MATCH($I2402,MxCurr,0),MATCH($H2402,MxStart,0)))))))</f>
        <v/>
      </c>
      <c r="L2402" s="62" t="str">
        <f aca="false">IF(COUNTA($A2402,$F2402,$G2402,$H2402,$I2402,$J2402)=0,"",IF($M2402=0,"✖ كود الصف غير موجود",IF(ISNA(MATCH($F2402,Lists!$A$2:$A$5,0)),"✖ الفترة غير صحيحة",IF(ISNA(MATCH($G2402,Lists!$B$2:$B$7,0)),"✖ المجموعة غير صحيحة",IF(NOT(OR($H2402="",$N2402&gt;0)),"✖ Start غير صحيح",IF(NOT(OR($I2402="",$I2402="NR",$O2402&gt;0)),"✖ Current غير صحيح",IF(NOT(IF(ISNUMBER($J2402),AND($J2402&gt;=0,$J2402=INT($J2402)),FALSE())),"✖ العدد يجب أن يكون صحيحًا ≥ 0",IF(AND($F2402="Baseline",$H2402&lt;&gt;""),"⚠ Baseline: Start لا يدخل في التقدم",IF($K2402="No Start (attainment only)","ℹ تحصيل فقط (بدون Start)",IF($K2402="U – needs rule","ℹ حالة U تحتاج قاعدة معتمدة",IF($K2402="No result","ℹ بدون نتيجة (يُستبعد من التحصيل)","OK")))))))))))</f>
        <v/>
      </c>
      <c r="M2402" s="64" t="n">
        <f aca="false">IF($A2402="",0,IFERROR(MATCH($A2402,Classes!$A$6:$A$420,0),0))</f>
        <v>0</v>
      </c>
      <c r="N2402" s="64" t="n">
        <f aca="false">IF($H2402="",0,IFERROR(MATCH($H2402,GradeList,0),0))</f>
        <v>0</v>
      </c>
      <c r="O2402" s="64" t="n">
        <f aca="false">IF(OR($I2402="",$I2402="NR"),0,IFERROR(MATCH($I2402,GradeList,0),0))</f>
        <v>0</v>
      </c>
      <c r="P2402" s="64" t="n">
        <f aca="false">IF(AND($M2402&gt;0,ISNUMBER(MATCH($F2402,Lists!$A$2:$A$5,0)),ISNUMBER(MATCH($G2402,Lists!$B$2:$B$7,0)),OR($H2402="",$N2402&gt;0),OR($I2402="",$I2402="NR",$O2402&gt;0),IF(ISNUMBER($J2402),AND($J2402&gt;=0,$J2402=INT($J2402)),FALSE())),$J2402,0)</f>
        <v>0</v>
      </c>
      <c r="Q2402" s="64" t="n">
        <f aca="false">IF(AND($P2402&gt;0,$O2402&gt;0),$P2402,0)</f>
        <v>0</v>
      </c>
      <c r="R2402" s="64" t="n">
        <f aca="false">IF(AND($Q2402&gt;0,$O2402&gt;=AtRank),$Q2402,0)</f>
        <v>0</v>
      </c>
      <c r="S2402" s="64" t="n">
        <f aca="false">IF(AND($Q2402&gt;0,$O2402&gt;=AboveRank),$Q2402,0)</f>
        <v>0</v>
      </c>
      <c r="T2402" s="64" t="n">
        <f aca="false">IF($K2402="Less",$P2402,0)</f>
        <v>0</v>
      </c>
      <c r="U2402" s="64" t="n">
        <f aca="false">IF($K2402="Expected",$P2402,0)</f>
        <v>0</v>
      </c>
      <c r="V2402" s="64" t="n">
        <f aca="false">IF($K2402="Better",$P2402,0)</f>
        <v>0</v>
      </c>
      <c r="W2402" s="64" t="n">
        <f aca="false">IF($K2402="U – needs rule",$P2402,0)</f>
        <v>0</v>
      </c>
      <c r="X2402" s="64" t="n">
        <f aca="false">IF($K2402="No Start (attainment only)",$P2402,0)</f>
        <v>0</v>
      </c>
    </row>
    <row r="2403" customFormat="false" ht="15" hidden="false" customHeight="false" outlineLevel="0" collapsed="false">
      <c r="A2403" s="60"/>
      <c r="B2403" s="61" t="str">
        <f aca="false">IF($M2403=0,"",INDEX(Classes!$E$6:$E$420,$M2403))</f>
        <v/>
      </c>
      <c r="C2403" s="62" t="str">
        <f aca="false">IF($M2403=0,"",INDEX(Classes!$H$6:$H$420,$M2403))</f>
        <v/>
      </c>
      <c r="D2403" s="61" t="str">
        <f aca="false">IF($M2403=0,"",INDEX(Classes!$B$6:$B$420,$M2403))</f>
        <v/>
      </c>
      <c r="E2403" s="61" t="str">
        <f aca="false">IF($M2403=0,"",INDEX(Classes!$C$6:$C$420,$M2403))</f>
        <v/>
      </c>
      <c r="F2403" s="63"/>
      <c r="G2403" s="63"/>
      <c r="H2403" s="60"/>
      <c r="I2403" s="60"/>
      <c r="J2403" s="63"/>
      <c r="K2403" s="61" t="str">
        <f aca="false">IF($P2403=0,"",IF($F2403="Baseline","— Baseline",IF($O2403=0,"No result",IF($N2403=0,"No Start (attainment only)",IF(OR($N2403=1,$O2403=1),"U – needs rule",INDEX(MxBody,MATCH($I2403,MxCurr,0),MATCH($H2403,MxStart,0)))))))</f>
        <v/>
      </c>
      <c r="L2403" s="62" t="str">
        <f aca="false">IF(COUNTA($A2403,$F2403,$G2403,$H2403,$I2403,$J2403)=0,"",IF($M2403=0,"✖ كود الصف غير موجود",IF(ISNA(MATCH($F2403,Lists!$A$2:$A$5,0)),"✖ الفترة غير صحيحة",IF(ISNA(MATCH($G2403,Lists!$B$2:$B$7,0)),"✖ المجموعة غير صحيحة",IF(NOT(OR($H2403="",$N2403&gt;0)),"✖ Start غير صحيح",IF(NOT(OR($I2403="",$I2403="NR",$O2403&gt;0)),"✖ Current غير صحيح",IF(NOT(IF(ISNUMBER($J2403),AND($J2403&gt;=0,$J2403=INT($J2403)),FALSE())),"✖ العدد يجب أن يكون صحيحًا ≥ 0",IF(AND($F2403="Baseline",$H2403&lt;&gt;""),"⚠ Baseline: Start لا يدخل في التقدم",IF($K2403="No Start (attainment only)","ℹ تحصيل فقط (بدون Start)",IF($K2403="U – needs rule","ℹ حالة U تحتاج قاعدة معتمدة",IF($K2403="No result","ℹ بدون نتيجة (يُستبعد من التحصيل)","OK")))))))))))</f>
        <v/>
      </c>
      <c r="M2403" s="64" t="n">
        <f aca="false">IF($A2403="",0,IFERROR(MATCH($A2403,Classes!$A$6:$A$420,0),0))</f>
        <v>0</v>
      </c>
      <c r="N2403" s="64" t="n">
        <f aca="false">IF($H2403="",0,IFERROR(MATCH($H2403,GradeList,0),0))</f>
        <v>0</v>
      </c>
      <c r="O2403" s="64" t="n">
        <f aca="false">IF(OR($I2403="",$I2403="NR"),0,IFERROR(MATCH($I2403,GradeList,0),0))</f>
        <v>0</v>
      </c>
      <c r="P2403" s="64" t="n">
        <f aca="false">IF(AND($M2403&gt;0,ISNUMBER(MATCH($F2403,Lists!$A$2:$A$5,0)),ISNUMBER(MATCH($G2403,Lists!$B$2:$B$7,0)),OR($H2403="",$N2403&gt;0),OR($I2403="",$I2403="NR",$O2403&gt;0),IF(ISNUMBER($J2403),AND($J2403&gt;=0,$J2403=INT($J2403)),FALSE())),$J2403,0)</f>
        <v>0</v>
      </c>
      <c r="Q2403" s="64" t="n">
        <f aca="false">IF(AND($P2403&gt;0,$O2403&gt;0),$P2403,0)</f>
        <v>0</v>
      </c>
      <c r="R2403" s="64" t="n">
        <f aca="false">IF(AND($Q2403&gt;0,$O2403&gt;=AtRank),$Q2403,0)</f>
        <v>0</v>
      </c>
      <c r="S2403" s="64" t="n">
        <f aca="false">IF(AND($Q2403&gt;0,$O2403&gt;=AboveRank),$Q2403,0)</f>
        <v>0</v>
      </c>
      <c r="T2403" s="64" t="n">
        <f aca="false">IF($K2403="Less",$P2403,0)</f>
        <v>0</v>
      </c>
      <c r="U2403" s="64" t="n">
        <f aca="false">IF($K2403="Expected",$P2403,0)</f>
        <v>0</v>
      </c>
      <c r="V2403" s="64" t="n">
        <f aca="false">IF($K2403="Better",$P2403,0)</f>
        <v>0</v>
      </c>
      <c r="W2403" s="64" t="n">
        <f aca="false">IF($K2403="U – needs rule",$P2403,0)</f>
        <v>0</v>
      </c>
      <c r="X2403" s="64" t="n">
        <f aca="false">IF($K2403="No Start (attainment only)",$P2403,0)</f>
        <v>0</v>
      </c>
    </row>
    <row r="2404" customFormat="false" ht="15" hidden="false" customHeight="false" outlineLevel="0" collapsed="false">
      <c r="A2404" s="60"/>
      <c r="B2404" s="61" t="str">
        <f aca="false">IF($M2404=0,"",INDEX(Classes!$E$6:$E$420,$M2404))</f>
        <v/>
      </c>
      <c r="C2404" s="62" t="str">
        <f aca="false">IF($M2404=0,"",INDEX(Classes!$H$6:$H$420,$M2404))</f>
        <v/>
      </c>
      <c r="D2404" s="61" t="str">
        <f aca="false">IF($M2404=0,"",INDEX(Classes!$B$6:$B$420,$M2404))</f>
        <v/>
      </c>
      <c r="E2404" s="61" t="str">
        <f aca="false">IF($M2404=0,"",INDEX(Classes!$C$6:$C$420,$M2404))</f>
        <v/>
      </c>
      <c r="F2404" s="63"/>
      <c r="G2404" s="63"/>
      <c r="H2404" s="60"/>
      <c r="I2404" s="60"/>
      <c r="J2404" s="63"/>
      <c r="K2404" s="61" t="str">
        <f aca="false">IF($P2404=0,"",IF($F2404="Baseline","— Baseline",IF($O2404=0,"No result",IF($N2404=0,"No Start (attainment only)",IF(OR($N2404=1,$O2404=1),"U – needs rule",INDEX(MxBody,MATCH($I2404,MxCurr,0),MATCH($H2404,MxStart,0)))))))</f>
        <v/>
      </c>
      <c r="L2404" s="62" t="str">
        <f aca="false">IF(COUNTA($A2404,$F2404,$G2404,$H2404,$I2404,$J2404)=0,"",IF($M2404=0,"✖ كود الصف غير موجود",IF(ISNA(MATCH($F2404,Lists!$A$2:$A$5,0)),"✖ الفترة غير صحيحة",IF(ISNA(MATCH($G2404,Lists!$B$2:$B$7,0)),"✖ المجموعة غير صحيحة",IF(NOT(OR($H2404="",$N2404&gt;0)),"✖ Start غير صحيح",IF(NOT(OR($I2404="",$I2404="NR",$O2404&gt;0)),"✖ Current غير صحيح",IF(NOT(IF(ISNUMBER($J2404),AND($J2404&gt;=0,$J2404=INT($J2404)),FALSE())),"✖ العدد يجب أن يكون صحيحًا ≥ 0",IF(AND($F2404="Baseline",$H2404&lt;&gt;""),"⚠ Baseline: Start لا يدخل في التقدم",IF($K2404="No Start (attainment only)","ℹ تحصيل فقط (بدون Start)",IF($K2404="U – needs rule","ℹ حالة U تحتاج قاعدة معتمدة",IF($K2404="No result","ℹ بدون نتيجة (يُستبعد من التحصيل)","OK")))))))))))</f>
        <v/>
      </c>
      <c r="M2404" s="64" t="n">
        <f aca="false">IF($A2404="",0,IFERROR(MATCH($A2404,Classes!$A$6:$A$420,0),0))</f>
        <v>0</v>
      </c>
      <c r="N2404" s="64" t="n">
        <f aca="false">IF($H2404="",0,IFERROR(MATCH($H2404,GradeList,0),0))</f>
        <v>0</v>
      </c>
      <c r="O2404" s="64" t="n">
        <f aca="false">IF(OR($I2404="",$I2404="NR"),0,IFERROR(MATCH($I2404,GradeList,0),0))</f>
        <v>0</v>
      </c>
      <c r="P2404" s="64" t="n">
        <f aca="false">IF(AND($M2404&gt;0,ISNUMBER(MATCH($F2404,Lists!$A$2:$A$5,0)),ISNUMBER(MATCH($G2404,Lists!$B$2:$B$7,0)),OR($H2404="",$N2404&gt;0),OR($I2404="",$I2404="NR",$O2404&gt;0),IF(ISNUMBER($J2404),AND($J2404&gt;=0,$J2404=INT($J2404)),FALSE())),$J2404,0)</f>
        <v>0</v>
      </c>
      <c r="Q2404" s="64" t="n">
        <f aca="false">IF(AND($P2404&gt;0,$O2404&gt;0),$P2404,0)</f>
        <v>0</v>
      </c>
      <c r="R2404" s="64" t="n">
        <f aca="false">IF(AND($Q2404&gt;0,$O2404&gt;=AtRank),$Q2404,0)</f>
        <v>0</v>
      </c>
      <c r="S2404" s="64" t="n">
        <f aca="false">IF(AND($Q2404&gt;0,$O2404&gt;=AboveRank),$Q2404,0)</f>
        <v>0</v>
      </c>
      <c r="T2404" s="64" t="n">
        <f aca="false">IF($K2404="Less",$P2404,0)</f>
        <v>0</v>
      </c>
      <c r="U2404" s="64" t="n">
        <f aca="false">IF($K2404="Expected",$P2404,0)</f>
        <v>0</v>
      </c>
      <c r="V2404" s="64" t="n">
        <f aca="false">IF($K2404="Better",$P2404,0)</f>
        <v>0</v>
      </c>
      <c r="W2404" s="64" t="n">
        <f aca="false">IF($K2404="U – needs rule",$P2404,0)</f>
        <v>0</v>
      </c>
      <c r="X2404" s="64" t="n">
        <f aca="false">IF($K2404="No Start (attainment only)",$P2404,0)</f>
        <v>0</v>
      </c>
    </row>
    <row r="2405" customFormat="false" ht="15" hidden="false" customHeight="false" outlineLevel="0" collapsed="false">
      <c r="A2405" s="60"/>
      <c r="B2405" s="61" t="str">
        <f aca="false">IF($M2405=0,"",INDEX(Classes!$E$6:$E$420,$M2405))</f>
        <v/>
      </c>
      <c r="C2405" s="62" t="str">
        <f aca="false">IF($M2405=0,"",INDEX(Classes!$H$6:$H$420,$M2405))</f>
        <v/>
      </c>
      <c r="D2405" s="61" t="str">
        <f aca="false">IF($M2405=0,"",INDEX(Classes!$B$6:$B$420,$M2405))</f>
        <v/>
      </c>
      <c r="E2405" s="61" t="str">
        <f aca="false">IF($M2405=0,"",INDEX(Classes!$C$6:$C$420,$M2405))</f>
        <v/>
      </c>
      <c r="F2405" s="63"/>
      <c r="G2405" s="63"/>
      <c r="H2405" s="60"/>
      <c r="I2405" s="60"/>
      <c r="J2405" s="63"/>
      <c r="K2405" s="61" t="str">
        <f aca="false">IF($P2405=0,"",IF($F2405="Baseline","— Baseline",IF($O2405=0,"No result",IF($N2405=0,"No Start (attainment only)",IF(OR($N2405=1,$O2405=1),"U – needs rule",INDEX(MxBody,MATCH($I2405,MxCurr,0),MATCH($H2405,MxStart,0)))))))</f>
        <v/>
      </c>
      <c r="L2405" s="62" t="str">
        <f aca="false">IF(COUNTA($A2405,$F2405,$G2405,$H2405,$I2405,$J2405)=0,"",IF($M2405=0,"✖ كود الصف غير موجود",IF(ISNA(MATCH($F2405,Lists!$A$2:$A$5,0)),"✖ الفترة غير صحيحة",IF(ISNA(MATCH($G2405,Lists!$B$2:$B$7,0)),"✖ المجموعة غير صحيحة",IF(NOT(OR($H2405="",$N2405&gt;0)),"✖ Start غير صحيح",IF(NOT(OR($I2405="",$I2405="NR",$O2405&gt;0)),"✖ Current غير صحيح",IF(NOT(IF(ISNUMBER($J2405),AND($J2405&gt;=0,$J2405=INT($J2405)),FALSE())),"✖ العدد يجب أن يكون صحيحًا ≥ 0",IF(AND($F2405="Baseline",$H2405&lt;&gt;""),"⚠ Baseline: Start لا يدخل في التقدم",IF($K2405="No Start (attainment only)","ℹ تحصيل فقط (بدون Start)",IF($K2405="U – needs rule","ℹ حالة U تحتاج قاعدة معتمدة",IF($K2405="No result","ℹ بدون نتيجة (يُستبعد من التحصيل)","OK")))))))))))</f>
        <v/>
      </c>
      <c r="M2405" s="64" t="n">
        <f aca="false">IF($A2405="",0,IFERROR(MATCH($A2405,Classes!$A$6:$A$420,0),0))</f>
        <v>0</v>
      </c>
      <c r="N2405" s="64" t="n">
        <f aca="false">IF($H2405="",0,IFERROR(MATCH($H2405,GradeList,0),0))</f>
        <v>0</v>
      </c>
      <c r="O2405" s="64" t="n">
        <f aca="false">IF(OR($I2405="",$I2405="NR"),0,IFERROR(MATCH($I2405,GradeList,0),0))</f>
        <v>0</v>
      </c>
      <c r="P2405" s="64" t="n">
        <f aca="false">IF(AND($M2405&gt;0,ISNUMBER(MATCH($F2405,Lists!$A$2:$A$5,0)),ISNUMBER(MATCH($G2405,Lists!$B$2:$B$7,0)),OR($H2405="",$N2405&gt;0),OR($I2405="",$I2405="NR",$O2405&gt;0),IF(ISNUMBER($J2405),AND($J2405&gt;=0,$J2405=INT($J2405)),FALSE())),$J2405,0)</f>
        <v>0</v>
      </c>
      <c r="Q2405" s="64" t="n">
        <f aca="false">IF(AND($P2405&gt;0,$O2405&gt;0),$P2405,0)</f>
        <v>0</v>
      </c>
      <c r="R2405" s="64" t="n">
        <f aca="false">IF(AND($Q2405&gt;0,$O2405&gt;=AtRank),$Q2405,0)</f>
        <v>0</v>
      </c>
      <c r="S2405" s="64" t="n">
        <f aca="false">IF(AND($Q2405&gt;0,$O2405&gt;=AboveRank),$Q2405,0)</f>
        <v>0</v>
      </c>
      <c r="T2405" s="64" t="n">
        <f aca="false">IF($K2405="Less",$P2405,0)</f>
        <v>0</v>
      </c>
      <c r="U2405" s="64" t="n">
        <f aca="false">IF($K2405="Expected",$P2405,0)</f>
        <v>0</v>
      </c>
      <c r="V2405" s="64" t="n">
        <f aca="false">IF($K2405="Better",$P2405,0)</f>
        <v>0</v>
      </c>
      <c r="W2405" s="64" t="n">
        <f aca="false">IF($K2405="U – needs rule",$P2405,0)</f>
        <v>0</v>
      </c>
      <c r="X2405" s="64" t="n">
        <f aca="false">IF($K2405="No Start (attainment only)",$P2405,0)</f>
        <v>0</v>
      </c>
    </row>
    <row r="2406" customFormat="false" ht="15" hidden="false" customHeight="false" outlineLevel="0" collapsed="false">
      <c r="A2406" s="60"/>
      <c r="B2406" s="61" t="str">
        <f aca="false">IF($M2406=0,"",INDEX(Classes!$E$6:$E$420,$M2406))</f>
        <v/>
      </c>
      <c r="C2406" s="62" t="str">
        <f aca="false">IF($M2406=0,"",INDEX(Classes!$H$6:$H$420,$M2406))</f>
        <v/>
      </c>
      <c r="D2406" s="61" t="str">
        <f aca="false">IF($M2406=0,"",INDEX(Classes!$B$6:$B$420,$M2406))</f>
        <v/>
      </c>
      <c r="E2406" s="61" t="str">
        <f aca="false">IF($M2406=0,"",INDEX(Classes!$C$6:$C$420,$M2406))</f>
        <v/>
      </c>
      <c r="F2406" s="63"/>
      <c r="G2406" s="63"/>
      <c r="H2406" s="60"/>
      <c r="I2406" s="60"/>
      <c r="J2406" s="63"/>
      <c r="K2406" s="61" t="str">
        <f aca="false">IF($P2406=0,"",IF($F2406="Baseline","— Baseline",IF($O2406=0,"No result",IF($N2406=0,"No Start (attainment only)",IF(OR($N2406=1,$O2406=1),"U – needs rule",INDEX(MxBody,MATCH($I2406,MxCurr,0),MATCH($H2406,MxStart,0)))))))</f>
        <v/>
      </c>
      <c r="L2406" s="62" t="str">
        <f aca="false">IF(COUNTA($A2406,$F2406,$G2406,$H2406,$I2406,$J2406)=0,"",IF($M2406=0,"✖ كود الصف غير موجود",IF(ISNA(MATCH($F2406,Lists!$A$2:$A$5,0)),"✖ الفترة غير صحيحة",IF(ISNA(MATCH($G2406,Lists!$B$2:$B$7,0)),"✖ المجموعة غير صحيحة",IF(NOT(OR($H2406="",$N2406&gt;0)),"✖ Start غير صحيح",IF(NOT(OR($I2406="",$I2406="NR",$O2406&gt;0)),"✖ Current غير صحيح",IF(NOT(IF(ISNUMBER($J2406),AND($J2406&gt;=0,$J2406=INT($J2406)),FALSE())),"✖ العدد يجب أن يكون صحيحًا ≥ 0",IF(AND($F2406="Baseline",$H2406&lt;&gt;""),"⚠ Baseline: Start لا يدخل في التقدم",IF($K2406="No Start (attainment only)","ℹ تحصيل فقط (بدون Start)",IF($K2406="U – needs rule","ℹ حالة U تحتاج قاعدة معتمدة",IF($K2406="No result","ℹ بدون نتيجة (يُستبعد من التحصيل)","OK")))))))))))</f>
        <v/>
      </c>
      <c r="M2406" s="64" t="n">
        <f aca="false">IF($A2406="",0,IFERROR(MATCH($A2406,Classes!$A$6:$A$420,0),0))</f>
        <v>0</v>
      </c>
      <c r="N2406" s="64" t="n">
        <f aca="false">IF($H2406="",0,IFERROR(MATCH($H2406,GradeList,0),0))</f>
        <v>0</v>
      </c>
      <c r="O2406" s="64" t="n">
        <f aca="false">IF(OR($I2406="",$I2406="NR"),0,IFERROR(MATCH($I2406,GradeList,0),0))</f>
        <v>0</v>
      </c>
      <c r="P2406" s="64" t="n">
        <f aca="false">IF(AND($M2406&gt;0,ISNUMBER(MATCH($F2406,Lists!$A$2:$A$5,0)),ISNUMBER(MATCH($G2406,Lists!$B$2:$B$7,0)),OR($H2406="",$N2406&gt;0),OR($I2406="",$I2406="NR",$O2406&gt;0),IF(ISNUMBER($J2406),AND($J2406&gt;=0,$J2406=INT($J2406)),FALSE())),$J2406,0)</f>
        <v>0</v>
      </c>
      <c r="Q2406" s="64" t="n">
        <f aca="false">IF(AND($P2406&gt;0,$O2406&gt;0),$P2406,0)</f>
        <v>0</v>
      </c>
      <c r="R2406" s="64" t="n">
        <f aca="false">IF(AND($Q2406&gt;0,$O2406&gt;=AtRank),$Q2406,0)</f>
        <v>0</v>
      </c>
      <c r="S2406" s="64" t="n">
        <f aca="false">IF(AND($Q2406&gt;0,$O2406&gt;=AboveRank),$Q2406,0)</f>
        <v>0</v>
      </c>
      <c r="T2406" s="64" t="n">
        <f aca="false">IF($K2406="Less",$P2406,0)</f>
        <v>0</v>
      </c>
      <c r="U2406" s="64" t="n">
        <f aca="false">IF($K2406="Expected",$P2406,0)</f>
        <v>0</v>
      </c>
      <c r="V2406" s="64" t="n">
        <f aca="false">IF($K2406="Better",$P2406,0)</f>
        <v>0</v>
      </c>
      <c r="W2406" s="64" t="n">
        <f aca="false">IF($K2406="U – needs rule",$P2406,0)</f>
        <v>0</v>
      </c>
      <c r="X2406" s="64" t="n">
        <f aca="false">IF($K2406="No Start (attainment only)",$P2406,0)</f>
        <v>0</v>
      </c>
    </row>
    <row r="2407" customFormat="false" ht="15" hidden="false" customHeight="false" outlineLevel="0" collapsed="false">
      <c r="A2407" s="60"/>
      <c r="B2407" s="61" t="str">
        <f aca="false">IF($M2407=0,"",INDEX(Classes!$E$6:$E$420,$M2407))</f>
        <v/>
      </c>
      <c r="C2407" s="62" t="str">
        <f aca="false">IF($M2407=0,"",INDEX(Classes!$H$6:$H$420,$M2407))</f>
        <v/>
      </c>
      <c r="D2407" s="61" t="str">
        <f aca="false">IF($M2407=0,"",INDEX(Classes!$B$6:$B$420,$M2407))</f>
        <v/>
      </c>
      <c r="E2407" s="61" t="str">
        <f aca="false">IF($M2407=0,"",INDEX(Classes!$C$6:$C$420,$M2407))</f>
        <v/>
      </c>
      <c r="F2407" s="63"/>
      <c r="G2407" s="63"/>
      <c r="H2407" s="60"/>
      <c r="I2407" s="60"/>
      <c r="J2407" s="63"/>
      <c r="K2407" s="61" t="str">
        <f aca="false">IF($P2407=0,"",IF($F2407="Baseline","— Baseline",IF($O2407=0,"No result",IF($N2407=0,"No Start (attainment only)",IF(OR($N2407=1,$O2407=1),"U – needs rule",INDEX(MxBody,MATCH($I2407,MxCurr,0),MATCH($H2407,MxStart,0)))))))</f>
        <v/>
      </c>
      <c r="L2407" s="62" t="str">
        <f aca="false">IF(COUNTA($A2407,$F2407,$G2407,$H2407,$I2407,$J2407)=0,"",IF($M2407=0,"✖ كود الصف غير موجود",IF(ISNA(MATCH($F2407,Lists!$A$2:$A$5,0)),"✖ الفترة غير صحيحة",IF(ISNA(MATCH($G2407,Lists!$B$2:$B$7,0)),"✖ المجموعة غير صحيحة",IF(NOT(OR($H2407="",$N2407&gt;0)),"✖ Start غير صحيح",IF(NOT(OR($I2407="",$I2407="NR",$O2407&gt;0)),"✖ Current غير صحيح",IF(NOT(IF(ISNUMBER($J2407),AND($J2407&gt;=0,$J2407=INT($J2407)),FALSE())),"✖ العدد يجب أن يكون صحيحًا ≥ 0",IF(AND($F2407="Baseline",$H2407&lt;&gt;""),"⚠ Baseline: Start لا يدخل في التقدم",IF($K2407="No Start (attainment only)","ℹ تحصيل فقط (بدون Start)",IF($K2407="U – needs rule","ℹ حالة U تحتاج قاعدة معتمدة",IF($K2407="No result","ℹ بدون نتيجة (يُستبعد من التحصيل)","OK")))))))))))</f>
        <v/>
      </c>
      <c r="M2407" s="64" t="n">
        <f aca="false">IF($A2407="",0,IFERROR(MATCH($A2407,Classes!$A$6:$A$420,0),0))</f>
        <v>0</v>
      </c>
      <c r="N2407" s="64" t="n">
        <f aca="false">IF($H2407="",0,IFERROR(MATCH($H2407,GradeList,0),0))</f>
        <v>0</v>
      </c>
      <c r="O2407" s="64" t="n">
        <f aca="false">IF(OR($I2407="",$I2407="NR"),0,IFERROR(MATCH($I2407,GradeList,0),0))</f>
        <v>0</v>
      </c>
      <c r="P2407" s="64" t="n">
        <f aca="false">IF(AND($M2407&gt;0,ISNUMBER(MATCH($F2407,Lists!$A$2:$A$5,0)),ISNUMBER(MATCH($G2407,Lists!$B$2:$B$7,0)),OR($H2407="",$N2407&gt;0),OR($I2407="",$I2407="NR",$O2407&gt;0),IF(ISNUMBER($J2407),AND($J2407&gt;=0,$J2407=INT($J2407)),FALSE())),$J2407,0)</f>
        <v>0</v>
      </c>
      <c r="Q2407" s="64" t="n">
        <f aca="false">IF(AND($P2407&gt;0,$O2407&gt;0),$P2407,0)</f>
        <v>0</v>
      </c>
      <c r="R2407" s="64" t="n">
        <f aca="false">IF(AND($Q2407&gt;0,$O2407&gt;=AtRank),$Q2407,0)</f>
        <v>0</v>
      </c>
      <c r="S2407" s="64" t="n">
        <f aca="false">IF(AND($Q2407&gt;0,$O2407&gt;=AboveRank),$Q2407,0)</f>
        <v>0</v>
      </c>
      <c r="T2407" s="64" t="n">
        <f aca="false">IF($K2407="Less",$P2407,0)</f>
        <v>0</v>
      </c>
      <c r="U2407" s="64" t="n">
        <f aca="false">IF($K2407="Expected",$P2407,0)</f>
        <v>0</v>
      </c>
      <c r="V2407" s="64" t="n">
        <f aca="false">IF($K2407="Better",$P2407,0)</f>
        <v>0</v>
      </c>
      <c r="W2407" s="64" t="n">
        <f aca="false">IF($K2407="U – needs rule",$P2407,0)</f>
        <v>0</v>
      </c>
      <c r="X2407" s="64" t="n">
        <f aca="false">IF($K2407="No Start (attainment only)",$P2407,0)</f>
        <v>0</v>
      </c>
    </row>
    <row r="2408" customFormat="false" ht="15" hidden="false" customHeight="false" outlineLevel="0" collapsed="false">
      <c r="A2408" s="60"/>
      <c r="B2408" s="61" t="str">
        <f aca="false">IF($M2408=0,"",INDEX(Classes!$E$6:$E$420,$M2408))</f>
        <v/>
      </c>
      <c r="C2408" s="62" t="str">
        <f aca="false">IF($M2408=0,"",INDEX(Classes!$H$6:$H$420,$M2408))</f>
        <v/>
      </c>
      <c r="D2408" s="61" t="str">
        <f aca="false">IF($M2408=0,"",INDEX(Classes!$B$6:$B$420,$M2408))</f>
        <v/>
      </c>
      <c r="E2408" s="61" t="str">
        <f aca="false">IF($M2408=0,"",INDEX(Classes!$C$6:$C$420,$M2408))</f>
        <v/>
      </c>
      <c r="F2408" s="63"/>
      <c r="G2408" s="63"/>
      <c r="H2408" s="60"/>
      <c r="I2408" s="60"/>
      <c r="J2408" s="63"/>
      <c r="K2408" s="61" t="str">
        <f aca="false">IF($P2408=0,"",IF($F2408="Baseline","— Baseline",IF($O2408=0,"No result",IF($N2408=0,"No Start (attainment only)",IF(OR($N2408=1,$O2408=1),"U – needs rule",INDEX(MxBody,MATCH($I2408,MxCurr,0),MATCH($H2408,MxStart,0)))))))</f>
        <v/>
      </c>
      <c r="L2408" s="62" t="str">
        <f aca="false">IF(COUNTA($A2408,$F2408,$G2408,$H2408,$I2408,$J2408)=0,"",IF($M2408=0,"✖ كود الصف غير موجود",IF(ISNA(MATCH($F2408,Lists!$A$2:$A$5,0)),"✖ الفترة غير صحيحة",IF(ISNA(MATCH($G2408,Lists!$B$2:$B$7,0)),"✖ المجموعة غير صحيحة",IF(NOT(OR($H2408="",$N2408&gt;0)),"✖ Start غير صحيح",IF(NOT(OR($I2408="",$I2408="NR",$O2408&gt;0)),"✖ Current غير صحيح",IF(NOT(IF(ISNUMBER($J2408),AND($J2408&gt;=0,$J2408=INT($J2408)),FALSE())),"✖ العدد يجب أن يكون صحيحًا ≥ 0",IF(AND($F2408="Baseline",$H2408&lt;&gt;""),"⚠ Baseline: Start لا يدخل في التقدم",IF($K2408="No Start (attainment only)","ℹ تحصيل فقط (بدون Start)",IF($K2408="U – needs rule","ℹ حالة U تحتاج قاعدة معتمدة",IF($K2408="No result","ℹ بدون نتيجة (يُستبعد من التحصيل)","OK")))))))))))</f>
        <v/>
      </c>
      <c r="M2408" s="64" t="n">
        <f aca="false">IF($A2408="",0,IFERROR(MATCH($A2408,Classes!$A$6:$A$420,0),0))</f>
        <v>0</v>
      </c>
      <c r="N2408" s="64" t="n">
        <f aca="false">IF($H2408="",0,IFERROR(MATCH($H2408,GradeList,0),0))</f>
        <v>0</v>
      </c>
      <c r="O2408" s="64" t="n">
        <f aca="false">IF(OR($I2408="",$I2408="NR"),0,IFERROR(MATCH($I2408,GradeList,0),0))</f>
        <v>0</v>
      </c>
      <c r="P2408" s="64" t="n">
        <f aca="false">IF(AND($M2408&gt;0,ISNUMBER(MATCH($F2408,Lists!$A$2:$A$5,0)),ISNUMBER(MATCH($G2408,Lists!$B$2:$B$7,0)),OR($H2408="",$N2408&gt;0),OR($I2408="",$I2408="NR",$O2408&gt;0),IF(ISNUMBER($J2408),AND($J2408&gt;=0,$J2408=INT($J2408)),FALSE())),$J2408,0)</f>
        <v>0</v>
      </c>
      <c r="Q2408" s="64" t="n">
        <f aca="false">IF(AND($P2408&gt;0,$O2408&gt;0),$P2408,0)</f>
        <v>0</v>
      </c>
      <c r="R2408" s="64" t="n">
        <f aca="false">IF(AND($Q2408&gt;0,$O2408&gt;=AtRank),$Q2408,0)</f>
        <v>0</v>
      </c>
      <c r="S2408" s="64" t="n">
        <f aca="false">IF(AND($Q2408&gt;0,$O2408&gt;=AboveRank),$Q2408,0)</f>
        <v>0</v>
      </c>
      <c r="T2408" s="64" t="n">
        <f aca="false">IF($K2408="Less",$P2408,0)</f>
        <v>0</v>
      </c>
      <c r="U2408" s="64" t="n">
        <f aca="false">IF($K2408="Expected",$P2408,0)</f>
        <v>0</v>
      </c>
      <c r="V2408" s="64" t="n">
        <f aca="false">IF($K2408="Better",$P2408,0)</f>
        <v>0</v>
      </c>
      <c r="W2408" s="64" t="n">
        <f aca="false">IF($K2408="U – needs rule",$P2408,0)</f>
        <v>0</v>
      </c>
      <c r="X2408" s="64" t="n">
        <f aca="false">IF($K2408="No Start (attainment only)",$P2408,0)</f>
        <v>0</v>
      </c>
    </row>
    <row r="2409" customFormat="false" ht="15" hidden="false" customHeight="false" outlineLevel="0" collapsed="false">
      <c r="A2409" s="60"/>
      <c r="B2409" s="61" t="str">
        <f aca="false">IF($M2409=0,"",INDEX(Classes!$E$6:$E$420,$M2409))</f>
        <v/>
      </c>
      <c r="C2409" s="62" t="str">
        <f aca="false">IF($M2409=0,"",INDEX(Classes!$H$6:$H$420,$M2409))</f>
        <v/>
      </c>
      <c r="D2409" s="61" t="str">
        <f aca="false">IF($M2409=0,"",INDEX(Classes!$B$6:$B$420,$M2409))</f>
        <v/>
      </c>
      <c r="E2409" s="61" t="str">
        <f aca="false">IF($M2409=0,"",INDEX(Classes!$C$6:$C$420,$M2409))</f>
        <v/>
      </c>
      <c r="F2409" s="63"/>
      <c r="G2409" s="63"/>
      <c r="H2409" s="60"/>
      <c r="I2409" s="60"/>
      <c r="J2409" s="63"/>
      <c r="K2409" s="61" t="str">
        <f aca="false">IF($P2409=0,"",IF($F2409="Baseline","— Baseline",IF($O2409=0,"No result",IF($N2409=0,"No Start (attainment only)",IF(OR($N2409=1,$O2409=1),"U – needs rule",INDEX(MxBody,MATCH($I2409,MxCurr,0),MATCH($H2409,MxStart,0)))))))</f>
        <v/>
      </c>
      <c r="L2409" s="62" t="str">
        <f aca="false">IF(COUNTA($A2409,$F2409,$G2409,$H2409,$I2409,$J2409)=0,"",IF($M2409=0,"✖ كود الصف غير موجود",IF(ISNA(MATCH($F2409,Lists!$A$2:$A$5,0)),"✖ الفترة غير صحيحة",IF(ISNA(MATCH($G2409,Lists!$B$2:$B$7,0)),"✖ المجموعة غير صحيحة",IF(NOT(OR($H2409="",$N2409&gt;0)),"✖ Start غير صحيح",IF(NOT(OR($I2409="",$I2409="NR",$O2409&gt;0)),"✖ Current غير صحيح",IF(NOT(IF(ISNUMBER($J2409),AND($J2409&gt;=0,$J2409=INT($J2409)),FALSE())),"✖ العدد يجب أن يكون صحيحًا ≥ 0",IF(AND($F2409="Baseline",$H2409&lt;&gt;""),"⚠ Baseline: Start لا يدخل في التقدم",IF($K2409="No Start (attainment only)","ℹ تحصيل فقط (بدون Start)",IF($K2409="U – needs rule","ℹ حالة U تحتاج قاعدة معتمدة",IF($K2409="No result","ℹ بدون نتيجة (يُستبعد من التحصيل)","OK")))))))))))</f>
        <v/>
      </c>
      <c r="M2409" s="64" t="n">
        <f aca="false">IF($A2409="",0,IFERROR(MATCH($A2409,Classes!$A$6:$A$420,0),0))</f>
        <v>0</v>
      </c>
      <c r="N2409" s="64" t="n">
        <f aca="false">IF($H2409="",0,IFERROR(MATCH($H2409,GradeList,0),0))</f>
        <v>0</v>
      </c>
      <c r="O2409" s="64" t="n">
        <f aca="false">IF(OR($I2409="",$I2409="NR"),0,IFERROR(MATCH($I2409,GradeList,0),0))</f>
        <v>0</v>
      </c>
      <c r="P2409" s="64" t="n">
        <f aca="false">IF(AND($M2409&gt;0,ISNUMBER(MATCH($F2409,Lists!$A$2:$A$5,0)),ISNUMBER(MATCH($G2409,Lists!$B$2:$B$7,0)),OR($H2409="",$N2409&gt;0),OR($I2409="",$I2409="NR",$O2409&gt;0),IF(ISNUMBER($J2409),AND($J2409&gt;=0,$J2409=INT($J2409)),FALSE())),$J2409,0)</f>
        <v>0</v>
      </c>
      <c r="Q2409" s="64" t="n">
        <f aca="false">IF(AND($P2409&gt;0,$O2409&gt;0),$P2409,0)</f>
        <v>0</v>
      </c>
      <c r="R2409" s="64" t="n">
        <f aca="false">IF(AND($Q2409&gt;0,$O2409&gt;=AtRank),$Q2409,0)</f>
        <v>0</v>
      </c>
      <c r="S2409" s="64" t="n">
        <f aca="false">IF(AND($Q2409&gt;0,$O2409&gt;=AboveRank),$Q2409,0)</f>
        <v>0</v>
      </c>
      <c r="T2409" s="64" t="n">
        <f aca="false">IF($K2409="Less",$P2409,0)</f>
        <v>0</v>
      </c>
      <c r="U2409" s="64" t="n">
        <f aca="false">IF($K2409="Expected",$P2409,0)</f>
        <v>0</v>
      </c>
      <c r="V2409" s="64" t="n">
        <f aca="false">IF($K2409="Better",$P2409,0)</f>
        <v>0</v>
      </c>
      <c r="W2409" s="64" t="n">
        <f aca="false">IF($K2409="U – needs rule",$P2409,0)</f>
        <v>0</v>
      </c>
      <c r="X2409" s="64" t="n">
        <f aca="false">IF($K2409="No Start (attainment only)",$P2409,0)</f>
        <v>0</v>
      </c>
    </row>
    <row r="2410" customFormat="false" ht="15" hidden="false" customHeight="false" outlineLevel="0" collapsed="false">
      <c r="A2410" s="60"/>
      <c r="B2410" s="61" t="str">
        <f aca="false">IF($M2410=0,"",INDEX(Classes!$E$6:$E$420,$M2410))</f>
        <v/>
      </c>
      <c r="C2410" s="62" t="str">
        <f aca="false">IF($M2410=0,"",INDEX(Classes!$H$6:$H$420,$M2410))</f>
        <v/>
      </c>
      <c r="D2410" s="61" t="str">
        <f aca="false">IF($M2410=0,"",INDEX(Classes!$B$6:$B$420,$M2410))</f>
        <v/>
      </c>
      <c r="E2410" s="61" t="str">
        <f aca="false">IF($M2410=0,"",INDEX(Classes!$C$6:$C$420,$M2410))</f>
        <v/>
      </c>
      <c r="F2410" s="63"/>
      <c r="G2410" s="63"/>
      <c r="H2410" s="60"/>
      <c r="I2410" s="60"/>
      <c r="J2410" s="63"/>
      <c r="K2410" s="61" t="str">
        <f aca="false">IF($P2410=0,"",IF($F2410="Baseline","— Baseline",IF($O2410=0,"No result",IF($N2410=0,"No Start (attainment only)",IF(OR($N2410=1,$O2410=1),"U – needs rule",INDEX(MxBody,MATCH($I2410,MxCurr,0),MATCH($H2410,MxStart,0)))))))</f>
        <v/>
      </c>
      <c r="L2410" s="62" t="str">
        <f aca="false">IF(COUNTA($A2410,$F2410,$G2410,$H2410,$I2410,$J2410)=0,"",IF($M2410=0,"✖ كود الصف غير موجود",IF(ISNA(MATCH($F2410,Lists!$A$2:$A$5,0)),"✖ الفترة غير صحيحة",IF(ISNA(MATCH($G2410,Lists!$B$2:$B$7,0)),"✖ المجموعة غير صحيحة",IF(NOT(OR($H2410="",$N2410&gt;0)),"✖ Start غير صحيح",IF(NOT(OR($I2410="",$I2410="NR",$O2410&gt;0)),"✖ Current غير صحيح",IF(NOT(IF(ISNUMBER($J2410),AND($J2410&gt;=0,$J2410=INT($J2410)),FALSE())),"✖ العدد يجب أن يكون صحيحًا ≥ 0",IF(AND($F2410="Baseline",$H2410&lt;&gt;""),"⚠ Baseline: Start لا يدخل في التقدم",IF($K2410="No Start (attainment only)","ℹ تحصيل فقط (بدون Start)",IF($K2410="U – needs rule","ℹ حالة U تحتاج قاعدة معتمدة",IF($K2410="No result","ℹ بدون نتيجة (يُستبعد من التحصيل)","OK")))))))))))</f>
        <v/>
      </c>
      <c r="M2410" s="64" t="n">
        <f aca="false">IF($A2410="",0,IFERROR(MATCH($A2410,Classes!$A$6:$A$420,0),0))</f>
        <v>0</v>
      </c>
      <c r="N2410" s="64" t="n">
        <f aca="false">IF($H2410="",0,IFERROR(MATCH($H2410,GradeList,0),0))</f>
        <v>0</v>
      </c>
      <c r="O2410" s="64" t="n">
        <f aca="false">IF(OR($I2410="",$I2410="NR"),0,IFERROR(MATCH($I2410,GradeList,0),0))</f>
        <v>0</v>
      </c>
      <c r="P2410" s="64" t="n">
        <f aca="false">IF(AND($M2410&gt;0,ISNUMBER(MATCH($F2410,Lists!$A$2:$A$5,0)),ISNUMBER(MATCH($G2410,Lists!$B$2:$B$7,0)),OR($H2410="",$N2410&gt;0),OR($I2410="",$I2410="NR",$O2410&gt;0),IF(ISNUMBER($J2410),AND($J2410&gt;=0,$J2410=INT($J2410)),FALSE())),$J2410,0)</f>
        <v>0</v>
      </c>
      <c r="Q2410" s="64" t="n">
        <f aca="false">IF(AND($P2410&gt;0,$O2410&gt;0),$P2410,0)</f>
        <v>0</v>
      </c>
      <c r="R2410" s="64" t="n">
        <f aca="false">IF(AND($Q2410&gt;0,$O2410&gt;=AtRank),$Q2410,0)</f>
        <v>0</v>
      </c>
      <c r="S2410" s="64" t="n">
        <f aca="false">IF(AND($Q2410&gt;0,$O2410&gt;=AboveRank),$Q2410,0)</f>
        <v>0</v>
      </c>
      <c r="T2410" s="64" t="n">
        <f aca="false">IF($K2410="Less",$P2410,0)</f>
        <v>0</v>
      </c>
      <c r="U2410" s="64" t="n">
        <f aca="false">IF($K2410="Expected",$P2410,0)</f>
        <v>0</v>
      </c>
      <c r="V2410" s="64" t="n">
        <f aca="false">IF($K2410="Better",$P2410,0)</f>
        <v>0</v>
      </c>
      <c r="W2410" s="64" t="n">
        <f aca="false">IF($K2410="U – needs rule",$P2410,0)</f>
        <v>0</v>
      </c>
      <c r="X2410" s="64" t="n">
        <f aca="false">IF($K2410="No Start (attainment only)",$P2410,0)</f>
        <v>0</v>
      </c>
    </row>
    <row r="2411" customFormat="false" ht="15" hidden="false" customHeight="false" outlineLevel="0" collapsed="false">
      <c r="A2411" s="60"/>
      <c r="B2411" s="61" t="str">
        <f aca="false">IF($M2411=0,"",INDEX(Classes!$E$6:$E$420,$M2411))</f>
        <v/>
      </c>
      <c r="C2411" s="62" t="str">
        <f aca="false">IF($M2411=0,"",INDEX(Classes!$H$6:$H$420,$M2411))</f>
        <v/>
      </c>
      <c r="D2411" s="61" t="str">
        <f aca="false">IF($M2411=0,"",INDEX(Classes!$B$6:$B$420,$M2411))</f>
        <v/>
      </c>
      <c r="E2411" s="61" t="str">
        <f aca="false">IF($M2411=0,"",INDEX(Classes!$C$6:$C$420,$M2411))</f>
        <v/>
      </c>
      <c r="F2411" s="63"/>
      <c r="G2411" s="63"/>
      <c r="H2411" s="60"/>
      <c r="I2411" s="60"/>
      <c r="J2411" s="63"/>
      <c r="K2411" s="61" t="str">
        <f aca="false">IF($P2411=0,"",IF($F2411="Baseline","— Baseline",IF($O2411=0,"No result",IF($N2411=0,"No Start (attainment only)",IF(OR($N2411=1,$O2411=1),"U – needs rule",INDEX(MxBody,MATCH($I2411,MxCurr,0),MATCH($H2411,MxStart,0)))))))</f>
        <v/>
      </c>
      <c r="L2411" s="62" t="str">
        <f aca="false">IF(COUNTA($A2411,$F2411,$G2411,$H2411,$I2411,$J2411)=0,"",IF($M2411=0,"✖ كود الصف غير موجود",IF(ISNA(MATCH($F2411,Lists!$A$2:$A$5,0)),"✖ الفترة غير صحيحة",IF(ISNA(MATCH($G2411,Lists!$B$2:$B$7,0)),"✖ المجموعة غير صحيحة",IF(NOT(OR($H2411="",$N2411&gt;0)),"✖ Start غير صحيح",IF(NOT(OR($I2411="",$I2411="NR",$O2411&gt;0)),"✖ Current غير صحيح",IF(NOT(IF(ISNUMBER($J2411),AND($J2411&gt;=0,$J2411=INT($J2411)),FALSE())),"✖ العدد يجب أن يكون صحيحًا ≥ 0",IF(AND($F2411="Baseline",$H2411&lt;&gt;""),"⚠ Baseline: Start لا يدخل في التقدم",IF($K2411="No Start (attainment only)","ℹ تحصيل فقط (بدون Start)",IF($K2411="U – needs rule","ℹ حالة U تحتاج قاعدة معتمدة",IF($K2411="No result","ℹ بدون نتيجة (يُستبعد من التحصيل)","OK")))))))))))</f>
        <v/>
      </c>
      <c r="M2411" s="64" t="n">
        <f aca="false">IF($A2411="",0,IFERROR(MATCH($A2411,Classes!$A$6:$A$420,0),0))</f>
        <v>0</v>
      </c>
      <c r="N2411" s="64" t="n">
        <f aca="false">IF($H2411="",0,IFERROR(MATCH($H2411,GradeList,0),0))</f>
        <v>0</v>
      </c>
      <c r="O2411" s="64" t="n">
        <f aca="false">IF(OR($I2411="",$I2411="NR"),0,IFERROR(MATCH($I2411,GradeList,0),0))</f>
        <v>0</v>
      </c>
      <c r="P2411" s="64" t="n">
        <f aca="false">IF(AND($M2411&gt;0,ISNUMBER(MATCH($F2411,Lists!$A$2:$A$5,0)),ISNUMBER(MATCH($G2411,Lists!$B$2:$B$7,0)),OR($H2411="",$N2411&gt;0),OR($I2411="",$I2411="NR",$O2411&gt;0),IF(ISNUMBER($J2411),AND($J2411&gt;=0,$J2411=INT($J2411)),FALSE())),$J2411,0)</f>
        <v>0</v>
      </c>
      <c r="Q2411" s="64" t="n">
        <f aca="false">IF(AND($P2411&gt;0,$O2411&gt;0),$P2411,0)</f>
        <v>0</v>
      </c>
      <c r="R2411" s="64" t="n">
        <f aca="false">IF(AND($Q2411&gt;0,$O2411&gt;=AtRank),$Q2411,0)</f>
        <v>0</v>
      </c>
      <c r="S2411" s="64" t="n">
        <f aca="false">IF(AND($Q2411&gt;0,$O2411&gt;=AboveRank),$Q2411,0)</f>
        <v>0</v>
      </c>
      <c r="T2411" s="64" t="n">
        <f aca="false">IF($K2411="Less",$P2411,0)</f>
        <v>0</v>
      </c>
      <c r="U2411" s="64" t="n">
        <f aca="false">IF($K2411="Expected",$P2411,0)</f>
        <v>0</v>
      </c>
      <c r="V2411" s="64" t="n">
        <f aca="false">IF($K2411="Better",$P2411,0)</f>
        <v>0</v>
      </c>
      <c r="W2411" s="64" t="n">
        <f aca="false">IF($K2411="U – needs rule",$P2411,0)</f>
        <v>0</v>
      </c>
      <c r="X2411" s="64" t="n">
        <f aca="false">IF($K2411="No Start (attainment only)",$P2411,0)</f>
        <v>0</v>
      </c>
    </row>
    <row r="2412" customFormat="false" ht="15" hidden="false" customHeight="false" outlineLevel="0" collapsed="false">
      <c r="A2412" s="60"/>
      <c r="B2412" s="61" t="str">
        <f aca="false">IF($M2412=0,"",INDEX(Classes!$E$6:$E$420,$M2412))</f>
        <v/>
      </c>
      <c r="C2412" s="62" t="str">
        <f aca="false">IF($M2412=0,"",INDEX(Classes!$H$6:$H$420,$M2412))</f>
        <v/>
      </c>
      <c r="D2412" s="61" t="str">
        <f aca="false">IF($M2412=0,"",INDEX(Classes!$B$6:$B$420,$M2412))</f>
        <v/>
      </c>
      <c r="E2412" s="61" t="str">
        <f aca="false">IF($M2412=0,"",INDEX(Classes!$C$6:$C$420,$M2412))</f>
        <v/>
      </c>
      <c r="F2412" s="63"/>
      <c r="G2412" s="63"/>
      <c r="H2412" s="60"/>
      <c r="I2412" s="60"/>
      <c r="J2412" s="63"/>
      <c r="K2412" s="61" t="str">
        <f aca="false">IF($P2412=0,"",IF($F2412="Baseline","— Baseline",IF($O2412=0,"No result",IF($N2412=0,"No Start (attainment only)",IF(OR($N2412=1,$O2412=1),"U – needs rule",INDEX(MxBody,MATCH($I2412,MxCurr,0),MATCH($H2412,MxStart,0)))))))</f>
        <v/>
      </c>
      <c r="L2412" s="62" t="str">
        <f aca="false">IF(COUNTA($A2412,$F2412,$G2412,$H2412,$I2412,$J2412)=0,"",IF($M2412=0,"✖ كود الصف غير موجود",IF(ISNA(MATCH($F2412,Lists!$A$2:$A$5,0)),"✖ الفترة غير صحيحة",IF(ISNA(MATCH($G2412,Lists!$B$2:$B$7,0)),"✖ المجموعة غير صحيحة",IF(NOT(OR($H2412="",$N2412&gt;0)),"✖ Start غير صحيح",IF(NOT(OR($I2412="",$I2412="NR",$O2412&gt;0)),"✖ Current غير صحيح",IF(NOT(IF(ISNUMBER($J2412),AND($J2412&gt;=0,$J2412=INT($J2412)),FALSE())),"✖ العدد يجب أن يكون صحيحًا ≥ 0",IF(AND($F2412="Baseline",$H2412&lt;&gt;""),"⚠ Baseline: Start لا يدخل في التقدم",IF($K2412="No Start (attainment only)","ℹ تحصيل فقط (بدون Start)",IF($K2412="U – needs rule","ℹ حالة U تحتاج قاعدة معتمدة",IF($K2412="No result","ℹ بدون نتيجة (يُستبعد من التحصيل)","OK")))))))))))</f>
        <v/>
      </c>
      <c r="M2412" s="64" t="n">
        <f aca="false">IF($A2412="",0,IFERROR(MATCH($A2412,Classes!$A$6:$A$420,0),0))</f>
        <v>0</v>
      </c>
      <c r="N2412" s="64" t="n">
        <f aca="false">IF($H2412="",0,IFERROR(MATCH($H2412,GradeList,0),0))</f>
        <v>0</v>
      </c>
      <c r="O2412" s="64" t="n">
        <f aca="false">IF(OR($I2412="",$I2412="NR"),0,IFERROR(MATCH($I2412,GradeList,0),0))</f>
        <v>0</v>
      </c>
      <c r="P2412" s="64" t="n">
        <f aca="false">IF(AND($M2412&gt;0,ISNUMBER(MATCH($F2412,Lists!$A$2:$A$5,0)),ISNUMBER(MATCH($G2412,Lists!$B$2:$B$7,0)),OR($H2412="",$N2412&gt;0),OR($I2412="",$I2412="NR",$O2412&gt;0),IF(ISNUMBER($J2412),AND($J2412&gt;=0,$J2412=INT($J2412)),FALSE())),$J2412,0)</f>
        <v>0</v>
      </c>
      <c r="Q2412" s="64" t="n">
        <f aca="false">IF(AND($P2412&gt;0,$O2412&gt;0),$P2412,0)</f>
        <v>0</v>
      </c>
      <c r="R2412" s="64" t="n">
        <f aca="false">IF(AND($Q2412&gt;0,$O2412&gt;=AtRank),$Q2412,0)</f>
        <v>0</v>
      </c>
      <c r="S2412" s="64" t="n">
        <f aca="false">IF(AND($Q2412&gt;0,$O2412&gt;=AboveRank),$Q2412,0)</f>
        <v>0</v>
      </c>
      <c r="T2412" s="64" t="n">
        <f aca="false">IF($K2412="Less",$P2412,0)</f>
        <v>0</v>
      </c>
      <c r="U2412" s="64" t="n">
        <f aca="false">IF($K2412="Expected",$P2412,0)</f>
        <v>0</v>
      </c>
      <c r="V2412" s="64" t="n">
        <f aca="false">IF($K2412="Better",$P2412,0)</f>
        <v>0</v>
      </c>
      <c r="W2412" s="64" t="n">
        <f aca="false">IF($K2412="U – needs rule",$P2412,0)</f>
        <v>0</v>
      </c>
      <c r="X2412" s="64" t="n">
        <f aca="false">IF($K2412="No Start (attainment only)",$P2412,0)</f>
        <v>0</v>
      </c>
    </row>
    <row r="2413" customFormat="false" ht="15" hidden="false" customHeight="false" outlineLevel="0" collapsed="false">
      <c r="A2413" s="60"/>
      <c r="B2413" s="61" t="str">
        <f aca="false">IF($M2413=0,"",INDEX(Classes!$E$6:$E$420,$M2413))</f>
        <v/>
      </c>
      <c r="C2413" s="62" t="str">
        <f aca="false">IF($M2413=0,"",INDEX(Classes!$H$6:$H$420,$M2413))</f>
        <v/>
      </c>
      <c r="D2413" s="61" t="str">
        <f aca="false">IF($M2413=0,"",INDEX(Classes!$B$6:$B$420,$M2413))</f>
        <v/>
      </c>
      <c r="E2413" s="61" t="str">
        <f aca="false">IF($M2413=0,"",INDEX(Classes!$C$6:$C$420,$M2413))</f>
        <v/>
      </c>
      <c r="F2413" s="63"/>
      <c r="G2413" s="63"/>
      <c r="H2413" s="60"/>
      <c r="I2413" s="60"/>
      <c r="J2413" s="63"/>
      <c r="K2413" s="61" t="str">
        <f aca="false">IF($P2413=0,"",IF($F2413="Baseline","— Baseline",IF($O2413=0,"No result",IF($N2413=0,"No Start (attainment only)",IF(OR($N2413=1,$O2413=1),"U – needs rule",INDEX(MxBody,MATCH($I2413,MxCurr,0),MATCH($H2413,MxStart,0)))))))</f>
        <v/>
      </c>
      <c r="L2413" s="62" t="str">
        <f aca="false">IF(COUNTA($A2413,$F2413,$G2413,$H2413,$I2413,$J2413)=0,"",IF($M2413=0,"✖ كود الصف غير موجود",IF(ISNA(MATCH($F2413,Lists!$A$2:$A$5,0)),"✖ الفترة غير صحيحة",IF(ISNA(MATCH($G2413,Lists!$B$2:$B$7,0)),"✖ المجموعة غير صحيحة",IF(NOT(OR($H2413="",$N2413&gt;0)),"✖ Start غير صحيح",IF(NOT(OR($I2413="",$I2413="NR",$O2413&gt;0)),"✖ Current غير صحيح",IF(NOT(IF(ISNUMBER($J2413),AND($J2413&gt;=0,$J2413=INT($J2413)),FALSE())),"✖ العدد يجب أن يكون صحيحًا ≥ 0",IF(AND($F2413="Baseline",$H2413&lt;&gt;""),"⚠ Baseline: Start لا يدخل في التقدم",IF($K2413="No Start (attainment only)","ℹ تحصيل فقط (بدون Start)",IF($K2413="U – needs rule","ℹ حالة U تحتاج قاعدة معتمدة",IF($K2413="No result","ℹ بدون نتيجة (يُستبعد من التحصيل)","OK")))))))))))</f>
        <v/>
      </c>
      <c r="M2413" s="64" t="n">
        <f aca="false">IF($A2413="",0,IFERROR(MATCH($A2413,Classes!$A$6:$A$420,0),0))</f>
        <v>0</v>
      </c>
      <c r="N2413" s="64" t="n">
        <f aca="false">IF($H2413="",0,IFERROR(MATCH($H2413,GradeList,0),0))</f>
        <v>0</v>
      </c>
      <c r="O2413" s="64" t="n">
        <f aca="false">IF(OR($I2413="",$I2413="NR"),0,IFERROR(MATCH($I2413,GradeList,0),0))</f>
        <v>0</v>
      </c>
      <c r="P2413" s="64" t="n">
        <f aca="false">IF(AND($M2413&gt;0,ISNUMBER(MATCH($F2413,Lists!$A$2:$A$5,0)),ISNUMBER(MATCH($G2413,Lists!$B$2:$B$7,0)),OR($H2413="",$N2413&gt;0),OR($I2413="",$I2413="NR",$O2413&gt;0),IF(ISNUMBER($J2413),AND($J2413&gt;=0,$J2413=INT($J2413)),FALSE())),$J2413,0)</f>
        <v>0</v>
      </c>
      <c r="Q2413" s="64" t="n">
        <f aca="false">IF(AND($P2413&gt;0,$O2413&gt;0),$P2413,0)</f>
        <v>0</v>
      </c>
      <c r="R2413" s="64" t="n">
        <f aca="false">IF(AND($Q2413&gt;0,$O2413&gt;=AtRank),$Q2413,0)</f>
        <v>0</v>
      </c>
      <c r="S2413" s="64" t="n">
        <f aca="false">IF(AND($Q2413&gt;0,$O2413&gt;=AboveRank),$Q2413,0)</f>
        <v>0</v>
      </c>
      <c r="T2413" s="64" t="n">
        <f aca="false">IF($K2413="Less",$P2413,0)</f>
        <v>0</v>
      </c>
      <c r="U2413" s="64" t="n">
        <f aca="false">IF($K2413="Expected",$P2413,0)</f>
        <v>0</v>
      </c>
      <c r="V2413" s="64" t="n">
        <f aca="false">IF($K2413="Better",$P2413,0)</f>
        <v>0</v>
      </c>
      <c r="W2413" s="64" t="n">
        <f aca="false">IF($K2413="U – needs rule",$P2413,0)</f>
        <v>0</v>
      </c>
      <c r="X2413" s="64" t="n">
        <f aca="false">IF($K2413="No Start (attainment only)",$P2413,0)</f>
        <v>0</v>
      </c>
    </row>
    <row r="2414" customFormat="false" ht="15" hidden="false" customHeight="false" outlineLevel="0" collapsed="false">
      <c r="A2414" s="60"/>
      <c r="B2414" s="61" t="str">
        <f aca="false">IF($M2414=0,"",INDEX(Classes!$E$6:$E$420,$M2414))</f>
        <v/>
      </c>
      <c r="C2414" s="62" t="str">
        <f aca="false">IF($M2414=0,"",INDEX(Classes!$H$6:$H$420,$M2414))</f>
        <v/>
      </c>
      <c r="D2414" s="61" t="str">
        <f aca="false">IF($M2414=0,"",INDEX(Classes!$B$6:$B$420,$M2414))</f>
        <v/>
      </c>
      <c r="E2414" s="61" t="str">
        <f aca="false">IF($M2414=0,"",INDEX(Classes!$C$6:$C$420,$M2414))</f>
        <v/>
      </c>
      <c r="F2414" s="63"/>
      <c r="G2414" s="63"/>
      <c r="H2414" s="60"/>
      <c r="I2414" s="60"/>
      <c r="J2414" s="63"/>
      <c r="K2414" s="61" t="str">
        <f aca="false">IF($P2414=0,"",IF($F2414="Baseline","— Baseline",IF($O2414=0,"No result",IF($N2414=0,"No Start (attainment only)",IF(OR($N2414=1,$O2414=1),"U – needs rule",INDEX(MxBody,MATCH($I2414,MxCurr,0),MATCH($H2414,MxStart,0)))))))</f>
        <v/>
      </c>
      <c r="L2414" s="62" t="str">
        <f aca="false">IF(COUNTA($A2414,$F2414,$G2414,$H2414,$I2414,$J2414)=0,"",IF($M2414=0,"✖ كود الصف غير موجود",IF(ISNA(MATCH($F2414,Lists!$A$2:$A$5,0)),"✖ الفترة غير صحيحة",IF(ISNA(MATCH($G2414,Lists!$B$2:$B$7,0)),"✖ المجموعة غير صحيحة",IF(NOT(OR($H2414="",$N2414&gt;0)),"✖ Start غير صحيح",IF(NOT(OR($I2414="",$I2414="NR",$O2414&gt;0)),"✖ Current غير صحيح",IF(NOT(IF(ISNUMBER($J2414),AND($J2414&gt;=0,$J2414=INT($J2414)),FALSE())),"✖ العدد يجب أن يكون صحيحًا ≥ 0",IF(AND($F2414="Baseline",$H2414&lt;&gt;""),"⚠ Baseline: Start لا يدخل في التقدم",IF($K2414="No Start (attainment only)","ℹ تحصيل فقط (بدون Start)",IF($K2414="U – needs rule","ℹ حالة U تحتاج قاعدة معتمدة",IF($K2414="No result","ℹ بدون نتيجة (يُستبعد من التحصيل)","OK")))))))))))</f>
        <v/>
      </c>
      <c r="M2414" s="64" t="n">
        <f aca="false">IF($A2414="",0,IFERROR(MATCH($A2414,Classes!$A$6:$A$420,0),0))</f>
        <v>0</v>
      </c>
      <c r="N2414" s="64" t="n">
        <f aca="false">IF($H2414="",0,IFERROR(MATCH($H2414,GradeList,0),0))</f>
        <v>0</v>
      </c>
      <c r="O2414" s="64" t="n">
        <f aca="false">IF(OR($I2414="",$I2414="NR"),0,IFERROR(MATCH($I2414,GradeList,0),0))</f>
        <v>0</v>
      </c>
      <c r="P2414" s="64" t="n">
        <f aca="false">IF(AND($M2414&gt;0,ISNUMBER(MATCH($F2414,Lists!$A$2:$A$5,0)),ISNUMBER(MATCH($G2414,Lists!$B$2:$B$7,0)),OR($H2414="",$N2414&gt;0),OR($I2414="",$I2414="NR",$O2414&gt;0),IF(ISNUMBER($J2414),AND($J2414&gt;=0,$J2414=INT($J2414)),FALSE())),$J2414,0)</f>
        <v>0</v>
      </c>
      <c r="Q2414" s="64" t="n">
        <f aca="false">IF(AND($P2414&gt;0,$O2414&gt;0),$P2414,0)</f>
        <v>0</v>
      </c>
      <c r="R2414" s="64" t="n">
        <f aca="false">IF(AND($Q2414&gt;0,$O2414&gt;=AtRank),$Q2414,0)</f>
        <v>0</v>
      </c>
      <c r="S2414" s="64" t="n">
        <f aca="false">IF(AND($Q2414&gt;0,$O2414&gt;=AboveRank),$Q2414,0)</f>
        <v>0</v>
      </c>
      <c r="T2414" s="64" t="n">
        <f aca="false">IF($K2414="Less",$P2414,0)</f>
        <v>0</v>
      </c>
      <c r="U2414" s="64" t="n">
        <f aca="false">IF($K2414="Expected",$P2414,0)</f>
        <v>0</v>
      </c>
      <c r="V2414" s="64" t="n">
        <f aca="false">IF($K2414="Better",$P2414,0)</f>
        <v>0</v>
      </c>
      <c r="W2414" s="64" t="n">
        <f aca="false">IF($K2414="U – needs rule",$P2414,0)</f>
        <v>0</v>
      </c>
      <c r="X2414" s="64" t="n">
        <f aca="false">IF($K2414="No Start (attainment only)",$P2414,0)</f>
        <v>0</v>
      </c>
    </row>
    <row r="2415" customFormat="false" ht="15" hidden="false" customHeight="false" outlineLevel="0" collapsed="false">
      <c r="A2415" s="60"/>
      <c r="B2415" s="61" t="str">
        <f aca="false">IF($M2415=0,"",INDEX(Classes!$E$6:$E$420,$M2415))</f>
        <v/>
      </c>
      <c r="C2415" s="62" t="str">
        <f aca="false">IF($M2415=0,"",INDEX(Classes!$H$6:$H$420,$M2415))</f>
        <v/>
      </c>
      <c r="D2415" s="61" t="str">
        <f aca="false">IF($M2415=0,"",INDEX(Classes!$B$6:$B$420,$M2415))</f>
        <v/>
      </c>
      <c r="E2415" s="61" t="str">
        <f aca="false">IF($M2415=0,"",INDEX(Classes!$C$6:$C$420,$M2415))</f>
        <v/>
      </c>
      <c r="F2415" s="63"/>
      <c r="G2415" s="63"/>
      <c r="H2415" s="60"/>
      <c r="I2415" s="60"/>
      <c r="J2415" s="63"/>
      <c r="K2415" s="61" t="str">
        <f aca="false">IF($P2415=0,"",IF($F2415="Baseline","— Baseline",IF($O2415=0,"No result",IF($N2415=0,"No Start (attainment only)",IF(OR($N2415=1,$O2415=1),"U – needs rule",INDEX(MxBody,MATCH($I2415,MxCurr,0),MATCH($H2415,MxStart,0)))))))</f>
        <v/>
      </c>
      <c r="L2415" s="62" t="str">
        <f aca="false">IF(COUNTA($A2415,$F2415,$G2415,$H2415,$I2415,$J2415)=0,"",IF($M2415=0,"✖ كود الصف غير موجود",IF(ISNA(MATCH($F2415,Lists!$A$2:$A$5,0)),"✖ الفترة غير صحيحة",IF(ISNA(MATCH($G2415,Lists!$B$2:$B$7,0)),"✖ المجموعة غير صحيحة",IF(NOT(OR($H2415="",$N2415&gt;0)),"✖ Start غير صحيح",IF(NOT(OR($I2415="",$I2415="NR",$O2415&gt;0)),"✖ Current غير صحيح",IF(NOT(IF(ISNUMBER($J2415),AND($J2415&gt;=0,$J2415=INT($J2415)),FALSE())),"✖ العدد يجب أن يكون صحيحًا ≥ 0",IF(AND($F2415="Baseline",$H2415&lt;&gt;""),"⚠ Baseline: Start لا يدخل في التقدم",IF($K2415="No Start (attainment only)","ℹ تحصيل فقط (بدون Start)",IF($K2415="U – needs rule","ℹ حالة U تحتاج قاعدة معتمدة",IF($K2415="No result","ℹ بدون نتيجة (يُستبعد من التحصيل)","OK")))))))))))</f>
        <v/>
      </c>
      <c r="M2415" s="64" t="n">
        <f aca="false">IF($A2415="",0,IFERROR(MATCH($A2415,Classes!$A$6:$A$420,0),0))</f>
        <v>0</v>
      </c>
      <c r="N2415" s="64" t="n">
        <f aca="false">IF($H2415="",0,IFERROR(MATCH($H2415,GradeList,0),0))</f>
        <v>0</v>
      </c>
      <c r="O2415" s="64" t="n">
        <f aca="false">IF(OR($I2415="",$I2415="NR"),0,IFERROR(MATCH($I2415,GradeList,0),0))</f>
        <v>0</v>
      </c>
      <c r="P2415" s="64" t="n">
        <f aca="false">IF(AND($M2415&gt;0,ISNUMBER(MATCH($F2415,Lists!$A$2:$A$5,0)),ISNUMBER(MATCH($G2415,Lists!$B$2:$B$7,0)),OR($H2415="",$N2415&gt;0),OR($I2415="",$I2415="NR",$O2415&gt;0),IF(ISNUMBER($J2415),AND($J2415&gt;=0,$J2415=INT($J2415)),FALSE())),$J2415,0)</f>
        <v>0</v>
      </c>
      <c r="Q2415" s="64" t="n">
        <f aca="false">IF(AND($P2415&gt;0,$O2415&gt;0),$P2415,0)</f>
        <v>0</v>
      </c>
      <c r="R2415" s="64" t="n">
        <f aca="false">IF(AND($Q2415&gt;0,$O2415&gt;=AtRank),$Q2415,0)</f>
        <v>0</v>
      </c>
      <c r="S2415" s="64" t="n">
        <f aca="false">IF(AND($Q2415&gt;0,$O2415&gt;=AboveRank),$Q2415,0)</f>
        <v>0</v>
      </c>
      <c r="T2415" s="64" t="n">
        <f aca="false">IF($K2415="Less",$P2415,0)</f>
        <v>0</v>
      </c>
      <c r="U2415" s="64" t="n">
        <f aca="false">IF($K2415="Expected",$P2415,0)</f>
        <v>0</v>
      </c>
      <c r="V2415" s="64" t="n">
        <f aca="false">IF($K2415="Better",$P2415,0)</f>
        <v>0</v>
      </c>
      <c r="W2415" s="64" t="n">
        <f aca="false">IF($K2415="U – needs rule",$P2415,0)</f>
        <v>0</v>
      </c>
      <c r="X2415" s="64" t="n">
        <f aca="false">IF($K2415="No Start (attainment only)",$P2415,0)</f>
        <v>0</v>
      </c>
    </row>
    <row r="2416" customFormat="false" ht="15" hidden="false" customHeight="false" outlineLevel="0" collapsed="false">
      <c r="A2416" s="60"/>
      <c r="B2416" s="61" t="str">
        <f aca="false">IF($M2416=0,"",INDEX(Classes!$E$6:$E$420,$M2416))</f>
        <v/>
      </c>
      <c r="C2416" s="62" t="str">
        <f aca="false">IF($M2416=0,"",INDEX(Classes!$H$6:$H$420,$M2416))</f>
        <v/>
      </c>
      <c r="D2416" s="61" t="str">
        <f aca="false">IF($M2416=0,"",INDEX(Classes!$B$6:$B$420,$M2416))</f>
        <v/>
      </c>
      <c r="E2416" s="61" t="str">
        <f aca="false">IF($M2416=0,"",INDEX(Classes!$C$6:$C$420,$M2416))</f>
        <v/>
      </c>
      <c r="F2416" s="63"/>
      <c r="G2416" s="63"/>
      <c r="H2416" s="60"/>
      <c r="I2416" s="60"/>
      <c r="J2416" s="63"/>
      <c r="K2416" s="61" t="str">
        <f aca="false">IF($P2416=0,"",IF($F2416="Baseline","— Baseline",IF($O2416=0,"No result",IF($N2416=0,"No Start (attainment only)",IF(OR($N2416=1,$O2416=1),"U – needs rule",INDEX(MxBody,MATCH($I2416,MxCurr,0),MATCH($H2416,MxStart,0)))))))</f>
        <v/>
      </c>
      <c r="L2416" s="62" t="str">
        <f aca="false">IF(COUNTA($A2416,$F2416,$G2416,$H2416,$I2416,$J2416)=0,"",IF($M2416=0,"✖ كود الصف غير موجود",IF(ISNA(MATCH($F2416,Lists!$A$2:$A$5,0)),"✖ الفترة غير صحيحة",IF(ISNA(MATCH($G2416,Lists!$B$2:$B$7,0)),"✖ المجموعة غير صحيحة",IF(NOT(OR($H2416="",$N2416&gt;0)),"✖ Start غير صحيح",IF(NOT(OR($I2416="",$I2416="NR",$O2416&gt;0)),"✖ Current غير صحيح",IF(NOT(IF(ISNUMBER($J2416),AND($J2416&gt;=0,$J2416=INT($J2416)),FALSE())),"✖ العدد يجب أن يكون صحيحًا ≥ 0",IF(AND($F2416="Baseline",$H2416&lt;&gt;""),"⚠ Baseline: Start لا يدخل في التقدم",IF($K2416="No Start (attainment only)","ℹ تحصيل فقط (بدون Start)",IF($K2416="U – needs rule","ℹ حالة U تحتاج قاعدة معتمدة",IF($K2416="No result","ℹ بدون نتيجة (يُستبعد من التحصيل)","OK")))))))))))</f>
        <v/>
      </c>
      <c r="M2416" s="64" t="n">
        <f aca="false">IF($A2416="",0,IFERROR(MATCH($A2416,Classes!$A$6:$A$420,0),0))</f>
        <v>0</v>
      </c>
      <c r="N2416" s="64" t="n">
        <f aca="false">IF($H2416="",0,IFERROR(MATCH($H2416,GradeList,0),0))</f>
        <v>0</v>
      </c>
      <c r="O2416" s="64" t="n">
        <f aca="false">IF(OR($I2416="",$I2416="NR"),0,IFERROR(MATCH($I2416,GradeList,0),0))</f>
        <v>0</v>
      </c>
      <c r="P2416" s="64" t="n">
        <f aca="false">IF(AND($M2416&gt;0,ISNUMBER(MATCH($F2416,Lists!$A$2:$A$5,0)),ISNUMBER(MATCH($G2416,Lists!$B$2:$B$7,0)),OR($H2416="",$N2416&gt;0),OR($I2416="",$I2416="NR",$O2416&gt;0),IF(ISNUMBER($J2416),AND($J2416&gt;=0,$J2416=INT($J2416)),FALSE())),$J2416,0)</f>
        <v>0</v>
      </c>
      <c r="Q2416" s="64" t="n">
        <f aca="false">IF(AND($P2416&gt;0,$O2416&gt;0),$P2416,0)</f>
        <v>0</v>
      </c>
      <c r="R2416" s="64" t="n">
        <f aca="false">IF(AND($Q2416&gt;0,$O2416&gt;=AtRank),$Q2416,0)</f>
        <v>0</v>
      </c>
      <c r="S2416" s="64" t="n">
        <f aca="false">IF(AND($Q2416&gt;0,$O2416&gt;=AboveRank),$Q2416,0)</f>
        <v>0</v>
      </c>
      <c r="T2416" s="64" t="n">
        <f aca="false">IF($K2416="Less",$P2416,0)</f>
        <v>0</v>
      </c>
      <c r="U2416" s="64" t="n">
        <f aca="false">IF($K2416="Expected",$P2416,0)</f>
        <v>0</v>
      </c>
      <c r="V2416" s="64" t="n">
        <f aca="false">IF($K2416="Better",$P2416,0)</f>
        <v>0</v>
      </c>
      <c r="W2416" s="64" t="n">
        <f aca="false">IF($K2416="U – needs rule",$P2416,0)</f>
        <v>0</v>
      </c>
      <c r="X2416" s="64" t="n">
        <f aca="false">IF($K2416="No Start (attainment only)",$P2416,0)</f>
        <v>0</v>
      </c>
    </row>
    <row r="2417" customFormat="false" ht="15" hidden="false" customHeight="false" outlineLevel="0" collapsed="false">
      <c r="A2417" s="60"/>
      <c r="B2417" s="61" t="str">
        <f aca="false">IF($M2417=0,"",INDEX(Classes!$E$6:$E$420,$M2417))</f>
        <v/>
      </c>
      <c r="C2417" s="62" t="str">
        <f aca="false">IF($M2417=0,"",INDEX(Classes!$H$6:$H$420,$M2417))</f>
        <v/>
      </c>
      <c r="D2417" s="61" t="str">
        <f aca="false">IF($M2417=0,"",INDEX(Classes!$B$6:$B$420,$M2417))</f>
        <v/>
      </c>
      <c r="E2417" s="61" t="str">
        <f aca="false">IF($M2417=0,"",INDEX(Classes!$C$6:$C$420,$M2417))</f>
        <v/>
      </c>
      <c r="F2417" s="63"/>
      <c r="G2417" s="63"/>
      <c r="H2417" s="60"/>
      <c r="I2417" s="60"/>
      <c r="J2417" s="63"/>
      <c r="K2417" s="61" t="str">
        <f aca="false">IF($P2417=0,"",IF($F2417="Baseline","— Baseline",IF($O2417=0,"No result",IF($N2417=0,"No Start (attainment only)",IF(OR($N2417=1,$O2417=1),"U – needs rule",INDEX(MxBody,MATCH($I2417,MxCurr,0),MATCH($H2417,MxStart,0)))))))</f>
        <v/>
      </c>
      <c r="L2417" s="62" t="str">
        <f aca="false">IF(COUNTA($A2417,$F2417,$G2417,$H2417,$I2417,$J2417)=0,"",IF($M2417=0,"✖ كود الصف غير موجود",IF(ISNA(MATCH($F2417,Lists!$A$2:$A$5,0)),"✖ الفترة غير صحيحة",IF(ISNA(MATCH($G2417,Lists!$B$2:$B$7,0)),"✖ المجموعة غير صحيحة",IF(NOT(OR($H2417="",$N2417&gt;0)),"✖ Start غير صحيح",IF(NOT(OR($I2417="",$I2417="NR",$O2417&gt;0)),"✖ Current غير صحيح",IF(NOT(IF(ISNUMBER($J2417),AND($J2417&gt;=0,$J2417=INT($J2417)),FALSE())),"✖ العدد يجب أن يكون صحيحًا ≥ 0",IF(AND($F2417="Baseline",$H2417&lt;&gt;""),"⚠ Baseline: Start لا يدخل في التقدم",IF($K2417="No Start (attainment only)","ℹ تحصيل فقط (بدون Start)",IF($K2417="U – needs rule","ℹ حالة U تحتاج قاعدة معتمدة",IF($K2417="No result","ℹ بدون نتيجة (يُستبعد من التحصيل)","OK")))))))))))</f>
        <v/>
      </c>
      <c r="M2417" s="64" t="n">
        <f aca="false">IF($A2417="",0,IFERROR(MATCH($A2417,Classes!$A$6:$A$420,0),0))</f>
        <v>0</v>
      </c>
      <c r="N2417" s="64" t="n">
        <f aca="false">IF($H2417="",0,IFERROR(MATCH($H2417,GradeList,0),0))</f>
        <v>0</v>
      </c>
      <c r="O2417" s="64" t="n">
        <f aca="false">IF(OR($I2417="",$I2417="NR"),0,IFERROR(MATCH($I2417,GradeList,0),0))</f>
        <v>0</v>
      </c>
      <c r="P2417" s="64" t="n">
        <f aca="false">IF(AND($M2417&gt;0,ISNUMBER(MATCH($F2417,Lists!$A$2:$A$5,0)),ISNUMBER(MATCH($G2417,Lists!$B$2:$B$7,0)),OR($H2417="",$N2417&gt;0),OR($I2417="",$I2417="NR",$O2417&gt;0),IF(ISNUMBER($J2417),AND($J2417&gt;=0,$J2417=INT($J2417)),FALSE())),$J2417,0)</f>
        <v>0</v>
      </c>
      <c r="Q2417" s="64" t="n">
        <f aca="false">IF(AND($P2417&gt;0,$O2417&gt;0),$P2417,0)</f>
        <v>0</v>
      </c>
      <c r="R2417" s="64" t="n">
        <f aca="false">IF(AND($Q2417&gt;0,$O2417&gt;=AtRank),$Q2417,0)</f>
        <v>0</v>
      </c>
      <c r="S2417" s="64" t="n">
        <f aca="false">IF(AND($Q2417&gt;0,$O2417&gt;=AboveRank),$Q2417,0)</f>
        <v>0</v>
      </c>
      <c r="T2417" s="64" t="n">
        <f aca="false">IF($K2417="Less",$P2417,0)</f>
        <v>0</v>
      </c>
      <c r="U2417" s="64" t="n">
        <f aca="false">IF($K2417="Expected",$P2417,0)</f>
        <v>0</v>
      </c>
      <c r="V2417" s="64" t="n">
        <f aca="false">IF($K2417="Better",$P2417,0)</f>
        <v>0</v>
      </c>
      <c r="W2417" s="64" t="n">
        <f aca="false">IF($K2417="U – needs rule",$P2417,0)</f>
        <v>0</v>
      </c>
      <c r="X2417" s="64" t="n">
        <f aca="false">IF($K2417="No Start (attainment only)",$P2417,0)</f>
        <v>0</v>
      </c>
    </row>
    <row r="2418" customFormat="false" ht="15" hidden="false" customHeight="false" outlineLevel="0" collapsed="false">
      <c r="A2418" s="60"/>
      <c r="B2418" s="61" t="str">
        <f aca="false">IF($M2418=0,"",INDEX(Classes!$E$6:$E$420,$M2418))</f>
        <v/>
      </c>
      <c r="C2418" s="62" t="str">
        <f aca="false">IF($M2418=0,"",INDEX(Classes!$H$6:$H$420,$M2418))</f>
        <v/>
      </c>
      <c r="D2418" s="61" t="str">
        <f aca="false">IF($M2418=0,"",INDEX(Classes!$B$6:$B$420,$M2418))</f>
        <v/>
      </c>
      <c r="E2418" s="61" t="str">
        <f aca="false">IF($M2418=0,"",INDEX(Classes!$C$6:$C$420,$M2418))</f>
        <v/>
      </c>
      <c r="F2418" s="63"/>
      <c r="G2418" s="63"/>
      <c r="H2418" s="60"/>
      <c r="I2418" s="60"/>
      <c r="J2418" s="63"/>
      <c r="K2418" s="61" t="str">
        <f aca="false">IF($P2418=0,"",IF($F2418="Baseline","— Baseline",IF($O2418=0,"No result",IF($N2418=0,"No Start (attainment only)",IF(OR($N2418=1,$O2418=1),"U – needs rule",INDEX(MxBody,MATCH($I2418,MxCurr,0),MATCH($H2418,MxStart,0)))))))</f>
        <v/>
      </c>
      <c r="L2418" s="62" t="str">
        <f aca="false">IF(COUNTA($A2418,$F2418,$G2418,$H2418,$I2418,$J2418)=0,"",IF($M2418=0,"✖ كود الصف غير موجود",IF(ISNA(MATCH($F2418,Lists!$A$2:$A$5,0)),"✖ الفترة غير صحيحة",IF(ISNA(MATCH($G2418,Lists!$B$2:$B$7,0)),"✖ المجموعة غير صحيحة",IF(NOT(OR($H2418="",$N2418&gt;0)),"✖ Start غير صحيح",IF(NOT(OR($I2418="",$I2418="NR",$O2418&gt;0)),"✖ Current غير صحيح",IF(NOT(IF(ISNUMBER($J2418),AND($J2418&gt;=0,$J2418=INT($J2418)),FALSE())),"✖ العدد يجب أن يكون صحيحًا ≥ 0",IF(AND($F2418="Baseline",$H2418&lt;&gt;""),"⚠ Baseline: Start لا يدخل في التقدم",IF($K2418="No Start (attainment only)","ℹ تحصيل فقط (بدون Start)",IF($K2418="U – needs rule","ℹ حالة U تحتاج قاعدة معتمدة",IF($K2418="No result","ℹ بدون نتيجة (يُستبعد من التحصيل)","OK")))))))))))</f>
        <v/>
      </c>
      <c r="M2418" s="64" t="n">
        <f aca="false">IF($A2418="",0,IFERROR(MATCH($A2418,Classes!$A$6:$A$420,0),0))</f>
        <v>0</v>
      </c>
      <c r="N2418" s="64" t="n">
        <f aca="false">IF($H2418="",0,IFERROR(MATCH($H2418,GradeList,0),0))</f>
        <v>0</v>
      </c>
      <c r="O2418" s="64" t="n">
        <f aca="false">IF(OR($I2418="",$I2418="NR"),0,IFERROR(MATCH($I2418,GradeList,0),0))</f>
        <v>0</v>
      </c>
      <c r="P2418" s="64" t="n">
        <f aca="false">IF(AND($M2418&gt;0,ISNUMBER(MATCH($F2418,Lists!$A$2:$A$5,0)),ISNUMBER(MATCH($G2418,Lists!$B$2:$B$7,0)),OR($H2418="",$N2418&gt;0),OR($I2418="",$I2418="NR",$O2418&gt;0),IF(ISNUMBER($J2418),AND($J2418&gt;=0,$J2418=INT($J2418)),FALSE())),$J2418,0)</f>
        <v>0</v>
      </c>
      <c r="Q2418" s="64" t="n">
        <f aca="false">IF(AND($P2418&gt;0,$O2418&gt;0),$P2418,0)</f>
        <v>0</v>
      </c>
      <c r="R2418" s="64" t="n">
        <f aca="false">IF(AND($Q2418&gt;0,$O2418&gt;=AtRank),$Q2418,0)</f>
        <v>0</v>
      </c>
      <c r="S2418" s="64" t="n">
        <f aca="false">IF(AND($Q2418&gt;0,$O2418&gt;=AboveRank),$Q2418,0)</f>
        <v>0</v>
      </c>
      <c r="T2418" s="64" t="n">
        <f aca="false">IF($K2418="Less",$P2418,0)</f>
        <v>0</v>
      </c>
      <c r="U2418" s="64" t="n">
        <f aca="false">IF($K2418="Expected",$P2418,0)</f>
        <v>0</v>
      </c>
      <c r="V2418" s="64" t="n">
        <f aca="false">IF($K2418="Better",$P2418,0)</f>
        <v>0</v>
      </c>
      <c r="W2418" s="64" t="n">
        <f aca="false">IF($K2418="U – needs rule",$P2418,0)</f>
        <v>0</v>
      </c>
      <c r="X2418" s="64" t="n">
        <f aca="false">IF($K2418="No Start (attainment only)",$P2418,0)</f>
        <v>0</v>
      </c>
    </row>
    <row r="2419" customFormat="false" ht="15" hidden="false" customHeight="false" outlineLevel="0" collapsed="false">
      <c r="A2419" s="60"/>
      <c r="B2419" s="61" t="str">
        <f aca="false">IF($M2419=0,"",INDEX(Classes!$E$6:$E$420,$M2419))</f>
        <v/>
      </c>
      <c r="C2419" s="62" t="str">
        <f aca="false">IF($M2419=0,"",INDEX(Classes!$H$6:$H$420,$M2419))</f>
        <v/>
      </c>
      <c r="D2419" s="61" t="str">
        <f aca="false">IF($M2419=0,"",INDEX(Classes!$B$6:$B$420,$M2419))</f>
        <v/>
      </c>
      <c r="E2419" s="61" t="str">
        <f aca="false">IF($M2419=0,"",INDEX(Classes!$C$6:$C$420,$M2419))</f>
        <v/>
      </c>
      <c r="F2419" s="63"/>
      <c r="G2419" s="63"/>
      <c r="H2419" s="60"/>
      <c r="I2419" s="60"/>
      <c r="J2419" s="63"/>
      <c r="K2419" s="61" t="str">
        <f aca="false">IF($P2419=0,"",IF($F2419="Baseline","— Baseline",IF($O2419=0,"No result",IF($N2419=0,"No Start (attainment only)",IF(OR($N2419=1,$O2419=1),"U – needs rule",INDEX(MxBody,MATCH($I2419,MxCurr,0),MATCH($H2419,MxStart,0)))))))</f>
        <v/>
      </c>
      <c r="L2419" s="62" t="str">
        <f aca="false">IF(COUNTA($A2419,$F2419,$G2419,$H2419,$I2419,$J2419)=0,"",IF($M2419=0,"✖ كود الصف غير موجود",IF(ISNA(MATCH($F2419,Lists!$A$2:$A$5,0)),"✖ الفترة غير صحيحة",IF(ISNA(MATCH($G2419,Lists!$B$2:$B$7,0)),"✖ المجموعة غير صحيحة",IF(NOT(OR($H2419="",$N2419&gt;0)),"✖ Start غير صحيح",IF(NOT(OR($I2419="",$I2419="NR",$O2419&gt;0)),"✖ Current غير صحيح",IF(NOT(IF(ISNUMBER($J2419),AND($J2419&gt;=0,$J2419=INT($J2419)),FALSE())),"✖ العدد يجب أن يكون صحيحًا ≥ 0",IF(AND($F2419="Baseline",$H2419&lt;&gt;""),"⚠ Baseline: Start لا يدخل في التقدم",IF($K2419="No Start (attainment only)","ℹ تحصيل فقط (بدون Start)",IF($K2419="U – needs rule","ℹ حالة U تحتاج قاعدة معتمدة",IF($K2419="No result","ℹ بدون نتيجة (يُستبعد من التحصيل)","OK")))))))))))</f>
        <v/>
      </c>
      <c r="M2419" s="64" t="n">
        <f aca="false">IF($A2419="",0,IFERROR(MATCH($A2419,Classes!$A$6:$A$420,0),0))</f>
        <v>0</v>
      </c>
      <c r="N2419" s="64" t="n">
        <f aca="false">IF($H2419="",0,IFERROR(MATCH($H2419,GradeList,0),0))</f>
        <v>0</v>
      </c>
      <c r="O2419" s="64" t="n">
        <f aca="false">IF(OR($I2419="",$I2419="NR"),0,IFERROR(MATCH($I2419,GradeList,0),0))</f>
        <v>0</v>
      </c>
      <c r="P2419" s="64" t="n">
        <f aca="false">IF(AND($M2419&gt;0,ISNUMBER(MATCH($F2419,Lists!$A$2:$A$5,0)),ISNUMBER(MATCH($G2419,Lists!$B$2:$B$7,0)),OR($H2419="",$N2419&gt;0),OR($I2419="",$I2419="NR",$O2419&gt;0),IF(ISNUMBER($J2419),AND($J2419&gt;=0,$J2419=INT($J2419)),FALSE())),$J2419,0)</f>
        <v>0</v>
      </c>
      <c r="Q2419" s="64" t="n">
        <f aca="false">IF(AND($P2419&gt;0,$O2419&gt;0),$P2419,0)</f>
        <v>0</v>
      </c>
      <c r="R2419" s="64" t="n">
        <f aca="false">IF(AND($Q2419&gt;0,$O2419&gt;=AtRank),$Q2419,0)</f>
        <v>0</v>
      </c>
      <c r="S2419" s="64" t="n">
        <f aca="false">IF(AND($Q2419&gt;0,$O2419&gt;=AboveRank),$Q2419,0)</f>
        <v>0</v>
      </c>
      <c r="T2419" s="64" t="n">
        <f aca="false">IF($K2419="Less",$P2419,0)</f>
        <v>0</v>
      </c>
      <c r="U2419" s="64" t="n">
        <f aca="false">IF($K2419="Expected",$P2419,0)</f>
        <v>0</v>
      </c>
      <c r="V2419" s="64" t="n">
        <f aca="false">IF($K2419="Better",$P2419,0)</f>
        <v>0</v>
      </c>
      <c r="W2419" s="64" t="n">
        <f aca="false">IF($K2419="U – needs rule",$P2419,0)</f>
        <v>0</v>
      </c>
      <c r="X2419" s="64" t="n">
        <f aca="false">IF($K2419="No Start (attainment only)",$P2419,0)</f>
        <v>0</v>
      </c>
    </row>
    <row r="2420" customFormat="false" ht="15" hidden="false" customHeight="false" outlineLevel="0" collapsed="false">
      <c r="A2420" s="60"/>
      <c r="B2420" s="61" t="str">
        <f aca="false">IF($M2420=0,"",INDEX(Classes!$E$6:$E$420,$M2420))</f>
        <v/>
      </c>
      <c r="C2420" s="62" t="str">
        <f aca="false">IF($M2420=0,"",INDEX(Classes!$H$6:$H$420,$M2420))</f>
        <v/>
      </c>
      <c r="D2420" s="61" t="str">
        <f aca="false">IF($M2420=0,"",INDEX(Classes!$B$6:$B$420,$M2420))</f>
        <v/>
      </c>
      <c r="E2420" s="61" t="str">
        <f aca="false">IF($M2420=0,"",INDEX(Classes!$C$6:$C$420,$M2420))</f>
        <v/>
      </c>
      <c r="F2420" s="63"/>
      <c r="G2420" s="63"/>
      <c r="H2420" s="60"/>
      <c r="I2420" s="60"/>
      <c r="J2420" s="63"/>
      <c r="K2420" s="61" t="str">
        <f aca="false">IF($P2420=0,"",IF($F2420="Baseline","— Baseline",IF($O2420=0,"No result",IF($N2420=0,"No Start (attainment only)",IF(OR($N2420=1,$O2420=1),"U – needs rule",INDEX(MxBody,MATCH($I2420,MxCurr,0),MATCH($H2420,MxStart,0)))))))</f>
        <v/>
      </c>
      <c r="L2420" s="62" t="str">
        <f aca="false">IF(COUNTA($A2420,$F2420,$G2420,$H2420,$I2420,$J2420)=0,"",IF($M2420=0,"✖ كود الصف غير موجود",IF(ISNA(MATCH($F2420,Lists!$A$2:$A$5,0)),"✖ الفترة غير صحيحة",IF(ISNA(MATCH($G2420,Lists!$B$2:$B$7,0)),"✖ المجموعة غير صحيحة",IF(NOT(OR($H2420="",$N2420&gt;0)),"✖ Start غير صحيح",IF(NOT(OR($I2420="",$I2420="NR",$O2420&gt;0)),"✖ Current غير صحيح",IF(NOT(IF(ISNUMBER($J2420),AND($J2420&gt;=0,$J2420=INT($J2420)),FALSE())),"✖ العدد يجب أن يكون صحيحًا ≥ 0",IF(AND($F2420="Baseline",$H2420&lt;&gt;""),"⚠ Baseline: Start لا يدخل في التقدم",IF($K2420="No Start (attainment only)","ℹ تحصيل فقط (بدون Start)",IF($K2420="U – needs rule","ℹ حالة U تحتاج قاعدة معتمدة",IF($K2420="No result","ℹ بدون نتيجة (يُستبعد من التحصيل)","OK")))))))))))</f>
        <v/>
      </c>
      <c r="M2420" s="64" t="n">
        <f aca="false">IF($A2420="",0,IFERROR(MATCH($A2420,Classes!$A$6:$A$420,0),0))</f>
        <v>0</v>
      </c>
      <c r="N2420" s="64" t="n">
        <f aca="false">IF($H2420="",0,IFERROR(MATCH($H2420,GradeList,0),0))</f>
        <v>0</v>
      </c>
      <c r="O2420" s="64" t="n">
        <f aca="false">IF(OR($I2420="",$I2420="NR"),0,IFERROR(MATCH($I2420,GradeList,0),0))</f>
        <v>0</v>
      </c>
      <c r="P2420" s="64" t="n">
        <f aca="false">IF(AND($M2420&gt;0,ISNUMBER(MATCH($F2420,Lists!$A$2:$A$5,0)),ISNUMBER(MATCH($G2420,Lists!$B$2:$B$7,0)),OR($H2420="",$N2420&gt;0),OR($I2420="",$I2420="NR",$O2420&gt;0),IF(ISNUMBER($J2420),AND($J2420&gt;=0,$J2420=INT($J2420)),FALSE())),$J2420,0)</f>
        <v>0</v>
      </c>
      <c r="Q2420" s="64" t="n">
        <f aca="false">IF(AND($P2420&gt;0,$O2420&gt;0),$P2420,0)</f>
        <v>0</v>
      </c>
      <c r="R2420" s="64" t="n">
        <f aca="false">IF(AND($Q2420&gt;0,$O2420&gt;=AtRank),$Q2420,0)</f>
        <v>0</v>
      </c>
      <c r="S2420" s="64" t="n">
        <f aca="false">IF(AND($Q2420&gt;0,$O2420&gt;=AboveRank),$Q2420,0)</f>
        <v>0</v>
      </c>
      <c r="T2420" s="64" t="n">
        <f aca="false">IF($K2420="Less",$P2420,0)</f>
        <v>0</v>
      </c>
      <c r="U2420" s="64" t="n">
        <f aca="false">IF($K2420="Expected",$P2420,0)</f>
        <v>0</v>
      </c>
      <c r="V2420" s="64" t="n">
        <f aca="false">IF($K2420="Better",$P2420,0)</f>
        <v>0</v>
      </c>
      <c r="W2420" s="64" t="n">
        <f aca="false">IF($K2420="U – needs rule",$P2420,0)</f>
        <v>0</v>
      </c>
      <c r="X2420" s="64" t="n">
        <f aca="false">IF($K2420="No Start (attainment only)",$P2420,0)</f>
        <v>0</v>
      </c>
    </row>
    <row r="2421" customFormat="false" ht="15" hidden="false" customHeight="false" outlineLevel="0" collapsed="false">
      <c r="A2421" s="60"/>
      <c r="B2421" s="61" t="str">
        <f aca="false">IF($M2421=0,"",INDEX(Classes!$E$6:$E$420,$M2421))</f>
        <v/>
      </c>
      <c r="C2421" s="62" t="str">
        <f aca="false">IF($M2421=0,"",INDEX(Classes!$H$6:$H$420,$M2421))</f>
        <v/>
      </c>
      <c r="D2421" s="61" t="str">
        <f aca="false">IF($M2421=0,"",INDEX(Classes!$B$6:$B$420,$M2421))</f>
        <v/>
      </c>
      <c r="E2421" s="61" t="str">
        <f aca="false">IF($M2421=0,"",INDEX(Classes!$C$6:$C$420,$M2421))</f>
        <v/>
      </c>
      <c r="F2421" s="63"/>
      <c r="G2421" s="63"/>
      <c r="H2421" s="60"/>
      <c r="I2421" s="60"/>
      <c r="J2421" s="63"/>
      <c r="K2421" s="61" t="str">
        <f aca="false">IF($P2421=0,"",IF($F2421="Baseline","— Baseline",IF($O2421=0,"No result",IF($N2421=0,"No Start (attainment only)",IF(OR($N2421=1,$O2421=1),"U – needs rule",INDEX(MxBody,MATCH($I2421,MxCurr,0),MATCH($H2421,MxStart,0)))))))</f>
        <v/>
      </c>
      <c r="L2421" s="62" t="str">
        <f aca="false">IF(COUNTA($A2421,$F2421,$G2421,$H2421,$I2421,$J2421)=0,"",IF($M2421=0,"✖ كود الصف غير موجود",IF(ISNA(MATCH($F2421,Lists!$A$2:$A$5,0)),"✖ الفترة غير صحيحة",IF(ISNA(MATCH($G2421,Lists!$B$2:$B$7,0)),"✖ المجموعة غير صحيحة",IF(NOT(OR($H2421="",$N2421&gt;0)),"✖ Start غير صحيح",IF(NOT(OR($I2421="",$I2421="NR",$O2421&gt;0)),"✖ Current غير صحيح",IF(NOT(IF(ISNUMBER($J2421),AND($J2421&gt;=0,$J2421=INT($J2421)),FALSE())),"✖ العدد يجب أن يكون صحيحًا ≥ 0",IF(AND($F2421="Baseline",$H2421&lt;&gt;""),"⚠ Baseline: Start لا يدخل في التقدم",IF($K2421="No Start (attainment only)","ℹ تحصيل فقط (بدون Start)",IF($K2421="U – needs rule","ℹ حالة U تحتاج قاعدة معتمدة",IF($K2421="No result","ℹ بدون نتيجة (يُستبعد من التحصيل)","OK")))))))))))</f>
        <v/>
      </c>
      <c r="M2421" s="64" t="n">
        <f aca="false">IF($A2421="",0,IFERROR(MATCH($A2421,Classes!$A$6:$A$420,0),0))</f>
        <v>0</v>
      </c>
      <c r="N2421" s="64" t="n">
        <f aca="false">IF($H2421="",0,IFERROR(MATCH($H2421,GradeList,0),0))</f>
        <v>0</v>
      </c>
      <c r="O2421" s="64" t="n">
        <f aca="false">IF(OR($I2421="",$I2421="NR"),0,IFERROR(MATCH($I2421,GradeList,0),0))</f>
        <v>0</v>
      </c>
      <c r="P2421" s="64" t="n">
        <f aca="false">IF(AND($M2421&gt;0,ISNUMBER(MATCH($F2421,Lists!$A$2:$A$5,0)),ISNUMBER(MATCH($G2421,Lists!$B$2:$B$7,0)),OR($H2421="",$N2421&gt;0),OR($I2421="",$I2421="NR",$O2421&gt;0),IF(ISNUMBER($J2421),AND($J2421&gt;=0,$J2421=INT($J2421)),FALSE())),$J2421,0)</f>
        <v>0</v>
      </c>
      <c r="Q2421" s="64" t="n">
        <f aca="false">IF(AND($P2421&gt;0,$O2421&gt;0),$P2421,0)</f>
        <v>0</v>
      </c>
      <c r="R2421" s="64" t="n">
        <f aca="false">IF(AND($Q2421&gt;0,$O2421&gt;=AtRank),$Q2421,0)</f>
        <v>0</v>
      </c>
      <c r="S2421" s="64" t="n">
        <f aca="false">IF(AND($Q2421&gt;0,$O2421&gt;=AboveRank),$Q2421,0)</f>
        <v>0</v>
      </c>
      <c r="T2421" s="64" t="n">
        <f aca="false">IF($K2421="Less",$P2421,0)</f>
        <v>0</v>
      </c>
      <c r="U2421" s="64" t="n">
        <f aca="false">IF($K2421="Expected",$P2421,0)</f>
        <v>0</v>
      </c>
      <c r="V2421" s="64" t="n">
        <f aca="false">IF($K2421="Better",$P2421,0)</f>
        <v>0</v>
      </c>
      <c r="W2421" s="64" t="n">
        <f aca="false">IF($K2421="U – needs rule",$P2421,0)</f>
        <v>0</v>
      </c>
      <c r="X2421" s="64" t="n">
        <f aca="false">IF($K2421="No Start (attainment only)",$P2421,0)</f>
        <v>0</v>
      </c>
    </row>
    <row r="2422" customFormat="false" ht="15" hidden="false" customHeight="false" outlineLevel="0" collapsed="false">
      <c r="A2422" s="60"/>
      <c r="B2422" s="61" t="str">
        <f aca="false">IF($M2422=0,"",INDEX(Classes!$E$6:$E$420,$M2422))</f>
        <v/>
      </c>
      <c r="C2422" s="62" t="str">
        <f aca="false">IF($M2422=0,"",INDEX(Classes!$H$6:$H$420,$M2422))</f>
        <v/>
      </c>
      <c r="D2422" s="61" t="str">
        <f aca="false">IF($M2422=0,"",INDEX(Classes!$B$6:$B$420,$M2422))</f>
        <v/>
      </c>
      <c r="E2422" s="61" t="str">
        <f aca="false">IF($M2422=0,"",INDEX(Classes!$C$6:$C$420,$M2422))</f>
        <v/>
      </c>
      <c r="F2422" s="63"/>
      <c r="G2422" s="63"/>
      <c r="H2422" s="60"/>
      <c r="I2422" s="60"/>
      <c r="J2422" s="63"/>
      <c r="K2422" s="61" t="str">
        <f aca="false">IF($P2422=0,"",IF($F2422="Baseline","— Baseline",IF($O2422=0,"No result",IF($N2422=0,"No Start (attainment only)",IF(OR($N2422=1,$O2422=1),"U – needs rule",INDEX(MxBody,MATCH($I2422,MxCurr,0),MATCH($H2422,MxStart,0)))))))</f>
        <v/>
      </c>
      <c r="L2422" s="62" t="str">
        <f aca="false">IF(COUNTA($A2422,$F2422,$G2422,$H2422,$I2422,$J2422)=0,"",IF($M2422=0,"✖ كود الصف غير موجود",IF(ISNA(MATCH($F2422,Lists!$A$2:$A$5,0)),"✖ الفترة غير صحيحة",IF(ISNA(MATCH($G2422,Lists!$B$2:$B$7,0)),"✖ المجموعة غير صحيحة",IF(NOT(OR($H2422="",$N2422&gt;0)),"✖ Start غير صحيح",IF(NOT(OR($I2422="",$I2422="NR",$O2422&gt;0)),"✖ Current غير صحيح",IF(NOT(IF(ISNUMBER($J2422),AND($J2422&gt;=0,$J2422=INT($J2422)),FALSE())),"✖ العدد يجب أن يكون صحيحًا ≥ 0",IF(AND($F2422="Baseline",$H2422&lt;&gt;""),"⚠ Baseline: Start لا يدخل في التقدم",IF($K2422="No Start (attainment only)","ℹ تحصيل فقط (بدون Start)",IF($K2422="U – needs rule","ℹ حالة U تحتاج قاعدة معتمدة",IF($K2422="No result","ℹ بدون نتيجة (يُستبعد من التحصيل)","OK")))))))))))</f>
        <v/>
      </c>
      <c r="M2422" s="64" t="n">
        <f aca="false">IF($A2422="",0,IFERROR(MATCH($A2422,Classes!$A$6:$A$420,0),0))</f>
        <v>0</v>
      </c>
      <c r="N2422" s="64" t="n">
        <f aca="false">IF($H2422="",0,IFERROR(MATCH($H2422,GradeList,0),0))</f>
        <v>0</v>
      </c>
      <c r="O2422" s="64" t="n">
        <f aca="false">IF(OR($I2422="",$I2422="NR"),0,IFERROR(MATCH($I2422,GradeList,0),0))</f>
        <v>0</v>
      </c>
      <c r="P2422" s="64" t="n">
        <f aca="false">IF(AND($M2422&gt;0,ISNUMBER(MATCH($F2422,Lists!$A$2:$A$5,0)),ISNUMBER(MATCH($G2422,Lists!$B$2:$B$7,0)),OR($H2422="",$N2422&gt;0),OR($I2422="",$I2422="NR",$O2422&gt;0),IF(ISNUMBER($J2422),AND($J2422&gt;=0,$J2422=INT($J2422)),FALSE())),$J2422,0)</f>
        <v>0</v>
      </c>
      <c r="Q2422" s="64" t="n">
        <f aca="false">IF(AND($P2422&gt;0,$O2422&gt;0),$P2422,0)</f>
        <v>0</v>
      </c>
      <c r="R2422" s="64" t="n">
        <f aca="false">IF(AND($Q2422&gt;0,$O2422&gt;=AtRank),$Q2422,0)</f>
        <v>0</v>
      </c>
      <c r="S2422" s="64" t="n">
        <f aca="false">IF(AND($Q2422&gt;0,$O2422&gt;=AboveRank),$Q2422,0)</f>
        <v>0</v>
      </c>
      <c r="T2422" s="64" t="n">
        <f aca="false">IF($K2422="Less",$P2422,0)</f>
        <v>0</v>
      </c>
      <c r="U2422" s="64" t="n">
        <f aca="false">IF($K2422="Expected",$P2422,0)</f>
        <v>0</v>
      </c>
      <c r="V2422" s="64" t="n">
        <f aca="false">IF($K2422="Better",$P2422,0)</f>
        <v>0</v>
      </c>
      <c r="W2422" s="64" t="n">
        <f aca="false">IF($K2422="U – needs rule",$P2422,0)</f>
        <v>0</v>
      </c>
      <c r="X2422" s="64" t="n">
        <f aca="false">IF($K2422="No Start (attainment only)",$P2422,0)</f>
        <v>0</v>
      </c>
    </row>
    <row r="2423" customFormat="false" ht="15" hidden="false" customHeight="false" outlineLevel="0" collapsed="false">
      <c r="A2423" s="60"/>
      <c r="B2423" s="61" t="str">
        <f aca="false">IF($M2423=0,"",INDEX(Classes!$E$6:$E$420,$M2423))</f>
        <v/>
      </c>
      <c r="C2423" s="62" t="str">
        <f aca="false">IF($M2423=0,"",INDEX(Classes!$H$6:$H$420,$M2423))</f>
        <v/>
      </c>
      <c r="D2423" s="61" t="str">
        <f aca="false">IF($M2423=0,"",INDEX(Classes!$B$6:$B$420,$M2423))</f>
        <v/>
      </c>
      <c r="E2423" s="61" t="str">
        <f aca="false">IF($M2423=0,"",INDEX(Classes!$C$6:$C$420,$M2423))</f>
        <v/>
      </c>
      <c r="F2423" s="63"/>
      <c r="G2423" s="63"/>
      <c r="H2423" s="60"/>
      <c r="I2423" s="60"/>
      <c r="J2423" s="63"/>
      <c r="K2423" s="61" t="str">
        <f aca="false">IF($P2423=0,"",IF($F2423="Baseline","— Baseline",IF($O2423=0,"No result",IF($N2423=0,"No Start (attainment only)",IF(OR($N2423=1,$O2423=1),"U – needs rule",INDEX(MxBody,MATCH($I2423,MxCurr,0),MATCH($H2423,MxStart,0)))))))</f>
        <v/>
      </c>
      <c r="L2423" s="62" t="str">
        <f aca="false">IF(COUNTA($A2423,$F2423,$G2423,$H2423,$I2423,$J2423)=0,"",IF($M2423=0,"✖ كود الصف غير موجود",IF(ISNA(MATCH($F2423,Lists!$A$2:$A$5,0)),"✖ الفترة غير صحيحة",IF(ISNA(MATCH($G2423,Lists!$B$2:$B$7,0)),"✖ المجموعة غير صحيحة",IF(NOT(OR($H2423="",$N2423&gt;0)),"✖ Start غير صحيح",IF(NOT(OR($I2423="",$I2423="NR",$O2423&gt;0)),"✖ Current غير صحيح",IF(NOT(IF(ISNUMBER($J2423),AND($J2423&gt;=0,$J2423=INT($J2423)),FALSE())),"✖ العدد يجب أن يكون صحيحًا ≥ 0",IF(AND($F2423="Baseline",$H2423&lt;&gt;""),"⚠ Baseline: Start لا يدخل في التقدم",IF($K2423="No Start (attainment only)","ℹ تحصيل فقط (بدون Start)",IF($K2423="U – needs rule","ℹ حالة U تحتاج قاعدة معتمدة",IF($K2423="No result","ℹ بدون نتيجة (يُستبعد من التحصيل)","OK")))))))))))</f>
        <v/>
      </c>
      <c r="M2423" s="64" t="n">
        <f aca="false">IF($A2423="",0,IFERROR(MATCH($A2423,Classes!$A$6:$A$420,0),0))</f>
        <v>0</v>
      </c>
      <c r="N2423" s="64" t="n">
        <f aca="false">IF($H2423="",0,IFERROR(MATCH($H2423,GradeList,0),0))</f>
        <v>0</v>
      </c>
      <c r="O2423" s="64" t="n">
        <f aca="false">IF(OR($I2423="",$I2423="NR"),0,IFERROR(MATCH($I2423,GradeList,0),0))</f>
        <v>0</v>
      </c>
      <c r="P2423" s="64" t="n">
        <f aca="false">IF(AND($M2423&gt;0,ISNUMBER(MATCH($F2423,Lists!$A$2:$A$5,0)),ISNUMBER(MATCH($G2423,Lists!$B$2:$B$7,0)),OR($H2423="",$N2423&gt;0),OR($I2423="",$I2423="NR",$O2423&gt;0),IF(ISNUMBER($J2423),AND($J2423&gt;=0,$J2423=INT($J2423)),FALSE())),$J2423,0)</f>
        <v>0</v>
      </c>
      <c r="Q2423" s="64" t="n">
        <f aca="false">IF(AND($P2423&gt;0,$O2423&gt;0),$P2423,0)</f>
        <v>0</v>
      </c>
      <c r="R2423" s="64" t="n">
        <f aca="false">IF(AND($Q2423&gt;0,$O2423&gt;=AtRank),$Q2423,0)</f>
        <v>0</v>
      </c>
      <c r="S2423" s="64" t="n">
        <f aca="false">IF(AND($Q2423&gt;0,$O2423&gt;=AboveRank),$Q2423,0)</f>
        <v>0</v>
      </c>
      <c r="T2423" s="64" t="n">
        <f aca="false">IF($K2423="Less",$P2423,0)</f>
        <v>0</v>
      </c>
      <c r="U2423" s="64" t="n">
        <f aca="false">IF($K2423="Expected",$P2423,0)</f>
        <v>0</v>
      </c>
      <c r="V2423" s="64" t="n">
        <f aca="false">IF($K2423="Better",$P2423,0)</f>
        <v>0</v>
      </c>
      <c r="W2423" s="64" t="n">
        <f aca="false">IF($K2423="U – needs rule",$P2423,0)</f>
        <v>0</v>
      </c>
      <c r="X2423" s="64" t="n">
        <f aca="false">IF($K2423="No Start (attainment only)",$P2423,0)</f>
        <v>0</v>
      </c>
    </row>
    <row r="2424" customFormat="false" ht="15" hidden="false" customHeight="false" outlineLevel="0" collapsed="false">
      <c r="A2424" s="60"/>
      <c r="B2424" s="61" t="str">
        <f aca="false">IF($M2424=0,"",INDEX(Classes!$E$6:$E$420,$M2424))</f>
        <v/>
      </c>
      <c r="C2424" s="62" t="str">
        <f aca="false">IF($M2424=0,"",INDEX(Classes!$H$6:$H$420,$M2424))</f>
        <v/>
      </c>
      <c r="D2424" s="61" t="str">
        <f aca="false">IF($M2424=0,"",INDEX(Classes!$B$6:$B$420,$M2424))</f>
        <v/>
      </c>
      <c r="E2424" s="61" t="str">
        <f aca="false">IF($M2424=0,"",INDEX(Classes!$C$6:$C$420,$M2424))</f>
        <v/>
      </c>
      <c r="F2424" s="63"/>
      <c r="G2424" s="63"/>
      <c r="H2424" s="60"/>
      <c r="I2424" s="60"/>
      <c r="J2424" s="63"/>
      <c r="K2424" s="61" t="str">
        <f aca="false">IF($P2424=0,"",IF($F2424="Baseline","— Baseline",IF($O2424=0,"No result",IF($N2424=0,"No Start (attainment only)",IF(OR($N2424=1,$O2424=1),"U – needs rule",INDEX(MxBody,MATCH($I2424,MxCurr,0),MATCH($H2424,MxStart,0)))))))</f>
        <v/>
      </c>
      <c r="L2424" s="62" t="str">
        <f aca="false">IF(COUNTA($A2424,$F2424,$G2424,$H2424,$I2424,$J2424)=0,"",IF($M2424=0,"✖ كود الصف غير موجود",IF(ISNA(MATCH($F2424,Lists!$A$2:$A$5,0)),"✖ الفترة غير صحيحة",IF(ISNA(MATCH($G2424,Lists!$B$2:$B$7,0)),"✖ المجموعة غير صحيحة",IF(NOT(OR($H2424="",$N2424&gt;0)),"✖ Start غير صحيح",IF(NOT(OR($I2424="",$I2424="NR",$O2424&gt;0)),"✖ Current غير صحيح",IF(NOT(IF(ISNUMBER($J2424),AND($J2424&gt;=0,$J2424=INT($J2424)),FALSE())),"✖ العدد يجب أن يكون صحيحًا ≥ 0",IF(AND($F2424="Baseline",$H2424&lt;&gt;""),"⚠ Baseline: Start لا يدخل في التقدم",IF($K2424="No Start (attainment only)","ℹ تحصيل فقط (بدون Start)",IF($K2424="U – needs rule","ℹ حالة U تحتاج قاعدة معتمدة",IF($K2424="No result","ℹ بدون نتيجة (يُستبعد من التحصيل)","OK")))))))))))</f>
        <v/>
      </c>
      <c r="M2424" s="64" t="n">
        <f aca="false">IF($A2424="",0,IFERROR(MATCH($A2424,Classes!$A$6:$A$420,0),0))</f>
        <v>0</v>
      </c>
      <c r="N2424" s="64" t="n">
        <f aca="false">IF($H2424="",0,IFERROR(MATCH($H2424,GradeList,0),0))</f>
        <v>0</v>
      </c>
      <c r="O2424" s="64" t="n">
        <f aca="false">IF(OR($I2424="",$I2424="NR"),0,IFERROR(MATCH($I2424,GradeList,0),0))</f>
        <v>0</v>
      </c>
      <c r="P2424" s="64" t="n">
        <f aca="false">IF(AND($M2424&gt;0,ISNUMBER(MATCH($F2424,Lists!$A$2:$A$5,0)),ISNUMBER(MATCH($G2424,Lists!$B$2:$B$7,0)),OR($H2424="",$N2424&gt;0),OR($I2424="",$I2424="NR",$O2424&gt;0),IF(ISNUMBER($J2424),AND($J2424&gt;=0,$J2424=INT($J2424)),FALSE())),$J2424,0)</f>
        <v>0</v>
      </c>
      <c r="Q2424" s="64" t="n">
        <f aca="false">IF(AND($P2424&gt;0,$O2424&gt;0),$P2424,0)</f>
        <v>0</v>
      </c>
      <c r="R2424" s="64" t="n">
        <f aca="false">IF(AND($Q2424&gt;0,$O2424&gt;=AtRank),$Q2424,0)</f>
        <v>0</v>
      </c>
      <c r="S2424" s="64" t="n">
        <f aca="false">IF(AND($Q2424&gt;0,$O2424&gt;=AboveRank),$Q2424,0)</f>
        <v>0</v>
      </c>
      <c r="T2424" s="64" t="n">
        <f aca="false">IF($K2424="Less",$P2424,0)</f>
        <v>0</v>
      </c>
      <c r="U2424" s="64" t="n">
        <f aca="false">IF($K2424="Expected",$P2424,0)</f>
        <v>0</v>
      </c>
      <c r="V2424" s="64" t="n">
        <f aca="false">IF($K2424="Better",$P2424,0)</f>
        <v>0</v>
      </c>
      <c r="W2424" s="64" t="n">
        <f aca="false">IF($K2424="U – needs rule",$P2424,0)</f>
        <v>0</v>
      </c>
      <c r="X2424" s="64" t="n">
        <f aca="false">IF($K2424="No Start (attainment only)",$P2424,0)</f>
        <v>0</v>
      </c>
    </row>
    <row r="2425" customFormat="false" ht="15" hidden="false" customHeight="false" outlineLevel="0" collapsed="false">
      <c r="A2425" s="60"/>
      <c r="B2425" s="61" t="str">
        <f aca="false">IF($M2425=0,"",INDEX(Classes!$E$6:$E$420,$M2425))</f>
        <v/>
      </c>
      <c r="C2425" s="62" t="str">
        <f aca="false">IF($M2425=0,"",INDEX(Classes!$H$6:$H$420,$M2425))</f>
        <v/>
      </c>
      <c r="D2425" s="61" t="str">
        <f aca="false">IF($M2425=0,"",INDEX(Classes!$B$6:$B$420,$M2425))</f>
        <v/>
      </c>
      <c r="E2425" s="61" t="str">
        <f aca="false">IF($M2425=0,"",INDEX(Classes!$C$6:$C$420,$M2425))</f>
        <v/>
      </c>
      <c r="F2425" s="63"/>
      <c r="G2425" s="63"/>
      <c r="H2425" s="60"/>
      <c r="I2425" s="60"/>
      <c r="J2425" s="63"/>
      <c r="K2425" s="61" t="str">
        <f aca="false">IF($P2425=0,"",IF($F2425="Baseline","— Baseline",IF($O2425=0,"No result",IF($N2425=0,"No Start (attainment only)",IF(OR($N2425=1,$O2425=1),"U – needs rule",INDEX(MxBody,MATCH($I2425,MxCurr,0),MATCH($H2425,MxStart,0)))))))</f>
        <v/>
      </c>
      <c r="L2425" s="62" t="str">
        <f aca="false">IF(COUNTA($A2425,$F2425,$G2425,$H2425,$I2425,$J2425)=0,"",IF($M2425=0,"✖ كود الصف غير موجود",IF(ISNA(MATCH($F2425,Lists!$A$2:$A$5,0)),"✖ الفترة غير صحيحة",IF(ISNA(MATCH($G2425,Lists!$B$2:$B$7,0)),"✖ المجموعة غير صحيحة",IF(NOT(OR($H2425="",$N2425&gt;0)),"✖ Start غير صحيح",IF(NOT(OR($I2425="",$I2425="NR",$O2425&gt;0)),"✖ Current غير صحيح",IF(NOT(IF(ISNUMBER($J2425),AND($J2425&gt;=0,$J2425=INT($J2425)),FALSE())),"✖ العدد يجب أن يكون صحيحًا ≥ 0",IF(AND($F2425="Baseline",$H2425&lt;&gt;""),"⚠ Baseline: Start لا يدخل في التقدم",IF($K2425="No Start (attainment only)","ℹ تحصيل فقط (بدون Start)",IF($K2425="U – needs rule","ℹ حالة U تحتاج قاعدة معتمدة",IF($K2425="No result","ℹ بدون نتيجة (يُستبعد من التحصيل)","OK")))))))))))</f>
        <v/>
      </c>
      <c r="M2425" s="64" t="n">
        <f aca="false">IF($A2425="",0,IFERROR(MATCH($A2425,Classes!$A$6:$A$420,0),0))</f>
        <v>0</v>
      </c>
      <c r="N2425" s="64" t="n">
        <f aca="false">IF($H2425="",0,IFERROR(MATCH($H2425,GradeList,0),0))</f>
        <v>0</v>
      </c>
      <c r="O2425" s="64" t="n">
        <f aca="false">IF(OR($I2425="",$I2425="NR"),0,IFERROR(MATCH($I2425,GradeList,0),0))</f>
        <v>0</v>
      </c>
      <c r="P2425" s="64" t="n">
        <f aca="false">IF(AND($M2425&gt;0,ISNUMBER(MATCH($F2425,Lists!$A$2:$A$5,0)),ISNUMBER(MATCH($G2425,Lists!$B$2:$B$7,0)),OR($H2425="",$N2425&gt;0),OR($I2425="",$I2425="NR",$O2425&gt;0),IF(ISNUMBER($J2425),AND($J2425&gt;=0,$J2425=INT($J2425)),FALSE())),$J2425,0)</f>
        <v>0</v>
      </c>
      <c r="Q2425" s="64" t="n">
        <f aca="false">IF(AND($P2425&gt;0,$O2425&gt;0),$P2425,0)</f>
        <v>0</v>
      </c>
      <c r="R2425" s="64" t="n">
        <f aca="false">IF(AND($Q2425&gt;0,$O2425&gt;=AtRank),$Q2425,0)</f>
        <v>0</v>
      </c>
      <c r="S2425" s="64" t="n">
        <f aca="false">IF(AND($Q2425&gt;0,$O2425&gt;=AboveRank),$Q2425,0)</f>
        <v>0</v>
      </c>
      <c r="T2425" s="64" t="n">
        <f aca="false">IF($K2425="Less",$P2425,0)</f>
        <v>0</v>
      </c>
      <c r="U2425" s="64" t="n">
        <f aca="false">IF($K2425="Expected",$P2425,0)</f>
        <v>0</v>
      </c>
      <c r="V2425" s="64" t="n">
        <f aca="false">IF($K2425="Better",$P2425,0)</f>
        <v>0</v>
      </c>
      <c r="W2425" s="64" t="n">
        <f aca="false">IF($K2425="U – needs rule",$P2425,0)</f>
        <v>0</v>
      </c>
      <c r="X2425" s="64" t="n">
        <f aca="false">IF($K2425="No Start (attainment only)",$P2425,0)</f>
        <v>0</v>
      </c>
    </row>
    <row r="2426" customFormat="false" ht="15" hidden="false" customHeight="false" outlineLevel="0" collapsed="false">
      <c r="A2426" s="60"/>
      <c r="B2426" s="61" t="str">
        <f aca="false">IF($M2426=0,"",INDEX(Classes!$E$6:$E$420,$M2426))</f>
        <v/>
      </c>
      <c r="C2426" s="62" t="str">
        <f aca="false">IF($M2426=0,"",INDEX(Classes!$H$6:$H$420,$M2426))</f>
        <v/>
      </c>
      <c r="D2426" s="61" t="str">
        <f aca="false">IF($M2426=0,"",INDEX(Classes!$B$6:$B$420,$M2426))</f>
        <v/>
      </c>
      <c r="E2426" s="61" t="str">
        <f aca="false">IF($M2426=0,"",INDEX(Classes!$C$6:$C$420,$M2426))</f>
        <v/>
      </c>
      <c r="F2426" s="63"/>
      <c r="G2426" s="63"/>
      <c r="H2426" s="60"/>
      <c r="I2426" s="60"/>
      <c r="J2426" s="63"/>
      <c r="K2426" s="61" t="str">
        <f aca="false">IF($P2426=0,"",IF($F2426="Baseline","— Baseline",IF($O2426=0,"No result",IF($N2426=0,"No Start (attainment only)",IF(OR($N2426=1,$O2426=1),"U – needs rule",INDEX(MxBody,MATCH($I2426,MxCurr,0),MATCH($H2426,MxStart,0)))))))</f>
        <v/>
      </c>
      <c r="L2426" s="62" t="str">
        <f aca="false">IF(COUNTA($A2426,$F2426,$G2426,$H2426,$I2426,$J2426)=0,"",IF($M2426=0,"✖ كود الصف غير موجود",IF(ISNA(MATCH($F2426,Lists!$A$2:$A$5,0)),"✖ الفترة غير صحيحة",IF(ISNA(MATCH($G2426,Lists!$B$2:$B$7,0)),"✖ المجموعة غير صحيحة",IF(NOT(OR($H2426="",$N2426&gt;0)),"✖ Start غير صحيح",IF(NOT(OR($I2426="",$I2426="NR",$O2426&gt;0)),"✖ Current غير صحيح",IF(NOT(IF(ISNUMBER($J2426),AND($J2426&gt;=0,$J2426=INT($J2426)),FALSE())),"✖ العدد يجب أن يكون صحيحًا ≥ 0",IF(AND($F2426="Baseline",$H2426&lt;&gt;""),"⚠ Baseline: Start لا يدخل في التقدم",IF($K2426="No Start (attainment only)","ℹ تحصيل فقط (بدون Start)",IF($K2426="U – needs rule","ℹ حالة U تحتاج قاعدة معتمدة",IF($K2426="No result","ℹ بدون نتيجة (يُستبعد من التحصيل)","OK")))))))))))</f>
        <v/>
      </c>
      <c r="M2426" s="64" t="n">
        <f aca="false">IF($A2426="",0,IFERROR(MATCH($A2426,Classes!$A$6:$A$420,0),0))</f>
        <v>0</v>
      </c>
      <c r="N2426" s="64" t="n">
        <f aca="false">IF($H2426="",0,IFERROR(MATCH($H2426,GradeList,0),0))</f>
        <v>0</v>
      </c>
      <c r="O2426" s="64" t="n">
        <f aca="false">IF(OR($I2426="",$I2426="NR"),0,IFERROR(MATCH($I2426,GradeList,0),0))</f>
        <v>0</v>
      </c>
      <c r="P2426" s="64" t="n">
        <f aca="false">IF(AND($M2426&gt;0,ISNUMBER(MATCH($F2426,Lists!$A$2:$A$5,0)),ISNUMBER(MATCH($G2426,Lists!$B$2:$B$7,0)),OR($H2426="",$N2426&gt;0),OR($I2426="",$I2426="NR",$O2426&gt;0),IF(ISNUMBER($J2426),AND($J2426&gt;=0,$J2426=INT($J2426)),FALSE())),$J2426,0)</f>
        <v>0</v>
      </c>
      <c r="Q2426" s="64" t="n">
        <f aca="false">IF(AND($P2426&gt;0,$O2426&gt;0),$P2426,0)</f>
        <v>0</v>
      </c>
      <c r="R2426" s="64" t="n">
        <f aca="false">IF(AND($Q2426&gt;0,$O2426&gt;=AtRank),$Q2426,0)</f>
        <v>0</v>
      </c>
      <c r="S2426" s="64" t="n">
        <f aca="false">IF(AND($Q2426&gt;0,$O2426&gt;=AboveRank),$Q2426,0)</f>
        <v>0</v>
      </c>
      <c r="T2426" s="64" t="n">
        <f aca="false">IF($K2426="Less",$P2426,0)</f>
        <v>0</v>
      </c>
      <c r="U2426" s="64" t="n">
        <f aca="false">IF($K2426="Expected",$P2426,0)</f>
        <v>0</v>
      </c>
      <c r="V2426" s="64" t="n">
        <f aca="false">IF($K2426="Better",$P2426,0)</f>
        <v>0</v>
      </c>
      <c r="W2426" s="64" t="n">
        <f aca="false">IF($K2426="U – needs rule",$P2426,0)</f>
        <v>0</v>
      </c>
      <c r="X2426" s="64" t="n">
        <f aca="false">IF($K2426="No Start (attainment only)",$P2426,0)</f>
        <v>0</v>
      </c>
    </row>
    <row r="2427" customFormat="false" ht="15" hidden="false" customHeight="false" outlineLevel="0" collapsed="false">
      <c r="A2427" s="60"/>
      <c r="B2427" s="61" t="str">
        <f aca="false">IF($M2427=0,"",INDEX(Classes!$E$6:$E$420,$M2427))</f>
        <v/>
      </c>
      <c r="C2427" s="62" t="str">
        <f aca="false">IF($M2427=0,"",INDEX(Classes!$H$6:$H$420,$M2427))</f>
        <v/>
      </c>
      <c r="D2427" s="61" t="str">
        <f aca="false">IF($M2427=0,"",INDEX(Classes!$B$6:$B$420,$M2427))</f>
        <v/>
      </c>
      <c r="E2427" s="61" t="str">
        <f aca="false">IF($M2427=0,"",INDEX(Classes!$C$6:$C$420,$M2427))</f>
        <v/>
      </c>
      <c r="F2427" s="63"/>
      <c r="G2427" s="63"/>
      <c r="H2427" s="60"/>
      <c r="I2427" s="60"/>
      <c r="J2427" s="63"/>
      <c r="K2427" s="61" t="str">
        <f aca="false">IF($P2427=0,"",IF($F2427="Baseline","— Baseline",IF($O2427=0,"No result",IF($N2427=0,"No Start (attainment only)",IF(OR($N2427=1,$O2427=1),"U – needs rule",INDEX(MxBody,MATCH($I2427,MxCurr,0),MATCH($H2427,MxStart,0)))))))</f>
        <v/>
      </c>
      <c r="L2427" s="62" t="str">
        <f aca="false">IF(COUNTA($A2427,$F2427,$G2427,$H2427,$I2427,$J2427)=0,"",IF($M2427=0,"✖ كود الصف غير موجود",IF(ISNA(MATCH($F2427,Lists!$A$2:$A$5,0)),"✖ الفترة غير صحيحة",IF(ISNA(MATCH($G2427,Lists!$B$2:$B$7,0)),"✖ المجموعة غير صحيحة",IF(NOT(OR($H2427="",$N2427&gt;0)),"✖ Start غير صحيح",IF(NOT(OR($I2427="",$I2427="NR",$O2427&gt;0)),"✖ Current غير صحيح",IF(NOT(IF(ISNUMBER($J2427),AND($J2427&gt;=0,$J2427=INT($J2427)),FALSE())),"✖ العدد يجب أن يكون صحيحًا ≥ 0",IF(AND($F2427="Baseline",$H2427&lt;&gt;""),"⚠ Baseline: Start لا يدخل في التقدم",IF($K2427="No Start (attainment only)","ℹ تحصيل فقط (بدون Start)",IF($K2427="U – needs rule","ℹ حالة U تحتاج قاعدة معتمدة",IF($K2427="No result","ℹ بدون نتيجة (يُستبعد من التحصيل)","OK")))))))))))</f>
        <v/>
      </c>
      <c r="M2427" s="64" t="n">
        <f aca="false">IF($A2427="",0,IFERROR(MATCH($A2427,Classes!$A$6:$A$420,0),0))</f>
        <v>0</v>
      </c>
      <c r="N2427" s="64" t="n">
        <f aca="false">IF($H2427="",0,IFERROR(MATCH($H2427,GradeList,0),0))</f>
        <v>0</v>
      </c>
      <c r="O2427" s="64" t="n">
        <f aca="false">IF(OR($I2427="",$I2427="NR"),0,IFERROR(MATCH($I2427,GradeList,0),0))</f>
        <v>0</v>
      </c>
      <c r="P2427" s="64" t="n">
        <f aca="false">IF(AND($M2427&gt;0,ISNUMBER(MATCH($F2427,Lists!$A$2:$A$5,0)),ISNUMBER(MATCH($G2427,Lists!$B$2:$B$7,0)),OR($H2427="",$N2427&gt;0),OR($I2427="",$I2427="NR",$O2427&gt;0),IF(ISNUMBER($J2427),AND($J2427&gt;=0,$J2427=INT($J2427)),FALSE())),$J2427,0)</f>
        <v>0</v>
      </c>
      <c r="Q2427" s="64" t="n">
        <f aca="false">IF(AND($P2427&gt;0,$O2427&gt;0),$P2427,0)</f>
        <v>0</v>
      </c>
      <c r="R2427" s="64" t="n">
        <f aca="false">IF(AND($Q2427&gt;0,$O2427&gt;=AtRank),$Q2427,0)</f>
        <v>0</v>
      </c>
      <c r="S2427" s="64" t="n">
        <f aca="false">IF(AND($Q2427&gt;0,$O2427&gt;=AboveRank),$Q2427,0)</f>
        <v>0</v>
      </c>
      <c r="T2427" s="64" t="n">
        <f aca="false">IF($K2427="Less",$P2427,0)</f>
        <v>0</v>
      </c>
      <c r="U2427" s="64" t="n">
        <f aca="false">IF($K2427="Expected",$P2427,0)</f>
        <v>0</v>
      </c>
      <c r="V2427" s="64" t="n">
        <f aca="false">IF($K2427="Better",$P2427,0)</f>
        <v>0</v>
      </c>
      <c r="W2427" s="64" t="n">
        <f aca="false">IF($K2427="U – needs rule",$P2427,0)</f>
        <v>0</v>
      </c>
      <c r="X2427" s="64" t="n">
        <f aca="false">IF($K2427="No Start (attainment only)",$P2427,0)</f>
        <v>0</v>
      </c>
    </row>
    <row r="2428" customFormat="false" ht="15" hidden="false" customHeight="false" outlineLevel="0" collapsed="false">
      <c r="A2428" s="60"/>
      <c r="B2428" s="61" t="str">
        <f aca="false">IF($M2428=0,"",INDEX(Classes!$E$6:$E$420,$M2428))</f>
        <v/>
      </c>
      <c r="C2428" s="62" t="str">
        <f aca="false">IF($M2428=0,"",INDEX(Classes!$H$6:$H$420,$M2428))</f>
        <v/>
      </c>
      <c r="D2428" s="61" t="str">
        <f aca="false">IF($M2428=0,"",INDEX(Classes!$B$6:$B$420,$M2428))</f>
        <v/>
      </c>
      <c r="E2428" s="61" t="str">
        <f aca="false">IF($M2428=0,"",INDEX(Classes!$C$6:$C$420,$M2428))</f>
        <v/>
      </c>
      <c r="F2428" s="63"/>
      <c r="G2428" s="63"/>
      <c r="H2428" s="60"/>
      <c r="I2428" s="60"/>
      <c r="J2428" s="63"/>
      <c r="K2428" s="61" t="str">
        <f aca="false">IF($P2428=0,"",IF($F2428="Baseline","— Baseline",IF($O2428=0,"No result",IF($N2428=0,"No Start (attainment only)",IF(OR($N2428=1,$O2428=1),"U – needs rule",INDEX(MxBody,MATCH($I2428,MxCurr,0),MATCH($H2428,MxStart,0)))))))</f>
        <v/>
      </c>
      <c r="L2428" s="62" t="str">
        <f aca="false">IF(COUNTA($A2428,$F2428,$G2428,$H2428,$I2428,$J2428)=0,"",IF($M2428=0,"✖ كود الصف غير موجود",IF(ISNA(MATCH($F2428,Lists!$A$2:$A$5,0)),"✖ الفترة غير صحيحة",IF(ISNA(MATCH($G2428,Lists!$B$2:$B$7,0)),"✖ المجموعة غير صحيحة",IF(NOT(OR($H2428="",$N2428&gt;0)),"✖ Start غير صحيح",IF(NOT(OR($I2428="",$I2428="NR",$O2428&gt;0)),"✖ Current غير صحيح",IF(NOT(IF(ISNUMBER($J2428),AND($J2428&gt;=0,$J2428=INT($J2428)),FALSE())),"✖ العدد يجب أن يكون صحيحًا ≥ 0",IF(AND($F2428="Baseline",$H2428&lt;&gt;""),"⚠ Baseline: Start لا يدخل في التقدم",IF($K2428="No Start (attainment only)","ℹ تحصيل فقط (بدون Start)",IF($K2428="U – needs rule","ℹ حالة U تحتاج قاعدة معتمدة",IF($K2428="No result","ℹ بدون نتيجة (يُستبعد من التحصيل)","OK")))))))))))</f>
        <v/>
      </c>
      <c r="M2428" s="64" t="n">
        <f aca="false">IF($A2428="",0,IFERROR(MATCH($A2428,Classes!$A$6:$A$420,0),0))</f>
        <v>0</v>
      </c>
      <c r="N2428" s="64" t="n">
        <f aca="false">IF($H2428="",0,IFERROR(MATCH($H2428,GradeList,0),0))</f>
        <v>0</v>
      </c>
      <c r="O2428" s="64" t="n">
        <f aca="false">IF(OR($I2428="",$I2428="NR"),0,IFERROR(MATCH($I2428,GradeList,0),0))</f>
        <v>0</v>
      </c>
      <c r="P2428" s="64" t="n">
        <f aca="false">IF(AND($M2428&gt;0,ISNUMBER(MATCH($F2428,Lists!$A$2:$A$5,0)),ISNUMBER(MATCH($G2428,Lists!$B$2:$B$7,0)),OR($H2428="",$N2428&gt;0),OR($I2428="",$I2428="NR",$O2428&gt;0),IF(ISNUMBER($J2428),AND($J2428&gt;=0,$J2428=INT($J2428)),FALSE())),$J2428,0)</f>
        <v>0</v>
      </c>
      <c r="Q2428" s="64" t="n">
        <f aca="false">IF(AND($P2428&gt;0,$O2428&gt;0),$P2428,0)</f>
        <v>0</v>
      </c>
      <c r="R2428" s="64" t="n">
        <f aca="false">IF(AND($Q2428&gt;0,$O2428&gt;=AtRank),$Q2428,0)</f>
        <v>0</v>
      </c>
      <c r="S2428" s="64" t="n">
        <f aca="false">IF(AND($Q2428&gt;0,$O2428&gt;=AboveRank),$Q2428,0)</f>
        <v>0</v>
      </c>
      <c r="T2428" s="64" t="n">
        <f aca="false">IF($K2428="Less",$P2428,0)</f>
        <v>0</v>
      </c>
      <c r="U2428" s="64" t="n">
        <f aca="false">IF($K2428="Expected",$P2428,0)</f>
        <v>0</v>
      </c>
      <c r="V2428" s="64" t="n">
        <f aca="false">IF($K2428="Better",$P2428,0)</f>
        <v>0</v>
      </c>
      <c r="W2428" s="64" t="n">
        <f aca="false">IF($K2428="U – needs rule",$P2428,0)</f>
        <v>0</v>
      </c>
      <c r="X2428" s="64" t="n">
        <f aca="false">IF($K2428="No Start (attainment only)",$P2428,0)</f>
        <v>0</v>
      </c>
    </row>
    <row r="2429" customFormat="false" ht="15" hidden="false" customHeight="false" outlineLevel="0" collapsed="false">
      <c r="A2429" s="60"/>
      <c r="B2429" s="61" t="str">
        <f aca="false">IF($M2429=0,"",INDEX(Classes!$E$6:$E$420,$M2429))</f>
        <v/>
      </c>
      <c r="C2429" s="62" t="str">
        <f aca="false">IF($M2429=0,"",INDEX(Classes!$H$6:$H$420,$M2429))</f>
        <v/>
      </c>
      <c r="D2429" s="61" t="str">
        <f aca="false">IF($M2429=0,"",INDEX(Classes!$B$6:$B$420,$M2429))</f>
        <v/>
      </c>
      <c r="E2429" s="61" t="str">
        <f aca="false">IF($M2429=0,"",INDEX(Classes!$C$6:$C$420,$M2429))</f>
        <v/>
      </c>
      <c r="F2429" s="63"/>
      <c r="G2429" s="63"/>
      <c r="H2429" s="60"/>
      <c r="I2429" s="60"/>
      <c r="J2429" s="63"/>
      <c r="K2429" s="61" t="str">
        <f aca="false">IF($P2429=0,"",IF($F2429="Baseline","— Baseline",IF($O2429=0,"No result",IF($N2429=0,"No Start (attainment only)",IF(OR($N2429=1,$O2429=1),"U – needs rule",INDEX(MxBody,MATCH($I2429,MxCurr,0),MATCH($H2429,MxStart,0)))))))</f>
        <v/>
      </c>
      <c r="L2429" s="62" t="str">
        <f aca="false">IF(COUNTA($A2429,$F2429,$G2429,$H2429,$I2429,$J2429)=0,"",IF($M2429=0,"✖ كود الصف غير موجود",IF(ISNA(MATCH($F2429,Lists!$A$2:$A$5,0)),"✖ الفترة غير صحيحة",IF(ISNA(MATCH($G2429,Lists!$B$2:$B$7,0)),"✖ المجموعة غير صحيحة",IF(NOT(OR($H2429="",$N2429&gt;0)),"✖ Start غير صحيح",IF(NOT(OR($I2429="",$I2429="NR",$O2429&gt;0)),"✖ Current غير صحيح",IF(NOT(IF(ISNUMBER($J2429),AND($J2429&gt;=0,$J2429=INT($J2429)),FALSE())),"✖ العدد يجب أن يكون صحيحًا ≥ 0",IF(AND($F2429="Baseline",$H2429&lt;&gt;""),"⚠ Baseline: Start لا يدخل في التقدم",IF($K2429="No Start (attainment only)","ℹ تحصيل فقط (بدون Start)",IF($K2429="U – needs rule","ℹ حالة U تحتاج قاعدة معتمدة",IF($K2429="No result","ℹ بدون نتيجة (يُستبعد من التحصيل)","OK")))))))))))</f>
        <v/>
      </c>
      <c r="M2429" s="64" t="n">
        <f aca="false">IF($A2429="",0,IFERROR(MATCH($A2429,Classes!$A$6:$A$420,0),0))</f>
        <v>0</v>
      </c>
      <c r="N2429" s="64" t="n">
        <f aca="false">IF($H2429="",0,IFERROR(MATCH($H2429,GradeList,0),0))</f>
        <v>0</v>
      </c>
      <c r="O2429" s="64" t="n">
        <f aca="false">IF(OR($I2429="",$I2429="NR"),0,IFERROR(MATCH($I2429,GradeList,0),0))</f>
        <v>0</v>
      </c>
      <c r="P2429" s="64" t="n">
        <f aca="false">IF(AND($M2429&gt;0,ISNUMBER(MATCH($F2429,Lists!$A$2:$A$5,0)),ISNUMBER(MATCH($G2429,Lists!$B$2:$B$7,0)),OR($H2429="",$N2429&gt;0),OR($I2429="",$I2429="NR",$O2429&gt;0),IF(ISNUMBER($J2429),AND($J2429&gt;=0,$J2429=INT($J2429)),FALSE())),$J2429,0)</f>
        <v>0</v>
      </c>
      <c r="Q2429" s="64" t="n">
        <f aca="false">IF(AND($P2429&gt;0,$O2429&gt;0),$P2429,0)</f>
        <v>0</v>
      </c>
      <c r="R2429" s="64" t="n">
        <f aca="false">IF(AND($Q2429&gt;0,$O2429&gt;=AtRank),$Q2429,0)</f>
        <v>0</v>
      </c>
      <c r="S2429" s="64" t="n">
        <f aca="false">IF(AND($Q2429&gt;0,$O2429&gt;=AboveRank),$Q2429,0)</f>
        <v>0</v>
      </c>
      <c r="T2429" s="64" t="n">
        <f aca="false">IF($K2429="Less",$P2429,0)</f>
        <v>0</v>
      </c>
      <c r="U2429" s="64" t="n">
        <f aca="false">IF($K2429="Expected",$P2429,0)</f>
        <v>0</v>
      </c>
      <c r="V2429" s="64" t="n">
        <f aca="false">IF($K2429="Better",$P2429,0)</f>
        <v>0</v>
      </c>
      <c r="W2429" s="64" t="n">
        <f aca="false">IF($K2429="U – needs rule",$P2429,0)</f>
        <v>0</v>
      </c>
      <c r="X2429" s="64" t="n">
        <f aca="false">IF($K2429="No Start (attainment only)",$P2429,0)</f>
        <v>0</v>
      </c>
    </row>
    <row r="2430" customFormat="false" ht="15" hidden="false" customHeight="false" outlineLevel="0" collapsed="false">
      <c r="A2430" s="60"/>
      <c r="B2430" s="61" t="str">
        <f aca="false">IF($M2430=0,"",INDEX(Classes!$E$6:$E$420,$M2430))</f>
        <v/>
      </c>
      <c r="C2430" s="62" t="str">
        <f aca="false">IF($M2430=0,"",INDEX(Classes!$H$6:$H$420,$M2430))</f>
        <v/>
      </c>
      <c r="D2430" s="61" t="str">
        <f aca="false">IF($M2430=0,"",INDEX(Classes!$B$6:$B$420,$M2430))</f>
        <v/>
      </c>
      <c r="E2430" s="61" t="str">
        <f aca="false">IF($M2430=0,"",INDEX(Classes!$C$6:$C$420,$M2430))</f>
        <v/>
      </c>
      <c r="F2430" s="63"/>
      <c r="G2430" s="63"/>
      <c r="H2430" s="60"/>
      <c r="I2430" s="60"/>
      <c r="J2430" s="63"/>
      <c r="K2430" s="61" t="str">
        <f aca="false">IF($P2430=0,"",IF($F2430="Baseline","— Baseline",IF($O2430=0,"No result",IF($N2430=0,"No Start (attainment only)",IF(OR($N2430=1,$O2430=1),"U – needs rule",INDEX(MxBody,MATCH($I2430,MxCurr,0),MATCH($H2430,MxStart,0)))))))</f>
        <v/>
      </c>
      <c r="L2430" s="62" t="str">
        <f aca="false">IF(COUNTA($A2430,$F2430,$G2430,$H2430,$I2430,$J2430)=0,"",IF($M2430=0,"✖ كود الصف غير موجود",IF(ISNA(MATCH($F2430,Lists!$A$2:$A$5,0)),"✖ الفترة غير صحيحة",IF(ISNA(MATCH($G2430,Lists!$B$2:$B$7,0)),"✖ المجموعة غير صحيحة",IF(NOT(OR($H2430="",$N2430&gt;0)),"✖ Start غير صحيح",IF(NOT(OR($I2430="",$I2430="NR",$O2430&gt;0)),"✖ Current غير صحيح",IF(NOT(IF(ISNUMBER($J2430),AND($J2430&gt;=0,$J2430=INT($J2430)),FALSE())),"✖ العدد يجب أن يكون صحيحًا ≥ 0",IF(AND($F2430="Baseline",$H2430&lt;&gt;""),"⚠ Baseline: Start لا يدخل في التقدم",IF($K2430="No Start (attainment only)","ℹ تحصيل فقط (بدون Start)",IF($K2430="U – needs rule","ℹ حالة U تحتاج قاعدة معتمدة",IF($K2430="No result","ℹ بدون نتيجة (يُستبعد من التحصيل)","OK")))))))))))</f>
        <v/>
      </c>
      <c r="M2430" s="64" t="n">
        <f aca="false">IF($A2430="",0,IFERROR(MATCH($A2430,Classes!$A$6:$A$420,0),0))</f>
        <v>0</v>
      </c>
      <c r="N2430" s="64" t="n">
        <f aca="false">IF($H2430="",0,IFERROR(MATCH($H2430,GradeList,0),0))</f>
        <v>0</v>
      </c>
      <c r="O2430" s="64" t="n">
        <f aca="false">IF(OR($I2430="",$I2430="NR"),0,IFERROR(MATCH($I2430,GradeList,0),0))</f>
        <v>0</v>
      </c>
      <c r="P2430" s="64" t="n">
        <f aca="false">IF(AND($M2430&gt;0,ISNUMBER(MATCH($F2430,Lists!$A$2:$A$5,0)),ISNUMBER(MATCH($G2430,Lists!$B$2:$B$7,0)),OR($H2430="",$N2430&gt;0),OR($I2430="",$I2430="NR",$O2430&gt;0),IF(ISNUMBER($J2430),AND($J2430&gt;=0,$J2430=INT($J2430)),FALSE())),$J2430,0)</f>
        <v>0</v>
      </c>
      <c r="Q2430" s="64" t="n">
        <f aca="false">IF(AND($P2430&gt;0,$O2430&gt;0),$P2430,0)</f>
        <v>0</v>
      </c>
      <c r="R2430" s="64" t="n">
        <f aca="false">IF(AND($Q2430&gt;0,$O2430&gt;=AtRank),$Q2430,0)</f>
        <v>0</v>
      </c>
      <c r="S2430" s="64" t="n">
        <f aca="false">IF(AND($Q2430&gt;0,$O2430&gt;=AboveRank),$Q2430,0)</f>
        <v>0</v>
      </c>
      <c r="T2430" s="64" t="n">
        <f aca="false">IF($K2430="Less",$P2430,0)</f>
        <v>0</v>
      </c>
      <c r="U2430" s="64" t="n">
        <f aca="false">IF($K2430="Expected",$P2430,0)</f>
        <v>0</v>
      </c>
      <c r="V2430" s="64" t="n">
        <f aca="false">IF($K2430="Better",$P2430,0)</f>
        <v>0</v>
      </c>
      <c r="W2430" s="64" t="n">
        <f aca="false">IF($K2430="U – needs rule",$P2430,0)</f>
        <v>0</v>
      </c>
      <c r="X2430" s="64" t="n">
        <f aca="false">IF($K2430="No Start (attainment only)",$P2430,0)</f>
        <v>0</v>
      </c>
    </row>
    <row r="2431" customFormat="false" ht="15" hidden="false" customHeight="false" outlineLevel="0" collapsed="false">
      <c r="A2431" s="60"/>
      <c r="B2431" s="61" t="str">
        <f aca="false">IF($M2431=0,"",INDEX(Classes!$E$6:$E$420,$M2431))</f>
        <v/>
      </c>
      <c r="C2431" s="62" t="str">
        <f aca="false">IF($M2431=0,"",INDEX(Classes!$H$6:$H$420,$M2431))</f>
        <v/>
      </c>
      <c r="D2431" s="61" t="str">
        <f aca="false">IF($M2431=0,"",INDEX(Classes!$B$6:$B$420,$M2431))</f>
        <v/>
      </c>
      <c r="E2431" s="61" t="str">
        <f aca="false">IF($M2431=0,"",INDEX(Classes!$C$6:$C$420,$M2431))</f>
        <v/>
      </c>
      <c r="F2431" s="63"/>
      <c r="G2431" s="63"/>
      <c r="H2431" s="60"/>
      <c r="I2431" s="60"/>
      <c r="J2431" s="63"/>
      <c r="K2431" s="61" t="str">
        <f aca="false">IF($P2431=0,"",IF($F2431="Baseline","— Baseline",IF($O2431=0,"No result",IF($N2431=0,"No Start (attainment only)",IF(OR($N2431=1,$O2431=1),"U – needs rule",INDEX(MxBody,MATCH($I2431,MxCurr,0),MATCH($H2431,MxStart,0)))))))</f>
        <v/>
      </c>
      <c r="L2431" s="62" t="str">
        <f aca="false">IF(COUNTA($A2431,$F2431,$G2431,$H2431,$I2431,$J2431)=0,"",IF($M2431=0,"✖ كود الصف غير موجود",IF(ISNA(MATCH($F2431,Lists!$A$2:$A$5,0)),"✖ الفترة غير صحيحة",IF(ISNA(MATCH($G2431,Lists!$B$2:$B$7,0)),"✖ المجموعة غير صحيحة",IF(NOT(OR($H2431="",$N2431&gt;0)),"✖ Start غير صحيح",IF(NOT(OR($I2431="",$I2431="NR",$O2431&gt;0)),"✖ Current غير صحيح",IF(NOT(IF(ISNUMBER($J2431),AND($J2431&gt;=0,$J2431=INT($J2431)),FALSE())),"✖ العدد يجب أن يكون صحيحًا ≥ 0",IF(AND($F2431="Baseline",$H2431&lt;&gt;""),"⚠ Baseline: Start لا يدخل في التقدم",IF($K2431="No Start (attainment only)","ℹ تحصيل فقط (بدون Start)",IF($K2431="U – needs rule","ℹ حالة U تحتاج قاعدة معتمدة",IF($K2431="No result","ℹ بدون نتيجة (يُستبعد من التحصيل)","OK")))))))))))</f>
        <v/>
      </c>
      <c r="M2431" s="64" t="n">
        <f aca="false">IF($A2431="",0,IFERROR(MATCH($A2431,Classes!$A$6:$A$420,0),0))</f>
        <v>0</v>
      </c>
      <c r="N2431" s="64" t="n">
        <f aca="false">IF($H2431="",0,IFERROR(MATCH($H2431,GradeList,0),0))</f>
        <v>0</v>
      </c>
      <c r="O2431" s="64" t="n">
        <f aca="false">IF(OR($I2431="",$I2431="NR"),0,IFERROR(MATCH($I2431,GradeList,0),0))</f>
        <v>0</v>
      </c>
      <c r="P2431" s="64" t="n">
        <f aca="false">IF(AND($M2431&gt;0,ISNUMBER(MATCH($F2431,Lists!$A$2:$A$5,0)),ISNUMBER(MATCH($G2431,Lists!$B$2:$B$7,0)),OR($H2431="",$N2431&gt;0),OR($I2431="",$I2431="NR",$O2431&gt;0),IF(ISNUMBER($J2431),AND($J2431&gt;=0,$J2431=INT($J2431)),FALSE())),$J2431,0)</f>
        <v>0</v>
      </c>
      <c r="Q2431" s="64" t="n">
        <f aca="false">IF(AND($P2431&gt;0,$O2431&gt;0),$P2431,0)</f>
        <v>0</v>
      </c>
      <c r="R2431" s="64" t="n">
        <f aca="false">IF(AND($Q2431&gt;0,$O2431&gt;=AtRank),$Q2431,0)</f>
        <v>0</v>
      </c>
      <c r="S2431" s="64" t="n">
        <f aca="false">IF(AND($Q2431&gt;0,$O2431&gt;=AboveRank),$Q2431,0)</f>
        <v>0</v>
      </c>
      <c r="T2431" s="64" t="n">
        <f aca="false">IF($K2431="Less",$P2431,0)</f>
        <v>0</v>
      </c>
      <c r="U2431" s="64" t="n">
        <f aca="false">IF($K2431="Expected",$P2431,0)</f>
        <v>0</v>
      </c>
      <c r="V2431" s="64" t="n">
        <f aca="false">IF($K2431="Better",$P2431,0)</f>
        <v>0</v>
      </c>
      <c r="W2431" s="64" t="n">
        <f aca="false">IF($K2431="U – needs rule",$P2431,0)</f>
        <v>0</v>
      </c>
      <c r="X2431" s="64" t="n">
        <f aca="false">IF($K2431="No Start (attainment only)",$P2431,0)</f>
        <v>0</v>
      </c>
    </row>
    <row r="2432" customFormat="false" ht="15" hidden="false" customHeight="false" outlineLevel="0" collapsed="false">
      <c r="A2432" s="60"/>
      <c r="B2432" s="61" t="str">
        <f aca="false">IF($M2432=0,"",INDEX(Classes!$E$6:$E$420,$M2432))</f>
        <v/>
      </c>
      <c r="C2432" s="62" t="str">
        <f aca="false">IF($M2432=0,"",INDEX(Classes!$H$6:$H$420,$M2432))</f>
        <v/>
      </c>
      <c r="D2432" s="61" t="str">
        <f aca="false">IF($M2432=0,"",INDEX(Classes!$B$6:$B$420,$M2432))</f>
        <v/>
      </c>
      <c r="E2432" s="61" t="str">
        <f aca="false">IF($M2432=0,"",INDEX(Classes!$C$6:$C$420,$M2432))</f>
        <v/>
      </c>
      <c r="F2432" s="63"/>
      <c r="G2432" s="63"/>
      <c r="H2432" s="60"/>
      <c r="I2432" s="60"/>
      <c r="J2432" s="63"/>
      <c r="K2432" s="61" t="str">
        <f aca="false">IF($P2432=0,"",IF($F2432="Baseline","— Baseline",IF($O2432=0,"No result",IF($N2432=0,"No Start (attainment only)",IF(OR($N2432=1,$O2432=1),"U – needs rule",INDEX(MxBody,MATCH($I2432,MxCurr,0),MATCH($H2432,MxStart,0)))))))</f>
        <v/>
      </c>
      <c r="L2432" s="62" t="str">
        <f aca="false">IF(COUNTA($A2432,$F2432,$G2432,$H2432,$I2432,$J2432)=0,"",IF($M2432=0,"✖ كود الصف غير موجود",IF(ISNA(MATCH($F2432,Lists!$A$2:$A$5,0)),"✖ الفترة غير صحيحة",IF(ISNA(MATCH($G2432,Lists!$B$2:$B$7,0)),"✖ المجموعة غير صحيحة",IF(NOT(OR($H2432="",$N2432&gt;0)),"✖ Start غير صحيح",IF(NOT(OR($I2432="",$I2432="NR",$O2432&gt;0)),"✖ Current غير صحيح",IF(NOT(IF(ISNUMBER($J2432),AND($J2432&gt;=0,$J2432=INT($J2432)),FALSE())),"✖ العدد يجب أن يكون صحيحًا ≥ 0",IF(AND($F2432="Baseline",$H2432&lt;&gt;""),"⚠ Baseline: Start لا يدخل في التقدم",IF($K2432="No Start (attainment only)","ℹ تحصيل فقط (بدون Start)",IF($K2432="U – needs rule","ℹ حالة U تحتاج قاعدة معتمدة",IF($K2432="No result","ℹ بدون نتيجة (يُستبعد من التحصيل)","OK")))))))))))</f>
        <v/>
      </c>
      <c r="M2432" s="64" t="n">
        <f aca="false">IF($A2432="",0,IFERROR(MATCH($A2432,Classes!$A$6:$A$420,0),0))</f>
        <v>0</v>
      </c>
      <c r="N2432" s="64" t="n">
        <f aca="false">IF($H2432="",0,IFERROR(MATCH($H2432,GradeList,0),0))</f>
        <v>0</v>
      </c>
      <c r="O2432" s="64" t="n">
        <f aca="false">IF(OR($I2432="",$I2432="NR"),0,IFERROR(MATCH($I2432,GradeList,0),0))</f>
        <v>0</v>
      </c>
      <c r="P2432" s="64" t="n">
        <f aca="false">IF(AND($M2432&gt;0,ISNUMBER(MATCH($F2432,Lists!$A$2:$A$5,0)),ISNUMBER(MATCH($G2432,Lists!$B$2:$B$7,0)),OR($H2432="",$N2432&gt;0),OR($I2432="",$I2432="NR",$O2432&gt;0),IF(ISNUMBER($J2432),AND($J2432&gt;=0,$J2432=INT($J2432)),FALSE())),$J2432,0)</f>
        <v>0</v>
      </c>
      <c r="Q2432" s="64" t="n">
        <f aca="false">IF(AND($P2432&gt;0,$O2432&gt;0),$P2432,0)</f>
        <v>0</v>
      </c>
      <c r="R2432" s="64" t="n">
        <f aca="false">IF(AND($Q2432&gt;0,$O2432&gt;=AtRank),$Q2432,0)</f>
        <v>0</v>
      </c>
      <c r="S2432" s="64" t="n">
        <f aca="false">IF(AND($Q2432&gt;0,$O2432&gt;=AboveRank),$Q2432,0)</f>
        <v>0</v>
      </c>
      <c r="T2432" s="64" t="n">
        <f aca="false">IF($K2432="Less",$P2432,0)</f>
        <v>0</v>
      </c>
      <c r="U2432" s="64" t="n">
        <f aca="false">IF($K2432="Expected",$P2432,0)</f>
        <v>0</v>
      </c>
      <c r="V2432" s="64" t="n">
        <f aca="false">IF($K2432="Better",$P2432,0)</f>
        <v>0</v>
      </c>
      <c r="W2432" s="64" t="n">
        <f aca="false">IF($K2432="U – needs rule",$P2432,0)</f>
        <v>0</v>
      </c>
      <c r="X2432" s="64" t="n">
        <f aca="false">IF($K2432="No Start (attainment only)",$P2432,0)</f>
        <v>0</v>
      </c>
    </row>
    <row r="2433" customFormat="false" ht="15" hidden="false" customHeight="false" outlineLevel="0" collapsed="false">
      <c r="A2433" s="60"/>
      <c r="B2433" s="61" t="str">
        <f aca="false">IF($M2433=0,"",INDEX(Classes!$E$6:$E$420,$M2433))</f>
        <v/>
      </c>
      <c r="C2433" s="62" t="str">
        <f aca="false">IF($M2433=0,"",INDEX(Classes!$H$6:$H$420,$M2433))</f>
        <v/>
      </c>
      <c r="D2433" s="61" t="str">
        <f aca="false">IF($M2433=0,"",INDEX(Classes!$B$6:$B$420,$M2433))</f>
        <v/>
      </c>
      <c r="E2433" s="61" t="str">
        <f aca="false">IF($M2433=0,"",INDEX(Classes!$C$6:$C$420,$M2433))</f>
        <v/>
      </c>
      <c r="F2433" s="63"/>
      <c r="G2433" s="63"/>
      <c r="H2433" s="60"/>
      <c r="I2433" s="60"/>
      <c r="J2433" s="63"/>
      <c r="K2433" s="61" t="str">
        <f aca="false">IF($P2433=0,"",IF($F2433="Baseline","— Baseline",IF($O2433=0,"No result",IF($N2433=0,"No Start (attainment only)",IF(OR($N2433=1,$O2433=1),"U – needs rule",INDEX(MxBody,MATCH($I2433,MxCurr,0),MATCH($H2433,MxStart,0)))))))</f>
        <v/>
      </c>
      <c r="L2433" s="62" t="str">
        <f aca="false">IF(COUNTA($A2433,$F2433,$G2433,$H2433,$I2433,$J2433)=0,"",IF($M2433=0,"✖ كود الصف غير موجود",IF(ISNA(MATCH($F2433,Lists!$A$2:$A$5,0)),"✖ الفترة غير صحيحة",IF(ISNA(MATCH($G2433,Lists!$B$2:$B$7,0)),"✖ المجموعة غير صحيحة",IF(NOT(OR($H2433="",$N2433&gt;0)),"✖ Start غير صحيح",IF(NOT(OR($I2433="",$I2433="NR",$O2433&gt;0)),"✖ Current غير صحيح",IF(NOT(IF(ISNUMBER($J2433),AND($J2433&gt;=0,$J2433=INT($J2433)),FALSE())),"✖ العدد يجب أن يكون صحيحًا ≥ 0",IF(AND($F2433="Baseline",$H2433&lt;&gt;""),"⚠ Baseline: Start لا يدخل في التقدم",IF($K2433="No Start (attainment only)","ℹ تحصيل فقط (بدون Start)",IF($K2433="U – needs rule","ℹ حالة U تحتاج قاعدة معتمدة",IF($K2433="No result","ℹ بدون نتيجة (يُستبعد من التحصيل)","OK")))))))))))</f>
        <v/>
      </c>
      <c r="M2433" s="64" t="n">
        <f aca="false">IF($A2433="",0,IFERROR(MATCH($A2433,Classes!$A$6:$A$420,0),0))</f>
        <v>0</v>
      </c>
      <c r="N2433" s="64" t="n">
        <f aca="false">IF($H2433="",0,IFERROR(MATCH($H2433,GradeList,0),0))</f>
        <v>0</v>
      </c>
      <c r="O2433" s="64" t="n">
        <f aca="false">IF(OR($I2433="",$I2433="NR"),0,IFERROR(MATCH($I2433,GradeList,0),0))</f>
        <v>0</v>
      </c>
      <c r="P2433" s="64" t="n">
        <f aca="false">IF(AND($M2433&gt;0,ISNUMBER(MATCH($F2433,Lists!$A$2:$A$5,0)),ISNUMBER(MATCH($G2433,Lists!$B$2:$B$7,0)),OR($H2433="",$N2433&gt;0),OR($I2433="",$I2433="NR",$O2433&gt;0),IF(ISNUMBER($J2433),AND($J2433&gt;=0,$J2433=INT($J2433)),FALSE())),$J2433,0)</f>
        <v>0</v>
      </c>
      <c r="Q2433" s="64" t="n">
        <f aca="false">IF(AND($P2433&gt;0,$O2433&gt;0),$P2433,0)</f>
        <v>0</v>
      </c>
      <c r="R2433" s="64" t="n">
        <f aca="false">IF(AND($Q2433&gt;0,$O2433&gt;=AtRank),$Q2433,0)</f>
        <v>0</v>
      </c>
      <c r="S2433" s="64" t="n">
        <f aca="false">IF(AND($Q2433&gt;0,$O2433&gt;=AboveRank),$Q2433,0)</f>
        <v>0</v>
      </c>
      <c r="T2433" s="64" t="n">
        <f aca="false">IF($K2433="Less",$P2433,0)</f>
        <v>0</v>
      </c>
      <c r="U2433" s="64" t="n">
        <f aca="false">IF($K2433="Expected",$P2433,0)</f>
        <v>0</v>
      </c>
      <c r="V2433" s="64" t="n">
        <f aca="false">IF($K2433="Better",$P2433,0)</f>
        <v>0</v>
      </c>
      <c r="W2433" s="64" t="n">
        <f aca="false">IF($K2433="U – needs rule",$P2433,0)</f>
        <v>0</v>
      </c>
      <c r="X2433" s="64" t="n">
        <f aca="false">IF($K2433="No Start (attainment only)",$P2433,0)</f>
        <v>0</v>
      </c>
    </row>
    <row r="2434" customFormat="false" ht="15" hidden="false" customHeight="false" outlineLevel="0" collapsed="false">
      <c r="A2434" s="60"/>
      <c r="B2434" s="61" t="str">
        <f aca="false">IF($M2434=0,"",INDEX(Classes!$E$6:$E$420,$M2434))</f>
        <v/>
      </c>
      <c r="C2434" s="62" t="str">
        <f aca="false">IF($M2434=0,"",INDEX(Classes!$H$6:$H$420,$M2434))</f>
        <v/>
      </c>
      <c r="D2434" s="61" t="str">
        <f aca="false">IF($M2434=0,"",INDEX(Classes!$B$6:$B$420,$M2434))</f>
        <v/>
      </c>
      <c r="E2434" s="61" t="str">
        <f aca="false">IF($M2434=0,"",INDEX(Classes!$C$6:$C$420,$M2434))</f>
        <v/>
      </c>
      <c r="F2434" s="63"/>
      <c r="G2434" s="63"/>
      <c r="H2434" s="60"/>
      <c r="I2434" s="60"/>
      <c r="J2434" s="63"/>
      <c r="K2434" s="61" t="str">
        <f aca="false">IF($P2434=0,"",IF($F2434="Baseline","— Baseline",IF($O2434=0,"No result",IF($N2434=0,"No Start (attainment only)",IF(OR($N2434=1,$O2434=1),"U – needs rule",INDEX(MxBody,MATCH($I2434,MxCurr,0),MATCH($H2434,MxStart,0)))))))</f>
        <v/>
      </c>
      <c r="L2434" s="62" t="str">
        <f aca="false">IF(COUNTA($A2434,$F2434,$G2434,$H2434,$I2434,$J2434)=0,"",IF($M2434=0,"✖ كود الصف غير موجود",IF(ISNA(MATCH($F2434,Lists!$A$2:$A$5,0)),"✖ الفترة غير صحيحة",IF(ISNA(MATCH($G2434,Lists!$B$2:$B$7,0)),"✖ المجموعة غير صحيحة",IF(NOT(OR($H2434="",$N2434&gt;0)),"✖ Start غير صحيح",IF(NOT(OR($I2434="",$I2434="NR",$O2434&gt;0)),"✖ Current غير صحيح",IF(NOT(IF(ISNUMBER($J2434),AND($J2434&gt;=0,$J2434=INT($J2434)),FALSE())),"✖ العدد يجب أن يكون صحيحًا ≥ 0",IF(AND($F2434="Baseline",$H2434&lt;&gt;""),"⚠ Baseline: Start لا يدخل في التقدم",IF($K2434="No Start (attainment only)","ℹ تحصيل فقط (بدون Start)",IF($K2434="U – needs rule","ℹ حالة U تحتاج قاعدة معتمدة",IF($K2434="No result","ℹ بدون نتيجة (يُستبعد من التحصيل)","OK")))))))))))</f>
        <v/>
      </c>
      <c r="M2434" s="64" t="n">
        <f aca="false">IF($A2434="",0,IFERROR(MATCH($A2434,Classes!$A$6:$A$420,0),0))</f>
        <v>0</v>
      </c>
      <c r="N2434" s="64" t="n">
        <f aca="false">IF($H2434="",0,IFERROR(MATCH($H2434,GradeList,0),0))</f>
        <v>0</v>
      </c>
      <c r="O2434" s="64" t="n">
        <f aca="false">IF(OR($I2434="",$I2434="NR"),0,IFERROR(MATCH($I2434,GradeList,0),0))</f>
        <v>0</v>
      </c>
      <c r="P2434" s="64" t="n">
        <f aca="false">IF(AND($M2434&gt;0,ISNUMBER(MATCH($F2434,Lists!$A$2:$A$5,0)),ISNUMBER(MATCH($G2434,Lists!$B$2:$B$7,0)),OR($H2434="",$N2434&gt;0),OR($I2434="",$I2434="NR",$O2434&gt;0),IF(ISNUMBER($J2434),AND($J2434&gt;=0,$J2434=INT($J2434)),FALSE())),$J2434,0)</f>
        <v>0</v>
      </c>
      <c r="Q2434" s="64" t="n">
        <f aca="false">IF(AND($P2434&gt;0,$O2434&gt;0),$P2434,0)</f>
        <v>0</v>
      </c>
      <c r="R2434" s="64" t="n">
        <f aca="false">IF(AND($Q2434&gt;0,$O2434&gt;=AtRank),$Q2434,0)</f>
        <v>0</v>
      </c>
      <c r="S2434" s="64" t="n">
        <f aca="false">IF(AND($Q2434&gt;0,$O2434&gt;=AboveRank),$Q2434,0)</f>
        <v>0</v>
      </c>
      <c r="T2434" s="64" t="n">
        <f aca="false">IF($K2434="Less",$P2434,0)</f>
        <v>0</v>
      </c>
      <c r="U2434" s="64" t="n">
        <f aca="false">IF($K2434="Expected",$P2434,0)</f>
        <v>0</v>
      </c>
      <c r="V2434" s="64" t="n">
        <f aca="false">IF($K2434="Better",$P2434,0)</f>
        <v>0</v>
      </c>
      <c r="W2434" s="64" t="n">
        <f aca="false">IF($K2434="U – needs rule",$P2434,0)</f>
        <v>0</v>
      </c>
      <c r="X2434" s="64" t="n">
        <f aca="false">IF($K2434="No Start (attainment only)",$P2434,0)</f>
        <v>0</v>
      </c>
    </row>
    <row r="2435" customFormat="false" ht="15" hidden="false" customHeight="false" outlineLevel="0" collapsed="false">
      <c r="A2435" s="60"/>
      <c r="B2435" s="61" t="str">
        <f aca="false">IF($M2435=0,"",INDEX(Classes!$E$6:$E$420,$M2435))</f>
        <v/>
      </c>
      <c r="C2435" s="62" t="str">
        <f aca="false">IF($M2435=0,"",INDEX(Classes!$H$6:$H$420,$M2435))</f>
        <v/>
      </c>
      <c r="D2435" s="61" t="str">
        <f aca="false">IF($M2435=0,"",INDEX(Classes!$B$6:$B$420,$M2435))</f>
        <v/>
      </c>
      <c r="E2435" s="61" t="str">
        <f aca="false">IF($M2435=0,"",INDEX(Classes!$C$6:$C$420,$M2435))</f>
        <v/>
      </c>
      <c r="F2435" s="63"/>
      <c r="G2435" s="63"/>
      <c r="H2435" s="60"/>
      <c r="I2435" s="60"/>
      <c r="J2435" s="63"/>
      <c r="K2435" s="61" t="str">
        <f aca="false">IF($P2435=0,"",IF($F2435="Baseline","— Baseline",IF($O2435=0,"No result",IF($N2435=0,"No Start (attainment only)",IF(OR($N2435=1,$O2435=1),"U – needs rule",INDEX(MxBody,MATCH($I2435,MxCurr,0),MATCH($H2435,MxStart,0)))))))</f>
        <v/>
      </c>
      <c r="L2435" s="62" t="str">
        <f aca="false">IF(COUNTA($A2435,$F2435,$G2435,$H2435,$I2435,$J2435)=0,"",IF($M2435=0,"✖ كود الصف غير موجود",IF(ISNA(MATCH($F2435,Lists!$A$2:$A$5,0)),"✖ الفترة غير صحيحة",IF(ISNA(MATCH($G2435,Lists!$B$2:$B$7,0)),"✖ المجموعة غير صحيحة",IF(NOT(OR($H2435="",$N2435&gt;0)),"✖ Start غير صحيح",IF(NOT(OR($I2435="",$I2435="NR",$O2435&gt;0)),"✖ Current غير صحيح",IF(NOT(IF(ISNUMBER($J2435),AND($J2435&gt;=0,$J2435=INT($J2435)),FALSE())),"✖ العدد يجب أن يكون صحيحًا ≥ 0",IF(AND($F2435="Baseline",$H2435&lt;&gt;""),"⚠ Baseline: Start لا يدخل في التقدم",IF($K2435="No Start (attainment only)","ℹ تحصيل فقط (بدون Start)",IF($K2435="U – needs rule","ℹ حالة U تحتاج قاعدة معتمدة",IF($K2435="No result","ℹ بدون نتيجة (يُستبعد من التحصيل)","OK")))))))))))</f>
        <v/>
      </c>
      <c r="M2435" s="64" t="n">
        <f aca="false">IF($A2435="",0,IFERROR(MATCH($A2435,Classes!$A$6:$A$420,0),0))</f>
        <v>0</v>
      </c>
      <c r="N2435" s="64" t="n">
        <f aca="false">IF($H2435="",0,IFERROR(MATCH($H2435,GradeList,0),0))</f>
        <v>0</v>
      </c>
      <c r="O2435" s="64" t="n">
        <f aca="false">IF(OR($I2435="",$I2435="NR"),0,IFERROR(MATCH($I2435,GradeList,0),0))</f>
        <v>0</v>
      </c>
      <c r="P2435" s="64" t="n">
        <f aca="false">IF(AND($M2435&gt;0,ISNUMBER(MATCH($F2435,Lists!$A$2:$A$5,0)),ISNUMBER(MATCH($G2435,Lists!$B$2:$B$7,0)),OR($H2435="",$N2435&gt;0),OR($I2435="",$I2435="NR",$O2435&gt;0),IF(ISNUMBER($J2435),AND($J2435&gt;=0,$J2435=INT($J2435)),FALSE())),$J2435,0)</f>
        <v>0</v>
      </c>
      <c r="Q2435" s="64" t="n">
        <f aca="false">IF(AND($P2435&gt;0,$O2435&gt;0),$P2435,0)</f>
        <v>0</v>
      </c>
      <c r="R2435" s="64" t="n">
        <f aca="false">IF(AND($Q2435&gt;0,$O2435&gt;=AtRank),$Q2435,0)</f>
        <v>0</v>
      </c>
      <c r="S2435" s="64" t="n">
        <f aca="false">IF(AND($Q2435&gt;0,$O2435&gt;=AboveRank),$Q2435,0)</f>
        <v>0</v>
      </c>
      <c r="T2435" s="64" t="n">
        <f aca="false">IF($K2435="Less",$P2435,0)</f>
        <v>0</v>
      </c>
      <c r="U2435" s="64" t="n">
        <f aca="false">IF($K2435="Expected",$P2435,0)</f>
        <v>0</v>
      </c>
      <c r="V2435" s="64" t="n">
        <f aca="false">IF($K2435="Better",$P2435,0)</f>
        <v>0</v>
      </c>
      <c r="W2435" s="64" t="n">
        <f aca="false">IF($K2435="U – needs rule",$P2435,0)</f>
        <v>0</v>
      </c>
      <c r="X2435" s="64" t="n">
        <f aca="false">IF($K2435="No Start (attainment only)",$P2435,0)</f>
        <v>0</v>
      </c>
    </row>
    <row r="2436" customFormat="false" ht="15" hidden="false" customHeight="false" outlineLevel="0" collapsed="false">
      <c r="A2436" s="60"/>
      <c r="B2436" s="61" t="str">
        <f aca="false">IF($M2436=0,"",INDEX(Classes!$E$6:$E$420,$M2436))</f>
        <v/>
      </c>
      <c r="C2436" s="62" t="str">
        <f aca="false">IF($M2436=0,"",INDEX(Classes!$H$6:$H$420,$M2436))</f>
        <v/>
      </c>
      <c r="D2436" s="61" t="str">
        <f aca="false">IF($M2436=0,"",INDEX(Classes!$B$6:$B$420,$M2436))</f>
        <v/>
      </c>
      <c r="E2436" s="61" t="str">
        <f aca="false">IF($M2436=0,"",INDEX(Classes!$C$6:$C$420,$M2436))</f>
        <v/>
      </c>
      <c r="F2436" s="63"/>
      <c r="G2436" s="63"/>
      <c r="H2436" s="60"/>
      <c r="I2436" s="60"/>
      <c r="J2436" s="63"/>
      <c r="K2436" s="61" t="str">
        <f aca="false">IF($P2436=0,"",IF($F2436="Baseline","— Baseline",IF($O2436=0,"No result",IF($N2436=0,"No Start (attainment only)",IF(OR($N2436=1,$O2436=1),"U – needs rule",INDEX(MxBody,MATCH($I2436,MxCurr,0),MATCH($H2436,MxStart,0)))))))</f>
        <v/>
      </c>
      <c r="L2436" s="62" t="str">
        <f aca="false">IF(COUNTA($A2436,$F2436,$G2436,$H2436,$I2436,$J2436)=0,"",IF($M2436=0,"✖ كود الصف غير موجود",IF(ISNA(MATCH($F2436,Lists!$A$2:$A$5,0)),"✖ الفترة غير صحيحة",IF(ISNA(MATCH($G2436,Lists!$B$2:$B$7,0)),"✖ المجموعة غير صحيحة",IF(NOT(OR($H2436="",$N2436&gt;0)),"✖ Start غير صحيح",IF(NOT(OR($I2436="",$I2436="NR",$O2436&gt;0)),"✖ Current غير صحيح",IF(NOT(IF(ISNUMBER($J2436),AND($J2436&gt;=0,$J2436=INT($J2436)),FALSE())),"✖ العدد يجب أن يكون صحيحًا ≥ 0",IF(AND($F2436="Baseline",$H2436&lt;&gt;""),"⚠ Baseline: Start لا يدخل في التقدم",IF($K2436="No Start (attainment only)","ℹ تحصيل فقط (بدون Start)",IF($K2436="U – needs rule","ℹ حالة U تحتاج قاعدة معتمدة",IF($K2436="No result","ℹ بدون نتيجة (يُستبعد من التحصيل)","OK")))))))))))</f>
        <v/>
      </c>
      <c r="M2436" s="64" t="n">
        <f aca="false">IF($A2436="",0,IFERROR(MATCH($A2436,Classes!$A$6:$A$420,0),0))</f>
        <v>0</v>
      </c>
      <c r="N2436" s="64" t="n">
        <f aca="false">IF($H2436="",0,IFERROR(MATCH($H2436,GradeList,0),0))</f>
        <v>0</v>
      </c>
      <c r="O2436" s="64" t="n">
        <f aca="false">IF(OR($I2436="",$I2436="NR"),0,IFERROR(MATCH($I2436,GradeList,0),0))</f>
        <v>0</v>
      </c>
      <c r="P2436" s="64" t="n">
        <f aca="false">IF(AND($M2436&gt;0,ISNUMBER(MATCH($F2436,Lists!$A$2:$A$5,0)),ISNUMBER(MATCH($G2436,Lists!$B$2:$B$7,0)),OR($H2436="",$N2436&gt;0),OR($I2436="",$I2436="NR",$O2436&gt;0),IF(ISNUMBER($J2436),AND($J2436&gt;=0,$J2436=INT($J2436)),FALSE())),$J2436,0)</f>
        <v>0</v>
      </c>
      <c r="Q2436" s="64" t="n">
        <f aca="false">IF(AND($P2436&gt;0,$O2436&gt;0),$P2436,0)</f>
        <v>0</v>
      </c>
      <c r="R2436" s="64" t="n">
        <f aca="false">IF(AND($Q2436&gt;0,$O2436&gt;=AtRank),$Q2436,0)</f>
        <v>0</v>
      </c>
      <c r="S2436" s="64" t="n">
        <f aca="false">IF(AND($Q2436&gt;0,$O2436&gt;=AboveRank),$Q2436,0)</f>
        <v>0</v>
      </c>
      <c r="T2436" s="64" t="n">
        <f aca="false">IF($K2436="Less",$P2436,0)</f>
        <v>0</v>
      </c>
      <c r="U2436" s="64" t="n">
        <f aca="false">IF($K2436="Expected",$P2436,0)</f>
        <v>0</v>
      </c>
      <c r="V2436" s="64" t="n">
        <f aca="false">IF($K2436="Better",$P2436,0)</f>
        <v>0</v>
      </c>
      <c r="W2436" s="64" t="n">
        <f aca="false">IF($K2436="U – needs rule",$P2436,0)</f>
        <v>0</v>
      </c>
      <c r="X2436" s="64" t="n">
        <f aca="false">IF($K2436="No Start (attainment only)",$P2436,0)</f>
        <v>0</v>
      </c>
    </row>
    <row r="2437" customFormat="false" ht="15" hidden="false" customHeight="false" outlineLevel="0" collapsed="false">
      <c r="A2437" s="60"/>
      <c r="B2437" s="61" t="str">
        <f aca="false">IF($M2437=0,"",INDEX(Classes!$E$6:$E$420,$M2437))</f>
        <v/>
      </c>
      <c r="C2437" s="62" t="str">
        <f aca="false">IF($M2437=0,"",INDEX(Classes!$H$6:$H$420,$M2437))</f>
        <v/>
      </c>
      <c r="D2437" s="61" t="str">
        <f aca="false">IF($M2437=0,"",INDEX(Classes!$B$6:$B$420,$M2437))</f>
        <v/>
      </c>
      <c r="E2437" s="61" t="str">
        <f aca="false">IF($M2437=0,"",INDEX(Classes!$C$6:$C$420,$M2437))</f>
        <v/>
      </c>
      <c r="F2437" s="63"/>
      <c r="G2437" s="63"/>
      <c r="H2437" s="60"/>
      <c r="I2437" s="60"/>
      <c r="J2437" s="63"/>
      <c r="K2437" s="61" t="str">
        <f aca="false">IF($P2437=0,"",IF($F2437="Baseline","— Baseline",IF($O2437=0,"No result",IF($N2437=0,"No Start (attainment only)",IF(OR($N2437=1,$O2437=1),"U – needs rule",INDEX(MxBody,MATCH($I2437,MxCurr,0),MATCH($H2437,MxStart,0)))))))</f>
        <v/>
      </c>
      <c r="L2437" s="62" t="str">
        <f aca="false">IF(COUNTA($A2437,$F2437,$G2437,$H2437,$I2437,$J2437)=0,"",IF($M2437=0,"✖ كود الصف غير موجود",IF(ISNA(MATCH($F2437,Lists!$A$2:$A$5,0)),"✖ الفترة غير صحيحة",IF(ISNA(MATCH($G2437,Lists!$B$2:$B$7,0)),"✖ المجموعة غير صحيحة",IF(NOT(OR($H2437="",$N2437&gt;0)),"✖ Start غير صحيح",IF(NOT(OR($I2437="",$I2437="NR",$O2437&gt;0)),"✖ Current غير صحيح",IF(NOT(IF(ISNUMBER($J2437),AND($J2437&gt;=0,$J2437=INT($J2437)),FALSE())),"✖ العدد يجب أن يكون صحيحًا ≥ 0",IF(AND($F2437="Baseline",$H2437&lt;&gt;""),"⚠ Baseline: Start لا يدخل في التقدم",IF($K2437="No Start (attainment only)","ℹ تحصيل فقط (بدون Start)",IF($K2437="U – needs rule","ℹ حالة U تحتاج قاعدة معتمدة",IF($K2437="No result","ℹ بدون نتيجة (يُستبعد من التحصيل)","OK")))))))))))</f>
        <v/>
      </c>
      <c r="M2437" s="64" t="n">
        <f aca="false">IF($A2437="",0,IFERROR(MATCH($A2437,Classes!$A$6:$A$420,0),0))</f>
        <v>0</v>
      </c>
      <c r="N2437" s="64" t="n">
        <f aca="false">IF($H2437="",0,IFERROR(MATCH($H2437,GradeList,0),0))</f>
        <v>0</v>
      </c>
      <c r="O2437" s="64" t="n">
        <f aca="false">IF(OR($I2437="",$I2437="NR"),0,IFERROR(MATCH($I2437,GradeList,0),0))</f>
        <v>0</v>
      </c>
      <c r="P2437" s="64" t="n">
        <f aca="false">IF(AND($M2437&gt;0,ISNUMBER(MATCH($F2437,Lists!$A$2:$A$5,0)),ISNUMBER(MATCH($G2437,Lists!$B$2:$B$7,0)),OR($H2437="",$N2437&gt;0),OR($I2437="",$I2437="NR",$O2437&gt;0),IF(ISNUMBER($J2437),AND($J2437&gt;=0,$J2437=INT($J2437)),FALSE())),$J2437,0)</f>
        <v>0</v>
      </c>
      <c r="Q2437" s="64" t="n">
        <f aca="false">IF(AND($P2437&gt;0,$O2437&gt;0),$P2437,0)</f>
        <v>0</v>
      </c>
      <c r="R2437" s="64" t="n">
        <f aca="false">IF(AND($Q2437&gt;0,$O2437&gt;=AtRank),$Q2437,0)</f>
        <v>0</v>
      </c>
      <c r="S2437" s="64" t="n">
        <f aca="false">IF(AND($Q2437&gt;0,$O2437&gt;=AboveRank),$Q2437,0)</f>
        <v>0</v>
      </c>
      <c r="T2437" s="64" t="n">
        <f aca="false">IF($K2437="Less",$P2437,0)</f>
        <v>0</v>
      </c>
      <c r="U2437" s="64" t="n">
        <f aca="false">IF($K2437="Expected",$P2437,0)</f>
        <v>0</v>
      </c>
      <c r="V2437" s="64" t="n">
        <f aca="false">IF($K2437="Better",$P2437,0)</f>
        <v>0</v>
      </c>
      <c r="W2437" s="64" t="n">
        <f aca="false">IF($K2437="U – needs rule",$P2437,0)</f>
        <v>0</v>
      </c>
      <c r="X2437" s="64" t="n">
        <f aca="false">IF($K2437="No Start (attainment only)",$P2437,0)</f>
        <v>0</v>
      </c>
    </row>
    <row r="2438" customFormat="false" ht="15" hidden="false" customHeight="false" outlineLevel="0" collapsed="false">
      <c r="A2438" s="60"/>
      <c r="B2438" s="61" t="str">
        <f aca="false">IF($M2438=0,"",INDEX(Classes!$E$6:$E$420,$M2438))</f>
        <v/>
      </c>
      <c r="C2438" s="62" t="str">
        <f aca="false">IF($M2438=0,"",INDEX(Classes!$H$6:$H$420,$M2438))</f>
        <v/>
      </c>
      <c r="D2438" s="61" t="str">
        <f aca="false">IF($M2438=0,"",INDEX(Classes!$B$6:$B$420,$M2438))</f>
        <v/>
      </c>
      <c r="E2438" s="61" t="str">
        <f aca="false">IF($M2438=0,"",INDEX(Classes!$C$6:$C$420,$M2438))</f>
        <v/>
      </c>
      <c r="F2438" s="63"/>
      <c r="G2438" s="63"/>
      <c r="H2438" s="60"/>
      <c r="I2438" s="60"/>
      <c r="J2438" s="63"/>
      <c r="K2438" s="61" t="str">
        <f aca="false">IF($P2438=0,"",IF($F2438="Baseline","— Baseline",IF($O2438=0,"No result",IF($N2438=0,"No Start (attainment only)",IF(OR($N2438=1,$O2438=1),"U – needs rule",INDEX(MxBody,MATCH($I2438,MxCurr,0),MATCH($H2438,MxStart,0)))))))</f>
        <v/>
      </c>
      <c r="L2438" s="62" t="str">
        <f aca="false">IF(COUNTA($A2438,$F2438,$G2438,$H2438,$I2438,$J2438)=0,"",IF($M2438=0,"✖ كود الصف غير موجود",IF(ISNA(MATCH($F2438,Lists!$A$2:$A$5,0)),"✖ الفترة غير صحيحة",IF(ISNA(MATCH($G2438,Lists!$B$2:$B$7,0)),"✖ المجموعة غير صحيحة",IF(NOT(OR($H2438="",$N2438&gt;0)),"✖ Start غير صحيح",IF(NOT(OR($I2438="",$I2438="NR",$O2438&gt;0)),"✖ Current غير صحيح",IF(NOT(IF(ISNUMBER($J2438),AND($J2438&gt;=0,$J2438=INT($J2438)),FALSE())),"✖ العدد يجب أن يكون صحيحًا ≥ 0",IF(AND($F2438="Baseline",$H2438&lt;&gt;""),"⚠ Baseline: Start لا يدخل في التقدم",IF($K2438="No Start (attainment only)","ℹ تحصيل فقط (بدون Start)",IF($K2438="U – needs rule","ℹ حالة U تحتاج قاعدة معتمدة",IF($K2438="No result","ℹ بدون نتيجة (يُستبعد من التحصيل)","OK")))))))))))</f>
        <v/>
      </c>
      <c r="M2438" s="64" t="n">
        <f aca="false">IF($A2438="",0,IFERROR(MATCH($A2438,Classes!$A$6:$A$420,0),0))</f>
        <v>0</v>
      </c>
      <c r="N2438" s="64" t="n">
        <f aca="false">IF($H2438="",0,IFERROR(MATCH($H2438,GradeList,0),0))</f>
        <v>0</v>
      </c>
      <c r="O2438" s="64" t="n">
        <f aca="false">IF(OR($I2438="",$I2438="NR"),0,IFERROR(MATCH($I2438,GradeList,0),0))</f>
        <v>0</v>
      </c>
      <c r="P2438" s="64" t="n">
        <f aca="false">IF(AND($M2438&gt;0,ISNUMBER(MATCH($F2438,Lists!$A$2:$A$5,0)),ISNUMBER(MATCH($G2438,Lists!$B$2:$B$7,0)),OR($H2438="",$N2438&gt;0),OR($I2438="",$I2438="NR",$O2438&gt;0),IF(ISNUMBER($J2438),AND($J2438&gt;=0,$J2438=INT($J2438)),FALSE())),$J2438,0)</f>
        <v>0</v>
      </c>
      <c r="Q2438" s="64" t="n">
        <f aca="false">IF(AND($P2438&gt;0,$O2438&gt;0),$P2438,0)</f>
        <v>0</v>
      </c>
      <c r="R2438" s="64" t="n">
        <f aca="false">IF(AND($Q2438&gt;0,$O2438&gt;=AtRank),$Q2438,0)</f>
        <v>0</v>
      </c>
      <c r="S2438" s="64" t="n">
        <f aca="false">IF(AND($Q2438&gt;0,$O2438&gt;=AboveRank),$Q2438,0)</f>
        <v>0</v>
      </c>
      <c r="T2438" s="64" t="n">
        <f aca="false">IF($K2438="Less",$P2438,0)</f>
        <v>0</v>
      </c>
      <c r="U2438" s="64" t="n">
        <f aca="false">IF($K2438="Expected",$P2438,0)</f>
        <v>0</v>
      </c>
      <c r="V2438" s="64" t="n">
        <f aca="false">IF($K2438="Better",$P2438,0)</f>
        <v>0</v>
      </c>
      <c r="W2438" s="64" t="n">
        <f aca="false">IF($K2438="U – needs rule",$P2438,0)</f>
        <v>0</v>
      </c>
      <c r="X2438" s="64" t="n">
        <f aca="false">IF($K2438="No Start (attainment only)",$P2438,0)</f>
        <v>0</v>
      </c>
    </row>
    <row r="2439" customFormat="false" ht="15" hidden="false" customHeight="false" outlineLevel="0" collapsed="false">
      <c r="A2439" s="60"/>
      <c r="B2439" s="61" t="str">
        <f aca="false">IF($M2439=0,"",INDEX(Classes!$E$6:$E$420,$M2439))</f>
        <v/>
      </c>
      <c r="C2439" s="62" t="str">
        <f aca="false">IF($M2439=0,"",INDEX(Classes!$H$6:$H$420,$M2439))</f>
        <v/>
      </c>
      <c r="D2439" s="61" t="str">
        <f aca="false">IF($M2439=0,"",INDEX(Classes!$B$6:$B$420,$M2439))</f>
        <v/>
      </c>
      <c r="E2439" s="61" t="str">
        <f aca="false">IF($M2439=0,"",INDEX(Classes!$C$6:$C$420,$M2439))</f>
        <v/>
      </c>
      <c r="F2439" s="63"/>
      <c r="G2439" s="63"/>
      <c r="H2439" s="60"/>
      <c r="I2439" s="60"/>
      <c r="J2439" s="63"/>
      <c r="K2439" s="61" t="str">
        <f aca="false">IF($P2439=0,"",IF($F2439="Baseline","— Baseline",IF($O2439=0,"No result",IF($N2439=0,"No Start (attainment only)",IF(OR($N2439=1,$O2439=1),"U – needs rule",INDEX(MxBody,MATCH($I2439,MxCurr,0),MATCH($H2439,MxStart,0)))))))</f>
        <v/>
      </c>
      <c r="L2439" s="62" t="str">
        <f aca="false">IF(COUNTA($A2439,$F2439,$G2439,$H2439,$I2439,$J2439)=0,"",IF($M2439=0,"✖ كود الصف غير موجود",IF(ISNA(MATCH($F2439,Lists!$A$2:$A$5,0)),"✖ الفترة غير صحيحة",IF(ISNA(MATCH($G2439,Lists!$B$2:$B$7,0)),"✖ المجموعة غير صحيحة",IF(NOT(OR($H2439="",$N2439&gt;0)),"✖ Start غير صحيح",IF(NOT(OR($I2439="",$I2439="NR",$O2439&gt;0)),"✖ Current غير صحيح",IF(NOT(IF(ISNUMBER($J2439),AND($J2439&gt;=0,$J2439=INT($J2439)),FALSE())),"✖ العدد يجب أن يكون صحيحًا ≥ 0",IF(AND($F2439="Baseline",$H2439&lt;&gt;""),"⚠ Baseline: Start لا يدخل في التقدم",IF($K2439="No Start (attainment only)","ℹ تحصيل فقط (بدون Start)",IF($K2439="U – needs rule","ℹ حالة U تحتاج قاعدة معتمدة",IF($K2439="No result","ℹ بدون نتيجة (يُستبعد من التحصيل)","OK")))))))))))</f>
        <v/>
      </c>
      <c r="M2439" s="64" t="n">
        <f aca="false">IF($A2439="",0,IFERROR(MATCH($A2439,Classes!$A$6:$A$420,0),0))</f>
        <v>0</v>
      </c>
      <c r="N2439" s="64" t="n">
        <f aca="false">IF($H2439="",0,IFERROR(MATCH($H2439,GradeList,0),0))</f>
        <v>0</v>
      </c>
      <c r="O2439" s="64" t="n">
        <f aca="false">IF(OR($I2439="",$I2439="NR"),0,IFERROR(MATCH($I2439,GradeList,0),0))</f>
        <v>0</v>
      </c>
      <c r="P2439" s="64" t="n">
        <f aca="false">IF(AND($M2439&gt;0,ISNUMBER(MATCH($F2439,Lists!$A$2:$A$5,0)),ISNUMBER(MATCH($G2439,Lists!$B$2:$B$7,0)),OR($H2439="",$N2439&gt;0),OR($I2439="",$I2439="NR",$O2439&gt;0),IF(ISNUMBER($J2439),AND($J2439&gt;=0,$J2439=INT($J2439)),FALSE())),$J2439,0)</f>
        <v>0</v>
      </c>
      <c r="Q2439" s="64" t="n">
        <f aca="false">IF(AND($P2439&gt;0,$O2439&gt;0),$P2439,0)</f>
        <v>0</v>
      </c>
      <c r="R2439" s="64" t="n">
        <f aca="false">IF(AND($Q2439&gt;0,$O2439&gt;=AtRank),$Q2439,0)</f>
        <v>0</v>
      </c>
      <c r="S2439" s="64" t="n">
        <f aca="false">IF(AND($Q2439&gt;0,$O2439&gt;=AboveRank),$Q2439,0)</f>
        <v>0</v>
      </c>
      <c r="T2439" s="64" t="n">
        <f aca="false">IF($K2439="Less",$P2439,0)</f>
        <v>0</v>
      </c>
      <c r="U2439" s="64" t="n">
        <f aca="false">IF($K2439="Expected",$P2439,0)</f>
        <v>0</v>
      </c>
      <c r="V2439" s="64" t="n">
        <f aca="false">IF($K2439="Better",$P2439,0)</f>
        <v>0</v>
      </c>
      <c r="W2439" s="64" t="n">
        <f aca="false">IF($K2439="U – needs rule",$P2439,0)</f>
        <v>0</v>
      </c>
      <c r="X2439" s="64" t="n">
        <f aca="false">IF($K2439="No Start (attainment only)",$P2439,0)</f>
        <v>0</v>
      </c>
    </row>
    <row r="2440" customFormat="false" ht="15" hidden="false" customHeight="false" outlineLevel="0" collapsed="false">
      <c r="A2440" s="60"/>
      <c r="B2440" s="61" t="str">
        <f aca="false">IF($M2440=0,"",INDEX(Classes!$E$6:$E$420,$M2440))</f>
        <v/>
      </c>
      <c r="C2440" s="62" t="str">
        <f aca="false">IF($M2440=0,"",INDEX(Classes!$H$6:$H$420,$M2440))</f>
        <v/>
      </c>
      <c r="D2440" s="61" t="str">
        <f aca="false">IF($M2440=0,"",INDEX(Classes!$B$6:$B$420,$M2440))</f>
        <v/>
      </c>
      <c r="E2440" s="61" t="str">
        <f aca="false">IF($M2440=0,"",INDEX(Classes!$C$6:$C$420,$M2440))</f>
        <v/>
      </c>
      <c r="F2440" s="63"/>
      <c r="G2440" s="63"/>
      <c r="H2440" s="60"/>
      <c r="I2440" s="60"/>
      <c r="J2440" s="63"/>
      <c r="K2440" s="61" t="str">
        <f aca="false">IF($P2440=0,"",IF($F2440="Baseline","— Baseline",IF($O2440=0,"No result",IF($N2440=0,"No Start (attainment only)",IF(OR($N2440=1,$O2440=1),"U – needs rule",INDEX(MxBody,MATCH($I2440,MxCurr,0),MATCH($H2440,MxStart,0)))))))</f>
        <v/>
      </c>
      <c r="L2440" s="62" t="str">
        <f aca="false">IF(COUNTA($A2440,$F2440,$G2440,$H2440,$I2440,$J2440)=0,"",IF($M2440=0,"✖ كود الصف غير موجود",IF(ISNA(MATCH($F2440,Lists!$A$2:$A$5,0)),"✖ الفترة غير صحيحة",IF(ISNA(MATCH($G2440,Lists!$B$2:$B$7,0)),"✖ المجموعة غير صحيحة",IF(NOT(OR($H2440="",$N2440&gt;0)),"✖ Start غير صحيح",IF(NOT(OR($I2440="",$I2440="NR",$O2440&gt;0)),"✖ Current غير صحيح",IF(NOT(IF(ISNUMBER($J2440),AND($J2440&gt;=0,$J2440=INT($J2440)),FALSE())),"✖ العدد يجب أن يكون صحيحًا ≥ 0",IF(AND($F2440="Baseline",$H2440&lt;&gt;""),"⚠ Baseline: Start لا يدخل في التقدم",IF($K2440="No Start (attainment only)","ℹ تحصيل فقط (بدون Start)",IF($K2440="U – needs rule","ℹ حالة U تحتاج قاعدة معتمدة",IF($K2440="No result","ℹ بدون نتيجة (يُستبعد من التحصيل)","OK")))))))))))</f>
        <v/>
      </c>
      <c r="M2440" s="64" t="n">
        <f aca="false">IF($A2440="",0,IFERROR(MATCH($A2440,Classes!$A$6:$A$420,0),0))</f>
        <v>0</v>
      </c>
      <c r="N2440" s="64" t="n">
        <f aca="false">IF($H2440="",0,IFERROR(MATCH($H2440,GradeList,0),0))</f>
        <v>0</v>
      </c>
      <c r="O2440" s="64" t="n">
        <f aca="false">IF(OR($I2440="",$I2440="NR"),0,IFERROR(MATCH($I2440,GradeList,0),0))</f>
        <v>0</v>
      </c>
      <c r="P2440" s="64" t="n">
        <f aca="false">IF(AND($M2440&gt;0,ISNUMBER(MATCH($F2440,Lists!$A$2:$A$5,0)),ISNUMBER(MATCH($G2440,Lists!$B$2:$B$7,0)),OR($H2440="",$N2440&gt;0),OR($I2440="",$I2440="NR",$O2440&gt;0),IF(ISNUMBER($J2440),AND($J2440&gt;=0,$J2440=INT($J2440)),FALSE())),$J2440,0)</f>
        <v>0</v>
      </c>
      <c r="Q2440" s="64" t="n">
        <f aca="false">IF(AND($P2440&gt;0,$O2440&gt;0),$P2440,0)</f>
        <v>0</v>
      </c>
      <c r="R2440" s="64" t="n">
        <f aca="false">IF(AND($Q2440&gt;0,$O2440&gt;=AtRank),$Q2440,0)</f>
        <v>0</v>
      </c>
      <c r="S2440" s="64" t="n">
        <f aca="false">IF(AND($Q2440&gt;0,$O2440&gt;=AboveRank),$Q2440,0)</f>
        <v>0</v>
      </c>
      <c r="T2440" s="64" t="n">
        <f aca="false">IF($K2440="Less",$P2440,0)</f>
        <v>0</v>
      </c>
      <c r="U2440" s="64" t="n">
        <f aca="false">IF($K2440="Expected",$P2440,0)</f>
        <v>0</v>
      </c>
      <c r="V2440" s="64" t="n">
        <f aca="false">IF($K2440="Better",$P2440,0)</f>
        <v>0</v>
      </c>
      <c r="W2440" s="64" t="n">
        <f aca="false">IF($K2440="U – needs rule",$P2440,0)</f>
        <v>0</v>
      </c>
      <c r="X2440" s="64" t="n">
        <f aca="false">IF($K2440="No Start (attainment only)",$P2440,0)</f>
        <v>0</v>
      </c>
    </row>
    <row r="2441" customFormat="false" ht="15" hidden="false" customHeight="false" outlineLevel="0" collapsed="false">
      <c r="A2441" s="60"/>
      <c r="B2441" s="61" t="str">
        <f aca="false">IF($M2441=0,"",INDEX(Classes!$E$6:$E$420,$M2441))</f>
        <v/>
      </c>
      <c r="C2441" s="62" t="str">
        <f aca="false">IF($M2441=0,"",INDEX(Classes!$H$6:$H$420,$M2441))</f>
        <v/>
      </c>
      <c r="D2441" s="61" t="str">
        <f aca="false">IF($M2441=0,"",INDEX(Classes!$B$6:$B$420,$M2441))</f>
        <v/>
      </c>
      <c r="E2441" s="61" t="str">
        <f aca="false">IF($M2441=0,"",INDEX(Classes!$C$6:$C$420,$M2441))</f>
        <v/>
      </c>
      <c r="F2441" s="63"/>
      <c r="G2441" s="63"/>
      <c r="H2441" s="60"/>
      <c r="I2441" s="60"/>
      <c r="J2441" s="63"/>
      <c r="K2441" s="61" t="str">
        <f aca="false">IF($P2441=0,"",IF($F2441="Baseline","— Baseline",IF($O2441=0,"No result",IF($N2441=0,"No Start (attainment only)",IF(OR($N2441=1,$O2441=1),"U – needs rule",INDEX(MxBody,MATCH($I2441,MxCurr,0),MATCH($H2441,MxStart,0)))))))</f>
        <v/>
      </c>
      <c r="L2441" s="62" t="str">
        <f aca="false">IF(COUNTA($A2441,$F2441,$G2441,$H2441,$I2441,$J2441)=0,"",IF($M2441=0,"✖ كود الصف غير موجود",IF(ISNA(MATCH($F2441,Lists!$A$2:$A$5,0)),"✖ الفترة غير صحيحة",IF(ISNA(MATCH($G2441,Lists!$B$2:$B$7,0)),"✖ المجموعة غير صحيحة",IF(NOT(OR($H2441="",$N2441&gt;0)),"✖ Start غير صحيح",IF(NOT(OR($I2441="",$I2441="NR",$O2441&gt;0)),"✖ Current غير صحيح",IF(NOT(IF(ISNUMBER($J2441),AND($J2441&gt;=0,$J2441=INT($J2441)),FALSE())),"✖ العدد يجب أن يكون صحيحًا ≥ 0",IF(AND($F2441="Baseline",$H2441&lt;&gt;""),"⚠ Baseline: Start لا يدخل في التقدم",IF($K2441="No Start (attainment only)","ℹ تحصيل فقط (بدون Start)",IF($K2441="U – needs rule","ℹ حالة U تحتاج قاعدة معتمدة",IF($K2441="No result","ℹ بدون نتيجة (يُستبعد من التحصيل)","OK")))))))))))</f>
        <v/>
      </c>
      <c r="M2441" s="64" t="n">
        <f aca="false">IF($A2441="",0,IFERROR(MATCH($A2441,Classes!$A$6:$A$420,0),0))</f>
        <v>0</v>
      </c>
      <c r="N2441" s="64" t="n">
        <f aca="false">IF($H2441="",0,IFERROR(MATCH($H2441,GradeList,0),0))</f>
        <v>0</v>
      </c>
      <c r="O2441" s="64" t="n">
        <f aca="false">IF(OR($I2441="",$I2441="NR"),0,IFERROR(MATCH($I2441,GradeList,0),0))</f>
        <v>0</v>
      </c>
      <c r="P2441" s="64" t="n">
        <f aca="false">IF(AND($M2441&gt;0,ISNUMBER(MATCH($F2441,Lists!$A$2:$A$5,0)),ISNUMBER(MATCH($G2441,Lists!$B$2:$B$7,0)),OR($H2441="",$N2441&gt;0),OR($I2441="",$I2441="NR",$O2441&gt;0),IF(ISNUMBER($J2441),AND($J2441&gt;=0,$J2441=INT($J2441)),FALSE())),$J2441,0)</f>
        <v>0</v>
      </c>
      <c r="Q2441" s="64" t="n">
        <f aca="false">IF(AND($P2441&gt;0,$O2441&gt;0),$P2441,0)</f>
        <v>0</v>
      </c>
      <c r="R2441" s="64" t="n">
        <f aca="false">IF(AND($Q2441&gt;0,$O2441&gt;=AtRank),$Q2441,0)</f>
        <v>0</v>
      </c>
      <c r="S2441" s="64" t="n">
        <f aca="false">IF(AND($Q2441&gt;0,$O2441&gt;=AboveRank),$Q2441,0)</f>
        <v>0</v>
      </c>
      <c r="T2441" s="64" t="n">
        <f aca="false">IF($K2441="Less",$P2441,0)</f>
        <v>0</v>
      </c>
      <c r="U2441" s="64" t="n">
        <f aca="false">IF($K2441="Expected",$P2441,0)</f>
        <v>0</v>
      </c>
      <c r="V2441" s="64" t="n">
        <f aca="false">IF($K2441="Better",$P2441,0)</f>
        <v>0</v>
      </c>
      <c r="W2441" s="64" t="n">
        <f aca="false">IF($K2441="U – needs rule",$P2441,0)</f>
        <v>0</v>
      </c>
      <c r="X2441" s="64" t="n">
        <f aca="false">IF($K2441="No Start (attainment only)",$P2441,0)</f>
        <v>0</v>
      </c>
    </row>
    <row r="2442" customFormat="false" ht="15" hidden="false" customHeight="false" outlineLevel="0" collapsed="false">
      <c r="A2442" s="60"/>
      <c r="B2442" s="61" t="str">
        <f aca="false">IF($M2442=0,"",INDEX(Classes!$E$6:$E$420,$M2442))</f>
        <v/>
      </c>
      <c r="C2442" s="62" t="str">
        <f aca="false">IF($M2442=0,"",INDEX(Classes!$H$6:$H$420,$M2442))</f>
        <v/>
      </c>
      <c r="D2442" s="61" t="str">
        <f aca="false">IF($M2442=0,"",INDEX(Classes!$B$6:$B$420,$M2442))</f>
        <v/>
      </c>
      <c r="E2442" s="61" t="str">
        <f aca="false">IF($M2442=0,"",INDEX(Classes!$C$6:$C$420,$M2442))</f>
        <v/>
      </c>
      <c r="F2442" s="63"/>
      <c r="G2442" s="63"/>
      <c r="H2442" s="60"/>
      <c r="I2442" s="60"/>
      <c r="J2442" s="63"/>
      <c r="K2442" s="61" t="str">
        <f aca="false">IF($P2442=0,"",IF($F2442="Baseline","— Baseline",IF($O2442=0,"No result",IF($N2442=0,"No Start (attainment only)",IF(OR($N2442=1,$O2442=1),"U – needs rule",INDEX(MxBody,MATCH($I2442,MxCurr,0),MATCH($H2442,MxStart,0)))))))</f>
        <v/>
      </c>
      <c r="L2442" s="62" t="str">
        <f aca="false">IF(COUNTA($A2442,$F2442,$G2442,$H2442,$I2442,$J2442)=0,"",IF($M2442=0,"✖ كود الصف غير موجود",IF(ISNA(MATCH($F2442,Lists!$A$2:$A$5,0)),"✖ الفترة غير صحيحة",IF(ISNA(MATCH($G2442,Lists!$B$2:$B$7,0)),"✖ المجموعة غير صحيحة",IF(NOT(OR($H2442="",$N2442&gt;0)),"✖ Start غير صحيح",IF(NOT(OR($I2442="",$I2442="NR",$O2442&gt;0)),"✖ Current غير صحيح",IF(NOT(IF(ISNUMBER($J2442),AND($J2442&gt;=0,$J2442=INT($J2442)),FALSE())),"✖ العدد يجب أن يكون صحيحًا ≥ 0",IF(AND($F2442="Baseline",$H2442&lt;&gt;""),"⚠ Baseline: Start لا يدخل في التقدم",IF($K2442="No Start (attainment only)","ℹ تحصيل فقط (بدون Start)",IF($K2442="U – needs rule","ℹ حالة U تحتاج قاعدة معتمدة",IF($K2442="No result","ℹ بدون نتيجة (يُستبعد من التحصيل)","OK")))))))))))</f>
        <v/>
      </c>
      <c r="M2442" s="64" t="n">
        <f aca="false">IF($A2442="",0,IFERROR(MATCH($A2442,Classes!$A$6:$A$420,0),0))</f>
        <v>0</v>
      </c>
      <c r="N2442" s="64" t="n">
        <f aca="false">IF($H2442="",0,IFERROR(MATCH($H2442,GradeList,0),0))</f>
        <v>0</v>
      </c>
      <c r="O2442" s="64" t="n">
        <f aca="false">IF(OR($I2442="",$I2442="NR"),0,IFERROR(MATCH($I2442,GradeList,0),0))</f>
        <v>0</v>
      </c>
      <c r="P2442" s="64" t="n">
        <f aca="false">IF(AND($M2442&gt;0,ISNUMBER(MATCH($F2442,Lists!$A$2:$A$5,0)),ISNUMBER(MATCH($G2442,Lists!$B$2:$B$7,0)),OR($H2442="",$N2442&gt;0),OR($I2442="",$I2442="NR",$O2442&gt;0),IF(ISNUMBER($J2442),AND($J2442&gt;=0,$J2442=INT($J2442)),FALSE())),$J2442,0)</f>
        <v>0</v>
      </c>
      <c r="Q2442" s="64" t="n">
        <f aca="false">IF(AND($P2442&gt;0,$O2442&gt;0),$P2442,0)</f>
        <v>0</v>
      </c>
      <c r="R2442" s="64" t="n">
        <f aca="false">IF(AND($Q2442&gt;0,$O2442&gt;=AtRank),$Q2442,0)</f>
        <v>0</v>
      </c>
      <c r="S2442" s="64" t="n">
        <f aca="false">IF(AND($Q2442&gt;0,$O2442&gt;=AboveRank),$Q2442,0)</f>
        <v>0</v>
      </c>
      <c r="T2442" s="64" t="n">
        <f aca="false">IF($K2442="Less",$P2442,0)</f>
        <v>0</v>
      </c>
      <c r="U2442" s="64" t="n">
        <f aca="false">IF($K2442="Expected",$P2442,0)</f>
        <v>0</v>
      </c>
      <c r="V2442" s="64" t="n">
        <f aca="false">IF($K2442="Better",$P2442,0)</f>
        <v>0</v>
      </c>
      <c r="W2442" s="64" t="n">
        <f aca="false">IF($K2442="U – needs rule",$P2442,0)</f>
        <v>0</v>
      </c>
      <c r="X2442" s="64" t="n">
        <f aca="false">IF($K2442="No Start (attainment only)",$P2442,0)</f>
        <v>0</v>
      </c>
    </row>
    <row r="2443" customFormat="false" ht="15" hidden="false" customHeight="false" outlineLevel="0" collapsed="false">
      <c r="A2443" s="60"/>
      <c r="B2443" s="61" t="str">
        <f aca="false">IF($M2443=0,"",INDEX(Classes!$E$6:$E$420,$M2443))</f>
        <v/>
      </c>
      <c r="C2443" s="62" t="str">
        <f aca="false">IF($M2443=0,"",INDEX(Classes!$H$6:$H$420,$M2443))</f>
        <v/>
      </c>
      <c r="D2443" s="61" t="str">
        <f aca="false">IF($M2443=0,"",INDEX(Classes!$B$6:$B$420,$M2443))</f>
        <v/>
      </c>
      <c r="E2443" s="61" t="str">
        <f aca="false">IF($M2443=0,"",INDEX(Classes!$C$6:$C$420,$M2443))</f>
        <v/>
      </c>
      <c r="F2443" s="63"/>
      <c r="G2443" s="63"/>
      <c r="H2443" s="60"/>
      <c r="I2443" s="60"/>
      <c r="J2443" s="63"/>
      <c r="K2443" s="61" t="str">
        <f aca="false">IF($P2443=0,"",IF($F2443="Baseline","— Baseline",IF($O2443=0,"No result",IF($N2443=0,"No Start (attainment only)",IF(OR($N2443=1,$O2443=1),"U – needs rule",INDEX(MxBody,MATCH($I2443,MxCurr,0),MATCH($H2443,MxStart,0)))))))</f>
        <v/>
      </c>
      <c r="L2443" s="62" t="str">
        <f aca="false">IF(COUNTA($A2443,$F2443,$G2443,$H2443,$I2443,$J2443)=0,"",IF($M2443=0,"✖ كود الصف غير موجود",IF(ISNA(MATCH($F2443,Lists!$A$2:$A$5,0)),"✖ الفترة غير صحيحة",IF(ISNA(MATCH($G2443,Lists!$B$2:$B$7,0)),"✖ المجموعة غير صحيحة",IF(NOT(OR($H2443="",$N2443&gt;0)),"✖ Start غير صحيح",IF(NOT(OR($I2443="",$I2443="NR",$O2443&gt;0)),"✖ Current غير صحيح",IF(NOT(IF(ISNUMBER($J2443),AND($J2443&gt;=0,$J2443=INT($J2443)),FALSE())),"✖ العدد يجب أن يكون صحيحًا ≥ 0",IF(AND($F2443="Baseline",$H2443&lt;&gt;""),"⚠ Baseline: Start لا يدخل في التقدم",IF($K2443="No Start (attainment only)","ℹ تحصيل فقط (بدون Start)",IF($K2443="U – needs rule","ℹ حالة U تحتاج قاعدة معتمدة",IF($K2443="No result","ℹ بدون نتيجة (يُستبعد من التحصيل)","OK")))))))))))</f>
        <v/>
      </c>
      <c r="M2443" s="64" t="n">
        <f aca="false">IF($A2443="",0,IFERROR(MATCH($A2443,Classes!$A$6:$A$420,0),0))</f>
        <v>0</v>
      </c>
      <c r="N2443" s="64" t="n">
        <f aca="false">IF($H2443="",0,IFERROR(MATCH($H2443,GradeList,0),0))</f>
        <v>0</v>
      </c>
      <c r="O2443" s="64" t="n">
        <f aca="false">IF(OR($I2443="",$I2443="NR"),0,IFERROR(MATCH($I2443,GradeList,0),0))</f>
        <v>0</v>
      </c>
      <c r="P2443" s="64" t="n">
        <f aca="false">IF(AND($M2443&gt;0,ISNUMBER(MATCH($F2443,Lists!$A$2:$A$5,0)),ISNUMBER(MATCH($G2443,Lists!$B$2:$B$7,0)),OR($H2443="",$N2443&gt;0),OR($I2443="",$I2443="NR",$O2443&gt;0),IF(ISNUMBER($J2443),AND($J2443&gt;=0,$J2443=INT($J2443)),FALSE())),$J2443,0)</f>
        <v>0</v>
      </c>
      <c r="Q2443" s="64" t="n">
        <f aca="false">IF(AND($P2443&gt;0,$O2443&gt;0),$P2443,0)</f>
        <v>0</v>
      </c>
      <c r="R2443" s="64" t="n">
        <f aca="false">IF(AND($Q2443&gt;0,$O2443&gt;=AtRank),$Q2443,0)</f>
        <v>0</v>
      </c>
      <c r="S2443" s="64" t="n">
        <f aca="false">IF(AND($Q2443&gt;0,$O2443&gt;=AboveRank),$Q2443,0)</f>
        <v>0</v>
      </c>
      <c r="T2443" s="64" t="n">
        <f aca="false">IF($K2443="Less",$P2443,0)</f>
        <v>0</v>
      </c>
      <c r="U2443" s="64" t="n">
        <f aca="false">IF($K2443="Expected",$P2443,0)</f>
        <v>0</v>
      </c>
      <c r="V2443" s="64" t="n">
        <f aca="false">IF($K2443="Better",$P2443,0)</f>
        <v>0</v>
      </c>
      <c r="W2443" s="64" t="n">
        <f aca="false">IF($K2443="U – needs rule",$P2443,0)</f>
        <v>0</v>
      </c>
      <c r="X2443" s="64" t="n">
        <f aca="false">IF($K2443="No Start (attainment only)",$P2443,0)</f>
        <v>0</v>
      </c>
    </row>
    <row r="2444" customFormat="false" ht="15" hidden="false" customHeight="false" outlineLevel="0" collapsed="false">
      <c r="A2444" s="60"/>
      <c r="B2444" s="61" t="str">
        <f aca="false">IF($M2444=0,"",INDEX(Classes!$E$6:$E$420,$M2444))</f>
        <v/>
      </c>
      <c r="C2444" s="62" t="str">
        <f aca="false">IF($M2444=0,"",INDEX(Classes!$H$6:$H$420,$M2444))</f>
        <v/>
      </c>
      <c r="D2444" s="61" t="str">
        <f aca="false">IF($M2444=0,"",INDEX(Classes!$B$6:$B$420,$M2444))</f>
        <v/>
      </c>
      <c r="E2444" s="61" t="str">
        <f aca="false">IF($M2444=0,"",INDEX(Classes!$C$6:$C$420,$M2444))</f>
        <v/>
      </c>
      <c r="F2444" s="63"/>
      <c r="G2444" s="63"/>
      <c r="H2444" s="60"/>
      <c r="I2444" s="60"/>
      <c r="J2444" s="63"/>
      <c r="K2444" s="61" t="str">
        <f aca="false">IF($P2444=0,"",IF($F2444="Baseline","— Baseline",IF($O2444=0,"No result",IF($N2444=0,"No Start (attainment only)",IF(OR($N2444=1,$O2444=1),"U – needs rule",INDEX(MxBody,MATCH($I2444,MxCurr,0),MATCH($H2444,MxStart,0)))))))</f>
        <v/>
      </c>
      <c r="L2444" s="62" t="str">
        <f aca="false">IF(COUNTA($A2444,$F2444,$G2444,$H2444,$I2444,$J2444)=0,"",IF($M2444=0,"✖ كود الصف غير موجود",IF(ISNA(MATCH($F2444,Lists!$A$2:$A$5,0)),"✖ الفترة غير صحيحة",IF(ISNA(MATCH($G2444,Lists!$B$2:$B$7,0)),"✖ المجموعة غير صحيحة",IF(NOT(OR($H2444="",$N2444&gt;0)),"✖ Start غير صحيح",IF(NOT(OR($I2444="",$I2444="NR",$O2444&gt;0)),"✖ Current غير صحيح",IF(NOT(IF(ISNUMBER($J2444),AND($J2444&gt;=0,$J2444=INT($J2444)),FALSE())),"✖ العدد يجب أن يكون صحيحًا ≥ 0",IF(AND($F2444="Baseline",$H2444&lt;&gt;""),"⚠ Baseline: Start لا يدخل في التقدم",IF($K2444="No Start (attainment only)","ℹ تحصيل فقط (بدون Start)",IF($K2444="U – needs rule","ℹ حالة U تحتاج قاعدة معتمدة",IF($K2444="No result","ℹ بدون نتيجة (يُستبعد من التحصيل)","OK")))))))))))</f>
        <v/>
      </c>
      <c r="M2444" s="64" t="n">
        <f aca="false">IF($A2444="",0,IFERROR(MATCH($A2444,Classes!$A$6:$A$420,0),0))</f>
        <v>0</v>
      </c>
      <c r="N2444" s="64" t="n">
        <f aca="false">IF($H2444="",0,IFERROR(MATCH($H2444,GradeList,0),0))</f>
        <v>0</v>
      </c>
      <c r="O2444" s="64" t="n">
        <f aca="false">IF(OR($I2444="",$I2444="NR"),0,IFERROR(MATCH($I2444,GradeList,0),0))</f>
        <v>0</v>
      </c>
      <c r="P2444" s="64" t="n">
        <f aca="false">IF(AND($M2444&gt;0,ISNUMBER(MATCH($F2444,Lists!$A$2:$A$5,0)),ISNUMBER(MATCH($G2444,Lists!$B$2:$B$7,0)),OR($H2444="",$N2444&gt;0),OR($I2444="",$I2444="NR",$O2444&gt;0),IF(ISNUMBER($J2444),AND($J2444&gt;=0,$J2444=INT($J2444)),FALSE())),$J2444,0)</f>
        <v>0</v>
      </c>
      <c r="Q2444" s="64" t="n">
        <f aca="false">IF(AND($P2444&gt;0,$O2444&gt;0),$P2444,0)</f>
        <v>0</v>
      </c>
      <c r="R2444" s="64" t="n">
        <f aca="false">IF(AND($Q2444&gt;0,$O2444&gt;=AtRank),$Q2444,0)</f>
        <v>0</v>
      </c>
      <c r="S2444" s="64" t="n">
        <f aca="false">IF(AND($Q2444&gt;0,$O2444&gt;=AboveRank),$Q2444,0)</f>
        <v>0</v>
      </c>
      <c r="T2444" s="64" t="n">
        <f aca="false">IF($K2444="Less",$P2444,0)</f>
        <v>0</v>
      </c>
      <c r="U2444" s="64" t="n">
        <f aca="false">IF($K2444="Expected",$P2444,0)</f>
        <v>0</v>
      </c>
      <c r="V2444" s="64" t="n">
        <f aca="false">IF($K2444="Better",$P2444,0)</f>
        <v>0</v>
      </c>
      <c r="W2444" s="64" t="n">
        <f aca="false">IF($K2444="U – needs rule",$P2444,0)</f>
        <v>0</v>
      </c>
      <c r="X2444" s="64" t="n">
        <f aca="false">IF($K2444="No Start (attainment only)",$P2444,0)</f>
        <v>0</v>
      </c>
    </row>
    <row r="2445" customFormat="false" ht="15" hidden="false" customHeight="false" outlineLevel="0" collapsed="false">
      <c r="A2445" s="60"/>
      <c r="B2445" s="61" t="str">
        <f aca="false">IF($M2445=0,"",INDEX(Classes!$E$6:$E$420,$M2445))</f>
        <v/>
      </c>
      <c r="C2445" s="62" t="str">
        <f aca="false">IF($M2445=0,"",INDEX(Classes!$H$6:$H$420,$M2445))</f>
        <v/>
      </c>
      <c r="D2445" s="61" t="str">
        <f aca="false">IF($M2445=0,"",INDEX(Classes!$B$6:$B$420,$M2445))</f>
        <v/>
      </c>
      <c r="E2445" s="61" t="str">
        <f aca="false">IF($M2445=0,"",INDEX(Classes!$C$6:$C$420,$M2445))</f>
        <v/>
      </c>
      <c r="F2445" s="63"/>
      <c r="G2445" s="63"/>
      <c r="H2445" s="60"/>
      <c r="I2445" s="60"/>
      <c r="J2445" s="63"/>
      <c r="K2445" s="61" t="str">
        <f aca="false">IF($P2445=0,"",IF($F2445="Baseline","— Baseline",IF($O2445=0,"No result",IF($N2445=0,"No Start (attainment only)",IF(OR($N2445=1,$O2445=1),"U – needs rule",INDEX(MxBody,MATCH($I2445,MxCurr,0),MATCH($H2445,MxStart,0)))))))</f>
        <v/>
      </c>
      <c r="L2445" s="62" t="str">
        <f aca="false">IF(COUNTA($A2445,$F2445,$G2445,$H2445,$I2445,$J2445)=0,"",IF($M2445=0,"✖ كود الصف غير موجود",IF(ISNA(MATCH($F2445,Lists!$A$2:$A$5,0)),"✖ الفترة غير صحيحة",IF(ISNA(MATCH($G2445,Lists!$B$2:$B$7,0)),"✖ المجموعة غير صحيحة",IF(NOT(OR($H2445="",$N2445&gt;0)),"✖ Start غير صحيح",IF(NOT(OR($I2445="",$I2445="NR",$O2445&gt;0)),"✖ Current غير صحيح",IF(NOT(IF(ISNUMBER($J2445),AND($J2445&gt;=0,$J2445=INT($J2445)),FALSE())),"✖ العدد يجب أن يكون صحيحًا ≥ 0",IF(AND($F2445="Baseline",$H2445&lt;&gt;""),"⚠ Baseline: Start لا يدخل في التقدم",IF($K2445="No Start (attainment only)","ℹ تحصيل فقط (بدون Start)",IF($K2445="U – needs rule","ℹ حالة U تحتاج قاعدة معتمدة",IF($K2445="No result","ℹ بدون نتيجة (يُستبعد من التحصيل)","OK")))))))))))</f>
        <v/>
      </c>
      <c r="M2445" s="64" t="n">
        <f aca="false">IF($A2445="",0,IFERROR(MATCH($A2445,Classes!$A$6:$A$420,0),0))</f>
        <v>0</v>
      </c>
      <c r="N2445" s="64" t="n">
        <f aca="false">IF($H2445="",0,IFERROR(MATCH($H2445,GradeList,0),0))</f>
        <v>0</v>
      </c>
      <c r="O2445" s="64" t="n">
        <f aca="false">IF(OR($I2445="",$I2445="NR"),0,IFERROR(MATCH($I2445,GradeList,0),0))</f>
        <v>0</v>
      </c>
      <c r="P2445" s="64" t="n">
        <f aca="false">IF(AND($M2445&gt;0,ISNUMBER(MATCH($F2445,Lists!$A$2:$A$5,0)),ISNUMBER(MATCH($G2445,Lists!$B$2:$B$7,0)),OR($H2445="",$N2445&gt;0),OR($I2445="",$I2445="NR",$O2445&gt;0),IF(ISNUMBER($J2445),AND($J2445&gt;=0,$J2445=INT($J2445)),FALSE())),$J2445,0)</f>
        <v>0</v>
      </c>
      <c r="Q2445" s="64" t="n">
        <f aca="false">IF(AND($P2445&gt;0,$O2445&gt;0),$P2445,0)</f>
        <v>0</v>
      </c>
      <c r="R2445" s="64" t="n">
        <f aca="false">IF(AND($Q2445&gt;0,$O2445&gt;=AtRank),$Q2445,0)</f>
        <v>0</v>
      </c>
      <c r="S2445" s="64" t="n">
        <f aca="false">IF(AND($Q2445&gt;0,$O2445&gt;=AboveRank),$Q2445,0)</f>
        <v>0</v>
      </c>
      <c r="T2445" s="64" t="n">
        <f aca="false">IF($K2445="Less",$P2445,0)</f>
        <v>0</v>
      </c>
      <c r="U2445" s="64" t="n">
        <f aca="false">IF($K2445="Expected",$P2445,0)</f>
        <v>0</v>
      </c>
      <c r="V2445" s="64" t="n">
        <f aca="false">IF($K2445="Better",$P2445,0)</f>
        <v>0</v>
      </c>
      <c r="W2445" s="64" t="n">
        <f aca="false">IF($K2445="U – needs rule",$P2445,0)</f>
        <v>0</v>
      </c>
      <c r="X2445" s="64" t="n">
        <f aca="false">IF($K2445="No Start (attainment only)",$P2445,0)</f>
        <v>0</v>
      </c>
    </row>
    <row r="2446" customFormat="false" ht="15" hidden="false" customHeight="false" outlineLevel="0" collapsed="false">
      <c r="A2446" s="60"/>
      <c r="B2446" s="61" t="str">
        <f aca="false">IF($M2446=0,"",INDEX(Classes!$E$6:$E$420,$M2446))</f>
        <v/>
      </c>
      <c r="C2446" s="62" t="str">
        <f aca="false">IF($M2446=0,"",INDEX(Classes!$H$6:$H$420,$M2446))</f>
        <v/>
      </c>
      <c r="D2446" s="61" t="str">
        <f aca="false">IF($M2446=0,"",INDEX(Classes!$B$6:$B$420,$M2446))</f>
        <v/>
      </c>
      <c r="E2446" s="61" t="str">
        <f aca="false">IF($M2446=0,"",INDEX(Classes!$C$6:$C$420,$M2446))</f>
        <v/>
      </c>
      <c r="F2446" s="63"/>
      <c r="G2446" s="63"/>
      <c r="H2446" s="60"/>
      <c r="I2446" s="60"/>
      <c r="J2446" s="63"/>
      <c r="K2446" s="61" t="str">
        <f aca="false">IF($P2446=0,"",IF($F2446="Baseline","— Baseline",IF($O2446=0,"No result",IF($N2446=0,"No Start (attainment only)",IF(OR($N2446=1,$O2446=1),"U – needs rule",INDEX(MxBody,MATCH($I2446,MxCurr,0),MATCH($H2446,MxStart,0)))))))</f>
        <v/>
      </c>
      <c r="L2446" s="62" t="str">
        <f aca="false">IF(COUNTA($A2446,$F2446,$G2446,$H2446,$I2446,$J2446)=0,"",IF($M2446=0,"✖ كود الصف غير موجود",IF(ISNA(MATCH($F2446,Lists!$A$2:$A$5,0)),"✖ الفترة غير صحيحة",IF(ISNA(MATCH($G2446,Lists!$B$2:$B$7,0)),"✖ المجموعة غير صحيحة",IF(NOT(OR($H2446="",$N2446&gt;0)),"✖ Start غير صحيح",IF(NOT(OR($I2446="",$I2446="NR",$O2446&gt;0)),"✖ Current غير صحيح",IF(NOT(IF(ISNUMBER($J2446),AND($J2446&gt;=0,$J2446=INT($J2446)),FALSE())),"✖ العدد يجب أن يكون صحيحًا ≥ 0",IF(AND($F2446="Baseline",$H2446&lt;&gt;""),"⚠ Baseline: Start لا يدخل في التقدم",IF($K2446="No Start (attainment only)","ℹ تحصيل فقط (بدون Start)",IF($K2446="U – needs rule","ℹ حالة U تحتاج قاعدة معتمدة",IF($K2446="No result","ℹ بدون نتيجة (يُستبعد من التحصيل)","OK")))))))))))</f>
        <v/>
      </c>
      <c r="M2446" s="64" t="n">
        <f aca="false">IF($A2446="",0,IFERROR(MATCH($A2446,Classes!$A$6:$A$420,0),0))</f>
        <v>0</v>
      </c>
      <c r="N2446" s="64" t="n">
        <f aca="false">IF($H2446="",0,IFERROR(MATCH($H2446,GradeList,0),0))</f>
        <v>0</v>
      </c>
      <c r="O2446" s="64" t="n">
        <f aca="false">IF(OR($I2446="",$I2446="NR"),0,IFERROR(MATCH($I2446,GradeList,0),0))</f>
        <v>0</v>
      </c>
      <c r="P2446" s="64" t="n">
        <f aca="false">IF(AND($M2446&gt;0,ISNUMBER(MATCH($F2446,Lists!$A$2:$A$5,0)),ISNUMBER(MATCH($G2446,Lists!$B$2:$B$7,0)),OR($H2446="",$N2446&gt;0),OR($I2446="",$I2446="NR",$O2446&gt;0),IF(ISNUMBER($J2446),AND($J2446&gt;=0,$J2446=INT($J2446)),FALSE())),$J2446,0)</f>
        <v>0</v>
      </c>
      <c r="Q2446" s="64" t="n">
        <f aca="false">IF(AND($P2446&gt;0,$O2446&gt;0),$P2446,0)</f>
        <v>0</v>
      </c>
      <c r="R2446" s="64" t="n">
        <f aca="false">IF(AND($Q2446&gt;0,$O2446&gt;=AtRank),$Q2446,0)</f>
        <v>0</v>
      </c>
      <c r="S2446" s="64" t="n">
        <f aca="false">IF(AND($Q2446&gt;0,$O2446&gt;=AboveRank),$Q2446,0)</f>
        <v>0</v>
      </c>
      <c r="T2446" s="64" t="n">
        <f aca="false">IF($K2446="Less",$P2446,0)</f>
        <v>0</v>
      </c>
      <c r="U2446" s="64" t="n">
        <f aca="false">IF($K2446="Expected",$P2446,0)</f>
        <v>0</v>
      </c>
      <c r="V2446" s="64" t="n">
        <f aca="false">IF($K2446="Better",$P2446,0)</f>
        <v>0</v>
      </c>
      <c r="W2446" s="64" t="n">
        <f aca="false">IF($K2446="U – needs rule",$P2446,0)</f>
        <v>0</v>
      </c>
      <c r="X2446" s="64" t="n">
        <f aca="false">IF($K2446="No Start (attainment only)",$P2446,0)</f>
        <v>0</v>
      </c>
    </row>
    <row r="2447" customFormat="false" ht="15" hidden="false" customHeight="false" outlineLevel="0" collapsed="false">
      <c r="A2447" s="60"/>
      <c r="B2447" s="61" t="str">
        <f aca="false">IF($M2447=0,"",INDEX(Classes!$E$6:$E$420,$M2447))</f>
        <v/>
      </c>
      <c r="C2447" s="62" t="str">
        <f aca="false">IF($M2447=0,"",INDEX(Classes!$H$6:$H$420,$M2447))</f>
        <v/>
      </c>
      <c r="D2447" s="61" t="str">
        <f aca="false">IF($M2447=0,"",INDEX(Classes!$B$6:$B$420,$M2447))</f>
        <v/>
      </c>
      <c r="E2447" s="61" t="str">
        <f aca="false">IF($M2447=0,"",INDEX(Classes!$C$6:$C$420,$M2447))</f>
        <v/>
      </c>
      <c r="F2447" s="63"/>
      <c r="G2447" s="63"/>
      <c r="H2447" s="60"/>
      <c r="I2447" s="60"/>
      <c r="J2447" s="63"/>
      <c r="K2447" s="61" t="str">
        <f aca="false">IF($P2447=0,"",IF($F2447="Baseline","— Baseline",IF($O2447=0,"No result",IF($N2447=0,"No Start (attainment only)",IF(OR($N2447=1,$O2447=1),"U – needs rule",INDEX(MxBody,MATCH($I2447,MxCurr,0),MATCH($H2447,MxStart,0)))))))</f>
        <v/>
      </c>
      <c r="L2447" s="62" t="str">
        <f aca="false">IF(COUNTA($A2447,$F2447,$G2447,$H2447,$I2447,$J2447)=0,"",IF($M2447=0,"✖ كود الصف غير موجود",IF(ISNA(MATCH($F2447,Lists!$A$2:$A$5,0)),"✖ الفترة غير صحيحة",IF(ISNA(MATCH($G2447,Lists!$B$2:$B$7,0)),"✖ المجموعة غير صحيحة",IF(NOT(OR($H2447="",$N2447&gt;0)),"✖ Start غير صحيح",IF(NOT(OR($I2447="",$I2447="NR",$O2447&gt;0)),"✖ Current غير صحيح",IF(NOT(IF(ISNUMBER($J2447),AND($J2447&gt;=0,$J2447=INT($J2447)),FALSE())),"✖ العدد يجب أن يكون صحيحًا ≥ 0",IF(AND($F2447="Baseline",$H2447&lt;&gt;""),"⚠ Baseline: Start لا يدخل في التقدم",IF($K2447="No Start (attainment only)","ℹ تحصيل فقط (بدون Start)",IF($K2447="U – needs rule","ℹ حالة U تحتاج قاعدة معتمدة",IF($K2447="No result","ℹ بدون نتيجة (يُستبعد من التحصيل)","OK")))))))))))</f>
        <v/>
      </c>
      <c r="M2447" s="64" t="n">
        <f aca="false">IF($A2447="",0,IFERROR(MATCH($A2447,Classes!$A$6:$A$420,0),0))</f>
        <v>0</v>
      </c>
      <c r="N2447" s="64" t="n">
        <f aca="false">IF($H2447="",0,IFERROR(MATCH($H2447,GradeList,0),0))</f>
        <v>0</v>
      </c>
      <c r="O2447" s="64" t="n">
        <f aca="false">IF(OR($I2447="",$I2447="NR"),0,IFERROR(MATCH($I2447,GradeList,0),0))</f>
        <v>0</v>
      </c>
      <c r="P2447" s="64" t="n">
        <f aca="false">IF(AND($M2447&gt;0,ISNUMBER(MATCH($F2447,Lists!$A$2:$A$5,0)),ISNUMBER(MATCH($G2447,Lists!$B$2:$B$7,0)),OR($H2447="",$N2447&gt;0),OR($I2447="",$I2447="NR",$O2447&gt;0),IF(ISNUMBER($J2447),AND($J2447&gt;=0,$J2447=INT($J2447)),FALSE())),$J2447,0)</f>
        <v>0</v>
      </c>
      <c r="Q2447" s="64" t="n">
        <f aca="false">IF(AND($P2447&gt;0,$O2447&gt;0),$P2447,0)</f>
        <v>0</v>
      </c>
      <c r="R2447" s="64" t="n">
        <f aca="false">IF(AND($Q2447&gt;0,$O2447&gt;=AtRank),$Q2447,0)</f>
        <v>0</v>
      </c>
      <c r="S2447" s="64" t="n">
        <f aca="false">IF(AND($Q2447&gt;0,$O2447&gt;=AboveRank),$Q2447,0)</f>
        <v>0</v>
      </c>
      <c r="T2447" s="64" t="n">
        <f aca="false">IF($K2447="Less",$P2447,0)</f>
        <v>0</v>
      </c>
      <c r="U2447" s="64" t="n">
        <f aca="false">IF($K2447="Expected",$P2447,0)</f>
        <v>0</v>
      </c>
      <c r="V2447" s="64" t="n">
        <f aca="false">IF($K2447="Better",$P2447,0)</f>
        <v>0</v>
      </c>
      <c r="W2447" s="64" t="n">
        <f aca="false">IF($K2447="U – needs rule",$P2447,0)</f>
        <v>0</v>
      </c>
      <c r="X2447" s="64" t="n">
        <f aca="false">IF($K2447="No Start (attainment only)",$P2447,0)</f>
        <v>0</v>
      </c>
    </row>
    <row r="2448" customFormat="false" ht="15" hidden="false" customHeight="false" outlineLevel="0" collapsed="false">
      <c r="A2448" s="60"/>
      <c r="B2448" s="61" t="str">
        <f aca="false">IF($M2448=0,"",INDEX(Classes!$E$6:$E$420,$M2448))</f>
        <v/>
      </c>
      <c r="C2448" s="62" t="str">
        <f aca="false">IF($M2448=0,"",INDEX(Classes!$H$6:$H$420,$M2448))</f>
        <v/>
      </c>
      <c r="D2448" s="61" t="str">
        <f aca="false">IF($M2448=0,"",INDEX(Classes!$B$6:$B$420,$M2448))</f>
        <v/>
      </c>
      <c r="E2448" s="61" t="str">
        <f aca="false">IF($M2448=0,"",INDEX(Classes!$C$6:$C$420,$M2448))</f>
        <v/>
      </c>
      <c r="F2448" s="63"/>
      <c r="G2448" s="63"/>
      <c r="H2448" s="60"/>
      <c r="I2448" s="60"/>
      <c r="J2448" s="63"/>
      <c r="K2448" s="61" t="str">
        <f aca="false">IF($P2448=0,"",IF($F2448="Baseline","— Baseline",IF($O2448=0,"No result",IF($N2448=0,"No Start (attainment only)",IF(OR($N2448=1,$O2448=1),"U – needs rule",INDEX(MxBody,MATCH($I2448,MxCurr,0),MATCH($H2448,MxStart,0)))))))</f>
        <v/>
      </c>
      <c r="L2448" s="62" t="str">
        <f aca="false">IF(COUNTA($A2448,$F2448,$G2448,$H2448,$I2448,$J2448)=0,"",IF($M2448=0,"✖ كود الصف غير موجود",IF(ISNA(MATCH($F2448,Lists!$A$2:$A$5,0)),"✖ الفترة غير صحيحة",IF(ISNA(MATCH($G2448,Lists!$B$2:$B$7,0)),"✖ المجموعة غير صحيحة",IF(NOT(OR($H2448="",$N2448&gt;0)),"✖ Start غير صحيح",IF(NOT(OR($I2448="",$I2448="NR",$O2448&gt;0)),"✖ Current غير صحيح",IF(NOT(IF(ISNUMBER($J2448),AND($J2448&gt;=0,$J2448=INT($J2448)),FALSE())),"✖ العدد يجب أن يكون صحيحًا ≥ 0",IF(AND($F2448="Baseline",$H2448&lt;&gt;""),"⚠ Baseline: Start لا يدخل في التقدم",IF($K2448="No Start (attainment only)","ℹ تحصيل فقط (بدون Start)",IF($K2448="U – needs rule","ℹ حالة U تحتاج قاعدة معتمدة",IF($K2448="No result","ℹ بدون نتيجة (يُستبعد من التحصيل)","OK")))))))))))</f>
        <v/>
      </c>
      <c r="M2448" s="64" t="n">
        <f aca="false">IF($A2448="",0,IFERROR(MATCH($A2448,Classes!$A$6:$A$420,0),0))</f>
        <v>0</v>
      </c>
      <c r="N2448" s="64" t="n">
        <f aca="false">IF($H2448="",0,IFERROR(MATCH($H2448,GradeList,0),0))</f>
        <v>0</v>
      </c>
      <c r="O2448" s="64" t="n">
        <f aca="false">IF(OR($I2448="",$I2448="NR"),0,IFERROR(MATCH($I2448,GradeList,0),0))</f>
        <v>0</v>
      </c>
      <c r="P2448" s="64" t="n">
        <f aca="false">IF(AND($M2448&gt;0,ISNUMBER(MATCH($F2448,Lists!$A$2:$A$5,0)),ISNUMBER(MATCH($G2448,Lists!$B$2:$B$7,0)),OR($H2448="",$N2448&gt;0),OR($I2448="",$I2448="NR",$O2448&gt;0),IF(ISNUMBER($J2448),AND($J2448&gt;=0,$J2448=INT($J2448)),FALSE())),$J2448,0)</f>
        <v>0</v>
      </c>
      <c r="Q2448" s="64" t="n">
        <f aca="false">IF(AND($P2448&gt;0,$O2448&gt;0),$P2448,0)</f>
        <v>0</v>
      </c>
      <c r="R2448" s="64" t="n">
        <f aca="false">IF(AND($Q2448&gt;0,$O2448&gt;=AtRank),$Q2448,0)</f>
        <v>0</v>
      </c>
      <c r="S2448" s="64" t="n">
        <f aca="false">IF(AND($Q2448&gt;0,$O2448&gt;=AboveRank),$Q2448,0)</f>
        <v>0</v>
      </c>
      <c r="T2448" s="64" t="n">
        <f aca="false">IF($K2448="Less",$P2448,0)</f>
        <v>0</v>
      </c>
      <c r="U2448" s="64" t="n">
        <f aca="false">IF($K2448="Expected",$P2448,0)</f>
        <v>0</v>
      </c>
      <c r="V2448" s="64" t="n">
        <f aca="false">IF($K2448="Better",$P2448,0)</f>
        <v>0</v>
      </c>
      <c r="W2448" s="64" t="n">
        <f aca="false">IF($K2448="U – needs rule",$P2448,0)</f>
        <v>0</v>
      </c>
      <c r="X2448" s="64" t="n">
        <f aca="false">IF($K2448="No Start (attainment only)",$P2448,0)</f>
        <v>0</v>
      </c>
    </row>
    <row r="2449" customFormat="false" ht="15" hidden="false" customHeight="false" outlineLevel="0" collapsed="false">
      <c r="A2449" s="60"/>
      <c r="B2449" s="61" t="str">
        <f aca="false">IF($M2449=0,"",INDEX(Classes!$E$6:$E$420,$M2449))</f>
        <v/>
      </c>
      <c r="C2449" s="62" t="str">
        <f aca="false">IF($M2449=0,"",INDEX(Classes!$H$6:$H$420,$M2449))</f>
        <v/>
      </c>
      <c r="D2449" s="61" t="str">
        <f aca="false">IF($M2449=0,"",INDEX(Classes!$B$6:$B$420,$M2449))</f>
        <v/>
      </c>
      <c r="E2449" s="61" t="str">
        <f aca="false">IF($M2449=0,"",INDEX(Classes!$C$6:$C$420,$M2449))</f>
        <v/>
      </c>
      <c r="F2449" s="63"/>
      <c r="G2449" s="63"/>
      <c r="H2449" s="60"/>
      <c r="I2449" s="60"/>
      <c r="J2449" s="63"/>
      <c r="K2449" s="61" t="str">
        <f aca="false">IF($P2449=0,"",IF($F2449="Baseline","— Baseline",IF($O2449=0,"No result",IF($N2449=0,"No Start (attainment only)",IF(OR($N2449=1,$O2449=1),"U – needs rule",INDEX(MxBody,MATCH($I2449,MxCurr,0),MATCH($H2449,MxStart,0)))))))</f>
        <v/>
      </c>
      <c r="L2449" s="62" t="str">
        <f aca="false">IF(COUNTA($A2449,$F2449,$G2449,$H2449,$I2449,$J2449)=0,"",IF($M2449=0,"✖ كود الصف غير موجود",IF(ISNA(MATCH($F2449,Lists!$A$2:$A$5,0)),"✖ الفترة غير صحيحة",IF(ISNA(MATCH($G2449,Lists!$B$2:$B$7,0)),"✖ المجموعة غير صحيحة",IF(NOT(OR($H2449="",$N2449&gt;0)),"✖ Start غير صحيح",IF(NOT(OR($I2449="",$I2449="NR",$O2449&gt;0)),"✖ Current غير صحيح",IF(NOT(IF(ISNUMBER($J2449),AND($J2449&gt;=0,$J2449=INT($J2449)),FALSE())),"✖ العدد يجب أن يكون صحيحًا ≥ 0",IF(AND($F2449="Baseline",$H2449&lt;&gt;""),"⚠ Baseline: Start لا يدخل في التقدم",IF($K2449="No Start (attainment only)","ℹ تحصيل فقط (بدون Start)",IF($K2449="U – needs rule","ℹ حالة U تحتاج قاعدة معتمدة",IF($K2449="No result","ℹ بدون نتيجة (يُستبعد من التحصيل)","OK")))))))))))</f>
        <v/>
      </c>
      <c r="M2449" s="64" t="n">
        <f aca="false">IF($A2449="",0,IFERROR(MATCH($A2449,Classes!$A$6:$A$420,0),0))</f>
        <v>0</v>
      </c>
      <c r="N2449" s="64" t="n">
        <f aca="false">IF($H2449="",0,IFERROR(MATCH($H2449,GradeList,0),0))</f>
        <v>0</v>
      </c>
      <c r="O2449" s="64" t="n">
        <f aca="false">IF(OR($I2449="",$I2449="NR"),0,IFERROR(MATCH($I2449,GradeList,0),0))</f>
        <v>0</v>
      </c>
      <c r="P2449" s="64" t="n">
        <f aca="false">IF(AND($M2449&gt;0,ISNUMBER(MATCH($F2449,Lists!$A$2:$A$5,0)),ISNUMBER(MATCH($G2449,Lists!$B$2:$B$7,0)),OR($H2449="",$N2449&gt;0),OR($I2449="",$I2449="NR",$O2449&gt;0),IF(ISNUMBER($J2449),AND($J2449&gt;=0,$J2449=INT($J2449)),FALSE())),$J2449,0)</f>
        <v>0</v>
      </c>
      <c r="Q2449" s="64" t="n">
        <f aca="false">IF(AND($P2449&gt;0,$O2449&gt;0),$P2449,0)</f>
        <v>0</v>
      </c>
      <c r="R2449" s="64" t="n">
        <f aca="false">IF(AND($Q2449&gt;0,$O2449&gt;=AtRank),$Q2449,0)</f>
        <v>0</v>
      </c>
      <c r="S2449" s="64" t="n">
        <f aca="false">IF(AND($Q2449&gt;0,$O2449&gt;=AboveRank),$Q2449,0)</f>
        <v>0</v>
      </c>
      <c r="T2449" s="64" t="n">
        <f aca="false">IF($K2449="Less",$P2449,0)</f>
        <v>0</v>
      </c>
      <c r="U2449" s="64" t="n">
        <f aca="false">IF($K2449="Expected",$P2449,0)</f>
        <v>0</v>
      </c>
      <c r="V2449" s="64" t="n">
        <f aca="false">IF($K2449="Better",$P2449,0)</f>
        <v>0</v>
      </c>
      <c r="W2449" s="64" t="n">
        <f aca="false">IF($K2449="U – needs rule",$P2449,0)</f>
        <v>0</v>
      </c>
      <c r="X2449" s="64" t="n">
        <f aca="false">IF($K2449="No Start (attainment only)",$P2449,0)</f>
        <v>0</v>
      </c>
    </row>
    <row r="2450" customFormat="false" ht="15" hidden="false" customHeight="false" outlineLevel="0" collapsed="false">
      <c r="A2450" s="60"/>
      <c r="B2450" s="61" t="str">
        <f aca="false">IF($M2450=0,"",INDEX(Classes!$E$6:$E$420,$M2450))</f>
        <v/>
      </c>
      <c r="C2450" s="62" t="str">
        <f aca="false">IF($M2450=0,"",INDEX(Classes!$H$6:$H$420,$M2450))</f>
        <v/>
      </c>
      <c r="D2450" s="61" t="str">
        <f aca="false">IF($M2450=0,"",INDEX(Classes!$B$6:$B$420,$M2450))</f>
        <v/>
      </c>
      <c r="E2450" s="61" t="str">
        <f aca="false">IF($M2450=0,"",INDEX(Classes!$C$6:$C$420,$M2450))</f>
        <v/>
      </c>
      <c r="F2450" s="63"/>
      <c r="G2450" s="63"/>
      <c r="H2450" s="60"/>
      <c r="I2450" s="60"/>
      <c r="J2450" s="63"/>
      <c r="K2450" s="61" t="str">
        <f aca="false">IF($P2450=0,"",IF($F2450="Baseline","— Baseline",IF($O2450=0,"No result",IF($N2450=0,"No Start (attainment only)",IF(OR($N2450=1,$O2450=1),"U – needs rule",INDEX(MxBody,MATCH($I2450,MxCurr,0),MATCH($H2450,MxStart,0)))))))</f>
        <v/>
      </c>
      <c r="L2450" s="62" t="str">
        <f aca="false">IF(COUNTA($A2450,$F2450,$G2450,$H2450,$I2450,$J2450)=0,"",IF($M2450=0,"✖ كود الصف غير موجود",IF(ISNA(MATCH($F2450,Lists!$A$2:$A$5,0)),"✖ الفترة غير صحيحة",IF(ISNA(MATCH($G2450,Lists!$B$2:$B$7,0)),"✖ المجموعة غير صحيحة",IF(NOT(OR($H2450="",$N2450&gt;0)),"✖ Start غير صحيح",IF(NOT(OR($I2450="",$I2450="NR",$O2450&gt;0)),"✖ Current غير صحيح",IF(NOT(IF(ISNUMBER($J2450),AND($J2450&gt;=0,$J2450=INT($J2450)),FALSE())),"✖ العدد يجب أن يكون صحيحًا ≥ 0",IF(AND($F2450="Baseline",$H2450&lt;&gt;""),"⚠ Baseline: Start لا يدخل في التقدم",IF($K2450="No Start (attainment only)","ℹ تحصيل فقط (بدون Start)",IF($K2450="U – needs rule","ℹ حالة U تحتاج قاعدة معتمدة",IF($K2450="No result","ℹ بدون نتيجة (يُستبعد من التحصيل)","OK")))))))))))</f>
        <v/>
      </c>
      <c r="M2450" s="64" t="n">
        <f aca="false">IF($A2450="",0,IFERROR(MATCH($A2450,Classes!$A$6:$A$420,0),0))</f>
        <v>0</v>
      </c>
      <c r="N2450" s="64" t="n">
        <f aca="false">IF($H2450="",0,IFERROR(MATCH($H2450,GradeList,0),0))</f>
        <v>0</v>
      </c>
      <c r="O2450" s="64" t="n">
        <f aca="false">IF(OR($I2450="",$I2450="NR"),0,IFERROR(MATCH($I2450,GradeList,0),0))</f>
        <v>0</v>
      </c>
      <c r="P2450" s="64" t="n">
        <f aca="false">IF(AND($M2450&gt;0,ISNUMBER(MATCH($F2450,Lists!$A$2:$A$5,0)),ISNUMBER(MATCH($G2450,Lists!$B$2:$B$7,0)),OR($H2450="",$N2450&gt;0),OR($I2450="",$I2450="NR",$O2450&gt;0),IF(ISNUMBER($J2450),AND($J2450&gt;=0,$J2450=INT($J2450)),FALSE())),$J2450,0)</f>
        <v>0</v>
      </c>
      <c r="Q2450" s="64" t="n">
        <f aca="false">IF(AND($P2450&gt;0,$O2450&gt;0),$P2450,0)</f>
        <v>0</v>
      </c>
      <c r="R2450" s="64" t="n">
        <f aca="false">IF(AND($Q2450&gt;0,$O2450&gt;=AtRank),$Q2450,0)</f>
        <v>0</v>
      </c>
      <c r="S2450" s="64" t="n">
        <f aca="false">IF(AND($Q2450&gt;0,$O2450&gt;=AboveRank),$Q2450,0)</f>
        <v>0</v>
      </c>
      <c r="T2450" s="64" t="n">
        <f aca="false">IF($K2450="Less",$P2450,0)</f>
        <v>0</v>
      </c>
      <c r="U2450" s="64" t="n">
        <f aca="false">IF($K2450="Expected",$P2450,0)</f>
        <v>0</v>
      </c>
      <c r="V2450" s="64" t="n">
        <f aca="false">IF($K2450="Better",$P2450,0)</f>
        <v>0</v>
      </c>
      <c r="W2450" s="64" t="n">
        <f aca="false">IF($K2450="U – needs rule",$P2450,0)</f>
        <v>0</v>
      </c>
      <c r="X2450" s="64" t="n">
        <f aca="false">IF($K2450="No Start (attainment only)",$P2450,0)</f>
        <v>0</v>
      </c>
    </row>
    <row r="2451" customFormat="false" ht="15" hidden="false" customHeight="false" outlineLevel="0" collapsed="false">
      <c r="A2451" s="60"/>
      <c r="B2451" s="61" t="str">
        <f aca="false">IF($M2451=0,"",INDEX(Classes!$E$6:$E$420,$M2451))</f>
        <v/>
      </c>
      <c r="C2451" s="62" t="str">
        <f aca="false">IF($M2451=0,"",INDEX(Classes!$H$6:$H$420,$M2451))</f>
        <v/>
      </c>
      <c r="D2451" s="61" t="str">
        <f aca="false">IF($M2451=0,"",INDEX(Classes!$B$6:$B$420,$M2451))</f>
        <v/>
      </c>
      <c r="E2451" s="61" t="str">
        <f aca="false">IF($M2451=0,"",INDEX(Classes!$C$6:$C$420,$M2451))</f>
        <v/>
      </c>
      <c r="F2451" s="63"/>
      <c r="G2451" s="63"/>
      <c r="H2451" s="60"/>
      <c r="I2451" s="60"/>
      <c r="J2451" s="63"/>
      <c r="K2451" s="61" t="str">
        <f aca="false">IF($P2451=0,"",IF($F2451="Baseline","— Baseline",IF($O2451=0,"No result",IF($N2451=0,"No Start (attainment only)",IF(OR($N2451=1,$O2451=1),"U – needs rule",INDEX(MxBody,MATCH($I2451,MxCurr,0),MATCH($H2451,MxStart,0)))))))</f>
        <v/>
      </c>
      <c r="L2451" s="62" t="str">
        <f aca="false">IF(COUNTA($A2451,$F2451,$G2451,$H2451,$I2451,$J2451)=0,"",IF($M2451=0,"✖ كود الصف غير موجود",IF(ISNA(MATCH($F2451,Lists!$A$2:$A$5,0)),"✖ الفترة غير صحيحة",IF(ISNA(MATCH($G2451,Lists!$B$2:$B$7,0)),"✖ المجموعة غير صحيحة",IF(NOT(OR($H2451="",$N2451&gt;0)),"✖ Start غير صحيح",IF(NOT(OR($I2451="",$I2451="NR",$O2451&gt;0)),"✖ Current غير صحيح",IF(NOT(IF(ISNUMBER($J2451),AND($J2451&gt;=0,$J2451=INT($J2451)),FALSE())),"✖ العدد يجب أن يكون صحيحًا ≥ 0",IF(AND($F2451="Baseline",$H2451&lt;&gt;""),"⚠ Baseline: Start لا يدخل في التقدم",IF($K2451="No Start (attainment only)","ℹ تحصيل فقط (بدون Start)",IF($K2451="U – needs rule","ℹ حالة U تحتاج قاعدة معتمدة",IF($K2451="No result","ℹ بدون نتيجة (يُستبعد من التحصيل)","OK")))))))))))</f>
        <v/>
      </c>
      <c r="M2451" s="64" t="n">
        <f aca="false">IF($A2451="",0,IFERROR(MATCH($A2451,Classes!$A$6:$A$420,0),0))</f>
        <v>0</v>
      </c>
      <c r="N2451" s="64" t="n">
        <f aca="false">IF($H2451="",0,IFERROR(MATCH($H2451,GradeList,0),0))</f>
        <v>0</v>
      </c>
      <c r="O2451" s="64" t="n">
        <f aca="false">IF(OR($I2451="",$I2451="NR"),0,IFERROR(MATCH($I2451,GradeList,0),0))</f>
        <v>0</v>
      </c>
      <c r="P2451" s="64" t="n">
        <f aca="false">IF(AND($M2451&gt;0,ISNUMBER(MATCH($F2451,Lists!$A$2:$A$5,0)),ISNUMBER(MATCH($G2451,Lists!$B$2:$B$7,0)),OR($H2451="",$N2451&gt;0),OR($I2451="",$I2451="NR",$O2451&gt;0),IF(ISNUMBER($J2451),AND($J2451&gt;=0,$J2451=INT($J2451)),FALSE())),$J2451,0)</f>
        <v>0</v>
      </c>
      <c r="Q2451" s="64" t="n">
        <f aca="false">IF(AND($P2451&gt;0,$O2451&gt;0),$P2451,0)</f>
        <v>0</v>
      </c>
      <c r="R2451" s="64" t="n">
        <f aca="false">IF(AND($Q2451&gt;0,$O2451&gt;=AtRank),$Q2451,0)</f>
        <v>0</v>
      </c>
      <c r="S2451" s="64" t="n">
        <f aca="false">IF(AND($Q2451&gt;0,$O2451&gt;=AboveRank),$Q2451,0)</f>
        <v>0</v>
      </c>
      <c r="T2451" s="64" t="n">
        <f aca="false">IF($K2451="Less",$P2451,0)</f>
        <v>0</v>
      </c>
      <c r="U2451" s="64" t="n">
        <f aca="false">IF($K2451="Expected",$P2451,0)</f>
        <v>0</v>
      </c>
      <c r="V2451" s="64" t="n">
        <f aca="false">IF($K2451="Better",$P2451,0)</f>
        <v>0</v>
      </c>
      <c r="W2451" s="64" t="n">
        <f aca="false">IF($K2451="U – needs rule",$P2451,0)</f>
        <v>0</v>
      </c>
      <c r="X2451" s="64" t="n">
        <f aca="false">IF($K2451="No Start (attainment only)",$P2451,0)</f>
        <v>0</v>
      </c>
    </row>
    <row r="2452" customFormat="false" ht="15" hidden="false" customHeight="false" outlineLevel="0" collapsed="false">
      <c r="A2452" s="60"/>
      <c r="B2452" s="61" t="str">
        <f aca="false">IF($M2452=0,"",INDEX(Classes!$E$6:$E$420,$M2452))</f>
        <v/>
      </c>
      <c r="C2452" s="62" t="str">
        <f aca="false">IF($M2452=0,"",INDEX(Classes!$H$6:$H$420,$M2452))</f>
        <v/>
      </c>
      <c r="D2452" s="61" t="str">
        <f aca="false">IF($M2452=0,"",INDEX(Classes!$B$6:$B$420,$M2452))</f>
        <v/>
      </c>
      <c r="E2452" s="61" t="str">
        <f aca="false">IF($M2452=0,"",INDEX(Classes!$C$6:$C$420,$M2452))</f>
        <v/>
      </c>
      <c r="F2452" s="63"/>
      <c r="G2452" s="63"/>
      <c r="H2452" s="60"/>
      <c r="I2452" s="60"/>
      <c r="J2452" s="63"/>
      <c r="K2452" s="61" t="str">
        <f aca="false">IF($P2452=0,"",IF($F2452="Baseline","— Baseline",IF($O2452=0,"No result",IF($N2452=0,"No Start (attainment only)",IF(OR($N2452=1,$O2452=1),"U – needs rule",INDEX(MxBody,MATCH($I2452,MxCurr,0),MATCH($H2452,MxStart,0)))))))</f>
        <v/>
      </c>
      <c r="L2452" s="62" t="str">
        <f aca="false">IF(COUNTA($A2452,$F2452,$G2452,$H2452,$I2452,$J2452)=0,"",IF($M2452=0,"✖ كود الصف غير موجود",IF(ISNA(MATCH($F2452,Lists!$A$2:$A$5,0)),"✖ الفترة غير صحيحة",IF(ISNA(MATCH($G2452,Lists!$B$2:$B$7,0)),"✖ المجموعة غير صحيحة",IF(NOT(OR($H2452="",$N2452&gt;0)),"✖ Start غير صحيح",IF(NOT(OR($I2452="",$I2452="NR",$O2452&gt;0)),"✖ Current غير صحيح",IF(NOT(IF(ISNUMBER($J2452),AND($J2452&gt;=0,$J2452=INT($J2452)),FALSE())),"✖ العدد يجب أن يكون صحيحًا ≥ 0",IF(AND($F2452="Baseline",$H2452&lt;&gt;""),"⚠ Baseline: Start لا يدخل في التقدم",IF($K2452="No Start (attainment only)","ℹ تحصيل فقط (بدون Start)",IF($K2452="U – needs rule","ℹ حالة U تحتاج قاعدة معتمدة",IF($K2452="No result","ℹ بدون نتيجة (يُستبعد من التحصيل)","OK")))))))))))</f>
        <v/>
      </c>
      <c r="M2452" s="64" t="n">
        <f aca="false">IF($A2452="",0,IFERROR(MATCH($A2452,Classes!$A$6:$A$420,0),0))</f>
        <v>0</v>
      </c>
      <c r="N2452" s="64" t="n">
        <f aca="false">IF($H2452="",0,IFERROR(MATCH($H2452,GradeList,0),0))</f>
        <v>0</v>
      </c>
      <c r="O2452" s="64" t="n">
        <f aca="false">IF(OR($I2452="",$I2452="NR"),0,IFERROR(MATCH($I2452,GradeList,0),0))</f>
        <v>0</v>
      </c>
      <c r="P2452" s="64" t="n">
        <f aca="false">IF(AND($M2452&gt;0,ISNUMBER(MATCH($F2452,Lists!$A$2:$A$5,0)),ISNUMBER(MATCH($G2452,Lists!$B$2:$B$7,0)),OR($H2452="",$N2452&gt;0),OR($I2452="",$I2452="NR",$O2452&gt;0),IF(ISNUMBER($J2452),AND($J2452&gt;=0,$J2452=INT($J2452)),FALSE())),$J2452,0)</f>
        <v>0</v>
      </c>
      <c r="Q2452" s="64" t="n">
        <f aca="false">IF(AND($P2452&gt;0,$O2452&gt;0),$P2452,0)</f>
        <v>0</v>
      </c>
      <c r="R2452" s="64" t="n">
        <f aca="false">IF(AND($Q2452&gt;0,$O2452&gt;=AtRank),$Q2452,0)</f>
        <v>0</v>
      </c>
      <c r="S2452" s="64" t="n">
        <f aca="false">IF(AND($Q2452&gt;0,$O2452&gt;=AboveRank),$Q2452,0)</f>
        <v>0</v>
      </c>
      <c r="T2452" s="64" t="n">
        <f aca="false">IF($K2452="Less",$P2452,0)</f>
        <v>0</v>
      </c>
      <c r="U2452" s="64" t="n">
        <f aca="false">IF($K2452="Expected",$P2452,0)</f>
        <v>0</v>
      </c>
      <c r="V2452" s="64" t="n">
        <f aca="false">IF($K2452="Better",$P2452,0)</f>
        <v>0</v>
      </c>
      <c r="W2452" s="64" t="n">
        <f aca="false">IF($K2452="U – needs rule",$P2452,0)</f>
        <v>0</v>
      </c>
      <c r="X2452" s="64" t="n">
        <f aca="false">IF($K2452="No Start (attainment only)",$P2452,0)</f>
        <v>0</v>
      </c>
    </row>
    <row r="2453" customFormat="false" ht="15" hidden="false" customHeight="false" outlineLevel="0" collapsed="false">
      <c r="A2453" s="60"/>
      <c r="B2453" s="61" t="str">
        <f aca="false">IF($M2453=0,"",INDEX(Classes!$E$6:$E$420,$M2453))</f>
        <v/>
      </c>
      <c r="C2453" s="62" t="str">
        <f aca="false">IF($M2453=0,"",INDEX(Classes!$H$6:$H$420,$M2453))</f>
        <v/>
      </c>
      <c r="D2453" s="61" t="str">
        <f aca="false">IF($M2453=0,"",INDEX(Classes!$B$6:$B$420,$M2453))</f>
        <v/>
      </c>
      <c r="E2453" s="61" t="str">
        <f aca="false">IF($M2453=0,"",INDEX(Classes!$C$6:$C$420,$M2453))</f>
        <v/>
      </c>
      <c r="F2453" s="63"/>
      <c r="G2453" s="63"/>
      <c r="H2453" s="60"/>
      <c r="I2453" s="60"/>
      <c r="J2453" s="63"/>
      <c r="K2453" s="61" t="str">
        <f aca="false">IF($P2453=0,"",IF($F2453="Baseline","— Baseline",IF($O2453=0,"No result",IF($N2453=0,"No Start (attainment only)",IF(OR($N2453=1,$O2453=1),"U – needs rule",INDEX(MxBody,MATCH($I2453,MxCurr,0),MATCH($H2453,MxStart,0)))))))</f>
        <v/>
      </c>
      <c r="L2453" s="62" t="str">
        <f aca="false">IF(COUNTA($A2453,$F2453,$G2453,$H2453,$I2453,$J2453)=0,"",IF($M2453=0,"✖ كود الصف غير موجود",IF(ISNA(MATCH($F2453,Lists!$A$2:$A$5,0)),"✖ الفترة غير صحيحة",IF(ISNA(MATCH($G2453,Lists!$B$2:$B$7,0)),"✖ المجموعة غير صحيحة",IF(NOT(OR($H2453="",$N2453&gt;0)),"✖ Start غير صحيح",IF(NOT(OR($I2453="",$I2453="NR",$O2453&gt;0)),"✖ Current غير صحيح",IF(NOT(IF(ISNUMBER($J2453),AND($J2453&gt;=0,$J2453=INT($J2453)),FALSE())),"✖ العدد يجب أن يكون صحيحًا ≥ 0",IF(AND($F2453="Baseline",$H2453&lt;&gt;""),"⚠ Baseline: Start لا يدخل في التقدم",IF($K2453="No Start (attainment only)","ℹ تحصيل فقط (بدون Start)",IF($K2453="U – needs rule","ℹ حالة U تحتاج قاعدة معتمدة",IF($K2453="No result","ℹ بدون نتيجة (يُستبعد من التحصيل)","OK")))))))))))</f>
        <v/>
      </c>
      <c r="M2453" s="64" t="n">
        <f aca="false">IF($A2453="",0,IFERROR(MATCH($A2453,Classes!$A$6:$A$420,0),0))</f>
        <v>0</v>
      </c>
      <c r="N2453" s="64" t="n">
        <f aca="false">IF($H2453="",0,IFERROR(MATCH($H2453,GradeList,0),0))</f>
        <v>0</v>
      </c>
      <c r="O2453" s="64" t="n">
        <f aca="false">IF(OR($I2453="",$I2453="NR"),0,IFERROR(MATCH($I2453,GradeList,0),0))</f>
        <v>0</v>
      </c>
      <c r="P2453" s="64" t="n">
        <f aca="false">IF(AND($M2453&gt;0,ISNUMBER(MATCH($F2453,Lists!$A$2:$A$5,0)),ISNUMBER(MATCH($G2453,Lists!$B$2:$B$7,0)),OR($H2453="",$N2453&gt;0),OR($I2453="",$I2453="NR",$O2453&gt;0),IF(ISNUMBER($J2453),AND($J2453&gt;=0,$J2453=INT($J2453)),FALSE())),$J2453,0)</f>
        <v>0</v>
      </c>
      <c r="Q2453" s="64" t="n">
        <f aca="false">IF(AND($P2453&gt;0,$O2453&gt;0),$P2453,0)</f>
        <v>0</v>
      </c>
      <c r="R2453" s="64" t="n">
        <f aca="false">IF(AND($Q2453&gt;0,$O2453&gt;=AtRank),$Q2453,0)</f>
        <v>0</v>
      </c>
      <c r="S2453" s="64" t="n">
        <f aca="false">IF(AND($Q2453&gt;0,$O2453&gt;=AboveRank),$Q2453,0)</f>
        <v>0</v>
      </c>
      <c r="T2453" s="64" t="n">
        <f aca="false">IF($K2453="Less",$P2453,0)</f>
        <v>0</v>
      </c>
      <c r="U2453" s="64" t="n">
        <f aca="false">IF($K2453="Expected",$P2453,0)</f>
        <v>0</v>
      </c>
      <c r="V2453" s="64" t="n">
        <f aca="false">IF($K2453="Better",$P2453,0)</f>
        <v>0</v>
      </c>
      <c r="W2453" s="64" t="n">
        <f aca="false">IF($K2453="U – needs rule",$P2453,0)</f>
        <v>0</v>
      </c>
      <c r="X2453" s="64" t="n">
        <f aca="false">IF($K2453="No Start (attainment only)",$P2453,0)</f>
        <v>0</v>
      </c>
    </row>
    <row r="2454" customFormat="false" ht="15" hidden="false" customHeight="false" outlineLevel="0" collapsed="false">
      <c r="A2454" s="60"/>
      <c r="B2454" s="61" t="str">
        <f aca="false">IF($M2454=0,"",INDEX(Classes!$E$6:$E$420,$M2454))</f>
        <v/>
      </c>
      <c r="C2454" s="62" t="str">
        <f aca="false">IF($M2454=0,"",INDEX(Classes!$H$6:$H$420,$M2454))</f>
        <v/>
      </c>
      <c r="D2454" s="61" t="str">
        <f aca="false">IF($M2454=0,"",INDEX(Classes!$B$6:$B$420,$M2454))</f>
        <v/>
      </c>
      <c r="E2454" s="61" t="str">
        <f aca="false">IF($M2454=0,"",INDEX(Classes!$C$6:$C$420,$M2454))</f>
        <v/>
      </c>
      <c r="F2454" s="63"/>
      <c r="G2454" s="63"/>
      <c r="H2454" s="60"/>
      <c r="I2454" s="60"/>
      <c r="J2454" s="63"/>
      <c r="K2454" s="61" t="str">
        <f aca="false">IF($P2454=0,"",IF($F2454="Baseline","— Baseline",IF($O2454=0,"No result",IF($N2454=0,"No Start (attainment only)",IF(OR($N2454=1,$O2454=1),"U – needs rule",INDEX(MxBody,MATCH($I2454,MxCurr,0),MATCH($H2454,MxStart,0)))))))</f>
        <v/>
      </c>
      <c r="L2454" s="62" t="str">
        <f aca="false">IF(COUNTA($A2454,$F2454,$G2454,$H2454,$I2454,$J2454)=0,"",IF($M2454=0,"✖ كود الصف غير موجود",IF(ISNA(MATCH($F2454,Lists!$A$2:$A$5,0)),"✖ الفترة غير صحيحة",IF(ISNA(MATCH($G2454,Lists!$B$2:$B$7,0)),"✖ المجموعة غير صحيحة",IF(NOT(OR($H2454="",$N2454&gt;0)),"✖ Start غير صحيح",IF(NOT(OR($I2454="",$I2454="NR",$O2454&gt;0)),"✖ Current غير صحيح",IF(NOT(IF(ISNUMBER($J2454),AND($J2454&gt;=0,$J2454=INT($J2454)),FALSE())),"✖ العدد يجب أن يكون صحيحًا ≥ 0",IF(AND($F2454="Baseline",$H2454&lt;&gt;""),"⚠ Baseline: Start لا يدخل في التقدم",IF($K2454="No Start (attainment only)","ℹ تحصيل فقط (بدون Start)",IF($K2454="U – needs rule","ℹ حالة U تحتاج قاعدة معتمدة",IF($K2454="No result","ℹ بدون نتيجة (يُستبعد من التحصيل)","OK")))))))))))</f>
        <v/>
      </c>
      <c r="M2454" s="64" t="n">
        <f aca="false">IF($A2454="",0,IFERROR(MATCH($A2454,Classes!$A$6:$A$420,0),0))</f>
        <v>0</v>
      </c>
      <c r="N2454" s="64" t="n">
        <f aca="false">IF($H2454="",0,IFERROR(MATCH($H2454,GradeList,0),0))</f>
        <v>0</v>
      </c>
      <c r="O2454" s="64" t="n">
        <f aca="false">IF(OR($I2454="",$I2454="NR"),0,IFERROR(MATCH($I2454,GradeList,0),0))</f>
        <v>0</v>
      </c>
      <c r="P2454" s="64" t="n">
        <f aca="false">IF(AND($M2454&gt;0,ISNUMBER(MATCH($F2454,Lists!$A$2:$A$5,0)),ISNUMBER(MATCH($G2454,Lists!$B$2:$B$7,0)),OR($H2454="",$N2454&gt;0),OR($I2454="",$I2454="NR",$O2454&gt;0),IF(ISNUMBER($J2454),AND($J2454&gt;=0,$J2454=INT($J2454)),FALSE())),$J2454,0)</f>
        <v>0</v>
      </c>
      <c r="Q2454" s="64" t="n">
        <f aca="false">IF(AND($P2454&gt;0,$O2454&gt;0),$P2454,0)</f>
        <v>0</v>
      </c>
      <c r="R2454" s="64" t="n">
        <f aca="false">IF(AND($Q2454&gt;0,$O2454&gt;=AtRank),$Q2454,0)</f>
        <v>0</v>
      </c>
      <c r="S2454" s="64" t="n">
        <f aca="false">IF(AND($Q2454&gt;0,$O2454&gt;=AboveRank),$Q2454,0)</f>
        <v>0</v>
      </c>
      <c r="T2454" s="64" t="n">
        <f aca="false">IF($K2454="Less",$P2454,0)</f>
        <v>0</v>
      </c>
      <c r="U2454" s="64" t="n">
        <f aca="false">IF($K2454="Expected",$P2454,0)</f>
        <v>0</v>
      </c>
      <c r="V2454" s="64" t="n">
        <f aca="false">IF($K2454="Better",$P2454,0)</f>
        <v>0</v>
      </c>
      <c r="W2454" s="64" t="n">
        <f aca="false">IF($K2454="U – needs rule",$P2454,0)</f>
        <v>0</v>
      </c>
      <c r="X2454" s="64" t="n">
        <f aca="false">IF($K2454="No Start (attainment only)",$P2454,0)</f>
        <v>0</v>
      </c>
    </row>
    <row r="2455" customFormat="false" ht="15" hidden="false" customHeight="false" outlineLevel="0" collapsed="false">
      <c r="A2455" s="60"/>
      <c r="B2455" s="61" t="str">
        <f aca="false">IF($M2455=0,"",INDEX(Classes!$E$6:$E$420,$M2455))</f>
        <v/>
      </c>
      <c r="C2455" s="62" t="str">
        <f aca="false">IF($M2455=0,"",INDEX(Classes!$H$6:$H$420,$M2455))</f>
        <v/>
      </c>
      <c r="D2455" s="61" t="str">
        <f aca="false">IF($M2455=0,"",INDEX(Classes!$B$6:$B$420,$M2455))</f>
        <v/>
      </c>
      <c r="E2455" s="61" t="str">
        <f aca="false">IF($M2455=0,"",INDEX(Classes!$C$6:$C$420,$M2455))</f>
        <v/>
      </c>
      <c r="F2455" s="63"/>
      <c r="G2455" s="63"/>
      <c r="H2455" s="60"/>
      <c r="I2455" s="60"/>
      <c r="J2455" s="63"/>
      <c r="K2455" s="61" t="str">
        <f aca="false">IF($P2455=0,"",IF($F2455="Baseline","— Baseline",IF($O2455=0,"No result",IF($N2455=0,"No Start (attainment only)",IF(OR($N2455=1,$O2455=1),"U – needs rule",INDEX(MxBody,MATCH($I2455,MxCurr,0),MATCH($H2455,MxStart,0)))))))</f>
        <v/>
      </c>
      <c r="L2455" s="62" t="str">
        <f aca="false">IF(COUNTA($A2455,$F2455,$G2455,$H2455,$I2455,$J2455)=0,"",IF($M2455=0,"✖ كود الصف غير موجود",IF(ISNA(MATCH($F2455,Lists!$A$2:$A$5,0)),"✖ الفترة غير صحيحة",IF(ISNA(MATCH($G2455,Lists!$B$2:$B$7,0)),"✖ المجموعة غير صحيحة",IF(NOT(OR($H2455="",$N2455&gt;0)),"✖ Start غير صحيح",IF(NOT(OR($I2455="",$I2455="NR",$O2455&gt;0)),"✖ Current غير صحيح",IF(NOT(IF(ISNUMBER($J2455),AND($J2455&gt;=0,$J2455=INT($J2455)),FALSE())),"✖ العدد يجب أن يكون صحيحًا ≥ 0",IF(AND($F2455="Baseline",$H2455&lt;&gt;""),"⚠ Baseline: Start لا يدخل في التقدم",IF($K2455="No Start (attainment only)","ℹ تحصيل فقط (بدون Start)",IF($K2455="U – needs rule","ℹ حالة U تحتاج قاعدة معتمدة",IF($K2455="No result","ℹ بدون نتيجة (يُستبعد من التحصيل)","OK")))))))))))</f>
        <v/>
      </c>
      <c r="M2455" s="64" t="n">
        <f aca="false">IF($A2455="",0,IFERROR(MATCH($A2455,Classes!$A$6:$A$420,0),0))</f>
        <v>0</v>
      </c>
      <c r="N2455" s="64" t="n">
        <f aca="false">IF($H2455="",0,IFERROR(MATCH($H2455,GradeList,0),0))</f>
        <v>0</v>
      </c>
      <c r="O2455" s="64" t="n">
        <f aca="false">IF(OR($I2455="",$I2455="NR"),0,IFERROR(MATCH($I2455,GradeList,0),0))</f>
        <v>0</v>
      </c>
      <c r="P2455" s="64" t="n">
        <f aca="false">IF(AND($M2455&gt;0,ISNUMBER(MATCH($F2455,Lists!$A$2:$A$5,0)),ISNUMBER(MATCH($G2455,Lists!$B$2:$B$7,0)),OR($H2455="",$N2455&gt;0),OR($I2455="",$I2455="NR",$O2455&gt;0),IF(ISNUMBER($J2455),AND($J2455&gt;=0,$J2455=INT($J2455)),FALSE())),$J2455,0)</f>
        <v>0</v>
      </c>
      <c r="Q2455" s="64" t="n">
        <f aca="false">IF(AND($P2455&gt;0,$O2455&gt;0),$P2455,0)</f>
        <v>0</v>
      </c>
      <c r="R2455" s="64" t="n">
        <f aca="false">IF(AND($Q2455&gt;0,$O2455&gt;=AtRank),$Q2455,0)</f>
        <v>0</v>
      </c>
      <c r="S2455" s="64" t="n">
        <f aca="false">IF(AND($Q2455&gt;0,$O2455&gt;=AboveRank),$Q2455,0)</f>
        <v>0</v>
      </c>
      <c r="T2455" s="64" t="n">
        <f aca="false">IF($K2455="Less",$P2455,0)</f>
        <v>0</v>
      </c>
      <c r="U2455" s="64" t="n">
        <f aca="false">IF($K2455="Expected",$P2455,0)</f>
        <v>0</v>
      </c>
      <c r="V2455" s="64" t="n">
        <f aca="false">IF($K2455="Better",$P2455,0)</f>
        <v>0</v>
      </c>
      <c r="W2455" s="64" t="n">
        <f aca="false">IF($K2455="U – needs rule",$P2455,0)</f>
        <v>0</v>
      </c>
      <c r="X2455" s="64" t="n">
        <f aca="false">IF($K2455="No Start (attainment only)",$P2455,0)</f>
        <v>0</v>
      </c>
    </row>
    <row r="2456" customFormat="false" ht="15" hidden="false" customHeight="false" outlineLevel="0" collapsed="false">
      <c r="A2456" s="60"/>
      <c r="B2456" s="61" t="str">
        <f aca="false">IF($M2456=0,"",INDEX(Classes!$E$6:$E$420,$M2456))</f>
        <v/>
      </c>
      <c r="C2456" s="62" t="str">
        <f aca="false">IF($M2456=0,"",INDEX(Classes!$H$6:$H$420,$M2456))</f>
        <v/>
      </c>
      <c r="D2456" s="61" t="str">
        <f aca="false">IF($M2456=0,"",INDEX(Classes!$B$6:$B$420,$M2456))</f>
        <v/>
      </c>
      <c r="E2456" s="61" t="str">
        <f aca="false">IF($M2456=0,"",INDEX(Classes!$C$6:$C$420,$M2456))</f>
        <v/>
      </c>
      <c r="F2456" s="63"/>
      <c r="G2456" s="63"/>
      <c r="H2456" s="60"/>
      <c r="I2456" s="60"/>
      <c r="J2456" s="63"/>
      <c r="K2456" s="61" t="str">
        <f aca="false">IF($P2456=0,"",IF($F2456="Baseline","— Baseline",IF($O2456=0,"No result",IF($N2456=0,"No Start (attainment only)",IF(OR($N2456=1,$O2456=1),"U – needs rule",INDEX(MxBody,MATCH($I2456,MxCurr,0),MATCH($H2456,MxStart,0)))))))</f>
        <v/>
      </c>
      <c r="L2456" s="62" t="str">
        <f aca="false">IF(COUNTA($A2456,$F2456,$G2456,$H2456,$I2456,$J2456)=0,"",IF($M2456=0,"✖ كود الصف غير موجود",IF(ISNA(MATCH($F2456,Lists!$A$2:$A$5,0)),"✖ الفترة غير صحيحة",IF(ISNA(MATCH($G2456,Lists!$B$2:$B$7,0)),"✖ المجموعة غير صحيحة",IF(NOT(OR($H2456="",$N2456&gt;0)),"✖ Start غير صحيح",IF(NOT(OR($I2456="",$I2456="NR",$O2456&gt;0)),"✖ Current غير صحيح",IF(NOT(IF(ISNUMBER($J2456),AND($J2456&gt;=0,$J2456=INT($J2456)),FALSE())),"✖ العدد يجب أن يكون صحيحًا ≥ 0",IF(AND($F2456="Baseline",$H2456&lt;&gt;""),"⚠ Baseline: Start لا يدخل في التقدم",IF($K2456="No Start (attainment only)","ℹ تحصيل فقط (بدون Start)",IF($K2456="U – needs rule","ℹ حالة U تحتاج قاعدة معتمدة",IF($K2456="No result","ℹ بدون نتيجة (يُستبعد من التحصيل)","OK")))))))))))</f>
        <v/>
      </c>
      <c r="M2456" s="64" t="n">
        <f aca="false">IF($A2456="",0,IFERROR(MATCH($A2456,Classes!$A$6:$A$420,0),0))</f>
        <v>0</v>
      </c>
      <c r="N2456" s="64" t="n">
        <f aca="false">IF($H2456="",0,IFERROR(MATCH($H2456,GradeList,0),0))</f>
        <v>0</v>
      </c>
      <c r="O2456" s="64" t="n">
        <f aca="false">IF(OR($I2456="",$I2456="NR"),0,IFERROR(MATCH($I2456,GradeList,0),0))</f>
        <v>0</v>
      </c>
      <c r="P2456" s="64" t="n">
        <f aca="false">IF(AND($M2456&gt;0,ISNUMBER(MATCH($F2456,Lists!$A$2:$A$5,0)),ISNUMBER(MATCH($G2456,Lists!$B$2:$B$7,0)),OR($H2456="",$N2456&gt;0),OR($I2456="",$I2456="NR",$O2456&gt;0),IF(ISNUMBER($J2456),AND($J2456&gt;=0,$J2456=INT($J2456)),FALSE())),$J2456,0)</f>
        <v>0</v>
      </c>
      <c r="Q2456" s="64" t="n">
        <f aca="false">IF(AND($P2456&gt;0,$O2456&gt;0),$P2456,0)</f>
        <v>0</v>
      </c>
      <c r="R2456" s="64" t="n">
        <f aca="false">IF(AND($Q2456&gt;0,$O2456&gt;=AtRank),$Q2456,0)</f>
        <v>0</v>
      </c>
      <c r="S2456" s="64" t="n">
        <f aca="false">IF(AND($Q2456&gt;0,$O2456&gt;=AboveRank),$Q2456,0)</f>
        <v>0</v>
      </c>
      <c r="T2456" s="64" t="n">
        <f aca="false">IF($K2456="Less",$P2456,0)</f>
        <v>0</v>
      </c>
      <c r="U2456" s="64" t="n">
        <f aca="false">IF($K2456="Expected",$P2456,0)</f>
        <v>0</v>
      </c>
      <c r="V2456" s="64" t="n">
        <f aca="false">IF($K2456="Better",$P2456,0)</f>
        <v>0</v>
      </c>
      <c r="W2456" s="64" t="n">
        <f aca="false">IF($K2456="U – needs rule",$P2456,0)</f>
        <v>0</v>
      </c>
      <c r="X2456" s="64" t="n">
        <f aca="false">IF($K2456="No Start (attainment only)",$P2456,0)</f>
        <v>0</v>
      </c>
    </row>
    <row r="2457" customFormat="false" ht="15" hidden="false" customHeight="false" outlineLevel="0" collapsed="false">
      <c r="A2457" s="60"/>
      <c r="B2457" s="61" t="str">
        <f aca="false">IF($M2457=0,"",INDEX(Classes!$E$6:$E$420,$M2457))</f>
        <v/>
      </c>
      <c r="C2457" s="62" t="str">
        <f aca="false">IF($M2457=0,"",INDEX(Classes!$H$6:$H$420,$M2457))</f>
        <v/>
      </c>
      <c r="D2457" s="61" t="str">
        <f aca="false">IF($M2457=0,"",INDEX(Classes!$B$6:$B$420,$M2457))</f>
        <v/>
      </c>
      <c r="E2457" s="61" t="str">
        <f aca="false">IF($M2457=0,"",INDEX(Classes!$C$6:$C$420,$M2457))</f>
        <v/>
      </c>
      <c r="F2457" s="63"/>
      <c r="G2457" s="63"/>
      <c r="H2457" s="60"/>
      <c r="I2457" s="60"/>
      <c r="J2457" s="63"/>
      <c r="K2457" s="61" t="str">
        <f aca="false">IF($P2457=0,"",IF($F2457="Baseline","— Baseline",IF($O2457=0,"No result",IF($N2457=0,"No Start (attainment only)",IF(OR($N2457=1,$O2457=1),"U – needs rule",INDEX(MxBody,MATCH($I2457,MxCurr,0),MATCH($H2457,MxStart,0)))))))</f>
        <v/>
      </c>
      <c r="L2457" s="62" t="str">
        <f aca="false">IF(COUNTA($A2457,$F2457,$G2457,$H2457,$I2457,$J2457)=0,"",IF($M2457=0,"✖ كود الصف غير موجود",IF(ISNA(MATCH($F2457,Lists!$A$2:$A$5,0)),"✖ الفترة غير صحيحة",IF(ISNA(MATCH($G2457,Lists!$B$2:$B$7,0)),"✖ المجموعة غير صحيحة",IF(NOT(OR($H2457="",$N2457&gt;0)),"✖ Start غير صحيح",IF(NOT(OR($I2457="",$I2457="NR",$O2457&gt;0)),"✖ Current غير صحيح",IF(NOT(IF(ISNUMBER($J2457),AND($J2457&gt;=0,$J2457=INT($J2457)),FALSE())),"✖ العدد يجب أن يكون صحيحًا ≥ 0",IF(AND($F2457="Baseline",$H2457&lt;&gt;""),"⚠ Baseline: Start لا يدخل في التقدم",IF($K2457="No Start (attainment only)","ℹ تحصيل فقط (بدون Start)",IF($K2457="U – needs rule","ℹ حالة U تحتاج قاعدة معتمدة",IF($K2457="No result","ℹ بدون نتيجة (يُستبعد من التحصيل)","OK")))))))))))</f>
        <v/>
      </c>
      <c r="M2457" s="64" t="n">
        <f aca="false">IF($A2457="",0,IFERROR(MATCH($A2457,Classes!$A$6:$A$420,0),0))</f>
        <v>0</v>
      </c>
      <c r="N2457" s="64" t="n">
        <f aca="false">IF($H2457="",0,IFERROR(MATCH($H2457,GradeList,0),0))</f>
        <v>0</v>
      </c>
      <c r="O2457" s="64" t="n">
        <f aca="false">IF(OR($I2457="",$I2457="NR"),0,IFERROR(MATCH($I2457,GradeList,0),0))</f>
        <v>0</v>
      </c>
      <c r="P2457" s="64" t="n">
        <f aca="false">IF(AND($M2457&gt;0,ISNUMBER(MATCH($F2457,Lists!$A$2:$A$5,0)),ISNUMBER(MATCH($G2457,Lists!$B$2:$B$7,0)),OR($H2457="",$N2457&gt;0),OR($I2457="",$I2457="NR",$O2457&gt;0),IF(ISNUMBER($J2457),AND($J2457&gt;=0,$J2457=INT($J2457)),FALSE())),$J2457,0)</f>
        <v>0</v>
      </c>
      <c r="Q2457" s="64" t="n">
        <f aca="false">IF(AND($P2457&gt;0,$O2457&gt;0),$P2457,0)</f>
        <v>0</v>
      </c>
      <c r="R2457" s="64" t="n">
        <f aca="false">IF(AND($Q2457&gt;0,$O2457&gt;=AtRank),$Q2457,0)</f>
        <v>0</v>
      </c>
      <c r="S2457" s="64" t="n">
        <f aca="false">IF(AND($Q2457&gt;0,$O2457&gt;=AboveRank),$Q2457,0)</f>
        <v>0</v>
      </c>
      <c r="T2457" s="64" t="n">
        <f aca="false">IF($K2457="Less",$P2457,0)</f>
        <v>0</v>
      </c>
      <c r="U2457" s="64" t="n">
        <f aca="false">IF($K2457="Expected",$P2457,0)</f>
        <v>0</v>
      </c>
      <c r="V2457" s="64" t="n">
        <f aca="false">IF($K2457="Better",$P2457,0)</f>
        <v>0</v>
      </c>
      <c r="W2457" s="64" t="n">
        <f aca="false">IF($K2457="U – needs rule",$P2457,0)</f>
        <v>0</v>
      </c>
      <c r="X2457" s="64" t="n">
        <f aca="false">IF($K2457="No Start (attainment only)",$P2457,0)</f>
        <v>0</v>
      </c>
    </row>
    <row r="2458" customFormat="false" ht="15" hidden="false" customHeight="false" outlineLevel="0" collapsed="false">
      <c r="A2458" s="60"/>
      <c r="B2458" s="61" t="str">
        <f aca="false">IF($M2458=0,"",INDEX(Classes!$E$6:$E$420,$M2458))</f>
        <v/>
      </c>
      <c r="C2458" s="62" t="str">
        <f aca="false">IF($M2458=0,"",INDEX(Classes!$H$6:$H$420,$M2458))</f>
        <v/>
      </c>
      <c r="D2458" s="61" t="str">
        <f aca="false">IF($M2458=0,"",INDEX(Classes!$B$6:$B$420,$M2458))</f>
        <v/>
      </c>
      <c r="E2458" s="61" t="str">
        <f aca="false">IF($M2458=0,"",INDEX(Classes!$C$6:$C$420,$M2458))</f>
        <v/>
      </c>
      <c r="F2458" s="63"/>
      <c r="G2458" s="63"/>
      <c r="H2458" s="60"/>
      <c r="I2458" s="60"/>
      <c r="J2458" s="63"/>
      <c r="K2458" s="61" t="str">
        <f aca="false">IF($P2458=0,"",IF($F2458="Baseline","— Baseline",IF($O2458=0,"No result",IF($N2458=0,"No Start (attainment only)",IF(OR($N2458=1,$O2458=1),"U – needs rule",INDEX(MxBody,MATCH($I2458,MxCurr,0),MATCH($H2458,MxStart,0)))))))</f>
        <v/>
      </c>
      <c r="L2458" s="62" t="str">
        <f aca="false">IF(COUNTA($A2458,$F2458,$G2458,$H2458,$I2458,$J2458)=0,"",IF($M2458=0,"✖ كود الصف غير موجود",IF(ISNA(MATCH($F2458,Lists!$A$2:$A$5,0)),"✖ الفترة غير صحيحة",IF(ISNA(MATCH($G2458,Lists!$B$2:$B$7,0)),"✖ المجموعة غير صحيحة",IF(NOT(OR($H2458="",$N2458&gt;0)),"✖ Start غير صحيح",IF(NOT(OR($I2458="",$I2458="NR",$O2458&gt;0)),"✖ Current غير صحيح",IF(NOT(IF(ISNUMBER($J2458),AND($J2458&gt;=0,$J2458=INT($J2458)),FALSE())),"✖ العدد يجب أن يكون صحيحًا ≥ 0",IF(AND($F2458="Baseline",$H2458&lt;&gt;""),"⚠ Baseline: Start لا يدخل في التقدم",IF($K2458="No Start (attainment only)","ℹ تحصيل فقط (بدون Start)",IF($K2458="U – needs rule","ℹ حالة U تحتاج قاعدة معتمدة",IF($K2458="No result","ℹ بدون نتيجة (يُستبعد من التحصيل)","OK")))))))))))</f>
        <v/>
      </c>
      <c r="M2458" s="64" t="n">
        <f aca="false">IF($A2458="",0,IFERROR(MATCH($A2458,Classes!$A$6:$A$420,0),0))</f>
        <v>0</v>
      </c>
      <c r="N2458" s="64" t="n">
        <f aca="false">IF($H2458="",0,IFERROR(MATCH($H2458,GradeList,0),0))</f>
        <v>0</v>
      </c>
      <c r="O2458" s="64" t="n">
        <f aca="false">IF(OR($I2458="",$I2458="NR"),0,IFERROR(MATCH($I2458,GradeList,0),0))</f>
        <v>0</v>
      </c>
      <c r="P2458" s="64" t="n">
        <f aca="false">IF(AND($M2458&gt;0,ISNUMBER(MATCH($F2458,Lists!$A$2:$A$5,0)),ISNUMBER(MATCH($G2458,Lists!$B$2:$B$7,0)),OR($H2458="",$N2458&gt;0),OR($I2458="",$I2458="NR",$O2458&gt;0),IF(ISNUMBER($J2458),AND($J2458&gt;=0,$J2458=INT($J2458)),FALSE())),$J2458,0)</f>
        <v>0</v>
      </c>
      <c r="Q2458" s="64" t="n">
        <f aca="false">IF(AND($P2458&gt;0,$O2458&gt;0),$P2458,0)</f>
        <v>0</v>
      </c>
      <c r="R2458" s="64" t="n">
        <f aca="false">IF(AND($Q2458&gt;0,$O2458&gt;=AtRank),$Q2458,0)</f>
        <v>0</v>
      </c>
      <c r="S2458" s="64" t="n">
        <f aca="false">IF(AND($Q2458&gt;0,$O2458&gt;=AboveRank),$Q2458,0)</f>
        <v>0</v>
      </c>
      <c r="T2458" s="64" t="n">
        <f aca="false">IF($K2458="Less",$P2458,0)</f>
        <v>0</v>
      </c>
      <c r="U2458" s="64" t="n">
        <f aca="false">IF($K2458="Expected",$P2458,0)</f>
        <v>0</v>
      </c>
      <c r="V2458" s="64" t="n">
        <f aca="false">IF($K2458="Better",$P2458,0)</f>
        <v>0</v>
      </c>
      <c r="W2458" s="64" t="n">
        <f aca="false">IF($K2458="U – needs rule",$P2458,0)</f>
        <v>0</v>
      </c>
      <c r="X2458" s="64" t="n">
        <f aca="false">IF($K2458="No Start (attainment only)",$P2458,0)</f>
        <v>0</v>
      </c>
    </row>
    <row r="2459" customFormat="false" ht="15" hidden="false" customHeight="false" outlineLevel="0" collapsed="false">
      <c r="A2459" s="60"/>
      <c r="B2459" s="61" t="str">
        <f aca="false">IF($M2459=0,"",INDEX(Classes!$E$6:$E$420,$M2459))</f>
        <v/>
      </c>
      <c r="C2459" s="62" t="str">
        <f aca="false">IF($M2459=0,"",INDEX(Classes!$H$6:$H$420,$M2459))</f>
        <v/>
      </c>
      <c r="D2459" s="61" t="str">
        <f aca="false">IF($M2459=0,"",INDEX(Classes!$B$6:$B$420,$M2459))</f>
        <v/>
      </c>
      <c r="E2459" s="61" t="str">
        <f aca="false">IF($M2459=0,"",INDEX(Classes!$C$6:$C$420,$M2459))</f>
        <v/>
      </c>
      <c r="F2459" s="63"/>
      <c r="G2459" s="63"/>
      <c r="H2459" s="60"/>
      <c r="I2459" s="60"/>
      <c r="J2459" s="63"/>
      <c r="K2459" s="61" t="str">
        <f aca="false">IF($P2459=0,"",IF($F2459="Baseline","— Baseline",IF($O2459=0,"No result",IF($N2459=0,"No Start (attainment only)",IF(OR($N2459=1,$O2459=1),"U – needs rule",INDEX(MxBody,MATCH($I2459,MxCurr,0),MATCH($H2459,MxStart,0)))))))</f>
        <v/>
      </c>
      <c r="L2459" s="62" t="str">
        <f aca="false">IF(COUNTA($A2459,$F2459,$G2459,$H2459,$I2459,$J2459)=0,"",IF($M2459=0,"✖ كود الصف غير موجود",IF(ISNA(MATCH($F2459,Lists!$A$2:$A$5,0)),"✖ الفترة غير صحيحة",IF(ISNA(MATCH($G2459,Lists!$B$2:$B$7,0)),"✖ المجموعة غير صحيحة",IF(NOT(OR($H2459="",$N2459&gt;0)),"✖ Start غير صحيح",IF(NOT(OR($I2459="",$I2459="NR",$O2459&gt;0)),"✖ Current غير صحيح",IF(NOT(IF(ISNUMBER($J2459),AND($J2459&gt;=0,$J2459=INT($J2459)),FALSE())),"✖ العدد يجب أن يكون صحيحًا ≥ 0",IF(AND($F2459="Baseline",$H2459&lt;&gt;""),"⚠ Baseline: Start لا يدخل في التقدم",IF($K2459="No Start (attainment only)","ℹ تحصيل فقط (بدون Start)",IF($K2459="U – needs rule","ℹ حالة U تحتاج قاعدة معتمدة",IF($K2459="No result","ℹ بدون نتيجة (يُستبعد من التحصيل)","OK")))))))))))</f>
        <v/>
      </c>
      <c r="M2459" s="64" t="n">
        <f aca="false">IF($A2459="",0,IFERROR(MATCH($A2459,Classes!$A$6:$A$420,0),0))</f>
        <v>0</v>
      </c>
      <c r="N2459" s="64" t="n">
        <f aca="false">IF($H2459="",0,IFERROR(MATCH($H2459,GradeList,0),0))</f>
        <v>0</v>
      </c>
      <c r="O2459" s="64" t="n">
        <f aca="false">IF(OR($I2459="",$I2459="NR"),0,IFERROR(MATCH($I2459,GradeList,0),0))</f>
        <v>0</v>
      </c>
      <c r="P2459" s="64" t="n">
        <f aca="false">IF(AND($M2459&gt;0,ISNUMBER(MATCH($F2459,Lists!$A$2:$A$5,0)),ISNUMBER(MATCH($G2459,Lists!$B$2:$B$7,0)),OR($H2459="",$N2459&gt;0),OR($I2459="",$I2459="NR",$O2459&gt;0),IF(ISNUMBER($J2459),AND($J2459&gt;=0,$J2459=INT($J2459)),FALSE())),$J2459,0)</f>
        <v>0</v>
      </c>
      <c r="Q2459" s="64" t="n">
        <f aca="false">IF(AND($P2459&gt;0,$O2459&gt;0),$P2459,0)</f>
        <v>0</v>
      </c>
      <c r="R2459" s="64" t="n">
        <f aca="false">IF(AND($Q2459&gt;0,$O2459&gt;=AtRank),$Q2459,0)</f>
        <v>0</v>
      </c>
      <c r="S2459" s="64" t="n">
        <f aca="false">IF(AND($Q2459&gt;0,$O2459&gt;=AboveRank),$Q2459,0)</f>
        <v>0</v>
      </c>
      <c r="T2459" s="64" t="n">
        <f aca="false">IF($K2459="Less",$P2459,0)</f>
        <v>0</v>
      </c>
      <c r="U2459" s="64" t="n">
        <f aca="false">IF($K2459="Expected",$P2459,0)</f>
        <v>0</v>
      </c>
      <c r="V2459" s="64" t="n">
        <f aca="false">IF($K2459="Better",$P2459,0)</f>
        <v>0</v>
      </c>
      <c r="W2459" s="64" t="n">
        <f aca="false">IF($K2459="U – needs rule",$P2459,0)</f>
        <v>0</v>
      </c>
      <c r="X2459" s="64" t="n">
        <f aca="false">IF($K2459="No Start (attainment only)",$P2459,0)</f>
        <v>0</v>
      </c>
    </row>
    <row r="2460" customFormat="false" ht="15" hidden="false" customHeight="false" outlineLevel="0" collapsed="false">
      <c r="A2460" s="60"/>
      <c r="B2460" s="61" t="str">
        <f aca="false">IF($M2460=0,"",INDEX(Classes!$E$6:$E$420,$M2460))</f>
        <v/>
      </c>
      <c r="C2460" s="62" t="str">
        <f aca="false">IF($M2460=0,"",INDEX(Classes!$H$6:$H$420,$M2460))</f>
        <v/>
      </c>
      <c r="D2460" s="61" t="str">
        <f aca="false">IF($M2460=0,"",INDEX(Classes!$B$6:$B$420,$M2460))</f>
        <v/>
      </c>
      <c r="E2460" s="61" t="str">
        <f aca="false">IF($M2460=0,"",INDEX(Classes!$C$6:$C$420,$M2460))</f>
        <v/>
      </c>
      <c r="F2460" s="63"/>
      <c r="G2460" s="63"/>
      <c r="H2460" s="60"/>
      <c r="I2460" s="60"/>
      <c r="J2460" s="63"/>
      <c r="K2460" s="61" t="str">
        <f aca="false">IF($P2460=0,"",IF($F2460="Baseline","— Baseline",IF($O2460=0,"No result",IF($N2460=0,"No Start (attainment only)",IF(OR($N2460=1,$O2460=1),"U – needs rule",INDEX(MxBody,MATCH($I2460,MxCurr,0),MATCH($H2460,MxStart,0)))))))</f>
        <v/>
      </c>
      <c r="L2460" s="62" t="str">
        <f aca="false">IF(COUNTA($A2460,$F2460,$G2460,$H2460,$I2460,$J2460)=0,"",IF($M2460=0,"✖ كود الصف غير موجود",IF(ISNA(MATCH($F2460,Lists!$A$2:$A$5,0)),"✖ الفترة غير صحيحة",IF(ISNA(MATCH($G2460,Lists!$B$2:$B$7,0)),"✖ المجموعة غير صحيحة",IF(NOT(OR($H2460="",$N2460&gt;0)),"✖ Start غير صحيح",IF(NOT(OR($I2460="",$I2460="NR",$O2460&gt;0)),"✖ Current غير صحيح",IF(NOT(IF(ISNUMBER($J2460),AND($J2460&gt;=0,$J2460=INT($J2460)),FALSE())),"✖ العدد يجب أن يكون صحيحًا ≥ 0",IF(AND($F2460="Baseline",$H2460&lt;&gt;""),"⚠ Baseline: Start لا يدخل في التقدم",IF($K2460="No Start (attainment only)","ℹ تحصيل فقط (بدون Start)",IF($K2460="U – needs rule","ℹ حالة U تحتاج قاعدة معتمدة",IF($K2460="No result","ℹ بدون نتيجة (يُستبعد من التحصيل)","OK")))))))))))</f>
        <v/>
      </c>
      <c r="M2460" s="64" t="n">
        <f aca="false">IF($A2460="",0,IFERROR(MATCH($A2460,Classes!$A$6:$A$420,0),0))</f>
        <v>0</v>
      </c>
      <c r="N2460" s="64" t="n">
        <f aca="false">IF($H2460="",0,IFERROR(MATCH($H2460,GradeList,0),0))</f>
        <v>0</v>
      </c>
      <c r="O2460" s="64" t="n">
        <f aca="false">IF(OR($I2460="",$I2460="NR"),0,IFERROR(MATCH($I2460,GradeList,0),0))</f>
        <v>0</v>
      </c>
      <c r="P2460" s="64" t="n">
        <f aca="false">IF(AND($M2460&gt;0,ISNUMBER(MATCH($F2460,Lists!$A$2:$A$5,0)),ISNUMBER(MATCH($G2460,Lists!$B$2:$B$7,0)),OR($H2460="",$N2460&gt;0),OR($I2460="",$I2460="NR",$O2460&gt;0),IF(ISNUMBER($J2460),AND($J2460&gt;=0,$J2460=INT($J2460)),FALSE())),$J2460,0)</f>
        <v>0</v>
      </c>
      <c r="Q2460" s="64" t="n">
        <f aca="false">IF(AND($P2460&gt;0,$O2460&gt;0),$P2460,0)</f>
        <v>0</v>
      </c>
      <c r="R2460" s="64" t="n">
        <f aca="false">IF(AND($Q2460&gt;0,$O2460&gt;=AtRank),$Q2460,0)</f>
        <v>0</v>
      </c>
      <c r="S2460" s="64" t="n">
        <f aca="false">IF(AND($Q2460&gt;0,$O2460&gt;=AboveRank),$Q2460,0)</f>
        <v>0</v>
      </c>
      <c r="T2460" s="64" t="n">
        <f aca="false">IF($K2460="Less",$P2460,0)</f>
        <v>0</v>
      </c>
      <c r="U2460" s="64" t="n">
        <f aca="false">IF($K2460="Expected",$P2460,0)</f>
        <v>0</v>
      </c>
      <c r="V2460" s="64" t="n">
        <f aca="false">IF($K2460="Better",$P2460,0)</f>
        <v>0</v>
      </c>
      <c r="W2460" s="64" t="n">
        <f aca="false">IF($K2460="U – needs rule",$P2460,0)</f>
        <v>0</v>
      </c>
      <c r="X2460" s="64" t="n">
        <f aca="false">IF($K2460="No Start (attainment only)",$P2460,0)</f>
        <v>0</v>
      </c>
    </row>
    <row r="2461" customFormat="false" ht="15" hidden="false" customHeight="false" outlineLevel="0" collapsed="false">
      <c r="A2461" s="60"/>
      <c r="B2461" s="61" t="str">
        <f aca="false">IF($M2461=0,"",INDEX(Classes!$E$6:$E$420,$M2461))</f>
        <v/>
      </c>
      <c r="C2461" s="62" t="str">
        <f aca="false">IF($M2461=0,"",INDEX(Classes!$H$6:$H$420,$M2461))</f>
        <v/>
      </c>
      <c r="D2461" s="61" t="str">
        <f aca="false">IF($M2461=0,"",INDEX(Classes!$B$6:$B$420,$M2461))</f>
        <v/>
      </c>
      <c r="E2461" s="61" t="str">
        <f aca="false">IF($M2461=0,"",INDEX(Classes!$C$6:$C$420,$M2461))</f>
        <v/>
      </c>
      <c r="F2461" s="63"/>
      <c r="G2461" s="63"/>
      <c r="H2461" s="60"/>
      <c r="I2461" s="60"/>
      <c r="J2461" s="63"/>
      <c r="K2461" s="61" t="str">
        <f aca="false">IF($P2461=0,"",IF($F2461="Baseline","— Baseline",IF($O2461=0,"No result",IF($N2461=0,"No Start (attainment only)",IF(OR($N2461=1,$O2461=1),"U – needs rule",INDEX(MxBody,MATCH($I2461,MxCurr,0),MATCH($H2461,MxStart,0)))))))</f>
        <v/>
      </c>
      <c r="L2461" s="62" t="str">
        <f aca="false">IF(COUNTA($A2461,$F2461,$G2461,$H2461,$I2461,$J2461)=0,"",IF($M2461=0,"✖ كود الصف غير موجود",IF(ISNA(MATCH($F2461,Lists!$A$2:$A$5,0)),"✖ الفترة غير صحيحة",IF(ISNA(MATCH($G2461,Lists!$B$2:$B$7,0)),"✖ المجموعة غير صحيحة",IF(NOT(OR($H2461="",$N2461&gt;0)),"✖ Start غير صحيح",IF(NOT(OR($I2461="",$I2461="NR",$O2461&gt;0)),"✖ Current غير صحيح",IF(NOT(IF(ISNUMBER($J2461),AND($J2461&gt;=0,$J2461=INT($J2461)),FALSE())),"✖ العدد يجب أن يكون صحيحًا ≥ 0",IF(AND($F2461="Baseline",$H2461&lt;&gt;""),"⚠ Baseline: Start لا يدخل في التقدم",IF($K2461="No Start (attainment only)","ℹ تحصيل فقط (بدون Start)",IF($K2461="U – needs rule","ℹ حالة U تحتاج قاعدة معتمدة",IF($K2461="No result","ℹ بدون نتيجة (يُستبعد من التحصيل)","OK")))))))))))</f>
        <v/>
      </c>
      <c r="M2461" s="64" t="n">
        <f aca="false">IF($A2461="",0,IFERROR(MATCH($A2461,Classes!$A$6:$A$420,0),0))</f>
        <v>0</v>
      </c>
      <c r="N2461" s="64" t="n">
        <f aca="false">IF($H2461="",0,IFERROR(MATCH($H2461,GradeList,0),0))</f>
        <v>0</v>
      </c>
      <c r="O2461" s="64" t="n">
        <f aca="false">IF(OR($I2461="",$I2461="NR"),0,IFERROR(MATCH($I2461,GradeList,0),0))</f>
        <v>0</v>
      </c>
      <c r="P2461" s="64" t="n">
        <f aca="false">IF(AND($M2461&gt;0,ISNUMBER(MATCH($F2461,Lists!$A$2:$A$5,0)),ISNUMBER(MATCH($G2461,Lists!$B$2:$B$7,0)),OR($H2461="",$N2461&gt;0),OR($I2461="",$I2461="NR",$O2461&gt;0),IF(ISNUMBER($J2461),AND($J2461&gt;=0,$J2461=INT($J2461)),FALSE())),$J2461,0)</f>
        <v>0</v>
      </c>
      <c r="Q2461" s="64" t="n">
        <f aca="false">IF(AND($P2461&gt;0,$O2461&gt;0),$P2461,0)</f>
        <v>0</v>
      </c>
      <c r="R2461" s="64" t="n">
        <f aca="false">IF(AND($Q2461&gt;0,$O2461&gt;=AtRank),$Q2461,0)</f>
        <v>0</v>
      </c>
      <c r="S2461" s="64" t="n">
        <f aca="false">IF(AND($Q2461&gt;0,$O2461&gt;=AboveRank),$Q2461,0)</f>
        <v>0</v>
      </c>
      <c r="T2461" s="64" t="n">
        <f aca="false">IF($K2461="Less",$P2461,0)</f>
        <v>0</v>
      </c>
      <c r="U2461" s="64" t="n">
        <f aca="false">IF($K2461="Expected",$P2461,0)</f>
        <v>0</v>
      </c>
      <c r="V2461" s="64" t="n">
        <f aca="false">IF($K2461="Better",$P2461,0)</f>
        <v>0</v>
      </c>
      <c r="W2461" s="64" t="n">
        <f aca="false">IF($K2461="U – needs rule",$P2461,0)</f>
        <v>0</v>
      </c>
      <c r="X2461" s="64" t="n">
        <f aca="false">IF($K2461="No Start (attainment only)",$P2461,0)</f>
        <v>0</v>
      </c>
    </row>
    <row r="2462" customFormat="false" ht="15" hidden="false" customHeight="false" outlineLevel="0" collapsed="false">
      <c r="A2462" s="60"/>
      <c r="B2462" s="61" t="str">
        <f aca="false">IF($M2462=0,"",INDEX(Classes!$E$6:$E$420,$M2462))</f>
        <v/>
      </c>
      <c r="C2462" s="62" t="str">
        <f aca="false">IF($M2462=0,"",INDEX(Classes!$H$6:$H$420,$M2462))</f>
        <v/>
      </c>
      <c r="D2462" s="61" t="str">
        <f aca="false">IF($M2462=0,"",INDEX(Classes!$B$6:$B$420,$M2462))</f>
        <v/>
      </c>
      <c r="E2462" s="61" t="str">
        <f aca="false">IF($M2462=0,"",INDEX(Classes!$C$6:$C$420,$M2462))</f>
        <v/>
      </c>
      <c r="F2462" s="63"/>
      <c r="G2462" s="63"/>
      <c r="H2462" s="60"/>
      <c r="I2462" s="60"/>
      <c r="J2462" s="63"/>
      <c r="K2462" s="61" t="str">
        <f aca="false">IF($P2462=0,"",IF($F2462="Baseline","— Baseline",IF($O2462=0,"No result",IF($N2462=0,"No Start (attainment only)",IF(OR($N2462=1,$O2462=1),"U – needs rule",INDEX(MxBody,MATCH($I2462,MxCurr,0),MATCH($H2462,MxStart,0)))))))</f>
        <v/>
      </c>
      <c r="L2462" s="62" t="str">
        <f aca="false">IF(COUNTA($A2462,$F2462,$G2462,$H2462,$I2462,$J2462)=0,"",IF($M2462=0,"✖ كود الصف غير موجود",IF(ISNA(MATCH($F2462,Lists!$A$2:$A$5,0)),"✖ الفترة غير صحيحة",IF(ISNA(MATCH($G2462,Lists!$B$2:$B$7,0)),"✖ المجموعة غير صحيحة",IF(NOT(OR($H2462="",$N2462&gt;0)),"✖ Start غير صحيح",IF(NOT(OR($I2462="",$I2462="NR",$O2462&gt;0)),"✖ Current غير صحيح",IF(NOT(IF(ISNUMBER($J2462),AND($J2462&gt;=0,$J2462=INT($J2462)),FALSE())),"✖ العدد يجب أن يكون صحيحًا ≥ 0",IF(AND($F2462="Baseline",$H2462&lt;&gt;""),"⚠ Baseline: Start لا يدخل في التقدم",IF($K2462="No Start (attainment only)","ℹ تحصيل فقط (بدون Start)",IF($K2462="U – needs rule","ℹ حالة U تحتاج قاعدة معتمدة",IF($K2462="No result","ℹ بدون نتيجة (يُستبعد من التحصيل)","OK")))))))))))</f>
        <v/>
      </c>
      <c r="M2462" s="64" t="n">
        <f aca="false">IF($A2462="",0,IFERROR(MATCH($A2462,Classes!$A$6:$A$420,0),0))</f>
        <v>0</v>
      </c>
      <c r="N2462" s="64" t="n">
        <f aca="false">IF($H2462="",0,IFERROR(MATCH($H2462,GradeList,0),0))</f>
        <v>0</v>
      </c>
      <c r="O2462" s="64" t="n">
        <f aca="false">IF(OR($I2462="",$I2462="NR"),0,IFERROR(MATCH($I2462,GradeList,0),0))</f>
        <v>0</v>
      </c>
      <c r="P2462" s="64" t="n">
        <f aca="false">IF(AND($M2462&gt;0,ISNUMBER(MATCH($F2462,Lists!$A$2:$A$5,0)),ISNUMBER(MATCH($G2462,Lists!$B$2:$B$7,0)),OR($H2462="",$N2462&gt;0),OR($I2462="",$I2462="NR",$O2462&gt;0),IF(ISNUMBER($J2462),AND($J2462&gt;=0,$J2462=INT($J2462)),FALSE())),$J2462,0)</f>
        <v>0</v>
      </c>
      <c r="Q2462" s="64" t="n">
        <f aca="false">IF(AND($P2462&gt;0,$O2462&gt;0),$P2462,0)</f>
        <v>0</v>
      </c>
      <c r="R2462" s="64" t="n">
        <f aca="false">IF(AND($Q2462&gt;0,$O2462&gt;=AtRank),$Q2462,0)</f>
        <v>0</v>
      </c>
      <c r="S2462" s="64" t="n">
        <f aca="false">IF(AND($Q2462&gt;0,$O2462&gt;=AboveRank),$Q2462,0)</f>
        <v>0</v>
      </c>
      <c r="T2462" s="64" t="n">
        <f aca="false">IF($K2462="Less",$P2462,0)</f>
        <v>0</v>
      </c>
      <c r="U2462" s="64" t="n">
        <f aca="false">IF($K2462="Expected",$P2462,0)</f>
        <v>0</v>
      </c>
      <c r="V2462" s="64" t="n">
        <f aca="false">IF($K2462="Better",$P2462,0)</f>
        <v>0</v>
      </c>
      <c r="W2462" s="64" t="n">
        <f aca="false">IF($K2462="U – needs rule",$P2462,0)</f>
        <v>0</v>
      </c>
      <c r="X2462" s="64" t="n">
        <f aca="false">IF($K2462="No Start (attainment only)",$P2462,0)</f>
        <v>0</v>
      </c>
    </row>
    <row r="2463" customFormat="false" ht="15" hidden="false" customHeight="false" outlineLevel="0" collapsed="false">
      <c r="A2463" s="60"/>
      <c r="B2463" s="61" t="str">
        <f aca="false">IF($M2463=0,"",INDEX(Classes!$E$6:$E$420,$M2463))</f>
        <v/>
      </c>
      <c r="C2463" s="62" t="str">
        <f aca="false">IF($M2463=0,"",INDEX(Classes!$H$6:$H$420,$M2463))</f>
        <v/>
      </c>
      <c r="D2463" s="61" t="str">
        <f aca="false">IF($M2463=0,"",INDEX(Classes!$B$6:$B$420,$M2463))</f>
        <v/>
      </c>
      <c r="E2463" s="61" t="str">
        <f aca="false">IF($M2463=0,"",INDEX(Classes!$C$6:$C$420,$M2463))</f>
        <v/>
      </c>
      <c r="F2463" s="63"/>
      <c r="G2463" s="63"/>
      <c r="H2463" s="60"/>
      <c r="I2463" s="60"/>
      <c r="J2463" s="63"/>
      <c r="K2463" s="61" t="str">
        <f aca="false">IF($P2463=0,"",IF($F2463="Baseline","— Baseline",IF($O2463=0,"No result",IF($N2463=0,"No Start (attainment only)",IF(OR($N2463=1,$O2463=1),"U – needs rule",INDEX(MxBody,MATCH($I2463,MxCurr,0),MATCH($H2463,MxStart,0)))))))</f>
        <v/>
      </c>
      <c r="L2463" s="62" t="str">
        <f aca="false">IF(COUNTA($A2463,$F2463,$G2463,$H2463,$I2463,$J2463)=0,"",IF($M2463=0,"✖ كود الصف غير موجود",IF(ISNA(MATCH($F2463,Lists!$A$2:$A$5,0)),"✖ الفترة غير صحيحة",IF(ISNA(MATCH($G2463,Lists!$B$2:$B$7,0)),"✖ المجموعة غير صحيحة",IF(NOT(OR($H2463="",$N2463&gt;0)),"✖ Start غير صحيح",IF(NOT(OR($I2463="",$I2463="NR",$O2463&gt;0)),"✖ Current غير صحيح",IF(NOT(IF(ISNUMBER($J2463),AND($J2463&gt;=0,$J2463=INT($J2463)),FALSE())),"✖ العدد يجب أن يكون صحيحًا ≥ 0",IF(AND($F2463="Baseline",$H2463&lt;&gt;""),"⚠ Baseline: Start لا يدخل في التقدم",IF($K2463="No Start (attainment only)","ℹ تحصيل فقط (بدون Start)",IF($K2463="U – needs rule","ℹ حالة U تحتاج قاعدة معتمدة",IF($K2463="No result","ℹ بدون نتيجة (يُستبعد من التحصيل)","OK")))))))))))</f>
        <v/>
      </c>
      <c r="M2463" s="64" t="n">
        <f aca="false">IF($A2463="",0,IFERROR(MATCH($A2463,Classes!$A$6:$A$420,0),0))</f>
        <v>0</v>
      </c>
      <c r="N2463" s="64" t="n">
        <f aca="false">IF($H2463="",0,IFERROR(MATCH($H2463,GradeList,0),0))</f>
        <v>0</v>
      </c>
      <c r="O2463" s="64" t="n">
        <f aca="false">IF(OR($I2463="",$I2463="NR"),0,IFERROR(MATCH($I2463,GradeList,0),0))</f>
        <v>0</v>
      </c>
      <c r="P2463" s="64" t="n">
        <f aca="false">IF(AND($M2463&gt;0,ISNUMBER(MATCH($F2463,Lists!$A$2:$A$5,0)),ISNUMBER(MATCH($G2463,Lists!$B$2:$B$7,0)),OR($H2463="",$N2463&gt;0),OR($I2463="",$I2463="NR",$O2463&gt;0),IF(ISNUMBER($J2463),AND($J2463&gt;=0,$J2463=INT($J2463)),FALSE())),$J2463,0)</f>
        <v>0</v>
      </c>
      <c r="Q2463" s="64" t="n">
        <f aca="false">IF(AND($P2463&gt;0,$O2463&gt;0),$P2463,0)</f>
        <v>0</v>
      </c>
      <c r="R2463" s="64" t="n">
        <f aca="false">IF(AND($Q2463&gt;0,$O2463&gt;=AtRank),$Q2463,0)</f>
        <v>0</v>
      </c>
      <c r="S2463" s="64" t="n">
        <f aca="false">IF(AND($Q2463&gt;0,$O2463&gt;=AboveRank),$Q2463,0)</f>
        <v>0</v>
      </c>
      <c r="T2463" s="64" t="n">
        <f aca="false">IF($K2463="Less",$P2463,0)</f>
        <v>0</v>
      </c>
      <c r="U2463" s="64" t="n">
        <f aca="false">IF($K2463="Expected",$P2463,0)</f>
        <v>0</v>
      </c>
      <c r="V2463" s="64" t="n">
        <f aca="false">IF($K2463="Better",$P2463,0)</f>
        <v>0</v>
      </c>
      <c r="W2463" s="64" t="n">
        <f aca="false">IF($K2463="U – needs rule",$P2463,0)</f>
        <v>0</v>
      </c>
      <c r="X2463" s="64" t="n">
        <f aca="false">IF($K2463="No Start (attainment only)",$P2463,0)</f>
        <v>0</v>
      </c>
    </row>
    <row r="2464" customFormat="false" ht="15" hidden="false" customHeight="false" outlineLevel="0" collapsed="false">
      <c r="A2464" s="60"/>
      <c r="B2464" s="61" t="str">
        <f aca="false">IF($M2464=0,"",INDEX(Classes!$E$6:$E$420,$M2464))</f>
        <v/>
      </c>
      <c r="C2464" s="62" t="str">
        <f aca="false">IF($M2464=0,"",INDEX(Classes!$H$6:$H$420,$M2464))</f>
        <v/>
      </c>
      <c r="D2464" s="61" t="str">
        <f aca="false">IF($M2464=0,"",INDEX(Classes!$B$6:$B$420,$M2464))</f>
        <v/>
      </c>
      <c r="E2464" s="61" t="str">
        <f aca="false">IF($M2464=0,"",INDEX(Classes!$C$6:$C$420,$M2464))</f>
        <v/>
      </c>
      <c r="F2464" s="63"/>
      <c r="G2464" s="63"/>
      <c r="H2464" s="60"/>
      <c r="I2464" s="60"/>
      <c r="J2464" s="63"/>
      <c r="K2464" s="61" t="str">
        <f aca="false">IF($P2464=0,"",IF($F2464="Baseline","— Baseline",IF($O2464=0,"No result",IF($N2464=0,"No Start (attainment only)",IF(OR($N2464=1,$O2464=1),"U – needs rule",INDEX(MxBody,MATCH($I2464,MxCurr,0),MATCH($H2464,MxStart,0)))))))</f>
        <v/>
      </c>
      <c r="L2464" s="62" t="str">
        <f aca="false">IF(COUNTA($A2464,$F2464,$G2464,$H2464,$I2464,$J2464)=0,"",IF($M2464=0,"✖ كود الصف غير موجود",IF(ISNA(MATCH($F2464,Lists!$A$2:$A$5,0)),"✖ الفترة غير صحيحة",IF(ISNA(MATCH($G2464,Lists!$B$2:$B$7,0)),"✖ المجموعة غير صحيحة",IF(NOT(OR($H2464="",$N2464&gt;0)),"✖ Start غير صحيح",IF(NOT(OR($I2464="",$I2464="NR",$O2464&gt;0)),"✖ Current غير صحيح",IF(NOT(IF(ISNUMBER($J2464),AND($J2464&gt;=0,$J2464=INT($J2464)),FALSE())),"✖ العدد يجب أن يكون صحيحًا ≥ 0",IF(AND($F2464="Baseline",$H2464&lt;&gt;""),"⚠ Baseline: Start لا يدخل في التقدم",IF($K2464="No Start (attainment only)","ℹ تحصيل فقط (بدون Start)",IF($K2464="U – needs rule","ℹ حالة U تحتاج قاعدة معتمدة",IF($K2464="No result","ℹ بدون نتيجة (يُستبعد من التحصيل)","OK")))))))))))</f>
        <v/>
      </c>
      <c r="M2464" s="64" t="n">
        <f aca="false">IF($A2464="",0,IFERROR(MATCH($A2464,Classes!$A$6:$A$420,0),0))</f>
        <v>0</v>
      </c>
      <c r="N2464" s="64" t="n">
        <f aca="false">IF($H2464="",0,IFERROR(MATCH($H2464,GradeList,0),0))</f>
        <v>0</v>
      </c>
      <c r="O2464" s="64" t="n">
        <f aca="false">IF(OR($I2464="",$I2464="NR"),0,IFERROR(MATCH($I2464,GradeList,0),0))</f>
        <v>0</v>
      </c>
      <c r="P2464" s="64" t="n">
        <f aca="false">IF(AND($M2464&gt;0,ISNUMBER(MATCH($F2464,Lists!$A$2:$A$5,0)),ISNUMBER(MATCH($G2464,Lists!$B$2:$B$7,0)),OR($H2464="",$N2464&gt;0),OR($I2464="",$I2464="NR",$O2464&gt;0),IF(ISNUMBER($J2464),AND($J2464&gt;=0,$J2464=INT($J2464)),FALSE())),$J2464,0)</f>
        <v>0</v>
      </c>
      <c r="Q2464" s="64" t="n">
        <f aca="false">IF(AND($P2464&gt;0,$O2464&gt;0),$P2464,0)</f>
        <v>0</v>
      </c>
      <c r="R2464" s="64" t="n">
        <f aca="false">IF(AND($Q2464&gt;0,$O2464&gt;=AtRank),$Q2464,0)</f>
        <v>0</v>
      </c>
      <c r="S2464" s="64" t="n">
        <f aca="false">IF(AND($Q2464&gt;0,$O2464&gt;=AboveRank),$Q2464,0)</f>
        <v>0</v>
      </c>
      <c r="T2464" s="64" t="n">
        <f aca="false">IF($K2464="Less",$P2464,0)</f>
        <v>0</v>
      </c>
      <c r="U2464" s="64" t="n">
        <f aca="false">IF($K2464="Expected",$P2464,0)</f>
        <v>0</v>
      </c>
      <c r="V2464" s="64" t="n">
        <f aca="false">IF($K2464="Better",$P2464,0)</f>
        <v>0</v>
      </c>
      <c r="W2464" s="64" t="n">
        <f aca="false">IF($K2464="U – needs rule",$P2464,0)</f>
        <v>0</v>
      </c>
      <c r="X2464" s="64" t="n">
        <f aca="false">IF($K2464="No Start (attainment only)",$P2464,0)</f>
        <v>0</v>
      </c>
    </row>
    <row r="2465" customFormat="false" ht="15" hidden="false" customHeight="false" outlineLevel="0" collapsed="false">
      <c r="A2465" s="60"/>
      <c r="B2465" s="61" t="str">
        <f aca="false">IF($M2465=0,"",INDEX(Classes!$E$6:$E$420,$M2465))</f>
        <v/>
      </c>
      <c r="C2465" s="62" t="str">
        <f aca="false">IF($M2465=0,"",INDEX(Classes!$H$6:$H$420,$M2465))</f>
        <v/>
      </c>
      <c r="D2465" s="61" t="str">
        <f aca="false">IF($M2465=0,"",INDEX(Classes!$B$6:$B$420,$M2465))</f>
        <v/>
      </c>
      <c r="E2465" s="61" t="str">
        <f aca="false">IF($M2465=0,"",INDEX(Classes!$C$6:$C$420,$M2465))</f>
        <v/>
      </c>
      <c r="F2465" s="63"/>
      <c r="G2465" s="63"/>
      <c r="H2465" s="60"/>
      <c r="I2465" s="60"/>
      <c r="J2465" s="63"/>
      <c r="K2465" s="61" t="str">
        <f aca="false">IF($P2465=0,"",IF($F2465="Baseline","— Baseline",IF($O2465=0,"No result",IF($N2465=0,"No Start (attainment only)",IF(OR($N2465=1,$O2465=1),"U – needs rule",INDEX(MxBody,MATCH($I2465,MxCurr,0),MATCH($H2465,MxStart,0)))))))</f>
        <v/>
      </c>
      <c r="L2465" s="62" t="str">
        <f aca="false">IF(COUNTA($A2465,$F2465,$G2465,$H2465,$I2465,$J2465)=0,"",IF($M2465=0,"✖ كود الصف غير موجود",IF(ISNA(MATCH($F2465,Lists!$A$2:$A$5,0)),"✖ الفترة غير صحيحة",IF(ISNA(MATCH($G2465,Lists!$B$2:$B$7,0)),"✖ المجموعة غير صحيحة",IF(NOT(OR($H2465="",$N2465&gt;0)),"✖ Start غير صحيح",IF(NOT(OR($I2465="",$I2465="NR",$O2465&gt;0)),"✖ Current غير صحيح",IF(NOT(IF(ISNUMBER($J2465),AND($J2465&gt;=0,$J2465=INT($J2465)),FALSE())),"✖ العدد يجب أن يكون صحيحًا ≥ 0",IF(AND($F2465="Baseline",$H2465&lt;&gt;""),"⚠ Baseline: Start لا يدخل في التقدم",IF($K2465="No Start (attainment only)","ℹ تحصيل فقط (بدون Start)",IF($K2465="U – needs rule","ℹ حالة U تحتاج قاعدة معتمدة",IF($K2465="No result","ℹ بدون نتيجة (يُستبعد من التحصيل)","OK")))))))))))</f>
        <v/>
      </c>
      <c r="M2465" s="64" t="n">
        <f aca="false">IF($A2465="",0,IFERROR(MATCH($A2465,Classes!$A$6:$A$420,0),0))</f>
        <v>0</v>
      </c>
      <c r="N2465" s="64" t="n">
        <f aca="false">IF($H2465="",0,IFERROR(MATCH($H2465,GradeList,0),0))</f>
        <v>0</v>
      </c>
      <c r="O2465" s="64" t="n">
        <f aca="false">IF(OR($I2465="",$I2465="NR"),0,IFERROR(MATCH($I2465,GradeList,0),0))</f>
        <v>0</v>
      </c>
      <c r="P2465" s="64" t="n">
        <f aca="false">IF(AND($M2465&gt;0,ISNUMBER(MATCH($F2465,Lists!$A$2:$A$5,0)),ISNUMBER(MATCH($G2465,Lists!$B$2:$B$7,0)),OR($H2465="",$N2465&gt;0),OR($I2465="",$I2465="NR",$O2465&gt;0),IF(ISNUMBER($J2465),AND($J2465&gt;=0,$J2465=INT($J2465)),FALSE())),$J2465,0)</f>
        <v>0</v>
      </c>
      <c r="Q2465" s="64" t="n">
        <f aca="false">IF(AND($P2465&gt;0,$O2465&gt;0),$P2465,0)</f>
        <v>0</v>
      </c>
      <c r="R2465" s="64" t="n">
        <f aca="false">IF(AND($Q2465&gt;0,$O2465&gt;=AtRank),$Q2465,0)</f>
        <v>0</v>
      </c>
      <c r="S2465" s="64" t="n">
        <f aca="false">IF(AND($Q2465&gt;0,$O2465&gt;=AboveRank),$Q2465,0)</f>
        <v>0</v>
      </c>
      <c r="T2465" s="64" t="n">
        <f aca="false">IF($K2465="Less",$P2465,0)</f>
        <v>0</v>
      </c>
      <c r="U2465" s="64" t="n">
        <f aca="false">IF($K2465="Expected",$P2465,0)</f>
        <v>0</v>
      </c>
      <c r="V2465" s="64" t="n">
        <f aca="false">IF($K2465="Better",$P2465,0)</f>
        <v>0</v>
      </c>
      <c r="W2465" s="64" t="n">
        <f aca="false">IF($K2465="U – needs rule",$P2465,0)</f>
        <v>0</v>
      </c>
      <c r="X2465" s="64" t="n">
        <f aca="false">IF($K2465="No Start (attainment only)",$P2465,0)</f>
        <v>0</v>
      </c>
    </row>
    <row r="2466" customFormat="false" ht="15" hidden="false" customHeight="false" outlineLevel="0" collapsed="false">
      <c r="A2466" s="60"/>
      <c r="B2466" s="61" t="str">
        <f aca="false">IF($M2466=0,"",INDEX(Classes!$E$6:$E$420,$M2466))</f>
        <v/>
      </c>
      <c r="C2466" s="62" t="str">
        <f aca="false">IF($M2466=0,"",INDEX(Classes!$H$6:$H$420,$M2466))</f>
        <v/>
      </c>
      <c r="D2466" s="61" t="str">
        <f aca="false">IF($M2466=0,"",INDEX(Classes!$B$6:$B$420,$M2466))</f>
        <v/>
      </c>
      <c r="E2466" s="61" t="str">
        <f aca="false">IF($M2466=0,"",INDEX(Classes!$C$6:$C$420,$M2466))</f>
        <v/>
      </c>
      <c r="F2466" s="63"/>
      <c r="G2466" s="63"/>
      <c r="H2466" s="60"/>
      <c r="I2466" s="60"/>
      <c r="J2466" s="63"/>
      <c r="K2466" s="61" t="str">
        <f aca="false">IF($P2466=0,"",IF($F2466="Baseline","— Baseline",IF($O2466=0,"No result",IF($N2466=0,"No Start (attainment only)",IF(OR($N2466=1,$O2466=1),"U – needs rule",INDEX(MxBody,MATCH($I2466,MxCurr,0),MATCH($H2466,MxStart,0)))))))</f>
        <v/>
      </c>
      <c r="L2466" s="62" t="str">
        <f aca="false">IF(COUNTA($A2466,$F2466,$G2466,$H2466,$I2466,$J2466)=0,"",IF($M2466=0,"✖ كود الصف غير موجود",IF(ISNA(MATCH($F2466,Lists!$A$2:$A$5,0)),"✖ الفترة غير صحيحة",IF(ISNA(MATCH($G2466,Lists!$B$2:$B$7,0)),"✖ المجموعة غير صحيحة",IF(NOT(OR($H2466="",$N2466&gt;0)),"✖ Start غير صحيح",IF(NOT(OR($I2466="",$I2466="NR",$O2466&gt;0)),"✖ Current غير صحيح",IF(NOT(IF(ISNUMBER($J2466),AND($J2466&gt;=0,$J2466=INT($J2466)),FALSE())),"✖ العدد يجب أن يكون صحيحًا ≥ 0",IF(AND($F2466="Baseline",$H2466&lt;&gt;""),"⚠ Baseline: Start لا يدخل في التقدم",IF($K2466="No Start (attainment only)","ℹ تحصيل فقط (بدون Start)",IF($K2466="U – needs rule","ℹ حالة U تحتاج قاعدة معتمدة",IF($K2466="No result","ℹ بدون نتيجة (يُستبعد من التحصيل)","OK")))))))))))</f>
        <v/>
      </c>
      <c r="M2466" s="64" t="n">
        <f aca="false">IF($A2466="",0,IFERROR(MATCH($A2466,Classes!$A$6:$A$420,0),0))</f>
        <v>0</v>
      </c>
      <c r="N2466" s="64" t="n">
        <f aca="false">IF($H2466="",0,IFERROR(MATCH($H2466,GradeList,0),0))</f>
        <v>0</v>
      </c>
      <c r="O2466" s="64" t="n">
        <f aca="false">IF(OR($I2466="",$I2466="NR"),0,IFERROR(MATCH($I2466,GradeList,0),0))</f>
        <v>0</v>
      </c>
      <c r="P2466" s="64" t="n">
        <f aca="false">IF(AND($M2466&gt;0,ISNUMBER(MATCH($F2466,Lists!$A$2:$A$5,0)),ISNUMBER(MATCH($G2466,Lists!$B$2:$B$7,0)),OR($H2466="",$N2466&gt;0),OR($I2466="",$I2466="NR",$O2466&gt;0),IF(ISNUMBER($J2466),AND($J2466&gt;=0,$J2466=INT($J2466)),FALSE())),$J2466,0)</f>
        <v>0</v>
      </c>
      <c r="Q2466" s="64" t="n">
        <f aca="false">IF(AND($P2466&gt;0,$O2466&gt;0),$P2466,0)</f>
        <v>0</v>
      </c>
      <c r="R2466" s="64" t="n">
        <f aca="false">IF(AND($Q2466&gt;0,$O2466&gt;=AtRank),$Q2466,0)</f>
        <v>0</v>
      </c>
      <c r="S2466" s="64" t="n">
        <f aca="false">IF(AND($Q2466&gt;0,$O2466&gt;=AboveRank),$Q2466,0)</f>
        <v>0</v>
      </c>
      <c r="T2466" s="64" t="n">
        <f aca="false">IF($K2466="Less",$P2466,0)</f>
        <v>0</v>
      </c>
      <c r="U2466" s="64" t="n">
        <f aca="false">IF($K2466="Expected",$P2466,0)</f>
        <v>0</v>
      </c>
      <c r="V2466" s="64" t="n">
        <f aca="false">IF($K2466="Better",$P2466,0)</f>
        <v>0</v>
      </c>
      <c r="W2466" s="64" t="n">
        <f aca="false">IF($K2466="U – needs rule",$P2466,0)</f>
        <v>0</v>
      </c>
      <c r="X2466" s="64" t="n">
        <f aca="false">IF($K2466="No Start (attainment only)",$P2466,0)</f>
        <v>0</v>
      </c>
    </row>
    <row r="2467" customFormat="false" ht="15" hidden="false" customHeight="false" outlineLevel="0" collapsed="false">
      <c r="A2467" s="60"/>
      <c r="B2467" s="61" t="str">
        <f aca="false">IF($M2467=0,"",INDEX(Classes!$E$6:$E$420,$M2467))</f>
        <v/>
      </c>
      <c r="C2467" s="62" t="str">
        <f aca="false">IF($M2467=0,"",INDEX(Classes!$H$6:$H$420,$M2467))</f>
        <v/>
      </c>
      <c r="D2467" s="61" t="str">
        <f aca="false">IF($M2467=0,"",INDEX(Classes!$B$6:$B$420,$M2467))</f>
        <v/>
      </c>
      <c r="E2467" s="61" t="str">
        <f aca="false">IF($M2467=0,"",INDEX(Classes!$C$6:$C$420,$M2467))</f>
        <v/>
      </c>
      <c r="F2467" s="63"/>
      <c r="G2467" s="63"/>
      <c r="H2467" s="60"/>
      <c r="I2467" s="60"/>
      <c r="J2467" s="63"/>
      <c r="K2467" s="61" t="str">
        <f aca="false">IF($P2467=0,"",IF($F2467="Baseline","— Baseline",IF($O2467=0,"No result",IF($N2467=0,"No Start (attainment only)",IF(OR($N2467=1,$O2467=1),"U – needs rule",INDEX(MxBody,MATCH($I2467,MxCurr,0),MATCH($H2467,MxStart,0)))))))</f>
        <v/>
      </c>
      <c r="L2467" s="62" t="str">
        <f aca="false">IF(COUNTA($A2467,$F2467,$G2467,$H2467,$I2467,$J2467)=0,"",IF($M2467=0,"✖ كود الصف غير موجود",IF(ISNA(MATCH($F2467,Lists!$A$2:$A$5,0)),"✖ الفترة غير صحيحة",IF(ISNA(MATCH($G2467,Lists!$B$2:$B$7,0)),"✖ المجموعة غير صحيحة",IF(NOT(OR($H2467="",$N2467&gt;0)),"✖ Start غير صحيح",IF(NOT(OR($I2467="",$I2467="NR",$O2467&gt;0)),"✖ Current غير صحيح",IF(NOT(IF(ISNUMBER($J2467),AND($J2467&gt;=0,$J2467=INT($J2467)),FALSE())),"✖ العدد يجب أن يكون صحيحًا ≥ 0",IF(AND($F2467="Baseline",$H2467&lt;&gt;""),"⚠ Baseline: Start لا يدخل في التقدم",IF($K2467="No Start (attainment only)","ℹ تحصيل فقط (بدون Start)",IF($K2467="U – needs rule","ℹ حالة U تحتاج قاعدة معتمدة",IF($K2467="No result","ℹ بدون نتيجة (يُستبعد من التحصيل)","OK")))))))))))</f>
        <v/>
      </c>
      <c r="M2467" s="64" t="n">
        <f aca="false">IF($A2467="",0,IFERROR(MATCH($A2467,Classes!$A$6:$A$420,0),0))</f>
        <v>0</v>
      </c>
      <c r="N2467" s="64" t="n">
        <f aca="false">IF($H2467="",0,IFERROR(MATCH($H2467,GradeList,0),0))</f>
        <v>0</v>
      </c>
      <c r="O2467" s="64" t="n">
        <f aca="false">IF(OR($I2467="",$I2467="NR"),0,IFERROR(MATCH($I2467,GradeList,0),0))</f>
        <v>0</v>
      </c>
      <c r="P2467" s="64" t="n">
        <f aca="false">IF(AND($M2467&gt;0,ISNUMBER(MATCH($F2467,Lists!$A$2:$A$5,0)),ISNUMBER(MATCH($G2467,Lists!$B$2:$B$7,0)),OR($H2467="",$N2467&gt;0),OR($I2467="",$I2467="NR",$O2467&gt;0),IF(ISNUMBER($J2467),AND($J2467&gt;=0,$J2467=INT($J2467)),FALSE())),$J2467,0)</f>
        <v>0</v>
      </c>
      <c r="Q2467" s="64" t="n">
        <f aca="false">IF(AND($P2467&gt;0,$O2467&gt;0),$P2467,0)</f>
        <v>0</v>
      </c>
      <c r="R2467" s="64" t="n">
        <f aca="false">IF(AND($Q2467&gt;0,$O2467&gt;=AtRank),$Q2467,0)</f>
        <v>0</v>
      </c>
      <c r="S2467" s="64" t="n">
        <f aca="false">IF(AND($Q2467&gt;0,$O2467&gt;=AboveRank),$Q2467,0)</f>
        <v>0</v>
      </c>
      <c r="T2467" s="64" t="n">
        <f aca="false">IF($K2467="Less",$P2467,0)</f>
        <v>0</v>
      </c>
      <c r="U2467" s="64" t="n">
        <f aca="false">IF($K2467="Expected",$P2467,0)</f>
        <v>0</v>
      </c>
      <c r="V2467" s="64" t="n">
        <f aca="false">IF($K2467="Better",$P2467,0)</f>
        <v>0</v>
      </c>
      <c r="W2467" s="64" t="n">
        <f aca="false">IF($K2467="U – needs rule",$P2467,0)</f>
        <v>0</v>
      </c>
      <c r="X2467" s="64" t="n">
        <f aca="false">IF($K2467="No Start (attainment only)",$P2467,0)</f>
        <v>0</v>
      </c>
    </row>
    <row r="2468" customFormat="false" ht="15" hidden="false" customHeight="false" outlineLevel="0" collapsed="false">
      <c r="A2468" s="60"/>
      <c r="B2468" s="61" t="str">
        <f aca="false">IF($M2468=0,"",INDEX(Classes!$E$6:$E$420,$M2468))</f>
        <v/>
      </c>
      <c r="C2468" s="62" t="str">
        <f aca="false">IF($M2468=0,"",INDEX(Classes!$H$6:$H$420,$M2468))</f>
        <v/>
      </c>
      <c r="D2468" s="61" t="str">
        <f aca="false">IF($M2468=0,"",INDEX(Classes!$B$6:$B$420,$M2468))</f>
        <v/>
      </c>
      <c r="E2468" s="61" t="str">
        <f aca="false">IF($M2468=0,"",INDEX(Classes!$C$6:$C$420,$M2468))</f>
        <v/>
      </c>
      <c r="F2468" s="63"/>
      <c r="G2468" s="63"/>
      <c r="H2468" s="60"/>
      <c r="I2468" s="60"/>
      <c r="J2468" s="63"/>
      <c r="K2468" s="61" t="str">
        <f aca="false">IF($P2468=0,"",IF($F2468="Baseline","— Baseline",IF($O2468=0,"No result",IF($N2468=0,"No Start (attainment only)",IF(OR($N2468=1,$O2468=1),"U – needs rule",INDEX(MxBody,MATCH($I2468,MxCurr,0),MATCH($H2468,MxStart,0)))))))</f>
        <v/>
      </c>
      <c r="L2468" s="62" t="str">
        <f aca="false">IF(COUNTA($A2468,$F2468,$G2468,$H2468,$I2468,$J2468)=0,"",IF($M2468=0,"✖ كود الصف غير موجود",IF(ISNA(MATCH($F2468,Lists!$A$2:$A$5,0)),"✖ الفترة غير صحيحة",IF(ISNA(MATCH($G2468,Lists!$B$2:$B$7,0)),"✖ المجموعة غير صحيحة",IF(NOT(OR($H2468="",$N2468&gt;0)),"✖ Start غير صحيح",IF(NOT(OR($I2468="",$I2468="NR",$O2468&gt;0)),"✖ Current غير صحيح",IF(NOT(IF(ISNUMBER($J2468),AND($J2468&gt;=0,$J2468=INT($J2468)),FALSE())),"✖ العدد يجب أن يكون صحيحًا ≥ 0",IF(AND($F2468="Baseline",$H2468&lt;&gt;""),"⚠ Baseline: Start لا يدخل في التقدم",IF($K2468="No Start (attainment only)","ℹ تحصيل فقط (بدون Start)",IF($K2468="U – needs rule","ℹ حالة U تحتاج قاعدة معتمدة",IF($K2468="No result","ℹ بدون نتيجة (يُستبعد من التحصيل)","OK")))))))))))</f>
        <v/>
      </c>
      <c r="M2468" s="64" t="n">
        <f aca="false">IF($A2468="",0,IFERROR(MATCH($A2468,Classes!$A$6:$A$420,0),0))</f>
        <v>0</v>
      </c>
      <c r="N2468" s="64" t="n">
        <f aca="false">IF($H2468="",0,IFERROR(MATCH($H2468,GradeList,0),0))</f>
        <v>0</v>
      </c>
      <c r="O2468" s="64" t="n">
        <f aca="false">IF(OR($I2468="",$I2468="NR"),0,IFERROR(MATCH($I2468,GradeList,0),0))</f>
        <v>0</v>
      </c>
      <c r="P2468" s="64" t="n">
        <f aca="false">IF(AND($M2468&gt;0,ISNUMBER(MATCH($F2468,Lists!$A$2:$A$5,0)),ISNUMBER(MATCH($G2468,Lists!$B$2:$B$7,0)),OR($H2468="",$N2468&gt;0),OR($I2468="",$I2468="NR",$O2468&gt;0),IF(ISNUMBER($J2468),AND($J2468&gt;=0,$J2468=INT($J2468)),FALSE())),$J2468,0)</f>
        <v>0</v>
      </c>
      <c r="Q2468" s="64" t="n">
        <f aca="false">IF(AND($P2468&gt;0,$O2468&gt;0),$P2468,0)</f>
        <v>0</v>
      </c>
      <c r="R2468" s="64" t="n">
        <f aca="false">IF(AND($Q2468&gt;0,$O2468&gt;=AtRank),$Q2468,0)</f>
        <v>0</v>
      </c>
      <c r="S2468" s="64" t="n">
        <f aca="false">IF(AND($Q2468&gt;0,$O2468&gt;=AboveRank),$Q2468,0)</f>
        <v>0</v>
      </c>
      <c r="T2468" s="64" t="n">
        <f aca="false">IF($K2468="Less",$P2468,0)</f>
        <v>0</v>
      </c>
      <c r="U2468" s="64" t="n">
        <f aca="false">IF($K2468="Expected",$P2468,0)</f>
        <v>0</v>
      </c>
      <c r="V2468" s="64" t="n">
        <f aca="false">IF($K2468="Better",$P2468,0)</f>
        <v>0</v>
      </c>
      <c r="W2468" s="64" t="n">
        <f aca="false">IF($K2468="U – needs rule",$P2468,0)</f>
        <v>0</v>
      </c>
      <c r="X2468" s="64" t="n">
        <f aca="false">IF($K2468="No Start (attainment only)",$P2468,0)</f>
        <v>0</v>
      </c>
    </row>
    <row r="2469" customFormat="false" ht="15" hidden="false" customHeight="false" outlineLevel="0" collapsed="false">
      <c r="A2469" s="60"/>
      <c r="B2469" s="61" t="str">
        <f aca="false">IF($M2469=0,"",INDEX(Classes!$E$6:$E$420,$M2469))</f>
        <v/>
      </c>
      <c r="C2469" s="62" t="str">
        <f aca="false">IF($M2469=0,"",INDEX(Classes!$H$6:$H$420,$M2469))</f>
        <v/>
      </c>
      <c r="D2469" s="61" t="str">
        <f aca="false">IF($M2469=0,"",INDEX(Classes!$B$6:$B$420,$M2469))</f>
        <v/>
      </c>
      <c r="E2469" s="61" t="str">
        <f aca="false">IF($M2469=0,"",INDEX(Classes!$C$6:$C$420,$M2469))</f>
        <v/>
      </c>
      <c r="F2469" s="63"/>
      <c r="G2469" s="63"/>
      <c r="H2469" s="60"/>
      <c r="I2469" s="60"/>
      <c r="J2469" s="63"/>
      <c r="K2469" s="61" t="str">
        <f aca="false">IF($P2469=0,"",IF($F2469="Baseline","— Baseline",IF($O2469=0,"No result",IF($N2469=0,"No Start (attainment only)",IF(OR($N2469=1,$O2469=1),"U – needs rule",INDEX(MxBody,MATCH($I2469,MxCurr,0),MATCH($H2469,MxStart,0)))))))</f>
        <v/>
      </c>
      <c r="L2469" s="62" t="str">
        <f aca="false">IF(COUNTA($A2469,$F2469,$G2469,$H2469,$I2469,$J2469)=0,"",IF($M2469=0,"✖ كود الصف غير موجود",IF(ISNA(MATCH($F2469,Lists!$A$2:$A$5,0)),"✖ الفترة غير صحيحة",IF(ISNA(MATCH($G2469,Lists!$B$2:$B$7,0)),"✖ المجموعة غير صحيحة",IF(NOT(OR($H2469="",$N2469&gt;0)),"✖ Start غير صحيح",IF(NOT(OR($I2469="",$I2469="NR",$O2469&gt;0)),"✖ Current غير صحيح",IF(NOT(IF(ISNUMBER($J2469),AND($J2469&gt;=0,$J2469=INT($J2469)),FALSE())),"✖ العدد يجب أن يكون صحيحًا ≥ 0",IF(AND($F2469="Baseline",$H2469&lt;&gt;""),"⚠ Baseline: Start لا يدخل في التقدم",IF($K2469="No Start (attainment only)","ℹ تحصيل فقط (بدون Start)",IF($K2469="U – needs rule","ℹ حالة U تحتاج قاعدة معتمدة",IF($K2469="No result","ℹ بدون نتيجة (يُستبعد من التحصيل)","OK")))))))))))</f>
        <v/>
      </c>
      <c r="M2469" s="64" t="n">
        <f aca="false">IF($A2469="",0,IFERROR(MATCH($A2469,Classes!$A$6:$A$420,0),0))</f>
        <v>0</v>
      </c>
      <c r="N2469" s="64" t="n">
        <f aca="false">IF($H2469="",0,IFERROR(MATCH($H2469,GradeList,0),0))</f>
        <v>0</v>
      </c>
      <c r="O2469" s="64" t="n">
        <f aca="false">IF(OR($I2469="",$I2469="NR"),0,IFERROR(MATCH($I2469,GradeList,0),0))</f>
        <v>0</v>
      </c>
      <c r="P2469" s="64" t="n">
        <f aca="false">IF(AND($M2469&gt;0,ISNUMBER(MATCH($F2469,Lists!$A$2:$A$5,0)),ISNUMBER(MATCH($G2469,Lists!$B$2:$B$7,0)),OR($H2469="",$N2469&gt;0),OR($I2469="",$I2469="NR",$O2469&gt;0),IF(ISNUMBER($J2469),AND($J2469&gt;=0,$J2469=INT($J2469)),FALSE())),$J2469,0)</f>
        <v>0</v>
      </c>
      <c r="Q2469" s="64" t="n">
        <f aca="false">IF(AND($P2469&gt;0,$O2469&gt;0),$P2469,0)</f>
        <v>0</v>
      </c>
      <c r="R2469" s="64" t="n">
        <f aca="false">IF(AND($Q2469&gt;0,$O2469&gt;=AtRank),$Q2469,0)</f>
        <v>0</v>
      </c>
      <c r="S2469" s="64" t="n">
        <f aca="false">IF(AND($Q2469&gt;0,$O2469&gt;=AboveRank),$Q2469,0)</f>
        <v>0</v>
      </c>
      <c r="T2469" s="64" t="n">
        <f aca="false">IF($K2469="Less",$P2469,0)</f>
        <v>0</v>
      </c>
      <c r="U2469" s="64" t="n">
        <f aca="false">IF($K2469="Expected",$P2469,0)</f>
        <v>0</v>
      </c>
      <c r="V2469" s="64" t="n">
        <f aca="false">IF($K2469="Better",$P2469,0)</f>
        <v>0</v>
      </c>
      <c r="W2469" s="64" t="n">
        <f aca="false">IF($K2469="U – needs rule",$P2469,0)</f>
        <v>0</v>
      </c>
      <c r="X2469" s="64" t="n">
        <f aca="false">IF($K2469="No Start (attainment only)",$P2469,0)</f>
        <v>0</v>
      </c>
    </row>
    <row r="2470" customFormat="false" ht="15" hidden="false" customHeight="false" outlineLevel="0" collapsed="false">
      <c r="A2470" s="60"/>
      <c r="B2470" s="61" t="str">
        <f aca="false">IF($M2470=0,"",INDEX(Classes!$E$6:$E$420,$M2470))</f>
        <v/>
      </c>
      <c r="C2470" s="62" t="str">
        <f aca="false">IF($M2470=0,"",INDEX(Classes!$H$6:$H$420,$M2470))</f>
        <v/>
      </c>
      <c r="D2470" s="61" t="str">
        <f aca="false">IF($M2470=0,"",INDEX(Classes!$B$6:$B$420,$M2470))</f>
        <v/>
      </c>
      <c r="E2470" s="61" t="str">
        <f aca="false">IF($M2470=0,"",INDEX(Classes!$C$6:$C$420,$M2470))</f>
        <v/>
      </c>
      <c r="F2470" s="63"/>
      <c r="G2470" s="63"/>
      <c r="H2470" s="60"/>
      <c r="I2470" s="60"/>
      <c r="J2470" s="63"/>
      <c r="K2470" s="61" t="str">
        <f aca="false">IF($P2470=0,"",IF($F2470="Baseline","— Baseline",IF($O2470=0,"No result",IF($N2470=0,"No Start (attainment only)",IF(OR($N2470=1,$O2470=1),"U – needs rule",INDEX(MxBody,MATCH($I2470,MxCurr,0),MATCH($H2470,MxStart,0)))))))</f>
        <v/>
      </c>
      <c r="L2470" s="62" t="str">
        <f aca="false">IF(COUNTA($A2470,$F2470,$G2470,$H2470,$I2470,$J2470)=0,"",IF($M2470=0,"✖ كود الصف غير موجود",IF(ISNA(MATCH($F2470,Lists!$A$2:$A$5,0)),"✖ الفترة غير صحيحة",IF(ISNA(MATCH($G2470,Lists!$B$2:$B$7,0)),"✖ المجموعة غير صحيحة",IF(NOT(OR($H2470="",$N2470&gt;0)),"✖ Start غير صحيح",IF(NOT(OR($I2470="",$I2470="NR",$O2470&gt;0)),"✖ Current غير صحيح",IF(NOT(IF(ISNUMBER($J2470),AND($J2470&gt;=0,$J2470=INT($J2470)),FALSE())),"✖ العدد يجب أن يكون صحيحًا ≥ 0",IF(AND($F2470="Baseline",$H2470&lt;&gt;""),"⚠ Baseline: Start لا يدخل في التقدم",IF($K2470="No Start (attainment only)","ℹ تحصيل فقط (بدون Start)",IF($K2470="U – needs rule","ℹ حالة U تحتاج قاعدة معتمدة",IF($K2470="No result","ℹ بدون نتيجة (يُستبعد من التحصيل)","OK")))))))))))</f>
        <v/>
      </c>
      <c r="M2470" s="64" t="n">
        <f aca="false">IF($A2470="",0,IFERROR(MATCH($A2470,Classes!$A$6:$A$420,0),0))</f>
        <v>0</v>
      </c>
      <c r="N2470" s="64" t="n">
        <f aca="false">IF($H2470="",0,IFERROR(MATCH($H2470,GradeList,0),0))</f>
        <v>0</v>
      </c>
      <c r="O2470" s="64" t="n">
        <f aca="false">IF(OR($I2470="",$I2470="NR"),0,IFERROR(MATCH($I2470,GradeList,0),0))</f>
        <v>0</v>
      </c>
      <c r="P2470" s="64" t="n">
        <f aca="false">IF(AND($M2470&gt;0,ISNUMBER(MATCH($F2470,Lists!$A$2:$A$5,0)),ISNUMBER(MATCH($G2470,Lists!$B$2:$B$7,0)),OR($H2470="",$N2470&gt;0),OR($I2470="",$I2470="NR",$O2470&gt;0),IF(ISNUMBER($J2470),AND($J2470&gt;=0,$J2470=INT($J2470)),FALSE())),$J2470,0)</f>
        <v>0</v>
      </c>
      <c r="Q2470" s="64" t="n">
        <f aca="false">IF(AND($P2470&gt;0,$O2470&gt;0),$P2470,0)</f>
        <v>0</v>
      </c>
      <c r="R2470" s="64" t="n">
        <f aca="false">IF(AND($Q2470&gt;0,$O2470&gt;=AtRank),$Q2470,0)</f>
        <v>0</v>
      </c>
      <c r="S2470" s="64" t="n">
        <f aca="false">IF(AND($Q2470&gt;0,$O2470&gt;=AboveRank),$Q2470,0)</f>
        <v>0</v>
      </c>
      <c r="T2470" s="64" t="n">
        <f aca="false">IF($K2470="Less",$P2470,0)</f>
        <v>0</v>
      </c>
      <c r="U2470" s="64" t="n">
        <f aca="false">IF($K2470="Expected",$P2470,0)</f>
        <v>0</v>
      </c>
      <c r="V2470" s="64" t="n">
        <f aca="false">IF($K2470="Better",$P2470,0)</f>
        <v>0</v>
      </c>
      <c r="W2470" s="64" t="n">
        <f aca="false">IF($K2470="U – needs rule",$P2470,0)</f>
        <v>0</v>
      </c>
      <c r="X2470" s="64" t="n">
        <f aca="false">IF($K2470="No Start (attainment only)",$P2470,0)</f>
        <v>0</v>
      </c>
    </row>
    <row r="2471" customFormat="false" ht="15" hidden="false" customHeight="false" outlineLevel="0" collapsed="false">
      <c r="A2471" s="60"/>
      <c r="B2471" s="61" t="str">
        <f aca="false">IF($M2471=0,"",INDEX(Classes!$E$6:$E$420,$M2471))</f>
        <v/>
      </c>
      <c r="C2471" s="62" t="str">
        <f aca="false">IF($M2471=0,"",INDEX(Classes!$H$6:$H$420,$M2471))</f>
        <v/>
      </c>
      <c r="D2471" s="61" t="str">
        <f aca="false">IF($M2471=0,"",INDEX(Classes!$B$6:$B$420,$M2471))</f>
        <v/>
      </c>
      <c r="E2471" s="61" t="str">
        <f aca="false">IF($M2471=0,"",INDEX(Classes!$C$6:$C$420,$M2471))</f>
        <v/>
      </c>
      <c r="F2471" s="63"/>
      <c r="G2471" s="63"/>
      <c r="H2471" s="60"/>
      <c r="I2471" s="60"/>
      <c r="J2471" s="63"/>
      <c r="K2471" s="61" t="str">
        <f aca="false">IF($P2471=0,"",IF($F2471="Baseline","— Baseline",IF($O2471=0,"No result",IF($N2471=0,"No Start (attainment only)",IF(OR($N2471=1,$O2471=1),"U – needs rule",INDEX(MxBody,MATCH($I2471,MxCurr,0),MATCH($H2471,MxStart,0)))))))</f>
        <v/>
      </c>
      <c r="L2471" s="62" t="str">
        <f aca="false">IF(COUNTA($A2471,$F2471,$G2471,$H2471,$I2471,$J2471)=0,"",IF($M2471=0,"✖ كود الصف غير موجود",IF(ISNA(MATCH($F2471,Lists!$A$2:$A$5,0)),"✖ الفترة غير صحيحة",IF(ISNA(MATCH($G2471,Lists!$B$2:$B$7,0)),"✖ المجموعة غير صحيحة",IF(NOT(OR($H2471="",$N2471&gt;0)),"✖ Start غير صحيح",IF(NOT(OR($I2471="",$I2471="NR",$O2471&gt;0)),"✖ Current غير صحيح",IF(NOT(IF(ISNUMBER($J2471),AND($J2471&gt;=0,$J2471=INT($J2471)),FALSE())),"✖ العدد يجب أن يكون صحيحًا ≥ 0",IF(AND($F2471="Baseline",$H2471&lt;&gt;""),"⚠ Baseline: Start لا يدخل في التقدم",IF($K2471="No Start (attainment only)","ℹ تحصيل فقط (بدون Start)",IF($K2471="U – needs rule","ℹ حالة U تحتاج قاعدة معتمدة",IF($K2471="No result","ℹ بدون نتيجة (يُستبعد من التحصيل)","OK")))))))))))</f>
        <v/>
      </c>
      <c r="M2471" s="64" t="n">
        <f aca="false">IF($A2471="",0,IFERROR(MATCH($A2471,Classes!$A$6:$A$420,0),0))</f>
        <v>0</v>
      </c>
      <c r="N2471" s="64" t="n">
        <f aca="false">IF($H2471="",0,IFERROR(MATCH($H2471,GradeList,0),0))</f>
        <v>0</v>
      </c>
      <c r="O2471" s="64" t="n">
        <f aca="false">IF(OR($I2471="",$I2471="NR"),0,IFERROR(MATCH($I2471,GradeList,0),0))</f>
        <v>0</v>
      </c>
      <c r="P2471" s="64" t="n">
        <f aca="false">IF(AND($M2471&gt;0,ISNUMBER(MATCH($F2471,Lists!$A$2:$A$5,0)),ISNUMBER(MATCH($G2471,Lists!$B$2:$B$7,0)),OR($H2471="",$N2471&gt;0),OR($I2471="",$I2471="NR",$O2471&gt;0),IF(ISNUMBER($J2471),AND($J2471&gt;=0,$J2471=INT($J2471)),FALSE())),$J2471,0)</f>
        <v>0</v>
      </c>
      <c r="Q2471" s="64" t="n">
        <f aca="false">IF(AND($P2471&gt;0,$O2471&gt;0),$P2471,0)</f>
        <v>0</v>
      </c>
      <c r="R2471" s="64" t="n">
        <f aca="false">IF(AND($Q2471&gt;0,$O2471&gt;=AtRank),$Q2471,0)</f>
        <v>0</v>
      </c>
      <c r="S2471" s="64" t="n">
        <f aca="false">IF(AND($Q2471&gt;0,$O2471&gt;=AboveRank),$Q2471,0)</f>
        <v>0</v>
      </c>
      <c r="T2471" s="64" t="n">
        <f aca="false">IF($K2471="Less",$P2471,0)</f>
        <v>0</v>
      </c>
      <c r="U2471" s="64" t="n">
        <f aca="false">IF($K2471="Expected",$P2471,0)</f>
        <v>0</v>
      </c>
      <c r="V2471" s="64" t="n">
        <f aca="false">IF($K2471="Better",$P2471,0)</f>
        <v>0</v>
      </c>
      <c r="W2471" s="64" t="n">
        <f aca="false">IF($K2471="U – needs rule",$P2471,0)</f>
        <v>0</v>
      </c>
      <c r="X2471" s="64" t="n">
        <f aca="false">IF($K2471="No Start (attainment only)",$P2471,0)</f>
        <v>0</v>
      </c>
    </row>
    <row r="2472" customFormat="false" ht="15" hidden="false" customHeight="false" outlineLevel="0" collapsed="false">
      <c r="A2472" s="60"/>
      <c r="B2472" s="61" t="str">
        <f aca="false">IF($M2472=0,"",INDEX(Classes!$E$6:$E$420,$M2472))</f>
        <v/>
      </c>
      <c r="C2472" s="62" t="str">
        <f aca="false">IF($M2472=0,"",INDEX(Classes!$H$6:$H$420,$M2472))</f>
        <v/>
      </c>
      <c r="D2472" s="61" t="str">
        <f aca="false">IF($M2472=0,"",INDEX(Classes!$B$6:$B$420,$M2472))</f>
        <v/>
      </c>
      <c r="E2472" s="61" t="str">
        <f aca="false">IF($M2472=0,"",INDEX(Classes!$C$6:$C$420,$M2472))</f>
        <v/>
      </c>
      <c r="F2472" s="63"/>
      <c r="G2472" s="63"/>
      <c r="H2472" s="60"/>
      <c r="I2472" s="60"/>
      <c r="J2472" s="63"/>
      <c r="K2472" s="61" t="str">
        <f aca="false">IF($P2472=0,"",IF($F2472="Baseline","— Baseline",IF($O2472=0,"No result",IF($N2472=0,"No Start (attainment only)",IF(OR($N2472=1,$O2472=1),"U – needs rule",INDEX(MxBody,MATCH($I2472,MxCurr,0),MATCH($H2472,MxStart,0)))))))</f>
        <v/>
      </c>
      <c r="L2472" s="62" t="str">
        <f aca="false">IF(COUNTA($A2472,$F2472,$G2472,$H2472,$I2472,$J2472)=0,"",IF($M2472=0,"✖ كود الصف غير موجود",IF(ISNA(MATCH($F2472,Lists!$A$2:$A$5,0)),"✖ الفترة غير صحيحة",IF(ISNA(MATCH($G2472,Lists!$B$2:$B$7,0)),"✖ المجموعة غير صحيحة",IF(NOT(OR($H2472="",$N2472&gt;0)),"✖ Start غير صحيح",IF(NOT(OR($I2472="",$I2472="NR",$O2472&gt;0)),"✖ Current غير صحيح",IF(NOT(IF(ISNUMBER($J2472),AND($J2472&gt;=0,$J2472=INT($J2472)),FALSE())),"✖ العدد يجب أن يكون صحيحًا ≥ 0",IF(AND($F2472="Baseline",$H2472&lt;&gt;""),"⚠ Baseline: Start لا يدخل في التقدم",IF($K2472="No Start (attainment only)","ℹ تحصيل فقط (بدون Start)",IF($K2472="U – needs rule","ℹ حالة U تحتاج قاعدة معتمدة",IF($K2472="No result","ℹ بدون نتيجة (يُستبعد من التحصيل)","OK")))))))))))</f>
        <v/>
      </c>
      <c r="M2472" s="64" t="n">
        <f aca="false">IF($A2472="",0,IFERROR(MATCH($A2472,Classes!$A$6:$A$420,0),0))</f>
        <v>0</v>
      </c>
      <c r="N2472" s="64" t="n">
        <f aca="false">IF($H2472="",0,IFERROR(MATCH($H2472,GradeList,0),0))</f>
        <v>0</v>
      </c>
      <c r="O2472" s="64" t="n">
        <f aca="false">IF(OR($I2472="",$I2472="NR"),0,IFERROR(MATCH($I2472,GradeList,0),0))</f>
        <v>0</v>
      </c>
      <c r="P2472" s="64" t="n">
        <f aca="false">IF(AND($M2472&gt;0,ISNUMBER(MATCH($F2472,Lists!$A$2:$A$5,0)),ISNUMBER(MATCH($G2472,Lists!$B$2:$B$7,0)),OR($H2472="",$N2472&gt;0),OR($I2472="",$I2472="NR",$O2472&gt;0),IF(ISNUMBER($J2472),AND($J2472&gt;=0,$J2472=INT($J2472)),FALSE())),$J2472,0)</f>
        <v>0</v>
      </c>
      <c r="Q2472" s="64" t="n">
        <f aca="false">IF(AND($P2472&gt;0,$O2472&gt;0),$P2472,0)</f>
        <v>0</v>
      </c>
      <c r="R2472" s="64" t="n">
        <f aca="false">IF(AND($Q2472&gt;0,$O2472&gt;=AtRank),$Q2472,0)</f>
        <v>0</v>
      </c>
      <c r="S2472" s="64" t="n">
        <f aca="false">IF(AND($Q2472&gt;0,$O2472&gt;=AboveRank),$Q2472,0)</f>
        <v>0</v>
      </c>
      <c r="T2472" s="64" t="n">
        <f aca="false">IF($K2472="Less",$P2472,0)</f>
        <v>0</v>
      </c>
      <c r="U2472" s="64" t="n">
        <f aca="false">IF($K2472="Expected",$P2472,0)</f>
        <v>0</v>
      </c>
      <c r="V2472" s="64" t="n">
        <f aca="false">IF($K2472="Better",$P2472,0)</f>
        <v>0</v>
      </c>
      <c r="W2472" s="64" t="n">
        <f aca="false">IF($K2472="U – needs rule",$P2472,0)</f>
        <v>0</v>
      </c>
      <c r="X2472" s="64" t="n">
        <f aca="false">IF($K2472="No Start (attainment only)",$P2472,0)</f>
        <v>0</v>
      </c>
    </row>
    <row r="2473" customFormat="false" ht="15" hidden="false" customHeight="false" outlineLevel="0" collapsed="false">
      <c r="A2473" s="60"/>
      <c r="B2473" s="61" t="str">
        <f aca="false">IF($M2473=0,"",INDEX(Classes!$E$6:$E$420,$M2473))</f>
        <v/>
      </c>
      <c r="C2473" s="62" t="str">
        <f aca="false">IF($M2473=0,"",INDEX(Classes!$H$6:$H$420,$M2473))</f>
        <v/>
      </c>
      <c r="D2473" s="61" t="str">
        <f aca="false">IF($M2473=0,"",INDEX(Classes!$B$6:$B$420,$M2473))</f>
        <v/>
      </c>
      <c r="E2473" s="61" t="str">
        <f aca="false">IF($M2473=0,"",INDEX(Classes!$C$6:$C$420,$M2473))</f>
        <v/>
      </c>
      <c r="F2473" s="63"/>
      <c r="G2473" s="63"/>
      <c r="H2473" s="60"/>
      <c r="I2473" s="60"/>
      <c r="J2473" s="63"/>
      <c r="K2473" s="61" t="str">
        <f aca="false">IF($P2473=0,"",IF($F2473="Baseline","— Baseline",IF($O2473=0,"No result",IF($N2473=0,"No Start (attainment only)",IF(OR($N2473=1,$O2473=1),"U – needs rule",INDEX(MxBody,MATCH($I2473,MxCurr,0),MATCH($H2473,MxStart,0)))))))</f>
        <v/>
      </c>
      <c r="L2473" s="62" t="str">
        <f aca="false">IF(COUNTA($A2473,$F2473,$G2473,$H2473,$I2473,$J2473)=0,"",IF($M2473=0,"✖ كود الصف غير موجود",IF(ISNA(MATCH($F2473,Lists!$A$2:$A$5,0)),"✖ الفترة غير صحيحة",IF(ISNA(MATCH($G2473,Lists!$B$2:$B$7,0)),"✖ المجموعة غير صحيحة",IF(NOT(OR($H2473="",$N2473&gt;0)),"✖ Start غير صحيح",IF(NOT(OR($I2473="",$I2473="NR",$O2473&gt;0)),"✖ Current غير صحيح",IF(NOT(IF(ISNUMBER($J2473),AND($J2473&gt;=0,$J2473=INT($J2473)),FALSE())),"✖ العدد يجب أن يكون صحيحًا ≥ 0",IF(AND($F2473="Baseline",$H2473&lt;&gt;""),"⚠ Baseline: Start لا يدخل في التقدم",IF($K2473="No Start (attainment only)","ℹ تحصيل فقط (بدون Start)",IF($K2473="U – needs rule","ℹ حالة U تحتاج قاعدة معتمدة",IF($K2473="No result","ℹ بدون نتيجة (يُستبعد من التحصيل)","OK")))))))))))</f>
        <v/>
      </c>
      <c r="M2473" s="64" t="n">
        <f aca="false">IF($A2473="",0,IFERROR(MATCH($A2473,Classes!$A$6:$A$420,0),0))</f>
        <v>0</v>
      </c>
      <c r="N2473" s="64" t="n">
        <f aca="false">IF($H2473="",0,IFERROR(MATCH($H2473,GradeList,0),0))</f>
        <v>0</v>
      </c>
      <c r="O2473" s="64" t="n">
        <f aca="false">IF(OR($I2473="",$I2473="NR"),0,IFERROR(MATCH($I2473,GradeList,0),0))</f>
        <v>0</v>
      </c>
      <c r="P2473" s="64" t="n">
        <f aca="false">IF(AND($M2473&gt;0,ISNUMBER(MATCH($F2473,Lists!$A$2:$A$5,0)),ISNUMBER(MATCH($G2473,Lists!$B$2:$B$7,0)),OR($H2473="",$N2473&gt;0),OR($I2473="",$I2473="NR",$O2473&gt;0),IF(ISNUMBER($J2473),AND($J2473&gt;=0,$J2473=INT($J2473)),FALSE())),$J2473,0)</f>
        <v>0</v>
      </c>
      <c r="Q2473" s="64" t="n">
        <f aca="false">IF(AND($P2473&gt;0,$O2473&gt;0),$P2473,0)</f>
        <v>0</v>
      </c>
      <c r="R2473" s="64" t="n">
        <f aca="false">IF(AND($Q2473&gt;0,$O2473&gt;=AtRank),$Q2473,0)</f>
        <v>0</v>
      </c>
      <c r="S2473" s="64" t="n">
        <f aca="false">IF(AND($Q2473&gt;0,$O2473&gt;=AboveRank),$Q2473,0)</f>
        <v>0</v>
      </c>
      <c r="T2473" s="64" t="n">
        <f aca="false">IF($K2473="Less",$P2473,0)</f>
        <v>0</v>
      </c>
      <c r="U2473" s="64" t="n">
        <f aca="false">IF($K2473="Expected",$P2473,0)</f>
        <v>0</v>
      </c>
      <c r="V2473" s="64" t="n">
        <f aca="false">IF($K2473="Better",$P2473,0)</f>
        <v>0</v>
      </c>
      <c r="W2473" s="64" t="n">
        <f aca="false">IF($K2473="U – needs rule",$P2473,0)</f>
        <v>0</v>
      </c>
      <c r="X2473" s="64" t="n">
        <f aca="false">IF($K2473="No Start (attainment only)",$P2473,0)</f>
        <v>0</v>
      </c>
    </row>
    <row r="2474" customFormat="false" ht="15" hidden="false" customHeight="false" outlineLevel="0" collapsed="false">
      <c r="A2474" s="60"/>
      <c r="B2474" s="61" t="str">
        <f aca="false">IF($M2474=0,"",INDEX(Classes!$E$6:$E$420,$M2474))</f>
        <v/>
      </c>
      <c r="C2474" s="62" t="str">
        <f aca="false">IF($M2474=0,"",INDEX(Classes!$H$6:$H$420,$M2474))</f>
        <v/>
      </c>
      <c r="D2474" s="61" t="str">
        <f aca="false">IF($M2474=0,"",INDEX(Classes!$B$6:$B$420,$M2474))</f>
        <v/>
      </c>
      <c r="E2474" s="61" t="str">
        <f aca="false">IF($M2474=0,"",INDEX(Classes!$C$6:$C$420,$M2474))</f>
        <v/>
      </c>
      <c r="F2474" s="63"/>
      <c r="G2474" s="63"/>
      <c r="H2474" s="60"/>
      <c r="I2474" s="60"/>
      <c r="J2474" s="63"/>
      <c r="K2474" s="61" t="str">
        <f aca="false">IF($P2474=0,"",IF($F2474="Baseline","— Baseline",IF($O2474=0,"No result",IF($N2474=0,"No Start (attainment only)",IF(OR($N2474=1,$O2474=1),"U – needs rule",INDEX(MxBody,MATCH($I2474,MxCurr,0),MATCH($H2474,MxStart,0)))))))</f>
        <v/>
      </c>
      <c r="L2474" s="62" t="str">
        <f aca="false">IF(COUNTA($A2474,$F2474,$G2474,$H2474,$I2474,$J2474)=0,"",IF($M2474=0,"✖ كود الصف غير موجود",IF(ISNA(MATCH($F2474,Lists!$A$2:$A$5,0)),"✖ الفترة غير صحيحة",IF(ISNA(MATCH($G2474,Lists!$B$2:$B$7,0)),"✖ المجموعة غير صحيحة",IF(NOT(OR($H2474="",$N2474&gt;0)),"✖ Start غير صحيح",IF(NOT(OR($I2474="",$I2474="NR",$O2474&gt;0)),"✖ Current غير صحيح",IF(NOT(IF(ISNUMBER($J2474),AND($J2474&gt;=0,$J2474=INT($J2474)),FALSE())),"✖ العدد يجب أن يكون صحيحًا ≥ 0",IF(AND($F2474="Baseline",$H2474&lt;&gt;""),"⚠ Baseline: Start لا يدخل في التقدم",IF($K2474="No Start (attainment only)","ℹ تحصيل فقط (بدون Start)",IF($K2474="U – needs rule","ℹ حالة U تحتاج قاعدة معتمدة",IF($K2474="No result","ℹ بدون نتيجة (يُستبعد من التحصيل)","OK")))))))))))</f>
        <v/>
      </c>
      <c r="M2474" s="64" t="n">
        <f aca="false">IF($A2474="",0,IFERROR(MATCH($A2474,Classes!$A$6:$A$420,0),0))</f>
        <v>0</v>
      </c>
      <c r="N2474" s="64" t="n">
        <f aca="false">IF($H2474="",0,IFERROR(MATCH($H2474,GradeList,0),0))</f>
        <v>0</v>
      </c>
      <c r="O2474" s="64" t="n">
        <f aca="false">IF(OR($I2474="",$I2474="NR"),0,IFERROR(MATCH($I2474,GradeList,0),0))</f>
        <v>0</v>
      </c>
      <c r="P2474" s="64" t="n">
        <f aca="false">IF(AND($M2474&gt;0,ISNUMBER(MATCH($F2474,Lists!$A$2:$A$5,0)),ISNUMBER(MATCH($G2474,Lists!$B$2:$B$7,0)),OR($H2474="",$N2474&gt;0),OR($I2474="",$I2474="NR",$O2474&gt;0),IF(ISNUMBER($J2474),AND($J2474&gt;=0,$J2474=INT($J2474)),FALSE())),$J2474,0)</f>
        <v>0</v>
      </c>
      <c r="Q2474" s="64" t="n">
        <f aca="false">IF(AND($P2474&gt;0,$O2474&gt;0),$P2474,0)</f>
        <v>0</v>
      </c>
      <c r="R2474" s="64" t="n">
        <f aca="false">IF(AND($Q2474&gt;0,$O2474&gt;=AtRank),$Q2474,0)</f>
        <v>0</v>
      </c>
      <c r="S2474" s="64" t="n">
        <f aca="false">IF(AND($Q2474&gt;0,$O2474&gt;=AboveRank),$Q2474,0)</f>
        <v>0</v>
      </c>
      <c r="T2474" s="64" t="n">
        <f aca="false">IF($K2474="Less",$P2474,0)</f>
        <v>0</v>
      </c>
      <c r="U2474" s="64" t="n">
        <f aca="false">IF($K2474="Expected",$P2474,0)</f>
        <v>0</v>
      </c>
      <c r="V2474" s="64" t="n">
        <f aca="false">IF($K2474="Better",$P2474,0)</f>
        <v>0</v>
      </c>
      <c r="W2474" s="64" t="n">
        <f aca="false">IF($K2474="U – needs rule",$P2474,0)</f>
        <v>0</v>
      </c>
      <c r="X2474" s="64" t="n">
        <f aca="false">IF($K2474="No Start (attainment only)",$P2474,0)</f>
        <v>0</v>
      </c>
    </row>
    <row r="2475" customFormat="false" ht="15" hidden="false" customHeight="false" outlineLevel="0" collapsed="false">
      <c r="A2475" s="60"/>
      <c r="B2475" s="61" t="str">
        <f aca="false">IF($M2475=0,"",INDEX(Classes!$E$6:$E$420,$M2475))</f>
        <v/>
      </c>
      <c r="C2475" s="62" t="str">
        <f aca="false">IF($M2475=0,"",INDEX(Classes!$H$6:$H$420,$M2475))</f>
        <v/>
      </c>
      <c r="D2475" s="61" t="str">
        <f aca="false">IF($M2475=0,"",INDEX(Classes!$B$6:$B$420,$M2475))</f>
        <v/>
      </c>
      <c r="E2475" s="61" t="str">
        <f aca="false">IF($M2475=0,"",INDEX(Classes!$C$6:$C$420,$M2475))</f>
        <v/>
      </c>
      <c r="F2475" s="63"/>
      <c r="G2475" s="63"/>
      <c r="H2475" s="60"/>
      <c r="I2475" s="60"/>
      <c r="J2475" s="63"/>
      <c r="K2475" s="61" t="str">
        <f aca="false">IF($P2475=0,"",IF($F2475="Baseline","— Baseline",IF($O2475=0,"No result",IF($N2475=0,"No Start (attainment only)",IF(OR($N2475=1,$O2475=1),"U – needs rule",INDEX(MxBody,MATCH($I2475,MxCurr,0),MATCH($H2475,MxStart,0)))))))</f>
        <v/>
      </c>
      <c r="L2475" s="62" t="str">
        <f aca="false">IF(COUNTA($A2475,$F2475,$G2475,$H2475,$I2475,$J2475)=0,"",IF($M2475=0,"✖ كود الصف غير موجود",IF(ISNA(MATCH($F2475,Lists!$A$2:$A$5,0)),"✖ الفترة غير صحيحة",IF(ISNA(MATCH($G2475,Lists!$B$2:$B$7,0)),"✖ المجموعة غير صحيحة",IF(NOT(OR($H2475="",$N2475&gt;0)),"✖ Start غير صحيح",IF(NOT(OR($I2475="",$I2475="NR",$O2475&gt;0)),"✖ Current غير صحيح",IF(NOT(IF(ISNUMBER($J2475),AND($J2475&gt;=0,$J2475=INT($J2475)),FALSE())),"✖ العدد يجب أن يكون صحيحًا ≥ 0",IF(AND($F2475="Baseline",$H2475&lt;&gt;""),"⚠ Baseline: Start لا يدخل في التقدم",IF($K2475="No Start (attainment only)","ℹ تحصيل فقط (بدون Start)",IF($K2475="U – needs rule","ℹ حالة U تحتاج قاعدة معتمدة",IF($K2475="No result","ℹ بدون نتيجة (يُستبعد من التحصيل)","OK")))))))))))</f>
        <v/>
      </c>
      <c r="M2475" s="64" t="n">
        <f aca="false">IF($A2475="",0,IFERROR(MATCH($A2475,Classes!$A$6:$A$420,0),0))</f>
        <v>0</v>
      </c>
      <c r="N2475" s="64" t="n">
        <f aca="false">IF($H2475="",0,IFERROR(MATCH($H2475,GradeList,0),0))</f>
        <v>0</v>
      </c>
      <c r="O2475" s="64" t="n">
        <f aca="false">IF(OR($I2475="",$I2475="NR"),0,IFERROR(MATCH($I2475,GradeList,0),0))</f>
        <v>0</v>
      </c>
      <c r="P2475" s="64" t="n">
        <f aca="false">IF(AND($M2475&gt;0,ISNUMBER(MATCH($F2475,Lists!$A$2:$A$5,0)),ISNUMBER(MATCH($G2475,Lists!$B$2:$B$7,0)),OR($H2475="",$N2475&gt;0),OR($I2475="",$I2475="NR",$O2475&gt;0),IF(ISNUMBER($J2475),AND($J2475&gt;=0,$J2475=INT($J2475)),FALSE())),$J2475,0)</f>
        <v>0</v>
      </c>
      <c r="Q2475" s="64" t="n">
        <f aca="false">IF(AND($P2475&gt;0,$O2475&gt;0),$P2475,0)</f>
        <v>0</v>
      </c>
      <c r="R2475" s="64" t="n">
        <f aca="false">IF(AND($Q2475&gt;0,$O2475&gt;=AtRank),$Q2475,0)</f>
        <v>0</v>
      </c>
      <c r="S2475" s="64" t="n">
        <f aca="false">IF(AND($Q2475&gt;0,$O2475&gt;=AboveRank),$Q2475,0)</f>
        <v>0</v>
      </c>
      <c r="T2475" s="64" t="n">
        <f aca="false">IF($K2475="Less",$P2475,0)</f>
        <v>0</v>
      </c>
      <c r="U2475" s="64" t="n">
        <f aca="false">IF($K2475="Expected",$P2475,0)</f>
        <v>0</v>
      </c>
      <c r="V2475" s="64" t="n">
        <f aca="false">IF($K2475="Better",$P2475,0)</f>
        <v>0</v>
      </c>
      <c r="W2475" s="64" t="n">
        <f aca="false">IF($K2475="U – needs rule",$P2475,0)</f>
        <v>0</v>
      </c>
      <c r="X2475" s="64" t="n">
        <f aca="false">IF($K2475="No Start (attainment only)",$P2475,0)</f>
        <v>0</v>
      </c>
    </row>
    <row r="2476" customFormat="false" ht="15" hidden="false" customHeight="false" outlineLevel="0" collapsed="false">
      <c r="A2476" s="60"/>
      <c r="B2476" s="61" t="str">
        <f aca="false">IF($M2476=0,"",INDEX(Classes!$E$6:$E$420,$M2476))</f>
        <v/>
      </c>
      <c r="C2476" s="62" t="str">
        <f aca="false">IF($M2476=0,"",INDEX(Classes!$H$6:$H$420,$M2476))</f>
        <v/>
      </c>
      <c r="D2476" s="61" t="str">
        <f aca="false">IF($M2476=0,"",INDEX(Classes!$B$6:$B$420,$M2476))</f>
        <v/>
      </c>
      <c r="E2476" s="61" t="str">
        <f aca="false">IF($M2476=0,"",INDEX(Classes!$C$6:$C$420,$M2476))</f>
        <v/>
      </c>
      <c r="F2476" s="63"/>
      <c r="G2476" s="63"/>
      <c r="H2476" s="60"/>
      <c r="I2476" s="60"/>
      <c r="J2476" s="63"/>
      <c r="K2476" s="61" t="str">
        <f aca="false">IF($P2476=0,"",IF($F2476="Baseline","— Baseline",IF($O2476=0,"No result",IF($N2476=0,"No Start (attainment only)",IF(OR($N2476=1,$O2476=1),"U – needs rule",INDEX(MxBody,MATCH($I2476,MxCurr,0),MATCH($H2476,MxStart,0)))))))</f>
        <v/>
      </c>
      <c r="L2476" s="62" t="str">
        <f aca="false">IF(COUNTA($A2476,$F2476,$G2476,$H2476,$I2476,$J2476)=0,"",IF($M2476=0,"✖ كود الصف غير موجود",IF(ISNA(MATCH($F2476,Lists!$A$2:$A$5,0)),"✖ الفترة غير صحيحة",IF(ISNA(MATCH($G2476,Lists!$B$2:$B$7,0)),"✖ المجموعة غير صحيحة",IF(NOT(OR($H2476="",$N2476&gt;0)),"✖ Start غير صحيح",IF(NOT(OR($I2476="",$I2476="NR",$O2476&gt;0)),"✖ Current غير صحيح",IF(NOT(IF(ISNUMBER($J2476),AND($J2476&gt;=0,$J2476=INT($J2476)),FALSE())),"✖ العدد يجب أن يكون صحيحًا ≥ 0",IF(AND($F2476="Baseline",$H2476&lt;&gt;""),"⚠ Baseline: Start لا يدخل في التقدم",IF($K2476="No Start (attainment only)","ℹ تحصيل فقط (بدون Start)",IF($K2476="U – needs rule","ℹ حالة U تحتاج قاعدة معتمدة",IF($K2476="No result","ℹ بدون نتيجة (يُستبعد من التحصيل)","OK")))))))))))</f>
        <v/>
      </c>
      <c r="M2476" s="64" t="n">
        <f aca="false">IF($A2476="",0,IFERROR(MATCH($A2476,Classes!$A$6:$A$420,0),0))</f>
        <v>0</v>
      </c>
      <c r="N2476" s="64" t="n">
        <f aca="false">IF($H2476="",0,IFERROR(MATCH($H2476,GradeList,0),0))</f>
        <v>0</v>
      </c>
      <c r="O2476" s="64" t="n">
        <f aca="false">IF(OR($I2476="",$I2476="NR"),0,IFERROR(MATCH($I2476,GradeList,0),0))</f>
        <v>0</v>
      </c>
      <c r="P2476" s="64" t="n">
        <f aca="false">IF(AND($M2476&gt;0,ISNUMBER(MATCH($F2476,Lists!$A$2:$A$5,0)),ISNUMBER(MATCH($G2476,Lists!$B$2:$B$7,0)),OR($H2476="",$N2476&gt;0),OR($I2476="",$I2476="NR",$O2476&gt;0),IF(ISNUMBER($J2476),AND($J2476&gt;=0,$J2476=INT($J2476)),FALSE())),$J2476,0)</f>
        <v>0</v>
      </c>
      <c r="Q2476" s="64" t="n">
        <f aca="false">IF(AND($P2476&gt;0,$O2476&gt;0),$P2476,0)</f>
        <v>0</v>
      </c>
      <c r="R2476" s="64" t="n">
        <f aca="false">IF(AND($Q2476&gt;0,$O2476&gt;=AtRank),$Q2476,0)</f>
        <v>0</v>
      </c>
      <c r="S2476" s="64" t="n">
        <f aca="false">IF(AND($Q2476&gt;0,$O2476&gt;=AboveRank),$Q2476,0)</f>
        <v>0</v>
      </c>
      <c r="T2476" s="64" t="n">
        <f aca="false">IF($K2476="Less",$P2476,0)</f>
        <v>0</v>
      </c>
      <c r="U2476" s="64" t="n">
        <f aca="false">IF($K2476="Expected",$P2476,0)</f>
        <v>0</v>
      </c>
      <c r="V2476" s="64" t="n">
        <f aca="false">IF($K2476="Better",$P2476,0)</f>
        <v>0</v>
      </c>
      <c r="W2476" s="64" t="n">
        <f aca="false">IF($K2476="U – needs rule",$P2476,0)</f>
        <v>0</v>
      </c>
      <c r="X2476" s="64" t="n">
        <f aca="false">IF($K2476="No Start (attainment only)",$P2476,0)</f>
        <v>0</v>
      </c>
    </row>
    <row r="2477" customFormat="false" ht="15" hidden="false" customHeight="false" outlineLevel="0" collapsed="false">
      <c r="A2477" s="60"/>
      <c r="B2477" s="61" t="str">
        <f aca="false">IF($M2477=0,"",INDEX(Classes!$E$6:$E$420,$M2477))</f>
        <v/>
      </c>
      <c r="C2477" s="62" t="str">
        <f aca="false">IF($M2477=0,"",INDEX(Classes!$H$6:$H$420,$M2477))</f>
        <v/>
      </c>
      <c r="D2477" s="61" t="str">
        <f aca="false">IF($M2477=0,"",INDEX(Classes!$B$6:$B$420,$M2477))</f>
        <v/>
      </c>
      <c r="E2477" s="61" t="str">
        <f aca="false">IF($M2477=0,"",INDEX(Classes!$C$6:$C$420,$M2477))</f>
        <v/>
      </c>
      <c r="F2477" s="63"/>
      <c r="G2477" s="63"/>
      <c r="H2477" s="60"/>
      <c r="I2477" s="60"/>
      <c r="J2477" s="63"/>
      <c r="K2477" s="61" t="str">
        <f aca="false">IF($P2477=0,"",IF($F2477="Baseline","— Baseline",IF($O2477=0,"No result",IF($N2477=0,"No Start (attainment only)",IF(OR($N2477=1,$O2477=1),"U – needs rule",INDEX(MxBody,MATCH($I2477,MxCurr,0),MATCH($H2477,MxStart,0)))))))</f>
        <v/>
      </c>
      <c r="L2477" s="62" t="str">
        <f aca="false">IF(COUNTA($A2477,$F2477,$G2477,$H2477,$I2477,$J2477)=0,"",IF($M2477=0,"✖ كود الصف غير موجود",IF(ISNA(MATCH($F2477,Lists!$A$2:$A$5,0)),"✖ الفترة غير صحيحة",IF(ISNA(MATCH($G2477,Lists!$B$2:$B$7,0)),"✖ المجموعة غير صحيحة",IF(NOT(OR($H2477="",$N2477&gt;0)),"✖ Start غير صحيح",IF(NOT(OR($I2477="",$I2477="NR",$O2477&gt;0)),"✖ Current غير صحيح",IF(NOT(IF(ISNUMBER($J2477),AND($J2477&gt;=0,$J2477=INT($J2477)),FALSE())),"✖ العدد يجب أن يكون صحيحًا ≥ 0",IF(AND($F2477="Baseline",$H2477&lt;&gt;""),"⚠ Baseline: Start لا يدخل في التقدم",IF($K2477="No Start (attainment only)","ℹ تحصيل فقط (بدون Start)",IF($K2477="U – needs rule","ℹ حالة U تحتاج قاعدة معتمدة",IF($K2477="No result","ℹ بدون نتيجة (يُستبعد من التحصيل)","OK")))))))))))</f>
        <v/>
      </c>
      <c r="M2477" s="64" t="n">
        <f aca="false">IF($A2477="",0,IFERROR(MATCH($A2477,Classes!$A$6:$A$420,0),0))</f>
        <v>0</v>
      </c>
      <c r="N2477" s="64" t="n">
        <f aca="false">IF($H2477="",0,IFERROR(MATCH($H2477,GradeList,0),0))</f>
        <v>0</v>
      </c>
      <c r="O2477" s="64" t="n">
        <f aca="false">IF(OR($I2477="",$I2477="NR"),0,IFERROR(MATCH($I2477,GradeList,0),0))</f>
        <v>0</v>
      </c>
      <c r="P2477" s="64" t="n">
        <f aca="false">IF(AND($M2477&gt;0,ISNUMBER(MATCH($F2477,Lists!$A$2:$A$5,0)),ISNUMBER(MATCH($G2477,Lists!$B$2:$B$7,0)),OR($H2477="",$N2477&gt;0),OR($I2477="",$I2477="NR",$O2477&gt;0),IF(ISNUMBER($J2477),AND($J2477&gt;=0,$J2477=INT($J2477)),FALSE())),$J2477,0)</f>
        <v>0</v>
      </c>
      <c r="Q2477" s="64" t="n">
        <f aca="false">IF(AND($P2477&gt;0,$O2477&gt;0),$P2477,0)</f>
        <v>0</v>
      </c>
      <c r="R2477" s="64" t="n">
        <f aca="false">IF(AND($Q2477&gt;0,$O2477&gt;=AtRank),$Q2477,0)</f>
        <v>0</v>
      </c>
      <c r="S2477" s="64" t="n">
        <f aca="false">IF(AND($Q2477&gt;0,$O2477&gt;=AboveRank),$Q2477,0)</f>
        <v>0</v>
      </c>
      <c r="T2477" s="64" t="n">
        <f aca="false">IF($K2477="Less",$P2477,0)</f>
        <v>0</v>
      </c>
      <c r="U2477" s="64" t="n">
        <f aca="false">IF($K2477="Expected",$P2477,0)</f>
        <v>0</v>
      </c>
      <c r="V2477" s="64" t="n">
        <f aca="false">IF($K2477="Better",$P2477,0)</f>
        <v>0</v>
      </c>
      <c r="W2477" s="64" t="n">
        <f aca="false">IF($K2477="U – needs rule",$P2477,0)</f>
        <v>0</v>
      </c>
      <c r="X2477" s="64" t="n">
        <f aca="false">IF($K2477="No Start (attainment only)",$P2477,0)</f>
        <v>0</v>
      </c>
    </row>
    <row r="2478" customFormat="false" ht="15" hidden="false" customHeight="false" outlineLevel="0" collapsed="false">
      <c r="A2478" s="60"/>
      <c r="B2478" s="61" t="str">
        <f aca="false">IF($M2478=0,"",INDEX(Classes!$E$6:$E$420,$M2478))</f>
        <v/>
      </c>
      <c r="C2478" s="62" t="str">
        <f aca="false">IF($M2478=0,"",INDEX(Classes!$H$6:$H$420,$M2478))</f>
        <v/>
      </c>
      <c r="D2478" s="61" t="str">
        <f aca="false">IF($M2478=0,"",INDEX(Classes!$B$6:$B$420,$M2478))</f>
        <v/>
      </c>
      <c r="E2478" s="61" t="str">
        <f aca="false">IF($M2478=0,"",INDEX(Classes!$C$6:$C$420,$M2478))</f>
        <v/>
      </c>
      <c r="F2478" s="63"/>
      <c r="G2478" s="63"/>
      <c r="H2478" s="60"/>
      <c r="I2478" s="60"/>
      <c r="J2478" s="63"/>
      <c r="K2478" s="61" t="str">
        <f aca="false">IF($P2478=0,"",IF($F2478="Baseline","— Baseline",IF($O2478=0,"No result",IF($N2478=0,"No Start (attainment only)",IF(OR($N2478=1,$O2478=1),"U – needs rule",INDEX(MxBody,MATCH($I2478,MxCurr,0),MATCH($H2478,MxStart,0)))))))</f>
        <v/>
      </c>
      <c r="L2478" s="62" t="str">
        <f aca="false">IF(COUNTA($A2478,$F2478,$G2478,$H2478,$I2478,$J2478)=0,"",IF($M2478=0,"✖ كود الصف غير موجود",IF(ISNA(MATCH($F2478,Lists!$A$2:$A$5,0)),"✖ الفترة غير صحيحة",IF(ISNA(MATCH($G2478,Lists!$B$2:$B$7,0)),"✖ المجموعة غير صحيحة",IF(NOT(OR($H2478="",$N2478&gt;0)),"✖ Start غير صحيح",IF(NOT(OR($I2478="",$I2478="NR",$O2478&gt;0)),"✖ Current غير صحيح",IF(NOT(IF(ISNUMBER($J2478),AND($J2478&gt;=0,$J2478=INT($J2478)),FALSE())),"✖ العدد يجب أن يكون صحيحًا ≥ 0",IF(AND($F2478="Baseline",$H2478&lt;&gt;""),"⚠ Baseline: Start لا يدخل في التقدم",IF($K2478="No Start (attainment only)","ℹ تحصيل فقط (بدون Start)",IF($K2478="U – needs rule","ℹ حالة U تحتاج قاعدة معتمدة",IF($K2478="No result","ℹ بدون نتيجة (يُستبعد من التحصيل)","OK")))))))))))</f>
        <v/>
      </c>
      <c r="M2478" s="64" t="n">
        <f aca="false">IF($A2478="",0,IFERROR(MATCH($A2478,Classes!$A$6:$A$420,0),0))</f>
        <v>0</v>
      </c>
      <c r="N2478" s="64" t="n">
        <f aca="false">IF($H2478="",0,IFERROR(MATCH($H2478,GradeList,0),0))</f>
        <v>0</v>
      </c>
      <c r="O2478" s="64" t="n">
        <f aca="false">IF(OR($I2478="",$I2478="NR"),0,IFERROR(MATCH($I2478,GradeList,0),0))</f>
        <v>0</v>
      </c>
      <c r="P2478" s="64" t="n">
        <f aca="false">IF(AND($M2478&gt;0,ISNUMBER(MATCH($F2478,Lists!$A$2:$A$5,0)),ISNUMBER(MATCH($G2478,Lists!$B$2:$B$7,0)),OR($H2478="",$N2478&gt;0),OR($I2478="",$I2478="NR",$O2478&gt;0),IF(ISNUMBER($J2478),AND($J2478&gt;=0,$J2478=INT($J2478)),FALSE())),$J2478,0)</f>
        <v>0</v>
      </c>
      <c r="Q2478" s="64" t="n">
        <f aca="false">IF(AND($P2478&gt;0,$O2478&gt;0),$P2478,0)</f>
        <v>0</v>
      </c>
      <c r="R2478" s="64" t="n">
        <f aca="false">IF(AND($Q2478&gt;0,$O2478&gt;=AtRank),$Q2478,0)</f>
        <v>0</v>
      </c>
      <c r="S2478" s="64" t="n">
        <f aca="false">IF(AND($Q2478&gt;0,$O2478&gt;=AboveRank),$Q2478,0)</f>
        <v>0</v>
      </c>
      <c r="T2478" s="64" t="n">
        <f aca="false">IF($K2478="Less",$P2478,0)</f>
        <v>0</v>
      </c>
      <c r="U2478" s="64" t="n">
        <f aca="false">IF($K2478="Expected",$P2478,0)</f>
        <v>0</v>
      </c>
      <c r="V2478" s="64" t="n">
        <f aca="false">IF($K2478="Better",$P2478,0)</f>
        <v>0</v>
      </c>
      <c r="W2478" s="64" t="n">
        <f aca="false">IF($K2478="U – needs rule",$P2478,0)</f>
        <v>0</v>
      </c>
      <c r="X2478" s="64" t="n">
        <f aca="false">IF($K2478="No Start (attainment only)",$P2478,0)</f>
        <v>0</v>
      </c>
    </row>
    <row r="2479" customFormat="false" ht="15" hidden="false" customHeight="false" outlineLevel="0" collapsed="false">
      <c r="A2479" s="60"/>
      <c r="B2479" s="61" t="str">
        <f aca="false">IF($M2479=0,"",INDEX(Classes!$E$6:$E$420,$M2479))</f>
        <v/>
      </c>
      <c r="C2479" s="62" t="str">
        <f aca="false">IF($M2479=0,"",INDEX(Classes!$H$6:$H$420,$M2479))</f>
        <v/>
      </c>
      <c r="D2479" s="61" t="str">
        <f aca="false">IF($M2479=0,"",INDEX(Classes!$B$6:$B$420,$M2479))</f>
        <v/>
      </c>
      <c r="E2479" s="61" t="str">
        <f aca="false">IF($M2479=0,"",INDEX(Classes!$C$6:$C$420,$M2479))</f>
        <v/>
      </c>
      <c r="F2479" s="63"/>
      <c r="G2479" s="63"/>
      <c r="H2479" s="60"/>
      <c r="I2479" s="60"/>
      <c r="J2479" s="63"/>
      <c r="K2479" s="61" t="str">
        <f aca="false">IF($P2479=0,"",IF($F2479="Baseline","— Baseline",IF($O2479=0,"No result",IF($N2479=0,"No Start (attainment only)",IF(OR($N2479=1,$O2479=1),"U – needs rule",INDEX(MxBody,MATCH($I2479,MxCurr,0),MATCH($H2479,MxStart,0)))))))</f>
        <v/>
      </c>
      <c r="L2479" s="62" t="str">
        <f aca="false">IF(COUNTA($A2479,$F2479,$G2479,$H2479,$I2479,$J2479)=0,"",IF($M2479=0,"✖ كود الصف غير موجود",IF(ISNA(MATCH($F2479,Lists!$A$2:$A$5,0)),"✖ الفترة غير صحيحة",IF(ISNA(MATCH($G2479,Lists!$B$2:$B$7,0)),"✖ المجموعة غير صحيحة",IF(NOT(OR($H2479="",$N2479&gt;0)),"✖ Start غير صحيح",IF(NOT(OR($I2479="",$I2479="NR",$O2479&gt;0)),"✖ Current غير صحيح",IF(NOT(IF(ISNUMBER($J2479),AND($J2479&gt;=0,$J2479=INT($J2479)),FALSE())),"✖ العدد يجب أن يكون صحيحًا ≥ 0",IF(AND($F2479="Baseline",$H2479&lt;&gt;""),"⚠ Baseline: Start لا يدخل في التقدم",IF($K2479="No Start (attainment only)","ℹ تحصيل فقط (بدون Start)",IF($K2479="U – needs rule","ℹ حالة U تحتاج قاعدة معتمدة",IF($K2479="No result","ℹ بدون نتيجة (يُستبعد من التحصيل)","OK")))))))))))</f>
        <v/>
      </c>
      <c r="M2479" s="64" t="n">
        <f aca="false">IF($A2479="",0,IFERROR(MATCH($A2479,Classes!$A$6:$A$420,0),0))</f>
        <v>0</v>
      </c>
      <c r="N2479" s="64" t="n">
        <f aca="false">IF($H2479="",0,IFERROR(MATCH($H2479,GradeList,0),0))</f>
        <v>0</v>
      </c>
      <c r="O2479" s="64" t="n">
        <f aca="false">IF(OR($I2479="",$I2479="NR"),0,IFERROR(MATCH($I2479,GradeList,0),0))</f>
        <v>0</v>
      </c>
      <c r="P2479" s="64" t="n">
        <f aca="false">IF(AND($M2479&gt;0,ISNUMBER(MATCH($F2479,Lists!$A$2:$A$5,0)),ISNUMBER(MATCH($G2479,Lists!$B$2:$B$7,0)),OR($H2479="",$N2479&gt;0),OR($I2479="",$I2479="NR",$O2479&gt;0),IF(ISNUMBER($J2479),AND($J2479&gt;=0,$J2479=INT($J2479)),FALSE())),$J2479,0)</f>
        <v>0</v>
      </c>
      <c r="Q2479" s="64" t="n">
        <f aca="false">IF(AND($P2479&gt;0,$O2479&gt;0),$P2479,0)</f>
        <v>0</v>
      </c>
      <c r="R2479" s="64" t="n">
        <f aca="false">IF(AND($Q2479&gt;0,$O2479&gt;=AtRank),$Q2479,0)</f>
        <v>0</v>
      </c>
      <c r="S2479" s="64" t="n">
        <f aca="false">IF(AND($Q2479&gt;0,$O2479&gt;=AboveRank),$Q2479,0)</f>
        <v>0</v>
      </c>
      <c r="T2479" s="64" t="n">
        <f aca="false">IF($K2479="Less",$P2479,0)</f>
        <v>0</v>
      </c>
      <c r="U2479" s="64" t="n">
        <f aca="false">IF($K2479="Expected",$P2479,0)</f>
        <v>0</v>
      </c>
      <c r="V2479" s="64" t="n">
        <f aca="false">IF($K2479="Better",$P2479,0)</f>
        <v>0</v>
      </c>
      <c r="W2479" s="64" t="n">
        <f aca="false">IF($K2479="U – needs rule",$P2479,0)</f>
        <v>0</v>
      </c>
      <c r="X2479" s="64" t="n">
        <f aca="false">IF($K2479="No Start (attainment only)",$P2479,0)</f>
        <v>0</v>
      </c>
    </row>
    <row r="2480" customFormat="false" ht="15" hidden="false" customHeight="false" outlineLevel="0" collapsed="false">
      <c r="A2480" s="60"/>
      <c r="B2480" s="61" t="str">
        <f aca="false">IF($M2480=0,"",INDEX(Classes!$E$6:$E$420,$M2480))</f>
        <v/>
      </c>
      <c r="C2480" s="62" t="str">
        <f aca="false">IF($M2480=0,"",INDEX(Classes!$H$6:$H$420,$M2480))</f>
        <v/>
      </c>
      <c r="D2480" s="61" t="str">
        <f aca="false">IF($M2480=0,"",INDEX(Classes!$B$6:$B$420,$M2480))</f>
        <v/>
      </c>
      <c r="E2480" s="61" t="str">
        <f aca="false">IF($M2480=0,"",INDEX(Classes!$C$6:$C$420,$M2480))</f>
        <v/>
      </c>
      <c r="F2480" s="63"/>
      <c r="G2480" s="63"/>
      <c r="H2480" s="60"/>
      <c r="I2480" s="60"/>
      <c r="J2480" s="63"/>
      <c r="K2480" s="61" t="str">
        <f aca="false">IF($P2480=0,"",IF($F2480="Baseline","— Baseline",IF($O2480=0,"No result",IF($N2480=0,"No Start (attainment only)",IF(OR($N2480=1,$O2480=1),"U – needs rule",INDEX(MxBody,MATCH($I2480,MxCurr,0),MATCH($H2480,MxStart,0)))))))</f>
        <v/>
      </c>
      <c r="L2480" s="62" t="str">
        <f aca="false">IF(COUNTA($A2480,$F2480,$G2480,$H2480,$I2480,$J2480)=0,"",IF($M2480=0,"✖ كود الصف غير موجود",IF(ISNA(MATCH($F2480,Lists!$A$2:$A$5,0)),"✖ الفترة غير صحيحة",IF(ISNA(MATCH($G2480,Lists!$B$2:$B$7,0)),"✖ المجموعة غير صحيحة",IF(NOT(OR($H2480="",$N2480&gt;0)),"✖ Start غير صحيح",IF(NOT(OR($I2480="",$I2480="NR",$O2480&gt;0)),"✖ Current غير صحيح",IF(NOT(IF(ISNUMBER($J2480),AND($J2480&gt;=0,$J2480=INT($J2480)),FALSE())),"✖ العدد يجب أن يكون صحيحًا ≥ 0",IF(AND($F2480="Baseline",$H2480&lt;&gt;""),"⚠ Baseline: Start لا يدخل في التقدم",IF($K2480="No Start (attainment only)","ℹ تحصيل فقط (بدون Start)",IF($K2480="U – needs rule","ℹ حالة U تحتاج قاعدة معتمدة",IF($K2480="No result","ℹ بدون نتيجة (يُستبعد من التحصيل)","OK")))))))))))</f>
        <v/>
      </c>
      <c r="M2480" s="64" t="n">
        <f aca="false">IF($A2480="",0,IFERROR(MATCH($A2480,Classes!$A$6:$A$420,0),0))</f>
        <v>0</v>
      </c>
      <c r="N2480" s="64" t="n">
        <f aca="false">IF($H2480="",0,IFERROR(MATCH($H2480,GradeList,0),0))</f>
        <v>0</v>
      </c>
      <c r="O2480" s="64" t="n">
        <f aca="false">IF(OR($I2480="",$I2480="NR"),0,IFERROR(MATCH($I2480,GradeList,0),0))</f>
        <v>0</v>
      </c>
      <c r="P2480" s="64" t="n">
        <f aca="false">IF(AND($M2480&gt;0,ISNUMBER(MATCH($F2480,Lists!$A$2:$A$5,0)),ISNUMBER(MATCH($G2480,Lists!$B$2:$B$7,0)),OR($H2480="",$N2480&gt;0),OR($I2480="",$I2480="NR",$O2480&gt;0),IF(ISNUMBER($J2480),AND($J2480&gt;=0,$J2480=INT($J2480)),FALSE())),$J2480,0)</f>
        <v>0</v>
      </c>
      <c r="Q2480" s="64" t="n">
        <f aca="false">IF(AND($P2480&gt;0,$O2480&gt;0),$P2480,0)</f>
        <v>0</v>
      </c>
      <c r="R2480" s="64" t="n">
        <f aca="false">IF(AND($Q2480&gt;0,$O2480&gt;=AtRank),$Q2480,0)</f>
        <v>0</v>
      </c>
      <c r="S2480" s="64" t="n">
        <f aca="false">IF(AND($Q2480&gt;0,$O2480&gt;=AboveRank),$Q2480,0)</f>
        <v>0</v>
      </c>
      <c r="T2480" s="64" t="n">
        <f aca="false">IF($K2480="Less",$P2480,0)</f>
        <v>0</v>
      </c>
      <c r="U2480" s="64" t="n">
        <f aca="false">IF($K2480="Expected",$P2480,0)</f>
        <v>0</v>
      </c>
      <c r="V2480" s="64" t="n">
        <f aca="false">IF($K2480="Better",$P2480,0)</f>
        <v>0</v>
      </c>
      <c r="W2480" s="64" t="n">
        <f aca="false">IF($K2480="U – needs rule",$P2480,0)</f>
        <v>0</v>
      </c>
      <c r="X2480" s="64" t="n">
        <f aca="false">IF($K2480="No Start (attainment only)",$P2480,0)</f>
        <v>0</v>
      </c>
    </row>
    <row r="2481" customFormat="false" ht="15" hidden="false" customHeight="false" outlineLevel="0" collapsed="false">
      <c r="A2481" s="60"/>
      <c r="B2481" s="61" t="str">
        <f aca="false">IF($M2481=0,"",INDEX(Classes!$E$6:$E$420,$M2481))</f>
        <v/>
      </c>
      <c r="C2481" s="62" t="str">
        <f aca="false">IF($M2481=0,"",INDEX(Classes!$H$6:$H$420,$M2481))</f>
        <v/>
      </c>
      <c r="D2481" s="61" t="str">
        <f aca="false">IF($M2481=0,"",INDEX(Classes!$B$6:$B$420,$M2481))</f>
        <v/>
      </c>
      <c r="E2481" s="61" t="str">
        <f aca="false">IF($M2481=0,"",INDEX(Classes!$C$6:$C$420,$M2481))</f>
        <v/>
      </c>
      <c r="F2481" s="63"/>
      <c r="G2481" s="63"/>
      <c r="H2481" s="60"/>
      <c r="I2481" s="60"/>
      <c r="J2481" s="63"/>
      <c r="K2481" s="61" t="str">
        <f aca="false">IF($P2481=0,"",IF($F2481="Baseline","— Baseline",IF($O2481=0,"No result",IF($N2481=0,"No Start (attainment only)",IF(OR($N2481=1,$O2481=1),"U – needs rule",INDEX(MxBody,MATCH($I2481,MxCurr,0),MATCH($H2481,MxStart,0)))))))</f>
        <v/>
      </c>
      <c r="L2481" s="62" t="str">
        <f aca="false">IF(COUNTA($A2481,$F2481,$G2481,$H2481,$I2481,$J2481)=0,"",IF($M2481=0,"✖ كود الصف غير موجود",IF(ISNA(MATCH($F2481,Lists!$A$2:$A$5,0)),"✖ الفترة غير صحيحة",IF(ISNA(MATCH($G2481,Lists!$B$2:$B$7,0)),"✖ المجموعة غير صحيحة",IF(NOT(OR($H2481="",$N2481&gt;0)),"✖ Start غير صحيح",IF(NOT(OR($I2481="",$I2481="NR",$O2481&gt;0)),"✖ Current غير صحيح",IF(NOT(IF(ISNUMBER($J2481),AND($J2481&gt;=0,$J2481=INT($J2481)),FALSE())),"✖ العدد يجب أن يكون صحيحًا ≥ 0",IF(AND($F2481="Baseline",$H2481&lt;&gt;""),"⚠ Baseline: Start لا يدخل في التقدم",IF($K2481="No Start (attainment only)","ℹ تحصيل فقط (بدون Start)",IF($K2481="U – needs rule","ℹ حالة U تحتاج قاعدة معتمدة",IF($K2481="No result","ℹ بدون نتيجة (يُستبعد من التحصيل)","OK")))))))))))</f>
        <v/>
      </c>
      <c r="M2481" s="64" t="n">
        <f aca="false">IF($A2481="",0,IFERROR(MATCH($A2481,Classes!$A$6:$A$420,0),0))</f>
        <v>0</v>
      </c>
      <c r="N2481" s="64" t="n">
        <f aca="false">IF($H2481="",0,IFERROR(MATCH($H2481,GradeList,0),0))</f>
        <v>0</v>
      </c>
      <c r="O2481" s="64" t="n">
        <f aca="false">IF(OR($I2481="",$I2481="NR"),0,IFERROR(MATCH($I2481,GradeList,0),0))</f>
        <v>0</v>
      </c>
      <c r="P2481" s="64" t="n">
        <f aca="false">IF(AND($M2481&gt;0,ISNUMBER(MATCH($F2481,Lists!$A$2:$A$5,0)),ISNUMBER(MATCH($G2481,Lists!$B$2:$B$7,0)),OR($H2481="",$N2481&gt;0),OR($I2481="",$I2481="NR",$O2481&gt;0),IF(ISNUMBER($J2481),AND($J2481&gt;=0,$J2481=INT($J2481)),FALSE())),$J2481,0)</f>
        <v>0</v>
      </c>
      <c r="Q2481" s="64" t="n">
        <f aca="false">IF(AND($P2481&gt;0,$O2481&gt;0),$P2481,0)</f>
        <v>0</v>
      </c>
      <c r="R2481" s="64" t="n">
        <f aca="false">IF(AND($Q2481&gt;0,$O2481&gt;=AtRank),$Q2481,0)</f>
        <v>0</v>
      </c>
      <c r="S2481" s="64" t="n">
        <f aca="false">IF(AND($Q2481&gt;0,$O2481&gt;=AboveRank),$Q2481,0)</f>
        <v>0</v>
      </c>
      <c r="T2481" s="64" t="n">
        <f aca="false">IF($K2481="Less",$P2481,0)</f>
        <v>0</v>
      </c>
      <c r="U2481" s="64" t="n">
        <f aca="false">IF($K2481="Expected",$P2481,0)</f>
        <v>0</v>
      </c>
      <c r="V2481" s="64" t="n">
        <f aca="false">IF($K2481="Better",$P2481,0)</f>
        <v>0</v>
      </c>
      <c r="W2481" s="64" t="n">
        <f aca="false">IF($K2481="U – needs rule",$P2481,0)</f>
        <v>0</v>
      </c>
      <c r="X2481" s="64" t="n">
        <f aca="false">IF($K2481="No Start (attainment only)",$P2481,0)</f>
        <v>0</v>
      </c>
    </row>
    <row r="2482" customFormat="false" ht="15" hidden="false" customHeight="false" outlineLevel="0" collapsed="false">
      <c r="A2482" s="60"/>
      <c r="B2482" s="61" t="str">
        <f aca="false">IF($M2482=0,"",INDEX(Classes!$E$6:$E$420,$M2482))</f>
        <v/>
      </c>
      <c r="C2482" s="62" t="str">
        <f aca="false">IF($M2482=0,"",INDEX(Classes!$H$6:$H$420,$M2482))</f>
        <v/>
      </c>
      <c r="D2482" s="61" t="str">
        <f aca="false">IF($M2482=0,"",INDEX(Classes!$B$6:$B$420,$M2482))</f>
        <v/>
      </c>
      <c r="E2482" s="61" t="str">
        <f aca="false">IF($M2482=0,"",INDEX(Classes!$C$6:$C$420,$M2482))</f>
        <v/>
      </c>
      <c r="F2482" s="63"/>
      <c r="G2482" s="63"/>
      <c r="H2482" s="60"/>
      <c r="I2482" s="60"/>
      <c r="J2482" s="63"/>
      <c r="K2482" s="61" t="str">
        <f aca="false">IF($P2482=0,"",IF($F2482="Baseline","— Baseline",IF($O2482=0,"No result",IF($N2482=0,"No Start (attainment only)",IF(OR($N2482=1,$O2482=1),"U – needs rule",INDEX(MxBody,MATCH($I2482,MxCurr,0),MATCH($H2482,MxStart,0)))))))</f>
        <v/>
      </c>
      <c r="L2482" s="62" t="str">
        <f aca="false">IF(COUNTA($A2482,$F2482,$G2482,$H2482,$I2482,$J2482)=0,"",IF($M2482=0,"✖ كود الصف غير موجود",IF(ISNA(MATCH($F2482,Lists!$A$2:$A$5,0)),"✖ الفترة غير صحيحة",IF(ISNA(MATCH($G2482,Lists!$B$2:$B$7,0)),"✖ المجموعة غير صحيحة",IF(NOT(OR($H2482="",$N2482&gt;0)),"✖ Start غير صحيح",IF(NOT(OR($I2482="",$I2482="NR",$O2482&gt;0)),"✖ Current غير صحيح",IF(NOT(IF(ISNUMBER($J2482),AND($J2482&gt;=0,$J2482=INT($J2482)),FALSE())),"✖ العدد يجب أن يكون صحيحًا ≥ 0",IF(AND($F2482="Baseline",$H2482&lt;&gt;""),"⚠ Baseline: Start لا يدخل في التقدم",IF($K2482="No Start (attainment only)","ℹ تحصيل فقط (بدون Start)",IF($K2482="U – needs rule","ℹ حالة U تحتاج قاعدة معتمدة",IF($K2482="No result","ℹ بدون نتيجة (يُستبعد من التحصيل)","OK")))))))))))</f>
        <v/>
      </c>
      <c r="M2482" s="64" t="n">
        <f aca="false">IF($A2482="",0,IFERROR(MATCH($A2482,Classes!$A$6:$A$420,0),0))</f>
        <v>0</v>
      </c>
      <c r="N2482" s="64" t="n">
        <f aca="false">IF($H2482="",0,IFERROR(MATCH($H2482,GradeList,0),0))</f>
        <v>0</v>
      </c>
      <c r="O2482" s="64" t="n">
        <f aca="false">IF(OR($I2482="",$I2482="NR"),0,IFERROR(MATCH($I2482,GradeList,0),0))</f>
        <v>0</v>
      </c>
      <c r="P2482" s="64" t="n">
        <f aca="false">IF(AND($M2482&gt;0,ISNUMBER(MATCH($F2482,Lists!$A$2:$A$5,0)),ISNUMBER(MATCH($G2482,Lists!$B$2:$B$7,0)),OR($H2482="",$N2482&gt;0),OR($I2482="",$I2482="NR",$O2482&gt;0),IF(ISNUMBER($J2482),AND($J2482&gt;=0,$J2482=INT($J2482)),FALSE())),$J2482,0)</f>
        <v>0</v>
      </c>
      <c r="Q2482" s="64" t="n">
        <f aca="false">IF(AND($P2482&gt;0,$O2482&gt;0),$P2482,0)</f>
        <v>0</v>
      </c>
      <c r="R2482" s="64" t="n">
        <f aca="false">IF(AND($Q2482&gt;0,$O2482&gt;=AtRank),$Q2482,0)</f>
        <v>0</v>
      </c>
      <c r="S2482" s="64" t="n">
        <f aca="false">IF(AND($Q2482&gt;0,$O2482&gt;=AboveRank),$Q2482,0)</f>
        <v>0</v>
      </c>
      <c r="T2482" s="64" t="n">
        <f aca="false">IF($K2482="Less",$P2482,0)</f>
        <v>0</v>
      </c>
      <c r="U2482" s="64" t="n">
        <f aca="false">IF($K2482="Expected",$P2482,0)</f>
        <v>0</v>
      </c>
      <c r="V2482" s="64" t="n">
        <f aca="false">IF($K2482="Better",$P2482,0)</f>
        <v>0</v>
      </c>
      <c r="W2482" s="64" t="n">
        <f aca="false">IF($K2482="U – needs rule",$P2482,0)</f>
        <v>0</v>
      </c>
      <c r="X2482" s="64" t="n">
        <f aca="false">IF($K2482="No Start (attainment only)",$P2482,0)</f>
        <v>0</v>
      </c>
    </row>
    <row r="2483" customFormat="false" ht="15" hidden="false" customHeight="false" outlineLevel="0" collapsed="false">
      <c r="A2483" s="60"/>
      <c r="B2483" s="61" t="str">
        <f aca="false">IF($M2483=0,"",INDEX(Classes!$E$6:$E$420,$M2483))</f>
        <v/>
      </c>
      <c r="C2483" s="62" t="str">
        <f aca="false">IF($M2483=0,"",INDEX(Classes!$H$6:$H$420,$M2483))</f>
        <v/>
      </c>
      <c r="D2483" s="61" t="str">
        <f aca="false">IF($M2483=0,"",INDEX(Classes!$B$6:$B$420,$M2483))</f>
        <v/>
      </c>
      <c r="E2483" s="61" t="str">
        <f aca="false">IF($M2483=0,"",INDEX(Classes!$C$6:$C$420,$M2483))</f>
        <v/>
      </c>
      <c r="F2483" s="63"/>
      <c r="G2483" s="63"/>
      <c r="H2483" s="60"/>
      <c r="I2483" s="60"/>
      <c r="J2483" s="63"/>
      <c r="K2483" s="61" t="str">
        <f aca="false">IF($P2483=0,"",IF($F2483="Baseline","— Baseline",IF($O2483=0,"No result",IF($N2483=0,"No Start (attainment only)",IF(OR($N2483=1,$O2483=1),"U – needs rule",INDEX(MxBody,MATCH($I2483,MxCurr,0),MATCH($H2483,MxStart,0)))))))</f>
        <v/>
      </c>
      <c r="L2483" s="62" t="str">
        <f aca="false">IF(COUNTA($A2483,$F2483,$G2483,$H2483,$I2483,$J2483)=0,"",IF($M2483=0,"✖ كود الصف غير موجود",IF(ISNA(MATCH($F2483,Lists!$A$2:$A$5,0)),"✖ الفترة غير صحيحة",IF(ISNA(MATCH($G2483,Lists!$B$2:$B$7,0)),"✖ المجموعة غير صحيحة",IF(NOT(OR($H2483="",$N2483&gt;0)),"✖ Start غير صحيح",IF(NOT(OR($I2483="",$I2483="NR",$O2483&gt;0)),"✖ Current غير صحيح",IF(NOT(IF(ISNUMBER($J2483),AND($J2483&gt;=0,$J2483=INT($J2483)),FALSE())),"✖ العدد يجب أن يكون صحيحًا ≥ 0",IF(AND($F2483="Baseline",$H2483&lt;&gt;""),"⚠ Baseline: Start لا يدخل في التقدم",IF($K2483="No Start (attainment only)","ℹ تحصيل فقط (بدون Start)",IF($K2483="U – needs rule","ℹ حالة U تحتاج قاعدة معتمدة",IF($K2483="No result","ℹ بدون نتيجة (يُستبعد من التحصيل)","OK")))))))))))</f>
        <v/>
      </c>
      <c r="M2483" s="64" t="n">
        <f aca="false">IF($A2483="",0,IFERROR(MATCH($A2483,Classes!$A$6:$A$420,0),0))</f>
        <v>0</v>
      </c>
      <c r="N2483" s="64" t="n">
        <f aca="false">IF($H2483="",0,IFERROR(MATCH($H2483,GradeList,0),0))</f>
        <v>0</v>
      </c>
      <c r="O2483" s="64" t="n">
        <f aca="false">IF(OR($I2483="",$I2483="NR"),0,IFERROR(MATCH($I2483,GradeList,0),0))</f>
        <v>0</v>
      </c>
      <c r="P2483" s="64" t="n">
        <f aca="false">IF(AND($M2483&gt;0,ISNUMBER(MATCH($F2483,Lists!$A$2:$A$5,0)),ISNUMBER(MATCH($G2483,Lists!$B$2:$B$7,0)),OR($H2483="",$N2483&gt;0),OR($I2483="",$I2483="NR",$O2483&gt;0),IF(ISNUMBER($J2483),AND($J2483&gt;=0,$J2483=INT($J2483)),FALSE())),$J2483,0)</f>
        <v>0</v>
      </c>
      <c r="Q2483" s="64" t="n">
        <f aca="false">IF(AND($P2483&gt;0,$O2483&gt;0),$P2483,0)</f>
        <v>0</v>
      </c>
      <c r="R2483" s="64" t="n">
        <f aca="false">IF(AND($Q2483&gt;0,$O2483&gt;=AtRank),$Q2483,0)</f>
        <v>0</v>
      </c>
      <c r="S2483" s="64" t="n">
        <f aca="false">IF(AND($Q2483&gt;0,$O2483&gt;=AboveRank),$Q2483,0)</f>
        <v>0</v>
      </c>
      <c r="T2483" s="64" t="n">
        <f aca="false">IF($K2483="Less",$P2483,0)</f>
        <v>0</v>
      </c>
      <c r="U2483" s="64" t="n">
        <f aca="false">IF($K2483="Expected",$P2483,0)</f>
        <v>0</v>
      </c>
      <c r="V2483" s="64" t="n">
        <f aca="false">IF($K2483="Better",$P2483,0)</f>
        <v>0</v>
      </c>
      <c r="W2483" s="64" t="n">
        <f aca="false">IF($K2483="U – needs rule",$P2483,0)</f>
        <v>0</v>
      </c>
      <c r="X2483" s="64" t="n">
        <f aca="false">IF($K2483="No Start (attainment only)",$P2483,0)</f>
        <v>0</v>
      </c>
    </row>
    <row r="2484" customFormat="false" ht="15" hidden="false" customHeight="false" outlineLevel="0" collapsed="false">
      <c r="A2484" s="60"/>
      <c r="B2484" s="61" t="str">
        <f aca="false">IF($M2484=0,"",INDEX(Classes!$E$6:$E$420,$M2484))</f>
        <v/>
      </c>
      <c r="C2484" s="62" t="str">
        <f aca="false">IF($M2484=0,"",INDEX(Classes!$H$6:$H$420,$M2484))</f>
        <v/>
      </c>
      <c r="D2484" s="61" t="str">
        <f aca="false">IF($M2484=0,"",INDEX(Classes!$B$6:$B$420,$M2484))</f>
        <v/>
      </c>
      <c r="E2484" s="61" t="str">
        <f aca="false">IF($M2484=0,"",INDEX(Classes!$C$6:$C$420,$M2484))</f>
        <v/>
      </c>
      <c r="F2484" s="63"/>
      <c r="G2484" s="63"/>
      <c r="H2484" s="60"/>
      <c r="I2484" s="60"/>
      <c r="J2484" s="63"/>
      <c r="K2484" s="61" t="str">
        <f aca="false">IF($P2484=0,"",IF($F2484="Baseline","— Baseline",IF($O2484=0,"No result",IF($N2484=0,"No Start (attainment only)",IF(OR($N2484=1,$O2484=1),"U – needs rule",INDEX(MxBody,MATCH($I2484,MxCurr,0),MATCH($H2484,MxStart,0)))))))</f>
        <v/>
      </c>
      <c r="L2484" s="62" t="str">
        <f aca="false">IF(COUNTA($A2484,$F2484,$G2484,$H2484,$I2484,$J2484)=0,"",IF($M2484=0,"✖ كود الصف غير موجود",IF(ISNA(MATCH($F2484,Lists!$A$2:$A$5,0)),"✖ الفترة غير صحيحة",IF(ISNA(MATCH($G2484,Lists!$B$2:$B$7,0)),"✖ المجموعة غير صحيحة",IF(NOT(OR($H2484="",$N2484&gt;0)),"✖ Start غير صحيح",IF(NOT(OR($I2484="",$I2484="NR",$O2484&gt;0)),"✖ Current غير صحيح",IF(NOT(IF(ISNUMBER($J2484),AND($J2484&gt;=0,$J2484=INT($J2484)),FALSE())),"✖ العدد يجب أن يكون صحيحًا ≥ 0",IF(AND($F2484="Baseline",$H2484&lt;&gt;""),"⚠ Baseline: Start لا يدخل في التقدم",IF($K2484="No Start (attainment only)","ℹ تحصيل فقط (بدون Start)",IF($K2484="U – needs rule","ℹ حالة U تحتاج قاعدة معتمدة",IF($K2484="No result","ℹ بدون نتيجة (يُستبعد من التحصيل)","OK")))))))))))</f>
        <v/>
      </c>
      <c r="M2484" s="64" t="n">
        <f aca="false">IF($A2484="",0,IFERROR(MATCH($A2484,Classes!$A$6:$A$420,0),0))</f>
        <v>0</v>
      </c>
      <c r="N2484" s="64" t="n">
        <f aca="false">IF($H2484="",0,IFERROR(MATCH($H2484,GradeList,0),0))</f>
        <v>0</v>
      </c>
      <c r="O2484" s="64" t="n">
        <f aca="false">IF(OR($I2484="",$I2484="NR"),0,IFERROR(MATCH($I2484,GradeList,0),0))</f>
        <v>0</v>
      </c>
      <c r="P2484" s="64" t="n">
        <f aca="false">IF(AND($M2484&gt;0,ISNUMBER(MATCH($F2484,Lists!$A$2:$A$5,0)),ISNUMBER(MATCH($G2484,Lists!$B$2:$B$7,0)),OR($H2484="",$N2484&gt;0),OR($I2484="",$I2484="NR",$O2484&gt;0),IF(ISNUMBER($J2484),AND($J2484&gt;=0,$J2484=INT($J2484)),FALSE())),$J2484,0)</f>
        <v>0</v>
      </c>
      <c r="Q2484" s="64" t="n">
        <f aca="false">IF(AND($P2484&gt;0,$O2484&gt;0),$P2484,0)</f>
        <v>0</v>
      </c>
      <c r="R2484" s="64" t="n">
        <f aca="false">IF(AND($Q2484&gt;0,$O2484&gt;=AtRank),$Q2484,0)</f>
        <v>0</v>
      </c>
      <c r="S2484" s="64" t="n">
        <f aca="false">IF(AND($Q2484&gt;0,$O2484&gt;=AboveRank),$Q2484,0)</f>
        <v>0</v>
      </c>
      <c r="T2484" s="64" t="n">
        <f aca="false">IF($K2484="Less",$P2484,0)</f>
        <v>0</v>
      </c>
      <c r="U2484" s="64" t="n">
        <f aca="false">IF($K2484="Expected",$P2484,0)</f>
        <v>0</v>
      </c>
      <c r="V2484" s="64" t="n">
        <f aca="false">IF($K2484="Better",$P2484,0)</f>
        <v>0</v>
      </c>
      <c r="W2484" s="64" t="n">
        <f aca="false">IF($K2484="U – needs rule",$P2484,0)</f>
        <v>0</v>
      </c>
      <c r="X2484" s="64" t="n">
        <f aca="false">IF($K2484="No Start (attainment only)",$P2484,0)</f>
        <v>0</v>
      </c>
    </row>
    <row r="2485" customFormat="false" ht="15" hidden="false" customHeight="false" outlineLevel="0" collapsed="false">
      <c r="A2485" s="60"/>
      <c r="B2485" s="61" t="str">
        <f aca="false">IF($M2485=0,"",INDEX(Classes!$E$6:$E$420,$M2485))</f>
        <v/>
      </c>
      <c r="C2485" s="62" t="str">
        <f aca="false">IF($M2485=0,"",INDEX(Classes!$H$6:$H$420,$M2485))</f>
        <v/>
      </c>
      <c r="D2485" s="61" t="str">
        <f aca="false">IF($M2485=0,"",INDEX(Classes!$B$6:$B$420,$M2485))</f>
        <v/>
      </c>
      <c r="E2485" s="61" t="str">
        <f aca="false">IF($M2485=0,"",INDEX(Classes!$C$6:$C$420,$M2485))</f>
        <v/>
      </c>
      <c r="F2485" s="63"/>
      <c r="G2485" s="63"/>
      <c r="H2485" s="60"/>
      <c r="I2485" s="60"/>
      <c r="J2485" s="63"/>
      <c r="K2485" s="61" t="str">
        <f aca="false">IF($P2485=0,"",IF($F2485="Baseline","— Baseline",IF($O2485=0,"No result",IF($N2485=0,"No Start (attainment only)",IF(OR($N2485=1,$O2485=1),"U – needs rule",INDEX(MxBody,MATCH($I2485,MxCurr,0),MATCH($H2485,MxStart,0)))))))</f>
        <v/>
      </c>
      <c r="L2485" s="62" t="str">
        <f aca="false">IF(COUNTA($A2485,$F2485,$G2485,$H2485,$I2485,$J2485)=0,"",IF($M2485=0,"✖ كود الصف غير موجود",IF(ISNA(MATCH($F2485,Lists!$A$2:$A$5,0)),"✖ الفترة غير صحيحة",IF(ISNA(MATCH($G2485,Lists!$B$2:$B$7,0)),"✖ المجموعة غير صحيحة",IF(NOT(OR($H2485="",$N2485&gt;0)),"✖ Start غير صحيح",IF(NOT(OR($I2485="",$I2485="NR",$O2485&gt;0)),"✖ Current غير صحيح",IF(NOT(IF(ISNUMBER($J2485),AND($J2485&gt;=0,$J2485=INT($J2485)),FALSE())),"✖ العدد يجب أن يكون صحيحًا ≥ 0",IF(AND($F2485="Baseline",$H2485&lt;&gt;""),"⚠ Baseline: Start لا يدخل في التقدم",IF($K2485="No Start (attainment only)","ℹ تحصيل فقط (بدون Start)",IF($K2485="U – needs rule","ℹ حالة U تحتاج قاعدة معتمدة",IF($K2485="No result","ℹ بدون نتيجة (يُستبعد من التحصيل)","OK")))))))))))</f>
        <v/>
      </c>
      <c r="M2485" s="64" t="n">
        <f aca="false">IF($A2485="",0,IFERROR(MATCH($A2485,Classes!$A$6:$A$420,0),0))</f>
        <v>0</v>
      </c>
      <c r="N2485" s="64" t="n">
        <f aca="false">IF($H2485="",0,IFERROR(MATCH($H2485,GradeList,0),0))</f>
        <v>0</v>
      </c>
      <c r="O2485" s="64" t="n">
        <f aca="false">IF(OR($I2485="",$I2485="NR"),0,IFERROR(MATCH($I2485,GradeList,0),0))</f>
        <v>0</v>
      </c>
      <c r="P2485" s="64" t="n">
        <f aca="false">IF(AND($M2485&gt;0,ISNUMBER(MATCH($F2485,Lists!$A$2:$A$5,0)),ISNUMBER(MATCH($G2485,Lists!$B$2:$B$7,0)),OR($H2485="",$N2485&gt;0),OR($I2485="",$I2485="NR",$O2485&gt;0),IF(ISNUMBER($J2485),AND($J2485&gt;=0,$J2485=INT($J2485)),FALSE())),$J2485,0)</f>
        <v>0</v>
      </c>
      <c r="Q2485" s="64" t="n">
        <f aca="false">IF(AND($P2485&gt;0,$O2485&gt;0),$P2485,0)</f>
        <v>0</v>
      </c>
      <c r="R2485" s="64" t="n">
        <f aca="false">IF(AND($Q2485&gt;0,$O2485&gt;=AtRank),$Q2485,0)</f>
        <v>0</v>
      </c>
      <c r="S2485" s="64" t="n">
        <f aca="false">IF(AND($Q2485&gt;0,$O2485&gt;=AboveRank),$Q2485,0)</f>
        <v>0</v>
      </c>
      <c r="T2485" s="64" t="n">
        <f aca="false">IF($K2485="Less",$P2485,0)</f>
        <v>0</v>
      </c>
      <c r="U2485" s="64" t="n">
        <f aca="false">IF($K2485="Expected",$P2485,0)</f>
        <v>0</v>
      </c>
      <c r="V2485" s="64" t="n">
        <f aca="false">IF($K2485="Better",$P2485,0)</f>
        <v>0</v>
      </c>
      <c r="W2485" s="64" t="n">
        <f aca="false">IF($K2485="U – needs rule",$P2485,0)</f>
        <v>0</v>
      </c>
      <c r="X2485" s="64" t="n">
        <f aca="false">IF($K2485="No Start (attainment only)",$P2485,0)</f>
        <v>0</v>
      </c>
    </row>
    <row r="2486" customFormat="false" ht="15" hidden="false" customHeight="false" outlineLevel="0" collapsed="false">
      <c r="A2486" s="60"/>
      <c r="B2486" s="61" t="str">
        <f aca="false">IF($M2486=0,"",INDEX(Classes!$E$6:$E$420,$M2486))</f>
        <v/>
      </c>
      <c r="C2486" s="62" t="str">
        <f aca="false">IF($M2486=0,"",INDEX(Classes!$H$6:$H$420,$M2486))</f>
        <v/>
      </c>
      <c r="D2486" s="61" t="str">
        <f aca="false">IF($M2486=0,"",INDEX(Classes!$B$6:$B$420,$M2486))</f>
        <v/>
      </c>
      <c r="E2486" s="61" t="str">
        <f aca="false">IF($M2486=0,"",INDEX(Classes!$C$6:$C$420,$M2486))</f>
        <v/>
      </c>
      <c r="F2486" s="63"/>
      <c r="G2486" s="63"/>
      <c r="H2486" s="60"/>
      <c r="I2486" s="60"/>
      <c r="J2486" s="63"/>
      <c r="K2486" s="61" t="str">
        <f aca="false">IF($P2486=0,"",IF($F2486="Baseline","— Baseline",IF($O2486=0,"No result",IF($N2486=0,"No Start (attainment only)",IF(OR($N2486=1,$O2486=1),"U – needs rule",INDEX(MxBody,MATCH($I2486,MxCurr,0),MATCH($H2486,MxStart,0)))))))</f>
        <v/>
      </c>
      <c r="L2486" s="62" t="str">
        <f aca="false">IF(COUNTA($A2486,$F2486,$G2486,$H2486,$I2486,$J2486)=0,"",IF($M2486=0,"✖ كود الصف غير موجود",IF(ISNA(MATCH($F2486,Lists!$A$2:$A$5,0)),"✖ الفترة غير صحيحة",IF(ISNA(MATCH($G2486,Lists!$B$2:$B$7,0)),"✖ المجموعة غير صحيحة",IF(NOT(OR($H2486="",$N2486&gt;0)),"✖ Start غير صحيح",IF(NOT(OR($I2486="",$I2486="NR",$O2486&gt;0)),"✖ Current غير صحيح",IF(NOT(IF(ISNUMBER($J2486),AND($J2486&gt;=0,$J2486=INT($J2486)),FALSE())),"✖ العدد يجب أن يكون صحيحًا ≥ 0",IF(AND($F2486="Baseline",$H2486&lt;&gt;""),"⚠ Baseline: Start لا يدخل في التقدم",IF($K2486="No Start (attainment only)","ℹ تحصيل فقط (بدون Start)",IF($K2486="U – needs rule","ℹ حالة U تحتاج قاعدة معتمدة",IF($K2486="No result","ℹ بدون نتيجة (يُستبعد من التحصيل)","OK")))))))))))</f>
        <v/>
      </c>
      <c r="M2486" s="64" t="n">
        <f aca="false">IF($A2486="",0,IFERROR(MATCH($A2486,Classes!$A$6:$A$420,0),0))</f>
        <v>0</v>
      </c>
      <c r="N2486" s="64" t="n">
        <f aca="false">IF($H2486="",0,IFERROR(MATCH($H2486,GradeList,0),0))</f>
        <v>0</v>
      </c>
      <c r="O2486" s="64" t="n">
        <f aca="false">IF(OR($I2486="",$I2486="NR"),0,IFERROR(MATCH($I2486,GradeList,0),0))</f>
        <v>0</v>
      </c>
      <c r="P2486" s="64" t="n">
        <f aca="false">IF(AND($M2486&gt;0,ISNUMBER(MATCH($F2486,Lists!$A$2:$A$5,0)),ISNUMBER(MATCH($G2486,Lists!$B$2:$B$7,0)),OR($H2486="",$N2486&gt;0),OR($I2486="",$I2486="NR",$O2486&gt;0),IF(ISNUMBER($J2486),AND($J2486&gt;=0,$J2486=INT($J2486)),FALSE())),$J2486,0)</f>
        <v>0</v>
      </c>
      <c r="Q2486" s="64" t="n">
        <f aca="false">IF(AND($P2486&gt;0,$O2486&gt;0),$P2486,0)</f>
        <v>0</v>
      </c>
      <c r="R2486" s="64" t="n">
        <f aca="false">IF(AND($Q2486&gt;0,$O2486&gt;=AtRank),$Q2486,0)</f>
        <v>0</v>
      </c>
      <c r="S2486" s="64" t="n">
        <f aca="false">IF(AND($Q2486&gt;0,$O2486&gt;=AboveRank),$Q2486,0)</f>
        <v>0</v>
      </c>
      <c r="T2486" s="64" t="n">
        <f aca="false">IF($K2486="Less",$P2486,0)</f>
        <v>0</v>
      </c>
      <c r="U2486" s="64" t="n">
        <f aca="false">IF($K2486="Expected",$P2486,0)</f>
        <v>0</v>
      </c>
      <c r="V2486" s="64" t="n">
        <f aca="false">IF($K2486="Better",$P2486,0)</f>
        <v>0</v>
      </c>
      <c r="W2486" s="64" t="n">
        <f aca="false">IF($K2486="U – needs rule",$P2486,0)</f>
        <v>0</v>
      </c>
      <c r="X2486" s="64" t="n">
        <f aca="false">IF($K2486="No Start (attainment only)",$P2486,0)</f>
        <v>0</v>
      </c>
    </row>
    <row r="2487" customFormat="false" ht="15" hidden="false" customHeight="false" outlineLevel="0" collapsed="false">
      <c r="A2487" s="60"/>
      <c r="B2487" s="61" t="str">
        <f aca="false">IF($M2487=0,"",INDEX(Classes!$E$6:$E$420,$M2487))</f>
        <v/>
      </c>
      <c r="C2487" s="62" t="str">
        <f aca="false">IF($M2487=0,"",INDEX(Classes!$H$6:$H$420,$M2487))</f>
        <v/>
      </c>
      <c r="D2487" s="61" t="str">
        <f aca="false">IF($M2487=0,"",INDEX(Classes!$B$6:$B$420,$M2487))</f>
        <v/>
      </c>
      <c r="E2487" s="61" t="str">
        <f aca="false">IF($M2487=0,"",INDEX(Classes!$C$6:$C$420,$M2487))</f>
        <v/>
      </c>
      <c r="F2487" s="63"/>
      <c r="G2487" s="63"/>
      <c r="H2487" s="60"/>
      <c r="I2487" s="60"/>
      <c r="J2487" s="63"/>
      <c r="K2487" s="61" t="str">
        <f aca="false">IF($P2487=0,"",IF($F2487="Baseline","— Baseline",IF($O2487=0,"No result",IF($N2487=0,"No Start (attainment only)",IF(OR($N2487=1,$O2487=1),"U – needs rule",INDEX(MxBody,MATCH($I2487,MxCurr,0),MATCH($H2487,MxStart,0)))))))</f>
        <v/>
      </c>
      <c r="L2487" s="62" t="str">
        <f aca="false">IF(COUNTA($A2487,$F2487,$G2487,$H2487,$I2487,$J2487)=0,"",IF($M2487=0,"✖ كود الصف غير موجود",IF(ISNA(MATCH($F2487,Lists!$A$2:$A$5,0)),"✖ الفترة غير صحيحة",IF(ISNA(MATCH($G2487,Lists!$B$2:$B$7,0)),"✖ المجموعة غير صحيحة",IF(NOT(OR($H2487="",$N2487&gt;0)),"✖ Start غير صحيح",IF(NOT(OR($I2487="",$I2487="NR",$O2487&gt;0)),"✖ Current غير صحيح",IF(NOT(IF(ISNUMBER($J2487),AND($J2487&gt;=0,$J2487=INT($J2487)),FALSE())),"✖ العدد يجب أن يكون صحيحًا ≥ 0",IF(AND($F2487="Baseline",$H2487&lt;&gt;""),"⚠ Baseline: Start لا يدخل في التقدم",IF($K2487="No Start (attainment only)","ℹ تحصيل فقط (بدون Start)",IF($K2487="U – needs rule","ℹ حالة U تحتاج قاعدة معتمدة",IF($K2487="No result","ℹ بدون نتيجة (يُستبعد من التحصيل)","OK")))))))))))</f>
        <v/>
      </c>
      <c r="M2487" s="64" t="n">
        <f aca="false">IF($A2487="",0,IFERROR(MATCH($A2487,Classes!$A$6:$A$420,0),0))</f>
        <v>0</v>
      </c>
      <c r="N2487" s="64" t="n">
        <f aca="false">IF($H2487="",0,IFERROR(MATCH($H2487,GradeList,0),0))</f>
        <v>0</v>
      </c>
      <c r="O2487" s="64" t="n">
        <f aca="false">IF(OR($I2487="",$I2487="NR"),0,IFERROR(MATCH($I2487,GradeList,0),0))</f>
        <v>0</v>
      </c>
      <c r="P2487" s="64" t="n">
        <f aca="false">IF(AND($M2487&gt;0,ISNUMBER(MATCH($F2487,Lists!$A$2:$A$5,0)),ISNUMBER(MATCH($G2487,Lists!$B$2:$B$7,0)),OR($H2487="",$N2487&gt;0),OR($I2487="",$I2487="NR",$O2487&gt;0),IF(ISNUMBER($J2487),AND($J2487&gt;=0,$J2487=INT($J2487)),FALSE())),$J2487,0)</f>
        <v>0</v>
      </c>
      <c r="Q2487" s="64" t="n">
        <f aca="false">IF(AND($P2487&gt;0,$O2487&gt;0),$P2487,0)</f>
        <v>0</v>
      </c>
      <c r="R2487" s="64" t="n">
        <f aca="false">IF(AND($Q2487&gt;0,$O2487&gt;=AtRank),$Q2487,0)</f>
        <v>0</v>
      </c>
      <c r="S2487" s="64" t="n">
        <f aca="false">IF(AND($Q2487&gt;0,$O2487&gt;=AboveRank),$Q2487,0)</f>
        <v>0</v>
      </c>
      <c r="T2487" s="64" t="n">
        <f aca="false">IF($K2487="Less",$P2487,0)</f>
        <v>0</v>
      </c>
      <c r="U2487" s="64" t="n">
        <f aca="false">IF($K2487="Expected",$P2487,0)</f>
        <v>0</v>
      </c>
      <c r="V2487" s="64" t="n">
        <f aca="false">IF($K2487="Better",$P2487,0)</f>
        <v>0</v>
      </c>
      <c r="W2487" s="64" t="n">
        <f aca="false">IF($K2487="U – needs rule",$P2487,0)</f>
        <v>0</v>
      </c>
      <c r="X2487" s="64" t="n">
        <f aca="false">IF($K2487="No Start (attainment only)",$P2487,0)</f>
        <v>0</v>
      </c>
    </row>
    <row r="2488" customFormat="false" ht="15" hidden="false" customHeight="false" outlineLevel="0" collapsed="false">
      <c r="A2488" s="60"/>
      <c r="B2488" s="61" t="str">
        <f aca="false">IF($M2488=0,"",INDEX(Classes!$E$6:$E$420,$M2488))</f>
        <v/>
      </c>
      <c r="C2488" s="62" t="str">
        <f aca="false">IF($M2488=0,"",INDEX(Classes!$H$6:$H$420,$M2488))</f>
        <v/>
      </c>
      <c r="D2488" s="61" t="str">
        <f aca="false">IF($M2488=0,"",INDEX(Classes!$B$6:$B$420,$M2488))</f>
        <v/>
      </c>
      <c r="E2488" s="61" t="str">
        <f aca="false">IF($M2488=0,"",INDEX(Classes!$C$6:$C$420,$M2488))</f>
        <v/>
      </c>
      <c r="F2488" s="63"/>
      <c r="G2488" s="63"/>
      <c r="H2488" s="60"/>
      <c r="I2488" s="60"/>
      <c r="J2488" s="63"/>
      <c r="K2488" s="61" t="str">
        <f aca="false">IF($P2488=0,"",IF($F2488="Baseline","— Baseline",IF($O2488=0,"No result",IF($N2488=0,"No Start (attainment only)",IF(OR($N2488=1,$O2488=1),"U – needs rule",INDEX(MxBody,MATCH($I2488,MxCurr,0),MATCH($H2488,MxStart,0)))))))</f>
        <v/>
      </c>
      <c r="L2488" s="62" t="str">
        <f aca="false">IF(COUNTA($A2488,$F2488,$G2488,$H2488,$I2488,$J2488)=0,"",IF($M2488=0,"✖ كود الصف غير موجود",IF(ISNA(MATCH($F2488,Lists!$A$2:$A$5,0)),"✖ الفترة غير صحيحة",IF(ISNA(MATCH($G2488,Lists!$B$2:$B$7,0)),"✖ المجموعة غير صحيحة",IF(NOT(OR($H2488="",$N2488&gt;0)),"✖ Start غير صحيح",IF(NOT(OR($I2488="",$I2488="NR",$O2488&gt;0)),"✖ Current غير صحيح",IF(NOT(IF(ISNUMBER($J2488),AND($J2488&gt;=0,$J2488=INT($J2488)),FALSE())),"✖ العدد يجب أن يكون صحيحًا ≥ 0",IF(AND($F2488="Baseline",$H2488&lt;&gt;""),"⚠ Baseline: Start لا يدخل في التقدم",IF($K2488="No Start (attainment only)","ℹ تحصيل فقط (بدون Start)",IF($K2488="U – needs rule","ℹ حالة U تحتاج قاعدة معتمدة",IF($K2488="No result","ℹ بدون نتيجة (يُستبعد من التحصيل)","OK")))))))))))</f>
        <v/>
      </c>
      <c r="M2488" s="64" t="n">
        <f aca="false">IF($A2488="",0,IFERROR(MATCH($A2488,Classes!$A$6:$A$420,0),0))</f>
        <v>0</v>
      </c>
      <c r="N2488" s="64" t="n">
        <f aca="false">IF($H2488="",0,IFERROR(MATCH($H2488,GradeList,0),0))</f>
        <v>0</v>
      </c>
      <c r="O2488" s="64" t="n">
        <f aca="false">IF(OR($I2488="",$I2488="NR"),0,IFERROR(MATCH($I2488,GradeList,0),0))</f>
        <v>0</v>
      </c>
      <c r="P2488" s="64" t="n">
        <f aca="false">IF(AND($M2488&gt;0,ISNUMBER(MATCH($F2488,Lists!$A$2:$A$5,0)),ISNUMBER(MATCH($G2488,Lists!$B$2:$B$7,0)),OR($H2488="",$N2488&gt;0),OR($I2488="",$I2488="NR",$O2488&gt;0),IF(ISNUMBER($J2488),AND($J2488&gt;=0,$J2488=INT($J2488)),FALSE())),$J2488,0)</f>
        <v>0</v>
      </c>
      <c r="Q2488" s="64" t="n">
        <f aca="false">IF(AND($P2488&gt;0,$O2488&gt;0),$P2488,0)</f>
        <v>0</v>
      </c>
      <c r="R2488" s="64" t="n">
        <f aca="false">IF(AND($Q2488&gt;0,$O2488&gt;=AtRank),$Q2488,0)</f>
        <v>0</v>
      </c>
      <c r="S2488" s="64" t="n">
        <f aca="false">IF(AND($Q2488&gt;0,$O2488&gt;=AboveRank),$Q2488,0)</f>
        <v>0</v>
      </c>
      <c r="T2488" s="64" t="n">
        <f aca="false">IF($K2488="Less",$P2488,0)</f>
        <v>0</v>
      </c>
      <c r="U2488" s="64" t="n">
        <f aca="false">IF($K2488="Expected",$P2488,0)</f>
        <v>0</v>
      </c>
      <c r="V2488" s="64" t="n">
        <f aca="false">IF($K2488="Better",$P2488,0)</f>
        <v>0</v>
      </c>
      <c r="W2488" s="64" t="n">
        <f aca="false">IF($K2488="U – needs rule",$P2488,0)</f>
        <v>0</v>
      </c>
      <c r="X2488" s="64" t="n">
        <f aca="false">IF($K2488="No Start (attainment only)",$P2488,0)</f>
        <v>0</v>
      </c>
    </row>
    <row r="2489" customFormat="false" ht="15" hidden="false" customHeight="false" outlineLevel="0" collapsed="false">
      <c r="A2489" s="60"/>
      <c r="B2489" s="61" t="str">
        <f aca="false">IF($M2489=0,"",INDEX(Classes!$E$6:$E$420,$M2489))</f>
        <v/>
      </c>
      <c r="C2489" s="62" t="str">
        <f aca="false">IF($M2489=0,"",INDEX(Classes!$H$6:$H$420,$M2489))</f>
        <v/>
      </c>
      <c r="D2489" s="61" t="str">
        <f aca="false">IF($M2489=0,"",INDEX(Classes!$B$6:$B$420,$M2489))</f>
        <v/>
      </c>
      <c r="E2489" s="61" t="str">
        <f aca="false">IF($M2489=0,"",INDEX(Classes!$C$6:$C$420,$M2489))</f>
        <v/>
      </c>
      <c r="F2489" s="63"/>
      <c r="G2489" s="63"/>
      <c r="H2489" s="60"/>
      <c r="I2489" s="60"/>
      <c r="J2489" s="63"/>
      <c r="K2489" s="61" t="str">
        <f aca="false">IF($P2489=0,"",IF($F2489="Baseline","— Baseline",IF($O2489=0,"No result",IF($N2489=0,"No Start (attainment only)",IF(OR($N2489=1,$O2489=1),"U – needs rule",INDEX(MxBody,MATCH($I2489,MxCurr,0),MATCH($H2489,MxStart,0)))))))</f>
        <v/>
      </c>
      <c r="L2489" s="62" t="str">
        <f aca="false">IF(COUNTA($A2489,$F2489,$G2489,$H2489,$I2489,$J2489)=0,"",IF($M2489=0,"✖ كود الصف غير موجود",IF(ISNA(MATCH($F2489,Lists!$A$2:$A$5,0)),"✖ الفترة غير صحيحة",IF(ISNA(MATCH($G2489,Lists!$B$2:$B$7,0)),"✖ المجموعة غير صحيحة",IF(NOT(OR($H2489="",$N2489&gt;0)),"✖ Start غير صحيح",IF(NOT(OR($I2489="",$I2489="NR",$O2489&gt;0)),"✖ Current غير صحيح",IF(NOT(IF(ISNUMBER($J2489),AND($J2489&gt;=0,$J2489=INT($J2489)),FALSE())),"✖ العدد يجب أن يكون صحيحًا ≥ 0",IF(AND($F2489="Baseline",$H2489&lt;&gt;""),"⚠ Baseline: Start لا يدخل في التقدم",IF($K2489="No Start (attainment only)","ℹ تحصيل فقط (بدون Start)",IF($K2489="U – needs rule","ℹ حالة U تحتاج قاعدة معتمدة",IF($K2489="No result","ℹ بدون نتيجة (يُستبعد من التحصيل)","OK")))))))))))</f>
        <v/>
      </c>
      <c r="M2489" s="64" t="n">
        <f aca="false">IF($A2489="",0,IFERROR(MATCH($A2489,Classes!$A$6:$A$420,0),0))</f>
        <v>0</v>
      </c>
      <c r="N2489" s="64" t="n">
        <f aca="false">IF($H2489="",0,IFERROR(MATCH($H2489,GradeList,0),0))</f>
        <v>0</v>
      </c>
      <c r="O2489" s="64" t="n">
        <f aca="false">IF(OR($I2489="",$I2489="NR"),0,IFERROR(MATCH($I2489,GradeList,0),0))</f>
        <v>0</v>
      </c>
      <c r="P2489" s="64" t="n">
        <f aca="false">IF(AND($M2489&gt;0,ISNUMBER(MATCH($F2489,Lists!$A$2:$A$5,0)),ISNUMBER(MATCH($G2489,Lists!$B$2:$B$7,0)),OR($H2489="",$N2489&gt;0),OR($I2489="",$I2489="NR",$O2489&gt;0),IF(ISNUMBER($J2489),AND($J2489&gt;=0,$J2489=INT($J2489)),FALSE())),$J2489,0)</f>
        <v>0</v>
      </c>
      <c r="Q2489" s="64" t="n">
        <f aca="false">IF(AND($P2489&gt;0,$O2489&gt;0),$P2489,0)</f>
        <v>0</v>
      </c>
      <c r="R2489" s="64" t="n">
        <f aca="false">IF(AND($Q2489&gt;0,$O2489&gt;=AtRank),$Q2489,0)</f>
        <v>0</v>
      </c>
      <c r="S2489" s="64" t="n">
        <f aca="false">IF(AND($Q2489&gt;0,$O2489&gt;=AboveRank),$Q2489,0)</f>
        <v>0</v>
      </c>
      <c r="T2489" s="64" t="n">
        <f aca="false">IF($K2489="Less",$P2489,0)</f>
        <v>0</v>
      </c>
      <c r="U2489" s="64" t="n">
        <f aca="false">IF($K2489="Expected",$P2489,0)</f>
        <v>0</v>
      </c>
      <c r="V2489" s="64" t="n">
        <f aca="false">IF($K2489="Better",$P2489,0)</f>
        <v>0</v>
      </c>
      <c r="W2489" s="64" t="n">
        <f aca="false">IF($K2489="U – needs rule",$P2489,0)</f>
        <v>0</v>
      </c>
      <c r="X2489" s="64" t="n">
        <f aca="false">IF($K2489="No Start (attainment only)",$P2489,0)</f>
        <v>0</v>
      </c>
    </row>
    <row r="2490" customFormat="false" ht="15" hidden="false" customHeight="false" outlineLevel="0" collapsed="false">
      <c r="A2490" s="60"/>
      <c r="B2490" s="61" t="str">
        <f aca="false">IF($M2490=0,"",INDEX(Classes!$E$6:$E$420,$M2490))</f>
        <v/>
      </c>
      <c r="C2490" s="62" t="str">
        <f aca="false">IF($M2490=0,"",INDEX(Classes!$H$6:$H$420,$M2490))</f>
        <v/>
      </c>
      <c r="D2490" s="61" t="str">
        <f aca="false">IF($M2490=0,"",INDEX(Classes!$B$6:$B$420,$M2490))</f>
        <v/>
      </c>
      <c r="E2490" s="61" t="str">
        <f aca="false">IF($M2490=0,"",INDEX(Classes!$C$6:$C$420,$M2490))</f>
        <v/>
      </c>
      <c r="F2490" s="63"/>
      <c r="G2490" s="63"/>
      <c r="H2490" s="60"/>
      <c r="I2490" s="60"/>
      <c r="J2490" s="63"/>
      <c r="K2490" s="61" t="str">
        <f aca="false">IF($P2490=0,"",IF($F2490="Baseline","— Baseline",IF($O2490=0,"No result",IF($N2490=0,"No Start (attainment only)",IF(OR($N2490=1,$O2490=1),"U – needs rule",INDEX(MxBody,MATCH($I2490,MxCurr,0),MATCH($H2490,MxStart,0)))))))</f>
        <v/>
      </c>
      <c r="L2490" s="62" t="str">
        <f aca="false">IF(COUNTA($A2490,$F2490,$G2490,$H2490,$I2490,$J2490)=0,"",IF($M2490=0,"✖ كود الصف غير موجود",IF(ISNA(MATCH($F2490,Lists!$A$2:$A$5,0)),"✖ الفترة غير صحيحة",IF(ISNA(MATCH($G2490,Lists!$B$2:$B$7,0)),"✖ المجموعة غير صحيحة",IF(NOT(OR($H2490="",$N2490&gt;0)),"✖ Start غير صحيح",IF(NOT(OR($I2490="",$I2490="NR",$O2490&gt;0)),"✖ Current غير صحيح",IF(NOT(IF(ISNUMBER($J2490),AND($J2490&gt;=0,$J2490=INT($J2490)),FALSE())),"✖ العدد يجب أن يكون صحيحًا ≥ 0",IF(AND($F2490="Baseline",$H2490&lt;&gt;""),"⚠ Baseline: Start لا يدخل في التقدم",IF($K2490="No Start (attainment only)","ℹ تحصيل فقط (بدون Start)",IF($K2490="U – needs rule","ℹ حالة U تحتاج قاعدة معتمدة",IF($K2490="No result","ℹ بدون نتيجة (يُستبعد من التحصيل)","OK")))))))))))</f>
        <v/>
      </c>
      <c r="M2490" s="64" t="n">
        <f aca="false">IF($A2490="",0,IFERROR(MATCH($A2490,Classes!$A$6:$A$420,0),0))</f>
        <v>0</v>
      </c>
      <c r="N2490" s="64" t="n">
        <f aca="false">IF($H2490="",0,IFERROR(MATCH($H2490,GradeList,0),0))</f>
        <v>0</v>
      </c>
      <c r="O2490" s="64" t="n">
        <f aca="false">IF(OR($I2490="",$I2490="NR"),0,IFERROR(MATCH($I2490,GradeList,0),0))</f>
        <v>0</v>
      </c>
      <c r="P2490" s="64" t="n">
        <f aca="false">IF(AND($M2490&gt;0,ISNUMBER(MATCH($F2490,Lists!$A$2:$A$5,0)),ISNUMBER(MATCH($G2490,Lists!$B$2:$B$7,0)),OR($H2490="",$N2490&gt;0),OR($I2490="",$I2490="NR",$O2490&gt;0),IF(ISNUMBER($J2490),AND($J2490&gt;=0,$J2490=INT($J2490)),FALSE())),$J2490,0)</f>
        <v>0</v>
      </c>
      <c r="Q2490" s="64" t="n">
        <f aca="false">IF(AND($P2490&gt;0,$O2490&gt;0),$P2490,0)</f>
        <v>0</v>
      </c>
      <c r="R2490" s="64" t="n">
        <f aca="false">IF(AND($Q2490&gt;0,$O2490&gt;=AtRank),$Q2490,0)</f>
        <v>0</v>
      </c>
      <c r="S2490" s="64" t="n">
        <f aca="false">IF(AND($Q2490&gt;0,$O2490&gt;=AboveRank),$Q2490,0)</f>
        <v>0</v>
      </c>
      <c r="T2490" s="64" t="n">
        <f aca="false">IF($K2490="Less",$P2490,0)</f>
        <v>0</v>
      </c>
      <c r="U2490" s="64" t="n">
        <f aca="false">IF($K2490="Expected",$P2490,0)</f>
        <v>0</v>
      </c>
      <c r="V2490" s="64" t="n">
        <f aca="false">IF($K2490="Better",$P2490,0)</f>
        <v>0</v>
      </c>
      <c r="W2490" s="64" t="n">
        <f aca="false">IF($K2490="U – needs rule",$P2490,0)</f>
        <v>0</v>
      </c>
      <c r="X2490" s="64" t="n">
        <f aca="false">IF($K2490="No Start (attainment only)",$P2490,0)</f>
        <v>0</v>
      </c>
    </row>
    <row r="2491" customFormat="false" ht="15" hidden="false" customHeight="false" outlineLevel="0" collapsed="false">
      <c r="A2491" s="60"/>
      <c r="B2491" s="61" t="str">
        <f aca="false">IF($M2491=0,"",INDEX(Classes!$E$6:$E$420,$M2491))</f>
        <v/>
      </c>
      <c r="C2491" s="62" t="str">
        <f aca="false">IF($M2491=0,"",INDEX(Classes!$H$6:$H$420,$M2491))</f>
        <v/>
      </c>
      <c r="D2491" s="61" t="str">
        <f aca="false">IF($M2491=0,"",INDEX(Classes!$B$6:$B$420,$M2491))</f>
        <v/>
      </c>
      <c r="E2491" s="61" t="str">
        <f aca="false">IF($M2491=0,"",INDEX(Classes!$C$6:$C$420,$M2491))</f>
        <v/>
      </c>
      <c r="F2491" s="63"/>
      <c r="G2491" s="63"/>
      <c r="H2491" s="60"/>
      <c r="I2491" s="60"/>
      <c r="J2491" s="63"/>
      <c r="K2491" s="61" t="str">
        <f aca="false">IF($P2491=0,"",IF($F2491="Baseline","— Baseline",IF($O2491=0,"No result",IF($N2491=0,"No Start (attainment only)",IF(OR($N2491=1,$O2491=1),"U – needs rule",INDEX(MxBody,MATCH($I2491,MxCurr,0),MATCH($H2491,MxStart,0)))))))</f>
        <v/>
      </c>
      <c r="L2491" s="62" t="str">
        <f aca="false">IF(COUNTA($A2491,$F2491,$G2491,$H2491,$I2491,$J2491)=0,"",IF($M2491=0,"✖ كود الصف غير موجود",IF(ISNA(MATCH($F2491,Lists!$A$2:$A$5,0)),"✖ الفترة غير صحيحة",IF(ISNA(MATCH($G2491,Lists!$B$2:$B$7,0)),"✖ المجموعة غير صحيحة",IF(NOT(OR($H2491="",$N2491&gt;0)),"✖ Start غير صحيح",IF(NOT(OR($I2491="",$I2491="NR",$O2491&gt;0)),"✖ Current غير صحيح",IF(NOT(IF(ISNUMBER($J2491),AND($J2491&gt;=0,$J2491=INT($J2491)),FALSE())),"✖ العدد يجب أن يكون صحيحًا ≥ 0",IF(AND($F2491="Baseline",$H2491&lt;&gt;""),"⚠ Baseline: Start لا يدخل في التقدم",IF($K2491="No Start (attainment only)","ℹ تحصيل فقط (بدون Start)",IF($K2491="U – needs rule","ℹ حالة U تحتاج قاعدة معتمدة",IF($K2491="No result","ℹ بدون نتيجة (يُستبعد من التحصيل)","OK")))))))))))</f>
        <v/>
      </c>
      <c r="M2491" s="64" t="n">
        <f aca="false">IF($A2491="",0,IFERROR(MATCH($A2491,Classes!$A$6:$A$420,0),0))</f>
        <v>0</v>
      </c>
      <c r="N2491" s="64" t="n">
        <f aca="false">IF($H2491="",0,IFERROR(MATCH($H2491,GradeList,0),0))</f>
        <v>0</v>
      </c>
      <c r="O2491" s="64" t="n">
        <f aca="false">IF(OR($I2491="",$I2491="NR"),0,IFERROR(MATCH($I2491,GradeList,0),0))</f>
        <v>0</v>
      </c>
      <c r="P2491" s="64" t="n">
        <f aca="false">IF(AND($M2491&gt;0,ISNUMBER(MATCH($F2491,Lists!$A$2:$A$5,0)),ISNUMBER(MATCH($G2491,Lists!$B$2:$B$7,0)),OR($H2491="",$N2491&gt;0),OR($I2491="",$I2491="NR",$O2491&gt;0),IF(ISNUMBER($J2491),AND($J2491&gt;=0,$J2491=INT($J2491)),FALSE())),$J2491,0)</f>
        <v>0</v>
      </c>
      <c r="Q2491" s="64" t="n">
        <f aca="false">IF(AND($P2491&gt;0,$O2491&gt;0),$P2491,0)</f>
        <v>0</v>
      </c>
      <c r="R2491" s="64" t="n">
        <f aca="false">IF(AND($Q2491&gt;0,$O2491&gt;=AtRank),$Q2491,0)</f>
        <v>0</v>
      </c>
      <c r="S2491" s="64" t="n">
        <f aca="false">IF(AND($Q2491&gt;0,$O2491&gt;=AboveRank),$Q2491,0)</f>
        <v>0</v>
      </c>
      <c r="T2491" s="64" t="n">
        <f aca="false">IF($K2491="Less",$P2491,0)</f>
        <v>0</v>
      </c>
      <c r="U2491" s="64" t="n">
        <f aca="false">IF($K2491="Expected",$P2491,0)</f>
        <v>0</v>
      </c>
      <c r="V2491" s="64" t="n">
        <f aca="false">IF($K2491="Better",$P2491,0)</f>
        <v>0</v>
      </c>
      <c r="W2491" s="64" t="n">
        <f aca="false">IF($K2491="U – needs rule",$P2491,0)</f>
        <v>0</v>
      </c>
      <c r="X2491" s="64" t="n">
        <f aca="false">IF($K2491="No Start (attainment only)",$P2491,0)</f>
        <v>0</v>
      </c>
    </row>
    <row r="2492" customFormat="false" ht="15" hidden="false" customHeight="false" outlineLevel="0" collapsed="false">
      <c r="A2492" s="60"/>
      <c r="B2492" s="61" t="str">
        <f aca="false">IF($M2492=0,"",INDEX(Classes!$E$6:$E$420,$M2492))</f>
        <v/>
      </c>
      <c r="C2492" s="62" t="str">
        <f aca="false">IF($M2492=0,"",INDEX(Classes!$H$6:$H$420,$M2492))</f>
        <v/>
      </c>
      <c r="D2492" s="61" t="str">
        <f aca="false">IF($M2492=0,"",INDEX(Classes!$B$6:$B$420,$M2492))</f>
        <v/>
      </c>
      <c r="E2492" s="61" t="str">
        <f aca="false">IF($M2492=0,"",INDEX(Classes!$C$6:$C$420,$M2492))</f>
        <v/>
      </c>
      <c r="F2492" s="63"/>
      <c r="G2492" s="63"/>
      <c r="H2492" s="60"/>
      <c r="I2492" s="60"/>
      <c r="J2492" s="63"/>
      <c r="K2492" s="61" t="str">
        <f aca="false">IF($P2492=0,"",IF($F2492="Baseline","— Baseline",IF($O2492=0,"No result",IF($N2492=0,"No Start (attainment only)",IF(OR($N2492=1,$O2492=1),"U – needs rule",INDEX(MxBody,MATCH($I2492,MxCurr,0),MATCH($H2492,MxStart,0)))))))</f>
        <v/>
      </c>
      <c r="L2492" s="62" t="str">
        <f aca="false">IF(COUNTA($A2492,$F2492,$G2492,$H2492,$I2492,$J2492)=0,"",IF($M2492=0,"✖ كود الصف غير موجود",IF(ISNA(MATCH($F2492,Lists!$A$2:$A$5,0)),"✖ الفترة غير صحيحة",IF(ISNA(MATCH($G2492,Lists!$B$2:$B$7,0)),"✖ المجموعة غير صحيحة",IF(NOT(OR($H2492="",$N2492&gt;0)),"✖ Start غير صحيح",IF(NOT(OR($I2492="",$I2492="NR",$O2492&gt;0)),"✖ Current غير صحيح",IF(NOT(IF(ISNUMBER($J2492),AND($J2492&gt;=0,$J2492=INT($J2492)),FALSE())),"✖ العدد يجب أن يكون صحيحًا ≥ 0",IF(AND($F2492="Baseline",$H2492&lt;&gt;""),"⚠ Baseline: Start لا يدخل في التقدم",IF($K2492="No Start (attainment only)","ℹ تحصيل فقط (بدون Start)",IF($K2492="U – needs rule","ℹ حالة U تحتاج قاعدة معتمدة",IF($K2492="No result","ℹ بدون نتيجة (يُستبعد من التحصيل)","OK")))))))))))</f>
        <v/>
      </c>
      <c r="M2492" s="64" t="n">
        <f aca="false">IF($A2492="",0,IFERROR(MATCH($A2492,Classes!$A$6:$A$420,0),0))</f>
        <v>0</v>
      </c>
      <c r="N2492" s="64" t="n">
        <f aca="false">IF($H2492="",0,IFERROR(MATCH($H2492,GradeList,0),0))</f>
        <v>0</v>
      </c>
      <c r="O2492" s="64" t="n">
        <f aca="false">IF(OR($I2492="",$I2492="NR"),0,IFERROR(MATCH($I2492,GradeList,0),0))</f>
        <v>0</v>
      </c>
      <c r="P2492" s="64" t="n">
        <f aca="false">IF(AND($M2492&gt;0,ISNUMBER(MATCH($F2492,Lists!$A$2:$A$5,0)),ISNUMBER(MATCH($G2492,Lists!$B$2:$B$7,0)),OR($H2492="",$N2492&gt;0),OR($I2492="",$I2492="NR",$O2492&gt;0),IF(ISNUMBER($J2492),AND($J2492&gt;=0,$J2492=INT($J2492)),FALSE())),$J2492,0)</f>
        <v>0</v>
      </c>
      <c r="Q2492" s="64" t="n">
        <f aca="false">IF(AND($P2492&gt;0,$O2492&gt;0),$P2492,0)</f>
        <v>0</v>
      </c>
      <c r="R2492" s="64" t="n">
        <f aca="false">IF(AND($Q2492&gt;0,$O2492&gt;=AtRank),$Q2492,0)</f>
        <v>0</v>
      </c>
      <c r="S2492" s="64" t="n">
        <f aca="false">IF(AND($Q2492&gt;0,$O2492&gt;=AboveRank),$Q2492,0)</f>
        <v>0</v>
      </c>
      <c r="T2492" s="64" t="n">
        <f aca="false">IF($K2492="Less",$P2492,0)</f>
        <v>0</v>
      </c>
      <c r="U2492" s="64" t="n">
        <f aca="false">IF($K2492="Expected",$P2492,0)</f>
        <v>0</v>
      </c>
      <c r="V2492" s="64" t="n">
        <f aca="false">IF($K2492="Better",$P2492,0)</f>
        <v>0</v>
      </c>
      <c r="W2492" s="64" t="n">
        <f aca="false">IF($K2492="U – needs rule",$P2492,0)</f>
        <v>0</v>
      </c>
      <c r="X2492" s="64" t="n">
        <f aca="false">IF($K2492="No Start (attainment only)",$P2492,0)</f>
        <v>0</v>
      </c>
    </row>
    <row r="2493" customFormat="false" ht="15" hidden="false" customHeight="false" outlineLevel="0" collapsed="false">
      <c r="A2493" s="60"/>
      <c r="B2493" s="61" t="str">
        <f aca="false">IF($M2493=0,"",INDEX(Classes!$E$6:$E$420,$M2493))</f>
        <v/>
      </c>
      <c r="C2493" s="62" t="str">
        <f aca="false">IF($M2493=0,"",INDEX(Classes!$H$6:$H$420,$M2493))</f>
        <v/>
      </c>
      <c r="D2493" s="61" t="str">
        <f aca="false">IF($M2493=0,"",INDEX(Classes!$B$6:$B$420,$M2493))</f>
        <v/>
      </c>
      <c r="E2493" s="61" t="str">
        <f aca="false">IF($M2493=0,"",INDEX(Classes!$C$6:$C$420,$M2493))</f>
        <v/>
      </c>
      <c r="F2493" s="63"/>
      <c r="G2493" s="63"/>
      <c r="H2493" s="60"/>
      <c r="I2493" s="60"/>
      <c r="J2493" s="63"/>
      <c r="K2493" s="61" t="str">
        <f aca="false">IF($P2493=0,"",IF($F2493="Baseline","— Baseline",IF($O2493=0,"No result",IF($N2493=0,"No Start (attainment only)",IF(OR($N2493=1,$O2493=1),"U – needs rule",INDEX(MxBody,MATCH($I2493,MxCurr,0),MATCH($H2493,MxStart,0)))))))</f>
        <v/>
      </c>
      <c r="L2493" s="62" t="str">
        <f aca="false">IF(COUNTA($A2493,$F2493,$G2493,$H2493,$I2493,$J2493)=0,"",IF($M2493=0,"✖ كود الصف غير موجود",IF(ISNA(MATCH($F2493,Lists!$A$2:$A$5,0)),"✖ الفترة غير صحيحة",IF(ISNA(MATCH($G2493,Lists!$B$2:$B$7,0)),"✖ المجموعة غير صحيحة",IF(NOT(OR($H2493="",$N2493&gt;0)),"✖ Start غير صحيح",IF(NOT(OR($I2493="",$I2493="NR",$O2493&gt;0)),"✖ Current غير صحيح",IF(NOT(IF(ISNUMBER($J2493),AND($J2493&gt;=0,$J2493=INT($J2493)),FALSE())),"✖ العدد يجب أن يكون صحيحًا ≥ 0",IF(AND($F2493="Baseline",$H2493&lt;&gt;""),"⚠ Baseline: Start لا يدخل في التقدم",IF($K2493="No Start (attainment only)","ℹ تحصيل فقط (بدون Start)",IF($K2493="U – needs rule","ℹ حالة U تحتاج قاعدة معتمدة",IF($K2493="No result","ℹ بدون نتيجة (يُستبعد من التحصيل)","OK")))))))))))</f>
        <v/>
      </c>
      <c r="M2493" s="64" t="n">
        <f aca="false">IF($A2493="",0,IFERROR(MATCH($A2493,Classes!$A$6:$A$420,0),0))</f>
        <v>0</v>
      </c>
      <c r="N2493" s="64" t="n">
        <f aca="false">IF($H2493="",0,IFERROR(MATCH($H2493,GradeList,0),0))</f>
        <v>0</v>
      </c>
      <c r="O2493" s="64" t="n">
        <f aca="false">IF(OR($I2493="",$I2493="NR"),0,IFERROR(MATCH($I2493,GradeList,0),0))</f>
        <v>0</v>
      </c>
      <c r="P2493" s="64" t="n">
        <f aca="false">IF(AND($M2493&gt;0,ISNUMBER(MATCH($F2493,Lists!$A$2:$A$5,0)),ISNUMBER(MATCH($G2493,Lists!$B$2:$B$7,0)),OR($H2493="",$N2493&gt;0),OR($I2493="",$I2493="NR",$O2493&gt;0),IF(ISNUMBER($J2493),AND($J2493&gt;=0,$J2493=INT($J2493)),FALSE())),$J2493,0)</f>
        <v>0</v>
      </c>
      <c r="Q2493" s="64" t="n">
        <f aca="false">IF(AND($P2493&gt;0,$O2493&gt;0),$P2493,0)</f>
        <v>0</v>
      </c>
      <c r="R2493" s="64" t="n">
        <f aca="false">IF(AND($Q2493&gt;0,$O2493&gt;=AtRank),$Q2493,0)</f>
        <v>0</v>
      </c>
      <c r="S2493" s="64" t="n">
        <f aca="false">IF(AND($Q2493&gt;0,$O2493&gt;=AboveRank),$Q2493,0)</f>
        <v>0</v>
      </c>
      <c r="T2493" s="64" t="n">
        <f aca="false">IF($K2493="Less",$P2493,0)</f>
        <v>0</v>
      </c>
      <c r="U2493" s="64" t="n">
        <f aca="false">IF($K2493="Expected",$P2493,0)</f>
        <v>0</v>
      </c>
      <c r="V2493" s="64" t="n">
        <f aca="false">IF($K2493="Better",$P2493,0)</f>
        <v>0</v>
      </c>
      <c r="W2493" s="64" t="n">
        <f aca="false">IF($K2493="U – needs rule",$P2493,0)</f>
        <v>0</v>
      </c>
      <c r="X2493" s="64" t="n">
        <f aca="false">IF($K2493="No Start (attainment only)",$P2493,0)</f>
        <v>0</v>
      </c>
    </row>
    <row r="2494" customFormat="false" ht="15" hidden="false" customHeight="false" outlineLevel="0" collapsed="false">
      <c r="A2494" s="60"/>
      <c r="B2494" s="61" t="str">
        <f aca="false">IF($M2494=0,"",INDEX(Classes!$E$6:$E$420,$M2494))</f>
        <v/>
      </c>
      <c r="C2494" s="62" t="str">
        <f aca="false">IF($M2494=0,"",INDEX(Classes!$H$6:$H$420,$M2494))</f>
        <v/>
      </c>
      <c r="D2494" s="61" t="str">
        <f aca="false">IF($M2494=0,"",INDEX(Classes!$B$6:$B$420,$M2494))</f>
        <v/>
      </c>
      <c r="E2494" s="61" t="str">
        <f aca="false">IF($M2494=0,"",INDEX(Classes!$C$6:$C$420,$M2494))</f>
        <v/>
      </c>
      <c r="F2494" s="63"/>
      <c r="G2494" s="63"/>
      <c r="H2494" s="60"/>
      <c r="I2494" s="60"/>
      <c r="J2494" s="63"/>
      <c r="K2494" s="61" t="str">
        <f aca="false">IF($P2494=0,"",IF($F2494="Baseline","— Baseline",IF($O2494=0,"No result",IF($N2494=0,"No Start (attainment only)",IF(OR($N2494=1,$O2494=1),"U – needs rule",INDEX(MxBody,MATCH($I2494,MxCurr,0),MATCH($H2494,MxStart,0)))))))</f>
        <v/>
      </c>
      <c r="L2494" s="62" t="str">
        <f aca="false">IF(COUNTA($A2494,$F2494,$G2494,$H2494,$I2494,$J2494)=0,"",IF($M2494=0,"✖ كود الصف غير موجود",IF(ISNA(MATCH($F2494,Lists!$A$2:$A$5,0)),"✖ الفترة غير صحيحة",IF(ISNA(MATCH($G2494,Lists!$B$2:$B$7,0)),"✖ المجموعة غير صحيحة",IF(NOT(OR($H2494="",$N2494&gt;0)),"✖ Start غير صحيح",IF(NOT(OR($I2494="",$I2494="NR",$O2494&gt;0)),"✖ Current غير صحيح",IF(NOT(IF(ISNUMBER($J2494),AND($J2494&gt;=0,$J2494=INT($J2494)),FALSE())),"✖ العدد يجب أن يكون صحيحًا ≥ 0",IF(AND($F2494="Baseline",$H2494&lt;&gt;""),"⚠ Baseline: Start لا يدخل في التقدم",IF($K2494="No Start (attainment only)","ℹ تحصيل فقط (بدون Start)",IF($K2494="U – needs rule","ℹ حالة U تحتاج قاعدة معتمدة",IF($K2494="No result","ℹ بدون نتيجة (يُستبعد من التحصيل)","OK")))))))))))</f>
        <v/>
      </c>
      <c r="M2494" s="64" t="n">
        <f aca="false">IF($A2494="",0,IFERROR(MATCH($A2494,Classes!$A$6:$A$420,0),0))</f>
        <v>0</v>
      </c>
      <c r="N2494" s="64" t="n">
        <f aca="false">IF($H2494="",0,IFERROR(MATCH($H2494,GradeList,0),0))</f>
        <v>0</v>
      </c>
      <c r="O2494" s="64" t="n">
        <f aca="false">IF(OR($I2494="",$I2494="NR"),0,IFERROR(MATCH($I2494,GradeList,0),0))</f>
        <v>0</v>
      </c>
      <c r="P2494" s="64" t="n">
        <f aca="false">IF(AND($M2494&gt;0,ISNUMBER(MATCH($F2494,Lists!$A$2:$A$5,0)),ISNUMBER(MATCH($G2494,Lists!$B$2:$B$7,0)),OR($H2494="",$N2494&gt;0),OR($I2494="",$I2494="NR",$O2494&gt;0),IF(ISNUMBER($J2494),AND($J2494&gt;=0,$J2494=INT($J2494)),FALSE())),$J2494,0)</f>
        <v>0</v>
      </c>
      <c r="Q2494" s="64" t="n">
        <f aca="false">IF(AND($P2494&gt;0,$O2494&gt;0),$P2494,0)</f>
        <v>0</v>
      </c>
      <c r="R2494" s="64" t="n">
        <f aca="false">IF(AND($Q2494&gt;0,$O2494&gt;=AtRank),$Q2494,0)</f>
        <v>0</v>
      </c>
      <c r="S2494" s="64" t="n">
        <f aca="false">IF(AND($Q2494&gt;0,$O2494&gt;=AboveRank),$Q2494,0)</f>
        <v>0</v>
      </c>
      <c r="T2494" s="64" t="n">
        <f aca="false">IF($K2494="Less",$P2494,0)</f>
        <v>0</v>
      </c>
      <c r="U2494" s="64" t="n">
        <f aca="false">IF($K2494="Expected",$P2494,0)</f>
        <v>0</v>
      </c>
      <c r="V2494" s="64" t="n">
        <f aca="false">IF($K2494="Better",$P2494,0)</f>
        <v>0</v>
      </c>
      <c r="W2494" s="64" t="n">
        <f aca="false">IF($K2494="U – needs rule",$P2494,0)</f>
        <v>0</v>
      </c>
      <c r="X2494" s="64" t="n">
        <f aca="false">IF($K2494="No Start (attainment only)",$P2494,0)</f>
        <v>0</v>
      </c>
    </row>
    <row r="2495" customFormat="false" ht="15" hidden="false" customHeight="false" outlineLevel="0" collapsed="false">
      <c r="A2495" s="60"/>
      <c r="B2495" s="61" t="str">
        <f aca="false">IF($M2495=0,"",INDEX(Classes!$E$6:$E$420,$M2495))</f>
        <v/>
      </c>
      <c r="C2495" s="62" t="str">
        <f aca="false">IF($M2495=0,"",INDEX(Classes!$H$6:$H$420,$M2495))</f>
        <v/>
      </c>
      <c r="D2495" s="61" t="str">
        <f aca="false">IF($M2495=0,"",INDEX(Classes!$B$6:$B$420,$M2495))</f>
        <v/>
      </c>
      <c r="E2495" s="61" t="str">
        <f aca="false">IF($M2495=0,"",INDEX(Classes!$C$6:$C$420,$M2495))</f>
        <v/>
      </c>
      <c r="F2495" s="63"/>
      <c r="G2495" s="63"/>
      <c r="H2495" s="60"/>
      <c r="I2495" s="60"/>
      <c r="J2495" s="63"/>
      <c r="K2495" s="61" t="str">
        <f aca="false">IF($P2495=0,"",IF($F2495="Baseline","— Baseline",IF($O2495=0,"No result",IF($N2495=0,"No Start (attainment only)",IF(OR($N2495=1,$O2495=1),"U – needs rule",INDEX(MxBody,MATCH($I2495,MxCurr,0),MATCH($H2495,MxStart,0)))))))</f>
        <v/>
      </c>
      <c r="L2495" s="62" t="str">
        <f aca="false">IF(COUNTA($A2495,$F2495,$G2495,$H2495,$I2495,$J2495)=0,"",IF($M2495=0,"✖ كود الصف غير موجود",IF(ISNA(MATCH($F2495,Lists!$A$2:$A$5,0)),"✖ الفترة غير صحيحة",IF(ISNA(MATCH($G2495,Lists!$B$2:$B$7,0)),"✖ المجموعة غير صحيحة",IF(NOT(OR($H2495="",$N2495&gt;0)),"✖ Start غير صحيح",IF(NOT(OR($I2495="",$I2495="NR",$O2495&gt;0)),"✖ Current غير صحيح",IF(NOT(IF(ISNUMBER($J2495),AND($J2495&gt;=0,$J2495=INT($J2495)),FALSE())),"✖ العدد يجب أن يكون صحيحًا ≥ 0",IF(AND($F2495="Baseline",$H2495&lt;&gt;""),"⚠ Baseline: Start لا يدخل في التقدم",IF($K2495="No Start (attainment only)","ℹ تحصيل فقط (بدون Start)",IF($K2495="U – needs rule","ℹ حالة U تحتاج قاعدة معتمدة",IF($K2495="No result","ℹ بدون نتيجة (يُستبعد من التحصيل)","OK")))))))))))</f>
        <v/>
      </c>
      <c r="M2495" s="64" t="n">
        <f aca="false">IF($A2495="",0,IFERROR(MATCH($A2495,Classes!$A$6:$A$420,0),0))</f>
        <v>0</v>
      </c>
      <c r="N2495" s="64" t="n">
        <f aca="false">IF($H2495="",0,IFERROR(MATCH($H2495,GradeList,0),0))</f>
        <v>0</v>
      </c>
      <c r="O2495" s="64" t="n">
        <f aca="false">IF(OR($I2495="",$I2495="NR"),0,IFERROR(MATCH($I2495,GradeList,0),0))</f>
        <v>0</v>
      </c>
      <c r="P2495" s="64" t="n">
        <f aca="false">IF(AND($M2495&gt;0,ISNUMBER(MATCH($F2495,Lists!$A$2:$A$5,0)),ISNUMBER(MATCH($G2495,Lists!$B$2:$B$7,0)),OR($H2495="",$N2495&gt;0),OR($I2495="",$I2495="NR",$O2495&gt;0),IF(ISNUMBER($J2495),AND($J2495&gt;=0,$J2495=INT($J2495)),FALSE())),$J2495,0)</f>
        <v>0</v>
      </c>
      <c r="Q2495" s="64" t="n">
        <f aca="false">IF(AND($P2495&gt;0,$O2495&gt;0),$P2495,0)</f>
        <v>0</v>
      </c>
      <c r="R2495" s="64" t="n">
        <f aca="false">IF(AND($Q2495&gt;0,$O2495&gt;=AtRank),$Q2495,0)</f>
        <v>0</v>
      </c>
      <c r="S2495" s="64" t="n">
        <f aca="false">IF(AND($Q2495&gt;0,$O2495&gt;=AboveRank),$Q2495,0)</f>
        <v>0</v>
      </c>
      <c r="T2495" s="64" t="n">
        <f aca="false">IF($K2495="Less",$P2495,0)</f>
        <v>0</v>
      </c>
      <c r="U2495" s="64" t="n">
        <f aca="false">IF($K2495="Expected",$P2495,0)</f>
        <v>0</v>
      </c>
      <c r="V2495" s="64" t="n">
        <f aca="false">IF($K2495="Better",$P2495,0)</f>
        <v>0</v>
      </c>
      <c r="W2495" s="64" t="n">
        <f aca="false">IF($K2495="U – needs rule",$P2495,0)</f>
        <v>0</v>
      </c>
      <c r="X2495" s="64" t="n">
        <f aca="false">IF($K2495="No Start (attainment only)",$P2495,0)</f>
        <v>0</v>
      </c>
    </row>
    <row r="2496" customFormat="false" ht="15" hidden="false" customHeight="false" outlineLevel="0" collapsed="false">
      <c r="A2496" s="60"/>
      <c r="B2496" s="61" t="str">
        <f aca="false">IF($M2496=0,"",INDEX(Classes!$E$6:$E$420,$M2496))</f>
        <v/>
      </c>
      <c r="C2496" s="62" t="str">
        <f aca="false">IF($M2496=0,"",INDEX(Classes!$H$6:$H$420,$M2496))</f>
        <v/>
      </c>
      <c r="D2496" s="61" t="str">
        <f aca="false">IF($M2496=0,"",INDEX(Classes!$B$6:$B$420,$M2496))</f>
        <v/>
      </c>
      <c r="E2496" s="61" t="str">
        <f aca="false">IF($M2496=0,"",INDEX(Classes!$C$6:$C$420,$M2496))</f>
        <v/>
      </c>
      <c r="F2496" s="63"/>
      <c r="G2496" s="63"/>
      <c r="H2496" s="60"/>
      <c r="I2496" s="60"/>
      <c r="J2496" s="63"/>
      <c r="K2496" s="61" t="str">
        <f aca="false">IF($P2496=0,"",IF($F2496="Baseline","— Baseline",IF($O2496=0,"No result",IF($N2496=0,"No Start (attainment only)",IF(OR($N2496=1,$O2496=1),"U – needs rule",INDEX(MxBody,MATCH($I2496,MxCurr,0),MATCH($H2496,MxStart,0)))))))</f>
        <v/>
      </c>
      <c r="L2496" s="62" t="str">
        <f aca="false">IF(COUNTA($A2496,$F2496,$G2496,$H2496,$I2496,$J2496)=0,"",IF($M2496=0,"✖ كود الصف غير موجود",IF(ISNA(MATCH($F2496,Lists!$A$2:$A$5,0)),"✖ الفترة غير صحيحة",IF(ISNA(MATCH($G2496,Lists!$B$2:$B$7,0)),"✖ المجموعة غير صحيحة",IF(NOT(OR($H2496="",$N2496&gt;0)),"✖ Start غير صحيح",IF(NOT(OR($I2496="",$I2496="NR",$O2496&gt;0)),"✖ Current غير صحيح",IF(NOT(IF(ISNUMBER($J2496),AND($J2496&gt;=0,$J2496=INT($J2496)),FALSE())),"✖ العدد يجب أن يكون صحيحًا ≥ 0",IF(AND($F2496="Baseline",$H2496&lt;&gt;""),"⚠ Baseline: Start لا يدخل في التقدم",IF($K2496="No Start (attainment only)","ℹ تحصيل فقط (بدون Start)",IF($K2496="U – needs rule","ℹ حالة U تحتاج قاعدة معتمدة",IF($K2496="No result","ℹ بدون نتيجة (يُستبعد من التحصيل)","OK")))))))))))</f>
        <v/>
      </c>
      <c r="M2496" s="64" t="n">
        <f aca="false">IF($A2496="",0,IFERROR(MATCH($A2496,Classes!$A$6:$A$420,0),0))</f>
        <v>0</v>
      </c>
      <c r="N2496" s="64" t="n">
        <f aca="false">IF($H2496="",0,IFERROR(MATCH($H2496,GradeList,0),0))</f>
        <v>0</v>
      </c>
      <c r="O2496" s="64" t="n">
        <f aca="false">IF(OR($I2496="",$I2496="NR"),0,IFERROR(MATCH($I2496,GradeList,0),0))</f>
        <v>0</v>
      </c>
      <c r="P2496" s="64" t="n">
        <f aca="false">IF(AND($M2496&gt;0,ISNUMBER(MATCH($F2496,Lists!$A$2:$A$5,0)),ISNUMBER(MATCH($G2496,Lists!$B$2:$B$7,0)),OR($H2496="",$N2496&gt;0),OR($I2496="",$I2496="NR",$O2496&gt;0),IF(ISNUMBER($J2496),AND($J2496&gt;=0,$J2496=INT($J2496)),FALSE())),$J2496,0)</f>
        <v>0</v>
      </c>
      <c r="Q2496" s="64" t="n">
        <f aca="false">IF(AND($P2496&gt;0,$O2496&gt;0),$P2496,0)</f>
        <v>0</v>
      </c>
      <c r="R2496" s="64" t="n">
        <f aca="false">IF(AND($Q2496&gt;0,$O2496&gt;=AtRank),$Q2496,0)</f>
        <v>0</v>
      </c>
      <c r="S2496" s="64" t="n">
        <f aca="false">IF(AND($Q2496&gt;0,$O2496&gt;=AboveRank),$Q2496,0)</f>
        <v>0</v>
      </c>
      <c r="T2496" s="64" t="n">
        <f aca="false">IF($K2496="Less",$P2496,0)</f>
        <v>0</v>
      </c>
      <c r="U2496" s="64" t="n">
        <f aca="false">IF($K2496="Expected",$P2496,0)</f>
        <v>0</v>
      </c>
      <c r="V2496" s="64" t="n">
        <f aca="false">IF($K2496="Better",$P2496,0)</f>
        <v>0</v>
      </c>
      <c r="W2496" s="64" t="n">
        <f aca="false">IF($K2496="U – needs rule",$P2496,0)</f>
        <v>0</v>
      </c>
      <c r="X2496" s="64" t="n">
        <f aca="false">IF($K2496="No Start (attainment only)",$P2496,0)</f>
        <v>0</v>
      </c>
    </row>
    <row r="2497" customFormat="false" ht="15" hidden="false" customHeight="false" outlineLevel="0" collapsed="false">
      <c r="A2497" s="60"/>
      <c r="B2497" s="61" t="str">
        <f aca="false">IF($M2497=0,"",INDEX(Classes!$E$6:$E$420,$M2497))</f>
        <v/>
      </c>
      <c r="C2497" s="62" t="str">
        <f aca="false">IF($M2497=0,"",INDEX(Classes!$H$6:$H$420,$M2497))</f>
        <v/>
      </c>
      <c r="D2497" s="61" t="str">
        <f aca="false">IF($M2497=0,"",INDEX(Classes!$B$6:$B$420,$M2497))</f>
        <v/>
      </c>
      <c r="E2497" s="61" t="str">
        <f aca="false">IF($M2497=0,"",INDEX(Classes!$C$6:$C$420,$M2497))</f>
        <v/>
      </c>
      <c r="F2497" s="63"/>
      <c r="G2497" s="63"/>
      <c r="H2497" s="60"/>
      <c r="I2497" s="60"/>
      <c r="J2497" s="63"/>
      <c r="K2497" s="61" t="str">
        <f aca="false">IF($P2497=0,"",IF($F2497="Baseline","— Baseline",IF($O2497=0,"No result",IF($N2497=0,"No Start (attainment only)",IF(OR($N2497=1,$O2497=1),"U – needs rule",INDEX(MxBody,MATCH($I2497,MxCurr,0),MATCH($H2497,MxStart,0)))))))</f>
        <v/>
      </c>
      <c r="L2497" s="62" t="str">
        <f aca="false">IF(COUNTA($A2497,$F2497,$G2497,$H2497,$I2497,$J2497)=0,"",IF($M2497=0,"✖ كود الصف غير موجود",IF(ISNA(MATCH($F2497,Lists!$A$2:$A$5,0)),"✖ الفترة غير صحيحة",IF(ISNA(MATCH($G2497,Lists!$B$2:$B$7,0)),"✖ المجموعة غير صحيحة",IF(NOT(OR($H2497="",$N2497&gt;0)),"✖ Start غير صحيح",IF(NOT(OR($I2497="",$I2497="NR",$O2497&gt;0)),"✖ Current غير صحيح",IF(NOT(IF(ISNUMBER($J2497),AND($J2497&gt;=0,$J2497=INT($J2497)),FALSE())),"✖ العدد يجب أن يكون صحيحًا ≥ 0",IF(AND($F2497="Baseline",$H2497&lt;&gt;""),"⚠ Baseline: Start لا يدخل في التقدم",IF($K2497="No Start (attainment only)","ℹ تحصيل فقط (بدون Start)",IF($K2497="U – needs rule","ℹ حالة U تحتاج قاعدة معتمدة",IF($K2497="No result","ℹ بدون نتيجة (يُستبعد من التحصيل)","OK")))))))))))</f>
        <v/>
      </c>
      <c r="M2497" s="64" t="n">
        <f aca="false">IF($A2497="",0,IFERROR(MATCH($A2497,Classes!$A$6:$A$420,0),0))</f>
        <v>0</v>
      </c>
      <c r="N2497" s="64" t="n">
        <f aca="false">IF($H2497="",0,IFERROR(MATCH($H2497,GradeList,0),0))</f>
        <v>0</v>
      </c>
      <c r="O2497" s="64" t="n">
        <f aca="false">IF(OR($I2497="",$I2497="NR"),0,IFERROR(MATCH($I2497,GradeList,0),0))</f>
        <v>0</v>
      </c>
      <c r="P2497" s="64" t="n">
        <f aca="false">IF(AND($M2497&gt;0,ISNUMBER(MATCH($F2497,Lists!$A$2:$A$5,0)),ISNUMBER(MATCH($G2497,Lists!$B$2:$B$7,0)),OR($H2497="",$N2497&gt;0),OR($I2497="",$I2497="NR",$O2497&gt;0),IF(ISNUMBER($J2497),AND($J2497&gt;=0,$J2497=INT($J2497)),FALSE())),$J2497,0)</f>
        <v>0</v>
      </c>
      <c r="Q2497" s="64" t="n">
        <f aca="false">IF(AND($P2497&gt;0,$O2497&gt;0),$P2497,0)</f>
        <v>0</v>
      </c>
      <c r="R2497" s="64" t="n">
        <f aca="false">IF(AND($Q2497&gt;0,$O2497&gt;=AtRank),$Q2497,0)</f>
        <v>0</v>
      </c>
      <c r="S2497" s="64" t="n">
        <f aca="false">IF(AND($Q2497&gt;0,$O2497&gt;=AboveRank),$Q2497,0)</f>
        <v>0</v>
      </c>
      <c r="T2497" s="64" t="n">
        <f aca="false">IF($K2497="Less",$P2497,0)</f>
        <v>0</v>
      </c>
      <c r="U2497" s="64" t="n">
        <f aca="false">IF($K2497="Expected",$P2497,0)</f>
        <v>0</v>
      </c>
      <c r="V2497" s="64" t="n">
        <f aca="false">IF($K2497="Better",$P2497,0)</f>
        <v>0</v>
      </c>
      <c r="W2497" s="64" t="n">
        <f aca="false">IF($K2497="U – needs rule",$P2497,0)</f>
        <v>0</v>
      </c>
      <c r="X2497" s="64" t="n">
        <f aca="false">IF($K2497="No Start (attainment only)",$P2497,0)</f>
        <v>0</v>
      </c>
    </row>
    <row r="2498" customFormat="false" ht="15" hidden="false" customHeight="false" outlineLevel="0" collapsed="false">
      <c r="A2498" s="60"/>
      <c r="B2498" s="61" t="str">
        <f aca="false">IF($M2498=0,"",INDEX(Classes!$E$6:$E$420,$M2498))</f>
        <v/>
      </c>
      <c r="C2498" s="62" t="str">
        <f aca="false">IF($M2498=0,"",INDEX(Classes!$H$6:$H$420,$M2498))</f>
        <v/>
      </c>
      <c r="D2498" s="61" t="str">
        <f aca="false">IF($M2498=0,"",INDEX(Classes!$B$6:$B$420,$M2498))</f>
        <v/>
      </c>
      <c r="E2498" s="61" t="str">
        <f aca="false">IF($M2498=0,"",INDEX(Classes!$C$6:$C$420,$M2498))</f>
        <v/>
      </c>
      <c r="F2498" s="63"/>
      <c r="G2498" s="63"/>
      <c r="H2498" s="60"/>
      <c r="I2498" s="60"/>
      <c r="J2498" s="63"/>
      <c r="K2498" s="61" t="str">
        <f aca="false">IF($P2498=0,"",IF($F2498="Baseline","— Baseline",IF($O2498=0,"No result",IF($N2498=0,"No Start (attainment only)",IF(OR($N2498=1,$O2498=1),"U – needs rule",INDEX(MxBody,MATCH($I2498,MxCurr,0),MATCH($H2498,MxStart,0)))))))</f>
        <v/>
      </c>
      <c r="L2498" s="62" t="str">
        <f aca="false">IF(COUNTA($A2498,$F2498,$G2498,$H2498,$I2498,$J2498)=0,"",IF($M2498=0,"✖ كود الصف غير موجود",IF(ISNA(MATCH($F2498,Lists!$A$2:$A$5,0)),"✖ الفترة غير صحيحة",IF(ISNA(MATCH($G2498,Lists!$B$2:$B$7,0)),"✖ المجموعة غير صحيحة",IF(NOT(OR($H2498="",$N2498&gt;0)),"✖ Start غير صحيح",IF(NOT(OR($I2498="",$I2498="NR",$O2498&gt;0)),"✖ Current غير صحيح",IF(NOT(IF(ISNUMBER($J2498),AND($J2498&gt;=0,$J2498=INT($J2498)),FALSE())),"✖ العدد يجب أن يكون صحيحًا ≥ 0",IF(AND($F2498="Baseline",$H2498&lt;&gt;""),"⚠ Baseline: Start لا يدخل في التقدم",IF($K2498="No Start (attainment only)","ℹ تحصيل فقط (بدون Start)",IF($K2498="U – needs rule","ℹ حالة U تحتاج قاعدة معتمدة",IF($K2498="No result","ℹ بدون نتيجة (يُستبعد من التحصيل)","OK")))))))))))</f>
        <v/>
      </c>
      <c r="M2498" s="64" t="n">
        <f aca="false">IF($A2498="",0,IFERROR(MATCH($A2498,Classes!$A$6:$A$420,0),0))</f>
        <v>0</v>
      </c>
      <c r="N2498" s="64" t="n">
        <f aca="false">IF($H2498="",0,IFERROR(MATCH($H2498,GradeList,0),0))</f>
        <v>0</v>
      </c>
      <c r="O2498" s="64" t="n">
        <f aca="false">IF(OR($I2498="",$I2498="NR"),0,IFERROR(MATCH($I2498,GradeList,0),0))</f>
        <v>0</v>
      </c>
      <c r="P2498" s="64" t="n">
        <f aca="false">IF(AND($M2498&gt;0,ISNUMBER(MATCH($F2498,Lists!$A$2:$A$5,0)),ISNUMBER(MATCH($G2498,Lists!$B$2:$B$7,0)),OR($H2498="",$N2498&gt;0),OR($I2498="",$I2498="NR",$O2498&gt;0),IF(ISNUMBER($J2498),AND($J2498&gt;=0,$J2498=INT($J2498)),FALSE())),$J2498,0)</f>
        <v>0</v>
      </c>
      <c r="Q2498" s="64" t="n">
        <f aca="false">IF(AND($P2498&gt;0,$O2498&gt;0),$P2498,0)</f>
        <v>0</v>
      </c>
      <c r="R2498" s="64" t="n">
        <f aca="false">IF(AND($Q2498&gt;0,$O2498&gt;=AtRank),$Q2498,0)</f>
        <v>0</v>
      </c>
      <c r="S2498" s="64" t="n">
        <f aca="false">IF(AND($Q2498&gt;0,$O2498&gt;=AboveRank),$Q2498,0)</f>
        <v>0</v>
      </c>
      <c r="T2498" s="64" t="n">
        <f aca="false">IF($K2498="Less",$P2498,0)</f>
        <v>0</v>
      </c>
      <c r="U2498" s="64" t="n">
        <f aca="false">IF($K2498="Expected",$P2498,0)</f>
        <v>0</v>
      </c>
      <c r="V2498" s="64" t="n">
        <f aca="false">IF($K2498="Better",$P2498,0)</f>
        <v>0</v>
      </c>
      <c r="W2498" s="64" t="n">
        <f aca="false">IF($K2498="U – needs rule",$P2498,0)</f>
        <v>0</v>
      </c>
      <c r="X2498" s="64" t="n">
        <f aca="false">IF($K2498="No Start (attainment only)",$P2498,0)</f>
        <v>0</v>
      </c>
    </row>
    <row r="2499" customFormat="false" ht="15" hidden="false" customHeight="false" outlineLevel="0" collapsed="false">
      <c r="A2499" s="60"/>
      <c r="B2499" s="61" t="str">
        <f aca="false">IF($M2499=0,"",INDEX(Classes!$E$6:$E$420,$M2499))</f>
        <v/>
      </c>
      <c r="C2499" s="62" t="str">
        <f aca="false">IF($M2499=0,"",INDEX(Classes!$H$6:$H$420,$M2499))</f>
        <v/>
      </c>
      <c r="D2499" s="61" t="str">
        <f aca="false">IF($M2499=0,"",INDEX(Classes!$B$6:$B$420,$M2499))</f>
        <v/>
      </c>
      <c r="E2499" s="61" t="str">
        <f aca="false">IF($M2499=0,"",INDEX(Classes!$C$6:$C$420,$M2499))</f>
        <v/>
      </c>
      <c r="F2499" s="63"/>
      <c r="G2499" s="63"/>
      <c r="H2499" s="60"/>
      <c r="I2499" s="60"/>
      <c r="J2499" s="63"/>
      <c r="K2499" s="61" t="str">
        <f aca="false">IF($P2499=0,"",IF($F2499="Baseline","— Baseline",IF($O2499=0,"No result",IF($N2499=0,"No Start (attainment only)",IF(OR($N2499=1,$O2499=1),"U – needs rule",INDEX(MxBody,MATCH($I2499,MxCurr,0),MATCH($H2499,MxStart,0)))))))</f>
        <v/>
      </c>
      <c r="L2499" s="62" t="str">
        <f aca="false">IF(COUNTA($A2499,$F2499,$G2499,$H2499,$I2499,$J2499)=0,"",IF($M2499=0,"✖ كود الصف غير موجود",IF(ISNA(MATCH($F2499,Lists!$A$2:$A$5,0)),"✖ الفترة غير صحيحة",IF(ISNA(MATCH($G2499,Lists!$B$2:$B$7,0)),"✖ المجموعة غير صحيحة",IF(NOT(OR($H2499="",$N2499&gt;0)),"✖ Start غير صحيح",IF(NOT(OR($I2499="",$I2499="NR",$O2499&gt;0)),"✖ Current غير صحيح",IF(NOT(IF(ISNUMBER($J2499),AND($J2499&gt;=0,$J2499=INT($J2499)),FALSE())),"✖ العدد يجب أن يكون صحيحًا ≥ 0",IF(AND($F2499="Baseline",$H2499&lt;&gt;""),"⚠ Baseline: Start لا يدخل في التقدم",IF($K2499="No Start (attainment only)","ℹ تحصيل فقط (بدون Start)",IF($K2499="U – needs rule","ℹ حالة U تحتاج قاعدة معتمدة",IF($K2499="No result","ℹ بدون نتيجة (يُستبعد من التحصيل)","OK")))))))))))</f>
        <v/>
      </c>
      <c r="M2499" s="64" t="n">
        <f aca="false">IF($A2499="",0,IFERROR(MATCH($A2499,Classes!$A$6:$A$420,0),0))</f>
        <v>0</v>
      </c>
      <c r="N2499" s="64" t="n">
        <f aca="false">IF($H2499="",0,IFERROR(MATCH($H2499,GradeList,0),0))</f>
        <v>0</v>
      </c>
      <c r="O2499" s="64" t="n">
        <f aca="false">IF(OR($I2499="",$I2499="NR"),0,IFERROR(MATCH($I2499,GradeList,0),0))</f>
        <v>0</v>
      </c>
      <c r="P2499" s="64" t="n">
        <f aca="false">IF(AND($M2499&gt;0,ISNUMBER(MATCH($F2499,Lists!$A$2:$A$5,0)),ISNUMBER(MATCH($G2499,Lists!$B$2:$B$7,0)),OR($H2499="",$N2499&gt;0),OR($I2499="",$I2499="NR",$O2499&gt;0),IF(ISNUMBER($J2499),AND($J2499&gt;=0,$J2499=INT($J2499)),FALSE())),$J2499,0)</f>
        <v>0</v>
      </c>
      <c r="Q2499" s="64" t="n">
        <f aca="false">IF(AND($P2499&gt;0,$O2499&gt;0),$P2499,0)</f>
        <v>0</v>
      </c>
      <c r="R2499" s="64" t="n">
        <f aca="false">IF(AND($Q2499&gt;0,$O2499&gt;=AtRank),$Q2499,0)</f>
        <v>0</v>
      </c>
      <c r="S2499" s="64" t="n">
        <f aca="false">IF(AND($Q2499&gt;0,$O2499&gt;=AboveRank),$Q2499,0)</f>
        <v>0</v>
      </c>
      <c r="T2499" s="64" t="n">
        <f aca="false">IF($K2499="Less",$P2499,0)</f>
        <v>0</v>
      </c>
      <c r="U2499" s="64" t="n">
        <f aca="false">IF($K2499="Expected",$P2499,0)</f>
        <v>0</v>
      </c>
      <c r="V2499" s="64" t="n">
        <f aca="false">IF($K2499="Better",$P2499,0)</f>
        <v>0</v>
      </c>
      <c r="W2499" s="64" t="n">
        <f aca="false">IF($K2499="U – needs rule",$P2499,0)</f>
        <v>0</v>
      </c>
      <c r="X2499" s="64" t="n">
        <f aca="false">IF($K2499="No Start (attainment only)",$P2499,0)</f>
        <v>0</v>
      </c>
    </row>
    <row r="2500" customFormat="false" ht="15" hidden="false" customHeight="false" outlineLevel="0" collapsed="false">
      <c r="A2500" s="60"/>
      <c r="B2500" s="61" t="str">
        <f aca="false">IF($M2500=0,"",INDEX(Classes!$E$6:$E$420,$M2500))</f>
        <v/>
      </c>
      <c r="C2500" s="62" t="str">
        <f aca="false">IF($M2500=0,"",INDEX(Classes!$H$6:$H$420,$M2500))</f>
        <v/>
      </c>
      <c r="D2500" s="61" t="str">
        <f aca="false">IF($M2500=0,"",INDEX(Classes!$B$6:$B$420,$M2500))</f>
        <v/>
      </c>
      <c r="E2500" s="61" t="str">
        <f aca="false">IF($M2500=0,"",INDEX(Classes!$C$6:$C$420,$M2500))</f>
        <v/>
      </c>
      <c r="F2500" s="63"/>
      <c r="G2500" s="63"/>
      <c r="H2500" s="60"/>
      <c r="I2500" s="60"/>
      <c r="J2500" s="63"/>
      <c r="K2500" s="61" t="str">
        <f aca="false">IF($P2500=0,"",IF($F2500="Baseline","— Baseline",IF($O2500=0,"No result",IF($N2500=0,"No Start (attainment only)",IF(OR($N2500=1,$O2500=1),"U – needs rule",INDEX(MxBody,MATCH($I2500,MxCurr,0),MATCH($H2500,MxStart,0)))))))</f>
        <v/>
      </c>
      <c r="L2500" s="62" t="str">
        <f aca="false">IF(COUNTA($A2500,$F2500,$G2500,$H2500,$I2500,$J2500)=0,"",IF($M2500=0,"✖ كود الصف غير موجود",IF(ISNA(MATCH($F2500,Lists!$A$2:$A$5,0)),"✖ الفترة غير صحيحة",IF(ISNA(MATCH($G2500,Lists!$B$2:$B$7,0)),"✖ المجموعة غير صحيحة",IF(NOT(OR($H2500="",$N2500&gt;0)),"✖ Start غير صحيح",IF(NOT(OR($I2500="",$I2500="NR",$O2500&gt;0)),"✖ Current غير صحيح",IF(NOT(IF(ISNUMBER($J2500),AND($J2500&gt;=0,$J2500=INT($J2500)),FALSE())),"✖ العدد يجب أن يكون صحيحًا ≥ 0",IF(AND($F2500="Baseline",$H2500&lt;&gt;""),"⚠ Baseline: Start لا يدخل في التقدم",IF($K2500="No Start (attainment only)","ℹ تحصيل فقط (بدون Start)",IF($K2500="U – needs rule","ℹ حالة U تحتاج قاعدة معتمدة",IF($K2500="No result","ℹ بدون نتيجة (يُستبعد من التحصيل)","OK")))))))))))</f>
        <v/>
      </c>
      <c r="M2500" s="64" t="n">
        <f aca="false">IF($A2500="",0,IFERROR(MATCH($A2500,Classes!$A$6:$A$420,0),0))</f>
        <v>0</v>
      </c>
      <c r="N2500" s="64" t="n">
        <f aca="false">IF($H2500="",0,IFERROR(MATCH($H2500,GradeList,0),0))</f>
        <v>0</v>
      </c>
      <c r="O2500" s="64" t="n">
        <f aca="false">IF(OR($I2500="",$I2500="NR"),0,IFERROR(MATCH($I2500,GradeList,0),0))</f>
        <v>0</v>
      </c>
      <c r="P2500" s="64" t="n">
        <f aca="false">IF(AND($M2500&gt;0,ISNUMBER(MATCH($F2500,Lists!$A$2:$A$5,0)),ISNUMBER(MATCH($G2500,Lists!$B$2:$B$7,0)),OR($H2500="",$N2500&gt;0),OR($I2500="",$I2500="NR",$O2500&gt;0),IF(ISNUMBER($J2500),AND($J2500&gt;=0,$J2500=INT($J2500)),FALSE())),$J2500,0)</f>
        <v>0</v>
      </c>
      <c r="Q2500" s="64" t="n">
        <f aca="false">IF(AND($P2500&gt;0,$O2500&gt;0),$P2500,0)</f>
        <v>0</v>
      </c>
      <c r="R2500" s="64" t="n">
        <f aca="false">IF(AND($Q2500&gt;0,$O2500&gt;=AtRank),$Q2500,0)</f>
        <v>0</v>
      </c>
      <c r="S2500" s="64" t="n">
        <f aca="false">IF(AND($Q2500&gt;0,$O2500&gt;=AboveRank),$Q2500,0)</f>
        <v>0</v>
      </c>
      <c r="T2500" s="64" t="n">
        <f aca="false">IF($K2500="Less",$P2500,0)</f>
        <v>0</v>
      </c>
      <c r="U2500" s="64" t="n">
        <f aca="false">IF($K2500="Expected",$P2500,0)</f>
        <v>0</v>
      </c>
      <c r="V2500" s="64" t="n">
        <f aca="false">IF($K2500="Better",$P2500,0)</f>
        <v>0</v>
      </c>
      <c r="W2500" s="64" t="n">
        <f aca="false">IF($K2500="U – needs rule",$P2500,0)</f>
        <v>0</v>
      </c>
      <c r="X2500" s="64" t="n">
        <f aca="false">IF($K2500="No Start (attainment only)",$P2500,0)</f>
        <v>0</v>
      </c>
    </row>
    <row r="2501" customFormat="false" ht="15" hidden="false" customHeight="false" outlineLevel="0" collapsed="false">
      <c r="A2501" s="60"/>
      <c r="B2501" s="61" t="str">
        <f aca="false">IF($M2501=0,"",INDEX(Classes!$E$6:$E$420,$M2501))</f>
        <v/>
      </c>
      <c r="C2501" s="62" t="str">
        <f aca="false">IF($M2501=0,"",INDEX(Classes!$H$6:$H$420,$M2501))</f>
        <v/>
      </c>
      <c r="D2501" s="61" t="str">
        <f aca="false">IF($M2501=0,"",INDEX(Classes!$B$6:$B$420,$M2501))</f>
        <v/>
      </c>
      <c r="E2501" s="61" t="str">
        <f aca="false">IF($M2501=0,"",INDEX(Classes!$C$6:$C$420,$M2501))</f>
        <v/>
      </c>
      <c r="F2501" s="63"/>
      <c r="G2501" s="63"/>
      <c r="H2501" s="60"/>
      <c r="I2501" s="60"/>
      <c r="J2501" s="63"/>
      <c r="K2501" s="61" t="str">
        <f aca="false">IF($P2501=0,"",IF($F2501="Baseline","— Baseline",IF($O2501=0,"No result",IF($N2501=0,"No Start (attainment only)",IF(OR($N2501=1,$O2501=1),"U – needs rule",INDEX(MxBody,MATCH($I2501,MxCurr,0),MATCH($H2501,MxStart,0)))))))</f>
        <v/>
      </c>
      <c r="L2501" s="62" t="str">
        <f aca="false">IF(COUNTA($A2501,$F2501,$G2501,$H2501,$I2501,$J2501)=0,"",IF($M2501=0,"✖ كود الصف غير موجود",IF(ISNA(MATCH($F2501,Lists!$A$2:$A$5,0)),"✖ الفترة غير صحيحة",IF(ISNA(MATCH($G2501,Lists!$B$2:$B$7,0)),"✖ المجموعة غير صحيحة",IF(NOT(OR($H2501="",$N2501&gt;0)),"✖ Start غير صحيح",IF(NOT(OR($I2501="",$I2501="NR",$O2501&gt;0)),"✖ Current غير صحيح",IF(NOT(IF(ISNUMBER($J2501),AND($J2501&gt;=0,$J2501=INT($J2501)),FALSE())),"✖ العدد يجب أن يكون صحيحًا ≥ 0",IF(AND($F2501="Baseline",$H2501&lt;&gt;""),"⚠ Baseline: Start لا يدخل في التقدم",IF($K2501="No Start (attainment only)","ℹ تحصيل فقط (بدون Start)",IF($K2501="U – needs rule","ℹ حالة U تحتاج قاعدة معتمدة",IF($K2501="No result","ℹ بدون نتيجة (يُستبعد من التحصيل)","OK")))))))))))</f>
        <v/>
      </c>
      <c r="M2501" s="64" t="n">
        <f aca="false">IF($A2501="",0,IFERROR(MATCH($A2501,Classes!$A$6:$A$420,0),0))</f>
        <v>0</v>
      </c>
      <c r="N2501" s="64" t="n">
        <f aca="false">IF($H2501="",0,IFERROR(MATCH($H2501,GradeList,0),0))</f>
        <v>0</v>
      </c>
      <c r="O2501" s="64" t="n">
        <f aca="false">IF(OR($I2501="",$I2501="NR"),0,IFERROR(MATCH($I2501,GradeList,0),0))</f>
        <v>0</v>
      </c>
      <c r="P2501" s="64" t="n">
        <f aca="false">IF(AND($M2501&gt;0,ISNUMBER(MATCH($F2501,Lists!$A$2:$A$5,0)),ISNUMBER(MATCH($G2501,Lists!$B$2:$B$7,0)),OR($H2501="",$N2501&gt;0),OR($I2501="",$I2501="NR",$O2501&gt;0),IF(ISNUMBER($J2501),AND($J2501&gt;=0,$J2501=INT($J2501)),FALSE())),$J2501,0)</f>
        <v>0</v>
      </c>
      <c r="Q2501" s="64" t="n">
        <f aca="false">IF(AND($P2501&gt;0,$O2501&gt;0),$P2501,0)</f>
        <v>0</v>
      </c>
      <c r="R2501" s="64" t="n">
        <f aca="false">IF(AND($Q2501&gt;0,$O2501&gt;=AtRank),$Q2501,0)</f>
        <v>0</v>
      </c>
      <c r="S2501" s="64" t="n">
        <f aca="false">IF(AND($Q2501&gt;0,$O2501&gt;=AboveRank),$Q2501,0)</f>
        <v>0</v>
      </c>
      <c r="T2501" s="64" t="n">
        <f aca="false">IF($K2501="Less",$P2501,0)</f>
        <v>0</v>
      </c>
      <c r="U2501" s="64" t="n">
        <f aca="false">IF($K2501="Expected",$P2501,0)</f>
        <v>0</v>
      </c>
      <c r="V2501" s="64" t="n">
        <f aca="false">IF($K2501="Better",$P2501,0)</f>
        <v>0</v>
      </c>
      <c r="W2501" s="64" t="n">
        <f aca="false">IF($K2501="U – needs rule",$P2501,0)</f>
        <v>0</v>
      </c>
      <c r="X2501" s="64" t="n">
        <f aca="false">IF($K2501="No Start (attainment only)",$P2501,0)</f>
        <v>0</v>
      </c>
    </row>
    <row r="2502" customFormat="false" ht="15" hidden="false" customHeight="false" outlineLevel="0" collapsed="false">
      <c r="A2502" s="60"/>
      <c r="B2502" s="61" t="str">
        <f aca="false">IF($M2502=0,"",INDEX(Classes!$E$6:$E$420,$M2502))</f>
        <v/>
      </c>
      <c r="C2502" s="62" t="str">
        <f aca="false">IF($M2502=0,"",INDEX(Classes!$H$6:$H$420,$M2502))</f>
        <v/>
      </c>
      <c r="D2502" s="61" t="str">
        <f aca="false">IF($M2502=0,"",INDEX(Classes!$B$6:$B$420,$M2502))</f>
        <v/>
      </c>
      <c r="E2502" s="61" t="str">
        <f aca="false">IF($M2502=0,"",INDEX(Classes!$C$6:$C$420,$M2502))</f>
        <v/>
      </c>
      <c r="F2502" s="63"/>
      <c r="G2502" s="63"/>
      <c r="H2502" s="60"/>
      <c r="I2502" s="60"/>
      <c r="J2502" s="63"/>
      <c r="K2502" s="61" t="str">
        <f aca="false">IF($P2502=0,"",IF($F2502="Baseline","— Baseline",IF($O2502=0,"No result",IF($N2502=0,"No Start (attainment only)",IF(OR($N2502=1,$O2502=1),"U – needs rule",INDEX(MxBody,MATCH($I2502,MxCurr,0),MATCH($H2502,MxStart,0)))))))</f>
        <v/>
      </c>
      <c r="L2502" s="62" t="str">
        <f aca="false">IF(COUNTA($A2502,$F2502,$G2502,$H2502,$I2502,$J2502)=0,"",IF($M2502=0,"✖ كود الصف غير موجود",IF(ISNA(MATCH($F2502,Lists!$A$2:$A$5,0)),"✖ الفترة غير صحيحة",IF(ISNA(MATCH($G2502,Lists!$B$2:$B$7,0)),"✖ المجموعة غير صحيحة",IF(NOT(OR($H2502="",$N2502&gt;0)),"✖ Start غير صحيح",IF(NOT(OR($I2502="",$I2502="NR",$O2502&gt;0)),"✖ Current غير صحيح",IF(NOT(IF(ISNUMBER($J2502),AND($J2502&gt;=0,$J2502=INT($J2502)),FALSE())),"✖ العدد يجب أن يكون صحيحًا ≥ 0",IF(AND($F2502="Baseline",$H2502&lt;&gt;""),"⚠ Baseline: Start لا يدخل في التقدم",IF($K2502="No Start (attainment only)","ℹ تحصيل فقط (بدون Start)",IF($K2502="U – needs rule","ℹ حالة U تحتاج قاعدة معتمدة",IF($K2502="No result","ℹ بدون نتيجة (يُستبعد من التحصيل)","OK")))))))))))</f>
        <v/>
      </c>
      <c r="M2502" s="64" t="n">
        <f aca="false">IF($A2502="",0,IFERROR(MATCH($A2502,Classes!$A$6:$A$420,0),0))</f>
        <v>0</v>
      </c>
      <c r="N2502" s="64" t="n">
        <f aca="false">IF($H2502="",0,IFERROR(MATCH($H2502,GradeList,0),0))</f>
        <v>0</v>
      </c>
      <c r="O2502" s="64" t="n">
        <f aca="false">IF(OR($I2502="",$I2502="NR"),0,IFERROR(MATCH($I2502,GradeList,0),0))</f>
        <v>0</v>
      </c>
      <c r="P2502" s="64" t="n">
        <f aca="false">IF(AND($M2502&gt;0,ISNUMBER(MATCH($F2502,Lists!$A$2:$A$5,0)),ISNUMBER(MATCH($G2502,Lists!$B$2:$B$7,0)),OR($H2502="",$N2502&gt;0),OR($I2502="",$I2502="NR",$O2502&gt;0),IF(ISNUMBER($J2502),AND($J2502&gt;=0,$J2502=INT($J2502)),FALSE())),$J2502,0)</f>
        <v>0</v>
      </c>
      <c r="Q2502" s="64" t="n">
        <f aca="false">IF(AND($P2502&gt;0,$O2502&gt;0),$P2502,0)</f>
        <v>0</v>
      </c>
      <c r="R2502" s="64" t="n">
        <f aca="false">IF(AND($Q2502&gt;0,$O2502&gt;=AtRank),$Q2502,0)</f>
        <v>0</v>
      </c>
      <c r="S2502" s="64" t="n">
        <f aca="false">IF(AND($Q2502&gt;0,$O2502&gt;=AboveRank),$Q2502,0)</f>
        <v>0</v>
      </c>
      <c r="T2502" s="64" t="n">
        <f aca="false">IF($K2502="Less",$P2502,0)</f>
        <v>0</v>
      </c>
      <c r="U2502" s="64" t="n">
        <f aca="false">IF($K2502="Expected",$P2502,0)</f>
        <v>0</v>
      </c>
      <c r="V2502" s="64" t="n">
        <f aca="false">IF($K2502="Better",$P2502,0)</f>
        <v>0</v>
      </c>
      <c r="W2502" s="64" t="n">
        <f aca="false">IF($K2502="U – needs rule",$P2502,0)</f>
        <v>0</v>
      </c>
      <c r="X2502" s="64" t="n">
        <f aca="false">IF($K2502="No Start (attainment only)",$P2502,0)</f>
        <v>0</v>
      </c>
    </row>
    <row r="2503" customFormat="false" ht="15" hidden="false" customHeight="false" outlineLevel="0" collapsed="false">
      <c r="A2503" s="60"/>
      <c r="B2503" s="61" t="str">
        <f aca="false">IF($M2503=0,"",INDEX(Classes!$E$6:$E$420,$M2503))</f>
        <v/>
      </c>
      <c r="C2503" s="62" t="str">
        <f aca="false">IF($M2503=0,"",INDEX(Classes!$H$6:$H$420,$M2503))</f>
        <v/>
      </c>
      <c r="D2503" s="61" t="str">
        <f aca="false">IF($M2503=0,"",INDEX(Classes!$B$6:$B$420,$M2503))</f>
        <v/>
      </c>
      <c r="E2503" s="61" t="str">
        <f aca="false">IF($M2503=0,"",INDEX(Classes!$C$6:$C$420,$M2503))</f>
        <v/>
      </c>
      <c r="F2503" s="63"/>
      <c r="G2503" s="63"/>
      <c r="H2503" s="60"/>
      <c r="I2503" s="60"/>
      <c r="J2503" s="63"/>
      <c r="K2503" s="61" t="str">
        <f aca="false">IF($P2503=0,"",IF($F2503="Baseline","— Baseline",IF($O2503=0,"No result",IF($N2503=0,"No Start (attainment only)",IF(OR($N2503=1,$O2503=1),"U – needs rule",INDEX(MxBody,MATCH($I2503,MxCurr,0),MATCH($H2503,MxStart,0)))))))</f>
        <v/>
      </c>
      <c r="L2503" s="62" t="str">
        <f aca="false">IF(COUNTA($A2503,$F2503,$G2503,$H2503,$I2503,$J2503)=0,"",IF($M2503=0,"✖ كود الصف غير موجود",IF(ISNA(MATCH($F2503,Lists!$A$2:$A$5,0)),"✖ الفترة غير صحيحة",IF(ISNA(MATCH($G2503,Lists!$B$2:$B$7,0)),"✖ المجموعة غير صحيحة",IF(NOT(OR($H2503="",$N2503&gt;0)),"✖ Start غير صحيح",IF(NOT(OR($I2503="",$I2503="NR",$O2503&gt;0)),"✖ Current غير صحيح",IF(NOT(IF(ISNUMBER($J2503),AND($J2503&gt;=0,$J2503=INT($J2503)),FALSE())),"✖ العدد يجب أن يكون صحيحًا ≥ 0",IF(AND($F2503="Baseline",$H2503&lt;&gt;""),"⚠ Baseline: Start لا يدخل في التقدم",IF($K2503="No Start (attainment only)","ℹ تحصيل فقط (بدون Start)",IF($K2503="U – needs rule","ℹ حالة U تحتاج قاعدة معتمدة",IF($K2503="No result","ℹ بدون نتيجة (يُستبعد من التحصيل)","OK")))))))))))</f>
        <v/>
      </c>
      <c r="M2503" s="64" t="n">
        <f aca="false">IF($A2503="",0,IFERROR(MATCH($A2503,Classes!$A$6:$A$420,0),0))</f>
        <v>0</v>
      </c>
      <c r="N2503" s="64" t="n">
        <f aca="false">IF($H2503="",0,IFERROR(MATCH($H2503,GradeList,0),0))</f>
        <v>0</v>
      </c>
      <c r="O2503" s="64" t="n">
        <f aca="false">IF(OR($I2503="",$I2503="NR"),0,IFERROR(MATCH($I2503,GradeList,0),0))</f>
        <v>0</v>
      </c>
      <c r="P2503" s="64" t="n">
        <f aca="false">IF(AND($M2503&gt;0,ISNUMBER(MATCH($F2503,Lists!$A$2:$A$5,0)),ISNUMBER(MATCH($G2503,Lists!$B$2:$B$7,0)),OR($H2503="",$N2503&gt;0),OR($I2503="",$I2503="NR",$O2503&gt;0),IF(ISNUMBER($J2503),AND($J2503&gt;=0,$J2503=INT($J2503)),FALSE())),$J2503,0)</f>
        <v>0</v>
      </c>
      <c r="Q2503" s="64" t="n">
        <f aca="false">IF(AND($P2503&gt;0,$O2503&gt;0),$P2503,0)</f>
        <v>0</v>
      </c>
      <c r="R2503" s="64" t="n">
        <f aca="false">IF(AND($Q2503&gt;0,$O2503&gt;=AtRank),$Q2503,0)</f>
        <v>0</v>
      </c>
      <c r="S2503" s="64" t="n">
        <f aca="false">IF(AND($Q2503&gt;0,$O2503&gt;=AboveRank),$Q2503,0)</f>
        <v>0</v>
      </c>
      <c r="T2503" s="64" t="n">
        <f aca="false">IF($K2503="Less",$P2503,0)</f>
        <v>0</v>
      </c>
      <c r="U2503" s="64" t="n">
        <f aca="false">IF($K2503="Expected",$P2503,0)</f>
        <v>0</v>
      </c>
      <c r="V2503" s="64" t="n">
        <f aca="false">IF($K2503="Better",$P2503,0)</f>
        <v>0</v>
      </c>
      <c r="W2503" s="64" t="n">
        <f aca="false">IF($K2503="U – needs rule",$P2503,0)</f>
        <v>0</v>
      </c>
      <c r="X2503" s="64" t="n">
        <f aca="false">IF($K2503="No Start (attainment only)",$P2503,0)</f>
        <v>0</v>
      </c>
    </row>
    <row r="2504" customFormat="false" ht="15" hidden="false" customHeight="false" outlineLevel="0" collapsed="false">
      <c r="A2504" s="60"/>
      <c r="B2504" s="61" t="str">
        <f aca="false">IF($M2504=0,"",INDEX(Classes!$E$6:$E$420,$M2504))</f>
        <v/>
      </c>
      <c r="C2504" s="62" t="str">
        <f aca="false">IF($M2504=0,"",INDEX(Classes!$H$6:$H$420,$M2504))</f>
        <v/>
      </c>
      <c r="D2504" s="61" t="str">
        <f aca="false">IF($M2504=0,"",INDEX(Classes!$B$6:$B$420,$M2504))</f>
        <v/>
      </c>
      <c r="E2504" s="61" t="str">
        <f aca="false">IF($M2504=0,"",INDEX(Classes!$C$6:$C$420,$M2504))</f>
        <v/>
      </c>
      <c r="F2504" s="63"/>
      <c r="G2504" s="63"/>
      <c r="H2504" s="60"/>
      <c r="I2504" s="60"/>
      <c r="J2504" s="63"/>
      <c r="K2504" s="61" t="str">
        <f aca="false">IF($P2504=0,"",IF($F2504="Baseline","— Baseline",IF($O2504=0,"No result",IF($N2504=0,"No Start (attainment only)",IF(OR($N2504=1,$O2504=1),"U – needs rule",INDEX(MxBody,MATCH($I2504,MxCurr,0),MATCH($H2504,MxStart,0)))))))</f>
        <v/>
      </c>
      <c r="L2504" s="62" t="str">
        <f aca="false">IF(COUNTA($A2504,$F2504,$G2504,$H2504,$I2504,$J2504)=0,"",IF($M2504=0,"✖ كود الصف غير موجود",IF(ISNA(MATCH($F2504,Lists!$A$2:$A$5,0)),"✖ الفترة غير صحيحة",IF(ISNA(MATCH($G2504,Lists!$B$2:$B$7,0)),"✖ المجموعة غير صحيحة",IF(NOT(OR($H2504="",$N2504&gt;0)),"✖ Start غير صحيح",IF(NOT(OR($I2504="",$I2504="NR",$O2504&gt;0)),"✖ Current غير صحيح",IF(NOT(IF(ISNUMBER($J2504),AND($J2504&gt;=0,$J2504=INT($J2504)),FALSE())),"✖ العدد يجب أن يكون صحيحًا ≥ 0",IF(AND($F2504="Baseline",$H2504&lt;&gt;""),"⚠ Baseline: Start لا يدخل في التقدم",IF($K2504="No Start (attainment only)","ℹ تحصيل فقط (بدون Start)",IF($K2504="U – needs rule","ℹ حالة U تحتاج قاعدة معتمدة",IF($K2504="No result","ℹ بدون نتيجة (يُستبعد من التحصيل)","OK")))))))))))</f>
        <v/>
      </c>
      <c r="M2504" s="64" t="n">
        <f aca="false">IF($A2504="",0,IFERROR(MATCH($A2504,Classes!$A$6:$A$420,0),0))</f>
        <v>0</v>
      </c>
      <c r="N2504" s="64" t="n">
        <f aca="false">IF($H2504="",0,IFERROR(MATCH($H2504,GradeList,0),0))</f>
        <v>0</v>
      </c>
      <c r="O2504" s="64" t="n">
        <f aca="false">IF(OR($I2504="",$I2504="NR"),0,IFERROR(MATCH($I2504,GradeList,0),0))</f>
        <v>0</v>
      </c>
      <c r="P2504" s="64" t="n">
        <f aca="false">IF(AND($M2504&gt;0,ISNUMBER(MATCH($F2504,Lists!$A$2:$A$5,0)),ISNUMBER(MATCH($G2504,Lists!$B$2:$B$7,0)),OR($H2504="",$N2504&gt;0),OR($I2504="",$I2504="NR",$O2504&gt;0),IF(ISNUMBER($J2504),AND($J2504&gt;=0,$J2504=INT($J2504)),FALSE())),$J2504,0)</f>
        <v>0</v>
      </c>
      <c r="Q2504" s="64" t="n">
        <f aca="false">IF(AND($P2504&gt;0,$O2504&gt;0),$P2504,0)</f>
        <v>0</v>
      </c>
      <c r="R2504" s="64" t="n">
        <f aca="false">IF(AND($Q2504&gt;0,$O2504&gt;=AtRank),$Q2504,0)</f>
        <v>0</v>
      </c>
      <c r="S2504" s="64" t="n">
        <f aca="false">IF(AND($Q2504&gt;0,$O2504&gt;=AboveRank),$Q2504,0)</f>
        <v>0</v>
      </c>
      <c r="T2504" s="64" t="n">
        <f aca="false">IF($K2504="Less",$P2504,0)</f>
        <v>0</v>
      </c>
      <c r="U2504" s="64" t="n">
        <f aca="false">IF($K2504="Expected",$P2504,0)</f>
        <v>0</v>
      </c>
      <c r="V2504" s="64" t="n">
        <f aca="false">IF($K2504="Better",$P2504,0)</f>
        <v>0</v>
      </c>
      <c r="W2504" s="64" t="n">
        <f aca="false">IF($K2504="U – needs rule",$P2504,0)</f>
        <v>0</v>
      </c>
      <c r="X2504" s="64" t="n">
        <f aca="false">IF($K2504="No Start (attainment only)",$P2504,0)</f>
        <v>0</v>
      </c>
    </row>
    <row r="2505" customFormat="false" ht="15" hidden="false" customHeight="false" outlineLevel="0" collapsed="false">
      <c r="A2505" s="60"/>
      <c r="B2505" s="61" t="str">
        <f aca="false">IF($M2505=0,"",INDEX(Classes!$E$6:$E$420,$M2505))</f>
        <v/>
      </c>
      <c r="C2505" s="62" t="str">
        <f aca="false">IF($M2505=0,"",INDEX(Classes!$H$6:$H$420,$M2505))</f>
        <v/>
      </c>
      <c r="D2505" s="61" t="str">
        <f aca="false">IF($M2505=0,"",INDEX(Classes!$B$6:$B$420,$M2505))</f>
        <v/>
      </c>
      <c r="E2505" s="61" t="str">
        <f aca="false">IF($M2505=0,"",INDEX(Classes!$C$6:$C$420,$M2505))</f>
        <v/>
      </c>
      <c r="F2505" s="63"/>
      <c r="G2505" s="63"/>
      <c r="H2505" s="60"/>
      <c r="I2505" s="60"/>
      <c r="J2505" s="63"/>
      <c r="K2505" s="61" t="str">
        <f aca="false">IF($P2505=0,"",IF($F2505="Baseline","— Baseline",IF($O2505=0,"No result",IF($N2505=0,"No Start (attainment only)",IF(OR($N2505=1,$O2505=1),"U – needs rule",INDEX(MxBody,MATCH($I2505,MxCurr,0),MATCH($H2505,MxStart,0)))))))</f>
        <v/>
      </c>
      <c r="L2505" s="62" t="str">
        <f aca="false">IF(COUNTA($A2505,$F2505,$G2505,$H2505,$I2505,$J2505)=0,"",IF($M2505=0,"✖ كود الصف غير موجود",IF(ISNA(MATCH($F2505,Lists!$A$2:$A$5,0)),"✖ الفترة غير صحيحة",IF(ISNA(MATCH($G2505,Lists!$B$2:$B$7,0)),"✖ المجموعة غير صحيحة",IF(NOT(OR($H2505="",$N2505&gt;0)),"✖ Start غير صحيح",IF(NOT(OR($I2505="",$I2505="NR",$O2505&gt;0)),"✖ Current غير صحيح",IF(NOT(IF(ISNUMBER($J2505),AND($J2505&gt;=0,$J2505=INT($J2505)),FALSE())),"✖ العدد يجب أن يكون صحيحًا ≥ 0",IF(AND($F2505="Baseline",$H2505&lt;&gt;""),"⚠ Baseline: Start لا يدخل في التقدم",IF($K2505="No Start (attainment only)","ℹ تحصيل فقط (بدون Start)",IF($K2505="U – needs rule","ℹ حالة U تحتاج قاعدة معتمدة",IF($K2505="No result","ℹ بدون نتيجة (يُستبعد من التحصيل)","OK")))))))))))</f>
        <v/>
      </c>
      <c r="M2505" s="64" t="n">
        <f aca="false">IF($A2505="",0,IFERROR(MATCH($A2505,Classes!$A$6:$A$420,0),0))</f>
        <v>0</v>
      </c>
      <c r="N2505" s="64" t="n">
        <f aca="false">IF($H2505="",0,IFERROR(MATCH($H2505,GradeList,0),0))</f>
        <v>0</v>
      </c>
      <c r="O2505" s="64" t="n">
        <f aca="false">IF(OR($I2505="",$I2505="NR"),0,IFERROR(MATCH($I2505,GradeList,0),0))</f>
        <v>0</v>
      </c>
      <c r="P2505" s="64" t="n">
        <f aca="false">IF(AND($M2505&gt;0,ISNUMBER(MATCH($F2505,Lists!$A$2:$A$5,0)),ISNUMBER(MATCH($G2505,Lists!$B$2:$B$7,0)),OR($H2505="",$N2505&gt;0),OR($I2505="",$I2505="NR",$O2505&gt;0),IF(ISNUMBER($J2505),AND($J2505&gt;=0,$J2505=INT($J2505)),FALSE())),$J2505,0)</f>
        <v>0</v>
      </c>
      <c r="Q2505" s="64" t="n">
        <f aca="false">IF(AND($P2505&gt;0,$O2505&gt;0),$P2505,0)</f>
        <v>0</v>
      </c>
      <c r="R2505" s="64" t="n">
        <f aca="false">IF(AND($Q2505&gt;0,$O2505&gt;=AtRank),$Q2505,0)</f>
        <v>0</v>
      </c>
      <c r="S2505" s="64" t="n">
        <f aca="false">IF(AND($Q2505&gt;0,$O2505&gt;=AboveRank),$Q2505,0)</f>
        <v>0</v>
      </c>
      <c r="T2505" s="64" t="n">
        <f aca="false">IF($K2505="Less",$P2505,0)</f>
        <v>0</v>
      </c>
      <c r="U2505" s="64" t="n">
        <f aca="false">IF($K2505="Expected",$P2505,0)</f>
        <v>0</v>
      </c>
      <c r="V2505" s="64" t="n">
        <f aca="false">IF($K2505="Better",$P2505,0)</f>
        <v>0</v>
      </c>
      <c r="W2505" s="64" t="n">
        <f aca="false">IF($K2505="U – needs rule",$P2505,0)</f>
        <v>0</v>
      </c>
      <c r="X2505" s="64" t="n">
        <f aca="false">IF($K2505="No Start (attainment only)",$P2505,0)</f>
        <v>0</v>
      </c>
    </row>
    <row r="2506" customFormat="false" ht="15" hidden="false" customHeight="false" outlineLevel="0" collapsed="false">
      <c r="A2506" s="60"/>
      <c r="B2506" s="61" t="str">
        <f aca="false">IF($M2506=0,"",INDEX(Classes!$E$6:$E$420,$M2506))</f>
        <v/>
      </c>
      <c r="C2506" s="62" t="str">
        <f aca="false">IF($M2506=0,"",INDEX(Classes!$H$6:$H$420,$M2506))</f>
        <v/>
      </c>
      <c r="D2506" s="61" t="str">
        <f aca="false">IF($M2506=0,"",INDEX(Classes!$B$6:$B$420,$M2506))</f>
        <v/>
      </c>
      <c r="E2506" s="61" t="str">
        <f aca="false">IF($M2506=0,"",INDEX(Classes!$C$6:$C$420,$M2506))</f>
        <v/>
      </c>
      <c r="F2506" s="63"/>
      <c r="G2506" s="63"/>
      <c r="H2506" s="60"/>
      <c r="I2506" s="60"/>
      <c r="J2506" s="63"/>
      <c r="K2506" s="61" t="str">
        <f aca="false">IF($P2506=0,"",IF($F2506="Baseline","— Baseline",IF($O2506=0,"No result",IF($N2506=0,"No Start (attainment only)",IF(OR($N2506=1,$O2506=1),"U – needs rule",INDEX(MxBody,MATCH($I2506,MxCurr,0),MATCH($H2506,MxStart,0)))))))</f>
        <v/>
      </c>
      <c r="L2506" s="62" t="str">
        <f aca="false">IF(COUNTA($A2506,$F2506,$G2506,$H2506,$I2506,$J2506)=0,"",IF($M2506=0,"✖ كود الصف غير موجود",IF(ISNA(MATCH($F2506,Lists!$A$2:$A$5,0)),"✖ الفترة غير صحيحة",IF(ISNA(MATCH($G2506,Lists!$B$2:$B$7,0)),"✖ المجموعة غير صحيحة",IF(NOT(OR($H2506="",$N2506&gt;0)),"✖ Start غير صحيح",IF(NOT(OR($I2506="",$I2506="NR",$O2506&gt;0)),"✖ Current غير صحيح",IF(NOT(IF(ISNUMBER($J2506),AND($J2506&gt;=0,$J2506=INT($J2506)),FALSE())),"✖ العدد يجب أن يكون صحيحًا ≥ 0",IF(AND($F2506="Baseline",$H2506&lt;&gt;""),"⚠ Baseline: Start لا يدخل في التقدم",IF($K2506="No Start (attainment only)","ℹ تحصيل فقط (بدون Start)",IF($K2506="U – needs rule","ℹ حالة U تحتاج قاعدة معتمدة",IF($K2506="No result","ℹ بدون نتيجة (يُستبعد من التحصيل)","OK")))))))))))</f>
        <v/>
      </c>
      <c r="M2506" s="64" t="n">
        <f aca="false">IF($A2506="",0,IFERROR(MATCH($A2506,Classes!$A$6:$A$420,0),0))</f>
        <v>0</v>
      </c>
      <c r="N2506" s="64" t="n">
        <f aca="false">IF($H2506="",0,IFERROR(MATCH($H2506,GradeList,0),0))</f>
        <v>0</v>
      </c>
      <c r="O2506" s="64" t="n">
        <f aca="false">IF(OR($I2506="",$I2506="NR"),0,IFERROR(MATCH($I2506,GradeList,0),0))</f>
        <v>0</v>
      </c>
      <c r="P2506" s="64" t="n">
        <f aca="false">IF(AND($M2506&gt;0,ISNUMBER(MATCH($F2506,Lists!$A$2:$A$5,0)),ISNUMBER(MATCH($G2506,Lists!$B$2:$B$7,0)),OR($H2506="",$N2506&gt;0),OR($I2506="",$I2506="NR",$O2506&gt;0),IF(ISNUMBER($J2506),AND($J2506&gt;=0,$J2506=INT($J2506)),FALSE())),$J2506,0)</f>
        <v>0</v>
      </c>
      <c r="Q2506" s="64" t="n">
        <f aca="false">IF(AND($P2506&gt;0,$O2506&gt;0),$P2506,0)</f>
        <v>0</v>
      </c>
      <c r="R2506" s="64" t="n">
        <f aca="false">IF(AND($Q2506&gt;0,$O2506&gt;=AtRank),$Q2506,0)</f>
        <v>0</v>
      </c>
      <c r="S2506" s="64" t="n">
        <f aca="false">IF(AND($Q2506&gt;0,$O2506&gt;=AboveRank),$Q2506,0)</f>
        <v>0</v>
      </c>
      <c r="T2506" s="64" t="n">
        <f aca="false">IF($K2506="Less",$P2506,0)</f>
        <v>0</v>
      </c>
      <c r="U2506" s="64" t="n">
        <f aca="false">IF($K2506="Expected",$P2506,0)</f>
        <v>0</v>
      </c>
      <c r="V2506" s="64" t="n">
        <f aca="false">IF($K2506="Better",$P2506,0)</f>
        <v>0</v>
      </c>
      <c r="W2506" s="64" t="n">
        <f aca="false">IF($K2506="U – needs rule",$P2506,0)</f>
        <v>0</v>
      </c>
      <c r="X2506" s="64" t="n">
        <f aca="false">IF($K2506="No Start (attainment only)",$P2506,0)</f>
        <v>0</v>
      </c>
    </row>
    <row r="2507" customFormat="false" ht="15" hidden="false" customHeight="false" outlineLevel="0" collapsed="false">
      <c r="A2507" s="60"/>
      <c r="B2507" s="61" t="str">
        <f aca="false">IF($M2507=0,"",INDEX(Classes!$E$6:$E$420,$M2507))</f>
        <v/>
      </c>
      <c r="C2507" s="62" t="str">
        <f aca="false">IF($M2507=0,"",INDEX(Classes!$H$6:$H$420,$M2507))</f>
        <v/>
      </c>
      <c r="D2507" s="61" t="str">
        <f aca="false">IF($M2507=0,"",INDEX(Classes!$B$6:$B$420,$M2507))</f>
        <v/>
      </c>
      <c r="E2507" s="61" t="str">
        <f aca="false">IF($M2507=0,"",INDEX(Classes!$C$6:$C$420,$M2507))</f>
        <v/>
      </c>
      <c r="F2507" s="63"/>
      <c r="G2507" s="63"/>
      <c r="H2507" s="60"/>
      <c r="I2507" s="60"/>
      <c r="J2507" s="63"/>
      <c r="K2507" s="61" t="str">
        <f aca="false">IF($P2507=0,"",IF($F2507="Baseline","— Baseline",IF($O2507=0,"No result",IF($N2507=0,"No Start (attainment only)",IF(OR($N2507=1,$O2507=1),"U – needs rule",INDEX(MxBody,MATCH($I2507,MxCurr,0),MATCH($H2507,MxStart,0)))))))</f>
        <v/>
      </c>
      <c r="L2507" s="62" t="str">
        <f aca="false">IF(COUNTA($A2507,$F2507,$G2507,$H2507,$I2507,$J2507)=0,"",IF($M2507=0,"✖ كود الصف غير موجود",IF(ISNA(MATCH($F2507,Lists!$A$2:$A$5,0)),"✖ الفترة غير صحيحة",IF(ISNA(MATCH($G2507,Lists!$B$2:$B$7,0)),"✖ المجموعة غير صحيحة",IF(NOT(OR($H2507="",$N2507&gt;0)),"✖ Start غير صحيح",IF(NOT(OR($I2507="",$I2507="NR",$O2507&gt;0)),"✖ Current غير صحيح",IF(NOT(IF(ISNUMBER($J2507),AND($J2507&gt;=0,$J2507=INT($J2507)),FALSE())),"✖ العدد يجب أن يكون صحيحًا ≥ 0",IF(AND($F2507="Baseline",$H2507&lt;&gt;""),"⚠ Baseline: Start لا يدخل في التقدم",IF($K2507="No Start (attainment only)","ℹ تحصيل فقط (بدون Start)",IF($K2507="U – needs rule","ℹ حالة U تحتاج قاعدة معتمدة",IF($K2507="No result","ℹ بدون نتيجة (يُستبعد من التحصيل)","OK")))))))))))</f>
        <v/>
      </c>
      <c r="M2507" s="64" t="n">
        <f aca="false">IF($A2507="",0,IFERROR(MATCH($A2507,Classes!$A$6:$A$420,0),0))</f>
        <v>0</v>
      </c>
      <c r="N2507" s="64" t="n">
        <f aca="false">IF($H2507="",0,IFERROR(MATCH($H2507,GradeList,0),0))</f>
        <v>0</v>
      </c>
      <c r="O2507" s="64" t="n">
        <f aca="false">IF(OR($I2507="",$I2507="NR"),0,IFERROR(MATCH($I2507,GradeList,0),0))</f>
        <v>0</v>
      </c>
      <c r="P2507" s="64" t="n">
        <f aca="false">IF(AND($M2507&gt;0,ISNUMBER(MATCH($F2507,Lists!$A$2:$A$5,0)),ISNUMBER(MATCH($G2507,Lists!$B$2:$B$7,0)),OR($H2507="",$N2507&gt;0),OR($I2507="",$I2507="NR",$O2507&gt;0),IF(ISNUMBER($J2507),AND($J2507&gt;=0,$J2507=INT($J2507)),FALSE())),$J2507,0)</f>
        <v>0</v>
      </c>
      <c r="Q2507" s="64" t="n">
        <f aca="false">IF(AND($P2507&gt;0,$O2507&gt;0),$P2507,0)</f>
        <v>0</v>
      </c>
      <c r="R2507" s="64" t="n">
        <f aca="false">IF(AND($Q2507&gt;0,$O2507&gt;=AtRank),$Q2507,0)</f>
        <v>0</v>
      </c>
      <c r="S2507" s="64" t="n">
        <f aca="false">IF(AND($Q2507&gt;0,$O2507&gt;=AboveRank),$Q2507,0)</f>
        <v>0</v>
      </c>
      <c r="T2507" s="64" t="n">
        <f aca="false">IF($K2507="Less",$P2507,0)</f>
        <v>0</v>
      </c>
      <c r="U2507" s="64" t="n">
        <f aca="false">IF($K2507="Expected",$P2507,0)</f>
        <v>0</v>
      </c>
      <c r="V2507" s="64" t="n">
        <f aca="false">IF($K2507="Better",$P2507,0)</f>
        <v>0</v>
      </c>
      <c r="W2507" s="64" t="n">
        <f aca="false">IF($K2507="U – needs rule",$P2507,0)</f>
        <v>0</v>
      </c>
      <c r="X2507" s="64" t="n">
        <f aca="false">IF($K2507="No Start (attainment only)",$P2507,0)</f>
        <v>0</v>
      </c>
    </row>
    <row r="2508" customFormat="false" ht="15" hidden="false" customHeight="false" outlineLevel="0" collapsed="false">
      <c r="A2508" s="60"/>
      <c r="B2508" s="61" t="str">
        <f aca="false">IF($M2508=0,"",INDEX(Classes!$E$6:$E$420,$M2508))</f>
        <v/>
      </c>
      <c r="C2508" s="62" t="str">
        <f aca="false">IF($M2508=0,"",INDEX(Classes!$H$6:$H$420,$M2508))</f>
        <v/>
      </c>
      <c r="D2508" s="61" t="str">
        <f aca="false">IF($M2508=0,"",INDEX(Classes!$B$6:$B$420,$M2508))</f>
        <v/>
      </c>
      <c r="E2508" s="61" t="str">
        <f aca="false">IF($M2508=0,"",INDEX(Classes!$C$6:$C$420,$M2508))</f>
        <v/>
      </c>
      <c r="F2508" s="63"/>
      <c r="G2508" s="63"/>
      <c r="H2508" s="60"/>
      <c r="I2508" s="60"/>
      <c r="J2508" s="63"/>
      <c r="K2508" s="61" t="str">
        <f aca="false">IF($P2508=0,"",IF($F2508="Baseline","— Baseline",IF($O2508=0,"No result",IF($N2508=0,"No Start (attainment only)",IF(OR($N2508=1,$O2508=1),"U – needs rule",INDEX(MxBody,MATCH($I2508,MxCurr,0),MATCH($H2508,MxStart,0)))))))</f>
        <v/>
      </c>
      <c r="L2508" s="62" t="str">
        <f aca="false">IF(COUNTA($A2508,$F2508,$G2508,$H2508,$I2508,$J2508)=0,"",IF($M2508=0,"✖ كود الصف غير موجود",IF(ISNA(MATCH($F2508,Lists!$A$2:$A$5,0)),"✖ الفترة غير صحيحة",IF(ISNA(MATCH($G2508,Lists!$B$2:$B$7,0)),"✖ المجموعة غير صحيحة",IF(NOT(OR($H2508="",$N2508&gt;0)),"✖ Start غير صحيح",IF(NOT(OR($I2508="",$I2508="NR",$O2508&gt;0)),"✖ Current غير صحيح",IF(NOT(IF(ISNUMBER($J2508),AND($J2508&gt;=0,$J2508=INT($J2508)),FALSE())),"✖ العدد يجب أن يكون صحيحًا ≥ 0",IF(AND($F2508="Baseline",$H2508&lt;&gt;""),"⚠ Baseline: Start لا يدخل في التقدم",IF($K2508="No Start (attainment only)","ℹ تحصيل فقط (بدون Start)",IF($K2508="U – needs rule","ℹ حالة U تحتاج قاعدة معتمدة",IF($K2508="No result","ℹ بدون نتيجة (يُستبعد من التحصيل)","OK")))))))))))</f>
        <v/>
      </c>
      <c r="M2508" s="64" t="n">
        <f aca="false">IF($A2508="",0,IFERROR(MATCH($A2508,Classes!$A$6:$A$420,0),0))</f>
        <v>0</v>
      </c>
      <c r="N2508" s="64" t="n">
        <f aca="false">IF($H2508="",0,IFERROR(MATCH($H2508,GradeList,0),0))</f>
        <v>0</v>
      </c>
      <c r="O2508" s="64" t="n">
        <f aca="false">IF(OR($I2508="",$I2508="NR"),0,IFERROR(MATCH($I2508,GradeList,0),0))</f>
        <v>0</v>
      </c>
      <c r="P2508" s="64" t="n">
        <f aca="false">IF(AND($M2508&gt;0,ISNUMBER(MATCH($F2508,Lists!$A$2:$A$5,0)),ISNUMBER(MATCH($G2508,Lists!$B$2:$B$7,0)),OR($H2508="",$N2508&gt;0),OR($I2508="",$I2508="NR",$O2508&gt;0),IF(ISNUMBER($J2508),AND($J2508&gt;=0,$J2508=INT($J2508)),FALSE())),$J2508,0)</f>
        <v>0</v>
      </c>
      <c r="Q2508" s="64" t="n">
        <f aca="false">IF(AND($P2508&gt;0,$O2508&gt;0),$P2508,0)</f>
        <v>0</v>
      </c>
      <c r="R2508" s="64" t="n">
        <f aca="false">IF(AND($Q2508&gt;0,$O2508&gt;=AtRank),$Q2508,0)</f>
        <v>0</v>
      </c>
      <c r="S2508" s="64" t="n">
        <f aca="false">IF(AND($Q2508&gt;0,$O2508&gt;=AboveRank),$Q2508,0)</f>
        <v>0</v>
      </c>
      <c r="T2508" s="64" t="n">
        <f aca="false">IF($K2508="Less",$P2508,0)</f>
        <v>0</v>
      </c>
      <c r="U2508" s="64" t="n">
        <f aca="false">IF($K2508="Expected",$P2508,0)</f>
        <v>0</v>
      </c>
      <c r="V2508" s="64" t="n">
        <f aca="false">IF($K2508="Better",$P2508,0)</f>
        <v>0</v>
      </c>
      <c r="W2508" s="64" t="n">
        <f aca="false">IF($K2508="U – needs rule",$P2508,0)</f>
        <v>0</v>
      </c>
      <c r="X2508" s="64" t="n">
        <f aca="false">IF($K2508="No Start (attainment only)",$P2508,0)</f>
        <v>0</v>
      </c>
    </row>
    <row r="2509" customFormat="false" ht="15" hidden="false" customHeight="false" outlineLevel="0" collapsed="false">
      <c r="A2509" s="60"/>
      <c r="B2509" s="61" t="str">
        <f aca="false">IF($M2509=0,"",INDEX(Classes!$E$6:$E$420,$M2509))</f>
        <v/>
      </c>
      <c r="C2509" s="62" t="str">
        <f aca="false">IF($M2509=0,"",INDEX(Classes!$H$6:$H$420,$M2509))</f>
        <v/>
      </c>
      <c r="D2509" s="61" t="str">
        <f aca="false">IF($M2509=0,"",INDEX(Classes!$B$6:$B$420,$M2509))</f>
        <v/>
      </c>
      <c r="E2509" s="61" t="str">
        <f aca="false">IF($M2509=0,"",INDEX(Classes!$C$6:$C$420,$M2509))</f>
        <v/>
      </c>
      <c r="F2509" s="63"/>
      <c r="G2509" s="63"/>
      <c r="H2509" s="60"/>
      <c r="I2509" s="60"/>
      <c r="J2509" s="63"/>
      <c r="K2509" s="61" t="str">
        <f aca="false">IF($P2509=0,"",IF($F2509="Baseline","— Baseline",IF($O2509=0,"No result",IF($N2509=0,"No Start (attainment only)",IF(OR($N2509=1,$O2509=1),"U – needs rule",INDEX(MxBody,MATCH($I2509,MxCurr,0),MATCH($H2509,MxStart,0)))))))</f>
        <v/>
      </c>
      <c r="L2509" s="62" t="str">
        <f aca="false">IF(COUNTA($A2509,$F2509,$G2509,$H2509,$I2509,$J2509)=0,"",IF($M2509=0,"✖ كود الصف غير موجود",IF(ISNA(MATCH($F2509,Lists!$A$2:$A$5,0)),"✖ الفترة غير صحيحة",IF(ISNA(MATCH($G2509,Lists!$B$2:$B$7,0)),"✖ المجموعة غير صحيحة",IF(NOT(OR($H2509="",$N2509&gt;0)),"✖ Start غير صحيح",IF(NOT(OR($I2509="",$I2509="NR",$O2509&gt;0)),"✖ Current غير صحيح",IF(NOT(IF(ISNUMBER($J2509),AND($J2509&gt;=0,$J2509=INT($J2509)),FALSE())),"✖ العدد يجب أن يكون صحيحًا ≥ 0",IF(AND($F2509="Baseline",$H2509&lt;&gt;""),"⚠ Baseline: Start لا يدخل في التقدم",IF($K2509="No Start (attainment only)","ℹ تحصيل فقط (بدون Start)",IF($K2509="U – needs rule","ℹ حالة U تحتاج قاعدة معتمدة",IF($K2509="No result","ℹ بدون نتيجة (يُستبعد من التحصيل)","OK")))))))))))</f>
        <v/>
      </c>
      <c r="M2509" s="64" t="n">
        <f aca="false">IF($A2509="",0,IFERROR(MATCH($A2509,Classes!$A$6:$A$420,0),0))</f>
        <v>0</v>
      </c>
      <c r="N2509" s="64" t="n">
        <f aca="false">IF($H2509="",0,IFERROR(MATCH($H2509,GradeList,0),0))</f>
        <v>0</v>
      </c>
      <c r="O2509" s="64" t="n">
        <f aca="false">IF(OR($I2509="",$I2509="NR"),0,IFERROR(MATCH($I2509,GradeList,0),0))</f>
        <v>0</v>
      </c>
      <c r="P2509" s="64" t="n">
        <f aca="false">IF(AND($M2509&gt;0,ISNUMBER(MATCH($F2509,Lists!$A$2:$A$5,0)),ISNUMBER(MATCH($G2509,Lists!$B$2:$B$7,0)),OR($H2509="",$N2509&gt;0),OR($I2509="",$I2509="NR",$O2509&gt;0),IF(ISNUMBER($J2509),AND($J2509&gt;=0,$J2509=INT($J2509)),FALSE())),$J2509,0)</f>
        <v>0</v>
      </c>
      <c r="Q2509" s="64" t="n">
        <f aca="false">IF(AND($P2509&gt;0,$O2509&gt;0),$P2509,0)</f>
        <v>0</v>
      </c>
      <c r="R2509" s="64" t="n">
        <f aca="false">IF(AND($Q2509&gt;0,$O2509&gt;=AtRank),$Q2509,0)</f>
        <v>0</v>
      </c>
      <c r="S2509" s="64" t="n">
        <f aca="false">IF(AND($Q2509&gt;0,$O2509&gt;=AboveRank),$Q2509,0)</f>
        <v>0</v>
      </c>
      <c r="T2509" s="64" t="n">
        <f aca="false">IF($K2509="Less",$P2509,0)</f>
        <v>0</v>
      </c>
      <c r="U2509" s="64" t="n">
        <f aca="false">IF($K2509="Expected",$P2509,0)</f>
        <v>0</v>
      </c>
      <c r="V2509" s="64" t="n">
        <f aca="false">IF($K2509="Better",$P2509,0)</f>
        <v>0</v>
      </c>
      <c r="W2509" s="64" t="n">
        <f aca="false">IF($K2509="U – needs rule",$P2509,0)</f>
        <v>0</v>
      </c>
      <c r="X2509" s="64" t="n">
        <f aca="false">IF($K2509="No Start (attainment only)",$P2509,0)</f>
        <v>0</v>
      </c>
    </row>
    <row r="2510" customFormat="false" ht="15" hidden="false" customHeight="false" outlineLevel="0" collapsed="false">
      <c r="A2510" s="60"/>
      <c r="B2510" s="61" t="str">
        <f aca="false">IF($M2510=0,"",INDEX(Classes!$E$6:$E$420,$M2510))</f>
        <v/>
      </c>
      <c r="C2510" s="62" t="str">
        <f aca="false">IF($M2510=0,"",INDEX(Classes!$H$6:$H$420,$M2510))</f>
        <v/>
      </c>
      <c r="D2510" s="61" t="str">
        <f aca="false">IF($M2510=0,"",INDEX(Classes!$B$6:$B$420,$M2510))</f>
        <v/>
      </c>
      <c r="E2510" s="61" t="str">
        <f aca="false">IF($M2510=0,"",INDEX(Classes!$C$6:$C$420,$M2510))</f>
        <v/>
      </c>
      <c r="F2510" s="63"/>
      <c r="G2510" s="63"/>
      <c r="H2510" s="60"/>
      <c r="I2510" s="60"/>
      <c r="J2510" s="63"/>
      <c r="K2510" s="61" t="str">
        <f aca="false">IF($P2510=0,"",IF($F2510="Baseline","— Baseline",IF($O2510=0,"No result",IF($N2510=0,"No Start (attainment only)",IF(OR($N2510=1,$O2510=1),"U – needs rule",INDEX(MxBody,MATCH($I2510,MxCurr,0),MATCH($H2510,MxStart,0)))))))</f>
        <v/>
      </c>
      <c r="L2510" s="62" t="str">
        <f aca="false">IF(COUNTA($A2510,$F2510,$G2510,$H2510,$I2510,$J2510)=0,"",IF($M2510=0,"✖ كود الصف غير موجود",IF(ISNA(MATCH($F2510,Lists!$A$2:$A$5,0)),"✖ الفترة غير صحيحة",IF(ISNA(MATCH($G2510,Lists!$B$2:$B$7,0)),"✖ المجموعة غير صحيحة",IF(NOT(OR($H2510="",$N2510&gt;0)),"✖ Start غير صحيح",IF(NOT(OR($I2510="",$I2510="NR",$O2510&gt;0)),"✖ Current غير صحيح",IF(NOT(IF(ISNUMBER($J2510),AND($J2510&gt;=0,$J2510=INT($J2510)),FALSE())),"✖ العدد يجب أن يكون صحيحًا ≥ 0",IF(AND($F2510="Baseline",$H2510&lt;&gt;""),"⚠ Baseline: Start لا يدخل في التقدم",IF($K2510="No Start (attainment only)","ℹ تحصيل فقط (بدون Start)",IF($K2510="U – needs rule","ℹ حالة U تحتاج قاعدة معتمدة",IF($K2510="No result","ℹ بدون نتيجة (يُستبعد من التحصيل)","OK")))))))))))</f>
        <v/>
      </c>
      <c r="M2510" s="64" t="n">
        <f aca="false">IF($A2510="",0,IFERROR(MATCH($A2510,Classes!$A$6:$A$420,0),0))</f>
        <v>0</v>
      </c>
      <c r="N2510" s="64" t="n">
        <f aca="false">IF($H2510="",0,IFERROR(MATCH($H2510,GradeList,0),0))</f>
        <v>0</v>
      </c>
      <c r="O2510" s="64" t="n">
        <f aca="false">IF(OR($I2510="",$I2510="NR"),0,IFERROR(MATCH($I2510,GradeList,0),0))</f>
        <v>0</v>
      </c>
      <c r="P2510" s="64" t="n">
        <f aca="false">IF(AND($M2510&gt;0,ISNUMBER(MATCH($F2510,Lists!$A$2:$A$5,0)),ISNUMBER(MATCH($G2510,Lists!$B$2:$B$7,0)),OR($H2510="",$N2510&gt;0),OR($I2510="",$I2510="NR",$O2510&gt;0),IF(ISNUMBER($J2510),AND($J2510&gt;=0,$J2510=INT($J2510)),FALSE())),$J2510,0)</f>
        <v>0</v>
      </c>
      <c r="Q2510" s="64" t="n">
        <f aca="false">IF(AND($P2510&gt;0,$O2510&gt;0),$P2510,0)</f>
        <v>0</v>
      </c>
      <c r="R2510" s="64" t="n">
        <f aca="false">IF(AND($Q2510&gt;0,$O2510&gt;=AtRank),$Q2510,0)</f>
        <v>0</v>
      </c>
      <c r="S2510" s="64" t="n">
        <f aca="false">IF(AND($Q2510&gt;0,$O2510&gt;=AboveRank),$Q2510,0)</f>
        <v>0</v>
      </c>
      <c r="T2510" s="64" t="n">
        <f aca="false">IF($K2510="Less",$P2510,0)</f>
        <v>0</v>
      </c>
      <c r="U2510" s="64" t="n">
        <f aca="false">IF($K2510="Expected",$P2510,0)</f>
        <v>0</v>
      </c>
      <c r="V2510" s="64" t="n">
        <f aca="false">IF($K2510="Better",$P2510,0)</f>
        <v>0</v>
      </c>
      <c r="W2510" s="64" t="n">
        <f aca="false">IF($K2510="U – needs rule",$P2510,0)</f>
        <v>0</v>
      </c>
      <c r="X2510" s="64" t="n">
        <f aca="false">IF($K2510="No Start (attainment only)",$P2510,0)</f>
        <v>0</v>
      </c>
    </row>
    <row r="2511" customFormat="false" ht="15" hidden="false" customHeight="false" outlineLevel="0" collapsed="false">
      <c r="A2511" s="60"/>
      <c r="B2511" s="61" t="str">
        <f aca="false">IF($M2511=0,"",INDEX(Classes!$E$6:$E$420,$M2511))</f>
        <v/>
      </c>
      <c r="C2511" s="62" t="str">
        <f aca="false">IF($M2511=0,"",INDEX(Classes!$H$6:$H$420,$M2511))</f>
        <v/>
      </c>
      <c r="D2511" s="61" t="str">
        <f aca="false">IF($M2511=0,"",INDEX(Classes!$B$6:$B$420,$M2511))</f>
        <v/>
      </c>
      <c r="E2511" s="61" t="str">
        <f aca="false">IF($M2511=0,"",INDEX(Classes!$C$6:$C$420,$M2511))</f>
        <v/>
      </c>
      <c r="F2511" s="63"/>
      <c r="G2511" s="63"/>
      <c r="H2511" s="60"/>
      <c r="I2511" s="60"/>
      <c r="J2511" s="63"/>
      <c r="K2511" s="61" t="str">
        <f aca="false">IF($P2511=0,"",IF($F2511="Baseline","— Baseline",IF($O2511=0,"No result",IF($N2511=0,"No Start (attainment only)",IF(OR($N2511=1,$O2511=1),"U – needs rule",INDEX(MxBody,MATCH($I2511,MxCurr,0),MATCH($H2511,MxStart,0)))))))</f>
        <v/>
      </c>
      <c r="L2511" s="62" t="str">
        <f aca="false">IF(COUNTA($A2511,$F2511,$G2511,$H2511,$I2511,$J2511)=0,"",IF($M2511=0,"✖ كود الصف غير موجود",IF(ISNA(MATCH($F2511,Lists!$A$2:$A$5,0)),"✖ الفترة غير صحيحة",IF(ISNA(MATCH($G2511,Lists!$B$2:$B$7,0)),"✖ المجموعة غير صحيحة",IF(NOT(OR($H2511="",$N2511&gt;0)),"✖ Start غير صحيح",IF(NOT(OR($I2511="",$I2511="NR",$O2511&gt;0)),"✖ Current غير صحيح",IF(NOT(IF(ISNUMBER($J2511),AND($J2511&gt;=0,$J2511=INT($J2511)),FALSE())),"✖ العدد يجب أن يكون صحيحًا ≥ 0",IF(AND($F2511="Baseline",$H2511&lt;&gt;""),"⚠ Baseline: Start لا يدخل في التقدم",IF($K2511="No Start (attainment only)","ℹ تحصيل فقط (بدون Start)",IF($K2511="U – needs rule","ℹ حالة U تحتاج قاعدة معتمدة",IF($K2511="No result","ℹ بدون نتيجة (يُستبعد من التحصيل)","OK")))))))))))</f>
        <v/>
      </c>
      <c r="M2511" s="64" t="n">
        <f aca="false">IF($A2511="",0,IFERROR(MATCH($A2511,Classes!$A$6:$A$420,0),0))</f>
        <v>0</v>
      </c>
      <c r="N2511" s="64" t="n">
        <f aca="false">IF($H2511="",0,IFERROR(MATCH($H2511,GradeList,0),0))</f>
        <v>0</v>
      </c>
      <c r="O2511" s="64" t="n">
        <f aca="false">IF(OR($I2511="",$I2511="NR"),0,IFERROR(MATCH($I2511,GradeList,0),0))</f>
        <v>0</v>
      </c>
      <c r="P2511" s="64" t="n">
        <f aca="false">IF(AND($M2511&gt;0,ISNUMBER(MATCH($F2511,Lists!$A$2:$A$5,0)),ISNUMBER(MATCH($G2511,Lists!$B$2:$B$7,0)),OR($H2511="",$N2511&gt;0),OR($I2511="",$I2511="NR",$O2511&gt;0),IF(ISNUMBER($J2511),AND($J2511&gt;=0,$J2511=INT($J2511)),FALSE())),$J2511,0)</f>
        <v>0</v>
      </c>
      <c r="Q2511" s="64" t="n">
        <f aca="false">IF(AND($P2511&gt;0,$O2511&gt;0),$P2511,0)</f>
        <v>0</v>
      </c>
      <c r="R2511" s="64" t="n">
        <f aca="false">IF(AND($Q2511&gt;0,$O2511&gt;=AtRank),$Q2511,0)</f>
        <v>0</v>
      </c>
      <c r="S2511" s="64" t="n">
        <f aca="false">IF(AND($Q2511&gt;0,$O2511&gt;=AboveRank),$Q2511,0)</f>
        <v>0</v>
      </c>
      <c r="T2511" s="64" t="n">
        <f aca="false">IF($K2511="Less",$P2511,0)</f>
        <v>0</v>
      </c>
      <c r="U2511" s="64" t="n">
        <f aca="false">IF($K2511="Expected",$P2511,0)</f>
        <v>0</v>
      </c>
      <c r="V2511" s="64" t="n">
        <f aca="false">IF($K2511="Better",$P2511,0)</f>
        <v>0</v>
      </c>
      <c r="W2511" s="64" t="n">
        <f aca="false">IF($K2511="U – needs rule",$P2511,0)</f>
        <v>0</v>
      </c>
      <c r="X2511" s="64" t="n">
        <f aca="false">IF($K2511="No Start (attainment only)",$P2511,0)</f>
        <v>0</v>
      </c>
    </row>
    <row r="2512" customFormat="false" ht="15" hidden="false" customHeight="false" outlineLevel="0" collapsed="false">
      <c r="A2512" s="60"/>
      <c r="B2512" s="61" t="str">
        <f aca="false">IF($M2512=0,"",INDEX(Classes!$E$6:$E$420,$M2512))</f>
        <v/>
      </c>
      <c r="C2512" s="62" t="str">
        <f aca="false">IF($M2512=0,"",INDEX(Classes!$H$6:$H$420,$M2512))</f>
        <v/>
      </c>
      <c r="D2512" s="61" t="str">
        <f aca="false">IF($M2512=0,"",INDEX(Classes!$B$6:$B$420,$M2512))</f>
        <v/>
      </c>
      <c r="E2512" s="61" t="str">
        <f aca="false">IF($M2512=0,"",INDEX(Classes!$C$6:$C$420,$M2512))</f>
        <v/>
      </c>
      <c r="F2512" s="63"/>
      <c r="G2512" s="63"/>
      <c r="H2512" s="60"/>
      <c r="I2512" s="60"/>
      <c r="J2512" s="63"/>
      <c r="K2512" s="61" t="str">
        <f aca="false">IF($P2512=0,"",IF($F2512="Baseline","— Baseline",IF($O2512=0,"No result",IF($N2512=0,"No Start (attainment only)",IF(OR($N2512=1,$O2512=1),"U – needs rule",INDEX(MxBody,MATCH($I2512,MxCurr,0),MATCH($H2512,MxStart,0)))))))</f>
        <v/>
      </c>
      <c r="L2512" s="62" t="str">
        <f aca="false">IF(COUNTA($A2512,$F2512,$G2512,$H2512,$I2512,$J2512)=0,"",IF($M2512=0,"✖ كود الصف غير موجود",IF(ISNA(MATCH($F2512,Lists!$A$2:$A$5,0)),"✖ الفترة غير صحيحة",IF(ISNA(MATCH($G2512,Lists!$B$2:$B$7,0)),"✖ المجموعة غير صحيحة",IF(NOT(OR($H2512="",$N2512&gt;0)),"✖ Start غير صحيح",IF(NOT(OR($I2512="",$I2512="NR",$O2512&gt;0)),"✖ Current غير صحيح",IF(NOT(IF(ISNUMBER($J2512),AND($J2512&gt;=0,$J2512=INT($J2512)),FALSE())),"✖ العدد يجب أن يكون صحيحًا ≥ 0",IF(AND($F2512="Baseline",$H2512&lt;&gt;""),"⚠ Baseline: Start لا يدخل في التقدم",IF($K2512="No Start (attainment only)","ℹ تحصيل فقط (بدون Start)",IF($K2512="U – needs rule","ℹ حالة U تحتاج قاعدة معتمدة",IF($K2512="No result","ℹ بدون نتيجة (يُستبعد من التحصيل)","OK")))))))))))</f>
        <v/>
      </c>
      <c r="M2512" s="64" t="n">
        <f aca="false">IF($A2512="",0,IFERROR(MATCH($A2512,Classes!$A$6:$A$420,0),0))</f>
        <v>0</v>
      </c>
      <c r="N2512" s="64" t="n">
        <f aca="false">IF($H2512="",0,IFERROR(MATCH($H2512,GradeList,0),0))</f>
        <v>0</v>
      </c>
      <c r="O2512" s="64" t="n">
        <f aca="false">IF(OR($I2512="",$I2512="NR"),0,IFERROR(MATCH($I2512,GradeList,0),0))</f>
        <v>0</v>
      </c>
      <c r="P2512" s="64" t="n">
        <f aca="false">IF(AND($M2512&gt;0,ISNUMBER(MATCH($F2512,Lists!$A$2:$A$5,0)),ISNUMBER(MATCH($G2512,Lists!$B$2:$B$7,0)),OR($H2512="",$N2512&gt;0),OR($I2512="",$I2512="NR",$O2512&gt;0),IF(ISNUMBER($J2512),AND($J2512&gt;=0,$J2512=INT($J2512)),FALSE())),$J2512,0)</f>
        <v>0</v>
      </c>
      <c r="Q2512" s="64" t="n">
        <f aca="false">IF(AND($P2512&gt;0,$O2512&gt;0),$P2512,0)</f>
        <v>0</v>
      </c>
      <c r="R2512" s="64" t="n">
        <f aca="false">IF(AND($Q2512&gt;0,$O2512&gt;=AtRank),$Q2512,0)</f>
        <v>0</v>
      </c>
      <c r="S2512" s="64" t="n">
        <f aca="false">IF(AND($Q2512&gt;0,$O2512&gt;=AboveRank),$Q2512,0)</f>
        <v>0</v>
      </c>
      <c r="T2512" s="64" t="n">
        <f aca="false">IF($K2512="Less",$P2512,0)</f>
        <v>0</v>
      </c>
      <c r="U2512" s="64" t="n">
        <f aca="false">IF($K2512="Expected",$P2512,0)</f>
        <v>0</v>
      </c>
      <c r="V2512" s="64" t="n">
        <f aca="false">IF($K2512="Better",$P2512,0)</f>
        <v>0</v>
      </c>
      <c r="W2512" s="64" t="n">
        <f aca="false">IF($K2512="U – needs rule",$P2512,0)</f>
        <v>0</v>
      </c>
      <c r="X2512" s="64" t="n">
        <f aca="false">IF($K2512="No Start (attainment only)",$P2512,0)</f>
        <v>0</v>
      </c>
    </row>
    <row r="2513" customFormat="false" ht="15" hidden="false" customHeight="false" outlineLevel="0" collapsed="false">
      <c r="A2513" s="60"/>
      <c r="B2513" s="61" t="str">
        <f aca="false">IF($M2513=0,"",INDEX(Classes!$E$6:$E$420,$M2513))</f>
        <v/>
      </c>
      <c r="C2513" s="62" t="str">
        <f aca="false">IF($M2513=0,"",INDEX(Classes!$H$6:$H$420,$M2513))</f>
        <v/>
      </c>
      <c r="D2513" s="61" t="str">
        <f aca="false">IF($M2513=0,"",INDEX(Classes!$B$6:$B$420,$M2513))</f>
        <v/>
      </c>
      <c r="E2513" s="61" t="str">
        <f aca="false">IF($M2513=0,"",INDEX(Classes!$C$6:$C$420,$M2513))</f>
        <v/>
      </c>
      <c r="F2513" s="63"/>
      <c r="G2513" s="63"/>
      <c r="H2513" s="60"/>
      <c r="I2513" s="60"/>
      <c r="J2513" s="63"/>
      <c r="K2513" s="61" t="str">
        <f aca="false">IF($P2513=0,"",IF($F2513="Baseline","— Baseline",IF($O2513=0,"No result",IF($N2513=0,"No Start (attainment only)",IF(OR($N2513=1,$O2513=1),"U – needs rule",INDEX(MxBody,MATCH($I2513,MxCurr,0),MATCH($H2513,MxStart,0)))))))</f>
        <v/>
      </c>
      <c r="L2513" s="62" t="str">
        <f aca="false">IF(COUNTA($A2513,$F2513,$G2513,$H2513,$I2513,$J2513)=0,"",IF($M2513=0,"✖ كود الصف غير موجود",IF(ISNA(MATCH($F2513,Lists!$A$2:$A$5,0)),"✖ الفترة غير صحيحة",IF(ISNA(MATCH($G2513,Lists!$B$2:$B$7,0)),"✖ المجموعة غير صحيحة",IF(NOT(OR($H2513="",$N2513&gt;0)),"✖ Start غير صحيح",IF(NOT(OR($I2513="",$I2513="NR",$O2513&gt;0)),"✖ Current غير صحيح",IF(NOT(IF(ISNUMBER($J2513),AND($J2513&gt;=0,$J2513=INT($J2513)),FALSE())),"✖ العدد يجب أن يكون صحيحًا ≥ 0",IF(AND($F2513="Baseline",$H2513&lt;&gt;""),"⚠ Baseline: Start لا يدخل في التقدم",IF($K2513="No Start (attainment only)","ℹ تحصيل فقط (بدون Start)",IF($K2513="U – needs rule","ℹ حالة U تحتاج قاعدة معتمدة",IF($K2513="No result","ℹ بدون نتيجة (يُستبعد من التحصيل)","OK")))))))))))</f>
        <v/>
      </c>
      <c r="M2513" s="64" t="n">
        <f aca="false">IF($A2513="",0,IFERROR(MATCH($A2513,Classes!$A$6:$A$420,0),0))</f>
        <v>0</v>
      </c>
      <c r="N2513" s="64" t="n">
        <f aca="false">IF($H2513="",0,IFERROR(MATCH($H2513,GradeList,0),0))</f>
        <v>0</v>
      </c>
      <c r="O2513" s="64" t="n">
        <f aca="false">IF(OR($I2513="",$I2513="NR"),0,IFERROR(MATCH($I2513,GradeList,0),0))</f>
        <v>0</v>
      </c>
      <c r="P2513" s="64" t="n">
        <f aca="false">IF(AND($M2513&gt;0,ISNUMBER(MATCH($F2513,Lists!$A$2:$A$5,0)),ISNUMBER(MATCH($G2513,Lists!$B$2:$B$7,0)),OR($H2513="",$N2513&gt;0),OR($I2513="",$I2513="NR",$O2513&gt;0),IF(ISNUMBER($J2513),AND($J2513&gt;=0,$J2513=INT($J2513)),FALSE())),$J2513,0)</f>
        <v>0</v>
      </c>
      <c r="Q2513" s="64" t="n">
        <f aca="false">IF(AND($P2513&gt;0,$O2513&gt;0),$P2513,0)</f>
        <v>0</v>
      </c>
      <c r="R2513" s="64" t="n">
        <f aca="false">IF(AND($Q2513&gt;0,$O2513&gt;=AtRank),$Q2513,0)</f>
        <v>0</v>
      </c>
      <c r="S2513" s="64" t="n">
        <f aca="false">IF(AND($Q2513&gt;0,$O2513&gt;=AboveRank),$Q2513,0)</f>
        <v>0</v>
      </c>
      <c r="T2513" s="64" t="n">
        <f aca="false">IF($K2513="Less",$P2513,0)</f>
        <v>0</v>
      </c>
      <c r="U2513" s="64" t="n">
        <f aca="false">IF($K2513="Expected",$P2513,0)</f>
        <v>0</v>
      </c>
      <c r="V2513" s="64" t="n">
        <f aca="false">IF($K2513="Better",$P2513,0)</f>
        <v>0</v>
      </c>
      <c r="W2513" s="64" t="n">
        <f aca="false">IF($K2513="U – needs rule",$P2513,0)</f>
        <v>0</v>
      </c>
      <c r="X2513" s="64" t="n">
        <f aca="false">IF($K2513="No Start (attainment only)",$P2513,0)</f>
        <v>0</v>
      </c>
    </row>
    <row r="2514" customFormat="false" ht="15" hidden="false" customHeight="false" outlineLevel="0" collapsed="false">
      <c r="A2514" s="60"/>
      <c r="B2514" s="61" t="str">
        <f aca="false">IF($M2514=0,"",INDEX(Classes!$E$6:$E$420,$M2514))</f>
        <v/>
      </c>
      <c r="C2514" s="62" t="str">
        <f aca="false">IF($M2514=0,"",INDEX(Classes!$H$6:$H$420,$M2514))</f>
        <v/>
      </c>
      <c r="D2514" s="61" t="str">
        <f aca="false">IF($M2514=0,"",INDEX(Classes!$B$6:$B$420,$M2514))</f>
        <v/>
      </c>
      <c r="E2514" s="61" t="str">
        <f aca="false">IF($M2514=0,"",INDEX(Classes!$C$6:$C$420,$M2514))</f>
        <v/>
      </c>
      <c r="F2514" s="63"/>
      <c r="G2514" s="63"/>
      <c r="H2514" s="60"/>
      <c r="I2514" s="60"/>
      <c r="J2514" s="63"/>
      <c r="K2514" s="61" t="str">
        <f aca="false">IF($P2514=0,"",IF($F2514="Baseline","— Baseline",IF($O2514=0,"No result",IF($N2514=0,"No Start (attainment only)",IF(OR($N2514=1,$O2514=1),"U – needs rule",INDEX(MxBody,MATCH($I2514,MxCurr,0),MATCH($H2514,MxStart,0)))))))</f>
        <v/>
      </c>
      <c r="L2514" s="62" t="str">
        <f aca="false">IF(COUNTA($A2514,$F2514,$G2514,$H2514,$I2514,$J2514)=0,"",IF($M2514=0,"✖ كود الصف غير موجود",IF(ISNA(MATCH($F2514,Lists!$A$2:$A$5,0)),"✖ الفترة غير صحيحة",IF(ISNA(MATCH($G2514,Lists!$B$2:$B$7,0)),"✖ المجموعة غير صحيحة",IF(NOT(OR($H2514="",$N2514&gt;0)),"✖ Start غير صحيح",IF(NOT(OR($I2514="",$I2514="NR",$O2514&gt;0)),"✖ Current غير صحيح",IF(NOT(IF(ISNUMBER($J2514),AND($J2514&gt;=0,$J2514=INT($J2514)),FALSE())),"✖ العدد يجب أن يكون صحيحًا ≥ 0",IF(AND($F2514="Baseline",$H2514&lt;&gt;""),"⚠ Baseline: Start لا يدخل في التقدم",IF($K2514="No Start (attainment only)","ℹ تحصيل فقط (بدون Start)",IF($K2514="U – needs rule","ℹ حالة U تحتاج قاعدة معتمدة",IF($K2514="No result","ℹ بدون نتيجة (يُستبعد من التحصيل)","OK")))))))))))</f>
        <v/>
      </c>
      <c r="M2514" s="64" t="n">
        <f aca="false">IF($A2514="",0,IFERROR(MATCH($A2514,Classes!$A$6:$A$420,0),0))</f>
        <v>0</v>
      </c>
      <c r="N2514" s="64" t="n">
        <f aca="false">IF($H2514="",0,IFERROR(MATCH($H2514,GradeList,0),0))</f>
        <v>0</v>
      </c>
      <c r="O2514" s="64" t="n">
        <f aca="false">IF(OR($I2514="",$I2514="NR"),0,IFERROR(MATCH($I2514,GradeList,0),0))</f>
        <v>0</v>
      </c>
      <c r="P2514" s="64" t="n">
        <f aca="false">IF(AND($M2514&gt;0,ISNUMBER(MATCH($F2514,Lists!$A$2:$A$5,0)),ISNUMBER(MATCH($G2514,Lists!$B$2:$B$7,0)),OR($H2514="",$N2514&gt;0),OR($I2514="",$I2514="NR",$O2514&gt;0),IF(ISNUMBER($J2514),AND($J2514&gt;=0,$J2514=INT($J2514)),FALSE())),$J2514,0)</f>
        <v>0</v>
      </c>
      <c r="Q2514" s="64" t="n">
        <f aca="false">IF(AND($P2514&gt;0,$O2514&gt;0),$P2514,0)</f>
        <v>0</v>
      </c>
      <c r="R2514" s="64" t="n">
        <f aca="false">IF(AND($Q2514&gt;0,$O2514&gt;=AtRank),$Q2514,0)</f>
        <v>0</v>
      </c>
      <c r="S2514" s="64" t="n">
        <f aca="false">IF(AND($Q2514&gt;0,$O2514&gt;=AboveRank),$Q2514,0)</f>
        <v>0</v>
      </c>
      <c r="T2514" s="64" t="n">
        <f aca="false">IF($K2514="Less",$P2514,0)</f>
        <v>0</v>
      </c>
      <c r="U2514" s="64" t="n">
        <f aca="false">IF($K2514="Expected",$P2514,0)</f>
        <v>0</v>
      </c>
      <c r="V2514" s="64" t="n">
        <f aca="false">IF($K2514="Better",$P2514,0)</f>
        <v>0</v>
      </c>
      <c r="W2514" s="64" t="n">
        <f aca="false">IF($K2514="U – needs rule",$P2514,0)</f>
        <v>0</v>
      </c>
      <c r="X2514" s="64" t="n">
        <f aca="false">IF($K2514="No Start (attainment only)",$P2514,0)</f>
        <v>0</v>
      </c>
    </row>
    <row r="2515" customFormat="false" ht="15" hidden="false" customHeight="false" outlineLevel="0" collapsed="false">
      <c r="A2515" s="60"/>
      <c r="B2515" s="61" t="str">
        <f aca="false">IF($M2515=0,"",INDEX(Classes!$E$6:$E$420,$M2515))</f>
        <v/>
      </c>
      <c r="C2515" s="62" t="str">
        <f aca="false">IF($M2515=0,"",INDEX(Classes!$H$6:$H$420,$M2515))</f>
        <v/>
      </c>
      <c r="D2515" s="61" t="str">
        <f aca="false">IF($M2515=0,"",INDEX(Classes!$B$6:$B$420,$M2515))</f>
        <v/>
      </c>
      <c r="E2515" s="61" t="str">
        <f aca="false">IF($M2515=0,"",INDEX(Classes!$C$6:$C$420,$M2515))</f>
        <v/>
      </c>
      <c r="F2515" s="63"/>
      <c r="G2515" s="63"/>
      <c r="H2515" s="60"/>
      <c r="I2515" s="60"/>
      <c r="J2515" s="63"/>
      <c r="K2515" s="61" t="str">
        <f aca="false">IF($P2515=0,"",IF($F2515="Baseline","— Baseline",IF($O2515=0,"No result",IF($N2515=0,"No Start (attainment only)",IF(OR($N2515=1,$O2515=1),"U – needs rule",INDEX(MxBody,MATCH($I2515,MxCurr,0),MATCH($H2515,MxStart,0)))))))</f>
        <v/>
      </c>
      <c r="L2515" s="62" t="str">
        <f aca="false">IF(COUNTA($A2515,$F2515,$G2515,$H2515,$I2515,$J2515)=0,"",IF($M2515=0,"✖ كود الصف غير موجود",IF(ISNA(MATCH($F2515,Lists!$A$2:$A$5,0)),"✖ الفترة غير صحيحة",IF(ISNA(MATCH($G2515,Lists!$B$2:$B$7,0)),"✖ المجموعة غير صحيحة",IF(NOT(OR($H2515="",$N2515&gt;0)),"✖ Start غير صحيح",IF(NOT(OR($I2515="",$I2515="NR",$O2515&gt;0)),"✖ Current غير صحيح",IF(NOT(IF(ISNUMBER($J2515),AND($J2515&gt;=0,$J2515=INT($J2515)),FALSE())),"✖ العدد يجب أن يكون صحيحًا ≥ 0",IF(AND($F2515="Baseline",$H2515&lt;&gt;""),"⚠ Baseline: Start لا يدخل في التقدم",IF($K2515="No Start (attainment only)","ℹ تحصيل فقط (بدون Start)",IF($K2515="U – needs rule","ℹ حالة U تحتاج قاعدة معتمدة",IF($K2515="No result","ℹ بدون نتيجة (يُستبعد من التحصيل)","OK")))))))))))</f>
        <v/>
      </c>
      <c r="M2515" s="64" t="n">
        <f aca="false">IF($A2515="",0,IFERROR(MATCH($A2515,Classes!$A$6:$A$420,0),0))</f>
        <v>0</v>
      </c>
      <c r="N2515" s="64" t="n">
        <f aca="false">IF($H2515="",0,IFERROR(MATCH($H2515,GradeList,0),0))</f>
        <v>0</v>
      </c>
      <c r="O2515" s="64" t="n">
        <f aca="false">IF(OR($I2515="",$I2515="NR"),0,IFERROR(MATCH($I2515,GradeList,0),0))</f>
        <v>0</v>
      </c>
      <c r="P2515" s="64" t="n">
        <f aca="false">IF(AND($M2515&gt;0,ISNUMBER(MATCH($F2515,Lists!$A$2:$A$5,0)),ISNUMBER(MATCH($G2515,Lists!$B$2:$B$7,0)),OR($H2515="",$N2515&gt;0),OR($I2515="",$I2515="NR",$O2515&gt;0),IF(ISNUMBER($J2515),AND($J2515&gt;=0,$J2515=INT($J2515)),FALSE())),$J2515,0)</f>
        <v>0</v>
      </c>
      <c r="Q2515" s="64" t="n">
        <f aca="false">IF(AND($P2515&gt;0,$O2515&gt;0),$P2515,0)</f>
        <v>0</v>
      </c>
      <c r="R2515" s="64" t="n">
        <f aca="false">IF(AND($Q2515&gt;0,$O2515&gt;=AtRank),$Q2515,0)</f>
        <v>0</v>
      </c>
      <c r="S2515" s="64" t="n">
        <f aca="false">IF(AND($Q2515&gt;0,$O2515&gt;=AboveRank),$Q2515,0)</f>
        <v>0</v>
      </c>
      <c r="T2515" s="64" t="n">
        <f aca="false">IF($K2515="Less",$P2515,0)</f>
        <v>0</v>
      </c>
      <c r="U2515" s="64" t="n">
        <f aca="false">IF($K2515="Expected",$P2515,0)</f>
        <v>0</v>
      </c>
      <c r="V2515" s="64" t="n">
        <f aca="false">IF($K2515="Better",$P2515,0)</f>
        <v>0</v>
      </c>
      <c r="W2515" s="64" t="n">
        <f aca="false">IF($K2515="U – needs rule",$P2515,0)</f>
        <v>0</v>
      </c>
      <c r="X2515" s="64" t="n">
        <f aca="false">IF($K2515="No Start (attainment only)",$P2515,0)</f>
        <v>0</v>
      </c>
    </row>
    <row r="2516" customFormat="false" ht="15" hidden="false" customHeight="false" outlineLevel="0" collapsed="false">
      <c r="A2516" s="60"/>
      <c r="B2516" s="61" t="str">
        <f aca="false">IF($M2516=0,"",INDEX(Classes!$E$6:$E$420,$M2516))</f>
        <v/>
      </c>
      <c r="C2516" s="62" t="str">
        <f aca="false">IF($M2516=0,"",INDEX(Classes!$H$6:$H$420,$M2516))</f>
        <v/>
      </c>
      <c r="D2516" s="61" t="str">
        <f aca="false">IF($M2516=0,"",INDEX(Classes!$B$6:$B$420,$M2516))</f>
        <v/>
      </c>
      <c r="E2516" s="61" t="str">
        <f aca="false">IF($M2516=0,"",INDEX(Classes!$C$6:$C$420,$M2516))</f>
        <v/>
      </c>
      <c r="F2516" s="63"/>
      <c r="G2516" s="63"/>
      <c r="H2516" s="60"/>
      <c r="I2516" s="60"/>
      <c r="J2516" s="63"/>
      <c r="K2516" s="61" t="str">
        <f aca="false">IF($P2516=0,"",IF($F2516="Baseline","— Baseline",IF($O2516=0,"No result",IF($N2516=0,"No Start (attainment only)",IF(OR($N2516=1,$O2516=1),"U – needs rule",INDEX(MxBody,MATCH($I2516,MxCurr,0),MATCH($H2516,MxStart,0)))))))</f>
        <v/>
      </c>
      <c r="L2516" s="62" t="str">
        <f aca="false">IF(COUNTA($A2516,$F2516,$G2516,$H2516,$I2516,$J2516)=0,"",IF($M2516=0,"✖ كود الصف غير موجود",IF(ISNA(MATCH($F2516,Lists!$A$2:$A$5,0)),"✖ الفترة غير صحيحة",IF(ISNA(MATCH($G2516,Lists!$B$2:$B$7,0)),"✖ المجموعة غير صحيحة",IF(NOT(OR($H2516="",$N2516&gt;0)),"✖ Start غير صحيح",IF(NOT(OR($I2516="",$I2516="NR",$O2516&gt;0)),"✖ Current غير صحيح",IF(NOT(IF(ISNUMBER($J2516),AND($J2516&gt;=0,$J2516=INT($J2516)),FALSE())),"✖ العدد يجب أن يكون صحيحًا ≥ 0",IF(AND($F2516="Baseline",$H2516&lt;&gt;""),"⚠ Baseline: Start لا يدخل في التقدم",IF($K2516="No Start (attainment only)","ℹ تحصيل فقط (بدون Start)",IF($K2516="U – needs rule","ℹ حالة U تحتاج قاعدة معتمدة",IF($K2516="No result","ℹ بدون نتيجة (يُستبعد من التحصيل)","OK")))))))))))</f>
        <v/>
      </c>
      <c r="M2516" s="64" t="n">
        <f aca="false">IF($A2516="",0,IFERROR(MATCH($A2516,Classes!$A$6:$A$420,0),0))</f>
        <v>0</v>
      </c>
      <c r="N2516" s="64" t="n">
        <f aca="false">IF($H2516="",0,IFERROR(MATCH($H2516,GradeList,0),0))</f>
        <v>0</v>
      </c>
      <c r="O2516" s="64" t="n">
        <f aca="false">IF(OR($I2516="",$I2516="NR"),0,IFERROR(MATCH($I2516,GradeList,0),0))</f>
        <v>0</v>
      </c>
      <c r="P2516" s="64" t="n">
        <f aca="false">IF(AND($M2516&gt;0,ISNUMBER(MATCH($F2516,Lists!$A$2:$A$5,0)),ISNUMBER(MATCH($G2516,Lists!$B$2:$B$7,0)),OR($H2516="",$N2516&gt;0),OR($I2516="",$I2516="NR",$O2516&gt;0),IF(ISNUMBER($J2516),AND($J2516&gt;=0,$J2516=INT($J2516)),FALSE())),$J2516,0)</f>
        <v>0</v>
      </c>
      <c r="Q2516" s="64" t="n">
        <f aca="false">IF(AND($P2516&gt;0,$O2516&gt;0),$P2516,0)</f>
        <v>0</v>
      </c>
      <c r="R2516" s="64" t="n">
        <f aca="false">IF(AND($Q2516&gt;0,$O2516&gt;=AtRank),$Q2516,0)</f>
        <v>0</v>
      </c>
      <c r="S2516" s="64" t="n">
        <f aca="false">IF(AND($Q2516&gt;0,$O2516&gt;=AboveRank),$Q2516,0)</f>
        <v>0</v>
      </c>
      <c r="T2516" s="64" t="n">
        <f aca="false">IF($K2516="Less",$P2516,0)</f>
        <v>0</v>
      </c>
      <c r="U2516" s="64" t="n">
        <f aca="false">IF($K2516="Expected",$P2516,0)</f>
        <v>0</v>
      </c>
      <c r="V2516" s="64" t="n">
        <f aca="false">IF($K2516="Better",$P2516,0)</f>
        <v>0</v>
      </c>
      <c r="W2516" s="64" t="n">
        <f aca="false">IF($K2516="U – needs rule",$P2516,0)</f>
        <v>0</v>
      </c>
      <c r="X2516" s="64" t="n">
        <f aca="false">IF($K2516="No Start (attainment only)",$P2516,0)</f>
        <v>0</v>
      </c>
    </row>
    <row r="2517" customFormat="false" ht="15" hidden="false" customHeight="false" outlineLevel="0" collapsed="false">
      <c r="A2517" s="60"/>
      <c r="B2517" s="61" t="str">
        <f aca="false">IF($M2517=0,"",INDEX(Classes!$E$6:$E$420,$M2517))</f>
        <v/>
      </c>
      <c r="C2517" s="62" t="str">
        <f aca="false">IF($M2517=0,"",INDEX(Classes!$H$6:$H$420,$M2517))</f>
        <v/>
      </c>
      <c r="D2517" s="61" t="str">
        <f aca="false">IF($M2517=0,"",INDEX(Classes!$B$6:$B$420,$M2517))</f>
        <v/>
      </c>
      <c r="E2517" s="61" t="str">
        <f aca="false">IF($M2517=0,"",INDEX(Classes!$C$6:$C$420,$M2517))</f>
        <v/>
      </c>
      <c r="F2517" s="63"/>
      <c r="G2517" s="63"/>
      <c r="H2517" s="60"/>
      <c r="I2517" s="60"/>
      <c r="J2517" s="63"/>
      <c r="K2517" s="61" t="str">
        <f aca="false">IF($P2517=0,"",IF($F2517="Baseline","— Baseline",IF($O2517=0,"No result",IF($N2517=0,"No Start (attainment only)",IF(OR($N2517=1,$O2517=1),"U – needs rule",INDEX(MxBody,MATCH($I2517,MxCurr,0),MATCH($H2517,MxStart,0)))))))</f>
        <v/>
      </c>
      <c r="L2517" s="62" t="str">
        <f aca="false">IF(COUNTA($A2517,$F2517,$G2517,$H2517,$I2517,$J2517)=0,"",IF($M2517=0,"✖ كود الصف غير موجود",IF(ISNA(MATCH($F2517,Lists!$A$2:$A$5,0)),"✖ الفترة غير صحيحة",IF(ISNA(MATCH($G2517,Lists!$B$2:$B$7,0)),"✖ المجموعة غير صحيحة",IF(NOT(OR($H2517="",$N2517&gt;0)),"✖ Start غير صحيح",IF(NOT(OR($I2517="",$I2517="NR",$O2517&gt;0)),"✖ Current غير صحيح",IF(NOT(IF(ISNUMBER($J2517),AND($J2517&gt;=0,$J2517=INT($J2517)),FALSE())),"✖ العدد يجب أن يكون صحيحًا ≥ 0",IF(AND($F2517="Baseline",$H2517&lt;&gt;""),"⚠ Baseline: Start لا يدخل في التقدم",IF($K2517="No Start (attainment only)","ℹ تحصيل فقط (بدون Start)",IF($K2517="U – needs rule","ℹ حالة U تحتاج قاعدة معتمدة",IF($K2517="No result","ℹ بدون نتيجة (يُستبعد من التحصيل)","OK")))))))))))</f>
        <v/>
      </c>
      <c r="M2517" s="64" t="n">
        <f aca="false">IF($A2517="",0,IFERROR(MATCH($A2517,Classes!$A$6:$A$420,0),0))</f>
        <v>0</v>
      </c>
      <c r="N2517" s="64" t="n">
        <f aca="false">IF($H2517="",0,IFERROR(MATCH($H2517,GradeList,0),0))</f>
        <v>0</v>
      </c>
      <c r="O2517" s="64" t="n">
        <f aca="false">IF(OR($I2517="",$I2517="NR"),0,IFERROR(MATCH($I2517,GradeList,0),0))</f>
        <v>0</v>
      </c>
      <c r="P2517" s="64" t="n">
        <f aca="false">IF(AND($M2517&gt;0,ISNUMBER(MATCH($F2517,Lists!$A$2:$A$5,0)),ISNUMBER(MATCH($G2517,Lists!$B$2:$B$7,0)),OR($H2517="",$N2517&gt;0),OR($I2517="",$I2517="NR",$O2517&gt;0),IF(ISNUMBER($J2517),AND($J2517&gt;=0,$J2517=INT($J2517)),FALSE())),$J2517,0)</f>
        <v>0</v>
      </c>
      <c r="Q2517" s="64" t="n">
        <f aca="false">IF(AND($P2517&gt;0,$O2517&gt;0),$P2517,0)</f>
        <v>0</v>
      </c>
      <c r="R2517" s="64" t="n">
        <f aca="false">IF(AND($Q2517&gt;0,$O2517&gt;=AtRank),$Q2517,0)</f>
        <v>0</v>
      </c>
      <c r="S2517" s="64" t="n">
        <f aca="false">IF(AND($Q2517&gt;0,$O2517&gt;=AboveRank),$Q2517,0)</f>
        <v>0</v>
      </c>
      <c r="T2517" s="64" t="n">
        <f aca="false">IF($K2517="Less",$P2517,0)</f>
        <v>0</v>
      </c>
      <c r="U2517" s="64" t="n">
        <f aca="false">IF($K2517="Expected",$P2517,0)</f>
        <v>0</v>
      </c>
      <c r="V2517" s="64" t="n">
        <f aca="false">IF($K2517="Better",$P2517,0)</f>
        <v>0</v>
      </c>
      <c r="W2517" s="64" t="n">
        <f aca="false">IF($K2517="U – needs rule",$P2517,0)</f>
        <v>0</v>
      </c>
      <c r="X2517" s="64" t="n">
        <f aca="false">IF($K2517="No Start (attainment only)",$P2517,0)</f>
        <v>0</v>
      </c>
    </row>
    <row r="2518" customFormat="false" ht="15" hidden="false" customHeight="false" outlineLevel="0" collapsed="false">
      <c r="A2518" s="60"/>
      <c r="B2518" s="61" t="str">
        <f aca="false">IF($M2518=0,"",INDEX(Classes!$E$6:$E$420,$M2518))</f>
        <v/>
      </c>
      <c r="C2518" s="62" t="str">
        <f aca="false">IF($M2518=0,"",INDEX(Classes!$H$6:$H$420,$M2518))</f>
        <v/>
      </c>
      <c r="D2518" s="61" t="str">
        <f aca="false">IF($M2518=0,"",INDEX(Classes!$B$6:$B$420,$M2518))</f>
        <v/>
      </c>
      <c r="E2518" s="61" t="str">
        <f aca="false">IF($M2518=0,"",INDEX(Classes!$C$6:$C$420,$M2518))</f>
        <v/>
      </c>
      <c r="F2518" s="63"/>
      <c r="G2518" s="63"/>
      <c r="H2518" s="60"/>
      <c r="I2518" s="60"/>
      <c r="J2518" s="63"/>
      <c r="K2518" s="61" t="str">
        <f aca="false">IF($P2518=0,"",IF($F2518="Baseline","— Baseline",IF($O2518=0,"No result",IF($N2518=0,"No Start (attainment only)",IF(OR($N2518=1,$O2518=1),"U – needs rule",INDEX(MxBody,MATCH($I2518,MxCurr,0),MATCH($H2518,MxStart,0)))))))</f>
        <v/>
      </c>
      <c r="L2518" s="62" t="str">
        <f aca="false">IF(COUNTA($A2518,$F2518,$G2518,$H2518,$I2518,$J2518)=0,"",IF($M2518=0,"✖ كود الصف غير موجود",IF(ISNA(MATCH($F2518,Lists!$A$2:$A$5,0)),"✖ الفترة غير صحيحة",IF(ISNA(MATCH($G2518,Lists!$B$2:$B$7,0)),"✖ المجموعة غير صحيحة",IF(NOT(OR($H2518="",$N2518&gt;0)),"✖ Start غير صحيح",IF(NOT(OR($I2518="",$I2518="NR",$O2518&gt;0)),"✖ Current غير صحيح",IF(NOT(IF(ISNUMBER($J2518),AND($J2518&gt;=0,$J2518=INT($J2518)),FALSE())),"✖ العدد يجب أن يكون صحيحًا ≥ 0",IF(AND($F2518="Baseline",$H2518&lt;&gt;""),"⚠ Baseline: Start لا يدخل في التقدم",IF($K2518="No Start (attainment only)","ℹ تحصيل فقط (بدون Start)",IF($K2518="U – needs rule","ℹ حالة U تحتاج قاعدة معتمدة",IF($K2518="No result","ℹ بدون نتيجة (يُستبعد من التحصيل)","OK")))))))))))</f>
        <v/>
      </c>
      <c r="M2518" s="64" t="n">
        <f aca="false">IF($A2518="",0,IFERROR(MATCH($A2518,Classes!$A$6:$A$420,0),0))</f>
        <v>0</v>
      </c>
      <c r="N2518" s="64" t="n">
        <f aca="false">IF($H2518="",0,IFERROR(MATCH($H2518,GradeList,0),0))</f>
        <v>0</v>
      </c>
      <c r="O2518" s="64" t="n">
        <f aca="false">IF(OR($I2518="",$I2518="NR"),0,IFERROR(MATCH($I2518,GradeList,0),0))</f>
        <v>0</v>
      </c>
      <c r="P2518" s="64" t="n">
        <f aca="false">IF(AND($M2518&gt;0,ISNUMBER(MATCH($F2518,Lists!$A$2:$A$5,0)),ISNUMBER(MATCH($G2518,Lists!$B$2:$B$7,0)),OR($H2518="",$N2518&gt;0),OR($I2518="",$I2518="NR",$O2518&gt;0),IF(ISNUMBER($J2518),AND($J2518&gt;=0,$J2518=INT($J2518)),FALSE())),$J2518,0)</f>
        <v>0</v>
      </c>
      <c r="Q2518" s="64" t="n">
        <f aca="false">IF(AND($P2518&gt;0,$O2518&gt;0),$P2518,0)</f>
        <v>0</v>
      </c>
      <c r="R2518" s="64" t="n">
        <f aca="false">IF(AND($Q2518&gt;0,$O2518&gt;=AtRank),$Q2518,0)</f>
        <v>0</v>
      </c>
      <c r="S2518" s="64" t="n">
        <f aca="false">IF(AND($Q2518&gt;0,$O2518&gt;=AboveRank),$Q2518,0)</f>
        <v>0</v>
      </c>
      <c r="T2518" s="64" t="n">
        <f aca="false">IF($K2518="Less",$P2518,0)</f>
        <v>0</v>
      </c>
      <c r="U2518" s="64" t="n">
        <f aca="false">IF($K2518="Expected",$P2518,0)</f>
        <v>0</v>
      </c>
      <c r="V2518" s="64" t="n">
        <f aca="false">IF($K2518="Better",$P2518,0)</f>
        <v>0</v>
      </c>
      <c r="W2518" s="64" t="n">
        <f aca="false">IF($K2518="U – needs rule",$P2518,0)</f>
        <v>0</v>
      </c>
      <c r="X2518" s="64" t="n">
        <f aca="false">IF($K2518="No Start (attainment only)",$P2518,0)</f>
        <v>0</v>
      </c>
    </row>
    <row r="2519" customFormat="false" ht="15" hidden="false" customHeight="false" outlineLevel="0" collapsed="false">
      <c r="A2519" s="60"/>
      <c r="B2519" s="61" t="str">
        <f aca="false">IF($M2519=0,"",INDEX(Classes!$E$6:$E$420,$M2519))</f>
        <v/>
      </c>
      <c r="C2519" s="62" t="str">
        <f aca="false">IF($M2519=0,"",INDEX(Classes!$H$6:$H$420,$M2519))</f>
        <v/>
      </c>
      <c r="D2519" s="61" t="str">
        <f aca="false">IF($M2519=0,"",INDEX(Classes!$B$6:$B$420,$M2519))</f>
        <v/>
      </c>
      <c r="E2519" s="61" t="str">
        <f aca="false">IF($M2519=0,"",INDEX(Classes!$C$6:$C$420,$M2519))</f>
        <v/>
      </c>
      <c r="F2519" s="63"/>
      <c r="G2519" s="63"/>
      <c r="H2519" s="60"/>
      <c r="I2519" s="60"/>
      <c r="J2519" s="63"/>
      <c r="K2519" s="61" t="str">
        <f aca="false">IF($P2519=0,"",IF($F2519="Baseline","— Baseline",IF($O2519=0,"No result",IF($N2519=0,"No Start (attainment only)",IF(OR($N2519=1,$O2519=1),"U – needs rule",INDEX(MxBody,MATCH($I2519,MxCurr,0),MATCH($H2519,MxStart,0)))))))</f>
        <v/>
      </c>
      <c r="L2519" s="62" t="str">
        <f aca="false">IF(COUNTA($A2519,$F2519,$G2519,$H2519,$I2519,$J2519)=0,"",IF($M2519=0,"✖ كود الصف غير موجود",IF(ISNA(MATCH($F2519,Lists!$A$2:$A$5,0)),"✖ الفترة غير صحيحة",IF(ISNA(MATCH($G2519,Lists!$B$2:$B$7,0)),"✖ المجموعة غير صحيحة",IF(NOT(OR($H2519="",$N2519&gt;0)),"✖ Start غير صحيح",IF(NOT(OR($I2519="",$I2519="NR",$O2519&gt;0)),"✖ Current غير صحيح",IF(NOT(IF(ISNUMBER($J2519),AND($J2519&gt;=0,$J2519=INT($J2519)),FALSE())),"✖ العدد يجب أن يكون صحيحًا ≥ 0",IF(AND($F2519="Baseline",$H2519&lt;&gt;""),"⚠ Baseline: Start لا يدخل في التقدم",IF($K2519="No Start (attainment only)","ℹ تحصيل فقط (بدون Start)",IF($K2519="U – needs rule","ℹ حالة U تحتاج قاعدة معتمدة",IF($K2519="No result","ℹ بدون نتيجة (يُستبعد من التحصيل)","OK")))))))))))</f>
        <v/>
      </c>
      <c r="M2519" s="64" t="n">
        <f aca="false">IF($A2519="",0,IFERROR(MATCH($A2519,Classes!$A$6:$A$420,0),0))</f>
        <v>0</v>
      </c>
      <c r="N2519" s="64" t="n">
        <f aca="false">IF($H2519="",0,IFERROR(MATCH($H2519,GradeList,0),0))</f>
        <v>0</v>
      </c>
      <c r="O2519" s="64" t="n">
        <f aca="false">IF(OR($I2519="",$I2519="NR"),0,IFERROR(MATCH($I2519,GradeList,0),0))</f>
        <v>0</v>
      </c>
      <c r="P2519" s="64" t="n">
        <f aca="false">IF(AND($M2519&gt;0,ISNUMBER(MATCH($F2519,Lists!$A$2:$A$5,0)),ISNUMBER(MATCH($G2519,Lists!$B$2:$B$7,0)),OR($H2519="",$N2519&gt;0),OR($I2519="",$I2519="NR",$O2519&gt;0),IF(ISNUMBER($J2519),AND($J2519&gt;=0,$J2519=INT($J2519)),FALSE())),$J2519,0)</f>
        <v>0</v>
      </c>
      <c r="Q2519" s="64" t="n">
        <f aca="false">IF(AND($P2519&gt;0,$O2519&gt;0),$P2519,0)</f>
        <v>0</v>
      </c>
      <c r="R2519" s="64" t="n">
        <f aca="false">IF(AND($Q2519&gt;0,$O2519&gt;=AtRank),$Q2519,0)</f>
        <v>0</v>
      </c>
      <c r="S2519" s="64" t="n">
        <f aca="false">IF(AND($Q2519&gt;0,$O2519&gt;=AboveRank),$Q2519,0)</f>
        <v>0</v>
      </c>
      <c r="T2519" s="64" t="n">
        <f aca="false">IF($K2519="Less",$P2519,0)</f>
        <v>0</v>
      </c>
      <c r="U2519" s="64" t="n">
        <f aca="false">IF($K2519="Expected",$P2519,0)</f>
        <v>0</v>
      </c>
      <c r="V2519" s="64" t="n">
        <f aca="false">IF($K2519="Better",$P2519,0)</f>
        <v>0</v>
      </c>
      <c r="W2519" s="64" t="n">
        <f aca="false">IF($K2519="U – needs rule",$P2519,0)</f>
        <v>0</v>
      </c>
      <c r="X2519" s="64" t="n">
        <f aca="false">IF($K2519="No Start (attainment only)",$P2519,0)</f>
        <v>0</v>
      </c>
    </row>
    <row r="2520" customFormat="false" ht="15" hidden="false" customHeight="false" outlineLevel="0" collapsed="false">
      <c r="A2520" s="60"/>
      <c r="B2520" s="61" t="str">
        <f aca="false">IF($M2520=0,"",INDEX(Classes!$E$6:$E$420,$M2520))</f>
        <v/>
      </c>
      <c r="C2520" s="62" t="str">
        <f aca="false">IF($M2520=0,"",INDEX(Classes!$H$6:$H$420,$M2520))</f>
        <v/>
      </c>
      <c r="D2520" s="61" t="str">
        <f aca="false">IF($M2520=0,"",INDEX(Classes!$B$6:$B$420,$M2520))</f>
        <v/>
      </c>
      <c r="E2520" s="61" t="str">
        <f aca="false">IF($M2520=0,"",INDEX(Classes!$C$6:$C$420,$M2520))</f>
        <v/>
      </c>
      <c r="F2520" s="63"/>
      <c r="G2520" s="63"/>
      <c r="H2520" s="60"/>
      <c r="I2520" s="60"/>
      <c r="J2520" s="63"/>
      <c r="K2520" s="61" t="str">
        <f aca="false">IF($P2520=0,"",IF($F2520="Baseline","— Baseline",IF($O2520=0,"No result",IF($N2520=0,"No Start (attainment only)",IF(OR($N2520=1,$O2520=1),"U – needs rule",INDEX(MxBody,MATCH($I2520,MxCurr,0),MATCH($H2520,MxStart,0)))))))</f>
        <v/>
      </c>
      <c r="L2520" s="62" t="str">
        <f aca="false">IF(COUNTA($A2520,$F2520,$G2520,$H2520,$I2520,$J2520)=0,"",IF($M2520=0,"✖ كود الصف غير موجود",IF(ISNA(MATCH($F2520,Lists!$A$2:$A$5,0)),"✖ الفترة غير صحيحة",IF(ISNA(MATCH($G2520,Lists!$B$2:$B$7,0)),"✖ المجموعة غير صحيحة",IF(NOT(OR($H2520="",$N2520&gt;0)),"✖ Start غير صحيح",IF(NOT(OR($I2520="",$I2520="NR",$O2520&gt;0)),"✖ Current غير صحيح",IF(NOT(IF(ISNUMBER($J2520),AND($J2520&gt;=0,$J2520=INT($J2520)),FALSE())),"✖ العدد يجب أن يكون صحيحًا ≥ 0",IF(AND($F2520="Baseline",$H2520&lt;&gt;""),"⚠ Baseline: Start لا يدخل في التقدم",IF($K2520="No Start (attainment only)","ℹ تحصيل فقط (بدون Start)",IF($K2520="U – needs rule","ℹ حالة U تحتاج قاعدة معتمدة",IF($K2520="No result","ℹ بدون نتيجة (يُستبعد من التحصيل)","OK")))))))))))</f>
        <v/>
      </c>
      <c r="M2520" s="64" t="n">
        <f aca="false">IF($A2520="",0,IFERROR(MATCH($A2520,Classes!$A$6:$A$420,0),0))</f>
        <v>0</v>
      </c>
      <c r="N2520" s="64" t="n">
        <f aca="false">IF($H2520="",0,IFERROR(MATCH($H2520,GradeList,0),0))</f>
        <v>0</v>
      </c>
      <c r="O2520" s="64" t="n">
        <f aca="false">IF(OR($I2520="",$I2520="NR"),0,IFERROR(MATCH($I2520,GradeList,0),0))</f>
        <v>0</v>
      </c>
      <c r="P2520" s="64" t="n">
        <f aca="false">IF(AND($M2520&gt;0,ISNUMBER(MATCH($F2520,Lists!$A$2:$A$5,0)),ISNUMBER(MATCH($G2520,Lists!$B$2:$B$7,0)),OR($H2520="",$N2520&gt;0),OR($I2520="",$I2520="NR",$O2520&gt;0),IF(ISNUMBER($J2520),AND($J2520&gt;=0,$J2520=INT($J2520)),FALSE())),$J2520,0)</f>
        <v>0</v>
      </c>
      <c r="Q2520" s="64" t="n">
        <f aca="false">IF(AND($P2520&gt;0,$O2520&gt;0),$P2520,0)</f>
        <v>0</v>
      </c>
      <c r="R2520" s="64" t="n">
        <f aca="false">IF(AND($Q2520&gt;0,$O2520&gt;=AtRank),$Q2520,0)</f>
        <v>0</v>
      </c>
      <c r="S2520" s="64" t="n">
        <f aca="false">IF(AND($Q2520&gt;0,$O2520&gt;=AboveRank),$Q2520,0)</f>
        <v>0</v>
      </c>
      <c r="T2520" s="64" t="n">
        <f aca="false">IF($K2520="Less",$P2520,0)</f>
        <v>0</v>
      </c>
      <c r="U2520" s="64" t="n">
        <f aca="false">IF($K2520="Expected",$P2520,0)</f>
        <v>0</v>
      </c>
      <c r="V2520" s="64" t="n">
        <f aca="false">IF($K2520="Better",$P2520,0)</f>
        <v>0</v>
      </c>
      <c r="W2520" s="64" t="n">
        <f aca="false">IF($K2520="U – needs rule",$P2520,0)</f>
        <v>0</v>
      </c>
      <c r="X2520" s="64" t="n">
        <f aca="false">IF($K2520="No Start (attainment only)",$P2520,0)</f>
        <v>0</v>
      </c>
    </row>
    <row r="2521" customFormat="false" ht="15" hidden="false" customHeight="false" outlineLevel="0" collapsed="false">
      <c r="A2521" s="60"/>
      <c r="B2521" s="61" t="str">
        <f aca="false">IF($M2521=0,"",INDEX(Classes!$E$6:$E$420,$M2521))</f>
        <v/>
      </c>
      <c r="C2521" s="62" t="str">
        <f aca="false">IF($M2521=0,"",INDEX(Classes!$H$6:$H$420,$M2521))</f>
        <v/>
      </c>
      <c r="D2521" s="61" t="str">
        <f aca="false">IF($M2521=0,"",INDEX(Classes!$B$6:$B$420,$M2521))</f>
        <v/>
      </c>
      <c r="E2521" s="61" t="str">
        <f aca="false">IF($M2521=0,"",INDEX(Classes!$C$6:$C$420,$M2521))</f>
        <v/>
      </c>
      <c r="F2521" s="63"/>
      <c r="G2521" s="63"/>
      <c r="H2521" s="60"/>
      <c r="I2521" s="60"/>
      <c r="J2521" s="63"/>
      <c r="K2521" s="61" t="str">
        <f aca="false">IF($P2521=0,"",IF($F2521="Baseline","— Baseline",IF($O2521=0,"No result",IF($N2521=0,"No Start (attainment only)",IF(OR($N2521=1,$O2521=1),"U – needs rule",INDEX(MxBody,MATCH($I2521,MxCurr,0),MATCH($H2521,MxStart,0)))))))</f>
        <v/>
      </c>
      <c r="L2521" s="62" t="str">
        <f aca="false">IF(COUNTA($A2521,$F2521,$G2521,$H2521,$I2521,$J2521)=0,"",IF($M2521=0,"✖ كود الصف غير موجود",IF(ISNA(MATCH($F2521,Lists!$A$2:$A$5,0)),"✖ الفترة غير صحيحة",IF(ISNA(MATCH($G2521,Lists!$B$2:$B$7,0)),"✖ المجموعة غير صحيحة",IF(NOT(OR($H2521="",$N2521&gt;0)),"✖ Start غير صحيح",IF(NOT(OR($I2521="",$I2521="NR",$O2521&gt;0)),"✖ Current غير صحيح",IF(NOT(IF(ISNUMBER($J2521),AND($J2521&gt;=0,$J2521=INT($J2521)),FALSE())),"✖ العدد يجب أن يكون صحيحًا ≥ 0",IF(AND($F2521="Baseline",$H2521&lt;&gt;""),"⚠ Baseline: Start لا يدخل في التقدم",IF($K2521="No Start (attainment only)","ℹ تحصيل فقط (بدون Start)",IF($K2521="U – needs rule","ℹ حالة U تحتاج قاعدة معتمدة",IF($K2521="No result","ℹ بدون نتيجة (يُستبعد من التحصيل)","OK")))))))))))</f>
        <v/>
      </c>
      <c r="M2521" s="64" t="n">
        <f aca="false">IF($A2521="",0,IFERROR(MATCH($A2521,Classes!$A$6:$A$420,0),0))</f>
        <v>0</v>
      </c>
      <c r="N2521" s="64" t="n">
        <f aca="false">IF($H2521="",0,IFERROR(MATCH($H2521,GradeList,0),0))</f>
        <v>0</v>
      </c>
      <c r="O2521" s="64" t="n">
        <f aca="false">IF(OR($I2521="",$I2521="NR"),0,IFERROR(MATCH($I2521,GradeList,0),0))</f>
        <v>0</v>
      </c>
      <c r="P2521" s="64" t="n">
        <f aca="false">IF(AND($M2521&gt;0,ISNUMBER(MATCH($F2521,Lists!$A$2:$A$5,0)),ISNUMBER(MATCH($G2521,Lists!$B$2:$B$7,0)),OR($H2521="",$N2521&gt;0),OR($I2521="",$I2521="NR",$O2521&gt;0),IF(ISNUMBER($J2521),AND($J2521&gt;=0,$J2521=INT($J2521)),FALSE())),$J2521,0)</f>
        <v>0</v>
      </c>
      <c r="Q2521" s="64" t="n">
        <f aca="false">IF(AND($P2521&gt;0,$O2521&gt;0),$P2521,0)</f>
        <v>0</v>
      </c>
      <c r="R2521" s="64" t="n">
        <f aca="false">IF(AND($Q2521&gt;0,$O2521&gt;=AtRank),$Q2521,0)</f>
        <v>0</v>
      </c>
      <c r="S2521" s="64" t="n">
        <f aca="false">IF(AND($Q2521&gt;0,$O2521&gt;=AboveRank),$Q2521,0)</f>
        <v>0</v>
      </c>
      <c r="T2521" s="64" t="n">
        <f aca="false">IF($K2521="Less",$P2521,0)</f>
        <v>0</v>
      </c>
      <c r="U2521" s="64" t="n">
        <f aca="false">IF($K2521="Expected",$P2521,0)</f>
        <v>0</v>
      </c>
      <c r="V2521" s="64" t="n">
        <f aca="false">IF($K2521="Better",$P2521,0)</f>
        <v>0</v>
      </c>
      <c r="W2521" s="64" t="n">
        <f aca="false">IF($K2521="U – needs rule",$P2521,0)</f>
        <v>0</v>
      </c>
      <c r="X2521" s="64" t="n">
        <f aca="false">IF($K2521="No Start (attainment only)",$P2521,0)</f>
        <v>0</v>
      </c>
    </row>
    <row r="2522" customFormat="false" ht="15" hidden="false" customHeight="false" outlineLevel="0" collapsed="false">
      <c r="A2522" s="60"/>
      <c r="B2522" s="61" t="str">
        <f aca="false">IF($M2522=0,"",INDEX(Classes!$E$6:$E$420,$M2522))</f>
        <v/>
      </c>
      <c r="C2522" s="62" t="str">
        <f aca="false">IF($M2522=0,"",INDEX(Classes!$H$6:$H$420,$M2522))</f>
        <v/>
      </c>
      <c r="D2522" s="61" t="str">
        <f aca="false">IF($M2522=0,"",INDEX(Classes!$B$6:$B$420,$M2522))</f>
        <v/>
      </c>
      <c r="E2522" s="61" t="str">
        <f aca="false">IF($M2522=0,"",INDEX(Classes!$C$6:$C$420,$M2522))</f>
        <v/>
      </c>
      <c r="F2522" s="63"/>
      <c r="G2522" s="63"/>
      <c r="H2522" s="60"/>
      <c r="I2522" s="60"/>
      <c r="J2522" s="63"/>
      <c r="K2522" s="61" t="str">
        <f aca="false">IF($P2522=0,"",IF($F2522="Baseline","— Baseline",IF($O2522=0,"No result",IF($N2522=0,"No Start (attainment only)",IF(OR($N2522=1,$O2522=1),"U – needs rule",INDEX(MxBody,MATCH($I2522,MxCurr,0),MATCH($H2522,MxStart,0)))))))</f>
        <v/>
      </c>
      <c r="L2522" s="62" t="str">
        <f aca="false">IF(COUNTA($A2522,$F2522,$G2522,$H2522,$I2522,$J2522)=0,"",IF($M2522=0,"✖ كود الصف غير موجود",IF(ISNA(MATCH($F2522,Lists!$A$2:$A$5,0)),"✖ الفترة غير صحيحة",IF(ISNA(MATCH($G2522,Lists!$B$2:$B$7,0)),"✖ المجموعة غير صحيحة",IF(NOT(OR($H2522="",$N2522&gt;0)),"✖ Start غير صحيح",IF(NOT(OR($I2522="",$I2522="NR",$O2522&gt;0)),"✖ Current غير صحيح",IF(NOT(IF(ISNUMBER($J2522),AND($J2522&gt;=0,$J2522=INT($J2522)),FALSE())),"✖ العدد يجب أن يكون صحيحًا ≥ 0",IF(AND($F2522="Baseline",$H2522&lt;&gt;""),"⚠ Baseline: Start لا يدخل في التقدم",IF($K2522="No Start (attainment only)","ℹ تحصيل فقط (بدون Start)",IF($K2522="U – needs rule","ℹ حالة U تحتاج قاعدة معتمدة",IF($K2522="No result","ℹ بدون نتيجة (يُستبعد من التحصيل)","OK")))))))))))</f>
        <v/>
      </c>
      <c r="M2522" s="64" t="n">
        <f aca="false">IF($A2522="",0,IFERROR(MATCH($A2522,Classes!$A$6:$A$420,0),0))</f>
        <v>0</v>
      </c>
      <c r="N2522" s="64" t="n">
        <f aca="false">IF($H2522="",0,IFERROR(MATCH($H2522,GradeList,0),0))</f>
        <v>0</v>
      </c>
      <c r="O2522" s="64" t="n">
        <f aca="false">IF(OR($I2522="",$I2522="NR"),0,IFERROR(MATCH($I2522,GradeList,0),0))</f>
        <v>0</v>
      </c>
      <c r="P2522" s="64" t="n">
        <f aca="false">IF(AND($M2522&gt;0,ISNUMBER(MATCH($F2522,Lists!$A$2:$A$5,0)),ISNUMBER(MATCH($G2522,Lists!$B$2:$B$7,0)),OR($H2522="",$N2522&gt;0),OR($I2522="",$I2522="NR",$O2522&gt;0),IF(ISNUMBER($J2522),AND($J2522&gt;=0,$J2522=INT($J2522)),FALSE())),$J2522,0)</f>
        <v>0</v>
      </c>
      <c r="Q2522" s="64" t="n">
        <f aca="false">IF(AND($P2522&gt;0,$O2522&gt;0),$P2522,0)</f>
        <v>0</v>
      </c>
      <c r="R2522" s="64" t="n">
        <f aca="false">IF(AND($Q2522&gt;0,$O2522&gt;=AtRank),$Q2522,0)</f>
        <v>0</v>
      </c>
      <c r="S2522" s="64" t="n">
        <f aca="false">IF(AND($Q2522&gt;0,$O2522&gt;=AboveRank),$Q2522,0)</f>
        <v>0</v>
      </c>
      <c r="T2522" s="64" t="n">
        <f aca="false">IF($K2522="Less",$P2522,0)</f>
        <v>0</v>
      </c>
      <c r="U2522" s="64" t="n">
        <f aca="false">IF($K2522="Expected",$P2522,0)</f>
        <v>0</v>
      </c>
      <c r="V2522" s="64" t="n">
        <f aca="false">IF($K2522="Better",$P2522,0)</f>
        <v>0</v>
      </c>
      <c r="W2522" s="64" t="n">
        <f aca="false">IF($K2522="U – needs rule",$P2522,0)</f>
        <v>0</v>
      </c>
      <c r="X2522" s="64" t="n">
        <f aca="false">IF($K2522="No Start (attainment only)",$P2522,0)</f>
        <v>0</v>
      </c>
    </row>
    <row r="2523" customFormat="false" ht="15" hidden="false" customHeight="false" outlineLevel="0" collapsed="false">
      <c r="A2523" s="60"/>
      <c r="B2523" s="61" t="str">
        <f aca="false">IF($M2523=0,"",INDEX(Classes!$E$6:$E$420,$M2523))</f>
        <v/>
      </c>
      <c r="C2523" s="62" t="str">
        <f aca="false">IF($M2523=0,"",INDEX(Classes!$H$6:$H$420,$M2523))</f>
        <v/>
      </c>
      <c r="D2523" s="61" t="str">
        <f aca="false">IF($M2523=0,"",INDEX(Classes!$B$6:$B$420,$M2523))</f>
        <v/>
      </c>
      <c r="E2523" s="61" t="str">
        <f aca="false">IF($M2523=0,"",INDEX(Classes!$C$6:$C$420,$M2523))</f>
        <v/>
      </c>
      <c r="F2523" s="63"/>
      <c r="G2523" s="63"/>
      <c r="H2523" s="60"/>
      <c r="I2523" s="60"/>
      <c r="J2523" s="63"/>
      <c r="K2523" s="61" t="str">
        <f aca="false">IF($P2523=0,"",IF($F2523="Baseline","— Baseline",IF($O2523=0,"No result",IF($N2523=0,"No Start (attainment only)",IF(OR($N2523=1,$O2523=1),"U – needs rule",INDEX(MxBody,MATCH($I2523,MxCurr,0),MATCH($H2523,MxStart,0)))))))</f>
        <v/>
      </c>
      <c r="L2523" s="62" t="str">
        <f aca="false">IF(COUNTA($A2523,$F2523,$G2523,$H2523,$I2523,$J2523)=0,"",IF($M2523=0,"✖ كود الصف غير موجود",IF(ISNA(MATCH($F2523,Lists!$A$2:$A$5,0)),"✖ الفترة غير صحيحة",IF(ISNA(MATCH($G2523,Lists!$B$2:$B$7,0)),"✖ المجموعة غير صحيحة",IF(NOT(OR($H2523="",$N2523&gt;0)),"✖ Start غير صحيح",IF(NOT(OR($I2523="",$I2523="NR",$O2523&gt;0)),"✖ Current غير صحيح",IF(NOT(IF(ISNUMBER($J2523),AND($J2523&gt;=0,$J2523=INT($J2523)),FALSE())),"✖ العدد يجب أن يكون صحيحًا ≥ 0",IF(AND($F2523="Baseline",$H2523&lt;&gt;""),"⚠ Baseline: Start لا يدخل في التقدم",IF($K2523="No Start (attainment only)","ℹ تحصيل فقط (بدون Start)",IF($K2523="U – needs rule","ℹ حالة U تحتاج قاعدة معتمدة",IF($K2523="No result","ℹ بدون نتيجة (يُستبعد من التحصيل)","OK")))))))))))</f>
        <v/>
      </c>
      <c r="M2523" s="64" t="n">
        <f aca="false">IF($A2523="",0,IFERROR(MATCH($A2523,Classes!$A$6:$A$420,0),0))</f>
        <v>0</v>
      </c>
      <c r="N2523" s="64" t="n">
        <f aca="false">IF($H2523="",0,IFERROR(MATCH($H2523,GradeList,0),0))</f>
        <v>0</v>
      </c>
      <c r="O2523" s="64" t="n">
        <f aca="false">IF(OR($I2523="",$I2523="NR"),0,IFERROR(MATCH($I2523,GradeList,0),0))</f>
        <v>0</v>
      </c>
      <c r="P2523" s="64" t="n">
        <f aca="false">IF(AND($M2523&gt;0,ISNUMBER(MATCH($F2523,Lists!$A$2:$A$5,0)),ISNUMBER(MATCH($G2523,Lists!$B$2:$B$7,0)),OR($H2523="",$N2523&gt;0),OR($I2523="",$I2523="NR",$O2523&gt;0),IF(ISNUMBER($J2523),AND($J2523&gt;=0,$J2523=INT($J2523)),FALSE())),$J2523,0)</f>
        <v>0</v>
      </c>
      <c r="Q2523" s="64" t="n">
        <f aca="false">IF(AND($P2523&gt;0,$O2523&gt;0),$P2523,0)</f>
        <v>0</v>
      </c>
      <c r="R2523" s="64" t="n">
        <f aca="false">IF(AND($Q2523&gt;0,$O2523&gt;=AtRank),$Q2523,0)</f>
        <v>0</v>
      </c>
      <c r="S2523" s="64" t="n">
        <f aca="false">IF(AND($Q2523&gt;0,$O2523&gt;=AboveRank),$Q2523,0)</f>
        <v>0</v>
      </c>
      <c r="T2523" s="64" t="n">
        <f aca="false">IF($K2523="Less",$P2523,0)</f>
        <v>0</v>
      </c>
      <c r="U2523" s="64" t="n">
        <f aca="false">IF($K2523="Expected",$P2523,0)</f>
        <v>0</v>
      </c>
      <c r="V2523" s="64" t="n">
        <f aca="false">IF($K2523="Better",$P2523,0)</f>
        <v>0</v>
      </c>
      <c r="W2523" s="64" t="n">
        <f aca="false">IF($K2523="U – needs rule",$P2523,0)</f>
        <v>0</v>
      </c>
      <c r="X2523" s="64" t="n">
        <f aca="false">IF($K2523="No Start (attainment only)",$P2523,0)</f>
        <v>0</v>
      </c>
    </row>
    <row r="2524" customFormat="false" ht="15" hidden="false" customHeight="false" outlineLevel="0" collapsed="false">
      <c r="A2524" s="60"/>
      <c r="B2524" s="61" t="str">
        <f aca="false">IF($M2524=0,"",INDEX(Classes!$E$6:$E$420,$M2524))</f>
        <v/>
      </c>
      <c r="C2524" s="62" t="str">
        <f aca="false">IF($M2524=0,"",INDEX(Classes!$H$6:$H$420,$M2524))</f>
        <v/>
      </c>
      <c r="D2524" s="61" t="str">
        <f aca="false">IF($M2524=0,"",INDEX(Classes!$B$6:$B$420,$M2524))</f>
        <v/>
      </c>
      <c r="E2524" s="61" t="str">
        <f aca="false">IF($M2524=0,"",INDEX(Classes!$C$6:$C$420,$M2524))</f>
        <v/>
      </c>
      <c r="F2524" s="63"/>
      <c r="G2524" s="63"/>
      <c r="H2524" s="60"/>
      <c r="I2524" s="60"/>
      <c r="J2524" s="63"/>
      <c r="K2524" s="61" t="str">
        <f aca="false">IF($P2524=0,"",IF($F2524="Baseline","— Baseline",IF($O2524=0,"No result",IF($N2524=0,"No Start (attainment only)",IF(OR($N2524=1,$O2524=1),"U – needs rule",INDEX(MxBody,MATCH($I2524,MxCurr,0),MATCH($H2524,MxStart,0)))))))</f>
        <v/>
      </c>
      <c r="L2524" s="62" t="str">
        <f aca="false">IF(COUNTA($A2524,$F2524,$G2524,$H2524,$I2524,$J2524)=0,"",IF($M2524=0,"✖ كود الصف غير موجود",IF(ISNA(MATCH($F2524,Lists!$A$2:$A$5,0)),"✖ الفترة غير صحيحة",IF(ISNA(MATCH($G2524,Lists!$B$2:$B$7,0)),"✖ المجموعة غير صحيحة",IF(NOT(OR($H2524="",$N2524&gt;0)),"✖ Start غير صحيح",IF(NOT(OR($I2524="",$I2524="NR",$O2524&gt;0)),"✖ Current غير صحيح",IF(NOT(IF(ISNUMBER($J2524),AND($J2524&gt;=0,$J2524=INT($J2524)),FALSE())),"✖ العدد يجب أن يكون صحيحًا ≥ 0",IF(AND($F2524="Baseline",$H2524&lt;&gt;""),"⚠ Baseline: Start لا يدخل في التقدم",IF($K2524="No Start (attainment only)","ℹ تحصيل فقط (بدون Start)",IF($K2524="U – needs rule","ℹ حالة U تحتاج قاعدة معتمدة",IF($K2524="No result","ℹ بدون نتيجة (يُستبعد من التحصيل)","OK")))))))))))</f>
        <v/>
      </c>
      <c r="M2524" s="64" t="n">
        <f aca="false">IF($A2524="",0,IFERROR(MATCH($A2524,Classes!$A$6:$A$420,0),0))</f>
        <v>0</v>
      </c>
      <c r="N2524" s="64" t="n">
        <f aca="false">IF($H2524="",0,IFERROR(MATCH($H2524,GradeList,0),0))</f>
        <v>0</v>
      </c>
      <c r="O2524" s="64" t="n">
        <f aca="false">IF(OR($I2524="",$I2524="NR"),0,IFERROR(MATCH($I2524,GradeList,0),0))</f>
        <v>0</v>
      </c>
      <c r="P2524" s="64" t="n">
        <f aca="false">IF(AND($M2524&gt;0,ISNUMBER(MATCH($F2524,Lists!$A$2:$A$5,0)),ISNUMBER(MATCH($G2524,Lists!$B$2:$B$7,0)),OR($H2524="",$N2524&gt;0),OR($I2524="",$I2524="NR",$O2524&gt;0),IF(ISNUMBER($J2524),AND($J2524&gt;=0,$J2524=INT($J2524)),FALSE())),$J2524,0)</f>
        <v>0</v>
      </c>
      <c r="Q2524" s="64" t="n">
        <f aca="false">IF(AND($P2524&gt;0,$O2524&gt;0),$P2524,0)</f>
        <v>0</v>
      </c>
      <c r="R2524" s="64" t="n">
        <f aca="false">IF(AND($Q2524&gt;0,$O2524&gt;=AtRank),$Q2524,0)</f>
        <v>0</v>
      </c>
      <c r="S2524" s="64" t="n">
        <f aca="false">IF(AND($Q2524&gt;0,$O2524&gt;=AboveRank),$Q2524,0)</f>
        <v>0</v>
      </c>
      <c r="T2524" s="64" t="n">
        <f aca="false">IF($K2524="Less",$P2524,0)</f>
        <v>0</v>
      </c>
      <c r="U2524" s="64" t="n">
        <f aca="false">IF($K2524="Expected",$P2524,0)</f>
        <v>0</v>
      </c>
      <c r="V2524" s="64" t="n">
        <f aca="false">IF($K2524="Better",$P2524,0)</f>
        <v>0</v>
      </c>
      <c r="W2524" s="64" t="n">
        <f aca="false">IF($K2524="U – needs rule",$P2524,0)</f>
        <v>0</v>
      </c>
      <c r="X2524" s="64" t="n">
        <f aca="false">IF($K2524="No Start (attainment only)",$P2524,0)</f>
        <v>0</v>
      </c>
    </row>
    <row r="2525" customFormat="false" ht="15" hidden="false" customHeight="false" outlineLevel="0" collapsed="false">
      <c r="A2525" s="60"/>
      <c r="B2525" s="61" t="str">
        <f aca="false">IF($M2525=0,"",INDEX(Classes!$E$6:$E$420,$M2525))</f>
        <v/>
      </c>
      <c r="C2525" s="62" t="str">
        <f aca="false">IF($M2525=0,"",INDEX(Classes!$H$6:$H$420,$M2525))</f>
        <v/>
      </c>
      <c r="D2525" s="61" t="str">
        <f aca="false">IF($M2525=0,"",INDEX(Classes!$B$6:$B$420,$M2525))</f>
        <v/>
      </c>
      <c r="E2525" s="61" t="str">
        <f aca="false">IF($M2525=0,"",INDEX(Classes!$C$6:$C$420,$M2525))</f>
        <v/>
      </c>
      <c r="F2525" s="63"/>
      <c r="G2525" s="63"/>
      <c r="H2525" s="60"/>
      <c r="I2525" s="60"/>
      <c r="J2525" s="63"/>
      <c r="K2525" s="61" t="str">
        <f aca="false">IF($P2525=0,"",IF($F2525="Baseline","— Baseline",IF($O2525=0,"No result",IF($N2525=0,"No Start (attainment only)",IF(OR($N2525=1,$O2525=1),"U – needs rule",INDEX(MxBody,MATCH($I2525,MxCurr,0),MATCH($H2525,MxStart,0)))))))</f>
        <v/>
      </c>
      <c r="L2525" s="62" t="str">
        <f aca="false">IF(COUNTA($A2525,$F2525,$G2525,$H2525,$I2525,$J2525)=0,"",IF($M2525=0,"✖ كود الصف غير موجود",IF(ISNA(MATCH($F2525,Lists!$A$2:$A$5,0)),"✖ الفترة غير صحيحة",IF(ISNA(MATCH($G2525,Lists!$B$2:$B$7,0)),"✖ المجموعة غير صحيحة",IF(NOT(OR($H2525="",$N2525&gt;0)),"✖ Start غير صحيح",IF(NOT(OR($I2525="",$I2525="NR",$O2525&gt;0)),"✖ Current غير صحيح",IF(NOT(IF(ISNUMBER($J2525),AND($J2525&gt;=0,$J2525=INT($J2525)),FALSE())),"✖ العدد يجب أن يكون صحيحًا ≥ 0",IF(AND($F2525="Baseline",$H2525&lt;&gt;""),"⚠ Baseline: Start لا يدخل في التقدم",IF($K2525="No Start (attainment only)","ℹ تحصيل فقط (بدون Start)",IF($K2525="U – needs rule","ℹ حالة U تحتاج قاعدة معتمدة",IF($K2525="No result","ℹ بدون نتيجة (يُستبعد من التحصيل)","OK")))))))))))</f>
        <v/>
      </c>
      <c r="M2525" s="64" t="n">
        <f aca="false">IF($A2525="",0,IFERROR(MATCH($A2525,Classes!$A$6:$A$420,0),0))</f>
        <v>0</v>
      </c>
      <c r="N2525" s="64" t="n">
        <f aca="false">IF($H2525="",0,IFERROR(MATCH($H2525,GradeList,0),0))</f>
        <v>0</v>
      </c>
      <c r="O2525" s="64" t="n">
        <f aca="false">IF(OR($I2525="",$I2525="NR"),0,IFERROR(MATCH($I2525,GradeList,0),0))</f>
        <v>0</v>
      </c>
      <c r="P2525" s="64" t="n">
        <f aca="false">IF(AND($M2525&gt;0,ISNUMBER(MATCH($F2525,Lists!$A$2:$A$5,0)),ISNUMBER(MATCH($G2525,Lists!$B$2:$B$7,0)),OR($H2525="",$N2525&gt;0),OR($I2525="",$I2525="NR",$O2525&gt;0),IF(ISNUMBER($J2525),AND($J2525&gt;=0,$J2525=INT($J2525)),FALSE())),$J2525,0)</f>
        <v>0</v>
      </c>
      <c r="Q2525" s="64" t="n">
        <f aca="false">IF(AND($P2525&gt;0,$O2525&gt;0),$P2525,0)</f>
        <v>0</v>
      </c>
      <c r="R2525" s="64" t="n">
        <f aca="false">IF(AND($Q2525&gt;0,$O2525&gt;=AtRank),$Q2525,0)</f>
        <v>0</v>
      </c>
      <c r="S2525" s="64" t="n">
        <f aca="false">IF(AND($Q2525&gt;0,$O2525&gt;=AboveRank),$Q2525,0)</f>
        <v>0</v>
      </c>
      <c r="T2525" s="64" t="n">
        <f aca="false">IF($K2525="Less",$P2525,0)</f>
        <v>0</v>
      </c>
      <c r="U2525" s="64" t="n">
        <f aca="false">IF($K2525="Expected",$P2525,0)</f>
        <v>0</v>
      </c>
      <c r="V2525" s="64" t="n">
        <f aca="false">IF($K2525="Better",$P2525,0)</f>
        <v>0</v>
      </c>
      <c r="W2525" s="64" t="n">
        <f aca="false">IF($K2525="U – needs rule",$P2525,0)</f>
        <v>0</v>
      </c>
      <c r="X2525" s="64" t="n">
        <f aca="false">IF($K2525="No Start (attainment only)",$P2525,0)</f>
        <v>0</v>
      </c>
    </row>
    <row r="2526" customFormat="false" ht="15" hidden="false" customHeight="false" outlineLevel="0" collapsed="false">
      <c r="A2526" s="60"/>
      <c r="B2526" s="61" t="str">
        <f aca="false">IF($M2526=0,"",INDEX(Classes!$E$6:$E$420,$M2526))</f>
        <v/>
      </c>
      <c r="C2526" s="62" t="str">
        <f aca="false">IF($M2526=0,"",INDEX(Classes!$H$6:$H$420,$M2526))</f>
        <v/>
      </c>
      <c r="D2526" s="61" t="str">
        <f aca="false">IF($M2526=0,"",INDEX(Classes!$B$6:$B$420,$M2526))</f>
        <v/>
      </c>
      <c r="E2526" s="61" t="str">
        <f aca="false">IF($M2526=0,"",INDEX(Classes!$C$6:$C$420,$M2526))</f>
        <v/>
      </c>
      <c r="F2526" s="63"/>
      <c r="G2526" s="63"/>
      <c r="H2526" s="60"/>
      <c r="I2526" s="60"/>
      <c r="J2526" s="63"/>
      <c r="K2526" s="61" t="str">
        <f aca="false">IF($P2526=0,"",IF($F2526="Baseline","— Baseline",IF($O2526=0,"No result",IF($N2526=0,"No Start (attainment only)",IF(OR($N2526=1,$O2526=1),"U – needs rule",INDEX(MxBody,MATCH($I2526,MxCurr,0),MATCH($H2526,MxStart,0)))))))</f>
        <v/>
      </c>
      <c r="L2526" s="62" t="str">
        <f aca="false">IF(COUNTA($A2526,$F2526,$G2526,$H2526,$I2526,$J2526)=0,"",IF($M2526=0,"✖ كود الصف غير موجود",IF(ISNA(MATCH($F2526,Lists!$A$2:$A$5,0)),"✖ الفترة غير صحيحة",IF(ISNA(MATCH($G2526,Lists!$B$2:$B$7,0)),"✖ المجموعة غير صحيحة",IF(NOT(OR($H2526="",$N2526&gt;0)),"✖ Start غير صحيح",IF(NOT(OR($I2526="",$I2526="NR",$O2526&gt;0)),"✖ Current غير صحيح",IF(NOT(IF(ISNUMBER($J2526),AND($J2526&gt;=0,$J2526=INT($J2526)),FALSE())),"✖ العدد يجب أن يكون صحيحًا ≥ 0",IF(AND($F2526="Baseline",$H2526&lt;&gt;""),"⚠ Baseline: Start لا يدخل في التقدم",IF($K2526="No Start (attainment only)","ℹ تحصيل فقط (بدون Start)",IF($K2526="U – needs rule","ℹ حالة U تحتاج قاعدة معتمدة",IF($K2526="No result","ℹ بدون نتيجة (يُستبعد من التحصيل)","OK")))))))))))</f>
        <v/>
      </c>
      <c r="M2526" s="64" t="n">
        <f aca="false">IF($A2526="",0,IFERROR(MATCH($A2526,Classes!$A$6:$A$420,0),0))</f>
        <v>0</v>
      </c>
      <c r="N2526" s="64" t="n">
        <f aca="false">IF($H2526="",0,IFERROR(MATCH($H2526,GradeList,0),0))</f>
        <v>0</v>
      </c>
      <c r="O2526" s="64" t="n">
        <f aca="false">IF(OR($I2526="",$I2526="NR"),0,IFERROR(MATCH($I2526,GradeList,0),0))</f>
        <v>0</v>
      </c>
      <c r="P2526" s="64" t="n">
        <f aca="false">IF(AND($M2526&gt;0,ISNUMBER(MATCH($F2526,Lists!$A$2:$A$5,0)),ISNUMBER(MATCH($G2526,Lists!$B$2:$B$7,0)),OR($H2526="",$N2526&gt;0),OR($I2526="",$I2526="NR",$O2526&gt;0),IF(ISNUMBER($J2526),AND($J2526&gt;=0,$J2526=INT($J2526)),FALSE())),$J2526,0)</f>
        <v>0</v>
      </c>
      <c r="Q2526" s="64" t="n">
        <f aca="false">IF(AND($P2526&gt;0,$O2526&gt;0),$P2526,0)</f>
        <v>0</v>
      </c>
      <c r="R2526" s="64" t="n">
        <f aca="false">IF(AND($Q2526&gt;0,$O2526&gt;=AtRank),$Q2526,0)</f>
        <v>0</v>
      </c>
      <c r="S2526" s="64" t="n">
        <f aca="false">IF(AND($Q2526&gt;0,$O2526&gt;=AboveRank),$Q2526,0)</f>
        <v>0</v>
      </c>
      <c r="T2526" s="64" t="n">
        <f aca="false">IF($K2526="Less",$P2526,0)</f>
        <v>0</v>
      </c>
      <c r="U2526" s="64" t="n">
        <f aca="false">IF($K2526="Expected",$P2526,0)</f>
        <v>0</v>
      </c>
      <c r="V2526" s="64" t="n">
        <f aca="false">IF($K2526="Better",$P2526,0)</f>
        <v>0</v>
      </c>
      <c r="W2526" s="64" t="n">
        <f aca="false">IF($K2526="U – needs rule",$P2526,0)</f>
        <v>0</v>
      </c>
      <c r="X2526" s="64" t="n">
        <f aca="false">IF($K2526="No Start (attainment only)",$P2526,0)</f>
        <v>0</v>
      </c>
    </row>
    <row r="2527" customFormat="false" ht="15" hidden="false" customHeight="false" outlineLevel="0" collapsed="false">
      <c r="A2527" s="60"/>
      <c r="B2527" s="61" t="str">
        <f aca="false">IF($M2527=0,"",INDEX(Classes!$E$6:$E$420,$M2527))</f>
        <v/>
      </c>
      <c r="C2527" s="62" t="str">
        <f aca="false">IF($M2527=0,"",INDEX(Classes!$H$6:$H$420,$M2527))</f>
        <v/>
      </c>
      <c r="D2527" s="61" t="str">
        <f aca="false">IF($M2527=0,"",INDEX(Classes!$B$6:$B$420,$M2527))</f>
        <v/>
      </c>
      <c r="E2527" s="61" t="str">
        <f aca="false">IF($M2527=0,"",INDEX(Classes!$C$6:$C$420,$M2527))</f>
        <v/>
      </c>
      <c r="F2527" s="63"/>
      <c r="G2527" s="63"/>
      <c r="H2527" s="60"/>
      <c r="I2527" s="60"/>
      <c r="J2527" s="63"/>
      <c r="K2527" s="61" t="str">
        <f aca="false">IF($P2527=0,"",IF($F2527="Baseline","— Baseline",IF($O2527=0,"No result",IF($N2527=0,"No Start (attainment only)",IF(OR($N2527=1,$O2527=1),"U – needs rule",INDEX(MxBody,MATCH($I2527,MxCurr,0),MATCH($H2527,MxStart,0)))))))</f>
        <v/>
      </c>
      <c r="L2527" s="62" t="str">
        <f aca="false">IF(COUNTA($A2527,$F2527,$G2527,$H2527,$I2527,$J2527)=0,"",IF($M2527=0,"✖ كود الصف غير موجود",IF(ISNA(MATCH($F2527,Lists!$A$2:$A$5,0)),"✖ الفترة غير صحيحة",IF(ISNA(MATCH($G2527,Lists!$B$2:$B$7,0)),"✖ المجموعة غير صحيحة",IF(NOT(OR($H2527="",$N2527&gt;0)),"✖ Start غير صحيح",IF(NOT(OR($I2527="",$I2527="NR",$O2527&gt;0)),"✖ Current غير صحيح",IF(NOT(IF(ISNUMBER($J2527),AND($J2527&gt;=0,$J2527=INT($J2527)),FALSE())),"✖ العدد يجب أن يكون صحيحًا ≥ 0",IF(AND($F2527="Baseline",$H2527&lt;&gt;""),"⚠ Baseline: Start لا يدخل في التقدم",IF($K2527="No Start (attainment only)","ℹ تحصيل فقط (بدون Start)",IF($K2527="U – needs rule","ℹ حالة U تحتاج قاعدة معتمدة",IF($K2527="No result","ℹ بدون نتيجة (يُستبعد من التحصيل)","OK")))))))))))</f>
        <v/>
      </c>
      <c r="M2527" s="64" t="n">
        <f aca="false">IF($A2527="",0,IFERROR(MATCH($A2527,Classes!$A$6:$A$420,0),0))</f>
        <v>0</v>
      </c>
      <c r="N2527" s="64" t="n">
        <f aca="false">IF($H2527="",0,IFERROR(MATCH($H2527,GradeList,0),0))</f>
        <v>0</v>
      </c>
      <c r="O2527" s="64" t="n">
        <f aca="false">IF(OR($I2527="",$I2527="NR"),0,IFERROR(MATCH($I2527,GradeList,0),0))</f>
        <v>0</v>
      </c>
      <c r="P2527" s="64" t="n">
        <f aca="false">IF(AND($M2527&gt;0,ISNUMBER(MATCH($F2527,Lists!$A$2:$A$5,0)),ISNUMBER(MATCH($G2527,Lists!$B$2:$B$7,0)),OR($H2527="",$N2527&gt;0),OR($I2527="",$I2527="NR",$O2527&gt;0),IF(ISNUMBER($J2527),AND($J2527&gt;=0,$J2527=INT($J2527)),FALSE())),$J2527,0)</f>
        <v>0</v>
      </c>
      <c r="Q2527" s="64" t="n">
        <f aca="false">IF(AND($P2527&gt;0,$O2527&gt;0),$P2527,0)</f>
        <v>0</v>
      </c>
      <c r="R2527" s="64" t="n">
        <f aca="false">IF(AND($Q2527&gt;0,$O2527&gt;=AtRank),$Q2527,0)</f>
        <v>0</v>
      </c>
      <c r="S2527" s="64" t="n">
        <f aca="false">IF(AND($Q2527&gt;0,$O2527&gt;=AboveRank),$Q2527,0)</f>
        <v>0</v>
      </c>
      <c r="T2527" s="64" t="n">
        <f aca="false">IF($K2527="Less",$P2527,0)</f>
        <v>0</v>
      </c>
      <c r="U2527" s="64" t="n">
        <f aca="false">IF($K2527="Expected",$P2527,0)</f>
        <v>0</v>
      </c>
      <c r="V2527" s="64" t="n">
        <f aca="false">IF($K2527="Better",$P2527,0)</f>
        <v>0</v>
      </c>
      <c r="W2527" s="64" t="n">
        <f aca="false">IF($K2527="U – needs rule",$P2527,0)</f>
        <v>0</v>
      </c>
      <c r="X2527" s="64" t="n">
        <f aca="false">IF($K2527="No Start (attainment only)",$P2527,0)</f>
        <v>0</v>
      </c>
    </row>
    <row r="2528" customFormat="false" ht="15" hidden="false" customHeight="false" outlineLevel="0" collapsed="false">
      <c r="A2528" s="60"/>
      <c r="B2528" s="61" t="str">
        <f aca="false">IF($M2528=0,"",INDEX(Classes!$E$6:$E$420,$M2528))</f>
        <v/>
      </c>
      <c r="C2528" s="62" t="str">
        <f aca="false">IF($M2528=0,"",INDEX(Classes!$H$6:$H$420,$M2528))</f>
        <v/>
      </c>
      <c r="D2528" s="61" t="str">
        <f aca="false">IF($M2528=0,"",INDEX(Classes!$B$6:$B$420,$M2528))</f>
        <v/>
      </c>
      <c r="E2528" s="61" t="str">
        <f aca="false">IF($M2528=0,"",INDEX(Classes!$C$6:$C$420,$M2528))</f>
        <v/>
      </c>
      <c r="F2528" s="63"/>
      <c r="G2528" s="63"/>
      <c r="H2528" s="60"/>
      <c r="I2528" s="60"/>
      <c r="J2528" s="63"/>
      <c r="K2528" s="61" t="str">
        <f aca="false">IF($P2528=0,"",IF($F2528="Baseline","— Baseline",IF($O2528=0,"No result",IF($N2528=0,"No Start (attainment only)",IF(OR($N2528=1,$O2528=1),"U – needs rule",INDEX(MxBody,MATCH($I2528,MxCurr,0),MATCH($H2528,MxStart,0)))))))</f>
        <v/>
      </c>
      <c r="L2528" s="62" t="str">
        <f aca="false">IF(COUNTA($A2528,$F2528,$G2528,$H2528,$I2528,$J2528)=0,"",IF($M2528=0,"✖ كود الصف غير موجود",IF(ISNA(MATCH($F2528,Lists!$A$2:$A$5,0)),"✖ الفترة غير صحيحة",IF(ISNA(MATCH($G2528,Lists!$B$2:$B$7,0)),"✖ المجموعة غير صحيحة",IF(NOT(OR($H2528="",$N2528&gt;0)),"✖ Start غير صحيح",IF(NOT(OR($I2528="",$I2528="NR",$O2528&gt;0)),"✖ Current غير صحيح",IF(NOT(IF(ISNUMBER($J2528),AND($J2528&gt;=0,$J2528=INT($J2528)),FALSE())),"✖ العدد يجب أن يكون صحيحًا ≥ 0",IF(AND($F2528="Baseline",$H2528&lt;&gt;""),"⚠ Baseline: Start لا يدخل في التقدم",IF($K2528="No Start (attainment only)","ℹ تحصيل فقط (بدون Start)",IF($K2528="U – needs rule","ℹ حالة U تحتاج قاعدة معتمدة",IF($K2528="No result","ℹ بدون نتيجة (يُستبعد من التحصيل)","OK")))))))))))</f>
        <v/>
      </c>
      <c r="M2528" s="64" t="n">
        <f aca="false">IF($A2528="",0,IFERROR(MATCH($A2528,Classes!$A$6:$A$420,0),0))</f>
        <v>0</v>
      </c>
      <c r="N2528" s="64" t="n">
        <f aca="false">IF($H2528="",0,IFERROR(MATCH($H2528,GradeList,0),0))</f>
        <v>0</v>
      </c>
      <c r="O2528" s="64" t="n">
        <f aca="false">IF(OR($I2528="",$I2528="NR"),0,IFERROR(MATCH($I2528,GradeList,0),0))</f>
        <v>0</v>
      </c>
      <c r="P2528" s="64" t="n">
        <f aca="false">IF(AND($M2528&gt;0,ISNUMBER(MATCH($F2528,Lists!$A$2:$A$5,0)),ISNUMBER(MATCH($G2528,Lists!$B$2:$B$7,0)),OR($H2528="",$N2528&gt;0),OR($I2528="",$I2528="NR",$O2528&gt;0),IF(ISNUMBER($J2528),AND($J2528&gt;=0,$J2528=INT($J2528)),FALSE())),$J2528,0)</f>
        <v>0</v>
      </c>
      <c r="Q2528" s="64" t="n">
        <f aca="false">IF(AND($P2528&gt;0,$O2528&gt;0),$P2528,0)</f>
        <v>0</v>
      </c>
      <c r="R2528" s="64" t="n">
        <f aca="false">IF(AND($Q2528&gt;0,$O2528&gt;=AtRank),$Q2528,0)</f>
        <v>0</v>
      </c>
      <c r="S2528" s="64" t="n">
        <f aca="false">IF(AND($Q2528&gt;0,$O2528&gt;=AboveRank),$Q2528,0)</f>
        <v>0</v>
      </c>
      <c r="T2528" s="64" t="n">
        <f aca="false">IF($K2528="Less",$P2528,0)</f>
        <v>0</v>
      </c>
      <c r="U2528" s="64" t="n">
        <f aca="false">IF($K2528="Expected",$P2528,0)</f>
        <v>0</v>
      </c>
      <c r="V2528" s="64" t="n">
        <f aca="false">IF($K2528="Better",$P2528,0)</f>
        <v>0</v>
      </c>
      <c r="W2528" s="64" t="n">
        <f aca="false">IF($K2528="U – needs rule",$P2528,0)</f>
        <v>0</v>
      </c>
      <c r="X2528" s="64" t="n">
        <f aca="false">IF($K2528="No Start (attainment only)",$P2528,0)</f>
        <v>0</v>
      </c>
    </row>
    <row r="2529" customFormat="false" ht="15" hidden="false" customHeight="false" outlineLevel="0" collapsed="false">
      <c r="A2529" s="60"/>
      <c r="B2529" s="61" t="str">
        <f aca="false">IF($M2529=0,"",INDEX(Classes!$E$6:$E$420,$M2529))</f>
        <v/>
      </c>
      <c r="C2529" s="62" t="str">
        <f aca="false">IF($M2529=0,"",INDEX(Classes!$H$6:$H$420,$M2529))</f>
        <v/>
      </c>
      <c r="D2529" s="61" t="str">
        <f aca="false">IF($M2529=0,"",INDEX(Classes!$B$6:$B$420,$M2529))</f>
        <v/>
      </c>
      <c r="E2529" s="61" t="str">
        <f aca="false">IF($M2529=0,"",INDEX(Classes!$C$6:$C$420,$M2529))</f>
        <v/>
      </c>
      <c r="F2529" s="63"/>
      <c r="G2529" s="63"/>
      <c r="H2529" s="60"/>
      <c r="I2529" s="60"/>
      <c r="J2529" s="63"/>
      <c r="K2529" s="61" t="str">
        <f aca="false">IF($P2529=0,"",IF($F2529="Baseline","— Baseline",IF($O2529=0,"No result",IF($N2529=0,"No Start (attainment only)",IF(OR($N2529=1,$O2529=1),"U – needs rule",INDEX(MxBody,MATCH($I2529,MxCurr,0),MATCH($H2529,MxStart,0)))))))</f>
        <v/>
      </c>
      <c r="L2529" s="62" t="str">
        <f aca="false">IF(COUNTA($A2529,$F2529,$G2529,$H2529,$I2529,$J2529)=0,"",IF($M2529=0,"✖ كود الصف غير موجود",IF(ISNA(MATCH($F2529,Lists!$A$2:$A$5,0)),"✖ الفترة غير صحيحة",IF(ISNA(MATCH($G2529,Lists!$B$2:$B$7,0)),"✖ المجموعة غير صحيحة",IF(NOT(OR($H2529="",$N2529&gt;0)),"✖ Start غير صحيح",IF(NOT(OR($I2529="",$I2529="NR",$O2529&gt;0)),"✖ Current غير صحيح",IF(NOT(IF(ISNUMBER($J2529),AND($J2529&gt;=0,$J2529=INT($J2529)),FALSE())),"✖ العدد يجب أن يكون صحيحًا ≥ 0",IF(AND($F2529="Baseline",$H2529&lt;&gt;""),"⚠ Baseline: Start لا يدخل في التقدم",IF($K2529="No Start (attainment only)","ℹ تحصيل فقط (بدون Start)",IF($K2529="U – needs rule","ℹ حالة U تحتاج قاعدة معتمدة",IF($K2529="No result","ℹ بدون نتيجة (يُستبعد من التحصيل)","OK")))))))))))</f>
        <v/>
      </c>
      <c r="M2529" s="64" t="n">
        <f aca="false">IF($A2529="",0,IFERROR(MATCH($A2529,Classes!$A$6:$A$420,0),0))</f>
        <v>0</v>
      </c>
      <c r="N2529" s="64" t="n">
        <f aca="false">IF($H2529="",0,IFERROR(MATCH($H2529,GradeList,0),0))</f>
        <v>0</v>
      </c>
      <c r="O2529" s="64" t="n">
        <f aca="false">IF(OR($I2529="",$I2529="NR"),0,IFERROR(MATCH($I2529,GradeList,0),0))</f>
        <v>0</v>
      </c>
      <c r="P2529" s="64" t="n">
        <f aca="false">IF(AND($M2529&gt;0,ISNUMBER(MATCH($F2529,Lists!$A$2:$A$5,0)),ISNUMBER(MATCH($G2529,Lists!$B$2:$B$7,0)),OR($H2529="",$N2529&gt;0),OR($I2529="",$I2529="NR",$O2529&gt;0),IF(ISNUMBER($J2529),AND($J2529&gt;=0,$J2529=INT($J2529)),FALSE())),$J2529,0)</f>
        <v>0</v>
      </c>
      <c r="Q2529" s="64" t="n">
        <f aca="false">IF(AND($P2529&gt;0,$O2529&gt;0),$P2529,0)</f>
        <v>0</v>
      </c>
      <c r="R2529" s="64" t="n">
        <f aca="false">IF(AND($Q2529&gt;0,$O2529&gt;=AtRank),$Q2529,0)</f>
        <v>0</v>
      </c>
      <c r="S2529" s="64" t="n">
        <f aca="false">IF(AND($Q2529&gt;0,$O2529&gt;=AboveRank),$Q2529,0)</f>
        <v>0</v>
      </c>
      <c r="T2529" s="64" t="n">
        <f aca="false">IF($K2529="Less",$P2529,0)</f>
        <v>0</v>
      </c>
      <c r="U2529" s="64" t="n">
        <f aca="false">IF($K2529="Expected",$P2529,0)</f>
        <v>0</v>
      </c>
      <c r="V2529" s="64" t="n">
        <f aca="false">IF($K2529="Better",$P2529,0)</f>
        <v>0</v>
      </c>
      <c r="W2529" s="64" t="n">
        <f aca="false">IF($K2529="U – needs rule",$P2529,0)</f>
        <v>0</v>
      </c>
      <c r="X2529" s="64" t="n">
        <f aca="false">IF($K2529="No Start (attainment only)",$P2529,0)</f>
        <v>0</v>
      </c>
    </row>
    <row r="2530" customFormat="false" ht="15" hidden="false" customHeight="false" outlineLevel="0" collapsed="false">
      <c r="A2530" s="60"/>
      <c r="B2530" s="61" t="str">
        <f aca="false">IF($M2530=0,"",INDEX(Classes!$E$6:$E$420,$M2530))</f>
        <v/>
      </c>
      <c r="C2530" s="62" t="str">
        <f aca="false">IF($M2530=0,"",INDEX(Classes!$H$6:$H$420,$M2530))</f>
        <v/>
      </c>
      <c r="D2530" s="61" t="str">
        <f aca="false">IF($M2530=0,"",INDEX(Classes!$B$6:$B$420,$M2530))</f>
        <v/>
      </c>
      <c r="E2530" s="61" t="str">
        <f aca="false">IF($M2530=0,"",INDEX(Classes!$C$6:$C$420,$M2530))</f>
        <v/>
      </c>
      <c r="F2530" s="63"/>
      <c r="G2530" s="63"/>
      <c r="H2530" s="60"/>
      <c r="I2530" s="60"/>
      <c r="J2530" s="63"/>
      <c r="K2530" s="61" t="str">
        <f aca="false">IF($P2530=0,"",IF($F2530="Baseline","— Baseline",IF($O2530=0,"No result",IF($N2530=0,"No Start (attainment only)",IF(OR($N2530=1,$O2530=1),"U – needs rule",INDEX(MxBody,MATCH($I2530,MxCurr,0),MATCH($H2530,MxStart,0)))))))</f>
        <v/>
      </c>
      <c r="L2530" s="62" t="str">
        <f aca="false">IF(COUNTA($A2530,$F2530,$G2530,$H2530,$I2530,$J2530)=0,"",IF($M2530=0,"✖ كود الصف غير موجود",IF(ISNA(MATCH($F2530,Lists!$A$2:$A$5,0)),"✖ الفترة غير صحيحة",IF(ISNA(MATCH($G2530,Lists!$B$2:$B$7,0)),"✖ المجموعة غير صحيحة",IF(NOT(OR($H2530="",$N2530&gt;0)),"✖ Start غير صحيح",IF(NOT(OR($I2530="",$I2530="NR",$O2530&gt;0)),"✖ Current غير صحيح",IF(NOT(IF(ISNUMBER($J2530),AND($J2530&gt;=0,$J2530=INT($J2530)),FALSE())),"✖ العدد يجب أن يكون صحيحًا ≥ 0",IF(AND($F2530="Baseline",$H2530&lt;&gt;""),"⚠ Baseline: Start لا يدخل في التقدم",IF($K2530="No Start (attainment only)","ℹ تحصيل فقط (بدون Start)",IF($K2530="U – needs rule","ℹ حالة U تحتاج قاعدة معتمدة",IF($K2530="No result","ℹ بدون نتيجة (يُستبعد من التحصيل)","OK")))))))))))</f>
        <v/>
      </c>
      <c r="M2530" s="64" t="n">
        <f aca="false">IF($A2530="",0,IFERROR(MATCH($A2530,Classes!$A$6:$A$420,0),0))</f>
        <v>0</v>
      </c>
      <c r="N2530" s="64" t="n">
        <f aca="false">IF($H2530="",0,IFERROR(MATCH($H2530,GradeList,0),0))</f>
        <v>0</v>
      </c>
      <c r="O2530" s="64" t="n">
        <f aca="false">IF(OR($I2530="",$I2530="NR"),0,IFERROR(MATCH($I2530,GradeList,0),0))</f>
        <v>0</v>
      </c>
      <c r="P2530" s="64" t="n">
        <f aca="false">IF(AND($M2530&gt;0,ISNUMBER(MATCH($F2530,Lists!$A$2:$A$5,0)),ISNUMBER(MATCH($G2530,Lists!$B$2:$B$7,0)),OR($H2530="",$N2530&gt;0),OR($I2530="",$I2530="NR",$O2530&gt;0),IF(ISNUMBER($J2530),AND($J2530&gt;=0,$J2530=INT($J2530)),FALSE())),$J2530,0)</f>
        <v>0</v>
      </c>
      <c r="Q2530" s="64" t="n">
        <f aca="false">IF(AND($P2530&gt;0,$O2530&gt;0),$P2530,0)</f>
        <v>0</v>
      </c>
      <c r="R2530" s="64" t="n">
        <f aca="false">IF(AND($Q2530&gt;0,$O2530&gt;=AtRank),$Q2530,0)</f>
        <v>0</v>
      </c>
      <c r="S2530" s="64" t="n">
        <f aca="false">IF(AND($Q2530&gt;0,$O2530&gt;=AboveRank),$Q2530,0)</f>
        <v>0</v>
      </c>
      <c r="T2530" s="64" t="n">
        <f aca="false">IF($K2530="Less",$P2530,0)</f>
        <v>0</v>
      </c>
      <c r="U2530" s="64" t="n">
        <f aca="false">IF($K2530="Expected",$P2530,0)</f>
        <v>0</v>
      </c>
      <c r="V2530" s="64" t="n">
        <f aca="false">IF($K2530="Better",$P2530,0)</f>
        <v>0</v>
      </c>
      <c r="W2530" s="64" t="n">
        <f aca="false">IF($K2530="U – needs rule",$P2530,0)</f>
        <v>0</v>
      </c>
      <c r="X2530" s="64" t="n">
        <f aca="false">IF($K2530="No Start (attainment only)",$P2530,0)</f>
        <v>0</v>
      </c>
    </row>
    <row r="2531" customFormat="false" ht="15" hidden="false" customHeight="false" outlineLevel="0" collapsed="false">
      <c r="A2531" s="60"/>
      <c r="B2531" s="61" t="str">
        <f aca="false">IF($M2531=0,"",INDEX(Classes!$E$6:$E$420,$M2531))</f>
        <v/>
      </c>
      <c r="C2531" s="62" t="str">
        <f aca="false">IF($M2531=0,"",INDEX(Classes!$H$6:$H$420,$M2531))</f>
        <v/>
      </c>
      <c r="D2531" s="61" t="str">
        <f aca="false">IF($M2531=0,"",INDEX(Classes!$B$6:$B$420,$M2531))</f>
        <v/>
      </c>
      <c r="E2531" s="61" t="str">
        <f aca="false">IF($M2531=0,"",INDEX(Classes!$C$6:$C$420,$M2531))</f>
        <v/>
      </c>
      <c r="F2531" s="63"/>
      <c r="G2531" s="63"/>
      <c r="H2531" s="60"/>
      <c r="I2531" s="60"/>
      <c r="J2531" s="63"/>
      <c r="K2531" s="61" t="str">
        <f aca="false">IF($P2531=0,"",IF($F2531="Baseline","— Baseline",IF($O2531=0,"No result",IF($N2531=0,"No Start (attainment only)",IF(OR($N2531=1,$O2531=1),"U – needs rule",INDEX(MxBody,MATCH($I2531,MxCurr,0),MATCH($H2531,MxStart,0)))))))</f>
        <v/>
      </c>
      <c r="L2531" s="62" t="str">
        <f aca="false">IF(COUNTA($A2531,$F2531,$G2531,$H2531,$I2531,$J2531)=0,"",IF($M2531=0,"✖ كود الصف غير موجود",IF(ISNA(MATCH($F2531,Lists!$A$2:$A$5,0)),"✖ الفترة غير صحيحة",IF(ISNA(MATCH($G2531,Lists!$B$2:$B$7,0)),"✖ المجموعة غير صحيحة",IF(NOT(OR($H2531="",$N2531&gt;0)),"✖ Start غير صحيح",IF(NOT(OR($I2531="",$I2531="NR",$O2531&gt;0)),"✖ Current غير صحيح",IF(NOT(IF(ISNUMBER($J2531),AND($J2531&gt;=0,$J2531=INT($J2531)),FALSE())),"✖ العدد يجب أن يكون صحيحًا ≥ 0",IF(AND($F2531="Baseline",$H2531&lt;&gt;""),"⚠ Baseline: Start لا يدخل في التقدم",IF($K2531="No Start (attainment only)","ℹ تحصيل فقط (بدون Start)",IF($K2531="U – needs rule","ℹ حالة U تحتاج قاعدة معتمدة",IF($K2531="No result","ℹ بدون نتيجة (يُستبعد من التحصيل)","OK")))))))))))</f>
        <v/>
      </c>
      <c r="M2531" s="64" t="n">
        <f aca="false">IF($A2531="",0,IFERROR(MATCH($A2531,Classes!$A$6:$A$420,0),0))</f>
        <v>0</v>
      </c>
      <c r="N2531" s="64" t="n">
        <f aca="false">IF($H2531="",0,IFERROR(MATCH($H2531,GradeList,0),0))</f>
        <v>0</v>
      </c>
      <c r="O2531" s="64" t="n">
        <f aca="false">IF(OR($I2531="",$I2531="NR"),0,IFERROR(MATCH($I2531,GradeList,0),0))</f>
        <v>0</v>
      </c>
      <c r="P2531" s="64" t="n">
        <f aca="false">IF(AND($M2531&gt;0,ISNUMBER(MATCH($F2531,Lists!$A$2:$A$5,0)),ISNUMBER(MATCH($G2531,Lists!$B$2:$B$7,0)),OR($H2531="",$N2531&gt;0),OR($I2531="",$I2531="NR",$O2531&gt;0),IF(ISNUMBER($J2531),AND($J2531&gt;=0,$J2531=INT($J2531)),FALSE())),$J2531,0)</f>
        <v>0</v>
      </c>
      <c r="Q2531" s="64" t="n">
        <f aca="false">IF(AND($P2531&gt;0,$O2531&gt;0),$P2531,0)</f>
        <v>0</v>
      </c>
      <c r="R2531" s="64" t="n">
        <f aca="false">IF(AND($Q2531&gt;0,$O2531&gt;=AtRank),$Q2531,0)</f>
        <v>0</v>
      </c>
      <c r="S2531" s="64" t="n">
        <f aca="false">IF(AND($Q2531&gt;0,$O2531&gt;=AboveRank),$Q2531,0)</f>
        <v>0</v>
      </c>
      <c r="T2531" s="64" t="n">
        <f aca="false">IF($K2531="Less",$P2531,0)</f>
        <v>0</v>
      </c>
      <c r="U2531" s="64" t="n">
        <f aca="false">IF($K2531="Expected",$P2531,0)</f>
        <v>0</v>
      </c>
      <c r="V2531" s="64" t="n">
        <f aca="false">IF($K2531="Better",$P2531,0)</f>
        <v>0</v>
      </c>
      <c r="W2531" s="64" t="n">
        <f aca="false">IF($K2531="U – needs rule",$P2531,0)</f>
        <v>0</v>
      </c>
      <c r="X2531" s="64" t="n">
        <f aca="false">IF($K2531="No Start (attainment only)",$P2531,0)</f>
        <v>0</v>
      </c>
    </row>
    <row r="2532" customFormat="false" ht="15" hidden="false" customHeight="false" outlineLevel="0" collapsed="false">
      <c r="A2532" s="60"/>
      <c r="B2532" s="61" t="str">
        <f aca="false">IF($M2532=0,"",INDEX(Classes!$E$6:$E$420,$M2532))</f>
        <v/>
      </c>
      <c r="C2532" s="62" t="str">
        <f aca="false">IF($M2532=0,"",INDEX(Classes!$H$6:$H$420,$M2532))</f>
        <v/>
      </c>
      <c r="D2532" s="61" t="str">
        <f aca="false">IF($M2532=0,"",INDEX(Classes!$B$6:$B$420,$M2532))</f>
        <v/>
      </c>
      <c r="E2532" s="61" t="str">
        <f aca="false">IF($M2532=0,"",INDEX(Classes!$C$6:$C$420,$M2532))</f>
        <v/>
      </c>
      <c r="F2532" s="63"/>
      <c r="G2532" s="63"/>
      <c r="H2532" s="60"/>
      <c r="I2532" s="60"/>
      <c r="J2532" s="63"/>
      <c r="K2532" s="61" t="str">
        <f aca="false">IF($P2532=0,"",IF($F2532="Baseline","— Baseline",IF($O2532=0,"No result",IF($N2532=0,"No Start (attainment only)",IF(OR($N2532=1,$O2532=1),"U – needs rule",INDEX(MxBody,MATCH($I2532,MxCurr,0),MATCH($H2532,MxStart,0)))))))</f>
        <v/>
      </c>
      <c r="L2532" s="62" t="str">
        <f aca="false">IF(COUNTA($A2532,$F2532,$G2532,$H2532,$I2532,$J2532)=0,"",IF($M2532=0,"✖ كود الصف غير موجود",IF(ISNA(MATCH($F2532,Lists!$A$2:$A$5,0)),"✖ الفترة غير صحيحة",IF(ISNA(MATCH($G2532,Lists!$B$2:$B$7,0)),"✖ المجموعة غير صحيحة",IF(NOT(OR($H2532="",$N2532&gt;0)),"✖ Start غير صحيح",IF(NOT(OR($I2532="",$I2532="NR",$O2532&gt;0)),"✖ Current غير صحيح",IF(NOT(IF(ISNUMBER($J2532),AND($J2532&gt;=0,$J2532=INT($J2532)),FALSE())),"✖ العدد يجب أن يكون صحيحًا ≥ 0",IF(AND($F2532="Baseline",$H2532&lt;&gt;""),"⚠ Baseline: Start لا يدخل في التقدم",IF($K2532="No Start (attainment only)","ℹ تحصيل فقط (بدون Start)",IF($K2532="U – needs rule","ℹ حالة U تحتاج قاعدة معتمدة",IF($K2532="No result","ℹ بدون نتيجة (يُستبعد من التحصيل)","OK")))))))))))</f>
        <v/>
      </c>
      <c r="M2532" s="64" t="n">
        <f aca="false">IF($A2532="",0,IFERROR(MATCH($A2532,Classes!$A$6:$A$420,0),0))</f>
        <v>0</v>
      </c>
      <c r="N2532" s="64" t="n">
        <f aca="false">IF($H2532="",0,IFERROR(MATCH($H2532,GradeList,0),0))</f>
        <v>0</v>
      </c>
      <c r="O2532" s="64" t="n">
        <f aca="false">IF(OR($I2532="",$I2532="NR"),0,IFERROR(MATCH($I2532,GradeList,0),0))</f>
        <v>0</v>
      </c>
      <c r="P2532" s="64" t="n">
        <f aca="false">IF(AND($M2532&gt;0,ISNUMBER(MATCH($F2532,Lists!$A$2:$A$5,0)),ISNUMBER(MATCH($G2532,Lists!$B$2:$B$7,0)),OR($H2532="",$N2532&gt;0),OR($I2532="",$I2532="NR",$O2532&gt;0),IF(ISNUMBER($J2532),AND($J2532&gt;=0,$J2532=INT($J2532)),FALSE())),$J2532,0)</f>
        <v>0</v>
      </c>
      <c r="Q2532" s="64" t="n">
        <f aca="false">IF(AND($P2532&gt;0,$O2532&gt;0),$P2532,0)</f>
        <v>0</v>
      </c>
      <c r="R2532" s="64" t="n">
        <f aca="false">IF(AND($Q2532&gt;0,$O2532&gt;=AtRank),$Q2532,0)</f>
        <v>0</v>
      </c>
      <c r="S2532" s="64" t="n">
        <f aca="false">IF(AND($Q2532&gt;0,$O2532&gt;=AboveRank),$Q2532,0)</f>
        <v>0</v>
      </c>
      <c r="T2532" s="64" t="n">
        <f aca="false">IF($K2532="Less",$P2532,0)</f>
        <v>0</v>
      </c>
      <c r="U2532" s="64" t="n">
        <f aca="false">IF($K2532="Expected",$P2532,0)</f>
        <v>0</v>
      </c>
      <c r="V2532" s="64" t="n">
        <f aca="false">IF($K2532="Better",$P2532,0)</f>
        <v>0</v>
      </c>
      <c r="W2532" s="64" t="n">
        <f aca="false">IF($K2532="U – needs rule",$P2532,0)</f>
        <v>0</v>
      </c>
      <c r="X2532" s="64" t="n">
        <f aca="false">IF($K2532="No Start (attainment only)",$P2532,0)</f>
        <v>0</v>
      </c>
    </row>
    <row r="2533" customFormat="false" ht="15" hidden="false" customHeight="false" outlineLevel="0" collapsed="false">
      <c r="A2533" s="60"/>
      <c r="B2533" s="61" t="str">
        <f aca="false">IF($M2533=0,"",INDEX(Classes!$E$6:$E$420,$M2533))</f>
        <v/>
      </c>
      <c r="C2533" s="62" t="str">
        <f aca="false">IF($M2533=0,"",INDEX(Classes!$H$6:$H$420,$M2533))</f>
        <v/>
      </c>
      <c r="D2533" s="61" t="str">
        <f aca="false">IF($M2533=0,"",INDEX(Classes!$B$6:$B$420,$M2533))</f>
        <v/>
      </c>
      <c r="E2533" s="61" t="str">
        <f aca="false">IF($M2533=0,"",INDEX(Classes!$C$6:$C$420,$M2533))</f>
        <v/>
      </c>
      <c r="F2533" s="63"/>
      <c r="G2533" s="63"/>
      <c r="H2533" s="60"/>
      <c r="I2533" s="60"/>
      <c r="J2533" s="63"/>
      <c r="K2533" s="61" t="str">
        <f aca="false">IF($P2533=0,"",IF($F2533="Baseline","— Baseline",IF($O2533=0,"No result",IF($N2533=0,"No Start (attainment only)",IF(OR($N2533=1,$O2533=1),"U – needs rule",INDEX(MxBody,MATCH($I2533,MxCurr,0),MATCH($H2533,MxStart,0)))))))</f>
        <v/>
      </c>
      <c r="L2533" s="62" t="str">
        <f aca="false">IF(COUNTA($A2533,$F2533,$G2533,$H2533,$I2533,$J2533)=0,"",IF($M2533=0,"✖ كود الصف غير موجود",IF(ISNA(MATCH($F2533,Lists!$A$2:$A$5,0)),"✖ الفترة غير صحيحة",IF(ISNA(MATCH($G2533,Lists!$B$2:$B$7,0)),"✖ المجموعة غير صحيحة",IF(NOT(OR($H2533="",$N2533&gt;0)),"✖ Start غير صحيح",IF(NOT(OR($I2533="",$I2533="NR",$O2533&gt;0)),"✖ Current غير صحيح",IF(NOT(IF(ISNUMBER($J2533),AND($J2533&gt;=0,$J2533=INT($J2533)),FALSE())),"✖ العدد يجب أن يكون صحيحًا ≥ 0",IF(AND($F2533="Baseline",$H2533&lt;&gt;""),"⚠ Baseline: Start لا يدخل في التقدم",IF($K2533="No Start (attainment only)","ℹ تحصيل فقط (بدون Start)",IF($K2533="U – needs rule","ℹ حالة U تحتاج قاعدة معتمدة",IF($K2533="No result","ℹ بدون نتيجة (يُستبعد من التحصيل)","OK")))))))))))</f>
        <v/>
      </c>
      <c r="M2533" s="64" t="n">
        <f aca="false">IF($A2533="",0,IFERROR(MATCH($A2533,Classes!$A$6:$A$420,0),0))</f>
        <v>0</v>
      </c>
      <c r="N2533" s="64" t="n">
        <f aca="false">IF($H2533="",0,IFERROR(MATCH($H2533,GradeList,0),0))</f>
        <v>0</v>
      </c>
      <c r="O2533" s="64" t="n">
        <f aca="false">IF(OR($I2533="",$I2533="NR"),0,IFERROR(MATCH($I2533,GradeList,0),0))</f>
        <v>0</v>
      </c>
      <c r="P2533" s="64" t="n">
        <f aca="false">IF(AND($M2533&gt;0,ISNUMBER(MATCH($F2533,Lists!$A$2:$A$5,0)),ISNUMBER(MATCH($G2533,Lists!$B$2:$B$7,0)),OR($H2533="",$N2533&gt;0),OR($I2533="",$I2533="NR",$O2533&gt;0),IF(ISNUMBER($J2533),AND($J2533&gt;=0,$J2533=INT($J2533)),FALSE())),$J2533,0)</f>
        <v>0</v>
      </c>
      <c r="Q2533" s="64" t="n">
        <f aca="false">IF(AND($P2533&gt;0,$O2533&gt;0),$P2533,0)</f>
        <v>0</v>
      </c>
      <c r="R2533" s="64" t="n">
        <f aca="false">IF(AND($Q2533&gt;0,$O2533&gt;=AtRank),$Q2533,0)</f>
        <v>0</v>
      </c>
      <c r="S2533" s="64" t="n">
        <f aca="false">IF(AND($Q2533&gt;0,$O2533&gt;=AboveRank),$Q2533,0)</f>
        <v>0</v>
      </c>
      <c r="T2533" s="64" t="n">
        <f aca="false">IF($K2533="Less",$P2533,0)</f>
        <v>0</v>
      </c>
      <c r="U2533" s="64" t="n">
        <f aca="false">IF($K2533="Expected",$P2533,0)</f>
        <v>0</v>
      </c>
      <c r="V2533" s="64" t="n">
        <f aca="false">IF($K2533="Better",$P2533,0)</f>
        <v>0</v>
      </c>
      <c r="W2533" s="64" t="n">
        <f aca="false">IF($K2533="U – needs rule",$P2533,0)</f>
        <v>0</v>
      </c>
      <c r="X2533" s="64" t="n">
        <f aca="false">IF($K2533="No Start (attainment only)",$P2533,0)</f>
        <v>0</v>
      </c>
    </row>
    <row r="2534" customFormat="false" ht="15" hidden="false" customHeight="false" outlineLevel="0" collapsed="false">
      <c r="A2534" s="60"/>
      <c r="B2534" s="61" t="str">
        <f aca="false">IF($M2534=0,"",INDEX(Classes!$E$6:$E$420,$M2534))</f>
        <v/>
      </c>
      <c r="C2534" s="62" t="str">
        <f aca="false">IF($M2534=0,"",INDEX(Classes!$H$6:$H$420,$M2534))</f>
        <v/>
      </c>
      <c r="D2534" s="61" t="str">
        <f aca="false">IF($M2534=0,"",INDEX(Classes!$B$6:$B$420,$M2534))</f>
        <v/>
      </c>
      <c r="E2534" s="61" t="str">
        <f aca="false">IF($M2534=0,"",INDEX(Classes!$C$6:$C$420,$M2534))</f>
        <v/>
      </c>
      <c r="F2534" s="63"/>
      <c r="G2534" s="63"/>
      <c r="H2534" s="60"/>
      <c r="I2534" s="60"/>
      <c r="J2534" s="63"/>
      <c r="K2534" s="61" t="str">
        <f aca="false">IF($P2534=0,"",IF($F2534="Baseline","— Baseline",IF($O2534=0,"No result",IF($N2534=0,"No Start (attainment only)",IF(OR($N2534=1,$O2534=1),"U – needs rule",INDEX(MxBody,MATCH($I2534,MxCurr,0),MATCH($H2534,MxStart,0)))))))</f>
        <v/>
      </c>
      <c r="L2534" s="62" t="str">
        <f aca="false">IF(COUNTA($A2534,$F2534,$G2534,$H2534,$I2534,$J2534)=0,"",IF($M2534=0,"✖ كود الصف غير موجود",IF(ISNA(MATCH($F2534,Lists!$A$2:$A$5,0)),"✖ الفترة غير صحيحة",IF(ISNA(MATCH($G2534,Lists!$B$2:$B$7,0)),"✖ المجموعة غير صحيحة",IF(NOT(OR($H2534="",$N2534&gt;0)),"✖ Start غير صحيح",IF(NOT(OR($I2534="",$I2534="NR",$O2534&gt;0)),"✖ Current غير صحيح",IF(NOT(IF(ISNUMBER($J2534),AND($J2534&gt;=0,$J2534=INT($J2534)),FALSE())),"✖ العدد يجب أن يكون صحيحًا ≥ 0",IF(AND($F2534="Baseline",$H2534&lt;&gt;""),"⚠ Baseline: Start لا يدخل في التقدم",IF($K2534="No Start (attainment only)","ℹ تحصيل فقط (بدون Start)",IF($K2534="U – needs rule","ℹ حالة U تحتاج قاعدة معتمدة",IF($K2534="No result","ℹ بدون نتيجة (يُستبعد من التحصيل)","OK")))))))))))</f>
        <v/>
      </c>
      <c r="M2534" s="64" t="n">
        <f aca="false">IF($A2534="",0,IFERROR(MATCH($A2534,Classes!$A$6:$A$420,0),0))</f>
        <v>0</v>
      </c>
      <c r="N2534" s="64" t="n">
        <f aca="false">IF($H2534="",0,IFERROR(MATCH($H2534,GradeList,0),0))</f>
        <v>0</v>
      </c>
      <c r="O2534" s="64" t="n">
        <f aca="false">IF(OR($I2534="",$I2534="NR"),0,IFERROR(MATCH($I2534,GradeList,0),0))</f>
        <v>0</v>
      </c>
      <c r="P2534" s="64" t="n">
        <f aca="false">IF(AND($M2534&gt;0,ISNUMBER(MATCH($F2534,Lists!$A$2:$A$5,0)),ISNUMBER(MATCH($G2534,Lists!$B$2:$B$7,0)),OR($H2534="",$N2534&gt;0),OR($I2534="",$I2534="NR",$O2534&gt;0),IF(ISNUMBER($J2534),AND($J2534&gt;=0,$J2534=INT($J2534)),FALSE())),$J2534,0)</f>
        <v>0</v>
      </c>
      <c r="Q2534" s="64" t="n">
        <f aca="false">IF(AND($P2534&gt;0,$O2534&gt;0),$P2534,0)</f>
        <v>0</v>
      </c>
      <c r="R2534" s="64" t="n">
        <f aca="false">IF(AND($Q2534&gt;0,$O2534&gt;=AtRank),$Q2534,0)</f>
        <v>0</v>
      </c>
      <c r="S2534" s="64" t="n">
        <f aca="false">IF(AND($Q2534&gt;0,$O2534&gt;=AboveRank),$Q2534,0)</f>
        <v>0</v>
      </c>
      <c r="T2534" s="64" t="n">
        <f aca="false">IF($K2534="Less",$P2534,0)</f>
        <v>0</v>
      </c>
      <c r="U2534" s="64" t="n">
        <f aca="false">IF($K2534="Expected",$P2534,0)</f>
        <v>0</v>
      </c>
      <c r="V2534" s="64" t="n">
        <f aca="false">IF($K2534="Better",$P2534,0)</f>
        <v>0</v>
      </c>
      <c r="W2534" s="64" t="n">
        <f aca="false">IF($K2534="U – needs rule",$P2534,0)</f>
        <v>0</v>
      </c>
      <c r="X2534" s="64" t="n">
        <f aca="false">IF($K2534="No Start (attainment only)",$P2534,0)</f>
        <v>0</v>
      </c>
    </row>
    <row r="2535" customFormat="false" ht="15" hidden="false" customHeight="false" outlineLevel="0" collapsed="false">
      <c r="A2535" s="60"/>
      <c r="B2535" s="61" t="str">
        <f aca="false">IF($M2535=0,"",INDEX(Classes!$E$6:$E$420,$M2535))</f>
        <v/>
      </c>
      <c r="C2535" s="62" t="str">
        <f aca="false">IF($M2535=0,"",INDEX(Classes!$H$6:$H$420,$M2535))</f>
        <v/>
      </c>
      <c r="D2535" s="61" t="str">
        <f aca="false">IF($M2535=0,"",INDEX(Classes!$B$6:$B$420,$M2535))</f>
        <v/>
      </c>
      <c r="E2535" s="61" t="str">
        <f aca="false">IF($M2535=0,"",INDEX(Classes!$C$6:$C$420,$M2535))</f>
        <v/>
      </c>
      <c r="F2535" s="63"/>
      <c r="G2535" s="63"/>
      <c r="H2535" s="60"/>
      <c r="I2535" s="60"/>
      <c r="J2535" s="63"/>
      <c r="K2535" s="61" t="str">
        <f aca="false">IF($P2535=0,"",IF($F2535="Baseline","— Baseline",IF($O2535=0,"No result",IF($N2535=0,"No Start (attainment only)",IF(OR($N2535=1,$O2535=1),"U – needs rule",INDEX(MxBody,MATCH($I2535,MxCurr,0),MATCH($H2535,MxStart,0)))))))</f>
        <v/>
      </c>
      <c r="L2535" s="62" t="str">
        <f aca="false">IF(COUNTA($A2535,$F2535,$G2535,$H2535,$I2535,$J2535)=0,"",IF($M2535=0,"✖ كود الصف غير موجود",IF(ISNA(MATCH($F2535,Lists!$A$2:$A$5,0)),"✖ الفترة غير صحيحة",IF(ISNA(MATCH($G2535,Lists!$B$2:$B$7,0)),"✖ المجموعة غير صحيحة",IF(NOT(OR($H2535="",$N2535&gt;0)),"✖ Start غير صحيح",IF(NOT(OR($I2535="",$I2535="NR",$O2535&gt;0)),"✖ Current غير صحيح",IF(NOT(IF(ISNUMBER($J2535),AND($J2535&gt;=0,$J2535=INT($J2535)),FALSE())),"✖ العدد يجب أن يكون صحيحًا ≥ 0",IF(AND($F2535="Baseline",$H2535&lt;&gt;""),"⚠ Baseline: Start لا يدخل في التقدم",IF($K2535="No Start (attainment only)","ℹ تحصيل فقط (بدون Start)",IF($K2535="U – needs rule","ℹ حالة U تحتاج قاعدة معتمدة",IF($K2535="No result","ℹ بدون نتيجة (يُستبعد من التحصيل)","OK")))))))))))</f>
        <v/>
      </c>
      <c r="M2535" s="64" t="n">
        <f aca="false">IF($A2535="",0,IFERROR(MATCH($A2535,Classes!$A$6:$A$420,0),0))</f>
        <v>0</v>
      </c>
      <c r="N2535" s="64" t="n">
        <f aca="false">IF($H2535="",0,IFERROR(MATCH($H2535,GradeList,0),0))</f>
        <v>0</v>
      </c>
      <c r="O2535" s="64" t="n">
        <f aca="false">IF(OR($I2535="",$I2535="NR"),0,IFERROR(MATCH($I2535,GradeList,0),0))</f>
        <v>0</v>
      </c>
      <c r="P2535" s="64" t="n">
        <f aca="false">IF(AND($M2535&gt;0,ISNUMBER(MATCH($F2535,Lists!$A$2:$A$5,0)),ISNUMBER(MATCH($G2535,Lists!$B$2:$B$7,0)),OR($H2535="",$N2535&gt;0),OR($I2535="",$I2535="NR",$O2535&gt;0),IF(ISNUMBER($J2535),AND($J2535&gt;=0,$J2535=INT($J2535)),FALSE())),$J2535,0)</f>
        <v>0</v>
      </c>
      <c r="Q2535" s="64" t="n">
        <f aca="false">IF(AND($P2535&gt;0,$O2535&gt;0),$P2535,0)</f>
        <v>0</v>
      </c>
      <c r="R2535" s="64" t="n">
        <f aca="false">IF(AND($Q2535&gt;0,$O2535&gt;=AtRank),$Q2535,0)</f>
        <v>0</v>
      </c>
      <c r="S2535" s="64" t="n">
        <f aca="false">IF(AND($Q2535&gt;0,$O2535&gt;=AboveRank),$Q2535,0)</f>
        <v>0</v>
      </c>
      <c r="T2535" s="64" t="n">
        <f aca="false">IF($K2535="Less",$P2535,0)</f>
        <v>0</v>
      </c>
      <c r="U2535" s="64" t="n">
        <f aca="false">IF($K2535="Expected",$P2535,0)</f>
        <v>0</v>
      </c>
      <c r="V2535" s="64" t="n">
        <f aca="false">IF($K2535="Better",$P2535,0)</f>
        <v>0</v>
      </c>
      <c r="W2535" s="64" t="n">
        <f aca="false">IF($K2535="U – needs rule",$P2535,0)</f>
        <v>0</v>
      </c>
      <c r="X2535" s="64" t="n">
        <f aca="false">IF($K2535="No Start (attainment only)",$P2535,0)</f>
        <v>0</v>
      </c>
    </row>
    <row r="2536" customFormat="false" ht="15" hidden="false" customHeight="false" outlineLevel="0" collapsed="false">
      <c r="A2536" s="60"/>
      <c r="B2536" s="61" t="str">
        <f aca="false">IF($M2536=0,"",INDEX(Classes!$E$6:$E$420,$M2536))</f>
        <v/>
      </c>
      <c r="C2536" s="62" t="str">
        <f aca="false">IF($M2536=0,"",INDEX(Classes!$H$6:$H$420,$M2536))</f>
        <v/>
      </c>
      <c r="D2536" s="61" t="str">
        <f aca="false">IF($M2536=0,"",INDEX(Classes!$B$6:$B$420,$M2536))</f>
        <v/>
      </c>
      <c r="E2536" s="61" t="str">
        <f aca="false">IF($M2536=0,"",INDEX(Classes!$C$6:$C$420,$M2536))</f>
        <v/>
      </c>
      <c r="F2536" s="63"/>
      <c r="G2536" s="63"/>
      <c r="H2536" s="60"/>
      <c r="I2536" s="60"/>
      <c r="J2536" s="63"/>
      <c r="K2536" s="61" t="str">
        <f aca="false">IF($P2536=0,"",IF($F2536="Baseline","— Baseline",IF($O2536=0,"No result",IF($N2536=0,"No Start (attainment only)",IF(OR($N2536=1,$O2536=1),"U – needs rule",INDEX(MxBody,MATCH($I2536,MxCurr,0),MATCH($H2536,MxStart,0)))))))</f>
        <v/>
      </c>
      <c r="L2536" s="62" t="str">
        <f aca="false">IF(COUNTA($A2536,$F2536,$G2536,$H2536,$I2536,$J2536)=0,"",IF($M2536=0,"✖ كود الصف غير موجود",IF(ISNA(MATCH($F2536,Lists!$A$2:$A$5,0)),"✖ الفترة غير صحيحة",IF(ISNA(MATCH($G2536,Lists!$B$2:$B$7,0)),"✖ المجموعة غير صحيحة",IF(NOT(OR($H2536="",$N2536&gt;0)),"✖ Start غير صحيح",IF(NOT(OR($I2536="",$I2536="NR",$O2536&gt;0)),"✖ Current غير صحيح",IF(NOT(IF(ISNUMBER($J2536),AND($J2536&gt;=0,$J2536=INT($J2536)),FALSE())),"✖ العدد يجب أن يكون صحيحًا ≥ 0",IF(AND($F2536="Baseline",$H2536&lt;&gt;""),"⚠ Baseline: Start لا يدخل في التقدم",IF($K2536="No Start (attainment only)","ℹ تحصيل فقط (بدون Start)",IF($K2536="U – needs rule","ℹ حالة U تحتاج قاعدة معتمدة",IF($K2536="No result","ℹ بدون نتيجة (يُستبعد من التحصيل)","OK")))))))))))</f>
        <v/>
      </c>
      <c r="M2536" s="64" t="n">
        <f aca="false">IF($A2536="",0,IFERROR(MATCH($A2536,Classes!$A$6:$A$420,0),0))</f>
        <v>0</v>
      </c>
      <c r="N2536" s="64" t="n">
        <f aca="false">IF($H2536="",0,IFERROR(MATCH($H2536,GradeList,0),0))</f>
        <v>0</v>
      </c>
      <c r="O2536" s="64" t="n">
        <f aca="false">IF(OR($I2536="",$I2536="NR"),0,IFERROR(MATCH($I2536,GradeList,0),0))</f>
        <v>0</v>
      </c>
      <c r="P2536" s="64" t="n">
        <f aca="false">IF(AND($M2536&gt;0,ISNUMBER(MATCH($F2536,Lists!$A$2:$A$5,0)),ISNUMBER(MATCH($G2536,Lists!$B$2:$B$7,0)),OR($H2536="",$N2536&gt;0),OR($I2536="",$I2536="NR",$O2536&gt;0),IF(ISNUMBER($J2536),AND($J2536&gt;=0,$J2536=INT($J2536)),FALSE())),$J2536,0)</f>
        <v>0</v>
      </c>
      <c r="Q2536" s="64" t="n">
        <f aca="false">IF(AND($P2536&gt;0,$O2536&gt;0),$P2536,0)</f>
        <v>0</v>
      </c>
      <c r="R2536" s="64" t="n">
        <f aca="false">IF(AND($Q2536&gt;0,$O2536&gt;=AtRank),$Q2536,0)</f>
        <v>0</v>
      </c>
      <c r="S2536" s="64" t="n">
        <f aca="false">IF(AND($Q2536&gt;0,$O2536&gt;=AboveRank),$Q2536,0)</f>
        <v>0</v>
      </c>
      <c r="T2536" s="64" t="n">
        <f aca="false">IF($K2536="Less",$P2536,0)</f>
        <v>0</v>
      </c>
      <c r="U2536" s="64" t="n">
        <f aca="false">IF($K2536="Expected",$P2536,0)</f>
        <v>0</v>
      </c>
      <c r="V2536" s="64" t="n">
        <f aca="false">IF($K2536="Better",$P2536,0)</f>
        <v>0</v>
      </c>
      <c r="W2536" s="64" t="n">
        <f aca="false">IF($K2536="U – needs rule",$P2536,0)</f>
        <v>0</v>
      </c>
      <c r="X2536" s="64" t="n">
        <f aca="false">IF($K2536="No Start (attainment only)",$P2536,0)</f>
        <v>0</v>
      </c>
    </row>
    <row r="2537" customFormat="false" ht="15" hidden="false" customHeight="false" outlineLevel="0" collapsed="false">
      <c r="A2537" s="60"/>
      <c r="B2537" s="61" t="str">
        <f aca="false">IF($M2537=0,"",INDEX(Classes!$E$6:$E$420,$M2537))</f>
        <v/>
      </c>
      <c r="C2537" s="62" t="str">
        <f aca="false">IF($M2537=0,"",INDEX(Classes!$H$6:$H$420,$M2537))</f>
        <v/>
      </c>
      <c r="D2537" s="61" t="str">
        <f aca="false">IF($M2537=0,"",INDEX(Classes!$B$6:$B$420,$M2537))</f>
        <v/>
      </c>
      <c r="E2537" s="61" t="str">
        <f aca="false">IF($M2537=0,"",INDEX(Classes!$C$6:$C$420,$M2537))</f>
        <v/>
      </c>
      <c r="F2537" s="63"/>
      <c r="G2537" s="63"/>
      <c r="H2537" s="60"/>
      <c r="I2537" s="60"/>
      <c r="J2537" s="63"/>
      <c r="K2537" s="61" t="str">
        <f aca="false">IF($P2537=0,"",IF($F2537="Baseline","— Baseline",IF($O2537=0,"No result",IF($N2537=0,"No Start (attainment only)",IF(OR($N2537=1,$O2537=1),"U – needs rule",INDEX(MxBody,MATCH($I2537,MxCurr,0),MATCH($H2537,MxStart,0)))))))</f>
        <v/>
      </c>
      <c r="L2537" s="62" t="str">
        <f aca="false">IF(COUNTA($A2537,$F2537,$G2537,$H2537,$I2537,$J2537)=0,"",IF($M2537=0,"✖ كود الصف غير موجود",IF(ISNA(MATCH($F2537,Lists!$A$2:$A$5,0)),"✖ الفترة غير صحيحة",IF(ISNA(MATCH($G2537,Lists!$B$2:$B$7,0)),"✖ المجموعة غير صحيحة",IF(NOT(OR($H2537="",$N2537&gt;0)),"✖ Start غير صحيح",IF(NOT(OR($I2537="",$I2537="NR",$O2537&gt;0)),"✖ Current غير صحيح",IF(NOT(IF(ISNUMBER($J2537),AND($J2537&gt;=0,$J2537=INT($J2537)),FALSE())),"✖ العدد يجب أن يكون صحيحًا ≥ 0",IF(AND($F2537="Baseline",$H2537&lt;&gt;""),"⚠ Baseline: Start لا يدخل في التقدم",IF($K2537="No Start (attainment only)","ℹ تحصيل فقط (بدون Start)",IF($K2537="U – needs rule","ℹ حالة U تحتاج قاعدة معتمدة",IF($K2537="No result","ℹ بدون نتيجة (يُستبعد من التحصيل)","OK")))))))))))</f>
        <v/>
      </c>
      <c r="M2537" s="64" t="n">
        <f aca="false">IF($A2537="",0,IFERROR(MATCH($A2537,Classes!$A$6:$A$420,0),0))</f>
        <v>0</v>
      </c>
      <c r="N2537" s="64" t="n">
        <f aca="false">IF($H2537="",0,IFERROR(MATCH($H2537,GradeList,0),0))</f>
        <v>0</v>
      </c>
      <c r="O2537" s="64" t="n">
        <f aca="false">IF(OR($I2537="",$I2537="NR"),0,IFERROR(MATCH($I2537,GradeList,0),0))</f>
        <v>0</v>
      </c>
      <c r="P2537" s="64" t="n">
        <f aca="false">IF(AND($M2537&gt;0,ISNUMBER(MATCH($F2537,Lists!$A$2:$A$5,0)),ISNUMBER(MATCH($G2537,Lists!$B$2:$B$7,0)),OR($H2537="",$N2537&gt;0),OR($I2537="",$I2537="NR",$O2537&gt;0),IF(ISNUMBER($J2537),AND($J2537&gt;=0,$J2537=INT($J2537)),FALSE())),$J2537,0)</f>
        <v>0</v>
      </c>
      <c r="Q2537" s="64" t="n">
        <f aca="false">IF(AND($P2537&gt;0,$O2537&gt;0),$P2537,0)</f>
        <v>0</v>
      </c>
      <c r="R2537" s="64" t="n">
        <f aca="false">IF(AND($Q2537&gt;0,$O2537&gt;=AtRank),$Q2537,0)</f>
        <v>0</v>
      </c>
      <c r="S2537" s="64" t="n">
        <f aca="false">IF(AND($Q2537&gt;0,$O2537&gt;=AboveRank),$Q2537,0)</f>
        <v>0</v>
      </c>
      <c r="T2537" s="64" t="n">
        <f aca="false">IF($K2537="Less",$P2537,0)</f>
        <v>0</v>
      </c>
      <c r="U2537" s="64" t="n">
        <f aca="false">IF($K2537="Expected",$P2537,0)</f>
        <v>0</v>
      </c>
      <c r="V2537" s="64" t="n">
        <f aca="false">IF($K2537="Better",$P2537,0)</f>
        <v>0</v>
      </c>
      <c r="W2537" s="64" t="n">
        <f aca="false">IF($K2537="U – needs rule",$P2537,0)</f>
        <v>0</v>
      </c>
      <c r="X2537" s="64" t="n">
        <f aca="false">IF($K2537="No Start (attainment only)",$P2537,0)</f>
        <v>0</v>
      </c>
    </row>
    <row r="2538" customFormat="false" ht="15" hidden="false" customHeight="false" outlineLevel="0" collapsed="false">
      <c r="A2538" s="60"/>
      <c r="B2538" s="61" t="str">
        <f aca="false">IF($M2538=0,"",INDEX(Classes!$E$6:$E$420,$M2538))</f>
        <v/>
      </c>
      <c r="C2538" s="62" t="str">
        <f aca="false">IF($M2538=0,"",INDEX(Classes!$H$6:$H$420,$M2538))</f>
        <v/>
      </c>
      <c r="D2538" s="61" t="str">
        <f aca="false">IF($M2538=0,"",INDEX(Classes!$B$6:$B$420,$M2538))</f>
        <v/>
      </c>
      <c r="E2538" s="61" t="str">
        <f aca="false">IF($M2538=0,"",INDEX(Classes!$C$6:$C$420,$M2538))</f>
        <v/>
      </c>
      <c r="F2538" s="63"/>
      <c r="G2538" s="63"/>
      <c r="H2538" s="60"/>
      <c r="I2538" s="60"/>
      <c r="J2538" s="63"/>
      <c r="K2538" s="61" t="str">
        <f aca="false">IF($P2538=0,"",IF($F2538="Baseline","— Baseline",IF($O2538=0,"No result",IF($N2538=0,"No Start (attainment only)",IF(OR($N2538=1,$O2538=1),"U – needs rule",INDEX(MxBody,MATCH($I2538,MxCurr,0),MATCH($H2538,MxStart,0)))))))</f>
        <v/>
      </c>
      <c r="L2538" s="62" t="str">
        <f aca="false">IF(COUNTA($A2538,$F2538,$G2538,$H2538,$I2538,$J2538)=0,"",IF($M2538=0,"✖ كود الصف غير موجود",IF(ISNA(MATCH($F2538,Lists!$A$2:$A$5,0)),"✖ الفترة غير صحيحة",IF(ISNA(MATCH($G2538,Lists!$B$2:$B$7,0)),"✖ المجموعة غير صحيحة",IF(NOT(OR($H2538="",$N2538&gt;0)),"✖ Start غير صحيح",IF(NOT(OR($I2538="",$I2538="NR",$O2538&gt;0)),"✖ Current غير صحيح",IF(NOT(IF(ISNUMBER($J2538),AND($J2538&gt;=0,$J2538=INT($J2538)),FALSE())),"✖ العدد يجب أن يكون صحيحًا ≥ 0",IF(AND($F2538="Baseline",$H2538&lt;&gt;""),"⚠ Baseline: Start لا يدخل في التقدم",IF($K2538="No Start (attainment only)","ℹ تحصيل فقط (بدون Start)",IF($K2538="U – needs rule","ℹ حالة U تحتاج قاعدة معتمدة",IF($K2538="No result","ℹ بدون نتيجة (يُستبعد من التحصيل)","OK")))))))))))</f>
        <v/>
      </c>
      <c r="M2538" s="64" t="n">
        <f aca="false">IF($A2538="",0,IFERROR(MATCH($A2538,Classes!$A$6:$A$420,0),0))</f>
        <v>0</v>
      </c>
      <c r="N2538" s="64" t="n">
        <f aca="false">IF($H2538="",0,IFERROR(MATCH($H2538,GradeList,0),0))</f>
        <v>0</v>
      </c>
      <c r="O2538" s="64" t="n">
        <f aca="false">IF(OR($I2538="",$I2538="NR"),0,IFERROR(MATCH($I2538,GradeList,0),0))</f>
        <v>0</v>
      </c>
      <c r="P2538" s="64" t="n">
        <f aca="false">IF(AND($M2538&gt;0,ISNUMBER(MATCH($F2538,Lists!$A$2:$A$5,0)),ISNUMBER(MATCH($G2538,Lists!$B$2:$B$7,0)),OR($H2538="",$N2538&gt;0),OR($I2538="",$I2538="NR",$O2538&gt;0),IF(ISNUMBER($J2538),AND($J2538&gt;=0,$J2538=INT($J2538)),FALSE())),$J2538,0)</f>
        <v>0</v>
      </c>
      <c r="Q2538" s="64" t="n">
        <f aca="false">IF(AND($P2538&gt;0,$O2538&gt;0),$P2538,0)</f>
        <v>0</v>
      </c>
      <c r="R2538" s="64" t="n">
        <f aca="false">IF(AND($Q2538&gt;0,$O2538&gt;=AtRank),$Q2538,0)</f>
        <v>0</v>
      </c>
      <c r="S2538" s="64" t="n">
        <f aca="false">IF(AND($Q2538&gt;0,$O2538&gt;=AboveRank),$Q2538,0)</f>
        <v>0</v>
      </c>
      <c r="T2538" s="64" t="n">
        <f aca="false">IF($K2538="Less",$P2538,0)</f>
        <v>0</v>
      </c>
      <c r="U2538" s="64" t="n">
        <f aca="false">IF($K2538="Expected",$P2538,0)</f>
        <v>0</v>
      </c>
      <c r="V2538" s="64" t="n">
        <f aca="false">IF($K2538="Better",$P2538,0)</f>
        <v>0</v>
      </c>
      <c r="W2538" s="64" t="n">
        <f aca="false">IF($K2538="U – needs rule",$P2538,0)</f>
        <v>0</v>
      </c>
      <c r="X2538" s="64" t="n">
        <f aca="false">IF($K2538="No Start (attainment only)",$P2538,0)</f>
        <v>0</v>
      </c>
    </row>
    <row r="2539" customFormat="false" ht="15" hidden="false" customHeight="false" outlineLevel="0" collapsed="false">
      <c r="A2539" s="60"/>
      <c r="B2539" s="61" t="str">
        <f aca="false">IF($M2539=0,"",INDEX(Classes!$E$6:$E$420,$M2539))</f>
        <v/>
      </c>
      <c r="C2539" s="62" t="str">
        <f aca="false">IF($M2539=0,"",INDEX(Classes!$H$6:$H$420,$M2539))</f>
        <v/>
      </c>
      <c r="D2539" s="61" t="str">
        <f aca="false">IF($M2539=0,"",INDEX(Classes!$B$6:$B$420,$M2539))</f>
        <v/>
      </c>
      <c r="E2539" s="61" t="str">
        <f aca="false">IF($M2539=0,"",INDEX(Classes!$C$6:$C$420,$M2539))</f>
        <v/>
      </c>
      <c r="F2539" s="63"/>
      <c r="G2539" s="63"/>
      <c r="H2539" s="60"/>
      <c r="I2539" s="60"/>
      <c r="J2539" s="63"/>
      <c r="K2539" s="61" t="str">
        <f aca="false">IF($P2539=0,"",IF($F2539="Baseline","— Baseline",IF($O2539=0,"No result",IF($N2539=0,"No Start (attainment only)",IF(OR($N2539=1,$O2539=1),"U – needs rule",INDEX(MxBody,MATCH($I2539,MxCurr,0),MATCH($H2539,MxStart,0)))))))</f>
        <v/>
      </c>
      <c r="L2539" s="62" t="str">
        <f aca="false">IF(COUNTA($A2539,$F2539,$G2539,$H2539,$I2539,$J2539)=0,"",IF($M2539=0,"✖ كود الصف غير موجود",IF(ISNA(MATCH($F2539,Lists!$A$2:$A$5,0)),"✖ الفترة غير صحيحة",IF(ISNA(MATCH($G2539,Lists!$B$2:$B$7,0)),"✖ المجموعة غير صحيحة",IF(NOT(OR($H2539="",$N2539&gt;0)),"✖ Start غير صحيح",IF(NOT(OR($I2539="",$I2539="NR",$O2539&gt;0)),"✖ Current غير صحيح",IF(NOT(IF(ISNUMBER($J2539),AND($J2539&gt;=0,$J2539=INT($J2539)),FALSE())),"✖ العدد يجب أن يكون صحيحًا ≥ 0",IF(AND($F2539="Baseline",$H2539&lt;&gt;""),"⚠ Baseline: Start لا يدخل في التقدم",IF($K2539="No Start (attainment only)","ℹ تحصيل فقط (بدون Start)",IF($K2539="U – needs rule","ℹ حالة U تحتاج قاعدة معتمدة",IF($K2539="No result","ℹ بدون نتيجة (يُستبعد من التحصيل)","OK")))))))))))</f>
        <v/>
      </c>
      <c r="M2539" s="64" t="n">
        <f aca="false">IF($A2539="",0,IFERROR(MATCH($A2539,Classes!$A$6:$A$420,0),0))</f>
        <v>0</v>
      </c>
      <c r="N2539" s="64" t="n">
        <f aca="false">IF($H2539="",0,IFERROR(MATCH($H2539,GradeList,0),0))</f>
        <v>0</v>
      </c>
      <c r="O2539" s="64" t="n">
        <f aca="false">IF(OR($I2539="",$I2539="NR"),0,IFERROR(MATCH($I2539,GradeList,0),0))</f>
        <v>0</v>
      </c>
      <c r="P2539" s="64" t="n">
        <f aca="false">IF(AND($M2539&gt;0,ISNUMBER(MATCH($F2539,Lists!$A$2:$A$5,0)),ISNUMBER(MATCH($G2539,Lists!$B$2:$B$7,0)),OR($H2539="",$N2539&gt;0),OR($I2539="",$I2539="NR",$O2539&gt;0),IF(ISNUMBER($J2539),AND($J2539&gt;=0,$J2539=INT($J2539)),FALSE())),$J2539,0)</f>
        <v>0</v>
      </c>
      <c r="Q2539" s="64" t="n">
        <f aca="false">IF(AND($P2539&gt;0,$O2539&gt;0),$P2539,0)</f>
        <v>0</v>
      </c>
      <c r="R2539" s="64" t="n">
        <f aca="false">IF(AND($Q2539&gt;0,$O2539&gt;=AtRank),$Q2539,0)</f>
        <v>0</v>
      </c>
      <c r="S2539" s="64" t="n">
        <f aca="false">IF(AND($Q2539&gt;0,$O2539&gt;=AboveRank),$Q2539,0)</f>
        <v>0</v>
      </c>
      <c r="T2539" s="64" t="n">
        <f aca="false">IF($K2539="Less",$P2539,0)</f>
        <v>0</v>
      </c>
      <c r="U2539" s="64" t="n">
        <f aca="false">IF($K2539="Expected",$P2539,0)</f>
        <v>0</v>
      </c>
      <c r="V2539" s="64" t="n">
        <f aca="false">IF($K2539="Better",$P2539,0)</f>
        <v>0</v>
      </c>
      <c r="W2539" s="64" t="n">
        <f aca="false">IF($K2539="U – needs rule",$P2539,0)</f>
        <v>0</v>
      </c>
      <c r="X2539" s="64" t="n">
        <f aca="false">IF($K2539="No Start (attainment only)",$P2539,0)</f>
        <v>0</v>
      </c>
    </row>
    <row r="2540" customFormat="false" ht="15" hidden="false" customHeight="false" outlineLevel="0" collapsed="false">
      <c r="A2540" s="60"/>
      <c r="B2540" s="61" t="str">
        <f aca="false">IF($M2540=0,"",INDEX(Classes!$E$6:$E$420,$M2540))</f>
        <v/>
      </c>
      <c r="C2540" s="62" t="str">
        <f aca="false">IF($M2540=0,"",INDEX(Classes!$H$6:$H$420,$M2540))</f>
        <v/>
      </c>
      <c r="D2540" s="61" t="str">
        <f aca="false">IF($M2540=0,"",INDEX(Classes!$B$6:$B$420,$M2540))</f>
        <v/>
      </c>
      <c r="E2540" s="61" t="str">
        <f aca="false">IF($M2540=0,"",INDEX(Classes!$C$6:$C$420,$M2540))</f>
        <v/>
      </c>
      <c r="F2540" s="63"/>
      <c r="G2540" s="63"/>
      <c r="H2540" s="60"/>
      <c r="I2540" s="60"/>
      <c r="J2540" s="63"/>
      <c r="K2540" s="61" t="str">
        <f aca="false">IF($P2540=0,"",IF($F2540="Baseline","— Baseline",IF($O2540=0,"No result",IF($N2540=0,"No Start (attainment only)",IF(OR($N2540=1,$O2540=1),"U – needs rule",INDEX(MxBody,MATCH($I2540,MxCurr,0),MATCH($H2540,MxStart,0)))))))</f>
        <v/>
      </c>
      <c r="L2540" s="62" t="str">
        <f aca="false">IF(COUNTA($A2540,$F2540,$G2540,$H2540,$I2540,$J2540)=0,"",IF($M2540=0,"✖ كود الصف غير موجود",IF(ISNA(MATCH($F2540,Lists!$A$2:$A$5,0)),"✖ الفترة غير صحيحة",IF(ISNA(MATCH($G2540,Lists!$B$2:$B$7,0)),"✖ المجموعة غير صحيحة",IF(NOT(OR($H2540="",$N2540&gt;0)),"✖ Start غير صحيح",IF(NOT(OR($I2540="",$I2540="NR",$O2540&gt;0)),"✖ Current غير صحيح",IF(NOT(IF(ISNUMBER($J2540),AND($J2540&gt;=0,$J2540=INT($J2540)),FALSE())),"✖ العدد يجب أن يكون صحيحًا ≥ 0",IF(AND($F2540="Baseline",$H2540&lt;&gt;""),"⚠ Baseline: Start لا يدخل في التقدم",IF($K2540="No Start (attainment only)","ℹ تحصيل فقط (بدون Start)",IF($K2540="U – needs rule","ℹ حالة U تحتاج قاعدة معتمدة",IF($K2540="No result","ℹ بدون نتيجة (يُستبعد من التحصيل)","OK")))))))))))</f>
        <v/>
      </c>
      <c r="M2540" s="64" t="n">
        <f aca="false">IF($A2540="",0,IFERROR(MATCH($A2540,Classes!$A$6:$A$420,0),0))</f>
        <v>0</v>
      </c>
      <c r="N2540" s="64" t="n">
        <f aca="false">IF($H2540="",0,IFERROR(MATCH($H2540,GradeList,0),0))</f>
        <v>0</v>
      </c>
      <c r="O2540" s="64" t="n">
        <f aca="false">IF(OR($I2540="",$I2540="NR"),0,IFERROR(MATCH($I2540,GradeList,0),0))</f>
        <v>0</v>
      </c>
      <c r="P2540" s="64" t="n">
        <f aca="false">IF(AND($M2540&gt;0,ISNUMBER(MATCH($F2540,Lists!$A$2:$A$5,0)),ISNUMBER(MATCH($G2540,Lists!$B$2:$B$7,0)),OR($H2540="",$N2540&gt;0),OR($I2540="",$I2540="NR",$O2540&gt;0),IF(ISNUMBER($J2540),AND($J2540&gt;=0,$J2540=INT($J2540)),FALSE())),$J2540,0)</f>
        <v>0</v>
      </c>
      <c r="Q2540" s="64" t="n">
        <f aca="false">IF(AND($P2540&gt;0,$O2540&gt;0),$P2540,0)</f>
        <v>0</v>
      </c>
      <c r="R2540" s="64" t="n">
        <f aca="false">IF(AND($Q2540&gt;0,$O2540&gt;=AtRank),$Q2540,0)</f>
        <v>0</v>
      </c>
      <c r="S2540" s="64" t="n">
        <f aca="false">IF(AND($Q2540&gt;0,$O2540&gt;=AboveRank),$Q2540,0)</f>
        <v>0</v>
      </c>
      <c r="T2540" s="64" t="n">
        <f aca="false">IF($K2540="Less",$P2540,0)</f>
        <v>0</v>
      </c>
      <c r="U2540" s="64" t="n">
        <f aca="false">IF($K2540="Expected",$P2540,0)</f>
        <v>0</v>
      </c>
      <c r="V2540" s="64" t="n">
        <f aca="false">IF($K2540="Better",$P2540,0)</f>
        <v>0</v>
      </c>
      <c r="W2540" s="64" t="n">
        <f aca="false">IF($K2540="U – needs rule",$P2540,0)</f>
        <v>0</v>
      </c>
      <c r="X2540" s="64" t="n">
        <f aca="false">IF($K2540="No Start (attainment only)",$P2540,0)</f>
        <v>0</v>
      </c>
    </row>
    <row r="2541" customFormat="false" ht="15" hidden="false" customHeight="false" outlineLevel="0" collapsed="false">
      <c r="A2541" s="60"/>
      <c r="B2541" s="61" t="str">
        <f aca="false">IF($M2541=0,"",INDEX(Classes!$E$6:$E$420,$M2541))</f>
        <v/>
      </c>
      <c r="C2541" s="62" t="str">
        <f aca="false">IF($M2541=0,"",INDEX(Classes!$H$6:$H$420,$M2541))</f>
        <v/>
      </c>
      <c r="D2541" s="61" t="str">
        <f aca="false">IF($M2541=0,"",INDEX(Classes!$B$6:$B$420,$M2541))</f>
        <v/>
      </c>
      <c r="E2541" s="61" t="str">
        <f aca="false">IF($M2541=0,"",INDEX(Classes!$C$6:$C$420,$M2541))</f>
        <v/>
      </c>
      <c r="F2541" s="63"/>
      <c r="G2541" s="63"/>
      <c r="H2541" s="60"/>
      <c r="I2541" s="60"/>
      <c r="J2541" s="63"/>
      <c r="K2541" s="61" t="str">
        <f aca="false">IF($P2541=0,"",IF($F2541="Baseline","— Baseline",IF($O2541=0,"No result",IF($N2541=0,"No Start (attainment only)",IF(OR($N2541=1,$O2541=1),"U – needs rule",INDEX(MxBody,MATCH($I2541,MxCurr,0),MATCH($H2541,MxStart,0)))))))</f>
        <v/>
      </c>
      <c r="L2541" s="62" t="str">
        <f aca="false">IF(COUNTA($A2541,$F2541,$G2541,$H2541,$I2541,$J2541)=0,"",IF($M2541=0,"✖ كود الصف غير موجود",IF(ISNA(MATCH($F2541,Lists!$A$2:$A$5,0)),"✖ الفترة غير صحيحة",IF(ISNA(MATCH($G2541,Lists!$B$2:$B$7,0)),"✖ المجموعة غير صحيحة",IF(NOT(OR($H2541="",$N2541&gt;0)),"✖ Start غير صحيح",IF(NOT(OR($I2541="",$I2541="NR",$O2541&gt;0)),"✖ Current غير صحيح",IF(NOT(IF(ISNUMBER($J2541),AND($J2541&gt;=0,$J2541=INT($J2541)),FALSE())),"✖ العدد يجب أن يكون صحيحًا ≥ 0",IF(AND($F2541="Baseline",$H2541&lt;&gt;""),"⚠ Baseline: Start لا يدخل في التقدم",IF($K2541="No Start (attainment only)","ℹ تحصيل فقط (بدون Start)",IF($K2541="U – needs rule","ℹ حالة U تحتاج قاعدة معتمدة",IF($K2541="No result","ℹ بدون نتيجة (يُستبعد من التحصيل)","OK")))))))))))</f>
        <v/>
      </c>
      <c r="M2541" s="64" t="n">
        <f aca="false">IF($A2541="",0,IFERROR(MATCH($A2541,Classes!$A$6:$A$420,0),0))</f>
        <v>0</v>
      </c>
      <c r="N2541" s="64" t="n">
        <f aca="false">IF($H2541="",0,IFERROR(MATCH($H2541,GradeList,0),0))</f>
        <v>0</v>
      </c>
      <c r="O2541" s="64" t="n">
        <f aca="false">IF(OR($I2541="",$I2541="NR"),0,IFERROR(MATCH($I2541,GradeList,0),0))</f>
        <v>0</v>
      </c>
      <c r="P2541" s="64" t="n">
        <f aca="false">IF(AND($M2541&gt;0,ISNUMBER(MATCH($F2541,Lists!$A$2:$A$5,0)),ISNUMBER(MATCH($G2541,Lists!$B$2:$B$7,0)),OR($H2541="",$N2541&gt;0),OR($I2541="",$I2541="NR",$O2541&gt;0),IF(ISNUMBER($J2541),AND($J2541&gt;=0,$J2541=INT($J2541)),FALSE())),$J2541,0)</f>
        <v>0</v>
      </c>
      <c r="Q2541" s="64" t="n">
        <f aca="false">IF(AND($P2541&gt;0,$O2541&gt;0),$P2541,0)</f>
        <v>0</v>
      </c>
      <c r="R2541" s="64" t="n">
        <f aca="false">IF(AND($Q2541&gt;0,$O2541&gt;=AtRank),$Q2541,0)</f>
        <v>0</v>
      </c>
      <c r="S2541" s="64" t="n">
        <f aca="false">IF(AND($Q2541&gt;0,$O2541&gt;=AboveRank),$Q2541,0)</f>
        <v>0</v>
      </c>
      <c r="T2541" s="64" t="n">
        <f aca="false">IF($K2541="Less",$P2541,0)</f>
        <v>0</v>
      </c>
      <c r="U2541" s="64" t="n">
        <f aca="false">IF($K2541="Expected",$P2541,0)</f>
        <v>0</v>
      </c>
      <c r="V2541" s="64" t="n">
        <f aca="false">IF($K2541="Better",$P2541,0)</f>
        <v>0</v>
      </c>
      <c r="W2541" s="64" t="n">
        <f aca="false">IF($K2541="U – needs rule",$P2541,0)</f>
        <v>0</v>
      </c>
      <c r="X2541" s="64" t="n">
        <f aca="false">IF($K2541="No Start (attainment only)",$P2541,0)</f>
        <v>0</v>
      </c>
    </row>
    <row r="2542" customFormat="false" ht="15" hidden="false" customHeight="false" outlineLevel="0" collapsed="false">
      <c r="A2542" s="60"/>
      <c r="B2542" s="61" t="str">
        <f aca="false">IF($M2542=0,"",INDEX(Classes!$E$6:$E$420,$M2542))</f>
        <v/>
      </c>
      <c r="C2542" s="62" t="str">
        <f aca="false">IF($M2542=0,"",INDEX(Classes!$H$6:$H$420,$M2542))</f>
        <v/>
      </c>
      <c r="D2542" s="61" t="str">
        <f aca="false">IF($M2542=0,"",INDEX(Classes!$B$6:$B$420,$M2542))</f>
        <v/>
      </c>
      <c r="E2542" s="61" t="str">
        <f aca="false">IF($M2542=0,"",INDEX(Classes!$C$6:$C$420,$M2542))</f>
        <v/>
      </c>
      <c r="F2542" s="63"/>
      <c r="G2542" s="63"/>
      <c r="H2542" s="60"/>
      <c r="I2542" s="60"/>
      <c r="J2542" s="63"/>
      <c r="K2542" s="61" t="str">
        <f aca="false">IF($P2542=0,"",IF($F2542="Baseline","— Baseline",IF($O2542=0,"No result",IF($N2542=0,"No Start (attainment only)",IF(OR($N2542=1,$O2542=1),"U – needs rule",INDEX(MxBody,MATCH($I2542,MxCurr,0),MATCH($H2542,MxStart,0)))))))</f>
        <v/>
      </c>
      <c r="L2542" s="62" t="str">
        <f aca="false">IF(COUNTA($A2542,$F2542,$G2542,$H2542,$I2542,$J2542)=0,"",IF($M2542=0,"✖ كود الصف غير موجود",IF(ISNA(MATCH($F2542,Lists!$A$2:$A$5,0)),"✖ الفترة غير صحيحة",IF(ISNA(MATCH($G2542,Lists!$B$2:$B$7,0)),"✖ المجموعة غير صحيحة",IF(NOT(OR($H2542="",$N2542&gt;0)),"✖ Start غير صحيح",IF(NOT(OR($I2542="",$I2542="NR",$O2542&gt;0)),"✖ Current غير صحيح",IF(NOT(IF(ISNUMBER($J2542),AND($J2542&gt;=0,$J2542=INT($J2542)),FALSE())),"✖ العدد يجب أن يكون صحيحًا ≥ 0",IF(AND($F2542="Baseline",$H2542&lt;&gt;""),"⚠ Baseline: Start لا يدخل في التقدم",IF($K2542="No Start (attainment only)","ℹ تحصيل فقط (بدون Start)",IF($K2542="U – needs rule","ℹ حالة U تحتاج قاعدة معتمدة",IF($K2542="No result","ℹ بدون نتيجة (يُستبعد من التحصيل)","OK")))))))))))</f>
        <v/>
      </c>
      <c r="M2542" s="64" t="n">
        <f aca="false">IF($A2542="",0,IFERROR(MATCH($A2542,Classes!$A$6:$A$420,0),0))</f>
        <v>0</v>
      </c>
      <c r="N2542" s="64" t="n">
        <f aca="false">IF($H2542="",0,IFERROR(MATCH($H2542,GradeList,0),0))</f>
        <v>0</v>
      </c>
      <c r="O2542" s="64" t="n">
        <f aca="false">IF(OR($I2542="",$I2542="NR"),0,IFERROR(MATCH($I2542,GradeList,0),0))</f>
        <v>0</v>
      </c>
      <c r="P2542" s="64" t="n">
        <f aca="false">IF(AND($M2542&gt;0,ISNUMBER(MATCH($F2542,Lists!$A$2:$A$5,0)),ISNUMBER(MATCH($G2542,Lists!$B$2:$B$7,0)),OR($H2542="",$N2542&gt;0),OR($I2542="",$I2542="NR",$O2542&gt;0),IF(ISNUMBER($J2542),AND($J2542&gt;=0,$J2542=INT($J2542)),FALSE())),$J2542,0)</f>
        <v>0</v>
      </c>
      <c r="Q2542" s="64" t="n">
        <f aca="false">IF(AND($P2542&gt;0,$O2542&gt;0),$P2542,0)</f>
        <v>0</v>
      </c>
      <c r="R2542" s="64" t="n">
        <f aca="false">IF(AND($Q2542&gt;0,$O2542&gt;=AtRank),$Q2542,0)</f>
        <v>0</v>
      </c>
      <c r="S2542" s="64" t="n">
        <f aca="false">IF(AND($Q2542&gt;0,$O2542&gt;=AboveRank),$Q2542,0)</f>
        <v>0</v>
      </c>
      <c r="T2542" s="64" t="n">
        <f aca="false">IF($K2542="Less",$P2542,0)</f>
        <v>0</v>
      </c>
      <c r="U2542" s="64" t="n">
        <f aca="false">IF($K2542="Expected",$P2542,0)</f>
        <v>0</v>
      </c>
      <c r="V2542" s="64" t="n">
        <f aca="false">IF($K2542="Better",$P2542,0)</f>
        <v>0</v>
      </c>
      <c r="W2542" s="64" t="n">
        <f aca="false">IF($K2542="U – needs rule",$P2542,0)</f>
        <v>0</v>
      </c>
      <c r="X2542" s="64" t="n">
        <f aca="false">IF($K2542="No Start (attainment only)",$P2542,0)</f>
        <v>0</v>
      </c>
    </row>
    <row r="2543" customFormat="false" ht="15" hidden="false" customHeight="false" outlineLevel="0" collapsed="false">
      <c r="A2543" s="60"/>
      <c r="B2543" s="61" t="str">
        <f aca="false">IF($M2543=0,"",INDEX(Classes!$E$6:$E$420,$M2543))</f>
        <v/>
      </c>
      <c r="C2543" s="62" t="str">
        <f aca="false">IF($M2543=0,"",INDEX(Classes!$H$6:$H$420,$M2543))</f>
        <v/>
      </c>
      <c r="D2543" s="61" t="str">
        <f aca="false">IF($M2543=0,"",INDEX(Classes!$B$6:$B$420,$M2543))</f>
        <v/>
      </c>
      <c r="E2543" s="61" t="str">
        <f aca="false">IF($M2543=0,"",INDEX(Classes!$C$6:$C$420,$M2543))</f>
        <v/>
      </c>
      <c r="F2543" s="63"/>
      <c r="G2543" s="63"/>
      <c r="H2543" s="60"/>
      <c r="I2543" s="60"/>
      <c r="J2543" s="63"/>
      <c r="K2543" s="61" t="str">
        <f aca="false">IF($P2543=0,"",IF($F2543="Baseline","— Baseline",IF($O2543=0,"No result",IF($N2543=0,"No Start (attainment only)",IF(OR($N2543=1,$O2543=1),"U – needs rule",INDEX(MxBody,MATCH($I2543,MxCurr,0),MATCH($H2543,MxStart,0)))))))</f>
        <v/>
      </c>
      <c r="L2543" s="62" t="str">
        <f aca="false">IF(COUNTA($A2543,$F2543,$G2543,$H2543,$I2543,$J2543)=0,"",IF($M2543=0,"✖ كود الصف غير موجود",IF(ISNA(MATCH($F2543,Lists!$A$2:$A$5,0)),"✖ الفترة غير صحيحة",IF(ISNA(MATCH($G2543,Lists!$B$2:$B$7,0)),"✖ المجموعة غير صحيحة",IF(NOT(OR($H2543="",$N2543&gt;0)),"✖ Start غير صحيح",IF(NOT(OR($I2543="",$I2543="NR",$O2543&gt;0)),"✖ Current غير صحيح",IF(NOT(IF(ISNUMBER($J2543),AND($J2543&gt;=0,$J2543=INT($J2543)),FALSE())),"✖ العدد يجب أن يكون صحيحًا ≥ 0",IF(AND($F2543="Baseline",$H2543&lt;&gt;""),"⚠ Baseline: Start لا يدخل في التقدم",IF($K2543="No Start (attainment only)","ℹ تحصيل فقط (بدون Start)",IF($K2543="U – needs rule","ℹ حالة U تحتاج قاعدة معتمدة",IF($K2543="No result","ℹ بدون نتيجة (يُستبعد من التحصيل)","OK")))))))))))</f>
        <v/>
      </c>
      <c r="M2543" s="64" t="n">
        <f aca="false">IF($A2543="",0,IFERROR(MATCH($A2543,Classes!$A$6:$A$420,0),0))</f>
        <v>0</v>
      </c>
      <c r="N2543" s="64" t="n">
        <f aca="false">IF($H2543="",0,IFERROR(MATCH($H2543,GradeList,0),0))</f>
        <v>0</v>
      </c>
      <c r="O2543" s="64" t="n">
        <f aca="false">IF(OR($I2543="",$I2543="NR"),0,IFERROR(MATCH($I2543,GradeList,0),0))</f>
        <v>0</v>
      </c>
      <c r="P2543" s="64" t="n">
        <f aca="false">IF(AND($M2543&gt;0,ISNUMBER(MATCH($F2543,Lists!$A$2:$A$5,0)),ISNUMBER(MATCH($G2543,Lists!$B$2:$B$7,0)),OR($H2543="",$N2543&gt;0),OR($I2543="",$I2543="NR",$O2543&gt;0),IF(ISNUMBER($J2543),AND($J2543&gt;=0,$J2543=INT($J2543)),FALSE())),$J2543,0)</f>
        <v>0</v>
      </c>
      <c r="Q2543" s="64" t="n">
        <f aca="false">IF(AND($P2543&gt;0,$O2543&gt;0),$P2543,0)</f>
        <v>0</v>
      </c>
      <c r="R2543" s="64" t="n">
        <f aca="false">IF(AND($Q2543&gt;0,$O2543&gt;=AtRank),$Q2543,0)</f>
        <v>0</v>
      </c>
      <c r="S2543" s="64" t="n">
        <f aca="false">IF(AND($Q2543&gt;0,$O2543&gt;=AboveRank),$Q2543,0)</f>
        <v>0</v>
      </c>
      <c r="T2543" s="64" t="n">
        <f aca="false">IF($K2543="Less",$P2543,0)</f>
        <v>0</v>
      </c>
      <c r="U2543" s="64" t="n">
        <f aca="false">IF($K2543="Expected",$P2543,0)</f>
        <v>0</v>
      </c>
      <c r="V2543" s="64" t="n">
        <f aca="false">IF($K2543="Better",$P2543,0)</f>
        <v>0</v>
      </c>
      <c r="W2543" s="64" t="n">
        <f aca="false">IF($K2543="U – needs rule",$P2543,0)</f>
        <v>0</v>
      </c>
      <c r="X2543" s="64" t="n">
        <f aca="false">IF($K2543="No Start (attainment only)",$P2543,0)</f>
        <v>0</v>
      </c>
    </row>
    <row r="2544" customFormat="false" ht="15" hidden="false" customHeight="false" outlineLevel="0" collapsed="false">
      <c r="A2544" s="60"/>
      <c r="B2544" s="61" t="str">
        <f aca="false">IF($M2544=0,"",INDEX(Classes!$E$6:$E$420,$M2544))</f>
        <v/>
      </c>
      <c r="C2544" s="62" t="str">
        <f aca="false">IF($M2544=0,"",INDEX(Classes!$H$6:$H$420,$M2544))</f>
        <v/>
      </c>
      <c r="D2544" s="61" t="str">
        <f aca="false">IF($M2544=0,"",INDEX(Classes!$B$6:$B$420,$M2544))</f>
        <v/>
      </c>
      <c r="E2544" s="61" t="str">
        <f aca="false">IF($M2544=0,"",INDEX(Classes!$C$6:$C$420,$M2544))</f>
        <v/>
      </c>
      <c r="F2544" s="63"/>
      <c r="G2544" s="63"/>
      <c r="H2544" s="60"/>
      <c r="I2544" s="60"/>
      <c r="J2544" s="63"/>
      <c r="K2544" s="61" t="str">
        <f aca="false">IF($P2544=0,"",IF($F2544="Baseline","— Baseline",IF($O2544=0,"No result",IF($N2544=0,"No Start (attainment only)",IF(OR($N2544=1,$O2544=1),"U – needs rule",INDEX(MxBody,MATCH($I2544,MxCurr,0),MATCH($H2544,MxStart,0)))))))</f>
        <v/>
      </c>
      <c r="L2544" s="62" t="str">
        <f aca="false">IF(COUNTA($A2544,$F2544,$G2544,$H2544,$I2544,$J2544)=0,"",IF($M2544=0,"✖ كود الصف غير موجود",IF(ISNA(MATCH($F2544,Lists!$A$2:$A$5,0)),"✖ الفترة غير صحيحة",IF(ISNA(MATCH($G2544,Lists!$B$2:$B$7,0)),"✖ المجموعة غير صحيحة",IF(NOT(OR($H2544="",$N2544&gt;0)),"✖ Start غير صحيح",IF(NOT(OR($I2544="",$I2544="NR",$O2544&gt;0)),"✖ Current غير صحيح",IF(NOT(IF(ISNUMBER($J2544),AND($J2544&gt;=0,$J2544=INT($J2544)),FALSE())),"✖ العدد يجب أن يكون صحيحًا ≥ 0",IF(AND($F2544="Baseline",$H2544&lt;&gt;""),"⚠ Baseline: Start لا يدخل في التقدم",IF($K2544="No Start (attainment only)","ℹ تحصيل فقط (بدون Start)",IF($K2544="U – needs rule","ℹ حالة U تحتاج قاعدة معتمدة",IF($K2544="No result","ℹ بدون نتيجة (يُستبعد من التحصيل)","OK")))))))))))</f>
        <v/>
      </c>
      <c r="M2544" s="64" t="n">
        <f aca="false">IF($A2544="",0,IFERROR(MATCH($A2544,Classes!$A$6:$A$420,0),0))</f>
        <v>0</v>
      </c>
      <c r="N2544" s="64" t="n">
        <f aca="false">IF($H2544="",0,IFERROR(MATCH($H2544,GradeList,0),0))</f>
        <v>0</v>
      </c>
      <c r="O2544" s="64" t="n">
        <f aca="false">IF(OR($I2544="",$I2544="NR"),0,IFERROR(MATCH($I2544,GradeList,0),0))</f>
        <v>0</v>
      </c>
      <c r="P2544" s="64" t="n">
        <f aca="false">IF(AND($M2544&gt;0,ISNUMBER(MATCH($F2544,Lists!$A$2:$A$5,0)),ISNUMBER(MATCH($G2544,Lists!$B$2:$B$7,0)),OR($H2544="",$N2544&gt;0),OR($I2544="",$I2544="NR",$O2544&gt;0),IF(ISNUMBER($J2544),AND($J2544&gt;=0,$J2544=INT($J2544)),FALSE())),$J2544,0)</f>
        <v>0</v>
      </c>
      <c r="Q2544" s="64" t="n">
        <f aca="false">IF(AND($P2544&gt;0,$O2544&gt;0),$P2544,0)</f>
        <v>0</v>
      </c>
      <c r="R2544" s="64" t="n">
        <f aca="false">IF(AND($Q2544&gt;0,$O2544&gt;=AtRank),$Q2544,0)</f>
        <v>0</v>
      </c>
      <c r="S2544" s="64" t="n">
        <f aca="false">IF(AND($Q2544&gt;0,$O2544&gt;=AboveRank),$Q2544,0)</f>
        <v>0</v>
      </c>
      <c r="T2544" s="64" t="n">
        <f aca="false">IF($K2544="Less",$P2544,0)</f>
        <v>0</v>
      </c>
      <c r="U2544" s="64" t="n">
        <f aca="false">IF($K2544="Expected",$P2544,0)</f>
        <v>0</v>
      </c>
      <c r="V2544" s="64" t="n">
        <f aca="false">IF($K2544="Better",$P2544,0)</f>
        <v>0</v>
      </c>
      <c r="W2544" s="64" t="n">
        <f aca="false">IF($K2544="U – needs rule",$P2544,0)</f>
        <v>0</v>
      </c>
      <c r="X2544" s="64" t="n">
        <f aca="false">IF($K2544="No Start (attainment only)",$P2544,0)</f>
        <v>0</v>
      </c>
    </row>
    <row r="2545" customFormat="false" ht="15" hidden="false" customHeight="false" outlineLevel="0" collapsed="false">
      <c r="A2545" s="60"/>
      <c r="B2545" s="61" t="str">
        <f aca="false">IF($M2545=0,"",INDEX(Classes!$E$6:$E$420,$M2545))</f>
        <v/>
      </c>
      <c r="C2545" s="62" t="str">
        <f aca="false">IF($M2545=0,"",INDEX(Classes!$H$6:$H$420,$M2545))</f>
        <v/>
      </c>
      <c r="D2545" s="61" t="str">
        <f aca="false">IF($M2545=0,"",INDEX(Classes!$B$6:$B$420,$M2545))</f>
        <v/>
      </c>
      <c r="E2545" s="61" t="str">
        <f aca="false">IF($M2545=0,"",INDEX(Classes!$C$6:$C$420,$M2545))</f>
        <v/>
      </c>
      <c r="F2545" s="63"/>
      <c r="G2545" s="63"/>
      <c r="H2545" s="60"/>
      <c r="I2545" s="60"/>
      <c r="J2545" s="63"/>
      <c r="K2545" s="61" t="str">
        <f aca="false">IF($P2545=0,"",IF($F2545="Baseline","— Baseline",IF($O2545=0,"No result",IF($N2545=0,"No Start (attainment only)",IF(OR($N2545=1,$O2545=1),"U – needs rule",INDEX(MxBody,MATCH($I2545,MxCurr,0),MATCH($H2545,MxStart,0)))))))</f>
        <v/>
      </c>
      <c r="L2545" s="62" t="str">
        <f aca="false">IF(COUNTA($A2545,$F2545,$G2545,$H2545,$I2545,$J2545)=0,"",IF($M2545=0,"✖ كود الصف غير موجود",IF(ISNA(MATCH($F2545,Lists!$A$2:$A$5,0)),"✖ الفترة غير صحيحة",IF(ISNA(MATCH($G2545,Lists!$B$2:$B$7,0)),"✖ المجموعة غير صحيحة",IF(NOT(OR($H2545="",$N2545&gt;0)),"✖ Start غير صحيح",IF(NOT(OR($I2545="",$I2545="NR",$O2545&gt;0)),"✖ Current غير صحيح",IF(NOT(IF(ISNUMBER($J2545),AND($J2545&gt;=0,$J2545=INT($J2545)),FALSE())),"✖ العدد يجب أن يكون صحيحًا ≥ 0",IF(AND($F2545="Baseline",$H2545&lt;&gt;""),"⚠ Baseline: Start لا يدخل في التقدم",IF($K2545="No Start (attainment only)","ℹ تحصيل فقط (بدون Start)",IF($K2545="U – needs rule","ℹ حالة U تحتاج قاعدة معتمدة",IF($K2545="No result","ℹ بدون نتيجة (يُستبعد من التحصيل)","OK")))))))))))</f>
        <v/>
      </c>
      <c r="M2545" s="64" t="n">
        <f aca="false">IF($A2545="",0,IFERROR(MATCH($A2545,Classes!$A$6:$A$420,0),0))</f>
        <v>0</v>
      </c>
      <c r="N2545" s="64" t="n">
        <f aca="false">IF($H2545="",0,IFERROR(MATCH($H2545,GradeList,0),0))</f>
        <v>0</v>
      </c>
      <c r="O2545" s="64" t="n">
        <f aca="false">IF(OR($I2545="",$I2545="NR"),0,IFERROR(MATCH($I2545,GradeList,0),0))</f>
        <v>0</v>
      </c>
      <c r="P2545" s="64" t="n">
        <f aca="false">IF(AND($M2545&gt;0,ISNUMBER(MATCH($F2545,Lists!$A$2:$A$5,0)),ISNUMBER(MATCH($G2545,Lists!$B$2:$B$7,0)),OR($H2545="",$N2545&gt;0),OR($I2545="",$I2545="NR",$O2545&gt;0),IF(ISNUMBER($J2545),AND($J2545&gt;=0,$J2545=INT($J2545)),FALSE())),$J2545,0)</f>
        <v>0</v>
      </c>
      <c r="Q2545" s="64" t="n">
        <f aca="false">IF(AND($P2545&gt;0,$O2545&gt;0),$P2545,0)</f>
        <v>0</v>
      </c>
      <c r="R2545" s="64" t="n">
        <f aca="false">IF(AND($Q2545&gt;0,$O2545&gt;=AtRank),$Q2545,0)</f>
        <v>0</v>
      </c>
      <c r="S2545" s="64" t="n">
        <f aca="false">IF(AND($Q2545&gt;0,$O2545&gt;=AboveRank),$Q2545,0)</f>
        <v>0</v>
      </c>
      <c r="T2545" s="64" t="n">
        <f aca="false">IF($K2545="Less",$P2545,0)</f>
        <v>0</v>
      </c>
      <c r="U2545" s="64" t="n">
        <f aca="false">IF($K2545="Expected",$P2545,0)</f>
        <v>0</v>
      </c>
      <c r="V2545" s="64" t="n">
        <f aca="false">IF($K2545="Better",$P2545,0)</f>
        <v>0</v>
      </c>
      <c r="W2545" s="64" t="n">
        <f aca="false">IF($K2545="U – needs rule",$P2545,0)</f>
        <v>0</v>
      </c>
      <c r="X2545" s="64" t="n">
        <f aca="false">IF($K2545="No Start (attainment only)",$P2545,0)</f>
        <v>0</v>
      </c>
    </row>
    <row r="2546" customFormat="false" ht="15" hidden="false" customHeight="false" outlineLevel="0" collapsed="false">
      <c r="A2546" s="60"/>
      <c r="B2546" s="61" t="str">
        <f aca="false">IF($M2546=0,"",INDEX(Classes!$E$6:$E$420,$M2546))</f>
        <v/>
      </c>
      <c r="C2546" s="62" t="str">
        <f aca="false">IF($M2546=0,"",INDEX(Classes!$H$6:$H$420,$M2546))</f>
        <v/>
      </c>
      <c r="D2546" s="61" t="str">
        <f aca="false">IF($M2546=0,"",INDEX(Classes!$B$6:$B$420,$M2546))</f>
        <v/>
      </c>
      <c r="E2546" s="61" t="str">
        <f aca="false">IF($M2546=0,"",INDEX(Classes!$C$6:$C$420,$M2546))</f>
        <v/>
      </c>
      <c r="F2546" s="63"/>
      <c r="G2546" s="63"/>
      <c r="H2546" s="60"/>
      <c r="I2546" s="60"/>
      <c r="J2546" s="63"/>
      <c r="K2546" s="61" t="str">
        <f aca="false">IF($P2546=0,"",IF($F2546="Baseline","— Baseline",IF($O2546=0,"No result",IF($N2546=0,"No Start (attainment only)",IF(OR($N2546=1,$O2546=1),"U – needs rule",INDEX(MxBody,MATCH($I2546,MxCurr,0),MATCH($H2546,MxStart,0)))))))</f>
        <v/>
      </c>
      <c r="L2546" s="62" t="str">
        <f aca="false">IF(COUNTA($A2546,$F2546,$G2546,$H2546,$I2546,$J2546)=0,"",IF($M2546=0,"✖ كود الصف غير موجود",IF(ISNA(MATCH($F2546,Lists!$A$2:$A$5,0)),"✖ الفترة غير صحيحة",IF(ISNA(MATCH($G2546,Lists!$B$2:$B$7,0)),"✖ المجموعة غير صحيحة",IF(NOT(OR($H2546="",$N2546&gt;0)),"✖ Start غير صحيح",IF(NOT(OR($I2546="",$I2546="NR",$O2546&gt;0)),"✖ Current غير صحيح",IF(NOT(IF(ISNUMBER($J2546),AND($J2546&gt;=0,$J2546=INT($J2546)),FALSE())),"✖ العدد يجب أن يكون صحيحًا ≥ 0",IF(AND($F2546="Baseline",$H2546&lt;&gt;""),"⚠ Baseline: Start لا يدخل في التقدم",IF($K2546="No Start (attainment only)","ℹ تحصيل فقط (بدون Start)",IF($K2546="U – needs rule","ℹ حالة U تحتاج قاعدة معتمدة",IF($K2546="No result","ℹ بدون نتيجة (يُستبعد من التحصيل)","OK")))))))))))</f>
        <v/>
      </c>
      <c r="M2546" s="64" t="n">
        <f aca="false">IF($A2546="",0,IFERROR(MATCH($A2546,Classes!$A$6:$A$420,0),0))</f>
        <v>0</v>
      </c>
      <c r="N2546" s="64" t="n">
        <f aca="false">IF($H2546="",0,IFERROR(MATCH($H2546,GradeList,0),0))</f>
        <v>0</v>
      </c>
      <c r="O2546" s="64" t="n">
        <f aca="false">IF(OR($I2546="",$I2546="NR"),0,IFERROR(MATCH($I2546,GradeList,0),0))</f>
        <v>0</v>
      </c>
      <c r="P2546" s="64" t="n">
        <f aca="false">IF(AND($M2546&gt;0,ISNUMBER(MATCH($F2546,Lists!$A$2:$A$5,0)),ISNUMBER(MATCH($G2546,Lists!$B$2:$B$7,0)),OR($H2546="",$N2546&gt;0),OR($I2546="",$I2546="NR",$O2546&gt;0),IF(ISNUMBER($J2546),AND($J2546&gt;=0,$J2546=INT($J2546)),FALSE())),$J2546,0)</f>
        <v>0</v>
      </c>
      <c r="Q2546" s="64" t="n">
        <f aca="false">IF(AND($P2546&gt;0,$O2546&gt;0),$P2546,0)</f>
        <v>0</v>
      </c>
      <c r="R2546" s="64" t="n">
        <f aca="false">IF(AND($Q2546&gt;0,$O2546&gt;=AtRank),$Q2546,0)</f>
        <v>0</v>
      </c>
      <c r="S2546" s="64" t="n">
        <f aca="false">IF(AND($Q2546&gt;0,$O2546&gt;=AboveRank),$Q2546,0)</f>
        <v>0</v>
      </c>
      <c r="T2546" s="64" t="n">
        <f aca="false">IF($K2546="Less",$P2546,0)</f>
        <v>0</v>
      </c>
      <c r="U2546" s="64" t="n">
        <f aca="false">IF($K2546="Expected",$P2546,0)</f>
        <v>0</v>
      </c>
      <c r="V2546" s="64" t="n">
        <f aca="false">IF($K2546="Better",$P2546,0)</f>
        <v>0</v>
      </c>
      <c r="W2546" s="64" t="n">
        <f aca="false">IF($K2546="U – needs rule",$P2546,0)</f>
        <v>0</v>
      </c>
      <c r="X2546" s="64" t="n">
        <f aca="false">IF($K2546="No Start (attainment only)",$P2546,0)</f>
        <v>0</v>
      </c>
    </row>
    <row r="2547" customFormat="false" ht="15" hidden="false" customHeight="false" outlineLevel="0" collapsed="false">
      <c r="A2547" s="60"/>
      <c r="B2547" s="61" t="str">
        <f aca="false">IF($M2547=0,"",INDEX(Classes!$E$6:$E$420,$M2547))</f>
        <v/>
      </c>
      <c r="C2547" s="62" t="str">
        <f aca="false">IF($M2547=0,"",INDEX(Classes!$H$6:$H$420,$M2547))</f>
        <v/>
      </c>
      <c r="D2547" s="61" t="str">
        <f aca="false">IF($M2547=0,"",INDEX(Classes!$B$6:$B$420,$M2547))</f>
        <v/>
      </c>
      <c r="E2547" s="61" t="str">
        <f aca="false">IF($M2547=0,"",INDEX(Classes!$C$6:$C$420,$M2547))</f>
        <v/>
      </c>
      <c r="F2547" s="63"/>
      <c r="G2547" s="63"/>
      <c r="H2547" s="60"/>
      <c r="I2547" s="60"/>
      <c r="J2547" s="63"/>
      <c r="K2547" s="61" t="str">
        <f aca="false">IF($P2547=0,"",IF($F2547="Baseline","— Baseline",IF($O2547=0,"No result",IF($N2547=0,"No Start (attainment only)",IF(OR($N2547=1,$O2547=1),"U – needs rule",INDEX(MxBody,MATCH($I2547,MxCurr,0),MATCH($H2547,MxStart,0)))))))</f>
        <v/>
      </c>
      <c r="L2547" s="62" t="str">
        <f aca="false">IF(COUNTA($A2547,$F2547,$G2547,$H2547,$I2547,$J2547)=0,"",IF($M2547=0,"✖ كود الصف غير موجود",IF(ISNA(MATCH($F2547,Lists!$A$2:$A$5,0)),"✖ الفترة غير صحيحة",IF(ISNA(MATCH($G2547,Lists!$B$2:$B$7,0)),"✖ المجموعة غير صحيحة",IF(NOT(OR($H2547="",$N2547&gt;0)),"✖ Start غير صحيح",IF(NOT(OR($I2547="",$I2547="NR",$O2547&gt;0)),"✖ Current غير صحيح",IF(NOT(IF(ISNUMBER($J2547),AND($J2547&gt;=0,$J2547=INT($J2547)),FALSE())),"✖ العدد يجب أن يكون صحيحًا ≥ 0",IF(AND($F2547="Baseline",$H2547&lt;&gt;""),"⚠ Baseline: Start لا يدخل في التقدم",IF($K2547="No Start (attainment only)","ℹ تحصيل فقط (بدون Start)",IF($K2547="U – needs rule","ℹ حالة U تحتاج قاعدة معتمدة",IF($K2547="No result","ℹ بدون نتيجة (يُستبعد من التحصيل)","OK")))))))))))</f>
        <v/>
      </c>
      <c r="M2547" s="64" t="n">
        <f aca="false">IF($A2547="",0,IFERROR(MATCH($A2547,Classes!$A$6:$A$420,0),0))</f>
        <v>0</v>
      </c>
      <c r="N2547" s="64" t="n">
        <f aca="false">IF($H2547="",0,IFERROR(MATCH($H2547,GradeList,0),0))</f>
        <v>0</v>
      </c>
      <c r="O2547" s="64" t="n">
        <f aca="false">IF(OR($I2547="",$I2547="NR"),0,IFERROR(MATCH($I2547,GradeList,0),0))</f>
        <v>0</v>
      </c>
      <c r="P2547" s="64" t="n">
        <f aca="false">IF(AND($M2547&gt;0,ISNUMBER(MATCH($F2547,Lists!$A$2:$A$5,0)),ISNUMBER(MATCH($G2547,Lists!$B$2:$B$7,0)),OR($H2547="",$N2547&gt;0),OR($I2547="",$I2547="NR",$O2547&gt;0),IF(ISNUMBER($J2547),AND($J2547&gt;=0,$J2547=INT($J2547)),FALSE())),$J2547,0)</f>
        <v>0</v>
      </c>
      <c r="Q2547" s="64" t="n">
        <f aca="false">IF(AND($P2547&gt;0,$O2547&gt;0),$P2547,0)</f>
        <v>0</v>
      </c>
      <c r="R2547" s="64" t="n">
        <f aca="false">IF(AND($Q2547&gt;0,$O2547&gt;=AtRank),$Q2547,0)</f>
        <v>0</v>
      </c>
      <c r="S2547" s="64" t="n">
        <f aca="false">IF(AND($Q2547&gt;0,$O2547&gt;=AboveRank),$Q2547,0)</f>
        <v>0</v>
      </c>
      <c r="T2547" s="64" t="n">
        <f aca="false">IF($K2547="Less",$P2547,0)</f>
        <v>0</v>
      </c>
      <c r="U2547" s="64" t="n">
        <f aca="false">IF($K2547="Expected",$P2547,0)</f>
        <v>0</v>
      </c>
      <c r="V2547" s="64" t="n">
        <f aca="false">IF($K2547="Better",$P2547,0)</f>
        <v>0</v>
      </c>
      <c r="W2547" s="64" t="n">
        <f aca="false">IF($K2547="U – needs rule",$P2547,0)</f>
        <v>0</v>
      </c>
      <c r="X2547" s="64" t="n">
        <f aca="false">IF($K2547="No Start (attainment only)",$P2547,0)</f>
        <v>0</v>
      </c>
    </row>
    <row r="2548" customFormat="false" ht="15" hidden="false" customHeight="false" outlineLevel="0" collapsed="false">
      <c r="A2548" s="60"/>
      <c r="B2548" s="61" t="str">
        <f aca="false">IF($M2548=0,"",INDEX(Classes!$E$6:$E$420,$M2548))</f>
        <v/>
      </c>
      <c r="C2548" s="62" t="str">
        <f aca="false">IF($M2548=0,"",INDEX(Classes!$H$6:$H$420,$M2548))</f>
        <v/>
      </c>
      <c r="D2548" s="61" t="str">
        <f aca="false">IF($M2548=0,"",INDEX(Classes!$B$6:$B$420,$M2548))</f>
        <v/>
      </c>
      <c r="E2548" s="61" t="str">
        <f aca="false">IF($M2548=0,"",INDEX(Classes!$C$6:$C$420,$M2548))</f>
        <v/>
      </c>
      <c r="F2548" s="63"/>
      <c r="G2548" s="63"/>
      <c r="H2548" s="60"/>
      <c r="I2548" s="60"/>
      <c r="J2548" s="63"/>
      <c r="K2548" s="61" t="str">
        <f aca="false">IF($P2548=0,"",IF($F2548="Baseline","— Baseline",IF($O2548=0,"No result",IF($N2548=0,"No Start (attainment only)",IF(OR($N2548=1,$O2548=1),"U – needs rule",INDEX(MxBody,MATCH($I2548,MxCurr,0),MATCH($H2548,MxStart,0)))))))</f>
        <v/>
      </c>
      <c r="L2548" s="62" t="str">
        <f aca="false">IF(COUNTA($A2548,$F2548,$G2548,$H2548,$I2548,$J2548)=0,"",IF($M2548=0,"✖ كود الصف غير موجود",IF(ISNA(MATCH($F2548,Lists!$A$2:$A$5,0)),"✖ الفترة غير صحيحة",IF(ISNA(MATCH($G2548,Lists!$B$2:$B$7,0)),"✖ المجموعة غير صحيحة",IF(NOT(OR($H2548="",$N2548&gt;0)),"✖ Start غير صحيح",IF(NOT(OR($I2548="",$I2548="NR",$O2548&gt;0)),"✖ Current غير صحيح",IF(NOT(IF(ISNUMBER($J2548),AND($J2548&gt;=0,$J2548=INT($J2548)),FALSE())),"✖ العدد يجب أن يكون صحيحًا ≥ 0",IF(AND($F2548="Baseline",$H2548&lt;&gt;""),"⚠ Baseline: Start لا يدخل في التقدم",IF($K2548="No Start (attainment only)","ℹ تحصيل فقط (بدون Start)",IF($K2548="U – needs rule","ℹ حالة U تحتاج قاعدة معتمدة",IF($K2548="No result","ℹ بدون نتيجة (يُستبعد من التحصيل)","OK")))))))))))</f>
        <v/>
      </c>
      <c r="M2548" s="64" t="n">
        <f aca="false">IF($A2548="",0,IFERROR(MATCH($A2548,Classes!$A$6:$A$420,0),0))</f>
        <v>0</v>
      </c>
      <c r="N2548" s="64" t="n">
        <f aca="false">IF($H2548="",0,IFERROR(MATCH($H2548,GradeList,0),0))</f>
        <v>0</v>
      </c>
      <c r="O2548" s="64" t="n">
        <f aca="false">IF(OR($I2548="",$I2548="NR"),0,IFERROR(MATCH($I2548,GradeList,0),0))</f>
        <v>0</v>
      </c>
      <c r="P2548" s="64" t="n">
        <f aca="false">IF(AND($M2548&gt;0,ISNUMBER(MATCH($F2548,Lists!$A$2:$A$5,0)),ISNUMBER(MATCH($G2548,Lists!$B$2:$B$7,0)),OR($H2548="",$N2548&gt;0),OR($I2548="",$I2548="NR",$O2548&gt;0),IF(ISNUMBER($J2548),AND($J2548&gt;=0,$J2548=INT($J2548)),FALSE())),$J2548,0)</f>
        <v>0</v>
      </c>
      <c r="Q2548" s="64" t="n">
        <f aca="false">IF(AND($P2548&gt;0,$O2548&gt;0),$P2548,0)</f>
        <v>0</v>
      </c>
      <c r="R2548" s="64" t="n">
        <f aca="false">IF(AND($Q2548&gt;0,$O2548&gt;=AtRank),$Q2548,0)</f>
        <v>0</v>
      </c>
      <c r="S2548" s="64" t="n">
        <f aca="false">IF(AND($Q2548&gt;0,$O2548&gt;=AboveRank),$Q2548,0)</f>
        <v>0</v>
      </c>
      <c r="T2548" s="64" t="n">
        <f aca="false">IF($K2548="Less",$P2548,0)</f>
        <v>0</v>
      </c>
      <c r="U2548" s="64" t="n">
        <f aca="false">IF($K2548="Expected",$P2548,0)</f>
        <v>0</v>
      </c>
      <c r="V2548" s="64" t="n">
        <f aca="false">IF($K2548="Better",$P2548,0)</f>
        <v>0</v>
      </c>
      <c r="W2548" s="64" t="n">
        <f aca="false">IF($K2548="U – needs rule",$P2548,0)</f>
        <v>0</v>
      </c>
      <c r="X2548" s="64" t="n">
        <f aca="false">IF($K2548="No Start (attainment only)",$P2548,0)</f>
        <v>0</v>
      </c>
    </row>
    <row r="2549" customFormat="false" ht="15" hidden="false" customHeight="false" outlineLevel="0" collapsed="false">
      <c r="A2549" s="60"/>
      <c r="B2549" s="61" t="str">
        <f aca="false">IF($M2549=0,"",INDEX(Classes!$E$6:$E$420,$M2549))</f>
        <v/>
      </c>
      <c r="C2549" s="62" t="str">
        <f aca="false">IF($M2549=0,"",INDEX(Classes!$H$6:$H$420,$M2549))</f>
        <v/>
      </c>
      <c r="D2549" s="61" t="str">
        <f aca="false">IF($M2549=0,"",INDEX(Classes!$B$6:$B$420,$M2549))</f>
        <v/>
      </c>
      <c r="E2549" s="61" t="str">
        <f aca="false">IF($M2549=0,"",INDEX(Classes!$C$6:$C$420,$M2549))</f>
        <v/>
      </c>
      <c r="F2549" s="63"/>
      <c r="G2549" s="63"/>
      <c r="H2549" s="60"/>
      <c r="I2549" s="60"/>
      <c r="J2549" s="63"/>
      <c r="K2549" s="61" t="str">
        <f aca="false">IF($P2549=0,"",IF($F2549="Baseline","— Baseline",IF($O2549=0,"No result",IF($N2549=0,"No Start (attainment only)",IF(OR($N2549=1,$O2549=1),"U – needs rule",INDEX(MxBody,MATCH($I2549,MxCurr,0),MATCH($H2549,MxStart,0)))))))</f>
        <v/>
      </c>
      <c r="L2549" s="62" t="str">
        <f aca="false">IF(COUNTA($A2549,$F2549,$G2549,$H2549,$I2549,$J2549)=0,"",IF($M2549=0,"✖ كود الصف غير موجود",IF(ISNA(MATCH($F2549,Lists!$A$2:$A$5,0)),"✖ الفترة غير صحيحة",IF(ISNA(MATCH($G2549,Lists!$B$2:$B$7,0)),"✖ المجموعة غير صحيحة",IF(NOT(OR($H2549="",$N2549&gt;0)),"✖ Start غير صحيح",IF(NOT(OR($I2549="",$I2549="NR",$O2549&gt;0)),"✖ Current غير صحيح",IF(NOT(IF(ISNUMBER($J2549),AND($J2549&gt;=0,$J2549=INT($J2549)),FALSE())),"✖ العدد يجب أن يكون صحيحًا ≥ 0",IF(AND($F2549="Baseline",$H2549&lt;&gt;""),"⚠ Baseline: Start لا يدخل في التقدم",IF($K2549="No Start (attainment only)","ℹ تحصيل فقط (بدون Start)",IF($K2549="U – needs rule","ℹ حالة U تحتاج قاعدة معتمدة",IF($K2549="No result","ℹ بدون نتيجة (يُستبعد من التحصيل)","OK")))))))))))</f>
        <v/>
      </c>
      <c r="M2549" s="64" t="n">
        <f aca="false">IF($A2549="",0,IFERROR(MATCH($A2549,Classes!$A$6:$A$420,0),0))</f>
        <v>0</v>
      </c>
      <c r="N2549" s="64" t="n">
        <f aca="false">IF($H2549="",0,IFERROR(MATCH($H2549,GradeList,0),0))</f>
        <v>0</v>
      </c>
      <c r="O2549" s="64" t="n">
        <f aca="false">IF(OR($I2549="",$I2549="NR"),0,IFERROR(MATCH($I2549,GradeList,0),0))</f>
        <v>0</v>
      </c>
      <c r="P2549" s="64" t="n">
        <f aca="false">IF(AND($M2549&gt;0,ISNUMBER(MATCH($F2549,Lists!$A$2:$A$5,0)),ISNUMBER(MATCH($G2549,Lists!$B$2:$B$7,0)),OR($H2549="",$N2549&gt;0),OR($I2549="",$I2549="NR",$O2549&gt;0),IF(ISNUMBER($J2549),AND($J2549&gt;=0,$J2549=INT($J2549)),FALSE())),$J2549,0)</f>
        <v>0</v>
      </c>
      <c r="Q2549" s="64" t="n">
        <f aca="false">IF(AND($P2549&gt;0,$O2549&gt;0),$P2549,0)</f>
        <v>0</v>
      </c>
      <c r="R2549" s="64" t="n">
        <f aca="false">IF(AND($Q2549&gt;0,$O2549&gt;=AtRank),$Q2549,0)</f>
        <v>0</v>
      </c>
      <c r="S2549" s="64" t="n">
        <f aca="false">IF(AND($Q2549&gt;0,$O2549&gt;=AboveRank),$Q2549,0)</f>
        <v>0</v>
      </c>
      <c r="T2549" s="64" t="n">
        <f aca="false">IF($K2549="Less",$P2549,0)</f>
        <v>0</v>
      </c>
      <c r="U2549" s="64" t="n">
        <f aca="false">IF($K2549="Expected",$P2549,0)</f>
        <v>0</v>
      </c>
      <c r="V2549" s="64" t="n">
        <f aca="false">IF($K2549="Better",$P2549,0)</f>
        <v>0</v>
      </c>
      <c r="W2549" s="64" t="n">
        <f aca="false">IF($K2549="U – needs rule",$P2549,0)</f>
        <v>0</v>
      </c>
      <c r="X2549" s="64" t="n">
        <f aca="false">IF($K2549="No Start (attainment only)",$P2549,0)</f>
        <v>0</v>
      </c>
    </row>
    <row r="2550" customFormat="false" ht="15" hidden="false" customHeight="false" outlineLevel="0" collapsed="false">
      <c r="A2550" s="60"/>
      <c r="B2550" s="61" t="str">
        <f aca="false">IF($M2550=0,"",INDEX(Classes!$E$6:$E$420,$M2550))</f>
        <v/>
      </c>
      <c r="C2550" s="62" t="str">
        <f aca="false">IF($M2550=0,"",INDEX(Classes!$H$6:$H$420,$M2550))</f>
        <v/>
      </c>
      <c r="D2550" s="61" t="str">
        <f aca="false">IF($M2550=0,"",INDEX(Classes!$B$6:$B$420,$M2550))</f>
        <v/>
      </c>
      <c r="E2550" s="61" t="str">
        <f aca="false">IF($M2550=0,"",INDEX(Classes!$C$6:$C$420,$M2550))</f>
        <v/>
      </c>
      <c r="F2550" s="63"/>
      <c r="G2550" s="63"/>
      <c r="H2550" s="60"/>
      <c r="I2550" s="60"/>
      <c r="J2550" s="63"/>
      <c r="K2550" s="61" t="str">
        <f aca="false">IF($P2550=0,"",IF($F2550="Baseline","— Baseline",IF($O2550=0,"No result",IF($N2550=0,"No Start (attainment only)",IF(OR($N2550=1,$O2550=1),"U – needs rule",INDEX(MxBody,MATCH($I2550,MxCurr,0),MATCH($H2550,MxStart,0)))))))</f>
        <v/>
      </c>
      <c r="L2550" s="62" t="str">
        <f aca="false">IF(COUNTA($A2550,$F2550,$G2550,$H2550,$I2550,$J2550)=0,"",IF($M2550=0,"✖ كود الصف غير موجود",IF(ISNA(MATCH($F2550,Lists!$A$2:$A$5,0)),"✖ الفترة غير صحيحة",IF(ISNA(MATCH($G2550,Lists!$B$2:$B$7,0)),"✖ المجموعة غير صحيحة",IF(NOT(OR($H2550="",$N2550&gt;0)),"✖ Start غير صحيح",IF(NOT(OR($I2550="",$I2550="NR",$O2550&gt;0)),"✖ Current غير صحيح",IF(NOT(IF(ISNUMBER($J2550),AND($J2550&gt;=0,$J2550=INT($J2550)),FALSE())),"✖ العدد يجب أن يكون صحيحًا ≥ 0",IF(AND($F2550="Baseline",$H2550&lt;&gt;""),"⚠ Baseline: Start لا يدخل في التقدم",IF($K2550="No Start (attainment only)","ℹ تحصيل فقط (بدون Start)",IF($K2550="U – needs rule","ℹ حالة U تحتاج قاعدة معتمدة",IF($K2550="No result","ℹ بدون نتيجة (يُستبعد من التحصيل)","OK")))))))))))</f>
        <v/>
      </c>
      <c r="M2550" s="64" t="n">
        <f aca="false">IF($A2550="",0,IFERROR(MATCH($A2550,Classes!$A$6:$A$420,0),0))</f>
        <v>0</v>
      </c>
      <c r="N2550" s="64" t="n">
        <f aca="false">IF($H2550="",0,IFERROR(MATCH($H2550,GradeList,0),0))</f>
        <v>0</v>
      </c>
      <c r="O2550" s="64" t="n">
        <f aca="false">IF(OR($I2550="",$I2550="NR"),0,IFERROR(MATCH($I2550,GradeList,0),0))</f>
        <v>0</v>
      </c>
      <c r="P2550" s="64" t="n">
        <f aca="false">IF(AND($M2550&gt;0,ISNUMBER(MATCH($F2550,Lists!$A$2:$A$5,0)),ISNUMBER(MATCH($G2550,Lists!$B$2:$B$7,0)),OR($H2550="",$N2550&gt;0),OR($I2550="",$I2550="NR",$O2550&gt;0),IF(ISNUMBER($J2550),AND($J2550&gt;=0,$J2550=INT($J2550)),FALSE())),$J2550,0)</f>
        <v>0</v>
      </c>
      <c r="Q2550" s="64" t="n">
        <f aca="false">IF(AND($P2550&gt;0,$O2550&gt;0),$P2550,0)</f>
        <v>0</v>
      </c>
      <c r="R2550" s="64" t="n">
        <f aca="false">IF(AND($Q2550&gt;0,$O2550&gt;=AtRank),$Q2550,0)</f>
        <v>0</v>
      </c>
      <c r="S2550" s="64" t="n">
        <f aca="false">IF(AND($Q2550&gt;0,$O2550&gt;=AboveRank),$Q2550,0)</f>
        <v>0</v>
      </c>
      <c r="T2550" s="64" t="n">
        <f aca="false">IF($K2550="Less",$P2550,0)</f>
        <v>0</v>
      </c>
      <c r="U2550" s="64" t="n">
        <f aca="false">IF($K2550="Expected",$P2550,0)</f>
        <v>0</v>
      </c>
      <c r="V2550" s="64" t="n">
        <f aca="false">IF($K2550="Better",$P2550,0)</f>
        <v>0</v>
      </c>
      <c r="W2550" s="64" t="n">
        <f aca="false">IF($K2550="U – needs rule",$P2550,0)</f>
        <v>0</v>
      </c>
      <c r="X2550" s="64" t="n">
        <f aca="false">IF($K2550="No Start (attainment only)",$P2550,0)</f>
        <v>0</v>
      </c>
    </row>
    <row r="2551" customFormat="false" ht="15" hidden="false" customHeight="false" outlineLevel="0" collapsed="false">
      <c r="A2551" s="60"/>
      <c r="B2551" s="61" t="str">
        <f aca="false">IF($M2551=0,"",INDEX(Classes!$E$6:$E$420,$M2551))</f>
        <v/>
      </c>
      <c r="C2551" s="62" t="str">
        <f aca="false">IF($M2551=0,"",INDEX(Classes!$H$6:$H$420,$M2551))</f>
        <v/>
      </c>
      <c r="D2551" s="61" t="str">
        <f aca="false">IF($M2551=0,"",INDEX(Classes!$B$6:$B$420,$M2551))</f>
        <v/>
      </c>
      <c r="E2551" s="61" t="str">
        <f aca="false">IF($M2551=0,"",INDEX(Classes!$C$6:$C$420,$M2551))</f>
        <v/>
      </c>
      <c r="F2551" s="63"/>
      <c r="G2551" s="63"/>
      <c r="H2551" s="60"/>
      <c r="I2551" s="60"/>
      <c r="J2551" s="63"/>
      <c r="K2551" s="61" t="str">
        <f aca="false">IF($P2551=0,"",IF($F2551="Baseline","— Baseline",IF($O2551=0,"No result",IF($N2551=0,"No Start (attainment only)",IF(OR($N2551=1,$O2551=1),"U – needs rule",INDEX(MxBody,MATCH($I2551,MxCurr,0),MATCH($H2551,MxStart,0)))))))</f>
        <v/>
      </c>
      <c r="L2551" s="62" t="str">
        <f aca="false">IF(COUNTA($A2551,$F2551,$G2551,$H2551,$I2551,$J2551)=0,"",IF($M2551=0,"✖ كود الصف غير موجود",IF(ISNA(MATCH($F2551,Lists!$A$2:$A$5,0)),"✖ الفترة غير صحيحة",IF(ISNA(MATCH($G2551,Lists!$B$2:$B$7,0)),"✖ المجموعة غير صحيحة",IF(NOT(OR($H2551="",$N2551&gt;0)),"✖ Start غير صحيح",IF(NOT(OR($I2551="",$I2551="NR",$O2551&gt;0)),"✖ Current غير صحيح",IF(NOT(IF(ISNUMBER($J2551),AND($J2551&gt;=0,$J2551=INT($J2551)),FALSE())),"✖ العدد يجب أن يكون صحيحًا ≥ 0",IF(AND($F2551="Baseline",$H2551&lt;&gt;""),"⚠ Baseline: Start لا يدخل في التقدم",IF($K2551="No Start (attainment only)","ℹ تحصيل فقط (بدون Start)",IF($K2551="U – needs rule","ℹ حالة U تحتاج قاعدة معتمدة",IF($K2551="No result","ℹ بدون نتيجة (يُستبعد من التحصيل)","OK")))))))))))</f>
        <v/>
      </c>
      <c r="M2551" s="64" t="n">
        <f aca="false">IF($A2551="",0,IFERROR(MATCH($A2551,Classes!$A$6:$A$420,0),0))</f>
        <v>0</v>
      </c>
      <c r="N2551" s="64" t="n">
        <f aca="false">IF($H2551="",0,IFERROR(MATCH($H2551,GradeList,0),0))</f>
        <v>0</v>
      </c>
      <c r="O2551" s="64" t="n">
        <f aca="false">IF(OR($I2551="",$I2551="NR"),0,IFERROR(MATCH($I2551,GradeList,0),0))</f>
        <v>0</v>
      </c>
      <c r="P2551" s="64" t="n">
        <f aca="false">IF(AND($M2551&gt;0,ISNUMBER(MATCH($F2551,Lists!$A$2:$A$5,0)),ISNUMBER(MATCH($G2551,Lists!$B$2:$B$7,0)),OR($H2551="",$N2551&gt;0),OR($I2551="",$I2551="NR",$O2551&gt;0),IF(ISNUMBER($J2551),AND($J2551&gt;=0,$J2551=INT($J2551)),FALSE())),$J2551,0)</f>
        <v>0</v>
      </c>
      <c r="Q2551" s="64" t="n">
        <f aca="false">IF(AND($P2551&gt;0,$O2551&gt;0),$P2551,0)</f>
        <v>0</v>
      </c>
      <c r="R2551" s="64" t="n">
        <f aca="false">IF(AND($Q2551&gt;0,$O2551&gt;=AtRank),$Q2551,0)</f>
        <v>0</v>
      </c>
      <c r="S2551" s="64" t="n">
        <f aca="false">IF(AND($Q2551&gt;0,$O2551&gt;=AboveRank),$Q2551,0)</f>
        <v>0</v>
      </c>
      <c r="T2551" s="64" t="n">
        <f aca="false">IF($K2551="Less",$P2551,0)</f>
        <v>0</v>
      </c>
      <c r="U2551" s="64" t="n">
        <f aca="false">IF($K2551="Expected",$P2551,0)</f>
        <v>0</v>
      </c>
      <c r="V2551" s="64" t="n">
        <f aca="false">IF($K2551="Better",$P2551,0)</f>
        <v>0</v>
      </c>
      <c r="W2551" s="64" t="n">
        <f aca="false">IF($K2551="U – needs rule",$P2551,0)</f>
        <v>0</v>
      </c>
      <c r="X2551" s="64" t="n">
        <f aca="false">IF($K2551="No Start (attainment only)",$P2551,0)</f>
        <v>0</v>
      </c>
    </row>
    <row r="2552" customFormat="false" ht="15" hidden="false" customHeight="false" outlineLevel="0" collapsed="false">
      <c r="A2552" s="60"/>
      <c r="B2552" s="61" t="str">
        <f aca="false">IF($M2552=0,"",INDEX(Classes!$E$6:$E$420,$M2552))</f>
        <v/>
      </c>
      <c r="C2552" s="62" t="str">
        <f aca="false">IF($M2552=0,"",INDEX(Classes!$H$6:$H$420,$M2552))</f>
        <v/>
      </c>
      <c r="D2552" s="61" t="str">
        <f aca="false">IF($M2552=0,"",INDEX(Classes!$B$6:$B$420,$M2552))</f>
        <v/>
      </c>
      <c r="E2552" s="61" t="str">
        <f aca="false">IF($M2552=0,"",INDEX(Classes!$C$6:$C$420,$M2552))</f>
        <v/>
      </c>
      <c r="F2552" s="63"/>
      <c r="G2552" s="63"/>
      <c r="H2552" s="60"/>
      <c r="I2552" s="60"/>
      <c r="J2552" s="63"/>
      <c r="K2552" s="61" t="str">
        <f aca="false">IF($P2552=0,"",IF($F2552="Baseline","— Baseline",IF($O2552=0,"No result",IF($N2552=0,"No Start (attainment only)",IF(OR($N2552=1,$O2552=1),"U – needs rule",INDEX(MxBody,MATCH($I2552,MxCurr,0),MATCH($H2552,MxStart,0)))))))</f>
        <v/>
      </c>
      <c r="L2552" s="62" t="str">
        <f aca="false">IF(COUNTA($A2552,$F2552,$G2552,$H2552,$I2552,$J2552)=0,"",IF($M2552=0,"✖ كود الصف غير موجود",IF(ISNA(MATCH($F2552,Lists!$A$2:$A$5,0)),"✖ الفترة غير صحيحة",IF(ISNA(MATCH($G2552,Lists!$B$2:$B$7,0)),"✖ المجموعة غير صحيحة",IF(NOT(OR($H2552="",$N2552&gt;0)),"✖ Start غير صحيح",IF(NOT(OR($I2552="",$I2552="NR",$O2552&gt;0)),"✖ Current غير صحيح",IF(NOT(IF(ISNUMBER($J2552),AND($J2552&gt;=0,$J2552=INT($J2552)),FALSE())),"✖ العدد يجب أن يكون صحيحًا ≥ 0",IF(AND($F2552="Baseline",$H2552&lt;&gt;""),"⚠ Baseline: Start لا يدخل في التقدم",IF($K2552="No Start (attainment only)","ℹ تحصيل فقط (بدون Start)",IF($K2552="U – needs rule","ℹ حالة U تحتاج قاعدة معتمدة",IF($K2552="No result","ℹ بدون نتيجة (يُستبعد من التحصيل)","OK")))))))))))</f>
        <v/>
      </c>
      <c r="M2552" s="64" t="n">
        <f aca="false">IF($A2552="",0,IFERROR(MATCH($A2552,Classes!$A$6:$A$420,0),0))</f>
        <v>0</v>
      </c>
      <c r="N2552" s="64" t="n">
        <f aca="false">IF($H2552="",0,IFERROR(MATCH($H2552,GradeList,0),0))</f>
        <v>0</v>
      </c>
      <c r="O2552" s="64" t="n">
        <f aca="false">IF(OR($I2552="",$I2552="NR"),0,IFERROR(MATCH($I2552,GradeList,0),0))</f>
        <v>0</v>
      </c>
      <c r="P2552" s="64" t="n">
        <f aca="false">IF(AND($M2552&gt;0,ISNUMBER(MATCH($F2552,Lists!$A$2:$A$5,0)),ISNUMBER(MATCH($G2552,Lists!$B$2:$B$7,0)),OR($H2552="",$N2552&gt;0),OR($I2552="",$I2552="NR",$O2552&gt;0),IF(ISNUMBER($J2552),AND($J2552&gt;=0,$J2552=INT($J2552)),FALSE())),$J2552,0)</f>
        <v>0</v>
      </c>
      <c r="Q2552" s="64" t="n">
        <f aca="false">IF(AND($P2552&gt;0,$O2552&gt;0),$P2552,0)</f>
        <v>0</v>
      </c>
      <c r="R2552" s="64" t="n">
        <f aca="false">IF(AND($Q2552&gt;0,$O2552&gt;=AtRank),$Q2552,0)</f>
        <v>0</v>
      </c>
      <c r="S2552" s="64" t="n">
        <f aca="false">IF(AND($Q2552&gt;0,$O2552&gt;=AboveRank),$Q2552,0)</f>
        <v>0</v>
      </c>
      <c r="T2552" s="64" t="n">
        <f aca="false">IF($K2552="Less",$P2552,0)</f>
        <v>0</v>
      </c>
      <c r="U2552" s="64" t="n">
        <f aca="false">IF($K2552="Expected",$P2552,0)</f>
        <v>0</v>
      </c>
      <c r="V2552" s="64" t="n">
        <f aca="false">IF($K2552="Better",$P2552,0)</f>
        <v>0</v>
      </c>
      <c r="W2552" s="64" t="n">
        <f aca="false">IF($K2552="U – needs rule",$P2552,0)</f>
        <v>0</v>
      </c>
      <c r="X2552" s="64" t="n">
        <f aca="false">IF($K2552="No Start (attainment only)",$P2552,0)</f>
        <v>0</v>
      </c>
    </row>
    <row r="2553" customFormat="false" ht="15" hidden="false" customHeight="false" outlineLevel="0" collapsed="false">
      <c r="A2553" s="60"/>
      <c r="B2553" s="61" t="str">
        <f aca="false">IF($M2553=0,"",INDEX(Classes!$E$6:$E$420,$M2553))</f>
        <v/>
      </c>
      <c r="C2553" s="62" t="str">
        <f aca="false">IF($M2553=0,"",INDEX(Classes!$H$6:$H$420,$M2553))</f>
        <v/>
      </c>
      <c r="D2553" s="61" t="str">
        <f aca="false">IF($M2553=0,"",INDEX(Classes!$B$6:$B$420,$M2553))</f>
        <v/>
      </c>
      <c r="E2553" s="61" t="str">
        <f aca="false">IF($M2553=0,"",INDEX(Classes!$C$6:$C$420,$M2553))</f>
        <v/>
      </c>
      <c r="F2553" s="63"/>
      <c r="G2553" s="63"/>
      <c r="H2553" s="60"/>
      <c r="I2553" s="60"/>
      <c r="J2553" s="63"/>
      <c r="K2553" s="61" t="str">
        <f aca="false">IF($P2553=0,"",IF($F2553="Baseline","— Baseline",IF($O2553=0,"No result",IF($N2553=0,"No Start (attainment only)",IF(OR($N2553=1,$O2553=1),"U – needs rule",INDEX(MxBody,MATCH($I2553,MxCurr,0),MATCH($H2553,MxStart,0)))))))</f>
        <v/>
      </c>
      <c r="L2553" s="62" t="str">
        <f aca="false">IF(COUNTA($A2553,$F2553,$G2553,$H2553,$I2553,$J2553)=0,"",IF($M2553=0,"✖ كود الصف غير موجود",IF(ISNA(MATCH($F2553,Lists!$A$2:$A$5,0)),"✖ الفترة غير صحيحة",IF(ISNA(MATCH($G2553,Lists!$B$2:$B$7,0)),"✖ المجموعة غير صحيحة",IF(NOT(OR($H2553="",$N2553&gt;0)),"✖ Start غير صحيح",IF(NOT(OR($I2553="",$I2553="NR",$O2553&gt;0)),"✖ Current غير صحيح",IF(NOT(IF(ISNUMBER($J2553),AND($J2553&gt;=0,$J2553=INT($J2553)),FALSE())),"✖ العدد يجب أن يكون صحيحًا ≥ 0",IF(AND($F2553="Baseline",$H2553&lt;&gt;""),"⚠ Baseline: Start لا يدخل في التقدم",IF($K2553="No Start (attainment only)","ℹ تحصيل فقط (بدون Start)",IF($K2553="U – needs rule","ℹ حالة U تحتاج قاعدة معتمدة",IF($K2553="No result","ℹ بدون نتيجة (يُستبعد من التحصيل)","OK")))))))))))</f>
        <v/>
      </c>
      <c r="M2553" s="64" t="n">
        <f aca="false">IF($A2553="",0,IFERROR(MATCH($A2553,Classes!$A$6:$A$420,0),0))</f>
        <v>0</v>
      </c>
      <c r="N2553" s="64" t="n">
        <f aca="false">IF($H2553="",0,IFERROR(MATCH($H2553,GradeList,0),0))</f>
        <v>0</v>
      </c>
      <c r="O2553" s="64" t="n">
        <f aca="false">IF(OR($I2553="",$I2553="NR"),0,IFERROR(MATCH($I2553,GradeList,0),0))</f>
        <v>0</v>
      </c>
      <c r="P2553" s="64" t="n">
        <f aca="false">IF(AND($M2553&gt;0,ISNUMBER(MATCH($F2553,Lists!$A$2:$A$5,0)),ISNUMBER(MATCH($G2553,Lists!$B$2:$B$7,0)),OR($H2553="",$N2553&gt;0),OR($I2553="",$I2553="NR",$O2553&gt;0),IF(ISNUMBER($J2553),AND($J2553&gt;=0,$J2553=INT($J2553)),FALSE())),$J2553,0)</f>
        <v>0</v>
      </c>
      <c r="Q2553" s="64" t="n">
        <f aca="false">IF(AND($P2553&gt;0,$O2553&gt;0),$P2553,0)</f>
        <v>0</v>
      </c>
      <c r="R2553" s="64" t="n">
        <f aca="false">IF(AND($Q2553&gt;0,$O2553&gt;=AtRank),$Q2553,0)</f>
        <v>0</v>
      </c>
      <c r="S2553" s="64" t="n">
        <f aca="false">IF(AND($Q2553&gt;0,$O2553&gt;=AboveRank),$Q2553,0)</f>
        <v>0</v>
      </c>
      <c r="T2553" s="64" t="n">
        <f aca="false">IF($K2553="Less",$P2553,0)</f>
        <v>0</v>
      </c>
      <c r="U2553" s="64" t="n">
        <f aca="false">IF($K2553="Expected",$P2553,0)</f>
        <v>0</v>
      </c>
      <c r="V2553" s="64" t="n">
        <f aca="false">IF($K2553="Better",$P2553,0)</f>
        <v>0</v>
      </c>
      <c r="W2553" s="64" t="n">
        <f aca="false">IF($K2553="U – needs rule",$P2553,0)</f>
        <v>0</v>
      </c>
      <c r="X2553" s="64" t="n">
        <f aca="false">IF($K2553="No Start (attainment only)",$P2553,0)</f>
        <v>0</v>
      </c>
    </row>
    <row r="2554" customFormat="false" ht="15" hidden="false" customHeight="false" outlineLevel="0" collapsed="false">
      <c r="A2554" s="60"/>
      <c r="B2554" s="61" t="str">
        <f aca="false">IF($M2554=0,"",INDEX(Classes!$E$6:$E$420,$M2554))</f>
        <v/>
      </c>
      <c r="C2554" s="62" t="str">
        <f aca="false">IF($M2554=0,"",INDEX(Classes!$H$6:$H$420,$M2554))</f>
        <v/>
      </c>
      <c r="D2554" s="61" t="str">
        <f aca="false">IF($M2554=0,"",INDEX(Classes!$B$6:$B$420,$M2554))</f>
        <v/>
      </c>
      <c r="E2554" s="61" t="str">
        <f aca="false">IF($M2554=0,"",INDEX(Classes!$C$6:$C$420,$M2554))</f>
        <v/>
      </c>
      <c r="F2554" s="63"/>
      <c r="G2554" s="63"/>
      <c r="H2554" s="60"/>
      <c r="I2554" s="60"/>
      <c r="J2554" s="63"/>
      <c r="K2554" s="61" t="str">
        <f aca="false">IF($P2554=0,"",IF($F2554="Baseline","— Baseline",IF($O2554=0,"No result",IF($N2554=0,"No Start (attainment only)",IF(OR($N2554=1,$O2554=1),"U – needs rule",INDEX(MxBody,MATCH($I2554,MxCurr,0),MATCH($H2554,MxStart,0)))))))</f>
        <v/>
      </c>
      <c r="L2554" s="62" t="str">
        <f aca="false">IF(COUNTA($A2554,$F2554,$G2554,$H2554,$I2554,$J2554)=0,"",IF($M2554=0,"✖ كود الصف غير موجود",IF(ISNA(MATCH($F2554,Lists!$A$2:$A$5,0)),"✖ الفترة غير صحيحة",IF(ISNA(MATCH($G2554,Lists!$B$2:$B$7,0)),"✖ المجموعة غير صحيحة",IF(NOT(OR($H2554="",$N2554&gt;0)),"✖ Start غير صحيح",IF(NOT(OR($I2554="",$I2554="NR",$O2554&gt;0)),"✖ Current غير صحيح",IF(NOT(IF(ISNUMBER($J2554),AND($J2554&gt;=0,$J2554=INT($J2554)),FALSE())),"✖ العدد يجب أن يكون صحيحًا ≥ 0",IF(AND($F2554="Baseline",$H2554&lt;&gt;""),"⚠ Baseline: Start لا يدخل في التقدم",IF($K2554="No Start (attainment only)","ℹ تحصيل فقط (بدون Start)",IF($K2554="U – needs rule","ℹ حالة U تحتاج قاعدة معتمدة",IF($K2554="No result","ℹ بدون نتيجة (يُستبعد من التحصيل)","OK")))))))))))</f>
        <v/>
      </c>
      <c r="M2554" s="64" t="n">
        <f aca="false">IF($A2554="",0,IFERROR(MATCH($A2554,Classes!$A$6:$A$420,0),0))</f>
        <v>0</v>
      </c>
      <c r="N2554" s="64" t="n">
        <f aca="false">IF($H2554="",0,IFERROR(MATCH($H2554,GradeList,0),0))</f>
        <v>0</v>
      </c>
      <c r="O2554" s="64" t="n">
        <f aca="false">IF(OR($I2554="",$I2554="NR"),0,IFERROR(MATCH($I2554,GradeList,0),0))</f>
        <v>0</v>
      </c>
      <c r="P2554" s="64" t="n">
        <f aca="false">IF(AND($M2554&gt;0,ISNUMBER(MATCH($F2554,Lists!$A$2:$A$5,0)),ISNUMBER(MATCH($G2554,Lists!$B$2:$B$7,0)),OR($H2554="",$N2554&gt;0),OR($I2554="",$I2554="NR",$O2554&gt;0),IF(ISNUMBER($J2554),AND($J2554&gt;=0,$J2554=INT($J2554)),FALSE())),$J2554,0)</f>
        <v>0</v>
      </c>
      <c r="Q2554" s="64" t="n">
        <f aca="false">IF(AND($P2554&gt;0,$O2554&gt;0),$P2554,0)</f>
        <v>0</v>
      </c>
      <c r="R2554" s="64" t="n">
        <f aca="false">IF(AND($Q2554&gt;0,$O2554&gt;=AtRank),$Q2554,0)</f>
        <v>0</v>
      </c>
      <c r="S2554" s="64" t="n">
        <f aca="false">IF(AND($Q2554&gt;0,$O2554&gt;=AboveRank),$Q2554,0)</f>
        <v>0</v>
      </c>
      <c r="T2554" s="64" t="n">
        <f aca="false">IF($K2554="Less",$P2554,0)</f>
        <v>0</v>
      </c>
      <c r="U2554" s="64" t="n">
        <f aca="false">IF($K2554="Expected",$P2554,0)</f>
        <v>0</v>
      </c>
      <c r="V2554" s="64" t="n">
        <f aca="false">IF($K2554="Better",$P2554,0)</f>
        <v>0</v>
      </c>
      <c r="W2554" s="64" t="n">
        <f aca="false">IF($K2554="U – needs rule",$P2554,0)</f>
        <v>0</v>
      </c>
      <c r="X2554" s="64" t="n">
        <f aca="false">IF($K2554="No Start (attainment only)",$P2554,0)</f>
        <v>0</v>
      </c>
    </row>
    <row r="2555" customFormat="false" ht="15" hidden="false" customHeight="false" outlineLevel="0" collapsed="false">
      <c r="A2555" s="60"/>
      <c r="B2555" s="61" t="str">
        <f aca="false">IF($M2555=0,"",INDEX(Classes!$E$6:$E$420,$M2555))</f>
        <v/>
      </c>
      <c r="C2555" s="62" t="str">
        <f aca="false">IF($M2555=0,"",INDEX(Classes!$H$6:$H$420,$M2555))</f>
        <v/>
      </c>
      <c r="D2555" s="61" t="str">
        <f aca="false">IF($M2555=0,"",INDEX(Classes!$B$6:$B$420,$M2555))</f>
        <v/>
      </c>
      <c r="E2555" s="61" t="str">
        <f aca="false">IF($M2555=0,"",INDEX(Classes!$C$6:$C$420,$M2555))</f>
        <v/>
      </c>
      <c r="F2555" s="63"/>
      <c r="G2555" s="63"/>
      <c r="H2555" s="60"/>
      <c r="I2555" s="60"/>
      <c r="J2555" s="63"/>
      <c r="K2555" s="61" t="str">
        <f aca="false">IF($P2555=0,"",IF($F2555="Baseline","— Baseline",IF($O2555=0,"No result",IF($N2555=0,"No Start (attainment only)",IF(OR($N2555=1,$O2555=1),"U – needs rule",INDEX(MxBody,MATCH($I2555,MxCurr,0),MATCH($H2555,MxStart,0)))))))</f>
        <v/>
      </c>
      <c r="L2555" s="62" t="str">
        <f aca="false">IF(COUNTA($A2555,$F2555,$G2555,$H2555,$I2555,$J2555)=0,"",IF($M2555=0,"✖ كود الصف غير موجود",IF(ISNA(MATCH($F2555,Lists!$A$2:$A$5,0)),"✖ الفترة غير صحيحة",IF(ISNA(MATCH($G2555,Lists!$B$2:$B$7,0)),"✖ المجموعة غير صحيحة",IF(NOT(OR($H2555="",$N2555&gt;0)),"✖ Start غير صحيح",IF(NOT(OR($I2555="",$I2555="NR",$O2555&gt;0)),"✖ Current غير صحيح",IF(NOT(IF(ISNUMBER($J2555),AND($J2555&gt;=0,$J2555=INT($J2555)),FALSE())),"✖ العدد يجب أن يكون صحيحًا ≥ 0",IF(AND($F2555="Baseline",$H2555&lt;&gt;""),"⚠ Baseline: Start لا يدخل في التقدم",IF($K2555="No Start (attainment only)","ℹ تحصيل فقط (بدون Start)",IF($K2555="U – needs rule","ℹ حالة U تحتاج قاعدة معتمدة",IF($K2555="No result","ℹ بدون نتيجة (يُستبعد من التحصيل)","OK")))))))))))</f>
        <v/>
      </c>
      <c r="M2555" s="64" t="n">
        <f aca="false">IF($A2555="",0,IFERROR(MATCH($A2555,Classes!$A$6:$A$420,0),0))</f>
        <v>0</v>
      </c>
      <c r="N2555" s="64" t="n">
        <f aca="false">IF($H2555="",0,IFERROR(MATCH($H2555,GradeList,0),0))</f>
        <v>0</v>
      </c>
      <c r="O2555" s="64" t="n">
        <f aca="false">IF(OR($I2555="",$I2555="NR"),0,IFERROR(MATCH($I2555,GradeList,0),0))</f>
        <v>0</v>
      </c>
      <c r="P2555" s="64" t="n">
        <f aca="false">IF(AND($M2555&gt;0,ISNUMBER(MATCH($F2555,Lists!$A$2:$A$5,0)),ISNUMBER(MATCH($G2555,Lists!$B$2:$B$7,0)),OR($H2555="",$N2555&gt;0),OR($I2555="",$I2555="NR",$O2555&gt;0),IF(ISNUMBER($J2555),AND($J2555&gt;=0,$J2555=INT($J2555)),FALSE())),$J2555,0)</f>
        <v>0</v>
      </c>
      <c r="Q2555" s="64" t="n">
        <f aca="false">IF(AND($P2555&gt;0,$O2555&gt;0),$P2555,0)</f>
        <v>0</v>
      </c>
      <c r="R2555" s="64" t="n">
        <f aca="false">IF(AND($Q2555&gt;0,$O2555&gt;=AtRank),$Q2555,0)</f>
        <v>0</v>
      </c>
      <c r="S2555" s="64" t="n">
        <f aca="false">IF(AND($Q2555&gt;0,$O2555&gt;=AboveRank),$Q2555,0)</f>
        <v>0</v>
      </c>
      <c r="T2555" s="64" t="n">
        <f aca="false">IF($K2555="Less",$P2555,0)</f>
        <v>0</v>
      </c>
      <c r="U2555" s="64" t="n">
        <f aca="false">IF($K2555="Expected",$P2555,0)</f>
        <v>0</v>
      </c>
      <c r="V2555" s="64" t="n">
        <f aca="false">IF($K2555="Better",$P2555,0)</f>
        <v>0</v>
      </c>
      <c r="W2555" s="64" t="n">
        <f aca="false">IF($K2555="U – needs rule",$P2555,0)</f>
        <v>0</v>
      </c>
      <c r="X2555" s="64" t="n">
        <f aca="false">IF($K2555="No Start (attainment only)",$P2555,0)</f>
        <v>0</v>
      </c>
    </row>
    <row r="2556" customFormat="false" ht="15" hidden="false" customHeight="false" outlineLevel="0" collapsed="false">
      <c r="A2556" s="60"/>
      <c r="B2556" s="61" t="str">
        <f aca="false">IF($M2556=0,"",INDEX(Classes!$E$6:$E$420,$M2556))</f>
        <v/>
      </c>
      <c r="C2556" s="62" t="str">
        <f aca="false">IF($M2556=0,"",INDEX(Classes!$H$6:$H$420,$M2556))</f>
        <v/>
      </c>
      <c r="D2556" s="61" t="str">
        <f aca="false">IF($M2556=0,"",INDEX(Classes!$B$6:$B$420,$M2556))</f>
        <v/>
      </c>
      <c r="E2556" s="61" t="str">
        <f aca="false">IF($M2556=0,"",INDEX(Classes!$C$6:$C$420,$M2556))</f>
        <v/>
      </c>
      <c r="F2556" s="63"/>
      <c r="G2556" s="63"/>
      <c r="H2556" s="60"/>
      <c r="I2556" s="60"/>
      <c r="J2556" s="63"/>
      <c r="K2556" s="61" t="str">
        <f aca="false">IF($P2556=0,"",IF($F2556="Baseline","— Baseline",IF($O2556=0,"No result",IF($N2556=0,"No Start (attainment only)",IF(OR($N2556=1,$O2556=1),"U – needs rule",INDEX(MxBody,MATCH($I2556,MxCurr,0),MATCH($H2556,MxStart,0)))))))</f>
        <v/>
      </c>
      <c r="L2556" s="62" t="str">
        <f aca="false">IF(COUNTA($A2556,$F2556,$G2556,$H2556,$I2556,$J2556)=0,"",IF($M2556=0,"✖ كود الصف غير موجود",IF(ISNA(MATCH($F2556,Lists!$A$2:$A$5,0)),"✖ الفترة غير صحيحة",IF(ISNA(MATCH($G2556,Lists!$B$2:$B$7,0)),"✖ المجموعة غير صحيحة",IF(NOT(OR($H2556="",$N2556&gt;0)),"✖ Start غير صحيح",IF(NOT(OR($I2556="",$I2556="NR",$O2556&gt;0)),"✖ Current غير صحيح",IF(NOT(IF(ISNUMBER($J2556),AND($J2556&gt;=0,$J2556=INT($J2556)),FALSE())),"✖ العدد يجب أن يكون صحيحًا ≥ 0",IF(AND($F2556="Baseline",$H2556&lt;&gt;""),"⚠ Baseline: Start لا يدخل في التقدم",IF($K2556="No Start (attainment only)","ℹ تحصيل فقط (بدون Start)",IF($K2556="U – needs rule","ℹ حالة U تحتاج قاعدة معتمدة",IF($K2556="No result","ℹ بدون نتيجة (يُستبعد من التحصيل)","OK")))))))))))</f>
        <v/>
      </c>
      <c r="M2556" s="64" t="n">
        <f aca="false">IF($A2556="",0,IFERROR(MATCH($A2556,Classes!$A$6:$A$420,0),0))</f>
        <v>0</v>
      </c>
      <c r="N2556" s="64" t="n">
        <f aca="false">IF($H2556="",0,IFERROR(MATCH($H2556,GradeList,0),0))</f>
        <v>0</v>
      </c>
      <c r="O2556" s="64" t="n">
        <f aca="false">IF(OR($I2556="",$I2556="NR"),0,IFERROR(MATCH($I2556,GradeList,0),0))</f>
        <v>0</v>
      </c>
      <c r="P2556" s="64" t="n">
        <f aca="false">IF(AND($M2556&gt;0,ISNUMBER(MATCH($F2556,Lists!$A$2:$A$5,0)),ISNUMBER(MATCH($G2556,Lists!$B$2:$B$7,0)),OR($H2556="",$N2556&gt;0),OR($I2556="",$I2556="NR",$O2556&gt;0),IF(ISNUMBER($J2556),AND($J2556&gt;=0,$J2556=INT($J2556)),FALSE())),$J2556,0)</f>
        <v>0</v>
      </c>
      <c r="Q2556" s="64" t="n">
        <f aca="false">IF(AND($P2556&gt;0,$O2556&gt;0),$P2556,0)</f>
        <v>0</v>
      </c>
      <c r="R2556" s="64" t="n">
        <f aca="false">IF(AND($Q2556&gt;0,$O2556&gt;=AtRank),$Q2556,0)</f>
        <v>0</v>
      </c>
      <c r="S2556" s="64" t="n">
        <f aca="false">IF(AND($Q2556&gt;0,$O2556&gt;=AboveRank),$Q2556,0)</f>
        <v>0</v>
      </c>
      <c r="T2556" s="64" t="n">
        <f aca="false">IF($K2556="Less",$P2556,0)</f>
        <v>0</v>
      </c>
      <c r="U2556" s="64" t="n">
        <f aca="false">IF($K2556="Expected",$P2556,0)</f>
        <v>0</v>
      </c>
      <c r="V2556" s="64" t="n">
        <f aca="false">IF($K2556="Better",$P2556,0)</f>
        <v>0</v>
      </c>
      <c r="W2556" s="64" t="n">
        <f aca="false">IF($K2556="U – needs rule",$P2556,0)</f>
        <v>0</v>
      </c>
      <c r="X2556" s="64" t="n">
        <f aca="false">IF($K2556="No Start (attainment only)",$P2556,0)</f>
        <v>0</v>
      </c>
    </row>
    <row r="2557" customFormat="false" ht="15" hidden="false" customHeight="false" outlineLevel="0" collapsed="false">
      <c r="A2557" s="60"/>
      <c r="B2557" s="61" t="str">
        <f aca="false">IF($M2557=0,"",INDEX(Classes!$E$6:$E$420,$M2557))</f>
        <v/>
      </c>
      <c r="C2557" s="62" t="str">
        <f aca="false">IF($M2557=0,"",INDEX(Classes!$H$6:$H$420,$M2557))</f>
        <v/>
      </c>
      <c r="D2557" s="61" t="str">
        <f aca="false">IF($M2557=0,"",INDEX(Classes!$B$6:$B$420,$M2557))</f>
        <v/>
      </c>
      <c r="E2557" s="61" t="str">
        <f aca="false">IF($M2557=0,"",INDEX(Classes!$C$6:$C$420,$M2557))</f>
        <v/>
      </c>
      <c r="F2557" s="63"/>
      <c r="G2557" s="63"/>
      <c r="H2557" s="60"/>
      <c r="I2557" s="60"/>
      <c r="J2557" s="63"/>
      <c r="K2557" s="61" t="str">
        <f aca="false">IF($P2557=0,"",IF($F2557="Baseline","— Baseline",IF($O2557=0,"No result",IF($N2557=0,"No Start (attainment only)",IF(OR($N2557=1,$O2557=1),"U – needs rule",INDEX(MxBody,MATCH($I2557,MxCurr,0),MATCH($H2557,MxStart,0)))))))</f>
        <v/>
      </c>
      <c r="L2557" s="62" t="str">
        <f aca="false">IF(COUNTA($A2557,$F2557,$G2557,$H2557,$I2557,$J2557)=0,"",IF($M2557=0,"✖ كود الصف غير موجود",IF(ISNA(MATCH($F2557,Lists!$A$2:$A$5,0)),"✖ الفترة غير صحيحة",IF(ISNA(MATCH($G2557,Lists!$B$2:$B$7,0)),"✖ المجموعة غير صحيحة",IF(NOT(OR($H2557="",$N2557&gt;0)),"✖ Start غير صحيح",IF(NOT(OR($I2557="",$I2557="NR",$O2557&gt;0)),"✖ Current غير صحيح",IF(NOT(IF(ISNUMBER($J2557),AND($J2557&gt;=0,$J2557=INT($J2557)),FALSE())),"✖ العدد يجب أن يكون صحيحًا ≥ 0",IF(AND($F2557="Baseline",$H2557&lt;&gt;""),"⚠ Baseline: Start لا يدخل في التقدم",IF($K2557="No Start (attainment only)","ℹ تحصيل فقط (بدون Start)",IF($K2557="U – needs rule","ℹ حالة U تحتاج قاعدة معتمدة",IF($K2557="No result","ℹ بدون نتيجة (يُستبعد من التحصيل)","OK")))))))))))</f>
        <v/>
      </c>
      <c r="M2557" s="64" t="n">
        <f aca="false">IF($A2557="",0,IFERROR(MATCH($A2557,Classes!$A$6:$A$420,0),0))</f>
        <v>0</v>
      </c>
      <c r="N2557" s="64" t="n">
        <f aca="false">IF($H2557="",0,IFERROR(MATCH($H2557,GradeList,0),0))</f>
        <v>0</v>
      </c>
      <c r="O2557" s="64" t="n">
        <f aca="false">IF(OR($I2557="",$I2557="NR"),0,IFERROR(MATCH($I2557,GradeList,0),0))</f>
        <v>0</v>
      </c>
      <c r="P2557" s="64" t="n">
        <f aca="false">IF(AND($M2557&gt;0,ISNUMBER(MATCH($F2557,Lists!$A$2:$A$5,0)),ISNUMBER(MATCH($G2557,Lists!$B$2:$B$7,0)),OR($H2557="",$N2557&gt;0),OR($I2557="",$I2557="NR",$O2557&gt;0),IF(ISNUMBER($J2557),AND($J2557&gt;=0,$J2557=INT($J2557)),FALSE())),$J2557,0)</f>
        <v>0</v>
      </c>
      <c r="Q2557" s="64" t="n">
        <f aca="false">IF(AND($P2557&gt;0,$O2557&gt;0),$P2557,0)</f>
        <v>0</v>
      </c>
      <c r="R2557" s="64" t="n">
        <f aca="false">IF(AND($Q2557&gt;0,$O2557&gt;=AtRank),$Q2557,0)</f>
        <v>0</v>
      </c>
      <c r="S2557" s="64" t="n">
        <f aca="false">IF(AND($Q2557&gt;0,$O2557&gt;=AboveRank),$Q2557,0)</f>
        <v>0</v>
      </c>
      <c r="T2557" s="64" t="n">
        <f aca="false">IF($K2557="Less",$P2557,0)</f>
        <v>0</v>
      </c>
      <c r="U2557" s="64" t="n">
        <f aca="false">IF($K2557="Expected",$P2557,0)</f>
        <v>0</v>
      </c>
      <c r="V2557" s="64" t="n">
        <f aca="false">IF($K2557="Better",$P2557,0)</f>
        <v>0</v>
      </c>
      <c r="W2557" s="64" t="n">
        <f aca="false">IF($K2557="U – needs rule",$P2557,0)</f>
        <v>0</v>
      </c>
      <c r="X2557" s="64" t="n">
        <f aca="false">IF($K2557="No Start (attainment only)",$P2557,0)</f>
        <v>0</v>
      </c>
    </row>
    <row r="2558" customFormat="false" ht="15" hidden="false" customHeight="false" outlineLevel="0" collapsed="false">
      <c r="A2558" s="60"/>
      <c r="B2558" s="61" t="str">
        <f aca="false">IF($M2558=0,"",INDEX(Classes!$E$6:$E$420,$M2558))</f>
        <v/>
      </c>
      <c r="C2558" s="62" t="str">
        <f aca="false">IF($M2558=0,"",INDEX(Classes!$H$6:$H$420,$M2558))</f>
        <v/>
      </c>
      <c r="D2558" s="61" t="str">
        <f aca="false">IF($M2558=0,"",INDEX(Classes!$B$6:$B$420,$M2558))</f>
        <v/>
      </c>
      <c r="E2558" s="61" t="str">
        <f aca="false">IF($M2558=0,"",INDEX(Classes!$C$6:$C$420,$M2558))</f>
        <v/>
      </c>
      <c r="F2558" s="63"/>
      <c r="G2558" s="63"/>
      <c r="H2558" s="60"/>
      <c r="I2558" s="60"/>
      <c r="J2558" s="63"/>
      <c r="K2558" s="61" t="str">
        <f aca="false">IF($P2558=0,"",IF($F2558="Baseline","— Baseline",IF($O2558=0,"No result",IF($N2558=0,"No Start (attainment only)",IF(OR($N2558=1,$O2558=1),"U – needs rule",INDEX(MxBody,MATCH($I2558,MxCurr,0),MATCH($H2558,MxStart,0)))))))</f>
        <v/>
      </c>
      <c r="L2558" s="62" t="str">
        <f aca="false">IF(COUNTA($A2558,$F2558,$G2558,$H2558,$I2558,$J2558)=0,"",IF($M2558=0,"✖ كود الصف غير موجود",IF(ISNA(MATCH($F2558,Lists!$A$2:$A$5,0)),"✖ الفترة غير صحيحة",IF(ISNA(MATCH($G2558,Lists!$B$2:$B$7,0)),"✖ المجموعة غير صحيحة",IF(NOT(OR($H2558="",$N2558&gt;0)),"✖ Start غير صحيح",IF(NOT(OR($I2558="",$I2558="NR",$O2558&gt;0)),"✖ Current غير صحيح",IF(NOT(IF(ISNUMBER($J2558),AND($J2558&gt;=0,$J2558=INT($J2558)),FALSE())),"✖ العدد يجب أن يكون صحيحًا ≥ 0",IF(AND($F2558="Baseline",$H2558&lt;&gt;""),"⚠ Baseline: Start لا يدخل في التقدم",IF($K2558="No Start (attainment only)","ℹ تحصيل فقط (بدون Start)",IF($K2558="U – needs rule","ℹ حالة U تحتاج قاعدة معتمدة",IF($K2558="No result","ℹ بدون نتيجة (يُستبعد من التحصيل)","OK")))))))))))</f>
        <v/>
      </c>
      <c r="M2558" s="64" t="n">
        <f aca="false">IF($A2558="",0,IFERROR(MATCH($A2558,Classes!$A$6:$A$420,0),0))</f>
        <v>0</v>
      </c>
      <c r="N2558" s="64" t="n">
        <f aca="false">IF($H2558="",0,IFERROR(MATCH($H2558,GradeList,0),0))</f>
        <v>0</v>
      </c>
      <c r="O2558" s="64" t="n">
        <f aca="false">IF(OR($I2558="",$I2558="NR"),0,IFERROR(MATCH($I2558,GradeList,0),0))</f>
        <v>0</v>
      </c>
      <c r="P2558" s="64" t="n">
        <f aca="false">IF(AND($M2558&gt;0,ISNUMBER(MATCH($F2558,Lists!$A$2:$A$5,0)),ISNUMBER(MATCH($G2558,Lists!$B$2:$B$7,0)),OR($H2558="",$N2558&gt;0),OR($I2558="",$I2558="NR",$O2558&gt;0),IF(ISNUMBER($J2558),AND($J2558&gt;=0,$J2558=INT($J2558)),FALSE())),$J2558,0)</f>
        <v>0</v>
      </c>
      <c r="Q2558" s="64" t="n">
        <f aca="false">IF(AND($P2558&gt;0,$O2558&gt;0),$P2558,0)</f>
        <v>0</v>
      </c>
      <c r="R2558" s="64" t="n">
        <f aca="false">IF(AND($Q2558&gt;0,$O2558&gt;=AtRank),$Q2558,0)</f>
        <v>0</v>
      </c>
      <c r="S2558" s="64" t="n">
        <f aca="false">IF(AND($Q2558&gt;0,$O2558&gt;=AboveRank),$Q2558,0)</f>
        <v>0</v>
      </c>
      <c r="T2558" s="64" t="n">
        <f aca="false">IF($K2558="Less",$P2558,0)</f>
        <v>0</v>
      </c>
      <c r="U2558" s="64" t="n">
        <f aca="false">IF($K2558="Expected",$P2558,0)</f>
        <v>0</v>
      </c>
      <c r="V2558" s="64" t="n">
        <f aca="false">IF($K2558="Better",$P2558,0)</f>
        <v>0</v>
      </c>
      <c r="W2558" s="64" t="n">
        <f aca="false">IF($K2558="U – needs rule",$P2558,0)</f>
        <v>0</v>
      </c>
      <c r="X2558" s="64" t="n">
        <f aca="false">IF($K2558="No Start (attainment only)",$P2558,0)</f>
        <v>0</v>
      </c>
    </row>
    <row r="2559" customFormat="false" ht="15" hidden="false" customHeight="false" outlineLevel="0" collapsed="false">
      <c r="A2559" s="60"/>
      <c r="B2559" s="61" t="str">
        <f aca="false">IF($M2559=0,"",INDEX(Classes!$E$6:$E$420,$M2559))</f>
        <v/>
      </c>
      <c r="C2559" s="62" t="str">
        <f aca="false">IF($M2559=0,"",INDEX(Classes!$H$6:$H$420,$M2559))</f>
        <v/>
      </c>
      <c r="D2559" s="61" t="str">
        <f aca="false">IF($M2559=0,"",INDEX(Classes!$B$6:$B$420,$M2559))</f>
        <v/>
      </c>
      <c r="E2559" s="61" t="str">
        <f aca="false">IF($M2559=0,"",INDEX(Classes!$C$6:$C$420,$M2559))</f>
        <v/>
      </c>
      <c r="F2559" s="63"/>
      <c r="G2559" s="63"/>
      <c r="H2559" s="60"/>
      <c r="I2559" s="60"/>
      <c r="J2559" s="63"/>
      <c r="K2559" s="61" t="str">
        <f aca="false">IF($P2559=0,"",IF($F2559="Baseline","— Baseline",IF($O2559=0,"No result",IF($N2559=0,"No Start (attainment only)",IF(OR($N2559=1,$O2559=1),"U – needs rule",INDEX(MxBody,MATCH($I2559,MxCurr,0),MATCH($H2559,MxStart,0)))))))</f>
        <v/>
      </c>
      <c r="L2559" s="62" t="str">
        <f aca="false">IF(COUNTA($A2559,$F2559,$G2559,$H2559,$I2559,$J2559)=0,"",IF($M2559=0,"✖ كود الصف غير موجود",IF(ISNA(MATCH($F2559,Lists!$A$2:$A$5,0)),"✖ الفترة غير صحيحة",IF(ISNA(MATCH($G2559,Lists!$B$2:$B$7,0)),"✖ المجموعة غير صحيحة",IF(NOT(OR($H2559="",$N2559&gt;0)),"✖ Start غير صحيح",IF(NOT(OR($I2559="",$I2559="NR",$O2559&gt;0)),"✖ Current غير صحيح",IF(NOT(IF(ISNUMBER($J2559),AND($J2559&gt;=0,$J2559=INT($J2559)),FALSE())),"✖ العدد يجب أن يكون صحيحًا ≥ 0",IF(AND($F2559="Baseline",$H2559&lt;&gt;""),"⚠ Baseline: Start لا يدخل في التقدم",IF($K2559="No Start (attainment only)","ℹ تحصيل فقط (بدون Start)",IF($K2559="U – needs rule","ℹ حالة U تحتاج قاعدة معتمدة",IF($K2559="No result","ℹ بدون نتيجة (يُستبعد من التحصيل)","OK")))))))))))</f>
        <v/>
      </c>
      <c r="M2559" s="64" t="n">
        <f aca="false">IF($A2559="",0,IFERROR(MATCH($A2559,Classes!$A$6:$A$420,0),0))</f>
        <v>0</v>
      </c>
      <c r="N2559" s="64" t="n">
        <f aca="false">IF($H2559="",0,IFERROR(MATCH($H2559,GradeList,0),0))</f>
        <v>0</v>
      </c>
      <c r="O2559" s="64" t="n">
        <f aca="false">IF(OR($I2559="",$I2559="NR"),0,IFERROR(MATCH($I2559,GradeList,0),0))</f>
        <v>0</v>
      </c>
      <c r="P2559" s="64" t="n">
        <f aca="false">IF(AND($M2559&gt;0,ISNUMBER(MATCH($F2559,Lists!$A$2:$A$5,0)),ISNUMBER(MATCH($G2559,Lists!$B$2:$B$7,0)),OR($H2559="",$N2559&gt;0),OR($I2559="",$I2559="NR",$O2559&gt;0),IF(ISNUMBER($J2559),AND($J2559&gt;=0,$J2559=INT($J2559)),FALSE())),$J2559,0)</f>
        <v>0</v>
      </c>
      <c r="Q2559" s="64" t="n">
        <f aca="false">IF(AND($P2559&gt;0,$O2559&gt;0),$P2559,0)</f>
        <v>0</v>
      </c>
      <c r="R2559" s="64" t="n">
        <f aca="false">IF(AND($Q2559&gt;0,$O2559&gt;=AtRank),$Q2559,0)</f>
        <v>0</v>
      </c>
      <c r="S2559" s="64" t="n">
        <f aca="false">IF(AND($Q2559&gt;0,$O2559&gt;=AboveRank),$Q2559,0)</f>
        <v>0</v>
      </c>
      <c r="T2559" s="64" t="n">
        <f aca="false">IF($K2559="Less",$P2559,0)</f>
        <v>0</v>
      </c>
      <c r="U2559" s="64" t="n">
        <f aca="false">IF($K2559="Expected",$P2559,0)</f>
        <v>0</v>
      </c>
      <c r="V2559" s="64" t="n">
        <f aca="false">IF($K2559="Better",$P2559,0)</f>
        <v>0</v>
      </c>
      <c r="W2559" s="64" t="n">
        <f aca="false">IF($K2559="U – needs rule",$P2559,0)</f>
        <v>0</v>
      </c>
      <c r="X2559" s="64" t="n">
        <f aca="false">IF($K2559="No Start (attainment only)",$P2559,0)</f>
        <v>0</v>
      </c>
    </row>
    <row r="2560" customFormat="false" ht="15" hidden="false" customHeight="false" outlineLevel="0" collapsed="false">
      <c r="A2560" s="60"/>
      <c r="B2560" s="61" t="str">
        <f aca="false">IF($M2560=0,"",INDEX(Classes!$E$6:$E$420,$M2560))</f>
        <v/>
      </c>
      <c r="C2560" s="62" t="str">
        <f aca="false">IF($M2560=0,"",INDEX(Classes!$H$6:$H$420,$M2560))</f>
        <v/>
      </c>
      <c r="D2560" s="61" t="str">
        <f aca="false">IF($M2560=0,"",INDEX(Classes!$B$6:$B$420,$M2560))</f>
        <v/>
      </c>
      <c r="E2560" s="61" t="str">
        <f aca="false">IF($M2560=0,"",INDEX(Classes!$C$6:$C$420,$M2560))</f>
        <v/>
      </c>
      <c r="F2560" s="63"/>
      <c r="G2560" s="63"/>
      <c r="H2560" s="60"/>
      <c r="I2560" s="60"/>
      <c r="J2560" s="63"/>
      <c r="K2560" s="61" t="str">
        <f aca="false">IF($P2560=0,"",IF($F2560="Baseline","— Baseline",IF($O2560=0,"No result",IF($N2560=0,"No Start (attainment only)",IF(OR($N2560=1,$O2560=1),"U – needs rule",INDEX(MxBody,MATCH($I2560,MxCurr,0),MATCH($H2560,MxStart,0)))))))</f>
        <v/>
      </c>
      <c r="L2560" s="62" t="str">
        <f aca="false">IF(COUNTA($A2560,$F2560,$G2560,$H2560,$I2560,$J2560)=0,"",IF($M2560=0,"✖ كود الصف غير موجود",IF(ISNA(MATCH($F2560,Lists!$A$2:$A$5,0)),"✖ الفترة غير صحيحة",IF(ISNA(MATCH($G2560,Lists!$B$2:$B$7,0)),"✖ المجموعة غير صحيحة",IF(NOT(OR($H2560="",$N2560&gt;0)),"✖ Start غير صحيح",IF(NOT(OR($I2560="",$I2560="NR",$O2560&gt;0)),"✖ Current غير صحيح",IF(NOT(IF(ISNUMBER($J2560),AND($J2560&gt;=0,$J2560=INT($J2560)),FALSE())),"✖ العدد يجب أن يكون صحيحًا ≥ 0",IF(AND($F2560="Baseline",$H2560&lt;&gt;""),"⚠ Baseline: Start لا يدخل في التقدم",IF($K2560="No Start (attainment only)","ℹ تحصيل فقط (بدون Start)",IF($K2560="U – needs rule","ℹ حالة U تحتاج قاعدة معتمدة",IF($K2560="No result","ℹ بدون نتيجة (يُستبعد من التحصيل)","OK")))))))))))</f>
        <v/>
      </c>
      <c r="M2560" s="64" t="n">
        <f aca="false">IF($A2560="",0,IFERROR(MATCH($A2560,Classes!$A$6:$A$420,0),0))</f>
        <v>0</v>
      </c>
      <c r="N2560" s="64" t="n">
        <f aca="false">IF($H2560="",0,IFERROR(MATCH($H2560,GradeList,0),0))</f>
        <v>0</v>
      </c>
      <c r="O2560" s="64" t="n">
        <f aca="false">IF(OR($I2560="",$I2560="NR"),0,IFERROR(MATCH($I2560,GradeList,0),0))</f>
        <v>0</v>
      </c>
      <c r="P2560" s="64" t="n">
        <f aca="false">IF(AND($M2560&gt;0,ISNUMBER(MATCH($F2560,Lists!$A$2:$A$5,0)),ISNUMBER(MATCH($G2560,Lists!$B$2:$B$7,0)),OR($H2560="",$N2560&gt;0),OR($I2560="",$I2560="NR",$O2560&gt;0),IF(ISNUMBER($J2560),AND($J2560&gt;=0,$J2560=INT($J2560)),FALSE())),$J2560,0)</f>
        <v>0</v>
      </c>
      <c r="Q2560" s="64" t="n">
        <f aca="false">IF(AND($P2560&gt;0,$O2560&gt;0),$P2560,0)</f>
        <v>0</v>
      </c>
      <c r="R2560" s="64" t="n">
        <f aca="false">IF(AND($Q2560&gt;0,$O2560&gt;=AtRank),$Q2560,0)</f>
        <v>0</v>
      </c>
      <c r="S2560" s="64" t="n">
        <f aca="false">IF(AND($Q2560&gt;0,$O2560&gt;=AboveRank),$Q2560,0)</f>
        <v>0</v>
      </c>
      <c r="T2560" s="64" t="n">
        <f aca="false">IF($K2560="Less",$P2560,0)</f>
        <v>0</v>
      </c>
      <c r="U2560" s="64" t="n">
        <f aca="false">IF($K2560="Expected",$P2560,0)</f>
        <v>0</v>
      </c>
      <c r="V2560" s="64" t="n">
        <f aca="false">IF($K2560="Better",$P2560,0)</f>
        <v>0</v>
      </c>
      <c r="W2560" s="64" t="n">
        <f aca="false">IF($K2560="U – needs rule",$P2560,0)</f>
        <v>0</v>
      </c>
      <c r="X2560" s="64" t="n">
        <f aca="false">IF($K2560="No Start (attainment only)",$P2560,0)</f>
        <v>0</v>
      </c>
    </row>
    <row r="2561" customFormat="false" ht="15" hidden="false" customHeight="false" outlineLevel="0" collapsed="false">
      <c r="A2561" s="60"/>
      <c r="B2561" s="61" t="str">
        <f aca="false">IF($M2561=0,"",INDEX(Classes!$E$6:$E$420,$M2561))</f>
        <v/>
      </c>
      <c r="C2561" s="62" t="str">
        <f aca="false">IF($M2561=0,"",INDEX(Classes!$H$6:$H$420,$M2561))</f>
        <v/>
      </c>
      <c r="D2561" s="61" t="str">
        <f aca="false">IF($M2561=0,"",INDEX(Classes!$B$6:$B$420,$M2561))</f>
        <v/>
      </c>
      <c r="E2561" s="61" t="str">
        <f aca="false">IF($M2561=0,"",INDEX(Classes!$C$6:$C$420,$M2561))</f>
        <v/>
      </c>
      <c r="F2561" s="63"/>
      <c r="G2561" s="63"/>
      <c r="H2561" s="60"/>
      <c r="I2561" s="60"/>
      <c r="J2561" s="63"/>
      <c r="K2561" s="61" t="str">
        <f aca="false">IF($P2561=0,"",IF($F2561="Baseline","— Baseline",IF($O2561=0,"No result",IF($N2561=0,"No Start (attainment only)",IF(OR($N2561=1,$O2561=1),"U – needs rule",INDEX(MxBody,MATCH($I2561,MxCurr,0),MATCH($H2561,MxStart,0)))))))</f>
        <v/>
      </c>
      <c r="L2561" s="62" t="str">
        <f aca="false">IF(COUNTA($A2561,$F2561,$G2561,$H2561,$I2561,$J2561)=0,"",IF($M2561=0,"✖ كود الصف غير موجود",IF(ISNA(MATCH($F2561,Lists!$A$2:$A$5,0)),"✖ الفترة غير صحيحة",IF(ISNA(MATCH($G2561,Lists!$B$2:$B$7,0)),"✖ المجموعة غير صحيحة",IF(NOT(OR($H2561="",$N2561&gt;0)),"✖ Start غير صحيح",IF(NOT(OR($I2561="",$I2561="NR",$O2561&gt;0)),"✖ Current غير صحيح",IF(NOT(IF(ISNUMBER($J2561),AND($J2561&gt;=0,$J2561=INT($J2561)),FALSE())),"✖ العدد يجب أن يكون صحيحًا ≥ 0",IF(AND($F2561="Baseline",$H2561&lt;&gt;""),"⚠ Baseline: Start لا يدخل في التقدم",IF($K2561="No Start (attainment only)","ℹ تحصيل فقط (بدون Start)",IF($K2561="U – needs rule","ℹ حالة U تحتاج قاعدة معتمدة",IF($K2561="No result","ℹ بدون نتيجة (يُستبعد من التحصيل)","OK")))))))))))</f>
        <v/>
      </c>
      <c r="M2561" s="64" t="n">
        <f aca="false">IF($A2561="",0,IFERROR(MATCH($A2561,Classes!$A$6:$A$420,0),0))</f>
        <v>0</v>
      </c>
      <c r="N2561" s="64" t="n">
        <f aca="false">IF($H2561="",0,IFERROR(MATCH($H2561,GradeList,0),0))</f>
        <v>0</v>
      </c>
      <c r="O2561" s="64" t="n">
        <f aca="false">IF(OR($I2561="",$I2561="NR"),0,IFERROR(MATCH($I2561,GradeList,0),0))</f>
        <v>0</v>
      </c>
      <c r="P2561" s="64" t="n">
        <f aca="false">IF(AND($M2561&gt;0,ISNUMBER(MATCH($F2561,Lists!$A$2:$A$5,0)),ISNUMBER(MATCH($G2561,Lists!$B$2:$B$7,0)),OR($H2561="",$N2561&gt;0),OR($I2561="",$I2561="NR",$O2561&gt;0),IF(ISNUMBER($J2561),AND($J2561&gt;=0,$J2561=INT($J2561)),FALSE())),$J2561,0)</f>
        <v>0</v>
      </c>
      <c r="Q2561" s="64" t="n">
        <f aca="false">IF(AND($P2561&gt;0,$O2561&gt;0),$P2561,0)</f>
        <v>0</v>
      </c>
      <c r="R2561" s="64" t="n">
        <f aca="false">IF(AND($Q2561&gt;0,$O2561&gt;=AtRank),$Q2561,0)</f>
        <v>0</v>
      </c>
      <c r="S2561" s="64" t="n">
        <f aca="false">IF(AND($Q2561&gt;0,$O2561&gt;=AboveRank),$Q2561,0)</f>
        <v>0</v>
      </c>
      <c r="T2561" s="64" t="n">
        <f aca="false">IF($K2561="Less",$P2561,0)</f>
        <v>0</v>
      </c>
      <c r="U2561" s="64" t="n">
        <f aca="false">IF($K2561="Expected",$P2561,0)</f>
        <v>0</v>
      </c>
      <c r="V2561" s="64" t="n">
        <f aca="false">IF($K2561="Better",$P2561,0)</f>
        <v>0</v>
      </c>
      <c r="W2561" s="64" t="n">
        <f aca="false">IF($K2561="U – needs rule",$P2561,0)</f>
        <v>0</v>
      </c>
      <c r="X2561" s="64" t="n">
        <f aca="false">IF($K2561="No Start (attainment only)",$P2561,0)</f>
        <v>0</v>
      </c>
    </row>
    <row r="2562" customFormat="false" ht="15" hidden="false" customHeight="false" outlineLevel="0" collapsed="false">
      <c r="A2562" s="60"/>
      <c r="B2562" s="61" t="str">
        <f aca="false">IF($M2562=0,"",INDEX(Classes!$E$6:$E$420,$M2562))</f>
        <v/>
      </c>
      <c r="C2562" s="62" t="str">
        <f aca="false">IF($M2562=0,"",INDEX(Classes!$H$6:$H$420,$M2562))</f>
        <v/>
      </c>
      <c r="D2562" s="61" t="str">
        <f aca="false">IF($M2562=0,"",INDEX(Classes!$B$6:$B$420,$M2562))</f>
        <v/>
      </c>
      <c r="E2562" s="61" t="str">
        <f aca="false">IF($M2562=0,"",INDEX(Classes!$C$6:$C$420,$M2562))</f>
        <v/>
      </c>
      <c r="F2562" s="63"/>
      <c r="G2562" s="63"/>
      <c r="H2562" s="60"/>
      <c r="I2562" s="60"/>
      <c r="J2562" s="63"/>
      <c r="K2562" s="61" t="str">
        <f aca="false">IF($P2562=0,"",IF($F2562="Baseline","— Baseline",IF($O2562=0,"No result",IF($N2562=0,"No Start (attainment only)",IF(OR($N2562=1,$O2562=1),"U – needs rule",INDEX(MxBody,MATCH($I2562,MxCurr,0),MATCH($H2562,MxStart,0)))))))</f>
        <v/>
      </c>
      <c r="L2562" s="62" t="str">
        <f aca="false">IF(COUNTA($A2562,$F2562,$G2562,$H2562,$I2562,$J2562)=0,"",IF($M2562=0,"✖ كود الصف غير موجود",IF(ISNA(MATCH($F2562,Lists!$A$2:$A$5,0)),"✖ الفترة غير صحيحة",IF(ISNA(MATCH($G2562,Lists!$B$2:$B$7,0)),"✖ المجموعة غير صحيحة",IF(NOT(OR($H2562="",$N2562&gt;0)),"✖ Start غير صحيح",IF(NOT(OR($I2562="",$I2562="NR",$O2562&gt;0)),"✖ Current غير صحيح",IF(NOT(IF(ISNUMBER($J2562),AND($J2562&gt;=0,$J2562=INT($J2562)),FALSE())),"✖ العدد يجب أن يكون صحيحًا ≥ 0",IF(AND($F2562="Baseline",$H2562&lt;&gt;""),"⚠ Baseline: Start لا يدخل في التقدم",IF($K2562="No Start (attainment only)","ℹ تحصيل فقط (بدون Start)",IF($K2562="U – needs rule","ℹ حالة U تحتاج قاعدة معتمدة",IF($K2562="No result","ℹ بدون نتيجة (يُستبعد من التحصيل)","OK")))))))))))</f>
        <v/>
      </c>
      <c r="M2562" s="64" t="n">
        <f aca="false">IF($A2562="",0,IFERROR(MATCH($A2562,Classes!$A$6:$A$420,0),0))</f>
        <v>0</v>
      </c>
      <c r="N2562" s="64" t="n">
        <f aca="false">IF($H2562="",0,IFERROR(MATCH($H2562,GradeList,0),0))</f>
        <v>0</v>
      </c>
      <c r="O2562" s="64" t="n">
        <f aca="false">IF(OR($I2562="",$I2562="NR"),0,IFERROR(MATCH($I2562,GradeList,0),0))</f>
        <v>0</v>
      </c>
      <c r="P2562" s="64" t="n">
        <f aca="false">IF(AND($M2562&gt;0,ISNUMBER(MATCH($F2562,Lists!$A$2:$A$5,0)),ISNUMBER(MATCH($G2562,Lists!$B$2:$B$7,0)),OR($H2562="",$N2562&gt;0),OR($I2562="",$I2562="NR",$O2562&gt;0),IF(ISNUMBER($J2562),AND($J2562&gt;=0,$J2562=INT($J2562)),FALSE())),$J2562,0)</f>
        <v>0</v>
      </c>
      <c r="Q2562" s="64" t="n">
        <f aca="false">IF(AND($P2562&gt;0,$O2562&gt;0),$P2562,0)</f>
        <v>0</v>
      </c>
      <c r="R2562" s="64" t="n">
        <f aca="false">IF(AND($Q2562&gt;0,$O2562&gt;=AtRank),$Q2562,0)</f>
        <v>0</v>
      </c>
      <c r="S2562" s="64" t="n">
        <f aca="false">IF(AND($Q2562&gt;0,$O2562&gt;=AboveRank),$Q2562,0)</f>
        <v>0</v>
      </c>
      <c r="T2562" s="64" t="n">
        <f aca="false">IF($K2562="Less",$P2562,0)</f>
        <v>0</v>
      </c>
      <c r="U2562" s="64" t="n">
        <f aca="false">IF($K2562="Expected",$P2562,0)</f>
        <v>0</v>
      </c>
      <c r="V2562" s="64" t="n">
        <f aca="false">IF($K2562="Better",$P2562,0)</f>
        <v>0</v>
      </c>
      <c r="W2562" s="64" t="n">
        <f aca="false">IF($K2562="U – needs rule",$P2562,0)</f>
        <v>0</v>
      </c>
      <c r="X2562" s="64" t="n">
        <f aca="false">IF($K2562="No Start (attainment only)",$P2562,0)</f>
        <v>0</v>
      </c>
    </row>
    <row r="2563" customFormat="false" ht="15" hidden="false" customHeight="false" outlineLevel="0" collapsed="false">
      <c r="A2563" s="60"/>
      <c r="B2563" s="61" t="str">
        <f aca="false">IF($M2563=0,"",INDEX(Classes!$E$6:$E$420,$M2563))</f>
        <v/>
      </c>
      <c r="C2563" s="62" t="str">
        <f aca="false">IF($M2563=0,"",INDEX(Classes!$H$6:$H$420,$M2563))</f>
        <v/>
      </c>
      <c r="D2563" s="61" t="str">
        <f aca="false">IF($M2563=0,"",INDEX(Classes!$B$6:$B$420,$M2563))</f>
        <v/>
      </c>
      <c r="E2563" s="61" t="str">
        <f aca="false">IF($M2563=0,"",INDEX(Classes!$C$6:$C$420,$M2563))</f>
        <v/>
      </c>
      <c r="F2563" s="63"/>
      <c r="G2563" s="63"/>
      <c r="H2563" s="60"/>
      <c r="I2563" s="60"/>
      <c r="J2563" s="63"/>
      <c r="K2563" s="61" t="str">
        <f aca="false">IF($P2563=0,"",IF($F2563="Baseline","— Baseline",IF($O2563=0,"No result",IF($N2563=0,"No Start (attainment only)",IF(OR($N2563=1,$O2563=1),"U – needs rule",INDEX(MxBody,MATCH($I2563,MxCurr,0),MATCH($H2563,MxStart,0)))))))</f>
        <v/>
      </c>
      <c r="L2563" s="62" t="str">
        <f aca="false">IF(COUNTA($A2563,$F2563,$G2563,$H2563,$I2563,$J2563)=0,"",IF($M2563=0,"✖ كود الصف غير موجود",IF(ISNA(MATCH($F2563,Lists!$A$2:$A$5,0)),"✖ الفترة غير صحيحة",IF(ISNA(MATCH($G2563,Lists!$B$2:$B$7,0)),"✖ المجموعة غير صحيحة",IF(NOT(OR($H2563="",$N2563&gt;0)),"✖ Start غير صحيح",IF(NOT(OR($I2563="",$I2563="NR",$O2563&gt;0)),"✖ Current غير صحيح",IF(NOT(IF(ISNUMBER($J2563),AND($J2563&gt;=0,$J2563=INT($J2563)),FALSE())),"✖ العدد يجب أن يكون صحيحًا ≥ 0",IF(AND($F2563="Baseline",$H2563&lt;&gt;""),"⚠ Baseline: Start لا يدخل في التقدم",IF($K2563="No Start (attainment only)","ℹ تحصيل فقط (بدون Start)",IF($K2563="U – needs rule","ℹ حالة U تحتاج قاعدة معتمدة",IF($K2563="No result","ℹ بدون نتيجة (يُستبعد من التحصيل)","OK")))))))))))</f>
        <v/>
      </c>
      <c r="M2563" s="64" t="n">
        <f aca="false">IF($A2563="",0,IFERROR(MATCH($A2563,Classes!$A$6:$A$420,0),0))</f>
        <v>0</v>
      </c>
      <c r="N2563" s="64" t="n">
        <f aca="false">IF($H2563="",0,IFERROR(MATCH($H2563,GradeList,0),0))</f>
        <v>0</v>
      </c>
      <c r="O2563" s="64" t="n">
        <f aca="false">IF(OR($I2563="",$I2563="NR"),0,IFERROR(MATCH($I2563,GradeList,0),0))</f>
        <v>0</v>
      </c>
      <c r="P2563" s="64" t="n">
        <f aca="false">IF(AND($M2563&gt;0,ISNUMBER(MATCH($F2563,Lists!$A$2:$A$5,0)),ISNUMBER(MATCH($G2563,Lists!$B$2:$B$7,0)),OR($H2563="",$N2563&gt;0),OR($I2563="",$I2563="NR",$O2563&gt;0),IF(ISNUMBER($J2563),AND($J2563&gt;=0,$J2563=INT($J2563)),FALSE())),$J2563,0)</f>
        <v>0</v>
      </c>
      <c r="Q2563" s="64" t="n">
        <f aca="false">IF(AND($P2563&gt;0,$O2563&gt;0),$P2563,0)</f>
        <v>0</v>
      </c>
      <c r="R2563" s="64" t="n">
        <f aca="false">IF(AND($Q2563&gt;0,$O2563&gt;=AtRank),$Q2563,0)</f>
        <v>0</v>
      </c>
      <c r="S2563" s="64" t="n">
        <f aca="false">IF(AND($Q2563&gt;0,$O2563&gt;=AboveRank),$Q2563,0)</f>
        <v>0</v>
      </c>
      <c r="T2563" s="64" t="n">
        <f aca="false">IF($K2563="Less",$P2563,0)</f>
        <v>0</v>
      </c>
      <c r="U2563" s="64" t="n">
        <f aca="false">IF($K2563="Expected",$P2563,0)</f>
        <v>0</v>
      </c>
      <c r="V2563" s="64" t="n">
        <f aca="false">IF($K2563="Better",$P2563,0)</f>
        <v>0</v>
      </c>
      <c r="W2563" s="64" t="n">
        <f aca="false">IF($K2563="U – needs rule",$P2563,0)</f>
        <v>0</v>
      </c>
      <c r="X2563" s="64" t="n">
        <f aca="false">IF($K2563="No Start (attainment only)",$P2563,0)</f>
        <v>0</v>
      </c>
    </row>
    <row r="2564" customFormat="false" ht="15" hidden="false" customHeight="false" outlineLevel="0" collapsed="false">
      <c r="A2564" s="60"/>
      <c r="B2564" s="61" t="str">
        <f aca="false">IF($M2564=0,"",INDEX(Classes!$E$6:$E$420,$M2564))</f>
        <v/>
      </c>
      <c r="C2564" s="62" t="str">
        <f aca="false">IF($M2564=0,"",INDEX(Classes!$H$6:$H$420,$M2564))</f>
        <v/>
      </c>
      <c r="D2564" s="61" t="str">
        <f aca="false">IF($M2564=0,"",INDEX(Classes!$B$6:$B$420,$M2564))</f>
        <v/>
      </c>
      <c r="E2564" s="61" t="str">
        <f aca="false">IF($M2564=0,"",INDEX(Classes!$C$6:$C$420,$M2564))</f>
        <v/>
      </c>
      <c r="F2564" s="63"/>
      <c r="G2564" s="63"/>
      <c r="H2564" s="60"/>
      <c r="I2564" s="60"/>
      <c r="J2564" s="63"/>
      <c r="K2564" s="61" t="str">
        <f aca="false">IF($P2564=0,"",IF($F2564="Baseline","— Baseline",IF($O2564=0,"No result",IF($N2564=0,"No Start (attainment only)",IF(OR($N2564=1,$O2564=1),"U – needs rule",INDEX(MxBody,MATCH($I2564,MxCurr,0),MATCH($H2564,MxStart,0)))))))</f>
        <v/>
      </c>
      <c r="L2564" s="62" t="str">
        <f aca="false">IF(COUNTA($A2564,$F2564,$G2564,$H2564,$I2564,$J2564)=0,"",IF($M2564=0,"✖ كود الصف غير موجود",IF(ISNA(MATCH($F2564,Lists!$A$2:$A$5,0)),"✖ الفترة غير صحيحة",IF(ISNA(MATCH($G2564,Lists!$B$2:$B$7,0)),"✖ المجموعة غير صحيحة",IF(NOT(OR($H2564="",$N2564&gt;0)),"✖ Start غير صحيح",IF(NOT(OR($I2564="",$I2564="NR",$O2564&gt;0)),"✖ Current غير صحيح",IF(NOT(IF(ISNUMBER($J2564),AND($J2564&gt;=0,$J2564=INT($J2564)),FALSE())),"✖ العدد يجب أن يكون صحيحًا ≥ 0",IF(AND($F2564="Baseline",$H2564&lt;&gt;""),"⚠ Baseline: Start لا يدخل في التقدم",IF($K2564="No Start (attainment only)","ℹ تحصيل فقط (بدون Start)",IF($K2564="U – needs rule","ℹ حالة U تحتاج قاعدة معتمدة",IF($K2564="No result","ℹ بدون نتيجة (يُستبعد من التحصيل)","OK")))))))))))</f>
        <v/>
      </c>
      <c r="M2564" s="64" t="n">
        <f aca="false">IF($A2564="",0,IFERROR(MATCH($A2564,Classes!$A$6:$A$420,0),0))</f>
        <v>0</v>
      </c>
      <c r="N2564" s="64" t="n">
        <f aca="false">IF($H2564="",0,IFERROR(MATCH($H2564,GradeList,0),0))</f>
        <v>0</v>
      </c>
      <c r="O2564" s="64" t="n">
        <f aca="false">IF(OR($I2564="",$I2564="NR"),0,IFERROR(MATCH($I2564,GradeList,0),0))</f>
        <v>0</v>
      </c>
      <c r="P2564" s="64" t="n">
        <f aca="false">IF(AND($M2564&gt;0,ISNUMBER(MATCH($F2564,Lists!$A$2:$A$5,0)),ISNUMBER(MATCH($G2564,Lists!$B$2:$B$7,0)),OR($H2564="",$N2564&gt;0),OR($I2564="",$I2564="NR",$O2564&gt;0),IF(ISNUMBER($J2564),AND($J2564&gt;=0,$J2564=INT($J2564)),FALSE())),$J2564,0)</f>
        <v>0</v>
      </c>
      <c r="Q2564" s="64" t="n">
        <f aca="false">IF(AND($P2564&gt;0,$O2564&gt;0),$P2564,0)</f>
        <v>0</v>
      </c>
      <c r="R2564" s="64" t="n">
        <f aca="false">IF(AND($Q2564&gt;0,$O2564&gt;=AtRank),$Q2564,0)</f>
        <v>0</v>
      </c>
      <c r="S2564" s="64" t="n">
        <f aca="false">IF(AND($Q2564&gt;0,$O2564&gt;=AboveRank),$Q2564,0)</f>
        <v>0</v>
      </c>
      <c r="T2564" s="64" t="n">
        <f aca="false">IF($K2564="Less",$P2564,0)</f>
        <v>0</v>
      </c>
      <c r="U2564" s="64" t="n">
        <f aca="false">IF($K2564="Expected",$P2564,0)</f>
        <v>0</v>
      </c>
      <c r="V2564" s="64" t="n">
        <f aca="false">IF($K2564="Better",$P2564,0)</f>
        <v>0</v>
      </c>
      <c r="W2564" s="64" t="n">
        <f aca="false">IF($K2564="U – needs rule",$P2564,0)</f>
        <v>0</v>
      </c>
      <c r="X2564" s="64" t="n">
        <f aca="false">IF($K2564="No Start (attainment only)",$P2564,0)</f>
        <v>0</v>
      </c>
    </row>
    <row r="2565" customFormat="false" ht="15" hidden="false" customHeight="false" outlineLevel="0" collapsed="false">
      <c r="A2565" s="60"/>
      <c r="B2565" s="61" t="str">
        <f aca="false">IF($M2565=0,"",INDEX(Classes!$E$6:$E$420,$M2565))</f>
        <v/>
      </c>
      <c r="C2565" s="62" t="str">
        <f aca="false">IF($M2565=0,"",INDEX(Classes!$H$6:$H$420,$M2565))</f>
        <v/>
      </c>
      <c r="D2565" s="61" t="str">
        <f aca="false">IF($M2565=0,"",INDEX(Classes!$B$6:$B$420,$M2565))</f>
        <v/>
      </c>
      <c r="E2565" s="61" t="str">
        <f aca="false">IF($M2565=0,"",INDEX(Classes!$C$6:$C$420,$M2565))</f>
        <v/>
      </c>
      <c r="F2565" s="63"/>
      <c r="G2565" s="63"/>
      <c r="H2565" s="60"/>
      <c r="I2565" s="60"/>
      <c r="J2565" s="63"/>
      <c r="K2565" s="61" t="str">
        <f aca="false">IF($P2565=0,"",IF($F2565="Baseline","— Baseline",IF($O2565=0,"No result",IF($N2565=0,"No Start (attainment only)",IF(OR($N2565=1,$O2565=1),"U – needs rule",INDEX(MxBody,MATCH($I2565,MxCurr,0),MATCH($H2565,MxStart,0)))))))</f>
        <v/>
      </c>
      <c r="L2565" s="62" t="str">
        <f aca="false">IF(COUNTA($A2565,$F2565,$G2565,$H2565,$I2565,$J2565)=0,"",IF($M2565=0,"✖ كود الصف غير موجود",IF(ISNA(MATCH($F2565,Lists!$A$2:$A$5,0)),"✖ الفترة غير صحيحة",IF(ISNA(MATCH($G2565,Lists!$B$2:$B$7,0)),"✖ المجموعة غير صحيحة",IF(NOT(OR($H2565="",$N2565&gt;0)),"✖ Start غير صحيح",IF(NOT(OR($I2565="",$I2565="NR",$O2565&gt;0)),"✖ Current غير صحيح",IF(NOT(IF(ISNUMBER($J2565),AND($J2565&gt;=0,$J2565=INT($J2565)),FALSE())),"✖ العدد يجب أن يكون صحيحًا ≥ 0",IF(AND($F2565="Baseline",$H2565&lt;&gt;""),"⚠ Baseline: Start لا يدخل في التقدم",IF($K2565="No Start (attainment only)","ℹ تحصيل فقط (بدون Start)",IF($K2565="U – needs rule","ℹ حالة U تحتاج قاعدة معتمدة",IF($K2565="No result","ℹ بدون نتيجة (يُستبعد من التحصيل)","OK")))))))))))</f>
        <v/>
      </c>
      <c r="M2565" s="64" t="n">
        <f aca="false">IF($A2565="",0,IFERROR(MATCH($A2565,Classes!$A$6:$A$420,0),0))</f>
        <v>0</v>
      </c>
      <c r="N2565" s="64" t="n">
        <f aca="false">IF($H2565="",0,IFERROR(MATCH($H2565,GradeList,0),0))</f>
        <v>0</v>
      </c>
      <c r="O2565" s="64" t="n">
        <f aca="false">IF(OR($I2565="",$I2565="NR"),0,IFERROR(MATCH($I2565,GradeList,0),0))</f>
        <v>0</v>
      </c>
      <c r="P2565" s="64" t="n">
        <f aca="false">IF(AND($M2565&gt;0,ISNUMBER(MATCH($F2565,Lists!$A$2:$A$5,0)),ISNUMBER(MATCH($G2565,Lists!$B$2:$B$7,0)),OR($H2565="",$N2565&gt;0),OR($I2565="",$I2565="NR",$O2565&gt;0),IF(ISNUMBER($J2565),AND($J2565&gt;=0,$J2565=INT($J2565)),FALSE())),$J2565,0)</f>
        <v>0</v>
      </c>
      <c r="Q2565" s="64" t="n">
        <f aca="false">IF(AND($P2565&gt;0,$O2565&gt;0),$P2565,0)</f>
        <v>0</v>
      </c>
      <c r="R2565" s="64" t="n">
        <f aca="false">IF(AND($Q2565&gt;0,$O2565&gt;=AtRank),$Q2565,0)</f>
        <v>0</v>
      </c>
      <c r="S2565" s="64" t="n">
        <f aca="false">IF(AND($Q2565&gt;0,$O2565&gt;=AboveRank),$Q2565,0)</f>
        <v>0</v>
      </c>
      <c r="T2565" s="64" t="n">
        <f aca="false">IF($K2565="Less",$P2565,0)</f>
        <v>0</v>
      </c>
      <c r="U2565" s="64" t="n">
        <f aca="false">IF($K2565="Expected",$P2565,0)</f>
        <v>0</v>
      </c>
      <c r="V2565" s="64" t="n">
        <f aca="false">IF($K2565="Better",$P2565,0)</f>
        <v>0</v>
      </c>
      <c r="W2565" s="64" t="n">
        <f aca="false">IF($K2565="U – needs rule",$P2565,0)</f>
        <v>0</v>
      </c>
      <c r="X2565" s="64" t="n">
        <f aca="false">IF($K2565="No Start (attainment only)",$P2565,0)</f>
        <v>0</v>
      </c>
    </row>
    <row r="2566" customFormat="false" ht="15" hidden="false" customHeight="false" outlineLevel="0" collapsed="false">
      <c r="A2566" s="60"/>
      <c r="B2566" s="61" t="str">
        <f aca="false">IF($M2566=0,"",INDEX(Classes!$E$6:$E$420,$M2566))</f>
        <v/>
      </c>
      <c r="C2566" s="62" t="str">
        <f aca="false">IF($M2566=0,"",INDEX(Classes!$H$6:$H$420,$M2566))</f>
        <v/>
      </c>
      <c r="D2566" s="61" t="str">
        <f aca="false">IF($M2566=0,"",INDEX(Classes!$B$6:$B$420,$M2566))</f>
        <v/>
      </c>
      <c r="E2566" s="61" t="str">
        <f aca="false">IF($M2566=0,"",INDEX(Classes!$C$6:$C$420,$M2566))</f>
        <v/>
      </c>
      <c r="F2566" s="63"/>
      <c r="G2566" s="63"/>
      <c r="H2566" s="60"/>
      <c r="I2566" s="60"/>
      <c r="J2566" s="63"/>
      <c r="K2566" s="61" t="str">
        <f aca="false">IF($P2566=0,"",IF($F2566="Baseline","— Baseline",IF($O2566=0,"No result",IF($N2566=0,"No Start (attainment only)",IF(OR($N2566=1,$O2566=1),"U – needs rule",INDEX(MxBody,MATCH($I2566,MxCurr,0),MATCH($H2566,MxStart,0)))))))</f>
        <v/>
      </c>
      <c r="L2566" s="62" t="str">
        <f aca="false">IF(COUNTA($A2566,$F2566,$G2566,$H2566,$I2566,$J2566)=0,"",IF($M2566=0,"✖ كود الصف غير موجود",IF(ISNA(MATCH($F2566,Lists!$A$2:$A$5,0)),"✖ الفترة غير صحيحة",IF(ISNA(MATCH($G2566,Lists!$B$2:$B$7,0)),"✖ المجموعة غير صحيحة",IF(NOT(OR($H2566="",$N2566&gt;0)),"✖ Start غير صحيح",IF(NOT(OR($I2566="",$I2566="NR",$O2566&gt;0)),"✖ Current غير صحيح",IF(NOT(IF(ISNUMBER($J2566),AND($J2566&gt;=0,$J2566=INT($J2566)),FALSE())),"✖ العدد يجب أن يكون صحيحًا ≥ 0",IF(AND($F2566="Baseline",$H2566&lt;&gt;""),"⚠ Baseline: Start لا يدخل في التقدم",IF($K2566="No Start (attainment only)","ℹ تحصيل فقط (بدون Start)",IF($K2566="U – needs rule","ℹ حالة U تحتاج قاعدة معتمدة",IF($K2566="No result","ℹ بدون نتيجة (يُستبعد من التحصيل)","OK")))))))))))</f>
        <v/>
      </c>
      <c r="M2566" s="64" t="n">
        <f aca="false">IF($A2566="",0,IFERROR(MATCH($A2566,Classes!$A$6:$A$420,0),0))</f>
        <v>0</v>
      </c>
      <c r="N2566" s="64" t="n">
        <f aca="false">IF($H2566="",0,IFERROR(MATCH($H2566,GradeList,0),0))</f>
        <v>0</v>
      </c>
      <c r="O2566" s="64" t="n">
        <f aca="false">IF(OR($I2566="",$I2566="NR"),0,IFERROR(MATCH($I2566,GradeList,0),0))</f>
        <v>0</v>
      </c>
      <c r="P2566" s="64" t="n">
        <f aca="false">IF(AND($M2566&gt;0,ISNUMBER(MATCH($F2566,Lists!$A$2:$A$5,0)),ISNUMBER(MATCH($G2566,Lists!$B$2:$B$7,0)),OR($H2566="",$N2566&gt;0),OR($I2566="",$I2566="NR",$O2566&gt;0),IF(ISNUMBER($J2566),AND($J2566&gt;=0,$J2566=INT($J2566)),FALSE())),$J2566,0)</f>
        <v>0</v>
      </c>
      <c r="Q2566" s="64" t="n">
        <f aca="false">IF(AND($P2566&gt;0,$O2566&gt;0),$P2566,0)</f>
        <v>0</v>
      </c>
      <c r="R2566" s="64" t="n">
        <f aca="false">IF(AND($Q2566&gt;0,$O2566&gt;=AtRank),$Q2566,0)</f>
        <v>0</v>
      </c>
      <c r="S2566" s="64" t="n">
        <f aca="false">IF(AND($Q2566&gt;0,$O2566&gt;=AboveRank),$Q2566,0)</f>
        <v>0</v>
      </c>
      <c r="T2566" s="64" t="n">
        <f aca="false">IF($K2566="Less",$P2566,0)</f>
        <v>0</v>
      </c>
      <c r="U2566" s="64" t="n">
        <f aca="false">IF($K2566="Expected",$P2566,0)</f>
        <v>0</v>
      </c>
      <c r="V2566" s="64" t="n">
        <f aca="false">IF($K2566="Better",$P2566,0)</f>
        <v>0</v>
      </c>
      <c r="W2566" s="64" t="n">
        <f aca="false">IF($K2566="U – needs rule",$P2566,0)</f>
        <v>0</v>
      </c>
      <c r="X2566" s="64" t="n">
        <f aca="false">IF($K2566="No Start (attainment only)",$P2566,0)</f>
        <v>0</v>
      </c>
    </row>
    <row r="2567" customFormat="false" ht="15" hidden="false" customHeight="false" outlineLevel="0" collapsed="false">
      <c r="A2567" s="60"/>
      <c r="B2567" s="61" t="str">
        <f aca="false">IF($M2567=0,"",INDEX(Classes!$E$6:$E$420,$M2567))</f>
        <v/>
      </c>
      <c r="C2567" s="62" t="str">
        <f aca="false">IF($M2567=0,"",INDEX(Classes!$H$6:$H$420,$M2567))</f>
        <v/>
      </c>
      <c r="D2567" s="61" t="str">
        <f aca="false">IF($M2567=0,"",INDEX(Classes!$B$6:$B$420,$M2567))</f>
        <v/>
      </c>
      <c r="E2567" s="61" t="str">
        <f aca="false">IF($M2567=0,"",INDEX(Classes!$C$6:$C$420,$M2567))</f>
        <v/>
      </c>
      <c r="F2567" s="63"/>
      <c r="G2567" s="63"/>
      <c r="H2567" s="60"/>
      <c r="I2567" s="60"/>
      <c r="J2567" s="63"/>
      <c r="K2567" s="61" t="str">
        <f aca="false">IF($P2567=0,"",IF($F2567="Baseline","— Baseline",IF($O2567=0,"No result",IF($N2567=0,"No Start (attainment only)",IF(OR($N2567=1,$O2567=1),"U – needs rule",INDEX(MxBody,MATCH($I2567,MxCurr,0),MATCH($H2567,MxStart,0)))))))</f>
        <v/>
      </c>
      <c r="L2567" s="62" t="str">
        <f aca="false">IF(COUNTA($A2567,$F2567,$G2567,$H2567,$I2567,$J2567)=0,"",IF($M2567=0,"✖ كود الصف غير موجود",IF(ISNA(MATCH($F2567,Lists!$A$2:$A$5,0)),"✖ الفترة غير صحيحة",IF(ISNA(MATCH($G2567,Lists!$B$2:$B$7,0)),"✖ المجموعة غير صحيحة",IF(NOT(OR($H2567="",$N2567&gt;0)),"✖ Start غير صحيح",IF(NOT(OR($I2567="",$I2567="NR",$O2567&gt;0)),"✖ Current غير صحيح",IF(NOT(IF(ISNUMBER($J2567),AND($J2567&gt;=0,$J2567=INT($J2567)),FALSE())),"✖ العدد يجب أن يكون صحيحًا ≥ 0",IF(AND($F2567="Baseline",$H2567&lt;&gt;""),"⚠ Baseline: Start لا يدخل في التقدم",IF($K2567="No Start (attainment only)","ℹ تحصيل فقط (بدون Start)",IF($K2567="U – needs rule","ℹ حالة U تحتاج قاعدة معتمدة",IF($K2567="No result","ℹ بدون نتيجة (يُستبعد من التحصيل)","OK")))))))))))</f>
        <v/>
      </c>
      <c r="M2567" s="64" t="n">
        <f aca="false">IF($A2567="",0,IFERROR(MATCH($A2567,Classes!$A$6:$A$420,0),0))</f>
        <v>0</v>
      </c>
      <c r="N2567" s="64" t="n">
        <f aca="false">IF($H2567="",0,IFERROR(MATCH($H2567,GradeList,0),0))</f>
        <v>0</v>
      </c>
      <c r="O2567" s="64" t="n">
        <f aca="false">IF(OR($I2567="",$I2567="NR"),0,IFERROR(MATCH($I2567,GradeList,0),0))</f>
        <v>0</v>
      </c>
      <c r="P2567" s="64" t="n">
        <f aca="false">IF(AND($M2567&gt;0,ISNUMBER(MATCH($F2567,Lists!$A$2:$A$5,0)),ISNUMBER(MATCH($G2567,Lists!$B$2:$B$7,0)),OR($H2567="",$N2567&gt;0),OR($I2567="",$I2567="NR",$O2567&gt;0),IF(ISNUMBER($J2567),AND($J2567&gt;=0,$J2567=INT($J2567)),FALSE())),$J2567,0)</f>
        <v>0</v>
      </c>
      <c r="Q2567" s="64" t="n">
        <f aca="false">IF(AND($P2567&gt;0,$O2567&gt;0),$P2567,0)</f>
        <v>0</v>
      </c>
      <c r="R2567" s="64" t="n">
        <f aca="false">IF(AND($Q2567&gt;0,$O2567&gt;=AtRank),$Q2567,0)</f>
        <v>0</v>
      </c>
      <c r="S2567" s="64" t="n">
        <f aca="false">IF(AND($Q2567&gt;0,$O2567&gt;=AboveRank),$Q2567,0)</f>
        <v>0</v>
      </c>
      <c r="T2567" s="64" t="n">
        <f aca="false">IF($K2567="Less",$P2567,0)</f>
        <v>0</v>
      </c>
      <c r="U2567" s="64" t="n">
        <f aca="false">IF($K2567="Expected",$P2567,0)</f>
        <v>0</v>
      </c>
      <c r="V2567" s="64" t="n">
        <f aca="false">IF($K2567="Better",$P2567,0)</f>
        <v>0</v>
      </c>
      <c r="W2567" s="64" t="n">
        <f aca="false">IF($K2567="U – needs rule",$P2567,0)</f>
        <v>0</v>
      </c>
      <c r="X2567" s="64" t="n">
        <f aca="false">IF($K2567="No Start (attainment only)",$P2567,0)</f>
        <v>0</v>
      </c>
    </row>
    <row r="2568" customFormat="false" ht="15" hidden="false" customHeight="false" outlineLevel="0" collapsed="false">
      <c r="A2568" s="60"/>
      <c r="B2568" s="61" t="str">
        <f aca="false">IF($M2568=0,"",INDEX(Classes!$E$6:$E$420,$M2568))</f>
        <v/>
      </c>
      <c r="C2568" s="62" t="str">
        <f aca="false">IF($M2568=0,"",INDEX(Classes!$H$6:$H$420,$M2568))</f>
        <v/>
      </c>
      <c r="D2568" s="61" t="str">
        <f aca="false">IF($M2568=0,"",INDEX(Classes!$B$6:$B$420,$M2568))</f>
        <v/>
      </c>
      <c r="E2568" s="61" t="str">
        <f aca="false">IF($M2568=0,"",INDEX(Classes!$C$6:$C$420,$M2568))</f>
        <v/>
      </c>
      <c r="F2568" s="63"/>
      <c r="G2568" s="63"/>
      <c r="H2568" s="60"/>
      <c r="I2568" s="60"/>
      <c r="J2568" s="63"/>
      <c r="K2568" s="61" t="str">
        <f aca="false">IF($P2568=0,"",IF($F2568="Baseline","— Baseline",IF($O2568=0,"No result",IF($N2568=0,"No Start (attainment only)",IF(OR($N2568=1,$O2568=1),"U – needs rule",INDEX(MxBody,MATCH($I2568,MxCurr,0),MATCH($H2568,MxStart,0)))))))</f>
        <v/>
      </c>
      <c r="L2568" s="62" t="str">
        <f aca="false">IF(COUNTA($A2568,$F2568,$G2568,$H2568,$I2568,$J2568)=0,"",IF($M2568=0,"✖ كود الصف غير موجود",IF(ISNA(MATCH($F2568,Lists!$A$2:$A$5,0)),"✖ الفترة غير صحيحة",IF(ISNA(MATCH($G2568,Lists!$B$2:$B$7,0)),"✖ المجموعة غير صحيحة",IF(NOT(OR($H2568="",$N2568&gt;0)),"✖ Start غير صحيح",IF(NOT(OR($I2568="",$I2568="NR",$O2568&gt;0)),"✖ Current غير صحيح",IF(NOT(IF(ISNUMBER($J2568),AND($J2568&gt;=0,$J2568=INT($J2568)),FALSE())),"✖ العدد يجب أن يكون صحيحًا ≥ 0",IF(AND($F2568="Baseline",$H2568&lt;&gt;""),"⚠ Baseline: Start لا يدخل في التقدم",IF($K2568="No Start (attainment only)","ℹ تحصيل فقط (بدون Start)",IF($K2568="U – needs rule","ℹ حالة U تحتاج قاعدة معتمدة",IF($K2568="No result","ℹ بدون نتيجة (يُستبعد من التحصيل)","OK")))))))))))</f>
        <v/>
      </c>
      <c r="M2568" s="64" t="n">
        <f aca="false">IF($A2568="",0,IFERROR(MATCH($A2568,Classes!$A$6:$A$420,0),0))</f>
        <v>0</v>
      </c>
      <c r="N2568" s="64" t="n">
        <f aca="false">IF($H2568="",0,IFERROR(MATCH($H2568,GradeList,0),0))</f>
        <v>0</v>
      </c>
      <c r="O2568" s="64" t="n">
        <f aca="false">IF(OR($I2568="",$I2568="NR"),0,IFERROR(MATCH($I2568,GradeList,0),0))</f>
        <v>0</v>
      </c>
      <c r="P2568" s="64" t="n">
        <f aca="false">IF(AND($M2568&gt;0,ISNUMBER(MATCH($F2568,Lists!$A$2:$A$5,0)),ISNUMBER(MATCH($G2568,Lists!$B$2:$B$7,0)),OR($H2568="",$N2568&gt;0),OR($I2568="",$I2568="NR",$O2568&gt;0),IF(ISNUMBER($J2568),AND($J2568&gt;=0,$J2568=INT($J2568)),FALSE())),$J2568,0)</f>
        <v>0</v>
      </c>
      <c r="Q2568" s="64" t="n">
        <f aca="false">IF(AND($P2568&gt;0,$O2568&gt;0),$P2568,0)</f>
        <v>0</v>
      </c>
      <c r="R2568" s="64" t="n">
        <f aca="false">IF(AND($Q2568&gt;0,$O2568&gt;=AtRank),$Q2568,0)</f>
        <v>0</v>
      </c>
      <c r="S2568" s="64" t="n">
        <f aca="false">IF(AND($Q2568&gt;0,$O2568&gt;=AboveRank),$Q2568,0)</f>
        <v>0</v>
      </c>
      <c r="T2568" s="64" t="n">
        <f aca="false">IF($K2568="Less",$P2568,0)</f>
        <v>0</v>
      </c>
      <c r="U2568" s="64" t="n">
        <f aca="false">IF($K2568="Expected",$P2568,0)</f>
        <v>0</v>
      </c>
      <c r="V2568" s="64" t="n">
        <f aca="false">IF($K2568="Better",$P2568,0)</f>
        <v>0</v>
      </c>
      <c r="W2568" s="64" t="n">
        <f aca="false">IF($K2568="U – needs rule",$P2568,0)</f>
        <v>0</v>
      </c>
      <c r="X2568" s="64" t="n">
        <f aca="false">IF($K2568="No Start (attainment only)",$P2568,0)</f>
        <v>0</v>
      </c>
    </row>
    <row r="2569" customFormat="false" ht="15" hidden="false" customHeight="false" outlineLevel="0" collapsed="false">
      <c r="A2569" s="60"/>
      <c r="B2569" s="61" t="str">
        <f aca="false">IF($M2569=0,"",INDEX(Classes!$E$6:$E$420,$M2569))</f>
        <v/>
      </c>
      <c r="C2569" s="62" t="str">
        <f aca="false">IF($M2569=0,"",INDEX(Classes!$H$6:$H$420,$M2569))</f>
        <v/>
      </c>
      <c r="D2569" s="61" t="str">
        <f aca="false">IF($M2569=0,"",INDEX(Classes!$B$6:$B$420,$M2569))</f>
        <v/>
      </c>
      <c r="E2569" s="61" t="str">
        <f aca="false">IF($M2569=0,"",INDEX(Classes!$C$6:$C$420,$M2569))</f>
        <v/>
      </c>
      <c r="F2569" s="63"/>
      <c r="G2569" s="63"/>
      <c r="H2569" s="60"/>
      <c r="I2569" s="60"/>
      <c r="J2569" s="63"/>
      <c r="K2569" s="61" t="str">
        <f aca="false">IF($P2569=0,"",IF($F2569="Baseline","— Baseline",IF($O2569=0,"No result",IF($N2569=0,"No Start (attainment only)",IF(OR($N2569=1,$O2569=1),"U – needs rule",INDEX(MxBody,MATCH($I2569,MxCurr,0),MATCH($H2569,MxStart,0)))))))</f>
        <v/>
      </c>
      <c r="L2569" s="62" t="str">
        <f aca="false">IF(COUNTA($A2569,$F2569,$G2569,$H2569,$I2569,$J2569)=0,"",IF($M2569=0,"✖ كود الصف غير موجود",IF(ISNA(MATCH($F2569,Lists!$A$2:$A$5,0)),"✖ الفترة غير صحيحة",IF(ISNA(MATCH($G2569,Lists!$B$2:$B$7,0)),"✖ المجموعة غير صحيحة",IF(NOT(OR($H2569="",$N2569&gt;0)),"✖ Start غير صحيح",IF(NOT(OR($I2569="",$I2569="NR",$O2569&gt;0)),"✖ Current غير صحيح",IF(NOT(IF(ISNUMBER($J2569),AND($J2569&gt;=0,$J2569=INT($J2569)),FALSE())),"✖ العدد يجب أن يكون صحيحًا ≥ 0",IF(AND($F2569="Baseline",$H2569&lt;&gt;""),"⚠ Baseline: Start لا يدخل في التقدم",IF($K2569="No Start (attainment only)","ℹ تحصيل فقط (بدون Start)",IF($K2569="U – needs rule","ℹ حالة U تحتاج قاعدة معتمدة",IF($K2569="No result","ℹ بدون نتيجة (يُستبعد من التحصيل)","OK")))))))))))</f>
        <v/>
      </c>
      <c r="M2569" s="64" t="n">
        <f aca="false">IF($A2569="",0,IFERROR(MATCH($A2569,Classes!$A$6:$A$420,0),0))</f>
        <v>0</v>
      </c>
      <c r="N2569" s="64" t="n">
        <f aca="false">IF($H2569="",0,IFERROR(MATCH($H2569,GradeList,0),0))</f>
        <v>0</v>
      </c>
      <c r="O2569" s="64" t="n">
        <f aca="false">IF(OR($I2569="",$I2569="NR"),0,IFERROR(MATCH($I2569,GradeList,0),0))</f>
        <v>0</v>
      </c>
      <c r="P2569" s="64" t="n">
        <f aca="false">IF(AND($M2569&gt;0,ISNUMBER(MATCH($F2569,Lists!$A$2:$A$5,0)),ISNUMBER(MATCH($G2569,Lists!$B$2:$B$7,0)),OR($H2569="",$N2569&gt;0),OR($I2569="",$I2569="NR",$O2569&gt;0),IF(ISNUMBER($J2569),AND($J2569&gt;=0,$J2569=INT($J2569)),FALSE())),$J2569,0)</f>
        <v>0</v>
      </c>
      <c r="Q2569" s="64" t="n">
        <f aca="false">IF(AND($P2569&gt;0,$O2569&gt;0),$P2569,0)</f>
        <v>0</v>
      </c>
      <c r="R2569" s="64" t="n">
        <f aca="false">IF(AND($Q2569&gt;0,$O2569&gt;=AtRank),$Q2569,0)</f>
        <v>0</v>
      </c>
      <c r="S2569" s="64" t="n">
        <f aca="false">IF(AND($Q2569&gt;0,$O2569&gt;=AboveRank),$Q2569,0)</f>
        <v>0</v>
      </c>
      <c r="T2569" s="64" t="n">
        <f aca="false">IF($K2569="Less",$P2569,0)</f>
        <v>0</v>
      </c>
      <c r="U2569" s="64" t="n">
        <f aca="false">IF($K2569="Expected",$P2569,0)</f>
        <v>0</v>
      </c>
      <c r="V2569" s="64" t="n">
        <f aca="false">IF($K2569="Better",$P2569,0)</f>
        <v>0</v>
      </c>
      <c r="W2569" s="64" t="n">
        <f aca="false">IF($K2569="U – needs rule",$P2569,0)</f>
        <v>0</v>
      </c>
      <c r="X2569" s="64" t="n">
        <f aca="false">IF($K2569="No Start (attainment only)",$P2569,0)</f>
        <v>0</v>
      </c>
    </row>
    <row r="2570" customFormat="false" ht="15" hidden="false" customHeight="false" outlineLevel="0" collapsed="false">
      <c r="A2570" s="60"/>
      <c r="B2570" s="61" t="str">
        <f aca="false">IF($M2570=0,"",INDEX(Classes!$E$6:$E$420,$M2570))</f>
        <v/>
      </c>
      <c r="C2570" s="62" t="str">
        <f aca="false">IF($M2570=0,"",INDEX(Classes!$H$6:$H$420,$M2570))</f>
        <v/>
      </c>
      <c r="D2570" s="61" t="str">
        <f aca="false">IF($M2570=0,"",INDEX(Classes!$B$6:$B$420,$M2570))</f>
        <v/>
      </c>
      <c r="E2570" s="61" t="str">
        <f aca="false">IF($M2570=0,"",INDEX(Classes!$C$6:$C$420,$M2570))</f>
        <v/>
      </c>
      <c r="F2570" s="63"/>
      <c r="G2570" s="63"/>
      <c r="H2570" s="60"/>
      <c r="I2570" s="60"/>
      <c r="J2570" s="63"/>
      <c r="K2570" s="61" t="str">
        <f aca="false">IF($P2570=0,"",IF($F2570="Baseline","— Baseline",IF($O2570=0,"No result",IF($N2570=0,"No Start (attainment only)",IF(OR($N2570=1,$O2570=1),"U – needs rule",INDEX(MxBody,MATCH($I2570,MxCurr,0),MATCH($H2570,MxStart,0)))))))</f>
        <v/>
      </c>
      <c r="L2570" s="62" t="str">
        <f aca="false">IF(COUNTA($A2570,$F2570,$G2570,$H2570,$I2570,$J2570)=0,"",IF($M2570=0,"✖ كود الصف غير موجود",IF(ISNA(MATCH($F2570,Lists!$A$2:$A$5,0)),"✖ الفترة غير صحيحة",IF(ISNA(MATCH($G2570,Lists!$B$2:$B$7,0)),"✖ المجموعة غير صحيحة",IF(NOT(OR($H2570="",$N2570&gt;0)),"✖ Start غير صحيح",IF(NOT(OR($I2570="",$I2570="NR",$O2570&gt;0)),"✖ Current غير صحيح",IF(NOT(IF(ISNUMBER($J2570),AND($J2570&gt;=0,$J2570=INT($J2570)),FALSE())),"✖ العدد يجب أن يكون صحيحًا ≥ 0",IF(AND($F2570="Baseline",$H2570&lt;&gt;""),"⚠ Baseline: Start لا يدخل في التقدم",IF($K2570="No Start (attainment only)","ℹ تحصيل فقط (بدون Start)",IF($K2570="U – needs rule","ℹ حالة U تحتاج قاعدة معتمدة",IF($K2570="No result","ℹ بدون نتيجة (يُستبعد من التحصيل)","OK")))))))))))</f>
        <v/>
      </c>
      <c r="M2570" s="64" t="n">
        <f aca="false">IF($A2570="",0,IFERROR(MATCH($A2570,Classes!$A$6:$A$420,0),0))</f>
        <v>0</v>
      </c>
      <c r="N2570" s="64" t="n">
        <f aca="false">IF($H2570="",0,IFERROR(MATCH($H2570,GradeList,0),0))</f>
        <v>0</v>
      </c>
      <c r="O2570" s="64" t="n">
        <f aca="false">IF(OR($I2570="",$I2570="NR"),0,IFERROR(MATCH($I2570,GradeList,0),0))</f>
        <v>0</v>
      </c>
      <c r="P2570" s="64" t="n">
        <f aca="false">IF(AND($M2570&gt;0,ISNUMBER(MATCH($F2570,Lists!$A$2:$A$5,0)),ISNUMBER(MATCH($G2570,Lists!$B$2:$B$7,0)),OR($H2570="",$N2570&gt;0),OR($I2570="",$I2570="NR",$O2570&gt;0),IF(ISNUMBER($J2570),AND($J2570&gt;=0,$J2570=INT($J2570)),FALSE())),$J2570,0)</f>
        <v>0</v>
      </c>
      <c r="Q2570" s="64" t="n">
        <f aca="false">IF(AND($P2570&gt;0,$O2570&gt;0),$P2570,0)</f>
        <v>0</v>
      </c>
      <c r="R2570" s="64" t="n">
        <f aca="false">IF(AND($Q2570&gt;0,$O2570&gt;=AtRank),$Q2570,0)</f>
        <v>0</v>
      </c>
      <c r="S2570" s="64" t="n">
        <f aca="false">IF(AND($Q2570&gt;0,$O2570&gt;=AboveRank),$Q2570,0)</f>
        <v>0</v>
      </c>
      <c r="T2570" s="64" t="n">
        <f aca="false">IF($K2570="Less",$P2570,0)</f>
        <v>0</v>
      </c>
      <c r="U2570" s="64" t="n">
        <f aca="false">IF($K2570="Expected",$P2570,0)</f>
        <v>0</v>
      </c>
      <c r="V2570" s="64" t="n">
        <f aca="false">IF($K2570="Better",$P2570,0)</f>
        <v>0</v>
      </c>
      <c r="W2570" s="64" t="n">
        <f aca="false">IF($K2570="U – needs rule",$P2570,0)</f>
        <v>0</v>
      </c>
      <c r="X2570" s="64" t="n">
        <f aca="false">IF($K2570="No Start (attainment only)",$P2570,0)</f>
        <v>0</v>
      </c>
    </row>
    <row r="2571" customFormat="false" ht="15" hidden="false" customHeight="false" outlineLevel="0" collapsed="false">
      <c r="A2571" s="60"/>
      <c r="B2571" s="61" t="str">
        <f aca="false">IF($M2571=0,"",INDEX(Classes!$E$6:$E$420,$M2571))</f>
        <v/>
      </c>
      <c r="C2571" s="62" t="str">
        <f aca="false">IF($M2571=0,"",INDEX(Classes!$H$6:$H$420,$M2571))</f>
        <v/>
      </c>
      <c r="D2571" s="61" t="str">
        <f aca="false">IF($M2571=0,"",INDEX(Classes!$B$6:$B$420,$M2571))</f>
        <v/>
      </c>
      <c r="E2571" s="61" t="str">
        <f aca="false">IF($M2571=0,"",INDEX(Classes!$C$6:$C$420,$M2571))</f>
        <v/>
      </c>
      <c r="F2571" s="63"/>
      <c r="G2571" s="63"/>
      <c r="H2571" s="60"/>
      <c r="I2571" s="60"/>
      <c r="J2571" s="63"/>
      <c r="K2571" s="61" t="str">
        <f aca="false">IF($P2571=0,"",IF($F2571="Baseline","— Baseline",IF($O2571=0,"No result",IF($N2571=0,"No Start (attainment only)",IF(OR($N2571=1,$O2571=1),"U – needs rule",INDEX(MxBody,MATCH($I2571,MxCurr,0),MATCH($H2571,MxStart,0)))))))</f>
        <v/>
      </c>
      <c r="L2571" s="62" t="str">
        <f aca="false">IF(COUNTA($A2571,$F2571,$G2571,$H2571,$I2571,$J2571)=0,"",IF($M2571=0,"✖ كود الصف غير موجود",IF(ISNA(MATCH($F2571,Lists!$A$2:$A$5,0)),"✖ الفترة غير صحيحة",IF(ISNA(MATCH($G2571,Lists!$B$2:$B$7,0)),"✖ المجموعة غير صحيحة",IF(NOT(OR($H2571="",$N2571&gt;0)),"✖ Start غير صحيح",IF(NOT(OR($I2571="",$I2571="NR",$O2571&gt;0)),"✖ Current غير صحيح",IF(NOT(IF(ISNUMBER($J2571),AND($J2571&gt;=0,$J2571=INT($J2571)),FALSE())),"✖ العدد يجب أن يكون صحيحًا ≥ 0",IF(AND($F2571="Baseline",$H2571&lt;&gt;""),"⚠ Baseline: Start لا يدخل في التقدم",IF($K2571="No Start (attainment only)","ℹ تحصيل فقط (بدون Start)",IF($K2571="U – needs rule","ℹ حالة U تحتاج قاعدة معتمدة",IF($K2571="No result","ℹ بدون نتيجة (يُستبعد من التحصيل)","OK")))))))))))</f>
        <v/>
      </c>
      <c r="M2571" s="64" t="n">
        <f aca="false">IF($A2571="",0,IFERROR(MATCH($A2571,Classes!$A$6:$A$420,0),0))</f>
        <v>0</v>
      </c>
      <c r="N2571" s="64" t="n">
        <f aca="false">IF($H2571="",0,IFERROR(MATCH($H2571,GradeList,0),0))</f>
        <v>0</v>
      </c>
      <c r="O2571" s="64" t="n">
        <f aca="false">IF(OR($I2571="",$I2571="NR"),0,IFERROR(MATCH($I2571,GradeList,0),0))</f>
        <v>0</v>
      </c>
      <c r="P2571" s="64" t="n">
        <f aca="false">IF(AND($M2571&gt;0,ISNUMBER(MATCH($F2571,Lists!$A$2:$A$5,0)),ISNUMBER(MATCH($G2571,Lists!$B$2:$B$7,0)),OR($H2571="",$N2571&gt;0),OR($I2571="",$I2571="NR",$O2571&gt;0),IF(ISNUMBER($J2571),AND($J2571&gt;=0,$J2571=INT($J2571)),FALSE())),$J2571,0)</f>
        <v>0</v>
      </c>
      <c r="Q2571" s="64" t="n">
        <f aca="false">IF(AND($P2571&gt;0,$O2571&gt;0),$P2571,0)</f>
        <v>0</v>
      </c>
      <c r="R2571" s="64" t="n">
        <f aca="false">IF(AND($Q2571&gt;0,$O2571&gt;=AtRank),$Q2571,0)</f>
        <v>0</v>
      </c>
      <c r="S2571" s="64" t="n">
        <f aca="false">IF(AND($Q2571&gt;0,$O2571&gt;=AboveRank),$Q2571,0)</f>
        <v>0</v>
      </c>
      <c r="T2571" s="64" t="n">
        <f aca="false">IF($K2571="Less",$P2571,0)</f>
        <v>0</v>
      </c>
      <c r="U2571" s="64" t="n">
        <f aca="false">IF($K2571="Expected",$P2571,0)</f>
        <v>0</v>
      </c>
      <c r="V2571" s="64" t="n">
        <f aca="false">IF($K2571="Better",$P2571,0)</f>
        <v>0</v>
      </c>
      <c r="W2571" s="64" t="n">
        <f aca="false">IF($K2571="U – needs rule",$P2571,0)</f>
        <v>0</v>
      </c>
      <c r="X2571" s="64" t="n">
        <f aca="false">IF($K2571="No Start (attainment only)",$P2571,0)</f>
        <v>0</v>
      </c>
    </row>
    <row r="2572" customFormat="false" ht="15" hidden="false" customHeight="false" outlineLevel="0" collapsed="false">
      <c r="A2572" s="60"/>
      <c r="B2572" s="61" t="str">
        <f aca="false">IF($M2572=0,"",INDEX(Classes!$E$6:$E$420,$M2572))</f>
        <v/>
      </c>
      <c r="C2572" s="62" t="str">
        <f aca="false">IF($M2572=0,"",INDEX(Classes!$H$6:$H$420,$M2572))</f>
        <v/>
      </c>
      <c r="D2572" s="61" t="str">
        <f aca="false">IF($M2572=0,"",INDEX(Classes!$B$6:$B$420,$M2572))</f>
        <v/>
      </c>
      <c r="E2572" s="61" t="str">
        <f aca="false">IF($M2572=0,"",INDEX(Classes!$C$6:$C$420,$M2572))</f>
        <v/>
      </c>
      <c r="F2572" s="63"/>
      <c r="G2572" s="63"/>
      <c r="H2572" s="60"/>
      <c r="I2572" s="60"/>
      <c r="J2572" s="63"/>
      <c r="K2572" s="61" t="str">
        <f aca="false">IF($P2572=0,"",IF($F2572="Baseline","— Baseline",IF($O2572=0,"No result",IF($N2572=0,"No Start (attainment only)",IF(OR($N2572=1,$O2572=1),"U – needs rule",INDEX(MxBody,MATCH($I2572,MxCurr,0),MATCH($H2572,MxStart,0)))))))</f>
        <v/>
      </c>
      <c r="L2572" s="62" t="str">
        <f aca="false">IF(COUNTA($A2572,$F2572,$G2572,$H2572,$I2572,$J2572)=0,"",IF($M2572=0,"✖ كود الصف غير موجود",IF(ISNA(MATCH($F2572,Lists!$A$2:$A$5,0)),"✖ الفترة غير صحيحة",IF(ISNA(MATCH($G2572,Lists!$B$2:$B$7,0)),"✖ المجموعة غير صحيحة",IF(NOT(OR($H2572="",$N2572&gt;0)),"✖ Start غير صحيح",IF(NOT(OR($I2572="",$I2572="NR",$O2572&gt;0)),"✖ Current غير صحيح",IF(NOT(IF(ISNUMBER($J2572),AND($J2572&gt;=0,$J2572=INT($J2572)),FALSE())),"✖ العدد يجب أن يكون صحيحًا ≥ 0",IF(AND($F2572="Baseline",$H2572&lt;&gt;""),"⚠ Baseline: Start لا يدخل في التقدم",IF($K2572="No Start (attainment only)","ℹ تحصيل فقط (بدون Start)",IF($K2572="U – needs rule","ℹ حالة U تحتاج قاعدة معتمدة",IF($K2572="No result","ℹ بدون نتيجة (يُستبعد من التحصيل)","OK")))))))))))</f>
        <v/>
      </c>
      <c r="M2572" s="64" t="n">
        <f aca="false">IF($A2572="",0,IFERROR(MATCH($A2572,Classes!$A$6:$A$420,0),0))</f>
        <v>0</v>
      </c>
      <c r="N2572" s="64" t="n">
        <f aca="false">IF($H2572="",0,IFERROR(MATCH($H2572,GradeList,0),0))</f>
        <v>0</v>
      </c>
      <c r="O2572" s="64" t="n">
        <f aca="false">IF(OR($I2572="",$I2572="NR"),0,IFERROR(MATCH($I2572,GradeList,0),0))</f>
        <v>0</v>
      </c>
      <c r="P2572" s="64" t="n">
        <f aca="false">IF(AND($M2572&gt;0,ISNUMBER(MATCH($F2572,Lists!$A$2:$A$5,0)),ISNUMBER(MATCH($G2572,Lists!$B$2:$B$7,0)),OR($H2572="",$N2572&gt;0),OR($I2572="",$I2572="NR",$O2572&gt;0),IF(ISNUMBER($J2572),AND($J2572&gt;=0,$J2572=INT($J2572)),FALSE())),$J2572,0)</f>
        <v>0</v>
      </c>
      <c r="Q2572" s="64" t="n">
        <f aca="false">IF(AND($P2572&gt;0,$O2572&gt;0),$P2572,0)</f>
        <v>0</v>
      </c>
      <c r="R2572" s="64" t="n">
        <f aca="false">IF(AND($Q2572&gt;0,$O2572&gt;=AtRank),$Q2572,0)</f>
        <v>0</v>
      </c>
      <c r="S2572" s="64" t="n">
        <f aca="false">IF(AND($Q2572&gt;0,$O2572&gt;=AboveRank),$Q2572,0)</f>
        <v>0</v>
      </c>
      <c r="T2572" s="64" t="n">
        <f aca="false">IF($K2572="Less",$P2572,0)</f>
        <v>0</v>
      </c>
      <c r="U2572" s="64" t="n">
        <f aca="false">IF($K2572="Expected",$P2572,0)</f>
        <v>0</v>
      </c>
      <c r="V2572" s="64" t="n">
        <f aca="false">IF($K2572="Better",$P2572,0)</f>
        <v>0</v>
      </c>
      <c r="W2572" s="64" t="n">
        <f aca="false">IF($K2572="U – needs rule",$P2572,0)</f>
        <v>0</v>
      </c>
      <c r="X2572" s="64" t="n">
        <f aca="false">IF($K2572="No Start (attainment only)",$P2572,0)</f>
        <v>0</v>
      </c>
    </row>
    <row r="2573" customFormat="false" ht="15" hidden="false" customHeight="false" outlineLevel="0" collapsed="false">
      <c r="A2573" s="60"/>
      <c r="B2573" s="61" t="str">
        <f aca="false">IF($M2573=0,"",INDEX(Classes!$E$6:$E$420,$M2573))</f>
        <v/>
      </c>
      <c r="C2573" s="62" t="str">
        <f aca="false">IF($M2573=0,"",INDEX(Classes!$H$6:$H$420,$M2573))</f>
        <v/>
      </c>
      <c r="D2573" s="61" t="str">
        <f aca="false">IF($M2573=0,"",INDEX(Classes!$B$6:$B$420,$M2573))</f>
        <v/>
      </c>
      <c r="E2573" s="61" t="str">
        <f aca="false">IF($M2573=0,"",INDEX(Classes!$C$6:$C$420,$M2573))</f>
        <v/>
      </c>
      <c r="F2573" s="63"/>
      <c r="G2573" s="63"/>
      <c r="H2573" s="60"/>
      <c r="I2573" s="60"/>
      <c r="J2573" s="63"/>
      <c r="K2573" s="61" t="str">
        <f aca="false">IF($P2573=0,"",IF($F2573="Baseline","— Baseline",IF($O2573=0,"No result",IF($N2573=0,"No Start (attainment only)",IF(OR($N2573=1,$O2573=1),"U – needs rule",INDEX(MxBody,MATCH($I2573,MxCurr,0),MATCH($H2573,MxStart,0)))))))</f>
        <v/>
      </c>
      <c r="L2573" s="62" t="str">
        <f aca="false">IF(COUNTA($A2573,$F2573,$G2573,$H2573,$I2573,$J2573)=0,"",IF($M2573=0,"✖ كود الصف غير موجود",IF(ISNA(MATCH($F2573,Lists!$A$2:$A$5,0)),"✖ الفترة غير صحيحة",IF(ISNA(MATCH($G2573,Lists!$B$2:$B$7,0)),"✖ المجموعة غير صحيحة",IF(NOT(OR($H2573="",$N2573&gt;0)),"✖ Start غير صحيح",IF(NOT(OR($I2573="",$I2573="NR",$O2573&gt;0)),"✖ Current غير صحيح",IF(NOT(IF(ISNUMBER($J2573),AND($J2573&gt;=0,$J2573=INT($J2573)),FALSE())),"✖ العدد يجب أن يكون صحيحًا ≥ 0",IF(AND($F2573="Baseline",$H2573&lt;&gt;""),"⚠ Baseline: Start لا يدخل في التقدم",IF($K2573="No Start (attainment only)","ℹ تحصيل فقط (بدون Start)",IF($K2573="U – needs rule","ℹ حالة U تحتاج قاعدة معتمدة",IF($K2573="No result","ℹ بدون نتيجة (يُستبعد من التحصيل)","OK")))))))))))</f>
        <v/>
      </c>
      <c r="M2573" s="64" t="n">
        <f aca="false">IF($A2573="",0,IFERROR(MATCH($A2573,Classes!$A$6:$A$420,0),0))</f>
        <v>0</v>
      </c>
      <c r="N2573" s="64" t="n">
        <f aca="false">IF($H2573="",0,IFERROR(MATCH($H2573,GradeList,0),0))</f>
        <v>0</v>
      </c>
      <c r="O2573" s="64" t="n">
        <f aca="false">IF(OR($I2573="",$I2573="NR"),0,IFERROR(MATCH($I2573,GradeList,0),0))</f>
        <v>0</v>
      </c>
      <c r="P2573" s="64" t="n">
        <f aca="false">IF(AND($M2573&gt;0,ISNUMBER(MATCH($F2573,Lists!$A$2:$A$5,0)),ISNUMBER(MATCH($G2573,Lists!$B$2:$B$7,0)),OR($H2573="",$N2573&gt;0),OR($I2573="",$I2573="NR",$O2573&gt;0),IF(ISNUMBER($J2573),AND($J2573&gt;=0,$J2573=INT($J2573)),FALSE())),$J2573,0)</f>
        <v>0</v>
      </c>
      <c r="Q2573" s="64" t="n">
        <f aca="false">IF(AND($P2573&gt;0,$O2573&gt;0),$P2573,0)</f>
        <v>0</v>
      </c>
      <c r="R2573" s="64" t="n">
        <f aca="false">IF(AND($Q2573&gt;0,$O2573&gt;=AtRank),$Q2573,0)</f>
        <v>0</v>
      </c>
      <c r="S2573" s="64" t="n">
        <f aca="false">IF(AND($Q2573&gt;0,$O2573&gt;=AboveRank),$Q2573,0)</f>
        <v>0</v>
      </c>
      <c r="T2573" s="64" t="n">
        <f aca="false">IF($K2573="Less",$P2573,0)</f>
        <v>0</v>
      </c>
      <c r="U2573" s="64" t="n">
        <f aca="false">IF($K2573="Expected",$P2573,0)</f>
        <v>0</v>
      </c>
      <c r="V2573" s="64" t="n">
        <f aca="false">IF($K2573="Better",$P2573,0)</f>
        <v>0</v>
      </c>
      <c r="W2573" s="64" t="n">
        <f aca="false">IF($K2573="U – needs rule",$P2573,0)</f>
        <v>0</v>
      </c>
      <c r="X2573" s="64" t="n">
        <f aca="false">IF($K2573="No Start (attainment only)",$P2573,0)</f>
        <v>0</v>
      </c>
    </row>
    <row r="2574" customFormat="false" ht="15" hidden="false" customHeight="false" outlineLevel="0" collapsed="false">
      <c r="A2574" s="60"/>
      <c r="B2574" s="61" t="str">
        <f aca="false">IF($M2574=0,"",INDEX(Classes!$E$6:$E$420,$M2574))</f>
        <v/>
      </c>
      <c r="C2574" s="62" t="str">
        <f aca="false">IF($M2574=0,"",INDEX(Classes!$H$6:$H$420,$M2574))</f>
        <v/>
      </c>
      <c r="D2574" s="61" t="str">
        <f aca="false">IF($M2574=0,"",INDEX(Classes!$B$6:$B$420,$M2574))</f>
        <v/>
      </c>
      <c r="E2574" s="61" t="str">
        <f aca="false">IF($M2574=0,"",INDEX(Classes!$C$6:$C$420,$M2574))</f>
        <v/>
      </c>
      <c r="F2574" s="63"/>
      <c r="G2574" s="63"/>
      <c r="H2574" s="60"/>
      <c r="I2574" s="60"/>
      <c r="J2574" s="63"/>
      <c r="K2574" s="61" t="str">
        <f aca="false">IF($P2574=0,"",IF($F2574="Baseline","— Baseline",IF($O2574=0,"No result",IF($N2574=0,"No Start (attainment only)",IF(OR($N2574=1,$O2574=1),"U – needs rule",INDEX(MxBody,MATCH($I2574,MxCurr,0),MATCH($H2574,MxStart,0)))))))</f>
        <v/>
      </c>
      <c r="L2574" s="62" t="str">
        <f aca="false">IF(COUNTA($A2574,$F2574,$G2574,$H2574,$I2574,$J2574)=0,"",IF($M2574=0,"✖ كود الصف غير موجود",IF(ISNA(MATCH($F2574,Lists!$A$2:$A$5,0)),"✖ الفترة غير صحيحة",IF(ISNA(MATCH($G2574,Lists!$B$2:$B$7,0)),"✖ المجموعة غير صحيحة",IF(NOT(OR($H2574="",$N2574&gt;0)),"✖ Start غير صحيح",IF(NOT(OR($I2574="",$I2574="NR",$O2574&gt;0)),"✖ Current غير صحيح",IF(NOT(IF(ISNUMBER($J2574),AND($J2574&gt;=0,$J2574=INT($J2574)),FALSE())),"✖ العدد يجب أن يكون صحيحًا ≥ 0",IF(AND($F2574="Baseline",$H2574&lt;&gt;""),"⚠ Baseline: Start لا يدخل في التقدم",IF($K2574="No Start (attainment only)","ℹ تحصيل فقط (بدون Start)",IF($K2574="U – needs rule","ℹ حالة U تحتاج قاعدة معتمدة",IF($K2574="No result","ℹ بدون نتيجة (يُستبعد من التحصيل)","OK")))))))))))</f>
        <v/>
      </c>
      <c r="M2574" s="64" t="n">
        <f aca="false">IF($A2574="",0,IFERROR(MATCH($A2574,Classes!$A$6:$A$420,0),0))</f>
        <v>0</v>
      </c>
      <c r="N2574" s="64" t="n">
        <f aca="false">IF($H2574="",0,IFERROR(MATCH($H2574,GradeList,0),0))</f>
        <v>0</v>
      </c>
      <c r="O2574" s="64" t="n">
        <f aca="false">IF(OR($I2574="",$I2574="NR"),0,IFERROR(MATCH($I2574,GradeList,0),0))</f>
        <v>0</v>
      </c>
      <c r="P2574" s="64" t="n">
        <f aca="false">IF(AND($M2574&gt;0,ISNUMBER(MATCH($F2574,Lists!$A$2:$A$5,0)),ISNUMBER(MATCH($G2574,Lists!$B$2:$B$7,0)),OR($H2574="",$N2574&gt;0),OR($I2574="",$I2574="NR",$O2574&gt;0),IF(ISNUMBER($J2574),AND($J2574&gt;=0,$J2574=INT($J2574)),FALSE())),$J2574,0)</f>
        <v>0</v>
      </c>
      <c r="Q2574" s="64" t="n">
        <f aca="false">IF(AND($P2574&gt;0,$O2574&gt;0),$P2574,0)</f>
        <v>0</v>
      </c>
      <c r="R2574" s="64" t="n">
        <f aca="false">IF(AND($Q2574&gt;0,$O2574&gt;=AtRank),$Q2574,0)</f>
        <v>0</v>
      </c>
      <c r="S2574" s="64" t="n">
        <f aca="false">IF(AND($Q2574&gt;0,$O2574&gt;=AboveRank),$Q2574,0)</f>
        <v>0</v>
      </c>
      <c r="T2574" s="64" t="n">
        <f aca="false">IF($K2574="Less",$P2574,0)</f>
        <v>0</v>
      </c>
      <c r="U2574" s="64" t="n">
        <f aca="false">IF($K2574="Expected",$P2574,0)</f>
        <v>0</v>
      </c>
      <c r="V2574" s="64" t="n">
        <f aca="false">IF($K2574="Better",$P2574,0)</f>
        <v>0</v>
      </c>
      <c r="W2574" s="64" t="n">
        <f aca="false">IF($K2574="U – needs rule",$P2574,0)</f>
        <v>0</v>
      </c>
      <c r="X2574" s="64" t="n">
        <f aca="false">IF($K2574="No Start (attainment only)",$P2574,0)</f>
        <v>0</v>
      </c>
    </row>
    <row r="2575" customFormat="false" ht="15" hidden="false" customHeight="false" outlineLevel="0" collapsed="false">
      <c r="A2575" s="60"/>
      <c r="B2575" s="61" t="str">
        <f aca="false">IF($M2575=0,"",INDEX(Classes!$E$6:$E$420,$M2575))</f>
        <v/>
      </c>
      <c r="C2575" s="62" t="str">
        <f aca="false">IF($M2575=0,"",INDEX(Classes!$H$6:$H$420,$M2575))</f>
        <v/>
      </c>
      <c r="D2575" s="61" t="str">
        <f aca="false">IF($M2575=0,"",INDEX(Classes!$B$6:$B$420,$M2575))</f>
        <v/>
      </c>
      <c r="E2575" s="61" t="str">
        <f aca="false">IF($M2575=0,"",INDEX(Classes!$C$6:$C$420,$M2575))</f>
        <v/>
      </c>
      <c r="F2575" s="63"/>
      <c r="G2575" s="63"/>
      <c r="H2575" s="60"/>
      <c r="I2575" s="60"/>
      <c r="J2575" s="63"/>
      <c r="K2575" s="61" t="str">
        <f aca="false">IF($P2575=0,"",IF($F2575="Baseline","— Baseline",IF($O2575=0,"No result",IF($N2575=0,"No Start (attainment only)",IF(OR($N2575=1,$O2575=1),"U – needs rule",INDEX(MxBody,MATCH($I2575,MxCurr,0),MATCH($H2575,MxStart,0)))))))</f>
        <v/>
      </c>
      <c r="L2575" s="62" t="str">
        <f aca="false">IF(COUNTA($A2575,$F2575,$G2575,$H2575,$I2575,$J2575)=0,"",IF($M2575=0,"✖ كود الصف غير موجود",IF(ISNA(MATCH($F2575,Lists!$A$2:$A$5,0)),"✖ الفترة غير صحيحة",IF(ISNA(MATCH($G2575,Lists!$B$2:$B$7,0)),"✖ المجموعة غير صحيحة",IF(NOT(OR($H2575="",$N2575&gt;0)),"✖ Start غير صحيح",IF(NOT(OR($I2575="",$I2575="NR",$O2575&gt;0)),"✖ Current غير صحيح",IF(NOT(IF(ISNUMBER($J2575),AND($J2575&gt;=0,$J2575=INT($J2575)),FALSE())),"✖ العدد يجب أن يكون صحيحًا ≥ 0",IF(AND($F2575="Baseline",$H2575&lt;&gt;""),"⚠ Baseline: Start لا يدخل في التقدم",IF($K2575="No Start (attainment only)","ℹ تحصيل فقط (بدون Start)",IF($K2575="U – needs rule","ℹ حالة U تحتاج قاعدة معتمدة",IF($K2575="No result","ℹ بدون نتيجة (يُستبعد من التحصيل)","OK")))))))))))</f>
        <v/>
      </c>
      <c r="M2575" s="64" t="n">
        <f aca="false">IF($A2575="",0,IFERROR(MATCH($A2575,Classes!$A$6:$A$420,0),0))</f>
        <v>0</v>
      </c>
      <c r="N2575" s="64" t="n">
        <f aca="false">IF($H2575="",0,IFERROR(MATCH($H2575,GradeList,0),0))</f>
        <v>0</v>
      </c>
      <c r="O2575" s="64" t="n">
        <f aca="false">IF(OR($I2575="",$I2575="NR"),0,IFERROR(MATCH($I2575,GradeList,0),0))</f>
        <v>0</v>
      </c>
      <c r="P2575" s="64" t="n">
        <f aca="false">IF(AND($M2575&gt;0,ISNUMBER(MATCH($F2575,Lists!$A$2:$A$5,0)),ISNUMBER(MATCH($G2575,Lists!$B$2:$B$7,0)),OR($H2575="",$N2575&gt;0),OR($I2575="",$I2575="NR",$O2575&gt;0),IF(ISNUMBER($J2575),AND($J2575&gt;=0,$J2575=INT($J2575)),FALSE())),$J2575,0)</f>
        <v>0</v>
      </c>
      <c r="Q2575" s="64" t="n">
        <f aca="false">IF(AND($P2575&gt;0,$O2575&gt;0),$P2575,0)</f>
        <v>0</v>
      </c>
      <c r="R2575" s="64" t="n">
        <f aca="false">IF(AND($Q2575&gt;0,$O2575&gt;=AtRank),$Q2575,0)</f>
        <v>0</v>
      </c>
      <c r="S2575" s="64" t="n">
        <f aca="false">IF(AND($Q2575&gt;0,$O2575&gt;=AboveRank),$Q2575,0)</f>
        <v>0</v>
      </c>
      <c r="T2575" s="64" t="n">
        <f aca="false">IF($K2575="Less",$P2575,0)</f>
        <v>0</v>
      </c>
      <c r="U2575" s="64" t="n">
        <f aca="false">IF($K2575="Expected",$P2575,0)</f>
        <v>0</v>
      </c>
      <c r="V2575" s="64" t="n">
        <f aca="false">IF($K2575="Better",$P2575,0)</f>
        <v>0</v>
      </c>
      <c r="W2575" s="64" t="n">
        <f aca="false">IF($K2575="U – needs rule",$P2575,0)</f>
        <v>0</v>
      </c>
      <c r="X2575" s="64" t="n">
        <f aca="false">IF($K2575="No Start (attainment only)",$P2575,0)</f>
        <v>0</v>
      </c>
    </row>
    <row r="2576" customFormat="false" ht="15" hidden="false" customHeight="false" outlineLevel="0" collapsed="false">
      <c r="A2576" s="60"/>
      <c r="B2576" s="61" t="str">
        <f aca="false">IF($M2576=0,"",INDEX(Classes!$E$6:$E$420,$M2576))</f>
        <v/>
      </c>
      <c r="C2576" s="62" t="str">
        <f aca="false">IF($M2576=0,"",INDEX(Classes!$H$6:$H$420,$M2576))</f>
        <v/>
      </c>
      <c r="D2576" s="61" t="str">
        <f aca="false">IF($M2576=0,"",INDEX(Classes!$B$6:$B$420,$M2576))</f>
        <v/>
      </c>
      <c r="E2576" s="61" t="str">
        <f aca="false">IF($M2576=0,"",INDEX(Classes!$C$6:$C$420,$M2576))</f>
        <v/>
      </c>
      <c r="F2576" s="63"/>
      <c r="G2576" s="63"/>
      <c r="H2576" s="60"/>
      <c r="I2576" s="60"/>
      <c r="J2576" s="63"/>
      <c r="K2576" s="61" t="str">
        <f aca="false">IF($P2576=0,"",IF($F2576="Baseline","— Baseline",IF($O2576=0,"No result",IF($N2576=0,"No Start (attainment only)",IF(OR($N2576=1,$O2576=1),"U – needs rule",INDEX(MxBody,MATCH($I2576,MxCurr,0),MATCH($H2576,MxStart,0)))))))</f>
        <v/>
      </c>
      <c r="L2576" s="62" t="str">
        <f aca="false">IF(COUNTA($A2576,$F2576,$G2576,$H2576,$I2576,$J2576)=0,"",IF($M2576=0,"✖ كود الصف غير موجود",IF(ISNA(MATCH($F2576,Lists!$A$2:$A$5,0)),"✖ الفترة غير صحيحة",IF(ISNA(MATCH($G2576,Lists!$B$2:$B$7,0)),"✖ المجموعة غير صحيحة",IF(NOT(OR($H2576="",$N2576&gt;0)),"✖ Start غير صحيح",IF(NOT(OR($I2576="",$I2576="NR",$O2576&gt;0)),"✖ Current غير صحيح",IF(NOT(IF(ISNUMBER($J2576),AND($J2576&gt;=0,$J2576=INT($J2576)),FALSE())),"✖ العدد يجب أن يكون صحيحًا ≥ 0",IF(AND($F2576="Baseline",$H2576&lt;&gt;""),"⚠ Baseline: Start لا يدخل في التقدم",IF($K2576="No Start (attainment only)","ℹ تحصيل فقط (بدون Start)",IF($K2576="U – needs rule","ℹ حالة U تحتاج قاعدة معتمدة",IF($K2576="No result","ℹ بدون نتيجة (يُستبعد من التحصيل)","OK")))))))))))</f>
        <v/>
      </c>
      <c r="M2576" s="64" t="n">
        <f aca="false">IF($A2576="",0,IFERROR(MATCH($A2576,Classes!$A$6:$A$420,0),0))</f>
        <v>0</v>
      </c>
      <c r="N2576" s="64" t="n">
        <f aca="false">IF($H2576="",0,IFERROR(MATCH($H2576,GradeList,0),0))</f>
        <v>0</v>
      </c>
      <c r="O2576" s="64" t="n">
        <f aca="false">IF(OR($I2576="",$I2576="NR"),0,IFERROR(MATCH($I2576,GradeList,0),0))</f>
        <v>0</v>
      </c>
      <c r="P2576" s="64" t="n">
        <f aca="false">IF(AND($M2576&gt;0,ISNUMBER(MATCH($F2576,Lists!$A$2:$A$5,0)),ISNUMBER(MATCH($G2576,Lists!$B$2:$B$7,0)),OR($H2576="",$N2576&gt;0),OR($I2576="",$I2576="NR",$O2576&gt;0),IF(ISNUMBER($J2576),AND($J2576&gt;=0,$J2576=INT($J2576)),FALSE())),$J2576,0)</f>
        <v>0</v>
      </c>
      <c r="Q2576" s="64" t="n">
        <f aca="false">IF(AND($P2576&gt;0,$O2576&gt;0),$P2576,0)</f>
        <v>0</v>
      </c>
      <c r="R2576" s="64" t="n">
        <f aca="false">IF(AND($Q2576&gt;0,$O2576&gt;=AtRank),$Q2576,0)</f>
        <v>0</v>
      </c>
      <c r="S2576" s="64" t="n">
        <f aca="false">IF(AND($Q2576&gt;0,$O2576&gt;=AboveRank),$Q2576,0)</f>
        <v>0</v>
      </c>
      <c r="T2576" s="64" t="n">
        <f aca="false">IF($K2576="Less",$P2576,0)</f>
        <v>0</v>
      </c>
      <c r="U2576" s="64" t="n">
        <f aca="false">IF($K2576="Expected",$P2576,0)</f>
        <v>0</v>
      </c>
      <c r="V2576" s="64" t="n">
        <f aca="false">IF($K2576="Better",$P2576,0)</f>
        <v>0</v>
      </c>
      <c r="W2576" s="64" t="n">
        <f aca="false">IF($K2576="U – needs rule",$P2576,0)</f>
        <v>0</v>
      </c>
      <c r="X2576" s="64" t="n">
        <f aca="false">IF($K2576="No Start (attainment only)",$P2576,0)</f>
        <v>0</v>
      </c>
    </row>
    <row r="2577" customFormat="false" ht="15" hidden="false" customHeight="false" outlineLevel="0" collapsed="false">
      <c r="A2577" s="60"/>
      <c r="B2577" s="61" t="str">
        <f aca="false">IF($M2577=0,"",INDEX(Classes!$E$6:$E$420,$M2577))</f>
        <v/>
      </c>
      <c r="C2577" s="62" t="str">
        <f aca="false">IF($M2577=0,"",INDEX(Classes!$H$6:$H$420,$M2577))</f>
        <v/>
      </c>
      <c r="D2577" s="61" t="str">
        <f aca="false">IF($M2577=0,"",INDEX(Classes!$B$6:$B$420,$M2577))</f>
        <v/>
      </c>
      <c r="E2577" s="61" t="str">
        <f aca="false">IF($M2577=0,"",INDEX(Classes!$C$6:$C$420,$M2577))</f>
        <v/>
      </c>
      <c r="F2577" s="63"/>
      <c r="G2577" s="63"/>
      <c r="H2577" s="60"/>
      <c r="I2577" s="60"/>
      <c r="J2577" s="63"/>
      <c r="K2577" s="61" t="str">
        <f aca="false">IF($P2577=0,"",IF($F2577="Baseline","— Baseline",IF($O2577=0,"No result",IF($N2577=0,"No Start (attainment only)",IF(OR($N2577=1,$O2577=1),"U – needs rule",INDEX(MxBody,MATCH($I2577,MxCurr,0),MATCH($H2577,MxStart,0)))))))</f>
        <v/>
      </c>
      <c r="L2577" s="62" t="str">
        <f aca="false">IF(COUNTA($A2577,$F2577,$G2577,$H2577,$I2577,$J2577)=0,"",IF($M2577=0,"✖ كود الصف غير موجود",IF(ISNA(MATCH($F2577,Lists!$A$2:$A$5,0)),"✖ الفترة غير صحيحة",IF(ISNA(MATCH($G2577,Lists!$B$2:$B$7,0)),"✖ المجموعة غير صحيحة",IF(NOT(OR($H2577="",$N2577&gt;0)),"✖ Start غير صحيح",IF(NOT(OR($I2577="",$I2577="NR",$O2577&gt;0)),"✖ Current غير صحيح",IF(NOT(IF(ISNUMBER($J2577),AND($J2577&gt;=0,$J2577=INT($J2577)),FALSE())),"✖ العدد يجب أن يكون صحيحًا ≥ 0",IF(AND($F2577="Baseline",$H2577&lt;&gt;""),"⚠ Baseline: Start لا يدخل في التقدم",IF($K2577="No Start (attainment only)","ℹ تحصيل فقط (بدون Start)",IF($K2577="U – needs rule","ℹ حالة U تحتاج قاعدة معتمدة",IF($K2577="No result","ℹ بدون نتيجة (يُستبعد من التحصيل)","OK")))))))))))</f>
        <v/>
      </c>
      <c r="M2577" s="64" t="n">
        <f aca="false">IF($A2577="",0,IFERROR(MATCH($A2577,Classes!$A$6:$A$420,0),0))</f>
        <v>0</v>
      </c>
      <c r="N2577" s="64" t="n">
        <f aca="false">IF($H2577="",0,IFERROR(MATCH($H2577,GradeList,0),0))</f>
        <v>0</v>
      </c>
      <c r="O2577" s="64" t="n">
        <f aca="false">IF(OR($I2577="",$I2577="NR"),0,IFERROR(MATCH($I2577,GradeList,0),0))</f>
        <v>0</v>
      </c>
      <c r="P2577" s="64" t="n">
        <f aca="false">IF(AND($M2577&gt;0,ISNUMBER(MATCH($F2577,Lists!$A$2:$A$5,0)),ISNUMBER(MATCH($G2577,Lists!$B$2:$B$7,0)),OR($H2577="",$N2577&gt;0),OR($I2577="",$I2577="NR",$O2577&gt;0),IF(ISNUMBER($J2577),AND($J2577&gt;=0,$J2577=INT($J2577)),FALSE())),$J2577,0)</f>
        <v>0</v>
      </c>
      <c r="Q2577" s="64" t="n">
        <f aca="false">IF(AND($P2577&gt;0,$O2577&gt;0),$P2577,0)</f>
        <v>0</v>
      </c>
      <c r="R2577" s="64" t="n">
        <f aca="false">IF(AND($Q2577&gt;0,$O2577&gt;=AtRank),$Q2577,0)</f>
        <v>0</v>
      </c>
      <c r="S2577" s="64" t="n">
        <f aca="false">IF(AND($Q2577&gt;0,$O2577&gt;=AboveRank),$Q2577,0)</f>
        <v>0</v>
      </c>
      <c r="T2577" s="64" t="n">
        <f aca="false">IF($K2577="Less",$P2577,0)</f>
        <v>0</v>
      </c>
      <c r="U2577" s="64" t="n">
        <f aca="false">IF($K2577="Expected",$P2577,0)</f>
        <v>0</v>
      </c>
      <c r="V2577" s="64" t="n">
        <f aca="false">IF($K2577="Better",$P2577,0)</f>
        <v>0</v>
      </c>
      <c r="W2577" s="64" t="n">
        <f aca="false">IF($K2577="U – needs rule",$P2577,0)</f>
        <v>0</v>
      </c>
      <c r="X2577" s="64" t="n">
        <f aca="false">IF($K2577="No Start (attainment only)",$P2577,0)</f>
        <v>0</v>
      </c>
    </row>
    <row r="2578" customFormat="false" ht="15" hidden="false" customHeight="false" outlineLevel="0" collapsed="false">
      <c r="A2578" s="60"/>
      <c r="B2578" s="61" t="str">
        <f aca="false">IF($M2578=0,"",INDEX(Classes!$E$6:$E$420,$M2578))</f>
        <v/>
      </c>
      <c r="C2578" s="62" t="str">
        <f aca="false">IF($M2578=0,"",INDEX(Classes!$H$6:$H$420,$M2578))</f>
        <v/>
      </c>
      <c r="D2578" s="61" t="str">
        <f aca="false">IF($M2578=0,"",INDEX(Classes!$B$6:$B$420,$M2578))</f>
        <v/>
      </c>
      <c r="E2578" s="61" t="str">
        <f aca="false">IF($M2578=0,"",INDEX(Classes!$C$6:$C$420,$M2578))</f>
        <v/>
      </c>
      <c r="F2578" s="63"/>
      <c r="G2578" s="63"/>
      <c r="H2578" s="60"/>
      <c r="I2578" s="60"/>
      <c r="J2578" s="63"/>
      <c r="K2578" s="61" t="str">
        <f aca="false">IF($P2578=0,"",IF($F2578="Baseline","— Baseline",IF($O2578=0,"No result",IF($N2578=0,"No Start (attainment only)",IF(OR($N2578=1,$O2578=1),"U – needs rule",INDEX(MxBody,MATCH($I2578,MxCurr,0),MATCH($H2578,MxStart,0)))))))</f>
        <v/>
      </c>
      <c r="L2578" s="62" t="str">
        <f aca="false">IF(COUNTA($A2578,$F2578,$G2578,$H2578,$I2578,$J2578)=0,"",IF($M2578=0,"✖ كود الصف غير موجود",IF(ISNA(MATCH($F2578,Lists!$A$2:$A$5,0)),"✖ الفترة غير صحيحة",IF(ISNA(MATCH($G2578,Lists!$B$2:$B$7,0)),"✖ المجموعة غير صحيحة",IF(NOT(OR($H2578="",$N2578&gt;0)),"✖ Start غير صحيح",IF(NOT(OR($I2578="",$I2578="NR",$O2578&gt;0)),"✖ Current غير صحيح",IF(NOT(IF(ISNUMBER($J2578),AND($J2578&gt;=0,$J2578=INT($J2578)),FALSE())),"✖ العدد يجب أن يكون صحيحًا ≥ 0",IF(AND($F2578="Baseline",$H2578&lt;&gt;""),"⚠ Baseline: Start لا يدخل في التقدم",IF($K2578="No Start (attainment only)","ℹ تحصيل فقط (بدون Start)",IF($K2578="U – needs rule","ℹ حالة U تحتاج قاعدة معتمدة",IF($K2578="No result","ℹ بدون نتيجة (يُستبعد من التحصيل)","OK")))))))))))</f>
        <v/>
      </c>
      <c r="M2578" s="64" t="n">
        <f aca="false">IF($A2578="",0,IFERROR(MATCH($A2578,Classes!$A$6:$A$420,0),0))</f>
        <v>0</v>
      </c>
      <c r="N2578" s="64" t="n">
        <f aca="false">IF($H2578="",0,IFERROR(MATCH($H2578,GradeList,0),0))</f>
        <v>0</v>
      </c>
      <c r="O2578" s="64" t="n">
        <f aca="false">IF(OR($I2578="",$I2578="NR"),0,IFERROR(MATCH($I2578,GradeList,0),0))</f>
        <v>0</v>
      </c>
      <c r="P2578" s="64" t="n">
        <f aca="false">IF(AND($M2578&gt;0,ISNUMBER(MATCH($F2578,Lists!$A$2:$A$5,0)),ISNUMBER(MATCH($G2578,Lists!$B$2:$B$7,0)),OR($H2578="",$N2578&gt;0),OR($I2578="",$I2578="NR",$O2578&gt;0),IF(ISNUMBER($J2578),AND($J2578&gt;=0,$J2578=INT($J2578)),FALSE())),$J2578,0)</f>
        <v>0</v>
      </c>
      <c r="Q2578" s="64" t="n">
        <f aca="false">IF(AND($P2578&gt;0,$O2578&gt;0),$P2578,0)</f>
        <v>0</v>
      </c>
      <c r="R2578" s="64" t="n">
        <f aca="false">IF(AND($Q2578&gt;0,$O2578&gt;=AtRank),$Q2578,0)</f>
        <v>0</v>
      </c>
      <c r="S2578" s="64" t="n">
        <f aca="false">IF(AND($Q2578&gt;0,$O2578&gt;=AboveRank),$Q2578,0)</f>
        <v>0</v>
      </c>
      <c r="T2578" s="64" t="n">
        <f aca="false">IF($K2578="Less",$P2578,0)</f>
        <v>0</v>
      </c>
      <c r="U2578" s="64" t="n">
        <f aca="false">IF($K2578="Expected",$P2578,0)</f>
        <v>0</v>
      </c>
      <c r="V2578" s="64" t="n">
        <f aca="false">IF($K2578="Better",$P2578,0)</f>
        <v>0</v>
      </c>
      <c r="W2578" s="64" t="n">
        <f aca="false">IF($K2578="U – needs rule",$P2578,0)</f>
        <v>0</v>
      </c>
      <c r="X2578" s="64" t="n">
        <f aca="false">IF($K2578="No Start (attainment only)",$P2578,0)</f>
        <v>0</v>
      </c>
    </row>
    <row r="2579" customFormat="false" ht="15" hidden="false" customHeight="false" outlineLevel="0" collapsed="false">
      <c r="A2579" s="60"/>
      <c r="B2579" s="61" t="str">
        <f aca="false">IF($M2579=0,"",INDEX(Classes!$E$6:$E$420,$M2579))</f>
        <v/>
      </c>
      <c r="C2579" s="62" t="str">
        <f aca="false">IF($M2579=0,"",INDEX(Classes!$H$6:$H$420,$M2579))</f>
        <v/>
      </c>
      <c r="D2579" s="61" t="str">
        <f aca="false">IF($M2579=0,"",INDEX(Classes!$B$6:$B$420,$M2579))</f>
        <v/>
      </c>
      <c r="E2579" s="61" t="str">
        <f aca="false">IF($M2579=0,"",INDEX(Classes!$C$6:$C$420,$M2579))</f>
        <v/>
      </c>
      <c r="F2579" s="63"/>
      <c r="G2579" s="63"/>
      <c r="H2579" s="60"/>
      <c r="I2579" s="60"/>
      <c r="J2579" s="63"/>
      <c r="K2579" s="61" t="str">
        <f aca="false">IF($P2579=0,"",IF($F2579="Baseline","— Baseline",IF($O2579=0,"No result",IF($N2579=0,"No Start (attainment only)",IF(OR($N2579=1,$O2579=1),"U – needs rule",INDEX(MxBody,MATCH($I2579,MxCurr,0),MATCH($H2579,MxStart,0)))))))</f>
        <v/>
      </c>
      <c r="L2579" s="62" t="str">
        <f aca="false">IF(COUNTA($A2579,$F2579,$G2579,$H2579,$I2579,$J2579)=0,"",IF($M2579=0,"✖ كود الصف غير موجود",IF(ISNA(MATCH($F2579,Lists!$A$2:$A$5,0)),"✖ الفترة غير صحيحة",IF(ISNA(MATCH($G2579,Lists!$B$2:$B$7,0)),"✖ المجموعة غير صحيحة",IF(NOT(OR($H2579="",$N2579&gt;0)),"✖ Start غير صحيح",IF(NOT(OR($I2579="",$I2579="NR",$O2579&gt;0)),"✖ Current غير صحيح",IF(NOT(IF(ISNUMBER($J2579),AND($J2579&gt;=0,$J2579=INT($J2579)),FALSE())),"✖ العدد يجب أن يكون صحيحًا ≥ 0",IF(AND($F2579="Baseline",$H2579&lt;&gt;""),"⚠ Baseline: Start لا يدخل في التقدم",IF($K2579="No Start (attainment only)","ℹ تحصيل فقط (بدون Start)",IF($K2579="U – needs rule","ℹ حالة U تحتاج قاعدة معتمدة",IF($K2579="No result","ℹ بدون نتيجة (يُستبعد من التحصيل)","OK")))))))))))</f>
        <v/>
      </c>
      <c r="M2579" s="64" t="n">
        <f aca="false">IF($A2579="",0,IFERROR(MATCH($A2579,Classes!$A$6:$A$420,0),0))</f>
        <v>0</v>
      </c>
      <c r="N2579" s="64" t="n">
        <f aca="false">IF($H2579="",0,IFERROR(MATCH($H2579,GradeList,0),0))</f>
        <v>0</v>
      </c>
      <c r="O2579" s="64" t="n">
        <f aca="false">IF(OR($I2579="",$I2579="NR"),0,IFERROR(MATCH($I2579,GradeList,0),0))</f>
        <v>0</v>
      </c>
      <c r="P2579" s="64" t="n">
        <f aca="false">IF(AND($M2579&gt;0,ISNUMBER(MATCH($F2579,Lists!$A$2:$A$5,0)),ISNUMBER(MATCH($G2579,Lists!$B$2:$B$7,0)),OR($H2579="",$N2579&gt;0),OR($I2579="",$I2579="NR",$O2579&gt;0),IF(ISNUMBER($J2579),AND($J2579&gt;=0,$J2579=INT($J2579)),FALSE())),$J2579,0)</f>
        <v>0</v>
      </c>
      <c r="Q2579" s="64" t="n">
        <f aca="false">IF(AND($P2579&gt;0,$O2579&gt;0),$P2579,0)</f>
        <v>0</v>
      </c>
      <c r="R2579" s="64" t="n">
        <f aca="false">IF(AND($Q2579&gt;0,$O2579&gt;=AtRank),$Q2579,0)</f>
        <v>0</v>
      </c>
      <c r="S2579" s="64" t="n">
        <f aca="false">IF(AND($Q2579&gt;0,$O2579&gt;=AboveRank),$Q2579,0)</f>
        <v>0</v>
      </c>
      <c r="T2579" s="64" t="n">
        <f aca="false">IF($K2579="Less",$P2579,0)</f>
        <v>0</v>
      </c>
      <c r="U2579" s="64" t="n">
        <f aca="false">IF($K2579="Expected",$P2579,0)</f>
        <v>0</v>
      </c>
      <c r="V2579" s="64" t="n">
        <f aca="false">IF($K2579="Better",$P2579,0)</f>
        <v>0</v>
      </c>
      <c r="W2579" s="64" t="n">
        <f aca="false">IF($K2579="U – needs rule",$P2579,0)</f>
        <v>0</v>
      </c>
      <c r="X2579" s="64" t="n">
        <f aca="false">IF($K2579="No Start (attainment only)",$P2579,0)</f>
        <v>0</v>
      </c>
    </row>
    <row r="2580" customFormat="false" ht="15" hidden="false" customHeight="false" outlineLevel="0" collapsed="false">
      <c r="A2580" s="60"/>
      <c r="B2580" s="61" t="str">
        <f aca="false">IF($M2580=0,"",INDEX(Classes!$E$6:$E$420,$M2580))</f>
        <v/>
      </c>
      <c r="C2580" s="62" t="str">
        <f aca="false">IF($M2580=0,"",INDEX(Classes!$H$6:$H$420,$M2580))</f>
        <v/>
      </c>
      <c r="D2580" s="61" t="str">
        <f aca="false">IF($M2580=0,"",INDEX(Classes!$B$6:$B$420,$M2580))</f>
        <v/>
      </c>
      <c r="E2580" s="61" t="str">
        <f aca="false">IF($M2580=0,"",INDEX(Classes!$C$6:$C$420,$M2580))</f>
        <v/>
      </c>
      <c r="F2580" s="63"/>
      <c r="G2580" s="63"/>
      <c r="H2580" s="60"/>
      <c r="I2580" s="60"/>
      <c r="J2580" s="63"/>
      <c r="K2580" s="61" t="str">
        <f aca="false">IF($P2580=0,"",IF($F2580="Baseline","— Baseline",IF($O2580=0,"No result",IF($N2580=0,"No Start (attainment only)",IF(OR($N2580=1,$O2580=1),"U – needs rule",INDEX(MxBody,MATCH($I2580,MxCurr,0),MATCH($H2580,MxStart,0)))))))</f>
        <v/>
      </c>
      <c r="L2580" s="62" t="str">
        <f aca="false">IF(COUNTA($A2580,$F2580,$G2580,$H2580,$I2580,$J2580)=0,"",IF($M2580=0,"✖ كود الصف غير موجود",IF(ISNA(MATCH($F2580,Lists!$A$2:$A$5,0)),"✖ الفترة غير صحيحة",IF(ISNA(MATCH($G2580,Lists!$B$2:$B$7,0)),"✖ المجموعة غير صحيحة",IF(NOT(OR($H2580="",$N2580&gt;0)),"✖ Start غير صحيح",IF(NOT(OR($I2580="",$I2580="NR",$O2580&gt;0)),"✖ Current غير صحيح",IF(NOT(IF(ISNUMBER($J2580),AND($J2580&gt;=0,$J2580=INT($J2580)),FALSE())),"✖ العدد يجب أن يكون صحيحًا ≥ 0",IF(AND($F2580="Baseline",$H2580&lt;&gt;""),"⚠ Baseline: Start لا يدخل في التقدم",IF($K2580="No Start (attainment only)","ℹ تحصيل فقط (بدون Start)",IF($K2580="U – needs rule","ℹ حالة U تحتاج قاعدة معتمدة",IF($K2580="No result","ℹ بدون نتيجة (يُستبعد من التحصيل)","OK")))))))))))</f>
        <v/>
      </c>
      <c r="M2580" s="64" t="n">
        <f aca="false">IF($A2580="",0,IFERROR(MATCH($A2580,Classes!$A$6:$A$420,0),0))</f>
        <v>0</v>
      </c>
      <c r="N2580" s="64" t="n">
        <f aca="false">IF($H2580="",0,IFERROR(MATCH($H2580,GradeList,0),0))</f>
        <v>0</v>
      </c>
      <c r="O2580" s="64" t="n">
        <f aca="false">IF(OR($I2580="",$I2580="NR"),0,IFERROR(MATCH($I2580,GradeList,0),0))</f>
        <v>0</v>
      </c>
      <c r="P2580" s="64" t="n">
        <f aca="false">IF(AND($M2580&gt;0,ISNUMBER(MATCH($F2580,Lists!$A$2:$A$5,0)),ISNUMBER(MATCH($G2580,Lists!$B$2:$B$7,0)),OR($H2580="",$N2580&gt;0),OR($I2580="",$I2580="NR",$O2580&gt;0),IF(ISNUMBER($J2580),AND($J2580&gt;=0,$J2580=INT($J2580)),FALSE())),$J2580,0)</f>
        <v>0</v>
      </c>
      <c r="Q2580" s="64" t="n">
        <f aca="false">IF(AND($P2580&gt;0,$O2580&gt;0),$P2580,0)</f>
        <v>0</v>
      </c>
      <c r="R2580" s="64" t="n">
        <f aca="false">IF(AND($Q2580&gt;0,$O2580&gt;=AtRank),$Q2580,0)</f>
        <v>0</v>
      </c>
      <c r="S2580" s="64" t="n">
        <f aca="false">IF(AND($Q2580&gt;0,$O2580&gt;=AboveRank),$Q2580,0)</f>
        <v>0</v>
      </c>
      <c r="T2580" s="64" t="n">
        <f aca="false">IF($K2580="Less",$P2580,0)</f>
        <v>0</v>
      </c>
      <c r="U2580" s="64" t="n">
        <f aca="false">IF($K2580="Expected",$P2580,0)</f>
        <v>0</v>
      </c>
      <c r="V2580" s="64" t="n">
        <f aca="false">IF($K2580="Better",$P2580,0)</f>
        <v>0</v>
      </c>
      <c r="W2580" s="64" t="n">
        <f aca="false">IF($K2580="U – needs rule",$P2580,0)</f>
        <v>0</v>
      </c>
      <c r="X2580" s="64" t="n">
        <f aca="false">IF($K2580="No Start (attainment only)",$P2580,0)</f>
        <v>0</v>
      </c>
    </row>
    <row r="2581" customFormat="false" ht="15" hidden="false" customHeight="false" outlineLevel="0" collapsed="false">
      <c r="A2581" s="60"/>
      <c r="B2581" s="61" t="str">
        <f aca="false">IF($M2581=0,"",INDEX(Classes!$E$6:$E$420,$M2581))</f>
        <v/>
      </c>
      <c r="C2581" s="62" t="str">
        <f aca="false">IF($M2581=0,"",INDEX(Classes!$H$6:$H$420,$M2581))</f>
        <v/>
      </c>
      <c r="D2581" s="61" t="str">
        <f aca="false">IF($M2581=0,"",INDEX(Classes!$B$6:$B$420,$M2581))</f>
        <v/>
      </c>
      <c r="E2581" s="61" t="str">
        <f aca="false">IF($M2581=0,"",INDEX(Classes!$C$6:$C$420,$M2581))</f>
        <v/>
      </c>
      <c r="F2581" s="63"/>
      <c r="G2581" s="63"/>
      <c r="H2581" s="60"/>
      <c r="I2581" s="60"/>
      <c r="J2581" s="63"/>
      <c r="K2581" s="61" t="str">
        <f aca="false">IF($P2581=0,"",IF($F2581="Baseline","— Baseline",IF($O2581=0,"No result",IF($N2581=0,"No Start (attainment only)",IF(OR($N2581=1,$O2581=1),"U – needs rule",INDEX(MxBody,MATCH($I2581,MxCurr,0),MATCH($H2581,MxStart,0)))))))</f>
        <v/>
      </c>
      <c r="L2581" s="62" t="str">
        <f aca="false">IF(COUNTA($A2581,$F2581,$G2581,$H2581,$I2581,$J2581)=0,"",IF($M2581=0,"✖ كود الصف غير موجود",IF(ISNA(MATCH($F2581,Lists!$A$2:$A$5,0)),"✖ الفترة غير صحيحة",IF(ISNA(MATCH($G2581,Lists!$B$2:$B$7,0)),"✖ المجموعة غير صحيحة",IF(NOT(OR($H2581="",$N2581&gt;0)),"✖ Start غير صحيح",IF(NOT(OR($I2581="",$I2581="NR",$O2581&gt;0)),"✖ Current غير صحيح",IF(NOT(IF(ISNUMBER($J2581),AND($J2581&gt;=0,$J2581=INT($J2581)),FALSE())),"✖ العدد يجب أن يكون صحيحًا ≥ 0",IF(AND($F2581="Baseline",$H2581&lt;&gt;""),"⚠ Baseline: Start لا يدخل في التقدم",IF($K2581="No Start (attainment only)","ℹ تحصيل فقط (بدون Start)",IF($K2581="U – needs rule","ℹ حالة U تحتاج قاعدة معتمدة",IF($K2581="No result","ℹ بدون نتيجة (يُستبعد من التحصيل)","OK")))))))))))</f>
        <v/>
      </c>
      <c r="M2581" s="64" t="n">
        <f aca="false">IF($A2581="",0,IFERROR(MATCH($A2581,Classes!$A$6:$A$420,0),0))</f>
        <v>0</v>
      </c>
      <c r="N2581" s="64" t="n">
        <f aca="false">IF($H2581="",0,IFERROR(MATCH($H2581,GradeList,0),0))</f>
        <v>0</v>
      </c>
      <c r="O2581" s="64" t="n">
        <f aca="false">IF(OR($I2581="",$I2581="NR"),0,IFERROR(MATCH($I2581,GradeList,0),0))</f>
        <v>0</v>
      </c>
      <c r="P2581" s="64" t="n">
        <f aca="false">IF(AND($M2581&gt;0,ISNUMBER(MATCH($F2581,Lists!$A$2:$A$5,0)),ISNUMBER(MATCH($G2581,Lists!$B$2:$B$7,0)),OR($H2581="",$N2581&gt;0),OR($I2581="",$I2581="NR",$O2581&gt;0),IF(ISNUMBER($J2581),AND($J2581&gt;=0,$J2581=INT($J2581)),FALSE())),$J2581,0)</f>
        <v>0</v>
      </c>
      <c r="Q2581" s="64" t="n">
        <f aca="false">IF(AND($P2581&gt;0,$O2581&gt;0),$P2581,0)</f>
        <v>0</v>
      </c>
      <c r="R2581" s="64" t="n">
        <f aca="false">IF(AND($Q2581&gt;0,$O2581&gt;=AtRank),$Q2581,0)</f>
        <v>0</v>
      </c>
      <c r="S2581" s="64" t="n">
        <f aca="false">IF(AND($Q2581&gt;0,$O2581&gt;=AboveRank),$Q2581,0)</f>
        <v>0</v>
      </c>
      <c r="T2581" s="64" t="n">
        <f aca="false">IF($K2581="Less",$P2581,0)</f>
        <v>0</v>
      </c>
      <c r="U2581" s="64" t="n">
        <f aca="false">IF($K2581="Expected",$P2581,0)</f>
        <v>0</v>
      </c>
      <c r="V2581" s="64" t="n">
        <f aca="false">IF($K2581="Better",$P2581,0)</f>
        <v>0</v>
      </c>
      <c r="W2581" s="64" t="n">
        <f aca="false">IF($K2581="U – needs rule",$P2581,0)</f>
        <v>0</v>
      </c>
      <c r="X2581" s="64" t="n">
        <f aca="false">IF($K2581="No Start (attainment only)",$P2581,0)</f>
        <v>0</v>
      </c>
    </row>
    <row r="2582" customFormat="false" ht="15" hidden="false" customHeight="false" outlineLevel="0" collapsed="false">
      <c r="A2582" s="60"/>
      <c r="B2582" s="61" t="str">
        <f aca="false">IF($M2582=0,"",INDEX(Classes!$E$6:$E$420,$M2582))</f>
        <v/>
      </c>
      <c r="C2582" s="62" t="str">
        <f aca="false">IF($M2582=0,"",INDEX(Classes!$H$6:$H$420,$M2582))</f>
        <v/>
      </c>
      <c r="D2582" s="61" t="str">
        <f aca="false">IF($M2582=0,"",INDEX(Classes!$B$6:$B$420,$M2582))</f>
        <v/>
      </c>
      <c r="E2582" s="61" t="str">
        <f aca="false">IF($M2582=0,"",INDEX(Classes!$C$6:$C$420,$M2582))</f>
        <v/>
      </c>
      <c r="F2582" s="63"/>
      <c r="G2582" s="63"/>
      <c r="H2582" s="60"/>
      <c r="I2582" s="60"/>
      <c r="J2582" s="63"/>
      <c r="K2582" s="61" t="str">
        <f aca="false">IF($P2582=0,"",IF($F2582="Baseline","— Baseline",IF($O2582=0,"No result",IF($N2582=0,"No Start (attainment only)",IF(OR($N2582=1,$O2582=1),"U – needs rule",INDEX(MxBody,MATCH($I2582,MxCurr,0),MATCH($H2582,MxStart,0)))))))</f>
        <v/>
      </c>
      <c r="L2582" s="62" t="str">
        <f aca="false">IF(COUNTA($A2582,$F2582,$G2582,$H2582,$I2582,$J2582)=0,"",IF($M2582=0,"✖ كود الصف غير موجود",IF(ISNA(MATCH($F2582,Lists!$A$2:$A$5,0)),"✖ الفترة غير صحيحة",IF(ISNA(MATCH($G2582,Lists!$B$2:$B$7,0)),"✖ المجموعة غير صحيحة",IF(NOT(OR($H2582="",$N2582&gt;0)),"✖ Start غير صحيح",IF(NOT(OR($I2582="",$I2582="NR",$O2582&gt;0)),"✖ Current غير صحيح",IF(NOT(IF(ISNUMBER($J2582),AND($J2582&gt;=0,$J2582=INT($J2582)),FALSE())),"✖ العدد يجب أن يكون صحيحًا ≥ 0",IF(AND($F2582="Baseline",$H2582&lt;&gt;""),"⚠ Baseline: Start لا يدخل في التقدم",IF($K2582="No Start (attainment only)","ℹ تحصيل فقط (بدون Start)",IF($K2582="U – needs rule","ℹ حالة U تحتاج قاعدة معتمدة",IF($K2582="No result","ℹ بدون نتيجة (يُستبعد من التحصيل)","OK")))))))))))</f>
        <v/>
      </c>
      <c r="M2582" s="64" t="n">
        <f aca="false">IF($A2582="",0,IFERROR(MATCH($A2582,Classes!$A$6:$A$420,0),0))</f>
        <v>0</v>
      </c>
      <c r="N2582" s="64" t="n">
        <f aca="false">IF($H2582="",0,IFERROR(MATCH($H2582,GradeList,0),0))</f>
        <v>0</v>
      </c>
      <c r="O2582" s="64" t="n">
        <f aca="false">IF(OR($I2582="",$I2582="NR"),0,IFERROR(MATCH($I2582,GradeList,0),0))</f>
        <v>0</v>
      </c>
      <c r="P2582" s="64" t="n">
        <f aca="false">IF(AND($M2582&gt;0,ISNUMBER(MATCH($F2582,Lists!$A$2:$A$5,0)),ISNUMBER(MATCH($G2582,Lists!$B$2:$B$7,0)),OR($H2582="",$N2582&gt;0),OR($I2582="",$I2582="NR",$O2582&gt;0),IF(ISNUMBER($J2582),AND($J2582&gt;=0,$J2582=INT($J2582)),FALSE())),$J2582,0)</f>
        <v>0</v>
      </c>
      <c r="Q2582" s="64" t="n">
        <f aca="false">IF(AND($P2582&gt;0,$O2582&gt;0),$P2582,0)</f>
        <v>0</v>
      </c>
      <c r="R2582" s="64" t="n">
        <f aca="false">IF(AND($Q2582&gt;0,$O2582&gt;=AtRank),$Q2582,0)</f>
        <v>0</v>
      </c>
      <c r="S2582" s="64" t="n">
        <f aca="false">IF(AND($Q2582&gt;0,$O2582&gt;=AboveRank),$Q2582,0)</f>
        <v>0</v>
      </c>
      <c r="T2582" s="64" t="n">
        <f aca="false">IF($K2582="Less",$P2582,0)</f>
        <v>0</v>
      </c>
      <c r="U2582" s="64" t="n">
        <f aca="false">IF($K2582="Expected",$P2582,0)</f>
        <v>0</v>
      </c>
      <c r="V2582" s="64" t="n">
        <f aca="false">IF($K2582="Better",$P2582,0)</f>
        <v>0</v>
      </c>
      <c r="W2582" s="64" t="n">
        <f aca="false">IF($K2582="U – needs rule",$P2582,0)</f>
        <v>0</v>
      </c>
      <c r="X2582" s="64" t="n">
        <f aca="false">IF($K2582="No Start (attainment only)",$P2582,0)</f>
        <v>0</v>
      </c>
    </row>
    <row r="2583" customFormat="false" ht="15" hidden="false" customHeight="false" outlineLevel="0" collapsed="false">
      <c r="A2583" s="60"/>
      <c r="B2583" s="61" t="str">
        <f aca="false">IF($M2583=0,"",INDEX(Classes!$E$6:$E$420,$M2583))</f>
        <v/>
      </c>
      <c r="C2583" s="62" t="str">
        <f aca="false">IF($M2583=0,"",INDEX(Classes!$H$6:$H$420,$M2583))</f>
        <v/>
      </c>
      <c r="D2583" s="61" t="str">
        <f aca="false">IF($M2583=0,"",INDEX(Classes!$B$6:$B$420,$M2583))</f>
        <v/>
      </c>
      <c r="E2583" s="61" t="str">
        <f aca="false">IF($M2583=0,"",INDEX(Classes!$C$6:$C$420,$M2583))</f>
        <v/>
      </c>
      <c r="F2583" s="63"/>
      <c r="G2583" s="63"/>
      <c r="H2583" s="60"/>
      <c r="I2583" s="60"/>
      <c r="J2583" s="63"/>
      <c r="K2583" s="61" t="str">
        <f aca="false">IF($P2583=0,"",IF($F2583="Baseline","— Baseline",IF($O2583=0,"No result",IF($N2583=0,"No Start (attainment only)",IF(OR($N2583=1,$O2583=1),"U – needs rule",INDEX(MxBody,MATCH($I2583,MxCurr,0),MATCH($H2583,MxStart,0)))))))</f>
        <v/>
      </c>
      <c r="L2583" s="62" t="str">
        <f aca="false">IF(COUNTA($A2583,$F2583,$G2583,$H2583,$I2583,$J2583)=0,"",IF($M2583=0,"✖ كود الصف غير موجود",IF(ISNA(MATCH($F2583,Lists!$A$2:$A$5,0)),"✖ الفترة غير صحيحة",IF(ISNA(MATCH($G2583,Lists!$B$2:$B$7,0)),"✖ المجموعة غير صحيحة",IF(NOT(OR($H2583="",$N2583&gt;0)),"✖ Start غير صحيح",IF(NOT(OR($I2583="",$I2583="NR",$O2583&gt;0)),"✖ Current غير صحيح",IF(NOT(IF(ISNUMBER($J2583),AND($J2583&gt;=0,$J2583=INT($J2583)),FALSE())),"✖ العدد يجب أن يكون صحيحًا ≥ 0",IF(AND($F2583="Baseline",$H2583&lt;&gt;""),"⚠ Baseline: Start لا يدخل في التقدم",IF($K2583="No Start (attainment only)","ℹ تحصيل فقط (بدون Start)",IF($K2583="U – needs rule","ℹ حالة U تحتاج قاعدة معتمدة",IF($K2583="No result","ℹ بدون نتيجة (يُستبعد من التحصيل)","OK")))))))))))</f>
        <v/>
      </c>
      <c r="M2583" s="64" t="n">
        <f aca="false">IF($A2583="",0,IFERROR(MATCH($A2583,Classes!$A$6:$A$420,0),0))</f>
        <v>0</v>
      </c>
      <c r="N2583" s="64" t="n">
        <f aca="false">IF($H2583="",0,IFERROR(MATCH($H2583,GradeList,0),0))</f>
        <v>0</v>
      </c>
      <c r="O2583" s="64" t="n">
        <f aca="false">IF(OR($I2583="",$I2583="NR"),0,IFERROR(MATCH($I2583,GradeList,0),0))</f>
        <v>0</v>
      </c>
      <c r="P2583" s="64" t="n">
        <f aca="false">IF(AND($M2583&gt;0,ISNUMBER(MATCH($F2583,Lists!$A$2:$A$5,0)),ISNUMBER(MATCH($G2583,Lists!$B$2:$B$7,0)),OR($H2583="",$N2583&gt;0),OR($I2583="",$I2583="NR",$O2583&gt;0),IF(ISNUMBER($J2583),AND($J2583&gt;=0,$J2583=INT($J2583)),FALSE())),$J2583,0)</f>
        <v>0</v>
      </c>
      <c r="Q2583" s="64" t="n">
        <f aca="false">IF(AND($P2583&gt;0,$O2583&gt;0),$P2583,0)</f>
        <v>0</v>
      </c>
      <c r="R2583" s="64" t="n">
        <f aca="false">IF(AND($Q2583&gt;0,$O2583&gt;=AtRank),$Q2583,0)</f>
        <v>0</v>
      </c>
      <c r="S2583" s="64" t="n">
        <f aca="false">IF(AND($Q2583&gt;0,$O2583&gt;=AboveRank),$Q2583,0)</f>
        <v>0</v>
      </c>
      <c r="T2583" s="64" t="n">
        <f aca="false">IF($K2583="Less",$P2583,0)</f>
        <v>0</v>
      </c>
      <c r="U2583" s="64" t="n">
        <f aca="false">IF($K2583="Expected",$P2583,0)</f>
        <v>0</v>
      </c>
      <c r="V2583" s="64" t="n">
        <f aca="false">IF($K2583="Better",$P2583,0)</f>
        <v>0</v>
      </c>
      <c r="W2583" s="64" t="n">
        <f aca="false">IF($K2583="U – needs rule",$P2583,0)</f>
        <v>0</v>
      </c>
      <c r="X2583" s="64" t="n">
        <f aca="false">IF($K2583="No Start (attainment only)",$P2583,0)</f>
        <v>0</v>
      </c>
    </row>
    <row r="2584" customFormat="false" ht="15" hidden="false" customHeight="false" outlineLevel="0" collapsed="false">
      <c r="A2584" s="60"/>
      <c r="B2584" s="61" t="str">
        <f aca="false">IF($M2584=0,"",INDEX(Classes!$E$6:$E$420,$M2584))</f>
        <v/>
      </c>
      <c r="C2584" s="62" t="str">
        <f aca="false">IF($M2584=0,"",INDEX(Classes!$H$6:$H$420,$M2584))</f>
        <v/>
      </c>
      <c r="D2584" s="61" t="str">
        <f aca="false">IF($M2584=0,"",INDEX(Classes!$B$6:$B$420,$M2584))</f>
        <v/>
      </c>
      <c r="E2584" s="61" t="str">
        <f aca="false">IF($M2584=0,"",INDEX(Classes!$C$6:$C$420,$M2584))</f>
        <v/>
      </c>
      <c r="F2584" s="63"/>
      <c r="G2584" s="63"/>
      <c r="H2584" s="60"/>
      <c r="I2584" s="60"/>
      <c r="J2584" s="63"/>
      <c r="K2584" s="61" t="str">
        <f aca="false">IF($P2584=0,"",IF($F2584="Baseline","— Baseline",IF($O2584=0,"No result",IF($N2584=0,"No Start (attainment only)",IF(OR($N2584=1,$O2584=1),"U – needs rule",INDEX(MxBody,MATCH($I2584,MxCurr,0),MATCH($H2584,MxStart,0)))))))</f>
        <v/>
      </c>
      <c r="L2584" s="62" t="str">
        <f aca="false">IF(COUNTA($A2584,$F2584,$G2584,$H2584,$I2584,$J2584)=0,"",IF($M2584=0,"✖ كود الصف غير موجود",IF(ISNA(MATCH($F2584,Lists!$A$2:$A$5,0)),"✖ الفترة غير صحيحة",IF(ISNA(MATCH($G2584,Lists!$B$2:$B$7,0)),"✖ المجموعة غير صحيحة",IF(NOT(OR($H2584="",$N2584&gt;0)),"✖ Start غير صحيح",IF(NOT(OR($I2584="",$I2584="NR",$O2584&gt;0)),"✖ Current غير صحيح",IF(NOT(IF(ISNUMBER($J2584),AND($J2584&gt;=0,$J2584=INT($J2584)),FALSE())),"✖ العدد يجب أن يكون صحيحًا ≥ 0",IF(AND($F2584="Baseline",$H2584&lt;&gt;""),"⚠ Baseline: Start لا يدخل في التقدم",IF($K2584="No Start (attainment only)","ℹ تحصيل فقط (بدون Start)",IF($K2584="U – needs rule","ℹ حالة U تحتاج قاعدة معتمدة",IF($K2584="No result","ℹ بدون نتيجة (يُستبعد من التحصيل)","OK")))))))))))</f>
        <v/>
      </c>
      <c r="M2584" s="64" t="n">
        <f aca="false">IF($A2584="",0,IFERROR(MATCH($A2584,Classes!$A$6:$A$420,0),0))</f>
        <v>0</v>
      </c>
      <c r="N2584" s="64" t="n">
        <f aca="false">IF($H2584="",0,IFERROR(MATCH($H2584,GradeList,0),0))</f>
        <v>0</v>
      </c>
      <c r="O2584" s="64" t="n">
        <f aca="false">IF(OR($I2584="",$I2584="NR"),0,IFERROR(MATCH($I2584,GradeList,0),0))</f>
        <v>0</v>
      </c>
      <c r="P2584" s="64" t="n">
        <f aca="false">IF(AND($M2584&gt;0,ISNUMBER(MATCH($F2584,Lists!$A$2:$A$5,0)),ISNUMBER(MATCH($G2584,Lists!$B$2:$B$7,0)),OR($H2584="",$N2584&gt;0),OR($I2584="",$I2584="NR",$O2584&gt;0),IF(ISNUMBER($J2584),AND($J2584&gt;=0,$J2584=INT($J2584)),FALSE())),$J2584,0)</f>
        <v>0</v>
      </c>
      <c r="Q2584" s="64" t="n">
        <f aca="false">IF(AND($P2584&gt;0,$O2584&gt;0),$P2584,0)</f>
        <v>0</v>
      </c>
      <c r="R2584" s="64" t="n">
        <f aca="false">IF(AND($Q2584&gt;0,$O2584&gt;=AtRank),$Q2584,0)</f>
        <v>0</v>
      </c>
      <c r="S2584" s="64" t="n">
        <f aca="false">IF(AND($Q2584&gt;0,$O2584&gt;=AboveRank),$Q2584,0)</f>
        <v>0</v>
      </c>
      <c r="T2584" s="64" t="n">
        <f aca="false">IF($K2584="Less",$P2584,0)</f>
        <v>0</v>
      </c>
      <c r="U2584" s="64" t="n">
        <f aca="false">IF($K2584="Expected",$P2584,0)</f>
        <v>0</v>
      </c>
      <c r="V2584" s="64" t="n">
        <f aca="false">IF($K2584="Better",$P2584,0)</f>
        <v>0</v>
      </c>
      <c r="W2584" s="64" t="n">
        <f aca="false">IF($K2584="U – needs rule",$P2584,0)</f>
        <v>0</v>
      </c>
      <c r="X2584" s="64" t="n">
        <f aca="false">IF($K2584="No Start (attainment only)",$P2584,0)</f>
        <v>0</v>
      </c>
    </row>
    <row r="2585" customFormat="false" ht="15" hidden="false" customHeight="false" outlineLevel="0" collapsed="false">
      <c r="A2585" s="60"/>
      <c r="B2585" s="61" t="str">
        <f aca="false">IF($M2585=0,"",INDEX(Classes!$E$6:$E$420,$M2585))</f>
        <v/>
      </c>
      <c r="C2585" s="62" t="str">
        <f aca="false">IF($M2585=0,"",INDEX(Classes!$H$6:$H$420,$M2585))</f>
        <v/>
      </c>
      <c r="D2585" s="61" t="str">
        <f aca="false">IF($M2585=0,"",INDEX(Classes!$B$6:$B$420,$M2585))</f>
        <v/>
      </c>
      <c r="E2585" s="61" t="str">
        <f aca="false">IF($M2585=0,"",INDEX(Classes!$C$6:$C$420,$M2585))</f>
        <v/>
      </c>
      <c r="F2585" s="63"/>
      <c r="G2585" s="63"/>
      <c r="H2585" s="60"/>
      <c r="I2585" s="60"/>
      <c r="J2585" s="63"/>
      <c r="K2585" s="61" t="str">
        <f aca="false">IF($P2585=0,"",IF($F2585="Baseline","— Baseline",IF($O2585=0,"No result",IF($N2585=0,"No Start (attainment only)",IF(OR($N2585=1,$O2585=1),"U – needs rule",INDEX(MxBody,MATCH($I2585,MxCurr,0),MATCH($H2585,MxStart,0)))))))</f>
        <v/>
      </c>
      <c r="L2585" s="62" t="str">
        <f aca="false">IF(COUNTA($A2585,$F2585,$G2585,$H2585,$I2585,$J2585)=0,"",IF($M2585=0,"✖ كود الصف غير موجود",IF(ISNA(MATCH($F2585,Lists!$A$2:$A$5,0)),"✖ الفترة غير صحيحة",IF(ISNA(MATCH($G2585,Lists!$B$2:$B$7,0)),"✖ المجموعة غير صحيحة",IF(NOT(OR($H2585="",$N2585&gt;0)),"✖ Start غير صحيح",IF(NOT(OR($I2585="",$I2585="NR",$O2585&gt;0)),"✖ Current غير صحيح",IF(NOT(IF(ISNUMBER($J2585),AND($J2585&gt;=0,$J2585=INT($J2585)),FALSE())),"✖ العدد يجب أن يكون صحيحًا ≥ 0",IF(AND($F2585="Baseline",$H2585&lt;&gt;""),"⚠ Baseline: Start لا يدخل في التقدم",IF($K2585="No Start (attainment only)","ℹ تحصيل فقط (بدون Start)",IF($K2585="U – needs rule","ℹ حالة U تحتاج قاعدة معتمدة",IF($K2585="No result","ℹ بدون نتيجة (يُستبعد من التحصيل)","OK")))))))))))</f>
        <v/>
      </c>
      <c r="M2585" s="64" t="n">
        <f aca="false">IF($A2585="",0,IFERROR(MATCH($A2585,Classes!$A$6:$A$420,0),0))</f>
        <v>0</v>
      </c>
      <c r="N2585" s="64" t="n">
        <f aca="false">IF($H2585="",0,IFERROR(MATCH($H2585,GradeList,0),0))</f>
        <v>0</v>
      </c>
      <c r="O2585" s="64" t="n">
        <f aca="false">IF(OR($I2585="",$I2585="NR"),0,IFERROR(MATCH($I2585,GradeList,0),0))</f>
        <v>0</v>
      </c>
      <c r="P2585" s="64" t="n">
        <f aca="false">IF(AND($M2585&gt;0,ISNUMBER(MATCH($F2585,Lists!$A$2:$A$5,0)),ISNUMBER(MATCH($G2585,Lists!$B$2:$B$7,0)),OR($H2585="",$N2585&gt;0),OR($I2585="",$I2585="NR",$O2585&gt;0),IF(ISNUMBER($J2585),AND($J2585&gt;=0,$J2585=INT($J2585)),FALSE())),$J2585,0)</f>
        <v>0</v>
      </c>
      <c r="Q2585" s="64" t="n">
        <f aca="false">IF(AND($P2585&gt;0,$O2585&gt;0),$P2585,0)</f>
        <v>0</v>
      </c>
      <c r="R2585" s="64" t="n">
        <f aca="false">IF(AND($Q2585&gt;0,$O2585&gt;=AtRank),$Q2585,0)</f>
        <v>0</v>
      </c>
      <c r="S2585" s="64" t="n">
        <f aca="false">IF(AND($Q2585&gt;0,$O2585&gt;=AboveRank),$Q2585,0)</f>
        <v>0</v>
      </c>
      <c r="T2585" s="64" t="n">
        <f aca="false">IF($K2585="Less",$P2585,0)</f>
        <v>0</v>
      </c>
      <c r="U2585" s="64" t="n">
        <f aca="false">IF($K2585="Expected",$P2585,0)</f>
        <v>0</v>
      </c>
      <c r="V2585" s="64" t="n">
        <f aca="false">IF($K2585="Better",$P2585,0)</f>
        <v>0</v>
      </c>
      <c r="W2585" s="64" t="n">
        <f aca="false">IF($K2585="U – needs rule",$P2585,0)</f>
        <v>0</v>
      </c>
      <c r="X2585" s="64" t="n">
        <f aca="false">IF($K2585="No Start (attainment only)",$P2585,0)</f>
        <v>0</v>
      </c>
    </row>
    <row r="2586" customFormat="false" ht="15" hidden="false" customHeight="false" outlineLevel="0" collapsed="false">
      <c r="A2586" s="60"/>
      <c r="B2586" s="61" t="str">
        <f aca="false">IF($M2586=0,"",INDEX(Classes!$E$6:$E$420,$M2586))</f>
        <v/>
      </c>
      <c r="C2586" s="62" t="str">
        <f aca="false">IF($M2586=0,"",INDEX(Classes!$H$6:$H$420,$M2586))</f>
        <v/>
      </c>
      <c r="D2586" s="61" t="str">
        <f aca="false">IF($M2586=0,"",INDEX(Classes!$B$6:$B$420,$M2586))</f>
        <v/>
      </c>
      <c r="E2586" s="61" t="str">
        <f aca="false">IF($M2586=0,"",INDEX(Classes!$C$6:$C$420,$M2586))</f>
        <v/>
      </c>
      <c r="F2586" s="63"/>
      <c r="G2586" s="63"/>
      <c r="H2586" s="60"/>
      <c r="I2586" s="60"/>
      <c r="J2586" s="63"/>
      <c r="K2586" s="61" t="str">
        <f aca="false">IF($P2586=0,"",IF($F2586="Baseline","— Baseline",IF($O2586=0,"No result",IF($N2586=0,"No Start (attainment only)",IF(OR($N2586=1,$O2586=1),"U – needs rule",INDEX(MxBody,MATCH($I2586,MxCurr,0),MATCH($H2586,MxStart,0)))))))</f>
        <v/>
      </c>
      <c r="L2586" s="62" t="str">
        <f aca="false">IF(COUNTA($A2586,$F2586,$G2586,$H2586,$I2586,$J2586)=0,"",IF($M2586=0,"✖ كود الصف غير موجود",IF(ISNA(MATCH($F2586,Lists!$A$2:$A$5,0)),"✖ الفترة غير صحيحة",IF(ISNA(MATCH($G2586,Lists!$B$2:$B$7,0)),"✖ المجموعة غير صحيحة",IF(NOT(OR($H2586="",$N2586&gt;0)),"✖ Start غير صحيح",IF(NOT(OR($I2586="",$I2586="NR",$O2586&gt;0)),"✖ Current غير صحيح",IF(NOT(IF(ISNUMBER($J2586),AND($J2586&gt;=0,$J2586=INT($J2586)),FALSE())),"✖ العدد يجب أن يكون صحيحًا ≥ 0",IF(AND($F2586="Baseline",$H2586&lt;&gt;""),"⚠ Baseline: Start لا يدخل في التقدم",IF($K2586="No Start (attainment only)","ℹ تحصيل فقط (بدون Start)",IF($K2586="U – needs rule","ℹ حالة U تحتاج قاعدة معتمدة",IF($K2586="No result","ℹ بدون نتيجة (يُستبعد من التحصيل)","OK")))))))))))</f>
        <v/>
      </c>
      <c r="M2586" s="64" t="n">
        <f aca="false">IF($A2586="",0,IFERROR(MATCH($A2586,Classes!$A$6:$A$420,0),0))</f>
        <v>0</v>
      </c>
      <c r="N2586" s="64" t="n">
        <f aca="false">IF($H2586="",0,IFERROR(MATCH($H2586,GradeList,0),0))</f>
        <v>0</v>
      </c>
      <c r="O2586" s="64" t="n">
        <f aca="false">IF(OR($I2586="",$I2586="NR"),0,IFERROR(MATCH($I2586,GradeList,0),0))</f>
        <v>0</v>
      </c>
      <c r="P2586" s="64" t="n">
        <f aca="false">IF(AND($M2586&gt;0,ISNUMBER(MATCH($F2586,Lists!$A$2:$A$5,0)),ISNUMBER(MATCH($G2586,Lists!$B$2:$B$7,0)),OR($H2586="",$N2586&gt;0),OR($I2586="",$I2586="NR",$O2586&gt;0),IF(ISNUMBER($J2586),AND($J2586&gt;=0,$J2586=INT($J2586)),FALSE())),$J2586,0)</f>
        <v>0</v>
      </c>
      <c r="Q2586" s="64" t="n">
        <f aca="false">IF(AND($P2586&gt;0,$O2586&gt;0),$P2586,0)</f>
        <v>0</v>
      </c>
      <c r="R2586" s="64" t="n">
        <f aca="false">IF(AND($Q2586&gt;0,$O2586&gt;=AtRank),$Q2586,0)</f>
        <v>0</v>
      </c>
      <c r="S2586" s="64" t="n">
        <f aca="false">IF(AND($Q2586&gt;0,$O2586&gt;=AboveRank),$Q2586,0)</f>
        <v>0</v>
      </c>
      <c r="T2586" s="64" t="n">
        <f aca="false">IF($K2586="Less",$P2586,0)</f>
        <v>0</v>
      </c>
      <c r="U2586" s="64" t="n">
        <f aca="false">IF($K2586="Expected",$P2586,0)</f>
        <v>0</v>
      </c>
      <c r="V2586" s="64" t="n">
        <f aca="false">IF($K2586="Better",$P2586,0)</f>
        <v>0</v>
      </c>
      <c r="W2586" s="64" t="n">
        <f aca="false">IF($K2586="U – needs rule",$P2586,0)</f>
        <v>0</v>
      </c>
      <c r="X2586" s="64" t="n">
        <f aca="false">IF($K2586="No Start (attainment only)",$P2586,0)</f>
        <v>0</v>
      </c>
    </row>
    <row r="2587" customFormat="false" ht="15" hidden="false" customHeight="false" outlineLevel="0" collapsed="false">
      <c r="A2587" s="60"/>
      <c r="B2587" s="61" t="str">
        <f aca="false">IF($M2587=0,"",INDEX(Classes!$E$6:$E$420,$M2587))</f>
        <v/>
      </c>
      <c r="C2587" s="62" t="str">
        <f aca="false">IF($M2587=0,"",INDEX(Classes!$H$6:$H$420,$M2587))</f>
        <v/>
      </c>
      <c r="D2587" s="61" t="str">
        <f aca="false">IF($M2587=0,"",INDEX(Classes!$B$6:$B$420,$M2587))</f>
        <v/>
      </c>
      <c r="E2587" s="61" t="str">
        <f aca="false">IF($M2587=0,"",INDEX(Classes!$C$6:$C$420,$M2587))</f>
        <v/>
      </c>
      <c r="F2587" s="63"/>
      <c r="G2587" s="63"/>
      <c r="H2587" s="60"/>
      <c r="I2587" s="60"/>
      <c r="J2587" s="63"/>
      <c r="K2587" s="61" t="str">
        <f aca="false">IF($P2587=0,"",IF($F2587="Baseline","— Baseline",IF($O2587=0,"No result",IF($N2587=0,"No Start (attainment only)",IF(OR($N2587=1,$O2587=1),"U – needs rule",INDEX(MxBody,MATCH($I2587,MxCurr,0),MATCH($H2587,MxStart,0)))))))</f>
        <v/>
      </c>
      <c r="L2587" s="62" t="str">
        <f aca="false">IF(COUNTA($A2587,$F2587,$G2587,$H2587,$I2587,$J2587)=0,"",IF($M2587=0,"✖ كود الصف غير موجود",IF(ISNA(MATCH($F2587,Lists!$A$2:$A$5,0)),"✖ الفترة غير صحيحة",IF(ISNA(MATCH($G2587,Lists!$B$2:$B$7,0)),"✖ المجموعة غير صحيحة",IF(NOT(OR($H2587="",$N2587&gt;0)),"✖ Start غير صحيح",IF(NOT(OR($I2587="",$I2587="NR",$O2587&gt;0)),"✖ Current غير صحيح",IF(NOT(IF(ISNUMBER($J2587),AND($J2587&gt;=0,$J2587=INT($J2587)),FALSE())),"✖ العدد يجب أن يكون صحيحًا ≥ 0",IF(AND($F2587="Baseline",$H2587&lt;&gt;""),"⚠ Baseline: Start لا يدخل في التقدم",IF($K2587="No Start (attainment only)","ℹ تحصيل فقط (بدون Start)",IF($K2587="U – needs rule","ℹ حالة U تحتاج قاعدة معتمدة",IF($K2587="No result","ℹ بدون نتيجة (يُستبعد من التحصيل)","OK")))))))))))</f>
        <v/>
      </c>
      <c r="M2587" s="64" t="n">
        <f aca="false">IF($A2587="",0,IFERROR(MATCH($A2587,Classes!$A$6:$A$420,0),0))</f>
        <v>0</v>
      </c>
      <c r="N2587" s="64" t="n">
        <f aca="false">IF($H2587="",0,IFERROR(MATCH($H2587,GradeList,0),0))</f>
        <v>0</v>
      </c>
      <c r="O2587" s="64" t="n">
        <f aca="false">IF(OR($I2587="",$I2587="NR"),0,IFERROR(MATCH($I2587,GradeList,0),0))</f>
        <v>0</v>
      </c>
      <c r="P2587" s="64" t="n">
        <f aca="false">IF(AND($M2587&gt;0,ISNUMBER(MATCH($F2587,Lists!$A$2:$A$5,0)),ISNUMBER(MATCH($G2587,Lists!$B$2:$B$7,0)),OR($H2587="",$N2587&gt;0),OR($I2587="",$I2587="NR",$O2587&gt;0),IF(ISNUMBER($J2587),AND($J2587&gt;=0,$J2587=INT($J2587)),FALSE())),$J2587,0)</f>
        <v>0</v>
      </c>
      <c r="Q2587" s="64" t="n">
        <f aca="false">IF(AND($P2587&gt;0,$O2587&gt;0),$P2587,0)</f>
        <v>0</v>
      </c>
      <c r="R2587" s="64" t="n">
        <f aca="false">IF(AND($Q2587&gt;0,$O2587&gt;=AtRank),$Q2587,0)</f>
        <v>0</v>
      </c>
      <c r="S2587" s="64" t="n">
        <f aca="false">IF(AND($Q2587&gt;0,$O2587&gt;=AboveRank),$Q2587,0)</f>
        <v>0</v>
      </c>
      <c r="T2587" s="64" t="n">
        <f aca="false">IF($K2587="Less",$P2587,0)</f>
        <v>0</v>
      </c>
      <c r="U2587" s="64" t="n">
        <f aca="false">IF($K2587="Expected",$P2587,0)</f>
        <v>0</v>
      </c>
      <c r="V2587" s="64" t="n">
        <f aca="false">IF($K2587="Better",$P2587,0)</f>
        <v>0</v>
      </c>
      <c r="W2587" s="64" t="n">
        <f aca="false">IF($K2587="U – needs rule",$P2587,0)</f>
        <v>0</v>
      </c>
      <c r="X2587" s="64" t="n">
        <f aca="false">IF($K2587="No Start (attainment only)",$P2587,0)</f>
        <v>0</v>
      </c>
    </row>
    <row r="2588" customFormat="false" ht="15" hidden="false" customHeight="false" outlineLevel="0" collapsed="false">
      <c r="A2588" s="60"/>
      <c r="B2588" s="61" t="str">
        <f aca="false">IF($M2588=0,"",INDEX(Classes!$E$6:$E$420,$M2588))</f>
        <v/>
      </c>
      <c r="C2588" s="62" t="str">
        <f aca="false">IF($M2588=0,"",INDEX(Classes!$H$6:$H$420,$M2588))</f>
        <v/>
      </c>
      <c r="D2588" s="61" t="str">
        <f aca="false">IF($M2588=0,"",INDEX(Classes!$B$6:$B$420,$M2588))</f>
        <v/>
      </c>
      <c r="E2588" s="61" t="str">
        <f aca="false">IF($M2588=0,"",INDEX(Classes!$C$6:$C$420,$M2588))</f>
        <v/>
      </c>
      <c r="F2588" s="63"/>
      <c r="G2588" s="63"/>
      <c r="H2588" s="60"/>
      <c r="I2588" s="60"/>
      <c r="J2588" s="63"/>
      <c r="K2588" s="61" t="str">
        <f aca="false">IF($P2588=0,"",IF($F2588="Baseline","— Baseline",IF($O2588=0,"No result",IF($N2588=0,"No Start (attainment only)",IF(OR($N2588=1,$O2588=1),"U – needs rule",INDEX(MxBody,MATCH($I2588,MxCurr,0),MATCH($H2588,MxStart,0)))))))</f>
        <v/>
      </c>
      <c r="L2588" s="62" t="str">
        <f aca="false">IF(COUNTA($A2588,$F2588,$G2588,$H2588,$I2588,$J2588)=0,"",IF($M2588=0,"✖ كود الصف غير موجود",IF(ISNA(MATCH($F2588,Lists!$A$2:$A$5,0)),"✖ الفترة غير صحيحة",IF(ISNA(MATCH($G2588,Lists!$B$2:$B$7,0)),"✖ المجموعة غير صحيحة",IF(NOT(OR($H2588="",$N2588&gt;0)),"✖ Start غير صحيح",IF(NOT(OR($I2588="",$I2588="NR",$O2588&gt;0)),"✖ Current غير صحيح",IF(NOT(IF(ISNUMBER($J2588),AND($J2588&gt;=0,$J2588=INT($J2588)),FALSE())),"✖ العدد يجب أن يكون صحيحًا ≥ 0",IF(AND($F2588="Baseline",$H2588&lt;&gt;""),"⚠ Baseline: Start لا يدخل في التقدم",IF($K2588="No Start (attainment only)","ℹ تحصيل فقط (بدون Start)",IF($K2588="U – needs rule","ℹ حالة U تحتاج قاعدة معتمدة",IF($K2588="No result","ℹ بدون نتيجة (يُستبعد من التحصيل)","OK")))))))))))</f>
        <v/>
      </c>
      <c r="M2588" s="64" t="n">
        <f aca="false">IF($A2588="",0,IFERROR(MATCH($A2588,Classes!$A$6:$A$420,0),0))</f>
        <v>0</v>
      </c>
      <c r="N2588" s="64" t="n">
        <f aca="false">IF($H2588="",0,IFERROR(MATCH($H2588,GradeList,0),0))</f>
        <v>0</v>
      </c>
      <c r="O2588" s="64" t="n">
        <f aca="false">IF(OR($I2588="",$I2588="NR"),0,IFERROR(MATCH($I2588,GradeList,0),0))</f>
        <v>0</v>
      </c>
      <c r="P2588" s="64" t="n">
        <f aca="false">IF(AND($M2588&gt;0,ISNUMBER(MATCH($F2588,Lists!$A$2:$A$5,0)),ISNUMBER(MATCH($G2588,Lists!$B$2:$B$7,0)),OR($H2588="",$N2588&gt;0),OR($I2588="",$I2588="NR",$O2588&gt;0),IF(ISNUMBER($J2588),AND($J2588&gt;=0,$J2588=INT($J2588)),FALSE())),$J2588,0)</f>
        <v>0</v>
      </c>
      <c r="Q2588" s="64" t="n">
        <f aca="false">IF(AND($P2588&gt;0,$O2588&gt;0),$P2588,0)</f>
        <v>0</v>
      </c>
      <c r="R2588" s="64" t="n">
        <f aca="false">IF(AND($Q2588&gt;0,$O2588&gt;=AtRank),$Q2588,0)</f>
        <v>0</v>
      </c>
      <c r="S2588" s="64" t="n">
        <f aca="false">IF(AND($Q2588&gt;0,$O2588&gt;=AboveRank),$Q2588,0)</f>
        <v>0</v>
      </c>
      <c r="T2588" s="64" t="n">
        <f aca="false">IF($K2588="Less",$P2588,0)</f>
        <v>0</v>
      </c>
      <c r="U2588" s="64" t="n">
        <f aca="false">IF($K2588="Expected",$P2588,0)</f>
        <v>0</v>
      </c>
      <c r="V2588" s="64" t="n">
        <f aca="false">IF($K2588="Better",$P2588,0)</f>
        <v>0</v>
      </c>
      <c r="W2588" s="64" t="n">
        <f aca="false">IF($K2588="U – needs rule",$P2588,0)</f>
        <v>0</v>
      </c>
      <c r="X2588" s="64" t="n">
        <f aca="false">IF($K2588="No Start (attainment only)",$P2588,0)</f>
        <v>0</v>
      </c>
    </row>
    <row r="2589" customFormat="false" ht="15" hidden="false" customHeight="false" outlineLevel="0" collapsed="false">
      <c r="A2589" s="60"/>
      <c r="B2589" s="61" t="str">
        <f aca="false">IF($M2589=0,"",INDEX(Classes!$E$6:$E$420,$M2589))</f>
        <v/>
      </c>
      <c r="C2589" s="62" t="str">
        <f aca="false">IF($M2589=0,"",INDEX(Classes!$H$6:$H$420,$M2589))</f>
        <v/>
      </c>
      <c r="D2589" s="61" t="str">
        <f aca="false">IF($M2589=0,"",INDEX(Classes!$B$6:$B$420,$M2589))</f>
        <v/>
      </c>
      <c r="E2589" s="61" t="str">
        <f aca="false">IF($M2589=0,"",INDEX(Classes!$C$6:$C$420,$M2589))</f>
        <v/>
      </c>
      <c r="F2589" s="63"/>
      <c r="G2589" s="63"/>
      <c r="H2589" s="60"/>
      <c r="I2589" s="60"/>
      <c r="J2589" s="63"/>
      <c r="K2589" s="61" t="str">
        <f aca="false">IF($P2589=0,"",IF($F2589="Baseline","— Baseline",IF($O2589=0,"No result",IF($N2589=0,"No Start (attainment only)",IF(OR($N2589=1,$O2589=1),"U – needs rule",INDEX(MxBody,MATCH($I2589,MxCurr,0),MATCH($H2589,MxStart,0)))))))</f>
        <v/>
      </c>
      <c r="L2589" s="62" t="str">
        <f aca="false">IF(COUNTA($A2589,$F2589,$G2589,$H2589,$I2589,$J2589)=0,"",IF($M2589=0,"✖ كود الصف غير موجود",IF(ISNA(MATCH($F2589,Lists!$A$2:$A$5,0)),"✖ الفترة غير صحيحة",IF(ISNA(MATCH($G2589,Lists!$B$2:$B$7,0)),"✖ المجموعة غير صحيحة",IF(NOT(OR($H2589="",$N2589&gt;0)),"✖ Start غير صحيح",IF(NOT(OR($I2589="",$I2589="NR",$O2589&gt;0)),"✖ Current غير صحيح",IF(NOT(IF(ISNUMBER($J2589),AND($J2589&gt;=0,$J2589=INT($J2589)),FALSE())),"✖ العدد يجب أن يكون صحيحًا ≥ 0",IF(AND($F2589="Baseline",$H2589&lt;&gt;""),"⚠ Baseline: Start لا يدخل في التقدم",IF($K2589="No Start (attainment only)","ℹ تحصيل فقط (بدون Start)",IF($K2589="U – needs rule","ℹ حالة U تحتاج قاعدة معتمدة",IF($K2589="No result","ℹ بدون نتيجة (يُستبعد من التحصيل)","OK")))))))))))</f>
        <v/>
      </c>
      <c r="M2589" s="64" t="n">
        <f aca="false">IF($A2589="",0,IFERROR(MATCH($A2589,Classes!$A$6:$A$420,0),0))</f>
        <v>0</v>
      </c>
      <c r="N2589" s="64" t="n">
        <f aca="false">IF($H2589="",0,IFERROR(MATCH($H2589,GradeList,0),0))</f>
        <v>0</v>
      </c>
      <c r="O2589" s="64" t="n">
        <f aca="false">IF(OR($I2589="",$I2589="NR"),0,IFERROR(MATCH($I2589,GradeList,0),0))</f>
        <v>0</v>
      </c>
      <c r="P2589" s="64" t="n">
        <f aca="false">IF(AND($M2589&gt;0,ISNUMBER(MATCH($F2589,Lists!$A$2:$A$5,0)),ISNUMBER(MATCH($G2589,Lists!$B$2:$B$7,0)),OR($H2589="",$N2589&gt;0),OR($I2589="",$I2589="NR",$O2589&gt;0),IF(ISNUMBER($J2589),AND($J2589&gt;=0,$J2589=INT($J2589)),FALSE())),$J2589,0)</f>
        <v>0</v>
      </c>
      <c r="Q2589" s="64" t="n">
        <f aca="false">IF(AND($P2589&gt;0,$O2589&gt;0),$P2589,0)</f>
        <v>0</v>
      </c>
      <c r="R2589" s="64" t="n">
        <f aca="false">IF(AND($Q2589&gt;0,$O2589&gt;=AtRank),$Q2589,0)</f>
        <v>0</v>
      </c>
      <c r="S2589" s="64" t="n">
        <f aca="false">IF(AND($Q2589&gt;0,$O2589&gt;=AboveRank),$Q2589,0)</f>
        <v>0</v>
      </c>
      <c r="T2589" s="64" t="n">
        <f aca="false">IF($K2589="Less",$P2589,0)</f>
        <v>0</v>
      </c>
      <c r="U2589" s="64" t="n">
        <f aca="false">IF($K2589="Expected",$P2589,0)</f>
        <v>0</v>
      </c>
      <c r="V2589" s="64" t="n">
        <f aca="false">IF($K2589="Better",$P2589,0)</f>
        <v>0</v>
      </c>
      <c r="W2589" s="64" t="n">
        <f aca="false">IF($K2589="U – needs rule",$P2589,0)</f>
        <v>0</v>
      </c>
      <c r="X2589" s="64" t="n">
        <f aca="false">IF($K2589="No Start (attainment only)",$P2589,0)</f>
        <v>0</v>
      </c>
    </row>
    <row r="2590" customFormat="false" ht="15" hidden="false" customHeight="false" outlineLevel="0" collapsed="false">
      <c r="A2590" s="60"/>
      <c r="B2590" s="61" t="str">
        <f aca="false">IF($M2590=0,"",INDEX(Classes!$E$6:$E$420,$M2590))</f>
        <v/>
      </c>
      <c r="C2590" s="62" t="str">
        <f aca="false">IF($M2590=0,"",INDEX(Classes!$H$6:$H$420,$M2590))</f>
        <v/>
      </c>
      <c r="D2590" s="61" t="str">
        <f aca="false">IF($M2590=0,"",INDEX(Classes!$B$6:$B$420,$M2590))</f>
        <v/>
      </c>
      <c r="E2590" s="61" t="str">
        <f aca="false">IF($M2590=0,"",INDEX(Classes!$C$6:$C$420,$M2590))</f>
        <v/>
      </c>
      <c r="F2590" s="63"/>
      <c r="G2590" s="63"/>
      <c r="H2590" s="60"/>
      <c r="I2590" s="60"/>
      <c r="J2590" s="63"/>
      <c r="K2590" s="61" t="str">
        <f aca="false">IF($P2590=0,"",IF($F2590="Baseline","— Baseline",IF($O2590=0,"No result",IF($N2590=0,"No Start (attainment only)",IF(OR($N2590=1,$O2590=1),"U – needs rule",INDEX(MxBody,MATCH($I2590,MxCurr,0),MATCH($H2590,MxStart,0)))))))</f>
        <v/>
      </c>
      <c r="L2590" s="62" t="str">
        <f aca="false">IF(COUNTA($A2590,$F2590,$G2590,$H2590,$I2590,$J2590)=0,"",IF($M2590=0,"✖ كود الصف غير موجود",IF(ISNA(MATCH($F2590,Lists!$A$2:$A$5,0)),"✖ الفترة غير صحيحة",IF(ISNA(MATCH($G2590,Lists!$B$2:$B$7,0)),"✖ المجموعة غير صحيحة",IF(NOT(OR($H2590="",$N2590&gt;0)),"✖ Start غير صحيح",IF(NOT(OR($I2590="",$I2590="NR",$O2590&gt;0)),"✖ Current غير صحيح",IF(NOT(IF(ISNUMBER($J2590),AND($J2590&gt;=0,$J2590=INT($J2590)),FALSE())),"✖ العدد يجب أن يكون صحيحًا ≥ 0",IF(AND($F2590="Baseline",$H2590&lt;&gt;""),"⚠ Baseline: Start لا يدخل في التقدم",IF($K2590="No Start (attainment only)","ℹ تحصيل فقط (بدون Start)",IF($K2590="U – needs rule","ℹ حالة U تحتاج قاعدة معتمدة",IF($K2590="No result","ℹ بدون نتيجة (يُستبعد من التحصيل)","OK")))))))))))</f>
        <v/>
      </c>
      <c r="M2590" s="64" t="n">
        <f aca="false">IF($A2590="",0,IFERROR(MATCH($A2590,Classes!$A$6:$A$420,0),0))</f>
        <v>0</v>
      </c>
      <c r="N2590" s="64" t="n">
        <f aca="false">IF($H2590="",0,IFERROR(MATCH($H2590,GradeList,0),0))</f>
        <v>0</v>
      </c>
      <c r="O2590" s="64" t="n">
        <f aca="false">IF(OR($I2590="",$I2590="NR"),0,IFERROR(MATCH($I2590,GradeList,0),0))</f>
        <v>0</v>
      </c>
      <c r="P2590" s="64" t="n">
        <f aca="false">IF(AND($M2590&gt;0,ISNUMBER(MATCH($F2590,Lists!$A$2:$A$5,0)),ISNUMBER(MATCH($G2590,Lists!$B$2:$B$7,0)),OR($H2590="",$N2590&gt;0),OR($I2590="",$I2590="NR",$O2590&gt;0),IF(ISNUMBER($J2590),AND($J2590&gt;=0,$J2590=INT($J2590)),FALSE())),$J2590,0)</f>
        <v>0</v>
      </c>
      <c r="Q2590" s="64" t="n">
        <f aca="false">IF(AND($P2590&gt;0,$O2590&gt;0),$P2590,0)</f>
        <v>0</v>
      </c>
      <c r="R2590" s="64" t="n">
        <f aca="false">IF(AND($Q2590&gt;0,$O2590&gt;=AtRank),$Q2590,0)</f>
        <v>0</v>
      </c>
      <c r="S2590" s="64" t="n">
        <f aca="false">IF(AND($Q2590&gt;0,$O2590&gt;=AboveRank),$Q2590,0)</f>
        <v>0</v>
      </c>
      <c r="T2590" s="64" t="n">
        <f aca="false">IF($K2590="Less",$P2590,0)</f>
        <v>0</v>
      </c>
      <c r="U2590" s="64" t="n">
        <f aca="false">IF($K2590="Expected",$P2590,0)</f>
        <v>0</v>
      </c>
      <c r="V2590" s="64" t="n">
        <f aca="false">IF($K2590="Better",$P2590,0)</f>
        <v>0</v>
      </c>
      <c r="W2590" s="64" t="n">
        <f aca="false">IF($K2590="U – needs rule",$P2590,0)</f>
        <v>0</v>
      </c>
      <c r="X2590" s="64" t="n">
        <f aca="false">IF($K2590="No Start (attainment only)",$P2590,0)</f>
        <v>0</v>
      </c>
    </row>
    <row r="2591" customFormat="false" ht="15" hidden="false" customHeight="false" outlineLevel="0" collapsed="false">
      <c r="A2591" s="60"/>
      <c r="B2591" s="61" t="str">
        <f aca="false">IF($M2591=0,"",INDEX(Classes!$E$6:$E$420,$M2591))</f>
        <v/>
      </c>
      <c r="C2591" s="62" t="str">
        <f aca="false">IF($M2591=0,"",INDEX(Classes!$H$6:$H$420,$M2591))</f>
        <v/>
      </c>
      <c r="D2591" s="61" t="str">
        <f aca="false">IF($M2591=0,"",INDEX(Classes!$B$6:$B$420,$M2591))</f>
        <v/>
      </c>
      <c r="E2591" s="61" t="str">
        <f aca="false">IF($M2591=0,"",INDEX(Classes!$C$6:$C$420,$M2591))</f>
        <v/>
      </c>
      <c r="F2591" s="63"/>
      <c r="G2591" s="63"/>
      <c r="H2591" s="60"/>
      <c r="I2591" s="60"/>
      <c r="J2591" s="63"/>
      <c r="K2591" s="61" t="str">
        <f aca="false">IF($P2591=0,"",IF($F2591="Baseline","— Baseline",IF($O2591=0,"No result",IF($N2591=0,"No Start (attainment only)",IF(OR($N2591=1,$O2591=1),"U – needs rule",INDEX(MxBody,MATCH($I2591,MxCurr,0),MATCH($H2591,MxStart,0)))))))</f>
        <v/>
      </c>
      <c r="L2591" s="62" t="str">
        <f aca="false">IF(COUNTA($A2591,$F2591,$G2591,$H2591,$I2591,$J2591)=0,"",IF($M2591=0,"✖ كود الصف غير موجود",IF(ISNA(MATCH($F2591,Lists!$A$2:$A$5,0)),"✖ الفترة غير صحيحة",IF(ISNA(MATCH($G2591,Lists!$B$2:$B$7,0)),"✖ المجموعة غير صحيحة",IF(NOT(OR($H2591="",$N2591&gt;0)),"✖ Start غير صحيح",IF(NOT(OR($I2591="",$I2591="NR",$O2591&gt;0)),"✖ Current غير صحيح",IF(NOT(IF(ISNUMBER($J2591),AND($J2591&gt;=0,$J2591=INT($J2591)),FALSE())),"✖ العدد يجب أن يكون صحيحًا ≥ 0",IF(AND($F2591="Baseline",$H2591&lt;&gt;""),"⚠ Baseline: Start لا يدخل في التقدم",IF($K2591="No Start (attainment only)","ℹ تحصيل فقط (بدون Start)",IF($K2591="U – needs rule","ℹ حالة U تحتاج قاعدة معتمدة",IF($K2591="No result","ℹ بدون نتيجة (يُستبعد من التحصيل)","OK")))))))))))</f>
        <v/>
      </c>
      <c r="M2591" s="64" t="n">
        <f aca="false">IF($A2591="",0,IFERROR(MATCH($A2591,Classes!$A$6:$A$420,0),0))</f>
        <v>0</v>
      </c>
      <c r="N2591" s="64" t="n">
        <f aca="false">IF($H2591="",0,IFERROR(MATCH($H2591,GradeList,0),0))</f>
        <v>0</v>
      </c>
      <c r="O2591" s="64" t="n">
        <f aca="false">IF(OR($I2591="",$I2591="NR"),0,IFERROR(MATCH($I2591,GradeList,0),0))</f>
        <v>0</v>
      </c>
      <c r="P2591" s="64" t="n">
        <f aca="false">IF(AND($M2591&gt;0,ISNUMBER(MATCH($F2591,Lists!$A$2:$A$5,0)),ISNUMBER(MATCH($G2591,Lists!$B$2:$B$7,0)),OR($H2591="",$N2591&gt;0),OR($I2591="",$I2591="NR",$O2591&gt;0),IF(ISNUMBER($J2591),AND($J2591&gt;=0,$J2591=INT($J2591)),FALSE())),$J2591,0)</f>
        <v>0</v>
      </c>
      <c r="Q2591" s="64" t="n">
        <f aca="false">IF(AND($P2591&gt;0,$O2591&gt;0),$P2591,0)</f>
        <v>0</v>
      </c>
      <c r="R2591" s="64" t="n">
        <f aca="false">IF(AND($Q2591&gt;0,$O2591&gt;=AtRank),$Q2591,0)</f>
        <v>0</v>
      </c>
      <c r="S2591" s="64" t="n">
        <f aca="false">IF(AND($Q2591&gt;0,$O2591&gt;=AboveRank),$Q2591,0)</f>
        <v>0</v>
      </c>
      <c r="T2591" s="64" t="n">
        <f aca="false">IF($K2591="Less",$P2591,0)</f>
        <v>0</v>
      </c>
      <c r="U2591" s="64" t="n">
        <f aca="false">IF($K2591="Expected",$P2591,0)</f>
        <v>0</v>
      </c>
      <c r="V2591" s="64" t="n">
        <f aca="false">IF($K2591="Better",$P2591,0)</f>
        <v>0</v>
      </c>
      <c r="W2591" s="64" t="n">
        <f aca="false">IF($K2591="U – needs rule",$P2591,0)</f>
        <v>0</v>
      </c>
      <c r="X2591" s="64" t="n">
        <f aca="false">IF($K2591="No Start (attainment only)",$P2591,0)</f>
        <v>0</v>
      </c>
    </row>
    <row r="2592" customFormat="false" ht="15" hidden="false" customHeight="false" outlineLevel="0" collapsed="false">
      <c r="A2592" s="60"/>
      <c r="B2592" s="61" t="str">
        <f aca="false">IF($M2592=0,"",INDEX(Classes!$E$6:$E$420,$M2592))</f>
        <v/>
      </c>
      <c r="C2592" s="62" t="str">
        <f aca="false">IF($M2592=0,"",INDEX(Classes!$H$6:$H$420,$M2592))</f>
        <v/>
      </c>
      <c r="D2592" s="61" t="str">
        <f aca="false">IF($M2592=0,"",INDEX(Classes!$B$6:$B$420,$M2592))</f>
        <v/>
      </c>
      <c r="E2592" s="61" t="str">
        <f aca="false">IF($M2592=0,"",INDEX(Classes!$C$6:$C$420,$M2592))</f>
        <v/>
      </c>
      <c r="F2592" s="63"/>
      <c r="G2592" s="63"/>
      <c r="H2592" s="60"/>
      <c r="I2592" s="60"/>
      <c r="J2592" s="63"/>
      <c r="K2592" s="61" t="str">
        <f aca="false">IF($P2592=0,"",IF($F2592="Baseline","— Baseline",IF($O2592=0,"No result",IF($N2592=0,"No Start (attainment only)",IF(OR($N2592=1,$O2592=1),"U – needs rule",INDEX(MxBody,MATCH($I2592,MxCurr,0),MATCH($H2592,MxStart,0)))))))</f>
        <v/>
      </c>
      <c r="L2592" s="62" t="str">
        <f aca="false">IF(COUNTA($A2592,$F2592,$G2592,$H2592,$I2592,$J2592)=0,"",IF($M2592=0,"✖ كود الصف غير موجود",IF(ISNA(MATCH($F2592,Lists!$A$2:$A$5,0)),"✖ الفترة غير صحيحة",IF(ISNA(MATCH($G2592,Lists!$B$2:$B$7,0)),"✖ المجموعة غير صحيحة",IF(NOT(OR($H2592="",$N2592&gt;0)),"✖ Start غير صحيح",IF(NOT(OR($I2592="",$I2592="NR",$O2592&gt;0)),"✖ Current غير صحيح",IF(NOT(IF(ISNUMBER($J2592),AND($J2592&gt;=0,$J2592=INT($J2592)),FALSE())),"✖ العدد يجب أن يكون صحيحًا ≥ 0",IF(AND($F2592="Baseline",$H2592&lt;&gt;""),"⚠ Baseline: Start لا يدخل في التقدم",IF($K2592="No Start (attainment only)","ℹ تحصيل فقط (بدون Start)",IF($K2592="U – needs rule","ℹ حالة U تحتاج قاعدة معتمدة",IF($K2592="No result","ℹ بدون نتيجة (يُستبعد من التحصيل)","OK")))))))))))</f>
        <v/>
      </c>
      <c r="M2592" s="64" t="n">
        <f aca="false">IF($A2592="",0,IFERROR(MATCH($A2592,Classes!$A$6:$A$420,0),0))</f>
        <v>0</v>
      </c>
      <c r="N2592" s="64" t="n">
        <f aca="false">IF($H2592="",0,IFERROR(MATCH($H2592,GradeList,0),0))</f>
        <v>0</v>
      </c>
      <c r="O2592" s="64" t="n">
        <f aca="false">IF(OR($I2592="",$I2592="NR"),0,IFERROR(MATCH($I2592,GradeList,0),0))</f>
        <v>0</v>
      </c>
      <c r="P2592" s="64" t="n">
        <f aca="false">IF(AND($M2592&gt;0,ISNUMBER(MATCH($F2592,Lists!$A$2:$A$5,0)),ISNUMBER(MATCH($G2592,Lists!$B$2:$B$7,0)),OR($H2592="",$N2592&gt;0),OR($I2592="",$I2592="NR",$O2592&gt;0),IF(ISNUMBER($J2592),AND($J2592&gt;=0,$J2592=INT($J2592)),FALSE())),$J2592,0)</f>
        <v>0</v>
      </c>
      <c r="Q2592" s="64" t="n">
        <f aca="false">IF(AND($P2592&gt;0,$O2592&gt;0),$P2592,0)</f>
        <v>0</v>
      </c>
      <c r="R2592" s="64" t="n">
        <f aca="false">IF(AND($Q2592&gt;0,$O2592&gt;=AtRank),$Q2592,0)</f>
        <v>0</v>
      </c>
      <c r="S2592" s="64" t="n">
        <f aca="false">IF(AND($Q2592&gt;0,$O2592&gt;=AboveRank),$Q2592,0)</f>
        <v>0</v>
      </c>
      <c r="T2592" s="64" t="n">
        <f aca="false">IF($K2592="Less",$P2592,0)</f>
        <v>0</v>
      </c>
      <c r="U2592" s="64" t="n">
        <f aca="false">IF($K2592="Expected",$P2592,0)</f>
        <v>0</v>
      </c>
      <c r="V2592" s="64" t="n">
        <f aca="false">IF($K2592="Better",$P2592,0)</f>
        <v>0</v>
      </c>
      <c r="W2592" s="64" t="n">
        <f aca="false">IF($K2592="U – needs rule",$P2592,0)</f>
        <v>0</v>
      </c>
      <c r="X2592" s="64" t="n">
        <f aca="false">IF($K2592="No Start (attainment only)",$P2592,0)</f>
        <v>0</v>
      </c>
    </row>
    <row r="2593" customFormat="false" ht="15" hidden="false" customHeight="false" outlineLevel="0" collapsed="false">
      <c r="A2593" s="60"/>
      <c r="B2593" s="61" t="str">
        <f aca="false">IF($M2593=0,"",INDEX(Classes!$E$6:$E$420,$M2593))</f>
        <v/>
      </c>
      <c r="C2593" s="62" t="str">
        <f aca="false">IF($M2593=0,"",INDEX(Classes!$H$6:$H$420,$M2593))</f>
        <v/>
      </c>
      <c r="D2593" s="61" t="str">
        <f aca="false">IF($M2593=0,"",INDEX(Classes!$B$6:$B$420,$M2593))</f>
        <v/>
      </c>
      <c r="E2593" s="61" t="str">
        <f aca="false">IF($M2593=0,"",INDEX(Classes!$C$6:$C$420,$M2593))</f>
        <v/>
      </c>
      <c r="F2593" s="63"/>
      <c r="G2593" s="63"/>
      <c r="H2593" s="60"/>
      <c r="I2593" s="60"/>
      <c r="J2593" s="63"/>
      <c r="K2593" s="61" t="str">
        <f aca="false">IF($P2593=0,"",IF($F2593="Baseline","— Baseline",IF($O2593=0,"No result",IF($N2593=0,"No Start (attainment only)",IF(OR($N2593=1,$O2593=1),"U – needs rule",INDEX(MxBody,MATCH($I2593,MxCurr,0),MATCH($H2593,MxStart,0)))))))</f>
        <v/>
      </c>
      <c r="L2593" s="62" t="str">
        <f aca="false">IF(COUNTA($A2593,$F2593,$G2593,$H2593,$I2593,$J2593)=0,"",IF($M2593=0,"✖ كود الصف غير موجود",IF(ISNA(MATCH($F2593,Lists!$A$2:$A$5,0)),"✖ الفترة غير صحيحة",IF(ISNA(MATCH($G2593,Lists!$B$2:$B$7,0)),"✖ المجموعة غير صحيحة",IF(NOT(OR($H2593="",$N2593&gt;0)),"✖ Start غير صحيح",IF(NOT(OR($I2593="",$I2593="NR",$O2593&gt;0)),"✖ Current غير صحيح",IF(NOT(IF(ISNUMBER($J2593),AND($J2593&gt;=0,$J2593=INT($J2593)),FALSE())),"✖ العدد يجب أن يكون صحيحًا ≥ 0",IF(AND($F2593="Baseline",$H2593&lt;&gt;""),"⚠ Baseline: Start لا يدخل في التقدم",IF($K2593="No Start (attainment only)","ℹ تحصيل فقط (بدون Start)",IF($K2593="U – needs rule","ℹ حالة U تحتاج قاعدة معتمدة",IF($K2593="No result","ℹ بدون نتيجة (يُستبعد من التحصيل)","OK")))))))))))</f>
        <v/>
      </c>
      <c r="M2593" s="64" t="n">
        <f aca="false">IF($A2593="",0,IFERROR(MATCH($A2593,Classes!$A$6:$A$420,0),0))</f>
        <v>0</v>
      </c>
      <c r="N2593" s="64" t="n">
        <f aca="false">IF($H2593="",0,IFERROR(MATCH($H2593,GradeList,0),0))</f>
        <v>0</v>
      </c>
      <c r="O2593" s="64" t="n">
        <f aca="false">IF(OR($I2593="",$I2593="NR"),0,IFERROR(MATCH($I2593,GradeList,0),0))</f>
        <v>0</v>
      </c>
      <c r="P2593" s="64" t="n">
        <f aca="false">IF(AND($M2593&gt;0,ISNUMBER(MATCH($F2593,Lists!$A$2:$A$5,0)),ISNUMBER(MATCH($G2593,Lists!$B$2:$B$7,0)),OR($H2593="",$N2593&gt;0),OR($I2593="",$I2593="NR",$O2593&gt;0),IF(ISNUMBER($J2593),AND($J2593&gt;=0,$J2593=INT($J2593)),FALSE())),$J2593,0)</f>
        <v>0</v>
      </c>
      <c r="Q2593" s="64" t="n">
        <f aca="false">IF(AND($P2593&gt;0,$O2593&gt;0),$P2593,0)</f>
        <v>0</v>
      </c>
      <c r="R2593" s="64" t="n">
        <f aca="false">IF(AND($Q2593&gt;0,$O2593&gt;=AtRank),$Q2593,0)</f>
        <v>0</v>
      </c>
      <c r="S2593" s="64" t="n">
        <f aca="false">IF(AND($Q2593&gt;0,$O2593&gt;=AboveRank),$Q2593,0)</f>
        <v>0</v>
      </c>
      <c r="T2593" s="64" t="n">
        <f aca="false">IF($K2593="Less",$P2593,0)</f>
        <v>0</v>
      </c>
      <c r="U2593" s="64" t="n">
        <f aca="false">IF($K2593="Expected",$P2593,0)</f>
        <v>0</v>
      </c>
      <c r="V2593" s="64" t="n">
        <f aca="false">IF($K2593="Better",$P2593,0)</f>
        <v>0</v>
      </c>
      <c r="W2593" s="64" t="n">
        <f aca="false">IF($K2593="U – needs rule",$P2593,0)</f>
        <v>0</v>
      </c>
      <c r="X2593" s="64" t="n">
        <f aca="false">IF($K2593="No Start (attainment only)",$P2593,0)</f>
        <v>0</v>
      </c>
    </row>
    <row r="2594" customFormat="false" ht="15" hidden="false" customHeight="false" outlineLevel="0" collapsed="false">
      <c r="A2594" s="60"/>
      <c r="B2594" s="61" t="str">
        <f aca="false">IF($M2594=0,"",INDEX(Classes!$E$6:$E$420,$M2594))</f>
        <v/>
      </c>
      <c r="C2594" s="62" t="str">
        <f aca="false">IF($M2594=0,"",INDEX(Classes!$H$6:$H$420,$M2594))</f>
        <v/>
      </c>
      <c r="D2594" s="61" t="str">
        <f aca="false">IF($M2594=0,"",INDEX(Classes!$B$6:$B$420,$M2594))</f>
        <v/>
      </c>
      <c r="E2594" s="61" t="str">
        <f aca="false">IF($M2594=0,"",INDEX(Classes!$C$6:$C$420,$M2594))</f>
        <v/>
      </c>
      <c r="F2594" s="63"/>
      <c r="G2594" s="63"/>
      <c r="H2594" s="60"/>
      <c r="I2594" s="60"/>
      <c r="J2594" s="63"/>
      <c r="K2594" s="61" t="str">
        <f aca="false">IF($P2594=0,"",IF($F2594="Baseline","— Baseline",IF($O2594=0,"No result",IF($N2594=0,"No Start (attainment only)",IF(OR($N2594=1,$O2594=1),"U – needs rule",INDEX(MxBody,MATCH($I2594,MxCurr,0),MATCH($H2594,MxStart,0)))))))</f>
        <v/>
      </c>
      <c r="L2594" s="62" t="str">
        <f aca="false">IF(COUNTA($A2594,$F2594,$G2594,$H2594,$I2594,$J2594)=0,"",IF($M2594=0,"✖ كود الصف غير موجود",IF(ISNA(MATCH($F2594,Lists!$A$2:$A$5,0)),"✖ الفترة غير صحيحة",IF(ISNA(MATCH($G2594,Lists!$B$2:$B$7,0)),"✖ المجموعة غير صحيحة",IF(NOT(OR($H2594="",$N2594&gt;0)),"✖ Start غير صحيح",IF(NOT(OR($I2594="",$I2594="NR",$O2594&gt;0)),"✖ Current غير صحيح",IF(NOT(IF(ISNUMBER($J2594),AND($J2594&gt;=0,$J2594=INT($J2594)),FALSE())),"✖ العدد يجب أن يكون صحيحًا ≥ 0",IF(AND($F2594="Baseline",$H2594&lt;&gt;""),"⚠ Baseline: Start لا يدخل في التقدم",IF($K2594="No Start (attainment only)","ℹ تحصيل فقط (بدون Start)",IF($K2594="U – needs rule","ℹ حالة U تحتاج قاعدة معتمدة",IF($K2594="No result","ℹ بدون نتيجة (يُستبعد من التحصيل)","OK")))))))))))</f>
        <v/>
      </c>
      <c r="M2594" s="64" t="n">
        <f aca="false">IF($A2594="",0,IFERROR(MATCH($A2594,Classes!$A$6:$A$420,0),0))</f>
        <v>0</v>
      </c>
      <c r="N2594" s="64" t="n">
        <f aca="false">IF($H2594="",0,IFERROR(MATCH($H2594,GradeList,0),0))</f>
        <v>0</v>
      </c>
      <c r="O2594" s="64" t="n">
        <f aca="false">IF(OR($I2594="",$I2594="NR"),0,IFERROR(MATCH($I2594,GradeList,0),0))</f>
        <v>0</v>
      </c>
      <c r="P2594" s="64" t="n">
        <f aca="false">IF(AND($M2594&gt;0,ISNUMBER(MATCH($F2594,Lists!$A$2:$A$5,0)),ISNUMBER(MATCH($G2594,Lists!$B$2:$B$7,0)),OR($H2594="",$N2594&gt;0),OR($I2594="",$I2594="NR",$O2594&gt;0),IF(ISNUMBER($J2594),AND($J2594&gt;=0,$J2594=INT($J2594)),FALSE())),$J2594,0)</f>
        <v>0</v>
      </c>
      <c r="Q2594" s="64" t="n">
        <f aca="false">IF(AND($P2594&gt;0,$O2594&gt;0),$P2594,0)</f>
        <v>0</v>
      </c>
      <c r="R2594" s="64" t="n">
        <f aca="false">IF(AND($Q2594&gt;0,$O2594&gt;=AtRank),$Q2594,0)</f>
        <v>0</v>
      </c>
      <c r="S2594" s="64" t="n">
        <f aca="false">IF(AND($Q2594&gt;0,$O2594&gt;=AboveRank),$Q2594,0)</f>
        <v>0</v>
      </c>
      <c r="T2594" s="64" t="n">
        <f aca="false">IF($K2594="Less",$P2594,0)</f>
        <v>0</v>
      </c>
      <c r="U2594" s="64" t="n">
        <f aca="false">IF($K2594="Expected",$P2594,0)</f>
        <v>0</v>
      </c>
      <c r="V2594" s="64" t="n">
        <f aca="false">IF($K2594="Better",$P2594,0)</f>
        <v>0</v>
      </c>
      <c r="W2594" s="64" t="n">
        <f aca="false">IF($K2594="U – needs rule",$P2594,0)</f>
        <v>0</v>
      </c>
      <c r="X2594" s="64" t="n">
        <f aca="false">IF($K2594="No Start (attainment only)",$P2594,0)</f>
        <v>0</v>
      </c>
    </row>
    <row r="2595" customFormat="false" ht="15" hidden="false" customHeight="false" outlineLevel="0" collapsed="false">
      <c r="A2595" s="60"/>
      <c r="B2595" s="61" t="str">
        <f aca="false">IF($M2595=0,"",INDEX(Classes!$E$6:$E$420,$M2595))</f>
        <v/>
      </c>
      <c r="C2595" s="62" t="str">
        <f aca="false">IF($M2595=0,"",INDEX(Classes!$H$6:$H$420,$M2595))</f>
        <v/>
      </c>
      <c r="D2595" s="61" t="str">
        <f aca="false">IF($M2595=0,"",INDEX(Classes!$B$6:$B$420,$M2595))</f>
        <v/>
      </c>
      <c r="E2595" s="61" t="str">
        <f aca="false">IF($M2595=0,"",INDEX(Classes!$C$6:$C$420,$M2595))</f>
        <v/>
      </c>
      <c r="F2595" s="63"/>
      <c r="G2595" s="63"/>
      <c r="H2595" s="60"/>
      <c r="I2595" s="60"/>
      <c r="J2595" s="63"/>
      <c r="K2595" s="61" t="str">
        <f aca="false">IF($P2595=0,"",IF($F2595="Baseline","— Baseline",IF($O2595=0,"No result",IF($N2595=0,"No Start (attainment only)",IF(OR($N2595=1,$O2595=1),"U – needs rule",INDEX(MxBody,MATCH($I2595,MxCurr,0),MATCH($H2595,MxStart,0)))))))</f>
        <v/>
      </c>
      <c r="L2595" s="62" t="str">
        <f aca="false">IF(COUNTA($A2595,$F2595,$G2595,$H2595,$I2595,$J2595)=0,"",IF($M2595=0,"✖ كود الصف غير موجود",IF(ISNA(MATCH($F2595,Lists!$A$2:$A$5,0)),"✖ الفترة غير صحيحة",IF(ISNA(MATCH($G2595,Lists!$B$2:$B$7,0)),"✖ المجموعة غير صحيحة",IF(NOT(OR($H2595="",$N2595&gt;0)),"✖ Start غير صحيح",IF(NOT(OR($I2595="",$I2595="NR",$O2595&gt;0)),"✖ Current غير صحيح",IF(NOT(IF(ISNUMBER($J2595),AND($J2595&gt;=0,$J2595=INT($J2595)),FALSE())),"✖ العدد يجب أن يكون صحيحًا ≥ 0",IF(AND($F2595="Baseline",$H2595&lt;&gt;""),"⚠ Baseline: Start لا يدخل في التقدم",IF($K2595="No Start (attainment only)","ℹ تحصيل فقط (بدون Start)",IF($K2595="U – needs rule","ℹ حالة U تحتاج قاعدة معتمدة",IF($K2595="No result","ℹ بدون نتيجة (يُستبعد من التحصيل)","OK")))))))))))</f>
        <v/>
      </c>
      <c r="M2595" s="64" t="n">
        <f aca="false">IF($A2595="",0,IFERROR(MATCH($A2595,Classes!$A$6:$A$420,0),0))</f>
        <v>0</v>
      </c>
      <c r="N2595" s="64" t="n">
        <f aca="false">IF($H2595="",0,IFERROR(MATCH($H2595,GradeList,0),0))</f>
        <v>0</v>
      </c>
      <c r="O2595" s="64" t="n">
        <f aca="false">IF(OR($I2595="",$I2595="NR"),0,IFERROR(MATCH($I2595,GradeList,0),0))</f>
        <v>0</v>
      </c>
      <c r="P2595" s="64" t="n">
        <f aca="false">IF(AND($M2595&gt;0,ISNUMBER(MATCH($F2595,Lists!$A$2:$A$5,0)),ISNUMBER(MATCH($G2595,Lists!$B$2:$B$7,0)),OR($H2595="",$N2595&gt;0),OR($I2595="",$I2595="NR",$O2595&gt;0),IF(ISNUMBER($J2595),AND($J2595&gt;=0,$J2595=INT($J2595)),FALSE())),$J2595,0)</f>
        <v>0</v>
      </c>
      <c r="Q2595" s="64" t="n">
        <f aca="false">IF(AND($P2595&gt;0,$O2595&gt;0),$P2595,0)</f>
        <v>0</v>
      </c>
      <c r="R2595" s="64" t="n">
        <f aca="false">IF(AND($Q2595&gt;0,$O2595&gt;=AtRank),$Q2595,0)</f>
        <v>0</v>
      </c>
      <c r="S2595" s="64" t="n">
        <f aca="false">IF(AND($Q2595&gt;0,$O2595&gt;=AboveRank),$Q2595,0)</f>
        <v>0</v>
      </c>
      <c r="T2595" s="64" t="n">
        <f aca="false">IF($K2595="Less",$P2595,0)</f>
        <v>0</v>
      </c>
      <c r="U2595" s="64" t="n">
        <f aca="false">IF($K2595="Expected",$P2595,0)</f>
        <v>0</v>
      </c>
      <c r="V2595" s="64" t="n">
        <f aca="false">IF($K2595="Better",$P2595,0)</f>
        <v>0</v>
      </c>
      <c r="W2595" s="64" t="n">
        <f aca="false">IF($K2595="U – needs rule",$P2595,0)</f>
        <v>0</v>
      </c>
      <c r="X2595" s="64" t="n">
        <f aca="false">IF($K2595="No Start (attainment only)",$P2595,0)</f>
        <v>0</v>
      </c>
    </row>
    <row r="2596" customFormat="false" ht="15" hidden="false" customHeight="false" outlineLevel="0" collapsed="false">
      <c r="A2596" s="60"/>
      <c r="B2596" s="61" t="str">
        <f aca="false">IF($M2596=0,"",INDEX(Classes!$E$6:$E$420,$M2596))</f>
        <v/>
      </c>
      <c r="C2596" s="62" t="str">
        <f aca="false">IF($M2596=0,"",INDEX(Classes!$H$6:$H$420,$M2596))</f>
        <v/>
      </c>
      <c r="D2596" s="61" t="str">
        <f aca="false">IF($M2596=0,"",INDEX(Classes!$B$6:$B$420,$M2596))</f>
        <v/>
      </c>
      <c r="E2596" s="61" t="str">
        <f aca="false">IF($M2596=0,"",INDEX(Classes!$C$6:$C$420,$M2596))</f>
        <v/>
      </c>
      <c r="F2596" s="63"/>
      <c r="G2596" s="63"/>
      <c r="H2596" s="60"/>
      <c r="I2596" s="60"/>
      <c r="J2596" s="63"/>
      <c r="K2596" s="61" t="str">
        <f aca="false">IF($P2596=0,"",IF($F2596="Baseline","— Baseline",IF($O2596=0,"No result",IF($N2596=0,"No Start (attainment only)",IF(OR($N2596=1,$O2596=1),"U – needs rule",INDEX(MxBody,MATCH($I2596,MxCurr,0),MATCH($H2596,MxStart,0)))))))</f>
        <v/>
      </c>
      <c r="L2596" s="62" t="str">
        <f aca="false">IF(COUNTA($A2596,$F2596,$G2596,$H2596,$I2596,$J2596)=0,"",IF($M2596=0,"✖ كود الصف غير موجود",IF(ISNA(MATCH($F2596,Lists!$A$2:$A$5,0)),"✖ الفترة غير صحيحة",IF(ISNA(MATCH($G2596,Lists!$B$2:$B$7,0)),"✖ المجموعة غير صحيحة",IF(NOT(OR($H2596="",$N2596&gt;0)),"✖ Start غير صحيح",IF(NOT(OR($I2596="",$I2596="NR",$O2596&gt;0)),"✖ Current غير صحيح",IF(NOT(IF(ISNUMBER($J2596),AND($J2596&gt;=0,$J2596=INT($J2596)),FALSE())),"✖ العدد يجب أن يكون صحيحًا ≥ 0",IF(AND($F2596="Baseline",$H2596&lt;&gt;""),"⚠ Baseline: Start لا يدخل في التقدم",IF($K2596="No Start (attainment only)","ℹ تحصيل فقط (بدون Start)",IF($K2596="U – needs rule","ℹ حالة U تحتاج قاعدة معتمدة",IF($K2596="No result","ℹ بدون نتيجة (يُستبعد من التحصيل)","OK")))))))))))</f>
        <v/>
      </c>
      <c r="M2596" s="64" t="n">
        <f aca="false">IF($A2596="",0,IFERROR(MATCH($A2596,Classes!$A$6:$A$420,0),0))</f>
        <v>0</v>
      </c>
      <c r="N2596" s="64" t="n">
        <f aca="false">IF($H2596="",0,IFERROR(MATCH($H2596,GradeList,0),0))</f>
        <v>0</v>
      </c>
      <c r="O2596" s="64" t="n">
        <f aca="false">IF(OR($I2596="",$I2596="NR"),0,IFERROR(MATCH($I2596,GradeList,0),0))</f>
        <v>0</v>
      </c>
      <c r="P2596" s="64" t="n">
        <f aca="false">IF(AND($M2596&gt;0,ISNUMBER(MATCH($F2596,Lists!$A$2:$A$5,0)),ISNUMBER(MATCH($G2596,Lists!$B$2:$B$7,0)),OR($H2596="",$N2596&gt;0),OR($I2596="",$I2596="NR",$O2596&gt;0),IF(ISNUMBER($J2596),AND($J2596&gt;=0,$J2596=INT($J2596)),FALSE())),$J2596,0)</f>
        <v>0</v>
      </c>
      <c r="Q2596" s="64" t="n">
        <f aca="false">IF(AND($P2596&gt;0,$O2596&gt;0),$P2596,0)</f>
        <v>0</v>
      </c>
      <c r="R2596" s="64" t="n">
        <f aca="false">IF(AND($Q2596&gt;0,$O2596&gt;=AtRank),$Q2596,0)</f>
        <v>0</v>
      </c>
      <c r="S2596" s="64" t="n">
        <f aca="false">IF(AND($Q2596&gt;0,$O2596&gt;=AboveRank),$Q2596,0)</f>
        <v>0</v>
      </c>
      <c r="T2596" s="64" t="n">
        <f aca="false">IF($K2596="Less",$P2596,0)</f>
        <v>0</v>
      </c>
      <c r="U2596" s="64" t="n">
        <f aca="false">IF($K2596="Expected",$P2596,0)</f>
        <v>0</v>
      </c>
      <c r="V2596" s="64" t="n">
        <f aca="false">IF($K2596="Better",$P2596,0)</f>
        <v>0</v>
      </c>
      <c r="W2596" s="64" t="n">
        <f aca="false">IF($K2596="U – needs rule",$P2596,0)</f>
        <v>0</v>
      </c>
      <c r="X2596" s="64" t="n">
        <f aca="false">IF($K2596="No Start (attainment only)",$P2596,0)</f>
        <v>0</v>
      </c>
    </row>
    <row r="2597" customFormat="false" ht="15" hidden="false" customHeight="false" outlineLevel="0" collapsed="false">
      <c r="A2597" s="60"/>
      <c r="B2597" s="61" t="str">
        <f aca="false">IF($M2597=0,"",INDEX(Classes!$E$6:$E$420,$M2597))</f>
        <v/>
      </c>
      <c r="C2597" s="62" t="str">
        <f aca="false">IF($M2597=0,"",INDEX(Classes!$H$6:$H$420,$M2597))</f>
        <v/>
      </c>
      <c r="D2597" s="61" t="str">
        <f aca="false">IF($M2597=0,"",INDEX(Classes!$B$6:$B$420,$M2597))</f>
        <v/>
      </c>
      <c r="E2597" s="61" t="str">
        <f aca="false">IF($M2597=0,"",INDEX(Classes!$C$6:$C$420,$M2597))</f>
        <v/>
      </c>
      <c r="F2597" s="63"/>
      <c r="G2597" s="63"/>
      <c r="H2597" s="60"/>
      <c r="I2597" s="60"/>
      <c r="J2597" s="63"/>
      <c r="K2597" s="61" t="str">
        <f aca="false">IF($P2597=0,"",IF($F2597="Baseline","— Baseline",IF($O2597=0,"No result",IF($N2597=0,"No Start (attainment only)",IF(OR($N2597=1,$O2597=1),"U – needs rule",INDEX(MxBody,MATCH($I2597,MxCurr,0),MATCH($H2597,MxStart,0)))))))</f>
        <v/>
      </c>
      <c r="L2597" s="62" t="str">
        <f aca="false">IF(COUNTA($A2597,$F2597,$G2597,$H2597,$I2597,$J2597)=0,"",IF($M2597=0,"✖ كود الصف غير موجود",IF(ISNA(MATCH($F2597,Lists!$A$2:$A$5,0)),"✖ الفترة غير صحيحة",IF(ISNA(MATCH($G2597,Lists!$B$2:$B$7,0)),"✖ المجموعة غير صحيحة",IF(NOT(OR($H2597="",$N2597&gt;0)),"✖ Start غير صحيح",IF(NOT(OR($I2597="",$I2597="NR",$O2597&gt;0)),"✖ Current غير صحيح",IF(NOT(IF(ISNUMBER($J2597),AND($J2597&gt;=0,$J2597=INT($J2597)),FALSE())),"✖ العدد يجب أن يكون صحيحًا ≥ 0",IF(AND($F2597="Baseline",$H2597&lt;&gt;""),"⚠ Baseline: Start لا يدخل في التقدم",IF($K2597="No Start (attainment only)","ℹ تحصيل فقط (بدون Start)",IF($K2597="U – needs rule","ℹ حالة U تحتاج قاعدة معتمدة",IF($K2597="No result","ℹ بدون نتيجة (يُستبعد من التحصيل)","OK")))))))))))</f>
        <v/>
      </c>
      <c r="M2597" s="64" t="n">
        <f aca="false">IF($A2597="",0,IFERROR(MATCH($A2597,Classes!$A$6:$A$420,0),0))</f>
        <v>0</v>
      </c>
      <c r="N2597" s="64" t="n">
        <f aca="false">IF($H2597="",0,IFERROR(MATCH($H2597,GradeList,0),0))</f>
        <v>0</v>
      </c>
      <c r="O2597" s="64" t="n">
        <f aca="false">IF(OR($I2597="",$I2597="NR"),0,IFERROR(MATCH($I2597,GradeList,0),0))</f>
        <v>0</v>
      </c>
      <c r="P2597" s="64" t="n">
        <f aca="false">IF(AND($M2597&gt;0,ISNUMBER(MATCH($F2597,Lists!$A$2:$A$5,0)),ISNUMBER(MATCH($G2597,Lists!$B$2:$B$7,0)),OR($H2597="",$N2597&gt;0),OR($I2597="",$I2597="NR",$O2597&gt;0),IF(ISNUMBER($J2597),AND($J2597&gt;=0,$J2597=INT($J2597)),FALSE())),$J2597,0)</f>
        <v>0</v>
      </c>
      <c r="Q2597" s="64" t="n">
        <f aca="false">IF(AND($P2597&gt;0,$O2597&gt;0),$P2597,0)</f>
        <v>0</v>
      </c>
      <c r="R2597" s="64" t="n">
        <f aca="false">IF(AND($Q2597&gt;0,$O2597&gt;=AtRank),$Q2597,0)</f>
        <v>0</v>
      </c>
      <c r="S2597" s="64" t="n">
        <f aca="false">IF(AND($Q2597&gt;0,$O2597&gt;=AboveRank),$Q2597,0)</f>
        <v>0</v>
      </c>
      <c r="T2597" s="64" t="n">
        <f aca="false">IF($K2597="Less",$P2597,0)</f>
        <v>0</v>
      </c>
      <c r="U2597" s="64" t="n">
        <f aca="false">IF($K2597="Expected",$P2597,0)</f>
        <v>0</v>
      </c>
      <c r="V2597" s="64" t="n">
        <f aca="false">IF($K2597="Better",$P2597,0)</f>
        <v>0</v>
      </c>
      <c r="W2597" s="64" t="n">
        <f aca="false">IF($K2597="U – needs rule",$P2597,0)</f>
        <v>0</v>
      </c>
      <c r="X2597" s="64" t="n">
        <f aca="false">IF($K2597="No Start (attainment only)",$P2597,0)</f>
        <v>0</v>
      </c>
    </row>
    <row r="2598" customFormat="false" ht="15" hidden="false" customHeight="false" outlineLevel="0" collapsed="false">
      <c r="A2598" s="60"/>
      <c r="B2598" s="61" t="str">
        <f aca="false">IF($M2598=0,"",INDEX(Classes!$E$6:$E$420,$M2598))</f>
        <v/>
      </c>
      <c r="C2598" s="62" t="str">
        <f aca="false">IF($M2598=0,"",INDEX(Classes!$H$6:$H$420,$M2598))</f>
        <v/>
      </c>
      <c r="D2598" s="61" t="str">
        <f aca="false">IF($M2598=0,"",INDEX(Classes!$B$6:$B$420,$M2598))</f>
        <v/>
      </c>
      <c r="E2598" s="61" t="str">
        <f aca="false">IF($M2598=0,"",INDEX(Classes!$C$6:$C$420,$M2598))</f>
        <v/>
      </c>
      <c r="F2598" s="63"/>
      <c r="G2598" s="63"/>
      <c r="H2598" s="60"/>
      <c r="I2598" s="60"/>
      <c r="J2598" s="63"/>
      <c r="K2598" s="61" t="str">
        <f aca="false">IF($P2598=0,"",IF($F2598="Baseline","— Baseline",IF($O2598=0,"No result",IF($N2598=0,"No Start (attainment only)",IF(OR($N2598=1,$O2598=1),"U – needs rule",INDEX(MxBody,MATCH($I2598,MxCurr,0),MATCH($H2598,MxStart,0)))))))</f>
        <v/>
      </c>
      <c r="L2598" s="62" t="str">
        <f aca="false">IF(COUNTA($A2598,$F2598,$G2598,$H2598,$I2598,$J2598)=0,"",IF($M2598=0,"✖ كود الصف غير موجود",IF(ISNA(MATCH($F2598,Lists!$A$2:$A$5,0)),"✖ الفترة غير صحيحة",IF(ISNA(MATCH($G2598,Lists!$B$2:$B$7,0)),"✖ المجموعة غير صحيحة",IF(NOT(OR($H2598="",$N2598&gt;0)),"✖ Start غير صحيح",IF(NOT(OR($I2598="",$I2598="NR",$O2598&gt;0)),"✖ Current غير صحيح",IF(NOT(IF(ISNUMBER($J2598),AND($J2598&gt;=0,$J2598=INT($J2598)),FALSE())),"✖ العدد يجب أن يكون صحيحًا ≥ 0",IF(AND($F2598="Baseline",$H2598&lt;&gt;""),"⚠ Baseline: Start لا يدخل في التقدم",IF($K2598="No Start (attainment only)","ℹ تحصيل فقط (بدون Start)",IF($K2598="U – needs rule","ℹ حالة U تحتاج قاعدة معتمدة",IF($K2598="No result","ℹ بدون نتيجة (يُستبعد من التحصيل)","OK")))))))))))</f>
        <v/>
      </c>
      <c r="M2598" s="64" t="n">
        <f aca="false">IF($A2598="",0,IFERROR(MATCH($A2598,Classes!$A$6:$A$420,0),0))</f>
        <v>0</v>
      </c>
      <c r="N2598" s="64" t="n">
        <f aca="false">IF($H2598="",0,IFERROR(MATCH($H2598,GradeList,0),0))</f>
        <v>0</v>
      </c>
      <c r="O2598" s="64" t="n">
        <f aca="false">IF(OR($I2598="",$I2598="NR"),0,IFERROR(MATCH($I2598,GradeList,0),0))</f>
        <v>0</v>
      </c>
      <c r="P2598" s="64" t="n">
        <f aca="false">IF(AND($M2598&gt;0,ISNUMBER(MATCH($F2598,Lists!$A$2:$A$5,0)),ISNUMBER(MATCH($G2598,Lists!$B$2:$B$7,0)),OR($H2598="",$N2598&gt;0),OR($I2598="",$I2598="NR",$O2598&gt;0),IF(ISNUMBER($J2598),AND($J2598&gt;=0,$J2598=INT($J2598)),FALSE())),$J2598,0)</f>
        <v>0</v>
      </c>
      <c r="Q2598" s="64" t="n">
        <f aca="false">IF(AND($P2598&gt;0,$O2598&gt;0),$P2598,0)</f>
        <v>0</v>
      </c>
      <c r="R2598" s="64" t="n">
        <f aca="false">IF(AND($Q2598&gt;0,$O2598&gt;=AtRank),$Q2598,0)</f>
        <v>0</v>
      </c>
      <c r="S2598" s="64" t="n">
        <f aca="false">IF(AND($Q2598&gt;0,$O2598&gt;=AboveRank),$Q2598,0)</f>
        <v>0</v>
      </c>
      <c r="T2598" s="64" t="n">
        <f aca="false">IF($K2598="Less",$P2598,0)</f>
        <v>0</v>
      </c>
      <c r="U2598" s="64" t="n">
        <f aca="false">IF($K2598="Expected",$P2598,0)</f>
        <v>0</v>
      </c>
      <c r="V2598" s="64" t="n">
        <f aca="false">IF($K2598="Better",$P2598,0)</f>
        <v>0</v>
      </c>
      <c r="W2598" s="64" t="n">
        <f aca="false">IF($K2598="U – needs rule",$P2598,0)</f>
        <v>0</v>
      </c>
      <c r="X2598" s="64" t="n">
        <f aca="false">IF($K2598="No Start (attainment only)",$P2598,0)</f>
        <v>0</v>
      </c>
    </row>
    <row r="2599" customFormat="false" ht="15" hidden="false" customHeight="false" outlineLevel="0" collapsed="false">
      <c r="A2599" s="60"/>
      <c r="B2599" s="61" t="str">
        <f aca="false">IF($M2599=0,"",INDEX(Classes!$E$6:$E$420,$M2599))</f>
        <v/>
      </c>
      <c r="C2599" s="62" t="str">
        <f aca="false">IF($M2599=0,"",INDEX(Classes!$H$6:$H$420,$M2599))</f>
        <v/>
      </c>
      <c r="D2599" s="61" t="str">
        <f aca="false">IF($M2599=0,"",INDEX(Classes!$B$6:$B$420,$M2599))</f>
        <v/>
      </c>
      <c r="E2599" s="61" t="str">
        <f aca="false">IF($M2599=0,"",INDEX(Classes!$C$6:$C$420,$M2599))</f>
        <v/>
      </c>
      <c r="F2599" s="63"/>
      <c r="G2599" s="63"/>
      <c r="H2599" s="60"/>
      <c r="I2599" s="60"/>
      <c r="J2599" s="63"/>
      <c r="K2599" s="61" t="str">
        <f aca="false">IF($P2599=0,"",IF($F2599="Baseline","— Baseline",IF($O2599=0,"No result",IF($N2599=0,"No Start (attainment only)",IF(OR($N2599=1,$O2599=1),"U – needs rule",INDEX(MxBody,MATCH($I2599,MxCurr,0),MATCH($H2599,MxStart,0)))))))</f>
        <v/>
      </c>
      <c r="L2599" s="62" t="str">
        <f aca="false">IF(COUNTA($A2599,$F2599,$G2599,$H2599,$I2599,$J2599)=0,"",IF($M2599=0,"✖ كود الصف غير موجود",IF(ISNA(MATCH($F2599,Lists!$A$2:$A$5,0)),"✖ الفترة غير صحيحة",IF(ISNA(MATCH($G2599,Lists!$B$2:$B$7,0)),"✖ المجموعة غير صحيحة",IF(NOT(OR($H2599="",$N2599&gt;0)),"✖ Start غير صحيح",IF(NOT(OR($I2599="",$I2599="NR",$O2599&gt;0)),"✖ Current غير صحيح",IF(NOT(IF(ISNUMBER($J2599),AND($J2599&gt;=0,$J2599=INT($J2599)),FALSE())),"✖ العدد يجب أن يكون صحيحًا ≥ 0",IF(AND($F2599="Baseline",$H2599&lt;&gt;""),"⚠ Baseline: Start لا يدخل في التقدم",IF($K2599="No Start (attainment only)","ℹ تحصيل فقط (بدون Start)",IF($K2599="U – needs rule","ℹ حالة U تحتاج قاعدة معتمدة",IF($K2599="No result","ℹ بدون نتيجة (يُستبعد من التحصيل)","OK")))))))))))</f>
        <v/>
      </c>
      <c r="M2599" s="64" t="n">
        <f aca="false">IF($A2599="",0,IFERROR(MATCH($A2599,Classes!$A$6:$A$420,0),0))</f>
        <v>0</v>
      </c>
      <c r="N2599" s="64" t="n">
        <f aca="false">IF($H2599="",0,IFERROR(MATCH($H2599,GradeList,0),0))</f>
        <v>0</v>
      </c>
      <c r="O2599" s="64" t="n">
        <f aca="false">IF(OR($I2599="",$I2599="NR"),0,IFERROR(MATCH($I2599,GradeList,0),0))</f>
        <v>0</v>
      </c>
      <c r="P2599" s="64" t="n">
        <f aca="false">IF(AND($M2599&gt;0,ISNUMBER(MATCH($F2599,Lists!$A$2:$A$5,0)),ISNUMBER(MATCH($G2599,Lists!$B$2:$B$7,0)),OR($H2599="",$N2599&gt;0),OR($I2599="",$I2599="NR",$O2599&gt;0),IF(ISNUMBER($J2599),AND($J2599&gt;=0,$J2599=INT($J2599)),FALSE())),$J2599,0)</f>
        <v>0</v>
      </c>
      <c r="Q2599" s="64" t="n">
        <f aca="false">IF(AND($P2599&gt;0,$O2599&gt;0),$P2599,0)</f>
        <v>0</v>
      </c>
      <c r="R2599" s="64" t="n">
        <f aca="false">IF(AND($Q2599&gt;0,$O2599&gt;=AtRank),$Q2599,0)</f>
        <v>0</v>
      </c>
      <c r="S2599" s="64" t="n">
        <f aca="false">IF(AND($Q2599&gt;0,$O2599&gt;=AboveRank),$Q2599,0)</f>
        <v>0</v>
      </c>
      <c r="T2599" s="64" t="n">
        <f aca="false">IF($K2599="Less",$P2599,0)</f>
        <v>0</v>
      </c>
      <c r="U2599" s="64" t="n">
        <f aca="false">IF($K2599="Expected",$P2599,0)</f>
        <v>0</v>
      </c>
      <c r="V2599" s="64" t="n">
        <f aca="false">IF($K2599="Better",$P2599,0)</f>
        <v>0</v>
      </c>
      <c r="W2599" s="64" t="n">
        <f aca="false">IF($K2599="U – needs rule",$P2599,0)</f>
        <v>0</v>
      </c>
      <c r="X2599" s="64" t="n">
        <f aca="false">IF($K2599="No Start (attainment only)",$P2599,0)</f>
        <v>0</v>
      </c>
    </row>
    <row r="2600" customFormat="false" ht="15" hidden="false" customHeight="false" outlineLevel="0" collapsed="false">
      <c r="A2600" s="60"/>
      <c r="B2600" s="61" t="str">
        <f aca="false">IF($M2600=0,"",INDEX(Classes!$E$6:$E$420,$M2600))</f>
        <v/>
      </c>
      <c r="C2600" s="62" t="str">
        <f aca="false">IF($M2600=0,"",INDEX(Classes!$H$6:$H$420,$M2600))</f>
        <v/>
      </c>
      <c r="D2600" s="61" t="str">
        <f aca="false">IF($M2600=0,"",INDEX(Classes!$B$6:$B$420,$M2600))</f>
        <v/>
      </c>
      <c r="E2600" s="61" t="str">
        <f aca="false">IF($M2600=0,"",INDEX(Classes!$C$6:$C$420,$M2600))</f>
        <v/>
      </c>
      <c r="F2600" s="63"/>
      <c r="G2600" s="63"/>
      <c r="H2600" s="60"/>
      <c r="I2600" s="60"/>
      <c r="J2600" s="63"/>
      <c r="K2600" s="61" t="str">
        <f aca="false">IF($P2600=0,"",IF($F2600="Baseline","— Baseline",IF($O2600=0,"No result",IF($N2600=0,"No Start (attainment only)",IF(OR($N2600=1,$O2600=1),"U – needs rule",INDEX(MxBody,MATCH($I2600,MxCurr,0),MATCH($H2600,MxStart,0)))))))</f>
        <v/>
      </c>
      <c r="L2600" s="62" t="str">
        <f aca="false">IF(COUNTA($A2600,$F2600,$G2600,$H2600,$I2600,$J2600)=0,"",IF($M2600=0,"✖ كود الصف غير موجود",IF(ISNA(MATCH($F2600,Lists!$A$2:$A$5,0)),"✖ الفترة غير صحيحة",IF(ISNA(MATCH($G2600,Lists!$B$2:$B$7,0)),"✖ المجموعة غير صحيحة",IF(NOT(OR($H2600="",$N2600&gt;0)),"✖ Start غير صحيح",IF(NOT(OR($I2600="",$I2600="NR",$O2600&gt;0)),"✖ Current غير صحيح",IF(NOT(IF(ISNUMBER($J2600),AND($J2600&gt;=0,$J2600=INT($J2600)),FALSE())),"✖ العدد يجب أن يكون صحيحًا ≥ 0",IF(AND($F2600="Baseline",$H2600&lt;&gt;""),"⚠ Baseline: Start لا يدخل في التقدم",IF($K2600="No Start (attainment only)","ℹ تحصيل فقط (بدون Start)",IF($K2600="U – needs rule","ℹ حالة U تحتاج قاعدة معتمدة",IF($K2600="No result","ℹ بدون نتيجة (يُستبعد من التحصيل)","OK")))))))))))</f>
        <v/>
      </c>
      <c r="M2600" s="64" t="n">
        <f aca="false">IF($A2600="",0,IFERROR(MATCH($A2600,Classes!$A$6:$A$420,0),0))</f>
        <v>0</v>
      </c>
      <c r="N2600" s="64" t="n">
        <f aca="false">IF($H2600="",0,IFERROR(MATCH($H2600,GradeList,0),0))</f>
        <v>0</v>
      </c>
      <c r="O2600" s="64" t="n">
        <f aca="false">IF(OR($I2600="",$I2600="NR"),0,IFERROR(MATCH($I2600,GradeList,0),0))</f>
        <v>0</v>
      </c>
      <c r="P2600" s="64" t="n">
        <f aca="false">IF(AND($M2600&gt;0,ISNUMBER(MATCH($F2600,Lists!$A$2:$A$5,0)),ISNUMBER(MATCH($G2600,Lists!$B$2:$B$7,0)),OR($H2600="",$N2600&gt;0),OR($I2600="",$I2600="NR",$O2600&gt;0),IF(ISNUMBER($J2600),AND($J2600&gt;=0,$J2600=INT($J2600)),FALSE())),$J2600,0)</f>
        <v>0</v>
      </c>
      <c r="Q2600" s="64" t="n">
        <f aca="false">IF(AND($P2600&gt;0,$O2600&gt;0),$P2600,0)</f>
        <v>0</v>
      </c>
      <c r="R2600" s="64" t="n">
        <f aca="false">IF(AND($Q2600&gt;0,$O2600&gt;=AtRank),$Q2600,0)</f>
        <v>0</v>
      </c>
      <c r="S2600" s="64" t="n">
        <f aca="false">IF(AND($Q2600&gt;0,$O2600&gt;=AboveRank),$Q2600,0)</f>
        <v>0</v>
      </c>
      <c r="T2600" s="64" t="n">
        <f aca="false">IF($K2600="Less",$P2600,0)</f>
        <v>0</v>
      </c>
      <c r="U2600" s="64" t="n">
        <f aca="false">IF($K2600="Expected",$P2600,0)</f>
        <v>0</v>
      </c>
      <c r="V2600" s="64" t="n">
        <f aca="false">IF($K2600="Better",$P2600,0)</f>
        <v>0</v>
      </c>
      <c r="W2600" s="64" t="n">
        <f aca="false">IF($K2600="U – needs rule",$P2600,0)</f>
        <v>0</v>
      </c>
      <c r="X2600" s="64" t="n">
        <f aca="false">IF($K2600="No Start (attainment only)",$P2600,0)</f>
        <v>0</v>
      </c>
    </row>
    <row r="2601" customFormat="false" ht="15" hidden="false" customHeight="false" outlineLevel="0" collapsed="false">
      <c r="A2601" s="60"/>
      <c r="B2601" s="61" t="str">
        <f aca="false">IF($M2601=0,"",INDEX(Classes!$E$6:$E$420,$M2601))</f>
        <v/>
      </c>
      <c r="C2601" s="62" t="str">
        <f aca="false">IF($M2601=0,"",INDEX(Classes!$H$6:$H$420,$M2601))</f>
        <v/>
      </c>
      <c r="D2601" s="61" t="str">
        <f aca="false">IF($M2601=0,"",INDEX(Classes!$B$6:$B$420,$M2601))</f>
        <v/>
      </c>
      <c r="E2601" s="61" t="str">
        <f aca="false">IF($M2601=0,"",INDEX(Classes!$C$6:$C$420,$M2601))</f>
        <v/>
      </c>
      <c r="F2601" s="63"/>
      <c r="G2601" s="63"/>
      <c r="H2601" s="60"/>
      <c r="I2601" s="60"/>
      <c r="J2601" s="63"/>
      <c r="K2601" s="61" t="str">
        <f aca="false">IF($P2601=0,"",IF($F2601="Baseline","— Baseline",IF($O2601=0,"No result",IF($N2601=0,"No Start (attainment only)",IF(OR($N2601=1,$O2601=1),"U – needs rule",INDEX(MxBody,MATCH($I2601,MxCurr,0),MATCH($H2601,MxStart,0)))))))</f>
        <v/>
      </c>
      <c r="L2601" s="62" t="str">
        <f aca="false">IF(COUNTA($A2601,$F2601,$G2601,$H2601,$I2601,$J2601)=0,"",IF($M2601=0,"✖ كود الصف غير موجود",IF(ISNA(MATCH($F2601,Lists!$A$2:$A$5,0)),"✖ الفترة غير صحيحة",IF(ISNA(MATCH($G2601,Lists!$B$2:$B$7,0)),"✖ المجموعة غير صحيحة",IF(NOT(OR($H2601="",$N2601&gt;0)),"✖ Start غير صحيح",IF(NOT(OR($I2601="",$I2601="NR",$O2601&gt;0)),"✖ Current غير صحيح",IF(NOT(IF(ISNUMBER($J2601),AND($J2601&gt;=0,$J2601=INT($J2601)),FALSE())),"✖ العدد يجب أن يكون صحيحًا ≥ 0",IF(AND($F2601="Baseline",$H2601&lt;&gt;""),"⚠ Baseline: Start لا يدخل في التقدم",IF($K2601="No Start (attainment only)","ℹ تحصيل فقط (بدون Start)",IF($K2601="U – needs rule","ℹ حالة U تحتاج قاعدة معتمدة",IF($K2601="No result","ℹ بدون نتيجة (يُستبعد من التحصيل)","OK")))))))))))</f>
        <v/>
      </c>
      <c r="M2601" s="64" t="n">
        <f aca="false">IF($A2601="",0,IFERROR(MATCH($A2601,Classes!$A$6:$A$420,0),0))</f>
        <v>0</v>
      </c>
      <c r="N2601" s="64" t="n">
        <f aca="false">IF($H2601="",0,IFERROR(MATCH($H2601,GradeList,0),0))</f>
        <v>0</v>
      </c>
      <c r="O2601" s="64" t="n">
        <f aca="false">IF(OR($I2601="",$I2601="NR"),0,IFERROR(MATCH($I2601,GradeList,0),0))</f>
        <v>0</v>
      </c>
      <c r="P2601" s="64" t="n">
        <f aca="false">IF(AND($M2601&gt;0,ISNUMBER(MATCH($F2601,Lists!$A$2:$A$5,0)),ISNUMBER(MATCH($G2601,Lists!$B$2:$B$7,0)),OR($H2601="",$N2601&gt;0),OR($I2601="",$I2601="NR",$O2601&gt;0),IF(ISNUMBER($J2601),AND($J2601&gt;=0,$J2601=INT($J2601)),FALSE())),$J2601,0)</f>
        <v>0</v>
      </c>
      <c r="Q2601" s="64" t="n">
        <f aca="false">IF(AND($P2601&gt;0,$O2601&gt;0),$P2601,0)</f>
        <v>0</v>
      </c>
      <c r="R2601" s="64" t="n">
        <f aca="false">IF(AND($Q2601&gt;0,$O2601&gt;=AtRank),$Q2601,0)</f>
        <v>0</v>
      </c>
      <c r="S2601" s="64" t="n">
        <f aca="false">IF(AND($Q2601&gt;0,$O2601&gt;=AboveRank),$Q2601,0)</f>
        <v>0</v>
      </c>
      <c r="T2601" s="64" t="n">
        <f aca="false">IF($K2601="Less",$P2601,0)</f>
        <v>0</v>
      </c>
      <c r="U2601" s="64" t="n">
        <f aca="false">IF($K2601="Expected",$P2601,0)</f>
        <v>0</v>
      </c>
      <c r="V2601" s="64" t="n">
        <f aca="false">IF($K2601="Better",$P2601,0)</f>
        <v>0</v>
      </c>
      <c r="W2601" s="64" t="n">
        <f aca="false">IF($K2601="U – needs rule",$P2601,0)</f>
        <v>0</v>
      </c>
      <c r="X2601" s="64" t="n">
        <f aca="false">IF($K2601="No Start (attainment only)",$P2601,0)</f>
        <v>0</v>
      </c>
    </row>
    <row r="2602" customFormat="false" ht="15" hidden="false" customHeight="false" outlineLevel="0" collapsed="false">
      <c r="A2602" s="60"/>
      <c r="B2602" s="61" t="str">
        <f aca="false">IF($M2602=0,"",INDEX(Classes!$E$6:$E$420,$M2602))</f>
        <v/>
      </c>
      <c r="C2602" s="62" t="str">
        <f aca="false">IF($M2602=0,"",INDEX(Classes!$H$6:$H$420,$M2602))</f>
        <v/>
      </c>
      <c r="D2602" s="61" t="str">
        <f aca="false">IF($M2602=0,"",INDEX(Classes!$B$6:$B$420,$M2602))</f>
        <v/>
      </c>
      <c r="E2602" s="61" t="str">
        <f aca="false">IF($M2602=0,"",INDEX(Classes!$C$6:$C$420,$M2602))</f>
        <v/>
      </c>
      <c r="F2602" s="63"/>
      <c r="G2602" s="63"/>
      <c r="H2602" s="60"/>
      <c r="I2602" s="60"/>
      <c r="J2602" s="63"/>
      <c r="K2602" s="61" t="str">
        <f aca="false">IF($P2602=0,"",IF($F2602="Baseline","— Baseline",IF($O2602=0,"No result",IF($N2602=0,"No Start (attainment only)",IF(OR($N2602=1,$O2602=1),"U – needs rule",INDEX(MxBody,MATCH($I2602,MxCurr,0),MATCH($H2602,MxStart,0)))))))</f>
        <v/>
      </c>
      <c r="L2602" s="62" t="str">
        <f aca="false">IF(COUNTA($A2602,$F2602,$G2602,$H2602,$I2602,$J2602)=0,"",IF($M2602=0,"✖ كود الصف غير موجود",IF(ISNA(MATCH($F2602,Lists!$A$2:$A$5,0)),"✖ الفترة غير صحيحة",IF(ISNA(MATCH($G2602,Lists!$B$2:$B$7,0)),"✖ المجموعة غير صحيحة",IF(NOT(OR($H2602="",$N2602&gt;0)),"✖ Start غير صحيح",IF(NOT(OR($I2602="",$I2602="NR",$O2602&gt;0)),"✖ Current غير صحيح",IF(NOT(IF(ISNUMBER($J2602),AND($J2602&gt;=0,$J2602=INT($J2602)),FALSE())),"✖ العدد يجب أن يكون صحيحًا ≥ 0",IF(AND($F2602="Baseline",$H2602&lt;&gt;""),"⚠ Baseline: Start لا يدخل في التقدم",IF($K2602="No Start (attainment only)","ℹ تحصيل فقط (بدون Start)",IF($K2602="U – needs rule","ℹ حالة U تحتاج قاعدة معتمدة",IF($K2602="No result","ℹ بدون نتيجة (يُستبعد من التحصيل)","OK")))))))))))</f>
        <v/>
      </c>
      <c r="M2602" s="64" t="n">
        <f aca="false">IF($A2602="",0,IFERROR(MATCH($A2602,Classes!$A$6:$A$420,0),0))</f>
        <v>0</v>
      </c>
      <c r="N2602" s="64" t="n">
        <f aca="false">IF($H2602="",0,IFERROR(MATCH($H2602,GradeList,0),0))</f>
        <v>0</v>
      </c>
      <c r="O2602" s="64" t="n">
        <f aca="false">IF(OR($I2602="",$I2602="NR"),0,IFERROR(MATCH($I2602,GradeList,0),0))</f>
        <v>0</v>
      </c>
      <c r="P2602" s="64" t="n">
        <f aca="false">IF(AND($M2602&gt;0,ISNUMBER(MATCH($F2602,Lists!$A$2:$A$5,0)),ISNUMBER(MATCH($G2602,Lists!$B$2:$B$7,0)),OR($H2602="",$N2602&gt;0),OR($I2602="",$I2602="NR",$O2602&gt;0),IF(ISNUMBER($J2602),AND($J2602&gt;=0,$J2602=INT($J2602)),FALSE())),$J2602,0)</f>
        <v>0</v>
      </c>
      <c r="Q2602" s="64" t="n">
        <f aca="false">IF(AND($P2602&gt;0,$O2602&gt;0),$P2602,0)</f>
        <v>0</v>
      </c>
      <c r="R2602" s="64" t="n">
        <f aca="false">IF(AND($Q2602&gt;0,$O2602&gt;=AtRank),$Q2602,0)</f>
        <v>0</v>
      </c>
      <c r="S2602" s="64" t="n">
        <f aca="false">IF(AND($Q2602&gt;0,$O2602&gt;=AboveRank),$Q2602,0)</f>
        <v>0</v>
      </c>
      <c r="T2602" s="64" t="n">
        <f aca="false">IF($K2602="Less",$P2602,0)</f>
        <v>0</v>
      </c>
      <c r="U2602" s="64" t="n">
        <f aca="false">IF($K2602="Expected",$P2602,0)</f>
        <v>0</v>
      </c>
      <c r="V2602" s="64" t="n">
        <f aca="false">IF($K2602="Better",$P2602,0)</f>
        <v>0</v>
      </c>
      <c r="W2602" s="64" t="n">
        <f aca="false">IF($K2602="U – needs rule",$P2602,0)</f>
        <v>0</v>
      </c>
      <c r="X2602" s="64" t="n">
        <f aca="false">IF($K2602="No Start (attainment only)",$P2602,0)</f>
        <v>0</v>
      </c>
    </row>
    <row r="2603" customFormat="false" ht="15" hidden="false" customHeight="false" outlineLevel="0" collapsed="false">
      <c r="A2603" s="60"/>
      <c r="B2603" s="61" t="str">
        <f aca="false">IF($M2603=0,"",INDEX(Classes!$E$6:$E$420,$M2603))</f>
        <v/>
      </c>
      <c r="C2603" s="62" t="str">
        <f aca="false">IF($M2603=0,"",INDEX(Classes!$H$6:$H$420,$M2603))</f>
        <v/>
      </c>
      <c r="D2603" s="61" t="str">
        <f aca="false">IF($M2603=0,"",INDEX(Classes!$B$6:$B$420,$M2603))</f>
        <v/>
      </c>
      <c r="E2603" s="61" t="str">
        <f aca="false">IF($M2603=0,"",INDEX(Classes!$C$6:$C$420,$M2603))</f>
        <v/>
      </c>
      <c r="F2603" s="63"/>
      <c r="G2603" s="63"/>
      <c r="H2603" s="60"/>
      <c r="I2603" s="60"/>
      <c r="J2603" s="63"/>
      <c r="K2603" s="61" t="str">
        <f aca="false">IF($P2603=0,"",IF($F2603="Baseline","— Baseline",IF($O2603=0,"No result",IF($N2603=0,"No Start (attainment only)",IF(OR($N2603=1,$O2603=1),"U – needs rule",INDEX(MxBody,MATCH($I2603,MxCurr,0),MATCH($H2603,MxStart,0)))))))</f>
        <v/>
      </c>
      <c r="L2603" s="62" t="str">
        <f aca="false">IF(COUNTA($A2603,$F2603,$G2603,$H2603,$I2603,$J2603)=0,"",IF($M2603=0,"✖ كود الصف غير موجود",IF(ISNA(MATCH($F2603,Lists!$A$2:$A$5,0)),"✖ الفترة غير صحيحة",IF(ISNA(MATCH($G2603,Lists!$B$2:$B$7,0)),"✖ المجموعة غير صحيحة",IF(NOT(OR($H2603="",$N2603&gt;0)),"✖ Start غير صحيح",IF(NOT(OR($I2603="",$I2603="NR",$O2603&gt;0)),"✖ Current غير صحيح",IF(NOT(IF(ISNUMBER($J2603),AND($J2603&gt;=0,$J2603=INT($J2603)),FALSE())),"✖ العدد يجب أن يكون صحيحًا ≥ 0",IF(AND($F2603="Baseline",$H2603&lt;&gt;""),"⚠ Baseline: Start لا يدخل في التقدم",IF($K2603="No Start (attainment only)","ℹ تحصيل فقط (بدون Start)",IF($K2603="U – needs rule","ℹ حالة U تحتاج قاعدة معتمدة",IF($K2603="No result","ℹ بدون نتيجة (يُستبعد من التحصيل)","OK")))))))))))</f>
        <v/>
      </c>
      <c r="M2603" s="64" t="n">
        <f aca="false">IF($A2603="",0,IFERROR(MATCH($A2603,Classes!$A$6:$A$420,0),0))</f>
        <v>0</v>
      </c>
      <c r="N2603" s="64" t="n">
        <f aca="false">IF($H2603="",0,IFERROR(MATCH($H2603,GradeList,0),0))</f>
        <v>0</v>
      </c>
      <c r="O2603" s="64" t="n">
        <f aca="false">IF(OR($I2603="",$I2603="NR"),0,IFERROR(MATCH($I2603,GradeList,0),0))</f>
        <v>0</v>
      </c>
      <c r="P2603" s="64" t="n">
        <f aca="false">IF(AND($M2603&gt;0,ISNUMBER(MATCH($F2603,Lists!$A$2:$A$5,0)),ISNUMBER(MATCH($G2603,Lists!$B$2:$B$7,0)),OR($H2603="",$N2603&gt;0),OR($I2603="",$I2603="NR",$O2603&gt;0),IF(ISNUMBER($J2603),AND($J2603&gt;=0,$J2603=INT($J2603)),FALSE())),$J2603,0)</f>
        <v>0</v>
      </c>
      <c r="Q2603" s="64" t="n">
        <f aca="false">IF(AND($P2603&gt;0,$O2603&gt;0),$P2603,0)</f>
        <v>0</v>
      </c>
      <c r="R2603" s="64" t="n">
        <f aca="false">IF(AND($Q2603&gt;0,$O2603&gt;=AtRank),$Q2603,0)</f>
        <v>0</v>
      </c>
      <c r="S2603" s="64" t="n">
        <f aca="false">IF(AND($Q2603&gt;0,$O2603&gt;=AboveRank),$Q2603,0)</f>
        <v>0</v>
      </c>
      <c r="T2603" s="64" t="n">
        <f aca="false">IF($K2603="Less",$P2603,0)</f>
        <v>0</v>
      </c>
      <c r="U2603" s="64" t="n">
        <f aca="false">IF($K2603="Expected",$P2603,0)</f>
        <v>0</v>
      </c>
      <c r="V2603" s="64" t="n">
        <f aca="false">IF($K2603="Better",$P2603,0)</f>
        <v>0</v>
      </c>
      <c r="W2603" s="64" t="n">
        <f aca="false">IF($K2603="U – needs rule",$P2603,0)</f>
        <v>0</v>
      </c>
      <c r="X2603" s="64" t="n">
        <f aca="false">IF($K2603="No Start (attainment only)",$P2603,0)</f>
        <v>0</v>
      </c>
    </row>
    <row r="2604" customFormat="false" ht="15" hidden="false" customHeight="false" outlineLevel="0" collapsed="false">
      <c r="A2604" s="60"/>
      <c r="B2604" s="61" t="str">
        <f aca="false">IF($M2604=0,"",INDEX(Classes!$E$6:$E$420,$M2604))</f>
        <v/>
      </c>
      <c r="C2604" s="62" t="str">
        <f aca="false">IF($M2604=0,"",INDEX(Classes!$H$6:$H$420,$M2604))</f>
        <v/>
      </c>
      <c r="D2604" s="61" t="str">
        <f aca="false">IF($M2604=0,"",INDEX(Classes!$B$6:$B$420,$M2604))</f>
        <v/>
      </c>
      <c r="E2604" s="61" t="str">
        <f aca="false">IF($M2604=0,"",INDEX(Classes!$C$6:$C$420,$M2604))</f>
        <v/>
      </c>
      <c r="F2604" s="63"/>
      <c r="G2604" s="63"/>
      <c r="H2604" s="60"/>
      <c r="I2604" s="60"/>
      <c r="J2604" s="63"/>
      <c r="K2604" s="61" t="str">
        <f aca="false">IF($P2604=0,"",IF($F2604="Baseline","— Baseline",IF($O2604=0,"No result",IF($N2604=0,"No Start (attainment only)",IF(OR($N2604=1,$O2604=1),"U – needs rule",INDEX(MxBody,MATCH($I2604,MxCurr,0),MATCH($H2604,MxStart,0)))))))</f>
        <v/>
      </c>
      <c r="L2604" s="62" t="str">
        <f aca="false">IF(COUNTA($A2604,$F2604,$G2604,$H2604,$I2604,$J2604)=0,"",IF($M2604=0,"✖ كود الصف غير موجود",IF(ISNA(MATCH($F2604,Lists!$A$2:$A$5,0)),"✖ الفترة غير صحيحة",IF(ISNA(MATCH($G2604,Lists!$B$2:$B$7,0)),"✖ المجموعة غير صحيحة",IF(NOT(OR($H2604="",$N2604&gt;0)),"✖ Start غير صحيح",IF(NOT(OR($I2604="",$I2604="NR",$O2604&gt;0)),"✖ Current غير صحيح",IF(NOT(IF(ISNUMBER($J2604),AND($J2604&gt;=0,$J2604=INT($J2604)),FALSE())),"✖ العدد يجب أن يكون صحيحًا ≥ 0",IF(AND($F2604="Baseline",$H2604&lt;&gt;""),"⚠ Baseline: Start لا يدخل في التقدم",IF($K2604="No Start (attainment only)","ℹ تحصيل فقط (بدون Start)",IF($K2604="U – needs rule","ℹ حالة U تحتاج قاعدة معتمدة",IF($K2604="No result","ℹ بدون نتيجة (يُستبعد من التحصيل)","OK")))))))))))</f>
        <v/>
      </c>
      <c r="M2604" s="64" t="n">
        <f aca="false">IF($A2604="",0,IFERROR(MATCH($A2604,Classes!$A$6:$A$420,0),0))</f>
        <v>0</v>
      </c>
      <c r="N2604" s="64" t="n">
        <f aca="false">IF($H2604="",0,IFERROR(MATCH($H2604,GradeList,0),0))</f>
        <v>0</v>
      </c>
      <c r="O2604" s="64" t="n">
        <f aca="false">IF(OR($I2604="",$I2604="NR"),0,IFERROR(MATCH($I2604,GradeList,0),0))</f>
        <v>0</v>
      </c>
      <c r="P2604" s="64" t="n">
        <f aca="false">IF(AND($M2604&gt;0,ISNUMBER(MATCH($F2604,Lists!$A$2:$A$5,0)),ISNUMBER(MATCH($G2604,Lists!$B$2:$B$7,0)),OR($H2604="",$N2604&gt;0),OR($I2604="",$I2604="NR",$O2604&gt;0),IF(ISNUMBER($J2604),AND($J2604&gt;=0,$J2604=INT($J2604)),FALSE())),$J2604,0)</f>
        <v>0</v>
      </c>
      <c r="Q2604" s="64" t="n">
        <f aca="false">IF(AND($P2604&gt;0,$O2604&gt;0),$P2604,0)</f>
        <v>0</v>
      </c>
      <c r="R2604" s="64" t="n">
        <f aca="false">IF(AND($Q2604&gt;0,$O2604&gt;=AtRank),$Q2604,0)</f>
        <v>0</v>
      </c>
      <c r="S2604" s="64" t="n">
        <f aca="false">IF(AND($Q2604&gt;0,$O2604&gt;=AboveRank),$Q2604,0)</f>
        <v>0</v>
      </c>
      <c r="T2604" s="64" t="n">
        <f aca="false">IF($K2604="Less",$P2604,0)</f>
        <v>0</v>
      </c>
      <c r="U2604" s="64" t="n">
        <f aca="false">IF($K2604="Expected",$P2604,0)</f>
        <v>0</v>
      </c>
      <c r="V2604" s="64" t="n">
        <f aca="false">IF($K2604="Better",$P2604,0)</f>
        <v>0</v>
      </c>
      <c r="W2604" s="64" t="n">
        <f aca="false">IF($K2604="U – needs rule",$P2604,0)</f>
        <v>0</v>
      </c>
      <c r="X2604" s="64" t="n">
        <f aca="false">IF($K2604="No Start (attainment only)",$P2604,0)</f>
        <v>0</v>
      </c>
    </row>
    <row r="2605" customFormat="false" ht="15" hidden="false" customHeight="false" outlineLevel="0" collapsed="false">
      <c r="A2605" s="60"/>
      <c r="B2605" s="61" t="str">
        <f aca="false">IF($M2605=0,"",INDEX(Classes!$E$6:$E$420,$M2605))</f>
        <v/>
      </c>
      <c r="C2605" s="62" t="str">
        <f aca="false">IF($M2605=0,"",INDEX(Classes!$H$6:$H$420,$M2605))</f>
        <v/>
      </c>
      <c r="D2605" s="61" t="str">
        <f aca="false">IF($M2605=0,"",INDEX(Classes!$B$6:$B$420,$M2605))</f>
        <v/>
      </c>
      <c r="E2605" s="61" t="str">
        <f aca="false">IF($M2605=0,"",INDEX(Classes!$C$6:$C$420,$M2605))</f>
        <v/>
      </c>
      <c r="F2605" s="63"/>
      <c r="G2605" s="63"/>
      <c r="H2605" s="60"/>
      <c r="I2605" s="60"/>
      <c r="J2605" s="63"/>
      <c r="K2605" s="61" t="str">
        <f aca="false">IF($P2605=0,"",IF($F2605="Baseline","— Baseline",IF($O2605=0,"No result",IF($N2605=0,"No Start (attainment only)",IF(OR($N2605=1,$O2605=1),"U – needs rule",INDEX(MxBody,MATCH($I2605,MxCurr,0),MATCH($H2605,MxStart,0)))))))</f>
        <v/>
      </c>
      <c r="L2605" s="62" t="str">
        <f aca="false">IF(COUNTA($A2605,$F2605,$G2605,$H2605,$I2605,$J2605)=0,"",IF($M2605=0,"✖ كود الصف غير موجود",IF(ISNA(MATCH($F2605,Lists!$A$2:$A$5,0)),"✖ الفترة غير صحيحة",IF(ISNA(MATCH($G2605,Lists!$B$2:$B$7,0)),"✖ المجموعة غير صحيحة",IF(NOT(OR($H2605="",$N2605&gt;0)),"✖ Start غير صحيح",IF(NOT(OR($I2605="",$I2605="NR",$O2605&gt;0)),"✖ Current غير صحيح",IF(NOT(IF(ISNUMBER($J2605),AND($J2605&gt;=0,$J2605=INT($J2605)),FALSE())),"✖ العدد يجب أن يكون صحيحًا ≥ 0",IF(AND($F2605="Baseline",$H2605&lt;&gt;""),"⚠ Baseline: Start لا يدخل في التقدم",IF($K2605="No Start (attainment only)","ℹ تحصيل فقط (بدون Start)",IF($K2605="U – needs rule","ℹ حالة U تحتاج قاعدة معتمدة",IF($K2605="No result","ℹ بدون نتيجة (يُستبعد من التحصيل)","OK")))))))))))</f>
        <v/>
      </c>
      <c r="M2605" s="64" t="n">
        <f aca="false">IF($A2605="",0,IFERROR(MATCH($A2605,Classes!$A$6:$A$420,0),0))</f>
        <v>0</v>
      </c>
      <c r="N2605" s="64" t="n">
        <f aca="false">IF($H2605="",0,IFERROR(MATCH($H2605,GradeList,0),0))</f>
        <v>0</v>
      </c>
      <c r="O2605" s="64" t="n">
        <f aca="false">IF(OR($I2605="",$I2605="NR"),0,IFERROR(MATCH($I2605,GradeList,0),0))</f>
        <v>0</v>
      </c>
      <c r="P2605" s="64" t="n">
        <f aca="false">IF(AND($M2605&gt;0,ISNUMBER(MATCH($F2605,Lists!$A$2:$A$5,0)),ISNUMBER(MATCH($G2605,Lists!$B$2:$B$7,0)),OR($H2605="",$N2605&gt;0),OR($I2605="",$I2605="NR",$O2605&gt;0),IF(ISNUMBER($J2605),AND($J2605&gt;=0,$J2605=INT($J2605)),FALSE())),$J2605,0)</f>
        <v>0</v>
      </c>
      <c r="Q2605" s="64" t="n">
        <f aca="false">IF(AND($P2605&gt;0,$O2605&gt;0),$P2605,0)</f>
        <v>0</v>
      </c>
      <c r="R2605" s="64" t="n">
        <f aca="false">IF(AND($Q2605&gt;0,$O2605&gt;=AtRank),$Q2605,0)</f>
        <v>0</v>
      </c>
      <c r="S2605" s="64" t="n">
        <f aca="false">IF(AND($Q2605&gt;0,$O2605&gt;=AboveRank),$Q2605,0)</f>
        <v>0</v>
      </c>
      <c r="T2605" s="64" t="n">
        <f aca="false">IF($K2605="Less",$P2605,0)</f>
        <v>0</v>
      </c>
      <c r="U2605" s="64" t="n">
        <f aca="false">IF($K2605="Expected",$P2605,0)</f>
        <v>0</v>
      </c>
      <c r="V2605" s="64" t="n">
        <f aca="false">IF($K2605="Better",$P2605,0)</f>
        <v>0</v>
      </c>
      <c r="W2605" s="64" t="n">
        <f aca="false">IF($K2605="U – needs rule",$P2605,0)</f>
        <v>0</v>
      </c>
      <c r="X2605" s="64" t="n">
        <f aca="false">IF($K2605="No Start (attainment only)",$P2605,0)</f>
        <v>0</v>
      </c>
    </row>
    <row r="2606" customFormat="false" ht="15" hidden="false" customHeight="false" outlineLevel="0" collapsed="false">
      <c r="A2606" s="60"/>
      <c r="B2606" s="61" t="str">
        <f aca="false">IF($M2606=0,"",INDEX(Classes!$E$6:$E$420,$M2606))</f>
        <v/>
      </c>
      <c r="C2606" s="62" t="str">
        <f aca="false">IF($M2606=0,"",INDEX(Classes!$H$6:$H$420,$M2606))</f>
        <v/>
      </c>
      <c r="D2606" s="61" t="str">
        <f aca="false">IF($M2606=0,"",INDEX(Classes!$B$6:$B$420,$M2606))</f>
        <v/>
      </c>
      <c r="E2606" s="61" t="str">
        <f aca="false">IF($M2606=0,"",INDEX(Classes!$C$6:$C$420,$M2606))</f>
        <v/>
      </c>
      <c r="F2606" s="63"/>
      <c r="G2606" s="63"/>
      <c r="H2606" s="60"/>
      <c r="I2606" s="60"/>
      <c r="J2606" s="63"/>
      <c r="K2606" s="61" t="str">
        <f aca="false">IF($P2606=0,"",IF($F2606="Baseline","— Baseline",IF($O2606=0,"No result",IF($N2606=0,"No Start (attainment only)",IF(OR($N2606=1,$O2606=1),"U – needs rule",INDEX(MxBody,MATCH($I2606,MxCurr,0),MATCH($H2606,MxStart,0)))))))</f>
        <v/>
      </c>
      <c r="L2606" s="62" t="str">
        <f aca="false">IF(COUNTA($A2606,$F2606,$G2606,$H2606,$I2606,$J2606)=0,"",IF($M2606=0,"✖ كود الصف غير موجود",IF(ISNA(MATCH($F2606,Lists!$A$2:$A$5,0)),"✖ الفترة غير صحيحة",IF(ISNA(MATCH($G2606,Lists!$B$2:$B$7,0)),"✖ المجموعة غير صحيحة",IF(NOT(OR($H2606="",$N2606&gt;0)),"✖ Start غير صحيح",IF(NOT(OR($I2606="",$I2606="NR",$O2606&gt;0)),"✖ Current غير صحيح",IF(NOT(IF(ISNUMBER($J2606),AND($J2606&gt;=0,$J2606=INT($J2606)),FALSE())),"✖ العدد يجب أن يكون صحيحًا ≥ 0",IF(AND($F2606="Baseline",$H2606&lt;&gt;""),"⚠ Baseline: Start لا يدخل في التقدم",IF($K2606="No Start (attainment only)","ℹ تحصيل فقط (بدون Start)",IF($K2606="U – needs rule","ℹ حالة U تحتاج قاعدة معتمدة",IF($K2606="No result","ℹ بدون نتيجة (يُستبعد من التحصيل)","OK")))))))))))</f>
        <v/>
      </c>
      <c r="M2606" s="64" t="n">
        <f aca="false">IF($A2606="",0,IFERROR(MATCH($A2606,Classes!$A$6:$A$420,0),0))</f>
        <v>0</v>
      </c>
      <c r="N2606" s="64" t="n">
        <f aca="false">IF($H2606="",0,IFERROR(MATCH($H2606,GradeList,0),0))</f>
        <v>0</v>
      </c>
      <c r="O2606" s="64" t="n">
        <f aca="false">IF(OR($I2606="",$I2606="NR"),0,IFERROR(MATCH($I2606,GradeList,0),0))</f>
        <v>0</v>
      </c>
      <c r="P2606" s="64" t="n">
        <f aca="false">IF(AND($M2606&gt;0,ISNUMBER(MATCH($F2606,Lists!$A$2:$A$5,0)),ISNUMBER(MATCH($G2606,Lists!$B$2:$B$7,0)),OR($H2606="",$N2606&gt;0),OR($I2606="",$I2606="NR",$O2606&gt;0),IF(ISNUMBER($J2606),AND($J2606&gt;=0,$J2606=INT($J2606)),FALSE())),$J2606,0)</f>
        <v>0</v>
      </c>
      <c r="Q2606" s="64" t="n">
        <f aca="false">IF(AND($P2606&gt;0,$O2606&gt;0),$P2606,0)</f>
        <v>0</v>
      </c>
      <c r="R2606" s="64" t="n">
        <f aca="false">IF(AND($Q2606&gt;0,$O2606&gt;=AtRank),$Q2606,0)</f>
        <v>0</v>
      </c>
      <c r="S2606" s="64" t="n">
        <f aca="false">IF(AND($Q2606&gt;0,$O2606&gt;=AboveRank),$Q2606,0)</f>
        <v>0</v>
      </c>
      <c r="T2606" s="64" t="n">
        <f aca="false">IF($K2606="Less",$P2606,0)</f>
        <v>0</v>
      </c>
      <c r="U2606" s="64" t="n">
        <f aca="false">IF($K2606="Expected",$P2606,0)</f>
        <v>0</v>
      </c>
      <c r="V2606" s="64" t="n">
        <f aca="false">IF($K2606="Better",$P2606,0)</f>
        <v>0</v>
      </c>
      <c r="W2606" s="64" t="n">
        <f aca="false">IF($K2606="U – needs rule",$P2606,0)</f>
        <v>0</v>
      </c>
      <c r="X2606" s="64" t="n">
        <f aca="false">IF($K2606="No Start (attainment only)",$P2606,0)</f>
        <v>0</v>
      </c>
    </row>
    <row r="2607" customFormat="false" ht="15" hidden="false" customHeight="false" outlineLevel="0" collapsed="false">
      <c r="A2607" s="60"/>
      <c r="B2607" s="61" t="str">
        <f aca="false">IF($M2607=0,"",INDEX(Classes!$E$6:$E$420,$M2607))</f>
        <v/>
      </c>
      <c r="C2607" s="62" t="str">
        <f aca="false">IF($M2607=0,"",INDEX(Classes!$H$6:$H$420,$M2607))</f>
        <v/>
      </c>
      <c r="D2607" s="61" t="str">
        <f aca="false">IF($M2607=0,"",INDEX(Classes!$B$6:$B$420,$M2607))</f>
        <v/>
      </c>
      <c r="E2607" s="61" t="str">
        <f aca="false">IF($M2607=0,"",INDEX(Classes!$C$6:$C$420,$M2607))</f>
        <v/>
      </c>
      <c r="F2607" s="63"/>
      <c r="G2607" s="63"/>
      <c r="H2607" s="60"/>
      <c r="I2607" s="60"/>
      <c r="J2607" s="63"/>
      <c r="K2607" s="61" t="str">
        <f aca="false">IF($P2607=0,"",IF($F2607="Baseline","— Baseline",IF($O2607=0,"No result",IF($N2607=0,"No Start (attainment only)",IF(OR($N2607=1,$O2607=1),"U – needs rule",INDEX(MxBody,MATCH($I2607,MxCurr,0),MATCH($H2607,MxStart,0)))))))</f>
        <v/>
      </c>
      <c r="L2607" s="62" t="str">
        <f aca="false">IF(COUNTA($A2607,$F2607,$G2607,$H2607,$I2607,$J2607)=0,"",IF($M2607=0,"✖ كود الصف غير موجود",IF(ISNA(MATCH($F2607,Lists!$A$2:$A$5,0)),"✖ الفترة غير صحيحة",IF(ISNA(MATCH($G2607,Lists!$B$2:$B$7,0)),"✖ المجموعة غير صحيحة",IF(NOT(OR($H2607="",$N2607&gt;0)),"✖ Start غير صحيح",IF(NOT(OR($I2607="",$I2607="NR",$O2607&gt;0)),"✖ Current غير صحيح",IF(NOT(IF(ISNUMBER($J2607),AND($J2607&gt;=0,$J2607=INT($J2607)),FALSE())),"✖ العدد يجب أن يكون صحيحًا ≥ 0",IF(AND($F2607="Baseline",$H2607&lt;&gt;""),"⚠ Baseline: Start لا يدخل في التقدم",IF($K2607="No Start (attainment only)","ℹ تحصيل فقط (بدون Start)",IF($K2607="U – needs rule","ℹ حالة U تحتاج قاعدة معتمدة",IF($K2607="No result","ℹ بدون نتيجة (يُستبعد من التحصيل)","OK")))))))))))</f>
        <v/>
      </c>
      <c r="M2607" s="64" t="n">
        <f aca="false">IF($A2607="",0,IFERROR(MATCH($A2607,Classes!$A$6:$A$420,0),0))</f>
        <v>0</v>
      </c>
      <c r="N2607" s="64" t="n">
        <f aca="false">IF($H2607="",0,IFERROR(MATCH($H2607,GradeList,0),0))</f>
        <v>0</v>
      </c>
      <c r="O2607" s="64" t="n">
        <f aca="false">IF(OR($I2607="",$I2607="NR"),0,IFERROR(MATCH($I2607,GradeList,0),0))</f>
        <v>0</v>
      </c>
      <c r="P2607" s="64" t="n">
        <f aca="false">IF(AND($M2607&gt;0,ISNUMBER(MATCH($F2607,Lists!$A$2:$A$5,0)),ISNUMBER(MATCH($G2607,Lists!$B$2:$B$7,0)),OR($H2607="",$N2607&gt;0),OR($I2607="",$I2607="NR",$O2607&gt;0),IF(ISNUMBER($J2607),AND($J2607&gt;=0,$J2607=INT($J2607)),FALSE())),$J2607,0)</f>
        <v>0</v>
      </c>
      <c r="Q2607" s="64" t="n">
        <f aca="false">IF(AND($P2607&gt;0,$O2607&gt;0),$P2607,0)</f>
        <v>0</v>
      </c>
      <c r="R2607" s="64" t="n">
        <f aca="false">IF(AND($Q2607&gt;0,$O2607&gt;=AtRank),$Q2607,0)</f>
        <v>0</v>
      </c>
      <c r="S2607" s="64" t="n">
        <f aca="false">IF(AND($Q2607&gt;0,$O2607&gt;=AboveRank),$Q2607,0)</f>
        <v>0</v>
      </c>
      <c r="T2607" s="64" t="n">
        <f aca="false">IF($K2607="Less",$P2607,0)</f>
        <v>0</v>
      </c>
      <c r="U2607" s="64" t="n">
        <f aca="false">IF($K2607="Expected",$P2607,0)</f>
        <v>0</v>
      </c>
      <c r="V2607" s="64" t="n">
        <f aca="false">IF($K2607="Better",$P2607,0)</f>
        <v>0</v>
      </c>
      <c r="W2607" s="64" t="n">
        <f aca="false">IF($K2607="U – needs rule",$P2607,0)</f>
        <v>0</v>
      </c>
      <c r="X2607" s="64" t="n">
        <f aca="false">IF($K2607="No Start (attainment only)",$P2607,0)</f>
        <v>0</v>
      </c>
    </row>
    <row r="2608" customFormat="false" ht="15" hidden="false" customHeight="false" outlineLevel="0" collapsed="false">
      <c r="A2608" s="60"/>
      <c r="B2608" s="61" t="str">
        <f aca="false">IF($M2608=0,"",INDEX(Classes!$E$6:$E$420,$M2608))</f>
        <v/>
      </c>
      <c r="C2608" s="62" t="str">
        <f aca="false">IF($M2608=0,"",INDEX(Classes!$H$6:$H$420,$M2608))</f>
        <v/>
      </c>
      <c r="D2608" s="61" t="str">
        <f aca="false">IF($M2608=0,"",INDEX(Classes!$B$6:$B$420,$M2608))</f>
        <v/>
      </c>
      <c r="E2608" s="61" t="str">
        <f aca="false">IF($M2608=0,"",INDEX(Classes!$C$6:$C$420,$M2608))</f>
        <v/>
      </c>
      <c r="F2608" s="63"/>
      <c r="G2608" s="63"/>
      <c r="H2608" s="60"/>
      <c r="I2608" s="60"/>
      <c r="J2608" s="63"/>
      <c r="K2608" s="61" t="str">
        <f aca="false">IF($P2608=0,"",IF($F2608="Baseline","— Baseline",IF($O2608=0,"No result",IF($N2608=0,"No Start (attainment only)",IF(OR($N2608=1,$O2608=1),"U – needs rule",INDEX(MxBody,MATCH($I2608,MxCurr,0),MATCH($H2608,MxStart,0)))))))</f>
        <v/>
      </c>
      <c r="L2608" s="62" t="str">
        <f aca="false">IF(COUNTA($A2608,$F2608,$G2608,$H2608,$I2608,$J2608)=0,"",IF($M2608=0,"✖ كود الصف غير موجود",IF(ISNA(MATCH($F2608,Lists!$A$2:$A$5,0)),"✖ الفترة غير صحيحة",IF(ISNA(MATCH($G2608,Lists!$B$2:$B$7,0)),"✖ المجموعة غير صحيحة",IF(NOT(OR($H2608="",$N2608&gt;0)),"✖ Start غير صحيح",IF(NOT(OR($I2608="",$I2608="NR",$O2608&gt;0)),"✖ Current غير صحيح",IF(NOT(IF(ISNUMBER($J2608),AND($J2608&gt;=0,$J2608=INT($J2608)),FALSE())),"✖ العدد يجب أن يكون صحيحًا ≥ 0",IF(AND($F2608="Baseline",$H2608&lt;&gt;""),"⚠ Baseline: Start لا يدخل في التقدم",IF($K2608="No Start (attainment only)","ℹ تحصيل فقط (بدون Start)",IF($K2608="U – needs rule","ℹ حالة U تحتاج قاعدة معتمدة",IF($K2608="No result","ℹ بدون نتيجة (يُستبعد من التحصيل)","OK")))))))))))</f>
        <v/>
      </c>
      <c r="M2608" s="64" t="n">
        <f aca="false">IF($A2608="",0,IFERROR(MATCH($A2608,Classes!$A$6:$A$420,0),0))</f>
        <v>0</v>
      </c>
      <c r="N2608" s="64" t="n">
        <f aca="false">IF($H2608="",0,IFERROR(MATCH($H2608,GradeList,0),0))</f>
        <v>0</v>
      </c>
      <c r="O2608" s="64" t="n">
        <f aca="false">IF(OR($I2608="",$I2608="NR"),0,IFERROR(MATCH($I2608,GradeList,0),0))</f>
        <v>0</v>
      </c>
      <c r="P2608" s="64" t="n">
        <f aca="false">IF(AND($M2608&gt;0,ISNUMBER(MATCH($F2608,Lists!$A$2:$A$5,0)),ISNUMBER(MATCH($G2608,Lists!$B$2:$B$7,0)),OR($H2608="",$N2608&gt;0),OR($I2608="",$I2608="NR",$O2608&gt;0),IF(ISNUMBER($J2608),AND($J2608&gt;=0,$J2608=INT($J2608)),FALSE())),$J2608,0)</f>
        <v>0</v>
      </c>
      <c r="Q2608" s="64" t="n">
        <f aca="false">IF(AND($P2608&gt;0,$O2608&gt;0),$P2608,0)</f>
        <v>0</v>
      </c>
      <c r="R2608" s="64" t="n">
        <f aca="false">IF(AND($Q2608&gt;0,$O2608&gt;=AtRank),$Q2608,0)</f>
        <v>0</v>
      </c>
      <c r="S2608" s="64" t="n">
        <f aca="false">IF(AND($Q2608&gt;0,$O2608&gt;=AboveRank),$Q2608,0)</f>
        <v>0</v>
      </c>
      <c r="T2608" s="64" t="n">
        <f aca="false">IF($K2608="Less",$P2608,0)</f>
        <v>0</v>
      </c>
      <c r="U2608" s="64" t="n">
        <f aca="false">IF($K2608="Expected",$P2608,0)</f>
        <v>0</v>
      </c>
      <c r="V2608" s="64" t="n">
        <f aca="false">IF($K2608="Better",$P2608,0)</f>
        <v>0</v>
      </c>
      <c r="W2608" s="64" t="n">
        <f aca="false">IF($K2608="U – needs rule",$P2608,0)</f>
        <v>0</v>
      </c>
      <c r="X2608" s="64" t="n">
        <f aca="false">IF($K2608="No Start (attainment only)",$P2608,0)</f>
        <v>0</v>
      </c>
    </row>
    <row r="2609" customFormat="false" ht="15" hidden="false" customHeight="false" outlineLevel="0" collapsed="false">
      <c r="A2609" s="60"/>
      <c r="B2609" s="61" t="str">
        <f aca="false">IF($M2609=0,"",INDEX(Classes!$E$6:$E$420,$M2609))</f>
        <v/>
      </c>
      <c r="C2609" s="62" t="str">
        <f aca="false">IF($M2609=0,"",INDEX(Classes!$H$6:$H$420,$M2609))</f>
        <v/>
      </c>
      <c r="D2609" s="61" t="str">
        <f aca="false">IF($M2609=0,"",INDEX(Classes!$B$6:$B$420,$M2609))</f>
        <v/>
      </c>
      <c r="E2609" s="61" t="str">
        <f aca="false">IF($M2609=0,"",INDEX(Classes!$C$6:$C$420,$M2609))</f>
        <v/>
      </c>
      <c r="F2609" s="63"/>
      <c r="G2609" s="63"/>
      <c r="H2609" s="60"/>
      <c r="I2609" s="60"/>
      <c r="J2609" s="63"/>
      <c r="K2609" s="61" t="str">
        <f aca="false">IF($P2609=0,"",IF($F2609="Baseline","— Baseline",IF($O2609=0,"No result",IF($N2609=0,"No Start (attainment only)",IF(OR($N2609=1,$O2609=1),"U – needs rule",INDEX(MxBody,MATCH($I2609,MxCurr,0),MATCH($H2609,MxStart,0)))))))</f>
        <v/>
      </c>
      <c r="L2609" s="62" t="str">
        <f aca="false">IF(COUNTA($A2609,$F2609,$G2609,$H2609,$I2609,$J2609)=0,"",IF($M2609=0,"✖ كود الصف غير موجود",IF(ISNA(MATCH($F2609,Lists!$A$2:$A$5,0)),"✖ الفترة غير صحيحة",IF(ISNA(MATCH($G2609,Lists!$B$2:$B$7,0)),"✖ المجموعة غير صحيحة",IF(NOT(OR($H2609="",$N2609&gt;0)),"✖ Start غير صحيح",IF(NOT(OR($I2609="",$I2609="NR",$O2609&gt;0)),"✖ Current غير صحيح",IF(NOT(IF(ISNUMBER($J2609),AND($J2609&gt;=0,$J2609=INT($J2609)),FALSE())),"✖ العدد يجب أن يكون صحيحًا ≥ 0",IF(AND($F2609="Baseline",$H2609&lt;&gt;""),"⚠ Baseline: Start لا يدخل في التقدم",IF($K2609="No Start (attainment only)","ℹ تحصيل فقط (بدون Start)",IF($K2609="U – needs rule","ℹ حالة U تحتاج قاعدة معتمدة",IF($K2609="No result","ℹ بدون نتيجة (يُستبعد من التحصيل)","OK")))))))))))</f>
        <v/>
      </c>
      <c r="M2609" s="64" t="n">
        <f aca="false">IF($A2609="",0,IFERROR(MATCH($A2609,Classes!$A$6:$A$420,0),0))</f>
        <v>0</v>
      </c>
      <c r="N2609" s="64" t="n">
        <f aca="false">IF($H2609="",0,IFERROR(MATCH($H2609,GradeList,0),0))</f>
        <v>0</v>
      </c>
      <c r="O2609" s="64" t="n">
        <f aca="false">IF(OR($I2609="",$I2609="NR"),0,IFERROR(MATCH($I2609,GradeList,0),0))</f>
        <v>0</v>
      </c>
      <c r="P2609" s="64" t="n">
        <f aca="false">IF(AND($M2609&gt;0,ISNUMBER(MATCH($F2609,Lists!$A$2:$A$5,0)),ISNUMBER(MATCH($G2609,Lists!$B$2:$B$7,0)),OR($H2609="",$N2609&gt;0),OR($I2609="",$I2609="NR",$O2609&gt;0),IF(ISNUMBER($J2609),AND($J2609&gt;=0,$J2609=INT($J2609)),FALSE())),$J2609,0)</f>
        <v>0</v>
      </c>
      <c r="Q2609" s="64" t="n">
        <f aca="false">IF(AND($P2609&gt;0,$O2609&gt;0),$P2609,0)</f>
        <v>0</v>
      </c>
      <c r="R2609" s="64" t="n">
        <f aca="false">IF(AND($Q2609&gt;0,$O2609&gt;=AtRank),$Q2609,0)</f>
        <v>0</v>
      </c>
      <c r="S2609" s="64" t="n">
        <f aca="false">IF(AND($Q2609&gt;0,$O2609&gt;=AboveRank),$Q2609,0)</f>
        <v>0</v>
      </c>
      <c r="T2609" s="64" t="n">
        <f aca="false">IF($K2609="Less",$P2609,0)</f>
        <v>0</v>
      </c>
      <c r="U2609" s="64" t="n">
        <f aca="false">IF($K2609="Expected",$P2609,0)</f>
        <v>0</v>
      </c>
      <c r="V2609" s="64" t="n">
        <f aca="false">IF($K2609="Better",$P2609,0)</f>
        <v>0</v>
      </c>
      <c r="W2609" s="64" t="n">
        <f aca="false">IF($K2609="U – needs rule",$P2609,0)</f>
        <v>0</v>
      </c>
      <c r="X2609" s="64" t="n">
        <f aca="false">IF($K2609="No Start (attainment only)",$P2609,0)</f>
        <v>0</v>
      </c>
    </row>
    <row r="2610" customFormat="false" ht="15" hidden="false" customHeight="false" outlineLevel="0" collapsed="false">
      <c r="A2610" s="60"/>
      <c r="B2610" s="61" t="str">
        <f aca="false">IF($M2610=0,"",INDEX(Classes!$E$6:$E$420,$M2610))</f>
        <v/>
      </c>
      <c r="C2610" s="62" t="str">
        <f aca="false">IF($M2610=0,"",INDEX(Classes!$H$6:$H$420,$M2610))</f>
        <v/>
      </c>
      <c r="D2610" s="61" t="str">
        <f aca="false">IF($M2610=0,"",INDEX(Classes!$B$6:$B$420,$M2610))</f>
        <v/>
      </c>
      <c r="E2610" s="61" t="str">
        <f aca="false">IF($M2610=0,"",INDEX(Classes!$C$6:$C$420,$M2610))</f>
        <v/>
      </c>
      <c r="F2610" s="63"/>
      <c r="G2610" s="63"/>
      <c r="H2610" s="60"/>
      <c r="I2610" s="60"/>
      <c r="J2610" s="63"/>
      <c r="K2610" s="61" t="str">
        <f aca="false">IF($P2610=0,"",IF($F2610="Baseline","— Baseline",IF($O2610=0,"No result",IF($N2610=0,"No Start (attainment only)",IF(OR($N2610=1,$O2610=1),"U – needs rule",INDEX(MxBody,MATCH($I2610,MxCurr,0),MATCH($H2610,MxStart,0)))))))</f>
        <v/>
      </c>
      <c r="L2610" s="62" t="str">
        <f aca="false">IF(COUNTA($A2610,$F2610,$G2610,$H2610,$I2610,$J2610)=0,"",IF($M2610=0,"✖ كود الصف غير موجود",IF(ISNA(MATCH($F2610,Lists!$A$2:$A$5,0)),"✖ الفترة غير صحيحة",IF(ISNA(MATCH($G2610,Lists!$B$2:$B$7,0)),"✖ المجموعة غير صحيحة",IF(NOT(OR($H2610="",$N2610&gt;0)),"✖ Start غير صحيح",IF(NOT(OR($I2610="",$I2610="NR",$O2610&gt;0)),"✖ Current غير صحيح",IF(NOT(IF(ISNUMBER($J2610),AND($J2610&gt;=0,$J2610=INT($J2610)),FALSE())),"✖ العدد يجب أن يكون صحيحًا ≥ 0",IF(AND($F2610="Baseline",$H2610&lt;&gt;""),"⚠ Baseline: Start لا يدخل في التقدم",IF($K2610="No Start (attainment only)","ℹ تحصيل فقط (بدون Start)",IF($K2610="U – needs rule","ℹ حالة U تحتاج قاعدة معتمدة",IF($K2610="No result","ℹ بدون نتيجة (يُستبعد من التحصيل)","OK")))))))))))</f>
        <v/>
      </c>
      <c r="M2610" s="64" t="n">
        <f aca="false">IF($A2610="",0,IFERROR(MATCH($A2610,Classes!$A$6:$A$420,0),0))</f>
        <v>0</v>
      </c>
      <c r="N2610" s="64" t="n">
        <f aca="false">IF($H2610="",0,IFERROR(MATCH($H2610,GradeList,0),0))</f>
        <v>0</v>
      </c>
      <c r="O2610" s="64" t="n">
        <f aca="false">IF(OR($I2610="",$I2610="NR"),0,IFERROR(MATCH($I2610,GradeList,0),0))</f>
        <v>0</v>
      </c>
      <c r="P2610" s="64" t="n">
        <f aca="false">IF(AND($M2610&gt;0,ISNUMBER(MATCH($F2610,Lists!$A$2:$A$5,0)),ISNUMBER(MATCH($G2610,Lists!$B$2:$B$7,0)),OR($H2610="",$N2610&gt;0),OR($I2610="",$I2610="NR",$O2610&gt;0),IF(ISNUMBER($J2610),AND($J2610&gt;=0,$J2610=INT($J2610)),FALSE())),$J2610,0)</f>
        <v>0</v>
      </c>
      <c r="Q2610" s="64" t="n">
        <f aca="false">IF(AND($P2610&gt;0,$O2610&gt;0),$P2610,0)</f>
        <v>0</v>
      </c>
      <c r="R2610" s="64" t="n">
        <f aca="false">IF(AND($Q2610&gt;0,$O2610&gt;=AtRank),$Q2610,0)</f>
        <v>0</v>
      </c>
      <c r="S2610" s="64" t="n">
        <f aca="false">IF(AND($Q2610&gt;0,$O2610&gt;=AboveRank),$Q2610,0)</f>
        <v>0</v>
      </c>
      <c r="T2610" s="64" t="n">
        <f aca="false">IF($K2610="Less",$P2610,0)</f>
        <v>0</v>
      </c>
      <c r="U2610" s="64" t="n">
        <f aca="false">IF($K2610="Expected",$P2610,0)</f>
        <v>0</v>
      </c>
      <c r="V2610" s="64" t="n">
        <f aca="false">IF($K2610="Better",$P2610,0)</f>
        <v>0</v>
      </c>
      <c r="W2610" s="64" t="n">
        <f aca="false">IF($K2610="U – needs rule",$P2610,0)</f>
        <v>0</v>
      </c>
      <c r="X2610" s="64" t="n">
        <f aca="false">IF($K2610="No Start (attainment only)",$P2610,0)</f>
        <v>0</v>
      </c>
    </row>
    <row r="2611" customFormat="false" ht="15" hidden="false" customHeight="false" outlineLevel="0" collapsed="false">
      <c r="A2611" s="60"/>
      <c r="B2611" s="61" t="str">
        <f aca="false">IF($M2611=0,"",INDEX(Classes!$E$6:$E$420,$M2611))</f>
        <v/>
      </c>
      <c r="C2611" s="62" t="str">
        <f aca="false">IF($M2611=0,"",INDEX(Classes!$H$6:$H$420,$M2611))</f>
        <v/>
      </c>
      <c r="D2611" s="61" t="str">
        <f aca="false">IF($M2611=0,"",INDEX(Classes!$B$6:$B$420,$M2611))</f>
        <v/>
      </c>
      <c r="E2611" s="61" t="str">
        <f aca="false">IF($M2611=0,"",INDEX(Classes!$C$6:$C$420,$M2611))</f>
        <v/>
      </c>
      <c r="F2611" s="63"/>
      <c r="G2611" s="63"/>
      <c r="H2611" s="60"/>
      <c r="I2611" s="60"/>
      <c r="J2611" s="63"/>
      <c r="K2611" s="61" t="str">
        <f aca="false">IF($P2611=0,"",IF($F2611="Baseline","— Baseline",IF($O2611=0,"No result",IF($N2611=0,"No Start (attainment only)",IF(OR($N2611=1,$O2611=1),"U – needs rule",INDEX(MxBody,MATCH($I2611,MxCurr,0),MATCH($H2611,MxStart,0)))))))</f>
        <v/>
      </c>
      <c r="L2611" s="62" t="str">
        <f aca="false">IF(COUNTA($A2611,$F2611,$G2611,$H2611,$I2611,$J2611)=0,"",IF($M2611=0,"✖ كود الصف غير موجود",IF(ISNA(MATCH($F2611,Lists!$A$2:$A$5,0)),"✖ الفترة غير صحيحة",IF(ISNA(MATCH($G2611,Lists!$B$2:$B$7,0)),"✖ المجموعة غير صحيحة",IF(NOT(OR($H2611="",$N2611&gt;0)),"✖ Start غير صحيح",IF(NOT(OR($I2611="",$I2611="NR",$O2611&gt;0)),"✖ Current غير صحيح",IF(NOT(IF(ISNUMBER($J2611),AND($J2611&gt;=0,$J2611=INT($J2611)),FALSE())),"✖ العدد يجب أن يكون صحيحًا ≥ 0",IF(AND($F2611="Baseline",$H2611&lt;&gt;""),"⚠ Baseline: Start لا يدخل في التقدم",IF($K2611="No Start (attainment only)","ℹ تحصيل فقط (بدون Start)",IF($K2611="U – needs rule","ℹ حالة U تحتاج قاعدة معتمدة",IF($K2611="No result","ℹ بدون نتيجة (يُستبعد من التحصيل)","OK")))))))))))</f>
        <v/>
      </c>
      <c r="M2611" s="64" t="n">
        <f aca="false">IF($A2611="",0,IFERROR(MATCH($A2611,Classes!$A$6:$A$420,0),0))</f>
        <v>0</v>
      </c>
      <c r="N2611" s="64" t="n">
        <f aca="false">IF($H2611="",0,IFERROR(MATCH($H2611,GradeList,0),0))</f>
        <v>0</v>
      </c>
      <c r="O2611" s="64" t="n">
        <f aca="false">IF(OR($I2611="",$I2611="NR"),0,IFERROR(MATCH($I2611,GradeList,0),0))</f>
        <v>0</v>
      </c>
      <c r="P2611" s="64" t="n">
        <f aca="false">IF(AND($M2611&gt;0,ISNUMBER(MATCH($F2611,Lists!$A$2:$A$5,0)),ISNUMBER(MATCH($G2611,Lists!$B$2:$B$7,0)),OR($H2611="",$N2611&gt;0),OR($I2611="",$I2611="NR",$O2611&gt;0),IF(ISNUMBER($J2611),AND($J2611&gt;=0,$J2611=INT($J2611)),FALSE())),$J2611,0)</f>
        <v>0</v>
      </c>
      <c r="Q2611" s="64" t="n">
        <f aca="false">IF(AND($P2611&gt;0,$O2611&gt;0),$P2611,0)</f>
        <v>0</v>
      </c>
      <c r="R2611" s="64" t="n">
        <f aca="false">IF(AND($Q2611&gt;0,$O2611&gt;=AtRank),$Q2611,0)</f>
        <v>0</v>
      </c>
      <c r="S2611" s="64" t="n">
        <f aca="false">IF(AND($Q2611&gt;0,$O2611&gt;=AboveRank),$Q2611,0)</f>
        <v>0</v>
      </c>
      <c r="T2611" s="64" t="n">
        <f aca="false">IF($K2611="Less",$P2611,0)</f>
        <v>0</v>
      </c>
      <c r="U2611" s="64" t="n">
        <f aca="false">IF($K2611="Expected",$P2611,0)</f>
        <v>0</v>
      </c>
      <c r="V2611" s="64" t="n">
        <f aca="false">IF($K2611="Better",$P2611,0)</f>
        <v>0</v>
      </c>
      <c r="W2611" s="64" t="n">
        <f aca="false">IF($K2611="U – needs rule",$P2611,0)</f>
        <v>0</v>
      </c>
      <c r="X2611" s="64" t="n">
        <f aca="false">IF($K2611="No Start (attainment only)",$P2611,0)</f>
        <v>0</v>
      </c>
    </row>
    <row r="2612" customFormat="false" ht="15" hidden="false" customHeight="false" outlineLevel="0" collapsed="false">
      <c r="A2612" s="60"/>
      <c r="B2612" s="61" t="str">
        <f aca="false">IF($M2612=0,"",INDEX(Classes!$E$6:$E$420,$M2612))</f>
        <v/>
      </c>
      <c r="C2612" s="62" t="str">
        <f aca="false">IF($M2612=0,"",INDEX(Classes!$H$6:$H$420,$M2612))</f>
        <v/>
      </c>
      <c r="D2612" s="61" t="str">
        <f aca="false">IF($M2612=0,"",INDEX(Classes!$B$6:$B$420,$M2612))</f>
        <v/>
      </c>
      <c r="E2612" s="61" t="str">
        <f aca="false">IF($M2612=0,"",INDEX(Classes!$C$6:$C$420,$M2612))</f>
        <v/>
      </c>
      <c r="F2612" s="63"/>
      <c r="G2612" s="63"/>
      <c r="H2612" s="60"/>
      <c r="I2612" s="60"/>
      <c r="J2612" s="63"/>
      <c r="K2612" s="61" t="str">
        <f aca="false">IF($P2612=0,"",IF($F2612="Baseline","— Baseline",IF($O2612=0,"No result",IF($N2612=0,"No Start (attainment only)",IF(OR($N2612=1,$O2612=1),"U – needs rule",INDEX(MxBody,MATCH($I2612,MxCurr,0),MATCH($H2612,MxStart,0)))))))</f>
        <v/>
      </c>
      <c r="L2612" s="62" t="str">
        <f aca="false">IF(COUNTA($A2612,$F2612,$G2612,$H2612,$I2612,$J2612)=0,"",IF($M2612=0,"✖ كود الصف غير موجود",IF(ISNA(MATCH($F2612,Lists!$A$2:$A$5,0)),"✖ الفترة غير صحيحة",IF(ISNA(MATCH($G2612,Lists!$B$2:$B$7,0)),"✖ المجموعة غير صحيحة",IF(NOT(OR($H2612="",$N2612&gt;0)),"✖ Start غير صحيح",IF(NOT(OR($I2612="",$I2612="NR",$O2612&gt;0)),"✖ Current غير صحيح",IF(NOT(IF(ISNUMBER($J2612),AND($J2612&gt;=0,$J2612=INT($J2612)),FALSE())),"✖ العدد يجب أن يكون صحيحًا ≥ 0",IF(AND($F2612="Baseline",$H2612&lt;&gt;""),"⚠ Baseline: Start لا يدخل في التقدم",IF($K2612="No Start (attainment only)","ℹ تحصيل فقط (بدون Start)",IF($K2612="U – needs rule","ℹ حالة U تحتاج قاعدة معتمدة",IF($K2612="No result","ℹ بدون نتيجة (يُستبعد من التحصيل)","OK")))))))))))</f>
        <v/>
      </c>
      <c r="M2612" s="64" t="n">
        <f aca="false">IF($A2612="",0,IFERROR(MATCH($A2612,Classes!$A$6:$A$420,0),0))</f>
        <v>0</v>
      </c>
      <c r="N2612" s="64" t="n">
        <f aca="false">IF($H2612="",0,IFERROR(MATCH($H2612,GradeList,0),0))</f>
        <v>0</v>
      </c>
      <c r="O2612" s="64" t="n">
        <f aca="false">IF(OR($I2612="",$I2612="NR"),0,IFERROR(MATCH($I2612,GradeList,0),0))</f>
        <v>0</v>
      </c>
      <c r="P2612" s="64" t="n">
        <f aca="false">IF(AND($M2612&gt;0,ISNUMBER(MATCH($F2612,Lists!$A$2:$A$5,0)),ISNUMBER(MATCH($G2612,Lists!$B$2:$B$7,0)),OR($H2612="",$N2612&gt;0),OR($I2612="",$I2612="NR",$O2612&gt;0),IF(ISNUMBER($J2612),AND($J2612&gt;=0,$J2612=INT($J2612)),FALSE())),$J2612,0)</f>
        <v>0</v>
      </c>
      <c r="Q2612" s="64" t="n">
        <f aca="false">IF(AND($P2612&gt;0,$O2612&gt;0),$P2612,0)</f>
        <v>0</v>
      </c>
      <c r="R2612" s="64" t="n">
        <f aca="false">IF(AND($Q2612&gt;0,$O2612&gt;=AtRank),$Q2612,0)</f>
        <v>0</v>
      </c>
      <c r="S2612" s="64" t="n">
        <f aca="false">IF(AND($Q2612&gt;0,$O2612&gt;=AboveRank),$Q2612,0)</f>
        <v>0</v>
      </c>
      <c r="T2612" s="64" t="n">
        <f aca="false">IF($K2612="Less",$P2612,0)</f>
        <v>0</v>
      </c>
      <c r="U2612" s="64" t="n">
        <f aca="false">IF($K2612="Expected",$P2612,0)</f>
        <v>0</v>
      </c>
      <c r="V2612" s="64" t="n">
        <f aca="false">IF($K2612="Better",$P2612,0)</f>
        <v>0</v>
      </c>
      <c r="W2612" s="64" t="n">
        <f aca="false">IF($K2612="U – needs rule",$P2612,0)</f>
        <v>0</v>
      </c>
      <c r="X2612" s="64" t="n">
        <f aca="false">IF($K2612="No Start (attainment only)",$P2612,0)</f>
        <v>0</v>
      </c>
    </row>
    <row r="2613" customFormat="false" ht="15" hidden="false" customHeight="false" outlineLevel="0" collapsed="false">
      <c r="A2613" s="60"/>
      <c r="B2613" s="61" t="str">
        <f aca="false">IF($M2613=0,"",INDEX(Classes!$E$6:$E$420,$M2613))</f>
        <v/>
      </c>
      <c r="C2613" s="62" t="str">
        <f aca="false">IF($M2613=0,"",INDEX(Classes!$H$6:$H$420,$M2613))</f>
        <v/>
      </c>
      <c r="D2613" s="61" t="str">
        <f aca="false">IF($M2613=0,"",INDEX(Classes!$B$6:$B$420,$M2613))</f>
        <v/>
      </c>
      <c r="E2613" s="61" t="str">
        <f aca="false">IF($M2613=0,"",INDEX(Classes!$C$6:$C$420,$M2613))</f>
        <v/>
      </c>
      <c r="F2613" s="63"/>
      <c r="G2613" s="63"/>
      <c r="H2613" s="60"/>
      <c r="I2613" s="60"/>
      <c r="J2613" s="63"/>
      <c r="K2613" s="61" t="str">
        <f aca="false">IF($P2613=0,"",IF($F2613="Baseline","— Baseline",IF($O2613=0,"No result",IF($N2613=0,"No Start (attainment only)",IF(OR($N2613=1,$O2613=1),"U – needs rule",INDEX(MxBody,MATCH($I2613,MxCurr,0),MATCH($H2613,MxStart,0)))))))</f>
        <v/>
      </c>
      <c r="L2613" s="62" t="str">
        <f aca="false">IF(COUNTA($A2613,$F2613,$G2613,$H2613,$I2613,$J2613)=0,"",IF($M2613=0,"✖ كود الصف غير موجود",IF(ISNA(MATCH($F2613,Lists!$A$2:$A$5,0)),"✖ الفترة غير صحيحة",IF(ISNA(MATCH($G2613,Lists!$B$2:$B$7,0)),"✖ المجموعة غير صحيحة",IF(NOT(OR($H2613="",$N2613&gt;0)),"✖ Start غير صحيح",IF(NOT(OR($I2613="",$I2613="NR",$O2613&gt;0)),"✖ Current غير صحيح",IF(NOT(IF(ISNUMBER($J2613),AND($J2613&gt;=0,$J2613=INT($J2613)),FALSE())),"✖ العدد يجب أن يكون صحيحًا ≥ 0",IF(AND($F2613="Baseline",$H2613&lt;&gt;""),"⚠ Baseline: Start لا يدخل في التقدم",IF($K2613="No Start (attainment only)","ℹ تحصيل فقط (بدون Start)",IF($K2613="U – needs rule","ℹ حالة U تحتاج قاعدة معتمدة",IF($K2613="No result","ℹ بدون نتيجة (يُستبعد من التحصيل)","OK")))))))))))</f>
        <v/>
      </c>
      <c r="M2613" s="64" t="n">
        <f aca="false">IF($A2613="",0,IFERROR(MATCH($A2613,Classes!$A$6:$A$420,0),0))</f>
        <v>0</v>
      </c>
      <c r="N2613" s="64" t="n">
        <f aca="false">IF($H2613="",0,IFERROR(MATCH($H2613,GradeList,0),0))</f>
        <v>0</v>
      </c>
      <c r="O2613" s="64" t="n">
        <f aca="false">IF(OR($I2613="",$I2613="NR"),0,IFERROR(MATCH($I2613,GradeList,0),0))</f>
        <v>0</v>
      </c>
      <c r="P2613" s="64" t="n">
        <f aca="false">IF(AND($M2613&gt;0,ISNUMBER(MATCH($F2613,Lists!$A$2:$A$5,0)),ISNUMBER(MATCH($G2613,Lists!$B$2:$B$7,0)),OR($H2613="",$N2613&gt;0),OR($I2613="",$I2613="NR",$O2613&gt;0),IF(ISNUMBER($J2613),AND($J2613&gt;=0,$J2613=INT($J2613)),FALSE())),$J2613,0)</f>
        <v>0</v>
      </c>
      <c r="Q2613" s="64" t="n">
        <f aca="false">IF(AND($P2613&gt;0,$O2613&gt;0),$P2613,0)</f>
        <v>0</v>
      </c>
      <c r="R2613" s="64" t="n">
        <f aca="false">IF(AND($Q2613&gt;0,$O2613&gt;=AtRank),$Q2613,0)</f>
        <v>0</v>
      </c>
      <c r="S2613" s="64" t="n">
        <f aca="false">IF(AND($Q2613&gt;0,$O2613&gt;=AboveRank),$Q2613,0)</f>
        <v>0</v>
      </c>
      <c r="T2613" s="64" t="n">
        <f aca="false">IF($K2613="Less",$P2613,0)</f>
        <v>0</v>
      </c>
      <c r="U2613" s="64" t="n">
        <f aca="false">IF($K2613="Expected",$P2613,0)</f>
        <v>0</v>
      </c>
      <c r="V2613" s="64" t="n">
        <f aca="false">IF($K2613="Better",$P2613,0)</f>
        <v>0</v>
      </c>
      <c r="W2613" s="64" t="n">
        <f aca="false">IF($K2613="U – needs rule",$P2613,0)</f>
        <v>0</v>
      </c>
      <c r="X2613" s="64" t="n">
        <f aca="false">IF($K2613="No Start (attainment only)",$P2613,0)</f>
        <v>0</v>
      </c>
    </row>
    <row r="2614" customFormat="false" ht="15" hidden="false" customHeight="false" outlineLevel="0" collapsed="false">
      <c r="A2614" s="60"/>
      <c r="B2614" s="61" t="str">
        <f aca="false">IF($M2614=0,"",INDEX(Classes!$E$6:$E$420,$M2614))</f>
        <v/>
      </c>
      <c r="C2614" s="62" t="str">
        <f aca="false">IF($M2614=0,"",INDEX(Classes!$H$6:$H$420,$M2614))</f>
        <v/>
      </c>
      <c r="D2614" s="61" t="str">
        <f aca="false">IF($M2614=0,"",INDEX(Classes!$B$6:$B$420,$M2614))</f>
        <v/>
      </c>
      <c r="E2614" s="61" t="str">
        <f aca="false">IF($M2614=0,"",INDEX(Classes!$C$6:$C$420,$M2614))</f>
        <v/>
      </c>
      <c r="F2614" s="63"/>
      <c r="G2614" s="63"/>
      <c r="H2614" s="60"/>
      <c r="I2614" s="60"/>
      <c r="J2614" s="63"/>
      <c r="K2614" s="61" t="str">
        <f aca="false">IF($P2614=0,"",IF($F2614="Baseline","— Baseline",IF($O2614=0,"No result",IF($N2614=0,"No Start (attainment only)",IF(OR($N2614=1,$O2614=1),"U – needs rule",INDEX(MxBody,MATCH($I2614,MxCurr,0),MATCH($H2614,MxStart,0)))))))</f>
        <v/>
      </c>
      <c r="L2614" s="62" t="str">
        <f aca="false">IF(COUNTA($A2614,$F2614,$G2614,$H2614,$I2614,$J2614)=0,"",IF($M2614=0,"✖ كود الصف غير موجود",IF(ISNA(MATCH($F2614,Lists!$A$2:$A$5,0)),"✖ الفترة غير صحيحة",IF(ISNA(MATCH($G2614,Lists!$B$2:$B$7,0)),"✖ المجموعة غير صحيحة",IF(NOT(OR($H2614="",$N2614&gt;0)),"✖ Start غير صحيح",IF(NOT(OR($I2614="",$I2614="NR",$O2614&gt;0)),"✖ Current غير صحيح",IF(NOT(IF(ISNUMBER($J2614),AND($J2614&gt;=0,$J2614=INT($J2614)),FALSE())),"✖ العدد يجب أن يكون صحيحًا ≥ 0",IF(AND($F2614="Baseline",$H2614&lt;&gt;""),"⚠ Baseline: Start لا يدخل في التقدم",IF($K2614="No Start (attainment only)","ℹ تحصيل فقط (بدون Start)",IF($K2614="U – needs rule","ℹ حالة U تحتاج قاعدة معتمدة",IF($K2614="No result","ℹ بدون نتيجة (يُستبعد من التحصيل)","OK")))))))))))</f>
        <v/>
      </c>
      <c r="M2614" s="64" t="n">
        <f aca="false">IF($A2614="",0,IFERROR(MATCH($A2614,Classes!$A$6:$A$420,0),0))</f>
        <v>0</v>
      </c>
      <c r="N2614" s="64" t="n">
        <f aca="false">IF($H2614="",0,IFERROR(MATCH($H2614,GradeList,0),0))</f>
        <v>0</v>
      </c>
      <c r="O2614" s="64" t="n">
        <f aca="false">IF(OR($I2614="",$I2614="NR"),0,IFERROR(MATCH($I2614,GradeList,0),0))</f>
        <v>0</v>
      </c>
      <c r="P2614" s="64" t="n">
        <f aca="false">IF(AND($M2614&gt;0,ISNUMBER(MATCH($F2614,Lists!$A$2:$A$5,0)),ISNUMBER(MATCH($G2614,Lists!$B$2:$B$7,0)),OR($H2614="",$N2614&gt;0),OR($I2614="",$I2614="NR",$O2614&gt;0),IF(ISNUMBER($J2614),AND($J2614&gt;=0,$J2614=INT($J2614)),FALSE())),$J2614,0)</f>
        <v>0</v>
      </c>
      <c r="Q2614" s="64" t="n">
        <f aca="false">IF(AND($P2614&gt;0,$O2614&gt;0),$P2614,0)</f>
        <v>0</v>
      </c>
      <c r="R2614" s="64" t="n">
        <f aca="false">IF(AND($Q2614&gt;0,$O2614&gt;=AtRank),$Q2614,0)</f>
        <v>0</v>
      </c>
      <c r="S2614" s="64" t="n">
        <f aca="false">IF(AND($Q2614&gt;0,$O2614&gt;=AboveRank),$Q2614,0)</f>
        <v>0</v>
      </c>
      <c r="T2614" s="64" t="n">
        <f aca="false">IF($K2614="Less",$P2614,0)</f>
        <v>0</v>
      </c>
      <c r="U2614" s="64" t="n">
        <f aca="false">IF($K2614="Expected",$P2614,0)</f>
        <v>0</v>
      </c>
      <c r="V2614" s="64" t="n">
        <f aca="false">IF($K2614="Better",$P2614,0)</f>
        <v>0</v>
      </c>
      <c r="W2614" s="64" t="n">
        <f aca="false">IF($K2614="U – needs rule",$P2614,0)</f>
        <v>0</v>
      </c>
      <c r="X2614" s="64" t="n">
        <f aca="false">IF($K2614="No Start (attainment only)",$P2614,0)</f>
        <v>0</v>
      </c>
    </row>
    <row r="2615" customFormat="false" ht="15" hidden="false" customHeight="false" outlineLevel="0" collapsed="false">
      <c r="A2615" s="60"/>
      <c r="B2615" s="61" t="str">
        <f aca="false">IF($M2615=0,"",INDEX(Classes!$E$6:$E$420,$M2615))</f>
        <v/>
      </c>
      <c r="C2615" s="62" t="str">
        <f aca="false">IF($M2615=0,"",INDEX(Classes!$H$6:$H$420,$M2615))</f>
        <v/>
      </c>
      <c r="D2615" s="61" t="str">
        <f aca="false">IF($M2615=0,"",INDEX(Classes!$B$6:$B$420,$M2615))</f>
        <v/>
      </c>
      <c r="E2615" s="61" t="str">
        <f aca="false">IF($M2615=0,"",INDEX(Classes!$C$6:$C$420,$M2615))</f>
        <v/>
      </c>
      <c r="F2615" s="63"/>
      <c r="G2615" s="63"/>
      <c r="H2615" s="60"/>
      <c r="I2615" s="60"/>
      <c r="J2615" s="63"/>
      <c r="K2615" s="61" t="str">
        <f aca="false">IF($P2615=0,"",IF($F2615="Baseline","— Baseline",IF($O2615=0,"No result",IF($N2615=0,"No Start (attainment only)",IF(OR($N2615=1,$O2615=1),"U – needs rule",INDEX(MxBody,MATCH($I2615,MxCurr,0),MATCH($H2615,MxStart,0)))))))</f>
        <v/>
      </c>
      <c r="L2615" s="62" t="str">
        <f aca="false">IF(COUNTA($A2615,$F2615,$G2615,$H2615,$I2615,$J2615)=0,"",IF($M2615=0,"✖ كود الصف غير موجود",IF(ISNA(MATCH($F2615,Lists!$A$2:$A$5,0)),"✖ الفترة غير صحيحة",IF(ISNA(MATCH($G2615,Lists!$B$2:$B$7,0)),"✖ المجموعة غير صحيحة",IF(NOT(OR($H2615="",$N2615&gt;0)),"✖ Start غير صحيح",IF(NOT(OR($I2615="",$I2615="NR",$O2615&gt;0)),"✖ Current غير صحيح",IF(NOT(IF(ISNUMBER($J2615),AND($J2615&gt;=0,$J2615=INT($J2615)),FALSE())),"✖ العدد يجب أن يكون صحيحًا ≥ 0",IF(AND($F2615="Baseline",$H2615&lt;&gt;""),"⚠ Baseline: Start لا يدخل في التقدم",IF($K2615="No Start (attainment only)","ℹ تحصيل فقط (بدون Start)",IF($K2615="U – needs rule","ℹ حالة U تحتاج قاعدة معتمدة",IF($K2615="No result","ℹ بدون نتيجة (يُستبعد من التحصيل)","OK")))))))))))</f>
        <v/>
      </c>
      <c r="M2615" s="64" t="n">
        <f aca="false">IF($A2615="",0,IFERROR(MATCH($A2615,Classes!$A$6:$A$420,0),0))</f>
        <v>0</v>
      </c>
      <c r="N2615" s="64" t="n">
        <f aca="false">IF($H2615="",0,IFERROR(MATCH($H2615,GradeList,0),0))</f>
        <v>0</v>
      </c>
      <c r="O2615" s="64" t="n">
        <f aca="false">IF(OR($I2615="",$I2615="NR"),0,IFERROR(MATCH($I2615,GradeList,0),0))</f>
        <v>0</v>
      </c>
      <c r="P2615" s="64" t="n">
        <f aca="false">IF(AND($M2615&gt;0,ISNUMBER(MATCH($F2615,Lists!$A$2:$A$5,0)),ISNUMBER(MATCH($G2615,Lists!$B$2:$B$7,0)),OR($H2615="",$N2615&gt;0),OR($I2615="",$I2615="NR",$O2615&gt;0),IF(ISNUMBER($J2615),AND($J2615&gt;=0,$J2615=INT($J2615)),FALSE())),$J2615,0)</f>
        <v>0</v>
      </c>
      <c r="Q2615" s="64" t="n">
        <f aca="false">IF(AND($P2615&gt;0,$O2615&gt;0),$P2615,0)</f>
        <v>0</v>
      </c>
      <c r="R2615" s="64" t="n">
        <f aca="false">IF(AND($Q2615&gt;0,$O2615&gt;=AtRank),$Q2615,0)</f>
        <v>0</v>
      </c>
      <c r="S2615" s="64" t="n">
        <f aca="false">IF(AND($Q2615&gt;0,$O2615&gt;=AboveRank),$Q2615,0)</f>
        <v>0</v>
      </c>
      <c r="T2615" s="64" t="n">
        <f aca="false">IF($K2615="Less",$P2615,0)</f>
        <v>0</v>
      </c>
      <c r="U2615" s="64" t="n">
        <f aca="false">IF($K2615="Expected",$P2615,0)</f>
        <v>0</v>
      </c>
      <c r="V2615" s="64" t="n">
        <f aca="false">IF($K2615="Better",$P2615,0)</f>
        <v>0</v>
      </c>
      <c r="W2615" s="64" t="n">
        <f aca="false">IF($K2615="U – needs rule",$P2615,0)</f>
        <v>0</v>
      </c>
      <c r="X2615" s="64" t="n">
        <f aca="false">IF($K2615="No Start (attainment only)",$P2615,0)</f>
        <v>0</v>
      </c>
    </row>
    <row r="2616" customFormat="false" ht="15" hidden="false" customHeight="false" outlineLevel="0" collapsed="false">
      <c r="A2616" s="60"/>
      <c r="B2616" s="61" t="str">
        <f aca="false">IF($M2616=0,"",INDEX(Classes!$E$6:$E$420,$M2616))</f>
        <v/>
      </c>
      <c r="C2616" s="62" t="str">
        <f aca="false">IF($M2616=0,"",INDEX(Classes!$H$6:$H$420,$M2616))</f>
        <v/>
      </c>
      <c r="D2616" s="61" t="str">
        <f aca="false">IF($M2616=0,"",INDEX(Classes!$B$6:$B$420,$M2616))</f>
        <v/>
      </c>
      <c r="E2616" s="61" t="str">
        <f aca="false">IF($M2616=0,"",INDEX(Classes!$C$6:$C$420,$M2616))</f>
        <v/>
      </c>
      <c r="F2616" s="63"/>
      <c r="G2616" s="63"/>
      <c r="H2616" s="60"/>
      <c r="I2616" s="60"/>
      <c r="J2616" s="63"/>
      <c r="K2616" s="61" t="str">
        <f aca="false">IF($P2616=0,"",IF($F2616="Baseline","— Baseline",IF($O2616=0,"No result",IF($N2616=0,"No Start (attainment only)",IF(OR($N2616=1,$O2616=1),"U – needs rule",INDEX(MxBody,MATCH($I2616,MxCurr,0),MATCH($H2616,MxStart,0)))))))</f>
        <v/>
      </c>
      <c r="L2616" s="62" t="str">
        <f aca="false">IF(COUNTA($A2616,$F2616,$G2616,$H2616,$I2616,$J2616)=0,"",IF($M2616=0,"✖ كود الصف غير موجود",IF(ISNA(MATCH($F2616,Lists!$A$2:$A$5,0)),"✖ الفترة غير صحيحة",IF(ISNA(MATCH($G2616,Lists!$B$2:$B$7,0)),"✖ المجموعة غير صحيحة",IF(NOT(OR($H2616="",$N2616&gt;0)),"✖ Start غير صحيح",IF(NOT(OR($I2616="",$I2616="NR",$O2616&gt;0)),"✖ Current غير صحيح",IF(NOT(IF(ISNUMBER($J2616),AND($J2616&gt;=0,$J2616=INT($J2616)),FALSE())),"✖ العدد يجب أن يكون صحيحًا ≥ 0",IF(AND($F2616="Baseline",$H2616&lt;&gt;""),"⚠ Baseline: Start لا يدخل في التقدم",IF($K2616="No Start (attainment only)","ℹ تحصيل فقط (بدون Start)",IF($K2616="U – needs rule","ℹ حالة U تحتاج قاعدة معتمدة",IF($K2616="No result","ℹ بدون نتيجة (يُستبعد من التحصيل)","OK")))))))))))</f>
        <v/>
      </c>
      <c r="M2616" s="64" t="n">
        <f aca="false">IF($A2616="",0,IFERROR(MATCH($A2616,Classes!$A$6:$A$420,0),0))</f>
        <v>0</v>
      </c>
      <c r="N2616" s="64" t="n">
        <f aca="false">IF($H2616="",0,IFERROR(MATCH($H2616,GradeList,0),0))</f>
        <v>0</v>
      </c>
      <c r="O2616" s="64" t="n">
        <f aca="false">IF(OR($I2616="",$I2616="NR"),0,IFERROR(MATCH($I2616,GradeList,0),0))</f>
        <v>0</v>
      </c>
      <c r="P2616" s="64" t="n">
        <f aca="false">IF(AND($M2616&gt;0,ISNUMBER(MATCH($F2616,Lists!$A$2:$A$5,0)),ISNUMBER(MATCH($G2616,Lists!$B$2:$B$7,0)),OR($H2616="",$N2616&gt;0),OR($I2616="",$I2616="NR",$O2616&gt;0),IF(ISNUMBER($J2616),AND($J2616&gt;=0,$J2616=INT($J2616)),FALSE())),$J2616,0)</f>
        <v>0</v>
      </c>
      <c r="Q2616" s="64" t="n">
        <f aca="false">IF(AND($P2616&gt;0,$O2616&gt;0),$P2616,0)</f>
        <v>0</v>
      </c>
      <c r="R2616" s="64" t="n">
        <f aca="false">IF(AND($Q2616&gt;0,$O2616&gt;=AtRank),$Q2616,0)</f>
        <v>0</v>
      </c>
      <c r="S2616" s="64" t="n">
        <f aca="false">IF(AND($Q2616&gt;0,$O2616&gt;=AboveRank),$Q2616,0)</f>
        <v>0</v>
      </c>
      <c r="T2616" s="64" t="n">
        <f aca="false">IF($K2616="Less",$P2616,0)</f>
        <v>0</v>
      </c>
      <c r="U2616" s="64" t="n">
        <f aca="false">IF($K2616="Expected",$P2616,0)</f>
        <v>0</v>
      </c>
      <c r="V2616" s="64" t="n">
        <f aca="false">IF($K2616="Better",$P2616,0)</f>
        <v>0</v>
      </c>
      <c r="W2616" s="64" t="n">
        <f aca="false">IF($K2616="U – needs rule",$P2616,0)</f>
        <v>0</v>
      </c>
      <c r="X2616" s="64" t="n">
        <f aca="false">IF($K2616="No Start (attainment only)",$P2616,0)</f>
        <v>0</v>
      </c>
    </row>
    <row r="2617" customFormat="false" ht="15" hidden="false" customHeight="false" outlineLevel="0" collapsed="false">
      <c r="A2617" s="60"/>
      <c r="B2617" s="61" t="str">
        <f aca="false">IF($M2617=0,"",INDEX(Classes!$E$6:$E$420,$M2617))</f>
        <v/>
      </c>
      <c r="C2617" s="62" t="str">
        <f aca="false">IF($M2617=0,"",INDEX(Classes!$H$6:$H$420,$M2617))</f>
        <v/>
      </c>
      <c r="D2617" s="61" t="str">
        <f aca="false">IF($M2617=0,"",INDEX(Classes!$B$6:$B$420,$M2617))</f>
        <v/>
      </c>
      <c r="E2617" s="61" t="str">
        <f aca="false">IF($M2617=0,"",INDEX(Classes!$C$6:$C$420,$M2617))</f>
        <v/>
      </c>
      <c r="F2617" s="63"/>
      <c r="G2617" s="63"/>
      <c r="H2617" s="60"/>
      <c r="I2617" s="60"/>
      <c r="J2617" s="63"/>
      <c r="K2617" s="61" t="str">
        <f aca="false">IF($P2617=0,"",IF($F2617="Baseline","— Baseline",IF($O2617=0,"No result",IF($N2617=0,"No Start (attainment only)",IF(OR($N2617=1,$O2617=1),"U – needs rule",INDEX(MxBody,MATCH($I2617,MxCurr,0),MATCH($H2617,MxStart,0)))))))</f>
        <v/>
      </c>
      <c r="L2617" s="62" t="str">
        <f aca="false">IF(COUNTA($A2617,$F2617,$G2617,$H2617,$I2617,$J2617)=0,"",IF($M2617=0,"✖ كود الصف غير موجود",IF(ISNA(MATCH($F2617,Lists!$A$2:$A$5,0)),"✖ الفترة غير صحيحة",IF(ISNA(MATCH($G2617,Lists!$B$2:$B$7,0)),"✖ المجموعة غير صحيحة",IF(NOT(OR($H2617="",$N2617&gt;0)),"✖ Start غير صحيح",IF(NOT(OR($I2617="",$I2617="NR",$O2617&gt;0)),"✖ Current غير صحيح",IF(NOT(IF(ISNUMBER($J2617),AND($J2617&gt;=0,$J2617=INT($J2617)),FALSE())),"✖ العدد يجب أن يكون صحيحًا ≥ 0",IF(AND($F2617="Baseline",$H2617&lt;&gt;""),"⚠ Baseline: Start لا يدخل في التقدم",IF($K2617="No Start (attainment only)","ℹ تحصيل فقط (بدون Start)",IF($K2617="U – needs rule","ℹ حالة U تحتاج قاعدة معتمدة",IF($K2617="No result","ℹ بدون نتيجة (يُستبعد من التحصيل)","OK")))))))))))</f>
        <v/>
      </c>
      <c r="M2617" s="64" t="n">
        <f aca="false">IF($A2617="",0,IFERROR(MATCH($A2617,Classes!$A$6:$A$420,0),0))</f>
        <v>0</v>
      </c>
      <c r="N2617" s="64" t="n">
        <f aca="false">IF($H2617="",0,IFERROR(MATCH($H2617,GradeList,0),0))</f>
        <v>0</v>
      </c>
      <c r="O2617" s="64" t="n">
        <f aca="false">IF(OR($I2617="",$I2617="NR"),0,IFERROR(MATCH($I2617,GradeList,0),0))</f>
        <v>0</v>
      </c>
      <c r="P2617" s="64" t="n">
        <f aca="false">IF(AND($M2617&gt;0,ISNUMBER(MATCH($F2617,Lists!$A$2:$A$5,0)),ISNUMBER(MATCH($G2617,Lists!$B$2:$B$7,0)),OR($H2617="",$N2617&gt;0),OR($I2617="",$I2617="NR",$O2617&gt;0),IF(ISNUMBER($J2617),AND($J2617&gt;=0,$J2617=INT($J2617)),FALSE())),$J2617,0)</f>
        <v>0</v>
      </c>
      <c r="Q2617" s="64" t="n">
        <f aca="false">IF(AND($P2617&gt;0,$O2617&gt;0),$P2617,0)</f>
        <v>0</v>
      </c>
      <c r="R2617" s="64" t="n">
        <f aca="false">IF(AND($Q2617&gt;0,$O2617&gt;=AtRank),$Q2617,0)</f>
        <v>0</v>
      </c>
      <c r="S2617" s="64" t="n">
        <f aca="false">IF(AND($Q2617&gt;0,$O2617&gt;=AboveRank),$Q2617,0)</f>
        <v>0</v>
      </c>
      <c r="T2617" s="64" t="n">
        <f aca="false">IF($K2617="Less",$P2617,0)</f>
        <v>0</v>
      </c>
      <c r="U2617" s="64" t="n">
        <f aca="false">IF($K2617="Expected",$P2617,0)</f>
        <v>0</v>
      </c>
      <c r="V2617" s="64" t="n">
        <f aca="false">IF($K2617="Better",$P2617,0)</f>
        <v>0</v>
      </c>
      <c r="W2617" s="64" t="n">
        <f aca="false">IF($K2617="U – needs rule",$P2617,0)</f>
        <v>0</v>
      </c>
      <c r="X2617" s="64" t="n">
        <f aca="false">IF($K2617="No Start (attainment only)",$P2617,0)</f>
        <v>0</v>
      </c>
    </row>
    <row r="2618" customFormat="false" ht="15" hidden="false" customHeight="false" outlineLevel="0" collapsed="false">
      <c r="A2618" s="60"/>
      <c r="B2618" s="61" t="str">
        <f aca="false">IF($M2618=0,"",INDEX(Classes!$E$6:$E$420,$M2618))</f>
        <v/>
      </c>
      <c r="C2618" s="62" t="str">
        <f aca="false">IF($M2618=0,"",INDEX(Classes!$H$6:$H$420,$M2618))</f>
        <v/>
      </c>
      <c r="D2618" s="61" t="str">
        <f aca="false">IF($M2618=0,"",INDEX(Classes!$B$6:$B$420,$M2618))</f>
        <v/>
      </c>
      <c r="E2618" s="61" t="str">
        <f aca="false">IF($M2618=0,"",INDEX(Classes!$C$6:$C$420,$M2618))</f>
        <v/>
      </c>
      <c r="F2618" s="63"/>
      <c r="G2618" s="63"/>
      <c r="H2618" s="60"/>
      <c r="I2618" s="60"/>
      <c r="J2618" s="63"/>
      <c r="K2618" s="61" t="str">
        <f aca="false">IF($P2618=0,"",IF($F2618="Baseline","— Baseline",IF($O2618=0,"No result",IF($N2618=0,"No Start (attainment only)",IF(OR($N2618=1,$O2618=1),"U – needs rule",INDEX(MxBody,MATCH($I2618,MxCurr,0),MATCH($H2618,MxStart,0)))))))</f>
        <v/>
      </c>
      <c r="L2618" s="62" t="str">
        <f aca="false">IF(COUNTA($A2618,$F2618,$G2618,$H2618,$I2618,$J2618)=0,"",IF($M2618=0,"✖ كود الصف غير موجود",IF(ISNA(MATCH($F2618,Lists!$A$2:$A$5,0)),"✖ الفترة غير صحيحة",IF(ISNA(MATCH($G2618,Lists!$B$2:$B$7,0)),"✖ المجموعة غير صحيحة",IF(NOT(OR($H2618="",$N2618&gt;0)),"✖ Start غير صحيح",IF(NOT(OR($I2618="",$I2618="NR",$O2618&gt;0)),"✖ Current غير صحيح",IF(NOT(IF(ISNUMBER($J2618),AND($J2618&gt;=0,$J2618=INT($J2618)),FALSE())),"✖ العدد يجب أن يكون صحيحًا ≥ 0",IF(AND($F2618="Baseline",$H2618&lt;&gt;""),"⚠ Baseline: Start لا يدخل في التقدم",IF($K2618="No Start (attainment only)","ℹ تحصيل فقط (بدون Start)",IF($K2618="U – needs rule","ℹ حالة U تحتاج قاعدة معتمدة",IF($K2618="No result","ℹ بدون نتيجة (يُستبعد من التحصيل)","OK")))))))))))</f>
        <v/>
      </c>
      <c r="M2618" s="64" t="n">
        <f aca="false">IF($A2618="",0,IFERROR(MATCH($A2618,Classes!$A$6:$A$420,0),0))</f>
        <v>0</v>
      </c>
      <c r="N2618" s="64" t="n">
        <f aca="false">IF($H2618="",0,IFERROR(MATCH($H2618,GradeList,0),0))</f>
        <v>0</v>
      </c>
      <c r="O2618" s="64" t="n">
        <f aca="false">IF(OR($I2618="",$I2618="NR"),0,IFERROR(MATCH($I2618,GradeList,0),0))</f>
        <v>0</v>
      </c>
      <c r="P2618" s="64" t="n">
        <f aca="false">IF(AND($M2618&gt;0,ISNUMBER(MATCH($F2618,Lists!$A$2:$A$5,0)),ISNUMBER(MATCH($G2618,Lists!$B$2:$B$7,0)),OR($H2618="",$N2618&gt;0),OR($I2618="",$I2618="NR",$O2618&gt;0),IF(ISNUMBER($J2618),AND($J2618&gt;=0,$J2618=INT($J2618)),FALSE())),$J2618,0)</f>
        <v>0</v>
      </c>
      <c r="Q2618" s="64" t="n">
        <f aca="false">IF(AND($P2618&gt;0,$O2618&gt;0),$P2618,0)</f>
        <v>0</v>
      </c>
      <c r="R2618" s="64" t="n">
        <f aca="false">IF(AND($Q2618&gt;0,$O2618&gt;=AtRank),$Q2618,0)</f>
        <v>0</v>
      </c>
      <c r="S2618" s="64" t="n">
        <f aca="false">IF(AND($Q2618&gt;0,$O2618&gt;=AboveRank),$Q2618,0)</f>
        <v>0</v>
      </c>
      <c r="T2618" s="64" t="n">
        <f aca="false">IF($K2618="Less",$P2618,0)</f>
        <v>0</v>
      </c>
      <c r="U2618" s="64" t="n">
        <f aca="false">IF($K2618="Expected",$P2618,0)</f>
        <v>0</v>
      </c>
      <c r="V2618" s="64" t="n">
        <f aca="false">IF($K2618="Better",$P2618,0)</f>
        <v>0</v>
      </c>
      <c r="W2618" s="64" t="n">
        <f aca="false">IF($K2618="U – needs rule",$P2618,0)</f>
        <v>0</v>
      </c>
      <c r="X2618" s="64" t="n">
        <f aca="false">IF($K2618="No Start (attainment only)",$P2618,0)</f>
        <v>0</v>
      </c>
    </row>
    <row r="2619" customFormat="false" ht="15" hidden="false" customHeight="false" outlineLevel="0" collapsed="false">
      <c r="A2619" s="60"/>
      <c r="B2619" s="61" t="str">
        <f aca="false">IF($M2619=0,"",INDEX(Classes!$E$6:$E$420,$M2619))</f>
        <v/>
      </c>
      <c r="C2619" s="62" t="str">
        <f aca="false">IF($M2619=0,"",INDEX(Classes!$H$6:$H$420,$M2619))</f>
        <v/>
      </c>
      <c r="D2619" s="61" t="str">
        <f aca="false">IF($M2619=0,"",INDEX(Classes!$B$6:$B$420,$M2619))</f>
        <v/>
      </c>
      <c r="E2619" s="61" t="str">
        <f aca="false">IF($M2619=0,"",INDEX(Classes!$C$6:$C$420,$M2619))</f>
        <v/>
      </c>
      <c r="F2619" s="63"/>
      <c r="G2619" s="63"/>
      <c r="H2619" s="60"/>
      <c r="I2619" s="60"/>
      <c r="J2619" s="63"/>
      <c r="K2619" s="61" t="str">
        <f aca="false">IF($P2619=0,"",IF($F2619="Baseline","— Baseline",IF($O2619=0,"No result",IF($N2619=0,"No Start (attainment only)",IF(OR($N2619=1,$O2619=1),"U – needs rule",INDEX(MxBody,MATCH($I2619,MxCurr,0),MATCH($H2619,MxStart,0)))))))</f>
        <v/>
      </c>
      <c r="L2619" s="62" t="str">
        <f aca="false">IF(COUNTA($A2619,$F2619,$G2619,$H2619,$I2619,$J2619)=0,"",IF($M2619=0,"✖ كود الصف غير موجود",IF(ISNA(MATCH($F2619,Lists!$A$2:$A$5,0)),"✖ الفترة غير صحيحة",IF(ISNA(MATCH($G2619,Lists!$B$2:$B$7,0)),"✖ المجموعة غير صحيحة",IF(NOT(OR($H2619="",$N2619&gt;0)),"✖ Start غير صحيح",IF(NOT(OR($I2619="",$I2619="NR",$O2619&gt;0)),"✖ Current غير صحيح",IF(NOT(IF(ISNUMBER($J2619),AND($J2619&gt;=0,$J2619=INT($J2619)),FALSE())),"✖ العدد يجب أن يكون صحيحًا ≥ 0",IF(AND($F2619="Baseline",$H2619&lt;&gt;""),"⚠ Baseline: Start لا يدخل في التقدم",IF($K2619="No Start (attainment only)","ℹ تحصيل فقط (بدون Start)",IF($K2619="U – needs rule","ℹ حالة U تحتاج قاعدة معتمدة",IF($K2619="No result","ℹ بدون نتيجة (يُستبعد من التحصيل)","OK")))))))))))</f>
        <v/>
      </c>
      <c r="M2619" s="64" t="n">
        <f aca="false">IF($A2619="",0,IFERROR(MATCH($A2619,Classes!$A$6:$A$420,0),0))</f>
        <v>0</v>
      </c>
      <c r="N2619" s="64" t="n">
        <f aca="false">IF($H2619="",0,IFERROR(MATCH($H2619,GradeList,0),0))</f>
        <v>0</v>
      </c>
      <c r="O2619" s="64" t="n">
        <f aca="false">IF(OR($I2619="",$I2619="NR"),0,IFERROR(MATCH($I2619,GradeList,0),0))</f>
        <v>0</v>
      </c>
      <c r="P2619" s="64" t="n">
        <f aca="false">IF(AND($M2619&gt;0,ISNUMBER(MATCH($F2619,Lists!$A$2:$A$5,0)),ISNUMBER(MATCH($G2619,Lists!$B$2:$B$7,0)),OR($H2619="",$N2619&gt;0),OR($I2619="",$I2619="NR",$O2619&gt;0),IF(ISNUMBER($J2619),AND($J2619&gt;=0,$J2619=INT($J2619)),FALSE())),$J2619,0)</f>
        <v>0</v>
      </c>
      <c r="Q2619" s="64" t="n">
        <f aca="false">IF(AND($P2619&gt;0,$O2619&gt;0),$P2619,0)</f>
        <v>0</v>
      </c>
      <c r="R2619" s="64" t="n">
        <f aca="false">IF(AND($Q2619&gt;0,$O2619&gt;=AtRank),$Q2619,0)</f>
        <v>0</v>
      </c>
      <c r="S2619" s="64" t="n">
        <f aca="false">IF(AND($Q2619&gt;0,$O2619&gt;=AboveRank),$Q2619,0)</f>
        <v>0</v>
      </c>
      <c r="T2619" s="64" t="n">
        <f aca="false">IF($K2619="Less",$P2619,0)</f>
        <v>0</v>
      </c>
      <c r="U2619" s="64" t="n">
        <f aca="false">IF($K2619="Expected",$P2619,0)</f>
        <v>0</v>
      </c>
      <c r="V2619" s="64" t="n">
        <f aca="false">IF($K2619="Better",$P2619,0)</f>
        <v>0</v>
      </c>
      <c r="W2619" s="64" t="n">
        <f aca="false">IF($K2619="U – needs rule",$P2619,0)</f>
        <v>0</v>
      </c>
      <c r="X2619" s="64" t="n">
        <f aca="false">IF($K2619="No Start (attainment only)",$P2619,0)</f>
        <v>0</v>
      </c>
    </row>
    <row r="2620" customFormat="false" ht="15" hidden="false" customHeight="false" outlineLevel="0" collapsed="false">
      <c r="A2620" s="60"/>
      <c r="B2620" s="61" t="str">
        <f aca="false">IF($M2620=0,"",INDEX(Classes!$E$6:$E$420,$M2620))</f>
        <v/>
      </c>
      <c r="C2620" s="62" t="str">
        <f aca="false">IF($M2620=0,"",INDEX(Classes!$H$6:$H$420,$M2620))</f>
        <v/>
      </c>
      <c r="D2620" s="61" t="str">
        <f aca="false">IF($M2620=0,"",INDEX(Classes!$B$6:$B$420,$M2620))</f>
        <v/>
      </c>
      <c r="E2620" s="61" t="str">
        <f aca="false">IF($M2620=0,"",INDEX(Classes!$C$6:$C$420,$M2620))</f>
        <v/>
      </c>
      <c r="F2620" s="63"/>
      <c r="G2620" s="63"/>
      <c r="H2620" s="60"/>
      <c r="I2620" s="60"/>
      <c r="J2620" s="63"/>
      <c r="K2620" s="61" t="str">
        <f aca="false">IF($P2620=0,"",IF($F2620="Baseline","— Baseline",IF($O2620=0,"No result",IF($N2620=0,"No Start (attainment only)",IF(OR($N2620=1,$O2620=1),"U – needs rule",INDEX(MxBody,MATCH($I2620,MxCurr,0),MATCH($H2620,MxStart,0)))))))</f>
        <v/>
      </c>
      <c r="L2620" s="62" t="str">
        <f aca="false">IF(COUNTA($A2620,$F2620,$G2620,$H2620,$I2620,$J2620)=0,"",IF($M2620=0,"✖ كود الصف غير موجود",IF(ISNA(MATCH($F2620,Lists!$A$2:$A$5,0)),"✖ الفترة غير صحيحة",IF(ISNA(MATCH($G2620,Lists!$B$2:$B$7,0)),"✖ المجموعة غير صحيحة",IF(NOT(OR($H2620="",$N2620&gt;0)),"✖ Start غير صحيح",IF(NOT(OR($I2620="",$I2620="NR",$O2620&gt;0)),"✖ Current غير صحيح",IF(NOT(IF(ISNUMBER($J2620),AND($J2620&gt;=0,$J2620=INT($J2620)),FALSE())),"✖ العدد يجب أن يكون صحيحًا ≥ 0",IF(AND($F2620="Baseline",$H2620&lt;&gt;""),"⚠ Baseline: Start لا يدخل في التقدم",IF($K2620="No Start (attainment only)","ℹ تحصيل فقط (بدون Start)",IF($K2620="U – needs rule","ℹ حالة U تحتاج قاعدة معتمدة",IF($K2620="No result","ℹ بدون نتيجة (يُستبعد من التحصيل)","OK")))))))))))</f>
        <v/>
      </c>
      <c r="M2620" s="64" t="n">
        <f aca="false">IF($A2620="",0,IFERROR(MATCH($A2620,Classes!$A$6:$A$420,0),0))</f>
        <v>0</v>
      </c>
      <c r="N2620" s="64" t="n">
        <f aca="false">IF($H2620="",0,IFERROR(MATCH($H2620,GradeList,0),0))</f>
        <v>0</v>
      </c>
      <c r="O2620" s="64" t="n">
        <f aca="false">IF(OR($I2620="",$I2620="NR"),0,IFERROR(MATCH($I2620,GradeList,0),0))</f>
        <v>0</v>
      </c>
      <c r="P2620" s="64" t="n">
        <f aca="false">IF(AND($M2620&gt;0,ISNUMBER(MATCH($F2620,Lists!$A$2:$A$5,0)),ISNUMBER(MATCH($G2620,Lists!$B$2:$B$7,0)),OR($H2620="",$N2620&gt;0),OR($I2620="",$I2620="NR",$O2620&gt;0),IF(ISNUMBER($J2620),AND($J2620&gt;=0,$J2620=INT($J2620)),FALSE())),$J2620,0)</f>
        <v>0</v>
      </c>
      <c r="Q2620" s="64" t="n">
        <f aca="false">IF(AND($P2620&gt;0,$O2620&gt;0),$P2620,0)</f>
        <v>0</v>
      </c>
      <c r="R2620" s="64" t="n">
        <f aca="false">IF(AND($Q2620&gt;0,$O2620&gt;=AtRank),$Q2620,0)</f>
        <v>0</v>
      </c>
      <c r="S2620" s="64" t="n">
        <f aca="false">IF(AND($Q2620&gt;0,$O2620&gt;=AboveRank),$Q2620,0)</f>
        <v>0</v>
      </c>
      <c r="T2620" s="64" t="n">
        <f aca="false">IF($K2620="Less",$P2620,0)</f>
        <v>0</v>
      </c>
      <c r="U2620" s="64" t="n">
        <f aca="false">IF($K2620="Expected",$P2620,0)</f>
        <v>0</v>
      </c>
      <c r="V2620" s="64" t="n">
        <f aca="false">IF($K2620="Better",$P2620,0)</f>
        <v>0</v>
      </c>
      <c r="W2620" s="64" t="n">
        <f aca="false">IF($K2620="U – needs rule",$P2620,0)</f>
        <v>0</v>
      </c>
      <c r="X2620" s="64" t="n">
        <f aca="false">IF($K2620="No Start (attainment only)",$P2620,0)</f>
        <v>0</v>
      </c>
    </row>
    <row r="2621" customFormat="false" ht="15" hidden="false" customHeight="false" outlineLevel="0" collapsed="false">
      <c r="A2621" s="60"/>
      <c r="B2621" s="61" t="str">
        <f aca="false">IF($M2621=0,"",INDEX(Classes!$E$6:$E$420,$M2621))</f>
        <v/>
      </c>
      <c r="C2621" s="62" t="str">
        <f aca="false">IF($M2621=0,"",INDEX(Classes!$H$6:$H$420,$M2621))</f>
        <v/>
      </c>
      <c r="D2621" s="61" t="str">
        <f aca="false">IF($M2621=0,"",INDEX(Classes!$B$6:$B$420,$M2621))</f>
        <v/>
      </c>
      <c r="E2621" s="61" t="str">
        <f aca="false">IF($M2621=0,"",INDEX(Classes!$C$6:$C$420,$M2621))</f>
        <v/>
      </c>
      <c r="F2621" s="63"/>
      <c r="G2621" s="63"/>
      <c r="H2621" s="60"/>
      <c r="I2621" s="60"/>
      <c r="J2621" s="63"/>
      <c r="K2621" s="61" t="str">
        <f aca="false">IF($P2621=0,"",IF($F2621="Baseline","— Baseline",IF($O2621=0,"No result",IF($N2621=0,"No Start (attainment only)",IF(OR($N2621=1,$O2621=1),"U – needs rule",INDEX(MxBody,MATCH($I2621,MxCurr,0),MATCH($H2621,MxStart,0)))))))</f>
        <v/>
      </c>
      <c r="L2621" s="62" t="str">
        <f aca="false">IF(COUNTA($A2621,$F2621,$G2621,$H2621,$I2621,$J2621)=0,"",IF($M2621=0,"✖ كود الصف غير موجود",IF(ISNA(MATCH($F2621,Lists!$A$2:$A$5,0)),"✖ الفترة غير صحيحة",IF(ISNA(MATCH($G2621,Lists!$B$2:$B$7,0)),"✖ المجموعة غير صحيحة",IF(NOT(OR($H2621="",$N2621&gt;0)),"✖ Start غير صحيح",IF(NOT(OR($I2621="",$I2621="NR",$O2621&gt;0)),"✖ Current غير صحيح",IF(NOT(IF(ISNUMBER($J2621),AND($J2621&gt;=0,$J2621=INT($J2621)),FALSE())),"✖ العدد يجب أن يكون صحيحًا ≥ 0",IF(AND($F2621="Baseline",$H2621&lt;&gt;""),"⚠ Baseline: Start لا يدخل في التقدم",IF($K2621="No Start (attainment only)","ℹ تحصيل فقط (بدون Start)",IF($K2621="U – needs rule","ℹ حالة U تحتاج قاعدة معتمدة",IF($K2621="No result","ℹ بدون نتيجة (يُستبعد من التحصيل)","OK")))))))))))</f>
        <v/>
      </c>
      <c r="M2621" s="64" t="n">
        <f aca="false">IF($A2621="",0,IFERROR(MATCH($A2621,Classes!$A$6:$A$420,0),0))</f>
        <v>0</v>
      </c>
      <c r="N2621" s="64" t="n">
        <f aca="false">IF($H2621="",0,IFERROR(MATCH($H2621,GradeList,0),0))</f>
        <v>0</v>
      </c>
      <c r="O2621" s="64" t="n">
        <f aca="false">IF(OR($I2621="",$I2621="NR"),0,IFERROR(MATCH($I2621,GradeList,0),0))</f>
        <v>0</v>
      </c>
      <c r="P2621" s="64" t="n">
        <f aca="false">IF(AND($M2621&gt;0,ISNUMBER(MATCH($F2621,Lists!$A$2:$A$5,0)),ISNUMBER(MATCH($G2621,Lists!$B$2:$B$7,0)),OR($H2621="",$N2621&gt;0),OR($I2621="",$I2621="NR",$O2621&gt;0),IF(ISNUMBER($J2621),AND($J2621&gt;=0,$J2621=INT($J2621)),FALSE())),$J2621,0)</f>
        <v>0</v>
      </c>
      <c r="Q2621" s="64" t="n">
        <f aca="false">IF(AND($P2621&gt;0,$O2621&gt;0),$P2621,0)</f>
        <v>0</v>
      </c>
      <c r="R2621" s="64" t="n">
        <f aca="false">IF(AND($Q2621&gt;0,$O2621&gt;=AtRank),$Q2621,0)</f>
        <v>0</v>
      </c>
      <c r="S2621" s="64" t="n">
        <f aca="false">IF(AND($Q2621&gt;0,$O2621&gt;=AboveRank),$Q2621,0)</f>
        <v>0</v>
      </c>
      <c r="T2621" s="64" t="n">
        <f aca="false">IF($K2621="Less",$P2621,0)</f>
        <v>0</v>
      </c>
      <c r="U2621" s="64" t="n">
        <f aca="false">IF($K2621="Expected",$P2621,0)</f>
        <v>0</v>
      </c>
      <c r="V2621" s="64" t="n">
        <f aca="false">IF($K2621="Better",$P2621,0)</f>
        <v>0</v>
      </c>
      <c r="W2621" s="64" t="n">
        <f aca="false">IF($K2621="U – needs rule",$P2621,0)</f>
        <v>0</v>
      </c>
      <c r="X2621" s="64" t="n">
        <f aca="false">IF($K2621="No Start (attainment only)",$P2621,0)</f>
        <v>0</v>
      </c>
    </row>
    <row r="2622" customFormat="false" ht="15" hidden="false" customHeight="false" outlineLevel="0" collapsed="false">
      <c r="A2622" s="60"/>
      <c r="B2622" s="61" t="str">
        <f aca="false">IF($M2622=0,"",INDEX(Classes!$E$6:$E$420,$M2622))</f>
        <v/>
      </c>
      <c r="C2622" s="62" t="str">
        <f aca="false">IF($M2622=0,"",INDEX(Classes!$H$6:$H$420,$M2622))</f>
        <v/>
      </c>
      <c r="D2622" s="61" t="str">
        <f aca="false">IF($M2622=0,"",INDEX(Classes!$B$6:$B$420,$M2622))</f>
        <v/>
      </c>
      <c r="E2622" s="61" t="str">
        <f aca="false">IF($M2622=0,"",INDEX(Classes!$C$6:$C$420,$M2622))</f>
        <v/>
      </c>
      <c r="F2622" s="63"/>
      <c r="G2622" s="63"/>
      <c r="H2622" s="60"/>
      <c r="I2622" s="60"/>
      <c r="J2622" s="63"/>
      <c r="K2622" s="61" t="str">
        <f aca="false">IF($P2622=0,"",IF($F2622="Baseline","— Baseline",IF($O2622=0,"No result",IF($N2622=0,"No Start (attainment only)",IF(OR($N2622=1,$O2622=1),"U – needs rule",INDEX(MxBody,MATCH($I2622,MxCurr,0),MATCH($H2622,MxStart,0)))))))</f>
        <v/>
      </c>
      <c r="L2622" s="62" t="str">
        <f aca="false">IF(COUNTA($A2622,$F2622,$G2622,$H2622,$I2622,$J2622)=0,"",IF($M2622=0,"✖ كود الصف غير موجود",IF(ISNA(MATCH($F2622,Lists!$A$2:$A$5,0)),"✖ الفترة غير صحيحة",IF(ISNA(MATCH($G2622,Lists!$B$2:$B$7,0)),"✖ المجموعة غير صحيحة",IF(NOT(OR($H2622="",$N2622&gt;0)),"✖ Start غير صحيح",IF(NOT(OR($I2622="",$I2622="NR",$O2622&gt;0)),"✖ Current غير صحيح",IF(NOT(IF(ISNUMBER($J2622),AND($J2622&gt;=0,$J2622=INT($J2622)),FALSE())),"✖ العدد يجب أن يكون صحيحًا ≥ 0",IF(AND($F2622="Baseline",$H2622&lt;&gt;""),"⚠ Baseline: Start لا يدخل في التقدم",IF($K2622="No Start (attainment only)","ℹ تحصيل فقط (بدون Start)",IF($K2622="U – needs rule","ℹ حالة U تحتاج قاعدة معتمدة",IF($K2622="No result","ℹ بدون نتيجة (يُستبعد من التحصيل)","OK")))))))))))</f>
        <v/>
      </c>
      <c r="M2622" s="64" t="n">
        <f aca="false">IF($A2622="",0,IFERROR(MATCH($A2622,Classes!$A$6:$A$420,0),0))</f>
        <v>0</v>
      </c>
      <c r="N2622" s="64" t="n">
        <f aca="false">IF($H2622="",0,IFERROR(MATCH($H2622,GradeList,0),0))</f>
        <v>0</v>
      </c>
      <c r="O2622" s="64" t="n">
        <f aca="false">IF(OR($I2622="",$I2622="NR"),0,IFERROR(MATCH($I2622,GradeList,0),0))</f>
        <v>0</v>
      </c>
      <c r="P2622" s="64" t="n">
        <f aca="false">IF(AND($M2622&gt;0,ISNUMBER(MATCH($F2622,Lists!$A$2:$A$5,0)),ISNUMBER(MATCH($G2622,Lists!$B$2:$B$7,0)),OR($H2622="",$N2622&gt;0),OR($I2622="",$I2622="NR",$O2622&gt;0),IF(ISNUMBER($J2622),AND($J2622&gt;=0,$J2622=INT($J2622)),FALSE())),$J2622,0)</f>
        <v>0</v>
      </c>
      <c r="Q2622" s="64" t="n">
        <f aca="false">IF(AND($P2622&gt;0,$O2622&gt;0),$P2622,0)</f>
        <v>0</v>
      </c>
      <c r="R2622" s="64" t="n">
        <f aca="false">IF(AND($Q2622&gt;0,$O2622&gt;=AtRank),$Q2622,0)</f>
        <v>0</v>
      </c>
      <c r="S2622" s="64" t="n">
        <f aca="false">IF(AND($Q2622&gt;0,$O2622&gt;=AboveRank),$Q2622,0)</f>
        <v>0</v>
      </c>
      <c r="T2622" s="64" t="n">
        <f aca="false">IF($K2622="Less",$P2622,0)</f>
        <v>0</v>
      </c>
      <c r="U2622" s="64" t="n">
        <f aca="false">IF($K2622="Expected",$P2622,0)</f>
        <v>0</v>
      </c>
      <c r="V2622" s="64" t="n">
        <f aca="false">IF($K2622="Better",$P2622,0)</f>
        <v>0</v>
      </c>
      <c r="W2622" s="64" t="n">
        <f aca="false">IF($K2622="U – needs rule",$P2622,0)</f>
        <v>0</v>
      </c>
      <c r="X2622" s="64" t="n">
        <f aca="false">IF($K2622="No Start (attainment only)",$P2622,0)</f>
        <v>0</v>
      </c>
    </row>
    <row r="2623" customFormat="false" ht="15" hidden="false" customHeight="false" outlineLevel="0" collapsed="false">
      <c r="A2623" s="60"/>
      <c r="B2623" s="61" t="str">
        <f aca="false">IF($M2623=0,"",INDEX(Classes!$E$6:$E$420,$M2623))</f>
        <v/>
      </c>
      <c r="C2623" s="62" t="str">
        <f aca="false">IF($M2623=0,"",INDEX(Classes!$H$6:$H$420,$M2623))</f>
        <v/>
      </c>
      <c r="D2623" s="61" t="str">
        <f aca="false">IF($M2623=0,"",INDEX(Classes!$B$6:$B$420,$M2623))</f>
        <v/>
      </c>
      <c r="E2623" s="61" t="str">
        <f aca="false">IF($M2623=0,"",INDEX(Classes!$C$6:$C$420,$M2623))</f>
        <v/>
      </c>
      <c r="F2623" s="63"/>
      <c r="G2623" s="63"/>
      <c r="H2623" s="60"/>
      <c r="I2623" s="60"/>
      <c r="J2623" s="63"/>
      <c r="K2623" s="61" t="str">
        <f aca="false">IF($P2623=0,"",IF($F2623="Baseline","— Baseline",IF($O2623=0,"No result",IF($N2623=0,"No Start (attainment only)",IF(OR($N2623=1,$O2623=1),"U – needs rule",INDEX(MxBody,MATCH($I2623,MxCurr,0),MATCH($H2623,MxStart,0)))))))</f>
        <v/>
      </c>
      <c r="L2623" s="62" t="str">
        <f aca="false">IF(COUNTA($A2623,$F2623,$G2623,$H2623,$I2623,$J2623)=0,"",IF($M2623=0,"✖ كود الصف غير موجود",IF(ISNA(MATCH($F2623,Lists!$A$2:$A$5,0)),"✖ الفترة غير صحيحة",IF(ISNA(MATCH($G2623,Lists!$B$2:$B$7,0)),"✖ المجموعة غير صحيحة",IF(NOT(OR($H2623="",$N2623&gt;0)),"✖ Start غير صحيح",IF(NOT(OR($I2623="",$I2623="NR",$O2623&gt;0)),"✖ Current غير صحيح",IF(NOT(IF(ISNUMBER($J2623),AND($J2623&gt;=0,$J2623=INT($J2623)),FALSE())),"✖ العدد يجب أن يكون صحيحًا ≥ 0",IF(AND($F2623="Baseline",$H2623&lt;&gt;""),"⚠ Baseline: Start لا يدخل في التقدم",IF($K2623="No Start (attainment only)","ℹ تحصيل فقط (بدون Start)",IF($K2623="U – needs rule","ℹ حالة U تحتاج قاعدة معتمدة",IF($K2623="No result","ℹ بدون نتيجة (يُستبعد من التحصيل)","OK")))))))))))</f>
        <v/>
      </c>
      <c r="M2623" s="64" t="n">
        <f aca="false">IF($A2623="",0,IFERROR(MATCH($A2623,Classes!$A$6:$A$420,0),0))</f>
        <v>0</v>
      </c>
      <c r="N2623" s="64" t="n">
        <f aca="false">IF($H2623="",0,IFERROR(MATCH($H2623,GradeList,0),0))</f>
        <v>0</v>
      </c>
      <c r="O2623" s="64" t="n">
        <f aca="false">IF(OR($I2623="",$I2623="NR"),0,IFERROR(MATCH($I2623,GradeList,0),0))</f>
        <v>0</v>
      </c>
      <c r="P2623" s="64" t="n">
        <f aca="false">IF(AND($M2623&gt;0,ISNUMBER(MATCH($F2623,Lists!$A$2:$A$5,0)),ISNUMBER(MATCH($G2623,Lists!$B$2:$B$7,0)),OR($H2623="",$N2623&gt;0),OR($I2623="",$I2623="NR",$O2623&gt;0),IF(ISNUMBER($J2623),AND($J2623&gt;=0,$J2623=INT($J2623)),FALSE())),$J2623,0)</f>
        <v>0</v>
      </c>
      <c r="Q2623" s="64" t="n">
        <f aca="false">IF(AND($P2623&gt;0,$O2623&gt;0),$P2623,0)</f>
        <v>0</v>
      </c>
      <c r="R2623" s="64" t="n">
        <f aca="false">IF(AND($Q2623&gt;0,$O2623&gt;=AtRank),$Q2623,0)</f>
        <v>0</v>
      </c>
      <c r="S2623" s="64" t="n">
        <f aca="false">IF(AND($Q2623&gt;0,$O2623&gt;=AboveRank),$Q2623,0)</f>
        <v>0</v>
      </c>
      <c r="T2623" s="64" t="n">
        <f aca="false">IF($K2623="Less",$P2623,0)</f>
        <v>0</v>
      </c>
      <c r="U2623" s="64" t="n">
        <f aca="false">IF($K2623="Expected",$P2623,0)</f>
        <v>0</v>
      </c>
      <c r="V2623" s="64" t="n">
        <f aca="false">IF($K2623="Better",$P2623,0)</f>
        <v>0</v>
      </c>
      <c r="W2623" s="64" t="n">
        <f aca="false">IF($K2623="U – needs rule",$P2623,0)</f>
        <v>0</v>
      </c>
      <c r="X2623" s="64" t="n">
        <f aca="false">IF($K2623="No Start (attainment only)",$P2623,0)</f>
        <v>0</v>
      </c>
    </row>
    <row r="2624" customFormat="false" ht="15" hidden="false" customHeight="false" outlineLevel="0" collapsed="false">
      <c r="A2624" s="60"/>
      <c r="B2624" s="61" t="str">
        <f aca="false">IF($M2624=0,"",INDEX(Classes!$E$6:$E$420,$M2624))</f>
        <v/>
      </c>
      <c r="C2624" s="62" t="str">
        <f aca="false">IF($M2624=0,"",INDEX(Classes!$H$6:$H$420,$M2624))</f>
        <v/>
      </c>
      <c r="D2624" s="61" t="str">
        <f aca="false">IF($M2624=0,"",INDEX(Classes!$B$6:$B$420,$M2624))</f>
        <v/>
      </c>
      <c r="E2624" s="61" t="str">
        <f aca="false">IF($M2624=0,"",INDEX(Classes!$C$6:$C$420,$M2624))</f>
        <v/>
      </c>
      <c r="F2624" s="63"/>
      <c r="G2624" s="63"/>
      <c r="H2624" s="60"/>
      <c r="I2624" s="60"/>
      <c r="J2624" s="63"/>
      <c r="K2624" s="61" t="str">
        <f aca="false">IF($P2624=0,"",IF($F2624="Baseline","— Baseline",IF($O2624=0,"No result",IF($N2624=0,"No Start (attainment only)",IF(OR($N2624=1,$O2624=1),"U – needs rule",INDEX(MxBody,MATCH($I2624,MxCurr,0),MATCH($H2624,MxStart,0)))))))</f>
        <v/>
      </c>
      <c r="L2624" s="62" t="str">
        <f aca="false">IF(COUNTA($A2624,$F2624,$G2624,$H2624,$I2624,$J2624)=0,"",IF($M2624=0,"✖ كود الصف غير موجود",IF(ISNA(MATCH($F2624,Lists!$A$2:$A$5,0)),"✖ الفترة غير صحيحة",IF(ISNA(MATCH($G2624,Lists!$B$2:$B$7,0)),"✖ المجموعة غير صحيحة",IF(NOT(OR($H2624="",$N2624&gt;0)),"✖ Start غير صحيح",IF(NOT(OR($I2624="",$I2624="NR",$O2624&gt;0)),"✖ Current غير صحيح",IF(NOT(IF(ISNUMBER($J2624),AND($J2624&gt;=0,$J2624=INT($J2624)),FALSE())),"✖ العدد يجب أن يكون صحيحًا ≥ 0",IF(AND($F2624="Baseline",$H2624&lt;&gt;""),"⚠ Baseline: Start لا يدخل في التقدم",IF($K2624="No Start (attainment only)","ℹ تحصيل فقط (بدون Start)",IF($K2624="U – needs rule","ℹ حالة U تحتاج قاعدة معتمدة",IF($K2624="No result","ℹ بدون نتيجة (يُستبعد من التحصيل)","OK")))))))))))</f>
        <v/>
      </c>
      <c r="M2624" s="64" t="n">
        <f aca="false">IF($A2624="",0,IFERROR(MATCH($A2624,Classes!$A$6:$A$420,0),0))</f>
        <v>0</v>
      </c>
      <c r="N2624" s="64" t="n">
        <f aca="false">IF($H2624="",0,IFERROR(MATCH($H2624,GradeList,0),0))</f>
        <v>0</v>
      </c>
      <c r="O2624" s="64" t="n">
        <f aca="false">IF(OR($I2624="",$I2624="NR"),0,IFERROR(MATCH($I2624,GradeList,0),0))</f>
        <v>0</v>
      </c>
      <c r="P2624" s="64" t="n">
        <f aca="false">IF(AND($M2624&gt;0,ISNUMBER(MATCH($F2624,Lists!$A$2:$A$5,0)),ISNUMBER(MATCH($G2624,Lists!$B$2:$B$7,0)),OR($H2624="",$N2624&gt;0),OR($I2624="",$I2624="NR",$O2624&gt;0),IF(ISNUMBER($J2624),AND($J2624&gt;=0,$J2624=INT($J2624)),FALSE())),$J2624,0)</f>
        <v>0</v>
      </c>
      <c r="Q2624" s="64" t="n">
        <f aca="false">IF(AND($P2624&gt;0,$O2624&gt;0),$P2624,0)</f>
        <v>0</v>
      </c>
      <c r="R2624" s="64" t="n">
        <f aca="false">IF(AND($Q2624&gt;0,$O2624&gt;=AtRank),$Q2624,0)</f>
        <v>0</v>
      </c>
      <c r="S2624" s="64" t="n">
        <f aca="false">IF(AND($Q2624&gt;0,$O2624&gt;=AboveRank),$Q2624,0)</f>
        <v>0</v>
      </c>
      <c r="T2624" s="64" t="n">
        <f aca="false">IF($K2624="Less",$P2624,0)</f>
        <v>0</v>
      </c>
      <c r="U2624" s="64" t="n">
        <f aca="false">IF($K2624="Expected",$P2624,0)</f>
        <v>0</v>
      </c>
      <c r="V2624" s="64" t="n">
        <f aca="false">IF($K2624="Better",$P2624,0)</f>
        <v>0</v>
      </c>
      <c r="W2624" s="64" t="n">
        <f aca="false">IF($K2624="U – needs rule",$P2624,0)</f>
        <v>0</v>
      </c>
      <c r="X2624" s="64" t="n">
        <f aca="false">IF($K2624="No Start (attainment only)",$P2624,0)</f>
        <v>0</v>
      </c>
    </row>
    <row r="2625" customFormat="false" ht="15" hidden="false" customHeight="false" outlineLevel="0" collapsed="false">
      <c r="A2625" s="60"/>
      <c r="B2625" s="61" t="str">
        <f aca="false">IF($M2625=0,"",INDEX(Classes!$E$6:$E$420,$M2625))</f>
        <v/>
      </c>
      <c r="C2625" s="62" t="str">
        <f aca="false">IF($M2625=0,"",INDEX(Classes!$H$6:$H$420,$M2625))</f>
        <v/>
      </c>
      <c r="D2625" s="61" t="str">
        <f aca="false">IF($M2625=0,"",INDEX(Classes!$B$6:$B$420,$M2625))</f>
        <v/>
      </c>
      <c r="E2625" s="61" t="str">
        <f aca="false">IF($M2625=0,"",INDEX(Classes!$C$6:$C$420,$M2625))</f>
        <v/>
      </c>
      <c r="F2625" s="63"/>
      <c r="G2625" s="63"/>
      <c r="H2625" s="60"/>
      <c r="I2625" s="60"/>
      <c r="J2625" s="63"/>
      <c r="K2625" s="61" t="str">
        <f aca="false">IF($P2625=0,"",IF($F2625="Baseline","— Baseline",IF($O2625=0,"No result",IF($N2625=0,"No Start (attainment only)",IF(OR($N2625=1,$O2625=1),"U – needs rule",INDEX(MxBody,MATCH($I2625,MxCurr,0),MATCH($H2625,MxStart,0)))))))</f>
        <v/>
      </c>
      <c r="L2625" s="62" t="str">
        <f aca="false">IF(COUNTA($A2625,$F2625,$G2625,$H2625,$I2625,$J2625)=0,"",IF($M2625=0,"✖ كود الصف غير موجود",IF(ISNA(MATCH($F2625,Lists!$A$2:$A$5,0)),"✖ الفترة غير صحيحة",IF(ISNA(MATCH($G2625,Lists!$B$2:$B$7,0)),"✖ المجموعة غير صحيحة",IF(NOT(OR($H2625="",$N2625&gt;0)),"✖ Start غير صحيح",IF(NOT(OR($I2625="",$I2625="NR",$O2625&gt;0)),"✖ Current غير صحيح",IF(NOT(IF(ISNUMBER($J2625),AND($J2625&gt;=0,$J2625=INT($J2625)),FALSE())),"✖ العدد يجب أن يكون صحيحًا ≥ 0",IF(AND($F2625="Baseline",$H2625&lt;&gt;""),"⚠ Baseline: Start لا يدخل في التقدم",IF($K2625="No Start (attainment only)","ℹ تحصيل فقط (بدون Start)",IF($K2625="U – needs rule","ℹ حالة U تحتاج قاعدة معتمدة",IF($K2625="No result","ℹ بدون نتيجة (يُستبعد من التحصيل)","OK")))))))))))</f>
        <v/>
      </c>
      <c r="M2625" s="64" t="n">
        <f aca="false">IF($A2625="",0,IFERROR(MATCH($A2625,Classes!$A$6:$A$420,0),0))</f>
        <v>0</v>
      </c>
      <c r="N2625" s="64" t="n">
        <f aca="false">IF($H2625="",0,IFERROR(MATCH($H2625,GradeList,0),0))</f>
        <v>0</v>
      </c>
      <c r="O2625" s="64" t="n">
        <f aca="false">IF(OR($I2625="",$I2625="NR"),0,IFERROR(MATCH($I2625,GradeList,0),0))</f>
        <v>0</v>
      </c>
      <c r="P2625" s="64" t="n">
        <f aca="false">IF(AND($M2625&gt;0,ISNUMBER(MATCH($F2625,Lists!$A$2:$A$5,0)),ISNUMBER(MATCH($G2625,Lists!$B$2:$B$7,0)),OR($H2625="",$N2625&gt;0),OR($I2625="",$I2625="NR",$O2625&gt;0),IF(ISNUMBER($J2625),AND($J2625&gt;=0,$J2625=INT($J2625)),FALSE())),$J2625,0)</f>
        <v>0</v>
      </c>
      <c r="Q2625" s="64" t="n">
        <f aca="false">IF(AND($P2625&gt;0,$O2625&gt;0),$P2625,0)</f>
        <v>0</v>
      </c>
      <c r="R2625" s="64" t="n">
        <f aca="false">IF(AND($Q2625&gt;0,$O2625&gt;=AtRank),$Q2625,0)</f>
        <v>0</v>
      </c>
      <c r="S2625" s="64" t="n">
        <f aca="false">IF(AND($Q2625&gt;0,$O2625&gt;=AboveRank),$Q2625,0)</f>
        <v>0</v>
      </c>
      <c r="T2625" s="64" t="n">
        <f aca="false">IF($K2625="Less",$P2625,0)</f>
        <v>0</v>
      </c>
      <c r="U2625" s="64" t="n">
        <f aca="false">IF($K2625="Expected",$P2625,0)</f>
        <v>0</v>
      </c>
      <c r="V2625" s="64" t="n">
        <f aca="false">IF($K2625="Better",$P2625,0)</f>
        <v>0</v>
      </c>
      <c r="W2625" s="64" t="n">
        <f aca="false">IF($K2625="U – needs rule",$P2625,0)</f>
        <v>0</v>
      </c>
      <c r="X2625" s="64" t="n">
        <f aca="false">IF($K2625="No Start (attainment only)",$P2625,0)</f>
        <v>0</v>
      </c>
    </row>
    <row r="2626" customFormat="false" ht="15" hidden="false" customHeight="false" outlineLevel="0" collapsed="false">
      <c r="A2626" s="60"/>
      <c r="B2626" s="61" t="str">
        <f aca="false">IF($M2626=0,"",INDEX(Classes!$E$6:$E$420,$M2626))</f>
        <v/>
      </c>
      <c r="C2626" s="62" t="str">
        <f aca="false">IF($M2626=0,"",INDEX(Classes!$H$6:$H$420,$M2626))</f>
        <v/>
      </c>
      <c r="D2626" s="61" t="str">
        <f aca="false">IF($M2626=0,"",INDEX(Classes!$B$6:$B$420,$M2626))</f>
        <v/>
      </c>
      <c r="E2626" s="61" t="str">
        <f aca="false">IF($M2626=0,"",INDEX(Classes!$C$6:$C$420,$M2626))</f>
        <v/>
      </c>
      <c r="F2626" s="63"/>
      <c r="G2626" s="63"/>
      <c r="H2626" s="60"/>
      <c r="I2626" s="60"/>
      <c r="J2626" s="63"/>
      <c r="K2626" s="61" t="str">
        <f aca="false">IF($P2626=0,"",IF($F2626="Baseline","— Baseline",IF($O2626=0,"No result",IF($N2626=0,"No Start (attainment only)",IF(OR($N2626=1,$O2626=1),"U – needs rule",INDEX(MxBody,MATCH($I2626,MxCurr,0),MATCH($H2626,MxStart,0)))))))</f>
        <v/>
      </c>
      <c r="L2626" s="62" t="str">
        <f aca="false">IF(COUNTA($A2626,$F2626,$G2626,$H2626,$I2626,$J2626)=0,"",IF($M2626=0,"✖ كود الصف غير موجود",IF(ISNA(MATCH($F2626,Lists!$A$2:$A$5,0)),"✖ الفترة غير صحيحة",IF(ISNA(MATCH($G2626,Lists!$B$2:$B$7,0)),"✖ المجموعة غير صحيحة",IF(NOT(OR($H2626="",$N2626&gt;0)),"✖ Start غير صحيح",IF(NOT(OR($I2626="",$I2626="NR",$O2626&gt;0)),"✖ Current غير صحيح",IF(NOT(IF(ISNUMBER($J2626),AND($J2626&gt;=0,$J2626=INT($J2626)),FALSE())),"✖ العدد يجب أن يكون صحيحًا ≥ 0",IF(AND($F2626="Baseline",$H2626&lt;&gt;""),"⚠ Baseline: Start لا يدخل في التقدم",IF($K2626="No Start (attainment only)","ℹ تحصيل فقط (بدون Start)",IF($K2626="U – needs rule","ℹ حالة U تحتاج قاعدة معتمدة",IF($K2626="No result","ℹ بدون نتيجة (يُستبعد من التحصيل)","OK")))))))))))</f>
        <v/>
      </c>
      <c r="M2626" s="64" t="n">
        <f aca="false">IF($A2626="",0,IFERROR(MATCH($A2626,Classes!$A$6:$A$420,0),0))</f>
        <v>0</v>
      </c>
      <c r="N2626" s="64" t="n">
        <f aca="false">IF($H2626="",0,IFERROR(MATCH($H2626,GradeList,0),0))</f>
        <v>0</v>
      </c>
      <c r="O2626" s="64" t="n">
        <f aca="false">IF(OR($I2626="",$I2626="NR"),0,IFERROR(MATCH($I2626,GradeList,0),0))</f>
        <v>0</v>
      </c>
      <c r="P2626" s="64" t="n">
        <f aca="false">IF(AND($M2626&gt;0,ISNUMBER(MATCH($F2626,Lists!$A$2:$A$5,0)),ISNUMBER(MATCH($G2626,Lists!$B$2:$B$7,0)),OR($H2626="",$N2626&gt;0),OR($I2626="",$I2626="NR",$O2626&gt;0),IF(ISNUMBER($J2626),AND($J2626&gt;=0,$J2626=INT($J2626)),FALSE())),$J2626,0)</f>
        <v>0</v>
      </c>
      <c r="Q2626" s="64" t="n">
        <f aca="false">IF(AND($P2626&gt;0,$O2626&gt;0),$P2626,0)</f>
        <v>0</v>
      </c>
      <c r="R2626" s="64" t="n">
        <f aca="false">IF(AND($Q2626&gt;0,$O2626&gt;=AtRank),$Q2626,0)</f>
        <v>0</v>
      </c>
      <c r="S2626" s="64" t="n">
        <f aca="false">IF(AND($Q2626&gt;0,$O2626&gt;=AboveRank),$Q2626,0)</f>
        <v>0</v>
      </c>
      <c r="T2626" s="64" t="n">
        <f aca="false">IF($K2626="Less",$P2626,0)</f>
        <v>0</v>
      </c>
      <c r="U2626" s="64" t="n">
        <f aca="false">IF($K2626="Expected",$P2626,0)</f>
        <v>0</v>
      </c>
      <c r="V2626" s="64" t="n">
        <f aca="false">IF($K2626="Better",$P2626,0)</f>
        <v>0</v>
      </c>
      <c r="W2626" s="64" t="n">
        <f aca="false">IF($K2626="U – needs rule",$P2626,0)</f>
        <v>0</v>
      </c>
      <c r="X2626" s="64" t="n">
        <f aca="false">IF($K2626="No Start (attainment only)",$P2626,0)</f>
        <v>0</v>
      </c>
    </row>
    <row r="2627" customFormat="false" ht="15" hidden="false" customHeight="false" outlineLevel="0" collapsed="false">
      <c r="A2627" s="60"/>
      <c r="B2627" s="61" t="str">
        <f aca="false">IF($M2627=0,"",INDEX(Classes!$E$6:$E$420,$M2627))</f>
        <v/>
      </c>
      <c r="C2627" s="62" t="str">
        <f aca="false">IF($M2627=0,"",INDEX(Classes!$H$6:$H$420,$M2627))</f>
        <v/>
      </c>
      <c r="D2627" s="61" t="str">
        <f aca="false">IF($M2627=0,"",INDEX(Classes!$B$6:$B$420,$M2627))</f>
        <v/>
      </c>
      <c r="E2627" s="61" t="str">
        <f aca="false">IF($M2627=0,"",INDEX(Classes!$C$6:$C$420,$M2627))</f>
        <v/>
      </c>
      <c r="F2627" s="63"/>
      <c r="G2627" s="63"/>
      <c r="H2627" s="60"/>
      <c r="I2627" s="60"/>
      <c r="J2627" s="63"/>
      <c r="K2627" s="61" t="str">
        <f aca="false">IF($P2627=0,"",IF($F2627="Baseline","— Baseline",IF($O2627=0,"No result",IF($N2627=0,"No Start (attainment only)",IF(OR($N2627=1,$O2627=1),"U – needs rule",INDEX(MxBody,MATCH($I2627,MxCurr,0),MATCH($H2627,MxStart,0)))))))</f>
        <v/>
      </c>
      <c r="L2627" s="62" t="str">
        <f aca="false">IF(COUNTA($A2627,$F2627,$G2627,$H2627,$I2627,$J2627)=0,"",IF($M2627=0,"✖ كود الصف غير موجود",IF(ISNA(MATCH($F2627,Lists!$A$2:$A$5,0)),"✖ الفترة غير صحيحة",IF(ISNA(MATCH($G2627,Lists!$B$2:$B$7,0)),"✖ المجموعة غير صحيحة",IF(NOT(OR($H2627="",$N2627&gt;0)),"✖ Start غير صحيح",IF(NOT(OR($I2627="",$I2627="NR",$O2627&gt;0)),"✖ Current غير صحيح",IF(NOT(IF(ISNUMBER($J2627),AND($J2627&gt;=0,$J2627=INT($J2627)),FALSE())),"✖ العدد يجب أن يكون صحيحًا ≥ 0",IF(AND($F2627="Baseline",$H2627&lt;&gt;""),"⚠ Baseline: Start لا يدخل في التقدم",IF($K2627="No Start (attainment only)","ℹ تحصيل فقط (بدون Start)",IF($K2627="U – needs rule","ℹ حالة U تحتاج قاعدة معتمدة",IF($K2627="No result","ℹ بدون نتيجة (يُستبعد من التحصيل)","OK")))))))))))</f>
        <v/>
      </c>
      <c r="M2627" s="64" t="n">
        <f aca="false">IF($A2627="",0,IFERROR(MATCH($A2627,Classes!$A$6:$A$420,0),0))</f>
        <v>0</v>
      </c>
      <c r="N2627" s="64" t="n">
        <f aca="false">IF($H2627="",0,IFERROR(MATCH($H2627,GradeList,0),0))</f>
        <v>0</v>
      </c>
      <c r="O2627" s="64" t="n">
        <f aca="false">IF(OR($I2627="",$I2627="NR"),0,IFERROR(MATCH($I2627,GradeList,0),0))</f>
        <v>0</v>
      </c>
      <c r="P2627" s="64" t="n">
        <f aca="false">IF(AND($M2627&gt;0,ISNUMBER(MATCH($F2627,Lists!$A$2:$A$5,0)),ISNUMBER(MATCH($G2627,Lists!$B$2:$B$7,0)),OR($H2627="",$N2627&gt;0),OR($I2627="",$I2627="NR",$O2627&gt;0),IF(ISNUMBER($J2627),AND($J2627&gt;=0,$J2627=INT($J2627)),FALSE())),$J2627,0)</f>
        <v>0</v>
      </c>
      <c r="Q2627" s="64" t="n">
        <f aca="false">IF(AND($P2627&gt;0,$O2627&gt;0),$P2627,0)</f>
        <v>0</v>
      </c>
      <c r="R2627" s="64" t="n">
        <f aca="false">IF(AND($Q2627&gt;0,$O2627&gt;=AtRank),$Q2627,0)</f>
        <v>0</v>
      </c>
      <c r="S2627" s="64" t="n">
        <f aca="false">IF(AND($Q2627&gt;0,$O2627&gt;=AboveRank),$Q2627,0)</f>
        <v>0</v>
      </c>
      <c r="T2627" s="64" t="n">
        <f aca="false">IF($K2627="Less",$P2627,0)</f>
        <v>0</v>
      </c>
      <c r="U2627" s="64" t="n">
        <f aca="false">IF($K2627="Expected",$P2627,0)</f>
        <v>0</v>
      </c>
      <c r="V2627" s="64" t="n">
        <f aca="false">IF($K2627="Better",$P2627,0)</f>
        <v>0</v>
      </c>
      <c r="W2627" s="64" t="n">
        <f aca="false">IF($K2627="U – needs rule",$P2627,0)</f>
        <v>0</v>
      </c>
      <c r="X2627" s="64" t="n">
        <f aca="false">IF($K2627="No Start (attainment only)",$P2627,0)</f>
        <v>0</v>
      </c>
    </row>
    <row r="2628" customFormat="false" ht="15" hidden="false" customHeight="false" outlineLevel="0" collapsed="false">
      <c r="A2628" s="60"/>
      <c r="B2628" s="61" t="str">
        <f aca="false">IF($M2628=0,"",INDEX(Classes!$E$6:$E$420,$M2628))</f>
        <v/>
      </c>
      <c r="C2628" s="62" t="str">
        <f aca="false">IF($M2628=0,"",INDEX(Classes!$H$6:$H$420,$M2628))</f>
        <v/>
      </c>
      <c r="D2628" s="61" t="str">
        <f aca="false">IF($M2628=0,"",INDEX(Classes!$B$6:$B$420,$M2628))</f>
        <v/>
      </c>
      <c r="E2628" s="61" t="str">
        <f aca="false">IF($M2628=0,"",INDEX(Classes!$C$6:$C$420,$M2628))</f>
        <v/>
      </c>
      <c r="F2628" s="63"/>
      <c r="G2628" s="63"/>
      <c r="H2628" s="60"/>
      <c r="I2628" s="60"/>
      <c r="J2628" s="63"/>
      <c r="K2628" s="61" t="str">
        <f aca="false">IF($P2628=0,"",IF($F2628="Baseline","— Baseline",IF($O2628=0,"No result",IF($N2628=0,"No Start (attainment only)",IF(OR($N2628=1,$O2628=1),"U – needs rule",INDEX(MxBody,MATCH($I2628,MxCurr,0),MATCH($H2628,MxStart,0)))))))</f>
        <v/>
      </c>
      <c r="L2628" s="62" t="str">
        <f aca="false">IF(COUNTA($A2628,$F2628,$G2628,$H2628,$I2628,$J2628)=0,"",IF($M2628=0,"✖ كود الصف غير موجود",IF(ISNA(MATCH($F2628,Lists!$A$2:$A$5,0)),"✖ الفترة غير صحيحة",IF(ISNA(MATCH($G2628,Lists!$B$2:$B$7,0)),"✖ المجموعة غير صحيحة",IF(NOT(OR($H2628="",$N2628&gt;0)),"✖ Start غير صحيح",IF(NOT(OR($I2628="",$I2628="NR",$O2628&gt;0)),"✖ Current غير صحيح",IF(NOT(IF(ISNUMBER($J2628),AND($J2628&gt;=0,$J2628=INT($J2628)),FALSE())),"✖ العدد يجب أن يكون صحيحًا ≥ 0",IF(AND($F2628="Baseline",$H2628&lt;&gt;""),"⚠ Baseline: Start لا يدخل في التقدم",IF($K2628="No Start (attainment only)","ℹ تحصيل فقط (بدون Start)",IF($K2628="U – needs rule","ℹ حالة U تحتاج قاعدة معتمدة",IF($K2628="No result","ℹ بدون نتيجة (يُستبعد من التحصيل)","OK")))))))))))</f>
        <v/>
      </c>
      <c r="M2628" s="64" t="n">
        <f aca="false">IF($A2628="",0,IFERROR(MATCH($A2628,Classes!$A$6:$A$420,0),0))</f>
        <v>0</v>
      </c>
      <c r="N2628" s="64" t="n">
        <f aca="false">IF($H2628="",0,IFERROR(MATCH($H2628,GradeList,0),0))</f>
        <v>0</v>
      </c>
      <c r="O2628" s="64" t="n">
        <f aca="false">IF(OR($I2628="",$I2628="NR"),0,IFERROR(MATCH($I2628,GradeList,0),0))</f>
        <v>0</v>
      </c>
      <c r="P2628" s="64" t="n">
        <f aca="false">IF(AND($M2628&gt;0,ISNUMBER(MATCH($F2628,Lists!$A$2:$A$5,0)),ISNUMBER(MATCH($G2628,Lists!$B$2:$B$7,0)),OR($H2628="",$N2628&gt;0),OR($I2628="",$I2628="NR",$O2628&gt;0),IF(ISNUMBER($J2628),AND($J2628&gt;=0,$J2628=INT($J2628)),FALSE())),$J2628,0)</f>
        <v>0</v>
      </c>
      <c r="Q2628" s="64" t="n">
        <f aca="false">IF(AND($P2628&gt;0,$O2628&gt;0),$P2628,0)</f>
        <v>0</v>
      </c>
      <c r="R2628" s="64" t="n">
        <f aca="false">IF(AND($Q2628&gt;0,$O2628&gt;=AtRank),$Q2628,0)</f>
        <v>0</v>
      </c>
      <c r="S2628" s="64" t="n">
        <f aca="false">IF(AND($Q2628&gt;0,$O2628&gt;=AboveRank),$Q2628,0)</f>
        <v>0</v>
      </c>
      <c r="T2628" s="64" t="n">
        <f aca="false">IF($K2628="Less",$P2628,0)</f>
        <v>0</v>
      </c>
      <c r="U2628" s="64" t="n">
        <f aca="false">IF($K2628="Expected",$P2628,0)</f>
        <v>0</v>
      </c>
      <c r="V2628" s="64" t="n">
        <f aca="false">IF($K2628="Better",$P2628,0)</f>
        <v>0</v>
      </c>
      <c r="W2628" s="64" t="n">
        <f aca="false">IF($K2628="U – needs rule",$P2628,0)</f>
        <v>0</v>
      </c>
      <c r="X2628" s="64" t="n">
        <f aca="false">IF($K2628="No Start (attainment only)",$P2628,0)</f>
        <v>0</v>
      </c>
    </row>
    <row r="2629" customFormat="false" ht="15" hidden="false" customHeight="false" outlineLevel="0" collapsed="false">
      <c r="A2629" s="60"/>
      <c r="B2629" s="61" t="str">
        <f aca="false">IF($M2629=0,"",INDEX(Classes!$E$6:$E$420,$M2629))</f>
        <v/>
      </c>
      <c r="C2629" s="62" t="str">
        <f aca="false">IF($M2629=0,"",INDEX(Classes!$H$6:$H$420,$M2629))</f>
        <v/>
      </c>
      <c r="D2629" s="61" t="str">
        <f aca="false">IF($M2629=0,"",INDEX(Classes!$B$6:$B$420,$M2629))</f>
        <v/>
      </c>
      <c r="E2629" s="61" t="str">
        <f aca="false">IF($M2629=0,"",INDEX(Classes!$C$6:$C$420,$M2629))</f>
        <v/>
      </c>
      <c r="F2629" s="63"/>
      <c r="G2629" s="63"/>
      <c r="H2629" s="60"/>
      <c r="I2629" s="60"/>
      <c r="J2629" s="63"/>
      <c r="K2629" s="61" t="str">
        <f aca="false">IF($P2629=0,"",IF($F2629="Baseline","— Baseline",IF($O2629=0,"No result",IF($N2629=0,"No Start (attainment only)",IF(OR($N2629=1,$O2629=1),"U – needs rule",INDEX(MxBody,MATCH($I2629,MxCurr,0),MATCH($H2629,MxStart,0)))))))</f>
        <v/>
      </c>
      <c r="L2629" s="62" t="str">
        <f aca="false">IF(COUNTA($A2629,$F2629,$G2629,$H2629,$I2629,$J2629)=0,"",IF($M2629=0,"✖ كود الصف غير موجود",IF(ISNA(MATCH($F2629,Lists!$A$2:$A$5,0)),"✖ الفترة غير صحيحة",IF(ISNA(MATCH($G2629,Lists!$B$2:$B$7,0)),"✖ المجموعة غير صحيحة",IF(NOT(OR($H2629="",$N2629&gt;0)),"✖ Start غير صحيح",IF(NOT(OR($I2629="",$I2629="NR",$O2629&gt;0)),"✖ Current غير صحيح",IF(NOT(IF(ISNUMBER($J2629),AND($J2629&gt;=0,$J2629=INT($J2629)),FALSE())),"✖ العدد يجب أن يكون صحيحًا ≥ 0",IF(AND($F2629="Baseline",$H2629&lt;&gt;""),"⚠ Baseline: Start لا يدخل في التقدم",IF($K2629="No Start (attainment only)","ℹ تحصيل فقط (بدون Start)",IF($K2629="U – needs rule","ℹ حالة U تحتاج قاعدة معتمدة",IF($K2629="No result","ℹ بدون نتيجة (يُستبعد من التحصيل)","OK")))))))))))</f>
        <v/>
      </c>
      <c r="M2629" s="64" t="n">
        <f aca="false">IF($A2629="",0,IFERROR(MATCH($A2629,Classes!$A$6:$A$420,0),0))</f>
        <v>0</v>
      </c>
      <c r="N2629" s="64" t="n">
        <f aca="false">IF($H2629="",0,IFERROR(MATCH($H2629,GradeList,0),0))</f>
        <v>0</v>
      </c>
      <c r="O2629" s="64" t="n">
        <f aca="false">IF(OR($I2629="",$I2629="NR"),0,IFERROR(MATCH($I2629,GradeList,0),0))</f>
        <v>0</v>
      </c>
      <c r="P2629" s="64" t="n">
        <f aca="false">IF(AND($M2629&gt;0,ISNUMBER(MATCH($F2629,Lists!$A$2:$A$5,0)),ISNUMBER(MATCH($G2629,Lists!$B$2:$B$7,0)),OR($H2629="",$N2629&gt;0),OR($I2629="",$I2629="NR",$O2629&gt;0),IF(ISNUMBER($J2629),AND($J2629&gt;=0,$J2629=INT($J2629)),FALSE())),$J2629,0)</f>
        <v>0</v>
      </c>
      <c r="Q2629" s="64" t="n">
        <f aca="false">IF(AND($P2629&gt;0,$O2629&gt;0),$P2629,0)</f>
        <v>0</v>
      </c>
      <c r="R2629" s="64" t="n">
        <f aca="false">IF(AND($Q2629&gt;0,$O2629&gt;=AtRank),$Q2629,0)</f>
        <v>0</v>
      </c>
      <c r="S2629" s="64" t="n">
        <f aca="false">IF(AND($Q2629&gt;0,$O2629&gt;=AboveRank),$Q2629,0)</f>
        <v>0</v>
      </c>
      <c r="T2629" s="64" t="n">
        <f aca="false">IF($K2629="Less",$P2629,0)</f>
        <v>0</v>
      </c>
      <c r="U2629" s="64" t="n">
        <f aca="false">IF($K2629="Expected",$P2629,0)</f>
        <v>0</v>
      </c>
      <c r="V2629" s="64" t="n">
        <f aca="false">IF($K2629="Better",$P2629,0)</f>
        <v>0</v>
      </c>
      <c r="W2629" s="64" t="n">
        <f aca="false">IF($K2629="U – needs rule",$P2629,0)</f>
        <v>0</v>
      </c>
      <c r="X2629" s="64" t="n">
        <f aca="false">IF($K2629="No Start (attainment only)",$P2629,0)</f>
        <v>0</v>
      </c>
    </row>
    <row r="2630" customFormat="false" ht="15" hidden="false" customHeight="false" outlineLevel="0" collapsed="false">
      <c r="A2630" s="60"/>
      <c r="B2630" s="61" t="str">
        <f aca="false">IF($M2630=0,"",INDEX(Classes!$E$6:$E$420,$M2630))</f>
        <v/>
      </c>
      <c r="C2630" s="62" t="str">
        <f aca="false">IF($M2630=0,"",INDEX(Classes!$H$6:$H$420,$M2630))</f>
        <v/>
      </c>
      <c r="D2630" s="61" t="str">
        <f aca="false">IF($M2630=0,"",INDEX(Classes!$B$6:$B$420,$M2630))</f>
        <v/>
      </c>
      <c r="E2630" s="61" t="str">
        <f aca="false">IF($M2630=0,"",INDEX(Classes!$C$6:$C$420,$M2630))</f>
        <v/>
      </c>
      <c r="F2630" s="63"/>
      <c r="G2630" s="63"/>
      <c r="H2630" s="60"/>
      <c r="I2630" s="60"/>
      <c r="J2630" s="63"/>
      <c r="K2630" s="61" t="str">
        <f aca="false">IF($P2630=0,"",IF($F2630="Baseline","— Baseline",IF($O2630=0,"No result",IF($N2630=0,"No Start (attainment only)",IF(OR($N2630=1,$O2630=1),"U – needs rule",INDEX(MxBody,MATCH($I2630,MxCurr,0),MATCH($H2630,MxStart,0)))))))</f>
        <v/>
      </c>
      <c r="L2630" s="62" t="str">
        <f aca="false">IF(COUNTA($A2630,$F2630,$G2630,$H2630,$I2630,$J2630)=0,"",IF($M2630=0,"✖ كود الصف غير موجود",IF(ISNA(MATCH($F2630,Lists!$A$2:$A$5,0)),"✖ الفترة غير صحيحة",IF(ISNA(MATCH($G2630,Lists!$B$2:$B$7,0)),"✖ المجموعة غير صحيحة",IF(NOT(OR($H2630="",$N2630&gt;0)),"✖ Start غير صحيح",IF(NOT(OR($I2630="",$I2630="NR",$O2630&gt;0)),"✖ Current غير صحيح",IF(NOT(IF(ISNUMBER($J2630),AND($J2630&gt;=0,$J2630=INT($J2630)),FALSE())),"✖ العدد يجب أن يكون صحيحًا ≥ 0",IF(AND($F2630="Baseline",$H2630&lt;&gt;""),"⚠ Baseline: Start لا يدخل في التقدم",IF($K2630="No Start (attainment only)","ℹ تحصيل فقط (بدون Start)",IF($K2630="U – needs rule","ℹ حالة U تحتاج قاعدة معتمدة",IF($K2630="No result","ℹ بدون نتيجة (يُستبعد من التحصيل)","OK")))))))))))</f>
        <v/>
      </c>
      <c r="M2630" s="64" t="n">
        <f aca="false">IF($A2630="",0,IFERROR(MATCH($A2630,Classes!$A$6:$A$420,0),0))</f>
        <v>0</v>
      </c>
      <c r="N2630" s="64" t="n">
        <f aca="false">IF($H2630="",0,IFERROR(MATCH($H2630,GradeList,0),0))</f>
        <v>0</v>
      </c>
      <c r="O2630" s="64" t="n">
        <f aca="false">IF(OR($I2630="",$I2630="NR"),0,IFERROR(MATCH($I2630,GradeList,0),0))</f>
        <v>0</v>
      </c>
      <c r="P2630" s="64" t="n">
        <f aca="false">IF(AND($M2630&gt;0,ISNUMBER(MATCH($F2630,Lists!$A$2:$A$5,0)),ISNUMBER(MATCH($G2630,Lists!$B$2:$B$7,0)),OR($H2630="",$N2630&gt;0),OR($I2630="",$I2630="NR",$O2630&gt;0),IF(ISNUMBER($J2630),AND($J2630&gt;=0,$J2630=INT($J2630)),FALSE())),$J2630,0)</f>
        <v>0</v>
      </c>
      <c r="Q2630" s="64" t="n">
        <f aca="false">IF(AND($P2630&gt;0,$O2630&gt;0),$P2630,0)</f>
        <v>0</v>
      </c>
      <c r="R2630" s="64" t="n">
        <f aca="false">IF(AND($Q2630&gt;0,$O2630&gt;=AtRank),$Q2630,0)</f>
        <v>0</v>
      </c>
      <c r="S2630" s="64" t="n">
        <f aca="false">IF(AND($Q2630&gt;0,$O2630&gt;=AboveRank),$Q2630,0)</f>
        <v>0</v>
      </c>
      <c r="T2630" s="64" t="n">
        <f aca="false">IF($K2630="Less",$P2630,0)</f>
        <v>0</v>
      </c>
      <c r="U2630" s="64" t="n">
        <f aca="false">IF($K2630="Expected",$P2630,0)</f>
        <v>0</v>
      </c>
      <c r="V2630" s="64" t="n">
        <f aca="false">IF($K2630="Better",$P2630,0)</f>
        <v>0</v>
      </c>
      <c r="W2630" s="64" t="n">
        <f aca="false">IF($K2630="U – needs rule",$P2630,0)</f>
        <v>0</v>
      </c>
      <c r="X2630" s="64" t="n">
        <f aca="false">IF($K2630="No Start (attainment only)",$P2630,0)</f>
        <v>0</v>
      </c>
    </row>
    <row r="2631" customFormat="false" ht="15" hidden="false" customHeight="false" outlineLevel="0" collapsed="false">
      <c r="A2631" s="60"/>
      <c r="B2631" s="61" t="str">
        <f aca="false">IF($M2631=0,"",INDEX(Classes!$E$6:$E$420,$M2631))</f>
        <v/>
      </c>
      <c r="C2631" s="62" t="str">
        <f aca="false">IF($M2631=0,"",INDEX(Classes!$H$6:$H$420,$M2631))</f>
        <v/>
      </c>
      <c r="D2631" s="61" t="str">
        <f aca="false">IF($M2631=0,"",INDEX(Classes!$B$6:$B$420,$M2631))</f>
        <v/>
      </c>
      <c r="E2631" s="61" t="str">
        <f aca="false">IF($M2631=0,"",INDEX(Classes!$C$6:$C$420,$M2631))</f>
        <v/>
      </c>
      <c r="F2631" s="63"/>
      <c r="G2631" s="63"/>
      <c r="H2631" s="60"/>
      <c r="I2631" s="60"/>
      <c r="J2631" s="63"/>
      <c r="K2631" s="61" t="str">
        <f aca="false">IF($P2631=0,"",IF($F2631="Baseline","— Baseline",IF($O2631=0,"No result",IF($N2631=0,"No Start (attainment only)",IF(OR($N2631=1,$O2631=1),"U – needs rule",INDEX(MxBody,MATCH($I2631,MxCurr,0),MATCH($H2631,MxStart,0)))))))</f>
        <v/>
      </c>
      <c r="L2631" s="62" t="str">
        <f aca="false">IF(COUNTA($A2631,$F2631,$G2631,$H2631,$I2631,$J2631)=0,"",IF($M2631=0,"✖ كود الصف غير موجود",IF(ISNA(MATCH($F2631,Lists!$A$2:$A$5,0)),"✖ الفترة غير صحيحة",IF(ISNA(MATCH($G2631,Lists!$B$2:$B$7,0)),"✖ المجموعة غير صحيحة",IF(NOT(OR($H2631="",$N2631&gt;0)),"✖ Start غير صحيح",IF(NOT(OR($I2631="",$I2631="NR",$O2631&gt;0)),"✖ Current غير صحيح",IF(NOT(IF(ISNUMBER($J2631),AND($J2631&gt;=0,$J2631=INT($J2631)),FALSE())),"✖ العدد يجب أن يكون صحيحًا ≥ 0",IF(AND($F2631="Baseline",$H2631&lt;&gt;""),"⚠ Baseline: Start لا يدخل في التقدم",IF($K2631="No Start (attainment only)","ℹ تحصيل فقط (بدون Start)",IF($K2631="U – needs rule","ℹ حالة U تحتاج قاعدة معتمدة",IF($K2631="No result","ℹ بدون نتيجة (يُستبعد من التحصيل)","OK")))))))))))</f>
        <v/>
      </c>
      <c r="M2631" s="64" t="n">
        <f aca="false">IF($A2631="",0,IFERROR(MATCH($A2631,Classes!$A$6:$A$420,0),0))</f>
        <v>0</v>
      </c>
      <c r="N2631" s="64" t="n">
        <f aca="false">IF($H2631="",0,IFERROR(MATCH($H2631,GradeList,0),0))</f>
        <v>0</v>
      </c>
      <c r="O2631" s="64" t="n">
        <f aca="false">IF(OR($I2631="",$I2631="NR"),0,IFERROR(MATCH($I2631,GradeList,0),0))</f>
        <v>0</v>
      </c>
      <c r="P2631" s="64" t="n">
        <f aca="false">IF(AND($M2631&gt;0,ISNUMBER(MATCH($F2631,Lists!$A$2:$A$5,0)),ISNUMBER(MATCH($G2631,Lists!$B$2:$B$7,0)),OR($H2631="",$N2631&gt;0),OR($I2631="",$I2631="NR",$O2631&gt;0),IF(ISNUMBER($J2631),AND($J2631&gt;=0,$J2631=INT($J2631)),FALSE())),$J2631,0)</f>
        <v>0</v>
      </c>
      <c r="Q2631" s="64" t="n">
        <f aca="false">IF(AND($P2631&gt;0,$O2631&gt;0),$P2631,0)</f>
        <v>0</v>
      </c>
      <c r="R2631" s="64" t="n">
        <f aca="false">IF(AND($Q2631&gt;0,$O2631&gt;=AtRank),$Q2631,0)</f>
        <v>0</v>
      </c>
      <c r="S2631" s="64" t="n">
        <f aca="false">IF(AND($Q2631&gt;0,$O2631&gt;=AboveRank),$Q2631,0)</f>
        <v>0</v>
      </c>
      <c r="T2631" s="64" t="n">
        <f aca="false">IF($K2631="Less",$P2631,0)</f>
        <v>0</v>
      </c>
      <c r="U2631" s="64" t="n">
        <f aca="false">IF($K2631="Expected",$P2631,0)</f>
        <v>0</v>
      </c>
      <c r="V2631" s="64" t="n">
        <f aca="false">IF($K2631="Better",$P2631,0)</f>
        <v>0</v>
      </c>
      <c r="W2631" s="64" t="n">
        <f aca="false">IF($K2631="U – needs rule",$P2631,0)</f>
        <v>0</v>
      </c>
      <c r="X2631" s="64" t="n">
        <f aca="false">IF($K2631="No Start (attainment only)",$P2631,0)</f>
        <v>0</v>
      </c>
    </row>
    <row r="2632" customFormat="false" ht="15" hidden="false" customHeight="false" outlineLevel="0" collapsed="false">
      <c r="A2632" s="60"/>
      <c r="B2632" s="61" t="str">
        <f aca="false">IF($M2632=0,"",INDEX(Classes!$E$6:$E$420,$M2632))</f>
        <v/>
      </c>
      <c r="C2632" s="62" t="str">
        <f aca="false">IF($M2632=0,"",INDEX(Classes!$H$6:$H$420,$M2632))</f>
        <v/>
      </c>
      <c r="D2632" s="61" t="str">
        <f aca="false">IF($M2632=0,"",INDEX(Classes!$B$6:$B$420,$M2632))</f>
        <v/>
      </c>
      <c r="E2632" s="61" t="str">
        <f aca="false">IF($M2632=0,"",INDEX(Classes!$C$6:$C$420,$M2632))</f>
        <v/>
      </c>
      <c r="F2632" s="63"/>
      <c r="G2632" s="63"/>
      <c r="H2632" s="60"/>
      <c r="I2632" s="60"/>
      <c r="J2632" s="63"/>
      <c r="K2632" s="61" t="str">
        <f aca="false">IF($P2632=0,"",IF($F2632="Baseline","— Baseline",IF($O2632=0,"No result",IF($N2632=0,"No Start (attainment only)",IF(OR($N2632=1,$O2632=1),"U – needs rule",INDEX(MxBody,MATCH($I2632,MxCurr,0),MATCH($H2632,MxStart,0)))))))</f>
        <v/>
      </c>
      <c r="L2632" s="62" t="str">
        <f aca="false">IF(COUNTA($A2632,$F2632,$G2632,$H2632,$I2632,$J2632)=0,"",IF($M2632=0,"✖ كود الصف غير موجود",IF(ISNA(MATCH($F2632,Lists!$A$2:$A$5,0)),"✖ الفترة غير صحيحة",IF(ISNA(MATCH($G2632,Lists!$B$2:$B$7,0)),"✖ المجموعة غير صحيحة",IF(NOT(OR($H2632="",$N2632&gt;0)),"✖ Start غير صحيح",IF(NOT(OR($I2632="",$I2632="NR",$O2632&gt;0)),"✖ Current غير صحيح",IF(NOT(IF(ISNUMBER($J2632),AND($J2632&gt;=0,$J2632=INT($J2632)),FALSE())),"✖ العدد يجب أن يكون صحيحًا ≥ 0",IF(AND($F2632="Baseline",$H2632&lt;&gt;""),"⚠ Baseline: Start لا يدخل في التقدم",IF($K2632="No Start (attainment only)","ℹ تحصيل فقط (بدون Start)",IF($K2632="U – needs rule","ℹ حالة U تحتاج قاعدة معتمدة",IF($K2632="No result","ℹ بدون نتيجة (يُستبعد من التحصيل)","OK")))))))))))</f>
        <v/>
      </c>
      <c r="M2632" s="64" t="n">
        <f aca="false">IF($A2632="",0,IFERROR(MATCH($A2632,Classes!$A$6:$A$420,0),0))</f>
        <v>0</v>
      </c>
      <c r="N2632" s="64" t="n">
        <f aca="false">IF($H2632="",0,IFERROR(MATCH($H2632,GradeList,0),0))</f>
        <v>0</v>
      </c>
      <c r="O2632" s="64" t="n">
        <f aca="false">IF(OR($I2632="",$I2632="NR"),0,IFERROR(MATCH($I2632,GradeList,0),0))</f>
        <v>0</v>
      </c>
      <c r="P2632" s="64" t="n">
        <f aca="false">IF(AND($M2632&gt;0,ISNUMBER(MATCH($F2632,Lists!$A$2:$A$5,0)),ISNUMBER(MATCH($G2632,Lists!$B$2:$B$7,0)),OR($H2632="",$N2632&gt;0),OR($I2632="",$I2632="NR",$O2632&gt;0),IF(ISNUMBER($J2632),AND($J2632&gt;=0,$J2632=INT($J2632)),FALSE())),$J2632,0)</f>
        <v>0</v>
      </c>
      <c r="Q2632" s="64" t="n">
        <f aca="false">IF(AND($P2632&gt;0,$O2632&gt;0),$P2632,0)</f>
        <v>0</v>
      </c>
      <c r="R2632" s="64" t="n">
        <f aca="false">IF(AND($Q2632&gt;0,$O2632&gt;=AtRank),$Q2632,0)</f>
        <v>0</v>
      </c>
      <c r="S2632" s="64" t="n">
        <f aca="false">IF(AND($Q2632&gt;0,$O2632&gt;=AboveRank),$Q2632,0)</f>
        <v>0</v>
      </c>
      <c r="T2632" s="64" t="n">
        <f aca="false">IF($K2632="Less",$P2632,0)</f>
        <v>0</v>
      </c>
      <c r="U2632" s="64" t="n">
        <f aca="false">IF($K2632="Expected",$P2632,0)</f>
        <v>0</v>
      </c>
      <c r="V2632" s="64" t="n">
        <f aca="false">IF($K2632="Better",$P2632,0)</f>
        <v>0</v>
      </c>
      <c r="W2632" s="64" t="n">
        <f aca="false">IF($K2632="U – needs rule",$P2632,0)</f>
        <v>0</v>
      </c>
      <c r="X2632" s="64" t="n">
        <f aca="false">IF($K2632="No Start (attainment only)",$P2632,0)</f>
        <v>0</v>
      </c>
    </row>
    <row r="2633" customFormat="false" ht="15" hidden="false" customHeight="false" outlineLevel="0" collapsed="false">
      <c r="A2633" s="60"/>
      <c r="B2633" s="61" t="str">
        <f aca="false">IF($M2633=0,"",INDEX(Classes!$E$6:$E$420,$M2633))</f>
        <v/>
      </c>
      <c r="C2633" s="62" t="str">
        <f aca="false">IF($M2633=0,"",INDEX(Classes!$H$6:$H$420,$M2633))</f>
        <v/>
      </c>
      <c r="D2633" s="61" t="str">
        <f aca="false">IF($M2633=0,"",INDEX(Classes!$B$6:$B$420,$M2633))</f>
        <v/>
      </c>
      <c r="E2633" s="61" t="str">
        <f aca="false">IF($M2633=0,"",INDEX(Classes!$C$6:$C$420,$M2633))</f>
        <v/>
      </c>
      <c r="F2633" s="63"/>
      <c r="G2633" s="63"/>
      <c r="H2633" s="60"/>
      <c r="I2633" s="60"/>
      <c r="J2633" s="63"/>
      <c r="K2633" s="61" t="str">
        <f aca="false">IF($P2633=0,"",IF($F2633="Baseline","— Baseline",IF($O2633=0,"No result",IF($N2633=0,"No Start (attainment only)",IF(OR($N2633=1,$O2633=1),"U – needs rule",INDEX(MxBody,MATCH($I2633,MxCurr,0),MATCH($H2633,MxStart,0)))))))</f>
        <v/>
      </c>
      <c r="L2633" s="62" t="str">
        <f aca="false">IF(COUNTA($A2633,$F2633,$G2633,$H2633,$I2633,$J2633)=0,"",IF($M2633=0,"✖ كود الصف غير موجود",IF(ISNA(MATCH($F2633,Lists!$A$2:$A$5,0)),"✖ الفترة غير صحيحة",IF(ISNA(MATCH($G2633,Lists!$B$2:$B$7,0)),"✖ المجموعة غير صحيحة",IF(NOT(OR($H2633="",$N2633&gt;0)),"✖ Start غير صحيح",IF(NOT(OR($I2633="",$I2633="NR",$O2633&gt;0)),"✖ Current غير صحيح",IF(NOT(IF(ISNUMBER($J2633),AND($J2633&gt;=0,$J2633=INT($J2633)),FALSE())),"✖ العدد يجب أن يكون صحيحًا ≥ 0",IF(AND($F2633="Baseline",$H2633&lt;&gt;""),"⚠ Baseline: Start لا يدخل في التقدم",IF($K2633="No Start (attainment only)","ℹ تحصيل فقط (بدون Start)",IF($K2633="U – needs rule","ℹ حالة U تحتاج قاعدة معتمدة",IF($K2633="No result","ℹ بدون نتيجة (يُستبعد من التحصيل)","OK")))))))))))</f>
        <v/>
      </c>
      <c r="M2633" s="64" t="n">
        <f aca="false">IF($A2633="",0,IFERROR(MATCH($A2633,Classes!$A$6:$A$420,0),0))</f>
        <v>0</v>
      </c>
      <c r="N2633" s="64" t="n">
        <f aca="false">IF($H2633="",0,IFERROR(MATCH($H2633,GradeList,0),0))</f>
        <v>0</v>
      </c>
      <c r="O2633" s="64" t="n">
        <f aca="false">IF(OR($I2633="",$I2633="NR"),0,IFERROR(MATCH($I2633,GradeList,0),0))</f>
        <v>0</v>
      </c>
      <c r="P2633" s="64" t="n">
        <f aca="false">IF(AND($M2633&gt;0,ISNUMBER(MATCH($F2633,Lists!$A$2:$A$5,0)),ISNUMBER(MATCH($G2633,Lists!$B$2:$B$7,0)),OR($H2633="",$N2633&gt;0),OR($I2633="",$I2633="NR",$O2633&gt;0),IF(ISNUMBER($J2633),AND($J2633&gt;=0,$J2633=INT($J2633)),FALSE())),$J2633,0)</f>
        <v>0</v>
      </c>
      <c r="Q2633" s="64" t="n">
        <f aca="false">IF(AND($P2633&gt;0,$O2633&gt;0),$P2633,0)</f>
        <v>0</v>
      </c>
      <c r="R2633" s="64" t="n">
        <f aca="false">IF(AND($Q2633&gt;0,$O2633&gt;=AtRank),$Q2633,0)</f>
        <v>0</v>
      </c>
      <c r="S2633" s="64" t="n">
        <f aca="false">IF(AND($Q2633&gt;0,$O2633&gt;=AboveRank),$Q2633,0)</f>
        <v>0</v>
      </c>
      <c r="T2633" s="64" t="n">
        <f aca="false">IF($K2633="Less",$P2633,0)</f>
        <v>0</v>
      </c>
      <c r="U2633" s="64" t="n">
        <f aca="false">IF($K2633="Expected",$P2633,0)</f>
        <v>0</v>
      </c>
      <c r="V2633" s="64" t="n">
        <f aca="false">IF($K2633="Better",$P2633,0)</f>
        <v>0</v>
      </c>
      <c r="W2633" s="64" t="n">
        <f aca="false">IF($K2633="U – needs rule",$P2633,0)</f>
        <v>0</v>
      </c>
      <c r="X2633" s="64" t="n">
        <f aca="false">IF($K2633="No Start (attainment only)",$P2633,0)</f>
        <v>0</v>
      </c>
    </row>
    <row r="2634" customFormat="false" ht="15" hidden="false" customHeight="false" outlineLevel="0" collapsed="false">
      <c r="A2634" s="60"/>
      <c r="B2634" s="61" t="str">
        <f aca="false">IF($M2634=0,"",INDEX(Classes!$E$6:$E$420,$M2634))</f>
        <v/>
      </c>
      <c r="C2634" s="62" t="str">
        <f aca="false">IF($M2634=0,"",INDEX(Classes!$H$6:$H$420,$M2634))</f>
        <v/>
      </c>
      <c r="D2634" s="61" t="str">
        <f aca="false">IF($M2634=0,"",INDEX(Classes!$B$6:$B$420,$M2634))</f>
        <v/>
      </c>
      <c r="E2634" s="61" t="str">
        <f aca="false">IF($M2634=0,"",INDEX(Classes!$C$6:$C$420,$M2634))</f>
        <v/>
      </c>
      <c r="F2634" s="63"/>
      <c r="G2634" s="63"/>
      <c r="H2634" s="60"/>
      <c r="I2634" s="60"/>
      <c r="J2634" s="63"/>
      <c r="K2634" s="61" t="str">
        <f aca="false">IF($P2634=0,"",IF($F2634="Baseline","— Baseline",IF($O2634=0,"No result",IF($N2634=0,"No Start (attainment only)",IF(OR($N2634=1,$O2634=1),"U – needs rule",INDEX(MxBody,MATCH($I2634,MxCurr,0),MATCH($H2634,MxStart,0)))))))</f>
        <v/>
      </c>
      <c r="L2634" s="62" t="str">
        <f aca="false">IF(COUNTA($A2634,$F2634,$G2634,$H2634,$I2634,$J2634)=0,"",IF($M2634=0,"✖ كود الصف غير موجود",IF(ISNA(MATCH($F2634,Lists!$A$2:$A$5,0)),"✖ الفترة غير صحيحة",IF(ISNA(MATCH($G2634,Lists!$B$2:$B$7,0)),"✖ المجموعة غير صحيحة",IF(NOT(OR($H2634="",$N2634&gt;0)),"✖ Start غير صحيح",IF(NOT(OR($I2634="",$I2634="NR",$O2634&gt;0)),"✖ Current غير صحيح",IF(NOT(IF(ISNUMBER($J2634),AND($J2634&gt;=0,$J2634=INT($J2634)),FALSE())),"✖ العدد يجب أن يكون صحيحًا ≥ 0",IF(AND($F2634="Baseline",$H2634&lt;&gt;""),"⚠ Baseline: Start لا يدخل في التقدم",IF($K2634="No Start (attainment only)","ℹ تحصيل فقط (بدون Start)",IF($K2634="U – needs rule","ℹ حالة U تحتاج قاعدة معتمدة",IF($K2634="No result","ℹ بدون نتيجة (يُستبعد من التحصيل)","OK")))))))))))</f>
        <v/>
      </c>
      <c r="M2634" s="64" t="n">
        <f aca="false">IF($A2634="",0,IFERROR(MATCH($A2634,Classes!$A$6:$A$420,0),0))</f>
        <v>0</v>
      </c>
      <c r="N2634" s="64" t="n">
        <f aca="false">IF($H2634="",0,IFERROR(MATCH($H2634,GradeList,0),0))</f>
        <v>0</v>
      </c>
      <c r="O2634" s="64" t="n">
        <f aca="false">IF(OR($I2634="",$I2634="NR"),0,IFERROR(MATCH($I2634,GradeList,0),0))</f>
        <v>0</v>
      </c>
      <c r="P2634" s="64" t="n">
        <f aca="false">IF(AND($M2634&gt;0,ISNUMBER(MATCH($F2634,Lists!$A$2:$A$5,0)),ISNUMBER(MATCH($G2634,Lists!$B$2:$B$7,0)),OR($H2634="",$N2634&gt;0),OR($I2634="",$I2634="NR",$O2634&gt;0),IF(ISNUMBER($J2634),AND($J2634&gt;=0,$J2634=INT($J2634)),FALSE())),$J2634,0)</f>
        <v>0</v>
      </c>
      <c r="Q2634" s="64" t="n">
        <f aca="false">IF(AND($P2634&gt;0,$O2634&gt;0),$P2634,0)</f>
        <v>0</v>
      </c>
      <c r="R2634" s="64" t="n">
        <f aca="false">IF(AND($Q2634&gt;0,$O2634&gt;=AtRank),$Q2634,0)</f>
        <v>0</v>
      </c>
      <c r="S2634" s="64" t="n">
        <f aca="false">IF(AND($Q2634&gt;0,$O2634&gt;=AboveRank),$Q2634,0)</f>
        <v>0</v>
      </c>
      <c r="T2634" s="64" t="n">
        <f aca="false">IF($K2634="Less",$P2634,0)</f>
        <v>0</v>
      </c>
      <c r="U2634" s="64" t="n">
        <f aca="false">IF($K2634="Expected",$P2634,0)</f>
        <v>0</v>
      </c>
      <c r="V2634" s="64" t="n">
        <f aca="false">IF($K2634="Better",$P2634,0)</f>
        <v>0</v>
      </c>
      <c r="W2634" s="64" t="n">
        <f aca="false">IF($K2634="U – needs rule",$P2634,0)</f>
        <v>0</v>
      </c>
      <c r="X2634" s="64" t="n">
        <f aca="false">IF($K2634="No Start (attainment only)",$P2634,0)</f>
        <v>0</v>
      </c>
    </row>
    <row r="2635" customFormat="false" ht="15" hidden="false" customHeight="false" outlineLevel="0" collapsed="false">
      <c r="A2635" s="60"/>
      <c r="B2635" s="61" t="str">
        <f aca="false">IF($M2635=0,"",INDEX(Classes!$E$6:$E$420,$M2635))</f>
        <v/>
      </c>
      <c r="C2635" s="62" t="str">
        <f aca="false">IF($M2635=0,"",INDEX(Classes!$H$6:$H$420,$M2635))</f>
        <v/>
      </c>
      <c r="D2635" s="61" t="str">
        <f aca="false">IF($M2635=0,"",INDEX(Classes!$B$6:$B$420,$M2635))</f>
        <v/>
      </c>
      <c r="E2635" s="61" t="str">
        <f aca="false">IF($M2635=0,"",INDEX(Classes!$C$6:$C$420,$M2635))</f>
        <v/>
      </c>
      <c r="F2635" s="63"/>
      <c r="G2635" s="63"/>
      <c r="H2635" s="60"/>
      <c r="I2635" s="60"/>
      <c r="J2635" s="63"/>
      <c r="K2635" s="61" t="str">
        <f aca="false">IF($P2635=0,"",IF($F2635="Baseline","— Baseline",IF($O2635=0,"No result",IF($N2635=0,"No Start (attainment only)",IF(OR($N2635=1,$O2635=1),"U – needs rule",INDEX(MxBody,MATCH($I2635,MxCurr,0),MATCH($H2635,MxStart,0)))))))</f>
        <v/>
      </c>
      <c r="L2635" s="62" t="str">
        <f aca="false">IF(COUNTA($A2635,$F2635,$G2635,$H2635,$I2635,$J2635)=0,"",IF($M2635=0,"✖ كود الصف غير موجود",IF(ISNA(MATCH($F2635,Lists!$A$2:$A$5,0)),"✖ الفترة غير صحيحة",IF(ISNA(MATCH($G2635,Lists!$B$2:$B$7,0)),"✖ المجموعة غير صحيحة",IF(NOT(OR($H2635="",$N2635&gt;0)),"✖ Start غير صحيح",IF(NOT(OR($I2635="",$I2635="NR",$O2635&gt;0)),"✖ Current غير صحيح",IF(NOT(IF(ISNUMBER($J2635),AND($J2635&gt;=0,$J2635=INT($J2635)),FALSE())),"✖ العدد يجب أن يكون صحيحًا ≥ 0",IF(AND($F2635="Baseline",$H2635&lt;&gt;""),"⚠ Baseline: Start لا يدخل في التقدم",IF($K2635="No Start (attainment only)","ℹ تحصيل فقط (بدون Start)",IF($K2635="U – needs rule","ℹ حالة U تحتاج قاعدة معتمدة",IF($K2635="No result","ℹ بدون نتيجة (يُستبعد من التحصيل)","OK")))))))))))</f>
        <v/>
      </c>
      <c r="M2635" s="64" t="n">
        <f aca="false">IF($A2635="",0,IFERROR(MATCH($A2635,Classes!$A$6:$A$420,0),0))</f>
        <v>0</v>
      </c>
      <c r="N2635" s="64" t="n">
        <f aca="false">IF($H2635="",0,IFERROR(MATCH($H2635,GradeList,0),0))</f>
        <v>0</v>
      </c>
      <c r="O2635" s="64" t="n">
        <f aca="false">IF(OR($I2635="",$I2635="NR"),0,IFERROR(MATCH($I2635,GradeList,0),0))</f>
        <v>0</v>
      </c>
      <c r="P2635" s="64" t="n">
        <f aca="false">IF(AND($M2635&gt;0,ISNUMBER(MATCH($F2635,Lists!$A$2:$A$5,0)),ISNUMBER(MATCH($G2635,Lists!$B$2:$B$7,0)),OR($H2635="",$N2635&gt;0),OR($I2635="",$I2635="NR",$O2635&gt;0),IF(ISNUMBER($J2635),AND($J2635&gt;=0,$J2635=INT($J2635)),FALSE())),$J2635,0)</f>
        <v>0</v>
      </c>
      <c r="Q2635" s="64" t="n">
        <f aca="false">IF(AND($P2635&gt;0,$O2635&gt;0),$P2635,0)</f>
        <v>0</v>
      </c>
      <c r="R2635" s="64" t="n">
        <f aca="false">IF(AND($Q2635&gt;0,$O2635&gt;=AtRank),$Q2635,0)</f>
        <v>0</v>
      </c>
      <c r="S2635" s="64" t="n">
        <f aca="false">IF(AND($Q2635&gt;0,$O2635&gt;=AboveRank),$Q2635,0)</f>
        <v>0</v>
      </c>
      <c r="T2635" s="64" t="n">
        <f aca="false">IF($K2635="Less",$P2635,0)</f>
        <v>0</v>
      </c>
      <c r="U2635" s="64" t="n">
        <f aca="false">IF($K2635="Expected",$P2635,0)</f>
        <v>0</v>
      </c>
      <c r="V2635" s="64" t="n">
        <f aca="false">IF($K2635="Better",$P2635,0)</f>
        <v>0</v>
      </c>
      <c r="W2635" s="64" t="n">
        <f aca="false">IF($K2635="U – needs rule",$P2635,0)</f>
        <v>0</v>
      </c>
      <c r="X2635" s="64" t="n">
        <f aca="false">IF($K2635="No Start (attainment only)",$P2635,0)</f>
        <v>0</v>
      </c>
    </row>
    <row r="2636" customFormat="false" ht="15" hidden="false" customHeight="false" outlineLevel="0" collapsed="false">
      <c r="A2636" s="60"/>
      <c r="B2636" s="61" t="str">
        <f aca="false">IF($M2636=0,"",INDEX(Classes!$E$6:$E$420,$M2636))</f>
        <v/>
      </c>
      <c r="C2636" s="62" t="str">
        <f aca="false">IF($M2636=0,"",INDEX(Classes!$H$6:$H$420,$M2636))</f>
        <v/>
      </c>
      <c r="D2636" s="61" t="str">
        <f aca="false">IF($M2636=0,"",INDEX(Classes!$B$6:$B$420,$M2636))</f>
        <v/>
      </c>
      <c r="E2636" s="61" t="str">
        <f aca="false">IF($M2636=0,"",INDEX(Classes!$C$6:$C$420,$M2636))</f>
        <v/>
      </c>
      <c r="F2636" s="63"/>
      <c r="G2636" s="63"/>
      <c r="H2636" s="60"/>
      <c r="I2636" s="60"/>
      <c r="J2636" s="63"/>
      <c r="K2636" s="61" t="str">
        <f aca="false">IF($P2636=0,"",IF($F2636="Baseline","— Baseline",IF($O2636=0,"No result",IF($N2636=0,"No Start (attainment only)",IF(OR($N2636=1,$O2636=1),"U – needs rule",INDEX(MxBody,MATCH($I2636,MxCurr,0),MATCH($H2636,MxStart,0)))))))</f>
        <v/>
      </c>
      <c r="L2636" s="62" t="str">
        <f aca="false">IF(COUNTA($A2636,$F2636,$G2636,$H2636,$I2636,$J2636)=0,"",IF($M2636=0,"✖ كود الصف غير موجود",IF(ISNA(MATCH($F2636,Lists!$A$2:$A$5,0)),"✖ الفترة غير صحيحة",IF(ISNA(MATCH($G2636,Lists!$B$2:$B$7,0)),"✖ المجموعة غير صحيحة",IF(NOT(OR($H2636="",$N2636&gt;0)),"✖ Start غير صحيح",IF(NOT(OR($I2636="",$I2636="NR",$O2636&gt;0)),"✖ Current غير صحيح",IF(NOT(IF(ISNUMBER($J2636),AND($J2636&gt;=0,$J2636=INT($J2636)),FALSE())),"✖ العدد يجب أن يكون صحيحًا ≥ 0",IF(AND($F2636="Baseline",$H2636&lt;&gt;""),"⚠ Baseline: Start لا يدخل في التقدم",IF($K2636="No Start (attainment only)","ℹ تحصيل فقط (بدون Start)",IF($K2636="U – needs rule","ℹ حالة U تحتاج قاعدة معتمدة",IF($K2636="No result","ℹ بدون نتيجة (يُستبعد من التحصيل)","OK")))))))))))</f>
        <v/>
      </c>
      <c r="M2636" s="64" t="n">
        <f aca="false">IF($A2636="",0,IFERROR(MATCH($A2636,Classes!$A$6:$A$420,0),0))</f>
        <v>0</v>
      </c>
      <c r="N2636" s="64" t="n">
        <f aca="false">IF($H2636="",0,IFERROR(MATCH($H2636,GradeList,0),0))</f>
        <v>0</v>
      </c>
      <c r="O2636" s="64" t="n">
        <f aca="false">IF(OR($I2636="",$I2636="NR"),0,IFERROR(MATCH($I2636,GradeList,0),0))</f>
        <v>0</v>
      </c>
      <c r="P2636" s="64" t="n">
        <f aca="false">IF(AND($M2636&gt;0,ISNUMBER(MATCH($F2636,Lists!$A$2:$A$5,0)),ISNUMBER(MATCH($G2636,Lists!$B$2:$B$7,0)),OR($H2636="",$N2636&gt;0),OR($I2636="",$I2636="NR",$O2636&gt;0),IF(ISNUMBER($J2636),AND($J2636&gt;=0,$J2636=INT($J2636)),FALSE())),$J2636,0)</f>
        <v>0</v>
      </c>
      <c r="Q2636" s="64" t="n">
        <f aca="false">IF(AND($P2636&gt;0,$O2636&gt;0),$P2636,0)</f>
        <v>0</v>
      </c>
      <c r="R2636" s="64" t="n">
        <f aca="false">IF(AND($Q2636&gt;0,$O2636&gt;=AtRank),$Q2636,0)</f>
        <v>0</v>
      </c>
      <c r="S2636" s="64" t="n">
        <f aca="false">IF(AND($Q2636&gt;0,$O2636&gt;=AboveRank),$Q2636,0)</f>
        <v>0</v>
      </c>
      <c r="T2636" s="64" t="n">
        <f aca="false">IF($K2636="Less",$P2636,0)</f>
        <v>0</v>
      </c>
      <c r="U2636" s="64" t="n">
        <f aca="false">IF($K2636="Expected",$P2636,0)</f>
        <v>0</v>
      </c>
      <c r="V2636" s="64" t="n">
        <f aca="false">IF($K2636="Better",$P2636,0)</f>
        <v>0</v>
      </c>
      <c r="W2636" s="64" t="n">
        <f aca="false">IF($K2636="U – needs rule",$P2636,0)</f>
        <v>0</v>
      </c>
      <c r="X2636" s="64" t="n">
        <f aca="false">IF($K2636="No Start (attainment only)",$P2636,0)</f>
        <v>0</v>
      </c>
    </row>
    <row r="2637" customFormat="false" ht="15" hidden="false" customHeight="false" outlineLevel="0" collapsed="false">
      <c r="A2637" s="60"/>
      <c r="B2637" s="61" t="str">
        <f aca="false">IF($M2637=0,"",INDEX(Classes!$E$6:$E$420,$M2637))</f>
        <v/>
      </c>
      <c r="C2637" s="62" t="str">
        <f aca="false">IF($M2637=0,"",INDEX(Classes!$H$6:$H$420,$M2637))</f>
        <v/>
      </c>
      <c r="D2637" s="61" t="str">
        <f aca="false">IF($M2637=0,"",INDEX(Classes!$B$6:$B$420,$M2637))</f>
        <v/>
      </c>
      <c r="E2637" s="61" t="str">
        <f aca="false">IF($M2637=0,"",INDEX(Classes!$C$6:$C$420,$M2637))</f>
        <v/>
      </c>
      <c r="F2637" s="63"/>
      <c r="G2637" s="63"/>
      <c r="H2637" s="60"/>
      <c r="I2637" s="60"/>
      <c r="J2637" s="63"/>
      <c r="K2637" s="61" t="str">
        <f aca="false">IF($P2637=0,"",IF($F2637="Baseline","— Baseline",IF($O2637=0,"No result",IF($N2637=0,"No Start (attainment only)",IF(OR($N2637=1,$O2637=1),"U – needs rule",INDEX(MxBody,MATCH($I2637,MxCurr,0),MATCH($H2637,MxStart,0)))))))</f>
        <v/>
      </c>
      <c r="L2637" s="62" t="str">
        <f aca="false">IF(COUNTA($A2637,$F2637,$G2637,$H2637,$I2637,$J2637)=0,"",IF($M2637=0,"✖ كود الصف غير موجود",IF(ISNA(MATCH($F2637,Lists!$A$2:$A$5,0)),"✖ الفترة غير صحيحة",IF(ISNA(MATCH($G2637,Lists!$B$2:$B$7,0)),"✖ المجموعة غير صحيحة",IF(NOT(OR($H2637="",$N2637&gt;0)),"✖ Start غير صحيح",IF(NOT(OR($I2637="",$I2637="NR",$O2637&gt;0)),"✖ Current غير صحيح",IF(NOT(IF(ISNUMBER($J2637),AND($J2637&gt;=0,$J2637=INT($J2637)),FALSE())),"✖ العدد يجب أن يكون صحيحًا ≥ 0",IF(AND($F2637="Baseline",$H2637&lt;&gt;""),"⚠ Baseline: Start لا يدخل في التقدم",IF($K2637="No Start (attainment only)","ℹ تحصيل فقط (بدون Start)",IF($K2637="U – needs rule","ℹ حالة U تحتاج قاعدة معتمدة",IF($K2637="No result","ℹ بدون نتيجة (يُستبعد من التحصيل)","OK")))))))))))</f>
        <v/>
      </c>
      <c r="M2637" s="64" t="n">
        <f aca="false">IF($A2637="",0,IFERROR(MATCH($A2637,Classes!$A$6:$A$420,0),0))</f>
        <v>0</v>
      </c>
      <c r="N2637" s="64" t="n">
        <f aca="false">IF($H2637="",0,IFERROR(MATCH($H2637,GradeList,0),0))</f>
        <v>0</v>
      </c>
      <c r="O2637" s="64" t="n">
        <f aca="false">IF(OR($I2637="",$I2637="NR"),0,IFERROR(MATCH($I2637,GradeList,0),0))</f>
        <v>0</v>
      </c>
      <c r="P2637" s="64" t="n">
        <f aca="false">IF(AND($M2637&gt;0,ISNUMBER(MATCH($F2637,Lists!$A$2:$A$5,0)),ISNUMBER(MATCH($G2637,Lists!$B$2:$B$7,0)),OR($H2637="",$N2637&gt;0),OR($I2637="",$I2637="NR",$O2637&gt;0),IF(ISNUMBER($J2637),AND($J2637&gt;=0,$J2637=INT($J2637)),FALSE())),$J2637,0)</f>
        <v>0</v>
      </c>
      <c r="Q2637" s="64" t="n">
        <f aca="false">IF(AND($P2637&gt;0,$O2637&gt;0),$P2637,0)</f>
        <v>0</v>
      </c>
      <c r="R2637" s="64" t="n">
        <f aca="false">IF(AND($Q2637&gt;0,$O2637&gt;=AtRank),$Q2637,0)</f>
        <v>0</v>
      </c>
      <c r="S2637" s="64" t="n">
        <f aca="false">IF(AND($Q2637&gt;0,$O2637&gt;=AboveRank),$Q2637,0)</f>
        <v>0</v>
      </c>
      <c r="T2637" s="64" t="n">
        <f aca="false">IF($K2637="Less",$P2637,0)</f>
        <v>0</v>
      </c>
      <c r="U2637" s="64" t="n">
        <f aca="false">IF($K2637="Expected",$P2637,0)</f>
        <v>0</v>
      </c>
      <c r="V2637" s="64" t="n">
        <f aca="false">IF($K2637="Better",$P2637,0)</f>
        <v>0</v>
      </c>
      <c r="W2637" s="64" t="n">
        <f aca="false">IF($K2637="U – needs rule",$P2637,0)</f>
        <v>0</v>
      </c>
      <c r="X2637" s="64" t="n">
        <f aca="false">IF($K2637="No Start (attainment only)",$P2637,0)</f>
        <v>0</v>
      </c>
    </row>
    <row r="2638" customFormat="false" ht="15" hidden="false" customHeight="false" outlineLevel="0" collapsed="false">
      <c r="A2638" s="60"/>
      <c r="B2638" s="61" t="str">
        <f aca="false">IF($M2638=0,"",INDEX(Classes!$E$6:$E$420,$M2638))</f>
        <v/>
      </c>
      <c r="C2638" s="62" t="str">
        <f aca="false">IF($M2638=0,"",INDEX(Classes!$H$6:$H$420,$M2638))</f>
        <v/>
      </c>
      <c r="D2638" s="61" t="str">
        <f aca="false">IF($M2638=0,"",INDEX(Classes!$B$6:$B$420,$M2638))</f>
        <v/>
      </c>
      <c r="E2638" s="61" t="str">
        <f aca="false">IF($M2638=0,"",INDEX(Classes!$C$6:$C$420,$M2638))</f>
        <v/>
      </c>
      <c r="F2638" s="63"/>
      <c r="G2638" s="63"/>
      <c r="H2638" s="60"/>
      <c r="I2638" s="60"/>
      <c r="J2638" s="63"/>
      <c r="K2638" s="61" t="str">
        <f aca="false">IF($P2638=0,"",IF($F2638="Baseline","— Baseline",IF($O2638=0,"No result",IF($N2638=0,"No Start (attainment only)",IF(OR($N2638=1,$O2638=1),"U – needs rule",INDEX(MxBody,MATCH($I2638,MxCurr,0),MATCH($H2638,MxStart,0)))))))</f>
        <v/>
      </c>
      <c r="L2638" s="62" t="str">
        <f aca="false">IF(COUNTA($A2638,$F2638,$G2638,$H2638,$I2638,$J2638)=0,"",IF($M2638=0,"✖ كود الصف غير موجود",IF(ISNA(MATCH($F2638,Lists!$A$2:$A$5,0)),"✖ الفترة غير صحيحة",IF(ISNA(MATCH($G2638,Lists!$B$2:$B$7,0)),"✖ المجموعة غير صحيحة",IF(NOT(OR($H2638="",$N2638&gt;0)),"✖ Start غير صحيح",IF(NOT(OR($I2638="",$I2638="NR",$O2638&gt;0)),"✖ Current غير صحيح",IF(NOT(IF(ISNUMBER($J2638),AND($J2638&gt;=0,$J2638=INT($J2638)),FALSE())),"✖ العدد يجب أن يكون صحيحًا ≥ 0",IF(AND($F2638="Baseline",$H2638&lt;&gt;""),"⚠ Baseline: Start لا يدخل في التقدم",IF($K2638="No Start (attainment only)","ℹ تحصيل فقط (بدون Start)",IF($K2638="U – needs rule","ℹ حالة U تحتاج قاعدة معتمدة",IF($K2638="No result","ℹ بدون نتيجة (يُستبعد من التحصيل)","OK")))))))))))</f>
        <v/>
      </c>
      <c r="M2638" s="64" t="n">
        <f aca="false">IF($A2638="",0,IFERROR(MATCH($A2638,Classes!$A$6:$A$420,0),0))</f>
        <v>0</v>
      </c>
      <c r="N2638" s="64" t="n">
        <f aca="false">IF($H2638="",0,IFERROR(MATCH($H2638,GradeList,0),0))</f>
        <v>0</v>
      </c>
      <c r="O2638" s="64" t="n">
        <f aca="false">IF(OR($I2638="",$I2638="NR"),0,IFERROR(MATCH($I2638,GradeList,0),0))</f>
        <v>0</v>
      </c>
      <c r="P2638" s="64" t="n">
        <f aca="false">IF(AND($M2638&gt;0,ISNUMBER(MATCH($F2638,Lists!$A$2:$A$5,0)),ISNUMBER(MATCH($G2638,Lists!$B$2:$B$7,0)),OR($H2638="",$N2638&gt;0),OR($I2638="",$I2638="NR",$O2638&gt;0),IF(ISNUMBER($J2638),AND($J2638&gt;=0,$J2638=INT($J2638)),FALSE())),$J2638,0)</f>
        <v>0</v>
      </c>
      <c r="Q2638" s="64" t="n">
        <f aca="false">IF(AND($P2638&gt;0,$O2638&gt;0),$P2638,0)</f>
        <v>0</v>
      </c>
      <c r="R2638" s="64" t="n">
        <f aca="false">IF(AND($Q2638&gt;0,$O2638&gt;=AtRank),$Q2638,0)</f>
        <v>0</v>
      </c>
      <c r="S2638" s="64" t="n">
        <f aca="false">IF(AND($Q2638&gt;0,$O2638&gt;=AboveRank),$Q2638,0)</f>
        <v>0</v>
      </c>
      <c r="T2638" s="64" t="n">
        <f aca="false">IF($K2638="Less",$P2638,0)</f>
        <v>0</v>
      </c>
      <c r="U2638" s="64" t="n">
        <f aca="false">IF($K2638="Expected",$P2638,0)</f>
        <v>0</v>
      </c>
      <c r="V2638" s="64" t="n">
        <f aca="false">IF($K2638="Better",$P2638,0)</f>
        <v>0</v>
      </c>
      <c r="W2638" s="64" t="n">
        <f aca="false">IF($K2638="U – needs rule",$P2638,0)</f>
        <v>0</v>
      </c>
      <c r="X2638" s="64" t="n">
        <f aca="false">IF($K2638="No Start (attainment only)",$P2638,0)</f>
        <v>0</v>
      </c>
    </row>
    <row r="2639" customFormat="false" ht="15" hidden="false" customHeight="false" outlineLevel="0" collapsed="false">
      <c r="A2639" s="60"/>
      <c r="B2639" s="61" t="str">
        <f aca="false">IF($M2639=0,"",INDEX(Classes!$E$6:$E$420,$M2639))</f>
        <v/>
      </c>
      <c r="C2639" s="62" t="str">
        <f aca="false">IF($M2639=0,"",INDEX(Classes!$H$6:$H$420,$M2639))</f>
        <v/>
      </c>
      <c r="D2639" s="61" t="str">
        <f aca="false">IF($M2639=0,"",INDEX(Classes!$B$6:$B$420,$M2639))</f>
        <v/>
      </c>
      <c r="E2639" s="61" t="str">
        <f aca="false">IF($M2639=0,"",INDEX(Classes!$C$6:$C$420,$M2639))</f>
        <v/>
      </c>
      <c r="F2639" s="63"/>
      <c r="G2639" s="63"/>
      <c r="H2639" s="60"/>
      <c r="I2639" s="60"/>
      <c r="J2639" s="63"/>
      <c r="K2639" s="61" t="str">
        <f aca="false">IF($P2639=0,"",IF($F2639="Baseline","— Baseline",IF($O2639=0,"No result",IF($N2639=0,"No Start (attainment only)",IF(OR($N2639=1,$O2639=1),"U – needs rule",INDEX(MxBody,MATCH($I2639,MxCurr,0),MATCH($H2639,MxStart,0)))))))</f>
        <v/>
      </c>
      <c r="L2639" s="62" t="str">
        <f aca="false">IF(COUNTA($A2639,$F2639,$G2639,$H2639,$I2639,$J2639)=0,"",IF($M2639=0,"✖ كود الصف غير موجود",IF(ISNA(MATCH($F2639,Lists!$A$2:$A$5,0)),"✖ الفترة غير صحيحة",IF(ISNA(MATCH($G2639,Lists!$B$2:$B$7,0)),"✖ المجموعة غير صحيحة",IF(NOT(OR($H2639="",$N2639&gt;0)),"✖ Start غير صحيح",IF(NOT(OR($I2639="",$I2639="NR",$O2639&gt;0)),"✖ Current غير صحيح",IF(NOT(IF(ISNUMBER($J2639),AND($J2639&gt;=0,$J2639=INT($J2639)),FALSE())),"✖ العدد يجب أن يكون صحيحًا ≥ 0",IF(AND($F2639="Baseline",$H2639&lt;&gt;""),"⚠ Baseline: Start لا يدخل في التقدم",IF($K2639="No Start (attainment only)","ℹ تحصيل فقط (بدون Start)",IF($K2639="U – needs rule","ℹ حالة U تحتاج قاعدة معتمدة",IF($K2639="No result","ℹ بدون نتيجة (يُستبعد من التحصيل)","OK")))))))))))</f>
        <v/>
      </c>
      <c r="M2639" s="64" t="n">
        <f aca="false">IF($A2639="",0,IFERROR(MATCH($A2639,Classes!$A$6:$A$420,0),0))</f>
        <v>0</v>
      </c>
      <c r="N2639" s="64" t="n">
        <f aca="false">IF($H2639="",0,IFERROR(MATCH($H2639,GradeList,0),0))</f>
        <v>0</v>
      </c>
      <c r="O2639" s="64" t="n">
        <f aca="false">IF(OR($I2639="",$I2639="NR"),0,IFERROR(MATCH($I2639,GradeList,0),0))</f>
        <v>0</v>
      </c>
      <c r="P2639" s="64" t="n">
        <f aca="false">IF(AND($M2639&gt;0,ISNUMBER(MATCH($F2639,Lists!$A$2:$A$5,0)),ISNUMBER(MATCH($G2639,Lists!$B$2:$B$7,0)),OR($H2639="",$N2639&gt;0),OR($I2639="",$I2639="NR",$O2639&gt;0),IF(ISNUMBER($J2639),AND($J2639&gt;=0,$J2639=INT($J2639)),FALSE())),$J2639,0)</f>
        <v>0</v>
      </c>
      <c r="Q2639" s="64" t="n">
        <f aca="false">IF(AND($P2639&gt;0,$O2639&gt;0),$P2639,0)</f>
        <v>0</v>
      </c>
      <c r="R2639" s="64" t="n">
        <f aca="false">IF(AND($Q2639&gt;0,$O2639&gt;=AtRank),$Q2639,0)</f>
        <v>0</v>
      </c>
      <c r="S2639" s="64" t="n">
        <f aca="false">IF(AND($Q2639&gt;0,$O2639&gt;=AboveRank),$Q2639,0)</f>
        <v>0</v>
      </c>
      <c r="T2639" s="64" t="n">
        <f aca="false">IF($K2639="Less",$P2639,0)</f>
        <v>0</v>
      </c>
      <c r="U2639" s="64" t="n">
        <f aca="false">IF($K2639="Expected",$P2639,0)</f>
        <v>0</v>
      </c>
      <c r="V2639" s="64" t="n">
        <f aca="false">IF($K2639="Better",$P2639,0)</f>
        <v>0</v>
      </c>
      <c r="W2639" s="64" t="n">
        <f aca="false">IF($K2639="U – needs rule",$P2639,0)</f>
        <v>0</v>
      </c>
      <c r="X2639" s="64" t="n">
        <f aca="false">IF($K2639="No Start (attainment only)",$P2639,0)</f>
        <v>0</v>
      </c>
    </row>
    <row r="2640" customFormat="false" ht="15" hidden="false" customHeight="false" outlineLevel="0" collapsed="false">
      <c r="A2640" s="60"/>
      <c r="B2640" s="61" t="str">
        <f aca="false">IF($M2640=0,"",INDEX(Classes!$E$6:$E$420,$M2640))</f>
        <v/>
      </c>
      <c r="C2640" s="62" t="str">
        <f aca="false">IF($M2640=0,"",INDEX(Classes!$H$6:$H$420,$M2640))</f>
        <v/>
      </c>
      <c r="D2640" s="61" t="str">
        <f aca="false">IF($M2640=0,"",INDEX(Classes!$B$6:$B$420,$M2640))</f>
        <v/>
      </c>
      <c r="E2640" s="61" t="str">
        <f aca="false">IF($M2640=0,"",INDEX(Classes!$C$6:$C$420,$M2640))</f>
        <v/>
      </c>
      <c r="F2640" s="63"/>
      <c r="G2640" s="63"/>
      <c r="H2640" s="60"/>
      <c r="I2640" s="60"/>
      <c r="J2640" s="63"/>
      <c r="K2640" s="61" t="str">
        <f aca="false">IF($P2640=0,"",IF($F2640="Baseline","— Baseline",IF($O2640=0,"No result",IF($N2640=0,"No Start (attainment only)",IF(OR($N2640=1,$O2640=1),"U – needs rule",INDEX(MxBody,MATCH($I2640,MxCurr,0),MATCH($H2640,MxStart,0)))))))</f>
        <v/>
      </c>
      <c r="L2640" s="62" t="str">
        <f aca="false">IF(COUNTA($A2640,$F2640,$G2640,$H2640,$I2640,$J2640)=0,"",IF($M2640=0,"✖ كود الصف غير موجود",IF(ISNA(MATCH($F2640,Lists!$A$2:$A$5,0)),"✖ الفترة غير صحيحة",IF(ISNA(MATCH($G2640,Lists!$B$2:$B$7,0)),"✖ المجموعة غير صحيحة",IF(NOT(OR($H2640="",$N2640&gt;0)),"✖ Start غير صحيح",IF(NOT(OR($I2640="",$I2640="NR",$O2640&gt;0)),"✖ Current غير صحيح",IF(NOT(IF(ISNUMBER($J2640),AND($J2640&gt;=0,$J2640=INT($J2640)),FALSE())),"✖ العدد يجب أن يكون صحيحًا ≥ 0",IF(AND($F2640="Baseline",$H2640&lt;&gt;""),"⚠ Baseline: Start لا يدخل في التقدم",IF($K2640="No Start (attainment only)","ℹ تحصيل فقط (بدون Start)",IF($K2640="U – needs rule","ℹ حالة U تحتاج قاعدة معتمدة",IF($K2640="No result","ℹ بدون نتيجة (يُستبعد من التحصيل)","OK")))))))))))</f>
        <v/>
      </c>
      <c r="M2640" s="64" t="n">
        <f aca="false">IF($A2640="",0,IFERROR(MATCH($A2640,Classes!$A$6:$A$420,0),0))</f>
        <v>0</v>
      </c>
      <c r="N2640" s="64" t="n">
        <f aca="false">IF($H2640="",0,IFERROR(MATCH($H2640,GradeList,0),0))</f>
        <v>0</v>
      </c>
      <c r="O2640" s="64" t="n">
        <f aca="false">IF(OR($I2640="",$I2640="NR"),0,IFERROR(MATCH($I2640,GradeList,0),0))</f>
        <v>0</v>
      </c>
      <c r="P2640" s="64" t="n">
        <f aca="false">IF(AND($M2640&gt;0,ISNUMBER(MATCH($F2640,Lists!$A$2:$A$5,0)),ISNUMBER(MATCH($G2640,Lists!$B$2:$B$7,0)),OR($H2640="",$N2640&gt;0),OR($I2640="",$I2640="NR",$O2640&gt;0),IF(ISNUMBER($J2640),AND($J2640&gt;=0,$J2640=INT($J2640)),FALSE())),$J2640,0)</f>
        <v>0</v>
      </c>
      <c r="Q2640" s="64" t="n">
        <f aca="false">IF(AND($P2640&gt;0,$O2640&gt;0),$P2640,0)</f>
        <v>0</v>
      </c>
      <c r="R2640" s="64" t="n">
        <f aca="false">IF(AND($Q2640&gt;0,$O2640&gt;=AtRank),$Q2640,0)</f>
        <v>0</v>
      </c>
      <c r="S2640" s="64" t="n">
        <f aca="false">IF(AND($Q2640&gt;0,$O2640&gt;=AboveRank),$Q2640,0)</f>
        <v>0</v>
      </c>
      <c r="T2640" s="64" t="n">
        <f aca="false">IF($K2640="Less",$P2640,0)</f>
        <v>0</v>
      </c>
      <c r="U2640" s="64" t="n">
        <f aca="false">IF($K2640="Expected",$P2640,0)</f>
        <v>0</v>
      </c>
      <c r="V2640" s="64" t="n">
        <f aca="false">IF($K2640="Better",$P2640,0)</f>
        <v>0</v>
      </c>
      <c r="W2640" s="64" t="n">
        <f aca="false">IF($K2640="U – needs rule",$P2640,0)</f>
        <v>0</v>
      </c>
      <c r="X2640" s="64" t="n">
        <f aca="false">IF($K2640="No Start (attainment only)",$P2640,0)</f>
        <v>0</v>
      </c>
    </row>
    <row r="2641" customFormat="false" ht="15" hidden="false" customHeight="false" outlineLevel="0" collapsed="false">
      <c r="A2641" s="60"/>
      <c r="B2641" s="61" t="str">
        <f aca="false">IF($M2641=0,"",INDEX(Classes!$E$6:$E$420,$M2641))</f>
        <v/>
      </c>
      <c r="C2641" s="62" t="str">
        <f aca="false">IF($M2641=0,"",INDEX(Classes!$H$6:$H$420,$M2641))</f>
        <v/>
      </c>
      <c r="D2641" s="61" t="str">
        <f aca="false">IF($M2641=0,"",INDEX(Classes!$B$6:$B$420,$M2641))</f>
        <v/>
      </c>
      <c r="E2641" s="61" t="str">
        <f aca="false">IF($M2641=0,"",INDEX(Classes!$C$6:$C$420,$M2641))</f>
        <v/>
      </c>
      <c r="F2641" s="63"/>
      <c r="G2641" s="63"/>
      <c r="H2641" s="60"/>
      <c r="I2641" s="60"/>
      <c r="J2641" s="63"/>
      <c r="K2641" s="61" t="str">
        <f aca="false">IF($P2641=0,"",IF($F2641="Baseline","— Baseline",IF($O2641=0,"No result",IF($N2641=0,"No Start (attainment only)",IF(OR($N2641=1,$O2641=1),"U – needs rule",INDEX(MxBody,MATCH($I2641,MxCurr,0),MATCH($H2641,MxStart,0)))))))</f>
        <v/>
      </c>
      <c r="L2641" s="62" t="str">
        <f aca="false">IF(COUNTA($A2641,$F2641,$G2641,$H2641,$I2641,$J2641)=0,"",IF($M2641=0,"✖ كود الصف غير موجود",IF(ISNA(MATCH($F2641,Lists!$A$2:$A$5,0)),"✖ الفترة غير صحيحة",IF(ISNA(MATCH($G2641,Lists!$B$2:$B$7,0)),"✖ المجموعة غير صحيحة",IF(NOT(OR($H2641="",$N2641&gt;0)),"✖ Start غير صحيح",IF(NOT(OR($I2641="",$I2641="NR",$O2641&gt;0)),"✖ Current غير صحيح",IF(NOT(IF(ISNUMBER($J2641),AND($J2641&gt;=0,$J2641=INT($J2641)),FALSE())),"✖ العدد يجب أن يكون صحيحًا ≥ 0",IF(AND($F2641="Baseline",$H2641&lt;&gt;""),"⚠ Baseline: Start لا يدخل في التقدم",IF($K2641="No Start (attainment only)","ℹ تحصيل فقط (بدون Start)",IF($K2641="U – needs rule","ℹ حالة U تحتاج قاعدة معتمدة",IF($K2641="No result","ℹ بدون نتيجة (يُستبعد من التحصيل)","OK")))))))))))</f>
        <v/>
      </c>
      <c r="M2641" s="64" t="n">
        <f aca="false">IF($A2641="",0,IFERROR(MATCH($A2641,Classes!$A$6:$A$420,0),0))</f>
        <v>0</v>
      </c>
      <c r="N2641" s="64" t="n">
        <f aca="false">IF($H2641="",0,IFERROR(MATCH($H2641,GradeList,0),0))</f>
        <v>0</v>
      </c>
      <c r="O2641" s="64" t="n">
        <f aca="false">IF(OR($I2641="",$I2641="NR"),0,IFERROR(MATCH($I2641,GradeList,0),0))</f>
        <v>0</v>
      </c>
      <c r="P2641" s="64" t="n">
        <f aca="false">IF(AND($M2641&gt;0,ISNUMBER(MATCH($F2641,Lists!$A$2:$A$5,0)),ISNUMBER(MATCH($G2641,Lists!$B$2:$B$7,0)),OR($H2641="",$N2641&gt;0),OR($I2641="",$I2641="NR",$O2641&gt;0),IF(ISNUMBER($J2641),AND($J2641&gt;=0,$J2641=INT($J2641)),FALSE())),$J2641,0)</f>
        <v>0</v>
      </c>
      <c r="Q2641" s="64" t="n">
        <f aca="false">IF(AND($P2641&gt;0,$O2641&gt;0),$P2641,0)</f>
        <v>0</v>
      </c>
      <c r="R2641" s="64" t="n">
        <f aca="false">IF(AND($Q2641&gt;0,$O2641&gt;=AtRank),$Q2641,0)</f>
        <v>0</v>
      </c>
      <c r="S2641" s="64" t="n">
        <f aca="false">IF(AND($Q2641&gt;0,$O2641&gt;=AboveRank),$Q2641,0)</f>
        <v>0</v>
      </c>
      <c r="T2641" s="64" t="n">
        <f aca="false">IF($K2641="Less",$P2641,0)</f>
        <v>0</v>
      </c>
      <c r="U2641" s="64" t="n">
        <f aca="false">IF($K2641="Expected",$P2641,0)</f>
        <v>0</v>
      </c>
      <c r="V2641" s="64" t="n">
        <f aca="false">IF($K2641="Better",$P2641,0)</f>
        <v>0</v>
      </c>
      <c r="W2641" s="64" t="n">
        <f aca="false">IF($K2641="U – needs rule",$P2641,0)</f>
        <v>0</v>
      </c>
      <c r="X2641" s="64" t="n">
        <f aca="false">IF($K2641="No Start (attainment only)",$P2641,0)</f>
        <v>0</v>
      </c>
    </row>
    <row r="2642" customFormat="false" ht="15" hidden="false" customHeight="false" outlineLevel="0" collapsed="false">
      <c r="A2642" s="60"/>
      <c r="B2642" s="61" t="str">
        <f aca="false">IF($M2642=0,"",INDEX(Classes!$E$6:$E$420,$M2642))</f>
        <v/>
      </c>
      <c r="C2642" s="62" t="str">
        <f aca="false">IF($M2642=0,"",INDEX(Classes!$H$6:$H$420,$M2642))</f>
        <v/>
      </c>
      <c r="D2642" s="61" t="str">
        <f aca="false">IF($M2642=0,"",INDEX(Classes!$B$6:$B$420,$M2642))</f>
        <v/>
      </c>
      <c r="E2642" s="61" t="str">
        <f aca="false">IF($M2642=0,"",INDEX(Classes!$C$6:$C$420,$M2642))</f>
        <v/>
      </c>
      <c r="F2642" s="63"/>
      <c r="G2642" s="63"/>
      <c r="H2642" s="60"/>
      <c r="I2642" s="60"/>
      <c r="J2642" s="63"/>
      <c r="K2642" s="61" t="str">
        <f aca="false">IF($P2642=0,"",IF($F2642="Baseline","— Baseline",IF($O2642=0,"No result",IF($N2642=0,"No Start (attainment only)",IF(OR($N2642=1,$O2642=1),"U – needs rule",INDEX(MxBody,MATCH($I2642,MxCurr,0),MATCH($H2642,MxStart,0)))))))</f>
        <v/>
      </c>
      <c r="L2642" s="62" t="str">
        <f aca="false">IF(COUNTA($A2642,$F2642,$G2642,$H2642,$I2642,$J2642)=0,"",IF($M2642=0,"✖ كود الصف غير موجود",IF(ISNA(MATCH($F2642,Lists!$A$2:$A$5,0)),"✖ الفترة غير صحيحة",IF(ISNA(MATCH($G2642,Lists!$B$2:$B$7,0)),"✖ المجموعة غير صحيحة",IF(NOT(OR($H2642="",$N2642&gt;0)),"✖ Start غير صحيح",IF(NOT(OR($I2642="",$I2642="NR",$O2642&gt;0)),"✖ Current غير صحيح",IF(NOT(IF(ISNUMBER($J2642),AND($J2642&gt;=0,$J2642=INT($J2642)),FALSE())),"✖ العدد يجب أن يكون صحيحًا ≥ 0",IF(AND($F2642="Baseline",$H2642&lt;&gt;""),"⚠ Baseline: Start لا يدخل في التقدم",IF($K2642="No Start (attainment only)","ℹ تحصيل فقط (بدون Start)",IF($K2642="U – needs rule","ℹ حالة U تحتاج قاعدة معتمدة",IF($K2642="No result","ℹ بدون نتيجة (يُستبعد من التحصيل)","OK")))))))))))</f>
        <v/>
      </c>
      <c r="M2642" s="64" t="n">
        <f aca="false">IF($A2642="",0,IFERROR(MATCH($A2642,Classes!$A$6:$A$420,0),0))</f>
        <v>0</v>
      </c>
      <c r="N2642" s="64" t="n">
        <f aca="false">IF($H2642="",0,IFERROR(MATCH($H2642,GradeList,0),0))</f>
        <v>0</v>
      </c>
      <c r="O2642" s="64" t="n">
        <f aca="false">IF(OR($I2642="",$I2642="NR"),0,IFERROR(MATCH($I2642,GradeList,0),0))</f>
        <v>0</v>
      </c>
      <c r="P2642" s="64" t="n">
        <f aca="false">IF(AND($M2642&gt;0,ISNUMBER(MATCH($F2642,Lists!$A$2:$A$5,0)),ISNUMBER(MATCH($G2642,Lists!$B$2:$B$7,0)),OR($H2642="",$N2642&gt;0),OR($I2642="",$I2642="NR",$O2642&gt;0),IF(ISNUMBER($J2642),AND($J2642&gt;=0,$J2642=INT($J2642)),FALSE())),$J2642,0)</f>
        <v>0</v>
      </c>
      <c r="Q2642" s="64" t="n">
        <f aca="false">IF(AND($P2642&gt;0,$O2642&gt;0),$P2642,0)</f>
        <v>0</v>
      </c>
      <c r="R2642" s="64" t="n">
        <f aca="false">IF(AND($Q2642&gt;0,$O2642&gt;=AtRank),$Q2642,0)</f>
        <v>0</v>
      </c>
      <c r="S2642" s="64" t="n">
        <f aca="false">IF(AND($Q2642&gt;0,$O2642&gt;=AboveRank),$Q2642,0)</f>
        <v>0</v>
      </c>
      <c r="T2642" s="64" t="n">
        <f aca="false">IF($K2642="Less",$P2642,0)</f>
        <v>0</v>
      </c>
      <c r="U2642" s="64" t="n">
        <f aca="false">IF($K2642="Expected",$P2642,0)</f>
        <v>0</v>
      </c>
      <c r="V2642" s="64" t="n">
        <f aca="false">IF($K2642="Better",$P2642,0)</f>
        <v>0</v>
      </c>
      <c r="W2642" s="64" t="n">
        <f aca="false">IF($K2642="U – needs rule",$P2642,0)</f>
        <v>0</v>
      </c>
      <c r="X2642" s="64" t="n">
        <f aca="false">IF($K2642="No Start (attainment only)",$P2642,0)</f>
        <v>0</v>
      </c>
    </row>
    <row r="2643" customFormat="false" ht="15" hidden="false" customHeight="false" outlineLevel="0" collapsed="false">
      <c r="A2643" s="60"/>
      <c r="B2643" s="61" t="str">
        <f aca="false">IF($M2643=0,"",INDEX(Classes!$E$6:$E$420,$M2643))</f>
        <v/>
      </c>
      <c r="C2643" s="62" t="str">
        <f aca="false">IF($M2643=0,"",INDEX(Classes!$H$6:$H$420,$M2643))</f>
        <v/>
      </c>
      <c r="D2643" s="61" t="str">
        <f aca="false">IF($M2643=0,"",INDEX(Classes!$B$6:$B$420,$M2643))</f>
        <v/>
      </c>
      <c r="E2643" s="61" t="str">
        <f aca="false">IF($M2643=0,"",INDEX(Classes!$C$6:$C$420,$M2643))</f>
        <v/>
      </c>
      <c r="F2643" s="63"/>
      <c r="G2643" s="63"/>
      <c r="H2643" s="60"/>
      <c r="I2643" s="60"/>
      <c r="J2643" s="63"/>
      <c r="K2643" s="61" t="str">
        <f aca="false">IF($P2643=0,"",IF($F2643="Baseline","— Baseline",IF($O2643=0,"No result",IF($N2643=0,"No Start (attainment only)",IF(OR($N2643=1,$O2643=1),"U – needs rule",INDEX(MxBody,MATCH($I2643,MxCurr,0),MATCH($H2643,MxStart,0)))))))</f>
        <v/>
      </c>
      <c r="L2643" s="62" t="str">
        <f aca="false">IF(COUNTA($A2643,$F2643,$G2643,$H2643,$I2643,$J2643)=0,"",IF($M2643=0,"✖ كود الصف غير موجود",IF(ISNA(MATCH($F2643,Lists!$A$2:$A$5,0)),"✖ الفترة غير صحيحة",IF(ISNA(MATCH($G2643,Lists!$B$2:$B$7,0)),"✖ المجموعة غير صحيحة",IF(NOT(OR($H2643="",$N2643&gt;0)),"✖ Start غير صحيح",IF(NOT(OR($I2643="",$I2643="NR",$O2643&gt;0)),"✖ Current غير صحيح",IF(NOT(IF(ISNUMBER($J2643),AND($J2643&gt;=0,$J2643=INT($J2643)),FALSE())),"✖ العدد يجب أن يكون صحيحًا ≥ 0",IF(AND($F2643="Baseline",$H2643&lt;&gt;""),"⚠ Baseline: Start لا يدخل في التقدم",IF($K2643="No Start (attainment only)","ℹ تحصيل فقط (بدون Start)",IF($K2643="U – needs rule","ℹ حالة U تحتاج قاعدة معتمدة",IF($K2643="No result","ℹ بدون نتيجة (يُستبعد من التحصيل)","OK")))))))))))</f>
        <v/>
      </c>
      <c r="M2643" s="64" t="n">
        <f aca="false">IF($A2643="",0,IFERROR(MATCH($A2643,Classes!$A$6:$A$420,0),0))</f>
        <v>0</v>
      </c>
      <c r="N2643" s="64" t="n">
        <f aca="false">IF($H2643="",0,IFERROR(MATCH($H2643,GradeList,0),0))</f>
        <v>0</v>
      </c>
      <c r="O2643" s="64" t="n">
        <f aca="false">IF(OR($I2643="",$I2643="NR"),0,IFERROR(MATCH($I2643,GradeList,0),0))</f>
        <v>0</v>
      </c>
      <c r="P2643" s="64" t="n">
        <f aca="false">IF(AND($M2643&gt;0,ISNUMBER(MATCH($F2643,Lists!$A$2:$A$5,0)),ISNUMBER(MATCH($G2643,Lists!$B$2:$B$7,0)),OR($H2643="",$N2643&gt;0),OR($I2643="",$I2643="NR",$O2643&gt;0),IF(ISNUMBER($J2643),AND($J2643&gt;=0,$J2643=INT($J2643)),FALSE())),$J2643,0)</f>
        <v>0</v>
      </c>
      <c r="Q2643" s="64" t="n">
        <f aca="false">IF(AND($P2643&gt;0,$O2643&gt;0),$P2643,0)</f>
        <v>0</v>
      </c>
      <c r="R2643" s="64" t="n">
        <f aca="false">IF(AND($Q2643&gt;0,$O2643&gt;=AtRank),$Q2643,0)</f>
        <v>0</v>
      </c>
      <c r="S2643" s="64" t="n">
        <f aca="false">IF(AND($Q2643&gt;0,$O2643&gt;=AboveRank),$Q2643,0)</f>
        <v>0</v>
      </c>
      <c r="T2643" s="64" t="n">
        <f aca="false">IF($K2643="Less",$P2643,0)</f>
        <v>0</v>
      </c>
      <c r="U2643" s="64" t="n">
        <f aca="false">IF($K2643="Expected",$P2643,0)</f>
        <v>0</v>
      </c>
      <c r="V2643" s="64" t="n">
        <f aca="false">IF($K2643="Better",$P2643,0)</f>
        <v>0</v>
      </c>
      <c r="W2643" s="64" t="n">
        <f aca="false">IF($K2643="U – needs rule",$P2643,0)</f>
        <v>0</v>
      </c>
      <c r="X2643" s="64" t="n">
        <f aca="false">IF($K2643="No Start (attainment only)",$P2643,0)</f>
        <v>0</v>
      </c>
    </row>
    <row r="2644" customFormat="false" ht="15" hidden="false" customHeight="false" outlineLevel="0" collapsed="false">
      <c r="A2644" s="60"/>
      <c r="B2644" s="61" t="str">
        <f aca="false">IF($M2644=0,"",INDEX(Classes!$E$6:$E$420,$M2644))</f>
        <v/>
      </c>
      <c r="C2644" s="62" t="str">
        <f aca="false">IF($M2644=0,"",INDEX(Classes!$H$6:$H$420,$M2644))</f>
        <v/>
      </c>
      <c r="D2644" s="61" t="str">
        <f aca="false">IF($M2644=0,"",INDEX(Classes!$B$6:$B$420,$M2644))</f>
        <v/>
      </c>
      <c r="E2644" s="61" t="str">
        <f aca="false">IF($M2644=0,"",INDEX(Classes!$C$6:$C$420,$M2644))</f>
        <v/>
      </c>
      <c r="F2644" s="63"/>
      <c r="G2644" s="63"/>
      <c r="H2644" s="60"/>
      <c r="I2644" s="60"/>
      <c r="J2644" s="63"/>
      <c r="K2644" s="61" t="str">
        <f aca="false">IF($P2644=0,"",IF($F2644="Baseline","— Baseline",IF($O2644=0,"No result",IF($N2644=0,"No Start (attainment only)",IF(OR($N2644=1,$O2644=1),"U – needs rule",INDEX(MxBody,MATCH($I2644,MxCurr,0),MATCH($H2644,MxStart,0)))))))</f>
        <v/>
      </c>
      <c r="L2644" s="62" t="str">
        <f aca="false">IF(COUNTA($A2644,$F2644,$G2644,$H2644,$I2644,$J2644)=0,"",IF($M2644=0,"✖ كود الصف غير موجود",IF(ISNA(MATCH($F2644,Lists!$A$2:$A$5,0)),"✖ الفترة غير صحيحة",IF(ISNA(MATCH($G2644,Lists!$B$2:$B$7,0)),"✖ المجموعة غير صحيحة",IF(NOT(OR($H2644="",$N2644&gt;0)),"✖ Start غير صحيح",IF(NOT(OR($I2644="",$I2644="NR",$O2644&gt;0)),"✖ Current غير صحيح",IF(NOT(IF(ISNUMBER($J2644),AND($J2644&gt;=0,$J2644=INT($J2644)),FALSE())),"✖ العدد يجب أن يكون صحيحًا ≥ 0",IF(AND($F2644="Baseline",$H2644&lt;&gt;""),"⚠ Baseline: Start لا يدخل في التقدم",IF($K2644="No Start (attainment only)","ℹ تحصيل فقط (بدون Start)",IF($K2644="U – needs rule","ℹ حالة U تحتاج قاعدة معتمدة",IF($K2644="No result","ℹ بدون نتيجة (يُستبعد من التحصيل)","OK")))))))))))</f>
        <v/>
      </c>
      <c r="M2644" s="64" t="n">
        <f aca="false">IF($A2644="",0,IFERROR(MATCH($A2644,Classes!$A$6:$A$420,0),0))</f>
        <v>0</v>
      </c>
      <c r="N2644" s="64" t="n">
        <f aca="false">IF($H2644="",0,IFERROR(MATCH($H2644,GradeList,0),0))</f>
        <v>0</v>
      </c>
      <c r="O2644" s="64" t="n">
        <f aca="false">IF(OR($I2644="",$I2644="NR"),0,IFERROR(MATCH($I2644,GradeList,0),0))</f>
        <v>0</v>
      </c>
      <c r="P2644" s="64" t="n">
        <f aca="false">IF(AND($M2644&gt;0,ISNUMBER(MATCH($F2644,Lists!$A$2:$A$5,0)),ISNUMBER(MATCH($G2644,Lists!$B$2:$B$7,0)),OR($H2644="",$N2644&gt;0),OR($I2644="",$I2644="NR",$O2644&gt;0),IF(ISNUMBER($J2644),AND($J2644&gt;=0,$J2644=INT($J2644)),FALSE())),$J2644,0)</f>
        <v>0</v>
      </c>
      <c r="Q2644" s="64" t="n">
        <f aca="false">IF(AND($P2644&gt;0,$O2644&gt;0),$P2644,0)</f>
        <v>0</v>
      </c>
      <c r="R2644" s="64" t="n">
        <f aca="false">IF(AND($Q2644&gt;0,$O2644&gt;=AtRank),$Q2644,0)</f>
        <v>0</v>
      </c>
      <c r="S2644" s="64" t="n">
        <f aca="false">IF(AND($Q2644&gt;0,$O2644&gt;=AboveRank),$Q2644,0)</f>
        <v>0</v>
      </c>
      <c r="T2644" s="64" t="n">
        <f aca="false">IF($K2644="Less",$P2644,0)</f>
        <v>0</v>
      </c>
      <c r="U2644" s="64" t="n">
        <f aca="false">IF($K2644="Expected",$P2644,0)</f>
        <v>0</v>
      </c>
      <c r="V2644" s="64" t="n">
        <f aca="false">IF($K2644="Better",$P2644,0)</f>
        <v>0</v>
      </c>
      <c r="W2644" s="64" t="n">
        <f aca="false">IF($K2644="U – needs rule",$P2644,0)</f>
        <v>0</v>
      </c>
      <c r="X2644" s="64" t="n">
        <f aca="false">IF($K2644="No Start (attainment only)",$P2644,0)</f>
        <v>0</v>
      </c>
    </row>
    <row r="2645" customFormat="false" ht="15" hidden="false" customHeight="false" outlineLevel="0" collapsed="false">
      <c r="A2645" s="60"/>
      <c r="B2645" s="61" t="str">
        <f aca="false">IF($M2645=0,"",INDEX(Classes!$E$6:$E$420,$M2645))</f>
        <v/>
      </c>
      <c r="C2645" s="62" t="str">
        <f aca="false">IF($M2645=0,"",INDEX(Classes!$H$6:$H$420,$M2645))</f>
        <v/>
      </c>
      <c r="D2645" s="61" t="str">
        <f aca="false">IF($M2645=0,"",INDEX(Classes!$B$6:$B$420,$M2645))</f>
        <v/>
      </c>
      <c r="E2645" s="61" t="str">
        <f aca="false">IF($M2645=0,"",INDEX(Classes!$C$6:$C$420,$M2645))</f>
        <v/>
      </c>
      <c r="F2645" s="63"/>
      <c r="G2645" s="63"/>
      <c r="H2645" s="60"/>
      <c r="I2645" s="60"/>
      <c r="J2645" s="63"/>
      <c r="K2645" s="61" t="str">
        <f aca="false">IF($P2645=0,"",IF($F2645="Baseline","— Baseline",IF($O2645=0,"No result",IF($N2645=0,"No Start (attainment only)",IF(OR($N2645=1,$O2645=1),"U – needs rule",INDEX(MxBody,MATCH($I2645,MxCurr,0),MATCH($H2645,MxStart,0)))))))</f>
        <v/>
      </c>
      <c r="L2645" s="62" t="str">
        <f aca="false">IF(COUNTA($A2645,$F2645,$G2645,$H2645,$I2645,$J2645)=0,"",IF($M2645=0,"✖ كود الصف غير موجود",IF(ISNA(MATCH($F2645,Lists!$A$2:$A$5,0)),"✖ الفترة غير صحيحة",IF(ISNA(MATCH($G2645,Lists!$B$2:$B$7,0)),"✖ المجموعة غير صحيحة",IF(NOT(OR($H2645="",$N2645&gt;0)),"✖ Start غير صحيح",IF(NOT(OR($I2645="",$I2645="NR",$O2645&gt;0)),"✖ Current غير صحيح",IF(NOT(IF(ISNUMBER($J2645),AND($J2645&gt;=0,$J2645=INT($J2645)),FALSE())),"✖ العدد يجب أن يكون صحيحًا ≥ 0",IF(AND($F2645="Baseline",$H2645&lt;&gt;""),"⚠ Baseline: Start لا يدخل في التقدم",IF($K2645="No Start (attainment only)","ℹ تحصيل فقط (بدون Start)",IF($K2645="U – needs rule","ℹ حالة U تحتاج قاعدة معتمدة",IF($K2645="No result","ℹ بدون نتيجة (يُستبعد من التحصيل)","OK")))))))))))</f>
        <v/>
      </c>
      <c r="M2645" s="64" t="n">
        <f aca="false">IF($A2645="",0,IFERROR(MATCH($A2645,Classes!$A$6:$A$420,0),0))</f>
        <v>0</v>
      </c>
      <c r="N2645" s="64" t="n">
        <f aca="false">IF($H2645="",0,IFERROR(MATCH($H2645,GradeList,0),0))</f>
        <v>0</v>
      </c>
      <c r="O2645" s="64" t="n">
        <f aca="false">IF(OR($I2645="",$I2645="NR"),0,IFERROR(MATCH($I2645,GradeList,0),0))</f>
        <v>0</v>
      </c>
      <c r="P2645" s="64" t="n">
        <f aca="false">IF(AND($M2645&gt;0,ISNUMBER(MATCH($F2645,Lists!$A$2:$A$5,0)),ISNUMBER(MATCH($G2645,Lists!$B$2:$B$7,0)),OR($H2645="",$N2645&gt;0),OR($I2645="",$I2645="NR",$O2645&gt;0),IF(ISNUMBER($J2645),AND($J2645&gt;=0,$J2645=INT($J2645)),FALSE())),$J2645,0)</f>
        <v>0</v>
      </c>
      <c r="Q2645" s="64" t="n">
        <f aca="false">IF(AND($P2645&gt;0,$O2645&gt;0),$P2645,0)</f>
        <v>0</v>
      </c>
      <c r="R2645" s="64" t="n">
        <f aca="false">IF(AND($Q2645&gt;0,$O2645&gt;=AtRank),$Q2645,0)</f>
        <v>0</v>
      </c>
      <c r="S2645" s="64" t="n">
        <f aca="false">IF(AND($Q2645&gt;0,$O2645&gt;=AboveRank),$Q2645,0)</f>
        <v>0</v>
      </c>
      <c r="T2645" s="64" t="n">
        <f aca="false">IF($K2645="Less",$P2645,0)</f>
        <v>0</v>
      </c>
      <c r="U2645" s="64" t="n">
        <f aca="false">IF($K2645="Expected",$P2645,0)</f>
        <v>0</v>
      </c>
      <c r="V2645" s="64" t="n">
        <f aca="false">IF($K2645="Better",$P2645,0)</f>
        <v>0</v>
      </c>
      <c r="W2645" s="64" t="n">
        <f aca="false">IF($K2645="U – needs rule",$P2645,0)</f>
        <v>0</v>
      </c>
      <c r="X2645" s="64" t="n">
        <f aca="false">IF($K2645="No Start (attainment only)",$P2645,0)</f>
        <v>0</v>
      </c>
    </row>
    <row r="2646" customFormat="false" ht="15" hidden="false" customHeight="false" outlineLevel="0" collapsed="false">
      <c r="A2646" s="60"/>
      <c r="B2646" s="61" t="str">
        <f aca="false">IF($M2646=0,"",INDEX(Classes!$E$6:$E$420,$M2646))</f>
        <v/>
      </c>
      <c r="C2646" s="62" t="str">
        <f aca="false">IF($M2646=0,"",INDEX(Classes!$H$6:$H$420,$M2646))</f>
        <v/>
      </c>
      <c r="D2646" s="61" t="str">
        <f aca="false">IF($M2646=0,"",INDEX(Classes!$B$6:$B$420,$M2646))</f>
        <v/>
      </c>
      <c r="E2646" s="61" t="str">
        <f aca="false">IF($M2646=0,"",INDEX(Classes!$C$6:$C$420,$M2646))</f>
        <v/>
      </c>
      <c r="F2646" s="63"/>
      <c r="G2646" s="63"/>
      <c r="H2646" s="60"/>
      <c r="I2646" s="60"/>
      <c r="J2646" s="63"/>
      <c r="K2646" s="61" t="str">
        <f aca="false">IF($P2646=0,"",IF($F2646="Baseline","— Baseline",IF($O2646=0,"No result",IF($N2646=0,"No Start (attainment only)",IF(OR($N2646=1,$O2646=1),"U – needs rule",INDEX(MxBody,MATCH($I2646,MxCurr,0),MATCH($H2646,MxStart,0)))))))</f>
        <v/>
      </c>
      <c r="L2646" s="62" t="str">
        <f aca="false">IF(COUNTA($A2646,$F2646,$G2646,$H2646,$I2646,$J2646)=0,"",IF($M2646=0,"✖ كود الصف غير موجود",IF(ISNA(MATCH($F2646,Lists!$A$2:$A$5,0)),"✖ الفترة غير صحيحة",IF(ISNA(MATCH($G2646,Lists!$B$2:$B$7,0)),"✖ المجموعة غير صحيحة",IF(NOT(OR($H2646="",$N2646&gt;0)),"✖ Start غير صحيح",IF(NOT(OR($I2646="",$I2646="NR",$O2646&gt;0)),"✖ Current غير صحيح",IF(NOT(IF(ISNUMBER($J2646),AND($J2646&gt;=0,$J2646=INT($J2646)),FALSE())),"✖ العدد يجب أن يكون صحيحًا ≥ 0",IF(AND($F2646="Baseline",$H2646&lt;&gt;""),"⚠ Baseline: Start لا يدخل في التقدم",IF($K2646="No Start (attainment only)","ℹ تحصيل فقط (بدون Start)",IF($K2646="U – needs rule","ℹ حالة U تحتاج قاعدة معتمدة",IF($K2646="No result","ℹ بدون نتيجة (يُستبعد من التحصيل)","OK")))))))))))</f>
        <v/>
      </c>
      <c r="M2646" s="64" t="n">
        <f aca="false">IF($A2646="",0,IFERROR(MATCH($A2646,Classes!$A$6:$A$420,0),0))</f>
        <v>0</v>
      </c>
      <c r="N2646" s="64" t="n">
        <f aca="false">IF($H2646="",0,IFERROR(MATCH($H2646,GradeList,0),0))</f>
        <v>0</v>
      </c>
      <c r="O2646" s="64" t="n">
        <f aca="false">IF(OR($I2646="",$I2646="NR"),0,IFERROR(MATCH($I2646,GradeList,0),0))</f>
        <v>0</v>
      </c>
      <c r="P2646" s="64" t="n">
        <f aca="false">IF(AND($M2646&gt;0,ISNUMBER(MATCH($F2646,Lists!$A$2:$A$5,0)),ISNUMBER(MATCH($G2646,Lists!$B$2:$B$7,0)),OR($H2646="",$N2646&gt;0),OR($I2646="",$I2646="NR",$O2646&gt;0),IF(ISNUMBER($J2646),AND($J2646&gt;=0,$J2646=INT($J2646)),FALSE())),$J2646,0)</f>
        <v>0</v>
      </c>
      <c r="Q2646" s="64" t="n">
        <f aca="false">IF(AND($P2646&gt;0,$O2646&gt;0),$P2646,0)</f>
        <v>0</v>
      </c>
      <c r="R2646" s="64" t="n">
        <f aca="false">IF(AND($Q2646&gt;0,$O2646&gt;=AtRank),$Q2646,0)</f>
        <v>0</v>
      </c>
      <c r="S2646" s="64" t="n">
        <f aca="false">IF(AND($Q2646&gt;0,$O2646&gt;=AboveRank),$Q2646,0)</f>
        <v>0</v>
      </c>
      <c r="T2646" s="64" t="n">
        <f aca="false">IF($K2646="Less",$P2646,0)</f>
        <v>0</v>
      </c>
      <c r="U2646" s="64" t="n">
        <f aca="false">IF($K2646="Expected",$P2646,0)</f>
        <v>0</v>
      </c>
      <c r="V2646" s="64" t="n">
        <f aca="false">IF($K2646="Better",$P2646,0)</f>
        <v>0</v>
      </c>
      <c r="W2646" s="64" t="n">
        <f aca="false">IF($K2646="U – needs rule",$P2646,0)</f>
        <v>0</v>
      </c>
      <c r="X2646" s="64" t="n">
        <f aca="false">IF($K2646="No Start (attainment only)",$P2646,0)</f>
        <v>0</v>
      </c>
    </row>
    <row r="2647" customFormat="false" ht="15" hidden="false" customHeight="false" outlineLevel="0" collapsed="false">
      <c r="A2647" s="60"/>
      <c r="B2647" s="61" t="str">
        <f aca="false">IF($M2647=0,"",INDEX(Classes!$E$6:$E$420,$M2647))</f>
        <v/>
      </c>
      <c r="C2647" s="62" t="str">
        <f aca="false">IF($M2647=0,"",INDEX(Classes!$H$6:$H$420,$M2647))</f>
        <v/>
      </c>
      <c r="D2647" s="61" t="str">
        <f aca="false">IF($M2647=0,"",INDEX(Classes!$B$6:$B$420,$M2647))</f>
        <v/>
      </c>
      <c r="E2647" s="61" t="str">
        <f aca="false">IF($M2647=0,"",INDEX(Classes!$C$6:$C$420,$M2647))</f>
        <v/>
      </c>
      <c r="F2647" s="63"/>
      <c r="G2647" s="63"/>
      <c r="H2647" s="60"/>
      <c r="I2647" s="60"/>
      <c r="J2647" s="63"/>
      <c r="K2647" s="61" t="str">
        <f aca="false">IF($P2647=0,"",IF($F2647="Baseline","— Baseline",IF($O2647=0,"No result",IF($N2647=0,"No Start (attainment only)",IF(OR($N2647=1,$O2647=1),"U – needs rule",INDEX(MxBody,MATCH($I2647,MxCurr,0),MATCH($H2647,MxStart,0)))))))</f>
        <v/>
      </c>
      <c r="L2647" s="62" t="str">
        <f aca="false">IF(COUNTA($A2647,$F2647,$G2647,$H2647,$I2647,$J2647)=0,"",IF($M2647=0,"✖ كود الصف غير موجود",IF(ISNA(MATCH($F2647,Lists!$A$2:$A$5,0)),"✖ الفترة غير صحيحة",IF(ISNA(MATCH($G2647,Lists!$B$2:$B$7,0)),"✖ المجموعة غير صحيحة",IF(NOT(OR($H2647="",$N2647&gt;0)),"✖ Start غير صحيح",IF(NOT(OR($I2647="",$I2647="NR",$O2647&gt;0)),"✖ Current غير صحيح",IF(NOT(IF(ISNUMBER($J2647),AND($J2647&gt;=0,$J2647=INT($J2647)),FALSE())),"✖ العدد يجب أن يكون صحيحًا ≥ 0",IF(AND($F2647="Baseline",$H2647&lt;&gt;""),"⚠ Baseline: Start لا يدخل في التقدم",IF($K2647="No Start (attainment only)","ℹ تحصيل فقط (بدون Start)",IF($K2647="U – needs rule","ℹ حالة U تحتاج قاعدة معتمدة",IF($K2647="No result","ℹ بدون نتيجة (يُستبعد من التحصيل)","OK")))))))))))</f>
        <v/>
      </c>
      <c r="M2647" s="64" t="n">
        <f aca="false">IF($A2647="",0,IFERROR(MATCH($A2647,Classes!$A$6:$A$420,0),0))</f>
        <v>0</v>
      </c>
      <c r="N2647" s="64" t="n">
        <f aca="false">IF($H2647="",0,IFERROR(MATCH($H2647,GradeList,0),0))</f>
        <v>0</v>
      </c>
      <c r="O2647" s="64" t="n">
        <f aca="false">IF(OR($I2647="",$I2647="NR"),0,IFERROR(MATCH($I2647,GradeList,0),0))</f>
        <v>0</v>
      </c>
      <c r="P2647" s="64" t="n">
        <f aca="false">IF(AND($M2647&gt;0,ISNUMBER(MATCH($F2647,Lists!$A$2:$A$5,0)),ISNUMBER(MATCH($G2647,Lists!$B$2:$B$7,0)),OR($H2647="",$N2647&gt;0),OR($I2647="",$I2647="NR",$O2647&gt;0),IF(ISNUMBER($J2647),AND($J2647&gt;=0,$J2647=INT($J2647)),FALSE())),$J2647,0)</f>
        <v>0</v>
      </c>
      <c r="Q2647" s="64" t="n">
        <f aca="false">IF(AND($P2647&gt;0,$O2647&gt;0),$P2647,0)</f>
        <v>0</v>
      </c>
      <c r="R2647" s="64" t="n">
        <f aca="false">IF(AND($Q2647&gt;0,$O2647&gt;=AtRank),$Q2647,0)</f>
        <v>0</v>
      </c>
      <c r="S2647" s="64" t="n">
        <f aca="false">IF(AND($Q2647&gt;0,$O2647&gt;=AboveRank),$Q2647,0)</f>
        <v>0</v>
      </c>
      <c r="T2647" s="64" t="n">
        <f aca="false">IF($K2647="Less",$P2647,0)</f>
        <v>0</v>
      </c>
      <c r="U2647" s="64" t="n">
        <f aca="false">IF($K2647="Expected",$P2647,0)</f>
        <v>0</v>
      </c>
      <c r="V2647" s="64" t="n">
        <f aca="false">IF($K2647="Better",$P2647,0)</f>
        <v>0</v>
      </c>
      <c r="W2647" s="64" t="n">
        <f aca="false">IF($K2647="U – needs rule",$P2647,0)</f>
        <v>0</v>
      </c>
      <c r="X2647" s="64" t="n">
        <f aca="false">IF($K2647="No Start (attainment only)",$P2647,0)</f>
        <v>0</v>
      </c>
    </row>
    <row r="2648" customFormat="false" ht="15" hidden="false" customHeight="false" outlineLevel="0" collapsed="false">
      <c r="A2648" s="60"/>
      <c r="B2648" s="61" t="str">
        <f aca="false">IF($M2648=0,"",INDEX(Classes!$E$6:$E$420,$M2648))</f>
        <v/>
      </c>
      <c r="C2648" s="62" t="str">
        <f aca="false">IF($M2648=0,"",INDEX(Classes!$H$6:$H$420,$M2648))</f>
        <v/>
      </c>
      <c r="D2648" s="61" t="str">
        <f aca="false">IF($M2648=0,"",INDEX(Classes!$B$6:$B$420,$M2648))</f>
        <v/>
      </c>
      <c r="E2648" s="61" t="str">
        <f aca="false">IF($M2648=0,"",INDEX(Classes!$C$6:$C$420,$M2648))</f>
        <v/>
      </c>
      <c r="F2648" s="63"/>
      <c r="G2648" s="63"/>
      <c r="H2648" s="60"/>
      <c r="I2648" s="60"/>
      <c r="J2648" s="63"/>
      <c r="K2648" s="61" t="str">
        <f aca="false">IF($P2648=0,"",IF($F2648="Baseline","— Baseline",IF($O2648=0,"No result",IF($N2648=0,"No Start (attainment only)",IF(OR($N2648=1,$O2648=1),"U – needs rule",INDEX(MxBody,MATCH($I2648,MxCurr,0),MATCH($H2648,MxStart,0)))))))</f>
        <v/>
      </c>
      <c r="L2648" s="62" t="str">
        <f aca="false">IF(COUNTA($A2648,$F2648,$G2648,$H2648,$I2648,$J2648)=0,"",IF($M2648=0,"✖ كود الصف غير موجود",IF(ISNA(MATCH($F2648,Lists!$A$2:$A$5,0)),"✖ الفترة غير صحيحة",IF(ISNA(MATCH($G2648,Lists!$B$2:$B$7,0)),"✖ المجموعة غير صحيحة",IF(NOT(OR($H2648="",$N2648&gt;0)),"✖ Start غير صحيح",IF(NOT(OR($I2648="",$I2648="NR",$O2648&gt;0)),"✖ Current غير صحيح",IF(NOT(IF(ISNUMBER($J2648),AND($J2648&gt;=0,$J2648=INT($J2648)),FALSE())),"✖ العدد يجب أن يكون صحيحًا ≥ 0",IF(AND($F2648="Baseline",$H2648&lt;&gt;""),"⚠ Baseline: Start لا يدخل في التقدم",IF($K2648="No Start (attainment only)","ℹ تحصيل فقط (بدون Start)",IF($K2648="U – needs rule","ℹ حالة U تحتاج قاعدة معتمدة",IF($K2648="No result","ℹ بدون نتيجة (يُستبعد من التحصيل)","OK")))))))))))</f>
        <v/>
      </c>
      <c r="M2648" s="64" t="n">
        <f aca="false">IF($A2648="",0,IFERROR(MATCH($A2648,Classes!$A$6:$A$420,0),0))</f>
        <v>0</v>
      </c>
      <c r="N2648" s="64" t="n">
        <f aca="false">IF($H2648="",0,IFERROR(MATCH($H2648,GradeList,0),0))</f>
        <v>0</v>
      </c>
      <c r="O2648" s="64" t="n">
        <f aca="false">IF(OR($I2648="",$I2648="NR"),0,IFERROR(MATCH($I2648,GradeList,0),0))</f>
        <v>0</v>
      </c>
      <c r="P2648" s="64" t="n">
        <f aca="false">IF(AND($M2648&gt;0,ISNUMBER(MATCH($F2648,Lists!$A$2:$A$5,0)),ISNUMBER(MATCH($G2648,Lists!$B$2:$B$7,0)),OR($H2648="",$N2648&gt;0),OR($I2648="",$I2648="NR",$O2648&gt;0),IF(ISNUMBER($J2648),AND($J2648&gt;=0,$J2648=INT($J2648)),FALSE())),$J2648,0)</f>
        <v>0</v>
      </c>
      <c r="Q2648" s="64" t="n">
        <f aca="false">IF(AND($P2648&gt;0,$O2648&gt;0),$P2648,0)</f>
        <v>0</v>
      </c>
      <c r="R2648" s="64" t="n">
        <f aca="false">IF(AND($Q2648&gt;0,$O2648&gt;=AtRank),$Q2648,0)</f>
        <v>0</v>
      </c>
      <c r="S2648" s="64" t="n">
        <f aca="false">IF(AND($Q2648&gt;0,$O2648&gt;=AboveRank),$Q2648,0)</f>
        <v>0</v>
      </c>
      <c r="T2648" s="64" t="n">
        <f aca="false">IF($K2648="Less",$P2648,0)</f>
        <v>0</v>
      </c>
      <c r="U2648" s="64" t="n">
        <f aca="false">IF($K2648="Expected",$P2648,0)</f>
        <v>0</v>
      </c>
      <c r="V2648" s="64" t="n">
        <f aca="false">IF($K2648="Better",$P2648,0)</f>
        <v>0</v>
      </c>
      <c r="W2648" s="64" t="n">
        <f aca="false">IF($K2648="U – needs rule",$P2648,0)</f>
        <v>0</v>
      </c>
      <c r="X2648" s="64" t="n">
        <f aca="false">IF($K2648="No Start (attainment only)",$P2648,0)</f>
        <v>0</v>
      </c>
    </row>
    <row r="2649" customFormat="false" ht="15" hidden="false" customHeight="false" outlineLevel="0" collapsed="false">
      <c r="A2649" s="60"/>
      <c r="B2649" s="61" t="str">
        <f aca="false">IF($M2649=0,"",INDEX(Classes!$E$6:$E$420,$M2649))</f>
        <v/>
      </c>
      <c r="C2649" s="62" t="str">
        <f aca="false">IF($M2649=0,"",INDEX(Classes!$H$6:$H$420,$M2649))</f>
        <v/>
      </c>
      <c r="D2649" s="61" t="str">
        <f aca="false">IF($M2649=0,"",INDEX(Classes!$B$6:$B$420,$M2649))</f>
        <v/>
      </c>
      <c r="E2649" s="61" t="str">
        <f aca="false">IF($M2649=0,"",INDEX(Classes!$C$6:$C$420,$M2649))</f>
        <v/>
      </c>
      <c r="F2649" s="63"/>
      <c r="G2649" s="63"/>
      <c r="H2649" s="60"/>
      <c r="I2649" s="60"/>
      <c r="J2649" s="63"/>
      <c r="K2649" s="61" t="str">
        <f aca="false">IF($P2649=0,"",IF($F2649="Baseline","— Baseline",IF($O2649=0,"No result",IF($N2649=0,"No Start (attainment only)",IF(OR($N2649=1,$O2649=1),"U – needs rule",INDEX(MxBody,MATCH($I2649,MxCurr,0),MATCH($H2649,MxStart,0)))))))</f>
        <v/>
      </c>
      <c r="L2649" s="62" t="str">
        <f aca="false">IF(COUNTA($A2649,$F2649,$G2649,$H2649,$I2649,$J2649)=0,"",IF($M2649=0,"✖ كود الصف غير موجود",IF(ISNA(MATCH($F2649,Lists!$A$2:$A$5,0)),"✖ الفترة غير صحيحة",IF(ISNA(MATCH($G2649,Lists!$B$2:$B$7,0)),"✖ المجموعة غير صحيحة",IF(NOT(OR($H2649="",$N2649&gt;0)),"✖ Start غير صحيح",IF(NOT(OR($I2649="",$I2649="NR",$O2649&gt;0)),"✖ Current غير صحيح",IF(NOT(IF(ISNUMBER($J2649),AND($J2649&gt;=0,$J2649=INT($J2649)),FALSE())),"✖ العدد يجب أن يكون صحيحًا ≥ 0",IF(AND($F2649="Baseline",$H2649&lt;&gt;""),"⚠ Baseline: Start لا يدخل في التقدم",IF($K2649="No Start (attainment only)","ℹ تحصيل فقط (بدون Start)",IF($K2649="U – needs rule","ℹ حالة U تحتاج قاعدة معتمدة",IF($K2649="No result","ℹ بدون نتيجة (يُستبعد من التحصيل)","OK")))))))))))</f>
        <v/>
      </c>
      <c r="M2649" s="64" t="n">
        <f aca="false">IF($A2649="",0,IFERROR(MATCH($A2649,Classes!$A$6:$A$420,0),0))</f>
        <v>0</v>
      </c>
      <c r="N2649" s="64" t="n">
        <f aca="false">IF($H2649="",0,IFERROR(MATCH($H2649,GradeList,0),0))</f>
        <v>0</v>
      </c>
      <c r="O2649" s="64" t="n">
        <f aca="false">IF(OR($I2649="",$I2649="NR"),0,IFERROR(MATCH($I2649,GradeList,0),0))</f>
        <v>0</v>
      </c>
      <c r="P2649" s="64" t="n">
        <f aca="false">IF(AND($M2649&gt;0,ISNUMBER(MATCH($F2649,Lists!$A$2:$A$5,0)),ISNUMBER(MATCH($G2649,Lists!$B$2:$B$7,0)),OR($H2649="",$N2649&gt;0),OR($I2649="",$I2649="NR",$O2649&gt;0),IF(ISNUMBER($J2649),AND($J2649&gt;=0,$J2649=INT($J2649)),FALSE())),$J2649,0)</f>
        <v>0</v>
      </c>
      <c r="Q2649" s="64" t="n">
        <f aca="false">IF(AND($P2649&gt;0,$O2649&gt;0),$P2649,0)</f>
        <v>0</v>
      </c>
      <c r="R2649" s="64" t="n">
        <f aca="false">IF(AND($Q2649&gt;0,$O2649&gt;=AtRank),$Q2649,0)</f>
        <v>0</v>
      </c>
      <c r="S2649" s="64" t="n">
        <f aca="false">IF(AND($Q2649&gt;0,$O2649&gt;=AboveRank),$Q2649,0)</f>
        <v>0</v>
      </c>
      <c r="T2649" s="64" t="n">
        <f aca="false">IF($K2649="Less",$P2649,0)</f>
        <v>0</v>
      </c>
      <c r="U2649" s="64" t="n">
        <f aca="false">IF($K2649="Expected",$P2649,0)</f>
        <v>0</v>
      </c>
      <c r="V2649" s="64" t="n">
        <f aca="false">IF($K2649="Better",$P2649,0)</f>
        <v>0</v>
      </c>
      <c r="W2649" s="64" t="n">
        <f aca="false">IF($K2649="U – needs rule",$P2649,0)</f>
        <v>0</v>
      </c>
      <c r="X2649" s="64" t="n">
        <f aca="false">IF($K2649="No Start (attainment only)",$P2649,0)</f>
        <v>0</v>
      </c>
    </row>
    <row r="2650" customFormat="false" ht="15" hidden="false" customHeight="false" outlineLevel="0" collapsed="false">
      <c r="A2650" s="60"/>
      <c r="B2650" s="61" t="str">
        <f aca="false">IF($M2650=0,"",INDEX(Classes!$E$6:$E$420,$M2650))</f>
        <v/>
      </c>
      <c r="C2650" s="62" t="str">
        <f aca="false">IF($M2650=0,"",INDEX(Classes!$H$6:$H$420,$M2650))</f>
        <v/>
      </c>
      <c r="D2650" s="61" t="str">
        <f aca="false">IF($M2650=0,"",INDEX(Classes!$B$6:$B$420,$M2650))</f>
        <v/>
      </c>
      <c r="E2650" s="61" t="str">
        <f aca="false">IF($M2650=0,"",INDEX(Classes!$C$6:$C$420,$M2650))</f>
        <v/>
      </c>
      <c r="F2650" s="63"/>
      <c r="G2650" s="63"/>
      <c r="H2650" s="60"/>
      <c r="I2650" s="60"/>
      <c r="J2650" s="63"/>
      <c r="K2650" s="61" t="str">
        <f aca="false">IF($P2650=0,"",IF($F2650="Baseline","— Baseline",IF($O2650=0,"No result",IF($N2650=0,"No Start (attainment only)",IF(OR($N2650=1,$O2650=1),"U – needs rule",INDEX(MxBody,MATCH($I2650,MxCurr,0),MATCH($H2650,MxStart,0)))))))</f>
        <v/>
      </c>
      <c r="L2650" s="62" t="str">
        <f aca="false">IF(COUNTA($A2650,$F2650,$G2650,$H2650,$I2650,$J2650)=0,"",IF($M2650=0,"✖ كود الصف غير موجود",IF(ISNA(MATCH($F2650,Lists!$A$2:$A$5,0)),"✖ الفترة غير صحيحة",IF(ISNA(MATCH($G2650,Lists!$B$2:$B$7,0)),"✖ المجموعة غير صحيحة",IF(NOT(OR($H2650="",$N2650&gt;0)),"✖ Start غير صحيح",IF(NOT(OR($I2650="",$I2650="NR",$O2650&gt;0)),"✖ Current غير صحيح",IF(NOT(IF(ISNUMBER($J2650),AND($J2650&gt;=0,$J2650=INT($J2650)),FALSE())),"✖ العدد يجب أن يكون صحيحًا ≥ 0",IF(AND($F2650="Baseline",$H2650&lt;&gt;""),"⚠ Baseline: Start لا يدخل في التقدم",IF($K2650="No Start (attainment only)","ℹ تحصيل فقط (بدون Start)",IF($K2650="U – needs rule","ℹ حالة U تحتاج قاعدة معتمدة",IF($K2650="No result","ℹ بدون نتيجة (يُستبعد من التحصيل)","OK")))))))))))</f>
        <v/>
      </c>
      <c r="M2650" s="64" t="n">
        <f aca="false">IF($A2650="",0,IFERROR(MATCH($A2650,Classes!$A$6:$A$420,0),0))</f>
        <v>0</v>
      </c>
      <c r="N2650" s="64" t="n">
        <f aca="false">IF($H2650="",0,IFERROR(MATCH($H2650,GradeList,0),0))</f>
        <v>0</v>
      </c>
      <c r="O2650" s="64" t="n">
        <f aca="false">IF(OR($I2650="",$I2650="NR"),0,IFERROR(MATCH($I2650,GradeList,0),0))</f>
        <v>0</v>
      </c>
      <c r="P2650" s="64" t="n">
        <f aca="false">IF(AND($M2650&gt;0,ISNUMBER(MATCH($F2650,Lists!$A$2:$A$5,0)),ISNUMBER(MATCH($G2650,Lists!$B$2:$B$7,0)),OR($H2650="",$N2650&gt;0),OR($I2650="",$I2650="NR",$O2650&gt;0),IF(ISNUMBER($J2650),AND($J2650&gt;=0,$J2650=INT($J2650)),FALSE())),$J2650,0)</f>
        <v>0</v>
      </c>
      <c r="Q2650" s="64" t="n">
        <f aca="false">IF(AND($P2650&gt;0,$O2650&gt;0),$P2650,0)</f>
        <v>0</v>
      </c>
      <c r="R2650" s="64" t="n">
        <f aca="false">IF(AND($Q2650&gt;0,$O2650&gt;=AtRank),$Q2650,0)</f>
        <v>0</v>
      </c>
      <c r="S2650" s="64" t="n">
        <f aca="false">IF(AND($Q2650&gt;0,$O2650&gt;=AboveRank),$Q2650,0)</f>
        <v>0</v>
      </c>
      <c r="T2650" s="64" t="n">
        <f aca="false">IF($K2650="Less",$P2650,0)</f>
        <v>0</v>
      </c>
      <c r="U2650" s="64" t="n">
        <f aca="false">IF($K2650="Expected",$P2650,0)</f>
        <v>0</v>
      </c>
      <c r="V2650" s="64" t="n">
        <f aca="false">IF($K2650="Better",$P2650,0)</f>
        <v>0</v>
      </c>
      <c r="W2650" s="64" t="n">
        <f aca="false">IF($K2650="U – needs rule",$P2650,0)</f>
        <v>0</v>
      </c>
      <c r="X2650" s="64" t="n">
        <f aca="false">IF($K2650="No Start (attainment only)",$P2650,0)</f>
        <v>0</v>
      </c>
    </row>
    <row r="2651" customFormat="false" ht="15" hidden="false" customHeight="false" outlineLevel="0" collapsed="false">
      <c r="A2651" s="60"/>
      <c r="B2651" s="61" t="str">
        <f aca="false">IF($M2651=0,"",INDEX(Classes!$E$6:$E$420,$M2651))</f>
        <v/>
      </c>
      <c r="C2651" s="62" t="str">
        <f aca="false">IF($M2651=0,"",INDEX(Classes!$H$6:$H$420,$M2651))</f>
        <v/>
      </c>
      <c r="D2651" s="61" t="str">
        <f aca="false">IF($M2651=0,"",INDEX(Classes!$B$6:$B$420,$M2651))</f>
        <v/>
      </c>
      <c r="E2651" s="61" t="str">
        <f aca="false">IF($M2651=0,"",INDEX(Classes!$C$6:$C$420,$M2651))</f>
        <v/>
      </c>
      <c r="F2651" s="63"/>
      <c r="G2651" s="63"/>
      <c r="H2651" s="60"/>
      <c r="I2651" s="60"/>
      <c r="J2651" s="63"/>
      <c r="K2651" s="61" t="str">
        <f aca="false">IF($P2651=0,"",IF($F2651="Baseline","— Baseline",IF($O2651=0,"No result",IF($N2651=0,"No Start (attainment only)",IF(OR($N2651=1,$O2651=1),"U – needs rule",INDEX(MxBody,MATCH($I2651,MxCurr,0),MATCH($H2651,MxStart,0)))))))</f>
        <v/>
      </c>
      <c r="L2651" s="62" t="str">
        <f aca="false">IF(COUNTA($A2651,$F2651,$G2651,$H2651,$I2651,$J2651)=0,"",IF($M2651=0,"✖ كود الصف غير موجود",IF(ISNA(MATCH($F2651,Lists!$A$2:$A$5,0)),"✖ الفترة غير صحيحة",IF(ISNA(MATCH($G2651,Lists!$B$2:$B$7,0)),"✖ المجموعة غير صحيحة",IF(NOT(OR($H2651="",$N2651&gt;0)),"✖ Start غير صحيح",IF(NOT(OR($I2651="",$I2651="NR",$O2651&gt;0)),"✖ Current غير صحيح",IF(NOT(IF(ISNUMBER($J2651),AND($J2651&gt;=0,$J2651=INT($J2651)),FALSE())),"✖ العدد يجب أن يكون صحيحًا ≥ 0",IF(AND($F2651="Baseline",$H2651&lt;&gt;""),"⚠ Baseline: Start لا يدخل في التقدم",IF($K2651="No Start (attainment only)","ℹ تحصيل فقط (بدون Start)",IF($K2651="U – needs rule","ℹ حالة U تحتاج قاعدة معتمدة",IF($K2651="No result","ℹ بدون نتيجة (يُستبعد من التحصيل)","OK")))))))))))</f>
        <v/>
      </c>
      <c r="M2651" s="64" t="n">
        <f aca="false">IF($A2651="",0,IFERROR(MATCH($A2651,Classes!$A$6:$A$420,0),0))</f>
        <v>0</v>
      </c>
      <c r="N2651" s="64" t="n">
        <f aca="false">IF($H2651="",0,IFERROR(MATCH($H2651,GradeList,0),0))</f>
        <v>0</v>
      </c>
      <c r="O2651" s="64" t="n">
        <f aca="false">IF(OR($I2651="",$I2651="NR"),0,IFERROR(MATCH($I2651,GradeList,0),0))</f>
        <v>0</v>
      </c>
      <c r="P2651" s="64" t="n">
        <f aca="false">IF(AND($M2651&gt;0,ISNUMBER(MATCH($F2651,Lists!$A$2:$A$5,0)),ISNUMBER(MATCH($G2651,Lists!$B$2:$B$7,0)),OR($H2651="",$N2651&gt;0),OR($I2651="",$I2651="NR",$O2651&gt;0),IF(ISNUMBER($J2651),AND($J2651&gt;=0,$J2651=INT($J2651)),FALSE())),$J2651,0)</f>
        <v>0</v>
      </c>
      <c r="Q2651" s="64" t="n">
        <f aca="false">IF(AND($P2651&gt;0,$O2651&gt;0),$P2651,0)</f>
        <v>0</v>
      </c>
      <c r="R2651" s="64" t="n">
        <f aca="false">IF(AND($Q2651&gt;0,$O2651&gt;=AtRank),$Q2651,0)</f>
        <v>0</v>
      </c>
      <c r="S2651" s="64" t="n">
        <f aca="false">IF(AND($Q2651&gt;0,$O2651&gt;=AboveRank),$Q2651,0)</f>
        <v>0</v>
      </c>
      <c r="T2651" s="64" t="n">
        <f aca="false">IF($K2651="Less",$P2651,0)</f>
        <v>0</v>
      </c>
      <c r="U2651" s="64" t="n">
        <f aca="false">IF($K2651="Expected",$P2651,0)</f>
        <v>0</v>
      </c>
      <c r="V2651" s="64" t="n">
        <f aca="false">IF($K2651="Better",$P2651,0)</f>
        <v>0</v>
      </c>
      <c r="W2651" s="64" t="n">
        <f aca="false">IF($K2651="U – needs rule",$P2651,0)</f>
        <v>0</v>
      </c>
      <c r="X2651" s="64" t="n">
        <f aca="false">IF($K2651="No Start (attainment only)",$P2651,0)</f>
        <v>0</v>
      </c>
    </row>
    <row r="2652" customFormat="false" ht="15" hidden="false" customHeight="false" outlineLevel="0" collapsed="false">
      <c r="A2652" s="60"/>
      <c r="B2652" s="61" t="str">
        <f aca="false">IF($M2652=0,"",INDEX(Classes!$E$6:$E$420,$M2652))</f>
        <v/>
      </c>
      <c r="C2652" s="62" t="str">
        <f aca="false">IF($M2652=0,"",INDEX(Classes!$H$6:$H$420,$M2652))</f>
        <v/>
      </c>
      <c r="D2652" s="61" t="str">
        <f aca="false">IF($M2652=0,"",INDEX(Classes!$B$6:$B$420,$M2652))</f>
        <v/>
      </c>
      <c r="E2652" s="61" t="str">
        <f aca="false">IF($M2652=0,"",INDEX(Classes!$C$6:$C$420,$M2652))</f>
        <v/>
      </c>
      <c r="F2652" s="63"/>
      <c r="G2652" s="63"/>
      <c r="H2652" s="60"/>
      <c r="I2652" s="60"/>
      <c r="J2652" s="63"/>
      <c r="K2652" s="61" t="str">
        <f aca="false">IF($P2652=0,"",IF($F2652="Baseline","— Baseline",IF($O2652=0,"No result",IF($N2652=0,"No Start (attainment only)",IF(OR($N2652=1,$O2652=1),"U – needs rule",INDEX(MxBody,MATCH($I2652,MxCurr,0),MATCH($H2652,MxStart,0)))))))</f>
        <v/>
      </c>
      <c r="L2652" s="62" t="str">
        <f aca="false">IF(COUNTA($A2652,$F2652,$G2652,$H2652,$I2652,$J2652)=0,"",IF($M2652=0,"✖ كود الصف غير موجود",IF(ISNA(MATCH($F2652,Lists!$A$2:$A$5,0)),"✖ الفترة غير صحيحة",IF(ISNA(MATCH($G2652,Lists!$B$2:$B$7,0)),"✖ المجموعة غير صحيحة",IF(NOT(OR($H2652="",$N2652&gt;0)),"✖ Start غير صحيح",IF(NOT(OR($I2652="",$I2652="NR",$O2652&gt;0)),"✖ Current غير صحيح",IF(NOT(IF(ISNUMBER($J2652),AND($J2652&gt;=0,$J2652=INT($J2652)),FALSE())),"✖ العدد يجب أن يكون صحيحًا ≥ 0",IF(AND($F2652="Baseline",$H2652&lt;&gt;""),"⚠ Baseline: Start لا يدخل في التقدم",IF($K2652="No Start (attainment only)","ℹ تحصيل فقط (بدون Start)",IF($K2652="U – needs rule","ℹ حالة U تحتاج قاعدة معتمدة",IF($K2652="No result","ℹ بدون نتيجة (يُستبعد من التحصيل)","OK")))))))))))</f>
        <v/>
      </c>
      <c r="M2652" s="64" t="n">
        <f aca="false">IF($A2652="",0,IFERROR(MATCH($A2652,Classes!$A$6:$A$420,0),0))</f>
        <v>0</v>
      </c>
      <c r="N2652" s="64" t="n">
        <f aca="false">IF($H2652="",0,IFERROR(MATCH($H2652,GradeList,0),0))</f>
        <v>0</v>
      </c>
      <c r="O2652" s="64" t="n">
        <f aca="false">IF(OR($I2652="",$I2652="NR"),0,IFERROR(MATCH($I2652,GradeList,0),0))</f>
        <v>0</v>
      </c>
      <c r="P2652" s="64" t="n">
        <f aca="false">IF(AND($M2652&gt;0,ISNUMBER(MATCH($F2652,Lists!$A$2:$A$5,0)),ISNUMBER(MATCH($G2652,Lists!$B$2:$B$7,0)),OR($H2652="",$N2652&gt;0),OR($I2652="",$I2652="NR",$O2652&gt;0),IF(ISNUMBER($J2652),AND($J2652&gt;=0,$J2652=INT($J2652)),FALSE())),$J2652,0)</f>
        <v>0</v>
      </c>
      <c r="Q2652" s="64" t="n">
        <f aca="false">IF(AND($P2652&gt;0,$O2652&gt;0),$P2652,0)</f>
        <v>0</v>
      </c>
      <c r="R2652" s="64" t="n">
        <f aca="false">IF(AND($Q2652&gt;0,$O2652&gt;=AtRank),$Q2652,0)</f>
        <v>0</v>
      </c>
      <c r="S2652" s="64" t="n">
        <f aca="false">IF(AND($Q2652&gt;0,$O2652&gt;=AboveRank),$Q2652,0)</f>
        <v>0</v>
      </c>
      <c r="T2652" s="64" t="n">
        <f aca="false">IF($K2652="Less",$P2652,0)</f>
        <v>0</v>
      </c>
      <c r="U2652" s="64" t="n">
        <f aca="false">IF($K2652="Expected",$P2652,0)</f>
        <v>0</v>
      </c>
      <c r="V2652" s="64" t="n">
        <f aca="false">IF($K2652="Better",$P2652,0)</f>
        <v>0</v>
      </c>
      <c r="W2652" s="64" t="n">
        <f aca="false">IF($K2652="U – needs rule",$P2652,0)</f>
        <v>0</v>
      </c>
      <c r="X2652" s="64" t="n">
        <f aca="false">IF($K2652="No Start (attainment only)",$P2652,0)</f>
        <v>0</v>
      </c>
    </row>
    <row r="2653" customFormat="false" ht="15" hidden="false" customHeight="false" outlineLevel="0" collapsed="false">
      <c r="A2653" s="60"/>
      <c r="B2653" s="61" t="str">
        <f aca="false">IF($M2653=0,"",INDEX(Classes!$E$6:$E$420,$M2653))</f>
        <v/>
      </c>
      <c r="C2653" s="62" t="str">
        <f aca="false">IF($M2653=0,"",INDEX(Classes!$H$6:$H$420,$M2653))</f>
        <v/>
      </c>
      <c r="D2653" s="61" t="str">
        <f aca="false">IF($M2653=0,"",INDEX(Classes!$B$6:$B$420,$M2653))</f>
        <v/>
      </c>
      <c r="E2653" s="61" t="str">
        <f aca="false">IF($M2653=0,"",INDEX(Classes!$C$6:$C$420,$M2653))</f>
        <v/>
      </c>
      <c r="F2653" s="63"/>
      <c r="G2653" s="63"/>
      <c r="H2653" s="60"/>
      <c r="I2653" s="60"/>
      <c r="J2653" s="63"/>
      <c r="K2653" s="61" t="str">
        <f aca="false">IF($P2653=0,"",IF($F2653="Baseline","— Baseline",IF($O2653=0,"No result",IF($N2653=0,"No Start (attainment only)",IF(OR($N2653=1,$O2653=1),"U – needs rule",INDEX(MxBody,MATCH($I2653,MxCurr,0),MATCH($H2653,MxStart,0)))))))</f>
        <v/>
      </c>
      <c r="L2653" s="62" t="str">
        <f aca="false">IF(COUNTA($A2653,$F2653,$G2653,$H2653,$I2653,$J2653)=0,"",IF($M2653=0,"✖ كود الصف غير موجود",IF(ISNA(MATCH($F2653,Lists!$A$2:$A$5,0)),"✖ الفترة غير صحيحة",IF(ISNA(MATCH($G2653,Lists!$B$2:$B$7,0)),"✖ المجموعة غير صحيحة",IF(NOT(OR($H2653="",$N2653&gt;0)),"✖ Start غير صحيح",IF(NOT(OR($I2653="",$I2653="NR",$O2653&gt;0)),"✖ Current غير صحيح",IF(NOT(IF(ISNUMBER($J2653),AND($J2653&gt;=0,$J2653=INT($J2653)),FALSE())),"✖ العدد يجب أن يكون صحيحًا ≥ 0",IF(AND($F2653="Baseline",$H2653&lt;&gt;""),"⚠ Baseline: Start لا يدخل في التقدم",IF($K2653="No Start (attainment only)","ℹ تحصيل فقط (بدون Start)",IF($K2653="U – needs rule","ℹ حالة U تحتاج قاعدة معتمدة",IF($K2653="No result","ℹ بدون نتيجة (يُستبعد من التحصيل)","OK")))))))))))</f>
        <v/>
      </c>
      <c r="M2653" s="64" t="n">
        <f aca="false">IF($A2653="",0,IFERROR(MATCH($A2653,Classes!$A$6:$A$420,0),0))</f>
        <v>0</v>
      </c>
      <c r="N2653" s="64" t="n">
        <f aca="false">IF($H2653="",0,IFERROR(MATCH($H2653,GradeList,0),0))</f>
        <v>0</v>
      </c>
      <c r="O2653" s="64" t="n">
        <f aca="false">IF(OR($I2653="",$I2653="NR"),0,IFERROR(MATCH($I2653,GradeList,0),0))</f>
        <v>0</v>
      </c>
      <c r="P2653" s="64" t="n">
        <f aca="false">IF(AND($M2653&gt;0,ISNUMBER(MATCH($F2653,Lists!$A$2:$A$5,0)),ISNUMBER(MATCH($G2653,Lists!$B$2:$B$7,0)),OR($H2653="",$N2653&gt;0),OR($I2653="",$I2653="NR",$O2653&gt;0),IF(ISNUMBER($J2653),AND($J2653&gt;=0,$J2653=INT($J2653)),FALSE())),$J2653,0)</f>
        <v>0</v>
      </c>
      <c r="Q2653" s="64" t="n">
        <f aca="false">IF(AND($P2653&gt;0,$O2653&gt;0),$P2653,0)</f>
        <v>0</v>
      </c>
      <c r="R2653" s="64" t="n">
        <f aca="false">IF(AND($Q2653&gt;0,$O2653&gt;=AtRank),$Q2653,0)</f>
        <v>0</v>
      </c>
      <c r="S2653" s="64" t="n">
        <f aca="false">IF(AND($Q2653&gt;0,$O2653&gt;=AboveRank),$Q2653,0)</f>
        <v>0</v>
      </c>
      <c r="T2653" s="64" t="n">
        <f aca="false">IF($K2653="Less",$P2653,0)</f>
        <v>0</v>
      </c>
      <c r="U2653" s="64" t="n">
        <f aca="false">IF($K2653="Expected",$P2653,0)</f>
        <v>0</v>
      </c>
      <c r="V2653" s="64" t="n">
        <f aca="false">IF($K2653="Better",$P2653,0)</f>
        <v>0</v>
      </c>
      <c r="W2653" s="64" t="n">
        <f aca="false">IF($K2653="U – needs rule",$P2653,0)</f>
        <v>0</v>
      </c>
      <c r="X2653" s="64" t="n">
        <f aca="false">IF($K2653="No Start (attainment only)",$P2653,0)</f>
        <v>0</v>
      </c>
    </row>
    <row r="2654" customFormat="false" ht="15" hidden="false" customHeight="false" outlineLevel="0" collapsed="false">
      <c r="A2654" s="60"/>
      <c r="B2654" s="61" t="str">
        <f aca="false">IF($M2654=0,"",INDEX(Classes!$E$6:$E$420,$M2654))</f>
        <v/>
      </c>
      <c r="C2654" s="62" t="str">
        <f aca="false">IF($M2654=0,"",INDEX(Classes!$H$6:$H$420,$M2654))</f>
        <v/>
      </c>
      <c r="D2654" s="61" t="str">
        <f aca="false">IF($M2654=0,"",INDEX(Classes!$B$6:$B$420,$M2654))</f>
        <v/>
      </c>
      <c r="E2654" s="61" t="str">
        <f aca="false">IF($M2654=0,"",INDEX(Classes!$C$6:$C$420,$M2654))</f>
        <v/>
      </c>
      <c r="F2654" s="63"/>
      <c r="G2654" s="63"/>
      <c r="H2654" s="60"/>
      <c r="I2654" s="60"/>
      <c r="J2654" s="63"/>
      <c r="K2654" s="61" t="str">
        <f aca="false">IF($P2654=0,"",IF($F2654="Baseline","— Baseline",IF($O2654=0,"No result",IF($N2654=0,"No Start (attainment only)",IF(OR($N2654=1,$O2654=1),"U – needs rule",INDEX(MxBody,MATCH($I2654,MxCurr,0),MATCH($H2654,MxStart,0)))))))</f>
        <v/>
      </c>
      <c r="L2654" s="62" t="str">
        <f aca="false">IF(COUNTA($A2654,$F2654,$G2654,$H2654,$I2654,$J2654)=0,"",IF($M2654=0,"✖ كود الصف غير موجود",IF(ISNA(MATCH($F2654,Lists!$A$2:$A$5,0)),"✖ الفترة غير صحيحة",IF(ISNA(MATCH($G2654,Lists!$B$2:$B$7,0)),"✖ المجموعة غير صحيحة",IF(NOT(OR($H2654="",$N2654&gt;0)),"✖ Start غير صحيح",IF(NOT(OR($I2654="",$I2654="NR",$O2654&gt;0)),"✖ Current غير صحيح",IF(NOT(IF(ISNUMBER($J2654),AND($J2654&gt;=0,$J2654=INT($J2654)),FALSE())),"✖ العدد يجب أن يكون صحيحًا ≥ 0",IF(AND($F2654="Baseline",$H2654&lt;&gt;""),"⚠ Baseline: Start لا يدخل في التقدم",IF($K2654="No Start (attainment only)","ℹ تحصيل فقط (بدون Start)",IF($K2654="U – needs rule","ℹ حالة U تحتاج قاعدة معتمدة",IF($K2654="No result","ℹ بدون نتيجة (يُستبعد من التحصيل)","OK")))))))))))</f>
        <v/>
      </c>
      <c r="M2654" s="64" t="n">
        <f aca="false">IF($A2654="",0,IFERROR(MATCH($A2654,Classes!$A$6:$A$420,0),0))</f>
        <v>0</v>
      </c>
      <c r="N2654" s="64" t="n">
        <f aca="false">IF($H2654="",0,IFERROR(MATCH($H2654,GradeList,0),0))</f>
        <v>0</v>
      </c>
      <c r="O2654" s="64" t="n">
        <f aca="false">IF(OR($I2654="",$I2654="NR"),0,IFERROR(MATCH($I2654,GradeList,0),0))</f>
        <v>0</v>
      </c>
      <c r="P2654" s="64" t="n">
        <f aca="false">IF(AND($M2654&gt;0,ISNUMBER(MATCH($F2654,Lists!$A$2:$A$5,0)),ISNUMBER(MATCH($G2654,Lists!$B$2:$B$7,0)),OR($H2654="",$N2654&gt;0),OR($I2654="",$I2654="NR",$O2654&gt;0),IF(ISNUMBER($J2654),AND($J2654&gt;=0,$J2654=INT($J2654)),FALSE())),$J2654,0)</f>
        <v>0</v>
      </c>
      <c r="Q2654" s="64" t="n">
        <f aca="false">IF(AND($P2654&gt;0,$O2654&gt;0),$P2654,0)</f>
        <v>0</v>
      </c>
      <c r="R2654" s="64" t="n">
        <f aca="false">IF(AND($Q2654&gt;0,$O2654&gt;=AtRank),$Q2654,0)</f>
        <v>0</v>
      </c>
      <c r="S2654" s="64" t="n">
        <f aca="false">IF(AND($Q2654&gt;0,$O2654&gt;=AboveRank),$Q2654,0)</f>
        <v>0</v>
      </c>
      <c r="T2654" s="64" t="n">
        <f aca="false">IF($K2654="Less",$P2654,0)</f>
        <v>0</v>
      </c>
      <c r="U2654" s="64" t="n">
        <f aca="false">IF($K2654="Expected",$P2654,0)</f>
        <v>0</v>
      </c>
      <c r="V2654" s="64" t="n">
        <f aca="false">IF($K2654="Better",$P2654,0)</f>
        <v>0</v>
      </c>
      <c r="W2654" s="64" t="n">
        <f aca="false">IF($K2654="U – needs rule",$P2654,0)</f>
        <v>0</v>
      </c>
      <c r="X2654" s="64" t="n">
        <f aca="false">IF($K2654="No Start (attainment only)",$P2654,0)</f>
        <v>0</v>
      </c>
    </row>
    <row r="2655" customFormat="false" ht="15" hidden="false" customHeight="false" outlineLevel="0" collapsed="false">
      <c r="A2655" s="60"/>
      <c r="B2655" s="61" t="str">
        <f aca="false">IF($M2655=0,"",INDEX(Classes!$E$6:$E$420,$M2655))</f>
        <v/>
      </c>
      <c r="C2655" s="62" t="str">
        <f aca="false">IF($M2655=0,"",INDEX(Classes!$H$6:$H$420,$M2655))</f>
        <v/>
      </c>
      <c r="D2655" s="61" t="str">
        <f aca="false">IF($M2655=0,"",INDEX(Classes!$B$6:$B$420,$M2655))</f>
        <v/>
      </c>
      <c r="E2655" s="61" t="str">
        <f aca="false">IF($M2655=0,"",INDEX(Classes!$C$6:$C$420,$M2655))</f>
        <v/>
      </c>
      <c r="F2655" s="63"/>
      <c r="G2655" s="63"/>
      <c r="H2655" s="60"/>
      <c r="I2655" s="60"/>
      <c r="J2655" s="63"/>
      <c r="K2655" s="61" t="str">
        <f aca="false">IF($P2655=0,"",IF($F2655="Baseline","— Baseline",IF($O2655=0,"No result",IF($N2655=0,"No Start (attainment only)",IF(OR($N2655=1,$O2655=1),"U – needs rule",INDEX(MxBody,MATCH($I2655,MxCurr,0),MATCH($H2655,MxStart,0)))))))</f>
        <v/>
      </c>
      <c r="L2655" s="62" t="str">
        <f aca="false">IF(COUNTA($A2655,$F2655,$G2655,$H2655,$I2655,$J2655)=0,"",IF($M2655=0,"✖ كود الصف غير موجود",IF(ISNA(MATCH($F2655,Lists!$A$2:$A$5,0)),"✖ الفترة غير صحيحة",IF(ISNA(MATCH($G2655,Lists!$B$2:$B$7,0)),"✖ المجموعة غير صحيحة",IF(NOT(OR($H2655="",$N2655&gt;0)),"✖ Start غير صحيح",IF(NOT(OR($I2655="",$I2655="NR",$O2655&gt;0)),"✖ Current غير صحيح",IF(NOT(IF(ISNUMBER($J2655),AND($J2655&gt;=0,$J2655=INT($J2655)),FALSE())),"✖ العدد يجب أن يكون صحيحًا ≥ 0",IF(AND($F2655="Baseline",$H2655&lt;&gt;""),"⚠ Baseline: Start لا يدخل في التقدم",IF($K2655="No Start (attainment only)","ℹ تحصيل فقط (بدون Start)",IF($K2655="U – needs rule","ℹ حالة U تحتاج قاعدة معتمدة",IF($K2655="No result","ℹ بدون نتيجة (يُستبعد من التحصيل)","OK")))))))))))</f>
        <v/>
      </c>
      <c r="M2655" s="64" t="n">
        <f aca="false">IF($A2655="",0,IFERROR(MATCH($A2655,Classes!$A$6:$A$420,0),0))</f>
        <v>0</v>
      </c>
      <c r="N2655" s="64" t="n">
        <f aca="false">IF($H2655="",0,IFERROR(MATCH($H2655,GradeList,0),0))</f>
        <v>0</v>
      </c>
      <c r="O2655" s="64" t="n">
        <f aca="false">IF(OR($I2655="",$I2655="NR"),0,IFERROR(MATCH($I2655,GradeList,0),0))</f>
        <v>0</v>
      </c>
      <c r="P2655" s="64" t="n">
        <f aca="false">IF(AND($M2655&gt;0,ISNUMBER(MATCH($F2655,Lists!$A$2:$A$5,0)),ISNUMBER(MATCH($G2655,Lists!$B$2:$B$7,0)),OR($H2655="",$N2655&gt;0),OR($I2655="",$I2655="NR",$O2655&gt;0),IF(ISNUMBER($J2655),AND($J2655&gt;=0,$J2655=INT($J2655)),FALSE())),$J2655,0)</f>
        <v>0</v>
      </c>
      <c r="Q2655" s="64" t="n">
        <f aca="false">IF(AND($P2655&gt;0,$O2655&gt;0),$P2655,0)</f>
        <v>0</v>
      </c>
      <c r="R2655" s="64" t="n">
        <f aca="false">IF(AND($Q2655&gt;0,$O2655&gt;=AtRank),$Q2655,0)</f>
        <v>0</v>
      </c>
      <c r="S2655" s="64" t="n">
        <f aca="false">IF(AND($Q2655&gt;0,$O2655&gt;=AboveRank),$Q2655,0)</f>
        <v>0</v>
      </c>
      <c r="T2655" s="64" t="n">
        <f aca="false">IF($K2655="Less",$P2655,0)</f>
        <v>0</v>
      </c>
      <c r="U2655" s="64" t="n">
        <f aca="false">IF($K2655="Expected",$P2655,0)</f>
        <v>0</v>
      </c>
      <c r="V2655" s="64" t="n">
        <f aca="false">IF($K2655="Better",$P2655,0)</f>
        <v>0</v>
      </c>
      <c r="W2655" s="64" t="n">
        <f aca="false">IF($K2655="U – needs rule",$P2655,0)</f>
        <v>0</v>
      </c>
      <c r="X2655" s="64" t="n">
        <f aca="false">IF($K2655="No Start (attainment only)",$P2655,0)</f>
        <v>0</v>
      </c>
    </row>
    <row r="2656" customFormat="false" ht="15" hidden="false" customHeight="false" outlineLevel="0" collapsed="false">
      <c r="A2656" s="60"/>
      <c r="B2656" s="61" t="str">
        <f aca="false">IF($M2656=0,"",INDEX(Classes!$E$6:$E$420,$M2656))</f>
        <v/>
      </c>
      <c r="C2656" s="62" t="str">
        <f aca="false">IF($M2656=0,"",INDEX(Classes!$H$6:$H$420,$M2656))</f>
        <v/>
      </c>
      <c r="D2656" s="61" t="str">
        <f aca="false">IF($M2656=0,"",INDEX(Classes!$B$6:$B$420,$M2656))</f>
        <v/>
      </c>
      <c r="E2656" s="61" t="str">
        <f aca="false">IF($M2656=0,"",INDEX(Classes!$C$6:$C$420,$M2656))</f>
        <v/>
      </c>
      <c r="F2656" s="63"/>
      <c r="G2656" s="63"/>
      <c r="H2656" s="60"/>
      <c r="I2656" s="60"/>
      <c r="J2656" s="63"/>
      <c r="K2656" s="61" t="str">
        <f aca="false">IF($P2656=0,"",IF($F2656="Baseline","— Baseline",IF($O2656=0,"No result",IF($N2656=0,"No Start (attainment only)",IF(OR($N2656=1,$O2656=1),"U – needs rule",INDEX(MxBody,MATCH($I2656,MxCurr,0),MATCH($H2656,MxStart,0)))))))</f>
        <v/>
      </c>
      <c r="L2656" s="62" t="str">
        <f aca="false">IF(COUNTA($A2656,$F2656,$G2656,$H2656,$I2656,$J2656)=0,"",IF($M2656=0,"✖ كود الصف غير موجود",IF(ISNA(MATCH($F2656,Lists!$A$2:$A$5,0)),"✖ الفترة غير صحيحة",IF(ISNA(MATCH($G2656,Lists!$B$2:$B$7,0)),"✖ المجموعة غير صحيحة",IF(NOT(OR($H2656="",$N2656&gt;0)),"✖ Start غير صحيح",IF(NOT(OR($I2656="",$I2656="NR",$O2656&gt;0)),"✖ Current غير صحيح",IF(NOT(IF(ISNUMBER($J2656),AND($J2656&gt;=0,$J2656=INT($J2656)),FALSE())),"✖ العدد يجب أن يكون صحيحًا ≥ 0",IF(AND($F2656="Baseline",$H2656&lt;&gt;""),"⚠ Baseline: Start لا يدخل في التقدم",IF($K2656="No Start (attainment only)","ℹ تحصيل فقط (بدون Start)",IF($K2656="U – needs rule","ℹ حالة U تحتاج قاعدة معتمدة",IF($K2656="No result","ℹ بدون نتيجة (يُستبعد من التحصيل)","OK")))))))))))</f>
        <v/>
      </c>
      <c r="M2656" s="64" t="n">
        <f aca="false">IF($A2656="",0,IFERROR(MATCH($A2656,Classes!$A$6:$A$420,0),0))</f>
        <v>0</v>
      </c>
      <c r="N2656" s="64" t="n">
        <f aca="false">IF($H2656="",0,IFERROR(MATCH($H2656,GradeList,0),0))</f>
        <v>0</v>
      </c>
      <c r="O2656" s="64" t="n">
        <f aca="false">IF(OR($I2656="",$I2656="NR"),0,IFERROR(MATCH($I2656,GradeList,0),0))</f>
        <v>0</v>
      </c>
      <c r="P2656" s="64" t="n">
        <f aca="false">IF(AND($M2656&gt;0,ISNUMBER(MATCH($F2656,Lists!$A$2:$A$5,0)),ISNUMBER(MATCH($G2656,Lists!$B$2:$B$7,0)),OR($H2656="",$N2656&gt;0),OR($I2656="",$I2656="NR",$O2656&gt;0),IF(ISNUMBER($J2656),AND($J2656&gt;=0,$J2656=INT($J2656)),FALSE())),$J2656,0)</f>
        <v>0</v>
      </c>
      <c r="Q2656" s="64" t="n">
        <f aca="false">IF(AND($P2656&gt;0,$O2656&gt;0),$P2656,0)</f>
        <v>0</v>
      </c>
      <c r="R2656" s="64" t="n">
        <f aca="false">IF(AND($Q2656&gt;0,$O2656&gt;=AtRank),$Q2656,0)</f>
        <v>0</v>
      </c>
      <c r="S2656" s="64" t="n">
        <f aca="false">IF(AND($Q2656&gt;0,$O2656&gt;=AboveRank),$Q2656,0)</f>
        <v>0</v>
      </c>
      <c r="T2656" s="64" t="n">
        <f aca="false">IF($K2656="Less",$P2656,0)</f>
        <v>0</v>
      </c>
      <c r="U2656" s="64" t="n">
        <f aca="false">IF($K2656="Expected",$P2656,0)</f>
        <v>0</v>
      </c>
      <c r="V2656" s="64" t="n">
        <f aca="false">IF($K2656="Better",$P2656,0)</f>
        <v>0</v>
      </c>
      <c r="W2656" s="64" t="n">
        <f aca="false">IF($K2656="U – needs rule",$P2656,0)</f>
        <v>0</v>
      </c>
      <c r="X2656" s="64" t="n">
        <f aca="false">IF($K2656="No Start (attainment only)",$P2656,0)</f>
        <v>0</v>
      </c>
    </row>
    <row r="2657" customFormat="false" ht="15" hidden="false" customHeight="false" outlineLevel="0" collapsed="false">
      <c r="A2657" s="60"/>
      <c r="B2657" s="61" t="str">
        <f aca="false">IF($M2657=0,"",INDEX(Classes!$E$6:$E$420,$M2657))</f>
        <v/>
      </c>
      <c r="C2657" s="62" t="str">
        <f aca="false">IF($M2657=0,"",INDEX(Classes!$H$6:$H$420,$M2657))</f>
        <v/>
      </c>
      <c r="D2657" s="61" t="str">
        <f aca="false">IF($M2657=0,"",INDEX(Classes!$B$6:$B$420,$M2657))</f>
        <v/>
      </c>
      <c r="E2657" s="61" t="str">
        <f aca="false">IF($M2657=0,"",INDEX(Classes!$C$6:$C$420,$M2657))</f>
        <v/>
      </c>
      <c r="F2657" s="63"/>
      <c r="G2657" s="63"/>
      <c r="H2657" s="60"/>
      <c r="I2657" s="60"/>
      <c r="J2657" s="63"/>
      <c r="K2657" s="61" t="str">
        <f aca="false">IF($P2657=0,"",IF($F2657="Baseline","— Baseline",IF($O2657=0,"No result",IF($N2657=0,"No Start (attainment only)",IF(OR($N2657=1,$O2657=1),"U – needs rule",INDEX(MxBody,MATCH($I2657,MxCurr,0),MATCH($H2657,MxStart,0)))))))</f>
        <v/>
      </c>
      <c r="L2657" s="62" t="str">
        <f aca="false">IF(COUNTA($A2657,$F2657,$G2657,$H2657,$I2657,$J2657)=0,"",IF($M2657=0,"✖ كود الصف غير موجود",IF(ISNA(MATCH($F2657,Lists!$A$2:$A$5,0)),"✖ الفترة غير صحيحة",IF(ISNA(MATCH($G2657,Lists!$B$2:$B$7,0)),"✖ المجموعة غير صحيحة",IF(NOT(OR($H2657="",$N2657&gt;0)),"✖ Start غير صحيح",IF(NOT(OR($I2657="",$I2657="NR",$O2657&gt;0)),"✖ Current غير صحيح",IF(NOT(IF(ISNUMBER($J2657),AND($J2657&gt;=0,$J2657=INT($J2657)),FALSE())),"✖ العدد يجب أن يكون صحيحًا ≥ 0",IF(AND($F2657="Baseline",$H2657&lt;&gt;""),"⚠ Baseline: Start لا يدخل في التقدم",IF($K2657="No Start (attainment only)","ℹ تحصيل فقط (بدون Start)",IF($K2657="U – needs rule","ℹ حالة U تحتاج قاعدة معتمدة",IF($K2657="No result","ℹ بدون نتيجة (يُستبعد من التحصيل)","OK")))))))))))</f>
        <v/>
      </c>
      <c r="M2657" s="64" t="n">
        <f aca="false">IF($A2657="",0,IFERROR(MATCH($A2657,Classes!$A$6:$A$420,0),0))</f>
        <v>0</v>
      </c>
      <c r="N2657" s="64" t="n">
        <f aca="false">IF($H2657="",0,IFERROR(MATCH($H2657,GradeList,0),0))</f>
        <v>0</v>
      </c>
      <c r="O2657" s="64" t="n">
        <f aca="false">IF(OR($I2657="",$I2657="NR"),0,IFERROR(MATCH($I2657,GradeList,0),0))</f>
        <v>0</v>
      </c>
      <c r="P2657" s="64" t="n">
        <f aca="false">IF(AND($M2657&gt;0,ISNUMBER(MATCH($F2657,Lists!$A$2:$A$5,0)),ISNUMBER(MATCH($G2657,Lists!$B$2:$B$7,0)),OR($H2657="",$N2657&gt;0),OR($I2657="",$I2657="NR",$O2657&gt;0),IF(ISNUMBER($J2657),AND($J2657&gt;=0,$J2657=INT($J2657)),FALSE())),$J2657,0)</f>
        <v>0</v>
      </c>
      <c r="Q2657" s="64" t="n">
        <f aca="false">IF(AND($P2657&gt;0,$O2657&gt;0),$P2657,0)</f>
        <v>0</v>
      </c>
      <c r="R2657" s="64" t="n">
        <f aca="false">IF(AND($Q2657&gt;0,$O2657&gt;=AtRank),$Q2657,0)</f>
        <v>0</v>
      </c>
      <c r="S2657" s="64" t="n">
        <f aca="false">IF(AND($Q2657&gt;0,$O2657&gt;=AboveRank),$Q2657,0)</f>
        <v>0</v>
      </c>
      <c r="T2657" s="64" t="n">
        <f aca="false">IF($K2657="Less",$P2657,0)</f>
        <v>0</v>
      </c>
      <c r="U2657" s="64" t="n">
        <f aca="false">IF($K2657="Expected",$P2657,0)</f>
        <v>0</v>
      </c>
      <c r="V2657" s="64" t="n">
        <f aca="false">IF($K2657="Better",$P2657,0)</f>
        <v>0</v>
      </c>
      <c r="W2657" s="64" t="n">
        <f aca="false">IF($K2657="U – needs rule",$P2657,0)</f>
        <v>0</v>
      </c>
      <c r="X2657" s="64" t="n">
        <f aca="false">IF($K2657="No Start (attainment only)",$P2657,0)</f>
        <v>0</v>
      </c>
    </row>
    <row r="2658" customFormat="false" ht="15" hidden="false" customHeight="false" outlineLevel="0" collapsed="false">
      <c r="A2658" s="60"/>
      <c r="B2658" s="61" t="str">
        <f aca="false">IF($M2658=0,"",INDEX(Classes!$E$6:$E$420,$M2658))</f>
        <v/>
      </c>
      <c r="C2658" s="62" t="str">
        <f aca="false">IF($M2658=0,"",INDEX(Classes!$H$6:$H$420,$M2658))</f>
        <v/>
      </c>
      <c r="D2658" s="61" t="str">
        <f aca="false">IF($M2658=0,"",INDEX(Classes!$B$6:$B$420,$M2658))</f>
        <v/>
      </c>
      <c r="E2658" s="61" t="str">
        <f aca="false">IF($M2658=0,"",INDEX(Classes!$C$6:$C$420,$M2658))</f>
        <v/>
      </c>
      <c r="F2658" s="63"/>
      <c r="G2658" s="63"/>
      <c r="H2658" s="60"/>
      <c r="I2658" s="60"/>
      <c r="J2658" s="63"/>
      <c r="K2658" s="61" t="str">
        <f aca="false">IF($P2658=0,"",IF($F2658="Baseline","— Baseline",IF($O2658=0,"No result",IF($N2658=0,"No Start (attainment only)",IF(OR($N2658=1,$O2658=1),"U – needs rule",INDEX(MxBody,MATCH($I2658,MxCurr,0),MATCH($H2658,MxStart,0)))))))</f>
        <v/>
      </c>
      <c r="L2658" s="62" t="str">
        <f aca="false">IF(COUNTA($A2658,$F2658,$G2658,$H2658,$I2658,$J2658)=0,"",IF($M2658=0,"✖ كود الصف غير موجود",IF(ISNA(MATCH($F2658,Lists!$A$2:$A$5,0)),"✖ الفترة غير صحيحة",IF(ISNA(MATCH($G2658,Lists!$B$2:$B$7,0)),"✖ المجموعة غير صحيحة",IF(NOT(OR($H2658="",$N2658&gt;0)),"✖ Start غير صحيح",IF(NOT(OR($I2658="",$I2658="NR",$O2658&gt;0)),"✖ Current غير صحيح",IF(NOT(IF(ISNUMBER($J2658),AND($J2658&gt;=0,$J2658=INT($J2658)),FALSE())),"✖ العدد يجب أن يكون صحيحًا ≥ 0",IF(AND($F2658="Baseline",$H2658&lt;&gt;""),"⚠ Baseline: Start لا يدخل في التقدم",IF($K2658="No Start (attainment only)","ℹ تحصيل فقط (بدون Start)",IF($K2658="U – needs rule","ℹ حالة U تحتاج قاعدة معتمدة",IF($K2658="No result","ℹ بدون نتيجة (يُستبعد من التحصيل)","OK")))))))))))</f>
        <v/>
      </c>
      <c r="M2658" s="64" t="n">
        <f aca="false">IF($A2658="",0,IFERROR(MATCH($A2658,Classes!$A$6:$A$420,0),0))</f>
        <v>0</v>
      </c>
      <c r="N2658" s="64" t="n">
        <f aca="false">IF($H2658="",0,IFERROR(MATCH($H2658,GradeList,0),0))</f>
        <v>0</v>
      </c>
      <c r="O2658" s="64" t="n">
        <f aca="false">IF(OR($I2658="",$I2658="NR"),0,IFERROR(MATCH($I2658,GradeList,0),0))</f>
        <v>0</v>
      </c>
      <c r="P2658" s="64" t="n">
        <f aca="false">IF(AND($M2658&gt;0,ISNUMBER(MATCH($F2658,Lists!$A$2:$A$5,0)),ISNUMBER(MATCH($G2658,Lists!$B$2:$B$7,0)),OR($H2658="",$N2658&gt;0),OR($I2658="",$I2658="NR",$O2658&gt;0),IF(ISNUMBER($J2658),AND($J2658&gt;=0,$J2658=INT($J2658)),FALSE())),$J2658,0)</f>
        <v>0</v>
      </c>
      <c r="Q2658" s="64" t="n">
        <f aca="false">IF(AND($P2658&gt;0,$O2658&gt;0),$P2658,0)</f>
        <v>0</v>
      </c>
      <c r="R2658" s="64" t="n">
        <f aca="false">IF(AND($Q2658&gt;0,$O2658&gt;=AtRank),$Q2658,0)</f>
        <v>0</v>
      </c>
      <c r="S2658" s="64" t="n">
        <f aca="false">IF(AND($Q2658&gt;0,$O2658&gt;=AboveRank),$Q2658,0)</f>
        <v>0</v>
      </c>
      <c r="T2658" s="64" t="n">
        <f aca="false">IF($K2658="Less",$P2658,0)</f>
        <v>0</v>
      </c>
      <c r="U2658" s="64" t="n">
        <f aca="false">IF($K2658="Expected",$P2658,0)</f>
        <v>0</v>
      </c>
      <c r="V2658" s="64" t="n">
        <f aca="false">IF($K2658="Better",$P2658,0)</f>
        <v>0</v>
      </c>
      <c r="W2658" s="64" t="n">
        <f aca="false">IF($K2658="U – needs rule",$P2658,0)</f>
        <v>0</v>
      </c>
      <c r="X2658" s="64" t="n">
        <f aca="false">IF($K2658="No Start (attainment only)",$P2658,0)</f>
        <v>0</v>
      </c>
    </row>
    <row r="2659" customFormat="false" ht="15" hidden="false" customHeight="false" outlineLevel="0" collapsed="false">
      <c r="A2659" s="60"/>
      <c r="B2659" s="61" t="str">
        <f aca="false">IF($M2659=0,"",INDEX(Classes!$E$6:$E$420,$M2659))</f>
        <v/>
      </c>
      <c r="C2659" s="62" t="str">
        <f aca="false">IF($M2659=0,"",INDEX(Classes!$H$6:$H$420,$M2659))</f>
        <v/>
      </c>
      <c r="D2659" s="61" t="str">
        <f aca="false">IF($M2659=0,"",INDEX(Classes!$B$6:$B$420,$M2659))</f>
        <v/>
      </c>
      <c r="E2659" s="61" t="str">
        <f aca="false">IF($M2659=0,"",INDEX(Classes!$C$6:$C$420,$M2659))</f>
        <v/>
      </c>
      <c r="F2659" s="63"/>
      <c r="G2659" s="63"/>
      <c r="H2659" s="60"/>
      <c r="I2659" s="60"/>
      <c r="J2659" s="63"/>
      <c r="K2659" s="61" t="str">
        <f aca="false">IF($P2659=0,"",IF($F2659="Baseline","— Baseline",IF($O2659=0,"No result",IF($N2659=0,"No Start (attainment only)",IF(OR($N2659=1,$O2659=1),"U – needs rule",INDEX(MxBody,MATCH($I2659,MxCurr,0),MATCH($H2659,MxStart,0)))))))</f>
        <v/>
      </c>
      <c r="L2659" s="62" t="str">
        <f aca="false">IF(COUNTA($A2659,$F2659,$G2659,$H2659,$I2659,$J2659)=0,"",IF($M2659=0,"✖ كود الصف غير موجود",IF(ISNA(MATCH($F2659,Lists!$A$2:$A$5,0)),"✖ الفترة غير صحيحة",IF(ISNA(MATCH($G2659,Lists!$B$2:$B$7,0)),"✖ المجموعة غير صحيحة",IF(NOT(OR($H2659="",$N2659&gt;0)),"✖ Start غير صحيح",IF(NOT(OR($I2659="",$I2659="NR",$O2659&gt;0)),"✖ Current غير صحيح",IF(NOT(IF(ISNUMBER($J2659),AND($J2659&gt;=0,$J2659=INT($J2659)),FALSE())),"✖ العدد يجب أن يكون صحيحًا ≥ 0",IF(AND($F2659="Baseline",$H2659&lt;&gt;""),"⚠ Baseline: Start لا يدخل في التقدم",IF($K2659="No Start (attainment only)","ℹ تحصيل فقط (بدون Start)",IF($K2659="U – needs rule","ℹ حالة U تحتاج قاعدة معتمدة",IF($K2659="No result","ℹ بدون نتيجة (يُستبعد من التحصيل)","OK")))))))))))</f>
        <v/>
      </c>
      <c r="M2659" s="64" t="n">
        <f aca="false">IF($A2659="",0,IFERROR(MATCH($A2659,Classes!$A$6:$A$420,0),0))</f>
        <v>0</v>
      </c>
      <c r="N2659" s="64" t="n">
        <f aca="false">IF($H2659="",0,IFERROR(MATCH($H2659,GradeList,0),0))</f>
        <v>0</v>
      </c>
      <c r="O2659" s="64" t="n">
        <f aca="false">IF(OR($I2659="",$I2659="NR"),0,IFERROR(MATCH($I2659,GradeList,0),0))</f>
        <v>0</v>
      </c>
      <c r="P2659" s="64" t="n">
        <f aca="false">IF(AND($M2659&gt;0,ISNUMBER(MATCH($F2659,Lists!$A$2:$A$5,0)),ISNUMBER(MATCH($G2659,Lists!$B$2:$B$7,0)),OR($H2659="",$N2659&gt;0),OR($I2659="",$I2659="NR",$O2659&gt;0),IF(ISNUMBER($J2659),AND($J2659&gt;=0,$J2659=INT($J2659)),FALSE())),$J2659,0)</f>
        <v>0</v>
      </c>
      <c r="Q2659" s="64" t="n">
        <f aca="false">IF(AND($P2659&gt;0,$O2659&gt;0),$P2659,0)</f>
        <v>0</v>
      </c>
      <c r="R2659" s="64" t="n">
        <f aca="false">IF(AND($Q2659&gt;0,$O2659&gt;=AtRank),$Q2659,0)</f>
        <v>0</v>
      </c>
      <c r="S2659" s="64" t="n">
        <f aca="false">IF(AND($Q2659&gt;0,$O2659&gt;=AboveRank),$Q2659,0)</f>
        <v>0</v>
      </c>
      <c r="T2659" s="64" t="n">
        <f aca="false">IF($K2659="Less",$P2659,0)</f>
        <v>0</v>
      </c>
      <c r="U2659" s="64" t="n">
        <f aca="false">IF($K2659="Expected",$P2659,0)</f>
        <v>0</v>
      </c>
      <c r="V2659" s="64" t="n">
        <f aca="false">IF($K2659="Better",$P2659,0)</f>
        <v>0</v>
      </c>
      <c r="W2659" s="64" t="n">
        <f aca="false">IF($K2659="U – needs rule",$P2659,0)</f>
        <v>0</v>
      </c>
      <c r="X2659" s="64" t="n">
        <f aca="false">IF($K2659="No Start (attainment only)",$P2659,0)</f>
        <v>0</v>
      </c>
    </row>
    <row r="2660" customFormat="false" ht="15" hidden="false" customHeight="false" outlineLevel="0" collapsed="false">
      <c r="A2660" s="60"/>
      <c r="B2660" s="61" t="str">
        <f aca="false">IF($M2660=0,"",INDEX(Classes!$E$6:$E$420,$M2660))</f>
        <v/>
      </c>
      <c r="C2660" s="62" t="str">
        <f aca="false">IF($M2660=0,"",INDEX(Classes!$H$6:$H$420,$M2660))</f>
        <v/>
      </c>
      <c r="D2660" s="61" t="str">
        <f aca="false">IF($M2660=0,"",INDEX(Classes!$B$6:$B$420,$M2660))</f>
        <v/>
      </c>
      <c r="E2660" s="61" t="str">
        <f aca="false">IF($M2660=0,"",INDEX(Classes!$C$6:$C$420,$M2660))</f>
        <v/>
      </c>
      <c r="F2660" s="63"/>
      <c r="G2660" s="63"/>
      <c r="H2660" s="60"/>
      <c r="I2660" s="60"/>
      <c r="J2660" s="63"/>
      <c r="K2660" s="61" t="str">
        <f aca="false">IF($P2660=0,"",IF($F2660="Baseline","— Baseline",IF($O2660=0,"No result",IF($N2660=0,"No Start (attainment only)",IF(OR($N2660=1,$O2660=1),"U – needs rule",INDEX(MxBody,MATCH($I2660,MxCurr,0),MATCH($H2660,MxStart,0)))))))</f>
        <v/>
      </c>
      <c r="L2660" s="62" t="str">
        <f aca="false">IF(COUNTA($A2660,$F2660,$G2660,$H2660,$I2660,$J2660)=0,"",IF($M2660=0,"✖ كود الصف غير موجود",IF(ISNA(MATCH($F2660,Lists!$A$2:$A$5,0)),"✖ الفترة غير صحيحة",IF(ISNA(MATCH($G2660,Lists!$B$2:$B$7,0)),"✖ المجموعة غير صحيحة",IF(NOT(OR($H2660="",$N2660&gt;0)),"✖ Start غير صحيح",IF(NOT(OR($I2660="",$I2660="NR",$O2660&gt;0)),"✖ Current غير صحيح",IF(NOT(IF(ISNUMBER($J2660),AND($J2660&gt;=0,$J2660=INT($J2660)),FALSE())),"✖ العدد يجب أن يكون صحيحًا ≥ 0",IF(AND($F2660="Baseline",$H2660&lt;&gt;""),"⚠ Baseline: Start لا يدخل في التقدم",IF($K2660="No Start (attainment only)","ℹ تحصيل فقط (بدون Start)",IF($K2660="U – needs rule","ℹ حالة U تحتاج قاعدة معتمدة",IF($K2660="No result","ℹ بدون نتيجة (يُستبعد من التحصيل)","OK")))))))))))</f>
        <v/>
      </c>
      <c r="M2660" s="64" t="n">
        <f aca="false">IF($A2660="",0,IFERROR(MATCH($A2660,Classes!$A$6:$A$420,0),0))</f>
        <v>0</v>
      </c>
      <c r="N2660" s="64" t="n">
        <f aca="false">IF($H2660="",0,IFERROR(MATCH($H2660,GradeList,0),0))</f>
        <v>0</v>
      </c>
      <c r="O2660" s="64" t="n">
        <f aca="false">IF(OR($I2660="",$I2660="NR"),0,IFERROR(MATCH($I2660,GradeList,0),0))</f>
        <v>0</v>
      </c>
      <c r="P2660" s="64" t="n">
        <f aca="false">IF(AND($M2660&gt;0,ISNUMBER(MATCH($F2660,Lists!$A$2:$A$5,0)),ISNUMBER(MATCH($G2660,Lists!$B$2:$B$7,0)),OR($H2660="",$N2660&gt;0),OR($I2660="",$I2660="NR",$O2660&gt;0),IF(ISNUMBER($J2660),AND($J2660&gt;=0,$J2660=INT($J2660)),FALSE())),$J2660,0)</f>
        <v>0</v>
      </c>
      <c r="Q2660" s="64" t="n">
        <f aca="false">IF(AND($P2660&gt;0,$O2660&gt;0),$P2660,0)</f>
        <v>0</v>
      </c>
      <c r="R2660" s="64" t="n">
        <f aca="false">IF(AND($Q2660&gt;0,$O2660&gt;=AtRank),$Q2660,0)</f>
        <v>0</v>
      </c>
      <c r="S2660" s="64" t="n">
        <f aca="false">IF(AND($Q2660&gt;0,$O2660&gt;=AboveRank),$Q2660,0)</f>
        <v>0</v>
      </c>
      <c r="T2660" s="64" t="n">
        <f aca="false">IF($K2660="Less",$P2660,0)</f>
        <v>0</v>
      </c>
      <c r="U2660" s="64" t="n">
        <f aca="false">IF($K2660="Expected",$P2660,0)</f>
        <v>0</v>
      </c>
      <c r="V2660" s="64" t="n">
        <f aca="false">IF($K2660="Better",$P2660,0)</f>
        <v>0</v>
      </c>
      <c r="W2660" s="64" t="n">
        <f aca="false">IF($K2660="U – needs rule",$P2660,0)</f>
        <v>0</v>
      </c>
      <c r="X2660" s="64" t="n">
        <f aca="false">IF($K2660="No Start (attainment only)",$P2660,0)</f>
        <v>0</v>
      </c>
    </row>
    <row r="2661" customFormat="false" ht="15" hidden="false" customHeight="false" outlineLevel="0" collapsed="false">
      <c r="A2661" s="60"/>
      <c r="B2661" s="61" t="str">
        <f aca="false">IF($M2661=0,"",INDEX(Classes!$E$6:$E$420,$M2661))</f>
        <v/>
      </c>
      <c r="C2661" s="62" t="str">
        <f aca="false">IF($M2661=0,"",INDEX(Classes!$H$6:$H$420,$M2661))</f>
        <v/>
      </c>
      <c r="D2661" s="61" t="str">
        <f aca="false">IF($M2661=0,"",INDEX(Classes!$B$6:$B$420,$M2661))</f>
        <v/>
      </c>
      <c r="E2661" s="61" t="str">
        <f aca="false">IF($M2661=0,"",INDEX(Classes!$C$6:$C$420,$M2661))</f>
        <v/>
      </c>
      <c r="F2661" s="63"/>
      <c r="G2661" s="63"/>
      <c r="H2661" s="60"/>
      <c r="I2661" s="60"/>
      <c r="J2661" s="63"/>
      <c r="K2661" s="61" t="str">
        <f aca="false">IF($P2661=0,"",IF($F2661="Baseline","— Baseline",IF($O2661=0,"No result",IF($N2661=0,"No Start (attainment only)",IF(OR($N2661=1,$O2661=1),"U – needs rule",INDEX(MxBody,MATCH($I2661,MxCurr,0),MATCH($H2661,MxStart,0)))))))</f>
        <v/>
      </c>
      <c r="L2661" s="62" t="str">
        <f aca="false">IF(COUNTA($A2661,$F2661,$G2661,$H2661,$I2661,$J2661)=0,"",IF($M2661=0,"✖ كود الصف غير موجود",IF(ISNA(MATCH($F2661,Lists!$A$2:$A$5,0)),"✖ الفترة غير صحيحة",IF(ISNA(MATCH($G2661,Lists!$B$2:$B$7,0)),"✖ المجموعة غير صحيحة",IF(NOT(OR($H2661="",$N2661&gt;0)),"✖ Start غير صحيح",IF(NOT(OR($I2661="",$I2661="NR",$O2661&gt;0)),"✖ Current غير صحيح",IF(NOT(IF(ISNUMBER($J2661),AND($J2661&gt;=0,$J2661=INT($J2661)),FALSE())),"✖ العدد يجب أن يكون صحيحًا ≥ 0",IF(AND($F2661="Baseline",$H2661&lt;&gt;""),"⚠ Baseline: Start لا يدخل في التقدم",IF($K2661="No Start (attainment only)","ℹ تحصيل فقط (بدون Start)",IF($K2661="U – needs rule","ℹ حالة U تحتاج قاعدة معتمدة",IF($K2661="No result","ℹ بدون نتيجة (يُستبعد من التحصيل)","OK")))))))))))</f>
        <v/>
      </c>
      <c r="M2661" s="64" t="n">
        <f aca="false">IF($A2661="",0,IFERROR(MATCH($A2661,Classes!$A$6:$A$420,0),0))</f>
        <v>0</v>
      </c>
      <c r="N2661" s="64" t="n">
        <f aca="false">IF($H2661="",0,IFERROR(MATCH($H2661,GradeList,0),0))</f>
        <v>0</v>
      </c>
      <c r="O2661" s="64" t="n">
        <f aca="false">IF(OR($I2661="",$I2661="NR"),0,IFERROR(MATCH($I2661,GradeList,0),0))</f>
        <v>0</v>
      </c>
      <c r="P2661" s="64" t="n">
        <f aca="false">IF(AND($M2661&gt;0,ISNUMBER(MATCH($F2661,Lists!$A$2:$A$5,0)),ISNUMBER(MATCH($G2661,Lists!$B$2:$B$7,0)),OR($H2661="",$N2661&gt;0),OR($I2661="",$I2661="NR",$O2661&gt;0),IF(ISNUMBER($J2661),AND($J2661&gt;=0,$J2661=INT($J2661)),FALSE())),$J2661,0)</f>
        <v>0</v>
      </c>
      <c r="Q2661" s="64" t="n">
        <f aca="false">IF(AND($P2661&gt;0,$O2661&gt;0),$P2661,0)</f>
        <v>0</v>
      </c>
      <c r="R2661" s="64" t="n">
        <f aca="false">IF(AND($Q2661&gt;0,$O2661&gt;=AtRank),$Q2661,0)</f>
        <v>0</v>
      </c>
      <c r="S2661" s="64" t="n">
        <f aca="false">IF(AND($Q2661&gt;0,$O2661&gt;=AboveRank),$Q2661,0)</f>
        <v>0</v>
      </c>
      <c r="T2661" s="64" t="n">
        <f aca="false">IF($K2661="Less",$P2661,0)</f>
        <v>0</v>
      </c>
      <c r="U2661" s="64" t="n">
        <f aca="false">IF($K2661="Expected",$P2661,0)</f>
        <v>0</v>
      </c>
      <c r="V2661" s="64" t="n">
        <f aca="false">IF($K2661="Better",$P2661,0)</f>
        <v>0</v>
      </c>
      <c r="W2661" s="64" t="n">
        <f aca="false">IF($K2661="U – needs rule",$P2661,0)</f>
        <v>0</v>
      </c>
      <c r="X2661" s="64" t="n">
        <f aca="false">IF($K2661="No Start (attainment only)",$P2661,0)</f>
        <v>0</v>
      </c>
    </row>
    <row r="2662" customFormat="false" ht="15" hidden="false" customHeight="false" outlineLevel="0" collapsed="false">
      <c r="A2662" s="60"/>
      <c r="B2662" s="61" t="str">
        <f aca="false">IF($M2662=0,"",INDEX(Classes!$E$6:$E$420,$M2662))</f>
        <v/>
      </c>
      <c r="C2662" s="62" t="str">
        <f aca="false">IF($M2662=0,"",INDEX(Classes!$H$6:$H$420,$M2662))</f>
        <v/>
      </c>
      <c r="D2662" s="61" t="str">
        <f aca="false">IF($M2662=0,"",INDEX(Classes!$B$6:$B$420,$M2662))</f>
        <v/>
      </c>
      <c r="E2662" s="61" t="str">
        <f aca="false">IF($M2662=0,"",INDEX(Classes!$C$6:$C$420,$M2662))</f>
        <v/>
      </c>
      <c r="F2662" s="63"/>
      <c r="G2662" s="63"/>
      <c r="H2662" s="60"/>
      <c r="I2662" s="60"/>
      <c r="J2662" s="63"/>
      <c r="K2662" s="61" t="str">
        <f aca="false">IF($P2662=0,"",IF($F2662="Baseline","— Baseline",IF($O2662=0,"No result",IF($N2662=0,"No Start (attainment only)",IF(OR($N2662=1,$O2662=1),"U – needs rule",INDEX(MxBody,MATCH($I2662,MxCurr,0),MATCH($H2662,MxStart,0)))))))</f>
        <v/>
      </c>
      <c r="L2662" s="62" t="str">
        <f aca="false">IF(COUNTA($A2662,$F2662,$G2662,$H2662,$I2662,$J2662)=0,"",IF($M2662=0,"✖ كود الصف غير موجود",IF(ISNA(MATCH($F2662,Lists!$A$2:$A$5,0)),"✖ الفترة غير صحيحة",IF(ISNA(MATCH($G2662,Lists!$B$2:$B$7,0)),"✖ المجموعة غير صحيحة",IF(NOT(OR($H2662="",$N2662&gt;0)),"✖ Start غير صحيح",IF(NOT(OR($I2662="",$I2662="NR",$O2662&gt;0)),"✖ Current غير صحيح",IF(NOT(IF(ISNUMBER($J2662),AND($J2662&gt;=0,$J2662=INT($J2662)),FALSE())),"✖ العدد يجب أن يكون صحيحًا ≥ 0",IF(AND($F2662="Baseline",$H2662&lt;&gt;""),"⚠ Baseline: Start لا يدخل في التقدم",IF($K2662="No Start (attainment only)","ℹ تحصيل فقط (بدون Start)",IF($K2662="U – needs rule","ℹ حالة U تحتاج قاعدة معتمدة",IF($K2662="No result","ℹ بدون نتيجة (يُستبعد من التحصيل)","OK")))))))))))</f>
        <v/>
      </c>
      <c r="M2662" s="64" t="n">
        <f aca="false">IF($A2662="",0,IFERROR(MATCH($A2662,Classes!$A$6:$A$420,0),0))</f>
        <v>0</v>
      </c>
      <c r="N2662" s="64" t="n">
        <f aca="false">IF($H2662="",0,IFERROR(MATCH($H2662,GradeList,0),0))</f>
        <v>0</v>
      </c>
      <c r="O2662" s="64" t="n">
        <f aca="false">IF(OR($I2662="",$I2662="NR"),0,IFERROR(MATCH($I2662,GradeList,0),0))</f>
        <v>0</v>
      </c>
      <c r="P2662" s="64" t="n">
        <f aca="false">IF(AND($M2662&gt;0,ISNUMBER(MATCH($F2662,Lists!$A$2:$A$5,0)),ISNUMBER(MATCH($G2662,Lists!$B$2:$B$7,0)),OR($H2662="",$N2662&gt;0),OR($I2662="",$I2662="NR",$O2662&gt;0),IF(ISNUMBER($J2662),AND($J2662&gt;=0,$J2662=INT($J2662)),FALSE())),$J2662,0)</f>
        <v>0</v>
      </c>
      <c r="Q2662" s="64" t="n">
        <f aca="false">IF(AND($P2662&gt;0,$O2662&gt;0),$P2662,0)</f>
        <v>0</v>
      </c>
      <c r="R2662" s="64" t="n">
        <f aca="false">IF(AND($Q2662&gt;0,$O2662&gt;=AtRank),$Q2662,0)</f>
        <v>0</v>
      </c>
      <c r="S2662" s="64" t="n">
        <f aca="false">IF(AND($Q2662&gt;0,$O2662&gt;=AboveRank),$Q2662,0)</f>
        <v>0</v>
      </c>
      <c r="T2662" s="64" t="n">
        <f aca="false">IF($K2662="Less",$P2662,0)</f>
        <v>0</v>
      </c>
      <c r="U2662" s="64" t="n">
        <f aca="false">IF($K2662="Expected",$P2662,0)</f>
        <v>0</v>
      </c>
      <c r="V2662" s="64" t="n">
        <f aca="false">IF($K2662="Better",$P2662,0)</f>
        <v>0</v>
      </c>
      <c r="W2662" s="64" t="n">
        <f aca="false">IF($K2662="U – needs rule",$P2662,0)</f>
        <v>0</v>
      </c>
      <c r="X2662" s="64" t="n">
        <f aca="false">IF($K2662="No Start (attainment only)",$P2662,0)</f>
        <v>0</v>
      </c>
    </row>
    <row r="2663" customFormat="false" ht="15" hidden="false" customHeight="false" outlineLevel="0" collapsed="false">
      <c r="A2663" s="60"/>
      <c r="B2663" s="61" t="str">
        <f aca="false">IF($M2663=0,"",INDEX(Classes!$E$6:$E$420,$M2663))</f>
        <v/>
      </c>
      <c r="C2663" s="62" t="str">
        <f aca="false">IF($M2663=0,"",INDEX(Classes!$H$6:$H$420,$M2663))</f>
        <v/>
      </c>
      <c r="D2663" s="61" t="str">
        <f aca="false">IF($M2663=0,"",INDEX(Classes!$B$6:$B$420,$M2663))</f>
        <v/>
      </c>
      <c r="E2663" s="61" t="str">
        <f aca="false">IF($M2663=0,"",INDEX(Classes!$C$6:$C$420,$M2663))</f>
        <v/>
      </c>
      <c r="F2663" s="63"/>
      <c r="G2663" s="63"/>
      <c r="H2663" s="60"/>
      <c r="I2663" s="60"/>
      <c r="J2663" s="63"/>
      <c r="K2663" s="61" t="str">
        <f aca="false">IF($P2663=0,"",IF($F2663="Baseline","— Baseline",IF($O2663=0,"No result",IF($N2663=0,"No Start (attainment only)",IF(OR($N2663=1,$O2663=1),"U – needs rule",INDEX(MxBody,MATCH($I2663,MxCurr,0),MATCH($H2663,MxStart,0)))))))</f>
        <v/>
      </c>
      <c r="L2663" s="62" t="str">
        <f aca="false">IF(COUNTA($A2663,$F2663,$G2663,$H2663,$I2663,$J2663)=0,"",IF($M2663=0,"✖ كود الصف غير موجود",IF(ISNA(MATCH($F2663,Lists!$A$2:$A$5,0)),"✖ الفترة غير صحيحة",IF(ISNA(MATCH($G2663,Lists!$B$2:$B$7,0)),"✖ المجموعة غير صحيحة",IF(NOT(OR($H2663="",$N2663&gt;0)),"✖ Start غير صحيح",IF(NOT(OR($I2663="",$I2663="NR",$O2663&gt;0)),"✖ Current غير صحيح",IF(NOT(IF(ISNUMBER($J2663),AND($J2663&gt;=0,$J2663=INT($J2663)),FALSE())),"✖ العدد يجب أن يكون صحيحًا ≥ 0",IF(AND($F2663="Baseline",$H2663&lt;&gt;""),"⚠ Baseline: Start لا يدخل في التقدم",IF($K2663="No Start (attainment only)","ℹ تحصيل فقط (بدون Start)",IF($K2663="U – needs rule","ℹ حالة U تحتاج قاعدة معتمدة",IF($K2663="No result","ℹ بدون نتيجة (يُستبعد من التحصيل)","OK")))))))))))</f>
        <v/>
      </c>
      <c r="M2663" s="64" t="n">
        <f aca="false">IF($A2663="",0,IFERROR(MATCH($A2663,Classes!$A$6:$A$420,0),0))</f>
        <v>0</v>
      </c>
      <c r="N2663" s="64" t="n">
        <f aca="false">IF($H2663="",0,IFERROR(MATCH($H2663,GradeList,0),0))</f>
        <v>0</v>
      </c>
      <c r="O2663" s="64" t="n">
        <f aca="false">IF(OR($I2663="",$I2663="NR"),0,IFERROR(MATCH($I2663,GradeList,0),0))</f>
        <v>0</v>
      </c>
      <c r="P2663" s="64" t="n">
        <f aca="false">IF(AND($M2663&gt;0,ISNUMBER(MATCH($F2663,Lists!$A$2:$A$5,0)),ISNUMBER(MATCH($G2663,Lists!$B$2:$B$7,0)),OR($H2663="",$N2663&gt;0),OR($I2663="",$I2663="NR",$O2663&gt;0),IF(ISNUMBER($J2663),AND($J2663&gt;=0,$J2663=INT($J2663)),FALSE())),$J2663,0)</f>
        <v>0</v>
      </c>
      <c r="Q2663" s="64" t="n">
        <f aca="false">IF(AND($P2663&gt;0,$O2663&gt;0),$P2663,0)</f>
        <v>0</v>
      </c>
      <c r="R2663" s="64" t="n">
        <f aca="false">IF(AND($Q2663&gt;0,$O2663&gt;=AtRank),$Q2663,0)</f>
        <v>0</v>
      </c>
      <c r="S2663" s="64" t="n">
        <f aca="false">IF(AND($Q2663&gt;0,$O2663&gt;=AboveRank),$Q2663,0)</f>
        <v>0</v>
      </c>
      <c r="T2663" s="64" t="n">
        <f aca="false">IF($K2663="Less",$P2663,0)</f>
        <v>0</v>
      </c>
      <c r="U2663" s="64" t="n">
        <f aca="false">IF($K2663="Expected",$P2663,0)</f>
        <v>0</v>
      </c>
      <c r="V2663" s="64" t="n">
        <f aca="false">IF($K2663="Better",$P2663,0)</f>
        <v>0</v>
      </c>
      <c r="W2663" s="64" t="n">
        <f aca="false">IF($K2663="U – needs rule",$P2663,0)</f>
        <v>0</v>
      </c>
      <c r="X2663" s="64" t="n">
        <f aca="false">IF($K2663="No Start (attainment only)",$P2663,0)</f>
        <v>0</v>
      </c>
    </row>
    <row r="2664" customFormat="false" ht="15" hidden="false" customHeight="false" outlineLevel="0" collapsed="false">
      <c r="A2664" s="60"/>
      <c r="B2664" s="61" t="str">
        <f aca="false">IF($M2664=0,"",INDEX(Classes!$E$6:$E$420,$M2664))</f>
        <v/>
      </c>
      <c r="C2664" s="62" t="str">
        <f aca="false">IF($M2664=0,"",INDEX(Classes!$H$6:$H$420,$M2664))</f>
        <v/>
      </c>
      <c r="D2664" s="61" t="str">
        <f aca="false">IF($M2664=0,"",INDEX(Classes!$B$6:$B$420,$M2664))</f>
        <v/>
      </c>
      <c r="E2664" s="61" t="str">
        <f aca="false">IF($M2664=0,"",INDEX(Classes!$C$6:$C$420,$M2664))</f>
        <v/>
      </c>
      <c r="F2664" s="63"/>
      <c r="G2664" s="63"/>
      <c r="H2664" s="60"/>
      <c r="I2664" s="60"/>
      <c r="J2664" s="63"/>
      <c r="K2664" s="61" t="str">
        <f aca="false">IF($P2664=0,"",IF($F2664="Baseline","— Baseline",IF($O2664=0,"No result",IF($N2664=0,"No Start (attainment only)",IF(OR($N2664=1,$O2664=1),"U – needs rule",INDEX(MxBody,MATCH($I2664,MxCurr,0),MATCH($H2664,MxStart,0)))))))</f>
        <v/>
      </c>
      <c r="L2664" s="62" t="str">
        <f aca="false">IF(COUNTA($A2664,$F2664,$G2664,$H2664,$I2664,$J2664)=0,"",IF($M2664=0,"✖ كود الصف غير موجود",IF(ISNA(MATCH($F2664,Lists!$A$2:$A$5,0)),"✖ الفترة غير صحيحة",IF(ISNA(MATCH($G2664,Lists!$B$2:$B$7,0)),"✖ المجموعة غير صحيحة",IF(NOT(OR($H2664="",$N2664&gt;0)),"✖ Start غير صحيح",IF(NOT(OR($I2664="",$I2664="NR",$O2664&gt;0)),"✖ Current غير صحيح",IF(NOT(IF(ISNUMBER($J2664),AND($J2664&gt;=0,$J2664=INT($J2664)),FALSE())),"✖ العدد يجب أن يكون صحيحًا ≥ 0",IF(AND($F2664="Baseline",$H2664&lt;&gt;""),"⚠ Baseline: Start لا يدخل في التقدم",IF($K2664="No Start (attainment only)","ℹ تحصيل فقط (بدون Start)",IF($K2664="U – needs rule","ℹ حالة U تحتاج قاعدة معتمدة",IF($K2664="No result","ℹ بدون نتيجة (يُستبعد من التحصيل)","OK")))))))))))</f>
        <v/>
      </c>
      <c r="M2664" s="64" t="n">
        <f aca="false">IF($A2664="",0,IFERROR(MATCH($A2664,Classes!$A$6:$A$420,0),0))</f>
        <v>0</v>
      </c>
      <c r="N2664" s="64" t="n">
        <f aca="false">IF($H2664="",0,IFERROR(MATCH($H2664,GradeList,0),0))</f>
        <v>0</v>
      </c>
      <c r="O2664" s="64" t="n">
        <f aca="false">IF(OR($I2664="",$I2664="NR"),0,IFERROR(MATCH($I2664,GradeList,0),0))</f>
        <v>0</v>
      </c>
      <c r="P2664" s="64" t="n">
        <f aca="false">IF(AND($M2664&gt;0,ISNUMBER(MATCH($F2664,Lists!$A$2:$A$5,0)),ISNUMBER(MATCH($G2664,Lists!$B$2:$B$7,0)),OR($H2664="",$N2664&gt;0),OR($I2664="",$I2664="NR",$O2664&gt;0),IF(ISNUMBER($J2664),AND($J2664&gt;=0,$J2664=INT($J2664)),FALSE())),$J2664,0)</f>
        <v>0</v>
      </c>
      <c r="Q2664" s="64" t="n">
        <f aca="false">IF(AND($P2664&gt;0,$O2664&gt;0),$P2664,0)</f>
        <v>0</v>
      </c>
      <c r="R2664" s="64" t="n">
        <f aca="false">IF(AND($Q2664&gt;0,$O2664&gt;=AtRank),$Q2664,0)</f>
        <v>0</v>
      </c>
      <c r="S2664" s="64" t="n">
        <f aca="false">IF(AND($Q2664&gt;0,$O2664&gt;=AboveRank),$Q2664,0)</f>
        <v>0</v>
      </c>
      <c r="T2664" s="64" t="n">
        <f aca="false">IF($K2664="Less",$P2664,0)</f>
        <v>0</v>
      </c>
      <c r="U2664" s="64" t="n">
        <f aca="false">IF($K2664="Expected",$P2664,0)</f>
        <v>0</v>
      </c>
      <c r="V2664" s="64" t="n">
        <f aca="false">IF($K2664="Better",$P2664,0)</f>
        <v>0</v>
      </c>
      <c r="W2664" s="64" t="n">
        <f aca="false">IF($K2664="U – needs rule",$P2664,0)</f>
        <v>0</v>
      </c>
      <c r="X2664" s="64" t="n">
        <f aca="false">IF($K2664="No Start (attainment only)",$P2664,0)</f>
        <v>0</v>
      </c>
    </row>
    <row r="2665" customFormat="false" ht="15" hidden="false" customHeight="false" outlineLevel="0" collapsed="false">
      <c r="A2665" s="60"/>
      <c r="B2665" s="61" t="str">
        <f aca="false">IF($M2665=0,"",INDEX(Classes!$E$6:$E$420,$M2665))</f>
        <v/>
      </c>
      <c r="C2665" s="62" t="str">
        <f aca="false">IF($M2665=0,"",INDEX(Classes!$H$6:$H$420,$M2665))</f>
        <v/>
      </c>
      <c r="D2665" s="61" t="str">
        <f aca="false">IF($M2665=0,"",INDEX(Classes!$B$6:$B$420,$M2665))</f>
        <v/>
      </c>
      <c r="E2665" s="61" t="str">
        <f aca="false">IF($M2665=0,"",INDEX(Classes!$C$6:$C$420,$M2665))</f>
        <v/>
      </c>
      <c r="F2665" s="63"/>
      <c r="G2665" s="63"/>
      <c r="H2665" s="60"/>
      <c r="I2665" s="60"/>
      <c r="J2665" s="63"/>
      <c r="K2665" s="61" t="str">
        <f aca="false">IF($P2665=0,"",IF($F2665="Baseline","— Baseline",IF($O2665=0,"No result",IF($N2665=0,"No Start (attainment only)",IF(OR($N2665=1,$O2665=1),"U – needs rule",INDEX(MxBody,MATCH($I2665,MxCurr,0),MATCH($H2665,MxStart,0)))))))</f>
        <v/>
      </c>
      <c r="L2665" s="62" t="str">
        <f aca="false">IF(COUNTA($A2665,$F2665,$G2665,$H2665,$I2665,$J2665)=0,"",IF($M2665=0,"✖ كود الصف غير موجود",IF(ISNA(MATCH($F2665,Lists!$A$2:$A$5,0)),"✖ الفترة غير صحيحة",IF(ISNA(MATCH($G2665,Lists!$B$2:$B$7,0)),"✖ المجموعة غير صحيحة",IF(NOT(OR($H2665="",$N2665&gt;0)),"✖ Start غير صحيح",IF(NOT(OR($I2665="",$I2665="NR",$O2665&gt;0)),"✖ Current غير صحيح",IF(NOT(IF(ISNUMBER($J2665),AND($J2665&gt;=0,$J2665=INT($J2665)),FALSE())),"✖ العدد يجب أن يكون صحيحًا ≥ 0",IF(AND($F2665="Baseline",$H2665&lt;&gt;""),"⚠ Baseline: Start لا يدخل في التقدم",IF($K2665="No Start (attainment only)","ℹ تحصيل فقط (بدون Start)",IF($K2665="U – needs rule","ℹ حالة U تحتاج قاعدة معتمدة",IF($K2665="No result","ℹ بدون نتيجة (يُستبعد من التحصيل)","OK")))))))))))</f>
        <v/>
      </c>
      <c r="M2665" s="64" t="n">
        <f aca="false">IF($A2665="",0,IFERROR(MATCH($A2665,Classes!$A$6:$A$420,0),0))</f>
        <v>0</v>
      </c>
      <c r="N2665" s="64" t="n">
        <f aca="false">IF($H2665="",0,IFERROR(MATCH($H2665,GradeList,0),0))</f>
        <v>0</v>
      </c>
      <c r="O2665" s="64" t="n">
        <f aca="false">IF(OR($I2665="",$I2665="NR"),0,IFERROR(MATCH($I2665,GradeList,0),0))</f>
        <v>0</v>
      </c>
      <c r="P2665" s="64" t="n">
        <f aca="false">IF(AND($M2665&gt;0,ISNUMBER(MATCH($F2665,Lists!$A$2:$A$5,0)),ISNUMBER(MATCH($G2665,Lists!$B$2:$B$7,0)),OR($H2665="",$N2665&gt;0),OR($I2665="",$I2665="NR",$O2665&gt;0),IF(ISNUMBER($J2665),AND($J2665&gt;=0,$J2665=INT($J2665)),FALSE())),$J2665,0)</f>
        <v>0</v>
      </c>
      <c r="Q2665" s="64" t="n">
        <f aca="false">IF(AND($P2665&gt;0,$O2665&gt;0),$P2665,0)</f>
        <v>0</v>
      </c>
      <c r="R2665" s="64" t="n">
        <f aca="false">IF(AND($Q2665&gt;0,$O2665&gt;=AtRank),$Q2665,0)</f>
        <v>0</v>
      </c>
      <c r="S2665" s="64" t="n">
        <f aca="false">IF(AND($Q2665&gt;0,$O2665&gt;=AboveRank),$Q2665,0)</f>
        <v>0</v>
      </c>
      <c r="T2665" s="64" t="n">
        <f aca="false">IF($K2665="Less",$P2665,0)</f>
        <v>0</v>
      </c>
      <c r="U2665" s="64" t="n">
        <f aca="false">IF($K2665="Expected",$P2665,0)</f>
        <v>0</v>
      </c>
      <c r="V2665" s="64" t="n">
        <f aca="false">IF($K2665="Better",$P2665,0)</f>
        <v>0</v>
      </c>
      <c r="W2665" s="64" t="n">
        <f aca="false">IF($K2665="U – needs rule",$P2665,0)</f>
        <v>0</v>
      </c>
      <c r="X2665" s="64" t="n">
        <f aca="false">IF($K2665="No Start (attainment only)",$P2665,0)</f>
        <v>0</v>
      </c>
    </row>
    <row r="2666" customFormat="false" ht="15" hidden="false" customHeight="false" outlineLevel="0" collapsed="false">
      <c r="A2666" s="60"/>
      <c r="B2666" s="61" t="str">
        <f aca="false">IF($M2666=0,"",INDEX(Classes!$E$6:$E$420,$M2666))</f>
        <v/>
      </c>
      <c r="C2666" s="62" t="str">
        <f aca="false">IF($M2666=0,"",INDEX(Classes!$H$6:$H$420,$M2666))</f>
        <v/>
      </c>
      <c r="D2666" s="61" t="str">
        <f aca="false">IF($M2666=0,"",INDEX(Classes!$B$6:$B$420,$M2666))</f>
        <v/>
      </c>
      <c r="E2666" s="61" t="str">
        <f aca="false">IF($M2666=0,"",INDEX(Classes!$C$6:$C$420,$M2666))</f>
        <v/>
      </c>
      <c r="F2666" s="63"/>
      <c r="G2666" s="63"/>
      <c r="H2666" s="60"/>
      <c r="I2666" s="60"/>
      <c r="J2666" s="63"/>
      <c r="K2666" s="61" t="str">
        <f aca="false">IF($P2666=0,"",IF($F2666="Baseline","— Baseline",IF($O2666=0,"No result",IF($N2666=0,"No Start (attainment only)",IF(OR($N2666=1,$O2666=1),"U – needs rule",INDEX(MxBody,MATCH($I2666,MxCurr,0),MATCH($H2666,MxStart,0)))))))</f>
        <v/>
      </c>
      <c r="L2666" s="62" t="str">
        <f aca="false">IF(COUNTA($A2666,$F2666,$G2666,$H2666,$I2666,$J2666)=0,"",IF($M2666=0,"✖ كود الصف غير موجود",IF(ISNA(MATCH($F2666,Lists!$A$2:$A$5,0)),"✖ الفترة غير صحيحة",IF(ISNA(MATCH($G2666,Lists!$B$2:$B$7,0)),"✖ المجموعة غير صحيحة",IF(NOT(OR($H2666="",$N2666&gt;0)),"✖ Start غير صحيح",IF(NOT(OR($I2666="",$I2666="NR",$O2666&gt;0)),"✖ Current غير صحيح",IF(NOT(IF(ISNUMBER($J2666),AND($J2666&gt;=0,$J2666=INT($J2666)),FALSE())),"✖ العدد يجب أن يكون صحيحًا ≥ 0",IF(AND($F2666="Baseline",$H2666&lt;&gt;""),"⚠ Baseline: Start لا يدخل في التقدم",IF($K2666="No Start (attainment only)","ℹ تحصيل فقط (بدون Start)",IF($K2666="U – needs rule","ℹ حالة U تحتاج قاعدة معتمدة",IF($K2666="No result","ℹ بدون نتيجة (يُستبعد من التحصيل)","OK")))))))))))</f>
        <v/>
      </c>
      <c r="M2666" s="64" t="n">
        <f aca="false">IF($A2666="",0,IFERROR(MATCH($A2666,Classes!$A$6:$A$420,0),0))</f>
        <v>0</v>
      </c>
      <c r="N2666" s="64" t="n">
        <f aca="false">IF($H2666="",0,IFERROR(MATCH($H2666,GradeList,0),0))</f>
        <v>0</v>
      </c>
      <c r="O2666" s="64" t="n">
        <f aca="false">IF(OR($I2666="",$I2666="NR"),0,IFERROR(MATCH($I2666,GradeList,0),0))</f>
        <v>0</v>
      </c>
      <c r="P2666" s="64" t="n">
        <f aca="false">IF(AND($M2666&gt;0,ISNUMBER(MATCH($F2666,Lists!$A$2:$A$5,0)),ISNUMBER(MATCH($G2666,Lists!$B$2:$B$7,0)),OR($H2666="",$N2666&gt;0),OR($I2666="",$I2666="NR",$O2666&gt;0),IF(ISNUMBER($J2666),AND($J2666&gt;=0,$J2666=INT($J2666)),FALSE())),$J2666,0)</f>
        <v>0</v>
      </c>
      <c r="Q2666" s="64" t="n">
        <f aca="false">IF(AND($P2666&gt;0,$O2666&gt;0),$P2666,0)</f>
        <v>0</v>
      </c>
      <c r="R2666" s="64" t="n">
        <f aca="false">IF(AND($Q2666&gt;0,$O2666&gt;=AtRank),$Q2666,0)</f>
        <v>0</v>
      </c>
      <c r="S2666" s="64" t="n">
        <f aca="false">IF(AND($Q2666&gt;0,$O2666&gt;=AboveRank),$Q2666,0)</f>
        <v>0</v>
      </c>
      <c r="T2666" s="64" t="n">
        <f aca="false">IF($K2666="Less",$P2666,0)</f>
        <v>0</v>
      </c>
      <c r="U2666" s="64" t="n">
        <f aca="false">IF($K2666="Expected",$P2666,0)</f>
        <v>0</v>
      </c>
      <c r="V2666" s="64" t="n">
        <f aca="false">IF($K2666="Better",$P2666,0)</f>
        <v>0</v>
      </c>
      <c r="W2666" s="64" t="n">
        <f aca="false">IF($K2666="U – needs rule",$P2666,0)</f>
        <v>0</v>
      </c>
      <c r="X2666" s="64" t="n">
        <f aca="false">IF($K2666="No Start (attainment only)",$P2666,0)</f>
        <v>0</v>
      </c>
    </row>
    <row r="2667" customFormat="false" ht="15" hidden="false" customHeight="false" outlineLevel="0" collapsed="false">
      <c r="A2667" s="60"/>
      <c r="B2667" s="61" t="str">
        <f aca="false">IF($M2667=0,"",INDEX(Classes!$E$6:$E$420,$M2667))</f>
        <v/>
      </c>
      <c r="C2667" s="62" t="str">
        <f aca="false">IF($M2667=0,"",INDEX(Classes!$H$6:$H$420,$M2667))</f>
        <v/>
      </c>
      <c r="D2667" s="61" t="str">
        <f aca="false">IF($M2667=0,"",INDEX(Classes!$B$6:$B$420,$M2667))</f>
        <v/>
      </c>
      <c r="E2667" s="61" t="str">
        <f aca="false">IF($M2667=0,"",INDEX(Classes!$C$6:$C$420,$M2667))</f>
        <v/>
      </c>
      <c r="F2667" s="63"/>
      <c r="G2667" s="63"/>
      <c r="H2667" s="60"/>
      <c r="I2667" s="60"/>
      <c r="J2667" s="63"/>
      <c r="K2667" s="61" t="str">
        <f aca="false">IF($P2667=0,"",IF($F2667="Baseline","— Baseline",IF($O2667=0,"No result",IF($N2667=0,"No Start (attainment only)",IF(OR($N2667=1,$O2667=1),"U – needs rule",INDEX(MxBody,MATCH($I2667,MxCurr,0),MATCH($H2667,MxStart,0)))))))</f>
        <v/>
      </c>
      <c r="L2667" s="62" t="str">
        <f aca="false">IF(COUNTA($A2667,$F2667,$G2667,$H2667,$I2667,$J2667)=0,"",IF($M2667=0,"✖ كود الصف غير موجود",IF(ISNA(MATCH($F2667,Lists!$A$2:$A$5,0)),"✖ الفترة غير صحيحة",IF(ISNA(MATCH($G2667,Lists!$B$2:$B$7,0)),"✖ المجموعة غير صحيحة",IF(NOT(OR($H2667="",$N2667&gt;0)),"✖ Start غير صحيح",IF(NOT(OR($I2667="",$I2667="NR",$O2667&gt;0)),"✖ Current غير صحيح",IF(NOT(IF(ISNUMBER($J2667),AND($J2667&gt;=0,$J2667=INT($J2667)),FALSE())),"✖ العدد يجب أن يكون صحيحًا ≥ 0",IF(AND($F2667="Baseline",$H2667&lt;&gt;""),"⚠ Baseline: Start لا يدخل في التقدم",IF($K2667="No Start (attainment only)","ℹ تحصيل فقط (بدون Start)",IF($K2667="U – needs rule","ℹ حالة U تحتاج قاعدة معتمدة",IF($K2667="No result","ℹ بدون نتيجة (يُستبعد من التحصيل)","OK")))))))))))</f>
        <v/>
      </c>
      <c r="M2667" s="64" t="n">
        <f aca="false">IF($A2667="",0,IFERROR(MATCH($A2667,Classes!$A$6:$A$420,0),0))</f>
        <v>0</v>
      </c>
      <c r="N2667" s="64" t="n">
        <f aca="false">IF($H2667="",0,IFERROR(MATCH($H2667,GradeList,0),0))</f>
        <v>0</v>
      </c>
      <c r="O2667" s="64" t="n">
        <f aca="false">IF(OR($I2667="",$I2667="NR"),0,IFERROR(MATCH($I2667,GradeList,0),0))</f>
        <v>0</v>
      </c>
      <c r="P2667" s="64" t="n">
        <f aca="false">IF(AND($M2667&gt;0,ISNUMBER(MATCH($F2667,Lists!$A$2:$A$5,0)),ISNUMBER(MATCH($G2667,Lists!$B$2:$B$7,0)),OR($H2667="",$N2667&gt;0),OR($I2667="",$I2667="NR",$O2667&gt;0),IF(ISNUMBER($J2667),AND($J2667&gt;=0,$J2667=INT($J2667)),FALSE())),$J2667,0)</f>
        <v>0</v>
      </c>
      <c r="Q2667" s="64" t="n">
        <f aca="false">IF(AND($P2667&gt;0,$O2667&gt;0),$P2667,0)</f>
        <v>0</v>
      </c>
      <c r="R2667" s="64" t="n">
        <f aca="false">IF(AND($Q2667&gt;0,$O2667&gt;=AtRank),$Q2667,0)</f>
        <v>0</v>
      </c>
      <c r="S2667" s="64" t="n">
        <f aca="false">IF(AND($Q2667&gt;0,$O2667&gt;=AboveRank),$Q2667,0)</f>
        <v>0</v>
      </c>
      <c r="T2667" s="64" t="n">
        <f aca="false">IF($K2667="Less",$P2667,0)</f>
        <v>0</v>
      </c>
      <c r="U2667" s="64" t="n">
        <f aca="false">IF($K2667="Expected",$P2667,0)</f>
        <v>0</v>
      </c>
      <c r="V2667" s="64" t="n">
        <f aca="false">IF($K2667="Better",$P2667,0)</f>
        <v>0</v>
      </c>
      <c r="W2667" s="64" t="n">
        <f aca="false">IF($K2667="U – needs rule",$P2667,0)</f>
        <v>0</v>
      </c>
      <c r="X2667" s="64" t="n">
        <f aca="false">IF($K2667="No Start (attainment only)",$P2667,0)</f>
        <v>0</v>
      </c>
    </row>
    <row r="2668" customFormat="false" ht="15" hidden="false" customHeight="false" outlineLevel="0" collapsed="false">
      <c r="A2668" s="60"/>
      <c r="B2668" s="61" t="str">
        <f aca="false">IF($M2668=0,"",INDEX(Classes!$E$6:$E$420,$M2668))</f>
        <v/>
      </c>
      <c r="C2668" s="62" t="str">
        <f aca="false">IF($M2668=0,"",INDEX(Classes!$H$6:$H$420,$M2668))</f>
        <v/>
      </c>
      <c r="D2668" s="61" t="str">
        <f aca="false">IF($M2668=0,"",INDEX(Classes!$B$6:$B$420,$M2668))</f>
        <v/>
      </c>
      <c r="E2668" s="61" t="str">
        <f aca="false">IF($M2668=0,"",INDEX(Classes!$C$6:$C$420,$M2668))</f>
        <v/>
      </c>
      <c r="F2668" s="63"/>
      <c r="G2668" s="63"/>
      <c r="H2668" s="60"/>
      <c r="I2668" s="60"/>
      <c r="J2668" s="63"/>
      <c r="K2668" s="61" t="str">
        <f aca="false">IF($P2668=0,"",IF($F2668="Baseline","— Baseline",IF($O2668=0,"No result",IF($N2668=0,"No Start (attainment only)",IF(OR($N2668=1,$O2668=1),"U – needs rule",INDEX(MxBody,MATCH($I2668,MxCurr,0),MATCH($H2668,MxStart,0)))))))</f>
        <v/>
      </c>
      <c r="L2668" s="62" t="str">
        <f aca="false">IF(COUNTA($A2668,$F2668,$G2668,$H2668,$I2668,$J2668)=0,"",IF($M2668=0,"✖ كود الصف غير موجود",IF(ISNA(MATCH($F2668,Lists!$A$2:$A$5,0)),"✖ الفترة غير صحيحة",IF(ISNA(MATCH($G2668,Lists!$B$2:$B$7,0)),"✖ المجموعة غير صحيحة",IF(NOT(OR($H2668="",$N2668&gt;0)),"✖ Start غير صحيح",IF(NOT(OR($I2668="",$I2668="NR",$O2668&gt;0)),"✖ Current غير صحيح",IF(NOT(IF(ISNUMBER($J2668),AND($J2668&gt;=0,$J2668=INT($J2668)),FALSE())),"✖ العدد يجب أن يكون صحيحًا ≥ 0",IF(AND($F2668="Baseline",$H2668&lt;&gt;""),"⚠ Baseline: Start لا يدخل في التقدم",IF($K2668="No Start (attainment only)","ℹ تحصيل فقط (بدون Start)",IF($K2668="U – needs rule","ℹ حالة U تحتاج قاعدة معتمدة",IF($K2668="No result","ℹ بدون نتيجة (يُستبعد من التحصيل)","OK")))))))))))</f>
        <v/>
      </c>
      <c r="M2668" s="64" t="n">
        <f aca="false">IF($A2668="",0,IFERROR(MATCH($A2668,Classes!$A$6:$A$420,0),0))</f>
        <v>0</v>
      </c>
      <c r="N2668" s="64" t="n">
        <f aca="false">IF($H2668="",0,IFERROR(MATCH($H2668,GradeList,0),0))</f>
        <v>0</v>
      </c>
      <c r="O2668" s="64" t="n">
        <f aca="false">IF(OR($I2668="",$I2668="NR"),0,IFERROR(MATCH($I2668,GradeList,0),0))</f>
        <v>0</v>
      </c>
      <c r="P2668" s="64" t="n">
        <f aca="false">IF(AND($M2668&gt;0,ISNUMBER(MATCH($F2668,Lists!$A$2:$A$5,0)),ISNUMBER(MATCH($G2668,Lists!$B$2:$B$7,0)),OR($H2668="",$N2668&gt;0),OR($I2668="",$I2668="NR",$O2668&gt;0),IF(ISNUMBER($J2668),AND($J2668&gt;=0,$J2668=INT($J2668)),FALSE())),$J2668,0)</f>
        <v>0</v>
      </c>
      <c r="Q2668" s="64" t="n">
        <f aca="false">IF(AND($P2668&gt;0,$O2668&gt;0),$P2668,0)</f>
        <v>0</v>
      </c>
      <c r="R2668" s="64" t="n">
        <f aca="false">IF(AND($Q2668&gt;0,$O2668&gt;=AtRank),$Q2668,0)</f>
        <v>0</v>
      </c>
      <c r="S2668" s="64" t="n">
        <f aca="false">IF(AND($Q2668&gt;0,$O2668&gt;=AboveRank),$Q2668,0)</f>
        <v>0</v>
      </c>
      <c r="T2668" s="64" t="n">
        <f aca="false">IF($K2668="Less",$P2668,0)</f>
        <v>0</v>
      </c>
      <c r="U2668" s="64" t="n">
        <f aca="false">IF($K2668="Expected",$P2668,0)</f>
        <v>0</v>
      </c>
      <c r="V2668" s="64" t="n">
        <f aca="false">IF($K2668="Better",$P2668,0)</f>
        <v>0</v>
      </c>
      <c r="W2668" s="64" t="n">
        <f aca="false">IF($K2668="U – needs rule",$P2668,0)</f>
        <v>0</v>
      </c>
      <c r="X2668" s="64" t="n">
        <f aca="false">IF($K2668="No Start (attainment only)",$P2668,0)</f>
        <v>0</v>
      </c>
    </row>
    <row r="2669" customFormat="false" ht="15" hidden="false" customHeight="false" outlineLevel="0" collapsed="false">
      <c r="A2669" s="60"/>
      <c r="B2669" s="61" t="str">
        <f aca="false">IF($M2669=0,"",INDEX(Classes!$E$6:$E$420,$M2669))</f>
        <v/>
      </c>
      <c r="C2669" s="62" t="str">
        <f aca="false">IF($M2669=0,"",INDEX(Classes!$H$6:$H$420,$M2669))</f>
        <v/>
      </c>
      <c r="D2669" s="61" t="str">
        <f aca="false">IF($M2669=0,"",INDEX(Classes!$B$6:$B$420,$M2669))</f>
        <v/>
      </c>
      <c r="E2669" s="61" t="str">
        <f aca="false">IF($M2669=0,"",INDEX(Classes!$C$6:$C$420,$M2669))</f>
        <v/>
      </c>
      <c r="F2669" s="63"/>
      <c r="G2669" s="63"/>
      <c r="H2669" s="60"/>
      <c r="I2669" s="60"/>
      <c r="J2669" s="63"/>
      <c r="K2669" s="61" t="str">
        <f aca="false">IF($P2669=0,"",IF($F2669="Baseline","— Baseline",IF($O2669=0,"No result",IF($N2669=0,"No Start (attainment only)",IF(OR($N2669=1,$O2669=1),"U – needs rule",INDEX(MxBody,MATCH($I2669,MxCurr,0),MATCH($H2669,MxStart,0)))))))</f>
        <v/>
      </c>
      <c r="L2669" s="62" t="str">
        <f aca="false">IF(COUNTA($A2669,$F2669,$G2669,$H2669,$I2669,$J2669)=0,"",IF($M2669=0,"✖ كود الصف غير موجود",IF(ISNA(MATCH($F2669,Lists!$A$2:$A$5,0)),"✖ الفترة غير صحيحة",IF(ISNA(MATCH($G2669,Lists!$B$2:$B$7,0)),"✖ المجموعة غير صحيحة",IF(NOT(OR($H2669="",$N2669&gt;0)),"✖ Start غير صحيح",IF(NOT(OR($I2669="",$I2669="NR",$O2669&gt;0)),"✖ Current غير صحيح",IF(NOT(IF(ISNUMBER($J2669),AND($J2669&gt;=0,$J2669=INT($J2669)),FALSE())),"✖ العدد يجب أن يكون صحيحًا ≥ 0",IF(AND($F2669="Baseline",$H2669&lt;&gt;""),"⚠ Baseline: Start لا يدخل في التقدم",IF($K2669="No Start (attainment only)","ℹ تحصيل فقط (بدون Start)",IF($K2669="U – needs rule","ℹ حالة U تحتاج قاعدة معتمدة",IF($K2669="No result","ℹ بدون نتيجة (يُستبعد من التحصيل)","OK")))))))))))</f>
        <v/>
      </c>
      <c r="M2669" s="64" t="n">
        <f aca="false">IF($A2669="",0,IFERROR(MATCH($A2669,Classes!$A$6:$A$420,0),0))</f>
        <v>0</v>
      </c>
      <c r="N2669" s="64" t="n">
        <f aca="false">IF($H2669="",0,IFERROR(MATCH($H2669,GradeList,0),0))</f>
        <v>0</v>
      </c>
      <c r="O2669" s="64" t="n">
        <f aca="false">IF(OR($I2669="",$I2669="NR"),0,IFERROR(MATCH($I2669,GradeList,0),0))</f>
        <v>0</v>
      </c>
      <c r="P2669" s="64" t="n">
        <f aca="false">IF(AND($M2669&gt;0,ISNUMBER(MATCH($F2669,Lists!$A$2:$A$5,0)),ISNUMBER(MATCH($G2669,Lists!$B$2:$B$7,0)),OR($H2669="",$N2669&gt;0),OR($I2669="",$I2669="NR",$O2669&gt;0),IF(ISNUMBER($J2669),AND($J2669&gt;=0,$J2669=INT($J2669)),FALSE())),$J2669,0)</f>
        <v>0</v>
      </c>
      <c r="Q2669" s="64" t="n">
        <f aca="false">IF(AND($P2669&gt;0,$O2669&gt;0),$P2669,0)</f>
        <v>0</v>
      </c>
      <c r="R2669" s="64" t="n">
        <f aca="false">IF(AND($Q2669&gt;0,$O2669&gt;=AtRank),$Q2669,0)</f>
        <v>0</v>
      </c>
      <c r="S2669" s="64" t="n">
        <f aca="false">IF(AND($Q2669&gt;0,$O2669&gt;=AboveRank),$Q2669,0)</f>
        <v>0</v>
      </c>
      <c r="T2669" s="64" t="n">
        <f aca="false">IF($K2669="Less",$P2669,0)</f>
        <v>0</v>
      </c>
      <c r="U2669" s="64" t="n">
        <f aca="false">IF($K2669="Expected",$P2669,0)</f>
        <v>0</v>
      </c>
      <c r="V2669" s="64" t="n">
        <f aca="false">IF($K2669="Better",$P2669,0)</f>
        <v>0</v>
      </c>
      <c r="W2669" s="64" t="n">
        <f aca="false">IF($K2669="U – needs rule",$P2669,0)</f>
        <v>0</v>
      </c>
      <c r="X2669" s="64" t="n">
        <f aca="false">IF($K2669="No Start (attainment only)",$P2669,0)</f>
        <v>0</v>
      </c>
    </row>
    <row r="2670" customFormat="false" ht="15" hidden="false" customHeight="false" outlineLevel="0" collapsed="false">
      <c r="A2670" s="60"/>
      <c r="B2670" s="61" t="str">
        <f aca="false">IF($M2670=0,"",INDEX(Classes!$E$6:$E$420,$M2670))</f>
        <v/>
      </c>
      <c r="C2670" s="62" t="str">
        <f aca="false">IF($M2670=0,"",INDEX(Classes!$H$6:$H$420,$M2670))</f>
        <v/>
      </c>
      <c r="D2670" s="61" t="str">
        <f aca="false">IF($M2670=0,"",INDEX(Classes!$B$6:$B$420,$M2670))</f>
        <v/>
      </c>
      <c r="E2670" s="61" t="str">
        <f aca="false">IF($M2670=0,"",INDEX(Classes!$C$6:$C$420,$M2670))</f>
        <v/>
      </c>
      <c r="F2670" s="63"/>
      <c r="G2670" s="63"/>
      <c r="H2670" s="60"/>
      <c r="I2670" s="60"/>
      <c r="J2670" s="63"/>
      <c r="K2670" s="61" t="str">
        <f aca="false">IF($P2670=0,"",IF($F2670="Baseline","— Baseline",IF($O2670=0,"No result",IF($N2670=0,"No Start (attainment only)",IF(OR($N2670=1,$O2670=1),"U – needs rule",INDEX(MxBody,MATCH($I2670,MxCurr,0),MATCH($H2670,MxStart,0)))))))</f>
        <v/>
      </c>
      <c r="L2670" s="62" t="str">
        <f aca="false">IF(COUNTA($A2670,$F2670,$G2670,$H2670,$I2670,$J2670)=0,"",IF($M2670=0,"✖ كود الصف غير موجود",IF(ISNA(MATCH($F2670,Lists!$A$2:$A$5,0)),"✖ الفترة غير صحيحة",IF(ISNA(MATCH($G2670,Lists!$B$2:$B$7,0)),"✖ المجموعة غير صحيحة",IF(NOT(OR($H2670="",$N2670&gt;0)),"✖ Start غير صحيح",IF(NOT(OR($I2670="",$I2670="NR",$O2670&gt;0)),"✖ Current غير صحيح",IF(NOT(IF(ISNUMBER($J2670),AND($J2670&gt;=0,$J2670=INT($J2670)),FALSE())),"✖ العدد يجب أن يكون صحيحًا ≥ 0",IF(AND($F2670="Baseline",$H2670&lt;&gt;""),"⚠ Baseline: Start لا يدخل في التقدم",IF($K2670="No Start (attainment only)","ℹ تحصيل فقط (بدون Start)",IF($K2670="U – needs rule","ℹ حالة U تحتاج قاعدة معتمدة",IF($K2670="No result","ℹ بدون نتيجة (يُستبعد من التحصيل)","OK")))))))))))</f>
        <v/>
      </c>
      <c r="M2670" s="64" t="n">
        <f aca="false">IF($A2670="",0,IFERROR(MATCH($A2670,Classes!$A$6:$A$420,0),0))</f>
        <v>0</v>
      </c>
      <c r="N2670" s="64" t="n">
        <f aca="false">IF($H2670="",0,IFERROR(MATCH($H2670,GradeList,0),0))</f>
        <v>0</v>
      </c>
      <c r="O2670" s="64" t="n">
        <f aca="false">IF(OR($I2670="",$I2670="NR"),0,IFERROR(MATCH($I2670,GradeList,0),0))</f>
        <v>0</v>
      </c>
      <c r="P2670" s="64" t="n">
        <f aca="false">IF(AND($M2670&gt;0,ISNUMBER(MATCH($F2670,Lists!$A$2:$A$5,0)),ISNUMBER(MATCH($G2670,Lists!$B$2:$B$7,0)),OR($H2670="",$N2670&gt;0),OR($I2670="",$I2670="NR",$O2670&gt;0),IF(ISNUMBER($J2670),AND($J2670&gt;=0,$J2670=INT($J2670)),FALSE())),$J2670,0)</f>
        <v>0</v>
      </c>
      <c r="Q2670" s="64" t="n">
        <f aca="false">IF(AND($P2670&gt;0,$O2670&gt;0),$P2670,0)</f>
        <v>0</v>
      </c>
      <c r="R2670" s="64" t="n">
        <f aca="false">IF(AND($Q2670&gt;0,$O2670&gt;=AtRank),$Q2670,0)</f>
        <v>0</v>
      </c>
      <c r="S2670" s="64" t="n">
        <f aca="false">IF(AND($Q2670&gt;0,$O2670&gt;=AboveRank),$Q2670,0)</f>
        <v>0</v>
      </c>
      <c r="T2670" s="64" t="n">
        <f aca="false">IF($K2670="Less",$P2670,0)</f>
        <v>0</v>
      </c>
      <c r="U2670" s="64" t="n">
        <f aca="false">IF($K2670="Expected",$P2670,0)</f>
        <v>0</v>
      </c>
      <c r="V2670" s="64" t="n">
        <f aca="false">IF($K2670="Better",$P2670,0)</f>
        <v>0</v>
      </c>
      <c r="W2670" s="64" t="n">
        <f aca="false">IF($K2670="U – needs rule",$P2670,0)</f>
        <v>0</v>
      </c>
      <c r="X2670" s="64" t="n">
        <f aca="false">IF($K2670="No Start (attainment only)",$P2670,0)</f>
        <v>0</v>
      </c>
    </row>
    <row r="2671" customFormat="false" ht="15" hidden="false" customHeight="false" outlineLevel="0" collapsed="false">
      <c r="A2671" s="60"/>
      <c r="B2671" s="61" t="str">
        <f aca="false">IF($M2671=0,"",INDEX(Classes!$E$6:$E$420,$M2671))</f>
        <v/>
      </c>
      <c r="C2671" s="62" t="str">
        <f aca="false">IF($M2671=0,"",INDEX(Classes!$H$6:$H$420,$M2671))</f>
        <v/>
      </c>
      <c r="D2671" s="61" t="str">
        <f aca="false">IF($M2671=0,"",INDEX(Classes!$B$6:$B$420,$M2671))</f>
        <v/>
      </c>
      <c r="E2671" s="61" t="str">
        <f aca="false">IF($M2671=0,"",INDEX(Classes!$C$6:$C$420,$M2671))</f>
        <v/>
      </c>
      <c r="F2671" s="63"/>
      <c r="G2671" s="63"/>
      <c r="H2671" s="60"/>
      <c r="I2671" s="60"/>
      <c r="J2671" s="63"/>
      <c r="K2671" s="61" t="str">
        <f aca="false">IF($P2671=0,"",IF($F2671="Baseline","— Baseline",IF($O2671=0,"No result",IF($N2671=0,"No Start (attainment only)",IF(OR($N2671=1,$O2671=1),"U – needs rule",INDEX(MxBody,MATCH($I2671,MxCurr,0),MATCH($H2671,MxStart,0)))))))</f>
        <v/>
      </c>
      <c r="L2671" s="62" t="str">
        <f aca="false">IF(COUNTA($A2671,$F2671,$G2671,$H2671,$I2671,$J2671)=0,"",IF($M2671=0,"✖ كود الصف غير موجود",IF(ISNA(MATCH($F2671,Lists!$A$2:$A$5,0)),"✖ الفترة غير صحيحة",IF(ISNA(MATCH($G2671,Lists!$B$2:$B$7,0)),"✖ المجموعة غير صحيحة",IF(NOT(OR($H2671="",$N2671&gt;0)),"✖ Start غير صحيح",IF(NOT(OR($I2671="",$I2671="NR",$O2671&gt;0)),"✖ Current غير صحيح",IF(NOT(IF(ISNUMBER($J2671),AND($J2671&gt;=0,$J2671=INT($J2671)),FALSE())),"✖ العدد يجب أن يكون صحيحًا ≥ 0",IF(AND($F2671="Baseline",$H2671&lt;&gt;""),"⚠ Baseline: Start لا يدخل في التقدم",IF($K2671="No Start (attainment only)","ℹ تحصيل فقط (بدون Start)",IF($K2671="U – needs rule","ℹ حالة U تحتاج قاعدة معتمدة",IF($K2671="No result","ℹ بدون نتيجة (يُستبعد من التحصيل)","OK")))))))))))</f>
        <v/>
      </c>
      <c r="M2671" s="64" t="n">
        <f aca="false">IF($A2671="",0,IFERROR(MATCH($A2671,Classes!$A$6:$A$420,0),0))</f>
        <v>0</v>
      </c>
      <c r="N2671" s="64" t="n">
        <f aca="false">IF($H2671="",0,IFERROR(MATCH($H2671,GradeList,0),0))</f>
        <v>0</v>
      </c>
      <c r="O2671" s="64" t="n">
        <f aca="false">IF(OR($I2671="",$I2671="NR"),0,IFERROR(MATCH($I2671,GradeList,0),0))</f>
        <v>0</v>
      </c>
      <c r="P2671" s="64" t="n">
        <f aca="false">IF(AND($M2671&gt;0,ISNUMBER(MATCH($F2671,Lists!$A$2:$A$5,0)),ISNUMBER(MATCH($G2671,Lists!$B$2:$B$7,0)),OR($H2671="",$N2671&gt;0),OR($I2671="",$I2671="NR",$O2671&gt;0),IF(ISNUMBER($J2671),AND($J2671&gt;=0,$J2671=INT($J2671)),FALSE())),$J2671,0)</f>
        <v>0</v>
      </c>
      <c r="Q2671" s="64" t="n">
        <f aca="false">IF(AND($P2671&gt;0,$O2671&gt;0),$P2671,0)</f>
        <v>0</v>
      </c>
      <c r="R2671" s="64" t="n">
        <f aca="false">IF(AND($Q2671&gt;0,$O2671&gt;=AtRank),$Q2671,0)</f>
        <v>0</v>
      </c>
      <c r="S2671" s="64" t="n">
        <f aca="false">IF(AND($Q2671&gt;0,$O2671&gt;=AboveRank),$Q2671,0)</f>
        <v>0</v>
      </c>
      <c r="T2671" s="64" t="n">
        <f aca="false">IF($K2671="Less",$P2671,0)</f>
        <v>0</v>
      </c>
      <c r="U2671" s="64" t="n">
        <f aca="false">IF($K2671="Expected",$P2671,0)</f>
        <v>0</v>
      </c>
      <c r="V2671" s="64" t="n">
        <f aca="false">IF($K2671="Better",$P2671,0)</f>
        <v>0</v>
      </c>
      <c r="W2671" s="64" t="n">
        <f aca="false">IF($K2671="U – needs rule",$P2671,0)</f>
        <v>0</v>
      </c>
      <c r="X2671" s="64" t="n">
        <f aca="false">IF($K2671="No Start (attainment only)",$P2671,0)</f>
        <v>0</v>
      </c>
    </row>
    <row r="2672" customFormat="false" ht="15" hidden="false" customHeight="false" outlineLevel="0" collapsed="false">
      <c r="A2672" s="60"/>
      <c r="B2672" s="61" t="str">
        <f aca="false">IF($M2672=0,"",INDEX(Classes!$E$6:$E$420,$M2672))</f>
        <v/>
      </c>
      <c r="C2672" s="62" t="str">
        <f aca="false">IF($M2672=0,"",INDEX(Classes!$H$6:$H$420,$M2672))</f>
        <v/>
      </c>
      <c r="D2672" s="61" t="str">
        <f aca="false">IF($M2672=0,"",INDEX(Classes!$B$6:$B$420,$M2672))</f>
        <v/>
      </c>
      <c r="E2672" s="61" t="str">
        <f aca="false">IF($M2672=0,"",INDEX(Classes!$C$6:$C$420,$M2672))</f>
        <v/>
      </c>
      <c r="F2672" s="63"/>
      <c r="G2672" s="63"/>
      <c r="H2672" s="60"/>
      <c r="I2672" s="60"/>
      <c r="J2672" s="63"/>
      <c r="K2672" s="61" t="str">
        <f aca="false">IF($P2672=0,"",IF($F2672="Baseline","— Baseline",IF($O2672=0,"No result",IF($N2672=0,"No Start (attainment only)",IF(OR($N2672=1,$O2672=1),"U – needs rule",INDEX(MxBody,MATCH($I2672,MxCurr,0),MATCH($H2672,MxStart,0)))))))</f>
        <v/>
      </c>
      <c r="L2672" s="62" t="str">
        <f aca="false">IF(COUNTA($A2672,$F2672,$G2672,$H2672,$I2672,$J2672)=0,"",IF($M2672=0,"✖ كود الصف غير موجود",IF(ISNA(MATCH($F2672,Lists!$A$2:$A$5,0)),"✖ الفترة غير صحيحة",IF(ISNA(MATCH($G2672,Lists!$B$2:$B$7,0)),"✖ المجموعة غير صحيحة",IF(NOT(OR($H2672="",$N2672&gt;0)),"✖ Start غير صحيح",IF(NOT(OR($I2672="",$I2672="NR",$O2672&gt;0)),"✖ Current غير صحيح",IF(NOT(IF(ISNUMBER($J2672),AND($J2672&gt;=0,$J2672=INT($J2672)),FALSE())),"✖ العدد يجب أن يكون صحيحًا ≥ 0",IF(AND($F2672="Baseline",$H2672&lt;&gt;""),"⚠ Baseline: Start لا يدخل في التقدم",IF($K2672="No Start (attainment only)","ℹ تحصيل فقط (بدون Start)",IF($K2672="U – needs rule","ℹ حالة U تحتاج قاعدة معتمدة",IF($K2672="No result","ℹ بدون نتيجة (يُستبعد من التحصيل)","OK")))))))))))</f>
        <v/>
      </c>
      <c r="M2672" s="64" t="n">
        <f aca="false">IF($A2672="",0,IFERROR(MATCH($A2672,Classes!$A$6:$A$420,0),0))</f>
        <v>0</v>
      </c>
      <c r="N2672" s="64" t="n">
        <f aca="false">IF($H2672="",0,IFERROR(MATCH($H2672,GradeList,0),0))</f>
        <v>0</v>
      </c>
      <c r="O2672" s="64" t="n">
        <f aca="false">IF(OR($I2672="",$I2672="NR"),0,IFERROR(MATCH($I2672,GradeList,0),0))</f>
        <v>0</v>
      </c>
      <c r="P2672" s="64" t="n">
        <f aca="false">IF(AND($M2672&gt;0,ISNUMBER(MATCH($F2672,Lists!$A$2:$A$5,0)),ISNUMBER(MATCH($G2672,Lists!$B$2:$B$7,0)),OR($H2672="",$N2672&gt;0),OR($I2672="",$I2672="NR",$O2672&gt;0),IF(ISNUMBER($J2672),AND($J2672&gt;=0,$J2672=INT($J2672)),FALSE())),$J2672,0)</f>
        <v>0</v>
      </c>
      <c r="Q2672" s="64" t="n">
        <f aca="false">IF(AND($P2672&gt;0,$O2672&gt;0),$P2672,0)</f>
        <v>0</v>
      </c>
      <c r="R2672" s="64" t="n">
        <f aca="false">IF(AND($Q2672&gt;0,$O2672&gt;=AtRank),$Q2672,0)</f>
        <v>0</v>
      </c>
      <c r="S2672" s="64" t="n">
        <f aca="false">IF(AND($Q2672&gt;0,$O2672&gt;=AboveRank),$Q2672,0)</f>
        <v>0</v>
      </c>
      <c r="T2672" s="64" t="n">
        <f aca="false">IF($K2672="Less",$P2672,0)</f>
        <v>0</v>
      </c>
      <c r="U2672" s="64" t="n">
        <f aca="false">IF($K2672="Expected",$P2672,0)</f>
        <v>0</v>
      </c>
      <c r="V2672" s="64" t="n">
        <f aca="false">IF($K2672="Better",$P2672,0)</f>
        <v>0</v>
      </c>
      <c r="W2672" s="64" t="n">
        <f aca="false">IF($K2672="U – needs rule",$P2672,0)</f>
        <v>0</v>
      </c>
      <c r="X2672" s="64" t="n">
        <f aca="false">IF($K2672="No Start (attainment only)",$P2672,0)</f>
        <v>0</v>
      </c>
    </row>
    <row r="2673" customFormat="false" ht="15" hidden="false" customHeight="false" outlineLevel="0" collapsed="false">
      <c r="A2673" s="60"/>
      <c r="B2673" s="61" t="str">
        <f aca="false">IF($M2673=0,"",INDEX(Classes!$E$6:$E$420,$M2673))</f>
        <v/>
      </c>
      <c r="C2673" s="62" t="str">
        <f aca="false">IF($M2673=0,"",INDEX(Classes!$H$6:$H$420,$M2673))</f>
        <v/>
      </c>
      <c r="D2673" s="61" t="str">
        <f aca="false">IF($M2673=0,"",INDEX(Classes!$B$6:$B$420,$M2673))</f>
        <v/>
      </c>
      <c r="E2673" s="61" t="str">
        <f aca="false">IF($M2673=0,"",INDEX(Classes!$C$6:$C$420,$M2673))</f>
        <v/>
      </c>
      <c r="F2673" s="63"/>
      <c r="G2673" s="63"/>
      <c r="H2673" s="60"/>
      <c r="I2673" s="60"/>
      <c r="J2673" s="63"/>
      <c r="K2673" s="61" t="str">
        <f aca="false">IF($P2673=0,"",IF($F2673="Baseline","— Baseline",IF($O2673=0,"No result",IF($N2673=0,"No Start (attainment only)",IF(OR($N2673=1,$O2673=1),"U – needs rule",INDEX(MxBody,MATCH($I2673,MxCurr,0),MATCH($H2673,MxStart,0)))))))</f>
        <v/>
      </c>
      <c r="L2673" s="62" t="str">
        <f aca="false">IF(COUNTA($A2673,$F2673,$G2673,$H2673,$I2673,$J2673)=0,"",IF($M2673=0,"✖ كود الصف غير موجود",IF(ISNA(MATCH($F2673,Lists!$A$2:$A$5,0)),"✖ الفترة غير صحيحة",IF(ISNA(MATCH($G2673,Lists!$B$2:$B$7,0)),"✖ المجموعة غير صحيحة",IF(NOT(OR($H2673="",$N2673&gt;0)),"✖ Start غير صحيح",IF(NOT(OR($I2673="",$I2673="NR",$O2673&gt;0)),"✖ Current غير صحيح",IF(NOT(IF(ISNUMBER($J2673),AND($J2673&gt;=0,$J2673=INT($J2673)),FALSE())),"✖ العدد يجب أن يكون صحيحًا ≥ 0",IF(AND($F2673="Baseline",$H2673&lt;&gt;""),"⚠ Baseline: Start لا يدخل في التقدم",IF($K2673="No Start (attainment only)","ℹ تحصيل فقط (بدون Start)",IF($K2673="U – needs rule","ℹ حالة U تحتاج قاعدة معتمدة",IF($K2673="No result","ℹ بدون نتيجة (يُستبعد من التحصيل)","OK")))))))))))</f>
        <v/>
      </c>
      <c r="M2673" s="64" t="n">
        <f aca="false">IF($A2673="",0,IFERROR(MATCH($A2673,Classes!$A$6:$A$420,0),0))</f>
        <v>0</v>
      </c>
      <c r="N2673" s="64" t="n">
        <f aca="false">IF($H2673="",0,IFERROR(MATCH($H2673,GradeList,0),0))</f>
        <v>0</v>
      </c>
      <c r="O2673" s="64" t="n">
        <f aca="false">IF(OR($I2673="",$I2673="NR"),0,IFERROR(MATCH($I2673,GradeList,0),0))</f>
        <v>0</v>
      </c>
      <c r="P2673" s="64" t="n">
        <f aca="false">IF(AND($M2673&gt;0,ISNUMBER(MATCH($F2673,Lists!$A$2:$A$5,0)),ISNUMBER(MATCH($G2673,Lists!$B$2:$B$7,0)),OR($H2673="",$N2673&gt;0),OR($I2673="",$I2673="NR",$O2673&gt;0),IF(ISNUMBER($J2673),AND($J2673&gt;=0,$J2673=INT($J2673)),FALSE())),$J2673,0)</f>
        <v>0</v>
      </c>
      <c r="Q2673" s="64" t="n">
        <f aca="false">IF(AND($P2673&gt;0,$O2673&gt;0),$P2673,0)</f>
        <v>0</v>
      </c>
      <c r="R2673" s="64" t="n">
        <f aca="false">IF(AND($Q2673&gt;0,$O2673&gt;=AtRank),$Q2673,0)</f>
        <v>0</v>
      </c>
      <c r="S2673" s="64" t="n">
        <f aca="false">IF(AND($Q2673&gt;0,$O2673&gt;=AboveRank),$Q2673,0)</f>
        <v>0</v>
      </c>
      <c r="T2673" s="64" t="n">
        <f aca="false">IF($K2673="Less",$P2673,0)</f>
        <v>0</v>
      </c>
      <c r="U2673" s="64" t="n">
        <f aca="false">IF($K2673="Expected",$P2673,0)</f>
        <v>0</v>
      </c>
      <c r="V2673" s="64" t="n">
        <f aca="false">IF($K2673="Better",$P2673,0)</f>
        <v>0</v>
      </c>
      <c r="W2673" s="64" t="n">
        <f aca="false">IF($K2673="U – needs rule",$P2673,0)</f>
        <v>0</v>
      </c>
      <c r="X2673" s="64" t="n">
        <f aca="false">IF($K2673="No Start (attainment only)",$P2673,0)</f>
        <v>0</v>
      </c>
    </row>
    <row r="2674" customFormat="false" ht="15" hidden="false" customHeight="false" outlineLevel="0" collapsed="false">
      <c r="A2674" s="60"/>
      <c r="B2674" s="61" t="str">
        <f aca="false">IF($M2674=0,"",INDEX(Classes!$E$6:$E$420,$M2674))</f>
        <v/>
      </c>
      <c r="C2674" s="62" t="str">
        <f aca="false">IF($M2674=0,"",INDEX(Classes!$H$6:$H$420,$M2674))</f>
        <v/>
      </c>
      <c r="D2674" s="61" t="str">
        <f aca="false">IF($M2674=0,"",INDEX(Classes!$B$6:$B$420,$M2674))</f>
        <v/>
      </c>
      <c r="E2674" s="61" t="str">
        <f aca="false">IF($M2674=0,"",INDEX(Classes!$C$6:$C$420,$M2674))</f>
        <v/>
      </c>
      <c r="F2674" s="63"/>
      <c r="G2674" s="63"/>
      <c r="H2674" s="60"/>
      <c r="I2674" s="60"/>
      <c r="J2674" s="63"/>
      <c r="K2674" s="61" t="str">
        <f aca="false">IF($P2674=0,"",IF($F2674="Baseline","— Baseline",IF($O2674=0,"No result",IF($N2674=0,"No Start (attainment only)",IF(OR($N2674=1,$O2674=1),"U – needs rule",INDEX(MxBody,MATCH($I2674,MxCurr,0),MATCH($H2674,MxStart,0)))))))</f>
        <v/>
      </c>
      <c r="L2674" s="62" t="str">
        <f aca="false">IF(COUNTA($A2674,$F2674,$G2674,$H2674,$I2674,$J2674)=0,"",IF($M2674=0,"✖ كود الصف غير موجود",IF(ISNA(MATCH($F2674,Lists!$A$2:$A$5,0)),"✖ الفترة غير صحيحة",IF(ISNA(MATCH($G2674,Lists!$B$2:$B$7,0)),"✖ المجموعة غير صحيحة",IF(NOT(OR($H2674="",$N2674&gt;0)),"✖ Start غير صحيح",IF(NOT(OR($I2674="",$I2674="NR",$O2674&gt;0)),"✖ Current غير صحيح",IF(NOT(IF(ISNUMBER($J2674),AND($J2674&gt;=0,$J2674=INT($J2674)),FALSE())),"✖ العدد يجب أن يكون صحيحًا ≥ 0",IF(AND($F2674="Baseline",$H2674&lt;&gt;""),"⚠ Baseline: Start لا يدخل في التقدم",IF($K2674="No Start (attainment only)","ℹ تحصيل فقط (بدون Start)",IF($K2674="U – needs rule","ℹ حالة U تحتاج قاعدة معتمدة",IF($K2674="No result","ℹ بدون نتيجة (يُستبعد من التحصيل)","OK")))))))))))</f>
        <v/>
      </c>
      <c r="M2674" s="64" t="n">
        <f aca="false">IF($A2674="",0,IFERROR(MATCH($A2674,Classes!$A$6:$A$420,0),0))</f>
        <v>0</v>
      </c>
      <c r="N2674" s="64" t="n">
        <f aca="false">IF($H2674="",0,IFERROR(MATCH($H2674,GradeList,0),0))</f>
        <v>0</v>
      </c>
      <c r="O2674" s="64" t="n">
        <f aca="false">IF(OR($I2674="",$I2674="NR"),0,IFERROR(MATCH($I2674,GradeList,0),0))</f>
        <v>0</v>
      </c>
      <c r="P2674" s="64" t="n">
        <f aca="false">IF(AND($M2674&gt;0,ISNUMBER(MATCH($F2674,Lists!$A$2:$A$5,0)),ISNUMBER(MATCH($G2674,Lists!$B$2:$B$7,0)),OR($H2674="",$N2674&gt;0),OR($I2674="",$I2674="NR",$O2674&gt;0),IF(ISNUMBER($J2674),AND($J2674&gt;=0,$J2674=INT($J2674)),FALSE())),$J2674,0)</f>
        <v>0</v>
      </c>
      <c r="Q2674" s="64" t="n">
        <f aca="false">IF(AND($P2674&gt;0,$O2674&gt;0),$P2674,0)</f>
        <v>0</v>
      </c>
      <c r="R2674" s="64" t="n">
        <f aca="false">IF(AND($Q2674&gt;0,$O2674&gt;=AtRank),$Q2674,0)</f>
        <v>0</v>
      </c>
      <c r="S2674" s="64" t="n">
        <f aca="false">IF(AND($Q2674&gt;0,$O2674&gt;=AboveRank),$Q2674,0)</f>
        <v>0</v>
      </c>
      <c r="T2674" s="64" t="n">
        <f aca="false">IF($K2674="Less",$P2674,0)</f>
        <v>0</v>
      </c>
      <c r="U2674" s="64" t="n">
        <f aca="false">IF($K2674="Expected",$P2674,0)</f>
        <v>0</v>
      </c>
      <c r="V2674" s="64" t="n">
        <f aca="false">IF($K2674="Better",$P2674,0)</f>
        <v>0</v>
      </c>
      <c r="W2674" s="64" t="n">
        <f aca="false">IF($K2674="U – needs rule",$P2674,0)</f>
        <v>0</v>
      </c>
      <c r="X2674" s="64" t="n">
        <f aca="false">IF($K2674="No Start (attainment only)",$P2674,0)</f>
        <v>0</v>
      </c>
    </row>
    <row r="2675" customFormat="false" ht="15" hidden="false" customHeight="false" outlineLevel="0" collapsed="false">
      <c r="A2675" s="60"/>
      <c r="B2675" s="61" t="str">
        <f aca="false">IF($M2675=0,"",INDEX(Classes!$E$6:$E$420,$M2675))</f>
        <v/>
      </c>
      <c r="C2675" s="62" t="str">
        <f aca="false">IF($M2675=0,"",INDEX(Classes!$H$6:$H$420,$M2675))</f>
        <v/>
      </c>
      <c r="D2675" s="61" t="str">
        <f aca="false">IF($M2675=0,"",INDEX(Classes!$B$6:$B$420,$M2675))</f>
        <v/>
      </c>
      <c r="E2675" s="61" t="str">
        <f aca="false">IF($M2675=0,"",INDEX(Classes!$C$6:$C$420,$M2675))</f>
        <v/>
      </c>
      <c r="F2675" s="63"/>
      <c r="G2675" s="63"/>
      <c r="H2675" s="60"/>
      <c r="I2675" s="60"/>
      <c r="J2675" s="63"/>
      <c r="K2675" s="61" t="str">
        <f aca="false">IF($P2675=0,"",IF($F2675="Baseline","— Baseline",IF($O2675=0,"No result",IF($N2675=0,"No Start (attainment only)",IF(OR($N2675=1,$O2675=1),"U – needs rule",INDEX(MxBody,MATCH($I2675,MxCurr,0),MATCH($H2675,MxStart,0)))))))</f>
        <v/>
      </c>
      <c r="L2675" s="62" t="str">
        <f aca="false">IF(COUNTA($A2675,$F2675,$G2675,$H2675,$I2675,$J2675)=0,"",IF($M2675=0,"✖ كود الصف غير موجود",IF(ISNA(MATCH($F2675,Lists!$A$2:$A$5,0)),"✖ الفترة غير صحيحة",IF(ISNA(MATCH($G2675,Lists!$B$2:$B$7,0)),"✖ المجموعة غير صحيحة",IF(NOT(OR($H2675="",$N2675&gt;0)),"✖ Start غير صحيح",IF(NOT(OR($I2675="",$I2675="NR",$O2675&gt;0)),"✖ Current غير صحيح",IF(NOT(IF(ISNUMBER($J2675),AND($J2675&gt;=0,$J2675=INT($J2675)),FALSE())),"✖ العدد يجب أن يكون صحيحًا ≥ 0",IF(AND($F2675="Baseline",$H2675&lt;&gt;""),"⚠ Baseline: Start لا يدخل في التقدم",IF($K2675="No Start (attainment only)","ℹ تحصيل فقط (بدون Start)",IF($K2675="U – needs rule","ℹ حالة U تحتاج قاعدة معتمدة",IF($K2675="No result","ℹ بدون نتيجة (يُستبعد من التحصيل)","OK")))))))))))</f>
        <v/>
      </c>
      <c r="M2675" s="64" t="n">
        <f aca="false">IF($A2675="",0,IFERROR(MATCH($A2675,Classes!$A$6:$A$420,0),0))</f>
        <v>0</v>
      </c>
      <c r="N2675" s="64" t="n">
        <f aca="false">IF($H2675="",0,IFERROR(MATCH($H2675,GradeList,0),0))</f>
        <v>0</v>
      </c>
      <c r="O2675" s="64" t="n">
        <f aca="false">IF(OR($I2675="",$I2675="NR"),0,IFERROR(MATCH($I2675,GradeList,0),0))</f>
        <v>0</v>
      </c>
      <c r="P2675" s="64" t="n">
        <f aca="false">IF(AND($M2675&gt;0,ISNUMBER(MATCH($F2675,Lists!$A$2:$A$5,0)),ISNUMBER(MATCH($G2675,Lists!$B$2:$B$7,0)),OR($H2675="",$N2675&gt;0),OR($I2675="",$I2675="NR",$O2675&gt;0),IF(ISNUMBER($J2675),AND($J2675&gt;=0,$J2675=INT($J2675)),FALSE())),$J2675,0)</f>
        <v>0</v>
      </c>
      <c r="Q2675" s="64" t="n">
        <f aca="false">IF(AND($P2675&gt;0,$O2675&gt;0),$P2675,0)</f>
        <v>0</v>
      </c>
      <c r="R2675" s="64" t="n">
        <f aca="false">IF(AND($Q2675&gt;0,$O2675&gt;=AtRank),$Q2675,0)</f>
        <v>0</v>
      </c>
      <c r="S2675" s="64" t="n">
        <f aca="false">IF(AND($Q2675&gt;0,$O2675&gt;=AboveRank),$Q2675,0)</f>
        <v>0</v>
      </c>
      <c r="T2675" s="64" t="n">
        <f aca="false">IF($K2675="Less",$P2675,0)</f>
        <v>0</v>
      </c>
      <c r="U2675" s="64" t="n">
        <f aca="false">IF($K2675="Expected",$P2675,0)</f>
        <v>0</v>
      </c>
      <c r="V2675" s="64" t="n">
        <f aca="false">IF($K2675="Better",$P2675,0)</f>
        <v>0</v>
      </c>
      <c r="W2675" s="64" t="n">
        <f aca="false">IF($K2675="U – needs rule",$P2675,0)</f>
        <v>0</v>
      </c>
      <c r="X2675" s="64" t="n">
        <f aca="false">IF($K2675="No Start (attainment only)",$P2675,0)</f>
        <v>0</v>
      </c>
    </row>
    <row r="2676" customFormat="false" ht="15" hidden="false" customHeight="false" outlineLevel="0" collapsed="false">
      <c r="A2676" s="60"/>
      <c r="B2676" s="61" t="str">
        <f aca="false">IF($M2676=0,"",INDEX(Classes!$E$6:$E$420,$M2676))</f>
        <v/>
      </c>
      <c r="C2676" s="62" t="str">
        <f aca="false">IF($M2676=0,"",INDEX(Classes!$H$6:$H$420,$M2676))</f>
        <v/>
      </c>
      <c r="D2676" s="61" t="str">
        <f aca="false">IF($M2676=0,"",INDEX(Classes!$B$6:$B$420,$M2676))</f>
        <v/>
      </c>
      <c r="E2676" s="61" t="str">
        <f aca="false">IF($M2676=0,"",INDEX(Classes!$C$6:$C$420,$M2676))</f>
        <v/>
      </c>
      <c r="F2676" s="63"/>
      <c r="G2676" s="63"/>
      <c r="H2676" s="60"/>
      <c r="I2676" s="60"/>
      <c r="J2676" s="63"/>
      <c r="K2676" s="61" t="str">
        <f aca="false">IF($P2676=0,"",IF($F2676="Baseline","— Baseline",IF($O2676=0,"No result",IF($N2676=0,"No Start (attainment only)",IF(OR($N2676=1,$O2676=1),"U – needs rule",INDEX(MxBody,MATCH($I2676,MxCurr,0),MATCH($H2676,MxStart,0)))))))</f>
        <v/>
      </c>
      <c r="L2676" s="62" t="str">
        <f aca="false">IF(COUNTA($A2676,$F2676,$G2676,$H2676,$I2676,$J2676)=0,"",IF($M2676=0,"✖ كود الصف غير موجود",IF(ISNA(MATCH($F2676,Lists!$A$2:$A$5,0)),"✖ الفترة غير صحيحة",IF(ISNA(MATCH($G2676,Lists!$B$2:$B$7,0)),"✖ المجموعة غير صحيحة",IF(NOT(OR($H2676="",$N2676&gt;0)),"✖ Start غير صحيح",IF(NOT(OR($I2676="",$I2676="NR",$O2676&gt;0)),"✖ Current غير صحيح",IF(NOT(IF(ISNUMBER($J2676),AND($J2676&gt;=0,$J2676=INT($J2676)),FALSE())),"✖ العدد يجب أن يكون صحيحًا ≥ 0",IF(AND($F2676="Baseline",$H2676&lt;&gt;""),"⚠ Baseline: Start لا يدخل في التقدم",IF($K2676="No Start (attainment only)","ℹ تحصيل فقط (بدون Start)",IF($K2676="U – needs rule","ℹ حالة U تحتاج قاعدة معتمدة",IF($K2676="No result","ℹ بدون نتيجة (يُستبعد من التحصيل)","OK")))))))))))</f>
        <v/>
      </c>
      <c r="M2676" s="64" t="n">
        <f aca="false">IF($A2676="",0,IFERROR(MATCH($A2676,Classes!$A$6:$A$420,0),0))</f>
        <v>0</v>
      </c>
      <c r="N2676" s="64" t="n">
        <f aca="false">IF($H2676="",0,IFERROR(MATCH($H2676,GradeList,0),0))</f>
        <v>0</v>
      </c>
      <c r="O2676" s="64" t="n">
        <f aca="false">IF(OR($I2676="",$I2676="NR"),0,IFERROR(MATCH($I2676,GradeList,0),0))</f>
        <v>0</v>
      </c>
      <c r="P2676" s="64" t="n">
        <f aca="false">IF(AND($M2676&gt;0,ISNUMBER(MATCH($F2676,Lists!$A$2:$A$5,0)),ISNUMBER(MATCH($G2676,Lists!$B$2:$B$7,0)),OR($H2676="",$N2676&gt;0),OR($I2676="",$I2676="NR",$O2676&gt;0),IF(ISNUMBER($J2676),AND($J2676&gt;=0,$J2676=INT($J2676)),FALSE())),$J2676,0)</f>
        <v>0</v>
      </c>
      <c r="Q2676" s="64" t="n">
        <f aca="false">IF(AND($P2676&gt;0,$O2676&gt;0),$P2676,0)</f>
        <v>0</v>
      </c>
      <c r="R2676" s="64" t="n">
        <f aca="false">IF(AND($Q2676&gt;0,$O2676&gt;=AtRank),$Q2676,0)</f>
        <v>0</v>
      </c>
      <c r="S2676" s="64" t="n">
        <f aca="false">IF(AND($Q2676&gt;0,$O2676&gt;=AboveRank),$Q2676,0)</f>
        <v>0</v>
      </c>
      <c r="T2676" s="64" t="n">
        <f aca="false">IF($K2676="Less",$P2676,0)</f>
        <v>0</v>
      </c>
      <c r="U2676" s="64" t="n">
        <f aca="false">IF($K2676="Expected",$P2676,0)</f>
        <v>0</v>
      </c>
      <c r="V2676" s="64" t="n">
        <f aca="false">IF($K2676="Better",$P2676,0)</f>
        <v>0</v>
      </c>
      <c r="W2676" s="64" t="n">
        <f aca="false">IF($K2676="U – needs rule",$P2676,0)</f>
        <v>0</v>
      </c>
      <c r="X2676" s="64" t="n">
        <f aca="false">IF($K2676="No Start (attainment only)",$P2676,0)</f>
        <v>0</v>
      </c>
    </row>
    <row r="2677" customFormat="false" ht="15" hidden="false" customHeight="false" outlineLevel="0" collapsed="false">
      <c r="A2677" s="60"/>
      <c r="B2677" s="61" t="str">
        <f aca="false">IF($M2677=0,"",INDEX(Classes!$E$6:$E$420,$M2677))</f>
        <v/>
      </c>
      <c r="C2677" s="62" t="str">
        <f aca="false">IF($M2677=0,"",INDEX(Classes!$H$6:$H$420,$M2677))</f>
        <v/>
      </c>
      <c r="D2677" s="61" t="str">
        <f aca="false">IF($M2677=0,"",INDEX(Classes!$B$6:$B$420,$M2677))</f>
        <v/>
      </c>
      <c r="E2677" s="61" t="str">
        <f aca="false">IF($M2677=0,"",INDEX(Classes!$C$6:$C$420,$M2677))</f>
        <v/>
      </c>
      <c r="F2677" s="63"/>
      <c r="G2677" s="63"/>
      <c r="H2677" s="60"/>
      <c r="I2677" s="60"/>
      <c r="J2677" s="63"/>
      <c r="K2677" s="61" t="str">
        <f aca="false">IF($P2677=0,"",IF($F2677="Baseline","— Baseline",IF($O2677=0,"No result",IF($N2677=0,"No Start (attainment only)",IF(OR($N2677=1,$O2677=1),"U – needs rule",INDEX(MxBody,MATCH($I2677,MxCurr,0),MATCH($H2677,MxStart,0)))))))</f>
        <v/>
      </c>
      <c r="L2677" s="62" t="str">
        <f aca="false">IF(COUNTA($A2677,$F2677,$G2677,$H2677,$I2677,$J2677)=0,"",IF($M2677=0,"✖ كود الصف غير موجود",IF(ISNA(MATCH($F2677,Lists!$A$2:$A$5,0)),"✖ الفترة غير صحيحة",IF(ISNA(MATCH($G2677,Lists!$B$2:$B$7,0)),"✖ المجموعة غير صحيحة",IF(NOT(OR($H2677="",$N2677&gt;0)),"✖ Start غير صحيح",IF(NOT(OR($I2677="",$I2677="NR",$O2677&gt;0)),"✖ Current غير صحيح",IF(NOT(IF(ISNUMBER($J2677),AND($J2677&gt;=0,$J2677=INT($J2677)),FALSE())),"✖ العدد يجب أن يكون صحيحًا ≥ 0",IF(AND($F2677="Baseline",$H2677&lt;&gt;""),"⚠ Baseline: Start لا يدخل في التقدم",IF($K2677="No Start (attainment only)","ℹ تحصيل فقط (بدون Start)",IF($K2677="U – needs rule","ℹ حالة U تحتاج قاعدة معتمدة",IF($K2677="No result","ℹ بدون نتيجة (يُستبعد من التحصيل)","OK")))))))))))</f>
        <v/>
      </c>
      <c r="M2677" s="64" t="n">
        <f aca="false">IF($A2677="",0,IFERROR(MATCH($A2677,Classes!$A$6:$A$420,0),0))</f>
        <v>0</v>
      </c>
      <c r="N2677" s="64" t="n">
        <f aca="false">IF($H2677="",0,IFERROR(MATCH($H2677,GradeList,0),0))</f>
        <v>0</v>
      </c>
      <c r="O2677" s="64" t="n">
        <f aca="false">IF(OR($I2677="",$I2677="NR"),0,IFERROR(MATCH($I2677,GradeList,0),0))</f>
        <v>0</v>
      </c>
      <c r="P2677" s="64" t="n">
        <f aca="false">IF(AND($M2677&gt;0,ISNUMBER(MATCH($F2677,Lists!$A$2:$A$5,0)),ISNUMBER(MATCH($G2677,Lists!$B$2:$B$7,0)),OR($H2677="",$N2677&gt;0),OR($I2677="",$I2677="NR",$O2677&gt;0),IF(ISNUMBER($J2677),AND($J2677&gt;=0,$J2677=INT($J2677)),FALSE())),$J2677,0)</f>
        <v>0</v>
      </c>
      <c r="Q2677" s="64" t="n">
        <f aca="false">IF(AND($P2677&gt;0,$O2677&gt;0),$P2677,0)</f>
        <v>0</v>
      </c>
      <c r="R2677" s="64" t="n">
        <f aca="false">IF(AND($Q2677&gt;0,$O2677&gt;=AtRank),$Q2677,0)</f>
        <v>0</v>
      </c>
      <c r="S2677" s="64" t="n">
        <f aca="false">IF(AND($Q2677&gt;0,$O2677&gt;=AboveRank),$Q2677,0)</f>
        <v>0</v>
      </c>
      <c r="T2677" s="64" t="n">
        <f aca="false">IF($K2677="Less",$P2677,0)</f>
        <v>0</v>
      </c>
      <c r="U2677" s="64" t="n">
        <f aca="false">IF($K2677="Expected",$P2677,0)</f>
        <v>0</v>
      </c>
      <c r="V2677" s="64" t="n">
        <f aca="false">IF($K2677="Better",$P2677,0)</f>
        <v>0</v>
      </c>
      <c r="W2677" s="64" t="n">
        <f aca="false">IF($K2677="U – needs rule",$P2677,0)</f>
        <v>0</v>
      </c>
      <c r="X2677" s="64" t="n">
        <f aca="false">IF($K2677="No Start (attainment only)",$P2677,0)</f>
        <v>0</v>
      </c>
    </row>
    <row r="2678" customFormat="false" ht="15" hidden="false" customHeight="false" outlineLevel="0" collapsed="false">
      <c r="A2678" s="60"/>
      <c r="B2678" s="61" t="str">
        <f aca="false">IF($M2678=0,"",INDEX(Classes!$E$6:$E$420,$M2678))</f>
        <v/>
      </c>
      <c r="C2678" s="62" t="str">
        <f aca="false">IF($M2678=0,"",INDEX(Classes!$H$6:$H$420,$M2678))</f>
        <v/>
      </c>
      <c r="D2678" s="61" t="str">
        <f aca="false">IF($M2678=0,"",INDEX(Classes!$B$6:$B$420,$M2678))</f>
        <v/>
      </c>
      <c r="E2678" s="61" t="str">
        <f aca="false">IF($M2678=0,"",INDEX(Classes!$C$6:$C$420,$M2678))</f>
        <v/>
      </c>
      <c r="F2678" s="63"/>
      <c r="G2678" s="63"/>
      <c r="H2678" s="60"/>
      <c r="I2678" s="60"/>
      <c r="J2678" s="63"/>
      <c r="K2678" s="61" t="str">
        <f aca="false">IF($P2678=0,"",IF($F2678="Baseline","— Baseline",IF($O2678=0,"No result",IF($N2678=0,"No Start (attainment only)",IF(OR($N2678=1,$O2678=1),"U – needs rule",INDEX(MxBody,MATCH($I2678,MxCurr,0),MATCH($H2678,MxStart,0)))))))</f>
        <v/>
      </c>
      <c r="L2678" s="62" t="str">
        <f aca="false">IF(COUNTA($A2678,$F2678,$G2678,$H2678,$I2678,$J2678)=0,"",IF($M2678=0,"✖ كود الصف غير موجود",IF(ISNA(MATCH($F2678,Lists!$A$2:$A$5,0)),"✖ الفترة غير صحيحة",IF(ISNA(MATCH($G2678,Lists!$B$2:$B$7,0)),"✖ المجموعة غير صحيحة",IF(NOT(OR($H2678="",$N2678&gt;0)),"✖ Start غير صحيح",IF(NOT(OR($I2678="",$I2678="NR",$O2678&gt;0)),"✖ Current غير صحيح",IF(NOT(IF(ISNUMBER($J2678),AND($J2678&gt;=0,$J2678=INT($J2678)),FALSE())),"✖ العدد يجب أن يكون صحيحًا ≥ 0",IF(AND($F2678="Baseline",$H2678&lt;&gt;""),"⚠ Baseline: Start لا يدخل في التقدم",IF($K2678="No Start (attainment only)","ℹ تحصيل فقط (بدون Start)",IF($K2678="U – needs rule","ℹ حالة U تحتاج قاعدة معتمدة",IF($K2678="No result","ℹ بدون نتيجة (يُستبعد من التحصيل)","OK")))))))))))</f>
        <v/>
      </c>
      <c r="M2678" s="64" t="n">
        <f aca="false">IF($A2678="",0,IFERROR(MATCH($A2678,Classes!$A$6:$A$420,0),0))</f>
        <v>0</v>
      </c>
      <c r="N2678" s="64" t="n">
        <f aca="false">IF($H2678="",0,IFERROR(MATCH($H2678,GradeList,0),0))</f>
        <v>0</v>
      </c>
      <c r="O2678" s="64" t="n">
        <f aca="false">IF(OR($I2678="",$I2678="NR"),0,IFERROR(MATCH($I2678,GradeList,0),0))</f>
        <v>0</v>
      </c>
      <c r="P2678" s="64" t="n">
        <f aca="false">IF(AND($M2678&gt;0,ISNUMBER(MATCH($F2678,Lists!$A$2:$A$5,0)),ISNUMBER(MATCH($G2678,Lists!$B$2:$B$7,0)),OR($H2678="",$N2678&gt;0),OR($I2678="",$I2678="NR",$O2678&gt;0),IF(ISNUMBER($J2678),AND($J2678&gt;=0,$J2678=INT($J2678)),FALSE())),$J2678,0)</f>
        <v>0</v>
      </c>
      <c r="Q2678" s="64" t="n">
        <f aca="false">IF(AND($P2678&gt;0,$O2678&gt;0),$P2678,0)</f>
        <v>0</v>
      </c>
      <c r="R2678" s="64" t="n">
        <f aca="false">IF(AND($Q2678&gt;0,$O2678&gt;=AtRank),$Q2678,0)</f>
        <v>0</v>
      </c>
      <c r="S2678" s="64" t="n">
        <f aca="false">IF(AND($Q2678&gt;0,$O2678&gt;=AboveRank),$Q2678,0)</f>
        <v>0</v>
      </c>
      <c r="T2678" s="64" t="n">
        <f aca="false">IF($K2678="Less",$P2678,0)</f>
        <v>0</v>
      </c>
      <c r="U2678" s="64" t="n">
        <f aca="false">IF($K2678="Expected",$P2678,0)</f>
        <v>0</v>
      </c>
      <c r="V2678" s="64" t="n">
        <f aca="false">IF($K2678="Better",$P2678,0)</f>
        <v>0</v>
      </c>
      <c r="W2678" s="64" t="n">
        <f aca="false">IF($K2678="U – needs rule",$P2678,0)</f>
        <v>0</v>
      </c>
      <c r="X2678" s="64" t="n">
        <f aca="false">IF($K2678="No Start (attainment only)",$P2678,0)</f>
        <v>0</v>
      </c>
    </row>
    <row r="2679" customFormat="false" ht="15" hidden="false" customHeight="false" outlineLevel="0" collapsed="false">
      <c r="A2679" s="60"/>
      <c r="B2679" s="61" t="str">
        <f aca="false">IF($M2679=0,"",INDEX(Classes!$E$6:$E$420,$M2679))</f>
        <v/>
      </c>
      <c r="C2679" s="62" t="str">
        <f aca="false">IF($M2679=0,"",INDEX(Classes!$H$6:$H$420,$M2679))</f>
        <v/>
      </c>
      <c r="D2679" s="61" t="str">
        <f aca="false">IF($M2679=0,"",INDEX(Classes!$B$6:$B$420,$M2679))</f>
        <v/>
      </c>
      <c r="E2679" s="61" t="str">
        <f aca="false">IF($M2679=0,"",INDEX(Classes!$C$6:$C$420,$M2679))</f>
        <v/>
      </c>
      <c r="F2679" s="63"/>
      <c r="G2679" s="63"/>
      <c r="H2679" s="60"/>
      <c r="I2679" s="60"/>
      <c r="J2679" s="63"/>
      <c r="K2679" s="61" t="str">
        <f aca="false">IF($P2679=0,"",IF($F2679="Baseline","— Baseline",IF($O2679=0,"No result",IF($N2679=0,"No Start (attainment only)",IF(OR($N2679=1,$O2679=1),"U – needs rule",INDEX(MxBody,MATCH($I2679,MxCurr,0),MATCH($H2679,MxStart,0)))))))</f>
        <v/>
      </c>
      <c r="L2679" s="62" t="str">
        <f aca="false">IF(COUNTA($A2679,$F2679,$G2679,$H2679,$I2679,$J2679)=0,"",IF($M2679=0,"✖ كود الصف غير موجود",IF(ISNA(MATCH($F2679,Lists!$A$2:$A$5,0)),"✖ الفترة غير صحيحة",IF(ISNA(MATCH($G2679,Lists!$B$2:$B$7,0)),"✖ المجموعة غير صحيحة",IF(NOT(OR($H2679="",$N2679&gt;0)),"✖ Start غير صحيح",IF(NOT(OR($I2679="",$I2679="NR",$O2679&gt;0)),"✖ Current غير صحيح",IF(NOT(IF(ISNUMBER($J2679),AND($J2679&gt;=0,$J2679=INT($J2679)),FALSE())),"✖ العدد يجب أن يكون صحيحًا ≥ 0",IF(AND($F2679="Baseline",$H2679&lt;&gt;""),"⚠ Baseline: Start لا يدخل في التقدم",IF($K2679="No Start (attainment only)","ℹ تحصيل فقط (بدون Start)",IF($K2679="U – needs rule","ℹ حالة U تحتاج قاعدة معتمدة",IF($K2679="No result","ℹ بدون نتيجة (يُستبعد من التحصيل)","OK")))))))))))</f>
        <v/>
      </c>
      <c r="M2679" s="64" t="n">
        <f aca="false">IF($A2679="",0,IFERROR(MATCH($A2679,Classes!$A$6:$A$420,0),0))</f>
        <v>0</v>
      </c>
      <c r="N2679" s="64" t="n">
        <f aca="false">IF($H2679="",0,IFERROR(MATCH($H2679,GradeList,0),0))</f>
        <v>0</v>
      </c>
      <c r="O2679" s="64" t="n">
        <f aca="false">IF(OR($I2679="",$I2679="NR"),0,IFERROR(MATCH($I2679,GradeList,0),0))</f>
        <v>0</v>
      </c>
      <c r="P2679" s="64" t="n">
        <f aca="false">IF(AND($M2679&gt;0,ISNUMBER(MATCH($F2679,Lists!$A$2:$A$5,0)),ISNUMBER(MATCH($G2679,Lists!$B$2:$B$7,0)),OR($H2679="",$N2679&gt;0),OR($I2679="",$I2679="NR",$O2679&gt;0),IF(ISNUMBER($J2679),AND($J2679&gt;=0,$J2679=INT($J2679)),FALSE())),$J2679,0)</f>
        <v>0</v>
      </c>
      <c r="Q2679" s="64" t="n">
        <f aca="false">IF(AND($P2679&gt;0,$O2679&gt;0),$P2679,0)</f>
        <v>0</v>
      </c>
      <c r="R2679" s="64" t="n">
        <f aca="false">IF(AND($Q2679&gt;0,$O2679&gt;=AtRank),$Q2679,0)</f>
        <v>0</v>
      </c>
      <c r="S2679" s="64" t="n">
        <f aca="false">IF(AND($Q2679&gt;0,$O2679&gt;=AboveRank),$Q2679,0)</f>
        <v>0</v>
      </c>
      <c r="T2679" s="64" t="n">
        <f aca="false">IF($K2679="Less",$P2679,0)</f>
        <v>0</v>
      </c>
      <c r="U2679" s="64" t="n">
        <f aca="false">IF($K2679="Expected",$P2679,0)</f>
        <v>0</v>
      </c>
      <c r="V2679" s="64" t="n">
        <f aca="false">IF($K2679="Better",$P2679,0)</f>
        <v>0</v>
      </c>
      <c r="W2679" s="64" t="n">
        <f aca="false">IF($K2679="U – needs rule",$P2679,0)</f>
        <v>0</v>
      </c>
      <c r="X2679" s="64" t="n">
        <f aca="false">IF($K2679="No Start (attainment only)",$P2679,0)</f>
        <v>0</v>
      </c>
    </row>
    <row r="2680" customFormat="false" ht="15" hidden="false" customHeight="false" outlineLevel="0" collapsed="false">
      <c r="A2680" s="60"/>
      <c r="B2680" s="61" t="str">
        <f aca="false">IF($M2680=0,"",INDEX(Classes!$E$6:$E$420,$M2680))</f>
        <v/>
      </c>
      <c r="C2680" s="62" t="str">
        <f aca="false">IF($M2680=0,"",INDEX(Classes!$H$6:$H$420,$M2680))</f>
        <v/>
      </c>
      <c r="D2680" s="61" t="str">
        <f aca="false">IF($M2680=0,"",INDEX(Classes!$B$6:$B$420,$M2680))</f>
        <v/>
      </c>
      <c r="E2680" s="61" t="str">
        <f aca="false">IF($M2680=0,"",INDEX(Classes!$C$6:$C$420,$M2680))</f>
        <v/>
      </c>
      <c r="F2680" s="63"/>
      <c r="G2680" s="63"/>
      <c r="H2680" s="60"/>
      <c r="I2680" s="60"/>
      <c r="J2680" s="63"/>
      <c r="K2680" s="61" t="str">
        <f aca="false">IF($P2680=0,"",IF($F2680="Baseline","— Baseline",IF($O2680=0,"No result",IF($N2680=0,"No Start (attainment only)",IF(OR($N2680=1,$O2680=1),"U – needs rule",INDEX(MxBody,MATCH($I2680,MxCurr,0),MATCH($H2680,MxStart,0)))))))</f>
        <v/>
      </c>
      <c r="L2680" s="62" t="str">
        <f aca="false">IF(COUNTA($A2680,$F2680,$G2680,$H2680,$I2680,$J2680)=0,"",IF($M2680=0,"✖ كود الصف غير موجود",IF(ISNA(MATCH($F2680,Lists!$A$2:$A$5,0)),"✖ الفترة غير صحيحة",IF(ISNA(MATCH($G2680,Lists!$B$2:$B$7,0)),"✖ المجموعة غير صحيحة",IF(NOT(OR($H2680="",$N2680&gt;0)),"✖ Start غير صحيح",IF(NOT(OR($I2680="",$I2680="NR",$O2680&gt;0)),"✖ Current غير صحيح",IF(NOT(IF(ISNUMBER($J2680),AND($J2680&gt;=0,$J2680=INT($J2680)),FALSE())),"✖ العدد يجب أن يكون صحيحًا ≥ 0",IF(AND($F2680="Baseline",$H2680&lt;&gt;""),"⚠ Baseline: Start لا يدخل في التقدم",IF($K2680="No Start (attainment only)","ℹ تحصيل فقط (بدون Start)",IF($K2680="U – needs rule","ℹ حالة U تحتاج قاعدة معتمدة",IF($K2680="No result","ℹ بدون نتيجة (يُستبعد من التحصيل)","OK")))))))))))</f>
        <v/>
      </c>
      <c r="M2680" s="64" t="n">
        <f aca="false">IF($A2680="",0,IFERROR(MATCH($A2680,Classes!$A$6:$A$420,0),0))</f>
        <v>0</v>
      </c>
      <c r="N2680" s="64" t="n">
        <f aca="false">IF($H2680="",0,IFERROR(MATCH($H2680,GradeList,0),0))</f>
        <v>0</v>
      </c>
      <c r="O2680" s="64" t="n">
        <f aca="false">IF(OR($I2680="",$I2680="NR"),0,IFERROR(MATCH($I2680,GradeList,0),0))</f>
        <v>0</v>
      </c>
      <c r="P2680" s="64" t="n">
        <f aca="false">IF(AND($M2680&gt;0,ISNUMBER(MATCH($F2680,Lists!$A$2:$A$5,0)),ISNUMBER(MATCH($G2680,Lists!$B$2:$B$7,0)),OR($H2680="",$N2680&gt;0),OR($I2680="",$I2680="NR",$O2680&gt;0),IF(ISNUMBER($J2680),AND($J2680&gt;=0,$J2680=INT($J2680)),FALSE())),$J2680,0)</f>
        <v>0</v>
      </c>
      <c r="Q2680" s="64" t="n">
        <f aca="false">IF(AND($P2680&gt;0,$O2680&gt;0),$P2680,0)</f>
        <v>0</v>
      </c>
      <c r="R2680" s="64" t="n">
        <f aca="false">IF(AND($Q2680&gt;0,$O2680&gt;=AtRank),$Q2680,0)</f>
        <v>0</v>
      </c>
      <c r="S2680" s="64" t="n">
        <f aca="false">IF(AND($Q2680&gt;0,$O2680&gt;=AboveRank),$Q2680,0)</f>
        <v>0</v>
      </c>
      <c r="T2680" s="64" t="n">
        <f aca="false">IF($K2680="Less",$P2680,0)</f>
        <v>0</v>
      </c>
      <c r="U2680" s="64" t="n">
        <f aca="false">IF($K2680="Expected",$P2680,0)</f>
        <v>0</v>
      </c>
      <c r="V2680" s="64" t="n">
        <f aca="false">IF($K2680="Better",$P2680,0)</f>
        <v>0</v>
      </c>
      <c r="W2680" s="64" t="n">
        <f aca="false">IF($K2680="U – needs rule",$P2680,0)</f>
        <v>0</v>
      </c>
      <c r="X2680" s="64" t="n">
        <f aca="false">IF($K2680="No Start (attainment only)",$P2680,0)</f>
        <v>0</v>
      </c>
    </row>
    <row r="2681" customFormat="false" ht="15" hidden="false" customHeight="false" outlineLevel="0" collapsed="false">
      <c r="A2681" s="60"/>
      <c r="B2681" s="61" t="str">
        <f aca="false">IF($M2681=0,"",INDEX(Classes!$E$6:$E$420,$M2681))</f>
        <v/>
      </c>
      <c r="C2681" s="62" t="str">
        <f aca="false">IF($M2681=0,"",INDEX(Classes!$H$6:$H$420,$M2681))</f>
        <v/>
      </c>
      <c r="D2681" s="61" t="str">
        <f aca="false">IF($M2681=0,"",INDEX(Classes!$B$6:$B$420,$M2681))</f>
        <v/>
      </c>
      <c r="E2681" s="61" t="str">
        <f aca="false">IF($M2681=0,"",INDEX(Classes!$C$6:$C$420,$M2681))</f>
        <v/>
      </c>
      <c r="F2681" s="63"/>
      <c r="G2681" s="63"/>
      <c r="H2681" s="60"/>
      <c r="I2681" s="60"/>
      <c r="J2681" s="63"/>
      <c r="K2681" s="61" t="str">
        <f aca="false">IF($P2681=0,"",IF($F2681="Baseline","— Baseline",IF($O2681=0,"No result",IF($N2681=0,"No Start (attainment only)",IF(OR($N2681=1,$O2681=1),"U – needs rule",INDEX(MxBody,MATCH($I2681,MxCurr,0),MATCH($H2681,MxStart,0)))))))</f>
        <v/>
      </c>
      <c r="L2681" s="62" t="str">
        <f aca="false">IF(COUNTA($A2681,$F2681,$G2681,$H2681,$I2681,$J2681)=0,"",IF($M2681=0,"✖ كود الصف غير موجود",IF(ISNA(MATCH($F2681,Lists!$A$2:$A$5,0)),"✖ الفترة غير صحيحة",IF(ISNA(MATCH($G2681,Lists!$B$2:$B$7,0)),"✖ المجموعة غير صحيحة",IF(NOT(OR($H2681="",$N2681&gt;0)),"✖ Start غير صحيح",IF(NOT(OR($I2681="",$I2681="NR",$O2681&gt;0)),"✖ Current غير صحيح",IF(NOT(IF(ISNUMBER($J2681),AND($J2681&gt;=0,$J2681=INT($J2681)),FALSE())),"✖ العدد يجب أن يكون صحيحًا ≥ 0",IF(AND($F2681="Baseline",$H2681&lt;&gt;""),"⚠ Baseline: Start لا يدخل في التقدم",IF($K2681="No Start (attainment only)","ℹ تحصيل فقط (بدون Start)",IF($K2681="U – needs rule","ℹ حالة U تحتاج قاعدة معتمدة",IF($K2681="No result","ℹ بدون نتيجة (يُستبعد من التحصيل)","OK")))))))))))</f>
        <v/>
      </c>
      <c r="M2681" s="64" t="n">
        <f aca="false">IF($A2681="",0,IFERROR(MATCH($A2681,Classes!$A$6:$A$420,0),0))</f>
        <v>0</v>
      </c>
      <c r="N2681" s="64" t="n">
        <f aca="false">IF($H2681="",0,IFERROR(MATCH($H2681,GradeList,0),0))</f>
        <v>0</v>
      </c>
      <c r="O2681" s="64" t="n">
        <f aca="false">IF(OR($I2681="",$I2681="NR"),0,IFERROR(MATCH($I2681,GradeList,0),0))</f>
        <v>0</v>
      </c>
      <c r="P2681" s="64" t="n">
        <f aca="false">IF(AND($M2681&gt;0,ISNUMBER(MATCH($F2681,Lists!$A$2:$A$5,0)),ISNUMBER(MATCH($G2681,Lists!$B$2:$B$7,0)),OR($H2681="",$N2681&gt;0),OR($I2681="",$I2681="NR",$O2681&gt;0),IF(ISNUMBER($J2681),AND($J2681&gt;=0,$J2681=INT($J2681)),FALSE())),$J2681,0)</f>
        <v>0</v>
      </c>
      <c r="Q2681" s="64" t="n">
        <f aca="false">IF(AND($P2681&gt;0,$O2681&gt;0),$P2681,0)</f>
        <v>0</v>
      </c>
      <c r="R2681" s="64" t="n">
        <f aca="false">IF(AND($Q2681&gt;0,$O2681&gt;=AtRank),$Q2681,0)</f>
        <v>0</v>
      </c>
      <c r="S2681" s="64" t="n">
        <f aca="false">IF(AND($Q2681&gt;0,$O2681&gt;=AboveRank),$Q2681,0)</f>
        <v>0</v>
      </c>
      <c r="T2681" s="64" t="n">
        <f aca="false">IF($K2681="Less",$P2681,0)</f>
        <v>0</v>
      </c>
      <c r="U2681" s="64" t="n">
        <f aca="false">IF($K2681="Expected",$P2681,0)</f>
        <v>0</v>
      </c>
      <c r="V2681" s="64" t="n">
        <f aca="false">IF($K2681="Better",$P2681,0)</f>
        <v>0</v>
      </c>
      <c r="W2681" s="64" t="n">
        <f aca="false">IF($K2681="U – needs rule",$P2681,0)</f>
        <v>0</v>
      </c>
      <c r="X2681" s="64" t="n">
        <f aca="false">IF($K2681="No Start (attainment only)",$P2681,0)</f>
        <v>0</v>
      </c>
    </row>
    <row r="2682" customFormat="false" ht="15" hidden="false" customHeight="false" outlineLevel="0" collapsed="false">
      <c r="A2682" s="60"/>
      <c r="B2682" s="61" t="str">
        <f aca="false">IF($M2682=0,"",INDEX(Classes!$E$6:$E$420,$M2682))</f>
        <v/>
      </c>
      <c r="C2682" s="62" t="str">
        <f aca="false">IF($M2682=0,"",INDEX(Classes!$H$6:$H$420,$M2682))</f>
        <v/>
      </c>
      <c r="D2682" s="61" t="str">
        <f aca="false">IF($M2682=0,"",INDEX(Classes!$B$6:$B$420,$M2682))</f>
        <v/>
      </c>
      <c r="E2682" s="61" t="str">
        <f aca="false">IF($M2682=0,"",INDEX(Classes!$C$6:$C$420,$M2682))</f>
        <v/>
      </c>
      <c r="F2682" s="63"/>
      <c r="G2682" s="63"/>
      <c r="H2682" s="60"/>
      <c r="I2682" s="60"/>
      <c r="J2682" s="63"/>
      <c r="K2682" s="61" t="str">
        <f aca="false">IF($P2682=0,"",IF($F2682="Baseline","— Baseline",IF($O2682=0,"No result",IF($N2682=0,"No Start (attainment only)",IF(OR($N2682=1,$O2682=1),"U – needs rule",INDEX(MxBody,MATCH($I2682,MxCurr,0),MATCH($H2682,MxStart,0)))))))</f>
        <v/>
      </c>
      <c r="L2682" s="62" t="str">
        <f aca="false">IF(COUNTA($A2682,$F2682,$G2682,$H2682,$I2682,$J2682)=0,"",IF($M2682=0,"✖ كود الصف غير موجود",IF(ISNA(MATCH($F2682,Lists!$A$2:$A$5,0)),"✖ الفترة غير صحيحة",IF(ISNA(MATCH($G2682,Lists!$B$2:$B$7,0)),"✖ المجموعة غير صحيحة",IF(NOT(OR($H2682="",$N2682&gt;0)),"✖ Start غير صحيح",IF(NOT(OR($I2682="",$I2682="NR",$O2682&gt;0)),"✖ Current غير صحيح",IF(NOT(IF(ISNUMBER($J2682),AND($J2682&gt;=0,$J2682=INT($J2682)),FALSE())),"✖ العدد يجب أن يكون صحيحًا ≥ 0",IF(AND($F2682="Baseline",$H2682&lt;&gt;""),"⚠ Baseline: Start لا يدخل في التقدم",IF($K2682="No Start (attainment only)","ℹ تحصيل فقط (بدون Start)",IF($K2682="U – needs rule","ℹ حالة U تحتاج قاعدة معتمدة",IF($K2682="No result","ℹ بدون نتيجة (يُستبعد من التحصيل)","OK")))))))))))</f>
        <v/>
      </c>
      <c r="M2682" s="64" t="n">
        <f aca="false">IF($A2682="",0,IFERROR(MATCH($A2682,Classes!$A$6:$A$420,0),0))</f>
        <v>0</v>
      </c>
      <c r="N2682" s="64" t="n">
        <f aca="false">IF($H2682="",0,IFERROR(MATCH($H2682,GradeList,0),0))</f>
        <v>0</v>
      </c>
      <c r="O2682" s="64" t="n">
        <f aca="false">IF(OR($I2682="",$I2682="NR"),0,IFERROR(MATCH($I2682,GradeList,0),0))</f>
        <v>0</v>
      </c>
      <c r="P2682" s="64" t="n">
        <f aca="false">IF(AND($M2682&gt;0,ISNUMBER(MATCH($F2682,Lists!$A$2:$A$5,0)),ISNUMBER(MATCH($G2682,Lists!$B$2:$B$7,0)),OR($H2682="",$N2682&gt;0),OR($I2682="",$I2682="NR",$O2682&gt;0),IF(ISNUMBER($J2682),AND($J2682&gt;=0,$J2682=INT($J2682)),FALSE())),$J2682,0)</f>
        <v>0</v>
      </c>
      <c r="Q2682" s="64" t="n">
        <f aca="false">IF(AND($P2682&gt;0,$O2682&gt;0),$P2682,0)</f>
        <v>0</v>
      </c>
      <c r="R2682" s="64" t="n">
        <f aca="false">IF(AND($Q2682&gt;0,$O2682&gt;=AtRank),$Q2682,0)</f>
        <v>0</v>
      </c>
      <c r="S2682" s="64" t="n">
        <f aca="false">IF(AND($Q2682&gt;0,$O2682&gt;=AboveRank),$Q2682,0)</f>
        <v>0</v>
      </c>
      <c r="T2682" s="64" t="n">
        <f aca="false">IF($K2682="Less",$P2682,0)</f>
        <v>0</v>
      </c>
      <c r="U2682" s="64" t="n">
        <f aca="false">IF($K2682="Expected",$P2682,0)</f>
        <v>0</v>
      </c>
      <c r="V2682" s="64" t="n">
        <f aca="false">IF($K2682="Better",$P2682,0)</f>
        <v>0</v>
      </c>
      <c r="W2682" s="64" t="n">
        <f aca="false">IF($K2682="U – needs rule",$P2682,0)</f>
        <v>0</v>
      </c>
      <c r="X2682" s="64" t="n">
        <f aca="false">IF($K2682="No Start (attainment only)",$P2682,0)</f>
        <v>0</v>
      </c>
    </row>
    <row r="2683" customFormat="false" ht="15" hidden="false" customHeight="false" outlineLevel="0" collapsed="false">
      <c r="A2683" s="60"/>
      <c r="B2683" s="61" t="str">
        <f aca="false">IF($M2683=0,"",INDEX(Classes!$E$6:$E$420,$M2683))</f>
        <v/>
      </c>
      <c r="C2683" s="62" t="str">
        <f aca="false">IF($M2683=0,"",INDEX(Classes!$H$6:$H$420,$M2683))</f>
        <v/>
      </c>
      <c r="D2683" s="61" t="str">
        <f aca="false">IF($M2683=0,"",INDEX(Classes!$B$6:$B$420,$M2683))</f>
        <v/>
      </c>
      <c r="E2683" s="61" t="str">
        <f aca="false">IF($M2683=0,"",INDEX(Classes!$C$6:$C$420,$M2683))</f>
        <v/>
      </c>
      <c r="F2683" s="63"/>
      <c r="G2683" s="63"/>
      <c r="H2683" s="60"/>
      <c r="I2683" s="60"/>
      <c r="J2683" s="63"/>
      <c r="K2683" s="61" t="str">
        <f aca="false">IF($P2683=0,"",IF($F2683="Baseline","— Baseline",IF($O2683=0,"No result",IF($N2683=0,"No Start (attainment only)",IF(OR($N2683=1,$O2683=1),"U – needs rule",INDEX(MxBody,MATCH($I2683,MxCurr,0),MATCH($H2683,MxStart,0)))))))</f>
        <v/>
      </c>
      <c r="L2683" s="62" t="str">
        <f aca="false">IF(COUNTA($A2683,$F2683,$G2683,$H2683,$I2683,$J2683)=0,"",IF($M2683=0,"✖ كود الصف غير موجود",IF(ISNA(MATCH($F2683,Lists!$A$2:$A$5,0)),"✖ الفترة غير صحيحة",IF(ISNA(MATCH($G2683,Lists!$B$2:$B$7,0)),"✖ المجموعة غير صحيحة",IF(NOT(OR($H2683="",$N2683&gt;0)),"✖ Start غير صحيح",IF(NOT(OR($I2683="",$I2683="NR",$O2683&gt;0)),"✖ Current غير صحيح",IF(NOT(IF(ISNUMBER($J2683),AND($J2683&gt;=0,$J2683=INT($J2683)),FALSE())),"✖ العدد يجب أن يكون صحيحًا ≥ 0",IF(AND($F2683="Baseline",$H2683&lt;&gt;""),"⚠ Baseline: Start لا يدخل في التقدم",IF($K2683="No Start (attainment only)","ℹ تحصيل فقط (بدون Start)",IF($K2683="U – needs rule","ℹ حالة U تحتاج قاعدة معتمدة",IF($K2683="No result","ℹ بدون نتيجة (يُستبعد من التحصيل)","OK")))))))))))</f>
        <v/>
      </c>
      <c r="M2683" s="64" t="n">
        <f aca="false">IF($A2683="",0,IFERROR(MATCH($A2683,Classes!$A$6:$A$420,0),0))</f>
        <v>0</v>
      </c>
      <c r="N2683" s="64" t="n">
        <f aca="false">IF($H2683="",0,IFERROR(MATCH($H2683,GradeList,0),0))</f>
        <v>0</v>
      </c>
      <c r="O2683" s="64" t="n">
        <f aca="false">IF(OR($I2683="",$I2683="NR"),0,IFERROR(MATCH($I2683,GradeList,0),0))</f>
        <v>0</v>
      </c>
      <c r="P2683" s="64" t="n">
        <f aca="false">IF(AND($M2683&gt;0,ISNUMBER(MATCH($F2683,Lists!$A$2:$A$5,0)),ISNUMBER(MATCH($G2683,Lists!$B$2:$B$7,0)),OR($H2683="",$N2683&gt;0),OR($I2683="",$I2683="NR",$O2683&gt;0),IF(ISNUMBER($J2683),AND($J2683&gt;=0,$J2683=INT($J2683)),FALSE())),$J2683,0)</f>
        <v>0</v>
      </c>
      <c r="Q2683" s="64" t="n">
        <f aca="false">IF(AND($P2683&gt;0,$O2683&gt;0),$P2683,0)</f>
        <v>0</v>
      </c>
      <c r="R2683" s="64" t="n">
        <f aca="false">IF(AND($Q2683&gt;0,$O2683&gt;=AtRank),$Q2683,0)</f>
        <v>0</v>
      </c>
      <c r="S2683" s="64" t="n">
        <f aca="false">IF(AND($Q2683&gt;0,$O2683&gt;=AboveRank),$Q2683,0)</f>
        <v>0</v>
      </c>
      <c r="T2683" s="64" t="n">
        <f aca="false">IF($K2683="Less",$P2683,0)</f>
        <v>0</v>
      </c>
      <c r="U2683" s="64" t="n">
        <f aca="false">IF($K2683="Expected",$P2683,0)</f>
        <v>0</v>
      </c>
      <c r="V2683" s="64" t="n">
        <f aca="false">IF($K2683="Better",$P2683,0)</f>
        <v>0</v>
      </c>
      <c r="W2683" s="64" t="n">
        <f aca="false">IF($K2683="U – needs rule",$P2683,0)</f>
        <v>0</v>
      </c>
      <c r="X2683" s="64" t="n">
        <f aca="false">IF($K2683="No Start (attainment only)",$P2683,0)</f>
        <v>0</v>
      </c>
    </row>
    <row r="2684" customFormat="false" ht="15" hidden="false" customHeight="false" outlineLevel="0" collapsed="false">
      <c r="A2684" s="60"/>
      <c r="B2684" s="61" t="str">
        <f aca="false">IF($M2684=0,"",INDEX(Classes!$E$6:$E$420,$M2684))</f>
        <v/>
      </c>
      <c r="C2684" s="62" t="str">
        <f aca="false">IF($M2684=0,"",INDEX(Classes!$H$6:$H$420,$M2684))</f>
        <v/>
      </c>
      <c r="D2684" s="61" t="str">
        <f aca="false">IF($M2684=0,"",INDEX(Classes!$B$6:$B$420,$M2684))</f>
        <v/>
      </c>
      <c r="E2684" s="61" t="str">
        <f aca="false">IF($M2684=0,"",INDEX(Classes!$C$6:$C$420,$M2684))</f>
        <v/>
      </c>
      <c r="F2684" s="63"/>
      <c r="G2684" s="63"/>
      <c r="H2684" s="60"/>
      <c r="I2684" s="60"/>
      <c r="J2684" s="63"/>
      <c r="K2684" s="61" t="str">
        <f aca="false">IF($P2684=0,"",IF($F2684="Baseline","— Baseline",IF($O2684=0,"No result",IF($N2684=0,"No Start (attainment only)",IF(OR($N2684=1,$O2684=1),"U – needs rule",INDEX(MxBody,MATCH($I2684,MxCurr,0),MATCH($H2684,MxStart,0)))))))</f>
        <v/>
      </c>
      <c r="L2684" s="62" t="str">
        <f aca="false">IF(COUNTA($A2684,$F2684,$G2684,$H2684,$I2684,$J2684)=0,"",IF($M2684=0,"✖ كود الصف غير موجود",IF(ISNA(MATCH($F2684,Lists!$A$2:$A$5,0)),"✖ الفترة غير صحيحة",IF(ISNA(MATCH($G2684,Lists!$B$2:$B$7,0)),"✖ المجموعة غير صحيحة",IF(NOT(OR($H2684="",$N2684&gt;0)),"✖ Start غير صحيح",IF(NOT(OR($I2684="",$I2684="NR",$O2684&gt;0)),"✖ Current غير صحيح",IF(NOT(IF(ISNUMBER($J2684),AND($J2684&gt;=0,$J2684=INT($J2684)),FALSE())),"✖ العدد يجب أن يكون صحيحًا ≥ 0",IF(AND($F2684="Baseline",$H2684&lt;&gt;""),"⚠ Baseline: Start لا يدخل في التقدم",IF($K2684="No Start (attainment only)","ℹ تحصيل فقط (بدون Start)",IF($K2684="U – needs rule","ℹ حالة U تحتاج قاعدة معتمدة",IF($K2684="No result","ℹ بدون نتيجة (يُستبعد من التحصيل)","OK")))))))))))</f>
        <v/>
      </c>
      <c r="M2684" s="64" t="n">
        <f aca="false">IF($A2684="",0,IFERROR(MATCH($A2684,Classes!$A$6:$A$420,0),0))</f>
        <v>0</v>
      </c>
      <c r="N2684" s="64" t="n">
        <f aca="false">IF($H2684="",0,IFERROR(MATCH($H2684,GradeList,0),0))</f>
        <v>0</v>
      </c>
      <c r="O2684" s="64" t="n">
        <f aca="false">IF(OR($I2684="",$I2684="NR"),0,IFERROR(MATCH($I2684,GradeList,0),0))</f>
        <v>0</v>
      </c>
      <c r="P2684" s="64" t="n">
        <f aca="false">IF(AND($M2684&gt;0,ISNUMBER(MATCH($F2684,Lists!$A$2:$A$5,0)),ISNUMBER(MATCH($G2684,Lists!$B$2:$B$7,0)),OR($H2684="",$N2684&gt;0),OR($I2684="",$I2684="NR",$O2684&gt;0),IF(ISNUMBER($J2684),AND($J2684&gt;=0,$J2684=INT($J2684)),FALSE())),$J2684,0)</f>
        <v>0</v>
      </c>
      <c r="Q2684" s="64" t="n">
        <f aca="false">IF(AND($P2684&gt;0,$O2684&gt;0),$P2684,0)</f>
        <v>0</v>
      </c>
      <c r="R2684" s="64" t="n">
        <f aca="false">IF(AND($Q2684&gt;0,$O2684&gt;=AtRank),$Q2684,0)</f>
        <v>0</v>
      </c>
      <c r="S2684" s="64" t="n">
        <f aca="false">IF(AND($Q2684&gt;0,$O2684&gt;=AboveRank),$Q2684,0)</f>
        <v>0</v>
      </c>
      <c r="T2684" s="64" t="n">
        <f aca="false">IF($K2684="Less",$P2684,0)</f>
        <v>0</v>
      </c>
      <c r="U2684" s="64" t="n">
        <f aca="false">IF($K2684="Expected",$P2684,0)</f>
        <v>0</v>
      </c>
      <c r="V2684" s="64" t="n">
        <f aca="false">IF($K2684="Better",$P2684,0)</f>
        <v>0</v>
      </c>
      <c r="W2684" s="64" t="n">
        <f aca="false">IF($K2684="U – needs rule",$P2684,0)</f>
        <v>0</v>
      </c>
      <c r="X2684" s="64" t="n">
        <f aca="false">IF($K2684="No Start (attainment only)",$P2684,0)</f>
        <v>0</v>
      </c>
    </row>
    <row r="2685" customFormat="false" ht="15" hidden="false" customHeight="false" outlineLevel="0" collapsed="false">
      <c r="A2685" s="60"/>
      <c r="B2685" s="61" t="str">
        <f aca="false">IF($M2685=0,"",INDEX(Classes!$E$6:$E$420,$M2685))</f>
        <v/>
      </c>
      <c r="C2685" s="62" t="str">
        <f aca="false">IF($M2685=0,"",INDEX(Classes!$H$6:$H$420,$M2685))</f>
        <v/>
      </c>
      <c r="D2685" s="61" t="str">
        <f aca="false">IF($M2685=0,"",INDEX(Classes!$B$6:$B$420,$M2685))</f>
        <v/>
      </c>
      <c r="E2685" s="61" t="str">
        <f aca="false">IF($M2685=0,"",INDEX(Classes!$C$6:$C$420,$M2685))</f>
        <v/>
      </c>
      <c r="F2685" s="63"/>
      <c r="G2685" s="63"/>
      <c r="H2685" s="60"/>
      <c r="I2685" s="60"/>
      <c r="J2685" s="63"/>
      <c r="K2685" s="61" t="str">
        <f aca="false">IF($P2685=0,"",IF($F2685="Baseline","— Baseline",IF($O2685=0,"No result",IF($N2685=0,"No Start (attainment only)",IF(OR($N2685=1,$O2685=1),"U – needs rule",INDEX(MxBody,MATCH($I2685,MxCurr,0),MATCH($H2685,MxStart,0)))))))</f>
        <v/>
      </c>
      <c r="L2685" s="62" t="str">
        <f aca="false">IF(COUNTA($A2685,$F2685,$G2685,$H2685,$I2685,$J2685)=0,"",IF($M2685=0,"✖ كود الصف غير موجود",IF(ISNA(MATCH($F2685,Lists!$A$2:$A$5,0)),"✖ الفترة غير صحيحة",IF(ISNA(MATCH($G2685,Lists!$B$2:$B$7,0)),"✖ المجموعة غير صحيحة",IF(NOT(OR($H2685="",$N2685&gt;0)),"✖ Start غير صحيح",IF(NOT(OR($I2685="",$I2685="NR",$O2685&gt;0)),"✖ Current غير صحيح",IF(NOT(IF(ISNUMBER($J2685),AND($J2685&gt;=0,$J2685=INT($J2685)),FALSE())),"✖ العدد يجب أن يكون صحيحًا ≥ 0",IF(AND($F2685="Baseline",$H2685&lt;&gt;""),"⚠ Baseline: Start لا يدخل في التقدم",IF($K2685="No Start (attainment only)","ℹ تحصيل فقط (بدون Start)",IF($K2685="U – needs rule","ℹ حالة U تحتاج قاعدة معتمدة",IF($K2685="No result","ℹ بدون نتيجة (يُستبعد من التحصيل)","OK")))))))))))</f>
        <v/>
      </c>
      <c r="M2685" s="64" t="n">
        <f aca="false">IF($A2685="",0,IFERROR(MATCH($A2685,Classes!$A$6:$A$420,0),0))</f>
        <v>0</v>
      </c>
      <c r="N2685" s="64" t="n">
        <f aca="false">IF($H2685="",0,IFERROR(MATCH($H2685,GradeList,0),0))</f>
        <v>0</v>
      </c>
      <c r="O2685" s="64" t="n">
        <f aca="false">IF(OR($I2685="",$I2685="NR"),0,IFERROR(MATCH($I2685,GradeList,0),0))</f>
        <v>0</v>
      </c>
      <c r="P2685" s="64" t="n">
        <f aca="false">IF(AND($M2685&gt;0,ISNUMBER(MATCH($F2685,Lists!$A$2:$A$5,0)),ISNUMBER(MATCH($G2685,Lists!$B$2:$B$7,0)),OR($H2685="",$N2685&gt;0),OR($I2685="",$I2685="NR",$O2685&gt;0),IF(ISNUMBER($J2685),AND($J2685&gt;=0,$J2685=INT($J2685)),FALSE())),$J2685,0)</f>
        <v>0</v>
      </c>
      <c r="Q2685" s="64" t="n">
        <f aca="false">IF(AND($P2685&gt;0,$O2685&gt;0),$P2685,0)</f>
        <v>0</v>
      </c>
      <c r="R2685" s="64" t="n">
        <f aca="false">IF(AND($Q2685&gt;0,$O2685&gt;=AtRank),$Q2685,0)</f>
        <v>0</v>
      </c>
      <c r="S2685" s="64" t="n">
        <f aca="false">IF(AND($Q2685&gt;0,$O2685&gt;=AboveRank),$Q2685,0)</f>
        <v>0</v>
      </c>
      <c r="T2685" s="64" t="n">
        <f aca="false">IF($K2685="Less",$P2685,0)</f>
        <v>0</v>
      </c>
      <c r="U2685" s="64" t="n">
        <f aca="false">IF($K2685="Expected",$P2685,0)</f>
        <v>0</v>
      </c>
      <c r="V2685" s="64" t="n">
        <f aca="false">IF($K2685="Better",$P2685,0)</f>
        <v>0</v>
      </c>
      <c r="W2685" s="64" t="n">
        <f aca="false">IF($K2685="U – needs rule",$P2685,0)</f>
        <v>0</v>
      </c>
      <c r="X2685" s="64" t="n">
        <f aca="false">IF($K2685="No Start (attainment only)",$P2685,0)</f>
        <v>0</v>
      </c>
    </row>
    <row r="2686" customFormat="false" ht="15" hidden="false" customHeight="false" outlineLevel="0" collapsed="false">
      <c r="A2686" s="60"/>
      <c r="B2686" s="61" t="str">
        <f aca="false">IF($M2686=0,"",INDEX(Classes!$E$6:$E$420,$M2686))</f>
        <v/>
      </c>
      <c r="C2686" s="62" t="str">
        <f aca="false">IF($M2686=0,"",INDEX(Classes!$H$6:$H$420,$M2686))</f>
        <v/>
      </c>
      <c r="D2686" s="61" t="str">
        <f aca="false">IF($M2686=0,"",INDEX(Classes!$B$6:$B$420,$M2686))</f>
        <v/>
      </c>
      <c r="E2686" s="61" t="str">
        <f aca="false">IF($M2686=0,"",INDEX(Classes!$C$6:$C$420,$M2686))</f>
        <v/>
      </c>
      <c r="F2686" s="63"/>
      <c r="G2686" s="63"/>
      <c r="H2686" s="60"/>
      <c r="I2686" s="60"/>
      <c r="J2686" s="63"/>
      <c r="K2686" s="61" t="str">
        <f aca="false">IF($P2686=0,"",IF($F2686="Baseline","— Baseline",IF($O2686=0,"No result",IF($N2686=0,"No Start (attainment only)",IF(OR($N2686=1,$O2686=1),"U – needs rule",INDEX(MxBody,MATCH($I2686,MxCurr,0),MATCH($H2686,MxStart,0)))))))</f>
        <v/>
      </c>
      <c r="L2686" s="62" t="str">
        <f aca="false">IF(COUNTA($A2686,$F2686,$G2686,$H2686,$I2686,$J2686)=0,"",IF($M2686=0,"✖ كود الصف غير موجود",IF(ISNA(MATCH($F2686,Lists!$A$2:$A$5,0)),"✖ الفترة غير صحيحة",IF(ISNA(MATCH($G2686,Lists!$B$2:$B$7,0)),"✖ المجموعة غير صحيحة",IF(NOT(OR($H2686="",$N2686&gt;0)),"✖ Start غير صحيح",IF(NOT(OR($I2686="",$I2686="NR",$O2686&gt;0)),"✖ Current غير صحيح",IF(NOT(IF(ISNUMBER($J2686),AND($J2686&gt;=0,$J2686=INT($J2686)),FALSE())),"✖ العدد يجب أن يكون صحيحًا ≥ 0",IF(AND($F2686="Baseline",$H2686&lt;&gt;""),"⚠ Baseline: Start لا يدخل في التقدم",IF($K2686="No Start (attainment only)","ℹ تحصيل فقط (بدون Start)",IF($K2686="U – needs rule","ℹ حالة U تحتاج قاعدة معتمدة",IF($K2686="No result","ℹ بدون نتيجة (يُستبعد من التحصيل)","OK")))))))))))</f>
        <v/>
      </c>
      <c r="M2686" s="64" t="n">
        <f aca="false">IF($A2686="",0,IFERROR(MATCH($A2686,Classes!$A$6:$A$420,0),0))</f>
        <v>0</v>
      </c>
      <c r="N2686" s="64" t="n">
        <f aca="false">IF($H2686="",0,IFERROR(MATCH($H2686,GradeList,0),0))</f>
        <v>0</v>
      </c>
      <c r="O2686" s="64" t="n">
        <f aca="false">IF(OR($I2686="",$I2686="NR"),0,IFERROR(MATCH($I2686,GradeList,0),0))</f>
        <v>0</v>
      </c>
      <c r="P2686" s="64" t="n">
        <f aca="false">IF(AND($M2686&gt;0,ISNUMBER(MATCH($F2686,Lists!$A$2:$A$5,0)),ISNUMBER(MATCH($G2686,Lists!$B$2:$B$7,0)),OR($H2686="",$N2686&gt;0),OR($I2686="",$I2686="NR",$O2686&gt;0),IF(ISNUMBER($J2686),AND($J2686&gt;=0,$J2686=INT($J2686)),FALSE())),$J2686,0)</f>
        <v>0</v>
      </c>
      <c r="Q2686" s="64" t="n">
        <f aca="false">IF(AND($P2686&gt;0,$O2686&gt;0),$P2686,0)</f>
        <v>0</v>
      </c>
      <c r="R2686" s="64" t="n">
        <f aca="false">IF(AND($Q2686&gt;0,$O2686&gt;=AtRank),$Q2686,0)</f>
        <v>0</v>
      </c>
      <c r="S2686" s="64" t="n">
        <f aca="false">IF(AND($Q2686&gt;0,$O2686&gt;=AboveRank),$Q2686,0)</f>
        <v>0</v>
      </c>
      <c r="T2686" s="64" t="n">
        <f aca="false">IF($K2686="Less",$P2686,0)</f>
        <v>0</v>
      </c>
      <c r="U2686" s="64" t="n">
        <f aca="false">IF($K2686="Expected",$P2686,0)</f>
        <v>0</v>
      </c>
      <c r="V2686" s="64" t="n">
        <f aca="false">IF($K2686="Better",$P2686,0)</f>
        <v>0</v>
      </c>
      <c r="W2686" s="64" t="n">
        <f aca="false">IF($K2686="U – needs rule",$P2686,0)</f>
        <v>0</v>
      </c>
      <c r="X2686" s="64" t="n">
        <f aca="false">IF($K2686="No Start (attainment only)",$P2686,0)</f>
        <v>0</v>
      </c>
    </row>
    <row r="2687" customFormat="false" ht="15" hidden="false" customHeight="false" outlineLevel="0" collapsed="false">
      <c r="A2687" s="60"/>
      <c r="B2687" s="61" t="str">
        <f aca="false">IF($M2687=0,"",INDEX(Classes!$E$6:$E$420,$M2687))</f>
        <v/>
      </c>
      <c r="C2687" s="62" t="str">
        <f aca="false">IF($M2687=0,"",INDEX(Classes!$H$6:$H$420,$M2687))</f>
        <v/>
      </c>
      <c r="D2687" s="61" t="str">
        <f aca="false">IF($M2687=0,"",INDEX(Classes!$B$6:$B$420,$M2687))</f>
        <v/>
      </c>
      <c r="E2687" s="61" t="str">
        <f aca="false">IF($M2687=0,"",INDEX(Classes!$C$6:$C$420,$M2687))</f>
        <v/>
      </c>
      <c r="F2687" s="63"/>
      <c r="G2687" s="63"/>
      <c r="H2687" s="60"/>
      <c r="I2687" s="60"/>
      <c r="J2687" s="63"/>
      <c r="K2687" s="61" t="str">
        <f aca="false">IF($P2687=0,"",IF($F2687="Baseline","— Baseline",IF($O2687=0,"No result",IF($N2687=0,"No Start (attainment only)",IF(OR($N2687=1,$O2687=1),"U – needs rule",INDEX(MxBody,MATCH($I2687,MxCurr,0),MATCH($H2687,MxStart,0)))))))</f>
        <v/>
      </c>
      <c r="L2687" s="62" t="str">
        <f aca="false">IF(COUNTA($A2687,$F2687,$G2687,$H2687,$I2687,$J2687)=0,"",IF($M2687=0,"✖ كود الصف غير موجود",IF(ISNA(MATCH($F2687,Lists!$A$2:$A$5,0)),"✖ الفترة غير صحيحة",IF(ISNA(MATCH($G2687,Lists!$B$2:$B$7,0)),"✖ المجموعة غير صحيحة",IF(NOT(OR($H2687="",$N2687&gt;0)),"✖ Start غير صحيح",IF(NOT(OR($I2687="",$I2687="NR",$O2687&gt;0)),"✖ Current غير صحيح",IF(NOT(IF(ISNUMBER($J2687),AND($J2687&gt;=0,$J2687=INT($J2687)),FALSE())),"✖ العدد يجب أن يكون صحيحًا ≥ 0",IF(AND($F2687="Baseline",$H2687&lt;&gt;""),"⚠ Baseline: Start لا يدخل في التقدم",IF($K2687="No Start (attainment only)","ℹ تحصيل فقط (بدون Start)",IF($K2687="U – needs rule","ℹ حالة U تحتاج قاعدة معتمدة",IF($K2687="No result","ℹ بدون نتيجة (يُستبعد من التحصيل)","OK")))))))))))</f>
        <v/>
      </c>
      <c r="M2687" s="64" t="n">
        <f aca="false">IF($A2687="",0,IFERROR(MATCH($A2687,Classes!$A$6:$A$420,0),0))</f>
        <v>0</v>
      </c>
      <c r="N2687" s="64" t="n">
        <f aca="false">IF($H2687="",0,IFERROR(MATCH($H2687,GradeList,0),0))</f>
        <v>0</v>
      </c>
      <c r="O2687" s="64" t="n">
        <f aca="false">IF(OR($I2687="",$I2687="NR"),0,IFERROR(MATCH($I2687,GradeList,0),0))</f>
        <v>0</v>
      </c>
      <c r="P2687" s="64" t="n">
        <f aca="false">IF(AND($M2687&gt;0,ISNUMBER(MATCH($F2687,Lists!$A$2:$A$5,0)),ISNUMBER(MATCH($G2687,Lists!$B$2:$B$7,0)),OR($H2687="",$N2687&gt;0),OR($I2687="",$I2687="NR",$O2687&gt;0),IF(ISNUMBER($J2687),AND($J2687&gt;=0,$J2687=INT($J2687)),FALSE())),$J2687,0)</f>
        <v>0</v>
      </c>
      <c r="Q2687" s="64" t="n">
        <f aca="false">IF(AND($P2687&gt;0,$O2687&gt;0),$P2687,0)</f>
        <v>0</v>
      </c>
      <c r="R2687" s="64" t="n">
        <f aca="false">IF(AND($Q2687&gt;0,$O2687&gt;=AtRank),$Q2687,0)</f>
        <v>0</v>
      </c>
      <c r="S2687" s="64" t="n">
        <f aca="false">IF(AND($Q2687&gt;0,$O2687&gt;=AboveRank),$Q2687,0)</f>
        <v>0</v>
      </c>
      <c r="T2687" s="64" t="n">
        <f aca="false">IF($K2687="Less",$P2687,0)</f>
        <v>0</v>
      </c>
      <c r="U2687" s="64" t="n">
        <f aca="false">IF($K2687="Expected",$P2687,0)</f>
        <v>0</v>
      </c>
      <c r="V2687" s="64" t="n">
        <f aca="false">IF($K2687="Better",$P2687,0)</f>
        <v>0</v>
      </c>
      <c r="W2687" s="64" t="n">
        <f aca="false">IF($K2687="U – needs rule",$P2687,0)</f>
        <v>0</v>
      </c>
      <c r="X2687" s="64" t="n">
        <f aca="false">IF($K2687="No Start (attainment only)",$P2687,0)</f>
        <v>0</v>
      </c>
    </row>
    <row r="2688" customFormat="false" ht="15" hidden="false" customHeight="false" outlineLevel="0" collapsed="false">
      <c r="A2688" s="60"/>
      <c r="B2688" s="61" t="str">
        <f aca="false">IF($M2688=0,"",INDEX(Classes!$E$6:$E$420,$M2688))</f>
        <v/>
      </c>
      <c r="C2688" s="62" t="str">
        <f aca="false">IF($M2688=0,"",INDEX(Classes!$H$6:$H$420,$M2688))</f>
        <v/>
      </c>
      <c r="D2688" s="61" t="str">
        <f aca="false">IF($M2688=0,"",INDEX(Classes!$B$6:$B$420,$M2688))</f>
        <v/>
      </c>
      <c r="E2688" s="61" t="str">
        <f aca="false">IF($M2688=0,"",INDEX(Classes!$C$6:$C$420,$M2688))</f>
        <v/>
      </c>
      <c r="F2688" s="63"/>
      <c r="G2688" s="63"/>
      <c r="H2688" s="60"/>
      <c r="I2688" s="60"/>
      <c r="J2688" s="63"/>
      <c r="K2688" s="61" t="str">
        <f aca="false">IF($P2688=0,"",IF($F2688="Baseline","— Baseline",IF($O2688=0,"No result",IF($N2688=0,"No Start (attainment only)",IF(OR($N2688=1,$O2688=1),"U – needs rule",INDEX(MxBody,MATCH($I2688,MxCurr,0),MATCH($H2688,MxStart,0)))))))</f>
        <v/>
      </c>
      <c r="L2688" s="62" t="str">
        <f aca="false">IF(COUNTA($A2688,$F2688,$G2688,$H2688,$I2688,$J2688)=0,"",IF($M2688=0,"✖ كود الصف غير موجود",IF(ISNA(MATCH($F2688,Lists!$A$2:$A$5,0)),"✖ الفترة غير صحيحة",IF(ISNA(MATCH($G2688,Lists!$B$2:$B$7,0)),"✖ المجموعة غير صحيحة",IF(NOT(OR($H2688="",$N2688&gt;0)),"✖ Start غير صحيح",IF(NOT(OR($I2688="",$I2688="NR",$O2688&gt;0)),"✖ Current غير صحيح",IF(NOT(IF(ISNUMBER($J2688),AND($J2688&gt;=0,$J2688=INT($J2688)),FALSE())),"✖ العدد يجب أن يكون صحيحًا ≥ 0",IF(AND($F2688="Baseline",$H2688&lt;&gt;""),"⚠ Baseline: Start لا يدخل في التقدم",IF($K2688="No Start (attainment only)","ℹ تحصيل فقط (بدون Start)",IF($K2688="U – needs rule","ℹ حالة U تحتاج قاعدة معتمدة",IF($K2688="No result","ℹ بدون نتيجة (يُستبعد من التحصيل)","OK")))))))))))</f>
        <v/>
      </c>
      <c r="M2688" s="64" t="n">
        <f aca="false">IF($A2688="",0,IFERROR(MATCH($A2688,Classes!$A$6:$A$420,0),0))</f>
        <v>0</v>
      </c>
      <c r="N2688" s="64" t="n">
        <f aca="false">IF($H2688="",0,IFERROR(MATCH($H2688,GradeList,0),0))</f>
        <v>0</v>
      </c>
      <c r="O2688" s="64" t="n">
        <f aca="false">IF(OR($I2688="",$I2688="NR"),0,IFERROR(MATCH($I2688,GradeList,0),0))</f>
        <v>0</v>
      </c>
      <c r="P2688" s="64" t="n">
        <f aca="false">IF(AND($M2688&gt;0,ISNUMBER(MATCH($F2688,Lists!$A$2:$A$5,0)),ISNUMBER(MATCH($G2688,Lists!$B$2:$B$7,0)),OR($H2688="",$N2688&gt;0),OR($I2688="",$I2688="NR",$O2688&gt;0),IF(ISNUMBER($J2688),AND($J2688&gt;=0,$J2688=INT($J2688)),FALSE())),$J2688,0)</f>
        <v>0</v>
      </c>
      <c r="Q2688" s="64" t="n">
        <f aca="false">IF(AND($P2688&gt;0,$O2688&gt;0),$P2688,0)</f>
        <v>0</v>
      </c>
      <c r="R2688" s="64" t="n">
        <f aca="false">IF(AND($Q2688&gt;0,$O2688&gt;=AtRank),$Q2688,0)</f>
        <v>0</v>
      </c>
      <c r="S2688" s="64" t="n">
        <f aca="false">IF(AND($Q2688&gt;0,$O2688&gt;=AboveRank),$Q2688,0)</f>
        <v>0</v>
      </c>
      <c r="T2688" s="64" t="n">
        <f aca="false">IF($K2688="Less",$P2688,0)</f>
        <v>0</v>
      </c>
      <c r="U2688" s="64" t="n">
        <f aca="false">IF($K2688="Expected",$P2688,0)</f>
        <v>0</v>
      </c>
      <c r="V2688" s="64" t="n">
        <f aca="false">IF($K2688="Better",$P2688,0)</f>
        <v>0</v>
      </c>
      <c r="W2688" s="64" t="n">
        <f aca="false">IF($K2688="U – needs rule",$P2688,0)</f>
        <v>0</v>
      </c>
      <c r="X2688" s="64" t="n">
        <f aca="false">IF($K2688="No Start (attainment only)",$P2688,0)</f>
        <v>0</v>
      </c>
    </row>
    <row r="2689" customFormat="false" ht="15" hidden="false" customHeight="false" outlineLevel="0" collapsed="false">
      <c r="A2689" s="60"/>
      <c r="B2689" s="61" t="str">
        <f aca="false">IF($M2689=0,"",INDEX(Classes!$E$6:$E$420,$M2689))</f>
        <v/>
      </c>
      <c r="C2689" s="62" t="str">
        <f aca="false">IF($M2689=0,"",INDEX(Classes!$H$6:$H$420,$M2689))</f>
        <v/>
      </c>
      <c r="D2689" s="61" t="str">
        <f aca="false">IF($M2689=0,"",INDEX(Classes!$B$6:$B$420,$M2689))</f>
        <v/>
      </c>
      <c r="E2689" s="61" t="str">
        <f aca="false">IF($M2689=0,"",INDEX(Classes!$C$6:$C$420,$M2689))</f>
        <v/>
      </c>
      <c r="F2689" s="63"/>
      <c r="G2689" s="63"/>
      <c r="H2689" s="60"/>
      <c r="I2689" s="60"/>
      <c r="J2689" s="63"/>
      <c r="K2689" s="61" t="str">
        <f aca="false">IF($P2689=0,"",IF($F2689="Baseline","— Baseline",IF($O2689=0,"No result",IF($N2689=0,"No Start (attainment only)",IF(OR($N2689=1,$O2689=1),"U – needs rule",INDEX(MxBody,MATCH($I2689,MxCurr,0),MATCH($H2689,MxStart,0)))))))</f>
        <v/>
      </c>
      <c r="L2689" s="62" t="str">
        <f aca="false">IF(COUNTA($A2689,$F2689,$G2689,$H2689,$I2689,$J2689)=0,"",IF($M2689=0,"✖ كود الصف غير موجود",IF(ISNA(MATCH($F2689,Lists!$A$2:$A$5,0)),"✖ الفترة غير صحيحة",IF(ISNA(MATCH($G2689,Lists!$B$2:$B$7,0)),"✖ المجموعة غير صحيحة",IF(NOT(OR($H2689="",$N2689&gt;0)),"✖ Start غير صحيح",IF(NOT(OR($I2689="",$I2689="NR",$O2689&gt;0)),"✖ Current غير صحيح",IF(NOT(IF(ISNUMBER($J2689),AND($J2689&gt;=0,$J2689=INT($J2689)),FALSE())),"✖ العدد يجب أن يكون صحيحًا ≥ 0",IF(AND($F2689="Baseline",$H2689&lt;&gt;""),"⚠ Baseline: Start لا يدخل في التقدم",IF($K2689="No Start (attainment only)","ℹ تحصيل فقط (بدون Start)",IF($K2689="U – needs rule","ℹ حالة U تحتاج قاعدة معتمدة",IF($K2689="No result","ℹ بدون نتيجة (يُستبعد من التحصيل)","OK")))))))))))</f>
        <v/>
      </c>
      <c r="M2689" s="64" t="n">
        <f aca="false">IF($A2689="",0,IFERROR(MATCH($A2689,Classes!$A$6:$A$420,0),0))</f>
        <v>0</v>
      </c>
      <c r="N2689" s="64" t="n">
        <f aca="false">IF($H2689="",0,IFERROR(MATCH($H2689,GradeList,0),0))</f>
        <v>0</v>
      </c>
      <c r="O2689" s="64" t="n">
        <f aca="false">IF(OR($I2689="",$I2689="NR"),0,IFERROR(MATCH($I2689,GradeList,0),0))</f>
        <v>0</v>
      </c>
      <c r="P2689" s="64" t="n">
        <f aca="false">IF(AND($M2689&gt;0,ISNUMBER(MATCH($F2689,Lists!$A$2:$A$5,0)),ISNUMBER(MATCH($G2689,Lists!$B$2:$B$7,0)),OR($H2689="",$N2689&gt;0),OR($I2689="",$I2689="NR",$O2689&gt;0),IF(ISNUMBER($J2689),AND($J2689&gt;=0,$J2689=INT($J2689)),FALSE())),$J2689,0)</f>
        <v>0</v>
      </c>
      <c r="Q2689" s="64" t="n">
        <f aca="false">IF(AND($P2689&gt;0,$O2689&gt;0),$P2689,0)</f>
        <v>0</v>
      </c>
      <c r="R2689" s="64" t="n">
        <f aca="false">IF(AND($Q2689&gt;0,$O2689&gt;=AtRank),$Q2689,0)</f>
        <v>0</v>
      </c>
      <c r="S2689" s="64" t="n">
        <f aca="false">IF(AND($Q2689&gt;0,$O2689&gt;=AboveRank),$Q2689,0)</f>
        <v>0</v>
      </c>
      <c r="T2689" s="64" t="n">
        <f aca="false">IF($K2689="Less",$P2689,0)</f>
        <v>0</v>
      </c>
      <c r="U2689" s="64" t="n">
        <f aca="false">IF($K2689="Expected",$P2689,0)</f>
        <v>0</v>
      </c>
      <c r="V2689" s="64" t="n">
        <f aca="false">IF($K2689="Better",$P2689,0)</f>
        <v>0</v>
      </c>
      <c r="W2689" s="64" t="n">
        <f aca="false">IF($K2689="U – needs rule",$P2689,0)</f>
        <v>0</v>
      </c>
      <c r="X2689" s="64" t="n">
        <f aca="false">IF($K2689="No Start (attainment only)",$P2689,0)</f>
        <v>0</v>
      </c>
    </row>
    <row r="2690" customFormat="false" ht="15" hidden="false" customHeight="false" outlineLevel="0" collapsed="false">
      <c r="A2690" s="60"/>
      <c r="B2690" s="61" t="str">
        <f aca="false">IF($M2690=0,"",INDEX(Classes!$E$6:$E$420,$M2690))</f>
        <v/>
      </c>
      <c r="C2690" s="62" t="str">
        <f aca="false">IF($M2690=0,"",INDEX(Classes!$H$6:$H$420,$M2690))</f>
        <v/>
      </c>
      <c r="D2690" s="61" t="str">
        <f aca="false">IF($M2690=0,"",INDEX(Classes!$B$6:$B$420,$M2690))</f>
        <v/>
      </c>
      <c r="E2690" s="61" t="str">
        <f aca="false">IF($M2690=0,"",INDEX(Classes!$C$6:$C$420,$M2690))</f>
        <v/>
      </c>
      <c r="F2690" s="63"/>
      <c r="G2690" s="63"/>
      <c r="H2690" s="60"/>
      <c r="I2690" s="60"/>
      <c r="J2690" s="63"/>
      <c r="K2690" s="61" t="str">
        <f aca="false">IF($P2690=0,"",IF($F2690="Baseline","— Baseline",IF($O2690=0,"No result",IF($N2690=0,"No Start (attainment only)",IF(OR($N2690=1,$O2690=1),"U – needs rule",INDEX(MxBody,MATCH($I2690,MxCurr,0),MATCH($H2690,MxStart,0)))))))</f>
        <v/>
      </c>
      <c r="L2690" s="62" t="str">
        <f aca="false">IF(COUNTA($A2690,$F2690,$G2690,$H2690,$I2690,$J2690)=0,"",IF($M2690=0,"✖ كود الصف غير موجود",IF(ISNA(MATCH($F2690,Lists!$A$2:$A$5,0)),"✖ الفترة غير صحيحة",IF(ISNA(MATCH($G2690,Lists!$B$2:$B$7,0)),"✖ المجموعة غير صحيحة",IF(NOT(OR($H2690="",$N2690&gt;0)),"✖ Start غير صحيح",IF(NOT(OR($I2690="",$I2690="NR",$O2690&gt;0)),"✖ Current غير صحيح",IF(NOT(IF(ISNUMBER($J2690),AND($J2690&gt;=0,$J2690=INT($J2690)),FALSE())),"✖ العدد يجب أن يكون صحيحًا ≥ 0",IF(AND($F2690="Baseline",$H2690&lt;&gt;""),"⚠ Baseline: Start لا يدخل في التقدم",IF($K2690="No Start (attainment only)","ℹ تحصيل فقط (بدون Start)",IF($K2690="U – needs rule","ℹ حالة U تحتاج قاعدة معتمدة",IF($K2690="No result","ℹ بدون نتيجة (يُستبعد من التحصيل)","OK")))))))))))</f>
        <v/>
      </c>
      <c r="M2690" s="64" t="n">
        <f aca="false">IF($A2690="",0,IFERROR(MATCH($A2690,Classes!$A$6:$A$420,0),0))</f>
        <v>0</v>
      </c>
      <c r="N2690" s="64" t="n">
        <f aca="false">IF($H2690="",0,IFERROR(MATCH($H2690,GradeList,0),0))</f>
        <v>0</v>
      </c>
      <c r="O2690" s="64" t="n">
        <f aca="false">IF(OR($I2690="",$I2690="NR"),0,IFERROR(MATCH($I2690,GradeList,0),0))</f>
        <v>0</v>
      </c>
      <c r="P2690" s="64" t="n">
        <f aca="false">IF(AND($M2690&gt;0,ISNUMBER(MATCH($F2690,Lists!$A$2:$A$5,0)),ISNUMBER(MATCH($G2690,Lists!$B$2:$B$7,0)),OR($H2690="",$N2690&gt;0),OR($I2690="",$I2690="NR",$O2690&gt;0),IF(ISNUMBER($J2690),AND($J2690&gt;=0,$J2690=INT($J2690)),FALSE())),$J2690,0)</f>
        <v>0</v>
      </c>
      <c r="Q2690" s="64" t="n">
        <f aca="false">IF(AND($P2690&gt;0,$O2690&gt;0),$P2690,0)</f>
        <v>0</v>
      </c>
      <c r="R2690" s="64" t="n">
        <f aca="false">IF(AND($Q2690&gt;0,$O2690&gt;=AtRank),$Q2690,0)</f>
        <v>0</v>
      </c>
      <c r="S2690" s="64" t="n">
        <f aca="false">IF(AND($Q2690&gt;0,$O2690&gt;=AboveRank),$Q2690,0)</f>
        <v>0</v>
      </c>
      <c r="T2690" s="64" t="n">
        <f aca="false">IF($K2690="Less",$P2690,0)</f>
        <v>0</v>
      </c>
      <c r="U2690" s="64" t="n">
        <f aca="false">IF($K2690="Expected",$P2690,0)</f>
        <v>0</v>
      </c>
      <c r="V2690" s="64" t="n">
        <f aca="false">IF($K2690="Better",$P2690,0)</f>
        <v>0</v>
      </c>
      <c r="W2690" s="64" t="n">
        <f aca="false">IF($K2690="U – needs rule",$P2690,0)</f>
        <v>0</v>
      </c>
      <c r="X2690" s="64" t="n">
        <f aca="false">IF($K2690="No Start (attainment only)",$P2690,0)</f>
        <v>0</v>
      </c>
    </row>
    <row r="2691" customFormat="false" ht="15" hidden="false" customHeight="false" outlineLevel="0" collapsed="false">
      <c r="A2691" s="60"/>
      <c r="B2691" s="61" t="str">
        <f aca="false">IF($M2691=0,"",INDEX(Classes!$E$6:$E$420,$M2691))</f>
        <v/>
      </c>
      <c r="C2691" s="62" t="str">
        <f aca="false">IF($M2691=0,"",INDEX(Classes!$H$6:$H$420,$M2691))</f>
        <v/>
      </c>
      <c r="D2691" s="61" t="str">
        <f aca="false">IF($M2691=0,"",INDEX(Classes!$B$6:$B$420,$M2691))</f>
        <v/>
      </c>
      <c r="E2691" s="61" t="str">
        <f aca="false">IF($M2691=0,"",INDEX(Classes!$C$6:$C$420,$M2691))</f>
        <v/>
      </c>
      <c r="F2691" s="63"/>
      <c r="G2691" s="63"/>
      <c r="H2691" s="60"/>
      <c r="I2691" s="60"/>
      <c r="J2691" s="63"/>
      <c r="K2691" s="61" t="str">
        <f aca="false">IF($P2691=0,"",IF($F2691="Baseline","— Baseline",IF($O2691=0,"No result",IF($N2691=0,"No Start (attainment only)",IF(OR($N2691=1,$O2691=1),"U – needs rule",INDEX(MxBody,MATCH($I2691,MxCurr,0),MATCH($H2691,MxStart,0)))))))</f>
        <v/>
      </c>
      <c r="L2691" s="62" t="str">
        <f aca="false">IF(COUNTA($A2691,$F2691,$G2691,$H2691,$I2691,$J2691)=0,"",IF($M2691=0,"✖ كود الصف غير موجود",IF(ISNA(MATCH($F2691,Lists!$A$2:$A$5,0)),"✖ الفترة غير صحيحة",IF(ISNA(MATCH($G2691,Lists!$B$2:$B$7,0)),"✖ المجموعة غير صحيحة",IF(NOT(OR($H2691="",$N2691&gt;0)),"✖ Start غير صحيح",IF(NOT(OR($I2691="",$I2691="NR",$O2691&gt;0)),"✖ Current غير صحيح",IF(NOT(IF(ISNUMBER($J2691),AND($J2691&gt;=0,$J2691=INT($J2691)),FALSE())),"✖ العدد يجب أن يكون صحيحًا ≥ 0",IF(AND($F2691="Baseline",$H2691&lt;&gt;""),"⚠ Baseline: Start لا يدخل في التقدم",IF($K2691="No Start (attainment only)","ℹ تحصيل فقط (بدون Start)",IF($K2691="U – needs rule","ℹ حالة U تحتاج قاعدة معتمدة",IF($K2691="No result","ℹ بدون نتيجة (يُستبعد من التحصيل)","OK")))))))))))</f>
        <v/>
      </c>
      <c r="M2691" s="64" t="n">
        <f aca="false">IF($A2691="",0,IFERROR(MATCH($A2691,Classes!$A$6:$A$420,0),0))</f>
        <v>0</v>
      </c>
      <c r="N2691" s="64" t="n">
        <f aca="false">IF($H2691="",0,IFERROR(MATCH($H2691,GradeList,0),0))</f>
        <v>0</v>
      </c>
      <c r="O2691" s="64" t="n">
        <f aca="false">IF(OR($I2691="",$I2691="NR"),0,IFERROR(MATCH($I2691,GradeList,0),0))</f>
        <v>0</v>
      </c>
      <c r="P2691" s="64" t="n">
        <f aca="false">IF(AND($M2691&gt;0,ISNUMBER(MATCH($F2691,Lists!$A$2:$A$5,0)),ISNUMBER(MATCH($G2691,Lists!$B$2:$B$7,0)),OR($H2691="",$N2691&gt;0),OR($I2691="",$I2691="NR",$O2691&gt;0),IF(ISNUMBER($J2691),AND($J2691&gt;=0,$J2691=INT($J2691)),FALSE())),$J2691,0)</f>
        <v>0</v>
      </c>
      <c r="Q2691" s="64" t="n">
        <f aca="false">IF(AND($P2691&gt;0,$O2691&gt;0),$P2691,0)</f>
        <v>0</v>
      </c>
      <c r="R2691" s="64" t="n">
        <f aca="false">IF(AND($Q2691&gt;0,$O2691&gt;=AtRank),$Q2691,0)</f>
        <v>0</v>
      </c>
      <c r="S2691" s="64" t="n">
        <f aca="false">IF(AND($Q2691&gt;0,$O2691&gt;=AboveRank),$Q2691,0)</f>
        <v>0</v>
      </c>
      <c r="T2691" s="64" t="n">
        <f aca="false">IF($K2691="Less",$P2691,0)</f>
        <v>0</v>
      </c>
      <c r="U2691" s="64" t="n">
        <f aca="false">IF($K2691="Expected",$P2691,0)</f>
        <v>0</v>
      </c>
      <c r="V2691" s="64" t="n">
        <f aca="false">IF($K2691="Better",$P2691,0)</f>
        <v>0</v>
      </c>
      <c r="W2691" s="64" t="n">
        <f aca="false">IF($K2691="U – needs rule",$P2691,0)</f>
        <v>0</v>
      </c>
      <c r="X2691" s="64" t="n">
        <f aca="false">IF($K2691="No Start (attainment only)",$P2691,0)</f>
        <v>0</v>
      </c>
    </row>
    <row r="2692" customFormat="false" ht="15" hidden="false" customHeight="false" outlineLevel="0" collapsed="false">
      <c r="A2692" s="60"/>
      <c r="B2692" s="61" t="str">
        <f aca="false">IF($M2692=0,"",INDEX(Classes!$E$6:$E$420,$M2692))</f>
        <v/>
      </c>
      <c r="C2692" s="62" t="str">
        <f aca="false">IF($M2692=0,"",INDEX(Classes!$H$6:$H$420,$M2692))</f>
        <v/>
      </c>
      <c r="D2692" s="61" t="str">
        <f aca="false">IF($M2692=0,"",INDEX(Classes!$B$6:$B$420,$M2692))</f>
        <v/>
      </c>
      <c r="E2692" s="61" t="str">
        <f aca="false">IF($M2692=0,"",INDEX(Classes!$C$6:$C$420,$M2692))</f>
        <v/>
      </c>
      <c r="F2692" s="63"/>
      <c r="G2692" s="63"/>
      <c r="H2692" s="60"/>
      <c r="I2692" s="60"/>
      <c r="J2692" s="63"/>
      <c r="K2692" s="61" t="str">
        <f aca="false">IF($P2692=0,"",IF($F2692="Baseline","— Baseline",IF($O2692=0,"No result",IF($N2692=0,"No Start (attainment only)",IF(OR($N2692=1,$O2692=1),"U – needs rule",INDEX(MxBody,MATCH($I2692,MxCurr,0),MATCH($H2692,MxStart,0)))))))</f>
        <v/>
      </c>
      <c r="L2692" s="62" t="str">
        <f aca="false">IF(COUNTA($A2692,$F2692,$G2692,$H2692,$I2692,$J2692)=0,"",IF($M2692=0,"✖ كود الصف غير موجود",IF(ISNA(MATCH($F2692,Lists!$A$2:$A$5,0)),"✖ الفترة غير صحيحة",IF(ISNA(MATCH($G2692,Lists!$B$2:$B$7,0)),"✖ المجموعة غير صحيحة",IF(NOT(OR($H2692="",$N2692&gt;0)),"✖ Start غير صحيح",IF(NOT(OR($I2692="",$I2692="NR",$O2692&gt;0)),"✖ Current غير صحيح",IF(NOT(IF(ISNUMBER($J2692),AND($J2692&gt;=0,$J2692=INT($J2692)),FALSE())),"✖ العدد يجب أن يكون صحيحًا ≥ 0",IF(AND($F2692="Baseline",$H2692&lt;&gt;""),"⚠ Baseline: Start لا يدخل في التقدم",IF($K2692="No Start (attainment only)","ℹ تحصيل فقط (بدون Start)",IF($K2692="U – needs rule","ℹ حالة U تحتاج قاعدة معتمدة",IF($K2692="No result","ℹ بدون نتيجة (يُستبعد من التحصيل)","OK")))))))))))</f>
        <v/>
      </c>
      <c r="M2692" s="64" t="n">
        <f aca="false">IF($A2692="",0,IFERROR(MATCH($A2692,Classes!$A$6:$A$420,0),0))</f>
        <v>0</v>
      </c>
      <c r="N2692" s="64" t="n">
        <f aca="false">IF($H2692="",0,IFERROR(MATCH($H2692,GradeList,0),0))</f>
        <v>0</v>
      </c>
      <c r="O2692" s="64" t="n">
        <f aca="false">IF(OR($I2692="",$I2692="NR"),0,IFERROR(MATCH($I2692,GradeList,0),0))</f>
        <v>0</v>
      </c>
      <c r="P2692" s="64" t="n">
        <f aca="false">IF(AND($M2692&gt;0,ISNUMBER(MATCH($F2692,Lists!$A$2:$A$5,0)),ISNUMBER(MATCH($G2692,Lists!$B$2:$B$7,0)),OR($H2692="",$N2692&gt;0),OR($I2692="",$I2692="NR",$O2692&gt;0),IF(ISNUMBER($J2692),AND($J2692&gt;=0,$J2692=INT($J2692)),FALSE())),$J2692,0)</f>
        <v>0</v>
      </c>
      <c r="Q2692" s="64" t="n">
        <f aca="false">IF(AND($P2692&gt;0,$O2692&gt;0),$P2692,0)</f>
        <v>0</v>
      </c>
      <c r="R2692" s="64" t="n">
        <f aca="false">IF(AND($Q2692&gt;0,$O2692&gt;=AtRank),$Q2692,0)</f>
        <v>0</v>
      </c>
      <c r="S2692" s="64" t="n">
        <f aca="false">IF(AND($Q2692&gt;0,$O2692&gt;=AboveRank),$Q2692,0)</f>
        <v>0</v>
      </c>
      <c r="T2692" s="64" t="n">
        <f aca="false">IF($K2692="Less",$P2692,0)</f>
        <v>0</v>
      </c>
      <c r="U2692" s="64" t="n">
        <f aca="false">IF($K2692="Expected",$P2692,0)</f>
        <v>0</v>
      </c>
      <c r="V2692" s="64" t="n">
        <f aca="false">IF($K2692="Better",$P2692,0)</f>
        <v>0</v>
      </c>
      <c r="W2692" s="64" t="n">
        <f aca="false">IF($K2692="U – needs rule",$P2692,0)</f>
        <v>0</v>
      </c>
      <c r="X2692" s="64" t="n">
        <f aca="false">IF($K2692="No Start (attainment only)",$P2692,0)</f>
        <v>0</v>
      </c>
    </row>
    <row r="2693" customFormat="false" ht="15" hidden="false" customHeight="false" outlineLevel="0" collapsed="false">
      <c r="A2693" s="60"/>
      <c r="B2693" s="61" t="str">
        <f aca="false">IF($M2693=0,"",INDEX(Classes!$E$6:$E$420,$M2693))</f>
        <v/>
      </c>
      <c r="C2693" s="62" t="str">
        <f aca="false">IF($M2693=0,"",INDEX(Classes!$H$6:$H$420,$M2693))</f>
        <v/>
      </c>
      <c r="D2693" s="61" t="str">
        <f aca="false">IF($M2693=0,"",INDEX(Classes!$B$6:$B$420,$M2693))</f>
        <v/>
      </c>
      <c r="E2693" s="61" t="str">
        <f aca="false">IF($M2693=0,"",INDEX(Classes!$C$6:$C$420,$M2693))</f>
        <v/>
      </c>
      <c r="F2693" s="63"/>
      <c r="G2693" s="63"/>
      <c r="H2693" s="60"/>
      <c r="I2693" s="60"/>
      <c r="J2693" s="63"/>
      <c r="K2693" s="61" t="str">
        <f aca="false">IF($P2693=0,"",IF($F2693="Baseline","— Baseline",IF($O2693=0,"No result",IF($N2693=0,"No Start (attainment only)",IF(OR($N2693=1,$O2693=1),"U – needs rule",INDEX(MxBody,MATCH($I2693,MxCurr,0),MATCH($H2693,MxStart,0)))))))</f>
        <v/>
      </c>
      <c r="L2693" s="62" t="str">
        <f aca="false">IF(COUNTA($A2693,$F2693,$G2693,$H2693,$I2693,$J2693)=0,"",IF($M2693=0,"✖ كود الصف غير موجود",IF(ISNA(MATCH($F2693,Lists!$A$2:$A$5,0)),"✖ الفترة غير صحيحة",IF(ISNA(MATCH($G2693,Lists!$B$2:$B$7,0)),"✖ المجموعة غير صحيحة",IF(NOT(OR($H2693="",$N2693&gt;0)),"✖ Start غير صحيح",IF(NOT(OR($I2693="",$I2693="NR",$O2693&gt;0)),"✖ Current غير صحيح",IF(NOT(IF(ISNUMBER($J2693),AND($J2693&gt;=0,$J2693=INT($J2693)),FALSE())),"✖ العدد يجب أن يكون صحيحًا ≥ 0",IF(AND($F2693="Baseline",$H2693&lt;&gt;""),"⚠ Baseline: Start لا يدخل في التقدم",IF($K2693="No Start (attainment only)","ℹ تحصيل فقط (بدون Start)",IF($K2693="U – needs rule","ℹ حالة U تحتاج قاعدة معتمدة",IF($K2693="No result","ℹ بدون نتيجة (يُستبعد من التحصيل)","OK")))))))))))</f>
        <v/>
      </c>
      <c r="M2693" s="64" t="n">
        <f aca="false">IF($A2693="",0,IFERROR(MATCH($A2693,Classes!$A$6:$A$420,0),0))</f>
        <v>0</v>
      </c>
      <c r="N2693" s="64" t="n">
        <f aca="false">IF($H2693="",0,IFERROR(MATCH($H2693,GradeList,0),0))</f>
        <v>0</v>
      </c>
      <c r="O2693" s="64" t="n">
        <f aca="false">IF(OR($I2693="",$I2693="NR"),0,IFERROR(MATCH($I2693,GradeList,0),0))</f>
        <v>0</v>
      </c>
      <c r="P2693" s="64" t="n">
        <f aca="false">IF(AND($M2693&gt;0,ISNUMBER(MATCH($F2693,Lists!$A$2:$A$5,0)),ISNUMBER(MATCH($G2693,Lists!$B$2:$B$7,0)),OR($H2693="",$N2693&gt;0),OR($I2693="",$I2693="NR",$O2693&gt;0),IF(ISNUMBER($J2693),AND($J2693&gt;=0,$J2693=INT($J2693)),FALSE())),$J2693,0)</f>
        <v>0</v>
      </c>
      <c r="Q2693" s="64" t="n">
        <f aca="false">IF(AND($P2693&gt;0,$O2693&gt;0),$P2693,0)</f>
        <v>0</v>
      </c>
      <c r="R2693" s="64" t="n">
        <f aca="false">IF(AND($Q2693&gt;0,$O2693&gt;=AtRank),$Q2693,0)</f>
        <v>0</v>
      </c>
      <c r="S2693" s="64" t="n">
        <f aca="false">IF(AND($Q2693&gt;0,$O2693&gt;=AboveRank),$Q2693,0)</f>
        <v>0</v>
      </c>
      <c r="T2693" s="64" t="n">
        <f aca="false">IF($K2693="Less",$P2693,0)</f>
        <v>0</v>
      </c>
      <c r="U2693" s="64" t="n">
        <f aca="false">IF($K2693="Expected",$P2693,0)</f>
        <v>0</v>
      </c>
      <c r="V2693" s="64" t="n">
        <f aca="false">IF($K2693="Better",$P2693,0)</f>
        <v>0</v>
      </c>
      <c r="W2693" s="64" t="n">
        <f aca="false">IF($K2693="U – needs rule",$P2693,0)</f>
        <v>0</v>
      </c>
      <c r="X2693" s="64" t="n">
        <f aca="false">IF($K2693="No Start (attainment only)",$P2693,0)</f>
        <v>0</v>
      </c>
    </row>
    <row r="2694" customFormat="false" ht="15" hidden="false" customHeight="false" outlineLevel="0" collapsed="false">
      <c r="A2694" s="60"/>
      <c r="B2694" s="61" t="str">
        <f aca="false">IF($M2694=0,"",INDEX(Classes!$E$6:$E$420,$M2694))</f>
        <v/>
      </c>
      <c r="C2694" s="62" t="str">
        <f aca="false">IF($M2694=0,"",INDEX(Classes!$H$6:$H$420,$M2694))</f>
        <v/>
      </c>
      <c r="D2694" s="61" t="str">
        <f aca="false">IF($M2694=0,"",INDEX(Classes!$B$6:$B$420,$M2694))</f>
        <v/>
      </c>
      <c r="E2694" s="61" t="str">
        <f aca="false">IF($M2694=0,"",INDEX(Classes!$C$6:$C$420,$M2694))</f>
        <v/>
      </c>
      <c r="F2694" s="63"/>
      <c r="G2694" s="63"/>
      <c r="H2694" s="60"/>
      <c r="I2694" s="60"/>
      <c r="J2694" s="63"/>
      <c r="K2694" s="61" t="str">
        <f aca="false">IF($P2694=0,"",IF($F2694="Baseline","— Baseline",IF($O2694=0,"No result",IF($N2694=0,"No Start (attainment only)",IF(OR($N2694=1,$O2694=1),"U – needs rule",INDEX(MxBody,MATCH($I2694,MxCurr,0),MATCH($H2694,MxStart,0)))))))</f>
        <v/>
      </c>
      <c r="L2694" s="62" t="str">
        <f aca="false">IF(COUNTA($A2694,$F2694,$G2694,$H2694,$I2694,$J2694)=0,"",IF($M2694=0,"✖ كود الصف غير موجود",IF(ISNA(MATCH($F2694,Lists!$A$2:$A$5,0)),"✖ الفترة غير صحيحة",IF(ISNA(MATCH($G2694,Lists!$B$2:$B$7,0)),"✖ المجموعة غير صحيحة",IF(NOT(OR($H2694="",$N2694&gt;0)),"✖ Start غير صحيح",IF(NOT(OR($I2694="",$I2694="NR",$O2694&gt;0)),"✖ Current غير صحيح",IF(NOT(IF(ISNUMBER($J2694),AND($J2694&gt;=0,$J2694=INT($J2694)),FALSE())),"✖ العدد يجب أن يكون صحيحًا ≥ 0",IF(AND($F2694="Baseline",$H2694&lt;&gt;""),"⚠ Baseline: Start لا يدخل في التقدم",IF($K2694="No Start (attainment only)","ℹ تحصيل فقط (بدون Start)",IF($K2694="U – needs rule","ℹ حالة U تحتاج قاعدة معتمدة",IF($K2694="No result","ℹ بدون نتيجة (يُستبعد من التحصيل)","OK")))))))))))</f>
        <v/>
      </c>
      <c r="M2694" s="64" t="n">
        <f aca="false">IF($A2694="",0,IFERROR(MATCH($A2694,Classes!$A$6:$A$420,0),0))</f>
        <v>0</v>
      </c>
      <c r="N2694" s="64" t="n">
        <f aca="false">IF($H2694="",0,IFERROR(MATCH($H2694,GradeList,0),0))</f>
        <v>0</v>
      </c>
      <c r="O2694" s="64" t="n">
        <f aca="false">IF(OR($I2694="",$I2694="NR"),0,IFERROR(MATCH($I2694,GradeList,0),0))</f>
        <v>0</v>
      </c>
      <c r="P2694" s="64" t="n">
        <f aca="false">IF(AND($M2694&gt;0,ISNUMBER(MATCH($F2694,Lists!$A$2:$A$5,0)),ISNUMBER(MATCH($G2694,Lists!$B$2:$B$7,0)),OR($H2694="",$N2694&gt;0),OR($I2694="",$I2694="NR",$O2694&gt;0),IF(ISNUMBER($J2694),AND($J2694&gt;=0,$J2694=INT($J2694)),FALSE())),$J2694,0)</f>
        <v>0</v>
      </c>
      <c r="Q2694" s="64" t="n">
        <f aca="false">IF(AND($P2694&gt;0,$O2694&gt;0),$P2694,0)</f>
        <v>0</v>
      </c>
      <c r="R2694" s="64" t="n">
        <f aca="false">IF(AND($Q2694&gt;0,$O2694&gt;=AtRank),$Q2694,0)</f>
        <v>0</v>
      </c>
      <c r="S2694" s="64" t="n">
        <f aca="false">IF(AND($Q2694&gt;0,$O2694&gt;=AboveRank),$Q2694,0)</f>
        <v>0</v>
      </c>
      <c r="T2694" s="64" t="n">
        <f aca="false">IF($K2694="Less",$P2694,0)</f>
        <v>0</v>
      </c>
      <c r="U2694" s="64" t="n">
        <f aca="false">IF($K2694="Expected",$P2694,0)</f>
        <v>0</v>
      </c>
      <c r="V2694" s="64" t="n">
        <f aca="false">IF($K2694="Better",$P2694,0)</f>
        <v>0</v>
      </c>
      <c r="W2694" s="64" t="n">
        <f aca="false">IF($K2694="U – needs rule",$P2694,0)</f>
        <v>0</v>
      </c>
      <c r="X2694" s="64" t="n">
        <f aca="false">IF($K2694="No Start (attainment only)",$P2694,0)</f>
        <v>0</v>
      </c>
    </row>
    <row r="2695" customFormat="false" ht="15" hidden="false" customHeight="false" outlineLevel="0" collapsed="false">
      <c r="A2695" s="60"/>
      <c r="B2695" s="61" t="str">
        <f aca="false">IF($M2695=0,"",INDEX(Classes!$E$6:$E$420,$M2695))</f>
        <v/>
      </c>
      <c r="C2695" s="62" t="str">
        <f aca="false">IF($M2695=0,"",INDEX(Classes!$H$6:$H$420,$M2695))</f>
        <v/>
      </c>
      <c r="D2695" s="61" t="str">
        <f aca="false">IF($M2695=0,"",INDEX(Classes!$B$6:$B$420,$M2695))</f>
        <v/>
      </c>
      <c r="E2695" s="61" t="str">
        <f aca="false">IF($M2695=0,"",INDEX(Classes!$C$6:$C$420,$M2695))</f>
        <v/>
      </c>
      <c r="F2695" s="63"/>
      <c r="G2695" s="63"/>
      <c r="H2695" s="60"/>
      <c r="I2695" s="60"/>
      <c r="J2695" s="63"/>
      <c r="K2695" s="61" t="str">
        <f aca="false">IF($P2695=0,"",IF($F2695="Baseline","— Baseline",IF($O2695=0,"No result",IF($N2695=0,"No Start (attainment only)",IF(OR($N2695=1,$O2695=1),"U – needs rule",INDEX(MxBody,MATCH($I2695,MxCurr,0),MATCH($H2695,MxStart,0)))))))</f>
        <v/>
      </c>
      <c r="L2695" s="62" t="str">
        <f aca="false">IF(COUNTA($A2695,$F2695,$G2695,$H2695,$I2695,$J2695)=0,"",IF($M2695=0,"✖ كود الصف غير موجود",IF(ISNA(MATCH($F2695,Lists!$A$2:$A$5,0)),"✖ الفترة غير صحيحة",IF(ISNA(MATCH($G2695,Lists!$B$2:$B$7,0)),"✖ المجموعة غير صحيحة",IF(NOT(OR($H2695="",$N2695&gt;0)),"✖ Start غير صحيح",IF(NOT(OR($I2695="",$I2695="NR",$O2695&gt;0)),"✖ Current غير صحيح",IF(NOT(IF(ISNUMBER($J2695),AND($J2695&gt;=0,$J2695=INT($J2695)),FALSE())),"✖ العدد يجب أن يكون صحيحًا ≥ 0",IF(AND($F2695="Baseline",$H2695&lt;&gt;""),"⚠ Baseline: Start لا يدخل في التقدم",IF($K2695="No Start (attainment only)","ℹ تحصيل فقط (بدون Start)",IF($K2695="U – needs rule","ℹ حالة U تحتاج قاعدة معتمدة",IF($K2695="No result","ℹ بدون نتيجة (يُستبعد من التحصيل)","OK")))))))))))</f>
        <v/>
      </c>
      <c r="M2695" s="64" t="n">
        <f aca="false">IF($A2695="",0,IFERROR(MATCH($A2695,Classes!$A$6:$A$420,0),0))</f>
        <v>0</v>
      </c>
      <c r="N2695" s="64" t="n">
        <f aca="false">IF($H2695="",0,IFERROR(MATCH($H2695,GradeList,0),0))</f>
        <v>0</v>
      </c>
      <c r="O2695" s="64" t="n">
        <f aca="false">IF(OR($I2695="",$I2695="NR"),0,IFERROR(MATCH($I2695,GradeList,0),0))</f>
        <v>0</v>
      </c>
      <c r="P2695" s="64" t="n">
        <f aca="false">IF(AND($M2695&gt;0,ISNUMBER(MATCH($F2695,Lists!$A$2:$A$5,0)),ISNUMBER(MATCH($G2695,Lists!$B$2:$B$7,0)),OR($H2695="",$N2695&gt;0),OR($I2695="",$I2695="NR",$O2695&gt;0),IF(ISNUMBER($J2695),AND($J2695&gt;=0,$J2695=INT($J2695)),FALSE())),$J2695,0)</f>
        <v>0</v>
      </c>
      <c r="Q2695" s="64" t="n">
        <f aca="false">IF(AND($P2695&gt;0,$O2695&gt;0),$P2695,0)</f>
        <v>0</v>
      </c>
      <c r="R2695" s="64" t="n">
        <f aca="false">IF(AND($Q2695&gt;0,$O2695&gt;=AtRank),$Q2695,0)</f>
        <v>0</v>
      </c>
      <c r="S2695" s="64" t="n">
        <f aca="false">IF(AND($Q2695&gt;0,$O2695&gt;=AboveRank),$Q2695,0)</f>
        <v>0</v>
      </c>
      <c r="T2695" s="64" t="n">
        <f aca="false">IF($K2695="Less",$P2695,0)</f>
        <v>0</v>
      </c>
      <c r="U2695" s="64" t="n">
        <f aca="false">IF($K2695="Expected",$P2695,0)</f>
        <v>0</v>
      </c>
      <c r="V2695" s="64" t="n">
        <f aca="false">IF($K2695="Better",$P2695,0)</f>
        <v>0</v>
      </c>
      <c r="W2695" s="64" t="n">
        <f aca="false">IF($K2695="U – needs rule",$P2695,0)</f>
        <v>0</v>
      </c>
      <c r="X2695" s="64" t="n">
        <f aca="false">IF($K2695="No Start (attainment only)",$P2695,0)</f>
        <v>0</v>
      </c>
    </row>
    <row r="2696" customFormat="false" ht="15" hidden="false" customHeight="false" outlineLevel="0" collapsed="false">
      <c r="A2696" s="60"/>
      <c r="B2696" s="61" t="str">
        <f aca="false">IF($M2696=0,"",INDEX(Classes!$E$6:$E$420,$M2696))</f>
        <v/>
      </c>
      <c r="C2696" s="62" t="str">
        <f aca="false">IF($M2696=0,"",INDEX(Classes!$H$6:$H$420,$M2696))</f>
        <v/>
      </c>
      <c r="D2696" s="61" t="str">
        <f aca="false">IF($M2696=0,"",INDEX(Classes!$B$6:$B$420,$M2696))</f>
        <v/>
      </c>
      <c r="E2696" s="61" t="str">
        <f aca="false">IF($M2696=0,"",INDEX(Classes!$C$6:$C$420,$M2696))</f>
        <v/>
      </c>
      <c r="F2696" s="63"/>
      <c r="G2696" s="63"/>
      <c r="H2696" s="60"/>
      <c r="I2696" s="60"/>
      <c r="J2696" s="63"/>
      <c r="K2696" s="61" t="str">
        <f aca="false">IF($P2696=0,"",IF($F2696="Baseline","— Baseline",IF($O2696=0,"No result",IF($N2696=0,"No Start (attainment only)",IF(OR($N2696=1,$O2696=1),"U – needs rule",INDEX(MxBody,MATCH($I2696,MxCurr,0),MATCH($H2696,MxStart,0)))))))</f>
        <v/>
      </c>
      <c r="L2696" s="62" t="str">
        <f aca="false">IF(COUNTA($A2696,$F2696,$G2696,$H2696,$I2696,$J2696)=0,"",IF($M2696=0,"✖ كود الصف غير موجود",IF(ISNA(MATCH($F2696,Lists!$A$2:$A$5,0)),"✖ الفترة غير صحيحة",IF(ISNA(MATCH($G2696,Lists!$B$2:$B$7,0)),"✖ المجموعة غير صحيحة",IF(NOT(OR($H2696="",$N2696&gt;0)),"✖ Start غير صحيح",IF(NOT(OR($I2696="",$I2696="NR",$O2696&gt;0)),"✖ Current غير صحيح",IF(NOT(IF(ISNUMBER($J2696),AND($J2696&gt;=0,$J2696=INT($J2696)),FALSE())),"✖ العدد يجب أن يكون صحيحًا ≥ 0",IF(AND($F2696="Baseline",$H2696&lt;&gt;""),"⚠ Baseline: Start لا يدخل في التقدم",IF($K2696="No Start (attainment only)","ℹ تحصيل فقط (بدون Start)",IF($K2696="U – needs rule","ℹ حالة U تحتاج قاعدة معتمدة",IF($K2696="No result","ℹ بدون نتيجة (يُستبعد من التحصيل)","OK")))))))))))</f>
        <v/>
      </c>
      <c r="M2696" s="64" t="n">
        <f aca="false">IF($A2696="",0,IFERROR(MATCH($A2696,Classes!$A$6:$A$420,0),0))</f>
        <v>0</v>
      </c>
      <c r="N2696" s="64" t="n">
        <f aca="false">IF($H2696="",0,IFERROR(MATCH($H2696,GradeList,0),0))</f>
        <v>0</v>
      </c>
      <c r="O2696" s="64" t="n">
        <f aca="false">IF(OR($I2696="",$I2696="NR"),0,IFERROR(MATCH($I2696,GradeList,0),0))</f>
        <v>0</v>
      </c>
      <c r="P2696" s="64" t="n">
        <f aca="false">IF(AND($M2696&gt;0,ISNUMBER(MATCH($F2696,Lists!$A$2:$A$5,0)),ISNUMBER(MATCH($G2696,Lists!$B$2:$B$7,0)),OR($H2696="",$N2696&gt;0),OR($I2696="",$I2696="NR",$O2696&gt;0),IF(ISNUMBER($J2696),AND($J2696&gt;=0,$J2696=INT($J2696)),FALSE())),$J2696,0)</f>
        <v>0</v>
      </c>
      <c r="Q2696" s="64" t="n">
        <f aca="false">IF(AND($P2696&gt;0,$O2696&gt;0),$P2696,0)</f>
        <v>0</v>
      </c>
      <c r="R2696" s="64" t="n">
        <f aca="false">IF(AND($Q2696&gt;0,$O2696&gt;=AtRank),$Q2696,0)</f>
        <v>0</v>
      </c>
      <c r="S2696" s="64" t="n">
        <f aca="false">IF(AND($Q2696&gt;0,$O2696&gt;=AboveRank),$Q2696,0)</f>
        <v>0</v>
      </c>
      <c r="T2696" s="64" t="n">
        <f aca="false">IF($K2696="Less",$P2696,0)</f>
        <v>0</v>
      </c>
      <c r="U2696" s="64" t="n">
        <f aca="false">IF($K2696="Expected",$P2696,0)</f>
        <v>0</v>
      </c>
      <c r="V2696" s="64" t="n">
        <f aca="false">IF($K2696="Better",$P2696,0)</f>
        <v>0</v>
      </c>
      <c r="W2696" s="64" t="n">
        <f aca="false">IF($K2696="U – needs rule",$P2696,0)</f>
        <v>0</v>
      </c>
      <c r="X2696" s="64" t="n">
        <f aca="false">IF($K2696="No Start (attainment only)",$P2696,0)</f>
        <v>0</v>
      </c>
    </row>
    <row r="2697" customFormat="false" ht="15" hidden="false" customHeight="false" outlineLevel="0" collapsed="false">
      <c r="A2697" s="60"/>
      <c r="B2697" s="61" t="str">
        <f aca="false">IF($M2697=0,"",INDEX(Classes!$E$6:$E$420,$M2697))</f>
        <v/>
      </c>
      <c r="C2697" s="62" t="str">
        <f aca="false">IF($M2697=0,"",INDEX(Classes!$H$6:$H$420,$M2697))</f>
        <v/>
      </c>
      <c r="D2697" s="61" t="str">
        <f aca="false">IF($M2697=0,"",INDEX(Classes!$B$6:$B$420,$M2697))</f>
        <v/>
      </c>
      <c r="E2697" s="61" t="str">
        <f aca="false">IF($M2697=0,"",INDEX(Classes!$C$6:$C$420,$M2697))</f>
        <v/>
      </c>
      <c r="F2697" s="63"/>
      <c r="G2697" s="63"/>
      <c r="H2697" s="60"/>
      <c r="I2697" s="60"/>
      <c r="J2697" s="63"/>
      <c r="K2697" s="61" t="str">
        <f aca="false">IF($P2697=0,"",IF($F2697="Baseline","— Baseline",IF($O2697=0,"No result",IF($N2697=0,"No Start (attainment only)",IF(OR($N2697=1,$O2697=1),"U – needs rule",INDEX(MxBody,MATCH($I2697,MxCurr,0),MATCH($H2697,MxStart,0)))))))</f>
        <v/>
      </c>
      <c r="L2697" s="62" t="str">
        <f aca="false">IF(COUNTA($A2697,$F2697,$G2697,$H2697,$I2697,$J2697)=0,"",IF($M2697=0,"✖ كود الصف غير موجود",IF(ISNA(MATCH($F2697,Lists!$A$2:$A$5,0)),"✖ الفترة غير صحيحة",IF(ISNA(MATCH($G2697,Lists!$B$2:$B$7,0)),"✖ المجموعة غير صحيحة",IF(NOT(OR($H2697="",$N2697&gt;0)),"✖ Start غير صحيح",IF(NOT(OR($I2697="",$I2697="NR",$O2697&gt;0)),"✖ Current غير صحيح",IF(NOT(IF(ISNUMBER($J2697),AND($J2697&gt;=0,$J2697=INT($J2697)),FALSE())),"✖ العدد يجب أن يكون صحيحًا ≥ 0",IF(AND($F2697="Baseline",$H2697&lt;&gt;""),"⚠ Baseline: Start لا يدخل في التقدم",IF($K2697="No Start (attainment only)","ℹ تحصيل فقط (بدون Start)",IF($K2697="U – needs rule","ℹ حالة U تحتاج قاعدة معتمدة",IF($K2697="No result","ℹ بدون نتيجة (يُستبعد من التحصيل)","OK")))))))))))</f>
        <v/>
      </c>
      <c r="M2697" s="64" t="n">
        <f aca="false">IF($A2697="",0,IFERROR(MATCH($A2697,Classes!$A$6:$A$420,0),0))</f>
        <v>0</v>
      </c>
      <c r="N2697" s="64" t="n">
        <f aca="false">IF($H2697="",0,IFERROR(MATCH($H2697,GradeList,0),0))</f>
        <v>0</v>
      </c>
      <c r="O2697" s="64" t="n">
        <f aca="false">IF(OR($I2697="",$I2697="NR"),0,IFERROR(MATCH($I2697,GradeList,0),0))</f>
        <v>0</v>
      </c>
      <c r="P2697" s="64" t="n">
        <f aca="false">IF(AND($M2697&gt;0,ISNUMBER(MATCH($F2697,Lists!$A$2:$A$5,0)),ISNUMBER(MATCH($G2697,Lists!$B$2:$B$7,0)),OR($H2697="",$N2697&gt;0),OR($I2697="",$I2697="NR",$O2697&gt;0),IF(ISNUMBER($J2697),AND($J2697&gt;=0,$J2697=INT($J2697)),FALSE())),$J2697,0)</f>
        <v>0</v>
      </c>
      <c r="Q2697" s="64" t="n">
        <f aca="false">IF(AND($P2697&gt;0,$O2697&gt;0),$P2697,0)</f>
        <v>0</v>
      </c>
      <c r="R2697" s="64" t="n">
        <f aca="false">IF(AND($Q2697&gt;0,$O2697&gt;=AtRank),$Q2697,0)</f>
        <v>0</v>
      </c>
      <c r="S2697" s="64" t="n">
        <f aca="false">IF(AND($Q2697&gt;0,$O2697&gt;=AboveRank),$Q2697,0)</f>
        <v>0</v>
      </c>
      <c r="T2697" s="64" t="n">
        <f aca="false">IF($K2697="Less",$P2697,0)</f>
        <v>0</v>
      </c>
      <c r="U2697" s="64" t="n">
        <f aca="false">IF($K2697="Expected",$P2697,0)</f>
        <v>0</v>
      </c>
      <c r="V2697" s="64" t="n">
        <f aca="false">IF($K2697="Better",$P2697,0)</f>
        <v>0</v>
      </c>
      <c r="W2697" s="64" t="n">
        <f aca="false">IF($K2697="U – needs rule",$P2697,0)</f>
        <v>0</v>
      </c>
      <c r="X2697" s="64" t="n">
        <f aca="false">IF($K2697="No Start (attainment only)",$P2697,0)</f>
        <v>0</v>
      </c>
    </row>
    <row r="2698" customFormat="false" ht="15" hidden="false" customHeight="false" outlineLevel="0" collapsed="false">
      <c r="A2698" s="60"/>
      <c r="B2698" s="61" t="str">
        <f aca="false">IF($M2698=0,"",INDEX(Classes!$E$6:$E$420,$M2698))</f>
        <v/>
      </c>
      <c r="C2698" s="62" t="str">
        <f aca="false">IF($M2698=0,"",INDEX(Classes!$H$6:$H$420,$M2698))</f>
        <v/>
      </c>
      <c r="D2698" s="61" t="str">
        <f aca="false">IF($M2698=0,"",INDEX(Classes!$B$6:$B$420,$M2698))</f>
        <v/>
      </c>
      <c r="E2698" s="61" t="str">
        <f aca="false">IF($M2698=0,"",INDEX(Classes!$C$6:$C$420,$M2698))</f>
        <v/>
      </c>
      <c r="F2698" s="63"/>
      <c r="G2698" s="63"/>
      <c r="H2698" s="60"/>
      <c r="I2698" s="60"/>
      <c r="J2698" s="63"/>
      <c r="K2698" s="61" t="str">
        <f aca="false">IF($P2698=0,"",IF($F2698="Baseline","— Baseline",IF($O2698=0,"No result",IF($N2698=0,"No Start (attainment only)",IF(OR($N2698=1,$O2698=1),"U – needs rule",INDEX(MxBody,MATCH($I2698,MxCurr,0),MATCH($H2698,MxStart,0)))))))</f>
        <v/>
      </c>
      <c r="L2698" s="62" t="str">
        <f aca="false">IF(COUNTA($A2698,$F2698,$G2698,$H2698,$I2698,$J2698)=0,"",IF($M2698=0,"✖ كود الصف غير موجود",IF(ISNA(MATCH($F2698,Lists!$A$2:$A$5,0)),"✖ الفترة غير صحيحة",IF(ISNA(MATCH($G2698,Lists!$B$2:$B$7,0)),"✖ المجموعة غير صحيحة",IF(NOT(OR($H2698="",$N2698&gt;0)),"✖ Start غير صحيح",IF(NOT(OR($I2698="",$I2698="NR",$O2698&gt;0)),"✖ Current غير صحيح",IF(NOT(IF(ISNUMBER($J2698),AND($J2698&gt;=0,$J2698=INT($J2698)),FALSE())),"✖ العدد يجب أن يكون صحيحًا ≥ 0",IF(AND($F2698="Baseline",$H2698&lt;&gt;""),"⚠ Baseline: Start لا يدخل في التقدم",IF($K2698="No Start (attainment only)","ℹ تحصيل فقط (بدون Start)",IF($K2698="U – needs rule","ℹ حالة U تحتاج قاعدة معتمدة",IF($K2698="No result","ℹ بدون نتيجة (يُستبعد من التحصيل)","OK")))))))))))</f>
        <v/>
      </c>
      <c r="M2698" s="64" t="n">
        <f aca="false">IF($A2698="",0,IFERROR(MATCH($A2698,Classes!$A$6:$A$420,0),0))</f>
        <v>0</v>
      </c>
      <c r="N2698" s="64" t="n">
        <f aca="false">IF($H2698="",0,IFERROR(MATCH($H2698,GradeList,0),0))</f>
        <v>0</v>
      </c>
      <c r="O2698" s="64" t="n">
        <f aca="false">IF(OR($I2698="",$I2698="NR"),0,IFERROR(MATCH($I2698,GradeList,0),0))</f>
        <v>0</v>
      </c>
      <c r="P2698" s="64" t="n">
        <f aca="false">IF(AND($M2698&gt;0,ISNUMBER(MATCH($F2698,Lists!$A$2:$A$5,0)),ISNUMBER(MATCH($G2698,Lists!$B$2:$B$7,0)),OR($H2698="",$N2698&gt;0),OR($I2698="",$I2698="NR",$O2698&gt;0),IF(ISNUMBER($J2698),AND($J2698&gt;=0,$J2698=INT($J2698)),FALSE())),$J2698,0)</f>
        <v>0</v>
      </c>
      <c r="Q2698" s="64" t="n">
        <f aca="false">IF(AND($P2698&gt;0,$O2698&gt;0),$P2698,0)</f>
        <v>0</v>
      </c>
      <c r="R2698" s="64" t="n">
        <f aca="false">IF(AND($Q2698&gt;0,$O2698&gt;=AtRank),$Q2698,0)</f>
        <v>0</v>
      </c>
      <c r="S2698" s="64" t="n">
        <f aca="false">IF(AND($Q2698&gt;0,$O2698&gt;=AboveRank),$Q2698,0)</f>
        <v>0</v>
      </c>
      <c r="T2698" s="64" t="n">
        <f aca="false">IF($K2698="Less",$P2698,0)</f>
        <v>0</v>
      </c>
      <c r="U2698" s="64" t="n">
        <f aca="false">IF($K2698="Expected",$P2698,0)</f>
        <v>0</v>
      </c>
      <c r="V2698" s="64" t="n">
        <f aca="false">IF($K2698="Better",$P2698,0)</f>
        <v>0</v>
      </c>
      <c r="W2698" s="64" t="n">
        <f aca="false">IF($K2698="U – needs rule",$P2698,0)</f>
        <v>0</v>
      </c>
      <c r="X2698" s="64" t="n">
        <f aca="false">IF($K2698="No Start (attainment only)",$P2698,0)</f>
        <v>0</v>
      </c>
    </row>
    <row r="2699" customFormat="false" ht="15" hidden="false" customHeight="false" outlineLevel="0" collapsed="false">
      <c r="A2699" s="60"/>
      <c r="B2699" s="61" t="str">
        <f aca="false">IF($M2699=0,"",INDEX(Classes!$E$6:$E$420,$M2699))</f>
        <v/>
      </c>
      <c r="C2699" s="62" t="str">
        <f aca="false">IF($M2699=0,"",INDEX(Classes!$H$6:$H$420,$M2699))</f>
        <v/>
      </c>
      <c r="D2699" s="61" t="str">
        <f aca="false">IF($M2699=0,"",INDEX(Classes!$B$6:$B$420,$M2699))</f>
        <v/>
      </c>
      <c r="E2699" s="61" t="str">
        <f aca="false">IF($M2699=0,"",INDEX(Classes!$C$6:$C$420,$M2699))</f>
        <v/>
      </c>
      <c r="F2699" s="63"/>
      <c r="G2699" s="63"/>
      <c r="H2699" s="60"/>
      <c r="I2699" s="60"/>
      <c r="J2699" s="63"/>
      <c r="K2699" s="61" t="str">
        <f aca="false">IF($P2699=0,"",IF($F2699="Baseline","— Baseline",IF($O2699=0,"No result",IF($N2699=0,"No Start (attainment only)",IF(OR($N2699=1,$O2699=1),"U – needs rule",INDEX(MxBody,MATCH($I2699,MxCurr,0),MATCH($H2699,MxStart,0)))))))</f>
        <v/>
      </c>
      <c r="L2699" s="62" t="str">
        <f aca="false">IF(COUNTA($A2699,$F2699,$G2699,$H2699,$I2699,$J2699)=0,"",IF($M2699=0,"✖ كود الصف غير موجود",IF(ISNA(MATCH($F2699,Lists!$A$2:$A$5,0)),"✖ الفترة غير صحيحة",IF(ISNA(MATCH($G2699,Lists!$B$2:$B$7,0)),"✖ المجموعة غير صحيحة",IF(NOT(OR($H2699="",$N2699&gt;0)),"✖ Start غير صحيح",IF(NOT(OR($I2699="",$I2699="NR",$O2699&gt;0)),"✖ Current غير صحيح",IF(NOT(IF(ISNUMBER($J2699),AND($J2699&gt;=0,$J2699=INT($J2699)),FALSE())),"✖ العدد يجب أن يكون صحيحًا ≥ 0",IF(AND($F2699="Baseline",$H2699&lt;&gt;""),"⚠ Baseline: Start لا يدخل في التقدم",IF($K2699="No Start (attainment only)","ℹ تحصيل فقط (بدون Start)",IF($K2699="U – needs rule","ℹ حالة U تحتاج قاعدة معتمدة",IF($K2699="No result","ℹ بدون نتيجة (يُستبعد من التحصيل)","OK")))))))))))</f>
        <v/>
      </c>
      <c r="M2699" s="64" t="n">
        <f aca="false">IF($A2699="",0,IFERROR(MATCH($A2699,Classes!$A$6:$A$420,0),0))</f>
        <v>0</v>
      </c>
      <c r="N2699" s="64" t="n">
        <f aca="false">IF($H2699="",0,IFERROR(MATCH($H2699,GradeList,0),0))</f>
        <v>0</v>
      </c>
      <c r="O2699" s="64" t="n">
        <f aca="false">IF(OR($I2699="",$I2699="NR"),0,IFERROR(MATCH($I2699,GradeList,0),0))</f>
        <v>0</v>
      </c>
      <c r="P2699" s="64" t="n">
        <f aca="false">IF(AND($M2699&gt;0,ISNUMBER(MATCH($F2699,Lists!$A$2:$A$5,0)),ISNUMBER(MATCH($G2699,Lists!$B$2:$B$7,0)),OR($H2699="",$N2699&gt;0),OR($I2699="",$I2699="NR",$O2699&gt;0),IF(ISNUMBER($J2699),AND($J2699&gt;=0,$J2699=INT($J2699)),FALSE())),$J2699,0)</f>
        <v>0</v>
      </c>
      <c r="Q2699" s="64" t="n">
        <f aca="false">IF(AND($P2699&gt;0,$O2699&gt;0),$P2699,0)</f>
        <v>0</v>
      </c>
      <c r="R2699" s="64" t="n">
        <f aca="false">IF(AND($Q2699&gt;0,$O2699&gt;=AtRank),$Q2699,0)</f>
        <v>0</v>
      </c>
      <c r="S2699" s="64" t="n">
        <f aca="false">IF(AND($Q2699&gt;0,$O2699&gt;=AboveRank),$Q2699,0)</f>
        <v>0</v>
      </c>
      <c r="T2699" s="64" t="n">
        <f aca="false">IF($K2699="Less",$P2699,0)</f>
        <v>0</v>
      </c>
      <c r="U2699" s="64" t="n">
        <f aca="false">IF($K2699="Expected",$P2699,0)</f>
        <v>0</v>
      </c>
      <c r="V2699" s="64" t="n">
        <f aca="false">IF($K2699="Better",$P2699,0)</f>
        <v>0</v>
      </c>
      <c r="W2699" s="64" t="n">
        <f aca="false">IF($K2699="U – needs rule",$P2699,0)</f>
        <v>0</v>
      </c>
      <c r="X2699" s="64" t="n">
        <f aca="false">IF($K2699="No Start (attainment only)",$P2699,0)</f>
        <v>0</v>
      </c>
    </row>
    <row r="2700" customFormat="false" ht="15" hidden="false" customHeight="false" outlineLevel="0" collapsed="false">
      <c r="A2700" s="60"/>
      <c r="B2700" s="61" t="str">
        <f aca="false">IF($M2700=0,"",INDEX(Classes!$E$6:$E$420,$M2700))</f>
        <v/>
      </c>
      <c r="C2700" s="62" t="str">
        <f aca="false">IF($M2700=0,"",INDEX(Classes!$H$6:$H$420,$M2700))</f>
        <v/>
      </c>
      <c r="D2700" s="61" t="str">
        <f aca="false">IF($M2700=0,"",INDEX(Classes!$B$6:$B$420,$M2700))</f>
        <v/>
      </c>
      <c r="E2700" s="61" t="str">
        <f aca="false">IF($M2700=0,"",INDEX(Classes!$C$6:$C$420,$M2700))</f>
        <v/>
      </c>
      <c r="F2700" s="63"/>
      <c r="G2700" s="63"/>
      <c r="H2700" s="60"/>
      <c r="I2700" s="60"/>
      <c r="J2700" s="63"/>
      <c r="K2700" s="61" t="str">
        <f aca="false">IF($P2700=0,"",IF($F2700="Baseline","— Baseline",IF($O2700=0,"No result",IF($N2700=0,"No Start (attainment only)",IF(OR($N2700=1,$O2700=1),"U – needs rule",INDEX(MxBody,MATCH($I2700,MxCurr,0),MATCH($H2700,MxStart,0)))))))</f>
        <v/>
      </c>
      <c r="L2700" s="62" t="str">
        <f aca="false">IF(COUNTA($A2700,$F2700,$G2700,$H2700,$I2700,$J2700)=0,"",IF($M2700=0,"✖ كود الصف غير موجود",IF(ISNA(MATCH($F2700,Lists!$A$2:$A$5,0)),"✖ الفترة غير صحيحة",IF(ISNA(MATCH($G2700,Lists!$B$2:$B$7,0)),"✖ المجموعة غير صحيحة",IF(NOT(OR($H2700="",$N2700&gt;0)),"✖ Start غير صحيح",IF(NOT(OR($I2700="",$I2700="NR",$O2700&gt;0)),"✖ Current غير صحيح",IF(NOT(IF(ISNUMBER($J2700),AND($J2700&gt;=0,$J2700=INT($J2700)),FALSE())),"✖ العدد يجب أن يكون صحيحًا ≥ 0",IF(AND($F2700="Baseline",$H2700&lt;&gt;""),"⚠ Baseline: Start لا يدخل في التقدم",IF($K2700="No Start (attainment only)","ℹ تحصيل فقط (بدون Start)",IF($K2700="U – needs rule","ℹ حالة U تحتاج قاعدة معتمدة",IF($K2700="No result","ℹ بدون نتيجة (يُستبعد من التحصيل)","OK")))))))))))</f>
        <v/>
      </c>
      <c r="M2700" s="64" t="n">
        <f aca="false">IF($A2700="",0,IFERROR(MATCH($A2700,Classes!$A$6:$A$420,0),0))</f>
        <v>0</v>
      </c>
      <c r="N2700" s="64" t="n">
        <f aca="false">IF($H2700="",0,IFERROR(MATCH($H2700,GradeList,0),0))</f>
        <v>0</v>
      </c>
      <c r="O2700" s="64" t="n">
        <f aca="false">IF(OR($I2700="",$I2700="NR"),0,IFERROR(MATCH($I2700,GradeList,0),0))</f>
        <v>0</v>
      </c>
      <c r="P2700" s="64" t="n">
        <f aca="false">IF(AND($M2700&gt;0,ISNUMBER(MATCH($F2700,Lists!$A$2:$A$5,0)),ISNUMBER(MATCH($G2700,Lists!$B$2:$B$7,0)),OR($H2700="",$N2700&gt;0),OR($I2700="",$I2700="NR",$O2700&gt;0),IF(ISNUMBER($J2700),AND($J2700&gt;=0,$J2700=INT($J2700)),FALSE())),$J2700,0)</f>
        <v>0</v>
      </c>
      <c r="Q2700" s="64" t="n">
        <f aca="false">IF(AND($P2700&gt;0,$O2700&gt;0),$P2700,0)</f>
        <v>0</v>
      </c>
      <c r="R2700" s="64" t="n">
        <f aca="false">IF(AND($Q2700&gt;0,$O2700&gt;=AtRank),$Q2700,0)</f>
        <v>0</v>
      </c>
      <c r="S2700" s="64" t="n">
        <f aca="false">IF(AND($Q2700&gt;0,$O2700&gt;=AboveRank),$Q2700,0)</f>
        <v>0</v>
      </c>
      <c r="T2700" s="64" t="n">
        <f aca="false">IF($K2700="Less",$P2700,0)</f>
        <v>0</v>
      </c>
      <c r="U2700" s="64" t="n">
        <f aca="false">IF($K2700="Expected",$P2700,0)</f>
        <v>0</v>
      </c>
      <c r="V2700" s="64" t="n">
        <f aca="false">IF($K2700="Better",$P2700,0)</f>
        <v>0</v>
      </c>
      <c r="W2700" s="64" t="n">
        <f aca="false">IF($K2700="U – needs rule",$P2700,0)</f>
        <v>0</v>
      </c>
      <c r="X2700" s="64" t="n">
        <f aca="false">IF($K2700="No Start (attainment only)",$P2700,0)</f>
        <v>0</v>
      </c>
    </row>
    <row r="2701" customFormat="false" ht="15" hidden="false" customHeight="false" outlineLevel="0" collapsed="false">
      <c r="A2701" s="60"/>
      <c r="B2701" s="61" t="str">
        <f aca="false">IF($M2701=0,"",INDEX(Classes!$E$6:$E$420,$M2701))</f>
        <v/>
      </c>
      <c r="C2701" s="62" t="str">
        <f aca="false">IF($M2701=0,"",INDEX(Classes!$H$6:$H$420,$M2701))</f>
        <v/>
      </c>
      <c r="D2701" s="61" t="str">
        <f aca="false">IF($M2701=0,"",INDEX(Classes!$B$6:$B$420,$M2701))</f>
        <v/>
      </c>
      <c r="E2701" s="61" t="str">
        <f aca="false">IF($M2701=0,"",INDEX(Classes!$C$6:$C$420,$M2701))</f>
        <v/>
      </c>
      <c r="F2701" s="63"/>
      <c r="G2701" s="63"/>
      <c r="H2701" s="60"/>
      <c r="I2701" s="60"/>
      <c r="J2701" s="63"/>
      <c r="K2701" s="61" t="str">
        <f aca="false">IF($P2701=0,"",IF($F2701="Baseline","— Baseline",IF($O2701=0,"No result",IF($N2701=0,"No Start (attainment only)",IF(OR($N2701=1,$O2701=1),"U – needs rule",INDEX(MxBody,MATCH($I2701,MxCurr,0),MATCH($H2701,MxStart,0)))))))</f>
        <v/>
      </c>
      <c r="L2701" s="62" t="str">
        <f aca="false">IF(COUNTA($A2701,$F2701,$G2701,$H2701,$I2701,$J2701)=0,"",IF($M2701=0,"✖ كود الصف غير موجود",IF(ISNA(MATCH($F2701,Lists!$A$2:$A$5,0)),"✖ الفترة غير صحيحة",IF(ISNA(MATCH($G2701,Lists!$B$2:$B$7,0)),"✖ المجموعة غير صحيحة",IF(NOT(OR($H2701="",$N2701&gt;0)),"✖ Start غير صحيح",IF(NOT(OR($I2701="",$I2701="NR",$O2701&gt;0)),"✖ Current غير صحيح",IF(NOT(IF(ISNUMBER($J2701),AND($J2701&gt;=0,$J2701=INT($J2701)),FALSE())),"✖ العدد يجب أن يكون صحيحًا ≥ 0",IF(AND($F2701="Baseline",$H2701&lt;&gt;""),"⚠ Baseline: Start لا يدخل في التقدم",IF($K2701="No Start (attainment only)","ℹ تحصيل فقط (بدون Start)",IF($K2701="U – needs rule","ℹ حالة U تحتاج قاعدة معتمدة",IF($K2701="No result","ℹ بدون نتيجة (يُستبعد من التحصيل)","OK")))))))))))</f>
        <v/>
      </c>
      <c r="M2701" s="64" t="n">
        <f aca="false">IF($A2701="",0,IFERROR(MATCH($A2701,Classes!$A$6:$A$420,0),0))</f>
        <v>0</v>
      </c>
      <c r="N2701" s="64" t="n">
        <f aca="false">IF($H2701="",0,IFERROR(MATCH($H2701,GradeList,0),0))</f>
        <v>0</v>
      </c>
      <c r="O2701" s="64" t="n">
        <f aca="false">IF(OR($I2701="",$I2701="NR"),0,IFERROR(MATCH($I2701,GradeList,0),0))</f>
        <v>0</v>
      </c>
      <c r="P2701" s="64" t="n">
        <f aca="false">IF(AND($M2701&gt;0,ISNUMBER(MATCH($F2701,Lists!$A$2:$A$5,0)),ISNUMBER(MATCH($G2701,Lists!$B$2:$B$7,0)),OR($H2701="",$N2701&gt;0),OR($I2701="",$I2701="NR",$O2701&gt;0),IF(ISNUMBER($J2701),AND($J2701&gt;=0,$J2701=INT($J2701)),FALSE())),$J2701,0)</f>
        <v>0</v>
      </c>
      <c r="Q2701" s="64" t="n">
        <f aca="false">IF(AND($P2701&gt;0,$O2701&gt;0),$P2701,0)</f>
        <v>0</v>
      </c>
      <c r="R2701" s="64" t="n">
        <f aca="false">IF(AND($Q2701&gt;0,$O2701&gt;=AtRank),$Q2701,0)</f>
        <v>0</v>
      </c>
      <c r="S2701" s="64" t="n">
        <f aca="false">IF(AND($Q2701&gt;0,$O2701&gt;=AboveRank),$Q2701,0)</f>
        <v>0</v>
      </c>
      <c r="T2701" s="64" t="n">
        <f aca="false">IF($K2701="Less",$P2701,0)</f>
        <v>0</v>
      </c>
      <c r="U2701" s="64" t="n">
        <f aca="false">IF($K2701="Expected",$P2701,0)</f>
        <v>0</v>
      </c>
      <c r="V2701" s="64" t="n">
        <f aca="false">IF($K2701="Better",$P2701,0)</f>
        <v>0</v>
      </c>
      <c r="W2701" s="64" t="n">
        <f aca="false">IF($K2701="U – needs rule",$P2701,0)</f>
        <v>0</v>
      </c>
      <c r="X2701" s="64" t="n">
        <f aca="false">IF($K2701="No Start (attainment only)",$P2701,0)</f>
        <v>0</v>
      </c>
    </row>
    <row r="2702" customFormat="false" ht="15" hidden="false" customHeight="false" outlineLevel="0" collapsed="false">
      <c r="A2702" s="60"/>
      <c r="B2702" s="61" t="str">
        <f aca="false">IF($M2702=0,"",INDEX(Classes!$E$6:$E$420,$M2702))</f>
        <v/>
      </c>
      <c r="C2702" s="62" t="str">
        <f aca="false">IF($M2702=0,"",INDEX(Classes!$H$6:$H$420,$M2702))</f>
        <v/>
      </c>
      <c r="D2702" s="61" t="str">
        <f aca="false">IF($M2702=0,"",INDEX(Classes!$B$6:$B$420,$M2702))</f>
        <v/>
      </c>
      <c r="E2702" s="61" t="str">
        <f aca="false">IF($M2702=0,"",INDEX(Classes!$C$6:$C$420,$M2702))</f>
        <v/>
      </c>
      <c r="F2702" s="63"/>
      <c r="G2702" s="63"/>
      <c r="H2702" s="60"/>
      <c r="I2702" s="60"/>
      <c r="J2702" s="63"/>
      <c r="K2702" s="61" t="str">
        <f aca="false">IF($P2702=0,"",IF($F2702="Baseline","— Baseline",IF($O2702=0,"No result",IF($N2702=0,"No Start (attainment only)",IF(OR($N2702=1,$O2702=1),"U – needs rule",INDEX(MxBody,MATCH($I2702,MxCurr,0),MATCH($H2702,MxStart,0)))))))</f>
        <v/>
      </c>
      <c r="L2702" s="62" t="str">
        <f aca="false">IF(COUNTA($A2702,$F2702,$G2702,$H2702,$I2702,$J2702)=0,"",IF($M2702=0,"✖ كود الصف غير موجود",IF(ISNA(MATCH($F2702,Lists!$A$2:$A$5,0)),"✖ الفترة غير صحيحة",IF(ISNA(MATCH($G2702,Lists!$B$2:$B$7,0)),"✖ المجموعة غير صحيحة",IF(NOT(OR($H2702="",$N2702&gt;0)),"✖ Start غير صحيح",IF(NOT(OR($I2702="",$I2702="NR",$O2702&gt;0)),"✖ Current غير صحيح",IF(NOT(IF(ISNUMBER($J2702),AND($J2702&gt;=0,$J2702=INT($J2702)),FALSE())),"✖ العدد يجب أن يكون صحيحًا ≥ 0",IF(AND($F2702="Baseline",$H2702&lt;&gt;""),"⚠ Baseline: Start لا يدخل في التقدم",IF($K2702="No Start (attainment only)","ℹ تحصيل فقط (بدون Start)",IF($K2702="U – needs rule","ℹ حالة U تحتاج قاعدة معتمدة",IF($K2702="No result","ℹ بدون نتيجة (يُستبعد من التحصيل)","OK")))))))))))</f>
        <v/>
      </c>
      <c r="M2702" s="64" t="n">
        <f aca="false">IF($A2702="",0,IFERROR(MATCH($A2702,Classes!$A$6:$A$420,0),0))</f>
        <v>0</v>
      </c>
      <c r="N2702" s="64" t="n">
        <f aca="false">IF($H2702="",0,IFERROR(MATCH($H2702,GradeList,0),0))</f>
        <v>0</v>
      </c>
      <c r="O2702" s="64" t="n">
        <f aca="false">IF(OR($I2702="",$I2702="NR"),0,IFERROR(MATCH($I2702,GradeList,0),0))</f>
        <v>0</v>
      </c>
      <c r="P2702" s="64" t="n">
        <f aca="false">IF(AND($M2702&gt;0,ISNUMBER(MATCH($F2702,Lists!$A$2:$A$5,0)),ISNUMBER(MATCH($G2702,Lists!$B$2:$B$7,0)),OR($H2702="",$N2702&gt;0),OR($I2702="",$I2702="NR",$O2702&gt;0),IF(ISNUMBER($J2702),AND($J2702&gt;=0,$J2702=INT($J2702)),FALSE())),$J2702,0)</f>
        <v>0</v>
      </c>
      <c r="Q2702" s="64" t="n">
        <f aca="false">IF(AND($P2702&gt;0,$O2702&gt;0),$P2702,0)</f>
        <v>0</v>
      </c>
      <c r="R2702" s="64" t="n">
        <f aca="false">IF(AND($Q2702&gt;0,$O2702&gt;=AtRank),$Q2702,0)</f>
        <v>0</v>
      </c>
      <c r="S2702" s="64" t="n">
        <f aca="false">IF(AND($Q2702&gt;0,$O2702&gt;=AboveRank),$Q2702,0)</f>
        <v>0</v>
      </c>
      <c r="T2702" s="64" t="n">
        <f aca="false">IF($K2702="Less",$P2702,0)</f>
        <v>0</v>
      </c>
      <c r="U2702" s="64" t="n">
        <f aca="false">IF($K2702="Expected",$P2702,0)</f>
        <v>0</v>
      </c>
      <c r="V2702" s="64" t="n">
        <f aca="false">IF($K2702="Better",$P2702,0)</f>
        <v>0</v>
      </c>
      <c r="W2702" s="64" t="n">
        <f aca="false">IF($K2702="U – needs rule",$P2702,0)</f>
        <v>0</v>
      </c>
      <c r="X2702" s="64" t="n">
        <f aca="false">IF($K2702="No Start (attainment only)",$P2702,0)</f>
        <v>0</v>
      </c>
    </row>
    <row r="2703" customFormat="false" ht="15" hidden="false" customHeight="false" outlineLevel="0" collapsed="false">
      <c r="A2703" s="60"/>
      <c r="B2703" s="61" t="str">
        <f aca="false">IF($M2703=0,"",INDEX(Classes!$E$6:$E$420,$M2703))</f>
        <v/>
      </c>
      <c r="C2703" s="62" t="str">
        <f aca="false">IF($M2703=0,"",INDEX(Classes!$H$6:$H$420,$M2703))</f>
        <v/>
      </c>
      <c r="D2703" s="61" t="str">
        <f aca="false">IF($M2703=0,"",INDEX(Classes!$B$6:$B$420,$M2703))</f>
        <v/>
      </c>
      <c r="E2703" s="61" t="str">
        <f aca="false">IF($M2703=0,"",INDEX(Classes!$C$6:$C$420,$M2703))</f>
        <v/>
      </c>
      <c r="F2703" s="63"/>
      <c r="G2703" s="63"/>
      <c r="H2703" s="60"/>
      <c r="I2703" s="60"/>
      <c r="J2703" s="63"/>
      <c r="K2703" s="61" t="str">
        <f aca="false">IF($P2703=0,"",IF($F2703="Baseline","— Baseline",IF($O2703=0,"No result",IF($N2703=0,"No Start (attainment only)",IF(OR($N2703=1,$O2703=1),"U – needs rule",INDEX(MxBody,MATCH($I2703,MxCurr,0),MATCH($H2703,MxStart,0)))))))</f>
        <v/>
      </c>
      <c r="L2703" s="62" t="str">
        <f aca="false">IF(COUNTA($A2703,$F2703,$G2703,$H2703,$I2703,$J2703)=0,"",IF($M2703=0,"✖ كود الصف غير موجود",IF(ISNA(MATCH($F2703,Lists!$A$2:$A$5,0)),"✖ الفترة غير صحيحة",IF(ISNA(MATCH($G2703,Lists!$B$2:$B$7,0)),"✖ المجموعة غير صحيحة",IF(NOT(OR($H2703="",$N2703&gt;0)),"✖ Start غير صحيح",IF(NOT(OR($I2703="",$I2703="NR",$O2703&gt;0)),"✖ Current غير صحيح",IF(NOT(IF(ISNUMBER($J2703),AND($J2703&gt;=0,$J2703=INT($J2703)),FALSE())),"✖ العدد يجب أن يكون صحيحًا ≥ 0",IF(AND($F2703="Baseline",$H2703&lt;&gt;""),"⚠ Baseline: Start لا يدخل في التقدم",IF($K2703="No Start (attainment only)","ℹ تحصيل فقط (بدون Start)",IF($K2703="U – needs rule","ℹ حالة U تحتاج قاعدة معتمدة",IF($K2703="No result","ℹ بدون نتيجة (يُستبعد من التحصيل)","OK")))))))))))</f>
        <v/>
      </c>
      <c r="M2703" s="64" t="n">
        <f aca="false">IF($A2703="",0,IFERROR(MATCH($A2703,Classes!$A$6:$A$420,0),0))</f>
        <v>0</v>
      </c>
      <c r="N2703" s="64" t="n">
        <f aca="false">IF($H2703="",0,IFERROR(MATCH($H2703,GradeList,0),0))</f>
        <v>0</v>
      </c>
      <c r="O2703" s="64" t="n">
        <f aca="false">IF(OR($I2703="",$I2703="NR"),0,IFERROR(MATCH($I2703,GradeList,0),0))</f>
        <v>0</v>
      </c>
      <c r="P2703" s="64" t="n">
        <f aca="false">IF(AND($M2703&gt;0,ISNUMBER(MATCH($F2703,Lists!$A$2:$A$5,0)),ISNUMBER(MATCH($G2703,Lists!$B$2:$B$7,0)),OR($H2703="",$N2703&gt;0),OR($I2703="",$I2703="NR",$O2703&gt;0),IF(ISNUMBER($J2703),AND($J2703&gt;=0,$J2703=INT($J2703)),FALSE())),$J2703,0)</f>
        <v>0</v>
      </c>
      <c r="Q2703" s="64" t="n">
        <f aca="false">IF(AND($P2703&gt;0,$O2703&gt;0),$P2703,0)</f>
        <v>0</v>
      </c>
      <c r="R2703" s="64" t="n">
        <f aca="false">IF(AND($Q2703&gt;0,$O2703&gt;=AtRank),$Q2703,0)</f>
        <v>0</v>
      </c>
      <c r="S2703" s="64" t="n">
        <f aca="false">IF(AND($Q2703&gt;0,$O2703&gt;=AboveRank),$Q2703,0)</f>
        <v>0</v>
      </c>
      <c r="T2703" s="64" t="n">
        <f aca="false">IF($K2703="Less",$P2703,0)</f>
        <v>0</v>
      </c>
      <c r="U2703" s="64" t="n">
        <f aca="false">IF($K2703="Expected",$P2703,0)</f>
        <v>0</v>
      </c>
      <c r="V2703" s="64" t="n">
        <f aca="false">IF($K2703="Better",$P2703,0)</f>
        <v>0</v>
      </c>
      <c r="W2703" s="64" t="n">
        <f aca="false">IF($K2703="U – needs rule",$P2703,0)</f>
        <v>0</v>
      </c>
      <c r="X2703" s="64" t="n">
        <f aca="false">IF($K2703="No Start (attainment only)",$P2703,0)</f>
        <v>0</v>
      </c>
    </row>
    <row r="2704" customFormat="false" ht="15" hidden="false" customHeight="false" outlineLevel="0" collapsed="false">
      <c r="A2704" s="60"/>
      <c r="B2704" s="61" t="str">
        <f aca="false">IF($M2704=0,"",INDEX(Classes!$E$6:$E$420,$M2704))</f>
        <v/>
      </c>
      <c r="C2704" s="62" t="str">
        <f aca="false">IF($M2704=0,"",INDEX(Classes!$H$6:$H$420,$M2704))</f>
        <v/>
      </c>
      <c r="D2704" s="61" t="str">
        <f aca="false">IF($M2704=0,"",INDEX(Classes!$B$6:$B$420,$M2704))</f>
        <v/>
      </c>
      <c r="E2704" s="61" t="str">
        <f aca="false">IF($M2704=0,"",INDEX(Classes!$C$6:$C$420,$M2704))</f>
        <v/>
      </c>
      <c r="F2704" s="63"/>
      <c r="G2704" s="63"/>
      <c r="H2704" s="60"/>
      <c r="I2704" s="60"/>
      <c r="J2704" s="63"/>
      <c r="K2704" s="61" t="str">
        <f aca="false">IF($P2704=0,"",IF($F2704="Baseline","— Baseline",IF($O2704=0,"No result",IF($N2704=0,"No Start (attainment only)",IF(OR($N2704=1,$O2704=1),"U – needs rule",INDEX(MxBody,MATCH($I2704,MxCurr,0),MATCH($H2704,MxStart,0)))))))</f>
        <v/>
      </c>
      <c r="L2704" s="62" t="str">
        <f aca="false">IF(COUNTA($A2704,$F2704,$G2704,$H2704,$I2704,$J2704)=0,"",IF($M2704=0,"✖ كود الصف غير موجود",IF(ISNA(MATCH($F2704,Lists!$A$2:$A$5,0)),"✖ الفترة غير صحيحة",IF(ISNA(MATCH($G2704,Lists!$B$2:$B$7,0)),"✖ المجموعة غير صحيحة",IF(NOT(OR($H2704="",$N2704&gt;0)),"✖ Start غير صحيح",IF(NOT(OR($I2704="",$I2704="NR",$O2704&gt;0)),"✖ Current غير صحيح",IF(NOT(IF(ISNUMBER($J2704),AND($J2704&gt;=0,$J2704=INT($J2704)),FALSE())),"✖ العدد يجب أن يكون صحيحًا ≥ 0",IF(AND($F2704="Baseline",$H2704&lt;&gt;""),"⚠ Baseline: Start لا يدخل في التقدم",IF($K2704="No Start (attainment only)","ℹ تحصيل فقط (بدون Start)",IF($K2704="U – needs rule","ℹ حالة U تحتاج قاعدة معتمدة",IF($K2704="No result","ℹ بدون نتيجة (يُستبعد من التحصيل)","OK")))))))))))</f>
        <v/>
      </c>
      <c r="M2704" s="64" t="n">
        <f aca="false">IF($A2704="",0,IFERROR(MATCH($A2704,Classes!$A$6:$A$420,0),0))</f>
        <v>0</v>
      </c>
      <c r="N2704" s="64" t="n">
        <f aca="false">IF($H2704="",0,IFERROR(MATCH($H2704,GradeList,0),0))</f>
        <v>0</v>
      </c>
      <c r="O2704" s="64" t="n">
        <f aca="false">IF(OR($I2704="",$I2704="NR"),0,IFERROR(MATCH($I2704,GradeList,0),0))</f>
        <v>0</v>
      </c>
      <c r="P2704" s="64" t="n">
        <f aca="false">IF(AND($M2704&gt;0,ISNUMBER(MATCH($F2704,Lists!$A$2:$A$5,0)),ISNUMBER(MATCH($G2704,Lists!$B$2:$B$7,0)),OR($H2704="",$N2704&gt;0),OR($I2704="",$I2704="NR",$O2704&gt;0),IF(ISNUMBER($J2704),AND($J2704&gt;=0,$J2704=INT($J2704)),FALSE())),$J2704,0)</f>
        <v>0</v>
      </c>
      <c r="Q2704" s="64" t="n">
        <f aca="false">IF(AND($P2704&gt;0,$O2704&gt;0),$P2704,0)</f>
        <v>0</v>
      </c>
      <c r="R2704" s="64" t="n">
        <f aca="false">IF(AND($Q2704&gt;0,$O2704&gt;=AtRank),$Q2704,0)</f>
        <v>0</v>
      </c>
      <c r="S2704" s="64" t="n">
        <f aca="false">IF(AND($Q2704&gt;0,$O2704&gt;=AboveRank),$Q2704,0)</f>
        <v>0</v>
      </c>
      <c r="T2704" s="64" t="n">
        <f aca="false">IF($K2704="Less",$P2704,0)</f>
        <v>0</v>
      </c>
      <c r="U2704" s="64" t="n">
        <f aca="false">IF($K2704="Expected",$P2704,0)</f>
        <v>0</v>
      </c>
      <c r="V2704" s="64" t="n">
        <f aca="false">IF($K2704="Better",$P2704,0)</f>
        <v>0</v>
      </c>
      <c r="W2704" s="64" t="n">
        <f aca="false">IF($K2704="U – needs rule",$P2704,0)</f>
        <v>0</v>
      </c>
      <c r="X2704" s="64" t="n">
        <f aca="false">IF($K2704="No Start (attainment only)",$P2704,0)</f>
        <v>0</v>
      </c>
    </row>
    <row r="2705" customFormat="false" ht="15" hidden="false" customHeight="false" outlineLevel="0" collapsed="false">
      <c r="A2705" s="60"/>
      <c r="B2705" s="61" t="str">
        <f aca="false">IF($M2705=0,"",INDEX(Classes!$E$6:$E$420,$M2705))</f>
        <v/>
      </c>
      <c r="C2705" s="62" t="str">
        <f aca="false">IF($M2705=0,"",INDEX(Classes!$H$6:$H$420,$M2705))</f>
        <v/>
      </c>
      <c r="D2705" s="61" t="str">
        <f aca="false">IF($M2705=0,"",INDEX(Classes!$B$6:$B$420,$M2705))</f>
        <v/>
      </c>
      <c r="E2705" s="61" t="str">
        <f aca="false">IF($M2705=0,"",INDEX(Classes!$C$6:$C$420,$M2705))</f>
        <v/>
      </c>
      <c r="F2705" s="63"/>
      <c r="G2705" s="63"/>
      <c r="H2705" s="60"/>
      <c r="I2705" s="60"/>
      <c r="J2705" s="63"/>
      <c r="K2705" s="61" t="str">
        <f aca="false">IF($P2705=0,"",IF($F2705="Baseline","— Baseline",IF($O2705=0,"No result",IF($N2705=0,"No Start (attainment only)",IF(OR($N2705=1,$O2705=1),"U – needs rule",INDEX(MxBody,MATCH($I2705,MxCurr,0),MATCH($H2705,MxStart,0)))))))</f>
        <v/>
      </c>
      <c r="L2705" s="62" t="str">
        <f aca="false">IF(COUNTA($A2705,$F2705,$G2705,$H2705,$I2705,$J2705)=0,"",IF($M2705=0,"✖ كود الصف غير موجود",IF(ISNA(MATCH($F2705,Lists!$A$2:$A$5,0)),"✖ الفترة غير صحيحة",IF(ISNA(MATCH($G2705,Lists!$B$2:$B$7,0)),"✖ المجموعة غير صحيحة",IF(NOT(OR($H2705="",$N2705&gt;0)),"✖ Start غير صحيح",IF(NOT(OR($I2705="",$I2705="NR",$O2705&gt;0)),"✖ Current غير صحيح",IF(NOT(IF(ISNUMBER($J2705),AND($J2705&gt;=0,$J2705=INT($J2705)),FALSE())),"✖ العدد يجب أن يكون صحيحًا ≥ 0",IF(AND($F2705="Baseline",$H2705&lt;&gt;""),"⚠ Baseline: Start لا يدخل في التقدم",IF($K2705="No Start (attainment only)","ℹ تحصيل فقط (بدون Start)",IF($K2705="U – needs rule","ℹ حالة U تحتاج قاعدة معتمدة",IF($K2705="No result","ℹ بدون نتيجة (يُستبعد من التحصيل)","OK")))))))))))</f>
        <v/>
      </c>
      <c r="M2705" s="64" t="n">
        <f aca="false">IF($A2705="",0,IFERROR(MATCH($A2705,Classes!$A$6:$A$420,0),0))</f>
        <v>0</v>
      </c>
      <c r="N2705" s="64" t="n">
        <f aca="false">IF($H2705="",0,IFERROR(MATCH($H2705,GradeList,0),0))</f>
        <v>0</v>
      </c>
      <c r="O2705" s="64" t="n">
        <f aca="false">IF(OR($I2705="",$I2705="NR"),0,IFERROR(MATCH($I2705,GradeList,0),0))</f>
        <v>0</v>
      </c>
      <c r="P2705" s="64" t="n">
        <f aca="false">IF(AND($M2705&gt;0,ISNUMBER(MATCH($F2705,Lists!$A$2:$A$5,0)),ISNUMBER(MATCH($G2705,Lists!$B$2:$B$7,0)),OR($H2705="",$N2705&gt;0),OR($I2705="",$I2705="NR",$O2705&gt;0),IF(ISNUMBER($J2705),AND($J2705&gt;=0,$J2705=INT($J2705)),FALSE())),$J2705,0)</f>
        <v>0</v>
      </c>
      <c r="Q2705" s="64" t="n">
        <f aca="false">IF(AND($P2705&gt;0,$O2705&gt;0),$P2705,0)</f>
        <v>0</v>
      </c>
      <c r="R2705" s="64" t="n">
        <f aca="false">IF(AND($Q2705&gt;0,$O2705&gt;=AtRank),$Q2705,0)</f>
        <v>0</v>
      </c>
      <c r="S2705" s="64" t="n">
        <f aca="false">IF(AND($Q2705&gt;0,$O2705&gt;=AboveRank),$Q2705,0)</f>
        <v>0</v>
      </c>
      <c r="T2705" s="64" t="n">
        <f aca="false">IF($K2705="Less",$P2705,0)</f>
        <v>0</v>
      </c>
      <c r="U2705" s="64" t="n">
        <f aca="false">IF($K2705="Expected",$P2705,0)</f>
        <v>0</v>
      </c>
      <c r="V2705" s="64" t="n">
        <f aca="false">IF($K2705="Better",$P2705,0)</f>
        <v>0</v>
      </c>
      <c r="W2705" s="64" t="n">
        <f aca="false">IF($K2705="U – needs rule",$P2705,0)</f>
        <v>0</v>
      </c>
      <c r="X2705" s="64" t="n">
        <f aca="false">IF($K2705="No Start (attainment only)",$P2705,0)</f>
        <v>0</v>
      </c>
    </row>
    <row r="2706" customFormat="false" ht="15" hidden="false" customHeight="false" outlineLevel="0" collapsed="false">
      <c r="A2706" s="60"/>
      <c r="B2706" s="61" t="str">
        <f aca="false">IF($M2706=0,"",INDEX(Classes!$E$6:$E$420,$M2706))</f>
        <v/>
      </c>
      <c r="C2706" s="62" t="str">
        <f aca="false">IF($M2706=0,"",INDEX(Classes!$H$6:$H$420,$M2706))</f>
        <v/>
      </c>
      <c r="D2706" s="61" t="str">
        <f aca="false">IF($M2706=0,"",INDEX(Classes!$B$6:$B$420,$M2706))</f>
        <v/>
      </c>
      <c r="E2706" s="61" t="str">
        <f aca="false">IF($M2706=0,"",INDEX(Classes!$C$6:$C$420,$M2706))</f>
        <v/>
      </c>
      <c r="F2706" s="63"/>
      <c r="G2706" s="63"/>
      <c r="H2706" s="60"/>
      <c r="I2706" s="60"/>
      <c r="J2706" s="63"/>
      <c r="K2706" s="61" t="str">
        <f aca="false">IF($P2706=0,"",IF($F2706="Baseline","— Baseline",IF($O2706=0,"No result",IF($N2706=0,"No Start (attainment only)",IF(OR($N2706=1,$O2706=1),"U – needs rule",INDEX(MxBody,MATCH($I2706,MxCurr,0),MATCH($H2706,MxStart,0)))))))</f>
        <v/>
      </c>
      <c r="L2706" s="62" t="str">
        <f aca="false">IF(COUNTA($A2706,$F2706,$G2706,$H2706,$I2706,$J2706)=0,"",IF($M2706=0,"✖ كود الصف غير موجود",IF(ISNA(MATCH($F2706,Lists!$A$2:$A$5,0)),"✖ الفترة غير صحيحة",IF(ISNA(MATCH($G2706,Lists!$B$2:$B$7,0)),"✖ المجموعة غير صحيحة",IF(NOT(OR($H2706="",$N2706&gt;0)),"✖ Start غير صحيح",IF(NOT(OR($I2706="",$I2706="NR",$O2706&gt;0)),"✖ Current غير صحيح",IF(NOT(IF(ISNUMBER($J2706),AND($J2706&gt;=0,$J2706=INT($J2706)),FALSE())),"✖ العدد يجب أن يكون صحيحًا ≥ 0",IF(AND($F2706="Baseline",$H2706&lt;&gt;""),"⚠ Baseline: Start لا يدخل في التقدم",IF($K2706="No Start (attainment only)","ℹ تحصيل فقط (بدون Start)",IF($K2706="U – needs rule","ℹ حالة U تحتاج قاعدة معتمدة",IF($K2706="No result","ℹ بدون نتيجة (يُستبعد من التحصيل)","OK")))))))))))</f>
        <v/>
      </c>
      <c r="M2706" s="64" t="n">
        <f aca="false">IF($A2706="",0,IFERROR(MATCH($A2706,Classes!$A$6:$A$420,0),0))</f>
        <v>0</v>
      </c>
      <c r="N2706" s="64" t="n">
        <f aca="false">IF($H2706="",0,IFERROR(MATCH($H2706,GradeList,0),0))</f>
        <v>0</v>
      </c>
      <c r="O2706" s="64" t="n">
        <f aca="false">IF(OR($I2706="",$I2706="NR"),0,IFERROR(MATCH($I2706,GradeList,0),0))</f>
        <v>0</v>
      </c>
      <c r="P2706" s="64" t="n">
        <f aca="false">IF(AND($M2706&gt;0,ISNUMBER(MATCH($F2706,Lists!$A$2:$A$5,0)),ISNUMBER(MATCH($G2706,Lists!$B$2:$B$7,0)),OR($H2706="",$N2706&gt;0),OR($I2706="",$I2706="NR",$O2706&gt;0),IF(ISNUMBER($J2706),AND($J2706&gt;=0,$J2706=INT($J2706)),FALSE())),$J2706,0)</f>
        <v>0</v>
      </c>
      <c r="Q2706" s="64" t="n">
        <f aca="false">IF(AND($P2706&gt;0,$O2706&gt;0),$P2706,0)</f>
        <v>0</v>
      </c>
      <c r="R2706" s="64" t="n">
        <f aca="false">IF(AND($Q2706&gt;0,$O2706&gt;=AtRank),$Q2706,0)</f>
        <v>0</v>
      </c>
      <c r="S2706" s="64" t="n">
        <f aca="false">IF(AND($Q2706&gt;0,$O2706&gt;=AboveRank),$Q2706,0)</f>
        <v>0</v>
      </c>
      <c r="T2706" s="64" t="n">
        <f aca="false">IF($K2706="Less",$P2706,0)</f>
        <v>0</v>
      </c>
      <c r="U2706" s="64" t="n">
        <f aca="false">IF($K2706="Expected",$P2706,0)</f>
        <v>0</v>
      </c>
      <c r="V2706" s="64" t="n">
        <f aca="false">IF($K2706="Better",$P2706,0)</f>
        <v>0</v>
      </c>
      <c r="W2706" s="64" t="n">
        <f aca="false">IF($K2706="U – needs rule",$P2706,0)</f>
        <v>0</v>
      </c>
      <c r="X2706" s="64" t="n">
        <f aca="false">IF($K2706="No Start (attainment only)",$P2706,0)</f>
        <v>0</v>
      </c>
    </row>
    <row r="2707" customFormat="false" ht="15" hidden="false" customHeight="false" outlineLevel="0" collapsed="false">
      <c r="A2707" s="60"/>
      <c r="B2707" s="61" t="str">
        <f aca="false">IF($M2707=0,"",INDEX(Classes!$E$6:$E$420,$M2707))</f>
        <v/>
      </c>
      <c r="C2707" s="62" t="str">
        <f aca="false">IF($M2707=0,"",INDEX(Classes!$H$6:$H$420,$M2707))</f>
        <v/>
      </c>
      <c r="D2707" s="61" t="str">
        <f aca="false">IF($M2707=0,"",INDEX(Classes!$B$6:$B$420,$M2707))</f>
        <v/>
      </c>
      <c r="E2707" s="61" t="str">
        <f aca="false">IF($M2707=0,"",INDEX(Classes!$C$6:$C$420,$M2707))</f>
        <v/>
      </c>
      <c r="F2707" s="63"/>
      <c r="G2707" s="63"/>
      <c r="H2707" s="60"/>
      <c r="I2707" s="60"/>
      <c r="J2707" s="63"/>
      <c r="K2707" s="61" t="str">
        <f aca="false">IF($P2707=0,"",IF($F2707="Baseline","— Baseline",IF($O2707=0,"No result",IF($N2707=0,"No Start (attainment only)",IF(OR($N2707=1,$O2707=1),"U – needs rule",INDEX(MxBody,MATCH($I2707,MxCurr,0),MATCH($H2707,MxStart,0)))))))</f>
        <v/>
      </c>
      <c r="L2707" s="62" t="str">
        <f aca="false">IF(COUNTA($A2707,$F2707,$G2707,$H2707,$I2707,$J2707)=0,"",IF($M2707=0,"✖ كود الصف غير موجود",IF(ISNA(MATCH($F2707,Lists!$A$2:$A$5,0)),"✖ الفترة غير صحيحة",IF(ISNA(MATCH($G2707,Lists!$B$2:$B$7,0)),"✖ المجموعة غير صحيحة",IF(NOT(OR($H2707="",$N2707&gt;0)),"✖ Start غير صحيح",IF(NOT(OR($I2707="",$I2707="NR",$O2707&gt;0)),"✖ Current غير صحيح",IF(NOT(IF(ISNUMBER($J2707),AND($J2707&gt;=0,$J2707=INT($J2707)),FALSE())),"✖ العدد يجب أن يكون صحيحًا ≥ 0",IF(AND($F2707="Baseline",$H2707&lt;&gt;""),"⚠ Baseline: Start لا يدخل في التقدم",IF($K2707="No Start (attainment only)","ℹ تحصيل فقط (بدون Start)",IF($K2707="U – needs rule","ℹ حالة U تحتاج قاعدة معتمدة",IF($K2707="No result","ℹ بدون نتيجة (يُستبعد من التحصيل)","OK")))))))))))</f>
        <v/>
      </c>
      <c r="M2707" s="64" t="n">
        <f aca="false">IF($A2707="",0,IFERROR(MATCH($A2707,Classes!$A$6:$A$420,0),0))</f>
        <v>0</v>
      </c>
      <c r="N2707" s="64" t="n">
        <f aca="false">IF($H2707="",0,IFERROR(MATCH($H2707,GradeList,0),0))</f>
        <v>0</v>
      </c>
      <c r="O2707" s="64" t="n">
        <f aca="false">IF(OR($I2707="",$I2707="NR"),0,IFERROR(MATCH($I2707,GradeList,0),0))</f>
        <v>0</v>
      </c>
      <c r="P2707" s="64" t="n">
        <f aca="false">IF(AND($M2707&gt;0,ISNUMBER(MATCH($F2707,Lists!$A$2:$A$5,0)),ISNUMBER(MATCH($G2707,Lists!$B$2:$B$7,0)),OR($H2707="",$N2707&gt;0),OR($I2707="",$I2707="NR",$O2707&gt;0),IF(ISNUMBER($J2707),AND($J2707&gt;=0,$J2707=INT($J2707)),FALSE())),$J2707,0)</f>
        <v>0</v>
      </c>
      <c r="Q2707" s="64" t="n">
        <f aca="false">IF(AND($P2707&gt;0,$O2707&gt;0),$P2707,0)</f>
        <v>0</v>
      </c>
      <c r="R2707" s="64" t="n">
        <f aca="false">IF(AND($Q2707&gt;0,$O2707&gt;=AtRank),$Q2707,0)</f>
        <v>0</v>
      </c>
      <c r="S2707" s="64" t="n">
        <f aca="false">IF(AND($Q2707&gt;0,$O2707&gt;=AboveRank),$Q2707,0)</f>
        <v>0</v>
      </c>
      <c r="T2707" s="64" t="n">
        <f aca="false">IF($K2707="Less",$P2707,0)</f>
        <v>0</v>
      </c>
      <c r="U2707" s="64" t="n">
        <f aca="false">IF($K2707="Expected",$P2707,0)</f>
        <v>0</v>
      </c>
      <c r="V2707" s="64" t="n">
        <f aca="false">IF($K2707="Better",$P2707,0)</f>
        <v>0</v>
      </c>
      <c r="W2707" s="64" t="n">
        <f aca="false">IF($K2707="U – needs rule",$P2707,0)</f>
        <v>0</v>
      </c>
      <c r="X2707" s="64" t="n">
        <f aca="false">IF($K2707="No Start (attainment only)",$P2707,0)</f>
        <v>0</v>
      </c>
    </row>
    <row r="2708" customFormat="false" ht="15" hidden="false" customHeight="false" outlineLevel="0" collapsed="false">
      <c r="A2708" s="60"/>
      <c r="B2708" s="61" t="str">
        <f aca="false">IF($M2708=0,"",INDEX(Classes!$E$6:$E$420,$M2708))</f>
        <v/>
      </c>
      <c r="C2708" s="62" t="str">
        <f aca="false">IF($M2708=0,"",INDEX(Classes!$H$6:$H$420,$M2708))</f>
        <v/>
      </c>
      <c r="D2708" s="61" t="str">
        <f aca="false">IF($M2708=0,"",INDEX(Classes!$B$6:$B$420,$M2708))</f>
        <v/>
      </c>
      <c r="E2708" s="61" t="str">
        <f aca="false">IF($M2708=0,"",INDEX(Classes!$C$6:$C$420,$M2708))</f>
        <v/>
      </c>
      <c r="F2708" s="63"/>
      <c r="G2708" s="63"/>
      <c r="H2708" s="60"/>
      <c r="I2708" s="60"/>
      <c r="J2708" s="63"/>
      <c r="K2708" s="61" t="str">
        <f aca="false">IF($P2708=0,"",IF($F2708="Baseline","— Baseline",IF($O2708=0,"No result",IF($N2708=0,"No Start (attainment only)",IF(OR($N2708=1,$O2708=1),"U – needs rule",INDEX(MxBody,MATCH($I2708,MxCurr,0),MATCH($H2708,MxStart,0)))))))</f>
        <v/>
      </c>
      <c r="L2708" s="62" t="str">
        <f aca="false">IF(COUNTA($A2708,$F2708,$G2708,$H2708,$I2708,$J2708)=0,"",IF($M2708=0,"✖ كود الصف غير موجود",IF(ISNA(MATCH($F2708,Lists!$A$2:$A$5,0)),"✖ الفترة غير صحيحة",IF(ISNA(MATCH($G2708,Lists!$B$2:$B$7,0)),"✖ المجموعة غير صحيحة",IF(NOT(OR($H2708="",$N2708&gt;0)),"✖ Start غير صحيح",IF(NOT(OR($I2708="",$I2708="NR",$O2708&gt;0)),"✖ Current غير صحيح",IF(NOT(IF(ISNUMBER($J2708),AND($J2708&gt;=0,$J2708=INT($J2708)),FALSE())),"✖ العدد يجب أن يكون صحيحًا ≥ 0",IF(AND($F2708="Baseline",$H2708&lt;&gt;""),"⚠ Baseline: Start لا يدخل في التقدم",IF($K2708="No Start (attainment only)","ℹ تحصيل فقط (بدون Start)",IF($K2708="U – needs rule","ℹ حالة U تحتاج قاعدة معتمدة",IF($K2708="No result","ℹ بدون نتيجة (يُستبعد من التحصيل)","OK")))))))))))</f>
        <v/>
      </c>
      <c r="M2708" s="64" t="n">
        <f aca="false">IF($A2708="",0,IFERROR(MATCH($A2708,Classes!$A$6:$A$420,0),0))</f>
        <v>0</v>
      </c>
      <c r="N2708" s="64" t="n">
        <f aca="false">IF($H2708="",0,IFERROR(MATCH($H2708,GradeList,0),0))</f>
        <v>0</v>
      </c>
      <c r="O2708" s="64" t="n">
        <f aca="false">IF(OR($I2708="",$I2708="NR"),0,IFERROR(MATCH($I2708,GradeList,0),0))</f>
        <v>0</v>
      </c>
      <c r="P2708" s="64" t="n">
        <f aca="false">IF(AND($M2708&gt;0,ISNUMBER(MATCH($F2708,Lists!$A$2:$A$5,0)),ISNUMBER(MATCH($G2708,Lists!$B$2:$B$7,0)),OR($H2708="",$N2708&gt;0),OR($I2708="",$I2708="NR",$O2708&gt;0),IF(ISNUMBER($J2708),AND($J2708&gt;=0,$J2708=INT($J2708)),FALSE())),$J2708,0)</f>
        <v>0</v>
      </c>
      <c r="Q2708" s="64" t="n">
        <f aca="false">IF(AND($P2708&gt;0,$O2708&gt;0),$P2708,0)</f>
        <v>0</v>
      </c>
      <c r="R2708" s="64" t="n">
        <f aca="false">IF(AND($Q2708&gt;0,$O2708&gt;=AtRank),$Q2708,0)</f>
        <v>0</v>
      </c>
      <c r="S2708" s="64" t="n">
        <f aca="false">IF(AND($Q2708&gt;0,$O2708&gt;=AboveRank),$Q2708,0)</f>
        <v>0</v>
      </c>
      <c r="T2708" s="64" t="n">
        <f aca="false">IF($K2708="Less",$P2708,0)</f>
        <v>0</v>
      </c>
      <c r="U2708" s="64" t="n">
        <f aca="false">IF($K2708="Expected",$P2708,0)</f>
        <v>0</v>
      </c>
      <c r="V2708" s="64" t="n">
        <f aca="false">IF($K2708="Better",$P2708,0)</f>
        <v>0</v>
      </c>
      <c r="W2708" s="64" t="n">
        <f aca="false">IF($K2708="U – needs rule",$P2708,0)</f>
        <v>0</v>
      </c>
      <c r="X2708" s="64" t="n">
        <f aca="false">IF($K2708="No Start (attainment only)",$P2708,0)</f>
        <v>0</v>
      </c>
    </row>
    <row r="2709" customFormat="false" ht="15" hidden="false" customHeight="false" outlineLevel="0" collapsed="false">
      <c r="A2709" s="60"/>
      <c r="B2709" s="61" t="str">
        <f aca="false">IF($M2709=0,"",INDEX(Classes!$E$6:$E$420,$M2709))</f>
        <v/>
      </c>
      <c r="C2709" s="62" t="str">
        <f aca="false">IF($M2709=0,"",INDEX(Classes!$H$6:$H$420,$M2709))</f>
        <v/>
      </c>
      <c r="D2709" s="61" t="str">
        <f aca="false">IF($M2709=0,"",INDEX(Classes!$B$6:$B$420,$M2709))</f>
        <v/>
      </c>
      <c r="E2709" s="61" t="str">
        <f aca="false">IF($M2709=0,"",INDEX(Classes!$C$6:$C$420,$M2709))</f>
        <v/>
      </c>
      <c r="F2709" s="63"/>
      <c r="G2709" s="63"/>
      <c r="H2709" s="60"/>
      <c r="I2709" s="60"/>
      <c r="J2709" s="63"/>
      <c r="K2709" s="61" t="str">
        <f aca="false">IF($P2709=0,"",IF($F2709="Baseline","— Baseline",IF($O2709=0,"No result",IF($N2709=0,"No Start (attainment only)",IF(OR($N2709=1,$O2709=1),"U – needs rule",INDEX(MxBody,MATCH($I2709,MxCurr,0),MATCH($H2709,MxStart,0)))))))</f>
        <v/>
      </c>
      <c r="L2709" s="62" t="str">
        <f aca="false">IF(COUNTA($A2709,$F2709,$G2709,$H2709,$I2709,$J2709)=0,"",IF($M2709=0,"✖ كود الصف غير موجود",IF(ISNA(MATCH($F2709,Lists!$A$2:$A$5,0)),"✖ الفترة غير صحيحة",IF(ISNA(MATCH($G2709,Lists!$B$2:$B$7,0)),"✖ المجموعة غير صحيحة",IF(NOT(OR($H2709="",$N2709&gt;0)),"✖ Start غير صحيح",IF(NOT(OR($I2709="",$I2709="NR",$O2709&gt;0)),"✖ Current غير صحيح",IF(NOT(IF(ISNUMBER($J2709),AND($J2709&gt;=0,$J2709=INT($J2709)),FALSE())),"✖ العدد يجب أن يكون صحيحًا ≥ 0",IF(AND($F2709="Baseline",$H2709&lt;&gt;""),"⚠ Baseline: Start لا يدخل في التقدم",IF($K2709="No Start (attainment only)","ℹ تحصيل فقط (بدون Start)",IF($K2709="U – needs rule","ℹ حالة U تحتاج قاعدة معتمدة",IF($K2709="No result","ℹ بدون نتيجة (يُستبعد من التحصيل)","OK")))))))))))</f>
        <v/>
      </c>
      <c r="M2709" s="64" t="n">
        <f aca="false">IF($A2709="",0,IFERROR(MATCH($A2709,Classes!$A$6:$A$420,0),0))</f>
        <v>0</v>
      </c>
      <c r="N2709" s="64" t="n">
        <f aca="false">IF($H2709="",0,IFERROR(MATCH($H2709,GradeList,0),0))</f>
        <v>0</v>
      </c>
      <c r="O2709" s="64" t="n">
        <f aca="false">IF(OR($I2709="",$I2709="NR"),0,IFERROR(MATCH($I2709,GradeList,0),0))</f>
        <v>0</v>
      </c>
      <c r="P2709" s="64" t="n">
        <f aca="false">IF(AND($M2709&gt;0,ISNUMBER(MATCH($F2709,Lists!$A$2:$A$5,0)),ISNUMBER(MATCH($G2709,Lists!$B$2:$B$7,0)),OR($H2709="",$N2709&gt;0),OR($I2709="",$I2709="NR",$O2709&gt;0),IF(ISNUMBER($J2709),AND($J2709&gt;=0,$J2709=INT($J2709)),FALSE())),$J2709,0)</f>
        <v>0</v>
      </c>
      <c r="Q2709" s="64" t="n">
        <f aca="false">IF(AND($P2709&gt;0,$O2709&gt;0),$P2709,0)</f>
        <v>0</v>
      </c>
      <c r="R2709" s="64" t="n">
        <f aca="false">IF(AND($Q2709&gt;0,$O2709&gt;=AtRank),$Q2709,0)</f>
        <v>0</v>
      </c>
      <c r="S2709" s="64" t="n">
        <f aca="false">IF(AND($Q2709&gt;0,$O2709&gt;=AboveRank),$Q2709,0)</f>
        <v>0</v>
      </c>
      <c r="T2709" s="64" t="n">
        <f aca="false">IF($K2709="Less",$P2709,0)</f>
        <v>0</v>
      </c>
      <c r="U2709" s="64" t="n">
        <f aca="false">IF($K2709="Expected",$P2709,0)</f>
        <v>0</v>
      </c>
      <c r="V2709" s="64" t="n">
        <f aca="false">IF($K2709="Better",$P2709,0)</f>
        <v>0</v>
      </c>
      <c r="W2709" s="64" t="n">
        <f aca="false">IF($K2709="U – needs rule",$P2709,0)</f>
        <v>0</v>
      </c>
      <c r="X2709" s="64" t="n">
        <f aca="false">IF($K2709="No Start (attainment only)",$P2709,0)</f>
        <v>0</v>
      </c>
    </row>
    <row r="2710" customFormat="false" ht="15" hidden="false" customHeight="false" outlineLevel="0" collapsed="false">
      <c r="A2710" s="60"/>
      <c r="B2710" s="61" t="str">
        <f aca="false">IF($M2710=0,"",INDEX(Classes!$E$6:$E$420,$M2710))</f>
        <v/>
      </c>
      <c r="C2710" s="62" t="str">
        <f aca="false">IF($M2710=0,"",INDEX(Classes!$H$6:$H$420,$M2710))</f>
        <v/>
      </c>
      <c r="D2710" s="61" t="str">
        <f aca="false">IF($M2710=0,"",INDEX(Classes!$B$6:$B$420,$M2710))</f>
        <v/>
      </c>
      <c r="E2710" s="61" t="str">
        <f aca="false">IF($M2710=0,"",INDEX(Classes!$C$6:$C$420,$M2710))</f>
        <v/>
      </c>
      <c r="F2710" s="63"/>
      <c r="G2710" s="63"/>
      <c r="H2710" s="60"/>
      <c r="I2710" s="60"/>
      <c r="J2710" s="63"/>
      <c r="K2710" s="61" t="str">
        <f aca="false">IF($P2710=0,"",IF($F2710="Baseline","— Baseline",IF($O2710=0,"No result",IF($N2710=0,"No Start (attainment only)",IF(OR($N2710=1,$O2710=1),"U – needs rule",INDEX(MxBody,MATCH($I2710,MxCurr,0),MATCH($H2710,MxStart,0)))))))</f>
        <v/>
      </c>
      <c r="L2710" s="62" t="str">
        <f aca="false">IF(COUNTA($A2710,$F2710,$G2710,$H2710,$I2710,$J2710)=0,"",IF($M2710=0,"✖ كود الصف غير موجود",IF(ISNA(MATCH($F2710,Lists!$A$2:$A$5,0)),"✖ الفترة غير صحيحة",IF(ISNA(MATCH($G2710,Lists!$B$2:$B$7,0)),"✖ المجموعة غير صحيحة",IF(NOT(OR($H2710="",$N2710&gt;0)),"✖ Start غير صحيح",IF(NOT(OR($I2710="",$I2710="NR",$O2710&gt;0)),"✖ Current غير صحيح",IF(NOT(IF(ISNUMBER($J2710),AND($J2710&gt;=0,$J2710=INT($J2710)),FALSE())),"✖ العدد يجب أن يكون صحيحًا ≥ 0",IF(AND($F2710="Baseline",$H2710&lt;&gt;""),"⚠ Baseline: Start لا يدخل في التقدم",IF($K2710="No Start (attainment only)","ℹ تحصيل فقط (بدون Start)",IF($K2710="U – needs rule","ℹ حالة U تحتاج قاعدة معتمدة",IF($K2710="No result","ℹ بدون نتيجة (يُستبعد من التحصيل)","OK")))))))))))</f>
        <v/>
      </c>
      <c r="M2710" s="64" t="n">
        <f aca="false">IF($A2710="",0,IFERROR(MATCH($A2710,Classes!$A$6:$A$420,0),0))</f>
        <v>0</v>
      </c>
      <c r="N2710" s="64" t="n">
        <f aca="false">IF($H2710="",0,IFERROR(MATCH($H2710,GradeList,0),0))</f>
        <v>0</v>
      </c>
      <c r="O2710" s="64" t="n">
        <f aca="false">IF(OR($I2710="",$I2710="NR"),0,IFERROR(MATCH($I2710,GradeList,0),0))</f>
        <v>0</v>
      </c>
      <c r="P2710" s="64" t="n">
        <f aca="false">IF(AND($M2710&gt;0,ISNUMBER(MATCH($F2710,Lists!$A$2:$A$5,0)),ISNUMBER(MATCH($G2710,Lists!$B$2:$B$7,0)),OR($H2710="",$N2710&gt;0),OR($I2710="",$I2710="NR",$O2710&gt;0),IF(ISNUMBER($J2710),AND($J2710&gt;=0,$J2710=INT($J2710)),FALSE())),$J2710,0)</f>
        <v>0</v>
      </c>
      <c r="Q2710" s="64" t="n">
        <f aca="false">IF(AND($P2710&gt;0,$O2710&gt;0),$P2710,0)</f>
        <v>0</v>
      </c>
      <c r="R2710" s="64" t="n">
        <f aca="false">IF(AND($Q2710&gt;0,$O2710&gt;=AtRank),$Q2710,0)</f>
        <v>0</v>
      </c>
      <c r="S2710" s="64" t="n">
        <f aca="false">IF(AND($Q2710&gt;0,$O2710&gt;=AboveRank),$Q2710,0)</f>
        <v>0</v>
      </c>
      <c r="T2710" s="64" t="n">
        <f aca="false">IF($K2710="Less",$P2710,0)</f>
        <v>0</v>
      </c>
      <c r="U2710" s="64" t="n">
        <f aca="false">IF($K2710="Expected",$P2710,0)</f>
        <v>0</v>
      </c>
      <c r="V2710" s="64" t="n">
        <f aca="false">IF($K2710="Better",$P2710,0)</f>
        <v>0</v>
      </c>
      <c r="W2710" s="64" t="n">
        <f aca="false">IF($K2710="U – needs rule",$P2710,0)</f>
        <v>0</v>
      </c>
      <c r="X2710" s="64" t="n">
        <f aca="false">IF($K2710="No Start (attainment only)",$P2710,0)</f>
        <v>0</v>
      </c>
    </row>
    <row r="2711" customFormat="false" ht="15" hidden="false" customHeight="false" outlineLevel="0" collapsed="false">
      <c r="A2711" s="60"/>
      <c r="B2711" s="61" t="str">
        <f aca="false">IF($M2711=0,"",INDEX(Classes!$E$6:$E$420,$M2711))</f>
        <v/>
      </c>
      <c r="C2711" s="62" t="str">
        <f aca="false">IF($M2711=0,"",INDEX(Classes!$H$6:$H$420,$M2711))</f>
        <v/>
      </c>
      <c r="D2711" s="61" t="str">
        <f aca="false">IF($M2711=0,"",INDEX(Classes!$B$6:$B$420,$M2711))</f>
        <v/>
      </c>
      <c r="E2711" s="61" t="str">
        <f aca="false">IF($M2711=0,"",INDEX(Classes!$C$6:$C$420,$M2711))</f>
        <v/>
      </c>
      <c r="F2711" s="63"/>
      <c r="G2711" s="63"/>
      <c r="H2711" s="60"/>
      <c r="I2711" s="60"/>
      <c r="J2711" s="63"/>
      <c r="K2711" s="61" t="str">
        <f aca="false">IF($P2711=0,"",IF($F2711="Baseline","— Baseline",IF($O2711=0,"No result",IF($N2711=0,"No Start (attainment only)",IF(OR($N2711=1,$O2711=1),"U – needs rule",INDEX(MxBody,MATCH($I2711,MxCurr,0),MATCH($H2711,MxStart,0)))))))</f>
        <v/>
      </c>
      <c r="L2711" s="62" t="str">
        <f aca="false">IF(COUNTA($A2711,$F2711,$G2711,$H2711,$I2711,$J2711)=0,"",IF($M2711=0,"✖ كود الصف غير موجود",IF(ISNA(MATCH($F2711,Lists!$A$2:$A$5,0)),"✖ الفترة غير صحيحة",IF(ISNA(MATCH($G2711,Lists!$B$2:$B$7,0)),"✖ المجموعة غير صحيحة",IF(NOT(OR($H2711="",$N2711&gt;0)),"✖ Start غير صحيح",IF(NOT(OR($I2711="",$I2711="NR",$O2711&gt;0)),"✖ Current غير صحيح",IF(NOT(IF(ISNUMBER($J2711),AND($J2711&gt;=0,$J2711=INT($J2711)),FALSE())),"✖ العدد يجب أن يكون صحيحًا ≥ 0",IF(AND($F2711="Baseline",$H2711&lt;&gt;""),"⚠ Baseline: Start لا يدخل في التقدم",IF($K2711="No Start (attainment only)","ℹ تحصيل فقط (بدون Start)",IF($K2711="U – needs rule","ℹ حالة U تحتاج قاعدة معتمدة",IF($K2711="No result","ℹ بدون نتيجة (يُستبعد من التحصيل)","OK")))))))))))</f>
        <v/>
      </c>
      <c r="M2711" s="64" t="n">
        <f aca="false">IF($A2711="",0,IFERROR(MATCH($A2711,Classes!$A$6:$A$420,0),0))</f>
        <v>0</v>
      </c>
      <c r="N2711" s="64" t="n">
        <f aca="false">IF($H2711="",0,IFERROR(MATCH($H2711,GradeList,0),0))</f>
        <v>0</v>
      </c>
      <c r="O2711" s="64" t="n">
        <f aca="false">IF(OR($I2711="",$I2711="NR"),0,IFERROR(MATCH($I2711,GradeList,0),0))</f>
        <v>0</v>
      </c>
      <c r="P2711" s="64" t="n">
        <f aca="false">IF(AND($M2711&gt;0,ISNUMBER(MATCH($F2711,Lists!$A$2:$A$5,0)),ISNUMBER(MATCH($G2711,Lists!$B$2:$B$7,0)),OR($H2711="",$N2711&gt;0),OR($I2711="",$I2711="NR",$O2711&gt;0),IF(ISNUMBER($J2711),AND($J2711&gt;=0,$J2711=INT($J2711)),FALSE())),$J2711,0)</f>
        <v>0</v>
      </c>
      <c r="Q2711" s="64" t="n">
        <f aca="false">IF(AND($P2711&gt;0,$O2711&gt;0),$P2711,0)</f>
        <v>0</v>
      </c>
      <c r="R2711" s="64" t="n">
        <f aca="false">IF(AND($Q2711&gt;0,$O2711&gt;=AtRank),$Q2711,0)</f>
        <v>0</v>
      </c>
      <c r="S2711" s="64" t="n">
        <f aca="false">IF(AND($Q2711&gt;0,$O2711&gt;=AboveRank),$Q2711,0)</f>
        <v>0</v>
      </c>
      <c r="T2711" s="64" t="n">
        <f aca="false">IF($K2711="Less",$P2711,0)</f>
        <v>0</v>
      </c>
      <c r="U2711" s="64" t="n">
        <f aca="false">IF($K2711="Expected",$P2711,0)</f>
        <v>0</v>
      </c>
      <c r="V2711" s="64" t="n">
        <f aca="false">IF($K2711="Better",$P2711,0)</f>
        <v>0</v>
      </c>
      <c r="W2711" s="64" t="n">
        <f aca="false">IF($K2711="U – needs rule",$P2711,0)</f>
        <v>0</v>
      </c>
      <c r="X2711" s="64" t="n">
        <f aca="false">IF($K2711="No Start (attainment only)",$P2711,0)</f>
        <v>0</v>
      </c>
    </row>
    <row r="2712" customFormat="false" ht="15" hidden="false" customHeight="false" outlineLevel="0" collapsed="false">
      <c r="A2712" s="60"/>
      <c r="B2712" s="61" t="str">
        <f aca="false">IF($M2712=0,"",INDEX(Classes!$E$6:$E$420,$M2712))</f>
        <v/>
      </c>
      <c r="C2712" s="62" t="str">
        <f aca="false">IF($M2712=0,"",INDEX(Classes!$H$6:$H$420,$M2712))</f>
        <v/>
      </c>
      <c r="D2712" s="61" t="str">
        <f aca="false">IF($M2712=0,"",INDEX(Classes!$B$6:$B$420,$M2712))</f>
        <v/>
      </c>
      <c r="E2712" s="61" t="str">
        <f aca="false">IF($M2712=0,"",INDEX(Classes!$C$6:$C$420,$M2712))</f>
        <v/>
      </c>
      <c r="F2712" s="63"/>
      <c r="G2712" s="63"/>
      <c r="H2712" s="60"/>
      <c r="I2712" s="60"/>
      <c r="J2712" s="63"/>
      <c r="K2712" s="61" t="str">
        <f aca="false">IF($P2712=0,"",IF($F2712="Baseline","— Baseline",IF($O2712=0,"No result",IF($N2712=0,"No Start (attainment only)",IF(OR($N2712=1,$O2712=1),"U – needs rule",INDEX(MxBody,MATCH($I2712,MxCurr,0),MATCH($H2712,MxStart,0)))))))</f>
        <v/>
      </c>
      <c r="L2712" s="62" t="str">
        <f aca="false">IF(COUNTA($A2712,$F2712,$G2712,$H2712,$I2712,$J2712)=0,"",IF($M2712=0,"✖ كود الصف غير موجود",IF(ISNA(MATCH($F2712,Lists!$A$2:$A$5,0)),"✖ الفترة غير صحيحة",IF(ISNA(MATCH($G2712,Lists!$B$2:$B$7,0)),"✖ المجموعة غير صحيحة",IF(NOT(OR($H2712="",$N2712&gt;0)),"✖ Start غير صحيح",IF(NOT(OR($I2712="",$I2712="NR",$O2712&gt;0)),"✖ Current غير صحيح",IF(NOT(IF(ISNUMBER($J2712),AND($J2712&gt;=0,$J2712=INT($J2712)),FALSE())),"✖ العدد يجب أن يكون صحيحًا ≥ 0",IF(AND($F2712="Baseline",$H2712&lt;&gt;""),"⚠ Baseline: Start لا يدخل في التقدم",IF($K2712="No Start (attainment only)","ℹ تحصيل فقط (بدون Start)",IF($K2712="U – needs rule","ℹ حالة U تحتاج قاعدة معتمدة",IF($K2712="No result","ℹ بدون نتيجة (يُستبعد من التحصيل)","OK")))))))))))</f>
        <v/>
      </c>
      <c r="M2712" s="64" t="n">
        <f aca="false">IF($A2712="",0,IFERROR(MATCH($A2712,Classes!$A$6:$A$420,0),0))</f>
        <v>0</v>
      </c>
      <c r="N2712" s="64" t="n">
        <f aca="false">IF($H2712="",0,IFERROR(MATCH($H2712,GradeList,0),0))</f>
        <v>0</v>
      </c>
      <c r="O2712" s="64" t="n">
        <f aca="false">IF(OR($I2712="",$I2712="NR"),0,IFERROR(MATCH($I2712,GradeList,0),0))</f>
        <v>0</v>
      </c>
      <c r="P2712" s="64" t="n">
        <f aca="false">IF(AND($M2712&gt;0,ISNUMBER(MATCH($F2712,Lists!$A$2:$A$5,0)),ISNUMBER(MATCH($G2712,Lists!$B$2:$B$7,0)),OR($H2712="",$N2712&gt;0),OR($I2712="",$I2712="NR",$O2712&gt;0),IF(ISNUMBER($J2712),AND($J2712&gt;=0,$J2712=INT($J2712)),FALSE())),$J2712,0)</f>
        <v>0</v>
      </c>
      <c r="Q2712" s="64" t="n">
        <f aca="false">IF(AND($P2712&gt;0,$O2712&gt;0),$P2712,0)</f>
        <v>0</v>
      </c>
      <c r="R2712" s="64" t="n">
        <f aca="false">IF(AND($Q2712&gt;0,$O2712&gt;=AtRank),$Q2712,0)</f>
        <v>0</v>
      </c>
      <c r="S2712" s="64" t="n">
        <f aca="false">IF(AND($Q2712&gt;0,$O2712&gt;=AboveRank),$Q2712,0)</f>
        <v>0</v>
      </c>
      <c r="T2712" s="64" t="n">
        <f aca="false">IF($K2712="Less",$P2712,0)</f>
        <v>0</v>
      </c>
      <c r="U2712" s="64" t="n">
        <f aca="false">IF($K2712="Expected",$P2712,0)</f>
        <v>0</v>
      </c>
      <c r="V2712" s="64" t="n">
        <f aca="false">IF($K2712="Better",$P2712,0)</f>
        <v>0</v>
      </c>
      <c r="W2712" s="64" t="n">
        <f aca="false">IF($K2712="U – needs rule",$P2712,0)</f>
        <v>0</v>
      </c>
      <c r="X2712" s="64" t="n">
        <f aca="false">IF($K2712="No Start (attainment only)",$P2712,0)</f>
        <v>0</v>
      </c>
    </row>
    <row r="2713" customFormat="false" ht="15" hidden="false" customHeight="false" outlineLevel="0" collapsed="false">
      <c r="A2713" s="60"/>
      <c r="B2713" s="61" t="str">
        <f aca="false">IF($M2713=0,"",INDEX(Classes!$E$6:$E$420,$M2713))</f>
        <v/>
      </c>
      <c r="C2713" s="62" t="str">
        <f aca="false">IF($M2713=0,"",INDEX(Classes!$H$6:$H$420,$M2713))</f>
        <v/>
      </c>
      <c r="D2713" s="61" t="str">
        <f aca="false">IF($M2713=0,"",INDEX(Classes!$B$6:$B$420,$M2713))</f>
        <v/>
      </c>
      <c r="E2713" s="61" t="str">
        <f aca="false">IF($M2713=0,"",INDEX(Classes!$C$6:$C$420,$M2713))</f>
        <v/>
      </c>
      <c r="F2713" s="63"/>
      <c r="G2713" s="63"/>
      <c r="H2713" s="60"/>
      <c r="I2713" s="60"/>
      <c r="J2713" s="63"/>
      <c r="K2713" s="61" t="str">
        <f aca="false">IF($P2713=0,"",IF($F2713="Baseline","— Baseline",IF($O2713=0,"No result",IF($N2713=0,"No Start (attainment only)",IF(OR($N2713=1,$O2713=1),"U – needs rule",INDEX(MxBody,MATCH($I2713,MxCurr,0),MATCH($H2713,MxStart,0)))))))</f>
        <v/>
      </c>
      <c r="L2713" s="62" t="str">
        <f aca="false">IF(COUNTA($A2713,$F2713,$G2713,$H2713,$I2713,$J2713)=0,"",IF($M2713=0,"✖ كود الصف غير موجود",IF(ISNA(MATCH($F2713,Lists!$A$2:$A$5,0)),"✖ الفترة غير صحيحة",IF(ISNA(MATCH($G2713,Lists!$B$2:$B$7,0)),"✖ المجموعة غير صحيحة",IF(NOT(OR($H2713="",$N2713&gt;0)),"✖ Start غير صحيح",IF(NOT(OR($I2713="",$I2713="NR",$O2713&gt;0)),"✖ Current غير صحيح",IF(NOT(IF(ISNUMBER($J2713),AND($J2713&gt;=0,$J2713=INT($J2713)),FALSE())),"✖ العدد يجب أن يكون صحيحًا ≥ 0",IF(AND($F2713="Baseline",$H2713&lt;&gt;""),"⚠ Baseline: Start لا يدخل في التقدم",IF($K2713="No Start (attainment only)","ℹ تحصيل فقط (بدون Start)",IF($K2713="U – needs rule","ℹ حالة U تحتاج قاعدة معتمدة",IF($K2713="No result","ℹ بدون نتيجة (يُستبعد من التحصيل)","OK")))))))))))</f>
        <v/>
      </c>
      <c r="M2713" s="64" t="n">
        <f aca="false">IF($A2713="",0,IFERROR(MATCH($A2713,Classes!$A$6:$A$420,0),0))</f>
        <v>0</v>
      </c>
      <c r="N2713" s="64" t="n">
        <f aca="false">IF($H2713="",0,IFERROR(MATCH($H2713,GradeList,0),0))</f>
        <v>0</v>
      </c>
      <c r="O2713" s="64" t="n">
        <f aca="false">IF(OR($I2713="",$I2713="NR"),0,IFERROR(MATCH($I2713,GradeList,0),0))</f>
        <v>0</v>
      </c>
      <c r="P2713" s="64" t="n">
        <f aca="false">IF(AND($M2713&gt;0,ISNUMBER(MATCH($F2713,Lists!$A$2:$A$5,0)),ISNUMBER(MATCH($G2713,Lists!$B$2:$B$7,0)),OR($H2713="",$N2713&gt;0),OR($I2713="",$I2713="NR",$O2713&gt;0),IF(ISNUMBER($J2713),AND($J2713&gt;=0,$J2713=INT($J2713)),FALSE())),$J2713,0)</f>
        <v>0</v>
      </c>
      <c r="Q2713" s="64" t="n">
        <f aca="false">IF(AND($P2713&gt;0,$O2713&gt;0),$P2713,0)</f>
        <v>0</v>
      </c>
      <c r="R2713" s="64" t="n">
        <f aca="false">IF(AND($Q2713&gt;0,$O2713&gt;=AtRank),$Q2713,0)</f>
        <v>0</v>
      </c>
      <c r="S2713" s="64" t="n">
        <f aca="false">IF(AND($Q2713&gt;0,$O2713&gt;=AboveRank),$Q2713,0)</f>
        <v>0</v>
      </c>
      <c r="T2713" s="64" t="n">
        <f aca="false">IF($K2713="Less",$P2713,0)</f>
        <v>0</v>
      </c>
      <c r="U2713" s="64" t="n">
        <f aca="false">IF($K2713="Expected",$P2713,0)</f>
        <v>0</v>
      </c>
      <c r="V2713" s="64" t="n">
        <f aca="false">IF($K2713="Better",$P2713,0)</f>
        <v>0</v>
      </c>
      <c r="W2713" s="64" t="n">
        <f aca="false">IF($K2713="U – needs rule",$P2713,0)</f>
        <v>0</v>
      </c>
      <c r="X2713" s="64" t="n">
        <f aca="false">IF($K2713="No Start (attainment only)",$P2713,0)</f>
        <v>0</v>
      </c>
    </row>
    <row r="2714" customFormat="false" ht="15" hidden="false" customHeight="false" outlineLevel="0" collapsed="false">
      <c r="A2714" s="60"/>
      <c r="B2714" s="61" t="str">
        <f aca="false">IF($M2714=0,"",INDEX(Classes!$E$6:$E$420,$M2714))</f>
        <v/>
      </c>
      <c r="C2714" s="62" t="str">
        <f aca="false">IF($M2714=0,"",INDEX(Classes!$H$6:$H$420,$M2714))</f>
        <v/>
      </c>
      <c r="D2714" s="61" t="str">
        <f aca="false">IF($M2714=0,"",INDEX(Classes!$B$6:$B$420,$M2714))</f>
        <v/>
      </c>
      <c r="E2714" s="61" t="str">
        <f aca="false">IF($M2714=0,"",INDEX(Classes!$C$6:$C$420,$M2714))</f>
        <v/>
      </c>
      <c r="F2714" s="63"/>
      <c r="G2714" s="63"/>
      <c r="H2714" s="60"/>
      <c r="I2714" s="60"/>
      <c r="J2714" s="63"/>
      <c r="K2714" s="61" t="str">
        <f aca="false">IF($P2714=0,"",IF($F2714="Baseline","— Baseline",IF($O2714=0,"No result",IF($N2714=0,"No Start (attainment only)",IF(OR($N2714=1,$O2714=1),"U – needs rule",INDEX(MxBody,MATCH($I2714,MxCurr,0),MATCH($H2714,MxStart,0)))))))</f>
        <v/>
      </c>
      <c r="L2714" s="62" t="str">
        <f aca="false">IF(COUNTA($A2714,$F2714,$G2714,$H2714,$I2714,$J2714)=0,"",IF($M2714=0,"✖ كود الصف غير موجود",IF(ISNA(MATCH($F2714,Lists!$A$2:$A$5,0)),"✖ الفترة غير صحيحة",IF(ISNA(MATCH($G2714,Lists!$B$2:$B$7,0)),"✖ المجموعة غير صحيحة",IF(NOT(OR($H2714="",$N2714&gt;0)),"✖ Start غير صحيح",IF(NOT(OR($I2714="",$I2714="NR",$O2714&gt;0)),"✖ Current غير صحيح",IF(NOT(IF(ISNUMBER($J2714),AND($J2714&gt;=0,$J2714=INT($J2714)),FALSE())),"✖ العدد يجب أن يكون صحيحًا ≥ 0",IF(AND($F2714="Baseline",$H2714&lt;&gt;""),"⚠ Baseline: Start لا يدخل في التقدم",IF($K2714="No Start (attainment only)","ℹ تحصيل فقط (بدون Start)",IF($K2714="U – needs rule","ℹ حالة U تحتاج قاعدة معتمدة",IF($K2714="No result","ℹ بدون نتيجة (يُستبعد من التحصيل)","OK")))))))))))</f>
        <v/>
      </c>
      <c r="M2714" s="64" t="n">
        <f aca="false">IF($A2714="",0,IFERROR(MATCH($A2714,Classes!$A$6:$A$420,0),0))</f>
        <v>0</v>
      </c>
      <c r="N2714" s="64" t="n">
        <f aca="false">IF($H2714="",0,IFERROR(MATCH($H2714,GradeList,0),0))</f>
        <v>0</v>
      </c>
      <c r="O2714" s="64" t="n">
        <f aca="false">IF(OR($I2714="",$I2714="NR"),0,IFERROR(MATCH($I2714,GradeList,0),0))</f>
        <v>0</v>
      </c>
      <c r="P2714" s="64" t="n">
        <f aca="false">IF(AND($M2714&gt;0,ISNUMBER(MATCH($F2714,Lists!$A$2:$A$5,0)),ISNUMBER(MATCH($G2714,Lists!$B$2:$B$7,0)),OR($H2714="",$N2714&gt;0),OR($I2714="",$I2714="NR",$O2714&gt;0),IF(ISNUMBER($J2714),AND($J2714&gt;=0,$J2714=INT($J2714)),FALSE())),$J2714,0)</f>
        <v>0</v>
      </c>
      <c r="Q2714" s="64" t="n">
        <f aca="false">IF(AND($P2714&gt;0,$O2714&gt;0),$P2714,0)</f>
        <v>0</v>
      </c>
      <c r="R2714" s="64" t="n">
        <f aca="false">IF(AND($Q2714&gt;0,$O2714&gt;=AtRank),$Q2714,0)</f>
        <v>0</v>
      </c>
      <c r="S2714" s="64" t="n">
        <f aca="false">IF(AND($Q2714&gt;0,$O2714&gt;=AboveRank),$Q2714,0)</f>
        <v>0</v>
      </c>
      <c r="T2714" s="64" t="n">
        <f aca="false">IF($K2714="Less",$P2714,0)</f>
        <v>0</v>
      </c>
      <c r="U2714" s="64" t="n">
        <f aca="false">IF($K2714="Expected",$P2714,0)</f>
        <v>0</v>
      </c>
      <c r="V2714" s="64" t="n">
        <f aca="false">IF($K2714="Better",$P2714,0)</f>
        <v>0</v>
      </c>
      <c r="W2714" s="64" t="n">
        <f aca="false">IF($K2714="U – needs rule",$P2714,0)</f>
        <v>0</v>
      </c>
      <c r="X2714" s="64" t="n">
        <f aca="false">IF($K2714="No Start (attainment only)",$P2714,0)</f>
        <v>0</v>
      </c>
    </row>
    <row r="2715" customFormat="false" ht="15" hidden="false" customHeight="false" outlineLevel="0" collapsed="false">
      <c r="A2715" s="60"/>
      <c r="B2715" s="61" t="str">
        <f aca="false">IF($M2715=0,"",INDEX(Classes!$E$6:$E$420,$M2715))</f>
        <v/>
      </c>
      <c r="C2715" s="62" t="str">
        <f aca="false">IF($M2715=0,"",INDEX(Classes!$H$6:$H$420,$M2715))</f>
        <v/>
      </c>
      <c r="D2715" s="61" t="str">
        <f aca="false">IF($M2715=0,"",INDEX(Classes!$B$6:$B$420,$M2715))</f>
        <v/>
      </c>
      <c r="E2715" s="61" t="str">
        <f aca="false">IF($M2715=0,"",INDEX(Classes!$C$6:$C$420,$M2715))</f>
        <v/>
      </c>
      <c r="F2715" s="63"/>
      <c r="G2715" s="63"/>
      <c r="H2715" s="60"/>
      <c r="I2715" s="60"/>
      <c r="J2715" s="63"/>
      <c r="K2715" s="61" t="str">
        <f aca="false">IF($P2715=0,"",IF($F2715="Baseline","— Baseline",IF($O2715=0,"No result",IF($N2715=0,"No Start (attainment only)",IF(OR($N2715=1,$O2715=1),"U – needs rule",INDEX(MxBody,MATCH($I2715,MxCurr,0),MATCH($H2715,MxStart,0)))))))</f>
        <v/>
      </c>
      <c r="L2715" s="62" t="str">
        <f aca="false">IF(COUNTA($A2715,$F2715,$G2715,$H2715,$I2715,$J2715)=0,"",IF($M2715=0,"✖ كود الصف غير موجود",IF(ISNA(MATCH($F2715,Lists!$A$2:$A$5,0)),"✖ الفترة غير صحيحة",IF(ISNA(MATCH($G2715,Lists!$B$2:$B$7,0)),"✖ المجموعة غير صحيحة",IF(NOT(OR($H2715="",$N2715&gt;0)),"✖ Start غير صحيح",IF(NOT(OR($I2715="",$I2715="NR",$O2715&gt;0)),"✖ Current غير صحيح",IF(NOT(IF(ISNUMBER($J2715),AND($J2715&gt;=0,$J2715=INT($J2715)),FALSE())),"✖ العدد يجب أن يكون صحيحًا ≥ 0",IF(AND($F2715="Baseline",$H2715&lt;&gt;""),"⚠ Baseline: Start لا يدخل في التقدم",IF($K2715="No Start (attainment only)","ℹ تحصيل فقط (بدون Start)",IF($K2715="U – needs rule","ℹ حالة U تحتاج قاعدة معتمدة",IF($K2715="No result","ℹ بدون نتيجة (يُستبعد من التحصيل)","OK")))))))))))</f>
        <v/>
      </c>
      <c r="M2715" s="64" t="n">
        <f aca="false">IF($A2715="",0,IFERROR(MATCH($A2715,Classes!$A$6:$A$420,0),0))</f>
        <v>0</v>
      </c>
      <c r="N2715" s="64" t="n">
        <f aca="false">IF($H2715="",0,IFERROR(MATCH($H2715,GradeList,0),0))</f>
        <v>0</v>
      </c>
      <c r="O2715" s="64" t="n">
        <f aca="false">IF(OR($I2715="",$I2715="NR"),0,IFERROR(MATCH($I2715,GradeList,0),0))</f>
        <v>0</v>
      </c>
      <c r="P2715" s="64" t="n">
        <f aca="false">IF(AND($M2715&gt;0,ISNUMBER(MATCH($F2715,Lists!$A$2:$A$5,0)),ISNUMBER(MATCH($G2715,Lists!$B$2:$B$7,0)),OR($H2715="",$N2715&gt;0),OR($I2715="",$I2715="NR",$O2715&gt;0),IF(ISNUMBER($J2715),AND($J2715&gt;=0,$J2715=INT($J2715)),FALSE())),$J2715,0)</f>
        <v>0</v>
      </c>
      <c r="Q2715" s="64" t="n">
        <f aca="false">IF(AND($P2715&gt;0,$O2715&gt;0),$P2715,0)</f>
        <v>0</v>
      </c>
      <c r="R2715" s="64" t="n">
        <f aca="false">IF(AND($Q2715&gt;0,$O2715&gt;=AtRank),$Q2715,0)</f>
        <v>0</v>
      </c>
      <c r="S2715" s="64" t="n">
        <f aca="false">IF(AND($Q2715&gt;0,$O2715&gt;=AboveRank),$Q2715,0)</f>
        <v>0</v>
      </c>
      <c r="T2715" s="64" t="n">
        <f aca="false">IF($K2715="Less",$P2715,0)</f>
        <v>0</v>
      </c>
      <c r="U2715" s="64" t="n">
        <f aca="false">IF($K2715="Expected",$P2715,0)</f>
        <v>0</v>
      </c>
      <c r="V2715" s="64" t="n">
        <f aca="false">IF($K2715="Better",$P2715,0)</f>
        <v>0</v>
      </c>
      <c r="W2715" s="64" t="n">
        <f aca="false">IF($K2715="U – needs rule",$P2715,0)</f>
        <v>0</v>
      </c>
      <c r="X2715" s="64" t="n">
        <f aca="false">IF($K2715="No Start (attainment only)",$P2715,0)</f>
        <v>0</v>
      </c>
    </row>
    <row r="2716" customFormat="false" ht="15" hidden="false" customHeight="false" outlineLevel="0" collapsed="false">
      <c r="A2716" s="60"/>
      <c r="B2716" s="61" t="str">
        <f aca="false">IF($M2716=0,"",INDEX(Classes!$E$6:$E$420,$M2716))</f>
        <v/>
      </c>
      <c r="C2716" s="62" t="str">
        <f aca="false">IF($M2716=0,"",INDEX(Classes!$H$6:$H$420,$M2716))</f>
        <v/>
      </c>
      <c r="D2716" s="61" t="str">
        <f aca="false">IF($M2716=0,"",INDEX(Classes!$B$6:$B$420,$M2716))</f>
        <v/>
      </c>
      <c r="E2716" s="61" t="str">
        <f aca="false">IF($M2716=0,"",INDEX(Classes!$C$6:$C$420,$M2716))</f>
        <v/>
      </c>
      <c r="F2716" s="63"/>
      <c r="G2716" s="63"/>
      <c r="H2716" s="60"/>
      <c r="I2716" s="60"/>
      <c r="J2716" s="63"/>
      <c r="K2716" s="61" t="str">
        <f aca="false">IF($P2716=0,"",IF($F2716="Baseline","— Baseline",IF($O2716=0,"No result",IF($N2716=0,"No Start (attainment only)",IF(OR($N2716=1,$O2716=1),"U – needs rule",INDEX(MxBody,MATCH($I2716,MxCurr,0),MATCH($H2716,MxStart,0)))))))</f>
        <v/>
      </c>
      <c r="L2716" s="62" t="str">
        <f aca="false">IF(COUNTA($A2716,$F2716,$G2716,$H2716,$I2716,$J2716)=0,"",IF($M2716=0,"✖ كود الصف غير موجود",IF(ISNA(MATCH($F2716,Lists!$A$2:$A$5,0)),"✖ الفترة غير صحيحة",IF(ISNA(MATCH($G2716,Lists!$B$2:$B$7,0)),"✖ المجموعة غير صحيحة",IF(NOT(OR($H2716="",$N2716&gt;0)),"✖ Start غير صحيح",IF(NOT(OR($I2716="",$I2716="NR",$O2716&gt;0)),"✖ Current غير صحيح",IF(NOT(IF(ISNUMBER($J2716),AND($J2716&gt;=0,$J2716=INT($J2716)),FALSE())),"✖ العدد يجب أن يكون صحيحًا ≥ 0",IF(AND($F2716="Baseline",$H2716&lt;&gt;""),"⚠ Baseline: Start لا يدخل في التقدم",IF($K2716="No Start (attainment only)","ℹ تحصيل فقط (بدون Start)",IF($K2716="U – needs rule","ℹ حالة U تحتاج قاعدة معتمدة",IF($K2716="No result","ℹ بدون نتيجة (يُستبعد من التحصيل)","OK")))))))))))</f>
        <v/>
      </c>
      <c r="M2716" s="64" t="n">
        <f aca="false">IF($A2716="",0,IFERROR(MATCH($A2716,Classes!$A$6:$A$420,0),0))</f>
        <v>0</v>
      </c>
      <c r="N2716" s="64" t="n">
        <f aca="false">IF($H2716="",0,IFERROR(MATCH($H2716,GradeList,0),0))</f>
        <v>0</v>
      </c>
      <c r="O2716" s="64" t="n">
        <f aca="false">IF(OR($I2716="",$I2716="NR"),0,IFERROR(MATCH($I2716,GradeList,0),0))</f>
        <v>0</v>
      </c>
      <c r="P2716" s="64" t="n">
        <f aca="false">IF(AND($M2716&gt;0,ISNUMBER(MATCH($F2716,Lists!$A$2:$A$5,0)),ISNUMBER(MATCH($G2716,Lists!$B$2:$B$7,0)),OR($H2716="",$N2716&gt;0),OR($I2716="",$I2716="NR",$O2716&gt;0),IF(ISNUMBER($J2716),AND($J2716&gt;=0,$J2716=INT($J2716)),FALSE())),$J2716,0)</f>
        <v>0</v>
      </c>
      <c r="Q2716" s="64" t="n">
        <f aca="false">IF(AND($P2716&gt;0,$O2716&gt;0),$P2716,0)</f>
        <v>0</v>
      </c>
      <c r="R2716" s="64" t="n">
        <f aca="false">IF(AND($Q2716&gt;0,$O2716&gt;=AtRank),$Q2716,0)</f>
        <v>0</v>
      </c>
      <c r="S2716" s="64" t="n">
        <f aca="false">IF(AND($Q2716&gt;0,$O2716&gt;=AboveRank),$Q2716,0)</f>
        <v>0</v>
      </c>
      <c r="T2716" s="64" t="n">
        <f aca="false">IF($K2716="Less",$P2716,0)</f>
        <v>0</v>
      </c>
      <c r="U2716" s="64" t="n">
        <f aca="false">IF($K2716="Expected",$P2716,0)</f>
        <v>0</v>
      </c>
      <c r="V2716" s="64" t="n">
        <f aca="false">IF($K2716="Better",$P2716,0)</f>
        <v>0</v>
      </c>
      <c r="W2716" s="64" t="n">
        <f aca="false">IF($K2716="U – needs rule",$P2716,0)</f>
        <v>0</v>
      </c>
      <c r="X2716" s="64" t="n">
        <f aca="false">IF($K2716="No Start (attainment only)",$P2716,0)</f>
        <v>0</v>
      </c>
    </row>
    <row r="2717" customFormat="false" ht="15" hidden="false" customHeight="false" outlineLevel="0" collapsed="false">
      <c r="A2717" s="60"/>
      <c r="B2717" s="61" t="str">
        <f aca="false">IF($M2717=0,"",INDEX(Classes!$E$6:$E$420,$M2717))</f>
        <v/>
      </c>
      <c r="C2717" s="62" t="str">
        <f aca="false">IF($M2717=0,"",INDEX(Classes!$H$6:$H$420,$M2717))</f>
        <v/>
      </c>
      <c r="D2717" s="61" t="str">
        <f aca="false">IF($M2717=0,"",INDEX(Classes!$B$6:$B$420,$M2717))</f>
        <v/>
      </c>
      <c r="E2717" s="61" t="str">
        <f aca="false">IF($M2717=0,"",INDEX(Classes!$C$6:$C$420,$M2717))</f>
        <v/>
      </c>
      <c r="F2717" s="63"/>
      <c r="G2717" s="63"/>
      <c r="H2717" s="60"/>
      <c r="I2717" s="60"/>
      <c r="J2717" s="63"/>
      <c r="K2717" s="61" t="str">
        <f aca="false">IF($P2717=0,"",IF($F2717="Baseline","— Baseline",IF($O2717=0,"No result",IF($N2717=0,"No Start (attainment only)",IF(OR($N2717=1,$O2717=1),"U – needs rule",INDEX(MxBody,MATCH($I2717,MxCurr,0),MATCH($H2717,MxStart,0)))))))</f>
        <v/>
      </c>
      <c r="L2717" s="62" t="str">
        <f aca="false">IF(COUNTA($A2717,$F2717,$G2717,$H2717,$I2717,$J2717)=0,"",IF($M2717=0,"✖ كود الصف غير موجود",IF(ISNA(MATCH($F2717,Lists!$A$2:$A$5,0)),"✖ الفترة غير صحيحة",IF(ISNA(MATCH($G2717,Lists!$B$2:$B$7,0)),"✖ المجموعة غير صحيحة",IF(NOT(OR($H2717="",$N2717&gt;0)),"✖ Start غير صحيح",IF(NOT(OR($I2717="",$I2717="NR",$O2717&gt;0)),"✖ Current غير صحيح",IF(NOT(IF(ISNUMBER($J2717),AND($J2717&gt;=0,$J2717=INT($J2717)),FALSE())),"✖ العدد يجب أن يكون صحيحًا ≥ 0",IF(AND($F2717="Baseline",$H2717&lt;&gt;""),"⚠ Baseline: Start لا يدخل في التقدم",IF($K2717="No Start (attainment only)","ℹ تحصيل فقط (بدون Start)",IF($K2717="U – needs rule","ℹ حالة U تحتاج قاعدة معتمدة",IF($K2717="No result","ℹ بدون نتيجة (يُستبعد من التحصيل)","OK")))))))))))</f>
        <v/>
      </c>
      <c r="M2717" s="64" t="n">
        <f aca="false">IF($A2717="",0,IFERROR(MATCH($A2717,Classes!$A$6:$A$420,0),0))</f>
        <v>0</v>
      </c>
      <c r="N2717" s="64" t="n">
        <f aca="false">IF($H2717="",0,IFERROR(MATCH($H2717,GradeList,0),0))</f>
        <v>0</v>
      </c>
      <c r="O2717" s="64" t="n">
        <f aca="false">IF(OR($I2717="",$I2717="NR"),0,IFERROR(MATCH($I2717,GradeList,0),0))</f>
        <v>0</v>
      </c>
      <c r="P2717" s="64" t="n">
        <f aca="false">IF(AND($M2717&gt;0,ISNUMBER(MATCH($F2717,Lists!$A$2:$A$5,0)),ISNUMBER(MATCH($G2717,Lists!$B$2:$B$7,0)),OR($H2717="",$N2717&gt;0),OR($I2717="",$I2717="NR",$O2717&gt;0),IF(ISNUMBER($J2717),AND($J2717&gt;=0,$J2717=INT($J2717)),FALSE())),$J2717,0)</f>
        <v>0</v>
      </c>
      <c r="Q2717" s="64" t="n">
        <f aca="false">IF(AND($P2717&gt;0,$O2717&gt;0),$P2717,0)</f>
        <v>0</v>
      </c>
      <c r="R2717" s="64" t="n">
        <f aca="false">IF(AND($Q2717&gt;0,$O2717&gt;=AtRank),$Q2717,0)</f>
        <v>0</v>
      </c>
      <c r="S2717" s="64" t="n">
        <f aca="false">IF(AND($Q2717&gt;0,$O2717&gt;=AboveRank),$Q2717,0)</f>
        <v>0</v>
      </c>
      <c r="T2717" s="64" t="n">
        <f aca="false">IF($K2717="Less",$P2717,0)</f>
        <v>0</v>
      </c>
      <c r="U2717" s="64" t="n">
        <f aca="false">IF($K2717="Expected",$P2717,0)</f>
        <v>0</v>
      </c>
      <c r="V2717" s="64" t="n">
        <f aca="false">IF($K2717="Better",$P2717,0)</f>
        <v>0</v>
      </c>
      <c r="W2717" s="64" t="n">
        <f aca="false">IF($K2717="U – needs rule",$P2717,0)</f>
        <v>0</v>
      </c>
      <c r="X2717" s="64" t="n">
        <f aca="false">IF($K2717="No Start (attainment only)",$P2717,0)</f>
        <v>0</v>
      </c>
    </row>
    <row r="2718" customFormat="false" ht="15" hidden="false" customHeight="false" outlineLevel="0" collapsed="false">
      <c r="A2718" s="60"/>
      <c r="B2718" s="61" t="str">
        <f aca="false">IF($M2718=0,"",INDEX(Classes!$E$6:$E$420,$M2718))</f>
        <v/>
      </c>
      <c r="C2718" s="62" t="str">
        <f aca="false">IF($M2718=0,"",INDEX(Classes!$H$6:$H$420,$M2718))</f>
        <v/>
      </c>
      <c r="D2718" s="61" t="str">
        <f aca="false">IF($M2718=0,"",INDEX(Classes!$B$6:$B$420,$M2718))</f>
        <v/>
      </c>
      <c r="E2718" s="61" t="str">
        <f aca="false">IF($M2718=0,"",INDEX(Classes!$C$6:$C$420,$M2718))</f>
        <v/>
      </c>
      <c r="F2718" s="63"/>
      <c r="G2718" s="63"/>
      <c r="H2718" s="60"/>
      <c r="I2718" s="60"/>
      <c r="J2718" s="63"/>
      <c r="K2718" s="61" t="str">
        <f aca="false">IF($P2718=0,"",IF($F2718="Baseline","— Baseline",IF($O2718=0,"No result",IF($N2718=0,"No Start (attainment only)",IF(OR($N2718=1,$O2718=1),"U – needs rule",INDEX(MxBody,MATCH($I2718,MxCurr,0),MATCH($H2718,MxStart,0)))))))</f>
        <v/>
      </c>
      <c r="L2718" s="62" t="str">
        <f aca="false">IF(COUNTA($A2718,$F2718,$G2718,$H2718,$I2718,$J2718)=0,"",IF($M2718=0,"✖ كود الصف غير موجود",IF(ISNA(MATCH($F2718,Lists!$A$2:$A$5,0)),"✖ الفترة غير صحيحة",IF(ISNA(MATCH($G2718,Lists!$B$2:$B$7,0)),"✖ المجموعة غير صحيحة",IF(NOT(OR($H2718="",$N2718&gt;0)),"✖ Start غير صحيح",IF(NOT(OR($I2718="",$I2718="NR",$O2718&gt;0)),"✖ Current غير صحيح",IF(NOT(IF(ISNUMBER($J2718),AND($J2718&gt;=0,$J2718=INT($J2718)),FALSE())),"✖ العدد يجب أن يكون صحيحًا ≥ 0",IF(AND($F2718="Baseline",$H2718&lt;&gt;""),"⚠ Baseline: Start لا يدخل في التقدم",IF($K2718="No Start (attainment only)","ℹ تحصيل فقط (بدون Start)",IF($K2718="U – needs rule","ℹ حالة U تحتاج قاعدة معتمدة",IF($K2718="No result","ℹ بدون نتيجة (يُستبعد من التحصيل)","OK")))))))))))</f>
        <v/>
      </c>
      <c r="M2718" s="64" t="n">
        <f aca="false">IF($A2718="",0,IFERROR(MATCH($A2718,Classes!$A$6:$A$420,0),0))</f>
        <v>0</v>
      </c>
      <c r="N2718" s="64" t="n">
        <f aca="false">IF($H2718="",0,IFERROR(MATCH($H2718,GradeList,0),0))</f>
        <v>0</v>
      </c>
      <c r="O2718" s="64" t="n">
        <f aca="false">IF(OR($I2718="",$I2718="NR"),0,IFERROR(MATCH($I2718,GradeList,0),0))</f>
        <v>0</v>
      </c>
      <c r="P2718" s="64" t="n">
        <f aca="false">IF(AND($M2718&gt;0,ISNUMBER(MATCH($F2718,Lists!$A$2:$A$5,0)),ISNUMBER(MATCH($G2718,Lists!$B$2:$B$7,0)),OR($H2718="",$N2718&gt;0),OR($I2718="",$I2718="NR",$O2718&gt;0),IF(ISNUMBER($J2718),AND($J2718&gt;=0,$J2718=INT($J2718)),FALSE())),$J2718,0)</f>
        <v>0</v>
      </c>
      <c r="Q2718" s="64" t="n">
        <f aca="false">IF(AND($P2718&gt;0,$O2718&gt;0),$P2718,0)</f>
        <v>0</v>
      </c>
      <c r="R2718" s="64" t="n">
        <f aca="false">IF(AND($Q2718&gt;0,$O2718&gt;=AtRank),$Q2718,0)</f>
        <v>0</v>
      </c>
      <c r="S2718" s="64" t="n">
        <f aca="false">IF(AND($Q2718&gt;0,$O2718&gt;=AboveRank),$Q2718,0)</f>
        <v>0</v>
      </c>
      <c r="T2718" s="64" t="n">
        <f aca="false">IF($K2718="Less",$P2718,0)</f>
        <v>0</v>
      </c>
      <c r="U2718" s="64" t="n">
        <f aca="false">IF($K2718="Expected",$P2718,0)</f>
        <v>0</v>
      </c>
      <c r="V2718" s="64" t="n">
        <f aca="false">IF($K2718="Better",$P2718,0)</f>
        <v>0</v>
      </c>
      <c r="W2718" s="64" t="n">
        <f aca="false">IF($K2718="U – needs rule",$P2718,0)</f>
        <v>0</v>
      </c>
      <c r="X2718" s="64" t="n">
        <f aca="false">IF($K2718="No Start (attainment only)",$P2718,0)</f>
        <v>0</v>
      </c>
    </row>
    <row r="2719" customFormat="false" ht="15" hidden="false" customHeight="false" outlineLevel="0" collapsed="false">
      <c r="A2719" s="60"/>
      <c r="B2719" s="61" t="str">
        <f aca="false">IF($M2719=0,"",INDEX(Classes!$E$6:$E$420,$M2719))</f>
        <v/>
      </c>
      <c r="C2719" s="62" t="str">
        <f aca="false">IF($M2719=0,"",INDEX(Classes!$H$6:$H$420,$M2719))</f>
        <v/>
      </c>
      <c r="D2719" s="61" t="str">
        <f aca="false">IF($M2719=0,"",INDEX(Classes!$B$6:$B$420,$M2719))</f>
        <v/>
      </c>
      <c r="E2719" s="61" t="str">
        <f aca="false">IF($M2719=0,"",INDEX(Classes!$C$6:$C$420,$M2719))</f>
        <v/>
      </c>
      <c r="F2719" s="63"/>
      <c r="G2719" s="63"/>
      <c r="H2719" s="60"/>
      <c r="I2719" s="60"/>
      <c r="J2719" s="63"/>
      <c r="K2719" s="61" t="str">
        <f aca="false">IF($P2719=0,"",IF($F2719="Baseline","— Baseline",IF($O2719=0,"No result",IF($N2719=0,"No Start (attainment only)",IF(OR($N2719=1,$O2719=1),"U – needs rule",INDEX(MxBody,MATCH($I2719,MxCurr,0),MATCH($H2719,MxStart,0)))))))</f>
        <v/>
      </c>
      <c r="L2719" s="62" t="str">
        <f aca="false">IF(COUNTA($A2719,$F2719,$G2719,$H2719,$I2719,$J2719)=0,"",IF($M2719=0,"✖ كود الصف غير موجود",IF(ISNA(MATCH($F2719,Lists!$A$2:$A$5,0)),"✖ الفترة غير صحيحة",IF(ISNA(MATCH($G2719,Lists!$B$2:$B$7,0)),"✖ المجموعة غير صحيحة",IF(NOT(OR($H2719="",$N2719&gt;0)),"✖ Start غير صحيح",IF(NOT(OR($I2719="",$I2719="NR",$O2719&gt;0)),"✖ Current غير صحيح",IF(NOT(IF(ISNUMBER($J2719),AND($J2719&gt;=0,$J2719=INT($J2719)),FALSE())),"✖ العدد يجب أن يكون صحيحًا ≥ 0",IF(AND($F2719="Baseline",$H2719&lt;&gt;""),"⚠ Baseline: Start لا يدخل في التقدم",IF($K2719="No Start (attainment only)","ℹ تحصيل فقط (بدون Start)",IF($K2719="U – needs rule","ℹ حالة U تحتاج قاعدة معتمدة",IF($K2719="No result","ℹ بدون نتيجة (يُستبعد من التحصيل)","OK")))))))))))</f>
        <v/>
      </c>
      <c r="M2719" s="64" t="n">
        <f aca="false">IF($A2719="",0,IFERROR(MATCH($A2719,Classes!$A$6:$A$420,0),0))</f>
        <v>0</v>
      </c>
      <c r="N2719" s="64" t="n">
        <f aca="false">IF($H2719="",0,IFERROR(MATCH($H2719,GradeList,0),0))</f>
        <v>0</v>
      </c>
      <c r="O2719" s="64" t="n">
        <f aca="false">IF(OR($I2719="",$I2719="NR"),0,IFERROR(MATCH($I2719,GradeList,0),0))</f>
        <v>0</v>
      </c>
      <c r="P2719" s="64" t="n">
        <f aca="false">IF(AND($M2719&gt;0,ISNUMBER(MATCH($F2719,Lists!$A$2:$A$5,0)),ISNUMBER(MATCH($G2719,Lists!$B$2:$B$7,0)),OR($H2719="",$N2719&gt;0),OR($I2719="",$I2719="NR",$O2719&gt;0),IF(ISNUMBER($J2719),AND($J2719&gt;=0,$J2719=INT($J2719)),FALSE())),$J2719,0)</f>
        <v>0</v>
      </c>
      <c r="Q2719" s="64" t="n">
        <f aca="false">IF(AND($P2719&gt;0,$O2719&gt;0),$P2719,0)</f>
        <v>0</v>
      </c>
      <c r="R2719" s="64" t="n">
        <f aca="false">IF(AND($Q2719&gt;0,$O2719&gt;=AtRank),$Q2719,0)</f>
        <v>0</v>
      </c>
      <c r="S2719" s="64" t="n">
        <f aca="false">IF(AND($Q2719&gt;0,$O2719&gt;=AboveRank),$Q2719,0)</f>
        <v>0</v>
      </c>
      <c r="T2719" s="64" t="n">
        <f aca="false">IF($K2719="Less",$P2719,0)</f>
        <v>0</v>
      </c>
      <c r="U2719" s="64" t="n">
        <f aca="false">IF($K2719="Expected",$P2719,0)</f>
        <v>0</v>
      </c>
      <c r="V2719" s="64" t="n">
        <f aca="false">IF($K2719="Better",$P2719,0)</f>
        <v>0</v>
      </c>
      <c r="W2719" s="64" t="n">
        <f aca="false">IF($K2719="U – needs rule",$P2719,0)</f>
        <v>0</v>
      </c>
      <c r="X2719" s="64" t="n">
        <f aca="false">IF($K2719="No Start (attainment only)",$P2719,0)</f>
        <v>0</v>
      </c>
    </row>
    <row r="2720" customFormat="false" ht="15" hidden="false" customHeight="false" outlineLevel="0" collapsed="false">
      <c r="A2720" s="60"/>
      <c r="B2720" s="61" t="str">
        <f aca="false">IF($M2720=0,"",INDEX(Classes!$E$6:$E$420,$M2720))</f>
        <v/>
      </c>
      <c r="C2720" s="62" t="str">
        <f aca="false">IF($M2720=0,"",INDEX(Classes!$H$6:$H$420,$M2720))</f>
        <v/>
      </c>
      <c r="D2720" s="61" t="str">
        <f aca="false">IF($M2720=0,"",INDEX(Classes!$B$6:$B$420,$M2720))</f>
        <v/>
      </c>
      <c r="E2720" s="61" t="str">
        <f aca="false">IF($M2720=0,"",INDEX(Classes!$C$6:$C$420,$M2720))</f>
        <v/>
      </c>
      <c r="F2720" s="63"/>
      <c r="G2720" s="63"/>
      <c r="H2720" s="60"/>
      <c r="I2720" s="60"/>
      <c r="J2720" s="63"/>
      <c r="K2720" s="61" t="str">
        <f aca="false">IF($P2720=0,"",IF($F2720="Baseline","— Baseline",IF($O2720=0,"No result",IF($N2720=0,"No Start (attainment only)",IF(OR($N2720=1,$O2720=1),"U – needs rule",INDEX(MxBody,MATCH($I2720,MxCurr,0),MATCH($H2720,MxStart,0)))))))</f>
        <v/>
      </c>
      <c r="L2720" s="62" t="str">
        <f aca="false">IF(COUNTA($A2720,$F2720,$G2720,$H2720,$I2720,$J2720)=0,"",IF($M2720=0,"✖ كود الصف غير موجود",IF(ISNA(MATCH($F2720,Lists!$A$2:$A$5,0)),"✖ الفترة غير صحيحة",IF(ISNA(MATCH($G2720,Lists!$B$2:$B$7,0)),"✖ المجموعة غير صحيحة",IF(NOT(OR($H2720="",$N2720&gt;0)),"✖ Start غير صحيح",IF(NOT(OR($I2720="",$I2720="NR",$O2720&gt;0)),"✖ Current غير صحيح",IF(NOT(IF(ISNUMBER($J2720),AND($J2720&gt;=0,$J2720=INT($J2720)),FALSE())),"✖ العدد يجب أن يكون صحيحًا ≥ 0",IF(AND($F2720="Baseline",$H2720&lt;&gt;""),"⚠ Baseline: Start لا يدخل في التقدم",IF($K2720="No Start (attainment only)","ℹ تحصيل فقط (بدون Start)",IF($K2720="U – needs rule","ℹ حالة U تحتاج قاعدة معتمدة",IF($K2720="No result","ℹ بدون نتيجة (يُستبعد من التحصيل)","OK")))))))))))</f>
        <v/>
      </c>
      <c r="M2720" s="64" t="n">
        <f aca="false">IF($A2720="",0,IFERROR(MATCH($A2720,Classes!$A$6:$A$420,0),0))</f>
        <v>0</v>
      </c>
      <c r="N2720" s="64" t="n">
        <f aca="false">IF($H2720="",0,IFERROR(MATCH($H2720,GradeList,0),0))</f>
        <v>0</v>
      </c>
      <c r="O2720" s="64" t="n">
        <f aca="false">IF(OR($I2720="",$I2720="NR"),0,IFERROR(MATCH($I2720,GradeList,0),0))</f>
        <v>0</v>
      </c>
      <c r="P2720" s="64" t="n">
        <f aca="false">IF(AND($M2720&gt;0,ISNUMBER(MATCH($F2720,Lists!$A$2:$A$5,0)),ISNUMBER(MATCH($G2720,Lists!$B$2:$B$7,0)),OR($H2720="",$N2720&gt;0),OR($I2720="",$I2720="NR",$O2720&gt;0),IF(ISNUMBER($J2720),AND($J2720&gt;=0,$J2720=INT($J2720)),FALSE())),$J2720,0)</f>
        <v>0</v>
      </c>
      <c r="Q2720" s="64" t="n">
        <f aca="false">IF(AND($P2720&gt;0,$O2720&gt;0),$P2720,0)</f>
        <v>0</v>
      </c>
      <c r="R2720" s="64" t="n">
        <f aca="false">IF(AND($Q2720&gt;0,$O2720&gt;=AtRank),$Q2720,0)</f>
        <v>0</v>
      </c>
      <c r="S2720" s="64" t="n">
        <f aca="false">IF(AND($Q2720&gt;0,$O2720&gt;=AboveRank),$Q2720,0)</f>
        <v>0</v>
      </c>
      <c r="T2720" s="64" t="n">
        <f aca="false">IF($K2720="Less",$P2720,0)</f>
        <v>0</v>
      </c>
      <c r="U2720" s="64" t="n">
        <f aca="false">IF($K2720="Expected",$P2720,0)</f>
        <v>0</v>
      </c>
      <c r="V2720" s="64" t="n">
        <f aca="false">IF($K2720="Better",$P2720,0)</f>
        <v>0</v>
      </c>
      <c r="W2720" s="64" t="n">
        <f aca="false">IF($K2720="U – needs rule",$P2720,0)</f>
        <v>0</v>
      </c>
      <c r="X2720" s="64" t="n">
        <f aca="false">IF($K2720="No Start (attainment only)",$P2720,0)</f>
        <v>0</v>
      </c>
    </row>
    <row r="2721" customFormat="false" ht="15" hidden="false" customHeight="false" outlineLevel="0" collapsed="false">
      <c r="A2721" s="60"/>
      <c r="B2721" s="61" t="str">
        <f aca="false">IF($M2721=0,"",INDEX(Classes!$E$6:$E$420,$M2721))</f>
        <v/>
      </c>
      <c r="C2721" s="62" t="str">
        <f aca="false">IF($M2721=0,"",INDEX(Classes!$H$6:$H$420,$M2721))</f>
        <v/>
      </c>
      <c r="D2721" s="61" t="str">
        <f aca="false">IF($M2721=0,"",INDEX(Classes!$B$6:$B$420,$M2721))</f>
        <v/>
      </c>
      <c r="E2721" s="61" t="str">
        <f aca="false">IF($M2721=0,"",INDEX(Classes!$C$6:$C$420,$M2721))</f>
        <v/>
      </c>
      <c r="F2721" s="63"/>
      <c r="G2721" s="63"/>
      <c r="H2721" s="60"/>
      <c r="I2721" s="60"/>
      <c r="J2721" s="63"/>
      <c r="K2721" s="61" t="str">
        <f aca="false">IF($P2721=0,"",IF($F2721="Baseline","— Baseline",IF($O2721=0,"No result",IF($N2721=0,"No Start (attainment only)",IF(OR($N2721=1,$O2721=1),"U – needs rule",INDEX(MxBody,MATCH($I2721,MxCurr,0),MATCH($H2721,MxStart,0)))))))</f>
        <v/>
      </c>
      <c r="L2721" s="62" t="str">
        <f aca="false">IF(COUNTA($A2721,$F2721,$G2721,$H2721,$I2721,$J2721)=0,"",IF($M2721=0,"✖ كود الصف غير موجود",IF(ISNA(MATCH($F2721,Lists!$A$2:$A$5,0)),"✖ الفترة غير صحيحة",IF(ISNA(MATCH($G2721,Lists!$B$2:$B$7,0)),"✖ المجموعة غير صحيحة",IF(NOT(OR($H2721="",$N2721&gt;0)),"✖ Start غير صحيح",IF(NOT(OR($I2721="",$I2721="NR",$O2721&gt;0)),"✖ Current غير صحيح",IF(NOT(IF(ISNUMBER($J2721),AND($J2721&gt;=0,$J2721=INT($J2721)),FALSE())),"✖ العدد يجب أن يكون صحيحًا ≥ 0",IF(AND($F2721="Baseline",$H2721&lt;&gt;""),"⚠ Baseline: Start لا يدخل في التقدم",IF($K2721="No Start (attainment only)","ℹ تحصيل فقط (بدون Start)",IF($K2721="U – needs rule","ℹ حالة U تحتاج قاعدة معتمدة",IF($K2721="No result","ℹ بدون نتيجة (يُستبعد من التحصيل)","OK")))))))))))</f>
        <v/>
      </c>
      <c r="M2721" s="64" t="n">
        <f aca="false">IF($A2721="",0,IFERROR(MATCH($A2721,Classes!$A$6:$A$420,0),0))</f>
        <v>0</v>
      </c>
      <c r="N2721" s="64" t="n">
        <f aca="false">IF($H2721="",0,IFERROR(MATCH($H2721,GradeList,0),0))</f>
        <v>0</v>
      </c>
      <c r="O2721" s="64" t="n">
        <f aca="false">IF(OR($I2721="",$I2721="NR"),0,IFERROR(MATCH($I2721,GradeList,0),0))</f>
        <v>0</v>
      </c>
      <c r="P2721" s="64" t="n">
        <f aca="false">IF(AND($M2721&gt;0,ISNUMBER(MATCH($F2721,Lists!$A$2:$A$5,0)),ISNUMBER(MATCH($G2721,Lists!$B$2:$B$7,0)),OR($H2721="",$N2721&gt;0),OR($I2721="",$I2721="NR",$O2721&gt;0),IF(ISNUMBER($J2721),AND($J2721&gt;=0,$J2721=INT($J2721)),FALSE())),$J2721,0)</f>
        <v>0</v>
      </c>
      <c r="Q2721" s="64" t="n">
        <f aca="false">IF(AND($P2721&gt;0,$O2721&gt;0),$P2721,0)</f>
        <v>0</v>
      </c>
      <c r="R2721" s="64" t="n">
        <f aca="false">IF(AND($Q2721&gt;0,$O2721&gt;=AtRank),$Q2721,0)</f>
        <v>0</v>
      </c>
      <c r="S2721" s="64" t="n">
        <f aca="false">IF(AND($Q2721&gt;0,$O2721&gt;=AboveRank),$Q2721,0)</f>
        <v>0</v>
      </c>
      <c r="T2721" s="64" t="n">
        <f aca="false">IF($K2721="Less",$P2721,0)</f>
        <v>0</v>
      </c>
      <c r="U2721" s="64" t="n">
        <f aca="false">IF($K2721="Expected",$P2721,0)</f>
        <v>0</v>
      </c>
      <c r="V2721" s="64" t="n">
        <f aca="false">IF($K2721="Better",$P2721,0)</f>
        <v>0</v>
      </c>
      <c r="W2721" s="64" t="n">
        <f aca="false">IF($K2721="U – needs rule",$P2721,0)</f>
        <v>0</v>
      </c>
      <c r="X2721" s="64" t="n">
        <f aca="false">IF($K2721="No Start (attainment only)",$P2721,0)</f>
        <v>0</v>
      </c>
    </row>
    <row r="2722" customFormat="false" ht="15" hidden="false" customHeight="false" outlineLevel="0" collapsed="false">
      <c r="A2722" s="60"/>
      <c r="B2722" s="61" t="str">
        <f aca="false">IF($M2722=0,"",INDEX(Classes!$E$6:$E$420,$M2722))</f>
        <v/>
      </c>
      <c r="C2722" s="62" t="str">
        <f aca="false">IF($M2722=0,"",INDEX(Classes!$H$6:$H$420,$M2722))</f>
        <v/>
      </c>
      <c r="D2722" s="61" t="str">
        <f aca="false">IF($M2722=0,"",INDEX(Classes!$B$6:$B$420,$M2722))</f>
        <v/>
      </c>
      <c r="E2722" s="61" t="str">
        <f aca="false">IF($M2722=0,"",INDEX(Classes!$C$6:$C$420,$M2722))</f>
        <v/>
      </c>
      <c r="F2722" s="63"/>
      <c r="G2722" s="63"/>
      <c r="H2722" s="60"/>
      <c r="I2722" s="60"/>
      <c r="J2722" s="63"/>
      <c r="K2722" s="61" t="str">
        <f aca="false">IF($P2722=0,"",IF($F2722="Baseline","— Baseline",IF($O2722=0,"No result",IF($N2722=0,"No Start (attainment only)",IF(OR($N2722=1,$O2722=1),"U – needs rule",INDEX(MxBody,MATCH($I2722,MxCurr,0),MATCH($H2722,MxStart,0)))))))</f>
        <v/>
      </c>
      <c r="L2722" s="62" t="str">
        <f aca="false">IF(COUNTA($A2722,$F2722,$G2722,$H2722,$I2722,$J2722)=0,"",IF($M2722=0,"✖ كود الصف غير موجود",IF(ISNA(MATCH($F2722,Lists!$A$2:$A$5,0)),"✖ الفترة غير صحيحة",IF(ISNA(MATCH($G2722,Lists!$B$2:$B$7,0)),"✖ المجموعة غير صحيحة",IF(NOT(OR($H2722="",$N2722&gt;0)),"✖ Start غير صحيح",IF(NOT(OR($I2722="",$I2722="NR",$O2722&gt;0)),"✖ Current غير صحيح",IF(NOT(IF(ISNUMBER($J2722),AND($J2722&gt;=0,$J2722=INT($J2722)),FALSE())),"✖ العدد يجب أن يكون صحيحًا ≥ 0",IF(AND($F2722="Baseline",$H2722&lt;&gt;""),"⚠ Baseline: Start لا يدخل في التقدم",IF($K2722="No Start (attainment only)","ℹ تحصيل فقط (بدون Start)",IF($K2722="U – needs rule","ℹ حالة U تحتاج قاعدة معتمدة",IF($K2722="No result","ℹ بدون نتيجة (يُستبعد من التحصيل)","OK")))))))))))</f>
        <v/>
      </c>
      <c r="M2722" s="64" t="n">
        <f aca="false">IF($A2722="",0,IFERROR(MATCH($A2722,Classes!$A$6:$A$420,0),0))</f>
        <v>0</v>
      </c>
      <c r="N2722" s="64" t="n">
        <f aca="false">IF($H2722="",0,IFERROR(MATCH($H2722,GradeList,0),0))</f>
        <v>0</v>
      </c>
      <c r="O2722" s="64" t="n">
        <f aca="false">IF(OR($I2722="",$I2722="NR"),0,IFERROR(MATCH($I2722,GradeList,0),0))</f>
        <v>0</v>
      </c>
      <c r="P2722" s="64" t="n">
        <f aca="false">IF(AND($M2722&gt;0,ISNUMBER(MATCH($F2722,Lists!$A$2:$A$5,0)),ISNUMBER(MATCH($G2722,Lists!$B$2:$B$7,0)),OR($H2722="",$N2722&gt;0),OR($I2722="",$I2722="NR",$O2722&gt;0),IF(ISNUMBER($J2722),AND($J2722&gt;=0,$J2722=INT($J2722)),FALSE())),$J2722,0)</f>
        <v>0</v>
      </c>
      <c r="Q2722" s="64" t="n">
        <f aca="false">IF(AND($P2722&gt;0,$O2722&gt;0),$P2722,0)</f>
        <v>0</v>
      </c>
      <c r="R2722" s="64" t="n">
        <f aca="false">IF(AND($Q2722&gt;0,$O2722&gt;=AtRank),$Q2722,0)</f>
        <v>0</v>
      </c>
      <c r="S2722" s="64" t="n">
        <f aca="false">IF(AND($Q2722&gt;0,$O2722&gt;=AboveRank),$Q2722,0)</f>
        <v>0</v>
      </c>
      <c r="T2722" s="64" t="n">
        <f aca="false">IF($K2722="Less",$P2722,0)</f>
        <v>0</v>
      </c>
      <c r="U2722" s="64" t="n">
        <f aca="false">IF($K2722="Expected",$P2722,0)</f>
        <v>0</v>
      </c>
      <c r="V2722" s="64" t="n">
        <f aca="false">IF($K2722="Better",$P2722,0)</f>
        <v>0</v>
      </c>
      <c r="W2722" s="64" t="n">
        <f aca="false">IF($K2722="U – needs rule",$P2722,0)</f>
        <v>0</v>
      </c>
      <c r="X2722" s="64" t="n">
        <f aca="false">IF($K2722="No Start (attainment only)",$P2722,0)</f>
        <v>0</v>
      </c>
    </row>
    <row r="2723" customFormat="false" ht="15" hidden="false" customHeight="false" outlineLevel="0" collapsed="false">
      <c r="A2723" s="60"/>
      <c r="B2723" s="61" t="str">
        <f aca="false">IF($M2723=0,"",INDEX(Classes!$E$6:$E$420,$M2723))</f>
        <v/>
      </c>
      <c r="C2723" s="62" t="str">
        <f aca="false">IF($M2723=0,"",INDEX(Classes!$H$6:$H$420,$M2723))</f>
        <v/>
      </c>
      <c r="D2723" s="61" t="str">
        <f aca="false">IF($M2723=0,"",INDEX(Classes!$B$6:$B$420,$M2723))</f>
        <v/>
      </c>
      <c r="E2723" s="61" t="str">
        <f aca="false">IF($M2723=0,"",INDEX(Classes!$C$6:$C$420,$M2723))</f>
        <v/>
      </c>
      <c r="F2723" s="63"/>
      <c r="G2723" s="63"/>
      <c r="H2723" s="60"/>
      <c r="I2723" s="60"/>
      <c r="J2723" s="63"/>
      <c r="K2723" s="61" t="str">
        <f aca="false">IF($P2723=0,"",IF($F2723="Baseline","— Baseline",IF($O2723=0,"No result",IF($N2723=0,"No Start (attainment only)",IF(OR($N2723=1,$O2723=1),"U – needs rule",INDEX(MxBody,MATCH($I2723,MxCurr,0),MATCH($H2723,MxStart,0)))))))</f>
        <v/>
      </c>
      <c r="L2723" s="62" t="str">
        <f aca="false">IF(COUNTA($A2723,$F2723,$G2723,$H2723,$I2723,$J2723)=0,"",IF($M2723=0,"✖ كود الصف غير موجود",IF(ISNA(MATCH($F2723,Lists!$A$2:$A$5,0)),"✖ الفترة غير صحيحة",IF(ISNA(MATCH($G2723,Lists!$B$2:$B$7,0)),"✖ المجموعة غير صحيحة",IF(NOT(OR($H2723="",$N2723&gt;0)),"✖ Start غير صحيح",IF(NOT(OR($I2723="",$I2723="NR",$O2723&gt;0)),"✖ Current غير صحيح",IF(NOT(IF(ISNUMBER($J2723),AND($J2723&gt;=0,$J2723=INT($J2723)),FALSE())),"✖ العدد يجب أن يكون صحيحًا ≥ 0",IF(AND($F2723="Baseline",$H2723&lt;&gt;""),"⚠ Baseline: Start لا يدخل في التقدم",IF($K2723="No Start (attainment only)","ℹ تحصيل فقط (بدون Start)",IF($K2723="U – needs rule","ℹ حالة U تحتاج قاعدة معتمدة",IF($K2723="No result","ℹ بدون نتيجة (يُستبعد من التحصيل)","OK")))))))))))</f>
        <v/>
      </c>
      <c r="M2723" s="64" t="n">
        <f aca="false">IF($A2723="",0,IFERROR(MATCH($A2723,Classes!$A$6:$A$420,0),0))</f>
        <v>0</v>
      </c>
      <c r="N2723" s="64" t="n">
        <f aca="false">IF($H2723="",0,IFERROR(MATCH($H2723,GradeList,0),0))</f>
        <v>0</v>
      </c>
      <c r="O2723" s="64" t="n">
        <f aca="false">IF(OR($I2723="",$I2723="NR"),0,IFERROR(MATCH($I2723,GradeList,0),0))</f>
        <v>0</v>
      </c>
      <c r="P2723" s="64" t="n">
        <f aca="false">IF(AND($M2723&gt;0,ISNUMBER(MATCH($F2723,Lists!$A$2:$A$5,0)),ISNUMBER(MATCH($G2723,Lists!$B$2:$B$7,0)),OR($H2723="",$N2723&gt;0),OR($I2723="",$I2723="NR",$O2723&gt;0),IF(ISNUMBER($J2723),AND($J2723&gt;=0,$J2723=INT($J2723)),FALSE())),$J2723,0)</f>
        <v>0</v>
      </c>
      <c r="Q2723" s="64" t="n">
        <f aca="false">IF(AND($P2723&gt;0,$O2723&gt;0),$P2723,0)</f>
        <v>0</v>
      </c>
      <c r="R2723" s="64" t="n">
        <f aca="false">IF(AND($Q2723&gt;0,$O2723&gt;=AtRank),$Q2723,0)</f>
        <v>0</v>
      </c>
      <c r="S2723" s="64" t="n">
        <f aca="false">IF(AND($Q2723&gt;0,$O2723&gt;=AboveRank),$Q2723,0)</f>
        <v>0</v>
      </c>
      <c r="T2723" s="64" t="n">
        <f aca="false">IF($K2723="Less",$P2723,0)</f>
        <v>0</v>
      </c>
      <c r="U2723" s="64" t="n">
        <f aca="false">IF($K2723="Expected",$P2723,0)</f>
        <v>0</v>
      </c>
      <c r="V2723" s="64" t="n">
        <f aca="false">IF($K2723="Better",$P2723,0)</f>
        <v>0</v>
      </c>
      <c r="W2723" s="64" t="n">
        <f aca="false">IF($K2723="U – needs rule",$P2723,0)</f>
        <v>0</v>
      </c>
      <c r="X2723" s="64" t="n">
        <f aca="false">IF($K2723="No Start (attainment only)",$P2723,0)</f>
        <v>0</v>
      </c>
    </row>
    <row r="2724" customFormat="false" ht="15" hidden="false" customHeight="false" outlineLevel="0" collapsed="false">
      <c r="A2724" s="60"/>
      <c r="B2724" s="61" t="str">
        <f aca="false">IF($M2724=0,"",INDEX(Classes!$E$6:$E$420,$M2724))</f>
        <v/>
      </c>
      <c r="C2724" s="62" t="str">
        <f aca="false">IF($M2724=0,"",INDEX(Classes!$H$6:$H$420,$M2724))</f>
        <v/>
      </c>
      <c r="D2724" s="61" t="str">
        <f aca="false">IF($M2724=0,"",INDEX(Classes!$B$6:$B$420,$M2724))</f>
        <v/>
      </c>
      <c r="E2724" s="61" t="str">
        <f aca="false">IF($M2724=0,"",INDEX(Classes!$C$6:$C$420,$M2724))</f>
        <v/>
      </c>
      <c r="F2724" s="63"/>
      <c r="G2724" s="63"/>
      <c r="H2724" s="60"/>
      <c r="I2724" s="60"/>
      <c r="J2724" s="63"/>
      <c r="K2724" s="61" t="str">
        <f aca="false">IF($P2724=0,"",IF($F2724="Baseline","— Baseline",IF($O2724=0,"No result",IF($N2724=0,"No Start (attainment only)",IF(OR($N2724=1,$O2724=1),"U – needs rule",INDEX(MxBody,MATCH($I2724,MxCurr,0),MATCH($H2724,MxStart,0)))))))</f>
        <v/>
      </c>
      <c r="L2724" s="62" t="str">
        <f aca="false">IF(COUNTA($A2724,$F2724,$G2724,$H2724,$I2724,$J2724)=0,"",IF($M2724=0,"✖ كود الصف غير موجود",IF(ISNA(MATCH($F2724,Lists!$A$2:$A$5,0)),"✖ الفترة غير صحيحة",IF(ISNA(MATCH($G2724,Lists!$B$2:$B$7,0)),"✖ المجموعة غير صحيحة",IF(NOT(OR($H2724="",$N2724&gt;0)),"✖ Start غير صحيح",IF(NOT(OR($I2724="",$I2724="NR",$O2724&gt;0)),"✖ Current غير صحيح",IF(NOT(IF(ISNUMBER($J2724),AND($J2724&gt;=0,$J2724=INT($J2724)),FALSE())),"✖ العدد يجب أن يكون صحيحًا ≥ 0",IF(AND($F2724="Baseline",$H2724&lt;&gt;""),"⚠ Baseline: Start لا يدخل في التقدم",IF($K2724="No Start (attainment only)","ℹ تحصيل فقط (بدون Start)",IF($K2724="U – needs rule","ℹ حالة U تحتاج قاعدة معتمدة",IF($K2724="No result","ℹ بدون نتيجة (يُستبعد من التحصيل)","OK")))))))))))</f>
        <v/>
      </c>
      <c r="M2724" s="64" t="n">
        <f aca="false">IF($A2724="",0,IFERROR(MATCH($A2724,Classes!$A$6:$A$420,0),0))</f>
        <v>0</v>
      </c>
      <c r="N2724" s="64" t="n">
        <f aca="false">IF($H2724="",0,IFERROR(MATCH($H2724,GradeList,0),0))</f>
        <v>0</v>
      </c>
      <c r="O2724" s="64" t="n">
        <f aca="false">IF(OR($I2724="",$I2724="NR"),0,IFERROR(MATCH($I2724,GradeList,0),0))</f>
        <v>0</v>
      </c>
      <c r="P2724" s="64" t="n">
        <f aca="false">IF(AND($M2724&gt;0,ISNUMBER(MATCH($F2724,Lists!$A$2:$A$5,0)),ISNUMBER(MATCH($G2724,Lists!$B$2:$B$7,0)),OR($H2724="",$N2724&gt;0),OR($I2724="",$I2724="NR",$O2724&gt;0),IF(ISNUMBER($J2724),AND($J2724&gt;=0,$J2724=INT($J2724)),FALSE())),$J2724,0)</f>
        <v>0</v>
      </c>
      <c r="Q2724" s="64" t="n">
        <f aca="false">IF(AND($P2724&gt;0,$O2724&gt;0),$P2724,0)</f>
        <v>0</v>
      </c>
      <c r="R2724" s="64" t="n">
        <f aca="false">IF(AND($Q2724&gt;0,$O2724&gt;=AtRank),$Q2724,0)</f>
        <v>0</v>
      </c>
      <c r="S2724" s="64" t="n">
        <f aca="false">IF(AND($Q2724&gt;0,$O2724&gt;=AboveRank),$Q2724,0)</f>
        <v>0</v>
      </c>
      <c r="T2724" s="64" t="n">
        <f aca="false">IF($K2724="Less",$P2724,0)</f>
        <v>0</v>
      </c>
      <c r="U2724" s="64" t="n">
        <f aca="false">IF($K2724="Expected",$P2724,0)</f>
        <v>0</v>
      </c>
      <c r="V2724" s="64" t="n">
        <f aca="false">IF($K2724="Better",$P2724,0)</f>
        <v>0</v>
      </c>
      <c r="W2724" s="64" t="n">
        <f aca="false">IF($K2724="U – needs rule",$P2724,0)</f>
        <v>0</v>
      </c>
      <c r="X2724" s="64" t="n">
        <f aca="false">IF($K2724="No Start (attainment only)",$P2724,0)</f>
        <v>0</v>
      </c>
    </row>
    <row r="2725" customFormat="false" ht="15" hidden="false" customHeight="false" outlineLevel="0" collapsed="false">
      <c r="A2725" s="60"/>
      <c r="B2725" s="61" t="str">
        <f aca="false">IF($M2725=0,"",INDEX(Classes!$E$6:$E$420,$M2725))</f>
        <v/>
      </c>
      <c r="C2725" s="62" t="str">
        <f aca="false">IF($M2725=0,"",INDEX(Classes!$H$6:$H$420,$M2725))</f>
        <v/>
      </c>
      <c r="D2725" s="61" t="str">
        <f aca="false">IF($M2725=0,"",INDEX(Classes!$B$6:$B$420,$M2725))</f>
        <v/>
      </c>
      <c r="E2725" s="61" t="str">
        <f aca="false">IF($M2725=0,"",INDEX(Classes!$C$6:$C$420,$M2725))</f>
        <v/>
      </c>
      <c r="F2725" s="63"/>
      <c r="G2725" s="63"/>
      <c r="H2725" s="60"/>
      <c r="I2725" s="60"/>
      <c r="J2725" s="63"/>
      <c r="K2725" s="61" t="str">
        <f aca="false">IF($P2725=0,"",IF($F2725="Baseline","— Baseline",IF($O2725=0,"No result",IF($N2725=0,"No Start (attainment only)",IF(OR($N2725=1,$O2725=1),"U – needs rule",INDEX(MxBody,MATCH($I2725,MxCurr,0),MATCH($H2725,MxStart,0)))))))</f>
        <v/>
      </c>
      <c r="L2725" s="62" t="str">
        <f aca="false">IF(COUNTA($A2725,$F2725,$G2725,$H2725,$I2725,$J2725)=0,"",IF($M2725=0,"✖ كود الصف غير موجود",IF(ISNA(MATCH($F2725,Lists!$A$2:$A$5,0)),"✖ الفترة غير صحيحة",IF(ISNA(MATCH($G2725,Lists!$B$2:$B$7,0)),"✖ المجموعة غير صحيحة",IF(NOT(OR($H2725="",$N2725&gt;0)),"✖ Start غير صحيح",IF(NOT(OR($I2725="",$I2725="NR",$O2725&gt;0)),"✖ Current غير صحيح",IF(NOT(IF(ISNUMBER($J2725),AND($J2725&gt;=0,$J2725=INT($J2725)),FALSE())),"✖ العدد يجب أن يكون صحيحًا ≥ 0",IF(AND($F2725="Baseline",$H2725&lt;&gt;""),"⚠ Baseline: Start لا يدخل في التقدم",IF($K2725="No Start (attainment only)","ℹ تحصيل فقط (بدون Start)",IF($K2725="U – needs rule","ℹ حالة U تحتاج قاعدة معتمدة",IF($K2725="No result","ℹ بدون نتيجة (يُستبعد من التحصيل)","OK")))))))))))</f>
        <v/>
      </c>
      <c r="M2725" s="64" t="n">
        <f aca="false">IF($A2725="",0,IFERROR(MATCH($A2725,Classes!$A$6:$A$420,0),0))</f>
        <v>0</v>
      </c>
      <c r="N2725" s="64" t="n">
        <f aca="false">IF($H2725="",0,IFERROR(MATCH($H2725,GradeList,0),0))</f>
        <v>0</v>
      </c>
      <c r="O2725" s="64" t="n">
        <f aca="false">IF(OR($I2725="",$I2725="NR"),0,IFERROR(MATCH($I2725,GradeList,0),0))</f>
        <v>0</v>
      </c>
      <c r="P2725" s="64" t="n">
        <f aca="false">IF(AND($M2725&gt;0,ISNUMBER(MATCH($F2725,Lists!$A$2:$A$5,0)),ISNUMBER(MATCH($G2725,Lists!$B$2:$B$7,0)),OR($H2725="",$N2725&gt;0),OR($I2725="",$I2725="NR",$O2725&gt;0),IF(ISNUMBER($J2725),AND($J2725&gt;=0,$J2725=INT($J2725)),FALSE())),$J2725,0)</f>
        <v>0</v>
      </c>
      <c r="Q2725" s="64" t="n">
        <f aca="false">IF(AND($P2725&gt;0,$O2725&gt;0),$P2725,0)</f>
        <v>0</v>
      </c>
      <c r="R2725" s="64" t="n">
        <f aca="false">IF(AND($Q2725&gt;0,$O2725&gt;=AtRank),$Q2725,0)</f>
        <v>0</v>
      </c>
      <c r="S2725" s="64" t="n">
        <f aca="false">IF(AND($Q2725&gt;0,$O2725&gt;=AboveRank),$Q2725,0)</f>
        <v>0</v>
      </c>
      <c r="T2725" s="64" t="n">
        <f aca="false">IF($K2725="Less",$P2725,0)</f>
        <v>0</v>
      </c>
      <c r="U2725" s="64" t="n">
        <f aca="false">IF($K2725="Expected",$P2725,0)</f>
        <v>0</v>
      </c>
      <c r="V2725" s="64" t="n">
        <f aca="false">IF($K2725="Better",$P2725,0)</f>
        <v>0</v>
      </c>
      <c r="W2725" s="64" t="n">
        <f aca="false">IF($K2725="U – needs rule",$P2725,0)</f>
        <v>0</v>
      </c>
      <c r="X2725" s="64" t="n">
        <f aca="false">IF($K2725="No Start (attainment only)",$P2725,0)</f>
        <v>0</v>
      </c>
    </row>
    <row r="2726" customFormat="false" ht="15" hidden="false" customHeight="false" outlineLevel="0" collapsed="false">
      <c r="A2726" s="60"/>
      <c r="B2726" s="61" t="str">
        <f aca="false">IF($M2726=0,"",INDEX(Classes!$E$6:$E$420,$M2726))</f>
        <v/>
      </c>
      <c r="C2726" s="62" t="str">
        <f aca="false">IF($M2726=0,"",INDEX(Classes!$H$6:$H$420,$M2726))</f>
        <v/>
      </c>
      <c r="D2726" s="61" t="str">
        <f aca="false">IF($M2726=0,"",INDEX(Classes!$B$6:$B$420,$M2726))</f>
        <v/>
      </c>
      <c r="E2726" s="61" t="str">
        <f aca="false">IF($M2726=0,"",INDEX(Classes!$C$6:$C$420,$M2726))</f>
        <v/>
      </c>
      <c r="F2726" s="63"/>
      <c r="G2726" s="63"/>
      <c r="H2726" s="60"/>
      <c r="I2726" s="60"/>
      <c r="J2726" s="63"/>
      <c r="K2726" s="61" t="str">
        <f aca="false">IF($P2726=0,"",IF($F2726="Baseline","— Baseline",IF($O2726=0,"No result",IF($N2726=0,"No Start (attainment only)",IF(OR($N2726=1,$O2726=1),"U – needs rule",INDEX(MxBody,MATCH($I2726,MxCurr,0),MATCH($H2726,MxStart,0)))))))</f>
        <v/>
      </c>
      <c r="L2726" s="62" t="str">
        <f aca="false">IF(COUNTA($A2726,$F2726,$G2726,$H2726,$I2726,$J2726)=0,"",IF($M2726=0,"✖ كود الصف غير موجود",IF(ISNA(MATCH($F2726,Lists!$A$2:$A$5,0)),"✖ الفترة غير صحيحة",IF(ISNA(MATCH($G2726,Lists!$B$2:$B$7,0)),"✖ المجموعة غير صحيحة",IF(NOT(OR($H2726="",$N2726&gt;0)),"✖ Start غير صحيح",IF(NOT(OR($I2726="",$I2726="NR",$O2726&gt;0)),"✖ Current غير صحيح",IF(NOT(IF(ISNUMBER($J2726),AND($J2726&gt;=0,$J2726=INT($J2726)),FALSE())),"✖ العدد يجب أن يكون صحيحًا ≥ 0",IF(AND($F2726="Baseline",$H2726&lt;&gt;""),"⚠ Baseline: Start لا يدخل في التقدم",IF($K2726="No Start (attainment only)","ℹ تحصيل فقط (بدون Start)",IF($K2726="U – needs rule","ℹ حالة U تحتاج قاعدة معتمدة",IF($K2726="No result","ℹ بدون نتيجة (يُستبعد من التحصيل)","OK")))))))))))</f>
        <v/>
      </c>
      <c r="M2726" s="64" t="n">
        <f aca="false">IF($A2726="",0,IFERROR(MATCH($A2726,Classes!$A$6:$A$420,0),0))</f>
        <v>0</v>
      </c>
      <c r="N2726" s="64" t="n">
        <f aca="false">IF($H2726="",0,IFERROR(MATCH($H2726,GradeList,0),0))</f>
        <v>0</v>
      </c>
      <c r="O2726" s="64" t="n">
        <f aca="false">IF(OR($I2726="",$I2726="NR"),0,IFERROR(MATCH($I2726,GradeList,0),0))</f>
        <v>0</v>
      </c>
      <c r="P2726" s="64" t="n">
        <f aca="false">IF(AND($M2726&gt;0,ISNUMBER(MATCH($F2726,Lists!$A$2:$A$5,0)),ISNUMBER(MATCH($G2726,Lists!$B$2:$B$7,0)),OR($H2726="",$N2726&gt;0),OR($I2726="",$I2726="NR",$O2726&gt;0),IF(ISNUMBER($J2726),AND($J2726&gt;=0,$J2726=INT($J2726)),FALSE())),$J2726,0)</f>
        <v>0</v>
      </c>
      <c r="Q2726" s="64" t="n">
        <f aca="false">IF(AND($P2726&gt;0,$O2726&gt;0),$P2726,0)</f>
        <v>0</v>
      </c>
      <c r="R2726" s="64" t="n">
        <f aca="false">IF(AND($Q2726&gt;0,$O2726&gt;=AtRank),$Q2726,0)</f>
        <v>0</v>
      </c>
      <c r="S2726" s="64" t="n">
        <f aca="false">IF(AND($Q2726&gt;0,$O2726&gt;=AboveRank),$Q2726,0)</f>
        <v>0</v>
      </c>
      <c r="T2726" s="64" t="n">
        <f aca="false">IF($K2726="Less",$P2726,0)</f>
        <v>0</v>
      </c>
      <c r="U2726" s="64" t="n">
        <f aca="false">IF($K2726="Expected",$P2726,0)</f>
        <v>0</v>
      </c>
      <c r="V2726" s="64" t="n">
        <f aca="false">IF($K2726="Better",$P2726,0)</f>
        <v>0</v>
      </c>
      <c r="W2726" s="64" t="n">
        <f aca="false">IF($K2726="U – needs rule",$P2726,0)</f>
        <v>0</v>
      </c>
      <c r="X2726" s="64" t="n">
        <f aca="false">IF($K2726="No Start (attainment only)",$P2726,0)</f>
        <v>0</v>
      </c>
    </row>
    <row r="2727" customFormat="false" ht="15" hidden="false" customHeight="false" outlineLevel="0" collapsed="false">
      <c r="A2727" s="60"/>
      <c r="B2727" s="61" t="str">
        <f aca="false">IF($M2727=0,"",INDEX(Classes!$E$6:$E$420,$M2727))</f>
        <v/>
      </c>
      <c r="C2727" s="62" t="str">
        <f aca="false">IF($M2727=0,"",INDEX(Classes!$H$6:$H$420,$M2727))</f>
        <v/>
      </c>
      <c r="D2727" s="61" t="str">
        <f aca="false">IF($M2727=0,"",INDEX(Classes!$B$6:$B$420,$M2727))</f>
        <v/>
      </c>
      <c r="E2727" s="61" t="str">
        <f aca="false">IF($M2727=0,"",INDEX(Classes!$C$6:$C$420,$M2727))</f>
        <v/>
      </c>
      <c r="F2727" s="63"/>
      <c r="G2727" s="63"/>
      <c r="H2727" s="60"/>
      <c r="I2727" s="60"/>
      <c r="J2727" s="63"/>
      <c r="K2727" s="61" t="str">
        <f aca="false">IF($P2727=0,"",IF($F2727="Baseline","— Baseline",IF($O2727=0,"No result",IF($N2727=0,"No Start (attainment only)",IF(OR($N2727=1,$O2727=1),"U – needs rule",INDEX(MxBody,MATCH($I2727,MxCurr,0),MATCH($H2727,MxStart,0)))))))</f>
        <v/>
      </c>
      <c r="L2727" s="62" t="str">
        <f aca="false">IF(COUNTA($A2727,$F2727,$G2727,$H2727,$I2727,$J2727)=0,"",IF($M2727=0,"✖ كود الصف غير موجود",IF(ISNA(MATCH($F2727,Lists!$A$2:$A$5,0)),"✖ الفترة غير صحيحة",IF(ISNA(MATCH($G2727,Lists!$B$2:$B$7,0)),"✖ المجموعة غير صحيحة",IF(NOT(OR($H2727="",$N2727&gt;0)),"✖ Start غير صحيح",IF(NOT(OR($I2727="",$I2727="NR",$O2727&gt;0)),"✖ Current غير صحيح",IF(NOT(IF(ISNUMBER($J2727),AND($J2727&gt;=0,$J2727=INT($J2727)),FALSE())),"✖ العدد يجب أن يكون صحيحًا ≥ 0",IF(AND($F2727="Baseline",$H2727&lt;&gt;""),"⚠ Baseline: Start لا يدخل في التقدم",IF($K2727="No Start (attainment only)","ℹ تحصيل فقط (بدون Start)",IF($K2727="U – needs rule","ℹ حالة U تحتاج قاعدة معتمدة",IF($K2727="No result","ℹ بدون نتيجة (يُستبعد من التحصيل)","OK")))))))))))</f>
        <v/>
      </c>
      <c r="M2727" s="64" t="n">
        <f aca="false">IF($A2727="",0,IFERROR(MATCH($A2727,Classes!$A$6:$A$420,0),0))</f>
        <v>0</v>
      </c>
      <c r="N2727" s="64" t="n">
        <f aca="false">IF($H2727="",0,IFERROR(MATCH($H2727,GradeList,0),0))</f>
        <v>0</v>
      </c>
      <c r="O2727" s="64" t="n">
        <f aca="false">IF(OR($I2727="",$I2727="NR"),0,IFERROR(MATCH($I2727,GradeList,0),0))</f>
        <v>0</v>
      </c>
      <c r="P2727" s="64" t="n">
        <f aca="false">IF(AND($M2727&gt;0,ISNUMBER(MATCH($F2727,Lists!$A$2:$A$5,0)),ISNUMBER(MATCH($G2727,Lists!$B$2:$B$7,0)),OR($H2727="",$N2727&gt;0),OR($I2727="",$I2727="NR",$O2727&gt;0),IF(ISNUMBER($J2727),AND($J2727&gt;=0,$J2727=INT($J2727)),FALSE())),$J2727,0)</f>
        <v>0</v>
      </c>
      <c r="Q2727" s="64" t="n">
        <f aca="false">IF(AND($P2727&gt;0,$O2727&gt;0),$P2727,0)</f>
        <v>0</v>
      </c>
      <c r="R2727" s="64" t="n">
        <f aca="false">IF(AND($Q2727&gt;0,$O2727&gt;=AtRank),$Q2727,0)</f>
        <v>0</v>
      </c>
      <c r="S2727" s="64" t="n">
        <f aca="false">IF(AND($Q2727&gt;0,$O2727&gt;=AboveRank),$Q2727,0)</f>
        <v>0</v>
      </c>
      <c r="T2727" s="64" t="n">
        <f aca="false">IF($K2727="Less",$P2727,0)</f>
        <v>0</v>
      </c>
      <c r="U2727" s="64" t="n">
        <f aca="false">IF($K2727="Expected",$P2727,0)</f>
        <v>0</v>
      </c>
      <c r="V2727" s="64" t="n">
        <f aca="false">IF($K2727="Better",$P2727,0)</f>
        <v>0</v>
      </c>
      <c r="W2727" s="64" t="n">
        <f aca="false">IF($K2727="U – needs rule",$P2727,0)</f>
        <v>0</v>
      </c>
      <c r="X2727" s="64" t="n">
        <f aca="false">IF($K2727="No Start (attainment only)",$P2727,0)</f>
        <v>0</v>
      </c>
    </row>
    <row r="2728" customFormat="false" ht="15" hidden="false" customHeight="false" outlineLevel="0" collapsed="false">
      <c r="A2728" s="60"/>
      <c r="B2728" s="61" t="str">
        <f aca="false">IF($M2728=0,"",INDEX(Classes!$E$6:$E$420,$M2728))</f>
        <v/>
      </c>
      <c r="C2728" s="62" t="str">
        <f aca="false">IF($M2728=0,"",INDEX(Classes!$H$6:$H$420,$M2728))</f>
        <v/>
      </c>
      <c r="D2728" s="61" t="str">
        <f aca="false">IF($M2728=0,"",INDEX(Classes!$B$6:$B$420,$M2728))</f>
        <v/>
      </c>
      <c r="E2728" s="61" t="str">
        <f aca="false">IF($M2728=0,"",INDEX(Classes!$C$6:$C$420,$M2728))</f>
        <v/>
      </c>
      <c r="F2728" s="63"/>
      <c r="G2728" s="63"/>
      <c r="H2728" s="60"/>
      <c r="I2728" s="60"/>
      <c r="J2728" s="63"/>
      <c r="K2728" s="61" t="str">
        <f aca="false">IF($P2728=0,"",IF($F2728="Baseline","— Baseline",IF($O2728=0,"No result",IF($N2728=0,"No Start (attainment only)",IF(OR($N2728=1,$O2728=1),"U – needs rule",INDEX(MxBody,MATCH($I2728,MxCurr,0),MATCH($H2728,MxStart,0)))))))</f>
        <v/>
      </c>
      <c r="L2728" s="62" t="str">
        <f aca="false">IF(COUNTA($A2728,$F2728,$G2728,$H2728,$I2728,$J2728)=0,"",IF($M2728=0,"✖ كود الصف غير موجود",IF(ISNA(MATCH($F2728,Lists!$A$2:$A$5,0)),"✖ الفترة غير صحيحة",IF(ISNA(MATCH($G2728,Lists!$B$2:$B$7,0)),"✖ المجموعة غير صحيحة",IF(NOT(OR($H2728="",$N2728&gt;0)),"✖ Start غير صحيح",IF(NOT(OR($I2728="",$I2728="NR",$O2728&gt;0)),"✖ Current غير صحيح",IF(NOT(IF(ISNUMBER($J2728),AND($J2728&gt;=0,$J2728=INT($J2728)),FALSE())),"✖ العدد يجب أن يكون صحيحًا ≥ 0",IF(AND($F2728="Baseline",$H2728&lt;&gt;""),"⚠ Baseline: Start لا يدخل في التقدم",IF($K2728="No Start (attainment only)","ℹ تحصيل فقط (بدون Start)",IF($K2728="U – needs rule","ℹ حالة U تحتاج قاعدة معتمدة",IF($K2728="No result","ℹ بدون نتيجة (يُستبعد من التحصيل)","OK")))))))))))</f>
        <v/>
      </c>
      <c r="M2728" s="64" t="n">
        <f aca="false">IF($A2728="",0,IFERROR(MATCH($A2728,Classes!$A$6:$A$420,0),0))</f>
        <v>0</v>
      </c>
      <c r="N2728" s="64" t="n">
        <f aca="false">IF($H2728="",0,IFERROR(MATCH($H2728,GradeList,0),0))</f>
        <v>0</v>
      </c>
      <c r="O2728" s="64" t="n">
        <f aca="false">IF(OR($I2728="",$I2728="NR"),0,IFERROR(MATCH($I2728,GradeList,0),0))</f>
        <v>0</v>
      </c>
      <c r="P2728" s="64" t="n">
        <f aca="false">IF(AND($M2728&gt;0,ISNUMBER(MATCH($F2728,Lists!$A$2:$A$5,0)),ISNUMBER(MATCH($G2728,Lists!$B$2:$B$7,0)),OR($H2728="",$N2728&gt;0),OR($I2728="",$I2728="NR",$O2728&gt;0),IF(ISNUMBER($J2728),AND($J2728&gt;=0,$J2728=INT($J2728)),FALSE())),$J2728,0)</f>
        <v>0</v>
      </c>
      <c r="Q2728" s="64" t="n">
        <f aca="false">IF(AND($P2728&gt;0,$O2728&gt;0),$P2728,0)</f>
        <v>0</v>
      </c>
      <c r="R2728" s="64" t="n">
        <f aca="false">IF(AND($Q2728&gt;0,$O2728&gt;=AtRank),$Q2728,0)</f>
        <v>0</v>
      </c>
      <c r="S2728" s="64" t="n">
        <f aca="false">IF(AND($Q2728&gt;0,$O2728&gt;=AboveRank),$Q2728,0)</f>
        <v>0</v>
      </c>
      <c r="T2728" s="64" t="n">
        <f aca="false">IF($K2728="Less",$P2728,0)</f>
        <v>0</v>
      </c>
      <c r="U2728" s="64" t="n">
        <f aca="false">IF($K2728="Expected",$P2728,0)</f>
        <v>0</v>
      </c>
      <c r="V2728" s="64" t="n">
        <f aca="false">IF($K2728="Better",$P2728,0)</f>
        <v>0</v>
      </c>
      <c r="W2728" s="64" t="n">
        <f aca="false">IF($K2728="U – needs rule",$P2728,0)</f>
        <v>0</v>
      </c>
      <c r="X2728" s="64" t="n">
        <f aca="false">IF($K2728="No Start (attainment only)",$P2728,0)</f>
        <v>0</v>
      </c>
    </row>
    <row r="2729" customFormat="false" ht="15" hidden="false" customHeight="false" outlineLevel="0" collapsed="false">
      <c r="A2729" s="60"/>
      <c r="B2729" s="61" t="str">
        <f aca="false">IF($M2729=0,"",INDEX(Classes!$E$6:$E$420,$M2729))</f>
        <v/>
      </c>
      <c r="C2729" s="62" t="str">
        <f aca="false">IF($M2729=0,"",INDEX(Classes!$H$6:$H$420,$M2729))</f>
        <v/>
      </c>
      <c r="D2729" s="61" t="str">
        <f aca="false">IF($M2729=0,"",INDEX(Classes!$B$6:$B$420,$M2729))</f>
        <v/>
      </c>
      <c r="E2729" s="61" t="str">
        <f aca="false">IF($M2729=0,"",INDEX(Classes!$C$6:$C$420,$M2729))</f>
        <v/>
      </c>
      <c r="F2729" s="63"/>
      <c r="G2729" s="63"/>
      <c r="H2729" s="60"/>
      <c r="I2729" s="60"/>
      <c r="J2729" s="63"/>
      <c r="K2729" s="61" t="str">
        <f aca="false">IF($P2729=0,"",IF($F2729="Baseline","— Baseline",IF($O2729=0,"No result",IF($N2729=0,"No Start (attainment only)",IF(OR($N2729=1,$O2729=1),"U – needs rule",INDEX(MxBody,MATCH($I2729,MxCurr,0),MATCH($H2729,MxStart,0)))))))</f>
        <v/>
      </c>
      <c r="L2729" s="62" t="str">
        <f aca="false">IF(COUNTA($A2729,$F2729,$G2729,$H2729,$I2729,$J2729)=0,"",IF($M2729=0,"✖ كود الصف غير موجود",IF(ISNA(MATCH($F2729,Lists!$A$2:$A$5,0)),"✖ الفترة غير صحيحة",IF(ISNA(MATCH($G2729,Lists!$B$2:$B$7,0)),"✖ المجموعة غير صحيحة",IF(NOT(OR($H2729="",$N2729&gt;0)),"✖ Start غير صحيح",IF(NOT(OR($I2729="",$I2729="NR",$O2729&gt;0)),"✖ Current غير صحيح",IF(NOT(IF(ISNUMBER($J2729),AND($J2729&gt;=0,$J2729=INT($J2729)),FALSE())),"✖ العدد يجب أن يكون صحيحًا ≥ 0",IF(AND($F2729="Baseline",$H2729&lt;&gt;""),"⚠ Baseline: Start لا يدخل في التقدم",IF($K2729="No Start (attainment only)","ℹ تحصيل فقط (بدون Start)",IF($K2729="U – needs rule","ℹ حالة U تحتاج قاعدة معتمدة",IF($K2729="No result","ℹ بدون نتيجة (يُستبعد من التحصيل)","OK")))))))))))</f>
        <v/>
      </c>
      <c r="M2729" s="64" t="n">
        <f aca="false">IF($A2729="",0,IFERROR(MATCH($A2729,Classes!$A$6:$A$420,0),0))</f>
        <v>0</v>
      </c>
      <c r="N2729" s="64" t="n">
        <f aca="false">IF($H2729="",0,IFERROR(MATCH($H2729,GradeList,0),0))</f>
        <v>0</v>
      </c>
      <c r="O2729" s="64" t="n">
        <f aca="false">IF(OR($I2729="",$I2729="NR"),0,IFERROR(MATCH($I2729,GradeList,0),0))</f>
        <v>0</v>
      </c>
      <c r="P2729" s="64" t="n">
        <f aca="false">IF(AND($M2729&gt;0,ISNUMBER(MATCH($F2729,Lists!$A$2:$A$5,0)),ISNUMBER(MATCH($G2729,Lists!$B$2:$B$7,0)),OR($H2729="",$N2729&gt;0),OR($I2729="",$I2729="NR",$O2729&gt;0),IF(ISNUMBER($J2729),AND($J2729&gt;=0,$J2729=INT($J2729)),FALSE())),$J2729,0)</f>
        <v>0</v>
      </c>
      <c r="Q2729" s="64" t="n">
        <f aca="false">IF(AND($P2729&gt;0,$O2729&gt;0),$P2729,0)</f>
        <v>0</v>
      </c>
      <c r="R2729" s="64" t="n">
        <f aca="false">IF(AND($Q2729&gt;0,$O2729&gt;=AtRank),$Q2729,0)</f>
        <v>0</v>
      </c>
      <c r="S2729" s="64" t="n">
        <f aca="false">IF(AND($Q2729&gt;0,$O2729&gt;=AboveRank),$Q2729,0)</f>
        <v>0</v>
      </c>
      <c r="T2729" s="64" t="n">
        <f aca="false">IF($K2729="Less",$P2729,0)</f>
        <v>0</v>
      </c>
      <c r="U2729" s="64" t="n">
        <f aca="false">IF($K2729="Expected",$P2729,0)</f>
        <v>0</v>
      </c>
      <c r="V2729" s="64" t="n">
        <f aca="false">IF($K2729="Better",$P2729,0)</f>
        <v>0</v>
      </c>
      <c r="W2729" s="64" t="n">
        <f aca="false">IF($K2729="U – needs rule",$P2729,0)</f>
        <v>0</v>
      </c>
      <c r="X2729" s="64" t="n">
        <f aca="false">IF($K2729="No Start (attainment only)",$P2729,0)</f>
        <v>0</v>
      </c>
    </row>
    <row r="2730" customFormat="false" ht="15" hidden="false" customHeight="false" outlineLevel="0" collapsed="false">
      <c r="A2730" s="60"/>
      <c r="B2730" s="61" t="str">
        <f aca="false">IF($M2730=0,"",INDEX(Classes!$E$6:$E$420,$M2730))</f>
        <v/>
      </c>
      <c r="C2730" s="62" t="str">
        <f aca="false">IF($M2730=0,"",INDEX(Classes!$H$6:$H$420,$M2730))</f>
        <v/>
      </c>
      <c r="D2730" s="61" t="str">
        <f aca="false">IF($M2730=0,"",INDEX(Classes!$B$6:$B$420,$M2730))</f>
        <v/>
      </c>
      <c r="E2730" s="61" t="str">
        <f aca="false">IF($M2730=0,"",INDEX(Classes!$C$6:$C$420,$M2730))</f>
        <v/>
      </c>
      <c r="F2730" s="63"/>
      <c r="G2730" s="63"/>
      <c r="H2730" s="60"/>
      <c r="I2730" s="60"/>
      <c r="J2730" s="63"/>
      <c r="K2730" s="61" t="str">
        <f aca="false">IF($P2730=0,"",IF($F2730="Baseline","— Baseline",IF($O2730=0,"No result",IF($N2730=0,"No Start (attainment only)",IF(OR($N2730=1,$O2730=1),"U – needs rule",INDEX(MxBody,MATCH($I2730,MxCurr,0),MATCH($H2730,MxStart,0)))))))</f>
        <v/>
      </c>
      <c r="L2730" s="62" t="str">
        <f aca="false">IF(COUNTA($A2730,$F2730,$G2730,$H2730,$I2730,$J2730)=0,"",IF($M2730=0,"✖ كود الصف غير موجود",IF(ISNA(MATCH($F2730,Lists!$A$2:$A$5,0)),"✖ الفترة غير صحيحة",IF(ISNA(MATCH($G2730,Lists!$B$2:$B$7,0)),"✖ المجموعة غير صحيحة",IF(NOT(OR($H2730="",$N2730&gt;0)),"✖ Start غير صحيح",IF(NOT(OR($I2730="",$I2730="NR",$O2730&gt;0)),"✖ Current غير صحيح",IF(NOT(IF(ISNUMBER($J2730),AND($J2730&gt;=0,$J2730=INT($J2730)),FALSE())),"✖ العدد يجب أن يكون صحيحًا ≥ 0",IF(AND($F2730="Baseline",$H2730&lt;&gt;""),"⚠ Baseline: Start لا يدخل في التقدم",IF($K2730="No Start (attainment only)","ℹ تحصيل فقط (بدون Start)",IF($K2730="U – needs rule","ℹ حالة U تحتاج قاعدة معتمدة",IF($K2730="No result","ℹ بدون نتيجة (يُستبعد من التحصيل)","OK")))))))))))</f>
        <v/>
      </c>
      <c r="M2730" s="64" t="n">
        <f aca="false">IF($A2730="",0,IFERROR(MATCH($A2730,Classes!$A$6:$A$420,0),0))</f>
        <v>0</v>
      </c>
      <c r="N2730" s="64" t="n">
        <f aca="false">IF($H2730="",0,IFERROR(MATCH($H2730,GradeList,0),0))</f>
        <v>0</v>
      </c>
      <c r="O2730" s="64" t="n">
        <f aca="false">IF(OR($I2730="",$I2730="NR"),0,IFERROR(MATCH($I2730,GradeList,0),0))</f>
        <v>0</v>
      </c>
      <c r="P2730" s="64" t="n">
        <f aca="false">IF(AND($M2730&gt;0,ISNUMBER(MATCH($F2730,Lists!$A$2:$A$5,0)),ISNUMBER(MATCH($G2730,Lists!$B$2:$B$7,0)),OR($H2730="",$N2730&gt;0),OR($I2730="",$I2730="NR",$O2730&gt;0),IF(ISNUMBER($J2730),AND($J2730&gt;=0,$J2730=INT($J2730)),FALSE())),$J2730,0)</f>
        <v>0</v>
      </c>
      <c r="Q2730" s="64" t="n">
        <f aca="false">IF(AND($P2730&gt;0,$O2730&gt;0),$P2730,0)</f>
        <v>0</v>
      </c>
      <c r="R2730" s="64" t="n">
        <f aca="false">IF(AND($Q2730&gt;0,$O2730&gt;=AtRank),$Q2730,0)</f>
        <v>0</v>
      </c>
      <c r="S2730" s="64" t="n">
        <f aca="false">IF(AND($Q2730&gt;0,$O2730&gt;=AboveRank),$Q2730,0)</f>
        <v>0</v>
      </c>
      <c r="T2730" s="64" t="n">
        <f aca="false">IF($K2730="Less",$P2730,0)</f>
        <v>0</v>
      </c>
      <c r="U2730" s="64" t="n">
        <f aca="false">IF($K2730="Expected",$P2730,0)</f>
        <v>0</v>
      </c>
      <c r="V2730" s="64" t="n">
        <f aca="false">IF($K2730="Better",$P2730,0)</f>
        <v>0</v>
      </c>
      <c r="W2730" s="64" t="n">
        <f aca="false">IF($K2730="U – needs rule",$P2730,0)</f>
        <v>0</v>
      </c>
      <c r="X2730" s="64" t="n">
        <f aca="false">IF($K2730="No Start (attainment only)",$P2730,0)</f>
        <v>0</v>
      </c>
    </row>
    <row r="2731" customFormat="false" ht="15" hidden="false" customHeight="false" outlineLevel="0" collapsed="false">
      <c r="A2731" s="60"/>
      <c r="B2731" s="61" t="str">
        <f aca="false">IF($M2731=0,"",INDEX(Classes!$E$6:$E$420,$M2731))</f>
        <v/>
      </c>
      <c r="C2731" s="62" t="str">
        <f aca="false">IF($M2731=0,"",INDEX(Classes!$H$6:$H$420,$M2731))</f>
        <v/>
      </c>
      <c r="D2731" s="61" t="str">
        <f aca="false">IF($M2731=0,"",INDEX(Classes!$B$6:$B$420,$M2731))</f>
        <v/>
      </c>
      <c r="E2731" s="61" t="str">
        <f aca="false">IF($M2731=0,"",INDEX(Classes!$C$6:$C$420,$M2731))</f>
        <v/>
      </c>
      <c r="F2731" s="63"/>
      <c r="G2731" s="63"/>
      <c r="H2731" s="60"/>
      <c r="I2731" s="60"/>
      <c r="J2731" s="63"/>
      <c r="K2731" s="61" t="str">
        <f aca="false">IF($P2731=0,"",IF($F2731="Baseline","— Baseline",IF($O2731=0,"No result",IF($N2731=0,"No Start (attainment only)",IF(OR($N2731=1,$O2731=1),"U – needs rule",INDEX(MxBody,MATCH($I2731,MxCurr,0),MATCH($H2731,MxStart,0)))))))</f>
        <v/>
      </c>
      <c r="L2731" s="62" t="str">
        <f aca="false">IF(COUNTA($A2731,$F2731,$G2731,$H2731,$I2731,$J2731)=0,"",IF($M2731=0,"✖ كود الصف غير موجود",IF(ISNA(MATCH($F2731,Lists!$A$2:$A$5,0)),"✖ الفترة غير صحيحة",IF(ISNA(MATCH($G2731,Lists!$B$2:$B$7,0)),"✖ المجموعة غير صحيحة",IF(NOT(OR($H2731="",$N2731&gt;0)),"✖ Start غير صحيح",IF(NOT(OR($I2731="",$I2731="NR",$O2731&gt;0)),"✖ Current غير صحيح",IF(NOT(IF(ISNUMBER($J2731),AND($J2731&gt;=0,$J2731=INT($J2731)),FALSE())),"✖ العدد يجب أن يكون صحيحًا ≥ 0",IF(AND($F2731="Baseline",$H2731&lt;&gt;""),"⚠ Baseline: Start لا يدخل في التقدم",IF($K2731="No Start (attainment only)","ℹ تحصيل فقط (بدون Start)",IF($K2731="U – needs rule","ℹ حالة U تحتاج قاعدة معتمدة",IF($K2731="No result","ℹ بدون نتيجة (يُستبعد من التحصيل)","OK")))))))))))</f>
        <v/>
      </c>
      <c r="M2731" s="64" t="n">
        <f aca="false">IF($A2731="",0,IFERROR(MATCH($A2731,Classes!$A$6:$A$420,0),0))</f>
        <v>0</v>
      </c>
      <c r="N2731" s="64" t="n">
        <f aca="false">IF($H2731="",0,IFERROR(MATCH($H2731,GradeList,0),0))</f>
        <v>0</v>
      </c>
      <c r="O2731" s="64" t="n">
        <f aca="false">IF(OR($I2731="",$I2731="NR"),0,IFERROR(MATCH($I2731,GradeList,0),0))</f>
        <v>0</v>
      </c>
      <c r="P2731" s="64" t="n">
        <f aca="false">IF(AND($M2731&gt;0,ISNUMBER(MATCH($F2731,Lists!$A$2:$A$5,0)),ISNUMBER(MATCH($G2731,Lists!$B$2:$B$7,0)),OR($H2731="",$N2731&gt;0),OR($I2731="",$I2731="NR",$O2731&gt;0),IF(ISNUMBER($J2731),AND($J2731&gt;=0,$J2731=INT($J2731)),FALSE())),$J2731,0)</f>
        <v>0</v>
      </c>
      <c r="Q2731" s="64" t="n">
        <f aca="false">IF(AND($P2731&gt;0,$O2731&gt;0),$P2731,0)</f>
        <v>0</v>
      </c>
      <c r="R2731" s="64" t="n">
        <f aca="false">IF(AND($Q2731&gt;0,$O2731&gt;=AtRank),$Q2731,0)</f>
        <v>0</v>
      </c>
      <c r="S2731" s="64" t="n">
        <f aca="false">IF(AND($Q2731&gt;0,$O2731&gt;=AboveRank),$Q2731,0)</f>
        <v>0</v>
      </c>
      <c r="T2731" s="64" t="n">
        <f aca="false">IF($K2731="Less",$P2731,0)</f>
        <v>0</v>
      </c>
      <c r="U2731" s="64" t="n">
        <f aca="false">IF($K2731="Expected",$P2731,0)</f>
        <v>0</v>
      </c>
      <c r="V2731" s="64" t="n">
        <f aca="false">IF($K2731="Better",$P2731,0)</f>
        <v>0</v>
      </c>
      <c r="W2731" s="64" t="n">
        <f aca="false">IF($K2731="U – needs rule",$P2731,0)</f>
        <v>0</v>
      </c>
      <c r="X2731" s="64" t="n">
        <f aca="false">IF($K2731="No Start (attainment only)",$P2731,0)</f>
        <v>0</v>
      </c>
    </row>
    <row r="2732" customFormat="false" ht="15" hidden="false" customHeight="false" outlineLevel="0" collapsed="false">
      <c r="A2732" s="60"/>
      <c r="B2732" s="61" t="str">
        <f aca="false">IF($M2732=0,"",INDEX(Classes!$E$6:$E$420,$M2732))</f>
        <v/>
      </c>
      <c r="C2732" s="62" t="str">
        <f aca="false">IF($M2732=0,"",INDEX(Classes!$H$6:$H$420,$M2732))</f>
        <v/>
      </c>
      <c r="D2732" s="61" t="str">
        <f aca="false">IF($M2732=0,"",INDEX(Classes!$B$6:$B$420,$M2732))</f>
        <v/>
      </c>
      <c r="E2732" s="61" t="str">
        <f aca="false">IF($M2732=0,"",INDEX(Classes!$C$6:$C$420,$M2732))</f>
        <v/>
      </c>
      <c r="F2732" s="63"/>
      <c r="G2732" s="63"/>
      <c r="H2732" s="60"/>
      <c r="I2732" s="60"/>
      <c r="J2732" s="63"/>
      <c r="K2732" s="61" t="str">
        <f aca="false">IF($P2732=0,"",IF($F2732="Baseline","— Baseline",IF($O2732=0,"No result",IF($N2732=0,"No Start (attainment only)",IF(OR($N2732=1,$O2732=1),"U – needs rule",INDEX(MxBody,MATCH($I2732,MxCurr,0),MATCH($H2732,MxStart,0)))))))</f>
        <v/>
      </c>
      <c r="L2732" s="62" t="str">
        <f aca="false">IF(COUNTA($A2732,$F2732,$G2732,$H2732,$I2732,$J2732)=0,"",IF($M2732=0,"✖ كود الصف غير موجود",IF(ISNA(MATCH($F2732,Lists!$A$2:$A$5,0)),"✖ الفترة غير صحيحة",IF(ISNA(MATCH($G2732,Lists!$B$2:$B$7,0)),"✖ المجموعة غير صحيحة",IF(NOT(OR($H2732="",$N2732&gt;0)),"✖ Start غير صحيح",IF(NOT(OR($I2732="",$I2732="NR",$O2732&gt;0)),"✖ Current غير صحيح",IF(NOT(IF(ISNUMBER($J2732),AND($J2732&gt;=0,$J2732=INT($J2732)),FALSE())),"✖ العدد يجب أن يكون صحيحًا ≥ 0",IF(AND($F2732="Baseline",$H2732&lt;&gt;""),"⚠ Baseline: Start لا يدخل في التقدم",IF($K2732="No Start (attainment only)","ℹ تحصيل فقط (بدون Start)",IF($K2732="U – needs rule","ℹ حالة U تحتاج قاعدة معتمدة",IF($K2732="No result","ℹ بدون نتيجة (يُستبعد من التحصيل)","OK")))))))))))</f>
        <v/>
      </c>
      <c r="M2732" s="64" t="n">
        <f aca="false">IF($A2732="",0,IFERROR(MATCH($A2732,Classes!$A$6:$A$420,0),0))</f>
        <v>0</v>
      </c>
      <c r="N2732" s="64" t="n">
        <f aca="false">IF($H2732="",0,IFERROR(MATCH($H2732,GradeList,0),0))</f>
        <v>0</v>
      </c>
      <c r="O2732" s="64" t="n">
        <f aca="false">IF(OR($I2732="",$I2732="NR"),0,IFERROR(MATCH($I2732,GradeList,0),0))</f>
        <v>0</v>
      </c>
      <c r="P2732" s="64" t="n">
        <f aca="false">IF(AND($M2732&gt;0,ISNUMBER(MATCH($F2732,Lists!$A$2:$A$5,0)),ISNUMBER(MATCH($G2732,Lists!$B$2:$B$7,0)),OR($H2732="",$N2732&gt;0),OR($I2732="",$I2732="NR",$O2732&gt;0),IF(ISNUMBER($J2732),AND($J2732&gt;=0,$J2732=INT($J2732)),FALSE())),$J2732,0)</f>
        <v>0</v>
      </c>
      <c r="Q2732" s="64" t="n">
        <f aca="false">IF(AND($P2732&gt;0,$O2732&gt;0),$P2732,0)</f>
        <v>0</v>
      </c>
      <c r="R2732" s="64" t="n">
        <f aca="false">IF(AND($Q2732&gt;0,$O2732&gt;=AtRank),$Q2732,0)</f>
        <v>0</v>
      </c>
      <c r="S2732" s="64" t="n">
        <f aca="false">IF(AND($Q2732&gt;0,$O2732&gt;=AboveRank),$Q2732,0)</f>
        <v>0</v>
      </c>
      <c r="T2732" s="64" t="n">
        <f aca="false">IF($K2732="Less",$P2732,0)</f>
        <v>0</v>
      </c>
      <c r="U2732" s="64" t="n">
        <f aca="false">IF($K2732="Expected",$P2732,0)</f>
        <v>0</v>
      </c>
      <c r="V2732" s="64" t="n">
        <f aca="false">IF($K2732="Better",$P2732,0)</f>
        <v>0</v>
      </c>
      <c r="W2732" s="64" t="n">
        <f aca="false">IF($K2732="U – needs rule",$P2732,0)</f>
        <v>0</v>
      </c>
      <c r="X2732" s="64" t="n">
        <f aca="false">IF($K2732="No Start (attainment only)",$P2732,0)</f>
        <v>0</v>
      </c>
    </row>
    <row r="2733" customFormat="false" ht="15" hidden="false" customHeight="false" outlineLevel="0" collapsed="false">
      <c r="A2733" s="60"/>
      <c r="B2733" s="61" t="str">
        <f aca="false">IF($M2733=0,"",INDEX(Classes!$E$6:$E$420,$M2733))</f>
        <v/>
      </c>
      <c r="C2733" s="62" t="str">
        <f aca="false">IF($M2733=0,"",INDEX(Classes!$H$6:$H$420,$M2733))</f>
        <v/>
      </c>
      <c r="D2733" s="61" t="str">
        <f aca="false">IF($M2733=0,"",INDEX(Classes!$B$6:$B$420,$M2733))</f>
        <v/>
      </c>
      <c r="E2733" s="61" t="str">
        <f aca="false">IF($M2733=0,"",INDEX(Classes!$C$6:$C$420,$M2733))</f>
        <v/>
      </c>
      <c r="F2733" s="63"/>
      <c r="G2733" s="63"/>
      <c r="H2733" s="60"/>
      <c r="I2733" s="60"/>
      <c r="J2733" s="63"/>
      <c r="K2733" s="61" t="str">
        <f aca="false">IF($P2733=0,"",IF($F2733="Baseline","— Baseline",IF($O2733=0,"No result",IF($N2733=0,"No Start (attainment only)",IF(OR($N2733=1,$O2733=1),"U – needs rule",INDEX(MxBody,MATCH($I2733,MxCurr,0),MATCH($H2733,MxStart,0)))))))</f>
        <v/>
      </c>
      <c r="L2733" s="62" t="str">
        <f aca="false">IF(COUNTA($A2733,$F2733,$G2733,$H2733,$I2733,$J2733)=0,"",IF($M2733=0,"✖ كود الصف غير موجود",IF(ISNA(MATCH($F2733,Lists!$A$2:$A$5,0)),"✖ الفترة غير صحيحة",IF(ISNA(MATCH($G2733,Lists!$B$2:$B$7,0)),"✖ المجموعة غير صحيحة",IF(NOT(OR($H2733="",$N2733&gt;0)),"✖ Start غير صحيح",IF(NOT(OR($I2733="",$I2733="NR",$O2733&gt;0)),"✖ Current غير صحيح",IF(NOT(IF(ISNUMBER($J2733),AND($J2733&gt;=0,$J2733=INT($J2733)),FALSE())),"✖ العدد يجب أن يكون صحيحًا ≥ 0",IF(AND($F2733="Baseline",$H2733&lt;&gt;""),"⚠ Baseline: Start لا يدخل في التقدم",IF($K2733="No Start (attainment only)","ℹ تحصيل فقط (بدون Start)",IF($K2733="U – needs rule","ℹ حالة U تحتاج قاعدة معتمدة",IF($K2733="No result","ℹ بدون نتيجة (يُستبعد من التحصيل)","OK")))))))))))</f>
        <v/>
      </c>
      <c r="M2733" s="64" t="n">
        <f aca="false">IF($A2733="",0,IFERROR(MATCH($A2733,Classes!$A$6:$A$420,0),0))</f>
        <v>0</v>
      </c>
      <c r="N2733" s="64" t="n">
        <f aca="false">IF($H2733="",0,IFERROR(MATCH($H2733,GradeList,0),0))</f>
        <v>0</v>
      </c>
      <c r="O2733" s="64" t="n">
        <f aca="false">IF(OR($I2733="",$I2733="NR"),0,IFERROR(MATCH($I2733,GradeList,0),0))</f>
        <v>0</v>
      </c>
      <c r="P2733" s="64" t="n">
        <f aca="false">IF(AND($M2733&gt;0,ISNUMBER(MATCH($F2733,Lists!$A$2:$A$5,0)),ISNUMBER(MATCH($G2733,Lists!$B$2:$B$7,0)),OR($H2733="",$N2733&gt;0),OR($I2733="",$I2733="NR",$O2733&gt;0),IF(ISNUMBER($J2733),AND($J2733&gt;=0,$J2733=INT($J2733)),FALSE())),$J2733,0)</f>
        <v>0</v>
      </c>
      <c r="Q2733" s="64" t="n">
        <f aca="false">IF(AND($P2733&gt;0,$O2733&gt;0),$P2733,0)</f>
        <v>0</v>
      </c>
      <c r="R2733" s="64" t="n">
        <f aca="false">IF(AND($Q2733&gt;0,$O2733&gt;=AtRank),$Q2733,0)</f>
        <v>0</v>
      </c>
      <c r="S2733" s="64" t="n">
        <f aca="false">IF(AND($Q2733&gt;0,$O2733&gt;=AboveRank),$Q2733,0)</f>
        <v>0</v>
      </c>
      <c r="T2733" s="64" t="n">
        <f aca="false">IF($K2733="Less",$P2733,0)</f>
        <v>0</v>
      </c>
      <c r="U2733" s="64" t="n">
        <f aca="false">IF($K2733="Expected",$P2733,0)</f>
        <v>0</v>
      </c>
      <c r="V2733" s="64" t="n">
        <f aca="false">IF($K2733="Better",$P2733,0)</f>
        <v>0</v>
      </c>
      <c r="W2733" s="64" t="n">
        <f aca="false">IF($K2733="U – needs rule",$P2733,0)</f>
        <v>0</v>
      </c>
      <c r="X2733" s="64" t="n">
        <f aca="false">IF($K2733="No Start (attainment only)",$P2733,0)</f>
        <v>0</v>
      </c>
    </row>
    <row r="2734" customFormat="false" ht="15" hidden="false" customHeight="false" outlineLevel="0" collapsed="false">
      <c r="A2734" s="60"/>
      <c r="B2734" s="61" t="str">
        <f aca="false">IF($M2734=0,"",INDEX(Classes!$E$6:$E$420,$M2734))</f>
        <v/>
      </c>
      <c r="C2734" s="62" t="str">
        <f aca="false">IF($M2734=0,"",INDEX(Classes!$H$6:$H$420,$M2734))</f>
        <v/>
      </c>
      <c r="D2734" s="61" t="str">
        <f aca="false">IF($M2734=0,"",INDEX(Classes!$B$6:$B$420,$M2734))</f>
        <v/>
      </c>
      <c r="E2734" s="61" t="str">
        <f aca="false">IF($M2734=0,"",INDEX(Classes!$C$6:$C$420,$M2734))</f>
        <v/>
      </c>
      <c r="F2734" s="63"/>
      <c r="G2734" s="63"/>
      <c r="H2734" s="60"/>
      <c r="I2734" s="60"/>
      <c r="J2734" s="63"/>
      <c r="K2734" s="61" t="str">
        <f aca="false">IF($P2734=0,"",IF($F2734="Baseline","— Baseline",IF($O2734=0,"No result",IF($N2734=0,"No Start (attainment only)",IF(OR($N2734=1,$O2734=1),"U – needs rule",INDEX(MxBody,MATCH($I2734,MxCurr,0),MATCH($H2734,MxStart,0)))))))</f>
        <v/>
      </c>
      <c r="L2734" s="62" t="str">
        <f aca="false">IF(COUNTA($A2734,$F2734,$G2734,$H2734,$I2734,$J2734)=0,"",IF($M2734=0,"✖ كود الصف غير موجود",IF(ISNA(MATCH($F2734,Lists!$A$2:$A$5,0)),"✖ الفترة غير صحيحة",IF(ISNA(MATCH($G2734,Lists!$B$2:$B$7,0)),"✖ المجموعة غير صحيحة",IF(NOT(OR($H2734="",$N2734&gt;0)),"✖ Start غير صحيح",IF(NOT(OR($I2734="",$I2734="NR",$O2734&gt;0)),"✖ Current غير صحيح",IF(NOT(IF(ISNUMBER($J2734),AND($J2734&gt;=0,$J2734=INT($J2734)),FALSE())),"✖ العدد يجب أن يكون صحيحًا ≥ 0",IF(AND($F2734="Baseline",$H2734&lt;&gt;""),"⚠ Baseline: Start لا يدخل في التقدم",IF($K2734="No Start (attainment only)","ℹ تحصيل فقط (بدون Start)",IF($K2734="U – needs rule","ℹ حالة U تحتاج قاعدة معتمدة",IF($K2734="No result","ℹ بدون نتيجة (يُستبعد من التحصيل)","OK")))))))))))</f>
        <v/>
      </c>
      <c r="M2734" s="64" t="n">
        <f aca="false">IF($A2734="",0,IFERROR(MATCH($A2734,Classes!$A$6:$A$420,0),0))</f>
        <v>0</v>
      </c>
      <c r="N2734" s="64" t="n">
        <f aca="false">IF($H2734="",0,IFERROR(MATCH($H2734,GradeList,0),0))</f>
        <v>0</v>
      </c>
      <c r="O2734" s="64" t="n">
        <f aca="false">IF(OR($I2734="",$I2734="NR"),0,IFERROR(MATCH($I2734,GradeList,0),0))</f>
        <v>0</v>
      </c>
      <c r="P2734" s="64" t="n">
        <f aca="false">IF(AND($M2734&gt;0,ISNUMBER(MATCH($F2734,Lists!$A$2:$A$5,0)),ISNUMBER(MATCH($G2734,Lists!$B$2:$B$7,0)),OR($H2734="",$N2734&gt;0),OR($I2734="",$I2734="NR",$O2734&gt;0),IF(ISNUMBER($J2734),AND($J2734&gt;=0,$J2734=INT($J2734)),FALSE())),$J2734,0)</f>
        <v>0</v>
      </c>
      <c r="Q2734" s="64" t="n">
        <f aca="false">IF(AND($P2734&gt;0,$O2734&gt;0),$P2734,0)</f>
        <v>0</v>
      </c>
      <c r="R2734" s="64" t="n">
        <f aca="false">IF(AND($Q2734&gt;0,$O2734&gt;=AtRank),$Q2734,0)</f>
        <v>0</v>
      </c>
      <c r="S2734" s="64" t="n">
        <f aca="false">IF(AND($Q2734&gt;0,$O2734&gt;=AboveRank),$Q2734,0)</f>
        <v>0</v>
      </c>
      <c r="T2734" s="64" t="n">
        <f aca="false">IF($K2734="Less",$P2734,0)</f>
        <v>0</v>
      </c>
      <c r="U2734" s="64" t="n">
        <f aca="false">IF($K2734="Expected",$P2734,0)</f>
        <v>0</v>
      </c>
      <c r="V2734" s="64" t="n">
        <f aca="false">IF($K2734="Better",$P2734,0)</f>
        <v>0</v>
      </c>
      <c r="W2734" s="64" t="n">
        <f aca="false">IF($K2734="U – needs rule",$P2734,0)</f>
        <v>0</v>
      </c>
      <c r="X2734" s="64" t="n">
        <f aca="false">IF($K2734="No Start (attainment only)",$P2734,0)</f>
        <v>0</v>
      </c>
    </row>
    <row r="2735" customFormat="false" ht="15" hidden="false" customHeight="false" outlineLevel="0" collapsed="false">
      <c r="A2735" s="60"/>
      <c r="B2735" s="61" t="str">
        <f aca="false">IF($M2735=0,"",INDEX(Classes!$E$6:$E$420,$M2735))</f>
        <v/>
      </c>
      <c r="C2735" s="62" t="str">
        <f aca="false">IF($M2735=0,"",INDEX(Classes!$H$6:$H$420,$M2735))</f>
        <v/>
      </c>
      <c r="D2735" s="61" t="str">
        <f aca="false">IF($M2735=0,"",INDEX(Classes!$B$6:$B$420,$M2735))</f>
        <v/>
      </c>
      <c r="E2735" s="61" t="str">
        <f aca="false">IF($M2735=0,"",INDEX(Classes!$C$6:$C$420,$M2735))</f>
        <v/>
      </c>
      <c r="F2735" s="63"/>
      <c r="G2735" s="63"/>
      <c r="H2735" s="60"/>
      <c r="I2735" s="60"/>
      <c r="J2735" s="63"/>
      <c r="K2735" s="61" t="str">
        <f aca="false">IF($P2735=0,"",IF($F2735="Baseline","— Baseline",IF($O2735=0,"No result",IF($N2735=0,"No Start (attainment only)",IF(OR($N2735=1,$O2735=1),"U – needs rule",INDEX(MxBody,MATCH($I2735,MxCurr,0),MATCH($H2735,MxStart,0)))))))</f>
        <v/>
      </c>
      <c r="L2735" s="62" t="str">
        <f aca="false">IF(COUNTA($A2735,$F2735,$G2735,$H2735,$I2735,$J2735)=0,"",IF($M2735=0,"✖ كود الصف غير موجود",IF(ISNA(MATCH($F2735,Lists!$A$2:$A$5,0)),"✖ الفترة غير صحيحة",IF(ISNA(MATCH($G2735,Lists!$B$2:$B$7,0)),"✖ المجموعة غير صحيحة",IF(NOT(OR($H2735="",$N2735&gt;0)),"✖ Start غير صحيح",IF(NOT(OR($I2735="",$I2735="NR",$O2735&gt;0)),"✖ Current غير صحيح",IF(NOT(IF(ISNUMBER($J2735),AND($J2735&gt;=0,$J2735=INT($J2735)),FALSE())),"✖ العدد يجب أن يكون صحيحًا ≥ 0",IF(AND($F2735="Baseline",$H2735&lt;&gt;""),"⚠ Baseline: Start لا يدخل في التقدم",IF($K2735="No Start (attainment only)","ℹ تحصيل فقط (بدون Start)",IF($K2735="U – needs rule","ℹ حالة U تحتاج قاعدة معتمدة",IF($K2735="No result","ℹ بدون نتيجة (يُستبعد من التحصيل)","OK")))))))))))</f>
        <v/>
      </c>
      <c r="M2735" s="64" t="n">
        <f aca="false">IF($A2735="",0,IFERROR(MATCH($A2735,Classes!$A$6:$A$420,0),0))</f>
        <v>0</v>
      </c>
      <c r="N2735" s="64" t="n">
        <f aca="false">IF($H2735="",0,IFERROR(MATCH($H2735,GradeList,0),0))</f>
        <v>0</v>
      </c>
      <c r="O2735" s="64" t="n">
        <f aca="false">IF(OR($I2735="",$I2735="NR"),0,IFERROR(MATCH($I2735,GradeList,0),0))</f>
        <v>0</v>
      </c>
      <c r="P2735" s="64" t="n">
        <f aca="false">IF(AND($M2735&gt;0,ISNUMBER(MATCH($F2735,Lists!$A$2:$A$5,0)),ISNUMBER(MATCH($G2735,Lists!$B$2:$B$7,0)),OR($H2735="",$N2735&gt;0),OR($I2735="",$I2735="NR",$O2735&gt;0),IF(ISNUMBER($J2735),AND($J2735&gt;=0,$J2735=INT($J2735)),FALSE())),$J2735,0)</f>
        <v>0</v>
      </c>
      <c r="Q2735" s="64" t="n">
        <f aca="false">IF(AND($P2735&gt;0,$O2735&gt;0),$P2735,0)</f>
        <v>0</v>
      </c>
      <c r="R2735" s="64" t="n">
        <f aca="false">IF(AND($Q2735&gt;0,$O2735&gt;=AtRank),$Q2735,0)</f>
        <v>0</v>
      </c>
      <c r="S2735" s="64" t="n">
        <f aca="false">IF(AND($Q2735&gt;0,$O2735&gt;=AboveRank),$Q2735,0)</f>
        <v>0</v>
      </c>
      <c r="T2735" s="64" t="n">
        <f aca="false">IF($K2735="Less",$P2735,0)</f>
        <v>0</v>
      </c>
      <c r="U2735" s="64" t="n">
        <f aca="false">IF($K2735="Expected",$P2735,0)</f>
        <v>0</v>
      </c>
      <c r="V2735" s="64" t="n">
        <f aca="false">IF($K2735="Better",$P2735,0)</f>
        <v>0</v>
      </c>
      <c r="W2735" s="64" t="n">
        <f aca="false">IF($K2735="U – needs rule",$P2735,0)</f>
        <v>0</v>
      </c>
      <c r="X2735" s="64" t="n">
        <f aca="false">IF($K2735="No Start (attainment only)",$P2735,0)</f>
        <v>0</v>
      </c>
    </row>
    <row r="2736" customFormat="false" ht="15" hidden="false" customHeight="false" outlineLevel="0" collapsed="false">
      <c r="A2736" s="60"/>
      <c r="B2736" s="61" t="str">
        <f aca="false">IF($M2736=0,"",INDEX(Classes!$E$6:$E$420,$M2736))</f>
        <v/>
      </c>
      <c r="C2736" s="62" t="str">
        <f aca="false">IF($M2736=0,"",INDEX(Classes!$H$6:$H$420,$M2736))</f>
        <v/>
      </c>
      <c r="D2736" s="61" t="str">
        <f aca="false">IF($M2736=0,"",INDEX(Classes!$B$6:$B$420,$M2736))</f>
        <v/>
      </c>
      <c r="E2736" s="61" t="str">
        <f aca="false">IF($M2736=0,"",INDEX(Classes!$C$6:$C$420,$M2736))</f>
        <v/>
      </c>
      <c r="F2736" s="63"/>
      <c r="G2736" s="63"/>
      <c r="H2736" s="60"/>
      <c r="I2736" s="60"/>
      <c r="J2736" s="63"/>
      <c r="K2736" s="61" t="str">
        <f aca="false">IF($P2736=0,"",IF($F2736="Baseline","— Baseline",IF($O2736=0,"No result",IF($N2736=0,"No Start (attainment only)",IF(OR($N2736=1,$O2736=1),"U – needs rule",INDEX(MxBody,MATCH($I2736,MxCurr,0),MATCH($H2736,MxStart,0)))))))</f>
        <v/>
      </c>
      <c r="L2736" s="62" t="str">
        <f aca="false">IF(COUNTA($A2736,$F2736,$G2736,$H2736,$I2736,$J2736)=0,"",IF($M2736=0,"✖ كود الصف غير موجود",IF(ISNA(MATCH($F2736,Lists!$A$2:$A$5,0)),"✖ الفترة غير صحيحة",IF(ISNA(MATCH($G2736,Lists!$B$2:$B$7,0)),"✖ المجموعة غير صحيحة",IF(NOT(OR($H2736="",$N2736&gt;0)),"✖ Start غير صحيح",IF(NOT(OR($I2736="",$I2736="NR",$O2736&gt;0)),"✖ Current غير صحيح",IF(NOT(IF(ISNUMBER($J2736),AND($J2736&gt;=0,$J2736=INT($J2736)),FALSE())),"✖ العدد يجب أن يكون صحيحًا ≥ 0",IF(AND($F2736="Baseline",$H2736&lt;&gt;""),"⚠ Baseline: Start لا يدخل في التقدم",IF($K2736="No Start (attainment only)","ℹ تحصيل فقط (بدون Start)",IF($K2736="U – needs rule","ℹ حالة U تحتاج قاعدة معتمدة",IF($K2736="No result","ℹ بدون نتيجة (يُستبعد من التحصيل)","OK")))))))))))</f>
        <v/>
      </c>
      <c r="M2736" s="64" t="n">
        <f aca="false">IF($A2736="",0,IFERROR(MATCH($A2736,Classes!$A$6:$A$420,0),0))</f>
        <v>0</v>
      </c>
      <c r="N2736" s="64" t="n">
        <f aca="false">IF($H2736="",0,IFERROR(MATCH($H2736,GradeList,0),0))</f>
        <v>0</v>
      </c>
      <c r="O2736" s="64" t="n">
        <f aca="false">IF(OR($I2736="",$I2736="NR"),0,IFERROR(MATCH($I2736,GradeList,0),0))</f>
        <v>0</v>
      </c>
      <c r="P2736" s="64" t="n">
        <f aca="false">IF(AND($M2736&gt;0,ISNUMBER(MATCH($F2736,Lists!$A$2:$A$5,0)),ISNUMBER(MATCH($G2736,Lists!$B$2:$B$7,0)),OR($H2736="",$N2736&gt;0),OR($I2736="",$I2736="NR",$O2736&gt;0),IF(ISNUMBER($J2736),AND($J2736&gt;=0,$J2736=INT($J2736)),FALSE())),$J2736,0)</f>
        <v>0</v>
      </c>
      <c r="Q2736" s="64" t="n">
        <f aca="false">IF(AND($P2736&gt;0,$O2736&gt;0),$P2736,0)</f>
        <v>0</v>
      </c>
      <c r="R2736" s="64" t="n">
        <f aca="false">IF(AND($Q2736&gt;0,$O2736&gt;=AtRank),$Q2736,0)</f>
        <v>0</v>
      </c>
      <c r="S2736" s="64" t="n">
        <f aca="false">IF(AND($Q2736&gt;0,$O2736&gt;=AboveRank),$Q2736,0)</f>
        <v>0</v>
      </c>
      <c r="T2736" s="64" t="n">
        <f aca="false">IF($K2736="Less",$P2736,0)</f>
        <v>0</v>
      </c>
      <c r="U2736" s="64" t="n">
        <f aca="false">IF($K2736="Expected",$P2736,0)</f>
        <v>0</v>
      </c>
      <c r="V2736" s="64" t="n">
        <f aca="false">IF($K2736="Better",$P2736,0)</f>
        <v>0</v>
      </c>
      <c r="W2736" s="64" t="n">
        <f aca="false">IF($K2736="U – needs rule",$P2736,0)</f>
        <v>0</v>
      </c>
      <c r="X2736" s="64" t="n">
        <f aca="false">IF($K2736="No Start (attainment only)",$P2736,0)</f>
        <v>0</v>
      </c>
    </row>
    <row r="2737" customFormat="false" ht="15" hidden="false" customHeight="false" outlineLevel="0" collapsed="false">
      <c r="A2737" s="60"/>
      <c r="B2737" s="61" t="str">
        <f aca="false">IF($M2737=0,"",INDEX(Classes!$E$6:$E$420,$M2737))</f>
        <v/>
      </c>
      <c r="C2737" s="62" t="str">
        <f aca="false">IF($M2737=0,"",INDEX(Classes!$H$6:$H$420,$M2737))</f>
        <v/>
      </c>
      <c r="D2737" s="61" t="str">
        <f aca="false">IF($M2737=0,"",INDEX(Classes!$B$6:$B$420,$M2737))</f>
        <v/>
      </c>
      <c r="E2737" s="61" t="str">
        <f aca="false">IF($M2737=0,"",INDEX(Classes!$C$6:$C$420,$M2737))</f>
        <v/>
      </c>
      <c r="F2737" s="63"/>
      <c r="G2737" s="63"/>
      <c r="H2737" s="60"/>
      <c r="I2737" s="60"/>
      <c r="J2737" s="63"/>
      <c r="K2737" s="61" t="str">
        <f aca="false">IF($P2737=0,"",IF($F2737="Baseline","— Baseline",IF($O2737=0,"No result",IF($N2737=0,"No Start (attainment only)",IF(OR($N2737=1,$O2737=1),"U – needs rule",INDEX(MxBody,MATCH($I2737,MxCurr,0),MATCH($H2737,MxStart,0)))))))</f>
        <v/>
      </c>
      <c r="L2737" s="62" t="str">
        <f aca="false">IF(COUNTA($A2737,$F2737,$G2737,$H2737,$I2737,$J2737)=0,"",IF($M2737=0,"✖ كود الصف غير موجود",IF(ISNA(MATCH($F2737,Lists!$A$2:$A$5,0)),"✖ الفترة غير صحيحة",IF(ISNA(MATCH($G2737,Lists!$B$2:$B$7,0)),"✖ المجموعة غير صحيحة",IF(NOT(OR($H2737="",$N2737&gt;0)),"✖ Start غير صحيح",IF(NOT(OR($I2737="",$I2737="NR",$O2737&gt;0)),"✖ Current غير صحيح",IF(NOT(IF(ISNUMBER($J2737),AND($J2737&gt;=0,$J2737=INT($J2737)),FALSE())),"✖ العدد يجب أن يكون صحيحًا ≥ 0",IF(AND($F2737="Baseline",$H2737&lt;&gt;""),"⚠ Baseline: Start لا يدخل في التقدم",IF($K2737="No Start (attainment only)","ℹ تحصيل فقط (بدون Start)",IF($K2737="U – needs rule","ℹ حالة U تحتاج قاعدة معتمدة",IF($K2737="No result","ℹ بدون نتيجة (يُستبعد من التحصيل)","OK")))))))))))</f>
        <v/>
      </c>
      <c r="M2737" s="64" t="n">
        <f aca="false">IF($A2737="",0,IFERROR(MATCH($A2737,Classes!$A$6:$A$420,0),0))</f>
        <v>0</v>
      </c>
      <c r="N2737" s="64" t="n">
        <f aca="false">IF($H2737="",0,IFERROR(MATCH($H2737,GradeList,0),0))</f>
        <v>0</v>
      </c>
      <c r="O2737" s="64" t="n">
        <f aca="false">IF(OR($I2737="",$I2737="NR"),0,IFERROR(MATCH($I2737,GradeList,0),0))</f>
        <v>0</v>
      </c>
      <c r="P2737" s="64" t="n">
        <f aca="false">IF(AND($M2737&gt;0,ISNUMBER(MATCH($F2737,Lists!$A$2:$A$5,0)),ISNUMBER(MATCH($G2737,Lists!$B$2:$B$7,0)),OR($H2737="",$N2737&gt;0),OR($I2737="",$I2737="NR",$O2737&gt;0),IF(ISNUMBER($J2737),AND($J2737&gt;=0,$J2737=INT($J2737)),FALSE())),$J2737,0)</f>
        <v>0</v>
      </c>
      <c r="Q2737" s="64" t="n">
        <f aca="false">IF(AND($P2737&gt;0,$O2737&gt;0),$P2737,0)</f>
        <v>0</v>
      </c>
      <c r="R2737" s="64" t="n">
        <f aca="false">IF(AND($Q2737&gt;0,$O2737&gt;=AtRank),$Q2737,0)</f>
        <v>0</v>
      </c>
      <c r="S2737" s="64" t="n">
        <f aca="false">IF(AND($Q2737&gt;0,$O2737&gt;=AboveRank),$Q2737,0)</f>
        <v>0</v>
      </c>
      <c r="T2737" s="64" t="n">
        <f aca="false">IF($K2737="Less",$P2737,0)</f>
        <v>0</v>
      </c>
      <c r="U2737" s="64" t="n">
        <f aca="false">IF($K2737="Expected",$P2737,0)</f>
        <v>0</v>
      </c>
      <c r="V2737" s="64" t="n">
        <f aca="false">IF($K2737="Better",$P2737,0)</f>
        <v>0</v>
      </c>
      <c r="W2737" s="64" t="n">
        <f aca="false">IF($K2737="U – needs rule",$P2737,0)</f>
        <v>0</v>
      </c>
      <c r="X2737" s="64" t="n">
        <f aca="false">IF($K2737="No Start (attainment only)",$P2737,0)</f>
        <v>0</v>
      </c>
    </row>
    <row r="2738" customFormat="false" ht="15" hidden="false" customHeight="false" outlineLevel="0" collapsed="false">
      <c r="A2738" s="60"/>
      <c r="B2738" s="61" t="str">
        <f aca="false">IF($M2738=0,"",INDEX(Classes!$E$6:$E$420,$M2738))</f>
        <v/>
      </c>
      <c r="C2738" s="62" t="str">
        <f aca="false">IF($M2738=0,"",INDEX(Classes!$H$6:$H$420,$M2738))</f>
        <v/>
      </c>
      <c r="D2738" s="61" t="str">
        <f aca="false">IF($M2738=0,"",INDEX(Classes!$B$6:$B$420,$M2738))</f>
        <v/>
      </c>
      <c r="E2738" s="61" t="str">
        <f aca="false">IF($M2738=0,"",INDEX(Classes!$C$6:$C$420,$M2738))</f>
        <v/>
      </c>
      <c r="F2738" s="63"/>
      <c r="G2738" s="63"/>
      <c r="H2738" s="60"/>
      <c r="I2738" s="60"/>
      <c r="J2738" s="63"/>
      <c r="K2738" s="61" t="str">
        <f aca="false">IF($P2738=0,"",IF($F2738="Baseline","— Baseline",IF($O2738=0,"No result",IF($N2738=0,"No Start (attainment only)",IF(OR($N2738=1,$O2738=1),"U – needs rule",INDEX(MxBody,MATCH($I2738,MxCurr,0),MATCH($H2738,MxStart,0)))))))</f>
        <v/>
      </c>
      <c r="L2738" s="62" t="str">
        <f aca="false">IF(COUNTA($A2738,$F2738,$G2738,$H2738,$I2738,$J2738)=0,"",IF($M2738=0,"✖ كود الصف غير موجود",IF(ISNA(MATCH($F2738,Lists!$A$2:$A$5,0)),"✖ الفترة غير صحيحة",IF(ISNA(MATCH($G2738,Lists!$B$2:$B$7,0)),"✖ المجموعة غير صحيحة",IF(NOT(OR($H2738="",$N2738&gt;0)),"✖ Start غير صحيح",IF(NOT(OR($I2738="",$I2738="NR",$O2738&gt;0)),"✖ Current غير صحيح",IF(NOT(IF(ISNUMBER($J2738),AND($J2738&gt;=0,$J2738=INT($J2738)),FALSE())),"✖ العدد يجب أن يكون صحيحًا ≥ 0",IF(AND($F2738="Baseline",$H2738&lt;&gt;""),"⚠ Baseline: Start لا يدخل في التقدم",IF($K2738="No Start (attainment only)","ℹ تحصيل فقط (بدون Start)",IF($K2738="U – needs rule","ℹ حالة U تحتاج قاعدة معتمدة",IF($K2738="No result","ℹ بدون نتيجة (يُستبعد من التحصيل)","OK")))))))))))</f>
        <v/>
      </c>
      <c r="M2738" s="64" t="n">
        <f aca="false">IF($A2738="",0,IFERROR(MATCH($A2738,Classes!$A$6:$A$420,0),0))</f>
        <v>0</v>
      </c>
      <c r="N2738" s="64" t="n">
        <f aca="false">IF($H2738="",0,IFERROR(MATCH($H2738,GradeList,0),0))</f>
        <v>0</v>
      </c>
      <c r="O2738" s="64" t="n">
        <f aca="false">IF(OR($I2738="",$I2738="NR"),0,IFERROR(MATCH($I2738,GradeList,0),0))</f>
        <v>0</v>
      </c>
      <c r="P2738" s="64" t="n">
        <f aca="false">IF(AND($M2738&gt;0,ISNUMBER(MATCH($F2738,Lists!$A$2:$A$5,0)),ISNUMBER(MATCH($G2738,Lists!$B$2:$B$7,0)),OR($H2738="",$N2738&gt;0),OR($I2738="",$I2738="NR",$O2738&gt;0),IF(ISNUMBER($J2738),AND($J2738&gt;=0,$J2738=INT($J2738)),FALSE())),$J2738,0)</f>
        <v>0</v>
      </c>
      <c r="Q2738" s="64" t="n">
        <f aca="false">IF(AND($P2738&gt;0,$O2738&gt;0),$P2738,0)</f>
        <v>0</v>
      </c>
      <c r="R2738" s="64" t="n">
        <f aca="false">IF(AND($Q2738&gt;0,$O2738&gt;=AtRank),$Q2738,0)</f>
        <v>0</v>
      </c>
      <c r="S2738" s="64" t="n">
        <f aca="false">IF(AND($Q2738&gt;0,$O2738&gt;=AboveRank),$Q2738,0)</f>
        <v>0</v>
      </c>
      <c r="T2738" s="64" t="n">
        <f aca="false">IF($K2738="Less",$P2738,0)</f>
        <v>0</v>
      </c>
      <c r="U2738" s="64" t="n">
        <f aca="false">IF($K2738="Expected",$P2738,0)</f>
        <v>0</v>
      </c>
      <c r="V2738" s="64" t="n">
        <f aca="false">IF($K2738="Better",$P2738,0)</f>
        <v>0</v>
      </c>
      <c r="W2738" s="64" t="n">
        <f aca="false">IF($K2738="U – needs rule",$P2738,0)</f>
        <v>0</v>
      </c>
      <c r="X2738" s="64" t="n">
        <f aca="false">IF($K2738="No Start (attainment only)",$P2738,0)</f>
        <v>0</v>
      </c>
    </row>
    <row r="2739" customFormat="false" ht="15" hidden="false" customHeight="false" outlineLevel="0" collapsed="false">
      <c r="A2739" s="60"/>
      <c r="B2739" s="61" t="str">
        <f aca="false">IF($M2739=0,"",INDEX(Classes!$E$6:$E$420,$M2739))</f>
        <v/>
      </c>
      <c r="C2739" s="62" t="str">
        <f aca="false">IF($M2739=0,"",INDEX(Classes!$H$6:$H$420,$M2739))</f>
        <v/>
      </c>
      <c r="D2739" s="61" t="str">
        <f aca="false">IF($M2739=0,"",INDEX(Classes!$B$6:$B$420,$M2739))</f>
        <v/>
      </c>
      <c r="E2739" s="61" t="str">
        <f aca="false">IF($M2739=0,"",INDEX(Classes!$C$6:$C$420,$M2739))</f>
        <v/>
      </c>
      <c r="F2739" s="63"/>
      <c r="G2739" s="63"/>
      <c r="H2739" s="60"/>
      <c r="I2739" s="60"/>
      <c r="J2739" s="63"/>
      <c r="K2739" s="61" t="str">
        <f aca="false">IF($P2739=0,"",IF($F2739="Baseline","— Baseline",IF($O2739=0,"No result",IF($N2739=0,"No Start (attainment only)",IF(OR($N2739=1,$O2739=1),"U – needs rule",INDEX(MxBody,MATCH($I2739,MxCurr,0),MATCH($H2739,MxStart,0)))))))</f>
        <v/>
      </c>
      <c r="L2739" s="62" t="str">
        <f aca="false">IF(COUNTA($A2739,$F2739,$G2739,$H2739,$I2739,$J2739)=0,"",IF($M2739=0,"✖ كود الصف غير موجود",IF(ISNA(MATCH($F2739,Lists!$A$2:$A$5,0)),"✖ الفترة غير صحيحة",IF(ISNA(MATCH($G2739,Lists!$B$2:$B$7,0)),"✖ المجموعة غير صحيحة",IF(NOT(OR($H2739="",$N2739&gt;0)),"✖ Start غير صحيح",IF(NOT(OR($I2739="",$I2739="NR",$O2739&gt;0)),"✖ Current غير صحيح",IF(NOT(IF(ISNUMBER($J2739),AND($J2739&gt;=0,$J2739=INT($J2739)),FALSE())),"✖ العدد يجب أن يكون صحيحًا ≥ 0",IF(AND($F2739="Baseline",$H2739&lt;&gt;""),"⚠ Baseline: Start لا يدخل في التقدم",IF($K2739="No Start (attainment only)","ℹ تحصيل فقط (بدون Start)",IF($K2739="U – needs rule","ℹ حالة U تحتاج قاعدة معتمدة",IF($K2739="No result","ℹ بدون نتيجة (يُستبعد من التحصيل)","OK")))))))))))</f>
        <v/>
      </c>
      <c r="M2739" s="64" t="n">
        <f aca="false">IF($A2739="",0,IFERROR(MATCH($A2739,Classes!$A$6:$A$420,0),0))</f>
        <v>0</v>
      </c>
      <c r="N2739" s="64" t="n">
        <f aca="false">IF($H2739="",0,IFERROR(MATCH($H2739,GradeList,0),0))</f>
        <v>0</v>
      </c>
      <c r="O2739" s="64" t="n">
        <f aca="false">IF(OR($I2739="",$I2739="NR"),0,IFERROR(MATCH($I2739,GradeList,0),0))</f>
        <v>0</v>
      </c>
      <c r="P2739" s="64" t="n">
        <f aca="false">IF(AND($M2739&gt;0,ISNUMBER(MATCH($F2739,Lists!$A$2:$A$5,0)),ISNUMBER(MATCH($G2739,Lists!$B$2:$B$7,0)),OR($H2739="",$N2739&gt;0),OR($I2739="",$I2739="NR",$O2739&gt;0),IF(ISNUMBER($J2739),AND($J2739&gt;=0,$J2739=INT($J2739)),FALSE())),$J2739,0)</f>
        <v>0</v>
      </c>
      <c r="Q2739" s="64" t="n">
        <f aca="false">IF(AND($P2739&gt;0,$O2739&gt;0),$P2739,0)</f>
        <v>0</v>
      </c>
      <c r="R2739" s="64" t="n">
        <f aca="false">IF(AND($Q2739&gt;0,$O2739&gt;=AtRank),$Q2739,0)</f>
        <v>0</v>
      </c>
      <c r="S2739" s="64" t="n">
        <f aca="false">IF(AND($Q2739&gt;0,$O2739&gt;=AboveRank),$Q2739,0)</f>
        <v>0</v>
      </c>
      <c r="T2739" s="64" t="n">
        <f aca="false">IF($K2739="Less",$P2739,0)</f>
        <v>0</v>
      </c>
      <c r="U2739" s="64" t="n">
        <f aca="false">IF($K2739="Expected",$P2739,0)</f>
        <v>0</v>
      </c>
      <c r="V2739" s="64" t="n">
        <f aca="false">IF($K2739="Better",$P2739,0)</f>
        <v>0</v>
      </c>
      <c r="W2739" s="64" t="n">
        <f aca="false">IF($K2739="U – needs rule",$P2739,0)</f>
        <v>0</v>
      </c>
      <c r="X2739" s="64" t="n">
        <f aca="false">IF($K2739="No Start (attainment only)",$P2739,0)</f>
        <v>0</v>
      </c>
    </row>
    <row r="2740" customFormat="false" ht="15" hidden="false" customHeight="false" outlineLevel="0" collapsed="false">
      <c r="A2740" s="60"/>
      <c r="B2740" s="61" t="str">
        <f aca="false">IF($M2740=0,"",INDEX(Classes!$E$6:$E$420,$M2740))</f>
        <v/>
      </c>
      <c r="C2740" s="62" t="str">
        <f aca="false">IF($M2740=0,"",INDEX(Classes!$H$6:$H$420,$M2740))</f>
        <v/>
      </c>
      <c r="D2740" s="61" t="str">
        <f aca="false">IF($M2740=0,"",INDEX(Classes!$B$6:$B$420,$M2740))</f>
        <v/>
      </c>
      <c r="E2740" s="61" t="str">
        <f aca="false">IF($M2740=0,"",INDEX(Classes!$C$6:$C$420,$M2740))</f>
        <v/>
      </c>
      <c r="F2740" s="63"/>
      <c r="G2740" s="63"/>
      <c r="H2740" s="60"/>
      <c r="I2740" s="60"/>
      <c r="J2740" s="63"/>
      <c r="K2740" s="61" t="str">
        <f aca="false">IF($P2740=0,"",IF($F2740="Baseline","— Baseline",IF($O2740=0,"No result",IF($N2740=0,"No Start (attainment only)",IF(OR($N2740=1,$O2740=1),"U – needs rule",INDEX(MxBody,MATCH($I2740,MxCurr,0),MATCH($H2740,MxStart,0)))))))</f>
        <v/>
      </c>
      <c r="L2740" s="62" t="str">
        <f aca="false">IF(COUNTA($A2740,$F2740,$G2740,$H2740,$I2740,$J2740)=0,"",IF($M2740=0,"✖ كود الصف غير موجود",IF(ISNA(MATCH($F2740,Lists!$A$2:$A$5,0)),"✖ الفترة غير صحيحة",IF(ISNA(MATCH($G2740,Lists!$B$2:$B$7,0)),"✖ المجموعة غير صحيحة",IF(NOT(OR($H2740="",$N2740&gt;0)),"✖ Start غير صحيح",IF(NOT(OR($I2740="",$I2740="NR",$O2740&gt;0)),"✖ Current غير صحيح",IF(NOT(IF(ISNUMBER($J2740),AND($J2740&gt;=0,$J2740=INT($J2740)),FALSE())),"✖ العدد يجب أن يكون صحيحًا ≥ 0",IF(AND($F2740="Baseline",$H2740&lt;&gt;""),"⚠ Baseline: Start لا يدخل في التقدم",IF($K2740="No Start (attainment only)","ℹ تحصيل فقط (بدون Start)",IF($K2740="U – needs rule","ℹ حالة U تحتاج قاعدة معتمدة",IF($K2740="No result","ℹ بدون نتيجة (يُستبعد من التحصيل)","OK")))))))))))</f>
        <v/>
      </c>
      <c r="M2740" s="64" t="n">
        <f aca="false">IF($A2740="",0,IFERROR(MATCH($A2740,Classes!$A$6:$A$420,0),0))</f>
        <v>0</v>
      </c>
      <c r="N2740" s="64" t="n">
        <f aca="false">IF($H2740="",0,IFERROR(MATCH($H2740,GradeList,0),0))</f>
        <v>0</v>
      </c>
      <c r="O2740" s="64" t="n">
        <f aca="false">IF(OR($I2740="",$I2740="NR"),0,IFERROR(MATCH($I2740,GradeList,0),0))</f>
        <v>0</v>
      </c>
      <c r="P2740" s="64" t="n">
        <f aca="false">IF(AND($M2740&gt;0,ISNUMBER(MATCH($F2740,Lists!$A$2:$A$5,0)),ISNUMBER(MATCH($G2740,Lists!$B$2:$B$7,0)),OR($H2740="",$N2740&gt;0),OR($I2740="",$I2740="NR",$O2740&gt;0),IF(ISNUMBER($J2740),AND($J2740&gt;=0,$J2740=INT($J2740)),FALSE())),$J2740,0)</f>
        <v>0</v>
      </c>
      <c r="Q2740" s="64" t="n">
        <f aca="false">IF(AND($P2740&gt;0,$O2740&gt;0),$P2740,0)</f>
        <v>0</v>
      </c>
      <c r="R2740" s="64" t="n">
        <f aca="false">IF(AND($Q2740&gt;0,$O2740&gt;=AtRank),$Q2740,0)</f>
        <v>0</v>
      </c>
      <c r="S2740" s="64" t="n">
        <f aca="false">IF(AND($Q2740&gt;0,$O2740&gt;=AboveRank),$Q2740,0)</f>
        <v>0</v>
      </c>
      <c r="T2740" s="64" t="n">
        <f aca="false">IF($K2740="Less",$P2740,0)</f>
        <v>0</v>
      </c>
      <c r="U2740" s="64" t="n">
        <f aca="false">IF($K2740="Expected",$P2740,0)</f>
        <v>0</v>
      </c>
      <c r="V2740" s="64" t="n">
        <f aca="false">IF($K2740="Better",$P2740,0)</f>
        <v>0</v>
      </c>
      <c r="W2740" s="64" t="n">
        <f aca="false">IF($K2740="U – needs rule",$P2740,0)</f>
        <v>0</v>
      </c>
      <c r="X2740" s="64" t="n">
        <f aca="false">IF($K2740="No Start (attainment only)",$P2740,0)</f>
        <v>0</v>
      </c>
    </row>
    <row r="2741" customFormat="false" ht="15" hidden="false" customHeight="false" outlineLevel="0" collapsed="false">
      <c r="A2741" s="60"/>
      <c r="B2741" s="61" t="str">
        <f aca="false">IF($M2741=0,"",INDEX(Classes!$E$6:$E$420,$M2741))</f>
        <v/>
      </c>
      <c r="C2741" s="62" t="str">
        <f aca="false">IF($M2741=0,"",INDEX(Classes!$H$6:$H$420,$M2741))</f>
        <v/>
      </c>
      <c r="D2741" s="61" t="str">
        <f aca="false">IF($M2741=0,"",INDEX(Classes!$B$6:$B$420,$M2741))</f>
        <v/>
      </c>
      <c r="E2741" s="61" t="str">
        <f aca="false">IF($M2741=0,"",INDEX(Classes!$C$6:$C$420,$M2741))</f>
        <v/>
      </c>
      <c r="F2741" s="63"/>
      <c r="G2741" s="63"/>
      <c r="H2741" s="60"/>
      <c r="I2741" s="60"/>
      <c r="J2741" s="63"/>
      <c r="K2741" s="61" t="str">
        <f aca="false">IF($P2741=0,"",IF($F2741="Baseline","— Baseline",IF($O2741=0,"No result",IF($N2741=0,"No Start (attainment only)",IF(OR($N2741=1,$O2741=1),"U – needs rule",INDEX(MxBody,MATCH($I2741,MxCurr,0),MATCH($H2741,MxStart,0)))))))</f>
        <v/>
      </c>
      <c r="L2741" s="62" t="str">
        <f aca="false">IF(COUNTA($A2741,$F2741,$G2741,$H2741,$I2741,$J2741)=0,"",IF($M2741=0,"✖ كود الصف غير موجود",IF(ISNA(MATCH($F2741,Lists!$A$2:$A$5,0)),"✖ الفترة غير صحيحة",IF(ISNA(MATCH($G2741,Lists!$B$2:$B$7,0)),"✖ المجموعة غير صحيحة",IF(NOT(OR($H2741="",$N2741&gt;0)),"✖ Start غير صحيح",IF(NOT(OR($I2741="",$I2741="NR",$O2741&gt;0)),"✖ Current غير صحيح",IF(NOT(IF(ISNUMBER($J2741),AND($J2741&gt;=0,$J2741=INT($J2741)),FALSE())),"✖ العدد يجب أن يكون صحيحًا ≥ 0",IF(AND($F2741="Baseline",$H2741&lt;&gt;""),"⚠ Baseline: Start لا يدخل في التقدم",IF($K2741="No Start (attainment only)","ℹ تحصيل فقط (بدون Start)",IF($K2741="U – needs rule","ℹ حالة U تحتاج قاعدة معتمدة",IF($K2741="No result","ℹ بدون نتيجة (يُستبعد من التحصيل)","OK")))))))))))</f>
        <v/>
      </c>
      <c r="M2741" s="64" t="n">
        <f aca="false">IF($A2741="",0,IFERROR(MATCH($A2741,Classes!$A$6:$A$420,0),0))</f>
        <v>0</v>
      </c>
      <c r="N2741" s="64" t="n">
        <f aca="false">IF($H2741="",0,IFERROR(MATCH($H2741,GradeList,0),0))</f>
        <v>0</v>
      </c>
      <c r="O2741" s="64" t="n">
        <f aca="false">IF(OR($I2741="",$I2741="NR"),0,IFERROR(MATCH($I2741,GradeList,0),0))</f>
        <v>0</v>
      </c>
      <c r="P2741" s="64" t="n">
        <f aca="false">IF(AND($M2741&gt;0,ISNUMBER(MATCH($F2741,Lists!$A$2:$A$5,0)),ISNUMBER(MATCH($G2741,Lists!$B$2:$B$7,0)),OR($H2741="",$N2741&gt;0),OR($I2741="",$I2741="NR",$O2741&gt;0),IF(ISNUMBER($J2741),AND($J2741&gt;=0,$J2741=INT($J2741)),FALSE())),$J2741,0)</f>
        <v>0</v>
      </c>
      <c r="Q2741" s="64" t="n">
        <f aca="false">IF(AND($P2741&gt;0,$O2741&gt;0),$P2741,0)</f>
        <v>0</v>
      </c>
      <c r="R2741" s="64" t="n">
        <f aca="false">IF(AND($Q2741&gt;0,$O2741&gt;=AtRank),$Q2741,0)</f>
        <v>0</v>
      </c>
      <c r="S2741" s="64" t="n">
        <f aca="false">IF(AND($Q2741&gt;0,$O2741&gt;=AboveRank),$Q2741,0)</f>
        <v>0</v>
      </c>
      <c r="T2741" s="64" t="n">
        <f aca="false">IF($K2741="Less",$P2741,0)</f>
        <v>0</v>
      </c>
      <c r="U2741" s="64" t="n">
        <f aca="false">IF($K2741="Expected",$P2741,0)</f>
        <v>0</v>
      </c>
      <c r="V2741" s="64" t="n">
        <f aca="false">IF($K2741="Better",$P2741,0)</f>
        <v>0</v>
      </c>
      <c r="W2741" s="64" t="n">
        <f aca="false">IF($K2741="U – needs rule",$P2741,0)</f>
        <v>0</v>
      </c>
      <c r="X2741" s="64" t="n">
        <f aca="false">IF($K2741="No Start (attainment only)",$P2741,0)</f>
        <v>0</v>
      </c>
    </row>
    <row r="2742" customFormat="false" ht="15" hidden="false" customHeight="false" outlineLevel="0" collapsed="false">
      <c r="A2742" s="60"/>
      <c r="B2742" s="61" t="str">
        <f aca="false">IF($M2742=0,"",INDEX(Classes!$E$6:$E$420,$M2742))</f>
        <v/>
      </c>
      <c r="C2742" s="62" t="str">
        <f aca="false">IF($M2742=0,"",INDEX(Classes!$H$6:$H$420,$M2742))</f>
        <v/>
      </c>
      <c r="D2742" s="61" t="str">
        <f aca="false">IF($M2742=0,"",INDEX(Classes!$B$6:$B$420,$M2742))</f>
        <v/>
      </c>
      <c r="E2742" s="61" t="str">
        <f aca="false">IF($M2742=0,"",INDEX(Classes!$C$6:$C$420,$M2742))</f>
        <v/>
      </c>
      <c r="F2742" s="63"/>
      <c r="G2742" s="63"/>
      <c r="H2742" s="60"/>
      <c r="I2742" s="60"/>
      <c r="J2742" s="63"/>
      <c r="K2742" s="61" t="str">
        <f aca="false">IF($P2742=0,"",IF($F2742="Baseline","— Baseline",IF($O2742=0,"No result",IF($N2742=0,"No Start (attainment only)",IF(OR($N2742=1,$O2742=1),"U – needs rule",INDEX(MxBody,MATCH($I2742,MxCurr,0),MATCH($H2742,MxStart,0)))))))</f>
        <v/>
      </c>
      <c r="L2742" s="62" t="str">
        <f aca="false">IF(COUNTA($A2742,$F2742,$G2742,$H2742,$I2742,$J2742)=0,"",IF($M2742=0,"✖ كود الصف غير موجود",IF(ISNA(MATCH($F2742,Lists!$A$2:$A$5,0)),"✖ الفترة غير صحيحة",IF(ISNA(MATCH($G2742,Lists!$B$2:$B$7,0)),"✖ المجموعة غير صحيحة",IF(NOT(OR($H2742="",$N2742&gt;0)),"✖ Start غير صحيح",IF(NOT(OR($I2742="",$I2742="NR",$O2742&gt;0)),"✖ Current غير صحيح",IF(NOT(IF(ISNUMBER($J2742),AND($J2742&gt;=0,$J2742=INT($J2742)),FALSE())),"✖ العدد يجب أن يكون صحيحًا ≥ 0",IF(AND($F2742="Baseline",$H2742&lt;&gt;""),"⚠ Baseline: Start لا يدخل في التقدم",IF($K2742="No Start (attainment only)","ℹ تحصيل فقط (بدون Start)",IF($K2742="U – needs rule","ℹ حالة U تحتاج قاعدة معتمدة",IF($K2742="No result","ℹ بدون نتيجة (يُستبعد من التحصيل)","OK")))))))))))</f>
        <v/>
      </c>
      <c r="M2742" s="64" t="n">
        <f aca="false">IF($A2742="",0,IFERROR(MATCH($A2742,Classes!$A$6:$A$420,0),0))</f>
        <v>0</v>
      </c>
      <c r="N2742" s="64" t="n">
        <f aca="false">IF($H2742="",0,IFERROR(MATCH($H2742,GradeList,0),0))</f>
        <v>0</v>
      </c>
      <c r="O2742" s="64" t="n">
        <f aca="false">IF(OR($I2742="",$I2742="NR"),0,IFERROR(MATCH($I2742,GradeList,0),0))</f>
        <v>0</v>
      </c>
      <c r="P2742" s="64" t="n">
        <f aca="false">IF(AND($M2742&gt;0,ISNUMBER(MATCH($F2742,Lists!$A$2:$A$5,0)),ISNUMBER(MATCH($G2742,Lists!$B$2:$B$7,0)),OR($H2742="",$N2742&gt;0),OR($I2742="",$I2742="NR",$O2742&gt;0),IF(ISNUMBER($J2742),AND($J2742&gt;=0,$J2742=INT($J2742)),FALSE())),$J2742,0)</f>
        <v>0</v>
      </c>
      <c r="Q2742" s="64" t="n">
        <f aca="false">IF(AND($P2742&gt;0,$O2742&gt;0),$P2742,0)</f>
        <v>0</v>
      </c>
      <c r="R2742" s="64" t="n">
        <f aca="false">IF(AND($Q2742&gt;0,$O2742&gt;=AtRank),$Q2742,0)</f>
        <v>0</v>
      </c>
      <c r="S2742" s="64" t="n">
        <f aca="false">IF(AND($Q2742&gt;0,$O2742&gt;=AboveRank),$Q2742,0)</f>
        <v>0</v>
      </c>
      <c r="T2742" s="64" t="n">
        <f aca="false">IF($K2742="Less",$P2742,0)</f>
        <v>0</v>
      </c>
      <c r="U2742" s="64" t="n">
        <f aca="false">IF($K2742="Expected",$P2742,0)</f>
        <v>0</v>
      </c>
      <c r="V2742" s="64" t="n">
        <f aca="false">IF($K2742="Better",$P2742,0)</f>
        <v>0</v>
      </c>
      <c r="W2742" s="64" t="n">
        <f aca="false">IF($K2742="U – needs rule",$P2742,0)</f>
        <v>0</v>
      </c>
      <c r="X2742" s="64" t="n">
        <f aca="false">IF($K2742="No Start (attainment only)",$P2742,0)</f>
        <v>0</v>
      </c>
    </row>
    <row r="2743" customFormat="false" ht="15" hidden="false" customHeight="false" outlineLevel="0" collapsed="false">
      <c r="A2743" s="60"/>
      <c r="B2743" s="61" t="str">
        <f aca="false">IF($M2743=0,"",INDEX(Classes!$E$6:$E$420,$M2743))</f>
        <v/>
      </c>
      <c r="C2743" s="62" t="str">
        <f aca="false">IF($M2743=0,"",INDEX(Classes!$H$6:$H$420,$M2743))</f>
        <v/>
      </c>
      <c r="D2743" s="61" t="str">
        <f aca="false">IF($M2743=0,"",INDEX(Classes!$B$6:$B$420,$M2743))</f>
        <v/>
      </c>
      <c r="E2743" s="61" t="str">
        <f aca="false">IF($M2743=0,"",INDEX(Classes!$C$6:$C$420,$M2743))</f>
        <v/>
      </c>
      <c r="F2743" s="63"/>
      <c r="G2743" s="63"/>
      <c r="H2743" s="60"/>
      <c r="I2743" s="60"/>
      <c r="J2743" s="63"/>
      <c r="K2743" s="61" t="str">
        <f aca="false">IF($P2743=0,"",IF($F2743="Baseline","— Baseline",IF($O2743=0,"No result",IF($N2743=0,"No Start (attainment only)",IF(OR($N2743=1,$O2743=1),"U – needs rule",INDEX(MxBody,MATCH($I2743,MxCurr,0),MATCH($H2743,MxStart,0)))))))</f>
        <v/>
      </c>
      <c r="L2743" s="62" t="str">
        <f aca="false">IF(COUNTA($A2743,$F2743,$G2743,$H2743,$I2743,$J2743)=0,"",IF($M2743=0,"✖ كود الصف غير موجود",IF(ISNA(MATCH($F2743,Lists!$A$2:$A$5,0)),"✖ الفترة غير صحيحة",IF(ISNA(MATCH($G2743,Lists!$B$2:$B$7,0)),"✖ المجموعة غير صحيحة",IF(NOT(OR($H2743="",$N2743&gt;0)),"✖ Start غير صحيح",IF(NOT(OR($I2743="",$I2743="NR",$O2743&gt;0)),"✖ Current غير صحيح",IF(NOT(IF(ISNUMBER($J2743),AND($J2743&gt;=0,$J2743=INT($J2743)),FALSE())),"✖ العدد يجب أن يكون صحيحًا ≥ 0",IF(AND($F2743="Baseline",$H2743&lt;&gt;""),"⚠ Baseline: Start لا يدخل في التقدم",IF($K2743="No Start (attainment only)","ℹ تحصيل فقط (بدون Start)",IF($K2743="U – needs rule","ℹ حالة U تحتاج قاعدة معتمدة",IF($K2743="No result","ℹ بدون نتيجة (يُستبعد من التحصيل)","OK")))))))))))</f>
        <v/>
      </c>
      <c r="M2743" s="64" t="n">
        <f aca="false">IF($A2743="",0,IFERROR(MATCH($A2743,Classes!$A$6:$A$420,0),0))</f>
        <v>0</v>
      </c>
      <c r="N2743" s="64" t="n">
        <f aca="false">IF($H2743="",0,IFERROR(MATCH($H2743,GradeList,0),0))</f>
        <v>0</v>
      </c>
      <c r="O2743" s="64" t="n">
        <f aca="false">IF(OR($I2743="",$I2743="NR"),0,IFERROR(MATCH($I2743,GradeList,0),0))</f>
        <v>0</v>
      </c>
      <c r="P2743" s="64" t="n">
        <f aca="false">IF(AND($M2743&gt;0,ISNUMBER(MATCH($F2743,Lists!$A$2:$A$5,0)),ISNUMBER(MATCH($G2743,Lists!$B$2:$B$7,0)),OR($H2743="",$N2743&gt;0),OR($I2743="",$I2743="NR",$O2743&gt;0),IF(ISNUMBER($J2743),AND($J2743&gt;=0,$J2743=INT($J2743)),FALSE())),$J2743,0)</f>
        <v>0</v>
      </c>
      <c r="Q2743" s="64" t="n">
        <f aca="false">IF(AND($P2743&gt;0,$O2743&gt;0),$P2743,0)</f>
        <v>0</v>
      </c>
      <c r="R2743" s="64" t="n">
        <f aca="false">IF(AND($Q2743&gt;0,$O2743&gt;=AtRank),$Q2743,0)</f>
        <v>0</v>
      </c>
      <c r="S2743" s="64" t="n">
        <f aca="false">IF(AND($Q2743&gt;0,$O2743&gt;=AboveRank),$Q2743,0)</f>
        <v>0</v>
      </c>
      <c r="T2743" s="64" t="n">
        <f aca="false">IF($K2743="Less",$P2743,0)</f>
        <v>0</v>
      </c>
      <c r="U2743" s="64" t="n">
        <f aca="false">IF($K2743="Expected",$P2743,0)</f>
        <v>0</v>
      </c>
      <c r="V2743" s="64" t="n">
        <f aca="false">IF($K2743="Better",$P2743,0)</f>
        <v>0</v>
      </c>
      <c r="W2743" s="64" t="n">
        <f aca="false">IF($K2743="U – needs rule",$P2743,0)</f>
        <v>0</v>
      </c>
      <c r="X2743" s="64" t="n">
        <f aca="false">IF($K2743="No Start (attainment only)",$P2743,0)</f>
        <v>0</v>
      </c>
    </row>
    <row r="2744" customFormat="false" ht="15" hidden="false" customHeight="false" outlineLevel="0" collapsed="false">
      <c r="A2744" s="60"/>
      <c r="B2744" s="61" t="str">
        <f aca="false">IF($M2744=0,"",INDEX(Classes!$E$6:$E$420,$M2744))</f>
        <v/>
      </c>
      <c r="C2744" s="62" t="str">
        <f aca="false">IF($M2744=0,"",INDEX(Classes!$H$6:$H$420,$M2744))</f>
        <v/>
      </c>
      <c r="D2744" s="61" t="str">
        <f aca="false">IF($M2744=0,"",INDEX(Classes!$B$6:$B$420,$M2744))</f>
        <v/>
      </c>
      <c r="E2744" s="61" t="str">
        <f aca="false">IF($M2744=0,"",INDEX(Classes!$C$6:$C$420,$M2744))</f>
        <v/>
      </c>
      <c r="F2744" s="63"/>
      <c r="G2744" s="63"/>
      <c r="H2744" s="60"/>
      <c r="I2744" s="60"/>
      <c r="J2744" s="63"/>
      <c r="K2744" s="61" t="str">
        <f aca="false">IF($P2744=0,"",IF($F2744="Baseline","— Baseline",IF($O2744=0,"No result",IF($N2744=0,"No Start (attainment only)",IF(OR($N2744=1,$O2744=1),"U – needs rule",INDEX(MxBody,MATCH($I2744,MxCurr,0),MATCH($H2744,MxStart,0)))))))</f>
        <v/>
      </c>
      <c r="L2744" s="62" t="str">
        <f aca="false">IF(COUNTA($A2744,$F2744,$G2744,$H2744,$I2744,$J2744)=0,"",IF($M2744=0,"✖ كود الصف غير موجود",IF(ISNA(MATCH($F2744,Lists!$A$2:$A$5,0)),"✖ الفترة غير صحيحة",IF(ISNA(MATCH($G2744,Lists!$B$2:$B$7,0)),"✖ المجموعة غير صحيحة",IF(NOT(OR($H2744="",$N2744&gt;0)),"✖ Start غير صحيح",IF(NOT(OR($I2744="",$I2744="NR",$O2744&gt;0)),"✖ Current غير صحيح",IF(NOT(IF(ISNUMBER($J2744),AND($J2744&gt;=0,$J2744=INT($J2744)),FALSE())),"✖ العدد يجب أن يكون صحيحًا ≥ 0",IF(AND($F2744="Baseline",$H2744&lt;&gt;""),"⚠ Baseline: Start لا يدخل في التقدم",IF($K2744="No Start (attainment only)","ℹ تحصيل فقط (بدون Start)",IF($K2744="U – needs rule","ℹ حالة U تحتاج قاعدة معتمدة",IF($K2744="No result","ℹ بدون نتيجة (يُستبعد من التحصيل)","OK")))))))))))</f>
        <v/>
      </c>
      <c r="M2744" s="64" t="n">
        <f aca="false">IF($A2744="",0,IFERROR(MATCH($A2744,Classes!$A$6:$A$420,0),0))</f>
        <v>0</v>
      </c>
      <c r="N2744" s="64" t="n">
        <f aca="false">IF($H2744="",0,IFERROR(MATCH($H2744,GradeList,0),0))</f>
        <v>0</v>
      </c>
      <c r="O2744" s="64" t="n">
        <f aca="false">IF(OR($I2744="",$I2744="NR"),0,IFERROR(MATCH($I2744,GradeList,0),0))</f>
        <v>0</v>
      </c>
      <c r="P2744" s="64" t="n">
        <f aca="false">IF(AND($M2744&gt;0,ISNUMBER(MATCH($F2744,Lists!$A$2:$A$5,0)),ISNUMBER(MATCH($G2744,Lists!$B$2:$B$7,0)),OR($H2744="",$N2744&gt;0),OR($I2744="",$I2744="NR",$O2744&gt;0),IF(ISNUMBER($J2744),AND($J2744&gt;=0,$J2744=INT($J2744)),FALSE())),$J2744,0)</f>
        <v>0</v>
      </c>
      <c r="Q2744" s="64" t="n">
        <f aca="false">IF(AND($P2744&gt;0,$O2744&gt;0),$P2744,0)</f>
        <v>0</v>
      </c>
      <c r="R2744" s="64" t="n">
        <f aca="false">IF(AND($Q2744&gt;0,$O2744&gt;=AtRank),$Q2744,0)</f>
        <v>0</v>
      </c>
      <c r="S2744" s="64" t="n">
        <f aca="false">IF(AND($Q2744&gt;0,$O2744&gt;=AboveRank),$Q2744,0)</f>
        <v>0</v>
      </c>
      <c r="T2744" s="64" t="n">
        <f aca="false">IF($K2744="Less",$P2744,0)</f>
        <v>0</v>
      </c>
      <c r="U2744" s="64" t="n">
        <f aca="false">IF($K2744="Expected",$P2744,0)</f>
        <v>0</v>
      </c>
      <c r="V2744" s="64" t="n">
        <f aca="false">IF($K2744="Better",$P2744,0)</f>
        <v>0</v>
      </c>
      <c r="W2744" s="64" t="n">
        <f aca="false">IF($K2744="U – needs rule",$P2744,0)</f>
        <v>0</v>
      </c>
      <c r="X2744" s="64" t="n">
        <f aca="false">IF($K2744="No Start (attainment only)",$P2744,0)</f>
        <v>0</v>
      </c>
    </row>
    <row r="2745" customFormat="false" ht="15" hidden="false" customHeight="false" outlineLevel="0" collapsed="false">
      <c r="A2745" s="60"/>
      <c r="B2745" s="61" t="str">
        <f aca="false">IF($M2745=0,"",INDEX(Classes!$E$6:$E$420,$M2745))</f>
        <v/>
      </c>
      <c r="C2745" s="62" t="str">
        <f aca="false">IF($M2745=0,"",INDEX(Classes!$H$6:$H$420,$M2745))</f>
        <v/>
      </c>
      <c r="D2745" s="61" t="str">
        <f aca="false">IF($M2745=0,"",INDEX(Classes!$B$6:$B$420,$M2745))</f>
        <v/>
      </c>
      <c r="E2745" s="61" t="str">
        <f aca="false">IF($M2745=0,"",INDEX(Classes!$C$6:$C$420,$M2745))</f>
        <v/>
      </c>
      <c r="F2745" s="63"/>
      <c r="G2745" s="63"/>
      <c r="H2745" s="60"/>
      <c r="I2745" s="60"/>
      <c r="J2745" s="63"/>
      <c r="K2745" s="61" t="str">
        <f aca="false">IF($P2745=0,"",IF($F2745="Baseline","— Baseline",IF($O2745=0,"No result",IF($N2745=0,"No Start (attainment only)",IF(OR($N2745=1,$O2745=1),"U – needs rule",INDEX(MxBody,MATCH($I2745,MxCurr,0),MATCH($H2745,MxStart,0)))))))</f>
        <v/>
      </c>
      <c r="L2745" s="62" t="str">
        <f aca="false">IF(COUNTA($A2745,$F2745,$G2745,$H2745,$I2745,$J2745)=0,"",IF($M2745=0,"✖ كود الصف غير موجود",IF(ISNA(MATCH($F2745,Lists!$A$2:$A$5,0)),"✖ الفترة غير صحيحة",IF(ISNA(MATCH($G2745,Lists!$B$2:$B$7,0)),"✖ المجموعة غير صحيحة",IF(NOT(OR($H2745="",$N2745&gt;0)),"✖ Start غير صحيح",IF(NOT(OR($I2745="",$I2745="NR",$O2745&gt;0)),"✖ Current غير صحيح",IF(NOT(IF(ISNUMBER($J2745),AND($J2745&gt;=0,$J2745=INT($J2745)),FALSE())),"✖ العدد يجب أن يكون صحيحًا ≥ 0",IF(AND($F2745="Baseline",$H2745&lt;&gt;""),"⚠ Baseline: Start لا يدخل في التقدم",IF($K2745="No Start (attainment only)","ℹ تحصيل فقط (بدون Start)",IF($K2745="U – needs rule","ℹ حالة U تحتاج قاعدة معتمدة",IF($K2745="No result","ℹ بدون نتيجة (يُستبعد من التحصيل)","OK")))))))))))</f>
        <v/>
      </c>
      <c r="M2745" s="64" t="n">
        <f aca="false">IF($A2745="",0,IFERROR(MATCH($A2745,Classes!$A$6:$A$420,0),0))</f>
        <v>0</v>
      </c>
      <c r="N2745" s="64" t="n">
        <f aca="false">IF($H2745="",0,IFERROR(MATCH($H2745,GradeList,0),0))</f>
        <v>0</v>
      </c>
      <c r="O2745" s="64" t="n">
        <f aca="false">IF(OR($I2745="",$I2745="NR"),0,IFERROR(MATCH($I2745,GradeList,0),0))</f>
        <v>0</v>
      </c>
      <c r="P2745" s="64" t="n">
        <f aca="false">IF(AND($M2745&gt;0,ISNUMBER(MATCH($F2745,Lists!$A$2:$A$5,0)),ISNUMBER(MATCH($G2745,Lists!$B$2:$B$7,0)),OR($H2745="",$N2745&gt;0),OR($I2745="",$I2745="NR",$O2745&gt;0),IF(ISNUMBER($J2745),AND($J2745&gt;=0,$J2745=INT($J2745)),FALSE())),$J2745,0)</f>
        <v>0</v>
      </c>
      <c r="Q2745" s="64" t="n">
        <f aca="false">IF(AND($P2745&gt;0,$O2745&gt;0),$P2745,0)</f>
        <v>0</v>
      </c>
      <c r="R2745" s="64" t="n">
        <f aca="false">IF(AND($Q2745&gt;0,$O2745&gt;=AtRank),$Q2745,0)</f>
        <v>0</v>
      </c>
      <c r="S2745" s="64" t="n">
        <f aca="false">IF(AND($Q2745&gt;0,$O2745&gt;=AboveRank),$Q2745,0)</f>
        <v>0</v>
      </c>
      <c r="T2745" s="64" t="n">
        <f aca="false">IF($K2745="Less",$P2745,0)</f>
        <v>0</v>
      </c>
      <c r="U2745" s="64" t="n">
        <f aca="false">IF($K2745="Expected",$P2745,0)</f>
        <v>0</v>
      </c>
      <c r="V2745" s="64" t="n">
        <f aca="false">IF($K2745="Better",$P2745,0)</f>
        <v>0</v>
      </c>
      <c r="W2745" s="64" t="n">
        <f aca="false">IF($K2745="U – needs rule",$P2745,0)</f>
        <v>0</v>
      </c>
      <c r="X2745" s="64" t="n">
        <f aca="false">IF($K2745="No Start (attainment only)",$P2745,0)</f>
        <v>0</v>
      </c>
    </row>
    <row r="2746" customFormat="false" ht="15" hidden="false" customHeight="false" outlineLevel="0" collapsed="false">
      <c r="A2746" s="60"/>
      <c r="B2746" s="61" t="str">
        <f aca="false">IF($M2746=0,"",INDEX(Classes!$E$6:$E$420,$M2746))</f>
        <v/>
      </c>
      <c r="C2746" s="62" t="str">
        <f aca="false">IF($M2746=0,"",INDEX(Classes!$H$6:$H$420,$M2746))</f>
        <v/>
      </c>
      <c r="D2746" s="61" t="str">
        <f aca="false">IF($M2746=0,"",INDEX(Classes!$B$6:$B$420,$M2746))</f>
        <v/>
      </c>
      <c r="E2746" s="61" t="str">
        <f aca="false">IF($M2746=0,"",INDEX(Classes!$C$6:$C$420,$M2746))</f>
        <v/>
      </c>
      <c r="F2746" s="63"/>
      <c r="G2746" s="63"/>
      <c r="H2746" s="60"/>
      <c r="I2746" s="60"/>
      <c r="J2746" s="63"/>
      <c r="K2746" s="61" t="str">
        <f aca="false">IF($P2746=0,"",IF($F2746="Baseline","— Baseline",IF($O2746=0,"No result",IF($N2746=0,"No Start (attainment only)",IF(OR($N2746=1,$O2746=1),"U – needs rule",INDEX(MxBody,MATCH($I2746,MxCurr,0),MATCH($H2746,MxStart,0)))))))</f>
        <v/>
      </c>
      <c r="L2746" s="62" t="str">
        <f aca="false">IF(COUNTA($A2746,$F2746,$G2746,$H2746,$I2746,$J2746)=0,"",IF($M2746=0,"✖ كود الصف غير موجود",IF(ISNA(MATCH($F2746,Lists!$A$2:$A$5,0)),"✖ الفترة غير صحيحة",IF(ISNA(MATCH($G2746,Lists!$B$2:$B$7,0)),"✖ المجموعة غير صحيحة",IF(NOT(OR($H2746="",$N2746&gt;0)),"✖ Start غير صحيح",IF(NOT(OR($I2746="",$I2746="NR",$O2746&gt;0)),"✖ Current غير صحيح",IF(NOT(IF(ISNUMBER($J2746),AND($J2746&gt;=0,$J2746=INT($J2746)),FALSE())),"✖ العدد يجب أن يكون صحيحًا ≥ 0",IF(AND($F2746="Baseline",$H2746&lt;&gt;""),"⚠ Baseline: Start لا يدخل في التقدم",IF($K2746="No Start (attainment only)","ℹ تحصيل فقط (بدون Start)",IF($K2746="U – needs rule","ℹ حالة U تحتاج قاعدة معتمدة",IF($K2746="No result","ℹ بدون نتيجة (يُستبعد من التحصيل)","OK")))))))))))</f>
        <v/>
      </c>
      <c r="M2746" s="64" t="n">
        <f aca="false">IF($A2746="",0,IFERROR(MATCH($A2746,Classes!$A$6:$A$420,0),0))</f>
        <v>0</v>
      </c>
      <c r="N2746" s="64" t="n">
        <f aca="false">IF($H2746="",0,IFERROR(MATCH($H2746,GradeList,0),0))</f>
        <v>0</v>
      </c>
      <c r="O2746" s="64" t="n">
        <f aca="false">IF(OR($I2746="",$I2746="NR"),0,IFERROR(MATCH($I2746,GradeList,0),0))</f>
        <v>0</v>
      </c>
      <c r="P2746" s="64" t="n">
        <f aca="false">IF(AND($M2746&gt;0,ISNUMBER(MATCH($F2746,Lists!$A$2:$A$5,0)),ISNUMBER(MATCH($G2746,Lists!$B$2:$B$7,0)),OR($H2746="",$N2746&gt;0),OR($I2746="",$I2746="NR",$O2746&gt;0),IF(ISNUMBER($J2746),AND($J2746&gt;=0,$J2746=INT($J2746)),FALSE())),$J2746,0)</f>
        <v>0</v>
      </c>
      <c r="Q2746" s="64" t="n">
        <f aca="false">IF(AND($P2746&gt;0,$O2746&gt;0),$P2746,0)</f>
        <v>0</v>
      </c>
      <c r="R2746" s="64" t="n">
        <f aca="false">IF(AND($Q2746&gt;0,$O2746&gt;=AtRank),$Q2746,0)</f>
        <v>0</v>
      </c>
      <c r="S2746" s="64" t="n">
        <f aca="false">IF(AND($Q2746&gt;0,$O2746&gt;=AboveRank),$Q2746,0)</f>
        <v>0</v>
      </c>
      <c r="T2746" s="64" t="n">
        <f aca="false">IF($K2746="Less",$P2746,0)</f>
        <v>0</v>
      </c>
      <c r="U2746" s="64" t="n">
        <f aca="false">IF($K2746="Expected",$P2746,0)</f>
        <v>0</v>
      </c>
      <c r="V2746" s="64" t="n">
        <f aca="false">IF($K2746="Better",$P2746,0)</f>
        <v>0</v>
      </c>
      <c r="W2746" s="64" t="n">
        <f aca="false">IF($K2746="U – needs rule",$P2746,0)</f>
        <v>0</v>
      </c>
      <c r="X2746" s="64" t="n">
        <f aca="false">IF($K2746="No Start (attainment only)",$P2746,0)</f>
        <v>0</v>
      </c>
    </row>
    <row r="2747" customFormat="false" ht="15" hidden="false" customHeight="false" outlineLevel="0" collapsed="false">
      <c r="A2747" s="60"/>
      <c r="B2747" s="61" t="str">
        <f aca="false">IF($M2747=0,"",INDEX(Classes!$E$6:$E$420,$M2747))</f>
        <v/>
      </c>
      <c r="C2747" s="62" t="str">
        <f aca="false">IF($M2747=0,"",INDEX(Classes!$H$6:$H$420,$M2747))</f>
        <v/>
      </c>
      <c r="D2747" s="61" t="str">
        <f aca="false">IF($M2747=0,"",INDEX(Classes!$B$6:$B$420,$M2747))</f>
        <v/>
      </c>
      <c r="E2747" s="61" t="str">
        <f aca="false">IF($M2747=0,"",INDEX(Classes!$C$6:$C$420,$M2747))</f>
        <v/>
      </c>
      <c r="F2747" s="63"/>
      <c r="G2747" s="63"/>
      <c r="H2747" s="60"/>
      <c r="I2747" s="60"/>
      <c r="J2747" s="63"/>
      <c r="K2747" s="61" t="str">
        <f aca="false">IF($P2747=0,"",IF($F2747="Baseline","— Baseline",IF($O2747=0,"No result",IF($N2747=0,"No Start (attainment only)",IF(OR($N2747=1,$O2747=1),"U – needs rule",INDEX(MxBody,MATCH($I2747,MxCurr,0),MATCH($H2747,MxStart,0)))))))</f>
        <v/>
      </c>
      <c r="L2747" s="62" t="str">
        <f aca="false">IF(COUNTA($A2747,$F2747,$G2747,$H2747,$I2747,$J2747)=0,"",IF($M2747=0,"✖ كود الصف غير موجود",IF(ISNA(MATCH($F2747,Lists!$A$2:$A$5,0)),"✖ الفترة غير صحيحة",IF(ISNA(MATCH($G2747,Lists!$B$2:$B$7,0)),"✖ المجموعة غير صحيحة",IF(NOT(OR($H2747="",$N2747&gt;0)),"✖ Start غير صحيح",IF(NOT(OR($I2747="",$I2747="NR",$O2747&gt;0)),"✖ Current غير صحيح",IF(NOT(IF(ISNUMBER($J2747),AND($J2747&gt;=0,$J2747=INT($J2747)),FALSE())),"✖ العدد يجب أن يكون صحيحًا ≥ 0",IF(AND($F2747="Baseline",$H2747&lt;&gt;""),"⚠ Baseline: Start لا يدخل في التقدم",IF($K2747="No Start (attainment only)","ℹ تحصيل فقط (بدون Start)",IF($K2747="U – needs rule","ℹ حالة U تحتاج قاعدة معتمدة",IF($K2747="No result","ℹ بدون نتيجة (يُستبعد من التحصيل)","OK")))))))))))</f>
        <v/>
      </c>
      <c r="M2747" s="64" t="n">
        <f aca="false">IF($A2747="",0,IFERROR(MATCH($A2747,Classes!$A$6:$A$420,0),0))</f>
        <v>0</v>
      </c>
      <c r="N2747" s="64" t="n">
        <f aca="false">IF($H2747="",0,IFERROR(MATCH($H2747,GradeList,0),0))</f>
        <v>0</v>
      </c>
      <c r="O2747" s="64" t="n">
        <f aca="false">IF(OR($I2747="",$I2747="NR"),0,IFERROR(MATCH($I2747,GradeList,0),0))</f>
        <v>0</v>
      </c>
      <c r="P2747" s="64" t="n">
        <f aca="false">IF(AND($M2747&gt;0,ISNUMBER(MATCH($F2747,Lists!$A$2:$A$5,0)),ISNUMBER(MATCH($G2747,Lists!$B$2:$B$7,0)),OR($H2747="",$N2747&gt;0),OR($I2747="",$I2747="NR",$O2747&gt;0),IF(ISNUMBER($J2747),AND($J2747&gt;=0,$J2747=INT($J2747)),FALSE())),$J2747,0)</f>
        <v>0</v>
      </c>
      <c r="Q2747" s="64" t="n">
        <f aca="false">IF(AND($P2747&gt;0,$O2747&gt;0),$P2747,0)</f>
        <v>0</v>
      </c>
      <c r="R2747" s="64" t="n">
        <f aca="false">IF(AND($Q2747&gt;0,$O2747&gt;=AtRank),$Q2747,0)</f>
        <v>0</v>
      </c>
      <c r="S2747" s="64" t="n">
        <f aca="false">IF(AND($Q2747&gt;0,$O2747&gt;=AboveRank),$Q2747,0)</f>
        <v>0</v>
      </c>
      <c r="T2747" s="64" t="n">
        <f aca="false">IF($K2747="Less",$P2747,0)</f>
        <v>0</v>
      </c>
      <c r="U2747" s="64" t="n">
        <f aca="false">IF($K2747="Expected",$P2747,0)</f>
        <v>0</v>
      </c>
      <c r="V2747" s="64" t="n">
        <f aca="false">IF($K2747="Better",$P2747,0)</f>
        <v>0</v>
      </c>
      <c r="W2747" s="64" t="n">
        <f aca="false">IF($K2747="U – needs rule",$P2747,0)</f>
        <v>0</v>
      </c>
      <c r="X2747" s="64" t="n">
        <f aca="false">IF($K2747="No Start (attainment only)",$P2747,0)</f>
        <v>0</v>
      </c>
    </row>
    <row r="2748" customFormat="false" ht="15" hidden="false" customHeight="false" outlineLevel="0" collapsed="false">
      <c r="A2748" s="60"/>
      <c r="B2748" s="61" t="str">
        <f aca="false">IF($M2748=0,"",INDEX(Classes!$E$6:$E$420,$M2748))</f>
        <v/>
      </c>
      <c r="C2748" s="62" t="str">
        <f aca="false">IF($M2748=0,"",INDEX(Classes!$H$6:$H$420,$M2748))</f>
        <v/>
      </c>
      <c r="D2748" s="61" t="str">
        <f aca="false">IF($M2748=0,"",INDEX(Classes!$B$6:$B$420,$M2748))</f>
        <v/>
      </c>
      <c r="E2748" s="61" t="str">
        <f aca="false">IF($M2748=0,"",INDEX(Classes!$C$6:$C$420,$M2748))</f>
        <v/>
      </c>
      <c r="F2748" s="63"/>
      <c r="G2748" s="63"/>
      <c r="H2748" s="60"/>
      <c r="I2748" s="60"/>
      <c r="J2748" s="63"/>
      <c r="K2748" s="61" t="str">
        <f aca="false">IF($P2748=0,"",IF($F2748="Baseline","— Baseline",IF($O2748=0,"No result",IF($N2748=0,"No Start (attainment only)",IF(OR($N2748=1,$O2748=1),"U – needs rule",INDEX(MxBody,MATCH($I2748,MxCurr,0),MATCH($H2748,MxStart,0)))))))</f>
        <v/>
      </c>
      <c r="L2748" s="62" t="str">
        <f aca="false">IF(COUNTA($A2748,$F2748,$G2748,$H2748,$I2748,$J2748)=0,"",IF($M2748=0,"✖ كود الصف غير موجود",IF(ISNA(MATCH($F2748,Lists!$A$2:$A$5,0)),"✖ الفترة غير صحيحة",IF(ISNA(MATCH($G2748,Lists!$B$2:$B$7,0)),"✖ المجموعة غير صحيحة",IF(NOT(OR($H2748="",$N2748&gt;0)),"✖ Start غير صحيح",IF(NOT(OR($I2748="",$I2748="NR",$O2748&gt;0)),"✖ Current غير صحيح",IF(NOT(IF(ISNUMBER($J2748),AND($J2748&gt;=0,$J2748=INT($J2748)),FALSE())),"✖ العدد يجب أن يكون صحيحًا ≥ 0",IF(AND($F2748="Baseline",$H2748&lt;&gt;""),"⚠ Baseline: Start لا يدخل في التقدم",IF($K2748="No Start (attainment only)","ℹ تحصيل فقط (بدون Start)",IF($K2748="U – needs rule","ℹ حالة U تحتاج قاعدة معتمدة",IF($K2748="No result","ℹ بدون نتيجة (يُستبعد من التحصيل)","OK")))))))))))</f>
        <v/>
      </c>
      <c r="M2748" s="64" t="n">
        <f aca="false">IF($A2748="",0,IFERROR(MATCH($A2748,Classes!$A$6:$A$420,0),0))</f>
        <v>0</v>
      </c>
      <c r="N2748" s="64" t="n">
        <f aca="false">IF($H2748="",0,IFERROR(MATCH($H2748,GradeList,0),0))</f>
        <v>0</v>
      </c>
      <c r="O2748" s="64" t="n">
        <f aca="false">IF(OR($I2748="",$I2748="NR"),0,IFERROR(MATCH($I2748,GradeList,0),0))</f>
        <v>0</v>
      </c>
      <c r="P2748" s="64" t="n">
        <f aca="false">IF(AND($M2748&gt;0,ISNUMBER(MATCH($F2748,Lists!$A$2:$A$5,0)),ISNUMBER(MATCH($G2748,Lists!$B$2:$B$7,0)),OR($H2748="",$N2748&gt;0),OR($I2748="",$I2748="NR",$O2748&gt;0),IF(ISNUMBER($J2748),AND($J2748&gt;=0,$J2748=INT($J2748)),FALSE())),$J2748,0)</f>
        <v>0</v>
      </c>
      <c r="Q2748" s="64" t="n">
        <f aca="false">IF(AND($P2748&gt;0,$O2748&gt;0),$P2748,0)</f>
        <v>0</v>
      </c>
      <c r="R2748" s="64" t="n">
        <f aca="false">IF(AND($Q2748&gt;0,$O2748&gt;=AtRank),$Q2748,0)</f>
        <v>0</v>
      </c>
      <c r="S2748" s="64" t="n">
        <f aca="false">IF(AND($Q2748&gt;0,$O2748&gt;=AboveRank),$Q2748,0)</f>
        <v>0</v>
      </c>
      <c r="T2748" s="64" t="n">
        <f aca="false">IF($K2748="Less",$P2748,0)</f>
        <v>0</v>
      </c>
      <c r="U2748" s="64" t="n">
        <f aca="false">IF($K2748="Expected",$P2748,0)</f>
        <v>0</v>
      </c>
      <c r="V2748" s="64" t="n">
        <f aca="false">IF($K2748="Better",$P2748,0)</f>
        <v>0</v>
      </c>
      <c r="W2748" s="64" t="n">
        <f aca="false">IF($K2748="U – needs rule",$P2748,0)</f>
        <v>0</v>
      </c>
      <c r="X2748" s="64" t="n">
        <f aca="false">IF($K2748="No Start (attainment only)",$P2748,0)</f>
        <v>0</v>
      </c>
    </row>
    <row r="2749" customFormat="false" ht="15" hidden="false" customHeight="false" outlineLevel="0" collapsed="false">
      <c r="A2749" s="60"/>
      <c r="B2749" s="61" t="str">
        <f aca="false">IF($M2749=0,"",INDEX(Classes!$E$6:$E$420,$M2749))</f>
        <v/>
      </c>
      <c r="C2749" s="62" t="str">
        <f aca="false">IF($M2749=0,"",INDEX(Classes!$H$6:$H$420,$M2749))</f>
        <v/>
      </c>
      <c r="D2749" s="61" t="str">
        <f aca="false">IF($M2749=0,"",INDEX(Classes!$B$6:$B$420,$M2749))</f>
        <v/>
      </c>
      <c r="E2749" s="61" t="str">
        <f aca="false">IF($M2749=0,"",INDEX(Classes!$C$6:$C$420,$M2749))</f>
        <v/>
      </c>
      <c r="F2749" s="63"/>
      <c r="G2749" s="63"/>
      <c r="H2749" s="60"/>
      <c r="I2749" s="60"/>
      <c r="J2749" s="63"/>
      <c r="K2749" s="61" t="str">
        <f aca="false">IF($P2749=0,"",IF($F2749="Baseline","— Baseline",IF($O2749=0,"No result",IF($N2749=0,"No Start (attainment only)",IF(OR($N2749=1,$O2749=1),"U – needs rule",INDEX(MxBody,MATCH($I2749,MxCurr,0),MATCH($H2749,MxStart,0)))))))</f>
        <v/>
      </c>
      <c r="L2749" s="62" t="str">
        <f aca="false">IF(COUNTA($A2749,$F2749,$G2749,$H2749,$I2749,$J2749)=0,"",IF($M2749=0,"✖ كود الصف غير موجود",IF(ISNA(MATCH($F2749,Lists!$A$2:$A$5,0)),"✖ الفترة غير صحيحة",IF(ISNA(MATCH($G2749,Lists!$B$2:$B$7,0)),"✖ المجموعة غير صحيحة",IF(NOT(OR($H2749="",$N2749&gt;0)),"✖ Start غير صحيح",IF(NOT(OR($I2749="",$I2749="NR",$O2749&gt;0)),"✖ Current غير صحيح",IF(NOT(IF(ISNUMBER($J2749),AND($J2749&gt;=0,$J2749=INT($J2749)),FALSE())),"✖ العدد يجب أن يكون صحيحًا ≥ 0",IF(AND($F2749="Baseline",$H2749&lt;&gt;""),"⚠ Baseline: Start لا يدخل في التقدم",IF($K2749="No Start (attainment only)","ℹ تحصيل فقط (بدون Start)",IF($K2749="U – needs rule","ℹ حالة U تحتاج قاعدة معتمدة",IF($K2749="No result","ℹ بدون نتيجة (يُستبعد من التحصيل)","OK")))))))))))</f>
        <v/>
      </c>
      <c r="M2749" s="64" t="n">
        <f aca="false">IF($A2749="",0,IFERROR(MATCH($A2749,Classes!$A$6:$A$420,0),0))</f>
        <v>0</v>
      </c>
      <c r="N2749" s="64" t="n">
        <f aca="false">IF($H2749="",0,IFERROR(MATCH($H2749,GradeList,0),0))</f>
        <v>0</v>
      </c>
      <c r="O2749" s="64" t="n">
        <f aca="false">IF(OR($I2749="",$I2749="NR"),0,IFERROR(MATCH($I2749,GradeList,0),0))</f>
        <v>0</v>
      </c>
      <c r="P2749" s="64" t="n">
        <f aca="false">IF(AND($M2749&gt;0,ISNUMBER(MATCH($F2749,Lists!$A$2:$A$5,0)),ISNUMBER(MATCH($G2749,Lists!$B$2:$B$7,0)),OR($H2749="",$N2749&gt;0),OR($I2749="",$I2749="NR",$O2749&gt;0),IF(ISNUMBER($J2749),AND($J2749&gt;=0,$J2749=INT($J2749)),FALSE())),$J2749,0)</f>
        <v>0</v>
      </c>
      <c r="Q2749" s="64" t="n">
        <f aca="false">IF(AND($P2749&gt;0,$O2749&gt;0),$P2749,0)</f>
        <v>0</v>
      </c>
      <c r="R2749" s="64" t="n">
        <f aca="false">IF(AND($Q2749&gt;0,$O2749&gt;=AtRank),$Q2749,0)</f>
        <v>0</v>
      </c>
      <c r="S2749" s="64" t="n">
        <f aca="false">IF(AND($Q2749&gt;0,$O2749&gt;=AboveRank),$Q2749,0)</f>
        <v>0</v>
      </c>
      <c r="T2749" s="64" t="n">
        <f aca="false">IF($K2749="Less",$P2749,0)</f>
        <v>0</v>
      </c>
      <c r="U2749" s="64" t="n">
        <f aca="false">IF($K2749="Expected",$P2749,0)</f>
        <v>0</v>
      </c>
      <c r="V2749" s="64" t="n">
        <f aca="false">IF($K2749="Better",$P2749,0)</f>
        <v>0</v>
      </c>
      <c r="W2749" s="64" t="n">
        <f aca="false">IF($K2749="U – needs rule",$P2749,0)</f>
        <v>0</v>
      </c>
      <c r="X2749" s="64" t="n">
        <f aca="false">IF($K2749="No Start (attainment only)",$P2749,0)</f>
        <v>0</v>
      </c>
    </row>
    <row r="2750" customFormat="false" ht="15" hidden="false" customHeight="false" outlineLevel="0" collapsed="false">
      <c r="A2750" s="60"/>
      <c r="B2750" s="61" t="str">
        <f aca="false">IF($M2750=0,"",INDEX(Classes!$E$6:$E$420,$M2750))</f>
        <v/>
      </c>
      <c r="C2750" s="62" t="str">
        <f aca="false">IF($M2750=0,"",INDEX(Classes!$H$6:$H$420,$M2750))</f>
        <v/>
      </c>
      <c r="D2750" s="61" t="str">
        <f aca="false">IF($M2750=0,"",INDEX(Classes!$B$6:$B$420,$M2750))</f>
        <v/>
      </c>
      <c r="E2750" s="61" t="str">
        <f aca="false">IF($M2750=0,"",INDEX(Classes!$C$6:$C$420,$M2750))</f>
        <v/>
      </c>
      <c r="F2750" s="63"/>
      <c r="G2750" s="63"/>
      <c r="H2750" s="60"/>
      <c r="I2750" s="60"/>
      <c r="J2750" s="63"/>
      <c r="K2750" s="61" t="str">
        <f aca="false">IF($P2750=0,"",IF($F2750="Baseline","— Baseline",IF($O2750=0,"No result",IF($N2750=0,"No Start (attainment only)",IF(OR($N2750=1,$O2750=1),"U – needs rule",INDEX(MxBody,MATCH($I2750,MxCurr,0),MATCH($H2750,MxStart,0)))))))</f>
        <v/>
      </c>
      <c r="L2750" s="62" t="str">
        <f aca="false">IF(COUNTA($A2750,$F2750,$G2750,$H2750,$I2750,$J2750)=0,"",IF($M2750=0,"✖ كود الصف غير موجود",IF(ISNA(MATCH($F2750,Lists!$A$2:$A$5,0)),"✖ الفترة غير صحيحة",IF(ISNA(MATCH($G2750,Lists!$B$2:$B$7,0)),"✖ المجموعة غير صحيحة",IF(NOT(OR($H2750="",$N2750&gt;0)),"✖ Start غير صحيح",IF(NOT(OR($I2750="",$I2750="NR",$O2750&gt;0)),"✖ Current غير صحيح",IF(NOT(IF(ISNUMBER($J2750),AND($J2750&gt;=0,$J2750=INT($J2750)),FALSE())),"✖ العدد يجب أن يكون صحيحًا ≥ 0",IF(AND($F2750="Baseline",$H2750&lt;&gt;""),"⚠ Baseline: Start لا يدخل في التقدم",IF($K2750="No Start (attainment only)","ℹ تحصيل فقط (بدون Start)",IF($K2750="U – needs rule","ℹ حالة U تحتاج قاعدة معتمدة",IF($K2750="No result","ℹ بدون نتيجة (يُستبعد من التحصيل)","OK")))))))))))</f>
        <v/>
      </c>
      <c r="M2750" s="64" t="n">
        <f aca="false">IF($A2750="",0,IFERROR(MATCH($A2750,Classes!$A$6:$A$420,0),0))</f>
        <v>0</v>
      </c>
      <c r="N2750" s="64" t="n">
        <f aca="false">IF($H2750="",0,IFERROR(MATCH($H2750,GradeList,0),0))</f>
        <v>0</v>
      </c>
      <c r="O2750" s="64" t="n">
        <f aca="false">IF(OR($I2750="",$I2750="NR"),0,IFERROR(MATCH($I2750,GradeList,0),0))</f>
        <v>0</v>
      </c>
      <c r="P2750" s="64" t="n">
        <f aca="false">IF(AND($M2750&gt;0,ISNUMBER(MATCH($F2750,Lists!$A$2:$A$5,0)),ISNUMBER(MATCH($G2750,Lists!$B$2:$B$7,0)),OR($H2750="",$N2750&gt;0),OR($I2750="",$I2750="NR",$O2750&gt;0),IF(ISNUMBER($J2750),AND($J2750&gt;=0,$J2750=INT($J2750)),FALSE())),$J2750,0)</f>
        <v>0</v>
      </c>
      <c r="Q2750" s="64" t="n">
        <f aca="false">IF(AND($P2750&gt;0,$O2750&gt;0),$P2750,0)</f>
        <v>0</v>
      </c>
      <c r="R2750" s="64" t="n">
        <f aca="false">IF(AND($Q2750&gt;0,$O2750&gt;=AtRank),$Q2750,0)</f>
        <v>0</v>
      </c>
      <c r="S2750" s="64" t="n">
        <f aca="false">IF(AND($Q2750&gt;0,$O2750&gt;=AboveRank),$Q2750,0)</f>
        <v>0</v>
      </c>
      <c r="T2750" s="64" t="n">
        <f aca="false">IF($K2750="Less",$P2750,0)</f>
        <v>0</v>
      </c>
      <c r="U2750" s="64" t="n">
        <f aca="false">IF($K2750="Expected",$P2750,0)</f>
        <v>0</v>
      </c>
      <c r="V2750" s="64" t="n">
        <f aca="false">IF($K2750="Better",$P2750,0)</f>
        <v>0</v>
      </c>
      <c r="W2750" s="64" t="n">
        <f aca="false">IF($K2750="U – needs rule",$P2750,0)</f>
        <v>0</v>
      </c>
      <c r="X2750" s="64" t="n">
        <f aca="false">IF($K2750="No Start (attainment only)",$P2750,0)</f>
        <v>0</v>
      </c>
    </row>
    <row r="2751" customFormat="false" ht="15" hidden="false" customHeight="false" outlineLevel="0" collapsed="false">
      <c r="A2751" s="60"/>
      <c r="B2751" s="61" t="str">
        <f aca="false">IF($M2751=0,"",INDEX(Classes!$E$6:$E$420,$M2751))</f>
        <v/>
      </c>
      <c r="C2751" s="62" t="str">
        <f aca="false">IF($M2751=0,"",INDEX(Classes!$H$6:$H$420,$M2751))</f>
        <v/>
      </c>
      <c r="D2751" s="61" t="str">
        <f aca="false">IF($M2751=0,"",INDEX(Classes!$B$6:$B$420,$M2751))</f>
        <v/>
      </c>
      <c r="E2751" s="61" t="str">
        <f aca="false">IF($M2751=0,"",INDEX(Classes!$C$6:$C$420,$M2751))</f>
        <v/>
      </c>
      <c r="F2751" s="63"/>
      <c r="G2751" s="63"/>
      <c r="H2751" s="60"/>
      <c r="I2751" s="60"/>
      <c r="J2751" s="63"/>
      <c r="K2751" s="61" t="str">
        <f aca="false">IF($P2751=0,"",IF($F2751="Baseline","— Baseline",IF($O2751=0,"No result",IF($N2751=0,"No Start (attainment only)",IF(OR($N2751=1,$O2751=1),"U – needs rule",INDEX(MxBody,MATCH($I2751,MxCurr,0),MATCH($H2751,MxStart,0)))))))</f>
        <v/>
      </c>
      <c r="L2751" s="62" t="str">
        <f aca="false">IF(COUNTA($A2751,$F2751,$G2751,$H2751,$I2751,$J2751)=0,"",IF($M2751=0,"✖ كود الصف غير موجود",IF(ISNA(MATCH($F2751,Lists!$A$2:$A$5,0)),"✖ الفترة غير صحيحة",IF(ISNA(MATCH($G2751,Lists!$B$2:$B$7,0)),"✖ المجموعة غير صحيحة",IF(NOT(OR($H2751="",$N2751&gt;0)),"✖ Start غير صحيح",IF(NOT(OR($I2751="",$I2751="NR",$O2751&gt;0)),"✖ Current غير صحيح",IF(NOT(IF(ISNUMBER($J2751),AND($J2751&gt;=0,$J2751=INT($J2751)),FALSE())),"✖ العدد يجب أن يكون صحيحًا ≥ 0",IF(AND($F2751="Baseline",$H2751&lt;&gt;""),"⚠ Baseline: Start لا يدخل في التقدم",IF($K2751="No Start (attainment only)","ℹ تحصيل فقط (بدون Start)",IF($K2751="U – needs rule","ℹ حالة U تحتاج قاعدة معتمدة",IF($K2751="No result","ℹ بدون نتيجة (يُستبعد من التحصيل)","OK")))))))))))</f>
        <v/>
      </c>
      <c r="M2751" s="64" t="n">
        <f aca="false">IF($A2751="",0,IFERROR(MATCH($A2751,Classes!$A$6:$A$420,0),0))</f>
        <v>0</v>
      </c>
      <c r="N2751" s="64" t="n">
        <f aca="false">IF($H2751="",0,IFERROR(MATCH($H2751,GradeList,0),0))</f>
        <v>0</v>
      </c>
      <c r="O2751" s="64" t="n">
        <f aca="false">IF(OR($I2751="",$I2751="NR"),0,IFERROR(MATCH($I2751,GradeList,0),0))</f>
        <v>0</v>
      </c>
      <c r="P2751" s="64" t="n">
        <f aca="false">IF(AND($M2751&gt;0,ISNUMBER(MATCH($F2751,Lists!$A$2:$A$5,0)),ISNUMBER(MATCH($G2751,Lists!$B$2:$B$7,0)),OR($H2751="",$N2751&gt;0),OR($I2751="",$I2751="NR",$O2751&gt;0),IF(ISNUMBER($J2751),AND($J2751&gt;=0,$J2751=INT($J2751)),FALSE())),$J2751,0)</f>
        <v>0</v>
      </c>
      <c r="Q2751" s="64" t="n">
        <f aca="false">IF(AND($P2751&gt;0,$O2751&gt;0),$P2751,0)</f>
        <v>0</v>
      </c>
      <c r="R2751" s="64" t="n">
        <f aca="false">IF(AND($Q2751&gt;0,$O2751&gt;=AtRank),$Q2751,0)</f>
        <v>0</v>
      </c>
      <c r="S2751" s="64" t="n">
        <f aca="false">IF(AND($Q2751&gt;0,$O2751&gt;=AboveRank),$Q2751,0)</f>
        <v>0</v>
      </c>
      <c r="T2751" s="64" t="n">
        <f aca="false">IF($K2751="Less",$P2751,0)</f>
        <v>0</v>
      </c>
      <c r="U2751" s="64" t="n">
        <f aca="false">IF($K2751="Expected",$P2751,0)</f>
        <v>0</v>
      </c>
      <c r="V2751" s="64" t="n">
        <f aca="false">IF($K2751="Better",$P2751,0)</f>
        <v>0</v>
      </c>
      <c r="W2751" s="64" t="n">
        <f aca="false">IF($K2751="U – needs rule",$P2751,0)</f>
        <v>0</v>
      </c>
      <c r="X2751" s="64" t="n">
        <f aca="false">IF($K2751="No Start (attainment only)",$P2751,0)</f>
        <v>0</v>
      </c>
    </row>
    <row r="2752" customFormat="false" ht="15" hidden="false" customHeight="false" outlineLevel="0" collapsed="false">
      <c r="A2752" s="60"/>
      <c r="B2752" s="61" t="str">
        <f aca="false">IF($M2752=0,"",INDEX(Classes!$E$6:$E$420,$M2752))</f>
        <v/>
      </c>
      <c r="C2752" s="62" t="str">
        <f aca="false">IF($M2752=0,"",INDEX(Classes!$H$6:$H$420,$M2752))</f>
        <v/>
      </c>
      <c r="D2752" s="61" t="str">
        <f aca="false">IF($M2752=0,"",INDEX(Classes!$B$6:$B$420,$M2752))</f>
        <v/>
      </c>
      <c r="E2752" s="61" t="str">
        <f aca="false">IF($M2752=0,"",INDEX(Classes!$C$6:$C$420,$M2752))</f>
        <v/>
      </c>
      <c r="F2752" s="63"/>
      <c r="G2752" s="63"/>
      <c r="H2752" s="60"/>
      <c r="I2752" s="60"/>
      <c r="J2752" s="63"/>
      <c r="K2752" s="61" t="str">
        <f aca="false">IF($P2752=0,"",IF($F2752="Baseline","— Baseline",IF($O2752=0,"No result",IF($N2752=0,"No Start (attainment only)",IF(OR($N2752=1,$O2752=1),"U – needs rule",INDEX(MxBody,MATCH($I2752,MxCurr,0),MATCH($H2752,MxStart,0)))))))</f>
        <v/>
      </c>
      <c r="L2752" s="62" t="str">
        <f aca="false">IF(COUNTA($A2752,$F2752,$G2752,$H2752,$I2752,$J2752)=0,"",IF($M2752=0,"✖ كود الصف غير موجود",IF(ISNA(MATCH($F2752,Lists!$A$2:$A$5,0)),"✖ الفترة غير صحيحة",IF(ISNA(MATCH($G2752,Lists!$B$2:$B$7,0)),"✖ المجموعة غير صحيحة",IF(NOT(OR($H2752="",$N2752&gt;0)),"✖ Start غير صحيح",IF(NOT(OR($I2752="",$I2752="NR",$O2752&gt;0)),"✖ Current غير صحيح",IF(NOT(IF(ISNUMBER($J2752),AND($J2752&gt;=0,$J2752=INT($J2752)),FALSE())),"✖ العدد يجب أن يكون صحيحًا ≥ 0",IF(AND($F2752="Baseline",$H2752&lt;&gt;""),"⚠ Baseline: Start لا يدخل في التقدم",IF($K2752="No Start (attainment only)","ℹ تحصيل فقط (بدون Start)",IF($K2752="U – needs rule","ℹ حالة U تحتاج قاعدة معتمدة",IF($K2752="No result","ℹ بدون نتيجة (يُستبعد من التحصيل)","OK")))))))))))</f>
        <v/>
      </c>
      <c r="M2752" s="64" t="n">
        <f aca="false">IF($A2752="",0,IFERROR(MATCH($A2752,Classes!$A$6:$A$420,0),0))</f>
        <v>0</v>
      </c>
      <c r="N2752" s="64" t="n">
        <f aca="false">IF($H2752="",0,IFERROR(MATCH($H2752,GradeList,0),0))</f>
        <v>0</v>
      </c>
      <c r="O2752" s="64" t="n">
        <f aca="false">IF(OR($I2752="",$I2752="NR"),0,IFERROR(MATCH($I2752,GradeList,0),0))</f>
        <v>0</v>
      </c>
      <c r="P2752" s="64" t="n">
        <f aca="false">IF(AND($M2752&gt;0,ISNUMBER(MATCH($F2752,Lists!$A$2:$A$5,0)),ISNUMBER(MATCH($G2752,Lists!$B$2:$B$7,0)),OR($H2752="",$N2752&gt;0),OR($I2752="",$I2752="NR",$O2752&gt;0),IF(ISNUMBER($J2752),AND($J2752&gt;=0,$J2752=INT($J2752)),FALSE())),$J2752,0)</f>
        <v>0</v>
      </c>
      <c r="Q2752" s="64" t="n">
        <f aca="false">IF(AND($P2752&gt;0,$O2752&gt;0),$P2752,0)</f>
        <v>0</v>
      </c>
      <c r="R2752" s="64" t="n">
        <f aca="false">IF(AND($Q2752&gt;0,$O2752&gt;=AtRank),$Q2752,0)</f>
        <v>0</v>
      </c>
      <c r="S2752" s="64" t="n">
        <f aca="false">IF(AND($Q2752&gt;0,$O2752&gt;=AboveRank),$Q2752,0)</f>
        <v>0</v>
      </c>
      <c r="T2752" s="64" t="n">
        <f aca="false">IF($K2752="Less",$P2752,0)</f>
        <v>0</v>
      </c>
      <c r="U2752" s="64" t="n">
        <f aca="false">IF($K2752="Expected",$P2752,0)</f>
        <v>0</v>
      </c>
      <c r="V2752" s="64" t="n">
        <f aca="false">IF($K2752="Better",$P2752,0)</f>
        <v>0</v>
      </c>
      <c r="W2752" s="64" t="n">
        <f aca="false">IF($K2752="U – needs rule",$P2752,0)</f>
        <v>0</v>
      </c>
      <c r="X2752" s="64" t="n">
        <f aca="false">IF($K2752="No Start (attainment only)",$P2752,0)</f>
        <v>0</v>
      </c>
    </row>
    <row r="2753" customFormat="false" ht="15" hidden="false" customHeight="false" outlineLevel="0" collapsed="false">
      <c r="A2753" s="60"/>
      <c r="B2753" s="61" t="str">
        <f aca="false">IF($M2753=0,"",INDEX(Classes!$E$6:$E$420,$M2753))</f>
        <v/>
      </c>
      <c r="C2753" s="62" t="str">
        <f aca="false">IF($M2753=0,"",INDEX(Classes!$H$6:$H$420,$M2753))</f>
        <v/>
      </c>
      <c r="D2753" s="61" t="str">
        <f aca="false">IF($M2753=0,"",INDEX(Classes!$B$6:$B$420,$M2753))</f>
        <v/>
      </c>
      <c r="E2753" s="61" t="str">
        <f aca="false">IF($M2753=0,"",INDEX(Classes!$C$6:$C$420,$M2753))</f>
        <v/>
      </c>
      <c r="F2753" s="63"/>
      <c r="G2753" s="63"/>
      <c r="H2753" s="60"/>
      <c r="I2753" s="60"/>
      <c r="J2753" s="63"/>
      <c r="K2753" s="61" t="str">
        <f aca="false">IF($P2753=0,"",IF($F2753="Baseline","— Baseline",IF($O2753=0,"No result",IF($N2753=0,"No Start (attainment only)",IF(OR($N2753=1,$O2753=1),"U – needs rule",INDEX(MxBody,MATCH($I2753,MxCurr,0),MATCH($H2753,MxStart,0)))))))</f>
        <v/>
      </c>
      <c r="L2753" s="62" t="str">
        <f aca="false">IF(COUNTA($A2753,$F2753,$G2753,$H2753,$I2753,$J2753)=0,"",IF($M2753=0,"✖ كود الصف غير موجود",IF(ISNA(MATCH($F2753,Lists!$A$2:$A$5,0)),"✖ الفترة غير صحيحة",IF(ISNA(MATCH($G2753,Lists!$B$2:$B$7,0)),"✖ المجموعة غير صحيحة",IF(NOT(OR($H2753="",$N2753&gt;0)),"✖ Start غير صحيح",IF(NOT(OR($I2753="",$I2753="NR",$O2753&gt;0)),"✖ Current غير صحيح",IF(NOT(IF(ISNUMBER($J2753),AND($J2753&gt;=0,$J2753=INT($J2753)),FALSE())),"✖ العدد يجب أن يكون صحيحًا ≥ 0",IF(AND($F2753="Baseline",$H2753&lt;&gt;""),"⚠ Baseline: Start لا يدخل في التقدم",IF($K2753="No Start (attainment only)","ℹ تحصيل فقط (بدون Start)",IF($K2753="U – needs rule","ℹ حالة U تحتاج قاعدة معتمدة",IF($K2753="No result","ℹ بدون نتيجة (يُستبعد من التحصيل)","OK")))))))))))</f>
        <v/>
      </c>
      <c r="M2753" s="64" t="n">
        <f aca="false">IF($A2753="",0,IFERROR(MATCH($A2753,Classes!$A$6:$A$420,0),0))</f>
        <v>0</v>
      </c>
      <c r="N2753" s="64" t="n">
        <f aca="false">IF($H2753="",0,IFERROR(MATCH($H2753,GradeList,0),0))</f>
        <v>0</v>
      </c>
      <c r="O2753" s="64" t="n">
        <f aca="false">IF(OR($I2753="",$I2753="NR"),0,IFERROR(MATCH($I2753,GradeList,0),0))</f>
        <v>0</v>
      </c>
      <c r="P2753" s="64" t="n">
        <f aca="false">IF(AND($M2753&gt;0,ISNUMBER(MATCH($F2753,Lists!$A$2:$A$5,0)),ISNUMBER(MATCH($G2753,Lists!$B$2:$B$7,0)),OR($H2753="",$N2753&gt;0),OR($I2753="",$I2753="NR",$O2753&gt;0),IF(ISNUMBER($J2753),AND($J2753&gt;=0,$J2753=INT($J2753)),FALSE())),$J2753,0)</f>
        <v>0</v>
      </c>
      <c r="Q2753" s="64" t="n">
        <f aca="false">IF(AND($P2753&gt;0,$O2753&gt;0),$P2753,0)</f>
        <v>0</v>
      </c>
      <c r="R2753" s="64" t="n">
        <f aca="false">IF(AND($Q2753&gt;0,$O2753&gt;=AtRank),$Q2753,0)</f>
        <v>0</v>
      </c>
      <c r="S2753" s="64" t="n">
        <f aca="false">IF(AND($Q2753&gt;0,$O2753&gt;=AboveRank),$Q2753,0)</f>
        <v>0</v>
      </c>
      <c r="T2753" s="64" t="n">
        <f aca="false">IF($K2753="Less",$P2753,0)</f>
        <v>0</v>
      </c>
      <c r="U2753" s="64" t="n">
        <f aca="false">IF($K2753="Expected",$P2753,0)</f>
        <v>0</v>
      </c>
      <c r="V2753" s="64" t="n">
        <f aca="false">IF($K2753="Better",$P2753,0)</f>
        <v>0</v>
      </c>
      <c r="W2753" s="64" t="n">
        <f aca="false">IF($K2753="U – needs rule",$P2753,0)</f>
        <v>0</v>
      </c>
      <c r="X2753" s="64" t="n">
        <f aca="false">IF($K2753="No Start (attainment only)",$P2753,0)</f>
        <v>0</v>
      </c>
    </row>
    <row r="2754" customFormat="false" ht="15" hidden="false" customHeight="false" outlineLevel="0" collapsed="false">
      <c r="A2754" s="60"/>
      <c r="B2754" s="61" t="str">
        <f aca="false">IF($M2754=0,"",INDEX(Classes!$E$6:$E$420,$M2754))</f>
        <v/>
      </c>
      <c r="C2754" s="62" t="str">
        <f aca="false">IF($M2754=0,"",INDEX(Classes!$H$6:$H$420,$M2754))</f>
        <v/>
      </c>
      <c r="D2754" s="61" t="str">
        <f aca="false">IF($M2754=0,"",INDEX(Classes!$B$6:$B$420,$M2754))</f>
        <v/>
      </c>
      <c r="E2754" s="61" t="str">
        <f aca="false">IF($M2754=0,"",INDEX(Classes!$C$6:$C$420,$M2754))</f>
        <v/>
      </c>
      <c r="F2754" s="63"/>
      <c r="G2754" s="63"/>
      <c r="H2754" s="60"/>
      <c r="I2754" s="60"/>
      <c r="J2754" s="63"/>
      <c r="K2754" s="61" t="str">
        <f aca="false">IF($P2754=0,"",IF($F2754="Baseline","— Baseline",IF($O2754=0,"No result",IF($N2754=0,"No Start (attainment only)",IF(OR($N2754=1,$O2754=1),"U – needs rule",INDEX(MxBody,MATCH($I2754,MxCurr,0),MATCH($H2754,MxStart,0)))))))</f>
        <v/>
      </c>
      <c r="L2754" s="62" t="str">
        <f aca="false">IF(COUNTA($A2754,$F2754,$G2754,$H2754,$I2754,$J2754)=0,"",IF($M2754=0,"✖ كود الصف غير موجود",IF(ISNA(MATCH($F2754,Lists!$A$2:$A$5,0)),"✖ الفترة غير صحيحة",IF(ISNA(MATCH($G2754,Lists!$B$2:$B$7,0)),"✖ المجموعة غير صحيحة",IF(NOT(OR($H2754="",$N2754&gt;0)),"✖ Start غير صحيح",IF(NOT(OR($I2754="",$I2754="NR",$O2754&gt;0)),"✖ Current غير صحيح",IF(NOT(IF(ISNUMBER($J2754),AND($J2754&gt;=0,$J2754=INT($J2754)),FALSE())),"✖ العدد يجب أن يكون صحيحًا ≥ 0",IF(AND($F2754="Baseline",$H2754&lt;&gt;""),"⚠ Baseline: Start لا يدخل في التقدم",IF($K2754="No Start (attainment only)","ℹ تحصيل فقط (بدون Start)",IF($K2754="U – needs rule","ℹ حالة U تحتاج قاعدة معتمدة",IF($K2754="No result","ℹ بدون نتيجة (يُستبعد من التحصيل)","OK")))))))))))</f>
        <v/>
      </c>
      <c r="M2754" s="64" t="n">
        <f aca="false">IF($A2754="",0,IFERROR(MATCH($A2754,Classes!$A$6:$A$420,0),0))</f>
        <v>0</v>
      </c>
      <c r="N2754" s="64" t="n">
        <f aca="false">IF($H2754="",0,IFERROR(MATCH($H2754,GradeList,0),0))</f>
        <v>0</v>
      </c>
      <c r="O2754" s="64" t="n">
        <f aca="false">IF(OR($I2754="",$I2754="NR"),0,IFERROR(MATCH($I2754,GradeList,0),0))</f>
        <v>0</v>
      </c>
      <c r="P2754" s="64" t="n">
        <f aca="false">IF(AND($M2754&gt;0,ISNUMBER(MATCH($F2754,Lists!$A$2:$A$5,0)),ISNUMBER(MATCH($G2754,Lists!$B$2:$B$7,0)),OR($H2754="",$N2754&gt;0),OR($I2754="",$I2754="NR",$O2754&gt;0),IF(ISNUMBER($J2754),AND($J2754&gt;=0,$J2754=INT($J2754)),FALSE())),$J2754,0)</f>
        <v>0</v>
      </c>
      <c r="Q2754" s="64" t="n">
        <f aca="false">IF(AND($P2754&gt;0,$O2754&gt;0),$P2754,0)</f>
        <v>0</v>
      </c>
      <c r="R2754" s="64" t="n">
        <f aca="false">IF(AND($Q2754&gt;0,$O2754&gt;=AtRank),$Q2754,0)</f>
        <v>0</v>
      </c>
      <c r="S2754" s="64" t="n">
        <f aca="false">IF(AND($Q2754&gt;0,$O2754&gt;=AboveRank),$Q2754,0)</f>
        <v>0</v>
      </c>
      <c r="T2754" s="64" t="n">
        <f aca="false">IF($K2754="Less",$P2754,0)</f>
        <v>0</v>
      </c>
      <c r="U2754" s="64" t="n">
        <f aca="false">IF($K2754="Expected",$P2754,0)</f>
        <v>0</v>
      </c>
      <c r="V2754" s="64" t="n">
        <f aca="false">IF($K2754="Better",$P2754,0)</f>
        <v>0</v>
      </c>
      <c r="W2754" s="64" t="n">
        <f aca="false">IF($K2754="U – needs rule",$P2754,0)</f>
        <v>0</v>
      </c>
      <c r="X2754" s="64" t="n">
        <f aca="false">IF($K2754="No Start (attainment only)",$P2754,0)</f>
        <v>0</v>
      </c>
    </row>
    <row r="2755" customFormat="false" ht="15" hidden="false" customHeight="false" outlineLevel="0" collapsed="false">
      <c r="A2755" s="60"/>
      <c r="B2755" s="61" t="str">
        <f aca="false">IF($M2755=0,"",INDEX(Classes!$E$6:$E$420,$M2755))</f>
        <v/>
      </c>
      <c r="C2755" s="62" t="str">
        <f aca="false">IF($M2755=0,"",INDEX(Classes!$H$6:$H$420,$M2755))</f>
        <v/>
      </c>
      <c r="D2755" s="61" t="str">
        <f aca="false">IF($M2755=0,"",INDEX(Classes!$B$6:$B$420,$M2755))</f>
        <v/>
      </c>
      <c r="E2755" s="61" t="str">
        <f aca="false">IF($M2755=0,"",INDEX(Classes!$C$6:$C$420,$M2755))</f>
        <v/>
      </c>
      <c r="F2755" s="63"/>
      <c r="G2755" s="63"/>
      <c r="H2755" s="60"/>
      <c r="I2755" s="60"/>
      <c r="J2755" s="63"/>
      <c r="K2755" s="61" t="str">
        <f aca="false">IF($P2755=0,"",IF($F2755="Baseline","— Baseline",IF($O2755=0,"No result",IF($N2755=0,"No Start (attainment only)",IF(OR($N2755=1,$O2755=1),"U – needs rule",INDEX(MxBody,MATCH($I2755,MxCurr,0),MATCH($H2755,MxStart,0)))))))</f>
        <v/>
      </c>
      <c r="L2755" s="62" t="str">
        <f aca="false">IF(COUNTA($A2755,$F2755,$G2755,$H2755,$I2755,$J2755)=0,"",IF($M2755=0,"✖ كود الصف غير موجود",IF(ISNA(MATCH($F2755,Lists!$A$2:$A$5,0)),"✖ الفترة غير صحيحة",IF(ISNA(MATCH($G2755,Lists!$B$2:$B$7,0)),"✖ المجموعة غير صحيحة",IF(NOT(OR($H2755="",$N2755&gt;0)),"✖ Start غير صحيح",IF(NOT(OR($I2755="",$I2755="NR",$O2755&gt;0)),"✖ Current غير صحيح",IF(NOT(IF(ISNUMBER($J2755),AND($J2755&gt;=0,$J2755=INT($J2755)),FALSE())),"✖ العدد يجب أن يكون صحيحًا ≥ 0",IF(AND($F2755="Baseline",$H2755&lt;&gt;""),"⚠ Baseline: Start لا يدخل في التقدم",IF($K2755="No Start (attainment only)","ℹ تحصيل فقط (بدون Start)",IF($K2755="U – needs rule","ℹ حالة U تحتاج قاعدة معتمدة",IF($K2755="No result","ℹ بدون نتيجة (يُستبعد من التحصيل)","OK")))))))))))</f>
        <v/>
      </c>
      <c r="M2755" s="64" t="n">
        <f aca="false">IF($A2755="",0,IFERROR(MATCH($A2755,Classes!$A$6:$A$420,0),0))</f>
        <v>0</v>
      </c>
      <c r="N2755" s="64" t="n">
        <f aca="false">IF($H2755="",0,IFERROR(MATCH($H2755,GradeList,0),0))</f>
        <v>0</v>
      </c>
      <c r="O2755" s="64" t="n">
        <f aca="false">IF(OR($I2755="",$I2755="NR"),0,IFERROR(MATCH($I2755,GradeList,0),0))</f>
        <v>0</v>
      </c>
      <c r="P2755" s="64" t="n">
        <f aca="false">IF(AND($M2755&gt;0,ISNUMBER(MATCH($F2755,Lists!$A$2:$A$5,0)),ISNUMBER(MATCH($G2755,Lists!$B$2:$B$7,0)),OR($H2755="",$N2755&gt;0),OR($I2755="",$I2755="NR",$O2755&gt;0),IF(ISNUMBER($J2755),AND($J2755&gt;=0,$J2755=INT($J2755)),FALSE())),$J2755,0)</f>
        <v>0</v>
      </c>
      <c r="Q2755" s="64" t="n">
        <f aca="false">IF(AND($P2755&gt;0,$O2755&gt;0),$P2755,0)</f>
        <v>0</v>
      </c>
      <c r="R2755" s="64" t="n">
        <f aca="false">IF(AND($Q2755&gt;0,$O2755&gt;=AtRank),$Q2755,0)</f>
        <v>0</v>
      </c>
      <c r="S2755" s="64" t="n">
        <f aca="false">IF(AND($Q2755&gt;0,$O2755&gt;=AboveRank),$Q2755,0)</f>
        <v>0</v>
      </c>
      <c r="T2755" s="64" t="n">
        <f aca="false">IF($K2755="Less",$P2755,0)</f>
        <v>0</v>
      </c>
      <c r="U2755" s="64" t="n">
        <f aca="false">IF($K2755="Expected",$P2755,0)</f>
        <v>0</v>
      </c>
      <c r="V2755" s="64" t="n">
        <f aca="false">IF($K2755="Better",$P2755,0)</f>
        <v>0</v>
      </c>
      <c r="W2755" s="64" t="n">
        <f aca="false">IF($K2755="U – needs rule",$P2755,0)</f>
        <v>0</v>
      </c>
      <c r="X2755" s="64" t="n">
        <f aca="false">IF($K2755="No Start (attainment only)",$P2755,0)</f>
        <v>0</v>
      </c>
    </row>
    <row r="2756" customFormat="false" ht="15" hidden="false" customHeight="false" outlineLevel="0" collapsed="false">
      <c r="A2756" s="60"/>
      <c r="B2756" s="61" t="str">
        <f aca="false">IF($M2756=0,"",INDEX(Classes!$E$6:$E$420,$M2756))</f>
        <v/>
      </c>
      <c r="C2756" s="62" t="str">
        <f aca="false">IF($M2756=0,"",INDEX(Classes!$H$6:$H$420,$M2756))</f>
        <v/>
      </c>
      <c r="D2756" s="61" t="str">
        <f aca="false">IF($M2756=0,"",INDEX(Classes!$B$6:$B$420,$M2756))</f>
        <v/>
      </c>
      <c r="E2756" s="61" t="str">
        <f aca="false">IF($M2756=0,"",INDEX(Classes!$C$6:$C$420,$M2756))</f>
        <v/>
      </c>
      <c r="F2756" s="63"/>
      <c r="G2756" s="63"/>
      <c r="H2756" s="60"/>
      <c r="I2756" s="60"/>
      <c r="J2756" s="63"/>
      <c r="K2756" s="61" t="str">
        <f aca="false">IF($P2756=0,"",IF($F2756="Baseline","— Baseline",IF($O2756=0,"No result",IF($N2756=0,"No Start (attainment only)",IF(OR($N2756=1,$O2756=1),"U – needs rule",INDEX(MxBody,MATCH($I2756,MxCurr,0),MATCH($H2756,MxStart,0)))))))</f>
        <v/>
      </c>
      <c r="L2756" s="62" t="str">
        <f aca="false">IF(COUNTA($A2756,$F2756,$G2756,$H2756,$I2756,$J2756)=0,"",IF($M2756=0,"✖ كود الصف غير موجود",IF(ISNA(MATCH($F2756,Lists!$A$2:$A$5,0)),"✖ الفترة غير صحيحة",IF(ISNA(MATCH($G2756,Lists!$B$2:$B$7,0)),"✖ المجموعة غير صحيحة",IF(NOT(OR($H2756="",$N2756&gt;0)),"✖ Start غير صحيح",IF(NOT(OR($I2756="",$I2756="NR",$O2756&gt;0)),"✖ Current غير صحيح",IF(NOT(IF(ISNUMBER($J2756),AND($J2756&gt;=0,$J2756=INT($J2756)),FALSE())),"✖ العدد يجب أن يكون صحيحًا ≥ 0",IF(AND($F2756="Baseline",$H2756&lt;&gt;""),"⚠ Baseline: Start لا يدخل في التقدم",IF($K2756="No Start (attainment only)","ℹ تحصيل فقط (بدون Start)",IF($K2756="U – needs rule","ℹ حالة U تحتاج قاعدة معتمدة",IF($K2756="No result","ℹ بدون نتيجة (يُستبعد من التحصيل)","OK")))))))))))</f>
        <v/>
      </c>
      <c r="M2756" s="64" t="n">
        <f aca="false">IF($A2756="",0,IFERROR(MATCH($A2756,Classes!$A$6:$A$420,0),0))</f>
        <v>0</v>
      </c>
      <c r="N2756" s="64" t="n">
        <f aca="false">IF($H2756="",0,IFERROR(MATCH($H2756,GradeList,0),0))</f>
        <v>0</v>
      </c>
      <c r="O2756" s="64" t="n">
        <f aca="false">IF(OR($I2756="",$I2756="NR"),0,IFERROR(MATCH($I2756,GradeList,0),0))</f>
        <v>0</v>
      </c>
      <c r="P2756" s="64" t="n">
        <f aca="false">IF(AND($M2756&gt;0,ISNUMBER(MATCH($F2756,Lists!$A$2:$A$5,0)),ISNUMBER(MATCH($G2756,Lists!$B$2:$B$7,0)),OR($H2756="",$N2756&gt;0),OR($I2756="",$I2756="NR",$O2756&gt;0),IF(ISNUMBER($J2756),AND($J2756&gt;=0,$J2756=INT($J2756)),FALSE())),$J2756,0)</f>
        <v>0</v>
      </c>
      <c r="Q2756" s="64" t="n">
        <f aca="false">IF(AND($P2756&gt;0,$O2756&gt;0),$P2756,0)</f>
        <v>0</v>
      </c>
      <c r="R2756" s="64" t="n">
        <f aca="false">IF(AND($Q2756&gt;0,$O2756&gt;=AtRank),$Q2756,0)</f>
        <v>0</v>
      </c>
      <c r="S2756" s="64" t="n">
        <f aca="false">IF(AND($Q2756&gt;0,$O2756&gt;=AboveRank),$Q2756,0)</f>
        <v>0</v>
      </c>
      <c r="T2756" s="64" t="n">
        <f aca="false">IF($K2756="Less",$P2756,0)</f>
        <v>0</v>
      </c>
      <c r="U2756" s="64" t="n">
        <f aca="false">IF($K2756="Expected",$P2756,0)</f>
        <v>0</v>
      </c>
      <c r="V2756" s="64" t="n">
        <f aca="false">IF($K2756="Better",$P2756,0)</f>
        <v>0</v>
      </c>
      <c r="W2756" s="64" t="n">
        <f aca="false">IF($K2756="U – needs rule",$P2756,0)</f>
        <v>0</v>
      </c>
      <c r="X2756" s="64" t="n">
        <f aca="false">IF($K2756="No Start (attainment only)",$P2756,0)</f>
        <v>0</v>
      </c>
    </row>
    <row r="2757" customFormat="false" ht="15" hidden="false" customHeight="false" outlineLevel="0" collapsed="false">
      <c r="A2757" s="60"/>
      <c r="B2757" s="61" t="str">
        <f aca="false">IF($M2757=0,"",INDEX(Classes!$E$6:$E$420,$M2757))</f>
        <v/>
      </c>
      <c r="C2757" s="62" t="str">
        <f aca="false">IF($M2757=0,"",INDEX(Classes!$H$6:$H$420,$M2757))</f>
        <v/>
      </c>
      <c r="D2757" s="61" t="str">
        <f aca="false">IF($M2757=0,"",INDEX(Classes!$B$6:$B$420,$M2757))</f>
        <v/>
      </c>
      <c r="E2757" s="61" t="str">
        <f aca="false">IF($M2757=0,"",INDEX(Classes!$C$6:$C$420,$M2757))</f>
        <v/>
      </c>
      <c r="F2757" s="63"/>
      <c r="G2757" s="63"/>
      <c r="H2757" s="60"/>
      <c r="I2757" s="60"/>
      <c r="J2757" s="63"/>
      <c r="K2757" s="61" t="str">
        <f aca="false">IF($P2757=0,"",IF($F2757="Baseline","— Baseline",IF($O2757=0,"No result",IF($N2757=0,"No Start (attainment only)",IF(OR($N2757=1,$O2757=1),"U – needs rule",INDEX(MxBody,MATCH($I2757,MxCurr,0),MATCH($H2757,MxStart,0)))))))</f>
        <v/>
      </c>
      <c r="L2757" s="62" t="str">
        <f aca="false">IF(COUNTA($A2757,$F2757,$G2757,$H2757,$I2757,$J2757)=0,"",IF($M2757=0,"✖ كود الصف غير موجود",IF(ISNA(MATCH($F2757,Lists!$A$2:$A$5,0)),"✖ الفترة غير صحيحة",IF(ISNA(MATCH($G2757,Lists!$B$2:$B$7,0)),"✖ المجموعة غير صحيحة",IF(NOT(OR($H2757="",$N2757&gt;0)),"✖ Start غير صحيح",IF(NOT(OR($I2757="",$I2757="NR",$O2757&gt;0)),"✖ Current غير صحيح",IF(NOT(IF(ISNUMBER($J2757),AND($J2757&gt;=0,$J2757=INT($J2757)),FALSE())),"✖ العدد يجب أن يكون صحيحًا ≥ 0",IF(AND($F2757="Baseline",$H2757&lt;&gt;""),"⚠ Baseline: Start لا يدخل في التقدم",IF($K2757="No Start (attainment only)","ℹ تحصيل فقط (بدون Start)",IF($K2757="U – needs rule","ℹ حالة U تحتاج قاعدة معتمدة",IF($K2757="No result","ℹ بدون نتيجة (يُستبعد من التحصيل)","OK")))))))))))</f>
        <v/>
      </c>
      <c r="M2757" s="64" t="n">
        <f aca="false">IF($A2757="",0,IFERROR(MATCH($A2757,Classes!$A$6:$A$420,0),0))</f>
        <v>0</v>
      </c>
      <c r="N2757" s="64" t="n">
        <f aca="false">IF($H2757="",0,IFERROR(MATCH($H2757,GradeList,0),0))</f>
        <v>0</v>
      </c>
      <c r="O2757" s="64" t="n">
        <f aca="false">IF(OR($I2757="",$I2757="NR"),0,IFERROR(MATCH($I2757,GradeList,0),0))</f>
        <v>0</v>
      </c>
      <c r="P2757" s="64" t="n">
        <f aca="false">IF(AND($M2757&gt;0,ISNUMBER(MATCH($F2757,Lists!$A$2:$A$5,0)),ISNUMBER(MATCH($G2757,Lists!$B$2:$B$7,0)),OR($H2757="",$N2757&gt;0),OR($I2757="",$I2757="NR",$O2757&gt;0),IF(ISNUMBER($J2757),AND($J2757&gt;=0,$J2757=INT($J2757)),FALSE())),$J2757,0)</f>
        <v>0</v>
      </c>
      <c r="Q2757" s="64" t="n">
        <f aca="false">IF(AND($P2757&gt;0,$O2757&gt;0),$P2757,0)</f>
        <v>0</v>
      </c>
      <c r="R2757" s="64" t="n">
        <f aca="false">IF(AND($Q2757&gt;0,$O2757&gt;=AtRank),$Q2757,0)</f>
        <v>0</v>
      </c>
      <c r="S2757" s="64" t="n">
        <f aca="false">IF(AND($Q2757&gt;0,$O2757&gt;=AboveRank),$Q2757,0)</f>
        <v>0</v>
      </c>
      <c r="T2757" s="64" t="n">
        <f aca="false">IF($K2757="Less",$P2757,0)</f>
        <v>0</v>
      </c>
      <c r="U2757" s="64" t="n">
        <f aca="false">IF($K2757="Expected",$P2757,0)</f>
        <v>0</v>
      </c>
      <c r="V2757" s="64" t="n">
        <f aca="false">IF($K2757="Better",$P2757,0)</f>
        <v>0</v>
      </c>
      <c r="W2757" s="64" t="n">
        <f aca="false">IF($K2757="U – needs rule",$P2757,0)</f>
        <v>0</v>
      </c>
      <c r="X2757" s="64" t="n">
        <f aca="false">IF($K2757="No Start (attainment only)",$P2757,0)</f>
        <v>0</v>
      </c>
    </row>
    <row r="2758" customFormat="false" ht="15" hidden="false" customHeight="false" outlineLevel="0" collapsed="false">
      <c r="A2758" s="60"/>
      <c r="B2758" s="61" t="str">
        <f aca="false">IF($M2758=0,"",INDEX(Classes!$E$6:$E$420,$M2758))</f>
        <v/>
      </c>
      <c r="C2758" s="62" t="str">
        <f aca="false">IF($M2758=0,"",INDEX(Classes!$H$6:$H$420,$M2758))</f>
        <v/>
      </c>
      <c r="D2758" s="61" t="str">
        <f aca="false">IF($M2758=0,"",INDEX(Classes!$B$6:$B$420,$M2758))</f>
        <v/>
      </c>
      <c r="E2758" s="61" t="str">
        <f aca="false">IF($M2758=0,"",INDEX(Classes!$C$6:$C$420,$M2758))</f>
        <v/>
      </c>
      <c r="F2758" s="63"/>
      <c r="G2758" s="63"/>
      <c r="H2758" s="60"/>
      <c r="I2758" s="60"/>
      <c r="J2758" s="63"/>
      <c r="K2758" s="61" t="str">
        <f aca="false">IF($P2758=0,"",IF($F2758="Baseline","— Baseline",IF($O2758=0,"No result",IF($N2758=0,"No Start (attainment only)",IF(OR($N2758=1,$O2758=1),"U – needs rule",INDEX(MxBody,MATCH($I2758,MxCurr,0),MATCH($H2758,MxStart,0)))))))</f>
        <v/>
      </c>
      <c r="L2758" s="62" t="str">
        <f aca="false">IF(COUNTA($A2758,$F2758,$G2758,$H2758,$I2758,$J2758)=0,"",IF($M2758=0,"✖ كود الصف غير موجود",IF(ISNA(MATCH($F2758,Lists!$A$2:$A$5,0)),"✖ الفترة غير صحيحة",IF(ISNA(MATCH($G2758,Lists!$B$2:$B$7,0)),"✖ المجموعة غير صحيحة",IF(NOT(OR($H2758="",$N2758&gt;0)),"✖ Start غير صحيح",IF(NOT(OR($I2758="",$I2758="NR",$O2758&gt;0)),"✖ Current غير صحيح",IF(NOT(IF(ISNUMBER($J2758),AND($J2758&gt;=0,$J2758=INT($J2758)),FALSE())),"✖ العدد يجب أن يكون صحيحًا ≥ 0",IF(AND($F2758="Baseline",$H2758&lt;&gt;""),"⚠ Baseline: Start لا يدخل في التقدم",IF($K2758="No Start (attainment only)","ℹ تحصيل فقط (بدون Start)",IF($K2758="U – needs rule","ℹ حالة U تحتاج قاعدة معتمدة",IF($K2758="No result","ℹ بدون نتيجة (يُستبعد من التحصيل)","OK")))))))))))</f>
        <v/>
      </c>
      <c r="M2758" s="64" t="n">
        <f aca="false">IF($A2758="",0,IFERROR(MATCH($A2758,Classes!$A$6:$A$420,0),0))</f>
        <v>0</v>
      </c>
      <c r="N2758" s="64" t="n">
        <f aca="false">IF($H2758="",0,IFERROR(MATCH($H2758,GradeList,0),0))</f>
        <v>0</v>
      </c>
      <c r="O2758" s="64" t="n">
        <f aca="false">IF(OR($I2758="",$I2758="NR"),0,IFERROR(MATCH($I2758,GradeList,0),0))</f>
        <v>0</v>
      </c>
      <c r="P2758" s="64" t="n">
        <f aca="false">IF(AND($M2758&gt;0,ISNUMBER(MATCH($F2758,Lists!$A$2:$A$5,0)),ISNUMBER(MATCH($G2758,Lists!$B$2:$B$7,0)),OR($H2758="",$N2758&gt;0),OR($I2758="",$I2758="NR",$O2758&gt;0),IF(ISNUMBER($J2758),AND($J2758&gt;=0,$J2758=INT($J2758)),FALSE())),$J2758,0)</f>
        <v>0</v>
      </c>
      <c r="Q2758" s="64" t="n">
        <f aca="false">IF(AND($P2758&gt;0,$O2758&gt;0),$P2758,0)</f>
        <v>0</v>
      </c>
      <c r="R2758" s="64" t="n">
        <f aca="false">IF(AND($Q2758&gt;0,$O2758&gt;=AtRank),$Q2758,0)</f>
        <v>0</v>
      </c>
      <c r="S2758" s="64" t="n">
        <f aca="false">IF(AND($Q2758&gt;0,$O2758&gt;=AboveRank),$Q2758,0)</f>
        <v>0</v>
      </c>
      <c r="T2758" s="64" t="n">
        <f aca="false">IF($K2758="Less",$P2758,0)</f>
        <v>0</v>
      </c>
      <c r="U2758" s="64" t="n">
        <f aca="false">IF($K2758="Expected",$P2758,0)</f>
        <v>0</v>
      </c>
      <c r="V2758" s="64" t="n">
        <f aca="false">IF($K2758="Better",$P2758,0)</f>
        <v>0</v>
      </c>
      <c r="W2758" s="64" t="n">
        <f aca="false">IF($K2758="U – needs rule",$P2758,0)</f>
        <v>0</v>
      </c>
      <c r="X2758" s="64" t="n">
        <f aca="false">IF($K2758="No Start (attainment only)",$P2758,0)</f>
        <v>0</v>
      </c>
    </row>
    <row r="2759" customFormat="false" ht="15" hidden="false" customHeight="false" outlineLevel="0" collapsed="false">
      <c r="A2759" s="60"/>
      <c r="B2759" s="61" t="str">
        <f aca="false">IF($M2759=0,"",INDEX(Classes!$E$6:$E$420,$M2759))</f>
        <v/>
      </c>
      <c r="C2759" s="62" t="str">
        <f aca="false">IF($M2759=0,"",INDEX(Classes!$H$6:$H$420,$M2759))</f>
        <v/>
      </c>
      <c r="D2759" s="61" t="str">
        <f aca="false">IF($M2759=0,"",INDEX(Classes!$B$6:$B$420,$M2759))</f>
        <v/>
      </c>
      <c r="E2759" s="61" t="str">
        <f aca="false">IF($M2759=0,"",INDEX(Classes!$C$6:$C$420,$M2759))</f>
        <v/>
      </c>
      <c r="F2759" s="63"/>
      <c r="G2759" s="63"/>
      <c r="H2759" s="60"/>
      <c r="I2759" s="60"/>
      <c r="J2759" s="63"/>
      <c r="K2759" s="61" t="str">
        <f aca="false">IF($P2759=0,"",IF($F2759="Baseline","— Baseline",IF($O2759=0,"No result",IF($N2759=0,"No Start (attainment only)",IF(OR($N2759=1,$O2759=1),"U – needs rule",INDEX(MxBody,MATCH($I2759,MxCurr,0),MATCH($H2759,MxStart,0)))))))</f>
        <v/>
      </c>
      <c r="L2759" s="62" t="str">
        <f aca="false">IF(COUNTA($A2759,$F2759,$G2759,$H2759,$I2759,$J2759)=0,"",IF($M2759=0,"✖ كود الصف غير موجود",IF(ISNA(MATCH($F2759,Lists!$A$2:$A$5,0)),"✖ الفترة غير صحيحة",IF(ISNA(MATCH($G2759,Lists!$B$2:$B$7,0)),"✖ المجموعة غير صحيحة",IF(NOT(OR($H2759="",$N2759&gt;0)),"✖ Start غير صحيح",IF(NOT(OR($I2759="",$I2759="NR",$O2759&gt;0)),"✖ Current غير صحيح",IF(NOT(IF(ISNUMBER($J2759),AND($J2759&gt;=0,$J2759=INT($J2759)),FALSE())),"✖ العدد يجب أن يكون صحيحًا ≥ 0",IF(AND($F2759="Baseline",$H2759&lt;&gt;""),"⚠ Baseline: Start لا يدخل في التقدم",IF($K2759="No Start (attainment only)","ℹ تحصيل فقط (بدون Start)",IF($K2759="U – needs rule","ℹ حالة U تحتاج قاعدة معتمدة",IF($K2759="No result","ℹ بدون نتيجة (يُستبعد من التحصيل)","OK")))))))))))</f>
        <v/>
      </c>
      <c r="M2759" s="64" t="n">
        <f aca="false">IF($A2759="",0,IFERROR(MATCH($A2759,Classes!$A$6:$A$420,0),0))</f>
        <v>0</v>
      </c>
      <c r="N2759" s="64" t="n">
        <f aca="false">IF($H2759="",0,IFERROR(MATCH($H2759,GradeList,0),0))</f>
        <v>0</v>
      </c>
      <c r="O2759" s="64" t="n">
        <f aca="false">IF(OR($I2759="",$I2759="NR"),0,IFERROR(MATCH($I2759,GradeList,0),0))</f>
        <v>0</v>
      </c>
      <c r="P2759" s="64" t="n">
        <f aca="false">IF(AND($M2759&gt;0,ISNUMBER(MATCH($F2759,Lists!$A$2:$A$5,0)),ISNUMBER(MATCH($G2759,Lists!$B$2:$B$7,0)),OR($H2759="",$N2759&gt;0),OR($I2759="",$I2759="NR",$O2759&gt;0),IF(ISNUMBER($J2759),AND($J2759&gt;=0,$J2759=INT($J2759)),FALSE())),$J2759,0)</f>
        <v>0</v>
      </c>
      <c r="Q2759" s="64" t="n">
        <f aca="false">IF(AND($P2759&gt;0,$O2759&gt;0),$P2759,0)</f>
        <v>0</v>
      </c>
      <c r="R2759" s="64" t="n">
        <f aca="false">IF(AND($Q2759&gt;0,$O2759&gt;=AtRank),$Q2759,0)</f>
        <v>0</v>
      </c>
      <c r="S2759" s="64" t="n">
        <f aca="false">IF(AND($Q2759&gt;0,$O2759&gt;=AboveRank),$Q2759,0)</f>
        <v>0</v>
      </c>
      <c r="T2759" s="64" t="n">
        <f aca="false">IF($K2759="Less",$P2759,0)</f>
        <v>0</v>
      </c>
      <c r="U2759" s="64" t="n">
        <f aca="false">IF($K2759="Expected",$P2759,0)</f>
        <v>0</v>
      </c>
      <c r="V2759" s="64" t="n">
        <f aca="false">IF($K2759="Better",$P2759,0)</f>
        <v>0</v>
      </c>
      <c r="W2759" s="64" t="n">
        <f aca="false">IF($K2759="U – needs rule",$P2759,0)</f>
        <v>0</v>
      </c>
      <c r="X2759" s="64" t="n">
        <f aca="false">IF($K2759="No Start (attainment only)",$P2759,0)</f>
        <v>0</v>
      </c>
    </row>
    <row r="2760" customFormat="false" ht="15" hidden="false" customHeight="false" outlineLevel="0" collapsed="false">
      <c r="A2760" s="60"/>
      <c r="B2760" s="61" t="str">
        <f aca="false">IF($M2760=0,"",INDEX(Classes!$E$6:$E$420,$M2760))</f>
        <v/>
      </c>
      <c r="C2760" s="62" t="str">
        <f aca="false">IF($M2760=0,"",INDEX(Classes!$H$6:$H$420,$M2760))</f>
        <v/>
      </c>
      <c r="D2760" s="61" t="str">
        <f aca="false">IF($M2760=0,"",INDEX(Classes!$B$6:$B$420,$M2760))</f>
        <v/>
      </c>
      <c r="E2760" s="61" t="str">
        <f aca="false">IF($M2760=0,"",INDEX(Classes!$C$6:$C$420,$M2760))</f>
        <v/>
      </c>
      <c r="F2760" s="63"/>
      <c r="G2760" s="63"/>
      <c r="H2760" s="60"/>
      <c r="I2760" s="60"/>
      <c r="J2760" s="63"/>
      <c r="K2760" s="61" t="str">
        <f aca="false">IF($P2760=0,"",IF($F2760="Baseline","— Baseline",IF($O2760=0,"No result",IF($N2760=0,"No Start (attainment only)",IF(OR($N2760=1,$O2760=1),"U – needs rule",INDEX(MxBody,MATCH($I2760,MxCurr,0),MATCH($H2760,MxStart,0)))))))</f>
        <v/>
      </c>
      <c r="L2760" s="62" t="str">
        <f aca="false">IF(COUNTA($A2760,$F2760,$G2760,$H2760,$I2760,$J2760)=0,"",IF($M2760=0,"✖ كود الصف غير موجود",IF(ISNA(MATCH($F2760,Lists!$A$2:$A$5,0)),"✖ الفترة غير صحيحة",IF(ISNA(MATCH($G2760,Lists!$B$2:$B$7,0)),"✖ المجموعة غير صحيحة",IF(NOT(OR($H2760="",$N2760&gt;0)),"✖ Start غير صحيح",IF(NOT(OR($I2760="",$I2760="NR",$O2760&gt;0)),"✖ Current غير صحيح",IF(NOT(IF(ISNUMBER($J2760),AND($J2760&gt;=0,$J2760=INT($J2760)),FALSE())),"✖ العدد يجب أن يكون صحيحًا ≥ 0",IF(AND($F2760="Baseline",$H2760&lt;&gt;""),"⚠ Baseline: Start لا يدخل في التقدم",IF($K2760="No Start (attainment only)","ℹ تحصيل فقط (بدون Start)",IF($K2760="U – needs rule","ℹ حالة U تحتاج قاعدة معتمدة",IF($K2760="No result","ℹ بدون نتيجة (يُستبعد من التحصيل)","OK")))))))))))</f>
        <v/>
      </c>
      <c r="M2760" s="64" t="n">
        <f aca="false">IF($A2760="",0,IFERROR(MATCH($A2760,Classes!$A$6:$A$420,0),0))</f>
        <v>0</v>
      </c>
      <c r="N2760" s="64" t="n">
        <f aca="false">IF($H2760="",0,IFERROR(MATCH($H2760,GradeList,0),0))</f>
        <v>0</v>
      </c>
      <c r="O2760" s="64" t="n">
        <f aca="false">IF(OR($I2760="",$I2760="NR"),0,IFERROR(MATCH($I2760,GradeList,0),0))</f>
        <v>0</v>
      </c>
      <c r="P2760" s="64" t="n">
        <f aca="false">IF(AND($M2760&gt;0,ISNUMBER(MATCH($F2760,Lists!$A$2:$A$5,0)),ISNUMBER(MATCH($G2760,Lists!$B$2:$B$7,0)),OR($H2760="",$N2760&gt;0),OR($I2760="",$I2760="NR",$O2760&gt;0),IF(ISNUMBER($J2760),AND($J2760&gt;=0,$J2760=INT($J2760)),FALSE())),$J2760,0)</f>
        <v>0</v>
      </c>
      <c r="Q2760" s="64" t="n">
        <f aca="false">IF(AND($P2760&gt;0,$O2760&gt;0),$P2760,0)</f>
        <v>0</v>
      </c>
      <c r="R2760" s="64" t="n">
        <f aca="false">IF(AND($Q2760&gt;0,$O2760&gt;=AtRank),$Q2760,0)</f>
        <v>0</v>
      </c>
      <c r="S2760" s="64" t="n">
        <f aca="false">IF(AND($Q2760&gt;0,$O2760&gt;=AboveRank),$Q2760,0)</f>
        <v>0</v>
      </c>
      <c r="T2760" s="64" t="n">
        <f aca="false">IF($K2760="Less",$P2760,0)</f>
        <v>0</v>
      </c>
      <c r="U2760" s="64" t="n">
        <f aca="false">IF($K2760="Expected",$P2760,0)</f>
        <v>0</v>
      </c>
      <c r="V2760" s="64" t="n">
        <f aca="false">IF($K2760="Better",$P2760,0)</f>
        <v>0</v>
      </c>
      <c r="W2760" s="64" t="n">
        <f aca="false">IF($K2760="U – needs rule",$P2760,0)</f>
        <v>0</v>
      </c>
      <c r="X2760" s="64" t="n">
        <f aca="false">IF($K2760="No Start (attainment only)",$P2760,0)</f>
        <v>0</v>
      </c>
    </row>
    <row r="2761" customFormat="false" ht="15" hidden="false" customHeight="false" outlineLevel="0" collapsed="false">
      <c r="A2761" s="60"/>
      <c r="B2761" s="61" t="str">
        <f aca="false">IF($M2761=0,"",INDEX(Classes!$E$6:$E$420,$M2761))</f>
        <v/>
      </c>
      <c r="C2761" s="62" t="str">
        <f aca="false">IF($M2761=0,"",INDEX(Classes!$H$6:$H$420,$M2761))</f>
        <v/>
      </c>
      <c r="D2761" s="61" t="str">
        <f aca="false">IF($M2761=0,"",INDEX(Classes!$B$6:$B$420,$M2761))</f>
        <v/>
      </c>
      <c r="E2761" s="61" t="str">
        <f aca="false">IF($M2761=0,"",INDEX(Classes!$C$6:$C$420,$M2761))</f>
        <v/>
      </c>
      <c r="F2761" s="63"/>
      <c r="G2761" s="63"/>
      <c r="H2761" s="60"/>
      <c r="I2761" s="60"/>
      <c r="J2761" s="63"/>
      <c r="K2761" s="61" t="str">
        <f aca="false">IF($P2761=0,"",IF($F2761="Baseline","— Baseline",IF($O2761=0,"No result",IF($N2761=0,"No Start (attainment only)",IF(OR($N2761=1,$O2761=1),"U – needs rule",INDEX(MxBody,MATCH($I2761,MxCurr,0),MATCH($H2761,MxStart,0)))))))</f>
        <v/>
      </c>
      <c r="L2761" s="62" t="str">
        <f aca="false">IF(COUNTA($A2761,$F2761,$G2761,$H2761,$I2761,$J2761)=0,"",IF($M2761=0,"✖ كود الصف غير موجود",IF(ISNA(MATCH($F2761,Lists!$A$2:$A$5,0)),"✖ الفترة غير صحيحة",IF(ISNA(MATCH($G2761,Lists!$B$2:$B$7,0)),"✖ المجموعة غير صحيحة",IF(NOT(OR($H2761="",$N2761&gt;0)),"✖ Start غير صحيح",IF(NOT(OR($I2761="",$I2761="NR",$O2761&gt;0)),"✖ Current غير صحيح",IF(NOT(IF(ISNUMBER($J2761),AND($J2761&gt;=0,$J2761=INT($J2761)),FALSE())),"✖ العدد يجب أن يكون صحيحًا ≥ 0",IF(AND($F2761="Baseline",$H2761&lt;&gt;""),"⚠ Baseline: Start لا يدخل في التقدم",IF($K2761="No Start (attainment only)","ℹ تحصيل فقط (بدون Start)",IF($K2761="U – needs rule","ℹ حالة U تحتاج قاعدة معتمدة",IF($K2761="No result","ℹ بدون نتيجة (يُستبعد من التحصيل)","OK")))))))))))</f>
        <v/>
      </c>
      <c r="M2761" s="64" t="n">
        <f aca="false">IF($A2761="",0,IFERROR(MATCH($A2761,Classes!$A$6:$A$420,0),0))</f>
        <v>0</v>
      </c>
      <c r="N2761" s="64" t="n">
        <f aca="false">IF($H2761="",0,IFERROR(MATCH($H2761,GradeList,0),0))</f>
        <v>0</v>
      </c>
      <c r="O2761" s="64" t="n">
        <f aca="false">IF(OR($I2761="",$I2761="NR"),0,IFERROR(MATCH($I2761,GradeList,0),0))</f>
        <v>0</v>
      </c>
      <c r="P2761" s="64" t="n">
        <f aca="false">IF(AND($M2761&gt;0,ISNUMBER(MATCH($F2761,Lists!$A$2:$A$5,0)),ISNUMBER(MATCH($G2761,Lists!$B$2:$B$7,0)),OR($H2761="",$N2761&gt;0),OR($I2761="",$I2761="NR",$O2761&gt;0),IF(ISNUMBER($J2761),AND($J2761&gt;=0,$J2761=INT($J2761)),FALSE())),$J2761,0)</f>
        <v>0</v>
      </c>
      <c r="Q2761" s="64" t="n">
        <f aca="false">IF(AND($P2761&gt;0,$O2761&gt;0),$P2761,0)</f>
        <v>0</v>
      </c>
      <c r="R2761" s="64" t="n">
        <f aca="false">IF(AND($Q2761&gt;0,$O2761&gt;=AtRank),$Q2761,0)</f>
        <v>0</v>
      </c>
      <c r="S2761" s="64" t="n">
        <f aca="false">IF(AND($Q2761&gt;0,$O2761&gt;=AboveRank),$Q2761,0)</f>
        <v>0</v>
      </c>
      <c r="T2761" s="64" t="n">
        <f aca="false">IF($K2761="Less",$P2761,0)</f>
        <v>0</v>
      </c>
      <c r="U2761" s="64" t="n">
        <f aca="false">IF($K2761="Expected",$P2761,0)</f>
        <v>0</v>
      </c>
      <c r="V2761" s="64" t="n">
        <f aca="false">IF($K2761="Better",$P2761,0)</f>
        <v>0</v>
      </c>
      <c r="W2761" s="64" t="n">
        <f aca="false">IF($K2761="U – needs rule",$P2761,0)</f>
        <v>0</v>
      </c>
      <c r="X2761" s="64" t="n">
        <f aca="false">IF($K2761="No Start (attainment only)",$P2761,0)</f>
        <v>0</v>
      </c>
    </row>
    <row r="2762" customFormat="false" ht="15" hidden="false" customHeight="false" outlineLevel="0" collapsed="false">
      <c r="A2762" s="60"/>
      <c r="B2762" s="61" t="str">
        <f aca="false">IF($M2762=0,"",INDEX(Classes!$E$6:$E$420,$M2762))</f>
        <v/>
      </c>
      <c r="C2762" s="62" t="str">
        <f aca="false">IF($M2762=0,"",INDEX(Classes!$H$6:$H$420,$M2762))</f>
        <v/>
      </c>
      <c r="D2762" s="61" t="str">
        <f aca="false">IF($M2762=0,"",INDEX(Classes!$B$6:$B$420,$M2762))</f>
        <v/>
      </c>
      <c r="E2762" s="61" t="str">
        <f aca="false">IF($M2762=0,"",INDEX(Classes!$C$6:$C$420,$M2762))</f>
        <v/>
      </c>
      <c r="F2762" s="63"/>
      <c r="G2762" s="63"/>
      <c r="H2762" s="60"/>
      <c r="I2762" s="60"/>
      <c r="J2762" s="63"/>
      <c r="K2762" s="61" t="str">
        <f aca="false">IF($P2762=0,"",IF($F2762="Baseline","— Baseline",IF($O2762=0,"No result",IF($N2762=0,"No Start (attainment only)",IF(OR($N2762=1,$O2762=1),"U – needs rule",INDEX(MxBody,MATCH($I2762,MxCurr,0),MATCH($H2762,MxStart,0)))))))</f>
        <v/>
      </c>
      <c r="L2762" s="62" t="str">
        <f aca="false">IF(COUNTA($A2762,$F2762,$G2762,$H2762,$I2762,$J2762)=0,"",IF($M2762=0,"✖ كود الصف غير موجود",IF(ISNA(MATCH($F2762,Lists!$A$2:$A$5,0)),"✖ الفترة غير صحيحة",IF(ISNA(MATCH($G2762,Lists!$B$2:$B$7,0)),"✖ المجموعة غير صحيحة",IF(NOT(OR($H2762="",$N2762&gt;0)),"✖ Start غير صحيح",IF(NOT(OR($I2762="",$I2762="NR",$O2762&gt;0)),"✖ Current غير صحيح",IF(NOT(IF(ISNUMBER($J2762),AND($J2762&gt;=0,$J2762=INT($J2762)),FALSE())),"✖ العدد يجب أن يكون صحيحًا ≥ 0",IF(AND($F2762="Baseline",$H2762&lt;&gt;""),"⚠ Baseline: Start لا يدخل في التقدم",IF($K2762="No Start (attainment only)","ℹ تحصيل فقط (بدون Start)",IF($K2762="U – needs rule","ℹ حالة U تحتاج قاعدة معتمدة",IF($K2762="No result","ℹ بدون نتيجة (يُستبعد من التحصيل)","OK")))))))))))</f>
        <v/>
      </c>
      <c r="M2762" s="64" t="n">
        <f aca="false">IF($A2762="",0,IFERROR(MATCH($A2762,Classes!$A$6:$A$420,0),0))</f>
        <v>0</v>
      </c>
      <c r="N2762" s="64" t="n">
        <f aca="false">IF($H2762="",0,IFERROR(MATCH($H2762,GradeList,0),0))</f>
        <v>0</v>
      </c>
      <c r="O2762" s="64" t="n">
        <f aca="false">IF(OR($I2762="",$I2762="NR"),0,IFERROR(MATCH($I2762,GradeList,0),0))</f>
        <v>0</v>
      </c>
      <c r="P2762" s="64" t="n">
        <f aca="false">IF(AND($M2762&gt;0,ISNUMBER(MATCH($F2762,Lists!$A$2:$A$5,0)),ISNUMBER(MATCH($G2762,Lists!$B$2:$B$7,0)),OR($H2762="",$N2762&gt;0),OR($I2762="",$I2762="NR",$O2762&gt;0),IF(ISNUMBER($J2762),AND($J2762&gt;=0,$J2762=INT($J2762)),FALSE())),$J2762,0)</f>
        <v>0</v>
      </c>
      <c r="Q2762" s="64" t="n">
        <f aca="false">IF(AND($P2762&gt;0,$O2762&gt;0),$P2762,0)</f>
        <v>0</v>
      </c>
      <c r="R2762" s="64" t="n">
        <f aca="false">IF(AND($Q2762&gt;0,$O2762&gt;=AtRank),$Q2762,0)</f>
        <v>0</v>
      </c>
      <c r="S2762" s="64" t="n">
        <f aca="false">IF(AND($Q2762&gt;0,$O2762&gt;=AboveRank),$Q2762,0)</f>
        <v>0</v>
      </c>
      <c r="T2762" s="64" t="n">
        <f aca="false">IF($K2762="Less",$P2762,0)</f>
        <v>0</v>
      </c>
      <c r="U2762" s="64" t="n">
        <f aca="false">IF($K2762="Expected",$P2762,0)</f>
        <v>0</v>
      </c>
      <c r="V2762" s="64" t="n">
        <f aca="false">IF($K2762="Better",$P2762,0)</f>
        <v>0</v>
      </c>
      <c r="W2762" s="64" t="n">
        <f aca="false">IF($K2762="U – needs rule",$P2762,0)</f>
        <v>0</v>
      </c>
      <c r="X2762" s="64" t="n">
        <f aca="false">IF($K2762="No Start (attainment only)",$P2762,0)</f>
        <v>0</v>
      </c>
    </row>
    <row r="2763" customFormat="false" ht="15" hidden="false" customHeight="false" outlineLevel="0" collapsed="false">
      <c r="A2763" s="60"/>
      <c r="B2763" s="61" t="str">
        <f aca="false">IF($M2763=0,"",INDEX(Classes!$E$6:$E$420,$M2763))</f>
        <v/>
      </c>
      <c r="C2763" s="62" t="str">
        <f aca="false">IF($M2763=0,"",INDEX(Classes!$H$6:$H$420,$M2763))</f>
        <v/>
      </c>
      <c r="D2763" s="61" t="str">
        <f aca="false">IF($M2763=0,"",INDEX(Classes!$B$6:$B$420,$M2763))</f>
        <v/>
      </c>
      <c r="E2763" s="61" t="str">
        <f aca="false">IF($M2763=0,"",INDEX(Classes!$C$6:$C$420,$M2763))</f>
        <v/>
      </c>
      <c r="F2763" s="63"/>
      <c r="G2763" s="63"/>
      <c r="H2763" s="60"/>
      <c r="I2763" s="60"/>
      <c r="J2763" s="63"/>
      <c r="K2763" s="61" t="str">
        <f aca="false">IF($P2763=0,"",IF($F2763="Baseline","— Baseline",IF($O2763=0,"No result",IF($N2763=0,"No Start (attainment only)",IF(OR($N2763=1,$O2763=1),"U – needs rule",INDEX(MxBody,MATCH($I2763,MxCurr,0),MATCH($H2763,MxStart,0)))))))</f>
        <v/>
      </c>
      <c r="L2763" s="62" t="str">
        <f aca="false">IF(COUNTA($A2763,$F2763,$G2763,$H2763,$I2763,$J2763)=0,"",IF($M2763=0,"✖ كود الصف غير موجود",IF(ISNA(MATCH($F2763,Lists!$A$2:$A$5,0)),"✖ الفترة غير صحيحة",IF(ISNA(MATCH($G2763,Lists!$B$2:$B$7,0)),"✖ المجموعة غير صحيحة",IF(NOT(OR($H2763="",$N2763&gt;0)),"✖ Start غير صحيح",IF(NOT(OR($I2763="",$I2763="NR",$O2763&gt;0)),"✖ Current غير صحيح",IF(NOT(IF(ISNUMBER($J2763),AND($J2763&gt;=0,$J2763=INT($J2763)),FALSE())),"✖ العدد يجب أن يكون صحيحًا ≥ 0",IF(AND($F2763="Baseline",$H2763&lt;&gt;""),"⚠ Baseline: Start لا يدخل في التقدم",IF($K2763="No Start (attainment only)","ℹ تحصيل فقط (بدون Start)",IF($K2763="U – needs rule","ℹ حالة U تحتاج قاعدة معتمدة",IF($K2763="No result","ℹ بدون نتيجة (يُستبعد من التحصيل)","OK")))))))))))</f>
        <v/>
      </c>
      <c r="M2763" s="64" t="n">
        <f aca="false">IF($A2763="",0,IFERROR(MATCH($A2763,Classes!$A$6:$A$420,0),0))</f>
        <v>0</v>
      </c>
      <c r="N2763" s="64" t="n">
        <f aca="false">IF($H2763="",0,IFERROR(MATCH($H2763,GradeList,0),0))</f>
        <v>0</v>
      </c>
      <c r="O2763" s="64" t="n">
        <f aca="false">IF(OR($I2763="",$I2763="NR"),0,IFERROR(MATCH($I2763,GradeList,0),0))</f>
        <v>0</v>
      </c>
      <c r="P2763" s="64" t="n">
        <f aca="false">IF(AND($M2763&gt;0,ISNUMBER(MATCH($F2763,Lists!$A$2:$A$5,0)),ISNUMBER(MATCH($G2763,Lists!$B$2:$B$7,0)),OR($H2763="",$N2763&gt;0),OR($I2763="",$I2763="NR",$O2763&gt;0),IF(ISNUMBER($J2763),AND($J2763&gt;=0,$J2763=INT($J2763)),FALSE())),$J2763,0)</f>
        <v>0</v>
      </c>
      <c r="Q2763" s="64" t="n">
        <f aca="false">IF(AND($P2763&gt;0,$O2763&gt;0),$P2763,0)</f>
        <v>0</v>
      </c>
      <c r="R2763" s="64" t="n">
        <f aca="false">IF(AND($Q2763&gt;0,$O2763&gt;=AtRank),$Q2763,0)</f>
        <v>0</v>
      </c>
      <c r="S2763" s="64" t="n">
        <f aca="false">IF(AND($Q2763&gt;0,$O2763&gt;=AboveRank),$Q2763,0)</f>
        <v>0</v>
      </c>
      <c r="T2763" s="64" t="n">
        <f aca="false">IF($K2763="Less",$P2763,0)</f>
        <v>0</v>
      </c>
      <c r="U2763" s="64" t="n">
        <f aca="false">IF($K2763="Expected",$P2763,0)</f>
        <v>0</v>
      </c>
      <c r="V2763" s="64" t="n">
        <f aca="false">IF($K2763="Better",$P2763,0)</f>
        <v>0</v>
      </c>
      <c r="W2763" s="64" t="n">
        <f aca="false">IF($K2763="U – needs rule",$P2763,0)</f>
        <v>0</v>
      </c>
      <c r="X2763" s="64" t="n">
        <f aca="false">IF($K2763="No Start (attainment only)",$P2763,0)</f>
        <v>0</v>
      </c>
    </row>
    <row r="2764" customFormat="false" ht="15" hidden="false" customHeight="false" outlineLevel="0" collapsed="false">
      <c r="A2764" s="60"/>
      <c r="B2764" s="61" t="str">
        <f aca="false">IF($M2764=0,"",INDEX(Classes!$E$6:$E$420,$M2764))</f>
        <v/>
      </c>
      <c r="C2764" s="62" t="str">
        <f aca="false">IF($M2764=0,"",INDEX(Classes!$H$6:$H$420,$M2764))</f>
        <v/>
      </c>
      <c r="D2764" s="61" t="str">
        <f aca="false">IF($M2764=0,"",INDEX(Classes!$B$6:$B$420,$M2764))</f>
        <v/>
      </c>
      <c r="E2764" s="61" t="str">
        <f aca="false">IF($M2764=0,"",INDEX(Classes!$C$6:$C$420,$M2764))</f>
        <v/>
      </c>
      <c r="F2764" s="63"/>
      <c r="G2764" s="63"/>
      <c r="H2764" s="60"/>
      <c r="I2764" s="60"/>
      <c r="J2764" s="63"/>
      <c r="K2764" s="61" t="str">
        <f aca="false">IF($P2764=0,"",IF($F2764="Baseline","— Baseline",IF($O2764=0,"No result",IF($N2764=0,"No Start (attainment only)",IF(OR($N2764=1,$O2764=1),"U – needs rule",INDEX(MxBody,MATCH($I2764,MxCurr,0),MATCH($H2764,MxStart,0)))))))</f>
        <v/>
      </c>
      <c r="L2764" s="62" t="str">
        <f aca="false">IF(COUNTA($A2764,$F2764,$G2764,$H2764,$I2764,$J2764)=0,"",IF($M2764=0,"✖ كود الصف غير موجود",IF(ISNA(MATCH($F2764,Lists!$A$2:$A$5,0)),"✖ الفترة غير صحيحة",IF(ISNA(MATCH($G2764,Lists!$B$2:$B$7,0)),"✖ المجموعة غير صحيحة",IF(NOT(OR($H2764="",$N2764&gt;0)),"✖ Start غير صحيح",IF(NOT(OR($I2764="",$I2764="NR",$O2764&gt;0)),"✖ Current غير صحيح",IF(NOT(IF(ISNUMBER($J2764),AND($J2764&gt;=0,$J2764=INT($J2764)),FALSE())),"✖ العدد يجب أن يكون صحيحًا ≥ 0",IF(AND($F2764="Baseline",$H2764&lt;&gt;""),"⚠ Baseline: Start لا يدخل في التقدم",IF($K2764="No Start (attainment only)","ℹ تحصيل فقط (بدون Start)",IF($K2764="U – needs rule","ℹ حالة U تحتاج قاعدة معتمدة",IF($K2764="No result","ℹ بدون نتيجة (يُستبعد من التحصيل)","OK")))))))))))</f>
        <v/>
      </c>
      <c r="M2764" s="64" t="n">
        <f aca="false">IF($A2764="",0,IFERROR(MATCH($A2764,Classes!$A$6:$A$420,0),0))</f>
        <v>0</v>
      </c>
      <c r="N2764" s="64" t="n">
        <f aca="false">IF($H2764="",0,IFERROR(MATCH($H2764,GradeList,0),0))</f>
        <v>0</v>
      </c>
      <c r="O2764" s="64" t="n">
        <f aca="false">IF(OR($I2764="",$I2764="NR"),0,IFERROR(MATCH($I2764,GradeList,0),0))</f>
        <v>0</v>
      </c>
      <c r="P2764" s="64" t="n">
        <f aca="false">IF(AND($M2764&gt;0,ISNUMBER(MATCH($F2764,Lists!$A$2:$A$5,0)),ISNUMBER(MATCH($G2764,Lists!$B$2:$B$7,0)),OR($H2764="",$N2764&gt;0),OR($I2764="",$I2764="NR",$O2764&gt;0),IF(ISNUMBER($J2764),AND($J2764&gt;=0,$J2764=INT($J2764)),FALSE())),$J2764,0)</f>
        <v>0</v>
      </c>
      <c r="Q2764" s="64" t="n">
        <f aca="false">IF(AND($P2764&gt;0,$O2764&gt;0),$P2764,0)</f>
        <v>0</v>
      </c>
      <c r="R2764" s="64" t="n">
        <f aca="false">IF(AND($Q2764&gt;0,$O2764&gt;=AtRank),$Q2764,0)</f>
        <v>0</v>
      </c>
      <c r="S2764" s="64" t="n">
        <f aca="false">IF(AND($Q2764&gt;0,$O2764&gt;=AboveRank),$Q2764,0)</f>
        <v>0</v>
      </c>
      <c r="T2764" s="64" t="n">
        <f aca="false">IF($K2764="Less",$P2764,0)</f>
        <v>0</v>
      </c>
      <c r="U2764" s="64" t="n">
        <f aca="false">IF($K2764="Expected",$P2764,0)</f>
        <v>0</v>
      </c>
      <c r="V2764" s="64" t="n">
        <f aca="false">IF($K2764="Better",$P2764,0)</f>
        <v>0</v>
      </c>
      <c r="W2764" s="64" t="n">
        <f aca="false">IF($K2764="U – needs rule",$P2764,0)</f>
        <v>0</v>
      </c>
      <c r="X2764" s="64" t="n">
        <f aca="false">IF($K2764="No Start (attainment only)",$P2764,0)</f>
        <v>0</v>
      </c>
    </row>
    <row r="2765" customFormat="false" ht="15" hidden="false" customHeight="false" outlineLevel="0" collapsed="false">
      <c r="A2765" s="60"/>
      <c r="B2765" s="61" t="str">
        <f aca="false">IF($M2765=0,"",INDEX(Classes!$E$6:$E$420,$M2765))</f>
        <v/>
      </c>
      <c r="C2765" s="62" t="str">
        <f aca="false">IF($M2765=0,"",INDEX(Classes!$H$6:$H$420,$M2765))</f>
        <v/>
      </c>
      <c r="D2765" s="61" t="str">
        <f aca="false">IF($M2765=0,"",INDEX(Classes!$B$6:$B$420,$M2765))</f>
        <v/>
      </c>
      <c r="E2765" s="61" t="str">
        <f aca="false">IF($M2765=0,"",INDEX(Classes!$C$6:$C$420,$M2765))</f>
        <v/>
      </c>
      <c r="F2765" s="63"/>
      <c r="G2765" s="63"/>
      <c r="H2765" s="60"/>
      <c r="I2765" s="60"/>
      <c r="J2765" s="63"/>
      <c r="K2765" s="61" t="str">
        <f aca="false">IF($P2765=0,"",IF($F2765="Baseline","— Baseline",IF($O2765=0,"No result",IF($N2765=0,"No Start (attainment only)",IF(OR($N2765=1,$O2765=1),"U – needs rule",INDEX(MxBody,MATCH($I2765,MxCurr,0),MATCH($H2765,MxStart,0)))))))</f>
        <v/>
      </c>
      <c r="L2765" s="62" t="str">
        <f aca="false">IF(COUNTA($A2765,$F2765,$G2765,$H2765,$I2765,$J2765)=0,"",IF($M2765=0,"✖ كود الصف غير موجود",IF(ISNA(MATCH($F2765,Lists!$A$2:$A$5,0)),"✖ الفترة غير صحيحة",IF(ISNA(MATCH($G2765,Lists!$B$2:$B$7,0)),"✖ المجموعة غير صحيحة",IF(NOT(OR($H2765="",$N2765&gt;0)),"✖ Start غير صحيح",IF(NOT(OR($I2765="",$I2765="NR",$O2765&gt;0)),"✖ Current غير صحيح",IF(NOT(IF(ISNUMBER($J2765),AND($J2765&gt;=0,$J2765=INT($J2765)),FALSE())),"✖ العدد يجب أن يكون صحيحًا ≥ 0",IF(AND($F2765="Baseline",$H2765&lt;&gt;""),"⚠ Baseline: Start لا يدخل في التقدم",IF($K2765="No Start (attainment only)","ℹ تحصيل فقط (بدون Start)",IF($K2765="U – needs rule","ℹ حالة U تحتاج قاعدة معتمدة",IF($K2765="No result","ℹ بدون نتيجة (يُستبعد من التحصيل)","OK")))))))))))</f>
        <v/>
      </c>
      <c r="M2765" s="64" t="n">
        <f aca="false">IF($A2765="",0,IFERROR(MATCH($A2765,Classes!$A$6:$A$420,0),0))</f>
        <v>0</v>
      </c>
      <c r="N2765" s="64" t="n">
        <f aca="false">IF($H2765="",0,IFERROR(MATCH($H2765,GradeList,0),0))</f>
        <v>0</v>
      </c>
      <c r="O2765" s="64" t="n">
        <f aca="false">IF(OR($I2765="",$I2765="NR"),0,IFERROR(MATCH($I2765,GradeList,0),0))</f>
        <v>0</v>
      </c>
      <c r="P2765" s="64" t="n">
        <f aca="false">IF(AND($M2765&gt;0,ISNUMBER(MATCH($F2765,Lists!$A$2:$A$5,0)),ISNUMBER(MATCH($G2765,Lists!$B$2:$B$7,0)),OR($H2765="",$N2765&gt;0),OR($I2765="",$I2765="NR",$O2765&gt;0),IF(ISNUMBER($J2765),AND($J2765&gt;=0,$J2765=INT($J2765)),FALSE())),$J2765,0)</f>
        <v>0</v>
      </c>
      <c r="Q2765" s="64" t="n">
        <f aca="false">IF(AND($P2765&gt;0,$O2765&gt;0),$P2765,0)</f>
        <v>0</v>
      </c>
      <c r="R2765" s="64" t="n">
        <f aca="false">IF(AND($Q2765&gt;0,$O2765&gt;=AtRank),$Q2765,0)</f>
        <v>0</v>
      </c>
      <c r="S2765" s="64" t="n">
        <f aca="false">IF(AND($Q2765&gt;0,$O2765&gt;=AboveRank),$Q2765,0)</f>
        <v>0</v>
      </c>
      <c r="T2765" s="64" t="n">
        <f aca="false">IF($K2765="Less",$P2765,0)</f>
        <v>0</v>
      </c>
      <c r="U2765" s="64" t="n">
        <f aca="false">IF($K2765="Expected",$P2765,0)</f>
        <v>0</v>
      </c>
      <c r="V2765" s="64" t="n">
        <f aca="false">IF($K2765="Better",$P2765,0)</f>
        <v>0</v>
      </c>
      <c r="W2765" s="64" t="n">
        <f aca="false">IF($K2765="U – needs rule",$P2765,0)</f>
        <v>0</v>
      </c>
      <c r="X2765" s="64" t="n">
        <f aca="false">IF($K2765="No Start (attainment only)",$P2765,0)</f>
        <v>0</v>
      </c>
    </row>
    <row r="2766" customFormat="false" ht="15" hidden="false" customHeight="false" outlineLevel="0" collapsed="false">
      <c r="A2766" s="60"/>
      <c r="B2766" s="61" t="str">
        <f aca="false">IF($M2766=0,"",INDEX(Classes!$E$6:$E$420,$M2766))</f>
        <v/>
      </c>
      <c r="C2766" s="62" t="str">
        <f aca="false">IF($M2766=0,"",INDEX(Classes!$H$6:$H$420,$M2766))</f>
        <v/>
      </c>
      <c r="D2766" s="61" t="str">
        <f aca="false">IF($M2766=0,"",INDEX(Classes!$B$6:$B$420,$M2766))</f>
        <v/>
      </c>
      <c r="E2766" s="61" t="str">
        <f aca="false">IF($M2766=0,"",INDEX(Classes!$C$6:$C$420,$M2766))</f>
        <v/>
      </c>
      <c r="F2766" s="63"/>
      <c r="G2766" s="63"/>
      <c r="H2766" s="60"/>
      <c r="I2766" s="60"/>
      <c r="J2766" s="63"/>
      <c r="K2766" s="61" t="str">
        <f aca="false">IF($P2766=0,"",IF($F2766="Baseline","— Baseline",IF($O2766=0,"No result",IF($N2766=0,"No Start (attainment only)",IF(OR($N2766=1,$O2766=1),"U – needs rule",INDEX(MxBody,MATCH($I2766,MxCurr,0),MATCH($H2766,MxStart,0)))))))</f>
        <v/>
      </c>
      <c r="L2766" s="62" t="str">
        <f aca="false">IF(COUNTA($A2766,$F2766,$G2766,$H2766,$I2766,$J2766)=0,"",IF($M2766=0,"✖ كود الصف غير موجود",IF(ISNA(MATCH($F2766,Lists!$A$2:$A$5,0)),"✖ الفترة غير صحيحة",IF(ISNA(MATCH($G2766,Lists!$B$2:$B$7,0)),"✖ المجموعة غير صحيحة",IF(NOT(OR($H2766="",$N2766&gt;0)),"✖ Start غير صحيح",IF(NOT(OR($I2766="",$I2766="NR",$O2766&gt;0)),"✖ Current غير صحيح",IF(NOT(IF(ISNUMBER($J2766),AND($J2766&gt;=0,$J2766=INT($J2766)),FALSE())),"✖ العدد يجب أن يكون صحيحًا ≥ 0",IF(AND($F2766="Baseline",$H2766&lt;&gt;""),"⚠ Baseline: Start لا يدخل في التقدم",IF($K2766="No Start (attainment only)","ℹ تحصيل فقط (بدون Start)",IF($K2766="U – needs rule","ℹ حالة U تحتاج قاعدة معتمدة",IF($K2766="No result","ℹ بدون نتيجة (يُستبعد من التحصيل)","OK")))))))))))</f>
        <v/>
      </c>
      <c r="M2766" s="64" t="n">
        <f aca="false">IF($A2766="",0,IFERROR(MATCH($A2766,Classes!$A$6:$A$420,0),0))</f>
        <v>0</v>
      </c>
      <c r="N2766" s="64" t="n">
        <f aca="false">IF($H2766="",0,IFERROR(MATCH($H2766,GradeList,0),0))</f>
        <v>0</v>
      </c>
      <c r="O2766" s="64" t="n">
        <f aca="false">IF(OR($I2766="",$I2766="NR"),0,IFERROR(MATCH($I2766,GradeList,0),0))</f>
        <v>0</v>
      </c>
      <c r="P2766" s="64" t="n">
        <f aca="false">IF(AND($M2766&gt;0,ISNUMBER(MATCH($F2766,Lists!$A$2:$A$5,0)),ISNUMBER(MATCH($G2766,Lists!$B$2:$B$7,0)),OR($H2766="",$N2766&gt;0),OR($I2766="",$I2766="NR",$O2766&gt;0),IF(ISNUMBER($J2766),AND($J2766&gt;=0,$J2766=INT($J2766)),FALSE())),$J2766,0)</f>
        <v>0</v>
      </c>
      <c r="Q2766" s="64" t="n">
        <f aca="false">IF(AND($P2766&gt;0,$O2766&gt;0),$P2766,0)</f>
        <v>0</v>
      </c>
      <c r="R2766" s="64" t="n">
        <f aca="false">IF(AND($Q2766&gt;0,$O2766&gt;=AtRank),$Q2766,0)</f>
        <v>0</v>
      </c>
      <c r="S2766" s="64" t="n">
        <f aca="false">IF(AND($Q2766&gt;0,$O2766&gt;=AboveRank),$Q2766,0)</f>
        <v>0</v>
      </c>
      <c r="T2766" s="64" t="n">
        <f aca="false">IF($K2766="Less",$P2766,0)</f>
        <v>0</v>
      </c>
      <c r="U2766" s="64" t="n">
        <f aca="false">IF($K2766="Expected",$P2766,0)</f>
        <v>0</v>
      </c>
      <c r="V2766" s="64" t="n">
        <f aca="false">IF($K2766="Better",$P2766,0)</f>
        <v>0</v>
      </c>
      <c r="W2766" s="64" t="n">
        <f aca="false">IF($K2766="U – needs rule",$P2766,0)</f>
        <v>0</v>
      </c>
      <c r="X2766" s="64" t="n">
        <f aca="false">IF($K2766="No Start (attainment only)",$P2766,0)</f>
        <v>0</v>
      </c>
    </row>
    <row r="2767" customFormat="false" ht="15" hidden="false" customHeight="false" outlineLevel="0" collapsed="false">
      <c r="A2767" s="60"/>
      <c r="B2767" s="61" t="str">
        <f aca="false">IF($M2767=0,"",INDEX(Classes!$E$6:$E$420,$M2767))</f>
        <v/>
      </c>
      <c r="C2767" s="62" t="str">
        <f aca="false">IF($M2767=0,"",INDEX(Classes!$H$6:$H$420,$M2767))</f>
        <v/>
      </c>
      <c r="D2767" s="61" t="str">
        <f aca="false">IF($M2767=0,"",INDEX(Classes!$B$6:$B$420,$M2767))</f>
        <v/>
      </c>
      <c r="E2767" s="61" t="str">
        <f aca="false">IF($M2767=0,"",INDEX(Classes!$C$6:$C$420,$M2767))</f>
        <v/>
      </c>
      <c r="F2767" s="63"/>
      <c r="G2767" s="63"/>
      <c r="H2767" s="60"/>
      <c r="I2767" s="60"/>
      <c r="J2767" s="63"/>
      <c r="K2767" s="61" t="str">
        <f aca="false">IF($P2767=0,"",IF($F2767="Baseline","— Baseline",IF($O2767=0,"No result",IF($N2767=0,"No Start (attainment only)",IF(OR($N2767=1,$O2767=1),"U – needs rule",INDEX(MxBody,MATCH($I2767,MxCurr,0),MATCH($H2767,MxStart,0)))))))</f>
        <v/>
      </c>
      <c r="L2767" s="62" t="str">
        <f aca="false">IF(COUNTA($A2767,$F2767,$G2767,$H2767,$I2767,$J2767)=0,"",IF($M2767=0,"✖ كود الصف غير موجود",IF(ISNA(MATCH($F2767,Lists!$A$2:$A$5,0)),"✖ الفترة غير صحيحة",IF(ISNA(MATCH($G2767,Lists!$B$2:$B$7,0)),"✖ المجموعة غير صحيحة",IF(NOT(OR($H2767="",$N2767&gt;0)),"✖ Start غير صحيح",IF(NOT(OR($I2767="",$I2767="NR",$O2767&gt;0)),"✖ Current غير صحيح",IF(NOT(IF(ISNUMBER($J2767),AND($J2767&gt;=0,$J2767=INT($J2767)),FALSE())),"✖ العدد يجب أن يكون صحيحًا ≥ 0",IF(AND($F2767="Baseline",$H2767&lt;&gt;""),"⚠ Baseline: Start لا يدخل في التقدم",IF($K2767="No Start (attainment only)","ℹ تحصيل فقط (بدون Start)",IF($K2767="U – needs rule","ℹ حالة U تحتاج قاعدة معتمدة",IF($K2767="No result","ℹ بدون نتيجة (يُستبعد من التحصيل)","OK")))))))))))</f>
        <v/>
      </c>
      <c r="M2767" s="64" t="n">
        <f aca="false">IF($A2767="",0,IFERROR(MATCH($A2767,Classes!$A$6:$A$420,0),0))</f>
        <v>0</v>
      </c>
      <c r="N2767" s="64" t="n">
        <f aca="false">IF($H2767="",0,IFERROR(MATCH($H2767,GradeList,0),0))</f>
        <v>0</v>
      </c>
      <c r="O2767" s="64" t="n">
        <f aca="false">IF(OR($I2767="",$I2767="NR"),0,IFERROR(MATCH($I2767,GradeList,0),0))</f>
        <v>0</v>
      </c>
      <c r="P2767" s="64" t="n">
        <f aca="false">IF(AND($M2767&gt;0,ISNUMBER(MATCH($F2767,Lists!$A$2:$A$5,0)),ISNUMBER(MATCH($G2767,Lists!$B$2:$B$7,0)),OR($H2767="",$N2767&gt;0),OR($I2767="",$I2767="NR",$O2767&gt;0),IF(ISNUMBER($J2767),AND($J2767&gt;=0,$J2767=INT($J2767)),FALSE())),$J2767,0)</f>
        <v>0</v>
      </c>
      <c r="Q2767" s="64" t="n">
        <f aca="false">IF(AND($P2767&gt;0,$O2767&gt;0),$P2767,0)</f>
        <v>0</v>
      </c>
      <c r="R2767" s="64" t="n">
        <f aca="false">IF(AND($Q2767&gt;0,$O2767&gt;=AtRank),$Q2767,0)</f>
        <v>0</v>
      </c>
      <c r="S2767" s="64" t="n">
        <f aca="false">IF(AND($Q2767&gt;0,$O2767&gt;=AboveRank),$Q2767,0)</f>
        <v>0</v>
      </c>
      <c r="T2767" s="64" t="n">
        <f aca="false">IF($K2767="Less",$P2767,0)</f>
        <v>0</v>
      </c>
      <c r="U2767" s="64" t="n">
        <f aca="false">IF($K2767="Expected",$P2767,0)</f>
        <v>0</v>
      </c>
      <c r="V2767" s="64" t="n">
        <f aca="false">IF($K2767="Better",$P2767,0)</f>
        <v>0</v>
      </c>
      <c r="W2767" s="64" t="n">
        <f aca="false">IF($K2767="U – needs rule",$P2767,0)</f>
        <v>0</v>
      </c>
      <c r="X2767" s="64" t="n">
        <f aca="false">IF($K2767="No Start (attainment only)",$P2767,0)</f>
        <v>0</v>
      </c>
    </row>
    <row r="2768" customFormat="false" ht="15" hidden="false" customHeight="false" outlineLevel="0" collapsed="false">
      <c r="A2768" s="60"/>
      <c r="B2768" s="61" t="str">
        <f aca="false">IF($M2768=0,"",INDEX(Classes!$E$6:$E$420,$M2768))</f>
        <v/>
      </c>
      <c r="C2768" s="62" t="str">
        <f aca="false">IF($M2768=0,"",INDEX(Classes!$H$6:$H$420,$M2768))</f>
        <v/>
      </c>
      <c r="D2768" s="61" t="str">
        <f aca="false">IF($M2768=0,"",INDEX(Classes!$B$6:$B$420,$M2768))</f>
        <v/>
      </c>
      <c r="E2768" s="61" t="str">
        <f aca="false">IF($M2768=0,"",INDEX(Classes!$C$6:$C$420,$M2768))</f>
        <v/>
      </c>
      <c r="F2768" s="63"/>
      <c r="G2768" s="63"/>
      <c r="H2768" s="60"/>
      <c r="I2768" s="60"/>
      <c r="J2768" s="63"/>
      <c r="K2768" s="61" t="str">
        <f aca="false">IF($P2768=0,"",IF($F2768="Baseline","— Baseline",IF($O2768=0,"No result",IF($N2768=0,"No Start (attainment only)",IF(OR($N2768=1,$O2768=1),"U – needs rule",INDEX(MxBody,MATCH($I2768,MxCurr,0),MATCH($H2768,MxStart,0)))))))</f>
        <v/>
      </c>
      <c r="L2768" s="62" t="str">
        <f aca="false">IF(COUNTA($A2768,$F2768,$G2768,$H2768,$I2768,$J2768)=0,"",IF($M2768=0,"✖ كود الصف غير موجود",IF(ISNA(MATCH($F2768,Lists!$A$2:$A$5,0)),"✖ الفترة غير صحيحة",IF(ISNA(MATCH($G2768,Lists!$B$2:$B$7,0)),"✖ المجموعة غير صحيحة",IF(NOT(OR($H2768="",$N2768&gt;0)),"✖ Start غير صحيح",IF(NOT(OR($I2768="",$I2768="NR",$O2768&gt;0)),"✖ Current غير صحيح",IF(NOT(IF(ISNUMBER($J2768),AND($J2768&gt;=0,$J2768=INT($J2768)),FALSE())),"✖ العدد يجب أن يكون صحيحًا ≥ 0",IF(AND($F2768="Baseline",$H2768&lt;&gt;""),"⚠ Baseline: Start لا يدخل في التقدم",IF($K2768="No Start (attainment only)","ℹ تحصيل فقط (بدون Start)",IF($K2768="U – needs rule","ℹ حالة U تحتاج قاعدة معتمدة",IF($K2768="No result","ℹ بدون نتيجة (يُستبعد من التحصيل)","OK")))))))))))</f>
        <v/>
      </c>
      <c r="M2768" s="64" t="n">
        <f aca="false">IF($A2768="",0,IFERROR(MATCH($A2768,Classes!$A$6:$A$420,0),0))</f>
        <v>0</v>
      </c>
      <c r="N2768" s="64" t="n">
        <f aca="false">IF($H2768="",0,IFERROR(MATCH($H2768,GradeList,0),0))</f>
        <v>0</v>
      </c>
      <c r="O2768" s="64" t="n">
        <f aca="false">IF(OR($I2768="",$I2768="NR"),0,IFERROR(MATCH($I2768,GradeList,0),0))</f>
        <v>0</v>
      </c>
      <c r="P2768" s="64" t="n">
        <f aca="false">IF(AND($M2768&gt;0,ISNUMBER(MATCH($F2768,Lists!$A$2:$A$5,0)),ISNUMBER(MATCH($G2768,Lists!$B$2:$B$7,0)),OR($H2768="",$N2768&gt;0),OR($I2768="",$I2768="NR",$O2768&gt;0),IF(ISNUMBER($J2768),AND($J2768&gt;=0,$J2768=INT($J2768)),FALSE())),$J2768,0)</f>
        <v>0</v>
      </c>
      <c r="Q2768" s="64" t="n">
        <f aca="false">IF(AND($P2768&gt;0,$O2768&gt;0),$P2768,0)</f>
        <v>0</v>
      </c>
      <c r="R2768" s="64" t="n">
        <f aca="false">IF(AND($Q2768&gt;0,$O2768&gt;=AtRank),$Q2768,0)</f>
        <v>0</v>
      </c>
      <c r="S2768" s="64" t="n">
        <f aca="false">IF(AND($Q2768&gt;0,$O2768&gt;=AboveRank),$Q2768,0)</f>
        <v>0</v>
      </c>
      <c r="T2768" s="64" t="n">
        <f aca="false">IF($K2768="Less",$P2768,0)</f>
        <v>0</v>
      </c>
      <c r="U2768" s="64" t="n">
        <f aca="false">IF($K2768="Expected",$P2768,0)</f>
        <v>0</v>
      </c>
      <c r="V2768" s="64" t="n">
        <f aca="false">IF($K2768="Better",$P2768,0)</f>
        <v>0</v>
      </c>
      <c r="W2768" s="64" t="n">
        <f aca="false">IF($K2768="U – needs rule",$P2768,0)</f>
        <v>0</v>
      </c>
      <c r="X2768" s="64" t="n">
        <f aca="false">IF($K2768="No Start (attainment only)",$P2768,0)</f>
        <v>0</v>
      </c>
    </row>
    <row r="2769" customFormat="false" ht="15" hidden="false" customHeight="false" outlineLevel="0" collapsed="false">
      <c r="A2769" s="60"/>
      <c r="B2769" s="61" t="str">
        <f aca="false">IF($M2769=0,"",INDEX(Classes!$E$6:$E$420,$M2769))</f>
        <v/>
      </c>
      <c r="C2769" s="62" t="str">
        <f aca="false">IF($M2769=0,"",INDEX(Classes!$H$6:$H$420,$M2769))</f>
        <v/>
      </c>
      <c r="D2769" s="61" t="str">
        <f aca="false">IF($M2769=0,"",INDEX(Classes!$B$6:$B$420,$M2769))</f>
        <v/>
      </c>
      <c r="E2769" s="61" t="str">
        <f aca="false">IF($M2769=0,"",INDEX(Classes!$C$6:$C$420,$M2769))</f>
        <v/>
      </c>
      <c r="F2769" s="63"/>
      <c r="G2769" s="63"/>
      <c r="H2769" s="60"/>
      <c r="I2769" s="60"/>
      <c r="J2769" s="63"/>
      <c r="K2769" s="61" t="str">
        <f aca="false">IF($P2769=0,"",IF($F2769="Baseline","— Baseline",IF($O2769=0,"No result",IF($N2769=0,"No Start (attainment only)",IF(OR($N2769=1,$O2769=1),"U – needs rule",INDEX(MxBody,MATCH($I2769,MxCurr,0),MATCH($H2769,MxStart,0)))))))</f>
        <v/>
      </c>
      <c r="L2769" s="62" t="str">
        <f aca="false">IF(COUNTA($A2769,$F2769,$G2769,$H2769,$I2769,$J2769)=0,"",IF($M2769=0,"✖ كود الصف غير موجود",IF(ISNA(MATCH($F2769,Lists!$A$2:$A$5,0)),"✖ الفترة غير صحيحة",IF(ISNA(MATCH($G2769,Lists!$B$2:$B$7,0)),"✖ المجموعة غير صحيحة",IF(NOT(OR($H2769="",$N2769&gt;0)),"✖ Start غير صحيح",IF(NOT(OR($I2769="",$I2769="NR",$O2769&gt;0)),"✖ Current غير صحيح",IF(NOT(IF(ISNUMBER($J2769),AND($J2769&gt;=0,$J2769=INT($J2769)),FALSE())),"✖ العدد يجب أن يكون صحيحًا ≥ 0",IF(AND($F2769="Baseline",$H2769&lt;&gt;""),"⚠ Baseline: Start لا يدخل في التقدم",IF($K2769="No Start (attainment only)","ℹ تحصيل فقط (بدون Start)",IF($K2769="U – needs rule","ℹ حالة U تحتاج قاعدة معتمدة",IF($K2769="No result","ℹ بدون نتيجة (يُستبعد من التحصيل)","OK")))))))))))</f>
        <v/>
      </c>
      <c r="M2769" s="64" t="n">
        <f aca="false">IF($A2769="",0,IFERROR(MATCH($A2769,Classes!$A$6:$A$420,0),0))</f>
        <v>0</v>
      </c>
      <c r="N2769" s="64" t="n">
        <f aca="false">IF($H2769="",0,IFERROR(MATCH($H2769,GradeList,0),0))</f>
        <v>0</v>
      </c>
      <c r="O2769" s="64" t="n">
        <f aca="false">IF(OR($I2769="",$I2769="NR"),0,IFERROR(MATCH($I2769,GradeList,0),0))</f>
        <v>0</v>
      </c>
      <c r="P2769" s="64" t="n">
        <f aca="false">IF(AND($M2769&gt;0,ISNUMBER(MATCH($F2769,Lists!$A$2:$A$5,0)),ISNUMBER(MATCH($G2769,Lists!$B$2:$B$7,0)),OR($H2769="",$N2769&gt;0),OR($I2769="",$I2769="NR",$O2769&gt;0),IF(ISNUMBER($J2769),AND($J2769&gt;=0,$J2769=INT($J2769)),FALSE())),$J2769,0)</f>
        <v>0</v>
      </c>
      <c r="Q2769" s="64" t="n">
        <f aca="false">IF(AND($P2769&gt;0,$O2769&gt;0),$P2769,0)</f>
        <v>0</v>
      </c>
      <c r="R2769" s="64" t="n">
        <f aca="false">IF(AND($Q2769&gt;0,$O2769&gt;=AtRank),$Q2769,0)</f>
        <v>0</v>
      </c>
      <c r="S2769" s="64" t="n">
        <f aca="false">IF(AND($Q2769&gt;0,$O2769&gt;=AboveRank),$Q2769,0)</f>
        <v>0</v>
      </c>
      <c r="T2769" s="64" t="n">
        <f aca="false">IF($K2769="Less",$P2769,0)</f>
        <v>0</v>
      </c>
      <c r="U2769" s="64" t="n">
        <f aca="false">IF($K2769="Expected",$P2769,0)</f>
        <v>0</v>
      </c>
      <c r="V2769" s="64" t="n">
        <f aca="false">IF($K2769="Better",$P2769,0)</f>
        <v>0</v>
      </c>
      <c r="W2769" s="64" t="n">
        <f aca="false">IF($K2769="U – needs rule",$P2769,0)</f>
        <v>0</v>
      </c>
      <c r="X2769" s="64" t="n">
        <f aca="false">IF($K2769="No Start (attainment only)",$P2769,0)</f>
        <v>0</v>
      </c>
    </row>
    <row r="2770" customFormat="false" ht="15" hidden="false" customHeight="false" outlineLevel="0" collapsed="false">
      <c r="A2770" s="60"/>
      <c r="B2770" s="61" t="str">
        <f aca="false">IF($M2770=0,"",INDEX(Classes!$E$6:$E$420,$M2770))</f>
        <v/>
      </c>
      <c r="C2770" s="62" t="str">
        <f aca="false">IF($M2770=0,"",INDEX(Classes!$H$6:$H$420,$M2770))</f>
        <v/>
      </c>
      <c r="D2770" s="61" t="str">
        <f aca="false">IF($M2770=0,"",INDEX(Classes!$B$6:$B$420,$M2770))</f>
        <v/>
      </c>
      <c r="E2770" s="61" t="str">
        <f aca="false">IF($M2770=0,"",INDEX(Classes!$C$6:$C$420,$M2770))</f>
        <v/>
      </c>
      <c r="F2770" s="63"/>
      <c r="G2770" s="63"/>
      <c r="H2770" s="60"/>
      <c r="I2770" s="60"/>
      <c r="J2770" s="63"/>
      <c r="K2770" s="61" t="str">
        <f aca="false">IF($P2770=0,"",IF($F2770="Baseline","— Baseline",IF($O2770=0,"No result",IF($N2770=0,"No Start (attainment only)",IF(OR($N2770=1,$O2770=1),"U – needs rule",INDEX(MxBody,MATCH($I2770,MxCurr,0),MATCH($H2770,MxStart,0)))))))</f>
        <v/>
      </c>
      <c r="L2770" s="62" t="str">
        <f aca="false">IF(COUNTA($A2770,$F2770,$G2770,$H2770,$I2770,$J2770)=0,"",IF($M2770=0,"✖ كود الصف غير موجود",IF(ISNA(MATCH($F2770,Lists!$A$2:$A$5,0)),"✖ الفترة غير صحيحة",IF(ISNA(MATCH($G2770,Lists!$B$2:$B$7,0)),"✖ المجموعة غير صحيحة",IF(NOT(OR($H2770="",$N2770&gt;0)),"✖ Start غير صحيح",IF(NOT(OR($I2770="",$I2770="NR",$O2770&gt;0)),"✖ Current غير صحيح",IF(NOT(IF(ISNUMBER($J2770),AND($J2770&gt;=0,$J2770=INT($J2770)),FALSE())),"✖ العدد يجب أن يكون صحيحًا ≥ 0",IF(AND($F2770="Baseline",$H2770&lt;&gt;""),"⚠ Baseline: Start لا يدخل في التقدم",IF($K2770="No Start (attainment only)","ℹ تحصيل فقط (بدون Start)",IF($K2770="U – needs rule","ℹ حالة U تحتاج قاعدة معتمدة",IF($K2770="No result","ℹ بدون نتيجة (يُستبعد من التحصيل)","OK")))))))))))</f>
        <v/>
      </c>
      <c r="M2770" s="64" t="n">
        <f aca="false">IF($A2770="",0,IFERROR(MATCH($A2770,Classes!$A$6:$A$420,0),0))</f>
        <v>0</v>
      </c>
      <c r="N2770" s="64" t="n">
        <f aca="false">IF($H2770="",0,IFERROR(MATCH($H2770,GradeList,0),0))</f>
        <v>0</v>
      </c>
      <c r="O2770" s="64" t="n">
        <f aca="false">IF(OR($I2770="",$I2770="NR"),0,IFERROR(MATCH($I2770,GradeList,0),0))</f>
        <v>0</v>
      </c>
      <c r="P2770" s="64" t="n">
        <f aca="false">IF(AND($M2770&gt;0,ISNUMBER(MATCH($F2770,Lists!$A$2:$A$5,0)),ISNUMBER(MATCH($G2770,Lists!$B$2:$B$7,0)),OR($H2770="",$N2770&gt;0),OR($I2770="",$I2770="NR",$O2770&gt;0),IF(ISNUMBER($J2770),AND($J2770&gt;=0,$J2770=INT($J2770)),FALSE())),$J2770,0)</f>
        <v>0</v>
      </c>
      <c r="Q2770" s="64" t="n">
        <f aca="false">IF(AND($P2770&gt;0,$O2770&gt;0),$P2770,0)</f>
        <v>0</v>
      </c>
      <c r="R2770" s="64" t="n">
        <f aca="false">IF(AND($Q2770&gt;0,$O2770&gt;=AtRank),$Q2770,0)</f>
        <v>0</v>
      </c>
      <c r="S2770" s="64" t="n">
        <f aca="false">IF(AND($Q2770&gt;0,$O2770&gt;=AboveRank),$Q2770,0)</f>
        <v>0</v>
      </c>
      <c r="T2770" s="64" t="n">
        <f aca="false">IF($K2770="Less",$P2770,0)</f>
        <v>0</v>
      </c>
      <c r="U2770" s="64" t="n">
        <f aca="false">IF($K2770="Expected",$P2770,0)</f>
        <v>0</v>
      </c>
      <c r="V2770" s="64" t="n">
        <f aca="false">IF($K2770="Better",$P2770,0)</f>
        <v>0</v>
      </c>
      <c r="W2770" s="64" t="n">
        <f aca="false">IF($K2770="U – needs rule",$P2770,0)</f>
        <v>0</v>
      </c>
      <c r="X2770" s="64" t="n">
        <f aca="false">IF($K2770="No Start (attainment only)",$P2770,0)</f>
        <v>0</v>
      </c>
    </row>
    <row r="2771" customFormat="false" ht="15" hidden="false" customHeight="false" outlineLevel="0" collapsed="false">
      <c r="A2771" s="60"/>
      <c r="B2771" s="61" t="str">
        <f aca="false">IF($M2771=0,"",INDEX(Classes!$E$6:$E$420,$M2771))</f>
        <v/>
      </c>
      <c r="C2771" s="62" t="str">
        <f aca="false">IF($M2771=0,"",INDEX(Classes!$H$6:$H$420,$M2771))</f>
        <v/>
      </c>
      <c r="D2771" s="61" t="str">
        <f aca="false">IF($M2771=0,"",INDEX(Classes!$B$6:$B$420,$M2771))</f>
        <v/>
      </c>
      <c r="E2771" s="61" t="str">
        <f aca="false">IF($M2771=0,"",INDEX(Classes!$C$6:$C$420,$M2771))</f>
        <v/>
      </c>
      <c r="F2771" s="63"/>
      <c r="G2771" s="63"/>
      <c r="H2771" s="60"/>
      <c r="I2771" s="60"/>
      <c r="J2771" s="63"/>
      <c r="K2771" s="61" t="str">
        <f aca="false">IF($P2771=0,"",IF($F2771="Baseline","— Baseline",IF($O2771=0,"No result",IF($N2771=0,"No Start (attainment only)",IF(OR($N2771=1,$O2771=1),"U – needs rule",INDEX(MxBody,MATCH($I2771,MxCurr,0),MATCH($H2771,MxStart,0)))))))</f>
        <v/>
      </c>
      <c r="L2771" s="62" t="str">
        <f aca="false">IF(COUNTA($A2771,$F2771,$G2771,$H2771,$I2771,$J2771)=0,"",IF($M2771=0,"✖ كود الصف غير موجود",IF(ISNA(MATCH($F2771,Lists!$A$2:$A$5,0)),"✖ الفترة غير صحيحة",IF(ISNA(MATCH($G2771,Lists!$B$2:$B$7,0)),"✖ المجموعة غير صحيحة",IF(NOT(OR($H2771="",$N2771&gt;0)),"✖ Start غير صحيح",IF(NOT(OR($I2771="",$I2771="NR",$O2771&gt;0)),"✖ Current غير صحيح",IF(NOT(IF(ISNUMBER($J2771),AND($J2771&gt;=0,$J2771=INT($J2771)),FALSE())),"✖ العدد يجب أن يكون صحيحًا ≥ 0",IF(AND($F2771="Baseline",$H2771&lt;&gt;""),"⚠ Baseline: Start لا يدخل في التقدم",IF($K2771="No Start (attainment only)","ℹ تحصيل فقط (بدون Start)",IF($K2771="U – needs rule","ℹ حالة U تحتاج قاعدة معتمدة",IF($K2771="No result","ℹ بدون نتيجة (يُستبعد من التحصيل)","OK")))))))))))</f>
        <v/>
      </c>
      <c r="M2771" s="64" t="n">
        <f aca="false">IF($A2771="",0,IFERROR(MATCH($A2771,Classes!$A$6:$A$420,0),0))</f>
        <v>0</v>
      </c>
      <c r="N2771" s="64" t="n">
        <f aca="false">IF($H2771="",0,IFERROR(MATCH($H2771,GradeList,0),0))</f>
        <v>0</v>
      </c>
      <c r="O2771" s="64" t="n">
        <f aca="false">IF(OR($I2771="",$I2771="NR"),0,IFERROR(MATCH($I2771,GradeList,0),0))</f>
        <v>0</v>
      </c>
      <c r="P2771" s="64" t="n">
        <f aca="false">IF(AND($M2771&gt;0,ISNUMBER(MATCH($F2771,Lists!$A$2:$A$5,0)),ISNUMBER(MATCH($G2771,Lists!$B$2:$B$7,0)),OR($H2771="",$N2771&gt;0),OR($I2771="",$I2771="NR",$O2771&gt;0),IF(ISNUMBER($J2771),AND($J2771&gt;=0,$J2771=INT($J2771)),FALSE())),$J2771,0)</f>
        <v>0</v>
      </c>
      <c r="Q2771" s="64" t="n">
        <f aca="false">IF(AND($P2771&gt;0,$O2771&gt;0),$P2771,0)</f>
        <v>0</v>
      </c>
      <c r="R2771" s="64" t="n">
        <f aca="false">IF(AND($Q2771&gt;0,$O2771&gt;=AtRank),$Q2771,0)</f>
        <v>0</v>
      </c>
      <c r="S2771" s="64" t="n">
        <f aca="false">IF(AND($Q2771&gt;0,$O2771&gt;=AboveRank),$Q2771,0)</f>
        <v>0</v>
      </c>
      <c r="T2771" s="64" t="n">
        <f aca="false">IF($K2771="Less",$P2771,0)</f>
        <v>0</v>
      </c>
      <c r="U2771" s="64" t="n">
        <f aca="false">IF($K2771="Expected",$P2771,0)</f>
        <v>0</v>
      </c>
      <c r="V2771" s="64" t="n">
        <f aca="false">IF($K2771="Better",$P2771,0)</f>
        <v>0</v>
      </c>
      <c r="W2771" s="64" t="n">
        <f aca="false">IF($K2771="U – needs rule",$P2771,0)</f>
        <v>0</v>
      </c>
      <c r="X2771" s="64" t="n">
        <f aca="false">IF($K2771="No Start (attainment only)",$P2771,0)</f>
        <v>0</v>
      </c>
    </row>
    <row r="2772" customFormat="false" ht="15" hidden="false" customHeight="false" outlineLevel="0" collapsed="false">
      <c r="A2772" s="60"/>
      <c r="B2772" s="61" t="str">
        <f aca="false">IF($M2772=0,"",INDEX(Classes!$E$6:$E$420,$M2772))</f>
        <v/>
      </c>
      <c r="C2772" s="62" t="str">
        <f aca="false">IF($M2772=0,"",INDEX(Classes!$H$6:$H$420,$M2772))</f>
        <v/>
      </c>
      <c r="D2772" s="61" t="str">
        <f aca="false">IF($M2772=0,"",INDEX(Classes!$B$6:$B$420,$M2772))</f>
        <v/>
      </c>
      <c r="E2772" s="61" t="str">
        <f aca="false">IF($M2772=0,"",INDEX(Classes!$C$6:$C$420,$M2772))</f>
        <v/>
      </c>
      <c r="F2772" s="63"/>
      <c r="G2772" s="63"/>
      <c r="H2772" s="60"/>
      <c r="I2772" s="60"/>
      <c r="J2772" s="63"/>
      <c r="K2772" s="61" t="str">
        <f aca="false">IF($P2772=0,"",IF($F2772="Baseline","— Baseline",IF($O2772=0,"No result",IF($N2772=0,"No Start (attainment only)",IF(OR($N2772=1,$O2772=1),"U – needs rule",INDEX(MxBody,MATCH($I2772,MxCurr,0),MATCH($H2772,MxStart,0)))))))</f>
        <v/>
      </c>
      <c r="L2772" s="62" t="str">
        <f aca="false">IF(COUNTA($A2772,$F2772,$G2772,$H2772,$I2772,$J2772)=0,"",IF($M2772=0,"✖ كود الصف غير موجود",IF(ISNA(MATCH($F2772,Lists!$A$2:$A$5,0)),"✖ الفترة غير صحيحة",IF(ISNA(MATCH($G2772,Lists!$B$2:$B$7,0)),"✖ المجموعة غير صحيحة",IF(NOT(OR($H2772="",$N2772&gt;0)),"✖ Start غير صحيح",IF(NOT(OR($I2772="",$I2772="NR",$O2772&gt;0)),"✖ Current غير صحيح",IF(NOT(IF(ISNUMBER($J2772),AND($J2772&gt;=0,$J2772=INT($J2772)),FALSE())),"✖ العدد يجب أن يكون صحيحًا ≥ 0",IF(AND($F2772="Baseline",$H2772&lt;&gt;""),"⚠ Baseline: Start لا يدخل في التقدم",IF($K2772="No Start (attainment only)","ℹ تحصيل فقط (بدون Start)",IF($K2772="U – needs rule","ℹ حالة U تحتاج قاعدة معتمدة",IF($K2772="No result","ℹ بدون نتيجة (يُستبعد من التحصيل)","OK")))))))))))</f>
        <v/>
      </c>
      <c r="M2772" s="64" t="n">
        <f aca="false">IF($A2772="",0,IFERROR(MATCH($A2772,Classes!$A$6:$A$420,0),0))</f>
        <v>0</v>
      </c>
      <c r="N2772" s="64" t="n">
        <f aca="false">IF($H2772="",0,IFERROR(MATCH($H2772,GradeList,0),0))</f>
        <v>0</v>
      </c>
      <c r="O2772" s="64" t="n">
        <f aca="false">IF(OR($I2772="",$I2772="NR"),0,IFERROR(MATCH($I2772,GradeList,0),0))</f>
        <v>0</v>
      </c>
      <c r="P2772" s="64" t="n">
        <f aca="false">IF(AND($M2772&gt;0,ISNUMBER(MATCH($F2772,Lists!$A$2:$A$5,0)),ISNUMBER(MATCH($G2772,Lists!$B$2:$B$7,0)),OR($H2772="",$N2772&gt;0),OR($I2772="",$I2772="NR",$O2772&gt;0),IF(ISNUMBER($J2772),AND($J2772&gt;=0,$J2772=INT($J2772)),FALSE())),$J2772,0)</f>
        <v>0</v>
      </c>
      <c r="Q2772" s="64" t="n">
        <f aca="false">IF(AND($P2772&gt;0,$O2772&gt;0),$P2772,0)</f>
        <v>0</v>
      </c>
      <c r="R2772" s="64" t="n">
        <f aca="false">IF(AND($Q2772&gt;0,$O2772&gt;=AtRank),$Q2772,0)</f>
        <v>0</v>
      </c>
      <c r="S2772" s="64" t="n">
        <f aca="false">IF(AND($Q2772&gt;0,$O2772&gt;=AboveRank),$Q2772,0)</f>
        <v>0</v>
      </c>
      <c r="T2772" s="64" t="n">
        <f aca="false">IF($K2772="Less",$P2772,0)</f>
        <v>0</v>
      </c>
      <c r="U2772" s="64" t="n">
        <f aca="false">IF($K2772="Expected",$P2772,0)</f>
        <v>0</v>
      </c>
      <c r="V2772" s="64" t="n">
        <f aca="false">IF($K2772="Better",$P2772,0)</f>
        <v>0</v>
      </c>
      <c r="W2772" s="64" t="n">
        <f aca="false">IF($K2772="U – needs rule",$P2772,0)</f>
        <v>0</v>
      </c>
      <c r="X2772" s="64" t="n">
        <f aca="false">IF($K2772="No Start (attainment only)",$P2772,0)</f>
        <v>0</v>
      </c>
    </row>
    <row r="2773" customFormat="false" ht="15" hidden="false" customHeight="false" outlineLevel="0" collapsed="false">
      <c r="A2773" s="60"/>
      <c r="B2773" s="61" t="str">
        <f aca="false">IF($M2773=0,"",INDEX(Classes!$E$6:$E$420,$M2773))</f>
        <v/>
      </c>
      <c r="C2773" s="62" t="str">
        <f aca="false">IF($M2773=0,"",INDEX(Classes!$H$6:$H$420,$M2773))</f>
        <v/>
      </c>
      <c r="D2773" s="61" t="str">
        <f aca="false">IF($M2773=0,"",INDEX(Classes!$B$6:$B$420,$M2773))</f>
        <v/>
      </c>
      <c r="E2773" s="61" t="str">
        <f aca="false">IF($M2773=0,"",INDEX(Classes!$C$6:$C$420,$M2773))</f>
        <v/>
      </c>
      <c r="F2773" s="63"/>
      <c r="G2773" s="63"/>
      <c r="H2773" s="60"/>
      <c r="I2773" s="60"/>
      <c r="J2773" s="63"/>
      <c r="K2773" s="61" t="str">
        <f aca="false">IF($P2773=0,"",IF($F2773="Baseline","— Baseline",IF($O2773=0,"No result",IF($N2773=0,"No Start (attainment only)",IF(OR($N2773=1,$O2773=1),"U – needs rule",INDEX(MxBody,MATCH($I2773,MxCurr,0),MATCH($H2773,MxStart,0)))))))</f>
        <v/>
      </c>
      <c r="L2773" s="62" t="str">
        <f aca="false">IF(COUNTA($A2773,$F2773,$G2773,$H2773,$I2773,$J2773)=0,"",IF($M2773=0,"✖ كود الصف غير موجود",IF(ISNA(MATCH($F2773,Lists!$A$2:$A$5,0)),"✖ الفترة غير صحيحة",IF(ISNA(MATCH($G2773,Lists!$B$2:$B$7,0)),"✖ المجموعة غير صحيحة",IF(NOT(OR($H2773="",$N2773&gt;0)),"✖ Start غير صحيح",IF(NOT(OR($I2773="",$I2773="NR",$O2773&gt;0)),"✖ Current غير صحيح",IF(NOT(IF(ISNUMBER($J2773),AND($J2773&gt;=0,$J2773=INT($J2773)),FALSE())),"✖ العدد يجب أن يكون صحيحًا ≥ 0",IF(AND($F2773="Baseline",$H2773&lt;&gt;""),"⚠ Baseline: Start لا يدخل في التقدم",IF($K2773="No Start (attainment only)","ℹ تحصيل فقط (بدون Start)",IF($K2773="U – needs rule","ℹ حالة U تحتاج قاعدة معتمدة",IF($K2773="No result","ℹ بدون نتيجة (يُستبعد من التحصيل)","OK")))))))))))</f>
        <v/>
      </c>
      <c r="M2773" s="64" t="n">
        <f aca="false">IF($A2773="",0,IFERROR(MATCH($A2773,Classes!$A$6:$A$420,0),0))</f>
        <v>0</v>
      </c>
      <c r="N2773" s="64" t="n">
        <f aca="false">IF($H2773="",0,IFERROR(MATCH($H2773,GradeList,0),0))</f>
        <v>0</v>
      </c>
      <c r="O2773" s="64" t="n">
        <f aca="false">IF(OR($I2773="",$I2773="NR"),0,IFERROR(MATCH($I2773,GradeList,0),0))</f>
        <v>0</v>
      </c>
      <c r="P2773" s="64" t="n">
        <f aca="false">IF(AND($M2773&gt;0,ISNUMBER(MATCH($F2773,Lists!$A$2:$A$5,0)),ISNUMBER(MATCH($G2773,Lists!$B$2:$B$7,0)),OR($H2773="",$N2773&gt;0),OR($I2773="",$I2773="NR",$O2773&gt;0),IF(ISNUMBER($J2773),AND($J2773&gt;=0,$J2773=INT($J2773)),FALSE())),$J2773,0)</f>
        <v>0</v>
      </c>
      <c r="Q2773" s="64" t="n">
        <f aca="false">IF(AND($P2773&gt;0,$O2773&gt;0),$P2773,0)</f>
        <v>0</v>
      </c>
      <c r="R2773" s="64" t="n">
        <f aca="false">IF(AND($Q2773&gt;0,$O2773&gt;=AtRank),$Q2773,0)</f>
        <v>0</v>
      </c>
      <c r="S2773" s="64" t="n">
        <f aca="false">IF(AND($Q2773&gt;0,$O2773&gt;=AboveRank),$Q2773,0)</f>
        <v>0</v>
      </c>
      <c r="T2773" s="64" t="n">
        <f aca="false">IF($K2773="Less",$P2773,0)</f>
        <v>0</v>
      </c>
      <c r="U2773" s="64" t="n">
        <f aca="false">IF($K2773="Expected",$P2773,0)</f>
        <v>0</v>
      </c>
      <c r="V2773" s="64" t="n">
        <f aca="false">IF($K2773="Better",$P2773,0)</f>
        <v>0</v>
      </c>
      <c r="W2773" s="64" t="n">
        <f aca="false">IF($K2773="U – needs rule",$P2773,0)</f>
        <v>0</v>
      </c>
      <c r="X2773" s="64" t="n">
        <f aca="false">IF($K2773="No Start (attainment only)",$P2773,0)</f>
        <v>0</v>
      </c>
    </row>
    <row r="2774" customFormat="false" ht="15" hidden="false" customHeight="false" outlineLevel="0" collapsed="false">
      <c r="A2774" s="60"/>
      <c r="B2774" s="61" t="str">
        <f aca="false">IF($M2774=0,"",INDEX(Classes!$E$6:$E$420,$M2774))</f>
        <v/>
      </c>
      <c r="C2774" s="62" t="str">
        <f aca="false">IF($M2774=0,"",INDEX(Classes!$H$6:$H$420,$M2774))</f>
        <v/>
      </c>
      <c r="D2774" s="61" t="str">
        <f aca="false">IF($M2774=0,"",INDEX(Classes!$B$6:$B$420,$M2774))</f>
        <v/>
      </c>
      <c r="E2774" s="61" t="str">
        <f aca="false">IF($M2774=0,"",INDEX(Classes!$C$6:$C$420,$M2774))</f>
        <v/>
      </c>
      <c r="F2774" s="63"/>
      <c r="G2774" s="63"/>
      <c r="H2774" s="60"/>
      <c r="I2774" s="60"/>
      <c r="J2774" s="63"/>
      <c r="K2774" s="61" t="str">
        <f aca="false">IF($P2774=0,"",IF($F2774="Baseline","— Baseline",IF($O2774=0,"No result",IF($N2774=0,"No Start (attainment only)",IF(OR($N2774=1,$O2774=1),"U – needs rule",INDEX(MxBody,MATCH($I2774,MxCurr,0),MATCH($H2774,MxStart,0)))))))</f>
        <v/>
      </c>
      <c r="L2774" s="62" t="str">
        <f aca="false">IF(COUNTA($A2774,$F2774,$G2774,$H2774,$I2774,$J2774)=0,"",IF($M2774=0,"✖ كود الصف غير موجود",IF(ISNA(MATCH($F2774,Lists!$A$2:$A$5,0)),"✖ الفترة غير صحيحة",IF(ISNA(MATCH($G2774,Lists!$B$2:$B$7,0)),"✖ المجموعة غير صحيحة",IF(NOT(OR($H2774="",$N2774&gt;0)),"✖ Start غير صحيح",IF(NOT(OR($I2774="",$I2774="NR",$O2774&gt;0)),"✖ Current غير صحيح",IF(NOT(IF(ISNUMBER($J2774),AND($J2774&gt;=0,$J2774=INT($J2774)),FALSE())),"✖ العدد يجب أن يكون صحيحًا ≥ 0",IF(AND($F2774="Baseline",$H2774&lt;&gt;""),"⚠ Baseline: Start لا يدخل في التقدم",IF($K2774="No Start (attainment only)","ℹ تحصيل فقط (بدون Start)",IF($K2774="U – needs rule","ℹ حالة U تحتاج قاعدة معتمدة",IF($K2774="No result","ℹ بدون نتيجة (يُستبعد من التحصيل)","OK")))))))))))</f>
        <v/>
      </c>
      <c r="M2774" s="64" t="n">
        <f aca="false">IF($A2774="",0,IFERROR(MATCH($A2774,Classes!$A$6:$A$420,0),0))</f>
        <v>0</v>
      </c>
      <c r="N2774" s="64" t="n">
        <f aca="false">IF($H2774="",0,IFERROR(MATCH($H2774,GradeList,0),0))</f>
        <v>0</v>
      </c>
      <c r="O2774" s="64" t="n">
        <f aca="false">IF(OR($I2774="",$I2774="NR"),0,IFERROR(MATCH($I2774,GradeList,0),0))</f>
        <v>0</v>
      </c>
      <c r="P2774" s="64" t="n">
        <f aca="false">IF(AND($M2774&gt;0,ISNUMBER(MATCH($F2774,Lists!$A$2:$A$5,0)),ISNUMBER(MATCH($G2774,Lists!$B$2:$B$7,0)),OR($H2774="",$N2774&gt;0),OR($I2774="",$I2774="NR",$O2774&gt;0),IF(ISNUMBER($J2774),AND($J2774&gt;=0,$J2774=INT($J2774)),FALSE())),$J2774,0)</f>
        <v>0</v>
      </c>
      <c r="Q2774" s="64" t="n">
        <f aca="false">IF(AND($P2774&gt;0,$O2774&gt;0),$P2774,0)</f>
        <v>0</v>
      </c>
      <c r="R2774" s="64" t="n">
        <f aca="false">IF(AND($Q2774&gt;0,$O2774&gt;=AtRank),$Q2774,0)</f>
        <v>0</v>
      </c>
      <c r="S2774" s="64" t="n">
        <f aca="false">IF(AND($Q2774&gt;0,$O2774&gt;=AboveRank),$Q2774,0)</f>
        <v>0</v>
      </c>
      <c r="T2774" s="64" t="n">
        <f aca="false">IF($K2774="Less",$P2774,0)</f>
        <v>0</v>
      </c>
      <c r="U2774" s="64" t="n">
        <f aca="false">IF($K2774="Expected",$P2774,0)</f>
        <v>0</v>
      </c>
      <c r="V2774" s="64" t="n">
        <f aca="false">IF($K2774="Better",$P2774,0)</f>
        <v>0</v>
      </c>
      <c r="W2774" s="64" t="n">
        <f aca="false">IF($K2774="U – needs rule",$P2774,0)</f>
        <v>0</v>
      </c>
      <c r="X2774" s="64" t="n">
        <f aca="false">IF($K2774="No Start (attainment only)",$P2774,0)</f>
        <v>0</v>
      </c>
    </row>
    <row r="2775" customFormat="false" ht="15" hidden="false" customHeight="false" outlineLevel="0" collapsed="false">
      <c r="A2775" s="60"/>
      <c r="B2775" s="61" t="str">
        <f aca="false">IF($M2775=0,"",INDEX(Classes!$E$6:$E$420,$M2775))</f>
        <v/>
      </c>
      <c r="C2775" s="62" t="str">
        <f aca="false">IF($M2775=0,"",INDEX(Classes!$H$6:$H$420,$M2775))</f>
        <v/>
      </c>
      <c r="D2775" s="61" t="str">
        <f aca="false">IF($M2775=0,"",INDEX(Classes!$B$6:$B$420,$M2775))</f>
        <v/>
      </c>
      <c r="E2775" s="61" t="str">
        <f aca="false">IF($M2775=0,"",INDEX(Classes!$C$6:$C$420,$M2775))</f>
        <v/>
      </c>
      <c r="F2775" s="63"/>
      <c r="G2775" s="63"/>
      <c r="H2775" s="60"/>
      <c r="I2775" s="60"/>
      <c r="J2775" s="63"/>
      <c r="K2775" s="61" t="str">
        <f aca="false">IF($P2775=0,"",IF($F2775="Baseline","— Baseline",IF($O2775=0,"No result",IF($N2775=0,"No Start (attainment only)",IF(OR($N2775=1,$O2775=1),"U – needs rule",INDEX(MxBody,MATCH($I2775,MxCurr,0),MATCH($H2775,MxStart,0)))))))</f>
        <v/>
      </c>
      <c r="L2775" s="62" t="str">
        <f aca="false">IF(COUNTA($A2775,$F2775,$G2775,$H2775,$I2775,$J2775)=0,"",IF($M2775=0,"✖ كود الصف غير موجود",IF(ISNA(MATCH($F2775,Lists!$A$2:$A$5,0)),"✖ الفترة غير صحيحة",IF(ISNA(MATCH($G2775,Lists!$B$2:$B$7,0)),"✖ المجموعة غير صحيحة",IF(NOT(OR($H2775="",$N2775&gt;0)),"✖ Start غير صحيح",IF(NOT(OR($I2775="",$I2775="NR",$O2775&gt;0)),"✖ Current غير صحيح",IF(NOT(IF(ISNUMBER($J2775),AND($J2775&gt;=0,$J2775=INT($J2775)),FALSE())),"✖ العدد يجب أن يكون صحيحًا ≥ 0",IF(AND($F2775="Baseline",$H2775&lt;&gt;""),"⚠ Baseline: Start لا يدخل في التقدم",IF($K2775="No Start (attainment only)","ℹ تحصيل فقط (بدون Start)",IF($K2775="U – needs rule","ℹ حالة U تحتاج قاعدة معتمدة",IF($K2775="No result","ℹ بدون نتيجة (يُستبعد من التحصيل)","OK")))))))))))</f>
        <v/>
      </c>
      <c r="M2775" s="64" t="n">
        <f aca="false">IF($A2775="",0,IFERROR(MATCH($A2775,Classes!$A$6:$A$420,0),0))</f>
        <v>0</v>
      </c>
      <c r="N2775" s="64" t="n">
        <f aca="false">IF($H2775="",0,IFERROR(MATCH($H2775,GradeList,0),0))</f>
        <v>0</v>
      </c>
      <c r="O2775" s="64" t="n">
        <f aca="false">IF(OR($I2775="",$I2775="NR"),0,IFERROR(MATCH($I2775,GradeList,0),0))</f>
        <v>0</v>
      </c>
      <c r="P2775" s="64" t="n">
        <f aca="false">IF(AND($M2775&gt;0,ISNUMBER(MATCH($F2775,Lists!$A$2:$A$5,0)),ISNUMBER(MATCH($G2775,Lists!$B$2:$B$7,0)),OR($H2775="",$N2775&gt;0),OR($I2775="",$I2775="NR",$O2775&gt;0),IF(ISNUMBER($J2775),AND($J2775&gt;=0,$J2775=INT($J2775)),FALSE())),$J2775,0)</f>
        <v>0</v>
      </c>
      <c r="Q2775" s="64" t="n">
        <f aca="false">IF(AND($P2775&gt;0,$O2775&gt;0),$P2775,0)</f>
        <v>0</v>
      </c>
      <c r="R2775" s="64" t="n">
        <f aca="false">IF(AND($Q2775&gt;0,$O2775&gt;=AtRank),$Q2775,0)</f>
        <v>0</v>
      </c>
      <c r="S2775" s="64" t="n">
        <f aca="false">IF(AND($Q2775&gt;0,$O2775&gt;=AboveRank),$Q2775,0)</f>
        <v>0</v>
      </c>
      <c r="T2775" s="64" t="n">
        <f aca="false">IF($K2775="Less",$P2775,0)</f>
        <v>0</v>
      </c>
      <c r="U2775" s="64" t="n">
        <f aca="false">IF($K2775="Expected",$P2775,0)</f>
        <v>0</v>
      </c>
      <c r="V2775" s="64" t="n">
        <f aca="false">IF($K2775="Better",$P2775,0)</f>
        <v>0</v>
      </c>
      <c r="W2775" s="64" t="n">
        <f aca="false">IF($K2775="U – needs rule",$P2775,0)</f>
        <v>0</v>
      </c>
      <c r="X2775" s="64" t="n">
        <f aca="false">IF($K2775="No Start (attainment only)",$P2775,0)</f>
        <v>0</v>
      </c>
    </row>
    <row r="2776" customFormat="false" ht="15" hidden="false" customHeight="false" outlineLevel="0" collapsed="false">
      <c r="A2776" s="60"/>
      <c r="B2776" s="61" t="str">
        <f aca="false">IF($M2776=0,"",INDEX(Classes!$E$6:$E$420,$M2776))</f>
        <v/>
      </c>
      <c r="C2776" s="62" t="str">
        <f aca="false">IF($M2776=0,"",INDEX(Classes!$H$6:$H$420,$M2776))</f>
        <v/>
      </c>
      <c r="D2776" s="61" t="str">
        <f aca="false">IF($M2776=0,"",INDEX(Classes!$B$6:$B$420,$M2776))</f>
        <v/>
      </c>
      <c r="E2776" s="61" t="str">
        <f aca="false">IF($M2776=0,"",INDEX(Classes!$C$6:$C$420,$M2776))</f>
        <v/>
      </c>
      <c r="F2776" s="63"/>
      <c r="G2776" s="63"/>
      <c r="H2776" s="60"/>
      <c r="I2776" s="60"/>
      <c r="J2776" s="63"/>
      <c r="K2776" s="61" t="str">
        <f aca="false">IF($P2776=0,"",IF($F2776="Baseline","— Baseline",IF($O2776=0,"No result",IF($N2776=0,"No Start (attainment only)",IF(OR($N2776=1,$O2776=1),"U – needs rule",INDEX(MxBody,MATCH($I2776,MxCurr,0),MATCH($H2776,MxStart,0)))))))</f>
        <v/>
      </c>
      <c r="L2776" s="62" t="str">
        <f aca="false">IF(COUNTA($A2776,$F2776,$G2776,$H2776,$I2776,$J2776)=0,"",IF($M2776=0,"✖ كود الصف غير موجود",IF(ISNA(MATCH($F2776,Lists!$A$2:$A$5,0)),"✖ الفترة غير صحيحة",IF(ISNA(MATCH($G2776,Lists!$B$2:$B$7,0)),"✖ المجموعة غير صحيحة",IF(NOT(OR($H2776="",$N2776&gt;0)),"✖ Start غير صحيح",IF(NOT(OR($I2776="",$I2776="NR",$O2776&gt;0)),"✖ Current غير صحيح",IF(NOT(IF(ISNUMBER($J2776),AND($J2776&gt;=0,$J2776=INT($J2776)),FALSE())),"✖ العدد يجب أن يكون صحيحًا ≥ 0",IF(AND($F2776="Baseline",$H2776&lt;&gt;""),"⚠ Baseline: Start لا يدخل في التقدم",IF($K2776="No Start (attainment only)","ℹ تحصيل فقط (بدون Start)",IF($K2776="U – needs rule","ℹ حالة U تحتاج قاعدة معتمدة",IF($K2776="No result","ℹ بدون نتيجة (يُستبعد من التحصيل)","OK")))))))))))</f>
        <v/>
      </c>
      <c r="M2776" s="64" t="n">
        <f aca="false">IF($A2776="",0,IFERROR(MATCH($A2776,Classes!$A$6:$A$420,0),0))</f>
        <v>0</v>
      </c>
      <c r="N2776" s="64" t="n">
        <f aca="false">IF($H2776="",0,IFERROR(MATCH($H2776,GradeList,0),0))</f>
        <v>0</v>
      </c>
      <c r="O2776" s="64" t="n">
        <f aca="false">IF(OR($I2776="",$I2776="NR"),0,IFERROR(MATCH($I2776,GradeList,0),0))</f>
        <v>0</v>
      </c>
      <c r="P2776" s="64" t="n">
        <f aca="false">IF(AND($M2776&gt;0,ISNUMBER(MATCH($F2776,Lists!$A$2:$A$5,0)),ISNUMBER(MATCH($G2776,Lists!$B$2:$B$7,0)),OR($H2776="",$N2776&gt;0),OR($I2776="",$I2776="NR",$O2776&gt;0),IF(ISNUMBER($J2776),AND($J2776&gt;=0,$J2776=INT($J2776)),FALSE())),$J2776,0)</f>
        <v>0</v>
      </c>
      <c r="Q2776" s="64" t="n">
        <f aca="false">IF(AND($P2776&gt;0,$O2776&gt;0),$P2776,0)</f>
        <v>0</v>
      </c>
      <c r="R2776" s="64" t="n">
        <f aca="false">IF(AND($Q2776&gt;0,$O2776&gt;=AtRank),$Q2776,0)</f>
        <v>0</v>
      </c>
      <c r="S2776" s="64" t="n">
        <f aca="false">IF(AND($Q2776&gt;0,$O2776&gt;=AboveRank),$Q2776,0)</f>
        <v>0</v>
      </c>
      <c r="T2776" s="64" t="n">
        <f aca="false">IF($K2776="Less",$P2776,0)</f>
        <v>0</v>
      </c>
      <c r="U2776" s="64" t="n">
        <f aca="false">IF($K2776="Expected",$P2776,0)</f>
        <v>0</v>
      </c>
      <c r="V2776" s="64" t="n">
        <f aca="false">IF($K2776="Better",$P2776,0)</f>
        <v>0</v>
      </c>
      <c r="W2776" s="64" t="n">
        <f aca="false">IF($K2776="U – needs rule",$P2776,0)</f>
        <v>0</v>
      </c>
      <c r="X2776" s="64" t="n">
        <f aca="false">IF($K2776="No Start (attainment only)",$P2776,0)</f>
        <v>0</v>
      </c>
    </row>
    <row r="2777" customFormat="false" ht="15" hidden="false" customHeight="false" outlineLevel="0" collapsed="false">
      <c r="A2777" s="60"/>
      <c r="B2777" s="61" t="str">
        <f aca="false">IF($M2777=0,"",INDEX(Classes!$E$6:$E$420,$M2777))</f>
        <v/>
      </c>
      <c r="C2777" s="62" t="str">
        <f aca="false">IF($M2777=0,"",INDEX(Classes!$H$6:$H$420,$M2777))</f>
        <v/>
      </c>
      <c r="D2777" s="61" t="str">
        <f aca="false">IF($M2777=0,"",INDEX(Classes!$B$6:$B$420,$M2777))</f>
        <v/>
      </c>
      <c r="E2777" s="61" t="str">
        <f aca="false">IF($M2777=0,"",INDEX(Classes!$C$6:$C$420,$M2777))</f>
        <v/>
      </c>
      <c r="F2777" s="63"/>
      <c r="G2777" s="63"/>
      <c r="H2777" s="60"/>
      <c r="I2777" s="60"/>
      <c r="J2777" s="63"/>
      <c r="K2777" s="61" t="str">
        <f aca="false">IF($P2777=0,"",IF($F2777="Baseline","— Baseline",IF($O2777=0,"No result",IF($N2777=0,"No Start (attainment only)",IF(OR($N2777=1,$O2777=1),"U – needs rule",INDEX(MxBody,MATCH($I2777,MxCurr,0),MATCH($H2777,MxStart,0)))))))</f>
        <v/>
      </c>
      <c r="L2777" s="62" t="str">
        <f aca="false">IF(COUNTA($A2777,$F2777,$G2777,$H2777,$I2777,$J2777)=0,"",IF($M2777=0,"✖ كود الصف غير موجود",IF(ISNA(MATCH($F2777,Lists!$A$2:$A$5,0)),"✖ الفترة غير صحيحة",IF(ISNA(MATCH($G2777,Lists!$B$2:$B$7,0)),"✖ المجموعة غير صحيحة",IF(NOT(OR($H2777="",$N2777&gt;0)),"✖ Start غير صحيح",IF(NOT(OR($I2777="",$I2777="NR",$O2777&gt;0)),"✖ Current غير صحيح",IF(NOT(IF(ISNUMBER($J2777),AND($J2777&gt;=0,$J2777=INT($J2777)),FALSE())),"✖ العدد يجب أن يكون صحيحًا ≥ 0",IF(AND($F2777="Baseline",$H2777&lt;&gt;""),"⚠ Baseline: Start لا يدخل في التقدم",IF($K2777="No Start (attainment only)","ℹ تحصيل فقط (بدون Start)",IF($K2777="U – needs rule","ℹ حالة U تحتاج قاعدة معتمدة",IF($K2777="No result","ℹ بدون نتيجة (يُستبعد من التحصيل)","OK")))))))))))</f>
        <v/>
      </c>
      <c r="M2777" s="64" t="n">
        <f aca="false">IF($A2777="",0,IFERROR(MATCH($A2777,Classes!$A$6:$A$420,0),0))</f>
        <v>0</v>
      </c>
      <c r="N2777" s="64" t="n">
        <f aca="false">IF($H2777="",0,IFERROR(MATCH($H2777,GradeList,0),0))</f>
        <v>0</v>
      </c>
      <c r="O2777" s="64" t="n">
        <f aca="false">IF(OR($I2777="",$I2777="NR"),0,IFERROR(MATCH($I2777,GradeList,0),0))</f>
        <v>0</v>
      </c>
      <c r="P2777" s="64" t="n">
        <f aca="false">IF(AND($M2777&gt;0,ISNUMBER(MATCH($F2777,Lists!$A$2:$A$5,0)),ISNUMBER(MATCH($G2777,Lists!$B$2:$B$7,0)),OR($H2777="",$N2777&gt;0),OR($I2777="",$I2777="NR",$O2777&gt;0),IF(ISNUMBER($J2777),AND($J2777&gt;=0,$J2777=INT($J2777)),FALSE())),$J2777,0)</f>
        <v>0</v>
      </c>
      <c r="Q2777" s="64" t="n">
        <f aca="false">IF(AND($P2777&gt;0,$O2777&gt;0),$P2777,0)</f>
        <v>0</v>
      </c>
      <c r="R2777" s="64" t="n">
        <f aca="false">IF(AND($Q2777&gt;0,$O2777&gt;=AtRank),$Q2777,0)</f>
        <v>0</v>
      </c>
      <c r="S2777" s="64" t="n">
        <f aca="false">IF(AND($Q2777&gt;0,$O2777&gt;=AboveRank),$Q2777,0)</f>
        <v>0</v>
      </c>
      <c r="T2777" s="64" t="n">
        <f aca="false">IF($K2777="Less",$P2777,0)</f>
        <v>0</v>
      </c>
      <c r="U2777" s="64" t="n">
        <f aca="false">IF($K2777="Expected",$P2777,0)</f>
        <v>0</v>
      </c>
      <c r="V2777" s="64" t="n">
        <f aca="false">IF($K2777="Better",$P2777,0)</f>
        <v>0</v>
      </c>
      <c r="W2777" s="64" t="n">
        <f aca="false">IF($K2777="U – needs rule",$P2777,0)</f>
        <v>0</v>
      </c>
      <c r="X2777" s="64" t="n">
        <f aca="false">IF($K2777="No Start (attainment only)",$P2777,0)</f>
        <v>0</v>
      </c>
    </row>
    <row r="2778" customFormat="false" ht="15" hidden="false" customHeight="false" outlineLevel="0" collapsed="false">
      <c r="A2778" s="60"/>
      <c r="B2778" s="61" t="str">
        <f aca="false">IF($M2778=0,"",INDEX(Classes!$E$6:$E$420,$M2778))</f>
        <v/>
      </c>
      <c r="C2778" s="62" t="str">
        <f aca="false">IF($M2778=0,"",INDEX(Classes!$H$6:$H$420,$M2778))</f>
        <v/>
      </c>
      <c r="D2778" s="61" t="str">
        <f aca="false">IF($M2778=0,"",INDEX(Classes!$B$6:$B$420,$M2778))</f>
        <v/>
      </c>
      <c r="E2778" s="61" t="str">
        <f aca="false">IF($M2778=0,"",INDEX(Classes!$C$6:$C$420,$M2778))</f>
        <v/>
      </c>
      <c r="F2778" s="63"/>
      <c r="G2778" s="63"/>
      <c r="H2778" s="60"/>
      <c r="I2778" s="60"/>
      <c r="J2778" s="63"/>
      <c r="K2778" s="61" t="str">
        <f aca="false">IF($P2778=0,"",IF($F2778="Baseline","— Baseline",IF($O2778=0,"No result",IF($N2778=0,"No Start (attainment only)",IF(OR($N2778=1,$O2778=1),"U – needs rule",INDEX(MxBody,MATCH($I2778,MxCurr,0),MATCH($H2778,MxStart,0)))))))</f>
        <v/>
      </c>
      <c r="L2778" s="62" t="str">
        <f aca="false">IF(COUNTA($A2778,$F2778,$G2778,$H2778,$I2778,$J2778)=0,"",IF($M2778=0,"✖ كود الصف غير موجود",IF(ISNA(MATCH($F2778,Lists!$A$2:$A$5,0)),"✖ الفترة غير صحيحة",IF(ISNA(MATCH($G2778,Lists!$B$2:$B$7,0)),"✖ المجموعة غير صحيحة",IF(NOT(OR($H2778="",$N2778&gt;0)),"✖ Start غير صحيح",IF(NOT(OR($I2778="",$I2778="NR",$O2778&gt;0)),"✖ Current غير صحيح",IF(NOT(IF(ISNUMBER($J2778),AND($J2778&gt;=0,$J2778=INT($J2778)),FALSE())),"✖ العدد يجب أن يكون صحيحًا ≥ 0",IF(AND($F2778="Baseline",$H2778&lt;&gt;""),"⚠ Baseline: Start لا يدخل في التقدم",IF($K2778="No Start (attainment only)","ℹ تحصيل فقط (بدون Start)",IF($K2778="U – needs rule","ℹ حالة U تحتاج قاعدة معتمدة",IF($K2778="No result","ℹ بدون نتيجة (يُستبعد من التحصيل)","OK")))))))))))</f>
        <v/>
      </c>
      <c r="M2778" s="64" t="n">
        <f aca="false">IF($A2778="",0,IFERROR(MATCH($A2778,Classes!$A$6:$A$420,0),0))</f>
        <v>0</v>
      </c>
      <c r="N2778" s="64" t="n">
        <f aca="false">IF($H2778="",0,IFERROR(MATCH($H2778,GradeList,0),0))</f>
        <v>0</v>
      </c>
      <c r="O2778" s="64" t="n">
        <f aca="false">IF(OR($I2778="",$I2778="NR"),0,IFERROR(MATCH($I2778,GradeList,0),0))</f>
        <v>0</v>
      </c>
      <c r="P2778" s="64" t="n">
        <f aca="false">IF(AND($M2778&gt;0,ISNUMBER(MATCH($F2778,Lists!$A$2:$A$5,0)),ISNUMBER(MATCH($G2778,Lists!$B$2:$B$7,0)),OR($H2778="",$N2778&gt;0),OR($I2778="",$I2778="NR",$O2778&gt;0),IF(ISNUMBER($J2778),AND($J2778&gt;=0,$J2778=INT($J2778)),FALSE())),$J2778,0)</f>
        <v>0</v>
      </c>
      <c r="Q2778" s="64" t="n">
        <f aca="false">IF(AND($P2778&gt;0,$O2778&gt;0),$P2778,0)</f>
        <v>0</v>
      </c>
      <c r="R2778" s="64" t="n">
        <f aca="false">IF(AND($Q2778&gt;0,$O2778&gt;=AtRank),$Q2778,0)</f>
        <v>0</v>
      </c>
      <c r="S2778" s="64" t="n">
        <f aca="false">IF(AND($Q2778&gt;0,$O2778&gt;=AboveRank),$Q2778,0)</f>
        <v>0</v>
      </c>
      <c r="T2778" s="64" t="n">
        <f aca="false">IF($K2778="Less",$P2778,0)</f>
        <v>0</v>
      </c>
      <c r="U2778" s="64" t="n">
        <f aca="false">IF($K2778="Expected",$P2778,0)</f>
        <v>0</v>
      </c>
      <c r="V2778" s="64" t="n">
        <f aca="false">IF($K2778="Better",$P2778,0)</f>
        <v>0</v>
      </c>
      <c r="W2778" s="64" t="n">
        <f aca="false">IF($K2778="U – needs rule",$P2778,0)</f>
        <v>0</v>
      </c>
      <c r="X2778" s="64" t="n">
        <f aca="false">IF($K2778="No Start (attainment only)",$P2778,0)</f>
        <v>0</v>
      </c>
    </row>
    <row r="2779" customFormat="false" ht="15" hidden="false" customHeight="false" outlineLevel="0" collapsed="false">
      <c r="A2779" s="60"/>
      <c r="B2779" s="61" t="str">
        <f aca="false">IF($M2779=0,"",INDEX(Classes!$E$6:$E$420,$M2779))</f>
        <v/>
      </c>
      <c r="C2779" s="62" t="str">
        <f aca="false">IF($M2779=0,"",INDEX(Classes!$H$6:$H$420,$M2779))</f>
        <v/>
      </c>
      <c r="D2779" s="61" t="str">
        <f aca="false">IF($M2779=0,"",INDEX(Classes!$B$6:$B$420,$M2779))</f>
        <v/>
      </c>
      <c r="E2779" s="61" t="str">
        <f aca="false">IF($M2779=0,"",INDEX(Classes!$C$6:$C$420,$M2779))</f>
        <v/>
      </c>
      <c r="F2779" s="63"/>
      <c r="G2779" s="63"/>
      <c r="H2779" s="60"/>
      <c r="I2779" s="60"/>
      <c r="J2779" s="63"/>
      <c r="K2779" s="61" t="str">
        <f aca="false">IF($P2779=0,"",IF($F2779="Baseline","— Baseline",IF($O2779=0,"No result",IF($N2779=0,"No Start (attainment only)",IF(OR($N2779=1,$O2779=1),"U – needs rule",INDEX(MxBody,MATCH($I2779,MxCurr,0),MATCH($H2779,MxStart,0)))))))</f>
        <v/>
      </c>
      <c r="L2779" s="62" t="str">
        <f aca="false">IF(COUNTA($A2779,$F2779,$G2779,$H2779,$I2779,$J2779)=0,"",IF($M2779=0,"✖ كود الصف غير موجود",IF(ISNA(MATCH($F2779,Lists!$A$2:$A$5,0)),"✖ الفترة غير صحيحة",IF(ISNA(MATCH($G2779,Lists!$B$2:$B$7,0)),"✖ المجموعة غير صحيحة",IF(NOT(OR($H2779="",$N2779&gt;0)),"✖ Start غير صحيح",IF(NOT(OR($I2779="",$I2779="NR",$O2779&gt;0)),"✖ Current غير صحيح",IF(NOT(IF(ISNUMBER($J2779),AND($J2779&gt;=0,$J2779=INT($J2779)),FALSE())),"✖ العدد يجب أن يكون صحيحًا ≥ 0",IF(AND($F2779="Baseline",$H2779&lt;&gt;""),"⚠ Baseline: Start لا يدخل في التقدم",IF($K2779="No Start (attainment only)","ℹ تحصيل فقط (بدون Start)",IF($K2779="U – needs rule","ℹ حالة U تحتاج قاعدة معتمدة",IF($K2779="No result","ℹ بدون نتيجة (يُستبعد من التحصيل)","OK")))))))))))</f>
        <v/>
      </c>
      <c r="M2779" s="64" t="n">
        <f aca="false">IF($A2779="",0,IFERROR(MATCH($A2779,Classes!$A$6:$A$420,0),0))</f>
        <v>0</v>
      </c>
      <c r="N2779" s="64" t="n">
        <f aca="false">IF($H2779="",0,IFERROR(MATCH($H2779,GradeList,0),0))</f>
        <v>0</v>
      </c>
      <c r="O2779" s="64" t="n">
        <f aca="false">IF(OR($I2779="",$I2779="NR"),0,IFERROR(MATCH($I2779,GradeList,0),0))</f>
        <v>0</v>
      </c>
      <c r="P2779" s="64" t="n">
        <f aca="false">IF(AND($M2779&gt;0,ISNUMBER(MATCH($F2779,Lists!$A$2:$A$5,0)),ISNUMBER(MATCH($G2779,Lists!$B$2:$B$7,0)),OR($H2779="",$N2779&gt;0),OR($I2779="",$I2779="NR",$O2779&gt;0),IF(ISNUMBER($J2779),AND($J2779&gt;=0,$J2779=INT($J2779)),FALSE())),$J2779,0)</f>
        <v>0</v>
      </c>
      <c r="Q2779" s="64" t="n">
        <f aca="false">IF(AND($P2779&gt;0,$O2779&gt;0),$P2779,0)</f>
        <v>0</v>
      </c>
      <c r="R2779" s="64" t="n">
        <f aca="false">IF(AND($Q2779&gt;0,$O2779&gt;=AtRank),$Q2779,0)</f>
        <v>0</v>
      </c>
      <c r="S2779" s="64" t="n">
        <f aca="false">IF(AND($Q2779&gt;0,$O2779&gt;=AboveRank),$Q2779,0)</f>
        <v>0</v>
      </c>
      <c r="T2779" s="64" t="n">
        <f aca="false">IF($K2779="Less",$P2779,0)</f>
        <v>0</v>
      </c>
      <c r="U2779" s="64" t="n">
        <f aca="false">IF($K2779="Expected",$P2779,0)</f>
        <v>0</v>
      </c>
      <c r="V2779" s="64" t="n">
        <f aca="false">IF($K2779="Better",$P2779,0)</f>
        <v>0</v>
      </c>
      <c r="W2779" s="64" t="n">
        <f aca="false">IF($K2779="U – needs rule",$P2779,0)</f>
        <v>0</v>
      </c>
      <c r="X2779" s="64" t="n">
        <f aca="false">IF($K2779="No Start (attainment only)",$P2779,0)</f>
        <v>0</v>
      </c>
    </row>
    <row r="2780" customFormat="false" ht="15" hidden="false" customHeight="false" outlineLevel="0" collapsed="false">
      <c r="A2780" s="60"/>
      <c r="B2780" s="61" t="str">
        <f aca="false">IF($M2780=0,"",INDEX(Classes!$E$6:$E$420,$M2780))</f>
        <v/>
      </c>
      <c r="C2780" s="62" t="str">
        <f aca="false">IF($M2780=0,"",INDEX(Classes!$H$6:$H$420,$M2780))</f>
        <v/>
      </c>
      <c r="D2780" s="61" t="str">
        <f aca="false">IF($M2780=0,"",INDEX(Classes!$B$6:$B$420,$M2780))</f>
        <v/>
      </c>
      <c r="E2780" s="61" t="str">
        <f aca="false">IF($M2780=0,"",INDEX(Classes!$C$6:$C$420,$M2780))</f>
        <v/>
      </c>
      <c r="F2780" s="63"/>
      <c r="G2780" s="63"/>
      <c r="H2780" s="60"/>
      <c r="I2780" s="60"/>
      <c r="J2780" s="63"/>
      <c r="K2780" s="61" t="str">
        <f aca="false">IF($P2780=0,"",IF($F2780="Baseline","— Baseline",IF($O2780=0,"No result",IF($N2780=0,"No Start (attainment only)",IF(OR($N2780=1,$O2780=1),"U – needs rule",INDEX(MxBody,MATCH($I2780,MxCurr,0),MATCH($H2780,MxStart,0)))))))</f>
        <v/>
      </c>
      <c r="L2780" s="62" t="str">
        <f aca="false">IF(COUNTA($A2780,$F2780,$G2780,$H2780,$I2780,$J2780)=0,"",IF($M2780=0,"✖ كود الصف غير موجود",IF(ISNA(MATCH($F2780,Lists!$A$2:$A$5,0)),"✖ الفترة غير صحيحة",IF(ISNA(MATCH($G2780,Lists!$B$2:$B$7,0)),"✖ المجموعة غير صحيحة",IF(NOT(OR($H2780="",$N2780&gt;0)),"✖ Start غير صحيح",IF(NOT(OR($I2780="",$I2780="NR",$O2780&gt;0)),"✖ Current غير صحيح",IF(NOT(IF(ISNUMBER($J2780),AND($J2780&gt;=0,$J2780=INT($J2780)),FALSE())),"✖ العدد يجب أن يكون صحيحًا ≥ 0",IF(AND($F2780="Baseline",$H2780&lt;&gt;""),"⚠ Baseline: Start لا يدخل في التقدم",IF($K2780="No Start (attainment only)","ℹ تحصيل فقط (بدون Start)",IF($K2780="U – needs rule","ℹ حالة U تحتاج قاعدة معتمدة",IF($K2780="No result","ℹ بدون نتيجة (يُستبعد من التحصيل)","OK")))))))))))</f>
        <v/>
      </c>
      <c r="M2780" s="64" t="n">
        <f aca="false">IF($A2780="",0,IFERROR(MATCH($A2780,Classes!$A$6:$A$420,0),0))</f>
        <v>0</v>
      </c>
      <c r="N2780" s="64" t="n">
        <f aca="false">IF($H2780="",0,IFERROR(MATCH($H2780,GradeList,0),0))</f>
        <v>0</v>
      </c>
      <c r="O2780" s="64" t="n">
        <f aca="false">IF(OR($I2780="",$I2780="NR"),0,IFERROR(MATCH($I2780,GradeList,0),0))</f>
        <v>0</v>
      </c>
      <c r="P2780" s="64" t="n">
        <f aca="false">IF(AND($M2780&gt;0,ISNUMBER(MATCH($F2780,Lists!$A$2:$A$5,0)),ISNUMBER(MATCH($G2780,Lists!$B$2:$B$7,0)),OR($H2780="",$N2780&gt;0),OR($I2780="",$I2780="NR",$O2780&gt;0),IF(ISNUMBER($J2780),AND($J2780&gt;=0,$J2780=INT($J2780)),FALSE())),$J2780,0)</f>
        <v>0</v>
      </c>
      <c r="Q2780" s="64" t="n">
        <f aca="false">IF(AND($P2780&gt;0,$O2780&gt;0),$P2780,0)</f>
        <v>0</v>
      </c>
      <c r="R2780" s="64" t="n">
        <f aca="false">IF(AND($Q2780&gt;0,$O2780&gt;=AtRank),$Q2780,0)</f>
        <v>0</v>
      </c>
      <c r="S2780" s="64" t="n">
        <f aca="false">IF(AND($Q2780&gt;0,$O2780&gt;=AboveRank),$Q2780,0)</f>
        <v>0</v>
      </c>
      <c r="T2780" s="64" t="n">
        <f aca="false">IF($K2780="Less",$P2780,0)</f>
        <v>0</v>
      </c>
      <c r="U2780" s="64" t="n">
        <f aca="false">IF($K2780="Expected",$P2780,0)</f>
        <v>0</v>
      </c>
      <c r="V2780" s="64" t="n">
        <f aca="false">IF($K2780="Better",$P2780,0)</f>
        <v>0</v>
      </c>
      <c r="W2780" s="64" t="n">
        <f aca="false">IF($K2780="U – needs rule",$P2780,0)</f>
        <v>0</v>
      </c>
      <c r="X2780" s="64" t="n">
        <f aca="false">IF($K2780="No Start (attainment only)",$P2780,0)</f>
        <v>0</v>
      </c>
    </row>
    <row r="2781" customFormat="false" ht="15" hidden="false" customHeight="false" outlineLevel="0" collapsed="false">
      <c r="A2781" s="60"/>
      <c r="B2781" s="61" t="str">
        <f aca="false">IF($M2781=0,"",INDEX(Classes!$E$6:$E$420,$M2781))</f>
        <v/>
      </c>
      <c r="C2781" s="62" t="str">
        <f aca="false">IF($M2781=0,"",INDEX(Classes!$H$6:$H$420,$M2781))</f>
        <v/>
      </c>
      <c r="D2781" s="61" t="str">
        <f aca="false">IF($M2781=0,"",INDEX(Classes!$B$6:$B$420,$M2781))</f>
        <v/>
      </c>
      <c r="E2781" s="61" t="str">
        <f aca="false">IF($M2781=0,"",INDEX(Classes!$C$6:$C$420,$M2781))</f>
        <v/>
      </c>
      <c r="F2781" s="63"/>
      <c r="G2781" s="63"/>
      <c r="H2781" s="60"/>
      <c r="I2781" s="60"/>
      <c r="J2781" s="63"/>
      <c r="K2781" s="61" t="str">
        <f aca="false">IF($P2781=0,"",IF($F2781="Baseline","— Baseline",IF($O2781=0,"No result",IF($N2781=0,"No Start (attainment only)",IF(OR($N2781=1,$O2781=1),"U – needs rule",INDEX(MxBody,MATCH($I2781,MxCurr,0),MATCH($H2781,MxStart,0)))))))</f>
        <v/>
      </c>
      <c r="L2781" s="62" t="str">
        <f aca="false">IF(COUNTA($A2781,$F2781,$G2781,$H2781,$I2781,$J2781)=0,"",IF($M2781=0,"✖ كود الصف غير موجود",IF(ISNA(MATCH($F2781,Lists!$A$2:$A$5,0)),"✖ الفترة غير صحيحة",IF(ISNA(MATCH($G2781,Lists!$B$2:$B$7,0)),"✖ المجموعة غير صحيحة",IF(NOT(OR($H2781="",$N2781&gt;0)),"✖ Start غير صحيح",IF(NOT(OR($I2781="",$I2781="NR",$O2781&gt;0)),"✖ Current غير صحيح",IF(NOT(IF(ISNUMBER($J2781),AND($J2781&gt;=0,$J2781=INT($J2781)),FALSE())),"✖ العدد يجب أن يكون صحيحًا ≥ 0",IF(AND($F2781="Baseline",$H2781&lt;&gt;""),"⚠ Baseline: Start لا يدخل في التقدم",IF($K2781="No Start (attainment only)","ℹ تحصيل فقط (بدون Start)",IF($K2781="U – needs rule","ℹ حالة U تحتاج قاعدة معتمدة",IF($K2781="No result","ℹ بدون نتيجة (يُستبعد من التحصيل)","OK")))))))))))</f>
        <v/>
      </c>
      <c r="M2781" s="64" t="n">
        <f aca="false">IF($A2781="",0,IFERROR(MATCH($A2781,Classes!$A$6:$A$420,0),0))</f>
        <v>0</v>
      </c>
      <c r="N2781" s="64" t="n">
        <f aca="false">IF($H2781="",0,IFERROR(MATCH($H2781,GradeList,0),0))</f>
        <v>0</v>
      </c>
      <c r="O2781" s="64" t="n">
        <f aca="false">IF(OR($I2781="",$I2781="NR"),0,IFERROR(MATCH($I2781,GradeList,0),0))</f>
        <v>0</v>
      </c>
      <c r="P2781" s="64" t="n">
        <f aca="false">IF(AND($M2781&gt;0,ISNUMBER(MATCH($F2781,Lists!$A$2:$A$5,0)),ISNUMBER(MATCH($G2781,Lists!$B$2:$B$7,0)),OR($H2781="",$N2781&gt;0),OR($I2781="",$I2781="NR",$O2781&gt;0),IF(ISNUMBER($J2781),AND($J2781&gt;=0,$J2781=INT($J2781)),FALSE())),$J2781,0)</f>
        <v>0</v>
      </c>
      <c r="Q2781" s="64" t="n">
        <f aca="false">IF(AND($P2781&gt;0,$O2781&gt;0),$P2781,0)</f>
        <v>0</v>
      </c>
      <c r="R2781" s="64" t="n">
        <f aca="false">IF(AND($Q2781&gt;0,$O2781&gt;=AtRank),$Q2781,0)</f>
        <v>0</v>
      </c>
      <c r="S2781" s="64" t="n">
        <f aca="false">IF(AND($Q2781&gt;0,$O2781&gt;=AboveRank),$Q2781,0)</f>
        <v>0</v>
      </c>
      <c r="T2781" s="64" t="n">
        <f aca="false">IF($K2781="Less",$P2781,0)</f>
        <v>0</v>
      </c>
      <c r="U2781" s="64" t="n">
        <f aca="false">IF($K2781="Expected",$P2781,0)</f>
        <v>0</v>
      </c>
      <c r="V2781" s="64" t="n">
        <f aca="false">IF($K2781="Better",$P2781,0)</f>
        <v>0</v>
      </c>
      <c r="W2781" s="64" t="n">
        <f aca="false">IF($K2781="U – needs rule",$P2781,0)</f>
        <v>0</v>
      </c>
      <c r="X2781" s="64" t="n">
        <f aca="false">IF($K2781="No Start (attainment only)",$P2781,0)</f>
        <v>0</v>
      </c>
    </row>
    <row r="2782" customFormat="false" ht="15" hidden="false" customHeight="false" outlineLevel="0" collapsed="false">
      <c r="A2782" s="60"/>
      <c r="B2782" s="61" t="str">
        <f aca="false">IF($M2782=0,"",INDEX(Classes!$E$6:$E$420,$M2782))</f>
        <v/>
      </c>
      <c r="C2782" s="62" t="str">
        <f aca="false">IF($M2782=0,"",INDEX(Classes!$H$6:$H$420,$M2782))</f>
        <v/>
      </c>
      <c r="D2782" s="61" t="str">
        <f aca="false">IF($M2782=0,"",INDEX(Classes!$B$6:$B$420,$M2782))</f>
        <v/>
      </c>
      <c r="E2782" s="61" t="str">
        <f aca="false">IF($M2782=0,"",INDEX(Classes!$C$6:$C$420,$M2782))</f>
        <v/>
      </c>
      <c r="F2782" s="63"/>
      <c r="G2782" s="63"/>
      <c r="H2782" s="60"/>
      <c r="I2782" s="60"/>
      <c r="J2782" s="63"/>
      <c r="K2782" s="61" t="str">
        <f aca="false">IF($P2782=0,"",IF($F2782="Baseline","— Baseline",IF($O2782=0,"No result",IF($N2782=0,"No Start (attainment only)",IF(OR($N2782=1,$O2782=1),"U – needs rule",INDEX(MxBody,MATCH($I2782,MxCurr,0),MATCH($H2782,MxStart,0)))))))</f>
        <v/>
      </c>
      <c r="L2782" s="62" t="str">
        <f aca="false">IF(COUNTA($A2782,$F2782,$G2782,$H2782,$I2782,$J2782)=0,"",IF($M2782=0,"✖ كود الصف غير موجود",IF(ISNA(MATCH($F2782,Lists!$A$2:$A$5,0)),"✖ الفترة غير صحيحة",IF(ISNA(MATCH($G2782,Lists!$B$2:$B$7,0)),"✖ المجموعة غير صحيحة",IF(NOT(OR($H2782="",$N2782&gt;0)),"✖ Start غير صحيح",IF(NOT(OR($I2782="",$I2782="NR",$O2782&gt;0)),"✖ Current غير صحيح",IF(NOT(IF(ISNUMBER($J2782),AND($J2782&gt;=0,$J2782=INT($J2782)),FALSE())),"✖ العدد يجب أن يكون صحيحًا ≥ 0",IF(AND($F2782="Baseline",$H2782&lt;&gt;""),"⚠ Baseline: Start لا يدخل في التقدم",IF($K2782="No Start (attainment only)","ℹ تحصيل فقط (بدون Start)",IF($K2782="U – needs rule","ℹ حالة U تحتاج قاعدة معتمدة",IF($K2782="No result","ℹ بدون نتيجة (يُستبعد من التحصيل)","OK")))))))))))</f>
        <v/>
      </c>
      <c r="M2782" s="64" t="n">
        <f aca="false">IF($A2782="",0,IFERROR(MATCH($A2782,Classes!$A$6:$A$420,0),0))</f>
        <v>0</v>
      </c>
      <c r="N2782" s="64" t="n">
        <f aca="false">IF($H2782="",0,IFERROR(MATCH($H2782,GradeList,0),0))</f>
        <v>0</v>
      </c>
      <c r="O2782" s="64" t="n">
        <f aca="false">IF(OR($I2782="",$I2782="NR"),0,IFERROR(MATCH($I2782,GradeList,0),0))</f>
        <v>0</v>
      </c>
      <c r="P2782" s="64" t="n">
        <f aca="false">IF(AND($M2782&gt;0,ISNUMBER(MATCH($F2782,Lists!$A$2:$A$5,0)),ISNUMBER(MATCH($G2782,Lists!$B$2:$B$7,0)),OR($H2782="",$N2782&gt;0),OR($I2782="",$I2782="NR",$O2782&gt;0),IF(ISNUMBER($J2782),AND($J2782&gt;=0,$J2782=INT($J2782)),FALSE())),$J2782,0)</f>
        <v>0</v>
      </c>
      <c r="Q2782" s="64" t="n">
        <f aca="false">IF(AND($P2782&gt;0,$O2782&gt;0),$P2782,0)</f>
        <v>0</v>
      </c>
      <c r="R2782" s="64" t="n">
        <f aca="false">IF(AND($Q2782&gt;0,$O2782&gt;=AtRank),$Q2782,0)</f>
        <v>0</v>
      </c>
      <c r="S2782" s="64" t="n">
        <f aca="false">IF(AND($Q2782&gt;0,$O2782&gt;=AboveRank),$Q2782,0)</f>
        <v>0</v>
      </c>
      <c r="T2782" s="64" t="n">
        <f aca="false">IF($K2782="Less",$P2782,0)</f>
        <v>0</v>
      </c>
      <c r="U2782" s="64" t="n">
        <f aca="false">IF($K2782="Expected",$P2782,0)</f>
        <v>0</v>
      </c>
      <c r="V2782" s="64" t="n">
        <f aca="false">IF($K2782="Better",$P2782,0)</f>
        <v>0</v>
      </c>
      <c r="W2782" s="64" t="n">
        <f aca="false">IF($K2782="U – needs rule",$P2782,0)</f>
        <v>0</v>
      </c>
      <c r="X2782" s="64" t="n">
        <f aca="false">IF($K2782="No Start (attainment only)",$P2782,0)</f>
        <v>0</v>
      </c>
    </row>
    <row r="2783" customFormat="false" ht="15" hidden="false" customHeight="false" outlineLevel="0" collapsed="false">
      <c r="A2783" s="60"/>
      <c r="B2783" s="61" t="str">
        <f aca="false">IF($M2783=0,"",INDEX(Classes!$E$6:$E$420,$M2783))</f>
        <v/>
      </c>
      <c r="C2783" s="62" t="str">
        <f aca="false">IF($M2783=0,"",INDEX(Classes!$H$6:$H$420,$M2783))</f>
        <v/>
      </c>
      <c r="D2783" s="61" t="str">
        <f aca="false">IF($M2783=0,"",INDEX(Classes!$B$6:$B$420,$M2783))</f>
        <v/>
      </c>
      <c r="E2783" s="61" t="str">
        <f aca="false">IF($M2783=0,"",INDEX(Classes!$C$6:$C$420,$M2783))</f>
        <v/>
      </c>
      <c r="F2783" s="63"/>
      <c r="G2783" s="63"/>
      <c r="H2783" s="60"/>
      <c r="I2783" s="60"/>
      <c r="J2783" s="63"/>
      <c r="K2783" s="61" t="str">
        <f aca="false">IF($P2783=0,"",IF($F2783="Baseline","— Baseline",IF($O2783=0,"No result",IF($N2783=0,"No Start (attainment only)",IF(OR($N2783=1,$O2783=1),"U – needs rule",INDEX(MxBody,MATCH($I2783,MxCurr,0),MATCH($H2783,MxStart,0)))))))</f>
        <v/>
      </c>
      <c r="L2783" s="62" t="str">
        <f aca="false">IF(COUNTA($A2783,$F2783,$G2783,$H2783,$I2783,$J2783)=0,"",IF($M2783=0,"✖ كود الصف غير موجود",IF(ISNA(MATCH($F2783,Lists!$A$2:$A$5,0)),"✖ الفترة غير صحيحة",IF(ISNA(MATCH($G2783,Lists!$B$2:$B$7,0)),"✖ المجموعة غير صحيحة",IF(NOT(OR($H2783="",$N2783&gt;0)),"✖ Start غير صحيح",IF(NOT(OR($I2783="",$I2783="NR",$O2783&gt;0)),"✖ Current غير صحيح",IF(NOT(IF(ISNUMBER($J2783),AND($J2783&gt;=0,$J2783=INT($J2783)),FALSE())),"✖ العدد يجب أن يكون صحيحًا ≥ 0",IF(AND($F2783="Baseline",$H2783&lt;&gt;""),"⚠ Baseline: Start لا يدخل في التقدم",IF($K2783="No Start (attainment only)","ℹ تحصيل فقط (بدون Start)",IF($K2783="U – needs rule","ℹ حالة U تحتاج قاعدة معتمدة",IF($K2783="No result","ℹ بدون نتيجة (يُستبعد من التحصيل)","OK")))))))))))</f>
        <v/>
      </c>
      <c r="M2783" s="64" t="n">
        <f aca="false">IF($A2783="",0,IFERROR(MATCH($A2783,Classes!$A$6:$A$420,0),0))</f>
        <v>0</v>
      </c>
      <c r="N2783" s="64" t="n">
        <f aca="false">IF($H2783="",0,IFERROR(MATCH($H2783,GradeList,0),0))</f>
        <v>0</v>
      </c>
      <c r="O2783" s="64" t="n">
        <f aca="false">IF(OR($I2783="",$I2783="NR"),0,IFERROR(MATCH($I2783,GradeList,0),0))</f>
        <v>0</v>
      </c>
      <c r="P2783" s="64" t="n">
        <f aca="false">IF(AND($M2783&gt;0,ISNUMBER(MATCH($F2783,Lists!$A$2:$A$5,0)),ISNUMBER(MATCH($G2783,Lists!$B$2:$B$7,0)),OR($H2783="",$N2783&gt;0),OR($I2783="",$I2783="NR",$O2783&gt;0),IF(ISNUMBER($J2783),AND($J2783&gt;=0,$J2783=INT($J2783)),FALSE())),$J2783,0)</f>
        <v>0</v>
      </c>
      <c r="Q2783" s="64" t="n">
        <f aca="false">IF(AND($P2783&gt;0,$O2783&gt;0),$P2783,0)</f>
        <v>0</v>
      </c>
      <c r="R2783" s="64" t="n">
        <f aca="false">IF(AND($Q2783&gt;0,$O2783&gt;=AtRank),$Q2783,0)</f>
        <v>0</v>
      </c>
      <c r="S2783" s="64" t="n">
        <f aca="false">IF(AND($Q2783&gt;0,$O2783&gt;=AboveRank),$Q2783,0)</f>
        <v>0</v>
      </c>
      <c r="T2783" s="64" t="n">
        <f aca="false">IF($K2783="Less",$P2783,0)</f>
        <v>0</v>
      </c>
      <c r="U2783" s="64" t="n">
        <f aca="false">IF($K2783="Expected",$P2783,0)</f>
        <v>0</v>
      </c>
      <c r="V2783" s="64" t="n">
        <f aca="false">IF($K2783="Better",$P2783,0)</f>
        <v>0</v>
      </c>
      <c r="W2783" s="64" t="n">
        <f aca="false">IF($K2783="U – needs rule",$P2783,0)</f>
        <v>0</v>
      </c>
      <c r="X2783" s="64" t="n">
        <f aca="false">IF($K2783="No Start (attainment only)",$P2783,0)</f>
        <v>0</v>
      </c>
    </row>
    <row r="2784" customFormat="false" ht="15" hidden="false" customHeight="false" outlineLevel="0" collapsed="false">
      <c r="A2784" s="60"/>
      <c r="B2784" s="61" t="str">
        <f aca="false">IF($M2784=0,"",INDEX(Classes!$E$6:$E$420,$M2784))</f>
        <v/>
      </c>
      <c r="C2784" s="62" t="str">
        <f aca="false">IF($M2784=0,"",INDEX(Classes!$H$6:$H$420,$M2784))</f>
        <v/>
      </c>
      <c r="D2784" s="61" t="str">
        <f aca="false">IF($M2784=0,"",INDEX(Classes!$B$6:$B$420,$M2784))</f>
        <v/>
      </c>
      <c r="E2784" s="61" t="str">
        <f aca="false">IF($M2784=0,"",INDEX(Classes!$C$6:$C$420,$M2784))</f>
        <v/>
      </c>
      <c r="F2784" s="63"/>
      <c r="G2784" s="63"/>
      <c r="H2784" s="60"/>
      <c r="I2784" s="60"/>
      <c r="J2784" s="63"/>
      <c r="K2784" s="61" t="str">
        <f aca="false">IF($P2784=0,"",IF($F2784="Baseline","— Baseline",IF($O2784=0,"No result",IF($N2784=0,"No Start (attainment only)",IF(OR($N2784=1,$O2784=1),"U – needs rule",INDEX(MxBody,MATCH($I2784,MxCurr,0),MATCH($H2784,MxStart,0)))))))</f>
        <v/>
      </c>
      <c r="L2784" s="62" t="str">
        <f aca="false">IF(COUNTA($A2784,$F2784,$G2784,$H2784,$I2784,$J2784)=0,"",IF($M2784=0,"✖ كود الصف غير موجود",IF(ISNA(MATCH($F2784,Lists!$A$2:$A$5,0)),"✖ الفترة غير صحيحة",IF(ISNA(MATCH($G2784,Lists!$B$2:$B$7,0)),"✖ المجموعة غير صحيحة",IF(NOT(OR($H2784="",$N2784&gt;0)),"✖ Start غير صحيح",IF(NOT(OR($I2784="",$I2784="NR",$O2784&gt;0)),"✖ Current غير صحيح",IF(NOT(IF(ISNUMBER($J2784),AND($J2784&gt;=0,$J2784=INT($J2784)),FALSE())),"✖ العدد يجب أن يكون صحيحًا ≥ 0",IF(AND($F2784="Baseline",$H2784&lt;&gt;""),"⚠ Baseline: Start لا يدخل في التقدم",IF($K2784="No Start (attainment only)","ℹ تحصيل فقط (بدون Start)",IF($K2784="U – needs rule","ℹ حالة U تحتاج قاعدة معتمدة",IF($K2784="No result","ℹ بدون نتيجة (يُستبعد من التحصيل)","OK")))))))))))</f>
        <v/>
      </c>
      <c r="M2784" s="64" t="n">
        <f aca="false">IF($A2784="",0,IFERROR(MATCH($A2784,Classes!$A$6:$A$420,0),0))</f>
        <v>0</v>
      </c>
      <c r="N2784" s="64" t="n">
        <f aca="false">IF($H2784="",0,IFERROR(MATCH($H2784,GradeList,0),0))</f>
        <v>0</v>
      </c>
      <c r="O2784" s="64" t="n">
        <f aca="false">IF(OR($I2784="",$I2784="NR"),0,IFERROR(MATCH($I2784,GradeList,0),0))</f>
        <v>0</v>
      </c>
      <c r="P2784" s="64" t="n">
        <f aca="false">IF(AND($M2784&gt;0,ISNUMBER(MATCH($F2784,Lists!$A$2:$A$5,0)),ISNUMBER(MATCH($G2784,Lists!$B$2:$B$7,0)),OR($H2784="",$N2784&gt;0),OR($I2784="",$I2784="NR",$O2784&gt;0),IF(ISNUMBER($J2784),AND($J2784&gt;=0,$J2784=INT($J2784)),FALSE())),$J2784,0)</f>
        <v>0</v>
      </c>
      <c r="Q2784" s="64" t="n">
        <f aca="false">IF(AND($P2784&gt;0,$O2784&gt;0),$P2784,0)</f>
        <v>0</v>
      </c>
      <c r="R2784" s="64" t="n">
        <f aca="false">IF(AND($Q2784&gt;0,$O2784&gt;=AtRank),$Q2784,0)</f>
        <v>0</v>
      </c>
      <c r="S2784" s="64" t="n">
        <f aca="false">IF(AND($Q2784&gt;0,$O2784&gt;=AboveRank),$Q2784,0)</f>
        <v>0</v>
      </c>
      <c r="T2784" s="64" t="n">
        <f aca="false">IF($K2784="Less",$P2784,0)</f>
        <v>0</v>
      </c>
      <c r="U2784" s="64" t="n">
        <f aca="false">IF($K2784="Expected",$P2784,0)</f>
        <v>0</v>
      </c>
      <c r="V2784" s="64" t="n">
        <f aca="false">IF($K2784="Better",$P2784,0)</f>
        <v>0</v>
      </c>
      <c r="W2784" s="64" t="n">
        <f aca="false">IF($K2784="U – needs rule",$P2784,0)</f>
        <v>0</v>
      </c>
      <c r="X2784" s="64" t="n">
        <f aca="false">IF($K2784="No Start (attainment only)",$P2784,0)</f>
        <v>0</v>
      </c>
    </row>
    <row r="2785" customFormat="false" ht="15" hidden="false" customHeight="false" outlineLevel="0" collapsed="false">
      <c r="A2785" s="60"/>
      <c r="B2785" s="61" t="str">
        <f aca="false">IF($M2785=0,"",INDEX(Classes!$E$6:$E$420,$M2785))</f>
        <v/>
      </c>
      <c r="C2785" s="62" t="str">
        <f aca="false">IF($M2785=0,"",INDEX(Classes!$H$6:$H$420,$M2785))</f>
        <v/>
      </c>
      <c r="D2785" s="61" t="str">
        <f aca="false">IF($M2785=0,"",INDEX(Classes!$B$6:$B$420,$M2785))</f>
        <v/>
      </c>
      <c r="E2785" s="61" t="str">
        <f aca="false">IF($M2785=0,"",INDEX(Classes!$C$6:$C$420,$M2785))</f>
        <v/>
      </c>
      <c r="F2785" s="63"/>
      <c r="G2785" s="63"/>
      <c r="H2785" s="60"/>
      <c r="I2785" s="60"/>
      <c r="J2785" s="63"/>
      <c r="K2785" s="61" t="str">
        <f aca="false">IF($P2785=0,"",IF($F2785="Baseline","— Baseline",IF($O2785=0,"No result",IF($N2785=0,"No Start (attainment only)",IF(OR($N2785=1,$O2785=1),"U – needs rule",INDEX(MxBody,MATCH($I2785,MxCurr,0),MATCH($H2785,MxStart,0)))))))</f>
        <v/>
      </c>
      <c r="L2785" s="62" t="str">
        <f aca="false">IF(COUNTA($A2785,$F2785,$G2785,$H2785,$I2785,$J2785)=0,"",IF($M2785=0,"✖ كود الصف غير موجود",IF(ISNA(MATCH($F2785,Lists!$A$2:$A$5,0)),"✖ الفترة غير صحيحة",IF(ISNA(MATCH($G2785,Lists!$B$2:$B$7,0)),"✖ المجموعة غير صحيحة",IF(NOT(OR($H2785="",$N2785&gt;0)),"✖ Start غير صحيح",IF(NOT(OR($I2785="",$I2785="NR",$O2785&gt;0)),"✖ Current غير صحيح",IF(NOT(IF(ISNUMBER($J2785),AND($J2785&gt;=0,$J2785=INT($J2785)),FALSE())),"✖ العدد يجب أن يكون صحيحًا ≥ 0",IF(AND($F2785="Baseline",$H2785&lt;&gt;""),"⚠ Baseline: Start لا يدخل في التقدم",IF($K2785="No Start (attainment only)","ℹ تحصيل فقط (بدون Start)",IF($K2785="U – needs rule","ℹ حالة U تحتاج قاعدة معتمدة",IF($K2785="No result","ℹ بدون نتيجة (يُستبعد من التحصيل)","OK")))))))))))</f>
        <v/>
      </c>
      <c r="M2785" s="64" t="n">
        <f aca="false">IF($A2785="",0,IFERROR(MATCH($A2785,Classes!$A$6:$A$420,0),0))</f>
        <v>0</v>
      </c>
      <c r="N2785" s="64" t="n">
        <f aca="false">IF($H2785="",0,IFERROR(MATCH($H2785,GradeList,0),0))</f>
        <v>0</v>
      </c>
      <c r="O2785" s="64" t="n">
        <f aca="false">IF(OR($I2785="",$I2785="NR"),0,IFERROR(MATCH($I2785,GradeList,0),0))</f>
        <v>0</v>
      </c>
      <c r="P2785" s="64" t="n">
        <f aca="false">IF(AND($M2785&gt;0,ISNUMBER(MATCH($F2785,Lists!$A$2:$A$5,0)),ISNUMBER(MATCH($G2785,Lists!$B$2:$B$7,0)),OR($H2785="",$N2785&gt;0),OR($I2785="",$I2785="NR",$O2785&gt;0),IF(ISNUMBER($J2785),AND($J2785&gt;=0,$J2785=INT($J2785)),FALSE())),$J2785,0)</f>
        <v>0</v>
      </c>
      <c r="Q2785" s="64" t="n">
        <f aca="false">IF(AND($P2785&gt;0,$O2785&gt;0),$P2785,0)</f>
        <v>0</v>
      </c>
      <c r="R2785" s="64" t="n">
        <f aca="false">IF(AND($Q2785&gt;0,$O2785&gt;=AtRank),$Q2785,0)</f>
        <v>0</v>
      </c>
      <c r="S2785" s="64" t="n">
        <f aca="false">IF(AND($Q2785&gt;0,$O2785&gt;=AboveRank),$Q2785,0)</f>
        <v>0</v>
      </c>
      <c r="T2785" s="64" t="n">
        <f aca="false">IF($K2785="Less",$P2785,0)</f>
        <v>0</v>
      </c>
      <c r="U2785" s="64" t="n">
        <f aca="false">IF($K2785="Expected",$P2785,0)</f>
        <v>0</v>
      </c>
      <c r="V2785" s="64" t="n">
        <f aca="false">IF($K2785="Better",$P2785,0)</f>
        <v>0</v>
      </c>
      <c r="W2785" s="64" t="n">
        <f aca="false">IF($K2785="U – needs rule",$P2785,0)</f>
        <v>0</v>
      </c>
      <c r="X2785" s="64" t="n">
        <f aca="false">IF($K2785="No Start (attainment only)",$P2785,0)</f>
        <v>0</v>
      </c>
    </row>
    <row r="2786" customFormat="false" ht="15" hidden="false" customHeight="false" outlineLevel="0" collapsed="false">
      <c r="A2786" s="60"/>
      <c r="B2786" s="61" t="str">
        <f aca="false">IF($M2786=0,"",INDEX(Classes!$E$6:$E$420,$M2786))</f>
        <v/>
      </c>
      <c r="C2786" s="62" t="str">
        <f aca="false">IF($M2786=0,"",INDEX(Classes!$H$6:$H$420,$M2786))</f>
        <v/>
      </c>
      <c r="D2786" s="61" t="str">
        <f aca="false">IF($M2786=0,"",INDEX(Classes!$B$6:$B$420,$M2786))</f>
        <v/>
      </c>
      <c r="E2786" s="61" t="str">
        <f aca="false">IF($M2786=0,"",INDEX(Classes!$C$6:$C$420,$M2786))</f>
        <v/>
      </c>
      <c r="F2786" s="63"/>
      <c r="G2786" s="63"/>
      <c r="H2786" s="60"/>
      <c r="I2786" s="60"/>
      <c r="J2786" s="63"/>
      <c r="K2786" s="61" t="str">
        <f aca="false">IF($P2786=0,"",IF($F2786="Baseline","— Baseline",IF($O2786=0,"No result",IF($N2786=0,"No Start (attainment only)",IF(OR($N2786=1,$O2786=1),"U – needs rule",INDEX(MxBody,MATCH($I2786,MxCurr,0),MATCH($H2786,MxStart,0)))))))</f>
        <v/>
      </c>
      <c r="L2786" s="62" t="str">
        <f aca="false">IF(COUNTA($A2786,$F2786,$G2786,$H2786,$I2786,$J2786)=0,"",IF($M2786=0,"✖ كود الصف غير موجود",IF(ISNA(MATCH($F2786,Lists!$A$2:$A$5,0)),"✖ الفترة غير صحيحة",IF(ISNA(MATCH($G2786,Lists!$B$2:$B$7,0)),"✖ المجموعة غير صحيحة",IF(NOT(OR($H2786="",$N2786&gt;0)),"✖ Start غير صحيح",IF(NOT(OR($I2786="",$I2786="NR",$O2786&gt;0)),"✖ Current غير صحيح",IF(NOT(IF(ISNUMBER($J2786),AND($J2786&gt;=0,$J2786=INT($J2786)),FALSE())),"✖ العدد يجب أن يكون صحيحًا ≥ 0",IF(AND($F2786="Baseline",$H2786&lt;&gt;""),"⚠ Baseline: Start لا يدخل في التقدم",IF($K2786="No Start (attainment only)","ℹ تحصيل فقط (بدون Start)",IF($K2786="U – needs rule","ℹ حالة U تحتاج قاعدة معتمدة",IF($K2786="No result","ℹ بدون نتيجة (يُستبعد من التحصيل)","OK")))))))))))</f>
        <v/>
      </c>
      <c r="M2786" s="64" t="n">
        <f aca="false">IF($A2786="",0,IFERROR(MATCH($A2786,Classes!$A$6:$A$420,0),0))</f>
        <v>0</v>
      </c>
      <c r="N2786" s="64" t="n">
        <f aca="false">IF($H2786="",0,IFERROR(MATCH($H2786,GradeList,0),0))</f>
        <v>0</v>
      </c>
      <c r="O2786" s="64" t="n">
        <f aca="false">IF(OR($I2786="",$I2786="NR"),0,IFERROR(MATCH($I2786,GradeList,0),0))</f>
        <v>0</v>
      </c>
      <c r="P2786" s="64" t="n">
        <f aca="false">IF(AND($M2786&gt;0,ISNUMBER(MATCH($F2786,Lists!$A$2:$A$5,0)),ISNUMBER(MATCH($G2786,Lists!$B$2:$B$7,0)),OR($H2786="",$N2786&gt;0),OR($I2786="",$I2786="NR",$O2786&gt;0),IF(ISNUMBER($J2786),AND($J2786&gt;=0,$J2786=INT($J2786)),FALSE())),$J2786,0)</f>
        <v>0</v>
      </c>
      <c r="Q2786" s="64" t="n">
        <f aca="false">IF(AND($P2786&gt;0,$O2786&gt;0),$P2786,0)</f>
        <v>0</v>
      </c>
      <c r="R2786" s="64" t="n">
        <f aca="false">IF(AND($Q2786&gt;0,$O2786&gt;=AtRank),$Q2786,0)</f>
        <v>0</v>
      </c>
      <c r="S2786" s="64" t="n">
        <f aca="false">IF(AND($Q2786&gt;0,$O2786&gt;=AboveRank),$Q2786,0)</f>
        <v>0</v>
      </c>
      <c r="T2786" s="64" t="n">
        <f aca="false">IF($K2786="Less",$P2786,0)</f>
        <v>0</v>
      </c>
      <c r="U2786" s="64" t="n">
        <f aca="false">IF($K2786="Expected",$P2786,0)</f>
        <v>0</v>
      </c>
      <c r="V2786" s="64" t="n">
        <f aca="false">IF($K2786="Better",$P2786,0)</f>
        <v>0</v>
      </c>
      <c r="W2786" s="64" t="n">
        <f aca="false">IF($K2786="U – needs rule",$P2786,0)</f>
        <v>0</v>
      </c>
      <c r="X2786" s="64" t="n">
        <f aca="false">IF($K2786="No Start (attainment only)",$P2786,0)</f>
        <v>0</v>
      </c>
    </row>
    <row r="2787" customFormat="false" ht="15" hidden="false" customHeight="false" outlineLevel="0" collapsed="false">
      <c r="A2787" s="60"/>
      <c r="B2787" s="61" t="str">
        <f aca="false">IF($M2787=0,"",INDEX(Classes!$E$6:$E$420,$M2787))</f>
        <v/>
      </c>
      <c r="C2787" s="62" t="str">
        <f aca="false">IF($M2787=0,"",INDEX(Classes!$H$6:$H$420,$M2787))</f>
        <v/>
      </c>
      <c r="D2787" s="61" t="str">
        <f aca="false">IF($M2787=0,"",INDEX(Classes!$B$6:$B$420,$M2787))</f>
        <v/>
      </c>
      <c r="E2787" s="61" t="str">
        <f aca="false">IF($M2787=0,"",INDEX(Classes!$C$6:$C$420,$M2787))</f>
        <v/>
      </c>
      <c r="F2787" s="63"/>
      <c r="G2787" s="63"/>
      <c r="H2787" s="60"/>
      <c r="I2787" s="60"/>
      <c r="J2787" s="63"/>
      <c r="K2787" s="61" t="str">
        <f aca="false">IF($P2787=0,"",IF($F2787="Baseline","— Baseline",IF($O2787=0,"No result",IF($N2787=0,"No Start (attainment only)",IF(OR($N2787=1,$O2787=1),"U – needs rule",INDEX(MxBody,MATCH($I2787,MxCurr,0),MATCH($H2787,MxStart,0)))))))</f>
        <v/>
      </c>
      <c r="L2787" s="62" t="str">
        <f aca="false">IF(COUNTA($A2787,$F2787,$G2787,$H2787,$I2787,$J2787)=0,"",IF($M2787=0,"✖ كود الصف غير موجود",IF(ISNA(MATCH($F2787,Lists!$A$2:$A$5,0)),"✖ الفترة غير صحيحة",IF(ISNA(MATCH($G2787,Lists!$B$2:$B$7,0)),"✖ المجموعة غير صحيحة",IF(NOT(OR($H2787="",$N2787&gt;0)),"✖ Start غير صحيح",IF(NOT(OR($I2787="",$I2787="NR",$O2787&gt;0)),"✖ Current غير صحيح",IF(NOT(IF(ISNUMBER($J2787),AND($J2787&gt;=0,$J2787=INT($J2787)),FALSE())),"✖ العدد يجب أن يكون صحيحًا ≥ 0",IF(AND($F2787="Baseline",$H2787&lt;&gt;""),"⚠ Baseline: Start لا يدخل في التقدم",IF($K2787="No Start (attainment only)","ℹ تحصيل فقط (بدون Start)",IF($K2787="U – needs rule","ℹ حالة U تحتاج قاعدة معتمدة",IF($K2787="No result","ℹ بدون نتيجة (يُستبعد من التحصيل)","OK")))))))))))</f>
        <v/>
      </c>
      <c r="M2787" s="64" t="n">
        <f aca="false">IF($A2787="",0,IFERROR(MATCH($A2787,Classes!$A$6:$A$420,0),0))</f>
        <v>0</v>
      </c>
      <c r="N2787" s="64" t="n">
        <f aca="false">IF($H2787="",0,IFERROR(MATCH($H2787,GradeList,0),0))</f>
        <v>0</v>
      </c>
      <c r="O2787" s="64" t="n">
        <f aca="false">IF(OR($I2787="",$I2787="NR"),0,IFERROR(MATCH($I2787,GradeList,0),0))</f>
        <v>0</v>
      </c>
      <c r="P2787" s="64" t="n">
        <f aca="false">IF(AND($M2787&gt;0,ISNUMBER(MATCH($F2787,Lists!$A$2:$A$5,0)),ISNUMBER(MATCH($G2787,Lists!$B$2:$B$7,0)),OR($H2787="",$N2787&gt;0),OR($I2787="",$I2787="NR",$O2787&gt;0),IF(ISNUMBER($J2787),AND($J2787&gt;=0,$J2787=INT($J2787)),FALSE())),$J2787,0)</f>
        <v>0</v>
      </c>
      <c r="Q2787" s="64" t="n">
        <f aca="false">IF(AND($P2787&gt;0,$O2787&gt;0),$P2787,0)</f>
        <v>0</v>
      </c>
      <c r="R2787" s="64" t="n">
        <f aca="false">IF(AND($Q2787&gt;0,$O2787&gt;=AtRank),$Q2787,0)</f>
        <v>0</v>
      </c>
      <c r="S2787" s="64" t="n">
        <f aca="false">IF(AND($Q2787&gt;0,$O2787&gt;=AboveRank),$Q2787,0)</f>
        <v>0</v>
      </c>
      <c r="T2787" s="64" t="n">
        <f aca="false">IF($K2787="Less",$P2787,0)</f>
        <v>0</v>
      </c>
      <c r="U2787" s="64" t="n">
        <f aca="false">IF($K2787="Expected",$P2787,0)</f>
        <v>0</v>
      </c>
      <c r="V2787" s="64" t="n">
        <f aca="false">IF($K2787="Better",$P2787,0)</f>
        <v>0</v>
      </c>
      <c r="W2787" s="64" t="n">
        <f aca="false">IF($K2787="U – needs rule",$P2787,0)</f>
        <v>0</v>
      </c>
      <c r="X2787" s="64" t="n">
        <f aca="false">IF($K2787="No Start (attainment only)",$P2787,0)</f>
        <v>0</v>
      </c>
    </row>
    <row r="2788" customFormat="false" ht="15" hidden="false" customHeight="false" outlineLevel="0" collapsed="false">
      <c r="A2788" s="60"/>
      <c r="B2788" s="61" t="str">
        <f aca="false">IF($M2788=0,"",INDEX(Classes!$E$6:$E$420,$M2788))</f>
        <v/>
      </c>
      <c r="C2788" s="62" t="str">
        <f aca="false">IF($M2788=0,"",INDEX(Classes!$H$6:$H$420,$M2788))</f>
        <v/>
      </c>
      <c r="D2788" s="61" t="str">
        <f aca="false">IF($M2788=0,"",INDEX(Classes!$B$6:$B$420,$M2788))</f>
        <v/>
      </c>
      <c r="E2788" s="61" t="str">
        <f aca="false">IF($M2788=0,"",INDEX(Classes!$C$6:$C$420,$M2788))</f>
        <v/>
      </c>
      <c r="F2788" s="63"/>
      <c r="G2788" s="63"/>
      <c r="H2788" s="60"/>
      <c r="I2788" s="60"/>
      <c r="J2788" s="63"/>
      <c r="K2788" s="61" t="str">
        <f aca="false">IF($P2788=0,"",IF($F2788="Baseline","— Baseline",IF($O2788=0,"No result",IF($N2788=0,"No Start (attainment only)",IF(OR($N2788=1,$O2788=1),"U – needs rule",INDEX(MxBody,MATCH($I2788,MxCurr,0),MATCH($H2788,MxStart,0)))))))</f>
        <v/>
      </c>
      <c r="L2788" s="62" t="str">
        <f aca="false">IF(COUNTA($A2788,$F2788,$G2788,$H2788,$I2788,$J2788)=0,"",IF($M2788=0,"✖ كود الصف غير موجود",IF(ISNA(MATCH($F2788,Lists!$A$2:$A$5,0)),"✖ الفترة غير صحيحة",IF(ISNA(MATCH($G2788,Lists!$B$2:$B$7,0)),"✖ المجموعة غير صحيحة",IF(NOT(OR($H2788="",$N2788&gt;0)),"✖ Start غير صحيح",IF(NOT(OR($I2788="",$I2788="NR",$O2788&gt;0)),"✖ Current غير صحيح",IF(NOT(IF(ISNUMBER($J2788),AND($J2788&gt;=0,$J2788=INT($J2788)),FALSE())),"✖ العدد يجب أن يكون صحيحًا ≥ 0",IF(AND($F2788="Baseline",$H2788&lt;&gt;""),"⚠ Baseline: Start لا يدخل في التقدم",IF($K2788="No Start (attainment only)","ℹ تحصيل فقط (بدون Start)",IF($K2788="U – needs rule","ℹ حالة U تحتاج قاعدة معتمدة",IF($K2788="No result","ℹ بدون نتيجة (يُستبعد من التحصيل)","OK")))))))))))</f>
        <v/>
      </c>
      <c r="M2788" s="64" t="n">
        <f aca="false">IF($A2788="",0,IFERROR(MATCH($A2788,Classes!$A$6:$A$420,0),0))</f>
        <v>0</v>
      </c>
      <c r="N2788" s="64" t="n">
        <f aca="false">IF($H2788="",0,IFERROR(MATCH($H2788,GradeList,0),0))</f>
        <v>0</v>
      </c>
      <c r="O2788" s="64" t="n">
        <f aca="false">IF(OR($I2788="",$I2788="NR"),0,IFERROR(MATCH($I2788,GradeList,0),0))</f>
        <v>0</v>
      </c>
      <c r="P2788" s="64" t="n">
        <f aca="false">IF(AND($M2788&gt;0,ISNUMBER(MATCH($F2788,Lists!$A$2:$A$5,0)),ISNUMBER(MATCH($G2788,Lists!$B$2:$B$7,0)),OR($H2788="",$N2788&gt;0),OR($I2788="",$I2788="NR",$O2788&gt;0),IF(ISNUMBER($J2788),AND($J2788&gt;=0,$J2788=INT($J2788)),FALSE())),$J2788,0)</f>
        <v>0</v>
      </c>
      <c r="Q2788" s="64" t="n">
        <f aca="false">IF(AND($P2788&gt;0,$O2788&gt;0),$P2788,0)</f>
        <v>0</v>
      </c>
      <c r="R2788" s="64" t="n">
        <f aca="false">IF(AND($Q2788&gt;0,$O2788&gt;=AtRank),$Q2788,0)</f>
        <v>0</v>
      </c>
      <c r="S2788" s="64" t="n">
        <f aca="false">IF(AND($Q2788&gt;0,$O2788&gt;=AboveRank),$Q2788,0)</f>
        <v>0</v>
      </c>
      <c r="T2788" s="64" t="n">
        <f aca="false">IF($K2788="Less",$P2788,0)</f>
        <v>0</v>
      </c>
      <c r="U2788" s="64" t="n">
        <f aca="false">IF($K2788="Expected",$P2788,0)</f>
        <v>0</v>
      </c>
      <c r="V2788" s="64" t="n">
        <f aca="false">IF($K2788="Better",$P2788,0)</f>
        <v>0</v>
      </c>
      <c r="W2788" s="64" t="n">
        <f aca="false">IF($K2788="U – needs rule",$P2788,0)</f>
        <v>0</v>
      </c>
      <c r="X2788" s="64" t="n">
        <f aca="false">IF($K2788="No Start (attainment only)",$P2788,0)</f>
        <v>0</v>
      </c>
    </row>
    <row r="2789" customFormat="false" ht="15" hidden="false" customHeight="false" outlineLevel="0" collapsed="false">
      <c r="A2789" s="60"/>
      <c r="B2789" s="61" t="str">
        <f aca="false">IF($M2789=0,"",INDEX(Classes!$E$6:$E$420,$M2789))</f>
        <v/>
      </c>
      <c r="C2789" s="62" t="str">
        <f aca="false">IF($M2789=0,"",INDEX(Classes!$H$6:$H$420,$M2789))</f>
        <v/>
      </c>
      <c r="D2789" s="61" t="str">
        <f aca="false">IF($M2789=0,"",INDEX(Classes!$B$6:$B$420,$M2789))</f>
        <v/>
      </c>
      <c r="E2789" s="61" t="str">
        <f aca="false">IF($M2789=0,"",INDEX(Classes!$C$6:$C$420,$M2789))</f>
        <v/>
      </c>
      <c r="F2789" s="63"/>
      <c r="G2789" s="63"/>
      <c r="H2789" s="60"/>
      <c r="I2789" s="60"/>
      <c r="J2789" s="63"/>
      <c r="K2789" s="61" t="str">
        <f aca="false">IF($P2789=0,"",IF($F2789="Baseline","— Baseline",IF($O2789=0,"No result",IF($N2789=0,"No Start (attainment only)",IF(OR($N2789=1,$O2789=1),"U – needs rule",INDEX(MxBody,MATCH($I2789,MxCurr,0),MATCH($H2789,MxStart,0)))))))</f>
        <v/>
      </c>
      <c r="L2789" s="62" t="str">
        <f aca="false">IF(COUNTA($A2789,$F2789,$G2789,$H2789,$I2789,$J2789)=0,"",IF($M2789=0,"✖ كود الصف غير موجود",IF(ISNA(MATCH($F2789,Lists!$A$2:$A$5,0)),"✖ الفترة غير صحيحة",IF(ISNA(MATCH($G2789,Lists!$B$2:$B$7,0)),"✖ المجموعة غير صحيحة",IF(NOT(OR($H2789="",$N2789&gt;0)),"✖ Start غير صحيح",IF(NOT(OR($I2789="",$I2789="NR",$O2789&gt;0)),"✖ Current غير صحيح",IF(NOT(IF(ISNUMBER($J2789),AND($J2789&gt;=0,$J2789=INT($J2789)),FALSE())),"✖ العدد يجب أن يكون صحيحًا ≥ 0",IF(AND($F2789="Baseline",$H2789&lt;&gt;""),"⚠ Baseline: Start لا يدخل في التقدم",IF($K2789="No Start (attainment only)","ℹ تحصيل فقط (بدون Start)",IF($K2789="U – needs rule","ℹ حالة U تحتاج قاعدة معتمدة",IF($K2789="No result","ℹ بدون نتيجة (يُستبعد من التحصيل)","OK")))))))))))</f>
        <v/>
      </c>
      <c r="M2789" s="64" t="n">
        <f aca="false">IF($A2789="",0,IFERROR(MATCH($A2789,Classes!$A$6:$A$420,0),0))</f>
        <v>0</v>
      </c>
      <c r="N2789" s="64" t="n">
        <f aca="false">IF($H2789="",0,IFERROR(MATCH($H2789,GradeList,0),0))</f>
        <v>0</v>
      </c>
      <c r="O2789" s="64" t="n">
        <f aca="false">IF(OR($I2789="",$I2789="NR"),0,IFERROR(MATCH($I2789,GradeList,0),0))</f>
        <v>0</v>
      </c>
      <c r="P2789" s="64" t="n">
        <f aca="false">IF(AND($M2789&gt;0,ISNUMBER(MATCH($F2789,Lists!$A$2:$A$5,0)),ISNUMBER(MATCH($G2789,Lists!$B$2:$B$7,0)),OR($H2789="",$N2789&gt;0),OR($I2789="",$I2789="NR",$O2789&gt;0),IF(ISNUMBER($J2789),AND($J2789&gt;=0,$J2789=INT($J2789)),FALSE())),$J2789,0)</f>
        <v>0</v>
      </c>
      <c r="Q2789" s="64" t="n">
        <f aca="false">IF(AND($P2789&gt;0,$O2789&gt;0),$P2789,0)</f>
        <v>0</v>
      </c>
      <c r="R2789" s="64" t="n">
        <f aca="false">IF(AND($Q2789&gt;0,$O2789&gt;=AtRank),$Q2789,0)</f>
        <v>0</v>
      </c>
      <c r="S2789" s="64" t="n">
        <f aca="false">IF(AND($Q2789&gt;0,$O2789&gt;=AboveRank),$Q2789,0)</f>
        <v>0</v>
      </c>
      <c r="T2789" s="64" t="n">
        <f aca="false">IF($K2789="Less",$P2789,0)</f>
        <v>0</v>
      </c>
      <c r="U2789" s="64" t="n">
        <f aca="false">IF($K2789="Expected",$P2789,0)</f>
        <v>0</v>
      </c>
      <c r="V2789" s="64" t="n">
        <f aca="false">IF($K2789="Better",$P2789,0)</f>
        <v>0</v>
      </c>
      <c r="W2789" s="64" t="n">
        <f aca="false">IF($K2789="U – needs rule",$P2789,0)</f>
        <v>0</v>
      </c>
      <c r="X2789" s="64" t="n">
        <f aca="false">IF($K2789="No Start (attainment only)",$P2789,0)</f>
        <v>0</v>
      </c>
    </row>
    <row r="2790" customFormat="false" ht="15" hidden="false" customHeight="false" outlineLevel="0" collapsed="false">
      <c r="A2790" s="60"/>
      <c r="B2790" s="61" t="str">
        <f aca="false">IF($M2790=0,"",INDEX(Classes!$E$6:$E$420,$M2790))</f>
        <v/>
      </c>
      <c r="C2790" s="62" t="str">
        <f aca="false">IF($M2790=0,"",INDEX(Classes!$H$6:$H$420,$M2790))</f>
        <v/>
      </c>
      <c r="D2790" s="61" t="str">
        <f aca="false">IF($M2790=0,"",INDEX(Classes!$B$6:$B$420,$M2790))</f>
        <v/>
      </c>
      <c r="E2790" s="61" t="str">
        <f aca="false">IF($M2790=0,"",INDEX(Classes!$C$6:$C$420,$M2790))</f>
        <v/>
      </c>
      <c r="F2790" s="63"/>
      <c r="G2790" s="63"/>
      <c r="H2790" s="60"/>
      <c r="I2790" s="60"/>
      <c r="J2790" s="63"/>
      <c r="K2790" s="61" t="str">
        <f aca="false">IF($P2790=0,"",IF($F2790="Baseline","— Baseline",IF($O2790=0,"No result",IF($N2790=0,"No Start (attainment only)",IF(OR($N2790=1,$O2790=1),"U – needs rule",INDEX(MxBody,MATCH($I2790,MxCurr,0),MATCH($H2790,MxStart,0)))))))</f>
        <v/>
      </c>
      <c r="L2790" s="62" t="str">
        <f aca="false">IF(COUNTA($A2790,$F2790,$G2790,$H2790,$I2790,$J2790)=0,"",IF($M2790=0,"✖ كود الصف غير موجود",IF(ISNA(MATCH($F2790,Lists!$A$2:$A$5,0)),"✖ الفترة غير صحيحة",IF(ISNA(MATCH($G2790,Lists!$B$2:$B$7,0)),"✖ المجموعة غير صحيحة",IF(NOT(OR($H2790="",$N2790&gt;0)),"✖ Start غير صحيح",IF(NOT(OR($I2790="",$I2790="NR",$O2790&gt;0)),"✖ Current غير صحيح",IF(NOT(IF(ISNUMBER($J2790),AND($J2790&gt;=0,$J2790=INT($J2790)),FALSE())),"✖ العدد يجب أن يكون صحيحًا ≥ 0",IF(AND($F2790="Baseline",$H2790&lt;&gt;""),"⚠ Baseline: Start لا يدخل في التقدم",IF($K2790="No Start (attainment only)","ℹ تحصيل فقط (بدون Start)",IF($K2790="U – needs rule","ℹ حالة U تحتاج قاعدة معتمدة",IF($K2790="No result","ℹ بدون نتيجة (يُستبعد من التحصيل)","OK")))))))))))</f>
        <v/>
      </c>
      <c r="M2790" s="64" t="n">
        <f aca="false">IF($A2790="",0,IFERROR(MATCH($A2790,Classes!$A$6:$A$420,0),0))</f>
        <v>0</v>
      </c>
      <c r="N2790" s="64" t="n">
        <f aca="false">IF($H2790="",0,IFERROR(MATCH($H2790,GradeList,0),0))</f>
        <v>0</v>
      </c>
      <c r="O2790" s="64" t="n">
        <f aca="false">IF(OR($I2790="",$I2790="NR"),0,IFERROR(MATCH($I2790,GradeList,0),0))</f>
        <v>0</v>
      </c>
      <c r="P2790" s="64" t="n">
        <f aca="false">IF(AND($M2790&gt;0,ISNUMBER(MATCH($F2790,Lists!$A$2:$A$5,0)),ISNUMBER(MATCH($G2790,Lists!$B$2:$B$7,0)),OR($H2790="",$N2790&gt;0),OR($I2790="",$I2790="NR",$O2790&gt;0),IF(ISNUMBER($J2790),AND($J2790&gt;=0,$J2790=INT($J2790)),FALSE())),$J2790,0)</f>
        <v>0</v>
      </c>
      <c r="Q2790" s="64" t="n">
        <f aca="false">IF(AND($P2790&gt;0,$O2790&gt;0),$P2790,0)</f>
        <v>0</v>
      </c>
      <c r="R2790" s="64" t="n">
        <f aca="false">IF(AND($Q2790&gt;0,$O2790&gt;=AtRank),$Q2790,0)</f>
        <v>0</v>
      </c>
      <c r="S2790" s="64" t="n">
        <f aca="false">IF(AND($Q2790&gt;0,$O2790&gt;=AboveRank),$Q2790,0)</f>
        <v>0</v>
      </c>
      <c r="T2790" s="64" t="n">
        <f aca="false">IF($K2790="Less",$P2790,0)</f>
        <v>0</v>
      </c>
      <c r="U2790" s="64" t="n">
        <f aca="false">IF($K2790="Expected",$P2790,0)</f>
        <v>0</v>
      </c>
      <c r="V2790" s="64" t="n">
        <f aca="false">IF($K2790="Better",$P2790,0)</f>
        <v>0</v>
      </c>
      <c r="W2790" s="64" t="n">
        <f aca="false">IF($K2790="U – needs rule",$P2790,0)</f>
        <v>0</v>
      </c>
      <c r="X2790" s="64" t="n">
        <f aca="false">IF($K2790="No Start (attainment only)",$P2790,0)</f>
        <v>0</v>
      </c>
    </row>
    <row r="2791" customFormat="false" ht="15" hidden="false" customHeight="false" outlineLevel="0" collapsed="false">
      <c r="A2791" s="60"/>
      <c r="B2791" s="61" t="str">
        <f aca="false">IF($M2791=0,"",INDEX(Classes!$E$6:$E$420,$M2791))</f>
        <v/>
      </c>
      <c r="C2791" s="62" t="str">
        <f aca="false">IF($M2791=0,"",INDEX(Classes!$H$6:$H$420,$M2791))</f>
        <v/>
      </c>
      <c r="D2791" s="61" t="str">
        <f aca="false">IF($M2791=0,"",INDEX(Classes!$B$6:$B$420,$M2791))</f>
        <v/>
      </c>
      <c r="E2791" s="61" t="str">
        <f aca="false">IF($M2791=0,"",INDEX(Classes!$C$6:$C$420,$M2791))</f>
        <v/>
      </c>
      <c r="F2791" s="63"/>
      <c r="G2791" s="63"/>
      <c r="H2791" s="60"/>
      <c r="I2791" s="60"/>
      <c r="J2791" s="63"/>
      <c r="K2791" s="61" t="str">
        <f aca="false">IF($P2791=0,"",IF($F2791="Baseline","— Baseline",IF($O2791=0,"No result",IF($N2791=0,"No Start (attainment only)",IF(OR($N2791=1,$O2791=1),"U – needs rule",INDEX(MxBody,MATCH($I2791,MxCurr,0),MATCH($H2791,MxStart,0)))))))</f>
        <v/>
      </c>
      <c r="L2791" s="62" t="str">
        <f aca="false">IF(COUNTA($A2791,$F2791,$G2791,$H2791,$I2791,$J2791)=0,"",IF($M2791=0,"✖ كود الصف غير موجود",IF(ISNA(MATCH($F2791,Lists!$A$2:$A$5,0)),"✖ الفترة غير صحيحة",IF(ISNA(MATCH($G2791,Lists!$B$2:$B$7,0)),"✖ المجموعة غير صحيحة",IF(NOT(OR($H2791="",$N2791&gt;0)),"✖ Start غير صحيح",IF(NOT(OR($I2791="",$I2791="NR",$O2791&gt;0)),"✖ Current غير صحيح",IF(NOT(IF(ISNUMBER($J2791),AND($J2791&gt;=0,$J2791=INT($J2791)),FALSE())),"✖ العدد يجب أن يكون صحيحًا ≥ 0",IF(AND($F2791="Baseline",$H2791&lt;&gt;""),"⚠ Baseline: Start لا يدخل في التقدم",IF($K2791="No Start (attainment only)","ℹ تحصيل فقط (بدون Start)",IF($K2791="U – needs rule","ℹ حالة U تحتاج قاعدة معتمدة",IF($K2791="No result","ℹ بدون نتيجة (يُستبعد من التحصيل)","OK")))))))))))</f>
        <v/>
      </c>
      <c r="M2791" s="64" t="n">
        <f aca="false">IF($A2791="",0,IFERROR(MATCH($A2791,Classes!$A$6:$A$420,0),0))</f>
        <v>0</v>
      </c>
      <c r="N2791" s="64" t="n">
        <f aca="false">IF($H2791="",0,IFERROR(MATCH($H2791,GradeList,0),0))</f>
        <v>0</v>
      </c>
      <c r="O2791" s="64" t="n">
        <f aca="false">IF(OR($I2791="",$I2791="NR"),0,IFERROR(MATCH($I2791,GradeList,0),0))</f>
        <v>0</v>
      </c>
      <c r="P2791" s="64" t="n">
        <f aca="false">IF(AND($M2791&gt;0,ISNUMBER(MATCH($F2791,Lists!$A$2:$A$5,0)),ISNUMBER(MATCH($G2791,Lists!$B$2:$B$7,0)),OR($H2791="",$N2791&gt;0),OR($I2791="",$I2791="NR",$O2791&gt;0),IF(ISNUMBER($J2791),AND($J2791&gt;=0,$J2791=INT($J2791)),FALSE())),$J2791,0)</f>
        <v>0</v>
      </c>
      <c r="Q2791" s="64" t="n">
        <f aca="false">IF(AND($P2791&gt;0,$O2791&gt;0),$P2791,0)</f>
        <v>0</v>
      </c>
      <c r="R2791" s="64" t="n">
        <f aca="false">IF(AND($Q2791&gt;0,$O2791&gt;=AtRank),$Q2791,0)</f>
        <v>0</v>
      </c>
      <c r="S2791" s="64" t="n">
        <f aca="false">IF(AND($Q2791&gt;0,$O2791&gt;=AboveRank),$Q2791,0)</f>
        <v>0</v>
      </c>
      <c r="T2791" s="64" t="n">
        <f aca="false">IF($K2791="Less",$P2791,0)</f>
        <v>0</v>
      </c>
      <c r="U2791" s="64" t="n">
        <f aca="false">IF($K2791="Expected",$P2791,0)</f>
        <v>0</v>
      </c>
      <c r="V2791" s="64" t="n">
        <f aca="false">IF($K2791="Better",$P2791,0)</f>
        <v>0</v>
      </c>
      <c r="W2791" s="64" t="n">
        <f aca="false">IF($K2791="U – needs rule",$P2791,0)</f>
        <v>0</v>
      </c>
      <c r="X2791" s="64" t="n">
        <f aca="false">IF($K2791="No Start (attainment only)",$P2791,0)</f>
        <v>0</v>
      </c>
    </row>
    <row r="2792" customFormat="false" ht="15" hidden="false" customHeight="false" outlineLevel="0" collapsed="false">
      <c r="A2792" s="60"/>
      <c r="B2792" s="61" t="str">
        <f aca="false">IF($M2792=0,"",INDEX(Classes!$E$6:$E$420,$M2792))</f>
        <v/>
      </c>
      <c r="C2792" s="62" t="str">
        <f aca="false">IF($M2792=0,"",INDEX(Classes!$H$6:$H$420,$M2792))</f>
        <v/>
      </c>
      <c r="D2792" s="61" t="str">
        <f aca="false">IF($M2792=0,"",INDEX(Classes!$B$6:$B$420,$M2792))</f>
        <v/>
      </c>
      <c r="E2792" s="61" t="str">
        <f aca="false">IF($M2792=0,"",INDEX(Classes!$C$6:$C$420,$M2792))</f>
        <v/>
      </c>
      <c r="F2792" s="63"/>
      <c r="G2792" s="63"/>
      <c r="H2792" s="60"/>
      <c r="I2792" s="60"/>
      <c r="J2792" s="63"/>
      <c r="K2792" s="61" t="str">
        <f aca="false">IF($P2792=0,"",IF($F2792="Baseline","— Baseline",IF($O2792=0,"No result",IF($N2792=0,"No Start (attainment only)",IF(OR($N2792=1,$O2792=1),"U – needs rule",INDEX(MxBody,MATCH($I2792,MxCurr,0),MATCH($H2792,MxStart,0)))))))</f>
        <v/>
      </c>
      <c r="L2792" s="62" t="str">
        <f aca="false">IF(COUNTA($A2792,$F2792,$G2792,$H2792,$I2792,$J2792)=0,"",IF($M2792=0,"✖ كود الصف غير موجود",IF(ISNA(MATCH($F2792,Lists!$A$2:$A$5,0)),"✖ الفترة غير صحيحة",IF(ISNA(MATCH($G2792,Lists!$B$2:$B$7,0)),"✖ المجموعة غير صحيحة",IF(NOT(OR($H2792="",$N2792&gt;0)),"✖ Start غير صحيح",IF(NOT(OR($I2792="",$I2792="NR",$O2792&gt;0)),"✖ Current غير صحيح",IF(NOT(IF(ISNUMBER($J2792),AND($J2792&gt;=0,$J2792=INT($J2792)),FALSE())),"✖ العدد يجب أن يكون صحيحًا ≥ 0",IF(AND($F2792="Baseline",$H2792&lt;&gt;""),"⚠ Baseline: Start لا يدخل في التقدم",IF($K2792="No Start (attainment only)","ℹ تحصيل فقط (بدون Start)",IF($K2792="U – needs rule","ℹ حالة U تحتاج قاعدة معتمدة",IF($K2792="No result","ℹ بدون نتيجة (يُستبعد من التحصيل)","OK")))))))))))</f>
        <v/>
      </c>
      <c r="M2792" s="64" t="n">
        <f aca="false">IF($A2792="",0,IFERROR(MATCH($A2792,Classes!$A$6:$A$420,0),0))</f>
        <v>0</v>
      </c>
      <c r="N2792" s="64" t="n">
        <f aca="false">IF($H2792="",0,IFERROR(MATCH($H2792,GradeList,0),0))</f>
        <v>0</v>
      </c>
      <c r="O2792" s="64" t="n">
        <f aca="false">IF(OR($I2792="",$I2792="NR"),0,IFERROR(MATCH($I2792,GradeList,0),0))</f>
        <v>0</v>
      </c>
      <c r="P2792" s="64" t="n">
        <f aca="false">IF(AND($M2792&gt;0,ISNUMBER(MATCH($F2792,Lists!$A$2:$A$5,0)),ISNUMBER(MATCH($G2792,Lists!$B$2:$B$7,0)),OR($H2792="",$N2792&gt;0),OR($I2792="",$I2792="NR",$O2792&gt;0),IF(ISNUMBER($J2792),AND($J2792&gt;=0,$J2792=INT($J2792)),FALSE())),$J2792,0)</f>
        <v>0</v>
      </c>
      <c r="Q2792" s="64" t="n">
        <f aca="false">IF(AND($P2792&gt;0,$O2792&gt;0),$P2792,0)</f>
        <v>0</v>
      </c>
      <c r="R2792" s="64" t="n">
        <f aca="false">IF(AND($Q2792&gt;0,$O2792&gt;=AtRank),$Q2792,0)</f>
        <v>0</v>
      </c>
      <c r="S2792" s="64" t="n">
        <f aca="false">IF(AND($Q2792&gt;0,$O2792&gt;=AboveRank),$Q2792,0)</f>
        <v>0</v>
      </c>
      <c r="T2792" s="64" t="n">
        <f aca="false">IF($K2792="Less",$P2792,0)</f>
        <v>0</v>
      </c>
      <c r="U2792" s="64" t="n">
        <f aca="false">IF($K2792="Expected",$P2792,0)</f>
        <v>0</v>
      </c>
      <c r="V2792" s="64" t="n">
        <f aca="false">IF($K2792="Better",$P2792,0)</f>
        <v>0</v>
      </c>
      <c r="W2792" s="64" t="n">
        <f aca="false">IF($K2792="U – needs rule",$P2792,0)</f>
        <v>0</v>
      </c>
      <c r="X2792" s="64" t="n">
        <f aca="false">IF($K2792="No Start (attainment only)",$P2792,0)</f>
        <v>0</v>
      </c>
    </row>
    <row r="2793" customFormat="false" ht="15" hidden="false" customHeight="false" outlineLevel="0" collapsed="false">
      <c r="A2793" s="60"/>
      <c r="B2793" s="61" t="str">
        <f aca="false">IF($M2793=0,"",INDEX(Classes!$E$6:$E$420,$M2793))</f>
        <v/>
      </c>
      <c r="C2793" s="62" t="str">
        <f aca="false">IF($M2793=0,"",INDEX(Classes!$H$6:$H$420,$M2793))</f>
        <v/>
      </c>
      <c r="D2793" s="61" t="str">
        <f aca="false">IF($M2793=0,"",INDEX(Classes!$B$6:$B$420,$M2793))</f>
        <v/>
      </c>
      <c r="E2793" s="61" t="str">
        <f aca="false">IF($M2793=0,"",INDEX(Classes!$C$6:$C$420,$M2793))</f>
        <v/>
      </c>
      <c r="F2793" s="63"/>
      <c r="G2793" s="63"/>
      <c r="H2793" s="60"/>
      <c r="I2793" s="60"/>
      <c r="J2793" s="63"/>
      <c r="K2793" s="61" t="str">
        <f aca="false">IF($P2793=0,"",IF($F2793="Baseline","— Baseline",IF($O2793=0,"No result",IF($N2793=0,"No Start (attainment only)",IF(OR($N2793=1,$O2793=1),"U – needs rule",INDEX(MxBody,MATCH($I2793,MxCurr,0),MATCH($H2793,MxStart,0)))))))</f>
        <v/>
      </c>
      <c r="L2793" s="62" t="str">
        <f aca="false">IF(COUNTA($A2793,$F2793,$G2793,$H2793,$I2793,$J2793)=0,"",IF($M2793=0,"✖ كود الصف غير موجود",IF(ISNA(MATCH($F2793,Lists!$A$2:$A$5,0)),"✖ الفترة غير صحيحة",IF(ISNA(MATCH($G2793,Lists!$B$2:$B$7,0)),"✖ المجموعة غير صحيحة",IF(NOT(OR($H2793="",$N2793&gt;0)),"✖ Start غير صحيح",IF(NOT(OR($I2793="",$I2793="NR",$O2793&gt;0)),"✖ Current غير صحيح",IF(NOT(IF(ISNUMBER($J2793),AND($J2793&gt;=0,$J2793=INT($J2793)),FALSE())),"✖ العدد يجب أن يكون صحيحًا ≥ 0",IF(AND($F2793="Baseline",$H2793&lt;&gt;""),"⚠ Baseline: Start لا يدخل في التقدم",IF($K2793="No Start (attainment only)","ℹ تحصيل فقط (بدون Start)",IF($K2793="U – needs rule","ℹ حالة U تحتاج قاعدة معتمدة",IF($K2793="No result","ℹ بدون نتيجة (يُستبعد من التحصيل)","OK")))))))))))</f>
        <v/>
      </c>
      <c r="M2793" s="64" t="n">
        <f aca="false">IF($A2793="",0,IFERROR(MATCH($A2793,Classes!$A$6:$A$420,0),0))</f>
        <v>0</v>
      </c>
      <c r="N2793" s="64" t="n">
        <f aca="false">IF($H2793="",0,IFERROR(MATCH($H2793,GradeList,0),0))</f>
        <v>0</v>
      </c>
      <c r="O2793" s="64" t="n">
        <f aca="false">IF(OR($I2793="",$I2793="NR"),0,IFERROR(MATCH($I2793,GradeList,0),0))</f>
        <v>0</v>
      </c>
      <c r="P2793" s="64" t="n">
        <f aca="false">IF(AND($M2793&gt;0,ISNUMBER(MATCH($F2793,Lists!$A$2:$A$5,0)),ISNUMBER(MATCH($G2793,Lists!$B$2:$B$7,0)),OR($H2793="",$N2793&gt;0),OR($I2793="",$I2793="NR",$O2793&gt;0),IF(ISNUMBER($J2793),AND($J2793&gt;=0,$J2793=INT($J2793)),FALSE())),$J2793,0)</f>
        <v>0</v>
      </c>
      <c r="Q2793" s="64" t="n">
        <f aca="false">IF(AND($P2793&gt;0,$O2793&gt;0),$P2793,0)</f>
        <v>0</v>
      </c>
      <c r="R2793" s="64" t="n">
        <f aca="false">IF(AND($Q2793&gt;0,$O2793&gt;=AtRank),$Q2793,0)</f>
        <v>0</v>
      </c>
      <c r="S2793" s="64" t="n">
        <f aca="false">IF(AND($Q2793&gt;0,$O2793&gt;=AboveRank),$Q2793,0)</f>
        <v>0</v>
      </c>
      <c r="T2793" s="64" t="n">
        <f aca="false">IF($K2793="Less",$P2793,0)</f>
        <v>0</v>
      </c>
      <c r="U2793" s="64" t="n">
        <f aca="false">IF($K2793="Expected",$P2793,0)</f>
        <v>0</v>
      </c>
      <c r="V2793" s="64" t="n">
        <f aca="false">IF($K2793="Better",$P2793,0)</f>
        <v>0</v>
      </c>
      <c r="W2793" s="64" t="n">
        <f aca="false">IF($K2793="U – needs rule",$P2793,0)</f>
        <v>0</v>
      </c>
      <c r="X2793" s="64" t="n">
        <f aca="false">IF($K2793="No Start (attainment only)",$P2793,0)</f>
        <v>0</v>
      </c>
    </row>
    <row r="2794" customFormat="false" ht="15" hidden="false" customHeight="false" outlineLevel="0" collapsed="false">
      <c r="A2794" s="60"/>
      <c r="B2794" s="61" t="str">
        <f aca="false">IF($M2794=0,"",INDEX(Classes!$E$6:$E$420,$M2794))</f>
        <v/>
      </c>
      <c r="C2794" s="62" t="str">
        <f aca="false">IF($M2794=0,"",INDEX(Classes!$H$6:$H$420,$M2794))</f>
        <v/>
      </c>
      <c r="D2794" s="61" t="str">
        <f aca="false">IF($M2794=0,"",INDEX(Classes!$B$6:$B$420,$M2794))</f>
        <v/>
      </c>
      <c r="E2794" s="61" t="str">
        <f aca="false">IF($M2794=0,"",INDEX(Classes!$C$6:$C$420,$M2794))</f>
        <v/>
      </c>
      <c r="F2794" s="63"/>
      <c r="G2794" s="63"/>
      <c r="H2794" s="60"/>
      <c r="I2794" s="60"/>
      <c r="J2794" s="63"/>
      <c r="K2794" s="61" t="str">
        <f aca="false">IF($P2794=0,"",IF($F2794="Baseline","— Baseline",IF($O2794=0,"No result",IF($N2794=0,"No Start (attainment only)",IF(OR($N2794=1,$O2794=1),"U – needs rule",INDEX(MxBody,MATCH($I2794,MxCurr,0),MATCH($H2794,MxStart,0)))))))</f>
        <v/>
      </c>
      <c r="L2794" s="62" t="str">
        <f aca="false">IF(COUNTA($A2794,$F2794,$G2794,$H2794,$I2794,$J2794)=0,"",IF($M2794=0,"✖ كود الصف غير موجود",IF(ISNA(MATCH($F2794,Lists!$A$2:$A$5,0)),"✖ الفترة غير صحيحة",IF(ISNA(MATCH($G2794,Lists!$B$2:$B$7,0)),"✖ المجموعة غير صحيحة",IF(NOT(OR($H2794="",$N2794&gt;0)),"✖ Start غير صحيح",IF(NOT(OR($I2794="",$I2794="NR",$O2794&gt;0)),"✖ Current غير صحيح",IF(NOT(IF(ISNUMBER($J2794),AND($J2794&gt;=0,$J2794=INT($J2794)),FALSE())),"✖ العدد يجب أن يكون صحيحًا ≥ 0",IF(AND($F2794="Baseline",$H2794&lt;&gt;""),"⚠ Baseline: Start لا يدخل في التقدم",IF($K2794="No Start (attainment only)","ℹ تحصيل فقط (بدون Start)",IF($K2794="U – needs rule","ℹ حالة U تحتاج قاعدة معتمدة",IF($K2794="No result","ℹ بدون نتيجة (يُستبعد من التحصيل)","OK")))))))))))</f>
        <v/>
      </c>
      <c r="M2794" s="64" t="n">
        <f aca="false">IF($A2794="",0,IFERROR(MATCH($A2794,Classes!$A$6:$A$420,0),0))</f>
        <v>0</v>
      </c>
      <c r="N2794" s="64" t="n">
        <f aca="false">IF($H2794="",0,IFERROR(MATCH($H2794,GradeList,0),0))</f>
        <v>0</v>
      </c>
      <c r="O2794" s="64" t="n">
        <f aca="false">IF(OR($I2794="",$I2794="NR"),0,IFERROR(MATCH($I2794,GradeList,0),0))</f>
        <v>0</v>
      </c>
      <c r="P2794" s="64" t="n">
        <f aca="false">IF(AND($M2794&gt;0,ISNUMBER(MATCH($F2794,Lists!$A$2:$A$5,0)),ISNUMBER(MATCH($G2794,Lists!$B$2:$B$7,0)),OR($H2794="",$N2794&gt;0),OR($I2794="",$I2794="NR",$O2794&gt;0),IF(ISNUMBER($J2794),AND($J2794&gt;=0,$J2794=INT($J2794)),FALSE())),$J2794,0)</f>
        <v>0</v>
      </c>
      <c r="Q2794" s="64" t="n">
        <f aca="false">IF(AND($P2794&gt;0,$O2794&gt;0),$P2794,0)</f>
        <v>0</v>
      </c>
      <c r="R2794" s="64" t="n">
        <f aca="false">IF(AND($Q2794&gt;0,$O2794&gt;=AtRank),$Q2794,0)</f>
        <v>0</v>
      </c>
      <c r="S2794" s="64" t="n">
        <f aca="false">IF(AND($Q2794&gt;0,$O2794&gt;=AboveRank),$Q2794,0)</f>
        <v>0</v>
      </c>
      <c r="T2794" s="64" t="n">
        <f aca="false">IF($K2794="Less",$P2794,0)</f>
        <v>0</v>
      </c>
      <c r="U2794" s="64" t="n">
        <f aca="false">IF($K2794="Expected",$P2794,0)</f>
        <v>0</v>
      </c>
      <c r="V2794" s="64" t="n">
        <f aca="false">IF($K2794="Better",$P2794,0)</f>
        <v>0</v>
      </c>
      <c r="W2794" s="64" t="n">
        <f aca="false">IF($K2794="U – needs rule",$P2794,0)</f>
        <v>0</v>
      </c>
      <c r="X2794" s="64" t="n">
        <f aca="false">IF($K2794="No Start (attainment only)",$P2794,0)</f>
        <v>0</v>
      </c>
    </row>
    <row r="2795" customFormat="false" ht="15" hidden="false" customHeight="false" outlineLevel="0" collapsed="false">
      <c r="A2795" s="60"/>
      <c r="B2795" s="61" t="str">
        <f aca="false">IF($M2795=0,"",INDEX(Classes!$E$6:$E$420,$M2795))</f>
        <v/>
      </c>
      <c r="C2795" s="62" t="str">
        <f aca="false">IF($M2795=0,"",INDEX(Classes!$H$6:$H$420,$M2795))</f>
        <v/>
      </c>
      <c r="D2795" s="61" t="str">
        <f aca="false">IF($M2795=0,"",INDEX(Classes!$B$6:$B$420,$M2795))</f>
        <v/>
      </c>
      <c r="E2795" s="61" t="str">
        <f aca="false">IF($M2795=0,"",INDEX(Classes!$C$6:$C$420,$M2795))</f>
        <v/>
      </c>
      <c r="F2795" s="63"/>
      <c r="G2795" s="63"/>
      <c r="H2795" s="60"/>
      <c r="I2795" s="60"/>
      <c r="J2795" s="63"/>
      <c r="K2795" s="61" t="str">
        <f aca="false">IF($P2795=0,"",IF($F2795="Baseline","— Baseline",IF($O2795=0,"No result",IF($N2795=0,"No Start (attainment only)",IF(OR($N2795=1,$O2795=1),"U – needs rule",INDEX(MxBody,MATCH($I2795,MxCurr,0),MATCH($H2795,MxStart,0)))))))</f>
        <v/>
      </c>
      <c r="L2795" s="62" t="str">
        <f aca="false">IF(COUNTA($A2795,$F2795,$G2795,$H2795,$I2795,$J2795)=0,"",IF($M2795=0,"✖ كود الصف غير موجود",IF(ISNA(MATCH($F2795,Lists!$A$2:$A$5,0)),"✖ الفترة غير صحيحة",IF(ISNA(MATCH($G2795,Lists!$B$2:$B$7,0)),"✖ المجموعة غير صحيحة",IF(NOT(OR($H2795="",$N2795&gt;0)),"✖ Start غير صحيح",IF(NOT(OR($I2795="",$I2795="NR",$O2795&gt;0)),"✖ Current غير صحيح",IF(NOT(IF(ISNUMBER($J2795),AND($J2795&gt;=0,$J2795=INT($J2795)),FALSE())),"✖ العدد يجب أن يكون صحيحًا ≥ 0",IF(AND($F2795="Baseline",$H2795&lt;&gt;""),"⚠ Baseline: Start لا يدخل في التقدم",IF($K2795="No Start (attainment only)","ℹ تحصيل فقط (بدون Start)",IF($K2795="U – needs rule","ℹ حالة U تحتاج قاعدة معتمدة",IF($K2795="No result","ℹ بدون نتيجة (يُستبعد من التحصيل)","OK")))))))))))</f>
        <v/>
      </c>
      <c r="M2795" s="64" t="n">
        <f aca="false">IF($A2795="",0,IFERROR(MATCH($A2795,Classes!$A$6:$A$420,0),0))</f>
        <v>0</v>
      </c>
      <c r="N2795" s="64" t="n">
        <f aca="false">IF($H2795="",0,IFERROR(MATCH($H2795,GradeList,0),0))</f>
        <v>0</v>
      </c>
      <c r="O2795" s="64" t="n">
        <f aca="false">IF(OR($I2795="",$I2795="NR"),0,IFERROR(MATCH($I2795,GradeList,0),0))</f>
        <v>0</v>
      </c>
      <c r="P2795" s="64" t="n">
        <f aca="false">IF(AND($M2795&gt;0,ISNUMBER(MATCH($F2795,Lists!$A$2:$A$5,0)),ISNUMBER(MATCH($G2795,Lists!$B$2:$B$7,0)),OR($H2795="",$N2795&gt;0),OR($I2795="",$I2795="NR",$O2795&gt;0),IF(ISNUMBER($J2795),AND($J2795&gt;=0,$J2795=INT($J2795)),FALSE())),$J2795,0)</f>
        <v>0</v>
      </c>
      <c r="Q2795" s="64" t="n">
        <f aca="false">IF(AND($P2795&gt;0,$O2795&gt;0),$P2795,0)</f>
        <v>0</v>
      </c>
      <c r="R2795" s="64" t="n">
        <f aca="false">IF(AND($Q2795&gt;0,$O2795&gt;=AtRank),$Q2795,0)</f>
        <v>0</v>
      </c>
      <c r="S2795" s="64" t="n">
        <f aca="false">IF(AND($Q2795&gt;0,$O2795&gt;=AboveRank),$Q2795,0)</f>
        <v>0</v>
      </c>
      <c r="T2795" s="64" t="n">
        <f aca="false">IF($K2795="Less",$P2795,0)</f>
        <v>0</v>
      </c>
      <c r="U2795" s="64" t="n">
        <f aca="false">IF($K2795="Expected",$P2795,0)</f>
        <v>0</v>
      </c>
      <c r="V2795" s="64" t="n">
        <f aca="false">IF($K2795="Better",$P2795,0)</f>
        <v>0</v>
      </c>
      <c r="W2795" s="64" t="n">
        <f aca="false">IF($K2795="U – needs rule",$P2795,0)</f>
        <v>0</v>
      </c>
      <c r="X2795" s="64" t="n">
        <f aca="false">IF($K2795="No Start (attainment only)",$P2795,0)</f>
        <v>0</v>
      </c>
    </row>
    <row r="2796" customFormat="false" ht="15" hidden="false" customHeight="false" outlineLevel="0" collapsed="false">
      <c r="A2796" s="60"/>
      <c r="B2796" s="61" t="str">
        <f aca="false">IF($M2796=0,"",INDEX(Classes!$E$6:$E$420,$M2796))</f>
        <v/>
      </c>
      <c r="C2796" s="62" t="str">
        <f aca="false">IF($M2796=0,"",INDEX(Classes!$H$6:$H$420,$M2796))</f>
        <v/>
      </c>
      <c r="D2796" s="61" t="str">
        <f aca="false">IF($M2796=0,"",INDEX(Classes!$B$6:$B$420,$M2796))</f>
        <v/>
      </c>
      <c r="E2796" s="61" t="str">
        <f aca="false">IF($M2796=0,"",INDEX(Classes!$C$6:$C$420,$M2796))</f>
        <v/>
      </c>
      <c r="F2796" s="63"/>
      <c r="G2796" s="63"/>
      <c r="H2796" s="60"/>
      <c r="I2796" s="60"/>
      <c r="J2796" s="63"/>
      <c r="K2796" s="61" t="str">
        <f aca="false">IF($P2796=0,"",IF($F2796="Baseline","— Baseline",IF($O2796=0,"No result",IF($N2796=0,"No Start (attainment only)",IF(OR($N2796=1,$O2796=1),"U – needs rule",INDEX(MxBody,MATCH($I2796,MxCurr,0),MATCH($H2796,MxStart,0)))))))</f>
        <v/>
      </c>
      <c r="L2796" s="62" t="str">
        <f aca="false">IF(COUNTA($A2796,$F2796,$G2796,$H2796,$I2796,$J2796)=0,"",IF($M2796=0,"✖ كود الصف غير موجود",IF(ISNA(MATCH($F2796,Lists!$A$2:$A$5,0)),"✖ الفترة غير صحيحة",IF(ISNA(MATCH($G2796,Lists!$B$2:$B$7,0)),"✖ المجموعة غير صحيحة",IF(NOT(OR($H2796="",$N2796&gt;0)),"✖ Start غير صحيح",IF(NOT(OR($I2796="",$I2796="NR",$O2796&gt;0)),"✖ Current غير صحيح",IF(NOT(IF(ISNUMBER($J2796),AND($J2796&gt;=0,$J2796=INT($J2796)),FALSE())),"✖ العدد يجب أن يكون صحيحًا ≥ 0",IF(AND($F2796="Baseline",$H2796&lt;&gt;""),"⚠ Baseline: Start لا يدخل في التقدم",IF($K2796="No Start (attainment only)","ℹ تحصيل فقط (بدون Start)",IF($K2796="U – needs rule","ℹ حالة U تحتاج قاعدة معتمدة",IF($K2796="No result","ℹ بدون نتيجة (يُستبعد من التحصيل)","OK")))))))))))</f>
        <v/>
      </c>
      <c r="M2796" s="64" t="n">
        <f aca="false">IF($A2796="",0,IFERROR(MATCH($A2796,Classes!$A$6:$A$420,0),0))</f>
        <v>0</v>
      </c>
      <c r="N2796" s="64" t="n">
        <f aca="false">IF($H2796="",0,IFERROR(MATCH($H2796,GradeList,0),0))</f>
        <v>0</v>
      </c>
      <c r="O2796" s="64" t="n">
        <f aca="false">IF(OR($I2796="",$I2796="NR"),0,IFERROR(MATCH($I2796,GradeList,0),0))</f>
        <v>0</v>
      </c>
      <c r="P2796" s="64" t="n">
        <f aca="false">IF(AND($M2796&gt;0,ISNUMBER(MATCH($F2796,Lists!$A$2:$A$5,0)),ISNUMBER(MATCH($G2796,Lists!$B$2:$B$7,0)),OR($H2796="",$N2796&gt;0),OR($I2796="",$I2796="NR",$O2796&gt;0),IF(ISNUMBER($J2796),AND($J2796&gt;=0,$J2796=INT($J2796)),FALSE())),$J2796,0)</f>
        <v>0</v>
      </c>
      <c r="Q2796" s="64" t="n">
        <f aca="false">IF(AND($P2796&gt;0,$O2796&gt;0),$P2796,0)</f>
        <v>0</v>
      </c>
      <c r="R2796" s="64" t="n">
        <f aca="false">IF(AND($Q2796&gt;0,$O2796&gt;=AtRank),$Q2796,0)</f>
        <v>0</v>
      </c>
      <c r="S2796" s="64" t="n">
        <f aca="false">IF(AND($Q2796&gt;0,$O2796&gt;=AboveRank),$Q2796,0)</f>
        <v>0</v>
      </c>
      <c r="T2796" s="64" t="n">
        <f aca="false">IF($K2796="Less",$P2796,0)</f>
        <v>0</v>
      </c>
      <c r="U2796" s="64" t="n">
        <f aca="false">IF($K2796="Expected",$P2796,0)</f>
        <v>0</v>
      </c>
      <c r="V2796" s="64" t="n">
        <f aca="false">IF($K2796="Better",$P2796,0)</f>
        <v>0</v>
      </c>
      <c r="W2796" s="64" t="n">
        <f aca="false">IF($K2796="U – needs rule",$P2796,0)</f>
        <v>0</v>
      </c>
      <c r="X2796" s="64" t="n">
        <f aca="false">IF($K2796="No Start (attainment only)",$P2796,0)</f>
        <v>0</v>
      </c>
    </row>
    <row r="2797" customFormat="false" ht="15" hidden="false" customHeight="false" outlineLevel="0" collapsed="false">
      <c r="A2797" s="60"/>
      <c r="B2797" s="61" t="str">
        <f aca="false">IF($M2797=0,"",INDEX(Classes!$E$6:$E$420,$M2797))</f>
        <v/>
      </c>
      <c r="C2797" s="62" t="str">
        <f aca="false">IF($M2797=0,"",INDEX(Classes!$H$6:$H$420,$M2797))</f>
        <v/>
      </c>
      <c r="D2797" s="61" t="str">
        <f aca="false">IF($M2797=0,"",INDEX(Classes!$B$6:$B$420,$M2797))</f>
        <v/>
      </c>
      <c r="E2797" s="61" t="str">
        <f aca="false">IF($M2797=0,"",INDEX(Classes!$C$6:$C$420,$M2797))</f>
        <v/>
      </c>
      <c r="F2797" s="63"/>
      <c r="G2797" s="63"/>
      <c r="H2797" s="60"/>
      <c r="I2797" s="60"/>
      <c r="J2797" s="63"/>
      <c r="K2797" s="61" t="str">
        <f aca="false">IF($P2797=0,"",IF($F2797="Baseline","— Baseline",IF($O2797=0,"No result",IF($N2797=0,"No Start (attainment only)",IF(OR($N2797=1,$O2797=1),"U – needs rule",INDEX(MxBody,MATCH($I2797,MxCurr,0),MATCH($H2797,MxStart,0)))))))</f>
        <v/>
      </c>
      <c r="L2797" s="62" t="str">
        <f aca="false">IF(COUNTA($A2797,$F2797,$G2797,$H2797,$I2797,$J2797)=0,"",IF($M2797=0,"✖ كود الصف غير موجود",IF(ISNA(MATCH($F2797,Lists!$A$2:$A$5,0)),"✖ الفترة غير صحيحة",IF(ISNA(MATCH($G2797,Lists!$B$2:$B$7,0)),"✖ المجموعة غير صحيحة",IF(NOT(OR($H2797="",$N2797&gt;0)),"✖ Start غير صحيح",IF(NOT(OR($I2797="",$I2797="NR",$O2797&gt;0)),"✖ Current غير صحيح",IF(NOT(IF(ISNUMBER($J2797),AND($J2797&gt;=0,$J2797=INT($J2797)),FALSE())),"✖ العدد يجب أن يكون صحيحًا ≥ 0",IF(AND($F2797="Baseline",$H2797&lt;&gt;""),"⚠ Baseline: Start لا يدخل في التقدم",IF($K2797="No Start (attainment only)","ℹ تحصيل فقط (بدون Start)",IF($K2797="U – needs rule","ℹ حالة U تحتاج قاعدة معتمدة",IF($K2797="No result","ℹ بدون نتيجة (يُستبعد من التحصيل)","OK")))))))))))</f>
        <v/>
      </c>
      <c r="M2797" s="64" t="n">
        <f aca="false">IF($A2797="",0,IFERROR(MATCH($A2797,Classes!$A$6:$A$420,0),0))</f>
        <v>0</v>
      </c>
      <c r="N2797" s="64" t="n">
        <f aca="false">IF($H2797="",0,IFERROR(MATCH($H2797,GradeList,0),0))</f>
        <v>0</v>
      </c>
      <c r="O2797" s="64" t="n">
        <f aca="false">IF(OR($I2797="",$I2797="NR"),0,IFERROR(MATCH($I2797,GradeList,0),0))</f>
        <v>0</v>
      </c>
      <c r="P2797" s="64" t="n">
        <f aca="false">IF(AND($M2797&gt;0,ISNUMBER(MATCH($F2797,Lists!$A$2:$A$5,0)),ISNUMBER(MATCH($G2797,Lists!$B$2:$B$7,0)),OR($H2797="",$N2797&gt;0),OR($I2797="",$I2797="NR",$O2797&gt;0),IF(ISNUMBER($J2797),AND($J2797&gt;=0,$J2797=INT($J2797)),FALSE())),$J2797,0)</f>
        <v>0</v>
      </c>
      <c r="Q2797" s="64" t="n">
        <f aca="false">IF(AND($P2797&gt;0,$O2797&gt;0),$P2797,0)</f>
        <v>0</v>
      </c>
      <c r="R2797" s="64" t="n">
        <f aca="false">IF(AND($Q2797&gt;0,$O2797&gt;=AtRank),$Q2797,0)</f>
        <v>0</v>
      </c>
      <c r="S2797" s="64" t="n">
        <f aca="false">IF(AND($Q2797&gt;0,$O2797&gt;=AboveRank),$Q2797,0)</f>
        <v>0</v>
      </c>
      <c r="T2797" s="64" t="n">
        <f aca="false">IF($K2797="Less",$P2797,0)</f>
        <v>0</v>
      </c>
      <c r="U2797" s="64" t="n">
        <f aca="false">IF($K2797="Expected",$P2797,0)</f>
        <v>0</v>
      </c>
      <c r="V2797" s="64" t="n">
        <f aca="false">IF($K2797="Better",$P2797,0)</f>
        <v>0</v>
      </c>
      <c r="W2797" s="64" t="n">
        <f aca="false">IF($K2797="U – needs rule",$P2797,0)</f>
        <v>0</v>
      </c>
      <c r="X2797" s="64" t="n">
        <f aca="false">IF($K2797="No Start (attainment only)",$P2797,0)</f>
        <v>0</v>
      </c>
    </row>
    <row r="2798" customFormat="false" ht="15" hidden="false" customHeight="false" outlineLevel="0" collapsed="false">
      <c r="A2798" s="60"/>
      <c r="B2798" s="61" t="str">
        <f aca="false">IF($M2798=0,"",INDEX(Classes!$E$6:$E$420,$M2798))</f>
        <v/>
      </c>
      <c r="C2798" s="62" t="str">
        <f aca="false">IF($M2798=0,"",INDEX(Classes!$H$6:$H$420,$M2798))</f>
        <v/>
      </c>
      <c r="D2798" s="61" t="str">
        <f aca="false">IF($M2798=0,"",INDEX(Classes!$B$6:$B$420,$M2798))</f>
        <v/>
      </c>
      <c r="E2798" s="61" t="str">
        <f aca="false">IF($M2798=0,"",INDEX(Classes!$C$6:$C$420,$M2798))</f>
        <v/>
      </c>
      <c r="F2798" s="63"/>
      <c r="G2798" s="63"/>
      <c r="H2798" s="60"/>
      <c r="I2798" s="60"/>
      <c r="J2798" s="63"/>
      <c r="K2798" s="61" t="str">
        <f aca="false">IF($P2798=0,"",IF($F2798="Baseline","— Baseline",IF($O2798=0,"No result",IF($N2798=0,"No Start (attainment only)",IF(OR($N2798=1,$O2798=1),"U – needs rule",INDEX(MxBody,MATCH($I2798,MxCurr,0),MATCH($H2798,MxStart,0)))))))</f>
        <v/>
      </c>
      <c r="L2798" s="62" t="str">
        <f aca="false">IF(COUNTA($A2798,$F2798,$G2798,$H2798,$I2798,$J2798)=0,"",IF($M2798=0,"✖ كود الصف غير موجود",IF(ISNA(MATCH($F2798,Lists!$A$2:$A$5,0)),"✖ الفترة غير صحيحة",IF(ISNA(MATCH($G2798,Lists!$B$2:$B$7,0)),"✖ المجموعة غير صحيحة",IF(NOT(OR($H2798="",$N2798&gt;0)),"✖ Start غير صحيح",IF(NOT(OR($I2798="",$I2798="NR",$O2798&gt;0)),"✖ Current غير صحيح",IF(NOT(IF(ISNUMBER($J2798),AND($J2798&gt;=0,$J2798=INT($J2798)),FALSE())),"✖ العدد يجب أن يكون صحيحًا ≥ 0",IF(AND($F2798="Baseline",$H2798&lt;&gt;""),"⚠ Baseline: Start لا يدخل في التقدم",IF($K2798="No Start (attainment only)","ℹ تحصيل فقط (بدون Start)",IF($K2798="U – needs rule","ℹ حالة U تحتاج قاعدة معتمدة",IF($K2798="No result","ℹ بدون نتيجة (يُستبعد من التحصيل)","OK")))))))))))</f>
        <v/>
      </c>
      <c r="M2798" s="64" t="n">
        <f aca="false">IF($A2798="",0,IFERROR(MATCH($A2798,Classes!$A$6:$A$420,0),0))</f>
        <v>0</v>
      </c>
      <c r="N2798" s="64" t="n">
        <f aca="false">IF($H2798="",0,IFERROR(MATCH($H2798,GradeList,0),0))</f>
        <v>0</v>
      </c>
      <c r="O2798" s="64" t="n">
        <f aca="false">IF(OR($I2798="",$I2798="NR"),0,IFERROR(MATCH($I2798,GradeList,0),0))</f>
        <v>0</v>
      </c>
      <c r="P2798" s="64" t="n">
        <f aca="false">IF(AND($M2798&gt;0,ISNUMBER(MATCH($F2798,Lists!$A$2:$A$5,0)),ISNUMBER(MATCH($G2798,Lists!$B$2:$B$7,0)),OR($H2798="",$N2798&gt;0),OR($I2798="",$I2798="NR",$O2798&gt;0),IF(ISNUMBER($J2798),AND($J2798&gt;=0,$J2798=INT($J2798)),FALSE())),$J2798,0)</f>
        <v>0</v>
      </c>
      <c r="Q2798" s="64" t="n">
        <f aca="false">IF(AND($P2798&gt;0,$O2798&gt;0),$P2798,0)</f>
        <v>0</v>
      </c>
      <c r="R2798" s="64" t="n">
        <f aca="false">IF(AND($Q2798&gt;0,$O2798&gt;=AtRank),$Q2798,0)</f>
        <v>0</v>
      </c>
      <c r="S2798" s="64" t="n">
        <f aca="false">IF(AND($Q2798&gt;0,$O2798&gt;=AboveRank),$Q2798,0)</f>
        <v>0</v>
      </c>
      <c r="T2798" s="64" t="n">
        <f aca="false">IF($K2798="Less",$P2798,0)</f>
        <v>0</v>
      </c>
      <c r="U2798" s="64" t="n">
        <f aca="false">IF($K2798="Expected",$P2798,0)</f>
        <v>0</v>
      </c>
      <c r="V2798" s="64" t="n">
        <f aca="false">IF($K2798="Better",$P2798,0)</f>
        <v>0</v>
      </c>
      <c r="W2798" s="64" t="n">
        <f aca="false">IF($K2798="U – needs rule",$P2798,0)</f>
        <v>0</v>
      </c>
      <c r="X2798" s="64" t="n">
        <f aca="false">IF($K2798="No Start (attainment only)",$P2798,0)</f>
        <v>0</v>
      </c>
    </row>
    <row r="2799" customFormat="false" ht="15" hidden="false" customHeight="false" outlineLevel="0" collapsed="false">
      <c r="A2799" s="60"/>
      <c r="B2799" s="61" t="str">
        <f aca="false">IF($M2799=0,"",INDEX(Classes!$E$6:$E$420,$M2799))</f>
        <v/>
      </c>
      <c r="C2799" s="62" t="str">
        <f aca="false">IF($M2799=0,"",INDEX(Classes!$H$6:$H$420,$M2799))</f>
        <v/>
      </c>
      <c r="D2799" s="61" t="str">
        <f aca="false">IF($M2799=0,"",INDEX(Classes!$B$6:$B$420,$M2799))</f>
        <v/>
      </c>
      <c r="E2799" s="61" t="str">
        <f aca="false">IF($M2799=0,"",INDEX(Classes!$C$6:$C$420,$M2799))</f>
        <v/>
      </c>
      <c r="F2799" s="63"/>
      <c r="G2799" s="63"/>
      <c r="H2799" s="60"/>
      <c r="I2799" s="60"/>
      <c r="J2799" s="63"/>
      <c r="K2799" s="61" t="str">
        <f aca="false">IF($P2799=0,"",IF($F2799="Baseline","— Baseline",IF($O2799=0,"No result",IF($N2799=0,"No Start (attainment only)",IF(OR($N2799=1,$O2799=1),"U – needs rule",INDEX(MxBody,MATCH($I2799,MxCurr,0),MATCH($H2799,MxStart,0)))))))</f>
        <v/>
      </c>
      <c r="L2799" s="62" t="str">
        <f aca="false">IF(COUNTA($A2799,$F2799,$G2799,$H2799,$I2799,$J2799)=0,"",IF($M2799=0,"✖ كود الصف غير موجود",IF(ISNA(MATCH($F2799,Lists!$A$2:$A$5,0)),"✖ الفترة غير صحيحة",IF(ISNA(MATCH($G2799,Lists!$B$2:$B$7,0)),"✖ المجموعة غير صحيحة",IF(NOT(OR($H2799="",$N2799&gt;0)),"✖ Start غير صحيح",IF(NOT(OR($I2799="",$I2799="NR",$O2799&gt;0)),"✖ Current غير صحيح",IF(NOT(IF(ISNUMBER($J2799),AND($J2799&gt;=0,$J2799=INT($J2799)),FALSE())),"✖ العدد يجب أن يكون صحيحًا ≥ 0",IF(AND($F2799="Baseline",$H2799&lt;&gt;""),"⚠ Baseline: Start لا يدخل في التقدم",IF($K2799="No Start (attainment only)","ℹ تحصيل فقط (بدون Start)",IF($K2799="U – needs rule","ℹ حالة U تحتاج قاعدة معتمدة",IF($K2799="No result","ℹ بدون نتيجة (يُستبعد من التحصيل)","OK")))))))))))</f>
        <v/>
      </c>
      <c r="M2799" s="64" t="n">
        <f aca="false">IF($A2799="",0,IFERROR(MATCH($A2799,Classes!$A$6:$A$420,0),0))</f>
        <v>0</v>
      </c>
      <c r="N2799" s="64" t="n">
        <f aca="false">IF($H2799="",0,IFERROR(MATCH($H2799,GradeList,0),0))</f>
        <v>0</v>
      </c>
      <c r="O2799" s="64" t="n">
        <f aca="false">IF(OR($I2799="",$I2799="NR"),0,IFERROR(MATCH($I2799,GradeList,0),0))</f>
        <v>0</v>
      </c>
      <c r="P2799" s="64" t="n">
        <f aca="false">IF(AND($M2799&gt;0,ISNUMBER(MATCH($F2799,Lists!$A$2:$A$5,0)),ISNUMBER(MATCH($G2799,Lists!$B$2:$B$7,0)),OR($H2799="",$N2799&gt;0),OR($I2799="",$I2799="NR",$O2799&gt;0),IF(ISNUMBER($J2799),AND($J2799&gt;=0,$J2799=INT($J2799)),FALSE())),$J2799,0)</f>
        <v>0</v>
      </c>
      <c r="Q2799" s="64" t="n">
        <f aca="false">IF(AND($P2799&gt;0,$O2799&gt;0),$P2799,0)</f>
        <v>0</v>
      </c>
      <c r="R2799" s="64" t="n">
        <f aca="false">IF(AND($Q2799&gt;0,$O2799&gt;=AtRank),$Q2799,0)</f>
        <v>0</v>
      </c>
      <c r="S2799" s="64" t="n">
        <f aca="false">IF(AND($Q2799&gt;0,$O2799&gt;=AboveRank),$Q2799,0)</f>
        <v>0</v>
      </c>
      <c r="T2799" s="64" t="n">
        <f aca="false">IF($K2799="Less",$P2799,0)</f>
        <v>0</v>
      </c>
      <c r="U2799" s="64" t="n">
        <f aca="false">IF($K2799="Expected",$P2799,0)</f>
        <v>0</v>
      </c>
      <c r="V2799" s="64" t="n">
        <f aca="false">IF($K2799="Better",$P2799,0)</f>
        <v>0</v>
      </c>
      <c r="W2799" s="64" t="n">
        <f aca="false">IF($K2799="U – needs rule",$P2799,0)</f>
        <v>0</v>
      </c>
      <c r="X2799" s="64" t="n">
        <f aca="false">IF($K2799="No Start (attainment only)",$P2799,0)</f>
        <v>0</v>
      </c>
    </row>
    <row r="2800" customFormat="false" ht="15" hidden="false" customHeight="false" outlineLevel="0" collapsed="false">
      <c r="A2800" s="60"/>
      <c r="B2800" s="61" t="str">
        <f aca="false">IF($M2800=0,"",INDEX(Classes!$E$6:$E$420,$M2800))</f>
        <v/>
      </c>
      <c r="C2800" s="62" t="str">
        <f aca="false">IF($M2800=0,"",INDEX(Classes!$H$6:$H$420,$M2800))</f>
        <v/>
      </c>
      <c r="D2800" s="61" t="str">
        <f aca="false">IF($M2800=0,"",INDEX(Classes!$B$6:$B$420,$M2800))</f>
        <v/>
      </c>
      <c r="E2800" s="61" t="str">
        <f aca="false">IF($M2800=0,"",INDEX(Classes!$C$6:$C$420,$M2800))</f>
        <v/>
      </c>
      <c r="F2800" s="63"/>
      <c r="G2800" s="63"/>
      <c r="H2800" s="60"/>
      <c r="I2800" s="60"/>
      <c r="J2800" s="63"/>
      <c r="K2800" s="61" t="str">
        <f aca="false">IF($P2800=0,"",IF($F2800="Baseline","— Baseline",IF($O2800=0,"No result",IF($N2800=0,"No Start (attainment only)",IF(OR($N2800=1,$O2800=1),"U – needs rule",INDEX(MxBody,MATCH($I2800,MxCurr,0),MATCH($H2800,MxStart,0)))))))</f>
        <v/>
      </c>
      <c r="L2800" s="62" t="str">
        <f aca="false">IF(COUNTA($A2800,$F2800,$G2800,$H2800,$I2800,$J2800)=0,"",IF($M2800=0,"✖ كود الصف غير موجود",IF(ISNA(MATCH($F2800,Lists!$A$2:$A$5,0)),"✖ الفترة غير صحيحة",IF(ISNA(MATCH($G2800,Lists!$B$2:$B$7,0)),"✖ المجموعة غير صحيحة",IF(NOT(OR($H2800="",$N2800&gt;0)),"✖ Start غير صحيح",IF(NOT(OR($I2800="",$I2800="NR",$O2800&gt;0)),"✖ Current غير صحيح",IF(NOT(IF(ISNUMBER($J2800),AND($J2800&gt;=0,$J2800=INT($J2800)),FALSE())),"✖ العدد يجب أن يكون صحيحًا ≥ 0",IF(AND($F2800="Baseline",$H2800&lt;&gt;""),"⚠ Baseline: Start لا يدخل في التقدم",IF($K2800="No Start (attainment only)","ℹ تحصيل فقط (بدون Start)",IF($K2800="U – needs rule","ℹ حالة U تحتاج قاعدة معتمدة",IF($K2800="No result","ℹ بدون نتيجة (يُستبعد من التحصيل)","OK")))))))))))</f>
        <v/>
      </c>
      <c r="M2800" s="64" t="n">
        <f aca="false">IF($A2800="",0,IFERROR(MATCH($A2800,Classes!$A$6:$A$420,0),0))</f>
        <v>0</v>
      </c>
      <c r="N2800" s="64" t="n">
        <f aca="false">IF($H2800="",0,IFERROR(MATCH($H2800,GradeList,0),0))</f>
        <v>0</v>
      </c>
      <c r="O2800" s="64" t="n">
        <f aca="false">IF(OR($I2800="",$I2800="NR"),0,IFERROR(MATCH($I2800,GradeList,0),0))</f>
        <v>0</v>
      </c>
      <c r="P2800" s="64" t="n">
        <f aca="false">IF(AND($M2800&gt;0,ISNUMBER(MATCH($F2800,Lists!$A$2:$A$5,0)),ISNUMBER(MATCH($G2800,Lists!$B$2:$B$7,0)),OR($H2800="",$N2800&gt;0),OR($I2800="",$I2800="NR",$O2800&gt;0),IF(ISNUMBER($J2800),AND($J2800&gt;=0,$J2800=INT($J2800)),FALSE())),$J2800,0)</f>
        <v>0</v>
      </c>
      <c r="Q2800" s="64" t="n">
        <f aca="false">IF(AND($P2800&gt;0,$O2800&gt;0),$P2800,0)</f>
        <v>0</v>
      </c>
      <c r="R2800" s="64" t="n">
        <f aca="false">IF(AND($Q2800&gt;0,$O2800&gt;=AtRank),$Q2800,0)</f>
        <v>0</v>
      </c>
      <c r="S2800" s="64" t="n">
        <f aca="false">IF(AND($Q2800&gt;0,$O2800&gt;=AboveRank),$Q2800,0)</f>
        <v>0</v>
      </c>
      <c r="T2800" s="64" t="n">
        <f aca="false">IF($K2800="Less",$P2800,0)</f>
        <v>0</v>
      </c>
      <c r="U2800" s="64" t="n">
        <f aca="false">IF($K2800="Expected",$P2800,0)</f>
        <v>0</v>
      </c>
      <c r="V2800" s="64" t="n">
        <f aca="false">IF($K2800="Better",$P2800,0)</f>
        <v>0</v>
      </c>
      <c r="W2800" s="64" t="n">
        <f aca="false">IF($K2800="U – needs rule",$P2800,0)</f>
        <v>0</v>
      </c>
      <c r="X2800" s="64" t="n">
        <f aca="false">IF($K2800="No Start (attainment only)",$P2800,0)</f>
        <v>0</v>
      </c>
    </row>
    <row r="2801" customFormat="false" ht="15" hidden="false" customHeight="false" outlineLevel="0" collapsed="false">
      <c r="A2801" s="60"/>
      <c r="B2801" s="61" t="str">
        <f aca="false">IF($M2801=0,"",INDEX(Classes!$E$6:$E$420,$M2801))</f>
        <v/>
      </c>
      <c r="C2801" s="62" t="str">
        <f aca="false">IF($M2801=0,"",INDEX(Classes!$H$6:$H$420,$M2801))</f>
        <v/>
      </c>
      <c r="D2801" s="61" t="str">
        <f aca="false">IF($M2801=0,"",INDEX(Classes!$B$6:$B$420,$M2801))</f>
        <v/>
      </c>
      <c r="E2801" s="61" t="str">
        <f aca="false">IF($M2801=0,"",INDEX(Classes!$C$6:$C$420,$M2801))</f>
        <v/>
      </c>
      <c r="F2801" s="63"/>
      <c r="G2801" s="63"/>
      <c r="H2801" s="60"/>
      <c r="I2801" s="60"/>
      <c r="J2801" s="63"/>
      <c r="K2801" s="61" t="str">
        <f aca="false">IF($P2801=0,"",IF($F2801="Baseline","— Baseline",IF($O2801=0,"No result",IF($N2801=0,"No Start (attainment only)",IF(OR($N2801=1,$O2801=1),"U – needs rule",INDEX(MxBody,MATCH($I2801,MxCurr,0),MATCH($H2801,MxStart,0)))))))</f>
        <v/>
      </c>
      <c r="L2801" s="62" t="str">
        <f aca="false">IF(COUNTA($A2801,$F2801,$G2801,$H2801,$I2801,$J2801)=0,"",IF($M2801=0,"✖ كود الصف غير موجود",IF(ISNA(MATCH($F2801,Lists!$A$2:$A$5,0)),"✖ الفترة غير صحيحة",IF(ISNA(MATCH($G2801,Lists!$B$2:$B$7,0)),"✖ المجموعة غير صحيحة",IF(NOT(OR($H2801="",$N2801&gt;0)),"✖ Start غير صحيح",IF(NOT(OR($I2801="",$I2801="NR",$O2801&gt;0)),"✖ Current غير صحيح",IF(NOT(IF(ISNUMBER($J2801),AND($J2801&gt;=0,$J2801=INT($J2801)),FALSE())),"✖ العدد يجب أن يكون صحيحًا ≥ 0",IF(AND($F2801="Baseline",$H2801&lt;&gt;""),"⚠ Baseline: Start لا يدخل في التقدم",IF($K2801="No Start (attainment only)","ℹ تحصيل فقط (بدون Start)",IF($K2801="U – needs rule","ℹ حالة U تحتاج قاعدة معتمدة",IF($K2801="No result","ℹ بدون نتيجة (يُستبعد من التحصيل)","OK")))))))))))</f>
        <v/>
      </c>
      <c r="M2801" s="64" t="n">
        <f aca="false">IF($A2801="",0,IFERROR(MATCH($A2801,Classes!$A$6:$A$420,0),0))</f>
        <v>0</v>
      </c>
      <c r="N2801" s="64" t="n">
        <f aca="false">IF($H2801="",0,IFERROR(MATCH($H2801,GradeList,0),0))</f>
        <v>0</v>
      </c>
      <c r="O2801" s="64" t="n">
        <f aca="false">IF(OR($I2801="",$I2801="NR"),0,IFERROR(MATCH($I2801,GradeList,0),0))</f>
        <v>0</v>
      </c>
      <c r="P2801" s="64" t="n">
        <f aca="false">IF(AND($M2801&gt;0,ISNUMBER(MATCH($F2801,Lists!$A$2:$A$5,0)),ISNUMBER(MATCH($G2801,Lists!$B$2:$B$7,0)),OR($H2801="",$N2801&gt;0),OR($I2801="",$I2801="NR",$O2801&gt;0),IF(ISNUMBER($J2801),AND($J2801&gt;=0,$J2801=INT($J2801)),FALSE())),$J2801,0)</f>
        <v>0</v>
      </c>
      <c r="Q2801" s="64" t="n">
        <f aca="false">IF(AND($P2801&gt;0,$O2801&gt;0),$P2801,0)</f>
        <v>0</v>
      </c>
      <c r="R2801" s="64" t="n">
        <f aca="false">IF(AND($Q2801&gt;0,$O2801&gt;=AtRank),$Q2801,0)</f>
        <v>0</v>
      </c>
      <c r="S2801" s="64" t="n">
        <f aca="false">IF(AND($Q2801&gt;0,$O2801&gt;=AboveRank),$Q2801,0)</f>
        <v>0</v>
      </c>
      <c r="T2801" s="64" t="n">
        <f aca="false">IF($K2801="Less",$P2801,0)</f>
        <v>0</v>
      </c>
      <c r="U2801" s="64" t="n">
        <f aca="false">IF($K2801="Expected",$P2801,0)</f>
        <v>0</v>
      </c>
      <c r="V2801" s="64" t="n">
        <f aca="false">IF($K2801="Better",$P2801,0)</f>
        <v>0</v>
      </c>
      <c r="W2801" s="64" t="n">
        <f aca="false">IF($K2801="U – needs rule",$P2801,0)</f>
        <v>0</v>
      </c>
      <c r="X2801" s="64" t="n">
        <f aca="false">IF($K2801="No Start (attainment only)",$P2801,0)</f>
        <v>0</v>
      </c>
    </row>
    <row r="2802" customFormat="false" ht="15" hidden="false" customHeight="false" outlineLevel="0" collapsed="false">
      <c r="A2802" s="60"/>
      <c r="B2802" s="61" t="str">
        <f aca="false">IF($M2802=0,"",INDEX(Classes!$E$6:$E$420,$M2802))</f>
        <v/>
      </c>
      <c r="C2802" s="62" t="str">
        <f aca="false">IF($M2802=0,"",INDEX(Classes!$H$6:$H$420,$M2802))</f>
        <v/>
      </c>
      <c r="D2802" s="61" t="str">
        <f aca="false">IF($M2802=0,"",INDEX(Classes!$B$6:$B$420,$M2802))</f>
        <v/>
      </c>
      <c r="E2802" s="61" t="str">
        <f aca="false">IF($M2802=0,"",INDEX(Classes!$C$6:$C$420,$M2802))</f>
        <v/>
      </c>
      <c r="F2802" s="63"/>
      <c r="G2802" s="63"/>
      <c r="H2802" s="60"/>
      <c r="I2802" s="60"/>
      <c r="J2802" s="63"/>
      <c r="K2802" s="61" t="str">
        <f aca="false">IF($P2802=0,"",IF($F2802="Baseline","— Baseline",IF($O2802=0,"No result",IF($N2802=0,"No Start (attainment only)",IF(OR($N2802=1,$O2802=1),"U – needs rule",INDEX(MxBody,MATCH($I2802,MxCurr,0),MATCH($H2802,MxStart,0)))))))</f>
        <v/>
      </c>
      <c r="L2802" s="62" t="str">
        <f aca="false">IF(COUNTA($A2802,$F2802,$G2802,$H2802,$I2802,$J2802)=0,"",IF($M2802=0,"✖ كود الصف غير موجود",IF(ISNA(MATCH($F2802,Lists!$A$2:$A$5,0)),"✖ الفترة غير صحيحة",IF(ISNA(MATCH($G2802,Lists!$B$2:$B$7,0)),"✖ المجموعة غير صحيحة",IF(NOT(OR($H2802="",$N2802&gt;0)),"✖ Start غير صحيح",IF(NOT(OR($I2802="",$I2802="NR",$O2802&gt;0)),"✖ Current غير صحيح",IF(NOT(IF(ISNUMBER($J2802),AND($J2802&gt;=0,$J2802=INT($J2802)),FALSE())),"✖ العدد يجب أن يكون صحيحًا ≥ 0",IF(AND($F2802="Baseline",$H2802&lt;&gt;""),"⚠ Baseline: Start لا يدخل في التقدم",IF($K2802="No Start (attainment only)","ℹ تحصيل فقط (بدون Start)",IF($K2802="U – needs rule","ℹ حالة U تحتاج قاعدة معتمدة",IF($K2802="No result","ℹ بدون نتيجة (يُستبعد من التحصيل)","OK")))))))))))</f>
        <v/>
      </c>
      <c r="M2802" s="64" t="n">
        <f aca="false">IF($A2802="",0,IFERROR(MATCH($A2802,Classes!$A$6:$A$420,0),0))</f>
        <v>0</v>
      </c>
      <c r="N2802" s="64" t="n">
        <f aca="false">IF($H2802="",0,IFERROR(MATCH($H2802,GradeList,0),0))</f>
        <v>0</v>
      </c>
      <c r="O2802" s="64" t="n">
        <f aca="false">IF(OR($I2802="",$I2802="NR"),0,IFERROR(MATCH($I2802,GradeList,0),0))</f>
        <v>0</v>
      </c>
      <c r="P2802" s="64" t="n">
        <f aca="false">IF(AND($M2802&gt;0,ISNUMBER(MATCH($F2802,Lists!$A$2:$A$5,0)),ISNUMBER(MATCH($G2802,Lists!$B$2:$B$7,0)),OR($H2802="",$N2802&gt;0),OR($I2802="",$I2802="NR",$O2802&gt;0),IF(ISNUMBER($J2802),AND($J2802&gt;=0,$J2802=INT($J2802)),FALSE())),$J2802,0)</f>
        <v>0</v>
      </c>
      <c r="Q2802" s="64" t="n">
        <f aca="false">IF(AND($P2802&gt;0,$O2802&gt;0),$P2802,0)</f>
        <v>0</v>
      </c>
      <c r="R2802" s="64" t="n">
        <f aca="false">IF(AND($Q2802&gt;0,$O2802&gt;=AtRank),$Q2802,0)</f>
        <v>0</v>
      </c>
      <c r="S2802" s="64" t="n">
        <f aca="false">IF(AND($Q2802&gt;0,$O2802&gt;=AboveRank),$Q2802,0)</f>
        <v>0</v>
      </c>
      <c r="T2802" s="64" t="n">
        <f aca="false">IF($K2802="Less",$P2802,0)</f>
        <v>0</v>
      </c>
      <c r="U2802" s="64" t="n">
        <f aca="false">IF($K2802="Expected",$P2802,0)</f>
        <v>0</v>
      </c>
      <c r="V2802" s="64" t="n">
        <f aca="false">IF($K2802="Better",$P2802,0)</f>
        <v>0</v>
      </c>
      <c r="W2802" s="64" t="n">
        <f aca="false">IF($K2802="U – needs rule",$P2802,0)</f>
        <v>0</v>
      </c>
      <c r="X2802" s="64" t="n">
        <f aca="false">IF($K2802="No Start (attainment only)",$P2802,0)</f>
        <v>0</v>
      </c>
    </row>
    <row r="2803" customFormat="false" ht="15" hidden="false" customHeight="false" outlineLevel="0" collapsed="false">
      <c r="A2803" s="60"/>
      <c r="B2803" s="61" t="str">
        <f aca="false">IF($M2803=0,"",INDEX(Classes!$E$6:$E$420,$M2803))</f>
        <v/>
      </c>
      <c r="C2803" s="62" t="str">
        <f aca="false">IF($M2803=0,"",INDEX(Classes!$H$6:$H$420,$M2803))</f>
        <v/>
      </c>
      <c r="D2803" s="61" t="str">
        <f aca="false">IF($M2803=0,"",INDEX(Classes!$B$6:$B$420,$M2803))</f>
        <v/>
      </c>
      <c r="E2803" s="61" t="str">
        <f aca="false">IF($M2803=0,"",INDEX(Classes!$C$6:$C$420,$M2803))</f>
        <v/>
      </c>
      <c r="F2803" s="63"/>
      <c r="G2803" s="63"/>
      <c r="H2803" s="60"/>
      <c r="I2803" s="60"/>
      <c r="J2803" s="63"/>
      <c r="K2803" s="61" t="str">
        <f aca="false">IF($P2803=0,"",IF($F2803="Baseline","— Baseline",IF($O2803=0,"No result",IF($N2803=0,"No Start (attainment only)",IF(OR($N2803=1,$O2803=1),"U – needs rule",INDEX(MxBody,MATCH($I2803,MxCurr,0),MATCH($H2803,MxStart,0)))))))</f>
        <v/>
      </c>
      <c r="L2803" s="62" t="str">
        <f aca="false">IF(COUNTA($A2803,$F2803,$G2803,$H2803,$I2803,$J2803)=0,"",IF($M2803=0,"✖ كود الصف غير موجود",IF(ISNA(MATCH($F2803,Lists!$A$2:$A$5,0)),"✖ الفترة غير صحيحة",IF(ISNA(MATCH($G2803,Lists!$B$2:$B$7,0)),"✖ المجموعة غير صحيحة",IF(NOT(OR($H2803="",$N2803&gt;0)),"✖ Start غير صحيح",IF(NOT(OR($I2803="",$I2803="NR",$O2803&gt;0)),"✖ Current غير صحيح",IF(NOT(IF(ISNUMBER($J2803),AND($J2803&gt;=0,$J2803=INT($J2803)),FALSE())),"✖ العدد يجب أن يكون صحيحًا ≥ 0",IF(AND($F2803="Baseline",$H2803&lt;&gt;""),"⚠ Baseline: Start لا يدخل في التقدم",IF($K2803="No Start (attainment only)","ℹ تحصيل فقط (بدون Start)",IF($K2803="U – needs rule","ℹ حالة U تحتاج قاعدة معتمدة",IF($K2803="No result","ℹ بدون نتيجة (يُستبعد من التحصيل)","OK")))))))))))</f>
        <v/>
      </c>
      <c r="M2803" s="64" t="n">
        <f aca="false">IF($A2803="",0,IFERROR(MATCH($A2803,Classes!$A$6:$A$420,0),0))</f>
        <v>0</v>
      </c>
      <c r="N2803" s="64" t="n">
        <f aca="false">IF($H2803="",0,IFERROR(MATCH($H2803,GradeList,0),0))</f>
        <v>0</v>
      </c>
      <c r="O2803" s="64" t="n">
        <f aca="false">IF(OR($I2803="",$I2803="NR"),0,IFERROR(MATCH($I2803,GradeList,0),0))</f>
        <v>0</v>
      </c>
      <c r="P2803" s="64" t="n">
        <f aca="false">IF(AND($M2803&gt;0,ISNUMBER(MATCH($F2803,Lists!$A$2:$A$5,0)),ISNUMBER(MATCH($G2803,Lists!$B$2:$B$7,0)),OR($H2803="",$N2803&gt;0),OR($I2803="",$I2803="NR",$O2803&gt;0),IF(ISNUMBER($J2803),AND($J2803&gt;=0,$J2803=INT($J2803)),FALSE())),$J2803,0)</f>
        <v>0</v>
      </c>
      <c r="Q2803" s="64" t="n">
        <f aca="false">IF(AND($P2803&gt;0,$O2803&gt;0),$P2803,0)</f>
        <v>0</v>
      </c>
      <c r="R2803" s="64" t="n">
        <f aca="false">IF(AND($Q2803&gt;0,$O2803&gt;=AtRank),$Q2803,0)</f>
        <v>0</v>
      </c>
      <c r="S2803" s="64" t="n">
        <f aca="false">IF(AND($Q2803&gt;0,$O2803&gt;=AboveRank),$Q2803,0)</f>
        <v>0</v>
      </c>
      <c r="T2803" s="64" t="n">
        <f aca="false">IF($K2803="Less",$P2803,0)</f>
        <v>0</v>
      </c>
      <c r="U2803" s="64" t="n">
        <f aca="false">IF($K2803="Expected",$P2803,0)</f>
        <v>0</v>
      </c>
      <c r="V2803" s="64" t="n">
        <f aca="false">IF($K2803="Better",$P2803,0)</f>
        <v>0</v>
      </c>
      <c r="W2803" s="64" t="n">
        <f aca="false">IF($K2803="U – needs rule",$P2803,0)</f>
        <v>0</v>
      </c>
      <c r="X2803" s="64" t="n">
        <f aca="false">IF($K2803="No Start (attainment only)",$P2803,0)</f>
        <v>0</v>
      </c>
    </row>
    <row r="2804" customFormat="false" ht="15" hidden="false" customHeight="false" outlineLevel="0" collapsed="false">
      <c r="A2804" s="60"/>
      <c r="B2804" s="61" t="str">
        <f aca="false">IF($M2804=0,"",INDEX(Classes!$E$6:$E$420,$M2804))</f>
        <v/>
      </c>
      <c r="C2804" s="62" t="str">
        <f aca="false">IF($M2804=0,"",INDEX(Classes!$H$6:$H$420,$M2804))</f>
        <v/>
      </c>
      <c r="D2804" s="61" t="str">
        <f aca="false">IF($M2804=0,"",INDEX(Classes!$B$6:$B$420,$M2804))</f>
        <v/>
      </c>
      <c r="E2804" s="61" t="str">
        <f aca="false">IF($M2804=0,"",INDEX(Classes!$C$6:$C$420,$M2804))</f>
        <v/>
      </c>
      <c r="F2804" s="63"/>
      <c r="G2804" s="63"/>
      <c r="H2804" s="60"/>
      <c r="I2804" s="60"/>
      <c r="J2804" s="63"/>
      <c r="K2804" s="61" t="str">
        <f aca="false">IF($P2804=0,"",IF($F2804="Baseline","— Baseline",IF($O2804=0,"No result",IF($N2804=0,"No Start (attainment only)",IF(OR($N2804=1,$O2804=1),"U – needs rule",INDEX(MxBody,MATCH($I2804,MxCurr,0),MATCH($H2804,MxStart,0)))))))</f>
        <v/>
      </c>
      <c r="L2804" s="62" t="str">
        <f aca="false">IF(COUNTA($A2804,$F2804,$G2804,$H2804,$I2804,$J2804)=0,"",IF($M2804=0,"✖ كود الصف غير موجود",IF(ISNA(MATCH($F2804,Lists!$A$2:$A$5,0)),"✖ الفترة غير صحيحة",IF(ISNA(MATCH($G2804,Lists!$B$2:$B$7,0)),"✖ المجموعة غير صحيحة",IF(NOT(OR($H2804="",$N2804&gt;0)),"✖ Start غير صحيح",IF(NOT(OR($I2804="",$I2804="NR",$O2804&gt;0)),"✖ Current غير صحيح",IF(NOT(IF(ISNUMBER($J2804),AND($J2804&gt;=0,$J2804=INT($J2804)),FALSE())),"✖ العدد يجب أن يكون صحيحًا ≥ 0",IF(AND($F2804="Baseline",$H2804&lt;&gt;""),"⚠ Baseline: Start لا يدخل في التقدم",IF($K2804="No Start (attainment only)","ℹ تحصيل فقط (بدون Start)",IF($K2804="U – needs rule","ℹ حالة U تحتاج قاعدة معتمدة",IF($K2804="No result","ℹ بدون نتيجة (يُستبعد من التحصيل)","OK")))))))))))</f>
        <v/>
      </c>
      <c r="M2804" s="64" t="n">
        <f aca="false">IF($A2804="",0,IFERROR(MATCH($A2804,Classes!$A$6:$A$420,0),0))</f>
        <v>0</v>
      </c>
      <c r="N2804" s="64" t="n">
        <f aca="false">IF($H2804="",0,IFERROR(MATCH($H2804,GradeList,0),0))</f>
        <v>0</v>
      </c>
      <c r="O2804" s="64" t="n">
        <f aca="false">IF(OR($I2804="",$I2804="NR"),0,IFERROR(MATCH($I2804,GradeList,0),0))</f>
        <v>0</v>
      </c>
      <c r="P2804" s="64" t="n">
        <f aca="false">IF(AND($M2804&gt;0,ISNUMBER(MATCH($F2804,Lists!$A$2:$A$5,0)),ISNUMBER(MATCH($G2804,Lists!$B$2:$B$7,0)),OR($H2804="",$N2804&gt;0),OR($I2804="",$I2804="NR",$O2804&gt;0),IF(ISNUMBER($J2804),AND($J2804&gt;=0,$J2804=INT($J2804)),FALSE())),$J2804,0)</f>
        <v>0</v>
      </c>
      <c r="Q2804" s="64" t="n">
        <f aca="false">IF(AND($P2804&gt;0,$O2804&gt;0),$P2804,0)</f>
        <v>0</v>
      </c>
      <c r="R2804" s="64" t="n">
        <f aca="false">IF(AND($Q2804&gt;0,$O2804&gt;=AtRank),$Q2804,0)</f>
        <v>0</v>
      </c>
      <c r="S2804" s="64" t="n">
        <f aca="false">IF(AND($Q2804&gt;0,$O2804&gt;=AboveRank),$Q2804,0)</f>
        <v>0</v>
      </c>
      <c r="T2804" s="64" t="n">
        <f aca="false">IF($K2804="Less",$P2804,0)</f>
        <v>0</v>
      </c>
      <c r="U2804" s="64" t="n">
        <f aca="false">IF($K2804="Expected",$P2804,0)</f>
        <v>0</v>
      </c>
      <c r="V2804" s="64" t="n">
        <f aca="false">IF($K2804="Better",$P2804,0)</f>
        <v>0</v>
      </c>
      <c r="W2804" s="64" t="n">
        <f aca="false">IF($K2804="U – needs rule",$P2804,0)</f>
        <v>0</v>
      </c>
      <c r="X2804" s="64" t="n">
        <f aca="false">IF($K2804="No Start (attainment only)",$P2804,0)</f>
        <v>0</v>
      </c>
    </row>
    <row r="2805" customFormat="false" ht="15" hidden="false" customHeight="false" outlineLevel="0" collapsed="false">
      <c r="A2805" s="60"/>
      <c r="B2805" s="61" t="str">
        <f aca="false">IF($M2805=0,"",INDEX(Classes!$E$6:$E$420,$M2805))</f>
        <v/>
      </c>
      <c r="C2805" s="62" t="str">
        <f aca="false">IF($M2805=0,"",INDEX(Classes!$H$6:$H$420,$M2805))</f>
        <v/>
      </c>
      <c r="D2805" s="61" t="str">
        <f aca="false">IF($M2805=0,"",INDEX(Classes!$B$6:$B$420,$M2805))</f>
        <v/>
      </c>
      <c r="E2805" s="61" t="str">
        <f aca="false">IF($M2805=0,"",INDEX(Classes!$C$6:$C$420,$M2805))</f>
        <v/>
      </c>
      <c r="F2805" s="63"/>
      <c r="G2805" s="63"/>
      <c r="H2805" s="60"/>
      <c r="I2805" s="60"/>
      <c r="J2805" s="63"/>
      <c r="K2805" s="61" t="str">
        <f aca="false">IF($P2805=0,"",IF($F2805="Baseline","— Baseline",IF($O2805=0,"No result",IF($N2805=0,"No Start (attainment only)",IF(OR($N2805=1,$O2805=1),"U – needs rule",INDEX(MxBody,MATCH($I2805,MxCurr,0),MATCH($H2805,MxStart,0)))))))</f>
        <v/>
      </c>
      <c r="L2805" s="62" t="str">
        <f aca="false">IF(COUNTA($A2805,$F2805,$G2805,$H2805,$I2805,$J2805)=0,"",IF($M2805=0,"✖ كود الصف غير موجود",IF(ISNA(MATCH($F2805,Lists!$A$2:$A$5,0)),"✖ الفترة غير صحيحة",IF(ISNA(MATCH($G2805,Lists!$B$2:$B$7,0)),"✖ المجموعة غير صحيحة",IF(NOT(OR($H2805="",$N2805&gt;0)),"✖ Start غير صحيح",IF(NOT(OR($I2805="",$I2805="NR",$O2805&gt;0)),"✖ Current غير صحيح",IF(NOT(IF(ISNUMBER($J2805),AND($J2805&gt;=0,$J2805=INT($J2805)),FALSE())),"✖ العدد يجب أن يكون صحيحًا ≥ 0",IF(AND($F2805="Baseline",$H2805&lt;&gt;""),"⚠ Baseline: Start لا يدخل في التقدم",IF($K2805="No Start (attainment only)","ℹ تحصيل فقط (بدون Start)",IF($K2805="U – needs rule","ℹ حالة U تحتاج قاعدة معتمدة",IF($K2805="No result","ℹ بدون نتيجة (يُستبعد من التحصيل)","OK")))))))))))</f>
        <v/>
      </c>
      <c r="M2805" s="64" t="n">
        <f aca="false">IF($A2805="",0,IFERROR(MATCH($A2805,Classes!$A$6:$A$420,0),0))</f>
        <v>0</v>
      </c>
      <c r="N2805" s="64" t="n">
        <f aca="false">IF($H2805="",0,IFERROR(MATCH($H2805,GradeList,0),0))</f>
        <v>0</v>
      </c>
      <c r="O2805" s="64" t="n">
        <f aca="false">IF(OR($I2805="",$I2805="NR"),0,IFERROR(MATCH($I2805,GradeList,0),0))</f>
        <v>0</v>
      </c>
      <c r="P2805" s="64" t="n">
        <f aca="false">IF(AND($M2805&gt;0,ISNUMBER(MATCH($F2805,Lists!$A$2:$A$5,0)),ISNUMBER(MATCH($G2805,Lists!$B$2:$B$7,0)),OR($H2805="",$N2805&gt;0),OR($I2805="",$I2805="NR",$O2805&gt;0),IF(ISNUMBER($J2805),AND($J2805&gt;=0,$J2805=INT($J2805)),FALSE())),$J2805,0)</f>
        <v>0</v>
      </c>
      <c r="Q2805" s="64" t="n">
        <f aca="false">IF(AND($P2805&gt;0,$O2805&gt;0),$P2805,0)</f>
        <v>0</v>
      </c>
      <c r="R2805" s="64" t="n">
        <f aca="false">IF(AND($Q2805&gt;0,$O2805&gt;=AtRank),$Q2805,0)</f>
        <v>0</v>
      </c>
      <c r="S2805" s="64" t="n">
        <f aca="false">IF(AND($Q2805&gt;0,$O2805&gt;=AboveRank),$Q2805,0)</f>
        <v>0</v>
      </c>
      <c r="T2805" s="64" t="n">
        <f aca="false">IF($K2805="Less",$P2805,0)</f>
        <v>0</v>
      </c>
      <c r="U2805" s="64" t="n">
        <f aca="false">IF($K2805="Expected",$P2805,0)</f>
        <v>0</v>
      </c>
      <c r="V2805" s="64" t="n">
        <f aca="false">IF($K2805="Better",$P2805,0)</f>
        <v>0</v>
      </c>
      <c r="W2805" s="64" t="n">
        <f aca="false">IF($K2805="U – needs rule",$P2805,0)</f>
        <v>0</v>
      </c>
      <c r="X2805" s="64" t="n">
        <f aca="false">IF($K2805="No Start (attainment only)",$P2805,0)</f>
        <v>0</v>
      </c>
    </row>
    <row r="2806" customFormat="false" ht="15" hidden="false" customHeight="false" outlineLevel="0" collapsed="false">
      <c r="A2806" s="60"/>
      <c r="B2806" s="61" t="str">
        <f aca="false">IF($M2806=0,"",INDEX(Classes!$E$6:$E$420,$M2806))</f>
        <v/>
      </c>
      <c r="C2806" s="62" t="str">
        <f aca="false">IF($M2806=0,"",INDEX(Classes!$H$6:$H$420,$M2806))</f>
        <v/>
      </c>
      <c r="D2806" s="61" t="str">
        <f aca="false">IF($M2806=0,"",INDEX(Classes!$B$6:$B$420,$M2806))</f>
        <v/>
      </c>
      <c r="E2806" s="61" t="str">
        <f aca="false">IF($M2806=0,"",INDEX(Classes!$C$6:$C$420,$M2806))</f>
        <v/>
      </c>
      <c r="F2806" s="63"/>
      <c r="G2806" s="63"/>
      <c r="H2806" s="60"/>
      <c r="I2806" s="60"/>
      <c r="J2806" s="63"/>
      <c r="K2806" s="61" t="str">
        <f aca="false">IF($P2806=0,"",IF($F2806="Baseline","— Baseline",IF($O2806=0,"No result",IF($N2806=0,"No Start (attainment only)",IF(OR($N2806=1,$O2806=1),"U – needs rule",INDEX(MxBody,MATCH($I2806,MxCurr,0),MATCH($H2806,MxStart,0)))))))</f>
        <v/>
      </c>
      <c r="L2806" s="62" t="str">
        <f aca="false">IF(COUNTA($A2806,$F2806,$G2806,$H2806,$I2806,$J2806)=0,"",IF($M2806=0,"✖ كود الصف غير موجود",IF(ISNA(MATCH($F2806,Lists!$A$2:$A$5,0)),"✖ الفترة غير صحيحة",IF(ISNA(MATCH($G2806,Lists!$B$2:$B$7,0)),"✖ المجموعة غير صحيحة",IF(NOT(OR($H2806="",$N2806&gt;0)),"✖ Start غير صحيح",IF(NOT(OR($I2806="",$I2806="NR",$O2806&gt;0)),"✖ Current غير صحيح",IF(NOT(IF(ISNUMBER($J2806),AND($J2806&gt;=0,$J2806=INT($J2806)),FALSE())),"✖ العدد يجب أن يكون صحيحًا ≥ 0",IF(AND($F2806="Baseline",$H2806&lt;&gt;""),"⚠ Baseline: Start لا يدخل في التقدم",IF($K2806="No Start (attainment only)","ℹ تحصيل فقط (بدون Start)",IF($K2806="U – needs rule","ℹ حالة U تحتاج قاعدة معتمدة",IF($K2806="No result","ℹ بدون نتيجة (يُستبعد من التحصيل)","OK")))))))))))</f>
        <v/>
      </c>
      <c r="M2806" s="64" t="n">
        <f aca="false">IF($A2806="",0,IFERROR(MATCH($A2806,Classes!$A$6:$A$420,0),0))</f>
        <v>0</v>
      </c>
      <c r="N2806" s="64" t="n">
        <f aca="false">IF($H2806="",0,IFERROR(MATCH($H2806,GradeList,0),0))</f>
        <v>0</v>
      </c>
      <c r="O2806" s="64" t="n">
        <f aca="false">IF(OR($I2806="",$I2806="NR"),0,IFERROR(MATCH($I2806,GradeList,0),0))</f>
        <v>0</v>
      </c>
      <c r="P2806" s="64" t="n">
        <f aca="false">IF(AND($M2806&gt;0,ISNUMBER(MATCH($F2806,Lists!$A$2:$A$5,0)),ISNUMBER(MATCH($G2806,Lists!$B$2:$B$7,0)),OR($H2806="",$N2806&gt;0),OR($I2806="",$I2806="NR",$O2806&gt;0),IF(ISNUMBER($J2806),AND($J2806&gt;=0,$J2806=INT($J2806)),FALSE())),$J2806,0)</f>
        <v>0</v>
      </c>
      <c r="Q2806" s="64" t="n">
        <f aca="false">IF(AND($P2806&gt;0,$O2806&gt;0),$P2806,0)</f>
        <v>0</v>
      </c>
      <c r="R2806" s="64" t="n">
        <f aca="false">IF(AND($Q2806&gt;0,$O2806&gt;=AtRank),$Q2806,0)</f>
        <v>0</v>
      </c>
      <c r="S2806" s="64" t="n">
        <f aca="false">IF(AND($Q2806&gt;0,$O2806&gt;=AboveRank),$Q2806,0)</f>
        <v>0</v>
      </c>
      <c r="T2806" s="64" t="n">
        <f aca="false">IF($K2806="Less",$P2806,0)</f>
        <v>0</v>
      </c>
      <c r="U2806" s="64" t="n">
        <f aca="false">IF($K2806="Expected",$P2806,0)</f>
        <v>0</v>
      </c>
      <c r="V2806" s="64" t="n">
        <f aca="false">IF($K2806="Better",$P2806,0)</f>
        <v>0</v>
      </c>
      <c r="W2806" s="64" t="n">
        <f aca="false">IF($K2806="U – needs rule",$P2806,0)</f>
        <v>0</v>
      </c>
      <c r="X2806" s="64" t="n">
        <f aca="false">IF($K2806="No Start (attainment only)",$P2806,0)</f>
        <v>0</v>
      </c>
    </row>
    <row r="2807" customFormat="false" ht="15" hidden="false" customHeight="false" outlineLevel="0" collapsed="false">
      <c r="A2807" s="60"/>
      <c r="B2807" s="61" t="str">
        <f aca="false">IF($M2807=0,"",INDEX(Classes!$E$6:$E$420,$M2807))</f>
        <v/>
      </c>
      <c r="C2807" s="62" t="str">
        <f aca="false">IF($M2807=0,"",INDEX(Classes!$H$6:$H$420,$M2807))</f>
        <v/>
      </c>
      <c r="D2807" s="61" t="str">
        <f aca="false">IF($M2807=0,"",INDEX(Classes!$B$6:$B$420,$M2807))</f>
        <v/>
      </c>
      <c r="E2807" s="61" t="str">
        <f aca="false">IF($M2807=0,"",INDEX(Classes!$C$6:$C$420,$M2807))</f>
        <v/>
      </c>
      <c r="F2807" s="63"/>
      <c r="G2807" s="63"/>
      <c r="H2807" s="60"/>
      <c r="I2807" s="60"/>
      <c r="J2807" s="63"/>
      <c r="K2807" s="61" t="str">
        <f aca="false">IF($P2807=0,"",IF($F2807="Baseline","— Baseline",IF($O2807=0,"No result",IF($N2807=0,"No Start (attainment only)",IF(OR($N2807=1,$O2807=1),"U – needs rule",INDEX(MxBody,MATCH($I2807,MxCurr,0),MATCH($H2807,MxStart,0)))))))</f>
        <v/>
      </c>
      <c r="L2807" s="62" t="str">
        <f aca="false">IF(COUNTA($A2807,$F2807,$G2807,$H2807,$I2807,$J2807)=0,"",IF($M2807=0,"✖ كود الصف غير موجود",IF(ISNA(MATCH($F2807,Lists!$A$2:$A$5,0)),"✖ الفترة غير صحيحة",IF(ISNA(MATCH($G2807,Lists!$B$2:$B$7,0)),"✖ المجموعة غير صحيحة",IF(NOT(OR($H2807="",$N2807&gt;0)),"✖ Start غير صحيح",IF(NOT(OR($I2807="",$I2807="NR",$O2807&gt;0)),"✖ Current غير صحيح",IF(NOT(IF(ISNUMBER($J2807),AND($J2807&gt;=0,$J2807=INT($J2807)),FALSE())),"✖ العدد يجب أن يكون صحيحًا ≥ 0",IF(AND($F2807="Baseline",$H2807&lt;&gt;""),"⚠ Baseline: Start لا يدخل في التقدم",IF($K2807="No Start (attainment only)","ℹ تحصيل فقط (بدون Start)",IF($K2807="U – needs rule","ℹ حالة U تحتاج قاعدة معتمدة",IF($K2807="No result","ℹ بدون نتيجة (يُستبعد من التحصيل)","OK")))))))))))</f>
        <v/>
      </c>
      <c r="M2807" s="64" t="n">
        <f aca="false">IF($A2807="",0,IFERROR(MATCH($A2807,Classes!$A$6:$A$420,0),0))</f>
        <v>0</v>
      </c>
      <c r="N2807" s="64" t="n">
        <f aca="false">IF($H2807="",0,IFERROR(MATCH($H2807,GradeList,0),0))</f>
        <v>0</v>
      </c>
      <c r="O2807" s="64" t="n">
        <f aca="false">IF(OR($I2807="",$I2807="NR"),0,IFERROR(MATCH($I2807,GradeList,0),0))</f>
        <v>0</v>
      </c>
      <c r="P2807" s="64" t="n">
        <f aca="false">IF(AND($M2807&gt;0,ISNUMBER(MATCH($F2807,Lists!$A$2:$A$5,0)),ISNUMBER(MATCH($G2807,Lists!$B$2:$B$7,0)),OR($H2807="",$N2807&gt;0),OR($I2807="",$I2807="NR",$O2807&gt;0),IF(ISNUMBER($J2807),AND($J2807&gt;=0,$J2807=INT($J2807)),FALSE())),$J2807,0)</f>
        <v>0</v>
      </c>
      <c r="Q2807" s="64" t="n">
        <f aca="false">IF(AND($P2807&gt;0,$O2807&gt;0),$P2807,0)</f>
        <v>0</v>
      </c>
      <c r="R2807" s="64" t="n">
        <f aca="false">IF(AND($Q2807&gt;0,$O2807&gt;=AtRank),$Q2807,0)</f>
        <v>0</v>
      </c>
      <c r="S2807" s="64" t="n">
        <f aca="false">IF(AND($Q2807&gt;0,$O2807&gt;=AboveRank),$Q2807,0)</f>
        <v>0</v>
      </c>
      <c r="T2807" s="64" t="n">
        <f aca="false">IF($K2807="Less",$P2807,0)</f>
        <v>0</v>
      </c>
      <c r="U2807" s="64" t="n">
        <f aca="false">IF($K2807="Expected",$P2807,0)</f>
        <v>0</v>
      </c>
      <c r="V2807" s="64" t="n">
        <f aca="false">IF($K2807="Better",$P2807,0)</f>
        <v>0</v>
      </c>
      <c r="W2807" s="64" t="n">
        <f aca="false">IF($K2807="U – needs rule",$P2807,0)</f>
        <v>0</v>
      </c>
      <c r="X2807" s="64" t="n">
        <f aca="false">IF($K2807="No Start (attainment only)",$P2807,0)</f>
        <v>0</v>
      </c>
    </row>
    <row r="2808" customFormat="false" ht="15" hidden="false" customHeight="false" outlineLevel="0" collapsed="false">
      <c r="A2808" s="60"/>
      <c r="B2808" s="61" t="str">
        <f aca="false">IF($M2808=0,"",INDEX(Classes!$E$6:$E$420,$M2808))</f>
        <v/>
      </c>
      <c r="C2808" s="62" t="str">
        <f aca="false">IF($M2808=0,"",INDEX(Classes!$H$6:$H$420,$M2808))</f>
        <v/>
      </c>
      <c r="D2808" s="61" t="str">
        <f aca="false">IF($M2808=0,"",INDEX(Classes!$B$6:$B$420,$M2808))</f>
        <v/>
      </c>
      <c r="E2808" s="61" t="str">
        <f aca="false">IF($M2808=0,"",INDEX(Classes!$C$6:$C$420,$M2808))</f>
        <v/>
      </c>
      <c r="F2808" s="63"/>
      <c r="G2808" s="63"/>
      <c r="H2808" s="60"/>
      <c r="I2808" s="60"/>
      <c r="J2808" s="63"/>
      <c r="K2808" s="61" t="str">
        <f aca="false">IF($P2808=0,"",IF($F2808="Baseline","— Baseline",IF($O2808=0,"No result",IF($N2808=0,"No Start (attainment only)",IF(OR($N2808=1,$O2808=1),"U – needs rule",INDEX(MxBody,MATCH($I2808,MxCurr,0),MATCH($H2808,MxStart,0)))))))</f>
        <v/>
      </c>
      <c r="L2808" s="62" t="str">
        <f aca="false">IF(COUNTA($A2808,$F2808,$G2808,$H2808,$I2808,$J2808)=0,"",IF($M2808=0,"✖ كود الصف غير موجود",IF(ISNA(MATCH($F2808,Lists!$A$2:$A$5,0)),"✖ الفترة غير صحيحة",IF(ISNA(MATCH($G2808,Lists!$B$2:$B$7,0)),"✖ المجموعة غير صحيحة",IF(NOT(OR($H2808="",$N2808&gt;0)),"✖ Start غير صحيح",IF(NOT(OR($I2808="",$I2808="NR",$O2808&gt;0)),"✖ Current غير صحيح",IF(NOT(IF(ISNUMBER($J2808),AND($J2808&gt;=0,$J2808=INT($J2808)),FALSE())),"✖ العدد يجب أن يكون صحيحًا ≥ 0",IF(AND($F2808="Baseline",$H2808&lt;&gt;""),"⚠ Baseline: Start لا يدخل في التقدم",IF($K2808="No Start (attainment only)","ℹ تحصيل فقط (بدون Start)",IF($K2808="U – needs rule","ℹ حالة U تحتاج قاعدة معتمدة",IF($K2808="No result","ℹ بدون نتيجة (يُستبعد من التحصيل)","OK")))))))))))</f>
        <v/>
      </c>
      <c r="M2808" s="64" t="n">
        <f aca="false">IF($A2808="",0,IFERROR(MATCH($A2808,Classes!$A$6:$A$420,0),0))</f>
        <v>0</v>
      </c>
      <c r="N2808" s="64" t="n">
        <f aca="false">IF($H2808="",0,IFERROR(MATCH($H2808,GradeList,0),0))</f>
        <v>0</v>
      </c>
      <c r="O2808" s="64" t="n">
        <f aca="false">IF(OR($I2808="",$I2808="NR"),0,IFERROR(MATCH($I2808,GradeList,0),0))</f>
        <v>0</v>
      </c>
      <c r="P2808" s="64" t="n">
        <f aca="false">IF(AND($M2808&gt;0,ISNUMBER(MATCH($F2808,Lists!$A$2:$A$5,0)),ISNUMBER(MATCH($G2808,Lists!$B$2:$B$7,0)),OR($H2808="",$N2808&gt;0),OR($I2808="",$I2808="NR",$O2808&gt;0),IF(ISNUMBER($J2808),AND($J2808&gt;=0,$J2808=INT($J2808)),FALSE())),$J2808,0)</f>
        <v>0</v>
      </c>
      <c r="Q2808" s="64" t="n">
        <f aca="false">IF(AND($P2808&gt;0,$O2808&gt;0),$P2808,0)</f>
        <v>0</v>
      </c>
      <c r="R2808" s="64" t="n">
        <f aca="false">IF(AND($Q2808&gt;0,$O2808&gt;=AtRank),$Q2808,0)</f>
        <v>0</v>
      </c>
      <c r="S2808" s="64" t="n">
        <f aca="false">IF(AND($Q2808&gt;0,$O2808&gt;=AboveRank),$Q2808,0)</f>
        <v>0</v>
      </c>
      <c r="T2808" s="64" t="n">
        <f aca="false">IF($K2808="Less",$P2808,0)</f>
        <v>0</v>
      </c>
      <c r="U2808" s="64" t="n">
        <f aca="false">IF($K2808="Expected",$P2808,0)</f>
        <v>0</v>
      </c>
      <c r="V2808" s="64" t="n">
        <f aca="false">IF($K2808="Better",$P2808,0)</f>
        <v>0</v>
      </c>
      <c r="W2808" s="64" t="n">
        <f aca="false">IF($K2808="U – needs rule",$P2808,0)</f>
        <v>0</v>
      </c>
      <c r="X2808" s="64" t="n">
        <f aca="false">IF($K2808="No Start (attainment only)",$P2808,0)</f>
        <v>0</v>
      </c>
    </row>
    <row r="2809" customFormat="false" ht="15" hidden="false" customHeight="false" outlineLevel="0" collapsed="false">
      <c r="A2809" s="60"/>
      <c r="B2809" s="61" t="str">
        <f aca="false">IF($M2809=0,"",INDEX(Classes!$E$6:$E$420,$M2809))</f>
        <v/>
      </c>
      <c r="C2809" s="62" t="str">
        <f aca="false">IF($M2809=0,"",INDEX(Classes!$H$6:$H$420,$M2809))</f>
        <v/>
      </c>
      <c r="D2809" s="61" t="str">
        <f aca="false">IF($M2809=0,"",INDEX(Classes!$B$6:$B$420,$M2809))</f>
        <v/>
      </c>
      <c r="E2809" s="61" t="str">
        <f aca="false">IF($M2809=0,"",INDEX(Classes!$C$6:$C$420,$M2809))</f>
        <v/>
      </c>
      <c r="F2809" s="63"/>
      <c r="G2809" s="63"/>
      <c r="H2809" s="60"/>
      <c r="I2809" s="60"/>
      <c r="J2809" s="63"/>
      <c r="K2809" s="61" t="str">
        <f aca="false">IF($P2809=0,"",IF($F2809="Baseline","— Baseline",IF($O2809=0,"No result",IF($N2809=0,"No Start (attainment only)",IF(OR($N2809=1,$O2809=1),"U – needs rule",INDEX(MxBody,MATCH($I2809,MxCurr,0),MATCH($H2809,MxStart,0)))))))</f>
        <v/>
      </c>
      <c r="L2809" s="62" t="str">
        <f aca="false">IF(COUNTA($A2809,$F2809,$G2809,$H2809,$I2809,$J2809)=0,"",IF($M2809=0,"✖ كود الصف غير موجود",IF(ISNA(MATCH($F2809,Lists!$A$2:$A$5,0)),"✖ الفترة غير صحيحة",IF(ISNA(MATCH($G2809,Lists!$B$2:$B$7,0)),"✖ المجموعة غير صحيحة",IF(NOT(OR($H2809="",$N2809&gt;0)),"✖ Start غير صحيح",IF(NOT(OR($I2809="",$I2809="NR",$O2809&gt;0)),"✖ Current غير صحيح",IF(NOT(IF(ISNUMBER($J2809),AND($J2809&gt;=0,$J2809=INT($J2809)),FALSE())),"✖ العدد يجب أن يكون صحيحًا ≥ 0",IF(AND($F2809="Baseline",$H2809&lt;&gt;""),"⚠ Baseline: Start لا يدخل في التقدم",IF($K2809="No Start (attainment only)","ℹ تحصيل فقط (بدون Start)",IF($K2809="U – needs rule","ℹ حالة U تحتاج قاعدة معتمدة",IF($K2809="No result","ℹ بدون نتيجة (يُستبعد من التحصيل)","OK")))))))))))</f>
        <v/>
      </c>
      <c r="M2809" s="64" t="n">
        <f aca="false">IF($A2809="",0,IFERROR(MATCH($A2809,Classes!$A$6:$A$420,0),0))</f>
        <v>0</v>
      </c>
      <c r="N2809" s="64" t="n">
        <f aca="false">IF($H2809="",0,IFERROR(MATCH($H2809,GradeList,0),0))</f>
        <v>0</v>
      </c>
      <c r="O2809" s="64" t="n">
        <f aca="false">IF(OR($I2809="",$I2809="NR"),0,IFERROR(MATCH($I2809,GradeList,0),0))</f>
        <v>0</v>
      </c>
      <c r="P2809" s="64" t="n">
        <f aca="false">IF(AND($M2809&gt;0,ISNUMBER(MATCH($F2809,Lists!$A$2:$A$5,0)),ISNUMBER(MATCH($G2809,Lists!$B$2:$B$7,0)),OR($H2809="",$N2809&gt;0),OR($I2809="",$I2809="NR",$O2809&gt;0),IF(ISNUMBER($J2809),AND($J2809&gt;=0,$J2809=INT($J2809)),FALSE())),$J2809,0)</f>
        <v>0</v>
      </c>
      <c r="Q2809" s="64" t="n">
        <f aca="false">IF(AND($P2809&gt;0,$O2809&gt;0),$P2809,0)</f>
        <v>0</v>
      </c>
      <c r="R2809" s="64" t="n">
        <f aca="false">IF(AND($Q2809&gt;0,$O2809&gt;=AtRank),$Q2809,0)</f>
        <v>0</v>
      </c>
      <c r="S2809" s="64" t="n">
        <f aca="false">IF(AND($Q2809&gt;0,$O2809&gt;=AboveRank),$Q2809,0)</f>
        <v>0</v>
      </c>
      <c r="T2809" s="64" t="n">
        <f aca="false">IF($K2809="Less",$P2809,0)</f>
        <v>0</v>
      </c>
      <c r="U2809" s="64" t="n">
        <f aca="false">IF($K2809="Expected",$P2809,0)</f>
        <v>0</v>
      </c>
      <c r="V2809" s="64" t="n">
        <f aca="false">IF($K2809="Better",$P2809,0)</f>
        <v>0</v>
      </c>
      <c r="W2809" s="64" t="n">
        <f aca="false">IF($K2809="U – needs rule",$P2809,0)</f>
        <v>0</v>
      </c>
      <c r="X2809" s="64" t="n">
        <f aca="false">IF($K2809="No Start (attainment only)",$P2809,0)</f>
        <v>0</v>
      </c>
    </row>
    <row r="2810" customFormat="false" ht="15" hidden="false" customHeight="false" outlineLevel="0" collapsed="false">
      <c r="A2810" s="60"/>
      <c r="B2810" s="61" t="str">
        <f aca="false">IF($M2810=0,"",INDEX(Classes!$E$6:$E$420,$M2810))</f>
        <v/>
      </c>
      <c r="C2810" s="62" t="str">
        <f aca="false">IF($M2810=0,"",INDEX(Classes!$H$6:$H$420,$M2810))</f>
        <v/>
      </c>
      <c r="D2810" s="61" t="str">
        <f aca="false">IF($M2810=0,"",INDEX(Classes!$B$6:$B$420,$M2810))</f>
        <v/>
      </c>
      <c r="E2810" s="61" t="str">
        <f aca="false">IF($M2810=0,"",INDEX(Classes!$C$6:$C$420,$M2810))</f>
        <v/>
      </c>
      <c r="F2810" s="63"/>
      <c r="G2810" s="63"/>
      <c r="H2810" s="60"/>
      <c r="I2810" s="60"/>
      <c r="J2810" s="63"/>
      <c r="K2810" s="61" t="str">
        <f aca="false">IF($P2810=0,"",IF($F2810="Baseline","— Baseline",IF($O2810=0,"No result",IF($N2810=0,"No Start (attainment only)",IF(OR($N2810=1,$O2810=1),"U – needs rule",INDEX(MxBody,MATCH($I2810,MxCurr,0),MATCH($H2810,MxStart,0)))))))</f>
        <v/>
      </c>
      <c r="L2810" s="62" t="str">
        <f aca="false">IF(COUNTA($A2810,$F2810,$G2810,$H2810,$I2810,$J2810)=0,"",IF($M2810=0,"✖ كود الصف غير موجود",IF(ISNA(MATCH($F2810,Lists!$A$2:$A$5,0)),"✖ الفترة غير صحيحة",IF(ISNA(MATCH($G2810,Lists!$B$2:$B$7,0)),"✖ المجموعة غير صحيحة",IF(NOT(OR($H2810="",$N2810&gt;0)),"✖ Start غير صحيح",IF(NOT(OR($I2810="",$I2810="NR",$O2810&gt;0)),"✖ Current غير صحيح",IF(NOT(IF(ISNUMBER($J2810),AND($J2810&gt;=0,$J2810=INT($J2810)),FALSE())),"✖ العدد يجب أن يكون صحيحًا ≥ 0",IF(AND($F2810="Baseline",$H2810&lt;&gt;""),"⚠ Baseline: Start لا يدخل في التقدم",IF($K2810="No Start (attainment only)","ℹ تحصيل فقط (بدون Start)",IF($K2810="U – needs rule","ℹ حالة U تحتاج قاعدة معتمدة",IF($K2810="No result","ℹ بدون نتيجة (يُستبعد من التحصيل)","OK")))))))))))</f>
        <v/>
      </c>
      <c r="M2810" s="64" t="n">
        <f aca="false">IF($A2810="",0,IFERROR(MATCH($A2810,Classes!$A$6:$A$420,0),0))</f>
        <v>0</v>
      </c>
      <c r="N2810" s="64" t="n">
        <f aca="false">IF($H2810="",0,IFERROR(MATCH($H2810,GradeList,0),0))</f>
        <v>0</v>
      </c>
      <c r="O2810" s="64" t="n">
        <f aca="false">IF(OR($I2810="",$I2810="NR"),0,IFERROR(MATCH($I2810,GradeList,0),0))</f>
        <v>0</v>
      </c>
      <c r="P2810" s="64" t="n">
        <f aca="false">IF(AND($M2810&gt;0,ISNUMBER(MATCH($F2810,Lists!$A$2:$A$5,0)),ISNUMBER(MATCH($G2810,Lists!$B$2:$B$7,0)),OR($H2810="",$N2810&gt;0),OR($I2810="",$I2810="NR",$O2810&gt;0),IF(ISNUMBER($J2810),AND($J2810&gt;=0,$J2810=INT($J2810)),FALSE())),$J2810,0)</f>
        <v>0</v>
      </c>
      <c r="Q2810" s="64" t="n">
        <f aca="false">IF(AND($P2810&gt;0,$O2810&gt;0),$P2810,0)</f>
        <v>0</v>
      </c>
      <c r="R2810" s="64" t="n">
        <f aca="false">IF(AND($Q2810&gt;0,$O2810&gt;=AtRank),$Q2810,0)</f>
        <v>0</v>
      </c>
      <c r="S2810" s="64" t="n">
        <f aca="false">IF(AND($Q2810&gt;0,$O2810&gt;=AboveRank),$Q2810,0)</f>
        <v>0</v>
      </c>
      <c r="T2810" s="64" t="n">
        <f aca="false">IF($K2810="Less",$P2810,0)</f>
        <v>0</v>
      </c>
      <c r="U2810" s="64" t="n">
        <f aca="false">IF($K2810="Expected",$P2810,0)</f>
        <v>0</v>
      </c>
      <c r="V2810" s="64" t="n">
        <f aca="false">IF($K2810="Better",$P2810,0)</f>
        <v>0</v>
      </c>
      <c r="W2810" s="64" t="n">
        <f aca="false">IF($K2810="U – needs rule",$P2810,0)</f>
        <v>0</v>
      </c>
      <c r="X2810" s="64" t="n">
        <f aca="false">IF($K2810="No Start (attainment only)",$P2810,0)</f>
        <v>0</v>
      </c>
    </row>
    <row r="2811" customFormat="false" ht="15" hidden="false" customHeight="false" outlineLevel="0" collapsed="false">
      <c r="A2811" s="60"/>
      <c r="B2811" s="61" t="str">
        <f aca="false">IF($M2811=0,"",INDEX(Classes!$E$6:$E$420,$M2811))</f>
        <v/>
      </c>
      <c r="C2811" s="62" t="str">
        <f aca="false">IF($M2811=0,"",INDEX(Classes!$H$6:$H$420,$M2811))</f>
        <v/>
      </c>
      <c r="D2811" s="61" t="str">
        <f aca="false">IF($M2811=0,"",INDEX(Classes!$B$6:$B$420,$M2811))</f>
        <v/>
      </c>
      <c r="E2811" s="61" t="str">
        <f aca="false">IF($M2811=0,"",INDEX(Classes!$C$6:$C$420,$M2811))</f>
        <v/>
      </c>
      <c r="F2811" s="63"/>
      <c r="G2811" s="63"/>
      <c r="H2811" s="60"/>
      <c r="I2811" s="60"/>
      <c r="J2811" s="63"/>
      <c r="K2811" s="61" t="str">
        <f aca="false">IF($P2811=0,"",IF($F2811="Baseline","— Baseline",IF($O2811=0,"No result",IF($N2811=0,"No Start (attainment only)",IF(OR($N2811=1,$O2811=1),"U – needs rule",INDEX(MxBody,MATCH($I2811,MxCurr,0),MATCH($H2811,MxStart,0)))))))</f>
        <v/>
      </c>
      <c r="L2811" s="62" t="str">
        <f aca="false">IF(COUNTA($A2811,$F2811,$G2811,$H2811,$I2811,$J2811)=0,"",IF($M2811=0,"✖ كود الصف غير موجود",IF(ISNA(MATCH($F2811,Lists!$A$2:$A$5,0)),"✖ الفترة غير صحيحة",IF(ISNA(MATCH($G2811,Lists!$B$2:$B$7,0)),"✖ المجموعة غير صحيحة",IF(NOT(OR($H2811="",$N2811&gt;0)),"✖ Start غير صحيح",IF(NOT(OR($I2811="",$I2811="NR",$O2811&gt;0)),"✖ Current غير صحيح",IF(NOT(IF(ISNUMBER($J2811),AND($J2811&gt;=0,$J2811=INT($J2811)),FALSE())),"✖ العدد يجب أن يكون صحيحًا ≥ 0",IF(AND($F2811="Baseline",$H2811&lt;&gt;""),"⚠ Baseline: Start لا يدخل في التقدم",IF($K2811="No Start (attainment only)","ℹ تحصيل فقط (بدون Start)",IF($K2811="U – needs rule","ℹ حالة U تحتاج قاعدة معتمدة",IF($K2811="No result","ℹ بدون نتيجة (يُستبعد من التحصيل)","OK")))))))))))</f>
        <v/>
      </c>
      <c r="M2811" s="64" t="n">
        <f aca="false">IF($A2811="",0,IFERROR(MATCH($A2811,Classes!$A$6:$A$420,0),0))</f>
        <v>0</v>
      </c>
      <c r="N2811" s="64" t="n">
        <f aca="false">IF($H2811="",0,IFERROR(MATCH($H2811,GradeList,0),0))</f>
        <v>0</v>
      </c>
      <c r="O2811" s="64" t="n">
        <f aca="false">IF(OR($I2811="",$I2811="NR"),0,IFERROR(MATCH($I2811,GradeList,0),0))</f>
        <v>0</v>
      </c>
      <c r="P2811" s="64" t="n">
        <f aca="false">IF(AND($M2811&gt;0,ISNUMBER(MATCH($F2811,Lists!$A$2:$A$5,0)),ISNUMBER(MATCH($G2811,Lists!$B$2:$B$7,0)),OR($H2811="",$N2811&gt;0),OR($I2811="",$I2811="NR",$O2811&gt;0),IF(ISNUMBER($J2811),AND($J2811&gt;=0,$J2811=INT($J2811)),FALSE())),$J2811,0)</f>
        <v>0</v>
      </c>
      <c r="Q2811" s="64" t="n">
        <f aca="false">IF(AND($P2811&gt;0,$O2811&gt;0),$P2811,0)</f>
        <v>0</v>
      </c>
      <c r="R2811" s="64" t="n">
        <f aca="false">IF(AND($Q2811&gt;0,$O2811&gt;=AtRank),$Q2811,0)</f>
        <v>0</v>
      </c>
      <c r="S2811" s="64" t="n">
        <f aca="false">IF(AND($Q2811&gt;0,$O2811&gt;=AboveRank),$Q2811,0)</f>
        <v>0</v>
      </c>
      <c r="T2811" s="64" t="n">
        <f aca="false">IF($K2811="Less",$P2811,0)</f>
        <v>0</v>
      </c>
      <c r="U2811" s="64" t="n">
        <f aca="false">IF($K2811="Expected",$P2811,0)</f>
        <v>0</v>
      </c>
      <c r="V2811" s="64" t="n">
        <f aca="false">IF($K2811="Better",$P2811,0)</f>
        <v>0</v>
      </c>
      <c r="W2811" s="64" t="n">
        <f aca="false">IF($K2811="U – needs rule",$P2811,0)</f>
        <v>0</v>
      </c>
      <c r="X2811" s="64" t="n">
        <f aca="false">IF($K2811="No Start (attainment only)",$P2811,0)</f>
        <v>0</v>
      </c>
    </row>
    <row r="2812" customFormat="false" ht="15" hidden="false" customHeight="false" outlineLevel="0" collapsed="false">
      <c r="A2812" s="60"/>
      <c r="B2812" s="61" t="str">
        <f aca="false">IF($M2812=0,"",INDEX(Classes!$E$6:$E$420,$M2812))</f>
        <v/>
      </c>
      <c r="C2812" s="62" t="str">
        <f aca="false">IF($M2812=0,"",INDEX(Classes!$H$6:$H$420,$M2812))</f>
        <v/>
      </c>
      <c r="D2812" s="61" t="str">
        <f aca="false">IF($M2812=0,"",INDEX(Classes!$B$6:$B$420,$M2812))</f>
        <v/>
      </c>
      <c r="E2812" s="61" t="str">
        <f aca="false">IF($M2812=0,"",INDEX(Classes!$C$6:$C$420,$M2812))</f>
        <v/>
      </c>
      <c r="F2812" s="63"/>
      <c r="G2812" s="63"/>
      <c r="H2812" s="60"/>
      <c r="I2812" s="60"/>
      <c r="J2812" s="63"/>
      <c r="K2812" s="61" t="str">
        <f aca="false">IF($P2812=0,"",IF($F2812="Baseline","— Baseline",IF($O2812=0,"No result",IF($N2812=0,"No Start (attainment only)",IF(OR($N2812=1,$O2812=1),"U – needs rule",INDEX(MxBody,MATCH($I2812,MxCurr,0),MATCH($H2812,MxStart,0)))))))</f>
        <v/>
      </c>
      <c r="L2812" s="62" t="str">
        <f aca="false">IF(COUNTA($A2812,$F2812,$G2812,$H2812,$I2812,$J2812)=0,"",IF($M2812=0,"✖ كود الصف غير موجود",IF(ISNA(MATCH($F2812,Lists!$A$2:$A$5,0)),"✖ الفترة غير صحيحة",IF(ISNA(MATCH($G2812,Lists!$B$2:$B$7,0)),"✖ المجموعة غير صحيحة",IF(NOT(OR($H2812="",$N2812&gt;0)),"✖ Start غير صحيح",IF(NOT(OR($I2812="",$I2812="NR",$O2812&gt;0)),"✖ Current غير صحيح",IF(NOT(IF(ISNUMBER($J2812),AND($J2812&gt;=0,$J2812=INT($J2812)),FALSE())),"✖ العدد يجب أن يكون صحيحًا ≥ 0",IF(AND($F2812="Baseline",$H2812&lt;&gt;""),"⚠ Baseline: Start لا يدخل في التقدم",IF($K2812="No Start (attainment only)","ℹ تحصيل فقط (بدون Start)",IF($K2812="U – needs rule","ℹ حالة U تحتاج قاعدة معتمدة",IF($K2812="No result","ℹ بدون نتيجة (يُستبعد من التحصيل)","OK")))))))))))</f>
        <v/>
      </c>
      <c r="M2812" s="64" t="n">
        <f aca="false">IF($A2812="",0,IFERROR(MATCH($A2812,Classes!$A$6:$A$420,0),0))</f>
        <v>0</v>
      </c>
      <c r="N2812" s="64" t="n">
        <f aca="false">IF($H2812="",0,IFERROR(MATCH($H2812,GradeList,0),0))</f>
        <v>0</v>
      </c>
      <c r="O2812" s="64" t="n">
        <f aca="false">IF(OR($I2812="",$I2812="NR"),0,IFERROR(MATCH($I2812,GradeList,0),0))</f>
        <v>0</v>
      </c>
      <c r="P2812" s="64" t="n">
        <f aca="false">IF(AND($M2812&gt;0,ISNUMBER(MATCH($F2812,Lists!$A$2:$A$5,0)),ISNUMBER(MATCH($G2812,Lists!$B$2:$B$7,0)),OR($H2812="",$N2812&gt;0),OR($I2812="",$I2812="NR",$O2812&gt;0),IF(ISNUMBER($J2812),AND($J2812&gt;=0,$J2812=INT($J2812)),FALSE())),$J2812,0)</f>
        <v>0</v>
      </c>
      <c r="Q2812" s="64" t="n">
        <f aca="false">IF(AND($P2812&gt;0,$O2812&gt;0),$P2812,0)</f>
        <v>0</v>
      </c>
      <c r="R2812" s="64" t="n">
        <f aca="false">IF(AND($Q2812&gt;0,$O2812&gt;=AtRank),$Q2812,0)</f>
        <v>0</v>
      </c>
      <c r="S2812" s="64" t="n">
        <f aca="false">IF(AND($Q2812&gt;0,$O2812&gt;=AboveRank),$Q2812,0)</f>
        <v>0</v>
      </c>
      <c r="T2812" s="64" t="n">
        <f aca="false">IF($K2812="Less",$P2812,0)</f>
        <v>0</v>
      </c>
      <c r="U2812" s="64" t="n">
        <f aca="false">IF($K2812="Expected",$P2812,0)</f>
        <v>0</v>
      </c>
      <c r="V2812" s="64" t="n">
        <f aca="false">IF($K2812="Better",$P2812,0)</f>
        <v>0</v>
      </c>
      <c r="W2812" s="64" t="n">
        <f aca="false">IF($K2812="U – needs rule",$P2812,0)</f>
        <v>0</v>
      </c>
      <c r="X2812" s="64" t="n">
        <f aca="false">IF($K2812="No Start (attainment only)",$P2812,0)</f>
        <v>0</v>
      </c>
    </row>
    <row r="2813" customFormat="false" ht="15" hidden="false" customHeight="false" outlineLevel="0" collapsed="false">
      <c r="A2813" s="60"/>
      <c r="B2813" s="61" t="str">
        <f aca="false">IF($M2813=0,"",INDEX(Classes!$E$6:$E$420,$M2813))</f>
        <v/>
      </c>
      <c r="C2813" s="62" t="str">
        <f aca="false">IF($M2813=0,"",INDEX(Classes!$H$6:$H$420,$M2813))</f>
        <v/>
      </c>
      <c r="D2813" s="61" t="str">
        <f aca="false">IF($M2813=0,"",INDEX(Classes!$B$6:$B$420,$M2813))</f>
        <v/>
      </c>
      <c r="E2813" s="61" t="str">
        <f aca="false">IF($M2813=0,"",INDEX(Classes!$C$6:$C$420,$M2813))</f>
        <v/>
      </c>
      <c r="F2813" s="63"/>
      <c r="G2813" s="63"/>
      <c r="H2813" s="60"/>
      <c r="I2813" s="60"/>
      <c r="J2813" s="63"/>
      <c r="K2813" s="61" t="str">
        <f aca="false">IF($P2813=0,"",IF($F2813="Baseline","— Baseline",IF($O2813=0,"No result",IF($N2813=0,"No Start (attainment only)",IF(OR($N2813=1,$O2813=1),"U – needs rule",INDEX(MxBody,MATCH($I2813,MxCurr,0),MATCH($H2813,MxStart,0)))))))</f>
        <v/>
      </c>
      <c r="L2813" s="62" t="str">
        <f aca="false">IF(COUNTA($A2813,$F2813,$G2813,$H2813,$I2813,$J2813)=0,"",IF($M2813=0,"✖ كود الصف غير موجود",IF(ISNA(MATCH($F2813,Lists!$A$2:$A$5,0)),"✖ الفترة غير صحيحة",IF(ISNA(MATCH($G2813,Lists!$B$2:$B$7,0)),"✖ المجموعة غير صحيحة",IF(NOT(OR($H2813="",$N2813&gt;0)),"✖ Start غير صحيح",IF(NOT(OR($I2813="",$I2813="NR",$O2813&gt;0)),"✖ Current غير صحيح",IF(NOT(IF(ISNUMBER($J2813),AND($J2813&gt;=0,$J2813=INT($J2813)),FALSE())),"✖ العدد يجب أن يكون صحيحًا ≥ 0",IF(AND($F2813="Baseline",$H2813&lt;&gt;""),"⚠ Baseline: Start لا يدخل في التقدم",IF($K2813="No Start (attainment only)","ℹ تحصيل فقط (بدون Start)",IF($K2813="U – needs rule","ℹ حالة U تحتاج قاعدة معتمدة",IF($K2813="No result","ℹ بدون نتيجة (يُستبعد من التحصيل)","OK")))))))))))</f>
        <v/>
      </c>
      <c r="M2813" s="64" t="n">
        <f aca="false">IF($A2813="",0,IFERROR(MATCH($A2813,Classes!$A$6:$A$420,0),0))</f>
        <v>0</v>
      </c>
      <c r="N2813" s="64" t="n">
        <f aca="false">IF($H2813="",0,IFERROR(MATCH($H2813,GradeList,0),0))</f>
        <v>0</v>
      </c>
      <c r="O2813" s="64" t="n">
        <f aca="false">IF(OR($I2813="",$I2813="NR"),0,IFERROR(MATCH($I2813,GradeList,0),0))</f>
        <v>0</v>
      </c>
      <c r="P2813" s="64" t="n">
        <f aca="false">IF(AND($M2813&gt;0,ISNUMBER(MATCH($F2813,Lists!$A$2:$A$5,0)),ISNUMBER(MATCH($G2813,Lists!$B$2:$B$7,0)),OR($H2813="",$N2813&gt;0),OR($I2813="",$I2813="NR",$O2813&gt;0),IF(ISNUMBER($J2813),AND($J2813&gt;=0,$J2813=INT($J2813)),FALSE())),$J2813,0)</f>
        <v>0</v>
      </c>
      <c r="Q2813" s="64" t="n">
        <f aca="false">IF(AND($P2813&gt;0,$O2813&gt;0),$P2813,0)</f>
        <v>0</v>
      </c>
      <c r="R2813" s="64" t="n">
        <f aca="false">IF(AND($Q2813&gt;0,$O2813&gt;=AtRank),$Q2813,0)</f>
        <v>0</v>
      </c>
      <c r="S2813" s="64" t="n">
        <f aca="false">IF(AND($Q2813&gt;0,$O2813&gt;=AboveRank),$Q2813,0)</f>
        <v>0</v>
      </c>
      <c r="T2813" s="64" t="n">
        <f aca="false">IF($K2813="Less",$P2813,0)</f>
        <v>0</v>
      </c>
      <c r="U2813" s="64" t="n">
        <f aca="false">IF($K2813="Expected",$P2813,0)</f>
        <v>0</v>
      </c>
      <c r="V2813" s="64" t="n">
        <f aca="false">IF($K2813="Better",$P2813,0)</f>
        <v>0</v>
      </c>
      <c r="W2813" s="64" t="n">
        <f aca="false">IF($K2813="U – needs rule",$P2813,0)</f>
        <v>0</v>
      </c>
      <c r="X2813" s="64" t="n">
        <f aca="false">IF($K2813="No Start (attainment only)",$P2813,0)</f>
        <v>0</v>
      </c>
    </row>
    <row r="2814" customFormat="false" ht="15" hidden="false" customHeight="false" outlineLevel="0" collapsed="false">
      <c r="A2814" s="60"/>
      <c r="B2814" s="61" t="str">
        <f aca="false">IF($M2814=0,"",INDEX(Classes!$E$6:$E$420,$M2814))</f>
        <v/>
      </c>
      <c r="C2814" s="62" t="str">
        <f aca="false">IF($M2814=0,"",INDEX(Classes!$H$6:$H$420,$M2814))</f>
        <v/>
      </c>
      <c r="D2814" s="61" t="str">
        <f aca="false">IF($M2814=0,"",INDEX(Classes!$B$6:$B$420,$M2814))</f>
        <v/>
      </c>
      <c r="E2814" s="61" t="str">
        <f aca="false">IF($M2814=0,"",INDEX(Classes!$C$6:$C$420,$M2814))</f>
        <v/>
      </c>
      <c r="F2814" s="63"/>
      <c r="G2814" s="63"/>
      <c r="H2814" s="60"/>
      <c r="I2814" s="60"/>
      <c r="J2814" s="63"/>
      <c r="K2814" s="61" t="str">
        <f aca="false">IF($P2814=0,"",IF($F2814="Baseline","— Baseline",IF($O2814=0,"No result",IF($N2814=0,"No Start (attainment only)",IF(OR($N2814=1,$O2814=1),"U – needs rule",INDEX(MxBody,MATCH($I2814,MxCurr,0),MATCH($H2814,MxStart,0)))))))</f>
        <v/>
      </c>
      <c r="L2814" s="62" t="str">
        <f aca="false">IF(COUNTA($A2814,$F2814,$G2814,$H2814,$I2814,$J2814)=0,"",IF($M2814=0,"✖ كود الصف غير موجود",IF(ISNA(MATCH($F2814,Lists!$A$2:$A$5,0)),"✖ الفترة غير صحيحة",IF(ISNA(MATCH($G2814,Lists!$B$2:$B$7,0)),"✖ المجموعة غير صحيحة",IF(NOT(OR($H2814="",$N2814&gt;0)),"✖ Start غير صحيح",IF(NOT(OR($I2814="",$I2814="NR",$O2814&gt;0)),"✖ Current غير صحيح",IF(NOT(IF(ISNUMBER($J2814),AND($J2814&gt;=0,$J2814=INT($J2814)),FALSE())),"✖ العدد يجب أن يكون صحيحًا ≥ 0",IF(AND($F2814="Baseline",$H2814&lt;&gt;""),"⚠ Baseline: Start لا يدخل في التقدم",IF($K2814="No Start (attainment only)","ℹ تحصيل فقط (بدون Start)",IF($K2814="U – needs rule","ℹ حالة U تحتاج قاعدة معتمدة",IF($K2814="No result","ℹ بدون نتيجة (يُستبعد من التحصيل)","OK")))))))))))</f>
        <v/>
      </c>
      <c r="M2814" s="64" t="n">
        <f aca="false">IF($A2814="",0,IFERROR(MATCH($A2814,Classes!$A$6:$A$420,0),0))</f>
        <v>0</v>
      </c>
      <c r="N2814" s="64" t="n">
        <f aca="false">IF($H2814="",0,IFERROR(MATCH($H2814,GradeList,0),0))</f>
        <v>0</v>
      </c>
      <c r="O2814" s="64" t="n">
        <f aca="false">IF(OR($I2814="",$I2814="NR"),0,IFERROR(MATCH($I2814,GradeList,0),0))</f>
        <v>0</v>
      </c>
      <c r="P2814" s="64" t="n">
        <f aca="false">IF(AND($M2814&gt;0,ISNUMBER(MATCH($F2814,Lists!$A$2:$A$5,0)),ISNUMBER(MATCH($G2814,Lists!$B$2:$B$7,0)),OR($H2814="",$N2814&gt;0),OR($I2814="",$I2814="NR",$O2814&gt;0),IF(ISNUMBER($J2814),AND($J2814&gt;=0,$J2814=INT($J2814)),FALSE())),$J2814,0)</f>
        <v>0</v>
      </c>
      <c r="Q2814" s="64" t="n">
        <f aca="false">IF(AND($P2814&gt;0,$O2814&gt;0),$P2814,0)</f>
        <v>0</v>
      </c>
      <c r="R2814" s="64" t="n">
        <f aca="false">IF(AND($Q2814&gt;0,$O2814&gt;=AtRank),$Q2814,0)</f>
        <v>0</v>
      </c>
      <c r="S2814" s="64" t="n">
        <f aca="false">IF(AND($Q2814&gt;0,$O2814&gt;=AboveRank),$Q2814,0)</f>
        <v>0</v>
      </c>
      <c r="T2814" s="64" t="n">
        <f aca="false">IF($K2814="Less",$P2814,0)</f>
        <v>0</v>
      </c>
      <c r="U2814" s="64" t="n">
        <f aca="false">IF($K2814="Expected",$P2814,0)</f>
        <v>0</v>
      </c>
      <c r="V2814" s="64" t="n">
        <f aca="false">IF($K2814="Better",$P2814,0)</f>
        <v>0</v>
      </c>
      <c r="W2814" s="64" t="n">
        <f aca="false">IF($K2814="U – needs rule",$P2814,0)</f>
        <v>0</v>
      </c>
      <c r="X2814" s="64" t="n">
        <f aca="false">IF($K2814="No Start (attainment only)",$P2814,0)</f>
        <v>0</v>
      </c>
    </row>
    <row r="2815" customFormat="false" ht="15" hidden="false" customHeight="false" outlineLevel="0" collapsed="false">
      <c r="A2815" s="60"/>
      <c r="B2815" s="61" t="str">
        <f aca="false">IF($M2815=0,"",INDEX(Classes!$E$6:$E$420,$M2815))</f>
        <v/>
      </c>
      <c r="C2815" s="62" t="str">
        <f aca="false">IF($M2815=0,"",INDEX(Classes!$H$6:$H$420,$M2815))</f>
        <v/>
      </c>
      <c r="D2815" s="61" t="str">
        <f aca="false">IF($M2815=0,"",INDEX(Classes!$B$6:$B$420,$M2815))</f>
        <v/>
      </c>
      <c r="E2815" s="61" t="str">
        <f aca="false">IF($M2815=0,"",INDEX(Classes!$C$6:$C$420,$M2815))</f>
        <v/>
      </c>
      <c r="F2815" s="63"/>
      <c r="G2815" s="63"/>
      <c r="H2815" s="60"/>
      <c r="I2815" s="60"/>
      <c r="J2815" s="63"/>
      <c r="K2815" s="61" t="str">
        <f aca="false">IF($P2815=0,"",IF($F2815="Baseline","— Baseline",IF($O2815=0,"No result",IF($N2815=0,"No Start (attainment only)",IF(OR($N2815=1,$O2815=1),"U – needs rule",INDEX(MxBody,MATCH($I2815,MxCurr,0),MATCH($H2815,MxStart,0)))))))</f>
        <v/>
      </c>
      <c r="L2815" s="62" t="str">
        <f aca="false">IF(COUNTA($A2815,$F2815,$G2815,$H2815,$I2815,$J2815)=0,"",IF($M2815=0,"✖ كود الصف غير موجود",IF(ISNA(MATCH($F2815,Lists!$A$2:$A$5,0)),"✖ الفترة غير صحيحة",IF(ISNA(MATCH($G2815,Lists!$B$2:$B$7,0)),"✖ المجموعة غير صحيحة",IF(NOT(OR($H2815="",$N2815&gt;0)),"✖ Start غير صحيح",IF(NOT(OR($I2815="",$I2815="NR",$O2815&gt;0)),"✖ Current غير صحيح",IF(NOT(IF(ISNUMBER($J2815),AND($J2815&gt;=0,$J2815=INT($J2815)),FALSE())),"✖ العدد يجب أن يكون صحيحًا ≥ 0",IF(AND($F2815="Baseline",$H2815&lt;&gt;""),"⚠ Baseline: Start لا يدخل في التقدم",IF($K2815="No Start (attainment only)","ℹ تحصيل فقط (بدون Start)",IF($K2815="U – needs rule","ℹ حالة U تحتاج قاعدة معتمدة",IF($K2815="No result","ℹ بدون نتيجة (يُستبعد من التحصيل)","OK")))))))))))</f>
        <v/>
      </c>
      <c r="M2815" s="64" t="n">
        <f aca="false">IF($A2815="",0,IFERROR(MATCH($A2815,Classes!$A$6:$A$420,0),0))</f>
        <v>0</v>
      </c>
      <c r="N2815" s="64" t="n">
        <f aca="false">IF($H2815="",0,IFERROR(MATCH($H2815,GradeList,0),0))</f>
        <v>0</v>
      </c>
      <c r="O2815" s="64" t="n">
        <f aca="false">IF(OR($I2815="",$I2815="NR"),0,IFERROR(MATCH($I2815,GradeList,0),0))</f>
        <v>0</v>
      </c>
      <c r="P2815" s="64" t="n">
        <f aca="false">IF(AND($M2815&gt;0,ISNUMBER(MATCH($F2815,Lists!$A$2:$A$5,0)),ISNUMBER(MATCH($G2815,Lists!$B$2:$B$7,0)),OR($H2815="",$N2815&gt;0),OR($I2815="",$I2815="NR",$O2815&gt;0),IF(ISNUMBER($J2815),AND($J2815&gt;=0,$J2815=INT($J2815)),FALSE())),$J2815,0)</f>
        <v>0</v>
      </c>
      <c r="Q2815" s="64" t="n">
        <f aca="false">IF(AND($P2815&gt;0,$O2815&gt;0),$P2815,0)</f>
        <v>0</v>
      </c>
      <c r="R2815" s="64" t="n">
        <f aca="false">IF(AND($Q2815&gt;0,$O2815&gt;=AtRank),$Q2815,0)</f>
        <v>0</v>
      </c>
      <c r="S2815" s="64" t="n">
        <f aca="false">IF(AND($Q2815&gt;0,$O2815&gt;=AboveRank),$Q2815,0)</f>
        <v>0</v>
      </c>
      <c r="T2815" s="64" t="n">
        <f aca="false">IF($K2815="Less",$P2815,0)</f>
        <v>0</v>
      </c>
      <c r="U2815" s="64" t="n">
        <f aca="false">IF($K2815="Expected",$P2815,0)</f>
        <v>0</v>
      </c>
      <c r="V2815" s="64" t="n">
        <f aca="false">IF($K2815="Better",$P2815,0)</f>
        <v>0</v>
      </c>
      <c r="W2815" s="64" t="n">
        <f aca="false">IF($K2815="U – needs rule",$P2815,0)</f>
        <v>0</v>
      </c>
      <c r="X2815" s="64" t="n">
        <f aca="false">IF($K2815="No Start (attainment only)",$P2815,0)</f>
        <v>0</v>
      </c>
    </row>
    <row r="2816" customFormat="false" ht="15" hidden="false" customHeight="false" outlineLevel="0" collapsed="false">
      <c r="A2816" s="60"/>
      <c r="B2816" s="61" t="str">
        <f aca="false">IF($M2816=0,"",INDEX(Classes!$E$6:$E$420,$M2816))</f>
        <v/>
      </c>
      <c r="C2816" s="62" t="str">
        <f aca="false">IF($M2816=0,"",INDEX(Classes!$H$6:$H$420,$M2816))</f>
        <v/>
      </c>
      <c r="D2816" s="61" t="str">
        <f aca="false">IF($M2816=0,"",INDEX(Classes!$B$6:$B$420,$M2816))</f>
        <v/>
      </c>
      <c r="E2816" s="61" t="str">
        <f aca="false">IF($M2816=0,"",INDEX(Classes!$C$6:$C$420,$M2816))</f>
        <v/>
      </c>
      <c r="F2816" s="63"/>
      <c r="G2816" s="63"/>
      <c r="H2816" s="60"/>
      <c r="I2816" s="60"/>
      <c r="J2816" s="63"/>
      <c r="K2816" s="61" t="str">
        <f aca="false">IF($P2816=0,"",IF($F2816="Baseline","— Baseline",IF($O2816=0,"No result",IF($N2816=0,"No Start (attainment only)",IF(OR($N2816=1,$O2816=1),"U – needs rule",INDEX(MxBody,MATCH($I2816,MxCurr,0),MATCH($H2816,MxStart,0)))))))</f>
        <v/>
      </c>
      <c r="L2816" s="62" t="str">
        <f aca="false">IF(COUNTA($A2816,$F2816,$G2816,$H2816,$I2816,$J2816)=0,"",IF($M2816=0,"✖ كود الصف غير موجود",IF(ISNA(MATCH($F2816,Lists!$A$2:$A$5,0)),"✖ الفترة غير صحيحة",IF(ISNA(MATCH($G2816,Lists!$B$2:$B$7,0)),"✖ المجموعة غير صحيحة",IF(NOT(OR($H2816="",$N2816&gt;0)),"✖ Start غير صحيح",IF(NOT(OR($I2816="",$I2816="NR",$O2816&gt;0)),"✖ Current غير صحيح",IF(NOT(IF(ISNUMBER($J2816),AND($J2816&gt;=0,$J2816=INT($J2816)),FALSE())),"✖ العدد يجب أن يكون صحيحًا ≥ 0",IF(AND($F2816="Baseline",$H2816&lt;&gt;""),"⚠ Baseline: Start لا يدخل في التقدم",IF($K2816="No Start (attainment only)","ℹ تحصيل فقط (بدون Start)",IF($K2816="U – needs rule","ℹ حالة U تحتاج قاعدة معتمدة",IF($K2816="No result","ℹ بدون نتيجة (يُستبعد من التحصيل)","OK")))))))))))</f>
        <v/>
      </c>
      <c r="M2816" s="64" t="n">
        <f aca="false">IF($A2816="",0,IFERROR(MATCH($A2816,Classes!$A$6:$A$420,0),0))</f>
        <v>0</v>
      </c>
      <c r="N2816" s="64" t="n">
        <f aca="false">IF($H2816="",0,IFERROR(MATCH($H2816,GradeList,0),0))</f>
        <v>0</v>
      </c>
      <c r="O2816" s="64" t="n">
        <f aca="false">IF(OR($I2816="",$I2816="NR"),0,IFERROR(MATCH($I2816,GradeList,0),0))</f>
        <v>0</v>
      </c>
      <c r="P2816" s="64" t="n">
        <f aca="false">IF(AND($M2816&gt;0,ISNUMBER(MATCH($F2816,Lists!$A$2:$A$5,0)),ISNUMBER(MATCH($G2816,Lists!$B$2:$B$7,0)),OR($H2816="",$N2816&gt;0),OR($I2816="",$I2816="NR",$O2816&gt;0),IF(ISNUMBER($J2816),AND($J2816&gt;=0,$J2816=INT($J2816)),FALSE())),$J2816,0)</f>
        <v>0</v>
      </c>
      <c r="Q2816" s="64" t="n">
        <f aca="false">IF(AND($P2816&gt;0,$O2816&gt;0),$P2816,0)</f>
        <v>0</v>
      </c>
      <c r="R2816" s="64" t="n">
        <f aca="false">IF(AND($Q2816&gt;0,$O2816&gt;=AtRank),$Q2816,0)</f>
        <v>0</v>
      </c>
      <c r="S2816" s="64" t="n">
        <f aca="false">IF(AND($Q2816&gt;0,$O2816&gt;=AboveRank),$Q2816,0)</f>
        <v>0</v>
      </c>
      <c r="T2816" s="64" t="n">
        <f aca="false">IF($K2816="Less",$P2816,0)</f>
        <v>0</v>
      </c>
      <c r="U2816" s="64" t="n">
        <f aca="false">IF($K2816="Expected",$P2816,0)</f>
        <v>0</v>
      </c>
      <c r="V2816" s="64" t="n">
        <f aca="false">IF($K2816="Better",$P2816,0)</f>
        <v>0</v>
      </c>
      <c r="W2816" s="64" t="n">
        <f aca="false">IF($K2816="U – needs rule",$P2816,0)</f>
        <v>0</v>
      </c>
      <c r="X2816" s="64" t="n">
        <f aca="false">IF($K2816="No Start (attainment only)",$P2816,0)</f>
        <v>0</v>
      </c>
    </row>
    <row r="2817" customFormat="false" ht="15" hidden="false" customHeight="false" outlineLevel="0" collapsed="false">
      <c r="A2817" s="60"/>
      <c r="B2817" s="61" t="str">
        <f aca="false">IF($M2817=0,"",INDEX(Classes!$E$6:$E$420,$M2817))</f>
        <v/>
      </c>
      <c r="C2817" s="62" t="str">
        <f aca="false">IF($M2817=0,"",INDEX(Classes!$H$6:$H$420,$M2817))</f>
        <v/>
      </c>
      <c r="D2817" s="61" t="str">
        <f aca="false">IF($M2817=0,"",INDEX(Classes!$B$6:$B$420,$M2817))</f>
        <v/>
      </c>
      <c r="E2817" s="61" t="str">
        <f aca="false">IF($M2817=0,"",INDEX(Classes!$C$6:$C$420,$M2817))</f>
        <v/>
      </c>
      <c r="F2817" s="63"/>
      <c r="G2817" s="63"/>
      <c r="H2817" s="60"/>
      <c r="I2817" s="60"/>
      <c r="J2817" s="63"/>
      <c r="K2817" s="61" t="str">
        <f aca="false">IF($P2817=0,"",IF($F2817="Baseline","— Baseline",IF($O2817=0,"No result",IF($N2817=0,"No Start (attainment only)",IF(OR($N2817=1,$O2817=1),"U – needs rule",INDEX(MxBody,MATCH($I2817,MxCurr,0),MATCH($H2817,MxStart,0)))))))</f>
        <v/>
      </c>
      <c r="L2817" s="62" t="str">
        <f aca="false">IF(COUNTA($A2817,$F2817,$G2817,$H2817,$I2817,$J2817)=0,"",IF($M2817=0,"✖ كود الصف غير موجود",IF(ISNA(MATCH($F2817,Lists!$A$2:$A$5,0)),"✖ الفترة غير صحيحة",IF(ISNA(MATCH($G2817,Lists!$B$2:$B$7,0)),"✖ المجموعة غير صحيحة",IF(NOT(OR($H2817="",$N2817&gt;0)),"✖ Start غير صحيح",IF(NOT(OR($I2817="",$I2817="NR",$O2817&gt;0)),"✖ Current غير صحيح",IF(NOT(IF(ISNUMBER($J2817),AND($J2817&gt;=0,$J2817=INT($J2817)),FALSE())),"✖ العدد يجب أن يكون صحيحًا ≥ 0",IF(AND($F2817="Baseline",$H2817&lt;&gt;""),"⚠ Baseline: Start لا يدخل في التقدم",IF($K2817="No Start (attainment only)","ℹ تحصيل فقط (بدون Start)",IF($K2817="U – needs rule","ℹ حالة U تحتاج قاعدة معتمدة",IF($K2817="No result","ℹ بدون نتيجة (يُستبعد من التحصيل)","OK")))))))))))</f>
        <v/>
      </c>
      <c r="M2817" s="64" t="n">
        <f aca="false">IF($A2817="",0,IFERROR(MATCH($A2817,Classes!$A$6:$A$420,0),0))</f>
        <v>0</v>
      </c>
      <c r="N2817" s="64" t="n">
        <f aca="false">IF($H2817="",0,IFERROR(MATCH($H2817,GradeList,0),0))</f>
        <v>0</v>
      </c>
      <c r="O2817" s="64" t="n">
        <f aca="false">IF(OR($I2817="",$I2817="NR"),0,IFERROR(MATCH($I2817,GradeList,0),0))</f>
        <v>0</v>
      </c>
      <c r="P2817" s="64" t="n">
        <f aca="false">IF(AND($M2817&gt;0,ISNUMBER(MATCH($F2817,Lists!$A$2:$A$5,0)),ISNUMBER(MATCH($G2817,Lists!$B$2:$B$7,0)),OR($H2817="",$N2817&gt;0),OR($I2817="",$I2817="NR",$O2817&gt;0),IF(ISNUMBER($J2817),AND($J2817&gt;=0,$J2817=INT($J2817)),FALSE())),$J2817,0)</f>
        <v>0</v>
      </c>
      <c r="Q2817" s="64" t="n">
        <f aca="false">IF(AND($P2817&gt;0,$O2817&gt;0),$P2817,0)</f>
        <v>0</v>
      </c>
      <c r="R2817" s="64" t="n">
        <f aca="false">IF(AND($Q2817&gt;0,$O2817&gt;=AtRank),$Q2817,0)</f>
        <v>0</v>
      </c>
      <c r="S2817" s="64" t="n">
        <f aca="false">IF(AND($Q2817&gt;0,$O2817&gt;=AboveRank),$Q2817,0)</f>
        <v>0</v>
      </c>
      <c r="T2817" s="64" t="n">
        <f aca="false">IF($K2817="Less",$P2817,0)</f>
        <v>0</v>
      </c>
      <c r="U2817" s="64" t="n">
        <f aca="false">IF($K2817="Expected",$P2817,0)</f>
        <v>0</v>
      </c>
      <c r="V2817" s="64" t="n">
        <f aca="false">IF($K2817="Better",$P2817,0)</f>
        <v>0</v>
      </c>
      <c r="W2817" s="64" t="n">
        <f aca="false">IF($K2817="U – needs rule",$P2817,0)</f>
        <v>0</v>
      </c>
      <c r="X2817" s="64" t="n">
        <f aca="false">IF($K2817="No Start (attainment only)",$P2817,0)</f>
        <v>0</v>
      </c>
    </row>
    <row r="2818" customFormat="false" ht="15" hidden="false" customHeight="false" outlineLevel="0" collapsed="false">
      <c r="A2818" s="60"/>
      <c r="B2818" s="61" t="str">
        <f aca="false">IF($M2818=0,"",INDEX(Classes!$E$6:$E$420,$M2818))</f>
        <v/>
      </c>
      <c r="C2818" s="62" t="str">
        <f aca="false">IF($M2818=0,"",INDEX(Classes!$H$6:$H$420,$M2818))</f>
        <v/>
      </c>
      <c r="D2818" s="61" t="str">
        <f aca="false">IF($M2818=0,"",INDEX(Classes!$B$6:$B$420,$M2818))</f>
        <v/>
      </c>
      <c r="E2818" s="61" t="str">
        <f aca="false">IF($M2818=0,"",INDEX(Classes!$C$6:$C$420,$M2818))</f>
        <v/>
      </c>
      <c r="F2818" s="63"/>
      <c r="G2818" s="63"/>
      <c r="H2818" s="60"/>
      <c r="I2818" s="60"/>
      <c r="J2818" s="63"/>
      <c r="K2818" s="61" t="str">
        <f aca="false">IF($P2818=0,"",IF($F2818="Baseline","— Baseline",IF($O2818=0,"No result",IF($N2818=0,"No Start (attainment only)",IF(OR($N2818=1,$O2818=1),"U – needs rule",INDEX(MxBody,MATCH($I2818,MxCurr,0),MATCH($H2818,MxStart,0)))))))</f>
        <v/>
      </c>
      <c r="L2818" s="62" t="str">
        <f aca="false">IF(COUNTA($A2818,$F2818,$G2818,$H2818,$I2818,$J2818)=0,"",IF($M2818=0,"✖ كود الصف غير موجود",IF(ISNA(MATCH($F2818,Lists!$A$2:$A$5,0)),"✖ الفترة غير صحيحة",IF(ISNA(MATCH($G2818,Lists!$B$2:$B$7,0)),"✖ المجموعة غير صحيحة",IF(NOT(OR($H2818="",$N2818&gt;0)),"✖ Start غير صحيح",IF(NOT(OR($I2818="",$I2818="NR",$O2818&gt;0)),"✖ Current غير صحيح",IF(NOT(IF(ISNUMBER($J2818),AND($J2818&gt;=0,$J2818=INT($J2818)),FALSE())),"✖ العدد يجب أن يكون صحيحًا ≥ 0",IF(AND($F2818="Baseline",$H2818&lt;&gt;""),"⚠ Baseline: Start لا يدخل في التقدم",IF($K2818="No Start (attainment only)","ℹ تحصيل فقط (بدون Start)",IF($K2818="U – needs rule","ℹ حالة U تحتاج قاعدة معتمدة",IF($K2818="No result","ℹ بدون نتيجة (يُستبعد من التحصيل)","OK")))))))))))</f>
        <v/>
      </c>
      <c r="M2818" s="64" t="n">
        <f aca="false">IF($A2818="",0,IFERROR(MATCH($A2818,Classes!$A$6:$A$420,0),0))</f>
        <v>0</v>
      </c>
      <c r="N2818" s="64" t="n">
        <f aca="false">IF($H2818="",0,IFERROR(MATCH($H2818,GradeList,0),0))</f>
        <v>0</v>
      </c>
      <c r="O2818" s="64" t="n">
        <f aca="false">IF(OR($I2818="",$I2818="NR"),0,IFERROR(MATCH($I2818,GradeList,0),0))</f>
        <v>0</v>
      </c>
      <c r="P2818" s="64" t="n">
        <f aca="false">IF(AND($M2818&gt;0,ISNUMBER(MATCH($F2818,Lists!$A$2:$A$5,0)),ISNUMBER(MATCH($G2818,Lists!$B$2:$B$7,0)),OR($H2818="",$N2818&gt;0),OR($I2818="",$I2818="NR",$O2818&gt;0),IF(ISNUMBER($J2818),AND($J2818&gt;=0,$J2818=INT($J2818)),FALSE())),$J2818,0)</f>
        <v>0</v>
      </c>
      <c r="Q2818" s="64" t="n">
        <f aca="false">IF(AND($P2818&gt;0,$O2818&gt;0),$P2818,0)</f>
        <v>0</v>
      </c>
      <c r="R2818" s="64" t="n">
        <f aca="false">IF(AND($Q2818&gt;0,$O2818&gt;=AtRank),$Q2818,0)</f>
        <v>0</v>
      </c>
      <c r="S2818" s="64" t="n">
        <f aca="false">IF(AND($Q2818&gt;0,$O2818&gt;=AboveRank),$Q2818,0)</f>
        <v>0</v>
      </c>
      <c r="T2818" s="64" t="n">
        <f aca="false">IF($K2818="Less",$P2818,0)</f>
        <v>0</v>
      </c>
      <c r="U2818" s="64" t="n">
        <f aca="false">IF($K2818="Expected",$P2818,0)</f>
        <v>0</v>
      </c>
      <c r="V2818" s="64" t="n">
        <f aca="false">IF($K2818="Better",$P2818,0)</f>
        <v>0</v>
      </c>
      <c r="W2818" s="64" t="n">
        <f aca="false">IF($K2818="U – needs rule",$P2818,0)</f>
        <v>0</v>
      </c>
      <c r="X2818" s="64" t="n">
        <f aca="false">IF($K2818="No Start (attainment only)",$P2818,0)</f>
        <v>0</v>
      </c>
    </row>
    <row r="2819" customFormat="false" ht="15" hidden="false" customHeight="false" outlineLevel="0" collapsed="false">
      <c r="A2819" s="60"/>
      <c r="B2819" s="61" t="str">
        <f aca="false">IF($M2819=0,"",INDEX(Classes!$E$6:$E$420,$M2819))</f>
        <v/>
      </c>
      <c r="C2819" s="62" t="str">
        <f aca="false">IF($M2819=0,"",INDEX(Classes!$H$6:$H$420,$M2819))</f>
        <v/>
      </c>
      <c r="D2819" s="61" t="str">
        <f aca="false">IF($M2819=0,"",INDEX(Classes!$B$6:$B$420,$M2819))</f>
        <v/>
      </c>
      <c r="E2819" s="61" t="str">
        <f aca="false">IF($M2819=0,"",INDEX(Classes!$C$6:$C$420,$M2819))</f>
        <v/>
      </c>
      <c r="F2819" s="63"/>
      <c r="G2819" s="63"/>
      <c r="H2819" s="60"/>
      <c r="I2819" s="60"/>
      <c r="J2819" s="63"/>
      <c r="K2819" s="61" t="str">
        <f aca="false">IF($P2819=0,"",IF($F2819="Baseline","— Baseline",IF($O2819=0,"No result",IF($N2819=0,"No Start (attainment only)",IF(OR($N2819=1,$O2819=1),"U – needs rule",INDEX(MxBody,MATCH($I2819,MxCurr,0),MATCH($H2819,MxStart,0)))))))</f>
        <v/>
      </c>
      <c r="L2819" s="62" t="str">
        <f aca="false">IF(COUNTA($A2819,$F2819,$G2819,$H2819,$I2819,$J2819)=0,"",IF($M2819=0,"✖ كود الصف غير موجود",IF(ISNA(MATCH($F2819,Lists!$A$2:$A$5,0)),"✖ الفترة غير صحيحة",IF(ISNA(MATCH($G2819,Lists!$B$2:$B$7,0)),"✖ المجموعة غير صحيحة",IF(NOT(OR($H2819="",$N2819&gt;0)),"✖ Start غير صحيح",IF(NOT(OR($I2819="",$I2819="NR",$O2819&gt;0)),"✖ Current غير صحيح",IF(NOT(IF(ISNUMBER($J2819),AND($J2819&gt;=0,$J2819=INT($J2819)),FALSE())),"✖ العدد يجب أن يكون صحيحًا ≥ 0",IF(AND($F2819="Baseline",$H2819&lt;&gt;""),"⚠ Baseline: Start لا يدخل في التقدم",IF($K2819="No Start (attainment only)","ℹ تحصيل فقط (بدون Start)",IF($K2819="U – needs rule","ℹ حالة U تحتاج قاعدة معتمدة",IF($K2819="No result","ℹ بدون نتيجة (يُستبعد من التحصيل)","OK")))))))))))</f>
        <v/>
      </c>
      <c r="M2819" s="64" t="n">
        <f aca="false">IF($A2819="",0,IFERROR(MATCH($A2819,Classes!$A$6:$A$420,0),0))</f>
        <v>0</v>
      </c>
      <c r="N2819" s="64" t="n">
        <f aca="false">IF($H2819="",0,IFERROR(MATCH($H2819,GradeList,0),0))</f>
        <v>0</v>
      </c>
      <c r="O2819" s="64" t="n">
        <f aca="false">IF(OR($I2819="",$I2819="NR"),0,IFERROR(MATCH($I2819,GradeList,0),0))</f>
        <v>0</v>
      </c>
      <c r="P2819" s="64" t="n">
        <f aca="false">IF(AND($M2819&gt;0,ISNUMBER(MATCH($F2819,Lists!$A$2:$A$5,0)),ISNUMBER(MATCH($G2819,Lists!$B$2:$B$7,0)),OR($H2819="",$N2819&gt;0),OR($I2819="",$I2819="NR",$O2819&gt;0),IF(ISNUMBER($J2819),AND($J2819&gt;=0,$J2819=INT($J2819)),FALSE())),$J2819,0)</f>
        <v>0</v>
      </c>
      <c r="Q2819" s="64" t="n">
        <f aca="false">IF(AND($P2819&gt;0,$O2819&gt;0),$P2819,0)</f>
        <v>0</v>
      </c>
      <c r="R2819" s="64" t="n">
        <f aca="false">IF(AND($Q2819&gt;0,$O2819&gt;=AtRank),$Q2819,0)</f>
        <v>0</v>
      </c>
      <c r="S2819" s="64" t="n">
        <f aca="false">IF(AND($Q2819&gt;0,$O2819&gt;=AboveRank),$Q2819,0)</f>
        <v>0</v>
      </c>
      <c r="T2819" s="64" t="n">
        <f aca="false">IF($K2819="Less",$P2819,0)</f>
        <v>0</v>
      </c>
      <c r="U2819" s="64" t="n">
        <f aca="false">IF($K2819="Expected",$P2819,0)</f>
        <v>0</v>
      </c>
      <c r="V2819" s="64" t="n">
        <f aca="false">IF($K2819="Better",$P2819,0)</f>
        <v>0</v>
      </c>
      <c r="W2819" s="64" t="n">
        <f aca="false">IF($K2819="U – needs rule",$P2819,0)</f>
        <v>0</v>
      </c>
      <c r="X2819" s="64" t="n">
        <f aca="false">IF($K2819="No Start (attainment only)",$P2819,0)</f>
        <v>0</v>
      </c>
    </row>
    <row r="2820" customFormat="false" ht="15" hidden="false" customHeight="false" outlineLevel="0" collapsed="false">
      <c r="A2820" s="60"/>
      <c r="B2820" s="61" t="str">
        <f aca="false">IF($M2820=0,"",INDEX(Classes!$E$6:$E$420,$M2820))</f>
        <v/>
      </c>
      <c r="C2820" s="62" t="str">
        <f aca="false">IF($M2820=0,"",INDEX(Classes!$H$6:$H$420,$M2820))</f>
        <v/>
      </c>
      <c r="D2820" s="61" t="str">
        <f aca="false">IF($M2820=0,"",INDEX(Classes!$B$6:$B$420,$M2820))</f>
        <v/>
      </c>
      <c r="E2820" s="61" t="str">
        <f aca="false">IF($M2820=0,"",INDEX(Classes!$C$6:$C$420,$M2820))</f>
        <v/>
      </c>
      <c r="F2820" s="63"/>
      <c r="G2820" s="63"/>
      <c r="H2820" s="60"/>
      <c r="I2820" s="60"/>
      <c r="J2820" s="63"/>
      <c r="K2820" s="61" t="str">
        <f aca="false">IF($P2820=0,"",IF($F2820="Baseline","— Baseline",IF($O2820=0,"No result",IF($N2820=0,"No Start (attainment only)",IF(OR($N2820=1,$O2820=1),"U – needs rule",INDEX(MxBody,MATCH($I2820,MxCurr,0),MATCH($H2820,MxStart,0)))))))</f>
        <v/>
      </c>
      <c r="L2820" s="62" t="str">
        <f aca="false">IF(COUNTA($A2820,$F2820,$G2820,$H2820,$I2820,$J2820)=0,"",IF($M2820=0,"✖ كود الصف غير موجود",IF(ISNA(MATCH($F2820,Lists!$A$2:$A$5,0)),"✖ الفترة غير صحيحة",IF(ISNA(MATCH($G2820,Lists!$B$2:$B$7,0)),"✖ المجموعة غير صحيحة",IF(NOT(OR($H2820="",$N2820&gt;0)),"✖ Start غير صحيح",IF(NOT(OR($I2820="",$I2820="NR",$O2820&gt;0)),"✖ Current غير صحيح",IF(NOT(IF(ISNUMBER($J2820),AND($J2820&gt;=0,$J2820=INT($J2820)),FALSE())),"✖ العدد يجب أن يكون صحيحًا ≥ 0",IF(AND($F2820="Baseline",$H2820&lt;&gt;""),"⚠ Baseline: Start لا يدخل في التقدم",IF($K2820="No Start (attainment only)","ℹ تحصيل فقط (بدون Start)",IF($K2820="U – needs rule","ℹ حالة U تحتاج قاعدة معتمدة",IF($K2820="No result","ℹ بدون نتيجة (يُستبعد من التحصيل)","OK")))))))))))</f>
        <v/>
      </c>
      <c r="M2820" s="64" t="n">
        <f aca="false">IF($A2820="",0,IFERROR(MATCH($A2820,Classes!$A$6:$A$420,0),0))</f>
        <v>0</v>
      </c>
      <c r="N2820" s="64" t="n">
        <f aca="false">IF($H2820="",0,IFERROR(MATCH($H2820,GradeList,0),0))</f>
        <v>0</v>
      </c>
      <c r="O2820" s="64" t="n">
        <f aca="false">IF(OR($I2820="",$I2820="NR"),0,IFERROR(MATCH($I2820,GradeList,0),0))</f>
        <v>0</v>
      </c>
      <c r="P2820" s="64" t="n">
        <f aca="false">IF(AND($M2820&gt;0,ISNUMBER(MATCH($F2820,Lists!$A$2:$A$5,0)),ISNUMBER(MATCH($G2820,Lists!$B$2:$B$7,0)),OR($H2820="",$N2820&gt;0),OR($I2820="",$I2820="NR",$O2820&gt;0),IF(ISNUMBER($J2820),AND($J2820&gt;=0,$J2820=INT($J2820)),FALSE())),$J2820,0)</f>
        <v>0</v>
      </c>
      <c r="Q2820" s="64" t="n">
        <f aca="false">IF(AND($P2820&gt;0,$O2820&gt;0),$P2820,0)</f>
        <v>0</v>
      </c>
      <c r="R2820" s="64" t="n">
        <f aca="false">IF(AND($Q2820&gt;0,$O2820&gt;=AtRank),$Q2820,0)</f>
        <v>0</v>
      </c>
      <c r="S2820" s="64" t="n">
        <f aca="false">IF(AND($Q2820&gt;0,$O2820&gt;=AboveRank),$Q2820,0)</f>
        <v>0</v>
      </c>
      <c r="T2820" s="64" t="n">
        <f aca="false">IF($K2820="Less",$P2820,0)</f>
        <v>0</v>
      </c>
      <c r="U2820" s="64" t="n">
        <f aca="false">IF($K2820="Expected",$P2820,0)</f>
        <v>0</v>
      </c>
      <c r="V2820" s="64" t="n">
        <f aca="false">IF($K2820="Better",$P2820,0)</f>
        <v>0</v>
      </c>
      <c r="W2820" s="64" t="n">
        <f aca="false">IF($K2820="U – needs rule",$P2820,0)</f>
        <v>0</v>
      </c>
      <c r="X2820" s="64" t="n">
        <f aca="false">IF($K2820="No Start (attainment only)",$P2820,0)</f>
        <v>0</v>
      </c>
    </row>
    <row r="2821" customFormat="false" ht="15" hidden="false" customHeight="false" outlineLevel="0" collapsed="false">
      <c r="A2821" s="60"/>
      <c r="B2821" s="61" t="str">
        <f aca="false">IF($M2821=0,"",INDEX(Classes!$E$6:$E$420,$M2821))</f>
        <v/>
      </c>
      <c r="C2821" s="62" t="str">
        <f aca="false">IF($M2821=0,"",INDEX(Classes!$H$6:$H$420,$M2821))</f>
        <v/>
      </c>
      <c r="D2821" s="61" t="str">
        <f aca="false">IF($M2821=0,"",INDEX(Classes!$B$6:$B$420,$M2821))</f>
        <v/>
      </c>
      <c r="E2821" s="61" t="str">
        <f aca="false">IF($M2821=0,"",INDEX(Classes!$C$6:$C$420,$M2821))</f>
        <v/>
      </c>
      <c r="F2821" s="63"/>
      <c r="G2821" s="63"/>
      <c r="H2821" s="60"/>
      <c r="I2821" s="60"/>
      <c r="J2821" s="63"/>
      <c r="K2821" s="61" t="str">
        <f aca="false">IF($P2821=0,"",IF($F2821="Baseline","— Baseline",IF($O2821=0,"No result",IF($N2821=0,"No Start (attainment only)",IF(OR($N2821=1,$O2821=1),"U – needs rule",INDEX(MxBody,MATCH($I2821,MxCurr,0),MATCH($H2821,MxStart,0)))))))</f>
        <v/>
      </c>
      <c r="L2821" s="62" t="str">
        <f aca="false">IF(COUNTA($A2821,$F2821,$G2821,$H2821,$I2821,$J2821)=0,"",IF($M2821=0,"✖ كود الصف غير موجود",IF(ISNA(MATCH($F2821,Lists!$A$2:$A$5,0)),"✖ الفترة غير صحيحة",IF(ISNA(MATCH($G2821,Lists!$B$2:$B$7,0)),"✖ المجموعة غير صحيحة",IF(NOT(OR($H2821="",$N2821&gt;0)),"✖ Start غير صحيح",IF(NOT(OR($I2821="",$I2821="NR",$O2821&gt;0)),"✖ Current غير صحيح",IF(NOT(IF(ISNUMBER($J2821),AND($J2821&gt;=0,$J2821=INT($J2821)),FALSE())),"✖ العدد يجب أن يكون صحيحًا ≥ 0",IF(AND($F2821="Baseline",$H2821&lt;&gt;""),"⚠ Baseline: Start لا يدخل في التقدم",IF($K2821="No Start (attainment only)","ℹ تحصيل فقط (بدون Start)",IF($K2821="U – needs rule","ℹ حالة U تحتاج قاعدة معتمدة",IF($K2821="No result","ℹ بدون نتيجة (يُستبعد من التحصيل)","OK")))))))))))</f>
        <v/>
      </c>
      <c r="M2821" s="64" t="n">
        <f aca="false">IF($A2821="",0,IFERROR(MATCH($A2821,Classes!$A$6:$A$420,0),0))</f>
        <v>0</v>
      </c>
      <c r="N2821" s="64" t="n">
        <f aca="false">IF($H2821="",0,IFERROR(MATCH($H2821,GradeList,0),0))</f>
        <v>0</v>
      </c>
      <c r="O2821" s="64" t="n">
        <f aca="false">IF(OR($I2821="",$I2821="NR"),0,IFERROR(MATCH($I2821,GradeList,0),0))</f>
        <v>0</v>
      </c>
      <c r="P2821" s="64" t="n">
        <f aca="false">IF(AND($M2821&gt;0,ISNUMBER(MATCH($F2821,Lists!$A$2:$A$5,0)),ISNUMBER(MATCH($G2821,Lists!$B$2:$B$7,0)),OR($H2821="",$N2821&gt;0),OR($I2821="",$I2821="NR",$O2821&gt;0),IF(ISNUMBER($J2821),AND($J2821&gt;=0,$J2821=INT($J2821)),FALSE())),$J2821,0)</f>
        <v>0</v>
      </c>
      <c r="Q2821" s="64" t="n">
        <f aca="false">IF(AND($P2821&gt;0,$O2821&gt;0),$P2821,0)</f>
        <v>0</v>
      </c>
      <c r="R2821" s="64" t="n">
        <f aca="false">IF(AND($Q2821&gt;0,$O2821&gt;=AtRank),$Q2821,0)</f>
        <v>0</v>
      </c>
      <c r="S2821" s="64" t="n">
        <f aca="false">IF(AND($Q2821&gt;0,$O2821&gt;=AboveRank),$Q2821,0)</f>
        <v>0</v>
      </c>
      <c r="T2821" s="64" t="n">
        <f aca="false">IF($K2821="Less",$P2821,0)</f>
        <v>0</v>
      </c>
      <c r="U2821" s="64" t="n">
        <f aca="false">IF($K2821="Expected",$P2821,0)</f>
        <v>0</v>
      </c>
      <c r="V2821" s="64" t="n">
        <f aca="false">IF($K2821="Better",$P2821,0)</f>
        <v>0</v>
      </c>
      <c r="W2821" s="64" t="n">
        <f aca="false">IF($K2821="U – needs rule",$P2821,0)</f>
        <v>0</v>
      </c>
      <c r="X2821" s="64" t="n">
        <f aca="false">IF($K2821="No Start (attainment only)",$P2821,0)</f>
        <v>0</v>
      </c>
    </row>
    <row r="2822" customFormat="false" ht="15" hidden="false" customHeight="false" outlineLevel="0" collapsed="false">
      <c r="A2822" s="60"/>
      <c r="B2822" s="61" t="str">
        <f aca="false">IF($M2822=0,"",INDEX(Classes!$E$6:$E$420,$M2822))</f>
        <v/>
      </c>
      <c r="C2822" s="62" t="str">
        <f aca="false">IF($M2822=0,"",INDEX(Classes!$H$6:$H$420,$M2822))</f>
        <v/>
      </c>
      <c r="D2822" s="61" t="str">
        <f aca="false">IF($M2822=0,"",INDEX(Classes!$B$6:$B$420,$M2822))</f>
        <v/>
      </c>
      <c r="E2822" s="61" t="str">
        <f aca="false">IF($M2822=0,"",INDEX(Classes!$C$6:$C$420,$M2822))</f>
        <v/>
      </c>
      <c r="F2822" s="63"/>
      <c r="G2822" s="63"/>
      <c r="H2822" s="60"/>
      <c r="I2822" s="60"/>
      <c r="J2822" s="63"/>
      <c r="K2822" s="61" t="str">
        <f aca="false">IF($P2822=0,"",IF($F2822="Baseline","— Baseline",IF($O2822=0,"No result",IF($N2822=0,"No Start (attainment only)",IF(OR($N2822=1,$O2822=1),"U – needs rule",INDEX(MxBody,MATCH($I2822,MxCurr,0),MATCH($H2822,MxStart,0)))))))</f>
        <v/>
      </c>
      <c r="L2822" s="62" t="str">
        <f aca="false">IF(COUNTA($A2822,$F2822,$G2822,$H2822,$I2822,$J2822)=0,"",IF($M2822=0,"✖ كود الصف غير موجود",IF(ISNA(MATCH($F2822,Lists!$A$2:$A$5,0)),"✖ الفترة غير صحيحة",IF(ISNA(MATCH($G2822,Lists!$B$2:$B$7,0)),"✖ المجموعة غير صحيحة",IF(NOT(OR($H2822="",$N2822&gt;0)),"✖ Start غير صحيح",IF(NOT(OR($I2822="",$I2822="NR",$O2822&gt;0)),"✖ Current غير صحيح",IF(NOT(IF(ISNUMBER($J2822),AND($J2822&gt;=0,$J2822=INT($J2822)),FALSE())),"✖ العدد يجب أن يكون صحيحًا ≥ 0",IF(AND($F2822="Baseline",$H2822&lt;&gt;""),"⚠ Baseline: Start لا يدخل في التقدم",IF($K2822="No Start (attainment only)","ℹ تحصيل فقط (بدون Start)",IF($K2822="U – needs rule","ℹ حالة U تحتاج قاعدة معتمدة",IF($K2822="No result","ℹ بدون نتيجة (يُستبعد من التحصيل)","OK")))))))))))</f>
        <v/>
      </c>
      <c r="M2822" s="64" t="n">
        <f aca="false">IF($A2822="",0,IFERROR(MATCH($A2822,Classes!$A$6:$A$420,0),0))</f>
        <v>0</v>
      </c>
      <c r="N2822" s="64" t="n">
        <f aca="false">IF($H2822="",0,IFERROR(MATCH($H2822,GradeList,0),0))</f>
        <v>0</v>
      </c>
      <c r="O2822" s="64" t="n">
        <f aca="false">IF(OR($I2822="",$I2822="NR"),0,IFERROR(MATCH($I2822,GradeList,0),0))</f>
        <v>0</v>
      </c>
      <c r="P2822" s="64" t="n">
        <f aca="false">IF(AND($M2822&gt;0,ISNUMBER(MATCH($F2822,Lists!$A$2:$A$5,0)),ISNUMBER(MATCH($G2822,Lists!$B$2:$B$7,0)),OR($H2822="",$N2822&gt;0),OR($I2822="",$I2822="NR",$O2822&gt;0),IF(ISNUMBER($J2822),AND($J2822&gt;=0,$J2822=INT($J2822)),FALSE())),$J2822,0)</f>
        <v>0</v>
      </c>
      <c r="Q2822" s="64" t="n">
        <f aca="false">IF(AND($P2822&gt;0,$O2822&gt;0),$P2822,0)</f>
        <v>0</v>
      </c>
      <c r="R2822" s="64" t="n">
        <f aca="false">IF(AND($Q2822&gt;0,$O2822&gt;=AtRank),$Q2822,0)</f>
        <v>0</v>
      </c>
      <c r="S2822" s="64" t="n">
        <f aca="false">IF(AND($Q2822&gt;0,$O2822&gt;=AboveRank),$Q2822,0)</f>
        <v>0</v>
      </c>
      <c r="T2822" s="64" t="n">
        <f aca="false">IF($K2822="Less",$P2822,0)</f>
        <v>0</v>
      </c>
      <c r="U2822" s="64" t="n">
        <f aca="false">IF($K2822="Expected",$P2822,0)</f>
        <v>0</v>
      </c>
      <c r="V2822" s="64" t="n">
        <f aca="false">IF($K2822="Better",$P2822,0)</f>
        <v>0</v>
      </c>
      <c r="W2822" s="64" t="n">
        <f aca="false">IF($K2822="U – needs rule",$P2822,0)</f>
        <v>0</v>
      </c>
      <c r="X2822" s="64" t="n">
        <f aca="false">IF($K2822="No Start (attainment only)",$P2822,0)</f>
        <v>0</v>
      </c>
    </row>
    <row r="2823" customFormat="false" ht="15" hidden="false" customHeight="false" outlineLevel="0" collapsed="false">
      <c r="A2823" s="60"/>
      <c r="B2823" s="61" t="str">
        <f aca="false">IF($M2823=0,"",INDEX(Classes!$E$6:$E$420,$M2823))</f>
        <v/>
      </c>
      <c r="C2823" s="62" t="str">
        <f aca="false">IF($M2823=0,"",INDEX(Classes!$H$6:$H$420,$M2823))</f>
        <v/>
      </c>
      <c r="D2823" s="61" t="str">
        <f aca="false">IF($M2823=0,"",INDEX(Classes!$B$6:$B$420,$M2823))</f>
        <v/>
      </c>
      <c r="E2823" s="61" t="str">
        <f aca="false">IF($M2823=0,"",INDEX(Classes!$C$6:$C$420,$M2823))</f>
        <v/>
      </c>
      <c r="F2823" s="63"/>
      <c r="G2823" s="63"/>
      <c r="H2823" s="60"/>
      <c r="I2823" s="60"/>
      <c r="J2823" s="63"/>
      <c r="K2823" s="61" t="str">
        <f aca="false">IF($P2823=0,"",IF($F2823="Baseline","— Baseline",IF($O2823=0,"No result",IF($N2823=0,"No Start (attainment only)",IF(OR($N2823=1,$O2823=1),"U – needs rule",INDEX(MxBody,MATCH($I2823,MxCurr,0),MATCH($H2823,MxStart,0)))))))</f>
        <v/>
      </c>
      <c r="L2823" s="62" t="str">
        <f aca="false">IF(COUNTA($A2823,$F2823,$G2823,$H2823,$I2823,$J2823)=0,"",IF($M2823=0,"✖ كود الصف غير موجود",IF(ISNA(MATCH($F2823,Lists!$A$2:$A$5,0)),"✖ الفترة غير صحيحة",IF(ISNA(MATCH($G2823,Lists!$B$2:$B$7,0)),"✖ المجموعة غير صحيحة",IF(NOT(OR($H2823="",$N2823&gt;0)),"✖ Start غير صحيح",IF(NOT(OR($I2823="",$I2823="NR",$O2823&gt;0)),"✖ Current غير صحيح",IF(NOT(IF(ISNUMBER($J2823),AND($J2823&gt;=0,$J2823=INT($J2823)),FALSE())),"✖ العدد يجب أن يكون صحيحًا ≥ 0",IF(AND($F2823="Baseline",$H2823&lt;&gt;""),"⚠ Baseline: Start لا يدخل في التقدم",IF($K2823="No Start (attainment only)","ℹ تحصيل فقط (بدون Start)",IF($K2823="U – needs rule","ℹ حالة U تحتاج قاعدة معتمدة",IF($K2823="No result","ℹ بدون نتيجة (يُستبعد من التحصيل)","OK")))))))))))</f>
        <v/>
      </c>
      <c r="M2823" s="64" t="n">
        <f aca="false">IF($A2823="",0,IFERROR(MATCH($A2823,Classes!$A$6:$A$420,0),0))</f>
        <v>0</v>
      </c>
      <c r="N2823" s="64" t="n">
        <f aca="false">IF($H2823="",0,IFERROR(MATCH($H2823,GradeList,0),0))</f>
        <v>0</v>
      </c>
      <c r="O2823" s="64" t="n">
        <f aca="false">IF(OR($I2823="",$I2823="NR"),0,IFERROR(MATCH($I2823,GradeList,0),0))</f>
        <v>0</v>
      </c>
      <c r="P2823" s="64" t="n">
        <f aca="false">IF(AND($M2823&gt;0,ISNUMBER(MATCH($F2823,Lists!$A$2:$A$5,0)),ISNUMBER(MATCH($G2823,Lists!$B$2:$B$7,0)),OR($H2823="",$N2823&gt;0),OR($I2823="",$I2823="NR",$O2823&gt;0),IF(ISNUMBER($J2823),AND($J2823&gt;=0,$J2823=INT($J2823)),FALSE())),$J2823,0)</f>
        <v>0</v>
      </c>
      <c r="Q2823" s="64" t="n">
        <f aca="false">IF(AND($P2823&gt;0,$O2823&gt;0),$P2823,0)</f>
        <v>0</v>
      </c>
      <c r="R2823" s="64" t="n">
        <f aca="false">IF(AND($Q2823&gt;0,$O2823&gt;=AtRank),$Q2823,0)</f>
        <v>0</v>
      </c>
      <c r="S2823" s="64" t="n">
        <f aca="false">IF(AND($Q2823&gt;0,$O2823&gt;=AboveRank),$Q2823,0)</f>
        <v>0</v>
      </c>
      <c r="T2823" s="64" t="n">
        <f aca="false">IF($K2823="Less",$P2823,0)</f>
        <v>0</v>
      </c>
      <c r="U2823" s="64" t="n">
        <f aca="false">IF($K2823="Expected",$P2823,0)</f>
        <v>0</v>
      </c>
      <c r="V2823" s="64" t="n">
        <f aca="false">IF($K2823="Better",$P2823,0)</f>
        <v>0</v>
      </c>
      <c r="W2823" s="64" t="n">
        <f aca="false">IF($K2823="U – needs rule",$P2823,0)</f>
        <v>0</v>
      </c>
      <c r="X2823" s="64" t="n">
        <f aca="false">IF($K2823="No Start (attainment only)",$P2823,0)</f>
        <v>0</v>
      </c>
    </row>
    <row r="2824" customFormat="false" ht="15" hidden="false" customHeight="false" outlineLevel="0" collapsed="false">
      <c r="A2824" s="60"/>
      <c r="B2824" s="61" t="str">
        <f aca="false">IF($M2824=0,"",INDEX(Classes!$E$6:$E$420,$M2824))</f>
        <v/>
      </c>
      <c r="C2824" s="62" t="str">
        <f aca="false">IF($M2824=0,"",INDEX(Classes!$H$6:$H$420,$M2824))</f>
        <v/>
      </c>
      <c r="D2824" s="61" t="str">
        <f aca="false">IF($M2824=0,"",INDEX(Classes!$B$6:$B$420,$M2824))</f>
        <v/>
      </c>
      <c r="E2824" s="61" t="str">
        <f aca="false">IF($M2824=0,"",INDEX(Classes!$C$6:$C$420,$M2824))</f>
        <v/>
      </c>
      <c r="F2824" s="63"/>
      <c r="G2824" s="63"/>
      <c r="H2824" s="60"/>
      <c r="I2824" s="60"/>
      <c r="J2824" s="63"/>
      <c r="K2824" s="61" t="str">
        <f aca="false">IF($P2824=0,"",IF($F2824="Baseline","— Baseline",IF($O2824=0,"No result",IF($N2824=0,"No Start (attainment only)",IF(OR($N2824=1,$O2824=1),"U – needs rule",INDEX(MxBody,MATCH($I2824,MxCurr,0),MATCH($H2824,MxStart,0)))))))</f>
        <v/>
      </c>
      <c r="L2824" s="62" t="str">
        <f aca="false">IF(COUNTA($A2824,$F2824,$G2824,$H2824,$I2824,$J2824)=0,"",IF($M2824=0,"✖ كود الصف غير موجود",IF(ISNA(MATCH($F2824,Lists!$A$2:$A$5,0)),"✖ الفترة غير صحيحة",IF(ISNA(MATCH($G2824,Lists!$B$2:$B$7,0)),"✖ المجموعة غير صحيحة",IF(NOT(OR($H2824="",$N2824&gt;0)),"✖ Start غير صحيح",IF(NOT(OR($I2824="",$I2824="NR",$O2824&gt;0)),"✖ Current غير صحيح",IF(NOT(IF(ISNUMBER($J2824),AND($J2824&gt;=0,$J2824=INT($J2824)),FALSE())),"✖ العدد يجب أن يكون صحيحًا ≥ 0",IF(AND($F2824="Baseline",$H2824&lt;&gt;""),"⚠ Baseline: Start لا يدخل في التقدم",IF($K2824="No Start (attainment only)","ℹ تحصيل فقط (بدون Start)",IF($K2824="U – needs rule","ℹ حالة U تحتاج قاعدة معتمدة",IF($K2824="No result","ℹ بدون نتيجة (يُستبعد من التحصيل)","OK")))))))))))</f>
        <v/>
      </c>
      <c r="M2824" s="64" t="n">
        <f aca="false">IF($A2824="",0,IFERROR(MATCH($A2824,Classes!$A$6:$A$420,0),0))</f>
        <v>0</v>
      </c>
      <c r="N2824" s="64" t="n">
        <f aca="false">IF($H2824="",0,IFERROR(MATCH($H2824,GradeList,0),0))</f>
        <v>0</v>
      </c>
      <c r="O2824" s="64" t="n">
        <f aca="false">IF(OR($I2824="",$I2824="NR"),0,IFERROR(MATCH($I2824,GradeList,0),0))</f>
        <v>0</v>
      </c>
      <c r="P2824" s="64" t="n">
        <f aca="false">IF(AND($M2824&gt;0,ISNUMBER(MATCH($F2824,Lists!$A$2:$A$5,0)),ISNUMBER(MATCH($G2824,Lists!$B$2:$B$7,0)),OR($H2824="",$N2824&gt;0),OR($I2824="",$I2824="NR",$O2824&gt;0),IF(ISNUMBER($J2824),AND($J2824&gt;=0,$J2824=INT($J2824)),FALSE())),$J2824,0)</f>
        <v>0</v>
      </c>
      <c r="Q2824" s="64" t="n">
        <f aca="false">IF(AND($P2824&gt;0,$O2824&gt;0),$P2824,0)</f>
        <v>0</v>
      </c>
      <c r="R2824" s="64" t="n">
        <f aca="false">IF(AND($Q2824&gt;0,$O2824&gt;=AtRank),$Q2824,0)</f>
        <v>0</v>
      </c>
      <c r="S2824" s="64" t="n">
        <f aca="false">IF(AND($Q2824&gt;0,$O2824&gt;=AboveRank),$Q2824,0)</f>
        <v>0</v>
      </c>
      <c r="T2824" s="64" t="n">
        <f aca="false">IF($K2824="Less",$P2824,0)</f>
        <v>0</v>
      </c>
      <c r="U2824" s="64" t="n">
        <f aca="false">IF($K2824="Expected",$P2824,0)</f>
        <v>0</v>
      </c>
      <c r="V2824" s="64" t="n">
        <f aca="false">IF($K2824="Better",$P2824,0)</f>
        <v>0</v>
      </c>
      <c r="W2824" s="64" t="n">
        <f aca="false">IF($K2824="U – needs rule",$P2824,0)</f>
        <v>0</v>
      </c>
      <c r="X2824" s="64" t="n">
        <f aca="false">IF($K2824="No Start (attainment only)",$P2824,0)</f>
        <v>0</v>
      </c>
    </row>
    <row r="2825" customFormat="false" ht="15" hidden="false" customHeight="false" outlineLevel="0" collapsed="false">
      <c r="A2825" s="60"/>
      <c r="B2825" s="61" t="str">
        <f aca="false">IF($M2825=0,"",INDEX(Classes!$E$6:$E$420,$M2825))</f>
        <v/>
      </c>
      <c r="C2825" s="62" t="str">
        <f aca="false">IF($M2825=0,"",INDEX(Classes!$H$6:$H$420,$M2825))</f>
        <v/>
      </c>
      <c r="D2825" s="61" t="str">
        <f aca="false">IF($M2825=0,"",INDEX(Classes!$B$6:$B$420,$M2825))</f>
        <v/>
      </c>
      <c r="E2825" s="61" t="str">
        <f aca="false">IF($M2825=0,"",INDEX(Classes!$C$6:$C$420,$M2825))</f>
        <v/>
      </c>
      <c r="F2825" s="63"/>
      <c r="G2825" s="63"/>
      <c r="H2825" s="60"/>
      <c r="I2825" s="60"/>
      <c r="J2825" s="63"/>
      <c r="K2825" s="61" t="str">
        <f aca="false">IF($P2825=0,"",IF($F2825="Baseline","— Baseline",IF($O2825=0,"No result",IF($N2825=0,"No Start (attainment only)",IF(OR($N2825=1,$O2825=1),"U – needs rule",INDEX(MxBody,MATCH($I2825,MxCurr,0),MATCH($H2825,MxStart,0)))))))</f>
        <v/>
      </c>
      <c r="L2825" s="62" t="str">
        <f aca="false">IF(COUNTA($A2825,$F2825,$G2825,$H2825,$I2825,$J2825)=0,"",IF($M2825=0,"✖ كود الصف غير موجود",IF(ISNA(MATCH($F2825,Lists!$A$2:$A$5,0)),"✖ الفترة غير صحيحة",IF(ISNA(MATCH($G2825,Lists!$B$2:$B$7,0)),"✖ المجموعة غير صحيحة",IF(NOT(OR($H2825="",$N2825&gt;0)),"✖ Start غير صحيح",IF(NOT(OR($I2825="",$I2825="NR",$O2825&gt;0)),"✖ Current غير صحيح",IF(NOT(IF(ISNUMBER($J2825),AND($J2825&gt;=0,$J2825=INT($J2825)),FALSE())),"✖ العدد يجب أن يكون صحيحًا ≥ 0",IF(AND($F2825="Baseline",$H2825&lt;&gt;""),"⚠ Baseline: Start لا يدخل في التقدم",IF($K2825="No Start (attainment only)","ℹ تحصيل فقط (بدون Start)",IF($K2825="U – needs rule","ℹ حالة U تحتاج قاعدة معتمدة",IF($K2825="No result","ℹ بدون نتيجة (يُستبعد من التحصيل)","OK")))))))))))</f>
        <v/>
      </c>
      <c r="M2825" s="64" t="n">
        <f aca="false">IF($A2825="",0,IFERROR(MATCH($A2825,Classes!$A$6:$A$420,0),0))</f>
        <v>0</v>
      </c>
      <c r="N2825" s="64" t="n">
        <f aca="false">IF($H2825="",0,IFERROR(MATCH($H2825,GradeList,0),0))</f>
        <v>0</v>
      </c>
      <c r="O2825" s="64" t="n">
        <f aca="false">IF(OR($I2825="",$I2825="NR"),0,IFERROR(MATCH($I2825,GradeList,0),0))</f>
        <v>0</v>
      </c>
      <c r="P2825" s="64" t="n">
        <f aca="false">IF(AND($M2825&gt;0,ISNUMBER(MATCH($F2825,Lists!$A$2:$A$5,0)),ISNUMBER(MATCH($G2825,Lists!$B$2:$B$7,0)),OR($H2825="",$N2825&gt;0),OR($I2825="",$I2825="NR",$O2825&gt;0),IF(ISNUMBER($J2825),AND($J2825&gt;=0,$J2825=INT($J2825)),FALSE())),$J2825,0)</f>
        <v>0</v>
      </c>
      <c r="Q2825" s="64" t="n">
        <f aca="false">IF(AND($P2825&gt;0,$O2825&gt;0),$P2825,0)</f>
        <v>0</v>
      </c>
      <c r="R2825" s="64" t="n">
        <f aca="false">IF(AND($Q2825&gt;0,$O2825&gt;=AtRank),$Q2825,0)</f>
        <v>0</v>
      </c>
      <c r="S2825" s="64" t="n">
        <f aca="false">IF(AND($Q2825&gt;0,$O2825&gt;=AboveRank),$Q2825,0)</f>
        <v>0</v>
      </c>
      <c r="T2825" s="64" t="n">
        <f aca="false">IF($K2825="Less",$P2825,0)</f>
        <v>0</v>
      </c>
      <c r="U2825" s="64" t="n">
        <f aca="false">IF($K2825="Expected",$P2825,0)</f>
        <v>0</v>
      </c>
      <c r="V2825" s="64" t="n">
        <f aca="false">IF($K2825="Better",$P2825,0)</f>
        <v>0</v>
      </c>
      <c r="W2825" s="64" t="n">
        <f aca="false">IF($K2825="U – needs rule",$P2825,0)</f>
        <v>0</v>
      </c>
      <c r="X2825" s="64" t="n">
        <f aca="false">IF($K2825="No Start (attainment only)",$P2825,0)</f>
        <v>0</v>
      </c>
    </row>
    <row r="2826" customFormat="false" ht="15" hidden="false" customHeight="false" outlineLevel="0" collapsed="false">
      <c r="A2826" s="60"/>
      <c r="B2826" s="61" t="str">
        <f aca="false">IF($M2826=0,"",INDEX(Classes!$E$6:$E$420,$M2826))</f>
        <v/>
      </c>
      <c r="C2826" s="62" t="str">
        <f aca="false">IF($M2826=0,"",INDEX(Classes!$H$6:$H$420,$M2826))</f>
        <v/>
      </c>
      <c r="D2826" s="61" t="str">
        <f aca="false">IF($M2826=0,"",INDEX(Classes!$B$6:$B$420,$M2826))</f>
        <v/>
      </c>
      <c r="E2826" s="61" t="str">
        <f aca="false">IF($M2826=0,"",INDEX(Classes!$C$6:$C$420,$M2826))</f>
        <v/>
      </c>
      <c r="F2826" s="63"/>
      <c r="G2826" s="63"/>
      <c r="H2826" s="60"/>
      <c r="I2826" s="60"/>
      <c r="J2826" s="63"/>
      <c r="K2826" s="61" t="str">
        <f aca="false">IF($P2826=0,"",IF($F2826="Baseline","— Baseline",IF($O2826=0,"No result",IF($N2826=0,"No Start (attainment only)",IF(OR($N2826=1,$O2826=1),"U – needs rule",INDEX(MxBody,MATCH($I2826,MxCurr,0),MATCH($H2826,MxStart,0)))))))</f>
        <v/>
      </c>
      <c r="L2826" s="62" t="str">
        <f aca="false">IF(COUNTA($A2826,$F2826,$G2826,$H2826,$I2826,$J2826)=0,"",IF($M2826=0,"✖ كود الصف غير موجود",IF(ISNA(MATCH($F2826,Lists!$A$2:$A$5,0)),"✖ الفترة غير صحيحة",IF(ISNA(MATCH($G2826,Lists!$B$2:$B$7,0)),"✖ المجموعة غير صحيحة",IF(NOT(OR($H2826="",$N2826&gt;0)),"✖ Start غير صحيح",IF(NOT(OR($I2826="",$I2826="NR",$O2826&gt;0)),"✖ Current غير صحيح",IF(NOT(IF(ISNUMBER($J2826),AND($J2826&gt;=0,$J2826=INT($J2826)),FALSE())),"✖ العدد يجب أن يكون صحيحًا ≥ 0",IF(AND($F2826="Baseline",$H2826&lt;&gt;""),"⚠ Baseline: Start لا يدخل في التقدم",IF($K2826="No Start (attainment only)","ℹ تحصيل فقط (بدون Start)",IF($K2826="U – needs rule","ℹ حالة U تحتاج قاعدة معتمدة",IF($K2826="No result","ℹ بدون نتيجة (يُستبعد من التحصيل)","OK")))))))))))</f>
        <v/>
      </c>
      <c r="M2826" s="64" t="n">
        <f aca="false">IF($A2826="",0,IFERROR(MATCH($A2826,Classes!$A$6:$A$420,0),0))</f>
        <v>0</v>
      </c>
      <c r="N2826" s="64" t="n">
        <f aca="false">IF($H2826="",0,IFERROR(MATCH($H2826,GradeList,0),0))</f>
        <v>0</v>
      </c>
      <c r="O2826" s="64" t="n">
        <f aca="false">IF(OR($I2826="",$I2826="NR"),0,IFERROR(MATCH($I2826,GradeList,0),0))</f>
        <v>0</v>
      </c>
      <c r="P2826" s="64" t="n">
        <f aca="false">IF(AND($M2826&gt;0,ISNUMBER(MATCH($F2826,Lists!$A$2:$A$5,0)),ISNUMBER(MATCH($G2826,Lists!$B$2:$B$7,0)),OR($H2826="",$N2826&gt;0),OR($I2826="",$I2826="NR",$O2826&gt;0),IF(ISNUMBER($J2826),AND($J2826&gt;=0,$J2826=INT($J2826)),FALSE())),$J2826,0)</f>
        <v>0</v>
      </c>
      <c r="Q2826" s="64" t="n">
        <f aca="false">IF(AND($P2826&gt;0,$O2826&gt;0),$P2826,0)</f>
        <v>0</v>
      </c>
      <c r="R2826" s="64" t="n">
        <f aca="false">IF(AND($Q2826&gt;0,$O2826&gt;=AtRank),$Q2826,0)</f>
        <v>0</v>
      </c>
      <c r="S2826" s="64" t="n">
        <f aca="false">IF(AND($Q2826&gt;0,$O2826&gt;=AboveRank),$Q2826,0)</f>
        <v>0</v>
      </c>
      <c r="T2826" s="64" t="n">
        <f aca="false">IF($K2826="Less",$P2826,0)</f>
        <v>0</v>
      </c>
      <c r="U2826" s="64" t="n">
        <f aca="false">IF($K2826="Expected",$P2826,0)</f>
        <v>0</v>
      </c>
      <c r="V2826" s="64" t="n">
        <f aca="false">IF($K2826="Better",$P2826,0)</f>
        <v>0</v>
      </c>
      <c r="W2826" s="64" t="n">
        <f aca="false">IF($K2826="U – needs rule",$P2826,0)</f>
        <v>0</v>
      </c>
      <c r="X2826" s="64" t="n">
        <f aca="false">IF($K2826="No Start (attainment only)",$P2826,0)</f>
        <v>0</v>
      </c>
    </row>
    <row r="2827" customFormat="false" ht="15" hidden="false" customHeight="false" outlineLevel="0" collapsed="false">
      <c r="A2827" s="60"/>
      <c r="B2827" s="61" t="str">
        <f aca="false">IF($M2827=0,"",INDEX(Classes!$E$6:$E$420,$M2827))</f>
        <v/>
      </c>
      <c r="C2827" s="62" t="str">
        <f aca="false">IF($M2827=0,"",INDEX(Classes!$H$6:$H$420,$M2827))</f>
        <v/>
      </c>
      <c r="D2827" s="61" t="str">
        <f aca="false">IF($M2827=0,"",INDEX(Classes!$B$6:$B$420,$M2827))</f>
        <v/>
      </c>
      <c r="E2827" s="61" t="str">
        <f aca="false">IF($M2827=0,"",INDEX(Classes!$C$6:$C$420,$M2827))</f>
        <v/>
      </c>
      <c r="F2827" s="63"/>
      <c r="G2827" s="63"/>
      <c r="H2827" s="60"/>
      <c r="I2827" s="60"/>
      <c r="J2827" s="63"/>
      <c r="K2827" s="61" t="str">
        <f aca="false">IF($P2827=0,"",IF($F2827="Baseline","— Baseline",IF($O2827=0,"No result",IF($N2827=0,"No Start (attainment only)",IF(OR($N2827=1,$O2827=1),"U – needs rule",INDEX(MxBody,MATCH($I2827,MxCurr,0),MATCH($H2827,MxStart,0)))))))</f>
        <v/>
      </c>
      <c r="L2827" s="62" t="str">
        <f aca="false">IF(COUNTA($A2827,$F2827,$G2827,$H2827,$I2827,$J2827)=0,"",IF($M2827=0,"✖ كود الصف غير موجود",IF(ISNA(MATCH($F2827,Lists!$A$2:$A$5,0)),"✖ الفترة غير صحيحة",IF(ISNA(MATCH($G2827,Lists!$B$2:$B$7,0)),"✖ المجموعة غير صحيحة",IF(NOT(OR($H2827="",$N2827&gt;0)),"✖ Start غير صحيح",IF(NOT(OR($I2827="",$I2827="NR",$O2827&gt;0)),"✖ Current غير صحيح",IF(NOT(IF(ISNUMBER($J2827),AND($J2827&gt;=0,$J2827=INT($J2827)),FALSE())),"✖ العدد يجب أن يكون صحيحًا ≥ 0",IF(AND($F2827="Baseline",$H2827&lt;&gt;""),"⚠ Baseline: Start لا يدخل في التقدم",IF($K2827="No Start (attainment only)","ℹ تحصيل فقط (بدون Start)",IF($K2827="U – needs rule","ℹ حالة U تحتاج قاعدة معتمدة",IF($K2827="No result","ℹ بدون نتيجة (يُستبعد من التحصيل)","OK")))))))))))</f>
        <v/>
      </c>
      <c r="M2827" s="64" t="n">
        <f aca="false">IF($A2827="",0,IFERROR(MATCH($A2827,Classes!$A$6:$A$420,0),0))</f>
        <v>0</v>
      </c>
      <c r="N2827" s="64" t="n">
        <f aca="false">IF($H2827="",0,IFERROR(MATCH($H2827,GradeList,0),0))</f>
        <v>0</v>
      </c>
      <c r="O2827" s="64" t="n">
        <f aca="false">IF(OR($I2827="",$I2827="NR"),0,IFERROR(MATCH($I2827,GradeList,0),0))</f>
        <v>0</v>
      </c>
      <c r="P2827" s="64" t="n">
        <f aca="false">IF(AND($M2827&gt;0,ISNUMBER(MATCH($F2827,Lists!$A$2:$A$5,0)),ISNUMBER(MATCH($G2827,Lists!$B$2:$B$7,0)),OR($H2827="",$N2827&gt;0),OR($I2827="",$I2827="NR",$O2827&gt;0),IF(ISNUMBER($J2827),AND($J2827&gt;=0,$J2827=INT($J2827)),FALSE())),$J2827,0)</f>
        <v>0</v>
      </c>
      <c r="Q2827" s="64" t="n">
        <f aca="false">IF(AND($P2827&gt;0,$O2827&gt;0),$P2827,0)</f>
        <v>0</v>
      </c>
      <c r="R2827" s="64" t="n">
        <f aca="false">IF(AND($Q2827&gt;0,$O2827&gt;=AtRank),$Q2827,0)</f>
        <v>0</v>
      </c>
      <c r="S2827" s="64" t="n">
        <f aca="false">IF(AND($Q2827&gt;0,$O2827&gt;=AboveRank),$Q2827,0)</f>
        <v>0</v>
      </c>
      <c r="T2827" s="64" t="n">
        <f aca="false">IF($K2827="Less",$P2827,0)</f>
        <v>0</v>
      </c>
      <c r="U2827" s="64" t="n">
        <f aca="false">IF($K2827="Expected",$P2827,0)</f>
        <v>0</v>
      </c>
      <c r="V2827" s="64" t="n">
        <f aca="false">IF($K2827="Better",$P2827,0)</f>
        <v>0</v>
      </c>
      <c r="W2827" s="64" t="n">
        <f aca="false">IF($K2827="U – needs rule",$P2827,0)</f>
        <v>0</v>
      </c>
      <c r="X2827" s="64" t="n">
        <f aca="false">IF($K2827="No Start (attainment only)",$P2827,0)</f>
        <v>0</v>
      </c>
    </row>
    <row r="2828" customFormat="false" ht="15" hidden="false" customHeight="false" outlineLevel="0" collapsed="false">
      <c r="A2828" s="60"/>
      <c r="B2828" s="61" t="str">
        <f aca="false">IF($M2828=0,"",INDEX(Classes!$E$6:$E$420,$M2828))</f>
        <v/>
      </c>
      <c r="C2828" s="62" t="str">
        <f aca="false">IF($M2828=0,"",INDEX(Classes!$H$6:$H$420,$M2828))</f>
        <v/>
      </c>
      <c r="D2828" s="61" t="str">
        <f aca="false">IF($M2828=0,"",INDEX(Classes!$B$6:$B$420,$M2828))</f>
        <v/>
      </c>
      <c r="E2828" s="61" t="str">
        <f aca="false">IF($M2828=0,"",INDEX(Classes!$C$6:$C$420,$M2828))</f>
        <v/>
      </c>
      <c r="F2828" s="63"/>
      <c r="G2828" s="63"/>
      <c r="H2828" s="60"/>
      <c r="I2828" s="60"/>
      <c r="J2828" s="63"/>
      <c r="K2828" s="61" t="str">
        <f aca="false">IF($P2828=0,"",IF($F2828="Baseline","— Baseline",IF($O2828=0,"No result",IF($N2828=0,"No Start (attainment only)",IF(OR($N2828=1,$O2828=1),"U – needs rule",INDEX(MxBody,MATCH($I2828,MxCurr,0),MATCH($H2828,MxStart,0)))))))</f>
        <v/>
      </c>
      <c r="L2828" s="62" t="str">
        <f aca="false">IF(COUNTA($A2828,$F2828,$G2828,$H2828,$I2828,$J2828)=0,"",IF($M2828=0,"✖ كود الصف غير موجود",IF(ISNA(MATCH($F2828,Lists!$A$2:$A$5,0)),"✖ الفترة غير صحيحة",IF(ISNA(MATCH($G2828,Lists!$B$2:$B$7,0)),"✖ المجموعة غير صحيحة",IF(NOT(OR($H2828="",$N2828&gt;0)),"✖ Start غير صحيح",IF(NOT(OR($I2828="",$I2828="NR",$O2828&gt;0)),"✖ Current غير صحيح",IF(NOT(IF(ISNUMBER($J2828),AND($J2828&gt;=0,$J2828=INT($J2828)),FALSE())),"✖ العدد يجب أن يكون صحيحًا ≥ 0",IF(AND($F2828="Baseline",$H2828&lt;&gt;""),"⚠ Baseline: Start لا يدخل في التقدم",IF($K2828="No Start (attainment only)","ℹ تحصيل فقط (بدون Start)",IF($K2828="U – needs rule","ℹ حالة U تحتاج قاعدة معتمدة",IF($K2828="No result","ℹ بدون نتيجة (يُستبعد من التحصيل)","OK")))))))))))</f>
        <v/>
      </c>
      <c r="M2828" s="64" t="n">
        <f aca="false">IF($A2828="",0,IFERROR(MATCH($A2828,Classes!$A$6:$A$420,0),0))</f>
        <v>0</v>
      </c>
      <c r="N2828" s="64" t="n">
        <f aca="false">IF($H2828="",0,IFERROR(MATCH($H2828,GradeList,0),0))</f>
        <v>0</v>
      </c>
      <c r="O2828" s="64" t="n">
        <f aca="false">IF(OR($I2828="",$I2828="NR"),0,IFERROR(MATCH($I2828,GradeList,0),0))</f>
        <v>0</v>
      </c>
      <c r="P2828" s="64" t="n">
        <f aca="false">IF(AND($M2828&gt;0,ISNUMBER(MATCH($F2828,Lists!$A$2:$A$5,0)),ISNUMBER(MATCH($G2828,Lists!$B$2:$B$7,0)),OR($H2828="",$N2828&gt;0),OR($I2828="",$I2828="NR",$O2828&gt;0),IF(ISNUMBER($J2828),AND($J2828&gt;=0,$J2828=INT($J2828)),FALSE())),$J2828,0)</f>
        <v>0</v>
      </c>
      <c r="Q2828" s="64" t="n">
        <f aca="false">IF(AND($P2828&gt;0,$O2828&gt;0),$P2828,0)</f>
        <v>0</v>
      </c>
      <c r="R2828" s="64" t="n">
        <f aca="false">IF(AND($Q2828&gt;0,$O2828&gt;=AtRank),$Q2828,0)</f>
        <v>0</v>
      </c>
      <c r="S2828" s="64" t="n">
        <f aca="false">IF(AND($Q2828&gt;0,$O2828&gt;=AboveRank),$Q2828,0)</f>
        <v>0</v>
      </c>
      <c r="T2828" s="64" t="n">
        <f aca="false">IF($K2828="Less",$P2828,0)</f>
        <v>0</v>
      </c>
      <c r="U2828" s="64" t="n">
        <f aca="false">IF($K2828="Expected",$P2828,0)</f>
        <v>0</v>
      </c>
      <c r="V2828" s="64" t="n">
        <f aca="false">IF($K2828="Better",$P2828,0)</f>
        <v>0</v>
      </c>
      <c r="W2828" s="64" t="n">
        <f aca="false">IF($K2828="U – needs rule",$P2828,0)</f>
        <v>0</v>
      </c>
      <c r="X2828" s="64" t="n">
        <f aca="false">IF($K2828="No Start (attainment only)",$P2828,0)</f>
        <v>0</v>
      </c>
    </row>
    <row r="2829" customFormat="false" ht="15" hidden="false" customHeight="false" outlineLevel="0" collapsed="false">
      <c r="A2829" s="60"/>
      <c r="B2829" s="61" t="str">
        <f aca="false">IF($M2829=0,"",INDEX(Classes!$E$6:$E$420,$M2829))</f>
        <v/>
      </c>
      <c r="C2829" s="62" t="str">
        <f aca="false">IF($M2829=0,"",INDEX(Classes!$H$6:$H$420,$M2829))</f>
        <v/>
      </c>
      <c r="D2829" s="61" t="str">
        <f aca="false">IF($M2829=0,"",INDEX(Classes!$B$6:$B$420,$M2829))</f>
        <v/>
      </c>
      <c r="E2829" s="61" t="str">
        <f aca="false">IF($M2829=0,"",INDEX(Classes!$C$6:$C$420,$M2829))</f>
        <v/>
      </c>
      <c r="F2829" s="63"/>
      <c r="G2829" s="63"/>
      <c r="H2829" s="60"/>
      <c r="I2829" s="60"/>
      <c r="J2829" s="63"/>
      <c r="K2829" s="61" t="str">
        <f aca="false">IF($P2829=0,"",IF($F2829="Baseline","— Baseline",IF($O2829=0,"No result",IF($N2829=0,"No Start (attainment only)",IF(OR($N2829=1,$O2829=1),"U – needs rule",INDEX(MxBody,MATCH($I2829,MxCurr,0),MATCH($H2829,MxStart,0)))))))</f>
        <v/>
      </c>
      <c r="L2829" s="62" t="str">
        <f aca="false">IF(COUNTA($A2829,$F2829,$G2829,$H2829,$I2829,$J2829)=0,"",IF($M2829=0,"✖ كود الصف غير موجود",IF(ISNA(MATCH($F2829,Lists!$A$2:$A$5,0)),"✖ الفترة غير صحيحة",IF(ISNA(MATCH($G2829,Lists!$B$2:$B$7,0)),"✖ المجموعة غير صحيحة",IF(NOT(OR($H2829="",$N2829&gt;0)),"✖ Start غير صحيح",IF(NOT(OR($I2829="",$I2829="NR",$O2829&gt;0)),"✖ Current غير صحيح",IF(NOT(IF(ISNUMBER($J2829),AND($J2829&gt;=0,$J2829=INT($J2829)),FALSE())),"✖ العدد يجب أن يكون صحيحًا ≥ 0",IF(AND($F2829="Baseline",$H2829&lt;&gt;""),"⚠ Baseline: Start لا يدخل في التقدم",IF($K2829="No Start (attainment only)","ℹ تحصيل فقط (بدون Start)",IF($K2829="U – needs rule","ℹ حالة U تحتاج قاعدة معتمدة",IF($K2829="No result","ℹ بدون نتيجة (يُستبعد من التحصيل)","OK")))))))))))</f>
        <v/>
      </c>
      <c r="M2829" s="64" t="n">
        <f aca="false">IF($A2829="",0,IFERROR(MATCH($A2829,Classes!$A$6:$A$420,0),0))</f>
        <v>0</v>
      </c>
      <c r="N2829" s="64" t="n">
        <f aca="false">IF($H2829="",0,IFERROR(MATCH($H2829,GradeList,0),0))</f>
        <v>0</v>
      </c>
      <c r="O2829" s="64" t="n">
        <f aca="false">IF(OR($I2829="",$I2829="NR"),0,IFERROR(MATCH($I2829,GradeList,0),0))</f>
        <v>0</v>
      </c>
      <c r="P2829" s="64" t="n">
        <f aca="false">IF(AND($M2829&gt;0,ISNUMBER(MATCH($F2829,Lists!$A$2:$A$5,0)),ISNUMBER(MATCH($G2829,Lists!$B$2:$B$7,0)),OR($H2829="",$N2829&gt;0),OR($I2829="",$I2829="NR",$O2829&gt;0),IF(ISNUMBER($J2829),AND($J2829&gt;=0,$J2829=INT($J2829)),FALSE())),$J2829,0)</f>
        <v>0</v>
      </c>
      <c r="Q2829" s="64" t="n">
        <f aca="false">IF(AND($P2829&gt;0,$O2829&gt;0),$P2829,0)</f>
        <v>0</v>
      </c>
      <c r="R2829" s="64" t="n">
        <f aca="false">IF(AND($Q2829&gt;0,$O2829&gt;=AtRank),$Q2829,0)</f>
        <v>0</v>
      </c>
      <c r="S2829" s="64" t="n">
        <f aca="false">IF(AND($Q2829&gt;0,$O2829&gt;=AboveRank),$Q2829,0)</f>
        <v>0</v>
      </c>
      <c r="T2829" s="64" t="n">
        <f aca="false">IF($K2829="Less",$P2829,0)</f>
        <v>0</v>
      </c>
      <c r="U2829" s="64" t="n">
        <f aca="false">IF($K2829="Expected",$P2829,0)</f>
        <v>0</v>
      </c>
      <c r="V2829" s="64" t="n">
        <f aca="false">IF($K2829="Better",$P2829,0)</f>
        <v>0</v>
      </c>
      <c r="W2829" s="64" t="n">
        <f aca="false">IF($K2829="U – needs rule",$P2829,0)</f>
        <v>0</v>
      </c>
      <c r="X2829" s="64" t="n">
        <f aca="false">IF($K2829="No Start (attainment only)",$P2829,0)</f>
        <v>0</v>
      </c>
    </row>
    <row r="2830" customFormat="false" ht="15" hidden="false" customHeight="false" outlineLevel="0" collapsed="false">
      <c r="A2830" s="60"/>
      <c r="B2830" s="61" t="str">
        <f aca="false">IF($M2830=0,"",INDEX(Classes!$E$6:$E$420,$M2830))</f>
        <v/>
      </c>
      <c r="C2830" s="62" t="str">
        <f aca="false">IF($M2830=0,"",INDEX(Classes!$H$6:$H$420,$M2830))</f>
        <v/>
      </c>
      <c r="D2830" s="61" t="str">
        <f aca="false">IF($M2830=0,"",INDEX(Classes!$B$6:$B$420,$M2830))</f>
        <v/>
      </c>
      <c r="E2830" s="61" t="str">
        <f aca="false">IF($M2830=0,"",INDEX(Classes!$C$6:$C$420,$M2830))</f>
        <v/>
      </c>
      <c r="F2830" s="63"/>
      <c r="G2830" s="63"/>
      <c r="H2830" s="60"/>
      <c r="I2830" s="60"/>
      <c r="J2830" s="63"/>
      <c r="K2830" s="61" t="str">
        <f aca="false">IF($P2830=0,"",IF($F2830="Baseline","— Baseline",IF($O2830=0,"No result",IF($N2830=0,"No Start (attainment only)",IF(OR($N2830=1,$O2830=1),"U – needs rule",INDEX(MxBody,MATCH($I2830,MxCurr,0),MATCH($H2830,MxStart,0)))))))</f>
        <v/>
      </c>
      <c r="L2830" s="62" t="str">
        <f aca="false">IF(COUNTA($A2830,$F2830,$G2830,$H2830,$I2830,$J2830)=0,"",IF($M2830=0,"✖ كود الصف غير موجود",IF(ISNA(MATCH($F2830,Lists!$A$2:$A$5,0)),"✖ الفترة غير صحيحة",IF(ISNA(MATCH($G2830,Lists!$B$2:$B$7,0)),"✖ المجموعة غير صحيحة",IF(NOT(OR($H2830="",$N2830&gt;0)),"✖ Start غير صحيح",IF(NOT(OR($I2830="",$I2830="NR",$O2830&gt;0)),"✖ Current غير صحيح",IF(NOT(IF(ISNUMBER($J2830),AND($J2830&gt;=0,$J2830=INT($J2830)),FALSE())),"✖ العدد يجب أن يكون صحيحًا ≥ 0",IF(AND($F2830="Baseline",$H2830&lt;&gt;""),"⚠ Baseline: Start لا يدخل في التقدم",IF($K2830="No Start (attainment only)","ℹ تحصيل فقط (بدون Start)",IF($K2830="U – needs rule","ℹ حالة U تحتاج قاعدة معتمدة",IF($K2830="No result","ℹ بدون نتيجة (يُستبعد من التحصيل)","OK")))))))))))</f>
        <v/>
      </c>
      <c r="M2830" s="64" t="n">
        <f aca="false">IF($A2830="",0,IFERROR(MATCH($A2830,Classes!$A$6:$A$420,0),0))</f>
        <v>0</v>
      </c>
      <c r="N2830" s="64" t="n">
        <f aca="false">IF($H2830="",0,IFERROR(MATCH($H2830,GradeList,0),0))</f>
        <v>0</v>
      </c>
      <c r="O2830" s="64" t="n">
        <f aca="false">IF(OR($I2830="",$I2830="NR"),0,IFERROR(MATCH($I2830,GradeList,0),0))</f>
        <v>0</v>
      </c>
      <c r="P2830" s="64" t="n">
        <f aca="false">IF(AND($M2830&gt;0,ISNUMBER(MATCH($F2830,Lists!$A$2:$A$5,0)),ISNUMBER(MATCH($G2830,Lists!$B$2:$B$7,0)),OR($H2830="",$N2830&gt;0),OR($I2830="",$I2830="NR",$O2830&gt;0),IF(ISNUMBER($J2830),AND($J2830&gt;=0,$J2830=INT($J2830)),FALSE())),$J2830,0)</f>
        <v>0</v>
      </c>
      <c r="Q2830" s="64" t="n">
        <f aca="false">IF(AND($P2830&gt;0,$O2830&gt;0),$P2830,0)</f>
        <v>0</v>
      </c>
      <c r="R2830" s="64" t="n">
        <f aca="false">IF(AND($Q2830&gt;0,$O2830&gt;=AtRank),$Q2830,0)</f>
        <v>0</v>
      </c>
      <c r="S2830" s="64" t="n">
        <f aca="false">IF(AND($Q2830&gt;0,$O2830&gt;=AboveRank),$Q2830,0)</f>
        <v>0</v>
      </c>
      <c r="T2830" s="64" t="n">
        <f aca="false">IF($K2830="Less",$P2830,0)</f>
        <v>0</v>
      </c>
      <c r="U2830" s="64" t="n">
        <f aca="false">IF($K2830="Expected",$P2830,0)</f>
        <v>0</v>
      </c>
      <c r="V2830" s="64" t="n">
        <f aca="false">IF($K2830="Better",$P2830,0)</f>
        <v>0</v>
      </c>
      <c r="W2830" s="64" t="n">
        <f aca="false">IF($K2830="U – needs rule",$P2830,0)</f>
        <v>0</v>
      </c>
      <c r="X2830" s="64" t="n">
        <f aca="false">IF($K2830="No Start (attainment only)",$P2830,0)</f>
        <v>0</v>
      </c>
    </row>
    <row r="2831" customFormat="false" ht="15" hidden="false" customHeight="false" outlineLevel="0" collapsed="false">
      <c r="A2831" s="60"/>
      <c r="B2831" s="61" t="str">
        <f aca="false">IF($M2831=0,"",INDEX(Classes!$E$6:$E$420,$M2831))</f>
        <v/>
      </c>
      <c r="C2831" s="62" t="str">
        <f aca="false">IF($M2831=0,"",INDEX(Classes!$H$6:$H$420,$M2831))</f>
        <v/>
      </c>
      <c r="D2831" s="61" t="str">
        <f aca="false">IF($M2831=0,"",INDEX(Classes!$B$6:$B$420,$M2831))</f>
        <v/>
      </c>
      <c r="E2831" s="61" t="str">
        <f aca="false">IF($M2831=0,"",INDEX(Classes!$C$6:$C$420,$M2831))</f>
        <v/>
      </c>
      <c r="F2831" s="63"/>
      <c r="G2831" s="63"/>
      <c r="H2831" s="60"/>
      <c r="I2831" s="60"/>
      <c r="J2831" s="63"/>
      <c r="K2831" s="61" t="str">
        <f aca="false">IF($P2831=0,"",IF($F2831="Baseline","— Baseline",IF($O2831=0,"No result",IF($N2831=0,"No Start (attainment only)",IF(OR($N2831=1,$O2831=1),"U – needs rule",INDEX(MxBody,MATCH($I2831,MxCurr,0),MATCH($H2831,MxStart,0)))))))</f>
        <v/>
      </c>
      <c r="L2831" s="62" t="str">
        <f aca="false">IF(COUNTA($A2831,$F2831,$G2831,$H2831,$I2831,$J2831)=0,"",IF($M2831=0,"✖ كود الصف غير موجود",IF(ISNA(MATCH($F2831,Lists!$A$2:$A$5,0)),"✖ الفترة غير صحيحة",IF(ISNA(MATCH($G2831,Lists!$B$2:$B$7,0)),"✖ المجموعة غير صحيحة",IF(NOT(OR($H2831="",$N2831&gt;0)),"✖ Start غير صحيح",IF(NOT(OR($I2831="",$I2831="NR",$O2831&gt;0)),"✖ Current غير صحيح",IF(NOT(IF(ISNUMBER($J2831),AND($J2831&gt;=0,$J2831=INT($J2831)),FALSE())),"✖ العدد يجب أن يكون صحيحًا ≥ 0",IF(AND($F2831="Baseline",$H2831&lt;&gt;""),"⚠ Baseline: Start لا يدخل في التقدم",IF($K2831="No Start (attainment only)","ℹ تحصيل فقط (بدون Start)",IF($K2831="U – needs rule","ℹ حالة U تحتاج قاعدة معتمدة",IF($K2831="No result","ℹ بدون نتيجة (يُستبعد من التحصيل)","OK")))))))))))</f>
        <v/>
      </c>
      <c r="M2831" s="64" t="n">
        <f aca="false">IF($A2831="",0,IFERROR(MATCH($A2831,Classes!$A$6:$A$420,0),0))</f>
        <v>0</v>
      </c>
      <c r="N2831" s="64" t="n">
        <f aca="false">IF($H2831="",0,IFERROR(MATCH($H2831,GradeList,0),0))</f>
        <v>0</v>
      </c>
      <c r="O2831" s="64" t="n">
        <f aca="false">IF(OR($I2831="",$I2831="NR"),0,IFERROR(MATCH($I2831,GradeList,0),0))</f>
        <v>0</v>
      </c>
      <c r="P2831" s="64" t="n">
        <f aca="false">IF(AND($M2831&gt;0,ISNUMBER(MATCH($F2831,Lists!$A$2:$A$5,0)),ISNUMBER(MATCH($G2831,Lists!$B$2:$B$7,0)),OR($H2831="",$N2831&gt;0),OR($I2831="",$I2831="NR",$O2831&gt;0),IF(ISNUMBER($J2831),AND($J2831&gt;=0,$J2831=INT($J2831)),FALSE())),$J2831,0)</f>
        <v>0</v>
      </c>
      <c r="Q2831" s="64" t="n">
        <f aca="false">IF(AND($P2831&gt;0,$O2831&gt;0),$P2831,0)</f>
        <v>0</v>
      </c>
      <c r="R2831" s="64" t="n">
        <f aca="false">IF(AND($Q2831&gt;0,$O2831&gt;=AtRank),$Q2831,0)</f>
        <v>0</v>
      </c>
      <c r="S2831" s="64" t="n">
        <f aca="false">IF(AND($Q2831&gt;0,$O2831&gt;=AboveRank),$Q2831,0)</f>
        <v>0</v>
      </c>
      <c r="T2831" s="64" t="n">
        <f aca="false">IF($K2831="Less",$P2831,0)</f>
        <v>0</v>
      </c>
      <c r="U2831" s="64" t="n">
        <f aca="false">IF($K2831="Expected",$P2831,0)</f>
        <v>0</v>
      </c>
      <c r="V2831" s="64" t="n">
        <f aca="false">IF($K2831="Better",$P2831,0)</f>
        <v>0</v>
      </c>
      <c r="W2831" s="64" t="n">
        <f aca="false">IF($K2831="U – needs rule",$P2831,0)</f>
        <v>0</v>
      </c>
      <c r="X2831" s="64" t="n">
        <f aca="false">IF($K2831="No Start (attainment only)",$P2831,0)</f>
        <v>0</v>
      </c>
    </row>
    <row r="2832" customFormat="false" ht="15" hidden="false" customHeight="false" outlineLevel="0" collapsed="false">
      <c r="A2832" s="60"/>
      <c r="B2832" s="61" t="str">
        <f aca="false">IF($M2832=0,"",INDEX(Classes!$E$6:$E$420,$M2832))</f>
        <v/>
      </c>
      <c r="C2832" s="62" t="str">
        <f aca="false">IF($M2832=0,"",INDEX(Classes!$H$6:$H$420,$M2832))</f>
        <v/>
      </c>
      <c r="D2832" s="61" t="str">
        <f aca="false">IF($M2832=0,"",INDEX(Classes!$B$6:$B$420,$M2832))</f>
        <v/>
      </c>
      <c r="E2832" s="61" t="str">
        <f aca="false">IF($M2832=0,"",INDEX(Classes!$C$6:$C$420,$M2832))</f>
        <v/>
      </c>
      <c r="F2832" s="63"/>
      <c r="G2832" s="63"/>
      <c r="H2832" s="60"/>
      <c r="I2832" s="60"/>
      <c r="J2832" s="63"/>
      <c r="K2832" s="61" t="str">
        <f aca="false">IF($P2832=0,"",IF($F2832="Baseline","— Baseline",IF($O2832=0,"No result",IF($N2832=0,"No Start (attainment only)",IF(OR($N2832=1,$O2832=1),"U – needs rule",INDEX(MxBody,MATCH($I2832,MxCurr,0),MATCH($H2832,MxStart,0)))))))</f>
        <v/>
      </c>
      <c r="L2832" s="62" t="str">
        <f aca="false">IF(COUNTA($A2832,$F2832,$G2832,$H2832,$I2832,$J2832)=0,"",IF($M2832=0,"✖ كود الصف غير موجود",IF(ISNA(MATCH($F2832,Lists!$A$2:$A$5,0)),"✖ الفترة غير صحيحة",IF(ISNA(MATCH($G2832,Lists!$B$2:$B$7,0)),"✖ المجموعة غير صحيحة",IF(NOT(OR($H2832="",$N2832&gt;0)),"✖ Start غير صحيح",IF(NOT(OR($I2832="",$I2832="NR",$O2832&gt;0)),"✖ Current غير صحيح",IF(NOT(IF(ISNUMBER($J2832),AND($J2832&gt;=0,$J2832=INT($J2832)),FALSE())),"✖ العدد يجب أن يكون صحيحًا ≥ 0",IF(AND($F2832="Baseline",$H2832&lt;&gt;""),"⚠ Baseline: Start لا يدخل في التقدم",IF($K2832="No Start (attainment only)","ℹ تحصيل فقط (بدون Start)",IF($K2832="U – needs rule","ℹ حالة U تحتاج قاعدة معتمدة",IF($K2832="No result","ℹ بدون نتيجة (يُستبعد من التحصيل)","OK")))))))))))</f>
        <v/>
      </c>
      <c r="M2832" s="64" t="n">
        <f aca="false">IF($A2832="",0,IFERROR(MATCH($A2832,Classes!$A$6:$A$420,0),0))</f>
        <v>0</v>
      </c>
      <c r="N2832" s="64" t="n">
        <f aca="false">IF($H2832="",0,IFERROR(MATCH($H2832,GradeList,0),0))</f>
        <v>0</v>
      </c>
      <c r="O2832" s="64" t="n">
        <f aca="false">IF(OR($I2832="",$I2832="NR"),0,IFERROR(MATCH($I2832,GradeList,0),0))</f>
        <v>0</v>
      </c>
      <c r="P2832" s="64" t="n">
        <f aca="false">IF(AND($M2832&gt;0,ISNUMBER(MATCH($F2832,Lists!$A$2:$A$5,0)),ISNUMBER(MATCH($G2832,Lists!$B$2:$B$7,0)),OR($H2832="",$N2832&gt;0),OR($I2832="",$I2832="NR",$O2832&gt;0),IF(ISNUMBER($J2832),AND($J2832&gt;=0,$J2832=INT($J2832)),FALSE())),$J2832,0)</f>
        <v>0</v>
      </c>
      <c r="Q2832" s="64" t="n">
        <f aca="false">IF(AND($P2832&gt;0,$O2832&gt;0),$P2832,0)</f>
        <v>0</v>
      </c>
      <c r="R2832" s="64" t="n">
        <f aca="false">IF(AND($Q2832&gt;0,$O2832&gt;=AtRank),$Q2832,0)</f>
        <v>0</v>
      </c>
      <c r="S2832" s="64" t="n">
        <f aca="false">IF(AND($Q2832&gt;0,$O2832&gt;=AboveRank),$Q2832,0)</f>
        <v>0</v>
      </c>
      <c r="T2832" s="64" t="n">
        <f aca="false">IF($K2832="Less",$P2832,0)</f>
        <v>0</v>
      </c>
      <c r="U2832" s="64" t="n">
        <f aca="false">IF($K2832="Expected",$P2832,0)</f>
        <v>0</v>
      </c>
      <c r="V2832" s="64" t="n">
        <f aca="false">IF($K2832="Better",$P2832,0)</f>
        <v>0</v>
      </c>
      <c r="W2832" s="64" t="n">
        <f aca="false">IF($K2832="U – needs rule",$P2832,0)</f>
        <v>0</v>
      </c>
      <c r="X2832" s="64" t="n">
        <f aca="false">IF($K2832="No Start (attainment only)",$P2832,0)</f>
        <v>0</v>
      </c>
    </row>
    <row r="2833" customFormat="false" ht="15" hidden="false" customHeight="false" outlineLevel="0" collapsed="false">
      <c r="A2833" s="60"/>
      <c r="B2833" s="61" t="str">
        <f aca="false">IF($M2833=0,"",INDEX(Classes!$E$6:$E$420,$M2833))</f>
        <v/>
      </c>
      <c r="C2833" s="62" t="str">
        <f aca="false">IF($M2833=0,"",INDEX(Classes!$H$6:$H$420,$M2833))</f>
        <v/>
      </c>
      <c r="D2833" s="61" t="str">
        <f aca="false">IF($M2833=0,"",INDEX(Classes!$B$6:$B$420,$M2833))</f>
        <v/>
      </c>
      <c r="E2833" s="61" t="str">
        <f aca="false">IF($M2833=0,"",INDEX(Classes!$C$6:$C$420,$M2833))</f>
        <v/>
      </c>
      <c r="F2833" s="63"/>
      <c r="G2833" s="63"/>
      <c r="H2833" s="60"/>
      <c r="I2833" s="60"/>
      <c r="J2833" s="63"/>
      <c r="K2833" s="61" t="str">
        <f aca="false">IF($P2833=0,"",IF($F2833="Baseline","— Baseline",IF($O2833=0,"No result",IF($N2833=0,"No Start (attainment only)",IF(OR($N2833=1,$O2833=1),"U – needs rule",INDEX(MxBody,MATCH($I2833,MxCurr,0),MATCH($H2833,MxStart,0)))))))</f>
        <v/>
      </c>
      <c r="L2833" s="62" t="str">
        <f aca="false">IF(COUNTA($A2833,$F2833,$G2833,$H2833,$I2833,$J2833)=0,"",IF($M2833=0,"✖ كود الصف غير موجود",IF(ISNA(MATCH($F2833,Lists!$A$2:$A$5,0)),"✖ الفترة غير صحيحة",IF(ISNA(MATCH($G2833,Lists!$B$2:$B$7,0)),"✖ المجموعة غير صحيحة",IF(NOT(OR($H2833="",$N2833&gt;0)),"✖ Start غير صحيح",IF(NOT(OR($I2833="",$I2833="NR",$O2833&gt;0)),"✖ Current غير صحيح",IF(NOT(IF(ISNUMBER($J2833),AND($J2833&gt;=0,$J2833=INT($J2833)),FALSE())),"✖ العدد يجب أن يكون صحيحًا ≥ 0",IF(AND($F2833="Baseline",$H2833&lt;&gt;""),"⚠ Baseline: Start لا يدخل في التقدم",IF($K2833="No Start (attainment only)","ℹ تحصيل فقط (بدون Start)",IF($K2833="U – needs rule","ℹ حالة U تحتاج قاعدة معتمدة",IF($K2833="No result","ℹ بدون نتيجة (يُستبعد من التحصيل)","OK")))))))))))</f>
        <v/>
      </c>
      <c r="M2833" s="64" t="n">
        <f aca="false">IF($A2833="",0,IFERROR(MATCH($A2833,Classes!$A$6:$A$420,0),0))</f>
        <v>0</v>
      </c>
      <c r="N2833" s="64" t="n">
        <f aca="false">IF($H2833="",0,IFERROR(MATCH($H2833,GradeList,0),0))</f>
        <v>0</v>
      </c>
      <c r="O2833" s="64" t="n">
        <f aca="false">IF(OR($I2833="",$I2833="NR"),0,IFERROR(MATCH($I2833,GradeList,0),0))</f>
        <v>0</v>
      </c>
      <c r="P2833" s="64" t="n">
        <f aca="false">IF(AND($M2833&gt;0,ISNUMBER(MATCH($F2833,Lists!$A$2:$A$5,0)),ISNUMBER(MATCH($G2833,Lists!$B$2:$B$7,0)),OR($H2833="",$N2833&gt;0),OR($I2833="",$I2833="NR",$O2833&gt;0),IF(ISNUMBER($J2833),AND($J2833&gt;=0,$J2833=INT($J2833)),FALSE())),$J2833,0)</f>
        <v>0</v>
      </c>
      <c r="Q2833" s="64" t="n">
        <f aca="false">IF(AND($P2833&gt;0,$O2833&gt;0),$P2833,0)</f>
        <v>0</v>
      </c>
      <c r="R2833" s="64" t="n">
        <f aca="false">IF(AND($Q2833&gt;0,$O2833&gt;=AtRank),$Q2833,0)</f>
        <v>0</v>
      </c>
      <c r="S2833" s="64" t="n">
        <f aca="false">IF(AND($Q2833&gt;0,$O2833&gt;=AboveRank),$Q2833,0)</f>
        <v>0</v>
      </c>
      <c r="T2833" s="64" t="n">
        <f aca="false">IF($K2833="Less",$P2833,0)</f>
        <v>0</v>
      </c>
      <c r="U2833" s="64" t="n">
        <f aca="false">IF($K2833="Expected",$P2833,0)</f>
        <v>0</v>
      </c>
      <c r="V2833" s="64" t="n">
        <f aca="false">IF($K2833="Better",$P2833,0)</f>
        <v>0</v>
      </c>
      <c r="W2833" s="64" t="n">
        <f aca="false">IF($K2833="U – needs rule",$P2833,0)</f>
        <v>0</v>
      </c>
      <c r="X2833" s="64" t="n">
        <f aca="false">IF($K2833="No Start (attainment only)",$P2833,0)</f>
        <v>0</v>
      </c>
    </row>
    <row r="2834" customFormat="false" ht="15" hidden="false" customHeight="false" outlineLevel="0" collapsed="false">
      <c r="A2834" s="60"/>
      <c r="B2834" s="61" t="str">
        <f aca="false">IF($M2834=0,"",INDEX(Classes!$E$6:$E$420,$M2834))</f>
        <v/>
      </c>
      <c r="C2834" s="62" t="str">
        <f aca="false">IF($M2834=0,"",INDEX(Classes!$H$6:$H$420,$M2834))</f>
        <v/>
      </c>
      <c r="D2834" s="61" t="str">
        <f aca="false">IF($M2834=0,"",INDEX(Classes!$B$6:$B$420,$M2834))</f>
        <v/>
      </c>
      <c r="E2834" s="61" t="str">
        <f aca="false">IF($M2834=0,"",INDEX(Classes!$C$6:$C$420,$M2834))</f>
        <v/>
      </c>
      <c r="F2834" s="63"/>
      <c r="G2834" s="63"/>
      <c r="H2834" s="60"/>
      <c r="I2834" s="60"/>
      <c r="J2834" s="63"/>
      <c r="K2834" s="61" t="str">
        <f aca="false">IF($P2834=0,"",IF($F2834="Baseline","— Baseline",IF($O2834=0,"No result",IF($N2834=0,"No Start (attainment only)",IF(OR($N2834=1,$O2834=1),"U – needs rule",INDEX(MxBody,MATCH($I2834,MxCurr,0),MATCH($H2834,MxStart,0)))))))</f>
        <v/>
      </c>
      <c r="L2834" s="62" t="str">
        <f aca="false">IF(COUNTA($A2834,$F2834,$G2834,$H2834,$I2834,$J2834)=0,"",IF($M2834=0,"✖ كود الصف غير موجود",IF(ISNA(MATCH($F2834,Lists!$A$2:$A$5,0)),"✖ الفترة غير صحيحة",IF(ISNA(MATCH($G2834,Lists!$B$2:$B$7,0)),"✖ المجموعة غير صحيحة",IF(NOT(OR($H2834="",$N2834&gt;0)),"✖ Start غير صحيح",IF(NOT(OR($I2834="",$I2834="NR",$O2834&gt;0)),"✖ Current غير صحيح",IF(NOT(IF(ISNUMBER($J2834),AND($J2834&gt;=0,$J2834=INT($J2834)),FALSE())),"✖ العدد يجب أن يكون صحيحًا ≥ 0",IF(AND($F2834="Baseline",$H2834&lt;&gt;""),"⚠ Baseline: Start لا يدخل في التقدم",IF($K2834="No Start (attainment only)","ℹ تحصيل فقط (بدون Start)",IF($K2834="U – needs rule","ℹ حالة U تحتاج قاعدة معتمدة",IF($K2834="No result","ℹ بدون نتيجة (يُستبعد من التحصيل)","OK")))))))))))</f>
        <v/>
      </c>
      <c r="M2834" s="64" t="n">
        <f aca="false">IF($A2834="",0,IFERROR(MATCH($A2834,Classes!$A$6:$A$420,0),0))</f>
        <v>0</v>
      </c>
      <c r="N2834" s="64" t="n">
        <f aca="false">IF($H2834="",0,IFERROR(MATCH($H2834,GradeList,0),0))</f>
        <v>0</v>
      </c>
      <c r="O2834" s="64" t="n">
        <f aca="false">IF(OR($I2834="",$I2834="NR"),0,IFERROR(MATCH($I2834,GradeList,0),0))</f>
        <v>0</v>
      </c>
      <c r="P2834" s="64" t="n">
        <f aca="false">IF(AND($M2834&gt;0,ISNUMBER(MATCH($F2834,Lists!$A$2:$A$5,0)),ISNUMBER(MATCH($G2834,Lists!$B$2:$B$7,0)),OR($H2834="",$N2834&gt;0),OR($I2834="",$I2834="NR",$O2834&gt;0),IF(ISNUMBER($J2834),AND($J2834&gt;=0,$J2834=INT($J2834)),FALSE())),$J2834,0)</f>
        <v>0</v>
      </c>
      <c r="Q2834" s="64" t="n">
        <f aca="false">IF(AND($P2834&gt;0,$O2834&gt;0),$P2834,0)</f>
        <v>0</v>
      </c>
      <c r="R2834" s="64" t="n">
        <f aca="false">IF(AND($Q2834&gt;0,$O2834&gt;=AtRank),$Q2834,0)</f>
        <v>0</v>
      </c>
      <c r="S2834" s="64" t="n">
        <f aca="false">IF(AND($Q2834&gt;0,$O2834&gt;=AboveRank),$Q2834,0)</f>
        <v>0</v>
      </c>
      <c r="T2834" s="64" t="n">
        <f aca="false">IF($K2834="Less",$P2834,0)</f>
        <v>0</v>
      </c>
      <c r="U2834" s="64" t="n">
        <f aca="false">IF($K2834="Expected",$P2834,0)</f>
        <v>0</v>
      </c>
      <c r="V2834" s="64" t="n">
        <f aca="false">IF($K2834="Better",$P2834,0)</f>
        <v>0</v>
      </c>
      <c r="W2834" s="64" t="n">
        <f aca="false">IF($K2834="U – needs rule",$P2834,0)</f>
        <v>0</v>
      </c>
      <c r="X2834" s="64" t="n">
        <f aca="false">IF($K2834="No Start (attainment only)",$P2834,0)</f>
        <v>0</v>
      </c>
    </row>
    <row r="2835" customFormat="false" ht="15" hidden="false" customHeight="false" outlineLevel="0" collapsed="false">
      <c r="A2835" s="60"/>
      <c r="B2835" s="61" t="str">
        <f aca="false">IF($M2835=0,"",INDEX(Classes!$E$6:$E$420,$M2835))</f>
        <v/>
      </c>
      <c r="C2835" s="62" t="str">
        <f aca="false">IF($M2835=0,"",INDEX(Classes!$H$6:$H$420,$M2835))</f>
        <v/>
      </c>
      <c r="D2835" s="61" t="str">
        <f aca="false">IF($M2835=0,"",INDEX(Classes!$B$6:$B$420,$M2835))</f>
        <v/>
      </c>
      <c r="E2835" s="61" t="str">
        <f aca="false">IF($M2835=0,"",INDEX(Classes!$C$6:$C$420,$M2835))</f>
        <v/>
      </c>
      <c r="F2835" s="63"/>
      <c r="G2835" s="63"/>
      <c r="H2835" s="60"/>
      <c r="I2835" s="60"/>
      <c r="J2835" s="63"/>
      <c r="K2835" s="61" t="str">
        <f aca="false">IF($P2835=0,"",IF($F2835="Baseline","— Baseline",IF($O2835=0,"No result",IF($N2835=0,"No Start (attainment only)",IF(OR($N2835=1,$O2835=1),"U – needs rule",INDEX(MxBody,MATCH($I2835,MxCurr,0),MATCH($H2835,MxStart,0)))))))</f>
        <v/>
      </c>
      <c r="L2835" s="62" t="str">
        <f aca="false">IF(COUNTA($A2835,$F2835,$G2835,$H2835,$I2835,$J2835)=0,"",IF($M2835=0,"✖ كود الصف غير موجود",IF(ISNA(MATCH($F2835,Lists!$A$2:$A$5,0)),"✖ الفترة غير صحيحة",IF(ISNA(MATCH($G2835,Lists!$B$2:$B$7,0)),"✖ المجموعة غير صحيحة",IF(NOT(OR($H2835="",$N2835&gt;0)),"✖ Start غير صحيح",IF(NOT(OR($I2835="",$I2835="NR",$O2835&gt;0)),"✖ Current غير صحيح",IF(NOT(IF(ISNUMBER($J2835),AND($J2835&gt;=0,$J2835=INT($J2835)),FALSE())),"✖ العدد يجب أن يكون صحيحًا ≥ 0",IF(AND($F2835="Baseline",$H2835&lt;&gt;""),"⚠ Baseline: Start لا يدخل في التقدم",IF($K2835="No Start (attainment only)","ℹ تحصيل فقط (بدون Start)",IF($K2835="U – needs rule","ℹ حالة U تحتاج قاعدة معتمدة",IF($K2835="No result","ℹ بدون نتيجة (يُستبعد من التحصيل)","OK")))))))))))</f>
        <v/>
      </c>
      <c r="M2835" s="64" t="n">
        <f aca="false">IF($A2835="",0,IFERROR(MATCH($A2835,Classes!$A$6:$A$420,0),0))</f>
        <v>0</v>
      </c>
      <c r="N2835" s="64" t="n">
        <f aca="false">IF($H2835="",0,IFERROR(MATCH($H2835,GradeList,0),0))</f>
        <v>0</v>
      </c>
      <c r="O2835" s="64" t="n">
        <f aca="false">IF(OR($I2835="",$I2835="NR"),0,IFERROR(MATCH($I2835,GradeList,0),0))</f>
        <v>0</v>
      </c>
      <c r="P2835" s="64" t="n">
        <f aca="false">IF(AND($M2835&gt;0,ISNUMBER(MATCH($F2835,Lists!$A$2:$A$5,0)),ISNUMBER(MATCH($G2835,Lists!$B$2:$B$7,0)),OR($H2835="",$N2835&gt;0),OR($I2835="",$I2835="NR",$O2835&gt;0),IF(ISNUMBER($J2835),AND($J2835&gt;=0,$J2835=INT($J2835)),FALSE())),$J2835,0)</f>
        <v>0</v>
      </c>
      <c r="Q2835" s="64" t="n">
        <f aca="false">IF(AND($P2835&gt;0,$O2835&gt;0),$P2835,0)</f>
        <v>0</v>
      </c>
      <c r="R2835" s="64" t="n">
        <f aca="false">IF(AND($Q2835&gt;0,$O2835&gt;=AtRank),$Q2835,0)</f>
        <v>0</v>
      </c>
      <c r="S2835" s="64" t="n">
        <f aca="false">IF(AND($Q2835&gt;0,$O2835&gt;=AboveRank),$Q2835,0)</f>
        <v>0</v>
      </c>
      <c r="T2835" s="64" t="n">
        <f aca="false">IF($K2835="Less",$P2835,0)</f>
        <v>0</v>
      </c>
      <c r="U2835" s="64" t="n">
        <f aca="false">IF($K2835="Expected",$P2835,0)</f>
        <v>0</v>
      </c>
      <c r="V2835" s="64" t="n">
        <f aca="false">IF($K2835="Better",$P2835,0)</f>
        <v>0</v>
      </c>
      <c r="W2835" s="64" t="n">
        <f aca="false">IF($K2835="U – needs rule",$P2835,0)</f>
        <v>0</v>
      </c>
      <c r="X2835" s="64" t="n">
        <f aca="false">IF($K2835="No Start (attainment only)",$P2835,0)</f>
        <v>0</v>
      </c>
    </row>
    <row r="2836" customFormat="false" ht="15" hidden="false" customHeight="false" outlineLevel="0" collapsed="false">
      <c r="A2836" s="60"/>
      <c r="B2836" s="61" t="str">
        <f aca="false">IF($M2836=0,"",INDEX(Classes!$E$6:$E$420,$M2836))</f>
        <v/>
      </c>
      <c r="C2836" s="62" t="str">
        <f aca="false">IF($M2836=0,"",INDEX(Classes!$H$6:$H$420,$M2836))</f>
        <v/>
      </c>
      <c r="D2836" s="61" t="str">
        <f aca="false">IF($M2836=0,"",INDEX(Classes!$B$6:$B$420,$M2836))</f>
        <v/>
      </c>
      <c r="E2836" s="61" t="str">
        <f aca="false">IF($M2836=0,"",INDEX(Classes!$C$6:$C$420,$M2836))</f>
        <v/>
      </c>
      <c r="F2836" s="63"/>
      <c r="G2836" s="63"/>
      <c r="H2836" s="60"/>
      <c r="I2836" s="60"/>
      <c r="J2836" s="63"/>
      <c r="K2836" s="61" t="str">
        <f aca="false">IF($P2836=0,"",IF($F2836="Baseline","— Baseline",IF($O2836=0,"No result",IF($N2836=0,"No Start (attainment only)",IF(OR($N2836=1,$O2836=1),"U – needs rule",INDEX(MxBody,MATCH($I2836,MxCurr,0),MATCH($H2836,MxStart,0)))))))</f>
        <v/>
      </c>
      <c r="L2836" s="62" t="str">
        <f aca="false">IF(COUNTA($A2836,$F2836,$G2836,$H2836,$I2836,$J2836)=0,"",IF($M2836=0,"✖ كود الصف غير موجود",IF(ISNA(MATCH($F2836,Lists!$A$2:$A$5,0)),"✖ الفترة غير صحيحة",IF(ISNA(MATCH($G2836,Lists!$B$2:$B$7,0)),"✖ المجموعة غير صحيحة",IF(NOT(OR($H2836="",$N2836&gt;0)),"✖ Start غير صحيح",IF(NOT(OR($I2836="",$I2836="NR",$O2836&gt;0)),"✖ Current غير صحيح",IF(NOT(IF(ISNUMBER($J2836),AND($J2836&gt;=0,$J2836=INT($J2836)),FALSE())),"✖ العدد يجب أن يكون صحيحًا ≥ 0",IF(AND($F2836="Baseline",$H2836&lt;&gt;""),"⚠ Baseline: Start لا يدخل في التقدم",IF($K2836="No Start (attainment only)","ℹ تحصيل فقط (بدون Start)",IF($K2836="U – needs rule","ℹ حالة U تحتاج قاعدة معتمدة",IF($K2836="No result","ℹ بدون نتيجة (يُستبعد من التحصيل)","OK")))))))))))</f>
        <v/>
      </c>
      <c r="M2836" s="64" t="n">
        <f aca="false">IF($A2836="",0,IFERROR(MATCH($A2836,Classes!$A$6:$A$420,0),0))</f>
        <v>0</v>
      </c>
      <c r="N2836" s="64" t="n">
        <f aca="false">IF($H2836="",0,IFERROR(MATCH($H2836,GradeList,0),0))</f>
        <v>0</v>
      </c>
      <c r="O2836" s="64" t="n">
        <f aca="false">IF(OR($I2836="",$I2836="NR"),0,IFERROR(MATCH($I2836,GradeList,0),0))</f>
        <v>0</v>
      </c>
      <c r="P2836" s="64" t="n">
        <f aca="false">IF(AND($M2836&gt;0,ISNUMBER(MATCH($F2836,Lists!$A$2:$A$5,0)),ISNUMBER(MATCH($G2836,Lists!$B$2:$B$7,0)),OR($H2836="",$N2836&gt;0),OR($I2836="",$I2836="NR",$O2836&gt;0),IF(ISNUMBER($J2836),AND($J2836&gt;=0,$J2836=INT($J2836)),FALSE())),$J2836,0)</f>
        <v>0</v>
      </c>
      <c r="Q2836" s="64" t="n">
        <f aca="false">IF(AND($P2836&gt;0,$O2836&gt;0),$P2836,0)</f>
        <v>0</v>
      </c>
      <c r="R2836" s="64" t="n">
        <f aca="false">IF(AND($Q2836&gt;0,$O2836&gt;=AtRank),$Q2836,0)</f>
        <v>0</v>
      </c>
      <c r="S2836" s="64" t="n">
        <f aca="false">IF(AND($Q2836&gt;0,$O2836&gt;=AboveRank),$Q2836,0)</f>
        <v>0</v>
      </c>
      <c r="T2836" s="64" t="n">
        <f aca="false">IF($K2836="Less",$P2836,0)</f>
        <v>0</v>
      </c>
      <c r="U2836" s="64" t="n">
        <f aca="false">IF($K2836="Expected",$P2836,0)</f>
        <v>0</v>
      </c>
      <c r="V2836" s="64" t="n">
        <f aca="false">IF($K2836="Better",$P2836,0)</f>
        <v>0</v>
      </c>
      <c r="W2836" s="64" t="n">
        <f aca="false">IF($K2836="U – needs rule",$P2836,0)</f>
        <v>0</v>
      </c>
      <c r="X2836" s="64" t="n">
        <f aca="false">IF($K2836="No Start (attainment only)",$P2836,0)</f>
        <v>0</v>
      </c>
    </row>
    <row r="2837" customFormat="false" ht="15" hidden="false" customHeight="false" outlineLevel="0" collapsed="false">
      <c r="A2837" s="60"/>
      <c r="B2837" s="61" t="str">
        <f aca="false">IF($M2837=0,"",INDEX(Classes!$E$6:$E$420,$M2837))</f>
        <v/>
      </c>
      <c r="C2837" s="62" t="str">
        <f aca="false">IF($M2837=0,"",INDEX(Classes!$H$6:$H$420,$M2837))</f>
        <v/>
      </c>
      <c r="D2837" s="61" t="str">
        <f aca="false">IF($M2837=0,"",INDEX(Classes!$B$6:$B$420,$M2837))</f>
        <v/>
      </c>
      <c r="E2837" s="61" t="str">
        <f aca="false">IF($M2837=0,"",INDEX(Classes!$C$6:$C$420,$M2837))</f>
        <v/>
      </c>
      <c r="F2837" s="63"/>
      <c r="G2837" s="63"/>
      <c r="H2837" s="60"/>
      <c r="I2837" s="60"/>
      <c r="J2837" s="63"/>
      <c r="K2837" s="61" t="str">
        <f aca="false">IF($P2837=0,"",IF($F2837="Baseline","— Baseline",IF($O2837=0,"No result",IF($N2837=0,"No Start (attainment only)",IF(OR($N2837=1,$O2837=1),"U – needs rule",INDEX(MxBody,MATCH($I2837,MxCurr,0),MATCH($H2837,MxStart,0)))))))</f>
        <v/>
      </c>
      <c r="L2837" s="62" t="str">
        <f aca="false">IF(COUNTA($A2837,$F2837,$G2837,$H2837,$I2837,$J2837)=0,"",IF($M2837=0,"✖ كود الصف غير موجود",IF(ISNA(MATCH($F2837,Lists!$A$2:$A$5,0)),"✖ الفترة غير صحيحة",IF(ISNA(MATCH($G2837,Lists!$B$2:$B$7,0)),"✖ المجموعة غير صحيحة",IF(NOT(OR($H2837="",$N2837&gt;0)),"✖ Start غير صحيح",IF(NOT(OR($I2837="",$I2837="NR",$O2837&gt;0)),"✖ Current غير صحيح",IF(NOT(IF(ISNUMBER($J2837),AND($J2837&gt;=0,$J2837=INT($J2837)),FALSE())),"✖ العدد يجب أن يكون صحيحًا ≥ 0",IF(AND($F2837="Baseline",$H2837&lt;&gt;""),"⚠ Baseline: Start لا يدخل في التقدم",IF($K2837="No Start (attainment only)","ℹ تحصيل فقط (بدون Start)",IF($K2837="U – needs rule","ℹ حالة U تحتاج قاعدة معتمدة",IF($K2837="No result","ℹ بدون نتيجة (يُستبعد من التحصيل)","OK")))))))))))</f>
        <v/>
      </c>
      <c r="M2837" s="64" t="n">
        <f aca="false">IF($A2837="",0,IFERROR(MATCH($A2837,Classes!$A$6:$A$420,0),0))</f>
        <v>0</v>
      </c>
      <c r="N2837" s="64" t="n">
        <f aca="false">IF($H2837="",0,IFERROR(MATCH($H2837,GradeList,0),0))</f>
        <v>0</v>
      </c>
      <c r="O2837" s="64" t="n">
        <f aca="false">IF(OR($I2837="",$I2837="NR"),0,IFERROR(MATCH($I2837,GradeList,0),0))</f>
        <v>0</v>
      </c>
      <c r="P2837" s="64" t="n">
        <f aca="false">IF(AND($M2837&gt;0,ISNUMBER(MATCH($F2837,Lists!$A$2:$A$5,0)),ISNUMBER(MATCH($G2837,Lists!$B$2:$B$7,0)),OR($H2837="",$N2837&gt;0),OR($I2837="",$I2837="NR",$O2837&gt;0),IF(ISNUMBER($J2837),AND($J2837&gt;=0,$J2837=INT($J2837)),FALSE())),$J2837,0)</f>
        <v>0</v>
      </c>
      <c r="Q2837" s="64" t="n">
        <f aca="false">IF(AND($P2837&gt;0,$O2837&gt;0),$P2837,0)</f>
        <v>0</v>
      </c>
      <c r="R2837" s="64" t="n">
        <f aca="false">IF(AND($Q2837&gt;0,$O2837&gt;=AtRank),$Q2837,0)</f>
        <v>0</v>
      </c>
      <c r="S2837" s="64" t="n">
        <f aca="false">IF(AND($Q2837&gt;0,$O2837&gt;=AboveRank),$Q2837,0)</f>
        <v>0</v>
      </c>
      <c r="T2837" s="64" t="n">
        <f aca="false">IF($K2837="Less",$P2837,0)</f>
        <v>0</v>
      </c>
      <c r="U2837" s="64" t="n">
        <f aca="false">IF($K2837="Expected",$P2837,0)</f>
        <v>0</v>
      </c>
      <c r="V2837" s="64" t="n">
        <f aca="false">IF($K2837="Better",$P2837,0)</f>
        <v>0</v>
      </c>
      <c r="W2837" s="64" t="n">
        <f aca="false">IF($K2837="U – needs rule",$P2837,0)</f>
        <v>0</v>
      </c>
      <c r="X2837" s="64" t="n">
        <f aca="false">IF($K2837="No Start (attainment only)",$P2837,0)</f>
        <v>0</v>
      </c>
    </row>
    <row r="2838" customFormat="false" ht="15" hidden="false" customHeight="false" outlineLevel="0" collapsed="false">
      <c r="A2838" s="60"/>
      <c r="B2838" s="61" t="str">
        <f aca="false">IF($M2838=0,"",INDEX(Classes!$E$6:$E$420,$M2838))</f>
        <v/>
      </c>
      <c r="C2838" s="62" t="str">
        <f aca="false">IF($M2838=0,"",INDEX(Classes!$H$6:$H$420,$M2838))</f>
        <v/>
      </c>
      <c r="D2838" s="61" t="str">
        <f aca="false">IF($M2838=0,"",INDEX(Classes!$B$6:$B$420,$M2838))</f>
        <v/>
      </c>
      <c r="E2838" s="61" t="str">
        <f aca="false">IF($M2838=0,"",INDEX(Classes!$C$6:$C$420,$M2838))</f>
        <v/>
      </c>
      <c r="F2838" s="63"/>
      <c r="G2838" s="63"/>
      <c r="H2838" s="60"/>
      <c r="I2838" s="60"/>
      <c r="J2838" s="63"/>
      <c r="K2838" s="61" t="str">
        <f aca="false">IF($P2838=0,"",IF($F2838="Baseline","— Baseline",IF($O2838=0,"No result",IF($N2838=0,"No Start (attainment only)",IF(OR($N2838=1,$O2838=1),"U – needs rule",INDEX(MxBody,MATCH($I2838,MxCurr,0),MATCH($H2838,MxStart,0)))))))</f>
        <v/>
      </c>
      <c r="L2838" s="62" t="str">
        <f aca="false">IF(COUNTA($A2838,$F2838,$G2838,$H2838,$I2838,$J2838)=0,"",IF($M2838=0,"✖ كود الصف غير موجود",IF(ISNA(MATCH($F2838,Lists!$A$2:$A$5,0)),"✖ الفترة غير صحيحة",IF(ISNA(MATCH($G2838,Lists!$B$2:$B$7,0)),"✖ المجموعة غير صحيحة",IF(NOT(OR($H2838="",$N2838&gt;0)),"✖ Start غير صحيح",IF(NOT(OR($I2838="",$I2838="NR",$O2838&gt;0)),"✖ Current غير صحيح",IF(NOT(IF(ISNUMBER($J2838),AND($J2838&gt;=0,$J2838=INT($J2838)),FALSE())),"✖ العدد يجب أن يكون صحيحًا ≥ 0",IF(AND($F2838="Baseline",$H2838&lt;&gt;""),"⚠ Baseline: Start لا يدخل في التقدم",IF($K2838="No Start (attainment only)","ℹ تحصيل فقط (بدون Start)",IF($K2838="U – needs rule","ℹ حالة U تحتاج قاعدة معتمدة",IF($K2838="No result","ℹ بدون نتيجة (يُستبعد من التحصيل)","OK")))))))))))</f>
        <v/>
      </c>
      <c r="M2838" s="64" t="n">
        <f aca="false">IF($A2838="",0,IFERROR(MATCH($A2838,Classes!$A$6:$A$420,0),0))</f>
        <v>0</v>
      </c>
      <c r="N2838" s="64" t="n">
        <f aca="false">IF($H2838="",0,IFERROR(MATCH($H2838,GradeList,0),0))</f>
        <v>0</v>
      </c>
      <c r="O2838" s="64" t="n">
        <f aca="false">IF(OR($I2838="",$I2838="NR"),0,IFERROR(MATCH($I2838,GradeList,0),0))</f>
        <v>0</v>
      </c>
      <c r="P2838" s="64" t="n">
        <f aca="false">IF(AND($M2838&gt;0,ISNUMBER(MATCH($F2838,Lists!$A$2:$A$5,0)),ISNUMBER(MATCH($G2838,Lists!$B$2:$B$7,0)),OR($H2838="",$N2838&gt;0),OR($I2838="",$I2838="NR",$O2838&gt;0),IF(ISNUMBER($J2838),AND($J2838&gt;=0,$J2838=INT($J2838)),FALSE())),$J2838,0)</f>
        <v>0</v>
      </c>
      <c r="Q2838" s="64" t="n">
        <f aca="false">IF(AND($P2838&gt;0,$O2838&gt;0),$P2838,0)</f>
        <v>0</v>
      </c>
      <c r="R2838" s="64" t="n">
        <f aca="false">IF(AND($Q2838&gt;0,$O2838&gt;=AtRank),$Q2838,0)</f>
        <v>0</v>
      </c>
      <c r="S2838" s="64" t="n">
        <f aca="false">IF(AND($Q2838&gt;0,$O2838&gt;=AboveRank),$Q2838,0)</f>
        <v>0</v>
      </c>
      <c r="T2838" s="64" t="n">
        <f aca="false">IF($K2838="Less",$P2838,0)</f>
        <v>0</v>
      </c>
      <c r="U2838" s="64" t="n">
        <f aca="false">IF($K2838="Expected",$P2838,0)</f>
        <v>0</v>
      </c>
      <c r="V2838" s="64" t="n">
        <f aca="false">IF($K2838="Better",$P2838,0)</f>
        <v>0</v>
      </c>
      <c r="W2838" s="64" t="n">
        <f aca="false">IF($K2838="U – needs rule",$P2838,0)</f>
        <v>0</v>
      </c>
      <c r="X2838" s="64" t="n">
        <f aca="false">IF($K2838="No Start (attainment only)",$P2838,0)</f>
        <v>0</v>
      </c>
    </row>
    <row r="2839" customFormat="false" ht="15" hidden="false" customHeight="false" outlineLevel="0" collapsed="false">
      <c r="A2839" s="60"/>
      <c r="B2839" s="61" t="str">
        <f aca="false">IF($M2839=0,"",INDEX(Classes!$E$6:$E$420,$M2839))</f>
        <v/>
      </c>
      <c r="C2839" s="62" t="str">
        <f aca="false">IF($M2839=0,"",INDEX(Classes!$H$6:$H$420,$M2839))</f>
        <v/>
      </c>
      <c r="D2839" s="61" t="str">
        <f aca="false">IF($M2839=0,"",INDEX(Classes!$B$6:$B$420,$M2839))</f>
        <v/>
      </c>
      <c r="E2839" s="61" t="str">
        <f aca="false">IF($M2839=0,"",INDEX(Classes!$C$6:$C$420,$M2839))</f>
        <v/>
      </c>
      <c r="F2839" s="63"/>
      <c r="G2839" s="63"/>
      <c r="H2839" s="60"/>
      <c r="I2839" s="60"/>
      <c r="J2839" s="63"/>
      <c r="K2839" s="61" t="str">
        <f aca="false">IF($P2839=0,"",IF($F2839="Baseline","— Baseline",IF($O2839=0,"No result",IF($N2839=0,"No Start (attainment only)",IF(OR($N2839=1,$O2839=1),"U – needs rule",INDEX(MxBody,MATCH($I2839,MxCurr,0),MATCH($H2839,MxStart,0)))))))</f>
        <v/>
      </c>
      <c r="L2839" s="62" t="str">
        <f aca="false">IF(COUNTA($A2839,$F2839,$G2839,$H2839,$I2839,$J2839)=0,"",IF($M2839=0,"✖ كود الصف غير موجود",IF(ISNA(MATCH($F2839,Lists!$A$2:$A$5,0)),"✖ الفترة غير صحيحة",IF(ISNA(MATCH($G2839,Lists!$B$2:$B$7,0)),"✖ المجموعة غير صحيحة",IF(NOT(OR($H2839="",$N2839&gt;0)),"✖ Start غير صحيح",IF(NOT(OR($I2839="",$I2839="NR",$O2839&gt;0)),"✖ Current غير صحيح",IF(NOT(IF(ISNUMBER($J2839),AND($J2839&gt;=0,$J2839=INT($J2839)),FALSE())),"✖ العدد يجب أن يكون صحيحًا ≥ 0",IF(AND($F2839="Baseline",$H2839&lt;&gt;""),"⚠ Baseline: Start لا يدخل في التقدم",IF($K2839="No Start (attainment only)","ℹ تحصيل فقط (بدون Start)",IF($K2839="U – needs rule","ℹ حالة U تحتاج قاعدة معتمدة",IF($K2839="No result","ℹ بدون نتيجة (يُستبعد من التحصيل)","OK")))))))))))</f>
        <v/>
      </c>
      <c r="M2839" s="64" t="n">
        <f aca="false">IF($A2839="",0,IFERROR(MATCH($A2839,Classes!$A$6:$A$420,0),0))</f>
        <v>0</v>
      </c>
      <c r="N2839" s="64" t="n">
        <f aca="false">IF($H2839="",0,IFERROR(MATCH($H2839,GradeList,0),0))</f>
        <v>0</v>
      </c>
      <c r="O2839" s="64" t="n">
        <f aca="false">IF(OR($I2839="",$I2839="NR"),0,IFERROR(MATCH($I2839,GradeList,0),0))</f>
        <v>0</v>
      </c>
      <c r="P2839" s="64" t="n">
        <f aca="false">IF(AND($M2839&gt;0,ISNUMBER(MATCH($F2839,Lists!$A$2:$A$5,0)),ISNUMBER(MATCH($G2839,Lists!$B$2:$B$7,0)),OR($H2839="",$N2839&gt;0),OR($I2839="",$I2839="NR",$O2839&gt;0),IF(ISNUMBER($J2839),AND($J2839&gt;=0,$J2839=INT($J2839)),FALSE())),$J2839,0)</f>
        <v>0</v>
      </c>
      <c r="Q2839" s="64" t="n">
        <f aca="false">IF(AND($P2839&gt;0,$O2839&gt;0),$P2839,0)</f>
        <v>0</v>
      </c>
      <c r="R2839" s="64" t="n">
        <f aca="false">IF(AND($Q2839&gt;0,$O2839&gt;=AtRank),$Q2839,0)</f>
        <v>0</v>
      </c>
      <c r="S2839" s="64" t="n">
        <f aca="false">IF(AND($Q2839&gt;0,$O2839&gt;=AboveRank),$Q2839,0)</f>
        <v>0</v>
      </c>
      <c r="T2839" s="64" t="n">
        <f aca="false">IF($K2839="Less",$P2839,0)</f>
        <v>0</v>
      </c>
      <c r="U2839" s="64" t="n">
        <f aca="false">IF($K2839="Expected",$P2839,0)</f>
        <v>0</v>
      </c>
      <c r="V2839" s="64" t="n">
        <f aca="false">IF($K2839="Better",$P2839,0)</f>
        <v>0</v>
      </c>
      <c r="W2839" s="64" t="n">
        <f aca="false">IF($K2839="U – needs rule",$P2839,0)</f>
        <v>0</v>
      </c>
      <c r="X2839" s="64" t="n">
        <f aca="false">IF($K2839="No Start (attainment only)",$P2839,0)</f>
        <v>0</v>
      </c>
    </row>
    <row r="2840" customFormat="false" ht="15" hidden="false" customHeight="false" outlineLevel="0" collapsed="false">
      <c r="A2840" s="60"/>
      <c r="B2840" s="61" t="str">
        <f aca="false">IF($M2840=0,"",INDEX(Classes!$E$6:$E$420,$M2840))</f>
        <v/>
      </c>
      <c r="C2840" s="62" t="str">
        <f aca="false">IF($M2840=0,"",INDEX(Classes!$H$6:$H$420,$M2840))</f>
        <v/>
      </c>
      <c r="D2840" s="61" t="str">
        <f aca="false">IF($M2840=0,"",INDEX(Classes!$B$6:$B$420,$M2840))</f>
        <v/>
      </c>
      <c r="E2840" s="61" t="str">
        <f aca="false">IF($M2840=0,"",INDEX(Classes!$C$6:$C$420,$M2840))</f>
        <v/>
      </c>
      <c r="F2840" s="63"/>
      <c r="G2840" s="63"/>
      <c r="H2840" s="60"/>
      <c r="I2840" s="60"/>
      <c r="J2840" s="63"/>
      <c r="K2840" s="61" t="str">
        <f aca="false">IF($P2840=0,"",IF($F2840="Baseline","— Baseline",IF($O2840=0,"No result",IF($N2840=0,"No Start (attainment only)",IF(OR($N2840=1,$O2840=1),"U – needs rule",INDEX(MxBody,MATCH($I2840,MxCurr,0),MATCH($H2840,MxStart,0)))))))</f>
        <v/>
      </c>
      <c r="L2840" s="62" t="str">
        <f aca="false">IF(COUNTA($A2840,$F2840,$G2840,$H2840,$I2840,$J2840)=0,"",IF($M2840=0,"✖ كود الصف غير موجود",IF(ISNA(MATCH($F2840,Lists!$A$2:$A$5,0)),"✖ الفترة غير صحيحة",IF(ISNA(MATCH($G2840,Lists!$B$2:$B$7,0)),"✖ المجموعة غير صحيحة",IF(NOT(OR($H2840="",$N2840&gt;0)),"✖ Start غير صحيح",IF(NOT(OR($I2840="",$I2840="NR",$O2840&gt;0)),"✖ Current غير صحيح",IF(NOT(IF(ISNUMBER($J2840),AND($J2840&gt;=0,$J2840=INT($J2840)),FALSE())),"✖ العدد يجب أن يكون صحيحًا ≥ 0",IF(AND($F2840="Baseline",$H2840&lt;&gt;""),"⚠ Baseline: Start لا يدخل في التقدم",IF($K2840="No Start (attainment only)","ℹ تحصيل فقط (بدون Start)",IF($K2840="U – needs rule","ℹ حالة U تحتاج قاعدة معتمدة",IF($K2840="No result","ℹ بدون نتيجة (يُستبعد من التحصيل)","OK")))))))))))</f>
        <v/>
      </c>
      <c r="M2840" s="64" t="n">
        <f aca="false">IF($A2840="",0,IFERROR(MATCH($A2840,Classes!$A$6:$A$420,0),0))</f>
        <v>0</v>
      </c>
      <c r="N2840" s="64" t="n">
        <f aca="false">IF($H2840="",0,IFERROR(MATCH($H2840,GradeList,0),0))</f>
        <v>0</v>
      </c>
      <c r="O2840" s="64" t="n">
        <f aca="false">IF(OR($I2840="",$I2840="NR"),0,IFERROR(MATCH($I2840,GradeList,0),0))</f>
        <v>0</v>
      </c>
      <c r="P2840" s="64" t="n">
        <f aca="false">IF(AND($M2840&gt;0,ISNUMBER(MATCH($F2840,Lists!$A$2:$A$5,0)),ISNUMBER(MATCH($G2840,Lists!$B$2:$B$7,0)),OR($H2840="",$N2840&gt;0),OR($I2840="",$I2840="NR",$O2840&gt;0),IF(ISNUMBER($J2840),AND($J2840&gt;=0,$J2840=INT($J2840)),FALSE())),$J2840,0)</f>
        <v>0</v>
      </c>
      <c r="Q2840" s="64" t="n">
        <f aca="false">IF(AND($P2840&gt;0,$O2840&gt;0),$P2840,0)</f>
        <v>0</v>
      </c>
      <c r="R2840" s="64" t="n">
        <f aca="false">IF(AND($Q2840&gt;0,$O2840&gt;=AtRank),$Q2840,0)</f>
        <v>0</v>
      </c>
      <c r="S2840" s="64" t="n">
        <f aca="false">IF(AND($Q2840&gt;0,$O2840&gt;=AboveRank),$Q2840,0)</f>
        <v>0</v>
      </c>
      <c r="T2840" s="64" t="n">
        <f aca="false">IF($K2840="Less",$P2840,0)</f>
        <v>0</v>
      </c>
      <c r="U2840" s="64" t="n">
        <f aca="false">IF($K2840="Expected",$P2840,0)</f>
        <v>0</v>
      </c>
      <c r="V2840" s="64" t="n">
        <f aca="false">IF($K2840="Better",$P2840,0)</f>
        <v>0</v>
      </c>
      <c r="W2840" s="64" t="n">
        <f aca="false">IF($K2840="U – needs rule",$P2840,0)</f>
        <v>0</v>
      </c>
      <c r="X2840" s="64" t="n">
        <f aca="false">IF($K2840="No Start (attainment only)",$P2840,0)</f>
        <v>0</v>
      </c>
    </row>
    <row r="2841" customFormat="false" ht="15" hidden="false" customHeight="false" outlineLevel="0" collapsed="false">
      <c r="A2841" s="60"/>
      <c r="B2841" s="61" t="str">
        <f aca="false">IF($M2841=0,"",INDEX(Classes!$E$6:$E$420,$M2841))</f>
        <v/>
      </c>
      <c r="C2841" s="62" t="str">
        <f aca="false">IF($M2841=0,"",INDEX(Classes!$H$6:$H$420,$M2841))</f>
        <v/>
      </c>
      <c r="D2841" s="61" t="str">
        <f aca="false">IF($M2841=0,"",INDEX(Classes!$B$6:$B$420,$M2841))</f>
        <v/>
      </c>
      <c r="E2841" s="61" t="str">
        <f aca="false">IF($M2841=0,"",INDEX(Classes!$C$6:$C$420,$M2841))</f>
        <v/>
      </c>
      <c r="F2841" s="63"/>
      <c r="G2841" s="63"/>
      <c r="H2841" s="60"/>
      <c r="I2841" s="60"/>
      <c r="J2841" s="63"/>
      <c r="K2841" s="61" t="str">
        <f aca="false">IF($P2841=0,"",IF($F2841="Baseline","— Baseline",IF($O2841=0,"No result",IF($N2841=0,"No Start (attainment only)",IF(OR($N2841=1,$O2841=1),"U – needs rule",INDEX(MxBody,MATCH($I2841,MxCurr,0),MATCH($H2841,MxStart,0)))))))</f>
        <v/>
      </c>
      <c r="L2841" s="62" t="str">
        <f aca="false">IF(COUNTA($A2841,$F2841,$G2841,$H2841,$I2841,$J2841)=0,"",IF($M2841=0,"✖ كود الصف غير موجود",IF(ISNA(MATCH($F2841,Lists!$A$2:$A$5,0)),"✖ الفترة غير صحيحة",IF(ISNA(MATCH($G2841,Lists!$B$2:$B$7,0)),"✖ المجموعة غير صحيحة",IF(NOT(OR($H2841="",$N2841&gt;0)),"✖ Start غير صحيح",IF(NOT(OR($I2841="",$I2841="NR",$O2841&gt;0)),"✖ Current غير صحيح",IF(NOT(IF(ISNUMBER($J2841),AND($J2841&gt;=0,$J2841=INT($J2841)),FALSE())),"✖ العدد يجب أن يكون صحيحًا ≥ 0",IF(AND($F2841="Baseline",$H2841&lt;&gt;""),"⚠ Baseline: Start لا يدخل في التقدم",IF($K2841="No Start (attainment only)","ℹ تحصيل فقط (بدون Start)",IF($K2841="U – needs rule","ℹ حالة U تحتاج قاعدة معتمدة",IF($K2841="No result","ℹ بدون نتيجة (يُستبعد من التحصيل)","OK")))))))))))</f>
        <v/>
      </c>
      <c r="M2841" s="64" t="n">
        <f aca="false">IF($A2841="",0,IFERROR(MATCH($A2841,Classes!$A$6:$A$420,0),0))</f>
        <v>0</v>
      </c>
      <c r="N2841" s="64" t="n">
        <f aca="false">IF($H2841="",0,IFERROR(MATCH($H2841,GradeList,0),0))</f>
        <v>0</v>
      </c>
      <c r="O2841" s="64" t="n">
        <f aca="false">IF(OR($I2841="",$I2841="NR"),0,IFERROR(MATCH($I2841,GradeList,0),0))</f>
        <v>0</v>
      </c>
      <c r="P2841" s="64" t="n">
        <f aca="false">IF(AND($M2841&gt;0,ISNUMBER(MATCH($F2841,Lists!$A$2:$A$5,0)),ISNUMBER(MATCH($G2841,Lists!$B$2:$B$7,0)),OR($H2841="",$N2841&gt;0),OR($I2841="",$I2841="NR",$O2841&gt;0),IF(ISNUMBER($J2841),AND($J2841&gt;=0,$J2841=INT($J2841)),FALSE())),$J2841,0)</f>
        <v>0</v>
      </c>
      <c r="Q2841" s="64" t="n">
        <f aca="false">IF(AND($P2841&gt;0,$O2841&gt;0),$P2841,0)</f>
        <v>0</v>
      </c>
      <c r="R2841" s="64" t="n">
        <f aca="false">IF(AND($Q2841&gt;0,$O2841&gt;=AtRank),$Q2841,0)</f>
        <v>0</v>
      </c>
      <c r="S2841" s="64" t="n">
        <f aca="false">IF(AND($Q2841&gt;0,$O2841&gt;=AboveRank),$Q2841,0)</f>
        <v>0</v>
      </c>
      <c r="T2841" s="64" t="n">
        <f aca="false">IF($K2841="Less",$P2841,0)</f>
        <v>0</v>
      </c>
      <c r="U2841" s="64" t="n">
        <f aca="false">IF($K2841="Expected",$P2841,0)</f>
        <v>0</v>
      </c>
      <c r="V2841" s="64" t="n">
        <f aca="false">IF($K2841="Better",$P2841,0)</f>
        <v>0</v>
      </c>
      <c r="W2841" s="64" t="n">
        <f aca="false">IF($K2841="U – needs rule",$P2841,0)</f>
        <v>0</v>
      </c>
      <c r="X2841" s="64" t="n">
        <f aca="false">IF($K2841="No Start (attainment only)",$P2841,0)</f>
        <v>0</v>
      </c>
    </row>
    <row r="2842" customFormat="false" ht="15" hidden="false" customHeight="false" outlineLevel="0" collapsed="false">
      <c r="A2842" s="60"/>
      <c r="B2842" s="61" t="str">
        <f aca="false">IF($M2842=0,"",INDEX(Classes!$E$6:$E$420,$M2842))</f>
        <v/>
      </c>
      <c r="C2842" s="62" t="str">
        <f aca="false">IF($M2842=0,"",INDEX(Classes!$H$6:$H$420,$M2842))</f>
        <v/>
      </c>
      <c r="D2842" s="61" t="str">
        <f aca="false">IF($M2842=0,"",INDEX(Classes!$B$6:$B$420,$M2842))</f>
        <v/>
      </c>
      <c r="E2842" s="61" t="str">
        <f aca="false">IF($M2842=0,"",INDEX(Classes!$C$6:$C$420,$M2842))</f>
        <v/>
      </c>
      <c r="F2842" s="63"/>
      <c r="G2842" s="63"/>
      <c r="H2842" s="60"/>
      <c r="I2842" s="60"/>
      <c r="J2842" s="63"/>
      <c r="K2842" s="61" t="str">
        <f aca="false">IF($P2842=0,"",IF($F2842="Baseline","— Baseline",IF($O2842=0,"No result",IF($N2842=0,"No Start (attainment only)",IF(OR($N2842=1,$O2842=1),"U – needs rule",INDEX(MxBody,MATCH($I2842,MxCurr,0),MATCH($H2842,MxStart,0)))))))</f>
        <v/>
      </c>
      <c r="L2842" s="62" t="str">
        <f aca="false">IF(COUNTA($A2842,$F2842,$G2842,$H2842,$I2842,$J2842)=0,"",IF($M2842=0,"✖ كود الصف غير موجود",IF(ISNA(MATCH($F2842,Lists!$A$2:$A$5,0)),"✖ الفترة غير صحيحة",IF(ISNA(MATCH($G2842,Lists!$B$2:$B$7,0)),"✖ المجموعة غير صحيحة",IF(NOT(OR($H2842="",$N2842&gt;0)),"✖ Start غير صحيح",IF(NOT(OR($I2842="",$I2842="NR",$O2842&gt;0)),"✖ Current غير صحيح",IF(NOT(IF(ISNUMBER($J2842),AND($J2842&gt;=0,$J2842=INT($J2842)),FALSE())),"✖ العدد يجب أن يكون صحيحًا ≥ 0",IF(AND($F2842="Baseline",$H2842&lt;&gt;""),"⚠ Baseline: Start لا يدخل في التقدم",IF($K2842="No Start (attainment only)","ℹ تحصيل فقط (بدون Start)",IF($K2842="U – needs rule","ℹ حالة U تحتاج قاعدة معتمدة",IF($K2842="No result","ℹ بدون نتيجة (يُستبعد من التحصيل)","OK")))))))))))</f>
        <v/>
      </c>
      <c r="M2842" s="64" t="n">
        <f aca="false">IF($A2842="",0,IFERROR(MATCH($A2842,Classes!$A$6:$A$420,0),0))</f>
        <v>0</v>
      </c>
      <c r="N2842" s="64" t="n">
        <f aca="false">IF($H2842="",0,IFERROR(MATCH($H2842,GradeList,0),0))</f>
        <v>0</v>
      </c>
      <c r="O2842" s="64" t="n">
        <f aca="false">IF(OR($I2842="",$I2842="NR"),0,IFERROR(MATCH($I2842,GradeList,0),0))</f>
        <v>0</v>
      </c>
      <c r="P2842" s="64" t="n">
        <f aca="false">IF(AND($M2842&gt;0,ISNUMBER(MATCH($F2842,Lists!$A$2:$A$5,0)),ISNUMBER(MATCH($G2842,Lists!$B$2:$B$7,0)),OR($H2842="",$N2842&gt;0),OR($I2842="",$I2842="NR",$O2842&gt;0),IF(ISNUMBER($J2842),AND($J2842&gt;=0,$J2842=INT($J2842)),FALSE())),$J2842,0)</f>
        <v>0</v>
      </c>
      <c r="Q2842" s="64" t="n">
        <f aca="false">IF(AND($P2842&gt;0,$O2842&gt;0),$P2842,0)</f>
        <v>0</v>
      </c>
      <c r="R2842" s="64" t="n">
        <f aca="false">IF(AND($Q2842&gt;0,$O2842&gt;=AtRank),$Q2842,0)</f>
        <v>0</v>
      </c>
      <c r="S2842" s="64" t="n">
        <f aca="false">IF(AND($Q2842&gt;0,$O2842&gt;=AboveRank),$Q2842,0)</f>
        <v>0</v>
      </c>
      <c r="T2842" s="64" t="n">
        <f aca="false">IF($K2842="Less",$P2842,0)</f>
        <v>0</v>
      </c>
      <c r="U2842" s="64" t="n">
        <f aca="false">IF($K2842="Expected",$P2842,0)</f>
        <v>0</v>
      </c>
      <c r="V2842" s="64" t="n">
        <f aca="false">IF($K2842="Better",$P2842,0)</f>
        <v>0</v>
      </c>
      <c r="W2842" s="64" t="n">
        <f aca="false">IF($K2842="U – needs rule",$P2842,0)</f>
        <v>0</v>
      </c>
      <c r="X2842" s="64" t="n">
        <f aca="false">IF($K2842="No Start (attainment only)",$P2842,0)</f>
        <v>0</v>
      </c>
    </row>
    <row r="2843" customFormat="false" ht="15" hidden="false" customHeight="false" outlineLevel="0" collapsed="false">
      <c r="A2843" s="60"/>
      <c r="B2843" s="61" t="str">
        <f aca="false">IF($M2843=0,"",INDEX(Classes!$E$6:$E$420,$M2843))</f>
        <v/>
      </c>
      <c r="C2843" s="62" t="str">
        <f aca="false">IF($M2843=0,"",INDEX(Classes!$H$6:$H$420,$M2843))</f>
        <v/>
      </c>
      <c r="D2843" s="61" t="str">
        <f aca="false">IF($M2843=0,"",INDEX(Classes!$B$6:$B$420,$M2843))</f>
        <v/>
      </c>
      <c r="E2843" s="61" t="str">
        <f aca="false">IF($M2843=0,"",INDEX(Classes!$C$6:$C$420,$M2843))</f>
        <v/>
      </c>
      <c r="F2843" s="63"/>
      <c r="G2843" s="63"/>
      <c r="H2843" s="60"/>
      <c r="I2843" s="60"/>
      <c r="J2843" s="63"/>
      <c r="K2843" s="61" t="str">
        <f aca="false">IF($P2843=0,"",IF($F2843="Baseline","— Baseline",IF($O2843=0,"No result",IF($N2843=0,"No Start (attainment only)",IF(OR($N2843=1,$O2843=1),"U – needs rule",INDEX(MxBody,MATCH($I2843,MxCurr,0),MATCH($H2843,MxStart,0)))))))</f>
        <v/>
      </c>
      <c r="L2843" s="62" t="str">
        <f aca="false">IF(COUNTA($A2843,$F2843,$G2843,$H2843,$I2843,$J2843)=0,"",IF($M2843=0,"✖ كود الصف غير موجود",IF(ISNA(MATCH($F2843,Lists!$A$2:$A$5,0)),"✖ الفترة غير صحيحة",IF(ISNA(MATCH($G2843,Lists!$B$2:$B$7,0)),"✖ المجموعة غير صحيحة",IF(NOT(OR($H2843="",$N2843&gt;0)),"✖ Start غير صحيح",IF(NOT(OR($I2843="",$I2843="NR",$O2843&gt;0)),"✖ Current غير صحيح",IF(NOT(IF(ISNUMBER($J2843),AND($J2843&gt;=0,$J2843=INT($J2843)),FALSE())),"✖ العدد يجب أن يكون صحيحًا ≥ 0",IF(AND($F2843="Baseline",$H2843&lt;&gt;""),"⚠ Baseline: Start لا يدخل في التقدم",IF($K2843="No Start (attainment only)","ℹ تحصيل فقط (بدون Start)",IF($K2843="U – needs rule","ℹ حالة U تحتاج قاعدة معتمدة",IF($K2843="No result","ℹ بدون نتيجة (يُستبعد من التحصيل)","OK")))))))))))</f>
        <v/>
      </c>
      <c r="M2843" s="64" t="n">
        <f aca="false">IF($A2843="",0,IFERROR(MATCH($A2843,Classes!$A$6:$A$420,0),0))</f>
        <v>0</v>
      </c>
      <c r="N2843" s="64" t="n">
        <f aca="false">IF($H2843="",0,IFERROR(MATCH($H2843,GradeList,0),0))</f>
        <v>0</v>
      </c>
      <c r="O2843" s="64" t="n">
        <f aca="false">IF(OR($I2843="",$I2843="NR"),0,IFERROR(MATCH($I2843,GradeList,0),0))</f>
        <v>0</v>
      </c>
      <c r="P2843" s="64" t="n">
        <f aca="false">IF(AND($M2843&gt;0,ISNUMBER(MATCH($F2843,Lists!$A$2:$A$5,0)),ISNUMBER(MATCH($G2843,Lists!$B$2:$B$7,0)),OR($H2843="",$N2843&gt;0),OR($I2843="",$I2843="NR",$O2843&gt;0),IF(ISNUMBER($J2843),AND($J2843&gt;=0,$J2843=INT($J2843)),FALSE())),$J2843,0)</f>
        <v>0</v>
      </c>
      <c r="Q2843" s="64" t="n">
        <f aca="false">IF(AND($P2843&gt;0,$O2843&gt;0),$P2843,0)</f>
        <v>0</v>
      </c>
      <c r="R2843" s="64" t="n">
        <f aca="false">IF(AND($Q2843&gt;0,$O2843&gt;=AtRank),$Q2843,0)</f>
        <v>0</v>
      </c>
      <c r="S2843" s="64" t="n">
        <f aca="false">IF(AND($Q2843&gt;0,$O2843&gt;=AboveRank),$Q2843,0)</f>
        <v>0</v>
      </c>
      <c r="T2843" s="64" t="n">
        <f aca="false">IF($K2843="Less",$P2843,0)</f>
        <v>0</v>
      </c>
      <c r="U2843" s="64" t="n">
        <f aca="false">IF($K2843="Expected",$P2843,0)</f>
        <v>0</v>
      </c>
      <c r="V2843" s="64" t="n">
        <f aca="false">IF($K2843="Better",$P2843,0)</f>
        <v>0</v>
      </c>
      <c r="W2843" s="64" t="n">
        <f aca="false">IF($K2843="U – needs rule",$P2843,0)</f>
        <v>0</v>
      </c>
      <c r="X2843" s="64" t="n">
        <f aca="false">IF($K2843="No Start (attainment only)",$P2843,0)</f>
        <v>0</v>
      </c>
    </row>
    <row r="2844" customFormat="false" ht="15" hidden="false" customHeight="false" outlineLevel="0" collapsed="false">
      <c r="A2844" s="60"/>
      <c r="B2844" s="61" t="str">
        <f aca="false">IF($M2844=0,"",INDEX(Classes!$E$6:$E$420,$M2844))</f>
        <v/>
      </c>
      <c r="C2844" s="62" t="str">
        <f aca="false">IF($M2844=0,"",INDEX(Classes!$H$6:$H$420,$M2844))</f>
        <v/>
      </c>
      <c r="D2844" s="61" t="str">
        <f aca="false">IF($M2844=0,"",INDEX(Classes!$B$6:$B$420,$M2844))</f>
        <v/>
      </c>
      <c r="E2844" s="61" t="str">
        <f aca="false">IF($M2844=0,"",INDEX(Classes!$C$6:$C$420,$M2844))</f>
        <v/>
      </c>
      <c r="F2844" s="63"/>
      <c r="G2844" s="63"/>
      <c r="H2844" s="60"/>
      <c r="I2844" s="60"/>
      <c r="J2844" s="63"/>
      <c r="K2844" s="61" t="str">
        <f aca="false">IF($P2844=0,"",IF($F2844="Baseline","— Baseline",IF($O2844=0,"No result",IF($N2844=0,"No Start (attainment only)",IF(OR($N2844=1,$O2844=1),"U – needs rule",INDEX(MxBody,MATCH($I2844,MxCurr,0),MATCH($H2844,MxStart,0)))))))</f>
        <v/>
      </c>
      <c r="L2844" s="62" t="str">
        <f aca="false">IF(COUNTA($A2844,$F2844,$G2844,$H2844,$I2844,$J2844)=0,"",IF($M2844=0,"✖ كود الصف غير موجود",IF(ISNA(MATCH($F2844,Lists!$A$2:$A$5,0)),"✖ الفترة غير صحيحة",IF(ISNA(MATCH($G2844,Lists!$B$2:$B$7,0)),"✖ المجموعة غير صحيحة",IF(NOT(OR($H2844="",$N2844&gt;0)),"✖ Start غير صحيح",IF(NOT(OR($I2844="",$I2844="NR",$O2844&gt;0)),"✖ Current غير صحيح",IF(NOT(IF(ISNUMBER($J2844),AND($J2844&gt;=0,$J2844=INT($J2844)),FALSE())),"✖ العدد يجب أن يكون صحيحًا ≥ 0",IF(AND($F2844="Baseline",$H2844&lt;&gt;""),"⚠ Baseline: Start لا يدخل في التقدم",IF($K2844="No Start (attainment only)","ℹ تحصيل فقط (بدون Start)",IF($K2844="U – needs rule","ℹ حالة U تحتاج قاعدة معتمدة",IF($K2844="No result","ℹ بدون نتيجة (يُستبعد من التحصيل)","OK")))))))))))</f>
        <v/>
      </c>
      <c r="M2844" s="64" t="n">
        <f aca="false">IF($A2844="",0,IFERROR(MATCH($A2844,Classes!$A$6:$A$420,0),0))</f>
        <v>0</v>
      </c>
      <c r="N2844" s="64" t="n">
        <f aca="false">IF($H2844="",0,IFERROR(MATCH($H2844,GradeList,0),0))</f>
        <v>0</v>
      </c>
      <c r="O2844" s="64" t="n">
        <f aca="false">IF(OR($I2844="",$I2844="NR"),0,IFERROR(MATCH($I2844,GradeList,0),0))</f>
        <v>0</v>
      </c>
      <c r="P2844" s="64" t="n">
        <f aca="false">IF(AND($M2844&gt;0,ISNUMBER(MATCH($F2844,Lists!$A$2:$A$5,0)),ISNUMBER(MATCH($G2844,Lists!$B$2:$B$7,0)),OR($H2844="",$N2844&gt;0),OR($I2844="",$I2844="NR",$O2844&gt;0),IF(ISNUMBER($J2844),AND($J2844&gt;=0,$J2844=INT($J2844)),FALSE())),$J2844,0)</f>
        <v>0</v>
      </c>
      <c r="Q2844" s="64" t="n">
        <f aca="false">IF(AND($P2844&gt;0,$O2844&gt;0),$P2844,0)</f>
        <v>0</v>
      </c>
      <c r="R2844" s="64" t="n">
        <f aca="false">IF(AND($Q2844&gt;0,$O2844&gt;=AtRank),$Q2844,0)</f>
        <v>0</v>
      </c>
      <c r="S2844" s="64" t="n">
        <f aca="false">IF(AND($Q2844&gt;0,$O2844&gt;=AboveRank),$Q2844,0)</f>
        <v>0</v>
      </c>
      <c r="T2844" s="64" t="n">
        <f aca="false">IF($K2844="Less",$P2844,0)</f>
        <v>0</v>
      </c>
      <c r="U2844" s="64" t="n">
        <f aca="false">IF($K2844="Expected",$P2844,0)</f>
        <v>0</v>
      </c>
      <c r="V2844" s="64" t="n">
        <f aca="false">IF($K2844="Better",$P2844,0)</f>
        <v>0</v>
      </c>
      <c r="W2844" s="64" t="n">
        <f aca="false">IF($K2844="U – needs rule",$P2844,0)</f>
        <v>0</v>
      </c>
      <c r="X2844" s="64" t="n">
        <f aca="false">IF($K2844="No Start (attainment only)",$P2844,0)</f>
        <v>0</v>
      </c>
    </row>
    <row r="2845" customFormat="false" ht="15" hidden="false" customHeight="false" outlineLevel="0" collapsed="false">
      <c r="A2845" s="60"/>
      <c r="B2845" s="61" t="str">
        <f aca="false">IF($M2845=0,"",INDEX(Classes!$E$6:$E$420,$M2845))</f>
        <v/>
      </c>
      <c r="C2845" s="62" t="str">
        <f aca="false">IF($M2845=0,"",INDEX(Classes!$H$6:$H$420,$M2845))</f>
        <v/>
      </c>
      <c r="D2845" s="61" t="str">
        <f aca="false">IF($M2845=0,"",INDEX(Classes!$B$6:$B$420,$M2845))</f>
        <v/>
      </c>
      <c r="E2845" s="61" t="str">
        <f aca="false">IF($M2845=0,"",INDEX(Classes!$C$6:$C$420,$M2845))</f>
        <v/>
      </c>
      <c r="F2845" s="63"/>
      <c r="G2845" s="63"/>
      <c r="H2845" s="60"/>
      <c r="I2845" s="60"/>
      <c r="J2845" s="63"/>
      <c r="K2845" s="61" t="str">
        <f aca="false">IF($P2845=0,"",IF($F2845="Baseline","— Baseline",IF($O2845=0,"No result",IF($N2845=0,"No Start (attainment only)",IF(OR($N2845=1,$O2845=1),"U – needs rule",INDEX(MxBody,MATCH($I2845,MxCurr,0),MATCH($H2845,MxStart,0)))))))</f>
        <v/>
      </c>
      <c r="L2845" s="62" t="str">
        <f aca="false">IF(COUNTA($A2845,$F2845,$G2845,$H2845,$I2845,$J2845)=0,"",IF($M2845=0,"✖ كود الصف غير موجود",IF(ISNA(MATCH($F2845,Lists!$A$2:$A$5,0)),"✖ الفترة غير صحيحة",IF(ISNA(MATCH($G2845,Lists!$B$2:$B$7,0)),"✖ المجموعة غير صحيحة",IF(NOT(OR($H2845="",$N2845&gt;0)),"✖ Start غير صحيح",IF(NOT(OR($I2845="",$I2845="NR",$O2845&gt;0)),"✖ Current غير صحيح",IF(NOT(IF(ISNUMBER($J2845),AND($J2845&gt;=0,$J2845=INT($J2845)),FALSE())),"✖ العدد يجب أن يكون صحيحًا ≥ 0",IF(AND($F2845="Baseline",$H2845&lt;&gt;""),"⚠ Baseline: Start لا يدخل في التقدم",IF($K2845="No Start (attainment only)","ℹ تحصيل فقط (بدون Start)",IF($K2845="U – needs rule","ℹ حالة U تحتاج قاعدة معتمدة",IF($K2845="No result","ℹ بدون نتيجة (يُستبعد من التحصيل)","OK")))))))))))</f>
        <v/>
      </c>
      <c r="M2845" s="64" t="n">
        <f aca="false">IF($A2845="",0,IFERROR(MATCH($A2845,Classes!$A$6:$A$420,0),0))</f>
        <v>0</v>
      </c>
      <c r="N2845" s="64" t="n">
        <f aca="false">IF($H2845="",0,IFERROR(MATCH($H2845,GradeList,0),0))</f>
        <v>0</v>
      </c>
      <c r="O2845" s="64" t="n">
        <f aca="false">IF(OR($I2845="",$I2845="NR"),0,IFERROR(MATCH($I2845,GradeList,0),0))</f>
        <v>0</v>
      </c>
      <c r="P2845" s="64" t="n">
        <f aca="false">IF(AND($M2845&gt;0,ISNUMBER(MATCH($F2845,Lists!$A$2:$A$5,0)),ISNUMBER(MATCH($G2845,Lists!$B$2:$B$7,0)),OR($H2845="",$N2845&gt;0),OR($I2845="",$I2845="NR",$O2845&gt;0),IF(ISNUMBER($J2845),AND($J2845&gt;=0,$J2845=INT($J2845)),FALSE())),$J2845,0)</f>
        <v>0</v>
      </c>
      <c r="Q2845" s="64" t="n">
        <f aca="false">IF(AND($P2845&gt;0,$O2845&gt;0),$P2845,0)</f>
        <v>0</v>
      </c>
      <c r="R2845" s="64" t="n">
        <f aca="false">IF(AND($Q2845&gt;0,$O2845&gt;=AtRank),$Q2845,0)</f>
        <v>0</v>
      </c>
      <c r="S2845" s="64" t="n">
        <f aca="false">IF(AND($Q2845&gt;0,$O2845&gt;=AboveRank),$Q2845,0)</f>
        <v>0</v>
      </c>
      <c r="T2845" s="64" t="n">
        <f aca="false">IF($K2845="Less",$P2845,0)</f>
        <v>0</v>
      </c>
      <c r="U2845" s="64" t="n">
        <f aca="false">IF($K2845="Expected",$P2845,0)</f>
        <v>0</v>
      </c>
      <c r="V2845" s="64" t="n">
        <f aca="false">IF($K2845="Better",$P2845,0)</f>
        <v>0</v>
      </c>
      <c r="W2845" s="64" t="n">
        <f aca="false">IF($K2845="U – needs rule",$P2845,0)</f>
        <v>0</v>
      </c>
      <c r="X2845" s="64" t="n">
        <f aca="false">IF($K2845="No Start (attainment only)",$P2845,0)</f>
        <v>0</v>
      </c>
    </row>
    <row r="2846" customFormat="false" ht="15" hidden="false" customHeight="false" outlineLevel="0" collapsed="false">
      <c r="A2846" s="60"/>
      <c r="B2846" s="61" t="str">
        <f aca="false">IF($M2846=0,"",INDEX(Classes!$E$6:$E$420,$M2846))</f>
        <v/>
      </c>
      <c r="C2846" s="62" t="str">
        <f aca="false">IF($M2846=0,"",INDEX(Classes!$H$6:$H$420,$M2846))</f>
        <v/>
      </c>
      <c r="D2846" s="61" t="str">
        <f aca="false">IF($M2846=0,"",INDEX(Classes!$B$6:$B$420,$M2846))</f>
        <v/>
      </c>
      <c r="E2846" s="61" t="str">
        <f aca="false">IF($M2846=0,"",INDEX(Classes!$C$6:$C$420,$M2846))</f>
        <v/>
      </c>
      <c r="F2846" s="63"/>
      <c r="G2846" s="63"/>
      <c r="H2846" s="60"/>
      <c r="I2846" s="60"/>
      <c r="J2846" s="63"/>
      <c r="K2846" s="61" t="str">
        <f aca="false">IF($P2846=0,"",IF($F2846="Baseline","— Baseline",IF($O2846=0,"No result",IF($N2846=0,"No Start (attainment only)",IF(OR($N2846=1,$O2846=1),"U – needs rule",INDEX(MxBody,MATCH($I2846,MxCurr,0),MATCH($H2846,MxStart,0)))))))</f>
        <v/>
      </c>
      <c r="L2846" s="62" t="str">
        <f aca="false">IF(COUNTA($A2846,$F2846,$G2846,$H2846,$I2846,$J2846)=0,"",IF($M2846=0,"✖ كود الصف غير موجود",IF(ISNA(MATCH($F2846,Lists!$A$2:$A$5,0)),"✖ الفترة غير صحيحة",IF(ISNA(MATCH($G2846,Lists!$B$2:$B$7,0)),"✖ المجموعة غير صحيحة",IF(NOT(OR($H2846="",$N2846&gt;0)),"✖ Start غير صحيح",IF(NOT(OR($I2846="",$I2846="NR",$O2846&gt;0)),"✖ Current غير صحيح",IF(NOT(IF(ISNUMBER($J2846),AND($J2846&gt;=0,$J2846=INT($J2846)),FALSE())),"✖ العدد يجب أن يكون صحيحًا ≥ 0",IF(AND($F2846="Baseline",$H2846&lt;&gt;""),"⚠ Baseline: Start لا يدخل في التقدم",IF($K2846="No Start (attainment only)","ℹ تحصيل فقط (بدون Start)",IF($K2846="U – needs rule","ℹ حالة U تحتاج قاعدة معتمدة",IF($K2846="No result","ℹ بدون نتيجة (يُستبعد من التحصيل)","OK")))))))))))</f>
        <v/>
      </c>
      <c r="M2846" s="64" t="n">
        <f aca="false">IF($A2846="",0,IFERROR(MATCH($A2846,Classes!$A$6:$A$420,0),0))</f>
        <v>0</v>
      </c>
      <c r="N2846" s="64" t="n">
        <f aca="false">IF($H2846="",0,IFERROR(MATCH($H2846,GradeList,0),0))</f>
        <v>0</v>
      </c>
      <c r="O2846" s="64" t="n">
        <f aca="false">IF(OR($I2846="",$I2846="NR"),0,IFERROR(MATCH($I2846,GradeList,0),0))</f>
        <v>0</v>
      </c>
      <c r="P2846" s="64" t="n">
        <f aca="false">IF(AND($M2846&gt;0,ISNUMBER(MATCH($F2846,Lists!$A$2:$A$5,0)),ISNUMBER(MATCH($G2846,Lists!$B$2:$B$7,0)),OR($H2846="",$N2846&gt;0),OR($I2846="",$I2846="NR",$O2846&gt;0),IF(ISNUMBER($J2846),AND($J2846&gt;=0,$J2846=INT($J2846)),FALSE())),$J2846,0)</f>
        <v>0</v>
      </c>
      <c r="Q2846" s="64" t="n">
        <f aca="false">IF(AND($P2846&gt;0,$O2846&gt;0),$P2846,0)</f>
        <v>0</v>
      </c>
      <c r="R2846" s="64" t="n">
        <f aca="false">IF(AND($Q2846&gt;0,$O2846&gt;=AtRank),$Q2846,0)</f>
        <v>0</v>
      </c>
      <c r="S2846" s="64" t="n">
        <f aca="false">IF(AND($Q2846&gt;0,$O2846&gt;=AboveRank),$Q2846,0)</f>
        <v>0</v>
      </c>
      <c r="T2846" s="64" t="n">
        <f aca="false">IF($K2846="Less",$P2846,0)</f>
        <v>0</v>
      </c>
      <c r="U2846" s="64" t="n">
        <f aca="false">IF($K2846="Expected",$P2846,0)</f>
        <v>0</v>
      </c>
      <c r="V2846" s="64" t="n">
        <f aca="false">IF($K2846="Better",$P2846,0)</f>
        <v>0</v>
      </c>
      <c r="W2846" s="64" t="n">
        <f aca="false">IF($K2846="U – needs rule",$P2846,0)</f>
        <v>0</v>
      </c>
      <c r="X2846" s="64" t="n">
        <f aca="false">IF($K2846="No Start (attainment only)",$P2846,0)</f>
        <v>0</v>
      </c>
    </row>
    <row r="2847" customFormat="false" ht="15" hidden="false" customHeight="false" outlineLevel="0" collapsed="false">
      <c r="A2847" s="60"/>
      <c r="B2847" s="61" t="str">
        <f aca="false">IF($M2847=0,"",INDEX(Classes!$E$6:$E$420,$M2847))</f>
        <v/>
      </c>
      <c r="C2847" s="62" t="str">
        <f aca="false">IF($M2847=0,"",INDEX(Classes!$H$6:$H$420,$M2847))</f>
        <v/>
      </c>
      <c r="D2847" s="61" t="str">
        <f aca="false">IF($M2847=0,"",INDEX(Classes!$B$6:$B$420,$M2847))</f>
        <v/>
      </c>
      <c r="E2847" s="61" t="str">
        <f aca="false">IF($M2847=0,"",INDEX(Classes!$C$6:$C$420,$M2847))</f>
        <v/>
      </c>
      <c r="F2847" s="63"/>
      <c r="G2847" s="63"/>
      <c r="H2847" s="60"/>
      <c r="I2847" s="60"/>
      <c r="J2847" s="63"/>
      <c r="K2847" s="61" t="str">
        <f aca="false">IF($P2847=0,"",IF($F2847="Baseline","— Baseline",IF($O2847=0,"No result",IF($N2847=0,"No Start (attainment only)",IF(OR($N2847=1,$O2847=1),"U – needs rule",INDEX(MxBody,MATCH($I2847,MxCurr,0),MATCH($H2847,MxStart,0)))))))</f>
        <v/>
      </c>
      <c r="L2847" s="62" t="str">
        <f aca="false">IF(COUNTA($A2847,$F2847,$G2847,$H2847,$I2847,$J2847)=0,"",IF($M2847=0,"✖ كود الصف غير موجود",IF(ISNA(MATCH($F2847,Lists!$A$2:$A$5,0)),"✖ الفترة غير صحيحة",IF(ISNA(MATCH($G2847,Lists!$B$2:$B$7,0)),"✖ المجموعة غير صحيحة",IF(NOT(OR($H2847="",$N2847&gt;0)),"✖ Start غير صحيح",IF(NOT(OR($I2847="",$I2847="NR",$O2847&gt;0)),"✖ Current غير صحيح",IF(NOT(IF(ISNUMBER($J2847),AND($J2847&gt;=0,$J2847=INT($J2847)),FALSE())),"✖ العدد يجب أن يكون صحيحًا ≥ 0",IF(AND($F2847="Baseline",$H2847&lt;&gt;""),"⚠ Baseline: Start لا يدخل في التقدم",IF($K2847="No Start (attainment only)","ℹ تحصيل فقط (بدون Start)",IF($K2847="U – needs rule","ℹ حالة U تحتاج قاعدة معتمدة",IF($K2847="No result","ℹ بدون نتيجة (يُستبعد من التحصيل)","OK")))))))))))</f>
        <v/>
      </c>
      <c r="M2847" s="64" t="n">
        <f aca="false">IF($A2847="",0,IFERROR(MATCH($A2847,Classes!$A$6:$A$420,0),0))</f>
        <v>0</v>
      </c>
      <c r="N2847" s="64" t="n">
        <f aca="false">IF($H2847="",0,IFERROR(MATCH($H2847,GradeList,0),0))</f>
        <v>0</v>
      </c>
      <c r="O2847" s="64" t="n">
        <f aca="false">IF(OR($I2847="",$I2847="NR"),0,IFERROR(MATCH($I2847,GradeList,0),0))</f>
        <v>0</v>
      </c>
      <c r="P2847" s="64" t="n">
        <f aca="false">IF(AND($M2847&gt;0,ISNUMBER(MATCH($F2847,Lists!$A$2:$A$5,0)),ISNUMBER(MATCH($G2847,Lists!$B$2:$B$7,0)),OR($H2847="",$N2847&gt;0),OR($I2847="",$I2847="NR",$O2847&gt;0),IF(ISNUMBER($J2847),AND($J2847&gt;=0,$J2847=INT($J2847)),FALSE())),$J2847,0)</f>
        <v>0</v>
      </c>
      <c r="Q2847" s="64" t="n">
        <f aca="false">IF(AND($P2847&gt;0,$O2847&gt;0),$P2847,0)</f>
        <v>0</v>
      </c>
      <c r="R2847" s="64" t="n">
        <f aca="false">IF(AND($Q2847&gt;0,$O2847&gt;=AtRank),$Q2847,0)</f>
        <v>0</v>
      </c>
      <c r="S2847" s="64" t="n">
        <f aca="false">IF(AND($Q2847&gt;0,$O2847&gt;=AboveRank),$Q2847,0)</f>
        <v>0</v>
      </c>
      <c r="T2847" s="64" t="n">
        <f aca="false">IF($K2847="Less",$P2847,0)</f>
        <v>0</v>
      </c>
      <c r="U2847" s="64" t="n">
        <f aca="false">IF($K2847="Expected",$P2847,0)</f>
        <v>0</v>
      </c>
      <c r="V2847" s="64" t="n">
        <f aca="false">IF($K2847="Better",$P2847,0)</f>
        <v>0</v>
      </c>
      <c r="W2847" s="64" t="n">
        <f aca="false">IF($K2847="U – needs rule",$P2847,0)</f>
        <v>0</v>
      </c>
      <c r="X2847" s="64" t="n">
        <f aca="false">IF($K2847="No Start (attainment only)",$P2847,0)</f>
        <v>0</v>
      </c>
    </row>
    <row r="2848" customFormat="false" ht="15" hidden="false" customHeight="false" outlineLevel="0" collapsed="false">
      <c r="A2848" s="60"/>
      <c r="B2848" s="61" t="str">
        <f aca="false">IF($M2848=0,"",INDEX(Classes!$E$6:$E$420,$M2848))</f>
        <v/>
      </c>
      <c r="C2848" s="62" t="str">
        <f aca="false">IF($M2848=0,"",INDEX(Classes!$H$6:$H$420,$M2848))</f>
        <v/>
      </c>
      <c r="D2848" s="61" t="str">
        <f aca="false">IF($M2848=0,"",INDEX(Classes!$B$6:$B$420,$M2848))</f>
        <v/>
      </c>
      <c r="E2848" s="61" t="str">
        <f aca="false">IF($M2848=0,"",INDEX(Classes!$C$6:$C$420,$M2848))</f>
        <v/>
      </c>
      <c r="F2848" s="63"/>
      <c r="G2848" s="63"/>
      <c r="H2848" s="60"/>
      <c r="I2848" s="60"/>
      <c r="J2848" s="63"/>
      <c r="K2848" s="61" t="str">
        <f aca="false">IF($P2848=0,"",IF($F2848="Baseline","— Baseline",IF($O2848=0,"No result",IF($N2848=0,"No Start (attainment only)",IF(OR($N2848=1,$O2848=1),"U – needs rule",INDEX(MxBody,MATCH($I2848,MxCurr,0),MATCH($H2848,MxStart,0)))))))</f>
        <v/>
      </c>
      <c r="L2848" s="62" t="str">
        <f aca="false">IF(COUNTA($A2848,$F2848,$G2848,$H2848,$I2848,$J2848)=0,"",IF($M2848=0,"✖ كود الصف غير موجود",IF(ISNA(MATCH($F2848,Lists!$A$2:$A$5,0)),"✖ الفترة غير صحيحة",IF(ISNA(MATCH($G2848,Lists!$B$2:$B$7,0)),"✖ المجموعة غير صحيحة",IF(NOT(OR($H2848="",$N2848&gt;0)),"✖ Start غير صحيح",IF(NOT(OR($I2848="",$I2848="NR",$O2848&gt;0)),"✖ Current غير صحيح",IF(NOT(IF(ISNUMBER($J2848),AND($J2848&gt;=0,$J2848=INT($J2848)),FALSE())),"✖ العدد يجب أن يكون صحيحًا ≥ 0",IF(AND($F2848="Baseline",$H2848&lt;&gt;""),"⚠ Baseline: Start لا يدخل في التقدم",IF($K2848="No Start (attainment only)","ℹ تحصيل فقط (بدون Start)",IF($K2848="U – needs rule","ℹ حالة U تحتاج قاعدة معتمدة",IF($K2848="No result","ℹ بدون نتيجة (يُستبعد من التحصيل)","OK")))))))))))</f>
        <v/>
      </c>
      <c r="M2848" s="64" t="n">
        <f aca="false">IF($A2848="",0,IFERROR(MATCH($A2848,Classes!$A$6:$A$420,0),0))</f>
        <v>0</v>
      </c>
      <c r="N2848" s="64" t="n">
        <f aca="false">IF($H2848="",0,IFERROR(MATCH($H2848,GradeList,0),0))</f>
        <v>0</v>
      </c>
      <c r="O2848" s="64" t="n">
        <f aca="false">IF(OR($I2848="",$I2848="NR"),0,IFERROR(MATCH($I2848,GradeList,0),0))</f>
        <v>0</v>
      </c>
      <c r="P2848" s="64" t="n">
        <f aca="false">IF(AND($M2848&gt;0,ISNUMBER(MATCH($F2848,Lists!$A$2:$A$5,0)),ISNUMBER(MATCH($G2848,Lists!$B$2:$B$7,0)),OR($H2848="",$N2848&gt;0),OR($I2848="",$I2848="NR",$O2848&gt;0),IF(ISNUMBER($J2848),AND($J2848&gt;=0,$J2848=INT($J2848)),FALSE())),$J2848,0)</f>
        <v>0</v>
      </c>
      <c r="Q2848" s="64" t="n">
        <f aca="false">IF(AND($P2848&gt;0,$O2848&gt;0),$P2848,0)</f>
        <v>0</v>
      </c>
      <c r="R2848" s="64" t="n">
        <f aca="false">IF(AND($Q2848&gt;0,$O2848&gt;=AtRank),$Q2848,0)</f>
        <v>0</v>
      </c>
      <c r="S2848" s="64" t="n">
        <f aca="false">IF(AND($Q2848&gt;0,$O2848&gt;=AboveRank),$Q2848,0)</f>
        <v>0</v>
      </c>
      <c r="T2848" s="64" t="n">
        <f aca="false">IF($K2848="Less",$P2848,0)</f>
        <v>0</v>
      </c>
      <c r="U2848" s="64" t="n">
        <f aca="false">IF($K2848="Expected",$P2848,0)</f>
        <v>0</v>
      </c>
      <c r="V2848" s="64" t="n">
        <f aca="false">IF($K2848="Better",$P2848,0)</f>
        <v>0</v>
      </c>
      <c r="W2848" s="64" t="n">
        <f aca="false">IF($K2848="U – needs rule",$P2848,0)</f>
        <v>0</v>
      </c>
      <c r="X2848" s="64" t="n">
        <f aca="false">IF($K2848="No Start (attainment only)",$P2848,0)</f>
        <v>0</v>
      </c>
    </row>
    <row r="2849" customFormat="false" ht="15" hidden="false" customHeight="false" outlineLevel="0" collapsed="false">
      <c r="A2849" s="60"/>
      <c r="B2849" s="61" t="str">
        <f aca="false">IF($M2849=0,"",INDEX(Classes!$E$6:$E$420,$M2849))</f>
        <v/>
      </c>
      <c r="C2849" s="62" t="str">
        <f aca="false">IF($M2849=0,"",INDEX(Classes!$H$6:$H$420,$M2849))</f>
        <v/>
      </c>
      <c r="D2849" s="61" t="str">
        <f aca="false">IF($M2849=0,"",INDEX(Classes!$B$6:$B$420,$M2849))</f>
        <v/>
      </c>
      <c r="E2849" s="61" t="str">
        <f aca="false">IF($M2849=0,"",INDEX(Classes!$C$6:$C$420,$M2849))</f>
        <v/>
      </c>
      <c r="F2849" s="63"/>
      <c r="G2849" s="63"/>
      <c r="H2849" s="60"/>
      <c r="I2849" s="60"/>
      <c r="J2849" s="63"/>
      <c r="K2849" s="61" t="str">
        <f aca="false">IF($P2849=0,"",IF($F2849="Baseline","— Baseline",IF($O2849=0,"No result",IF($N2849=0,"No Start (attainment only)",IF(OR($N2849=1,$O2849=1),"U – needs rule",INDEX(MxBody,MATCH($I2849,MxCurr,0),MATCH($H2849,MxStart,0)))))))</f>
        <v/>
      </c>
      <c r="L2849" s="62" t="str">
        <f aca="false">IF(COUNTA($A2849,$F2849,$G2849,$H2849,$I2849,$J2849)=0,"",IF($M2849=0,"✖ كود الصف غير موجود",IF(ISNA(MATCH($F2849,Lists!$A$2:$A$5,0)),"✖ الفترة غير صحيحة",IF(ISNA(MATCH($G2849,Lists!$B$2:$B$7,0)),"✖ المجموعة غير صحيحة",IF(NOT(OR($H2849="",$N2849&gt;0)),"✖ Start غير صحيح",IF(NOT(OR($I2849="",$I2849="NR",$O2849&gt;0)),"✖ Current غير صحيح",IF(NOT(IF(ISNUMBER($J2849),AND($J2849&gt;=0,$J2849=INT($J2849)),FALSE())),"✖ العدد يجب أن يكون صحيحًا ≥ 0",IF(AND($F2849="Baseline",$H2849&lt;&gt;""),"⚠ Baseline: Start لا يدخل في التقدم",IF($K2849="No Start (attainment only)","ℹ تحصيل فقط (بدون Start)",IF($K2849="U – needs rule","ℹ حالة U تحتاج قاعدة معتمدة",IF($K2849="No result","ℹ بدون نتيجة (يُستبعد من التحصيل)","OK")))))))))))</f>
        <v/>
      </c>
      <c r="M2849" s="64" t="n">
        <f aca="false">IF($A2849="",0,IFERROR(MATCH($A2849,Classes!$A$6:$A$420,0),0))</f>
        <v>0</v>
      </c>
      <c r="N2849" s="64" t="n">
        <f aca="false">IF($H2849="",0,IFERROR(MATCH($H2849,GradeList,0),0))</f>
        <v>0</v>
      </c>
      <c r="O2849" s="64" t="n">
        <f aca="false">IF(OR($I2849="",$I2849="NR"),0,IFERROR(MATCH($I2849,GradeList,0),0))</f>
        <v>0</v>
      </c>
      <c r="P2849" s="64" t="n">
        <f aca="false">IF(AND($M2849&gt;0,ISNUMBER(MATCH($F2849,Lists!$A$2:$A$5,0)),ISNUMBER(MATCH($G2849,Lists!$B$2:$B$7,0)),OR($H2849="",$N2849&gt;0),OR($I2849="",$I2849="NR",$O2849&gt;0),IF(ISNUMBER($J2849),AND($J2849&gt;=0,$J2849=INT($J2849)),FALSE())),$J2849,0)</f>
        <v>0</v>
      </c>
      <c r="Q2849" s="64" t="n">
        <f aca="false">IF(AND($P2849&gt;0,$O2849&gt;0),$P2849,0)</f>
        <v>0</v>
      </c>
      <c r="R2849" s="64" t="n">
        <f aca="false">IF(AND($Q2849&gt;0,$O2849&gt;=AtRank),$Q2849,0)</f>
        <v>0</v>
      </c>
      <c r="S2849" s="64" t="n">
        <f aca="false">IF(AND($Q2849&gt;0,$O2849&gt;=AboveRank),$Q2849,0)</f>
        <v>0</v>
      </c>
      <c r="T2849" s="64" t="n">
        <f aca="false">IF($K2849="Less",$P2849,0)</f>
        <v>0</v>
      </c>
      <c r="U2849" s="64" t="n">
        <f aca="false">IF($K2849="Expected",$P2849,0)</f>
        <v>0</v>
      </c>
      <c r="V2849" s="64" t="n">
        <f aca="false">IF($K2849="Better",$P2849,0)</f>
        <v>0</v>
      </c>
      <c r="W2849" s="64" t="n">
        <f aca="false">IF($K2849="U – needs rule",$P2849,0)</f>
        <v>0</v>
      </c>
      <c r="X2849" s="64" t="n">
        <f aca="false">IF($K2849="No Start (attainment only)",$P2849,0)</f>
        <v>0</v>
      </c>
    </row>
    <row r="2850" customFormat="false" ht="15" hidden="false" customHeight="false" outlineLevel="0" collapsed="false">
      <c r="A2850" s="60"/>
      <c r="B2850" s="61" t="str">
        <f aca="false">IF($M2850=0,"",INDEX(Classes!$E$6:$E$420,$M2850))</f>
        <v/>
      </c>
      <c r="C2850" s="62" t="str">
        <f aca="false">IF($M2850=0,"",INDEX(Classes!$H$6:$H$420,$M2850))</f>
        <v/>
      </c>
      <c r="D2850" s="61" t="str">
        <f aca="false">IF($M2850=0,"",INDEX(Classes!$B$6:$B$420,$M2850))</f>
        <v/>
      </c>
      <c r="E2850" s="61" t="str">
        <f aca="false">IF($M2850=0,"",INDEX(Classes!$C$6:$C$420,$M2850))</f>
        <v/>
      </c>
      <c r="F2850" s="63"/>
      <c r="G2850" s="63"/>
      <c r="H2850" s="60"/>
      <c r="I2850" s="60"/>
      <c r="J2850" s="63"/>
      <c r="K2850" s="61" t="str">
        <f aca="false">IF($P2850=0,"",IF($F2850="Baseline","— Baseline",IF($O2850=0,"No result",IF($N2850=0,"No Start (attainment only)",IF(OR($N2850=1,$O2850=1),"U – needs rule",INDEX(MxBody,MATCH($I2850,MxCurr,0),MATCH($H2850,MxStart,0)))))))</f>
        <v/>
      </c>
      <c r="L2850" s="62" t="str">
        <f aca="false">IF(COUNTA($A2850,$F2850,$G2850,$H2850,$I2850,$J2850)=0,"",IF($M2850=0,"✖ كود الصف غير موجود",IF(ISNA(MATCH($F2850,Lists!$A$2:$A$5,0)),"✖ الفترة غير صحيحة",IF(ISNA(MATCH($G2850,Lists!$B$2:$B$7,0)),"✖ المجموعة غير صحيحة",IF(NOT(OR($H2850="",$N2850&gt;0)),"✖ Start غير صحيح",IF(NOT(OR($I2850="",$I2850="NR",$O2850&gt;0)),"✖ Current غير صحيح",IF(NOT(IF(ISNUMBER($J2850),AND($J2850&gt;=0,$J2850=INT($J2850)),FALSE())),"✖ العدد يجب أن يكون صحيحًا ≥ 0",IF(AND($F2850="Baseline",$H2850&lt;&gt;""),"⚠ Baseline: Start لا يدخل في التقدم",IF($K2850="No Start (attainment only)","ℹ تحصيل فقط (بدون Start)",IF($K2850="U – needs rule","ℹ حالة U تحتاج قاعدة معتمدة",IF($K2850="No result","ℹ بدون نتيجة (يُستبعد من التحصيل)","OK")))))))))))</f>
        <v/>
      </c>
      <c r="M2850" s="64" t="n">
        <f aca="false">IF($A2850="",0,IFERROR(MATCH($A2850,Classes!$A$6:$A$420,0),0))</f>
        <v>0</v>
      </c>
      <c r="N2850" s="64" t="n">
        <f aca="false">IF($H2850="",0,IFERROR(MATCH($H2850,GradeList,0),0))</f>
        <v>0</v>
      </c>
      <c r="O2850" s="64" t="n">
        <f aca="false">IF(OR($I2850="",$I2850="NR"),0,IFERROR(MATCH($I2850,GradeList,0),0))</f>
        <v>0</v>
      </c>
      <c r="P2850" s="64" t="n">
        <f aca="false">IF(AND($M2850&gt;0,ISNUMBER(MATCH($F2850,Lists!$A$2:$A$5,0)),ISNUMBER(MATCH($G2850,Lists!$B$2:$B$7,0)),OR($H2850="",$N2850&gt;0),OR($I2850="",$I2850="NR",$O2850&gt;0),IF(ISNUMBER($J2850),AND($J2850&gt;=0,$J2850=INT($J2850)),FALSE())),$J2850,0)</f>
        <v>0</v>
      </c>
      <c r="Q2850" s="64" t="n">
        <f aca="false">IF(AND($P2850&gt;0,$O2850&gt;0),$P2850,0)</f>
        <v>0</v>
      </c>
      <c r="R2850" s="64" t="n">
        <f aca="false">IF(AND($Q2850&gt;0,$O2850&gt;=AtRank),$Q2850,0)</f>
        <v>0</v>
      </c>
      <c r="S2850" s="64" t="n">
        <f aca="false">IF(AND($Q2850&gt;0,$O2850&gt;=AboveRank),$Q2850,0)</f>
        <v>0</v>
      </c>
      <c r="T2850" s="64" t="n">
        <f aca="false">IF($K2850="Less",$P2850,0)</f>
        <v>0</v>
      </c>
      <c r="U2850" s="64" t="n">
        <f aca="false">IF($K2850="Expected",$P2850,0)</f>
        <v>0</v>
      </c>
      <c r="V2850" s="64" t="n">
        <f aca="false">IF($K2850="Better",$P2850,0)</f>
        <v>0</v>
      </c>
      <c r="W2850" s="64" t="n">
        <f aca="false">IF($K2850="U – needs rule",$P2850,0)</f>
        <v>0</v>
      </c>
      <c r="X2850" s="64" t="n">
        <f aca="false">IF($K2850="No Start (attainment only)",$P2850,0)</f>
        <v>0</v>
      </c>
    </row>
    <row r="2851" customFormat="false" ht="15" hidden="false" customHeight="false" outlineLevel="0" collapsed="false">
      <c r="A2851" s="60"/>
      <c r="B2851" s="61" t="str">
        <f aca="false">IF($M2851=0,"",INDEX(Classes!$E$6:$E$420,$M2851))</f>
        <v/>
      </c>
      <c r="C2851" s="62" t="str">
        <f aca="false">IF($M2851=0,"",INDEX(Classes!$H$6:$H$420,$M2851))</f>
        <v/>
      </c>
      <c r="D2851" s="61" t="str">
        <f aca="false">IF($M2851=0,"",INDEX(Classes!$B$6:$B$420,$M2851))</f>
        <v/>
      </c>
      <c r="E2851" s="61" t="str">
        <f aca="false">IF($M2851=0,"",INDEX(Classes!$C$6:$C$420,$M2851))</f>
        <v/>
      </c>
      <c r="F2851" s="63"/>
      <c r="G2851" s="63"/>
      <c r="H2851" s="60"/>
      <c r="I2851" s="60"/>
      <c r="J2851" s="63"/>
      <c r="K2851" s="61" t="str">
        <f aca="false">IF($P2851=0,"",IF($F2851="Baseline","— Baseline",IF($O2851=0,"No result",IF($N2851=0,"No Start (attainment only)",IF(OR($N2851=1,$O2851=1),"U – needs rule",INDEX(MxBody,MATCH($I2851,MxCurr,0),MATCH($H2851,MxStart,0)))))))</f>
        <v/>
      </c>
      <c r="L2851" s="62" t="str">
        <f aca="false">IF(COUNTA($A2851,$F2851,$G2851,$H2851,$I2851,$J2851)=0,"",IF($M2851=0,"✖ كود الصف غير موجود",IF(ISNA(MATCH($F2851,Lists!$A$2:$A$5,0)),"✖ الفترة غير صحيحة",IF(ISNA(MATCH($G2851,Lists!$B$2:$B$7,0)),"✖ المجموعة غير صحيحة",IF(NOT(OR($H2851="",$N2851&gt;0)),"✖ Start غير صحيح",IF(NOT(OR($I2851="",$I2851="NR",$O2851&gt;0)),"✖ Current غير صحيح",IF(NOT(IF(ISNUMBER($J2851),AND($J2851&gt;=0,$J2851=INT($J2851)),FALSE())),"✖ العدد يجب أن يكون صحيحًا ≥ 0",IF(AND($F2851="Baseline",$H2851&lt;&gt;""),"⚠ Baseline: Start لا يدخل في التقدم",IF($K2851="No Start (attainment only)","ℹ تحصيل فقط (بدون Start)",IF($K2851="U – needs rule","ℹ حالة U تحتاج قاعدة معتمدة",IF($K2851="No result","ℹ بدون نتيجة (يُستبعد من التحصيل)","OK")))))))))))</f>
        <v/>
      </c>
      <c r="M2851" s="64" t="n">
        <f aca="false">IF($A2851="",0,IFERROR(MATCH($A2851,Classes!$A$6:$A$420,0),0))</f>
        <v>0</v>
      </c>
      <c r="N2851" s="64" t="n">
        <f aca="false">IF($H2851="",0,IFERROR(MATCH($H2851,GradeList,0),0))</f>
        <v>0</v>
      </c>
      <c r="O2851" s="64" t="n">
        <f aca="false">IF(OR($I2851="",$I2851="NR"),0,IFERROR(MATCH($I2851,GradeList,0),0))</f>
        <v>0</v>
      </c>
      <c r="P2851" s="64" t="n">
        <f aca="false">IF(AND($M2851&gt;0,ISNUMBER(MATCH($F2851,Lists!$A$2:$A$5,0)),ISNUMBER(MATCH($G2851,Lists!$B$2:$B$7,0)),OR($H2851="",$N2851&gt;0),OR($I2851="",$I2851="NR",$O2851&gt;0),IF(ISNUMBER($J2851),AND($J2851&gt;=0,$J2851=INT($J2851)),FALSE())),$J2851,0)</f>
        <v>0</v>
      </c>
      <c r="Q2851" s="64" t="n">
        <f aca="false">IF(AND($P2851&gt;0,$O2851&gt;0),$P2851,0)</f>
        <v>0</v>
      </c>
      <c r="R2851" s="64" t="n">
        <f aca="false">IF(AND($Q2851&gt;0,$O2851&gt;=AtRank),$Q2851,0)</f>
        <v>0</v>
      </c>
      <c r="S2851" s="64" t="n">
        <f aca="false">IF(AND($Q2851&gt;0,$O2851&gt;=AboveRank),$Q2851,0)</f>
        <v>0</v>
      </c>
      <c r="T2851" s="64" t="n">
        <f aca="false">IF($K2851="Less",$P2851,0)</f>
        <v>0</v>
      </c>
      <c r="U2851" s="64" t="n">
        <f aca="false">IF($K2851="Expected",$P2851,0)</f>
        <v>0</v>
      </c>
      <c r="V2851" s="64" t="n">
        <f aca="false">IF($K2851="Better",$P2851,0)</f>
        <v>0</v>
      </c>
      <c r="W2851" s="64" t="n">
        <f aca="false">IF($K2851="U – needs rule",$P2851,0)</f>
        <v>0</v>
      </c>
      <c r="X2851" s="64" t="n">
        <f aca="false">IF($K2851="No Start (attainment only)",$P2851,0)</f>
        <v>0</v>
      </c>
    </row>
    <row r="2852" customFormat="false" ht="15" hidden="false" customHeight="false" outlineLevel="0" collapsed="false">
      <c r="A2852" s="60"/>
      <c r="B2852" s="61" t="str">
        <f aca="false">IF($M2852=0,"",INDEX(Classes!$E$6:$E$420,$M2852))</f>
        <v/>
      </c>
      <c r="C2852" s="62" t="str">
        <f aca="false">IF($M2852=0,"",INDEX(Classes!$H$6:$H$420,$M2852))</f>
        <v/>
      </c>
      <c r="D2852" s="61" t="str">
        <f aca="false">IF($M2852=0,"",INDEX(Classes!$B$6:$B$420,$M2852))</f>
        <v/>
      </c>
      <c r="E2852" s="61" t="str">
        <f aca="false">IF($M2852=0,"",INDEX(Classes!$C$6:$C$420,$M2852))</f>
        <v/>
      </c>
      <c r="F2852" s="63"/>
      <c r="G2852" s="63"/>
      <c r="H2852" s="60"/>
      <c r="I2852" s="60"/>
      <c r="J2852" s="63"/>
      <c r="K2852" s="61" t="str">
        <f aca="false">IF($P2852=0,"",IF($F2852="Baseline","— Baseline",IF($O2852=0,"No result",IF($N2852=0,"No Start (attainment only)",IF(OR($N2852=1,$O2852=1),"U – needs rule",INDEX(MxBody,MATCH($I2852,MxCurr,0),MATCH($H2852,MxStart,0)))))))</f>
        <v/>
      </c>
      <c r="L2852" s="62" t="str">
        <f aca="false">IF(COUNTA($A2852,$F2852,$G2852,$H2852,$I2852,$J2852)=0,"",IF($M2852=0,"✖ كود الصف غير موجود",IF(ISNA(MATCH($F2852,Lists!$A$2:$A$5,0)),"✖ الفترة غير صحيحة",IF(ISNA(MATCH($G2852,Lists!$B$2:$B$7,0)),"✖ المجموعة غير صحيحة",IF(NOT(OR($H2852="",$N2852&gt;0)),"✖ Start غير صحيح",IF(NOT(OR($I2852="",$I2852="NR",$O2852&gt;0)),"✖ Current غير صحيح",IF(NOT(IF(ISNUMBER($J2852),AND($J2852&gt;=0,$J2852=INT($J2852)),FALSE())),"✖ العدد يجب أن يكون صحيحًا ≥ 0",IF(AND($F2852="Baseline",$H2852&lt;&gt;""),"⚠ Baseline: Start لا يدخل في التقدم",IF($K2852="No Start (attainment only)","ℹ تحصيل فقط (بدون Start)",IF($K2852="U – needs rule","ℹ حالة U تحتاج قاعدة معتمدة",IF($K2852="No result","ℹ بدون نتيجة (يُستبعد من التحصيل)","OK")))))))))))</f>
        <v/>
      </c>
      <c r="M2852" s="64" t="n">
        <f aca="false">IF($A2852="",0,IFERROR(MATCH($A2852,Classes!$A$6:$A$420,0),0))</f>
        <v>0</v>
      </c>
      <c r="N2852" s="64" t="n">
        <f aca="false">IF($H2852="",0,IFERROR(MATCH($H2852,GradeList,0),0))</f>
        <v>0</v>
      </c>
      <c r="O2852" s="64" t="n">
        <f aca="false">IF(OR($I2852="",$I2852="NR"),0,IFERROR(MATCH($I2852,GradeList,0),0))</f>
        <v>0</v>
      </c>
      <c r="P2852" s="64" t="n">
        <f aca="false">IF(AND($M2852&gt;0,ISNUMBER(MATCH($F2852,Lists!$A$2:$A$5,0)),ISNUMBER(MATCH($G2852,Lists!$B$2:$B$7,0)),OR($H2852="",$N2852&gt;0),OR($I2852="",$I2852="NR",$O2852&gt;0),IF(ISNUMBER($J2852),AND($J2852&gt;=0,$J2852=INT($J2852)),FALSE())),$J2852,0)</f>
        <v>0</v>
      </c>
      <c r="Q2852" s="64" t="n">
        <f aca="false">IF(AND($P2852&gt;0,$O2852&gt;0),$P2852,0)</f>
        <v>0</v>
      </c>
      <c r="R2852" s="64" t="n">
        <f aca="false">IF(AND($Q2852&gt;0,$O2852&gt;=AtRank),$Q2852,0)</f>
        <v>0</v>
      </c>
      <c r="S2852" s="64" t="n">
        <f aca="false">IF(AND($Q2852&gt;0,$O2852&gt;=AboveRank),$Q2852,0)</f>
        <v>0</v>
      </c>
      <c r="T2852" s="64" t="n">
        <f aca="false">IF($K2852="Less",$P2852,0)</f>
        <v>0</v>
      </c>
      <c r="U2852" s="64" t="n">
        <f aca="false">IF($K2852="Expected",$P2852,0)</f>
        <v>0</v>
      </c>
      <c r="V2852" s="64" t="n">
        <f aca="false">IF($K2852="Better",$P2852,0)</f>
        <v>0</v>
      </c>
      <c r="W2852" s="64" t="n">
        <f aca="false">IF($K2852="U – needs rule",$P2852,0)</f>
        <v>0</v>
      </c>
      <c r="X2852" s="64" t="n">
        <f aca="false">IF($K2852="No Start (attainment only)",$P2852,0)</f>
        <v>0</v>
      </c>
    </row>
    <row r="2853" customFormat="false" ht="15" hidden="false" customHeight="false" outlineLevel="0" collapsed="false">
      <c r="A2853" s="60"/>
      <c r="B2853" s="61" t="str">
        <f aca="false">IF($M2853=0,"",INDEX(Classes!$E$6:$E$420,$M2853))</f>
        <v/>
      </c>
      <c r="C2853" s="62" t="str">
        <f aca="false">IF($M2853=0,"",INDEX(Classes!$H$6:$H$420,$M2853))</f>
        <v/>
      </c>
      <c r="D2853" s="61" t="str">
        <f aca="false">IF($M2853=0,"",INDEX(Classes!$B$6:$B$420,$M2853))</f>
        <v/>
      </c>
      <c r="E2853" s="61" t="str">
        <f aca="false">IF($M2853=0,"",INDEX(Classes!$C$6:$C$420,$M2853))</f>
        <v/>
      </c>
      <c r="F2853" s="63"/>
      <c r="G2853" s="63"/>
      <c r="H2853" s="60"/>
      <c r="I2853" s="60"/>
      <c r="J2853" s="63"/>
      <c r="K2853" s="61" t="str">
        <f aca="false">IF($P2853=0,"",IF($F2853="Baseline","— Baseline",IF($O2853=0,"No result",IF($N2853=0,"No Start (attainment only)",IF(OR($N2853=1,$O2853=1),"U – needs rule",INDEX(MxBody,MATCH($I2853,MxCurr,0),MATCH($H2853,MxStart,0)))))))</f>
        <v/>
      </c>
      <c r="L2853" s="62" t="str">
        <f aca="false">IF(COUNTA($A2853,$F2853,$G2853,$H2853,$I2853,$J2853)=0,"",IF($M2853=0,"✖ كود الصف غير موجود",IF(ISNA(MATCH($F2853,Lists!$A$2:$A$5,0)),"✖ الفترة غير صحيحة",IF(ISNA(MATCH($G2853,Lists!$B$2:$B$7,0)),"✖ المجموعة غير صحيحة",IF(NOT(OR($H2853="",$N2853&gt;0)),"✖ Start غير صحيح",IF(NOT(OR($I2853="",$I2853="NR",$O2853&gt;0)),"✖ Current غير صحيح",IF(NOT(IF(ISNUMBER($J2853),AND($J2853&gt;=0,$J2853=INT($J2853)),FALSE())),"✖ العدد يجب أن يكون صحيحًا ≥ 0",IF(AND($F2853="Baseline",$H2853&lt;&gt;""),"⚠ Baseline: Start لا يدخل في التقدم",IF($K2853="No Start (attainment only)","ℹ تحصيل فقط (بدون Start)",IF($K2853="U – needs rule","ℹ حالة U تحتاج قاعدة معتمدة",IF($K2853="No result","ℹ بدون نتيجة (يُستبعد من التحصيل)","OK")))))))))))</f>
        <v/>
      </c>
      <c r="M2853" s="64" t="n">
        <f aca="false">IF($A2853="",0,IFERROR(MATCH($A2853,Classes!$A$6:$A$420,0),0))</f>
        <v>0</v>
      </c>
      <c r="N2853" s="64" t="n">
        <f aca="false">IF($H2853="",0,IFERROR(MATCH($H2853,GradeList,0),0))</f>
        <v>0</v>
      </c>
      <c r="O2853" s="64" t="n">
        <f aca="false">IF(OR($I2853="",$I2853="NR"),0,IFERROR(MATCH($I2853,GradeList,0),0))</f>
        <v>0</v>
      </c>
      <c r="P2853" s="64" t="n">
        <f aca="false">IF(AND($M2853&gt;0,ISNUMBER(MATCH($F2853,Lists!$A$2:$A$5,0)),ISNUMBER(MATCH($G2853,Lists!$B$2:$B$7,0)),OR($H2853="",$N2853&gt;0),OR($I2853="",$I2853="NR",$O2853&gt;0),IF(ISNUMBER($J2853),AND($J2853&gt;=0,$J2853=INT($J2853)),FALSE())),$J2853,0)</f>
        <v>0</v>
      </c>
      <c r="Q2853" s="64" t="n">
        <f aca="false">IF(AND($P2853&gt;0,$O2853&gt;0),$P2853,0)</f>
        <v>0</v>
      </c>
      <c r="R2853" s="64" t="n">
        <f aca="false">IF(AND($Q2853&gt;0,$O2853&gt;=AtRank),$Q2853,0)</f>
        <v>0</v>
      </c>
      <c r="S2853" s="64" t="n">
        <f aca="false">IF(AND($Q2853&gt;0,$O2853&gt;=AboveRank),$Q2853,0)</f>
        <v>0</v>
      </c>
      <c r="T2853" s="64" t="n">
        <f aca="false">IF($K2853="Less",$P2853,0)</f>
        <v>0</v>
      </c>
      <c r="U2853" s="64" t="n">
        <f aca="false">IF($K2853="Expected",$P2853,0)</f>
        <v>0</v>
      </c>
      <c r="V2853" s="64" t="n">
        <f aca="false">IF($K2853="Better",$P2853,0)</f>
        <v>0</v>
      </c>
      <c r="W2853" s="64" t="n">
        <f aca="false">IF($K2853="U – needs rule",$P2853,0)</f>
        <v>0</v>
      </c>
      <c r="X2853" s="64" t="n">
        <f aca="false">IF($K2853="No Start (attainment only)",$P2853,0)</f>
        <v>0</v>
      </c>
    </row>
    <row r="2854" customFormat="false" ht="15" hidden="false" customHeight="false" outlineLevel="0" collapsed="false">
      <c r="A2854" s="60"/>
      <c r="B2854" s="61" t="str">
        <f aca="false">IF($M2854=0,"",INDEX(Classes!$E$6:$E$420,$M2854))</f>
        <v/>
      </c>
      <c r="C2854" s="62" t="str">
        <f aca="false">IF($M2854=0,"",INDEX(Classes!$H$6:$H$420,$M2854))</f>
        <v/>
      </c>
      <c r="D2854" s="61" t="str">
        <f aca="false">IF($M2854=0,"",INDEX(Classes!$B$6:$B$420,$M2854))</f>
        <v/>
      </c>
      <c r="E2854" s="61" t="str">
        <f aca="false">IF($M2854=0,"",INDEX(Classes!$C$6:$C$420,$M2854))</f>
        <v/>
      </c>
      <c r="F2854" s="63"/>
      <c r="G2854" s="63"/>
      <c r="H2854" s="60"/>
      <c r="I2854" s="60"/>
      <c r="J2854" s="63"/>
      <c r="K2854" s="61" t="str">
        <f aca="false">IF($P2854=0,"",IF($F2854="Baseline","— Baseline",IF($O2854=0,"No result",IF($N2854=0,"No Start (attainment only)",IF(OR($N2854=1,$O2854=1),"U – needs rule",INDEX(MxBody,MATCH($I2854,MxCurr,0),MATCH($H2854,MxStart,0)))))))</f>
        <v/>
      </c>
      <c r="L2854" s="62" t="str">
        <f aca="false">IF(COUNTA($A2854,$F2854,$G2854,$H2854,$I2854,$J2854)=0,"",IF($M2854=0,"✖ كود الصف غير موجود",IF(ISNA(MATCH($F2854,Lists!$A$2:$A$5,0)),"✖ الفترة غير صحيحة",IF(ISNA(MATCH($G2854,Lists!$B$2:$B$7,0)),"✖ المجموعة غير صحيحة",IF(NOT(OR($H2854="",$N2854&gt;0)),"✖ Start غير صحيح",IF(NOT(OR($I2854="",$I2854="NR",$O2854&gt;0)),"✖ Current غير صحيح",IF(NOT(IF(ISNUMBER($J2854),AND($J2854&gt;=0,$J2854=INT($J2854)),FALSE())),"✖ العدد يجب أن يكون صحيحًا ≥ 0",IF(AND($F2854="Baseline",$H2854&lt;&gt;""),"⚠ Baseline: Start لا يدخل في التقدم",IF($K2854="No Start (attainment only)","ℹ تحصيل فقط (بدون Start)",IF($K2854="U – needs rule","ℹ حالة U تحتاج قاعدة معتمدة",IF($K2854="No result","ℹ بدون نتيجة (يُستبعد من التحصيل)","OK")))))))))))</f>
        <v/>
      </c>
      <c r="M2854" s="64" t="n">
        <f aca="false">IF($A2854="",0,IFERROR(MATCH($A2854,Classes!$A$6:$A$420,0),0))</f>
        <v>0</v>
      </c>
      <c r="N2854" s="64" t="n">
        <f aca="false">IF($H2854="",0,IFERROR(MATCH($H2854,GradeList,0),0))</f>
        <v>0</v>
      </c>
      <c r="O2854" s="64" t="n">
        <f aca="false">IF(OR($I2854="",$I2854="NR"),0,IFERROR(MATCH($I2854,GradeList,0),0))</f>
        <v>0</v>
      </c>
      <c r="P2854" s="64" t="n">
        <f aca="false">IF(AND($M2854&gt;0,ISNUMBER(MATCH($F2854,Lists!$A$2:$A$5,0)),ISNUMBER(MATCH($G2854,Lists!$B$2:$B$7,0)),OR($H2854="",$N2854&gt;0),OR($I2854="",$I2854="NR",$O2854&gt;0),IF(ISNUMBER($J2854),AND($J2854&gt;=0,$J2854=INT($J2854)),FALSE())),$J2854,0)</f>
        <v>0</v>
      </c>
      <c r="Q2854" s="64" t="n">
        <f aca="false">IF(AND($P2854&gt;0,$O2854&gt;0),$P2854,0)</f>
        <v>0</v>
      </c>
      <c r="R2854" s="64" t="n">
        <f aca="false">IF(AND($Q2854&gt;0,$O2854&gt;=AtRank),$Q2854,0)</f>
        <v>0</v>
      </c>
      <c r="S2854" s="64" t="n">
        <f aca="false">IF(AND($Q2854&gt;0,$O2854&gt;=AboveRank),$Q2854,0)</f>
        <v>0</v>
      </c>
      <c r="T2854" s="64" t="n">
        <f aca="false">IF($K2854="Less",$P2854,0)</f>
        <v>0</v>
      </c>
      <c r="U2854" s="64" t="n">
        <f aca="false">IF($K2854="Expected",$P2854,0)</f>
        <v>0</v>
      </c>
      <c r="V2854" s="64" t="n">
        <f aca="false">IF($K2854="Better",$P2854,0)</f>
        <v>0</v>
      </c>
      <c r="W2854" s="64" t="n">
        <f aca="false">IF($K2854="U – needs rule",$P2854,0)</f>
        <v>0</v>
      </c>
      <c r="X2854" s="64" t="n">
        <f aca="false">IF($K2854="No Start (attainment only)",$P2854,0)</f>
        <v>0</v>
      </c>
    </row>
    <row r="2855" customFormat="false" ht="15" hidden="false" customHeight="false" outlineLevel="0" collapsed="false">
      <c r="A2855" s="60"/>
      <c r="B2855" s="61" t="str">
        <f aca="false">IF($M2855=0,"",INDEX(Classes!$E$6:$E$420,$M2855))</f>
        <v/>
      </c>
      <c r="C2855" s="62" t="str">
        <f aca="false">IF($M2855=0,"",INDEX(Classes!$H$6:$H$420,$M2855))</f>
        <v/>
      </c>
      <c r="D2855" s="61" t="str">
        <f aca="false">IF($M2855=0,"",INDEX(Classes!$B$6:$B$420,$M2855))</f>
        <v/>
      </c>
      <c r="E2855" s="61" t="str">
        <f aca="false">IF($M2855=0,"",INDEX(Classes!$C$6:$C$420,$M2855))</f>
        <v/>
      </c>
      <c r="F2855" s="63"/>
      <c r="G2855" s="63"/>
      <c r="H2855" s="60"/>
      <c r="I2855" s="60"/>
      <c r="J2855" s="63"/>
      <c r="K2855" s="61" t="str">
        <f aca="false">IF($P2855=0,"",IF($F2855="Baseline","— Baseline",IF($O2855=0,"No result",IF($N2855=0,"No Start (attainment only)",IF(OR($N2855=1,$O2855=1),"U – needs rule",INDEX(MxBody,MATCH($I2855,MxCurr,0),MATCH($H2855,MxStart,0)))))))</f>
        <v/>
      </c>
      <c r="L2855" s="62" t="str">
        <f aca="false">IF(COUNTA($A2855,$F2855,$G2855,$H2855,$I2855,$J2855)=0,"",IF($M2855=0,"✖ كود الصف غير موجود",IF(ISNA(MATCH($F2855,Lists!$A$2:$A$5,0)),"✖ الفترة غير صحيحة",IF(ISNA(MATCH($G2855,Lists!$B$2:$B$7,0)),"✖ المجموعة غير صحيحة",IF(NOT(OR($H2855="",$N2855&gt;0)),"✖ Start غير صحيح",IF(NOT(OR($I2855="",$I2855="NR",$O2855&gt;0)),"✖ Current غير صحيح",IF(NOT(IF(ISNUMBER($J2855),AND($J2855&gt;=0,$J2855=INT($J2855)),FALSE())),"✖ العدد يجب أن يكون صحيحًا ≥ 0",IF(AND($F2855="Baseline",$H2855&lt;&gt;""),"⚠ Baseline: Start لا يدخل في التقدم",IF($K2855="No Start (attainment only)","ℹ تحصيل فقط (بدون Start)",IF($K2855="U – needs rule","ℹ حالة U تحتاج قاعدة معتمدة",IF($K2855="No result","ℹ بدون نتيجة (يُستبعد من التحصيل)","OK")))))))))))</f>
        <v/>
      </c>
      <c r="M2855" s="64" t="n">
        <f aca="false">IF($A2855="",0,IFERROR(MATCH($A2855,Classes!$A$6:$A$420,0),0))</f>
        <v>0</v>
      </c>
      <c r="N2855" s="64" t="n">
        <f aca="false">IF($H2855="",0,IFERROR(MATCH($H2855,GradeList,0),0))</f>
        <v>0</v>
      </c>
      <c r="O2855" s="64" t="n">
        <f aca="false">IF(OR($I2855="",$I2855="NR"),0,IFERROR(MATCH($I2855,GradeList,0),0))</f>
        <v>0</v>
      </c>
      <c r="P2855" s="64" t="n">
        <f aca="false">IF(AND($M2855&gt;0,ISNUMBER(MATCH($F2855,Lists!$A$2:$A$5,0)),ISNUMBER(MATCH($G2855,Lists!$B$2:$B$7,0)),OR($H2855="",$N2855&gt;0),OR($I2855="",$I2855="NR",$O2855&gt;0),IF(ISNUMBER($J2855),AND($J2855&gt;=0,$J2855=INT($J2855)),FALSE())),$J2855,0)</f>
        <v>0</v>
      </c>
      <c r="Q2855" s="64" t="n">
        <f aca="false">IF(AND($P2855&gt;0,$O2855&gt;0),$P2855,0)</f>
        <v>0</v>
      </c>
      <c r="R2855" s="64" t="n">
        <f aca="false">IF(AND($Q2855&gt;0,$O2855&gt;=AtRank),$Q2855,0)</f>
        <v>0</v>
      </c>
      <c r="S2855" s="64" t="n">
        <f aca="false">IF(AND($Q2855&gt;0,$O2855&gt;=AboveRank),$Q2855,0)</f>
        <v>0</v>
      </c>
      <c r="T2855" s="64" t="n">
        <f aca="false">IF($K2855="Less",$P2855,0)</f>
        <v>0</v>
      </c>
      <c r="U2855" s="64" t="n">
        <f aca="false">IF($K2855="Expected",$P2855,0)</f>
        <v>0</v>
      </c>
      <c r="V2855" s="64" t="n">
        <f aca="false">IF($K2855="Better",$P2855,0)</f>
        <v>0</v>
      </c>
      <c r="W2855" s="64" t="n">
        <f aca="false">IF($K2855="U – needs rule",$P2855,0)</f>
        <v>0</v>
      </c>
      <c r="X2855" s="64" t="n">
        <f aca="false">IF($K2855="No Start (attainment only)",$P2855,0)</f>
        <v>0</v>
      </c>
    </row>
    <row r="2856" customFormat="false" ht="15" hidden="false" customHeight="false" outlineLevel="0" collapsed="false">
      <c r="A2856" s="60"/>
      <c r="B2856" s="61" t="str">
        <f aca="false">IF($M2856=0,"",INDEX(Classes!$E$6:$E$420,$M2856))</f>
        <v/>
      </c>
      <c r="C2856" s="62" t="str">
        <f aca="false">IF($M2856=0,"",INDEX(Classes!$H$6:$H$420,$M2856))</f>
        <v/>
      </c>
      <c r="D2856" s="61" t="str">
        <f aca="false">IF($M2856=0,"",INDEX(Classes!$B$6:$B$420,$M2856))</f>
        <v/>
      </c>
      <c r="E2856" s="61" t="str">
        <f aca="false">IF($M2856=0,"",INDEX(Classes!$C$6:$C$420,$M2856))</f>
        <v/>
      </c>
      <c r="F2856" s="63"/>
      <c r="G2856" s="63"/>
      <c r="H2856" s="60"/>
      <c r="I2856" s="60"/>
      <c r="J2856" s="63"/>
      <c r="K2856" s="61" t="str">
        <f aca="false">IF($P2856=0,"",IF($F2856="Baseline","— Baseline",IF($O2856=0,"No result",IF($N2856=0,"No Start (attainment only)",IF(OR($N2856=1,$O2856=1),"U – needs rule",INDEX(MxBody,MATCH($I2856,MxCurr,0),MATCH($H2856,MxStart,0)))))))</f>
        <v/>
      </c>
      <c r="L2856" s="62" t="str">
        <f aca="false">IF(COUNTA($A2856,$F2856,$G2856,$H2856,$I2856,$J2856)=0,"",IF($M2856=0,"✖ كود الصف غير موجود",IF(ISNA(MATCH($F2856,Lists!$A$2:$A$5,0)),"✖ الفترة غير صحيحة",IF(ISNA(MATCH($G2856,Lists!$B$2:$B$7,0)),"✖ المجموعة غير صحيحة",IF(NOT(OR($H2856="",$N2856&gt;0)),"✖ Start غير صحيح",IF(NOT(OR($I2856="",$I2856="NR",$O2856&gt;0)),"✖ Current غير صحيح",IF(NOT(IF(ISNUMBER($J2856),AND($J2856&gt;=0,$J2856=INT($J2856)),FALSE())),"✖ العدد يجب أن يكون صحيحًا ≥ 0",IF(AND($F2856="Baseline",$H2856&lt;&gt;""),"⚠ Baseline: Start لا يدخل في التقدم",IF($K2856="No Start (attainment only)","ℹ تحصيل فقط (بدون Start)",IF($K2856="U – needs rule","ℹ حالة U تحتاج قاعدة معتمدة",IF($K2856="No result","ℹ بدون نتيجة (يُستبعد من التحصيل)","OK")))))))))))</f>
        <v/>
      </c>
      <c r="M2856" s="64" t="n">
        <f aca="false">IF($A2856="",0,IFERROR(MATCH($A2856,Classes!$A$6:$A$420,0),0))</f>
        <v>0</v>
      </c>
      <c r="N2856" s="64" t="n">
        <f aca="false">IF($H2856="",0,IFERROR(MATCH($H2856,GradeList,0),0))</f>
        <v>0</v>
      </c>
      <c r="O2856" s="64" t="n">
        <f aca="false">IF(OR($I2856="",$I2856="NR"),0,IFERROR(MATCH($I2856,GradeList,0),0))</f>
        <v>0</v>
      </c>
      <c r="P2856" s="64" t="n">
        <f aca="false">IF(AND($M2856&gt;0,ISNUMBER(MATCH($F2856,Lists!$A$2:$A$5,0)),ISNUMBER(MATCH($G2856,Lists!$B$2:$B$7,0)),OR($H2856="",$N2856&gt;0),OR($I2856="",$I2856="NR",$O2856&gt;0),IF(ISNUMBER($J2856),AND($J2856&gt;=0,$J2856=INT($J2856)),FALSE())),$J2856,0)</f>
        <v>0</v>
      </c>
      <c r="Q2856" s="64" t="n">
        <f aca="false">IF(AND($P2856&gt;0,$O2856&gt;0),$P2856,0)</f>
        <v>0</v>
      </c>
      <c r="R2856" s="64" t="n">
        <f aca="false">IF(AND($Q2856&gt;0,$O2856&gt;=AtRank),$Q2856,0)</f>
        <v>0</v>
      </c>
      <c r="S2856" s="64" t="n">
        <f aca="false">IF(AND($Q2856&gt;0,$O2856&gt;=AboveRank),$Q2856,0)</f>
        <v>0</v>
      </c>
      <c r="T2856" s="64" t="n">
        <f aca="false">IF($K2856="Less",$P2856,0)</f>
        <v>0</v>
      </c>
      <c r="U2856" s="64" t="n">
        <f aca="false">IF($K2856="Expected",$P2856,0)</f>
        <v>0</v>
      </c>
      <c r="V2856" s="64" t="n">
        <f aca="false">IF($K2856="Better",$P2856,0)</f>
        <v>0</v>
      </c>
      <c r="W2856" s="64" t="n">
        <f aca="false">IF($K2856="U – needs rule",$P2856,0)</f>
        <v>0</v>
      </c>
      <c r="X2856" s="64" t="n">
        <f aca="false">IF($K2856="No Start (attainment only)",$P2856,0)</f>
        <v>0</v>
      </c>
    </row>
    <row r="2857" customFormat="false" ht="15" hidden="false" customHeight="false" outlineLevel="0" collapsed="false">
      <c r="A2857" s="60"/>
      <c r="B2857" s="61" t="str">
        <f aca="false">IF($M2857=0,"",INDEX(Classes!$E$6:$E$420,$M2857))</f>
        <v/>
      </c>
      <c r="C2857" s="62" t="str">
        <f aca="false">IF($M2857=0,"",INDEX(Classes!$H$6:$H$420,$M2857))</f>
        <v/>
      </c>
      <c r="D2857" s="61" t="str">
        <f aca="false">IF($M2857=0,"",INDEX(Classes!$B$6:$B$420,$M2857))</f>
        <v/>
      </c>
      <c r="E2857" s="61" t="str">
        <f aca="false">IF($M2857=0,"",INDEX(Classes!$C$6:$C$420,$M2857))</f>
        <v/>
      </c>
      <c r="F2857" s="63"/>
      <c r="G2857" s="63"/>
      <c r="H2857" s="60"/>
      <c r="I2857" s="60"/>
      <c r="J2857" s="63"/>
      <c r="K2857" s="61" t="str">
        <f aca="false">IF($P2857=0,"",IF($F2857="Baseline","— Baseline",IF($O2857=0,"No result",IF($N2857=0,"No Start (attainment only)",IF(OR($N2857=1,$O2857=1),"U – needs rule",INDEX(MxBody,MATCH($I2857,MxCurr,0),MATCH($H2857,MxStart,0)))))))</f>
        <v/>
      </c>
      <c r="L2857" s="62" t="str">
        <f aca="false">IF(COUNTA($A2857,$F2857,$G2857,$H2857,$I2857,$J2857)=0,"",IF($M2857=0,"✖ كود الصف غير موجود",IF(ISNA(MATCH($F2857,Lists!$A$2:$A$5,0)),"✖ الفترة غير صحيحة",IF(ISNA(MATCH($G2857,Lists!$B$2:$B$7,0)),"✖ المجموعة غير صحيحة",IF(NOT(OR($H2857="",$N2857&gt;0)),"✖ Start غير صحيح",IF(NOT(OR($I2857="",$I2857="NR",$O2857&gt;0)),"✖ Current غير صحيح",IF(NOT(IF(ISNUMBER($J2857),AND($J2857&gt;=0,$J2857=INT($J2857)),FALSE())),"✖ العدد يجب أن يكون صحيحًا ≥ 0",IF(AND($F2857="Baseline",$H2857&lt;&gt;""),"⚠ Baseline: Start لا يدخل في التقدم",IF($K2857="No Start (attainment only)","ℹ تحصيل فقط (بدون Start)",IF($K2857="U – needs rule","ℹ حالة U تحتاج قاعدة معتمدة",IF($K2857="No result","ℹ بدون نتيجة (يُستبعد من التحصيل)","OK")))))))))))</f>
        <v/>
      </c>
      <c r="M2857" s="64" t="n">
        <f aca="false">IF($A2857="",0,IFERROR(MATCH($A2857,Classes!$A$6:$A$420,0),0))</f>
        <v>0</v>
      </c>
      <c r="N2857" s="64" t="n">
        <f aca="false">IF($H2857="",0,IFERROR(MATCH($H2857,GradeList,0),0))</f>
        <v>0</v>
      </c>
      <c r="O2857" s="64" t="n">
        <f aca="false">IF(OR($I2857="",$I2857="NR"),0,IFERROR(MATCH($I2857,GradeList,0),0))</f>
        <v>0</v>
      </c>
      <c r="P2857" s="64" t="n">
        <f aca="false">IF(AND($M2857&gt;0,ISNUMBER(MATCH($F2857,Lists!$A$2:$A$5,0)),ISNUMBER(MATCH($G2857,Lists!$B$2:$B$7,0)),OR($H2857="",$N2857&gt;0),OR($I2857="",$I2857="NR",$O2857&gt;0),IF(ISNUMBER($J2857),AND($J2857&gt;=0,$J2857=INT($J2857)),FALSE())),$J2857,0)</f>
        <v>0</v>
      </c>
      <c r="Q2857" s="64" t="n">
        <f aca="false">IF(AND($P2857&gt;0,$O2857&gt;0),$P2857,0)</f>
        <v>0</v>
      </c>
      <c r="R2857" s="64" t="n">
        <f aca="false">IF(AND($Q2857&gt;0,$O2857&gt;=AtRank),$Q2857,0)</f>
        <v>0</v>
      </c>
      <c r="S2857" s="64" t="n">
        <f aca="false">IF(AND($Q2857&gt;0,$O2857&gt;=AboveRank),$Q2857,0)</f>
        <v>0</v>
      </c>
      <c r="T2857" s="64" t="n">
        <f aca="false">IF($K2857="Less",$P2857,0)</f>
        <v>0</v>
      </c>
      <c r="U2857" s="64" t="n">
        <f aca="false">IF($K2857="Expected",$P2857,0)</f>
        <v>0</v>
      </c>
      <c r="V2857" s="64" t="n">
        <f aca="false">IF($K2857="Better",$P2857,0)</f>
        <v>0</v>
      </c>
      <c r="W2857" s="64" t="n">
        <f aca="false">IF($K2857="U – needs rule",$P2857,0)</f>
        <v>0</v>
      </c>
      <c r="X2857" s="64" t="n">
        <f aca="false">IF($K2857="No Start (attainment only)",$P2857,0)</f>
        <v>0</v>
      </c>
    </row>
    <row r="2858" customFormat="false" ht="15" hidden="false" customHeight="false" outlineLevel="0" collapsed="false">
      <c r="A2858" s="60"/>
      <c r="B2858" s="61" t="str">
        <f aca="false">IF($M2858=0,"",INDEX(Classes!$E$6:$E$420,$M2858))</f>
        <v/>
      </c>
      <c r="C2858" s="62" t="str">
        <f aca="false">IF($M2858=0,"",INDEX(Classes!$H$6:$H$420,$M2858))</f>
        <v/>
      </c>
      <c r="D2858" s="61" t="str">
        <f aca="false">IF($M2858=0,"",INDEX(Classes!$B$6:$B$420,$M2858))</f>
        <v/>
      </c>
      <c r="E2858" s="61" t="str">
        <f aca="false">IF($M2858=0,"",INDEX(Classes!$C$6:$C$420,$M2858))</f>
        <v/>
      </c>
      <c r="F2858" s="63"/>
      <c r="G2858" s="63"/>
      <c r="H2858" s="60"/>
      <c r="I2858" s="60"/>
      <c r="J2858" s="63"/>
      <c r="K2858" s="61" t="str">
        <f aca="false">IF($P2858=0,"",IF($F2858="Baseline","— Baseline",IF($O2858=0,"No result",IF($N2858=0,"No Start (attainment only)",IF(OR($N2858=1,$O2858=1),"U – needs rule",INDEX(MxBody,MATCH($I2858,MxCurr,0),MATCH($H2858,MxStart,0)))))))</f>
        <v/>
      </c>
      <c r="L2858" s="62" t="str">
        <f aca="false">IF(COUNTA($A2858,$F2858,$G2858,$H2858,$I2858,$J2858)=0,"",IF($M2858=0,"✖ كود الصف غير موجود",IF(ISNA(MATCH($F2858,Lists!$A$2:$A$5,0)),"✖ الفترة غير صحيحة",IF(ISNA(MATCH($G2858,Lists!$B$2:$B$7,0)),"✖ المجموعة غير صحيحة",IF(NOT(OR($H2858="",$N2858&gt;0)),"✖ Start غير صحيح",IF(NOT(OR($I2858="",$I2858="NR",$O2858&gt;0)),"✖ Current غير صحيح",IF(NOT(IF(ISNUMBER($J2858),AND($J2858&gt;=0,$J2858=INT($J2858)),FALSE())),"✖ العدد يجب أن يكون صحيحًا ≥ 0",IF(AND($F2858="Baseline",$H2858&lt;&gt;""),"⚠ Baseline: Start لا يدخل في التقدم",IF($K2858="No Start (attainment only)","ℹ تحصيل فقط (بدون Start)",IF($K2858="U – needs rule","ℹ حالة U تحتاج قاعدة معتمدة",IF($K2858="No result","ℹ بدون نتيجة (يُستبعد من التحصيل)","OK")))))))))))</f>
        <v/>
      </c>
      <c r="M2858" s="64" t="n">
        <f aca="false">IF($A2858="",0,IFERROR(MATCH($A2858,Classes!$A$6:$A$420,0),0))</f>
        <v>0</v>
      </c>
      <c r="N2858" s="64" t="n">
        <f aca="false">IF($H2858="",0,IFERROR(MATCH($H2858,GradeList,0),0))</f>
        <v>0</v>
      </c>
      <c r="O2858" s="64" t="n">
        <f aca="false">IF(OR($I2858="",$I2858="NR"),0,IFERROR(MATCH($I2858,GradeList,0),0))</f>
        <v>0</v>
      </c>
      <c r="P2858" s="64" t="n">
        <f aca="false">IF(AND($M2858&gt;0,ISNUMBER(MATCH($F2858,Lists!$A$2:$A$5,0)),ISNUMBER(MATCH($G2858,Lists!$B$2:$B$7,0)),OR($H2858="",$N2858&gt;0),OR($I2858="",$I2858="NR",$O2858&gt;0),IF(ISNUMBER($J2858),AND($J2858&gt;=0,$J2858=INT($J2858)),FALSE())),$J2858,0)</f>
        <v>0</v>
      </c>
      <c r="Q2858" s="64" t="n">
        <f aca="false">IF(AND($P2858&gt;0,$O2858&gt;0),$P2858,0)</f>
        <v>0</v>
      </c>
      <c r="R2858" s="64" t="n">
        <f aca="false">IF(AND($Q2858&gt;0,$O2858&gt;=AtRank),$Q2858,0)</f>
        <v>0</v>
      </c>
      <c r="S2858" s="64" t="n">
        <f aca="false">IF(AND($Q2858&gt;0,$O2858&gt;=AboveRank),$Q2858,0)</f>
        <v>0</v>
      </c>
      <c r="T2858" s="64" t="n">
        <f aca="false">IF($K2858="Less",$P2858,0)</f>
        <v>0</v>
      </c>
      <c r="U2858" s="64" t="n">
        <f aca="false">IF($K2858="Expected",$P2858,0)</f>
        <v>0</v>
      </c>
      <c r="V2858" s="64" t="n">
        <f aca="false">IF($K2858="Better",$P2858,0)</f>
        <v>0</v>
      </c>
      <c r="W2858" s="64" t="n">
        <f aca="false">IF($K2858="U – needs rule",$P2858,0)</f>
        <v>0</v>
      </c>
      <c r="X2858" s="64" t="n">
        <f aca="false">IF($K2858="No Start (attainment only)",$P2858,0)</f>
        <v>0</v>
      </c>
    </row>
    <row r="2859" customFormat="false" ht="15" hidden="false" customHeight="false" outlineLevel="0" collapsed="false">
      <c r="A2859" s="60"/>
      <c r="B2859" s="61" t="str">
        <f aca="false">IF($M2859=0,"",INDEX(Classes!$E$6:$E$420,$M2859))</f>
        <v/>
      </c>
      <c r="C2859" s="62" t="str">
        <f aca="false">IF($M2859=0,"",INDEX(Classes!$H$6:$H$420,$M2859))</f>
        <v/>
      </c>
      <c r="D2859" s="61" t="str">
        <f aca="false">IF($M2859=0,"",INDEX(Classes!$B$6:$B$420,$M2859))</f>
        <v/>
      </c>
      <c r="E2859" s="61" t="str">
        <f aca="false">IF($M2859=0,"",INDEX(Classes!$C$6:$C$420,$M2859))</f>
        <v/>
      </c>
      <c r="F2859" s="63"/>
      <c r="G2859" s="63"/>
      <c r="H2859" s="60"/>
      <c r="I2859" s="60"/>
      <c r="J2859" s="63"/>
      <c r="K2859" s="61" t="str">
        <f aca="false">IF($P2859=0,"",IF($F2859="Baseline","— Baseline",IF($O2859=0,"No result",IF($N2859=0,"No Start (attainment only)",IF(OR($N2859=1,$O2859=1),"U – needs rule",INDEX(MxBody,MATCH($I2859,MxCurr,0),MATCH($H2859,MxStart,0)))))))</f>
        <v/>
      </c>
      <c r="L2859" s="62" t="str">
        <f aca="false">IF(COUNTA($A2859,$F2859,$G2859,$H2859,$I2859,$J2859)=0,"",IF($M2859=0,"✖ كود الصف غير موجود",IF(ISNA(MATCH($F2859,Lists!$A$2:$A$5,0)),"✖ الفترة غير صحيحة",IF(ISNA(MATCH($G2859,Lists!$B$2:$B$7,0)),"✖ المجموعة غير صحيحة",IF(NOT(OR($H2859="",$N2859&gt;0)),"✖ Start غير صحيح",IF(NOT(OR($I2859="",$I2859="NR",$O2859&gt;0)),"✖ Current غير صحيح",IF(NOT(IF(ISNUMBER($J2859),AND($J2859&gt;=0,$J2859=INT($J2859)),FALSE())),"✖ العدد يجب أن يكون صحيحًا ≥ 0",IF(AND($F2859="Baseline",$H2859&lt;&gt;""),"⚠ Baseline: Start لا يدخل في التقدم",IF($K2859="No Start (attainment only)","ℹ تحصيل فقط (بدون Start)",IF($K2859="U – needs rule","ℹ حالة U تحتاج قاعدة معتمدة",IF($K2859="No result","ℹ بدون نتيجة (يُستبعد من التحصيل)","OK")))))))))))</f>
        <v/>
      </c>
      <c r="M2859" s="64" t="n">
        <f aca="false">IF($A2859="",0,IFERROR(MATCH($A2859,Classes!$A$6:$A$420,0),0))</f>
        <v>0</v>
      </c>
      <c r="N2859" s="64" t="n">
        <f aca="false">IF($H2859="",0,IFERROR(MATCH($H2859,GradeList,0),0))</f>
        <v>0</v>
      </c>
      <c r="O2859" s="64" t="n">
        <f aca="false">IF(OR($I2859="",$I2859="NR"),0,IFERROR(MATCH($I2859,GradeList,0),0))</f>
        <v>0</v>
      </c>
      <c r="P2859" s="64" t="n">
        <f aca="false">IF(AND($M2859&gt;0,ISNUMBER(MATCH($F2859,Lists!$A$2:$A$5,0)),ISNUMBER(MATCH($G2859,Lists!$B$2:$B$7,0)),OR($H2859="",$N2859&gt;0),OR($I2859="",$I2859="NR",$O2859&gt;0),IF(ISNUMBER($J2859),AND($J2859&gt;=0,$J2859=INT($J2859)),FALSE())),$J2859,0)</f>
        <v>0</v>
      </c>
      <c r="Q2859" s="64" t="n">
        <f aca="false">IF(AND($P2859&gt;0,$O2859&gt;0),$P2859,0)</f>
        <v>0</v>
      </c>
      <c r="R2859" s="64" t="n">
        <f aca="false">IF(AND($Q2859&gt;0,$O2859&gt;=AtRank),$Q2859,0)</f>
        <v>0</v>
      </c>
      <c r="S2859" s="64" t="n">
        <f aca="false">IF(AND($Q2859&gt;0,$O2859&gt;=AboveRank),$Q2859,0)</f>
        <v>0</v>
      </c>
      <c r="T2859" s="64" t="n">
        <f aca="false">IF($K2859="Less",$P2859,0)</f>
        <v>0</v>
      </c>
      <c r="U2859" s="64" t="n">
        <f aca="false">IF($K2859="Expected",$P2859,0)</f>
        <v>0</v>
      </c>
      <c r="V2859" s="64" t="n">
        <f aca="false">IF($K2859="Better",$P2859,0)</f>
        <v>0</v>
      </c>
      <c r="W2859" s="64" t="n">
        <f aca="false">IF($K2859="U – needs rule",$P2859,0)</f>
        <v>0</v>
      </c>
      <c r="X2859" s="64" t="n">
        <f aca="false">IF($K2859="No Start (attainment only)",$P2859,0)</f>
        <v>0</v>
      </c>
    </row>
    <row r="2860" customFormat="false" ht="15" hidden="false" customHeight="false" outlineLevel="0" collapsed="false">
      <c r="A2860" s="60"/>
      <c r="B2860" s="61" t="str">
        <f aca="false">IF($M2860=0,"",INDEX(Classes!$E$6:$E$420,$M2860))</f>
        <v/>
      </c>
      <c r="C2860" s="62" t="str">
        <f aca="false">IF($M2860=0,"",INDEX(Classes!$H$6:$H$420,$M2860))</f>
        <v/>
      </c>
      <c r="D2860" s="61" t="str">
        <f aca="false">IF($M2860=0,"",INDEX(Classes!$B$6:$B$420,$M2860))</f>
        <v/>
      </c>
      <c r="E2860" s="61" t="str">
        <f aca="false">IF($M2860=0,"",INDEX(Classes!$C$6:$C$420,$M2860))</f>
        <v/>
      </c>
      <c r="F2860" s="63"/>
      <c r="G2860" s="63"/>
      <c r="H2860" s="60"/>
      <c r="I2860" s="60"/>
      <c r="J2860" s="63"/>
      <c r="K2860" s="61" t="str">
        <f aca="false">IF($P2860=0,"",IF($F2860="Baseline","— Baseline",IF($O2860=0,"No result",IF($N2860=0,"No Start (attainment only)",IF(OR($N2860=1,$O2860=1),"U – needs rule",INDEX(MxBody,MATCH($I2860,MxCurr,0),MATCH($H2860,MxStart,0)))))))</f>
        <v/>
      </c>
      <c r="L2860" s="62" t="str">
        <f aca="false">IF(COUNTA($A2860,$F2860,$G2860,$H2860,$I2860,$J2860)=0,"",IF($M2860=0,"✖ كود الصف غير موجود",IF(ISNA(MATCH($F2860,Lists!$A$2:$A$5,0)),"✖ الفترة غير صحيحة",IF(ISNA(MATCH($G2860,Lists!$B$2:$B$7,0)),"✖ المجموعة غير صحيحة",IF(NOT(OR($H2860="",$N2860&gt;0)),"✖ Start غير صحيح",IF(NOT(OR($I2860="",$I2860="NR",$O2860&gt;0)),"✖ Current غير صحيح",IF(NOT(IF(ISNUMBER($J2860),AND($J2860&gt;=0,$J2860=INT($J2860)),FALSE())),"✖ العدد يجب أن يكون صحيحًا ≥ 0",IF(AND($F2860="Baseline",$H2860&lt;&gt;""),"⚠ Baseline: Start لا يدخل في التقدم",IF($K2860="No Start (attainment only)","ℹ تحصيل فقط (بدون Start)",IF($K2860="U – needs rule","ℹ حالة U تحتاج قاعدة معتمدة",IF($K2860="No result","ℹ بدون نتيجة (يُستبعد من التحصيل)","OK")))))))))))</f>
        <v/>
      </c>
      <c r="M2860" s="64" t="n">
        <f aca="false">IF($A2860="",0,IFERROR(MATCH($A2860,Classes!$A$6:$A$420,0),0))</f>
        <v>0</v>
      </c>
      <c r="N2860" s="64" t="n">
        <f aca="false">IF($H2860="",0,IFERROR(MATCH($H2860,GradeList,0),0))</f>
        <v>0</v>
      </c>
      <c r="O2860" s="64" t="n">
        <f aca="false">IF(OR($I2860="",$I2860="NR"),0,IFERROR(MATCH($I2860,GradeList,0),0))</f>
        <v>0</v>
      </c>
      <c r="P2860" s="64" t="n">
        <f aca="false">IF(AND($M2860&gt;0,ISNUMBER(MATCH($F2860,Lists!$A$2:$A$5,0)),ISNUMBER(MATCH($G2860,Lists!$B$2:$B$7,0)),OR($H2860="",$N2860&gt;0),OR($I2860="",$I2860="NR",$O2860&gt;0),IF(ISNUMBER($J2860),AND($J2860&gt;=0,$J2860=INT($J2860)),FALSE())),$J2860,0)</f>
        <v>0</v>
      </c>
      <c r="Q2860" s="64" t="n">
        <f aca="false">IF(AND($P2860&gt;0,$O2860&gt;0),$P2860,0)</f>
        <v>0</v>
      </c>
      <c r="R2860" s="64" t="n">
        <f aca="false">IF(AND($Q2860&gt;0,$O2860&gt;=AtRank),$Q2860,0)</f>
        <v>0</v>
      </c>
      <c r="S2860" s="64" t="n">
        <f aca="false">IF(AND($Q2860&gt;0,$O2860&gt;=AboveRank),$Q2860,0)</f>
        <v>0</v>
      </c>
      <c r="T2860" s="64" t="n">
        <f aca="false">IF($K2860="Less",$P2860,0)</f>
        <v>0</v>
      </c>
      <c r="U2860" s="64" t="n">
        <f aca="false">IF($K2860="Expected",$P2860,0)</f>
        <v>0</v>
      </c>
      <c r="V2860" s="64" t="n">
        <f aca="false">IF($K2860="Better",$P2860,0)</f>
        <v>0</v>
      </c>
      <c r="W2860" s="64" t="n">
        <f aca="false">IF($K2860="U – needs rule",$P2860,0)</f>
        <v>0</v>
      </c>
      <c r="X2860" s="64" t="n">
        <f aca="false">IF($K2860="No Start (attainment only)",$P2860,0)</f>
        <v>0</v>
      </c>
    </row>
    <row r="2861" customFormat="false" ht="15" hidden="false" customHeight="false" outlineLevel="0" collapsed="false">
      <c r="A2861" s="60"/>
      <c r="B2861" s="61" t="str">
        <f aca="false">IF($M2861=0,"",INDEX(Classes!$E$6:$E$420,$M2861))</f>
        <v/>
      </c>
      <c r="C2861" s="62" t="str">
        <f aca="false">IF($M2861=0,"",INDEX(Classes!$H$6:$H$420,$M2861))</f>
        <v/>
      </c>
      <c r="D2861" s="61" t="str">
        <f aca="false">IF($M2861=0,"",INDEX(Classes!$B$6:$B$420,$M2861))</f>
        <v/>
      </c>
      <c r="E2861" s="61" t="str">
        <f aca="false">IF($M2861=0,"",INDEX(Classes!$C$6:$C$420,$M2861))</f>
        <v/>
      </c>
      <c r="F2861" s="63"/>
      <c r="G2861" s="63"/>
      <c r="H2861" s="60"/>
      <c r="I2861" s="60"/>
      <c r="J2861" s="63"/>
      <c r="K2861" s="61" t="str">
        <f aca="false">IF($P2861=0,"",IF($F2861="Baseline","— Baseline",IF($O2861=0,"No result",IF($N2861=0,"No Start (attainment only)",IF(OR($N2861=1,$O2861=1),"U – needs rule",INDEX(MxBody,MATCH($I2861,MxCurr,0),MATCH($H2861,MxStart,0)))))))</f>
        <v/>
      </c>
      <c r="L2861" s="62" t="str">
        <f aca="false">IF(COUNTA($A2861,$F2861,$G2861,$H2861,$I2861,$J2861)=0,"",IF($M2861=0,"✖ كود الصف غير موجود",IF(ISNA(MATCH($F2861,Lists!$A$2:$A$5,0)),"✖ الفترة غير صحيحة",IF(ISNA(MATCH($G2861,Lists!$B$2:$B$7,0)),"✖ المجموعة غير صحيحة",IF(NOT(OR($H2861="",$N2861&gt;0)),"✖ Start غير صحيح",IF(NOT(OR($I2861="",$I2861="NR",$O2861&gt;0)),"✖ Current غير صحيح",IF(NOT(IF(ISNUMBER($J2861),AND($J2861&gt;=0,$J2861=INT($J2861)),FALSE())),"✖ العدد يجب أن يكون صحيحًا ≥ 0",IF(AND($F2861="Baseline",$H2861&lt;&gt;""),"⚠ Baseline: Start لا يدخل في التقدم",IF($K2861="No Start (attainment only)","ℹ تحصيل فقط (بدون Start)",IF($K2861="U – needs rule","ℹ حالة U تحتاج قاعدة معتمدة",IF($K2861="No result","ℹ بدون نتيجة (يُستبعد من التحصيل)","OK")))))))))))</f>
        <v/>
      </c>
      <c r="M2861" s="64" t="n">
        <f aca="false">IF($A2861="",0,IFERROR(MATCH($A2861,Classes!$A$6:$A$420,0),0))</f>
        <v>0</v>
      </c>
      <c r="N2861" s="64" t="n">
        <f aca="false">IF($H2861="",0,IFERROR(MATCH($H2861,GradeList,0),0))</f>
        <v>0</v>
      </c>
      <c r="O2861" s="64" t="n">
        <f aca="false">IF(OR($I2861="",$I2861="NR"),0,IFERROR(MATCH($I2861,GradeList,0),0))</f>
        <v>0</v>
      </c>
      <c r="P2861" s="64" t="n">
        <f aca="false">IF(AND($M2861&gt;0,ISNUMBER(MATCH($F2861,Lists!$A$2:$A$5,0)),ISNUMBER(MATCH($G2861,Lists!$B$2:$B$7,0)),OR($H2861="",$N2861&gt;0),OR($I2861="",$I2861="NR",$O2861&gt;0),IF(ISNUMBER($J2861),AND($J2861&gt;=0,$J2861=INT($J2861)),FALSE())),$J2861,0)</f>
        <v>0</v>
      </c>
      <c r="Q2861" s="64" t="n">
        <f aca="false">IF(AND($P2861&gt;0,$O2861&gt;0),$P2861,0)</f>
        <v>0</v>
      </c>
      <c r="R2861" s="64" t="n">
        <f aca="false">IF(AND($Q2861&gt;0,$O2861&gt;=AtRank),$Q2861,0)</f>
        <v>0</v>
      </c>
      <c r="S2861" s="64" t="n">
        <f aca="false">IF(AND($Q2861&gt;0,$O2861&gt;=AboveRank),$Q2861,0)</f>
        <v>0</v>
      </c>
      <c r="T2861" s="64" t="n">
        <f aca="false">IF($K2861="Less",$P2861,0)</f>
        <v>0</v>
      </c>
      <c r="U2861" s="64" t="n">
        <f aca="false">IF($K2861="Expected",$P2861,0)</f>
        <v>0</v>
      </c>
      <c r="V2861" s="64" t="n">
        <f aca="false">IF($K2861="Better",$P2861,0)</f>
        <v>0</v>
      </c>
      <c r="W2861" s="64" t="n">
        <f aca="false">IF($K2861="U – needs rule",$P2861,0)</f>
        <v>0</v>
      </c>
      <c r="X2861" s="64" t="n">
        <f aca="false">IF($K2861="No Start (attainment only)",$P2861,0)</f>
        <v>0</v>
      </c>
    </row>
    <row r="2862" customFormat="false" ht="15" hidden="false" customHeight="false" outlineLevel="0" collapsed="false">
      <c r="A2862" s="60"/>
      <c r="B2862" s="61" t="str">
        <f aca="false">IF($M2862=0,"",INDEX(Classes!$E$6:$E$420,$M2862))</f>
        <v/>
      </c>
      <c r="C2862" s="62" t="str">
        <f aca="false">IF($M2862=0,"",INDEX(Classes!$H$6:$H$420,$M2862))</f>
        <v/>
      </c>
      <c r="D2862" s="61" t="str">
        <f aca="false">IF($M2862=0,"",INDEX(Classes!$B$6:$B$420,$M2862))</f>
        <v/>
      </c>
      <c r="E2862" s="61" t="str">
        <f aca="false">IF($M2862=0,"",INDEX(Classes!$C$6:$C$420,$M2862))</f>
        <v/>
      </c>
      <c r="F2862" s="63"/>
      <c r="G2862" s="63"/>
      <c r="H2862" s="60"/>
      <c r="I2862" s="60"/>
      <c r="J2862" s="63"/>
      <c r="K2862" s="61" t="str">
        <f aca="false">IF($P2862=0,"",IF($F2862="Baseline","— Baseline",IF($O2862=0,"No result",IF($N2862=0,"No Start (attainment only)",IF(OR($N2862=1,$O2862=1),"U – needs rule",INDEX(MxBody,MATCH($I2862,MxCurr,0),MATCH($H2862,MxStart,0)))))))</f>
        <v/>
      </c>
      <c r="L2862" s="62" t="str">
        <f aca="false">IF(COUNTA($A2862,$F2862,$G2862,$H2862,$I2862,$J2862)=0,"",IF($M2862=0,"✖ كود الصف غير موجود",IF(ISNA(MATCH($F2862,Lists!$A$2:$A$5,0)),"✖ الفترة غير صحيحة",IF(ISNA(MATCH($G2862,Lists!$B$2:$B$7,0)),"✖ المجموعة غير صحيحة",IF(NOT(OR($H2862="",$N2862&gt;0)),"✖ Start غير صحيح",IF(NOT(OR($I2862="",$I2862="NR",$O2862&gt;0)),"✖ Current غير صحيح",IF(NOT(IF(ISNUMBER($J2862),AND($J2862&gt;=0,$J2862=INT($J2862)),FALSE())),"✖ العدد يجب أن يكون صحيحًا ≥ 0",IF(AND($F2862="Baseline",$H2862&lt;&gt;""),"⚠ Baseline: Start لا يدخل في التقدم",IF($K2862="No Start (attainment only)","ℹ تحصيل فقط (بدون Start)",IF($K2862="U – needs rule","ℹ حالة U تحتاج قاعدة معتمدة",IF($K2862="No result","ℹ بدون نتيجة (يُستبعد من التحصيل)","OK")))))))))))</f>
        <v/>
      </c>
      <c r="M2862" s="64" t="n">
        <f aca="false">IF($A2862="",0,IFERROR(MATCH($A2862,Classes!$A$6:$A$420,0),0))</f>
        <v>0</v>
      </c>
      <c r="N2862" s="64" t="n">
        <f aca="false">IF($H2862="",0,IFERROR(MATCH($H2862,GradeList,0),0))</f>
        <v>0</v>
      </c>
      <c r="O2862" s="64" t="n">
        <f aca="false">IF(OR($I2862="",$I2862="NR"),0,IFERROR(MATCH($I2862,GradeList,0),0))</f>
        <v>0</v>
      </c>
      <c r="P2862" s="64" t="n">
        <f aca="false">IF(AND($M2862&gt;0,ISNUMBER(MATCH($F2862,Lists!$A$2:$A$5,0)),ISNUMBER(MATCH($G2862,Lists!$B$2:$B$7,0)),OR($H2862="",$N2862&gt;0),OR($I2862="",$I2862="NR",$O2862&gt;0),IF(ISNUMBER($J2862),AND($J2862&gt;=0,$J2862=INT($J2862)),FALSE())),$J2862,0)</f>
        <v>0</v>
      </c>
      <c r="Q2862" s="64" t="n">
        <f aca="false">IF(AND($P2862&gt;0,$O2862&gt;0),$P2862,0)</f>
        <v>0</v>
      </c>
      <c r="R2862" s="64" t="n">
        <f aca="false">IF(AND($Q2862&gt;0,$O2862&gt;=AtRank),$Q2862,0)</f>
        <v>0</v>
      </c>
      <c r="S2862" s="64" t="n">
        <f aca="false">IF(AND($Q2862&gt;0,$O2862&gt;=AboveRank),$Q2862,0)</f>
        <v>0</v>
      </c>
      <c r="T2862" s="64" t="n">
        <f aca="false">IF($K2862="Less",$P2862,0)</f>
        <v>0</v>
      </c>
      <c r="U2862" s="64" t="n">
        <f aca="false">IF($K2862="Expected",$P2862,0)</f>
        <v>0</v>
      </c>
      <c r="V2862" s="64" t="n">
        <f aca="false">IF($K2862="Better",$P2862,0)</f>
        <v>0</v>
      </c>
      <c r="W2862" s="64" t="n">
        <f aca="false">IF($K2862="U – needs rule",$P2862,0)</f>
        <v>0</v>
      </c>
      <c r="X2862" s="64" t="n">
        <f aca="false">IF($K2862="No Start (attainment only)",$P2862,0)</f>
        <v>0</v>
      </c>
    </row>
    <row r="2863" customFormat="false" ht="15" hidden="false" customHeight="false" outlineLevel="0" collapsed="false">
      <c r="A2863" s="60"/>
      <c r="B2863" s="61" t="str">
        <f aca="false">IF($M2863=0,"",INDEX(Classes!$E$6:$E$420,$M2863))</f>
        <v/>
      </c>
      <c r="C2863" s="62" t="str">
        <f aca="false">IF($M2863=0,"",INDEX(Classes!$H$6:$H$420,$M2863))</f>
        <v/>
      </c>
      <c r="D2863" s="61" t="str">
        <f aca="false">IF($M2863=0,"",INDEX(Classes!$B$6:$B$420,$M2863))</f>
        <v/>
      </c>
      <c r="E2863" s="61" t="str">
        <f aca="false">IF($M2863=0,"",INDEX(Classes!$C$6:$C$420,$M2863))</f>
        <v/>
      </c>
      <c r="F2863" s="63"/>
      <c r="G2863" s="63"/>
      <c r="H2863" s="60"/>
      <c r="I2863" s="60"/>
      <c r="J2863" s="63"/>
      <c r="K2863" s="61" t="str">
        <f aca="false">IF($P2863=0,"",IF($F2863="Baseline","— Baseline",IF($O2863=0,"No result",IF($N2863=0,"No Start (attainment only)",IF(OR($N2863=1,$O2863=1),"U – needs rule",INDEX(MxBody,MATCH($I2863,MxCurr,0),MATCH($H2863,MxStart,0)))))))</f>
        <v/>
      </c>
      <c r="L2863" s="62" t="str">
        <f aca="false">IF(COUNTA($A2863,$F2863,$G2863,$H2863,$I2863,$J2863)=0,"",IF($M2863=0,"✖ كود الصف غير موجود",IF(ISNA(MATCH($F2863,Lists!$A$2:$A$5,0)),"✖ الفترة غير صحيحة",IF(ISNA(MATCH($G2863,Lists!$B$2:$B$7,0)),"✖ المجموعة غير صحيحة",IF(NOT(OR($H2863="",$N2863&gt;0)),"✖ Start غير صحيح",IF(NOT(OR($I2863="",$I2863="NR",$O2863&gt;0)),"✖ Current غير صحيح",IF(NOT(IF(ISNUMBER($J2863),AND($J2863&gt;=0,$J2863=INT($J2863)),FALSE())),"✖ العدد يجب أن يكون صحيحًا ≥ 0",IF(AND($F2863="Baseline",$H2863&lt;&gt;""),"⚠ Baseline: Start لا يدخل في التقدم",IF($K2863="No Start (attainment only)","ℹ تحصيل فقط (بدون Start)",IF($K2863="U – needs rule","ℹ حالة U تحتاج قاعدة معتمدة",IF($K2863="No result","ℹ بدون نتيجة (يُستبعد من التحصيل)","OK")))))))))))</f>
        <v/>
      </c>
      <c r="M2863" s="64" t="n">
        <f aca="false">IF($A2863="",0,IFERROR(MATCH($A2863,Classes!$A$6:$A$420,0),0))</f>
        <v>0</v>
      </c>
      <c r="N2863" s="64" t="n">
        <f aca="false">IF($H2863="",0,IFERROR(MATCH($H2863,GradeList,0),0))</f>
        <v>0</v>
      </c>
      <c r="O2863" s="64" t="n">
        <f aca="false">IF(OR($I2863="",$I2863="NR"),0,IFERROR(MATCH($I2863,GradeList,0),0))</f>
        <v>0</v>
      </c>
      <c r="P2863" s="64" t="n">
        <f aca="false">IF(AND($M2863&gt;0,ISNUMBER(MATCH($F2863,Lists!$A$2:$A$5,0)),ISNUMBER(MATCH($G2863,Lists!$B$2:$B$7,0)),OR($H2863="",$N2863&gt;0),OR($I2863="",$I2863="NR",$O2863&gt;0),IF(ISNUMBER($J2863),AND($J2863&gt;=0,$J2863=INT($J2863)),FALSE())),$J2863,0)</f>
        <v>0</v>
      </c>
      <c r="Q2863" s="64" t="n">
        <f aca="false">IF(AND($P2863&gt;0,$O2863&gt;0),$P2863,0)</f>
        <v>0</v>
      </c>
      <c r="R2863" s="64" t="n">
        <f aca="false">IF(AND($Q2863&gt;0,$O2863&gt;=AtRank),$Q2863,0)</f>
        <v>0</v>
      </c>
      <c r="S2863" s="64" t="n">
        <f aca="false">IF(AND($Q2863&gt;0,$O2863&gt;=AboveRank),$Q2863,0)</f>
        <v>0</v>
      </c>
      <c r="T2863" s="64" t="n">
        <f aca="false">IF($K2863="Less",$P2863,0)</f>
        <v>0</v>
      </c>
      <c r="U2863" s="64" t="n">
        <f aca="false">IF($K2863="Expected",$P2863,0)</f>
        <v>0</v>
      </c>
      <c r="V2863" s="64" t="n">
        <f aca="false">IF($K2863="Better",$P2863,0)</f>
        <v>0</v>
      </c>
      <c r="W2863" s="64" t="n">
        <f aca="false">IF($K2863="U – needs rule",$P2863,0)</f>
        <v>0</v>
      </c>
      <c r="X2863" s="64" t="n">
        <f aca="false">IF($K2863="No Start (attainment only)",$P2863,0)</f>
        <v>0</v>
      </c>
    </row>
    <row r="2864" customFormat="false" ht="15" hidden="false" customHeight="false" outlineLevel="0" collapsed="false">
      <c r="A2864" s="60"/>
      <c r="B2864" s="61" t="str">
        <f aca="false">IF($M2864=0,"",INDEX(Classes!$E$6:$E$420,$M2864))</f>
        <v/>
      </c>
      <c r="C2864" s="62" t="str">
        <f aca="false">IF($M2864=0,"",INDEX(Classes!$H$6:$H$420,$M2864))</f>
        <v/>
      </c>
      <c r="D2864" s="61" t="str">
        <f aca="false">IF($M2864=0,"",INDEX(Classes!$B$6:$B$420,$M2864))</f>
        <v/>
      </c>
      <c r="E2864" s="61" t="str">
        <f aca="false">IF($M2864=0,"",INDEX(Classes!$C$6:$C$420,$M2864))</f>
        <v/>
      </c>
      <c r="F2864" s="63"/>
      <c r="G2864" s="63"/>
      <c r="H2864" s="60"/>
      <c r="I2864" s="60"/>
      <c r="J2864" s="63"/>
      <c r="K2864" s="61" t="str">
        <f aca="false">IF($P2864=0,"",IF($F2864="Baseline","— Baseline",IF($O2864=0,"No result",IF($N2864=0,"No Start (attainment only)",IF(OR($N2864=1,$O2864=1),"U – needs rule",INDEX(MxBody,MATCH($I2864,MxCurr,0),MATCH($H2864,MxStart,0)))))))</f>
        <v/>
      </c>
      <c r="L2864" s="62" t="str">
        <f aca="false">IF(COUNTA($A2864,$F2864,$G2864,$H2864,$I2864,$J2864)=0,"",IF($M2864=0,"✖ كود الصف غير موجود",IF(ISNA(MATCH($F2864,Lists!$A$2:$A$5,0)),"✖ الفترة غير صحيحة",IF(ISNA(MATCH($G2864,Lists!$B$2:$B$7,0)),"✖ المجموعة غير صحيحة",IF(NOT(OR($H2864="",$N2864&gt;0)),"✖ Start غير صحيح",IF(NOT(OR($I2864="",$I2864="NR",$O2864&gt;0)),"✖ Current غير صحيح",IF(NOT(IF(ISNUMBER($J2864),AND($J2864&gt;=0,$J2864=INT($J2864)),FALSE())),"✖ العدد يجب أن يكون صحيحًا ≥ 0",IF(AND($F2864="Baseline",$H2864&lt;&gt;""),"⚠ Baseline: Start لا يدخل في التقدم",IF($K2864="No Start (attainment only)","ℹ تحصيل فقط (بدون Start)",IF($K2864="U – needs rule","ℹ حالة U تحتاج قاعدة معتمدة",IF($K2864="No result","ℹ بدون نتيجة (يُستبعد من التحصيل)","OK")))))))))))</f>
        <v/>
      </c>
      <c r="M2864" s="64" t="n">
        <f aca="false">IF($A2864="",0,IFERROR(MATCH($A2864,Classes!$A$6:$A$420,0),0))</f>
        <v>0</v>
      </c>
      <c r="N2864" s="64" t="n">
        <f aca="false">IF($H2864="",0,IFERROR(MATCH($H2864,GradeList,0),0))</f>
        <v>0</v>
      </c>
      <c r="O2864" s="64" t="n">
        <f aca="false">IF(OR($I2864="",$I2864="NR"),0,IFERROR(MATCH($I2864,GradeList,0),0))</f>
        <v>0</v>
      </c>
      <c r="P2864" s="64" t="n">
        <f aca="false">IF(AND($M2864&gt;0,ISNUMBER(MATCH($F2864,Lists!$A$2:$A$5,0)),ISNUMBER(MATCH($G2864,Lists!$B$2:$B$7,0)),OR($H2864="",$N2864&gt;0),OR($I2864="",$I2864="NR",$O2864&gt;0),IF(ISNUMBER($J2864),AND($J2864&gt;=0,$J2864=INT($J2864)),FALSE())),$J2864,0)</f>
        <v>0</v>
      </c>
      <c r="Q2864" s="64" t="n">
        <f aca="false">IF(AND($P2864&gt;0,$O2864&gt;0),$P2864,0)</f>
        <v>0</v>
      </c>
      <c r="R2864" s="64" t="n">
        <f aca="false">IF(AND($Q2864&gt;0,$O2864&gt;=AtRank),$Q2864,0)</f>
        <v>0</v>
      </c>
      <c r="S2864" s="64" t="n">
        <f aca="false">IF(AND($Q2864&gt;0,$O2864&gt;=AboveRank),$Q2864,0)</f>
        <v>0</v>
      </c>
      <c r="T2864" s="64" t="n">
        <f aca="false">IF($K2864="Less",$P2864,0)</f>
        <v>0</v>
      </c>
      <c r="U2864" s="64" t="n">
        <f aca="false">IF($K2864="Expected",$P2864,0)</f>
        <v>0</v>
      </c>
      <c r="V2864" s="64" t="n">
        <f aca="false">IF($K2864="Better",$P2864,0)</f>
        <v>0</v>
      </c>
      <c r="W2864" s="64" t="n">
        <f aca="false">IF($K2864="U – needs rule",$P2864,0)</f>
        <v>0</v>
      </c>
      <c r="X2864" s="64" t="n">
        <f aca="false">IF($K2864="No Start (attainment only)",$P2864,0)</f>
        <v>0</v>
      </c>
    </row>
    <row r="2865" customFormat="false" ht="15" hidden="false" customHeight="false" outlineLevel="0" collapsed="false">
      <c r="A2865" s="60"/>
      <c r="B2865" s="61" t="str">
        <f aca="false">IF($M2865=0,"",INDEX(Classes!$E$6:$E$420,$M2865))</f>
        <v/>
      </c>
      <c r="C2865" s="62" t="str">
        <f aca="false">IF($M2865=0,"",INDEX(Classes!$H$6:$H$420,$M2865))</f>
        <v/>
      </c>
      <c r="D2865" s="61" t="str">
        <f aca="false">IF($M2865=0,"",INDEX(Classes!$B$6:$B$420,$M2865))</f>
        <v/>
      </c>
      <c r="E2865" s="61" t="str">
        <f aca="false">IF($M2865=0,"",INDEX(Classes!$C$6:$C$420,$M2865))</f>
        <v/>
      </c>
      <c r="F2865" s="63"/>
      <c r="G2865" s="63"/>
      <c r="H2865" s="60"/>
      <c r="I2865" s="60"/>
      <c r="J2865" s="63"/>
      <c r="K2865" s="61" t="str">
        <f aca="false">IF($P2865=0,"",IF($F2865="Baseline","— Baseline",IF($O2865=0,"No result",IF($N2865=0,"No Start (attainment only)",IF(OR($N2865=1,$O2865=1),"U – needs rule",INDEX(MxBody,MATCH($I2865,MxCurr,0),MATCH($H2865,MxStart,0)))))))</f>
        <v/>
      </c>
      <c r="L2865" s="62" t="str">
        <f aca="false">IF(COUNTA($A2865,$F2865,$G2865,$H2865,$I2865,$J2865)=0,"",IF($M2865=0,"✖ كود الصف غير موجود",IF(ISNA(MATCH($F2865,Lists!$A$2:$A$5,0)),"✖ الفترة غير صحيحة",IF(ISNA(MATCH($G2865,Lists!$B$2:$B$7,0)),"✖ المجموعة غير صحيحة",IF(NOT(OR($H2865="",$N2865&gt;0)),"✖ Start غير صحيح",IF(NOT(OR($I2865="",$I2865="NR",$O2865&gt;0)),"✖ Current غير صحيح",IF(NOT(IF(ISNUMBER($J2865),AND($J2865&gt;=0,$J2865=INT($J2865)),FALSE())),"✖ العدد يجب أن يكون صحيحًا ≥ 0",IF(AND($F2865="Baseline",$H2865&lt;&gt;""),"⚠ Baseline: Start لا يدخل في التقدم",IF($K2865="No Start (attainment only)","ℹ تحصيل فقط (بدون Start)",IF($K2865="U – needs rule","ℹ حالة U تحتاج قاعدة معتمدة",IF($K2865="No result","ℹ بدون نتيجة (يُستبعد من التحصيل)","OK")))))))))))</f>
        <v/>
      </c>
      <c r="M2865" s="64" t="n">
        <f aca="false">IF($A2865="",0,IFERROR(MATCH($A2865,Classes!$A$6:$A$420,0),0))</f>
        <v>0</v>
      </c>
      <c r="N2865" s="64" t="n">
        <f aca="false">IF($H2865="",0,IFERROR(MATCH($H2865,GradeList,0),0))</f>
        <v>0</v>
      </c>
      <c r="O2865" s="64" t="n">
        <f aca="false">IF(OR($I2865="",$I2865="NR"),0,IFERROR(MATCH($I2865,GradeList,0),0))</f>
        <v>0</v>
      </c>
      <c r="P2865" s="64" t="n">
        <f aca="false">IF(AND($M2865&gt;0,ISNUMBER(MATCH($F2865,Lists!$A$2:$A$5,0)),ISNUMBER(MATCH($G2865,Lists!$B$2:$B$7,0)),OR($H2865="",$N2865&gt;0),OR($I2865="",$I2865="NR",$O2865&gt;0),IF(ISNUMBER($J2865),AND($J2865&gt;=0,$J2865=INT($J2865)),FALSE())),$J2865,0)</f>
        <v>0</v>
      </c>
      <c r="Q2865" s="64" t="n">
        <f aca="false">IF(AND($P2865&gt;0,$O2865&gt;0),$P2865,0)</f>
        <v>0</v>
      </c>
      <c r="R2865" s="64" t="n">
        <f aca="false">IF(AND($Q2865&gt;0,$O2865&gt;=AtRank),$Q2865,0)</f>
        <v>0</v>
      </c>
      <c r="S2865" s="64" t="n">
        <f aca="false">IF(AND($Q2865&gt;0,$O2865&gt;=AboveRank),$Q2865,0)</f>
        <v>0</v>
      </c>
      <c r="T2865" s="64" t="n">
        <f aca="false">IF($K2865="Less",$P2865,0)</f>
        <v>0</v>
      </c>
      <c r="U2865" s="64" t="n">
        <f aca="false">IF($K2865="Expected",$P2865,0)</f>
        <v>0</v>
      </c>
      <c r="V2865" s="64" t="n">
        <f aca="false">IF($K2865="Better",$P2865,0)</f>
        <v>0</v>
      </c>
      <c r="W2865" s="64" t="n">
        <f aca="false">IF($K2865="U – needs rule",$P2865,0)</f>
        <v>0</v>
      </c>
      <c r="X2865" s="64" t="n">
        <f aca="false">IF($K2865="No Start (attainment only)",$P2865,0)</f>
        <v>0</v>
      </c>
    </row>
    <row r="2866" customFormat="false" ht="15" hidden="false" customHeight="false" outlineLevel="0" collapsed="false">
      <c r="A2866" s="60"/>
      <c r="B2866" s="61" t="str">
        <f aca="false">IF($M2866=0,"",INDEX(Classes!$E$6:$E$420,$M2866))</f>
        <v/>
      </c>
      <c r="C2866" s="62" t="str">
        <f aca="false">IF($M2866=0,"",INDEX(Classes!$H$6:$H$420,$M2866))</f>
        <v/>
      </c>
      <c r="D2866" s="61" t="str">
        <f aca="false">IF($M2866=0,"",INDEX(Classes!$B$6:$B$420,$M2866))</f>
        <v/>
      </c>
      <c r="E2866" s="61" t="str">
        <f aca="false">IF($M2866=0,"",INDEX(Classes!$C$6:$C$420,$M2866))</f>
        <v/>
      </c>
      <c r="F2866" s="63"/>
      <c r="G2866" s="63"/>
      <c r="H2866" s="60"/>
      <c r="I2866" s="60"/>
      <c r="J2866" s="63"/>
      <c r="K2866" s="61" t="str">
        <f aca="false">IF($P2866=0,"",IF($F2866="Baseline","— Baseline",IF($O2866=0,"No result",IF($N2866=0,"No Start (attainment only)",IF(OR($N2866=1,$O2866=1),"U – needs rule",INDEX(MxBody,MATCH($I2866,MxCurr,0),MATCH($H2866,MxStart,0)))))))</f>
        <v/>
      </c>
      <c r="L2866" s="62" t="str">
        <f aca="false">IF(COUNTA($A2866,$F2866,$G2866,$H2866,$I2866,$J2866)=0,"",IF($M2866=0,"✖ كود الصف غير موجود",IF(ISNA(MATCH($F2866,Lists!$A$2:$A$5,0)),"✖ الفترة غير صحيحة",IF(ISNA(MATCH($G2866,Lists!$B$2:$B$7,0)),"✖ المجموعة غير صحيحة",IF(NOT(OR($H2866="",$N2866&gt;0)),"✖ Start غير صحيح",IF(NOT(OR($I2866="",$I2866="NR",$O2866&gt;0)),"✖ Current غير صحيح",IF(NOT(IF(ISNUMBER($J2866),AND($J2866&gt;=0,$J2866=INT($J2866)),FALSE())),"✖ العدد يجب أن يكون صحيحًا ≥ 0",IF(AND($F2866="Baseline",$H2866&lt;&gt;""),"⚠ Baseline: Start لا يدخل في التقدم",IF($K2866="No Start (attainment only)","ℹ تحصيل فقط (بدون Start)",IF($K2866="U – needs rule","ℹ حالة U تحتاج قاعدة معتمدة",IF($K2866="No result","ℹ بدون نتيجة (يُستبعد من التحصيل)","OK")))))))))))</f>
        <v/>
      </c>
      <c r="M2866" s="64" t="n">
        <f aca="false">IF($A2866="",0,IFERROR(MATCH($A2866,Classes!$A$6:$A$420,0),0))</f>
        <v>0</v>
      </c>
      <c r="N2866" s="64" t="n">
        <f aca="false">IF($H2866="",0,IFERROR(MATCH($H2866,GradeList,0),0))</f>
        <v>0</v>
      </c>
      <c r="O2866" s="64" t="n">
        <f aca="false">IF(OR($I2866="",$I2866="NR"),0,IFERROR(MATCH($I2866,GradeList,0),0))</f>
        <v>0</v>
      </c>
      <c r="P2866" s="64" t="n">
        <f aca="false">IF(AND($M2866&gt;0,ISNUMBER(MATCH($F2866,Lists!$A$2:$A$5,0)),ISNUMBER(MATCH($G2866,Lists!$B$2:$B$7,0)),OR($H2866="",$N2866&gt;0),OR($I2866="",$I2866="NR",$O2866&gt;0),IF(ISNUMBER($J2866),AND($J2866&gt;=0,$J2866=INT($J2866)),FALSE())),$J2866,0)</f>
        <v>0</v>
      </c>
      <c r="Q2866" s="64" t="n">
        <f aca="false">IF(AND($P2866&gt;0,$O2866&gt;0),$P2866,0)</f>
        <v>0</v>
      </c>
      <c r="R2866" s="64" t="n">
        <f aca="false">IF(AND($Q2866&gt;0,$O2866&gt;=AtRank),$Q2866,0)</f>
        <v>0</v>
      </c>
      <c r="S2866" s="64" t="n">
        <f aca="false">IF(AND($Q2866&gt;0,$O2866&gt;=AboveRank),$Q2866,0)</f>
        <v>0</v>
      </c>
      <c r="T2866" s="64" t="n">
        <f aca="false">IF($K2866="Less",$P2866,0)</f>
        <v>0</v>
      </c>
      <c r="U2866" s="64" t="n">
        <f aca="false">IF($K2866="Expected",$P2866,0)</f>
        <v>0</v>
      </c>
      <c r="V2866" s="64" t="n">
        <f aca="false">IF($K2866="Better",$P2866,0)</f>
        <v>0</v>
      </c>
      <c r="W2866" s="64" t="n">
        <f aca="false">IF($K2866="U – needs rule",$P2866,0)</f>
        <v>0</v>
      </c>
      <c r="X2866" s="64" t="n">
        <f aca="false">IF($K2866="No Start (attainment only)",$P2866,0)</f>
        <v>0</v>
      </c>
    </row>
    <row r="2867" customFormat="false" ht="15" hidden="false" customHeight="false" outlineLevel="0" collapsed="false">
      <c r="A2867" s="60"/>
      <c r="B2867" s="61" t="str">
        <f aca="false">IF($M2867=0,"",INDEX(Classes!$E$6:$E$420,$M2867))</f>
        <v/>
      </c>
      <c r="C2867" s="62" t="str">
        <f aca="false">IF($M2867=0,"",INDEX(Classes!$H$6:$H$420,$M2867))</f>
        <v/>
      </c>
      <c r="D2867" s="61" t="str">
        <f aca="false">IF($M2867=0,"",INDEX(Classes!$B$6:$B$420,$M2867))</f>
        <v/>
      </c>
      <c r="E2867" s="61" t="str">
        <f aca="false">IF($M2867=0,"",INDEX(Classes!$C$6:$C$420,$M2867))</f>
        <v/>
      </c>
      <c r="F2867" s="63"/>
      <c r="G2867" s="63"/>
      <c r="H2867" s="60"/>
      <c r="I2867" s="60"/>
      <c r="J2867" s="63"/>
      <c r="K2867" s="61" t="str">
        <f aca="false">IF($P2867=0,"",IF($F2867="Baseline","— Baseline",IF($O2867=0,"No result",IF($N2867=0,"No Start (attainment only)",IF(OR($N2867=1,$O2867=1),"U – needs rule",INDEX(MxBody,MATCH($I2867,MxCurr,0),MATCH($H2867,MxStart,0)))))))</f>
        <v/>
      </c>
      <c r="L2867" s="62" t="str">
        <f aca="false">IF(COUNTA($A2867,$F2867,$G2867,$H2867,$I2867,$J2867)=0,"",IF($M2867=0,"✖ كود الصف غير موجود",IF(ISNA(MATCH($F2867,Lists!$A$2:$A$5,0)),"✖ الفترة غير صحيحة",IF(ISNA(MATCH($G2867,Lists!$B$2:$B$7,0)),"✖ المجموعة غير صحيحة",IF(NOT(OR($H2867="",$N2867&gt;0)),"✖ Start غير صحيح",IF(NOT(OR($I2867="",$I2867="NR",$O2867&gt;0)),"✖ Current غير صحيح",IF(NOT(IF(ISNUMBER($J2867),AND($J2867&gt;=0,$J2867=INT($J2867)),FALSE())),"✖ العدد يجب أن يكون صحيحًا ≥ 0",IF(AND($F2867="Baseline",$H2867&lt;&gt;""),"⚠ Baseline: Start لا يدخل في التقدم",IF($K2867="No Start (attainment only)","ℹ تحصيل فقط (بدون Start)",IF($K2867="U – needs rule","ℹ حالة U تحتاج قاعدة معتمدة",IF($K2867="No result","ℹ بدون نتيجة (يُستبعد من التحصيل)","OK")))))))))))</f>
        <v/>
      </c>
      <c r="M2867" s="64" t="n">
        <f aca="false">IF($A2867="",0,IFERROR(MATCH($A2867,Classes!$A$6:$A$420,0),0))</f>
        <v>0</v>
      </c>
      <c r="N2867" s="64" t="n">
        <f aca="false">IF($H2867="",0,IFERROR(MATCH($H2867,GradeList,0),0))</f>
        <v>0</v>
      </c>
      <c r="O2867" s="64" t="n">
        <f aca="false">IF(OR($I2867="",$I2867="NR"),0,IFERROR(MATCH($I2867,GradeList,0),0))</f>
        <v>0</v>
      </c>
      <c r="P2867" s="64" t="n">
        <f aca="false">IF(AND($M2867&gt;0,ISNUMBER(MATCH($F2867,Lists!$A$2:$A$5,0)),ISNUMBER(MATCH($G2867,Lists!$B$2:$B$7,0)),OR($H2867="",$N2867&gt;0),OR($I2867="",$I2867="NR",$O2867&gt;0),IF(ISNUMBER($J2867),AND($J2867&gt;=0,$J2867=INT($J2867)),FALSE())),$J2867,0)</f>
        <v>0</v>
      </c>
      <c r="Q2867" s="64" t="n">
        <f aca="false">IF(AND($P2867&gt;0,$O2867&gt;0),$P2867,0)</f>
        <v>0</v>
      </c>
      <c r="R2867" s="64" t="n">
        <f aca="false">IF(AND($Q2867&gt;0,$O2867&gt;=AtRank),$Q2867,0)</f>
        <v>0</v>
      </c>
      <c r="S2867" s="64" t="n">
        <f aca="false">IF(AND($Q2867&gt;0,$O2867&gt;=AboveRank),$Q2867,0)</f>
        <v>0</v>
      </c>
      <c r="T2867" s="64" t="n">
        <f aca="false">IF($K2867="Less",$P2867,0)</f>
        <v>0</v>
      </c>
      <c r="U2867" s="64" t="n">
        <f aca="false">IF($K2867="Expected",$P2867,0)</f>
        <v>0</v>
      </c>
      <c r="V2867" s="64" t="n">
        <f aca="false">IF($K2867="Better",$P2867,0)</f>
        <v>0</v>
      </c>
      <c r="W2867" s="64" t="n">
        <f aca="false">IF($K2867="U – needs rule",$P2867,0)</f>
        <v>0</v>
      </c>
      <c r="X2867" s="64" t="n">
        <f aca="false">IF($K2867="No Start (attainment only)",$P2867,0)</f>
        <v>0</v>
      </c>
    </row>
    <row r="2868" customFormat="false" ht="15" hidden="false" customHeight="false" outlineLevel="0" collapsed="false">
      <c r="A2868" s="60"/>
      <c r="B2868" s="61" t="str">
        <f aca="false">IF($M2868=0,"",INDEX(Classes!$E$6:$E$420,$M2868))</f>
        <v/>
      </c>
      <c r="C2868" s="62" t="str">
        <f aca="false">IF($M2868=0,"",INDEX(Classes!$H$6:$H$420,$M2868))</f>
        <v/>
      </c>
      <c r="D2868" s="61" t="str">
        <f aca="false">IF($M2868=0,"",INDEX(Classes!$B$6:$B$420,$M2868))</f>
        <v/>
      </c>
      <c r="E2868" s="61" t="str">
        <f aca="false">IF($M2868=0,"",INDEX(Classes!$C$6:$C$420,$M2868))</f>
        <v/>
      </c>
      <c r="F2868" s="63"/>
      <c r="G2868" s="63"/>
      <c r="H2868" s="60"/>
      <c r="I2868" s="60"/>
      <c r="J2868" s="63"/>
      <c r="K2868" s="61" t="str">
        <f aca="false">IF($P2868=0,"",IF($F2868="Baseline","— Baseline",IF($O2868=0,"No result",IF($N2868=0,"No Start (attainment only)",IF(OR($N2868=1,$O2868=1),"U – needs rule",INDEX(MxBody,MATCH($I2868,MxCurr,0),MATCH($H2868,MxStart,0)))))))</f>
        <v/>
      </c>
      <c r="L2868" s="62" t="str">
        <f aca="false">IF(COUNTA($A2868,$F2868,$G2868,$H2868,$I2868,$J2868)=0,"",IF($M2868=0,"✖ كود الصف غير موجود",IF(ISNA(MATCH($F2868,Lists!$A$2:$A$5,0)),"✖ الفترة غير صحيحة",IF(ISNA(MATCH($G2868,Lists!$B$2:$B$7,0)),"✖ المجموعة غير صحيحة",IF(NOT(OR($H2868="",$N2868&gt;0)),"✖ Start غير صحيح",IF(NOT(OR($I2868="",$I2868="NR",$O2868&gt;0)),"✖ Current غير صحيح",IF(NOT(IF(ISNUMBER($J2868),AND($J2868&gt;=0,$J2868=INT($J2868)),FALSE())),"✖ العدد يجب أن يكون صحيحًا ≥ 0",IF(AND($F2868="Baseline",$H2868&lt;&gt;""),"⚠ Baseline: Start لا يدخل في التقدم",IF($K2868="No Start (attainment only)","ℹ تحصيل فقط (بدون Start)",IF($K2868="U – needs rule","ℹ حالة U تحتاج قاعدة معتمدة",IF($K2868="No result","ℹ بدون نتيجة (يُستبعد من التحصيل)","OK")))))))))))</f>
        <v/>
      </c>
      <c r="M2868" s="64" t="n">
        <f aca="false">IF($A2868="",0,IFERROR(MATCH($A2868,Classes!$A$6:$A$420,0),0))</f>
        <v>0</v>
      </c>
      <c r="N2868" s="64" t="n">
        <f aca="false">IF($H2868="",0,IFERROR(MATCH($H2868,GradeList,0),0))</f>
        <v>0</v>
      </c>
      <c r="O2868" s="64" t="n">
        <f aca="false">IF(OR($I2868="",$I2868="NR"),0,IFERROR(MATCH($I2868,GradeList,0),0))</f>
        <v>0</v>
      </c>
      <c r="P2868" s="64" t="n">
        <f aca="false">IF(AND($M2868&gt;0,ISNUMBER(MATCH($F2868,Lists!$A$2:$A$5,0)),ISNUMBER(MATCH($G2868,Lists!$B$2:$B$7,0)),OR($H2868="",$N2868&gt;0),OR($I2868="",$I2868="NR",$O2868&gt;0),IF(ISNUMBER($J2868),AND($J2868&gt;=0,$J2868=INT($J2868)),FALSE())),$J2868,0)</f>
        <v>0</v>
      </c>
      <c r="Q2868" s="64" t="n">
        <f aca="false">IF(AND($P2868&gt;0,$O2868&gt;0),$P2868,0)</f>
        <v>0</v>
      </c>
      <c r="R2868" s="64" t="n">
        <f aca="false">IF(AND($Q2868&gt;0,$O2868&gt;=AtRank),$Q2868,0)</f>
        <v>0</v>
      </c>
      <c r="S2868" s="64" t="n">
        <f aca="false">IF(AND($Q2868&gt;0,$O2868&gt;=AboveRank),$Q2868,0)</f>
        <v>0</v>
      </c>
      <c r="T2868" s="64" t="n">
        <f aca="false">IF($K2868="Less",$P2868,0)</f>
        <v>0</v>
      </c>
      <c r="U2868" s="64" t="n">
        <f aca="false">IF($K2868="Expected",$P2868,0)</f>
        <v>0</v>
      </c>
      <c r="V2868" s="64" t="n">
        <f aca="false">IF($K2868="Better",$P2868,0)</f>
        <v>0</v>
      </c>
      <c r="W2868" s="64" t="n">
        <f aca="false">IF($K2868="U – needs rule",$P2868,0)</f>
        <v>0</v>
      </c>
      <c r="X2868" s="64" t="n">
        <f aca="false">IF($K2868="No Start (attainment only)",$P2868,0)</f>
        <v>0</v>
      </c>
    </row>
    <row r="2869" customFormat="false" ht="15" hidden="false" customHeight="false" outlineLevel="0" collapsed="false">
      <c r="A2869" s="60"/>
      <c r="B2869" s="61" t="str">
        <f aca="false">IF($M2869=0,"",INDEX(Classes!$E$6:$E$420,$M2869))</f>
        <v/>
      </c>
      <c r="C2869" s="62" t="str">
        <f aca="false">IF($M2869=0,"",INDEX(Classes!$H$6:$H$420,$M2869))</f>
        <v/>
      </c>
      <c r="D2869" s="61" t="str">
        <f aca="false">IF($M2869=0,"",INDEX(Classes!$B$6:$B$420,$M2869))</f>
        <v/>
      </c>
      <c r="E2869" s="61" t="str">
        <f aca="false">IF($M2869=0,"",INDEX(Classes!$C$6:$C$420,$M2869))</f>
        <v/>
      </c>
      <c r="F2869" s="63"/>
      <c r="G2869" s="63"/>
      <c r="H2869" s="60"/>
      <c r="I2869" s="60"/>
      <c r="J2869" s="63"/>
      <c r="K2869" s="61" t="str">
        <f aca="false">IF($P2869=0,"",IF($F2869="Baseline","— Baseline",IF($O2869=0,"No result",IF($N2869=0,"No Start (attainment only)",IF(OR($N2869=1,$O2869=1),"U – needs rule",INDEX(MxBody,MATCH($I2869,MxCurr,0),MATCH($H2869,MxStart,0)))))))</f>
        <v/>
      </c>
      <c r="L2869" s="62" t="str">
        <f aca="false">IF(COUNTA($A2869,$F2869,$G2869,$H2869,$I2869,$J2869)=0,"",IF($M2869=0,"✖ كود الصف غير موجود",IF(ISNA(MATCH($F2869,Lists!$A$2:$A$5,0)),"✖ الفترة غير صحيحة",IF(ISNA(MATCH($G2869,Lists!$B$2:$B$7,0)),"✖ المجموعة غير صحيحة",IF(NOT(OR($H2869="",$N2869&gt;0)),"✖ Start غير صحيح",IF(NOT(OR($I2869="",$I2869="NR",$O2869&gt;0)),"✖ Current غير صحيح",IF(NOT(IF(ISNUMBER($J2869),AND($J2869&gt;=0,$J2869=INT($J2869)),FALSE())),"✖ العدد يجب أن يكون صحيحًا ≥ 0",IF(AND($F2869="Baseline",$H2869&lt;&gt;""),"⚠ Baseline: Start لا يدخل في التقدم",IF($K2869="No Start (attainment only)","ℹ تحصيل فقط (بدون Start)",IF($K2869="U – needs rule","ℹ حالة U تحتاج قاعدة معتمدة",IF($K2869="No result","ℹ بدون نتيجة (يُستبعد من التحصيل)","OK")))))))))))</f>
        <v/>
      </c>
      <c r="M2869" s="64" t="n">
        <f aca="false">IF($A2869="",0,IFERROR(MATCH($A2869,Classes!$A$6:$A$420,0),0))</f>
        <v>0</v>
      </c>
      <c r="N2869" s="64" t="n">
        <f aca="false">IF($H2869="",0,IFERROR(MATCH($H2869,GradeList,0),0))</f>
        <v>0</v>
      </c>
      <c r="O2869" s="64" t="n">
        <f aca="false">IF(OR($I2869="",$I2869="NR"),0,IFERROR(MATCH($I2869,GradeList,0),0))</f>
        <v>0</v>
      </c>
      <c r="P2869" s="64" t="n">
        <f aca="false">IF(AND($M2869&gt;0,ISNUMBER(MATCH($F2869,Lists!$A$2:$A$5,0)),ISNUMBER(MATCH($G2869,Lists!$B$2:$B$7,0)),OR($H2869="",$N2869&gt;0),OR($I2869="",$I2869="NR",$O2869&gt;0),IF(ISNUMBER($J2869),AND($J2869&gt;=0,$J2869=INT($J2869)),FALSE())),$J2869,0)</f>
        <v>0</v>
      </c>
      <c r="Q2869" s="64" t="n">
        <f aca="false">IF(AND($P2869&gt;0,$O2869&gt;0),$P2869,0)</f>
        <v>0</v>
      </c>
      <c r="R2869" s="64" t="n">
        <f aca="false">IF(AND($Q2869&gt;0,$O2869&gt;=AtRank),$Q2869,0)</f>
        <v>0</v>
      </c>
      <c r="S2869" s="64" t="n">
        <f aca="false">IF(AND($Q2869&gt;0,$O2869&gt;=AboveRank),$Q2869,0)</f>
        <v>0</v>
      </c>
      <c r="T2869" s="64" t="n">
        <f aca="false">IF($K2869="Less",$P2869,0)</f>
        <v>0</v>
      </c>
      <c r="U2869" s="64" t="n">
        <f aca="false">IF($K2869="Expected",$P2869,0)</f>
        <v>0</v>
      </c>
      <c r="V2869" s="64" t="n">
        <f aca="false">IF($K2869="Better",$P2869,0)</f>
        <v>0</v>
      </c>
      <c r="W2869" s="64" t="n">
        <f aca="false">IF($K2869="U – needs rule",$P2869,0)</f>
        <v>0</v>
      </c>
      <c r="X2869" s="64" t="n">
        <f aca="false">IF($K2869="No Start (attainment only)",$P2869,0)</f>
        <v>0</v>
      </c>
    </row>
    <row r="2870" customFormat="false" ht="15" hidden="false" customHeight="false" outlineLevel="0" collapsed="false">
      <c r="A2870" s="60"/>
      <c r="B2870" s="61" t="str">
        <f aca="false">IF($M2870=0,"",INDEX(Classes!$E$6:$E$420,$M2870))</f>
        <v/>
      </c>
      <c r="C2870" s="62" t="str">
        <f aca="false">IF($M2870=0,"",INDEX(Classes!$H$6:$H$420,$M2870))</f>
        <v/>
      </c>
      <c r="D2870" s="61" t="str">
        <f aca="false">IF($M2870=0,"",INDEX(Classes!$B$6:$B$420,$M2870))</f>
        <v/>
      </c>
      <c r="E2870" s="61" t="str">
        <f aca="false">IF($M2870=0,"",INDEX(Classes!$C$6:$C$420,$M2870))</f>
        <v/>
      </c>
      <c r="F2870" s="63"/>
      <c r="G2870" s="63"/>
      <c r="H2870" s="60"/>
      <c r="I2870" s="60"/>
      <c r="J2870" s="63"/>
      <c r="K2870" s="61" t="str">
        <f aca="false">IF($P2870=0,"",IF($F2870="Baseline","— Baseline",IF($O2870=0,"No result",IF($N2870=0,"No Start (attainment only)",IF(OR($N2870=1,$O2870=1),"U – needs rule",INDEX(MxBody,MATCH($I2870,MxCurr,0),MATCH($H2870,MxStart,0)))))))</f>
        <v/>
      </c>
      <c r="L2870" s="62" t="str">
        <f aca="false">IF(COUNTA($A2870,$F2870,$G2870,$H2870,$I2870,$J2870)=0,"",IF($M2870=0,"✖ كود الصف غير موجود",IF(ISNA(MATCH($F2870,Lists!$A$2:$A$5,0)),"✖ الفترة غير صحيحة",IF(ISNA(MATCH($G2870,Lists!$B$2:$B$7,0)),"✖ المجموعة غير صحيحة",IF(NOT(OR($H2870="",$N2870&gt;0)),"✖ Start غير صحيح",IF(NOT(OR($I2870="",$I2870="NR",$O2870&gt;0)),"✖ Current غير صحيح",IF(NOT(IF(ISNUMBER($J2870),AND($J2870&gt;=0,$J2870=INT($J2870)),FALSE())),"✖ العدد يجب أن يكون صحيحًا ≥ 0",IF(AND($F2870="Baseline",$H2870&lt;&gt;""),"⚠ Baseline: Start لا يدخل في التقدم",IF($K2870="No Start (attainment only)","ℹ تحصيل فقط (بدون Start)",IF($K2870="U – needs rule","ℹ حالة U تحتاج قاعدة معتمدة",IF($K2870="No result","ℹ بدون نتيجة (يُستبعد من التحصيل)","OK")))))))))))</f>
        <v/>
      </c>
      <c r="M2870" s="64" t="n">
        <f aca="false">IF($A2870="",0,IFERROR(MATCH($A2870,Classes!$A$6:$A$420,0),0))</f>
        <v>0</v>
      </c>
      <c r="N2870" s="64" t="n">
        <f aca="false">IF($H2870="",0,IFERROR(MATCH($H2870,GradeList,0),0))</f>
        <v>0</v>
      </c>
      <c r="O2870" s="64" t="n">
        <f aca="false">IF(OR($I2870="",$I2870="NR"),0,IFERROR(MATCH($I2870,GradeList,0),0))</f>
        <v>0</v>
      </c>
      <c r="P2870" s="64" t="n">
        <f aca="false">IF(AND($M2870&gt;0,ISNUMBER(MATCH($F2870,Lists!$A$2:$A$5,0)),ISNUMBER(MATCH($G2870,Lists!$B$2:$B$7,0)),OR($H2870="",$N2870&gt;0),OR($I2870="",$I2870="NR",$O2870&gt;0),IF(ISNUMBER($J2870),AND($J2870&gt;=0,$J2870=INT($J2870)),FALSE())),$J2870,0)</f>
        <v>0</v>
      </c>
      <c r="Q2870" s="64" t="n">
        <f aca="false">IF(AND($P2870&gt;0,$O2870&gt;0),$P2870,0)</f>
        <v>0</v>
      </c>
      <c r="R2870" s="64" t="n">
        <f aca="false">IF(AND($Q2870&gt;0,$O2870&gt;=AtRank),$Q2870,0)</f>
        <v>0</v>
      </c>
      <c r="S2870" s="64" t="n">
        <f aca="false">IF(AND($Q2870&gt;0,$O2870&gt;=AboveRank),$Q2870,0)</f>
        <v>0</v>
      </c>
      <c r="T2870" s="64" t="n">
        <f aca="false">IF($K2870="Less",$P2870,0)</f>
        <v>0</v>
      </c>
      <c r="U2870" s="64" t="n">
        <f aca="false">IF($K2870="Expected",$P2870,0)</f>
        <v>0</v>
      </c>
      <c r="V2870" s="64" t="n">
        <f aca="false">IF($K2870="Better",$P2870,0)</f>
        <v>0</v>
      </c>
      <c r="W2870" s="64" t="n">
        <f aca="false">IF($K2870="U – needs rule",$P2870,0)</f>
        <v>0</v>
      </c>
      <c r="X2870" s="64" t="n">
        <f aca="false">IF($K2870="No Start (attainment only)",$P2870,0)</f>
        <v>0</v>
      </c>
    </row>
    <row r="2871" customFormat="false" ht="15" hidden="false" customHeight="false" outlineLevel="0" collapsed="false">
      <c r="A2871" s="60"/>
      <c r="B2871" s="61" t="str">
        <f aca="false">IF($M2871=0,"",INDEX(Classes!$E$6:$E$420,$M2871))</f>
        <v/>
      </c>
      <c r="C2871" s="62" t="str">
        <f aca="false">IF($M2871=0,"",INDEX(Classes!$H$6:$H$420,$M2871))</f>
        <v/>
      </c>
      <c r="D2871" s="61" t="str">
        <f aca="false">IF($M2871=0,"",INDEX(Classes!$B$6:$B$420,$M2871))</f>
        <v/>
      </c>
      <c r="E2871" s="61" t="str">
        <f aca="false">IF($M2871=0,"",INDEX(Classes!$C$6:$C$420,$M2871))</f>
        <v/>
      </c>
      <c r="F2871" s="63"/>
      <c r="G2871" s="63"/>
      <c r="H2871" s="60"/>
      <c r="I2871" s="60"/>
      <c r="J2871" s="63"/>
      <c r="K2871" s="61" t="str">
        <f aca="false">IF($P2871=0,"",IF($F2871="Baseline","— Baseline",IF($O2871=0,"No result",IF($N2871=0,"No Start (attainment only)",IF(OR($N2871=1,$O2871=1),"U – needs rule",INDEX(MxBody,MATCH($I2871,MxCurr,0),MATCH($H2871,MxStart,0)))))))</f>
        <v/>
      </c>
      <c r="L2871" s="62" t="str">
        <f aca="false">IF(COUNTA($A2871,$F2871,$G2871,$H2871,$I2871,$J2871)=0,"",IF($M2871=0,"✖ كود الصف غير موجود",IF(ISNA(MATCH($F2871,Lists!$A$2:$A$5,0)),"✖ الفترة غير صحيحة",IF(ISNA(MATCH($G2871,Lists!$B$2:$B$7,0)),"✖ المجموعة غير صحيحة",IF(NOT(OR($H2871="",$N2871&gt;0)),"✖ Start غير صحيح",IF(NOT(OR($I2871="",$I2871="NR",$O2871&gt;0)),"✖ Current غير صحيح",IF(NOT(IF(ISNUMBER($J2871),AND($J2871&gt;=0,$J2871=INT($J2871)),FALSE())),"✖ العدد يجب أن يكون صحيحًا ≥ 0",IF(AND($F2871="Baseline",$H2871&lt;&gt;""),"⚠ Baseline: Start لا يدخل في التقدم",IF($K2871="No Start (attainment only)","ℹ تحصيل فقط (بدون Start)",IF($K2871="U – needs rule","ℹ حالة U تحتاج قاعدة معتمدة",IF($K2871="No result","ℹ بدون نتيجة (يُستبعد من التحصيل)","OK")))))))))))</f>
        <v/>
      </c>
      <c r="M2871" s="64" t="n">
        <f aca="false">IF($A2871="",0,IFERROR(MATCH($A2871,Classes!$A$6:$A$420,0),0))</f>
        <v>0</v>
      </c>
      <c r="N2871" s="64" t="n">
        <f aca="false">IF($H2871="",0,IFERROR(MATCH($H2871,GradeList,0),0))</f>
        <v>0</v>
      </c>
      <c r="O2871" s="64" t="n">
        <f aca="false">IF(OR($I2871="",$I2871="NR"),0,IFERROR(MATCH($I2871,GradeList,0),0))</f>
        <v>0</v>
      </c>
      <c r="P2871" s="64" t="n">
        <f aca="false">IF(AND($M2871&gt;0,ISNUMBER(MATCH($F2871,Lists!$A$2:$A$5,0)),ISNUMBER(MATCH($G2871,Lists!$B$2:$B$7,0)),OR($H2871="",$N2871&gt;0),OR($I2871="",$I2871="NR",$O2871&gt;0),IF(ISNUMBER($J2871),AND($J2871&gt;=0,$J2871=INT($J2871)),FALSE())),$J2871,0)</f>
        <v>0</v>
      </c>
      <c r="Q2871" s="64" t="n">
        <f aca="false">IF(AND($P2871&gt;0,$O2871&gt;0),$P2871,0)</f>
        <v>0</v>
      </c>
      <c r="R2871" s="64" t="n">
        <f aca="false">IF(AND($Q2871&gt;0,$O2871&gt;=AtRank),$Q2871,0)</f>
        <v>0</v>
      </c>
      <c r="S2871" s="64" t="n">
        <f aca="false">IF(AND($Q2871&gt;0,$O2871&gt;=AboveRank),$Q2871,0)</f>
        <v>0</v>
      </c>
      <c r="T2871" s="64" t="n">
        <f aca="false">IF($K2871="Less",$P2871,0)</f>
        <v>0</v>
      </c>
      <c r="U2871" s="64" t="n">
        <f aca="false">IF($K2871="Expected",$P2871,0)</f>
        <v>0</v>
      </c>
      <c r="V2871" s="64" t="n">
        <f aca="false">IF($K2871="Better",$P2871,0)</f>
        <v>0</v>
      </c>
      <c r="W2871" s="64" t="n">
        <f aca="false">IF($K2871="U – needs rule",$P2871,0)</f>
        <v>0</v>
      </c>
      <c r="X2871" s="64" t="n">
        <f aca="false">IF($K2871="No Start (attainment only)",$P2871,0)</f>
        <v>0</v>
      </c>
    </row>
    <row r="2872" customFormat="false" ht="15" hidden="false" customHeight="false" outlineLevel="0" collapsed="false">
      <c r="A2872" s="60"/>
      <c r="B2872" s="61" t="str">
        <f aca="false">IF($M2872=0,"",INDEX(Classes!$E$6:$E$420,$M2872))</f>
        <v/>
      </c>
      <c r="C2872" s="62" t="str">
        <f aca="false">IF($M2872=0,"",INDEX(Classes!$H$6:$H$420,$M2872))</f>
        <v/>
      </c>
      <c r="D2872" s="61" t="str">
        <f aca="false">IF($M2872=0,"",INDEX(Classes!$B$6:$B$420,$M2872))</f>
        <v/>
      </c>
      <c r="E2872" s="61" t="str">
        <f aca="false">IF($M2872=0,"",INDEX(Classes!$C$6:$C$420,$M2872))</f>
        <v/>
      </c>
      <c r="F2872" s="63"/>
      <c r="G2872" s="63"/>
      <c r="H2872" s="60"/>
      <c r="I2872" s="60"/>
      <c r="J2872" s="63"/>
      <c r="K2872" s="61" t="str">
        <f aca="false">IF($P2872=0,"",IF($F2872="Baseline","— Baseline",IF($O2872=0,"No result",IF($N2872=0,"No Start (attainment only)",IF(OR($N2872=1,$O2872=1),"U – needs rule",INDEX(MxBody,MATCH($I2872,MxCurr,0),MATCH($H2872,MxStart,0)))))))</f>
        <v/>
      </c>
      <c r="L2872" s="62" t="str">
        <f aca="false">IF(COUNTA($A2872,$F2872,$G2872,$H2872,$I2872,$J2872)=0,"",IF($M2872=0,"✖ كود الصف غير موجود",IF(ISNA(MATCH($F2872,Lists!$A$2:$A$5,0)),"✖ الفترة غير صحيحة",IF(ISNA(MATCH($G2872,Lists!$B$2:$B$7,0)),"✖ المجموعة غير صحيحة",IF(NOT(OR($H2872="",$N2872&gt;0)),"✖ Start غير صحيح",IF(NOT(OR($I2872="",$I2872="NR",$O2872&gt;0)),"✖ Current غير صحيح",IF(NOT(IF(ISNUMBER($J2872),AND($J2872&gt;=0,$J2872=INT($J2872)),FALSE())),"✖ العدد يجب أن يكون صحيحًا ≥ 0",IF(AND($F2872="Baseline",$H2872&lt;&gt;""),"⚠ Baseline: Start لا يدخل في التقدم",IF($K2872="No Start (attainment only)","ℹ تحصيل فقط (بدون Start)",IF($K2872="U – needs rule","ℹ حالة U تحتاج قاعدة معتمدة",IF($K2872="No result","ℹ بدون نتيجة (يُستبعد من التحصيل)","OK")))))))))))</f>
        <v/>
      </c>
      <c r="M2872" s="64" t="n">
        <f aca="false">IF($A2872="",0,IFERROR(MATCH($A2872,Classes!$A$6:$A$420,0),0))</f>
        <v>0</v>
      </c>
      <c r="N2872" s="64" t="n">
        <f aca="false">IF($H2872="",0,IFERROR(MATCH($H2872,GradeList,0),0))</f>
        <v>0</v>
      </c>
      <c r="O2872" s="64" t="n">
        <f aca="false">IF(OR($I2872="",$I2872="NR"),0,IFERROR(MATCH($I2872,GradeList,0),0))</f>
        <v>0</v>
      </c>
      <c r="P2872" s="64" t="n">
        <f aca="false">IF(AND($M2872&gt;0,ISNUMBER(MATCH($F2872,Lists!$A$2:$A$5,0)),ISNUMBER(MATCH($G2872,Lists!$B$2:$B$7,0)),OR($H2872="",$N2872&gt;0),OR($I2872="",$I2872="NR",$O2872&gt;0),IF(ISNUMBER($J2872),AND($J2872&gt;=0,$J2872=INT($J2872)),FALSE())),$J2872,0)</f>
        <v>0</v>
      </c>
      <c r="Q2872" s="64" t="n">
        <f aca="false">IF(AND($P2872&gt;0,$O2872&gt;0),$P2872,0)</f>
        <v>0</v>
      </c>
      <c r="R2872" s="64" t="n">
        <f aca="false">IF(AND($Q2872&gt;0,$O2872&gt;=AtRank),$Q2872,0)</f>
        <v>0</v>
      </c>
      <c r="S2872" s="64" t="n">
        <f aca="false">IF(AND($Q2872&gt;0,$O2872&gt;=AboveRank),$Q2872,0)</f>
        <v>0</v>
      </c>
      <c r="T2872" s="64" t="n">
        <f aca="false">IF($K2872="Less",$P2872,0)</f>
        <v>0</v>
      </c>
      <c r="U2872" s="64" t="n">
        <f aca="false">IF($K2872="Expected",$P2872,0)</f>
        <v>0</v>
      </c>
      <c r="V2872" s="64" t="n">
        <f aca="false">IF($K2872="Better",$P2872,0)</f>
        <v>0</v>
      </c>
      <c r="W2872" s="64" t="n">
        <f aca="false">IF($K2872="U – needs rule",$P2872,0)</f>
        <v>0</v>
      </c>
      <c r="X2872" s="64" t="n">
        <f aca="false">IF($K2872="No Start (attainment only)",$P2872,0)</f>
        <v>0</v>
      </c>
    </row>
    <row r="2873" customFormat="false" ht="15" hidden="false" customHeight="false" outlineLevel="0" collapsed="false">
      <c r="A2873" s="60"/>
      <c r="B2873" s="61" t="str">
        <f aca="false">IF($M2873=0,"",INDEX(Classes!$E$6:$E$420,$M2873))</f>
        <v/>
      </c>
      <c r="C2873" s="62" t="str">
        <f aca="false">IF($M2873=0,"",INDEX(Classes!$H$6:$H$420,$M2873))</f>
        <v/>
      </c>
      <c r="D2873" s="61" t="str">
        <f aca="false">IF($M2873=0,"",INDEX(Classes!$B$6:$B$420,$M2873))</f>
        <v/>
      </c>
      <c r="E2873" s="61" t="str">
        <f aca="false">IF($M2873=0,"",INDEX(Classes!$C$6:$C$420,$M2873))</f>
        <v/>
      </c>
      <c r="F2873" s="63"/>
      <c r="G2873" s="63"/>
      <c r="H2873" s="60"/>
      <c r="I2873" s="60"/>
      <c r="J2873" s="63"/>
      <c r="K2873" s="61" t="str">
        <f aca="false">IF($P2873=0,"",IF($F2873="Baseline","— Baseline",IF($O2873=0,"No result",IF($N2873=0,"No Start (attainment only)",IF(OR($N2873=1,$O2873=1),"U – needs rule",INDEX(MxBody,MATCH($I2873,MxCurr,0),MATCH($H2873,MxStart,0)))))))</f>
        <v/>
      </c>
      <c r="L2873" s="62" t="str">
        <f aca="false">IF(COUNTA($A2873,$F2873,$G2873,$H2873,$I2873,$J2873)=0,"",IF($M2873=0,"✖ كود الصف غير موجود",IF(ISNA(MATCH($F2873,Lists!$A$2:$A$5,0)),"✖ الفترة غير صحيحة",IF(ISNA(MATCH($G2873,Lists!$B$2:$B$7,0)),"✖ المجموعة غير صحيحة",IF(NOT(OR($H2873="",$N2873&gt;0)),"✖ Start غير صحيح",IF(NOT(OR($I2873="",$I2873="NR",$O2873&gt;0)),"✖ Current غير صحيح",IF(NOT(IF(ISNUMBER($J2873),AND($J2873&gt;=0,$J2873=INT($J2873)),FALSE())),"✖ العدد يجب أن يكون صحيحًا ≥ 0",IF(AND($F2873="Baseline",$H2873&lt;&gt;""),"⚠ Baseline: Start لا يدخل في التقدم",IF($K2873="No Start (attainment only)","ℹ تحصيل فقط (بدون Start)",IF($K2873="U – needs rule","ℹ حالة U تحتاج قاعدة معتمدة",IF($K2873="No result","ℹ بدون نتيجة (يُستبعد من التحصيل)","OK")))))))))))</f>
        <v/>
      </c>
      <c r="M2873" s="64" t="n">
        <f aca="false">IF($A2873="",0,IFERROR(MATCH($A2873,Classes!$A$6:$A$420,0),0))</f>
        <v>0</v>
      </c>
      <c r="N2873" s="64" t="n">
        <f aca="false">IF($H2873="",0,IFERROR(MATCH($H2873,GradeList,0),0))</f>
        <v>0</v>
      </c>
      <c r="O2873" s="64" t="n">
        <f aca="false">IF(OR($I2873="",$I2873="NR"),0,IFERROR(MATCH($I2873,GradeList,0),0))</f>
        <v>0</v>
      </c>
      <c r="P2873" s="64" t="n">
        <f aca="false">IF(AND($M2873&gt;0,ISNUMBER(MATCH($F2873,Lists!$A$2:$A$5,0)),ISNUMBER(MATCH($G2873,Lists!$B$2:$B$7,0)),OR($H2873="",$N2873&gt;0),OR($I2873="",$I2873="NR",$O2873&gt;0),IF(ISNUMBER($J2873),AND($J2873&gt;=0,$J2873=INT($J2873)),FALSE())),$J2873,0)</f>
        <v>0</v>
      </c>
      <c r="Q2873" s="64" t="n">
        <f aca="false">IF(AND($P2873&gt;0,$O2873&gt;0),$P2873,0)</f>
        <v>0</v>
      </c>
      <c r="R2873" s="64" t="n">
        <f aca="false">IF(AND($Q2873&gt;0,$O2873&gt;=AtRank),$Q2873,0)</f>
        <v>0</v>
      </c>
      <c r="S2873" s="64" t="n">
        <f aca="false">IF(AND($Q2873&gt;0,$O2873&gt;=AboveRank),$Q2873,0)</f>
        <v>0</v>
      </c>
      <c r="T2873" s="64" t="n">
        <f aca="false">IF($K2873="Less",$P2873,0)</f>
        <v>0</v>
      </c>
      <c r="U2873" s="64" t="n">
        <f aca="false">IF($K2873="Expected",$P2873,0)</f>
        <v>0</v>
      </c>
      <c r="V2873" s="64" t="n">
        <f aca="false">IF($K2873="Better",$P2873,0)</f>
        <v>0</v>
      </c>
      <c r="W2873" s="64" t="n">
        <f aca="false">IF($K2873="U – needs rule",$P2873,0)</f>
        <v>0</v>
      </c>
      <c r="X2873" s="64" t="n">
        <f aca="false">IF($K2873="No Start (attainment only)",$P2873,0)</f>
        <v>0</v>
      </c>
    </row>
    <row r="2874" customFormat="false" ht="15" hidden="false" customHeight="false" outlineLevel="0" collapsed="false">
      <c r="A2874" s="60"/>
      <c r="B2874" s="61" t="str">
        <f aca="false">IF($M2874=0,"",INDEX(Classes!$E$6:$E$420,$M2874))</f>
        <v/>
      </c>
      <c r="C2874" s="62" t="str">
        <f aca="false">IF($M2874=0,"",INDEX(Classes!$H$6:$H$420,$M2874))</f>
        <v/>
      </c>
      <c r="D2874" s="61" t="str">
        <f aca="false">IF($M2874=0,"",INDEX(Classes!$B$6:$B$420,$M2874))</f>
        <v/>
      </c>
      <c r="E2874" s="61" t="str">
        <f aca="false">IF($M2874=0,"",INDEX(Classes!$C$6:$C$420,$M2874))</f>
        <v/>
      </c>
      <c r="F2874" s="63"/>
      <c r="G2874" s="63"/>
      <c r="H2874" s="60"/>
      <c r="I2874" s="60"/>
      <c r="J2874" s="63"/>
      <c r="K2874" s="61" t="str">
        <f aca="false">IF($P2874=0,"",IF($F2874="Baseline","— Baseline",IF($O2874=0,"No result",IF($N2874=0,"No Start (attainment only)",IF(OR($N2874=1,$O2874=1),"U – needs rule",INDEX(MxBody,MATCH($I2874,MxCurr,0),MATCH($H2874,MxStart,0)))))))</f>
        <v/>
      </c>
      <c r="L2874" s="62" t="str">
        <f aca="false">IF(COUNTA($A2874,$F2874,$G2874,$H2874,$I2874,$J2874)=0,"",IF($M2874=0,"✖ كود الصف غير موجود",IF(ISNA(MATCH($F2874,Lists!$A$2:$A$5,0)),"✖ الفترة غير صحيحة",IF(ISNA(MATCH($G2874,Lists!$B$2:$B$7,0)),"✖ المجموعة غير صحيحة",IF(NOT(OR($H2874="",$N2874&gt;0)),"✖ Start غير صحيح",IF(NOT(OR($I2874="",$I2874="NR",$O2874&gt;0)),"✖ Current غير صحيح",IF(NOT(IF(ISNUMBER($J2874),AND($J2874&gt;=0,$J2874=INT($J2874)),FALSE())),"✖ العدد يجب أن يكون صحيحًا ≥ 0",IF(AND($F2874="Baseline",$H2874&lt;&gt;""),"⚠ Baseline: Start لا يدخل في التقدم",IF($K2874="No Start (attainment only)","ℹ تحصيل فقط (بدون Start)",IF($K2874="U – needs rule","ℹ حالة U تحتاج قاعدة معتمدة",IF($K2874="No result","ℹ بدون نتيجة (يُستبعد من التحصيل)","OK")))))))))))</f>
        <v/>
      </c>
      <c r="M2874" s="64" t="n">
        <f aca="false">IF($A2874="",0,IFERROR(MATCH($A2874,Classes!$A$6:$A$420,0),0))</f>
        <v>0</v>
      </c>
      <c r="N2874" s="64" t="n">
        <f aca="false">IF($H2874="",0,IFERROR(MATCH($H2874,GradeList,0),0))</f>
        <v>0</v>
      </c>
      <c r="O2874" s="64" t="n">
        <f aca="false">IF(OR($I2874="",$I2874="NR"),0,IFERROR(MATCH($I2874,GradeList,0),0))</f>
        <v>0</v>
      </c>
      <c r="P2874" s="64" t="n">
        <f aca="false">IF(AND($M2874&gt;0,ISNUMBER(MATCH($F2874,Lists!$A$2:$A$5,0)),ISNUMBER(MATCH($G2874,Lists!$B$2:$B$7,0)),OR($H2874="",$N2874&gt;0),OR($I2874="",$I2874="NR",$O2874&gt;0),IF(ISNUMBER($J2874),AND($J2874&gt;=0,$J2874=INT($J2874)),FALSE())),$J2874,0)</f>
        <v>0</v>
      </c>
      <c r="Q2874" s="64" t="n">
        <f aca="false">IF(AND($P2874&gt;0,$O2874&gt;0),$P2874,0)</f>
        <v>0</v>
      </c>
      <c r="R2874" s="64" t="n">
        <f aca="false">IF(AND($Q2874&gt;0,$O2874&gt;=AtRank),$Q2874,0)</f>
        <v>0</v>
      </c>
      <c r="S2874" s="64" t="n">
        <f aca="false">IF(AND($Q2874&gt;0,$O2874&gt;=AboveRank),$Q2874,0)</f>
        <v>0</v>
      </c>
      <c r="T2874" s="64" t="n">
        <f aca="false">IF($K2874="Less",$P2874,0)</f>
        <v>0</v>
      </c>
      <c r="U2874" s="64" t="n">
        <f aca="false">IF($K2874="Expected",$P2874,0)</f>
        <v>0</v>
      </c>
      <c r="V2874" s="64" t="n">
        <f aca="false">IF($K2874="Better",$P2874,0)</f>
        <v>0</v>
      </c>
      <c r="W2874" s="64" t="n">
        <f aca="false">IF($K2874="U – needs rule",$P2874,0)</f>
        <v>0</v>
      </c>
      <c r="X2874" s="64" t="n">
        <f aca="false">IF($K2874="No Start (attainment only)",$P2874,0)</f>
        <v>0</v>
      </c>
    </row>
    <row r="2875" customFormat="false" ht="15" hidden="false" customHeight="false" outlineLevel="0" collapsed="false">
      <c r="A2875" s="60"/>
      <c r="B2875" s="61" t="str">
        <f aca="false">IF($M2875=0,"",INDEX(Classes!$E$6:$E$420,$M2875))</f>
        <v/>
      </c>
      <c r="C2875" s="62" t="str">
        <f aca="false">IF($M2875=0,"",INDEX(Classes!$H$6:$H$420,$M2875))</f>
        <v/>
      </c>
      <c r="D2875" s="61" t="str">
        <f aca="false">IF($M2875=0,"",INDEX(Classes!$B$6:$B$420,$M2875))</f>
        <v/>
      </c>
      <c r="E2875" s="61" t="str">
        <f aca="false">IF($M2875=0,"",INDEX(Classes!$C$6:$C$420,$M2875))</f>
        <v/>
      </c>
      <c r="F2875" s="63"/>
      <c r="G2875" s="63"/>
      <c r="H2875" s="60"/>
      <c r="I2875" s="60"/>
      <c r="J2875" s="63"/>
      <c r="K2875" s="61" t="str">
        <f aca="false">IF($P2875=0,"",IF($F2875="Baseline","— Baseline",IF($O2875=0,"No result",IF($N2875=0,"No Start (attainment only)",IF(OR($N2875=1,$O2875=1),"U – needs rule",INDEX(MxBody,MATCH($I2875,MxCurr,0),MATCH($H2875,MxStart,0)))))))</f>
        <v/>
      </c>
      <c r="L2875" s="62" t="str">
        <f aca="false">IF(COUNTA($A2875,$F2875,$G2875,$H2875,$I2875,$J2875)=0,"",IF($M2875=0,"✖ كود الصف غير موجود",IF(ISNA(MATCH($F2875,Lists!$A$2:$A$5,0)),"✖ الفترة غير صحيحة",IF(ISNA(MATCH($G2875,Lists!$B$2:$B$7,0)),"✖ المجموعة غير صحيحة",IF(NOT(OR($H2875="",$N2875&gt;0)),"✖ Start غير صحيح",IF(NOT(OR($I2875="",$I2875="NR",$O2875&gt;0)),"✖ Current غير صحيح",IF(NOT(IF(ISNUMBER($J2875),AND($J2875&gt;=0,$J2875=INT($J2875)),FALSE())),"✖ العدد يجب أن يكون صحيحًا ≥ 0",IF(AND($F2875="Baseline",$H2875&lt;&gt;""),"⚠ Baseline: Start لا يدخل في التقدم",IF($K2875="No Start (attainment only)","ℹ تحصيل فقط (بدون Start)",IF($K2875="U – needs rule","ℹ حالة U تحتاج قاعدة معتمدة",IF($K2875="No result","ℹ بدون نتيجة (يُستبعد من التحصيل)","OK")))))))))))</f>
        <v/>
      </c>
      <c r="M2875" s="64" t="n">
        <f aca="false">IF($A2875="",0,IFERROR(MATCH($A2875,Classes!$A$6:$A$420,0),0))</f>
        <v>0</v>
      </c>
      <c r="N2875" s="64" t="n">
        <f aca="false">IF($H2875="",0,IFERROR(MATCH($H2875,GradeList,0),0))</f>
        <v>0</v>
      </c>
      <c r="O2875" s="64" t="n">
        <f aca="false">IF(OR($I2875="",$I2875="NR"),0,IFERROR(MATCH($I2875,GradeList,0),0))</f>
        <v>0</v>
      </c>
      <c r="P2875" s="64" t="n">
        <f aca="false">IF(AND($M2875&gt;0,ISNUMBER(MATCH($F2875,Lists!$A$2:$A$5,0)),ISNUMBER(MATCH($G2875,Lists!$B$2:$B$7,0)),OR($H2875="",$N2875&gt;0),OR($I2875="",$I2875="NR",$O2875&gt;0),IF(ISNUMBER($J2875),AND($J2875&gt;=0,$J2875=INT($J2875)),FALSE())),$J2875,0)</f>
        <v>0</v>
      </c>
      <c r="Q2875" s="64" t="n">
        <f aca="false">IF(AND($P2875&gt;0,$O2875&gt;0),$P2875,0)</f>
        <v>0</v>
      </c>
      <c r="R2875" s="64" t="n">
        <f aca="false">IF(AND($Q2875&gt;0,$O2875&gt;=AtRank),$Q2875,0)</f>
        <v>0</v>
      </c>
      <c r="S2875" s="64" t="n">
        <f aca="false">IF(AND($Q2875&gt;0,$O2875&gt;=AboveRank),$Q2875,0)</f>
        <v>0</v>
      </c>
      <c r="T2875" s="64" t="n">
        <f aca="false">IF($K2875="Less",$P2875,0)</f>
        <v>0</v>
      </c>
      <c r="U2875" s="64" t="n">
        <f aca="false">IF($K2875="Expected",$P2875,0)</f>
        <v>0</v>
      </c>
      <c r="V2875" s="64" t="n">
        <f aca="false">IF($K2875="Better",$P2875,0)</f>
        <v>0</v>
      </c>
      <c r="W2875" s="64" t="n">
        <f aca="false">IF($K2875="U – needs rule",$P2875,0)</f>
        <v>0</v>
      </c>
      <c r="X2875" s="64" t="n">
        <f aca="false">IF($K2875="No Start (attainment only)",$P2875,0)</f>
        <v>0</v>
      </c>
    </row>
    <row r="2876" customFormat="false" ht="15" hidden="false" customHeight="false" outlineLevel="0" collapsed="false">
      <c r="A2876" s="60"/>
      <c r="B2876" s="61" t="str">
        <f aca="false">IF($M2876=0,"",INDEX(Classes!$E$6:$E$420,$M2876))</f>
        <v/>
      </c>
      <c r="C2876" s="62" t="str">
        <f aca="false">IF($M2876=0,"",INDEX(Classes!$H$6:$H$420,$M2876))</f>
        <v/>
      </c>
      <c r="D2876" s="61" t="str">
        <f aca="false">IF($M2876=0,"",INDEX(Classes!$B$6:$B$420,$M2876))</f>
        <v/>
      </c>
      <c r="E2876" s="61" t="str">
        <f aca="false">IF($M2876=0,"",INDEX(Classes!$C$6:$C$420,$M2876))</f>
        <v/>
      </c>
      <c r="F2876" s="63"/>
      <c r="G2876" s="63"/>
      <c r="H2876" s="60"/>
      <c r="I2876" s="60"/>
      <c r="J2876" s="63"/>
      <c r="K2876" s="61" t="str">
        <f aca="false">IF($P2876=0,"",IF($F2876="Baseline","— Baseline",IF($O2876=0,"No result",IF($N2876=0,"No Start (attainment only)",IF(OR($N2876=1,$O2876=1),"U – needs rule",INDEX(MxBody,MATCH($I2876,MxCurr,0),MATCH($H2876,MxStart,0)))))))</f>
        <v/>
      </c>
      <c r="L2876" s="62" t="str">
        <f aca="false">IF(COUNTA($A2876,$F2876,$G2876,$H2876,$I2876,$J2876)=0,"",IF($M2876=0,"✖ كود الصف غير موجود",IF(ISNA(MATCH($F2876,Lists!$A$2:$A$5,0)),"✖ الفترة غير صحيحة",IF(ISNA(MATCH($G2876,Lists!$B$2:$B$7,0)),"✖ المجموعة غير صحيحة",IF(NOT(OR($H2876="",$N2876&gt;0)),"✖ Start غير صحيح",IF(NOT(OR($I2876="",$I2876="NR",$O2876&gt;0)),"✖ Current غير صحيح",IF(NOT(IF(ISNUMBER($J2876),AND($J2876&gt;=0,$J2876=INT($J2876)),FALSE())),"✖ العدد يجب أن يكون صحيحًا ≥ 0",IF(AND($F2876="Baseline",$H2876&lt;&gt;""),"⚠ Baseline: Start لا يدخل في التقدم",IF($K2876="No Start (attainment only)","ℹ تحصيل فقط (بدون Start)",IF($K2876="U – needs rule","ℹ حالة U تحتاج قاعدة معتمدة",IF($K2876="No result","ℹ بدون نتيجة (يُستبعد من التحصيل)","OK")))))))))))</f>
        <v/>
      </c>
      <c r="M2876" s="64" t="n">
        <f aca="false">IF($A2876="",0,IFERROR(MATCH($A2876,Classes!$A$6:$A$420,0),0))</f>
        <v>0</v>
      </c>
      <c r="N2876" s="64" t="n">
        <f aca="false">IF($H2876="",0,IFERROR(MATCH($H2876,GradeList,0),0))</f>
        <v>0</v>
      </c>
      <c r="O2876" s="64" t="n">
        <f aca="false">IF(OR($I2876="",$I2876="NR"),0,IFERROR(MATCH($I2876,GradeList,0),0))</f>
        <v>0</v>
      </c>
      <c r="P2876" s="64" t="n">
        <f aca="false">IF(AND($M2876&gt;0,ISNUMBER(MATCH($F2876,Lists!$A$2:$A$5,0)),ISNUMBER(MATCH($G2876,Lists!$B$2:$B$7,0)),OR($H2876="",$N2876&gt;0),OR($I2876="",$I2876="NR",$O2876&gt;0),IF(ISNUMBER($J2876),AND($J2876&gt;=0,$J2876=INT($J2876)),FALSE())),$J2876,0)</f>
        <v>0</v>
      </c>
      <c r="Q2876" s="64" t="n">
        <f aca="false">IF(AND($P2876&gt;0,$O2876&gt;0),$P2876,0)</f>
        <v>0</v>
      </c>
      <c r="R2876" s="64" t="n">
        <f aca="false">IF(AND($Q2876&gt;0,$O2876&gt;=AtRank),$Q2876,0)</f>
        <v>0</v>
      </c>
      <c r="S2876" s="64" t="n">
        <f aca="false">IF(AND($Q2876&gt;0,$O2876&gt;=AboveRank),$Q2876,0)</f>
        <v>0</v>
      </c>
      <c r="T2876" s="64" t="n">
        <f aca="false">IF($K2876="Less",$P2876,0)</f>
        <v>0</v>
      </c>
      <c r="U2876" s="64" t="n">
        <f aca="false">IF($K2876="Expected",$P2876,0)</f>
        <v>0</v>
      </c>
      <c r="V2876" s="64" t="n">
        <f aca="false">IF($K2876="Better",$P2876,0)</f>
        <v>0</v>
      </c>
      <c r="W2876" s="64" t="n">
        <f aca="false">IF($K2876="U – needs rule",$P2876,0)</f>
        <v>0</v>
      </c>
      <c r="X2876" s="64" t="n">
        <f aca="false">IF($K2876="No Start (attainment only)",$P2876,0)</f>
        <v>0</v>
      </c>
    </row>
    <row r="2877" customFormat="false" ht="15" hidden="false" customHeight="false" outlineLevel="0" collapsed="false">
      <c r="A2877" s="60"/>
      <c r="B2877" s="61" t="str">
        <f aca="false">IF($M2877=0,"",INDEX(Classes!$E$6:$E$420,$M2877))</f>
        <v/>
      </c>
      <c r="C2877" s="62" t="str">
        <f aca="false">IF($M2877=0,"",INDEX(Classes!$H$6:$H$420,$M2877))</f>
        <v/>
      </c>
      <c r="D2877" s="61" t="str">
        <f aca="false">IF($M2877=0,"",INDEX(Classes!$B$6:$B$420,$M2877))</f>
        <v/>
      </c>
      <c r="E2877" s="61" t="str">
        <f aca="false">IF($M2877=0,"",INDEX(Classes!$C$6:$C$420,$M2877))</f>
        <v/>
      </c>
      <c r="F2877" s="63"/>
      <c r="G2877" s="63"/>
      <c r="H2877" s="60"/>
      <c r="I2877" s="60"/>
      <c r="J2877" s="63"/>
      <c r="K2877" s="61" t="str">
        <f aca="false">IF($P2877=0,"",IF($F2877="Baseline","— Baseline",IF($O2877=0,"No result",IF($N2877=0,"No Start (attainment only)",IF(OR($N2877=1,$O2877=1),"U – needs rule",INDEX(MxBody,MATCH($I2877,MxCurr,0),MATCH($H2877,MxStart,0)))))))</f>
        <v/>
      </c>
      <c r="L2877" s="62" t="str">
        <f aca="false">IF(COUNTA($A2877,$F2877,$G2877,$H2877,$I2877,$J2877)=0,"",IF($M2877=0,"✖ كود الصف غير موجود",IF(ISNA(MATCH($F2877,Lists!$A$2:$A$5,0)),"✖ الفترة غير صحيحة",IF(ISNA(MATCH($G2877,Lists!$B$2:$B$7,0)),"✖ المجموعة غير صحيحة",IF(NOT(OR($H2877="",$N2877&gt;0)),"✖ Start غير صحيح",IF(NOT(OR($I2877="",$I2877="NR",$O2877&gt;0)),"✖ Current غير صحيح",IF(NOT(IF(ISNUMBER($J2877),AND($J2877&gt;=0,$J2877=INT($J2877)),FALSE())),"✖ العدد يجب أن يكون صحيحًا ≥ 0",IF(AND($F2877="Baseline",$H2877&lt;&gt;""),"⚠ Baseline: Start لا يدخل في التقدم",IF($K2877="No Start (attainment only)","ℹ تحصيل فقط (بدون Start)",IF($K2877="U – needs rule","ℹ حالة U تحتاج قاعدة معتمدة",IF($K2877="No result","ℹ بدون نتيجة (يُستبعد من التحصيل)","OK")))))))))))</f>
        <v/>
      </c>
      <c r="M2877" s="64" t="n">
        <f aca="false">IF($A2877="",0,IFERROR(MATCH($A2877,Classes!$A$6:$A$420,0),0))</f>
        <v>0</v>
      </c>
      <c r="N2877" s="64" t="n">
        <f aca="false">IF($H2877="",0,IFERROR(MATCH($H2877,GradeList,0),0))</f>
        <v>0</v>
      </c>
      <c r="O2877" s="64" t="n">
        <f aca="false">IF(OR($I2877="",$I2877="NR"),0,IFERROR(MATCH($I2877,GradeList,0),0))</f>
        <v>0</v>
      </c>
      <c r="P2877" s="64" t="n">
        <f aca="false">IF(AND($M2877&gt;0,ISNUMBER(MATCH($F2877,Lists!$A$2:$A$5,0)),ISNUMBER(MATCH($G2877,Lists!$B$2:$B$7,0)),OR($H2877="",$N2877&gt;0),OR($I2877="",$I2877="NR",$O2877&gt;0),IF(ISNUMBER($J2877),AND($J2877&gt;=0,$J2877=INT($J2877)),FALSE())),$J2877,0)</f>
        <v>0</v>
      </c>
      <c r="Q2877" s="64" t="n">
        <f aca="false">IF(AND($P2877&gt;0,$O2877&gt;0),$P2877,0)</f>
        <v>0</v>
      </c>
      <c r="R2877" s="64" t="n">
        <f aca="false">IF(AND($Q2877&gt;0,$O2877&gt;=AtRank),$Q2877,0)</f>
        <v>0</v>
      </c>
      <c r="S2877" s="64" t="n">
        <f aca="false">IF(AND($Q2877&gt;0,$O2877&gt;=AboveRank),$Q2877,0)</f>
        <v>0</v>
      </c>
      <c r="T2877" s="64" t="n">
        <f aca="false">IF($K2877="Less",$P2877,0)</f>
        <v>0</v>
      </c>
      <c r="U2877" s="64" t="n">
        <f aca="false">IF($K2877="Expected",$P2877,0)</f>
        <v>0</v>
      </c>
      <c r="V2877" s="64" t="n">
        <f aca="false">IF($K2877="Better",$P2877,0)</f>
        <v>0</v>
      </c>
      <c r="W2877" s="64" t="n">
        <f aca="false">IF($K2877="U – needs rule",$P2877,0)</f>
        <v>0</v>
      </c>
      <c r="X2877" s="64" t="n">
        <f aca="false">IF($K2877="No Start (attainment only)",$P2877,0)</f>
        <v>0</v>
      </c>
    </row>
    <row r="2878" customFormat="false" ht="15" hidden="false" customHeight="false" outlineLevel="0" collapsed="false">
      <c r="A2878" s="60"/>
      <c r="B2878" s="61" t="str">
        <f aca="false">IF($M2878=0,"",INDEX(Classes!$E$6:$E$420,$M2878))</f>
        <v/>
      </c>
      <c r="C2878" s="62" t="str">
        <f aca="false">IF($M2878=0,"",INDEX(Classes!$H$6:$H$420,$M2878))</f>
        <v/>
      </c>
      <c r="D2878" s="61" t="str">
        <f aca="false">IF($M2878=0,"",INDEX(Classes!$B$6:$B$420,$M2878))</f>
        <v/>
      </c>
      <c r="E2878" s="61" t="str">
        <f aca="false">IF($M2878=0,"",INDEX(Classes!$C$6:$C$420,$M2878))</f>
        <v/>
      </c>
      <c r="F2878" s="63"/>
      <c r="G2878" s="63"/>
      <c r="H2878" s="60"/>
      <c r="I2878" s="60"/>
      <c r="J2878" s="63"/>
      <c r="K2878" s="61" t="str">
        <f aca="false">IF($P2878=0,"",IF($F2878="Baseline","— Baseline",IF($O2878=0,"No result",IF($N2878=0,"No Start (attainment only)",IF(OR($N2878=1,$O2878=1),"U – needs rule",INDEX(MxBody,MATCH($I2878,MxCurr,0),MATCH($H2878,MxStart,0)))))))</f>
        <v/>
      </c>
      <c r="L2878" s="62" t="str">
        <f aca="false">IF(COUNTA($A2878,$F2878,$G2878,$H2878,$I2878,$J2878)=0,"",IF($M2878=0,"✖ كود الصف غير موجود",IF(ISNA(MATCH($F2878,Lists!$A$2:$A$5,0)),"✖ الفترة غير صحيحة",IF(ISNA(MATCH($G2878,Lists!$B$2:$B$7,0)),"✖ المجموعة غير صحيحة",IF(NOT(OR($H2878="",$N2878&gt;0)),"✖ Start غير صحيح",IF(NOT(OR($I2878="",$I2878="NR",$O2878&gt;0)),"✖ Current غير صحيح",IF(NOT(IF(ISNUMBER($J2878),AND($J2878&gt;=0,$J2878=INT($J2878)),FALSE())),"✖ العدد يجب أن يكون صحيحًا ≥ 0",IF(AND($F2878="Baseline",$H2878&lt;&gt;""),"⚠ Baseline: Start لا يدخل في التقدم",IF($K2878="No Start (attainment only)","ℹ تحصيل فقط (بدون Start)",IF($K2878="U – needs rule","ℹ حالة U تحتاج قاعدة معتمدة",IF($K2878="No result","ℹ بدون نتيجة (يُستبعد من التحصيل)","OK")))))))))))</f>
        <v/>
      </c>
      <c r="M2878" s="64" t="n">
        <f aca="false">IF($A2878="",0,IFERROR(MATCH($A2878,Classes!$A$6:$A$420,0),0))</f>
        <v>0</v>
      </c>
      <c r="N2878" s="64" t="n">
        <f aca="false">IF($H2878="",0,IFERROR(MATCH($H2878,GradeList,0),0))</f>
        <v>0</v>
      </c>
      <c r="O2878" s="64" t="n">
        <f aca="false">IF(OR($I2878="",$I2878="NR"),0,IFERROR(MATCH($I2878,GradeList,0),0))</f>
        <v>0</v>
      </c>
      <c r="P2878" s="64" t="n">
        <f aca="false">IF(AND($M2878&gt;0,ISNUMBER(MATCH($F2878,Lists!$A$2:$A$5,0)),ISNUMBER(MATCH($G2878,Lists!$B$2:$B$7,0)),OR($H2878="",$N2878&gt;0),OR($I2878="",$I2878="NR",$O2878&gt;0),IF(ISNUMBER($J2878),AND($J2878&gt;=0,$J2878=INT($J2878)),FALSE())),$J2878,0)</f>
        <v>0</v>
      </c>
      <c r="Q2878" s="64" t="n">
        <f aca="false">IF(AND($P2878&gt;0,$O2878&gt;0),$P2878,0)</f>
        <v>0</v>
      </c>
      <c r="R2878" s="64" t="n">
        <f aca="false">IF(AND($Q2878&gt;0,$O2878&gt;=AtRank),$Q2878,0)</f>
        <v>0</v>
      </c>
      <c r="S2878" s="64" t="n">
        <f aca="false">IF(AND($Q2878&gt;0,$O2878&gt;=AboveRank),$Q2878,0)</f>
        <v>0</v>
      </c>
      <c r="T2878" s="64" t="n">
        <f aca="false">IF($K2878="Less",$P2878,0)</f>
        <v>0</v>
      </c>
      <c r="U2878" s="64" t="n">
        <f aca="false">IF($K2878="Expected",$P2878,0)</f>
        <v>0</v>
      </c>
      <c r="V2878" s="64" t="n">
        <f aca="false">IF($K2878="Better",$P2878,0)</f>
        <v>0</v>
      </c>
      <c r="W2878" s="64" t="n">
        <f aca="false">IF($K2878="U – needs rule",$P2878,0)</f>
        <v>0</v>
      </c>
      <c r="X2878" s="64" t="n">
        <f aca="false">IF($K2878="No Start (attainment only)",$P2878,0)</f>
        <v>0</v>
      </c>
    </row>
    <row r="2879" customFormat="false" ht="15" hidden="false" customHeight="false" outlineLevel="0" collapsed="false">
      <c r="A2879" s="60"/>
      <c r="B2879" s="61" t="str">
        <f aca="false">IF($M2879=0,"",INDEX(Classes!$E$6:$E$420,$M2879))</f>
        <v/>
      </c>
      <c r="C2879" s="62" t="str">
        <f aca="false">IF($M2879=0,"",INDEX(Classes!$H$6:$H$420,$M2879))</f>
        <v/>
      </c>
      <c r="D2879" s="61" t="str">
        <f aca="false">IF($M2879=0,"",INDEX(Classes!$B$6:$B$420,$M2879))</f>
        <v/>
      </c>
      <c r="E2879" s="61" t="str">
        <f aca="false">IF($M2879=0,"",INDEX(Classes!$C$6:$C$420,$M2879))</f>
        <v/>
      </c>
      <c r="F2879" s="63"/>
      <c r="G2879" s="63"/>
      <c r="H2879" s="60"/>
      <c r="I2879" s="60"/>
      <c r="J2879" s="63"/>
      <c r="K2879" s="61" t="str">
        <f aca="false">IF($P2879=0,"",IF($F2879="Baseline","— Baseline",IF($O2879=0,"No result",IF($N2879=0,"No Start (attainment only)",IF(OR($N2879=1,$O2879=1),"U – needs rule",INDEX(MxBody,MATCH($I2879,MxCurr,0),MATCH($H2879,MxStart,0)))))))</f>
        <v/>
      </c>
      <c r="L2879" s="62" t="str">
        <f aca="false">IF(COUNTA($A2879,$F2879,$G2879,$H2879,$I2879,$J2879)=0,"",IF($M2879=0,"✖ كود الصف غير موجود",IF(ISNA(MATCH($F2879,Lists!$A$2:$A$5,0)),"✖ الفترة غير صحيحة",IF(ISNA(MATCH($G2879,Lists!$B$2:$B$7,0)),"✖ المجموعة غير صحيحة",IF(NOT(OR($H2879="",$N2879&gt;0)),"✖ Start غير صحيح",IF(NOT(OR($I2879="",$I2879="NR",$O2879&gt;0)),"✖ Current غير صحيح",IF(NOT(IF(ISNUMBER($J2879),AND($J2879&gt;=0,$J2879=INT($J2879)),FALSE())),"✖ العدد يجب أن يكون صحيحًا ≥ 0",IF(AND($F2879="Baseline",$H2879&lt;&gt;""),"⚠ Baseline: Start لا يدخل في التقدم",IF($K2879="No Start (attainment only)","ℹ تحصيل فقط (بدون Start)",IF($K2879="U – needs rule","ℹ حالة U تحتاج قاعدة معتمدة",IF($K2879="No result","ℹ بدون نتيجة (يُستبعد من التحصيل)","OK")))))))))))</f>
        <v/>
      </c>
      <c r="M2879" s="64" t="n">
        <f aca="false">IF($A2879="",0,IFERROR(MATCH($A2879,Classes!$A$6:$A$420,0),0))</f>
        <v>0</v>
      </c>
      <c r="N2879" s="64" t="n">
        <f aca="false">IF($H2879="",0,IFERROR(MATCH($H2879,GradeList,0),0))</f>
        <v>0</v>
      </c>
      <c r="O2879" s="64" t="n">
        <f aca="false">IF(OR($I2879="",$I2879="NR"),0,IFERROR(MATCH($I2879,GradeList,0),0))</f>
        <v>0</v>
      </c>
      <c r="P2879" s="64" t="n">
        <f aca="false">IF(AND($M2879&gt;0,ISNUMBER(MATCH($F2879,Lists!$A$2:$A$5,0)),ISNUMBER(MATCH($G2879,Lists!$B$2:$B$7,0)),OR($H2879="",$N2879&gt;0),OR($I2879="",$I2879="NR",$O2879&gt;0),IF(ISNUMBER($J2879),AND($J2879&gt;=0,$J2879=INT($J2879)),FALSE())),$J2879,0)</f>
        <v>0</v>
      </c>
      <c r="Q2879" s="64" t="n">
        <f aca="false">IF(AND($P2879&gt;0,$O2879&gt;0),$P2879,0)</f>
        <v>0</v>
      </c>
      <c r="R2879" s="64" t="n">
        <f aca="false">IF(AND($Q2879&gt;0,$O2879&gt;=AtRank),$Q2879,0)</f>
        <v>0</v>
      </c>
      <c r="S2879" s="64" t="n">
        <f aca="false">IF(AND($Q2879&gt;0,$O2879&gt;=AboveRank),$Q2879,0)</f>
        <v>0</v>
      </c>
      <c r="T2879" s="64" t="n">
        <f aca="false">IF($K2879="Less",$P2879,0)</f>
        <v>0</v>
      </c>
      <c r="U2879" s="64" t="n">
        <f aca="false">IF($K2879="Expected",$P2879,0)</f>
        <v>0</v>
      </c>
      <c r="V2879" s="64" t="n">
        <f aca="false">IF($K2879="Better",$P2879,0)</f>
        <v>0</v>
      </c>
      <c r="W2879" s="64" t="n">
        <f aca="false">IF($K2879="U – needs rule",$P2879,0)</f>
        <v>0</v>
      </c>
      <c r="X2879" s="64" t="n">
        <f aca="false">IF($K2879="No Start (attainment only)",$P2879,0)</f>
        <v>0</v>
      </c>
    </row>
    <row r="2880" customFormat="false" ht="15" hidden="false" customHeight="false" outlineLevel="0" collapsed="false">
      <c r="A2880" s="60"/>
      <c r="B2880" s="61" t="str">
        <f aca="false">IF($M2880=0,"",INDEX(Classes!$E$6:$E$420,$M2880))</f>
        <v/>
      </c>
      <c r="C2880" s="62" t="str">
        <f aca="false">IF($M2880=0,"",INDEX(Classes!$H$6:$H$420,$M2880))</f>
        <v/>
      </c>
      <c r="D2880" s="61" t="str">
        <f aca="false">IF($M2880=0,"",INDEX(Classes!$B$6:$B$420,$M2880))</f>
        <v/>
      </c>
      <c r="E2880" s="61" t="str">
        <f aca="false">IF($M2880=0,"",INDEX(Classes!$C$6:$C$420,$M2880))</f>
        <v/>
      </c>
      <c r="F2880" s="63"/>
      <c r="G2880" s="63"/>
      <c r="H2880" s="60"/>
      <c r="I2880" s="60"/>
      <c r="J2880" s="63"/>
      <c r="K2880" s="61" t="str">
        <f aca="false">IF($P2880=0,"",IF($F2880="Baseline","— Baseline",IF($O2880=0,"No result",IF($N2880=0,"No Start (attainment only)",IF(OR($N2880=1,$O2880=1),"U – needs rule",INDEX(MxBody,MATCH($I2880,MxCurr,0),MATCH($H2880,MxStart,0)))))))</f>
        <v/>
      </c>
      <c r="L2880" s="62" t="str">
        <f aca="false">IF(COUNTA($A2880,$F2880,$G2880,$H2880,$I2880,$J2880)=0,"",IF($M2880=0,"✖ كود الصف غير موجود",IF(ISNA(MATCH($F2880,Lists!$A$2:$A$5,0)),"✖ الفترة غير صحيحة",IF(ISNA(MATCH($G2880,Lists!$B$2:$B$7,0)),"✖ المجموعة غير صحيحة",IF(NOT(OR($H2880="",$N2880&gt;0)),"✖ Start غير صحيح",IF(NOT(OR($I2880="",$I2880="NR",$O2880&gt;0)),"✖ Current غير صحيح",IF(NOT(IF(ISNUMBER($J2880),AND($J2880&gt;=0,$J2880=INT($J2880)),FALSE())),"✖ العدد يجب أن يكون صحيحًا ≥ 0",IF(AND($F2880="Baseline",$H2880&lt;&gt;""),"⚠ Baseline: Start لا يدخل في التقدم",IF($K2880="No Start (attainment only)","ℹ تحصيل فقط (بدون Start)",IF($K2880="U – needs rule","ℹ حالة U تحتاج قاعدة معتمدة",IF($K2880="No result","ℹ بدون نتيجة (يُستبعد من التحصيل)","OK")))))))))))</f>
        <v/>
      </c>
      <c r="M2880" s="64" t="n">
        <f aca="false">IF($A2880="",0,IFERROR(MATCH($A2880,Classes!$A$6:$A$420,0),0))</f>
        <v>0</v>
      </c>
      <c r="N2880" s="64" t="n">
        <f aca="false">IF($H2880="",0,IFERROR(MATCH($H2880,GradeList,0),0))</f>
        <v>0</v>
      </c>
      <c r="O2880" s="64" t="n">
        <f aca="false">IF(OR($I2880="",$I2880="NR"),0,IFERROR(MATCH($I2880,GradeList,0),0))</f>
        <v>0</v>
      </c>
      <c r="P2880" s="64" t="n">
        <f aca="false">IF(AND($M2880&gt;0,ISNUMBER(MATCH($F2880,Lists!$A$2:$A$5,0)),ISNUMBER(MATCH($G2880,Lists!$B$2:$B$7,0)),OR($H2880="",$N2880&gt;0),OR($I2880="",$I2880="NR",$O2880&gt;0),IF(ISNUMBER($J2880),AND($J2880&gt;=0,$J2880=INT($J2880)),FALSE())),$J2880,0)</f>
        <v>0</v>
      </c>
      <c r="Q2880" s="64" t="n">
        <f aca="false">IF(AND($P2880&gt;0,$O2880&gt;0),$P2880,0)</f>
        <v>0</v>
      </c>
      <c r="R2880" s="64" t="n">
        <f aca="false">IF(AND($Q2880&gt;0,$O2880&gt;=AtRank),$Q2880,0)</f>
        <v>0</v>
      </c>
      <c r="S2880" s="64" t="n">
        <f aca="false">IF(AND($Q2880&gt;0,$O2880&gt;=AboveRank),$Q2880,0)</f>
        <v>0</v>
      </c>
      <c r="T2880" s="64" t="n">
        <f aca="false">IF($K2880="Less",$P2880,0)</f>
        <v>0</v>
      </c>
      <c r="U2880" s="64" t="n">
        <f aca="false">IF($K2880="Expected",$P2880,0)</f>
        <v>0</v>
      </c>
      <c r="V2880" s="64" t="n">
        <f aca="false">IF($K2880="Better",$P2880,0)</f>
        <v>0</v>
      </c>
      <c r="W2880" s="64" t="n">
        <f aca="false">IF($K2880="U – needs rule",$P2880,0)</f>
        <v>0</v>
      </c>
      <c r="X2880" s="64" t="n">
        <f aca="false">IF($K2880="No Start (attainment only)",$P2880,0)</f>
        <v>0</v>
      </c>
    </row>
    <row r="2881" customFormat="false" ht="15" hidden="false" customHeight="false" outlineLevel="0" collapsed="false">
      <c r="A2881" s="60"/>
      <c r="B2881" s="61" t="str">
        <f aca="false">IF($M2881=0,"",INDEX(Classes!$E$6:$E$420,$M2881))</f>
        <v/>
      </c>
      <c r="C2881" s="62" t="str">
        <f aca="false">IF($M2881=0,"",INDEX(Classes!$H$6:$H$420,$M2881))</f>
        <v/>
      </c>
      <c r="D2881" s="61" t="str">
        <f aca="false">IF($M2881=0,"",INDEX(Classes!$B$6:$B$420,$M2881))</f>
        <v/>
      </c>
      <c r="E2881" s="61" t="str">
        <f aca="false">IF($M2881=0,"",INDEX(Classes!$C$6:$C$420,$M2881))</f>
        <v/>
      </c>
      <c r="F2881" s="63"/>
      <c r="G2881" s="63"/>
      <c r="H2881" s="60"/>
      <c r="I2881" s="60"/>
      <c r="J2881" s="63"/>
      <c r="K2881" s="61" t="str">
        <f aca="false">IF($P2881=0,"",IF($F2881="Baseline","— Baseline",IF($O2881=0,"No result",IF($N2881=0,"No Start (attainment only)",IF(OR($N2881=1,$O2881=1),"U – needs rule",INDEX(MxBody,MATCH($I2881,MxCurr,0),MATCH($H2881,MxStart,0)))))))</f>
        <v/>
      </c>
      <c r="L2881" s="62" t="str">
        <f aca="false">IF(COUNTA($A2881,$F2881,$G2881,$H2881,$I2881,$J2881)=0,"",IF($M2881=0,"✖ كود الصف غير موجود",IF(ISNA(MATCH($F2881,Lists!$A$2:$A$5,0)),"✖ الفترة غير صحيحة",IF(ISNA(MATCH($G2881,Lists!$B$2:$B$7,0)),"✖ المجموعة غير صحيحة",IF(NOT(OR($H2881="",$N2881&gt;0)),"✖ Start غير صحيح",IF(NOT(OR($I2881="",$I2881="NR",$O2881&gt;0)),"✖ Current غير صحيح",IF(NOT(IF(ISNUMBER($J2881),AND($J2881&gt;=0,$J2881=INT($J2881)),FALSE())),"✖ العدد يجب أن يكون صحيحًا ≥ 0",IF(AND($F2881="Baseline",$H2881&lt;&gt;""),"⚠ Baseline: Start لا يدخل في التقدم",IF($K2881="No Start (attainment only)","ℹ تحصيل فقط (بدون Start)",IF($K2881="U – needs rule","ℹ حالة U تحتاج قاعدة معتمدة",IF($K2881="No result","ℹ بدون نتيجة (يُستبعد من التحصيل)","OK")))))))))))</f>
        <v/>
      </c>
      <c r="M2881" s="64" t="n">
        <f aca="false">IF($A2881="",0,IFERROR(MATCH($A2881,Classes!$A$6:$A$420,0),0))</f>
        <v>0</v>
      </c>
      <c r="N2881" s="64" t="n">
        <f aca="false">IF($H2881="",0,IFERROR(MATCH($H2881,GradeList,0),0))</f>
        <v>0</v>
      </c>
      <c r="O2881" s="64" t="n">
        <f aca="false">IF(OR($I2881="",$I2881="NR"),0,IFERROR(MATCH($I2881,GradeList,0),0))</f>
        <v>0</v>
      </c>
      <c r="P2881" s="64" t="n">
        <f aca="false">IF(AND($M2881&gt;0,ISNUMBER(MATCH($F2881,Lists!$A$2:$A$5,0)),ISNUMBER(MATCH($G2881,Lists!$B$2:$B$7,0)),OR($H2881="",$N2881&gt;0),OR($I2881="",$I2881="NR",$O2881&gt;0),IF(ISNUMBER($J2881),AND($J2881&gt;=0,$J2881=INT($J2881)),FALSE())),$J2881,0)</f>
        <v>0</v>
      </c>
      <c r="Q2881" s="64" t="n">
        <f aca="false">IF(AND($P2881&gt;0,$O2881&gt;0),$P2881,0)</f>
        <v>0</v>
      </c>
      <c r="R2881" s="64" t="n">
        <f aca="false">IF(AND($Q2881&gt;0,$O2881&gt;=AtRank),$Q2881,0)</f>
        <v>0</v>
      </c>
      <c r="S2881" s="64" t="n">
        <f aca="false">IF(AND($Q2881&gt;0,$O2881&gt;=AboveRank),$Q2881,0)</f>
        <v>0</v>
      </c>
      <c r="T2881" s="64" t="n">
        <f aca="false">IF($K2881="Less",$P2881,0)</f>
        <v>0</v>
      </c>
      <c r="U2881" s="64" t="n">
        <f aca="false">IF($K2881="Expected",$P2881,0)</f>
        <v>0</v>
      </c>
      <c r="V2881" s="64" t="n">
        <f aca="false">IF($K2881="Better",$P2881,0)</f>
        <v>0</v>
      </c>
      <c r="W2881" s="64" t="n">
        <f aca="false">IF($K2881="U – needs rule",$P2881,0)</f>
        <v>0</v>
      </c>
      <c r="X2881" s="64" t="n">
        <f aca="false">IF($K2881="No Start (attainment only)",$P2881,0)</f>
        <v>0</v>
      </c>
    </row>
    <row r="2882" customFormat="false" ht="15" hidden="false" customHeight="false" outlineLevel="0" collapsed="false">
      <c r="A2882" s="60"/>
      <c r="B2882" s="61" t="str">
        <f aca="false">IF($M2882=0,"",INDEX(Classes!$E$6:$E$420,$M2882))</f>
        <v/>
      </c>
      <c r="C2882" s="62" t="str">
        <f aca="false">IF($M2882=0,"",INDEX(Classes!$H$6:$H$420,$M2882))</f>
        <v/>
      </c>
      <c r="D2882" s="61" t="str">
        <f aca="false">IF($M2882=0,"",INDEX(Classes!$B$6:$B$420,$M2882))</f>
        <v/>
      </c>
      <c r="E2882" s="61" t="str">
        <f aca="false">IF($M2882=0,"",INDEX(Classes!$C$6:$C$420,$M2882))</f>
        <v/>
      </c>
      <c r="F2882" s="63"/>
      <c r="G2882" s="63"/>
      <c r="H2882" s="60"/>
      <c r="I2882" s="60"/>
      <c r="J2882" s="63"/>
      <c r="K2882" s="61" t="str">
        <f aca="false">IF($P2882=0,"",IF($F2882="Baseline","— Baseline",IF($O2882=0,"No result",IF($N2882=0,"No Start (attainment only)",IF(OR($N2882=1,$O2882=1),"U – needs rule",INDEX(MxBody,MATCH($I2882,MxCurr,0),MATCH($H2882,MxStart,0)))))))</f>
        <v/>
      </c>
      <c r="L2882" s="62" t="str">
        <f aca="false">IF(COUNTA($A2882,$F2882,$G2882,$H2882,$I2882,$J2882)=0,"",IF($M2882=0,"✖ كود الصف غير موجود",IF(ISNA(MATCH($F2882,Lists!$A$2:$A$5,0)),"✖ الفترة غير صحيحة",IF(ISNA(MATCH($G2882,Lists!$B$2:$B$7,0)),"✖ المجموعة غير صحيحة",IF(NOT(OR($H2882="",$N2882&gt;0)),"✖ Start غير صحيح",IF(NOT(OR($I2882="",$I2882="NR",$O2882&gt;0)),"✖ Current غير صحيح",IF(NOT(IF(ISNUMBER($J2882),AND($J2882&gt;=0,$J2882=INT($J2882)),FALSE())),"✖ العدد يجب أن يكون صحيحًا ≥ 0",IF(AND($F2882="Baseline",$H2882&lt;&gt;""),"⚠ Baseline: Start لا يدخل في التقدم",IF($K2882="No Start (attainment only)","ℹ تحصيل فقط (بدون Start)",IF($K2882="U – needs rule","ℹ حالة U تحتاج قاعدة معتمدة",IF($K2882="No result","ℹ بدون نتيجة (يُستبعد من التحصيل)","OK")))))))))))</f>
        <v/>
      </c>
      <c r="M2882" s="64" t="n">
        <f aca="false">IF($A2882="",0,IFERROR(MATCH($A2882,Classes!$A$6:$A$420,0),0))</f>
        <v>0</v>
      </c>
      <c r="N2882" s="64" t="n">
        <f aca="false">IF($H2882="",0,IFERROR(MATCH($H2882,GradeList,0),0))</f>
        <v>0</v>
      </c>
      <c r="O2882" s="64" t="n">
        <f aca="false">IF(OR($I2882="",$I2882="NR"),0,IFERROR(MATCH($I2882,GradeList,0),0))</f>
        <v>0</v>
      </c>
      <c r="P2882" s="64" t="n">
        <f aca="false">IF(AND($M2882&gt;0,ISNUMBER(MATCH($F2882,Lists!$A$2:$A$5,0)),ISNUMBER(MATCH($G2882,Lists!$B$2:$B$7,0)),OR($H2882="",$N2882&gt;0),OR($I2882="",$I2882="NR",$O2882&gt;0),IF(ISNUMBER($J2882),AND($J2882&gt;=0,$J2882=INT($J2882)),FALSE())),$J2882,0)</f>
        <v>0</v>
      </c>
      <c r="Q2882" s="64" t="n">
        <f aca="false">IF(AND($P2882&gt;0,$O2882&gt;0),$P2882,0)</f>
        <v>0</v>
      </c>
      <c r="R2882" s="64" t="n">
        <f aca="false">IF(AND($Q2882&gt;0,$O2882&gt;=AtRank),$Q2882,0)</f>
        <v>0</v>
      </c>
      <c r="S2882" s="64" t="n">
        <f aca="false">IF(AND($Q2882&gt;0,$O2882&gt;=AboveRank),$Q2882,0)</f>
        <v>0</v>
      </c>
      <c r="T2882" s="64" t="n">
        <f aca="false">IF($K2882="Less",$P2882,0)</f>
        <v>0</v>
      </c>
      <c r="U2882" s="64" t="n">
        <f aca="false">IF($K2882="Expected",$P2882,0)</f>
        <v>0</v>
      </c>
      <c r="V2882" s="64" t="n">
        <f aca="false">IF($K2882="Better",$P2882,0)</f>
        <v>0</v>
      </c>
      <c r="W2882" s="64" t="n">
        <f aca="false">IF($K2882="U – needs rule",$P2882,0)</f>
        <v>0</v>
      </c>
      <c r="X2882" s="64" t="n">
        <f aca="false">IF($K2882="No Start (attainment only)",$P2882,0)</f>
        <v>0</v>
      </c>
    </row>
    <row r="2883" customFormat="false" ht="15" hidden="false" customHeight="false" outlineLevel="0" collapsed="false">
      <c r="A2883" s="60"/>
      <c r="B2883" s="61" t="str">
        <f aca="false">IF($M2883=0,"",INDEX(Classes!$E$6:$E$420,$M2883))</f>
        <v/>
      </c>
      <c r="C2883" s="62" t="str">
        <f aca="false">IF($M2883=0,"",INDEX(Classes!$H$6:$H$420,$M2883))</f>
        <v/>
      </c>
      <c r="D2883" s="61" t="str">
        <f aca="false">IF($M2883=0,"",INDEX(Classes!$B$6:$B$420,$M2883))</f>
        <v/>
      </c>
      <c r="E2883" s="61" t="str">
        <f aca="false">IF($M2883=0,"",INDEX(Classes!$C$6:$C$420,$M2883))</f>
        <v/>
      </c>
      <c r="F2883" s="63"/>
      <c r="G2883" s="63"/>
      <c r="H2883" s="60"/>
      <c r="I2883" s="60"/>
      <c r="J2883" s="63"/>
      <c r="K2883" s="61" t="str">
        <f aca="false">IF($P2883=0,"",IF($F2883="Baseline","— Baseline",IF($O2883=0,"No result",IF($N2883=0,"No Start (attainment only)",IF(OR($N2883=1,$O2883=1),"U – needs rule",INDEX(MxBody,MATCH($I2883,MxCurr,0),MATCH($H2883,MxStart,0)))))))</f>
        <v/>
      </c>
      <c r="L2883" s="62" t="str">
        <f aca="false">IF(COUNTA($A2883,$F2883,$G2883,$H2883,$I2883,$J2883)=0,"",IF($M2883=0,"✖ كود الصف غير موجود",IF(ISNA(MATCH($F2883,Lists!$A$2:$A$5,0)),"✖ الفترة غير صحيحة",IF(ISNA(MATCH($G2883,Lists!$B$2:$B$7,0)),"✖ المجموعة غير صحيحة",IF(NOT(OR($H2883="",$N2883&gt;0)),"✖ Start غير صحيح",IF(NOT(OR($I2883="",$I2883="NR",$O2883&gt;0)),"✖ Current غير صحيح",IF(NOT(IF(ISNUMBER($J2883),AND($J2883&gt;=0,$J2883=INT($J2883)),FALSE())),"✖ العدد يجب أن يكون صحيحًا ≥ 0",IF(AND($F2883="Baseline",$H2883&lt;&gt;""),"⚠ Baseline: Start لا يدخل في التقدم",IF($K2883="No Start (attainment only)","ℹ تحصيل فقط (بدون Start)",IF($K2883="U – needs rule","ℹ حالة U تحتاج قاعدة معتمدة",IF($K2883="No result","ℹ بدون نتيجة (يُستبعد من التحصيل)","OK")))))))))))</f>
        <v/>
      </c>
      <c r="M2883" s="64" t="n">
        <f aca="false">IF($A2883="",0,IFERROR(MATCH($A2883,Classes!$A$6:$A$420,0),0))</f>
        <v>0</v>
      </c>
      <c r="N2883" s="64" t="n">
        <f aca="false">IF($H2883="",0,IFERROR(MATCH($H2883,GradeList,0),0))</f>
        <v>0</v>
      </c>
      <c r="O2883" s="64" t="n">
        <f aca="false">IF(OR($I2883="",$I2883="NR"),0,IFERROR(MATCH($I2883,GradeList,0),0))</f>
        <v>0</v>
      </c>
      <c r="P2883" s="64" t="n">
        <f aca="false">IF(AND($M2883&gt;0,ISNUMBER(MATCH($F2883,Lists!$A$2:$A$5,0)),ISNUMBER(MATCH($G2883,Lists!$B$2:$B$7,0)),OR($H2883="",$N2883&gt;0),OR($I2883="",$I2883="NR",$O2883&gt;0),IF(ISNUMBER($J2883),AND($J2883&gt;=0,$J2883=INT($J2883)),FALSE())),$J2883,0)</f>
        <v>0</v>
      </c>
      <c r="Q2883" s="64" t="n">
        <f aca="false">IF(AND($P2883&gt;0,$O2883&gt;0),$P2883,0)</f>
        <v>0</v>
      </c>
      <c r="R2883" s="64" t="n">
        <f aca="false">IF(AND($Q2883&gt;0,$O2883&gt;=AtRank),$Q2883,0)</f>
        <v>0</v>
      </c>
      <c r="S2883" s="64" t="n">
        <f aca="false">IF(AND($Q2883&gt;0,$O2883&gt;=AboveRank),$Q2883,0)</f>
        <v>0</v>
      </c>
      <c r="T2883" s="64" t="n">
        <f aca="false">IF($K2883="Less",$P2883,0)</f>
        <v>0</v>
      </c>
      <c r="U2883" s="64" t="n">
        <f aca="false">IF($K2883="Expected",$P2883,0)</f>
        <v>0</v>
      </c>
      <c r="V2883" s="64" t="n">
        <f aca="false">IF($K2883="Better",$P2883,0)</f>
        <v>0</v>
      </c>
      <c r="W2883" s="64" t="n">
        <f aca="false">IF($K2883="U – needs rule",$P2883,0)</f>
        <v>0</v>
      </c>
      <c r="X2883" s="64" t="n">
        <f aca="false">IF($K2883="No Start (attainment only)",$P2883,0)</f>
        <v>0</v>
      </c>
    </row>
    <row r="2884" customFormat="false" ht="15" hidden="false" customHeight="false" outlineLevel="0" collapsed="false">
      <c r="A2884" s="60"/>
      <c r="B2884" s="61" t="str">
        <f aca="false">IF($M2884=0,"",INDEX(Classes!$E$6:$E$420,$M2884))</f>
        <v/>
      </c>
      <c r="C2884" s="62" t="str">
        <f aca="false">IF($M2884=0,"",INDEX(Classes!$H$6:$H$420,$M2884))</f>
        <v/>
      </c>
      <c r="D2884" s="61" t="str">
        <f aca="false">IF($M2884=0,"",INDEX(Classes!$B$6:$B$420,$M2884))</f>
        <v/>
      </c>
      <c r="E2884" s="61" t="str">
        <f aca="false">IF($M2884=0,"",INDEX(Classes!$C$6:$C$420,$M2884))</f>
        <v/>
      </c>
      <c r="F2884" s="63"/>
      <c r="G2884" s="63"/>
      <c r="H2884" s="60"/>
      <c r="I2884" s="60"/>
      <c r="J2884" s="63"/>
      <c r="K2884" s="61" t="str">
        <f aca="false">IF($P2884=0,"",IF($F2884="Baseline","— Baseline",IF($O2884=0,"No result",IF($N2884=0,"No Start (attainment only)",IF(OR($N2884=1,$O2884=1),"U – needs rule",INDEX(MxBody,MATCH($I2884,MxCurr,0),MATCH($H2884,MxStart,0)))))))</f>
        <v/>
      </c>
      <c r="L2884" s="62" t="str">
        <f aca="false">IF(COUNTA($A2884,$F2884,$G2884,$H2884,$I2884,$J2884)=0,"",IF($M2884=0,"✖ كود الصف غير موجود",IF(ISNA(MATCH($F2884,Lists!$A$2:$A$5,0)),"✖ الفترة غير صحيحة",IF(ISNA(MATCH($G2884,Lists!$B$2:$B$7,0)),"✖ المجموعة غير صحيحة",IF(NOT(OR($H2884="",$N2884&gt;0)),"✖ Start غير صحيح",IF(NOT(OR($I2884="",$I2884="NR",$O2884&gt;0)),"✖ Current غير صحيح",IF(NOT(IF(ISNUMBER($J2884),AND($J2884&gt;=0,$J2884=INT($J2884)),FALSE())),"✖ العدد يجب أن يكون صحيحًا ≥ 0",IF(AND($F2884="Baseline",$H2884&lt;&gt;""),"⚠ Baseline: Start لا يدخل في التقدم",IF($K2884="No Start (attainment only)","ℹ تحصيل فقط (بدون Start)",IF($K2884="U – needs rule","ℹ حالة U تحتاج قاعدة معتمدة",IF($K2884="No result","ℹ بدون نتيجة (يُستبعد من التحصيل)","OK")))))))))))</f>
        <v/>
      </c>
      <c r="M2884" s="64" t="n">
        <f aca="false">IF($A2884="",0,IFERROR(MATCH($A2884,Classes!$A$6:$A$420,0),0))</f>
        <v>0</v>
      </c>
      <c r="N2884" s="64" t="n">
        <f aca="false">IF($H2884="",0,IFERROR(MATCH($H2884,GradeList,0),0))</f>
        <v>0</v>
      </c>
      <c r="O2884" s="64" t="n">
        <f aca="false">IF(OR($I2884="",$I2884="NR"),0,IFERROR(MATCH($I2884,GradeList,0),0))</f>
        <v>0</v>
      </c>
      <c r="P2884" s="64" t="n">
        <f aca="false">IF(AND($M2884&gt;0,ISNUMBER(MATCH($F2884,Lists!$A$2:$A$5,0)),ISNUMBER(MATCH($G2884,Lists!$B$2:$B$7,0)),OR($H2884="",$N2884&gt;0),OR($I2884="",$I2884="NR",$O2884&gt;0),IF(ISNUMBER($J2884),AND($J2884&gt;=0,$J2884=INT($J2884)),FALSE())),$J2884,0)</f>
        <v>0</v>
      </c>
      <c r="Q2884" s="64" t="n">
        <f aca="false">IF(AND($P2884&gt;0,$O2884&gt;0),$P2884,0)</f>
        <v>0</v>
      </c>
      <c r="R2884" s="64" t="n">
        <f aca="false">IF(AND($Q2884&gt;0,$O2884&gt;=AtRank),$Q2884,0)</f>
        <v>0</v>
      </c>
      <c r="S2884" s="64" t="n">
        <f aca="false">IF(AND($Q2884&gt;0,$O2884&gt;=AboveRank),$Q2884,0)</f>
        <v>0</v>
      </c>
      <c r="T2884" s="64" t="n">
        <f aca="false">IF($K2884="Less",$P2884,0)</f>
        <v>0</v>
      </c>
      <c r="U2884" s="64" t="n">
        <f aca="false">IF($K2884="Expected",$P2884,0)</f>
        <v>0</v>
      </c>
      <c r="V2884" s="64" t="n">
        <f aca="false">IF($K2884="Better",$P2884,0)</f>
        <v>0</v>
      </c>
      <c r="W2884" s="64" t="n">
        <f aca="false">IF($K2884="U – needs rule",$P2884,0)</f>
        <v>0</v>
      </c>
      <c r="X2884" s="64" t="n">
        <f aca="false">IF($K2884="No Start (attainment only)",$P2884,0)</f>
        <v>0</v>
      </c>
    </row>
    <row r="2885" customFormat="false" ht="15" hidden="false" customHeight="false" outlineLevel="0" collapsed="false">
      <c r="A2885" s="60"/>
      <c r="B2885" s="61" t="str">
        <f aca="false">IF($M2885=0,"",INDEX(Classes!$E$6:$E$420,$M2885))</f>
        <v/>
      </c>
      <c r="C2885" s="62" t="str">
        <f aca="false">IF($M2885=0,"",INDEX(Classes!$H$6:$H$420,$M2885))</f>
        <v/>
      </c>
      <c r="D2885" s="61" t="str">
        <f aca="false">IF($M2885=0,"",INDEX(Classes!$B$6:$B$420,$M2885))</f>
        <v/>
      </c>
      <c r="E2885" s="61" t="str">
        <f aca="false">IF($M2885=0,"",INDEX(Classes!$C$6:$C$420,$M2885))</f>
        <v/>
      </c>
      <c r="F2885" s="63"/>
      <c r="G2885" s="63"/>
      <c r="H2885" s="60"/>
      <c r="I2885" s="60"/>
      <c r="J2885" s="63"/>
      <c r="K2885" s="61" t="str">
        <f aca="false">IF($P2885=0,"",IF($F2885="Baseline","— Baseline",IF($O2885=0,"No result",IF($N2885=0,"No Start (attainment only)",IF(OR($N2885=1,$O2885=1),"U – needs rule",INDEX(MxBody,MATCH($I2885,MxCurr,0),MATCH($H2885,MxStart,0)))))))</f>
        <v/>
      </c>
      <c r="L2885" s="62" t="str">
        <f aca="false">IF(COUNTA($A2885,$F2885,$G2885,$H2885,$I2885,$J2885)=0,"",IF($M2885=0,"✖ كود الصف غير موجود",IF(ISNA(MATCH($F2885,Lists!$A$2:$A$5,0)),"✖ الفترة غير صحيحة",IF(ISNA(MATCH($G2885,Lists!$B$2:$B$7,0)),"✖ المجموعة غير صحيحة",IF(NOT(OR($H2885="",$N2885&gt;0)),"✖ Start غير صحيح",IF(NOT(OR($I2885="",$I2885="NR",$O2885&gt;0)),"✖ Current غير صحيح",IF(NOT(IF(ISNUMBER($J2885),AND($J2885&gt;=0,$J2885=INT($J2885)),FALSE())),"✖ العدد يجب أن يكون صحيحًا ≥ 0",IF(AND($F2885="Baseline",$H2885&lt;&gt;""),"⚠ Baseline: Start لا يدخل في التقدم",IF($K2885="No Start (attainment only)","ℹ تحصيل فقط (بدون Start)",IF($K2885="U – needs rule","ℹ حالة U تحتاج قاعدة معتمدة",IF($K2885="No result","ℹ بدون نتيجة (يُستبعد من التحصيل)","OK")))))))))))</f>
        <v/>
      </c>
      <c r="M2885" s="64" t="n">
        <f aca="false">IF($A2885="",0,IFERROR(MATCH($A2885,Classes!$A$6:$A$420,0),0))</f>
        <v>0</v>
      </c>
      <c r="N2885" s="64" t="n">
        <f aca="false">IF($H2885="",0,IFERROR(MATCH($H2885,GradeList,0),0))</f>
        <v>0</v>
      </c>
      <c r="O2885" s="64" t="n">
        <f aca="false">IF(OR($I2885="",$I2885="NR"),0,IFERROR(MATCH($I2885,GradeList,0),0))</f>
        <v>0</v>
      </c>
      <c r="P2885" s="64" t="n">
        <f aca="false">IF(AND($M2885&gt;0,ISNUMBER(MATCH($F2885,Lists!$A$2:$A$5,0)),ISNUMBER(MATCH($G2885,Lists!$B$2:$B$7,0)),OR($H2885="",$N2885&gt;0),OR($I2885="",$I2885="NR",$O2885&gt;0),IF(ISNUMBER($J2885),AND($J2885&gt;=0,$J2885=INT($J2885)),FALSE())),$J2885,0)</f>
        <v>0</v>
      </c>
      <c r="Q2885" s="64" t="n">
        <f aca="false">IF(AND($P2885&gt;0,$O2885&gt;0),$P2885,0)</f>
        <v>0</v>
      </c>
      <c r="R2885" s="64" t="n">
        <f aca="false">IF(AND($Q2885&gt;0,$O2885&gt;=AtRank),$Q2885,0)</f>
        <v>0</v>
      </c>
      <c r="S2885" s="64" t="n">
        <f aca="false">IF(AND($Q2885&gt;0,$O2885&gt;=AboveRank),$Q2885,0)</f>
        <v>0</v>
      </c>
      <c r="T2885" s="64" t="n">
        <f aca="false">IF($K2885="Less",$P2885,0)</f>
        <v>0</v>
      </c>
      <c r="U2885" s="64" t="n">
        <f aca="false">IF($K2885="Expected",$P2885,0)</f>
        <v>0</v>
      </c>
      <c r="V2885" s="64" t="n">
        <f aca="false">IF($K2885="Better",$P2885,0)</f>
        <v>0</v>
      </c>
      <c r="W2885" s="64" t="n">
        <f aca="false">IF($K2885="U – needs rule",$P2885,0)</f>
        <v>0</v>
      </c>
      <c r="X2885" s="64" t="n">
        <f aca="false">IF($K2885="No Start (attainment only)",$P2885,0)</f>
        <v>0</v>
      </c>
    </row>
    <row r="2886" customFormat="false" ht="15" hidden="false" customHeight="false" outlineLevel="0" collapsed="false">
      <c r="A2886" s="60"/>
      <c r="B2886" s="61" t="str">
        <f aca="false">IF($M2886=0,"",INDEX(Classes!$E$6:$E$420,$M2886))</f>
        <v/>
      </c>
      <c r="C2886" s="62" t="str">
        <f aca="false">IF($M2886=0,"",INDEX(Classes!$H$6:$H$420,$M2886))</f>
        <v/>
      </c>
      <c r="D2886" s="61" t="str">
        <f aca="false">IF($M2886=0,"",INDEX(Classes!$B$6:$B$420,$M2886))</f>
        <v/>
      </c>
      <c r="E2886" s="61" t="str">
        <f aca="false">IF($M2886=0,"",INDEX(Classes!$C$6:$C$420,$M2886))</f>
        <v/>
      </c>
      <c r="F2886" s="63"/>
      <c r="G2886" s="63"/>
      <c r="H2886" s="60"/>
      <c r="I2886" s="60"/>
      <c r="J2886" s="63"/>
      <c r="K2886" s="61" t="str">
        <f aca="false">IF($P2886=0,"",IF($F2886="Baseline","— Baseline",IF($O2886=0,"No result",IF($N2886=0,"No Start (attainment only)",IF(OR($N2886=1,$O2886=1),"U – needs rule",INDEX(MxBody,MATCH($I2886,MxCurr,0),MATCH($H2886,MxStart,0)))))))</f>
        <v/>
      </c>
      <c r="L2886" s="62" t="str">
        <f aca="false">IF(COUNTA($A2886,$F2886,$G2886,$H2886,$I2886,$J2886)=0,"",IF($M2886=0,"✖ كود الصف غير موجود",IF(ISNA(MATCH($F2886,Lists!$A$2:$A$5,0)),"✖ الفترة غير صحيحة",IF(ISNA(MATCH($G2886,Lists!$B$2:$B$7,0)),"✖ المجموعة غير صحيحة",IF(NOT(OR($H2886="",$N2886&gt;0)),"✖ Start غير صحيح",IF(NOT(OR($I2886="",$I2886="NR",$O2886&gt;0)),"✖ Current غير صحيح",IF(NOT(IF(ISNUMBER($J2886),AND($J2886&gt;=0,$J2886=INT($J2886)),FALSE())),"✖ العدد يجب أن يكون صحيحًا ≥ 0",IF(AND($F2886="Baseline",$H2886&lt;&gt;""),"⚠ Baseline: Start لا يدخل في التقدم",IF($K2886="No Start (attainment only)","ℹ تحصيل فقط (بدون Start)",IF($K2886="U – needs rule","ℹ حالة U تحتاج قاعدة معتمدة",IF($K2886="No result","ℹ بدون نتيجة (يُستبعد من التحصيل)","OK")))))))))))</f>
        <v/>
      </c>
      <c r="M2886" s="64" t="n">
        <f aca="false">IF($A2886="",0,IFERROR(MATCH($A2886,Classes!$A$6:$A$420,0),0))</f>
        <v>0</v>
      </c>
      <c r="N2886" s="64" t="n">
        <f aca="false">IF($H2886="",0,IFERROR(MATCH($H2886,GradeList,0),0))</f>
        <v>0</v>
      </c>
      <c r="O2886" s="64" t="n">
        <f aca="false">IF(OR($I2886="",$I2886="NR"),0,IFERROR(MATCH($I2886,GradeList,0),0))</f>
        <v>0</v>
      </c>
      <c r="P2886" s="64" t="n">
        <f aca="false">IF(AND($M2886&gt;0,ISNUMBER(MATCH($F2886,Lists!$A$2:$A$5,0)),ISNUMBER(MATCH($G2886,Lists!$B$2:$B$7,0)),OR($H2886="",$N2886&gt;0),OR($I2886="",$I2886="NR",$O2886&gt;0),IF(ISNUMBER($J2886),AND($J2886&gt;=0,$J2886=INT($J2886)),FALSE())),$J2886,0)</f>
        <v>0</v>
      </c>
      <c r="Q2886" s="64" t="n">
        <f aca="false">IF(AND($P2886&gt;0,$O2886&gt;0),$P2886,0)</f>
        <v>0</v>
      </c>
      <c r="R2886" s="64" t="n">
        <f aca="false">IF(AND($Q2886&gt;0,$O2886&gt;=AtRank),$Q2886,0)</f>
        <v>0</v>
      </c>
      <c r="S2886" s="64" t="n">
        <f aca="false">IF(AND($Q2886&gt;0,$O2886&gt;=AboveRank),$Q2886,0)</f>
        <v>0</v>
      </c>
      <c r="T2886" s="64" t="n">
        <f aca="false">IF($K2886="Less",$P2886,0)</f>
        <v>0</v>
      </c>
      <c r="U2886" s="64" t="n">
        <f aca="false">IF($K2886="Expected",$P2886,0)</f>
        <v>0</v>
      </c>
      <c r="V2886" s="64" t="n">
        <f aca="false">IF($K2886="Better",$P2886,0)</f>
        <v>0</v>
      </c>
      <c r="W2886" s="64" t="n">
        <f aca="false">IF($K2886="U – needs rule",$P2886,0)</f>
        <v>0</v>
      </c>
      <c r="X2886" s="64" t="n">
        <f aca="false">IF($K2886="No Start (attainment only)",$P2886,0)</f>
        <v>0</v>
      </c>
    </row>
    <row r="2887" customFormat="false" ht="15" hidden="false" customHeight="false" outlineLevel="0" collapsed="false">
      <c r="A2887" s="60"/>
      <c r="B2887" s="61" t="str">
        <f aca="false">IF($M2887=0,"",INDEX(Classes!$E$6:$E$420,$M2887))</f>
        <v/>
      </c>
      <c r="C2887" s="62" t="str">
        <f aca="false">IF($M2887=0,"",INDEX(Classes!$H$6:$H$420,$M2887))</f>
        <v/>
      </c>
      <c r="D2887" s="61" t="str">
        <f aca="false">IF($M2887=0,"",INDEX(Classes!$B$6:$B$420,$M2887))</f>
        <v/>
      </c>
      <c r="E2887" s="61" t="str">
        <f aca="false">IF($M2887=0,"",INDEX(Classes!$C$6:$C$420,$M2887))</f>
        <v/>
      </c>
      <c r="F2887" s="63"/>
      <c r="G2887" s="63"/>
      <c r="H2887" s="60"/>
      <c r="I2887" s="60"/>
      <c r="J2887" s="63"/>
      <c r="K2887" s="61" t="str">
        <f aca="false">IF($P2887=0,"",IF($F2887="Baseline","— Baseline",IF($O2887=0,"No result",IF($N2887=0,"No Start (attainment only)",IF(OR($N2887=1,$O2887=1),"U – needs rule",INDEX(MxBody,MATCH($I2887,MxCurr,0),MATCH($H2887,MxStart,0)))))))</f>
        <v/>
      </c>
      <c r="L2887" s="62" t="str">
        <f aca="false">IF(COUNTA($A2887,$F2887,$G2887,$H2887,$I2887,$J2887)=0,"",IF($M2887=0,"✖ كود الصف غير موجود",IF(ISNA(MATCH($F2887,Lists!$A$2:$A$5,0)),"✖ الفترة غير صحيحة",IF(ISNA(MATCH($G2887,Lists!$B$2:$B$7,0)),"✖ المجموعة غير صحيحة",IF(NOT(OR($H2887="",$N2887&gt;0)),"✖ Start غير صحيح",IF(NOT(OR($I2887="",$I2887="NR",$O2887&gt;0)),"✖ Current غير صحيح",IF(NOT(IF(ISNUMBER($J2887),AND($J2887&gt;=0,$J2887=INT($J2887)),FALSE())),"✖ العدد يجب أن يكون صحيحًا ≥ 0",IF(AND($F2887="Baseline",$H2887&lt;&gt;""),"⚠ Baseline: Start لا يدخل في التقدم",IF($K2887="No Start (attainment only)","ℹ تحصيل فقط (بدون Start)",IF($K2887="U – needs rule","ℹ حالة U تحتاج قاعدة معتمدة",IF($K2887="No result","ℹ بدون نتيجة (يُستبعد من التحصيل)","OK")))))))))))</f>
        <v/>
      </c>
      <c r="M2887" s="64" t="n">
        <f aca="false">IF($A2887="",0,IFERROR(MATCH($A2887,Classes!$A$6:$A$420,0),0))</f>
        <v>0</v>
      </c>
      <c r="N2887" s="64" t="n">
        <f aca="false">IF($H2887="",0,IFERROR(MATCH($H2887,GradeList,0),0))</f>
        <v>0</v>
      </c>
      <c r="O2887" s="64" t="n">
        <f aca="false">IF(OR($I2887="",$I2887="NR"),0,IFERROR(MATCH($I2887,GradeList,0),0))</f>
        <v>0</v>
      </c>
      <c r="P2887" s="64" t="n">
        <f aca="false">IF(AND($M2887&gt;0,ISNUMBER(MATCH($F2887,Lists!$A$2:$A$5,0)),ISNUMBER(MATCH($G2887,Lists!$B$2:$B$7,0)),OR($H2887="",$N2887&gt;0),OR($I2887="",$I2887="NR",$O2887&gt;0),IF(ISNUMBER($J2887),AND($J2887&gt;=0,$J2887=INT($J2887)),FALSE())),$J2887,0)</f>
        <v>0</v>
      </c>
      <c r="Q2887" s="64" t="n">
        <f aca="false">IF(AND($P2887&gt;0,$O2887&gt;0),$P2887,0)</f>
        <v>0</v>
      </c>
      <c r="R2887" s="64" t="n">
        <f aca="false">IF(AND($Q2887&gt;0,$O2887&gt;=AtRank),$Q2887,0)</f>
        <v>0</v>
      </c>
      <c r="S2887" s="64" t="n">
        <f aca="false">IF(AND($Q2887&gt;0,$O2887&gt;=AboveRank),$Q2887,0)</f>
        <v>0</v>
      </c>
      <c r="T2887" s="64" t="n">
        <f aca="false">IF($K2887="Less",$P2887,0)</f>
        <v>0</v>
      </c>
      <c r="U2887" s="64" t="n">
        <f aca="false">IF($K2887="Expected",$P2887,0)</f>
        <v>0</v>
      </c>
      <c r="V2887" s="64" t="n">
        <f aca="false">IF($K2887="Better",$P2887,0)</f>
        <v>0</v>
      </c>
      <c r="W2887" s="64" t="n">
        <f aca="false">IF($K2887="U – needs rule",$P2887,0)</f>
        <v>0</v>
      </c>
      <c r="X2887" s="64" t="n">
        <f aca="false">IF($K2887="No Start (attainment only)",$P2887,0)</f>
        <v>0</v>
      </c>
    </row>
    <row r="2888" customFormat="false" ht="15" hidden="false" customHeight="false" outlineLevel="0" collapsed="false">
      <c r="A2888" s="60"/>
      <c r="B2888" s="61" t="str">
        <f aca="false">IF($M2888=0,"",INDEX(Classes!$E$6:$E$420,$M2888))</f>
        <v/>
      </c>
      <c r="C2888" s="62" t="str">
        <f aca="false">IF($M2888=0,"",INDEX(Classes!$H$6:$H$420,$M2888))</f>
        <v/>
      </c>
      <c r="D2888" s="61" t="str">
        <f aca="false">IF($M2888=0,"",INDEX(Classes!$B$6:$B$420,$M2888))</f>
        <v/>
      </c>
      <c r="E2888" s="61" t="str">
        <f aca="false">IF($M2888=0,"",INDEX(Classes!$C$6:$C$420,$M2888))</f>
        <v/>
      </c>
      <c r="F2888" s="63"/>
      <c r="G2888" s="63"/>
      <c r="H2888" s="60"/>
      <c r="I2888" s="60"/>
      <c r="J2888" s="63"/>
      <c r="K2888" s="61" t="str">
        <f aca="false">IF($P2888=0,"",IF($F2888="Baseline","— Baseline",IF($O2888=0,"No result",IF($N2888=0,"No Start (attainment only)",IF(OR($N2888=1,$O2888=1),"U – needs rule",INDEX(MxBody,MATCH($I2888,MxCurr,0),MATCH($H2888,MxStart,0)))))))</f>
        <v/>
      </c>
      <c r="L2888" s="62" t="str">
        <f aca="false">IF(COUNTA($A2888,$F2888,$G2888,$H2888,$I2888,$J2888)=0,"",IF($M2888=0,"✖ كود الصف غير موجود",IF(ISNA(MATCH($F2888,Lists!$A$2:$A$5,0)),"✖ الفترة غير صحيحة",IF(ISNA(MATCH($G2888,Lists!$B$2:$B$7,0)),"✖ المجموعة غير صحيحة",IF(NOT(OR($H2888="",$N2888&gt;0)),"✖ Start غير صحيح",IF(NOT(OR($I2888="",$I2888="NR",$O2888&gt;0)),"✖ Current غير صحيح",IF(NOT(IF(ISNUMBER($J2888),AND($J2888&gt;=0,$J2888=INT($J2888)),FALSE())),"✖ العدد يجب أن يكون صحيحًا ≥ 0",IF(AND($F2888="Baseline",$H2888&lt;&gt;""),"⚠ Baseline: Start لا يدخل في التقدم",IF($K2888="No Start (attainment only)","ℹ تحصيل فقط (بدون Start)",IF($K2888="U – needs rule","ℹ حالة U تحتاج قاعدة معتمدة",IF($K2888="No result","ℹ بدون نتيجة (يُستبعد من التحصيل)","OK")))))))))))</f>
        <v/>
      </c>
      <c r="M2888" s="64" t="n">
        <f aca="false">IF($A2888="",0,IFERROR(MATCH($A2888,Classes!$A$6:$A$420,0),0))</f>
        <v>0</v>
      </c>
      <c r="N2888" s="64" t="n">
        <f aca="false">IF($H2888="",0,IFERROR(MATCH($H2888,GradeList,0),0))</f>
        <v>0</v>
      </c>
      <c r="O2888" s="64" t="n">
        <f aca="false">IF(OR($I2888="",$I2888="NR"),0,IFERROR(MATCH($I2888,GradeList,0),0))</f>
        <v>0</v>
      </c>
      <c r="P2888" s="64" t="n">
        <f aca="false">IF(AND($M2888&gt;0,ISNUMBER(MATCH($F2888,Lists!$A$2:$A$5,0)),ISNUMBER(MATCH($G2888,Lists!$B$2:$B$7,0)),OR($H2888="",$N2888&gt;0),OR($I2888="",$I2888="NR",$O2888&gt;0),IF(ISNUMBER($J2888),AND($J2888&gt;=0,$J2888=INT($J2888)),FALSE())),$J2888,0)</f>
        <v>0</v>
      </c>
      <c r="Q2888" s="64" t="n">
        <f aca="false">IF(AND($P2888&gt;0,$O2888&gt;0),$P2888,0)</f>
        <v>0</v>
      </c>
      <c r="R2888" s="64" t="n">
        <f aca="false">IF(AND($Q2888&gt;0,$O2888&gt;=AtRank),$Q2888,0)</f>
        <v>0</v>
      </c>
      <c r="S2888" s="64" t="n">
        <f aca="false">IF(AND($Q2888&gt;0,$O2888&gt;=AboveRank),$Q2888,0)</f>
        <v>0</v>
      </c>
      <c r="T2888" s="64" t="n">
        <f aca="false">IF($K2888="Less",$P2888,0)</f>
        <v>0</v>
      </c>
      <c r="U2888" s="64" t="n">
        <f aca="false">IF($K2888="Expected",$P2888,0)</f>
        <v>0</v>
      </c>
      <c r="V2888" s="64" t="n">
        <f aca="false">IF($K2888="Better",$P2888,0)</f>
        <v>0</v>
      </c>
      <c r="W2888" s="64" t="n">
        <f aca="false">IF($K2888="U – needs rule",$P2888,0)</f>
        <v>0</v>
      </c>
      <c r="X2888" s="64" t="n">
        <f aca="false">IF($K2888="No Start (attainment only)",$P2888,0)</f>
        <v>0</v>
      </c>
    </row>
    <row r="2889" customFormat="false" ht="15" hidden="false" customHeight="false" outlineLevel="0" collapsed="false">
      <c r="A2889" s="60"/>
      <c r="B2889" s="61" t="str">
        <f aca="false">IF($M2889=0,"",INDEX(Classes!$E$6:$E$420,$M2889))</f>
        <v/>
      </c>
      <c r="C2889" s="62" t="str">
        <f aca="false">IF($M2889=0,"",INDEX(Classes!$H$6:$H$420,$M2889))</f>
        <v/>
      </c>
      <c r="D2889" s="61" t="str">
        <f aca="false">IF($M2889=0,"",INDEX(Classes!$B$6:$B$420,$M2889))</f>
        <v/>
      </c>
      <c r="E2889" s="61" t="str">
        <f aca="false">IF($M2889=0,"",INDEX(Classes!$C$6:$C$420,$M2889))</f>
        <v/>
      </c>
      <c r="F2889" s="63"/>
      <c r="G2889" s="63"/>
      <c r="H2889" s="60"/>
      <c r="I2889" s="60"/>
      <c r="J2889" s="63"/>
      <c r="K2889" s="61" t="str">
        <f aca="false">IF($P2889=0,"",IF($F2889="Baseline","— Baseline",IF($O2889=0,"No result",IF($N2889=0,"No Start (attainment only)",IF(OR($N2889=1,$O2889=1),"U – needs rule",INDEX(MxBody,MATCH($I2889,MxCurr,0),MATCH($H2889,MxStart,0)))))))</f>
        <v/>
      </c>
      <c r="L2889" s="62" t="str">
        <f aca="false">IF(COUNTA($A2889,$F2889,$G2889,$H2889,$I2889,$J2889)=0,"",IF($M2889=0,"✖ كود الصف غير موجود",IF(ISNA(MATCH($F2889,Lists!$A$2:$A$5,0)),"✖ الفترة غير صحيحة",IF(ISNA(MATCH($G2889,Lists!$B$2:$B$7,0)),"✖ المجموعة غير صحيحة",IF(NOT(OR($H2889="",$N2889&gt;0)),"✖ Start غير صحيح",IF(NOT(OR($I2889="",$I2889="NR",$O2889&gt;0)),"✖ Current غير صحيح",IF(NOT(IF(ISNUMBER($J2889),AND($J2889&gt;=0,$J2889=INT($J2889)),FALSE())),"✖ العدد يجب أن يكون صحيحًا ≥ 0",IF(AND($F2889="Baseline",$H2889&lt;&gt;""),"⚠ Baseline: Start لا يدخل في التقدم",IF($K2889="No Start (attainment only)","ℹ تحصيل فقط (بدون Start)",IF($K2889="U – needs rule","ℹ حالة U تحتاج قاعدة معتمدة",IF($K2889="No result","ℹ بدون نتيجة (يُستبعد من التحصيل)","OK")))))))))))</f>
        <v/>
      </c>
      <c r="M2889" s="64" t="n">
        <f aca="false">IF($A2889="",0,IFERROR(MATCH($A2889,Classes!$A$6:$A$420,0),0))</f>
        <v>0</v>
      </c>
      <c r="N2889" s="64" t="n">
        <f aca="false">IF($H2889="",0,IFERROR(MATCH($H2889,GradeList,0),0))</f>
        <v>0</v>
      </c>
      <c r="O2889" s="64" t="n">
        <f aca="false">IF(OR($I2889="",$I2889="NR"),0,IFERROR(MATCH($I2889,GradeList,0),0))</f>
        <v>0</v>
      </c>
      <c r="P2889" s="64" t="n">
        <f aca="false">IF(AND($M2889&gt;0,ISNUMBER(MATCH($F2889,Lists!$A$2:$A$5,0)),ISNUMBER(MATCH($G2889,Lists!$B$2:$B$7,0)),OR($H2889="",$N2889&gt;0),OR($I2889="",$I2889="NR",$O2889&gt;0),IF(ISNUMBER($J2889),AND($J2889&gt;=0,$J2889=INT($J2889)),FALSE())),$J2889,0)</f>
        <v>0</v>
      </c>
      <c r="Q2889" s="64" t="n">
        <f aca="false">IF(AND($P2889&gt;0,$O2889&gt;0),$P2889,0)</f>
        <v>0</v>
      </c>
      <c r="R2889" s="64" t="n">
        <f aca="false">IF(AND($Q2889&gt;0,$O2889&gt;=AtRank),$Q2889,0)</f>
        <v>0</v>
      </c>
      <c r="S2889" s="64" t="n">
        <f aca="false">IF(AND($Q2889&gt;0,$O2889&gt;=AboveRank),$Q2889,0)</f>
        <v>0</v>
      </c>
      <c r="T2889" s="64" t="n">
        <f aca="false">IF($K2889="Less",$P2889,0)</f>
        <v>0</v>
      </c>
      <c r="U2889" s="64" t="n">
        <f aca="false">IF($K2889="Expected",$P2889,0)</f>
        <v>0</v>
      </c>
      <c r="V2889" s="64" t="n">
        <f aca="false">IF($K2889="Better",$P2889,0)</f>
        <v>0</v>
      </c>
      <c r="W2889" s="64" t="n">
        <f aca="false">IF($K2889="U – needs rule",$P2889,0)</f>
        <v>0</v>
      </c>
      <c r="X2889" s="64" t="n">
        <f aca="false">IF($K2889="No Start (attainment only)",$P2889,0)</f>
        <v>0</v>
      </c>
    </row>
    <row r="2890" customFormat="false" ht="15" hidden="false" customHeight="false" outlineLevel="0" collapsed="false">
      <c r="A2890" s="60"/>
      <c r="B2890" s="61" t="str">
        <f aca="false">IF($M2890=0,"",INDEX(Classes!$E$6:$E$420,$M2890))</f>
        <v/>
      </c>
      <c r="C2890" s="62" t="str">
        <f aca="false">IF($M2890=0,"",INDEX(Classes!$H$6:$H$420,$M2890))</f>
        <v/>
      </c>
      <c r="D2890" s="61" t="str">
        <f aca="false">IF($M2890=0,"",INDEX(Classes!$B$6:$B$420,$M2890))</f>
        <v/>
      </c>
      <c r="E2890" s="61" t="str">
        <f aca="false">IF($M2890=0,"",INDEX(Classes!$C$6:$C$420,$M2890))</f>
        <v/>
      </c>
      <c r="F2890" s="63"/>
      <c r="G2890" s="63"/>
      <c r="H2890" s="60"/>
      <c r="I2890" s="60"/>
      <c r="J2890" s="63"/>
      <c r="K2890" s="61" t="str">
        <f aca="false">IF($P2890=0,"",IF($F2890="Baseline","— Baseline",IF($O2890=0,"No result",IF($N2890=0,"No Start (attainment only)",IF(OR($N2890=1,$O2890=1),"U – needs rule",INDEX(MxBody,MATCH($I2890,MxCurr,0),MATCH($H2890,MxStart,0)))))))</f>
        <v/>
      </c>
      <c r="L2890" s="62" t="str">
        <f aca="false">IF(COUNTA($A2890,$F2890,$G2890,$H2890,$I2890,$J2890)=0,"",IF($M2890=0,"✖ كود الصف غير موجود",IF(ISNA(MATCH($F2890,Lists!$A$2:$A$5,0)),"✖ الفترة غير صحيحة",IF(ISNA(MATCH($G2890,Lists!$B$2:$B$7,0)),"✖ المجموعة غير صحيحة",IF(NOT(OR($H2890="",$N2890&gt;0)),"✖ Start غير صحيح",IF(NOT(OR($I2890="",$I2890="NR",$O2890&gt;0)),"✖ Current غير صحيح",IF(NOT(IF(ISNUMBER($J2890),AND($J2890&gt;=0,$J2890=INT($J2890)),FALSE())),"✖ العدد يجب أن يكون صحيحًا ≥ 0",IF(AND($F2890="Baseline",$H2890&lt;&gt;""),"⚠ Baseline: Start لا يدخل في التقدم",IF($K2890="No Start (attainment only)","ℹ تحصيل فقط (بدون Start)",IF($K2890="U – needs rule","ℹ حالة U تحتاج قاعدة معتمدة",IF($K2890="No result","ℹ بدون نتيجة (يُستبعد من التحصيل)","OK")))))))))))</f>
        <v/>
      </c>
      <c r="M2890" s="64" t="n">
        <f aca="false">IF($A2890="",0,IFERROR(MATCH($A2890,Classes!$A$6:$A$420,0),0))</f>
        <v>0</v>
      </c>
      <c r="N2890" s="64" t="n">
        <f aca="false">IF($H2890="",0,IFERROR(MATCH($H2890,GradeList,0),0))</f>
        <v>0</v>
      </c>
      <c r="O2890" s="64" t="n">
        <f aca="false">IF(OR($I2890="",$I2890="NR"),0,IFERROR(MATCH($I2890,GradeList,0),0))</f>
        <v>0</v>
      </c>
      <c r="P2890" s="64" t="n">
        <f aca="false">IF(AND($M2890&gt;0,ISNUMBER(MATCH($F2890,Lists!$A$2:$A$5,0)),ISNUMBER(MATCH($G2890,Lists!$B$2:$B$7,0)),OR($H2890="",$N2890&gt;0),OR($I2890="",$I2890="NR",$O2890&gt;0),IF(ISNUMBER($J2890),AND($J2890&gt;=0,$J2890=INT($J2890)),FALSE())),$J2890,0)</f>
        <v>0</v>
      </c>
      <c r="Q2890" s="64" t="n">
        <f aca="false">IF(AND($P2890&gt;0,$O2890&gt;0),$P2890,0)</f>
        <v>0</v>
      </c>
      <c r="R2890" s="64" t="n">
        <f aca="false">IF(AND($Q2890&gt;0,$O2890&gt;=AtRank),$Q2890,0)</f>
        <v>0</v>
      </c>
      <c r="S2890" s="64" t="n">
        <f aca="false">IF(AND($Q2890&gt;0,$O2890&gt;=AboveRank),$Q2890,0)</f>
        <v>0</v>
      </c>
      <c r="T2890" s="64" t="n">
        <f aca="false">IF($K2890="Less",$P2890,0)</f>
        <v>0</v>
      </c>
      <c r="U2890" s="64" t="n">
        <f aca="false">IF($K2890="Expected",$P2890,0)</f>
        <v>0</v>
      </c>
      <c r="V2890" s="64" t="n">
        <f aca="false">IF($K2890="Better",$P2890,0)</f>
        <v>0</v>
      </c>
      <c r="W2890" s="64" t="n">
        <f aca="false">IF($K2890="U – needs rule",$P2890,0)</f>
        <v>0</v>
      </c>
      <c r="X2890" s="64" t="n">
        <f aca="false">IF($K2890="No Start (attainment only)",$P2890,0)</f>
        <v>0</v>
      </c>
    </row>
    <row r="2891" customFormat="false" ht="15" hidden="false" customHeight="false" outlineLevel="0" collapsed="false">
      <c r="A2891" s="60"/>
      <c r="B2891" s="61" t="str">
        <f aca="false">IF($M2891=0,"",INDEX(Classes!$E$6:$E$420,$M2891))</f>
        <v/>
      </c>
      <c r="C2891" s="62" t="str">
        <f aca="false">IF($M2891=0,"",INDEX(Classes!$H$6:$H$420,$M2891))</f>
        <v/>
      </c>
      <c r="D2891" s="61" t="str">
        <f aca="false">IF($M2891=0,"",INDEX(Classes!$B$6:$B$420,$M2891))</f>
        <v/>
      </c>
      <c r="E2891" s="61" t="str">
        <f aca="false">IF($M2891=0,"",INDEX(Classes!$C$6:$C$420,$M2891))</f>
        <v/>
      </c>
      <c r="F2891" s="63"/>
      <c r="G2891" s="63"/>
      <c r="H2891" s="60"/>
      <c r="I2891" s="60"/>
      <c r="J2891" s="63"/>
      <c r="K2891" s="61" t="str">
        <f aca="false">IF($P2891=0,"",IF($F2891="Baseline","— Baseline",IF($O2891=0,"No result",IF($N2891=0,"No Start (attainment only)",IF(OR($N2891=1,$O2891=1),"U – needs rule",INDEX(MxBody,MATCH($I2891,MxCurr,0),MATCH($H2891,MxStart,0)))))))</f>
        <v/>
      </c>
      <c r="L2891" s="62" t="str">
        <f aca="false">IF(COUNTA($A2891,$F2891,$G2891,$H2891,$I2891,$J2891)=0,"",IF($M2891=0,"✖ كود الصف غير موجود",IF(ISNA(MATCH($F2891,Lists!$A$2:$A$5,0)),"✖ الفترة غير صحيحة",IF(ISNA(MATCH($G2891,Lists!$B$2:$B$7,0)),"✖ المجموعة غير صحيحة",IF(NOT(OR($H2891="",$N2891&gt;0)),"✖ Start غير صحيح",IF(NOT(OR($I2891="",$I2891="NR",$O2891&gt;0)),"✖ Current غير صحيح",IF(NOT(IF(ISNUMBER($J2891),AND($J2891&gt;=0,$J2891=INT($J2891)),FALSE())),"✖ العدد يجب أن يكون صحيحًا ≥ 0",IF(AND($F2891="Baseline",$H2891&lt;&gt;""),"⚠ Baseline: Start لا يدخل في التقدم",IF($K2891="No Start (attainment only)","ℹ تحصيل فقط (بدون Start)",IF($K2891="U – needs rule","ℹ حالة U تحتاج قاعدة معتمدة",IF($K2891="No result","ℹ بدون نتيجة (يُستبعد من التحصيل)","OK")))))))))))</f>
        <v/>
      </c>
      <c r="M2891" s="64" t="n">
        <f aca="false">IF($A2891="",0,IFERROR(MATCH($A2891,Classes!$A$6:$A$420,0),0))</f>
        <v>0</v>
      </c>
      <c r="N2891" s="64" t="n">
        <f aca="false">IF($H2891="",0,IFERROR(MATCH($H2891,GradeList,0),0))</f>
        <v>0</v>
      </c>
      <c r="O2891" s="64" t="n">
        <f aca="false">IF(OR($I2891="",$I2891="NR"),0,IFERROR(MATCH($I2891,GradeList,0),0))</f>
        <v>0</v>
      </c>
      <c r="P2891" s="64" t="n">
        <f aca="false">IF(AND($M2891&gt;0,ISNUMBER(MATCH($F2891,Lists!$A$2:$A$5,0)),ISNUMBER(MATCH($G2891,Lists!$B$2:$B$7,0)),OR($H2891="",$N2891&gt;0),OR($I2891="",$I2891="NR",$O2891&gt;0),IF(ISNUMBER($J2891),AND($J2891&gt;=0,$J2891=INT($J2891)),FALSE())),$J2891,0)</f>
        <v>0</v>
      </c>
      <c r="Q2891" s="64" t="n">
        <f aca="false">IF(AND($P2891&gt;0,$O2891&gt;0),$P2891,0)</f>
        <v>0</v>
      </c>
      <c r="R2891" s="64" t="n">
        <f aca="false">IF(AND($Q2891&gt;0,$O2891&gt;=AtRank),$Q2891,0)</f>
        <v>0</v>
      </c>
      <c r="S2891" s="64" t="n">
        <f aca="false">IF(AND($Q2891&gt;0,$O2891&gt;=AboveRank),$Q2891,0)</f>
        <v>0</v>
      </c>
      <c r="T2891" s="64" t="n">
        <f aca="false">IF($K2891="Less",$P2891,0)</f>
        <v>0</v>
      </c>
      <c r="U2891" s="64" t="n">
        <f aca="false">IF($K2891="Expected",$P2891,0)</f>
        <v>0</v>
      </c>
      <c r="V2891" s="64" t="n">
        <f aca="false">IF($K2891="Better",$P2891,0)</f>
        <v>0</v>
      </c>
      <c r="W2891" s="64" t="n">
        <f aca="false">IF($K2891="U – needs rule",$P2891,0)</f>
        <v>0</v>
      </c>
      <c r="X2891" s="64" t="n">
        <f aca="false">IF($K2891="No Start (attainment only)",$P2891,0)</f>
        <v>0</v>
      </c>
    </row>
    <row r="2892" customFormat="false" ht="15" hidden="false" customHeight="false" outlineLevel="0" collapsed="false">
      <c r="A2892" s="60"/>
      <c r="B2892" s="61" t="str">
        <f aca="false">IF($M2892=0,"",INDEX(Classes!$E$6:$E$420,$M2892))</f>
        <v/>
      </c>
      <c r="C2892" s="62" t="str">
        <f aca="false">IF($M2892=0,"",INDEX(Classes!$H$6:$H$420,$M2892))</f>
        <v/>
      </c>
      <c r="D2892" s="61" t="str">
        <f aca="false">IF($M2892=0,"",INDEX(Classes!$B$6:$B$420,$M2892))</f>
        <v/>
      </c>
      <c r="E2892" s="61" t="str">
        <f aca="false">IF($M2892=0,"",INDEX(Classes!$C$6:$C$420,$M2892))</f>
        <v/>
      </c>
      <c r="F2892" s="63"/>
      <c r="G2892" s="63"/>
      <c r="H2892" s="60"/>
      <c r="I2892" s="60"/>
      <c r="J2892" s="63"/>
      <c r="K2892" s="61" t="str">
        <f aca="false">IF($P2892=0,"",IF($F2892="Baseline","— Baseline",IF($O2892=0,"No result",IF($N2892=0,"No Start (attainment only)",IF(OR($N2892=1,$O2892=1),"U – needs rule",INDEX(MxBody,MATCH($I2892,MxCurr,0),MATCH($H2892,MxStart,0)))))))</f>
        <v/>
      </c>
      <c r="L2892" s="62" t="str">
        <f aca="false">IF(COUNTA($A2892,$F2892,$G2892,$H2892,$I2892,$J2892)=0,"",IF($M2892=0,"✖ كود الصف غير موجود",IF(ISNA(MATCH($F2892,Lists!$A$2:$A$5,0)),"✖ الفترة غير صحيحة",IF(ISNA(MATCH($G2892,Lists!$B$2:$B$7,0)),"✖ المجموعة غير صحيحة",IF(NOT(OR($H2892="",$N2892&gt;0)),"✖ Start غير صحيح",IF(NOT(OR($I2892="",$I2892="NR",$O2892&gt;0)),"✖ Current غير صحيح",IF(NOT(IF(ISNUMBER($J2892),AND($J2892&gt;=0,$J2892=INT($J2892)),FALSE())),"✖ العدد يجب أن يكون صحيحًا ≥ 0",IF(AND($F2892="Baseline",$H2892&lt;&gt;""),"⚠ Baseline: Start لا يدخل في التقدم",IF($K2892="No Start (attainment only)","ℹ تحصيل فقط (بدون Start)",IF($K2892="U – needs rule","ℹ حالة U تحتاج قاعدة معتمدة",IF($K2892="No result","ℹ بدون نتيجة (يُستبعد من التحصيل)","OK")))))))))))</f>
        <v/>
      </c>
      <c r="M2892" s="64" t="n">
        <f aca="false">IF($A2892="",0,IFERROR(MATCH($A2892,Classes!$A$6:$A$420,0),0))</f>
        <v>0</v>
      </c>
      <c r="N2892" s="64" t="n">
        <f aca="false">IF($H2892="",0,IFERROR(MATCH($H2892,GradeList,0),0))</f>
        <v>0</v>
      </c>
      <c r="O2892" s="64" t="n">
        <f aca="false">IF(OR($I2892="",$I2892="NR"),0,IFERROR(MATCH($I2892,GradeList,0),0))</f>
        <v>0</v>
      </c>
      <c r="P2892" s="64" t="n">
        <f aca="false">IF(AND($M2892&gt;0,ISNUMBER(MATCH($F2892,Lists!$A$2:$A$5,0)),ISNUMBER(MATCH($G2892,Lists!$B$2:$B$7,0)),OR($H2892="",$N2892&gt;0),OR($I2892="",$I2892="NR",$O2892&gt;0),IF(ISNUMBER($J2892),AND($J2892&gt;=0,$J2892=INT($J2892)),FALSE())),$J2892,0)</f>
        <v>0</v>
      </c>
      <c r="Q2892" s="64" t="n">
        <f aca="false">IF(AND($P2892&gt;0,$O2892&gt;0),$P2892,0)</f>
        <v>0</v>
      </c>
      <c r="R2892" s="64" t="n">
        <f aca="false">IF(AND($Q2892&gt;0,$O2892&gt;=AtRank),$Q2892,0)</f>
        <v>0</v>
      </c>
      <c r="S2892" s="64" t="n">
        <f aca="false">IF(AND($Q2892&gt;0,$O2892&gt;=AboveRank),$Q2892,0)</f>
        <v>0</v>
      </c>
      <c r="T2892" s="64" t="n">
        <f aca="false">IF($K2892="Less",$P2892,0)</f>
        <v>0</v>
      </c>
      <c r="U2892" s="64" t="n">
        <f aca="false">IF($K2892="Expected",$P2892,0)</f>
        <v>0</v>
      </c>
      <c r="V2892" s="64" t="n">
        <f aca="false">IF($K2892="Better",$P2892,0)</f>
        <v>0</v>
      </c>
      <c r="W2892" s="64" t="n">
        <f aca="false">IF($K2892="U – needs rule",$P2892,0)</f>
        <v>0</v>
      </c>
      <c r="X2892" s="64" t="n">
        <f aca="false">IF($K2892="No Start (attainment only)",$P2892,0)</f>
        <v>0</v>
      </c>
    </row>
    <row r="2893" customFormat="false" ht="15" hidden="false" customHeight="false" outlineLevel="0" collapsed="false">
      <c r="A2893" s="60"/>
      <c r="B2893" s="61" t="str">
        <f aca="false">IF($M2893=0,"",INDEX(Classes!$E$6:$E$420,$M2893))</f>
        <v/>
      </c>
      <c r="C2893" s="62" t="str">
        <f aca="false">IF($M2893=0,"",INDEX(Classes!$H$6:$H$420,$M2893))</f>
        <v/>
      </c>
      <c r="D2893" s="61" t="str">
        <f aca="false">IF($M2893=0,"",INDEX(Classes!$B$6:$B$420,$M2893))</f>
        <v/>
      </c>
      <c r="E2893" s="61" t="str">
        <f aca="false">IF($M2893=0,"",INDEX(Classes!$C$6:$C$420,$M2893))</f>
        <v/>
      </c>
      <c r="F2893" s="63"/>
      <c r="G2893" s="63"/>
      <c r="H2893" s="60"/>
      <c r="I2893" s="60"/>
      <c r="J2893" s="63"/>
      <c r="K2893" s="61" t="str">
        <f aca="false">IF($P2893=0,"",IF($F2893="Baseline","— Baseline",IF($O2893=0,"No result",IF($N2893=0,"No Start (attainment only)",IF(OR($N2893=1,$O2893=1),"U – needs rule",INDEX(MxBody,MATCH($I2893,MxCurr,0),MATCH($H2893,MxStart,0)))))))</f>
        <v/>
      </c>
      <c r="L2893" s="62" t="str">
        <f aca="false">IF(COUNTA($A2893,$F2893,$G2893,$H2893,$I2893,$J2893)=0,"",IF($M2893=0,"✖ كود الصف غير موجود",IF(ISNA(MATCH($F2893,Lists!$A$2:$A$5,0)),"✖ الفترة غير صحيحة",IF(ISNA(MATCH($G2893,Lists!$B$2:$B$7,0)),"✖ المجموعة غير صحيحة",IF(NOT(OR($H2893="",$N2893&gt;0)),"✖ Start غير صحيح",IF(NOT(OR($I2893="",$I2893="NR",$O2893&gt;0)),"✖ Current غير صحيح",IF(NOT(IF(ISNUMBER($J2893),AND($J2893&gt;=0,$J2893=INT($J2893)),FALSE())),"✖ العدد يجب أن يكون صحيحًا ≥ 0",IF(AND($F2893="Baseline",$H2893&lt;&gt;""),"⚠ Baseline: Start لا يدخل في التقدم",IF($K2893="No Start (attainment only)","ℹ تحصيل فقط (بدون Start)",IF($K2893="U – needs rule","ℹ حالة U تحتاج قاعدة معتمدة",IF($K2893="No result","ℹ بدون نتيجة (يُستبعد من التحصيل)","OK")))))))))))</f>
        <v/>
      </c>
      <c r="M2893" s="64" t="n">
        <f aca="false">IF($A2893="",0,IFERROR(MATCH($A2893,Classes!$A$6:$A$420,0),0))</f>
        <v>0</v>
      </c>
      <c r="N2893" s="64" t="n">
        <f aca="false">IF($H2893="",0,IFERROR(MATCH($H2893,GradeList,0),0))</f>
        <v>0</v>
      </c>
      <c r="O2893" s="64" t="n">
        <f aca="false">IF(OR($I2893="",$I2893="NR"),0,IFERROR(MATCH($I2893,GradeList,0),0))</f>
        <v>0</v>
      </c>
      <c r="P2893" s="64" t="n">
        <f aca="false">IF(AND($M2893&gt;0,ISNUMBER(MATCH($F2893,Lists!$A$2:$A$5,0)),ISNUMBER(MATCH($G2893,Lists!$B$2:$B$7,0)),OR($H2893="",$N2893&gt;0),OR($I2893="",$I2893="NR",$O2893&gt;0),IF(ISNUMBER($J2893),AND($J2893&gt;=0,$J2893=INT($J2893)),FALSE())),$J2893,0)</f>
        <v>0</v>
      </c>
      <c r="Q2893" s="64" t="n">
        <f aca="false">IF(AND($P2893&gt;0,$O2893&gt;0),$P2893,0)</f>
        <v>0</v>
      </c>
      <c r="R2893" s="64" t="n">
        <f aca="false">IF(AND($Q2893&gt;0,$O2893&gt;=AtRank),$Q2893,0)</f>
        <v>0</v>
      </c>
      <c r="S2893" s="64" t="n">
        <f aca="false">IF(AND($Q2893&gt;0,$O2893&gt;=AboveRank),$Q2893,0)</f>
        <v>0</v>
      </c>
      <c r="T2893" s="64" t="n">
        <f aca="false">IF($K2893="Less",$P2893,0)</f>
        <v>0</v>
      </c>
      <c r="U2893" s="64" t="n">
        <f aca="false">IF($K2893="Expected",$P2893,0)</f>
        <v>0</v>
      </c>
      <c r="V2893" s="64" t="n">
        <f aca="false">IF($K2893="Better",$P2893,0)</f>
        <v>0</v>
      </c>
      <c r="W2893" s="64" t="n">
        <f aca="false">IF($K2893="U – needs rule",$P2893,0)</f>
        <v>0</v>
      </c>
      <c r="X2893" s="64" t="n">
        <f aca="false">IF($K2893="No Start (attainment only)",$P2893,0)</f>
        <v>0</v>
      </c>
    </row>
    <row r="2894" customFormat="false" ht="15" hidden="false" customHeight="false" outlineLevel="0" collapsed="false">
      <c r="A2894" s="60"/>
      <c r="B2894" s="61" t="str">
        <f aca="false">IF($M2894=0,"",INDEX(Classes!$E$6:$E$420,$M2894))</f>
        <v/>
      </c>
      <c r="C2894" s="62" t="str">
        <f aca="false">IF($M2894=0,"",INDEX(Classes!$H$6:$H$420,$M2894))</f>
        <v/>
      </c>
      <c r="D2894" s="61" t="str">
        <f aca="false">IF($M2894=0,"",INDEX(Classes!$B$6:$B$420,$M2894))</f>
        <v/>
      </c>
      <c r="E2894" s="61" t="str">
        <f aca="false">IF($M2894=0,"",INDEX(Classes!$C$6:$C$420,$M2894))</f>
        <v/>
      </c>
      <c r="F2894" s="63"/>
      <c r="G2894" s="63"/>
      <c r="H2894" s="60"/>
      <c r="I2894" s="60"/>
      <c r="J2894" s="63"/>
      <c r="K2894" s="61" t="str">
        <f aca="false">IF($P2894=0,"",IF($F2894="Baseline","— Baseline",IF($O2894=0,"No result",IF($N2894=0,"No Start (attainment only)",IF(OR($N2894=1,$O2894=1),"U – needs rule",INDEX(MxBody,MATCH($I2894,MxCurr,0),MATCH($H2894,MxStart,0)))))))</f>
        <v/>
      </c>
      <c r="L2894" s="62" t="str">
        <f aca="false">IF(COUNTA($A2894,$F2894,$G2894,$H2894,$I2894,$J2894)=0,"",IF($M2894=0,"✖ كود الصف غير موجود",IF(ISNA(MATCH($F2894,Lists!$A$2:$A$5,0)),"✖ الفترة غير صحيحة",IF(ISNA(MATCH($G2894,Lists!$B$2:$B$7,0)),"✖ المجموعة غير صحيحة",IF(NOT(OR($H2894="",$N2894&gt;0)),"✖ Start غير صحيح",IF(NOT(OR($I2894="",$I2894="NR",$O2894&gt;0)),"✖ Current غير صحيح",IF(NOT(IF(ISNUMBER($J2894),AND($J2894&gt;=0,$J2894=INT($J2894)),FALSE())),"✖ العدد يجب أن يكون صحيحًا ≥ 0",IF(AND($F2894="Baseline",$H2894&lt;&gt;""),"⚠ Baseline: Start لا يدخل في التقدم",IF($K2894="No Start (attainment only)","ℹ تحصيل فقط (بدون Start)",IF($K2894="U – needs rule","ℹ حالة U تحتاج قاعدة معتمدة",IF($K2894="No result","ℹ بدون نتيجة (يُستبعد من التحصيل)","OK")))))))))))</f>
        <v/>
      </c>
      <c r="M2894" s="64" t="n">
        <f aca="false">IF($A2894="",0,IFERROR(MATCH($A2894,Classes!$A$6:$A$420,0),0))</f>
        <v>0</v>
      </c>
      <c r="N2894" s="64" t="n">
        <f aca="false">IF($H2894="",0,IFERROR(MATCH($H2894,GradeList,0),0))</f>
        <v>0</v>
      </c>
      <c r="O2894" s="64" t="n">
        <f aca="false">IF(OR($I2894="",$I2894="NR"),0,IFERROR(MATCH($I2894,GradeList,0),0))</f>
        <v>0</v>
      </c>
      <c r="P2894" s="64" t="n">
        <f aca="false">IF(AND($M2894&gt;0,ISNUMBER(MATCH($F2894,Lists!$A$2:$A$5,0)),ISNUMBER(MATCH($G2894,Lists!$B$2:$B$7,0)),OR($H2894="",$N2894&gt;0),OR($I2894="",$I2894="NR",$O2894&gt;0),IF(ISNUMBER($J2894),AND($J2894&gt;=0,$J2894=INT($J2894)),FALSE())),$J2894,0)</f>
        <v>0</v>
      </c>
      <c r="Q2894" s="64" t="n">
        <f aca="false">IF(AND($P2894&gt;0,$O2894&gt;0),$P2894,0)</f>
        <v>0</v>
      </c>
      <c r="R2894" s="64" t="n">
        <f aca="false">IF(AND($Q2894&gt;0,$O2894&gt;=AtRank),$Q2894,0)</f>
        <v>0</v>
      </c>
      <c r="S2894" s="64" t="n">
        <f aca="false">IF(AND($Q2894&gt;0,$O2894&gt;=AboveRank),$Q2894,0)</f>
        <v>0</v>
      </c>
      <c r="T2894" s="64" t="n">
        <f aca="false">IF($K2894="Less",$P2894,0)</f>
        <v>0</v>
      </c>
      <c r="U2894" s="64" t="n">
        <f aca="false">IF($K2894="Expected",$P2894,0)</f>
        <v>0</v>
      </c>
      <c r="V2894" s="64" t="n">
        <f aca="false">IF($K2894="Better",$P2894,0)</f>
        <v>0</v>
      </c>
      <c r="W2894" s="64" t="n">
        <f aca="false">IF($K2894="U – needs rule",$P2894,0)</f>
        <v>0</v>
      </c>
      <c r="X2894" s="64" t="n">
        <f aca="false">IF($K2894="No Start (attainment only)",$P2894,0)</f>
        <v>0</v>
      </c>
    </row>
    <row r="2895" customFormat="false" ht="15" hidden="false" customHeight="false" outlineLevel="0" collapsed="false">
      <c r="A2895" s="60"/>
      <c r="B2895" s="61" t="str">
        <f aca="false">IF($M2895=0,"",INDEX(Classes!$E$6:$E$420,$M2895))</f>
        <v/>
      </c>
      <c r="C2895" s="62" t="str">
        <f aca="false">IF($M2895=0,"",INDEX(Classes!$H$6:$H$420,$M2895))</f>
        <v/>
      </c>
      <c r="D2895" s="61" t="str">
        <f aca="false">IF($M2895=0,"",INDEX(Classes!$B$6:$B$420,$M2895))</f>
        <v/>
      </c>
      <c r="E2895" s="61" t="str">
        <f aca="false">IF($M2895=0,"",INDEX(Classes!$C$6:$C$420,$M2895))</f>
        <v/>
      </c>
      <c r="F2895" s="63"/>
      <c r="G2895" s="63"/>
      <c r="H2895" s="60"/>
      <c r="I2895" s="60"/>
      <c r="J2895" s="63"/>
      <c r="K2895" s="61" t="str">
        <f aca="false">IF($P2895=0,"",IF($F2895="Baseline","— Baseline",IF($O2895=0,"No result",IF($N2895=0,"No Start (attainment only)",IF(OR($N2895=1,$O2895=1),"U – needs rule",INDEX(MxBody,MATCH($I2895,MxCurr,0),MATCH($H2895,MxStart,0)))))))</f>
        <v/>
      </c>
      <c r="L2895" s="62" t="str">
        <f aca="false">IF(COUNTA($A2895,$F2895,$G2895,$H2895,$I2895,$J2895)=0,"",IF($M2895=0,"✖ كود الصف غير موجود",IF(ISNA(MATCH($F2895,Lists!$A$2:$A$5,0)),"✖ الفترة غير صحيحة",IF(ISNA(MATCH($G2895,Lists!$B$2:$B$7,0)),"✖ المجموعة غير صحيحة",IF(NOT(OR($H2895="",$N2895&gt;0)),"✖ Start غير صحيح",IF(NOT(OR($I2895="",$I2895="NR",$O2895&gt;0)),"✖ Current غير صحيح",IF(NOT(IF(ISNUMBER($J2895),AND($J2895&gt;=0,$J2895=INT($J2895)),FALSE())),"✖ العدد يجب أن يكون صحيحًا ≥ 0",IF(AND($F2895="Baseline",$H2895&lt;&gt;""),"⚠ Baseline: Start لا يدخل في التقدم",IF($K2895="No Start (attainment only)","ℹ تحصيل فقط (بدون Start)",IF($K2895="U – needs rule","ℹ حالة U تحتاج قاعدة معتمدة",IF($K2895="No result","ℹ بدون نتيجة (يُستبعد من التحصيل)","OK")))))))))))</f>
        <v/>
      </c>
      <c r="M2895" s="64" t="n">
        <f aca="false">IF($A2895="",0,IFERROR(MATCH($A2895,Classes!$A$6:$A$420,0),0))</f>
        <v>0</v>
      </c>
      <c r="N2895" s="64" t="n">
        <f aca="false">IF($H2895="",0,IFERROR(MATCH($H2895,GradeList,0),0))</f>
        <v>0</v>
      </c>
      <c r="O2895" s="64" t="n">
        <f aca="false">IF(OR($I2895="",$I2895="NR"),0,IFERROR(MATCH($I2895,GradeList,0),0))</f>
        <v>0</v>
      </c>
      <c r="P2895" s="64" t="n">
        <f aca="false">IF(AND($M2895&gt;0,ISNUMBER(MATCH($F2895,Lists!$A$2:$A$5,0)),ISNUMBER(MATCH($G2895,Lists!$B$2:$B$7,0)),OR($H2895="",$N2895&gt;0),OR($I2895="",$I2895="NR",$O2895&gt;0),IF(ISNUMBER($J2895),AND($J2895&gt;=0,$J2895=INT($J2895)),FALSE())),$J2895,0)</f>
        <v>0</v>
      </c>
      <c r="Q2895" s="64" t="n">
        <f aca="false">IF(AND($P2895&gt;0,$O2895&gt;0),$P2895,0)</f>
        <v>0</v>
      </c>
      <c r="R2895" s="64" t="n">
        <f aca="false">IF(AND($Q2895&gt;0,$O2895&gt;=AtRank),$Q2895,0)</f>
        <v>0</v>
      </c>
      <c r="S2895" s="64" t="n">
        <f aca="false">IF(AND($Q2895&gt;0,$O2895&gt;=AboveRank),$Q2895,0)</f>
        <v>0</v>
      </c>
      <c r="T2895" s="64" t="n">
        <f aca="false">IF($K2895="Less",$P2895,0)</f>
        <v>0</v>
      </c>
      <c r="U2895" s="64" t="n">
        <f aca="false">IF($K2895="Expected",$P2895,0)</f>
        <v>0</v>
      </c>
      <c r="V2895" s="64" t="n">
        <f aca="false">IF($K2895="Better",$P2895,0)</f>
        <v>0</v>
      </c>
      <c r="W2895" s="64" t="n">
        <f aca="false">IF($K2895="U – needs rule",$P2895,0)</f>
        <v>0</v>
      </c>
      <c r="X2895" s="64" t="n">
        <f aca="false">IF($K2895="No Start (attainment only)",$P2895,0)</f>
        <v>0</v>
      </c>
    </row>
    <row r="2896" customFormat="false" ht="15" hidden="false" customHeight="false" outlineLevel="0" collapsed="false">
      <c r="A2896" s="60"/>
      <c r="B2896" s="61" t="str">
        <f aca="false">IF($M2896=0,"",INDEX(Classes!$E$6:$E$420,$M2896))</f>
        <v/>
      </c>
      <c r="C2896" s="62" t="str">
        <f aca="false">IF($M2896=0,"",INDEX(Classes!$H$6:$H$420,$M2896))</f>
        <v/>
      </c>
      <c r="D2896" s="61" t="str">
        <f aca="false">IF($M2896=0,"",INDEX(Classes!$B$6:$B$420,$M2896))</f>
        <v/>
      </c>
      <c r="E2896" s="61" t="str">
        <f aca="false">IF($M2896=0,"",INDEX(Classes!$C$6:$C$420,$M2896))</f>
        <v/>
      </c>
      <c r="F2896" s="63"/>
      <c r="G2896" s="63"/>
      <c r="H2896" s="60"/>
      <c r="I2896" s="60"/>
      <c r="J2896" s="63"/>
      <c r="K2896" s="61" t="str">
        <f aca="false">IF($P2896=0,"",IF($F2896="Baseline","— Baseline",IF($O2896=0,"No result",IF($N2896=0,"No Start (attainment only)",IF(OR($N2896=1,$O2896=1),"U – needs rule",INDEX(MxBody,MATCH($I2896,MxCurr,0),MATCH($H2896,MxStart,0)))))))</f>
        <v/>
      </c>
      <c r="L2896" s="62" t="str">
        <f aca="false">IF(COUNTA($A2896,$F2896,$G2896,$H2896,$I2896,$J2896)=0,"",IF($M2896=0,"✖ كود الصف غير موجود",IF(ISNA(MATCH($F2896,Lists!$A$2:$A$5,0)),"✖ الفترة غير صحيحة",IF(ISNA(MATCH($G2896,Lists!$B$2:$B$7,0)),"✖ المجموعة غير صحيحة",IF(NOT(OR($H2896="",$N2896&gt;0)),"✖ Start غير صحيح",IF(NOT(OR($I2896="",$I2896="NR",$O2896&gt;0)),"✖ Current غير صحيح",IF(NOT(IF(ISNUMBER($J2896),AND($J2896&gt;=0,$J2896=INT($J2896)),FALSE())),"✖ العدد يجب أن يكون صحيحًا ≥ 0",IF(AND($F2896="Baseline",$H2896&lt;&gt;""),"⚠ Baseline: Start لا يدخل في التقدم",IF($K2896="No Start (attainment only)","ℹ تحصيل فقط (بدون Start)",IF($K2896="U – needs rule","ℹ حالة U تحتاج قاعدة معتمدة",IF($K2896="No result","ℹ بدون نتيجة (يُستبعد من التحصيل)","OK")))))))))))</f>
        <v/>
      </c>
      <c r="M2896" s="64" t="n">
        <f aca="false">IF($A2896="",0,IFERROR(MATCH($A2896,Classes!$A$6:$A$420,0),0))</f>
        <v>0</v>
      </c>
      <c r="N2896" s="64" t="n">
        <f aca="false">IF($H2896="",0,IFERROR(MATCH($H2896,GradeList,0),0))</f>
        <v>0</v>
      </c>
      <c r="O2896" s="64" t="n">
        <f aca="false">IF(OR($I2896="",$I2896="NR"),0,IFERROR(MATCH($I2896,GradeList,0),0))</f>
        <v>0</v>
      </c>
      <c r="P2896" s="64" t="n">
        <f aca="false">IF(AND($M2896&gt;0,ISNUMBER(MATCH($F2896,Lists!$A$2:$A$5,0)),ISNUMBER(MATCH($G2896,Lists!$B$2:$B$7,0)),OR($H2896="",$N2896&gt;0),OR($I2896="",$I2896="NR",$O2896&gt;0),IF(ISNUMBER($J2896),AND($J2896&gt;=0,$J2896=INT($J2896)),FALSE())),$J2896,0)</f>
        <v>0</v>
      </c>
      <c r="Q2896" s="64" t="n">
        <f aca="false">IF(AND($P2896&gt;0,$O2896&gt;0),$P2896,0)</f>
        <v>0</v>
      </c>
      <c r="R2896" s="64" t="n">
        <f aca="false">IF(AND($Q2896&gt;0,$O2896&gt;=AtRank),$Q2896,0)</f>
        <v>0</v>
      </c>
      <c r="S2896" s="64" t="n">
        <f aca="false">IF(AND($Q2896&gt;0,$O2896&gt;=AboveRank),$Q2896,0)</f>
        <v>0</v>
      </c>
      <c r="T2896" s="64" t="n">
        <f aca="false">IF($K2896="Less",$P2896,0)</f>
        <v>0</v>
      </c>
      <c r="U2896" s="64" t="n">
        <f aca="false">IF($K2896="Expected",$P2896,0)</f>
        <v>0</v>
      </c>
      <c r="V2896" s="64" t="n">
        <f aca="false">IF($K2896="Better",$P2896,0)</f>
        <v>0</v>
      </c>
      <c r="W2896" s="64" t="n">
        <f aca="false">IF($K2896="U – needs rule",$P2896,0)</f>
        <v>0</v>
      </c>
      <c r="X2896" s="64" t="n">
        <f aca="false">IF($K2896="No Start (attainment only)",$P2896,0)</f>
        <v>0</v>
      </c>
    </row>
    <row r="2897" customFormat="false" ht="15" hidden="false" customHeight="false" outlineLevel="0" collapsed="false">
      <c r="A2897" s="60"/>
      <c r="B2897" s="61" t="str">
        <f aca="false">IF($M2897=0,"",INDEX(Classes!$E$6:$E$420,$M2897))</f>
        <v/>
      </c>
      <c r="C2897" s="62" t="str">
        <f aca="false">IF($M2897=0,"",INDEX(Classes!$H$6:$H$420,$M2897))</f>
        <v/>
      </c>
      <c r="D2897" s="61" t="str">
        <f aca="false">IF($M2897=0,"",INDEX(Classes!$B$6:$B$420,$M2897))</f>
        <v/>
      </c>
      <c r="E2897" s="61" t="str">
        <f aca="false">IF($M2897=0,"",INDEX(Classes!$C$6:$C$420,$M2897))</f>
        <v/>
      </c>
      <c r="F2897" s="63"/>
      <c r="G2897" s="63"/>
      <c r="H2897" s="60"/>
      <c r="I2897" s="60"/>
      <c r="J2897" s="63"/>
      <c r="K2897" s="61" t="str">
        <f aca="false">IF($P2897=0,"",IF($F2897="Baseline","— Baseline",IF($O2897=0,"No result",IF($N2897=0,"No Start (attainment only)",IF(OR($N2897=1,$O2897=1),"U – needs rule",INDEX(MxBody,MATCH($I2897,MxCurr,0),MATCH($H2897,MxStart,0)))))))</f>
        <v/>
      </c>
      <c r="L2897" s="62" t="str">
        <f aca="false">IF(COUNTA($A2897,$F2897,$G2897,$H2897,$I2897,$J2897)=0,"",IF($M2897=0,"✖ كود الصف غير موجود",IF(ISNA(MATCH($F2897,Lists!$A$2:$A$5,0)),"✖ الفترة غير صحيحة",IF(ISNA(MATCH($G2897,Lists!$B$2:$B$7,0)),"✖ المجموعة غير صحيحة",IF(NOT(OR($H2897="",$N2897&gt;0)),"✖ Start غير صحيح",IF(NOT(OR($I2897="",$I2897="NR",$O2897&gt;0)),"✖ Current غير صحيح",IF(NOT(IF(ISNUMBER($J2897),AND($J2897&gt;=0,$J2897=INT($J2897)),FALSE())),"✖ العدد يجب أن يكون صحيحًا ≥ 0",IF(AND($F2897="Baseline",$H2897&lt;&gt;""),"⚠ Baseline: Start لا يدخل في التقدم",IF($K2897="No Start (attainment only)","ℹ تحصيل فقط (بدون Start)",IF($K2897="U – needs rule","ℹ حالة U تحتاج قاعدة معتمدة",IF($K2897="No result","ℹ بدون نتيجة (يُستبعد من التحصيل)","OK")))))))))))</f>
        <v/>
      </c>
      <c r="M2897" s="64" t="n">
        <f aca="false">IF($A2897="",0,IFERROR(MATCH($A2897,Classes!$A$6:$A$420,0),0))</f>
        <v>0</v>
      </c>
      <c r="N2897" s="64" t="n">
        <f aca="false">IF($H2897="",0,IFERROR(MATCH($H2897,GradeList,0),0))</f>
        <v>0</v>
      </c>
      <c r="O2897" s="64" t="n">
        <f aca="false">IF(OR($I2897="",$I2897="NR"),0,IFERROR(MATCH($I2897,GradeList,0),0))</f>
        <v>0</v>
      </c>
      <c r="P2897" s="64" t="n">
        <f aca="false">IF(AND($M2897&gt;0,ISNUMBER(MATCH($F2897,Lists!$A$2:$A$5,0)),ISNUMBER(MATCH($G2897,Lists!$B$2:$B$7,0)),OR($H2897="",$N2897&gt;0),OR($I2897="",$I2897="NR",$O2897&gt;0),IF(ISNUMBER($J2897),AND($J2897&gt;=0,$J2897=INT($J2897)),FALSE())),$J2897,0)</f>
        <v>0</v>
      </c>
      <c r="Q2897" s="64" t="n">
        <f aca="false">IF(AND($P2897&gt;0,$O2897&gt;0),$P2897,0)</f>
        <v>0</v>
      </c>
      <c r="R2897" s="64" t="n">
        <f aca="false">IF(AND($Q2897&gt;0,$O2897&gt;=AtRank),$Q2897,0)</f>
        <v>0</v>
      </c>
      <c r="S2897" s="64" t="n">
        <f aca="false">IF(AND($Q2897&gt;0,$O2897&gt;=AboveRank),$Q2897,0)</f>
        <v>0</v>
      </c>
      <c r="T2897" s="64" t="n">
        <f aca="false">IF($K2897="Less",$P2897,0)</f>
        <v>0</v>
      </c>
      <c r="U2897" s="64" t="n">
        <f aca="false">IF($K2897="Expected",$P2897,0)</f>
        <v>0</v>
      </c>
      <c r="V2897" s="64" t="n">
        <f aca="false">IF($K2897="Better",$P2897,0)</f>
        <v>0</v>
      </c>
      <c r="W2897" s="64" t="n">
        <f aca="false">IF($K2897="U – needs rule",$P2897,0)</f>
        <v>0</v>
      </c>
      <c r="X2897" s="64" t="n">
        <f aca="false">IF($K2897="No Start (attainment only)",$P2897,0)</f>
        <v>0</v>
      </c>
    </row>
    <row r="2898" customFormat="false" ht="15" hidden="false" customHeight="false" outlineLevel="0" collapsed="false">
      <c r="A2898" s="60"/>
      <c r="B2898" s="61" t="str">
        <f aca="false">IF($M2898=0,"",INDEX(Classes!$E$6:$E$420,$M2898))</f>
        <v/>
      </c>
      <c r="C2898" s="62" t="str">
        <f aca="false">IF($M2898=0,"",INDEX(Classes!$H$6:$H$420,$M2898))</f>
        <v/>
      </c>
      <c r="D2898" s="61" t="str">
        <f aca="false">IF($M2898=0,"",INDEX(Classes!$B$6:$B$420,$M2898))</f>
        <v/>
      </c>
      <c r="E2898" s="61" t="str">
        <f aca="false">IF($M2898=0,"",INDEX(Classes!$C$6:$C$420,$M2898))</f>
        <v/>
      </c>
      <c r="F2898" s="63"/>
      <c r="G2898" s="63"/>
      <c r="H2898" s="60"/>
      <c r="I2898" s="60"/>
      <c r="J2898" s="63"/>
      <c r="K2898" s="61" t="str">
        <f aca="false">IF($P2898=0,"",IF($F2898="Baseline","— Baseline",IF($O2898=0,"No result",IF($N2898=0,"No Start (attainment only)",IF(OR($N2898=1,$O2898=1),"U – needs rule",INDEX(MxBody,MATCH($I2898,MxCurr,0),MATCH($H2898,MxStart,0)))))))</f>
        <v/>
      </c>
      <c r="L2898" s="62" t="str">
        <f aca="false">IF(COUNTA($A2898,$F2898,$G2898,$H2898,$I2898,$J2898)=0,"",IF($M2898=0,"✖ كود الصف غير موجود",IF(ISNA(MATCH($F2898,Lists!$A$2:$A$5,0)),"✖ الفترة غير صحيحة",IF(ISNA(MATCH($G2898,Lists!$B$2:$B$7,0)),"✖ المجموعة غير صحيحة",IF(NOT(OR($H2898="",$N2898&gt;0)),"✖ Start غير صحيح",IF(NOT(OR($I2898="",$I2898="NR",$O2898&gt;0)),"✖ Current غير صحيح",IF(NOT(IF(ISNUMBER($J2898),AND($J2898&gt;=0,$J2898=INT($J2898)),FALSE())),"✖ العدد يجب أن يكون صحيحًا ≥ 0",IF(AND($F2898="Baseline",$H2898&lt;&gt;""),"⚠ Baseline: Start لا يدخل في التقدم",IF($K2898="No Start (attainment only)","ℹ تحصيل فقط (بدون Start)",IF($K2898="U – needs rule","ℹ حالة U تحتاج قاعدة معتمدة",IF($K2898="No result","ℹ بدون نتيجة (يُستبعد من التحصيل)","OK")))))))))))</f>
        <v/>
      </c>
      <c r="M2898" s="64" t="n">
        <f aca="false">IF($A2898="",0,IFERROR(MATCH($A2898,Classes!$A$6:$A$420,0),0))</f>
        <v>0</v>
      </c>
      <c r="N2898" s="64" t="n">
        <f aca="false">IF($H2898="",0,IFERROR(MATCH($H2898,GradeList,0),0))</f>
        <v>0</v>
      </c>
      <c r="O2898" s="64" t="n">
        <f aca="false">IF(OR($I2898="",$I2898="NR"),0,IFERROR(MATCH($I2898,GradeList,0),0))</f>
        <v>0</v>
      </c>
      <c r="P2898" s="64" t="n">
        <f aca="false">IF(AND($M2898&gt;0,ISNUMBER(MATCH($F2898,Lists!$A$2:$A$5,0)),ISNUMBER(MATCH($G2898,Lists!$B$2:$B$7,0)),OR($H2898="",$N2898&gt;0),OR($I2898="",$I2898="NR",$O2898&gt;0),IF(ISNUMBER($J2898),AND($J2898&gt;=0,$J2898=INT($J2898)),FALSE())),$J2898,0)</f>
        <v>0</v>
      </c>
      <c r="Q2898" s="64" t="n">
        <f aca="false">IF(AND($P2898&gt;0,$O2898&gt;0),$P2898,0)</f>
        <v>0</v>
      </c>
      <c r="R2898" s="64" t="n">
        <f aca="false">IF(AND($Q2898&gt;0,$O2898&gt;=AtRank),$Q2898,0)</f>
        <v>0</v>
      </c>
      <c r="S2898" s="64" t="n">
        <f aca="false">IF(AND($Q2898&gt;0,$O2898&gt;=AboveRank),$Q2898,0)</f>
        <v>0</v>
      </c>
      <c r="T2898" s="64" t="n">
        <f aca="false">IF($K2898="Less",$P2898,0)</f>
        <v>0</v>
      </c>
      <c r="U2898" s="64" t="n">
        <f aca="false">IF($K2898="Expected",$P2898,0)</f>
        <v>0</v>
      </c>
      <c r="V2898" s="64" t="n">
        <f aca="false">IF($K2898="Better",$P2898,0)</f>
        <v>0</v>
      </c>
      <c r="W2898" s="64" t="n">
        <f aca="false">IF($K2898="U – needs rule",$P2898,0)</f>
        <v>0</v>
      </c>
      <c r="X2898" s="64" t="n">
        <f aca="false">IF($K2898="No Start (attainment only)",$P2898,0)</f>
        <v>0</v>
      </c>
    </row>
    <row r="2899" customFormat="false" ht="15" hidden="false" customHeight="false" outlineLevel="0" collapsed="false">
      <c r="A2899" s="60"/>
      <c r="B2899" s="61" t="str">
        <f aca="false">IF($M2899=0,"",INDEX(Classes!$E$6:$E$420,$M2899))</f>
        <v/>
      </c>
      <c r="C2899" s="62" t="str">
        <f aca="false">IF($M2899=0,"",INDEX(Classes!$H$6:$H$420,$M2899))</f>
        <v/>
      </c>
      <c r="D2899" s="61" t="str">
        <f aca="false">IF($M2899=0,"",INDEX(Classes!$B$6:$B$420,$M2899))</f>
        <v/>
      </c>
      <c r="E2899" s="61" t="str">
        <f aca="false">IF($M2899=0,"",INDEX(Classes!$C$6:$C$420,$M2899))</f>
        <v/>
      </c>
      <c r="F2899" s="63"/>
      <c r="G2899" s="63"/>
      <c r="H2899" s="60"/>
      <c r="I2899" s="60"/>
      <c r="J2899" s="63"/>
      <c r="K2899" s="61" t="str">
        <f aca="false">IF($P2899=0,"",IF($F2899="Baseline","— Baseline",IF($O2899=0,"No result",IF($N2899=0,"No Start (attainment only)",IF(OR($N2899=1,$O2899=1),"U – needs rule",INDEX(MxBody,MATCH($I2899,MxCurr,0),MATCH($H2899,MxStart,0)))))))</f>
        <v/>
      </c>
      <c r="L2899" s="62" t="str">
        <f aca="false">IF(COUNTA($A2899,$F2899,$G2899,$H2899,$I2899,$J2899)=0,"",IF($M2899=0,"✖ كود الصف غير موجود",IF(ISNA(MATCH($F2899,Lists!$A$2:$A$5,0)),"✖ الفترة غير صحيحة",IF(ISNA(MATCH($G2899,Lists!$B$2:$B$7,0)),"✖ المجموعة غير صحيحة",IF(NOT(OR($H2899="",$N2899&gt;0)),"✖ Start غير صحيح",IF(NOT(OR($I2899="",$I2899="NR",$O2899&gt;0)),"✖ Current غير صحيح",IF(NOT(IF(ISNUMBER($J2899),AND($J2899&gt;=0,$J2899=INT($J2899)),FALSE())),"✖ العدد يجب أن يكون صحيحًا ≥ 0",IF(AND($F2899="Baseline",$H2899&lt;&gt;""),"⚠ Baseline: Start لا يدخل في التقدم",IF($K2899="No Start (attainment only)","ℹ تحصيل فقط (بدون Start)",IF($K2899="U – needs rule","ℹ حالة U تحتاج قاعدة معتمدة",IF($K2899="No result","ℹ بدون نتيجة (يُستبعد من التحصيل)","OK")))))))))))</f>
        <v/>
      </c>
      <c r="M2899" s="64" t="n">
        <f aca="false">IF($A2899="",0,IFERROR(MATCH($A2899,Classes!$A$6:$A$420,0),0))</f>
        <v>0</v>
      </c>
      <c r="N2899" s="64" t="n">
        <f aca="false">IF($H2899="",0,IFERROR(MATCH($H2899,GradeList,0),0))</f>
        <v>0</v>
      </c>
      <c r="O2899" s="64" t="n">
        <f aca="false">IF(OR($I2899="",$I2899="NR"),0,IFERROR(MATCH($I2899,GradeList,0),0))</f>
        <v>0</v>
      </c>
      <c r="P2899" s="64" t="n">
        <f aca="false">IF(AND($M2899&gt;0,ISNUMBER(MATCH($F2899,Lists!$A$2:$A$5,0)),ISNUMBER(MATCH($G2899,Lists!$B$2:$B$7,0)),OR($H2899="",$N2899&gt;0),OR($I2899="",$I2899="NR",$O2899&gt;0),IF(ISNUMBER($J2899),AND($J2899&gt;=0,$J2899=INT($J2899)),FALSE())),$J2899,0)</f>
        <v>0</v>
      </c>
      <c r="Q2899" s="64" t="n">
        <f aca="false">IF(AND($P2899&gt;0,$O2899&gt;0),$P2899,0)</f>
        <v>0</v>
      </c>
      <c r="R2899" s="64" t="n">
        <f aca="false">IF(AND($Q2899&gt;0,$O2899&gt;=AtRank),$Q2899,0)</f>
        <v>0</v>
      </c>
      <c r="S2899" s="64" t="n">
        <f aca="false">IF(AND($Q2899&gt;0,$O2899&gt;=AboveRank),$Q2899,0)</f>
        <v>0</v>
      </c>
      <c r="T2899" s="64" t="n">
        <f aca="false">IF($K2899="Less",$P2899,0)</f>
        <v>0</v>
      </c>
      <c r="U2899" s="64" t="n">
        <f aca="false">IF($K2899="Expected",$P2899,0)</f>
        <v>0</v>
      </c>
      <c r="V2899" s="64" t="n">
        <f aca="false">IF($K2899="Better",$P2899,0)</f>
        <v>0</v>
      </c>
      <c r="W2899" s="64" t="n">
        <f aca="false">IF($K2899="U – needs rule",$P2899,0)</f>
        <v>0</v>
      </c>
      <c r="X2899" s="64" t="n">
        <f aca="false">IF($K2899="No Start (attainment only)",$P2899,0)</f>
        <v>0</v>
      </c>
    </row>
    <row r="2900" customFormat="false" ht="15" hidden="false" customHeight="false" outlineLevel="0" collapsed="false">
      <c r="A2900" s="60"/>
      <c r="B2900" s="61" t="str">
        <f aca="false">IF($M2900=0,"",INDEX(Classes!$E$6:$E$420,$M2900))</f>
        <v/>
      </c>
      <c r="C2900" s="62" t="str">
        <f aca="false">IF($M2900=0,"",INDEX(Classes!$H$6:$H$420,$M2900))</f>
        <v/>
      </c>
      <c r="D2900" s="61" t="str">
        <f aca="false">IF($M2900=0,"",INDEX(Classes!$B$6:$B$420,$M2900))</f>
        <v/>
      </c>
      <c r="E2900" s="61" t="str">
        <f aca="false">IF($M2900=0,"",INDEX(Classes!$C$6:$C$420,$M2900))</f>
        <v/>
      </c>
      <c r="F2900" s="63"/>
      <c r="G2900" s="63"/>
      <c r="H2900" s="60"/>
      <c r="I2900" s="60"/>
      <c r="J2900" s="63"/>
      <c r="K2900" s="61" t="str">
        <f aca="false">IF($P2900=0,"",IF($F2900="Baseline","— Baseline",IF($O2900=0,"No result",IF($N2900=0,"No Start (attainment only)",IF(OR($N2900=1,$O2900=1),"U – needs rule",INDEX(MxBody,MATCH($I2900,MxCurr,0),MATCH($H2900,MxStart,0)))))))</f>
        <v/>
      </c>
      <c r="L2900" s="62" t="str">
        <f aca="false">IF(COUNTA($A2900,$F2900,$G2900,$H2900,$I2900,$J2900)=0,"",IF($M2900=0,"✖ كود الصف غير موجود",IF(ISNA(MATCH($F2900,Lists!$A$2:$A$5,0)),"✖ الفترة غير صحيحة",IF(ISNA(MATCH($G2900,Lists!$B$2:$B$7,0)),"✖ المجموعة غير صحيحة",IF(NOT(OR($H2900="",$N2900&gt;0)),"✖ Start غير صحيح",IF(NOT(OR($I2900="",$I2900="NR",$O2900&gt;0)),"✖ Current غير صحيح",IF(NOT(IF(ISNUMBER($J2900),AND($J2900&gt;=0,$J2900=INT($J2900)),FALSE())),"✖ العدد يجب أن يكون صحيحًا ≥ 0",IF(AND($F2900="Baseline",$H2900&lt;&gt;""),"⚠ Baseline: Start لا يدخل في التقدم",IF($K2900="No Start (attainment only)","ℹ تحصيل فقط (بدون Start)",IF($K2900="U – needs rule","ℹ حالة U تحتاج قاعدة معتمدة",IF($K2900="No result","ℹ بدون نتيجة (يُستبعد من التحصيل)","OK")))))))))))</f>
        <v/>
      </c>
      <c r="M2900" s="64" t="n">
        <f aca="false">IF($A2900="",0,IFERROR(MATCH($A2900,Classes!$A$6:$A$420,0),0))</f>
        <v>0</v>
      </c>
      <c r="N2900" s="64" t="n">
        <f aca="false">IF($H2900="",0,IFERROR(MATCH($H2900,GradeList,0),0))</f>
        <v>0</v>
      </c>
      <c r="O2900" s="64" t="n">
        <f aca="false">IF(OR($I2900="",$I2900="NR"),0,IFERROR(MATCH($I2900,GradeList,0),0))</f>
        <v>0</v>
      </c>
      <c r="P2900" s="64" t="n">
        <f aca="false">IF(AND($M2900&gt;0,ISNUMBER(MATCH($F2900,Lists!$A$2:$A$5,0)),ISNUMBER(MATCH($G2900,Lists!$B$2:$B$7,0)),OR($H2900="",$N2900&gt;0),OR($I2900="",$I2900="NR",$O2900&gt;0),IF(ISNUMBER($J2900),AND($J2900&gt;=0,$J2900=INT($J2900)),FALSE())),$J2900,0)</f>
        <v>0</v>
      </c>
      <c r="Q2900" s="64" t="n">
        <f aca="false">IF(AND($P2900&gt;0,$O2900&gt;0),$P2900,0)</f>
        <v>0</v>
      </c>
      <c r="R2900" s="64" t="n">
        <f aca="false">IF(AND($Q2900&gt;0,$O2900&gt;=AtRank),$Q2900,0)</f>
        <v>0</v>
      </c>
      <c r="S2900" s="64" t="n">
        <f aca="false">IF(AND($Q2900&gt;0,$O2900&gt;=AboveRank),$Q2900,0)</f>
        <v>0</v>
      </c>
      <c r="T2900" s="64" t="n">
        <f aca="false">IF($K2900="Less",$P2900,0)</f>
        <v>0</v>
      </c>
      <c r="U2900" s="64" t="n">
        <f aca="false">IF($K2900="Expected",$P2900,0)</f>
        <v>0</v>
      </c>
      <c r="V2900" s="64" t="n">
        <f aca="false">IF($K2900="Better",$P2900,0)</f>
        <v>0</v>
      </c>
      <c r="W2900" s="64" t="n">
        <f aca="false">IF($K2900="U – needs rule",$P2900,0)</f>
        <v>0</v>
      </c>
      <c r="X2900" s="64" t="n">
        <f aca="false">IF($K2900="No Start (attainment only)",$P2900,0)</f>
        <v>0</v>
      </c>
    </row>
    <row r="2901" customFormat="false" ht="15" hidden="false" customHeight="false" outlineLevel="0" collapsed="false">
      <c r="A2901" s="60"/>
      <c r="B2901" s="61" t="str">
        <f aca="false">IF($M2901=0,"",INDEX(Classes!$E$6:$E$420,$M2901))</f>
        <v/>
      </c>
      <c r="C2901" s="62" t="str">
        <f aca="false">IF($M2901=0,"",INDEX(Classes!$H$6:$H$420,$M2901))</f>
        <v/>
      </c>
      <c r="D2901" s="61" t="str">
        <f aca="false">IF($M2901=0,"",INDEX(Classes!$B$6:$B$420,$M2901))</f>
        <v/>
      </c>
      <c r="E2901" s="61" t="str">
        <f aca="false">IF($M2901=0,"",INDEX(Classes!$C$6:$C$420,$M2901))</f>
        <v/>
      </c>
      <c r="F2901" s="63"/>
      <c r="G2901" s="63"/>
      <c r="H2901" s="60"/>
      <c r="I2901" s="60"/>
      <c r="J2901" s="63"/>
      <c r="K2901" s="61" t="str">
        <f aca="false">IF($P2901=0,"",IF($F2901="Baseline","— Baseline",IF($O2901=0,"No result",IF($N2901=0,"No Start (attainment only)",IF(OR($N2901=1,$O2901=1),"U – needs rule",INDEX(MxBody,MATCH($I2901,MxCurr,0),MATCH($H2901,MxStart,0)))))))</f>
        <v/>
      </c>
      <c r="L2901" s="62" t="str">
        <f aca="false">IF(COUNTA($A2901,$F2901,$G2901,$H2901,$I2901,$J2901)=0,"",IF($M2901=0,"✖ كود الصف غير موجود",IF(ISNA(MATCH($F2901,Lists!$A$2:$A$5,0)),"✖ الفترة غير صحيحة",IF(ISNA(MATCH($G2901,Lists!$B$2:$B$7,0)),"✖ المجموعة غير صحيحة",IF(NOT(OR($H2901="",$N2901&gt;0)),"✖ Start غير صحيح",IF(NOT(OR($I2901="",$I2901="NR",$O2901&gt;0)),"✖ Current غير صحيح",IF(NOT(IF(ISNUMBER($J2901),AND($J2901&gt;=0,$J2901=INT($J2901)),FALSE())),"✖ العدد يجب أن يكون صحيحًا ≥ 0",IF(AND($F2901="Baseline",$H2901&lt;&gt;""),"⚠ Baseline: Start لا يدخل في التقدم",IF($K2901="No Start (attainment only)","ℹ تحصيل فقط (بدون Start)",IF($K2901="U – needs rule","ℹ حالة U تحتاج قاعدة معتمدة",IF($K2901="No result","ℹ بدون نتيجة (يُستبعد من التحصيل)","OK")))))))))))</f>
        <v/>
      </c>
      <c r="M2901" s="64" t="n">
        <f aca="false">IF($A2901="",0,IFERROR(MATCH($A2901,Classes!$A$6:$A$420,0),0))</f>
        <v>0</v>
      </c>
      <c r="N2901" s="64" t="n">
        <f aca="false">IF($H2901="",0,IFERROR(MATCH($H2901,GradeList,0),0))</f>
        <v>0</v>
      </c>
      <c r="O2901" s="64" t="n">
        <f aca="false">IF(OR($I2901="",$I2901="NR"),0,IFERROR(MATCH($I2901,GradeList,0),0))</f>
        <v>0</v>
      </c>
      <c r="P2901" s="64" t="n">
        <f aca="false">IF(AND($M2901&gt;0,ISNUMBER(MATCH($F2901,Lists!$A$2:$A$5,0)),ISNUMBER(MATCH($G2901,Lists!$B$2:$B$7,0)),OR($H2901="",$N2901&gt;0),OR($I2901="",$I2901="NR",$O2901&gt;0),IF(ISNUMBER($J2901),AND($J2901&gt;=0,$J2901=INT($J2901)),FALSE())),$J2901,0)</f>
        <v>0</v>
      </c>
      <c r="Q2901" s="64" t="n">
        <f aca="false">IF(AND($P2901&gt;0,$O2901&gt;0),$P2901,0)</f>
        <v>0</v>
      </c>
      <c r="R2901" s="64" t="n">
        <f aca="false">IF(AND($Q2901&gt;0,$O2901&gt;=AtRank),$Q2901,0)</f>
        <v>0</v>
      </c>
      <c r="S2901" s="64" t="n">
        <f aca="false">IF(AND($Q2901&gt;0,$O2901&gt;=AboveRank),$Q2901,0)</f>
        <v>0</v>
      </c>
      <c r="T2901" s="64" t="n">
        <f aca="false">IF($K2901="Less",$P2901,0)</f>
        <v>0</v>
      </c>
      <c r="U2901" s="64" t="n">
        <f aca="false">IF($K2901="Expected",$P2901,0)</f>
        <v>0</v>
      </c>
      <c r="V2901" s="64" t="n">
        <f aca="false">IF($K2901="Better",$P2901,0)</f>
        <v>0</v>
      </c>
      <c r="W2901" s="64" t="n">
        <f aca="false">IF($K2901="U – needs rule",$P2901,0)</f>
        <v>0</v>
      </c>
      <c r="X2901" s="64" t="n">
        <f aca="false">IF($K2901="No Start (attainment only)",$P2901,0)</f>
        <v>0</v>
      </c>
    </row>
    <row r="2902" customFormat="false" ht="15" hidden="false" customHeight="false" outlineLevel="0" collapsed="false">
      <c r="A2902" s="60"/>
      <c r="B2902" s="61" t="str">
        <f aca="false">IF($M2902=0,"",INDEX(Classes!$E$6:$E$420,$M2902))</f>
        <v/>
      </c>
      <c r="C2902" s="62" t="str">
        <f aca="false">IF($M2902=0,"",INDEX(Classes!$H$6:$H$420,$M2902))</f>
        <v/>
      </c>
      <c r="D2902" s="61" t="str">
        <f aca="false">IF($M2902=0,"",INDEX(Classes!$B$6:$B$420,$M2902))</f>
        <v/>
      </c>
      <c r="E2902" s="61" t="str">
        <f aca="false">IF($M2902=0,"",INDEX(Classes!$C$6:$C$420,$M2902))</f>
        <v/>
      </c>
      <c r="F2902" s="63"/>
      <c r="G2902" s="63"/>
      <c r="H2902" s="60"/>
      <c r="I2902" s="60"/>
      <c r="J2902" s="63"/>
      <c r="K2902" s="61" t="str">
        <f aca="false">IF($P2902=0,"",IF($F2902="Baseline","— Baseline",IF($O2902=0,"No result",IF($N2902=0,"No Start (attainment only)",IF(OR($N2902=1,$O2902=1),"U – needs rule",INDEX(MxBody,MATCH($I2902,MxCurr,0),MATCH($H2902,MxStart,0)))))))</f>
        <v/>
      </c>
      <c r="L2902" s="62" t="str">
        <f aca="false">IF(COUNTA($A2902,$F2902,$G2902,$H2902,$I2902,$J2902)=0,"",IF($M2902=0,"✖ كود الصف غير موجود",IF(ISNA(MATCH($F2902,Lists!$A$2:$A$5,0)),"✖ الفترة غير صحيحة",IF(ISNA(MATCH($G2902,Lists!$B$2:$B$7,0)),"✖ المجموعة غير صحيحة",IF(NOT(OR($H2902="",$N2902&gt;0)),"✖ Start غير صحيح",IF(NOT(OR($I2902="",$I2902="NR",$O2902&gt;0)),"✖ Current غير صحيح",IF(NOT(IF(ISNUMBER($J2902),AND($J2902&gt;=0,$J2902=INT($J2902)),FALSE())),"✖ العدد يجب أن يكون صحيحًا ≥ 0",IF(AND($F2902="Baseline",$H2902&lt;&gt;""),"⚠ Baseline: Start لا يدخل في التقدم",IF($K2902="No Start (attainment only)","ℹ تحصيل فقط (بدون Start)",IF($K2902="U – needs rule","ℹ حالة U تحتاج قاعدة معتمدة",IF($K2902="No result","ℹ بدون نتيجة (يُستبعد من التحصيل)","OK")))))))))))</f>
        <v/>
      </c>
      <c r="M2902" s="64" t="n">
        <f aca="false">IF($A2902="",0,IFERROR(MATCH($A2902,Classes!$A$6:$A$420,0),0))</f>
        <v>0</v>
      </c>
      <c r="N2902" s="64" t="n">
        <f aca="false">IF($H2902="",0,IFERROR(MATCH($H2902,GradeList,0),0))</f>
        <v>0</v>
      </c>
      <c r="O2902" s="64" t="n">
        <f aca="false">IF(OR($I2902="",$I2902="NR"),0,IFERROR(MATCH($I2902,GradeList,0),0))</f>
        <v>0</v>
      </c>
      <c r="P2902" s="64" t="n">
        <f aca="false">IF(AND($M2902&gt;0,ISNUMBER(MATCH($F2902,Lists!$A$2:$A$5,0)),ISNUMBER(MATCH($G2902,Lists!$B$2:$B$7,0)),OR($H2902="",$N2902&gt;0),OR($I2902="",$I2902="NR",$O2902&gt;0),IF(ISNUMBER($J2902),AND($J2902&gt;=0,$J2902=INT($J2902)),FALSE())),$J2902,0)</f>
        <v>0</v>
      </c>
      <c r="Q2902" s="64" t="n">
        <f aca="false">IF(AND($P2902&gt;0,$O2902&gt;0),$P2902,0)</f>
        <v>0</v>
      </c>
      <c r="R2902" s="64" t="n">
        <f aca="false">IF(AND($Q2902&gt;0,$O2902&gt;=AtRank),$Q2902,0)</f>
        <v>0</v>
      </c>
      <c r="S2902" s="64" t="n">
        <f aca="false">IF(AND($Q2902&gt;0,$O2902&gt;=AboveRank),$Q2902,0)</f>
        <v>0</v>
      </c>
      <c r="T2902" s="64" t="n">
        <f aca="false">IF($K2902="Less",$P2902,0)</f>
        <v>0</v>
      </c>
      <c r="U2902" s="64" t="n">
        <f aca="false">IF($K2902="Expected",$P2902,0)</f>
        <v>0</v>
      </c>
      <c r="V2902" s="64" t="n">
        <f aca="false">IF($K2902="Better",$P2902,0)</f>
        <v>0</v>
      </c>
      <c r="W2902" s="64" t="n">
        <f aca="false">IF($K2902="U – needs rule",$P2902,0)</f>
        <v>0</v>
      </c>
      <c r="X2902" s="64" t="n">
        <f aca="false">IF($K2902="No Start (attainment only)",$P2902,0)</f>
        <v>0</v>
      </c>
    </row>
    <row r="2903" customFormat="false" ht="15" hidden="false" customHeight="false" outlineLevel="0" collapsed="false">
      <c r="A2903" s="60"/>
      <c r="B2903" s="61" t="str">
        <f aca="false">IF($M2903=0,"",INDEX(Classes!$E$6:$E$420,$M2903))</f>
        <v/>
      </c>
      <c r="C2903" s="62" t="str">
        <f aca="false">IF($M2903=0,"",INDEX(Classes!$H$6:$H$420,$M2903))</f>
        <v/>
      </c>
      <c r="D2903" s="61" t="str">
        <f aca="false">IF($M2903=0,"",INDEX(Classes!$B$6:$B$420,$M2903))</f>
        <v/>
      </c>
      <c r="E2903" s="61" t="str">
        <f aca="false">IF($M2903=0,"",INDEX(Classes!$C$6:$C$420,$M2903))</f>
        <v/>
      </c>
      <c r="F2903" s="63"/>
      <c r="G2903" s="63"/>
      <c r="H2903" s="60"/>
      <c r="I2903" s="60"/>
      <c r="J2903" s="63"/>
      <c r="K2903" s="61" t="str">
        <f aca="false">IF($P2903=0,"",IF($F2903="Baseline","— Baseline",IF($O2903=0,"No result",IF($N2903=0,"No Start (attainment only)",IF(OR($N2903=1,$O2903=1),"U – needs rule",INDEX(MxBody,MATCH($I2903,MxCurr,0),MATCH($H2903,MxStart,0)))))))</f>
        <v/>
      </c>
      <c r="L2903" s="62" t="str">
        <f aca="false">IF(COUNTA($A2903,$F2903,$G2903,$H2903,$I2903,$J2903)=0,"",IF($M2903=0,"✖ كود الصف غير موجود",IF(ISNA(MATCH($F2903,Lists!$A$2:$A$5,0)),"✖ الفترة غير صحيحة",IF(ISNA(MATCH($G2903,Lists!$B$2:$B$7,0)),"✖ المجموعة غير صحيحة",IF(NOT(OR($H2903="",$N2903&gt;0)),"✖ Start غير صحيح",IF(NOT(OR($I2903="",$I2903="NR",$O2903&gt;0)),"✖ Current غير صحيح",IF(NOT(IF(ISNUMBER($J2903),AND($J2903&gt;=0,$J2903=INT($J2903)),FALSE())),"✖ العدد يجب أن يكون صحيحًا ≥ 0",IF(AND($F2903="Baseline",$H2903&lt;&gt;""),"⚠ Baseline: Start لا يدخل في التقدم",IF($K2903="No Start (attainment only)","ℹ تحصيل فقط (بدون Start)",IF($K2903="U – needs rule","ℹ حالة U تحتاج قاعدة معتمدة",IF($K2903="No result","ℹ بدون نتيجة (يُستبعد من التحصيل)","OK")))))))))))</f>
        <v/>
      </c>
      <c r="M2903" s="64" t="n">
        <f aca="false">IF($A2903="",0,IFERROR(MATCH($A2903,Classes!$A$6:$A$420,0),0))</f>
        <v>0</v>
      </c>
      <c r="N2903" s="64" t="n">
        <f aca="false">IF($H2903="",0,IFERROR(MATCH($H2903,GradeList,0),0))</f>
        <v>0</v>
      </c>
      <c r="O2903" s="64" t="n">
        <f aca="false">IF(OR($I2903="",$I2903="NR"),0,IFERROR(MATCH($I2903,GradeList,0),0))</f>
        <v>0</v>
      </c>
      <c r="P2903" s="64" t="n">
        <f aca="false">IF(AND($M2903&gt;0,ISNUMBER(MATCH($F2903,Lists!$A$2:$A$5,0)),ISNUMBER(MATCH($G2903,Lists!$B$2:$B$7,0)),OR($H2903="",$N2903&gt;0),OR($I2903="",$I2903="NR",$O2903&gt;0),IF(ISNUMBER($J2903),AND($J2903&gt;=0,$J2903=INT($J2903)),FALSE())),$J2903,0)</f>
        <v>0</v>
      </c>
      <c r="Q2903" s="64" t="n">
        <f aca="false">IF(AND($P2903&gt;0,$O2903&gt;0),$P2903,0)</f>
        <v>0</v>
      </c>
      <c r="R2903" s="64" t="n">
        <f aca="false">IF(AND($Q2903&gt;0,$O2903&gt;=AtRank),$Q2903,0)</f>
        <v>0</v>
      </c>
      <c r="S2903" s="64" t="n">
        <f aca="false">IF(AND($Q2903&gt;0,$O2903&gt;=AboveRank),$Q2903,0)</f>
        <v>0</v>
      </c>
      <c r="T2903" s="64" t="n">
        <f aca="false">IF($K2903="Less",$P2903,0)</f>
        <v>0</v>
      </c>
      <c r="U2903" s="64" t="n">
        <f aca="false">IF($K2903="Expected",$P2903,0)</f>
        <v>0</v>
      </c>
      <c r="V2903" s="64" t="n">
        <f aca="false">IF($K2903="Better",$P2903,0)</f>
        <v>0</v>
      </c>
      <c r="W2903" s="64" t="n">
        <f aca="false">IF($K2903="U – needs rule",$P2903,0)</f>
        <v>0</v>
      </c>
      <c r="X2903" s="64" t="n">
        <f aca="false">IF($K2903="No Start (attainment only)",$P2903,0)</f>
        <v>0</v>
      </c>
    </row>
    <row r="2904" customFormat="false" ht="15" hidden="false" customHeight="false" outlineLevel="0" collapsed="false">
      <c r="A2904" s="60"/>
      <c r="B2904" s="61" t="str">
        <f aca="false">IF($M2904=0,"",INDEX(Classes!$E$6:$E$420,$M2904))</f>
        <v/>
      </c>
      <c r="C2904" s="62" t="str">
        <f aca="false">IF($M2904=0,"",INDEX(Classes!$H$6:$H$420,$M2904))</f>
        <v/>
      </c>
      <c r="D2904" s="61" t="str">
        <f aca="false">IF($M2904=0,"",INDEX(Classes!$B$6:$B$420,$M2904))</f>
        <v/>
      </c>
      <c r="E2904" s="61" t="str">
        <f aca="false">IF($M2904=0,"",INDEX(Classes!$C$6:$C$420,$M2904))</f>
        <v/>
      </c>
      <c r="F2904" s="63"/>
      <c r="G2904" s="63"/>
      <c r="H2904" s="60"/>
      <c r="I2904" s="60"/>
      <c r="J2904" s="63"/>
      <c r="K2904" s="61" t="str">
        <f aca="false">IF($P2904=0,"",IF($F2904="Baseline","— Baseline",IF($O2904=0,"No result",IF($N2904=0,"No Start (attainment only)",IF(OR($N2904=1,$O2904=1),"U – needs rule",INDEX(MxBody,MATCH($I2904,MxCurr,0),MATCH($H2904,MxStart,0)))))))</f>
        <v/>
      </c>
      <c r="L2904" s="62" t="str">
        <f aca="false">IF(COUNTA($A2904,$F2904,$G2904,$H2904,$I2904,$J2904)=0,"",IF($M2904=0,"✖ كود الصف غير موجود",IF(ISNA(MATCH($F2904,Lists!$A$2:$A$5,0)),"✖ الفترة غير صحيحة",IF(ISNA(MATCH($G2904,Lists!$B$2:$B$7,0)),"✖ المجموعة غير صحيحة",IF(NOT(OR($H2904="",$N2904&gt;0)),"✖ Start غير صحيح",IF(NOT(OR($I2904="",$I2904="NR",$O2904&gt;0)),"✖ Current غير صحيح",IF(NOT(IF(ISNUMBER($J2904),AND($J2904&gt;=0,$J2904=INT($J2904)),FALSE())),"✖ العدد يجب أن يكون صحيحًا ≥ 0",IF(AND($F2904="Baseline",$H2904&lt;&gt;""),"⚠ Baseline: Start لا يدخل في التقدم",IF($K2904="No Start (attainment only)","ℹ تحصيل فقط (بدون Start)",IF($K2904="U – needs rule","ℹ حالة U تحتاج قاعدة معتمدة",IF($K2904="No result","ℹ بدون نتيجة (يُستبعد من التحصيل)","OK")))))))))))</f>
        <v/>
      </c>
      <c r="M2904" s="64" t="n">
        <f aca="false">IF($A2904="",0,IFERROR(MATCH($A2904,Classes!$A$6:$A$420,0),0))</f>
        <v>0</v>
      </c>
      <c r="N2904" s="64" t="n">
        <f aca="false">IF($H2904="",0,IFERROR(MATCH($H2904,GradeList,0),0))</f>
        <v>0</v>
      </c>
      <c r="O2904" s="64" t="n">
        <f aca="false">IF(OR($I2904="",$I2904="NR"),0,IFERROR(MATCH($I2904,GradeList,0),0))</f>
        <v>0</v>
      </c>
      <c r="P2904" s="64" t="n">
        <f aca="false">IF(AND($M2904&gt;0,ISNUMBER(MATCH($F2904,Lists!$A$2:$A$5,0)),ISNUMBER(MATCH($G2904,Lists!$B$2:$B$7,0)),OR($H2904="",$N2904&gt;0),OR($I2904="",$I2904="NR",$O2904&gt;0),IF(ISNUMBER($J2904),AND($J2904&gt;=0,$J2904=INT($J2904)),FALSE())),$J2904,0)</f>
        <v>0</v>
      </c>
      <c r="Q2904" s="64" t="n">
        <f aca="false">IF(AND($P2904&gt;0,$O2904&gt;0),$P2904,0)</f>
        <v>0</v>
      </c>
      <c r="R2904" s="64" t="n">
        <f aca="false">IF(AND($Q2904&gt;0,$O2904&gt;=AtRank),$Q2904,0)</f>
        <v>0</v>
      </c>
      <c r="S2904" s="64" t="n">
        <f aca="false">IF(AND($Q2904&gt;0,$O2904&gt;=AboveRank),$Q2904,0)</f>
        <v>0</v>
      </c>
      <c r="T2904" s="64" t="n">
        <f aca="false">IF($K2904="Less",$P2904,0)</f>
        <v>0</v>
      </c>
      <c r="U2904" s="64" t="n">
        <f aca="false">IF($K2904="Expected",$P2904,0)</f>
        <v>0</v>
      </c>
      <c r="V2904" s="64" t="n">
        <f aca="false">IF($K2904="Better",$P2904,0)</f>
        <v>0</v>
      </c>
      <c r="W2904" s="64" t="n">
        <f aca="false">IF($K2904="U – needs rule",$P2904,0)</f>
        <v>0</v>
      </c>
      <c r="X2904" s="64" t="n">
        <f aca="false">IF($K2904="No Start (attainment only)",$P2904,0)</f>
        <v>0</v>
      </c>
    </row>
    <row r="2905" customFormat="false" ht="15" hidden="false" customHeight="false" outlineLevel="0" collapsed="false">
      <c r="A2905" s="60"/>
      <c r="B2905" s="61" t="str">
        <f aca="false">IF($M2905=0,"",INDEX(Classes!$E$6:$E$420,$M2905))</f>
        <v/>
      </c>
      <c r="C2905" s="62" t="str">
        <f aca="false">IF($M2905=0,"",INDEX(Classes!$H$6:$H$420,$M2905))</f>
        <v/>
      </c>
      <c r="D2905" s="61" t="str">
        <f aca="false">IF($M2905=0,"",INDEX(Classes!$B$6:$B$420,$M2905))</f>
        <v/>
      </c>
      <c r="E2905" s="61" t="str">
        <f aca="false">IF($M2905=0,"",INDEX(Classes!$C$6:$C$420,$M2905))</f>
        <v/>
      </c>
      <c r="F2905" s="63"/>
      <c r="G2905" s="63"/>
      <c r="H2905" s="60"/>
      <c r="I2905" s="60"/>
      <c r="J2905" s="63"/>
      <c r="K2905" s="61" t="str">
        <f aca="false">IF($P2905=0,"",IF($F2905="Baseline","— Baseline",IF($O2905=0,"No result",IF($N2905=0,"No Start (attainment only)",IF(OR($N2905=1,$O2905=1),"U – needs rule",INDEX(MxBody,MATCH($I2905,MxCurr,0),MATCH($H2905,MxStart,0)))))))</f>
        <v/>
      </c>
      <c r="L2905" s="62" t="str">
        <f aca="false">IF(COUNTA($A2905,$F2905,$G2905,$H2905,$I2905,$J2905)=0,"",IF($M2905=0,"✖ كود الصف غير موجود",IF(ISNA(MATCH($F2905,Lists!$A$2:$A$5,0)),"✖ الفترة غير صحيحة",IF(ISNA(MATCH($G2905,Lists!$B$2:$B$7,0)),"✖ المجموعة غير صحيحة",IF(NOT(OR($H2905="",$N2905&gt;0)),"✖ Start غير صحيح",IF(NOT(OR($I2905="",$I2905="NR",$O2905&gt;0)),"✖ Current غير صحيح",IF(NOT(IF(ISNUMBER($J2905),AND($J2905&gt;=0,$J2905=INT($J2905)),FALSE())),"✖ العدد يجب أن يكون صحيحًا ≥ 0",IF(AND($F2905="Baseline",$H2905&lt;&gt;""),"⚠ Baseline: Start لا يدخل في التقدم",IF($K2905="No Start (attainment only)","ℹ تحصيل فقط (بدون Start)",IF($K2905="U – needs rule","ℹ حالة U تحتاج قاعدة معتمدة",IF($K2905="No result","ℹ بدون نتيجة (يُستبعد من التحصيل)","OK")))))))))))</f>
        <v/>
      </c>
      <c r="M2905" s="64" t="n">
        <f aca="false">IF($A2905="",0,IFERROR(MATCH($A2905,Classes!$A$6:$A$420,0),0))</f>
        <v>0</v>
      </c>
      <c r="N2905" s="64" t="n">
        <f aca="false">IF($H2905="",0,IFERROR(MATCH($H2905,GradeList,0),0))</f>
        <v>0</v>
      </c>
      <c r="O2905" s="64" t="n">
        <f aca="false">IF(OR($I2905="",$I2905="NR"),0,IFERROR(MATCH($I2905,GradeList,0),0))</f>
        <v>0</v>
      </c>
      <c r="P2905" s="64" t="n">
        <f aca="false">IF(AND($M2905&gt;0,ISNUMBER(MATCH($F2905,Lists!$A$2:$A$5,0)),ISNUMBER(MATCH($G2905,Lists!$B$2:$B$7,0)),OR($H2905="",$N2905&gt;0),OR($I2905="",$I2905="NR",$O2905&gt;0),IF(ISNUMBER($J2905),AND($J2905&gt;=0,$J2905=INT($J2905)),FALSE())),$J2905,0)</f>
        <v>0</v>
      </c>
      <c r="Q2905" s="64" t="n">
        <f aca="false">IF(AND($P2905&gt;0,$O2905&gt;0),$P2905,0)</f>
        <v>0</v>
      </c>
      <c r="R2905" s="64" t="n">
        <f aca="false">IF(AND($Q2905&gt;0,$O2905&gt;=AtRank),$Q2905,0)</f>
        <v>0</v>
      </c>
      <c r="S2905" s="64" t="n">
        <f aca="false">IF(AND($Q2905&gt;0,$O2905&gt;=AboveRank),$Q2905,0)</f>
        <v>0</v>
      </c>
      <c r="T2905" s="64" t="n">
        <f aca="false">IF($K2905="Less",$P2905,0)</f>
        <v>0</v>
      </c>
      <c r="U2905" s="64" t="n">
        <f aca="false">IF($K2905="Expected",$P2905,0)</f>
        <v>0</v>
      </c>
      <c r="V2905" s="64" t="n">
        <f aca="false">IF($K2905="Better",$P2905,0)</f>
        <v>0</v>
      </c>
      <c r="W2905" s="64" t="n">
        <f aca="false">IF($K2905="U – needs rule",$P2905,0)</f>
        <v>0</v>
      </c>
      <c r="X2905" s="64" t="n">
        <f aca="false">IF($K2905="No Start (attainment only)",$P2905,0)</f>
        <v>0</v>
      </c>
    </row>
    <row r="2906" customFormat="false" ht="15" hidden="false" customHeight="false" outlineLevel="0" collapsed="false">
      <c r="A2906" s="60"/>
      <c r="B2906" s="61" t="str">
        <f aca="false">IF($M2906=0,"",INDEX(Classes!$E$6:$E$420,$M2906))</f>
        <v/>
      </c>
      <c r="C2906" s="62" t="str">
        <f aca="false">IF($M2906=0,"",INDEX(Classes!$H$6:$H$420,$M2906))</f>
        <v/>
      </c>
      <c r="D2906" s="61" t="str">
        <f aca="false">IF($M2906=0,"",INDEX(Classes!$B$6:$B$420,$M2906))</f>
        <v/>
      </c>
      <c r="E2906" s="61" t="str">
        <f aca="false">IF($M2906=0,"",INDEX(Classes!$C$6:$C$420,$M2906))</f>
        <v/>
      </c>
      <c r="F2906" s="63"/>
      <c r="G2906" s="63"/>
      <c r="H2906" s="60"/>
      <c r="I2906" s="60"/>
      <c r="J2906" s="63"/>
      <c r="K2906" s="61" t="str">
        <f aca="false">IF($P2906=0,"",IF($F2906="Baseline","— Baseline",IF($O2906=0,"No result",IF($N2906=0,"No Start (attainment only)",IF(OR($N2906=1,$O2906=1),"U – needs rule",INDEX(MxBody,MATCH($I2906,MxCurr,0),MATCH($H2906,MxStart,0)))))))</f>
        <v/>
      </c>
      <c r="L2906" s="62" t="str">
        <f aca="false">IF(COUNTA($A2906,$F2906,$G2906,$H2906,$I2906,$J2906)=0,"",IF($M2906=0,"✖ كود الصف غير موجود",IF(ISNA(MATCH($F2906,Lists!$A$2:$A$5,0)),"✖ الفترة غير صحيحة",IF(ISNA(MATCH($G2906,Lists!$B$2:$B$7,0)),"✖ المجموعة غير صحيحة",IF(NOT(OR($H2906="",$N2906&gt;0)),"✖ Start غير صحيح",IF(NOT(OR($I2906="",$I2906="NR",$O2906&gt;0)),"✖ Current غير صحيح",IF(NOT(IF(ISNUMBER($J2906),AND($J2906&gt;=0,$J2906=INT($J2906)),FALSE())),"✖ العدد يجب أن يكون صحيحًا ≥ 0",IF(AND($F2906="Baseline",$H2906&lt;&gt;""),"⚠ Baseline: Start لا يدخل في التقدم",IF($K2906="No Start (attainment only)","ℹ تحصيل فقط (بدون Start)",IF($K2906="U – needs rule","ℹ حالة U تحتاج قاعدة معتمدة",IF($K2906="No result","ℹ بدون نتيجة (يُستبعد من التحصيل)","OK")))))))))))</f>
        <v/>
      </c>
      <c r="M2906" s="64" t="n">
        <f aca="false">IF($A2906="",0,IFERROR(MATCH($A2906,Classes!$A$6:$A$420,0),0))</f>
        <v>0</v>
      </c>
      <c r="N2906" s="64" t="n">
        <f aca="false">IF($H2906="",0,IFERROR(MATCH($H2906,GradeList,0),0))</f>
        <v>0</v>
      </c>
      <c r="O2906" s="64" t="n">
        <f aca="false">IF(OR($I2906="",$I2906="NR"),0,IFERROR(MATCH($I2906,GradeList,0),0))</f>
        <v>0</v>
      </c>
      <c r="P2906" s="64" t="n">
        <f aca="false">IF(AND($M2906&gt;0,ISNUMBER(MATCH($F2906,Lists!$A$2:$A$5,0)),ISNUMBER(MATCH($G2906,Lists!$B$2:$B$7,0)),OR($H2906="",$N2906&gt;0),OR($I2906="",$I2906="NR",$O2906&gt;0),IF(ISNUMBER($J2906),AND($J2906&gt;=0,$J2906=INT($J2906)),FALSE())),$J2906,0)</f>
        <v>0</v>
      </c>
      <c r="Q2906" s="64" t="n">
        <f aca="false">IF(AND($P2906&gt;0,$O2906&gt;0),$P2906,0)</f>
        <v>0</v>
      </c>
      <c r="R2906" s="64" t="n">
        <f aca="false">IF(AND($Q2906&gt;0,$O2906&gt;=AtRank),$Q2906,0)</f>
        <v>0</v>
      </c>
      <c r="S2906" s="64" t="n">
        <f aca="false">IF(AND($Q2906&gt;0,$O2906&gt;=AboveRank),$Q2906,0)</f>
        <v>0</v>
      </c>
      <c r="T2906" s="64" t="n">
        <f aca="false">IF($K2906="Less",$P2906,0)</f>
        <v>0</v>
      </c>
      <c r="U2906" s="64" t="n">
        <f aca="false">IF($K2906="Expected",$P2906,0)</f>
        <v>0</v>
      </c>
      <c r="V2906" s="64" t="n">
        <f aca="false">IF($K2906="Better",$P2906,0)</f>
        <v>0</v>
      </c>
      <c r="W2906" s="64" t="n">
        <f aca="false">IF($K2906="U – needs rule",$P2906,0)</f>
        <v>0</v>
      </c>
      <c r="X2906" s="64" t="n">
        <f aca="false">IF($K2906="No Start (attainment only)",$P2906,0)</f>
        <v>0</v>
      </c>
    </row>
    <row r="2907" customFormat="false" ht="15" hidden="false" customHeight="false" outlineLevel="0" collapsed="false">
      <c r="A2907" s="60"/>
      <c r="B2907" s="61" t="str">
        <f aca="false">IF($M2907=0,"",INDEX(Classes!$E$6:$E$420,$M2907))</f>
        <v/>
      </c>
      <c r="C2907" s="62" t="str">
        <f aca="false">IF($M2907=0,"",INDEX(Classes!$H$6:$H$420,$M2907))</f>
        <v/>
      </c>
      <c r="D2907" s="61" t="str">
        <f aca="false">IF($M2907=0,"",INDEX(Classes!$B$6:$B$420,$M2907))</f>
        <v/>
      </c>
      <c r="E2907" s="61" t="str">
        <f aca="false">IF($M2907=0,"",INDEX(Classes!$C$6:$C$420,$M2907))</f>
        <v/>
      </c>
      <c r="F2907" s="63"/>
      <c r="G2907" s="63"/>
      <c r="H2907" s="60"/>
      <c r="I2907" s="60"/>
      <c r="J2907" s="63"/>
      <c r="K2907" s="61" t="str">
        <f aca="false">IF($P2907=0,"",IF($F2907="Baseline","— Baseline",IF($O2907=0,"No result",IF($N2907=0,"No Start (attainment only)",IF(OR($N2907=1,$O2907=1),"U – needs rule",INDEX(MxBody,MATCH($I2907,MxCurr,0),MATCH($H2907,MxStart,0)))))))</f>
        <v/>
      </c>
      <c r="L2907" s="62" t="str">
        <f aca="false">IF(COUNTA($A2907,$F2907,$G2907,$H2907,$I2907,$J2907)=0,"",IF($M2907=0,"✖ كود الصف غير موجود",IF(ISNA(MATCH($F2907,Lists!$A$2:$A$5,0)),"✖ الفترة غير صحيحة",IF(ISNA(MATCH($G2907,Lists!$B$2:$B$7,0)),"✖ المجموعة غير صحيحة",IF(NOT(OR($H2907="",$N2907&gt;0)),"✖ Start غير صحيح",IF(NOT(OR($I2907="",$I2907="NR",$O2907&gt;0)),"✖ Current غير صحيح",IF(NOT(IF(ISNUMBER($J2907),AND($J2907&gt;=0,$J2907=INT($J2907)),FALSE())),"✖ العدد يجب أن يكون صحيحًا ≥ 0",IF(AND($F2907="Baseline",$H2907&lt;&gt;""),"⚠ Baseline: Start لا يدخل في التقدم",IF($K2907="No Start (attainment only)","ℹ تحصيل فقط (بدون Start)",IF($K2907="U – needs rule","ℹ حالة U تحتاج قاعدة معتمدة",IF($K2907="No result","ℹ بدون نتيجة (يُستبعد من التحصيل)","OK")))))))))))</f>
        <v/>
      </c>
      <c r="M2907" s="64" t="n">
        <f aca="false">IF($A2907="",0,IFERROR(MATCH($A2907,Classes!$A$6:$A$420,0),0))</f>
        <v>0</v>
      </c>
      <c r="N2907" s="64" t="n">
        <f aca="false">IF($H2907="",0,IFERROR(MATCH($H2907,GradeList,0),0))</f>
        <v>0</v>
      </c>
      <c r="O2907" s="64" t="n">
        <f aca="false">IF(OR($I2907="",$I2907="NR"),0,IFERROR(MATCH($I2907,GradeList,0),0))</f>
        <v>0</v>
      </c>
      <c r="P2907" s="64" t="n">
        <f aca="false">IF(AND($M2907&gt;0,ISNUMBER(MATCH($F2907,Lists!$A$2:$A$5,0)),ISNUMBER(MATCH($G2907,Lists!$B$2:$B$7,0)),OR($H2907="",$N2907&gt;0),OR($I2907="",$I2907="NR",$O2907&gt;0),IF(ISNUMBER($J2907),AND($J2907&gt;=0,$J2907=INT($J2907)),FALSE())),$J2907,0)</f>
        <v>0</v>
      </c>
      <c r="Q2907" s="64" t="n">
        <f aca="false">IF(AND($P2907&gt;0,$O2907&gt;0),$P2907,0)</f>
        <v>0</v>
      </c>
      <c r="R2907" s="64" t="n">
        <f aca="false">IF(AND($Q2907&gt;0,$O2907&gt;=AtRank),$Q2907,0)</f>
        <v>0</v>
      </c>
      <c r="S2907" s="64" t="n">
        <f aca="false">IF(AND($Q2907&gt;0,$O2907&gt;=AboveRank),$Q2907,0)</f>
        <v>0</v>
      </c>
      <c r="T2907" s="64" t="n">
        <f aca="false">IF($K2907="Less",$P2907,0)</f>
        <v>0</v>
      </c>
      <c r="U2907" s="64" t="n">
        <f aca="false">IF($K2907="Expected",$P2907,0)</f>
        <v>0</v>
      </c>
      <c r="V2907" s="64" t="n">
        <f aca="false">IF($K2907="Better",$P2907,0)</f>
        <v>0</v>
      </c>
      <c r="W2907" s="64" t="n">
        <f aca="false">IF($K2907="U – needs rule",$P2907,0)</f>
        <v>0</v>
      </c>
      <c r="X2907" s="64" t="n">
        <f aca="false">IF($K2907="No Start (attainment only)",$P2907,0)</f>
        <v>0</v>
      </c>
    </row>
    <row r="2908" customFormat="false" ht="15" hidden="false" customHeight="false" outlineLevel="0" collapsed="false">
      <c r="A2908" s="60"/>
      <c r="B2908" s="61" t="str">
        <f aca="false">IF($M2908=0,"",INDEX(Classes!$E$6:$E$420,$M2908))</f>
        <v/>
      </c>
      <c r="C2908" s="62" t="str">
        <f aca="false">IF($M2908=0,"",INDEX(Classes!$H$6:$H$420,$M2908))</f>
        <v/>
      </c>
      <c r="D2908" s="61" t="str">
        <f aca="false">IF($M2908=0,"",INDEX(Classes!$B$6:$B$420,$M2908))</f>
        <v/>
      </c>
      <c r="E2908" s="61" t="str">
        <f aca="false">IF($M2908=0,"",INDEX(Classes!$C$6:$C$420,$M2908))</f>
        <v/>
      </c>
      <c r="F2908" s="63"/>
      <c r="G2908" s="63"/>
      <c r="H2908" s="60"/>
      <c r="I2908" s="60"/>
      <c r="J2908" s="63"/>
      <c r="K2908" s="61" t="str">
        <f aca="false">IF($P2908=0,"",IF($F2908="Baseline","— Baseline",IF($O2908=0,"No result",IF($N2908=0,"No Start (attainment only)",IF(OR($N2908=1,$O2908=1),"U – needs rule",INDEX(MxBody,MATCH($I2908,MxCurr,0),MATCH($H2908,MxStart,0)))))))</f>
        <v/>
      </c>
      <c r="L2908" s="62" t="str">
        <f aca="false">IF(COUNTA($A2908,$F2908,$G2908,$H2908,$I2908,$J2908)=0,"",IF($M2908=0,"✖ كود الصف غير موجود",IF(ISNA(MATCH($F2908,Lists!$A$2:$A$5,0)),"✖ الفترة غير صحيحة",IF(ISNA(MATCH($G2908,Lists!$B$2:$B$7,0)),"✖ المجموعة غير صحيحة",IF(NOT(OR($H2908="",$N2908&gt;0)),"✖ Start غير صحيح",IF(NOT(OR($I2908="",$I2908="NR",$O2908&gt;0)),"✖ Current غير صحيح",IF(NOT(IF(ISNUMBER($J2908),AND($J2908&gt;=0,$J2908=INT($J2908)),FALSE())),"✖ العدد يجب أن يكون صحيحًا ≥ 0",IF(AND($F2908="Baseline",$H2908&lt;&gt;""),"⚠ Baseline: Start لا يدخل في التقدم",IF($K2908="No Start (attainment only)","ℹ تحصيل فقط (بدون Start)",IF($K2908="U – needs rule","ℹ حالة U تحتاج قاعدة معتمدة",IF($K2908="No result","ℹ بدون نتيجة (يُستبعد من التحصيل)","OK")))))))))))</f>
        <v/>
      </c>
      <c r="M2908" s="64" t="n">
        <f aca="false">IF($A2908="",0,IFERROR(MATCH($A2908,Classes!$A$6:$A$420,0),0))</f>
        <v>0</v>
      </c>
      <c r="N2908" s="64" t="n">
        <f aca="false">IF($H2908="",0,IFERROR(MATCH($H2908,GradeList,0),0))</f>
        <v>0</v>
      </c>
      <c r="O2908" s="64" t="n">
        <f aca="false">IF(OR($I2908="",$I2908="NR"),0,IFERROR(MATCH($I2908,GradeList,0),0))</f>
        <v>0</v>
      </c>
      <c r="P2908" s="64" t="n">
        <f aca="false">IF(AND($M2908&gt;0,ISNUMBER(MATCH($F2908,Lists!$A$2:$A$5,0)),ISNUMBER(MATCH($G2908,Lists!$B$2:$B$7,0)),OR($H2908="",$N2908&gt;0),OR($I2908="",$I2908="NR",$O2908&gt;0),IF(ISNUMBER($J2908),AND($J2908&gt;=0,$J2908=INT($J2908)),FALSE())),$J2908,0)</f>
        <v>0</v>
      </c>
      <c r="Q2908" s="64" t="n">
        <f aca="false">IF(AND($P2908&gt;0,$O2908&gt;0),$P2908,0)</f>
        <v>0</v>
      </c>
      <c r="R2908" s="64" t="n">
        <f aca="false">IF(AND($Q2908&gt;0,$O2908&gt;=AtRank),$Q2908,0)</f>
        <v>0</v>
      </c>
      <c r="S2908" s="64" t="n">
        <f aca="false">IF(AND($Q2908&gt;0,$O2908&gt;=AboveRank),$Q2908,0)</f>
        <v>0</v>
      </c>
      <c r="T2908" s="64" t="n">
        <f aca="false">IF($K2908="Less",$P2908,0)</f>
        <v>0</v>
      </c>
      <c r="U2908" s="64" t="n">
        <f aca="false">IF($K2908="Expected",$P2908,0)</f>
        <v>0</v>
      </c>
      <c r="V2908" s="64" t="n">
        <f aca="false">IF($K2908="Better",$P2908,0)</f>
        <v>0</v>
      </c>
      <c r="W2908" s="64" t="n">
        <f aca="false">IF($K2908="U – needs rule",$P2908,0)</f>
        <v>0</v>
      </c>
      <c r="X2908" s="64" t="n">
        <f aca="false">IF($K2908="No Start (attainment only)",$P2908,0)</f>
        <v>0</v>
      </c>
    </row>
    <row r="2909" customFormat="false" ht="15" hidden="false" customHeight="false" outlineLevel="0" collapsed="false">
      <c r="A2909" s="60"/>
      <c r="B2909" s="61" t="str">
        <f aca="false">IF($M2909=0,"",INDEX(Classes!$E$6:$E$420,$M2909))</f>
        <v/>
      </c>
      <c r="C2909" s="62" t="str">
        <f aca="false">IF($M2909=0,"",INDEX(Classes!$H$6:$H$420,$M2909))</f>
        <v/>
      </c>
      <c r="D2909" s="61" t="str">
        <f aca="false">IF($M2909=0,"",INDEX(Classes!$B$6:$B$420,$M2909))</f>
        <v/>
      </c>
      <c r="E2909" s="61" t="str">
        <f aca="false">IF($M2909=0,"",INDEX(Classes!$C$6:$C$420,$M2909))</f>
        <v/>
      </c>
      <c r="F2909" s="63"/>
      <c r="G2909" s="63"/>
      <c r="H2909" s="60"/>
      <c r="I2909" s="60"/>
      <c r="J2909" s="63"/>
      <c r="K2909" s="61" t="str">
        <f aca="false">IF($P2909=0,"",IF($F2909="Baseline","— Baseline",IF($O2909=0,"No result",IF($N2909=0,"No Start (attainment only)",IF(OR($N2909=1,$O2909=1),"U – needs rule",INDEX(MxBody,MATCH($I2909,MxCurr,0),MATCH($H2909,MxStart,0)))))))</f>
        <v/>
      </c>
      <c r="L2909" s="62" t="str">
        <f aca="false">IF(COUNTA($A2909,$F2909,$G2909,$H2909,$I2909,$J2909)=0,"",IF($M2909=0,"✖ كود الصف غير موجود",IF(ISNA(MATCH($F2909,Lists!$A$2:$A$5,0)),"✖ الفترة غير صحيحة",IF(ISNA(MATCH($G2909,Lists!$B$2:$B$7,0)),"✖ المجموعة غير صحيحة",IF(NOT(OR($H2909="",$N2909&gt;0)),"✖ Start غير صحيح",IF(NOT(OR($I2909="",$I2909="NR",$O2909&gt;0)),"✖ Current غير صحيح",IF(NOT(IF(ISNUMBER($J2909),AND($J2909&gt;=0,$J2909=INT($J2909)),FALSE())),"✖ العدد يجب أن يكون صحيحًا ≥ 0",IF(AND($F2909="Baseline",$H2909&lt;&gt;""),"⚠ Baseline: Start لا يدخل في التقدم",IF($K2909="No Start (attainment only)","ℹ تحصيل فقط (بدون Start)",IF($K2909="U – needs rule","ℹ حالة U تحتاج قاعدة معتمدة",IF($K2909="No result","ℹ بدون نتيجة (يُستبعد من التحصيل)","OK")))))))))))</f>
        <v/>
      </c>
      <c r="M2909" s="64" t="n">
        <f aca="false">IF($A2909="",0,IFERROR(MATCH($A2909,Classes!$A$6:$A$420,0),0))</f>
        <v>0</v>
      </c>
      <c r="N2909" s="64" t="n">
        <f aca="false">IF($H2909="",0,IFERROR(MATCH($H2909,GradeList,0),0))</f>
        <v>0</v>
      </c>
      <c r="O2909" s="64" t="n">
        <f aca="false">IF(OR($I2909="",$I2909="NR"),0,IFERROR(MATCH($I2909,GradeList,0),0))</f>
        <v>0</v>
      </c>
      <c r="P2909" s="64" t="n">
        <f aca="false">IF(AND($M2909&gt;0,ISNUMBER(MATCH($F2909,Lists!$A$2:$A$5,0)),ISNUMBER(MATCH($G2909,Lists!$B$2:$B$7,0)),OR($H2909="",$N2909&gt;0),OR($I2909="",$I2909="NR",$O2909&gt;0),IF(ISNUMBER($J2909),AND($J2909&gt;=0,$J2909=INT($J2909)),FALSE())),$J2909,0)</f>
        <v>0</v>
      </c>
      <c r="Q2909" s="64" t="n">
        <f aca="false">IF(AND($P2909&gt;0,$O2909&gt;0),$P2909,0)</f>
        <v>0</v>
      </c>
      <c r="R2909" s="64" t="n">
        <f aca="false">IF(AND($Q2909&gt;0,$O2909&gt;=AtRank),$Q2909,0)</f>
        <v>0</v>
      </c>
      <c r="S2909" s="64" t="n">
        <f aca="false">IF(AND($Q2909&gt;0,$O2909&gt;=AboveRank),$Q2909,0)</f>
        <v>0</v>
      </c>
      <c r="T2909" s="64" t="n">
        <f aca="false">IF($K2909="Less",$P2909,0)</f>
        <v>0</v>
      </c>
      <c r="U2909" s="64" t="n">
        <f aca="false">IF($K2909="Expected",$P2909,0)</f>
        <v>0</v>
      </c>
      <c r="V2909" s="64" t="n">
        <f aca="false">IF($K2909="Better",$P2909,0)</f>
        <v>0</v>
      </c>
      <c r="W2909" s="64" t="n">
        <f aca="false">IF($K2909="U – needs rule",$P2909,0)</f>
        <v>0</v>
      </c>
      <c r="X2909" s="64" t="n">
        <f aca="false">IF($K2909="No Start (attainment only)",$P2909,0)</f>
        <v>0</v>
      </c>
    </row>
    <row r="2910" customFormat="false" ht="15" hidden="false" customHeight="false" outlineLevel="0" collapsed="false">
      <c r="A2910" s="60"/>
      <c r="B2910" s="61" t="str">
        <f aca="false">IF($M2910=0,"",INDEX(Classes!$E$6:$E$420,$M2910))</f>
        <v/>
      </c>
      <c r="C2910" s="62" t="str">
        <f aca="false">IF($M2910=0,"",INDEX(Classes!$H$6:$H$420,$M2910))</f>
        <v/>
      </c>
      <c r="D2910" s="61" t="str">
        <f aca="false">IF($M2910=0,"",INDEX(Classes!$B$6:$B$420,$M2910))</f>
        <v/>
      </c>
      <c r="E2910" s="61" t="str">
        <f aca="false">IF($M2910=0,"",INDEX(Classes!$C$6:$C$420,$M2910))</f>
        <v/>
      </c>
      <c r="F2910" s="63"/>
      <c r="G2910" s="63"/>
      <c r="H2910" s="60"/>
      <c r="I2910" s="60"/>
      <c r="J2910" s="63"/>
      <c r="K2910" s="61" t="str">
        <f aca="false">IF($P2910=0,"",IF($F2910="Baseline","— Baseline",IF($O2910=0,"No result",IF($N2910=0,"No Start (attainment only)",IF(OR($N2910=1,$O2910=1),"U – needs rule",INDEX(MxBody,MATCH($I2910,MxCurr,0),MATCH($H2910,MxStart,0)))))))</f>
        <v/>
      </c>
      <c r="L2910" s="62" t="str">
        <f aca="false">IF(COUNTA($A2910,$F2910,$G2910,$H2910,$I2910,$J2910)=0,"",IF($M2910=0,"✖ كود الصف غير موجود",IF(ISNA(MATCH($F2910,Lists!$A$2:$A$5,0)),"✖ الفترة غير صحيحة",IF(ISNA(MATCH($G2910,Lists!$B$2:$B$7,0)),"✖ المجموعة غير صحيحة",IF(NOT(OR($H2910="",$N2910&gt;0)),"✖ Start غير صحيح",IF(NOT(OR($I2910="",$I2910="NR",$O2910&gt;0)),"✖ Current غير صحيح",IF(NOT(IF(ISNUMBER($J2910),AND($J2910&gt;=0,$J2910=INT($J2910)),FALSE())),"✖ العدد يجب أن يكون صحيحًا ≥ 0",IF(AND($F2910="Baseline",$H2910&lt;&gt;""),"⚠ Baseline: Start لا يدخل في التقدم",IF($K2910="No Start (attainment only)","ℹ تحصيل فقط (بدون Start)",IF($K2910="U – needs rule","ℹ حالة U تحتاج قاعدة معتمدة",IF($K2910="No result","ℹ بدون نتيجة (يُستبعد من التحصيل)","OK")))))))))))</f>
        <v/>
      </c>
      <c r="M2910" s="64" t="n">
        <f aca="false">IF($A2910="",0,IFERROR(MATCH($A2910,Classes!$A$6:$A$420,0),0))</f>
        <v>0</v>
      </c>
      <c r="N2910" s="64" t="n">
        <f aca="false">IF($H2910="",0,IFERROR(MATCH($H2910,GradeList,0),0))</f>
        <v>0</v>
      </c>
      <c r="O2910" s="64" t="n">
        <f aca="false">IF(OR($I2910="",$I2910="NR"),0,IFERROR(MATCH($I2910,GradeList,0),0))</f>
        <v>0</v>
      </c>
      <c r="P2910" s="64" t="n">
        <f aca="false">IF(AND($M2910&gt;0,ISNUMBER(MATCH($F2910,Lists!$A$2:$A$5,0)),ISNUMBER(MATCH($G2910,Lists!$B$2:$B$7,0)),OR($H2910="",$N2910&gt;0),OR($I2910="",$I2910="NR",$O2910&gt;0),IF(ISNUMBER($J2910),AND($J2910&gt;=0,$J2910=INT($J2910)),FALSE())),$J2910,0)</f>
        <v>0</v>
      </c>
      <c r="Q2910" s="64" t="n">
        <f aca="false">IF(AND($P2910&gt;0,$O2910&gt;0),$P2910,0)</f>
        <v>0</v>
      </c>
      <c r="R2910" s="64" t="n">
        <f aca="false">IF(AND($Q2910&gt;0,$O2910&gt;=AtRank),$Q2910,0)</f>
        <v>0</v>
      </c>
      <c r="S2910" s="64" t="n">
        <f aca="false">IF(AND($Q2910&gt;0,$O2910&gt;=AboveRank),$Q2910,0)</f>
        <v>0</v>
      </c>
      <c r="T2910" s="64" t="n">
        <f aca="false">IF($K2910="Less",$P2910,0)</f>
        <v>0</v>
      </c>
      <c r="U2910" s="64" t="n">
        <f aca="false">IF($K2910="Expected",$P2910,0)</f>
        <v>0</v>
      </c>
      <c r="V2910" s="64" t="n">
        <f aca="false">IF($K2910="Better",$P2910,0)</f>
        <v>0</v>
      </c>
      <c r="W2910" s="64" t="n">
        <f aca="false">IF($K2910="U – needs rule",$P2910,0)</f>
        <v>0</v>
      </c>
      <c r="X2910" s="64" t="n">
        <f aca="false">IF($K2910="No Start (attainment only)",$P2910,0)</f>
        <v>0</v>
      </c>
    </row>
    <row r="2911" customFormat="false" ht="15" hidden="false" customHeight="false" outlineLevel="0" collapsed="false">
      <c r="A2911" s="60"/>
      <c r="B2911" s="61" t="str">
        <f aca="false">IF($M2911=0,"",INDEX(Classes!$E$6:$E$420,$M2911))</f>
        <v/>
      </c>
      <c r="C2911" s="62" t="str">
        <f aca="false">IF($M2911=0,"",INDEX(Classes!$H$6:$H$420,$M2911))</f>
        <v/>
      </c>
      <c r="D2911" s="61" t="str">
        <f aca="false">IF($M2911=0,"",INDEX(Classes!$B$6:$B$420,$M2911))</f>
        <v/>
      </c>
      <c r="E2911" s="61" t="str">
        <f aca="false">IF($M2911=0,"",INDEX(Classes!$C$6:$C$420,$M2911))</f>
        <v/>
      </c>
      <c r="F2911" s="63"/>
      <c r="G2911" s="63"/>
      <c r="H2911" s="60"/>
      <c r="I2911" s="60"/>
      <c r="J2911" s="63"/>
      <c r="K2911" s="61" t="str">
        <f aca="false">IF($P2911=0,"",IF($F2911="Baseline","— Baseline",IF($O2911=0,"No result",IF($N2911=0,"No Start (attainment only)",IF(OR($N2911=1,$O2911=1),"U – needs rule",INDEX(MxBody,MATCH($I2911,MxCurr,0),MATCH($H2911,MxStart,0)))))))</f>
        <v/>
      </c>
      <c r="L2911" s="62" t="str">
        <f aca="false">IF(COUNTA($A2911,$F2911,$G2911,$H2911,$I2911,$J2911)=0,"",IF($M2911=0,"✖ كود الصف غير موجود",IF(ISNA(MATCH($F2911,Lists!$A$2:$A$5,0)),"✖ الفترة غير صحيحة",IF(ISNA(MATCH($G2911,Lists!$B$2:$B$7,0)),"✖ المجموعة غير صحيحة",IF(NOT(OR($H2911="",$N2911&gt;0)),"✖ Start غير صحيح",IF(NOT(OR($I2911="",$I2911="NR",$O2911&gt;0)),"✖ Current غير صحيح",IF(NOT(IF(ISNUMBER($J2911),AND($J2911&gt;=0,$J2911=INT($J2911)),FALSE())),"✖ العدد يجب أن يكون صحيحًا ≥ 0",IF(AND($F2911="Baseline",$H2911&lt;&gt;""),"⚠ Baseline: Start لا يدخل في التقدم",IF($K2911="No Start (attainment only)","ℹ تحصيل فقط (بدون Start)",IF($K2911="U – needs rule","ℹ حالة U تحتاج قاعدة معتمدة",IF($K2911="No result","ℹ بدون نتيجة (يُستبعد من التحصيل)","OK")))))))))))</f>
        <v/>
      </c>
      <c r="M2911" s="64" t="n">
        <f aca="false">IF($A2911="",0,IFERROR(MATCH($A2911,Classes!$A$6:$A$420,0),0))</f>
        <v>0</v>
      </c>
      <c r="N2911" s="64" t="n">
        <f aca="false">IF($H2911="",0,IFERROR(MATCH($H2911,GradeList,0),0))</f>
        <v>0</v>
      </c>
      <c r="O2911" s="64" t="n">
        <f aca="false">IF(OR($I2911="",$I2911="NR"),0,IFERROR(MATCH($I2911,GradeList,0),0))</f>
        <v>0</v>
      </c>
      <c r="P2911" s="64" t="n">
        <f aca="false">IF(AND($M2911&gt;0,ISNUMBER(MATCH($F2911,Lists!$A$2:$A$5,0)),ISNUMBER(MATCH($G2911,Lists!$B$2:$B$7,0)),OR($H2911="",$N2911&gt;0),OR($I2911="",$I2911="NR",$O2911&gt;0),IF(ISNUMBER($J2911),AND($J2911&gt;=0,$J2911=INT($J2911)),FALSE())),$J2911,0)</f>
        <v>0</v>
      </c>
      <c r="Q2911" s="64" t="n">
        <f aca="false">IF(AND($P2911&gt;0,$O2911&gt;0),$P2911,0)</f>
        <v>0</v>
      </c>
      <c r="R2911" s="64" t="n">
        <f aca="false">IF(AND($Q2911&gt;0,$O2911&gt;=AtRank),$Q2911,0)</f>
        <v>0</v>
      </c>
      <c r="S2911" s="64" t="n">
        <f aca="false">IF(AND($Q2911&gt;0,$O2911&gt;=AboveRank),$Q2911,0)</f>
        <v>0</v>
      </c>
      <c r="T2911" s="64" t="n">
        <f aca="false">IF($K2911="Less",$P2911,0)</f>
        <v>0</v>
      </c>
      <c r="U2911" s="64" t="n">
        <f aca="false">IF($K2911="Expected",$P2911,0)</f>
        <v>0</v>
      </c>
      <c r="V2911" s="64" t="n">
        <f aca="false">IF($K2911="Better",$P2911,0)</f>
        <v>0</v>
      </c>
      <c r="W2911" s="64" t="n">
        <f aca="false">IF($K2911="U – needs rule",$P2911,0)</f>
        <v>0</v>
      </c>
      <c r="X2911" s="64" t="n">
        <f aca="false">IF($K2911="No Start (attainment only)",$P2911,0)</f>
        <v>0</v>
      </c>
    </row>
    <row r="2912" customFormat="false" ht="15" hidden="false" customHeight="false" outlineLevel="0" collapsed="false">
      <c r="A2912" s="60"/>
      <c r="B2912" s="61" t="str">
        <f aca="false">IF($M2912=0,"",INDEX(Classes!$E$6:$E$420,$M2912))</f>
        <v/>
      </c>
      <c r="C2912" s="62" t="str">
        <f aca="false">IF($M2912=0,"",INDEX(Classes!$H$6:$H$420,$M2912))</f>
        <v/>
      </c>
      <c r="D2912" s="61" t="str">
        <f aca="false">IF($M2912=0,"",INDEX(Classes!$B$6:$B$420,$M2912))</f>
        <v/>
      </c>
      <c r="E2912" s="61" t="str">
        <f aca="false">IF($M2912=0,"",INDEX(Classes!$C$6:$C$420,$M2912))</f>
        <v/>
      </c>
      <c r="F2912" s="63"/>
      <c r="G2912" s="63"/>
      <c r="H2912" s="60"/>
      <c r="I2912" s="60"/>
      <c r="J2912" s="63"/>
      <c r="K2912" s="61" t="str">
        <f aca="false">IF($P2912=0,"",IF($F2912="Baseline","— Baseline",IF($O2912=0,"No result",IF($N2912=0,"No Start (attainment only)",IF(OR($N2912=1,$O2912=1),"U – needs rule",INDEX(MxBody,MATCH($I2912,MxCurr,0),MATCH($H2912,MxStart,0)))))))</f>
        <v/>
      </c>
      <c r="L2912" s="62" t="str">
        <f aca="false">IF(COUNTA($A2912,$F2912,$G2912,$H2912,$I2912,$J2912)=0,"",IF($M2912=0,"✖ كود الصف غير موجود",IF(ISNA(MATCH($F2912,Lists!$A$2:$A$5,0)),"✖ الفترة غير صحيحة",IF(ISNA(MATCH($G2912,Lists!$B$2:$B$7,0)),"✖ المجموعة غير صحيحة",IF(NOT(OR($H2912="",$N2912&gt;0)),"✖ Start غير صحيح",IF(NOT(OR($I2912="",$I2912="NR",$O2912&gt;0)),"✖ Current غير صحيح",IF(NOT(IF(ISNUMBER($J2912),AND($J2912&gt;=0,$J2912=INT($J2912)),FALSE())),"✖ العدد يجب أن يكون صحيحًا ≥ 0",IF(AND($F2912="Baseline",$H2912&lt;&gt;""),"⚠ Baseline: Start لا يدخل في التقدم",IF($K2912="No Start (attainment only)","ℹ تحصيل فقط (بدون Start)",IF($K2912="U – needs rule","ℹ حالة U تحتاج قاعدة معتمدة",IF($K2912="No result","ℹ بدون نتيجة (يُستبعد من التحصيل)","OK")))))))))))</f>
        <v/>
      </c>
      <c r="M2912" s="64" t="n">
        <f aca="false">IF($A2912="",0,IFERROR(MATCH($A2912,Classes!$A$6:$A$420,0),0))</f>
        <v>0</v>
      </c>
      <c r="N2912" s="64" t="n">
        <f aca="false">IF($H2912="",0,IFERROR(MATCH($H2912,GradeList,0),0))</f>
        <v>0</v>
      </c>
      <c r="O2912" s="64" t="n">
        <f aca="false">IF(OR($I2912="",$I2912="NR"),0,IFERROR(MATCH($I2912,GradeList,0),0))</f>
        <v>0</v>
      </c>
      <c r="P2912" s="64" t="n">
        <f aca="false">IF(AND($M2912&gt;0,ISNUMBER(MATCH($F2912,Lists!$A$2:$A$5,0)),ISNUMBER(MATCH($G2912,Lists!$B$2:$B$7,0)),OR($H2912="",$N2912&gt;0),OR($I2912="",$I2912="NR",$O2912&gt;0),IF(ISNUMBER($J2912),AND($J2912&gt;=0,$J2912=INT($J2912)),FALSE())),$J2912,0)</f>
        <v>0</v>
      </c>
      <c r="Q2912" s="64" t="n">
        <f aca="false">IF(AND($P2912&gt;0,$O2912&gt;0),$P2912,0)</f>
        <v>0</v>
      </c>
      <c r="R2912" s="64" t="n">
        <f aca="false">IF(AND($Q2912&gt;0,$O2912&gt;=AtRank),$Q2912,0)</f>
        <v>0</v>
      </c>
      <c r="S2912" s="64" t="n">
        <f aca="false">IF(AND($Q2912&gt;0,$O2912&gt;=AboveRank),$Q2912,0)</f>
        <v>0</v>
      </c>
      <c r="T2912" s="64" t="n">
        <f aca="false">IF($K2912="Less",$P2912,0)</f>
        <v>0</v>
      </c>
      <c r="U2912" s="64" t="n">
        <f aca="false">IF($K2912="Expected",$P2912,0)</f>
        <v>0</v>
      </c>
      <c r="V2912" s="64" t="n">
        <f aca="false">IF($K2912="Better",$P2912,0)</f>
        <v>0</v>
      </c>
      <c r="W2912" s="64" t="n">
        <f aca="false">IF($K2912="U – needs rule",$P2912,0)</f>
        <v>0</v>
      </c>
      <c r="X2912" s="64" t="n">
        <f aca="false">IF($K2912="No Start (attainment only)",$P2912,0)</f>
        <v>0</v>
      </c>
    </row>
    <row r="2913" customFormat="false" ht="15" hidden="false" customHeight="false" outlineLevel="0" collapsed="false">
      <c r="A2913" s="60"/>
      <c r="B2913" s="61" t="str">
        <f aca="false">IF($M2913=0,"",INDEX(Classes!$E$6:$E$420,$M2913))</f>
        <v/>
      </c>
      <c r="C2913" s="62" t="str">
        <f aca="false">IF($M2913=0,"",INDEX(Classes!$H$6:$H$420,$M2913))</f>
        <v/>
      </c>
      <c r="D2913" s="61" t="str">
        <f aca="false">IF($M2913=0,"",INDEX(Classes!$B$6:$B$420,$M2913))</f>
        <v/>
      </c>
      <c r="E2913" s="61" t="str">
        <f aca="false">IF($M2913=0,"",INDEX(Classes!$C$6:$C$420,$M2913))</f>
        <v/>
      </c>
      <c r="F2913" s="63"/>
      <c r="G2913" s="63"/>
      <c r="H2913" s="60"/>
      <c r="I2913" s="60"/>
      <c r="J2913" s="63"/>
      <c r="K2913" s="61" t="str">
        <f aca="false">IF($P2913=0,"",IF($F2913="Baseline","— Baseline",IF($O2913=0,"No result",IF($N2913=0,"No Start (attainment only)",IF(OR($N2913=1,$O2913=1),"U – needs rule",INDEX(MxBody,MATCH($I2913,MxCurr,0),MATCH($H2913,MxStart,0)))))))</f>
        <v/>
      </c>
      <c r="L2913" s="62" t="str">
        <f aca="false">IF(COUNTA($A2913,$F2913,$G2913,$H2913,$I2913,$J2913)=0,"",IF($M2913=0,"✖ كود الصف غير موجود",IF(ISNA(MATCH($F2913,Lists!$A$2:$A$5,0)),"✖ الفترة غير صحيحة",IF(ISNA(MATCH($G2913,Lists!$B$2:$B$7,0)),"✖ المجموعة غير صحيحة",IF(NOT(OR($H2913="",$N2913&gt;0)),"✖ Start غير صحيح",IF(NOT(OR($I2913="",$I2913="NR",$O2913&gt;0)),"✖ Current غير صحيح",IF(NOT(IF(ISNUMBER($J2913),AND($J2913&gt;=0,$J2913=INT($J2913)),FALSE())),"✖ العدد يجب أن يكون صحيحًا ≥ 0",IF(AND($F2913="Baseline",$H2913&lt;&gt;""),"⚠ Baseline: Start لا يدخل في التقدم",IF($K2913="No Start (attainment only)","ℹ تحصيل فقط (بدون Start)",IF($K2913="U – needs rule","ℹ حالة U تحتاج قاعدة معتمدة",IF($K2913="No result","ℹ بدون نتيجة (يُستبعد من التحصيل)","OK")))))))))))</f>
        <v/>
      </c>
      <c r="M2913" s="64" t="n">
        <f aca="false">IF($A2913="",0,IFERROR(MATCH($A2913,Classes!$A$6:$A$420,0),0))</f>
        <v>0</v>
      </c>
      <c r="N2913" s="64" t="n">
        <f aca="false">IF($H2913="",0,IFERROR(MATCH($H2913,GradeList,0),0))</f>
        <v>0</v>
      </c>
      <c r="O2913" s="64" t="n">
        <f aca="false">IF(OR($I2913="",$I2913="NR"),0,IFERROR(MATCH($I2913,GradeList,0),0))</f>
        <v>0</v>
      </c>
      <c r="P2913" s="64" t="n">
        <f aca="false">IF(AND($M2913&gt;0,ISNUMBER(MATCH($F2913,Lists!$A$2:$A$5,0)),ISNUMBER(MATCH($G2913,Lists!$B$2:$B$7,0)),OR($H2913="",$N2913&gt;0),OR($I2913="",$I2913="NR",$O2913&gt;0),IF(ISNUMBER($J2913),AND($J2913&gt;=0,$J2913=INT($J2913)),FALSE())),$J2913,0)</f>
        <v>0</v>
      </c>
      <c r="Q2913" s="64" t="n">
        <f aca="false">IF(AND($P2913&gt;0,$O2913&gt;0),$P2913,0)</f>
        <v>0</v>
      </c>
      <c r="R2913" s="64" t="n">
        <f aca="false">IF(AND($Q2913&gt;0,$O2913&gt;=AtRank),$Q2913,0)</f>
        <v>0</v>
      </c>
      <c r="S2913" s="64" t="n">
        <f aca="false">IF(AND($Q2913&gt;0,$O2913&gt;=AboveRank),$Q2913,0)</f>
        <v>0</v>
      </c>
      <c r="T2913" s="64" t="n">
        <f aca="false">IF($K2913="Less",$P2913,0)</f>
        <v>0</v>
      </c>
      <c r="U2913" s="64" t="n">
        <f aca="false">IF($K2913="Expected",$P2913,0)</f>
        <v>0</v>
      </c>
      <c r="V2913" s="64" t="n">
        <f aca="false">IF($K2913="Better",$P2913,0)</f>
        <v>0</v>
      </c>
      <c r="W2913" s="64" t="n">
        <f aca="false">IF($K2913="U – needs rule",$P2913,0)</f>
        <v>0</v>
      </c>
      <c r="X2913" s="64" t="n">
        <f aca="false">IF($K2913="No Start (attainment only)",$P2913,0)</f>
        <v>0</v>
      </c>
    </row>
    <row r="2914" customFormat="false" ht="15" hidden="false" customHeight="false" outlineLevel="0" collapsed="false">
      <c r="A2914" s="60"/>
      <c r="B2914" s="61" t="str">
        <f aca="false">IF($M2914=0,"",INDEX(Classes!$E$6:$E$420,$M2914))</f>
        <v/>
      </c>
      <c r="C2914" s="62" t="str">
        <f aca="false">IF($M2914=0,"",INDEX(Classes!$H$6:$H$420,$M2914))</f>
        <v/>
      </c>
      <c r="D2914" s="61" t="str">
        <f aca="false">IF($M2914=0,"",INDEX(Classes!$B$6:$B$420,$M2914))</f>
        <v/>
      </c>
      <c r="E2914" s="61" t="str">
        <f aca="false">IF($M2914=0,"",INDEX(Classes!$C$6:$C$420,$M2914))</f>
        <v/>
      </c>
      <c r="F2914" s="63"/>
      <c r="G2914" s="63"/>
      <c r="H2914" s="60"/>
      <c r="I2914" s="60"/>
      <c r="J2914" s="63"/>
      <c r="K2914" s="61" t="str">
        <f aca="false">IF($P2914=0,"",IF($F2914="Baseline","— Baseline",IF($O2914=0,"No result",IF($N2914=0,"No Start (attainment only)",IF(OR($N2914=1,$O2914=1),"U – needs rule",INDEX(MxBody,MATCH($I2914,MxCurr,0),MATCH($H2914,MxStart,0)))))))</f>
        <v/>
      </c>
      <c r="L2914" s="62" t="str">
        <f aca="false">IF(COUNTA($A2914,$F2914,$G2914,$H2914,$I2914,$J2914)=0,"",IF($M2914=0,"✖ كود الصف غير موجود",IF(ISNA(MATCH($F2914,Lists!$A$2:$A$5,0)),"✖ الفترة غير صحيحة",IF(ISNA(MATCH($G2914,Lists!$B$2:$B$7,0)),"✖ المجموعة غير صحيحة",IF(NOT(OR($H2914="",$N2914&gt;0)),"✖ Start غير صحيح",IF(NOT(OR($I2914="",$I2914="NR",$O2914&gt;0)),"✖ Current غير صحيح",IF(NOT(IF(ISNUMBER($J2914),AND($J2914&gt;=0,$J2914=INT($J2914)),FALSE())),"✖ العدد يجب أن يكون صحيحًا ≥ 0",IF(AND($F2914="Baseline",$H2914&lt;&gt;""),"⚠ Baseline: Start لا يدخل في التقدم",IF($K2914="No Start (attainment only)","ℹ تحصيل فقط (بدون Start)",IF($K2914="U – needs rule","ℹ حالة U تحتاج قاعدة معتمدة",IF($K2914="No result","ℹ بدون نتيجة (يُستبعد من التحصيل)","OK")))))))))))</f>
        <v/>
      </c>
      <c r="M2914" s="64" t="n">
        <f aca="false">IF($A2914="",0,IFERROR(MATCH($A2914,Classes!$A$6:$A$420,0),0))</f>
        <v>0</v>
      </c>
      <c r="N2914" s="64" t="n">
        <f aca="false">IF($H2914="",0,IFERROR(MATCH($H2914,GradeList,0),0))</f>
        <v>0</v>
      </c>
      <c r="O2914" s="64" t="n">
        <f aca="false">IF(OR($I2914="",$I2914="NR"),0,IFERROR(MATCH($I2914,GradeList,0),0))</f>
        <v>0</v>
      </c>
      <c r="P2914" s="64" t="n">
        <f aca="false">IF(AND($M2914&gt;0,ISNUMBER(MATCH($F2914,Lists!$A$2:$A$5,0)),ISNUMBER(MATCH($G2914,Lists!$B$2:$B$7,0)),OR($H2914="",$N2914&gt;0),OR($I2914="",$I2914="NR",$O2914&gt;0),IF(ISNUMBER($J2914),AND($J2914&gt;=0,$J2914=INT($J2914)),FALSE())),$J2914,0)</f>
        <v>0</v>
      </c>
      <c r="Q2914" s="64" t="n">
        <f aca="false">IF(AND($P2914&gt;0,$O2914&gt;0),$P2914,0)</f>
        <v>0</v>
      </c>
      <c r="R2914" s="64" t="n">
        <f aca="false">IF(AND($Q2914&gt;0,$O2914&gt;=AtRank),$Q2914,0)</f>
        <v>0</v>
      </c>
      <c r="S2914" s="64" t="n">
        <f aca="false">IF(AND($Q2914&gt;0,$O2914&gt;=AboveRank),$Q2914,0)</f>
        <v>0</v>
      </c>
      <c r="T2914" s="64" t="n">
        <f aca="false">IF($K2914="Less",$P2914,0)</f>
        <v>0</v>
      </c>
      <c r="U2914" s="64" t="n">
        <f aca="false">IF($K2914="Expected",$P2914,0)</f>
        <v>0</v>
      </c>
      <c r="V2914" s="64" t="n">
        <f aca="false">IF($K2914="Better",$P2914,0)</f>
        <v>0</v>
      </c>
      <c r="W2914" s="64" t="n">
        <f aca="false">IF($K2914="U – needs rule",$P2914,0)</f>
        <v>0</v>
      </c>
      <c r="X2914" s="64" t="n">
        <f aca="false">IF($K2914="No Start (attainment only)",$P2914,0)</f>
        <v>0</v>
      </c>
    </row>
    <row r="2915" customFormat="false" ht="15" hidden="false" customHeight="false" outlineLevel="0" collapsed="false">
      <c r="A2915" s="60"/>
      <c r="B2915" s="61" t="str">
        <f aca="false">IF($M2915=0,"",INDEX(Classes!$E$6:$E$420,$M2915))</f>
        <v/>
      </c>
      <c r="C2915" s="62" t="str">
        <f aca="false">IF($M2915=0,"",INDEX(Classes!$H$6:$H$420,$M2915))</f>
        <v/>
      </c>
      <c r="D2915" s="61" t="str">
        <f aca="false">IF($M2915=0,"",INDEX(Classes!$B$6:$B$420,$M2915))</f>
        <v/>
      </c>
      <c r="E2915" s="61" t="str">
        <f aca="false">IF($M2915=0,"",INDEX(Classes!$C$6:$C$420,$M2915))</f>
        <v/>
      </c>
      <c r="F2915" s="63"/>
      <c r="G2915" s="63"/>
      <c r="H2915" s="60"/>
      <c r="I2915" s="60"/>
      <c r="J2915" s="63"/>
      <c r="K2915" s="61" t="str">
        <f aca="false">IF($P2915=0,"",IF($F2915="Baseline","— Baseline",IF($O2915=0,"No result",IF($N2915=0,"No Start (attainment only)",IF(OR($N2915=1,$O2915=1),"U – needs rule",INDEX(MxBody,MATCH($I2915,MxCurr,0),MATCH($H2915,MxStart,0)))))))</f>
        <v/>
      </c>
      <c r="L2915" s="62" t="str">
        <f aca="false">IF(COUNTA($A2915,$F2915,$G2915,$H2915,$I2915,$J2915)=0,"",IF($M2915=0,"✖ كود الصف غير موجود",IF(ISNA(MATCH($F2915,Lists!$A$2:$A$5,0)),"✖ الفترة غير صحيحة",IF(ISNA(MATCH($G2915,Lists!$B$2:$B$7,0)),"✖ المجموعة غير صحيحة",IF(NOT(OR($H2915="",$N2915&gt;0)),"✖ Start غير صحيح",IF(NOT(OR($I2915="",$I2915="NR",$O2915&gt;0)),"✖ Current غير صحيح",IF(NOT(IF(ISNUMBER($J2915),AND($J2915&gt;=0,$J2915=INT($J2915)),FALSE())),"✖ العدد يجب أن يكون صحيحًا ≥ 0",IF(AND($F2915="Baseline",$H2915&lt;&gt;""),"⚠ Baseline: Start لا يدخل في التقدم",IF($K2915="No Start (attainment only)","ℹ تحصيل فقط (بدون Start)",IF($K2915="U – needs rule","ℹ حالة U تحتاج قاعدة معتمدة",IF($K2915="No result","ℹ بدون نتيجة (يُستبعد من التحصيل)","OK")))))))))))</f>
        <v/>
      </c>
      <c r="M2915" s="64" t="n">
        <f aca="false">IF($A2915="",0,IFERROR(MATCH($A2915,Classes!$A$6:$A$420,0),0))</f>
        <v>0</v>
      </c>
      <c r="N2915" s="64" t="n">
        <f aca="false">IF($H2915="",0,IFERROR(MATCH($H2915,GradeList,0),0))</f>
        <v>0</v>
      </c>
      <c r="O2915" s="64" t="n">
        <f aca="false">IF(OR($I2915="",$I2915="NR"),0,IFERROR(MATCH($I2915,GradeList,0),0))</f>
        <v>0</v>
      </c>
      <c r="P2915" s="64" t="n">
        <f aca="false">IF(AND($M2915&gt;0,ISNUMBER(MATCH($F2915,Lists!$A$2:$A$5,0)),ISNUMBER(MATCH($G2915,Lists!$B$2:$B$7,0)),OR($H2915="",$N2915&gt;0),OR($I2915="",$I2915="NR",$O2915&gt;0),IF(ISNUMBER($J2915),AND($J2915&gt;=0,$J2915=INT($J2915)),FALSE())),$J2915,0)</f>
        <v>0</v>
      </c>
      <c r="Q2915" s="64" t="n">
        <f aca="false">IF(AND($P2915&gt;0,$O2915&gt;0),$P2915,0)</f>
        <v>0</v>
      </c>
      <c r="R2915" s="64" t="n">
        <f aca="false">IF(AND($Q2915&gt;0,$O2915&gt;=AtRank),$Q2915,0)</f>
        <v>0</v>
      </c>
      <c r="S2915" s="64" t="n">
        <f aca="false">IF(AND($Q2915&gt;0,$O2915&gt;=AboveRank),$Q2915,0)</f>
        <v>0</v>
      </c>
      <c r="T2915" s="64" t="n">
        <f aca="false">IF($K2915="Less",$P2915,0)</f>
        <v>0</v>
      </c>
      <c r="U2915" s="64" t="n">
        <f aca="false">IF($K2915="Expected",$P2915,0)</f>
        <v>0</v>
      </c>
      <c r="V2915" s="64" t="n">
        <f aca="false">IF($K2915="Better",$P2915,0)</f>
        <v>0</v>
      </c>
      <c r="W2915" s="64" t="n">
        <f aca="false">IF($K2915="U – needs rule",$P2915,0)</f>
        <v>0</v>
      </c>
      <c r="X2915" s="64" t="n">
        <f aca="false">IF($K2915="No Start (attainment only)",$P2915,0)</f>
        <v>0</v>
      </c>
    </row>
    <row r="2916" customFormat="false" ht="15" hidden="false" customHeight="false" outlineLevel="0" collapsed="false">
      <c r="A2916" s="60"/>
      <c r="B2916" s="61" t="str">
        <f aca="false">IF($M2916=0,"",INDEX(Classes!$E$6:$E$420,$M2916))</f>
        <v/>
      </c>
      <c r="C2916" s="62" t="str">
        <f aca="false">IF($M2916=0,"",INDEX(Classes!$H$6:$H$420,$M2916))</f>
        <v/>
      </c>
      <c r="D2916" s="61" t="str">
        <f aca="false">IF($M2916=0,"",INDEX(Classes!$B$6:$B$420,$M2916))</f>
        <v/>
      </c>
      <c r="E2916" s="61" t="str">
        <f aca="false">IF($M2916=0,"",INDEX(Classes!$C$6:$C$420,$M2916))</f>
        <v/>
      </c>
      <c r="F2916" s="63"/>
      <c r="G2916" s="63"/>
      <c r="H2916" s="60"/>
      <c r="I2916" s="60"/>
      <c r="J2916" s="63"/>
      <c r="K2916" s="61" t="str">
        <f aca="false">IF($P2916=0,"",IF($F2916="Baseline","— Baseline",IF($O2916=0,"No result",IF($N2916=0,"No Start (attainment only)",IF(OR($N2916=1,$O2916=1),"U – needs rule",INDEX(MxBody,MATCH($I2916,MxCurr,0),MATCH($H2916,MxStart,0)))))))</f>
        <v/>
      </c>
      <c r="L2916" s="62" t="str">
        <f aca="false">IF(COUNTA($A2916,$F2916,$G2916,$H2916,$I2916,$J2916)=0,"",IF($M2916=0,"✖ كود الصف غير موجود",IF(ISNA(MATCH($F2916,Lists!$A$2:$A$5,0)),"✖ الفترة غير صحيحة",IF(ISNA(MATCH($G2916,Lists!$B$2:$B$7,0)),"✖ المجموعة غير صحيحة",IF(NOT(OR($H2916="",$N2916&gt;0)),"✖ Start غير صحيح",IF(NOT(OR($I2916="",$I2916="NR",$O2916&gt;0)),"✖ Current غير صحيح",IF(NOT(IF(ISNUMBER($J2916),AND($J2916&gt;=0,$J2916=INT($J2916)),FALSE())),"✖ العدد يجب أن يكون صحيحًا ≥ 0",IF(AND($F2916="Baseline",$H2916&lt;&gt;""),"⚠ Baseline: Start لا يدخل في التقدم",IF($K2916="No Start (attainment only)","ℹ تحصيل فقط (بدون Start)",IF($K2916="U – needs rule","ℹ حالة U تحتاج قاعدة معتمدة",IF($K2916="No result","ℹ بدون نتيجة (يُستبعد من التحصيل)","OK")))))))))))</f>
        <v/>
      </c>
      <c r="M2916" s="64" t="n">
        <f aca="false">IF($A2916="",0,IFERROR(MATCH($A2916,Classes!$A$6:$A$420,0),0))</f>
        <v>0</v>
      </c>
      <c r="N2916" s="64" t="n">
        <f aca="false">IF($H2916="",0,IFERROR(MATCH($H2916,GradeList,0),0))</f>
        <v>0</v>
      </c>
      <c r="O2916" s="64" t="n">
        <f aca="false">IF(OR($I2916="",$I2916="NR"),0,IFERROR(MATCH($I2916,GradeList,0),0))</f>
        <v>0</v>
      </c>
      <c r="P2916" s="64" t="n">
        <f aca="false">IF(AND($M2916&gt;0,ISNUMBER(MATCH($F2916,Lists!$A$2:$A$5,0)),ISNUMBER(MATCH($G2916,Lists!$B$2:$B$7,0)),OR($H2916="",$N2916&gt;0),OR($I2916="",$I2916="NR",$O2916&gt;0),IF(ISNUMBER($J2916),AND($J2916&gt;=0,$J2916=INT($J2916)),FALSE())),$J2916,0)</f>
        <v>0</v>
      </c>
      <c r="Q2916" s="64" t="n">
        <f aca="false">IF(AND($P2916&gt;0,$O2916&gt;0),$P2916,0)</f>
        <v>0</v>
      </c>
      <c r="R2916" s="64" t="n">
        <f aca="false">IF(AND($Q2916&gt;0,$O2916&gt;=AtRank),$Q2916,0)</f>
        <v>0</v>
      </c>
      <c r="S2916" s="64" t="n">
        <f aca="false">IF(AND($Q2916&gt;0,$O2916&gt;=AboveRank),$Q2916,0)</f>
        <v>0</v>
      </c>
      <c r="T2916" s="64" t="n">
        <f aca="false">IF($K2916="Less",$P2916,0)</f>
        <v>0</v>
      </c>
      <c r="U2916" s="64" t="n">
        <f aca="false">IF($K2916="Expected",$P2916,0)</f>
        <v>0</v>
      </c>
      <c r="V2916" s="64" t="n">
        <f aca="false">IF($K2916="Better",$P2916,0)</f>
        <v>0</v>
      </c>
      <c r="W2916" s="64" t="n">
        <f aca="false">IF($K2916="U – needs rule",$P2916,0)</f>
        <v>0</v>
      </c>
      <c r="X2916" s="64" t="n">
        <f aca="false">IF($K2916="No Start (attainment only)",$P2916,0)</f>
        <v>0</v>
      </c>
    </row>
    <row r="2917" customFormat="false" ht="15" hidden="false" customHeight="false" outlineLevel="0" collapsed="false">
      <c r="A2917" s="60"/>
      <c r="B2917" s="61" t="str">
        <f aca="false">IF($M2917=0,"",INDEX(Classes!$E$6:$E$420,$M2917))</f>
        <v/>
      </c>
      <c r="C2917" s="62" t="str">
        <f aca="false">IF($M2917=0,"",INDEX(Classes!$H$6:$H$420,$M2917))</f>
        <v/>
      </c>
      <c r="D2917" s="61" t="str">
        <f aca="false">IF($M2917=0,"",INDEX(Classes!$B$6:$B$420,$M2917))</f>
        <v/>
      </c>
      <c r="E2917" s="61" t="str">
        <f aca="false">IF($M2917=0,"",INDEX(Classes!$C$6:$C$420,$M2917))</f>
        <v/>
      </c>
      <c r="F2917" s="63"/>
      <c r="G2917" s="63"/>
      <c r="H2917" s="60"/>
      <c r="I2917" s="60"/>
      <c r="J2917" s="63"/>
      <c r="K2917" s="61" t="str">
        <f aca="false">IF($P2917=0,"",IF($F2917="Baseline","— Baseline",IF($O2917=0,"No result",IF($N2917=0,"No Start (attainment only)",IF(OR($N2917=1,$O2917=1),"U – needs rule",INDEX(MxBody,MATCH($I2917,MxCurr,0),MATCH($H2917,MxStart,0)))))))</f>
        <v/>
      </c>
      <c r="L2917" s="62" t="str">
        <f aca="false">IF(COUNTA($A2917,$F2917,$G2917,$H2917,$I2917,$J2917)=0,"",IF($M2917=0,"✖ كود الصف غير موجود",IF(ISNA(MATCH($F2917,Lists!$A$2:$A$5,0)),"✖ الفترة غير صحيحة",IF(ISNA(MATCH($G2917,Lists!$B$2:$B$7,0)),"✖ المجموعة غير صحيحة",IF(NOT(OR($H2917="",$N2917&gt;0)),"✖ Start غير صحيح",IF(NOT(OR($I2917="",$I2917="NR",$O2917&gt;0)),"✖ Current غير صحيح",IF(NOT(IF(ISNUMBER($J2917),AND($J2917&gt;=0,$J2917=INT($J2917)),FALSE())),"✖ العدد يجب أن يكون صحيحًا ≥ 0",IF(AND($F2917="Baseline",$H2917&lt;&gt;""),"⚠ Baseline: Start لا يدخل في التقدم",IF($K2917="No Start (attainment only)","ℹ تحصيل فقط (بدون Start)",IF($K2917="U – needs rule","ℹ حالة U تحتاج قاعدة معتمدة",IF($K2917="No result","ℹ بدون نتيجة (يُستبعد من التحصيل)","OK")))))))))))</f>
        <v/>
      </c>
      <c r="M2917" s="64" t="n">
        <f aca="false">IF($A2917="",0,IFERROR(MATCH($A2917,Classes!$A$6:$A$420,0),0))</f>
        <v>0</v>
      </c>
      <c r="N2917" s="64" t="n">
        <f aca="false">IF($H2917="",0,IFERROR(MATCH($H2917,GradeList,0),0))</f>
        <v>0</v>
      </c>
      <c r="O2917" s="64" t="n">
        <f aca="false">IF(OR($I2917="",$I2917="NR"),0,IFERROR(MATCH($I2917,GradeList,0),0))</f>
        <v>0</v>
      </c>
      <c r="P2917" s="64" t="n">
        <f aca="false">IF(AND($M2917&gt;0,ISNUMBER(MATCH($F2917,Lists!$A$2:$A$5,0)),ISNUMBER(MATCH($G2917,Lists!$B$2:$B$7,0)),OR($H2917="",$N2917&gt;0),OR($I2917="",$I2917="NR",$O2917&gt;0),IF(ISNUMBER($J2917),AND($J2917&gt;=0,$J2917=INT($J2917)),FALSE())),$J2917,0)</f>
        <v>0</v>
      </c>
      <c r="Q2917" s="64" t="n">
        <f aca="false">IF(AND($P2917&gt;0,$O2917&gt;0),$P2917,0)</f>
        <v>0</v>
      </c>
      <c r="R2917" s="64" t="n">
        <f aca="false">IF(AND($Q2917&gt;0,$O2917&gt;=AtRank),$Q2917,0)</f>
        <v>0</v>
      </c>
      <c r="S2917" s="64" t="n">
        <f aca="false">IF(AND($Q2917&gt;0,$O2917&gt;=AboveRank),$Q2917,0)</f>
        <v>0</v>
      </c>
      <c r="T2917" s="64" t="n">
        <f aca="false">IF($K2917="Less",$P2917,0)</f>
        <v>0</v>
      </c>
      <c r="U2917" s="64" t="n">
        <f aca="false">IF($K2917="Expected",$P2917,0)</f>
        <v>0</v>
      </c>
      <c r="V2917" s="64" t="n">
        <f aca="false">IF($K2917="Better",$P2917,0)</f>
        <v>0</v>
      </c>
      <c r="W2917" s="64" t="n">
        <f aca="false">IF($K2917="U – needs rule",$P2917,0)</f>
        <v>0</v>
      </c>
      <c r="X2917" s="64" t="n">
        <f aca="false">IF($K2917="No Start (attainment only)",$P2917,0)</f>
        <v>0</v>
      </c>
    </row>
    <row r="2918" customFormat="false" ht="15" hidden="false" customHeight="false" outlineLevel="0" collapsed="false">
      <c r="A2918" s="60"/>
      <c r="B2918" s="61" t="str">
        <f aca="false">IF($M2918=0,"",INDEX(Classes!$E$6:$E$420,$M2918))</f>
        <v/>
      </c>
      <c r="C2918" s="62" t="str">
        <f aca="false">IF($M2918=0,"",INDEX(Classes!$H$6:$H$420,$M2918))</f>
        <v/>
      </c>
      <c r="D2918" s="61" t="str">
        <f aca="false">IF($M2918=0,"",INDEX(Classes!$B$6:$B$420,$M2918))</f>
        <v/>
      </c>
      <c r="E2918" s="61" t="str">
        <f aca="false">IF($M2918=0,"",INDEX(Classes!$C$6:$C$420,$M2918))</f>
        <v/>
      </c>
      <c r="F2918" s="63"/>
      <c r="G2918" s="63"/>
      <c r="H2918" s="60"/>
      <c r="I2918" s="60"/>
      <c r="J2918" s="63"/>
      <c r="K2918" s="61" t="str">
        <f aca="false">IF($P2918=0,"",IF($F2918="Baseline","— Baseline",IF($O2918=0,"No result",IF($N2918=0,"No Start (attainment only)",IF(OR($N2918=1,$O2918=1),"U – needs rule",INDEX(MxBody,MATCH($I2918,MxCurr,0),MATCH($H2918,MxStart,0)))))))</f>
        <v/>
      </c>
      <c r="L2918" s="62" t="str">
        <f aca="false">IF(COUNTA($A2918,$F2918,$G2918,$H2918,$I2918,$J2918)=0,"",IF($M2918=0,"✖ كود الصف غير موجود",IF(ISNA(MATCH($F2918,Lists!$A$2:$A$5,0)),"✖ الفترة غير صحيحة",IF(ISNA(MATCH($G2918,Lists!$B$2:$B$7,0)),"✖ المجموعة غير صحيحة",IF(NOT(OR($H2918="",$N2918&gt;0)),"✖ Start غير صحيح",IF(NOT(OR($I2918="",$I2918="NR",$O2918&gt;0)),"✖ Current غير صحيح",IF(NOT(IF(ISNUMBER($J2918),AND($J2918&gt;=0,$J2918=INT($J2918)),FALSE())),"✖ العدد يجب أن يكون صحيحًا ≥ 0",IF(AND($F2918="Baseline",$H2918&lt;&gt;""),"⚠ Baseline: Start لا يدخل في التقدم",IF($K2918="No Start (attainment only)","ℹ تحصيل فقط (بدون Start)",IF($K2918="U – needs rule","ℹ حالة U تحتاج قاعدة معتمدة",IF($K2918="No result","ℹ بدون نتيجة (يُستبعد من التحصيل)","OK")))))))))))</f>
        <v/>
      </c>
      <c r="M2918" s="64" t="n">
        <f aca="false">IF($A2918="",0,IFERROR(MATCH($A2918,Classes!$A$6:$A$420,0),0))</f>
        <v>0</v>
      </c>
      <c r="N2918" s="64" t="n">
        <f aca="false">IF($H2918="",0,IFERROR(MATCH($H2918,GradeList,0),0))</f>
        <v>0</v>
      </c>
      <c r="O2918" s="64" t="n">
        <f aca="false">IF(OR($I2918="",$I2918="NR"),0,IFERROR(MATCH($I2918,GradeList,0),0))</f>
        <v>0</v>
      </c>
      <c r="P2918" s="64" t="n">
        <f aca="false">IF(AND($M2918&gt;0,ISNUMBER(MATCH($F2918,Lists!$A$2:$A$5,0)),ISNUMBER(MATCH($G2918,Lists!$B$2:$B$7,0)),OR($H2918="",$N2918&gt;0),OR($I2918="",$I2918="NR",$O2918&gt;0),IF(ISNUMBER($J2918),AND($J2918&gt;=0,$J2918=INT($J2918)),FALSE())),$J2918,0)</f>
        <v>0</v>
      </c>
      <c r="Q2918" s="64" t="n">
        <f aca="false">IF(AND($P2918&gt;0,$O2918&gt;0),$P2918,0)</f>
        <v>0</v>
      </c>
      <c r="R2918" s="64" t="n">
        <f aca="false">IF(AND($Q2918&gt;0,$O2918&gt;=AtRank),$Q2918,0)</f>
        <v>0</v>
      </c>
      <c r="S2918" s="64" t="n">
        <f aca="false">IF(AND($Q2918&gt;0,$O2918&gt;=AboveRank),$Q2918,0)</f>
        <v>0</v>
      </c>
      <c r="T2918" s="64" t="n">
        <f aca="false">IF($K2918="Less",$P2918,0)</f>
        <v>0</v>
      </c>
      <c r="U2918" s="64" t="n">
        <f aca="false">IF($K2918="Expected",$P2918,0)</f>
        <v>0</v>
      </c>
      <c r="V2918" s="64" t="n">
        <f aca="false">IF($K2918="Better",$P2918,0)</f>
        <v>0</v>
      </c>
      <c r="W2918" s="64" t="n">
        <f aca="false">IF($K2918="U – needs rule",$P2918,0)</f>
        <v>0</v>
      </c>
      <c r="X2918" s="64" t="n">
        <f aca="false">IF($K2918="No Start (attainment only)",$P2918,0)</f>
        <v>0</v>
      </c>
    </row>
    <row r="2919" customFormat="false" ht="15" hidden="false" customHeight="false" outlineLevel="0" collapsed="false">
      <c r="A2919" s="60"/>
      <c r="B2919" s="61" t="str">
        <f aca="false">IF($M2919=0,"",INDEX(Classes!$E$6:$E$420,$M2919))</f>
        <v/>
      </c>
      <c r="C2919" s="62" t="str">
        <f aca="false">IF($M2919=0,"",INDEX(Classes!$H$6:$H$420,$M2919))</f>
        <v/>
      </c>
      <c r="D2919" s="61" t="str">
        <f aca="false">IF($M2919=0,"",INDEX(Classes!$B$6:$B$420,$M2919))</f>
        <v/>
      </c>
      <c r="E2919" s="61" t="str">
        <f aca="false">IF($M2919=0,"",INDEX(Classes!$C$6:$C$420,$M2919))</f>
        <v/>
      </c>
      <c r="F2919" s="63"/>
      <c r="G2919" s="63"/>
      <c r="H2919" s="60"/>
      <c r="I2919" s="60"/>
      <c r="J2919" s="63"/>
      <c r="K2919" s="61" t="str">
        <f aca="false">IF($P2919=0,"",IF($F2919="Baseline","— Baseline",IF($O2919=0,"No result",IF($N2919=0,"No Start (attainment only)",IF(OR($N2919=1,$O2919=1),"U – needs rule",INDEX(MxBody,MATCH($I2919,MxCurr,0),MATCH($H2919,MxStart,0)))))))</f>
        <v/>
      </c>
      <c r="L2919" s="62" t="str">
        <f aca="false">IF(COUNTA($A2919,$F2919,$G2919,$H2919,$I2919,$J2919)=0,"",IF($M2919=0,"✖ كود الصف غير موجود",IF(ISNA(MATCH($F2919,Lists!$A$2:$A$5,0)),"✖ الفترة غير صحيحة",IF(ISNA(MATCH($G2919,Lists!$B$2:$B$7,0)),"✖ المجموعة غير صحيحة",IF(NOT(OR($H2919="",$N2919&gt;0)),"✖ Start غير صحيح",IF(NOT(OR($I2919="",$I2919="NR",$O2919&gt;0)),"✖ Current غير صحيح",IF(NOT(IF(ISNUMBER($J2919),AND($J2919&gt;=0,$J2919=INT($J2919)),FALSE())),"✖ العدد يجب أن يكون صحيحًا ≥ 0",IF(AND($F2919="Baseline",$H2919&lt;&gt;""),"⚠ Baseline: Start لا يدخل في التقدم",IF($K2919="No Start (attainment only)","ℹ تحصيل فقط (بدون Start)",IF($K2919="U – needs rule","ℹ حالة U تحتاج قاعدة معتمدة",IF($K2919="No result","ℹ بدون نتيجة (يُستبعد من التحصيل)","OK")))))))))))</f>
        <v/>
      </c>
      <c r="M2919" s="64" t="n">
        <f aca="false">IF($A2919="",0,IFERROR(MATCH($A2919,Classes!$A$6:$A$420,0),0))</f>
        <v>0</v>
      </c>
      <c r="N2919" s="64" t="n">
        <f aca="false">IF($H2919="",0,IFERROR(MATCH($H2919,GradeList,0),0))</f>
        <v>0</v>
      </c>
      <c r="O2919" s="64" t="n">
        <f aca="false">IF(OR($I2919="",$I2919="NR"),0,IFERROR(MATCH($I2919,GradeList,0),0))</f>
        <v>0</v>
      </c>
      <c r="P2919" s="64" t="n">
        <f aca="false">IF(AND($M2919&gt;0,ISNUMBER(MATCH($F2919,Lists!$A$2:$A$5,0)),ISNUMBER(MATCH($G2919,Lists!$B$2:$B$7,0)),OR($H2919="",$N2919&gt;0),OR($I2919="",$I2919="NR",$O2919&gt;0),IF(ISNUMBER($J2919),AND($J2919&gt;=0,$J2919=INT($J2919)),FALSE())),$J2919,0)</f>
        <v>0</v>
      </c>
      <c r="Q2919" s="64" t="n">
        <f aca="false">IF(AND($P2919&gt;0,$O2919&gt;0),$P2919,0)</f>
        <v>0</v>
      </c>
      <c r="R2919" s="64" t="n">
        <f aca="false">IF(AND($Q2919&gt;0,$O2919&gt;=AtRank),$Q2919,0)</f>
        <v>0</v>
      </c>
      <c r="S2919" s="64" t="n">
        <f aca="false">IF(AND($Q2919&gt;0,$O2919&gt;=AboveRank),$Q2919,0)</f>
        <v>0</v>
      </c>
      <c r="T2919" s="64" t="n">
        <f aca="false">IF($K2919="Less",$P2919,0)</f>
        <v>0</v>
      </c>
      <c r="U2919" s="64" t="n">
        <f aca="false">IF($K2919="Expected",$P2919,0)</f>
        <v>0</v>
      </c>
      <c r="V2919" s="64" t="n">
        <f aca="false">IF($K2919="Better",$P2919,0)</f>
        <v>0</v>
      </c>
      <c r="W2919" s="64" t="n">
        <f aca="false">IF($K2919="U – needs rule",$P2919,0)</f>
        <v>0</v>
      </c>
      <c r="X2919" s="64" t="n">
        <f aca="false">IF($K2919="No Start (attainment only)",$P2919,0)</f>
        <v>0</v>
      </c>
    </row>
    <row r="2920" customFormat="false" ht="15" hidden="false" customHeight="false" outlineLevel="0" collapsed="false">
      <c r="A2920" s="60"/>
      <c r="B2920" s="61" t="str">
        <f aca="false">IF($M2920=0,"",INDEX(Classes!$E$6:$E$420,$M2920))</f>
        <v/>
      </c>
      <c r="C2920" s="62" t="str">
        <f aca="false">IF($M2920=0,"",INDEX(Classes!$H$6:$H$420,$M2920))</f>
        <v/>
      </c>
      <c r="D2920" s="61" t="str">
        <f aca="false">IF($M2920=0,"",INDEX(Classes!$B$6:$B$420,$M2920))</f>
        <v/>
      </c>
      <c r="E2920" s="61" t="str">
        <f aca="false">IF($M2920=0,"",INDEX(Classes!$C$6:$C$420,$M2920))</f>
        <v/>
      </c>
      <c r="F2920" s="63"/>
      <c r="G2920" s="63"/>
      <c r="H2920" s="60"/>
      <c r="I2920" s="60"/>
      <c r="J2920" s="63"/>
      <c r="K2920" s="61" t="str">
        <f aca="false">IF($P2920=0,"",IF($F2920="Baseline","— Baseline",IF($O2920=0,"No result",IF($N2920=0,"No Start (attainment only)",IF(OR($N2920=1,$O2920=1),"U – needs rule",INDEX(MxBody,MATCH($I2920,MxCurr,0),MATCH($H2920,MxStart,0)))))))</f>
        <v/>
      </c>
      <c r="L2920" s="62" t="str">
        <f aca="false">IF(COUNTA($A2920,$F2920,$G2920,$H2920,$I2920,$J2920)=0,"",IF($M2920=0,"✖ كود الصف غير موجود",IF(ISNA(MATCH($F2920,Lists!$A$2:$A$5,0)),"✖ الفترة غير صحيحة",IF(ISNA(MATCH($G2920,Lists!$B$2:$B$7,0)),"✖ المجموعة غير صحيحة",IF(NOT(OR($H2920="",$N2920&gt;0)),"✖ Start غير صحيح",IF(NOT(OR($I2920="",$I2920="NR",$O2920&gt;0)),"✖ Current غير صحيح",IF(NOT(IF(ISNUMBER($J2920),AND($J2920&gt;=0,$J2920=INT($J2920)),FALSE())),"✖ العدد يجب أن يكون صحيحًا ≥ 0",IF(AND($F2920="Baseline",$H2920&lt;&gt;""),"⚠ Baseline: Start لا يدخل في التقدم",IF($K2920="No Start (attainment only)","ℹ تحصيل فقط (بدون Start)",IF($K2920="U – needs rule","ℹ حالة U تحتاج قاعدة معتمدة",IF($K2920="No result","ℹ بدون نتيجة (يُستبعد من التحصيل)","OK")))))))))))</f>
        <v/>
      </c>
      <c r="M2920" s="64" t="n">
        <f aca="false">IF($A2920="",0,IFERROR(MATCH($A2920,Classes!$A$6:$A$420,0),0))</f>
        <v>0</v>
      </c>
      <c r="N2920" s="64" t="n">
        <f aca="false">IF($H2920="",0,IFERROR(MATCH($H2920,GradeList,0),0))</f>
        <v>0</v>
      </c>
      <c r="O2920" s="64" t="n">
        <f aca="false">IF(OR($I2920="",$I2920="NR"),0,IFERROR(MATCH($I2920,GradeList,0),0))</f>
        <v>0</v>
      </c>
      <c r="P2920" s="64" t="n">
        <f aca="false">IF(AND($M2920&gt;0,ISNUMBER(MATCH($F2920,Lists!$A$2:$A$5,0)),ISNUMBER(MATCH($G2920,Lists!$B$2:$B$7,0)),OR($H2920="",$N2920&gt;0),OR($I2920="",$I2920="NR",$O2920&gt;0),IF(ISNUMBER($J2920),AND($J2920&gt;=0,$J2920=INT($J2920)),FALSE())),$J2920,0)</f>
        <v>0</v>
      </c>
      <c r="Q2920" s="64" t="n">
        <f aca="false">IF(AND($P2920&gt;0,$O2920&gt;0),$P2920,0)</f>
        <v>0</v>
      </c>
      <c r="R2920" s="64" t="n">
        <f aca="false">IF(AND($Q2920&gt;0,$O2920&gt;=AtRank),$Q2920,0)</f>
        <v>0</v>
      </c>
      <c r="S2920" s="64" t="n">
        <f aca="false">IF(AND($Q2920&gt;0,$O2920&gt;=AboveRank),$Q2920,0)</f>
        <v>0</v>
      </c>
      <c r="T2920" s="64" t="n">
        <f aca="false">IF($K2920="Less",$P2920,0)</f>
        <v>0</v>
      </c>
      <c r="U2920" s="64" t="n">
        <f aca="false">IF($K2920="Expected",$P2920,0)</f>
        <v>0</v>
      </c>
      <c r="V2920" s="64" t="n">
        <f aca="false">IF($K2920="Better",$P2920,0)</f>
        <v>0</v>
      </c>
      <c r="W2920" s="64" t="n">
        <f aca="false">IF($K2920="U – needs rule",$P2920,0)</f>
        <v>0</v>
      </c>
      <c r="X2920" s="64" t="n">
        <f aca="false">IF($K2920="No Start (attainment only)",$P2920,0)</f>
        <v>0</v>
      </c>
    </row>
    <row r="2921" customFormat="false" ht="15" hidden="false" customHeight="false" outlineLevel="0" collapsed="false">
      <c r="A2921" s="60"/>
      <c r="B2921" s="61" t="str">
        <f aca="false">IF($M2921=0,"",INDEX(Classes!$E$6:$E$420,$M2921))</f>
        <v/>
      </c>
      <c r="C2921" s="62" t="str">
        <f aca="false">IF($M2921=0,"",INDEX(Classes!$H$6:$H$420,$M2921))</f>
        <v/>
      </c>
      <c r="D2921" s="61" t="str">
        <f aca="false">IF($M2921=0,"",INDEX(Classes!$B$6:$B$420,$M2921))</f>
        <v/>
      </c>
      <c r="E2921" s="61" t="str">
        <f aca="false">IF($M2921=0,"",INDEX(Classes!$C$6:$C$420,$M2921))</f>
        <v/>
      </c>
      <c r="F2921" s="63"/>
      <c r="G2921" s="63"/>
      <c r="H2921" s="60"/>
      <c r="I2921" s="60"/>
      <c r="J2921" s="63"/>
      <c r="K2921" s="61" t="str">
        <f aca="false">IF($P2921=0,"",IF($F2921="Baseline","— Baseline",IF($O2921=0,"No result",IF($N2921=0,"No Start (attainment only)",IF(OR($N2921=1,$O2921=1),"U – needs rule",INDEX(MxBody,MATCH($I2921,MxCurr,0),MATCH($H2921,MxStart,0)))))))</f>
        <v/>
      </c>
      <c r="L2921" s="62" t="str">
        <f aca="false">IF(COUNTA($A2921,$F2921,$G2921,$H2921,$I2921,$J2921)=0,"",IF($M2921=0,"✖ كود الصف غير موجود",IF(ISNA(MATCH($F2921,Lists!$A$2:$A$5,0)),"✖ الفترة غير صحيحة",IF(ISNA(MATCH($G2921,Lists!$B$2:$B$7,0)),"✖ المجموعة غير صحيحة",IF(NOT(OR($H2921="",$N2921&gt;0)),"✖ Start غير صحيح",IF(NOT(OR($I2921="",$I2921="NR",$O2921&gt;0)),"✖ Current غير صحيح",IF(NOT(IF(ISNUMBER($J2921),AND($J2921&gt;=0,$J2921=INT($J2921)),FALSE())),"✖ العدد يجب أن يكون صحيحًا ≥ 0",IF(AND($F2921="Baseline",$H2921&lt;&gt;""),"⚠ Baseline: Start لا يدخل في التقدم",IF($K2921="No Start (attainment only)","ℹ تحصيل فقط (بدون Start)",IF($K2921="U – needs rule","ℹ حالة U تحتاج قاعدة معتمدة",IF($K2921="No result","ℹ بدون نتيجة (يُستبعد من التحصيل)","OK")))))))))))</f>
        <v/>
      </c>
      <c r="M2921" s="64" t="n">
        <f aca="false">IF($A2921="",0,IFERROR(MATCH($A2921,Classes!$A$6:$A$420,0),0))</f>
        <v>0</v>
      </c>
      <c r="N2921" s="64" t="n">
        <f aca="false">IF($H2921="",0,IFERROR(MATCH($H2921,GradeList,0),0))</f>
        <v>0</v>
      </c>
      <c r="O2921" s="64" t="n">
        <f aca="false">IF(OR($I2921="",$I2921="NR"),0,IFERROR(MATCH($I2921,GradeList,0),0))</f>
        <v>0</v>
      </c>
      <c r="P2921" s="64" t="n">
        <f aca="false">IF(AND($M2921&gt;0,ISNUMBER(MATCH($F2921,Lists!$A$2:$A$5,0)),ISNUMBER(MATCH($G2921,Lists!$B$2:$B$7,0)),OR($H2921="",$N2921&gt;0),OR($I2921="",$I2921="NR",$O2921&gt;0),IF(ISNUMBER($J2921),AND($J2921&gt;=0,$J2921=INT($J2921)),FALSE())),$J2921,0)</f>
        <v>0</v>
      </c>
      <c r="Q2921" s="64" t="n">
        <f aca="false">IF(AND($P2921&gt;0,$O2921&gt;0),$P2921,0)</f>
        <v>0</v>
      </c>
      <c r="R2921" s="64" t="n">
        <f aca="false">IF(AND($Q2921&gt;0,$O2921&gt;=AtRank),$Q2921,0)</f>
        <v>0</v>
      </c>
      <c r="S2921" s="64" t="n">
        <f aca="false">IF(AND($Q2921&gt;0,$O2921&gt;=AboveRank),$Q2921,0)</f>
        <v>0</v>
      </c>
      <c r="T2921" s="64" t="n">
        <f aca="false">IF($K2921="Less",$P2921,0)</f>
        <v>0</v>
      </c>
      <c r="U2921" s="64" t="n">
        <f aca="false">IF($K2921="Expected",$P2921,0)</f>
        <v>0</v>
      </c>
      <c r="V2921" s="64" t="n">
        <f aca="false">IF($K2921="Better",$P2921,0)</f>
        <v>0</v>
      </c>
      <c r="W2921" s="64" t="n">
        <f aca="false">IF($K2921="U – needs rule",$P2921,0)</f>
        <v>0</v>
      </c>
      <c r="X2921" s="64" t="n">
        <f aca="false">IF($K2921="No Start (attainment only)",$P2921,0)</f>
        <v>0</v>
      </c>
    </row>
    <row r="2922" customFormat="false" ht="15" hidden="false" customHeight="false" outlineLevel="0" collapsed="false">
      <c r="A2922" s="60"/>
      <c r="B2922" s="61" t="str">
        <f aca="false">IF($M2922=0,"",INDEX(Classes!$E$6:$E$420,$M2922))</f>
        <v/>
      </c>
      <c r="C2922" s="62" t="str">
        <f aca="false">IF($M2922=0,"",INDEX(Classes!$H$6:$H$420,$M2922))</f>
        <v/>
      </c>
      <c r="D2922" s="61" t="str">
        <f aca="false">IF($M2922=0,"",INDEX(Classes!$B$6:$B$420,$M2922))</f>
        <v/>
      </c>
      <c r="E2922" s="61" t="str">
        <f aca="false">IF($M2922=0,"",INDEX(Classes!$C$6:$C$420,$M2922))</f>
        <v/>
      </c>
      <c r="F2922" s="63"/>
      <c r="G2922" s="63"/>
      <c r="H2922" s="60"/>
      <c r="I2922" s="60"/>
      <c r="J2922" s="63"/>
      <c r="K2922" s="61" t="str">
        <f aca="false">IF($P2922=0,"",IF($F2922="Baseline","— Baseline",IF($O2922=0,"No result",IF($N2922=0,"No Start (attainment only)",IF(OR($N2922=1,$O2922=1),"U – needs rule",INDEX(MxBody,MATCH($I2922,MxCurr,0),MATCH($H2922,MxStart,0)))))))</f>
        <v/>
      </c>
      <c r="L2922" s="62" t="str">
        <f aca="false">IF(COUNTA($A2922,$F2922,$G2922,$H2922,$I2922,$J2922)=0,"",IF($M2922=0,"✖ كود الصف غير موجود",IF(ISNA(MATCH($F2922,Lists!$A$2:$A$5,0)),"✖ الفترة غير صحيحة",IF(ISNA(MATCH($G2922,Lists!$B$2:$B$7,0)),"✖ المجموعة غير صحيحة",IF(NOT(OR($H2922="",$N2922&gt;0)),"✖ Start غير صحيح",IF(NOT(OR($I2922="",$I2922="NR",$O2922&gt;0)),"✖ Current غير صحيح",IF(NOT(IF(ISNUMBER($J2922),AND($J2922&gt;=0,$J2922=INT($J2922)),FALSE())),"✖ العدد يجب أن يكون صحيحًا ≥ 0",IF(AND($F2922="Baseline",$H2922&lt;&gt;""),"⚠ Baseline: Start لا يدخل في التقدم",IF($K2922="No Start (attainment only)","ℹ تحصيل فقط (بدون Start)",IF($K2922="U – needs rule","ℹ حالة U تحتاج قاعدة معتمدة",IF($K2922="No result","ℹ بدون نتيجة (يُستبعد من التحصيل)","OK")))))))))))</f>
        <v/>
      </c>
      <c r="M2922" s="64" t="n">
        <f aca="false">IF($A2922="",0,IFERROR(MATCH($A2922,Classes!$A$6:$A$420,0),0))</f>
        <v>0</v>
      </c>
      <c r="N2922" s="64" t="n">
        <f aca="false">IF($H2922="",0,IFERROR(MATCH($H2922,GradeList,0),0))</f>
        <v>0</v>
      </c>
      <c r="O2922" s="64" t="n">
        <f aca="false">IF(OR($I2922="",$I2922="NR"),0,IFERROR(MATCH($I2922,GradeList,0),0))</f>
        <v>0</v>
      </c>
      <c r="P2922" s="64" t="n">
        <f aca="false">IF(AND($M2922&gt;0,ISNUMBER(MATCH($F2922,Lists!$A$2:$A$5,0)),ISNUMBER(MATCH($G2922,Lists!$B$2:$B$7,0)),OR($H2922="",$N2922&gt;0),OR($I2922="",$I2922="NR",$O2922&gt;0),IF(ISNUMBER($J2922),AND($J2922&gt;=0,$J2922=INT($J2922)),FALSE())),$J2922,0)</f>
        <v>0</v>
      </c>
      <c r="Q2922" s="64" t="n">
        <f aca="false">IF(AND($P2922&gt;0,$O2922&gt;0),$P2922,0)</f>
        <v>0</v>
      </c>
      <c r="R2922" s="64" t="n">
        <f aca="false">IF(AND($Q2922&gt;0,$O2922&gt;=AtRank),$Q2922,0)</f>
        <v>0</v>
      </c>
      <c r="S2922" s="64" t="n">
        <f aca="false">IF(AND($Q2922&gt;0,$O2922&gt;=AboveRank),$Q2922,0)</f>
        <v>0</v>
      </c>
      <c r="T2922" s="64" t="n">
        <f aca="false">IF($K2922="Less",$P2922,0)</f>
        <v>0</v>
      </c>
      <c r="U2922" s="64" t="n">
        <f aca="false">IF($K2922="Expected",$P2922,0)</f>
        <v>0</v>
      </c>
      <c r="V2922" s="64" t="n">
        <f aca="false">IF($K2922="Better",$P2922,0)</f>
        <v>0</v>
      </c>
      <c r="W2922" s="64" t="n">
        <f aca="false">IF($K2922="U – needs rule",$P2922,0)</f>
        <v>0</v>
      </c>
      <c r="X2922" s="64" t="n">
        <f aca="false">IF($K2922="No Start (attainment only)",$P2922,0)</f>
        <v>0</v>
      </c>
    </row>
    <row r="2923" customFormat="false" ht="15" hidden="false" customHeight="false" outlineLevel="0" collapsed="false">
      <c r="A2923" s="60"/>
      <c r="B2923" s="61" t="str">
        <f aca="false">IF($M2923=0,"",INDEX(Classes!$E$6:$E$420,$M2923))</f>
        <v/>
      </c>
      <c r="C2923" s="62" t="str">
        <f aca="false">IF($M2923=0,"",INDEX(Classes!$H$6:$H$420,$M2923))</f>
        <v/>
      </c>
      <c r="D2923" s="61" t="str">
        <f aca="false">IF($M2923=0,"",INDEX(Classes!$B$6:$B$420,$M2923))</f>
        <v/>
      </c>
      <c r="E2923" s="61" t="str">
        <f aca="false">IF($M2923=0,"",INDEX(Classes!$C$6:$C$420,$M2923))</f>
        <v/>
      </c>
      <c r="F2923" s="63"/>
      <c r="G2923" s="63"/>
      <c r="H2923" s="60"/>
      <c r="I2923" s="60"/>
      <c r="J2923" s="63"/>
      <c r="K2923" s="61" t="str">
        <f aca="false">IF($P2923=0,"",IF($F2923="Baseline","— Baseline",IF($O2923=0,"No result",IF($N2923=0,"No Start (attainment only)",IF(OR($N2923=1,$O2923=1),"U – needs rule",INDEX(MxBody,MATCH($I2923,MxCurr,0),MATCH($H2923,MxStart,0)))))))</f>
        <v/>
      </c>
      <c r="L2923" s="62" t="str">
        <f aca="false">IF(COUNTA($A2923,$F2923,$G2923,$H2923,$I2923,$J2923)=0,"",IF($M2923=0,"✖ كود الصف غير موجود",IF(ISNA(MATCH($F2923,Lists!$A$2:$A$5,0)),"✖ الفترة غير صحيحة",IF(ISNA(MATCH($G2923,Lists!$B$2:$B$7,0)),"✖ المجموعة غير صحيحة",IF(NOT(OR($H2923="",$N2923&gt;0)),"✖ Start غير صحيح",IF(NOT(OR($I2923="",$I2923="NR",$O2923&gt;0)),"✖ Current غير صحيح",IF(NOT(IF(ISNUMBER($J2923),AND($J2923&gt;=0,$J2923=INT($J2923)),FALSE())),"✖ العدد يجب أن يكون صحيحًا ≥ 0",IF(AND($F2923="Baseline",$H2923&lt;&gt;""),"⚠ Baseline: Start لا يدخل في التقدم",IF($K2923="No Start (attainment only)","ℹ تحصيل فقط (بدون Start)",IF($K2923="U – needs rule","ℹ حالة U تحتاج قاعدة معتمدة",IF($K2923="No result","ℹ بدون نتيجة (يُستبعد من التحصيل)","OK")))))))))))</f>
        <v/>
      </c>
      <c r="M2923" s="64" t="n">
        <f aca="false">IF($A2923="",0,IFERROR(MATCH($A2923,Classes!$A$6:$A$420,0),0))</f>
        <v>0</v>
      </c>
      <c r="N2923" s="64" t="n">
        <f aca="false">IF($H2923="",0,IFERROR(MATCH($H2923,GradeList,0),0))</f>
        <v>0</v>
      </c>
      <c r="O2923" s="64" t="n">
        <f aca="false">IF(OR($I2923="",$I2923="NR"),0,IFERROR(MATCH($I2923,GradeList,0),0))</f>
        <v>0</v>
      </c>
      <c r="P2923" s="64" t="n">
        <f aca="false">IF(AND($M2923&gt;0,ISNUMBER(MATCH($F2923,Lists!$A$2:$A$5,0)),ISNUMBER(MATCH($G2923,Lists!$B$2:$B$7,0)),OR($H2923="",$N2923&gt;0),OR($I2923="",$I2923="NR",$O2923&gt;0),IF(ISNUMBER($J2923),AND($J2923&gt;=0,$J2923=INT($J2923)),FALSE())),$J2923,0)</f>
        <v>0</v>
      </c>
      <c r="Q2923" s="64" t="n">
        <f aca="false">IF(AND($P2923&gt;0,$O2923&gt;0),$P2923,0)</f>
        <v>0</v>
      </c>
      <c r="R2923" s="64" t="n">
        <f aca="false">IF(AND($Q2923&gt;0,$O2923&gt;=AtRank),$Q2923,0)</f>
        <v>0</v>
      </c>
      <c r="S2923" s="64" t="n">
        <f aca="false">IF(AND($Q2923&gt;0,$O2923&gt;=AboveRank),$Q2923,0)</f>
        <v>0</v>
      </c>
      <c r="T2923" s="64" t="n">
        <f aca="false">IF($K2923="Less",$P2923,0)</f>
        <v>0</v>
      </c>
      <c r="U2923" s="64" t="n">
        <f aca="false">IF($K2923="Expected",$P2923,0)</f>
        <v>0</v>
      </c>
      <c r="V2923" s="64" t="n">
        <f aca="false">IF($K2923="Better",$P2923,0)</f>
        <v>0</v>
      </c>
      <c r="W2923" s="64" t="n">
        <f aca="false">IF($K2923="U – needs rule",$P2923,0)</f>
        <v>0</v>
      </c>
      <c r="X2923" s="64" t="n">
        <f aca="false">IF($K2923="No Start (attainment only)",$P2923,0)</f>
        <v>0</v>
      </c>
    </row>
    <row r="2924" customFormat="false" ht="15" hidden="false" customHeight="false" outlineLevel="0" collapsed="false">
      <c r="A2924" s="60"/>
      <c r="B2924" s="61" t="str">
        <f aca="false">IF($M2924=0,"",INDEX(Classes!$E$6:$E$420,$M2924))</f>
        <v/>
      </c>
      <c r="C2924" s="62" t="str">
        <f aca="false">IF($M2924=0,"",INDEX(Classes!$H$6:$H$420,$M2924))</f>
        <v/>
      </c>
      <c r="D2924" s="61" t="str">
        <f aca="false">IF($M2924=0,"",INDEX(Classes!$B$6:$B$420,$M2924))</f>
        <v/>
      </c>
      <c r="E2924" s="61" t="str">
        <f aca="false">IF($M2924=0,"",INDEX(Classes!$C$6:$C$420,$M2924))</f>
        <v/>
      </c>
      <c r="F2924" s="63"/>
      <c r="G2924" s="63"/>
      <c r="H2924" s="60"/>
      <c r="I2924" s="60"/>
      <c r="J2924" s="63"/>
      <c r="K2924" s="61" t="str">
        <f aca="false">IF($P2924=0,"",IF($F2924="Baseline","— Baseline",IF($O2924=0,"No result",IF($N2924=0,"No Start (attainment only)",IF(OR($N2924=1,$O2924=1),"U – needs rule",INDEX(MxBody,MATCH($I2924,MxCurr,0),MATCH($H2924,MxStart,0)))))))</f>
        <v/>
      </c>
      <c r="L2924" s="62" t="str">
        <f aca="false">IF(COUNTA($A2924,$F2924,$G2924,$H2924,$I2924,$J2924)=0,"",IF($M2924=0,"✖ كود الصف غير موجود",IF(ISNA(MATCH($F2924,Lists!$A$2:$A$5,0)),"✖ الفترة غير صحيحة",IF(ISNA(MATCH($G2924,Lists!$B$2:$B$7,0)),"✖ المجموعة غير صحيحة",IF(NOT(OR($H2924="",$N2924&gt;0)),"✖ Start غير صحيح",IF(NOT(OR($I2924="",$I2924="NR",$O2924&gt;0)),"✖ Current غير صحيح",IF(NOT(IF(ISNUMBER($J2924),AND($J2924&gt;=0,$J2924=INT($J2924)),FALSE())),"✖ العدد يجب أن يكون صحيحًا ≥ 0",IF(AND($F2924="Baseline",$H2924&lt;&gt;""),"⚠ Baseline: Start لا يدخل في التقدم",IF($K2924="No Start (attainment only)","ℹ تحصيل فقط (بدون Start)",IF($K2924="U – needs rule","ℹ حالة U تحتاج قاعدة معتمدة",IF($K2924="No result","ℹ بدون نتيجة (يُستبعد من التحصيل)","OK")))))))))))</f>
        <v/>
      </c>
      <c r="M2924" s="64" t="n">
        <f aca="false">IF($A2924="",0,IFERROR(MATCH($A2924,Classes!$A$6:$A$420,0),0))</f>
        <v>0</v>
      </c>
      <c r="N2924" s="64" t="n">
        <f aca="false">IF($H2924="",0,IFERROR(MATCH($H2924,GradeList,0),0))</f>
        <v>0</v>
      </c>
      <c r="O2924" s="64" t="n">
        <f aca="false">IF(OR($I2924="",$I2924="NR"),0,IFERROR(MATCH($I2924,GradeList,0),0))</f>
        <v>0</v>
      </c>
      <c r="P2924" s="64" t="n">
        <f aca="false">IF(AND($M2924&gt;0,ISNUMBER(MATCH($F2924,Lists!$A$2:$A$5,0)),ISNUMBER(MATCH($G2924,Lists!$B$2:$B$7,0)),OR($H2924="",$N2924&gt;0),OR($I2924="",$I2924="NR",$O2924&gt;0),IF(ISNUMBER($J2924),AND($J2924&gt;=0,$J2924=INT($J2924)),FALSE())),$J2924,0)</f>
        <v>0</v>
      </c>
      <c r="Q2924" s="64" t="n">
        <f aca="false">IF(AND($P2924&gt;0,$O2924&gt;0),$P2924,0)</f>
        <v>0</v>
      </c>
      <c r="R2924" s="64" t="n">
        <f aca="false">IF(AND($Q2924&gt;0,$O2924&gt;=AtRank),$Q2924,0)</f>
        <v>0</v>
      </c>
      <c r="S2924" s="64" t="n">
        <f aca="false">IF(AND($Q2924&gt;0,$O2924&gt;=AboveRank),$Q2924,0)</f>
        <v>0</v>
      </c>
      <c r="T2924" s="64" t="n">
        <f aca="false">IF($K2924="Less",$P2924,0)</f>
        <v>0</v>
      </c>
      <c r="U2924" s="64" t="n">
        <f aca="false">IF($K2924="Expected",$P2924,0)</f>
        <v>0</v>
      </c>
      <c r="V2924" s="64" t="n">
        <f aca="false">IF($K2924="Better",$P2924,0)</f>
        <v>0</v>
      </c>
      <c r="W2924" s="64" t="n">
        <f aca="false">IF($K2924="U – needs rule",$P2924,0)</f>
        <v>0</v>
      </c>
      <c r="X2924" s="64" t="n">
        <f aca="false">IF($K2924="No Start (attainment only)",$P2924,0)</f>
        <v>0</v>
      </c>
    </row>
    <row r="2925" customFormat="false" ht="15" hidden="false" customHeight="false" outlineLevel="0" collapsed="false">
      <c r="A2925" s="60"/>
      <c r="B2925" s="61" t="str">
        <f aca="false">IF($M2925=0,"",INDEX(Classes!$E$6:$E$420,$M2925))</f>
        <v/>
      </c>
      <c r="C2925" s="62" t="str">
        <f aca="false">IF($M2925=0,"",INDEX(Classes!$H$6:$H$420,$M2925))</f>
        <v/>
      </c>
      <c r="D2925" s="61" t="str">
        <f aca="false">IF($M2925=0,"",INDEX(Classes!$B$6:$B$420,$M2925))</f>
        <v/>
      </c>
      <c r="E2925" s="61" t="str">
        <f aca="false">IF($M2925=0,"",INDEX(Classes!$C$6:$C$420,$M2925))</f>
        <v/>
      </c>
      <c r="F2925" s="63"/>
      <c r="G2925" s="63"/>
      <c r="H2925" s="60"/>
      <c r="I2925" s="60"/>
      <c r="J2925" s="63"/>
      <c r="K2925" s="61" t="str">
        <f aca="false">IF($P2925=0,"",IF($F2925="Baseline","— Baseline",IF($O2925=0,"No result",IF($N2925=0,"No Start (attainment only)",IF(OR($N2925=1,$O2925=1),"U – needs rule",INDEX(MxBody,MATCH($I2925,MxCurr,0),MATCH($H2925,MxStart,0)))))))</f>
        <v/>
      </c>
      <c r="L2925" s="62" t="str">
        <f aca="false">IF(COUNTA($A2925,$F2925,$G2925,$H2925,$I2925,$J2925)=0,"",IF($M2925=0,"✖ كود الصف غير موجود",IF(ISNA(MATCH($F2925,Lists!$A$2:$A$5,0)),"✖ الفترة غير صحيحة",IF(ISNA(MATCH($G2925,Lists!$B$2:$B$7,0)),"✖ المجموعة غير صحيحة",IF(NOT(OR($H2925="",$N2925&gt;0)),"✖ Start غير صحيح",IF(NOT(OR($I2925="",$I2925="NR",$O2925&gt;0)),"✖ Current غير صحيح",IF(NOT(IF(ISNUMBER($J2925),AND($J2925&gt;=0,$J2925=INT($J2925)),FALSE())),"✖ العدد يجب أن يكون صحيحًا ≥ 0",IF(AND($F2925="Baseline",$H2925&lt;&gt;""),"⚠ Baseline: Start لا يدخل في التقدم",IF($K2925="No Start (attainment only)","ℹ تحصيل فقط (بدون Start)",IF($K2925="U – needs rule","ℹ حالة U تحتاج قاعدة معتمدة",IF($K2925="No result","ℹ بدون نتيجة (يُستبعد من التحصيل)","OK")))))))))))</f>
        <v/>
      </c>
      <c r="M2925" s="64" t="n">
        <f aca="false">IF($A2925="",0,IFERROR(MATCH($A2925,Classes!$A$6:$A$420,0),0))</f>
        <v>0</v>
      </c>
      <c r="N2925" s="64" t="n">
        <f aca="false">IF($H2925="",0,IFERROR(MATCH($H2925,GradeList,0),0))</f>
        <v>0</v>
      </c>
      <c r="O2925" s="64" t="n">
        <f aca="false">IF(OR($I2925="",$I2925="NR"),0,IFERROR(MATCH($I2925,GradeList,0),0))</f>
        <v>0</v>
      </c>
      <c r="P2925" s="64" t="n">
        <f aca="false">IF(AND($M2925&gt;0,ISNUMBER(MATCH($F2925,Lists!$A$2:$A$5,0)),ISNUMBER(MATCH($G2925,Lists!$B$2:$B$7,0)),OR($H2925="",$N2925&gt;0),OR($I2925="",$I2925="NR",$O2925&gt;0),IF(ISNUMBER($J2925),AND($J2925&gt;=0,$J2925=INT($J2925)),FALSE())),$J2925,0)</f>
        <v>0</v>
      </c>
      <c r="Q2925" s="64" t="n">
        <f aca="false">IF(AND($P2925&gt;0,$O2925&gt;0),$P2925,0)</f>
        <v>0</v>
      </c>
      <c r="R2925" s="64" t="n">
        <f aca="false">IF(AND($Q2925&gt;0,$O2925&gt;=AtRank),$Q2925,0)</f>
        <v>0</v>
      </c>
      <c r="S2925" s="64" t="n">
        <f aca="false">IF(AND($Q2925&gt;0,$O2925&gt;=AboveRank),$Q2925,0)</f>
        <v>0</v>
      </c>
      <c r="T2925" s="64" t="n">
        <f aca="false">IF($K2925="Less",$P2925,0)</f>
        <v>0</v>
      </c>
      <c r="U2925" s="64" t="n">
        <f aca="false">IF($K2925="Expected",$P2925,0)</f>
        <v>0</v>
      </c>
      <c r="V2925" s="64" t="n">
        <f aca="false">IF($K2925="Better",$P2925,0)</f>
        <v>0</v>
      </c>
      <c r="W2925" s="64" t="n">
        <f aca="false">IF($K2925="U – needs rule",$P2925,0)</f>
        <v>0</v>
      </c>
      <c r="X2925" s="64" t="n">
        <f aca="false">IF($K2925="No Start (attainment only)",$P2925,0)</f>
        <v>0</v>
      </c>
    </row>
    <row r="2926" customFormat="false" ht="15" hidden="false" customHeight="false" outlineLevel="0" collapsed="false">
      <c r="A2926" s="60"/>
      <c r="B2926" s="61" t="str">
        <f aca="false">IF($M2926=0,"",INDEX(Classes!$E$6:$E$420,$M2926))</f>
        <v/>
      </c>
      <c r="C2926" s="62" t="str">
        <f aca="false">IF($M2926=0,"",INDEX(Classes!$H$6:$H$420,$M2926))</f>
        <v/>
      </c>
      <c r="D2926" s="61" t="str">
        <f aca="false">IF($M2926=0,"",INDEX(Classes!$B$6:$B$420,$M2926))</f>
        <v/>
      </c>
      <c r="E2926" s="61" t="str">
        <f aca="false">IF($M2926=0,"",INDEX(Classes!$C$6:$C$420,$M2926))</f>
        <v/>
      </c>
      <c r="F2926" s="63"/>
      <c r="G2926" s="63"/>
      <c r="H2926" s="60"/>
      <c r="I2926" s="60"/>
      <c r="J2926" s="63"/>
      <c r="K2926" s="61" t="str">
        <f aca="false">IF($P2926=0,"",IF($F2926="Baseline","— Baseline",IF($O2926=0,"No result",IF($N2926=0,"No Start (attainment only)",IF(OR($N2926=1,$O2926=1),"U – needs rule",INDEX(MxBody,MATCH($I2926,MxCurr,0),MATCH($H2926,MxStart,0)))))))</f>
        <v/>
      </c>
      <c r="L2926" s="62" t="str">
        <f aca="false">IF(COUNTA($A2926,$F2926,$G2926,$H2926,$I2926,$J2926)=0,"",IF($M2926=0,"✖ كود الصف غير موجود",IF(ISNA(MATCH($F2926,Lists!$A$2:$A$5,0)),"✖ الفترة غير صحيحة",IF(ISNA(MATCH($G2926,Lists!$B$2:$B$7,0)),"✖ المجموعة غير صحيحة",IF(NOT(OR($H2926="",$N2926&gt;0)),"✖ Start غير صحيح",IF(NOT(OR($I2926="",$I2926="NR",$O2926&gt;0)),"✖ Current غير صحيح",IF(NOT(IF(ISNUMBER($J2926),AND($J2926&gt;=0,$J2926=INT($J2926)),FALSE())),"✖ العدد يجب أن يكون صحيحًا ≥ 0",IF(AND($F2926="Baseline",$H2926&lt;&gt;""),"⚠ Baseline: Start لا يدخل في التقدم",IF($K2926="No Start (attainment only)","ℹ تحصيل فقط (بدون Start)",IF($K2926="U – needs rule","ℹ حالة U تحتاج قاعدة معتمدة",IF($K2926="No result","ℹ بدون نتيجة (يُستبعد من التحصيل)","OK")))))))))))</f>
        <v/>
      </c>
      <c r="M2926" s="64" t="n">
        <f aca="false">IF($A2926="",0,IFERROR(MATCH($A2926,Classes!$A$6:$A$420,0),0))</f>
        <v>0</v>
      </c>
      <c r="N2926" s="64" t="n">
        <f aca="false">IF($H2926="",0,IFERROR(MATCH($H2926,GradeList,0),0))</f>
        <v>0</v>
      </c>
      <c r="O2926" s="64" t="n">
        <f aca="false">IF(OR($I2926="",$I2926="NR"),0,IFERROR(MATCH($I2926,GradeList,0),0))</f>
        <v>0</v>
      </c>
      <c r="P2926" s="64" t="n">
        <f aca="false">IF(AND($M2926&gt;0,ISNUMBER(MATCH($F2926,Lists!$A$2:$A$5,0)),ISNUMBER(MATCH($G2926,Lists!$B$2:$B$7,0)),OR($H2926="",$N2926&gt;0),OR($I2926="",$I2926="NR",$O2926&gt;0),IF(ISNUMBER($J2926),AND($J2926&gt;=0,$J2926=INT($J2926)),FALSE())),$J2926,0)</f>
        <v>0</v>
      </c>
      <c r="Q2926" s="64" t="n">
        <f aca="false">IF(AND($P2926&gt;0,$O2926&gt;0),$P2926,0)</f>
        <v>0</v>
      </c>
      <c r="R2926" s="64" t="n">
        <f aca="false">IF(AND($Q2926&gt;0,$O2926&gt;=AtRank),$Q2926,0)</f>
        <v>0</v>
      </c>
      <c r="S2926" s="64" t="n">
        <f aca="false">IF(AND($Q2926&gt;0,$O2926&gt;=AboveRank),$Q2926,0)</f>
        <v>0</v>
      </c>
      <c r="T2926" s="64" t="n">
        <f aca="false">IF($K2926="Less",$P2926,0)</f>
        <v>0</v>
      </c>
      <c r="U2926" s="64" t="n">
        <f aca="false">IF($K2926="Expected",$P2926,0)</f>
        <v>0</v>
      </c>
      <c r="V2926" s="64" t="n">
        <f aca="false">IF($K2926="Better",$P2926,0)</f>
        <v>0</v>
      </c>
      <c r="W2926" s="64" t="n">
        <f aca="false">IF($K2926="U – needs rule",$P2926,0)</f>
        <v>0</v>
      </c>
      <c r="X2926" s="64" t="n">
        <f aca="false">IF($K2926="No Start (attainment only)",$P2926,0)</f>
        <v>0</v>
      </c>
    </row>
    <row r="2927" customFormat="false" ht="15" hidden="false" customHeight="false" outlineLevel="0" collapsed="false">
      <c r="A2927" s="60"/>
      <c r="B2927" s="61" t="str">
        <f aca="false">IF($M2927=0,"",INDEX(Classes!$E$6:$E$420,$M2927))</f>
        <v/>
      </c>
      <c r="C2927" s="62" t="str">
        <f aca="false">IF($M2927=0,"",INDEX(Classes!$H$6:$H$420,$M2927))</f>
        <v/>
      </c>
      <c r="D2927" s="61" t="str">
        <f aca="false">IF($M2927=0,"",INDEX(Classes!$B$6:$B$420,$M2927))</f>
        <v/>
      </c>
      <c r="E2927" s="61" t="str">
        <f aca="false">IF($M2927=0,"",INDEX(Classes!$C$6:$C$420,$M2927))</f>
        <v/>
      </c>
      <c r="F2927" s="63"/>
      <c r="G2927" s="63"/>
      <c r="H2927" s="60"/>
      <c r="I2927" s="60"/>
      <c r="J2927" s="63"/>
      <c r="K2927" s="61" t="str">
        <f aca="false">IF($P2927=0,"",IF($F2927="Baseline","— Baseline",IF($O2927=0,"No result",IF($N2927=0,"No Start (attainment only)",IF(OR($N2927=1,$O2927=1),"U – needs rule",INDEX(MxBody,MATCH($I2927,MxCurr,0),MATCH($H2927,MxStart,0)))))))</f>
        <v/>
      </c>
      <c r="L2927" s="62" t="str">
        <f aca="false">IF(COUNTA($A2927,$F2927,$G2927,$H2927,$I2927,$J2927)=0,"",IF($M2927=0,"✖ كود الصف غير موجود",IF(ISNA(MATCH($F2927,Lists!$A$2:$A$5,0)),"✖ الفترة غير صحيحة",IF(ISNA(MATCH($G2927,Lists!$B$2:$B$7,0)),"✖ المجموعة غير صحيحة",IF(NOT(OR($H2927="",$N2927&gt;0)),"✖ Start غير صحيح",IF(NOT(OR($I2927="",$I2927="NR",$O2927&gt;0)),"✖ Current غير صحيح",IF(NOT(IF(ISNUMBER($J2927),AND($J2927&gt;=0,$J2927=INT($J2927)),FALSE())),"✖ العدد يجب أن يكون صحيحًا ≥ 0",IF(AND($F2927="Baseline",$H2927&lt;&gt;""),"⚠ Baseline: Start لا يدخل في التقدم",IF($K2927="No Start (attainment only)","ℹ تحصيل فقط (بدون Start)",IF($K2927="U – needs rule","ℹ حالة U تحتاج قاعدة معتمدة",IF($K2927="No result","ℹ بدون نتيجة (يُستبعد من التحصيل)","OK")))))))))))</f>
        <v/>
      </c>
      <c r="M2927" s="64" t="n">
        <f aca="false">IF($A2927="",0,IFERROR(MATCH($A2927,Classes!$A$6:$A$420,0),0))</f>
        <v>0</v>
      </c>
      <c r="N2927" s="64" t="n">
        <f aca="false">IF($H2927="",0,IFERROR(MATCH($H2927,GradeList,0),0))</f>
        <v>0</v>
      </c>
      <c r="O2927" s="64" t="n">
        <f aca="false">IF(OR($I2927="",$I2927="NR"),0,IFERROR(MATCH($I2927,GradeList,0),0))</f>
        <v>0</v>
      </c>
      <c r="P2927" s="64" t="n">
        <f aca="false">IF(AND($M2927&gt;0,ISNUMBER(MATCH($F2927,Lists!$A$2:$A$5,0)),ISNUMBER(MATCH($G2927,Lists!$B$2:$B$7,0)),OR($H2927="",$N2927&gt;0),OR($I2927="",$I2927="NR",$O2927&gt;0),IF(ISNUMBER($J2927),AND($J2927&gt;=0,$J2927=INT($J2927)),FALSE())),$J2927,0)</f>
        <v>0</v>
      </c>
      <c r="Q2927" s="64" t="n">
        <f aca="false">IF(AND($P2927&gt;0,$O2927&gt;0),$P2927,0)</f>
        <v>0</v>
      </c>
      <c r="R2927" s="64" t="n">
        <f aca="false">IF(AND($Q2927&gt;0,$O2927&gt;=AtRank),$Q2927,0)</f>
        <v>0</v>
      </c>
      <c r="S2927" s="64" t="n">
        <f aca="false">IF(AND($Q2927&gt;0,$O2927&gt;=AboveRank),$Q2927,0)</f>
        <v>0</v>
      </c>
      <c r="T2927" s="64" t="n">
        <f aca="false">IF($K2927="Less",$P2927,0)</f>
        <v>0</v>
      </c>
      <c r="U2927" s="64" t="n">
        <f aca="false">IF($K2927="Expected",$P2927,0)</f>
        <v>0</v>
      </c>
      <c r="V2927" s="64" t="n">
        <f aca="false">IF($K2927="Better",$P2927,0)</f>
        <v>0</v>
      </c>
      <c r="W2927" s="64" t="n">
        <f aca="false">IF($K2927="U – needs rule",$P2927,0)</f>
        <v>0</v>
      </c>
      <c r="X2927" s="64" t="n">
        <f aca="false">IF($K2927="No Start (attainment only)",$P2927,0)</f>
        <v>0</v>
      </c>
    </row>
    <row r="2928" customFormat="false" ht="15" hidden="false" customHeight="false" outlineLevel="0" collapsed="false">
      <c r="A2928" s="60"/>
      <c r="B2928" s="61" t="str">
        <f aca="false">IF($M2928=0,"",INDEX(Classes!$E$6:$E$420,$M2928))</f>
        <v/>
      </c>
      <c r="C2928" s="62" t="str">
        <f aca="false">IF($M2928=0,"",INDEX(Classes!$H$6:$H$420,$M2928))</f>
        <v/>
      </c>
      <c r="D2928" s="61" t="str">
        <f aca="false">IF($M2928=0,"",INDEX(Classes!$B$6:$B$420,$M2928))</f>
        <v/>
      </c>
      <c r="E2928" s="61" t="str">
        <f aca="false">IF($M2928=0,"",INDEX(Classes!$C$6:$C$420,$M2928))</f>
        <v/>
      </c>
      <c r="F2928" s="63"/>
      <c r="G2928" s="63"/>
      <c r="H2928" s="60"/>
      <c r="I2928" s="60"/>
      <c r="J2928" s="63"/>
      <c r="K2928" s="61" t="str">
        <f aca="false">IF($P2928=0,"",IF($F2928="Baseline","— Baseline",IF($O2928=0,"No result",IF($N2928=0,"No Start (attainment only)",IF(OR($N2928=1,$O2928=1),"U – needs rule",INDEX(MxBody,MATCH($I2928,MxCurr,0),MATCH($H2928,MxStart,0)))))))</f>
        <v/>
      </c>
      <c r="L2928" s="62" t="str">
        <f aca="false">IF(COUNTA($A2928,$F2928,$G2928,$H2928,$I2928,$J2928)=0,"",IF($M2928=0,"✖ كود الصف غير موجود",IF(ISNA(MATCH($F2928,Lists!$A$2:$A$5,0)),"✖ الفترة غير صحيحة",IF(ISNA(MATCH($G2928,Lists!$B$2:$B$7,0)),"✖ المجموعة غير صحيحة",IF(NOT(OR($H2928="",$N2928&gt;0)),"✖ Start غير صحيح",IF(NOT(OR($I2928="",$I2928="NR",$O2928&gt;0)),"✖ Current غير صحيح",IF(NOT(IF(ISNUMBER($J2928),AND($J2928&gt;=0,$J2928=INT($J2928)),FALSE())),"✖ العدد يجب أن يكون صحيحًا ≥ 0",IF(AND($F2928="Baseline",$H2928&lt;&gt;""),"⚠ Baseline: Start لا يدخل في التقدم",IF($K2928="No Start (attainment only)","ℹ تحصيل فقط (بدون Start)",IF($K2928="U – needs rule","ℹ حالة U تحتاج قاعدة معتمدة",IF($K2928="No result","ℹ بدون نتيجة (يُستبعد من التحصيل)","OK")))))))))))</f>
        <v/>
      </c>
      <c r="M2928" s="64" t="n">
        <f aca="false">IF($A2928="",0,IFERROR(MATCH($A2928,Classes!$A$6:$A$420,0),0))</f>
        <v>0</v>
      </c>
      <c r="N2928" s="64" t="n">
        <f aca="false">IF($H2928="",0,IFERROR(MATCH($H2928,GradeList,0),0))</f>
        <v>0</v>
      </c>
      <c r="O2928" s="64" t="n">
        <f aca="false">IF(OR($I2928="",$I2928="NR"),0,IFERROR(MATCH($I2928,GradeList,0),0))</f>
        <v>0</v>
      </c>
      <c r="P2928" s="64" t="n">
        <f aca="false">IF(AND($M2928&gt;0,ISNUMBER(MATCH($F2928,Lists!$A$2:$A$5,0)),ISNUMBER(MATCH($G2928,Lists!$B$2:$B$7,0)),OR($H2928="",$N2928&gt;0),OR($I2928="",$I2928="NR",$O2928&gt;0),IF(ISNUMBER($J2928),AND($J2928&gt;=0,$J2928=INT($J2928)),FALSE())),$J2928,0)</f>
        <v>0</v>
      </c>
      <c r="Q2928" s="64" t="n">
        <f aca="false">IF(AND($P2928&gt;0,$O2928&gt;0),$P2928,0)</f>
        <v>0</v>
      </c>
      <c r="R2928" s="64" t="n">
        <f aca="false">IF(AND($Q2928&gt;0,$O2928&gt;=AtRank),$Q2928,0)</f>
        <v>0</v>
      </c>
      <c r="S2928" s="64" t="n">
        <f aca="false">IF(AND($Q2928&gt;0,$O2928&gt;=AboveRank),$Q2928,0)</f>
        <v>0</v>
      </c>
      <c r="T2928" s="64" t="n">
        <f aca="false">IF($K2928="Less",$P2928,0)</f>
        <v>0</v>
      </c>
      <c r="U2928" s="64" t="n">
        <f aca="false">IF($K2928="Expected",$P2928,0)</f>
        <v>0</v>
      </c>
      <c r="V2928" s="64" t="n">
        <f aca="false">IF($K2928="Better",$P2928,0)</f>
        <v>0</v>
      </c>
      <c r="W2928" s="64" t="n">
        <f aca="false">IF($K2928="U – needs rule",$P2928,0)</f>
        <v>0</v>
      </c>
      <c r="X2928" s="64" t="n">
        <f aca="false">IF($K2928="No Start (attainment only)",$P2928,0)</f>
        <v>0</v>
      </c>
    </row>
    <row r="2929" customFormat="false" ht="15" hidden="false" customHeight="false" outlineLevel="0" collapsed="false">
      <c r="A2929" s="60"/>
      <c r="B2929" s="61" t="str">
        <f aca="false">IF($M2929=0,"",INDEX(Classes!$E$6:$E$420,$M2929))</f>
        <v/>
      </c>
      <c r="C2929" s="62" t="str">
        <f aca="false">IF($M2929=0,"",INDEX(Classes!$H$6:$H$420,$M2929))</f>
        <v/>
      </c>
      <c r="D2929" s="61" t="str">
        <f aca="false">IF($M2929=0,"",INDEX(Classes!$B$6:$B$420,$M2929))</f>
        <v/>
      </c>
      <c r="E2929" s="61" t="str">
        <f aca="false">IF($M2929=0,"",INDEX(Classes!$C$6:$C$420,$M2929))</f>
        <v/>
      </c>
      <c r="F2929" s="63"/>
      <c r="G2929" s="63"/>
      <c r="H2929" s="60"/>
      <c r="I2929" s="60"/>
      <c r="J2929" s="63"/>
      <c r="K2929" s="61" t="str">
        <f aca="false">IF($P2929=0,"",IF($F2929="Baseline","— Baseline",IF($O2929=0,"No result",IF($N2929=0,"No Start (attainment only)",IF(OR($N2929=1,$O2929=1),"U – needs rule",INDEX(MxBody,MATCH($I2929,MxCurr,0),MATCH($H2929,MxStart,0)))))))</f>
        <v/>
      </c>
      <c r="L2929" s="62" t="str">
        <f aca="false">IF(COUNTA($A2929,$F2929,$G2929,$H2929,$I2929,$J2929)=0,"",IF($M2929=0,"✖ كود الصف غير موجود",IF(ISNA(MATCH($F2929,Lists!$A$2:$A$5,0)),"✖ الفترة غير صحيحة",IF(ISNA(MATCH($G2929,Lists!$B$2:$B$7,0)),"✖ المجموعة غير صحيحة",IF(NOT(OR($H2929="",$N2929&gt;0)),"✖ Start غير صحيح",IF(NOT(OR($I2929="",$I2929="NR",$O2929&gt;0)),"✖ Current غير صحيح",IF(NOT(IF(ISNUMBER($J2929),AND($J2929&gt;=0,$J2929=INT($J2929)),FALSE())),"✖ العدد يجب أن يكون صحيحًا ≥ 0",IF(AND($F2929="Baseline",$H2929&lt;&gt;""),"⚠ Baseline: Start لا يدخل في التقدم",IF($K2929="No Start (attainment only)","ℹ تحصيل فقط (بدون Start)",IF($K2929="U – needs rule","ℹ حالة U تحتاج قاعدة معتمدة",IF($K2929="No result","ℹ بدون نتيجة (يُستبعد من التحصيل)","OK")))))))))))</f>
        <v/>
      </c>
      <c r="M2929" s="64" t="n">
        <f aca="false">IF($A2929="",0,IFERROR(MATCH($A2929,Classes!$A$6:$A$420,0),0))</f>
        <v>0</v>
      </c>
      <c r="N2929" s="64" t="n">
        <f aca="false">IF($H2929="",0,IFERROR(MATCH($H2929,GradeList,0),0))</f>
        <v>0</v>
      </c>
      <c r="O2929" s="64" t="n">
        <f aca="false">IF(OR($I2929="",$I2929="NR"),0,IFERROR(MATCH($I2929,GradeList,0),0))</f>
        <v>0</v>
      </c>
      <c r="P2929" s="64" t="n">
        <f aca="false">IF(AND($M2929&gt;0,ISNUMBER(MATCH($F2929,Lists!$A$2:$A$5,0)),ISNUMBER(MATCH($G2929,Lists!$B$2:$B$7,0)),OR($H2929="",$N2929&gt;0),OR($I2929="",$I2929="NR",$O2929&gt;0),IF(ISNUMBER($J2929),AND($J2929&gt;=0,$J2929=INT($J2929)),FALSE())),$J2929,0)</f>
        <v>0</v>
      </c>
      <c r="Q2929" s="64" t="n">
        <f aca="false">IF(AND($P2929&gt;0,$O2929&gt;0),$P2929,0)</f>
        <v>0</v>
      </c>
      <c r="R2929" s="64" t="n">
        <f aca="false">IF(AND($Q2929&gt;0,$O2929&gt;=AtRank),$Q2929,0)</f>
        <v>0</v>
      </c>
      <c r="S2929" s="64" t="n">
        <f aca="false">IF(AND($Q2929&gt;0,$O2929&gt;=AboveRank),$Q2929,0)</f>
        <v>0</v>
      </c>
      <c r="T2929" s="64" t="n">
        <f aca="false">IF($K2929="Less",$P2929,0)</f>
        <v>0</v>
      </c>
      <c r="U2929" s="64" t="n">
        <f aca="false">IF($K2929="Expected",$P2929,0)</f>
        <v>0</v>
      </c>
      <c r="V2929" s="64" t="n">
        <f aca="false">IF($K2929="Better",$P2929,0)</f>
        <v>0</v>
      </c>
      <c r="W2929" s="64" t="n">
        <f aca="false">IF($K2929="U – needs rule",$P2929,0)</f>
        <v>0</v>
      </c>
      <c r="X2929" s="64" t="n">
        <f aca="false">IF($K2929="No Start (attainment only)",$P2929,0)</f>
        <v>0</v>
      </c>
    </row>
    <row r="2930" customFormat="false" ht="15" hidden="false" customHeight="false" outlineLevel="0" collapsed="false">
      <c r="A2930" s="60"/>
      <c r="B2930" s="61" t="str">
        <f aca="false">IF($M2930=0,"",INDEX(Classes!$E$6:$E$420,$M2930))</f>
        <v/>
      </c>
      <c r="C2930" s="62" t="str">
        <f aca="false">IF($M2930=0,"",INDEX(Classes!$H$6:$H$420,$M2930))</f>
        <v/>
      </c>
      <c r="D2930" s="61" t="str">
        <f aca="false">IF($M2930=0,"",INDEX(Classes!$B$6:$B$420,$M2930))</f>
        <v/>
      </c>
      <c r="E2930" s="61" t="str">
        <f aca="false">IF($M2930=0,"",INDEX(Classes!$C$6:$C$420,$M2930))</f>
        <v/>
      </c>
      <c r="F2930" s="63"/>
      <c r="G2930" s="63"/>
      <c r="H2930" s="60"/>
      <c r="I2930" s="60"/>
      <c r="J2930" s="63"/>
      <c r="K2930" s="61" t="str">
        <f aca="false">IF($P2930=0,"",IF($F2930="Baseline","— Baseline",IF($O2930=0,"No result",IF($N2930=0,"No Start (attainment only)",IF(OR($N2930=1,$O2930=1),"U – needs rule",INDEX(MxBody,MATCH($I2930,MxCurr,0),MATCH($H2930,MxStart,0)))))))</f>
        <v/>
      </c>
      <c r="L2930" s="62" t="str">
        <f aca="false">IF(COUNTA($A2930,$F2930,$G2930,$H2930,$I2930,$J2930)=0,"",IF($M2930=0,"✖ كود الصف غير موجود",IF(ISNA(MATCH($F2930,Lists!$A$2:$A$5,0)),"✖ الفترة غير صحيحة",IF(ISNA(MATCH($G2930,Lists!$B$2:$B$7,0)),"✖ المجموعة غير صحيحة",IF(NOT(OR($H2930="",$N2930&gt;0)),"✖ Start غير صحيح",IF(NOT(OR($I2930="",$I2930="NR",$O2930&gt;0)),"✖ Current غير صحيح",IF(NOT(IF(ISNUMBER($J2930),AND($J2930&gt;=0,$J2930=INT($J2930)),FALSE())),"✖ العدد يجب أن يكون صحيحًا ≥ 0",IF(AND($F2930="Baseline",$H2930&lt;&gt;""),"⚠ Baseline: Start لا يدخل في التقدم",IF($K2930="No Start (attainment only)","ℹ تحصيل فقط (بدون Start)",IF($K2930="U – needs rule","ℹ حالة U تحتاج قاعدة معتمدة",IF($K2930="No result","ℹ بدون نتيجة (يُستبعد من التحصيل)","OK")))))))))))</f>
        <v/>
      </c>
      <c r="M2930" s="64" t="n">
        <f aca="false">IF($A2930="",0,IFERROR(MATCH($A2930,Classes!$A$6:$A$420,0),0))</f>
        <v>0</v>
      </c>
      <c r="N2930" s="64" t="n">
        <f aca="false">IF($H2930="",0,IFERROR(MATCH($H2930,GradeList,0),0))</f>
        <v>0</v>
      </c>
      <c r="O2930" s="64" t="n">
        <f aca="false">IF(OR($I2930="",$I2930="NR"),0,IFERROR(MATCH($I2930,GradeList,0),0))</f>
        <v>0</v>
      </c>
      <c r="P2930" s="64" t="n">
        <f aca="false">IF(AND($M2930&gt;0,ISNUMBER(MATCH($F2930,Lists!$A$2:$A$5,0)),ISNUMBER(MATCH($G2930,Lists!$B$2:$B$7,0)),OR($H2930="",$N2930&gt;0),OR($I2930="",$I2930="NR",$O2930&gt;0),IF(ISNUMBER($J2930),AND($J2930&gt;=0,$J2930=INT($J2930)),FALSE())),$J2930,0)</f>
        <v>0</v>
      </c>
      <c r="Q2930" s="64" t="n">
        <f aca="false">IF(AND($P2930&gt;0,$O2930&gt;0),$P2930,0)</f>
        <v>0</v>
      </c>
      <c r="R2930" s="64" t="n">
        <f aca="false">IF(AND($Q2930&gt;0,$O2930&gt;=AtRank),$Q2930,0)</f>
        <v>0</v>
      </c>
      <c r="S2930" s="64" t="n">
        <f aca="false">IF(AND($Q2930&gt;0,$O2930&gt;=AboveRank),$Q2930,0)</f>
        <v>0</v>
      </c>
      <c r="T2930" s="64" t="n">
        <f aca="false">IF($K2930="Less",$P2930,0)</f>
        <v>0</v>
      </c>
      <c r="U2930" s="64" t="n">
        <f aca="false">IF($K2930="Expected",$P2930,0)</f>
        <v>0</v>
      </c>
      <c r="V2930" s="64" t="n">
        <f aca="false">IF($K2930="Better",$P2930,0)</f>
        <v>0</v>
      </c>
      <c r="W2930" s="64" t="n">
        <f aca="false">IF($K2930="U – needs rule",$P2930,0)</f>
        <v>0</v>
      </c>
      <c r="X2930" s="64" t="n">
        <f aca="false">IF($K2930="No Start (attainment only)",$P2930,0)</f>
        <v>0</v>
      </c>
    </row>
    <row r="2931" customFormat="false" ht="15" hidden="false" customHeight="false" outlineLevel="0" collapsed="false">
      <c r="A2931" s="60"/>
      <c r="B2931" s="61" t="str">
        <f aca="false">IF($M2931=0,"",INDEX(Classes!$E$6:$E$420,$M2931))</f>
        <v/>
      </c>
      <c r="C2931" s="62" t="str">
        <f aca="false">IF($M2931=0,"",INDEX(Classes!$H$6:$H$420,$M2931))</f>
        <v/>
      </c>
      <c r="D2931" s="61" t="str">
        <f aca="false">IF($M2931=0,"",INDEX(Classes!$B$6:$B$420,$M2931))</f>
        <v/>
      </c>
      <c r="E2931" s="61" t="str">
        <f aca="false">IF($M2931=0,"",INDEX(Classes!$C$6:$C$420,$M2931))</f>
        <v/>
      </c>
      <c r="F2931" s="63"/>
      <c r="G2931" s="63"/>
      <c r="H2931" s="60"/>
      <c r="I2931" s="60"/>
      <c r="J2931" s="63"/>
      <c r="K2931" s="61" t="str">
        <f aca="false">IF($P2931=0,"",IF($F2931="Baseline","— Baseline",IF($O2931=0,"No result",IF($N2931=0,"No Start (attainment only)",IF(OR($N2931=1,$O2931=1),"U – needs rule",INDEX(MxBody,MATCH($I2931,MxCurr,0),MATCH($H2931,MxStart,0)))))))</f>
        <v/>
      </c>
      <c r="L2931" s="62" t="str">
        <f aca="false">IF(COUNTA($A2931,$F2931,$G2931,$H2931,$I2931,$J2931)=0,"",IF($M2931=0,"✖ كود الصف غير موجود",IF(ISNA(MATCH($F2931,Lists!$A$2:$A$5,0)),"✖ الفترة غير صحيحة",IF(ISNA(MATCH($G2931,Lists!$B$2:$B$7,0)),"✖ المجموعة غير صحيحة",IF(NOT(OR($H2931="",$N2931&gt;0)),"✖ Start غير صحيح",IF(NOT(OR($I2931="",$I2931="NR",$O2931&gt;0)),"✖ Current غير صحيح",IF(NOT(IF(ISNUMBER($J2931),AND($J2931&gt;=0,$J2931=INT($J2931)),FALSE())),"✖ العدد يجب أن يكون صحيحًا ≥ 0",IF(AND($F2931="Baseline",$H2931&lt;&gt;""),"⚠ Baseline: Start لا يدخل في التقدم",IF($K2931="No Start (attainment only)","ℹ تحصيل فقط (بدون Start)",IF($K2931="U – needs rule","ℹ حالة U تحتاج قاعدة معتمدة",IF($K2931="No result","ℹ بدون نتيجة (يُستبعد من التحصيل)","OK")))))))))))</f>
        <v/>
      </c>
      <c r="M2931" s="64" t="n">
        <f aca="false">IF($A2931="",0,IFERROR(MATCH($A2931,Classes!$A$6:$A$420,0),0))</f>
        <v>0</v>
      </c>
      <c r="N2931" s="64" t="n">
        <f aca="false">IF($H2931="",0,IFERROR(MATCH($H2931,GradeList,0),0))</f>
        <v>0</v>
      </c>
      <c r="O2931" s="64" t="n">
        <f aca="false">IF(OR($I2931="",$I2931="NR"),0,IFERROR(MATCH($I2931,GradeList,0),0))</f>
        <v>0</v>
      </c>
      <c r="P2931" s="64" t="n">
        <f aca="false">IF(AND($M2931&gt;0,ISNUMBER(MATCH($F2931,Lists!$A$2:$A$5,0)),ISNUMBER(MATCH($G2931,Lists!$B$2:$B$7,0)),OR($H2931="",$N2931&gt;0),OR($I2931="",$I2931="NR",$O2931&gt;0),IF(ISNUMBER($J2931),AND($J2931&gt;=0,$J2931=INT($J2931)),FALSE())),$J2931,0)</f>
        <v>0</v>
      </c>
      <c r="Q2931" s="64" t="n">
        <f aca="false">IF(AND($P2931&gt;0,$O2931&gt;0),$P2931,0)</f>
        <v>0</v>
      </c>
      <c r="R2931" s="64" t="n">
        <f aca="false">IF(AND($Q2931&gt;0,$O2931&gt;=AtRank),$Q2931,0)</f>
        <v>0</v>
      </c>
      <c r="S2931" s="64" t="n">
        <f aca="false">IF(AND($Q2931&gt;0,$O2931&gt;=AboveRank),$Q2931,0)</f>
        <v>0</v>
      </c>
      <c r="T2931" s="64" t="n">
        <f aca="false">IF($K2931="Less",$P2931,0)</f>
        <v>0</v>
      </c>
      <c r="U2931" s="64" t="n">
        <f aca="false">IF($K2931="Expected",$P2931,0)</f>
        <v>0</v>
      </c>
      <c r="V2931" s="64" t="n">
        <f aca="false">IF($K2931="Better",$P2931,0)</f>
        <v>0</v>
      </c>
      <c r="W2931" s="64" t="n">
        <f aca="false">IF($K2931="U – needs rule",$P2931,0)</f>
        <v>0</v>
      </c>
      <c r="X2931" s="64" t="n">
        <f aca="false">IF($K2931="No Start (attainment only)",$P2931,0)</f>
        <v>0</v>
      </c>
    </row>
    <row r="2932" customFormat="false" ht="15" hidden="false" customHeight="false" outlineLevel="0" collapsed="false">
      <c r="A2932" s="60"/>
      <c r="B2932" s="61" t="str">
        <f aca="false">IF($M2932=0,"",INDEX(Classes!$E$6:$E$420,$M2932))</f>
        <v/>
      </c>
      <c r="C2932" s="62" t="str">
        <f aca="false">IF($M2932=0,"",INDEX(Classes!$H$6:$H$420,$M2932))</f>
        <v/>
      </c>
      <c r="D2932" s="61" t="str">
        <f aca="false">IF($M2932=0,"",INDEX(Classes!$B$6:$B$420,$M2932))</f>
        <v/>
      </c>
      <c r="E2932" s="61" t="str">
        <f aca="false">IF($M2932=0,"",INDEX(Classes!$C$6:$C$420,$M2932))</f>
        <v/>
      </c>
      <c r="F2932" s="63"/>
      <c r="G2932" s="63"/>
      <c r="H2932" s="60"/>
      <c r="I2932" s="60"/>
      <c r="J2932" s="63"/>
      <c r="K2932" s="61" t="str">
        <f aca="false">IF($P2932=0,"",IF($F2932="Baseline","— Baseline",IF($O2932=0,"No result",IF($N2932=0,"No Start (attainment only)",IF(OR($N2932=1,$O2932=1),"U – needs rule",INDEX(MxBody,MATCH($I2932,MxCurr,0),MATCH($H2932,MxStart,0)))))))</f>
        <v/>
      </c>
      <c r="L2932" s="62" t="str">
        <f aca="false">IF(COUNTA($A2932,$F2932,$G2932,$H2932,$I2932,$J2932)=0,"",IF($M2932=0,"✖ كود الصف غير موجود",IF(ISNA(MATCH($F2932,Lists!$A$2:$A$5,0)),"✖ الفترة غير صحيحة",IF(ISNA(MATCH($G2932,Lists!$B$2:$B$7,0)),"✖ المجموعة غير صحيحة",IF(NOT(OR($H2932="",$N2932&gt;0)),"✖ Start غير صحيح",IF(NOT(OR($I2932="",$I2932="NR",$O2932&gt;0)),"✖ Current غير صحيح",IF(NOT(IF(ISNUMBER($J2932),AND($J2932&gt;=0,$J2932=INT($J2932)),FALSE())),"✖ العدد يجب أن يكون صحيحًا ≥ 0",IF(AND($F2932="Baseline",$H2932&lt;&gt;""),"⚠ Baseline: Start لا يدخل في التقدم",IF($K2932="No Start (attainment only)","ℹ تحصيل فقط (بدون Start)",IF($K2932="U – needs rule","ℹ حالة U تحتاج قاعدة معتمدة",IF($K2932="No result","ℹ بدون نتيجة (يُستبعد من التحصيل)","OK")))))))))))</f>
        <v/>
      </c>
      <c r="M2932" s="64" t="n">
        <f aca="false">IF($A2932="",0,IFERROR(MATCH($A2932,Classes!$A$6:$A$420,0),0))</f>
        <v>0</v>
      </c>
      <c r="N2932" s="64" t="n">
        <f aca="false">IF($H2932="",0,IFERROR(MATCH($H2932,GradeList,0),0))</f>
        <v>0</v>
      </c>
      <c r="O2932" s="64" t="n">
        <f aca="false">IF(OR($I2932="",$I2932="NR"),0,IFERROR(MATCH($I2932,GradeList,0),0))</f>
        <v>0</v>
      </c>
      <c r="P2932" s="64" t="n">
        <f aca="false">IF(AND($M2932&gt;0,ISNUMBER(MATCH($F2932,Lists!$A$2:$A$5,0)),ISNUMBER(MATCH($G2932,Lists!$B$2:$B$7,0)),OR($H2932="",$N2932&gt;0),OR($I2932="",$I2932="NR",$O2932&gt;0),IF(ISNUMBER($J2932),AND($J2932&gt;=0,$J2932=INT($J2932)),FALSE())),$J2932,0)</f>
        <v>0</v>
      </c>
      <c r="Q2932" s="64" t="n">
        <f aca="false">IF(AND($P2932&gt;0,$O2932&gt;0),$P2932,0)</f>
        <v>0</v>
      </c>
      <c r="R2932" s="64" t="n">
        <f aca="false">IF(AND($Q2932&gt;0,$O2932&gt;=AtRank),$Q2932,0)</f>
        <v>0</v>
      </c>
      <c r="S2932" s="64" t="n">
        <f aca="false">IF(AND($Q2932&gt;0,$O2932&gt;=AboveRank),$Q2932,0)</f>
        <v>0</v>
      </c>
      <c r="T2932" s="64" t="n">
        <f aca="false">IF($K2932="Less",$P2932,0)</f>
        <v>0</v>
      </c>
      <c r="U2932" s="64" t="n">
        <f aca="false">IF($K2932="Expected",$P2932,0)</f>
        <v>0</v>
      </c>
      <c r="V2932" s="64" t="n">
        <f aca="false">IF($K2932="Better",$P2932,0)</f>
        <v>0</v>
      </c>
      <c r="W2932" s="64" t="n">
        <f aca="false">IF($K2932="U – needs rule",$P2932,0)</f>
        <v>0</v>
      </c>
      <c r="X2932" s="64" t="n">
        <f aca="false">IF($K2932="No Start (attainment only)",$P2932,0)</f>
        <v>0</v>
      </c>
    </row>
    <row r="2933" customFormat="false" ht="15" hidden="false" customHeight="false" outlineLevel="0" collapsed="false">
      <c r="A2933" s="60"/>
      <c r="B2933" s="61" t="str">
        <f aca="false">IF($M2933=0,"",INDEX(Classes!$E$6:$E$420,$M2933))</f>
        <v/>
      </c>
      <c r="C2933" s="62" t="str">
        <f aca="false">IF($M2933=0,"",INDEX(Classes!$H$6:$H$420,$M2933))</f>
        <v/>
      </c>
      <c r="D2933" s="61" t="str">
        <f aca="false">IF($M2933=0,"",INDEX(Classes!$B$6:$B$420,$M2933))</f>
        <v/>
      </c>
      <c r="E2933" s="61" t="str">
        <f aca="false">IF($M2933=0,"",INDEX(Classes!$C$6:$C$420,$M2933))</f>
        <v/>
      </c>
      <c r="F2933" s="63"/>
      <c r="G2933" s="63"/>
      <c r="H2933" s="60"/>
      <c r="I2933" s="60"/>
      <c r="J2933" s="63"/>
      <c r="K2933" s="61" t="str">
        <f aca="false">IF($P2933=0,"",IF($F2933="Baseline","— Baseline",IF($O2933=0,"No result",IF($N2933=0,"No Start (attainment only)",IF(OR($N2933=1,$O2933=1),"U – needs rule",INDEX(MxBody,MATCH($I2933,MxCurr,0),MATCH($H2933,MxStart,0)))))))</f>
        <v/>
      </c>
      <c r="L2933" s="62" t="str">
        <f aca="false">IF(COUNTA($A2933,$F2933,$G2933,$H2933,$I2933,$J2933)=0,"",IF($M2933=0,"✖ كود الصف غير موجود",IF(ISNA(MATCH($F2933,Lists!$A$2:$A$5,0)),"✖ الفترة غير صحيحة",IF(ISNA(MATCH($G2933,Lists!$B$2:$B$7,0)),"✖ المجموعة غير صحيحة",IF(NOT(OR($H2933="",$N2933&gt;0)),"✖ Start غير صحيح",IF(NOT(OR($I2933="",$I2933="NR",$O2933&gt;0)),"✖ Current غير صحيح",IF(NOT(IF(ISNUMBER($J2933),AND($J2933&gt;=0,$J2933=INT($J2933)),FALSE())),"✖ العدد يجب أن يكون صحيحًا ≥ 0",IF(AND($F2933="Baseline",$H2933&lt;&gt;""),"⚠ Baseline: Start لا يدخل في التقدم",IF($K2933="No Start (attainment only)","ℹ تحصيل فقط (بدون Start)",IF($K2933="U – needs rule","ℹ حالة U تحتاج قاعدة معتمدة",IF($K2933="No result","ℹ بدون نتيجة (يُستبعد من التحصيل)","OK")))))))))))</f>
        <v/>
      </c>
      <c r="M2933" s="64" t="n">
        <f aca="false">IF($A2933="",0,IFERROR(MATCH($A2933,Classes!$A$6:$A$420,0),0))</f>
        <v>0</v>
      </c>
      <c r="N2933" s="64" t="n">
        <f aca="false">IF($H2933="",0,IFERROR(MATCH($H2933,GradeList,0),0))</f>
        <v>0</v>
      </c>
      <c r="O2933" s="64" t="n">
        <f aca="false">IF(OR($I2933="",$I2933="NR"),0,IFERROR(MATCH($I2933,GradeList,0),0))</f>
        <v>0</v>
      </c>
      <c r="P2933" s="64" t="n">
        <f aca="false">IF(AND($M2933&gt;0,ISNUMBER(MATCH($F2933,Lists!$A$2:$A$5,0)),ISNUMBER(MATCH($G2933,Lists!$B$2:$B$7,0)),OR($H2933="",$N2933&gt;0),OR($I2933="",$I2933="NR",$O2933&gt;0),IF(ISNUMBER($J2933),AND($J2933&gt;=0,$J2933=INT($J2933)),FALSE())),$J2933,0)</f>
        <v>0</v>
      </c>
      <c r="Q2933" s="64" t="n">
        <f aca="false">IF(AND($P2933&gt;0,$O2933&gt;0),$P2933,0)</f>
        <v>0</v>
      </c>
      <c r="R2933" s="64" t="n">
        <f aca="false">IF(AND($Q2933&gt;0,$O2933&gt;=AtRank),$Q2933,0)</f>
        <v>0</v>
      </c>
      <c r="S2933" s="64" t="n">
        <f aca="false">IF(AND($Q2933&gt;0,$O2933&gt;=AboveRank),$Q2933,0)</f>
        <v>0</v>
      </c>
      <c r="T2933" s="64" t="n">
        <f aca="false">IF($K2933="Less",$P2933,0)</f>
        <v>0</v>
      </c>
      <c r="U2933" s="64" t="n">
        <f aca="false">IF($K2933="Expected",$P2933,0)</f>
        <v>0</v>
      </c>
      <c r="V2933" s="64" t="n">
        <f aca="false">IF($K2933="Better",$P2933,0)</f>
        <v>0</v>
      </c>
      <c r="W2933" s="64" t="n">
        <f aca="false">IF($K2933="U – needs rule",$P2933,0)</f>
        <v>0</v>
      </c>
      <c r="X2933" s="64" t="n">
        <f aca="false">IF($K2933="No Start (attainment only)",$P2933,0)</f>
        <v>0</v>
      </c>
    </row>
    <row r="2934" customFormat="false" ht="15" hidden="false" customHeight="false" outlineLevel="0" collapsed="false">
      <c r="A2934" s="60"/>
      <c r="B2934" s="61" t="str">
        <f aca="false">IF($M2934=0,"",INDEX(Classes!$E$6:$E$420,$M2934))</f>
        <v/>
      </c>
      <c r="C2934" s="62" t="str">
        <f aca="false">IF($M2934=0,"",INDEX(Classes!$H$6:$H$420,$M2934))</f>
        <v/>
      </c>
      <c r="D2934" s="61" t="str">
        <f aca="false">IF($M2934=0,"",INDEX(Classes!$B$6:$B$420,$M2934))</f>
        <v/>
      </c>
      <c r="E2934" s="61" t="str">
        <f aca="false">IF($M2934=0,"",INDEX(Classes!$C$6:$C$420,$M2934))</f>
        <v/>
      </c>
      <c r="F2934" s="63"/>
      <c r="G2934" s="63"/>
      <c r="H2934" s="60"/>
      <c r="I2934" s="60"/>
      <c r="J2934" s="63"/>
      <c r="K2934" s="61" t="str">
        <f aca="false">IF($P2934=0,"",IF($F2934="Baseline","— Baseline",IF($O2934=0,"No result",IF($N2934=0,"No Start (attainment only)",IF(OR($N2934=1,$O2934=1),"U – needs rule",INDEX(MxBody,MATCH($I2934,MxCurr,0),MATCH($H2934,MxStart,0)))))))</f>
        <v/>
      </c>
      <c r="L2934" s="62" t="str">
        <f aca="false">IF(COUNTA($A2934,$F2934,$G2934,$H2934,$I2934,$J2934)=0,"",IF($M2934=0,"✖ كود الصف غير موجود",IF(ISNA(MATCH($F2934,Lists!$A$2:$A$5,0)),"✖ الفترة غير صحيحة",IF(ISNA(MATCH($G2934,Lists!$B$2:$B$7,0)),"✖ المجموعة غير صحيحة",IF(NOT(OR($H2934="",$N2934&gt;0)),"✖ Start غير صحيح",IF(NOT(OR($I2934="",$I2934="NR",$O2934&gt;0)),"✖ Current غير صحيح",IF(NOT(IF(ISNUMBER($J2934),AND($J2934&gt;=0,$J2934=INT($J2934)),FALSE())),"✖ العدد يجب أن يكون صحيحًا ≥ 0",IF(AND($F2934="Baseline",$H2934&lt;&gt;""),"⚠ Baseline: Start لا يدخل في التقدم",IF($K2934="No Start (attainment only)","ℹ تحصيل فقط (بدون Start)",IF($K2934="U – needs rule","ℹ حالة U تحتاج قاعدة معتمدة",IF($K2934="No result","ℹ بدون نتيجة (يُستبعد من التحصيل)","OK")))))))))))</f>
        <v/>
      </c>
      <c r="M2934" s="64" t="n">
        <f aca="false">IF($A2934="",0,IFERROR(MATCH($A2934,Classes!$A$6:$A$420,0),0))</f>
        <v>0</v>
      </c>
      <c r="N2934" s="64" t="n">
        <f aca="false">IF($H2934="",0,IFERROR(MATCH($H2934,GradeList,0),0))</f>
        <v>0</v>
      </c>
      <c r="O2934" s="64" t="n">
        <f aca="false">IF(OR($I2934="",$I2934="NR"),0,IFERROR(MATCH($I2934,GradeList,0),0))</f>
        <v>0</v>
      </c>
      <c r="P2934" s="64" t="n">
        <f aca="false">IF(AND($M2934&gt;0,ISNUMBER(MATCH($F2934,Lists!$A$2:$A$5,0)),ISNUMBER(MATCH($G2934,Lists!$B$2:$B$7,0)),OR($H2934="",$N2934&gt;0),OR($I2934="",$I2934="NR",$O2934&gt;0),IF(ISNUMBER($J2934),AND($J2934&gt;=0,$J2934=INT($J2934)),FALSE())),$J2934,0)</f>
        <v>0</v>
      </c>
      <c r="Q2934" s="64" t="n">
        <f aca="false">IF(AND($P2934&gt;0,$O2934&gt;0),$P2934,0)</f>
        <v>0</v>
      </c>
      <c r="R2934" s="64" t="n">
        <f aca="false">IF(AND($Q2934&gt;0,$O2934&gt;=AtRank),$Q2934,0)</f>
        <v>0</v>
      </c>
      <c r="S2934" s="64" t="n">
        <f aca="false">IF(AND($Q2934&gt;0,$O2934&gt;=AboveRank),$Q2934,0)</f>
        <v>0</v>
      </c>
      <c r="T2934" s="64" t="n">
        <f aca="false">IF($K2934="Less",$P2934,0)</f>
        <v>0</v>
      </c>
      <c r="U2934" s="64" t="n">
        <f aca="false">IF($K2934="Expected",$P2934,0)</f>
        <v>0</v>
      </c>
      <c r="V2934" s="64" t="n">
        <f aca="false">IF($K2934="Better",$P2934,0)</f>
        <v>0</v>
      </c>
      <c r="W2934" s="64" t="n">
        <f aca="false">IF($K2934="U – needs rule",$P2934,0)</f>
        <v>0</v>
      </c>
      <c r="X2934" s="64" t="n">
        <f aca="false">IF($K2934="No Start (attainment only)",$P2934,0)</f>
        <v>0</v>
      </c>
    </row>
    <row r="2935" customFormat="false" ht="15" hidden="false" customHeight="false" outlineLevel="0" collapsed="false">
      <c r="A2935" s="60"/>
      <c r="B2935" s="61" t="str">
        <f aca="false">IF($M2935=0,"",INDEX(Classes!$E$6:$E$420,$M2935))</f>
        <v/>
      </c>
      <c r="C2935" s="62" t="str">
        <f aca="false">IF($M2935=0,"",INDEX(Classes!$H$6:$H$420,$M2935))</f>
        <v/>
      </c>
      <c r="D2935" s="61" t="str">
        <f aca="false">IF($M2935=0,"",INDEX(Classes!$B$6:$B$420,$M2935))</f>
        <v/>
      </c>
      <c r="E2935" s="61" t="str">
        <f aca="false">IF($M2935=0,"",INDEX(Classes!$C$6:$C$420,$M2935))</f>
        <v/>
      </c>
      <c r="F2935" s="63"/>
      <c r="G2935" s="63"/>
      <c r="H2935" s="60"/>
      <c r="I2935" s="60"/>
      <c r="J2935" s="63"/>
      <c r="K2935" s="61" t="str">
        <f aca="false">IF($P2935=0,"",IF($F2935="Baseline","— Baseline",IF($O2935=0,"No result",IF($N2935=0,"No Start (attainment only)",IF(OR($N2935=1,$O2935=1),"U – needs rule",INDEX(MxBody,MATCH($I2935,MxCurr,0),MATCH($H2935,MxStart,0)))))))</f>
        <v/>
      </c>
      <c r="L2935" s="62" t="str">
        <f aca="false">IF(COUNTA($A2935,$F2935,$G2935,$H2935,$I2935,$J2935)=0,"",IF($M2935=0,"✖ كود الصف غير موجود",IF(ISNA(MATCH($F2935,Lists!$A$2:$A$5,0)),"✖ الفترة غير صحيحة",IF(ISNA(MATCH($G2935,Lists!$B$2:$B$7,0)),"✖ المجموعة غير صحيحة",IF(NOT(OR($H2935="",$N2935&gt;0)),"✖ Start غير صحيح",IF(NOT(OR($I2935="",$I2935="NR",$O2935&gt;0)),"✖ Current غير صحيح",IF(NOT(IF(ISNUMBER($J2935),AND($J2935&gt;=0,$J2935=INT($J2935)),FALSE())),"✖ العدد يجب أن يكون صحيحًا ≥ 0",IF(AND($F2935="Baseline",$H2935&lt;&gt;""),"⚠ Baseline: Start لا يدخل في التقدم",IF($K2935="No Start (attainment only)","ℹ تحصيل فقط (بدون Start)",IF($K2935="U – needs rule","ℹ حالة U تحتاج قاعدة معتمدة",IF($K2935="No result","ℹ بدون نتيجة (يُستبعد من التحصيل)","OK")))))))))))</f>
        <v/>
      </c>
      <c r="M2935" s="64" t="n">
        <f aca="false">IF($A2935="",0,IFERROR(MATCH($A2935,Classes!$A$6:$A$420,0),0))</f>
        <v>0</v>
      </c>
      <c r="N2935" s="64" t="n">
        <f aca="false">IF($H2935="",0,IFERROR(MATCH($H2935,GradeList,0),0))</f>
        <v>0</v>
      </c>
      <c r="O2935" s="64" t="n">
        <f aca="false">IF(OR($I2935="",$I2935="NR"),0,IFERROR(MATCH($I2935,GradeList,0),0))</f>
        <v>0</v>
      </c>
      <c r="P2935" s="64" t="n">
        <f aca="false">IF(AND($M2935&gt;0,ISNUMBER(MATCH($F2935,Lists!$A$2:$A$5,0)),ISNUMBER(MATCH($G2935,Lists!$B$2:$B$7,0)),OR($H2935="",$N2935&gt;0),OR($I2935="",$I2935="NR",$O2935&gt;0),IF(ISNUMBER($J2935),AND($J2935&gt;=0,$J2935=INT($J2935)),FALSE())),$J2935,0)</f>
        <v>0</v>
      </c>
      <c r="Q2935" s="64" t="n">
        <f aca="false">IF(AND($P2935&gt;0,$O2935&gt;0),$P2935,0)</f>
        <v>0</v>
      </c>
      <c r="R2935" s="64" t="n">
        <f aca="false">IF(AND($Q2935&gt;0,$O2935&gt;=AtRank),$Q2935,0)</f>
        <v>0</v>
      </c>
      <c r="S2935" s="64" t="n">
        <f aca="false">IF(AND($Q2935&gt;0,$O2935&gt;=AboveRank),$Q2935,0)</f>
        <v>0</v>
      </c>
      <c r="T2935" s="64" t="n">
        <f aca="false">IF($K2935="Less",$P2935,0)</f>
        <v>0</v>
      </c>
      <c r="U2935" s="64" t="n">
        <f aca="false">IF($K2935="Expected",$P2935,0)</f>
        <v>0</v>
      </c>
      <c r="V2935" s="64" t="n">
        <f aca="false">IF($K2935="Better",$P2935,0)</f>
        <v>0</v>
      </c>
      <c r="W2935" s="64" t="n">
        <f aca="false">IF($K2935="U – needs rule",$P2935,0)</f>
        <v>0</v>
      </c>
      <c r="X2935" s="64" t="n">
        <f aca="false">IF($K2935="No Start (attainment only)",$P2935,0)</f>
        <v>0</v>
      </c>
    </row>
    <row r="2936" customFormat="false" ht="15" hidden="false" customHeight="false" outlineLevel="0" collapsed="false">
      <c r="A2936" s="60"/>
      <c r="B2936" s="61" t="str">
        <f aca="false">IF($M2936=0,"",INDEX(Classes!$E$6:$E$420,$M2936))</f>
        <v/>
      </c>
      <c r="C2936" s="62" t="str">
        <f aca="false">IF($M2936=0,"",INDEX(Classes!$H$6:$H$420,$M2936))</f>
        <v/>
      </c>
      <c r="D2936" s="61" t="str">
        <f aca="false">IF($M2936=0,"",INDEX(Classes!$B$6:$B$420,$M2936))</f>
        <v/>
      </c>
      <c r="E2936" s="61" t="str">
        <f aca="false">IF($M2936=0,"",INDEX(Classes!$C$6:$C$420,$M2936))</f>
        <v/>
      </c>
      <c r="F2936" s="63"/>
      <c r="G2936" s="63"/>
      <c r="H2936" s="60"/>
      <c r="I2936" s="60"/>
      <c r="J2936" s="63"/>
      <c r="K2936" s="61" t="str">
        <f aca="false">IF($P2936=0,"",IF($F2936="Baseline","— Baseline",IF($O2936=0,"No result",IF($N2936=0,"No Start (attainment only)",IF(OR($N2936=1,$O2936=1),"U – needs rule",INDEX(MxBody,MATCH($I2936,MxCurr,0),MATCH($H2936,MxStart,0)))))))</f>
        <v/>
      </c>
      <c r="L2936" s="62" t="str">
        <f aca="false">IF(COUNTA($A2936,$F2936,$G2936,$H2936,$I2936,$J2936)=0,"",IF($M2936=0,"✖ كود الصف غير موجود",IF(ISNA(MATCH($F2936,Lists!$A$2:$A$5,0)),"✖ الفترة غير صحيحة",IF(ISNA(MATCH($G2936,Lists!$B$2:$B$7,0)),"✖ المجموعة غير صحيحة",IF(NOT(OR($H2936="",$N2936&gt;0)),"✖ Start غير صحيح",IF(NOT(OR($I2936="",$I2936="NR",$O2936&gt;0)),"✖ Current غير صحيح",IF(NOT(IF(ISNUMBER($J2936),AND($J2936&gt;=0,$J2936=INT($J2936)),FALSE())),"✖ العدد يجب أن يكون صحيحًا ≥ 0",IF(AND($F2936="Baseline",$H2936&lt;&gt;""),"⚠ Baseline: Start لا يدخل في التقدم",IF($K2936="No Start (attainment only)","ℹ تحصيل فقط (بدون Start)",IF($K2936="U – needs rule","ℹ حالة U تحتاج قاعدة معتمدة",IF($K2936="No result","ℹ بدون نتيجة (يُستبعد من التحصيل)","OK")))))))))))</f>
        <v/>
      </c>
      <c r="M2936" s="64" t="n">
        <f aca="false">IF($A2936="",0,IFERROR(MATCH($A2936,Classes!$A$6:$A$420,0),0))</f>
        <v>0</v>
      </c>
      <c r="N2936" s="64" t="n">
        <f aca="false">IF($H2936="",0,IFERROR(MATCH($H2936,GradeList,0),0))</f>
        <v>0</v>
      </c>
      <c r="O2936" s="64" t="n">
        <f aca="false">IF(OR($I2936="",$I2936="NR"),0,IFERROR(MATCH($I2936,GradeList,0),0))</f>
        <v>0</v>
      </c>
      <c r="P2936" s="64" t="n">
        <f aca="false">IF(AND($M2936&gt;0,ISNUMBER(MATCH($F2936,Lists!$A$2:$A$5,0)),ISNUMBER(MATCH($G2936,Lists!$B$2:$B$7,0)),OR($H2936="",$N2936&gt;0),OR($I2936="",$I2936="NR",$O2936&gt;0),IF(ISNUMBER($J2936),AND($J2936&gt;=0,$J2936=INT($J2936)),FALSE())),$J2936,0)</f>
        <v>0</v>
      </c>
      <c r="Q2936" s="64" t="n">
        <f aca="false">IF(AND($P2936&gt;0,$O2936&gt;0),$P2936,0)</f>
        <v>0</v>
      </c>
      <c r="R2936" s="64" t="n">
        <f aca="false">IF(AND($Q2936&gt;0,$O2936&gt;=AtRank),$Q2936,0)</f>
        <v>0</v>
      </c>
      <c r="S2936" s="64" t="n">
        <f aca="false">IF(AND($Q2936&gt;0,$O2936&gt;=AboveRank),$Q2936,0)</f>
        <v>0</v>
      </c>
      <c r="T2936" s="64" t="n">
        <f aca="false">IF($K2936="Less",$P2936,0)</f>
        <v>0</v>
      </c>
      <c r="U2936" s="64" t="n">
        <f aca="false">IF($K2936="Expected",$P2936,0)</f>
        <v>0</v>
      </c>
      <c r="V2936" s="64" t="n">
        <f aca="false">IF($K2936="Better",$P2936,0)</f>
        <v>0</v>
      </c>
      <c r="W2936" s="64" t="n">
        <f aca="false">IF($K2936="U – needs rule",$P2936,0)</f>
        <v>0</v>
      </c>
      <c r="X2936" s="64" t="n">
        <f aca="false">IF($K2936="No Start (attainment only)",$P2936,0)</f>
        <v>0</v>
      </c>
    </row>
    <row r="2937" customFormat="false" ht="15" hidden="false" customHeight="false" outlineLevel="0" collapsed="false">
      <c r="A2937" s="60"/>
      <c r="B2937" s="61" t="str">
        <f aca="false">IF($M2937=0,"",INDEX(Classes!$E$6:$E$420,$M2937))</f>
        <v/>
      </c>
      <c r="C2937" s="62" t="str">
        <f aca="false">IF($M2937=0,"",INDEX(Classes!$H$6:$H$420,$M2937))</f>
        <v/>
      </c>
      <c r="D2937" s="61" t="str">
        <f aca="false">IF($M2937=0,"",INDEX(Classes!$B$6:$B$420,$M2937))</f>
        <v/>
      </c>
      <c r="E2937" s="61" t="str">
        <f aca="false">IF($M2937=0,"",INDEX(Classes!$C$6:$C$420,$M2937))</f>
        <v/>
      </c>
      <c r="F2937" s="63"/>
      <c r="G2937" s="63"/>
      <c r="H2937" s="60"/>
      <c r="I2937" s="60"/>
      <c r="J2937" s="63"/>
      <c r="K2937" s="61" t="str">
        <f aca="false">IF($P2937=0,"",IF($F2937="Baseline","— Baseline",IF($O2937=0,"No result",IF($N2937=0,"No Start (attainment only)",IF(OR($N2937=1,$O2937=1),"U – needs rule",INDEX(MxBody,MATCH($I2937,MxCurr,0),MATCH($H2937,MxStart,0)))))))</f>
        <v/>
      </c>
      <c r="L2937" s="62" t="str">
        <f aca="false">IF(COUNTA($A2937,$F2937,$G2937,$H2937,$I2937,$J2937)=0,"",IF($M2937=0,"✖ كود الصف غير موجود",IF(ISNA(MATCH($F2937,Lists!$A$2:$A$5,0)),"✖ الفترة غير صحيحة",IF(ISNA(MATCH($G2937,Lists!$B$2:$B$7,0)),"✖ المجموعة غير صحيحة",IF(NOT(OR($H2937="",$N2937&gt;0)),"✖ Start غير صحيح",IF(NOT(OR($I2937="",$I2937="NR",$O2937&gt;0)),"✖ Current غير صحيح",IF(NOT(IF(ISNUMBER($J2937),AND($J2937&gt;=0,$J2937=INT($J2937)),FALSE())),"✖ العدد يجب أن يكون صحيحًا ≥ 0",IF(AND($F2937="Baseline",$H2937&lt;&gt;""),"⚠ Baseline: Start لا يدخل في التقدم",IF($K2937="No Start (attainment only)","ℹ تحصيل فقط (بدون Start)",IF($K2937="U – needs rule","ℹ حالة U تحتاج قاعدة معتمدة",IF($K2937="No result","ℹ بدون نتيجة (يُستبعد من التحصيل)","OK")))))))))))</f>
        <v/>
      </c>
      <c r="M2937" s="64" t="n">
        <f aca="false">IF($A2937="",0,IFERROR(MATCH($A2937,Classes!$A$6:$A$420,0),0))</f>
        <v>0</v>
      </c>
      <c r="N2937" s="64" t="n">
        <f aca="false">IF($H2937="",0,IFERROR(MATCH($H2937,GradeList,0),0))</f>
        <v>0</v>
      </c>
      <c r="O2937" s="64" t="n">
        <f aca="false">IF(OR($I2937="",$I2937="NR"),0,IFERROR(MATCH($I2937,GradeList,0),0))</f>
        <v>0</v>
      </c>
      <c r="P2937" s="64" t="n">
        <f aca="false">IF(AND($M2937&gt;0,ISNUMBER(MATCH($F2937,Lists!$A$2:$A$5,0)),ISNUMBER(MATCH($G2937,Lists!$B$2:$B$7,0)),OR($H2937="",$N2937&gt;0),OR($I2937="",$I2937="NR",$O2937&gt;0),IF(ISNUMBER($J2937),AND($J2937&gt;=0,$J2937=INT($J2937)),FALSE())),$J2937,0)</f>
        <v>0</v>
      </c>
      <c r="Q2937" s="64" t="n">
        <f aca="false">IF(AND($P2937&gt;0,$O2937&gt;0),$P2937,0)</f>
        <v>0</v>
      </c>
      <c r="R2937" s="64" t="n">
        <f aca="false">IF(AND($Q2937&gt;0,$O2937&gt;=AtRank),$Q2937,0)</f>
        <v>0</v>
      </c>
      <c r="S2937" s="64" t="n">
        <f aca="false">IF(AND($Q2937&gt;0,$O2937&gt;=AboveRank),$Q2937,0)</f>
        <v>0</v>
      </c>
      <c r="T2937" s="64" t="n">
        <f aca="false">IF($K2937="Less",$P2937,0)</f>
        <v>0</v>
      </c>
      <c r="U2937" s="64" t="n">
        <f aca="false">IF($K2937="Expected",$P2937,0)</f>
        <v>0</v>
      </c>
      <c r="V2937" s="64" t="n">
        <f aca="false">IF($K2937="Better",$P2937,0)</f>
        <v>0</v>
      </c>
      <c r="W2937" s="64" t="n">
        <f aca="false">IF($K2937="U – needs rule",$P2937,0)</f>
        <v>0</v>
      </c>
      <c r="X2937" s="64" t="n">
        <f aca="false">IF($K2937="No Start (attainment only)",$P2937,0)</f>
        <v>0</v>
      </c>
    </row>
    <row r="2938" customFormat="false" ht="15" hidden="false" customHeight="false" outlineLevel="0" collapsed="false">
      <c r="A2938" s="60"/>
      <c r="B2938" s="61" t="str">
        <f aca="false">IF($M2938=0,"",INDEX(Classes!$E$6:$E$420,$M2938))</f>
        <v/>
      </c>
      <c r="C2938" s="62" t="str">
        <f aca="false">IF($M2938=0,"",INDEX(Classes!$H$6:$H$420,$M2938))</f>
        <v/>
      </c>
      <c r="D2938" s="61" t="str">
        <f aca="false">IF($M2938=0,"",INDEX(Classes!$B$6:$B$420,$M2938))</f>
        <v/>
      </c>
      <c r="E2938" s="61" t="str">
        <f aca="false">IF($M2938=0,"",INDEX(Classes!$C$6:$C$420,$M2938))</f>
        <v/>
      </c>
      <c r="F2938" s="63"/>
      <c r="G2938" s="63"/>
      <c r="H2938" s="60"/>
      <c r="I2938" s="60"/>
      <c r="J2938" s="63"/>
      <c r="K2938" s="61" t="str">
        <f aca="false">IF($P2938=0,"",IF($F2938="Baseline","— Baseline",IF($O2938=0,"No result",IF($N2938=0,"No Start (attainment only)",IF(OR($N2938=1,$O2938=1),"U – needs rule",INDEX(MxBody,MATCH($I2938,MxCurr,0),MATCH($H2938,MxStart,0)))))))</f>
        <v/>
      </c>
      <c r="L2938" s="62" t="str">
        <f aca="false">IF(COUNTA($A2938,$F2938,$G2938,$H2938,$I2938,$J2938)=0,"",IF($M2938=0,"✖ كود الصف غير موجود",IF(ISNA(MATCH($F2938,Lists!$A$2:$A$5,0)),"✖ الفترة غير صحيحة",IF(ISNA(MATCH($G2938,Lists!$B$2:$B$7,0)),"✖ المجموعة غير صحيحة",IF(NOT(OR($H2938="",$N2938&gt;0)),"✖ Start غير صحيح",IF(NOT(OR($I2938="",$I2938="NR",$O2938&gt;0)),"✖ Current غير صحيح",IF(NOT(IF(ISNUMBER($J2938),AND($J2938&gt;=0,$J2938=INT($J2938)),FALSE())),"✖ العدد يجب أن يكون صحيحًا ≥ 0",IF(AND($F2938="Baseline",$H2938&lt;&gt;""),"⚠ Baseline: Start لا يدخل في التقدم",IF($K2938="No Start (attainment only)","ℹ تحصيل فقط (بدون Start)",IF($K2938="U – needs rule","ℹ حالة U تحتاج قاعدة معتمدة",IF($K2938="No result","ℹ بدون نتيجة (يُستبعد من التحصيل)","OK")))))))))))</f>
        <v/>
      </c>
      <c r="M2938" s="64" t="n">
        <f aca="false">IF($A2938="",0,IFERROR(MATCH($A2938,Classes!$A$6:$A$420,0),0))</f>
        <v>0</v>
      </c>
      <c r="N2938" s="64" t="n">
        <f aca="false">IF($H2938="",0,IFERROR(MATCH($H2938,GradeList,0),0))</f>
        <v>0</v>
      </c>
      <c r="O2938" s="64" t="n">
        <f aca="false">IF(OR($I2938="",$I2938="NR"),0,IFERROR(MATCH($I2938,GradeList,0),0))</f>
        <v>0</v>
      </c>
      <c r="P2938" s="64" t="n">
        <f aca="false">IF(AND($M2938&gt;0,ISNUMBER(MATCH($F2938,Lists!$A$2:$A$5,0)),ISNUMBER(MATCH($G2938,Lists!$B$2:$B$7,0)),OR($H2938="",$N2938&gt;0),OR($I2938="",$I2938="NR",$O2938&gt;0),IF(ISNUMBER($J2938),AND($J2938&gt;=0,$J2938=INT($J2938)),FALSE())),$J2938,0)</f>
        <v>0</v>
      </c>
      <c r="Q2938" s="64" t="n">
        <f aca="false">IF(AND($P2938&gt;0,$O2938&gt;0),$P2938,0)</f>
        <v>0</v>
      </c>
      <c r="R2938" s="64" t="n">
        <f aca="false">IF(AND($Q2938&gt;0,$O2938&gt;=AtRank),$Q2938,0)</f>
        <v>0</v>
      </c>
      <c r="S2938" s="64" t="n">
        <f aca="false">IF(AND($Q2938&gt;0,$O2938&gt;=AboveRank),$Q2938,0)</f>
        <v>0</v>
      </c>
      <c r="T2938" s="64" t="n">
        <f aca="false">IF($K2938="Less",$P2938,0)</f>
        <v>0</v>
      </c>
      <c r="U2938" s="64" t="n">
        <f aca="false">IF($K2938="Expected",$P2938,0)</f>
        <v>0</v>
      </c>
      <c r="V2938" s="64" t="n">
        <f aca="false">IF($K2938="Better",$P2938,0)</f>
        <v>0</v>
      </c>
      <c r="W2938" s="64" t="n">
        <f aca="false">IF($K2938="U – needs rule",$P2938,0)</f>
        <v>0</v>
      </c>
      <c r="X2938" s="64" t="n">
        <f aca="false">IF($K2938="No Start (attainment only)",$P2938,0)</f>
        <v>0</v>
      </c>
    </row>
    <row r="2939" customFormat="false" ht="15" hidden="false" customHeight="false" outlineLevel="0" collapsed="false">
      <c r="A2939" s="60"/>
      <c r="B2939" s="61" t="str">
        <f aca="false">IF($M2939=0,"",INDEX(Classes!$E$6:$E$420,$M2939))</f>
        <v/>
      </c>
      <c r="C2939" s="62" t="str">
        <f aca="false">IF($M2939=0,"",INDEX(Classes!$H$6:$H$420,$M2939))</f>
        <v/>
      </c>
      <c r="D2939" s="61" t="str">
        <f aca="false">IF($M2939=0,"",INDEX(Classes!$B$6:$B$420,$M2939))</f>
        <v/>
      </c>
      <c r="E2939" s="61" t="str">
        <f aca="false">IF($M2939=0,"",INDEX(Classes!$C$6:$C$420,$M2939))</f>
        <v/>
      </c>
      <c r="F2939" s="63"/>
      <c r="G2939" s="63"/>
      <c r="H2939" s="60"/>
      <c r="I2939" s="60"/>
      <c r="J2939" s="63"/>
      <c r="K2939" s="61" t="str">
        <f aca="false">IF($P2939=0,"",IF($F2939="Baseline","— Baseline",IF($O2939=0,"No result",IF($N2939=0,"No Start (attainment only)",IF(OR($N2939=1,$O2939=1),"U – needs rule",INDEX(MxBody,MATCH($I2939,MxCurr,0),MATCH($H2939,MxStart,0)))))))</f>
        <v/>
      </c>
      <c r="L2939" s="62" t="str">
        <f aca="false">IF(COUNTA($A2939,$F2939,$G2939,$H2939,$I2939,$J2939)=0,"",IF($M2939=0,"✖ كود الصف غير موجود",IF(ISNA(MATCH($F2939,Lists!$A$2:$A$5,0)),"✖ الفترة غير صحيحة",IF(ISNA(MATCH($G2939,Lists!$B$2:$B$7,0)),"✖ المجموعة غير صحيحة",IF(NOT(OR($H2939="",$N2939&gt;0)),"✖ Start غير صحيح",IF(NOT(OR($I2939="",$I2939="NR",$O2939&gt;0)),"✖ Current غير صحيح",IF(NOT(IF(ISNUMBER($J2939),AND($J2939&gt;=0,$J2939=INT($J2939)),FALSE())),"✖ العدد يجب أن يكون صحيحًا ≥ 0",IF(AND($F2939="Baseline",$H2939&lt;&gt;""),"⚠ Baseline: Start لا يدخل في التقدم",IF($K2939="No Start (attainment only)","ℹ تحصيل فقط (بدون Start)",IF($K2939="U – needs rule","ℹ حالة U تحتاج قاعدة معتمدة",IF($K2939="No result","ℹ بدون نتيجة (يُستبعد من التحصيل)","OK")))))))))))</f>
        <v/>
      </c>
      <c r="M2939" s="64" t="n">
        <f aca="false">IF($A2939="",0,IFERROR(MATCH($A2939,Classes!$A$6:$A$420,0),0))</f>
        <v>0</v>
      </c>
      <c r="N2939" s="64" t="n">
        <f aca="false">IF($H2939="",0,IFERROR(MATCH($H2939,GradeList,0),0))</f>
        <v>0</v>
      </c>
      <c r="O2939" s="64" t="n">
        <f aca="false">IF(OR($I2939="",$I2939="NR"),0,IFERROR(MATCH($I2939,GradeList,0),0))</f>
        <v>0</v>
      </c>
      <c r="P2939" s="64" t="n">
        <f aca="false">IF(AND($M2939&gt;0,ISNUMBER(MATCH($F2939,Lists!$A$2:$A$5,0)),ISNUMBER(MATCH($G2939,Lists!$B$2:$B$7,0)),OR($H2939="",$N2939&gt;0),OR($I2939="",$I2939="NR",$O2939&gt;0),IF(ISNUMBER($J2939),AND($J2939&gt;=0,$J2939=INT($J2939)),FALSE())),$J2939,0)</f>
        <v>0</v>
      </c>
      <c r="Q2939" s="64" t="n">
        <f aca="false">IF(AND($P2939&gt;0,$O2939&gt;0),$P2939,0)</f>
        <v>0</v>
      </c>
      <c r="R2939" s="64" t="n">
        <f aca="false">IF(AND($Q2939&gt;0,$O2939&gt;=AtRank),$Q2939,0)</f>
        <v>0</v>
      </c>
      <c r="S2939" s="64" t="n">
        <f aca="false">IF(AND($Q2939&gt;0,$O2939&gt;=AboveRank),$Q2939,0)</f>
        <v>0</v>
      </c>
      <c r="T2939" s="64" t="n">
        <f aca="false">IF($K2939="Less",$P2939,0)</f>
        <v>0</v>
      </c>
      <c r="U2939" s="64" t="n">
        <f aca="false">IF($K2939="Expected",$P2939,0)</f>
        <v>0</v>
      </c>
      <c r="V2939" s="64" t="n">
        <f aca="false">IF($K2939="Better",$P2939,0)</f>
        <v>0</v>
      </c>
      <c r="W2939" s="64" t="n">
        <f aca="false">IF($K2939="U – needs rule",$P2939,0)</f>
        <v>0</v>
      </c>
      <c r="X2939" s="64" t="n">
        <f aca="false">IF($K2939="No Start (attainment only)",$P2939,0)</f>
        <v>0</v>
      </c>
    </row>
    <row r="2940" customFormat="false" ht="15" hidden="false" customHeight="false" outlineLevel="0" collapsed="false">
      <c r="A2940" s="60"/>
      <c r="B2940" s="61" t="str">
        <f aca="false">IF($M2940=0,"",INDEX(Classes!$E$6:$E$420,$M2940))</f>
        <v/>
      </c>
      <c r="C2940" s="62" t="str">
        <f aca="false">IF($M2940=0,"",INDEX(Classes!$H$6:$H$420,$M2940))</f>
        <v/>
      </c>
      <c r="D2940" s="61" t="str">
        <f aca="false">IF($M2940=0,"",INDEX(Classes!$B$6:$B$420,$M2940))</f>
        <v/>
      </c>
      <c r="E2940" s="61" t="str">
        <f aca="false">IF($M2940=0,"",INDEX(Classes!$C$6:$C$420,$M2940))</f>
        <v/>
      </c>
      <c r="F2940" s="63"/>
      <c r="G2940" s="63"/>
      <c r="H2940" s="60"/>
      <c r="I2940" s="60"/>
      <c r="J2940" s="63"/>
      <c r="K2940" s="61" t="str">
        <f aca="false">IF($P2940=0,"",IF($F2940="Baseline","— Baseline",IF($O2940=0,"No result",IF($N2940=0,"No Start (attainment only)",IF(OR($N2940=1,$O2940=1),"U – needs rule",INDEX(MxBody,MATCH($I2940,MxCurr,0),MATCH($H2940,MxStart,0)))))))</f>
        <v/>
      </c>
      <c r="L2940" s="62" t="str">
        <f aca="false">IF(COUNTA($A2940,$F2940,$G2940,$H2940,$I2940,$J2940)=0,"",IF($M2940=0,"✖ كود الصف غير موجود",IF(ISNA(MATCH($F2940,Lists!$A$2:$A$5,0)),"✖ الفترة غير صحيحة",IF(ISNA(MATCH($G2940,Lists!$B$2:$B$7,0)),"✖ المجموعة غير صحيحة",IF(NOT(OR($H2940="",$N2940&gt;0)),"✖ Start غير صحيح",IF(NOT(OR($I2940="",$I2940="NR",$O2940&gt;0)),"✖ Current غير صحيح",IF(NOT(IF(ISNUMBER($J2940),AND($J2940&gt;=0,$J2940=INT($J2940)),FALSE())),"✖ العدد يجب أن يكون صحيحًا ≥ 0",IF(AND($F2940="Baseline",$H2940&lt;&gt;""),"⚠ Baseline: Start لا يدخل في التقدم",IF($K2940="No Start (attainment only)","ℹ تحصيل فقط (بدون Start)",IF($K2940="U – needs rule","ℹ حالة U تحتاج قاعدة معتمدة",IF($K2940="No result","ℹ بدون نتيجة (يُستبعد من التحصيل)","OK")))))))))))</f>
        <v/>
      </c>
      <c r="M2940" s="64" t="n">
        <f aca="false">IF($A2940="",0,IFERROR(MATCH($A2940,Classes!$A$6:$A$420,0),0))</f>
        <v>0</v>
      </c>
      <c r="N2940" s="64" t="n">
        <f aca="false">IF($H2940="",0,IFERROR(MATCH($H2940,GradeList,0),0))</f>
        <v>0</v>
      </c>
      <c r="O2940" s="64" t="n">
        <f aca="false">IF(OR($I2940="",$I2940="NR"),0,IFERROR(MATCH($I2940,GradeList,0),0))</f>
        <v>0</v>
      </c>
      <c r="P2940" s="64" t="n">
        <f aca="false">IF(AND($M2940&gt;0,ISNUMBER(MATCH($F2940,Lists!$A$2:$A$5,0)),ISNUMBER(MATCH($G2940,Lists!$B$2:$B$7,0)),OR($H2940="",$N2940&gt;0),OR($I2940="",$I2940="NR",$O2940&gt;0),IF(ISNUMBER($J2940),AND($J2940&gt;=0,$J2940=INT($J2940)),FALSE())),$J2940,0)</f>
        <v>0</v>
      </c>
      <c r="Q2940" s="64" t="n">
        <f aca="false">IF(AND($P2940&gt;0,$O2940&gt;0),$P2940,0)</f>
        <v>0</v>
      </c>
      <c r="R2940" s="64" t="n">
        <f aca="false">IF(AND($Q2940&gt;0,$O2940&gt;=AtRank),$Q2940,0)</f>
        <v>0</v>
      </c>
      <c r="S2940" s="64" t="n">
        <f aca="false">IF(AND($Q2940&gt;0,$O2940&gt;=AboveRank),$Q2940,0)</f>
        <v>0</v>
      </c>
      <c r="T2940" s="64" t="n">
        <f aca="false">IF($K2940="Less",$P2940,0)</f>
        <v>0</v>
      </c>
      <c r="U2940" s="64" t="n">
        <f aca="false">IF($K2940="Expected",$P2940,0)</f>
        <v>0</v>
      </c>
      <c r="V2940" s="64" t="n">
        <f aca="false">IF($K2940="Better",$P2940,0)</f>
        <v>0</v>
      </c>
      <c r="W2940" s="64" t="n">
        <f aca="false">IF($K2940="U – needs rule",$P2940,0)</f>
        <v>0</v>
      </c>
      <c r="X2940" s="64" t="n">
        <f aca="false">IF($K2940="No Start (attainment only)",$P2940,0)</f>
        <v>0</v>
      </c>
    </row>
    <row r="2941" customFormat="false" ht="15" hidden="false" customHeight="false" outlineLevel="0" collapsed="false">
      <c r="A2941" s="60"/>
      <c r="B2941" s="61" t="str">
        <f aca="false">IF($M2941=0,"",INDEX(Classes!$E$6:$E$420,$M2941))</f>
        <v/>
      </c>
      <c r="C2941" s="62" t="str">
        <f aca="false">IF($M2941=0,"",INDEX(Classes!$H$6:$H$420,$M2941))</f>
        <v/>
      </c>
      <c r="D2941" s="61" t="str">
        <f aca="false">IF($M2941=0,"",INDEX(Classes!$B$6:$B$420,$M2941))</f>
        <v/>
      </c>
      <c r="E2941" s="61" t="str">
        <f aca="false">IF($M2941=0,"",INDEX(Classes!$C$6:$C$420,$M2941))</f>
        <v/>
      </c>
      <c r="F2941" s="63"/>
      <c r="G2941" s="63"/>
      <c r="H2941" s="60"/>
      <c r="I2941" s="60"/>
      <c r="J2941" s="63"/>
      <c r="K2941" s="61" t="str">
        <f aca="false">IF($P2941=0,"",IF($F2941="Baseline","— Baseline",IF($O2941=0,"No result",IF($N2941=0,"No Start (attainment only)",IF(OR($N2941=1,$O2941=1),"U – needs rule",INDEX(MxBody,MATCH($I2941,MxCurr,0),MATCH($H2941,MxStart,0)))))))</f>
        <v/>
      </c>
      <c r="L2941" s="62" t="str">
        <f aca="false">IF(COUNTA($A2941,$F2941,$G2941,$H2941,$I2941,$J2941)=0,"",IF($M2941=0,"✖ كود الصف غير موجود",IF(ISNA(MATCH($F2941,Lists!$A$2:$A$5,0)),"✖ الفترة غير صحيحة",IF(ISNA(MATCH($G2941,Lists!$B$2:$B$7,0)),"✖ المجموعة غير صحيحة",IF(NOT(OR($H2941="",$N2941&gt;0)),"✖ Start غير صحيح",IF(NOT(OR($I2941="",$I2941="NR",$O2941&gt;0)),"✖ Current غير صحيح",IF(NOT(IF(ISNUMBER($J2941),AND($J2941&gt;=0,$J2941=INT($J2941)),FALSE())),"✖ العدد يجب أن يكون صحيحًا ≥ 0",IF(AND($F2941="Baseline",$H2941&lt;&gt;""),"⚠ Baseline: Start لا يدخل في التقدم",IF($K2941="No Start (attainment only)","ℹ تحصيل فقط (بدون Start)",IF($K2941="U – needs rule","ℹ حالة U تحتاج قاعدة معتمدة",IF($K2941="No result","ℹ بدون نتيجة (يُستبعد من التحصيل)","OK")))))))))))</f>
        <v/>
      </c>
      <c r="M2941" s="64" t="n">
        <f aca="false">IF($A2941="",0,IFERROR(MATCH($A2941,Classes!$A$6:$A$420,0),0))</f>
        <v>0</v>
      </c>
      <c r="N2941" s="64" t="n">
        <f aca="false">IF($H2941="",0,IFERROR(MATCH($H2941,GradeList,0),0))</f>
        <v>0</v>
      </c>
      <c r="O2941" s="64" t="n">
        <f aca="false">IF(OR($I2941="",$I2941="NR"),0,IFERROR(MATCH($I2941,GradeList,0),0))</f>
        <v>0</v>
      </c>
      <c r="P2941" s="64" t="n">
        <f aca="false">IF(AND($M2941&gt;0,ISNUMBER(MATCH($F2941,Lists!$A$2:$A$5,0)),ISNUMBER(MATCH($G2941,Lists!$B$2:$B$7,0)),OR($H2941="",$N2941&gt;0),OR($I2941="",$I2941="NR",$O2941&gt;0),IF(ISNUMBER($J2941),AND($J2941&gt;=0,$J2941=INT($J2941)),FALSE())),$J2941,0)</f>
        <v>0</v>
      </c>
      <c r="Q2941" s="64" t="n">
        <f aca="false">IF(AND($P2941&gt;0,$O2941&gt;0),$P2941,0)</f>
        <v>0</v>
      </c>
      <c r="R2941" s="64" t="n">
        <f aca="false">IF(AND($Q2941&gt;0,$O2941&gt;=AtRank),$Q2941,0)</f>
        <v>0</v>
      </c>
      <c r="S2941" s="64" t="n">
        <f aca="false">IF(AND($Q2941&gt;0,$O2941&gt;=AboveRank),$Q2941,0)</f>
        <v>0</v>
      </c>
      <c r="T2941" s="64" t="n">
        <f aca="false">IF($K2941="Less",$P2941,0)</f>
        <v>0</v>
      </c>
      <c r="U2941" s="64" t="n">
        <f aca="false">IF($K2941="Expected",$P2941,0)</f>
        <v>0</v>
      </c>
      <c r="V2941" s="64" t="n">
        <f aca="false">IF($K2941="Better",$P2941,0)</f>
        <v>0</v>
      </c>
      <c r="W2941" s="64" t="n">
        <f aca="false">IF($K2941="U – needs rule",$P2941,0)</f>
        <v>0</v>
      </c>
      <c r="X2941" s="64" t="n">
        <f aca="false">IF($K2941="No Start (attainment only)",$P2941,0)</f>
        <v>0</v>
      </c>
    </row>
    <row r="2942" customFormat="false" ht="15" hidden="false" customHeight="false" outlineLevel="0" collapsed="false">
      <c r="A2942" s="60"/>
      <c r="B2942" s="61" t="str">
        <f aca="false">IF($M2942=0,"",INDEX(Classes!$E$6:$E$420,$M2942))</f>
        <v/>
      </c>
      <c r="C2942" s="62" t="str">
        <f aca="false">IF($M2942=0,"",INDEX(Classes!$H$6:$H$420,$M2942))</f>
        <v/>
      </c>
      <c r="D2942" s="61" t="str">
        <f aca="false">IF($M2942=0,"",INDEX(Classes!$B$6:$B$420,$M2942))</f>
        <v/>
      </c>
      <c r="E2942" s="61" t="str">
        <f aca="false">IF($M2942=0,"",INDEX(Classes!$C$6:$C$420,$M2942))</f>
        <v/>
      </c>
      <c r="F2942" s="63"/>
      <c r="G2942" s="63"/>
      <c r="H2942" s="60"/>
      <c r="I2942" s="60"/>
      <c r="J2942" s="63"/>
      <c r="K2942" s="61" t="str">
        <f aca="false">IF($P2942=0,"",IF($F2942="Baseline","— Baseline",IF($O2942=0,"No result",IF($N2942=0,"No Start (attainment only)",IF(OR($N2942=1,$O2942=1),"U – needs rule",INDEX(MxBody,MATCH($I2942,MxCurr,0),MATCH($H2942,MxStart,0)))))))</f>
        <v/>
      </c>
      <c r="L2942" s="62" t="str">
        <f aca="false">IF(COUNTA($A2942,$F2942,$G2942,$H2942,$I2942,$J2942)=0,"",IF($M2942=0,"✖ كود الصف غير موجود",IF(ISNA(MATCH($F2942,Lists!$A$2:$A$5,0)),"✖ الفترة غير صحيحة",IF(ISNA(MATCH($G2942,Lists!$B$2:$B$7,0)),"✖ المجموعة غير صحيحة",IF(NOT(OR($H2942="",$N2942&gt;0)),"✖ Start غير صحيح",IF(NOT(OR($I2942="",$I2942="NR",$O2942&gt;0)),"✖ Current غير صحيح",IF(NOT(IF(ISNUMBER($J2942),AND($J2942&gt;=0,$J2942=INT($J2942)),FALSE())),"✖ العدد يجب أن يكون صحيحًا ≥ 0",IF(AND($F2942="Baseline",$H2942&lt;&gt;""),"⚠ Baseline: Start لا يدخل في التقدم",IF($K2942="No Start (attainment only)","ℹ تحصيل فقط (بدون Start)",IF($K2942="U – needs rule","ℹ حالة U تحتاج قاعدة معتمدة",IF($K2942="No result","ℹ بدون نتيجة (يُستبعد من التحصيل)","OK")))))))))))</f>
        <v/>
      </c>
      <c r="M2942" s="64" t="n">
        <f aca="false">IF($A2942="",0,IFERROR(MATCH($A2942,Classes!$A$6:$A$420,0),0))</f>
        <v>0</v>
      </c>
      <c r="N2942" s="64" t="n">
        <f aca="false">IF($H2942="",0,IFERROR(MATCH($H2942,GradeList,0),0))</f>
        <v>0</v>
      </c>
      <c r="O2942" s="64" t="n">
        <f aca="false">IF(OR($I2942="",$I2942="NR"),0,IFERROR(MATCH($I2942,GradeList,0),0))</f>
        <v>0</v>
      </c>
      <c r="P2942" s="64" t="n">
        <f aca="false">IF(AND($M2942&gt;0,ISNUMBER(MATCH($F2942,Lists!$A$2:$A$5,0)),ISNUMBER(MATCH($G2942,Lists!$B$2:$B$7,0)),OR($H2942="",$N2942&gt;0),OR($I2942="",$I2942="NR",$O2942&gt;0),IF(ISNUMBER($J2942),AND($J2942&gt;=0,$J2942=INT($J2942)),FALSE())),$J2942,0)</f>
        <v>0</v>
      </c>
      <c r="Q2942" s="64" t="n">
        <f aca="false">IF(AND($P2942&gt;0,$O2942&gt;0),$P2942,0)</f>
        <v>0</v>
      </c>
      <c r="R2942" s="64" t="n">
        <f aca="false">IF(AND($Q2942&gt;0,$O2942&gt;=AtRank),$Q2942,0)</f>
        <v>0</v>
      </c>
      <c r="S2942" s="64" t="n">
        <f aca="false">IF(AND($Q2942&gt;0,$O2942&gt;=AboveRank),$Q2942,0)</f>
        <v>0</v>
      </c>
      <c r="T2942" s="64" t="n">
        <f aca="false">IF($K2942="Less",$P2942,0)</f>
        <v>0</v>
      </c>
      <c r="U2942" s="64" t="n">
        <f aca="false">IF($K2942="Expected",$P2942,0)</f>
        <v>0</v>
      </c>
      <c r="V2942" s="64" t="n">
        <f aca="false">IF($K2942="Better",$P2942,0)</f>
        <v>0</v>
      </c>
      <c r="W2942" s="64" t="n">
        <f aca="false">IF($K2942="U – needs rule",$P2942,0)</f>
        <v>0</v>
      </c>
      <c r="X2942" s="64" t="n">
        <f aca="false">IF($K2942="No Start (attainment only)",$P2942,0)</f>
        <v>0</v>
      </c>
    </row>
    <row r="2943" customFormat="false" ht="15" hidden="false" customHeight="false" outlineLevel="0" collapsed="false">
      <c r="A2943" s="60"/>
      <c r="B2943" s="61" t="str">
        <f aca="false">IF($M2943=0,"",INDEX(Classes!$E$6:$E$420,$M2943))</f>
        <v/>
      </c>
      <c r="C2943" s="62" t="str">
        <f aca="false">IF($M2943=0,"",INDEX(Classes!$H$6:$H$420,$M2943))</f>
        <v/>
      </c>
      <c r="D2943" s="61" t="str">
        <f aca="false">IF($M2943=0,"",INDEX(Classes!$B$6:$B$420,$M2943))</f>
        <v/>
      </c>
      <c r="E2943" s="61" t="str">
        <f aca="false">IF($M2943=0,"",INDEX(Classes!$C$6:$C$420,$M2943))</f>
        <v/>
      </c>
      <c r="F2943" s="63"/>
      <c r="G2943" s="63"/>
      <c r="H2943" s="60"/>
      <c r="I2943" s="60"/>
      <c r="J2943" s="63"/>
      <c r="K2943" s="61" t="str">
        <f aca="false">IF($P2943=0,"",IF($F2943="Baseline","— Baseline",IF($O2943=0,"No result",IF($N2943=0,"No Start (attainment only)",IF(OR($N2943=1,$O2943=1),"U – needs rule",INDEX(MxBody,MATCH($I2943,MxCurr,0),MATCH($H2943,MxStart,0)))))))</f>
        <v/>
      </c>
      <c r="L2943" s="62" t="str">
        <f aca="false">IF(COUNTA($A2943,$F2943,$G2943,$H2943,$I2943,$J2943)=0,"",IF($M2943=0,"✖ كود الصف غير موجود",IF(ISNA(MATCH($F2943,Lists!$A$2:$A$5,0)),"✖ الفترة غير صحيحة",IF(ISNA(MATCH($G2943,Lists!$B$2:$B$7,0)),"✖ المجموعة غير صحيحة",IF(NOT(OR($H2943="",$N2943&gt;0)),"✖ Start غير صحيح",IF(NOT(OR($I2943="",$I2943="NR",$O2943&gt;0)),"✖ Current غير صحيح",IF(NOT(IF(ISNUMBER($J2943),AND($J2943&gt;=0,$J2943=INT($J2943)),FALSE())),"✖ العدد يجب أن يكون صحيحًا ≥ 0",IF(AND($F2943="Baseline",$H2943&lt;&gt;""),"⚠ Baseline: Start لا يدخل في التقدم",IF($K2943="No Start (attainment only)","ℹ تحصيل فقط (بدون Start)",IF($K2943="U – needs rule","ℹ حالة U تحتاج قاعدة معتمدة",IF($K2943="No result","ℹ بدون نتيجة (يُستبعد من التحصيل)","OK")))))))))))</f>
        <v/>
      </c>
      <c r="M2943" s="64" t="n">
        <f aca="false">IF($A2943="",0,IFERROR(MATCH($A2943,Classes!$A$6:$A$420,0),0))</f>
        <v>0</v>
      </c>
      <c r="N2943" s="64" t="n">
        <f aca="false">IF($H2943="",0,IFERROR(MATCH($H2943,GradeList,0),0))</f>
        <v>0</v>
      </c>
      <c r="O2943" s="64" t="n">
        <f aca="false">IF(OR($I2943="",$I2943="NR"),0,IFERROR(MATCH($I2943,GradeList,0),0))</f>
        <v>0</v>
      </c>
      <c r="P2943" s="64" t="n">
        <f aca="false">IF(AND($M2943&gt;0,ISNUMBER(MATCH($F2943,Lists!$A$2:$A$5,0)),ISNUMBER(MATCH($G2943,Lists!$B$2:$B$7,0)),OR($H2943="",$N2943&gt;0),OR($I2943="",$I2943="NR",$O2943&gt;0),IF(ISNUMBER($J2943),AND($J2943&gt;=0,$J2943=INT($J2943)),FALSE())),$J2943,0)</f>
        <v>0</v>
      </c>
      <c r="Q2943" s="64" t="n">
        <f aca="false">IF(AND($P2943&gt;0,$O2943&gt;0),$P2943,0)</f>
        <v>0</v>
      </c>
      <c r="R2943" s="64" t="n">
        <f aca="false">IF(AND($Q2943&gt;0,$O2943&gt;=AtRank),$Q2943,0)</f>
        <v>0</v>
      </c>
      <c r="S2943" s="64" t="n">
        <f aca="false">IF(AND($Q2943&gt;0,$O2943&gt;=AboveRank),$Q2943,0)</f>
        <v>0</v>
      </c>
      <c r="T2943" s="64" t="n">
        <f aca="false">IF($K2943="Less",$P2943,0)</f>
        <v>0</v>
      </c>
      <c r="U2943" s="64" t="n">
        <f aca="false">IF($K2943="Expected",$P2943,0)</f>
        <v>0</v>
      </c>
      <c r="V2943" s="64" t="n">
        <f aca="false">IF($K2943="Better",$P2943,0)</f>
        <v>0</v>
      </c>
      <c r="W2943" s="64" t="n">
        <f aca="false">IF($K2943="U – needs rule",$P2943,0)</f>
        <v>0</v>
      </c>
      <c r="X2943" s="64" t="n">
        <f aca="false">IF($K2943="No Start (attainment only)",$P2943,0)</f>
        <v>0</v>
      </c>
    </row>
    <row r="2944" customFormat="false" ht="15" hidden="false" customHeight="false" outlineLevel="0" collapsed="false">
      <c r="A2944" s="60"/>
      <c r="B2944" s="61" t="str">
        <f aca="false">IF($M2944=0,"",INDEX(Classes!$E$6:$E$420,$M2944))</f>
        <v/>
      </c>
      <c r="C2944" s="62" t="str">
        <f aca="false">IF($M2944=0,"",INDEX(Classes!$H$6:$H$420,$M2944))</f>
        <v/>
      </c>
      <c r="D2944" s="61" t="str">
        <f aca="false">IF($M2944=0,"",INDEX(Classes!$B$6:$B$420,$M2944))</f>
        <v/>
      </c>
      <c r="E2944" s="61" t="str">
        <f aca="false">IF($M2944=0,"",INDEX(Classes!$C$6:$C$420,$M2944))</f>
        <v/>
      </c>
      <c r="F2944" s="63"/>
      <c r="G2944" s="63"/>
      <c r="H2944" s="60"/>
      <c r="I2944" s="60"/>
      <c r="J2944" s="63"/>
      <c r="K2944" s="61" t="str">
        <f aca="false">IF($P2944=0,"",IF($F2944="Baseline","— Baseline",IF($O2944=0,"No result",IF($N2944=0,"No Start (attainment only)",IF(OR($N2944=1,$O2944=1),"U – needs rule",INDEX(MxBody,MATCH($I2944,MxCurr,0),MATCH($H2944,MxStart,0)))))))</f>
        <v/>
      </c>
      <c r="L2944" s="62" t="str">
        <f aca="false">IF(COUNTA($A2944,$F2944,$G2944,$H2944,$I2944,$J2944)=0,"",IF($M2944=0,"✖ كود الصف غير موجود",IF(ISNA(MATCH($F2944,Lists!$A$2:$A$5,0)),"✖ الفترة غير صحيحة",IF(ISNA(MATCH($G2944,Lists!$B$2:$B$7,0)),"✖ المجموعة غير صحيحة",IF(NOT(OR($H2944="",$N2944&gt;0)),"✖ Start غير صحيح",IF(NOT(OR($I2944="",$I2944="NR",$O2944&gt;0)),"✖ Current غير صحيح",IF(NOT(IF(ISNUMBER($J2944),AND($J2944&gt;=0,$J2944=INT($J2944)),FALSE())),"✖ العدد يجب أن يكون صحيحًا ≥ 0",IF(AND($F2944="Baseline",$H2944&lt;&gt;""),"⚠ Baseline: Start لا يدخل في التقدم",IF($K2944="No Start (attainment only)","ℹ تحصيل فقط (بدون Start)",IF($K2944="U – needs rule","ℹ حالة U تحتاج قاعدة معتمدة",IF($K2944="No result","ℹ بدون نتيجة (يُستبعد من التحصيل)","OK")))))))))))</f>
        <v/>
      </c>
      <c r="M2944" s="64" t="n">
        <f aca="false">IF($A2944="",0,IFERROR(MATCH($A2944,Classes!$A$6:$A$420,0),0))</f>
        <v>0</v>
      </c>
      <c r="N2944" s="64" t="n">
        <f aca="false">IF($H2944="",0,IFERROR(MATCH($H2944,GradeList,0),0))</f>
        <v>0</v>
      </c>
      <c r="O2944" s="64" t="n">
        <f aca="false">IF(OR($I2944="",$I2944="NR"),0,IFERROR(MATCH($I2944,GradeList,0),0))</f>
        <v>0</v>
      </c>
      <c r="P2944" s="64" t="n">
        <f aca="false">IF(AND($M2944&gt;0,ISNUMBER(MATCH($F2944,Lists!$A$2:$A$5,0)),ISNUMBER(MATCH($G2944,Lists!$B$2:$B$7,0)),OR($H2944="",$N2944&gt;0),OR($I2944="",$I2944="NR",$O2944&gt;0),IF(ISNUMBER($J2944),AND($J2944&gt;=0,$J2944=INT($J2944)),FALSE())),$J2944,0)</f>
        <v>0</v>
      </c>
      <c r="Q2944" s="64" t="n">
        <f aca="false">IF(AND($P2944&gt;0,$O2944&gt;0),$P2944,0)</f>
        <v>0</v>
      </c>
      <c r="R2944" s="64" t="n">
        <f aca="false">IF(AND($Q2944&gt;0,$O2944&gt;=AtRank),$Q2944,0)</f>
        <v>0</v>
      </c>
      <c r="S2944" s="64" t="n">
        <f aca="false">IF(AND($Q2944&gt;0,$O2944&gt;=AboveRank),$Q2944,0)</f>
        <v>0</v>
      </c>
      <c r="T2944" s="64" t="n">
        <f aca="false">IF($K2944="Less",$P2944,0)</f>
        <v>0</v>
      </c>
      <c r="U2944" s="64" t="n">
        <f aca="false">IF($K2944="Expected",$P2944,0)</f>
        <v>0</v>
      </c>
      <c r="V2944" s="64" t="n">
        <f aca="false">IF($K2944="Better",$P2944,0)</f>
        <v>0</v>
      </c>
      <c r="W2944" s="64" t="n">
        <f aca="false">IF($K2944="U – needs rule",$P2944,0)</f>
        <v>0</v>
      </c>
      <c r="X2944" s="64" t="n">
        <f aca="false">IF($K2944="No Start (attainment only)",$P2944,0)</f>
        <v>0</v>
      </c>
    </row>
    <row r="2945" customFormat="false" ht="15" hidden="false" customHeight="false" outlineLevel="0" collapsed="false">
      <c r="A2945" s="60"/>
      <c r="B2945" s="61" t="str">
        <f aca="false">IF($M2945=0,"",INDEX(Classes!$E$6:$E$420,$M2945))</f>
        <v/>
      </c>
      <c r="C2945" s="62" t="str">
        <f aca="false">IF($M2945=0,"",INDEX(Classes!$H$6:$H$420,$M2945))</f>
        <v/>
      </c>
      <c r="D2945" s="61" t="str">
        <f aca="false">IF($M2945=0,"",INDEX(Classes!$B$6:$B$420,$M2945))</f>
        <v/>
      </c>
      <c r="E2945" s="61" t="str">
        <f aca="false">IF($M2945=0,"",INDEX(Classes!$C$6:$C$420,$M2945))</f>
        <v/>
      </c>
      <c r="F2945" s="63"/>
      <c r="G2945" s="63"/>
      <c r="H2945" s="60"/>
      <c r="I2945" s="60"/>
      <c r="J2945" s="63"/>
      <c r="K2945" s="61" t="str">
        <f aca="false">IF($P2945=0,"",IF($F2945="Baseline","— Baseline",IF($O2945=0,"No result",IF($N2945=0,"No Start (attainment only)",IF(OR($N2945=1,$O2945=1),"U – needs rule",INDEX(MxBody,MATCH($I2945,MxCurr,0),MATCH($H2945,MxStart,0)))))))</f>
        <v/>
      </c>
      <c r="L2945" s="62" t="str">
        <f aca="false">IF(COUNTA($A2945,$F2945,$G2945,$H2945,$I2945,$J2945)=0,"",IF($M2945=0,"✖ كود الصف غير موجود",IF(ISNA(MATCH($F2945,Lists!$A$2:$A$5,0)),"✖ الفترة غير صحيحة",IF(ISNA(MATCH($G2945,Lists!$B$2:$B$7,0)),"✖ المجموعة غير صحيحة",IF(NOT(OR($H2945="",$N2945&gt;0)),"✖ Start غير صحيح",IF(NOT(OR($I2945="",$I2945="NR",$O2945&gt;0)),"✖ Current غير صحيح",IF(NOT(IF(ISNUMBER($J2945),AND($J2945&gt;=0,$J2945=INT($J2945)),FALSE())),"✖ العدد يجب أن يكون صحيحًا ≥ 0",IF(AND($F2945="Baseline",$H2945&lt;&gt;""),"⚠ Baseline: Start لا يدخل في التقدم",IF($K2945="No Start (attainment only)","ℹ تحصيل فقط (بدون Start)",IF($K2945="U – needs rule","ℹ حالة U تحتاج قاعدة معتمدة",IF($K2945="No result","ℹ بدون نتيجة (يُستبعد من التحصيل)","OK")))))))))))</f>
        <v/>
      </c>
      <c r="M2945" s="64" t="n">
        <f aca="false">IF($A2945="",0,IFERROR(MATCH($A2945,Classes!$A$6:$A$420,0),0))</f>
        <v>0</v>
      </c>
      <c r="N2945" s="64" t="n">
        <f aca="false">IF($H2945="",0,IFERROR(MATCH($H2945,GradeList,0),0))</f>
        <v>0</v>
      </c>
      <c r="O2945" s="64" t="n">
        <f aca="false">IF(OR($I2945="",$I2945="NR"),0,IFERROR(MATCH($I2945,GradeList,0),0))</f>
        <v>0</v>
      </c>
      <c r="P2945" s="64" t="n">
        <f aca="false">IF(AND($M2945&gt;0,ISNUMBER(MATCH($F2945,Lists!$A$2:$A$5,0)),ISNUMBER(MATCH($G2945,Lists!$B$2:$B$7,0)),OR($H2945="",$N2945&gt;0),OR($I2945="",$I2945="NR",$O2945&gt;0),IF(ISNUMBER($J2945),AND($J2945&gt;=0,$J2945=INT($J2945)),FALSE())),$J2945,0)</f>
        <v>0</v>
      </c>
      <c r="Q2945" s="64" t="n">
        <f aca="false">IF(AND($P2945&gt;0,$O2945&gt;0),$P2945,0)</f>
        <v>0</v>
      </c>
      <c r="R2945" s="64" t="n">
        <f aca="false">IF(AND($Q2945&gt;0,$O2945&gt;=AtRank),$Q2945,0)</f>
        <v>0</v>
      </c>
      <c r="S2945" s="64" t="n">
        <f aca="false">IF(AND($Q2945&gt;0,$O2945&gt;=AboveRank),$Q2945,0)</f>
        <v>0</v>
      </c>
      <c r="T2945" s="64" t="n">
        <f aca="false">IF($K2945="Less",$P2945,0)</f>
        <v>0</v>
      </c>
      <c r="U2945" s="64" t="n">
        <f aca="false">IF($K2945="Expected",$P2945,0)</f>
        <v>0</v>
      </c>
      <c r="V2945" s="64" t="n">
        <f aca="false">IF($K2945="Better",$P2945,0)</f>
        <v>0</v>
      </c>
      <c r="W2945" s="64" t="n">
        <f aca="false">IF($K2945="U – needs rule",$P2945,0)</f>
        <v>0</v>
      </c>
      <c r="X2945" s="64" t="n">
        <f aca="false">IF($K2945="No Start (attainment only)",$P2945,0)</f>
        <v>0</v>
      </c>
    </row>
    <row r="2946" customFormat="false" ht="15" hidden="false" customHeight="false" outlineLevel="0" collapsed="false">
      <c r="A2946" s="60"/>
      <c r="B2946" s="61" t="str">
        <f aca="false">IF($M2946=0,"",INDEX(Classes!$E$6:$E$420,$M2946))</f>
        <v/>
      </c>
      <c r="C2946" s="62" t="str">
        <f aca="false">IF($M2946=0,"",INDEX(Classes!$H$6:$H$420,$M2946))</f>
        <v/>
      </c>
      <c r="D2946" s="61" t="str">
        <f aca="false">IF($M2946=0,"",INDEX(Classes!$B$6:$B$420,$M2946))</f>
        <v/>
      </c>
      <c r="E2946" s="61" t="str">
        <f aca="false">IF($M2946=0,"",INDEX(Classes!$C$6:$C$420,$M2946))</f>
        <v/>
      </c>
      <c r="F2946" s="63"/>
      <c r="G2946" s="63"/>
      <c r="H2946" s="60"/>
      <c r="I2946" s="60"/>
      <c r="J2946" s="63"/>
      <c r="K2946" s="61" t="str">
        <f aca="false">IF($P2946=0,"",IF($F2946="Baseline","— Baseline",IF($O2946=0,"No result",IF($N2946=0,"No Start (attainment only)",IF(OR($N2946=1,$O2946=1),"U – needs rule",INDEX(MxBody,MATCH($I2946,MxCurr,0),MATCH($H2946,MxStart,0)))))))</f>
        <v/>
      </c>
      <c r="L2946" s="62" t="str">
        <f aca="false">IF(COUNTA($A2946,$F2946,$G2946,$H2946,$I2946,$J2946)=0,"",IF($M2946=0,"✖ كود الصف غير موجود",IF(ISNA(MATCH($F2946,Lists!$A$2:$A$5,0)),"✖ الفترة غير صحيحة",IF(ISNA(MATCH($G2946,Lists!$B$2:$B$7,0)),"✖ المجموعة غير صحيحة",IF(NOT(OR($H2946="",$N2946&gt;0)),"✖ Start غير صحيح",IF(NOT(OR($I2946="",$I2946="NR",$O2946&gt;0)),"✖ Current غير صحيح",IF(NOT(IF(ISNUMBER($J2946),AND($J2946&gt;=0,$J2946=INT($J2946)),FALSE())),"✖ العدد يجب أن يكون صحيحًا ≥ 0",IF(AND($F2946="Baseline",$H2946&lt;&gt;""),"⚠ Baseline: Start لا يدخل في التقدم",IF($K2946="No Start (attainment only)","ℹ تحصيل فقط (بدون Start)",IF($K2946="U – needs rule","ℹ حالة U تحتاج قاعدة معتمدة",IF($K2946="No result","ℹ بدون نتيجة (يُستبعد من التحصيل)","OK")))))))))))</f>
        <v/>
      </c>
      <c r="M2946" s="64" t="n">
        <f aca="false">IF($A2946="",0,IFERROR(MATCH($A2946,Classes!$A$6:$A$420,0),0))</f>
        <v>0</v>
      </c>
      <c r="N2946" s="64" t="n">
        <f aca="false">IF($H2946="",0,IFERROR(MATCH($H2946,GradeList,0),0))</f>
        <v>0</v>
      </c>
      <c r="O2946" s="64" t="n">
        <f aca="false">IF(OR($I2946="",$I2946="NR"),0,IFERROR(MATCH($I2946,GradeList,0),0))</f>
        <v>0</v>
      </c>
      <c r="P2946" s="64" t="n">
        <f aca="false">IF(AND($M2946&gt;0,ISNUMBER(MATCH($F2946,Lists!$A$2:$A$5,0)),ISNUMBER(MATCH($G2946,Lists!$B$2:$B$7,0)),OR($H2946="",$N2946&gt;0),OR($I2946="",$I2946="NR",$O2946&gt;0),IF(ISNUMBER($J2946),AND($J2946&gt;=0,$J2946=INT($J2946)),FALSE())),$J2946,0)</f>
        <v>0</v>
      </c>
      <c r="Q2946" s="64" t="n">
        <f aca="false">IF(AND($P2946&gt;0,$O2946&gt;0),$P2946,0)</f>
        <v>0</v>
      </c>
      <c r="R2946" s="64" t="n">
        <f aca="false">IF(AND($Q2946&gt;0,$O2946&gt;=AtRank),$Q2946,0)</f>
        <v>0</v>
      </c>
      <c r="S2946" s="64" t="n">
        <f aca="false">IF(AND($Q2946&gt;0,$O2946&gt;=AboveRank),$Q2946,0)</f>
        <v>0</v>
      </c>
      <c r="T2946" s="64" t="n">
        <f aca="false">IF($K2946="Less",$P2946,0)</f>
        <v>0</v>
      </c>
      <c r="U2946" s="64" t="n">
        <f aca="false">IF($K2946="Expected",$P2946,0)</f>
        <v>0</v>
      </c>
      <c r="V2946" s="64" t="n">
        <f aca="false">IF($K2946="Better",$P2946,0)</f>
        <v>0</v>
      </c>
      <c r="W2946" s="64" t="n">
        <f aca="false">IF($K2946="U – needs rule",$P2946,0)</f>
        <v>0</v>
      </c>
      <c r="X2946" s="64" t="n">
        <f aca="false">IF($K2946="No Start (attainment only)",$P2946,0)</f>
        <v>0</v>
      </c>
    </row>
    <row r="2947" customFormat="false" ht="15" hidden="false" customHeight="false" outlineLevel="0" collapsed="false">
      <c r="A2947" s="60"/>
      <c r="B2947" s="61" t="str">
        <f aca="false">IF($M2947=0,"",INDEX(Classes!$E$6:$E$420,$M2947))</f>
        <v/>
      </c>
      <c r="C2947" s="62" t="str">
        <f aca="false">IF($M2947=0,"",INDEX(Classes!$H$6:$H$420,$M2947))</f>
        <v/>
      </c>
      <c r="D2947" s="61" t="str">
        <f aca="false">IF($M2947=0,"",INDEX(Classes!$B$6:$B$420,$M2947))</f>
        <v/>
      </c>
      <c r="E2947" s="61" t="str">
        <f aca="false">IF($M2947=0,"",INDEX(Classes!$C$6:$C$420,$M2947))</f>
        <v/>
      </c>
      <c r="F2947" s="63"/>
      <c r="G2947" s="63"/>
      <c r="H2947" s="60"/>
      <c r="I2947" s="60"/>
      <c r="J2947" s="63"/>
      <c r="K2947" s="61" t="str">
        <f aca="false">IF($P2947=0,"",IF($F2947="Baseline","— Baseline",IF($O2947=0,"No result",IF($N2947=0,"No Start (attainment only)",IF(OR($N2947=1,$O2947=1),"U – needs rule",INDEX(MxBody,MATCH($I2947,MxCurr,0),MATCH($H2947,MxStart,0)))))))</f>
        <v/>
      </c>
      <c r="L2947" s="62" t="str">
        <f aca="false">IF(COUNTA($A2947,$F2947,$G2947,$H2947,$I2947,$J2947)=0,"",IF($M2947=0,"✖ كود الصف غير موجود",IF(ISNA(MATCH($F2947,Lists!$A$2:$A$5,0)),"✖ الفترة غير صحيحة",IF(ISNA(MATCH($G2947,Lists!$B$2:$B$7,0)),"✖ المجموعة غير صحيحة",IF(NOT(OR($H2947="",$N2947&gt;0)),"✖ Start غير صحيح",IF(NOT(OR($I2947="",$I2947="NR",$O2947&gt;0)),"✖ Current غير صحيح",IF(NOT(IF(ISNUMBER($J2947),AND($J2947&gt;=0,$J2947=INT($J2947)),FALSE())),"✖ العدد يجب أن يكون صحيحًا ≥ 0",IF(AND($F2947="Baseline",$H2947&lt;&gt;""),"⚠ Baseline: Start لا يدخل في التقدم",IF($K2947="No Start (attainment only)","ℹ تحصيل فقط (بدون Start)",IF($K2947="U – needs rule","ℹ حالة U تحتاج قاعدة معتمدة",IF($K2947="No result","ℹ بدون نتيجة (يُستبعد من التحصيل)","OK")))))))))))</f>
        <v/>
      </c>
      <c r="M2947" s="64" t="n">
        <f aca="false">IF($A2947="",0,IFERROR(MATCH($A2947,Classes!$A$6:$A$420,0),0))</f>
        <v>0</v>
      </c>
      <c r="N2947" s="64" t="n">
        <f aca="false">IF($H2947="",0,IFERROR(MATCH($H2947,GradeList,0),0))</f>
        <v>0</v>
      </c>
      <c r="O2947" s="64" t="n">
        <f aca="false">IF(OR($I2947="",$I2947="NR"),0,IFERROR(MATCH($I2947,GradeList,0),0))</f>
        <v>0</v>
      </c>
      <c r="P2947" s="64" t="n">
        <f aca="false">IF(AND($M2947&gt;0,ISNUMBER(MATCH($F2947,Lists!$A$2:$A$5,0)),ISNUMBER(MATCH($G2947,Lists!$B$2:$B$7,0)),OR($H2947="",$N2947&gt;0),OR($I2947="",$I2947="NR",$O2947&gt;0),IF(ISNUMBER($J2947),AND($J2947&gt;=0,$J2947=INT($J2947)),FALSE())),$J2947,0)</f>
        <v>0</v>
      </c>
      <c r="Q2947" s="64" t="n">
        <f aca="false">IF(AND($P2947&gt;0,$O2947&gt;0),$P2947,0)</f>
        <v>0</v>
      </c>
      <c r="R2947" s="64" t="n">
        <f aca="false">IF(AND($Q2947&gt;0,$O2947&gt;=AtRank),$Q2947,0)</f>
        <v>0</v>
      </c>
      <c r="S2947" s="64" t="n">
        <f aca="false">IF(AND($Q2947&gt;0,$O2947&gt;=AboveRank),$Q2947,0)</f>
        <v>0</v>
      </c>
      <c r="T2947" s="64" t="n">
        <f aca="false">IF($K2947="Less",$P2947,0)</f>
        <v>0</v>
      </c>
      <c r="U2947" s="64" t="n">
        <f aca="false">IF($K2947="Expected",$P2947,0)</f>
        <v>0</v>
      </c>
      <c r="V2947" s="64" t="n">
        <f aca="false">IF($K2947="Better",$P2947,0)</f>
        <v>0</v>
      </c>
      <c r="W2947" s="64" t="n">
        <f aca="false">IF($K2947="U – needs rule",$P2947,0)</f>
        <v>0</v>
      </c>
      <c r="X2947" s="64" t="n">
        <f aca="false">IF($K2947="No Start (attainment only)",$P2947,0)</f>
        <v>0</v>
      </c>
    </row>
    <row r="2948" customFormat="false" ht="15" hidden="false" customHeight="false" outlineLevel="0" collapsed="false">
      <c r="A2948" s="60"/>
      <c r="B2948" s="61" t="str">
        <f aca="false">IF($M2948=0,"",INDEX(Classes!$E$6:$E$420,$M2948))</f>
        <v/>
      </c>
      <c r="C2948" s="62" t="str">
        <f aca="false">IF($M2948=0,"",INDEX(Classes!$H$6:$H$420,$M2948))</f>
        <v/>
      </c>
      <c r="D2948" s="61" t="str">
        <f aca="false">IF($M2948=0,"",INDEX(Classes!$B$6:$B$420,$M2948))</f>
        <v/>
      </c>
      <c r="E2948" s="61" t="str">
        <f aca="false">IF($M2948=0,"",INDEX(Classes!$C$6:$C$420,$M2948))</f>
        <v/>
      </c>
      <c r="F2948" s="63"/>
      <c r="G2948" s="63"/>
      <c r="H2948" s="60"/>
      <c r="I2948" s="60"/>
      <c r="J2948" s="63"/>
      <c r="K2948" s="61" t="str">
        <f aca="false">IF($P2948=0,"",IF($F2948="Baseline","— Baseline",IF($O2948=0,"No result",IF($N2948=0,"No Start (attainment only)",IF(OR($N2948=1,$O2948=1),"U – needs rule",INDEX(MxBody,MATCH($I2948,MxCurr,0),MATCH($H2948,MxStart,0)))))))</f>
        <v/>
      </c>
      <c r="L2948" s="62" t="str">
        <f aca="false">IF(COUNTA($A2948,$F2948,$G2948,$H2948,$I2948,$J2948)=0,"",IF($M2948=0,"✖ كود الصف غير موجود",IF(ISNA(MATCH($F2948,Lists!$A$2:$A$5,0)),"✖ الفترة غير صحيحة",IF(ISNA(MATCH($G2948,Lists!$B$2:$B$7,0)),"✖ المجموعة غير صحيحة",IF(NOT(OR($H2948="",$N2948&gt;0)),"✖ Start غير صحيح",IF(NOT(OR($I2948="",$I2948="NR",$O2948&gt;0)),"✖ Current غير صحيح",IF(NOT(IF(ISNUMBER($J2948),AND($J2948&gt;=0,$J2948=INT($J2948)),FALSE())),"✖ العدد يجب أن يكون صحيحًا ≥ 0",IF(AND($F2948="Baseline",$H2948&lt;&gt;""),"⚠ Baseline: Start لا يدخل في التقدم",IF($K2948="No Start (attainment only)","ℹ تحصيل فقط (بدون Start)",IF($K2948="U – needs rule","ℹ حالة U تحتاج قاعدة معتمدة",IF($K2948="No result","ℹ بدون نتيجة (يُستبعد من التحصيل)","OK")))))))))))</f>
        <v/>
      </c>
      <c r="M2948" s="64" t="n">
        <f aca="false">IF($A2948="",0,IFERROR(MATCH($A2948,Classes!$A$6:$A$420,0),0))</f>
        <v>0</v>
      </c>
      <c r="N2948" s="64" t="n">
        <f aca="false">IF($H2948="",0,IFERROR(MATCH($H2948,GradeList,0),0))</f>
        <v>0</v>
      </c>
      <c r="O2948" s="64" t="n">
        <f aca="false">IF(OR($I2948="",$I2948="NR"),0,IFERROR(MATCH($I2948,GradeList,0),0))</f>
        <v>0</v>
      </c>
      <c r="P2948" s="64" t="n">
        <f aca="false">IF(AND($M2948&gt;0,ISNUMBER(MATCH($F2948,Lists!$A$2:$A$5,0)),ISNUMBER(MATCH($G2948,Lists!$B$2:$B$7,0)),OR($H2948="",$N2948&gt;0),OR($I2948="",$I2948="NR",$O2948&gt;0),IF(ISNUMBER($J2948),AND($J2948&gt;=0,$J2948=INT($J2948)),FALSE())),$J2948,0)</f>
        <v>0</v>
      </c>
      <c r="Q2948" s="64" t="n">
        <f aca="false">IF(AND($P2948&gt;0,$O2948&gt;0),$P2948,0)</f>
        <v>0</v>
      </c>
      <c r="R2948" s="64" t="n">
        <f aca="false">IF(AND($Q2948&gt;0,$O2948&gt;=AtRank),$Q2948,0)</f>
        <v>0</v>
      </c>
      <c r="S2948" s="64" t="n">
        <f aca="false">IF(AND($Q2948&gt;0,$O2948&gt;=AboveRank),$Q2948,0)</f>
        <v>0</v>
      </c>
      <c r="T2948" s="64" t="n">
        <f aca="false">IF($K2948="Less",$P2948,0)</f>
        <v>0</v>
      </c>
      <c r="U2948" s="64" t="n">
        <f aca="false">IF($K2948="Expected",$P2948,0)</f>
        <v>0</v>
      </c>
      <c r="V2948" s="64" t="n">
        <f aca="false">IF($K2948="Better",$P2948,0)</f>
        <v>0</v>
      </c>
      <c r="W2948" s="64" t="n">
        <f aca="false">IF($K2948="U – needs rule",$P2948,0)</f>
        <v>0</v>
      </c>
      <c r="X2948" s="64" t="n">
        <f aca="false">IF($K2948="No Start (attainment only)",$P2948,0)</f>
        <v>0</v>
      </c>
    </row>
    <row r="2949" customFormat="false" ht="15" hidden="false" customHeight="false" outlineLevel="0" collapsed="false">
      <c r="A2949" s="60"/>
      <c r="B2949" s="61" t="str">
        <f aca="false">IF($M2949=0,"",INDEX(Classes!$E$6:$E$420,$M2949))</f>
        <v/>
      </c>
      <c r="C2949" s="62" t="str">
        <f aca="false">IF($M2949=0,"",INDEX(Classes!$H$6:$H$420,$M2949))</f>
        <v/>
      </c>
      <c r="D2949" s="61" t="str">
        <f aca="false">IF($M2949=0,"",INDEX(Classes!$B$6:$B$420,$M2949))</f>
        <v/>
      </c>
      <c r="E2949" s="61" t="str">
        <f aca="false">IF($M2949=0,"",INDEX(Classes!$C$6:$C$420,$M2949))</f>
        <v/>
      </c>
      <c r="F2949" s="63"/>
      <c r="G2949" s="63"/>
      <c r="H2949" s="60"/>
      <c r="I2949" s="60"/>
      <c r="J2949" s="63"/>
      <c r="K2949" s="61" t="str">
        <f aca="false">IF($P2949=0,"",IF($F2949="Baseline","— Baseline",IF($O2949=0,"No result",IF($N2949=0,"No Start (attainment only)",IF(OR($N2949=1,$O2949=1),"U – needs rule",INDEX(MxBody,MATCH($I2949,MxCurr,0),MATCH($H2949,MxStart,0)))))))</f>
        <v/>
      </c>
      <c r="L2949" s="62" t="str">
        <f aca="false">IF(COUNTA($A2949,$F2949,$G2949,$H2949,$I2949,$J2949)=0,"",IF($M2949=0,"✖ كود الصف غير موجود",IF(ISNA(MATCH($F2949,Lists!$A$2:$A$5,0)),"✖ الفترة غير صحيحة",IF(ISNA(MATCH($G2949,Lists!$B$2:$B$7,0)),"✖ المجموعة غير صحيحة",IF(NOT(OR($H2949="",$N2949&gt;0)),"✖ Start غير صحيح",IF(NOT(OR($I2949="",$I2949="NR",$O2949&gt;0)),"✖ Current غير صحيح",IF(NOT(IF(ISNUMBER($J2949),AND($J2949&gt;=0,$J2949=INT($J2949)),FALSE())),"✖ العدد يجب أن يكون صحيحًا ≥ 0",IF(AND($F2949="Baseline",$H2949&lt;&gt;""),"⚠ Baseline: Start لا يدخل في التقدم",IF($K2949="No Start (attainment only)","ℹ تحصيل فقط (بدون Start)",IF($K2949="U – needs rule","ℹ حالة U تحتاج قاعدة معتمدة",IF($K2949="No result","ℹ بدون نتيجة (يُستبعد من التحصيل)","OK")))))))))))</f>
        <v/>
      </c>
      <c r="M2949" s="64" t="n">
        <f aca="false">IF($A2949="",0,IFERROR(MATCH($A2949,Classes!$A$6:$A$420,0),0))</f>
        <v>0</v>
      </c>
      <c r="N2949" s="64" t="n">
        <f aca="false">IF($H2949="",0,IFERROR(MATCH($H2949,GradeList,0),0))</f>
        <v>0</v>
      </c>
      <c r="O2949" s="64" t="n">
        <f aca="false">IF(OR($I2949="",$I2949="NR"),0,IFERROR(MATCH($I2949,GradeList,0),0))</f>
        <v>0</v>
      </c>
      <c r="P2949" s="64" t="n">
        <f aca="false">IF(AND($M2949&gt;0,ISNUMBER(MATCH($F2949,Lists!$A$2:$A$5,0)),ISNUMBER(MATCH($G2949,Lists!$B$2:$B$7,0)),OR($H2949="",$N2949&gt;0),OR($I2949="",$I2949="NR",$O2949&gt;0),IF(ISNUMBER($J2949),AND($J2949&gt;=0,$J2949=INT($J2949)),FALSE())),$J2949,0)</f>
        <v>0</v>
      </c>
      <c r="Q2949" s="64" t="n">
        <f aca="false">IF(AND($P2949&gt;0,$O2949&gt;0),$P2949,0)</f>
        <v>0</v>
      </c>
      <c r="R2949" s="64" t="n">
        <f aca="false">IF(AND($Q2949&gt;0,$O2949&gt;=AtRank),$Q2949,0)</f>
        <v>0</v>
      </c>
      <c r="S2949" s="64" t="n">
        <f aca="false">IF(AND($Q2949&gt;0,$O2949&gt;=AboveRank),$Q2949,0)</f>
        <v>0</v>
      </c>
      <c r="T2949" s="64" t="n">
        <f aca="false">IF($K2949="Less",$P2949,0)</f>
        <v>0</v>
      </c>
      <c r="U2949" s="64" t="n">
        <f aca="false">IF($K2949="Expected",$P2949,0)</f>
        <v>0</v>
      </c>
      <c r="V2949" s="64" t="n">
        <f aca="false">IF($K2949="Better",$P2949,0)</f>
        <v>0</v>
      </c>
      <c r="W2949" s="64" t="n">
        <f aca="false">IF($K2949="U – needs rule",$P2949,0)</f>
        <v>0</v>
      </c>
      <c r="X2949" s="64" t="n">
        <f aca="false">IF($K2949="No Start (attainment only)",$P2949,0)</f>
        <v>0</v>
      </c>
    </row>
    <row r="2950" customFormat="false" ht="15" hidden="false" customHeight="false" outlineLevel="0" collapsed="false">
      <c r="A2950" s="60"/>
      <c r="B2950" s="61" t="str">
        <f aca="false">IF($M2950=0,"",INDEX(Classes!$E$6:$E$420,$M2950))</f>
        <v/>
      </c>
      <c r="C2950" s="62" t="str">
        <f aca="false">IF($M2950=0,"",INDEX(Classes!$H$6:$H$420,$M2950))</f>
        <v/>
      </c>
      <c r="D2950" s="61" t="str">
        <f aca="false">IF($M2950=0,"",INDEX(Classes!$B$6:$B$420,$M2950))</f>
        <v/>
      </c>
      <c r="E2950" s="61" t="str">
        <f aca="false">IF($M2950=0,"",INDEX(Classes!$C$6:$C$420,$M2950))</f>
        <v/>
      </c>
      <c r="F2950" s="63"/>
      <c r="G2950" s="63"/>
      <c r="H2950" s="60"/>
      <c r="I2950" s="60"/>
      <c r="J2950" s="63"/>
      <c r="K2950" s="61" t="str">
        <f aca="false">IF($P2950=0,"",IF($F2950="Baseline","— Baseline",IF($O2950=0,"No result",IF($N2950=0,"No Start (attainment only)",IF(OR($N2950=1,$O2950=1),"U – needs rule",INDEX(MxBody,MATCH($I2950,MxCurr,0),MATCH($H2950,MxStart,0)))))))</f>
        <v/>
      </c>
      <c r="L2950" s="62" t="str">
        <f aca="false">IF(COUNTA($A2950,$F2950,$G2950,$H2950,$I2950,$J2950)=0,"",IF($M2950=0,"✖ كود الصف غير موجود",IF(ISNA(MATCH($F2950,Lists!$A$2:$A$5,0)),"✖ الفترة غير صحيحة",IF(ISNA(MATCH($G2950,Lists!$B$2:$B$7,0)),"✖ المجموعة غير صحيحة",IF(NOT(OR($H2950="",$N2950&gt;0)),"✖ Start غير صحيح",IF(NOT(OR($I2950="",$I2950="NR",$O2950&gt;0)),"✖ Current غير صحيح",IF(NOT(IF(ISNUMBER($J2950),AND($J2950&gt;=0,$J2950=INT($J2950)),FALSE())),"✖ العدد يجب أن يكون صحيحًا ≥ 0",IF(AND($F2950="Baseline",$H2950&lt;&gt;""),"⚠ Baseline: Start لا يدخل في التقدم",IF($K2950="No Start (attainment only)","ℹ تحصيل فقط (بدون Start)",IF($K2950="U – needs rule","ℹ حالة U تحتاج قاعدة معتمدة",IF($K2950="No result","ℹ بدون نتيجة (يُستبعد من التحصيل)","OK")))))))))))</f>
        <v/>
      </c>
      <c r="M2950" s="64" t="n">
        <f aca="false">IF($A2950="",0,IFERROR(MATCH($A2950,Classes!$A$6:$A$420,0),0))</f>
        <v>0</v>
      </c>
      <c r="N2950" s="64" t="n">
        <f aca="false">IF($H2950="",0,IFERROR(MATCH($H2950,GradeList,0),0))</f>
        <v>0</v>
      </c>
      <c r="O2950" s="64" t="n">
        <f aca="false">IF(OR($I2950="",$I2950="NR"),0,IFERROR(MATCH($I2950,GradeList,0),0))</f>
        <v>0</v>
      </c>
      <c r="P2950" s="64" t="n">
        <f aca="false">IF(AND($M2950&gt;0,ISNUMBER(MATCH($F2950,Lists!$A$2:$A$5,0)),ISNUMBER(MATCH($G2950,Lists!$B$2:$B$7,0)),OR($H2950="",$N2950&gt;0),OR($I2950="",$I2950="NR",$O2950&gt;0),IF(ISNUMBER($J2950),AND($J2950&gt;=0,$J2950=INT($J2950)),FALSE())),$J2950,0)</f>
        <v>0</v>
      </c>
      <c r="Q2950" s="64" t="n">
        <f aca="false">IF(AND($P2950&gt;0,$O2950&gt;0),$P2950,0)</f>
        <v>0</v>
      </c>
      <c r="R2950" s="64" t="n">
        <f aca="false">IF(AND($Q2950&gt;0,$O2950&gt;=AtRank),$Q2950,0)</f>
        <v>0</v>
      </c>
      <c r="S2950" s="64" t="n">
        <f aca="false">IF(AND($Q2950&gt;0,$O2950&gt;=AboveRank),$Q2950,0)</f>
        <v>0</v>
      </c>
      <c r="T2950" s="64" t="n">
        <f aca="false">IF($K2950="Less",$P2950,0)</f>
        <v>0</v>
      </c>
      <c r="U2950" s="64" t="n">
        <f aca="false">IF($K2950="Expected",$P2950,0)</f>
        <v>0</v>
      </c>
      <c r="V2950" s="64" t="n">
        <f aca="false">IF($K2950="Better",$P2950,0)</f>
        <v>0</v>
      </c>
      <c r="W2950" s="64" t="n">
        <f aca="false">IF($K2950="U – needs rule",$P2950,0)</f>
        <v>0</v>
      </c>
      <c r="X2950" s="64" t="n">
        <f aca="false">IF($K2950="No Start (attainment only)",$P2950,0)</f>
        <v>0</v>
      </c>
    </row>
    <row r="2951" customFormat="false" ht="15" hidden="false" customHeight="false" outlineLevel="0" collapsed="false">
      <c r="A2951" s="60"/>
      <c r="B2951" s="61" t="str">
        <f aca="false">IF($M2951=0,"",INDEX(Classes!$E$6:$E$420,$M2951))</f>
        <v/>
      </c>
      <c r="C2951" s="62" t="str">
        <f aca="false">IF($M2951=0,"",INDEX(Classes!$H$6:$H$420,$M2951))</f>
        <v/>
      </c>
      <c r="D2951" s="61" t="str">
        <f aca="false">IF($M2951=0,"",INDEX(Classes!$B$6:$B$420,$M2951))</f>
        <v/>
      </c>
      <c r="E2951" s="61" t="str">
        <f aca="false">IF($M2951=0,"",INDEX(Classes!$C$6:$C$420,$M2951))</f>
        <v/>
      </c>
      <c r="F2951" s="63"/>
      <c r="G2951" s="63"/>
      <c r="H2951" s="60"/>
      <c r="I2951" s="60"/>
      <c r="J2951" s="63"/>
      <c r="K2951" s="61" t="str">
        <f aca="false">IF($P2951=0,"",IF($F2951="Baseline","— Baseline",IF($O2951=0,"No result",IF($N2951=0,"No Start (attainment only)",IF(OR($N2951=1,$O2951=1),"U – needs rule",INDEX(MxBody,MATCH($I2951,MxCurr,0),MATCH($H2951,MxStart,0)))))))</f>
        <v/>
      </c>
      <c r="L2951" s="62" t="str">
        <f aca="false">IF(COUNTA($A2951,$F2951,$G2951,$H2951,$I2951,$J2951)=0,"",IF($M2951=0,"✖ كود الصف غير موجود",IF(ISNA(MATCH($F2951,Lists!$A$2:$A$5,0)),"✖ الفترة غير صحيحة",IF(ISNA(MATCH($G2951,Lists!$B$2:$B$7,0)),"✖ المجموعة غير صحيحة",IF(NOT(OR($H2951="",$N2951&gt;0)),"✖ Start غير صحيح",IF(NOT(OR($I2951="",$I2951="NR",$O2951&gt;0)),"✖ Current غير صحيح",IF(NOT(IF(ISNUMBER($J2951),AND($J2951&gt;=0,$J2951=INT($J2951)),FALSE())),"✖ العدد يجب أن يكون صحيحًا ≥ 0",IF(AND($F2951="Baseline",$H2951&lt;&gt;""),"⚠ Baseline: Start لا يدخل في التقدم",IF($K2951="No Start (attainment only)","ℹ تحصيل فقط (بدون Start)",IF($K2951="U – needs rule","ℹ حالة U تحتاج قاعدة معتمدة",IF($K2951="No result","ℹ بدون نتيجة (يُستبعد من التحصيل)","OK")))))))))))</f>
        <v/>
      </c>
      <c r="M2951" s="64" t="n">
        <f aca="false">IF($A2951="",0,IFERROR(MATCH($A2951,Classes!$A$6:$A$420,0),0))</f>
        <v>0</v>
      </c>
      <c r="N2951" s="64" t="n">
        <f aca="false">IF($H2951="",0,IFERROR(MATCH($H2951,GradeList,0),0))</f>
        <v>0</v>
      </c>
      <c r="O2951" s="64" t="n">
        <f aca="false">IF(OR($I2951="",$I2951="NR"),0,IFERROR(MATCH($I2951,GradeList,0),0))</f>
        <v>0</v>
      </c>
      <c r="P2951" s="64" t="n">
        <f aca="false">IF(AND($M2951&gt;0,ISNUMBER(MATCH($F2951,Lists!$A$2:$A$5,0)),ISNUMBER(MATCH($G2951,Lists!$B$2:$B$7,0)),OR($H2951="",$N2951&gt;0),OR($I2951="",$I2951="NR",$O2951&gt;0),IF(ISNUMBER($J2951),AND($J2951&gt;=0,$J2951=INT($J2951)),FALSE())),$J2951,0)</f>
        <v>0</v>
      </c>
      <c r="Q2951" s="64" t="n">
        <f aca="false">IF(AND($P2951&gt;0,$O2951&gt;0),$P2951,0)</f>
        <v>0</v>
      </c>
      <c r="R2951" s="64" t="n">
        <f aca="false">IF(AND($Q2951&gt;0,$O2951&gt;=AtRank),$Q2951,0)</f>
        <v>0</v>
      </c>
      <c r="S2951" s="64" t="n">
        <f aca="false">IF(AND($Q2951&gt;0,$O2951&gt;=AboveRank),$Q2951,0)</f>
        <v>0</v>
      </c>
      <c r="T2951" s="64" t="n">
        <f aca="false">IF($K2951="Less",$P2951,0)</f>
        <v>0</v>
      </c>
      <c r="U2951" s="64" t="n">
        <f aca="false">IF($K2951="Expected",$P2951,0)</f>
        <v>0</v>
      </c>
      <c r="V2951" s="64" t="n">
        <f aca="false">IF($K2951="Better",$P2951,0)</f>
        <v>0</v>
      </c>
      <c r="W2951" s="64" t="n">
        <f aca="false">IF($K2951="U – needs rule",$P2951,0)</f>
        <v>0</v>
      </c>
      <c r="X2951" s="64" t="n">
        <f aca="false">IF($K2951="No Start (attainment only)",$P2951,0)</f>
        <v>0</v>
      </c>
    </row>
    <row r="2952" customFormat="false" ht="15" hidden="false" customHeight="false" outlineLevel="0" collapsed="false">
      <c r="A2952" s="60"/>
      <c r="B2952" s="61" t="str">
        <f aca="false">IF($M2952=0,"",INDEX(Classes!$E$6:$E$420,$M2952))</f>
        <v/>
      </c>
      <c r="C2952" s="62" t="str">
        <f aca="false">IF($M2952=0,"",INDEX(Classes!$H$6:$H$420,$M2952))</f>
        <v/>
      </c>
      <c r="D2952" s="61" t="str">
        <f aca="false">IF($M2952=0,"",INDEX(Classes!$B$6:$B$420,$M2952))</f>
        <v/>
      </c>
      <c r="E2952" s="61" t="str">
        <f aca="false">IF($M2952=0,"",INDEX(Classes!$C$6:$C$420,$M2952))</f>
        <v/>
      </c>
      <c r="F2952" s="63"/>
      <c r="G2952" s="63"/>
      <c r="H2952" s="60"/>
      <c r="I2952" s="60"/>
      <c r="J2952" s="63"/>
      <c r="K2952" s="61" t="str">
        <f aca="false">IF($P2952=0,"",IF($F2952="Baseline","— Baseline",IF($O2952=0,"No result",IF($N2952=0,"No Start (attainment only)",IF(OR($N2952=1,$O2952=1),"U – needs rule",INDEX(MxBody,MATCH($I2952,MxCurr,0),MATCH($H2952,MxStart,0)))))))</f>
        <v/>
      </c>
      <c r="L2952" s="62" t="str">
        <f aca="false">IF(COUNTA($A2952,$F2952,$G2952,$H2952,$I2952,$J2952)=0,"",IF($M2952=0,"✖ كود الصف غير موجود",IF(ISNA(MATCH($F2952,Lists!$A$2:$A$5,0)),"✖ الفترة غير صحيحة",IF(ISNA(MATCH($G2952,Lists!$B$2:$B$7,0)),"✖ المجموعة غير صحيحة",IF(NOT(OR($H2952="",$N2952&gt;0)),"✖ Start غير صحيح",IF(NOT(OR($I2952="",$I2952="NR",$O2952&gt;0)),"✖ Current غير صحيح",IF(NOT(IF(ISNUMBER($J2952),AND($J2952&gt;=0,$J2952=INT($J2952)),FALSE())),"✖ العدد يجب أن يكون صحيحًا ≥ 0",IF(AND($F2952="Baseline",$H2952&lt;&gt;""),"⚠ Baseline: Start لا يدخل في التقدم",IF($K2952="No Start (attainment only)","ℹ تحصيل فقط (بدون Start)",IF($K2952="U – needs rule","ℹ حالة U تحتاج قاعدة معتمدة",IF($K2952="No result","ℹ بدون نتيجة (يُستبعد من التحصيل)","OK")))))))))))</f>
        <v/>
      </c>
      <c r="M2952" s="64" t="n">
        <f aca="false">IF($A2952="",0,IFERROR(MATCH($A2952,Classes!$A$6:$A$420,0),0))</f>
        <v>0</v>
      </c>
      <c r="N2952" s="64" t="n">
        <f aca="false">IF($H2952="",0,IFERROR(MATCH($H2952,GradeList,0),0))</f>
        <v>0</v>
      </c>
      <c r="O2952" s="64" t="n">
        <f aca="false">IF(OR($I2952="",$I2952="NR"),0,IFERROR(MATCH($I2952,GradeList,0),0))</f>
        <v>0</v>
      </c>
      <c r="P2952" s="64" t="n">
        <f aca="false">IF(AND($M2952&gt;0,ISNUMBER(MATCH($F2952,Lists!$A$2:$A$5,0)),ISNUMBER(MATCH($G2952,Lists!$B$2:$B$7,0)),OR($H2952="",$N2952&gt;0),OR($I2952="",$I2952="NR",$O2952&gt;0),IF(ISNUMBER($J2952),AND($J2952&gt;=0,$J2952=INT($J2952)),FALSE())),$J2952,0)</f>
        <v>0</v>
      </c>
      <c r="Q2952" s="64" t="n">
        <f aca="false">IF(AND($P2952&gt;0,$O2952&gt;0),$P2952,0)</f>
        <v>0</v>
      </c>
      <c r="R2952" s="64" t="n">
        <f aca="false">IF(AND($Q2952&gt;0,$O2952&gt;=AtRank),$Q2952,0)</f>
        <v>0</v>
      </c>
      <c r="S2952" s="64" t="n">
        <f aca="false">IF(AND($Q2952&gt;0,$O2952&gt;=AboveRank),$Q2952,0)</f>
        <v>0</v>
      </c>
      <c r="T2952" s="64" t="n">
        <f aca="false">IF($K2952="Less",$P2952,0)</f>
        <v>0</v>
      </c>
      <c r="U2952" s="64" t="n">
        <f aca="false">IF($K2952="Expected",$P2952,0)</f>
        <v>0</v>
      </c>
      <c r="V2952" s="64" t="n">
        <f aca="false">IF($K2952="Better",$P2952,0)</f>
        <v>0</v>
      </c>
      <c r="W2952" s="64" t="n">
        <f aca="false">IF($K2952="U – needs rule",$P2952,0)</f>
        <v>0</v>
      </c>
      <c r="X2952" s="64" t="n">
        <f aca="false">IF($K2952="No Start (attainment only)",$P2952,0)</f>
        <v>0</v>
      </c>
    </row>
    <row r="2953" customFormat="false" ht="15" hidden="false" customHeight="false" outlineLevel="0" collapsed="false">
      <c r="A2953" s="60"/>
      <c r="B2953" s="61" t="str">
        <f aca="false">IF($M2953=0,"",INDEX(Classes!$E$6:$E$420,$M2953))</f>
        <v/>
      </c>
      <c r="C2953" s="62" t="str">
        <f aca="false">IF($M2953=0,"",INDEX(Classes!$H$6:$H$420,$M2953))</f>
        <v/>
      </c>
      <c r="D2953" s="61" t="str">
        <f aca="false">IF($M2953=0,"",INDEX(Classes!$B$6:$B$420,$M2953))</f>
        <v/>
      </c>
      <c r="E2953" s="61" t="str">
        <f aca="false">IF($M2953=0,"",INDEX(Classes!$C$6:$C$420,$M2953))</f>
        <v/>
      </c>
      <c r="F2953" s="63"/>
      <c r="G2953" s="63"/>
      <c r="H2953" s="60"/>
      <c r="I2953" s="60"/>
      <c r="J2953" s="63"/>
      <c r="K2953" s="61" t="str">
        <f aca="false">IF($P2953=0,"",IF($F2953="Baseline","— Baseline",IF($O2953=0,"No result",IF($N2953=0,"No Start (attainment only)",IF(OR($N2953=1,$O2953=1),"U – needs rule",INDEX(MxBody,MATCH($I2953,MxCurr,0),MATCH($H2953,MxStart,0)))))))</f>
        <v/>
      </c>
      <c r="L2953" s="62" t="str">
        <f aca="false">IF(COUNTA($A2953,$F2953,$G2953,$H2953,$I2953,$J2953)=0,"",IF($M2953=0,"✖ كود الصف غير موجود",IF(ISNA(MATCH($F2953,Lists!$A$2:$A$5,0)),"✖ الفترة غير صحيحة",IF(ISNA(MATCH($G2953,Lists!$B$2:$B$7,0)),"✖ المجموعة غير صحيحة",IF(NOT(OR($H2953="",$N2953&gt;0)),"✖ Start غير صحيح",IF(NOT(OR($I2953="",$I2953="NR",$O2953&gt;0)),"✖ Current غير صحيح",IF(NOT(IF(ISNUMBER($J2953),AND($J2953&gt;=0,$J2953=INT($J2953)),FALSE())),"✖ العدد يجب أن يكون صحيحًا ≥ 0",IF(AND($F2953="Baseline",$H2953&lt;&gt;""),"⚠ Baseline: Start لا يدخل في التقدم",IF($K2953="No Start (attainment only)","ℹ تحصيل فقط (بدون Start)",IF($K2953="U – needs rule","ℹ حالة U تحتاج قاعدة معتمدة",IF($K2953="No result","ℹ بدون نتيجة (يُستبعد من التحصيل)","OK")))))))))))</f>
        <v/>
      </c>
      <c r="M2953" s="64" t="n">
        <f aca="false">IF($A2953="",0,IFERROR(MATCH($A2953,Classes!$A$6:$A$420,0),0))</f>
        <v>0</v>
      </c>
      <c r="N2953" s="64" t="n">
        <f aca="false">IF($H2953="",0,IFERROR(MATCH($H2953,GradeList,0),0))</f>
        <v>0</v>
      </c>
      <c r="O2953" s="64" t="n">
        <f aca="false">IF(OR($I2953="",$I2953="NR"),0,IFERROR(MATCH($I2953,GradeList,0),0))</f>
        <v>0</v>
      </c>
      <c r="P2953" s="64" t="n">
        <f aca="false">IF(AND($M2953&gt;0,ISNUMBER(MATCH($F2953,Lists!$A$2:$A$5,0)),ISNUMBER(MATCH($G2953,Lists!$B$2:$B$7,0)),OR($H2953="",$N2953&gt;0),OR($I2953="",$I2953="NR",$O2953&gt;0),IF(ISNUMBER($J2953),AND($J2953&gt;=0,$J2953=INT($J2953)),FALSE())),$J2953,0)</f>
        <v>0</v>
      </c>
      <c r="Q2953" s="64" t="n">
        <f aca="false">IF(AND($P2953&gt;0,$O2953&gt;0),$P2953,0)</f>
        <v>0</v>
      </c>
      <c r="R2953" s="64" t="n">
        <f aca="false">IF(AND($Q2953&gt;0,$O2953&gt;=AtRank),$Q2953,0)</f>
        <v>0</v>
      </c>
      <c r="S2953" s="64" t="n">
        <f aca="false">IF(AND($Q2953&gt;0,$O2953&gt;=AboveRank),$Q2953,0)</f>
        <v>0</v>
      </c>
      <c r="T2953" s="64" t="n">
        <f aca="false">IF($K2953="Less",$P2953,0)</f>
        <v>0</v>
      </c>
      <c r="U2953" s="64" t="n">
        <f aca="false">IF($K2953="Expected",$P2953,0)</f>
        <v>0</v>
      </c>
      <c r="V2953" s="64" t="n">
        <f aca="false">IF($K2953="Better",$P2953,0)</f>
        <v>0</v>
      </c>
      <c r="W2953" s="64" t="n">
        <f aca="false">IF($K2953="U – needs rule",$P2953,0)</f>
        <v>0</v>
      </c>
      <c r="X2953" s="64" t="n">
        <f aca="false">IF($K2953="No Start (attainment only)",$P2953,0)</f>
        <v>0</v>
      </c>
    </row>
    <row r="2954" customFormat="false" ht="15" hidden="false" customHeight="false" outlineLevel="0" collapsed="false">
      <c r="A2954" s="60"/>
      <c r="B2954" s="61" t="str">
        <f aca="false">IF($M2954=0,"",INDEX(Classes!$E$6:$E$420,$M2954))</f>
        <v/>
      </c>
      <c r="C2954" s="62" t="str">
        <f aca="false">IF($M2954=0,"",INDEX(Classes!$H$6:$H$420,$M2954))</f>
        <v/>
      </c>
      <c r="D2954" s="61" t="str">
        <f aca="false">IF($M2954=0,"",INDEX(Classes!$B$6:$B$420,$M2954))</f>
        <v/>
      </c>
      <c r="E2954" s="61" t="str">
        <f aca="false">IF($M2954=0,"",INDEX(Classes!$C$6:$C$420,$M2954))</f>
        <v/>
      </c>
      <c r="F2954" s="63"/>
      <c r="G2954" s="63"/>
      <c r="H2954" s="60"/>
      <c r="I2954" s="60"/>
      <c r="J2954" s="63"/>
      <c r="K2954" s="61" t="str">
        <f aca="false">IF($P2954=0,"",IF($F2954="Baseline","— Baseline",IF($O2954=0,"No result",IF($N2954=0,"No Start (attainment only)",IF(OR($N2954=1,$O2954=1),"U – needs rule",INDEX(MxBody,MATCH($I2954,MxCurr,0),MATCH($H2954,MxStart,0)))))))</f>
        <v/>
      </c>
      <c r="L2954" s="62" t="str">
        <f aca="false">IF(COUNTA($A2954,$F2954,$G2954,$H2954,$I2954,$J2954)=0,"",IF($M2954=0,"✖ كود الصف غير موجود",IF(ISNA(MATCH($F2954,Lists!$A$2:$A$5,0)),"✖ الفترة غير صحيحة",IF(ISNA(MATCH($G2954,Lists!$B$2:$B$7,0)),"✖ المجموعة غير صحيحة",IF(NOT(OR($H2954="",$N2954&gt;0)),"✖ Start غير صحيح",IF(NOT(OR($I2954="",$I2954="NR",$O2954&gt;0)),"✖ Current غير صحيح",IF(NOT(IF(ISNUMBER($J2954),AND($J2954&gt;=0,$J2954=INT($J2954)),FALSE())),"✖ العدد يجب أن يكون صحيحًا ≥ 0",IF(AND($F2954="Baseline",$H2954&lt;&gt;""),"⚠ Baseline: Start لا يدخل في التقدم",IF($K2954="No Start (attainment only)","ℹ تحصيل فقط (بدون Start)",IF($K2954="U – needs rule","ℹ حالة U تحتاج قاعدة معتمدة",IF($K2954="No result","ℹ بدون نتيجة (يُستبعد من التحصيل)","OK")))))))))))</f>
        <v/>
      </c>
      <c r="M2954" s="64" t="n">
        <f aca="false">IF($A2954="",0,IFERROR(MATCH($A2954,Classes!$A$6:$A$420,0),0))</f>
        <v>0</v>
      </c>
      <c r="N2954" s="64" t="n">
        <f aca="false">IF($H2954="",0,IFERROR(MATCH($H2954,GradeList,0),0))</f>
        <v>0</v>
      </c>
      <c r="O2954" s="64" t="n">
        <f aca="false">IF(OR($I2954="",$I2954="NR"),0,IFERROR(MATCH($I2954,GradeList,0),0))</f>
        <v>0</v>
      </c>
      <c r="P2954" s="64" t="n">
        <f aca="false">IF(AND($M2954&gt;0,ISNUMBER(MATCH($F2954,Lists!$A$2:$A$5,0)),ISNUMBER(MATCH($G2954,Lists!$B$2:$B$7,0)),OR($H2954="",$N2954&gt;0),OR($I2954="",$I2954="NR",$O2954&gt;0),IF(ISNUMBER($J2954),AND($J2954&gt;=0,$J2954=INT($J2954)),FALSE())),$J2954,0)</f>
        <v>0</v>
      </c>
      <c r="Q2954" s="64" t="n">
        <f aca="false">IF(AND($P2954&gt;0,$O2954&gt;0),$P2954,0)</f>
        <v>0</v>
      </c>
      <c r="R2954" s="64" t="n">
        <f aca="false">IF(AND($Q2954&gt;0,$O2954&gt;=AtRank),$Q2954,0)</f>
        <v>0</v>
      </c>
      <c r="S2954" s="64" t="n">
        <f aca="false">IF(AND($Q2954&gt;0,$O2954&gt;=AboveRank),$Q2954,0)</f>
        <v>0</v>
      </c>
      <c r="T2954" s="64" t="n">
        <f aca="false">IF($K2954="Less",$P2954,0)</f>
        <v>0</v>
      </c>
      <c r="U2954" s="64" t="n">
        <f aca="false">IF($K2954="Expected",$P2954,0)</f>
        <v>0</v>
      </c>
      <c r="V2954" s="64" t="n">
        <f aca="false">IF($K2954="Better",$P2954,0)</f>
        <v>0</v>
      </c>
      <c r="W2954" s="64" t="n">
        <f aca="false">IF($K2954="U – needs rule",$P2954,0)</f>
        <v>0</v>
      </c>
      <c r="X2954" s="64" t="n">
        <f aca="false">IF($K2954="No Start (attainment only)",$P2954,0)</f>
        <v>0</v>
      </c>
    </row>
    <row r="2955" customFormat="false" ht="15" hidden="false" customHeight="false" outlineLevel="0" collapsed="false">
      <c r="A2955" s="60"/>
      <c r="B2955" s="61" t="str">
        <f aca="false">IF($M2955=0,"",INDEX(Classes!$E$6:$E$420,$M2955))</f>
        <v/>
      </c>
      <c r="C2955" s="62" t="str">
        <f aca="false">IF($M2955=0,"",INDEX(Classes!$H$6:$H$420,$M2955))</f>
        <v/>
      </c>
      <c r="D2955" s="61" t="str">
        <f aca="false">IF($M2955=0,"",INDEX(Classes!$B$6:$B$420,$M2955))</f>
        <v/>
      </c>
      <c r="E2955" s="61" t="str">
        <f aca="false">IF($M2955=0,"",INDEX(Classes!$C$6:$C$420,$M2955))</f>
        <v/>
      </c>
      <c r="F2955" s="63"/>
      <c r="G2955" s="63"/>
      <c r="H2955" s="60"/>
      <c r="I2955" s="60"/>
      <c r="J2955" s="63"/>
      <c r="K2955" s="61" t="str">
        <f aca="false">IF($P2955=0,"",IF($F2955="Baseline","— Baseline",IF($O2955=0,"No result",IF($N2955=0,"No Start (attainment only)",IF(OR($N2955=1,$O2955=1),"U – needs rule",INDEX(MxBody,MATCH($I2955,MxCurr,0),MATCH($H2955,MxStart,0)))))))</f>
        <v/>
      </c>
      <c r="L2955" s="62" t="str">
        <f aca="false">IF(COUNTA($A2955,$F2955,$G2955,$H2955,$I2955,$J2955)=0,"",IF($M2955=0,"✖ كود الصف غير موجود",IF(ISNA(MATCH($F2955,Lists!$A$2:$A$5,0)),"✖ الفترة غير صحيحة",IF(ISNA(MATCH($G2955,Lists!$B$2:$B$7,0)),"✖ المجموعة غير صحيحة",IF(NOT(OR($H2955="",$N2955&gt;0)),"✖ Start غير صحيح",IF(NOT(OR($I2955="",$I2955="NR",$O2955&gt;0)),"✖ Current غير صحيح",IF(NOT(IF(ISNUMBER($J2955),AND($J2955&gt;=0,$J2955=INT($J2955)),FALSE())),"✖ العدد يجب أن يكون صحيحًا ≥ 0",IF(AND($F2955="Baseline",$H2955&lt;&gt;""),"⚠ Baseline: Start لا يدخل في التقدم",IF($K2955="No Start (attainment only)","ℹ تحصيل فقط (بدون Start)",IF($K2955="U – needs rule","ℹ حالة U تحتاج قاعدة معتمدة",IF($K2955="No result","ℹ بدون نتيجة (يُستبعد من التحصيل)","OK")))))))))))</f>
        <v/>
      </c>
      <c r="M2955" s="64" t="n">
        <f aca="false">IF($A2955="",0,IFERROR(MATCH($A2955,Classes!$A$6:$A$420,0),0))</f>
        <v>0</v>
      </c>
      <c r="N2955" s="64" t="n">
        <f aca="false">IF($H2955="",0,IFERROR(MATCH($H2955,GradeList,0),0))</f>
        <v>0</v>
      </c>
      <c r="O2955" s="64" t="n">
        <f aca="false">IF(OR($I2955="",$I2955="NR"),0,IFERROR(MATCH($I2955,GradeList,0),0))</f>
        <v>0</v>
      </c>
      <c r="P2955" s="64" t="n">
        <f aca="false">IF(AND($M2955&gt;0,ISNUMBER(MATCH($F2955,Lists!$A$2:$A$5,0)),ISNUMBER(MATCH($G2955,Lists!$B$2:$B$7,0)),OR($H2955="",$N2955&gt;0),OR($I2955="",$I2955="NR",$O2955&gt;0),IF(ISNUMBER($J2955),AND($J2955&gt;=0,$J2955=INT($J2955)),FALSE())),$J2955,0)</f>
        <v>0</v>
      </c>
      <c r="Q2955" s="64" t="n">
        <f aca="false">IF(AND($P2955&gt;0,$O2955&gt;0),$P2955,0)</f>
        <v>0</v>
      </c>
      <c r="R2955" s="64" t="n">
        <f aca="false">IF(AND($Q2955&gt;0,$O2955&gt;=AtRank),$Q2955,0)</f>
        <v>0</v>
      </c>
      <c r="S2955" s="64" t="n">
        <f aca="false">IF(AND($Q2955&gt;0,$O2955&gt;=AboveRank),$Q2955,0)</f>
        <v>0</v>
      </c>
      <c r="T2955" s="64" t="n">
        <f aca="false">IF($K2955="Less",$P2955,0)</f>
        <v>0</v>
      </c>
      <c r="U2955" s="64" t="n">
        <f aca="false">IF($K2955="Expected",$P2955,0)</f>
        <v>0</v>
      </c>
      <c r="V2955" s="64" t="n">
        <f aca="false">IF($K2955="Better",$P2955,0)</f>
        <v>0</v>
      </c>
      <c r="W2955" s="64" t="n">
        <f aca="false">IF($K2955="U – needs rule",$P2955,0)</f>
        <v>0</v>
      </c>
      <c r="X2955" s="64" t="n">
        <f aca="false">IF($K2955="No Start (attainment only)",$P2955,0)</f>
        <v>0</v>
      </c>
    </row>
    <row r="2956" customFormat="false" ht="15" hidden="false" customHeight="false" outlineLevel="0" collapsed="false">
      <c r="A2956" s="60"/>
      <c r="B2956" s="61" t="str">
        <f aca="false">IF($M2956=0,"",INDEX(Classes!$E$6:$E$420,$M2956))</f>
        <v/>
      </c>
      <c r="C2956" s="62" t="str">
        <f aca="false">IF($M2956=0,"",INDEX(Classes!$H$6:$H$420,$M2956))</f>
        <v/>
      </c>
      <c r="D2956" s="61" t="str">
        <f aca="false">IF($M2956=0,"",INDEX(Classes!$B$6:$B$420,$M2956))</f>
        <v/>
      </c>
      <c r="E2956" s="61" t="str">
        <f aca="false">IF($M2956=0,"",INDEX(Classes!$C$6:$C$420,$M2956))</f>
        <v/>
      </c>
      <c r="F2956" s="63"/>
      <c r="G2956" s="63"/>
      <c r="H2956" s="60"/>
      <c r="I2956" s="60"/>
      <c r="J2956" s="63"/>
      <c r="K2956" s="61" t="str">
        <f aca="false">IF($P2956=0,"",IF($F2956="Baseline","— Baseline",IF($O2956=0,"No result",IF($N2956=0,"No Start (attainment only)",IF(OR($N2956=1,$O2956=1),"U – needs rule",INDEX(MxBody,MATCH($I2956,MxCurr,0),MATCH($H2956,MxStart,0)))))))</f>
        <v/>
      </c>
      <c r="L2956" s="62" t="str">
        <f aca="false">IF(COUNTA($A2956,$F2956,$G2956,$H2956,$I2956,$J2956)=0,"",IF($M2956=0,"✖ كود الصف غير موجود",IF(ISNA(MATCH($F2956,Lists!$A$2:$A$5,0)),"✖ الفترة غير صحيحة",IF(ISNA(MATCH($G2956,Lists!$B$2:$B$7,0)),"✖ المجموعة غير صحيحة",IF(NOT(OR($H2956="",$N2956&gt;0)),"✖ Start غير صحيح",IF(NOT(OR($I2956="",$I2956="NR",$O2956&gt;0)),"✖ Current غير صحيح",IF(NOT(IF(ISNUMBER($J2956),AND($J2956&gt;=0,$J2956=INT($J2956)),FALSE())),"✖ العدد يجب أن يكون صحيحًا ≥ 0",IF(AND($F2956="Baseline",$H2956&lt;&gt;""),"⚠ Baseline: Start لا يدخل في التقدم",IF($K2956="No Start (attainment only)","ℹ تحصيل فقط (بدون Start)",IF($K2956="U – needs rule","ℹ حالة U تحتاج قاعدة معتمدة",IF($K2956="No result","ℹ بدون نتيجة (يُستبعد من التحصيل)","OK")))))))))))</f>
        <v/>
      </c>
      <c r="M2956" s="64" t="n">
        <f aca="false">IF($A2956="",0,IFERROR(MATCH($A2956,Classes!$A$6:$A$420,0),0))</f>
        <v>0</v>
      </c>
      <c r="N2956" s="64" t="n">
        <f aca="false">IF($H2956="",0,IFERROR(MATCH($H2956,GradeList,0),0))</f>
        <v>0</v>
      </c>
      <c r="O2956" s="64" t="n">
        <f aca="false">IF(OR($I2956="",$I2956="NR"),0,IFERROR(MATCH($I2956,GradeList,0),0))</f>
        <v>0</v>
      </c>
      <c r="P2956" s="64" t="n">
        <f aca="false">IF(AND($M2956&gt;0,ISNUMBER(MATCH($F2956,Lists!$A$2:$A$5,0)),ISNUMBER(MATCH($G2956,Lists!$B$2:$B$7,0)),OR($H2956="",$N2956&gt;0),OR($I2956="",$I2956="NR",$O2956&gt;0),IF(ISNUMBER($J2956),AND($J2956&gt;=0,$J2956=INT($J2956)),FALSE())),$J2956,0)</f>
        <v>0</v>
      </c>
      <c r="Q2956" s="64" t="n">
        <f aca="false">IF(AND($P2956&gt;0,$O2956&gt;0),$P2956,0)</f>
        <v>0</v>
      </c>
      <c r="R2956" s="64" t="n">
        <f aca="false">IF(AND($Q2956&gt;0,$O2956&gt;=AtRank),$Q2956,0)</f>
        <v>0</v>
      </c>
      <c r="S2956" s="64" t="n">
        <f aca="false">IF(AND($Q2956&gt;0,$O2956&gt;=AboveRank),$Q2956,0)</f>
        <v>0</v>
      </c>
      <c r="T2956" s="64" t="n">
        <f aca="false">IF($K2956="Less",$P2956,0)</f>
        <v>0</v>
      </c>
      <c r="U2956" s="64" t="n">
        <f aca="false">IF($K2956="Expected",$P2956,0)</f>
        <v>0</v>
      </c>
      <c r="V2956" s="64" t="n">
        <f aca="false">IF($K2956="Better",$P2956,0)</f>
        <v>0</v>
      </c>
      <c r="W2956" s="64" t="n">
        <f aca="false">IF($K2956="U – needs rule",$P2956,0)</f>
        <v>0</v>
      </c>
      <c r="X2956" s="64" t="n">
        <f aca="false">IF($K2956="No Start (attainment only)",$P2956,0)</f>
        <v>0</v>
      </c>
    </row>
    <row r="2957" customFormat="false" ht="15" hidden="false" customHeight="false" outlineLevel="0" collapsed="false">
      <c r="A2957" s="60"/>
      <c r="B2957" s="61" t="str">
        <f aca="false">IF($M2957=0,"",INDEX(Classes!$E$6:$E$420,$M2957))</f>
        <v/>
      </c>
      <c r="C2957" s="62" t="str">
        <f aca="false">IF($M2957=0,"",INDEX(Classes!$H$6:$H$420,$M2957))</f>
        <v/>
      </c>
      <c r="D2957" s="61" t="str">
        <f aca="false">IF($M2957=0,"",INDEX(Classes!$B$6:$B$420,$M2957))</f>
        <v/>
      </c>
      <c r="E2957" s="61" t="str">
        <f aca="false">IF($M2957=0,"",INDEX(Classes!$C$6:$C$420,$M2957))</f>
        <v/>
      </c>
      <c r="F2957" s="63"/>
      <c r="G2957" s="63"/>
      <c r="H2957" s="60"/>
      <c r="I2957" s="60"/>
      <c r="J2957" s="63"/>
      <c r="K2957" s="61" t="str">
        <f aca="false">IF($P2957=0,"",IF($F2957="Baseline","— Baseline",IF($O2957=0,"No result",IF($N2957=0,"No Start (attainment only)",IF(OR($N2957=1,$O2957=1),"U – needs rule",INDEX(MxBody,MATCH($I2957,MxCurr,0),MATCH($H2957,MxStart,0)))))))</f>
        <v/>
      </c>
      <c r="L2957" s="62" t="str">
        <f aca="false">IF(COUNTA($A2957,$F2957,$G2957,$H2957,$I2957,$J2957)=0,"",IF($M2957=0,"✖ كود الصف غير موجود",IF(ISNA(MATCH($F2957,Lists!$A$2:$A$5,0)),"✖ الفترة غير صحيحة",IF(ISNA(MATCH($G2957,Lists!$B$2:$B$7,0)),"✖ المجموعة غير صحيحة",IF(NOT(OR($H2957="",$N2957&gt;0)),"✖ Start غير صحيح",IF(NOT(OR($I2957="",$I2957="NR",$O2957&gt;0)),"✖ Current غير صحيح",IF(NOT(IF(ISNUMBER($J2957),AND($J2957&gt;=0,$J2957=INT($J2957)),FALSE())),"✖ العدد يجب أن يكون صحيحًا ≥ 0",IF(AND($F2957="Baseline",$H2957&lt;&gt;""),"⚠ Baseline: Start لا يدخل في التقدم",IF($K2957="No Start (attainment only)","ℹ تحصيل فقط (بدون Start)",IF($K2957="U – needs rule","ℹ حالة U تحتاج قاعدة معتمدة",IF($K2957="No result","ℹ بدون نتيجة (يُستبعد من التحصيل)","OK")))))))))))</f>
        <v/>
      </c>
      <c r="M2957" s="64" t="n">
        <f aca="false">IF($A2957="",0,IFERROR(MATCH($A2957,Classes!$A$6:$A$420,0),0))</f>
        <v>0</v>
      </c>
      <c r="N2957" s="64" t="n">
        <f aca="false">IF($H2957="",0,IFERROR(MATCH($H2957,GradeList,0),0))</f>
        <v>0</v>
      </c>
      <c r="O2957" s="64" t="n">
        <f aca="false">IF(OR($I2957="",$I2957="NR"),0,IFERROR(MATCH($I2957,GradeList,0),0))</f>
        <v>0</v>
      </c>
      <c r="P2957" s="64" t="n">
        <f aca="false">IF(AND($M2957&gt;0,ISNUMBER(MATCH($F2957,Lists!$A$2:$A$5,0)),ISNUMBER(MATCH($G2957,Lists!$B$2:$B$7,0)),OR($H2957="",$N2957&gt;0),OR($I2957="",$I2957="NR",$O2957&gt;0),IF(ISNUMBER($J2957),AND($J2957&gt;=0,$J2957=INT($J2957)),FALSE())),$J2957,0)</f>
        <v>0</v>
      </c>
      <c r="Q2957" s="64" t="n">
        <f aca="false">IF(AND($P2957&gt;0,$O2957&gt;0),$P2957,0)</f>
        <v>0</v>
      </c>
      <c r="R2957" s="64" t="n">
        <f aca="false">IF(AND($Q2957&gt;0,$O2957&gt;=AtRank),$Q2957,0)</f>
        <v>0</v>
      </c>
      <c r="S2957" s="64" t="n">
        <f aca="false">IF(AND($Q2957&gt;0,$O2957&gt;=AboveRank),$Q2957,0)</f>
        <v>0</v>
      </c>
      <c r="T2957" s="64" t="n">
        <f aca="false">IF($K2957="Less",$P2957,0)</f>
        <v>0</v>
      </c>
      <c r="U2957" s="64" t="n">
        <f aca="false">IF($K2957="Expected",$P2957,0)</f>
        <v>0</v>
      </c>
      <c r="V2957" s="64" t="n">
        <f aca="false">IF($K2957="Better",$P2957,0)</f>
        <v>0</v>
      </c>
      <c r="W2957" s="64" t="n">
        <f aca="false">IF($K2957="U – needs rule",$P2957,0)</f>
        <v>0</v>
      </c>
      <c r="X2957" s="64" t="n">
        <f aca="false">IF($K2957="No Start (attainment only)",$P2957,0)</f>
        <v>0</v>
      </c>
    </row>
    <row r="2958" customFormat="false" ht="15" hidden="false" customHeight="false" outlineLevel="0" collapsed="false">
      <c r="A2958" s="60"/>
      <c r="B2958" s="61" t="str">
        <f aca="false">IF($M2958=0,"",INDEX(Classes!$E$6:$E$420,$M2958))</f>
        <v/>
      </c>
      <c r="C2958" s="62" t="str">
        <f aca="false">IF($M2958=0,"",INDEX(Classes!$H$6:$H$420,$M2958))</f>
        <v/>
      </c>
      <c r="D2958" s="61" t="str">
        <f aca="false">IF($M2958=0,"",INDEX(Classes!$B$6:$B$420,$M2958))</f>
        <v/>
      </c>
      <c r="E2958" s="61" t="str">
        <f aca="false">IF($M2958=0,"",INDEX(Classes!$C$6:$C$420,$M2958))</f>
        <v/>
      </c>
      <c r="F2958" s="63"/>
      <c r="G2958" s="63"/>
      <c r="H2958" s="60"/>
      <c r="I2958" s="60"/>
      <c r="J2958" s="63"/>
      <c r="K2958" s="61" t="str">
        <f aca="false">IF($P2958=0,"",IF($F2958="Baseline","— Baseline",IF($O2958=0,"No result",IF($N2958=0,"No Start (attainment only)",IF(OR($N2958=1,$O2958=1),"U – needs rule",INDEX(MxBody,MATCH($I2958,MxCurr,0),MATCH($H2958,MxStart,0)))))))</f>
        <v/>
      </c>
      <c r="L2958" s="62" t="str">
        <f aca="false">IF(COUNTA($A2958,$F2958,$G2958,$H2958,$I2958,$J2958)=0,"",IF($M2958=0,"✖ كود الصف غير موجود",IF(ISNA(MATCH($F2958,Lists!$A$2:$A$5,0)),"✖ الفترة غير صحيحة",IF(ISNA(MATCH($G2958,Lists!$B$2:$B$7,0)),"✖ المجموعة غير صحيحة",IF(NOT(OR($H2958="",$N2958&gt;0)),"✖ Start غير صحيح",IF(NOT(OR($I2958="",$I2958="NR",$O2958&gt;0)),"✖ Current غير صحيح",IF(NOT(IF(ISNUMBER($J2958),AND($J2958&gt;=0,$J2958=INT($J2958)),FALSE())),"✖ العدد يجب أن يكون صحيحًا ≥ 0",IF(AND($F2958="Baseline",$H2958&lt;&gt;""),"⚠ Baseline: Start لا يدخل في التقدم",IF($K2958="No Start (attainment only)","ℹ تحصيل فقط (بدون Start)",IF($K2958="U – needs rule","ℹ حالة U تحتاج قاعدة معتمدة",IF($K2958="No result","ℹ بدون نتيجة (يُستبعد من التحصيل)","OK")))))))))))</f>
        <v/>
      </c>
      <c r="M2958" s="64" t="n">
        <f aca="false">IF($A2958="",0,IFERROR(MATCH($A2958,Classes!$A$6:$A$420,0),0))</f>
        <v>0</v>
      </c>
      <c r="N2958" s="64" t="n">
        <f aca="false">IF($H2958="",0,IFERROR(MATCH($H2958,GradeList,0),0))</f>
        <v>0</v>
      </c>
      <c r="O2958" s="64" t="n">
        <f aca="false">IF(OR($I2958="",$I2958="NR"),0,IFERROR(MATCH($I2958,GradeList,0),0))</f>
        <v>0</v>
      </c>
      <c r="P2958" s="64" t="n">
        <f aca="false">IF(AND($M2958&gt;0,ISNUMBER(MATCH($F2958,Lists!$A$2:$A$5,0)),ISNUMBER(MATCH($G2958,Lists!$B$2:$B$7,0)),OR($H2958="",$N2958&gt;0),OR($I2958="",$I2958="NR",$O2958&gt;0),IF(ISNUMBER($J2958),AND($J2958&gt;=0,$J2958=INT($J2958)),FALSE())),$J2958,0)</f>
        <v>0</v>
      </c>
      <c r="Q2958" s="64" t="n">
        <f aca="false">IF(AND($P2958&gt;0,$O2958&gt;0),$P2958,0)</f>
        <v>0</v>
      </c>
      <c r="R2958" s="64" t="n">
        <f aca="false">IF(AND($Q2958&gt;0,$O2958&gt;=AtRank),$Q2958,0)</f>
        <v>0</v>
      </c>
      <c r="S2958" s="64" t="n">
        <f aca="false">IF(AND($Q2958&gt;0,$O2958&gt;=AboveRank),$Q2958,0)</f>
        <v>0</v>
      </c>
      <c r="T2958" s="64" t="n">
        <f aca="false">IF($K2958="Less",$P2958,0)</f>
        <v>0</v>
      </c>
      <c r="U2958" s="64" t="n">
        <f aca="false">IF($K2958="Expected",$P2958,0)</f>
        <v>0</v>
      </c>
      <c r="V2958" s="64" t="n">
        <f aca="false">IF($K2958="Better",$P2958,0)</f>
        <v>0</v>
      </c>
      <c r="W2958" s="64" t="n">
        <f aca="false">IF($K2958="U – needs rule",$P2958,0)</f>
        <v>0</v>
      </c>
      <c r="X2958" s="64" t="n">
        <f aca="false">IF($K2958="No Start (attainment only)",$P2958,0)</f>
        <v>0</v>
      </c>
    </row>
    <row r="2959" customFormat="false" ht="15" hidden="false" customHeight="false" outlineLevel="0" collapsed="false">
      <c r="A2959" s="60"/>
      <c r="B2959" s="61" t="str">
        <f aca="false">IF($M2959=0,"",INDEX(Classes!$E$6:$E$420,$M2959))</f>
        <v/>
      </c>
      <c r="C2959" s="62" t="str">
        <f aca="false">IF($M2959=0,"",INDEX(Classes!$H$6:$H$420,$M2959))</f>
        <v/>
      </c>
      <c r="D2959" s="61" t="str">
        <f aca="false">IF($M2959=0,"",INDEX(Classes!$B$6:$B$420,$M2959))</f>
        <v/>
      </c>
      <c r="E2959" s="61" t="str">
        <f aca="false">IF($M2959=0,"",INDEX(Classes!$C$6:$C$420,$M2959))</f>
        <v/>
      </c>
      <c r="F2959" s="63"/>
      <c r="G2959" s="63"/>
      <c r="H2959" s="60"/>
      <c r="I2959" s="60"/>
      <c r="J2959" s="63"/>
      <c r="K2959" s="61" t="str">
        <f aca="false">IF($P2959=0,"",IF($F2959="Baseline","— Baseline",IF($O2959=0,"No result",IF($N2959=0,"No Start (attainment only)",IF(OR($N2959=1,$O2959=1),"U – needs rule",INDEX(MxBody,MATCH($I2959,MxCurr,0),MATCH($H2959,MxStart,0)))))))</f>
        <v/>
      </c>
      <c r="L2959" s="62" t="str">
        <f aca="false">IF(COUNTA($A2959,$F2959,$G2959,$H2959,$I2959,$J2959)=0,"",IF($M2959=0,"✖ كود الصف غير موجود",IF(ISNA(MATCH($F2959,Lists!$A$2:$A$5,0)),"✖ الفترة غير صحيحة",IF(ISNA(MATCH($G2959,Lists!$B$2:$B$7,0)),"✖ المجموعة غير صحيحة",IF(NOT(OR($H2959="",$N2959&gt;0)),"✖ Start غير صحيح",IF(NOT(OR($I2959="",$I2959="NR",$O2959&gt;0)),"✖ Current غير صحيح",IF(NOT(IF(ISNUMBER($J2959),AND($J2959&gt;=0,$J2959=INT($J2959)),FALSE())),"✖ العدد يجب أن يكون صحيحًا ≥ 0",IF(AND($F2959="Baseline",$H2959&lt;&gt;""),"⚠ Baseline: Start لا يدخل في التقدم",IF($K2959="No Start (attainment only)","ℹ تحصيل فقط (بدون Start)",IF($K2959="U – needs rule","ℹ حالة U تحتاج قاعدة معتمدة",IF($K2959="No result","ℹ بدون نتيجة (يُستبعد من التحصيل)","OK")))))))))))</f>
        <v/>
      </c>
      <c r="M2959" s="64" t="n">
        <f aca="false">IF($A2959="",0,IFERROR(MATCH($A2959,Classes!$A$6:$A$420,0),0))</f>
        <v>0</v>
      </c>
      <c r="N2959" s="64" t="n">
        <f aca="false">IF($H2959="",0,IFERROR(MATCH($H2959,GradeList,0),0))</f>
        <v>0</v>
      </c>
      <c r="O2959" s="64" t="n">
        <f aca="false">IF(OR($I2959="",$I2959="NR"),0,IFERROR(MATCH($I2959,GradeList,0),0))</f>
        <v>0</v>
      </c>
      <c r="P2959" s="64" t="n">
        <f aca="false">IF(AND($M2959&gt;0,ISNUMBER(MATCH($F2959,Lists!$A$2:$A$5,0)),ISNUMBER(MATCH($G2959,Lists!$B$2:$B$7,0)),OR($H2959="",$N2959&gt;0),OR($I2959="",$I2959="NR",$O2959&gt;0),IF(ISNUMBER($J2959),AND($J2959&gt;=0,$J2959=INT($J2959)),FALSE())),$J2959,0)</f>
        <v>0</v>
      </c>
      <c r="Q2959" s="64" t="n">
        <f aca="false">IF(AND($P2959&gt;0,$O2959&gt;0),$P2959,0)</f>
        <v>0</v>
      </c>
      <c r="R2959" s="64" t="n">
        <f aca="false">IF(AND($Q2959&gt;0,$O2959&gt;=AtRank),$Q2959,0)</f>
        <v>0</v>
      </c>
      <c r="S2959" s="64" t="n">
        <f aca="false">IF(AND($Q2959&gt;0,$O2959&gt;=AboveRank),$Q2959,0)</f>
        <v>0</v>
      </c>
      <c r="T2959" s="64" t="n">
        <f aca="false">IF($K2959="Less",$P2959,0)</f>
        <v>0</v>
      </c>
      <c r="U2959" s="64" t="n">
        <f aca="false">IF($K2959="Expected",$P2959,0)</f>
        <v>0</v>
      </c>
      <c r="V2959" s="64" t="n">
        <f aca="false">IF($K2959="Better",$P2959,0)</f>
        <v>0</v>
      </c>
      <c r="W2959" s="64" t="n">
        <f aca="false">IF($K2959="U – needs rule",$P2959,0)</f>
        <v>0</v>
      </c>
      <c r="X2959" s="64" t="n">
        <f aca="false">IF($K2959="No Start (attainment only)",$P2959,0)</f>
        <v>0</v>
      </c>
    </row>
    <row r="2960" customFormat="false" ht="15" hidden="false" customHeight="false" outlineLevel="0" collapsed="false">
      <c r="A2960" s="60"/>
      <c r="B2960" s="61" t="str">
        <f aca="false">IF($M2960=0,"",INDEX(Classes!$E$6:$E$420,$M2960))</f>
        <v/>
      </c>
      <c r="C2960" s="62" t="str">
        <f aca="false">IF($M2960=0,"",INDEX(Classes!$H$6:$H$420,$M2960))</f>
        <v/>
      </c>
      <c r="D2960" s="61" t="str">
        <f aca="false">IF($M2960=0,"",INDEX(Classes!$B$6:$B$420,$M2960))</f>
        <v/>
      </c>
      <c r="E2960" s="61" t="str">
        <f aca="false">IF($M2960=0,"",INDEX(Classes!$C$6:$C$420,$M2960))</f>
        <v/>
      </c>
      <c r="F2960" s="63"/>
      <c r="G2960" s="63"/>
      <c r="H2960" s="60"/>
      <c r="I2960" s="60"/>
      <c r="J2960" s="63"/>
      <c r="K2960" s="61" t="str">
        <f aca="false">IF($P2960=0,"",IF($F2960="Baseline","— Baseline",IF($O2960=0,"No result",IF($N2960=0,"No Start (attainment only)",IF(OR($N2960=1,$O2960=1),"U – needs rule",INDEX(MxBody,MATCH($I2960,MxCurr,0),MATCH($H2960,MxStart,0)))))))</f>
        <v/>
      </c>
      <c r="L2960" s="62" t="str">
        <f aca="false">IF(COUNTA($A2960,$F2960,$G2960,$H2960,$I2960,$J2960)=0,"",IF($M2960=0,"✖ كود الصف غير موجود",IF(ISNA(MATCH($F2960,Lists!$A$2:$A$5,0)),"✖ الفترة غير صحيحة",IF(ISNA(MATCH($G2960,Lists!$B$2:$B$7,0)),"✖ المجموعة غير صحيحة",IF(NOT(OR($H2960="",$N2960&gt;0)),"✖ Start غير صحيح",IF(NOT(OR($I2960="",$I2960="NR",$O2960&gt;0)),"✖ Current غير صحيح",IF(NOT(IF(ISNUMBER($J2960),AND($J2960&gt;=0,$J2960=INT($J2960)),FALSE())),"✖ العدد يجب أن يكون صحيحًا ≥ 0",IF(AND($F2960="Baseline",$H2960&lt;&gt;""),"⚠ Baseline: Start لا يدخل في التقدم",IF($K2960="No Start (attainment only)","ℹ تحصيل فقط (بدون Start)",IF($K2960="U – needs rule","ℹ حالة U تحتاج قاعدة معتمدة",IF($K2960="No result","ℹ بدون نتيجة (يُستبعد من التحصيل)","OK")))))))))))</f>
        <v/>
      </c>
      <c r="M2960" s="64" t="n">
        <f aca="false">IF($A2960="",0,IFERROR(MATCH($A2960,Classes!$A$6:$A$420,0),0))</f>
        <v>0</v>
      </c>
      <c r="N2960" s="64" t="n">
        <f aca="false">IF($H2960="",0,IFERROR(MATCH($H2960,GradeList,0),0))</f>
        <v>0</v>
      </c>
      <c r="O2960" s="64" t="n">
        <f aca="false">IF(OR($I2960="",$I2960="NR"),0,IFERROR(MATCH($I2960,GradeList,0),0))</f>
        <v>0</v>
      </c>
      <c r="P2960" s="64" t="n">
        <f aca="false">IF(AND($M2960&gt;0,ISNUMBER(MATCH($F2960,Lists!$A$2:$A$5,0)),ISNUMBER(MATCH($G2960,Lists!$B$2:$B$7,0)),OR($H2960="",$N2960&gt;0),OR($I2960="",$I2960="NR",$O2960&gt;0),IF(ISNUMBER($J2960),AND($J2960&gt;=0,$J2960=INT($J2960)),FALSE())),$J2960,0)</f>
        <v>0</v>
      </c>
      <c r="Q2960" s="64" t="n">
        <f aca="false">IF(AND($P2960&gt;0,$O2960&gt;0),$P2960,0)</f>
        <v>0</v>
      </c>
      <c r="R2960" s="64" t="n">
        <f aca="false">IF(AND($Q2960&gt;0,$O2960&gt;=AtRank),$Q2960,0)</f>
        <v>0</v>
      </c>
      <c r="S2960" s="64" t="n">
        <f aca="false">IF(AND($Q2960&gt;0,$O2960&gt;=AboveRank),$Q2960,0)</f>
        <v>0</v>
      </c>
      <c r="T2960" s="64" t="n">
        <f aca="false">IF($K2960="Less",$P2960,0)</f>
        <v>0</v>
      </c>
      <c r="U2960" s="64" t="n">
        <f aca="false">IF($K2960="Expected",$P2960,0)</f>
        <v>0</v>
      </c>
      <c r="V2960" s="64" t="n">
        <f aca="false">IF($K2960="Better",$P2960,0)</f>
        <v>0</v>
      </c>
      <c r="W2960" s="64" t="n">
        <f aca="false">IF($K2960="U – needs rule",$P2960,0)</f>
        <v>0</v>
      </c>
      <c r="X2960" s="64" t="n">
        <f aca="false">IF($K2960="No Start (attainment only)",$P2960,0)</f>
        <v>0</v>
      </c>
    </row>
    <row r="2961" customFormat="false" ht="15" hidden="false" customHeight="false" outlineLevel="0" collapsed="false">
      <c r="A2961" s="60"/>
      <c r="B2961" s="61" t="str">
        <f aca="false">IF($M2961=0,"",INDEX(Classes!$E$6:$E$420,$M2961))</f>
        <v/>
      </c>
      <c r="C2961" s="62" t="str">
        <f aca="false">IF($M2961=0,"",INDEX(Classes!$H$6:$H$420,$M2961))</f>
        <v/>
      </c>
      <c r="D2961" s="61" t="str">
        <f aca="false">IF($M2961=0,"",INDEX(Classes!$B$6:$B$420,$M2961))</f>
        <v/>
      </c>
      <c r="E2961" s="61" t="str">
        <f aca="false">IF($M2961=0,"",INDEX(Classes!$C$6:$C$420,$M2961))</f>
        <v/>
      </c>
      <c r="F2961" s="63"/>
      <c r="G2961" s="63"/>
      <c r="H2961" s="60"/>
      <c r="I2961" s="60"/>
      <c r="J2961" s="63"/>
      <c r="K2961" s="61" t="str">
        <f aca="false">IF($P2961=0,"",IF($F2961="Baseline","— Baseline",IF($O2961=0,"No result",IF($N2961=0,"No Start (attainment only)",IF(OR($N2961=1,$O2961=1),"U – needs rule",INDEX(MxBody,MATCH($I2961,MxCurr,0),MATCH($H2961,MxStart,0)))))))</f>
        <v/>
      </c>
      <c r="L2961" s="62" t="str">
        <f aca="false">IF(COUNTA($A2961,$F2961,$G2961,$H2961,$I2961,$J2961)=0,"",IF($M2961=0,"✖ كود الصف غير موجود",IF(ISNA(MATCH($F2961,Lists!$A$2:$A$5,0)),"✖ الفترة غير صحيحة",IF(ISNA(MATCH($G2961,Lists!$B$2:$B$7,0)),"✖ المجموعة غير صحيحة",IF(NOT(OR($H2961="",$N2961&gt;0)),"✖ Start غير صحيح",IF(NOT(OR($I2961="",$I2961="NR",$O2961&gt;0)),"✖ Current غير صحيح",IF(NOT(IF(ISNUMBER($J2961),AND($J2961&gt;=0,$J2961=INT($J2961)),FALSE())),"✖ العدد يجب أن يكون صحيحًا ≥ 0",IF(AND($F2961="Baseline",$H2961&lt;&gt;""),"⚠ Baseline: Start لا يدخل في التقدم",IF($K2961="No Start (attainment only)","ℹ تحصيل فقط (بدون Start)",IF($K2961="U – needs rule","ℹ حالة U تحتاج قاعدة معتمدة",IF($K2961="No result","ℹ بدون نتيجة (يُستبعد من التحصيل)","OK")))))))))))</f>
        <v/>
      </c>
      <c r="M2961" s="64" t="n">
        <f aca="false">IF($A2961="",0,IFERROR(MATCH($A2961,Classes!$A$6:$A$420,0),0))</f>
        <v>0</v>
      </c>
      <c r="N2961" s="64" t="n">
        <f aca="false">IF($H2961="",0,IFERROR(MATCH($H2961,GradeList,0),0))</f>
        <v>0</v>
      </c>
      <c r="O2961" s="64" t="n">
        <f aca="false">IF(OR($I2961="",$I2961="NR"),0,IFERROR(MATCH($I2961,GradeList,0),0))</f>
        <v>0</v>
      </c>
      <c r="P2961" s="64" t="n">
        <f aca="false">IF(AND($M2961&gt;0,ISNUMBER(MATCH($F2961,Lists!$A$2:$A$5,0)),ISNUMBER(MATCH($G2961,Lists!$B$2:$B$7,0)),OR($H2961="",$N2961&gt;0),OR($I2961="",$I2961="NR",$O2961&gt;0),IF(ISNUMBER($J2961),AND($J2961&gt;=0,$J2961=INT($J2961)),FALSE())),$J2961,0)</f>
        <v>0</v>
      </c>
      <c r="Q2961" s="64" t="n">
        <f aca="false">IF(AND($P2961&gt;0,$O2961&gt;0),$P2961,0)</f>
        <v>0</v>
      </c>
      <c r="R2961" s="64" t="n">
        <f aca="false">IF(AND($Q2961&gt;0,$O2961&gt;=AtRank),$Q2961,0)</f>
        <v>0</v>
      </c>
      <c r="S2961" s="64" t="n">
        <f aca="false">IF(AND($Q2961&gt;0,$O2961&gt;=AboveRank),$Q2961,0)</f>
        <v>0</v>
      </c>
      <c r="T2961" s="64" t="n">
        <f aca="false">IF($K2961="Less",$P2961,0)</f>
        <v>0</v>
      </c>
      <c r="U2961" s="64" t="n">
        <f aca="false">IF($K2961="Expected",$P2961,0)</f>
        <v>0</v>
      </c>
      <c r="V2961" s="64" t="n">
        <f aca="false">IF($K2961="Better",$P2961,0)</f>
        <v>0</v>
      </c>
      <c r="W2961" s="64" t="n">
        <f aca="false">IF($K2961="U – needs rule",$P2961,0)</f>
        <v>0</v>
      </c>
      <c r="X2961" s="64" t="n">
        <f aca="false">IF($K2961="No Start (attainment only)",$P2961,0)</f>
        <v>0</v>
      </c>
    </row>
    <row r="2962" customFormat="false" ht="15" hidden="false" customHeight="false" outlineLevel="0" collapsed="false">
      <c r="A2962" s="60"/>
      <c r="B2962" s="61" t="str">
        <f aca="false">IF($M2962=0,"",INDEX(Classes!$E$6:$E$420,$M2962))</f>
        <v/>
      </c>
      <c r="C2962" s="62" t="str">
        <f aca="false">IF($M2962=0,"",INDEX(Classes!$H$6:$H$420,$M2962))</f>
        <v/>
      </c>
      <c r="D2962" s="61" t="str">
        <f aca="false">IF($M2962=0,"",INDEX(Classes!$B$6:$B$420,$M2962))</f>
        <v/>
      </c>
      <c r="E2962" s="61" t="str">
        <f aca="false">IF($M2962=0,"",INDEX(Classes!$C$6:$C$420,$M2962))</f>
        <v/>
      </c>
      <c r="F2962" s="63"/>
      <c r="G2962" s="63"/>
      <c r="H2962" s="60"/>
      <c r="I2962" s="60"/>
      <c r="J2962" s="63"/>
      <c r="K2962" s="61" t="str">
        <f aca="false">IF($P2962=0,"",IF($F2962="Baseline","— Baseline",IF($O2962=0,"No result",IF($N2962=0,"No Start (attainment only)",IF(OR($N2962=1,$O2962=1),"U – needs rule",INDEX(MxBody,MATCH($I2962,MxCurr,0),MATCH($H2962,MxStart,0)))))))</f>
        <v/>
      </c>
      <c r="L2962" s="62" t="str">
        <f aca="false">IF(COUNTA($A2962,$F2962,$G2962,$H2962,$I2962,$J2962)=0,"",IF($M2962=0,"✖ كود الصف غير موجود",IF(ISNA(MATCH($F2962,Lists!$A$2:$A$5,0)),"✖ الفترة غير صحيحة",IF(ISNA(MATCH($G2962,Lists!$B$2:$B$7,0)),"✖ المجموعة غير صحيحة",IF(NOT(OR($H2962="",$N2962&gt;0)),"✖ Start غير صحيح",IF(NOT(OR($I2962="",$I2962="NR",$O2962&gt;0)),"✖ Current غير صحيح",IF(NOT(IF(ISNUMBER($J2962),AND($J2962&gt;=0,$J2962=INT($J2962)),FALSE())),"✖ العدد يجب أن يكون صحيحًا ≥ 0",IF(AND($F2962="Baseline",$H2962&lt;&gt;""),"⚠ Baseline: Start لا يدخل في التقدم",IF($K2962="No Start (attainment only)","ℹ تحصيل فقط (بدون Start)",IF($K2962="U – needs rule","ℹ حالة U تحتاج قاعدة معتمدة",IF($K2962="No result","ℹ بدون نتيجة (يُستبعد من التحصيل)","OK")))))))))))</f>
        <v/>
      </c>
      <c r="M2962" s="64" t="n">
        <f aca="false">IF($A2962="",0,IFERROR(MATCH($A2962,Classes!$A$6:$A$420,0),0))</f>
        <v>0</v>
      </c>
      <c r="N2962" s="64" t="n">
        <f aca="false">IF($H2962="",0,IFERROR(MATCH($H2962,GradeList,0),0))</f>
        <v>0</v>
      </c>
      <c r="O2962" s="64" t="n">
        <f aca="false">IF(OR($I2962="",$I2962="NR"),0,IFERROR(MATCH($I2962,GradeList,0),0))</f>
        <v>0</v>
      </c>
      <c r="P2962" s="64" t="n">
        <f aca="false">IF(AND($M2962&gt;0,ISNUMBER(MATCH($F2962,Lists!$A$2:$A$5,0)),ISNUMBER(MATCH($G2962,Lists!$B$2:$B$7,0)),OR($H2962="",$N2962&gt;0),OR($I2962="",$I2962="NR",$O2962&gt;0),IF(ISNUMBER($J2962),AND($J2962&gt;=0,$J2962=INT($J2962)),FALSE())),$J2962,0)</f>
        <v>0</v>
      </c>
      <c r="Q2962" s="64" t="n">
        <f aca="false">IF(AND($P2962&gt;0,$O2962&gt;0),$P2962,0)</f>
        <v>0</v>
      </c>
      <c r="R2962" s="64" t="n">
        <f aca="false">IF(AND($Q2962&gt;0,$O2962&gt;=AtRank),$Q2962,0)</f>
        <v>0</v>
      </c>
      <c r="S2962" s="64" t="n">
        <f aca="false">IF(AND($Q2962&gt;0,$O2962&gt;=AboveRank),$Q2962,0)</f>
        <v>0</v>
      </c>
      <c r="T2962" s="64" t="n">
        <f aca="false">IF($K2962="Less",$P2962,0)</f>
        <v>0</v>
      </c>
      <c r="U2962" s="64" t="n">
        <f aca="false">IF($K2962="Expected",$P2962,0)</f>
        <v>0</v>
      </c>
      <c r="V2962" s="64" t="n">
        <f aca="false">IF($K2962="Better",$P2962,0)</f>
        <v>0</v>
      </c>
      <c r="W2962" s="64" t="n">
        <f aca="false">IF($K2962="U – needs rule",$P2962,0)</f>
        <v>0</v>
      </c>
      <c r="X2962" s="64" t="n">
        <f aca="false">IF($K2962="No Start (attainment only)",$P2962,0)</f>
        <v>0</v>
      </c>
    </row>
    <row r="2963" customFormat="false" ht="15" hidden="false" customHeight="false" outlineLevel="0" collapsed="false">
      <c r="A2963" s="60"/>
      <c r="B2963" s="61" t="str">
        <f aca="false">IF($M2963=0,"",INDEX(Classes!$E$6:$E$420,$M2963))</f>
        <v/>
      </c>
      <c r="C2963" s="62" t="str">
        <f aca="false">IF($M2963=0,"",INDEX(Classes!$H$6:$H$420,$M2963))</f>
        <v/>
      </c>
      <c r="D2963" s="61" t="str">
        <f aca="false">IF($M2963=0,"",INDEX(Classes!$B$6:$B$420,$M2963))</f>
        <v/>
      </c>
      <c r="E2963" s="61" t="str">
        <f aca="false">IF($M2963=0,"",INDEX(Classes!$C$6:$C$420,$M2963))</f>
        <v/>
      </c>
      <c r="F2963" s="63"/>
      <c r="G2963" s="63"/>
      <c r="H2963" s="60"/>
      <c r="I2963" s="60"/>
      <c r="J2963" s="63"/>
      <c r="K2963" s="61" t="str">
        <f aca="false">IF($P2963=0,"",IF($F2963="Baseline","— Baseline",IF($O2963=0,"No result",IF($N2963=0,"No Start (attainment only)",IF(OR($N2963=1,$O2963=1),"U – needs rule",INDEX(MxBody,MATCH($I2963,MxCurr,0),MATCH($H2963,MxStart,0)))))))</f>
        <v/>
      </c>
      <c r="L2963" s="62" t="str">
        <f aca="false">IF(COUNTA($A2963,$F2963,$G2963,$H2963,$I2963,$J2963)=0,"",IF($M2963=0,"✖ كود الصف غير موجود",IF(ISNA(MATCH($F2963,Lists!$A$2:$A$5,0)),"✖ الفترة غير صحيحة",IF(ISNA(MATCH($G2963,Lists!$B$2:$B$7,0)),"✖ المجموعة غير صحيحة",IF(NOT(OR($H2963="",$N2963&gt;0)),"✖ Start غير صحيح",IF(NOT(OR($I2963="",$I2963="NR",$O2963&gt;0)),"✖ Current غير صحيح",IF(NOT(IF(ISNUMBER($J2963),AND($J2963&gt;=0,$J2963=INT($J2963)),FALSE())),"✖ العدد يجب أن يكون صحيحًا ≥ 0",IF(AND($F2963="Baseline",$H2963&lt;&gt;""),"⚠ Baseline: Start لا يدخل في التقدم",IF($K2963="No Start (attainment only)","ℹ تحصيل فقط (بدون Start)",IF($K2963="U – needs rule","ℹ حالة U تحتاج قاعدة معتمدة",IF($K2963="No result","ℹ بدون نتيجة (يُستبعد من التحصيل)","OK")))))))))))</f>
        <v/>
      </c>
      <c r="M2963" s="64" t="n">
        <f aca="false">IF($A2963="",0,IFERROR(MATCH($A2963,Classes!$A$6:$A$420,0),0))</f>
        <v>0</v>
      </c>
      <c r="N2963" s="64" t="n">
        <f aca="false">IF($H2963="",0,IFERROR(MATCH($H2963,GradeList,0),0))</f>
        <v>0</v>
      </c>
      <c r="O2963" s="64" t="n">
        <f aca="false">IF(OR($I2963="",$I2963="NR"),0,IFERROR(MATCH($I2963,GradeList,0),0))</f>
        <v>0</v>
      </c>
      <c r="P2963" s="64" t="n">
        <f aca="false">IF(AND($M2963&gt;0,ISNUMBER(MATCH($F2963,Lists!$A$2:$A$5,0)),ISNUMBER(MATCH($G2963,Lists!$B$2:$B$7,0)),OR($H2963="",$N2963&gt;0),OR($I2963="",$I2963="NR",$O2963&gt;0),IF(ISNUMBER($J2963),AND($J2963&gt;=0,$J2963=INT($J2963)),FALSE())),$J2963,0)</f>
        <v>0</v>
      </c>
      <c r="Q2963" s="64" t="n">
        <f aca="false">IF(AND($P2963&gt;0,$O2963&gt;0),$P2963,0)</f>
        <v>0</v>
      </c>
      <c r="R2963" s="64" t="n">
        <f aca="false">IF(AND($Q2963&gt;0,$O2963&gt;=AtRank),$Q2963,0)</f>
        <v>0</v>
      </c>
      <c r="S2963" s="64" t="n">
        <f aca="false">IF(AND($Q2963&gt;0,$O2963&gt;=AboveRank),$Q2963,0)</f>
        <v>0</v>
      </c>
      <c r="T2963" s="64" t="n">
        <f aca="false">IF($K2963="Less",$P2963,0)</f>
        <v>0</v>
      </c>
      <c r="U2963" s="64" t="n">
        <f aca="false">IF($K2963="Expected",$P2963,0)</f>
        <v>0</v>
      </c>
      <c r="V2963" s="64" t="n">
        <f aca="false">IF($K2963="Better",$P2963,0)</f>
        <v>0</v>
      </c>
      <c r="W2963" s="64" t="n">
        <f aca="false">IF($K2963="U – needs rule",$P2963,0)</f>
        <v>0</v>
      </c>
      <c r="X2963" s="64" t="n">
        <f aca="false">IF($K2963="No Start (attainment only)",$P2963,0)</f>
        <v>0</v>
      </c>
    </row>
    <row r="2964" customFormat="false" ht="15" hidden="false" customHeight="false" outlineLevel="0" collapsed="false">
      <c r="A2964" s="60"/>
      <c r="B2964" s="61" t="str">
        <f aca="false">IF($M2964=0,"",INDEX(Classes!$E$6:$E$420,$M2964))</f>
        <v/>
      </c>
      <c r="C2964" s="62" t="str">
        <f aca="false">IF($M2964=0,"",INDEX(Classes!$H$6:$H$420,$M2964))</f>
        <v/>
      </c>
      <c r="D2964" s="61" t="str">
        <f aca="false">IF($M2964=0,"",INDEX(Classes!$B$6:$B$420,$M2964))</f>
        <v/>
      </c>
      <c r="E2964" s="61" t="str">
        <f aca="false">IF($M2964=0,"",INDEX(Classes!$C$6:$C$420,$M2964))</f>
        <v/>
      </c>
      <c r="F2964" s="63"/>
      <c r="G2964" s="63"/>
      <c r="H2964" s="60"/>
      <c r="I2964" s="60"/>
      <c r="J2964" s="63"/>
      <c r="K2964" s="61" t="str">
        <f aca="false">IF($P2964=0,"",IF($F2964="Baseline","— Baseline",IF($O2964=0,"No result",IF($N2964=0,"No Start (attainment only)",IF(OR($N2964=1,$O2964=1),"U – needs rule",INDEX(MxBody,MATCH($I2964,MxCurr,0),MATCH($H2964,MxStart,0)))))))</f>
        <v/>
      </c>
      <c r="L2964" s="62" t="str">
        <f aca="false">IF(COUNTA($A2964,$F2964,$G2964,$H2964,$I2964,$J2964)=0,"",IF($M2964=0,"✖ كود الصف غير موجود",IF(ISNA(MATCH($F2964,Lists!$A$2:$A$5,0)),"✖ الفترة غير صحيحة",IF(ISNA(MATCH($G2964,Lists!$B$2:$B$7,0)),"✖ المجموعة غير صحيحة",IF(NOT(OR($H2964="",$N2964&gt;0)),"✖ Start غير صحيح",IF(NOT(OR($I2964="",$I2964="NR",$O2964&gt;0)),"✖ Current غير صحيح",IF(NOT(IF(ISNUMBER($J2964),AND($J2964&gt;=0,$J2964=INT($J2964)),FALSE())),"✖ العدد يجب أن يكون صحيحًا ≥ 0",IF(AND($F2964="Baseline",$H2964&lt;&gt;""),"⚠ Baseline: Start لا يدخل في التقدم",IF($K2964="No Start (attainment only)","ℹ تحصيل فقط (بدون Start)",IF($K2964="U – needs rule","ℹ حالة U تحتاج قاعدة معتمدة",IF($K2964="No result","ℹ بدون نتيجة (يُستبعد من التحصيل)","OK")))))))))))</f>
        <v/>
      </c>
      <c r="M2964" s="64" t="n">
        <f aca="false">IF($A2964="",0,IFERROR(MATCH($A2964,Classes!$A$6:$A$420,0),0))</f>
        <v>0</v>
      </c>
      <c r="N2964" s="64" t="n">
        <f aca="false">IF($H2964="",0,IFERROR(MATCH($H2964,GradeList,0),0))</f>
        <v>0</v>
      </c>
      <c r="O2964" s="64" t="n">
        <f aca="false">IF(OR($I2964="",$I2964="NR"),0,IFERROR(MATCH($I2964,GradeList,0),0))</f>
        <v>0</v>
      </c>
      <c r="P2964" s="64" t="n">
        <f aca="false">IF(AND($M2964&gt;0,ISNUMBER(MATCH($F2964,Lists!$A$2:$A$5,0)),ISNUMBER(MATCH($G2964,Lists!$B$2:$B$7,0)),OR($H2964="",$N2964&gt;0),OR($I2964="",$I2964="NR",$O2964&gt;0),IF(ISNUMBER($J2964),AND($J2964&gt;=0,$J2964=INT($J2964)),FALSE())),$J2964,0)</f>
        <v>0</v>
      </c>
      <c r="Q2964" s="64" t="n">
        <f aca="false">IF(AND($P2964&gt;0,$O2964&gt;0),$P2964,0)</f>
        <v>0</v>
      </c>
      <c r="R2964" s="64" t="n">
        <f aca="false">IF(AND($Q2964&gt;0,$O2964&gt;=AtRank),$Q2964,0)</f>
        <v>0</v>
      </c>
      <c r="S2964" s="64" t="n">
        <f aca="false">IF(AND($Q2964&gt;0,$O2964&gt;=AboveRank),$Q2964,0)</f>
        <v>0</v>
      </c>
      <c r="T2964" s="64" t="n">
        <f aca="false">IF($K2964="Less",$P2964,0)</f>
        <v>0</v>
      </c>
      <c r="U2964" s="64" t="n">
        <f aca="false">IF($K2964="Expected",$P2964,0)</f>
        <v>0</v>
      </c>
      <c r="V2964" s="64" t="n">
        <f aca="false">IF($K2964="Better",$P2964,0)</f>
        <v>0</v>
      </c>
      <c r="W2964" s="64" t="n">
        <f aca="false">IF($K2964="U – needs rule",$P2964,0)</f>
        <v>0</v>
      </c>
      <c r="X2964" s="64" t="n">
        <f aca="false">IF($K2964="No Start (attainment only)",$P2964,0)</f>
        <v>0</v>
      </c>
    </row>
    <row r="2965" customFormat="false" ht="15" hidden="false" customHeight="false" outlineLevel="0" collapsed="false">
      <c r="A2965" s="60"/>
      <c r="B2965" s="61" t="str">
        <f aca="false">IF($M2965=0,"",INDEX(Classes!$E$6:$E$420,$M2965))</f>
        <v/>
      </c>
      <c r="C2965" s="62" t="str">
        <f aca="false">IF($M2965=0,"",INDEX(Classes!$H$6:$H$420,$M2965))</f>
        <v/>
      </c>
      <c r="D2965" s="61" t="str">
        <f aca="false">IF($M2965=0,"",INDEX(Classes!$B$6:$B$420,$M2965))</f>
        <v/>
      </c>
      <c r="E2965" s="61" t="str">
        <f aca="false">IF($M2965=0,"",INDEX(Classes!$C$6:$C$420,$M2965))</f>
        <v/>
      </c>
      <c r="F2965" s="63"/>
      <c r="G2965" s="63"/>
      <c r="H2965" s="60"/>
      <c r="I2965" s="60"/>
      <c r="J2965" s="63"/>
      <c r="K2965" s="61" t="str">
        <f aca="false">IF($P2965=0,"",IF($F2965="Baseline","— Baseline",IF($O2965=0,"No result",IF($N2965=0,"No Start (attainment only)",IF(OR($N2965=1,$O2965=1),"U – needs rule",INDEX(MxBody,MATCH($I2965,MxCurr,0),MATCH($H2965,MxStart,0)))))))</f>
        <v/>
      </c>
      <c r="L2965" s="62" t="str">
        <f aca="false">IF(COUNTA($A2965,$F2965,$G2965,$H2965,$I2965,$J2965)=0,"",IF($M2965=0,"✖ كود الصف غير موجود",IF(ISNA(MATCH($F2965,Lists!$A$2:$A$5,0)),"✖ الفترة غير صحيحة",IF(ISNA(MATCH($G2965,Lists!$B$2:$B$7,0)),"✖ المجموعة غير صحيحة",IF(NOT(OR($H2965="",$N2965&gt;0)),"✖ Start غير صحيح",IF(NOT(OR($I2965="",$I2965="NR",$O2965&gt;0)),"✖ Current غير صحيح",IF(NOT(IF(ISNUMBER($J2965),AND($J2965&gt;=0,$J2965=INT($J2965)),FALSE())),"✖ العدد يجب أن يكون صحيحًا ≥ 0",IF(AND($F2965="Baseline",$H2965&lt;&gt;""),"⚠ Baseline: Start لا يدخل في التقدم",IF($K2965="No Start (attainment only)","ℹ تحصيل فقط (بدون Start)",IF($K2965="U – needs rule","ℹ حالة U تحتاج قاعدة معتمدة",IF($K2965="No result","ℹ بدون نتيجة (يُستبعد من التحصيل)","OK")))))))))))</f>
        <v/>
      </c>
      <c r="M2965" s="64" t="n">
        <f aca="false">IF($A2965="",0,IFERROR(MATCH($A2965,Classes!$A$6:$A$420,0),0))</f>
        <v>0</v>
      </c>
      <c r="N2965" s="64" t="n">
        <f aca="false">IF($H2965="",0,IFERROR(MATCH($H2965,GradeList,0),0))</f>
        <v>0</v>
      </c>
      <c r="O2965" s="64" t="n">
        <f aca="false">IF(OR($I2965="",$I2965="NR"),0,IFERROR(MATCH($I2965,GradeList,0),0))</f>
        <v>0</v>
      </c>
      <c r="P2965" s="64" t="n">
        <f aca="false">IF(AND($M2965&gt;0,ISNUMBER(MATCH($F2965,Lists!$A$2:$A$5,0)),ISNUMBER(MATCH($G2965,Lists!$B$2:$B$7,0)),OR($H2965="",$N2965&gt;0),OR($I2965="",$I2965="NR",$O2965&gt;0),IF(ISNUMBER($J2965),AND($J2965&gt;=0,$J2965=INT($J2965)),FALSE())),$J2965,0)</f>
        <v>0</v>
      </c>
      <c r="Q2965" s="64" t="n">
        <f aca="false">IF(AND($P2965&gt;0,$O2965&gt;0),$P2965,0)</f>
        <v>0</v>
      </c>
      <c r="R2965" s="64" t="n">
        <f aca="false">IF(AND($Q2965&gt;0,$O2965&gt;=AtRank),$Q2965,0)</f>
        <v>0</v>
      </c>
      <c r="S2965" s="64" t="n">
        <f aca="false">IF(AND($Q2965&gt;0,$O2965&gt;=AboveRank),$Q2965,0)</f>
        <v>0</v>
      </c>
      <c r="T2965" s="64" t="n">
        <f aca="false">IF($K2965="Less",$P2965,0)</f>
        <v>0</v>
      </c>
      <c r="U2965" s="64" t="n">
        <f aca="false">IF($K2965="Expected",$P2965,0)</f>
        <v>0</v>
      </c>
      <c r="V2965" s="64" t="n">
        <f aca="false">IF($K2965="Better",$P2965,0)</f>
        <v>0</v>
      </c>
      <c r="W2965" s="64" t="n">
        <f aca="false">IF($K2965="U – needs rule",$P2965,0)</f>
        <v>0</v>
      </c>
      <c r="X2965" s="64" t="n">
        <f aca="false">IF($K2965="No Start (attainment only)",$P2965,0)</f>
        <v>0</v>
      </c>
    </row>
    <row r="2966" customFormat="false" ht="15" hidden="false" customHeight="false" outlineLevel="0" collapsed="false">
      <c r="A2966" s="60"/>
      <c r="B2966" s="61" t="str">
        <f aca="false">IF($M2966=0,"",INDEX(Classes!$E$6:$E$420,$M2966))</f>
        <v/>
      </c>
      <c r="C2966" s="62" t="str">
        <f aca="false">IF($M2966=0,"",INDEX(Classes!$H$6:$H$420,$M2966))</f>
        <v/>
      </c>
      <c r="D2966" s="61" t="str">
        <f aca="false">IF($M2966=0,"",INDEX(Classes!$B$6:$B$420,$M2966))</f>
        <v/>
      </c>
      <c r="E2966" s="61" t="str">
        <f aca="false">IF($M2966=0,"",INDEX(Classes!$C$6:$C$420,$M2966))</f>
        <v/>
      </c>
      <c r="F2966" s="63"/>
      <c r="G2966" s="63"/>
      <c r="H2966" s="60"/>
      <c r="I2966" s="60"/>
      <c r="J2966" s="63"/>
      <c r="K2966" s="61" t="str">
        <f aca="false">IF($P2966=0,"",IF($F2966="Baseline","— Baseline",IF($O2966=0,"No result",IF($N2966=0,"No Start (attainment only)",IF(OR($N2966=1,$O2966=1),"U – needs rule",INDEX(MxBody,MATCH($I2966,MxCurr,0),MATCH($H2966,MxStart,0)))))))</f>
        <v/>
      </c>
      <c r="L2966" s="62" t="str">
        <f aca="false">IF(COUNTA($A2966,$F2966,$G2966,$H2966,$I2966,$J2966)=0,"",IF($M2966=0,"✖ كود الصف غير موجود",IF(ISNA(MATCH($F2966,Lists!$A$2:$A$5,0)),"✖ الفترة غير صحيحة",IF(ISNA(MATCH($G2966,Lists!$B$2:$B$7,0)),"✖ المجموعة غير صحيحة",IF(NOT(OR($H2966="",$N2966&gt;0)),"✖ Start غير صحيح",IF(NOT(OR($I2966="",$I2966="NR",$O2966&gt;0)),"✖ Current غير صحيح",IF(NOT(IF(ISNUMBER($J2966),AND($J2966&gt;=0,$J2966=INT($J2966)),FALSE())),"✖ العدد يجب أن يكون صحيحًا ≥ 0",IF(AND($F2966="Baseline",$H2966&lt;&gt;""),"⚠ Baseline: Start لا يدخل في التقدم",IF($K2966="No Start (attainment only)","ℹ تحصيل فقط (بدون Start)",IF($K2966="U – needs rule","ℹ حالة U تحتاج قاعدة معتمدة",IF($K2966="No result","ℹ بدون نتيجة (يُستبعد من التحصيل)","OK")))))))))))</f>
        <v/>
      </c>
      <c r="M2966" s="64" t="n">
        <f aca="false">IF($A2966="",0,IFERROR(MATCH($A2966,Classes!$A$6:$A$420,0),0))</f>
        <v>0</v>
      </c>
      <c r="N2966" s="64" t="n">
        <f aca="false">IF($H2966="",0,IFERROR(MATCH($H2966,GradeList,0),0))</f>
        <v>0</v>
      </c>
      <c r="O2966" s="64" t="n">
        <f aca="false">IF(OR($I2966="",$I2966="NR"),0,IFERROR(MATCH($I2966,GradeList,0),0))</f>
        <v>0</v>
      </c>
      <c r="P2966" s="64" t="n">
        <f aca="false">IF(AND($M2966&gt;0,ISNUMBER(MATCH($F2966,Lists!$A$2:$A$5,0)),ISNUMBER(MATCH($G2966,Lists!$B$2:$B$7,0)),OR($H2966="",$N2966&gt;0),OR($I2966="",$I2966="NR",$O2966&gt;0),IF(ISNUMBER($J2966),AND($J2966&gt;=0,$J2966=INT($J2966)),FALSE())),$J2966,0)</f>
        <v>0</v>
      </c>
      <c r="Q2966" s="64" t="n">
        <f aca="false">IF(AND($P2966&gt;0,$O2966&gt;0),$P2966,0)</f>
        <v>0</v>
      </c>
      <c r="R2966" s="64" t="n">
        <f aca="false">IF(AND($Q2966&gt;0,$O2966&gt;=AtRank),$Q2966,0)</f>
        <v>0</v>
      </c>
      <c r="S2966" s="64" t="n">
        <f aca="false">IF(AND($Q2966&gt;0,$O2966&gt;=AboveRank),$Q2966,0)</f>
        <v>0</v>
      </c>
      <c r="T2966" s="64" t="n">
        <f aca="false">IF($K2966="Less",$P2966,0)</f>
        <v>0</v>
      </c>
      <c r="U2966" s="64" t="n">
        <f aca="false">IF($K2966="Expected",$P2966,0)</f>
        <v>0</v>
      </c>
      <c r="V2966" s="64" t="n">
        <f aca="false">IF($K2966="Better",$P2966,0)</f>
        <v>0</v>
      </c>
      <c r="W2966" s="64" t="n">
        <f aca="false">IF($K2966="U – needs rule",$P2966,0)</f>
        <v>0</v>
      </c>
      <c r="X2966" s="64" t="n">
        <f aca="false">IF($K2966="No Start (attainment only)",$P2966,0)</f>
        <v>0</v>
      </c>
    </row>
    <row r="2967" customFormat="false" ht="15" hidden="false" customHeight="false" outlineLevel="0" collapsed="false">
      <c r="A2967" s="60"/>
      <c r="B2967" s="61" t="str">
        <f aca="false">IF($M2967=0,"",INDEX(Classes!$E$6:$E$420,$M2967))</f>
        <v/>
      </c>
      <c r="C2967" s="62" t="str">
        <f aca="false">IF($M2967=0,"",INDEX(Classes!$H$6:$H$420,$M2967))</f>
        <v/>
      </c>
      <c r="D2967" s="61" t="str">
        <f aca="false">IF($M2967=0,"",INDEX(Classes!$B$6:$B$420,$M2967))</f>
        <v/>
      </c>
      <c r="E2967" s="61" t="str">
        <f aca="false">IF($M2967=0,"",INDEX(Classes!$C$6:$C$420,$M2967))</f>
        <v/>
      </c>
      <c r="F2967" s="63"/>
      <c r="G2967" s="63"/>
      <c r="H2967" s="60"/>
      <c r="I2967" s="60"/>
      <c r="J2967" s="63"/>
      <c r="K2967" s="61" t="str">
        <f aca="false">IF($P2967=0,"",IF($F2967="Baseline","— Baseline",IF($O2967=0,"No result",IF($N2967=0,"No Start (attainment only)",IF(OR($N2967=1,$O2967=1),"U – needs rule",INDEX(MxBody,MATCH($I2967,MxCurr,0),MATCH($H2967,MxStart,0)))))))</f>
        <v/>
      </c>
      <c r="L2967" s="62" t="str">
        <f aca="false">IF(COUNTA($A2967,$F2967,$G2967,$H2967,$I2967,$J2967)=0,"",IF($M2967=0,"✖ كود الصف غير موجود",IF(ISNA(MATCH($F2967,Lists!$A$2:$A$5,0)),"✖ الفترة غير صحيحة",IF(ISNA(MATCH($G2967,Lists!$B$2:$B$7,0)),"✖ المجموعة غير صحيحة",IF(NOT(OR($H2967="",$N2967&gt;0)),"✖ Start غير صحيح",IF(NOT(OR($I2967="",$I2967="NR",$O2967&gt;0)),"✖ Current غير صحيح",IF(NOT(IF(ISNUMBER($J2967),AND($J2967&gt;=0,$J2967=INT($J2967)),FALSE())),"✖ العدد يجب أن يكون صحيحًا ≥ 0",IF(AND($F2967="Baseline",$H2967&lt;&gt;""),"⚠ Baseline: Start لا يدخل في التقدم",IF($K2967="No Start (attainment only)","ℹ تحصيل فقط (بدون Start)",IF($K2967="U – needs rule","ℹ حالة U تحتاج قاعدة معتمدة",IF($K2967="No result","ℹ بدون نتيجة (يُستبعد من التحصيل)","OK")))))))))))</f>
        <v/>
      </c>
      <c r="M2967" s="64" t="n">
        <f aca="false">IF($A2967="",0,IFERROR(MATCH($A2967,Classes!$A$6:$A$420,0),0))</f>
        <v>0</v>
      </c>
      <c r="N2967" s="64" t="n">
        <f aca="false">IF($H2967="",0,IFERROR(MATCH($H2967,GradeList,0),0))</f>
        <v>0</v>
      </c>
      <c r="O2967" s="64" t="n">
        <f aca="false">IF(OR($I2967="",$I2967="NR"),0,IFERROR(MATCH($I2967,GradeList,0),0))</f>
        <v>0</v>
      </c>
      <c r="P2967" s="64" t="n">
        <f aca="false">IF(AND($M2967&gt;0,ISNUMBER(MATCH($F2967,Lists!$A$2:$A$5,0)),ISNUMBER(MATCH($G2967,Lists!$B$2:$B$7,0)),OR($H2967="",$N2967&gt;0),OR($I2967="",$I2967="NR",$O2967&gt;0),IF(ISNUMBER($J2967),AND($J2967&gt;=0,$J2967=INT($J2967)),FALSE())),$J2967,0)</f>
        <v>0</v>
      </c>
      <c r="Q2967" s="64" t="n">
        <f aca="false">IF(AND($P2967&gt;0,$O2967&gt;0),$P2967,0)</f>
        <v>0</v>
      </c>
      <c r="R2967" s="64" t="n">
        <f aca="false">IF(AND($Q2967&gt;0,$O2967&gt;=AtRank),$Q2967,0)</f>
        <v>0</v>
      </c>
      <c r="S2967" s="64" t="n">
        <f aca="false">IF(AND($Q2967&gt;0,$O2967&gt;=AboveRank),$Q2967,0)</f>
        <v>0</v>
      </c>
      <c r="T2967" s="64" t="n">
        <f aca="false">IF($K2967="Less",$P2967,0)</f>
        <v>0</v>
      </c>
      <c r="U2967" s="64" t="n">
        <f aca="false">IF($K2967="Expected",$P2967,0)</f>
        <v>0</v>
      </c>
      <c r="V2967" s="64" t="n">
        <f aca="false">IF($K2967="Better",$P2967,0)</f>
        <v>0</v>
      </c>
      <c r="W2967" s="64" t="n">
        <f aca="false">IF($K2967="U – needs rule",$P2967,0)</f>
        <v>0</v>
      </c>
      <c r="X2967" s="64" t="n">
        <f aca="false">IF($K2967="No Start (attainment only)",$P2967,0)</f>
        <v>0</v>
      </c>
    </row>
    <row r="2968" customFormat="false" ht="15" hidden="false" customHeight="false" outlineLevel="0" collapsed="false">
      <c r="A2968" s="60"/>
      <c r="B2968" s="61" t="str">
        <f aca="false">IF($M2968=0,"",INDEX(Classes!$E$6:$E$420,$M2968))</f>
        <v/>
      </c>
      <c r="C2968" s="62" t="str">
        <f aca="false">IF($M2968=0,"",INDEX(Classes!$H$6:$H$420,$M2968))</f>
        <v/>
      </c>
      <c r="D2968" s="61" t="str">
        <f aca="false">IF($M2968=0,"",INDEX(Classes!$B$6:$B$420,$M2968))</f>
        <v/>
      </c>
      <c r="E2968" s="61" t="str">
        <f aca="false">IF($M2968=0,"",INDEX(Classes!$C$6:$C$420,$M2968))</f>
        <v/>
      </c>
      <c r="F2968" s="63"/>
      <c r="G2968" s="63"/>
      <c r="H2968" s="60"/>
      <c r="I2968" s="60"/>
      <c r="J2968" s="63"/>
      <c r="K2968" s="61" t="str">
        <f aca="false">IF($P2968=0,"",IF($F2968="Baseline","— Baseline",IF($O2968=0,"No result",IF($N2968=0,"No Start (attainment only)",IF(OR($N2968=1,$O2968=1),"U – needs rule",INDEX(MxBody,MATCH($I2968,MxCurr,0),MATCH($H2968,MxStart,0)))))))</f>
        <v/>
      </c>
      <c r="L2968" s="62" t="str">
        <f aca="false">IF(COUNTA($A2968,$F2968,$G2968,$H2968,$I2968,$J2968)=0,"",IF($M2968=0,"✖ كود الصف غير موجود",IF(ISNA(MATCH($F2968,Lists!$A$2:$A$5,0)),"✖ الفترة غير صحيحة",IF(ISNA(MATCH($G2968,Lists!$B$2:$B$7,0)),"✖ المجموعة غير صحيحة",IF(NOT(OR($H2968="",$N2968&gt;0)),"✖ Start غير صحيح",IF(NOT(OR($I2968="",$I2968="NR",$O2968&gt;0)),"✖ Current غير صحيح",IF(NOT(IF(ISNUMBER($J2968),AND($J2968&gt;=0,$J2968=INT($J2968)),FALSE())),"✖ العدد يجب أن يكون صحيحًا ≥ 0",IF(AND($F2968="Baseline",$H2968&lt;&gt;""),"⚠ Baseline: Start لا يدخل في التقدم",IF($K2968="No Start (attainment only)","ℹ تحصيل فقط (بدون Start)",IF($K2968="U – needs rule","ℹ حالة U تحتاج قاعدة معتمدة",IF($K2968="No result","ℹ بدون نتيجة (يُستبعد من التحصيل)","OK")))))))))))</f>
        <v/>
      </c>
      <c r="M2968" s="64" t="n">
        <f aca="false">IF($A2968="",0,IFERROR(MATCH($A2968,Classes!$A$6:$A$420,0),0))</f>
        <v>0</v>
      </c>
      <c r="N2968" s="64" t="n">
        <f aca="false">IF($H2968="",0,IFERROR(MATCH($H2968,GradeList,0),0))</f>
        <v>0</v>
      </c>
      <c r="O2968" s="64" t="n">
        <f aca="false">IF(OR($I2968="",$I2968="NR"),0,IFERROR(MATCH($I2968,GradeList,0),0))</f>
        <v>0</v>
      </c>
      <c r="P2968" s="64" t="n">
        <f aca="false">IF(AND($M2968&gt;0,ISNUMBER(MATCH($F2968,Lists!$A$2:$A$5,0)),ISNUMBER(MATCH($G2968,Lists!$B$2:$B$7,0)),OR($H2968="",$N2968&gt;0),OR($I2968="",$I2968="NR",$O2968&gt;0),IF(ISNUMBER($J2968),AND($J2968&gt;=0,$J2968=INT($J2968)),FALSE())),$J2968,0)</f>
        <v>0</v>
      </c>
      <c r="Q2968" s="64" t="n">
        <f aca="false">IF(AND($P2968&gt;0,$O2968&gt;0),$P2968,0)</f>
        <v>0</v>
      </c>
      <c r="R2968" s="64" t="n">
        <f aca="false">IF(AND($Q2968&gt;0,$O2968&gt;=AtRank),$Q2968,0)</f>
        <v>0</v>
      </c>
      <c r="S2968" s="64" t="n">
        <f aca="false">IF(AND($Q2968&gt;0,$O2968&gt;=AboveRank),$Q2968,0)</f>
        <v>0</v>
      </c>
      <c r="T2968" s="64" t="n">
        <f aca="false">IF($K2968="Less",$P2968,0)</f>
        <v>0</v>
      </c>
      <c r="U2968" s="64" t="n">
        <f aca="false">IF($K2968="Expected",$P2968,0)</f>
        <v>0</v>
      </c>
      <c r="V2968" s="64" t="n">
        <f aca="false">IF($K2968="Better",$P2968,0)</f>
        <v>0</v>
      </c>
      <c r="W2968" s="64" t="n">
        <f aca="false">IF($K2968="U – needs rule",$P2968,0)</f>
        <v>0</v>
      </c>
      <c r="X2968" s="64" t="n">
        <f aca="false">IF($K2968="No Start (attainment only)",$P2968,0)</f>
        <v>0</v>
      </c>
    </row>
    <row r="2969" customFormat="false" ht="15" hidden="false" customHeight="false" outlineLevel="0" collapsed="false">
      <c r="A2969" s="60"/>
      <c r="B2969" s="61" t="str">
        <f aca="false">IF($M2969=0,"",INDEX(Classes!$E$6:$E$420,$M2969))</f>
        <v/>
      </c>
      <c r="C2969" s="62" t="str">
        <f aca="false">IF($M2969=0,"",INDEX(Classes!$H$6:$H$420,$M2969))</f>
        <v/>
      </c>
      <c r="D2969" s="61" t="str">
        <f aca="false">IF($M2969=0,"",INDEX(Classes!$B$6:$B$420,$M2969))</f>
        <v/>
      </c>
      <c r="E2969" s="61" t="str">
        <f aca="false">IF($M2969=0,"",INDEX(Classes!$C$6:$C$420,$M2969))</f>
        <v/>
      </c>
      <c r="F2969" s="63"/>
      <c r="G2969" s="63"/>
      <c r="H2969" s="60"/>
      <c r="I2969" s="60"/>
      <c r="J2969" s="63"/>
      <c r="K2969" s="61" t="str">
        <f aca="false">IF($P2969=0,"",IF($F2969="Baseline","— Baseline",IF($O2969=0,"No result",IF($N2969=0,"No Start (attainment only)",IF(OR($N2969=1,$O2969=1),"U – needs rule",INDEX(MxBody,MATCH($I2969,MxCurr,0),MATCH($H2969,MxStart,0)))))))</f>
        <v/>
      </c>
      <c r="L2969" s="62" t="str">
        <f aca="false">IF(COUNTA($A2969,$F2969,$G2969,$H2969,$I2969,$J2969)=0,"",IF($M2969=0,"✖ كود الصف غير موجود",IF(ISNA(MATCH($F2969,Lists!$A$2:$A$5,0)),"✖ الفترة غير صحيحة",IF(ISNA(MATCH($G2969,Lists!$B$2:$B$7,0)),"✖ المجموعة غير صحيحة",IF(NOT(OR($H2969="",$N2969&gt;0)),"✖ Start غير صحيح",IF(NOT(OR($I2969="",$I2969="NR",$O2969&gt;0)),"✖ Current غير صحيح",IF(NOT(IF(ISNUMBER($J2969),AND($J2969&gt;=0,$J2969=INT($J2969)),FALSE())),"✖ العدد يجب أن يكون صحيحًا ≥ 0",IF(AND($F2969="Baseline",$H2969&lt;&gt;""),"⚠ Baseline: Start لا يدخل في التقدم",IF($K2969="No Start (attainment only)","ℹ تحصيل فقط (بدون Start)",IF($K2969="U – needs rule","ℹ حالة U تحتاج قاعدة معتمدة",IF($K2969="No result","ℹ بدون نتيجة (يُستبعد من التحصيل)","OK")))))))))))</f>
        <v/>
      </c>
      <c r="M2969" s="64" t="n">
        <f aca="false">IF($A2969="",0,IFERROR(MATCH($A2969,Classes!$A$6:$A$420,0),0))</f>
        <v>0</v>
      </c>
      <c r="N2969" s="64" t="n">
        <f aca="false">IF($H2969="",0,IFERROR(MATCH($H2969,GradeList,0),0))</f>
        <v>0</v>
      </c>
      <c r="O2969" s="64" t="n">
        <f aca="false">IF(OR($I2969="",$I2969="NR"),0,IFERROR(MATCH($I2969,GradeList,0),0))</f>
        <v>0</v>
      </c>
      <c r="P2969" s="64" t="n">
        <f aca="false">IF(AND($M2969&gt;0,ISNUMBER(MATCH($F2969,Lists!$A$2:$A$5,0)),ISNUMBER(MATCH($G2969,Lists!$B$2:$B$7,0)),OR($H2969="",$N2969&gt;0),OR($I2969="",$I2969="NR",$O2969&gt;0),IF(ISNUMBER($J2969),AND($J2969&gt;=0,$J2969=INT($J2969)),FALSE())),$J2969,0)</f>
        <v>0</v>
      </c>
      <c r="Q2969" s="64" t="n">
        <f aca="false">IF(AND($P2969&gt;0,$O2969&gt;0),$P2969,0)</f>
        <v>0</v>
      </c>
      <c r="R2969" s="64" t="n">
        <f aca="false">IF(AND($Q2969&gt;0,$O2969&gt;=AtRank),$Q2969,0)</f>
        <v>0</v>
      </c>
      <c r="S2969" s="64" t="n">
        <f aca="false">IF(AND($Q2969&gt;0,$O2969&gt;=AboveRank),$Q2969,0)</f>
        <v>0</v>
      </c>
      <c r="T2969" s="64" t="n">
        <f aca="false">IF($K2969="Less",$P2969,0)</f>
        <v>0</v>
      </c>
      <c r="U2969" s="64" t="n">
        <f aca="false">IF($K2969="Expected",$P2969,0)</f>
        <v>0</v>
      </c>
      <c r="V2969" s="64" t="n">
        <f aca="false">IF($K2969="Better",$P2969,0)</f>
        <v>0</v>
      </c>
      <c r="W2969" s="64" t="n">
        <f aca="false">IF($K2969="U – needs rule",$P2969,0)</f>
        <v>0</v>
      </c>
      <c r="X2969" s="64" t="n">
        <f aca="false">IF($K2969="No Start (attainment only)",$P2969,0)</f>
        <v>0</v>
      </c>
    </row>
    <row r="2970" customFormat="false" ht="15" hidden="false" customHeight="false" outlineLevel="0" collapsed="false">
      <c r="A2970" s="60"/>
      <c r="B2970" s="61" t="str">
        <f aca="false">IF($M2970=0,"",INDEX(Classes!$E$6:$E$420,$M2970))</f>
        <v/>
      </c>
      <c r="C2970" s="62" t="str">
        <f aca="false">IF($M2970=0,"",INDEX(Classes!$H$6:$H$420,$M2970))</f>
        <v/>
      </c>
      <c r="D2970" s="61" t="str">
        <f aca="false">IF($M2970=0,"",INDEX(Classes!$B$6:$B$420,$M2970))</f>
        <v/>
      </c>
      <c r="E2970" s="61" t="str">
        <f aca="false">IF($M2970=0,"",INDEX(Classes!$C$6:$C$420,$M2970))</f>
        <v/>
      </c>
      <c r="F2970" s="63"/>
      <c r="G2970" s="63"/>
      <c r="H2970" s="60"/>
      <c r="I2970" s="60"/>
      <c r="J2970" s="63"/>
      <c r="K2970" s="61" t="str">
        <f aca="false">IF($P2970=0,"",IF($F2970="Baseline","— Baseline",IF($O2970=0,"No result",IF($N2970=0,"No Start (attainment only)",IF(OR($N2970=1,$O2970=1),"U – needs rule",INDEX(MxBody,MATCH($I2970,MxCurr,0),MATCH($H2970,MxStart,0)))))))</f>
        <v/>
      </c>
      <c r="L2970" s="62" t="str">
        <f aca="false">IF(COUNTA($A2970,$F2970,$G2970,$H2970,$I2970,$J2970)=0,"",IF($M2970=0,"✖ كود الصف غير موجود",IF(ISNA(MATCH($F2970,Lists!$A$2:$A$5,0)),"✖ الفترة غير صحيحة",IF(ISNA(MATCH($G2970,Lists!$B$2:$B$7,0)),"✖ المجموعة غير صحيحة",IF(NOT(OR($H2970="",$N2970&gt;0)),"✖ Start غير صحيح",IF(NOT(OR($I2970="",$I2970="NR",$O2970&gt;0)),"✖ Current غير صحيح",IF(NOT(IF(ISNUMBER($J2970),AND($J2970&gt;=0,$J2970=INT($J2970)),FALSE())),"✖ العدد يجب أن يكون صحيحًا ≥ 0",IF(AND($F2970="Baseline",$H2970&lt;&gt;""),"⚠ Baseline: Start لا يدخل في التقدم",IF($K2970="No Start (attainment only)","ℹ تحصيل فقط (بدون Start)",IF($K2970="U – needs rule","ℹ حالة U تحتاج قاعدة معتمدة",IF($K2970="No result","ℹ بدون نتيجة (يُستبعد من التحصيل)","OK")))))))))))</f>
        <v/>
      </c>
      <c r="M2970" s="64" t="n">
        <f aca="false">IF($A2970="",0,IFERROR(MATCH($A2970,Classes!$A$6:$A$420,0),0))</f>
        <v>0</v>
      </c>
      <c r="N2970" s="64" t="n">
        <f aca="false">IF($H2970="",0,IFERROR(MATCH($H2970,GradeList,0),0))</f>
        <v>0</v>
      </c>
      <c r="O2970" s="64" t="n">
        <f aca="false">IF(OR($I2970="",$I2970="NR"),0,IFERROR(MATCH($I2970,GradeList,0),0))</f>
        <v>0</v>
      </c>
      <c r="P2970" s="64" t="n">
        <f aca="false">IF(AND($M2970&gt;0,ISNUMBER(MATCH($F2970,Lists!$A$2:$A$5,0)),ISNUMBER(MATCH($G2970,Lists!$B$2:$B$7,0)),OR($H2970="",$N2970&gt;0),OR($I2970="",$I2970="NR",$O2970&gt;0),IF(ISNUMBER($J2970),AND($J2970&gt;=0,$J2970=INT($J2970)),FALSE())),$J2970,0)</f>
        <v>0</v>
      </c>
      <c r="Q2970" s="64" t="n">
        <f aca="false">IF(AND($P2970&gt;0,$O2970&gt;0),$P2970,0)</f>
        <v>0</v>
      </c>
      <c r="R2970" s="64" t="n">
        <f aca="false">IF(AND($Q2970&gt;0,$O2970&gt;=AtRank),$Q2970,0)</f>
        <v>0</v>
      </c>
      <c r="S2970" s="64" t="n">
        <f aca="false">IF(AND($Q2970&gt;0,$O2970&gt;=AboveRank),$Q2970,0)</f>
        <v>0</v>
      </c>
      <c r="T2970" s="64" t="n">
        <f aca="false">IF($K2970="Less",$P2970,0)</f>
        <v>0</v>
      </c>
      <c r="U2970" s="64" t="n">
        <f aca="false">IF($K2970="Expected",$P2970,0)</f>
        <v>0</v>
      </c>
      <c r="V2970" s="64" t="n">
        <f aca="false">IF($K2970="Better",$P2970,0)</f>
        <v>0</v>
      </c>
      <c r="W2970" s="64" t="n">
        <f aca="false">IF($K2970="U – needs rule",$P2970,0)</f>
        <v>0</v>
      </c>
      <c r="X2970" s="64" t="n">
        <f aca="false">IF($K2970="No Start (attainment only)",$P2970,0)</f>
        <v>0</v>
      </c>
    </row>
    <row r="2971" customFormat="false" ht="15" hidden="false" customHeight="false" outlineLevel="0" collapsed="false">
      <c r="A2971" s="60"/>
      <c r="B2971" s="61" t="str">
        <f aca="false">IF($M2971=0,"",INDEX(Classes!$E$6:$E$420,$M2971))</f>
        <v/>
      </c>
      <c r="C2971" s="62" t="str">
        <f aca="false">IF($M2971=0,"",INDEX(Classes!$H$6:$H$420,$M2971))</f>
        <v/>
      </c>
      <c r="D2971" s="61" t="str">
        <f aca="false">IF($M2971=0,"",INDEX(Classes!$B$6:$B$420,$M2971))</f>
        <v/>
      </c>
      <c r="E2971" s="61" t="str">
        <f aca="false">IF($M2971=0,"",INDEX(Classes!$C$6:$C$420,$M2971))</f>
        <v/>
      </c>
      <c r="F2971" s="63"/>
      <c r="G2971" s="63"/>
      <c r="H2971" s="60"/>
      <c r="I2971" s="60"/>
      <c r="J2971" s="63"/>
      <c r="K2971" s="61" t="str">
        <f aca="false">IF($P2971=0,"",IF($F2971="Baseline","— Baseline",IF($O2971=0,"No result",IF($N2971=0,"No Start (attainment only)",IF(OR($N2971=1,$O2971=1),"U – needs rule",INDEX(MxBody,MATCH($I2971,MxCurr,0),MATCH($H2971,MxStart,0)))))))</f>
        <v/>
      </c>
      <c r="L2971" s="62" t="str">
        <f aca="false">IF(COUNTA($A2971,$F2971,$G2971,$H2971,$I2971,$J2971)=0,"",IF($M2971=0,"✖ كود الصف غير موجود",IF(ISNA(MATCH($F2971,Lists!$A$2:$A$5,0)),"✖ الفترة غير صحيحة",IF(ISNA(MATCH($G2971,Lists!$B$2:$B$7,0)),"✖ المجموعة غير صحيحة",IF(NOT(OR($H2971="",$N2971&gt;0)),"✖ Start غير صحيح",IF(NOT(OR($I2971="",$I2971="NR",$O2971&gt;0)),"✖ Current غير صحيح",IF(NOT(IF(ISNUMBER($J2971),AND($J2971&gt;=0,$J2971=INT($J2971)),FALSE())),"✖ العدد يجب أن يكون صحيحًا ≥ 0",IF(AND($F2971="Baseline",$H2971&lt;&gt;""),"⚠ Baseline: Start لا يدخل في التقدم",IF($K2971="No Start (attainment only)","ℹ تحصيل فقط (بدون Start)",IF($K2971="U – needs rule","ℹ حالة U تحتاج قاعدة معتمدة",IF($K2971="No result","ℹ بدون نتيجة (يُستبعد من التحصيل)","OK")))))))))))</f>
        <v/>
      </c>
      <c r="M2971" s="64" t="n">
        <f aca="false">IF($A2971="",0,IFERROR(MATCH($A2971,Classes!$A$6:$A$420,0),0))</f>
        <v>0</v>
      </c>
      <c r="N2971" s="64" t="n">
        <f aca="false">IF($H2971="",0,IFERROR(MATCH($H2971,GradeList,0),0))</f>
        <v>0</v>
      </c>
      <c r="O2971" s="64" t="n">
        <f aca="false">IF(OR($I2971="",$I2971="NR"),0,IFERROR(MATCH($I2971,GradeList,0),0))</f>
        <v>0</v>
      </c>
      <c r="P2971" s="64" t="n">
        <f aca="false">IF(AND($M2971&gt;0,ISNUMBER(MATCH($F2971,Lists!$A$2:$A$5,0)),ISNUMBER(MATCH($G2971,Lists!$B$2:$B$7,0)),OR($H2971="",$N2971&gt;0),OR($I2971="",$I2971="NR",$O2971&gt;0),IF(ISNUMBER($J2971),AND($J2971&gt;=0,$J2971=INT($J2971)),FALSE())),$J2971,0)</f>
        <v>0</v>
      </c>
      <c r="Q2971" s="64" t="n">
        <f aca="false">IF(AND($P2971&gt;0,$O2971&gt;0),$P2971,0)</f>
        <v>0</v>
      </c>
      <c r="R2971" s="64" t="n">
        <f aca="false">IF(AND($Q2971&gt;0,$O2971&gt;=AtRank),$Q2971,0)</f>
        <v>0</v>
      </c>
      <c r="S2971" s="64" t="n">
        <f aca="false">IF(AND($Q2971&gt;0,$O2971&gt;=AboveRank),$Q2971,0)</f>
        <v>0</v>
      </c>
      <c r="T2971" s="64" t="n">
        <f aca="false">IF($K2971="Less",$P2971,0)</f>
        <v>0</v>
      </c>
      <c r="U2971" s="64" t="n">
        <f aca="false">IF($K2971="Expected",$P2971,0)</f>
        <v>0</v>
      </c>
      <c r="V2971" s="64" t="n">
        <f aca="false">IF($K2971="Better",$P2971,0)</f>
        <v>0</v>
      </c>
      <c r="W2971" s="64" t="n">
        <f aca="false">IF($K2971="U – needs rule",$P2971,0)</f>
        <v>0</v>
      </c>
      <c r="X2971" s="64" t="n">
        <f aca="false">IF($K2971="No Start (attainment only)",$P2971,0)</f>
        <v>0</v>
      </c>
    </row>
    <row r="2972" customFormat="false" ht="15" hidden="false" customHeight="false" outlineLevel="0" collapsed="false">
      <c r="A2972" s="60"/>
      <c r="B2972" s="61" t="str">
        <f aca="false">IF($M2972=0,"",INDEX(Classes!$E$6:$E$420,$M2972))</f>
        <v/>
      </c>
      <c r="C2972" s="62" t="str">
        <f aca="false">IF($M2972=0,"",INDEX(Classes!$H$6:$H$420,$M2972))</f>
        <v/>
      </c>
      <c r="D2972" s="61" t="str">
        <f aca="false">IF($M2972=0,"",INDEX(Classes!$B$6:$B$420,$M2972))</f>
        <v/>
      </c>
      <c r="E2972" s="61" t="str">
        <f aca="false">IF($M2972=0,"",INDEX(Classes!$C$6:$C$420,$M2972))</f>
        <v/>
      </c>
      <c r="F2972" s="63"/>
      <c r="G2972" s="63"/>
      <c r="H2972" s="60"/>
      <c r="I2972" s="60"/>
      <c r="J2972" s="63"/>
      <c r="K2972" s="61" t="str">
        <f aca="false">IF($P2972=0,"",IF($F2972="Baseline","— Baseline",IF($O2972=0,"No result",IF($N2972=0,"No Start (attainment only)",IF(OR($N2972=1,$O2972=1),"U – needs rule",INDEX(MxBody,MATCH($I2972,MxCurr,0),MATCH($H2972,MxStart,0)))))))</f>
        <v/>
      </c>
      <c r="L2972" s="62" t="str">
        <f aca="false">IF(COUNTA($A2972,$F2972,$G2972,$H2972,$I2972,$J2972)=0,"",IF($M2972=0,"✖ كود الصف غير موجود",IF(ISNA(MATCH($F2972,Lists!$A$2:$A$5,0)),"✖ الفترة غير صحيحة",IF(ISNA(MATCH($G2972,Lists!$B$2:$B$7,0)),"✖ المجموعة غير صحيحة",IF(NOT(OR($H2972="",$N2972&gt;0)),"✖ Start غير صحيح",IF(NOT(OR($I2972="",$I2972="NR",$O2972&gt;0)),"✖ Current غير صحيح",IF(NOT(IF(ISNUMBER($J2972),AND($J2972&gt;=0,$J2972=INT($J2972)),FALSE())),"✖ العدد يجب أن يكون صحيحًا ≥ 0",IF(AND($F2972="Baseline",$H2972&lt;&gt;""),"⚠ Baseline: Start لا يدخل في التقدم",IF($K2972="No Start (attainment only)","ℹ تحصيل فقط (بدون Start)",IF($K2972="U – needs rule","ℹ حالة U تحتاج قاعدة معتمدة",IF($K2972="No result","ℹ بدون نتيجة (يُستبعد من التحصيل)","OK")))))))))))</f>
        <v/>
      </c>
      <c r="M2972" s="64" t="n">
        <f aca="false">IF($A2972="",0,IFERROR(MATCH($A2972,Classes!$A$6:$A$420,0),0))</f>
        <v>0</v>
      </c>
      <c r="N2972" s="64" t="n">
        <f aca="false">IF($H2972="",0,IFERROR(MATCH($H2972,GradeList,0),0))</f>
        <v>0</v>
      </c>
      <c r="O2972" s="64" t="n">
        <f aca="false">IF(OR($I2972="",$I2972="NR"),0,IFERROR(MATCH($I2972,GradeList,0),0))</f>
        <v>0</v>
      </c>
      <c r="P2972" s="64" t="n">
        <f aca="false">IF(AND($M2972&gt;0,ISNUMBER(MATCH($F2972,Lists!$A$2:$A$5,0)),ISNUMBER(MATCH($G2972,Lists!$B$2:$B$7,0)),OR($H2972="",$N2972&gt;0),OR($I2972="",$I2972="NR",$O2972&gt;0),IF(ISNUMBER($J2972),AND($J2972&gt;=0,$J2972=INT($J2972)),FALSE())),$J2972,0)</f>
        <v>0</v>
      </c>
      <c r="Q2972" s="64" t="n">
        <f aca="false">IF(AND($P2972&gt;0,$O2972&gt;0),$P2972,0)</f>
        <v>0</v>
      </c>
      <c r="R2972" s="64" t="n">
        <f aca="false">IF(AND($Q2972&gt;0,$O2972&gt;=AtRank),$Q2972,0)</f>
        <v>0</v>
      </c>
      <c r="S2972" s="64" t="n">
        <f aca="false">IF(AND($Q2972&gt;0,$O2972&gt;=AboveRank),$Q2972,0)</f>
        <v>0</v>
      </c>
      <c r="T2972" s="64" t="n">
        <f aca="false">IF($K2972="Less",$P2972,0)</f>
        <v>0</v>
      </c>
      <c r="U2972" s="64" t="n">
        <f aca="false">IF($K2972="Expected",$P2972,0)</f>
        <v>0</v>
      </c>
      <c r="V2972" s="64" t="n">
        <f aca="false">IF($K2972="Better",$P2972,0)</f>
        <v>0</v>
      </c>
      <c r="W2972" s="64" t="n">
        <f aca="false">IF($K2972="U – needs rule",$P2972,0)</f>
        <v>0</v>
      </c>
      <c r="X2972" s="64" t="n">
        <f aca="false">IF($K2972="No Start (attainment only)",$P2972,0)</f>
        <v>0</v>
      </c>
    </row>
    <row r="2973" customFormat="false" ht="15" hidden="false" customHeight="false" outlineLevel="0" collapsed="false">
      <c r="A2973" s="60"/>
      <c r="B2973" s="61" t="str">
        <f aca="false">IF($M2973=0,"",INDEX(Classes!$E$6:$E$420,$M2973))</f>
        <v/>
      </c>
      <c r="C2973" s="62" t="str">
        <f aca="false">IF($M2973=0,"",INDEX(Classes!$H$6:$H$420,$M2973))</f>
        <v/>
      </c>
      <c r="D2973" s="61" t="str">
        <f aca="false">IF($M2973=0,"",INDEX(Classes!$B$6:$B$420,$M2973))</f>
        <v/>
      </c>
      <c r="E2973" s="61" t="str">
        <f aca="false">IF($M2973=0,"",INDEX(Classes!$C$6:$C$420,$M2973))</f>
        <v/>
      </c>
      <c r="F2973" s="63"/>
      <c r="G2973" s="63"/>
      <c r="H2973" s="60"/>
      <c r="I2973" s="60"/>
      <c r="J2973" s="63"/>
      <c r="K2973" s="61" t="str">
        <f aca="false">IF($P2973=0,"",IF($F2973="Baseline","— Baseline",IF($O2973=0,"No result",IF($N2973=0,"No Start (attainment only)",IF(OR($N2973=1,$O2973=1),"U – needs rule",INDEX(MxBody,MATCH($I2973,MxCurr,0),MATCH($H2973,MxStart,0)))))))</f>
        <v/>
      </c>
      <c r="L2973" s="62" t="str">
        <f aca="false">IF(COUNTA($A2973,$F2973,$G2973,$H2973,$I2973,$J2973)=0,"",IF($M2973=0,"✖ كود الصف غير موجود",IF(ISNA(MATCH($F2973,Lists!$A$2:$A$5,0)),"✖ الفترة غير صحيحة",IF(ISNA(MATCH($G2973,Lists!$B$2:$B$7,0)),"✖ المجموعة غير صحيحة",IF(NOT(OR($H2973="",$N2973&gt;0)),"✖ Start غير صحيح",IF(NOT(OR($I2973="",$I2973="NR",$O2973&gt;0)),"✖ Current غير صحيح",IF(NOT(IF(ISNUMBER($J2973),AND($J2973&gt;=0,$J2973=INT($J2973)),FALSE())),"✖ العدد يجب أن يكون صحيحًا ≥ 0",IF(AND($F2973="Baseline",$H2973&lt;&gt;""),"⚠ Baseline: Start لا يدخل في التقدم",IF($K2973="No Start (attainment only)","ℹ تحصيل فقط (بدون Start)",IF($K2973="U – needs rule","ℹ حالة U تحتاج قاعدة معتمدة",IF($K2973="No result","ℹ بدون نتيجة (يُستبعد من التحصيل)","OK")))))))))))</f>
        <v/>
      </c>
      <c r="M2973" s="64" t="n">
        <f aca="false">IF($A2973="",0,IFERROR(MATCH($A2973,Classes!$A$6:$A$420,0),0))</f>
        <v>0</v>
      </c>
      <c r="N2973" s="64" t="n">
        <f aca="false">IF($H2973="",0,IFERROR(MATCH($H2973,GradeList,0),0))</f>
        <v>0</v>
      </c>
      <c r="O2973" s="64" t="n">
        <f aca="false">IF(OR($I2973="",$I2973="NR"),0,IFERROR(MATCH($I2973,GradeList,0),0))</f>
        <v>0</v>
      </c>
      <c r="P2973" s="64" t="n">
        <f aca="false">IF(AND($M2973&gt;0,ISNUMBER(MATCH($F2973,Lists!$A$2:$A$5,0)),ISNUMBER(MATCH($G2973,Lists!$B$2:$B$7,0)),OR($H2973="",$N2973&gt;0),OR($I2973="",$I2973="NR",$O2973&gt;0),IF(ISNUMBER($J2973),AND($J2973&gt;=0,$J2973=INT($J2973)),FALSE())),$J2973,0)</f>
        <v>0</v>
      </c>
      <c r="Q2973" s="64" t="n">
        <f aca="false">IF(AND($P2973&gt;0,$O2973&gt;0),$P2973,0)</f>
        <v>0</v>
      </c>
      <c r="R2973" s="64" t="n">
        <f aca="false">IF(AND($Q2973&gt;0,$O2973&gt;=AtRank),$Q2973,0)</f>
        <v>0</v>
      </c>
      <c r="S2973" s="64" t="n">
        <f aca="false">IF(AND($Q2973&gt;0,$O2973&gt;=AboveRank),$Q2973,0)</f>
        <v>0</v>
      </c>
      <c r="T2973" s="64" t="n">
        <f aca="false">IF($K2973="Less",$P2973,0)</f>
        <v>0</v>
      </c>
      <c r="U2973" s="64" t="n">
        <f aca="false">IF($K2973="Expected",$P2973,0)</f>
        <v>0</v>
      </c>
      <c r="V2973" s="64" t="n">
        <f aca="false">IF($K2973="Better",$P2973,0)</f>
        <v>0</v>
      </c>
      <c r="W2973" s="64" t="n">
        <f aca="false">IF($K2973="U – needs rule",$P2973,0)</f>
        <v>0</v>
      </c>
      <c r="X2973" s="64" t="n">
        <f aca="false">IF($K2973="No Start (attainment only)",$P2973,0)</f>
        <v>0</v>
      </c>
    </row>
    <row r="2974" customFormat="false" ht="15" hidden="false" customHeight="false" outlineLevel="0" collapsed="false">
      <c r="A2974" s="60"/>
      <c r="B2974" s="61" t="str">
        <f aca="false">IF($M2974=0,"",INDEX(Classes!$E$6:$E$420,$M2974))</f>
        <v/>
      </c>
      <c r="C2974" s="62" t="str">
        <f aca="false">IF($M2974=0,"",INDEX(Classes!$H$6:$H$420,$M2974))</f>
        <v/>
      </c>
      <c r="D2974" s="61" t="str">
        <f aca="false">IF($M2974=0,"",INDEX(Classes!$B$6:$B$420,$M2974))</f>
        <v/>
      </c>
      <c r="E2974" s="61" t="str">
        <f aca="false">IF($M2974=0,"",INDEX(Classes!$C$6:$C$420,$M2974))</f>
        <v/>
      </c>
      <c r="F2974" s="63"/>
      <c r="G2974" s="63"/>
      <c r="H2974" s="60"/>
      <c r="I2974" s="60"/>
      <c r="J2974" s="63"/>
      <c r="K2974" s="61" t="str">
        <f aca="false">IF($P2974=0,"",IF($F2974="Baseline","— Baseline",IF($O2974=0,"No result",IF($N2974=0,"No Start (attainment only)",IF(OR($N2974=1,$O2974=1),"U – needs rule",INDEX(MxBody,MATCH($I2974,MxCurr,0),MATCH($H2974,MxStart,0)))))))</f>
        <v/>
      </c>
      <c r="L2974" s="62" t="str">
        <f aca="false">IF(COUNTA($A2974,$F2974,$G2974,$H2974,$I2974,$J2974)=0,"",IF($M2974=0,"✖ كود الصف غير موجود",IF(ISNA(MATCH($F2974,Lists!$A$2:$A$5,0)),"✖ الفترة غير صحيحة",IF(ISNA(MATCH($G2974,Lists!$B$2:$B$7,0)),"✖ المجموعة غير صحيحة",IF(NOT(OR($H2974="",$N2974&gt;0)),"✖ Start غير صحيح",IF(NOT(OR($I2974="",$I2974="NR",$O2974&gt;0)),"✖ Current غير صحيح",IF(NOT(IF(ISNUMBER($J2974),AND($J2974&gt;=0,$J2974=INT($J2974)),FALSE())),"✖ العدد يجب أن يكون صحيحًا ≥ 0",IF(AND($F2974="Baseline",$H2974&lt;&gt;""),"⚠ Baseline: Start لا يدخل في التقدم",IF($K2974="No Start (attainment only)","ℹ تحصيل فقط (بدون Start)",IF($K2974="U – needs rule","ℹ حالة U تحتاج قاعدة معتمدة",IF($K2974="No result","ℹ بدون نتيجة (يُستبعد من التحصيل)","OK")))))))))))</f>
        <v/>
      </c>
      <c r="M2974" s="64" t="n">
        <f aca="false">IF($A2974="",0,IFERROR(MATCH($A2974,Classes!$A$6:$A$420,0),0))</f>
        <v>0</v>
      </c>
      <c r="N2974" s="64" t="n">
        <f aca="false">IF($H2974="",0,IFERROR(MATCH($H2974,GradeList,0),0))</f>
        <v>0</v>
      </c>
      <c r="O2974" s="64" t="n">
        <f aca="false">IF(OR($I2974="",$I2974="NR"),0,IFERROR(MATCH($I2974,GradeList,0),0))</f>
        <v>0</v>
      </c>
      <c r="P2974" s="64" t="n">
        <f aca="false">IF(AND($M2974&gt;0,ISNUMBER(MATCH($F2974,Lists!$A$2:$A$5,0)),ISNUMBER(MATCH($G2974,Lists!$B$2:$B$7,0)),OR($H2974="",$N2974&gt;0),OR($I2974="",$I2974="NR",$O2974&gt;0),IF(ISNUMBER($J2974),AND($J2974&gt;=0,$J2974=INT($J2974)),FALSE())),$J2974,0)</f>
        <v>0</v>
      </c>
      <c r="Q2974" s="64" t="n">
        <f aca="false">IF(AND($P2974&gt;0,$O2974&gt;0),$P2974,0)</f>
        <v>0</v>
      </c>
      <c r="R2974" s="64" t="n">
        <f aca="false">IF(AND($Q2974&gt;0,$O2974&gt;=AtRank),$Q2974,0)</f>
        <v>0</v>
      </c>
      <c r="S2974" s="64" t="n">
        <f aca="false">IF(AND($Q2974&gt;0,$O2974&gt;=AboveRank),$Q2974,0)</f>
        <v>0</v>
      </c>
      <c r="T2974" s="64" t="n">
        <f aca="false">IF($K2974="Less",$P2974,0)</f>
        <v>0</v>
      </c>
      <c r="U2974" s="64" t="n">
        <f aca="false">IF($K2974="Expected",$P2974,0)</f>
        <v>0</v>
      </c>
      <c r="V2974" s="64" t="n">
        <f aca="false">IF($K2974="Better",$P2974,0)</f>
        <v>0</v>
      </c>
      <c r="W2974" s="64" t="n">
        <f aca="false">IF($K2974="U – needs rule",$P2974,0)</f>
        <v>0</v>
      </c>
      <c r="X2974" s="64" t="n">
        <f aca="false">IF($K2974="No Start (attainment only)",$P2974,0)</f>
        <v>0</v>
      </c>
    </row>
    <row r="2975" customFormat="false" ht="15" hidden="false" customHeight="false" outlineLevel="0" collapsed="false">
      <c r="A2975" s="60"/>
      <c r="B2975" s="61" t="str">
        <f aca="false">IF($M2975=0,"",INDEX(Classes!$E$6:$E$420,$M2975))</f>
        <v/>
      </c>
      <c r="C2975" s="62" t="str">
        <f aca="false">IF($M2975=0,"",INDEX(Classes!$H$6:$H$420,$M2975))</f>
        <v/>
      </c>
      <c r="D2975" s="61" t="str">
        <f aca="false">IF($M2975=0,"",INDEX(Classes!$B$6:$B$420,$M2975))</f>
        <v/>
      </c>
      <c r="E2975" s="61" t="str">
        <f aca="false">IF($M2975=0,"",INDEX(Classes!$C$6:$C$420,$M2975))</f>
        <v/>
      </c>
      <c r="F2975" s="63"/>
      <c r="G2975" s="63"/>
      <c r="H2975" s="60"/>
      <c r="I2975" s="60"/>
      <c r="J2975" s="63"/>
      <c r="K2975" s="61" t="str">
        <f aca="false">IF($P2975=0,"",IF($F2975="Baseline","— Baseline",IF($O2975=0,"No result",IF($N2975=0,"No Start (attainment only)",IF(OR($N2975=1,$O2975=1),"U – needs rule",INDEX(MxBody,MATCH($I2975,MxCurr,0),MATCH($H2975,MxStart,0)))))))</f>
        <v/>
      </c>
      <c r="L2975" s="62" t="str">
        <f aca="false">IF(COUNTA($A2975,$F2975,$G2975,$H2975,$I2975,$J2975)=0,"",IF($M2975=0,"✖ كود الصف غير موجود",IF(ISNA(MATCH($F2975,Lists!$A$2:$A$5,0)),"✖ الفترة غير صحيحة",IF(ISNA(MATCH($G2975,Lists!$B$2:$B$7,0)),"✖ المجموعة غير صحيحة",IF(NOT(OR($H2975="",$N2975&gt;0)),"✖ Start غير صحيح",IF(NOT(OR($I2975="",$I2975="NR",$O2975&gt;0)),"✖ Current غير صحيح",IF(NOT(IF(ISNUMBER($J2975),AND($J2975&gt;=0,$J2975=INT($J2975)),FALSE())),"✖ العدد يجب أن يكون صحيحًا ≥ 0",IF(AND($F2975="Baseline",$H2975&lt;&gt;""),"⚠ Baseline: Start لا يدخل في التقدم",IF($K2975="No Start (attainment only)","ℹ تحصيل فقط (بدون Start)",IF($K2975="U – needs rule","ℹ حالة U تحتاج قاعدة معتمدة",IF($K2975="No result","ℹ بدون نتيجة (يُستبعد من التحصيل)","OK")))))))))))</f>
        <v/>
      </c>
      <c r="M2975" s="64" t="n">
        <f aca="false">IF($A2975="",0,IFERROR(MATCH($A2975,Classes!$A$6:$A$420,0),0))</f>
        <v>0</v>
      </c>
      <c r="N2975" s="64" t="n">
        <f aca="false">IF($H2975="",0,IFERROR(MATCH($H2975,GradeList,0),0))</f>
        <v>0</v>
      </c>
      <c r="O2975" s="64" t="n">
        <f aca="false">IF(OR($I2975="",$I2975="NR"),0,IFERROR(MATCH($I2975,GradeList,0),0))</f>
        <v>0</v>
      </c>
      <c r="P2975" s="64" t="n">
        <f aca="false">IF(AND($M2975&gt;0,ISNUMBER(MATCH($F2975,Lists!$A$2:$A$5,0)),ISNUMBER(MATCH($G2975,Lists!$B$2:$B$7,0)),OR($H2975="",$N2975&gt;0),OR($I2975="",$I2975="NR",$O2975&gt;0),IF(ISNUMBER($J2975),AND($J2975&gt;=0,$J2975=INT($J2975)),FALSE())),$J2975,0)</f>
        <v>0</v>
      </c>
      <c r="Q2975" s="64" t="n">
        <f aca="false">IF(AND($P2975&gt;0,$O2975&gt;0),$P2975,0)</f>
        <v>0</v>
      </c>
      <c r="R2975" s="64" t="n">
        <f aca="false">IF(AND($Q2975&gt;0,$O2975&gt;=AtRank),$Q2975,0)</f>
        <v>0</v>
      </c>
      <c r="S2975" s="64" t="n">
        <f aca="false">IF(AND($Q2975&gt;0,$O2975&gt;=AboveRank),$Q2975,0)</f>
        <v>0</v>
      </c>
      <c r="T2975" s="64" t="n">
        <f aca="false">IF($K2975="Less",$P2975,0)</f>
        <v>0</v>
      </c>
      <c r="U2975" s="64" t="n">
        <f aca="false">IF($K2975="Expected",$P2975,0)</f>
        <v>0</v>
      </c>
      <c r="V2975" s="64" t="n">
        <f aca="false">IF($K2975="Better",$P2975,0)</f>
        <v>0</v>
      </c>
      <c r="W2975" s="64" t="n">
        <f aca="false">IF($K2975="U – needs rule",$P2975,0)</f>
        <v>0</v>
      </c>
      <c r="X2975" s="64" t="n">
        <f aca="false">IF($K2975="No Start (attainment only)",$P2975,0)</f>
        <v>0</v>
      </c>
    </row>
    <row r="2976" customFormat="false" ht="15" hidden="false" customHeight="false" outlineLevel="0" collapsed="false">
      <c r="A2976" s="60"/>
      <c r="B2976" s="61" t="str">
        <f aca="false">IF($M2976=0,"",INDEX(Classes!$E$6:$E$420,$M2976))</f>
        <v/>
      </c>
      <c r="C2976" s="62" t="str">
        <f aca="false">IF($M2976=0,"",INDEX(Classes!$H$6:$H$420,$M2976))</f>
        <v/>
      </c>
      <c r="D2976" s="61" t="str">
        <f aca="false">IF($M2976=0,"",INDEX(Classes!$B$6:$B$420,$M2976))</f>
        <v/>
      </c>
      <c r="E2976" s="61" t="str">
        <f aca="false">IF($M2976=0,"",INDEX(Classes!$C$6:$C$420,$M2976))</f>
        <v/>
      </c>
      <c r="F2976" s="63"/>
      <c r="G2976" s="63"/>
      <c r="H2976" s="60"/>
      <c r="I2976" s="60"/>
      <c r="J2976" s="63"/>
      <c r="K2976" s="61" t="str">
        <f aca="false">IF($P2976=0,"",IF($F2976="Baseline","— Baseline",IF($O2976=0,"No result",IF($N2976=0,"No Start (attainment only)",IF(OR($N2976=1,$O2976=1),"U – needs rule",INDEX(MxBody,MATCH($I2976,MxCurr,0),MATCH($H2976,MxStart,0)))))))</f>
        <v/>
      </c>
      <c r="L2976" s="62" t="str">
        <f aca="false">IF(COUNTA($A2976,$F2976,$G2976,$H2976,$I2976,$J2976)=0,"",IF($M2976=0,"✖ كود الصف غير موجود",IF(ISNA(MATCH($F2976,Lists!$A$2:$A$5,0)),"✖ الفترة غير صحيحة",IF(ISNA(MATCH($G2976,Lists!$B$2:$B$7,0)),"✖ المجموعة غير صحيحة",IF(NOT(OR($H2976="",$N2976&gt;0)),"✖ Start غير صحيح",IF(NOT(OR($I2976="",$I2976="NR",$O2976&gt;0)),"✖ Current غير صحيح",IF(NOT(IF(ISNUMBER($J2976),AND($J2976&gt;=0,$J2976=INT($J2976)),FALSE())),"✖ العدد يجب أن يكون صحيحًا ≥ 0",IF(AND($F2976="Baseline",$H2976&lt;&gt;""),"⚠ Baseline: Start لا يدخل في التقدم",IF($K2976="No Start (attainment only)","ℹ تحصيل فقط (بدون Start)",IF($K2976="U – needs rule","ℹ حالة U تحتاج قاعدة معتمدة",IF($K2976="No result","ℹ بدون نتيجة (يُستبعد من التحصيل)","OK")))))))))))</f>
        <v/>
      </c>
      <c r="M2976" s="64" t="n">
        <f aca="false">IF($A2976="",0,IFERROR(MATCH($A2976,Classes!$A$6:$A$420,0),0))</f>
        <v>0</v>
      </c>
      <c r="N2976" s="64" t="n">
        <f aca="false">IF($H2976="",0,IFERROR(MATCH($H2976,GradeList,0),0))</f>
        <v>0</v>
      </c>
      <c r="O2976" s="64" t="n">
        <f aca="false">IF(OR($I2976="",$I2976="NR"),0,IFERROR(MATCH($I2976,GradeList,0),0))</f>
        <v>0</v>
      </c>
      <c r="P2976" s="64" t="n">
        <f aca="false">IF(AND($M2976&gt;0,ISNUMBER(MATCH($F2976,Lists!$A$2:$A$5,0)),ISNUMBER(MATCH($G2976,Lists!$B$2:$B$7,0)),OR($H2976="",$N2976&gt;0),OR($I2976="",$I2976="NR",$O2976&gt;0),IF(ISNUMBER($J2976),AND($J2976&gt;=0,$J2976=INT($J2976)),FALSE())),$J2976,0)</f>
        <v>0</v>
      </c>
      <c r="Q2976" s="64" t="n">
        <f aca="false">IF(AND($P2976&gt;0,$O2976&gt;0),$P2976,0)</f>
        <v>0</v>
      </c>
      <c r="R2976" s="64" t="n">
        <f aca="false">IF(AND($Q2976&gt;0,$O2976&gt;=AtRank),$Q2976,0)</f>
        <v>0</v>
      </c>
      <c r="S2976" s="64" t="n">
        <f aca="false">IF(AND($Q2976&gt;0,$O2976&gt;=AboveRank),$Q2976,0)</f>
        <v>0</v>
      </c>
      <c r="T2976" s="64" t="n">
        <f aca="false">IF($K2976="Less",$P2976,0)</f>
        <v>0</v>
      </c>
      <c r="U2976" s="64" t="n">
        <f aca="false">IF($K2976="Expected",$P2976,0)</f>
        <v>0</v>
      </c>
      <c r="V2976" s="64" t="n">
        <f aca="false">IF($K2976="Better",$P2976,0)</f>
        <v>0</v>
      </c>
      <c r="W2976" s="64" t="n">
        <f aca="false">IF($K2976="U – needs rule",$P2976,0)</f>
        <v>0</v>
      </c>
      <c r="X2976" s="64" t="n">
        <f aca="false">IF($K2976="No Start (attainment only)",$P2976,0)</f>
        <v>0</v>
      </c>
    </row>
    <row r="2977" customFormat="false" ht="15" hidden="false" customHeight="false" outlineLevel="0" collapsed="false">
      <c r="A2977" s="60"/>
      <c r="B2977" s="61" t="str">
        <f aca="false">IF($M2977=0,"",INDEX(Classes!$E$6:$E$420,$M2977))</f>
        <v/>
      </c>
      <c r="C2977" s="62" t="str">
        <f aca="false">IF($M2977=0,"",INDEX(Classes!$H$6:$H$420,$M2977))</f>
        <v/>
      </c>
      <c r="D2977" s="61" t="str">
        <f aca="false">IF($M2977=0,"",INDEX(Classes!$B$6:$B$420,$M2977))</f>
        <v/>
      </c>
      <c r="E2977" s="61" t="str">
        <f aca="false">IF($M2977=0,"",INDEX(Classes!$C$6:$C$420,$M2977))</f>
        <v/>
      </c>
      <c r="F2977" s="63"/>
      <c r="G2977" s="63"/>
      <c r="H2977" s="60"/>
      <c r="I2977" s="60"/>
      <c r="J2977" s="63"/>
      <c r="K2977" s="61" t="str">
        <f aca="false">IF($P2977=0,"",IF($F2977="Baseline","— Baseline",IF($O2977=0,"No result",IF($N2977=0,"No Start (attainment only)",IF(OR($N2977=1,$O2977=1),"U – needs rule",INDEX(MxBody,MATCH($I2977,MxCurr,0),MATCH($H2977,MxStart,0)))))))</f>
        <v/>
      </c>
      <c r="L2977" s="62" t="str">
        <f aca="false">IF(COUNTA($A2977,$F2977,$G2977,$H2977,$I2977,$J2977)=0,"",IF($M2977=0,"✖ كود الصف غير موجود",IF(ISNA(MATCH($F2977,Lists!$A$2:$A$5,0)),"✖ الفترة غير صحيحة",IF(ISNA(MATCH($G2977,Lists!$B$2:$B$7,0)),"✖ المجموعة غير صحيحة",IF(NOT(OR($H2977="",$N2977&gt;0)),"✖ Start غير صحيح",IF(NOT(OR($I2977="",$I2977="NR",$O2977&gt;0)),"✖ Current غير صحيح",IF(NOT(IF(ISNUMBER($J2977),AND($J2977&gt;=0,$J2977=INT($J2977)),FALSE())),"✖ العدد يجب أن يكون صحيحًا ≥ 0",IF(AND($F2977="Baseline",$H2977&lt;&gt;""),"⚠ Baseline: Start لا يدخل في التقدم",IF($K2977="No Start (attainment only)","ℹ تحصيل فقط (بدون Start)",IF($K2977="U – needs rule","ℹ حالة U تحتاج قاعدة معتمدة",IF($K2977="No result","ℹ بدون نتيجة (يُستبعد من التحصيل)","OK")))))))))))</f>
        <v/>
      </c>
      <c r="M2977" s="64" t="n">
        <f aca="false">IF($A2977="",0,IFERROR(MATCH($A2977,Classes!$A$6:$A$420,0),0))</f>
        <v>0</v>
      </c>
      <c r="N2977" s="64" t="n">
        <f aca="false">IF($H2977="",0,IFERROR(MATCH($H2977,GradeList,0),0))</f>
        <v>0</v>
      </c>
      <c r="O2977" s="64" t="n">
        <f aca="false">IF(OR($I2977="",$I2977="NR"),0,IFERROR(MATCH($I2977,GradeList,0),0))</f>
        <v>0</v>
      </c>
      <c r="P2977" s="64" t="n">
        <f aca="false">IF(AND($M2977&gt;0,ISNUMBER(MATCH($F2977,Lists!$A$2:$A$5,0)),ISNUMBER(MATCH($G2977,Lists!$B$2:$B$7,0)),OR($H2977="",$N2977&gt;0),OR($I2977="",$I2977="NR",$O2977&gt;0),IF(ISNUMBER($J2977),AND($J2977&gt;=0,$J2977=INT($J2977)),FALSE())),$J2977,0)</f>
        <v>0</v>
      </c>
      <c r="Q2977" s="64" t="n">
        <f aca="false">IF(AND($P2977&gt;0,$O2977&gt;0),$P2977,0)</f>
        <v>0</v>
      </c>
      <c r="R2977" s="64" t="n">
        <f aca="false">IF(AND($Q2977&gt;0,$O2977&gt;=AtRank),$Q2977,0)</f>
        <v>0</v>
      </c>
      <c r="S2977" s="64" t="n">
        <f aca="false">IF(AND($Q2977&gt;0,$O2977&gt;=AboveRank),$Q2977,0)</f>
        <v>0</v>
      </c>
      <c r="T2977" s="64" t="n">
        <f aca="false">IF($K2977="Less",$P2977,0)</f>
        <v>0</v>
      </c>
      <c r="U2977" s="64" t="n">
        <f aca="false">IF($K2977="Expected",$P2977,0)</f>
        <v>0</v>
      </c>
      <c r="V2977" s="64" t="n">
        <f aca="false">IF($K2977="Better",$P2977,0)</f>
        <v>0</v>
      </c>
      <c r="W2977" s="64" t="n">
        <f aca="false">IF($K2977="U – needs rule",$P2977,0)</f>
        <v>0</v>
      </c>
      <c r="X2977" s="64" t="n">
        <f aca="false">IF($K2977="No Start (attainment only)",$P2977,0)</f>
        <v>0</v>
      </c>
    </row>
    <row r="2978" customFormat="false" ht="15" hidden="false" customHeight="false" outlineLevel="0" collapsed="false">
      <c r="A2978" s="60"/>
      <c r="B2978" s="61" t="str">
        <f aca="false">IF($M2978=0,"",INDEX(Classes!$E$6:$E$420,$M2978))</f>
        <v/>
      </c>
      <c r="C2978" s="62" t="str">
        <f aca="false">IF($M2978=0,"",INDEX(Classes!$H$6:$H$420,$M2978))</f>
        <v/>
      </c>
      <c r="D2978" s="61" t="str">
        <f aca="false">IF($M2978=0,"",INDEX(Classes!$B$6:$B$420,$M2978))</f>
        <v/>
      </c>
      <c r="E2978" s="61" t="str">
        <f aca="false">IF($M2978=0,"",INDEX(Classes!$C$6:$C$420,$M2978))</f>
        <v/>
      </c>
      <c r="F2978" s="63"/>
      <c r="G2978" s="63"/>
      <c r="H2978" s="60"/>
      <c r="I2978" s="60"/>
      <c r="J2978" s="63"/>
      <c r="K2978" s="61" t="str">
        <f aca="false">IF($P2978=0,"",IF($F2978="Baseline","— Baseline",IF($O2978=0,"No result",IF($N2978=0,"No Start (attainment only)",IF(OR($N2978=1,$O2978=1),"U – needs rule",INDEX(MxBody,MATCH($I2978,MxCurr,0),MATCH($H2978,MxStart,0)))))))</f>
        <v/>
      </c>
      <c r="L2978" s="62" t="str">
        <f aca="false">IF(COUNTA($A2978,$F2978,$G2978,$H2978,$I2978,$J2978)=0,"",IF($M2978=0,"✖ كود الصف غير موجود",IF(ISNA(MATCH($F2978,Lists!$A$2:$A$5,0)),"✖ الفترة غير صحيحة",IF(ISNA(MATCH($G2978,Lists!$B$2:$B$7,0)),"✖ المجموعة غير صحيحة",IF(NOT(OR($H2978="",$N2978&gt;0)),"✖ Start غير صحيح",IF(NOT(OR($I2978="",$I2978="NR",$O2978&gt;0)),"✖ Current غير صحيح",IF(NOT(IF(ISNUMBER($J2978),AND($J2978&gt;=0,$J2978=INT($J2978)),FALSE())),"✖ العدد يجب أن يكون صحيحًا ≥ 0",IF(AND($F2978="Baseline",$H2978&lt;&gt;""),"⚠ Baseline: Start لا يدخل في التقدم",IF($K2978="No Start (attainment only)","ℹ تحصيل فقط (بدون Start)",IF($K2978="U – needs rule","ℹ حالة U تحتاج قاعدة معتمدة",IF($K2978="No result","ℹ بدون نتيجة (يُستبعد من التحصيل)","OK")))))))))))</f>
        <v/>
      </c>
      <c r="M2978" s="64" t="n">
        <f aca="false">IF($A2978="",0,IFERROR(MATCH($A2978,Classes!$A$6:$A$420,0),0))</f>
        <v>0</v>
      </c>
      <c r="N2978" s="64" t="n">
        <f aca="false">IF($H2978="",0,IFERROR(MATCH($H2978,GradeList,0),0))</f>
        <v>0</v>
      </c>
      <c r="O2978" s="64" t="n">
        <f aca="false">IF(OR($I2978="",$I2978="NR"),0,IFERROR(MATCH($I2978,GradeList,0),0))</f>
        <v>0</v>
      </c>
      <c r="P2978" s="64" t="n">
        <f aca="false">IF(AND($M2978&gt;0,ISNUMBER(MATCH($F2978,Lists!$A$2:$A$5,0)),ISNUMBER(MATCH($G2978,Lists!$B$2:$B$7,0)),OR($H2978="",$N2978&gt;0),OR($I2978="",$I2978="NR",$O2978&gt;0),IF(ISNUMBER($J2978),AND($J2978&gt;=0,$J2978=INT($J2978)),FALSE())),$J2978,0)</f>
        <v>0</v>
      </c>
      <c r="Q2978" s="64" t="n">
        <f aca="false">IF(AND($P2978&gt;0,$O2978&gt;0),$P2978,0)</f>
        <v>0</v>
      </c>
      <c r="R2978" s="64" t="n">
        <f aca="false">IF(AND($Q2978&gt;0,$O2978&gt;=AtRank),$Q2978,0)</f>
        <v>0</v>
      </c>
      <c r="S2978" s="64" t="n">
        <f aca="false">IF(AND($Q2978&gt;0,$O2978&gt;=AboveRank),$Q2978,0)</f>
        <v>0</v>
      </c>
      <c r="T2978" s="64" t="n">
        <f aca="false">IF($K2978="Less",$P2978,0)</f>
        <v>0</v>
      </c>
      <c r="U2978" s="64" t="n">
        <f aca="false">IF($K2978="Expected",$P2978,0)</f>
        <v>0</v>
      </c>
      <c r="V2978" s="64" t="n">
        <f aca="false">IF($K2978="Better",$P2978,0)</f>
        <v>0</v>
      </c>
      <c r="W2978" s="64" t="n">
        <f aca="false">IF($K2978="U – needs rule",$P2978,0)</f>
        <v>0</v>
      </c>
      <c r="X2978" s="64" t="n">
        <f aca="false">IF($K2978="No Start (attainment only)",$P2978,0)</f>
        <v>0</v>
      </c>
    </row>
    <row r="2979" customFormat="false" ht="15" hidden="false" customHeight="false" outlineLevel="0" collapsed="false">
      <c r="A2979" s="60"/>
      <c r="B2979" s="61" t="str">
        <f aca="false">IF($M2979=0,"",INDEX(Classes!$E$6:$E$420,$M2979))</f>
        <v/>
      </c>
      <c r="C2979" s="62" t="str">
        <f aca="false">IF($M2979=0,"",INDEX(Classes!$H$6:$H$420,$M2979))</f>
        <v/>
      </c>
      <c r="D2979" s="61" t="str">
        <f aca="false">IF($M2979=0,"",INDEX(Classes!$B$6:$B$420,$M2979))</f>
        <v/>
      </c>
      <c r="E2979" s="61" t="str">
        <f aca="false">IF($M2979=0,"",INDEX(Classes!$C$6:$C$420,$M2979))</f>
        <v/>
      </c>
      <c r="F2979" s="63"/>
      <c r="G2979" s="63"/>
      <c r="H2979" s="60"/>
      <c r="I2979" s="60"/>
      <c r="J2979" s="63"/>
      <c r="K2979" s="61" t="str">
        <f aca="false">IF($P2979=0,"",IF($F2979="Baseline","— Baseline",IF($O2979=0,"No result",IF($N2979=0,"No Start (attainment only)",IF(OR($N2979=1,$O2979=1),"U – needs rule",INDEX(MxBody,MATCH($I2979,MxCurr,0),MATCH($H2979,MxStart,0)))))))</f>
        <v/>
      </c>
      <c r="L2979" s="62" t="str">
        <f aca="false">IF(COUNTA($A2979,$F2979,$G2979,$H2979,$I2979,$J2979)=0,"",IF($M2979=0,"✖ كود الصف غير موجود",IF(ISNA(MATCH($F2979,Lists!$A$2:$A$5,0)),"✖ الفترة غير صحيحة",IF(ISNA(MATCH($G2979,Lists!$B$2:$B$7,0)),"✖ المجموعة غير صحيحة",IF(NOT(OR($H2979="",$N2979&gt;0)),"✖ Start غير صحيح",IF(NOT(OR($I2979="",$I2979="NR",$O2979&gt;0)),"✖ Current غير صحيح",IF(NOT(IF(ISNUMBER($J2979),AND($J2979&gt;=0,$J2979=INT($J2979)),FALSE())),"✖ العدد يجب أن يكون صحيحًا ≥ 0",IF(AND($F2979="Baseline",$H2979&lt;&gt;""),"⚠ Baseline: Start لا يدخل في التقدم",IF($K2979="No Start (attainment only)","ℹ تحصيل فقط (بدون Start)",IF($K2979="U – needs rule","ℹ حالة U تحتاج قاعدة معتمدة",IF($K2979="No result","ℹ بدون نتيجة (يُستبعد من التحصيل)","OK")))))))))))</f>
        <v/>
      </c>
      <c r="M2979" s="64" t="n">
        <f aca="false">IF($A2979="",0,IFERROR(MATCH($A2979,Classes!$A$6:$A$420,0),0))</f>
        <v>0</v>
      </c>
      <c r="N2979" s="64" t="n">
        <f aca="false">IF($H2979="",0,IFERROR(MATCH($H2979,GradeList,0),0))</f>
        <v>0</v>
      </c>
      <c r="O2979" s="64" t="n">
        <f aca="false">IF(OR($I2979="",$I2979="NR"),0,IFERROR(MATCH($I2979,GradeList,0),0))</f>
        <v>0</v>
      </c>
      <c r="P2979" s="64" t="n">
        <f aca="false">IF(AND($M2979&gt;0,ISNUMBER(MATCH($F2979,Lists!$A$2:$A$5,0)),ISNUMBER(MATCH($G2979,Lists!$B$2:$B$7,0)),OR($H2979="",$N2979&gt;0),OR($I2979="",$I2979="NR",$O2979&gt;0),IF(ISNUMBER($J2979),AND($J2979&gt;=0,$J2979=INT($J2979)),FALSE())),$J2979,0)</f>
        <v>0</v>
      </c>
      <c r="Q2979" s="64" t="n">
        <f aca="false">IF(AND($P2979&gt;0,$O2979&gt;0),$P2979,0)</f>
        <v>0</v>
      </c>
      <c r="R2979" s="64" t="n">
        <f aca="false">IF(AND($Q2979&gt;0,$O2979&gt;=AtRank),$Q2979,0)</f>
        <v>0</v>
      </c>
      <c r="S2979" s="64" t="n">
        <f aca="false">IF(AND($Q2979&gt;0,$O2979&gt;=AboveRank),$Q2979,0)</f>
        <v>0</v>
      </c>
      <c r="T2979" s="64" t="n">
        <f aca="false">IF($K2979="Less",$P2979,0)</f>
        <v>0</v>
      </c>
      <c r="U2979" s="64" t="n">
        <f aca="false">IF($K2979="Expected",$P2979,0)</f>
        <v>0</v>
      </c>
      <c r="V2979" s="64" t="n">
        <f aca="false">IF($K2979="Better",$P2979,0)</f>
        <v>0</v>
      </c>
      <c r="W2979" s="64" t="n">
        <f aca="false">IF($K2979="U – needs rule",$P2979,0)</f>
        <v>0</v>
      </c>
      <c r="X2979" s="64" t="n">
        <f aca="false">IF($K2979="No Start (attainment only)",$P2979,0)</f>
        <v>0</v>
      </c>
    </row>
    <row r="2980" customFormat="false" ht="15" hidden="false" customHeight="false" outlineLevel="0" collapsed="false">
      <c r="A2980" s="60"/>
      <c r="B2980" s="61" t="str">
        <f aca="false">IF($M2980=0,"",INDEX(Classes!$E$6:$E$420,$M2980))</f>
        <v/>
      </c>
      <c r="C2980" s="62" t="str">
        <f aca="false">IF($M2980=0,"",INDEX(Classes!$H$6:$H$420,$M2980))</f>
        <v/>
      </c>
      <c r="D2980" s="61" t="str">
        <f aca="false">IF($M2980=0,"",INDEX(Classes!$B$6:$B$420,$M2980))</f>
        <v/>
      </c>
      <c r="E2980" s="61" t="str">
        <f aca="false">IF($M2980=0,"",INDEX(Classes!$C$6:$C$420,$M2980))</f>
        <v/>
      </c>
      <c r="F2980" s="63"/>
      <c r="G2980" s="63"/>
      <c r="H2980" s="60"/>
      <c r="I2980" s="60"/>
      <c r="J2980" s="63"/>
      <c r="K2980" s="61" t="str">
        <f aca="false">IF($P2980=0,"",IF($F2980="Baseline","— Baseline",IF($O2980=0,"No result",IF($N2980=0,"No Start (attainment only)",IF(OR($N2980=1,$O2980=1),"U – needs rule",INDEX(MxBody,MATCH($I2980,MxCurr,0),MATCH($H2980,MxStart,0)))))))</f>
        <v/>
      </c>
      <c r="L2980" s="62" t="str">
        <f aca="false">IF(COUNTA($A2980,$F2980,$G2980,$H2980,$I2980,$J2980)=0,"",IF($M2980=0,"✖ كود الصف غير موجود",IF(ISNA(MATCH($F2980,Lists!$A$2:$A$5,0)),"✖ الفترة غير صحيحة",IF(ISNA(MATCH($G2980,Lists!$B$2:$B$7,0)),"✖ المجموعة غير صحيحة",IF(NOT(OR($H2980="",$N2980&gt;0)),"✖ Start غير صحيح",IF(NOT(OR($I2980="",$I2980="NR",$O2980&gt;0)),"✖ Current غير صحيح",IF(NOT(IF(ISNUMBER($J2980),AND($J2980&gt;=0,$J2980=INT($J2980)),FALSE())),"✖ العدد يجب أن يكون صحيحًا ≥ 0",IF(AND($F2980="Baseline",$H2980&lt;&gt;""),"⚠ Baseline: Start لا يدخل في التقدم",IF($K2980="No Start (attainment only)","ℹ تحصيل فقط (بدون Start)",IF($K2980="U – needs rule","ℹ حالة U تحتاج قاعدة معتمدة",IF($K2980="No result","ℹ بدون نتيجة (يُستبعد من التحصيل)","OK")))))))))))</f>
        <v/>
      </c>
      <c r="M2980" s="64" t="n">
        <f aca="false">IF($A2980="",0,IFERROR(MATCH($A2980,Classes!$A$6:$A$420,0),0))</f>
        <v>0</v>
      </c>
      <c r="N2980" s="64" t="n">
        <f aca="false">IF($H2980="",0,IFERROR(MATCH($H2980,GradeList,0),0))</f>
        <v>0</v>
      </c>
      <c r="O2980" s="64" t="n">
        <f aca="false">IF(OR($I2980="",$I2980="NR"),0,IFERROR(MATCH($I2980,GradeList,0),0))</f>
        <v>0</v>
      </c>
      <c r="P2980" s="64" t="n">
        <f aca="false">IF(AND($M2980&gt;0,ISNUMBER(MATCH($F2980,Lists!$A$2:$A$5,0)),ISNUMBER(MATCH($G2980,Lists!$B$2:$B$7,0)),OR($H2980="",$N2980&gt;0),OR($I2980="",$I2980="NR",$O2980&gt;0),IF(ISNUMBER($J2980),AND($J2980&gt;=0,$J2980=INT($J2980)),FALSE())),$J2980,0)</f>
        <v>0</v>
      </c>
      <c r="Q2980" s="64" t="n">
        <f aca="false">IF(AND($P2980&gt;0,$O2980&gt;0),$P2980,0)</f>
        <v>0</v>
      </c>
      <c r="R2980" s="64" t="n">
        <f aca="false">IF(AND($Q2980&gt;0,$O2980&gt;=AtRank),$Q2980,0)</f>
        <v>0</v>
      </c>
      <c r="S2980" s="64" t="n">
        <f aca="false">IF(AND($Q2980&gt;0,$O2980&gt;=AboveRank),$Q2980,0)</f>
        <v>0</v>
      </c>
      <c r="T2980" s="64" t="n">
        <f aca="false">IF($K2980="Less",$P2980,0)</f>
        <v>0</v>
      </c>
      <c r="U2980" s="64" t="n">
        <f aca="false">IF($K2980="Expected",$P2980,0)</f>
        <v>0</v>
      </c>
      <c r="V2980" s="64" t="n">
        <f aca="false">IF($K2980="Better",$P2980,0)</f>
        <v>0</v>
      </c>
      <c r="W2980" s="64" t="n">
        <f aca="false">IF($K2980="U – needs rule",$P2980,0)</f>
        <v>0</v>
      </c>
      <c r="X2980" s="64" t="n">
        <f aca="false">IF($K2980="No Start (attainment only)",$P2980,0)</f>
        <v>0</v>
      </c>
    </row>
    <row r="2981" customFormat="false" ht="15" hidden="false" customHeight="false" outlineLevel="0" collapsed="false">
      <c r="A2981" s="60"/>
      <c r="B2981" s="61" t="str">
        <f aca="false">IF($M2981=0,"",INDEX(Classes!$E$6:$E$420,$M2981))</f>
        <v/>
      </c>
      <c r="C2981" s="62" t="str">
        <f aca="false">IF($M2981=0,"",INDEX(Classes!$H$6:$H$420,$M2981))</f>
        <v/>
      </c>
      <c r="D2981" s="61" t="str">
        <f aca="false">IF($M2981=0,"",INDEX(Classes!$B$6:$B$420,$M2981))</f>
        <v/>
      </c>
      <c r="E2981" s="61" t="str">
        <f aca="false">IF($M2981=0,"",INDEX(Classes!$C$6:$C$420,$M2981))</f>
        <v/>
      </c>
      <c r="F2981" s="63"/>
      <c r="G2981" s="63"/>
      <c r="H2981" s="60"/>
      <c r="I2981" s="60"/>
      <c r="J2981" s="63"/>
      <c r="K2981" s="61" t="str">
        <f aca="false">IF($P2981=0,"",IF($F2981="Baseline","— Baseline",IF($O2981=0,"No result",IF($N2981=0,"No Start (attainment only)",IF(OR($N2981=1,$O2981=1),"U – needs rule",INDEX(MxBody,MATCH($I2981,MxCurr,0),MATCH($H2981,MxStart,0)))))))</f>
        <v/>
      </c>
      <c r="L2981" s="62" t="str">
        <f aca="false">IF(COUNTA($A2981,$F2981,$G2981,$H2981,$I2981,$J2981)=0,"",IF($M2981=0,"✖ كود الصف غير موجود",IF(ISNA(MATCH($F2981,Lists!$A$2:$A$5,0)),"✖ الفترة غير صحيحة",IF(ISNA(MATCH($G2981,Lists!$B$2:$B$7,0)),"✖ المجموعة غير صحيحة",IF(NOT(OR($H2981="",$N2981&gt;0)),"✖ Start غير صحيح",IF(NOT(OR($I2981="",$I2981="NR",$O2981&gt;0)),"✖ Current غير صحيح",IF(NOT(IF(ISNUMBER($J2981),AND($J2981&gt;=0,$J2981=INT($J2981)),FALSE())),"✖ العدد يجب أن يكون صحيحًا ≥ 0",IF(AND($F2981="Baseline",$H2981&lt;&gt;""),"⚠ Baseline: Start لا يدخل في التقدم",IF($K2981="No Start (attainment only)","ℹ تحصيل فقط (بدون Start)",IF($K2981="U – needs rule","ℹ حالة U تحتاج قاعدة معتمدة",IF($K2981="No result","ℹ بدون نتيجة (يُستبعد من التحصيل)","OK")))))))))))</f>
        <v/>
      </c>
      <c r="M2981" s="64" t="n">
        <f aca="false">IF($A2981="",0,IFERROR(MATCH($A2981,Classes!$A$6:$A$420,0),0))</f>
        <v>0</v>
      </c>
      <c r="N2981" s="64" t="n">
        <f aca="false">IF($H2981="",0,IFERROR(MATCH($H2981,GradeList,0),0))</f>
        <v>0</v>
      </c>
      <c r="O2981" s="64" t="n">
        <f aca="false">IF(OR($I2981="",$I2981="NR"),0,IFERROR(MATCH($I2981,GradeList,0),0))</f>
        <v>0</v>
      </c>
      <c r="P2981" s="64" t="n">
        <f aca="false">IF(AND($M2981&gt;0,ISNUMBER(MATCH($F2981,Lists!$A$2:$A$5,0)),ISNUMBER(MATCH($G2981,Lists!$B$2:$B$7,0)),OR($H2981="",$N2981&gt;0),OR($I2981="",$I2981="NR",$O2981&gt;0),IF(ISNUMBER($J2981),AND($J2981&gt;=0,$J2981=INT($J2981)),FALSE())),$J2981,0)</f>
        <v>0</v>
      </c>
      <c r="Q2981" s="64" t="n">
        <f aca="false">IF(AND($P2981&gt;0,$O2981&gt;0),$P2981,0)</f>
        <v>0</v>
      </c>
      <c r="R2981" s="64" t="n">
        <f aca="false">IF(AND($Q2981&gt;0,$O2981&gt;=AtRank),$Q2981,0)</f>
        <v>0</v>
      </c>
      <c r="S2981" s="64" t="n">
        <f aca="false">IF(AND($Q2981&gt;0,$O2981&gt;=AboveRank),$Q2981,0)</f>
        <v>0</v>
      </c>
      <c r="T2981" s="64" t="n">
        <f aca="false">IF($K2981="Less",$P2981,0)</f>
        <v>0</v>
      </c>
      <c r="U2981" s="64" t="n">
        <f aca="false">IF($K2981="Expected",$P2981,0)</f>
        <v>0</v>
      </c>
      <c r="V2981" s="64" t="n">
        <f aca="false">IF($K2981="Better",$P2981,0)</f>
        <v>0</v>
      </c>
      <c r="W2981" s="64" t="n">
        <f aca="false">IF($K2981="U – needs rule",$P2981,0)</f>
        <v>0</v>
      </c>
      <c r="X2981" s="64" t="n">
        <f aca="false">IF($K2981="No Start (attainment only)",$P2981,0)</f>
        <v>0</v>
      </c>
    </row>
    <row r="2982" customFormat="false" ht="15" hidden="false" customHeight="false" outlineLevel="0" collapsed="false">
      <c r="A2982" s="60"/>
      <c r="B2982" s="61" t="str">
        <f aca="false">IF($M2982=0,"",INDEX(Classes!$E$6:$E$420,$M2982))</f>
        <v/>
      </c>
      <c r="C2982" s="62" t="str">
        <f aca="false">IF($M2982=0,"",INDEX(Classes!$H$6:$H$420,$M2982))</f>
        <v/>
      </c>
      <c r="D2982" s="61" t="str">
        <f aca="false">IF($M2982=0,"",INDEX(Classes!$B$6:$B$420,$M2982))</f>
        <v/>
      </c>
      <c r="E2982" s="61" t="str">
        <f aca="false">IF($M2982=0,"",INDEX(Classes!$C$6:$C$420,$M2982))</f>
        <v/>
      </c>
      <c r="F2982" s="63"/>
      <c r="G2982" s="63"/>
      <c r="H2982" s="60"/>
      <c r="I2982" s="60"/>
      <c r="J2982" s="63"/>
      <c r="K2982" s="61" t="str">
        <f aca="false">IF($P2982=0,"",IF($F2982="Baseline","— Baseline",IF($O2982=0,"No result",IF($N2982=0,"No Start (attainment only)",IF(OR($N2982=1,$O2982=1),"U – needs rule",INDEX(MxBody,MATCH($I2982,MxCurr,0),MATCH($H2982,MxStart,0)))))))</f>
        <v/>
      </c>
      <c r="L2982" s="62" t="str">
        <f aca="false">IF(COUNTA($A2982,$F2982,$G2982,$H2982,$I2982,$J2982)=0,"",IF($M2982=0,"✖ كود الصف غير موجود",IF(ISNA(MATCH($F2982,Lists!$A$2:$A$5,0)),"✖ الفترة غير صحيحة",IF(ISNA(MATCH($G2982,Lists!$B$2:$B$7,0)),"✖ المجموعة غير صحيحة",IF(NOT(OR($H2982="",$N2982&gt;0)),"✖ Start غير صحيح",IF(NOT(OR($I2982="",$I2982="NR",$O2982&gt;0)),"✖ Current غير صحيح",IF(NOT(IF(ISNUMBER($J2982),AND($J2982&gt;=0,$J2982=INT($J2982)),FALSE())),"✖ العدد يجب أن يكون صحيحًا ≥ 0",IF(AND($F2982="Baseline",$H2982&lt;&gt;""),"⚠ Baseline: Start لا يدخل في التقدم",IF($K2982="No Start (attainment only)","ℹ تحصيل فقط (بدون Start)",IF($K2982="U – needs rule","ℹ حالة U تحتاج قاعدة معتمدة",IF($K2982="No result","ℹ بدون نتيجة (يُستبعد من التحصيل)","OK")))))))))))</f>
        <v/>
      </c>
      <c r="M2982" s="64" t="n">
        <f aca="false">IF($A2982="",0,IFERROR(MATCH($A2982,Classes!$A$6:$A$420,0),0))</f>
        <v>0</v>
      </c>
      <c r="N2982" s="64" t="n">
        <f aca="false">IF($H2982="",0,IFERROR(MATCH($H2982,GradeList,0),0))</f>
        <v>0</v>
      </c>
      <c r="O2982" s="64" t="n">
        <f aca="false">IF(OR($I2982="",$I2982="NR"),0,IFERROR(MATCH($I2982,GradeList,0),0))</f>
        <v>0</v>
      </c>
      <c r="P2982" s="64" t="n">
        <f aca="false">IF(AND($M2982&gt;0,ISNUMBER(MATCH($F2982,Lists!$A$2:$A$5,0)),ISNUMBER(MATCH($G2982,Lists!$B$2:$B$7,0)),OR($H2982="",$N2982&gt;0),OR($I2982="",$I2982="NR",$O2982&gt;0),IF(ISNUMBER($J2982),AND($J2982&gt;=0,$J2982=INT($J2982)),FALSE())),$J2982,0)</f>
        <v>0</v>
      </c>
      <c r="Q2982" s="64" t="n">
        <f aca="false">IF(AND($P2982&gt;0,$O2982&gt;0),$P2982,0)</f>
        <v>0</v>
      </c>
      <c r="R2982" s="64" t="n">
        <f aca="false">IF(AND($Q2982&gt;0,$O2982&gt;=AtRank),$Q2982,0)</f>
        <v>0</v>
      </c>
      <c r="S2982" s="64" t="n">
        <f aca="false">IF(AND($Q2982&gt;0,$O2982&gt;=AboveRank),$Q2982,0)</f>
        <v>0</v>
      </c>
      <c r="T2982" s="64" t="n">
        <f aca="false">IF($K2982="Less",$P2982,0)</f>
        <v>0</v>
      </c>
      <c r="U2982" s="64" t="n">
        <f aca="false">IF($K2982="Expected",$P2982,0)</f>
        <v>0</v>
      </c>
      <c r="V2982" s="64" t="n">
        <f aca="false">IF($K2982="Better",$P2982,0)</f>
        <v>0</v>
      </c>
      <c r="W2982" s="64" t="n">
        <f aca="false">IF($K2982="U – needs rule",$P2982,0)</f>
        <v>0</v>
      </c>
      <c r="X2982" s="64" t="n">
        <f aca="false">IF($K2982="No Start (attainment only)",$P2982,0)</f>
        <v>0</v>
      </c>
    </row>
    <row r="2983" customFormat="false" ht="15" hidden="false" customHeight="false" outlineLevel="0" collapsed="false">
      <c r="A2983" s="60"/>
      <c r="B2983" s="61" t="str">
        <f aca="false">IF($M2983=0,"",INDEX(Classes!$E$6:$E$420,$M2983))</f>
        <v/>
      </c>
      <c r="C2983" s="62" t="str">
        <f aca="false">IF($M2983=0,"",INDEX(Classes!$H$6:$H$420,$M2983))</f>
        <v/>
      </c>
      <c r="D2983" s="61" t="str">
        <f aca="false">IF($M2983=0,"",INDEX(Classes!$B$6:$B$420,$M2983))</f>
        <v/>
      </c>
      <c r="E2983" s="61" t="str">
        <f aca="false">IF($M2983=0,"",INDEX(Classes!$C$6:$C$420,$M2983))</f>
        <v/>
      </c>
      <c r="F2983" s="63"/>
      <c r="G2983" s="63"/>
      <c r="H2983" s="60"/>
      <c r="I2983" s="60"/>
      <c r="J2983" s="63"/>
      <c r="K2983" s="61" t="str">
        <f aca="false">IF($P2983=0,"",IF($F2983="Baseline","— Baseline",IF($O2983=0,"No result",IF($N2983=0,"No Start (attainment only)",IF(OR($N2983=1,$O2983=1),"U – needs rule",INDEX(MxBody,MATCH($I2983,MxCurr,0),MATCH($H2983,MxStart,0)))))))</f>
        <v/>
      </c>
      <c r="L2983" s="62" t="str">
        <f aca="false">IF(COUNTA($A2983,$F2983,$G2983,$H2983,$I2983,$J2983)=0,"",IF($M2983=0,"✖ كود الصف غير موجود",IF(ISNA(MATCH($F2983,Lists!$A$2:$A$5,0)),"✖ الفترة غير صحيحة",IF(ISNA(MATCH($G2983,Lists!$B$2:$B$7,0)),"✖ المجموعة غير صحيحة",IF(NOT(OR($H2983="",$N2983&gt;0)),"✖ Start غير صحيح",IF(NOT(OR($I2983="",$I2983="NR",$O2983&gt;0)),"✖ Current غير صحيح",IF(NOT(IF(ISNUMBER($J2983),AND($J2983&gt;=0,$J2983=INT($J2983)),FALSE())),"✖ العدد يجب أن يكون صحيحًا ≥ 0",IF(AND($F2983="Baseline",$H2983&lt;&gt;""),"⚠ Baseline: Start لا يدخل في التقدم",IF($K2983="No Start (attainment only)","ℹ تحصيل فقط (بدون Start)",IF($K2983="U – needs rule","ℹ حالة U تحتاج قاعدة معتمدة",IF($K2983="No result","ℹ بدون نتيجة (يُستبعد من التحصيل)","OK")))))))))))</f>
        <v/>
      </c>
      <c r="M2983" s="64" t="n">
        <f aca="false">IF($A2983="",0,IFERROR(MATCH($A2983,Classes!$A$6:$A$420,0),0))</f>
        <v>0</v>
      </c>
      <c r="N2983" s="64" t="n">
        <f aca="false">IF($H2983="",0,IFERROR(MATCH($H2983,GradeList,0),0))</f>
        <v>0</v>
      </c>
      <c r="O2983" s="64" t="n">
        <f aca="false">IF(OR($I2983="",$I2983="NR"),0,IFERROR(MATCH($I2983,GradeList,0),0))</f>
        <v>0</v>
      </c>
      <c r="P2983" s="64" t="n">
        <f aca="false">IF(AND($M2983&gt;0,ISNUMBER(MATCH($F2983,Lists!$A$2:$A$5,0)),ISNUMBER(MATCH($G2983,Lists!$B$2:$B$7,0)),OR($H2983="",$N2983&gt;0),OR($I2983="",$I2983="NR",$O2983&gt;0),IF(ISNUMBER($J2983),AND($J2983&gt;=0,$J2983=INT($J2983)),FALSE())),$J2983,0)</f>
        <v>0</v>
      </c>
      <c r="Q2983" s="64" t="n">
        <f aca="false">IF(AND($P2983&gt;0,$O2983&gt;0),$P2983,0)</f>
        <v>0</v>
      </c>
      <c r="R2983" s="64" t="n">
        <f aca="false">IF(AND($Q2983&gt;0,$O2983&gt;=AtRank),$Q2983,0)</f>
        <v>0</v>
      </c>
      <c r="S2983" s="64" t="n">
        <f aca="false">IF(AND($Q2983&gt;0,$O2983&gt;=AboveRank),$Q2983,0)</f>
        <v>0</v>
      </c>
      <c r="T2983" s="64" t="n">
        <f aca="false">IF($K2983="Less",$P2983,0)</f>
        <v>0</v>
      </c>
      <c r="U2983" s="64" t="n">
        <f aca="false">IF($K2983="Expected",$P2983,0)</f>
        <v>0</v>
      </c>
      <c r="V2983" s="64" t="n">
        <f aca="false">IF($K2983="Better",$P2983,0)</f>
        <v>0</v>
      </c>
      <c r="W2983" s="64" t="n">
        <f aca="false">IF($K2983="U – needs rule",$P2983,0)</f>
        <v>0</v>
      </c>
      <c r="X2983" s="64" t="n">
        <f aca="false">IF($K2983="No Start (attainment only)",$P2983,0)</f>
        <v>0</v>
      </c>
    </row>
    <row r="2984" customFormat="false" ht="15" hidden="false" customHeight="false" outlineLevel="0" collapsed="false">
      <c r="A2984" s="60"/>
      <c r="B2984" s="61" t="str">
        <f aca="false">IF($M2984=0,"",INDEX(Classes!$E$6:$E$420,$M2984))</f>
        <v/>
      </c>
      <c r="C2984" s="62" t="str">
        <f aca="false">IF($M2984=0,"",INDEX(Classes!$H$6:$H$420,$M2984))</f>
        <v/>
      </c>
      <c r="D2984" s="61" t="str">
        <f aca="false">IF($M2984=0,"",INDEX(Classes!$B$6:$B$420,$M2984))</f>
        <v/>
      </c>
      <c r="E2984" s="61" t="str">
        <f aca="false">IF($M2984=0,"",INDEX(Classes!$C$6:$C$420,$M2984))</f>
        <v/>
      </c>
      <c r="F2984" s="63"/>
      <c r="G2984" s="63"/>
      <c r="H2984" s="60"/>
      <c r="I2984" s="60"/>
      <c r="J2984" s="63"/>
      <c r="K2984" s="61" t="str">
        <f aca="false">IF($P2984=0,"",IF($F2984="Baseline","— Baseline",IF($O2984=0,"No result",IF($N2984=0,"No Start (attainment only)",IF(OR($N2984=1,$O2984=1),"U – needs rule",INDEX(MxBody,MATCH($I2984,MxCurr,0),MATCH($H2984,MxStart,0)))))))</f>
        <v/>
      </c>
      <c r="L2984" s="62" t="str">
        <f aca="false">IF(COUNTA($A2984,$F2984,$G2984,$H2984,$I2984,$J2984)=0,"",IF($M2984=0,"✖ كود الصف غير موجود",IF(ISNA(MATCH($F2984,Lists!$A$2:$A$5,0)),"✖ الفترة غير صحيحة",IF(ISNA(MATCH($G2984,Lists!$B$2:$B$7,0)),"✖ المجموعة غير صحيحة",IF(NOT(OR($H2984="",$N2984&gt;0)),"✖ Start غير صحيح",IF(NOT(OR($I2984="",$I2984="NR",$O2984&gt;0)),"✖ Current غير صحيح",IF(NOT(IF(ISNUMBER($J2984),AND($J2984&gt;=0,$J2984=INT($J2984)),FALSE())),"✖ العدد يجب أن يكون صحيحًا ≥ 0",IF(AND($F2984="Baseline",$H2984&lt;&gt;""),"⚠ Baseline: Start لا يدخل في التقدم",IF($K2984="No Start (attainment only)","ℹ تحصيل فقط (بدون Start)",IF($K2984="U – needs rule","ℹ حالة U تحتاج قاعدة معتمدة",IF($K2984="No result","ℹ بدون نتيجة (يُستبعد من التحصيل)","OK")))))))))))</f>
        <v/>
      </c>
      <c r="M2984" s="64" t="n">
        <f aca="false">IF($A2984="",0,IFERROR(MATCH($A2984,Classes!$A$6:$A$420,0),0))</f>
        <v>0</v>
      </c>
      <c r="N2984" s="64" t="n">
        <f aca="false">IF($H2984="",0,IFERROR(MATCH($H2984,GradeList,0),0))</f>
        <v>0</v>
      </c>
      <c r="O2984" s="64" t="n">
        <f aca="false">IF(OR($I2984="",$I2984="NR"),0,IFERROR(MATCH($I2984,GradeList,0),0))</f>
        <v>0</v>
      </c>
      <c r="P2984" s="64" t="n">
        <f aca="false">IF(AND($M2984&gt;0,ISNUMBER(MATCH($F2984,Lists!$A$2:$A$5,0)),ISNUMBER(MATCH($G2984,Lists!$B$2:$B$7,0)),OR($H2984="",$N2984&gt;0),OR($I2984="",$I2984="NR",$O2984&gt;0),IF(ISNUMBER($J2984),AND($J2984&gt;=0,$J2984=INT($J2984)),FALSE())),$J2984,0)</f>
        <v>0</v>
      </c>
      <c r="Q2984" s="64" t="n">
        <f aca="false">IF(AND($P2984&gt;0,$O2984&gt;0),$P2984,0)</f>
        <v>0</v>
      </c>
      <c r="R2984" s="64" t="n">
        <f aca="false">IF(AND($Q2984&gt;0,$O2984&gt;=AtRank),$Q2984,0)</f>
        <v>0</v>
      </c>
      <c r="S2984" s="64" t="n">
        <f aca="false">IF(AND($Q2984&gt;0,$O2984&gt;=AboveRank),$Q2984,0)</f>
        <v>0</v>
      </c>
      <c r="T2984" s="64" t="n">
        <f aca="false">IF($K2984="Less",$P2984,0)</f>
        <v>0</v>
      </c>
      <c r="U2984" s="64" t="n">
        <f aca="false">IF($K2984="Expected",$P2984,0)</f>
        <v>0</v>
      </c>
      <c r="V2984" s="64" t="n">
        <f aca="false">IF($K2984="Better",$P2984,0)</f>
        <v>0</v>
      </c>
      <c r="W2984" s="64" t="n">
        <f aca="false">IF($K2984="U – needs rule",$P2984,0)</f>
        <v>0</v>
      </c>
      <c r="X2984" s="64" t="n">
        <f aca="false">IF($K2984="No Start (attainment only)",$P2984,0)</f>
        <v>0</v>
      </c>
    </row>
    <row r="2985" customFormat="false" ht="15" hidden="false" customHeight="false" outlineLevel="0" collapsed="false">
      <c r="A2985" s="60"/>
      <c r="B2985" s="61" t="str">
        <f aca="false">IF($M2985=0,"",INDEX(Classes!$E$6:$E$420,$M2985))</f>
        <v/>
      </c>
      <c r="C2985" s="62" t="str">
        <f aca="false">IF($M2985=0,"",INDEX(Classes!$H$6:$H$420,$M2985))</f>
        <v/>
      </c>
      <c r="D2985" s="61" t="str">
        <f aca="false">IF($M2985=0,"",INDEX(Classes!$B$6:$B$420,$M2985))</f>
        <v/>
      </c>
      <c r="E2985" s="61" t="str">
        <f aca="false">IF($M2985=0,"",INDEX(Classes!$C$6:$C$420,$M2985))</f>
        <v/>
      </c>
      <c r="F2985" s="63"/>
      <c r="G2985" s="63"/>
      <c r="H2985" s="60"/>
      <c r="I2985" s="60"/>
      <c r="J2985" s="63"/>
      <c r="K2985" s="61" t="str">
        <f aca="false">IF($P2985=0,"",IF($F2985="Baseline","— Baseline",IF($O2985=0,"No result",IF($N2985=0,"No Start (attainment only)",IF(OR($N2985=1,$O2985=1),"U – needs rule",INDEX(MxBody,MATCH($I2985,MxCurr,0),MATCH($H2985,MxStart,0)))))))</f>
        <v/>
      </c>
      <c r="L2985" s="62" t="str">
        <f aca="false">IF(COUNTA($A2985,$F2985,$G2985,$H2985,$I2985,$J2985)=0,"",IF($M2985=0,"✖ كود الصف غير موجود",IF(ISNA(MATCH($F2985,Lists!$A$2:$A$5,0)),"✖ الفترة غير صحيحة",IF(ISNA(MATCH($G2985,Lists!$B$2:$B$7,0)),"✖ المجموعة غير صحيحة",IF(NOT(OR($H2985="",$N2985&gt;0)),"✖ Start غير صحيح",IF(NOT(OR($I2985="",$I2985="NR",$O2985&gt;0)),"✖ Current غير صحيح",IF(NOT(IF(ISNUMBER($J2985),AND($J2985&gt;=0,$J2985=INT($J2985)),FALSE())),"✖ العدد يجب أن يكون صحيحًا ≥ 0",IF(AND($F2985="Baseline",$H2985&lt;&gt;""),"⚠ Baseline: Start لا يدخل في التقدم",IF($K2985="No Start (attainment only)","ℹ تحصيل فقط (بدون Start)",IF($K2985="U – needs rule","ℹ حالة U تحتاج قاعدة معتمدة",IF($K2985="No result","ℹ بدون نتيجة (يُستبعد من التحصيل)","OK")))))))))))</f>
        <v/>
      </c>
      <c r="M2985" s="64" t="n">
        <f aca="false">IF($A2985="",0,IFERROR(MATCH($A2985,Classes!$A$6:$A$420,0),0))</f>
        <v>0</v>
      </c>
      <c r="N2985" s="64" t="n">
        <f aca="false">IF($H2985="",0,IFERROR(MATCH($H2985,GradeList,0),0))</f>
        <v>0</v>
      </c>
      <c r="O2985" s="64" t="n">
        <f aca="false">IF(OR($I2985="",$I2985="NR"),0,IFERROR(MATCH($I2985,GradeList,0),0))</f>
        <v>0</v>
      </c>
      <c r="P2985" s="64" t="n">
        <f aca="false">IF(AND($M2985&gt;0,ISNUMBER(MATCH($F2985,Lists!$A$2:$A$5,0)),ISNUMBER(MATCH($G2985,Lists!$B$2:$B$7,0)),OR($H2985="",$N2985&gt;0),OR($I2985="",$I2985="NR",$O2985&gt;0),IF(ISNUMBER($J2985),AND($J2985&gt;=0,$J2985=INT($J2985)),FALSE())),$J2985,0)</f>
        <v>0</v>
      </c>
      <c r="Q2985" s="64" t="n">
        <f aca="false">IF(AND($P2985&gt;0,$O2985&gt;0),$P2985,0)</f>
        <v>0</v>
      </c>
      <c r="R2985" s="64" t="n">
        <f aca="false">IF(AND($Q2985&gt;0,$O2985&gt;=AtRank),$Q2985,0)</f>
        <v>0</v>
      </c>
      <c r="S2985" s="64" t="n">
        <f aca="false">IF(AND($Q2985&gt;0,$O2985&gt;=AboveRank),$Q2985,0)</f>
        <v>0</v>
      </c>
      <c r="T2985" s="64" t="n">
        <f aca="false">IF($K2985="Less",$P2985,0)</f>
        <v>0</v>
      </c>
      <c r="U2985" s="64" t="n">
        <f aca="false">IF($K2985="Expected",$P2985,0)</f>
        <v>0</v>
      </c>
      <c r="V2985" s="64" t="n">
        <f aca="false">IF($K2985="Better",$P2985,0)</f>
        <v>0</v>
      </c>
      <c r="W2985" s="64" t="n">
        <f aca="false">IF($K2985="U – needs rule",$P2985,0)</f>
        <v>0</v>
      </c>
      <c r="X2985" s="64" t="n">
        <f aca="false">IF($K2985="No Start (attainment only)",$P2985,0)</f>
        <v>0</v>
      </c>
    </row>
    <row r="2986" customFormat="false" ht="15" hidden="false" customHeight="false" outlineLevel="0" collapsed="false">
      <c r="A2986" s="60"/>
      <c r="B2986" s="61" t="str">
        <f aca="false">IF($M2986=0,"",INDEX(Classes!$E$6:$E$420,$M2986))</f>
        <v/>
      </c>
      <c r="C2986" s="62" t="str">
        <f aca="false">IF($M2986=0,"",INDEX(Classes!$H$6:$H$420,$M2986))</f>
        <v/>
      </c>
      <c r="D2986" s="61" t="str">
        <f aca="false">IF($M2986=0,"",INDEX(Classes!$B$6:$B$420,$M2986))</f>
        <v/>
      </c>
      <c r="E2986" s="61" t="str">
        <f aca="false">IF($M2986=0,"",INDEX(Classes!$C$6:$C$420,$M2986))</f>
        <v/>
      </c>
      <c r="F2986" s="63"/>
      <c r="G2986" s="63"/>
      <c r="H2986" s="60"/>
      <c r="I2986" s="60"/>
      <c r="J2986" s="63"/>
      <c r="K2986" s="61" t="str">
        <f aca="false">IF($P2986=0,"",IF($F2986="Baseline","— Baseline",IF($O2986=0,"No result",IF($N2986=0,"No Start (attainment only)",IF(OR($N2986=1,$O2986=1),"U – needs rule",INDEX(MxBody,MATCH($I2986,MxCurr,0),MATCH($H2986,MxStart,0)))))))</f>
        <v/>
      </c>
      <c r="L2986" s="62" t="str">
        <f aca="false">IF(COUNTA($A2986,$F2986,$G2986,$H2986,$I2986,$J2986)=0,"",IF($M2986=0,"✖ كود الصف غير موجود",IF(ISNA(MATCH($F2986,Lists!$A$2:$A$5,0)),"✖ الفترة غير صحيحة",IF(ISNA(MATCH($G2986,Lists!$B$2:$B$7,0)),"✖ المجموعة غير صحيحة",IF(NOT(OR($H2986="",$N2986&gt;0)),"✖ Start غير صحيح",IF(NOT(OR($I2986="",$I2986="NR",$O2986&gt;0)),"✖ Current غير صحيح",IF(NOT(IF(ISNUMBER($J2986),AND($J2986&gt;=0,$J2986=INT($J2986)),FALSE())),"✖ العدد يجب أن يكون صحيحًا ≥ 0",IF(AND($F2986="Baseline",$H2986&lt;&gt;""),"⚠ Baseline: Start لا يدخل في التقدم",IF($K2986="No Start (attainment only)","ℹ تحصيل فقط (بدون Start)",IF($K2986="U – needs rule","ℹ حالة U تحتاج قاعدة معتمدة",IF($K2986="No result","ℹ بدون نتيجة (يُستبعد من التحصيل)","OK")))))))))))</f>
        <v/>
      </c>
      <c r="M2986" s="64" t="n">
        <f aca="false">IF($A2986="",0,IFERROR(MATCH($A2986,Classes!$A$6:$A$420,0),0))</f>
        <v>0</v>
      </c>
      <c r="N2986" s="64" t="n">
        <f aca="false">IF($H2986="",0,IFERROR(MATCH($H2986,GradeList,0),0))</f>
        <v>0</v>
      </c>
      <c r="O2986" s="64" t="n">
        <f aca="false">IF(OR($I2986="",$I2986="NR"),0,IFERROR(MATCH($I2986,GradeList,0),0))</f>
        <v>0</v>
      </c>
      <c r="P2986" s="64" t="n">
        <f aca="false">IF(AND($M2986&gt;0,ISNUMBER(MATCH($F2986,Lists!$A$2:$A$5,0)),ISNUMBER(MATCH($G2986,Lists!$B$2:$B$7,0)),OR($H2986="",$N2986&gt;0),OR($I2986="",$I2986="NR",$O2986&gt;0),IF(ISNUMBER($J2986),AND($J2986&gt;=0,$J2986=INT($J2986)),FALSE())),$J2986,0)</f>
        <v>0</v>
      </c>
      <c r="Q2986" s="64" t="n">
        <f aca="false">IF(AND($P2986&gt;0,$O2986&gt;0),$P2986,0)</f>
        <v>0</v>
      </c>
      <c r="R2986" s="64" t="n">
        <f aca="false">IF(AND($Q2986&gt;0,$O2986&gt;=AtRank),$Q2986,0)</f>
        <v>0</v>
      </c>
      <c r="S2986" s="64" t="n">
        <f aca="false">IF(AND($Q2986&gt;0,$O2986&gt;=AboveRank),$Q2986,0)</f>
        <v>0</v>
      </c>
      <c r="T2986" s="64" t="n">
        <f aca="false">IF($K2986="Less",$P2986,0)</f>
        <v>0</v>
      </c>
      <c r="U2986" s="64" t="n">
        <f aca="false">IF($K2986="Expected",$P2986,0)</f>
        <v>0</v>
      </c>
      <c r="V2986" s="64" t="n">
        <f aca="false">IF($K2986="Better",$P2986,0)</f>
        <v>0</v>
      </c>
      <c r="W2986" s="64" t="n">
        <f aca="false">IF($K2986="U – needs rule",$P2986,0)</f>
        <v>0</v>
      </c>
      <c r="X2986" s="64" t="n">
        <f aca="false">IF($K2986="No Start (attainment only)",$P2986,0)</f>
        <v>0</v>
      </c>
    </row>
    <row r="2987" customFormat="false" ht="15" hidden="false" customHeight="false" outlineLevel="0" collapsed="false">
      <c r="A2987" s="60"/>
      <c r="B2987" s="61" t="str">
        <f aca="false">IF($M2987=0,"",INDEX(Classes!$E$6:$E$420,$M2987))</f>
        <v/>
      </c>
      <c r="C2987" s="62" t="str">
        <f aca="false">IF($M2987=0,"",INDEX(Classes!$H$6:$H$420,$M2987))</f>
        <v/>
      </c>
      <c r="D2987" s="61" t="str">
        <f aca="false">IF($M2987=0,"",INDEX(Classes!$B$6:$B$420,$M2987))</f>
        <v/>
      </c>
      <c r="E2987" s="61" t="str">
        <f aca="false">IF($M2987=0,"",INDEX(Classes!$C$6:$C$420,$M2987))</f>
        <v/>
      </c>
      <c r="F2987" s="63"/>
      <c r="G2987" s="63"/>
      <c r="H2987" s="60"/>
      <c r="I2987" s="60"/>
      <c r="J2987" s="63"/>
      <c r="K2987" s="61" t="str">
        <f aca="false">IF($P2987=0,"",IF($F2987="Baseline","— Baseline",IF($O2987=0,"No result",IF($N2987=0,"No Start (attainment only)",IF(OR($N2987=1,$O2987=1),"U – needs rule",INDEX(MxBody,MATCH($I2987,MxCurr,0),MATCH($H2987,MxStart,0)))))))</f>
        <v/>
      </c>
      <c r="L2987" s="62" t="str">
        <f aca="false">IF(COUNTA($A2987,$F2987,$G2987,$H2987,$I2987,$J2987)=0,"",IF($M2987=0,"✖ كود الصف غير موجود",IF(ISNA(MATCH($F2987,Lists!$A$2:$A$5,0)),"✖ الفترة غير صحيحة",IF(ISNA(MATCH($G2987,Lists!$B$2:$B$7,0)),"✖ المجموعة غير صحيحة",IF(NOT(OR($H2987="",$N2987&gt;0)),"✖ Start غير صحيح",IF(NOT(OR($I2987="",$I2987="NR",$O2987&gt;0)),"✖ Current غير صحيح",IF(NOT(IF(ISNUMBER($J2987),AND($J2987&gt;=0,$J2987=INT($J2987)),FALSE())),"✖ العدد يجب أن يكون صحيحًا ≥ 0",IF(AND($F2987="Baseline",$H2987&lt;&gt;""),"⚠ Baseline: Start لا يدخل في التقدم",IF($K2987="No Start (attainment only)","ℹ تحصيل فقط (بدون Start)",IF($K2987="U – needs rule","ℹ حالة U تحتاج قاعدة معتمدة",IF($K2987="No result","ℹ بدون نتيجة (يُستبعد من التحصيل)","OK")))))))))))</f>
        <v/>
      </c>
      <c r="M2987" s="64" t="n">
        <f aca="false">IF($A2987="",0,IFERROR(MATCH($A2987,Classes!$A$6:$A$420,0),0))</f>
        <v>0</v>
      </c>
      <c r="N2987" s="64" t="n">
        <f aca="false">IF($H2987="",0,IFERROR(MATCH($H2987,GradeList,0),0))</f>
        <v>0</v>
      </c>
      <c r="O2987" s="64" t="n">
        <f aca="false">IF(OR($I2987="",$I2987="NR"),0,IFERROR(MATCH($I2987,GradeList,0),0))</f>
        <v>0</v>
      </c>
      <c r="P2987" s="64" t="n">
        <f aca="false">IF(AND($M2987&gt;0,ISNUMBER(MATCH($F2987,Lists!$A$2:$A$5,0)),ISNUMBER(MATCH($G2987,Lists!$B$2:$B$7,0)),OR($H2987="",$N2987&gt;0),OR($I2987="",$I2987="NR",$O2987&gt;0),IF(ISNUMBER($J2987),AND($J2987&gt;=0,$J2987=INT($J2987)),FALSE())),$J2987,0)</f>
        <v>0</v>
      </c>
      <c r="Q2987" s="64" t="n">
        <f aca="false">IF(AND($P2987&gt;0,$O2987&gt;0),$P2987,0)</f>
        <v>0</v>
      </c>
      <c r="R2987" s="64" t="n">
        <f aca="false">IF(AND($Q2987&gt;0,$O2987&gt;=AtRank),$Q2987,0)</f>
        <v>0</v>
      </c>
      <c r="S2987" s="64" t="n">
        <f aca="false">IF(AND($Q2987&gt;0,$O2987&gt;=AboveRank),$Q2987,0)</f>
        <v>0</v>
      </c>
      <c r="T2987" s="64" t="n">
        <f aca="false">IF($K2987="Less",$P2987,0)</f>
        <v>0</v>
      </c>
      <c r="U2987" s="64" t="n">
        <f aca="false">IF($K2987="Expected",$P2987,0)</f>
        <v>0</v>
      </c>
      <c r="V2987" s="64" t="n">
        <f aca="false">IF($K2987="Better",$P2987,0)</f>
        <v>0</v>
      </c>
      <c r="W2987" s="64" t="n">
        <f aca="false">IF($K2987="U – needs rule",$P2987,0)</f>
        <v>0</v>
      </c>
      <c r="X2987" s="64" t="n">
        <f aca="false">IF($K2987="No Start (attainment only)",$P2987,0)</f>
        <v>0</v>
      </c>
    </row>
    <row r="2988" customFormat="false" ht="15" hidden="false" customHeight="false" outlineLevel="0" collapsed="false">
      <c r="A2988" s="60"/>
      <c r="B2988" s="61" t="str">
        <f aca="false">IF($M2988=0,"",INDEX(Classes!$E$6:$E$420,$M2988))</f>
        <v/>
      </c>
      <c r="C2988" s="62" t="str">
        <f aca="false">IF($M2988=0,"",INDEX(Classes!$H$6:$H$420,$M2988))</f>
        <v/>
      </c>
      <c r="D2988" s="61" t="str">
        <f aca="false">IF($M2988=0,"",INDEX(Classes!$B$6:$B$420,$M2988))</f>
        <v/>
      </c>
      <c r="E2988" s="61" t="str">
        <f aca="false">IF($M2988=0,"",INDEX(Classes!$C$6:$C$420,$M2988))</f>
        <v/>
      </c>
      <c r="F2988" s="63"/>
      <c r="G2988" s="63"/>
      <c r="H2988" s="60"/>
      <c r="I2988" s="60"/>
      <c r="J2988" s="63"/>
      <c r="K2988" s="61" t="str">
        <f aca="false">IF($P2988=0,"",IF($F2988="Baseline","— Baseline",IF($O2988=0,"No result",IF($N2988=0,"No Start (attainment only)",IF(OR($N2988=1,$O2988=1),"U – needs rule",INDEX(MxBody,MATCH($I2988,MxCurr,0),MATCH($H2988,MxStart,0)))))))</f>
        <v/>
      </c>
      <c r="L2988" s="62" t="str">
        <f aca="false">IF(COUNTA($A2988,$F2988,$G2988,$H2988,$I2988,$J2988)=0,"",IF($M2988=0,"✖ كود الصف غير موجود",IF(ISNA(MATCH($F2988,Lists!$A$2:$A$5,0)),"✖ الفترة غير صحيحة",IF(ISNA(MATCH($G2988,Lists!$B$2:$B$7,0)),"✖ المجموعة غير صحيحة",IF(NOT(OR($H2988="",$N2988&gt;0)),"✖ Start غير صحيح",IF(NOT(OR($I2988="",$I2988="NR",$O2988&gt;0)),"✖ Current غير صحيح",IF(NOT(IF(ISNUMBER($J2988),AND($J2988&gt;=0,$J2988=INT($J2988)),FALSE())),"✖ العدد يجب أن يكون صحيحًا ≥ 0",IF(AND($F2988="Baseline",$H2988&lt;&gt;""),"⚠ Baseline: Start لا يدخل في التقدم",IF($K2988="No Start (attainment only)","ℹ تحصيل فقط (بدون Start)",IF($K2988="U – needs rule","ℹ حالة U تحتاج قاعدة معتمدة",IF($K2988="No result","ℹ بدون نتيجة (يُستبعد من التحصيل)","OK")))))))))))</f>
        <v/>
      </c>
      <c r="M2988" s="64" t="n">
        <f aca="false">IF($A2988="",0,IFERROR(MATCH($A2988,Classes!$A$6:$A$420,0),0))</f>
        <v>0</v>
      </c>
      <c r="N2988" s="64" t="n">
        <f aca="false">IF($H2988="",0,IFERROR(MATCH($H2988,GradeList,0),0))</f>
        <v>0</v>
      </c>
      <c r="O2988" s="64" t="n">
        <f aca="false">IF(OR($I2988="",$I2988="NR"),0,IFERROR(MATCH($I2988,GradeList,0),0))</f>
        <v>0</v>
      </c>
      <c r="P2988" s="64" t="n">
        <f aca="false">IF(AND($M2988&gt;0,ISNUMBER(MATCH($F2988,Lists!$A$2:$A$5,0)),ISNUMBER(MATCH($G2988,Lists!$B$2:$B$7,0)),OR($H2988="",$N2988&gt;0),OR($I2988="",$I2988="NR",$O2988&gt;0),IF(ISNUMBER($J2988),AND($J2988&gt;=0,$J2988=INT($J2988)),FALSE())),$J2988,0)</f>
        <v>0</v>
      </c>
      <c r="Q2988" s="64" t="n">
        <f aca="false">IF(AND($P2988&gt;0,$O2988&gt;0),$P2988,0)</f>
        <v>0</v>
      </c>
      <c r="R2988" s="64" t="n">
        <f aca="false">IF(AND($Q2988&gt;0,$O2988&gt;=AtRank),$Q2988,0)</f>
        <v>0</v>
      </c>
      <c r="S2988" s="64" t="n">
        <f aca="false">IF(AND($Q2988&gt;0,$O2988&gt;=AboveRank),$Q2988,0)</f>
        <v>0</v>
      </c>
      <c r="T2988" s="64" t="n">
        <f aca="false">IF($K2988="Less",$P2988,0)</f>
        <v>0</v>
      </c>
      <c r="U2988" s="64" t="n">
        <f aca="false">IF($K2988="Expected",$P2988,0)</f>
        <v>0</v>
      </c>
      <c r="V2988" s="64" t="n">
        <f aca="false">IF($K2988="Better",$P2988,0)</f>
        <v>0</v>
      </c>
      <c r="W2988" s="64" t="n">
        <f aca="false">IF($K2988="U – needs rule",$P2988,0)</f>
        <v>0</v>
      </c>
      <c r="X2988" s="64" t="n">
        <f aca="false">IF($K2988="No Start (attainment only)",$P2988,0)</f>
        <v>0</v>
      </c>
    </row>
    <row r="2989" customFormat="false" ht="15" hidden="false" customHeight="false" outlineLevel="0" collapsed="false">
      <c r="A2989" s="60"/>
      <c r="B2989" s="61" t="str">
        <f aca="false">IF($M2989=0,"",INDEX(Classes!$E$6:$E$420,$M2989))</f>
        <v/>
      </c>
      <c r="C2989" s="62" t="str">
        <f aca="false">IF($M2989=0,"",INDEX(Classes!$H$6:$H$420,$M2989))</f>
        <v/>
      </c>
      <c r="D2989" s="61" t="str">
        <f aca="false">IF($M2989=0,"",INDEX(Classes!$B$6:$B$420,$M2989))</f>
        <v/>
      </c>
      <c r="E2989" s="61" t="str">
        <f aca="false">IF($M2989=0,"",INDEX(Classes!$C$6:$C$420,$M2989))</f>
        <v/>
      </c>
      <c r="F2989" s="63"/>
      <c r="G2989" s="63"/>
      <c r="H2989" s="60"/>
      <c r="I2989" s="60"/>
      <c r="J2989" s="63"/>
      <c r="K2989" s="61" t="str">
        <f aca="false">IF($P2989=0,"",IF($F2989="Baseline","— Baseline",IF($O2989=0,"No result",IF($N2989=0,"No Start (attainment only)",IF(OR($N2989=1,$O2989=1),"U – needs rule",INDEX(MxBody,MATCH($I2989,MxCurr,0),MATCH($H2989,MxStart,0)))))))</f>
        <v/>
      </c>
      <c r="L2989" s="62" t="str">
        <f aca="false">IF(COUNTA($A2989,$F2989,$G2989,$H2989,$I2989,$J2989)=0,"",IF($M2989=0,"✖ كود الصف غير موجود",IF(ISNA(MATCH($F2989,Lists!$A$2:$A$5,0)),"✖ الفترة غير صحيحة",IF(ISNA(MATCH($G2989,Lists!$B$2:$B$7,0)),"✖ المجموعة غير صحيحة",IF(NOT(OR($H2989="",$N2989&gt;0)),"✖ Start غير صحيح",IF(NOT(OR($I2989="",$I2989="NR",$O2989&gt;0)),"✖ Current غير صحيح",IF(NOT(IF(ISNUMBER($J2989),AND($J2989&gt;=0,$J2989=INT($J2989)),FALSE())),"✖ العدد يجب أن يكون صحيحًا ≥ 0",IF(AND($F2989="Baseline",$H2989&lt;&gt;""),"⚠ Baseline: Start لا يدخل في التقدم",IF($K2989="No Start (attainment only)","ℹ تحصيل فقط (بدون Start)",IF($K2989="U – needs rule","ℹ حالة U تحتاج قاعدة معتمدة",IF($K2989="No result","ℹ بدون نتيجة (يُستبعد من التحصيل)","OK")))))))))))</f>
        <v/>
      </c>
      <c r="M2989" s="64" t="n">
        <f aca="false">IF($A2989="",0,IFERROR(MATCH($A2989,Classes!$A$6:$A$420,0),0))</f>
        <v>0</v>
      </c>
      <c r="N2989" s="64" t="n">
        <f aca="false">IF($H2989="",0,IFERROR(MATCH($H2989,GradeList,0),0))</f>
        <v>0</v>
      </c>
      <c r="O2989" s="64" t="n">
        <f aca="false">IF(OR($I2989="",$I2989="NR"),0,IFERROR(MATCH($I2989,GradeList,0),0))</f>
        <v>0</v>
      </c>
      <c r="P2989" s="64" t="n">
        <f aca="false">IF(AND($M2989&gt;0,ISNUMBER(MATCH($F2989,Lists!$A$2:$A$5,0)),ISNUMBER(MATCH($G2989,Lists!$B$2:$B$7,0)),OR($H2989="",$N2989&gt;0),OR($I2989="",$I2989="NR",$O2989&gt;0),IF(ISNUMBER($J2989),AND($J2989&gt;=0,$J2989=INT($J2989)),FALSE())),$J2989,0)</f>
        <v>0</v>
      </c>
      <c r="Q2989" s="64" t="n">
        <f aca="false">IF(AND($P2989&gt;0,$O2989&gt;0),$P2989,0)</f>
        <v>0</v>
      </c>
      <c r="R2989" s="64" t="n">
        <f aca="false">IF(AND($Q2989&gt;0,$O2989&gt;=AtRank),$Q2989,0)</f>
        <v>0</v>
      </c>
      <c r="S2989" s="64" t="n">
        <f aca="false">IF(AND($Q2989&gt;0,$O2989&gt;=AboveRank),$Q2989,0)</f>
        <v>0</v>
      </c>
      <c r="T2989" s="64" t="n">
        <f aca="false">IF($K2989="Less",$P2989,0)</f>
        <v>0</v>
      </c>
      <c r="U2989" s="64" t="n">
        <f aca="false">IF($K2989="Expected",$P2989,0)</f>
        <v>0</v>
      </c>
      <c r="V2989" s="64" t="n">
        <f aca="false">IF($K2989="Better",$P2989,0)</f>
        <v>0</v>
      </c>
      <c r="W2989" s="64" t="n">
        <f aca="false">IF($K2989="U – needs rule",$P2989,0)</f>
        <v>0</v>
      </c>
      <c r="X2989" s="64" t="n">
        <f aca="false">IF($K2989="No Start (attainment only)",$P2989,0)</f>
        <v>0</v>
      </c>
    </row>
    <row r="2990" customFormat="false" ht="15" hidden="false" customHeight="false" outlineLevel="0" collapsed="false">
      <c r="A2990" s="60"/>
      <c r="B2990" s="61" t="str">
        <f aca="false">IF($M2990=0,"",INDEX(Classes!$E$6:$E$420,$M2990))</f>
        <v/>
      </c>
      <c r="C2990" s="62" t="str">
        <f aca="false">IF($M2990=0,"",INDEX(Classes!$H$6:$H$420,$M2990))</f>
        <v/>
      </c>
      <c r="D2990" s="61" t="str">
        <f aca="false">IF($M2990=0,"",INDEX(Classes!$B$6:$B$420,$M2990))</f>
        <v/>
      </c>
      <c r="E2990" s="61" t="str">
        <f aca="false">IF($M2990=0,"",INDEX(Classes!$C$6:$C$420,$M2990))</f>
        <v/>
      </c>
      <c r="F2990" s="63"/>
      <c r="G2990" s="63"/>
      <c r="H2990" s="60"/>
      <c r="I2990" s="60"/>
      <c r="J2990" s="63"/>
      <c r="K2990" s="61" t="str">
        <f aca="false">IF($P2990=0,"",IF($F2990="Baseline","— Baseline",IF($O2990=0,"No result",IF($N2990=0,"No Start (attainment only)",IF(OR($N2990=1,$O2990=1),"U – needs rule",INDEX(MxBody,MATCH($I2990,MxCurr,0),MATCH($H2990,MxStart,0)))))))</f>
        <v/>
      </c>
      <c r="L2990" s="62" t="str">
        <f aca="false">IF(COUNTA($A2990,$F2990,$G2990,$H2990,$I2990,$J2990)=0,"",IF($M2990=0,"✖ كود الصف غير موجود",IF(ISNA(MATCH($F2990,Lists!$A$2:$A$5,0)),"✖ الفترة غير صحيحة",IF(ISNA(MATCH($G2990,Lists!$B$2:$B$7,0)),"✖ المجموعة غير صحيحة",IF(NOT(OR($H2990="",$N2990&gt;0)),"✖ Start غير صحيح",IF(NOT(OR($I2990="",$I2990="NR",$O2990&gt;0)),"✖ Current غير صحيح",IF(NOT(IF(ISNUMBER($J2990),AND($J2990&gt;=0,$J2990=INT($J2990)),FALSE())),"✖ العدد يجب أن يكون صحيحًا ≥ 0",IF(AND($F2990="Baseline",$H2990&lt;&gt;""),"⚠ Baseline: Start لا يدخل في التقدم",IF($K2990="No Start (attainment only)","ℹ تحصيل فقط (بدون Start)",IF($K2990="U – needs rule","ℹ حالة U تحتاج قاعدة معتمدة",IF($K2990="No result","ℹ بدون نتيجة (يُستبعد من التحصيل)","OK")))))))))))</f>
        <v/>
      </c>
      <c r="M2990" s="64" t="n">
        <f aca="false">IF($A2990="",0,IFERROR(MATCH($A2990,Classes!$A$6:$A$420,0),0))</f>
        <v>0</v>
      </c>
      <c r="N2990" s="64" t="n">
        <f aca="false">IF($H2990="",0,IFERROR(MATCH($H2990,GradeList,0),0))</f>
        <v>0</v>
      </c>
      <c r="O2990" s="64" t="n">
        <f aca="false">IF(OR($I2990="",$I2990="NR"),0,IFERROR(MATCH($I2990,GradeList,0),0))</f>
        <v>0</v>
      </c>
      <c r="P2990" s="64" t="n">
        <f aca="false">IF(AND($M2990&gt;0,ISNUMBER(MATCH($F2990,Lists!$A$2:$A$5,0)),ISNUMBER(MATCH($G2990,Lists!$B$2:$B$7,0)),OR($H2990="",$N2990&gt;0),OR($I2990="",$I2990="NR",$O2990&gt;0),IF(ISNUMBER($J2990),AND($J2990&gt;=0,$J2990=INT($J2990)),FALSE())),$J2990,0)</f>
        <v>0</v>
      </c>
      <c r="Q2990" s="64" t="n">
        <f aca="false">IF(AND($P2990&gt;0,$O2990&gt;0),$P2990,0)</f>
        <v>0</v>
      </c>
      <c r="R2990" s="64" t="n">
        <f aca="false">IF(AND($Q2990&gt;0,$O2990&gt;=AtRank),$Q2990,0)</f>
        <v>0</v>
      </c>
      <c r="S2990" s="64" t="n">
        <f aca="false">IF(AND($Q2990&gt;0,$O2990&gt;=AboveRank),$Q2990,0)</f>
        <v>0</v>
      </c>
      <c r="T2990" s="64" t="n">
        <f aca="false">IF($K2990="Less",$P2990,0)</f>
        <v>0</v>
      </c>
      <c r="U2990" s="64" t="n">
        <f aca="false">IF($K2990="Expected",$P2990,0)</f>
        <v>0</v>
      </c>
      <c r="V2990" s="64" t="n">
        <f aca="false">IF($K2990="Better",$P2990,0)</f>
        <v>0</v>
      </c>
      <c r="W2990" s="64" t="n">
        <f aca="false">IF($K2990="U – needs rule",$P2990,0)</f>
        <v>0</v>
      </c>
      <c r="X2990" s="64" t="n">
        <f aca="false">IF($K2990="No Start (attainment only)",$P2990,0)</f>
        <v>0</v>
      </c>
    </row>
    <row r="2991" customFormat="false" ht="15" hidden="false" customHeight="false" outlineLevel="0" collapsed="false">
      <c r="A2991" s="60"/>
      <c r="B2991" s="61" t="str">
        <f aca="false">IF($M2991=0,"",INDEX(Classes!$E$6:$E$420,$M2991))</f>
        <v/>
      </c>
      <c r="C2991" s="62" t="str">
        <f aca="false">IF($M2991=0,"",INDEX(Classes!$H$6:$H$420,$M2991))</f>
        <v/>
      </c>
      <c r="D2991" s="61" t="str">
        <f aca="false">IF($M2991=0,"",INDEX(Classes!$B$6:$B$420,$M2991))</f>
        <v/>
      </c>
      <c r="E2991" s="61" t="str">
        <f aca="false">IF($M2991=0,"",INDEX(Classes!$C$6:$C$420,$M2991))</f>
        <v/>
      </c>
      <c r="F2991" s="63"/>
      <c r="G2991" s="63"/>
      <c r="H2991" s="60"/>
      <c r="I2991" s="60"/>
      <c r="J2991" s="63"/>
      <c r="K2991" s="61" t="str">
        <f aca="false">IF($P2991=0,"",IF($F2991="Baseline","— Baseline",IF($O2991=0,"No result",IF($N2991=0,"No Start (attainment only)",IF(OR($N2991=1,$O2991=1),"U – needs rule",INDEX(MxBody,MATCH($I2991,MxCurr,0),MATCH($H2991,MxStart,0)))))))</f>
        <v/>
      </c>
      <c r="L2991" s="62" t="str">
        <f aca="false">IF(COUNTA($A2991,$F2991,$G2991,$H2991,$I2991,$J2991)=0,"",IF($M2991=0,"✖ كود الصف غير موجود",IF(ISNA(MATCH($F2991,Lists!$A$2:$A$5,0)),"✖ الفترة غير صحيحة",IF(ISNA(MATCH($G2991,Lists!$B$2:$B$7,0)),"✖ المجموعة غير صحيحة",IF(NOT(OR($H2991="",$N2991&gt;0)),"✖ Start غير صحيح",IF(NOT(OR($I2991="",$I2991="NR",$O2991&gt;0)),"✖ Current غير صحيح",IF(NOT(IF(ISNUMBER($J2991),AND($J2991&gt;=0,$J2991=INT($J2991)),FALSE())),"✖ العدد يجب أن يكون صحيحًا ≥ 0",IF(AND($F2991="Baseline",$H2991&lt;&gt;""),"⚠ Baseline: Start لا يدخل في التقدم",IF($K2991="No Start (attainment only)","ℹ تحصيل فقط (بدون Start)",IF($K2991="U – needs rule","ℹ حالة U تحتاج قاعدة معتمدة",IF($K2991="No result","ℹ بدون نتيجة (يُستبعد من التحصيل)","OK")))))))))))</f>
        <v/>
      </c>
      <c r="M2991" s="64" t="n">
        <f aca="false">IF($A2991="",0,IFERROR(MATCH($A2991,Classes!$A$6:$A$420,0),0))</f>
        <v>0</v>
      </c>
      <c r="N2991" s="64" t="n">
        <f aca="false">IF($H2991="",0,IFERROR(MATCH($H2991,GradeList,0),0))</f>
        <v>0</v>
      </c>
      <c r="O2991" s="64" t="n">
        <f aca="false">IF(OR($I2991="",$I2991="NR"),0,IFERROR(MATCH($I2991,GradeList,0),0))</f>
        <v>0</v>
      </c>
      <c r="P2991" s="64" t="n">
        <f aca="false">IF(AND($M2991&gt;0,ISNUMBER(MATCH($F2991,Lists!$A$2:$A$5,0)),ISNUMBER(MATCH($G2991,Lists!$B$2:$B$7,0)),OR($H2991="",$N2991&gt;0),OR($I2991="",$I2991="NR",$O2991&gt;0),IF(ISNUMBER($J2991),AND($J2991&gt;=0,$J2991=INT($J2991)),FALSE())),$J2991,0)</f>
        <v>0</v>
      </c>
      <c r="Q2991" s="64" t="n">
        <f aca="false">IF(AND($P2991&gt;0,$O2991&gt;0),$P2991,0)</f>
        <v>0</v>
      </c>
      <c r="R2991" s="64" t="n">
        <f aca="false">IF(AND($Q2991&gt;0,$O2991&gt;=AtRank),$Q2991,0)</f>
        <v>0</v>
      </c>
      <c r="S2991" s="64" t="n">
        <f aca="false">IF(AND($Q2991&gt;0,$O2991&gt;=AboveRank),$Q2991,0)</f>
        <v>0</v>
      </c>
      <c r="T2991" s="64" t="n">
        <f aca="false">IF($K2991="Less",$P2991,0)</f>
        <v>0</v>
      </c>
      <c r="U2991" s="64" t="n">
        <f aca="false">IF($K2991="Expected",$P2991,0)</f>
        <v>0</v>
      </c>
      <c r="V2991" s="64" t="n">
        <f aca="false">IF($K2991="Better",$P2991,0)</f>
        <v>0</v>
      </c>
      <c r="W2991" s="64" t="n">
        <f aca="false">IF($K2991="U – needs rule",$P2991,0)</f>
        <v>0</v>
      </c>
      <c r="X2991" s="64" t="n">
        <f aca="false">IF($K2991="No Start (attainment only)",$P2991,0)</f>
        <v>0</v>
      </c>
    </row>
    <row r="2992" customFormat="false" ht="15" hidden="false" customHeight="false" outlineLevel="0" collapsed="false">
      <c r="A2992" s="60"/>
      <c r="B2992" s="61" t="str">
        <f aca="false">IF($M2992=0,"",INDEX(Classes!$E$6:$E$420,$M2992))</f>
        <v/>
      </c>
      <c r="C2992" s="62" t="str">
        <f aca="false">IF($M2992=0,"",INDEX(Classes!$H$6:$H$420,$M2992))</f>
        <v/>
      </c>
      <c r="D2992" s="61" t="str">
        <f aca="false">IF($M2992=0,"",INDEX(Classes!$B$6:$B$420,$M2992))</f>
        <v/>
      </c>
      <c r="E2992" s="61" t="str">
        <f aca="false">IF($M2992=0,"",INDEX(Classes!$C$6:$C$420,$M2992))</f>
        <v/>
      </c>
      <c r="F2992" s="63"/>
      <c r="G2992" s="63"/>
      <c r="H2992" s="60"/>
      <c r="I2992" s="60"/>
      <c r="J2992" s="63"/>
      <c r="K2992" s="61" t="str">
        <f aca="false">IF($P2992=0,"",IF($F2992="Baseline","— Baseline",IF($O2992=0,"No result",IF($N2992=0,"No Start (attainment only)",IF(OR($N2992=1,$O2992=1),"U – needs rule",INDEX(MxBody,MATCH($I2992,MxCurr,0),MATCH($H2992,MxStart,0)))))))</f>
        <v/>
      </c>
      <c r="L2992" s="62" t="str">
        <f aca="false">IF(COUNTA($A2992,$F2992,$G2992,$H2992,$I2992,$J2992)=0,"",IF($M2992=0,"✖ كود الصف غير موجود",IF(ISNA(MATCH($F2992,Lists!$A$2:$A$5,0)),"✖ الفترة غير صحيحة",IF(ISNA(MATCH($G2992,Lists!$B$2:$B$7,0)),"✖ المجموعة غير صحيحة",IF(NOT(OR($H2992="",$N2992&gt;0)),"✖ Start غير صحيح",IF(NOT(OR($I2992="",$I2992="NR",$O2992&gt;0)),"✖ Current غير صحيح",IF(NOT(IF(ISNUMBER($J2992),AND($J2992&gt;=0,$J2992=INT($J2992)),FALSE())),"✖ العدد يجب أن يكون صحيحًا ≥ 0",IF(AND($F2992="Baseline",$H2992&lt;&gt;""),"⚠ Baseline: Start لا يدخل في التقدم",IF($K2992="No Start (attainment only)","ℹ تحصيل فقط (بدون Start)",IF($K2992="U – needs rule","ℹ حالة U تحتاج قاعدة معتمدة",IF($K2992="No result","ℹ بدون نتيجة (يُستبعد من التحصيل)","OK")))))))))))</f>
        <v/>
      </c>
      <c r="M2992" s="64" t="n">
        <f aca="false">IF($A2992="",0,IFERROR(MATCH($A2992,Classes!$A$6:$A$420,0),0))</f>
        <v>0</v>
      </c>
      <c r="N2992" s="64" t="n">
        <f aca="false">IF($H2992="",0,IFERROR(MATCH($H2992,GradeList,0),0))</f>
        <v>0</v>
      </c>
      <c r="O2992" s="64" t="n">
        <f aca="false">IF(OR($I2992="",$I2992="NR"),0,IFERROR(MATCH($I2992,GradeList,0),0))</f>
        <v>0</v>
      </c>
      <c r="P2992" s="64" t="n">
        <f aca="false">IF(AND($M2992&gt;0,ISNUMBER(MATCH($F2992,Lists!$A$2:$A$5,0)),ISNUMBER(MATCH($G2992,Lists!$B$2:$B$7,0)),OR($H2992="",$N2992&gt;0),OR($I2992="",$I2992="NR",$O2992&gt;0),IF(ISNUMBER($J2992),AND($J2992&gt;=0,$J2992=INT($J2992)),FALSE())),$J2992,0)</f>
        <v>0</v>
      </c>
      <c r="Q2992" s="64" t="n">
        <f aca="false">IF(AND($P2992&gt;0,$O2992&gt;0),$P2992,0)</f>
        <v>0</v>
      </c>
      <c r="R2992" s="64" t="n">
        <f aca="false">IF(AND($Q2992&gt;0,$O2992&gt;=AtRank),$Q2992,0)</f>
        <v>0</v>
      </c>
      <c r="S2992" s="64" t="n">
        <f aca="false">IF(AND($Q2992&gt;0,$O2992&gt;=AboveRank),$Q2992,0)</f>
        <v>0</v>
      </c>
      <c r="T2992" s="64" t="n">
        <f aca="false">IF($K2992="Less",$P2992,0)</f>
        <v>0</v>
      </c>
      <c r="U2992" s="64" t="n">
        <f aca="false">IF($K2992="Expected",$P2992,0)</f>
        <v>0</v>
      </c>
      <c r="V2992" s="64" t="n">
        <f aca="false">IF($K2992="Better",$P2992,0)</f>
        <v>0</v>
      </c>
      <c r="W2992" s="64" t="n">
        <f aca="false">IF($K2992="U – needs rule",$P2992,0)</f>
        <v>0</v>
      </c>
      <c r="X2992" s="64" t="n">
        <f aca="false">IF($K2992="No Start (attainment only)",$P2992,0)</f>
        <v>0</v>
      </c>
    </row>
    <row r="2993" customFormat="false" ht="15" hidden="false" customHeight="false" outlineLevel="0" collapsed="false">
      <c r="A2993" s="60"/>
      <c r="B2993" s="61" t="str">
        <f aca="false">IF($M2993=0,"",INDEX(Classes!$E$6:$E$420,$M2993))</f>
        <v/>
      </c>
      <c r="C2993" s="62" t="str">
        <f aca="false">IF($M2993=0,"",INDEX(Classes!$H$6:$H$420,$M2993))</f>
        <v/>
      </c>
      <c r="D2993" s="61" t="str">
        <f aca="false">IF($M2993=0,"",INDEX(Classes!$B$6:$B$420,$M2993))</f>
        <v/>
      </c>
      <c r="E2993" s="61" t="str">
        <f aca="false">IF($M2993=0,"",INDEX(Classes!$C$6:$C$420,$M2993))</f>
        <v/>
      </c>
      <c r="F2993" s="63"/>
      <c r="G2993" s="63"/>
      <c r="H2993" s="60"/>
      <c r="I2993" s="60"/>
      <c r="J2993" s="63"/>
      <c r="K2993" s="61" t="str">
        <f aca="false">IF($P2993=0,"",IF($F2993="Baseline","— Baseline",IF($O2993=0,"No result",IF($N2993=0,"No Start (attainment only)",IF(OR($N2993=1,$O2993=1),"U – needs rule",INDEX(MxBody,MATCH($I2993,MxCurr,0),MATCH($H2993,MxStart,0)))))))</f>
        <v/>
      </c>
      <c r="L2993" s="62" t="str">
        <f aca="false">IF(COUNTA($A2993,$F2993,$G2993,$H2993,$I2993,$J2993)=0,"",IF($M2993=0,"✖ كود الصف غير موجود",IF(ISNA(MATCH($F2993,Lists!$A$2:$A$5,0)),"✖ الفترة غير صحيحة",IF(ISNA(MATCH($G2993,Lists!$B$2:$B$7,0)),"✖ المجموعة غير صحيحة",IF(NOT(OR($H2993="",$N2993&gt;0)),"✖ Start غير صحيح",IF(NOT(OR($I2993="",$I2993="NR",$O2993&gt;0)),"✖ Current غير صحيح",IF(NOT(IF(ISNUMBER($J2993),AND($J2993&gt;=0,$J2993=INT($J2993)),FALSE())),"✖ العدد يجب أن يكون صحيحًا ≥ 0",IF(AND($F2993="Baseline",$H2993&lt;&gt;""),"⚠ Baseline: Start لا يدخل في التقدم",IF($K2993="No Start (attainment only)","ℹ تحصيل فقط (بدون Start)",IF($K2993="U – needs rule","ℹ حالة U تحتاج قاعدة معتمدة",IF($K2993="No result","ℹ بدون نتيجة (يُستبعد من التحصيل)","OK")))))))))))</f>
        <v/>
      </c>
      <c r="M2993" s="64" t="n">
        <f aca="false">IF($A2993="",0,IFERROR(MATCH($A2993,Classes!$A$6:$A$420,0),0))</f>
        <v>0</v>
      </c>
      <c r="N2993" s="64" t="n">
        <f aca="false">IF($H2993="",0,IFERROR(MATCH($H2993,GradeList,0),0))</f>
        <v>0</v>
      </c>
      <c r="O2993" s="64" t="n">
        <f aca="false">IF(OR($I2993="",$I2993="NR"),0,IFERROR(MATCH($I2993,GradeList,0),0))</f>
        <v>0</v>
      </c>
      <c r="P2993" s="64" t="n">
        <f aca="false">IF(AND($M2993&gt;0,ISNUMBER(MATCH($F2993,Lists!$A$2:$A$5,0)),ISNUMBER(MATCH($G2993,Lists!$B$2:$B$7,0)),OR($H2993="",$N2993&gt;0),OR($I2993="",$I2993="NR",$O2993&gt;0),IF(ISNUMBER($J2993),AND($J2993&gt;=0,$J2993=INT($J2993)),FALSE())),$J2993,0)</f>
        <v>0</v>
      </c>
      <c r="Q2993" s="64" t="n">
        <f aca="false">IF(AND($P2993&gt;0,$O2993&gt;0),$P2993,0)</f>
        <v>0</v>
      </c>
      <c r="R2993" s="64" t="n">
        <f aca="false">IF(AND($Q2993&gt;0,$O2993&gt;=AtRank),$Q2993,0)</f>
        <v>0</v>
      </c>
      <c r="S2993" s="64" t="n">
        <f aca="false">IF(AND($Q2993&gt;0,$O2993&gt;=AboveRank),$Q2993,0)</f>
        <v>0</v>
      </c>
      <c r="T2993" s="64" t="n">
        <f aca="false">IF($K2993="Less",$P2993,0)</f>
        <v>0</v>
      </c>
      <c r="U2993" s="64" t="n">
        <f aca="false">IF($K2993="Expected",$P2993,0)</f>
        <v>0</v>
      </c>
      <c r="V2993" s="64" t="n">
        <f aca="false">IF($K2993="Better",$P2993,0)</f>
        <v>0</v>
      </c>
      <c r="W2993" s="64" t="n">
        <f aca="false">IF($K2993="U – needs rule",$P2993,0)</f>
        <v>0</v>
      </c>
      <c r="X2993" s="64" t="n">
        <f aca="false">IF($K2993="No Start (attainment only)",$P2993,0)</f>
        <v>0</v>
      </c>
    </row>
    <row r="2994" customFormat="false" ht="15" hidden="false" customHeight="false" outlineLevel="0" collapsed="false">
      <c r="A2994" s="60"/>
      <c r="B2994" s="61" t="str">
        <f aca="false">IF($M2994=0,"",INDEX(Classes!$E$6:$E$420,$M2994))</f>
        <v/>
      </c>
      <c r="C2994" s="62" t="str">
        <f aca="false">IF($M2994=0,"",INDEX(Classes!$H$6:$H$420,$M2994))</f>
        <v/>
      </c>
      <c r="D2994" s="61" t="str">
        <f aca="false">IF($M2994=0,"",INDEX(Classes!$B$6:$B$420,$M2994))</f>
        <v/>
      </c>
      <c r="E2994" s="61" t="str">
        <f aca="false">IF($M2994=0,"",INDEX(Classes!$C$6:$C$420,$M2994))</f>
        <v/>
      </c>
      <c r="F2994" s="63"/>
      <c r="G2994" s="63"/>
      <c r="H2994" s="60"/>
      <c r="I2994" s="60"/>
      <c r="J2994" s="63"/>
      <c r="K2994" s="61" t="str">
        <f aca="false">IF($P2994=0,"",IF($F2994="Baseline","— Baseline",IF($O2994=0,"No result",IF($N2994=0,"No Start (attainment only)",IF(OR($N2994=1,$O2994=1),"U – needs rule",INDEX(MxBody,MATCH($I2994,MxCurr,0),MATCH($H2994,MxStart,0)))))))</f>
        <v/>
      </c>
      <c r="L2994" s="62" t="str">
        <f aca="false">IF(COUNTA($A2994,$F2994,$G2994,$H2994,$I2994,$J2994)=0,"",IF($M2994=0,"✖ كود الصف غير موجود",IF(ISNA(MATCH($F2994,Lists!$A$2:$A$5,0)),"✖ الفترة غير صحيحة",IF(ISNA(MATCH($G2994,Lists!$B$2:$B$7,0)),"✖ المجموعة غير صحيحة",IF(NOT(OR($H2994="",$N2994&gt;0)),"✖ Start غير صحيح",IF(NOT(OR($I2994="",$I2994="NR",$O2994&gt;0)),"✖ Current غير صحيح",IF(NOT(IF(ISNUMBER($J2994),AND($J2994&gt;=0,$J2994=INT($J2994)),FALSE())),"✖ العدد يجب أن يكون صحيحًا ≥ 0",IF(AND($F2994="Baseline",$H2994&lt;&gt;""),"⚠ Baseline: Start لا يدخل في التقدم",IF($K2994="No Start (attainment only)","ℹ تحصيل فقط (بدون Start)",IF($K2994="U – needs rule","ℹ حالة U تحتاج قاعدة معتمدة",IF($K2994="No result","ℹ بدون نتيجة (يُستبعد من التحصيل)","OK")))))))))))</f>
        <v/>
      </c>
      <c r="M2994" s="64" t="n">
        <f aca="false">IF($A2994="",0,IFERROR(MATCH($A2994,Classes!$A$6:$A$420,0),0))</f>
        <v>0</v>
      </c>
      <c r="N2994" s="64" t="n">
        <f aca="false">IF($H2994="",0,IFERROR(MATCH($H2994,GradeList,0),0))</f>
        <v>0</v>
      </c>
      <c r="O2994" s="64" t="n">
        <f aca="false">IF(OR($I2994="",$I2994="NR"),0,IFERROR(MATCH($I2994,GradeList,0),0))</f>
        <v>0</v>
      </c>
      <c r="P2994" s="64" t="n">
        <f aca="false">IF(AND($M2994&gt;0,ISNUMBER(MATCH($F2994,Lists!$A$2:$A$5,0)),ISNUMBER(MATCH($G2994,Lists!$B$2:$B$7,0)),OR($H2994="",$N2994&gt;0),OR($I2994="",$I2994="NR",$O2994&gt;0),IF(ISNUMBER($J2994),AND($J2994&gt;=0,$J2994=INT($J2994)),FALSE())),$J2994,0)</f>
        <v>0</v>
      </c>
      <c r="Q2994" s="64" t="n">
        <f aca="false">IF(AND($P2994&gt;0,$O2994&gt;0),$P2994,0)</f>
        <v>0</v>
      </c>
      <c r="R2994" s="64" t="n">
        <f aca="false">IF(AND($Q2994&gt;0,$O2994&gt;=AtRank),$Q2994,0)</f>
        <v>0</v>
      </c>
      <c r="S2994" s="64" t="n">
        <f aca="false">IF(AND($Q2994&gt;0,$O2994&gt;=AboveRank),$Q2994,0)</f>
        <v>0</v>
      </c>
      <c r="T2994" s="64" t="n">
        <f aca="false">IF($K2994="Less",$P2994,0)</f>
        <v>0</v>
      </c>
      <c r="U2994" s="64" t="n">
        <f aca="false">IF($K2994="Expected",$P2994,0)</f>
        <v>0</v>
      </c>
      <c r="V2994" s="64" t="n">
        <f aca="false">IF($K2994="Better",$P2994,0)</f>
        <v>0</v>
      </c>
      <c r="W2994" s="64" t="n">
        <f aca="false">IF($K2994="U – needs rule",$P2994,0)</f>
        <v>0</v>
      </c>
      <c r="X2994" s="64" t="n">
        <f aca="false">IF($K2994="No Start (attainment only)",$P2994,0)</f>
        <v>0</v>
      </c>
    </row>
    <row r="2995" customFormat="false" ht="15" hidden="false" customHeight="false" outlineLevel="0" collapsed="false">
      <c r="A2995" s="60"/>
      <c r="B2995" s="61" t="str">
        <f aca="false">IF($M2995=0,"",INDEX(Classes!$E$6:$E$420,$M2995))</f>
        <v/>
      </c>
      <c r="C2995" s="62" t="str">
        <f aca="false">IF($M2995=0,"",INDEX(Classes!$H$6:$H$420,$M2995))</f>
        <v/>
      </c>
      <c r="D2995" s="61" t="str">
        <f aca="false">IF($M2995=0,"",INDEX(Classes!$B$6:$B$420,$M2995))</f>
        <v/>
      </c>
      <c r="E2995" s="61" t="str">
        <f aca="false">IF($M2995=0,"",INDEX(Classes!$C$6:$C$420,$M2995))</f>
        <v/>
      </c>
      <c r="F2995" s="63"/>
      <c r="G2995" s="63"/>
      <c r="H2995" s="60"/>
      <c r="I2995" s="60"/>
      <c r="J2995" s="63"/>
      <c r="K2995" s="61" t="str">
        <f aca="false">IF($P2995=0,"",IF($F2995="Baseline","— Baseline",IF($O2995=0,"No result",IF($N2995=0,"No Start (attainment only)",IF(OR($N2995=1,$O2995=1),"U – needs rule",INDEX(MxBody,MATCH($I2995,MxCurr,0),MATCH($H2995,MxStart,0)))))))</f>
        <v/>
      </c>
      <c r="L2995" s="62" t="str">
        <f aca="false">IF(COUNTA($A2995,$F2995,$G2995,$H2995,$I2995,$J2995)=0,"",IF($M2995=0,"✖ كود الصف غير موجود",IF(ISNA(MATCH($F2995,Lists!$A$2:$A$5,0)),"✖ الفترة غير صحيحة",IF(ISNA(MATCH($G2995,Lists!$B$2:$B$7,0)),"✖ المجموعة غير صحيحة",IF(NOT(OR($H2995="",$N2995&gt;0)),"✖ Start غير صحيح",IF(NOT(OR($I2995="",$I2995="NR",$O2995&gt;0)),"✖ Current غير صحيح",IF(NOT(IF(ISNUMBER($J2995),AND($J2995&gt;=0,$J2995=INT($J2995)),FALSE())),"✖ العدد يجب أن يكون صحيحًا ≥ 0",IF(AND($F2995="Baseline",$H2995&lt;&gt;""),"⚠ Baseline: Start لا يدخل في التقدم",IF($K2995="No Start (attainment only)","ℹ تحصيل فقط (بدون Start)",IF($K2995="U – needs rule","ℹ حالة U تحتاج قاعدة معتمدة",IF($K2995="No result","ℹ بدون نتيجة (يُستبعد من التحصيل)","OK")))))))))))</f>
        <v/>
      </c>
      <c r="M2995" s="64" t="n">
        <f aca="false">IF($A2995="",0,IFERROR(MATCH($A2995,Classes!$A$6:$A$420,0),0))</f>
        <v>0</v>
      </c>
      <c r="N2995" s="64" t="n">
        <f aca="false">IF($H2995="",0,IFERROR(MATCH($H2995,GradeList,0),0))</f>
        <v>0</v>
      </c>
      <c r="O2995" s="64" t="n">
        <f aca="false">IF(OR($I2995="",$I2995="NR"),0,IFERROR(MATCH($I2995,GradeList,0),0))</f>
        <v>0</v>
      </c>
      <c r="P2995" s="64" t="n">
        <f aca="false">IF(AND($M2995&gt;0,ISNUMBER(MATCH($F2995,Lists!$A$2:$A$5,0)),ISNUMBER(MATCH($G2995,Lists!$B$2:$B$7,0)),OR($H2995="",$N2995&gt;0),OR($I2995="",$I2995="NR",$O2995&gt;0),IF(ISNUMBER($J2995),AND($J2995&gt;=0,$J2995=INT($J2995)),FALSE())),$J2995,0)</f>
        <v>0</v>
      </c>
      <c r="Q2995" s="64" t="n">
        <f aca="false">IF(AND($P2995&gt;0,$O2995&gt;0),$P2995,0)</f>
        <v>0</v>
      </c>
      <c r="R2995" s="64" t="n">
        <f aca="false">IF(AND($Q2995&gt;0,$O2995&gt;=AtRank),$Q2995,0)</f>
        <v>0</v>
      </c>
      <c r="S2995" s="64" t="n">
        <f aca="false">IF(AND($Q2995&gt;0,$O2995&gt;=AboveRank),$Q2995,0)</f>
        <v>0</v>
      </c>
      <c r="T2995" s="64" t="n">
        <f aca="false">IF($K2995="Less",$P2995,0)</f>
        <v>0</v>
      </c>
      <c r="U2995" s="64" t="n">
        <f aca="false">IF($K2995="Expected",$P2995,0)</f>
        <v>0</v>
      </c>
      <c r="V2995" s="64" t="n">
        <f aca="false">IF($K2995="Better",$P2995,0)</f>
        <v>0</v>
      </c>
      <c r="W2995" s="64" t="n">
        <f aca="false">IF($K2995="U – needs rule",$P2995,0)</f>
        <v>0</v>
      </c>
      <c r="X2995" s="64" t="n">
        <f aca="false">IF($K2995="No Start (attainment only)",$P2995,0)</f>
        <v>0</v>
      </c>
    </row>
    <row r="2996" customFormat="false" ht="15" hidden="false" customHeight="false" outlineLevel="0" collapsed="false">
      <c r="A2996" s="60"/>
      <c r="B2996" s="61" t="str">
        <f aca="false">IF($M2996=0,"",INDEX(Classes!$E$6:$E$420,$M2996))</f>
        <v/>
      </c>
      <c r="C2996" s="62" t="str">
        <f aca="false">IF($M2996=0,"",INDEX(Classes!$H$6:$H$420,$M2996))</f>
        <v/>
      </c>
      <c r="D2996" s="61" t="str">
        <f aca="false">IF($M2996=0,"",INDEX(Classes!$B$6:$B$420,$M2996))</f>
        <v/>
      </c>
      <c r="E2996" s="61" t="str">
        <f aca="false">IF($M2996=0,"",INDEX(Classes!$C$6:$C$420,$M2996))</f>
        <v/>
      </c>
      <c r="F2996" s="63"/>
      <c r="G2996" s="63"/>
      <c r="H2996" s="60"/>
      <c r="I2996" s="60"/>
      <c r="J2996" s="63"/>
      <c r="K2996" s="61" t="str">
        <f aca="false">IF($P2996=0,"",IF($F2996="Baseline","— Baseline",IF($O2996=0,"No result",IF($N2996=0,"No Start (attainment only)",IF(OR($N2996=1,$O2996=1),"U – needs rule",INDEX(MxBody,MATCH($I2996,MxCurr,0),MATCH($H2996,MxStart,0)))))))</f>
        <v/>
      </c>
      <c r="L2996" s="62" t="str">
        <f aca="false">IF(COUNTA($A2996,$F2996,$G2996,$H2996,$I2996,$J2996)=0,"",IF($M2996=0,"✖ كود الصف غير موجود",IF(ISNA(MATCH($F2996,Lists!$A$2:$A$5,0)),"✖ الفترة غير صحيحة",IF(ISNA(MATCH($G2996,Lists!$B$2:$B$7,0)),"✖ المجموعة غير صحيحة",IF(NOT(OR($H2996="",$N2996&gt;0)),"✖ Start غير صحيح",IF(NOT(OR($I2996="",$I2996="NR",$O2996&gt;0)),"✖ Current غير صحيح",IF(NOT(IF(ISNUMBER($J2996),AND($J2996&gt;=0,$J2996=INT($J2996)),FALSE())),"✖ العدد يجب أن يكون صحيحًا ≥ 0",IF(AND($F2996="Baseline",$H2996&lt;&gt;""),"⚠ Baseline: Start لا يدخل في التقدم",IF($K2996="No Start (attainment only)","ℹ تحصيل فقط (بدون Start)",IF($K2996="U – needs rule","ℹ حالة U تحتاج قاعدة معتمدة",IF($K2996="No result","ℹ بدون نتيجة (يُستبعد من التحصيل)","OK")))))))))))</f>
        <v/>
      </c>
      <c r="M2996" s="64" t="n">
        <f aca="false">IF($A2996="",0,IFERROR(MATCH($A2996,Classes!$A$6:$A$420,0),0))</f>
        <v>0</v>
      </c>
      <c r="N2996" s="64" t="n">
        <f aca="false">IF($H2996="",0,IFERROR(MATCH($H2996,GradeList,0),0))</f>
        <v>0</v>
      </c>
      <c r="O2996" s="64" t="n">
        <f aca="false">IF(OR($I2996="",$I2996="NR"),0,IFERROR(MATCH($I2996,GradeList,0),0))</f>
        <v>0</v>
      </c>
      <c r="P2996" s="64" t="n">
        <f aca="false">IF(AND($M2996&gt;0,ISNUMBER(MATCH($F2996,Lists!$A$2:$A$5,0)),ISNUMBER(MATCH($G2996,Lists!$B$2:$B$7,0)),OR($H2996="",$N2996&gt;0),OR($I2996="",$I2996="NR",$O2996&gt;0),IF(ISNUMBER($J2996),AND($J2996&gt;=0,$J2996=INT($J2996)),FALSE())),$J2996,0)</f>
        <v>0</v>
      </c>
      <c r="Q2996" s="64" t="n">
        <f aca="false">IF(AND($P2996&gt;0,$O2996&gt;0),$P2996,0)</f>
        <v>0</v>
      </c>
      <c r="R2996" s="64" t="n">
        <f aca="false">IF(AND($Q2996&gt;0,$O2996&gt;=AtRank),$Q2996,0)</f>
        <v>0</v>
      </c>
      <c r="S2996" s="64" t="n">
        <f aca="false">IF(AND($Q2996&gt;0,$O2996&gt;=AboveRank),$Q2996,0)</f>
        <v>0</v>
      </c>
      <c r="T2996" s="64" t="n">
        <f aca="false">IF($K2996="Less",$P2996,0)</f>
        <v>0</v>
      </c>
      <c r="U2996" s="64" t="n">
        <f aca="false">IF($K2996="Expected",$P2996,0)</f>
        <v>0</v>
      </c>
      <c r="V2996" s="64" t="n">
        <f aca="false">IF($K2996="Better",$P2996,0)</f>
        <v>0</v>
      </c>
      <c r="W2996" s="64" t="n">
        <f aca="false">IF($K2996="U – needs rule",$P2996,0)</f>
        <v>0</v>
      </c>
      <c r="X2996" s="64" t="n">
        <f aca="false">IF($K2996="No Start (attainment only)",$P2996,0)</f>
        <v>0</v>
      </c>
    </row>
    <row r="2997" customFormat="false" ht="15" hidden="false" customHeight="false" outlineLevel="0" collapsed="false">
      <c r="A2997" s="60"/>
      <c r="B2997" s="61" t="str">
        <f aca="false">IF($M2997=0,"",INDEX(Classes!$E$6:$E$420,$M2997))</f>
        <v/>
      </c>
      <c r="C2997" s="62" t="str">
        <f aca="false">IF($M2997=0,"",INDEX(Classes!$H$6:$H$420,$M2997))</f>
        <v/>
      </c>
      <c r="D2997" s="61" t="str">
        <f aca="false">IF($M2997=0,"",INDEX(Classes!$B$6:$B$420,$M2997))</f>
        <v/>
      </c>
      <c r="E2997" s="61" t="str">
        <f aca="false">IF($M2997=0,"",INDEX(Classes!$C$6:$C$420,$M2997))</f>
        <v/>
      </c>
      <c r="F2997" s="63"/>
      <c r="G2997" s="63"/>
      <c r="H2997" s="60"/>
      <c r="I2997" s="60"/>
      <c r="J2997" s="63"/>
      <c r="K2997" s="61" t="str">
        <f aca="false">IF($P2997=0,"",IF($F2997="Baseline","— Baseline",IF($O2997=0,"No result",IF($N2997=0,"No Start (attainment only)",IF(OR($N2997=1,$O2997=1),"U – needs rule",INDEX(MxBody,MATCH($I2997,MxCurr,0),MATCH($H2997,MxStart,0)))))))</f>
        <v/>
      </c>
      <c r="L2997" s="62" t="str">
        <f aca="false">IF(COUNTA($A2997,$F2997,$G2997,$H2997,$I2997,$J2997)=0,"",IF($M2997=0,"✖ كود الصف غير موجود",IF(ISNA(MATCH($F2997,Lists!$A$2:$A$5,0)),"✖ الفترة غير صحيحة",IF(ISNA(MATCH($G2997,Lists!$B$2:$B$7,0)),"✖ المجموعة غير صحيحة",IF(NOT(OR($H2997="",$N2997&gt;0)),"✖ Start غير صحيح",IF(NOT(OR($I2997="",$I2997="NR",$O2997&gt;0)),"✖ Current غير صحيح",IF(NOT(IF(ISNUMBER($J2997),AND($J2997&gt;=0,$J2997=INT($J2997)),FALSE())),"✖ العدد يجب أن يكون صحيحًا ≥ 0",IF(AND($F2997="Baseline",$H2997&lt;&gt;""),"⚠ Baseline: Start لا يدخل في التقدم",IF($K2997="No Start (attainment only)","ℹ تحصيل فقط (بدون Start)",IF($K2997="U – needs rule","ℹ حالة U تحتاج قاعدة معتمدة",IF($K2997="No result","ℹ بدون نتيجة (يُستبعد من التحصيل)","OK")))))))))))</f>
        <v/>
      </c>
      <c r="M2997" s="64" t="n">
        <f aca="false">IF($A2997="",0,IFERROR(MATCH($A2997,Classes!$A$6:$A$420,0),0))</f>
        <v>0</v>
      </c>
      <c r="N2997" s="64" t="n">
        <f aca="false">IF($H2997="",0,IFERROR(MATCH($H2997,GradeList,0),0))</f>
        <v>0</v>
      </c>
      <c r="O2997" s="64" t="n">
        <f aca="false">IF(OR($I2997="",$I2997="NR"),0,IFERROR(MATCH($I2997,GradeList,0),0))</f>
        <v>0</v>
      </c>
      <c r="P2997" s="64" t="n">
        <f aca="false">IF(AND($M2997&gt;0,ISNUMBER(MATCH($F2997,Lists!$A$2:$A$5,0)),ISNUMBER(MATCH($G2997,Lists!$B$2:$B$7,0)),OR($H2997="",$N2997&gt;0),OR($I2997="",$I2997="NR",$O2997&gt;0),IF(ISNUMBER($J2997),AND($J2997&gt;=0,$J2997=INT($J2997)),FALSE())),$J2997,0)</f>
        <v>0</v>
      </c>
      <c r="Q2997" s="64" t="n">
        <f aca="false">IF(AND($P2997&gt;0,$O2997&gt;0),$P2997,0)</f>
        <v>0</v>
      </c>
      <c r="R2997" s="64" t="n">
        <f aca="false">IF(AND($Q2997&gt;0,$O2997&gt;=AtRank),$Q2997,0)</f>
        <v>0</v>
      </c>
      <c r="S2997" s="64" t="n">
        <f aca="false">IF(AND($Q2997&gt;0,$O2997&gt;=AboveRank),$Q2997,0)</f>
        <v>0</v>
      </c>
      <c r="T2997" s="64" t="n">
        <f aca="false">IF($K2997="Less",$P2997,0)</f>
        <v>0</v>
      </c>
      <c r="U2997" s="64" t="n">
        <f aca="false">IF($K2997="Expected",$P2997,0)</f>
        <v>0</v>
      </c>
      <c r="V2997" s="64" t="n">
        <f aca="false">IF($K2997="Better",$P2997,0)</f>
        <v>0</v>
      </c>
      <c r="W2997" s="64" t="n">
        <f aca="false">IF($K2997="U – needs rule",$P2997,0)</f>
        <v>0</v>
      </c>
      <c r="X2997" s="64" t="n">
        <f aca="false">IF($K2997="No Start (attainment only)",$P2997,0)</f>
        <v>0</v>
      </c>
    </row>
    <row r="2998" customFormat="false" ht="15" hidden="false" customHeight="false" outlineLevel="0" collapsed="false">
      <c r="A2998" s="60"/>
      <c r="B2998" s="61" t="str">
        <f aca="false">IF($M2998=0,"",INDEX(Classes!$E$6:$E$420,$M2998))</f>
        <v/>
      </c>
      <c r="C2998" s="62" t="str">
        <f aca="false">IF($M2998=0,"",INDEX(Classes!$H$6:$H$420,$M2998))</f>
        <v/>
      </c>
      <c r="D2998" s="61" t="str">
        <f aca="false">IF($M2998=0,"",INDEX(Classes!$B$6:$B$420,$M2998))</f>
        <v/>
      </c>
      <c r="E2998" s="61" t="str">
        <f aca="false">IF($M2998=0,"",INDEX(Classes!$C$6:$C$420,$M2998))</f>
        <v/>
      </c>
      <c r="F2998" s="63"/>
      <c r="G2998" s="63"/>
      <c r="H2998" s="60"/>
      <c r="I2998" s="60"/>
      <c r="J2998" s="63"/>
      <c r="K2998" s="61" t="str">
        <f aca="false">IF($P2998=0,"",IF($F2998="Baseline","— Baseline",IF($O2998=0,"No result",IF($N2998=0,"No Start (attainment only)",IF(OR($N2998=1,$O2998=1),"U – needs rule",INDEX(MxBody,MATCH($I2998,MxCurr,0),MATCH($H2998,MxStart,0)))))))</f>
        <v/>
      </c>
      <c r="L2998" s="62" t="str">
        <f aca="false">IF(COUNTA($A2998,$F2998,$G2998,$H2998,$I2998,$J2998)=0,"",IF($M2998=0,"✖ كود الصف غير موجود",IF(ISNA(MATCH($F2998,Lists!$A$2:$A$5,0)),"✖ الفترة غير صحيحة",IF(ISNA(MATCH($G2998,Lists!$B$2:$B$7,0)),"✖ المجموعة غير صحيحة",IF(NOT(OR($H2998="",$N2998&gt;0)),"✖ Start غير صحيح",IF(NOT(OR($I2998="",$I2998="NR",$O2998&gt;0)),"✖ Current غير صحيح",IF(NOT(IF(ISNUMBER($J2998),AND($J2998&gt;=0,$J2998=INT($J2998)),FALSE())),"✖ العدد يجب أن يكون صحيحًا ≥ 0",IF(AND($F2998="Baseline",$H2998&lt;&gt;""),"⚠ Baseline: Start لا يدخل في التقدم",IF($K2998="No Start (attainment only)","ℹ تحصيل فقط (بدون Start)",IF($K2998="U – needs rule","ℹ حالة U تحتاج قاعدة معتمدة",IF($K2998="No result","ℹ بدون نتيجة (يُستبعد من التحصيل)","OK")))))))))))</f>
        <v/>
      </c>
      <c r="M2998" s="64" t="n">
        <f aca="false">IF($A2998="",0,IFERROR(MATCH($A2998,Classes!$A$6:$A$420,0),0))</f>
        <v>0</v>
      </c>
      <c r="N2998" s="64" t="n">
        <f aca="false">IF($H2998="",0,IFERROR(MATCH($H2998,GradeList,0),0))</f>
        <v>0</v>
      </c>
      <c r="O2998" s="64" t="n">
        <f aca="false">IF(OR($I2998="",$I2998="NR"),0,IFERROR(MATCH($I2998,GradeList,0),0))</f>
        <v>0</v>
      </c>
      <c r="P2998" s="64" t="n">
        <f aca="false">IF(AND($M2998&gt;0,ISNUMBER(MATCH($F2998,Lists!$A$2:$A$5,0)),ISNUMBER(MATCH($G2998,Lists!$B$2:$B$7,0)),OR($H2998="",$N2998&gt;0),OR($I2998="",$I2998="NR",$O2998&gt;0),IF(ISNUMBER($J2998),AND($J2998&gt;=0,$J2998=INT($J2998)),FALSE())),$J2998,0)</f>
        <v>0</v>
      </c>
      <c r="Q2998" s="64" t="n">
        <f aca="false">IF(AND($P2998&gt;0,$O2998&gt;0),$P2998,0)</f>
        <v>0</v>
      </c>
      <c r="R2998" s="64" t="n">
        <f aca="false">IF(AND($Q2998&gt;0,$O2998&gt;=AtRank),$Q2998,0)</f>
        <v>0</v>
      </c>
      <c r="S2998" s="64" t="n">
        <f aca="false">IF(AND($Q2998&gt;0,$O2998&gt;=AboveRank),$Q2998,0)</f>
        <v>0</v>
      </c>
      <c r="T2998" s="64" t="n">
        <f aca="false">IF($K2998="Less",$P2998,0)</f>
        <v>0</v>
      </c>
      <c r="U2998" s="64" t="n">
        <f aca="false">IF($K2998="Expected",$P2998,0)</f>
        <v>0</v>
      </c>
      <c r="V2998" s="64" t="n">
        <f aca="false">IF($K2998="Better",$P2998,0)</f>
        <v>0</v>
      </c>
      <c r="W2998" s="64" t="n">
        <f aca="false">IF($K2998="U – needs rule",$P2998,0)</f>
        <v>0</v>
      </c>
      <c r="X2998" s="64" t="n">
        <f aca="false">IF($K2998="No Start (attainment only)",$P2998,0)</f>
        <v>0</v>
      </c>
    </row>
    <row r="2999" customFormat="false" ht="15" hidden="false" customHeight="false" outlineLevel="0" collapsed="false">
      <c r="A2999" s="60"/>
      <c r="B2999" s="61" t="str">
        <f aca="false">IF($M2999=0,"",INDEX(Classes!$E$6:$E$420,$M2999))</f>
        <v/>
      </c>
      <c r="C2999" s="62" t="str">
        <f aca="false">IF($M2999=0,"",INDEX(Classes!$H$6:$H$420,$M2999))</f>
        <v/>
      </c>
      <c r="D2999" s="61" t="str">
        <f aca="false">IF($M2999=0,"",INDEX(Classes!$B$6:$B$420,$M2999))</f>
        <v/>
      </c>
      <c r="E2999" s="61" t="str">
        <f aca="false">IF($M2999=0,"",INDEX(Classes!$C$6:$C$420,$M2999))</f>
        <v/>
      </c>
      <c r="F2999" s="63"/>
      <c r="G2999" s="63"/>
      <c r="H2999" s="60"/>
      <c r="I2999" s="60"/>
      <c r="J2999" s="63"/>
      <c r="K2999" s="61" t="str">
        <f aca="false">IF($P2999=0,"",IF($F2999="Baseline","— Baseline",IF($O2999=0,"No result",IF($N2999=0,"No Start (attainment only)",IF(OR($N2999=1,$O2999=1),"U – needs rule",INDEX(MxBody,MATCH($I2999,MxCurr,0),MATCH($H2999,MxStart,0)))))))</f>
        <v/>
      </c>
      <c r="L2999" s="62" t="str">
        <f aca="false">IF(COUNTA($A2999,$F2999,$G2999,$H2999,$I2999,$J2999)=0,"",IF($M2999=0,"✖ كود الصف غير موجود",IF(ISNA(MATCH($F2999,Lists!$A$2:$A$5,0)),"✖ الفترة غير صحيحة",IF(ISNA(MATCH($G2999,Lists!$B$2:$B$7,0)),"✖ المجموعة غير صحيحة",IF(NOT(OR($H2999="",$N2999&gt;0)),"✖ Start غير صحيح",IF(NOT(OR($I2999="",$I2999="NR",$O2999&gt;0)),"✖ Current غير صحيح",IF(NOT(IF(ISNUMBER($J2999),AND($J2999&gt;=0,$J2999=INT($J2999)),FALSE())),"✖ العدد يجب أن يكون صحيحًا ≥ 0",IF(AND($F2999="Baseline",$H2999&lt;&gt;""),"⚠ Baseline: Start لا يدخل في التقدم",IF($K2999="No Start (attainment only)","ℹ تحصيل فقط (بدون Start)",IF($K2999="U – needs rule","ℹ حالة U تحتاج قاعدة معتمدة",IF($K2999="No result","ℹ بدون نتيجة (يُستبعد من التحصيل)","OK")))))))))))</f>
        <v/>
      </c>
      <c r="M2999" s="64" t="n">
        <f aca="false">IF($A2999="",0,IFERROR(MATCH($A2999,Classes!$A$6:$A$420,0),0))</f>
        <v>0</v>
      </c>
      <c r="N2999" s="64" t="n">
        <f aca="false">IF($H2999="",0,IFERROR(MATCH($H2999,GradeList,0),0))</f>
        <v>0</v>
      </c>
      <c r="O2999" s="64" t="n">
        <f aca="false">IF(OR($I2999="",$I2999="NR"),0,IFERROR(MATCH($I2999,GradeList,0),0))</f>
        <v>0</v>
      </c>
      <c r="P2999" s="64" t="n">
        <f aca="false">IF(AND($M2999&gt;0,ISNUMBER(MATCH($F2999,Lists!$A$2:$A$5,0)),ISNUMBER(MATCH($G2999,Lists!$B$2:$B$7,0)),OR($H2999="",$N2999&gt;0),OR($I2999="",$I2999="NR",$O2999&gt;0),IF(ISNUMBER($J2999),AND($J2999&gt;=0,$J2999=INT($J2999)),FALSE())),$J2999,0)</f>
        <v>0</v>
      </c>
      <c r="Q2999" s="64" t="n">
        <f aca="false">IF(AND($P2999&gt;0,$O2999&gt;0),$P2999,0)</f>
        <v>0</v>
      </c>
      <c r="R2999" s="64" t="n">
        <f aca="false">IF(AND($Q2999&gt;0,$O2999&gt;=AtRank),$Q2999,0)</f>
        <v>0</v>
      </c>
      <c r="S2999" s="64" t="n">
        <f aca="false">IF(AND($Q2999&gt;0,$O2999&gt;=AboveRank),$Q2999,0)</f>
        <v>0</v>
      </c>
      <c r="T2999" s="64" t="n">
        <f aca="false">IF($K2999="Less",$P2999,0)</f>
        <v>0</v>
      </c>
      <c r="U2999" s="64" t="n">
        <f aca="false">IF($K2999="Expected",$P2999,0)</f>
        <v>0</v>
      </c>
      <c r="V2999" s="64" t="n">
        <f aca="false">IF($K2999="Better",$P2999,0)</f>
        <v>0</v>
      </c>
      <c r="W2999" s="64" t="n">
        <f aca="false">IF($K2999="U – needs rule",$P2999,0)</f>
        <v>0</v>
      </c>
      <c r="X2999" s="64" t="n">
        <f aca="false">IF($K2999="No Start (attainment only)",$P2999,0)</f>
        <v>0</v>
      </c>
    </row>
    <row r="3000" customFormat="false" ht="15" hidden="false" customHeight="false" outlineLevel="0" collapsed="false">
      <c r="A3000" s="60"/>
      <c r="B3000" s="61" t="str">
        <f aca="false">IF($M3000=0,"",INDEX(Classes!$E$6:$E$420,$M3000))</f>
        <v/>
      </c>
      <c r="C3000" s="62" t="str">
        <f aca="false">IF($M3000=0,"",INDEX(Classes!$H$6:$H$420,$M3000))</f>
        <v/>
      </c>
      <c r="D3000" s="61" t="str">
        <f aca="false">IF($M3000=0,"",INDEX(Classes!$B$6:$B$420,$M3000))</f>
        <v/>
      </c>
      <c r="E3000" s="61" t="str">
        <f aca="false">IF($M3000=0,"",INDEX(Classes!$C$6:$C$420,$M3000))</f>
        <v/>
      </c>
      <c r="F3000" s="63"/>
      <c r="G3000" s="63"/>
      <c r="H3000" s="60"/>
      <c r="I3000" s="60"/>
      <c r="J3000" s="63"/>
      <c r="K3000" s="61" t="str">
        <f aca="false">IF($P3000=0,"",IF($F3000="Baseline","— Baseline",IF($O3000=0,"No result",IF($N3000=0,"No Start (attainment only)",IF(OR($N3000=1,$O3000=1),"U – needs rule",INDEX(MxBody,MATCH($I3000,MxCurr,0),MATCH($H3000,MxStart,0)))))))</f>
        <v/>
      </c>
      <c r="L3000" s="62" t="str">
        <f aca="false">IF(COUNTA($A3000,$F3000,$G3000,$H3000,$I3000,$J3000)=0,"",IF($M3000=0,"✖ كود الصف غير موجود",IF(ISNA(MATCH($F3000,Lists!$A$2:$A$5,0)),"✖ الفترة غير صحيحة",IF(ISNA(MATCH($G3000,Lists!$B$2:$B$7,0)),"✖ المجموعة غير صحيحة",IF(NOT(OR($H3000="",$N3000&gt;0)),"✖ Start غير صحيح",IF(NOT(OR($I3000="",$I3000="NR",$O3000&gt;0)),"✖ Current غير صحيح",IF(NOT(IF(ISNUMBER($J3000),AND($J3000&gt;=0,$J3000=INT($J3000)),FALSE())),"✖ العدد يجب أن يكون صحيحًا ≥ 0",IF(AND($F3000="Baseline",$H3000&lt;&gt;""),"⚠ Baseline: Start لا يدخل في التقدم",IF($K3000="No Start (attainment only)","ℹ تحصيل فقط (بدون Start)",IF($K3000="U – needs rule","ℹ حالة U تحتاج قاعدة معتمدة",IF($K3000="No result","ℹ بدون نتيجة (يُستبعد من التحصيل)","OK")))))))))))</f>
        <v/>
      </c>
      <c r="M3000" s="64" t="n">
        <f aca="false">IF($A3000="",0,IFERROR(MATCH($A3000,Classes!$A$6:$A$420,0),0))</f>
        <v>0</v>
      </c>
      <c r="N3000" s="64" t="n">
        <f aca="false">IF($H3000="",0,IFERROR(MATCH($H3000,GradeList,0),0))</f>
        <v>0</v>
      </c>
      <c r="O3000" s="64" t="n">
        <f aca="false">IF(OR($I3000="",$I3000="NR"),0,IFERROR(MATCH($I3000,GradeList,0),0))</f>
        <v>0</v>
      </c>
      <c r="P3000" s="64" t="n">
        <f aca="false">IF(AND($M3000&gt;0,ISNUMBER(MATCH($F3000,Lists!$A$2:$A$5,0)),ISNUMBER(MATCH($G3000,Lists!$B$2:$B$7,0)),OR($H3000="",$N3000&gt;0),OR($I3000="",$I3000="NR",$O3000&gt;0),IF(ISNUMBER($J3000),AND($J3000&gt;=0,$J3000=INT($J3000)),FALSE())),$J3000,0)</f>
        <v>0</v>
      </c>
      <c r="Q3000" s="64" t="n">
        <f aca="false">IF(AND($P3000&gt;0,$O3000&gt;0),$P3000,0)</f>
        <v>0</v>
      </c>
      <c r="R3000" s="64" t="n">
        <f aca="false">IF(AND($Q3000&gt;0,$O3000&gt;=AtRank),$Q3000,0)</f>
        <v>0</v>
      </c>
      <c r="S3000" s="64" t="n">
        <f aca="false">IF(AND($Q3000&gt;0,$O3000&gt;=AboveRank),$Q3000,0)</f>
        <v>0</v>
      </c>
      <c r="T3000" s="64" t="n">
        <f aca="false">IF($K3000="Less",$P3000,0)</f>
        <v>0</v>
      </c>
      <c r="U3000" s="64" t="n">
        <f aca="false">IF($K3000="Expected",$P3000,0)</f>
        <v>0</v>
      </c>
      <c r="V3000" s="64" t="n">
        <f aca="false">IF($K3000="Better",$P3000,0)</f>
        <v>0</v>
      </c>
      <c r="W3000" s="64" t="n">
        <f aca="false">IF($K3000="U – needs rule",$P3000,0)</f>
        <v>0</v>
      </c>
      <c r="X3000" s="64" t="n">
        <f aca="false">IF($K3000="No Start (attainment only)",$P3000,0)</f>
        <v>0</v>
      </c>
    </row>
    <row r="3001" customFormat="false" ht="15" hidden="false" customHeight="false" outlineLevel="0" collapsed="false">
      <c r="A3001" s="60"/>
      <c r="B3001" s="61" t="str">
        <f aca="false">IF($M3001=0,"",INDEX(Classes!$E$6:$E$420,$M3001))</f>
        <v/>
      </c>
      <c r="C3001" s="62" t="str">
        <f aca="false">IF($M3001=0,"",INDEX(Classes!$H$6:$H$420,$M3001))</f>
        <v/>
      </c>
      <c r="D3001" s="61" t="str">
        <f aca="false">IF($M3001=0,"",INDEX(Classes!$B$6:$B$420,$M3001))</f>
        <v/>
      </c>
      <c r="E3001" s="61" t="str">
        <f aca="false">IF($M3001=0,"",INDEX(Classes!$C$6:$C$420,$M3001))</f>
        <v/>
      </c>
      <c r="F3001" s="63"/>
      <c r="G3001" s="63"/>
      <c r="H3001" s="60"/>
      <c r="I3001" s="60"/>
      <c r="J3001" s="63"/>
      <c r="K3001" s="61" t="str">
        <f aca="false">IF($P3001=0,"",IF($F3001="Baseline","— Baseline",IF($O3001=0,"No result",IF($N3001=0,"No Start (attainment only)",IF(OR($N3001=1,$O3001=1),"U – needs rule",INDEX(MxBody,MATCH($I3001,MxCurr,0),MATCH($H3001,MxStart,0)))))))</f>
        <v/>
      </c>
      <c r="L3001" s="62" t="str">
        <f aca="false">IF(COUNTA($A3001,$F3001,$G3001,$H3001,$I3001,$J3001)=0,"",IF($M3001=0,"✖ كود الصف غير موجود",IF(ISNA(MATCH($F3001,Lists!$A$2:$A$5,0)),"✖ الفترة غير صحيحة",IF(ISNA(MATCH($G3001,Lists!$B$2:$B$7,0)),"✖ المجموعة غير صحيحة",IF(NOT(OR($H3001="",$N3001&gt;0)),"✖ Start غير صحيح",IF(NOT(OR($I3001="",$I3001="NR",$O3001&gt;0)),"✖ Current غير صحيح",IF(NOT(IF(ISNUMBER($J3001),AND($J3001&gt;=0,$J3001=INT($J3001)),FALSE())),"✖ العدد يجب أن يكون صحيحًا ≥ 0",IF(AND($F3001="Baseline",$H3001&lt;&gt;""),"⚠ Baseline: Start لا يدخل في التقدم",IF($K3001="No Start (attainment only)","ℹ تحصيل فقط (بدون Start)",IF($K3001="U – needs rule","ℹ حالة U تحتاج قاعدة معتمدة",IF($K3001="No result","ℹ بدون نتيجة (يُستبعد من التحصيل)","OK")))))))))))</f>
        <v/>
      </c>
      <c r="M3001" s="64" t="n">
        <f aca="false">IF($A3001="",0,IFERROR(MATCH($A3001,Classes!$A$6:$A$420,0),0))</f>
        <v>0</v>
      </c>
      <c r="N3001" s="64" t="n">
        <f aca="false">IF($H3001="",0,IFERROR(MATCH($H3001,GradeList,0),0))</f>
        <v>0</v>
      </c>
      <c r="O3001" s="64" t="n">
        <f aca="false">IF(OR($I3001="",$I3001="NR"),0,IFERROR(MATCH($I3001,GradeList,0),0))</f>
        <v>0</v>
      </c>
      <c r="P3001" s="64" t="n">
        <f aca="false">IF(AND($M3001&gt;0,ISNUMBER(MATCH($F3001,Lists!$A$2:$A$5,0)),ISNUMBER(MATCH($G3001,Lists!$B$2:$B$7,0)),OR($H3001="",$N3001&gt;0),OR($I3001="",$I3001="NR",$O3001&gt;0),IF(ISNUMBER($J3001),AND($J3001&gt;=0,$J3001=INT($J3001)),FALSE())),$J3001,0)</f>
        <v>0</v>
      </c>
      <c r="Q3001" s="64" t="n">
        <f aca="false">IF(AND($P3001&gt;0,$O3001&gt;0),$P3001,0)</f>
        <v>0</v>
      </c>
      <c r="R3001" s="64" t="n">
        <f aca="false">IF(AND($Q3001&gt;0,$O3001&gt;=AtRank),$Q3001,0)</f>
        <v>0</v>
      </c>
      <c r="S3001" s="64" t="n">
        <f aca="false">IF(AND($Q3001&gt;0,$O3001&gt;=AboveRank),$Q3001,0)</f>
        <v>0</v>
      </c>
      <c r="T3001" s="64" t="n">
        <f aca="false">IF($K3001="Less",$P3001,0)</f>
        <v>0</v>
      </c>
      <c r="U3001" s="64" t="n">
        <f aca="false">IF($K3001="Expected",$P3001,0)</f>
        <v>0</v>
      </c>
      <c r="V3001" s="64" t="n">
        <f aca="false">IF($K3001="Better",$P3001,0)</f>
        <v>0</v>
      </c>
      <c r="W3001" s="64" t="n">
        <f aca="false">IF($K3001="U – needs rule",$P3001,0)</f>
        <v>0</v>
      </c>
      <c r="X3001" s="64" t="n">
        <f aca="false">IF($K3001="No Start (attainment only)",$P3001,0)</f>
        <v>0</v>
      </c>
    </row>
    <row r="3002" customFormat="false" ht="15" hidden="false" customHeight="false" outlineLevel="0" collapsed="false">
      <c r="A3002" s="60"/>
      <c r="B3002" s="61" t="str">
        <f aca="false">IF($M3002=0,"",INDEX(Classes!$E$6:$E$420,$M3002))</f>
        <v/>
      </c>
      <c r="C3002" s="62" t="str">
        <f aca="false">IF($M3002=0,"",INDEX(Classes!$H$6:$H$420,$M3002))</f>
        <v/>
      </c>
      <c r="D3002" s="61" t="str">
        <f aca="false">IF($M3002=0,"",INDEX(Classes!$B$6:$B$420,$M3002))</f>
        <v/>
      </c>
      <c r="E3002" s="61" t="str">
        <f aca="false">IF($M3002=0,"",INDEX(Classes!$C$6:$C$420,$M3002))</f>
        <v/>
      </c>
      <c r="F3002" s="63"/>
      <c r="G3002" s="63"/>
      <c r="H3002" s="60"/>
      <c r="I3002" s="60"/>
      <c r="J3002" s="63"/>
      <c r="K3002" s="61" t="str">
        <f aca="false">IF($P3002=0,"",IF($F3002="Baseline","— Baseline",IF($O3002=0,"No result",IF($N3002=0,"No Start (attainment only)",IF(OR($N3002=1,$O3002=1),"U – needs rule",INDEX(MxBody,MATCH($I3002,MxCurr,0),MATCH($H3002,MxStart,0)))))))</f>
        <v/>
      </c>
      <c r="L3002" s="62" t="str">
        <f aca="false">IF(COUNTA($A3002,$F3002,$G3002,$H3002,$I3002,$J3002)=0,"",IF($M3002=0,"✖ كود الصف غير موجود",IF(ISNA(MATCH($F3002,Lists!$A$2:$A$5,0)),"✖ الفترة غير صحيحة",IF(ISNA(MATCH($G3002,Lists!$B$2:$B$7,0)),"✖ المجموعة غير صحيحة",IF(NOT(OR($H3002="",$N3002&gt;0)),"✖ Start غير صحيح",IF(NOT(OR($I3002="",$I3002="NR",$O3002&gt;0)),"✖ Current غير صحيح",IF(NOT(IF(ISNUMBER($J3002),AND($J3002&gt;=0,$J3002=INT($J3002)),FALSE())),"✖ العدد يجب أن يكون صحيحًا ≥ 0",IF(AND($F3002="Baseline",$H3002&lt;&gt;""),"⚠ Baseline: Start لا يدخل في التقدم",IF($K3002="No Start (attainment only)","ℹ تحصيل فقط (بدون Start)",IF($K3002="U – needs rule","ℹ حالة U تحتاج قاعدة معتمدة",IF($K3002="No result","ℹ بدون نتيجة (يُستبعد من التحصيل)","OK")))))))))))</f>
        <v/>
      </c>
      <c r="M3002" s="64" t="n">
        <f aca="false">IF($A3002="",0,IFERROR(MATCH($A3002,Classes!$A$6:$A$420,0),0))</f>
        <v>0</v>
      </c>
      <c r="N3002" s="64" t="n">
        <f aca="false">IF($H3002="",0,IFERROR(MATCH($H3002,GradeList,0),0))</f>
        <v>0</v>
      </c>
      <c r="O3002" s="64" t="n">
        <f aca="false">IF(OR($I3002="",$I3002="NR"),0,IFERROR(MATCH($I3002,GradeList,0),0))</f>
        <v>0</v>
      </c>
      <c r="P3002" s="64" t="n">
        <f aca="false">IF(AND($M3002&gt;0,ISNUMBER(MATCH($F3002,Lists!$A$2:$A$5,0)),ISNUMBER(MATCH($G3002,Lists!$B$2:$B$7,0)),OR($H3002="",$N3002&gt;0),OR($I3002="",$I3002="NR",$O3002&gt;0),IF(ISNUMBER($J3002),AND($J3002&gt;=0,$J3002=INT($J3002)),FALSE())),$J3002,0)</f>
        <v>0</v>
      </c>
      <c r="Q3002" s="64" t="n">
        <f aca="false">IF(AND($P3002&gt;0,$O3002&gt;0),$P3002,0)</f>
        <v>0</v>
      </c>
      <c r="R3002" s="64" t="n">
        <f aca="false">IF(AND($Q3002&gt;0,$O3002&gt;=AtRank),$Q3002,0)</f>
        <v>0</v>
      </c>
      <c r="S3002" s="64" t="n">
        <f aca="false">IF(AND($Q3002&gt;0,$O3002&gt;=AboveRank),$Q3002,0)</f>
        <v>0</v>
      </c>
      <c r="T3002" s="64" t="n">
        <f aca="false">IF($K3002="Less",$P3002,0)</f>
        <v>0</v>
      </c>
      <c r="U3002" s="64" t="n">
        <f aca="false">IF($K3002="Expected",$P3002,0)</f>
        <v>0</v>
      </c>
      <c r="V3002" s="64" t="n">
        <f aca="false">IF($K3002="Better",$P3002,0)</f>
        <v>0</v>
      </c>
      <c r="W3002" s="64" t="n">
        <f aca="false">IF($K3002="U – needs rule",$P3002,0)</f>
        <v>0</v>
      </c>
      <c r="X3002" s="64" t="n">
        <f aca="false">IF($K3002="No Start (attainment only)",$P3002,0)</f>
        <v>0</v>
      </c>
    </row>
    <row r="3003" customFormat="false" ht="15" hidden="false" customHeight="false" outlineLevel="0" collapsed="false">
      <c r="A3003" s="60"/>
      <c r="B3003" s="61" t="str">
        <f aca="false">IF($M3003=0,"",INDEX(Classes!$E$6:$E$420,$M3003))</f>
        <v/>
      </c>
      <c r="C3003" s="62" t="str">
        <f aca="false">IF($M3003=0,"",INDEX(Classes!$H$6:$H$420,$M3003))</f>
        <v/>
      </c>
      <c r="D3003" s="61" t="str">
        <f aca="false">IF($M3003=0,"",INDEX(Classes!$B$6:$B$420,$M3003))</f>
        <v/>
      </c>
      <c r="E3003" s="61" t="str">
        <f aca="false">IF($M3003=0,"",INDEX(Classes!$C$6:$C$420,$M3003))</f>
        <v/>
      </c>
      <c r="F3003" s="63"/>
      <c r="G3003" s="63"/>
      <c r="H3003" s="60"/>
      <c r="I3003" s="60"/>
      <c r="J3003" s="63"/>
      <c r="K3003" s="61" t="str">
        <f aca="false">IF($P3003=0,"",IF($F3003="Baseline","— Baseline",IF($O3003=0,"No result",IF($N3003=0,"No Start (attainment only)",IF(OR($N3003=1,$O3003=1),"U – needs rule",INDEX(MxBody,MATCH($I3003,MxCurr,0),MATCH($H3003,MxStart,0)))))))</f>
        <v/>
      </c>
      <c r="L3003" s="62" t="str">
        <f aca="false">IF(COUNTA($A3003,$F3003,$G3003,$H3003,$I3003,$J3003)=0,"",IF($M3003=0,"✖ كود الصف غير موجود",IF(ISNA(MATCH($F3003,Lists!$A$2:$A$5,0)),"✖ الفترة غير صحيحة",IF(ISNA(MATCH($G3003,Lists!$B$2:$B$7,0)),"✖ المجموعة غير صحيحة",IF(NOT(OR($H3003="",$N3003&gt;0)),"✖ Start غير صحيح",IF(NOT(OR($I3003="",$I3003="NR",$O3003&gt;0)),"✖ Current غير صحيح",IF(NOT(IF(ISNUMBER($J3003),AND($J3003&gt;=0,$J3003=INT($J3003)),FALSE())),"✖ العدد يجب أن يكون صحيحًا ≥ 0",IF(AND($F3003="Baseline",$H3003&lt;&gt;""),"⚠ Baseline: Start لا يدخل في التقدم",IF($K3003="No Start (attainment only)","ℹ تحصيل فقط (بدون Start)",IF($K3003="U – needs rule","ℹ حالة U تحتاج قاعدة معتمدة",IF($K3003="No result","ℹ بدون نتيجة (يُستبعد من التحصيل)","OK")))))))))))</f>
        <v/>
      </c>
      <c r="M3003" s="64" t="n">
        <f aca="false">IF($A3003="",0,IFERROR(MATCH($A3003,Classes!$A$6:$A$420,0),0))</f>
        <v>0</v>
      </c>
      <c r="N3003" s="64" t="n">
        <f aca="false">IF($H3003="",0,IFERROR(MATCH($H3003,GradeList,0),0))</f>
        <v>0</v>
      </c>
      <c r="O3003" s="64" t="n">
        <f aca="false">IF(OR($I3003="",$I3003="NR"),0,IFERROR(MATCH($I3003,GradeList,0),0))</f>
        <v>0</v>
      </c>
      <c r="P3003" s="64" t="n">
        <f aca="false">IF(AND($M3003&gt;0,ISNUMBER(MATCH($F3003,Lists!$A$2:$A$5,0)),ISNUMBER(MATCH($G3003,Lists!$B$2:$B$7,0)),OR($H3003="",$N3003&gt;0),OR($I3003="",$I3003="NR",$O3003&gt;0),IF(ISNUMBER($J3003),AND($J3003&gt;=0,$J3003=INT($J3003)),FALSE())),$J3003,0)</f>
        <v>0</v>
      </c>
      <c r="Q3003" s="64" t="n">
        <f aca="false">IF(AND($P3003&gt;0,$O3003&gt;0),$P3003,0)</f>
        <v>0</v>
      </c>
      <c r="R3003" s="64" t="n">
        <f aca="false">IF(AND($Q3003&gt;0,$O3003&gt;=AtRank),$Q3003,0)</f>
        <v>0</v>
      </c>
      <c r="S3003" s="64" t="n">
        <f aca="false">IF(AND($Q3003&gt;0,$O3003&gt;=AboveRank),$Q3003,0)</f>
        <v>0</v>
      </c>
      <c r="T3003" s="64" t="n">
        <f aca="false">IF($K3003="Less",$P3003,0)</f>
        <v>0</v>
      </c>
      <c r="U3003" s="64" t="n">
        <f aca="false">IF($K3003="Expected",$P3003,0)</f>
        <v>0</v>
      </c>
      <c r="V3003" s="64" t="n">
        <f aca="false">IF($K3003="Better",$P3003,0)</f>
        <v>0</v>
      </c>
      <c r="W3003" s="64" t="n">
        <f aca="false">IF($K3003="U – needs rule",$P3003,0)</f>
        <v>0</v>
      </c>
      <c r="X3003" s="64" t="n">
        <f aca="false">IF($K3003="No Start (attainment only)",$P3003,0)</f>
        <v>0</v>
      </c>
    </row>
    <row r="3004" customFormat="false" ht="15" hidden="false" customHeight="false" outlineLevel="0" collapsed="false">
      <c r="A3004" s="60"/>
      <c r="B3004" s="61" t="str">
        <f aca="false">IF($M3004=0,"",INDEX(Classes!$E$6:$E$420,$M3004))</f>
        <v/>
      </c>
      <c r="C3004" s="62" t="str">
        <f aca="false">IF($M3004=0,"",INDEX(Classes!$H$6:$H$420,$M3004))</f>
        <v/>
      </c>
      <c r="D3004" s="61" t="str">
        <f aca="false">IF($M3004=0,"",INDEX(Classes!$B$6:$B$420,$M3004))</f>
        <v/>
      </c>
      <c r="E3004" s="61" t="str">
        <f aca="false">IF($M3004=0,"",INDEX(Classes!$C$6:$C$420,$M3004))</f>
        <v/>
      </c>
      <c r="F3004" s="63"/>
      <c r="G3004" s="63"/>
      <c r="H3004" s="60"/>
      <c r="I3004" s="60"/>
      <c r="J3004" s="63"/>
      <c r="K3004" s="61" t="str">
        <f aca="false">IF($P3004=0,"",IF($F3004="Baseline","— Baseline",IF($O3004=0,"No result",IF($N3004=0,"No Start (attainment only)",IF(OR($N3004=1,$O3004=1),"U – needs rule",INDEX(MxBody,MATCH($I3004,MxCurr,0),MATCH($H3004,MxStart,0)))))))</f>
        <v/>
      </c>
      <c r="L3004" s="62" t="str">
        <f aca="false">IF(COUNTA($A3004,$F3004,$G3004,$H3004,$I3004,$J3004)=0,"",IF($M3004=0,"✖ كود الصف غير موجود",IF(ISNA(MATCH($F3004,Lists!$A$2:$A$5,0)),"✖ الفترة غير صحيحة",IF(ISNA(MATCH($G3004,Lists!$B$2:$B$7,0)),"✖ المجموعة غير صحيحة",IF(NOT(OR($H3004="",$N3004&gt;0)),"✖ Start غير صحيح",IF(NOT(OR($I3004="",$I3004="NR",$O3004&gt;0)),"✖ Current غير صحيح",IF(NOT(IF(ISNUMBER($J3004),AND($J3004&gt;=0,$J3004=INT($J3004)),FALSE())),"✖ العدد يجب أن يكون صحيحًا ≥ 0",IF(AND($F3004="Baseline",$H3004&lt;&gt;""),"⚠ Baseline: Start لا يدخل في التقدم",IF($K3004="No Start (attainment only)","ℹ تحصيل فقط (بدون Start)",IF($K3004="U – needs rule","ℹ حالة U تحتاج قاعدة معتمدة",IF($K3004="No result","ℹ بدون نتيجة (يُستبعد من التحصيل)","OK")))))))))))</f>
        <v/>
      </c>
      <c r="M3004" s="64" t="n">
        <f aca="false">IF($A3004="",0,IFERROR(MATCH($A3004,Classes!$A$6:$A$420,0),0))</f>
        <v>0</v>
      </c>
      <c r="N3004" s="64" t="n">
        <f aca="false">IF($H3004="",0,IFERROR(MATCH($H3004,GradeList,0),0))</f>
        <v>0</v>
      </c>
      <c r="O3004" s="64" t="n">
        <f aca="false">IF(OR($I3004="",$I3004="NR"),0,IFERROR(MATCH($I3004,GradeList,0),0))</f>
        <v>0</v>
      </c>
      <c r="P3004" s="64" t="n">
        <f aca="false">IF(AND($M3004&gt;0,ISNUMBER(MATCH($F3004,Lists!$A$2:$A$5,0)),ISNUMBER(MATCH($G3004,Lists!$B$2:$B$7,0)),OR($H3004="",$N3004&gt;0),OR($I3004="",$I3004="NR",$O3004&gt;0),IF(ISNUMBER($J3004),AND($J3004&gt;=0,$J3004=INT($J3004)),FALSE())),$J3004,0)</f>
        <v>0</v>
      </c>
      <c r="Q3004" s="64" t="n">
        <f aca="false">IF(AND($P3004&gt;0,$O3004&gt;0),$P3004,0)</f>
        <v>0</v>
      </c>
      <c r="R3004" s="64" t="n">
        <f aca="false">IF(AND($Q3004&gt;0,$O3004&gt;=AtRank),$Q3004,0)</f>
        <v>0</v>
      </c>
      <c r="S3004" s="64" t="n">
        <f aca="false">IF(AND($Q3004&gt;0,$O3004&gt;=AboveRank),$Q3004,0)</f>
        <v>0</v>
      </c>
      <c r="T3004" s="64" t="n">
        <f aca="false">IF($K3004="Less",$P3004,0)</f>
        <v>0</v>
      </c>
      <c r="U3004" s="64" t="n">
        <f aca="false">IF($K3004="Expected",$P3004,0)</f>
        <v>0</v>
      </c>
      <c r="V3004" s="64" t="n">
        <f aca="false">IF($K3004="Better",$P3004,0)</f>
        <v>0</v>
      </c>
      <c r="W3004" s="64" t="n">
        <f aca="false">IF($K3004="U – needs rule",$P3004,0)</f>
        <v>0</v>
      </c>
      <c r="X3004" s="64" t="n">
        <f aca="false">IF($K3004="No Start (attainment only)",$P3004,0)</f>
        <v>0</v>
      </c>
    </row>
    <row r="3005" customFormat="false" ht="15" hidden="false" customHeight="false" outlineLevel="0" collapsed="false">
      <c r="A3005" s="60"/>
      <c r="B3005" s="61" t="str">
        <f aca="false">IF($M3005=0,"",INDEX(Classes!$E$6:$E$420,$M3005))</f>
        <v/>
      </c>
      <c r="C3005" s="62" t="str">
        <f aca="false">IF($M3005=0,"",INDEX(Classes!$H$6:$H$420,$M3005))</f>
        <v/>
      </c>
      <c r="D3005" s="61" t="str">
        <f aca="false">IF($M3005=0,"",INDEX(Classes!$B$6:$B$420,$M3005))</f>
        <v/>
      </c>
      <c r="E3005" s="61" t="str">
        <f aca="false">IF($M3005=0,"",INDEX(Classes!$C$6:$C$420,$M3005))</f>
        <v/>
      </c>
      <c r="F3005" s="63"/>
      <c r="G3005" s="63"/>
      <c r="H3005" s="60"/>
      <c r="I3005" s="60"/>
      <c r="J3005" s="63"/>
      <c r="K3005" s="61" t="str">
        <f aca="false">IF($P3005=0,"",IF($F3005="Baseline","— Baseline",IF($O3005=0,"No result",IF($N3005=0,"No Start (attainment only)",IF(OR($N3005=1,$O3005=1),"U – needs rule",INDEX(MxBody,MATCH($I3005,MxCurr,0),MATCH($H3005,MxStart,0)))))))</f>
        <v/>
      </c>
      <c r="L3005" s="62" t="str">
        <f aca="false">IF(COUNTA($A3005,$F3005,$G3005,$H3005,$I3005,$J3005)=0,"",IF($M3005=0,"✖ كود الصف غير موجود",IF(ISNA(MATCH($F3005,Lists!$A$2:$A$5,0)),"✖ الفترة غير صحيحة",IF(ISNA(MATCH($G3005,Lists!$B$2:$B$7,0)),"✖ المجموعة غير صحيحة",IF(NOT(OR($H3005="",$N3005&gt;0)),"✖ Start غير صحيح",IF(NOT(OR($I3005="",$I3005="NR",$O3005&gt;0)),"✖ Current غير صحيح",IF(NOT(IF(ISNUMBER($J3005),AND($J3005&gt;=0,$J3005=INT($J3005)),FALSE())),"✖ العدد يجب أن يكون صحيحًا ≥ 0",IF(AND($F3005="Baseline",$H3005&lt;&gt;""),"⚠ Baseline: Start لا يدخل في التقدم",IF($K3005="No Start (attainment only)","ℹ تحصيل فقط (بدون Start)",IF($K3005="U – needs rule","ℹ حالة U تحتاج قاعدة معتمدة",IF($K3005="No result","ℹ بدون نتيجة (يُستبعد من التحصيل)","OK")))))))))))</f>
        <v/>
      </c>
      <c r="M3005" s="64" t="n">
        <f aca="false">IF($A3005="",0,IFERROR(MATCH($A3005,Classes!$A$6:$A$420,0),0))</f>
        <v>0</v>
      </c>
      <c r="N3005" s="64" t="n">
        <f aca="false">IF($H3005="",0,IFERROR(MATCH($H3005,GradeList,0),0))</f>
        <v>0</v>
      </c>
      <c r="O3005" s="64" t="n">
        <f aca="false">IF(OR($I3005="",$I3005="NR"),0,IFERROR(MATCH($I3005,GradeList,0),0))</f>
        <v>0</v>
      </c>
      <c r="P3005" s="64" t="n">
        <f aca="false">IF(AND($M3005&gt;0,ISNUMBER(MATCH($F3005,Lists!$A$2:$A$5,0)),ISNUMBER(MATCH($G3005,Lists!$B$2:$B$7,0)),OR($H3005="",$N3005&gt;0),OR($I3005="",$I3005="NR",$O3005&gt;0),IF(ISNUMBER($J3005),AND($J3005&gt;=0,$J3005=INT($J3005)),FALSE())),$J3005,0)</f>
        <v>0</v>
      </c>
      <c r="Q3005" s="64" t="n">
        <f aca="false">IF(AND($P3005&gt;0,$O3005&gt;0),$P3005,0)</f>
        <v>0</v>
      </c>
      <c r="R3005" s="64" t="n">
        <f aca="false">IF(AND($Q3005&gt;0,$O3005&gt;=AtRank),$Q3005,0)</f>
        <v>0</v>
      </c>
      <c r="S3005" s="64" t="n">
        <f aca="false">IF(AND($Q3005&gt;0,$O3005&gt;=AboveRank),$Q3005,0)</f>
        <v>0</v>
      </c>
      <c r="T3005" s="64" t="n">
        <f aca="false">IF($K3005="Less",$P3005,0)</f>
        <v>0</v>
      </c>
      <c r="U3005" s="64" t="n">
        <f aca="false">IF($K3005="Expected",$P3005,0)</f>
        <v>0</v>
      </c>
      <c r="V3005" s="64" t="n">
        <f aca="false">IF($K3005="Better",$P3005,0)</f>
        <v>0</v>
      </c>
      <c r="W3005" s="64" t="n">
        <f aca="false">IF($K3005="U – needs rule",$P3005,0)</f>
        <v>0</v>
      </c>
      <c r="X3005" s="64" t="n">
        <f aca="false">IF($K3005="No Start (attainment only)",$P3005,0)</f>
        <v>0</v>
      </c>
    </row>
    <row r="3006" customFormat="false" ht="15" hidden="false" customHeight="false" outlineLevel="0" collapsed="false">
      <c r="A3006" s="60"/>
      <c r="B3006" s="61" t="str">
        <f aca="false">IF($M3006=0,"",INDEX(Classes!$E$6:$E$420,$M3006))</f>
        <v/>
      </c>
      <c r="C3006" s="62" t="str">
        <f aca="false">IF($M3006=0,"",INDEX(Classes!$H$6:$H$420,$M3006))</f>
        <v/>
      </c>
      <c r="D3006" s="61" t="str">
        <f aca="false">IF($M3006=0,"",INDEX(Classes!$B$6:$B$420,$M3006))</f>
        <v/>
      </c>
      <c r="E3006" s="61" t="str">
        <f aca="false">IF($M3006=0,"",INDEX(Classes!$C$6:$C$420,$M3006))</f>
        <v/>
      </c>
      <c r="F3006" s="63"/>
      <c r="G3006" s="63"/>
      <c r="H3006" s="60"/>
      <c r="I3006" s="60"/>
      <c r="J3006" s="63"/>
      <c r="K3006" s="61" t="str">
        <f aca="false">IF($P3006=0,"",IF($F3006="Baseline","— Baseline",IF($O3006=0,"No result",IF($N3006=0,"No Start (attainment only)",IF(OR($N3006=1,$O3006=1),"U – needs rule",INDEX(MxBody,MATCH($I3006,MxCurr,0),MATCH($H3006,MxStart,0)))))))</f>
        <v/>
      </c>
      <c r="L3006" s="62" t="str">
        <f aca="false">IF(COUNTA($A3006,$F3006,$G3006,$H3006,$I3006,$J3006)=0,"",IF($M3006=0,"✖ كود الصف غير موجود",IF(ISNA(MATCH($F3006,Lists!$A$2:$A$5,0)),"✖ الفترة غير صحيحة",IF(ISNA(MATCH($G3006,Lists!$B$2:$B$7,0)),"✖ المجموعة غير صحيحة",IF(NOT(OR($H3006="",$N3006&gt;0)),"✖ Start غير صحيح",IF(NOT(OR($I3006="",$I3006="NR",$O3006&gt;0)),"✖ Current غير صحيح",IF(NOT(IF(ISNUMBER($J3006),AND($J3006&gt;=0,$J3006=INT($J3006)),FALSE())),"✖ العدد يجب أن يكون صحيحًا ≥ 0",IF(AND($F3006="Baseline",$H3006&lt;&gt;""),"⚠ Baseline: Start لا يدخل في التقدم",IF($K3006="No Start (attainment only)","ℹ تحصيل فقط (بدون Start)",IF($K3006="U – needs rule","ℹ حالة U تحتاج قاعدة معتمدة",IF($K3006="No result","ℹ بدون نتيجة (يُستبعد من التحصيل)","OK")))))))))))</f>
        <v/>
      </c>
      <c r="M3006" s="64" t="n">
        <f aca="false">IF($A3006="",0,IFERROR(MATCH($A3006,Classes!$A$6:$A$420,0),0))</f>
        <v>0</v>
      </c>
      <c r="N3006" s="64" t="n">
        <f aca="false">IF($H3006="",0,IFERROR(MATCH($H3006,GradeList,0),0))</f>
        <v>0</v>
      </c>
      <c r="O3006" s="64" t="n">
        <f aca="false">IF(OR($I3006="",$I3006="NR"),0,IFERROR(MATCH($I3006,GradeList,0),0))</f>
        <v>0</v>
      </c>
      <c r="P3006" s="64" t="n">
        <f aca="false">IF(AND($M3006&gt;0,ISNUMBER(MATCH($F3006,Lists!$A$2:$A$5,0)),ISNUMBER(MATCH($G3006,Lists!$B$2:$B$7,0)),OR($H3006="",$N3006&gt;0),OR($I3006="",$I3006="NR",$O3006&gt;0),IF(ISNUMBER($J3006),AND($J3006&gt;=0,$J3006=INT($J3006)),FALSE())),$J3006,0)</f>
        <v>0</v>
      </c>
      <c r="Q3006" s="64" t="n">
        <f aca="false">IF(AND($P3006&gt;0,$O3006&gt;0),$P3006,0)</f>
        <v>0</v>
      </c>
      <c r="R3006" s="64" t="n">
        <f aca="false">IF(AND($Q3006&gt;0,$O3006&gt;=AtRank),$Q3006,0)</f>
        <v>0</v>
      </c>
      <c r="S3006" s="64" t="n">
        <f aca="false">IF(AND($Q3006&gt;0,$O3006&gt;=AboveRank),$Q3006,0)</f>
        <v>0</v>
      </c>
      <c r="T3006" s="64" t="n">
        <f aca="false">IF($K3006="Less",$P3006,0)</f>
        <v>0</v>
      </c>
      <c r="U3006" s="64" t="n">
        <f aca="false">IF($K3006="Expected",$P3006,0)</f>
        <v>0</v>
      </c>
      <c r="V3006" s="64" t="n">
        <f aca="false">IF($K3006="Better",$P3006,0)</f>
        <v>0</v>
      </c>
      <c r="W3006" s="64" t="n">
        <f aca="false">IF($K3006="U – needs rule",$P3006,0)</f>
        <v>0</v>
      </c>
      <c r="X3006" s="64" t="n">
        <f aca="false">IF($K3006="No Start (attainment only)",$P3006,0)</f>
        <v>0</v>
      </c>
    </row>
    <row r="3007" customFormat="false" ht="15" hidden="false" customHeight="false" outlineLevel="0" collapsed="false">
      <c r="A3007" s="60"/>
      <c r="B3007" s="61" t="str">
        <f aca="false">IF($M3007=0,"",INDEX(Classes!$E$6:$E$420,$M3007))</f>
        <v/>
      </c>
      <c r="C3007" s="62" t="str">
        <f aca="false">IF($M3007=0,"",INDEX(Classes!$H$6:$H$420,$M3007))</f>
        <v/>
      </c>
      <c r="D3007" s="61" t="str">
        <f aca="false">IF($M3007=0,"",INDEX(Classes!$B$6:$B$420,$M3007))</f>
        <v/>
      </c>
      <c r="E3007" s="61" t="str">
        <f aca="false">IF($M3007=0,"",INDEX(Classes!$C$6:$C$420,$M3007))</f>
        <v/>
      </c>
      <c r="F3007" s="63"/>
      <c r="G3007" s="63"/>
      <c r="H3007" s="60"/>
      <c r="I3007" s="60"/>
      <c r="J3007" s="63"/>
      <c r="K3007" s="61" t="str">
        <f aca="false">IF($P3007=0,"",IF($F3007="Baseline","— Baseline",IF($O3007=0,"No result",IF($N3007=0,"No Start (attainment only)",IF(OR($N3007=1,$O3007=1),"U – needs rule",INDEX(MxBody,MATCH($I3007,MxCurr,0),MATCH($H3007,MxStart,0)))))))</f>
        <v/>
      </c>
      <c r="L3007" s="62" t="str">
        <f aca="false">IF(COUNTA($A3007,$F3007,$G3007,$H3007,$I3007,$J3007)=0,"",IF($M3007=0,"✖ كود الصف غير موجود",IF(ISNA(MATCH($F3007,Lists!$A$2:$A$5,0)),"✖ الفترة غير صحيحة",IF(ISNA(MATCH($G3007,Lists!$B$2:$B$7,0)),"✖ المجموعة غير صحيحة",IF(NOT(OR($H3007="",$N3007&gt;0)),"✖ Start غير صحيح",IF(NOT(OR($I3007="",$I3007="NR",$O3007&gt;0)),"✖ Current غير صحيح",IF(NOT(IF(ISNUMBER($J3007),AND($J3007&gt;=0,$J3007=INT($J3007)),FALSE())),"✖ العدد يجب أن يكون صحيحًا ≥ 0",IF(AND($F3007="Baseline",$H3007&lt;&gt;""),"⚠ Baseline: Start لا يدخل في التقدم",IF($K3007="No Start (attainment only)","ℹ تحصيل فقط (بدون Start)",IF($K3007="U – needs rule","ℹ حالة U تحتاج قاعدة معتمدة",IF($K3007="No result","ℹ بدون نتيجة (يُستبعد من التحصيل)","OK")))))))))))</f>
        <v/>
      </c>
      <c r="M3007" s="64" t="n">
        <f aca="false">IF($A3007="",0,IFERROR(MATCH($A3007,Classes!$A$6:$A$420,0),0))</f>
        <v>0</v>
      </c>
      <c r="N3007" s="64" t="n">
        <f aca="false">IF($H3007="",0,IFERROR(MATCH($H3007,GradeList,0),0))</f>
        <v>0</v>
      </c>
      <c r="O3007" s="64" t="n">
        <f aca="false">IF(OR($I3007="",$I3007="NR"),0,IFERROR(MATCH($I3007,GradeList,0),0))</f>
        <v>0</v>
      </c>
      <c r="P3007" s="64" t="n">
        <f aca="false">IF(AND($M3007&gt;0,ISNUMBER(MATCH($F3007,Lists!$A$2:$A$5,0)),ISNUMBER(MATCH($G3007,Lists!$B$2:$B$7,0)),OR($H3007="",$N3007&gt;0),OR($I3007="",$I3007="NR",$O3007&gt;0),IF(ISNUMBER($J3007),AND($J3007&gt;=0,$J3007=INT($J3007)),FALSE())),$J3007,0)</f>
        <v>0</v>
      </c>
      <c r="Q3007" s="64" t="n">
        <f aca="false">IF(AND($P3007&gt;0,$O3007&gt;0),$P3007,0)</f>
        <v>0</v>
      </c>
      <c r="R3007" s="64" t="n">
        <f aca="false">IF(AND($Q3007&gt;0,$O3007&gt;=AtRank),$Q3007,0)</f>
        <v>0</v>
      </c>
      <c r="S3007" s="64" t="n">
        <f aca="false">IF(AND($Q3007&gt;0,$O3007&gt;=AboveRank),$Q3007,0)</f>
        <v>0</v>
      </c>
      <c r="T3007" s="64" t="n">
        <f aca="false">IF($K3007="Less",$P3007,0)</f>
        <v>0</v>
      </c>
      <c r="U3007" s="64" t="n">
        <f aca="false">IF($K3007="Expected",$P3007,0)</f>
        <v>0</v>
      </c>
      <c r="V3007" s="64" t="n">
        <f aca="false">IF($K3007="Better",$P3007,0)</f>
        <v>0</v>
      </c>
      <c r="W3007" s="64" t="n">
        <f aca="false">IF($K3007="U – needs rule",$P3007,0)</f>
        <v>0</v>
      </c>
      <c r="X3007" s="64" t="n">
        <f aca="false">IF($K3007="No Start (attainment only)",$P3007,0)</f>
        <v>0</v>
      </c>
    </row>
    <row r="3008" customFormat="false" ht="15" hidden="false" customHeight="false" outlineLevel="0" collapsed="false">
      <c r="A3008" s="60"/>
      <c r="B3008" s="61" t="str">
        <f aca="false">IF($M3008=0,"",INDEX(Classes!$E$6:$E$420,$M3008))</f>
        <v/>
      </c>
      <c r="C3008" s="62" t="str">
        <f aca="false">IF($M3008=0,"",INDEX(Classes!$H$6:$H$420,$M3008))</f>
        <v/>
      </c>
      <c r="D3008" s="61" t="str">
        <f aca="false">IF($M3008=0,"",INDEX(Classes!$B$6:$B$420,$M3008))</f>
        <v/>
      </c>
      <c r="E3008" s="61" t="str">
        <f aca="false">IF($M3008=0,"",INDEX(Classes!$C$6:$C$420,$M3008))</f>
        <v/>
      </c>
      <c r="F3008" s="63"/>
      <c r="G3008" s="63"/>
      <c r="H3008" s="60"/>
      <c r="I3008" s="60"/>
      <c r="J3008" s="63"/>
      <c r="K3008" s="61" t="str">
        <f aca="false">IF($P3008=0,"",IF($F3008="Baseline","— Baseline",IF($O3008=0,"No result",IF($N3008=0,"No Start (attainment only)",IF(OR($N3008=1,$O3008=1),"U – needs rule",INDEX(MxBody,MATCH($I3008,MxCurr,0),MATCH($H3008,MxStart,0)))))))</f>
        <v/>
      </c>
      <c r="L3008" s="62" t="str">
        <f aca="false">IF(COUNTA($A3008,$F3008,$G3008,$H3008,$I3008,$J3008)=0,"",IF($M3008=0,"✖ كود الصف غير موجود",IF(ISNA(MATCH($F3008,Lists!$A$2:$A$5,0)),"✖ الفترة غير صحيحة",IF(ISNA(MATCH($G3008,Lists!$B$2:$B$7,0)),"✖ المجموعة غير صحيحة",IF(NOT(OR($H3008="",$N3008&gt;0)),"✖ Start غير صحيح",IF(NOT(OR($I3008="",$I3008="NR",$O3008&gt;0)),"✖ Current غير صحيح",IF(NOT(IF(ISNUMBER($J3008),AND($J3008&gt;=0,$J3008=INT($J3008)),FALSE())),"✖ العدد يجب أن يكون صحيحًا ≥ 0",IF(AND($F3008="Baseline",$H3008&lt;&gt;""),"⚠ Baseline: Start لا يدخل في التقدم",IF($K3008="No Start (attainment only)","ℹ تحصيل فقط (بدون Start)",IF($K3008="U – needs rule","ℹ حالة U تحتاج قاعدة معتمدة",IF($K3008="No result","ℹ بدون نتيجة (يُستبعد من التحصيل)","OK")))))))))))</f>
        <v/>
      </c>
      <c r="M3008" s="64" t="n">
        <f aca="false">IF($A3008="",0,IFERROR(MATCH($A3008,Classes!$A$6:$A$420,0),0))</f>
        <v>0</v>
      </c>
      <c r="N3008" s="64" t="n">
        <f aca="false">IF($H3008="",0,IFERROR(MATCH($H3008,GradeList,0),0))</f>
        <v>0</v>
      </c>
      <c r="O3008" s="64" t="n">
        <f aca="false">IF(OR($I3008="",$I3008="NR"),0,IFERROR(MATCH($I3008,GradeList,0),0))</f>
        <v>0</v>
      </c>
      <c r="P3008" s="64" t="n">
        <f aca="false">IF(AND($M3008&gt;0,ISNUMBER(MATCH($F3008,Lists!$A$2:$A$5,0)),ISNUMBER(MATCH($G3008,Lists!$B$2:$B$7,0)),OR($H3008="",$N3008&gt;0),OR($I3008="",$I3008="NR",$O3008&gt;0),IF(ISNUMBER($J3008),AND($J3008&gt;=0,$J3008=INT($J3008)),FALSE())),$J3008,0)</f>
        <v>0</v>
      </c>
      <c r="Q3008" s="64" t="n">
        <f aca="false">IF(AND($P3008&gt;0,$O3008&gt;0),$P3008,0)</f>
        <v>0</v>
      </c>
      <c r="R3008" s="64" t="n">
        <f aca="false">IF(AND($Q3008&gt;0,$O3008&gt;=AtRank),$Q3008,0)</f>
        <v>0</v>
      </c>
      <c r="S3008" s="64" t="n">
        <f aca="false">IF(AND($Q3008&gt;0,$O3008&gt;=AboveRank),$Q3008,0)</f>
        <v>0</v>
      </c>
      <c r="T3008" s="64" t="n">
        <f aca="false">IF($K3008="Less",$P3008,0)</f>
        <v>0</v>
      </c>
      <c r="U3008" s="64" t="n">
        <f aca="false">IF($K3008="Expected",$P3008,0)</f>
        <v>0</v>
      </c>
      <c r="V3008" s="64" t="n">
        <f aca="false">IF($K3008="Better",$P3008,0)</f>
        <v>0</v>
      </c>
      <c r="W3008" s="64" t="n">
        <f aca="false">IF($K3008="U – needs rule",$P3008,0)</f>
        <v>0</v>
      </c>
      <c r="X3008" s="64" t="n">
        <f aca="false">IF($K3008="No Start (attainment only)",$P3008,0)</f>
        <v>0</v>
      </c>
    </row>
    <row r="3009" customFormat="false" ht="15" hidden="false" customHeight="false" outlineLevel="0" collapsed="false">
      <c r="A3009" s="60"/>
      <c r="B3009" s="61" t="str">
        <f aca="false">IF($M3009=0,"",INDEX(Classes!$E$6:$E$420,$M3009))</f>
        <v/>
      </c>
      <c r="C3009" s="62" t="str">
        <f aca="false">IF($M3009=0,"",INDEX(Classes!$H$6:$H$420,$M3009))</f>
        <v/>
      </c>
      <c r="D3009" s="61" t="str">
        <f aca="false">IF($M3009=0,"",INDEX(Classes!$B$6:$B$420,$M3009))</f>
        <v/>
      </c>
      <c r="E3009" s="61" t="str">
        <f aca="false">IF($M3009=0,"",INDEX(Classes!$C$6:$C$420,$M3009))</f>
        <v/>
      </c>
      <c r="F3009" s="63"/>
      <c r="G3009" s="63"/>
      <c r="H3009" s="60"/>
      <c r="I3009" s="60"/>
      <c r="J3009" s="63"/>
      <c r="K3009" s="61" t="str">
        <f aca="false">IF($P3009=0,"",IF($F3009="Baseline","— Baseline",IF($O3009=0,"No result",IF($N3009=0,"No Start (attainment only)",IF(OR($N3009=1,$O3009=1),"U – needs rule",INDEX(MxBody,MATCH($I3009,MxCurr,0),MATCH($H3009,MxStart,0)))))))</f>
        <v/>
      </c>
      <c r="L3009" s="62" t="str">
        <f aca="false">IF(COUNTA($A3009,$F3009,$G3009,$H3009,$I3009,$J3009)=0,"",IF($M3009=0,"✖ كود الصف غير موجود",IF(ISNA(MATCH($F3009,Lists!$A$2:$A$5,0)),"✖ الفترة غير صحيحة",IF(ISNA(MATCH($G3009,Lists!$B$2:$B$7,0)),"✖ المجموعة غير صحيحة",IF(NOT(OR($H3009="",$N3009&gt;0)),"✖ Start غير صحيح",IF(NOT(OR($I3009="",$I3009="NR",$O3009&gt;0)),"✖ Current غير صحيح",IF(NOT(IF(ISNUMBER($J3009),AND($J3009&gt;=0,$J3009=INT($J3009)),FALSE())),"✖ العدد يجب أن يكون صحيحًا ≥ 0",IF(AND($F3009="Baseline",$H3009&lt;&gt;""),"⚠ Baseline: Start لا يدخل في التقدم",IF($K3009="No Start (attainment only)","ℹ تحصيل فقط (بدون Start)",IF($K3009="U – needs rule","ℹ حالة U تحتاج قاعدة معتمدة",IF($K3009="No result","ℹ بدون نتيجة (يُستبعد من التحصيل)","OK")))))))))))</f>
        <v/>
      </c>
      <c r="M3009" s="64" t="n">
        <f aca="false">IF($A3009="",0,IFERROR(MATCH($A3009,Classes!$A$6:$A$420,0),0))</f>
        <v>0</v>
      </c>
      <c r="N3009" s="64" t="n">
        <f aca="false">IF($H3009="",0,IFERROR(MATCH($H3009,GradeList,0),0))</f>
        <v>0</v>
      </c>
      <c r="O3009" s="64" t="n">
        <f aca="false">IF(OR($I3009="",$I3009="NR"),0,IFERROR(MATCH($I3009,GradeList,0),0))</f>
        <v>0</v>
      </c>
      <c r="P3009" s="64" t="n">
        <f aca="false">IF(AND($M3009&gt;0,ISNUMBER(MATCH($F3009,Lists!$A$2:$A$5,0)),ISNUMBER(MATCH($G3009,Lists!$B$2:$B$7,0)),OR($H3009="",$N3009&gt;0),OR($I3009="",$I3009="NR",$O3009&gt;0),IF(ISNUMBER($J3009),AND($J3009&gt;=0,$J3009=INT($J3009)),FALSE())),$J3009,0)</f>
        <v>0</v>
      </c>
      <c r="Q3009" s="64" t="n">
        <f aca="false">IF(AND($P3009&gt;0,$O3009&gt;0),$P3009,0)</f>
        <v>0</v>
      </c>
      <c r="R3009" s="64" t="n">
        <f aca="false">IF(AND($Q3009&gt;0,$O3009&gt;=AtRank),$Q3009,0)</f>
        <v>0</v>
      </c>
      <c r="S3009" s="64" t="n">
        <f aca="false">IF(AND($Q3009&gt;0,$O3009&gt;=AboveRank),$Q3009,0)</f>
        <v>0</v>
      </c>
      <c r="T3009" s="64" t="n">
        <f aca="false">IF($K3009="Less",$P3009,0)</f>
        <v>0</v>
      </c>
      <c r="U3009" s="64" t="n">
        <f aca="false">IF($K3009="Expected",$P3009,0)</f>
        <v>0</v>
      </c>
      <c r="V3009" s="64" t="n">
        <f aca="false">IF($K3009="Better",$P3009,0)</f>
        <v>0</v>
      </c>
      <c r="W3009" s="64" t="n">
        <f aca="false">IF($K3009="U – needs rule",$P3009,0)</f>
        <v>0</v>
      </c>
      <c r="X3009" s="64" t="n">
        <f aca="false">IF($K3009="No Start (attainment only)",$P3009,0)</f>
        <v>0</v>
      </c>
    </row>
    <row r="3010" customFormat="false" ht="15" hidden="false" customHeight="false" outlineLevel="0" collapsed="false">
      <c r="A3010" s="60"/>
      <c r="B3010" s="61" t="str">
        <f aca="false">IF($M3010=0,"",INDEX(Classes!$E$6:$E$420,$M3010))</f>
        <v/>
      </c>
      <c r="C3010" s="62" t="str">
        <f aca="false">IF($M3010=0,"",INDEX(Classes!$H$6:$H$420,$M3010))</f>
        <v/>
      </c>
      <c r="D3010" s="61" t="str">
        <f aca="false">IF($M3010=0,"",INDEX(Classes!$B$6:$B$420,$M3010))</f>
        <v/>
      </c>
      <c r="E3010" s="61" t="str">
        <f aca="false">IF($M3010=0,"",INDEX(Classes!$C$6:$C$420,$M3010))</f>
        <v/>
      </c>
      <c r="F3010" s="63"/>
      <c r="G3010" s="63"/>
      <c r="H3010" s="60"/>
      <c r="I3010" s="60"/>
      <c r="J3010" s="63"/>
      <c r="K3010" s="61" t="str">
        <f aca="false">IF($P3010=0,"",IF($F3010="Baseline","— Baseline",IF($O3010=0,"No result",IF($N3010=0,"No Start (attainment only)",IF(OR($N3010=1,$O3010=1),"U – needs rule",INDEX(MxBody,MATCH($I3010,MxCurr,0),MATCH($H3010,MxStart,0)))))))</f>
        <v/>
      </c>
      <c r="L3010" s="62" t="str">
        <f aca="false">IF(COUNTA($A3010,$F3010,$G3010,$H3010,$I3010,$J3010)=0,"",IF($M3010=0,"✖ كود الصف غير موجود",IF(ISNA(MATCH($F3010,Lists!$A$2:$A$5,0)),"✖ الفترة غير صحيحة",IF(ISNA(MATCH($G3010,Lists!$B$2:$B$7,0)),"✖ المجموعة غير صحيحة",IF(NOT(OR($H3010="",$N3010&gt;0)),"✖ Start غير صحيح",IF(NOT(OR($I3010="",$I3010="NR",$O3010&gt;0)),"✖ Current غير صحيح",IF(NOT(IF(ISNUMBER($J3010),AND($J3010&gt;=0,$J3010=INT($J3010)),FALSE())),"✖ العدد يجب أن يكون صحيحًا ≥ 0",IF(AND($F3010="Baseline",$H3010&lt;&gt;""),"⚠ Baseline: Start لا يدخل في التقدم",IF($K3010="No Start (attainment only)","ℹ تحصيل فقط (بدون Start)",IF($K3010="U – needs rule","ℹ حالة U تحتاج قاعدة معتمدة",IF($K3010="No result","ℹ بدون نتيجة (يُستبعد من التحصيل)","OK")))))))))))</f>
        <v/>
      </c>
      <c r="M3010" s="64" t="n">
        <f aca="false">IF($A3010="",0,IFERROR(MATCH($A3010,Classes!$A$6:$A$420,0),0))</f>
        <v>0</v>
      </c>
      <c r="N3010" s="64" t="n">
        <f aca="false">IF($H3010="",0,IFERROR(MATCH($H3010,GradeList,0),0))</f>
        <v>0</v>
      </c>
      <c r="O3010" s="64" t="n">
        <f aca="false">IF(OR($I3010="",$I3010="NR"),0,IFERROR(MATCH($I3010,GradeList,0),0))</f>
        <v>0</v>
      </c>
      <c r="P3010" s="64" t="n">
        <f aca="false">IF(AND($M3010&gt;0,ISNUMBER(MATCH($F3010,Lists!$A$2:$A$5,0)),ISNUMBER(MATCH($G3010,Lists!$B$2:$B$7,0)),OR($H3010="",$N3010&gt;0),OR($I3010="",$I3010="NR",$O3010&gt;0),IF(ISNUMBER($J3010),AND($J3010&gt;=0,$J3010=INT($J3010)),FALSE())),$J3010,0)</f>
        <v>0</v>
      </c>
      <c r="Q3010" s="64" t="n">
        <f aca="false">IF(AND($P3010&gt;0,$O3010&gt;0),$P3010,0)</f>
        <v>0</v>
      </c>
      <c r="R3010" s="64" t="n">
        <f aca="false">IF(AND($Q3010&gt;0,$O3010&gt;=AtRank),$Q3010,0)</f>
        <v>0</v>
      </c>
      <c r="S3010" s="64" t="n">
        <f aca="false">IF(AND($Q3010&gt;0,$O3010&gt;=AboveRank),$Q3010,0)</f>
        <v>0</v>
      </c>
      <c r="T3010" s="64" t="n">
        <f aca="false">IF($K3010="Less",$P3010,0)</f>
        <v>0</v>
      </c>
      <c r="U3010" s="64" t="n">
        <f aca="false">IF($K3010="Expected",$P3010,0)</f>
        <v>0</v>
      </c>
      <c r="V3010" s="64" t="n">
        <f aca="false">IF($K3010="Better",$P3010,0)</f>
        <v>0</v>
      </c>
      <c r="W3010" s="64" t="n">
        <f aca="false">IF($K3010="U – needs rule",$P3010,0)</f>
        <v>0</v>
      </c>
      <c r="X3010" s="64" t="n">
        <f aca="false">IF($K3010="No Start (attainment only)",$P3010,0)</f>
        <v>0</v>
      </c>
    </row>
    <row r="3011" customFormat="false" ht="15" hidden="false" customHeight="false" outlineLevel="0" collapsed="false">
      <c r="A3011" s="60"/>
      <c r="B3011" s="61" t="str">
        <f aca="false">IF($M3011=0,"",INDEX(Classes!$E$6:$E$420,$M3011))</f>
        <v/>
      </c>
      <c r="C3011" s="62" t="str">
        <f aca="false">IF($M3011=0,"",INDEX(Classes!$H$6:$H$420,$M3011))</f>
        <v/>
      </c>
      <c r="D3011" s="61" t="str">
        <f aca="false">IF($M3011=0,"",INDEX(Classes!$B$6:$B$420,$M3011))</f>
        <v/>
      </c>
      <c r="E3011" s="61" t="str">
        <f aca="false">IF($M3011=0,"",INDEX(Classes!$C$6:$C$420,$M3011))</f>
        <v/>
      </c>
      <c r="F3011" s="63"/>
      <c r="G3011" s="63"/>
      <c r="H3011" s="60"/>
      <c r="I3011" s="60"/>
      <c r="J3011" s="63"/>
      <c r="K3011" s="61" t="str">
        <f aca="false">IF($P3011=0,"",IF($F3011="Baseline","— Baseline",IF($O3011=0,"No result",IF($N3011=0,"No Start (attainment only)",IF(OR($N3011=1,$O3011=1),"U – needs rule",INDEX(MxBody,MATCH($I3011,MxCurr,0),MATCH($H3011,MxStart,0)))))))</f>
        <v/>
      </c>
      <c r="L3011" s="62" t="str">
        <f aca="false">IF(COUNTA($A3011,$F3011,$G3011,$H3011,$I3011,$J3011)=0,"",IF($M3011=0,"✖ كود الصف غير موجود",IF(ISNA(MATCH($F3011,Lists!$A$2:$A$5,0)),"✖ الفترة غير صحيحة",IF(ISNA(MATCH($G3011,Lists!$B$2:$B$7,0)),"✖ المجموعة غير صحيحة",IF(NOT(OR($H3011="",$N3011&gt;0)),"✖ Start غير صحيح",IF(NOT(OR($I3011="",$I3011="NR",$O3011&gt;0)),"✖ Current غير صحيح",IF(NOT(IF(ISNUMBER($J3011),AND($J3011&gt;=0,$J3011=INT($J3011)),FALSE())),"✖ العدد يجب أن يكون صحيحًا ≥ 0",IF(AND($F3011="Baseline",$H3011&lt;&gt;""),"⚠ Baseline: Start لا يدخل في التقدم",IF($K3011="No Start (attainment only)","ℹ تحصيل فقط (بدون Start)",IF($K3011="U – needs rule","ℹ حالة U تحتاج قاعدة معتمدة",IF($K3011="No result","ℹ بدون نتيجة (يُستبعد من التحصيل)","OK")))))))))))</f>
        <v/>
      </c>
      <c r="M3011" s="64" t="n">
        <f aca="false">IF($A3011="",0,IFERROR(MATCH($A3011,Classes!$A$6:$A$420,0),0))</f>
        <v>0</v>
      </c>
      <c r="N3011" s="64" t="n">
        <f aca="false">IF($H3011="",0,IFERROR(MATCH($H3011,GradeList,0),0))</f>
        <v>0</v>
      </c>
      <c r="O3011" s="64" t="n">
        <f aca="false">IF(OR($I3011="",$I3011="NR"),0,IFERROR(MATCH($I3011,GradeList,0),0))</f>
        <v>0</v>
      </c>
      <c r="P3011" s="64" t="n">
        <f aca="false">IF(AND($M3011&gt;0,ISNUMBER(MATCH($F3011,Lists!$A$2:$A$5,0)),ISNUMBER(MATCH($G3011,Lists!$B$2:$B$7,0)),OR($H3011="",$N3011&gt;0),OR($I3011="",$I3011="NR",$O3011&gt;0),IF(ISNUMBER($J3011),AND($J3011&gt;=0,$J3011=INT($J3011)),FALSE())),$J3011,0)</f>
        <v>0</v>
      </c>
      <c r="Q3011" s="64" t="n">
        <f aca="false">IF(AND($P3011&gt;0,$O3011&gt;0),$P3011,0)</f>
        <v>0</v>
      </c>
      <c r="R3011" s="64" t="n">
        <f aca="false">IF(AND($Q3011&gt;0,$O3011&gt;=AtRank),$Q3011,0)</f>
        <v>0</v>
      </c>
      <c r="S3011" s="64" t="n">
        <f aca="false">IF(AND($Q3011&gt;0,$O3011&gt;=AboveRank),$Q3011,0)</f>
        <v>0</v>
      </c>
      <c r="T3011" s="64" t="n">
        <f aca="false">IF($K3011="Less",$P3011,0)</f>
        <v>0</v>
      </c>
      <c r="U3011" s="64" t="n">
        <f aca="false">IF($K3011="Expected",$P3011,0)</f>
        <v>0</v>
      </c>
      <c r="V3011" s="64" t="n">
        <f aca="false">IF($K3011="Better",$P3011,0)</f>
        <v>0</v>
      </c>
      <c r="W3011" s="64" t="n">
        <f aca="false">IF($K3011="U – needs rule",$P3011,0)</f>
        <v>0</v>
      </c>
      <c r="X3011" s="64" t="n">
        <f aca="false">IF($K3011="No Start (attainment only)",$P3011,0)</f>
        <v>0</v>
      </c>
    </row>
    <row r="3012" customFormat="false" ht="15" hidden="false" customHeight="false" outlineLevel="0" collapsed="false">
      <c r="A3012" s="60"/>
      <c r="B3012" s="61" t="str">
        <f aca="false">IF($M3012=0,"",INDEX(Classes!$E$6:$E$420,$M3012))</f>
        <v/>
      </c>
      <c r="C3012" s="62" t="str">
        <f aca="false">IF($M3012=0,"",INDEX(Classes!$H$6:$H$420,$M3012))</f>
        <v/>
      </c>
      <c r="D3012" s="61" t="str">
        <f aca="false">IF($M3012=0,"",INDEX(Classes!$B$6:$B$420,$M3012))</f>
        <v/>
      </c>
      <c r="E3012" s="61" t="str">
        <f aca="false">IF($M3012=0,"",INDEX(Classes!$C$6:$C$420,$M3012))</f>
        <v/>
      </c>
      <c r="F3012" s="63"/>
      <c r="G3012" s="63"/>
      <c r="H3012" s="60"/>
      <c r="I3012" s="60"/>
      <c r="J3012" s="63"/>
      <c r="K3012" s="61" t="str">
        <f aca="false">IF($P3012=0,"",IF($F3012="Baseline","— Baseline",IF($O3012=0,"No result",IF($N3012=0,"No Start (attainment only)",IF(OR($N3012=1,$O3012=1),"U – needs rule",INDEX(MxBody,MATCH($I3012,MxCurr,0),MATCH($H3012,MxStart,0)))))))</f>
        <v/>
      </c>
      <c r="L3012" s="62" t="str">
        <f aca="false">IF(COUNTA($A3012,$F3012,$G3012,$H3012,$I3012,$J3012)=0,"",IF($M3012=0,"✖ كود الصف غير موجود",IF(ISNA(MATCH($F3012,Lists!$A$2:$A$5,0)),"✖ الفترة غير صحيحة",IF(ISNA(MATCH($G3012,Lists!$B$2:$B$7,0)),"✖ المجموعة غير صحيحة",IF(NOT(OR($H3012="",$N3012&gt;0)),"✖ Start غير صحيح",IF(NOT(OR($I3012="",$I3012="NR",$O3012&gt;0)),"✖ Current غير صحيح",IF(NOT(IF(ISNUMBER($J3012),AND($J3012&gt;=0,$J3012=INT($J3012)),FALSE())),"✖ العدد يجب أن يكون صحيحًا ≥ 0",IF(AND($F3012="Baseline",$H3012&lt;&gt;""),"⚠ Baseline: Start لا يدخل في التقدم",IF($K3012="No Start (attainment only)","ℹ تحصيل فقط (بدون Start)",IF($K3012="U – needs rule","ℹ حالة U تحتاج قاعدة معتمدة",IF($K3012="No result","ℹ بدون نتيجة (يُستبعد من التحصيل)","OK")))))))))))</f>
        <v/>
      </c>
      <c r="M3012" s="64" t="n">
        <f aca="false">IF($A3012="",0,IFERROR(MATCH($A3012,Classes!$A$6:$A$420,0),0))</f>
        <v>0</v>
      </c>
      <c r="N3012" s="64" t="n">
        <f aca="false">IF($H3012="",0,IFERROR(MATCH($H3012,GradeList,0),0))</f>
        <v>0</v>
      </c>
      <c r="O3012" s="64" t="n">
        <f aca="false">IF(OR($I3012="",$I3012="NR"),0,IFERROR(MATCH($I3012,GradeList,0),0))</f>
        <v>0</v>
      </c>
      <c r="P3012" s="64" t="n">
        <f aca="false">IF(AND($M3012&gt;0,ISNUMBER(MATCH($F3012,Lists!$A$2:$A$5,0)),ISNUMBER(MATCH($G3012,Lists!$B$2:$B$7,0)),OR($H3012="",$N3012&gt;0),OR($I3012="",$I3012="NR",$O3012&gt;0),IF(ISNUMBER($J3012),AND($J3012&gt;=0,$J3012=INT($J3012)),FALSE())),$J3012,0)</f>
        <v>0</v>
      </c>
      <c r="Q3012" s="64" t="n">
        <f aca="false">IF(AND($P3012&gt;0,$O3012&gt;0),$P3012,0)</f>
        <v>0</v>
      </c>
      <c r="R3012" s="64" t="n">
        <f aca="false">IF(AND($Q3012&gt;0,$O3012&gt;=AtRank),$Q3012,0)</f>
        <v>0</v>
      </c>
      <c r="S3012" s="64" t="n">
        <f aca="false">IF(AND($Q3012&gt;0,$O3012&gt;=AboveRank),$Q3012,0)</f>
        <v>0</v>
      </c>
      <c r="T3012" s="64" t="n">
        <f aca="false">IF($K3012="Less",$P3012,0)</f>
        <v>0</v>
      </c>
      <c r="U3012" s="64" t="n">
        <f aca="false">IF($K3012="Expected",$P3012,0)</f>
        <v>0</v>
      </c>
      <c r="V3012" s="64" t="n">
        <f aca="false">IF($K3012="Better",$P3012,0)</f>
        <v>0</v>
      </c>
      <c r="W3012" s="64" t="n">
        <f aca="false">IF($K3012="U – needs rule",$P3012,0)</f>
        <v>0</v>
      </c>
      <c r="X3012" s="64" t="n">
        <f aca="false">IF($K3012="No Start (attainment only)",$P3012,0)</f>
        <v>0</v>
      </c>
    </row>
    <row r="3013" customFormat="false" ht="15" hidden="false" customHeight="false" outlineLevel="0" collapsed="false">
      <c r="A3013" s="60"/>
      <c r="B3013" s="61" t="str">
        <f aca="false">IF($M3013=0,"",INDEX(Classes!$E$6:$E$420,$M3013))</f>
        <v/>
      </c>
      <c r="C3013" s="62" t="str">
        <f aca="false">IF($M3013=0,"",INDEX(Classes!$H$6:$H$420,$M3013))</f>
        <v/>
      </c>
      <c r="D3013" s="61" t="str">
        <f aca="false">IF($M3013=0,"",INDEX(Classes!$B$6:$B$420,$M3013))</f>
        <v/>
      </c>
      <c r="E3013" s="61" t="str">
        <f aca="false">IF($M3013=0,"",INDEX(Classes!$C$6:$C$420,$M3013))</f>
        <v/>
      </c>
      <c r="F3013" s="63"/>
      <c r="G3013" s="63"/>
      <c r="H3013" s="60"/>
      <c r="I3013" s="60"/>
      <c r="J3013" s="63"/>
      <c r="K3013" s="61" t="str">
        <f aca="false">IF($P3013=0,"",IF($F3013="Baseline","— Baseline",IF($O3013=0,"No result",IF($N3013=0,"No Start (attainment only)",IF(OR($N3013=1,$O3013=1),"U – needs rule",INDEX(MxBody,MATCH($I3013,MxCurr,0),MATCH($H3013,MxStart,0)))))))</f>
        <v/>
      </c>
      <c r="L3013" s="62" t="str">
        <f aca="false">IF(COUNTA($A3013,$F3013,$G3013,$H3013,$I3013,$J3013)=0,"",IF($M3013=0,"✖ كود الصف غير موجود",IF(ISNA(MATCH($F3013,Lists!$A$2:$A$5,0)),"✖ الفترة غير صحيحة",IF(ISNA(MATCH($G3013,Lists!$B$2:$B$7,0)),"✖ المجموعة غير صحيحة",IF(NOT(OR($H3013="",$N3013&gt;0)),"✖ Start غير صحيح",IF(NOT(OR($I3013="",$I3013="NR",$O3013&gt;0)),"✖ Current غير صحيح",IF(NOT(IF(ISNUMBER($J3013),AND($J3013&gt;=0,$J3013=INT($J3013)),FALSE())),"✖ العدد يجب أن يكون صحيحًا ≥ 0",IF(AND($F3013="Baseline",$H3013&lt;&gt;""),"⚠ Baseline: Start لا يدخل في التقدم",IF($K3013="No Start (attainment only)","ℹ تحصيل فقط (بدون Start)",IF($K3013="U – needs rule","ℹ حالة U تحتاج قاعدة معتمدة",IF($K3013="No result","ℹ بدون نتيجة (يُستبعد من التحصيل)","OK")))))))))))</f>
        <v/>
      </c>
      <c r="M3013" s="64" t="n">
        <f aca="false">IF($A3013="",0,IFERROR(MATCH($A3013,Classes!$A$6:$A$420,0),0))</f>
        <v>0</v>
      </c>
      <c r="N3013" s="64" t="n">
        <f aca="false">IF($H3013="",0,IFERROR(MATCH($H3013,GradeList,0),0))</f>
        <v>0</v>
      </c>
      <c r="O3013" s="64" t="n">
        <f aca="false">IF(OR($I3013="",$I3013="NR"),0,IFERROR(MATCH($I3013,GradeList,0),0))</f>
        <v>0</v>
      </c>
      <c r="P3013" s="64" t="n">
        <f aca="false">IF(AND($M3013&gt;0,ISNUMBER(MATCH($F3013,Lists!$A$2:$A$5,0)),ISNUMBER(MATCH($G3013,Lists!$B$2:$B$7,0)),OR($H3013="",$N3013&gt;0),OR($I3013="",$I3013="NR",$O3013&gt;0),IF(ISNUMBER($J3013),AND($J3013&gt;=0,$J3013=INT($J3013)),FALSE())),$J3013,0)</f>
        <v>0</v>
      </c>
      <c r="Q3013" s="64" t="n">
        <f aca="false">IF(AND($P3013&gt;0,$O3013&gt;0),$P3013,0)</f>
        <v>0</v>
      </c>
      <c r="R3013" s="64" t="n">
        <f aca="false">IF(AND($Q3013&gt;0,$O3013&gt;=AtRank),$Q3013,0)</f>
        <v>0</v>
      </c>
      <c r="S3013" s="64" t="n">
        <f aca="false">IF(AND($Q3013&gt;0,$O3013&gt;=AboveRank),$Q3013,0)</f>
        <v>0</v>
      </c>
      <c r="T3013" s="64" t="n">
        <f aca="false">IF($K3013="Less",$P3013,0)</f>
        <v>0</v>
      </c>
      <c r="U3013" s="64" t="n">
        <f aca="false">IF($K3013="Expected",$P3013,0)</f>
        <v>0</v>
      </c>
      <c r="V3013" s="64" t="n">
        <f aca="false">IF($K3013="Better",$P3013,0)</f>
        <v>0</v>
      </c>
      <c r="W3013" s="64" t="n">
        <f aca="false">IF($K3013="U – needs rule",$P3013,0)</f>
        <v>0</v>
      </c>
      <c r="X3013" s="64" t="n">
        <f aca="false">IF($K3013="No Start (attainment only)",$P3013,0)</f>
        <v>0</v>
      </c>
    </row>
    <row r="3014" customFormat="false" ht="15" hidden="false" customHeight="false" outlineLevel="0" collapsed="false">
      <c r="A3014" s="60"/>
      <c r="B3014" s="61" t="str">
        <f aca="false">IF($M3014=0,"",INDEX(Classes!$E$6:$E$420,$M3014))</f>
        <v/>
      </c>
      <c r="C3014" s="62" t="str">
        <f aca="false">IF($M3014=0,"",INDEX(Classes!$H$6:$H$420,$M3014))</f>
        <v/>
      </c>
      <c r="D3014" s="61" t="str">
        <f aca="false">IF($M3014=0,"",INDEX(Classes!$B$6:$B$420,$M3014))</f>
        <v/>
      </c>
      <c r="E3014" s="61" t="str">
        <f aca="false">IF($M3014=0,"",INDEX(Classes!$C$6:$C$420,$M3014))</f>
        <v/>
      </c>
      <c r="F3014" s="63"/>
      <c r="G3014" s="63"/>
      <c r="H3014" s="60"/>
      <c r="I3014" s="60"/>
      <c r="J3014" s="63"/>
      <c r="K3014" s="61" t="str">
        <f aca="false">IF($P3014=0,"",IF($F3014="Baseline","— Baseline",IF($O3014=0,"No result",IF($N3014=0,"No Start (attainment only)",IF(OR($N3014=1,$O3014=1),"U – needs rule",INDEX(MxBody,MATCH($I3014,MxCurr,0),MATCH($H3014,MxStart,0)))))))</f>
        <v/>
      </c>
      <c r="L3014" s="62" t="str">
        <f aca="false">IF(COUNTA($A3014,$F3014,$G3014,$H3014,$I3014,$J3014)=0,"",IF($M3014=0,"✖ كود الصف غير موجود",IF(ISNA(MATCH($F3014,Lists!$A$2:$A$5,0)),"✖ الفترة غير صحيحة",IF(ISNA(MATCH($G3014,Lists!$B$2:$B$7,0)),"✖ المجموعة غير صحيحة",IF(NOT(OR($H3014="",$N3014&gt;0)),"✖ Start غير صحيح",IF(NOT(OR($I3014="",$I3014="NR",$O3014&gt;0)),"✖ Current غير صحيح",IF(NOT(IF(ISNUMBER($J3014),AND($J3014&gt;=0,$J3014=INT($J3014)),FALSE())),"✖ العدد يجب أن يكون صحيحًا ≥ 0",IF(AND($F3014="Baseline",$H3014&lt;&gt;""),"⚠ Baseline: Start لا يدخل في التقدم",IF($K3014="No Start (attainment only)","ℹ تحصيل فقط (بدون Start)",IF($K3014="U – needs rule","ℹ حالة U تحتاج قاعدة معتمدة",IF($K3014="No result","ℹ بدون نتيجة (يُستبعد من التحصيل)","OK")))))))))))</f>
        <v/>
      </c>
      <c r="M3014" s="64" t="n">
        <f aca="false">IF($A3014="",0,IFERROR(MATCH($A3014,Classes!$A$6:$A$420,0),0))</f>
        <v>0</v>
      </c>
      <c r="N3014" s="64" t="n">
        <f aca="false">IF($H3014="",0,IFERROR(MATCH($H3014,GradeList,0),0))</f>
        <v>0</v>
      </c>
      <c r="O3014" s="64" t="n">
        <f aca="false">IF(OR($I3014="",$I3014="NR"),0,IFERROR(MATCH($I3014,GradeList,0),0))</f>
        <v>0</v>
      </c>
      <c r="P3014" s="64" t="n">
        <f aca="false">IF(AND($M3014&gt;0,ISNUMBER(MATCH($F3014,Lists!$A$2:$A$5,0)),ISNUMBER(MATCH($G3014,Lists!$B$2:$B$7,0)),OR($H3014="",$N3014&gt;0),OR($I3014="",$I3014="NR",$O3014&gt;0),IF(ISNUMBER($J3014),AND($J3014&gt;=0,$J3014=INT($J3014)),FALSE())),$J3014,0)</f>
        <v>0</v>
      </c>
      <c r="Q3014" s="64" t="n">
        <f aca="false">IF(AND($P3014&gt;0,$O3014&gt;0),$P3014,0)</f>
        <v>0</v>
      </c>
      <c r="R3014" s="64" t="n">
        <f aca="false">IF(AND($Q3014&gt;0,$O3014&gt;=AtRank),$Q3014,0)</f>
        <v>0</v>
      </c>
      <c r="S3014" s="64" t="n">
        <f aca="false">IF(AND($Q3014&gt;0,$O3014&gt;=AboveRank),$Q3014,0)</f>
        <v>0</v>
      </c>
      <c r="T3014" s="64" t="n">
        <f aca="false">IF($K3014="Less",$P3014,0)</f>
        <v>0</v>
      </c>
      <c r="U3014" s="64" t="n">
        <f aca="false">IF($K3014="Expected",$P3014,0)</f>
        <v>0</v>
      </c>
      <c r="V3014" s="64" t="n">
        <f aca="false">IF($K3014="Better",$P3014,0)</f>
        <v>0</v>
      </c>
      <c r="W3014" s="64" t="n">
        <f aca="false">IF($K3014="U – needs rule",$P3014,0)</f>
        <v>0</v>
      </c>
      <c r="X3014" s="64" t="n">
        <f aca="false">IF($K3014="No Start (attainment only)",$P3014,0)</f>
        <v>0</v>
      </c>
    </row>
    <row r="3015" customFormat="false" ht="15" hidden="false" customHeight="false" outlineLevel="0" collapsed="false">
      <c r="A3015" s="60"/>
      <c r="B3015" s="61" t="str">
        <f aca="false">IF($M3015=0,"",INDEX(Classes!$E$6:$E$420,$M3015))</f>
        <v/>
      </c>
      <c r="C3015" s="62" t="str">
        <f aca="false">IF($M3015=0,"",INDEX(Classes!$H$6:$H$420,$M3015))</f>
        <v/>
      </c>
      <c r="D3015" s="61" t="str">
        <f aca="false">IF($M3015=0,"",INDEX(Classes!$B$6:$B$420,$M3015))</f>
        <v/>
      </c>
      <c r="E3015" s="61" t="str">
        <f aca="false">IF($M3015=0,"",INDEX(Classes!$C$6:$C$420,$M3015))</f>
        <v/>
      </c>
      <c r="F3015" s="63"/>
      <c r="G3015" s="63"/>
      <c r="H3015" s="60"/>
      <c r="I3015" s="60"/>
      <c r="J3015" s="63"/>
      <c r="K3015" s="61" t="str">
        <f aca="false">IF($P3015=0,"",IF($F3015="Baseline","— Baseline",IF($O3015=0,"No result",IF($N3015=0,"No Start (attainment only)",IF(OR($N3015=1,$O3015=1),"U – needs rule",INDEX(MxBody,MATCH($I3015,MxCurr,0),MATCH($H3015,MxStart,0)))))))</f>
        <v/>
      </c>
      <c r="L3015" s="62" t="str">
        <f aca="false">IF(COUNTA($A3015,$F3015,$G3015,$H3015,$I3015,$J3015)=0,"",IF($M3015=0,"✖ كود الصف غير موجود",IF(ISNA(MATCH($F3015,Lists!$A$2:$A$5,0)),"✖ الفترة غير صحيحة",IF(ISNA(MATCH($G3015,Lists!$B$2:$B$7,0)),"✖ المجموعة غير صحيحة",IF(NOT(OR($H3015="",$N3015&gt;0)),"✖ Start غير صحيح",IF(NOT(OR($I3015="",$I3015="NR",$O3015&gt;0)),"✖ Current غير صحيح",IF(NOT(IF(ISNUMBER($J3015),AND($J3015&gt;=0,$J3015=INT($J3015)),FALSE())),"✖ العدد يجب أن يكون صحيحًا ≥ 0",IF(AND($F3015="Baseline",$H3015&lt;&gt;""),"⚠ Baseline: Start لا يدخل في التقدم",IF($K3015="No Start (attainment only)","ℹ تحصيل فقط (بدون Start)",IF($K3015="U – needs rule","ℹ حالة U تحتاج قاعدة معتمدة",IF($K3015="No result","ℹ بدون نتيجة (يُستبعد من التحصيل)","OK")))))))))))</f>
        <v/>
      </c>
      <c r="M3015" s="64" t="n">
        <f aca="false">IF($A3015="",0,IFERROR(MATCH($A3015,Classes!$A$6:$A$420,0),0))</f>
        <v>0</v>
      </c>
      <c r="N3015" s="64" t="n">
        <f aca="false">IF($H3015="",0,IFERROR(MATCH($H3015,GradeList,0),0))</f>
        <v>0</v>
      </c>
      <c r="O3015" s="64" t="n">
        <f aca="false">IF(OR($I3015="",$I3015="NR"),0,IFERROR(MATCH($I3015,GradeList,0),0))</f>
        <v>0</v>
      </c>
      <c r="P3015" s="64" t="n">
        <f aca="false">IF(AND($M3015&gt;0,ISNUMBER(MATCH($F3015,Lists!$A$2:$A$5,0)),ISNUMBER(MATCH($G3015,Lists!$B$2:$B$7,0)),OR($H3015="",$N3015&gt;0),OR($I3015="",$I3015="NR",$O3015&gt;0),IF(ISNUMBER($J3015),AND($J3015&gt;=0,$J3015=INT($J3015)),FALSE())),$J3015,0)</f>
        <v>0</v>
      </c>
      <c r="Q3015" s="64" t="n">
        <f aca="false">IF(AND($P3015&gt;0,$O3015&gt;0),$P3015,0)</f>
        <v>0</v>
      </c>
      <c r="R3015" s="64" t="n">
        <f aca="false">IF(AND($Q3015&gt;0,$O3015&gt;=AtRank),$Q3015,0)</f>
        <v>0</v>
      </c>
      <c r="S3015" s="64" t="n">
        <f aca="false">IF(AND($Q3015&gt;0,$O3015&gt;=AboveRank),$Q3015,0)</f>
        <v>0</v>
      </c>
      <c r="T3015" s="64" t="n">
        <f aca="false">IF($K3015="Less",$P3015,0)</f>
        <v>0</v>
      </c>
      <c r="U3015" s="64" t="n">
        <f aca="false">IF($K3015="Expected",$P3015,0)</f>
        <v>0</v>
      </c>
      <c r="V3015" s="64" t="n">
        <f aca="false">IF($K3015="Better",$P3015,0)</f>
        <v>0</v>
      </c>
      <c r="W3015" s="64" t="n">
        <f aca="false">IF($K3015="U – needs rule",$P3015,0)</f>
        <v>0</v>
      </c>
      <c r="X3015" s="64" t="n">
        <f aca="false">IF($K3015="No Start (attainment only)",$P3015,0)</f>
        <v>0</v>
      </c>
    </row>
    <row r="3016" customFormat="false" ht="15" hidden="false" customHeight="false" outlineLevel="0" collapsed="false">
      <c r="A3016" s="60"/>
      <c r="B3016" s="61" t="str">
        <f aca="false">IF($M3016=0,"",INDEX(Classes!$E$6:$E$420,$M3016))</f>
        <v/>
      </c>
      <c r="C3016" s="62" t="str">
        <f aca="false">IF($M3016=0,"",INDEX(Classes!$H$6:$H$420,$M3016))</f>
        <v/>
      </c>
      <c r="D3016" s="61" t="str">
        <f aca="false">IF($M3016=0,"",INDEX(Classes!$B$6:$B$420,$M3016))</f>
        <v/>
      </c>
      <c r="E3016" s="61" t="str">
        <f aca="false">IF($M3016=0,"",INDEX(Classes!$C$6:$C$420,$M3016))</f>
        <v/>
      </c>
      <c r="F3016" s="63"/>
      <c r="G3016" s="63"/>
      <c r="H3016" s="60"/>
      <c r="I3016" s="60"/>
      <c r="J3016" s="63"/>
      <c r="K3016" s="61" t="str">
        <f aca="false">IF($P3016=0,"",IF($F3016="Baseline","— Baseline",IF($O3016=0,"No result",IF($N3016=0,"No Start (attainment only)",IF(OR($N3016=1,$O3016=1),"U – needs rule",INDEX(MxBody,MATCH($I3016,MxCurr,0),MATCH($H3016,MxStart,0)))))))</f>
        <v/>
      </c>
      <c r="L3016" s="62" t="str">
        <f aca="false">IF(COUNTA($A3016,$F3016,$G3016,$H3016,$I3016,$J3016)=0,"",IF($M3016=0,"✖ كود الصف غير موجود",IF(ISNA(MATCH($F3016,Lists!$A$2:$A$5,0)),"✖ الفترة غير صحيحة",IF(ISNA(MATCH($G3016,Lists!$B$2:$B$7,0)),"✖ المجموعة غير صحيحة",IF(NOT(OR($H3016="",$N3016&gt;0)),"✖ Start غير صحيح",IF(NOT(OR($I3016="",$I3016="NR",$O3016&gt;0)),"✖ Current غير صحيح",IF(NOT(IF(ISNUMBER($J3016),AND($J3016&gt;=0,$J3016=INT($J3016)),FALSE())),"✖ العدد يجب أن يكون صحيحًا ≥ 0",IF(AND($F3016="Baseline",$H3016&lt;&gt;""),"⚠ Baseline: Start لا يدخل في التقدم",IF($K3016="No Start (attainment only)","ℹ تحصيل فقط (بدون Start)",IF($K3016="U – needs rule","ℹ حالة U تحتاج قاعدة معتمدة",IF($K3016="No result","ℹ بدون نتيجة (يُستبعد من التحصيل)","OK")))))))))))</f>
        <v/>
      </c>
      <c r="M3016" s="64" t="n">
        <f aca="false">IF($A3016="",0,IFERROR(MATCH($A3016,Classes!$A$6:$A$420,0),0))</f>
        <v>0</v>
      </c>
      <c r="N3016" s="64" t="n">
        <f aca="false">IF($H3016="",0,IFERROR(MATCH($H3016,GradeList,0),0))</f>
        <v>0</v>
      </c>
      <c r="O3016" s="64" t="n">
        <f aca="false">IF(OR($I3016="",$I3016="NR"),0,IFERROR(MATCH($I3016,GradeList,0),0))</f>
        <v>0</v>
      </c>
      <c r="P3016" s="64" t="n">
        <f aca="false">IF(AND($M3016&gt;0,ISNUMBER(MATCH($F3016,Lists!$A$2:$A$5,0)),ISNUMBER(MATCH($G3016,Lists!$B$2:$B$7,0)),OR($H3016="",$N3016&gt;0),OR($I3016="",$I3016="NR",$O3016&gt;0),IF(ISNUMBER($J3016),AND($J3016&gt;=0,$J3016=INT($J3016)),FALSE())),$J3016,0)</f>
        <v>0</v>
      </c>
      <c r="Q3016" s="64" t="n">
        <f aca="false">IF(AND($P3016&gt;0,$O3016&gt;0),$P3016,0)</f>
        <v>0</v>
      </c>
      <c r="R3016" s="64" t="n">
        <f aca="false">IF(AND($Q3016&gt;0,$O3016&gt;=AtRank),$Q3016,0)</f>
        <v>0</v>
      </c>
      <c r="S3016" s="64" t="n">
        <f aca="false">IF(AND($Q3016&gt;0,$O3016&gt;=AboveRank),$Q3016,0)</f>
        <v>0</v>
      </c>
      <c r="T3016" s="64" t="n">
        <f aca="false">IF($K3016="Less",$P3016,0)</f>
        <v>0</v>
      </c>
      <c r="U3016" s="64" t="n">
        <f aca="false">IF($K3016="Expected",$P3016,0)</f>
        <v>0</v>
      </c>
      <c r="V3016" s="64" t="n">
        <f aca="false">IF($K3016="Better",$P3016,0)</f>
        <v>0</v>
      </c>
      <c r="W3016" s="64" t="n">
        <f aca="false">IF($K3016="U – needs rule",$P3016,0)</f>
        <v>0</v>
      </c>
      <c r="X3016" s="64" t="n">
        <f aca="false">IF($K3016="No Start (attainment only)",$P3016,0)</f>
        <v>0</v>
      </c>
    </row>
    <row r="3017" customFormat="false" ht="15" hidden="false" customHeight="false" outlineLevel="0" collapsed="false">
      <c r="A3017" s="60"/>
      <c r="B3017" s="61" t="str">
        <f aca="false">IF($M3017=0,"",INDEX(Classes!$E$6:$E$420,$M3017))</f>
        <v/>
      </c>
      <c r="C3017" s="62" t="str">
        <f aca="false">IF($M3017=0,"",INDEX(Classes!$H$6:$H$420,$M3017))</f>
        <v/>
      </c>
      <c r="D3017" s="61" t="str">
        <f aca="false">IF($M3017=0,"",INDEX(Classes!$B$6:$B$420,$M3017))</f>
        <v/>
      </c>
      <c r="E3017" s="61" t="str">
        <f aca="false">IF($M3017=0,"",INDEX(Classes!$C$6:$C$420,$M3017))</f>
        <v/>
      </c>
      <c r="F3017" s="63"/>
      <c r="G3017" s="63"/>
      <c r="H3017" s="60"/>
      <c r="I3017" s="60"/>
      <c r="J3017" s="63"/>
      <c r="K3017" s="61" t="str">
        <f aca="false">IF($P3017=0,"",IF($F3017="Baseline","— Baseline",IF($O3017=0,"No result",IF($N3017=0,"No Start (attainment only)",IF(OR($N3017=1,$O3017=1),"U – needs rule",INDEX(MxBody,MATCH($I3017,MxCurr,0),MATCH($H3017,MxStart,0)))))))</f>
        <v/>
      </c>
      <c r="L3017" s="62" t="str">
        <f aca="false">IF(COUNTA($A3017,$F3017,$G3017,$H3017,$I3017,$J3017)=0,"",IF($M3017=0,"✖ كود الصف غير موجود",IF(ISNA(MATCH($F3017,Lists!$A$2:$A$5,0)),"✖ الفترة غير صحيحة",IF(ISNA(MATCH($G3017,Lists!$B$2:$B$7,0)),"✖ المجموعة غير صحيحة",IF(NOT(OR($H3017="",$N3017&gt;0)),"✖ Start غير صحيح",IF(NOT(OR($I3017="",$I3017="NR",$O3017&gt;0)),"✖ Current غير صحيح",IF(NOT(IF(ISNUMBER($J3017),AND($J3017&gt;=0,$J3017=INT($J3017)),FALSE())),"✖ العدد يجب أن يكون صحيحًا ≥ 0",IF(AND($F3017="Baseline",$H3017&lt;&gt;""),"⚠ Baseline: Start لا يدخل في التقدم",IF($K3017="No Start (attainment only)","ℹ تحصيل فقط (بدون Start)",IF($K3017="U – needs rule","ℹ حالة U تحتاج قاعدة معتمدة",IF($K3017="No result","ℹ بدون نتيجة (يُستبعد من التحصيل)","OK")))))))))))</f>
        <v/>
      </c>
      <c r="M3017" s="64" t="n">
        <f aca="false">IF($A3017="",0,IFERROR(MATCH($A3017,Classes!$A$6:$A$420,0),0))</f>
        <v>0</v>
      </c>
      <c r="N3017" s="64" t="n">
        <f aca="false">IF($H3017="",0,IFERROR(MATCH($H3017,GradeList,0),0))</f>
        <v>0</v>
      </c>
      <c r="O3017" s="64" t="n">
        <f aca="false">IF(OR($I3017="",$I3017="NR"),0,IFERROR(MATCH($I3017,GradeList,0),0))</f>
        <v>0</v>
      </c>
      <c r="P3017" s="64" t="n">
        <f aca="false">IF(AND($M3017&gt;0,ISNUMBER(MATCH($F3017,Lists!$A$2:$A$5,0)),ISNUMBER(MATCH($G3017,Lists!$B$2:$B$7,0)),OR($H3017="",$N3017&gt;0),OR($I3017="",$I3017="NR",$O3017&gt;0),IF(ISNUMBER($J3017),AND($J3017&gt;=0,$J3017=INT($J3017)),FALSE())),$J3017,0)</f>
        <v>0</v>
      </c>
      <c r="Q3017" s="64" t="n">
        <f aca="false">IF(AND($P3017&gt;0,$O3017&gt;0),$P3017,0)</f>
        <v>0</v>
      </c>
      <c r="R3017" s="64" t="n">
        <f aca="false">IF(AND($Q3017&gt;0,$O3017&gt;=AtRank),$Q3017,0)</f>
        <v>0</v>
      </c>
      <c r="S3017" s="64" t="n">
        <f aca="false">IF(AND($Q3017&gt;0,$O3017&gt;=AboveRank),$Q3017,0)</f>
        <v>0</v>
      </c>
      <c r="T3017" s="64" t="n">
        <f aca="false">IF($K3017="Less",$P3017,0)</f>
        <v>0</v>
      </c>
      <c r="U3017" s="64" t="n">
        <f aca="false">IF($K3017="Expected",$P3017,0)</f>
        <v>0</v>
      </c>
      <c r="V3017" s="64" t="n">
        <f aca="false">IF($K3017="Better",$P3017,0)</f>
        <v>0</v>
      </c>
      <c r="W3017" s="64" t="n">
        <f aca="false">IF($K3017="U – needs rule",$P3017,0)</f>
        <v>0</v>
      </c>
      <c r="X3017" s="64" t="n">
        <f aca="false">IF($K3017="No Start (attainment only)",$P3017,0)</f>
        <v>0</v>
      </c>
    </row>
    <row r="3018" customFormat="false" ht="15" hidden="false" customHeight="false" outlineLevel="0" collapsed="false">
      <c r="A3018" s="60"/>
      <c r="B3018" s="61" t="str">
        <f aca="false">IF($M3018=0,"",INDEX(Classes!$E$6:$E$420,$M3018))</f>
        <v/>
      </c>
      <c r="C3018" s="62" t="str">
        <f aca="false">IF($M3018=0,"",INDEX(Classes!$H$6:$H$420,$M3018))</f>
        <v/>
      </c>
      <c r="D3018" s="61" t="str">
        <f aca="false">IF($M3018=0,"",INDEX(Classes!$B$6:$B$420,$M3018))</f>
        <v/>
      </c>
      <c r="E3018" s="61" t="str">
        <f aca="false">IF($M3018=0,"",INDEX(Classes!$C$6:$C$420,$M3018))</f>
        <v/>
      </c>
      <c r="F3018" s="63"/>
      <c r="G3018" s="63"/>
      <c r="H3018" s="60"/>
      <c r="I3018" s="60"/>
      <c r="J3018" s="63"/>
      <c r="K3018" s="61" t="str">
        <f aca="false">IF($P3018=0,"",IF($F3018="Baseline","— Baseline",IF($O3018=0,"No result",IF($N3018=0,"No Start (attainment only)",IF(OR($N3018=1,$O3018=1),"U – needs rule",INDEX(MxBody,MATCH($I3018,MxCurr,0),MATCH($H3018,MxStart,0)))))))</f>
        <v/>
      </c>
      <c r="L3018" s="62" t="str">
        <f aca="false">IF(COUNTA($A3018,$F3018,$G3018,$H3018,$I3018,$J3018)=0,"",IF($M3018=0,"✖ كود الصف غير موجود",IF(ISNA(MATCH($F3018,Lists!$A$2:$A$5,0)),"✖ الفترة غير صحيحة",IF(ISNA(MATCH($G3018,Lists!$B$2:$B$7,0)),"✖ المجموعة غير صحيحة",IF(NOT(OR($H3018="",$N3018&gt;0)),"✖ Start غير صحيح",IF(NOT(OR($I3018="",$I3018="NR",$O3018&gt;0)),"✖ Current غير صحيح",IF(NOT(IF(ISNUMBER($J3018),AND($J3018&gt;=0,$J3018=INT($J3018)),FALSE())),"✖ العدد يجب أن يكون صحيحًا ≥ 0",IF(AND($F3018="Baseline",$H3018&lt;&gt;""),"⚠ Baseline: Start لا يدخل في التقدم",IF($K3018="No Start (attainment only)","ℹ تحصيل فقط (بدون Start)",IF($K3018="U – needs rule","ℹ حالة U تحتاج قاعدة معتمدة",IF($K3018="No result","ℹ بدون نتيجة (يُستبعد من التحصيل)","OK")))))))))))</f>
        <v/>
      </c>
      <c r="M3018" s="64" t="n">
        <f aca="false">IF($A3018="",0,IFERROR(MATCH($A3018,Classes!$A$6:$A$420,0),0))</f>
        <v>0</v>
      </c>
      <c r="N3018" s="64" t="n">
        <f aca="false">IF($H3018="",0,IFERROR(MATCH($H3018,GradeList,0),0))</f>
        <v>0</v>
      </c>
      <c r="O3018" s="64" t="n">
        <f aca="false">IF(OR($I3018="",$I3018="NR"),0,IFERROR(MATCH($I3018,GradeList,0),0))</f>
        <v>0</v>
      </c>
      <c r="P3018" s="64" t="n">
        <f aca="false">IF(AND($M3018&gt;0,ISNUMBER(MATCH($F3018,Lists!$A$2:$A$5,0)),ISNUMBER(MATCH($G3018,Lists!$B$2:$B$7,0)),OR($H3018="",$N3018&gt;0),OR($I3018="",$I3018="NR",$O3018&gt;0),IF(ISNUMBER($J3018),AND($J3018&gt;=0,$J3018=INT($J3018)),FALSE())),$J3018,0)</f>
        <v>0</v>
      </c>
      <c r="Q3018" s="64" t="n">
        <f aca="false">IF(AND($P3018&gt;0,$O3018&gt;0),$P3018,0)</f>
        <v>0</v>
      </c>
      <c r="R3018" s="64" t="n">
        <f aca="false">IF(AND($Q3018&gt;0,$O3018&gt;=AtRank),$Q3018,0)</f>
        <v>0</v>
      </c>
      <c r="S3018" s="64" t="n">
        <f aca="false">IF(AND($Q3018&gt;0,$O3018&gt;=AboveRank),$Q3018,0)</f>
        <v>0</v>
      </c>
      <c r="T3018" s="64" t="n">
        <f aca="false">IF($K3018="Less",$P3018,0)</f>
        <v>0</v>
      </c>
      <c r="U3018" s="64" t="n">
        <f aca="false">IF($K3018="Expected",$P3018,0)</f>
        <v>0</v>
      </c>
      <c r="V3018" s="64" t="n">
        <f aca="false">IF($K3018="Better",$P3018,0)</f>
        <v>0</v>
      </c>
      <c r="W3018" s="64" t="n">
        <f aca="false">IF($K3018="U – needs rule",$P3018,0)</f>
        <v>0</v>
      </c>
      <c r="X3018" s="64" t="n">
        <f aca="false">IF($K3018="No Start (attainment only)",$P3018,0)</f>
        <v>0</v>
      </c>
    </row>
    <row r="3019" customFormat="false" ht="15" hidden="false" customHeight="false" outlineLevel="0" collapsed="false">
      <c r="A3019" s="60"/>
      <c r="B3019" s="61" t="str">
        <f aca="false">IF($M3019=0,"",INDEX(Classes!$E$6:$E$420,$M3019))</f>
        <v/>
      </c>
      <c r="C3019" s="62" t="str">
        <f aca="false">IF($M3019=0,"",INDEX(Classes!$H$6:$H$420,$M3019))</f>
        <v/>
      </c>
      <c r="D3019" s="61" t="str">
        <f aca="false">IF($M3019=0,"",INDEX(Classes!$B$6:$B$420,$M3019))</f>
        <v/>
      </c>
      <c r="E3019" s="61" t="str">
        <f aca="false">IF($M3019=0,"",INDEX(Classes!$C$6:$C$420,$M3019))</f>
        <v/>
      </c>
      <c r="F3019" s="63"/>
      <c r="G3019" s="63"/>
      <c r="H3019" s="60"/>
      <c r="I3019" s="60"/>
      <c r="J3019" s="63"/>
      <c r="K3019" s="61" t="str">
        <f aca="false">IF($P3019=0,"",IF($F3019="Baseline","— Baseline",IF($O3019=0,"No result",IF($N3019=0,"No Start (attainment only)",IF(OR($N3019=1,$O3019=1),"U – needs rule",INDEX(MxBody,MATCH($I3019,MxCurr,0),MATCH($H3019,MxStart,0)))))))</f>
        <v/>
      </c>
      <c r="L3019" s="62" t="str">
        <f aca="false">IF(COUNTA($A3019,$F3019,$G3019,$H3019,$I3019,$J3019)=0,"",IF($M3019=0,"✖ كود الصف غير موجود",IF(ISNA(MATCH($F3019,Lists!$A$2:$A$5,0)),"✖ الفترة غير صحيحة",IF(ISNA(MATCH($G3019,Lists!$B$2:$B$7,0)),"✖ المجموعة غير صحيحة",IF(NOT(OR($H3019="",$N3019&gt;0)),"✖ Start غير صحيح",IF(NOT(OR($I3019="",$I3019="NR",$O3019&gt;0)),"✖ Current غير صحيح",IF(NOT(IF(ISNUMBER($J3019),AND($J3019&gt;=0,$J3019=INT($J3019)),FALSE())),"✖ العدد يجب أن يكون صحيحًا ≥ 0",IF(AND($F3019="Baseline",$H3019&lt;&gt;""),"⚠ Baseline: Start لا يدخل في التقدم",IF($K3019="No Start (attainment only)","ℹ تحصيل فقط (بدون Start)",IF($K3019="U – needs rule","ℹ حالة U تحتاج قاعدة معتمدة",IF($K3019="No result","ℹ بدون نتيجة (يُستبعد من التحصيل)","OK")))))))))))</f>
        <v/>
      </c>
      <c r="M3019" s="64" t="n">
        <f aca="false">IF($A3019="",0,IFERROR(MATCH($A3019,Classes!$A$6:$A$420,0),0))</f>
        <v>0</v>
      </c>
      <c r="N3019" s="64" t="n">
        <f aca="false">IF($H3019="",0,IFERROR(MATCH($H3019,GradeList,0),0))</f>
        <v>0</v>
      </c>
      <c r="O3019" s="64" t="n">
        <f aca="false">IF(OR($I3019="",$I3019="NR"),0,IFERROR(MATCH($I3019,GradeList,0),0))</f>
        <v>0</v>
      </c>
      <c r="P3019" s="64" t="n">
        <f aca="false">IF(AND($M3019&gt;0,ISNUMBER(MATCH($F3019,Lists!$A$2:$A$5,0)),ISNUMBER(MATCH($G3019,Lists!$B$2:$B$7,0)),OR($H3019="",$N3019&gt;0),OR($I3019="",$I3019="NR",$O3019&gt;0),IF(ISNUMBER($J3019),AND($J3019&gt;=0,$J3019=INT($J3019)),FALSE())),$J3019,0)</f>
        <v>0</v>
      </c>
      <c r="Q3019" s="64" t="n">
        <f aca="false">IF(AND($P3019&gt;0,$O3019&gt;0),$P3019,0)</f>
        <v>0</v>
      </c>
      <c r="R3019" s="64" t="n">
        <f aca="false">IF(AND($Q3019&gt;0,$O3019&gt;=AtRank),$Q3019,0)</f>
        <v>0</v>
      </c>
      <c r="S3019" s="64" t="n">
        <f aca="false">IF(AND($Q3019&gt;0,$O3019&gt;=AboveRank),$Q3019,0)</f>
        <v>0</v>
      </c>
      <c r="T3019" s="64" t="n">
        <f aca="false">IF($K3019="Less",$P3019,0)</f>
        <v>0</v>
      </c>
      <c r="U3019" s="64" t="n">
        <f aca="false">IF($K3019="Expected",$P3019,0)</f>
        <v>0</v>
      </c>
      <c r="V3019" s="64" t="n">
        <f aca="false">IF($K3019="Better",$P3019,0)</f>
        <v>0</v>
      </c>
      <c r="W3019" s="64" t="n">
        <f aca="false">IF($K3019="U – needs rule",$P3019,0)</f>
        <v>0</v>
      </c>
      <c r="X3019" s="64" t="n">
        <f aca="false">IF($K3019="No Start (attainment only)",$P3019,0)</f>
        <v>0</v>
      </c>
    </row>
    <row r="3020" customFormat="false" ht="15" hidden="false" customHeight="false" outlineLevel="0" collapsed="false">
      <c r="A3020" s="60"/>
      <c r="B3020" s="61" t="str">
        <f aca="false">IF($M3020=0,"",INDEX(Classes!$E$6:$E$420,$M3020))</f>
        <v/>
      </c>
      <c r="C3020" s="62" t="str">
        <f aca="false">IF($M3020=0,"",INDEX(Classes!$H$6:$H$420,$M3020))</f>
        <v/>
      </c>
      <c r="D3020" s="61" t="str">
        <f aca="false">IF($M3020=0,"",INDEX(Classes!$B$6:$B$420,$M3020))</f>
        <v/>
      </c>
      <c r="E3020" s="61" t="str">
        <f aca="false">IF($M3020=0,"",INDEX(Classes!$C$6:$C$420,$M3020))</f>
        <v/>
      </c>
      <c r="F3020" s="63"/>
      <c r="G3020" s="63"/>
      <c r="H3020" s="60"/>
      <c r="I3020" s="60"/>
      <c r="J3020" s="63"/>
      <c r="K3020" s="61" t="str">
        <f aca="false">IF($P3020=0,"",IF($F3020="Baseline","— Baseline",IF($O3020=0,"No result",IF($N3020=0,"No Start (attainment only)",IF(OR($N3020=1,$O3020=1),"U – needs rule",INDEX(MxBody,MATCH($I3020,MxCurr,0),MATCH($H3020,MxStart,0)))))))</f>
        <v/>
      </c>
      <c r="L3020" s="62" t="str">
        <f aca="false">IF(COUNTA($A3020,$F3020,$G3020,$H3020,$I3020,$J3020)=0,"",IF($M3020=0,"✖ كود الصف غير موجود",IF(ISNA(MATCH($F3020,Lists!$A$2:$A$5,0)),"✖ الفترة غير صحيحة",IF(ISNA(MATCH($G3020,Lists!$B$2:$B$7,0)),"✖ المجموعة غير صحيحة",IF(NOT(OR($H3020="",$N3020&gt;0)),"✖ Start غير صحيح",IF(NOT(OR($I3020="",$I3020="NR",$O3020&gt;0)),"✖ Current غير صحيح",IF(NOT(IF(ISNUMBER($J3020),AND($J3020&gt;=0,$J3020=INT($J3020)),FALSE())),"✖ العدد يجب أن يكون صحيحًا ≥ 0",IF(AND($F3020="Baseline",$H3020&lt;&gt;""),"⚠ Baseline: Start لا يدخل في التقدم",IF($K3020="No Start (attainment only)","ℹ تحصيل فقط (بدون Start)",IF($K3020="U – needs rule","ℹ حالة U تحتاج قاعدة معتمدة",IF($K3020="No result","ℹ بدون نتيجة (يُستبعد من التحصيل)","OK")))))))))))</f>
        <v/>
      </c>
      <c r="M3020" s="64" t="n">
        <f aca="false">IF($A3020="",0,IFERROR(MATCH($A3020,Classes!$A$6:$A$420,0),0))</f>
        <v>0</v>
      </c>
      <c r="N3020" s="64" t="n">
        <f aca="false">IF($H3020="",0,IFERROR(MATCH($H3020,GradeList,0),0))</f>
        <v>0</v>
      </c>
      <c r="O3020" s="64" t="n">
        <f aca="false">IF(OR($I3020="",$I3020="NR"),0,IFERROR(MATCH($I3020,GradeList,0),0))</f>
        <v>0</v>
      </c>
      <c r="P3020" s="64" t="n">
        <f aca="false">IF(AND($M3020&gt;0,ISNUMBER(MATCH($F3020,Lists!$A$2:$A$5,0)),ISNUMBER(MATCH($G3020,Lists!$B$2:$B$7,0)),OR($H3020="",$N3020&gt;0),OR($I3020="",$I3020="NR",$O3020&gt;0),IF(ISNUMBER($J3020),AND($J3020&gt;=0,$J3020=INT($J3020)),FALSE())),$J3020,0)</f>
        <v>0</v>
      </c>
      <c r="Q3020" s="64" t="n">
        <f aca="false">IF(AND($P3020&gt;0,$O3020&gt;0),$P3020,0)</f>
        <v>0</v>
      </c>
      <c r="R3020" s="64" t="n">
        <f aca="false">IF(AND($Q3020&gt;0,$O3020&gt;=AtRank),$Q3020,0)</f>
        <v>0</v>
      </c>
      <c r="S3020" s="64" t="n">
        <f aca="false">IF(AND($Q3020&gt;0,$O3020&gt;=AboveRank),$Q3020,0)</f>
        <v>0</v>
      </c>
      <c r="T3020" s="64" t="n">
        <f aca="false">IF($K3020="Less",$P3020,0)</f>
        <v>0</v>
      </c>
      <c r="U3020" s="64" t="n">
        <f aca="false">IF($K3020="Expected",$P3020,0)</f>
        <v>0</v>
      </c>
      <c r="V3020" s="64" t="n">
        <f aca="false">IF($K3020="Better",$P3020,0)</f>
        <v>0</v>
      </c>
      <c r="W3020" s="64" t="n">
        <f aca="false">IF($K3020="U – needs rule",$P3020,0)</f>
        <v>0</v>
      </c>
      <c r="X3020" s="64" t="n">
        <f aca="false">IF($K3020="No Start (attainment only)",$P3020,0)</f>
        <v>0</v>
      </c>
    </row>
    <row r="3021" customFormat="false" ht="15" hidden="false" customHeight="false" outlineLevel="0" collapsed="false">
      <c r="A3021" s="60"/>
      <c r="B3021" s="61" t="str">
        <f aca="false">IF($M3021=0,"",INDEX(Classes!$E$6:$E$420,$M3021))</f>
        <v/>
      </c>
      <c r="C3021" s="62" t="str">
        <f aca="false">IF($M3021=0,"",INDEX(Classes!$H$6:$H$420,$M3021))</f>
        <v/>
      </c>
      <c r="D3021" s="61" t="str">
        <f aca="false">IF($M3021=0,"",INDEX(Classes!$B$6:$B$420,$M3021))</f>
        <v/>
      </c>
      <c r="E3021" s="61" t="str">
        <f aca="false">IF($M3021=0,"",INDEX(Classes!$C$6:$C$420,$M3021))</f>
        <v/>
      </c>
      <c r="F3021" s="63"/>
      <c r="G3021" s="63"/>
      <c r="H3021" s="60"/>
      <c r="I3021" s="60"/>
      <c r="J3021" s="63"/>
      <c r="K3021" s="61" t="str">
        <f aca="false">IF($P3021=0,"",IF($F3021="Baseline","— Baseline",IF($O3021=0,"No result",IF($N3021=0,"No Start (attainment only)",IF(OR($N3021=1,$O3021=1),"U – needs rule",INDEX(MxBody,MATCH($I3021,MxCurr,0),MATCH($H3021,MxStart,0)))))))</f>
        <v/>
      </c>
      <c r="L3021" s="62" t="str">
        <f aca="false">IF(COUNTA($A3021,$F3021,$G3021,$H3021,$I3021,$J3021)=0,"",IF($M3021=0,"✖ كود الصف غير موجود",IF(ISNA(MATCH($F3021,Lists!$A$2:$A$5,0)),"✖ الفترة غير صحيحة",IF(ISNA(MATCH($G3021,Lists!$B$2:$B$7,0)),"✖ المجموعة غير صحيحة",IF(NOT(OR($H3021="",$N3021&gt;0)),"✖ Start غير صحيح",IF(NOT(OR($I3021="",$I3021="NR",$O3021&gt;0)),"✖ Current غير صحيح",IF(NOT(IF(ISNUMBER($J3021),AND($J3021&gt;=0,$J3021=INT($J3021)),FALSE())),"✖ العدد يجب أن يكون صحيحًا ≥ 0",IF(AND($F3021="Baseline",$H3021&lt;&gt;""),"⚠ Baseline: Start لا يدخل في التقدم",IF($K3021="No Start (attainment only)","ℹ تحصيل فقط (بدون Start)",IF($K3021="U – needs rule","ℹ حالة U تحتاج قاعدة معتمدة",IF($K3021="No result","ℹ بدون نتيجة (يُستبعد من التحصيل)","OK")))))))))))</f>
        <v/>
      </c>
      <c r="M3021" s="64" t="n">
        <f aca="false">IF($A3021="",0,IFERROR(MATCH($A3021,Classes!$A$6:$A$420,0),0))</f>
        <v>0</v>
      </c>
      <c r="N3021" s="64" t="n">
        <f aca="false">IF($H3021="",0,IFERROR(MATCH($H3021,GradeList,0),0))</f>
        <v>0</v>
      </c>
      <c r="O3021" s="64" t="n">
        <f aca="false">IF(OR($I3021="",$I3021="NR"),0,IFERROR(MATCH($I3021,GradeList,0),0))</f>
        <v>0</v>
      </c>
      <c r="P3021" s="64" t="n">
        <f aca="false">IF(AND($M3021&gt;0,ISNUMBER(MATCH($F3021,Lists!$A$2:$A$5,0)),ISNUMBER(MATCH($G3021,Lists!$B$2:$B$7,0)),OR($H3021="",$N3021&gt;0),OR($I3021="",$I3021="NR",$O3021&gt;0),IF(ISNUMBER($J3021),AND($J3021&gt;=0,$J3021=INT($J3021)),FALSE())),$J3021,0)</f>
        <v>0</v>
      </c>
      <c r="Q3021" s="64" t="n">
        <f aca="false">IF(AND($P3021&gt;0,$O3021&gt;0),$P3021,0)</f>
        <v>0</v>
      </c>
      <c r="R3021" s="64" t="n">
        <f aca="false">IF(AND($Q3021&gt;0,$O3021&gt;=AtRank),$Q3021,0)</f>
        <v>0</v>
      </c>
      <c r="S3021" s="64" t="n">
        <f aca="false">IF(AND($Q3021&gt;0,$O3021&gt;=AboveRank),$Q3021,0)</f>
        <v>0</v>
      </c>
      <c r="T3021" s="64" t="n">
        <f aca="false">IF($K3021="Less",$P3021,0)</f>
        <v>0</v>
      </c>
      <c r="U3021" s="64" t="n">
        <f aca="false">IF($K3021="Expected",$P3021,0)</f>
        <v>0</v>
      </c>
      <c r="V3021" s="64" t="n">
        <f aca="false">IF($K3021="Better",$P3021,0)</f>
        <v>0</v>
      </c>
      <c r="W3021" s="64" t="n">
        <f aca="false">IF($K3021="U – needs rule",$P3021,0)</f>
        <v>0</v>
      </c>
      <c r="X3021" s="64" t="n">
        <f aca="false">IF($K3021="No Start (attainment only)",$P3021,0)</f>
        <v>0</v>
      </c>
    </row>
    <row r="3022" customFormat="false" ht="15" hidden="false" customHeight="false" outlineLevel="0" collapsed="false">
      <c r="A3022" s="60"/>
      <c r="B3022" s="61" t="str">
        <f aca="false">IF($M3022=0,"",INDEX(Classes!$E$6:$E$420,$M3022))</f>
        <v/>
      </c>
      <c r="C3022" s="62" t="str">
        <f aca="false">IF($M3022=0,"",INDEX(Classes!$H$6:$H$420,$M3022))</f>
        <v/>
      </c>
      <c r="D3022" s="61" t="str">
        <f aca="false">IF($M3022=0,"",INDEX(Classes!$B$6:$B$420,$M3022))</f>
        <v/>
      </c>
      <c r="E3022" s="61" t="str">
        <f aca="false">IF($M3022=0,"",INDEX(Classes!$C$6:$C$420,$M3022))</f>
        <v/>
      </c>
      <c r="F3022" s="63"/>
      <c r="G3022" s="63"/>
      <c r="H3022" s="60"/>
      <c r="I3022" s="60"/>
      <c r="J3022" s="63"/>
      <c r="K3022" s="61" t="str">
        <f aca="false">IF($P3022=0,"",IF($F3022="Baseline","— Baseline",IF($O3022=0,"No result",IF($N3022=0,"No Start (attainment only)",IF(OR($N3022=1,$O3022=1),"U – needs rule",INDEX(MxBody,MATCH($I3022,MxCurr,0),MATCH($H3022,MxStart,0)))))))</f>
        <v/>
      </c>
      <c r="L3022" s="62" t="str">
        <f aca="false">IF(COUNTA($A3022,$F3022,$G3022,$H3022,$I3022,$J3022)=0,"",IF($M3022=0,"✖ كود الصف غير موجود",IF(ISNA(MATCH($F3022,Lists!$A$2:$A$5,0)),"✖ الفترة غير صحيحة",IF(ISNA(MATCH($G3022,Lists!$B$2:$B$7,0)),"✖ المجموعة غير صحيحة",IF(NOT(OR($H3022="",$N3022&gt;0)),"✖ Start غير صحيح",IF(NOT(OR($I3022="",$I3022="NR",$O3022&gt;0)),"✖ Current غير صحيح",IF(NOT(IF(ISNUMBER($J3022),AND($J3022&gt;=0,$J3022=INT($J3022)),FALSE())),"✖ العدد يجب أن يكون صحيحًا ≥ 0",IF(AND($F3022="Baseline",$H3022&lt;&gt;""),"⚠ Baseline: Start لا يدخل في التقدم",IF($K3022="No Start (attainment only)","ℹ تحصيل فقط (بدون Start)",IF($K3022="U – needs rule","ℹ حالة U تحتاج قاعدة معتمدة",IF($K3022="No result","ℹ بدون نتيجة (يُستبعد من التحصيل)","OK")))))))))))</f>
        <v/>
      </c>
      <c r="M3022" s="64" t="n">
        <f aca="false">IF($A3022="",0,IFERROR(MATCH($A3022,Classes!$A$6:$A$420,0),0))</f>
        <v>0</v>
      </c>
      <c r="N3022" s="64" t="n">
        <f aca="false">IF($H3022="",0,IFERROR(MATCH($H3022,GradeList,0),0))</f>
        <v>0</v>
      </c>
      <c r="O3022" s="64" t="n">
        <f aca="false">IF(OR($I3022="",$I3022="NR"),0,IFERROR(MATCH($I3022,GradeList,0),0))</f>
        <v>0</v>
      </c>
      <c r="P3022" s="64" t="n">
        <f aca="false">IF(AND($M3022&gt;0,ISNUMBER(MATCH($F3022,Lists!$A$2:$A$5,0)),ISNUMBER(MATCH($G3022,Lists!$B$2:$B$7,0)),OR($H3022="",$N3022&gt;0),OR($I3022="",$I3022="NR",$O3022&gt;0),IF(ISNUMBER($J3022),AND($J3022&gt;=0,$J3022=INT($J3022)),FALSE())),$J3022,0)</f>
        <v>0</v>
      </c>
      <c r="Q3022" s="64" t="n">
        <f aca="false">IF(AND($P3022&gt;0,$O3022&gt;0),$P3022,0)</f>
        <v>0</v>
      </c>
      <c r="R3022" s="64" t="n">
        <f aca="false">IF(AND($Q3022&gt;0,$O3022&gt;=AtRank),$Q3022,0)</f>
        <v>0</v>
      </c>
      <c r="S3022" s="64" t="n">
        <f aca="false">IF(AND($Q3022&gt;0,$O3022&gt;=AboveRank),$Q3022,0)</f>
        <v>0</v>
      </c>
      <c r="T3022" s="64" t="n">
        <f aca="false">IF($K3022="Less",$P3022,0)</f>
        <v>0</v>
      </c>
      <c r="U3022" s="64" t="n">
        <f aca="false">IF($K3022="Expected",$P3022,0)</f>
        <v>0</v>
      </c>
      <c r="V3022" s="64" t="n">
        <f aca="false">IF($K3022="Better",$P3022,0)</f>
        <v>0</v>
      </c>
      <c r="W3022" s="64" t="n">
        <f aca="false">IF($K3022="U – needs rule",$P3022,0)</f>
        <v>0</v>
      </c>
      <c r="X3022" s="64" t="n">
        <f aca="false">IF($K3022="No Start (attainment only)",$P3022,0)</f>
        <v>0</v>
      </c>
    </row>
    <row r="3023" customFormat="false" ht="15" hidden="false" customHeight="false" outlineLevel="0" collapsed="false">
      <c r="A3023" s="60"/>
      <c r="B3023" s="61" t="str">
        <f aca="false">IF($M3023=0,"",INDEX(Classes!$E$6:$E$420,$M3023))</f>
        <v/>
      </c>
      <c r="C3023" s="62" t="str">
        <f aca="false">IF($M3023=0,"",INDEX(Classes!$H$6:$H$420,$M3023))</f>
        <v/>
      </c>
      <c r="D3023" s="61" t="str">
        <f aca="false">IF($M3023=0,"",INDEX(Classes!$B$6:$B$420,$M3023))</f>
        <v/>
      </c>
      <c r="E3023" s="61" t="str">
        <f aca="false">IF($M3023=0,"",INDEX(Classes!$C$6:$C$420,$M3023))</f>
        <v/>
      </c>
      <c r="F3023" s="63"/>
      <c r="G3023" s="63"/>
      <c r="H3023" s="60"/>
      <c r="I3023" s="60"/>
      <c r="J3023" s="63"/>
      <c r="K3023" s="61" t="str">
        <f aca="false">IF($P3023=0,"",IF($F3023="Baseline","— Baseline",IF($O3023=0,"No result",IF($N3023=0,"No Start (attainment only)",IF(OR($N3023=1,$O3023=1),"U – needs rule",INDEX(MxBody,MATCH($I3023,MxCurr,0),MATCH($H3023,MxStart,0)))))))</f>
        <v/>
      </c>
      <c r="L3023" s="62" t="str">
        <f aca="false">IF(COUNTA($A3023,$F3023,$G3023,$H3023,$I3023,$J3023)=0,"",IF($M3023=0,"✖ كود الصف غير موجود",IF(ISNA(MATCH($F3023,Lists!$A$2:$A$5,0)),"✖ الفترة غير صحيحة",IF(ISNA(MATCH($G3023,Lists!$B$2:$B$7,0)),"✖ المجموعة غير صحيحة",IF(NOT(OR($H3023="",$N3023&gt;0)),"✖ Start غير صحيح",IF(NOT(OR($I3023="",$I3023="NR",$O3023&gt;0)),"✖ Current غير صحيح",IF(NOT(IF(ISNUMBER($J3023),AND($J3023&gt;=0,$J3023=INT($J3023)),FALSE())),"✖ العدد يجب أن يكون صحيحًا ≥ 0",IF(AND($F3023="Baseline",$H3023&lt;&gt;""),"⚠ Baseline: Start لا يدخل في التقدم",IF($K3023="No Start (attainment only)","ℹ تحصيل فقط (بدون Start)",IF($K3023="U – needs rule","ℹ حالة U تحتاج قاعدة معتمدة",IF($K3023="No result","ℹ بدون نتيجة (يُستبعد من التحصيل)","OK")))))))))))</f>
        <v/>
      </c>
      <c r="M3023" s="64" t="n">
        <f aca="false">IF($A3023="",0,IFERROR(MATCH($A3023,Classes!$A$6:$A$420,0),0))</f>
        <v>0</v>
      </c>
      <c r="N3023" s="64" t="n">
        <f aca="false">IF($H3023="",0,IFERROR(MATCH($H3023,GradeList,0),0))</f>
        <v>0</v>
      </c>
      <c r="O3023" s="64" t="n">
        <f aca="false">IF(OR($I3023="",$I3023="NR"),0,IFERROR(MATCH($I3023,GradeList,0),0))</f>
        <v>0</v>
      </c>
      <c r="P3023" s="64" t="n">
        <f aca="false">IF(AND($M3023&gt;0,ISNUMBER(MATCH($F3023,Lists!$A$2:$A$5,0)),ISNUMBER(MATCH($G3023,Lists!$B$2:$B$7,0)),OR($H3023="",$N3023&gt;0),OR($I3023="",$I3023="NR",$O3023&gt;0),IF(ISNUMBER($J3023),AND($J3023&gt;=0,$J3023=INT($J3023)),FALSE())),$J3023,0)</f>
        <v>0</v>
      </c>
      <c r="Q3023" s="64" t="n">
        <f aca="false">IF(AND($P3023&gt;0,$O3023&gt;0),$P3023,0)</f>
        <v>0</v>
      </c>
      <c r="R3023" s="64" t="n">
        <f aca="false">IF(AND($Q3023&gt;0,$O3023&gt;=AtRank),$Q3023,0)</f>
        <v>0</v>
      </c>
      <c r="S3023" s="64" t="n">
        <f aca="false">IF(AND($Q3023&gt;0,$O3023&gt;=AboveRank),$Q3023,0)</f>
        <v>0</v>
      </c>
      <c r="T3023" s="64" t="n">
        <f aca="false">IF($K3023="Less",$P3023,0)</f>
        <v>0</v>
      </c>
      <c r="U3023" s="64" t="n">
        <f aca="false">IF($K3023="Expected",$P3023,0)</f>
        <v>0</v>
      </c>
      <c r="V3023" s="64" t="n">
        <f aca="false">IF($K3023="Better",$P3023,0)</f>
        <v>0</v>
      </c>
      <c r="W3023" s="64" t="n">
        <f aca="false">IF($K3023="U – needs rule",$P3023,0)</f>
        <v>0</v>
      </c>
      <c r="X3023" s="64" t="n">
        <f aca="false">IF($K3023="No Start (attainment only)",$P3023,0)</f>
        <v>0</v>
      </c>
    </row>
    <row r="3024" customFormat="false" ht="15" hidden="false" customHeight="false" outlineLevel="0" collapsed="false">
      <c r="A3024" s="60"/>
      <c r="B3024" s="61" t="str">
        <f aca="false">IF($M3024=0,"",INDEX(Classes!$E$6:$E$420,$M3024))</f>
        <v/>
      </c>
      <c r="C3024" s="62" t="str">
        <f aca="false">IF($M3024=0,"",INDEX(Classes!$H$6:$H$420,$M3024))</f>
        <v/>
      </c>
      <c r="D3024" s="61" t="str">
        <f aca="false">IF($M3024=0,"",INDEX(Classes!$B$6:$B$420,$M3024))</f>
        <v/>
      </c>
      <c r="E3024" s="61" t="str">
        <f aca="false">IF($M3024=0,"",INDEX(Classes!$C$6:$C$420,$M3024))</f>
        <v/>
      </c>
      <c r="F3024" s="63"/>
      <c r="G3024" s="63"/>
      <c r="H3024" s="60"/>
      <c r="I3024" s="60"/>
      <c r="J3024" s="63"/>
      <c r="K3024" s="61" t="str">
        <f aca="false">IF($P3024=0,"",IF($F3024="Baseline","— Baseline",IF($O3024=0,"No result",IF($N3024=0,"No Start (attainment only)",IF(OR($N3024=1,$O3024=1),"U – needs rule",INDEX(MxBody,MATCH($I3024,MxCurr,0),MATCH($H3024,MxStart,0)))))))</f>
        <v/>
      </c>
      <c r="L3024" s="62" t="str">
        <f aca="false">IF(COUNTA($A3024,$F3024,$G3024,$H3024,$I3024,$J3024)=0,"",IF($M3024=0,"✖ كود الصف غير موجود",IF(ISNA(MATCH($F3024,Lists!$A$2:$A$5,0)),"✖ الفترة غير صحيحة",IF(ISNA(MATCH($G3024,Lists!$B$2:$B$7,0)),"✖ المجموعة غير صحيحة",IF(NOT(OR($H3024="",$N3024&gt;0)),"✖ Start غير صحيح",IF(NOT(OR($I3024="",$I3024="NR",$O3024&gt;0)),"✖ Current غير صحيح",IF(NOT(IF(ISNUMBER($J3024),AND($J3024&gt;=0,$J3024=INT($J3024)),FALSE())),"✖ العدد يجب أن يكون صحيحًا ≥ 0",IF(AND($F3024="Baseline",$H3024&lt;&gt;""),"⚠ Baseline: Start لا يدخل في التقدم",IF($K3024="No Start (attainment only)","ℹ تحصيل فقط (بدون Start)",IF($K3024="U – needs rule","ℹ حالة U تحتاج قاعدة معتمدة",IF($K3024="No result","ℹ بدون نتيجة (يُستبعد من التحصيل)","OK")))))))))))</f>
        <v/>
      </c>
      <c r="M3024" s="64" t="n">
        <f aca="false">IF($A3024="",0,IFERROR(MATCH($A3024,Classes!$A$6:$A$420,0),0))</f>
        <v>0</v>
      </c>
      <c r="N3024" s="64" t="n">
        <f aca="false">IF($H3024="",0,IFERROR(MATCH($H3024,GradeList,0),0))</f>
        <v>0</v>
      </c>
      <c r="O3024" s="64" t="n">
        <f aca="false">IF(OR($I3024="",$I3024="NR"),0,IFERROR(MATCH($I3024,GradeList,0),0))</f>
        <v>0</v>
      </c>
      <c r="P3024" s="64" t="n">
        <f aca="false">IF(AND($M3024&gt;0,ISNUMBER(MATCH($F3024,Lists!$A$2:$A$5,0)),ISNUMBER(MATCH($G3024,Lists!$B$2:$B$7,0)),OR($H3024="",$N3024&gt;0),OR($I3024="",$I3024="NR",$O3024&gt;0),IF(ISNUMBER($J3024),AND($J3024&gt;=0,$J3024=INT($J3024)),FALSE())),$J3024,0)</f>
        <v>0</v>
      </c>
      <c r="Q3024" s="64" t="n">
        <f aca="false">IF(AND($P3024&gt;0,$O3024&gt;0),$P3024,0)</f>
        <v>0</v>
      </c>
      <c r="R3024" s="64" t="n">
        <f aca="false">IF(AND($Q3024&gt;0,$O3024&gt;=AtRank),$Q3024,0)</f>
        <v>0</v>
      </c>
      <c r="S3024" s="64" t="n">
        <f aca="false">IF(AND($Q3024&gt;0,$O3024&gt;=AboveRank),$Q3024,0)</f>
        <v>0</v>
      </c>
      <c r="T3024" s="64" t="n">
        <f aca="false">IF($K3024="Less",$P3024,0)</f>
        <v>0</v>
      </c>
      <c r="U3024" s="64" t="n">
        <f aca="false">IF($K3024="Expected",$P3024,0)</f>
        <v>0</v>
      </c>
      <c r="V3024" s="64" t="n">
        <f aca="false">IF($K3024="Better",$P3024,0)</f>
        <v>0</v>
      </c>
      <c r="W3024" s="64" t="n">
        <f aca="false">IF($K3024="U – needs rule",$P3024,0)</f>
        <v>0</v>
      </c>
      <c r="X3024" s="64" t="n">
        <f aca="false">IF($K3024="No Start (attainment only)",$P3024,0)</f>
        <v>0</v>
      </c>
    </row>
    <row r="3025" customFormat="false" ht="15" hidden="false" customHeight="false" outlineLevel="0" collapsed="false">
      <c r="A3025" s="60"/>
      <c r="B3025" s="61" t="str">
        <f aca="false">IF($M3025=0,"",INDEX(Classes!$E$6:$E$420,$M3025))</f>
        <v/>
      </c>
      <c r="C3025" s="62" t="str">
        <f aca="false">IF($M3025=0,"",INDEX(Classes!$H$6:$H$420,$M3025))</f>
        <v/>
      </c>
      <c r="D3025" s="61" t="str">
        <f aca="false">IF($M3025=0,"",INDEX(Classes!$B$6:$B$420,$M3025))</f>
        <v/>
      </c>
      <c r="E3025" s="61" t="str">
        <f aca="false">IF($M3025=0,"",INDEX(Classes!$C$6:$C$420,$M3025))</f>
        <v/>
      </c>
      <c r="F3025" s="63"/>
      <c r="G3025" s="63"/>
      <c r="H3025" s="60"/>
      <c r="I3025" s="60"/>
      <c r="J3025" s="63"/>
      <c r="K3025" s="61" t="str">
        <f aca="false">IF($P3025=0,"",IF($F3025="Baseline","— Baseline",IF($O3025=0,"No result",IF($N3025=0,"No Start (attainment only)",IF(OR($N3025=1,$O3025=1),"U – needs rule",INDEX(MxBody,MATCH($I3025,MxCurr,0),MATCH($H3025,MxStart,0)))))))</f>
        <v/>
      </c>
      <c r="L3025" s="62" t="str">
        <f aca="false">IF(COUNTA($A3025,$F3025,$G3025,$H3025,$I3025,$J3025)=0,"",IF($M3025=0,"✖ كود الصف غير موجود",IF(ISNA(MATCH($F3025,Lists!$A$2:$A$5,0)),"✖ الفترة غير صحيحة",IF(ISNA(MATCH($G3025,Lists!$B$2:$B$7,0)),"✖ المجموعة غير صحيحة",IF(NOT(OR($H3025="",$N3025&gt;0)),"✖ Start غير صحيح",IF(NOT(OR($I3025="",$I3025="NR",$O3025&gt;0)),"✖ Current غير صحيح",IF(NOT(IF(ISNUMBER($J3025),AND($J3025&gt;=0,$J3025=INT($J3025)),FALSE())),"✖ العدد يجب أن يكون صحيحًا ≥ 0",IF(AND($F3025="Baseline",$H3025&lt;&gt;""),"⚠ Baseline: Start لا يدخل في التقدم",IF($K3025="No Start (attainment only)","ℹ تحصيل فقط (بدون Start)",IF($K3025="U – needs rule","ℹ حالة U تحتاج قاعدة معتمدة",IF($K3025="No result","ℹ بدون نتيجة (يُستبعد من التحصيل)","OK")))))))))))</f>
        <v/>
      </c>
      <c r="M3025" s="64" t="n">
        <f aca="false">IF($A3025="",0,IFERROR(MATCH($A3025,Classes!$A$6:$A$420,0),0))</f>
        <v>0</v>
      </c>
      <c r="N3025" s="64" t="n">
        <f aca="false">IF($H3025="",0,IFERROR(MATCH($H3025,GradeList,0),0))</f>
        <v>0</v>
      </c>
      <c r="O3025" s="64" t="n">
        <f aca="false">IF(OR($I3025="",$I3025="NR"),0,IFERROR(MATCH($I3025,GradeList,0),0))</f>
        <v>0</v>
      </c>
      <c r="P3025" s="64" t="n">
        <f aca="false">IF(AND($M3025&gt;0,ISNUMBER(MATCH($F3025,Lists!$A$2:$A$5,0)),ISNUMBER(MATCH($G3025,Lists!$B$2:$B$7,0)),OR($H3025="",$N3025&gt;0),OR($I3025="",$I3025="NR",$O3025&gt;0),IF(ISNUMBER($J3025),AND($J3025&gt;=0,$J3025=INT($J3025)),FALSE())),$J3025,0)</f>
        <v>0</v>
      </c>
      <c r="Q3025" s="64" t="n">
        <f aca="false">IF(AND($P3025&gt;0,$O3025&gt;0),$P3025,0)</f>
        <v>0</v>
      </c>
      <c r="R3025" s="64" t="n">
        <f aca="false">IF(AND($Q3025&gt;0,$O3025&gt;=AtRank),$Q3025,0)</f>
        <v>0</v>
      </c>
      <c r="S3025" s="64" t="n">
        <f aca="false">IF(AND($Q3025&gt;0,$O3025&gt;=AboveRank),$Q3025,0)</f>
        <v>0</v>
      </c>
      <c r="T3025" s="64" t="n">
        <f aca="false">IF($K3025="Less",$P3025,0)</f>
        <v>0</v>
      </c>
      <c r="U3025" s="64" t="n">
        <f aca="false">IF($K3025="Expected",$P3025,0)</f>
        <v>0</v>
      </c>
      <c r="V3025" s="64" t="n">
        <f aca="false">IF($K3025="Better",$P3025,0)</f>
        <v>0</v>
      </c>
      <c r="W3025" s="64" t="n">
        <f aca="false">IF($K3025="U – needs rule",$P3025,0)</f>
        <v>0</v>
      </c>
      <c r="X3025" s="64" t="n">
        <f aca="false">IF($K3025="No Start (attainment only)",$P3025,0)</f>
        <v>0</v>
      </c>
    </row>
    <row r="3026" customFormat="false" ht="15" hidden="false" customHeight="false" outlineLevel="0" collapsed="false">
      <c r="A3026" s="60"/>
      <c r="B3026" s="61" t="str">
        <f aca="false">IF($M3026=0,"",INDEX(Classes!$E$6:$E$420,$M3026))</f>
        <v/>
      </c>
      <c r="C3026" s="62" t="str">
        <f aca="false">IF($M3026=0,"",INDEX(Classes!$H$6:$H$420,$M3026))</f>
        <v/>
      </c>
      <c r="D3026" s="61" t="str">
        <f aca="false">IF($M3026=0,"",INDEX(Classes!$B$6:$B$420,$M3026))</f>
        <v/>
      </c>
      <c r="E3026" s="61" t="str">
        <f aca="false">IF($M3026=0,"",INDEX(Classes!$C$6:$C$420,$M3026))</f>
        <v/>
      </c>
      <c r="F3026" s="63"/>
      <c r="G3026" s="63"/>
      <c r="H3026" s="60"/>
      <c r="I3026" s="60"/>
      <c r="J3026" s="63"/>
      <c r="K3026" s="61" t="str">
        <f aca="false">IF($P3026=0,"",IF($F3026="Baseline","— Baseline",IF($O3026=0,"No result",IF($N3026=0,"No Start (attainment only)",IF(OR($N3026=1,$O3026=1),"U – needs rule",INDEX(MxBody,MATCH($I3026,MxCurr,0),MATCH($H3026,MxStart,0)))))))</f>
        <v/>
      </c>
      <c r="L3026" s="62" t="str">
        <f aca="false">IF(COUNTA($A3026,$F3026,$G3026,$H3026,$I3026,$J3026)=0,"",IF($M3026=0,"✖ كود الصف غير موجود",IF(ISNA(MATCH($F3026,Lists!$A$2:$A$5,0)),"✖ الفترة غير صحيحة",IF(ISNA(MATCH($G3026,Lists!$B$2:$B$7,0)),"✖ المجموعة غير صحيحة",IF(NOT(OR($H3026="",$N3026&gt;0)),"✖ Start غير صحيح",IF(NOT(OR($I3026="",$I3026="NR",$O3026&gt;0)),"✖ Current غير صحيح",IF(NOT(IF(ISNUMBER($J3026),AND($J3026&gt;=0,$J3026=INT($J3026)),FALSE())),"✖ العدد يجب أن يكون صحيحًا ≥ 0",IF(AND($F3026="Baseline",$H3026&lt;&gt;""),"⚠ Baseline: Start لا يدخل في التقدم",IF($K3026="No Start (attainment only)","ℹ تحصيل فقط (بدون Start)",IF($K3026="U – needs rule","ℹ حالة U تحتاج قاعدة معتمدة",IF($K3026="No result","ℹ بدون نتيجة (يُستبعد من التحصيل)","OK")))))))))))</f>
        <v/>
      </c>
      <c r="M3026" s="64" t="n">
        <f aca="false">IF($A3026="",0,IFERROR(MATCH($A3026,Classes!$A$6:$A$420,0),0))</f>
        <v>0</v>
      </c>
      <c r="N3026" s="64" t="n">
        <f aca="false">IF($H3026="",0,IFERROR(MATCH($H3026,GradeList,0),0))</f>
        <v>0</v>
      </c>
      <c r="O3026" s="64" t="n">
        <f aca="false">IF(OR($I3026="",$I3026="NR"),0,IFERROR(MATCH($I3026,GradeList,0),0))</f>
        <v>0</v>
      </c>
      <c r="P3026" s="64" t="n">
        <f aca="false">IF(AND($M3026&gt;0,ISNUMBER(MATCH($F3026,Lists!$A$2:$A$5,0)),ISNUMBER(MATCH($G3026,Lists!$B$2:$B$7,0)),OR($H3026="",$N3026&gt;0),OR($I3026="",$I3026="NR",$O3026&gt;0),IF(ISNUMBER($J3026),AND($J3026&gt;=0,$J3026=INT($J3026)),FALSE())),$J3026,0)</f>
        <v>0</v>
      </c>
      <c r="Q3026" s="64" t="n">
        <f aca="false">IF(AND($P3026&gt;0,$O3026&gt;0),$P3026,0)</f>
        <v>0</v>
      </c>
      <c r="R3026" s="64" t="n">
        <f aca="false">IF(AND($Q3026&gt;0,$O3026&gt;=AtRank),$Q3026,0)</f>
        <v>0</v>
      </c>
      <c r="S3026" s="64" t="n">
        <f aca="false">IF(AND($Q3026&gt;0,$O3026&gt;=AboveRank),$Q3026,0)</f>
        <v>0</v>
      </c>
      <c r="T3026" s="64" t="n">
        <f aca="false">IF($K3026="Less",$P3026,0)</f>
        <v>0</v>
      </c>
      <c r="U3026" s="64" t="n">
        <f aca="false">IF($K3026="Expected",$P3026,0)</f>
        <v>0</v>
      </c>
      <c r="V3026" s="64" t="n">
        <f aca="false">IF($K3026="Better",$P3026,0)</f>
        <v>0</v>
      </c>
      <c r="W3026" s="64" t="n">
        <f aca="false">IF($K3026="U – needs rule",$P3026,0)</f>
        <v>0</v>
      </c>
      <c r="X3026" s="64" t="n">
        <f aca="false">IF($K3026="No Start (attainment only)",$P3026,0)</f>
        <v>0</v>
      </c>
    </row>
    <row r="3027" customFormat="false" ht="15" hidden="false" customHeight="false" outlineLevel="0" collapsed="false">
      <c r="A3027" s="60"/>
      <c r="B3027" s="61" t="str">
        <f aca="false">IF($M3027=0,"",INDEX(Classes!$E$6:$E$420,$M3027))</f>
        <v/>
      </c>
      <c r="C3027" s="62" t="str">
        <f aca="false">IF($M3027=0,"",INDEX(Classes!$H$6:$H$420,$M3027))</f>
        <v/>
      </c>
      <c r="D3027" s="61" t="str">
        <f aca="false">IF($M3027=0,"",INDEX(Classes!$B$6:$B$420,$M3027))</f>
        <v/>
      </c>
      <c r="E3027" s="61" t="str">
        <f aca="false">IF($M3027=0,"",INDEX(Classes!$C$6:$C$420,$M3027))</f>
        <v/>
      </c>
      <c r="F3027" s="63"/>
      <c r="G3027" s="63"/>
      <c r="H3027" s="60"/>
      <c r="I3027" s="60"/>
      <c r="J3027" s="63"/>
      <c r="K3027" s="61" t="str">
        <f aca="false">IF($P3027=0,"",IF($F3027="Baseline","— Baseline",IF($O3027=0,"No result",IF($N3027=0,"No Start (attainment only)",IF(OR($N3027=1,$O3027=1),"U – needs rule",INDEX(MxBody,MATCH($I3027,MxCurr,0),MATCH($H3027,MxStart,0)))))))</f>
        <v/>
      </c>
      <c r="L3027" s="62" t="str">
        <f aca="false">IF(COUNTA($A3027,$F3027,$G3027,$H3027,$I3027,$J3027)=0,"",IF($M3027=0,"✖ كود الصف غير موجود",IF(ISNA(MATCH($F3027,Lists!$A$2:$A$5,0)),"✖ الفترة غير صحيحة",IF(ISNA(MATCH($G3027,Lists!$B$2:$B$7,0)),"✖ المجموعة غير صحيحة",IF(NOT(OR($H3027="",$N3027&gt;0)),"✖ Start غير صحيح",IF(NOT(OR($I3027="",$I3027="NR",$O3027&gt;0)),"✖ Current غير صحيح",IF(NOT(IF(ISNUMBER($J3027),AND($J3027&gt;=0,$J3027=INT($J3027)),FALSE())),"✖ العدد يجب أن يكون صحيحًا ≥ 0",IF(AND($F3027="Baseline",$H3027&lt;&gt;""),"⚠ Baseline: Start لا يدخل في التقدم",IF($K3027="No Start (attainment only)","ℹ تحصيل فقط (بدون Start)",IF($K3027="U – needs rule","ℹ حالة U تحتاج قاعدة معتمدة",IF($K3027="No result","ℹ بدون نتيجة (يُستبعد من التحصيل)","OK")))))))))))</f>
        <v/>
      </c>
      <c r="M3027" s="64" t="n">
        <f aca="false">IF($A3027="",0,IFERROR(MATCH($A3027,Classes!$A$6:$A$420,0),0))</f>
        <v>0</v>
      </c>
      <c r="N3027" s="64" t="n">
        <f aca="false">IF($H3027="",0,IFERROR(MATCH($H3027,GradeList,0),0))</f>
        <v>0</v>
      </c>
      <c r="O3027" s="64" t="n">
        <f aca="false">IF(OR($I3027="",$I3027="NR"),0,IFERROR(MATCH($I3027,GradeList,0),0))</f>
        <v>0</v>
      </c>
      <c r="P3027" s="64" t="n">
        <f aca="false">IF(AND($M3027&gt;0,ISNUMBER(MATCH($F3027,Lists!$A$2:$A$5,0)),ISNUMBER(MATCH($G3027,Lists!$B$2:$B$7,0)),OR($H3027="",$N3027&gt;0),OR($I3027="",$I3027="NR",$O3027&gt;0),IF(ISNUMBER($J3027),AND($J3027&gt;=0,$J3027=INT($J3027)),FALSE())),$J3027,0)</f>
        <v>0</v>
      </c>
      <c r="Q3027" s="64" t="n">
        <f aca="false">IF(AND($P3027&gt;0,$O3027&gt;0),$P3027,0)</f>
        <v>0</v>
      </c>
      <c r="R3027" s="64" t="n">
        <f aca="false">IF(AND($Q3027&gt;0,$O3027&gt;=AtRank),$Q3027,0)</f>
        <v>0</v>
      </c>
      <c r="S3027" s="64" t="n">
        <f aca="false">IF(AND($Q3027&gt;0,$O3027&gt;=AboveRank),$Q3027,0)</f>
        <v>0</v>
      </c>
      <c r="T3027" s="64" t="n">
        <f aca="false">IF($K3027="Less",$P3027,0)</f>
        <v>0</v>
      </c>
      <c r="U3027" s="64" t="n">
        <f aca="false">IF($K3027="Expected",$P3027,0)</f>
        <v>0</v>
      </c>
      <c r="V3027" s="64" t="n">
        <f aca="false">IF($K3027="Better",$P3027,0)</f>
        <v>0</v>
      </c>
      <c r="W3027" s="64" t="n">
        <f aca="false">IF($K3027="U – needs rule",$P3027,0)</f>
        <v>0</v>
      </c>
      <c r="X3027" s="64" t="n">
        <f aca="false">IF($K3027="No Start (attainment only)",$P3027,0)</f>
        <v>0</v>
      </c>
    </row>
    <row r="3028" customFormat="false" ht="15" hidden="false" customHeight="false" outlineLevel="0" collapsed="false">
      <c r="A3028" s="60"/>
      <c r="B3028" s="61" t="str">
        <f aca="false">IF($M3028=0,"",INDEX(Classes!$E$6:$E$420,$M3028))</f>
        <v/>
      </c>
      <c r="C3028" s="62" t="str">
        <f aca="false">IF($M3028=0,"",INDEX(Classes!$H$6:$H$420,$M3028))</f>
        <v/>
      </c>
      <c r="D3028" s="61" t="str">
        <f aca="false">IF($M3028=0,"",INDEX(Classes!$B$6:$B$420,$M3028))</f>
        <v/>
      </c>
      <c r="E3028" s="61" t="str">
        <f aca="false">IF($M3028=0,"",INDEX(Classes!$C$6:$C$420,$M3028))</f>
        <v/>
      </c>
      <c r="F3028" s="63"/>
      <c r="G3028" s="63"/>
      <c r="H3028" s="60"/>
      <c r="I3028" s="60"/>
      <c r="J3028" s="63"/>
      <c r="K3028" s="61" t="str">
        <f aca="false">IF($P3028=0,"",IF($F3028="Baseline","— Baseline",IF($O3028=0,"No result",IF($N3028=0,"No Start (attainment only)",IF(OR($N3028=1,$O3028=1),"U – needs rule",INDEX(MxBody,MATCH($I3028,MxCurr,0),MATCH($H3028,MxStart,0)))))))</f>
        <v/>
      </c>
      <c r="L3028" s="62" t="str">
        <f aca="false">IF(COUNTA($A3028,$F3028,$G3028,$H3028,$I3028,$J3028)=0,"",IF($M3028=0,"✖ كود الصف غير موجود",IF(ISNA(MATCH($F3028,Lists!$A$2:$A$5,0)),"✖ الفترة غير صحيحة",IF(ISNA(MATCH($G3028,Lists!$B$2:$B$7,0)),"✖ المجموعة غير صحيحة",IF(NOT(OR($H3028="",$N3028&gt;0)),"✖ Start غير صحيح",IF(NOT(OR($I3028="",$I3028="NR",$O3028&gt;0)),"✖ Current غير صحيح",IF(NOT(IF(ISNUMBER($J3028),AND($J3028&gt;=0,$J3028=INT($J3028)),FALSE())),"✖ العدد يجب أن يكون صحيحًا ≥ 0",IF(AND($F3028="Baseline",$H3028&lt;&gt;""),"⚠ Baseline: Start لا يدخل في التقدم",IF($K3028="No Start (attainment only)","ℹ تحصيل فقط (بدون Start)",IF($K3028="U – needs rule","ℹ حالة U تحتاج قاعدة معتمدة",IF($K3028="No result","ℹ بدون نتيجة (يُستبعد من التحصيل)","OK")))))))))))</f>
        <v/>
      </c>
      <c r="M3028" s="64" t="n">
        <f aca="false">IF($A3028="",0,IFERROR(MATCH($A3028,Classes!$A$6:$A$420,0),0))</f>
        <v>0</v>
      </c>
      <c r="N3028" s="64" t="n">
        <f aca="false">IF($H3028="",0,IFERROR(MATCH($H3028,GradeList,0),0))</f>
        <v>0</v>
      </c>
      <c r="O3028" s="64" t="n">
        <f aca="false">IF(OR($I3028="",$I3028="NR"),0,IFERROR(MATCH($I3028,GradeList,0),0))</f>
        <v>0</v>
      </c>
      <c r="P3028" s="64" t="n">
        <f aca="false">IF(AND($M3028&gt;0,ISNUMBER(MATCH($F3028,Lists!$A$2:$A$5,0)),ISNUMBER(MATCH($G3028,Lists!$B$2:$B$7,0)),OR($H3028="",$N3028&gt;0),OR($I3028="",$I3028="NR",$O3028&gt;0),IF(ISNUMBER($J3028),AND($J3028&gt;=0,$J3028=INT($J3028)),FALSE())),$J3028,0)</f>
        <v>0</v>
      </c>
      <c r="Q3028" s="64" t="n">
        <f aca="false">IF(AND($P3028&gt;0,$O3028&gt;0),$P3028,0)</f>
        <v>0</v>
      </c>
      <c r="R3028" s="64" t="n">
        <f aca="false">IF(AND($Q3028&gt;0,$O3028&gt;=AtRank),$Q3028,0)</f>
        <v>0</v>
      </c>
      <c r="S3028" s="64" t="n">
        <f aca="false">IF(AND($Q3028&gt;0,$O3028&gt;=AboveRank),$Q3028,0)</f>
        <v>0</v>
      </c>
      <c r="T3028" s="64" t="n">
        <f aca="false">IF($K3028="Less",$P3028,0)</f>
        <v>0</v>
      </c>
      <c r="U3028" s="64" t="n">
        <f aca="false">IF($K3028="Expected",$P3028,0)</f>
        <v>0</v>
      </c>
      <c r="V3028" s="64" t="n">
        <f aca="false">IF($K3028="Better",$P3028,0)</f>
        <v>0</v>
      </c>
      <c r="W3028" s="64" t="n">
        <f aca="false">IF($K3028="U – needs rule",$P3028,0)</f>
        <v>0</v>
      </c>
      <c r="X3028" s="64" t="n">
        <f aca="false">IF($K3028="No Start (attainment only)",$P3028,0)</f>
        <v>0</v>
      </c>
    </row>
    <row r="3029" customFormat="false" ht="15" hidden="false" customHeight="false" outlineLevel="0" collapsed="false">
      <c r="A3029" s="60"/>
      <c r="B3029" s="61" t="str">
        <f aca="false">IF($M3029=0,"",INDEX(Classes!$E$6:$E$420,$M3029))</f>
        <v/>
      </c>
      <c r="C3029" s="62" t="str">
        <f aca="false">IF($M3029=0,"",INDEX(Classes!$H$6:$H$420,$M3029))</f>
        <v/>
      </c>
      <c r="D3029" s="61" t="str">
        <f aca="false">IF($M3029=0,"",INDEX(Classes!$B$6:$B$420,$M3029))</f>
        <v/>
      </c>
      <c r="E3029" s="61" t="str">
        <f aca="false">IF($M3029=0,"",INDEX(Classes!$C$6:$C$420,$M3029))</f>
        <v/>
      </c>
      <c r="F3029" s="63"/>
      <c r="G3029" s="63"/>
      <c r="H3029" s="60"/>
      <c r="I3029" s="60"/>
      <c r="J3029" s="63"/>
      <c r="K3029" s="61" t="str">
        <f aca="false">IF($P3029=0,"",IF($F3029="Baseline","— Baseline",IF($O3029=0,"No result",IF($N3029=0,"No Start (attainment only)",IF(OR($N3029=1,$O3029=1),"U – needs rule",INDEX(MxBody,MATCH($I3029,MxCurr,0),MATCH($H3029,MxStart,0)))))))</f>
        <v/>
      </c>
      <c r="L3029" s="62" t="str">
        <f aca="false">IF(COUNTA($A3029,$F3029,$G3029,$H3029,$I3029,$J3029)=0,"",IF($M3029=0,"✖ كود الصف غير موجود",IF(ISNA(MATCH($F3029,Lists!$A$2:$A$5,0)),"✖ الفترة غير صحيحة",IF(ISNA(MATCH($G3029,Lists!$B$2:$B$7,0)),"✖ المجموعة غير صحيحة",IF(NOT(OR($H3029="",$N3029&gt;0)),"✖ Start غير صحيح",IF(NOT(OR($I3029="",$I3029="NR",$O3029&gt;0)),"✖ Current غير صحيح",IF(NOT(IF(ISNUMBER($J3029),AND($J3029&gt;=0,$J3029=INT($J3029)),FALSE())),"✖ العدد يجب أن يكون صحيحًا ≥ 0",IF(AND($F3029="Baseline",$H3029&lt;&gt;""),"⚠ Baseline: Start لا يدخل في التقدم",IF($K3029="No Start (attainment only)","ℹ تحصيل فقط (بدون Start)",IF($K3029="U – needs rule","ℹ حالة U تحتاج قاعدة معتمدة",IF($K3029="No result","ℹ بدون نتيجة (يُستبعد من التحصيل)","OK")))))))))))</f>
        <v/>
      </c>
      <c r="M3029" s="64" t="n">
        <f aca="false">IF($A3029="",0,IFERROR(MATCH($A3029,Classes!$A$6:$A$420,0),0))</f>
        <v>0</v>
      </c>
      <c r="N3029" s="64" t="n">
        <f aca="false">IF($H3029="",0,IFERROR(MATCH($H3029,GradeList,0),0))</f>
        <v>0</v>
      </c>
      <c r="O3029" s="64" t="n">
        <f aca="false">IF(OR($I3029="",$I3029="NR"),0,IFERROR(MATCH($I3029,GradeList,0),0))</f>
        <v>0</v>
      </c>
      <c r="P3029" s="64" t="n">
        <f aca="false">IF(AND($M3029&gt;0,ISNUMBER(MATCH($F3029,Lists!$A$2:$A$5,0)),ISNUMBER(MATCH($G3029,Lists!$B$2:$B$7,0)),OR($H3029="",$N3029&gt;0),OR($I3029="",$I3029="NR",$O3029&gt;0),IF(ISNUMBER($J3029),AND($J3029&gt;=0,$J3029=INT($J3029)),FALSE())),$J3029,0)</f>
        <v>0</v>
      </c>
      <c r="Q3029" s="64" t="n">
        <f aca="false">IF(AND($P3029&gt;0,$O3029&gt;0),$P3029,0)</f>
        <v>0</v>
      </c>
      <c r="R3029" s="64" t="n">
        <f aca="false">IF(AND($Q3029&gt;0,$O3029&gt;=AtRank),$Q3029,0)</f>
        <v>0</v>
      </c>
      <c r="S3029" s="64" t="n">
        <f aca="false">IF(AND($Q3029&gt;0,$O3029&gt;=AboveRank),$Q3029,0)</f>
        <v>0</v>
      </c>
      <c r="T3029" s="64" t="n">
        <f aca="false">IF($K3029="Less",$P3029,0)</f>
        <v>0</v>
      </c>
      <c r="U3029" s="64" t="n">
        <f aca="false">IF($K3029="Expected",$P3029,0)</f>
        <v>0</v>
      </c>
      <c r="V3029" s="64" t="n">
        <f aca="false">IF($K3029="Better",$P3029,0)</f>
        <v>0</v>
      </c>
      <c r="W3029" s="64" t="n">
        <f aca="false">IF($K3029="U – needs rule",$P3029,0)</f>
        <v>0</v>
      </c>
      <c r="X3029" s="64" t="n">
        <f aca="false">IF($K3029="No Start (attainment only)",$P3029,0)</f>
        <v>0</v>
      </c>
    </row>
    <row r="3030" customFormat="false" ht="15" hidden="false" customHeight="false" outlineLevel="0" collapsed="false">
      <c r="A3030" s="60"/>
      <c r="B3030" s="61" t="str">
        <f aca="false">IF($M3030=0,"",INDEX(Classes!$E$6:$E$420,$M3030))</f>
        <v/>
      </c>
      <c r="C3030" s="62" t="str">
        <f aca="false">IF($M3030=0,"",INDEX(Classes!$H$6:$H$420,$M3030))</f>
        <v/>
      </c>
      <c r="D3030" s="61" t="str">
        <f aca="false">IF($M3030=0,"",INDEX(Classes!$B$6:$B$420,$M3030))</f>
        <v/>
      </c>
      <c r="E3030" s="61" t="str">
        <f aca="false">IF($M3030=0,"",INDEX(Classes!$C$6:$C$420,$M3030))</f>
        <v/>
      </c>
      <c r="F3030" s="63"/>
      <c r="G3030" s="63"/>
      <c r="H3030" s="60"/>
      <c r="I3030" s="60"/>
      <c r="J3030" s="63"/>
      <c r="K3030" s="61" t="str">
        <f aca="false">IF($P3030=0,"",IF($F3030="Baseline","— Baseline",IF($O3030=0,"No result",IF($N3030=0,"No Start (attainment only)",IF(OR($N3030=1,$O3030=1),"U – needs rule",INDEX(MxBody,MATCH($I3030,MxCurr,0),MATCH($H3030,MxStart,0)))))))</f>
        <v/>
      </c>
      <c r="L3030" s="62" t="str">
        <f aca="false">IF(COUNTA($A3030,$F3030,$G3030,$H3030,$I3030,$J3030)=0,"",IF($M3030=0,"✖ كود الصف غير موجود",IF(ISNA(MATCH($F3030,Lists!$A$2:$A$5,0)),"✖ الفترة غير صحيحة",IF(ISNA(MATCH($G3030,Lists!$B$2:$B$7,0)),"✖ المجموعة غير صحيحة",IF(NOT(OR($H3030="",$N3030&gt;0)),"✖ Start غير صحيح",IF(NOT(OR($I3030="",$I3030="NR",$O3030&gt;0)),"✖ Current غير صحيح",IF(NOT(IF(ISNUMBER($J3030),AND($J3030&gt;=0,$J3030=INT($J3030)),FALSE())),"✖ العدد يجب أن يكون صحيحًا ≥ 0",IF(AND($F3030="Baseline",$H3030&lt;&gt;""),"⚠ Baseline: Start لا يدخل في التقدم",IF($K3030="No Start (attainment only)","ℹ تحصيل فقط (بدون Start)",IF($K3030="U – needs rule","ℹ حالة U تحتاج قاعدة معتمدة",IF($K3030="No result","ℹ بدون نتيجة (يُستبعد من التحصيل)","OK")))))))))))</f>
        <v/>
      </c>
      <c r="M3030" s="64" t="n">
        <f aca="false">IF($A3030="",0,IFERROR(MATCH($A3030,Classes!$A$6:$A$420,0),0))</f>
        <v>0</v>
      </c>
      <c r="N3030" s="64" t="n">
        <f aca="false">IF($H3030="",0,IFERROR(MATCH($H3030,GradeList,0),0))</f>
        <v>0</v>
      </c>
      <c r="O3030" s="64" t="n">
        <f aca="false">IF(OR($I3030="",$I3030="NR"),0,IFERROR(MATCH($I3030,GradeList,0),0))</f>
        <v>0</v>
      </c>
      <c r="P3030" s="64" t="n">
        <f aca="false">IF(AND($M3030&gt;0,ISNUMBER(MATCH($F3030,Lists!$A$2:$A$5,0)),ISNUMBER(MATCH($G3030,Lists!$B$2:$B$7,0)),OR($H3030="",$N3030&gt;0),OR($I3030="",$I3030="NR",$O3030&gt;0),IF(ISNUMBER($J3030),AND($J3030&gt;=0,$J3030=INT($J3030)),FALSE())),$J3030,0)</f>
        <v>0</v>
      </c>
      <c r="Q3030" s="64" t="n">
        <f aca="false">IF(AND($P3030&gt;0,$O3030&gt;0),$P3030,0)</f>
        <v>0</v>
      </c>
      <c r="R3030" s="64" t="n">
        <f aca="false">IF(AND($Q3030&gt;0,$O3030&gt;=AtRank),$Q3030,0)</f>
        <v>0</v>
      </c>
      <c r="S3030" s="64" t="n">
        <f aca="false">IF(AND($Q3030&gt;0,$O3030&gt;=AboveRank),$Q3030,0)</f>
        <v>0</v>
      </c>
      <c r="T3030" s="64" t="n">
        <f aca="false">IF($K3030="Less",$P3030,0)</f>
        <v>0</v>
      </c>
      <c r="U3030" s="64" t="n">
        <f aca="false">IF($K3030="Expected",$P3030,0)</f>
        <v>0</v>
      </c>
      <c r="V3030" s="64" t="n">
        <f aca="false">IF($K3030="Better",$P3030,0)</f>
        <v>0</v>
      </c>
      <c r="W3030" s="64" t="n">
        <f aca="false">IF($K3030="U – needs rule",$P3030,0)</f>
        <v>0</v>
      </c>
      <c r="X3030" s="64" t="n">
        <f aca="false">IF($K3030="No Start (attainment only)",$P3030,0)</f>
        <v>0</v>
      </c>
    </row>
    <row r="3031" customFormat="false" ht="15" hidden="false" customHeight="false" outlineLevel="0" collapsed="false">
      <c r="A3031" s="60"/>
      <c r="B3031" s="61" t="str">
        <f aca="false">IF($M3031=0,"",INDEX(Classes!$E$6:$E$420,$M3031))</f>
        <v/>
      </c>
      <c r="C3031" s="62" t="str">
        <f aca="false">IF($M3031=0,"",INDEX(Classes!$H$6:$H$420,$M3031))</f>
        <v/>
      </c>
      <c r="D3031" s="61" t="str">
        <f aca="false">IF($M3031=0,"",INDEX(Classes!$B$6:$B$420,$M3031))</f>
        <v/>
      </c>
      <c r="E3031" s="61" t="str">
        <f aca="false">IF($M3031=0,"",INDEX(Classes!$C$6:$C$420,$M3031))</f>
        <v/>
      </c>
      <c r="F3031" s="63"/>
      <c r="G3031" s="63"/>
      <c r="H3031" s="60"/>
      <c r="I3031" s="60"/>
      <c r="J3031" s="63"/>
      <c r="K3031" s="61" t="str">
        <f aca="false">IF($P3031=0,"",IF($F3031="Baseline","— Baseline",IF($O3031=0,"No result",IF($N3031=0,"No Start (attainment only)",IF(OR($N3031=1,$O3031=1),"U – needs rule",INDEX(MxBody,MATCH($I3031,MxCurr,0),MATCH($H3031,MxStart,0)))))))</f>
        <v/>
      </c>
      <c r="L3031" s="62" t="str">
        <f aca="false">IF(COUNTA($A3031,$F3031,$G3031,$H3031,$I3031,$J3031)=0,"",IF($M3031=0,"✖ كود الصف غير موجود",IF(ISNA(MATCH($F3031,Lists!$A$2:$A$5,0)),"✖ الفترة غير صحيحة",IF(ISNA(MATCH($G3031,Lists!$B$2:$B$7,0)),"✖ المجموعة غير صحيحة",IF(NOT(OR($H3031="",$N3031&gt;0)),"✖ Start غير صحيح",IF(NOT(OR($I3031="",$I3031="NR",$O3031&gt;0)),"✖ Current غير صحيح",IF(NOT(IF(ISNUMBER($J3031),AND($J3031&gt;=0,$J3031=INT($J3031)),FALSE())),"✖ العدد يجب أن يكون صحيحًا ≥ 0",IF(AND($F3031="Baseline",$H3031&lt;&gt;""),"⚠ Baseline: Start لا يدخل في التقدم",IF($K3031="No Start (attainment only)","ℹ تحصيل فقط (بدون Start)",IF($K3031="U – needs rule","ℹ حالة U تحتاج قاعدة معتمدة",IF($K3031="No result","ℹ بدون نتيجة (يُستبعد من التحصيل)","OK")))))))))))</f>
        <v/>
      </c>
      <c r="M3031" s="64" t="n">
        <f aca="false">IF($A3031="",0,IFERROR(MATCH($A3031,Classes!$A$6:$A$420,0),0))</f>
        <v>0</v>
      </c>
      <c r="N3031" s="64" t="n">
        <f aca="false">IF($H3031="",0,IFERROR(MATCH($H3031,GradeList,0),0))</f>
        <v>0</v>
      </c>
      <c r="O3031" s="64" t="n">
        <f aca="false">IF(OR($I3031="",$I3031="NR"),0,IFERROR(MATCH($I3031,GradeList,0),0))</f>
        <v>0</v>
      </c>
      <c r="P3031" s="64" t="n">
        <f aca="false">IF(AND($M3031&gt;0,ISNUMBER(MATCH($F3031,Lists!$A$2:$A$5,0)),ISNUMBER(MATCH($G3031,Lists!$B$2:$B$7,0)),OR($H3031="",$N3031&gt;0),OR($I3031="",$I3031="NR",$O3031&gt;0),IF(ISNUMBER($J3031),AND($J3031&gt;=0,$J3031=INT($J3031)),FALSE())),$J3031,0)</f>
        <v>0</v>
      </c>
      <c r="Q3031" s="64" t="n">
        <f aca="false">IF(AND($P3031&gt;0,$O3031&gt;0),$P3031,0)</f>
        <v>0</v>
      </c>
      <c r="R3031" s="64" t="n">
        <f aca="false">IF(AND($Q3031&gt;0,$O3031&gt;=AtRank),$Q3031,0)</f>
        <v>0</v>
      </c>
      <c r="S3031" s="64" t="n">
        <f aca="false">IF(AND($Q3031&gt;0,$O3031&gt;=AboveRank),$Q3031,0)</f>
        <v>0</v>
      </c>
      <c r="T3031" s="64" t="n">
        <f aca="false">IF($K3031="Less",$P3031,0)</f>
        <v>0</v>
      </c>
      <c r="U3031" s="64" t="n">
        <f aca="false">IF($K3031="Expected",$P3031,0)</f>
        <v>0</v>
      </c>
      <c r="V3031" s="64" t="n">
        <f aca="false">IF($K3031="Better",$P3031,0)</f>
        <v>0</v>
      </c>
      <c r="W3031" s="64" t="n">
        <f aca="false">IF($K3031="U – needs rule",$P3031,0)</f>
        <v>0</v>
      </c>
      <c r="X3031" s="64" t="n">
        <f aca="false">IF($K3031="No Start (attainment only)",$P3031,0)</f>
        <v>0</v>
      </c>
    </row>
    <row r="3032" customFormat="false" ht="15" hidden="false" customHeight="false" outlineLevel="0" collapsed="false">
      <c r="A3032" s="60"/>
      <c r="B3032" s="61" t="str">
        <f aca="false">IF($M3032=0,"",INDEX(Classes!$E$6:$E$420,$M3032))</f>
        <v/>
      </c>
      <c r="C3032" s="62" t="str">
        <f aca="false">IF($M3032=0,"",INDEX(Classes!$H$6:$H$420,$M3032))</f>
        <v/>
      </c>
      <c r="D3032" s="61" t="str">
        <f aca="false">IF($M3032=0,"",INDEX(Classes!$B$6:$B$420,$M3032))</f>
        <v/>
      </c>
      <c r="E3032" s="61" t="str">
        <f aca="false">IF($M3032=0,"",INDEX(Classes!$C$6:$C$420,$M3032))</f>
        <v/>
      </c>
      <c r="F3032" s="63"/>
      <c r="G3032" s="63"/>
      <c r="H3032" s="60"/>
      <c r="I3032" s="60"/>
      <c r="J3032" s="63"/>
      <c r="K3032" s="61" t="str">
        <f aca="false">IF($P3032=0,"",IF($F3032="Baseline","— Baseline",IF($O3032=0,"No result",IF($N3032=0,"No Start (attainment only)",IF(OR($N3032=1,$O3032=1),"U – needs rule",INDEX(MxBody,MATCH($I3032,MxCurr,0),MATCH($H3032,MxStart,0)))))))</f>
        <v/>
      </c>
      <c r="L3032" s="62" t="str">
        <f aca="false">IF(COUNTA($A3032,$F3032,$G3032,$H3032,$I3032,$J3032)=0,"",IF($M3032=0,"✖ كود الصف غير موجود",IF(ISNA(MATCH($F3032,Lists!$A$2:$A$5,0)),"✖ الفترة غير صحيحة",IF(ISNA(MATCH($G3032,Lists!$B$2:$B$7,0)),"✖ المجموعة غير صحيحة",IF(NOT(OR($H3032="",$N3032&gt;0)),"✖ Start غير صحيح",IF(NOT(OR($I3032="",$I3032="NR",$O3032&gt;0)),"✖ Current غير صحيح",IF(NOT(IF(ISNUMBER($J3032),AND($J3032&gt;=0,$J3032=INT($J3032)),FALSE())),"✖ العدد يجب أن يكون صحيحًا ≥ 0",IF(AND($F3032="Baseline",$H3032&lt;&gt;""),"⚠ Baseline: Start لا يدخل في التقدم",IF($K3032="No Start (attainment only)","ℹ تحصيل فقط (بدون Start)",IF($K3032="U – needs rule","ℹ حالة U تحتاج قاعدة معتمدة",IF($K3032="No result","ℹ بدون نتيجة (يُستبعد من التحصيل)","OK")))))))))))</f>
        <v/>
      </c>
      <c r="M3032" s="64" t="n">
        <f aca="false">IF($A3032="",0,IFERROR(MATCH($A3032,Classes!$A$6:$A$420,0),0))</f>
        <v>0</v>
      </c>
      <c r="N3032" s="64" t="n">
        <f aca="false">IF($H3032="",0,IFERROR(MATCH($H3032,GradeList,0),0))</f>
        <v>0</v>
      </c>
      <c r="O3032" s="64" t="n">
        <f aca="false">IF(OR($I3032="",$I3032="NR"),0,IFERROR(MATCH($I3032,GradeList,0),0))</f>
        <v>0</v>
      </c>
      <c r="P3032" s="64" t="n">
        <f aca="false">IF(AND($M3032&gt;0,ISNUMBER(MATCH($F3032,Lists!$A$2:$A$5,0)),ISNUMBER(MATCH($G3032,Lists!$B$2:$B$7,0)),OR($H3032="",$N3032&gt;0),OR($I3032="",$I3032="NR",$O3032&gt;0),IF(ISNUMBER($J3032),AND($J3032&gt;=0,$J3032=INT($J3032)),FALSE())),$J3032,0)</f>
        <v>0</v>
      </c>
      <c r="Q3032" s="64" t="n">
        <f aca="false">IF(AND($P3032&gt;0,$O3032&gt;0),$P3032,0)</f>
        <v>0</v>
      </c>
      <c r="R3032" s="64" t="n">
        <f aca="false">IF(AND($Q3032&gt;0,$O3032&gt;=AtRank),$Q3032,0)</f>
        <v>0</v>
      </c>
      <c r="S3032" s="64" t="n">
        <f aca="false">IF(AND($Q3032&gt;0,$O3032&gt;=AboveRank),$Q3032,0)</f>
        <v>0</v>
      </c>
      <c r="T3032" s="64" t="n">
        <f aca="false">IF($K3032="Less",$P3032,0)</f>
        <v>0</v>
      </c>
      <c r="U3032" s="64" t="n">
        <f aca="false">IF($K3032="Expected",$P3032,0)</f>
        <v>0</v>
      </c>
      <c r="V3032" s="64" t="n">
        <f aca="false">IF($K3032="Better",$P3032,0)</f>
        <v>0</v>
      </c>
      <c r="W3032" s="64" t="n">
        <f aca="false">IF($K3032="U – needs rule",$P3032,0)</f>
        <v>0</v>
      </c>
      <c r="X3032" s="64" t="n">
        <f aca="false">IF($K3032="No Start (attainment only)",$P3032,0)</f>
        <v>0</v>
      </c>
    </row>
    <row r="3033" customFormat="false" ht="15" hidden="false" customHeight="false" outlineLevel="0" collapsed="false">
      <c r="A3033" s="60"/>
      <c r="B3033" s="61" t="str">
        <f aca="false">IF($M3033=0,"",INDEX(Classes!$E$6:$E$420,$M3033))</f>
        <v/>
      </c>
      <c r="C3033" s="62" t="str">
        <f aca="false">IF($M3033=0,"",INDEX(Classes!$H$6:$H$420,$M3033))</f>
        <v/>
      </c>
      <c r="D3033" s="61" t="str">
        <f aca="false">IF($M3033=0,"",INDEX(Classes!$B$6:$B$420,$M3033))</f>
        <v/>
      </c>
      <c r="E3033" s="61" t="str">
        <f aca="false">IF($M3033=0,"",INDEX(Classes!$C$6:$C$420,$M3033))</f>
        <v/>
      </c>
      <c r="F3033" s="63"/>
      <c r="G3033" s="63"/>
      <c r="H3033" s="60"/>
      <c r="I3033" s="60"/>
      <c r="J3033" s="63"/>
      <c r="K3033" s="61" t="str">
        <f aca="false">IF($P3033=0,"",IF($F3033="Baseline","— Baseline",IF($O3033=0,"No result",IF($N3033=0,"No Start (attainment only)",IF(OR($N3033=1,$O3033=1),"U – needs rule",INDEX(MxBody,MATCH($I3033,MxCurr,0),MATCH($H3033,MxStart,0)))))))</f>
        <v/>
      </c>
      <c r="L3033" s="62" t="str">
        <f aca="false">IF(COUNTA($A3033,$F3033,$G3033,$H3033,$I3033,$J3033)=0,"",IF($M3033=0,"✖ كود الصف غير موجود",IF(ISNA(MATCH($F3033,Lists!$A$2:$A$5,0)),"✖ الفترة غير صحيحة",IF(ISNA(MATCH($G3033,Lists!$B$2:$B$7,0)),"✖ المجموعة غير صحيحة",IF(NOT(OR($H3033="",$N3033&gt;0)),"✖ Start غير صحيح",IF(NOT(OR($I3033="",$I3033="NR",$O3033&gt;0)),"✖ Current غير صحيح",IF(NOT(IF(ISNUMBER($J3033),AND($J3033&gt;=0,$J3033=INT($J3033)),FALSE())),"✖ العدد يجب أن يكون صحيحًا ≥ 0",IF(AND($F3033="Baseline",$H3033&lt;&gt;""),"⚠ Baseline: Start لا يدخل في التقدم",IF($K3033="No Start (attainment only)","ℹ تحصيل فقط (بدون Start)",IF($K3033="U – needs rule","ℹ حالة U تحتاج قاعدة معتمدة",IF($K3033="No result","ℹ بدون نتيجة (يُستبعد من التحصيل)","OK")))))))))))</f>
        <v/>
      </c>
      <c r="M3033" s="64" t="n">
        <f aca="false">IF($A3033="",0,IFERROR(MATCH($A3033,Classes!$A$6:$A$420,0),0))</f>
        <v>0</v>
      </c>
      <c r="N3033" s="64" t="n">
        <f aca="false">IF($H3033="",0,IFERROR(MATCH($H3033,GradeList,0),0))</f>
        <v>0</v>
      </c>
      <c r="O3033" s="64" t="n">
        <f aca="false">IF(OR($I3033="",$I3033="NR"),0,IFERROR(MATCH($I3033,GradeList,0),0))</f>
        <v>0</v>
      </c>
      <c r="P3033" s="64" t="n">
        <f aca="false">IF(AND($M3033&gt;0,ISNUMBER(MATCH($F3033,Lists!$A$2:$A$5,0)),ISNUMBER(MATCH($G3033,Lists!$B$2:$B$7,0)),OR($H3033="",$N3033&gt;0),OR($I3033="",$I3033="NR",$O3033&gt;0),IF(ISNUMBER($J3033),AND($J3033&gt;=0,$J3033=INT($J3033)),FALSE())),$J3033,0)</f>
        <v>0</v>
      </c>
      <c r="Q3033" s="64" t="n">
        <f aca="false">IF(AND($P3033&gt;0,$O3033&gt;0),$P3033,0)</f>
        <v>0</v>
      </c>
      <c r="R3033" s="64" t="n">
        <f aca="false">IF(AND($Q3033&gt;0,$O3033&gt;=AtRank),$Q3033,0)</f>
        <v>0</v>
      </c>
      <c r="S3033" s="64" t="n">
        <f aca="false">IF(AND($Q3033&gt;0,$O3033&gt;=AboveRank),$Q3033,0)</f>
        <v>0</v>
      </c>
      <c r="T3033" s="64" t="n">
        <f aca="false">IF($K3033="Less",$P3033,0)</f>
        <v>0</v>
      </c>
      <c r="U3033" s="64" t="n">
        <f aca="false">IF($K3033="Expected",$P3033,0)</f>
        <v>0</v>
      </c>
      <c r="V3033" s="64" t="n">
        <f aca="false">IF($K3033="Better",$P3033,0)</f>
        <v>0</v>
      </c>
      <c r="W3033" s="64" t="n">
        <f aca="false">IF($K3033="U – needs rule",$P3033,0)</f>
        <v>0</v>
      </c>
      <c r="X3033" s="64" t="n">
        <f aca="false">IF($K3033="No Start (attainment only)",$P3033,0)</f>
        <v>0</v>
      </c>
    </row>
    <row r="3034" customFormat="false" ht="15" hidden="false" customHeight="false" outlineLevel="0" collapsed="false">
      <c r="A3034" s="60"/>
      <c r="B3034" s="61" t="str">
        <f aca="false">IF($M3034=0,"",INDEX(Classes!$E$6:$E$420,$M3034))</f>
        <v/>
      </c>
      <c r="C3034" s="62" t="str">
        <f aca="false">IF($M3034=0,"",INDEX(Classes!$H$6:$H$420,$M3034))</f>
        <v/>
      </c>
      <c r="D3034" s="61" t="str">
        <f aca="false">IF($M3034=0,"",INDEX(Classes!$B$6:$B$420,$M3034))</f>
        <v/>
      </c>
      <c r="E3034" s="61" t="str">
        <f aca="false">IF($M3034=0,"",INDEX(Classes!$C$6:$C$420,$M3034))</f>
        <v/>
      </c>
      <c r="F3034" s="63"/>
      <c r="G3034" s="63"/>
      <c r="H3034" s="60"/>
      <c r="I3034" s="60"/>
      <c r="J3034" s="63"/>
      <c r="K3034" s="61" t="str">
        <f aca="false">IF($P3034=0,"",IF($F3034="Baseline","— Baseline",IF($O3034=0,"No result",IF($N3034=0,"No Start (attainment only)",IF(OR($N3034=1,$O3034=1),"U – needs rule",INDEX(MxBody,MATCH($I3034,MxCurr,0),MATCH($H3034,MxStart,0)))))))</f>
        <v/>
      </c>
      <c r="L3034" s="62" t="str">
        <f aca="false">IF(COUNTA($A3034,$F3034,$G3034,$H3034,$I3034,$J3034)=0,"",IF($M3034=0,"✖ كود الصف غير موجود",IF(ISNA(MATCH($F3034,Lists!$A$2:$A$5,0)),"✖ الفترة غير صحيحة",IF(ISNA(MATCH($G3034,Lists!$B$2:$B$7,0)),"✖ المجموعة غير صحيحة",IF(NOT(OR($H3034="",$N3034&gt;0)),"✖ Start غير صحيح",IF(NOT(OR($I3034="",$I3034="NR",$O3034&gt;0)),"✖ Current غير صحيح",IF(NOT(IF(ISNUMBER($J3034),AND($J3034&gt;=0,$J3034=INT($J3034)),FALSE())),"✖ العدد يجب أن يكون صحيحًا ≥ 0",IF(AND($F3034="Baseline",$H3034&lt;&gt;""),"⚠ Baseline: Start لا يدخل في التقدم",IF($K3034="No Start (attainment only)","ℹ تحصيل فقط (بدون Start)",IF($K3034="U – needs rule","ℹ حالة U تحتاج قاعدة معتمدة",IF($K3034="No result","ℹ بدون نتيجة (يُستبعد من التحصيل)","OK")))))))))))</f>
        <v/>
      </c>
      <c r="M3034" s="64" t="n">
        <f aca="false">IF($A3034="",0,IFERROR(MATCH($A3034,Classes!$A$6:$A$420,0),0))</f>
        <v>0</v>
      </c>
      <c r="N3034" s="64" t="n">
        <f aca="false">IF($H3034="",0,IFERROR(MATCH($H3034,GradeList,0),0))</f>
        <v>0</v>
      </c>
      <c r="O3034" s="64" t="n">
        <f aca="false">IF(OR($I3034="",$I3034="NR"),0,IFERROR(MATCH($I3034,GradeList,0),0))</f>
        <v>0</v>
      </c>
      <c r="P3034" s="64" t="n">
        <f aca="false">IF(AND($M3034&gt;0,ISNUMBER(MATCH($F3034,Lists!$A$2:$A$5,0)),ISNUMBER(MATCH($G3034,Lists!$B$2:$B$7,0)),OR($H3034="",$N3034&gt;0),OR($I3034="",$I3034="NR",$O3034&gt;0),IF(ISNUMBER($J3034),AND($J3034&gt;=0,$J3034=INT($J3034)),FALSE())),$J3034,0)</f>
        <v>0</v>
      </c>
      <c r="Q3034" s="64" t="n">
        <f aca="false">IF(AND($P3034&gt;0,$O3034&gt;0),$P3034,0)</f>
        <v>0</v>
      </c>
      <c r="R3034" s="64" t="n">
        <f aca="false">IF(AND($Q3034&gt;0,$O3034&gt;=AtRank),$Q3034,0)</f>
        <v>0</v>
      </c>
      <c r="S3034" s="64" t="n">
        <f aca="false">IF(AND($Q3034&gt;0,$O3034&gt;=AboveRank),$Q3034,0)</f>
        <v>0</v>
      </c>
      <c r="T3034" s="64" t="n">
        <f aca="false">IF($K3034="Less",$P3034,0)</f>
        <v>0</v>
      </c>
      <c r="U3034" s="64" t="n">
        <f aca="false">IF($K3034="Expected",$P3034,0)</f>
        <v>0</v>
      </c>
      <c r="V3034" s="64" t="n">
        <f aca="false">IF($K3034="Better",$P3034,0)</f>
        <v>0</v>
      </c>
      <c r="W3034" s="64" t="n">
        <f aca="false">IF($K3034="U – needs rule",$P3034,0)</f>
        <v>0</v>
      </c>
      <c r="X3034" s="64" t="n">
        <f aca="false">IF($K3034="No Start (attainment only)",$P3034,0)</f>
        <v>0</v>
      </c>
    </row>
    <row r="3035" customFormat="false" ht="15" hidden="false" customHeight="false" outlineLevel="0" collapsed="false">
      <c r="A3035" s="60"/>
      <c r="B3035" s="61" t="str">
        <f aca="false">IF($M3035=0,"",INDEX(Classes!$E$6:$E$420,$M3035))</f>
        <v/>
      </c>
      <c r="C3035" s="62" t="str">
        <f aca="false">IF($M3035=0,"",INDEX(Classes!$H$6:$H$420,$M3035))</f>
        <v/>
      </c>
      <c r="D3035" s="61" t="str">
        <f aca="false">IF($M3035=0,"",INDEX(Classes!$B$6:$B$420,$M3035))</f>
        <v/>
      </c>
      <c r="E3035" s="61" t="str">
        <f aca="false">IF($M3035=0,"",INDEX(Classes!$C$6:$C$420,$M3035))</f>
        <v/>
      </c>
      <c r="F3035" s="63"/>
      <c r="G3035" s="63"/>
      <c r="H3035" s="60"/>
      <c r="I3035" s="60"/>
      <c r="J3035" s="63"/>
      <c r="K3035" s="61" t="str">
        <f aca="false">IF($P3035=0,"",IF($F3035="Baseline","— Baseline",IF($O3035=0,"No result",IF($N3035=0,"No Start (attainment only)",IF(OR($N3035=1,$O3035=1),"U – needs rule",INDEX(MxBody,MATCH($I3035,MxCurr,0),MATCH($H3035,MxStart,0)))))))</f>
        <v/>
      </c>
      <c r="L3035" s="62" t="str">
        <f aca="false">IF(COUNTA($A3035,$F3035,$G3035,$H3035,$I3035,$J3035)=0,"",IF($M3035=0,"✖ كود الصف غير موجود",IF(ISNA(MATCH($F3035,Lists!$A$2:$A$5,0)),"✖ الفترة غير صحيحة",IF(ISNA(MATCH($G3035,Lists!$B$2:$B$7,0)),"✖ المجموعة غير صحيحة",IF(NOT(OR($H3035="",$N3035&gt;0)),"✖ Start غير صحيح",IF(NOT(OR($I3035="",$I3035="NR",$O3035&gt;0)),"✖ Current غير صحيح",IF(NOT(IF(ISNUMBER($J3035),AND($J3035&gt;=0,$J3035=INT($J3035)),FALSE())),"✖ العدد يجب أن يكون صحيحًا ≥ 0",IF(AND($F3035="Baseline",$H3035&lt;&gt;""),"⚠ Baseline: Start لا يدخل في التقدم",IF($K3035="No Start (attainment only)","ℹ تحصيل فقط (بدون Start)",IF($K3035="U – needs rule","ℹ حالة U تحتاج قاعدة معتمدة",IF($K3035="No result","ℹ بدون نتيجة (يُستبعد من التحصيل)","OK")))))))))))</f>
        <v/>
      </c>
      <c r="M3035" s="64" t="n">
        <f aca="false">IF($A3035="",0,IFERROR(MATCH($A3035,Classes!$A$6:$A$420,0),0))</f>
        <v>0</v>
      </c>
      <c r="N3035" s="64" t="n">
        <f aca="false">IF($H3035="",0,IFERROR(MATCH($H3035,GradeList,0),0))</f>
        <v>0</v>
      </c>
      <c r="O3035" s="64" t="n">
        <f aca="false">IF(OR($I3035="",$I3035="NR"),0,IFERROR(MATCH($I3035,GradeList,0),0))</f>
        <v>0</v>
      </c>
      <c r="P3035" s="64" t="n">
        <f aca="false">IF(AND($M3035&gt;0,ISNUMBER(MATCH($F3035,Lists!$A$2:$A$5,0)),ISNUMBER(MATCH($G3035,Lists!$B$2:$B$7,0)),OR($H3035="",$N3035&gt;0),OR($I3035="",$I3035="NR",$O3035&gt;0),IF(ISNUMBER($J3035),AND($J3035&gt;=0,$J3035=INT($J3035)),FALSE())),$J3035,0)</f>
        <v>0</v>
      </c>
      <c r="Q3035" s="64" t="n">
        <f aca="false">IF(AND($P3035&gt;0,$O3035&gt;0),$P3035,0)</f>
        <v>0</v>
      </c>
      <c r="R3035" s="64" t="n">
        <f aca="false">IF(AND($Q3035&gt;0,$O3035&gt;=AtRank),$Q3035,0)</f>
        <v>0</v>
      </c>
      <c r="S3035" s="64" t="n">
        <f aca="false">IF(AND($Q3035&gt;0,$O3035&gt;=AboveRank),$Q3035,0)</f>
        <v>0</v>
      </c>
      <c r="T3035" s="64" t="n">
        <f aca="false">IF($K3035="Less",$P3035,0)</f>
        <v>0</v>
      </c>
      <c r="U3035" s="64" t="n">
        <f aca="false">IF($K3035="Expected",$P3035,0)</f>
        <v>0</v>
      </c>
      <c r="V3035" s="64" t="n">
        <f aca="false">IF($K3035="Better",$P3035,0)</f>
        <v>0</v>
      </c>
      <c r="W3035" s="64" t="n">
        <f aca="false">IF($K3035="U – needs rule",$P3035,0)</f>
        <v>0</v>
      </c>
      <c r="X3035" s="64" t="n">
        <f aca="false">IF($K3035="No Start (attainment only)",$P3035,0)</f>
        <v>0</v>
      </c>
    </row>
    <row r="3036" customFormat="false" ht="15" hidden="false" customHeight="false" outlineLevel="0" collapsed="false">
      <c r="A3036" s="60"/>
      <c r="B3036" s="61" t="str">
        <f aca="false">IF($M3036=0,"",INDEX(Classes!$E$6:$E$420,$M3036))</f>
        <v/>
      </c>
      <c r="C3036" s="62" t="str">
        <f aca="false">IF($M3036=0,"",INDEX(Classes!$H$6:$H$420,$M3036))</f>
        <v/>
      </c>
      <c r="D3036" s="61" t="str">
        <f aca="false">IF($M3036=0,"",INDEX(Classes!$B$6:$B$420,$M3036))</f>
        <v/>
      </c>
      <c r="E3036" s="61" t="str">
        <f aca="false">IF($M3036=0,"",INDEX(Classes!$C$6:$C$420,$M3036))</f>
        <v/>
      </c>
      <c r="F3036" s="63"/>
      <c r="G3036" s="63"/>
      <c r="H3036" s="60"/>
      <c r="I3036" s="60"/>
      <c r="J3036" s="63"/>
      <c r="K3036" s="61" t="str">
        <f aca="false">IF($P3036=0,"",IF($F3036="Baseline","— Baseline",IF($O3036=0,"No result",IF($N3036=0,"No Start (attainment only)",IF(OR($N3036=1,$O3036=1),"U – needs rule",INDEX(MxBody,MATCH($I3036,MxCurr,0),MATCH($H3036,MxStart,0)))))))</f>
        <v/>
      </c>
      <c r="L3036" s="62" t="str">
        <f aca="false">IF(COUNTA($A3036,$F3036,$G3036,$H3036,$I3036,$J3036)=0,"",IF($M3036=0,"✖ كود الصف غير موجود",IF(ISNA(MATCH($F3036,Lists!$A$2:$A$5,0)),"✖ الفترة غير صحيحة",IF(ISNA(MATCH($G3036,Lists!$B$2:$B$7,0)),"✖ المجموعة غير صحيحة",IF(NOT(OR($H3036="",$N3036&gt;0)),"✖ Start غير صحيح",IF(NOT(OR($I3036="",$I3036="NR",$O3036&gt;0)),"✖ Current غير صحيح",IF(NOT(IF(ISNUMBER($J3036),AND($J3036&gt;=0,$J3036=INT($J3036)),FALSE())),"✖ العدد يجب أن يكون صحيحًا ≥ 0",IF(AND($F3036="Baseline",$H3036&lt;&gt;""),"⚠ Baseline: Start لا يدخل في التقدم",IF($K3036="No Start (attainment only)","ℹ تحصيل فقط (بدون Start)",IF($K3036="U – needs rule","ℹ حالة U تحتاج قاعدة معتمدة",IF($K3036="No result","ℹ بدون نتيجة (يُستبعد من التحصيل)","OK")))))))))))</f>
        <v/>
      </c>
      <c r="M3036" s="64" t="n">
        <f aca="false">IF($A3036="",0,IFERROR(MATCH($A3036,Classes!$A$6:$A$420,0),0))</f>
        <v>0</v>
      </c>
      <c r="N3036" s="64" t="n">
        <f aca="false">IF($H3036="",0,IFERROR(MATCH($H3036,GradeList,0),0))</f>
        <v>0</v>
      </c>
      <c r="O3036" s="64" t="n">
        <f aca="false">IF(OR($I3036="",$I3036="NR"),0,IFERROR(MATCH($I3036,GradeList,0),0))</f>
        <v>0</v>
      </c>
      <c r="P3036" s="64" t="n">
        <f aca="false">IF(AND($M3036&gt;0,ISNUMBER(MATCH($F3036,Lists!$A$2:$A$5,0)),ISNUMBER(MATCH($G3036,Lists!$B$2:$B$7,0)),OR($H3036="",$N3036&gt;0),OR($I3036="",$I3036="NR",$O3036&gt;0),IF(ISNUMBER($J3036),AND($J3036&gt;=0,$J3036=INT($J3036)),FALSE())),$J3036,0)</f>
        <v>0</v>
      </c>
      <c r="Q3036" s="64" t="n">
        <f aca="false">IF(AND($P3036&gt;0,$O3036&gt;0),$P3036,0)</f>
        <v>0</v>
      </c>
      <c r="R3036" s="64" t="n">
        <f aca="false">IF(AND($Q3036&gt;0,$O3036&gt;=AtRank),$Q3036,0)</f>
        <v>0</v>
      </c>
      <c r="S3036" s="64" t="n">
        <f aca="false">IF(AND($Q3036&gt;0,$O3036&gt;=AboveRank),$Q3036,0)</f>
        <v>0</v>
      </c>
      <c r="T3036" s="64" t="n">
        <f aca="false">IF($K3036="Less",$P3036,0)</f>
        <v>0</v>
      </c>
      <c r="U3036" s="64" t="n">
        <f aca="false">IF($K3036="Expected",$P3036,0)</f>
        <v>0</v>
      </c>
      <c r="V3036" s="64" t="n">
        <f aca="false">IF($K3036="Better",$P3036,0)</f>
        <v>0</v>
      </c>
      <c r="W3036" s="64" t="n">
        <f aca="false">IF($K3036="U – needs rule",$P3036,0)</f>
        <v>0</v>
      </c>
      <c r="X3036" s="64" t="n">
        <f aca="false">IF($K3036="No Start (attainment only)",$P3036,0)</f>
        <v>0</v>
      </c>
    </row>
    <row r="3037" customFormat="false" ht="15" hidden="false" customHeight="false" outlineLevel="0" collapsed="false">
      <c r="A3037" s="60"/>
      <c r="B3037" s="61" t="str">
        <f aca="false">IF($M3037=0,"",INDEX(Classes!$E$6:$E$420,$M3037))</f>
        <v/>
      </c>
      <c r="C3037" s="62" t="str">
        <f aca="false">IF($M3037=0,"",INDEX(Classes!$H$6:$H$420,$M3037))</f>
        <v/>
      </c>
      <c r="D3037" s="61" t="str">
        <f aca="false">IF($M3037=0,"",INDEX(Classes!$B$6:$B$420,$M3037))</f>
        <v/>
      </c>
      <c r="E3037" s="61" t="str">
        <f aca="false">IF($M3037=0,"",INDEX(Classes!$C$6:$C$420,$M3037))</f>
        <v/>
      </c>
      <c r="F3037" s="63"/>
      <c r="G3037" s="63"/>
      <c r="H3037" s="60"/>
      <c r="I3037" s="60"/>
      <c r="J3037" s="63"/>
      <c r="K3037" s="61" t="str">
        <f aca="false">IF($P3037=0,"",IF($F3037="Baseline","— Baseline",IF($O3037=0,"No result",IF($N3037=0,"No Start (attainment only)",IF(OR($N3037=1,$O3037=1),"U – needs rule",INDEX(MxBody,MATCH($I3037,MxCurr,0),MATCH($H3037,MxStart,0)))))))</f>
        <v/>
      </c>
      <c r="L3037" s="62" t="str">
        <f aca="false">IF(COUNTA($A3037,$F3037,$G3037,$H3037,$I3037,$J3037)=0,"",IF($M3037=0,"✖ كود الصف غير موجود",IF(ISNA(MATCH($F3037,Lists!$A$2:$A$5,0)),"✖ الفترة غير صحيحة",IF(ISNA(MATCH($G3037,Lists!$B$2:$B$7,0)),"✖ المجموعة غير صحيحة",IF(NOT(OR($H3037="",$N3037&gt;0)),"✖ Start غير صحيح",IF(NOT(OR($I3037="",$I3037="NR",$O3037&gt;0)),"✖ Current غير صحيح",IF(NOT(IF(ISNUMBER($J3037),AND($J3037&gt;=0,$J3037=INT($J3037)),FALSE())),"✖ العدد يجب أن يكون صحيحًا ≥ 0",IF(AND($F3037="Baseline",$H3037&lt;&gt;""),"⚠ Baseline: Start لا يدخل في التقدم",IF($K3037="No Start (attainment only)","ℹ تحصيل فقط (بدون Start)",IF($K3037="U – needs rule","ℹ حالة U تحتاج قاعدة معتمدة",IF($K3037="No result","ℹ بدون نتيجة (يُستبعد من التحصيل)","OK")))))))))))</f>
        <v/>
      </c>
      <c r="M3037" s="64" t="n">
        <f aca="false">IF($A3037="",0,IFERROR(MATCH($A3037,Classes!$A$6:$A$420,0),0))</f>
        <v>0</v>
      </c>
      <c r="N3037" s="64" t="n">
        <f aca="false">IF($H3037="",0,IFERROR(MATCH($H3037,GradeList,0),0))</f>
        <v>0</v>
      </c>
      <c r="O3037" s="64" t="n">
        <f aca="false">IF(OR($I3037="",$I3037="NR"),0,IFERROR(MATCH($I3037,GradeList,0),0))</f>
        <v>0</v>
      </c>
      <c r="P3037" s="64" t="n">
        <f aca="false">IF(AND($M3037&gt;0,ISNUMBER(MATCH($F3037,Lists!$A$2:$A$5,0)),ISNUMBER(MATCH($G3037,Lists!$B$2:$B$7,0)),OR($H3037="",$N3037&gt;0),OR($I3037="",$I3037="NR",$O3037&gt;0),IF(ISNUMBER($J3037),AND($J3037&gt;=0,$J3037=INT($J3037)),FALSE())),$J3037,0)</f>
        <v>0</v>
      </c>
      <c r="Q3037" s="64" t="n">
        <f aca="false">IF(AND($P3037&gt;0,$O3037&gt;0),$P3037,0)</f>
        <v>0</v>
      </c>
      <c r="R3037" s="64" t="n">
        <f aca="false">IF(AND($Q3037&gt;0,$O3037&gt;=AtRank),$Q3037,0)</f>
        <v>0</v>
      </c>
      <c r="S3037" s="64" t="n">
        <f aca="false">IF(AND($Q3037&gt;0,$O3037&gt;=AboveRank),$Q3037,0)</f>
        <v>0</v>
      </c>
      <c r="T3037" s="64" t="n">
        <f aca="false">IF($K3037="Less",$P3037,0)</f>
        <v>0</v>
      </c>
      <c r="U3037" s="64" t="n">
        <f aca="false">IF($K3037="Expected",$P3037,0)</f>
        <v>0</v>
      </c>
      <c r="V3037" s="64" t="n">
        <f aca="false">IF($K3037="Better",$P3037,0)</f>
        <v>0</v>
      </c>
      <c r="W3037" s="64" t="n">
        <f aca="false">IF($K3037="U – needs rule",$P3037,0)</f>
        <v>0</v>
      </c>
      <c r="X3037" s="64" t="n">
        <f aca="false">IF($K3037="No Start (attainment only)",$P3037,0)</f>
        <v>0</v>
      </c>
    </row>
    <row r="3038" customFormat="false" ht="15" hidden="false" customHeight="false" outlineLevel="0" collapsed="false">
      <c r="A3038" s="60"/>
      <c r="B3038" s="61" t="str">
        <f aca="false">IF($M3038=0,"",INDEX(Classes!$E$6:$E$420,$M3038))</f>
        <v/>
      </c>
      <c r="C3038" s="62" t="str">
        <f aca="false">IF($M3038=0,"",INDEX(Classes!$H$6:$H$420,$M3038))</f>
        <v/>
      </c>
      <c r="D3038" s="61" t="str">
        <f aca="false">IF($M3038=0,"",INDEX(Classes!$B$6:$B$420,$M3038))</f>
        <v/>
      </c>
      <c r="E3038" s="61" t="str">
        <f aca="false">IF($M3038=0,"",INDEX(Classes!$C$6:$C$420,$M3038))</f>
        <v/>
      </c>
      <c r="F3038" s="63"/>
      <c r="G3038" s="63"/>
      <c r="H3038" s="60"/>
      <c r="I3038" s="60"/>
      <c r="J3038" s="63"/>
      <c r="K3038" s="61" t="str">
        <f aca="false">IF($P3038=0,"",IF($F3038="Baseline","— Baseline",IF($O3038=0,"No result",IF($N3038=0,"No Start (attainment only)",IF(OR($N3038=1,$O3038=1),"U – needs rule",INDEX(MxBody,MATCH($I3038,MxCurr,0),MATCH($H3038,MxStart,0)))))))</f>
        <v/>
      </c>
      <c r="L3038" s="62" t="str">
        <f aca="false">IF(COUNTA($A3038,$F3038,$G3038,$H3038,$I3038,$J3038)=0,"",IF($M3038=0,"✖ كود الصف غير موجود",IF(ISNA(MATCH($F3038,Lists!$A$2:$A$5,0)),"✖ الفترة غير صحيحة",IF(ISNA(MATCH($G3038,Lists!$B$2:$B$7,0)),"✖ المجموعة غير صحيحة",IF(NOT(OR($H3038="",$N3038&gt;0)),"✖ Start غير صحيح",IF(NOT(OR($I3038="",$I3038="NR",$O3038&gt;0)),"✖ Current غير صحيح",IF(NOT(IF(ISNUMBER($J3038),AND($J3038&gt;=0,$J3038=INT($J3038)),FALSE())),"✖ العدد يجب أن يكون صحيحًا ≥ 0",IF(AND($F3038="Baseline",$H3038&lt;&gt;""),"⚠ Baseline: Start لا يدخل في التقدم",IF($K3038="No Start (attainment only)","ℹ تحصيل فقط (بدون Start)",IF($K3038="U – needs rule","ℹ حالة U تحتاج قاعدة معتمدة",IF($K3038="No result","ℹ بدون نتيجة (يُستبعد من التحصيل)","OK")))))))))))</f>
        <v/>
      </c>
      <c r="M3038" s="64" t="n">
        <f aca="false">IF($A3038="",0,IFERROR(MATCH($A3038,Classes!$A$6:$A$420,0),0))</f>
        <v>0</v>
      </c>
      <c r="N3038" s="64" t="n">
        <f aca="false">IF($H3038="",0,IFERROR(MATCH($H3038,GradeList,0),0))</f>
        <v>0</v>
      </c>
      <c r="O3038" s="64" t="n">
        <f aca="false">IF(OR($I3038="",$I3038="NR"),0,IFERROR(MATCH($I3038,GradeList,0),0))</f>
        <v>0</v>
      </c>
      <c r="P3038" s="64" t="n">
        <f aca="false">IF(AND($M3038&gt;0,ISNUMBER(MATCH($F3038,Lists!$A$2:$A$5,0)),ISNUMBER(MATCH($G3038,Lists!$B$2:$B$7,0)),OR($H3038="",$N3038&gt;0),OR($I3038="",$I3038="NR",$O3038&gt;0),IF(ISNUMBER($J3038),AND($J3038&gt;=0,$J3038=INT($J3038)),FALSE())),$J3038,0)</f>
        <v>0</v>
      </c>
      <c r="Q3038" s="64" t="n">
        <f aca="false">IF(AND($P3038&gt;0,$O3038&gt;0),$P3038,0)</f>
        <v>0</v>
      </c>
      <c r="R3038" s="64" t="n">
        <f aca="false">IF(AND($Q3038&gt;0,$O3038&gt;=AtRank),$Q3038,0)</f>
        <v>0</v>
      </c>
      <c r="S3038" s="64" t="n">
        <f aca="false">IF(AND($Q3038&gt;0,$O3038&gt;=AboveRank),$Q3038,0)</f>
        <v>0</v>
      </c>
      <c r="T3038" s="64" t="n">
        <f aca="false">IF($K3038="Less",$P3038,0)</f>
        <v>0</v>
      </c>
      <c r="U3038" s="64" t="n">
        <f aca="false">IF($K3038="Expected",$P3038,0)</f>
        <v>0</v>
      </c>
      <c r="V3038" s="64" t="n">
        <f aca="false">IF($K3038="Better",$P3038,0)</f>
        <v>0</v>
      </c>
      <c r="W3038" s="64" t="n">
        <f aca="false">IF($K3038="U – needs rule",$P3038,0)</f>
        <v>0</v>
      </c>
      <c r="X3038" s="64" t="n">
        <f aca="false">IF($K3038="No Start (attainment only)",$P3038,0)</f>
        <v>0</v>
      </c>
    </row>
    <row r="3039" customFormat="false" ht="15" hidden="false" customHeight="false" outlineLevel="0" collapsed="false">
      <c r="A3039" s="60"/>
      <c r="B3039" s="61" t="str">
        <f aca="false">IF($M3039=0,"",INDEX(Classes!$E$6:$E$420,$M3039))</f>
        <v/>
      </c>
      <c r="C3039" s="62" t="str">
        <f aca="false">IF($M3039=0,"",INDEX(Classes!$H$6:$H$420,$M3039))</f>
        <v/>
      </c>
      <c r="D3039" s="61" t="str">
        <f aca="false">IF($M3039=0,"",INDEX(Classes!$B$6:$B$420,$M3039))</f>
        <v/>
      </c>
      <c r="E3039" s="61" t="str">
        <f aca="false">IF($M3039=0,"",INDEX(Classes!$C$6:$C$420,$M3039))</f>
        <v/>
      </c>
      <c r="F3039" s="63"/>
      <c r="G3039" s="63"/>
      <c r="H3039" s="60"/>
      <c r="I3039" s="60"/>
      <c r="J3039" s="63"/>
      <c r="K3039" s="61" t="str">
        <f aca="false">IF($P3039=0,"",IF($F3039="Baseline","— Baseline",IF($O3039=0,"No result",IF($N3039=0,"No Start (attainment only)",IF(OR($N3039=1,$O3039=1),"U – needs rule",INDEX(MxBody,MATCH($I3039,MxCurr,0),MATCH($H3039,MxStart,0)))))))</f>
        <v/>
      </c>
      <c r="L3039" s="62" t="str">
        <f aca="false">IF(COUNTA($A3039,$F3039,$G3039,$H3039,$I3039,$J3039)=0,"",IF($M3039=0,"✖ كود الصف غير موجود",IF(ISNA(MATCH($F3039,Lists!$A$2:$A$5,0)),"✖ الفترة غير صحيحة",IF(ISNA(MATCH($G3039,Lists!$B$2:$B$7,0)),"✖ المجموعة غير صحيحة",IF(NOT(OR($H3039="",$N3039&gt;0)),"✖ Start غير صحيح",IF(NOT(OR($I3039="",$I3039="NR",$O3039&gt;0)),"✖ Current غير صحيح",IF(NOT(IF(ISNUMBER($J3039),AND($J3039&gt;=0,$J3039=INT($J3039)),FALSE())),"✖ العدد يجب أن يكون صحيحًا ≥ 0",IF(AND($F3039="Baseline",$H3039&lt;&gt;""),"⚠ Baseline: Start لا يدخل في التقدم",IF($K3039="No Start (attainment only)","ℹ تحصيل فقط (بدون Start)",IF($K3039="U – needs rule","ℹ حالة U تحتاج قاعدة معتمدة",IF($K3039="No result","ℹ بدون نتيجة (يُستبعد من التحصيل)","OK")))))))))))</f>
        <v/>
      </c>
      <c r="M3039" s="64" t="n">
        <f aca="false">IF($A3039="",0,IFERROR(MATCH($A3039,Classes!$A$6:$A$420,0),0))</f>
        <v>0</v>
      </c>
      <c r="N3039" s="64" t="n">
        <f aca="false">IF($H3039="",0,IFERROR(MATCH($H3039,GradeList,0),0))</f>
        <v>0</v>
      </c>
      <c r="O3039" s="64" t="n">
        <f aca="false">IF(OR($I3039="",$I3039="NR"),0,IFERROR(MATCH($I3039,GradeList,0),0))</f>
        <v>0</v>
      </c>
      <c r="P3039" s="64" t="n">
        <f aca="false">IF(AND($M3039&gt;0,ISNUMBER(MATCH($F3039,Lists!$A$2:$A$5,0)),ISNUMBER(MATCH($G3039,Lists!$B$2:$B$7,0)),OR($H3039="",$N3039&gt;0),OR($I3039="",$I3039="NR",$O3039&gt;0),IF(ISNUMBER($J3039),AND($J3039&gt;=0,$J3039=INT($J3039)),FALSE())),$J3039,0)</f>
        <v>0</v>
      </c>
      <c r="Q3039" s="64" t="n">
        <f aca="false">IF(AND($P3039&gt;0,$O3039&gt;0),$P3039,0)</f>
        <v>0</v>
      </c>
      <c r="R3039" s="64" t="n">
        <f aca="false">IF(AND($Q3039&gt;0,$O3039&gt;=AtRank),$Q3039,0)</f>
        <v>0</v>
      </c>
      <c r="S3039" s="64" t="n">
        <f aca="false">IF(AND($Q3039&gt;0,$O3039&gt;=AboveRank),$Q3039,0)</f>
        <v>0</v>
      </c>
      <c r="T3039" s="64" t="n">
        <f aca="false">IF($K3039="Less",$P3039,0)</f>
        <v>0</v>
      </c>
      <c r="U3039" s="64" t="n">
        <f aca="false">IF($K3039="Expected",$P3039,0)</f>
        <v>0</v>
      </c>
      <c r="V3039" s="64" t="n">
        <f aca="false">IF($K3039="Better",$P3039,0)</f>
        <v>0</v>
      </c>
      <c r="W3039" s="64" t="n">
        <f aca="false">IF($K3039="U – needs rule",$P3039,0)</f>
        <v>0</v>
      </c>
      <c r="X3039" s="64" t="n">
        <f aca="false">IF($K3039="No Start (attainment only)",$P3039,0)</f>
        <v>0</v>
      </c>
    </row>
    <row r="3040" customFormat="false" ht="15" hidden="false" customHeight="false" outlineLevel="0" collapsed="false">
      <c r="A3040" s="60"/>
      <c r="B3040" s="61" t="str">
        <f aca="false">IF($M3040=0,"",INDEX(Classes!$E$6:$E$420,$M3040))</f>
        <v/>
      </c>
      <c r="C3040" s="62" t="str">
        <f aca="false">IF($M3040=0,"",INDEX(Classes!$H$6:$H$420,$M3040))</f>
        <v/>
      </c>
      <c r="D3040" s="61" t="str">
        <f aca="false">IF($M3040=0,"",INDEX(Classes!$B$6:$B$420,$M3040))</f>
        <v/>
      </c>
      <c r="E3040" s="61" t="str">
        <f aca="false">IF($M3040=0,"",INDEX(Classes!$C$6:$C$420,$M3040))</f>
        <v/>
      </c>
      <c r="F3040" s="63"/>
      <c r="G3040" s="63"/>
      <c r="H3040" s="60"/>
      <c r="I3040" s="60"/>
      <c r="J3040" s="63"/>
      <c r="K3040" s="61" t="str">
        <f aca="false">IF($P3040=0,"",IF($F3040="Baseline","— Baseline",IF($O3040=0,"No result",IF($N3040=0,"No Start (attainment only)",IF(OR($N3040=1,$O3040=1),"U – needs rule",INDEX(MxBody,MATCH($I3040,MxCurr,0),MATCH($H3040,MxStart,0)))))))</f>
        <v/>
      </c>
      <c r="L3040" s="62" t="str">
        <f aca="false">IF(COUNTA($A3040,$F3040,$G3040,$H3040,$I3040,$J3040)=0,"",IF($M3040=0,"✖ كود الصف غير موجود",IF(ISNA(MATCH($F3040,Lists!$A$2:$A$5,0)),"✖ الفترة غير صحيحة",IF(ISNA(MATCH($G3040,Lists!$B$2:$B$7,0)),"✖ المجموعة غير صحيحة",IF(NOT(OR($H3040="",$N3040&gt;0)),"✖ Start غير صحيح",IF(NOT(OR($I3040="",$I3040="NR",$O3040&gt;0)),"✖ Current غير صحيح",IF(NOT(IF(ISNUMBER($J3040),AND($J3040&gt;=0,$J3040=INT($J3040)),FALSE())),"✖ العدد يجب أن يكون صحيحًا ≥ 0",IF(AND($F3040="Baseline",$H3040&lt;&gt;""),"⚠ Baseline: Start لا يدخل في التقدم",IF($K3040="No Start (attainment only)","ℹ تحصيل فقط (بدون Start)",IF($K3040="U – needs rule","ℹ حالة U تحتاج قاعدة معتمدة",IF($K3040="No result","ℹ بدون نتيجة (يُستبعد من التحصيل)","OK")))))))))))</f>
        <v/>
      </c>
      <c r="M3040" s="64" t="n">
        <f aca="false">IF($A3040="",0,IFERROR(MATCH($A3040,Classes!$A$6:$A$420,0),0))</f>
        <v>0</v>
      </c>
      <c r="N3040" s="64" t="n">
        <f aca="false">IF($H3040="",0,IFERROR(MATCH($H3040,GradeList,0),0))</f>
        <v>0</v>
      </c>
      <c r="O3040" s="64" t="n">
        <f aca="false">IF(OR($I3040="",$I3040="NR"),0,IFERROR(MATCH($I3040,GradeList,0),0))</f>
        <v>0</v>
      </c>
      <c r="P3040" s="64" t="n">
        <f aca="false">IF(AND($M3040&gt;0,ISNUMBER(MATCH($F3040,Lists!$A$2:$A$5,0)),ISNUMBER(MATCH($G3040,Lists!$B$2:$B$7,0)),OR($H3040="",$N3040&gt;0),OR($I3040="",$I3040="NR",$O3040&gt;0),IF(ISNUMBER($J3040),AND($J3040&gt;=0,$J3040=INT($J3040)),FALSE())),$J3040,0)</f>
        <v>0</v>
      </c>
      <c r="Q3040" s="64" t="n">
        <f aca="false">IF(AND($P3040&gt;0,$O3040&gt;0),$P3040,0)</f>
        <v>0</v>
      </c>
      <c r="R3040" s="64" t="n">
        <f aca="false">IF(AND($Q3040&gt;0,$O3040&gt;=AtRank),$Q3040,0)</f>
        <v>0</v>
      </c>
      <c r="S3040" s="64" t="n">
        <f aca="false">IF(AND($Q3040&gt;0,$O3040&gt;=AboveRank),$Q3040,0)</f>
        <v>0</v>
      </c>
      <c r="T3040" s="64" t="n">
        <f aca="false">IF($K3040="Less",$P3040,0)</f>
        <v>0</v>
      </c>
      <c r="U3040" s="64" t="n">
        <f aca="false">IF($K3040="Expected",$P3040,0)</f>
        <v>0</v>
      </c>
      <c r="V3040" s="64" t="n">
        <f aca="false">IF($K3040="Better",$P3040,0)</f>
        <v>0</v>
      </c>
      <c r="W3040" s="64" t="n">
        <f aca="false">IF($K3040="U – needs rule",$P3040,0)</f>
        <v>0</v>
      </c>
      <c r="X3040" s="64" t="n">
        <f aca="false">IF($K3040="No Start (attainment only)",$P3040,0)</f>
        <v>0</v>
      </c>
    </row>
    <row r="3041" customFormat="false" ht="15" hidden="false" customHeight="false" outlineLevel="0" collapsed="false">
      <c r="A3041" s="60"/>
      <c r="B3041" s="61" t="str">
        <f aca="false">IF($M3041=0,"",INDEX(Classes!$E$6:$E$420,$M3041))</f>
        <v/>
      </c>
      <c r="C3041" s="62" t="str">
        <f aca="false">IF($M3041=0,"",INDEX(Classes!$H$6:$H$420,$M3041))</f>
        <v/>
      </c>
      <c r="D3041" s="61" t="str">
        <f aca="false">IF($M3041=0,"",INDEX(Classes!$B$6:$B$420,$M3041))</f>
        <v/>
      </c>
      <c r="E3041" s="61" t="str">
        <f aca="false">IF($M3041=0,"",INDEX(Classes!$C$6:$C$420,$M3041))</f>
        <v/>
      </c>
      <c r="F3041" s="63"/>
      <c r="G3041" s="63"/>
      <c r="H3041" s="60"/>
      <c r="I3041" s="60"/>
      <c r="J3041" s="63"/>
      <c r="K3041" s="61" t="str">
        <f aca="false">IF($P3041=0,"",IF($F3041="Baseline","— Baseline",IF($O3041=0,"No result",IF($N3041=0,"No Start (attainment only)",IF(OR($N3041=1,$O3041=1),"U – needs rule",INDEX(MxBody,MATCH($I3041,MxCurr,0),MATCH($H3041,MxStart,0)))))))</f>
        <v/>
      </c>
      <c r="L3041" s="62" t="str">
        <f aca="false">IF(COUNTA($A3041,$F3041,$G3041,$H3041,$I3041,$J3041)=0,"",IF($M3041=0,"✖ كود الصف غير موجود",IF(ISNA(MATCH($F3041,Lists!$A$2:$A$5,0)),"✖ الفترة غير صحيحة",IF(ISNA(MATCH($G3041,Lists!$B$2:$B$7,0)),"✖ المجموعة غير صحيحة",IF(NOT(OR($H3041="",$N3041&gt;0)),"✖ Start غير صحيح",IF(NOT(OR($I3041="",$I3041="NR",$O3041&gt;0)),"✖ Current غير صحيح",IF(NOT(IF(ISNUMBER($J3041),AND($J3041&gt;=0,$J3041=INT($J3041)),FALSE())),"✖ العدد يجب أن يكون صحيحًا ≥ 0",IF(AND($F3041="Baseline",$H3041&lt;&gt;""),"⚠ Baseline: Start لا يدخل في التقدم",IF($K3041="No Start (attainment only)","ℹ تحصيل فقط (بدون Start)",IF($K3041="U – needs rule","ℹ حالة U تحتاج قاعدة معتمدة",IF($K3041="No result","ℹ بدون نتيجة (يُستبعد من التحصيل)","OK")))))))))))</f>
        <v/>
      </c>
      <c r="M3041" s="64" t="n">
        <f aca="false">IF($A3041="",0,IFERROR(MATCH($A3041,Classes!$A$6:$A$420,0),0))</f>
        <v>0</v>
      </c>
      <c r="N3041" s="64" t="n">
        <f aca="false">IF($H3041="",0,IFERROR(MATCH($H3041,GradeList,0),0))</f>
        <v>0</v>
      </c>
      <c r="O3041" s="64" t="n">
        <f aca="false">IF(OR($I3041="",$I3041="NR"),0,IFERROR(MATCH($I3041,GradeList,0),0))</f>
        <v>0</v>
      </c>
      <c r="P3041" s="64" t="n">
        <f aca="false">IF(AND($M3041&gt;0,ISNUMBER(MATCH($F3041,Lists!$A$2:$A$5,0)),ISNUMBER(MATCH($G3041,Lists!$B$2:$B$7,0)),OR($H3041="",$N3041&gt;0),OR($I3041="",$I3041="NR",$O3041&gt;0),IF(ISNUMBER($J3041),AND($J3041&gt;=0,$J3041=INT($J3041)),FALSE())),$J3041,0)</f>
        <v>0</v>
      </c>
      <c r="Q3041" s="64" t="n">
        <f aca="false">IF(AND($P3041&gt;0,$O3041&gt;0),$P3041,0)</f>
        <v>0</v>
      </c>
      <c r="R3041" s="64" t="n">
        <f aca="false">IF(AND($Q3041&gt;0,$O3041&gt;=AtRank),$Q3041,0)</f>
        <v>0</v>
      </c>
      <c r="S3041" s="64" t="n">
        <f aca="false">IF(AND($Q3041&gt;0,$O3041&gt;=AboveRank),$Q3041,0)</f>
        <v>0</v>
      </c>
      <c r="T3041" s="64" t="n">
        <f aca="false">IF($K3041="Less",$P3041,0)</f>
        <v>0</v>
      </c>
      <c r="U3041" s="64" t="n">
        <f aca="false">IF($K3041="Expected",$P3041,0)</f>
        <v>0</v>
      </c>
      <c r="V3041" s="64" t="n">
        <f aca="false">IF($K3041="Better",$P3041,0)</f>
        <v>0</v>
      </c>
      <c r="W3041" s="64" t="n">
        <f aca="false">IF($K3041="U – needs rule",$P3041,0)</f>
        <v>0</v>
      </c>
      <c r="X3041" s="64" t="n">
        <f aca="false">IF($K3041="No Start (attainment only)",$P3041,0)</f>
        <v>0</v>
      </c>
    </row>
    <row r="3042" customFormat="false" ht="15" hidden="false" customHeight="false" outlineLevel="0" collapsed="false">
      <c r="A3042" s="60"/>
      <c r="B3042" s="61" t="str">
        <f aca="false">IF($M3042=0,"",INDEX(Classes!$E$6:$E$420,$M3042))</f>
        <v/>
      </c>
      <c r="C3042" s="62" t="str">
        <f aca="false">IF($M3042=0,"",INDEX(Classes!$H$6:$H$420,$M3042))</f>
        <v/>
      </c>
      <c r="D3042" s="61" t="str">
        <f aca="false">IF($M3042=0,"",INDEX(Classes!$B$6:$B$420,$M3042))</f>
        <v/>
      </c>
      <c r="E3042" s="61" t="str">
        <f aca="false">IF($M3042=0,"",INDEX(Classes!$C$6:$C$420,$M3042))</f>
        <v/>
      </c>
      <c r="F3042" s="63"/>
      <c r="G3042" s="63"/>
      <c r="H3042" s="60"/>
      <c r="I3042" s="60"/>
      <c r="J3042" s="63"/>
      <c r="K3042" s="61" t="str">
        <f aca="false">IF($P3042=0,"",IF($F3042="Baseline","— Baseline",IF($O3042=0,"No result",IF($N3042=0,"No Start (attainment only)",IF(OR($N3042=1,$O3042=1),"U – needs rule",INDEX(MxBody,MATCH($I3042,MxCurr,0),MATCH($H3042,MxStart,0)))))))</f>
        <v/>
      </c>
      <c r="L3042" s="62" t="str">
        <f aca="false">IF(COUNTA($A3042,$F3042,$G3042,$H3042,$I3042,$J3042)=0,"",IF($M3042=0,"✖ كود الصف غير موجود",IF(ISNA(MATCH($F3042,Lists!$A$2:$A$5,0)),"✖ الفترة غير صحيحة",IF(ISNA(MATCH($G3042,Lists!$B$2:$B$7,0)),"✖ المجموعة غير صحيحة",IF(NOT(OR($H3042="",$N3042&gt;0)),"✖ Start غير صحيح",IF(NOT(OR($I3042="",$I3042="NR",$O3042&gt;0)),"✖ Current غير صحيح",IF(NOT(IF(ISNUMBER($J3042),AND($J3042&gt;=0,$J3042=INT($J3042)),FALSE())),"✖ العدد يجب أن يكون صحيحًا ≥ 0",IF(AND($F3042="Baseline",$H3042&lt;&gt;""),"⚠ Baseline: Start لا يدخل في التقدم",IF($K3042="No Start (attainment only)","ℹ تحصيل فقط (بدون Start)",IF($K3042="U – needs rule","ℹ حالة U تحتاج قاعدة معتمدة",IF($K3042="No result","ℹ بدون نتيجة (يُستبعد من التحصيل)","OK")))))))))))</f>
        <v/>
      </c>
      <c r="M3042" s="64" t="n">
        <f aca="false">IF($A3042="",0,IFERROR(MATCH($A3042,Classes!$A$6:$A$420,0),0))</f>
        <v>0</v>
      </c>
      <c r="N3042" s="64" t="n">
        <f aca="false">IF($H3042="",0,IFERROR(MATCH($H3042,GradeList,0),0))</f>
        <v>0</v>
      </c>
      <c r="O3042" s="64" t="n">
        <f aca="false">IF(OR($I3042="",$I3042="NR"),0,IFERROR(MATCH($I3042,GradeList,0),0))</f>
        <v>0</v>
      </c>
      <c r="P3042" s="64" t="n">
        <f aca="false">IF(AND($M3042&gt;0,ISNUMBER(MATCH($F3042,Lists!$A$2:$A$5,0)),ISNUMBER(MATCH($G3042,Lists!$B$2:$B$7,0)),OR($H3042="",$N3042&gt;0),OR($I3042="",$I3042="NR",$O3042&gt;0),IF(ISNUMBER($J3042),AND($J3042&gt;=0,$J3042=INT($J3042)),FALSE())),$J3042,0)</f>
        <v>0</v>
      </c>
      <c r="Q3042" s="64" t="n">
        <f aca="false">IF(AND($P3042&gt;0,$O3042&gt;0),$P3042,0)</f>
        <v>0</v>
      </c>
      <c r="R3042" s="64" t="n">
        <f aca="false">IF(AND($Q3042&gt;0,$O3042&gt;=AtRank),$Q3042,0)</f>
        <v>0</v>
      </c>
      <c r="S3042" s="64" t="n">
        <f aca="false">IF(AND($Q3042&gt;0,$O3042&gt;=AboveRank),$Q3042,0)</f>
        <v>0</v>
      </c>
      <c r="T3042" s="64" t="n">
        <f aca="false">IF($K3042="Less",$P3042,0)</f>
        <v>0</v>
      </c>
      <c r="U3042" s="64" t="n">
        <f aca="false">IF($K3042="Expected",$P3042,0)</f>
        <v>0</v>
      </c>
      <c r="V3042" s="64" t="n">
        <f aca="false">IF($K3042="Better",$P3042,0)</f>
        <v>0</v>
      </c>
      <c r="W3042" s="64" t="n">
        <f aca="false">IF($K3042="U – needs rule",$P3042,0)</f>
        <v>0</v>
      </c>
      <c r="X3042" s="64" t="n">
        <f aca="false">IF($K3042="No Start (attainment only)",$P3042,0)</f>
        <v>0</v>
      </c>
    </row>
    <row r="3043" customFormat="false" ht="15" hidden="false" customHeight="false" outlineLevel="0" collapsed="false">
      <c r="A3043" s="60"/>
      <c r="B3043" s="61" t="str">
        <f aca="false">IF($M3043=0,"",INDEX(Classes!$E$6:$E$420,$M3043))</f>
        <v/>
      </c>
      <c r="C3043" s="62" t="str">
        <f aca="false">IF($M3043=0,"",INDEX(Classes!$H$6:$H$420,$M3043))</f>
        <v/>
      </c>
      <c r="D3043" s="61" t="str">
        <f aca="false">IF($M3043=0,"",INDEX(Classes!$B$6:$B$420,$M3043))</f>
        <v/>
      </c>
      <c r="E3043" s="61" t="str">
        <f aca="false">IF($M3043=0,"",INDEX(Classes!$C$6:$C$420,$M3043))</f>
        <v/>
      </c>
      <c r="F3043" s="63"/>
      <c r="G3043" s="63"/>
      <c r="H3043" s="60"/>
      <c r="I3043" s="60"/>
      <c r="J3043" s="63"/>
      <c r="K3043" s="61" t="str">
        <f aca="false">IF($P3043=0,"",IF($F3043="Baseline","— Baseline",IF($O3043=0,"No result",IF($N3043=0,"No Start (attainment only)",IF(OR($N3043=1,$O3043=1),"U – needs rule",INDEX(MxBody,MATCH($I3043,MxCurr,0),MATCH($H3043,MxStart,0)))))))</f>
        <v/>
      </c>
      <c r="L3043" s="62" t="str">
        <f aca="false">IF(COUNTA($A3043,$F3043,$G3043,$H3043,$I3043,$J3043)=0,"",IF($M3043=0,"✖ كود الصف غير موجود",IF(ISNA(MATCH($F3043,Lists!$A$2:$A$5,0)),"✖ الفترة غير صحيحة",IF(ISNA(MATCH($G3043,Lists!$B$2:$B$7,0)),"✖ المجموعة غير صحيحة",IF(NOT(OR($H3043="",$N3043&gt;0)),"✖ Start غير صحيح",IF(NOT(OR($I3043="",$I3043="NR",$O3043&gt;0)),"✖ Current غير صحيح",IF(NOT(IF(ISNUMBER($J3043),AND($J3043&gt;=0,$J3043=INT($J3043)),FALSE())),"✖ العدد يجب أن يكون صحيحًا ≥ 0",IF(AND($F3043="Baseline",$H3043&lt;&gt;""),"⚠ Baseline: Start لا يدخل في التقدم",IF($K3043="No Start (attainment only)","ℹ تحصيل فقط (بدون Start)",IF($K3043="U – needs rule","ℹ حالة U تحتاج قاعدة معتمدة",IF($K3043="No result","ℹ بدون نتيجة (يُستبعد من التحصيل)","OK")))))))))))</f>
        <v/>
      </c>
      <c r="M3043" s="64" t="n">
        <f aca="false">IF($A3043="",0,IFERROR(MATCH($A3043,Classes!$A$6:$A$420,0),0))</f>
        <v>0</v>
      </c>
      <c r="N3043" s="64" t="n">
        <f aca="false">IF($H3043="",0,IFERROR(MATCH($H3043,GradeList,0),0))</f>
        <v>0</v>
      </c>
      <c r="O3043" s="64" t="n">
        <f aca="false">IF(OR($I3043="",$I3043="NR"),0,IFERROR(MATCH($I3043,GradeList,0),0))</f>
        <v>0</v>
      </c>
      <c r="P3043" s="64" t="n">
        <f aca="false">IF(AND($M3043&gt;0,ISNUMBER(MATCH($F3043,Lists!$A$2:$A$5,0)),ISNUMBER(MATCH($G3043,Lists!$B$2:$B$7,0)),OR($H3043="",$N3043&gt;0),OR($I3043="",$I3043="NR",$O3043&gt;0),IF(ISNUMBER($J3043),AND($J3043&gt;=0,$J3043=INT($J3043)),FALSE())),$J3043,0)</f>
        <v>0</v>
      </c>
      <c r="Q3043" s="64" t="n">
        <f aca="false">IF(AND($P3043&gt;0,$O3043&gt;0),$P3043,0)</f>
        <v>0</v>
      </c>
      <c r="R3043" s="64" t="n">
        <f aca="false">IF(AND($Q3043&gt;0,$O3043&gt;=AtRank),$Q3043,0)</f>
        <v>0</v>
      </c>
      <c r="S3043" s="64" t="n">
        <f aca="false">IF(AND($Q3043&gt;0,$O3043&gt;=AboveRank),$Q3043,0)</f>
        <v>0</v>
      </c>
      <c r="T3043" s="64" t="n">
        <f aca="false">IF($K3043="Less",$P3043,0)</f>
        <v>0</v>
      </c>
      <c r="U3043" s="64" t="n">
        <f aca="false">IF($K3043="Expected",$P3043,0)</f>
        <v>0</v>
      </c>
      <c r="V3043" s="64" t="n">
        <f aca="false">IF($K3043="Better",$P3043,0)</f>
        <v>0</v>
      </c>
      <c r="W3043" s="64" t="n">
        <f aca="false">IF($K3043="U – needs rule",$P3043,0)</f>
        <v>0</v>
      </c>
      <c r="X3043" s="64" t="n">
        <f aca="false">IF($K3043="No Start (attainment only)",$P3043,0)</f>
        <v>0</v>
      </c>
    </row>
    <row r="3044" customFormat="false" ht="15" hidden="false" customHeight="false" outlineLevel="0" collapsed="false">
      <c r="A3044" s="60"/>
      <c r="B3044" s="61" t="str">
        <f aca="false">IF($M3044=0,"",INDEX(Classes!$E$6:$E$420,$M3044))</f>
        <v/>
      </c>
      <c r="C3044" s="62" t="str">
        <f aca="false">IF($M3044=0,"",INDEX(Classes!$H$6:$H$420,$M3044))</f>
        <v/>
      </c>
      <c r="D3044" s="61" t="str">
        <f aca="false">IF($M3044=0,"",INDEX(Classes!$B$6:$B$420,$M3044))</f>
        <v/>
      </c>
      <c r="E3044" s="61" t="str">
        <f aca="false">IF($M3044=0,"",INDEX(Classes!$C$6:$C$420,$M3044))</f>
        <v/>
      </c>
      <c r="F3044" s="63"/>
      <c r="G3044" s="63"/>
      <c r="H3044" s="60"/>
      <c r="I3044" s="60"/>
      <c r="J3044" s="63"/>
      <c r="K3044" s="61" t="str">
        <f aca="false">IF($P3044=0,"",IF($F3044="Baseline","— Baseline",IF($O3044=0,"No result",IF($N3044=0,"No Start (attainment only)",IF(OR($N3044=1,$O3044=1),"U – needs rule",INDEX(MxBody,MATCH($I3044,MxCurr,0),MATCH($H3044,MxStart,0)))))))</f>
        <v/>
      </c>
      <c r="L3044" s="62" t="str">
        <f aca="false">IF(COUNTA($A3044,$F3044,$G3044,$H3044,$I3044,$J3044)=0,"",IF($M3044=0,"✖ كود الصف غير موجود",IF(ISNA(MATCH($F3044,Lists!$A$2:$A$5,0)),"✖ الفترة غير صحيحة",IF(ISNA(MATCH($G3044,Lists!$B$2:$B$7,0)),"✖ المجموعة غير صحيحة",IF(NOT(OR($H3044="",$N3044&gt;0)),"✖ Start غير صحيح",IF(NOT(OR($I3044="",$I3044="NR",$O3044&gt;0)),"✖ Current غير صحيح",IF(NOT(IF(ISNUMBER($J3044),AND($J3044&gt;=0,$J3044=INT($J3044)),FALSE())),"✖ العدد يجب أن يكون صحيحًا ≥ 0",IF(AND($F3044="Baseline",$H3044&lt;&gt;""),"⚠ Baseline: Start لا يدخل في التقدم",IF($K3044="No Start (attainment only)","ℹ تحصيل فقط (بدون Start)",IF($K3044="U – needs rule","ℹ حالة U تحتاج قاعدة معتمدة",IF($K3044="No result","ℹ بدون نتيجة (يُستبعد من التحصيل)","OK")))))))))))</f>
        <v/>
      </c>
      <c r="M3044" s="64" t="n">
        <f aca="false">IF($A3044="",0,IFERROR(MATCH($A3044,Classes!$A$6:$A$420,0),0))</f>
        <v>0</v>
      </c>
      <c r="N3044" s="64" t="n">
        <f aca="false">IF($H3044="",0,IFERROR(MATCH($H3044,GradeList,0),0))</f>
        <v>0</v>
      </c>
      <c r="O3044" s="64" t="n">
        <f aca="false">IF(OR($I3044="",$I3044="NR"),0,IFERROR(MATCH($I3044,GradeList,0),0))</f>
        <v>0</v>
      </c>
      <c r="P3044" s="64" t="n">
        <f aca="false">IF(AND($M3044&gt;0,ISNUMBER(MATCH($F3044,Lists!$A$2:$A$5,0)),ISNUMBER(MATCH($G3044,Lists!$B$2:$B$7,0)),OR($H3044="",$N3044&gt;0),OR($I3044="",$I3044="NR",$O3044&gt;0),IF(ISNUMBER($J3044),AND($J3044&gt;=0,$J3044=INT($J3044)),FALSE())),$J3044,0)</f>
        <v>0</v>
      </c>
      <c r="Q3044" s="64" t="n">
        <f aca="false">IF(AND($P3044&gt;0,$O3044&gt;0),$P3044,0)</f>
        <v>0</v>
      </c>
      <c r="R3044" s="64" t="n">
        <f aca="false">IF(AND($Q3044&gt;0,$O3044&gt;=AtRank),$Q3044,0)</f>
        <v>0</v>
      </c>
      <c r="S3044" s="64" t="n">
        <f aca="false">IF(AND($Q3044&gt;0,$O3044&gt;=AboveRank),$Q3044,0)</f>
        <v>0</v>
      </c>
      <c r="T3044" s="64" t="n">
        <f aca="false">IF($K3044="Less",$P3044,0)</f>
        <v>0</v>
      </c>
      <c r="U3044" s="64" t="n">
        <f aca="false">IF($K3044="Expected",$P3044,0)</f>
        <v>0</v>
      </c>
      <c r="V3044" s="64" t="n">
        <f aca="false">IF($K3044="Better",$P3044,0)</f>
        <v>0</v>
      </c>
      <c r="W3044" s="64" t="n">
        <f aca="false">IF($K3044="U – needs rule",$P3044,0)</f>
        <v>0</v>
      </c>
      <c r="X3044" s="64" t="n">
        <f aca="false">IF($K3044="No Start (attainment only)",$P3044,0)</f>
        <v>0</v>
      </c>
    </row>
    <row r="3045" customFormat="false" ht="15" hidden="false" customHeight="false" outlineLevel="0" collapsed="false">
      <c r="A3045" s="60"/>
      <c r="B3045" s="61" t="str">
        <f aca="false">IF($M3045=0,"",INDEX(Classes!$E$6:$E$420,$M3045))</f>
        <v/>
      </c>
      <c r="C3045" s="62" t="str">
        <f aca="false">IF($M3045=0,"",INDEX(Classes!$H$6:$H$420,$M3045))</f>
        <v/>
      </c>
      <c r="D3045" s="61" t="str">
        <f aca="false">IF($M3045=0,"",INDEX(Classes!$B$6:$B$420,$M3045))</f>
        <v/>
      </c>
      <c r="E3045" s="61" t="str">
        <f aca="false">IF($M3045=0,"",INDEX(Classes!$C$6:$C$420,$M3045))</f>
        <v/>
      </c>
      <c r="F3045" s="63"/>
      <c r="G3045" s="63"/>
      <c r="H3045" s="60"/>
      <c r="I3045" s="60"/>
      <c r="J3045" s="63"/>
      <c r="K3045" s="61" t="str">
        <f aca="false">IF($P3045=0,"",IF($F3045="Baseline","— Baseline",IF($O3045=0,"No result",IF($N3045=0,"No Start (attainment only)",IF(OR($N3045=1,$O3045=1),"U – needs rule",INDEX(MxBody,MATCH($I3045,MxCurr,0),MATCH($H3045,MxStart,0)))))))</f>
        <v/>
      </c>
      <c r="L3045" s="62" t="str">
        <f aca="false">IF(COUNTA($A3045,$F3045,$G3045,$H3045,$I3045,$J3045)=0,"",IF($M3045=0,"✖ كود الصف غير موجود",IF(ISNA(MATCH($F3045,Lists!$A$2:$A$5,0)),"✖ الفترة غير صحيحة",IF(ISNA(MATCH($G3045,Lists!$B$2:$B$7,0)),"✖ المجموعة غير صحيحة",IF(NOT(OR($H3045="",$N3045&gt;0)),"✖ Start غير صحيح",IF(NOT(OR($I3045="",$I3045="NR",$O3045&gt;0)),"✖ Current غير صحيح",IF(NOT(IF(ISNUMBER($J3045),AND($J3045&gt;=0,$J3045=INT($J3045)),FALSE())),"✖ العدد يجب أن يكون صحيحًا ≥ 0",IF(AND($F3045="Baseline",$H3045&lt;&gt;""),"⚠ Baseline: Start لا يدخل في التقدم",IF($K3045="No Start (attainment only)","ℹ تحصيل فقط (بدون Start)",IF($K3045="U – needs rule","ℹ حالة U تحتاج قاعدة معتمدة",IF($K3045="No result","ℹ بدون نتيجة (يُستبعد من التحصيل)","OK")))))))))))</f>
        <v/>
      </c>
      <c r="M3045" s="64" t="n">
        <f aca="false">IF($A3045="",0,IFERROR(MATCH($A3045,Classes!$A$6:$A$420,0),0))</f>
        <v>0</v>
      </c>
      <c r="N3045" s="64" t="n">
        <f aca="false">IF($H3045="",0,IFERROR(MATCH($H3045,GradeList,0),0))</f>
        <v>0</v>
      </c>
      <c r="O3045" s="64" t="n">
        <f aca="false">IF(OR($I3045="",$I3045="NR"),0,IFERROR(MATCH($I3045,GradeList,0),0))</f>
        <v>0</v>
      </c>
      <c r="P3045" s="64" t="n">
        <f aca="false">IF(AND($M3045&gt;0,ISNUMBER(MATCH($F3045,Lists!$A$2:$A$5,0)),ISNUMBER(MATCH($G3045,Lists!$B$2:$B$7,0)),OR($H3045="",$N3045&gt;0),OR($I3045="",$I3045="NR",$O3045&gt;0),IF(ISNUMBER($J3045),AND($J3045&gt;=0,$J3045=INT($J3045)),FALSE())),$J3045,0)</f>
        <v>0</v>
      </c>
      <c r="Q3045" s="64" t="n">
        <f aca="false">IF(AND($P3045&gt;0,$O3045&gt;0),$P3045,0)</f>
        <v>0</v>
      </c>
      <c r="R3045" s="64" t="n">
        <f aca="false">IF(AND($Q3045&gt;0,$O3045&gt;=AtRank),$Q3045,0)</f>
        <v>0</v>
      </c>
      <c r="S3045" s="64" t="n">
        <f aca="false">IF(AND($Q3045&gt;0,$O3045&gt;=AboveRank),$Q3045,0)</f>
        <v>0</v>
      </c>
      <c r="T3045" s="64" t="n">
        <f aca="false">IF($K3045="Less",$P3045,0)</f>
        <v>0</v>
      </c>
      <c r="U3045" s="64" t="n">
        <f aca="false">IF($K3045="Expected",$P3045,0)</f>
        <v>0</v>
      </c>
      <c r="V3045" s="64" t="n">
        <f aca="false">IF($K3045="Better",$P3045,0)</f>
        <v>0</v>
      </c>
      <c r="W3045" s="64" t="n">
        <f aca="false">IF($K3045="U – needs rule",$P3045,0)</f>
        <v>0</v>
      </c>
      <c r="X3045" s="64" t="n">
        <f aca="false">IF($K3045="No Start (attainment only)",$P3045,0)</f>
        <v>0</v>
      </c>
    </row>
    <row r="3046" customFormat="false" ht="15" hidden="false" customHeight="false" outlineLevel="0" collapsed="false">
      <c r="A3046" s="60"/>
      <c r="B3046" s="61" t="str">
        <f aca="false">IF($M3046=0,"",INDEX(Classes!$E$6:$E$420,$M3046))</f>
        <v/>
      </c>
      <c r="C3046" s="62" t="str">
        <f aca="false">IF($M3046=0,"",INDEX(Classes!$H$6:$H$420,$M3046))</f>
        <v/>
      </c>
      <c r="D3046" s="61" t="str">
        <f aca="false">IF($M3046=0,"",INDEX(Classes!$B$6:$B$420,$M3046))</f>
        <v/>
      </c>
      <c r="E3046" s="61" t="str">
        <f aca="false">IF($M3046=0,"",INDEX(Classes!$C$6:$C$420,$M3046))</f>
        <v/>
      </c>
      <c r="F3046" s="63"/>
      <c r="G3046" s="63"/>
      <c r="H3046" s="60"/>
      <c r="I3046" s="60"/>
      <c r="J3046" s="63"/>
      <c r="K3046" s="61" t="str">
        <f aca="false">IF($P3046=0,"",IF($F3046="Baseline","— Baseline",IF($O3046=0,"No result",IF($N3046=0,"No Start (attainment only)",IF(OR($N3046=1,$O3046=1),"U – needs rule",INDEX(MxBody,MATCH($I3046,MxCurr,0),MATCH($H3046,MxStart,0)))))))</f>
        <v/>
      </c>
      <c r="L3046" s="62" t="str">
        <f aca="false">IF(COUNTA($A3046,$F3046,$G3046,$H3046,$I3046,$J3046)=0,"",IF($M3046=0,"✖ كود الصف غير موجود",IF(ISNA(MATCH($F3046,Lists!$A$2:$A$5,0)),"✖ الفترة غير صحيحة",IF(ISNA(MATCH($G3046,Lists!$B$2:$B$7,0)),"✖ المجموعة غير صحيحة",IF(NOT(OR($H3046="",$N3046&gt;0)),"✖ Start غير صحيح",IF(NOT(OR($I3046="",$I3046="NR",$O3046&gt;0)),"✖ Current غير صحيح",IF(NOT(IF(ISNUMBER($J3046),AND($J3046&gt;=0,$J3046=INT($J3046)),FALSE())),"✖ العدد يجب أن يكون صحيحًا ≥ 0",IF(AND($F3046="Baseline",$H3046&lt;&gt;""),"⚠ Baseline: Start لا يدخل في التقدم",IF($K3046="No Start (attainment only)","ℹ تحصيل فقط (بدون Start)",IF($K3046="U – needs rule","ℹ حالة U تحتاج قاعدة معتمدة",IF($K3046="No result","ℹ بدون نتيجة (يُستبعد من التحصيل)","OK")))))))))))</f>
        <v/>
      </c>
      <c r="M3046" s="64" t="n">
        <f aca="false">IF($A3046="",0,IFERROR(MATCH($A3046,Classes!$A$6:$A$420,0),0))</f>
        <v>0</v>
      </c>
      <c r="N3046" s="64" t="n">
        <f aca="false">IF($H3046="",0,IFERROR(MATCH($H3046,GradeList,0),0))</f>
        <v>0</v>
      </c>
      <c r="O3046" s="64" t="n">
        <f aca="false">IF(OR($I3046="",$I3046="NR"),0,IFERROR(MATCH($I3046,GradeList,0),0))</f>
        <v>0</v>
      </c>
      <c r="P3046" s="64" t="n">
        <f aca="false">IF(AND($M3046&gt;0,ISNUMBER(MATCH($F3046,Lists!$A$2:$A$5,0)),ISNUMBER(MATCH($G3046,Lists!$B$2:$B$7,0)),OR($H3046="",$N3046&gt;0),OR($I3046="",$I3046="NR",$O3046&gt;0),IF(ISNUMBER($J3046),AND($J3046&gt;=0,$J3046=INT($J3046)),FALSE())),$J3046,0)</f>
        <v>0</v>
      </c>
      <c r="Q3046" s="64" t="n">
        <f aca="false">IF(AND($P3046&gt;0,$O3046&gt;0),$P3046,0)</f>
        <v>0</v>
      </c>
      <c r="R3046" s="64" t="n">
        <f aca="false">IF(AND($Q3046&gt;0,$O3046&gt;=AtRank),$Q3046,0)</f>
        <v>0</v>
      </c>
      <c r="S3046" s="64" t="n">
        <f aca="false">IF(AND($Q3046&gt;0,$O3046&gt;=AboveRank),$Q3046,0)</f>
        <v>0</v>
      </c>
      <c r="T3046" s="64" t="n">
        <f aca="false">IF($K3046="Less",$P3046,0)</f>
        <v>0</v>
      </c>
      <c r="U3046" s="64" t="n">
        <f aca="false">IF($K3046="Expected",$P3046,0)</f>
        <v>0</v>
      </c>
      <c r="V3046" s="64" t="n">
        <f aca="false">IF($K3046="Better",$P3046,0)</f>
        <v>0</v>
      </c>
      <c r="W3046" s="64" t="n">
        <f aca="false">IF($K3046="U – needs rule",$P3046,0)</f>
        <v>0</v>
      </c>
      <c r="X3046" s="64" t="n">
        <f aca="false">IF($K3046="No Start (attainment only)",$P3046,0)</f>
        <v>0</v>
      </c>
    </row>
    <row r="3047" customFormat="false" ht="15" hidden="false" customHeight="false" outlineLevel="0" collapsed="false">
      <c r="A3047" s="60"/>
      <c r="B3047" s="61" t="str">
        <f aca="false">IF($M3047=0,"",INDEX(Classes!$E$6:$E$420,$M3047))</f>
        <v/>
      </c>
      <c r="C3047" s="62" t="str">
        <f aca="false">IF($M3047=0,"",INDEX(Classes!$H$6:$H$420,$M3047))</f>
        <v/>
      </c>
      <c r="D3047" s="61" t="str">
        <f aca="false">IF($M3047=0,"",INDEX(Classes!$B$6:$B$420,$M3047))</f>
        <v/>
      </c>
      <c r="E3047" s="61" t="str">
        <f aca="false">IF($M3047=0,"",INDEX(Classes!$C$6:$C$420,$M3047))</f>
        <v/>
      </c>
      <c r="F3047" s="63"/>
      <c r="G3047" s="63"/>
      <c r="H3047" s="60"/>
      <c r="I3047" s="60"/>
      <c r="J3047" s="63"/>
      <c r="K3047" s="61" t="str">
        <f aca="false">IF($P3047=0,"",IF($F3047="Baseline","— Baseline",IF($O3047=0,"No result",IF($N3047=0,"No Start (attainment only)",IF(OR($N3047=1,$O3047=1),"U – needs rule",INDEX(MxBody,MATCH($I3047,MxCurr,0),MATCH($H3047,MxStart,0)))))))</f>
        <v/>
      </c>
      <c r="L3047" s="62" t="str">
        <f aca="false">IF(COUNTA($A3047,$F3047,$G3047,$H3047,$I3047,$J3047)=0,"",IF($M3047=0,"✖ كود الصف غير موجود",IF(ISNA(MATCH($F3047,Lists!$A$2:$A$5,0)),"✖ الفترة غير صحيحة",IF(ISNA(MATCH($G3047,Lists!$B$2:$B$7,0)),"✖ المجموعة غير صحيحة",IF(NOT(OR($H3047="",$N3047&gt;0)),"✖ Start غير صحيح",IF(NOT(OR($I3047="",$I3047="NR",$O3047&gt;0)),"✖ Current غير صحيح",IF(NOT(IF(ISNUMBER($J3047),AND($J3047&gt;=0,$J3047=INT($J3047)),FALSE())),"✖ العدد يجب أن يكون صحيحًا ≥ 0",IF(AND($F3047="Baseline",$H3047&lt;&gt;""),"⚠ Baseline: Start لا يدخل في التقدم",IF($K3047="No Start (attainment only)","ℹ تحصيل فقط (بدون Start)",IF($K3047="U – needs rule","ℹ حالة U تحتاج قاعدة معتمدة",IF($K3047="No result","ℹ بدون نتيجة (يُستبعد من التحصيل)","OK")))))))))))</f>
        <v/>
      </c>
      <c r="M3047" s="64" t="n">
        <f aca="false">IF($A3047="",0,IFERROR(MATCH($A3047,Classes!$A$6:$A$420,0),0))</f>
        <v>0</v>
      </c>
      <c r="N3047" s="64" t="n">
        <f aca="false">IF($H3047="",0,IFERROR(MATCH($H3047,GradeList,0),0))</f>
        <v>0</v>
      </c>
      <c r="O3047" s="64" t="n">
        <f aca="false">IF(OR($I3047="",$I3047="NR"),0,IFERROR(MATCH($I3047,GradeList,0),0))</f>
        <v>0</v>
      </c>
      <c r="P3047" s="64" t="n">
        <f aca="false">IF(AND($M3047&gt;0,ISNUMBER(MATCH($F3047,Lists!$A$2:$A$5,0)),ISNUMBER(MATCH($G3047,Lists!$B$2:$B$7,0)),OR($H3047="",$N3047&gt;0),OR($I3047="",$I3047="NR",$O3047&gt;0),IF(ISNUMBER($J3047),AND($J3047&gt;=0,$J3047=INT($J3047)),FALSE())),$J3047,0)</f>
        <v>0</v>
      </c>
      <c r="Q3047" s="64" t="n">
        <f aca="false">IF(AND($P3047&gt;0,$O3047&gt;0),$P3047,0)</f>
        <v>0</v>
      </c>
      <c r="R3047" s="64" t="n">
        <f aca="false">IF(AND($Q3047&gt;0,$O3047&gt;=AtRank),$Q3047,0)</f>
        <v>0</v>
      </c>
      <c r="S3047" s="64" t="n">
        <f aca="false">IF(AND($Q3047&gt;0,$O3047&gt;=AboveRank),$Q3047,0)</f>
        <v>0</v>
      </c>
      <c r="T3047" s="64" t="n">
        <f aca="false">IF($K3047="Less",$P3047,0)</f>
        <v>0</v>
      </c>
      <c r="U3047" s="64" t="n">
        <f aca="false">IF($K3047="Expected",$P3047,0)</f>
        <v>0</v>
      </c>
      <c r="V3047" s="64" t="n">
        <f aca="false">IF($K3047="Better",$P3047,0)</f>
        <v>0</v>
      </c>
      <c r="W3047" s="64" t="n">
        <f aca="false">IF($K3047="U – needs rule",$P3047,0)</f>
        <v>0</v>
      </c>
      <c r="X3047" s="64" t="n">
        <f aca="false">IF($K3047="No Start (attainment only)",$P3047,0)</f>
        <v>0</v>
      </c>
    </row>
    <row r="3048" customFormat="false" ht="15" hidden="false" customHeight="false" outlineLevel="0" collapsed="false">
      <c r="A3048" s="60"/>
      <c r="B3048" s="61" t="str">
        <f aca="false">IF($M3048=0,"",INDEX(Classes!$E$6:$E$420,$M3048))</f>
        <v/>
      </c>
      <c r="C3048" s="62" t="str">
        <f aca="false">IF($M3048=0,"",INDEX(Classes!$H$6:$H$420,$M3048))</f>
        <v/>
      </c>
      <c r="D3048" s="61" t="str">
        <f aca="false">IF($M3048=0,"",INDEX(Classes!$B$6:$B$420,$M3048))</f>
        <v/>
      </c>
      <c r="E3048" s="61" t="str">
        <f aca="false">IF($M3048=0,"",INDEX(Classes!$C$6:$C$420,$M3048))</f>
        <v/>
      </c>
      <c r="F3048" s="63"/>
      <c r="G3048" s="63"/>
      <c r="H3048" s="60"/>
      <c r="I3048" s="60"/>
      <c r="J3048" s="63"/>
      <c r="K3048" s="61" t="str">
        <f aca="false">IF($P3048=0,"",IF($F3048="Baseline","— Baseline",IF($O3048=0,"No result",IF($N3048=0,"No Start (attainment only)",IF(OR($N3048=1,$O3048=1),"U – needs rule",INDEX(MxBody,MATCH($I3048,MxCurr,0),MATCH($H3048,MxStart,0)))))))</f>
        <v/>
      </c>
      <c r="L3048" s="62" t="str">
        <f aca="false">IF(COUNTA($A3048,$F3048,$G3048,$H3048,$I3048,$J3048)=0,"",IF($M3048=0,"✖ كود الصف غير موجود",IF(ISNA(MATCH($F3048,Lists!$A$2:$A$5,0)),"✖ الفترة غير صحيحة",IF(ISNA(MATCH($G3048,Lists!$B$2:$B$7,0)),"✖ المجموعة غير صحيحة",IF(NOT(OR($H3048="",$N3048&gt;0)),"✖ Start غير صحيح",IF(NOT(OR($I3048="",$I3048="NR",$O3048&gt;0)),"✖ Current غير صحيح",IF(NOT(IF(ISNUMBER($J3048),AND($J3048&gt;=0,$J3048=INT($J3048)),FALSE())),"✖ العدد يجب أن يكون صحيحًا ≥ 0",IF(AND($F3048="Baseline",$H3048&lt;&gt;""),"⚠ Baseline: Start لا يدخل في التقدم",IF($K3048="No Start (attainment only)","ℹ تحصيل فقط (بدون Start)",IF($K3048="U – needs rule","ℹ حالة U تحتاج قاعدة معتمدة",IF($K3048="No result","ℹ بدون نتيجة (يُستبعد من التحصيل)","OK")))))))))))</f>
        <v/>
      </c>
      <c r="M3048" s="64" t="n">
        <f aca="false">IF($A3048="",0,IFERROR(MATCH($A3048,Classes!$A$6:$A$420,0),0))</f>
        <v>0</v>
      </c>
      <c r="N3048" s="64" t="n">
        <f aca="false">IF($H3048="",0,IFERROR(MATCH($H3048,GradeList,0),0))</f>
        <v>0</v>
      </c>
      <c r="O3048" s="64" t="n">
        <f aca="false">IF(OR($I3048="",$I3048="NR"),0,IFERROR(MATCH($I3048,GradeList,0),0))</f>
        <v>0</v>
      </c>
      <c r="P3048" s="64" t="n">
        <f aca="false">IF(AND($M3048&gt;0,ISNUMBER(MATCH($F3048,Lists!$A$2:$A$5,0)),ISNUMBER(MATCH($G3048,Lists!$B$2:$B$7,0)),OR($H3048="",$N3048&gt;0),OR($I3048="",$I3048="NR",$O3048&gt;0),IF(ISNUMBER($J3048),AND($J3048&gt;=0,$J3048=INT($J3048)),FALSE())),$J3048,0)</f>
        <v>0</v>
      </c>
      <c r="Q3048" s="64" t="n">
        <f aca="false">IF(AND($P3048&gt;0,$O3048&gt;0),$P3048,0)</f>
        <v>0</v>
      </c>
      <c r="R3048" s="64" t="n">
        <f aca="false">IF(AND($Q3048&gt;0,$O3048&gt;=AtRank),$Q3048,0)</f>
        <v>0</v>
      </c>
      <c r="S3048" s="64" t="n">
        <f aca="false">IF(AND($Q3048&gt;0,$O3048&gt;=AboveRank),$Q3048,0)</f>
        <v>0</v>
      </c>
      <c r="T3048" s="64" t="n">
        <f aca="false">IF($K3048="Less",$P3048,0)</f>
        <v>0</v>
      </c>
      <c r="U3048" s="64" t="n">
        <f aca="false">IF($K3048="Expected",$P3048,0)</f>
        <v>0</v>
      </c>
      <c r="V3048" s="64" t="n">
        <f aca="false">IF($K3048="Better",$P3048,0)</f>
        <v>0</v>
      </c>
      <c r="W3048" s="64" t="n">
        <f aca="false">IF($K3048="U – needs rule",$P3048,0)</f>
        <v>0</v>
      </c>
      <c r="X3048" s="64" t="n">
        <f aca="false">IF($K3048="No Start (attainment only)",$P3048,0)</f>
        <v>0</v>
      </c>
    </row>
    <row r="3049" customFormat="false" ht="15" hidden="false" customHeight="false" outlineLevel="0" collapsed="false">
      <c r="A3049" s="60"/>
      <c r="B3049" s="61" t="str">
        <f aca="false">IF($M3049=0,"",INDEX(Classes!$E$6:$E$420,$M3049))</f>
        <v/>
      </c>
      <c r="C3049" s="62" t="str">
        <f aca="false">IF($M3049=0,"",INDEX(Classes!$H$6:$H$420,$M3049))</f>
        <v/>
      </c>
      <c r="D3049" s="61" t="str">
        <f aca="false">IF($M3049=0,"",INDEX(Classes!$B$6:$B$420,$M3049))</f>
        <v/>
      </c>
      <c r="E3049" s="61" t="str">
        <f aca="false">IF($M3049=0,"",INDEX(Classes!$C$6:$C$420,$M3049))</f>
        <v/>
      </c>
      <c r="F3049" s="63"/>
      <c r="G3049" s="63"/>
      <c r="H3049" s="60"/>
      <c r="I3049" s="60"/>
      <c r="J3049" s="63"/>
      <c r="K3049" s="61" t="str">
        <f aca="false">IF($P3049=0,"",IF($F3049="Baseline","— Baseline",IF($O3049=0,"No result",IF($N3049=0,"No Start (attainment only)",IF(OR($N3049=1,$O3049=1),"U – needs rule",INDEX(MxBody,MATCH($I3049,MxCurr,0),MATCH($H3049,MxStart,0)))))))</f>
        <v/>
      </c>
      <c r="L3049" s="62" t="str">
        <f aca="false">IF(COUNTA($A3049,$F3049,$G3049,$H3049,$I3049,$J3049)=0,"",IF($M3049=0,"✖ كود الصف غير موجود",IF(ISNA(MATCH($F3049,Lists!$A$2:$A$5,0)),"✖ الفترة غير صحيحة",IF(ISNA(MATCH($G3049,Lists!$B$2:$B$7,0)),"✖ المجموعة غير صحيحة",IF(NOT(OR($H3049="",$N3049&gt;0)),"✖ Start غير صحيح",IF(NOT(OR($I3049="",$I3049="NR",$O3049&gt;0)),"✖ Current غير صحيح",IF(NOT(IF(ISNUMBER($J3049),AND($J3049&gt;=0,$J3049=INT($J3049)),FALSE())),"✖ العدد يجب أن يكون صحيحًا ≥ 0",IF(AND($F3049="Baseline",$H3049&lt;&gt;""),"⚠ Baseline: Start لا يدخل في التقدم",IF($K3049="No Start (attainment only)","ℹ تحصيل فقط (بدون Start)",IF($K3049="U – needs rule","ℹ حالة U تحتاج قاعدة معتمدة",IF($K3049="No result","ℹ بدون نتيجة (يُستبعد من التحصيل)","OK")))))))))))</f>
        <v/>
      </c>
      <c r="M3049" s="64" t="n">
        <f aca="false">IF($A3049="",0,IFERROR(MATCH($A3049,Classes!$A$6:$A$420,0),0))</f>
        <v>0</v>
      </c>
      <c r="N3049" s="64" t="n">
        <f aca="false">IF($H3049="",0,IFERROR(MATCH($H3049,GradeList,0),0))</f>
        <v>0</v>
      </c>
      <c r="O3049" s="64" t="n">
        <f aca="false">IF(OR($I3049="",$I3049="NR"),0,IFERROR(MATCH($I3049,GradeList,0),0))</f>
        <v>0</v>
      </c>
      <c r="P3049" s="64" t="n">
        <f aca="false">IF(AND($M3049&gt;0,ISNUMBER(MATCH($F3049,Lists!$A$2:$A$5,0)),ISNUMBER(MATCH($G3049,Lists!$B$2:$B$7,0)),OR($H3049="",$N3049&gt;0),OR($I3049="",$I3049="NR",$O3049&gt;0),IF(ISNUMBER($J3049),AND($J3049&gt;=0,$J3049=INT($J3049)),FALSE())),$J3049,0)</f>
        <v>0</v>
      </c>
      <c r="Q3049" s="64" t="n">
        <f aca="false">IF(AND($P3049&gt;0,$O3049&gt;0),$P3049,0)</f>
        <v>0</v>
      </c>
      <c r="R3049" s="64" t="n">
        <f aca="false">IF(AND($Q3049&gt;0,$O3049&gt;=AtRank),$Q3049,0)</f>
        <v>0</v>
      </c>
      <c r="S3049" s="64" t="n">
        <f aca="false">IF(AND($Q3049&gt;0,$O3049&gt;=AboveRank),$Q3049,0)</f>
        <v>0</v>
      </c>
      <c r="T3049" s="64" t="n">
        <f aca="false">IF($K3049="Less",$P3049,0)</f>
        <v>0</v>
      </c>
      <c r="U3049" s="64" t="n">
        <f aca="false">IF($K3049="Expected",$P3049,0)</f>
        <v>0</v>
      </c>
      <c r="V3049" s="64" t="n">
        <f aca="false">IF($K3049="Better",$P3049,0)</f>
        <v>0</v>
      </c>
      <c r="W3049" s="64" t="n">
        <f aca="false">IF($K3049="U – needs rule",$P3049,0)</f>
        <v>0</v>
      </c>
      <c r="X3049" s="64" t="n">
        <f aca="false">IF($K3049="No Start (attainment only)",$P3049,0)</f>
        <v>0</v>
      </c>
    </row>
    <row r="3050" customFormat="false" ht="15" hidden="false" customHeight="false" outlineLevel="0" collapsed="false">
      <c r="A3050" s="60"/>
      <c r="B3050" s="61" t="str">
        <f aca="false">IF($M3050=0,"",INDEX(Classes!$E$6:$E$420,$M3050))</f>
        <v/>
      </c>
      <c r="C3050" s="62" t="str">
        <f aca="false">IF($M3050=0,"",INDEX(Classes!$H$6:$H$420,$M3050))</f>
        <v/>
      </c>
      <c r="D3050" s="61" t="str">
        <f aca="false">IF($M3050=0,"",INDEX(Classes!$B$6:$B$420,$M3050))</f>
        <v/>
      </c>
      <c r="E3050" s="61" t="str">
        <f aca="false">IF($M3050=0,"",INDEX(Classes!$C$6:$C$420,$M3050))</f>
        <v/>
      </c>
      <c r="F3050" s="63"/>
      <c r="G3050" s="63"/>
      <c r="H3050" s="60"/>
      <c r="I3050" s="60"/>
      <c r="J3050" s="63"/>
      <c r="K3050" s="61" t="str">
        <f aca="false">IF($P3050=0,"",IF($F3050="Baseline","— Baseline",IF($O3050=0,"No result",IF($N3050=0,"No Start (attainment only)",IF(OR($N3050=1,$O3050=1),"U – needs rule",INDEX(MxBody,MATCH($I3050,MxCurr,0),MATCH($H3050,MxStart,0)))))))</f>
        <v/>
      </c>
      <c r="L3050" s="62" t="str">
        <f aca="false">IF(COUNTA($A3050,$F3050,$G3050,$H3050,$I3050,$J3050)=0,"",IF($M3050=0,"✖ كود الصف غير موجود",IF(ISNA(MATCH($F3050,Lists!$A$2:$A$5,0)),"✖ الفترة غير صحيحة",IF(ISNA(MATCH($G3050,Lists!$B$2:$B$7,0)),"✖ المجموعة غير صحيحة",IF(NOT(OR($H3050="",$N3050&gt;0)),"✖ Start غير صحيح",IF(NOT(OR($I3050="",$I3050="NR",$O3050&gt;0)),"✖ Current غير صحيح",IF(NOT(IF(ISNUMBER($J3050),AND($J3050&gt;=0,$J3050=INT($J3050)),FALSE())),"✖ العدد يجب أن يكون صحيحًا ≥ 0",IF(AND($F3050="Baseline",$H3050&lt;&gt;""),"⚠ Baseline: Start لا يدخل في التقدم",IF($K3050="No Start (attainment only)","ℹ تحصيل فقط (بدون Start)",IF($K3050="U – needs rule","ℹ حالة U تحتاج قاعدة معتمدة",IF($K3050="No result","ℹ بدون نتيجة (يُستبعد من التحصيل)","OK")))))))))))</f>
        <v/>
      </c>
      <c r="M3050" s="64" t="n">
        <f aca="false">IF($A3050="",0,IFERROR(MATCH($A3050,Classes!$A$6:$A$420,0),0))</f>
        <v>0</v>
      </c>
      <c r="N3050" s="64" t="n">
        <f aca="false">IF($H3050="",0,IFERROR(MATCH($H3050,GradeList,0),0))</f>
        <v>0</v>
      </c>
      <c r="O3050" s="64" t="n">
        <f aca="false">IF(OR($I3050="",$I3050="NR"),0,IFERROR(MATCH($I3050,GradeList,0),0))</f>
        <v>0</v>
      </c>
      <c r="P3050" s="64" t="n">
        <f aca="false">IF(AND($M3050&gt;0,ISNUMBER(MATCH($F3050,Lists!$A$2:$A$5,0)),ISNUMBER(MATCH($G3050,Lists!$B$2:$B$7,0)),OR($H3050="",$N3050&gt;0),OR($I3050="",$I3050="NR",$O3050&gt;0),IF(ISNUMBER($J3050),AND($J3050&gt;=0,$J3050=INT($J3050)),FALSE())),$J3050,0)</f>
        <v>0</v>
      </c>
      <c r="Q3050" s="64" t="n">
        <f aca="false">IF(AND($P3050&gt;0,$O3050&gt;0),$P3050,0)</f>
        <v>0</v>
      </c>
      <c r="R3050" s="64" t="n">
        <f aca="false">IF(AND($Q3050&gt;0,$O3050&gt;=AtRank),$Q3050,0)</f>
        <v>0</v>
      </c>
      <c r="S3050" s="64" t="n">
        <f aca="false">IF(AND($Q3050&gt;0,$O3050&gt;=AboveRank),$Q3050,0)</f>
        <v>0</v>
      </c>
      <c r="T3050" s="64" t="n">
        <f aca="false">IF($K3050="Less",$P3050,0)</f>
        <v>0</v>
      </c>
      <c r="U3050" s="64" t="n">
        <f aca="false">IF($K3050="Expected",$P3050,0)</f>
        <v>0</v>
      </c>
      <c r="V3050" s="64" t="n">
        <f aca="false">IF($K3050="Better",$P3050,0)</f>
        <v>0</v>
      </c>
      <c r="W3050" s="64" t="n">
        <f aca="false">IF($K3050="U – needs rule",$P3050,0)</f>
        <v>0</v>
      </c>
      <c r="X3050" s="64" t="n">
        <f aca="false">IF($K3050="No Start (attainment only)",$P3050,0)</f>
        <v>0</v>
      </c>
    </row>
    <row r="3051" customFormat="false" ht="15" hidden="false" customHeight="false" outlineLevel="0" collapsed="false">
      <c r="A3051" s="60"/>
      <c r="B3051" s="61" t="str">
        <f aca="false">IF($M3051=0,"",INDEX(Classes!$E$6:$E$420,$M3051))</f>
        <v/>
      </c>
      <c r="C3051" s="62" t="str">
        <f aca="false">IF($M3051=0,"",INDEX(Classes!$H$6:$H$420,$M3051))</f>
        <v/>
      </c>
      <c r="D3051" s="61" t="str">
        <f aca="false">IF($M3051=0,"",INDEX(Classes!$B$6:$B$420,$M3051))</f>
        <v/>
      </c>
      <c r="E3051" s="61" t="str">
        <f aca="false">IF($M3051=0,"",INDEX(Classes!$C$6:$C$420,$M3051))</f>
        <v/>
      </c>
      <c r="F3051" s="63"/>
      <c r="G3051" s="63"/>
      <c r="H3051" s="60"/>
      <c r="I3051" s="60"/>
      <c r="J3051" s="63"/>
      <c r="K3051" s="61" t="str">
        <f aca="false">IF($P3051=0,"",IF($F3051="Baseline","— Baseline",IF($O3051=0,"No result",IF($N3051=0,"No Start (attainment only)",IF(OR($N3051=1,$O3051=1),"U – needs rule",INDEX(MxBody,MATCH($I3051,MxCurr,0),MATCH($H3051,MxStart,0)))))))</f>
        <v/>
      </c>
      <c r="L3051" s="62" t="str">
        <f aca="false">IF(COUNTA($A3051,$F3051,$G3051,$H3051,$I3051,$J3051)=0,"",IF($M3051=0,"✖ كود الصف غير موجود",IF(ISNA(MATCH($F3051,Lists!$A$2:$A$5,0)),"✖ الفترة غير صحيحة",IF(ISNA(MATCH($G3051,Lists!$B$2:$B$7,0)),"✖ المجموعة غير صحيحة",IF(NOT(OR($H3051="",$N3051&gt;0)),"✖ Start غير صحيح",IF(NOT(OR($I3051="",$I3051="NR",$O3051&gt;0)),"✖ Current غير صحيح",IF(NOT(IF(ISNUMBER($J3051),AND($J3051&gt;=0,$J3051=INT($J3051)),FALSE())),"✖ العدد يجب أن يكون صحيحًا ≥ 0",IF(AND($F3051="Baseline",$H3051&lt;&gt;""),"⚠ Baseline: Start لا يدخل في التقدم",IF($K3051="No Start (attainment only)","ℹ تحصيل فقط (بدون Start)",IF($K3051="U – needs rule","ℹ حالة U تحتاج قاعدة معتمدة",IF($K3051="No result","ℹ بدون نتيجة (يُستبعد من التحصيل)","OK")))))))))))</f>
        <v/>
      </c>
      <c r="M3051" s="64" t="n">
        <f aca="false">IF($A3051="",0,IFERROR(MATCH($A3051,Classes!$A$6:$A$420,0),0))</f>
        <v>0</v>
      </c>
      <c r="N3051" s="64" t="n">
        <f aca="false">IF($H3051="",0,IFERROR(MATCH($H3051,GradeList,0),0))</f>
        <v>0</v>
      </c>
      <c r="O3051" s="64" t="n">
        <f aca="false">IF(OR($I3051="",$I3051="NR"),0,IFERROR(MATCH($I3051,GradeList,0),0))</f>
        <v>0</v>
      </c>
      <c r="P3051" s="64" t="n">
        <f aca="false">IF(AND($M3051&gt;0,ISNUMBER(MATCH($F3051,Lists!$A$2:$A$5,0)),ISNUMBER(MATCH($G3051,Lists!$B$2:$B$7,0)),OR($H3051="",$N3051&gt;0),OR($I3051="",$I3051="NR",$O3051&gt;0),IF(ISNUMBER($J3051),AND($J3051&gt;=0,$J3051=INT($J3051)),FALSE())),$J3051,0)</f>
        <v>0</v>
      </c>
      <c r="Q3051" s="64" t="n">
        <f aca="false">IF(AND($P3051&gt;0,$O3051&gt;0),$P3051,0)</f>
        <v>0</v>
      </c>
      <c r="R3051" s="64" t="n">
        <f aca="false">IF(AND($Q3051&gt;0,$O3051&gt;=AtRank),$Q3051,0)</f>
        <v>0</v>
      </c>
      <c r="S3051" s="64" t="n">
        <f aca="false">IF(AND($Q3051&gt;0,$O3051&gt;=AboveRank),$Q3051,0)</f>
        <v>0</v>
      </c>
      <c r="T3051" s="64" t="n">
        <f aca="false">IF($K3051="Less",$P3051,0)</f>
        <v>0</v>
      </c>
      <c r="U3051" s="64" t="n">
        <f aca="false">IF($K3051="Expected",$P3051,0)</f>
        <v>0</v>
      </c>
      <c r="V3051" s="64" t="n">
        <f aca="false">IF($K3051="Better",$P3051,0)</f>
        <v>0</v>
      </c>
      <c r="W3051" s="64" t="n">
        <f aca="false">IF($K3051="U – needs rule",$P3051,0)</f>
        <v>0</v>
      </c>
      <c r="X3051" s="64" t="n">
        <f aca="false">IF($K3051="No Start (attainment only)",$P3051,0)</f>
        <v>0</v>
      </c>
    </row>
    <row r="3052" customFormat="false" ht="15" hidden="false" customHeight="false" outlineLevel="0" collapsed="false">
      <c r="A3052" s="60"/>
      <c r="B3052" s="61" t="str">
        <f aca="false">IF($M3052=0,"",INDEX(Classes!$E$6:$E$420,$M3052))</f>
        <v/>
      </c>
      <c r="C3052" s="62" t="str">
        <f aca="false">IF($M3052=0,"",INDEX(Classes!$H$6:$H$420,$M3052))</f>
        <v/>
      </c>
      <c r="D3052" s="61" t="str">
        <f aca="false">IF($M3052=0,"",INDEX(Classes!$B$6:$B$420,$M3052))</f>
        <v/>
      </c>
      <c r="E3052" s="61" t="str">
        <f aca="false">IF($M3052=0,"",INDEX(Classes!$C$6:$C$420,$M3052))</f>
        <v/>
      </c>
      <c r="F3052" s="63"/>
      <c r="G3052" s="63"/>
      <c r="H3052" s="60"/>
      <c r="I3052" s="60"/>
      <c r="J3052" s="63"/>
      <c r="K3052" s="61" t="str">
        <f aca="false">IF($P3052=0,"",IF($F3052="Baseline","— Baseline",IF($O3052=0,"No result",IF($N3052=0,"No Start (attainment only)",IF(OR($N3052=1,$O3052=1),"U – needs rule",INDEX(MxBody,MATCH($I3052,MxCurr,0),MATCH($H3052,MxStart,0)))))))</f>
        <v/>
      </c>
      <c r="L3052" s="62" t="str">
        <f aca="false">IF(COUNTA($A3052,$F3052,$G3052,$H3052,$I3052,$J3052)=0,"",IF($M3052=0,"✖ كود الصف غير موجود",IF(ISNA(MATCH($F3052,Lists!$A$2:$A$5,0)),"✖ الفترة غير صحيحة",IF(ISNA(MATCH($G3052,Lists!$B$2:$B$7,0)),"✖ المجموعة غير صحيحة",IF(NOT(OR($H3052="",$N3052&gt;0)),"✖ Start غير صحيح",IF(NOT(OR($I3052="",$I3052="NR",$O3052&gt;0)),"✖ Current غير صحيح",IF(NOT(IF(ISNUMBER($J3052),AND($J3052&gt;=0,$J3052=INT($J3052)),FALSE())),"✖ العدد يجب أن يكون صحيحًا ≥ 0",IF(AND($F3052="Baseline",$H3052&lt;&gt;""),"⚠ Baseline: Start لا يدخل في التقدم",IF($K3052="No Start (attainment only)","ℹ تحصيل فقط (بدون Start)",IF($K3052="U – needs rule","ℹ حالة U تحتاج قاعدة معتمدة",IF($K3052="No result","ℹ بدون نتيجة (يُستبعد من التحصيل)","OK")))))))))))</f>
        <v/>
      </c>
      <c r="M3052" s="64" t="n">
        <f aca="false">IF($A3052="",0,IFERROR(MATCH($A3052,Classes!$A$6:$A$420,0),0))</f>
        <v>0</v>
      </c>
      <c r="N3052" s="64" t="n">
        <f aca="false">IF($H3052="",0,IFERROR(MATCH($H3052,GradeList,0),0))</f>
        <v>0</v>
      </c>
      <c r="O3052" s="64" t="n">
        <f aca="false">IF(OR($I3052="",$I3052="NR"),0,IFERROR(MATCH($I3052,GradeList,0),0))</f>
        <v>0</v>
      </c>
      <c r="P3052" s="64" t="n">
        <f aca="false">IF(AND($M3052&gt;0,ISNUMBER(MATCH($F3052,Lists!$A$2:$A$5,0)),ISNUMBER(MATCH($G3052,Lists!$B$2:$B$7,0)),OR($H3052="",$N3052&gt;0),OR($I3052="",$I3052="NR",$O3052&gt;0),IF(ISNUMBER($J3052),AND($J3052&gt;=0,$J3052=INT($J3052)),FALSE())),$J3052,0)</f>
        <v>0</v>
      </c>
      <c r="Q3052" s="64" t="n">
        <f aca="false">IF(AND($P3052&gt;0,$O3052&gt;0),$P3052,0)</f>
        <v>0</v>
      </c>
      <c r="R3052" s="64" t="n">
        <f aca="false">IF(AND($Q3052&gt;0,$O3052&gt;=AtRank),$Q3052,0)</f>
        <v>0</v>
      </c>
      <c r="S3052" s="64" t="n">
        <f aca="false">IF(AND($Q3052&gt;0,$O3052&gt;=AboveRank),$Q3052,0)</f>
        <v>0</v>
      </c>
      <c r="T3052" s="64" t="n">
        <f aca="false">IF($K3052="Less",$P3052,0)</f>
        <v>0</v>
      </c>
      <c r="U3052" s="64" t="n">
        <f aca="false">IF($K3052="Expected",$P3052,0)</f>
        <v>0</v>
      </c>
      <c r="V3052" s="64" t="n">
        <f aca="false">IF($K3052="Better",$P3052,0)</f>
        <v>0</v>
      </c>
      <c r="W3052" s="64" t="n">
        <f aca="false">IF($K3052="U – needs rule",$P3052,0)</f>
        <v>0</v>
      </c>
      <c r="X3052" s="64" t="n">
        <f aca="false">IF($K3052="No Start (attainment only)",$P3052,0)</f>
        <v>0</v>
      </c>
    </row>
    <row r="3053" customFormat="false" ht="15" hidden="false" customHeight="false" outlineLevel="0" collapsed="false">
      <c r="A3053" s="60"/>
      <c r="B3053" s="61" t="str">
        <f aca="false">IF($M3053=0,"",INDEX(Classes!$E$6:$E$420,$M3053))</f>
        <v/>
      </c>
      <c r="C3053" s="62" t="str">
        <f aca="false">IF($M3053=0,"",INDEX(Classes!$H$6:$H$420,$M3053))</f>
        <v/>
      </c>
      <c r="D3053" s="61" t="str">
        <f aca="false">IF($M3053=0,"",INDEX(Classes!$B$6:$B$420,$M3053))</f>
        <v/>
      </c>
      <c r="E3053" s="61" t="str">
        <f aca="false">IF($M3053=0,"",INDEX(Classes!$C$6:$C$420,$M3053))</f>
        <v/>
      </c>
      <c r="F3053" s="63"/>
      <c r="G3053" s="63"/>
      <c r="H3053" s="60"/>
      <c r="I3053" s="60"/>
      <c r="J3053" s="63"/>
      <c r="K3053" s="61" t="str">
        <f aca="false">IF($P3053=0,"",IF($F3053="Baseline","— Baseline",IF($O3053=0,"No result",IF($N3053=0,"No Start (attainment only)",IF(OR($N3053=1,$O3053=1),"U – needs rule",INDEX(MxBody,MATCH($I3053,MxCurr,0),MATCH($H3053,MxStart,0)))))))</f>
        <v/>
      </c>
      <c r="L3053" s="62" t="str">
        <f aca="false">IF(COUNTA($A3053,$F3053,$G3053,$H3053,$I3053,$J3053)=0,"",IF($M3053=0,"✖ كود الصف غير موجود",IF(ISNA(MATCH($F3053,Lists!$A$2:$A$5,0)),"✖ الفترة غير صحيحة",IF(ISNA(MATCH($G3053,Lists!$B$2:$B$7,0)),"✖ المجموعة غير صحيحة",IF(NOT(OR($H3053="",$N3053&gt;0)),"✖ Start غير صحيح",IF(NOT(OR($I3053="",$I3053="NR",$O3053&gt;0)),"✖ Current غير صحيح",IF(NOT(IF(ISNUMBER($J3053),AND($J3053&gt;=0,$J3053=INT($J3053)),FALSE())),"✖ العدد يجب أن يكون صحيحًا ≥ 0",IF(AND($F3053="Baseline",$H3053&lt;&gt;""),"⚠ Baseline: Start لا يدخل في التقدم",IF($K3053="No Start (attainment only)","ℹ تحصيل فقط (بدون Start)",IF($K3053="U – needs rule","ℹ حالة U تحتاج قاعدة معتمدة",IF($K3053="No result","ℹ بدون نتيجة (يُستبعد من التحصيل)","OK")))))))))))</f>
        <v/>
      </c>
      <c r="M3053" s="64" t="n">
        <f aca="false">IF($A3053="",0,IFERROR(MATCH($A3053,Classes!$A$6:$A$420,0),0))</f>
        <v>0</v>
      </c>
      <c r="N3053" s="64" t="n">
        <f aca="false">IF($H3053="",0,IFERROR(MATCH($H3053,GradeList,0),0))</f>
        <v>0</v>
      </c>
      <c r="O3053" s="64" t="n">
        <f aca="false">IF(OR($I3053="",$I3053="NR"),0,IFERROR(MATCH($I3053,GradeList,0),0))</f>
        <v>0</v>
      </c>
      <c r="P3053" s="64" t="n">
        <f aca="false">IF(AND($M3053&gt;0,ISNUMBER(MATCH($F3053,Lists!$A$2:$A$5,0)),ISNUMBER(MATCH($G3053,Lists!$B$2:$B$7,0)),OR($H3053="",$N3053&gt;0),OR($I3053="",$I3053="NR",$O3053&gt;0),IF(ISNUMBER($J3053),AND($J3053&gt;=0,$J3053=INT($J3053)),FALSE())),$J3053,0)</f>
        <v>0</v>
      </c>
      <c r="Q3053" s="64" t="n">
        <f aca="false">IF(AND($P3053&gt;0,$O3053&gt;0),$P3053,0)</f>
        <v>0</v>
      </c>
      <c r="R3053" s="64" t="n">
        <f aca="false">IF(AND($Q3053&gt;0,$O3053&gt;=AtRank),$Q3053,0)</f>
        <v>0</v>
      </c>
      <c r="S3053" s="64" t="n">
        <f aca="false">IF(AND($Q3053&gt;0,$O3053&gt;=AboveRank),$Q3053,0)</f>
        <v>0</v>
      </c>
      <c r="T3053" s="64" t="n">
        <f aca="false">IF($K3053="Less",$P3053,0)</f>
        <v>0</v>
      </c>
      <c r="U3053" s="64" t="n">
        <f aca="false">IF($K3053="Expected",$P3053,0)</f>
        <v>0</v>
      </c>
      <c r="V3053" s="64" t="n">
        <f aca="false">IF($K3053="Better",$P3053,0)</f>
        <v>0</v>
      </c>
      <c r="W3053" s="64" t="n">
        <f aca="false">IF($K3053="U – needs rule",$P3053,0)</f>
        <v>0</v>
      </c>
      <c r="X3053" s="64" t="n">
        <f aca="false">IF($K3053="No Start (attainment only)",$P3053,0)</f>
        <v>0</v>
      </c>
    </row>
    <row r="3054" customFormat="false" ht="15" hidden="false" customHeight="false" outlineLevel="0" collapsed="false">
      <c r="A3054" s="60"/>
      <c r="B3054" s="61" t="str">
        <f aca="false">IF($M3054=0,"",INDEX(Classes!$E$6:$E$420,$M3054))</f>
        <v/>
      </c>
      <c r="C3054" s="62" t="str">
        <f aca="false">IF($M3054=0,"",INDEX(Classes!$H$6:$H$420,$M3054))</f>
        <v/>
      </c>
      <c r="D3054" s="61" t="str">
        <f aca="false">IF($M3054=0,"",INDEX(Classes!$B$6:$B$420,$M3054))</f>
        <v/>
      </c>
      <c r="E3054" s="61" t="str">
        <f aca="false">IF($M3054=0,"",INDEX(Classes!$C$6:$C$420,$M3054))</f>
        <v/>
      </c>
      <c r="F3054" s="63"/>
      <c r="G3054" s="63"/>
      <c r="H3054" s="60"/>
      <c r="I3054" s="60"/>
      <c r="J3054" s="63"/>
      <c r="K3054" s="61" t="str">
        <f aca="false">IF($P3054=0,"",IF($F3054="Baseline","— Baseline",IF($O3054=0,"No result",IF($N3054=0,"No Start (attainment only)",IF(OR($N3054=1,$O3054=1),"U – needs rule",INDEX(MxBody,MATCH($I3054,MxCurr,0),MATCH($H3054,MxStart,0)))))))</f>
        <v/>
      </c>
      <c r="L3054" s="62" t="str">
        <f aca="false">IF(COUNTA($A3054,$F3054,$G3054,$H3054,$I3054,$J3054)=0,"",IF($M3054=0,"✖ كود الصف غير موجود",IF(ISNA(MATCH($F3054,Lists!$A$2:$A$5,0)),"✖ الفترة غير صحيحة",IF(ISNA(MATCH($G3054,Lists!$B$2:$B$7,0)),"✖ المجموعة غير صحيحة",IF(NOT(OR($H3054="",$N3054&gt;0)),"✖ Start غير صحيح",IF(NOT(OR($I3054="",$I3054="NR",$O3054&gt;0)),"✖ Current غير صحيح",IF(NOT(IF(ISNUMBER($J3054),AND($J3054&gt;=0,$J3054=INT($J3054)),FALSE())),"✖ العدد يجب أن يكون صحيحًا ≥ 0",IF(AND($F3054="Baseline",$H3054&lt;&gt;""),"⚠ Baseline: Start لا يدخل في التقدم",IF($K3054="No Start (attainment only)","ℹ تحصيل فقط (بدون Start)",IF($K3054="U – needs rule","ℹ حالة U تحتاج قاعدة معتمدة",IF($K3054="No result","ℹ بدون نتيجة (يُستبعد من التحصيل)","OK")))))))))))</f>
        <v/>
      </c>
      <c r="M3054" s="64" t="n">
        <f aca="false">IF($A3054="",0,IFERROR(MATCH($A3054,Classes!$A$6:$A$420,0),0))</f>
        <v>0</v>
      </c>
      <c r="N3054" s="64" t="n">
        <f aca="false">IF($H3054="",0,IFERROR(MATCH($H3054,GradeList,0),0))</f>
        <v>0</v>
      </c>
      <c r="O3054" s="64" t="n">
        <f aca="false">IF(OR($I3054="",$I3054="NR"),0,IFERROR(MATCH($I3054,GradeList,0),0))</f>
        <v>0</v>
      </c>
      <c r="P3054" s="64" t="n">
        <f aca="false">IF(AND($M3054&gt;0,ISNUMBER(MATCH($F3054,Lists!$A$2:$A$5,0)),ISNUMBER(MATCH($G3054,Lists!$B$2:$B$7,0)),OR($H3054="",$N3054&gt;0),OR($I3054="",$I3054="NR",$O3054&gt;0),IF(ISNUMBER($J3054),AND($J3054&gt;=0,$J3054=INT($J3054)),FALSE())),$J3054,0)</f>
        <v>0</v>
      </c>
      <c r="Q3054" s="64" t="n">
        <f aca="false">IF(AND($P3054&gt;0,$O3054&gt;0),$P3054,0)</f>
        <v>0</v>
      </c>
      <c r="R3054" s="64" t="n">
        <f aca="false">IF(AND($Q3054&gt;0,$O3054&gt;=AtRank),$Q3054,0)</f>
        <v>0</v>
      </c>
      <c r="S3054" s="64" t="n">
        <f aca="false">IF(AND($Q3054&gt;0,$O3054&gt;=AboveRank),$Q3054,0)</f>
        <v>0</v>
      </c>
      <c r="T3054" s="64" t="n">
        <f aca="false">IF($K3054="Less",$P3054,0)</f>
        <v>0</v>
      </c>
      <c r="U3054" s="64" t="n">
        <f aca="false">IF($K3054="Expected",$P3054,0)</f>
        <v>0</v>
      </c>
      <c r="V3054" s="64" t="n">
        <f aca="false">IF($K3054="Better",$P3054,0)</f>
        <v>0</v>
      </c>
      <c r="W3054" s="64" t="n">
        <f aca="false">IF($K3054="U – needs rule",$P3054,0)</f>
        <v>0</v>
      </c>
      <c r="X3054" s="64" t="n">
        <f aca="false">IF($K3054="No Start (attainment only)",$P3054,0)</f>
        <v>0</v>
      </c>
    </row>
    <row r="3055" customFormat="false" ht="15" hidden="false" customHeight="false" outlineLevel="0" collapsed="false">
      <c r="A3055" s="60"/>
      <c r="B3055" s="61" t="str">
        <f aca="false">IF($M3055=0,"",INDEX(Classes!$E$6:$E$420,$M3055))</f>
        <v/>
      </c>
      <c r="C3055" s="62" t="str">
        <f aca="false">IF($M3055=0,"",INDEX(Classes!$H$6:$H$420,$M3055))</f>
        <v/>
      </c>
      <c r="D3055" s="61" t="str">
        <f aca="false">IF($M3055=0,"",INDEX(Classes!$B$6:$B$420,$M3055))</f>
        <v/>
      </c>
      <c r="E3055" s="61" t="str">
        <f aca="false">IF($M3055=0,"",INDEX(Classes!$C$6:$C$420,$M3055))</f>
        <v/>
      </c>
      <c r="F3055" s="63"/>
      <c r="G3055" s="63"/>
      <c r="H3055" s="60"/>
      <c r="I3055" s="60"/>
      <c r="J3055" s="63"/>
      <c r="K3055" s="61" t="str">
        <f aca="false">IF($P3055=0,"",IF($F3055="Baseline","— Baseline",IF($O3055=0,"No result",IF($N3055=0,"No Start (attainment only)",IF(OR($N3055=1,$O3055=1),"U – needs rule",INDEX(MxBody,MATCH($I3055,MxCurr,0),MATCH($H3055,MxStart,0)))))))</f>
        <v/>
      </c>
      <c r="L3055" s="62" t="str">
        <f aca="false">IF(COUNTA($A3055,$F3055,$G3055,$H3055,$I3055,$J3055)=0,"",IF($M3055=0,"✖ كود الصف غير موجود",IF(ISNA(MATCH($F3055,Lists!$A$2:$A$5,0)),"✖ الفترة غير صحيحة",IF(ISNA(MATCH($G3055,Lists!$B$2:$B$7,0)),"✖ المجموعة غير صحيحة",IF(NOT(OR($H3055="",$N3055&gt;0)),"✖ Start غير صحيح",IF(NOT(OR($I3055="",$I3055="NR",$O3055&gt;0)),"✖ Current غير صحيح",IF(NOT(IF(ISNUMBER($J3055),AND($J3055&gt;=0,$J3055=INT($J3055)),FALSE())),"✖ العدد يجب أن يكون صحيحًا ≥ 0",IF(AND($F3055="Baseline",$H3055&lt;&gt;""),"⚠ Baseline: Start لا يدخل في التقدم",IF($K3055="No Start (attainment only)","ℹ تحصيل فقط (بدون Start)",IF($K3055="U – needs rule","ℹ حالة U تحتاج قاعدة معتمدة",IF($K3055="No result","ℹ بدون نتيجة (يُستبعد من التحصيل)","OK")))))))))))</f>
        <v/>
      </c>
      <c r="M3055" s="64" t="n">
        <f aca="false">IF($A3055="",0,IFERROR(MATCH($A3055,Classes!$A$6:$A$420,0),0))</f>
        <v>0</v>
      </c>
      <c r="N3055" s="64" t="n">
        <f aca="false">IF($H3055="",0,IFERROR(MATCH($H3055,GradeList,0),0))</f>
        <v>0</v>
      </c>
      <c r="O3055" s="64" t="n">
        <f aca="false">IF(OR($I3055="",$I3055="NR"),0,IFERROR(MATCH($I3055,GradeList,0),0))</f>
        <v>0</v>
      </c>
      <c r="P3055" s="64" t="n">
        <f aca="false">IF(AND($M3055&gt;0,ISNUMBER(MATCH($F3055,Lists!$A$2:$A$5,0)),ISNUMBER(MATCH($G3055,Lists!$B$2:$B$7,0)),OR($H3055="",$N3055&gt;0),OR($I3055="",$I3055="NR",$O3055&gt;0),IF(ISNUMBER($J3055),AND($J3055&gt;=0,$J3055=INT($J3055)),FALSE())),$J3055,0)</f>
        <v>0</v>
      </c>
      <c r="Q3055" s="64" t="n">
        <f aca="false">IF(AND($P3055&gt;0,$O3055&gt;0),$P3055,0)</f>
        <v>0</v>
      </c>
      <c r="R3055" s="64" t="n">
        <f aca="false">IF(AND($Q3055&gt;0,$O3055&gt;=AtRank),$Q3055,0)</f>
        <v>0</v>
      </c>
      <c r="S3055" s="64" t="n">
        <f aca="false">IF(AND($Q3055&gt;0,$O3055&gt;=AboveRank),$Q3055,0)</f>
        <v>0</v>
      </c>
      <c r="T3055" s="64" t="n">
        <f aca="false">IF($K3055="Less",$P3055,0)</f>
        <v>0</v>
      </c>
      <c r="U3055" s="64" t="n">
        <f aca="false">IF($K3055="Expected",$P3055,0)</f>
        <v>0</v>
      </c>
      <c r="V3055" s="64" t="n">
        <f aca="false">IF($K3055="Better",$P3055,0)</f>
        <v>0</v>
      </c>
      <c r="W3055" s="64" t="n">
        <f aca="false">IF($K3055="U – needs rule",$P3055,0)</f>
        <v>0</v>
      </c>
      <c r="X3055" s="64" t="n">
        <f aca="false">IF($K3055="No Start (attainment only)",$P3055,0)</f>
        <v>0</v>
      </c>
    </row>
    <row r="3056" customFormat="false" ht="15" hidden="false" customHeight="false" outlineLevel="0" collapsed="false">
      <c r="A3056" s="60"/>
      <c r="B3056" s="61" t="str">
        <f aca="false">IF($M3056=0,"",INDEX(Classes!$E$6:$E$420,$M3056))</f>
        <v/>
      </c>
      <c r="C3056" s="62" t="str">
        <f aca="false">IF($M3056=0,"",INDEX(Classes!$H$6:$H$420,$M3056))</f>
        <v/>
      </c>
      <c r="D3056" s="61" t="str">
        <f aca="false">IF($M3056=0,"",INDEX(Classes!$B$6:$B$420,$M3056))</f>
        <v/>
      </c>
      <c r="E3056" s="61" t="str">
        <f aca="false">IF($M3056=0,"",INDEX(Classes!$C$6:$C$420,$M3056))</f>
        <v/>
      </c>
      <c r="F3056" s="63"/>
      <c r="G3056" s="63"/>
      <c r="H3056" s="60"/>
      <c r="I3056" s="60"/>
      <c r="J3056" s="63"/>
      <c r="K3056" s="61" t="str">
        <f aca="false">IF($P3056=0,"",IF($F3056="Baseline","— Baseline",IF($O3056=0,"No result",IF($N3056=0,"No Start (attainment only)",IF(OR($N3056=1,$O3056=1),"U – needs rule",INDEX(MxBody,MATCH($I3056,MxCurr,0),MATCH($H3056,MxStart,0)))))))</f>
        <v/>
      </c>
      <c r="L3056" s="62" t="str">
        <f aca="false">IF(COUNTA($A3056,$F3056,$G3056,$H3056,$I3056,$J3056)=0,"",IF($M3056=0,"✖ كود الصف غير موجود",IF(ISNA(MATCH($F3056,Lists!$A$2:$A$5,0)),"✖ الفترة غير صحيحة",IF(ISNA(MATCH($G3056,Lists!$B$2:$B$7,0)),"✖ المجموعة غير صحيحة",IF(NOT(OR($H3056="",$N3056&gt;0)),"✖ Start غير صحيح",IF(NOT(OR($I3056="",$I3056="NR",$O3056&gt;0)),"✖ Current غير صحيح",IF(NOT(IF(ISNUMBER($J3056),AND($J3056&gt;=0,$J3056=INT($J3056)),FALSE())),"✖ العدد يجب أن يكون صحيحًا ≥ 0",IF(AND($F3056="Baseline",$H3056&lt;&gt;""),"⚠ Baseline: Start لا يدخل في التقدم",IF($K3056="No Start (attainment only)","ℹ تحصيل فقط (بدون Start)",IF($K3056="U – needs rule","ℹ حالة U تحتاج قاعدة معتمدة",IF($K3056="No result","ℹ بدون نتيجة (يُستبعد من التحصيل)","OK")))))))))))</f>
        <v/>
      </c>
      <c r="M3056" s="64" t="n">
        <f aca="false">IF($A3056="",0,IFERROR(MATCH($A3056,Classes!$A$6:$A$420,0),0))</f>
        <v>0</v>
      </c>
      <c r="N3056" s="64" t="n">
        <f aca="false">IF($H3056="",0,IFERROR(MATCH($H3056,GradeList,0),0))</f>
        <v>0</v>
      </c>
      <c r="O3056" s="64" t="n">
        <f aca="false">IF(OR($I3056="",$I3056="NR"),0,IFERROR(MATCH($I3056,GradeList,0),0))</f>
        <v>0</v>
      </c>
      <c r="P3056" s="64" t="n">
        <f aca="false">IF(AND($M3056&gt;0,ISNUMBER(MATCH($F3056,Lists!$A$2:$A$5,0)),ISNUMBER(MATCH($G3056,Lists!$B$2:$B$7,0)),OR($H3056="",$N3056&gt;0),OR($I3056="",$I3056="NR",$O3056&gt;0),IF(ISNUMBER($J3056),AND($J3056&gt;=0,$J3056=INT($J3056)),FALSE())),$J3056,0)</f>
        <v>0</v>
      </c>
      <c r="Q3056" s="64" t="n">
        <f aca="false">IF(AND($P3056&gt;0,$O3056&gt;0),$P3056,0)</f>
        <v>0</v>
      </c>
      <c r="R3056" s="64" t="n">
        <f aca="false">IF(AND($Q3056&gt;0,$O3056&gt;=AtRank),$Q3056,0)</f>
        <v>0</v>
      </c>
      <c r="S3056" s="64" t="n">
        <f aca="false">IF(AND($Q3056&gt;0,$O3056&gt;=AboveRank),$Q3056,0)</f>
        <v>0</v>
      </c>
      <c r="T3056" s="64" t="n">
        <f aca="false">IF($K3056="Less",$P3056,0)</f>
        <v>0</v>
      </c>
      <c r="U3056" s="64" t="n">
        <f aca="false">IF($K3056="Expected",$P3056,0)</f>
        <v>0</v>
      </c>
      <c r="V3056" s="64" t="n">
        <f aca="false">IF($K3056="Better",$P3056,0)</f>
        <v>0</v>
      </c>
      <c r="W3056" s="64" t="n">
        <f aca="false">IF($K3056="U – needs rule",$P3056,0)</f>
        <v>0</v>
      </c>
      <c r="X3056" s="64" t="n">
        <f aca="false">IF($K3056="No Start (attainment only)",$P3056,0)</f>
        <v>0</v>
      </c>
    </row>
    <row r="3057" customFormat="false" ht="15" hidden="false" customHeight="false" outlineLevel="0" collapsed="false">
      <c r="A3057" s="60"/>
      <c r="B3057" s="61" t="str">
        <f aca="false">IF($M3057=0,"",INDEX(Classes!$E$6:$E$420,$M3057))</f>
        <v/>
      </c>
      <c r="C3057" s="62" t="str">
        <f aca="false">IF($M3057=0,"",INDEX(Classes!$H$6:$H$420,$M3057))</f>
        <v/>
      </c>
      <c r="D3057" s="61" t="str">
        <f aca="false">IF($M3057=0,"",INDEX(Classes!$B$6:$B$420,$M3057))</f>
        <v/>
      </c>
      <c r="E3057" s="61" t="str">
        <f aca="false">IF($M3057=0,"",INDEX(Classes!$C$6:$C$420,$M3057))</f>
        <v/>
      </c>
      <c r="F3057" s="63"/>
      <c r="G3057" s="63"/>
      <c r="H3057" s="60"/>
      <c r="I3057" s="60"/>
      <c r="J3057" s="63"/>
      <c r="K3057" s="61" t="str">
        <f aca="false">IF($P3057=0,"",IF($F3057="Baseline","— Baseline",IF($O3057=0,"No result",IF($N3057=0,"No Start (attainment only)",IF(OR($N3057=1,$O3057=1),"U – needs rule",INDEX(MxBody,MATCH($I3057,MxCurr,0),MATCH($H3057,MxStart,0)))))))</f>
        <v/>
      </c>
      <c r="L3057" s="62" t="str">
        <f aca="false">IF(COUNTA($A3057,$F3057,$G3057,$H3057,$I3057,$J3057)=0,"",IF($M3057=0,"✖ كود الصف غير موجود",IF(ISNA(MATCH($F3057,Lists!$A$2:$A$5,0)),"✖ الفترة غير صحيحة",IF(ISNA(MATCH($G3057,Lists!$B$2:$B$7,0)),"✖ المجموعة غير صحيحة",IF(NOT(OR($H3057="",$N3057&gt;0)),"✖ Start غير صحيح",IF(NOT(OR($I3057="",$I3057="NR",$O3057&gt;0)),"✖ Current غير صحيح",IF(NOT(IF(ISNUMBER($J3057),AND($J3057&gt;=0,$J3057=INT($J3057)),FALSE())),"✖ العدد يجب أن يكون صحيحًا ≥ 0",IF(AND($F3057="Baseline",$H3057&lt;&gt;""),"⚠ Baseline: Start لا يدخل في التقدم",IF($K3057="No Start (attainment only)","ℹ تحصيل فقط (بدون Start)",IF($K3057="U – needs rule","ℹ حالة U تحتاج قاعدة معتمدة",IF($K3057="No result","ℹ بدون نتيجة (يُستبعد من التحصيل)","OK")))))))))))</f>
        <v/>
      </c>
      <c r="M3057" s="64" t="n">
        <f aca="false">IF($A3057="",0,IFERROR(MATCH($A3057,Classes!$A$6:$A$420,0),0))</f>
        <v>0</v>
      </c>
      <c r="N3057" s="64" t="n">
        <f aca="false">IF($H3057="",0,IFERROR(MATCH($H3057,GradeList,0),0))</f>
        <v>0</v>
      </c>
      <c r="O3057" s="64" t="n">
        <f aca="false">IF(OR($I3057="",$I3057="NR"),0,IFERROR(MATCH($I3057,GradeList,0),0))</f>
        <v>0</v>
      </c>
      <c r="P3057" s="64" t="n">
        <f aca="false">IF(AND($M3057&gt;0,ISNUMBER(MATCH($F3057,Lists!$A$2:$A$5,0)),ISNUMBER(MATCH($G3057,Lists!$B$2:$B$7,0)),OR($H3057="",$N3057&gt;0),OR($I3057="",$I3057="NR",$O3057&gt;0),IF(ISNUMBER($J3057),AND($J3057&gt;=0,$J3057=INT($J3057)),FALSE())),$J3057,0)</f>
        <v>0</v>
      </c>
      <c r="Q3057" s="64" t="n">
        <f aca="false">IF(AND($P3057&gt;0,$O3057&gt;0),$P3057,0)</f>
        <v>0</v>
      </c>
      <c r="R3057" s="64" t="n">
        <f aca="false">IF(AND($Q3057&gt;0,$O3057&gt;=AtRank),$Q3057,0)</f>
        <v>0</v>
      </c>
      <c r="S3057" s="64" t="n">
        <f aca="false">IF(AND($Q3057&gt;0,$O3057&gt;=AboveRank),$Q3057,0)</f>
        <v>0</v>
      </c>
      <c r="T3057" s="64" t="n">
        <f aca="false">IF($K3057="Less",$P3057,0)</f>
        <v>0</v>
      </c>
      <c r="U3057" s="64" t="n">
        <f aca="false">IF($K3057="Expected",$P3057,0)</f>
        <v>0</v>
      </c>
      <c r="V3057" s="64" t="n">
        <f aca="false">IF($K3057="Better",$P3057,0)</f>
        <v>0</v>
      </c>
      <c r="W3057" s="64" t="n">
        <f aca="false">IF($K3057="U – needs rule",$P3057,0)</f>
        <v>0</v>
      </c>
      <c r="X3057" s="64" t="n">
        <f aca="false">IF($K3057="No Start (attainment only)",$P3057,0)</f>
        <v>0</v>
      </c>
    </row>
    <row r="3058" customFormat="false" ht="15" hidden="false" customHeight="false" outlineLevel="0" collapsed="false">
      <c r="A3058" s="60"/>
      <c r="B3058" s="61" t="str">
        <f aca="false">IF($M3058=0,"",INDEX(Classes!$E$6:$E$420,$M3058))</f>
        <v/>
      </c>
      <c r="C3058" s="62" t="str">
        <f aca="false">IF($M3058=0,"",INDEX(Classes!$H$6:$H$420,$M3058))</f>
        <v/>
      </c>
      <c r="D3058" s="61" t="str">
        <f aca="false">IF($M3058=0,"",INDEX(Classes!$B$6:$B$420,$M3058))</f>
        <v/>
      </c>
      <c r="E3058" s="61" t="str">
        <f aca="false">IF($M3058=0,"",INDEX(Classes!$C$6:$C$420,$M3058))</f>
        <v/>
      </c>
      <c r="F3058" s="63"/>
      <c r="G3058" s="63"/>
      <c r="H3058" s="60"/>
      <c r="I3058" s="60"/>
      <c r="J3058" s="63"/>
      <c r="K3058" s="61" t="str">
        <f aca="false">IF($P3058=0,"",IF($F3058="Baseline","— Baseline",IF($O3058=0,"No result",IF($N3058=0,"No Start (attainment only)",IF(OR($N3058=1,$O3058=1),"U – needs rule",INDEX(MxBody,MATCH($I3058,MxCurr,0),MATCH($H3058,MxStart,0)))))))</f>
        <v/>
      </c>
      <c r="L3058" s="62" t="str">
        <f aca="false">IF(COUNTA($A3058,$F3058,$G3058,$H3058,$I3058,$J3058)=0,"",IF($M3058=0,"✖ كود الصف غير موجود",IF(ISNA(MATCH($F3058,Lists!$A$2:$A$5,0)),"✖ الفترة غير صحيحة",IF(ISNA(MATCH($G3058,Lists!$B$2:$B$7,0)),"✖ المجموعة غير صحيحة",IF(NOT(OR($H3058="",$N3058&gt;0)),"✖ Start غير صحيح",IF(NOT(OR($I3058="",$I3058="NR",$O3058&gt;0)),"✖ Current غير صحيح",IF(NOT(IF(ISNUMBER($J3058),AND($J3058&gt;=0,$J3058=INT($J3058)),FALSE())),"✖ العدد يجب أن يكون صحيحًا ≥ 0",IF(AND($F3058="Baseline",$H3058&lt;&gt;""),"⚠ Baseline: Start لا يدخل في التقدم",IF($K3058="No Start (attainment only)","ℹ تحصيل فقط (بدون Start)",IF($K3058="U – needs rule","ℹ حالة U تحتاج قاعدة معتمدة",IF($K3058="No result","ℹ بدون نتيجة (يُستبعد من التحصيل)","OK")))))))))))</f>
        <v/>
      </c>
      <c r="M3058" s="64" t="n">
        <f aca="false">IF($A3058="",0,IFERROR(MATCH($A3058,Classes!$A$6:$A$420,0),0))</f>
        <v>0</v>
      </c>
      <c r="N3058" s="64" t="n">
        <f aca="false">IF($H3058="",0,IFERROR(MATCH($H3058,GradeList,0),0))</f>
        <v>0</v>
      </c>
      <c r="O3058" s="64" t="n">
        <f aca="false">IF(OR($I3058="",$I3058="NR"),0,IFERROR(MATCH($I3058,GradeList,0),0))</f>
        <v>0</v>
      </c>
      <c r="P3058" s="64" t="n">
        <f aca="false">IF(AND($M3058&gt;0,ISNUMBER(MATCH($F3058,Lists!$A$2:$A$5,0)),ISNUMBER(MATCH($G3058,Lists!$B$2:$B$7,0)),OR($H3058="",$N3058&gt;0),OR($I3058="",$I3058="NR",$O3058&gt;0),IF(ISNUMBER($J3058),AND($J3058&gt;=0,$J3058=INT($J3058)),FALSE())),$J3058,0)</f>
        <v>0</v>
      </c>
      <c r="Q3058" s="64" t="n">
        <f aca="false">IF(AND($P3058&gt;0,$O3058&gt;0),$P3058,0)</f>
        <v>0</v>
      </c>
      <c r="R3058" s="64" t="n">
        <f aca="false">IF(AND($Q3058&gt;0,$O3058&gt;=AtRank),$Q3058,0)</f>
        <v>0</v>
      </c>
      <c r="S3058" s="64" t="n">
        <f aca="false">IF(AND($Q3058&gt;0,$O3058&gt;=AboveRank),$Q3058,0)</f>
        <v>0</v>
      </c>
      <c r="T3058" s="64" t="n">
        <f aca="false">IF($K3058="Less",$P3058,0)</f>
        <v>0</v>
      </c>
      <c r="U3058" s="64" t="n">
        <f aca="false">IF($K3058="Expected",$P3058,0)</f>
        <v>0</v>
      </c>
      <c r="V3058" s="64" t="n">
        <f aca="false">IF($K3058="Better",$P3058,0)</f>
        <v>0</v>
      </c>
      <c r="W3058" s="64" t="n">
        <f aca="false">IF($K3058="U – needs rule",$P3058,0)</f>
        <v>0</v>
      </c>
      <c r="X3058" s="64" t="n">
        <f aca="false">IF($K3058="No Start (attainment only)",$P3058,0)</f>
        <v>0</v>
      </c>
    </row>
    <row r="3059" customFormat="false" ht="15" hidden="false" customHeight="false" outlineLevel="0" collapsed="false">
      <c r="A3059" s="60"/>
      <c r="B3059" s="61" t="str">
        <f aca="false">IF($M3059=0,"",INDEX(Classes!$E$6:$E$420,$M3059))</f>
        <v/>
      </c>
      <c r="C3059" s="62" t="str">
        <f aca="false">IF($M3059=0,"",INDEX(Classes!$H$6:$H$420,$M3059))</f>
        <v/>
      </c>
      <c r="D3059" s="61" t="str">
        <f aca="false">IF($M3059=0,"",INDEX(Classes!$B$6:$B$420,$M3059))</f>
        <v/>
      </c>
      <c r="E3059" s="61" t="str">
        <f aca="false">IF($M3059=0,"",INDEX(Classes!$C$6:$C$420,$M3059))</f>
        <v/>
      </c>
      <c r="F3059" s="63"/>
      <c r="G3059" s="63"/>
      <c r="H3059" s="60"/>
      <c r="I3059" s="60"/>
      <c r="J3059" s="63"/>
      <c r="K3059" s="61" t="str">
        <f aca="false">IF($P3059=0,"",IF($F3059="Baseline","— Baseline",IF($O3059=0,"No result",IF($N3059=0,"No Start (attainment only)",IF(OR($N3059=1,$O3059=1),"U – needs rule",INDEX(MxBody,MATCH($I3059,MxCurr,0),MATCH($H3059,MxStart,0)))))))</f>
        <v/>
      </c>
      <c r="L3059" s="62" t="str">
        <f aca="false">IF(COUNTA($A3059,$F3059,$G3059,$H3059,$I3059,$J3059)=0,"",IF($M3059=0,"✖ كود الصف غير موجود",IF(ISNA(MATCH($F3059,Lists!$A$2:$A$5,0)),"✖ الفترة غير صحيحة",IF(ISNA(MATCH($G3059,Lists!$B$2:$B$7,0)),"✖ المجموعة غير صحيحة",IF(NOT(OR($H3059="",$N3059&gt;0)),"✖ Start غير صحيح",IF(NOT(OR($I3059="",$I3059="NR",$O3059&gt;0)),"✖ Current غير صحيح",IF(NOT(IF(ISNUMBER($J3059),AND($J3059&gt;=0,$J3059=INT($J3059)),FALSE())),"✖ العدد يجب أن يكون صحيحًا ≥ 0",IF(AND($F3059="Baseline",$H3059&lt;&gt;""),"⚠ Baseline: Start لا يدخل في التقدم",IF($K3059="No Start (attainment only)","ℹ تحصيل فقط (بدون Start)",IF($K3059="U – needs rule","ℹ حالة U تحتاج قاعدة معتمدة",IF($K3059="No result","ℹ بدون نتيجة (يُستبعد من التحصيل)","OK")))))))))))</f>
        <v/>
      </c>
      <c r="M3059" s="64" t="n">
        <f aca="false">IF($A3059="",0,IFERROR(MATCH($A3059,Classes!$A$6:$A$420,0),0))</f>
        <v>0</v>
      </c>
      <c r="N3059" s="64" t="n">
        <f aca="false">IF($H3059="",0,IFERROR(MATCH($H3059,GradeList,0),0))</f>
        <v>0</v>
      </c>
      <c r="O3059" s="64" t="n">
        <f aca="false">IF(OR($I3059="",$I3059="NR"),0,IFERROR(MATCH($I3059,GradeList,0),0))</f>
        <v>0</v>
      </c>
      <c r="P3059" s="64" t="n">
        <f aca="false">IF(AND($M3059&gt;0,ISNUMBER(MATCH($F3059,Lists!$A$2:$A$5,0)),ISNUMBER(MATCH($G3059,Lists!$B$2:$B$7,0)),OR($H3059="",$N3059&gt;0),OR($I3059="",$I3059="NR",$O3059&gt;0),IF(ISNUMBER($J3059),AND($J3059&gt;=0,$J3059=INT($J3059)),FALSE())),$J3059,0)</f>
        <v>0</v>
      </c>
      <c r="Q3059" s="64" t="n">
        <f aca="false">IF(AND($P3059&gt;0,$O3059&gt;0),$P3059,0)</f>
        <v>0</v>
      </c>
      <c r="R3059" s="64" t="n">
        <f aca="false">IF(AND($Q3059&gt;0,$O3059&gt;=AtRank),$Q3059,0)</f>
        <v>0</v>
      </c>
      <c r="S3059" s="64" t="n">
        <f aca="false">IF(AND($Q3059&gt;0,$O3059&gt;=AboveRank),$Q3059,0)</f>
        <v>0</v>
      </c>
      <c r="T3059" s="64" t="n">
        <f aca="false">IF($K3059="Less",$P3059,0)</f>
        <v>0</v>
      </c>
      <c r="U3059" s="64" t="n">
        <f aca="false">IF($K3059="Expected",$P3059,0)</f>
        <v>0</v>
      </c>
      <c r="V3059" s="64" t="n">
        <f aca="false">IF($K3059="Better",$P3059,0)</f>
        <v>0</v>
      </c>
      <c r="W3059" s="64" t="n">
        <f aca="false">IF($K3059="U – needs rule",$P3059,0)</f>
        <v>0</v>
      </c>
      <c r="X3059" s="64" t="n">
        <f aca="false">IF($K3059="No Start (attainment only)",$P3059,0)</f>
        <v>0</v>
      </c>
    </row>
    <row r="3060" customFormat="false" ht="15" hidden="false" customHeight="false" outlineLevel="0" collapsed="false">
      <c r="A3060" s="60"/>
      <c r="B3060" s="61" t="str">
        <f aca="false">IF($M3060=0,"",INDEX(Classes!$E$6:$E$420,$M3060))</f>
        <v/>
      </c>
      <c r="C3060" s="62" t="str">
        <f aca="false">IF($M3060=0,"",INDEX(Classes!$H$6:$H$420,$M3060))</f>
        <v/>
      </c>
      <c r="D3060" s="61" t="str">
        <f aca="false">IF($M3060=0,"",INDEX(Classes!$B$6:$B$420,$M3060))</f>
        <v/>
      </c>
      <c r="E3060" s="61" t="str">
        <f aca="false">IF($M3060=0,"",INDEX(Classes!$C$6:$C$420,$M3060))</f>
        <v/>
      </c>
      <c r="F3060" s="63"/>
      <c r="G3060" s="63"/>
      <c r="H3060" s="60"/>
      <c r="I3060" s="60"/>
      <c r="J3060" s="63"/>
      <c r="K3060" s="61" t="str">
        <f aca="false">IF($P3060=0,"",IF($F3060="Baseline","— Baseline",IF($O3060=0,"No result",IF($N3060=0,"No Start (attainment only)",IF(OR($N3060=1,$O3060=1),"U – needs rule",INDEX(MxBody,MATCH($I3060,MxCurr,0),MATCH($H3060,MxStart,0)))))))</f>
        <v/>
      </c>
      <c r="L3060" s="62" t="str">
        <f aca="false">IF(COUNTA($A3060,$F3060,$G3060,$H3060,$I3060,$J3060)=0,"",IF($M3060=0,"✖ كود الصف غير موجود",IF(ISNA(MATCH($F3060,Lists!$A$2:$A$5,0)),"✖ الفترة غير صحيحة",IF(ISNA(MATCH($G3060,Lists!$B$2:$B$7,0)),"✖ المجموعة غير صحيحة",IF(NOT(OR($H3060="",$N3060&gt;0)),"✖ Start غير صحيح",IF(NOT(OR($I3060="",$I3060="NR",$O3060&gt;0)),"✖ Current غير صحيح",IF(NOT(IF(ISNUMBER($J3060),AND($J3060&gt;=0,$J3060=INT($J3060)),FALSE())),"✖ العدد يجب أن يكون صحيحًا ≥ 0",IF(AND($F3060="Baseline",$H3060&lt;&gt;""),"⚠ Baseline: Start لا يدخل في التقدم",IF($K3060="No Start (attainment only)","ℹ تحصيل فقط (بدون Start)",IF($K3060="U – needs rule","ℹ حالة U تحتاج قاعدة معتمدة",IF($K3060="No result","ℹ بدون نتيجة (يُستبعد من التحصيل)","OK")))))))))))</f>
        <v/>
      </c>
      <c r="M3060" s="64" t="n">
        <f aca="false">IF($A3060="",0,IFERROR(MATCH($A3060,Classes!$A$6:$A$420,0),0))</f>
        <v>0</v>
      </c>
      <c r="N3060" s="64" t="n">
        <f aca="false">IF($H3060="",0,IFERROR(MATCH($H3060,GradeList,0),0))</f>
        <v>0</v>
      </c>
      <c r="O3060" s="64" t="n">
        <f aca="false">IF(OR($I3060="",$I3060="NR"),0,IFERROR(MATCH($I3060,GradeList,0),0))</f>
        <v>0</v>
      </c>
      <c r="P3060" s="64" t="n">
        <f aca="false">IF(AND($M3060&gt;0,ISNUMBER(MATCH($F3060,Lists!$A$2:$A$5,0)),ISNUMBER(MATCH($G3060,Lists!$B$2:$B$7,0)),OR($H3060="",$N3060&gt;0),OR($I3060="",$I3060="NR",$O3060&gt;0),IF(ISNUMBER($J3060),AND($J3060&gt;=0,$J3060=INT($J3060)),FALSE())),$J3060,0)</f>
        <v>0</v>
      </c>
      <c r="Q3060" s="64" t="n">
        <f aca="false">IF(AND($P3060&gt;0,$O3060&gt;0),$P3060,0)</f>
        <v>0</v>
      </c>
      <c r="R3060" s="64" t="n">
        <f aca="false">IF(AND($Q3060&gt;0,$O3060&gt;=AtRank),$Q3060,0)</f>
        <v>0</v>
      </c>
      <c r="S3060" s="64" t="n">
        <f aca="false">IF(AND($Q3060&gt;0,$O3060&gt;=AboveRank),$Q3060,0)</f>
        <v>0</v>
      </c>
      <c r="T3060" s="64" t="n">
        <f aca="false">IF($K3060="Less",$P3060,0)</f>
        <v>0</v>
      </c>
      <c r="U3060" s="64" t="n">
        <f aca="false">IF($K3060="Expected",$P3060,0)</f>
        <v>0</v>
      </c>
      <c r="V3060" s="64" t="n">
        <f aca="false">IF($K3060="Better",$P3060,0)</f>
        <v>0</v>
      </c>
      <c r="W3060" s="64" t="n">
        <f aca="false">IF($K3060="U – needs rule",$P3060,0)</f>
        <v>0</v>
      </c>
      <c r="X3060" s="64" t="n">
        <f aca="false">IF($K3060="No Start (attainment only)",$P3060,0)</f>
        <v>0</v>
      </c>
    </row>
    <row r="3061" customFormat="false" ht="15" hidden="false" customHeight="false" outlineLevel="0" collapsed="false">
      <c r="A3061" s="60"/>
      <c r="B3061" s="61" t="str">
        <f aca="false">IF($M3061=0,"",INDEX(Classes!$E$6:$E$420,$M3061))</f>
        <v/>
      </c>
      <c r="C3061" s="62" t="str">
        <f aca="false">IF($M3061=0,"",INDEX(Classes!$H$6:$H$420,$M3061))</f>
        <v/>
      </c>
      <c r="D3061" s="61" t="str">
        <f aca="false">IF($M3061=0,"",INDEX(Classes!$B$6:$B$420,$M3061))</f>
        <v/>
      </c>
      <c r="E3061" s="61" t="str">
        <f aca="false">IF($M3061=0,"",INDEX(Classes!$C$6:$C$420,$M3061))</f>
        <v/>
      </c>
      <c r="F3061" s="63"/>
      <c r="G3061" s="63"/>
      <c r="H3061" s="60"/>
      <c r="I3061" s="60"/>
      <c r="J3061" s="63"/>
      <c r="K3061" s="61" t="str">
        <f aca="false">IF($P3061=0,"",IF($F3061="Baseline","— Baseline",IF($O3061=0,"No result",IF($N3061=0,"No Start (attainment only)",IF(OR($N3061=1,$O3061=1),"U – needs rule",INDEX(MxBody,MATCH($I3061,MxCurr,0),MATCH($H3061,MxStart,0)))))))</f>
        <v/>
      </c>
      <c r="L3061" s="62" t="str">
        <f aca="false">IF(COUNTA($A3061,$F3061,$G3061,$H3061,$I3061,$J3061)=0,"",IF($M3061=0,"✖ كود الصف غير موجود",IF(ISNA(MATCH($F3061,Lists!$A$2:$A$5,0)),"✖ الفترة غير صحيحة",IF(ISNA(MATCH($G3061,Lists!$B$2:$B$7,0)),"✖ المجموعة غير صحيحة",IF(NOT(OR($H3061="",$N3061&gt;0)),"✖ Start غير صحيح",IF(NOT(OR($I3061="",$I3061="NR",$O3061&gt;0)),"✖ Current غير صحيح",IF(NOT(IF(ISNUMBER($J3061),AND($J3061&gt;=0,$J3061=INT($J3061)),FALSE())),"✖ العدد يجب أن يكون صحيحًا ≥ 0",IF(AND($F3061="Baseline",$H3061&lt;&gt;""),"⚠ Baseline: Start لا يدخل في التقدم",IF($K3061="No Start (attainment only)","ℹ تحصيل فقط (بدون Start)",IF($K3061="U – needs rule","ℹ حالة U تحتاج قاعدة معتمدة",IF($K3061="No result","ℹ بدون نتيجة (يُستبعد من التحصيل)","OK")))))))))))</f>
        <v/>
      </c>
      <c r="M3061" s="64" t="n">
        <f aca="false">IF($A3061="",0,IFERROR(MATCH($A3061,Classes!$A$6:$A$420,0),0))</f>
        <v>0</v>
      </c>
      <c r="N3061" s="64" t="n">
        <f aca="false">IF($H3061="",0,IFERROR(MATCH($H3061,GradeList,0),0))</f>
        <v>0</v>
      </c>
      <c r="O3061" s="64" t="n">
        <f aca="false">IF(OR($I3061="",$I3061="NR"),0,IFERROR(MATCH($I3061,GradeList,0),0))</f>
        <v>0</v>
      </c>
      <c r="P3061" s="64" t="n">
        <f aca="false">IF(AND($M3061&gt;0,ISNUMBER(MATCH($F3061,Lists!$A$2:$A$5,0)),ISNUMBER(MATCH($G3061,Lists!$B$2:$B$7,0)),OR($H3061="",$N3061&gt;0),OR($I3061="",$I3061="NR",$O3061&gt;0),IF(ISNUMBER($J3061),AND($J3061&gt;=0,$J3061=INT($J3061)),FALSE())),$J3061,0)</f>
        <v>0</v>
      </c>
      <c r="Q3061" s="64" t="n">
        <f aca="false">IF(AND($P3061&gt;0,$O3061&gt;0),$P3061,0)</f>
        <v>0</v>
      </c>
      <c r="R3061" s="64" t="n">
        <f aca="false">IF(AND($Q3061&gt;0,$O3061&gt;=AtRank),$Q3061,0)</f>
        <v>0</v>
      </c>
      <c r="S3061" s="64" t="n">
        <f aca="false">IF(AND($Q3061&gt;0,$O3061&gt;=AboveRank),$Q3061,0)</f>
        <v>0</v>
      </c>
      <c r="T3061" s="64" t="n">
        <f aca="false">IF($K3061="Less",$P3061,0)</f>
        <v>0</v>
      </c>
      <c r="U3061" s="64" t="n">
        <f aca="false">IF($K3061="Expected",$P3061,0)</f>
        <v>0</v>
      </c>
      <c r="V3061" s="64" t="n">
        <f aca="false">IF($K3061="Better",$P3061,0)</f>
        <v>0</v>
      </c>
      <c r="W3061" s="64" t="n">
        <f aca="false">IF($K3061="U – needs rule",$P3061,0)</f>
        <v>0</v>
      </c>
      <c r="X3061" s="64" t="n">
        <f aca="false">IF($K3061="No Start (attainment only)",$P3061,0)</f>
        <v>0</v>
      </c>
    </row>
    <row r="3062" customFormat="false" ht="15" hidden="false" customHeight="false" outlineLevel="0" collapsed="false">
      <c r="A3062" s="60"/>
      <c r="B3062" s="61" t="str">
        <f aca="false">IF($M3062=0,"",INDEX(Classes!$E$6:$E$420,$M3062))</f>
        <v/>
      </c>
      <c r="C3062" s="62" t="str">
        <f aca="false">IF($M3062=0,"",INDEX(Classes!$H$6:$H$420,$M3062))</f>
        <v/>
      </c>
      <c r="D3062" s="61" t="str">
        <f aca="false">IF($M3062=0,"",INDEX(Classes!$B$6:$B$420,$M3062))</f>
        <v/>
      </c>
      <c r="E3062" s="61" t="str">
        <f aca="false">IF($M3062=0,"",INDEX(Classes!$C$6:$C$420,$M3062))</f>
        <v/>
      </c>
      <c r="F3062" s="63"/>
      <c r="G3062" s="63"/>
      <c r="H3062" s="60"/>
      <c r="I3062" s="60"/>
      <c r="J3062" s="63"/>
      <c r="K3062" s="61" t="str">
        <f aca="false">IF($P3062=0,"",IF($F3062="Baseline","— Baseline",IF($O3062=0,"No result",IF($N3062=0,"No Start (attainment only)",IF(OR($N3062=1,$O3062=1),"U – needs rule",INDEX(MxBody,MATCH($I3062,MxCurr,0),MATCH($H3062,MxStart,0)))))))</f>
        <v/>
      </c>
      <c r="L3062" s="62" t="str">
        <f aca="false">IF(COUNTA($A3062,$F3062,$G3062,$H3062,$I3062,$J3062)=0,"",IF($M3062=0,"✖ كود الصف غير موجود",IF(ISNA(MATCH($F3062,Lists!$A$2:$A$5,0)),"✖ الفترة غير صحيحة",IF(ISNA(MATCH($G3062,Lists!$B$2:$B$7,0)),"✖ المجموعة غير صحيحة",IF(NOT(OR($H3062="",$N3062&gt;0)),"✖ Start غير صحيح",IF(NOT(OR($I3062="",$I3062="NR",$O3062&gt;0)),"✖ Current غير صحيح",IF(NOT(IF(ISNUMBER($J3062),AND($J3062&gt;=0,$J3062=INT($J3062)),FALSE())),"✖ العدد يجب أن يكون صحيحًا ≥ 0",IF(AND($F3062="Baseline",$H3062&lt;&gt;""),"⚠ Baseline: Start لا يدخل في التقدم",IF($K3062="No Start (attainment only)","ℹ تحصيل فقط (بدون Start)",IF($K3062="U – needs rule","ℹ حالة U تحتاج قاعدة معتمدة",IF($K3062="No result","ℹ بدون نتيجة (يُستبعد من التحصيل)","OK")))))))))))</f>
        <v/>
      </c>
      <c r="M3062" s="64" t="n">
        <f aca="false">IF($A3062="",0,IFERROR(MATCH($A3062,Classes!$A$6:$A$420,0),0))</f>
        <v>0</v>
      </c>
      <c r="N3062" s="64" t="n">
        <f aca="false">IF($H3062="",0,IFERROR(MATCH($H3062,GradeList,0),0))</f>
        <v>0</v>
      </c>
      <c r="O3062" s="64" t="n">
        <f aca="false">IF(OR($I3062="",$I3062="NR"),0,IFERROR(MATCH($I3062,GradeList,0),0))</f>
        <v>0</v>
      </c>
      <c r="P3062" s="64" t="n">
        <f aca="false">IF(AND($M3062&gt;0,ISNUMBER(MATCH($F3062,Lists!$A$2:$A$5,0)),ISNUMBER(MATCH($G3062,Lists!$B$2:$B$7,0)),OR($H3062="",$N3062&gt;0),OR($I3062="",$I3062="NR",$O3062&gt;0),IF(ISNUMBER($J3062),AND($J3062&gt;=0,$J3062=INT($J3062)),FALSE())),$J3062,0)</f>
        <v>0</v>
      </c>
      <c r="Q3062" s="64" t="n">
        <f aca="false">IF(AND($P3062&gt;0,$O3062&gt;0),$P3062,0)</f>
        <v>0</v>
      </c>
      <c r="R3062" s="64" t="n">
        <f aca="false">IF(AND($Q3062&gt;0,$O3062&gt;=AtRank),$Q3062,0)</f>
        <v>0</v>
      </c>
      <c r="S3062" s="64" t="n">
        <f aca="false">IF(AND($Q3062&gt;0,$O3062&gt;=AboveRank),$Q3062,0)</f>
        <v>0</v>
      </c>
      <c r="T3062" s="64" t="n">
        <f aca="false">IF($K3062="Less",$P3062,0)</f>
        <v>0</v>
      </c>
      <c r="U3062" s="64" t="n">
        <f aca="false">IF($K3062="Expected",$P3062,0)</f>
        <v>0</v>
      </c>
      <c r="V3062" s="64" t="n">
        <f aca="false">IF($K3062="Better",$P3062,0)</f>
        <v>0</v>
      </c>
      <c r="W3062" s="64" t="n">
        <f aca="false">IF($K3062="U – needs rule",$P3062,0)</f>
        <v>0</v>
      </c>
      <c r="X3062" s="64" t="n">
        <f aca="false">IF($K3062="No Start (attainment only)",$P3062,0)</f>
        <v>0</v>
      </c>
    </row>
    <row r="3063" customFormat="false" ht="15" hidden="false" customHeight="false" outlineLevel="0" collapsed="false">
      <c r="A3063" s="60"/>
      <c r="B3063" s="61" t="str">
        <f aca="false">IF($M3063=0,"",INDEX(Classes!$E$6:$E$420,$M3063))</f>
        <v/>
      </c>
      <c r="C3063" s="62" t="str">
        <f aca="false">IF($M3063=0,"",INDEX(Classes!$H$6:$H$420,$M3063))</f>
        <v/>
      </c>
      <c r="D3063" s="61" t="str">
        <f aca="false">IF($M3063=0,"",INDEX(Classes!$B$6:$B$420,$M3063))</f>
        <v/>
      </c>
      <c r="E3063" s="61" t="str">
        <f aca="false">IF($M3063=0,"",INDEX(Classes!$C$6:$C$420,$M3063))</f>
        <v/>
      </c>
      <c r="F3063" s="63"/>
      <c r="G3063" s="63"/>
      <c r="H3063" s="60"/>
      <c r="I3063" s="60"/>
      <c r="J3063" s="63"/>
      <c r="K3063" s="61" t="str">
        <f aca="false">IF($P3063=0,"",IF($F3063="Baseline","— Baseline",IF($O3063=0,"No result",IF($N3063=0,"No Start (attainment only)",IF(OR($N3063=1,$O3063=1),"U – needs rule",INDEX(MxBody,MATCH($I3063,MxCurr,0),MATCH($H3063,MxStart,0)))))))</f>
        <v/>
      </c>
      <c r="L3063" s="62" t="str">
        <f aca="false">IF(COUNTA($A3063,$F3063,$G3063,$H3063,$I3063,$J3063)=0,"",IF($M3063=0,"✖ كود الصف غير موجود",IF(ISNA(MATCH($F3063,Lists!$A$2:$A$5,0)),"✖ الفترة غير صحيحة",IF(ISNA(MATCH($G3063,Lists!$B$2:$B$7,0)),"✖ المجموعة غير صحيحة",IF(NOT(OR($H3063="",$N3063&gt;0)),"✖ Start غير صحيح",IF(NOT(OR($I3063="",$I3063="NR",$O3063&gt;0)),"✖ Current غير صحيح",IF(NOT(IF(ISNUMBER($J3063),AND($J3063&gt;=0,$J3063=INT($J3063)),FALSE())),"✖ العدد يجب أن يكون صحيحًا ≥ 0",IF(AND($F3063="Baseline",$H3063&lt;&gt;""),"⚠ Baseline: Start لا يدخل في التقدم",IF($K3063="No Start (attainment only)","ℹ تحصيل فقط (بدون Start)",IF($K3063="U – needs rule","ℹ حالة U تحتاج قاعدة معتمدة",IF($K3063="No result","ℹ بدون نتيجة (يُستبعد من التحصيل)","OK")))))))))))</f>
        <v/>
      </c>
      <c r="M3063" s="64" t="n">
        <f aca="false">IF($A3063="",0,IFERROR(MATCH($A3063,Classes!$A$6:$A$420,0),0))</f>
        <v>0</v>
      </c>
      <c r="N3063" s="64" t="n">
        <f aca="false">IF($H3063="",0,IFERROR(MATCH($H3063,GradeList,0),0))</f>
        <v>0</v>
      </c>
      <c r="O3063" s="64" t="n">
        <f aca="false">IF(OR($I3063="",$I3063="NR"),0,IFERROR(MATCH($I3063,GradeList,0),0))</f>
        <v>0</v>
      </c>
      <c r="P3063" s="64" t="n">
        <f aca="false">IF(AND($M3063&gt;0,ISNUMBER(MATCH($F3063,Lists!$A$2:$A$5,0)),ISNUMBER(MATCH($G3063,Lists!$B$2:$B$7,0)),OR($H3063="",$N3063&gt;0),OR($I3063="",$I3063="NR",$O3063&gt;0),IF(ISNUMBER($J3063),AND($J3063&gt;=0,$J3063=INT($J3063)),FALSE())),$J3063,0)</f>
        <v>0</v>
      </c>
      <c r="Q3063" s="64" t="n">
        <f aca="false">IF(AND($P3063&gt;0,$O3063&gt;0),$P3063,0)</f>
        <v>0</v>
      </c>
      <c r="R3063" s="64" t="n">
        <f aca="false">IF(AND($Q3063&gt;0,$O3063&gt;=AtRank),$Q3063,0)</f>
        <v>0</v>
      </c>
      <c r="S3063" s="64" t="n">
        <f aca="false">IF(AND($Q3063&gt;0,$O3063&gt;=AboveRank),$Q3063,0)</f>
        <v>0</v>
      </c>
      <c r="T3063" s="64" t="n">
        <f aca="false">IF($K3063="Less",$P3063,0)</f>
        <v>0</v>
      </c>
      <c r="U3063" s="64" t="n">
        <f aca="false">IF($K3063="Expected",$P3063,0)</f>
        <v>0</v>
      </c>
      <c r="V3063" s="64" t="n">
        <f aca="false">IF($K3063="Better",$P3063,0)</f>
        <v>0</v>
      </c>
      <c r="W3063" s="64" t="n">
        <f aca="false">IF($K3063="U – needs rule",$P3063,0)</f>
        <v>0</v>
      </c>
      <c r="X3063" s="64" t="n">
        <f aca="false">IF($K3063="No Start (attainment only)",$P3063,0)</f>
        <v>0</v>
      </c>
    </row>
    <row r="3064" customFormat="false" ht="15" hidden="false" customHeight="false" outlineLevel="0" collapsed="false">
      <c r="A3064" s="60"/>
      <c r="B3064" s="61" t="str">
        <f aca="false">IF($M3064=0,"",INDEX(Classes!$E$6:$E$420,$M3064))</f>
        <v/>
      </c>
      <c r="C3064" s="62" t="str">
        <f aca="false">IF($M3064=0,"",INDEX(Classes!$H$6:$H$420,$M3064))</f>
        <v/>
      </c>
      <c r="D3064" s="61" t="str">
        <f aca="false">IF($M3064=0,"",INDEX(Classes!$B$6:$B$420,$M3064))</f>
        <v/>
      </c>
      <c r="E3064" s="61" t="str">
        <f aca="false">IF($M3064=0,"",INDEX(Classes!$C$6:$C$420,$M3064))</f>
        <v/>
      </c>
      <c r="F3064" s="63"/>
      <c r="G3064" s="63"/>
      <c r="H3064" s="60"/>
      <c r="I3064" s="60"/>
      <c r="J3064" s="63"/>
      <c r="K3064" s="61" t="str">
        <f aca="false">IF($P3064=0,"",IF($F3064="Baseline","— Baseline",IF($O3064=0,"No result",IF($N3064=0,"No Start (attainment only)",IF(OR($N3064=1,$O3064=1),"U – needs rule",INDEX(MxBody,MATCH($I3064,MxCurr,0),MATCH($H3064,MxStart,0)))))))</f>
        <v/>
      </c>
      <c r="L3064" s="62" t="str">
        <f aca="false">IF(COUNTA($A3064,$F3064,$G3064,$H3064,$I3064,$J3064)=0,"",IF($M3064=0,"✖ كود الصف غير موجود",IF(ISNA(MATCH($F3064,Lists!$A$2:$A$5,0)),"✖ الفترة غير صحيحة",IF(ISNA(MATCH($G3064,Lists!$B$2:$B$7,0)),"✖ المجموعة غير صحيحة",IF(NOT(OR($H3064="",$N3064&gt;0)),"✖ Start غير صحيح",IF(NOT(OR($I3064="",$I3064="NR",$O3064&gt;0)),"✖ Current غير صحيح",IF(NOT(IF(ISNUMBER($J3064),AND($J3064&gt;=0,$J3064=INT($J3064)),FALSE())),"✖ العدد يجب أن يكون صحيحًا ≥ 0",IF(AND($F3064="Baseline",$H3064&lt;&gt;""),"⚠ Baseline: Start لا يدخل في التقدم",IF($K3064="No Start (attainment only)","ℹ تحصيل فقط (بدون Start)",IF($K3064="U – needs rule","ℹ حالة U تحتاج قاعدة معتمدة",IF($K3064="No result","ℹ بدون نتيجة (يُستبعد من التحصيل)","OK")))))))))))</f>
        <v/>
      </c>
      <c r="M3064" s="64" t="n">
        <f aca="false">IF($A3064="",0,IFERROR(MATCH($A3064,Classes!$A$6:$A$420,0),0))</f>
        <v>0</v>
      </c>
      <c r="N3064" s="64" t="n">
        <f aca="false">IF($H3064="",0,IFERROR(MATCH($H3064,GradeList,0),0))</f>
        <v>0</v>
      </c>
      <c r="O3064" s="64" t="n">
        <f aca="false">IF(OR($I3064="",$I3064="NR"),0,IFERROR(MATCH($I3064,GradeList,0),0))</f>
        <v>0</v>
      </c>
      <c r="P3064" s="64" t="n">
        <f aca="false">IF(AND($M3064&gt;0,ISNUMBER(MATCH($F3064,Lists!$A$2:$A$5,0)),ISNUMBER(MATCH($G3064,Lists!$B$2:$B$7,0)),OR($H3064="",$N3064&gt;0),OR($I3064="",$I3064="NR",$O3064&gt;0),IF(ISNUMBER($J3064),AND($J3064&gt;=0,$J3064=INT($J3064)),FALSE())),$J3064,0)</f>
        <v>0</v>
      </c>
      <c r="Q3064" s="64" t="n">
        <f aca="false">IF(AND($P3064&gt;0,$O3064&gt;0),$P3064,0)</f>
        <v>0</v>
      </c>
      <c r="R3064" s="64" t="n">
        <f aca="false">IF(AND($Q3064&gt;0,$O3064&gt;=AtRank),$Q3064,0)</f>
        <v>0</v>
      </c>
      <c r="S3064" s="64" t="n">
        <f aca="false">IF(AND($Q3064&gt;0,$O3064&gt;=AboveRank),$Q3064,0)</f>
        <v>0</v>
      </c>
      <c r="T3064" s="64" t="n">
        <f aca="false">IF($K3064="Less",$P3064,0)</f>
        <v>0</v>
      </c>
      <c r="U3064" s="64" t="n">
        <f aca="false">IF($K3064="Expected",$P3064,0)</f>
        <v>0</v>
      </c>
      <c r="V3064" s="64" t="n">
        <f aca="false">IF($K3064="Better",$P3064,0)</f>
        <v>0</v>
      </c>
      <c r="W3064" s="64" t="n">
        <f aca="false">IF($K3064="U – needs rule",$P3064,0)</f>
        <v>0</v>
      </c>
      <c r="X3064" s="64" t="n">
        <f aca="false">IF($K3064="No Start (attainment only)",$P3064,0)</f>
        <v>0</v>
      </c>
    </row>
    <row r="3065" customFormat="false" ht="15" hidden="false" customHeight="false" outlineLevel="0" collapsed="false">
      <c r="A3065" s="60"/>
      <c r="B3065" s="61" t="str">
        <f aca="false">IF($M3065=0,"",INDEX(Classes!$E$6:$E$420,$M3065))</f>
        <v/>
      </c>
      <c r="C3065" s="62" t="str">
        <f aca="false">IF($M3065=0,"",INDEX(Classes!$H$6:$H$420,$M3065))</f>
        <v/>
      </c>
      <c r="D3065" s="61" t="str">
        <f aca="false">IF($M3065=0,"",INDEX(Classes!$B$6:$B$420,$M3065))</f>
        <v/>
      </c>
      <c r="E3065" s="61" t="str">
        <f aca="false">IF($M3065=0,"",INDEX(Classes!$C$6:$C$420,$M3065))</f>
        <v/>
      </c>
      <c r="F3065" s="63"/>
      <c r="G3065" s="63"/>
      <c r="H3065" s="60"/>
      <c r="I3065" s="60"/>
      <c r="J3065" s="63"/>
      <c r="K3065" s="61" t="str">
        <f aca="false">IF($P3065=0,"",IF($F3065="Baseline","— Baseline",IF($O3065=0,"No result",IF($N3065=0,"No Start (attainment only)",IF(OR($N3065=1,$O3065=1),"U – needs rule",INDEX(MxBody,MATCH($I3065,MxCurr,0),MATCH($H3065,MxStart,0)))))))</f>
        <v/>
      </c>
      <c r="L3065" s="62" t="str">
        <f aca="false">IF(COUNTA($A3065,$F3065,$G3065,$H3065,$I3065,$J3065)=0,"",IF($M3065=0,"✖ كود الصف غير موجود",IF(ISNA(MATCH($F3065,Lists!$A$2:$A$5,0)),"✖ الفترة غير صحيحة",IF(ISNA(MATCH($G3065,Lists!$B$2:$B$7,0)),"✖ المجموعة غير صحيحة",IF(NOT(OR($H3065="",$N3065&gt;0)),"✖ Start غير صحيح",IF(NOT(OR($I3065="",$I3065="NR",$O3065&gt;0)),"✖ Current غير صحيح",IF(NOT(IF(ISNUMBER($J3065),AND($J3065&gt;=0,$J3065=INT($J3065)),FALSE())),"✖ العدد يجب أن يكون صحيحًا ≥ 0",IF(AND($F3065="Baseline",$H3065&lt;&gt;""),"⚠ Baseline: Start لا يدخل في التقدم",IF($K3065="No Start (attainment only)","ℹ تحصيل فقط (بدون Start)",IF($K3065="U – needs rule","ℹ حالة U تحتاج قاعدة معتمدة",IF($K3065="No result","ℹ بدون نتيجة (يُستبعد من التحصيل)","OK")))))))))))</f>
        <v/>
      </c>
      <c r="M3065" s="64" t="n">
        <f aca="false">IF($A3065="",0,IFERROR(MATCH($A3065,Classes!$A$6:$A$420,0),0))</f>
        <v>0</v>
      </c>
      <c r="N3065" s="64" t="n">
        <f aca="false">IF($H3065="",0,IFERROR(MATCH($H3065,GradeList,0),0))</f>
        <v>0</v>
      </c>
      <c r="O3065" s="64" t="n">
        <f aca="false">IF(OR($I3065="",$I3065="NR"),0,IFERROR(MATCH($I3065,GradeList,0),0))</f>
        <v>0</v>
      </c>
      <c r="P3065" s="64" t="n">
        <f aca="false">IF(AND($M3065&gt;0,ISNUMBER(MATCH($F3065,Lists!$A$2:$A$5,0)),ISNUMBER(MATCH($G3065,Lists!$B$2:$B$7,0)),OR($H3065="",$N3065&gt;0),OR($I3065="",$I3065="NR",$O3065&gt;0),IF(ISNUMBER($J3065),AND($J3065&gt;=0,$J3065=INT($J3065)),FALSE())),$J3065,0)</f>
        <v>0</v>
      </c>
      <c r="Q3065" s="64" t="n">
        <f aca="false">IF(AND($P3065&gt;0,$O3065&gt;0),$P3065,0)</f>
        <v>0</v>
      </c>
      <c r="R3065" s="64" t="n">
        <f aca="false">IF(AND($Q3065&gt;0,$O3065&gt;=AtRank),$Q3065,0)</f>
        <v>0</v>
      </c>
      <c r="S3065" s="64" t="n">
        <f aca="false">IF(AND($Q3065&gt;0,$O3065&gt;=AboveRank),$Q3065,0)</f>
        <v>0</v>
      </c>
      <c r="T3065" s="64" t="n">
        <f aca="false">IF($K3065="Less",$P3065,0)</f>
        <v>0</v>
      </c>
      <c r="U3065" s="64" t="n">
        <f aca="false">IF($K3065="Expected",$P3065,0)</f>
        <v>0</v>
      </c>
      <c r="V3065" s="64" t="n">
        <f aca="false">IF($K3065="Better",$P3065,0)</f>
        <v>0</v>
      </c>
      <c r="W3065" s="64" t="n">
        <f aca="false">IF($K3065="U – needs rule",$P3065,0)</f>
        <v>0</v>
      </c>
      <c r="X3065" s="64" t="n">
        <f aca="false">IF($K3065="No Start (attainment only)",$P3065,0)</f>
        <v>0</v>
      </c>
    </row>
    <row r="3066" customFormat="false" ht="15" hidden="false" customHeight="false" outlineLevel="0" collapsed="false">
      <c r="A3066" s="60"/>
      <c r="B3066" s="61" t="str">
        <f aca="false">IF($M3066=0,"",INDEX(Classes!$E$6:$E$420,$M3066))</f>
        <v/>
      </c>
      <c r="C3066" s="62" t="str">
        <f aca="false">IF($M3066=0,"",INDEX(Classes!$H$6:$H$420,$M3066))</f>
        <v/>
      </c>
      <c r="D3066" s="61" t="str">
        <f aca="false">IF($M3066=0,"",INDEX(Classes!$B$6:$B$420,$M3066))</f>
        <v/>
      </c>
      <c r="E3066" s="61" t="str">
        <f aca="false">IF($M3066=0,"",INDEX(Classes!$C$6:$C$420,$M3066))</f>
        <v/>
      </c>
      <c r="F3066" s="63"/>
      <c r="G3066" s="63"/>
      <c r="H3066" s="60"/>
      <c r="I3066" s="60"/>
      <c r="J3066" s="63"/>
      <c r="K3066" s="61" t="str">
        <f aca="false">IF($P3066=0,"",IF($F3066="Baseline","— Baseline",IF($O3066=0,"No result",IF($N3066=0,"No Start (attainment only)",IF(OR($N3066=1,$O3066=1),"U – needs rule",INDEX(MxBody,MATCH($I3066,MxCurr,0),MATCH($H3066,MxStart,0)))))))</f>
        <v/>
      </c>
      <c r="L3066" s="62" t="str">
        <f aca="false">IF(COUNTA($A3066,$F3066,$G3066,$H3066,$I3066,$J3066)=0,"",IF($M3066=0,"✖ كود الصف غير موجود",IF(ISNA(MATCH($F3066,Lists!$A$2:$A$5,0)),"✖ الفترة غير صحيحة",IF(ISNA(MATCH($G3066,Lists!$B$2:$B$7,0)),"✖ المجموعة غير صحيحة",IF(NOT(OR($H3066="",$N3066&gt;0)),"✖ Start غير صحيح",IF(NOT(OR($I3066="",$I3066="NR",$O3066&gt;0)),"✖ Current غير صحيح",IF(NOT(IF(ISNUMBER($J3066),AND($J3066&gt;=0,$J3066=INT($J3066)),FALSE())),"✖ العدد يجب أن يكون صحيحًا ≥ 0",IF(AND($F3066="Baseline",$H3066&lt;&gt;""),"⚠ Baseline: Start لا يدخل في التقدم",IF($K3066="No Start (attainment only)","ℹ تحصيل فقط (بدون Start)",IF($K3066="U – needs rule","ℹ حالة U تحتاج قاعدة معتمدة",IF($K3066="No result","ℹ بدون نتيجة (يُستبعد من التحصيل)","OK")))))))))))</f>
        <v/>
      </c>
      <c r="M3066" s="64" t="n">
        <f aca="false">IF($A3066="",0,IFERROR(MATCH($A3066,Classes!$A$6:$A$420,0),0))</f>
        <v>0</v>
      </c>
      <c r="N3066" s="64" t="n">
        <f aca="false">IF($H3066="",0,IFERROR(MATCH($H3066,GradeList,0),0))</f>
        <v>0</v>
      </c>
      <c r="O3066" s="64" t="n">
        <f aca="false">IF(OR($I3066="",$I3066="NR"),0,IFERROR(MATCH($I3066,GradeList,0),0))</f>
        <v>0</v>
      </c>
      <c r="P3066" s="64" t="n">
        <f aca="false">IF(AND($M3066&gt;0,ISNUMBER(MATCH($F3066,Lists!$A$2:$A$5,0)),ISNUMBER(MATCH($G3066,Lists!$B$2:$B$7,0)),OR($H3066="",$N3066&gt;0),OR($I3066="",$I3066="NR",$O3066&gt;0),IF(ISNUMBER($J3066),AND($J3066&gt;=0,$J3066=INT($J3066)),FALSE())),$J3066,0)</f>
        <v>0</v>
      </c>
      <c r="Q3066" s="64" t="n">
        <f aca="false">IF(AND($P3066&gt;0,$O3066&gt;0),$P3066,0)</f>
        <v>0</v>
      </c>
      <c r="R3066" s="64" t="n">
        <f aca="false">IF(AND($Q3066&gt;0,$O3066&gt;=AtRank),$Q3066,0)</f>
        <v>0</v>
      </c>
      <c r="S3066" s="64" t="n">
        <f aca="false">IF(AND($Q3066&gt;0,$O3066&gt;=AboveRank),$Q3066,0)</f>
        <v>0</v>
      </c>
      <c r="T3066" s="64" t="n">
        <f aca="false">IF($K3066="Less",$P3066,0)</f>
        <v>0</v>
      </c>
      <c r="U3066" s="64" t="n">
        <f aca="false">IF($K3066="Expected",$P3066,0)</f>
        <v>0</v>
      </c>
      <c r="V3066" s="64" t="n">
        <f aca="false">IF($K3066="Better",$P3066,0)</f>
        <v>0</v>
      </c>
      <c r="W3066" s="64" t="n">
        <f aca="false">IF($K3066="U – needs rule",$P3066,0)</f>
        <v>0</v>
      </c>
      <c r="X3066" s="64" t="n">
        <f aca="false">IF($K3066="No Start (attainment only)",$P3066,0)</f>
        <v>0</v>
      </c>
    </row>
    <row r="3067" customFormat="false" ht="15" hidden="false" customHeight="false" outlineLevel="0" collapsed="false">
      <c r="A3067" s="60"/>
      <c r="B3067" s="61" t="str">
        <f aca="false">IF($M3067=0,"",INDEX(Classes!$E$6:$E$420,$M3067))</f>
        <v/>
      </c>
      <c r="C3067" s="62" t="str">
        <f aca="false">IF($M3067=0,"",INDEX(Classes!$H$6:$H$420,$M3067))</f>
        <v/>
      </c>
      <c r="D3067" s="61" t="str">
        <f aca="false">IF($M3067=0,"",INDEX(Classes!$B$6:$B$420,$M3067))</f>
        <v/>
      </c>
      <c r="E3067" s="61" t="str">
        <f aca="false">IF($M3067=0,"",INDEX(Classes!$C$6:$C$420,$M3067))</f>
        <v/>
      </c>
      <c r="F3067" s="63"/>
      <c r="G3067" s="63"/>
      <c r="H3067" s="60"/>
      <c r="I3067" s="60"/>
      <c r="J3067" s="63"/>
      <c r="K3067" s="61" t="str">
        <f aca="false">IF($P3067=0,"",IF($F3067="Baseline","— Baseline",IF($O3067=0,"No result",IF($N3067=0,"No Start (attainment only)",IF(OR($N3067=1,$O3067=1),"U – needs rule",INDEX(MxBody,MATCH($I3067,MxCurr,0),MATCH($H3067,MxStart,0)))))))</f>
        <v/>
      </c>
      <c r="L3067" s="62" t="str">
        <f aca="false">IF(COUNTA($A3067,$F3067,$G3067,$H3067,$I3067,$J3067)=0,"",IF($M3067=0,"✖ كود الصف غير موجود",IF(ISNA(MATCH($F3067,Lists!$A$2:$A$5,0)),"✖ الفترة غير صحيحة",IF(ISNA(MATCH($G3067,Lists!$B$2:$B$7,0)),"✖ المجموعة غير صحيحة",IF(NOT(OR($H3067="",$N3067&gt;0)),"✖ Start غير صحيح",IF(NOT(OR($I3067="",$I3067="NR",$O3067&gt;0)),"✖ Current غير صحيح",IF(NOT(IF(ISNUMBER($J3067),AND($J3067&gt;=0,$J3067=INT($J3067)),FALSE())),"✖ العدد يجب أن يكون صحيحًا ≥ 0",IF(AND($F3067="Baseline",$H3067&lt;&gt;""),"⚠ Baseline: Start لا يدخل في التقدم",IF($K3067="No Start (attainment only)","ℹ تحصيل فقط (بدون Start)",IF($K3067="U – needs rule","ℹ حالة U تحتاج قاعدة معتمدة",IF($K3067="No result","ℹ بدون نتيجة (يُستبعد من التحصيل)","OK")))))))))))</f>
        <v/>
      </c>
      <c r="M3067" s="64" t="n">
        <f aca="false">IF($A3067="",0,IFERROR(MATCH($A3067,Classes!$A$6:$A$420,0),0))</f>
        <v>0</v>
      </c>
      <c r="N3067" s="64" t="n">
        <f aca="false">IF($H3067="",0,IFERROR(MATCH($H3067,GradeList,0),0))</f>
        <v>0</v>
      </c>
      <c r="O3067" s="64" t="n">
        <f aca="false">IF(OR($I3067="",$I3067="NR"),0,IFERROR(MATCH($I3067,GradeList,0),0))</f>
        <v>0</v>
      </c>
      <c r="P3067" s="64" t="n">
        <f aca="false">IF(AND($M3067&gt;0,ISNUMBER(MATCH($F3067,Lists!$A$2:$A$5,0)),ISNUMBER(MATCH($G3067,Lists!$B$2:$B$7,0)),OR($H3067="",$N3067&gt;0),OR($I3067="",$I3067="NR",$O3067&gt;0),IF(ISNUMBER($J3067),AND($J3067&gt;=0,$J3067=INT($J3067)),FALSE())),$J3067,0)</f>
        <v>0</v>
      </c>
      <c r="Q3067" s="64" t="n">
        <f aca="false">IF(AND($P3067&gt;0,$O3067&gt;0),$P3067,0)</f>
        <v>0</v>
      </c>
      <c r="R3067" s="64" t="n">
        <f aca="false">IF(AND($Q3067&gt;0,$O3067&gt;=AtRank),$Q3067,0)</f>
        <v>0</v>
      </c>
      <c r="S3067" s="64" t="n">
        <f aca="false">IF(AND($Q3067&gt;0,$O3067&gt;=AboveRank),$Q3067,0)</f>
        <v>0</v>
      </c>
      <c r="T3067" s="64" t="n">
        <f aca="false">IF($K3067="Less",$P3067,0)</f>
        <v>0</v>
      </c>
      <c r="U3067" s="64" t="n">
        <f aca="false">IF($K3067="Expected",$P3067,0)</f>
        <v>0</v>
      </c>
      <c r="V3067" s="64" t="n">
        <f aca="false">IF($K3067="Better",$P3067,0)</f>
        <v>0</v>
      </c>
      <c r="W3067" s="64" t="n">
        <f aca="false">IF($K3067="U – needs rule",$P3067,0)</f>
        <v>0</v>
      </c>
      <c r="X3067" s="64" t="n">
        <f aca="false">IF($K3067="No Start (attainment only)",$P3067,0)</f>
        <v>0</v>
      </c>
    </row>
    <row r="3068" customFormat="false" ht="15" hidden="false" customHeight="false" outlineLevel="0" collapsed="false">
      <c r="A3068" s="60"/>
      <c r="B3068" s="61" t="str">
        <f aca="false">IF($M3068=0,"",INDEX(Classes!$E$6:$E$420,$M3068))</f>
        <v/>
      </c>
      <c r="C3068" s="62" t="str">
        <f aca="false">IF($M3068=0,"",INDEX(Classes!$H$6:$H$420,$M3068))</f>
        <v/>
      </c>
      <c r="D3068" s="61" t="str">
        <f aca="false">IF($M3068=0,"",INDEX(Classes!$B$6:$B$420,$M3068))</f>
        <v/>
      </c>
      <c r="E3068" s="61" t="str">
        <f aca="false">IF($M3068=0,"",INDEX(Classes!$C$6:$C$420,$M3068))</f>
        <v/>
      </c>
      <c r="F3068" s="63"/>
      <c r="G3068" s="63"/>
      <c r="H3068" s="60"/>
      <c r="I3068" s="60"/>
      <c r="J3068" s="63"/>
      <c r="K3068" s="61" t="str">
        <f aca="false">IF($P3068=0,"",IF($F3068="Baseline","— Baseline",IF($O3068=0,"No result",IF($N3068=0,"No Start (attainment only)",IF(OR($N3068=1,$O3068=1),"U – needs rule",INDEX(MxBody,MATCH($I3068,MxCurr,0),MATCH($H3068,MxStart,0)))))))</f>
        <v/>
      </c>
      <c r="L3068" s="62" t="str">
        <f aca="false">IF(COUNTA($A3068,$F3068,$G3068,$H3068,$I3068,$J3068)=0,"",IF($M3068=0,"✖ كود الصف غير موجود",IF(ISNA(MATCH($F3068,Lists!$A$2:$A$5,0)),"✖ الفترة غير صحيحة",IF(ISNA(MATCH($G3068,Lists!$B$2:$B$7,0)),"✖ المجموعة غير صحيحة",IF(NOT(OR($H3068="",$N3068&gt;0)),"✖ Start غير صحيح",IF(NOT(OR($I3068="",$I3068="NR",$O3068&gt;0)),"✖ Current غير صحيح",IF(NOT(IF(ISNUMBER($J3068),AND($J3068&gt;=0,$J3068=INT($J3068)),FALSE())),"✖ العدد يجب أن يكون صحيحًا ≥ 0",IF(AND($F3068="Baseline",$H3068&lt;&gt;""),"⚠ Baseline: Start لا يدخل في التقدم",IF($K3068="No Start (attainment only)","ℹ تحصيل فقط (بدون Start)",IF($K3068="U – needs rule","ℹ حالة U تحتاج قاعدة معتمدة",IF($K3068="No result","ℹ بدون نتيجة (يُستبعد من التحصيل)","OK")))))))))))</f>
        <v/>
      </c>
      <c r="M3068" s="64" t="n">
        <f aca="false">IF($A3068="",0,IFERROR(MATCH($A3068,Classes!$A$6:$A$420,0),0))</f>
        <v>0</v>
      </c>
      <c r="N3068" s="64" t="n">
        <f aca="false">IF($H3068="",0,IFERROR(MATCH($H3068,GradeList,0),0))</f>
        <v>0</v>
      </c>
      <c r="O3068" s="64" t="n">
        <f aca="false">IF(OR($I3068="",$I3068="NR"),0,IFERROR(MATCH($I3068,GradeList,0),0))</f>
        <v>0</v>
      </c>
      <c r="P3068" s="64" t="n">
        <f aca="false">IF(AND($M3068&gt;0,ISNUMBER(MATCH($F3068,Lists!$A$2:$A$5,0)),ISNUMBER(MATCH($G3068,Lists!$B$2:$B$7,0)),OR($H3068="",$N3068&gt;0),OR($I3068="",$I3068="NR",$O3068&gt;0),IF(ISNUMBER($J3068),AND($J3068&gt;=0,$J3068=INT($J3068)),FALSE())),$J3068,0)</f>
        <v>0</v>
      </c>
      <c r="Q3068" s="64" t="n">
        <f aca="false">IF(AND($P3068&gt;0,$O3068&gt;0),$P3068,0)</f>
        <v>0</v>
      </c>
      <c r="R3068" s="64" t="n">
        <f aca="false">IF(AND($Q3068&gt;0,$O3068&gt;=AtRank),$Q3068,0)</f>
        <v>0</v>
      </c>
      <c r="S3068" s="64" t="n">
        <f aca="false">IF(AND($Q3068&gt;0,$O3068&gt;=AboveRank),$Q3068,0)</f>
        <v>0</v>
      </c>
      <c r="T3068" s="64" t="n">
        <f aca="false">IF($K3068="Less",$P3068,0)</f>
        <v>0</v>
      </c>
      <c r="U3068" s="64" t="n">
        <f aca="false">IF($K3068="Expected",$P3068,0)</f>
        <v>0</v>
      </c>
      <c r="V3068" s="64" t="n">
        <f aca="false">IF($K3068="Better",$P3068,0)</f>
        <v>0</v>
      </c>
      <c r="W3068" s="64" t="n">
        <f aca="false">IF($K3068="U – needs rule",$P3068,0)</f>
        <v>0</v>
      </c>
      <c r="X3068" s="64" t="n">
        <f aca="false">IF($K3068="No Start (attainment only)",$P3068,0)</f>
        <v>0</v>
      </c>
    </row>
    <row r="3069" customFormat="false" ht="15" hidden="false" customHeight="false" outlineLevel="0" collapsed="false">
      <c r="A3069" s="60"/>
      <c r="B3069" s="61" t="str">
        <f aca="false">IF($M3069=0,"",INDEX(Classes!$E$6:$E$420,$M3069))</f>
        <v/>
      </c>
      <c r="C3069" s="62" t="str">
        <f aca="false">IF($M3069=0,"",INDEX(Classes!$H$6:$H$420,$M3069))</f>
        <v/>
      </c>
      <c r="D3069" s="61" t="str">
        <f aca="false">IF($M3069=0,"",INDEX(Classes!$B$6:$B$420,$M3069))</f>
        <v/>
      </c>
      <c r="E3069" s="61" t="str">
        <f aca="false">IF($M3069=0,"",INDEX(Classes!$C$6:$C$420,$M3069))</f>
        <v/>
      </c>
      <c r="F3069" s="63"/>
      <c r="G3069" s="63"/>
      <c r="H3069" s="60"/>
      <c r="I3069" s="60"/>
      <c r="J3069" s="63"/>
      <c r="K3069" s="61" t="str">
        <f aca="false">IF($P3069=0,"",IF($F3069="Baseline","— Baseline",IF($O3069=0,"No result",IF($N3069=0,"No Start (attainment only)",IF(OR($N3069=1,$O3069=1),"U – needs rule",INDEX(MxBody,MATCH($I3069,MxCurr,0),MATCH($H3069,MxStart,0)))))))</f>
        <v/>
      </c>
      <c r="L3069" s="62" t="str">
        <f aca="false">IF(COUNTA($A3069,$F3069,$G3069,$H3069,$I3069,$J3069)=0,"",IF($M3069=0,"✖ كود الصف غير موجود",IF(ISNA(MATCH($F3069,Lists!$A$2:$A$5,0)),"✖ الفترة غير صحيحة",IF(ISNA(MATCH($G3069,Lists!$B$2:$B$7,0)),"✖ المجموعة غير صحيحة",IF(NOT(OR($H3069="",$N3069&gt;0)),"✖ Start غير صحيح",IF(NOT(OR($I3069="",$I3069="NR",$O3069&gt;0)),"✖ Current غير صحيح",IF(NOT(IF(ISNUMBER($J3069),AND($J3069&gt;=0,$J3069=INT($J3069)),FALSE())),"✖ العدد يجب أن يكون صحيحًا ≥ 0",IF(AND($F3069="Baseline",$H3069&lt;&gt;""),"⚠ Baseline: Start لا يدخل في التقدم",IF($K3069="No Start (attainment only)","ℹ تحصيل فقط (بدون Start)",IF($K3069="U – needs rule","ℹ حالة U تحتاج قاعدة معتمدة",IF($K3069="No result","ℹ بدون نتيجة (يُستبعد من التحصيل)","OK")))))))))))</f>
        <v/>
      </c>
      <c r="M3069" s="64" t="n">
        <f aca="false">IF($A3069="",0,IFERROR(MATCH($A3069,Classes!$A$6:$A$420,0),0))</f>
        <v>0</v>
      </c>
      <c r="N3069" s="64" t="n">
        <f aca="false">IF($H3069="",0,IFERROR(MATCH($H3069,GradeList,0),0))</f>
        <v>0</v>
      </c>
      <c r="O3069" s="64" t="n">
        <f aca="false">IF(OR($I3069="",$I3069="NR"),0,IFERROR(MATCH($I3069,GradeList,0),0))</f>
        <v>0</v>
      </c>
      <c r="P3069" s="64" t="n">
        <f aca="false">IF(AND($M3069&gt;0,ISNUMBER(MATCH($F3069,Lists!$A$2:$A$5,0)),ISNUMBER(MATCH($G3069,Lists!$B$2:$B$7,0)),OR($H3069="",$N3069&gt;0),OR($I3069="",$I3069="NR",$O3069&gt;0),IF(ISNUMBER($J3069),AND($J3069&gt;=0,$J3069=INT($J3069)),FALSE())),$J3069,0)</f>
        <v>0</v>
      </c>
      <c r="Q3069" s="64" t="n">
        <f aca="false">IF(AND($P3069&gt;0,$O3069&gt;0),$P3069,0)</f>
        <v>0</v>
      </c>
      <c r="R3069" s="64" t="n">
        <f aca="false">IF(AND($Q3069&gt;0,$O3069&gt;=AtRank),$Q3069,0)</f>
        <v>0</v>
      </c>
      <c r="S3069" s="64" t="n">
        <f aca="false">IF(AND($Q3069&gt;0,$O3069&gt;=AboveRank),$Q3069,0)</f>
        <v>0</v>
      </c>
      <c r="T3069" s="64" t="n">
        <f aca="false">IF($K3069="Less",$P3069,0)</f>
        <v>0</v>
      </c>
      <c r="U3069" s="64" t="n">
        <f aca="false">IF($K3069="Expected",$P3069,0)</f>
        <v>0</v>
      </c>
      <c r="V3069" s="64" t="n">
        <f aca="false">IF($K3069="Better",$P3069,0)</f>
        <v>0</v>
      </c>
      <c r="W3069" s="64" t="n">
        <f aca="false">IF($K3069="U – needs rule",$P3069,0)</f>
        <v>0</v>
      </c>
      <c r="X3069" s="64" t="n">
        <f aca="false">IF($K3069="No Start (attainment only)",$P3069,0)</f>
        <v>0</v>
      </c>
    </row>
    <row r="3070" customFormat="false" ht="15" hidden="false" customHeight="false" outlineLevel="0" collapsed="false">
      <c r="A3070" s="60"/>
      <c r="B3070" s="61" t="str">
        <f aca="false">IF($M3070=0,"",INDEX(Classes!$E$6:$E$420,$M3070))</f>
        <v/>
      </c>
      <c r="C3070" s="62" t="str">
        <f aca="false">IF($M3070=0,"",INDEX(Classes!$H$6:$H$420,$M3070))</f>
        <v/>
      </c>
      <c r="D3070" s="61" t="str">
        <f aca="false">IF($M3070=0,"",INDEX(Classes!$B$6:$B$420,$M3070))</f>
        <v/>
      </c>
      <c r="E3070" s="61" t="str">
        <f aca="false">IF($M3070=0,"",INDEX(Classes!$C$6:$C$420,$M3070))</f>
        <v/>
      </c>
      <c r="F3070" s="63"/>
      <c r="G3070" s="63"/>
      <c r="H3070" s="60"/>
      <c r="I3070" s="60"/>
      <c r="J3070" s="63"/>
      <c r="K3070" s="61" t="str">
        <f aca="false">IF($P3070=0,"",IF($F3070="Baseline","— Baseline",IF($O3070=0,"No result",IF($N3070=0,"No Start (attainment only)",IF(OR($N3070=1,$O3070=1),"U – needs rule",INDEX(MxBody,MATCH($I3070,MxCurr,0),MATCH($H3070,MxStart,0)))))))</f>
        <v/>
      </c>
      <c r="L3070" s="62" t="str">
        <f aca="false">IF(COUNTA($A3070,$F3070,$G3070,$H3070,$I3070,$J3070)=0,"",IF($M3070=0,"✖ كود الصف غير موجود",IF(ISNA(MATCH($F3070,Lists!$A$2:$A$5,0)),"✖ الفترة غير صحيحة",IF(ISNA(MATCH($G3070,Lists!$B$2:$B$7,0)),"✖ المجموعة غير صحيحة",IF(NOT(OR($H3070="",$N3070&gt;0)),"✖ Start غير صحيح",IF(NOT(OR($I3070="",$I3070="NR",$O3070&gt;0)),"✖ Current غير صحيح",IF(NOT(IF(ISNUMBER($J3070),AND($J3070&gt;=0,$J3070=INT($J3070)),FALSE())),"✖ العدد يجب أن يكون صحيحًا ≥ 0",IF(AND($F3070="Baseline",$H3070&lt;&gt;""),"⚠ Baseline: Start لا يدخل في التقدم",IF($K3070="No Start (attainment only)","ℹ تحصيل فقط (بدون Start)",IF($K3070="U – needs rule","ℹ حالة U تحتاج قاعدة معتمدة",IF($K3070="No result","ℹ بدون نتيجة (يُستبعد من التحصيل)","OK")))))))))))</f>
        <v/>
      </c>
      <c r="M3070" s="64" t="n">
        <f aca="false">IF($A3070="",0,IFERROR(MATCH($A3070,Classes!$A$6:$A$420,0),0))</f>
        <v>0</v>
      </c>
      <c r="N3070" s="64" t="n">
        <f aca="false">IF($H3070="",0,IFERROR(MATCH($H3070,GradeList,0),0))</f>
        <v>0</v>
      </c>
      <c r="O3070" s="64" t="n">
        <f aca="false">IF(OR($I3070="",$I3070="NR"),0,IFERROR(MATCH($I3070,GradeList,0),0))</f>
        <v>0</v>
      </c>
      <c r="P3070" s="64" t="n">
        <f aca="false">IF(AND($M3070&gt;0,ISNUMBER(MATCH($F3070,Lists!$A$2:$A$5,0)),ISNUMBER(MATCH($G3070,Lists!$B$2:$B$7,0)),OR($H3070="",$N3070&gt;0),OR($I3070="",$I3070="NR",$O3070&gt;0),IF(ISNUMBER($J3070),AND($J3070&gt;=0,$J3070=INT($J3070)),FALSE())),$J3070,0)</f>
        <v>0</v>
      </c>
      <c r="Q3070" s="64" t="n">
        <f aca="false">IF(AND($P3070&gt;0,$O3070&gt;0),$P3070,0)</f>
        <v>0</v>
      </c>
      <c r="R3070" s="64" t="n">
        <f aca="false">IF(AND($Q3070&gt;0,$O3070&gt;=AtRank),$Q3070,0)</f>
        <v>0</v>
      </c>
      <c r="S3070" s="64" t="n">
        <f aca="false">IF(AND($Q3070&gt;0,$O3070&gt;=AboveRank),$Q3070,0)</f>
        <v>0</v>
      </c>
      <c r="T3070" s="64" t="n">
        <f aca="false">IF($K3070="Less",$P3070,0)</f>
        <v>0</v>
      </c>
      <c r="U3070" s="64" t="n">
        <f aca="false">IF($K3070="Expected",$P3070,0)</f>
        <v>0</v>
      </c>
      <c r="V3070" s="64" t="n">
        <f aca="false">IF($K3070="Better",$P3070,0)</f>
        <v>0</v>
      </c>
      <c r="W3070" s="64" t="n">
        <f aca="false">IF($K3070="U – needs rule",$P3070,0)</f>
        <v>0</v>
      </c>
      <c r="X3070" s="64" t="n">
        <f aca="false">IF($K3070="No Start (attainment only)",$P3070,0)</f>
        <v>0</v>
      </c>
    </row>
    <row r="3071" customFormat="false" ht="15" hidden="false" customHeight="false" outlineLevel="0" collapsed="false">
      <c r="A3071" s="60"/>
      <c r="B3071" s="61" t="str">
        <f aca="false">IF($M3071=0,"",INDEX(Classes!$E$6:$E$420,$M3071))</f>
        <v/>
      </c>
      <c r="C3071" s="62" t="str">
        <f aca="false">IF($M3071=0,"",INDEX(Classes!$H$6:$H$420,$M3071))</f>
        <v/>
      </c>
      <c r="D3071" s="61" t="str">
        <f aca="false">IF($M3071=0,"",INDEX(Classes!$B$6:$B$420,$M3071))</f>
        <v/>
      </c>
      <c r="E3071" s="61" t="str">
        <f aca="false">IF($M3071=0,"",INDEX(Classes!$C$6:$C$420,$M3071))</f>
        <v/>
      </c>
      <c r="F3071" s="63"/>
      <c r="G3071" s="63"/>
      <c r="H3071" s="60"/>
      <c r="I3071" s="60"/>
      <c r="J3071" s="63"/>
      <c r="K3071" s="61" t="str">
        <f aca="false">IF($P3071=0,"",IF($F3071="Baseline","— Baseline",IF($O3071=0,"No result",IF($N3071=0,"No Start (attainment only)",IF(OR($N3071=1,$O3071=1),"U – needs rule",INDEX(MxBody,MATCH($I3071,MxCurr,0),MATCH($H3071,MxStart,0)))))))</f>
        <v/>
      </c>
      <c r="L3071" s="62" t="str">
        <f aca="false">IF(COUNTA($A3071,$F3071,$G3071,$H3071,$I3071,$J3071)=0,"",IF($M3071=0,"✖ كود الصف غير موجود",IF(ISNA(MATCH($F3071,Lists!$A$2:$A$5,0)),"✖ الفترة غير صحيحة",IF(ISNA(MATCH($G3071,Lists!$B$2:$B$7,0)),"✖ المجموعة غير صحيحة",IF(NOT(OR($H3071="",$N3071&gt;0)),"✖ Start غير صحيح",IF(NOT(OR($I3071="",$I3071="NR",$O3071&gt;0)),"✖ Current غير صحيح",IF(NOT(IF(ISNUMBER($J3071),AND($J3071&gt;=0,$J3071=INT($J3071)),FALSE())),"✖ العدد يجب أن يكون صحيحًا ≥ 0",IF(AND($F3071="Baseline",$H3071&lt;&gt;""),"⚠ Baseline: Start لا يدخل في التقدم",IF($K3071="No Start (attainment only)","ℹ تحصيل فقط (بدون Start)",IF($K3071="U – needs rule","ℹ حالة U تحتاج قاعدة معتمدة",IF($K3071="No result","ℹ بدون نتيجة (يُستبعد من التحصيل)","OK")))))))))))</f>
        <v/>
      </c>
      <c r="M3071" s="64" t="n">
        <f aca="false">IF($A3071="",0,IFERROR(MATCH($A3071,Classes!$A$6:$A$420,0),0))</f>
        <v>0</v>
      </c>
      <c r="N3071" s="64" t="n">
        <f aca="false">IF($H3071="",0,IFERROR(MATCH($H3071,GradeList,0),0))</f>
        <v>0</v>
      </c>
      <c r="O3071" s="64" t="n">
        <f aca="false">IF(OR($I3071="",$I3071="NR"),0,IFERROR(MATCH($I3071,GradeList,0),0))</f>
        <v>0</v>
      </c>
      <c r="P3071" s="64" t="n">
        <f aca="false">IF(AND($M3071&gt;0,ISNUMBER(MATCH($F3071,Lists!$A$2:$A$5,0)),ISNUMBER(MATCH($G3071,Lists!$B$2:$B$7,0)),OR($H3071="",$N3071&gt;0),OR($I3071="",$I3071="NR",$O3071&gt;0),IF(ISNUMBER($J3071),AND($J3071&gt;=0,$J3071=INT($J3071)),FALSE())),$J3071,0)</f>
        <v>0</v>
      </c>
      <c r="Q3071" s="64" t="n">
        <f aca="false">IF(AND($P3071&gt;0,$O3071&gt;0),$P3071,0)</f>
        <v>0</v>
      </c>
      <c r="R3071" s="64" t="n">
        <f aca="false">IF(AND($Q3071&gt;0,$O3071&gt;=AtRank),$Q3071,0)</f>
        <v>0</v>
      </c>
      <c r="S3071" s="64" t="n">
        <f aca="false">IF(AND($Q3071&gt;0,$O3071&gt;=AboveRank),$Q3071,0)</f>
        <v>0</v>
      </c>
      <c r="T3071" s="64" t="n">
        <f aca="false">IF($K3071="Less",$P3071,0)</f>
        <v>0</v>
      </c>
      <c r="U3071" s="64" t="n">
        <f aca="false">IF($K3071="Expected",$P3071,0)</f>
        <v>0</v>
      </c>
      <c r="V3071" s="64" t="n">
        <f aca="false">IF($K3071="Better",$P3071,0)</f>
        <v>0</v>
      </c>
      <c r="W3071" s="64" t="n">
        <f aca="false">IF($K3071="U – needs rule",$P3071,0)</f>
        <v>0</v>
      </c>
      <c r="X3071" s="64" t="n">
        <f aca="false">IF($K3071="No Start (attainment only)",$P3071,0)</f>
        <v>0</v>
      </c>
    </row>
    <row r="3072" customFormat="false" ht="15" hidden="false" customHeight="false" outlineLevel="0" collapsed="false">
      <c r="A3072" s="60"/>
      <c r="B3072" s="61" t="str">
        <f aca="false">IF($M3072=0,"",INDEX(Classes!$E$6:$E$420,$M3072))</f>
        <v/>
      </c>
      <c r="C3072" s="62" t="str">
        <f aca="false">IF($M3072=0,"",INDEX(Classes!$H$6:$H$420,$M3072))</f>
        <v/>
      </c>
      <c r="D3072" s="61" t="str">
        <f aca="false">IF($M3072=0,"",INDEX(Classes!$B$6:$B$420,$M3072))</f>
        <v/>
      </c>
      <c r="E3072" s="61" t="str">
        <f aca="false">IF($M3072=0,"",INDEX(Classes!$C$6:$C$420,$M3072))</f>
        <v/>
      </c>
      <c r="F3072" s="63"/>
      <c r="G3072" s="63"/>
      <c r="H3072" s="60"/>
      <c r="I3072" s="60"/>
      <c r="J3072" s="63"/>
      <c r="K3072" s="61" t="str">
        <f aca="false">IF($P3072=0,"",IF($F3072="Baseline","— Baseline",IF($O3072=0,"No result",IF($N3072=0,"No Start (attainment only)",IF(OR($N3072=1,$O3072=1),"U – needs rule",INDEX(MxBody,MATCH($I3072,MxCurr,0),MATCH($H3072,MxStart,0)))))))</f>
        <v/>
      </c>
      <c r="L3072" s="62" t="str">
        <f aca="false">IF(COUNTA($A3072,$F3072,$G3072,$H3072,$I3072,$J3072)=0,"",IF($M3072=0,"✖ كود الصف غير موجود",IF(ISNA(MATCH($F3072,Lists!$A$2:$A$5,0)),"✖ الفترة غير صحيحة",IF(ISNA(MATCH($G3072,Lists!$B$2:$B$7,0)),"✖ المجموعة غير صحيحة",IF(NOT(OR($H3072="",$N3072&gt;0)),"✖ Start غير صحيح",IF(NOT(OR($I3072="",$I3072="NR",$O3072&gt;0)),"✖ Current غير صحيح",IF(NOT(IF(ISNUMBER($J3072),AND($J3072&gt;=0,$J3072=INT($J3072)),FALSE())),"✖ العدد يجب أن يكون صحيحًا ≥ 0",IF(AND($F3072="Baseline",$H3072&lt;&gt;""),"⚠ Baseline: Start لا يدخل في التقدم",IF($K3072="No Start (attainment only)","ℹ تحصيل فقط (بدون Start)",IF($K3072="U – needs rule","ℹ حالة U تحتاج قاعدة معتمدة",IF($K3072="No result","ℹ بدون نتيجة (يُستبعد من التحصيل)","OK")))))))))))</f>
        <v/>
      </c>
      <c r="M3072" s="64" t="n">
        <f aca="false">IF($A3072="",0,IFERROR(MATCH($A3072,Classes!$A$6:$A$420,0),0))</f>
        <v>0</v>
      </c>
      <c r="N3072" s="64" t="n">
        <f aca="false">IF($H3072="",0,IFERROR(MATCH($H3072,GradeList,0),0))</f>
        <v>0</v>
      </c>
      <c r="O3072" s="64" t="n">
        <f aca="false">IF(OR($I3072="",$I3072="NR"),0,IFERROR(MATCH($I3072,GradeList,0),0))</f>
        <v>0</v>
      </c>
      <c r="P3072" s="64" t="n">
        <f aca="false">IF(AND($M3072&gt;0,ISNUMBER(MATCH($F3072,Lists!$A$2:$A$5,0)),ISNUMBER(MATCH($G3072,Lists!$B$2:$B$7,0)),OR($H3072="",$N3072&gt;0),OR($I3072="",$I3072="NR",$O3072&gt;0),IF(ISNUMBER($J3072),AND($J3072&gt;=0,$J3072=INT($J3072)),FALSE())),$J3072,0)</f>
        <v>0</v>
      </c>
      <c r="Q3072" s="64" t="n">
        <f aca="false">IF(AND($P3072&gt;0,$O3072&gt;0),$P3072,0)</f>
        <v>0</v>
      </c>
      <c r="R3072" s="64" t="n">
        <f aca="false">IF(AND($Q3072&gt;0,$O3072&gt;=AtRank),$Q3072,0)</f>
        <v>0</v>
      </c>
      <c r="S3072" s="64" t="n">
        <f aca="false">IF(AND($Q3072&gt;0,$O3072&gt;=AboveRank),$Q3072,0)</f>
        <v>0</v>
      </c>
      <c r="T3072" s="64" t="n">
        <f aca="false">IF($K3072="Less",$P3072,0)</f>
        <v>0</v>
      </c>
      <c r="U3072" s="64" t="n">
        <f aca="false">IF($K3072="Expected",$P3072,0)</f>
        <v>0</v>
      </c>
      <c r="V3072" s="64" t="n">
        <f aca="false">IF($K3072="Better",$P3072,0)</f>
        <v>0</v>
      </c>
      <c r="W3072" s="64" t="n">
        <f aca="false">IF($K3072="U – needs rule",$P3072,0)</f>
        <v>0</v>
      </c>
      <c r="X3072" s="64" t="n">
        <f aca="false">IF($K3072="No Start (attainment only)",$P3072,0)</f>
        <v>0</v>
      </c>
    </row>
    <row r="3073" customFormat="false" ht="15" hidden="false" customHeight="false" outlineLevel="0" collapsed="false">
      <c r="A3073" s="60"/>
      <c r="B3073" s="61" t="str">
        <f aca="false">IF($M3073=0,"",INDEX(Classes!$E$6:$E$420,$M3073))</f>
        <v/>
      </c>
      <c r="C3073" s="62" t="str">
        <f aca="false">IF($M3073=0,"",INDEX(Classes!$H$6:$H$420,$M3073))</f>
        <v/>
      </c>
      <c r="D3073" s="61" t="str">
        <f aca="false">IF($M3073=0,"",INDEX(Classes!$B$6:$B$420,$M3073))</f>
        <v/>
      </c>
      <c r="E3073" s="61" t="str">
        <f aca="false">IF($M3073=0,"",INDEX(Classes!$C$6:$C$420,$M3073))</f>
        <v/>
      </c>
      <c r="F3073" s="63"/>
      <c r="G3073" s="63"/>
      <c r="H3073" s="60"/>
      <c r="I3073" s="60"/>
      <c r="J3073" s="63"/>
      <c r="K3073" s="61" t="str">
        <f aca="false">IF($P3073=0,"",IF($F3073="Baseline","— Baseline",IF($O3073=0,"No result",IF($N3073=0,"No Start (attainment only)",IF(OR($N3073=1,$O3073=1),"U – needs rule",INDEX(MxBody,MATCH($I3073,MxCurr,0),MATCH($H3073,MxStart,0)))))))</f>
        <v/>
      </c>
      <c r="L3073" s="62" t="str">
        <f aca="false">IF(COUNTA($A3073,$F3073,$G3073,$H3073,$I3073,$J3073)=0,"",IF($M3073=0,"✖ كود الصف غير موجود",IF(ISNA(MATCH($F3073,Lists!$A$2:$A$5,0)),"✖ الفترة غير صحيحة",IF(ISNA(MATCH($G3073,Lists!$B$2:$B$7,0)),"✖ المجموعة غير صحيحة",IF(NOT(OR($H3073="",$N3073&gt;0)),"✖ Start غير صحيح",IF(NOT(OR($I3073="",$I3073="NR",$O3073&gt;0)),"✖ Current غير صحيح",IF(NOT(IF(ISNUMBER($J3073),AND($J3073&gt;=0,$J3073=INT($J3073)),FALSE())),"✖ العدد يجب أن يكون صحيحًا ≥ 0",IF(AND($F3073="Baseline",$H3073&lt;&gt;""),"⚠ Baseline: Start لا يدخل في التقدم",IF($K3073="No Start (attainment only)","ℹ تحصيل فقط (بدون Start)",IF($K3073="U – needs rule","ℹ حالة U تحتاج قاعدة معتمدة",IF($K3073="No result","ℹ بدون نتيجة (يُستبعد من التحصيل)","OK")))))))))))</f>
        <v/>
      </c>
      <c r="M3073" s="64" t="n">
        <f aca="false">IF($A3073="",0,IFERROR(MATCH($A3073,Classes!$A$6:$A$420,0),0))</f>
        <v>0</v>
      </c>
      <c r="N3073" s="64" t="n">
        <f aca="false">IF($H3073="",0,IFERROR(MATCH($H3073,GradeList,0),0))</f>
        <v>0</v>
      </c>
      <c r="O3073" s="64" t="n">
        <f aca="false">IF(OR($I3073="",$I3073="NR"),0,IFERROR(MATCH($I3073,GradeList,0),0))</f>
        <v>0</v>
      </c>
      <c r="P3073" s="64" t="n">
        <f aca="false">IF(AND($M3073&gt;0,ISNUMBER(MATCH($F3073,Lists!$A$2:$A$5,0)),ISNUMBER(MATCH($G3073,Lists!$B$2:$B$7,0)),OR($H3073="",$N3073&gt;0),OR($I3073="",$I3073="NR",$O3073&gt;0),IF(ISNUMBER($J3073),AND($J3073&gt;=0,$J3073=INT($J3073)),FALSE())),$J3073,0)</f>
        <v>0</v>
      </c>
      <c r="Q3073" s="64" t="n">
        <f aca="false">IF(AND($P3073&gt;0,$O3073&gt;0),$P3073,0)</f>
        <v>0</v>
      </c>
      <c r="R3073" s="64" t="n">
        <f aca="false">IF(AND($Q3073&gt;0,$O3073&gt;=AtRank),$Q3073,0)</f>
        <v>0</v>
      </c>
      <c r="S3073" s="64" t="n">
        <f aca="false">IF(AND($Q3073&gt;0,$O3073&gt;=AboveRank),$Q3073,0)</f>
        <v>0</v>
      </c>
      <c r="T3073" s="64" t="n">
        <f aca="false">IF($K3073="Less",$P3073,0)</f>
        <v>0</v>
      </c>
      <c r="U3073" s="64" t="n">
        <f aca="false">IF($K3073="Expected",$P3073,0)</f>
        <v>0</v>
      </c>
      <c r="V3073" s="64" t="n">
        <f aca="false">IF($K3073="Better",$P3073,0)</f>
        <v>0</v>
      </c>
      <c r="W3073" s="64" t="n">
        <f aca="false">IF($K3073="U – needs rule",$P3073,0)</f>
        <v>0</v>
      </c>
      <c r="X3073" s="64" t="n">
        <f aca="false">IF($K3073="No Start (attainment only)",$P3073,0)</f>
        <v>0</v>
      </c>
    </row>
    <row r="3074" customFormat="false" ht="15" hidden="false" customHeight="false" outlineLevel="0" collapsed="false">
      <c r="A3074" s="60"/>
      <c r="B3074" s="61" t="str">
        <f aca="false">IF($M3074=0,"",INDEX(Classes!$E$6:$E$420,$M3074))</f>
        <v/>
      </c>
      <c r="C3074" s="62" t="str">
        <f aca="false">IF($M3074=0,"",INDEX(Classes!$H$6:$H$420,$M3074))</f>
        <v/>
      </c>
      <c r="D3074" s="61" t="str">
        <f aca="false">IF($M3074=0,"",INDEX(Classes!$B$6:$B$420,$M3074))</f>
        <v/>
      </c>
      <c r="E3074" s="61" t="str">
        <f aca="false">IF($M3074=0,"",INDEX(Classes!$C$6:$C$420,$M3074))</f>
        <v/>
      </c>
      <c r="F3074" s="63"/>
      <c r="G3074" s="63"/>
      <c r="H3074" s="60"/>
      <c r="I3074" s="60"/>
      <c r="J3074" s="63"/>
      <c r="K3074" s="61" t="str">
        <f aca="false">IF($P3074=0,"",IF($F3074="Baseline","— Baseline",IF($O3074=0,"No result",IF($N3074=0,"No Start (attainment only)",IF(OR($N3074=1,$O3074=1),"U – needs rule",INDEX(MxBody,MATCH($I3074,MxCurr,0),MATCH($H3074,MxStart,0)))))))</f>
        <v/>
      </c>
      <c r="L3074" s="62" t="str">
        <f aca="false">IF(COUNTA($A3074,$F3074,$G3074,$H3074,$I3074,$J3074)=0,"",IF($M3074=0,"✖ كود الصف غير موجود",IF(ISNA(MATCH($F3074,Lists!$A$2:$A$5,0)),"✖ الفترة غير صحيحة",IF(ISNA(MATCH($G3074,Lists!$B$2:$B$7,0)),"✖ المجموعة غير صحيحة",IF(NOT(OR($H3074="",$N3074&gt;0)),"✖ Start غير صحيح",IF(NOT(OR($I3074="",$I3074="NR",$O3074&gt;0)),"✖ Current غير صحيح",IF(NOT(IF(ISNUMBER($J3074),AND($J3074&gt;=0,$J3074=INT($J3074)),FALSE())),"✖ العدد يجب أن يكون صحيحًا ≥ 0",IF(AND($F3074="Baseline",$H3074&lt;&gt;""),"⚠ Baseline: Start لا يدخل في التقدم",IF($K3074="No Start (attainment only)","ℹ تحصيل فقط (بدون Start)",IF($K3074="U – needs rule","ℹ حالة U تحتاج قاعدة معتمدة",IF($K3074="No result","ℹ بدون نتيجة (يُستبعد من التحصيل)","OK")))))))))))</f>
        <v/>
      </c>
      <c r="M3074" s="64" t="n">
        <f aca="false">IF($A3074="",0,IFERROR(MATCH($A3074,Classes!$A$6:$A$420,0),0))</f>
        <v>0</v>
      </c>
      <c r="N3074" s="64" t="n">
        <f aca="false">IF($H3074="",0,IFERROR(MATCH($H3074,GradeList,0),0))</f>
        <v>0</v>
      </c>
      <c r="O3074" s="64" t="n">
        <f aca="false">IF(OR($I3074="",$I3074="NR"),0,IFERROR(MATCH($I3074,GradeList,0),0))</f>
        <v>0</v>
      </c>
      <c r="P3074" s="64" t="n">
        <f aca="false">IF(AND($M3074&gt;0,ISNUMBER(MATCH($F3074,Lists!$A$2:$A$5,0)),ISNUMBER(MATCH($G3074,Lists!$B$2:$B$7,0)),OR($H3074="",$N3074&gt;0),OR($I3074="",$I3074="NR",$O3074&gt;0),IF(ISNUMBER($J3074),AND($J3074&gt;=0,$J3074=INT($J3074)),FALSE())),$J3074,0)</f>
        <v>0</v>
      </c>
      <c r="Q3074" s="64" t="n">
        <f aca="false">IF(AND($P3074&gt;0,$O3074&gt;0),$P3074,0)</f>
        <v>0</v>
      </c>
      <c r="R3074" s="64" t="n">
        <f aca="false">IF(AND($Q3074&gt;0,$O3074&gt;=AtRank),$Q3074,0)</f>
        <v>0</v>
      </c>
      <c r="S3074" s="64" t="n">
        <f aca="false">IF(AND($Q3074&gt;0,$O3074&gt;=AboveRank),$Q3074,0)</f>
        <v>0</v>
      </c>
      <c r="T3074" s="64" t="n">
        <f aca="false">IF($K3074="Less",$P3074,0)</f>
        <v>0</v>
      </c>
      <c r="U3074" s="64" t="n">
        <f aca="false">IF($K3074="Expected",$P3074,0)</f>
        <v>0</v>
      </c>
      <c r="V3074" s="64" t="n">
        <f aca="false">IF($K3074="Better",$P3074,0)</f>
        <v>0</v>
      </c>
      <c r="W3074" s="64" t="n">
        <f aca="false">IF($K3074="U – needs rule",$P3074,0)</f>
        <v>0</v>
      </c>
      <c r="X3074" s="64" t="n">
        <f aca="false">IF($K3074="No Start (attainment only)",$P3074,0)</f>
        <v>0</v>
      </c>
    </row>
    <row r="3075" customFormat="false" ht="15" hidden="false" customHeight="false" outlineLevel="0" collapsed="false">
      <c r="A3075" s="60"/>
      <c r="B3075" s="61" t="str">
        <f aca="false">IF($M3075=0,"",INDEX(Classes!$E$6:$E$420,$M3075))</f>
        <v/>
      </c>
      <c r="C3075" s="62" t="str">
        <f aca="false">IF($M3075=0,"",INDEX(Classes!$H$6:$H$420,$M3075))</f>
        <v/>
      </c>
      <c r="D3075" s="61" t="str">
        <f aca="false">IF($M3075=0,"",INDEX(Classes!$B$6:$B$420,$M3075))</f>
        <v/>
      </c>
      <c r="E3075" s="61" t="str">
        <f aca="false">IF($M3075=0,"",INDEX(Classes!$C$6:$C$420,$M3075))</f>
        <v/>
      </c>
      <c r="F3075" s="63"/>
      <c r="G3075" s="63"/>
      <c r="H3075" s="60"/>
      <c r="I3075" s="60"/>
      <c r="J3075" s="63"/>
      <c r="K3075" s="61" t="str">
        <f aca="false">IF($P3075=0,"",IF($F3075="Baseline","— Baseline",IF($O3075=0,"No result",IF($N3075=0,"No Start (attainment only)",IF(OR($N3075=1,$O3075=1),"U – needs rule",INDEX(MxBody,MATCH($I3075,MxCurr,0),MATCH($H3075,MxStart,0)))))))</f>
        <v/>
      </c>
      <c r="L3075" s="62" t="str">
        <f aca="false">IF(COUNTA($A3075,$F3075,$G3075,$H3075,$I3075,$J3075)=0,"",IF($M3075=0,"✖ كود الصف غير موجود",IF(ISNA(MATCH($F3075,Lists!$A$2:$A$5,0)),"✖ الفترة غير صحيحة",IF(ISNA(MATCH($G3075,Lists!$B$2:$B$7,0)),"✖ المجموعة غير صحيحة",IF(NOT(OR($H3075="",$N3075&gt;0)),"✖ Start غير صحيح",IF(NOT(OR($I3075="",$I3075="NR",$O3075&gt;0)),"✖ Current غير صحيح",IF(NOT(IF(ISNUMBER($J3075),AND($J3075&gt;=0,$J3075=INT($J3075)),FALSE())),"✖ العدد يجب أن يكون صحيحًا ≥ 0",IF(AND($F3075="Baseline",$H3075&lt;&gt;""),"⚠ Baseline: Start لا يدخل في التقدم",IF($K3075="No Start (attainment only)","ℹ تحصيل فقط (بدون Start)",IF($K3075="U – needs rule","ℹ حالة U تحتاج قاعدة معتمدة",IF($K3075="No result","ℹ بدون نتيجة (يُستبعد من التحصيل)","OK")))))))))))</f>
        <v/>
      </c>
      <c r="M3075" s="64" t="n">
        <f aca="false">IF($A3075="",0,IFERROR(MATCH($A3075,Classes!$A$6:$A$420,0),0))</f>
        <v>0</v>
      </c>
      <c r="N3075" s="64" t="n">
        <f aca="false">IF($H3075="",0,IFERROR(MATCH($H3075,GradeList,0),0))</f>
        <v>0</v>
      </c>
      <c r="O3075" s="64" t="n">
        <f aca="false">IF(OR($I3075="",$I3075="NR"),0,IFERROR(MATCH($I3075,GradeList,0),0))</f>
        <v>0</v>
      </c>
      <c r="P3075" s="64" t="n">
        <f aca="false">IF(AND($M3075&gt;0,ISNUMBER(MATCH($F3075,Lists!$A$2:$A$5,0)),ISNUMBER(MATCH($G3075,Lists!$B$2:$B$7,0)),OR($H3075="",$N3075&gt;0),OR($I3075="",$I3075="NR",$O3075&gt;0),IF(ISNUMBER($J3075),AND($J3075&gt;=0,$J3075=INT($J3075)),FALSE())),$J3075,0)</f>
        <v>0</v>
      </c>
      <c r="Q3075" s="64" t="n">
        <f aca="false">IF(AND($P3075&gt;0,$O3075&gt;0),$P3075,0)</f>
        <v>0</v>
      </c>
      <c r="R3075" s="64" t="n">
        <f aca="false">IF(AND($Q3075&gt;0,$O3075&gt;=AtRank),$Q3075,0)</f>
        <v>0</v>
      </c>
      <c r="S3075" s="64" t="n">
        <f aca="false">IF(AND($Q3075&gt;0,$O3075&gt;=AboveRank),$Q3075,0)</f>
        <v>0</v>
      </c>
      <c r="T3075" s="64" t="n">
        <f aca="false">IF($K3075="Less",$P3075,0)</f>
        <v>0</v>
      </c>
      <c r="U3075" s="64" t="n">
        <f aca="false">IF($K3075="Expected",$P3075,0)</f>
        <v>0</v>
      </c>
      <c r="V3075" s="64" t="n">
        <f aca="false">IF($K3075="Better",$P3075,0)</f>
        <v>0</v>
      </c>
      <c r="W3075" s="64" t="n">
        <f aca="false">IF($K3075="U – needs rule",$P3075,0)</f>
        <v>0</v>
      </c>
      <c r="X3075" s="64" t="n">
        <f aca="false">IF($K3075="No Start (attainment only)",$P3075,0)</f>
        <v>0</v>
      </c>
    </row>
    <row r="3076" customFormat="false" ht="15" hidden="false" customHeight="false" outlineLevel="0" collapsed="false">
      <c r="A3076" s="60"/>
      <c r="B3076" s="61" t="str">
        <f aca="false">IF($M3076=0,"",INDEX(Classes!$E$6:$E$420,$M3076))</f>
        <v/>
      </c>
      <c r="C3076" s="62" t="str">
        <f aca="false">IF($M3076=0,"",INDEX(Classes!$H$6:$H$420,$M3076))</f>
        <v/>
      </c>
      <c r="D3076" s="61" t="str">
        <f aca="false">IF($M3076=0,"",INDEX(Classes!$B$6:$B$420,$M3076))</f>
        <v/>
      </c>
      <c r="E3076" s="61" t="str">
        <f aca="false">IF($M3076=0,"",INDEX(Classes!$C$6:$C$420,$M3076))</f>
        <v/>
      </c>
      <c r="F3076" s="63"/>
      <c r="G3076" s="63"/>
      <c r="H3076" s="60"/>
      <c r="I3076" s="60"/>
      <c r="J3076" s="63"/>
      <c r="K3076" s="61" t="str">
        <f aca="false">IF($P3076=0,"",IF($F3076="Baseline","— Baseline",IF($O3076=0,"No result",IF($N3076=0,"No Start (attainment only)",IF(OR($N3076=1,$O3076=1),"U – needs rule",INDEX(MxBody,MATCH($I3076,MxCurr,0),MATCH($H3076,MxStart,0)))))))</f>
        <v/>
      </c>
      <c r="L3076" s="62" t="str">
        <f aca="false">IF(COUNTA($A3076,$F3076,$G3076,$H3076,$I3076,$J3076)=0,"",IF($M3076=0,"✖ كود الصف غير موجود",IF(ISNA(MATCH($F3076,Lists!$A$2:$A$5,0)),"✖ الفترة غير صحيحة",IF(ISNA(MATCH($G3076,Lists!$B$2:$B$7,0)),"✖ المجموعة غير صحيحة",IF(NOT(OR($H3076="",$N3076&gt;0)),"✖ Start غير صحيح",IF(NOT(OR($I3076="",$I3076="NR",$O3076&gt;0)),"✖ Current غير صحيح",IF(NOT(IF(ISNUMBER($J3076),AND($J3076&gt;=0,$J3076=INT($J3076)),FALSE())),"✖ العدد يجب أن يكون صحيحًا ≥ 0",IF(AND($F3076="Baseline",$H3076&lt;&gt;""),"⚠ Baseline: Start لا يدخل في التقدم",IF($K3076="No Start (attainment only)","ℹ تحصيل فقط (بدون Start)",IF($K3076="U – needs rule","ℹ حالة U تحتاج قاعدة معتمدة",IF($K3076="No result","ℹ بدون نتيجة (يُستبعد من التحصيل)","OK")))))))))))</f>
        <v/>
      </c>
      <c r="M3076" s="64" t="n">
        <f aca="false">IF($A3076="",0,IFERROR(MATCH($A3076,Classes!$A$6:$A$420,0),0))</f>
        <v>0</v>
      </c>
      <c r="N3076" s="64" t="n">
        <f aca="false">IF($H3076="",0,IFERROR(MATCH($H3076,GradeList,0),0))</f>
        <v>0</v>
      </c>
      <c r="O3076" s="64" t="n">
        <f aca="false">IF(OR($I3076="",$I3076="NR"),0,IFERROR(MATCH($I3076,GradeList,0),0))</f>
        <v>0</v>
      </c>
      <c r="P3076" s="64" t="n">
        <f aca="false">IF(AND($M3076&gt;0,ISNUMBER(MATCH($F3076,Lists!$A$2:$A$5,0)),ISNUMBER(MATCH($G3076,Lists!$B$2:$B$7,0)),OR($H3076="",$N3076&gt;0),OR($I3076="",$I3076="NR",$O3076&gt;0),IF(ISNUMBER($J3076),AND($J3076&gt;=0,$J3076=INT($J3076)),FALSE())),$J3076,0)</f>
        <v>0</v>
      </c>
      <c r="Q3076" s="64" t="n">
        <f aca="false">IF(AND($P3076&gt;0,$O3076&gt;0),$P3076,0)</f>
        <v>0</v>
      </c>
      <c r="R3076" s="64" t="n">
        <f aca="false">IF(AND($Q3076&gt;0,$O3076&gt;=AtRank),$Q3076,0)</f>
        <v>0</v>
      </c>
      <c r="S3076" s="64" t="n">
        <f aca="false">IF(AND($Q3076&gt;0,$O3076&gt;=AboveRank),$Q3076,0)</f>
        <v>0</v>
      </c>
      <c r="T3076" s="64" t="n">
        <f aca="false">IF($K3076="Less",$P3076,0)</f>
        <v>0</v>
      </c>
      <c r="U3076" s="64" t="n">
        <f aca="false">IF($K3076="Expected",$P3076,0)</f>
        <v>0</v>
      </c>
      <c r="V3076" s="64" t="n">
        <f aca="false">IF($K3076="Better",$P3076,0)</f>
        <v>0</v>
      </c>
      <c r="W3076" s="64" t="n">
        <f aca="false">IF($K3076="U – needs rule",$P3076,0)</f>
        <v>0</v>
      </c>
      <c r="X3076" s="64" t="n">
        <f aca="false">IF($K3076="No Start (attainment only)",$P3076,0)</f>
        <v>0</v>
      </c>
    </row>
    <row r="3077" customFormat="false" ht="15" hidden="false" customHeight="false" outlineLevel="0" collapsed="false">
      <c r="A3077" s="60"/>
      <c r="B3077" s="61" t="str">
        <f aca="false">IF($M3077=0,"",INDEX(Classes!$E$6:$E$420,$M3077))</f>
        <v/>
      </c>
      <c r="C3077" s="62" t="str">
        <f aca="false">IF($M3077=0,"",INDEX(Classes!$H$6:$H$420,$M3077))</f>
        <v/>
      </c>
      <c r="D3077" s="61" t="str">
        <f aca="false">IF($M3077=0,"",INDEX(Classes!$B$6:$B$420,$M3077))</f>
        <v/>
      </c>
      <c r="E3077" s="61" t="str">
        <f aca="false">IF($M3077=0,"",INDEX(Classes!$C$6:$C$420,$M3077))</f>
        <v/>
      </c>
      <c r="F3077" s="63"/>
      <c r="G3077" s="63"/>
      <c r="H3077" s="60"/>
      <c r="I3077" s="60"/>
      <c r="J3077" s="63"/>
      <c r="K3077" s="61" t="str">
        <f aca="false">IF($P3077=0,"",IF($F3077="Baseline","— Baseline",IF($O3077=0,"No result",IF($N3077=0,"No Start (attainment only)",IF(OR($N3077=1,$O3077=1),"U – needs rule",INDEX(MxBody,MATCH($I3077,MxCurr,0),MATCH($H3077,MxStart,0)))))))</f>
        <v/>
      </c>
      <c r="L3077" s="62" t="str">
        <f aca="false">IF(COUNTA($A3077,$F3077,$G3077,$H3077,$I3077,$J3077)=0,"",IF($M3077=0,"✖ كود الصف غير موجود",IF(ISNA(MATCH($F3077,Lists!$A$2:$A$5,0)),"✖ الفترة غير صحيحة",IF(ISNA(MATCH($G3077,Lists!$B$2:$B$7,0)),"✖ المجموعة غير صحيحة",IF(NOT(OR($H3077="",$N3077&gt;0)),"✖ Start غير صحيح",IF(NOT(OR($I3077="",$I3077="NR",$O3077&gt;0)),"✖ Current غير صحيح",IF(NOT(IF(ISNUMBER($J3077),AND($J3077&gt;=0,$J3077=INT($J3077)),FALSE())),"✖ العدد يجب أن يكون صحيحًا ≥ 0",IF(AND($F3077="Baseline",$H3077&lt;&gt;""),"⚠ Baseline: Start لا يدخل في التقدم",IF($K3077="No Start (attainment only)","ℹ تحصيل فقط (بدون Start)",IF($K3077="U – needs rule","ℹ حالة U تحتاج قاعدة معتمدة",IF($K3077="No result","ℹ بدون نتيجة (يُستبعد من التحصيل)","OK")))))))))))</f>
        <v/>
      </c>
      <c r="M3077" s="64" t="n">
        <f aca="false">IF($A3077="",0,IFERROR(MATCH($A3077,Classes!$A$6:$A$420,0),0))</f>
        <v>0</v>
      </c>
      <c r="N3077" s="64" t="n">
        <f aca="false">IF($H3077="",0,IFERROR(MATCH($H3077,GradeList,0),0))</f>
        <v>0</v>
      </c>
      <c r="O3077" s="64" t="n">
        <f aca="false">IF(OR($I3077="",$I3077="NR"),0,IFERROR(MATCH($I3077,GradeList,0),0))</f>
        <v>0</v>
      </c>
      <c r="P3077" s="64" t="n">
        <f aca="false">IF(AND($M3077&gt;0,ISNUMBER(MATCH($F3077,Lists!$A$2:$A$5,0)),ISNUMBER(MATCH($G3077,Lists!$B$2:$B$7,0)),OR($H3077="",$N3077&gt;0),OR($I3077="",$I3077="NR",$O3077&gt;0),IF(ISNUMBER($J3077),AND($J3077&gt;=0,$J3077=INT($J3077)),FALSE())),$J3077,0)</f>
        <v>0</v>
      </c>
      <c r="Q3077" s="64" t="n">
        <f aca="false">IF(AND($P3077&gt;0,$O3077&gt;0),$P3077,0)</f>
        <v>0</v>
      </c>
      <c r="R3077" s="64" t="n">
        <f aca="false">IF(AND($Q3077&gt;0,$O3077&gt;=AtRank),$Q3077,0)</f>
        <v>0</v>
      </c>
      <c r="S3077" s="64" t="n">
        <f aca="false">IF(AND($Q3077&gt;0,$O3077&gt;=AboveRank),$Q3077,0)</f>
        <v>0</v>
      </c>
      <c r="T3077" s="64" t="n">
        <f aca="false">IF($K3077="Less",$P3077,0)</f>
        <v>0</v>
      </c>
      <c r="U3077" s="64" t="n">
        <f aca="false">IF($K3077="Expected",$P3077,0)</f>
        <v>0</v>
      </c>
      <c r="V3077" s="64" t="n">
        <f aca="false">IF($K3077="Better",$P3077,0)</f>
        <v>0</v>
      </c>
      <c r="W3077" s="64" t="n">
        <f aca="false">IF($K3077="U – needs rule",$P3077,0)</f>
        <v>0</v>
      </c>
      <c r="X3077" s="64" t="n">
        <f aca="false">IF($K3077="No Start (attainment only)",$P3077,0)</f>
        <v>0</v>
      </c>
    </row>
    <row r="3078" customFormat="false" ht="15" hidden="false" customHeight="false" outlineLevel="0" collapsed="false">
      <c r="A3078" s="60"/>
      <c r="B3078" s="61" t="str">
        <f aca="false">IF($M3078=0,"",INDEX(Classes!$E$6:$E$420,$M3078))</f>
        <v/>
      </c>
      <c r="C3078" s="62" t="str">
        <f aca="false">IF($M3078=0,"",INDEX(Classes!$H$6:$H$420,$M3078))</f>
        <v/>
      </c>
      <c r="D3078" s="61" t="str">
        <f aca="false">IF($M3078=0,"",INDEX(Classes!$B$6:$B$420,$M3078))</f>
        <v/>
      </c>
      <c r="E3078" s="61" t="str">
        <f aca="false">IF($M3078=0,"",INDEX(Classes!$C$6:$C$420,$M3078))</f>
        <v/>
      </c>
      <c r="F3078" s="63"/>
      <c r="G3078" s="63"/>
      <c r="H3078" s="60"/>
      <c r="I3078" s="60"/>
      <c r="J3078" s="63"/>
      <c r="K3078" s="61" t="str">
        <f aca="false">IF($P3078=0,"",IF($F3078="Baseline","— Baseline",IF($O3078=0,"No result",IF($N3078=0,"No Start (attainment only)",IF(OR($N3078=1,$O3078=1),"U – needs rule",INDEX(MxBody,MATCH($I3078,MxCurr,0),MATCH($H3078,MxStart,0)))))))</f>
        <v/>
      </c>
      <c r="L3078" s="62" t="str">
        <f aca="false">IF(COUNTA($A3078,$F3078,$G3078,$H3078,$I3078,$J3078)=0,"",IF($M3078=0,"✖ كود الصف غير موجود",IF(ISNA(MATCH($F3078,Lists!$A$2:$A$5,0)),"✖ الفترة غير صحيحة",IF(ISNA(MATCH($G3078,Lists!$B$2:$B$7,0)),"✖ المجموعة غير صحيحة",IF(NOT(OR($H3078="",$N3078&gt;0)),"✖ Start غير صحيح",IF(NOT(OR($I3078="",$I3078="NR",$O3078&gt;0)),"✖ Current غير صحيح",IF(NOT(IF(ISNUMBER($J3078),AND($J3078&gt;=0,$J3078=INT($J3078)),FALSE())),"✖ العدد يجب أن يكون صحيحًا ≥ 0",IF(AND($F3078="Baseline",$H3078&lt;&gt;""),"⚠ Baseline: Start لا يدخل في التقدم",IF($K3078="No Start (attainment only)","ℹ تحصيل فقط (بدون Start)",IF($K3078="U – needs rule","ℹ حالة U تحتاج قاعدة معتمدة",IF($K3078="No result","ℹ بدون نتيجة (يُستبعد من التحصيل)","OK")))))))))))</f>
        <v/>
      </c>
      <c r="M3078" s="64" t="n">
        <f aca="false">IF($A3078="",0,IFERROR(MATCH($A3078,Classes!$A$6:$A$420,0),0))</f>
        <v>0</v>
      </c>
      <c r="N3078" s="64" t="n">
        <f aca="false">IF($H3078="",0,IFERROR(MATCH($H3078,GradeList,0),0))</f>
        <v>0</v>
      </c>
      <c r="O3078" s="64" t="n">
        <f aca="false">IF(OR($I3078="",$I3078="NR"),0,IFERROR(MATCH($I3078,GradeList,0),0))</f>
        <v>0</v>
      </c>
      <c r="P3078" s="64" t="n">
        <f aca="false">IF(AND($M3078&gt;0,ISNUMBER(MATCH($F3078,Lists!$A$2:$A$5,0)),ISNUMBER(MATCH($G3078,Lists!$B$2:$B$7,0)),OR($H3078="",$N3078&gt;0),OR($I3078="",$I3078="NR",$O3078&gt;0),IF(ISNUMBER($J3078),AND($J3078&gt;=0,$J3078=INT($J3078)),FALSE())),$J3078,0)</f>
        <v>0</v>
      </c>
      <c r="Q3078" s="64" t="n">
        <f aca="false">IF(AND($P3078&gt;0,$O3078&gt;0),$P3078,0)</f>
        <v>0</v>
      </c>
      <c r="R3078" s="64" t="n">
        <f aca="false">IF(AND($Q3078&gt;0,$O3078&gt;=AtRank),$Q3078,0)</f>
        <v>0</v>
      </c>
      <c r="S3078" s="64" t="n">
        <f aca="false">IF(AND($Q3078&gt;0,$O3078&gt;=AboveRank),$Q3078,0)</f>
        <v>0</v>
      </c>
      <c r="T3078" s="64" t="n">
        <f aca="false">IF($K3078="Less",$P3078,0)</f>
        <v>0</v>
      </c>
      <c r="U3078" s="64" t="n">
        <f aca="false">IF($K3078="Expected",$P3078,0)</f>
        <v>0</v>
      </c>
      <c r="V3078" s="64" t="n">
        <f aca="false">IF($K3078="Better",$P3078,0)</f>
        <v>0</v>
      </c>
      <c r="W3078" s="64" t="n">
        <f aca="false">IF($K3078="U – needs rule",$P3078,0)</f>
        <v>0</v>
      </c>
      <c r="X3078" s="64" t="n">
        <f aca="false">IF($K3078="No Start (attainment only)",$P3078,0)</f>
        <v>0</v>
      </c>
    </row>
    <row r="3079" customFormat="false" ht="15" hidden="false" customHeight="false" outlineLevel="0" collapsed="false">
      <c r="A3079" s="60"/>
      <c r="B3079" s="61" t="str">
        <f aca="false">IF($M3079=0,"",INDEX(Classes!$E$6:$E$420,$M3079))</f>
        <v/>
      </c>
      <c r="C3079" s="62" t="str">
        <f aca="false">IF($M3079=0,"",INDEX(Classes!$H$6:$H$420,$M3079))</f>
        <v/>
      </c>
      <c r="D3079" s="61" t="str">
        <f aca="false">IF($M3079=0,"",INDEX(Classes!$B$6:$B$420,$M3079))</f>
        <v/>
      </c>
      <c r="E3079" s="61" t="str">
        <f aca="false">IF($M3079=0,"",INDEX(Classes!$C$6:$C$420,$M3079))</f>
        <v/>
      </c>
      <c r="F3079" s="63"/>
      <c r="G3079" s="63"/>
      <c r="H3079" s="60"/>
      <c r="I3079" s="60"/>
      <c r="J3079" s="63"/>
      <c r="K3079" s="61" t="str">
        <f aca="false">IF($P3079=0,"",IF($F3079="Baseline","— Baseline",IF($O3079=0,"No result",IF($N3079=0,"No Start (attainment only)",IF(OR($N3079=1,$O3079=1),"U – needs rule",INDEX(MxBody,MATCH($I3079,MxCurr,0),MATCH($H3079,MxStart,0)))))))</f>
        <v/>
      </c>
      <c r="L3079" s="62" t="str">
        <f aca="false">IF(COUNTA($A3079,$F3079,$G3079,$H3079,$I3079,$J3079)=0,"",IF($M3079=0,"✖ كود الصف غير موجود",IF(ISNA(MATCH($F3079,Lists!$A$2:$A$5,0)),"✖ الفترة غير صحيحة",IF(ISNA(MATCH($G3079,Lists!$B$2:$B$7,0)),"✖ المجموعة غير صحيحة",IF(NOT(OR($H3079="",$N3079&gt;0)),"✖ Start غير صحيح",IF(NOT(OR($I3079="",$I3079="NR",$O3079&gt;0)),"✖ Current غير صحيح",IF(NOT(IF(ISNUMBER($J3079),AND($J3079&gt;=0,$J3079=INT($J3079)),FALSE())),"✖ العدد يجب أن يكون صحيحًا ≥ 0",IF(AND($F3079="Baseline",$H3079&lt;&gt;""),"⚠ Baseline: Start لا يدخل في التقدم",IF($K3079="No Start (attainment only)","ℹ تحصيل فقط (بدون Start)",IF($K3079="U – needs rule","ℹ حالة U تحتاج قاعدة معتمدة",IF($K3079="No result","ℹ بدون نتيجة (يُستبعد من التحصيل)","OK")))))))))))</f>
        <v/>
      </c>
      <c r="M3079" s="64" t="n">
        <f aca="false">IF($A3079="",0,IFERROR(MATCH($A3079,Classes!$A$6:$A$420,0),0))</f>
        <v>0</v>
      </c>
      <c r="N3079" s="64" t="n">
        <f aca="false">IF($H3079="",0,IFERROR(MATCH($H3079,GradeList,0),0))</f>
        <v>0</v>
      </c>
      <c r="O3079" s="64" t="n">
        <f aca="false">IF(OR($I3079="",$I3079="NR"),0,IFERROR(MATCH($I3079,GradeList,0),0))</f>
        <v>0</v>
      </c>
      <c r="P3079" s="64" t="n">
        <f aca="false">IF(AND($M3079&gt;0,ISNUMBER(MATCH($F3079,Lists!$A$2:$A$5,0)),ISNUMBER(MATCH($G3079,Lists!$B$2:$B$7,0)),OR($H3079="",$N3079&gt;0),OR($I3079="",$I3079="NR",$O3079&gt;0),IF(ISNUMBER($J3079),AND($J3079&gt;=0,$J3079=INT($J3079)),FALSE())),$J3079,0)</f>
        <v>0</v>
      </c>
      <c r="Q3079" s="64" t="n">
        <f aca="false">IF(AND($P3079&gt;0,$O3079&gt;0),$P3079,0)</f>
        <v>0</v>
      </c>
      <c r="R3079" s="64" t="n">
        <f aca="false">IF(AND($Q3079&gt;0,$O3079&gt;=AtRank),$Q3079,0)</f>
        <v>0</v>
      </c>
      <c r="S3079" s="64" t="n">
        <f aca="false">IF(AND($Q3079&gt;0,$O3079&gt;=AboveRank),$Q3079,0)</f>
        <v>0</v>
      </c>
      <c r="T3079" s="64" t="n">
        <f aca="false">IF($K3079="Less",$P3079,0)</f>
        <v>0</v>
      </c>
      <c r="U3079" s="64" t="n">
        <f aca="false">IF($K3079="Expected",$P3079,0)</f>
        <v>0</v>
      </c>
      <c r="V3079" s="64" t="n">
        <f aca="false">IF($K3079="Better",$P3079,0)</f>
        <v>0</v>
      </c>
      <c r="W3079" s="64" t="n">
        <f aca="false">IF($K3079="U – needs rule",$P3079,0)</f>
        <v>0</v>
      </c>
      <c r="X3079" s="64" t="n">
        <f aca="false">IF($K3079="No Start (attainment only)",$P3079,0)</f>
        <v>0</v>
      </c>
    </row>
    <row r="3080" customFormat="false" ht="15" hidden="false" customHeight="false" outlineLevel="0" collapsed="false">
      <c r="A3080" s="60"/>
      <c r="B3080" s="61" t="str">
        <f aca="false">IF($M3080=0,"",INDEX(Classes!$E$6:$E$420,$M3080))</f>
        <v/>
      </c>
      <c r="C3080" s="62" t="str">
        <f aca="false">IF($M3080=0,"",INDEX(Classes!$H$6:$H$420,$M3080))</f>
        <v/>
      </c>
      <c r="D3080" s="61" t="str">
        <f aca="false">IF($M3080=0,"",INDEX(Classes!$B$6:$B$420,$M3080))</f>
        <v/>
      </c>
      <c r="E3080" s="61" t="str">
        <f aca="false">IF($M3080=0,"",INDEX(Classes!$C$6:$C$420,$M3080))</f>
        <v/>
      </c>
      <c r="F3080" s="63"/>
      <c r="G3080" s="63"/>
      <c r="H3080" s="60"/>
      <c r="I3080" s="60"/>
      <c r="J3080" s="63"/>
      <c r="K3080" s="61" t="str">
        <f aca="false">IF($P3080=0,"",IF($F3080="Baseline","— Baseline",IF($O3080=0,"No result",IF($N3080=0,"No Start (attainment only)",IF(OR($N3080=1,$O3080=1),"U – needs rule",INDEX(MxBody,MATCH($I3080,MxCurr,0),MATCH($H3080,MxStart,0)))))))</f>
        <v/>
      </c>
      <c r="L3080" s="62" t="str">
        <f aca="false">IF(COUNTA($A3080,$F3080,$G3080,$H3080,$I3080,$J3080)=0,"",IF($M3080=0,"✖ كود الصف غير موجود",IF(ISNA(MATCH($F3080,Lists!$A$2:$A$5,0)),"✖ الفترة غير صحيحة",IF(ISNA(MATCH($G3080,Lists!$B$2:$B$7,0)),"✖ المجموعة غير صحيحة",IF(NOT(OR($H3080="",$N3080&gt;0)),"✖ Start غير صحيح",IF(NOT(OR($I3080="",$I3080="NR",$O3080&gt;0)),"✖ Current غير صحيح",IF(NOT(IF(ISNUMBER($J3080),AND($J3080&gt;=0,$J3080=INT($J3080)),FALSE())),"✖ العدد يجب أن يكون صحيحًا ≥ 0",IF(AND($F3080="Baseline",$H3080&lt;&gt;""),"⚠ Baseline: Start لا يدخل في التقدم",IF($K3080="No Start (attainment only)","ℹ تحصيل فقط (بدون Start)",IF($K3080="U – needs rule","ℹ حالة U تحتاج قاعدة معتمدة",IF($K3080="No result","ℹ بدون نتيجة (يُستبعد من التحصيل)","OK")))))))))))</f>
        <v/>
      </c>
      <c r="M3080" s="64" t="n">
        <f aca="false">IF($A3080="",0,IFERROR(MATCH($A3080,Classes!$A$6:$A$420,0),0))</f>
        <v>0</v>
      </c>
      <c r="N3080" s="64" t="n">
        <f aca="false">IF($H3080="",0,IFERROR(MATCH($H3080,GradeList,0),0))</f>
        <v>0</v>
      </c>
      <c r="O3080" s="64" t="n">
        <f aca="false">IF(OR($I3080="",$I3080="NR"),0,IFERROR(MATCH($I3080,GradeList,0),0))</f>
        <v>0</v>
      </c>
      <c r="P3080" s="64" t="n">
        <f aca="false">IF(AND($M3080&gt;0,ISNUMBER(MATCH($F3080,Lists!$A$2:$A$5,0)),ISNUMBER(MATCH($G3080,Lists!$B$2:$B$7,0)),OR($H3080="",$N3080&gt;0),OR($I3080="",$I3080="NR",$O3080&gt;0),IF(ISNUMBER($J3080),AND($J3080&gt;=0,$J3080=INT($J3080)),FALSE())),$J3080,0)</f>
        <v>0</v>
      </c>
      <c r="Q3080" s="64" t="n">
        <f aca="false">IF(AND($P3080&gt;0,$O3080&gt;0),$P3080,0)</f>
        <v>0</v>
      </c>
      <c r="R3080" s="64" t="n">
        <f aca="false">IF(AND($Q3080&gt;0,$O3080&gt;=AtRank),$Q3080,0)</f>
        <v>0</v>
      </c>
      <c r="S3080" s="64" t="n">
        <f aca="false">IF(AND($Q3080&gt;0,$O3080&gt;=AboveRank),$Q3080,0)</f>
        <v>0</v>
      </c>
      <c r="T3080" s="64" t="n">
        <f aca="false">IF($K3080="Less",$P3080,0)</f>
        <v>0</v>
      </c>
      <c r="U3080" s="64" t="n">
        <f aca="false">IF($K3080="Expected",$P3080,0)</f>
        <v>0</v>
      </c>
      <c r="V3080" s="64" t="n">
        <f aca="false">IF($K3080="Better",$P3080,0)</f>
        <v>0</v>
      </c>
      <c r="W3080" s="64" t="n">
        <f aca="false">IF($K3080="U – needs rule",$P3080,0)</f>
        <v>0</v>
      </c>
      <c r="X3080" s="64" t="n">
        <f aca="false">IF($K3080="No Start (attainment only)",$P3080,0)</f>
        <v>0</v>
      </c>
    </row>
    <row r="3081" customFormat="false" ht="15" hidden="false" customHeight="false" outlineLevel="0" collapsed="false">
      <c r="A3081" s="60"/>
      <c r="B3081" s="61" t="str">
        <f aca="false">IF($M3081=0,"",INDEX(Classes!$E$6:$E$420,$M3081))</f>
        <v/>
      </c>
      <c r="C3081" s="62" t="str">
        <f aca="false">IF($M3081=0,"",INDEX(Classes!$H$6:$H$420,$M3081))</f>
        <v/>
      </c>
      <c r="D3081" s="61" t="str">
        <f aca="false">IF($M3081=0,"",INDEX(Classes!$B$6:$B$420,$M3081))</f>
        <v/>
      </c>
      <c r="E3081" s="61" t="str">
        <f aca="false">IF($M3081=0,"",INDEX(Classes!$C$6:$C$420,$M3081))</f>
        <v/>
      </c>
      <c r="F3081" s="63"/>
      <c r="G3081" s="63"/>
      <c r="H3081" s="60"/>
      <c r="I3081" s="60"/>
      <c r="J3081" s="63"/>
      <c r="K3081" s="61" t="str">
        <f aca="false">IF($P3081=0,"",IF($F3081="Baseline","— Baseline",IF($O3081=0,"No result",IF($N3081=0,"No Start (attainment only)",IF(OR($N3081=1,$O3081=1),"U – needs rule",INDEX(MxBody,MATCH($I3081,MxCurr,0),MATCH($H3081,MxStart,0)))))))</f>
        <v/>
      </c>
      <c r="L3081" s="62" t="str">
        <f aca="false">IF(COUNTA($A3081,$F3081,$G3081,$H3081,$I3081,$J3081)=0,"",IF($M3081=0,"✖ كود الصف غير موجود",IF(ISNA(MATCH($F3081,Lists!$A$2:$A$5,0)),"✖ الفترة غير صحيحة",IF(ISNA(MATCH($G3081,Lists!$B$2:$B$7,0)),"✖ المجموعة غير صحيحة",IF(NOT(OR($H3081="",$N3081&gt;0)),"✖ Start غير صحيح",IF(NOT(OR($I3081="",$I3081="NR",$O3081&gt;0)),"✖ Current غير صحيح",IF(NOT(IF(ISNUMBER($J3081),AND($J3081&gt;=0,$J3081=INT($J3081)),FALSE())),"✖ العدد يجب أن يكون صحيحًا ≥ 0",IF(AND($F3081="Baseline",$H3081&lt;&gt;""),"⚠ Baseline: Start لا يدخل في التقدم",IF($K3081="No Start (attainment only)","ℹ تحصيل فقط (بدون Start)",IF($K3081="U – needs rule","ℹ حالة U تحتاج قاعدة معتمدة",IF($K3081="No result","ℹ بدون نتيجة (يُستبعد من التحصيل)","OK")))))))))))</f>
        <v/>
      </c>
      <c r="M3081" s="64" t="n">
        <f aca="false">IF($A3081="",0,IFERROR(MATCH($A3081,Classes!$A$6:$A$420,0),0))</f>
        <v>0</v>
      </c>
      <c r="N3081" s="64" t="n">
        <f aca="false">IF($H3081="",0,IFERROR(MATCH($H3081,GradeList,0),0))</f>
        <v>0</v>
      </c>
      <c r="O3081" s="64" t="n">
        <f aca="false">IF(OR($I3081="",$I3081="NR"),0,IFERROR(MATCH($I3081,GradeList,0),0))</f>
        <v>0</v>
      </c>
      <c r="P3081" s="64" t="n">
        <f aca="false">IF(AND($M3081&gt;0,ISNUMBER(MATCH($F3081,Lists!$A$2:$A$5,0)),ISNUMBER(MATCH($G3081,Lists!$B$2:$B$7,0)),OR($H3081="",$N3081&gt;0),OR($I3081="",$I3081="NR",$O3081&gt;0),IF(ISNUMBER($J3081),AND($J3081&gt;=0,$J3081=INT($J3081)),FALSE())),$J3081,0)</f>
        <v>0</v>
      </c>
      <c r="Q3081" s="64" t="n">
        <f aca="false">IF(AND($P3081&gt;0,$O3081&gt;0),$P3081,0)</f>
        <v>0</v>
      </c>
      <c r="R3081" s="64" t="n">
        <f aca="false">IF(AND($Q3081&gt;0,$O3081&gt;=AtRank),$Q3081,0)</f>
        <v>0</v>
      </c>
      <c r="S3081" s="64" t="n">
        <f aca="false">IF(AND($Q3081&gt;0,$O3081&gt;=AboveRank),$Q3081,0)</f>
        <v>0</v>
      </c>
      <c r="T3081" s="64" t="n">
        <f aca="false">IF($K3081="Less",$P3081,0)</f>
        <v>0</v>
      </c>
      <c r="U3081" s="64" t="n">
        <f aca="false">IF($K3081="Expected",$P3081,0)</f>
        <v>0</v>
      </c>
      <c r="V3081" s="64" t="n">
        <f aca="false">IF($K3081="Better",$P3081,0)</f>
        <v>0</v>
      </c>
      <c r="W3081" s="64" t="n">
        <f aca="false">IF($K3081="U – needs rule",$P3081,0)</f>
        <v>0</v>
      </c>
      <c r="X3081" s="64" t="n">
        <f aca="false">IF($K3081="No Start (attainment only)",$P3081,0)</f>
        <v>0</v>
      </c>
    </row>
    <row r="3082" customFormat="false" ht="15" hidden="false" customHeight="false" outlineLevel="0" collapsed="false">
      <c r="A3082" s="60"/>
      <c r="B3082" s="61" t="str">
        <f aca="false">IF($M3082=0,"",INDEX(Classes!$E$6:$E$420,$M3082))</f>
        <v/>
      </c>
      <c r="C3082" s="62" t="str">
        <f aca="false">IF($M3082=0,"",INDEX(Classes!$H$6:$H$420,$M3082))</f>
        <v/>
      </c>
      <c r="D3082" s="61" t="str">
        <f aca="false">IF($M3082=0,"",INDEX(Classes!$B$6:$B$420,$M3082))</f>
        <v/>
      </c>
      <c r="E3082" s="61" t="str">
        <f aca="false">IF($M3082=0,"",INDEX(Classes!$C$6:$C$420,$M3082))</f>
        <v/>
      </c>
      <c r="F3082" s="63"/>
      <c r="G3082" s="63"/>
      <c r="H3082" s="60"/>
      <c r="I3082" s="60"/>
      <c r="J3082" s="63"/>
      <c r="K3082" s="61" t="str">
        <f aca="false">IF($P3082=0,"",IF($F3082="Baseline","— Baseline",IF($O3082=0,"No result",IF($N3082=0,"No Start (attainment only)",IF(OR($N3082=1,$O3082=1),"U – needs rule",INDEX(MxBody,MATCH($I3082,MxCurr,0),MATCH($H3082,MxStart,0)))))))</f>
        <v/>
      </c>
      <c r="L3082" s="62" t="str">
        <f aca="false">IF(COUNTA($A3082,$F3082,$G3082,$H3082,$I3082,$J3082)=0,"",IF($M3082=0,"✖ كود الصف غير موجود",IF(ISNA(MATCH($F3082,Lists!$A$2:$A$5,0)),"✖ الفترة غير صحيحة",IF(ISNA(MATCH($G3082,Lists!$B$2:$B$7,0)),"✖ المجموعة غير صحيحة",IF(NOT(OR($H3082="",$N3082&gt;0)),"✖ Start غير صحيح",IF(NOT(OR($I3082="",$I3082="NR",$O3082&gt;0)),"✖ Current غير صحيح",IF(NOT(IF(ISNUMBER($J3082),AND($J3082&gt;=0,$J3082=INT($J3082)),FALSE())),"✖ العدد يجب أن يكون صحيحًا ≥ 0",IF(AND($F3082="Baseline",$H3082&lt;&gt;""),"⚠ Baseline: Start لا يدخل في التقدم",IF($K3082="No Start (attainment only)","ℹ تحصيل فقط (بدون Start)",IF($K3082="U – needs rule","ℹ حالة U تحتاج قاعدة معتمدة",IF($K3082="No result","ℹ بدون نتيجة (يُستبعد من التحصيل)","OK")))))))))))</f>
        <v/>
      </c>
      <c r="M3082" s="64" t="n">
        <f aca="false">IF($A3082="",0,IFERROR(MATCH($A3082,Classes!$A$6:$A$420,0),0))</f>
        <v>0</v>
      </c>
      <c r="N3082" s="64" t="n">
        <f aca="false">IF($H3082="",0,IFERROR(MATCH($H3082,GradeList,0),0))</f>
        <v>0</v>
      </c>
      <c r="O3082" s="64" t="n">
        <f aca="false">IF(OR($I3082="",$I3082="NR"),0,IFERROR(MATCH($I3082,GradeList,0),0))</f>
        <v>0</v>
      </c>
      <c r="P3082" s="64" t="n">
        <f aca="false">IF(AND($M3082&gt;0,ISNUMBER(MATCH($F3082,Lists!$A$2:$A$5,0)),ISNUMBER(MATCH($G3082,Lists!$B$2:$B$7,0)),OR($H3082="",$N3082&gt;0),OR($I3082="",$I3082="NR",$O3082&gt;0),IF(ISNUMBER($J3082),AND($J3082&gt;=0,$J3082=INT($J3082)),FALSE())),$J3082,0)</f>
        <v>0</v>
      </c>
      <c r="Q3082" s="64" t="n">
        <f aca="false">IF(AND($P3082&gt;0,$O3082&gt;0),$P3082,0)</f>
        <v>0</v>
      </c>
      <c r="R3082" s="64" t="n">
        <f aca="false">IF(AND($Q3082&gt;0,$O3082&gt;=AtRank),$Q3082,0)</f>
        <v>0</v>
      </c>
      <c r="S3082" s="64" t="n">
        <f aca="false">IF(AND($Q3082&gt;0,$O3082&gt;=AboveRank),$Q3082,0)</f>
        <v>0</v>
      </c>
      <c r="T3082" s="64" t="n">
        <f aca="false">IF($K3082="Less",$P3082,0)</f>
        <v>0</v>
      </c>
      <c r="U3082" s="64" t="n">
        <f aca="false">IF($K3082="Expected",$P3082,0)</f>
        <v>0</v>
      </c>
      <c r="V3082" s="64" t="n">
        <f aca="false">IF($K3082="Better",$P3082,0)</f>
        <v>0</v>
      </c>
      <c r="W3082" s="64" t="n">
        <f aca="false">IF($K3082="U – needs rule",$P3082,0)</f>
        <v>0</v>
      </c>
      <c r="X3082" s="64" t="n">
        <f aca="false">IF($K3082="No Start (attainment only)",$P3082,0)</f>
        <v>0</v>
      </c>
    </row>
    <row r="3083" customFormat="false" ht="15" hidden="false" customHeight="false" outlineLevel="0" collapsed="false">
      <c r="A3083" s="60"/>
      <c r="B3083" s="61" t="str">
        <f aca="false">IF($M3083=0,"",INDEX(Classes!$E$6:$E$420,$M3083))</f>
        <v/>
      </c>
      <c r="C3083" s="62" t="str">
        <f aca="false">IF($M3083=0,"",INDEX(Classes!$H$6:$H$420,$M3083))</f>
        <v/>
      </c>
      <c r="D3083" s="61" t="str">
        <f aca="false">IF($M3083=0,"",INDEX(Classes!$B$6:$B$420,$M3083))</f>
        <v/>
      </c>
      <c r="E3083" s="61" t="str">
        <f aca="false">IF($M3083=0,"",INDEX(Classes!$C$6:$C$420,$M3083))</f>
        <v/>
      </c>
      <c r="F3083" s="63"/>
      <c r="G3083" s="63"/>
      <c r="H3083" s="60"/>
      <c r="I3083" s="60"/>
      <c r="J3083" s="63"/>
      <c r="K3083" s="61" t="str">
        <f aca="false">IF($P3083=0,"",IF($F3083="Baseline","— Baseline",IF($O3083=0,"No result",IF($N3083=0,"No Start (attainment only)",IF(OR($N3083=1,$O3083=1),"U – needs rule",INDEX(MxBody,MATCH($I3083,MxCurr,0),MATCH($H3083,MxStart,0)))))))</f>
        <v/>
      </c>
      <c r="L3083" s="62" t="str">
        <f aca="false">IF(COUNTA($A3083,$F3083,$G3083,$H3083,$I3083,$J3083)=0,"",IF($M3083=0,"✖ كود الصف غير موجود",IF(ISNA(MATCH($F3083,Lists!$A$2:$A$5,0)),"✖ الفترة غير صحيحة",IF(ISNA(MATCH($G3083,Lists!$B$2:$B$7,0)),"✖ المجموعة غير صحيحة",IF(NOT(OR($H3083="",$N3083&gt;0)),"✖ Start غير صحيح",IF(NOT(OR($I3083="",$I3083="NR",$O3083&gt;0)),"✖ Current غير صحيح",IF(NOT(IF(ISNUMBER($J3083),AND($J3083&gt;=0,$J3083=INT($J3083)),FALSE())),"✖ العدد يجب أن يكون صحيحًا ≥ 0",IF(AND($F3083="Baseline",$H3083&lt;&gt;""),"⚠ Baseline: Start لا يدخل في التقدم",IF($K3083="No Start (attainment only)","ℹ تحصيل فقط (بدون Start)",IF($K3083="U – needs rule","ℹ حالة U تحتاج قاعدة معتمدة",IF($K3083="No result","ℹ بدون نتيجة (يُستبعد من التحصيل)","OK")))))))))))</f>
        <v/>
      </c>
      <c r="M3083" s="64" t="n">
        <f aca="false">IF($A3083="",0,IFERROR(MATCH($A3083,Classes!$A$6:$A$420,0),0))</f>
        <v>0</v>
      </c>
      <c r="N3083" s="64" t="n">
        <f aca="false">IF($H3083="",0,IFERROR(MATCH($H3083,GradeList,0),0))</f>
        <v>0</v>
      </c>
      <c r="O3083" s="64" t="n">
        <f aca="false">IF(OR($I3083="",$I3083="NR"),0,IFERROR(MATCH($I3083,GradeList,0),0))</f>
        <v>0</v>
      </c>
      <c r="P3083" s="64" t="n">
        <f aca="false">IF(AND($M3083&gt;0,ISNUMBER(MATCH($F3083,Lists!$A$2:$A$5,0)),ISNUMBER(MATCH($G3083,Lists!$B$2:$B$7,0)),OR($H3083="",$N3083&gt;0),OR($I3083="",$I3083="NR",$O3083&gt;0),IF(ISNUMBER($J3083),AND($J3083&gt;=0,$J3083=INT($J3083)),FALSE())),$J3083,0)</f>
        <v>0</v>
      </c>
      <c r="Q3083" s="64" t="n">
        <f aca="false">IF(AND($P3083&gt;0,$O3083&gt;0),$P3083,0)</f>
        <v>0</v>
      </c>
      <c r="R3083" s="64" t="n">
        <f aca="false">IF(AND($Q3083&gt;0,$O3083&gt;=AtRank),$Q3083,0)</f>
        <v>0</v>
      </c>
      <c r="S3083" s="64" t="n">
        <f aca="false">IF(AND($Q3083&gt;0,$O3083&gt;=AboveRank),$Q3083,0)</f>
        <v>0</v>
      </c>
      <c r="T3083" s="64" t="n">
        <f aca="false">IF($K3083="Less",$P3083,0)</f>
        <v>0</v>
      </c>
      <c r="U3083" s="64" t="n">
        <f aca="false">IF($K3083="Expected",$P3083,0)</f>
        <v>0</v>
      </c>
      <c r="V3083" s="64" t="n">
        <f aca="false">IF($K3083="Better",$P3083,0)</f>
        <v>0</v>
      </c>
      <c r="W3083" s="64" t="n">
        <f aca="false">IF($K3083="U – needs rule",$P3083,0)</f>
        <v>0</v>
      </c>
      <c r="X3083" s="64" t="n">
        <f aca="false">IF($K3083="No Start (attainment only)",$P3083,0)</f>
        <v>0</v>
      </c>
    </row>
    <row r="3084" customFormat="false" ht="15" hidden="false" customHeight="false" outlineLevel="0" collapsed="false">
      <c r="A3084" s="60"/>
      <c r="B3084" s="61" t="str">
        <f aca="false">IF($M3084=0,"",INDEX(Classes!$E$6:$E$420,$M3084))</f>
        <v/>
      </c>
      <c r="C3084" s="62" t="str">
        <f aca="false">IF($M3084=0,"",INDEX(Classes!$H$6:$H$420,$M3084))</f>
        <v/>
      </c>
      <c r="D3084" s="61" t="str">
        <f aca="false">IF($M3084=0,"",INDEX(Classes!$B$6:$B$420,$M3084))</f>
        <v/>
      </c>
      <c r="E3084" s="61" t="str">
        <f aca="false">IF($M3084=0,"",INDEX(Classes!$C$6:$C$420,$M3084))</f>
        <v/>
      </c>
      <c r="F3084" s="63"/>
      <c r="G3084" s="63"/>
      <c r="H3084" s="60"/>
      <c r="I3084" s="60"/>
      <c r="J3084" s="63"/>
      <c r="K3084" s="61" t="str">
        <f aca="false">IF($P3084=0,"",IF($F3084="Baseline","— Baseline",IF($O3084=0,"No result",IF($N3084=0,"No Start (attainment only)",IF(OR($N3084=1,$O3084=1),"U – needs rule",INDEX(MxBody,MATCH($I3084,MxCurr,0),MATCH($H3084,MxStart,0)))))))</f>
        <v/>
      </c>
      <c r="L3084" s="62" t="str">
        <f aca="false">IF(COUNTA($A3084,$F3084,$G3084,$H3084,$I3084,$J3084)=0,"",IF($M3084=0,"✖ كود الصف غير موجود",IF(ISNA(MATCH($F3084,Lists!$A$2:$A$5,0)),"✖ الفترة غير صحيحة",IF(ISNA(MATCH($G3084,Lists!$B$2:$B$7,0)),"✖ المجموعة غير صحيحة",IF(NOT(OR($H3084="",$N3084&gt;0)),"✖ Start غير صحيح",IF(NOT(OR($I3084="",$I3084="NR",$O3084&gt;0)),"✖ Current غير صحيح",IF(NOT(IF(ISNUMBER($J3084),AND($J3084&gt;=0,$J3084=INT($J3084)),FALSE())),"✖ العدد يجب أن يكون صحيحًا ≥ 0",IF(AND($F3084="Baseline",$H3084&lt;&gt;""),"⚠ Baseline: Start لا يدخل في التقدم",IF($K3084="No Start (attainment only)","ℹ تحصيل فقط (بدون Start)",IF($K3084="U – needs rule","ℹ حالة U تحتاج قاعدة معتمدة",IF($K3084="No result","ℹ بدون نتيجة (يُستبعد من التحصيل)","OK")))))))))))</f>
        <v/>
      </c>
      <c r="M3084" s="64" t="n">
        <f aca="false">IF($A3084="",0,IFERROR(MATCH($A3084,Classes!$A$6:$A$420,0),0))</f>
        <v>0</v>
      </c>
      <c r="N3084" s="64" t="n">
        <f aca="false">IF($H3084="",0,IFERROR(MATCH($H3084,GradeList,0),0))</f>
        <v>0</v>
      </c>
      <c r="O3084" s="64" t="n">
        <f aca="false">IF(OR($I3084="",$I3084="NR"),0,IFERROR(MATCH($I3084,GradeList,0),0))</f>
        <v>0</v>
      </c>
      <c r="P3084" s="64" t="n">
        <f aca="false">IF(AND($M3084&gt;0,ISNUMBER(MATCH($F3084,Lists!$A$2:$A$5,0)),ISNUMBER(MATCH($G3084,Lists!$B$2:$B$7,0)),OR($H3084="",$N3084&gt;0),OR($I3084="",$I3084="NR",$O3084&gt;0),IF(ISNUMBER($J3084),AND($J3084&gt;=0,$J3084=INT($J3084)),FALSE())),$J3084,0)</f>
        <v>0</v>
      </c>
      <c r="Q3084" s="64" t="n">
        <f aca="false">IF(AND($P3084&gt;0,$O3084&gt;0),$P3084,0)</f>
        <v>0</v>
      </c>
      <c r="R3084" s="64" t="n">
        <f aca="false">IF(AND($Q3084&gt;0,$O3084&gt;=AtRank),$Q3084,0)</f>
        <v>0</v>
      </c>
      <c r="S3084" s="64" t="n">
        <f aca="false">IF(AND($Q3084&gt;0,$O3084&gt;=AboveRank),$Q3084,0)</f>
        <v>0</v>
      </c>
      <c r="T3084" s="64" t="n">
        <f aca="false">IF($K3084="Less",$P3084,0)</f>
        <v>0</v>
      </c>
      <c r="U3084" s="64" t="n">
        <f aca="false">IF($K3084="Expected",$P3084,0)</f>
        <v>0</v>
      </c>
      <c r="V3084" s="64" t="n">
        <f aca="false">IF($K3084="Better",$P3084,0)</f>
        <v>0</v>
      </c>
      <c r="W3084" s="64" t="n">
        <f aca="false">IF($K3084="U – needs rule",$P3084,0)</f>
        <v>0</v>
      </c>
      <c r="X3084" s="64" t="n">
        <f aca="false">IF($K3084="No Start (attainment only)",$P3084,0)</f>
        <v>0</v>
      </c>
    </row>
    <row r="3085" customFormat="false" ht="15" hidden="false" customHeight="false" outlineLevel="0" collapsed="false">
      <c r="A3085" s="60"/>
      <c r="B3085" s="61" t="str">
        <f aca="false">IF($M3085=0,"",INDEX(Classes!$E$6:$E$420,$M3085))</f>
        <v/>
      </c>
      <c r="C3085" s="62" t="str">
        <f aca="false">IF($M3085=0,"",INDEX(Classes!$H$6:$H$420,$M3085))</f>
        <v/>
      </c>
      <c r="D3085" s="61" t="str">
        <f aca="false">IF($M3085=0,"",INDEX(Classes!$B$6:$B$420,$M3085))</f>
        <v/>
      </c>
      <c r="E3085" s="61" t="str">
        <f aca="false">IF($M3085=0,"",INDEX(Classes!$C$6:$C$420,$M3085))</f>
        <v/>
      </c>
      <c r="F3085" s="63"/>
      <c r="G3085" s="63"/>
      <c r="H3085" s="60"/>
      <c r="I3085" s="60"/>
      <c r="J3085" s="63"/>
      <c r="K3085" s="61" t="str">
        <f aca="false">IF($P3085=0,"",IF($F3085="Baseline","— Baseline",IF($O3085=0,"No result",IF($N3085=0,"No Start (attainment only)",IF(OR($N3085=1,$O3085=1),"U – needs rule",INDEX(MxBody,MATCH($I3085,MxCurr,0),MATCH($H3085,MxStart,0)))))))</f>
        <v/>
      </c>
      <c r="L3085" s="62" t="str">
        <f aca="false">IF(COUNTA($A3085,$F3085,$G3085,$H3085,$I3085,$J3085)=0,"",IF($M3085=0,"✖ كود الصف غير موجود",IF(ISNA(MATCH($F3085,Lists!$A$2:$A$5,0)),"✖ الفترة غير صحيحة",IF(ISNA(MATCH($G3085,Lists!$B$2:$B$7,0)),"✖ المجموعة غير صحيحة",IF(NOT(OR($H3085="",$N3085&gt;0)),"✖ Start غير صحيح",IF(NOT(OR($I3085="",$I3085="NR",$O3085&gt;0)),"✖ Current غير صحيح",IF(NOT(IF(ISNUMBER($J3085),AND($J3085&gt;=0,$J3085=INT($J3085)),FALSE())),"✖ العدد يجب أن يكون صحيحًا ≥ 0",IF(AND($F3085="Baseline",$H3085&lt;&gt;""),"⚠ Baseline: Start لا يدخل في التقدم",IF($K3085="No Start (attainment only)","ℹ تحصيل فقط (بدون Start)",IF($K3085="U – needs rule","ℹ حالة U تحتاج قاعدة معتمدة",IF($K3085="No result","ℹ بدون نتيجة (يُستبعد من التحصيل)","OK")))))))))))</f>
        <v/>
      </c>
      <c r="M3085" s="64" t="n">
        <f aca="false">IF($A3085="",0,IFERROR(MATCH($A3085,Classes!$A$6:$A$420,0),0))</f>
        <v>0</v>
      </c>
      <c r="N3085" s="64" t="n">
        <f aca="false">IF($H3085="",0,IFERROR(MATCH($H3085,GradeList,0),0))</f>
        <v>0</v>
      </c>
      <c r="O3085" s="64" t="n">
        <f aca="false">IF(OR($I3085="",$I3085="NR"),0,IFERROR(MATCH($I3085,GradeList,0),0))</f>
        <v>0</v>
      </c>
      <c r="P3085" s="64" t="n">
        <f aca="false">IF(AND($M3085&gt;0,ISNUMBER(MATCH($F3085,Lists!$A$2:$A$5,0)),ISNUMBER(MATCH($G3085,Lists!$B$2:$B$7,0)),OR($H3085="",$N3085&gt;0),OR($I3085="",$I3085="NR",$O3085&gt;0),IF(ISNUMBER($J3085),AND($J3085&gt;=0,$J3085=INT($J3085)),FALSE())),$J3085,0)</f>
        <v>0</v>
      </c>
      <c r="Q3085" s="64" t="n">
        <f aca="false">IF(AND($P3085&gt;0,$O3085&gt;0),$P3085,0)</f>
        <v>0</v>
      </c>
      <c r="R3085" s="64" t="n">
        <f aca="false">IF(AND($Q3085&gt;0,$O3085&gt;=AtRank),$Q3085,0)</f>
        <v>0</v>
      </c>
      <c r="S3085" s="64" t="n">
        <f aca="false">IF(AND($Q3085&gt;0,$O3085&gt;=AboveRank),$Q3085,0)</f>
        <v>0</v>
      </c>
      <c r="T3085" s="64" t="n">
        <f aca="false">IF($K3085="Less",$P3085,0)</f>
        <v>0</v>
      </c>
      <c r="U3085" s="64" t="n">
        <f aca="false">IF($K3085="Expected",$P3085,0)</f>
        <v>0</v>
      </c>
      <c r="V3085" s="64" t="n">
        <f aca="false">IF($K3085="Better",$P3085,0)</f>
        <v>0</v>
      </c>
      <c r="W3085" s="64" t="n">
        <f aca="false">IF($K3085="U – needs rule",$P3085,0)</f>
        <v>0</v>
      </c>
      <c r="X3085" s="64" t="n">
        <f aca="false">IF($K3085="No Start (attainment only)",$P3085,0)</f>
        <v>0</v>
      </c>
    </row>
    <row r="3086" customFormat="false" ht="15" hidden="false" customHeight="false" outlineLevel="0" collapsed="false">
      <c r="A3086" s="60"/>
      <c r="B3086" s="61" t="str">
        <f aca="false">IF($M3086=0,"",INDEX(Classes!$E$6:$E$420,$M3086))</f>
        <v/>
      </c>
      <c r="C3086" s="62" t="str">
        <f aca="false">IF($M3086=0,"",INDEX(Classes!$H$6:$H$420,$M3086))</f>
        <v/>
      </c>
      <c r="D3086" s="61" t="str">
        <f aca="false">IF($M3086=0,"",INDEX(Classes!$B$6:$B$420,$M3086))</f>
        <v/>
      </c>
      <c r="E3086" s="61" t="str">
        <f aca="false">IF($M3086=0,"",INDEX(Classes!$C$6:$C$420,$M3086))</f>
        <v/>
      </c>
      <c r="F3086" s="63"/>
      <c r="G3086" s="63"/>
      <c r="H3086" s="60"/>
      <c r="I3086" s="60"/>
      <c r="J3086" s="63"/>
      <c r="K3086" s="61" t="str">
        <f aca="false">IF($P3086=0,"",IF($F3086="Baseline","— Baseline",IF($O3086=0,"No result",IF($N3086=0,"No Start (attainment only)",IF(OR($N3086=1,$O3086=1),"U – needs rule",INDEX(MxBody,MATCH($I3086,MxCurr,0),MATCH($H3086,MxStart,0)))))))</f>
        <v/>
      </c>
      <c r="L3086" s="62" t="str">
        <f aca="false">IF(COUNTA($A3086,$F3086,$G3086,$H3086,$I3086,$J3086)=0,"",IF($M3086=0,"✖ كود الصف غير موجود",IF(ISNA(MATCH($F3086,Lists!$A$2:$A$5,0)),"✖ الفترة غير صحيحة",IF(ISNA(MATCH($G3086,Lists!$B$2:$B$7,0)),"✖ المجموعة غير صحيحة",IF(NOT(OR($H3086="",$N3086&gt;0)),"✖ Start غير صحيح",IF(NOT(OR($I3086="",$I3086="NR",$O3086&gt;0)),"✖ Current غير صحيح",IF(NOT(IF(ISNUMBER($J3086),AND($J3086&gt;=0,$J3086=INT($J3086)),FALSE())),"✖ العدد يجب أن يكون صحيحًا ≥ 0",IF(AND($F3086="Baseline",$H3086&lt;&gt;""),"⚠ Baseline: Start لا يدخل في التقدم",IF($K3086="No Start (attainment only)","ℹ تحصيل فقط (بدون Start)",IF($K3086="U – needs rule","ℹ حالة U تحتاج قاعدة معتمدة",IF($K3086="No result","ℹ بدون نتيجة (يُستبعد من التحصيل)","OK")))))))))))</f>
        <v/>
      </c>
      <c r="M3086" s="64" t="n">
        <f aca="false">IF($A3086="",0,IFERROR(MATCH($A3086,Classes!$A$6:$A$420,0),0))</f>
        <v>0</v>
      </c>
      <c r="N3086" s="64" t="n">
        <f aca="false">IF($H3086="",0,IFERROR(MATCH($H3086,GradeList,0),0))</f>
        <v>0</v>
      </c>
      <c r="O3086" s="64" t="n">
        <f aca="false">IF(OR($I3086="",$I3086="NR"),0,IFERROR(MATCH($I3086,GradeList,0),0))</f>
        <v>0</v>
      </c>
      <c r="P3086" s="64" t="n">
        <f aca="false">IF(AND($M3086&gt;0,ISNUMBER(MATCH($F3086,Lists!$A$2:$A$5,0)),ISNUMBER(MATCH($G3086,Lists!$B$2:$B$7,0)),OR($H3086="",$N3086&gt;0),OR($I3086="",$I3086="NR",$O3086&gt;0),IF(ISNUMBER($J3086),AND($J3086&gt;=0,$J3086=INT($J3086)),FALSE())),$J3086,0)</f>
        <v>0</v>
      </c>
      <c r="Q3086" s="64" t="n">
        <f aca="false">IF(AND($P3086&gt;0,$O3086&gt;0),$P3086,0)</f>
        <v>0</v>
      </c>
      <c r="R3086" s="64" t="n">
        <f aca="false">IF(AND($Q3086&gt;0,$O3086&gt;=AtRank),$Q3086,0)</f>
        <v>0</v>
      </c>
      <c r="S3086" s="64" t="n">
        <f aca="false">IF(AND($Q3086&gt;0,$O3086&gt;=AboveRank),$Q3086,0)</f>
        <v>0</v>
      </c>
      <c r="T3086" s="64" t="n">
        <f aca="false">IF($K3086="Less",$P3086,0)</f>
        <v>0</v>
      </c>
      <c r="U3086" s="64" t="n">
        <f aca="false">IF($K3086="Expected",$P3086,0)</f>
        <v>0</v>
      </c>
      <c r="V3086" s="64" t="n">
        <f aca="false">IF($K3086="Better",$P3086,0)</f>
        <v>0</v>
      </c>
      <c r="W3086" s="64" t="n">
        <f aca="false">IF($K3086="U – needs rule",$P3086,0)</f>
        <v>0</v>
      </c>
      <c r="X3086" s="64" t="n">
        <f aca="false">IF($K3086="No Start (attainment only)",$P3086,0)</f>
        <v>0</v>
      </c>
    </row>
    <row r="3087" customFormat="false" ht="15" hidden="false" customHeight="false" outlineLevel="0" collapsed="false">
      <c r="A3087" s="60"/>
      <c r="B3087" s="61" t="str">
        <f aca="false">IF($M3087=0,"",INDEX(Classes!$E$6:$E$420,$M3087))</f>
        <v/>
      </c>
      <c r="C3087" s="62" t="str">
        <f aca="false">IF($M3087=0,"",INDEX(Classes!$H$6:$H$420,$M3087))</f>
        <v/>
      </c>
      <c r="D3087" s="61" t="str">
        <f aca="false">IF($M3087=0,"",INDEX(Classes!$B$6:$B$420,$M3087))</f>
        <v/>
      </c>
      <c r="E3087" s="61" t="str">
        <f aca="false">IF($M3087=0,"",INDEX(Classes!$C$6:$C$420,$M3087))</f>
        <v/>
      </c>
      <c r="F3087" s="63"/>
      <c r="G3087" s="63"/>
      <c r="H3087" s="60"/>
      <c r="I3087" s="60"/>
      <c r="J3087" s="63"/>
      <c r="K3087" s="61" t="str">
        <f aca="false">IF($P3087=0,"",IF($F3087="Baseline","— Baseline",IF($O3087=0,"No result",IF($N3087=0,"No Start (attainment only)",IF(OR($N3087=1,$O3087=1),"U – needs rule",INDEX(MxBody,MATCH($I3087,MxCurr,0),MATCH($H3087,MxStart,0)))))))</f>
        <v/>
      </c>
      <c r="L3087" s="62" t="str">
        <f aca="false">IF(COUNTA($A3087,$F3087,$G3087,$H3087,$I3087,$J3087)=0,"",IF($M3087=0,"✖ كود الصف غير موجود",IF(ISNA(MATCH($F3087,Lists!$A$2:$A$5,0)),"✖ الفترة غير صحيحة",IF(ISNA(MATCH($G3087,Lists!$B$2:$B$7,0)),"✖ المجموعة غير صحيحة",IF(NOT(OR($H3087="",$N3087&gt;0)),"✖ Start غير صحيح",IF(NOT(OR($I3087="",$I3087="NR",$O3087&gt;0)),"✖ Current غير صحيح",IF(NOT(IF(ISNUMBER($J3087),AND($J3087&gt;=0,$J3087=INT($J3087)),FALSE())),"✖ العدد يجب أن يكون صحيحًا ≥ 0",IF(AND($F3087="Baseline",$H3087&lt;&gt;""),"⚠ Baseline: Start لا يدخل في التقدم",IF($K3087="No Start (attainment only)","ℹ تحصيل فقط (بدون Start)",IF($K3087="U – needs rule","ℹ حالة U تحتاج قاعدة معتمدة",IF($K3087="No result","ℹ بدون نتيجة (يُستبعد من التحصيل)","OK")))))))))))</f>
        <v/>
      </c>
      <c r="M3087" s="64" t="n">
        <f aca="false">IF($A3087="",0,IFERROR(MATCH($A3087,Classes!$A$6:$A$420,0),0))</f>
        <v>0</v>
      </c>
      <c r="N3087" s="64" t="n">
        <f aca="false">IF($H3087="",0,IFERROR(MATCH($H3087,GradeList,0),0))</f>
        <v>0</v>
      </c>
      <c r="O3087" s="64" t="n">
        <f aca="false">IF(OR($I3087="",$I3087="NR"),0,IFERROR(MATCH($I3087,GradeList,0),0))</f>
        <v>0</v>
      </c>
      <c r="P3087" s="64" t="n">
        <f aca="false">IF(AND($M3087&gt;0,ISNUMBER(MATCH($F3087,Lists!$A$2:$A$5,0)),ISNUMBER(MATCH($G3087,Lists!$B$2:$B$7,0)),OR($H3087="",$N3087&gt;0),OR($I3087="",$I3087="NR",$O3087&gt;0),IF(ISNUMBER($J3087),AND($J3087&gt;=0,$J3087=INT($J3087)),FALSE())),$J3087,0)</f>
        <v>0</v>
      </c>
      <c r="Q3087" s="64" t="n">
        <f aca="false">IF(AND($P3087&gt;0,$O3087&gt;0),$P3087,0)</f>
        <v>0</v>
      </c>
      <c r="R3087" s="64" t="n">
        <f aca="false">IF(AND($Q3087&gt;0,$O3087&gt;=AtRank),$Q3087,0)</f>
        <v>0</v>
      </c>
      <c r="S3087" s="64" t="n">
        <f aca="false">IF(AND($Q3087&gt;0,$O3087&gt;=AboveRank),$Q3087,0)</f>
        <v>0</v>
      </c>
      <c r="T3087" s="64" t="n">
        <f aca="false">IF($K3087="Less",$P3087,0)</f>
        <v>0</v>
      </c>
      <c r="U3087" s="64" t="n">
        <f aca="false">IF($K3087="Expected",$P3087,0)</f>
        <v>0</v>
      </c>
      <c r="V3087" s="64" t="n">
        <f aca="false">IF($K3087="Better",$P3087,0)</f>
        <v>0</v>
      </c>
      <c r="W3087" s="64" t="n">
        <f aca="false">IF($K3087="U – needs rule",$P3087,0)</f>
        <v>0</v>
      </c>
      <c r="X3087" s="64" t="n">
        <f aca="false">IF($K3087="No Start (attainment only)",$P3087,0)</f>
        <v>0</v>
      </c>
    </row>
    <row r="3088" customFormat="false" ht="15" hidden="false" customHeight="false" outlineLevel="0" collapsed="false">
      <c r="A3088" s="60"/>
      <c r="B3088" s="61" t="str">
        <f aca="false">IF($M3088=0,"",INDEX(Classes!$E$6:$E$420,$M3088))</f>
        <v/>
      </c>
      <c r="C3088" s="62" t="str">
        <f aca="false">IF($M3088=0,"",INDEX(Classes!$H$6:$H$420,$M3088))</f>
        <v/>
      </c>
      <c r="D3088" s="61" t="str">
        <f aca="false">IF($M3088=0,"",INDEX(Classes!$B$6:$B$420,$M3088))</f>
        <v/>
      </c>
      <c r="E3088" s="61" t="str">
        <f aca="false">IF($M3088=0,"",INDEX(Classes!$C$6:$C$420,$M3088))</f>
        <v/>
      </c>
      <c r="F3088" s="63"/>
      <c r="G3088" s="63"/>
      <c r="H3088" s="60"/>
      <c r="I3088" s="60"/>
      <c r="J3088" s="63"/>
      <c r="K3088" s="61" t="str">
        <f aca="false">IF($P3088=0,"",IF($F3088="Baseline","— Baseline",IF($O3088=0,"No result",IF($N3088=0,"No Start (attainment only)",IF(OR($N3088=1,$O3088=1),"U – needs rule",INDEX(MxBody,MATCH($I3088,MxCurr,0),MATCH($H3088,MxStart,0)))))))</f>
        <v/>
      </c>
      <c r="L3088" s="62" t="str">
        <f aca="false">IF(COUNTA($A3088,$F3088,$G3088,$H3088,$I3088,$J3088)=0,"",IF($M3088=0,"✖ كود الصف غير موجود",IF(ISNA(MATCH($F3088,Lists!$A$2:$A$5,0)),"✖ الفترة غير صحيحة",IF(ISNA(MATCH($G3088,Lists!$B$2:$B$7,0)),"✖ المجموعة غير صحيحة",IF(NOT(OR($H3088="",$N3088&gt;0)),"✖ Start غير صحيح",IF(NOT(OR($I3088="",$I3088="NR",$O3088&gt;0)),"✖ Current غير صحيح",IF(NOT(IF(ISNUMBER($J3088),AND($J3088&gt;=0,$J3088=INT($J3088)),FALSE())),"✖ العدد يجب أن يكون صحيحًا ≥ 0",IF(AND($F3088="Baseline",$H3088&lt;&gt;""),"⚠ Baseline: Start لا يدخل في التقدم",IF($K3088="No Start (attainment only)","ℹ تحصيل فقط (بدون Start)",IF($K3088="U – needs rule","ℹ حالة U تحتاج قاعدة معتمدة",IF($K3088="No result","ℹ بدون نتيجة (يُستبعد من التحصيل)","OK")))))))))))</f>
        <v/>
      </c>
      <c r="M3088" s="64" t="n">
        <f aca="false">IF($A3088="",0,IFERROR(MATCH($A3088,Classes!$A$6:$A$420,0),0))</f>
        <v>0</v>
      </c>
      <c r="N3088" s="64" t="n">
        <f aca="false">IF($H3088="",0,IFERROR(MATCH($H3088,GradeList,0),0))</f>
        <v>0</v>
      </c>
      <c r="O3088" s="64" t="n">
        <f aca="false">IF(OR($I3088="",$I3088="NR"),0,IFERROR(MATCH($I3088,GradeList,0),0))</f>
        <v>0</v>
      </c>
      <c r="P3088" s="64" t="n">
        <f aca="false">IF(AND($M3088&gt;0,ISNUMBER(MATCH($F3088,Lists!$A$2:$A$5,0)),ISNUMBER(MATCH($G3088,Lists!$B$2:$B$7,0)),OR($H3088="",$N3088&gt;0),OR($I3088="",$I3088="NR",$O3088&gt;0),IF(ISNUMBER($J3088),AND($J3088&gt;=0,$J3088=INT($J3088)),FALSE())),$J3088,0)</f>
        <v>0</v>
      </c>
      <c r="Q3088" s="64" t="n">
        <f aca="false">IF(AND($P3088&gt;0,$O3088&gt;0),$P3088,0)</f>
        <v>0</v>
      </c>
      <c r="R3088" s="64" t="n">
        <f aca="false">IF(AND($Q3088&gt;0,$O3088&gt;=AtRank),$Q3088,0)</f>
        <v>0</v>
      </c>
      <c r="S3088" s="64" t="n">
        <f aca="false">IF(AND($Q3088&gt;0,$O3088&gt;=AboveRank),$Q3088,0)</f>
        <v>0</v>
      </c>
      <c r="T3088" s="64" t="n">
        <f aca="false">IF($K3088="Less",$P3088,0)</f>
        <v>0</v>
      </c>
      <c r="U3088" s="64" t="n">
        <f aca="false">IF($K3088="Expected",$P3088,0)</f>
        <v>0</v>
      </c>
      <c r="V3088" s="64" t="n">
        <f aca="false">IF($K3088="Better",$P3088,0)</f>
        <v>0</v>
      </c>
      <c r="W3088" s="64" t="n">
        <f aca="false">IF($K3088="U – needs rule",$P3088,0)</f>
        <v>0</v>
      </c>
      <c r="X3088" s="64" t="n">
        <f aca="false">IF($K3088="No Start (attainment only)",$P3088,0)</f>
        <v>0</v>
      </c>
    </row>
    <row r="3089" customFormat="false" ht="15" hidden="false" customHeight="false" outlineLevel="0" collapsed="false">
      <c r="A3089" s="60"/>
      <c r="B3089" s="61" t="str">
        <f aca="false">IF($M3089=0,"",INDEX(Classes!$E$6:$E$420,$M3089))</f>
        <v/>
      </c>
      <c r="C3089" s="62" t="str">
        <f aca="false">IF($M3089=0,"",INDEX(Classes!$H$6:$H$420,$M3089))</f>
        <v/>
      </c>
      <c r="D3089" s="61" t="str">
        <f aca="false">IF($M3089=0,"",INDEX(Classes!$B$6:$B$420,$M3089))</f>
        <v/>
      </c>
      <c r="E3089" s="61" t="str">
        <f aca="false">IF($M3089=0,"",INDEX(Classes!$C$6:$C$420,$M3089))</f>
        <v/>
      </c>
      <c r="F3089" s="63"/>
      <c r="G3089" s="63"/>
      <c r="H3089" s="60"/>
      <c r="I3089" s="60"/>
      <c r="J3089" s="63"/>
      <c r="K3089" s="61" t="str">
        <f aca="false">IF($P3089=0,"",IF($F3089="Baseline","— Baseline",IF($O3089=0,"No result",IF($N3089=0,"No Start (attainment only)",IF(OR($N3089=1,$O3089=1),"U – needs rule",INDEX(MxBody,MATCH($I3089,MxCurr,0),MATCH($H3089,MxStart,0)))))))</f>
        <v/>
      </c>
      <c r="L3089" s="62" t="str">
        <f aca="false">IF(COUNTA($A3089,$F3089,$G3089,$H3089,$I3089,$J3089)=0,"",IF($M3089=0,"✖ كود الصف غير موجود",IF(ISNA(MATCH($F3089,Lists!$A$2:$A$5,0)),"✖ الفترة غير صحيحة",IF(ISNA(MATCH($G3089,Lists!$B$2:$B$7,0)),"✖ المجموعة غير صحيحة",IF(NOT(OR($H3089="",$N3089&gt;0)),"✖ Start غير صحيح",IF(NOT(OR($I3089="",$I3089="NR",$O3089&gt;0)),"✖ Current غير صحيح",IF(NOT(IF(ISNUMBER($J3089),AND($J3089&gt;=0,$J3089=INT($J3089)),FALSE())),"✖ العدد يجب أن يكون صحيحًا ≥ 0",IF(AND($F3089="Baseline",$H3089&lt;&gt;""),"⚠ Baseline: Start لا يدخل في التقدم",IF($K3089="No Start (attainment only)","ℹ تحصيل فقط (بدون Start)",IF($K3089="U – needs rule","ℹ حالة U تحتاج قاعدة معتمدة",IF($K3089="No result","ℹ بدون نتيجة (يُستبعد من التحصيل)","OK")))))))))))</f>
        <v/>
      </c>
      <c r="M3089" s="64" t="n">
        <f aca="false">IF($A3089="",0,IFERROR(MATCH($A3089,Classes!$A$6:$A$420,0),0))</f>
        <v>0</v>
      </c>
      <c r="N3089" s="64" t="n">
        <f aca="false">IF($H3089="",0,IFERROR(MATCH($H3089,GradeList,0),0))</f>
        <v>0</v>
      </c>
      <c r="O3089" s="64" t="n">
        <f aca="false">IF(OR($I3089="",$I3089="NR"),0,IFERROR(MATCH($I3089,GradeList,0),0))</f>
        <v>0</v>
      </c>
      <c r="P3089" s="64" t="n">
        <f aca="false">IF(AND($M3089&gt;0,ISNUMBER(MATCH($F3089,Lists!$A$2:$A$5,0)),ISNUMBER(MATCH($G3089,Lists!$B$2:$B$7,0)),OR($H3089="",$N3089&gt;0),OR($I3089="",$I3089="NR",$O3089&gt;0),IF(ISNUMBER($J3089),AND($J3089&gt;=0,$J3089=INT($J3089)),FALSE())),$J3089,0)</f>
        <v>0</v>
      </c>
      <c r="Q3089" s="64" t="n">
        <f aca="false">IF(AND($P3089&gt;0,$O3089&gt;0),$P3089,0)</f>
        <v>0</v>
      </c>
      <c r="R3089" s="64" t="n">
        <f aca="false">IF(AND($Q3089&gt;0,$O3089&gt;=AtRank),$Q3089,0)</f>
        <v>0</v>
      </c>
      <c r="S3089" s="64" t="n">
        <f aca="false">IF(AND($Q3089&gt;0,$O3089&gt;=AboveRank),$Q3089,0)</f>
        <v>0</v>
      </c>
      <c r="T3089" s="64" t="n">
        <f aca="false">IF($K3089="Less",$P3089,0)</f>
        <v>0</v>
      </c>
      <c r="U3089" s="64" t="n">
        <f aca="false">IF($K3089="Expected",$P3089,0)</f>
        <v>0</v>
      </c>
      <c r="V3089" s="64" t="n">
        <f aca="false">IF($K3089="Better",$P3089,0)</f>
        <v>0</v>
      </c>
      <c r="W3089" s="64" t="n">
        <f aca="false">IF($K3089="U – needs rule",$P3089,0)</f>
        <v>0</v>
      </c>
      <c r="X3089" s="64" t="n">
        <f aca="false">IF($K3089="No Start (attainment only)",$P3089,0)</f>
        <v>0</v>
      </c>
    </row>
    <row r="3090" customFormat="false" ht="15" hidden="false" customHeight="false" outlineLevel="0" collapsed="false">
      <c r="A3090" s="60"/>
      <c r="B3090" s="61" t="str">
        <f aca="false">IF($M3090=0,"",INDEX(Classes!$E$6:$E$420,$M3090))</f>
        <v/>
      </c>
      <c r="C3090" s="62" t="str">
        <f aca="false">IF($M3090=0,"",INDEX(Classes!$H$6:$H$420,$M3090))</f>
        <v/>
      </c>
      <c r="D3090" s="61" t="str">
        <f aca="false">IF($M3090=0,"",INDEX(Classes!$B$6:$B$420,$M3090))</f>
        <v/>
      </c>
      <c r="E3090" s="61" t="str">
        <f aca="false">IF($M3090=0,"",INDEX(Classes!$C$6:$C$420,$M3090))</f>
        <v/>
      </c>
      <c r="F3090" s="63"/>
      <c r="G3090" s="63"/>
      <c r="H3090" s="60"/>
      <c r="I3090" s="60"/>
      <c r="J3090" s="63"/>
      <c r="K3090" s="61" t="str">
        <f aca="false">IF($P3090=0,"",IF($F3090="Baseline","— Baseline",IF($O3090=0,"No result",IF($N3090=0,"No Start (attainment only)",IF(OR($N3090=1,$O3090=1),"U – needs rule",INDEX(MxBody,MATCH($I3090,MxCurr,0),MATCH($H3090,MxStart,0)))))))</f>
        <v/>
      </c>
      <c r="L3090" s="62" t="str">
        <f aca="false">IF(COUNTA($A3090,$F3090,$G3090,$H3090,$I3090,$J3090)=0,"",IF($M3090=0,"✖ كود الصف غير موجود",IF(ISNA(MATCH($F3090,Lists!$A$2:$A$5,0)),"✖ الفترة غير صحيحة",IF(ISNA(MATCH($G3090,Lists!$B$2:$B$7,0)),"✖ المجموعة غير صحيحة",IF(NOT(OR($H3090="",$N3090&gt;0)),"✖ Start غير صحيح",IF(NOT(OR($I3090="",$I3090="NR",$O3090&gt;0)),"✖ Current غير صحيح",IF(NOT(IF(ISNUMBER($J3090),AND($J3090&gt;=0,$J3090=INT($J3090)),FALSE())),"✖ العدد يجب أن يكون صحيحًا ≥ 0",IF(AND($F3090="Baseline",$H3090&lt;&gt;""),"⚠ Baseline: Start لا يدخل في التقدم",IF($K3090="No Start (attainment only)","ℹ تحصيل فقط (بدون Start)",IF($K3090="U – needs rule","ℹ حالة U تحتاج قاعدة معتمدة",IF($K3090="No result","ℹ بدون نتيجة (يُستبعد من التحصيل)","OK")))))))))))</f>
        <v/>
      </c>
      <c r="M3090" s="64" t="n">
        <f aca="false">IF($A3090="",0,IFERROR(MATCH($A3090,Classes!$A$6:$A$420,0),0))</f>
        <v>0</v>
      </c>
      <c r="N3090" s="64" t="n">
        <f aca="false">IF($H3090="",0,IFERROR(MATCH($H3090,GradeList,0),0))</f>
        <v>0</v>
      </c>
      <c r="O3090" s="64" t="n">
        <f aca="false">IF(OR($I3090="",$I3090="NR"),0,IFERROR(MATCH($I3090,GradeList,0),0))</f>
        <v>0</v>
      </c>
      <c r="P3090" s="64" t="n">
        <f aca="false">IF(AND($M3090&gt;0,ISNUMBER(MATCH($F3090,Lists!$A$2:$A$5,0)),ISNUMBER(MATCH($G3090,Lists!$B$2:$B$7,0)),OR($H3090="",$N3090&gt;0),OR($I3090="",$I3090="NR",$O3090&gt;0),IF(ISNUMBER($J3090),AND($J3090&gt;=0,$J3090=INT($J3090)),FALSE())),$J3090,0)</f>
        <v>0</v>
      </c>
      <c r="Q3090" s="64" t="n">
        <f aca="false">IF(AND($P3090&gt;0,$O3090&gt;0),$P3090,0)</f>
        <v>0</v>
      </c>
      <c r="R3090" s="64" t="n">
        <f aca="false">IF(AND($Q3090&gt;0,$O3090&gt;=AtRank),$Q3090,0)</f>
        <v>0</v>
      </c>
      <c r="S3090" s="64" t="n">
        <f aca="false">IF(AND($Q3090&gt;0,$O3090&gt;=AboveRank),$Q3090,0)</f>
        <v>0</v>
      </c>
      <c r="T3090" s="64" t="n">
        <f aca="false">IF($K3090="Less",$P3090,0)</f>
        <v>0</v>
      </c>
      <c r="U3090" s="64" t="n">
        <f aca="false">IF($K3090="Expected",$P3090,0)</f>
        <v>0</v>
      </c>
      <c r="V3090" s="64" t="n">
        <f aca="false">IF($K3090="Better",$P3090,0)</f>
        <v>0</v>
      </c>
      <c r="W3090" s="64" t="n">
        <f aca="false">IF($K3090="U – needs rule",$P3090,0)</f>
        <v>0</v>
      </c>
      <c r="X3090" s="64" t="n">
        <f aca="false">IF($K3090="No Start (attainment only)",$P3090,0)</f>
        <v>0</v>
      </c>
    </row>
    <row r="3091" customFormat="false" ht="15" hidden="false" customHeight="false" outlineLevel="0" collapsed="false">
      <c r="A3091" s="60"/>
      <c r="B3091" s="61" t="str">
        <f aca="false">IF($M3091=0,"",INDEX(Classes!$E$6:$E$420,$M3091))</f>
        <v/>
      </c>
      <c r="C3091" s="62" t="str">
        <f aca="false">IF($M3091=0,"",INDEX(Classes!$H$6:$H$420,$M3091))</f>
        <v/>
      </c>
      <c r="D3091" s="61" t="str">
        <f aca="false">IF($M3091=0,"",INDEX(Classes!$B$6:$B$420,$M3091))</f>
        <v/>
      </c>
      <c r="E3091" s="61" t="str">
        <f aca="false">IF($M3091=0,"",INDEX(Classes!$C$6:$C$420,$M3091))</f>
        <v/>
      </c>
      <c r="F3091" s="63"/>
      <c r="G3091" s="63"/>
      <c r="H3091" s="60"/>
      <c r="I3091" s="60"/>
      <c r="J3091" s="63"/>
      <c r="K3091" s="61" t="str">
        <f aca="false">IF($P3091=0,"",IF($F3091="Baseline","— Baseline",IF($O3091=0,"No result",IF($N3091=0,"No Start (attainment only)",IF(OR($N3091=1,$O3091=1),"U – needs rule",INDEX(MxBody,MATCH($I3091,MxCurr,0),MATCH($H3091,MxStart,0)))))))</f>
        <v/>
      </c>
      <c r="L3091" s="62" t="str">
        <f aca="false">IF(COUNTA($A3091,$F3091,$G3091,$H3091,$I3091,$J3091)=0,"",IF($M3091=0,"✖ كود الصف غير موجود",IF(ISNA(MATCH($F3091,Lists!$A$2:$A$5,0)),"✖ الفترة غير صحيحة",IF(ISNA(MATCH($G3091,Lists!$B$2:$B$7,0)),"✖ المجموعة غير صحيحة",IF(NOT(OR($H3091="",$N3091&gt;0)),"✖ Start غير صحيح",IF(NOT(OR($I3091="",$I3091="NR",$O3091&gt;0)),"✖ Current غير صحيح",IF(NOT(IF(ISNUMBER($J3091),AND($J3091&gt;=0,$J3091=INT($J3091)),FALSE())),"✖ العدد يجب أن يكون صحيحًا ≥ 0",IF(AND($F3091="Baseline",$H3091&lt;&gt;""),"⚠ Baseline: Start لا يدخل في التقدم",IF($K3091="No Start (attainment only)","ℹ تحصيل فقط (بدون Start)",IF($K3091="U – needs rule","ℹ حالة U تحتاج قاعدة معتمدة",IF($K3091="No result","ℹ بدون نتيجة (يُستبعد من التحصيل)","OK")))))))))))</f>
        <v/>
      </c>
      <c r="M3091" s="64" t="n">
        <f aca="false">IF($A3091="",0,IFERROR(MATCH($A3091,Classes!$A$6:$A$420,0),0))</f>
        <v>0</v>
      </c>
      <c r="N3091" s="64" t="n">
        <f aca="false">IF($H3091="",0,IFERROR(MATCH($H3091,GradeList,0),0))</f>
        <v>0</v>
      </c>
      <c r="O3091" s="64" t="n">
        <f aca="false">IF(OR($I3091="",$I3091="NR"),0,IFERROR(MATCH($I3091,GradeList,0),0))</f>
        <v>0</v>
      </c>
      <c r="P3091" s="64" t="n">
        <f aca="false">IF(AND($M3091&gt;0,ISNUMBER(MATCH($F3091,Lists!$A$2:$A$5,0)),ISNUMBER(MATCH($G3091,Lists!$B$2:$B$7,0)),OR($H3091="",$N3091&gt;0),OR($I3091="",$I3091="NR",$O3091&gt;0),IF(ISNUMBER($J3091),AND($J3091&gt;=0,$J3091=INT($J3091)),FALSE())),$J3091,0)</f>
        <v>0</v>
      </c>
      <c r="Q3091" s="64" t="n">
        <f aca="false">IF(AND($P3091&gt;0,$O3091&gt;0),$P3091,0)</f>
        <v>0</v>
      </c>
      <c r="R3091" s="64" t="n">
        <f aca="false">IF(AND($Q3091&gt;0,$O3091&gt;=AtRank),$Q3091,0)</f>
        <v>0</v>
      </c>
      <c r="S3091" s="64" t="n">
        <f aca="false">IF(AND($Q3091&gt;0,$O3091&gt;=AboveRank),$Q3091,0)</f>
        <v>0</v>
      </c>
      <c r="T3091" s="64" t="n">
        <f aca="false">IF($K3091="Less",$P3091,0)</f>
        <v>0</v>
      </c>
      <c r="U3091" s="64" t="n">
        <f aca="false">IF($K3091="Expected",$P3091,0)</f>
        <v>0</v>
      </c>
      <c r="V3091" s="64" t="n">
        <f aca="false">IF($K3091="Better",$P3091,0)</f>
        <v>0</v>
      </c>
      <c r="W3091" s="64" t="n">
        <f aca="false">IF($K3091="U – needs rule",$P3091,0)</f>
        <v>0</v>
      </c>
      <c r="X3091" s="64" t="n">
        <f aca="false">IF($K3091="No Start (attainment only)",$P3091,0)</f>
        <v>0</v>
      </c>
    </row>
    <row r="3092" customFormat="false" ht="15" hidden="false" customHeight="false" outlineLevel="0" collapsed="false">
      <c r="A3092" s="60"/>
      <c r="B3092" s="61" t="str">
        <f aca="false">IF($M3092=0,"",INDEX(Classes!$E$6:$E$420,$M3092))</f>
        <v/>
      </c>
      <c r="C3092" s="62" t="str">
        <f aca="false">IF($M3092=0,"",INDEX(Classes!$H$6:$H$420,$M3092))</f>
        <v/>
      </c>
      <c r="D3092" s="61" t="str">
        <f aca="false">IF($M3092=0,"",INDEX(Classes!$B$6:$B$420,$M3092))</f>
        <v/>
      </c>
      <c r="E3092" s="61" t="str">
        <f aca="false">IF($M3092=0,"",INDEX(Classes!$C$6:$C$420,$M3092))</f>
        <v/>
      </c>
      <c r="F3092" s="63"/>
      <c r="G3092" s="63"/>
      <c r="H3092" s="60"/>
      <c r="I3092" s="60"/>
      <c r="J3092" s="63"/>
      <c r="K3092" s="61" t="str">
        <f aca="false">IF($P3092=0,"",IF($F3092="Baseline","— Baseline",IF($O3092=0,"No result",IF($N3092=0,"No Start (attainment only)",IF(OR($N3092=1,$O3092=1),"U – needs rule",INDEX(MxBody,MATCH($I3092,MxCurr,0),MATCH($H3092,MxStart,0)))))))</f>
        <v/>
      </c>
      <c r="L3092" s="62" t="str">
        <f aca="false">IF(COUNTA($A3092,$F3092,$G3092,$H3092,$I3092,$J3092)=0,"",IF($M3092=0,"✖ كود الصف غير موجود",IF(ISNA(MATCH($F3092,Lists!$A$2:$A$5,0)),"✖ الفترة غير صحيحة",IF(ISNA(MATCH($G3092,Lists!$B$2:$B$7,0)),"✖ المجموعة غير صحيحة",IF(NOT(OR($H3092="",$N3092&gt;0)),"✖ Start غير صحيح",IF(NOT(OR($I3092="",$I3092="NR",$O3092&gt;0)),"✖ Current غير صحيح",IF(NOT(IF(ISNUMBER($J3092),AND($J3092&gt;=0,$J3092=INT($J3092)),FALSE())),"✖ العدد يجب أن يكون صحيحًا ≥ 0",IF(AND($F3092="Baseline",$H3092&lt;&gt;""),"⚠ Baseline: Start لا يدخل في التقدم",IF($K3092="No Start (attainment only)","ℹ تحصيل فقط (بدون Start)",IF($K3092="U – needs rule","ℹ حالة U تحتاج قاعدة معتمدة",IF($K3092="No result","ℹ بدون نتيجة (يُستبعد من التحصيل)","OK")))))))))))</f>
        <v/>
      </c>
      <c r="M3092" s="64" t="n">
        <f aca="false">IF($A3092="",0,IFERROR(MATCH($A3092,Classes!$A$6:$A$420,0),0))</f>
        <v>0</v>
      </c>
      <c r="N3092" s="64" t="n">
        <f aca="false">IF($H3092="",0,IFERROR(MATCH($H3092,GradeList,0),0))</f>
        <v>0</v>
      </c>
      <c r="O3092" s="64" t="n">
        <f aca="false">IF(OR($I3092="",$I3092="NR"),0,IFERROR(MATCH($I3092,GradeList,0),0))</f>
        <v>0</v>
      </c>
      <c r="P3092" s="64" t="n">
        <f aca="false">IF(AND($M3092&gt;0,ISNUMBER(MATCH($F3092,Lists!$A$2:$A$5,0)),ISNUMBER(MATCH($G3092,Lists!$B$2:$B$7,0)),OR($H3092="",$N3092&gt;0),OR($I3092="",$I3092="NR",$O3092&gt;0),IF(ISNUMBER($J3092),AND($J3092&gt;=0,$J3092=INT($J3092)),FALSE())),$J3092,0)</f>
        <v>0</v>
      </c>
      <c r="Q3092" s="64" t="n">
        <f aca="false">IF(AND($P3092&gt;0,$O3092&gt;0),$P3092,0)</f>
        <v>0</v>
      </c>
      <c r="R3092" s="64" t="n">
        <f aca="false">IF(AND($Q3092&gt;0,$O3092&gt;=AtRank),$Q3092,0)</f>
        <v>0</v>
      </c>
      <c r="S3092" s="64" t="n">
        <f aca="false">IF(AND($Q3092&gt;0,$O3092&gt;=AboveRank),$Q3092,0)</f>
        <v>0</v>
      </c>
      <c r="T3092" s="64" t="n">
        <f aca="false">IF($K3092="Less",$P3092,0)</f>
        <v>0</v>
      </c>
      <c r="U3092" s="64" t="n">
        <f aca="false">IF($K3092="Expected",$P3092,0)</f>
        <v>0</v>
      </c>
      <c r="V3092" s="64" t="n">
        <f aca="false">IF($K3092="Better",$P3092,0)</f>
        <v>0</v>
      </c>
      <c r="W3092" s="64" t="n">
        <f aca="false">IF($K3092="U – needs rule",$P3092,0)</f>
        <v>0</v>
      </c>
      <c r="X3092" s="64" t="n">
        <f aca="false">IF($K3092="No Start (attainment only)",$P3092,0)</f>
        <v>0</v>
      </c>
    </row>
    <row r="3093" customFormat="false" ht="15" hidden="false" customHeight="false" outlineLevel="0" collapsed="false">
      <c r="A3093" s="60"/>
      <c r="B3093" s="61" t="str">
        <f aca="false">IF($M3093=0,"",INDEX(Classes!$E$6:$E$420,$M3093))</f>
        <v/>
      </c>
      <c r="C3093" s="62" t="str">
        <f aca="false">IF($M3093=0,"",INDEX(Classes!$H$6:$H$420,$M3093))</f>
        <v/>
      </c>
      <c r="D3093" s="61" t="str">
        <f aca="false">IF($M3093=0,"",INDEX(Classes!$B$6:$B$420,$M3093))</f>
        <v/>
      </c>
      <c r="E3093" s="61" t="str">
        <f aca="false">IF($M3093=0,"",INDEX(Classes!$C$6:$C$420,$M3093))</f>
        <v/>
      </c>
      <c r="F3093" s="63"/>
      <c r="G3093" s="63"/>
      <c r="H3093" s="60"/>
      <c r="I3093" s="60"/>
      <c r="J3093" s="63"/>
      <c r="K3093" s="61" t="str">
        <f aca="false">IF($P3093=0,"",IF($F3093="Baseline","— Baseline",IF($O3093=0,"No result",IF($N3093=0,"No Start (attainment only)",IF(OR($N3093=1,$O3093=1),"U – needs rule",INDEX(MxBody,MATCH($I3093,MxCurr,0),MATCH($H3093,MxStart,0)))))))</f>
        <v/>
      </c>
      <c r="L3093" s="62" t="str">
        <f aca="false">IF(COUNTA($A3093,$F3093,$G3093,$H3093,$I3093,$J3093)=0,"",IF($M3093=0,"✖ كود الصف غير موجود",IF(ISNA(MATCH($F3093,Lists!$A$2:$A$5,0)),"✖ الفترة غير صحيحة",IF(ISNA(MATCH($G3093,Lists!$B$2:$B$7,0)),"✖ المجموعة غير صحيحة",IF(NOT(OR($H3093="",$N3093&gt;0)),"✖ Start غير صحيح",IF(NOT(OR($I3093="",$I3093="NR",$O3093&gt;0)),"✖ Current غير صحيح",IF(NOT(IF(ISNUMBER($J3093),AND($J3093&gt;=0,$J3093=INT($J3093)),FALSE())),"✖ العدد يجب أن يكون صحيحًا ≥ 0",IF(AND($F3093="Baseline",$H3093&lt;&gt;""),"⚠ Baseline: Start لا يدخل في التقدم",IF($K3093="No Start (attainment only)","ℹ تحصيل فقط (بدون Start)",IF($K3093="U – needs rule","ℹ حالة U تحتاج قاعدة معتمدة",IF($K3093="No result","ℹ بدون نتيجة (يُستبعد من التحصيل)","OK")))))))))))</f>
        <v/>
      </c>
      <c r="M3093" s="64" t="n">
        <f aca="false">IF($A3093="",0,IFERROR(MATCH($A3093,Classes!$A$6:$A$420,0),0))</f>
        <v>0</v>
      </c>
      <c r="N3093" s="64" t="n">
        <f aca="false">IF($H3093="",0,IFERROR(MATCH($H3093,GradeList,0),0))</f>
        <v>0</v>
      </c>
      <c r="O3093" s="64" t="n">
        <f aca="false">IF(OR($I3093="",$I3093="NR"),0,IFERROR(MATCH($I3093,GradeList,0),0))</f>
        <v>0</v>
      </c>
      <c r="P3093" s="64" t="n">
        <f aca="false">IF(AND($M3093&gt;0,ISNUMBER(MATCH($F3093,Lists!$A$2:$A$5,0)),ISNUMBER(MATCH($G3093,Lists!$B$2:$B$7,0)),OR($H3093="",$N3093&gt;0),OR($I3093="",$I3093="NR",$O3093&gt;0),IF(ISNUMBER($J3093),AND($J3093&gt;=0,$J3093=INT($J3093)),FALSE())),$J3093,0)</f>
        <v>0</v>
      </c>
      <c r="Q3093" s="64" t="n">
        <f aca="false">IF(AND($P3093&gt;0,$O3093&gt;0),$P3093,0)</f>
        <v>0</v>
      </c>
      <c r="R3093" s="64" t="n">
        <f aca="false">IF(AND($Q3093&gt;0,$O3093&gt;=AtRank),$Q3093,0)</f>
        <v>0</v>
      </c>
      <c r="S3093" s="64" t="n">
        <f aca="false">IF(AND($Q3093&gt;0,$O3093&gt;=AboveRank),$Q3093,0)</f>
        <v>0</v>
      </c>
      <c r="T3093" s="64" t="n">
        <f aca="false">IF($K3093="Less",$P3093,0)</f>
        <v>0</v>
      </c>
      <c r="U3093" s="64" t="n">
        <f aca="false">IF($K3093="Expected",$P3093,0)</f>
        <v>0</v>
      </c>
      <c r="V3093" s="64" t="n">
        <f aca="false">IF($K3093="Better",$P3093,0)</f>
        <v>0</v>
      </c>
      <c r="W3093" s="64" t="n">
        <f aca="false">IF($K3093="U – needs rule",$P3093,0)</f>
        <v>0</v>
      </c>
      <c r="X3093" s="64" t="n">
        <f aca="false">IF($K3093="No Start (attainment only)",$P3093,0)</f>
        <v>0</v>
      </c>
    </row>
    <row r="3094" customFormat="false" ht="15" hidden="false" customHeight="false" outlineLevel="0" collapsed="false">
      <c r="A3094" s="60"/>
      <c r="B3094" s="61" t="str">
        <f aca="false">IF($M3094=0,"",INDEX(Classes!$E$6:$E$420,$M3094))</f>
        <v/>
      </c>
      <c r="C3094" s="62" t="str">
        <f aca="false">IF($M3094=0,"",INDEX(Classes!$H$6:$H$420,$M3094))</f>
        <v/>
      </c>
      <c r="D3094" s="61" t="str">
        <f aca="false">IF($M3094=0,"",INDEX(Classes!$B$6:$B$420,$M3094))</f>
        <v/>
      </c>
      <c r="E3094" s="61" t="str">
        <f aca="false">IF($M3094=0,"",INDEX(Classes!$C$6:$C$420,$M3094))</f>
        <v/>
      </c>
      <c r="F3094" s="63"/>
      <c r="G3094" s="63"/>
      <c r="H3094" s="60"/>
      <c r="I3094" s="60"/>
      <c r="J3094" s="63"/>
      <c r="K3094" s="61" t="str">
        <f aca="false">IF($P3094=0,"",IF($F3094="Baseline","— Baseline",IF($O3094=0,"No result",IF($N3094=0,"No Start (attainment only)",IF(OR($N3094=1,$O3094=1),"U – needs rule",INDEX(MxBody,MATCH($I3094,MxCurr,0),MATCH($H3094,MxStart,0)))))))</f>
        <v/>
      </c>
      <c r="L3094" s="62" t="str">
        <f aca="false">IF(COUNTA($A3094,$F3094,$G3094,$H3094,$I3094,$J3094)=0,"",IF($M3094=0,"✖ كود الصف غير موجود",IF(ISNA(MATCH($F3094,Lists!$A$2:$A$5,0)),"✖ الفترة غير صحيحة",IF(ISNA(MATCH($G3094,Lists!$B$2:$B$7,0)),"✖ المجموعة غير صحيحة",IF(NOT(OR($H3094="",$N3094&gt;0)),"✖ Start غير صحيح",IF(NOT(OR($I3094="",$I3094="NR",$O3094&gt;0)),"✖ Current غير صحيح",IF(NOT(IF(ISNUMBER($J3094),AND($J3094&gt;=0,$J3094=INT($J3094)),FALSE())),"✖ العدد يجب أن يكون صحيحًا ≥ 0",IF(AND($F3094="Baseline",$H3094&lt;&gt;""),"⚠ Baseline: Start لا يدخل في التقدم",IF($K3094="No Start (attainment only)","ℹ تحصيل فقط (بدون Start)",IF($K3094="U – needs rule","ℹ حالة U تحتاج قاعدة معتمدة",IF($K3094="No result","ℹ بدون نتيجة (يُستبعد من التحصيل)","OK")))))))))))</f>
        <v/>
      </c>
      <c r="M3094" s="64" t="n">
        <f aca="false">IF($A3094="",0,IFERROR(MATCH($A3094,Classes!$A$6:$A$420,0),0))</f>
        <v>0</v>
      </c>
      <c r="N3094" s="64" t="n">
        <f aca="false">IF($H3094="",0,IFERROR(MATCH($H3094,GradeList,0),0))</f>
        <v>0</v>
      </c>
      <c r="O3094" s="64" t="n">
        <f aca="false">IF(OR($I3094="",$I3094="NR"),0,IFERROR(MATCH($I3094,GradeList,0),0))</f>
        <v>0</v>
      </c>
      <c r="P3094" s="64" t="n">
        <f aca="false">IF(AND($M3094&gt;0,ISNUMBER(MATCH($F3094,Lists!$A$2:$A$5,0)),ISNUMBER(MATCH($G3094,Lists!$B$2:$B$7,0)),OR($H3094="",$N3094&gt;0),OR($I3094="",$I3094="NR",$O3094&gt;0),IF(ISNUMBER($J3094),AND($J3094&gt;=0,$J3094=INT($J3094)),FALSE())),$J3094,0)</f>
        <v>0</v>
      </c>
      <c r="Q3094" s="64" t="n">
        <f aca="false">IF(AND($P3094&gt;0,$O3094&gt;0),$P3094,0)</f>
        <v>0</v>
      </c>
      <c r="R3094" s="64" t="n">
        <f aca="false">IF(AND($Q3094&gt;0,$O3094&gt;=AtRank),$Q3094,0)</f>
        <v>0</v>
      </c>
      <c r="S3094" s="64" t="n">
        <f aca="false">IF(AND($Q3094&gt;0,$O3094&gt;=AboveRank),$Q3094,0)</f>
        <v>0</v>
      </c>
      <c r="T3094" s="64" t="n">
        <f aca="false">IF($K3094="Less",$P3094,0)</f>
        <v>0</v>
      </c>
      <c r="U3094" s="64" t="n">
        <f aca="false">IF($K3094="Expected",$P3094,0)</f>
        <v>0</v>
      </c>
      <c r="V3094" s="64" t="n">
        <f aca="false">IF($K3094="Better",$P3094,0)</f>
        <v>0</v>
      </c>
      <c r="W3094" s="64" t="n">
        <f aca="false">IF($K3094="U – needs rule",$P3094,0)</f>
        <v>0</v>
      </c>
      <c r="X3094" s="64" t="n">
        <f aca="false">IF($K3094="No Start (attainment only)",$P3094,0)</f>
        <v>0</v>
      </c>
    </row>
    <row r="3095" customFormat="false" ht="15" hidden="false" customHeight="false" outlineLevel="0" collapsed="false">
      <c r="A3095" s="60"/>
      <c r="B3095" s="61" t="str">
        <f aca="false">IF($M3095=0,"",INDEX(Classes!$E$6:$E$420,$M3095))</f>
        <v/>
      </c>
      <c r="C3095" s="62" t="str">
        <f aca="false">IF($M3095=0,"",INDEX(Classes!$H$6:$H$420,$M3095))</f>
        <v/>
      </c>
      <c r="D3095" s="61" t="str">
        <f aca="false">IF($M3095=0,"",INDEX(Classes!$B$6:$B$420,$M3095))</f>
        <v/>
      </c>
      <c r="E3095" s="61" t="str">
        <f aca="false">IF($M3095=0,"",INDEX(Classes!$C$6:$C$420,$M3095))</f>
        <v/>
      </c>
      <c r="F3095" s="63"/>
      <c r="G3095" s="63"/>
      <c r="H3095" s="60"/>
      <c r="I3095" s="60"/>
      <c r="J3095" s="63"/>
      <c r="K3095" s="61" t="str">
        <f aca="false">IF($P3095=0,"",IF($F3095="Baseline","— Baseline",IF($O3095=0,"No result",IF($N3095=0,"No Start (attainment only)",IF(OR($N3095=1,$O3095=1),"U – needs rule",INDEX(MxBody,MATCH($I3095,MxCurr,0),MATCH($H3095,MxStart,0)))))))</f>
        <v/>
      </c>
      <c r="L3095" s="62" t="str">
        <f aca="false">IF(COUNTA($A3095,$F3095,$G3095,$H3095,$I3095,$J3095)=0,"",IF($M3095=0,"✖ كود الصف غير موجود",IF(ISNA(MATCH($F3095,Lists!$A$2:$A$5,0)),"✖ الفترة غير صحيحة",IF(ISNA(MATCH($G3095,Lists!$B$2:$B$7,0)),"✖ المجموعة غير صحيحة",IF(NOT(OR($H3095="",$N3095&gt;0)),"✖ Start غير صحيح",IF(NOT(OR($I3095="",$I3095="NR",$O3095&gt;0)),"✖ Current غير صحيح",IF(NOT(IF(ISNUMBER($J3095),AND($J3095&gt;=0,$J3095=INT($J3095)),FALSE())),"✖ العدد يجب أن يكون صحيحًا ≥ 0",IF(AND($F3095="Baseline",$H3095&lt;&gt;""),"⚠ Baseline: Start لا يدخل في التقدم",IF($K3095="No Start (attainment only)","ℹ تحصيل فقط (بدون Start)",IF($K3095="U – needs rule","ℹ حالة U تحتاج قاعدة معتمدة",IF($K3095="No result","ℹ بدون نتيجة (يُستبعد من التحصيل)","OK")))))))))))</f>
        <v/>
      </c>
      <c r="M3095" s="64" t="n">
        <f aca="false">IF($A3095="",0,IFERROR(MATCH($A3095,Classes!$A$6:$A$420,0),0))</f>
        <v>0</v>
      </c>
      <c r="N3095" s="64" t="n">
        <f aca="false">IF($H3095="",0,IFERROR(MATCH($H3095,GradeList,0),0))</f>
        <v>0</v>
      </c>
      <c r="O3095" s="64" t="n">
        <f aca="false">IF(OR($I3095="",$I3095="NR"),0,IFERROR(MATCH($I3095,GradeList,0),0))</f>
        <v>0</v>
      </c>
      <c r="P3095" s="64" t="n">
        <f aca="false">IF(AND($M3095&gt;0,ISNUMBER(MATCH($F3095,Lists!$A$2:$A$5,0)),ISNUMBER(MATCH($G3095,Lists!$B$2:$B$7,0)),OR($H3095="",$N3095&gt;0),OR($I3095="",$I3095="NR",$O3095&gt;0),IF(ISNUMBER($J3095),AND($J3095&gt;=0,$J3095=INT($J3095)),FALSE())),$J3095,0)</f>
        <v>0</v>
      </c>
      <c r="Q3095" s="64" t="n">
        <f aca="false">IF(AND($P3095&gt;0,$O3095&gt;0),$P3095,0)</f>
        <v>0</v>
      </c>
      <c r="R3095" s="64" t="n">
        <f aca="false">IF(AND($Q3095&gt;0,$O3095&gt;=AtRank),$Q3095,0)</f>
        <v>0</v>
      </c>
      <c r="S3095" s="64" t="n">
        <f aca="false">IF(AND($Q3095&gt;0,$O3095&gt;=AboveRank),$Q3095,0)</f>
        <v>0</v>
      </c>
      <c r="T3095" s="64" t="n">
        <f aca="false">IF($K3095="Less",$P3095,0)</f>
        <v>0</v>
      </c>
      <c r="U3095" s="64" t="n">
        <f aca="false">IF($K3095="Expected",$P3095,0)</f>
        <v>0</v>
      </c>
      <c r="V3095" s="64" t="n">
        <f aca="false">IF($K3095="Better",$P3095,0)</f>
        <v>0</v>
      </c>
      <c r="W3095" s="64" t="n">
        <f aca="false">IF($K3095="U – needs rule",$P3095,0)</f>
        <v>0</v>
      </c>
      <c r="X3095" s="64" t="n">
        <f aca="false">IF($K3095="No Start (attainment only)",$P3095,0)</f>
        <v>0</v>
      </c>
    </row>
    <row r="3096" customFormat="false" ht="15" hidden="false" customHeight="false" outlineLevel="0" collapsed="false">
      <c r="A3096" s="60"/>
      <c r="B3096" s="61" t="str">
        <f aca="false">IF($M3096=0,"",INDEX(Classes!$E$6:$E$420,$M3096))</f>
        <v/>
      </c>
      <c r="C3096" s="62" t="str">
        <f aca="false">IF($M3096=0,"",INDEX(Classes!$H$6:$H$420,$M3096))</f>
        <v/>
      </c>
      <c r="D3096" s="61" t="str">
        <f aca="false">IF($M3096=0,"",INDEX(Classes!$B$6:$B$420,$M3096))</f>
        <v/>
      </c>
      <c r="E3096" s="61" t="str">
        <f aca="false">IF($M3096=0,"",INDEX(Classes!$C$6:$C$420,$M3096))</f>
        <v/>
      </c>
      <c r="F3096" s="63"/>
      <c r="G3096" s="63"/>
      <c r="H3096" s="60"/>
      <c r="I3096" s="60"/>
      <c r="J3096" s="63"/>
      <c r="K3096" s="61" t="str">
        <f aca="false">IF($P3096=0,"",IF($F3096="Baseline","— Baseline",IF($O3096=0,"No result",IF($N3096=0,"No Start (attainment only)",IF(OR($N3096=1,$O3096=1),"U – needs rule",INDEX(MxBody,MATCH($I3096,MxCurr,0),MATCH($H3096,MxStart,0)))))))</f>
        <v/>
      </c>
      <c r="L3096" s="62" t="str">
        <f aca="false">IF(COUNTA($A3096,$F3096,$G3096,$H3096,$I3096,$J3096)=0,"",IF($M3096=0,"✖ كود الصف غير موجود",IF(ISNA(MATCH($F3096,Lists!$A$2:$A$5,0)),"✖ الفترة غير صحيحة",IF(ISNA(MATCH($G3096,Lists!$B$2:$B$7,0)),"✖ المجموعة غير صحيحة",IF(NOT(OR($H3096="",$N3096&gt;0)),"✖ Start غير صحيح",IF(NOT(OR($I3096="",$I3096="NR",$O3096&gt;0)),"✖ Current غير صحيح",IF(NOT(IF(ISNUMBER($J3096),AND($J3096&gt;=0,$J3096=INT($J3096)),FALSE())),"✖ العدد يجب أن يكون صحيحًا ≥ 0",IF(AND($F3096="Baseline",$H3096&lt;&gt;""),"⚠ Baseline: Start لا يدخل في التقدم",IF($K3096="No Start (attainment only)","ℹ تحصيل فقط (بدون Start)",IF($K3096="U – needs rule","ℹ حالة U تحتاج قاعدة معتمدة",IF($K3096="No result","ℹ بدون نتيجة (يُستبعد من التحصيل)","OK")))))))))))</f>
        <v/>
      </c>
      <c r="M3096" s="64" t="n">
        <f aca="false">IF($A3096="",0,IFERROR(MATCH($A3096,Classes!$A$6:$A$420,0),0))</f>
        <v>0</v>
      </c>
      <c r="N3096" s="64" t="n">
        <f aca="false">IF($H3096="",0,IFERROR(MATCH($H3096,GradeList,0),0))</f>
        <v>0</v>
      </c>
      <c r="O3096" s="64" t="n">
        <f aca="false">IF(OR($I3096="",$I3096="NR"),0,IFERROR(MATCH($I3096,GradeList,0),0))</f>
        <v>0</v>
      </c>
      <c r="P3096" s="64" t="n">
        <f aca="false">IF(AND($M3096&gt;0,ISNUMBER(MATCH($F3096,Lists!$A$2:$A$5,0)),ISNUMBER(MATCH($G3096,Lists!$B$2:$B$7,0)),OR($H3096="",$N3096&gt;0),OR($I3096="",$I3096="NR",$O3096&gt;0),IF(ISNUMBER($J3096),AND($J3096&gt;=0,$J3096=INT($J3096)),FALSE())),$J3096,0)</f>
        <v>0</v>
      </c>
      <c r="Q3096" s="64" t="n">
        <f aca="false">IF(AND($P3096&gt;0,$O3096&gt;0),$P3096,0)</f>
        <v>0</v>
      </c>
      <c r="R3096" s="64" t="n">
        <f aca="false">IF(AND($Q3096&gt;0,$O3096&gt;=AtRank),$Q3096,0)</f>
        <v>0</v>
      </c>
      <c r="S3096" s="64" t="n">
        <f aca="false">IF(AND($Q3096&gt;0,$O3096&gt;=AboveRank),$Q3096,0)</f>
        <v>0</v>
      </c>
      <c r="T3096" s="64" t="n">
        <f aca="false">IF($K3096="Less",$P3096,0)</f>
        <v>0</v>
      </c>
      <c r="U3096" s="64" t="n">
        <f aca="false">IF($K3096="Expected",$P3096,0)</f>
        <v>0</v>
      </c>
      <c r="V3096" s="64" t="n">
        <f aca="false">IF($K3096="Better",$P3096,0)</f>
        <v>0</v>
      </c>
      <c r="W3096" s="64" t="n">
        <f aca="false">IF($K3096="U – needs rule",$P3096,0)</f>
        <v>0</v>
      </c>
      <c r="X3096" s="64" t="n">
        <f aca="false">IF($K3096="No Start (attainment only)",$P3096,0)</f>
        <v>0</v>
      </c>
    </row>
    <row r="3097" customFormat="false" ht="15" hidden="false" customHeight="false" outlineLevel="0" collapsed="false">
      <c r="A3097" s="60"/>
      <c r="B3097" s="61" t="str">
        <f aca="false">IF($M3097=0,"",INDEX(Classes!$E$6:$E$420,$M3097))</f>
        <v/>
      </c>
      <c r="C3097" s="62" t="str">
        <f aca="false">IF($M3097=0,"",INDEX(Classes!$H$6:$H$420,$M3097))</f>
        <v/>
      </c>
      <c r="D3097" s="61" t="str">
        <f aca="false">IF($M3097=0,"",INDEX(Classes!$B$6:$B$420,$M3097))</f>
        <v/>
      </c>
      <c r="E3097" s="61" t="str">
        <f aca="false">IF($M3097=0,"",INDEX(Classes!$C$6:$C$420,$M3097))</f>
        <v/>
      </c>
      <c r="F3097" s="63"/>
      <c r="G3097" s="63"/>
      <c r="H3097" s="60"/>
      <c r="I3097" s="60"/>
      <c r="J3097" s="63"/>
      <c r="K3097" s="61" t="str">
        <f aca="false">IF($P3097=0,"",IF($F3097="Baseline","— Baseline",IF($O3097=0,"No result",IF($N3097=0,"No Start (attainment only)",IF(OR($N3097=1,$O3097=1),"U – needs rule",INDEX(MxBody,MATCH($I3097,MxCurr,0),MATCH($H3097,MxStart,0)))))))</f>
        <v/>
      </c>
      <c r="L3097" s="62" t="str">
        <f aca="false">IF(COUNTA($A3097,$F3097,$G3097,$H3097,$I3097,$J3097)=0,"",IF($M3097=0,"✖ كود الصف غير موجود",IF(ISNA(MATCH($F3097,Lists!$A$2:$A$5,0)),"✖ الفترة غير صحيحة",IF(ISNA(MATCH($G3097,Lists!$B$2:$B$7,0)),"✖ المجموعة غير صحيحة",IF(NOT(OR($H3097="",$N3097&gt;0)),"✖ Start غير صحيح",IF(NOT(OR($I3097="",$I3097="NR",$O3097&gt;0)),"✖ Current غير صحيح",IF(NOT(IF(ISNUMBER($J3097),AND($J3097&gt;=0,$J3097=INT($J3097)),FALSE())),"✖ العدد يجب أن يكون صحيحًا ≥ 0",IF(AND($F3097="Baseline",$H3097&lt;&gt;""),"⚠ Baseline: Start لا يدخل في التقدم",IF($K3097="No Start (attainment only)","ℹ تحصيل فقط (بدون Start)",IF($K3097="U – needs rule","ℹ حالة U تحتاج قاعدة معتمدة",IF($K3097="No result","ℹ بدون نتيجة (يُستبعد من التحصيل)","OK")))))))))))</f>
        <v/>
      </c>
      <c r="M3097" s="64" t="n">
        <f aca="false">IF($A3097="",0,IFERROR(MATCH($A3097,Classes!$A$6:$A$420,0),0))</f>
        <v>0</v>
      </c>
      <c r="N3097" s="64" t="n">
        <f aca="false">IF($H3097="",0,IFERROR(MATCH($H3097,GradeList,0),0))</f>
        <v>0</v>
      </c>
      <c r="O3097" s="64" t="n">
        <f aca="false">IF(OR($I3097="",$I3097="NR"),0,IFERROR(MATCH($I3097,GradeList,0),0))</f>
        <v>0</v>
      </c>
      <c r="P3097" s="64" t="n">
        <f aca="false">IF(AND($M3097&gt;0,ISNUMBER(MATCH($F3097,Lists!$A$2:$A$5,0)),ISNUMBER(MATCH($G3097,Lists!$B$2:$B$7,0)),OR($H3097="",$N3097&gt;0),OR($I3097="",$I3097="NR",$O3097&gt;0),IF(ISNUMBER($J3097),AND($J3097&gt;=0,$J3097=INT($J3097)),FALSE())),$J3097,0)</f>
        <v>0</v>
      </c>
      <c r="Q3097" s="64" t="n">
        <f aca="false">IF(AND($P3097&gt;0,$O3097&gt;0),$P3097,0)</f>
        <v>0</v>
      </c>
      <c r="R3097" s="64" t="n">
        <f aca="false">IF(AND($Q3097&gt;0,$O3097&gt;=AtRank),$Q3097,0)</f>
        <v>0</v>
      </c>
      <c r="S3097" s="64" t="n">
        <f aca="false">IF(AND($Q3097&gt;0,$O3097&gt;=AboveRank),$Q3097,0)</f>
        <v>0</v>
      </c>
      <c r="T3097" s="64" t="n">
        <f aca="false">IF($K3097="Less",$P3097,0)</f>
        <v>0</v>
      </c>
      <c r="U3097" s="64" t="n">
        <f aca="false">IF($K3097="Expected",$P3097,0)</f>
        <v>0</v>
      </c>
      <c r="V3097" s="64" t="n">
        <f aca="false">IF($K3097="Better",$P3097,0)</f>
        <v>0</v>
      </c>
      <c r="W3097" s="64" t="n">
        <f aca="false">IF($K3097="U – needs rule",$P3097,0)</f>
        <v>0</v>
      </c>
      <c r="X3097" s="64" t="n">
        <f aca="false">IF($K3097="No Start (attainment only)",$P3097,0)</f>
        <v>0</v>
      </c>
    </row>
    <row r="3098" customFormat="false" ht="15" hidden="false" customHeight="false" outlineLevel="0" collapsed="false">
      <c r="A3098" s="60"/>
      <c r="B3098" s="61" t="str">
        <f aca="false">IF($M3098=0,"",INDEX(Classes!$E$6:$E$420,$M3098))</f>
        <v/>
      </c>
      <c r="C3098" s="62" t="str">
        <f aca="false">IF($M3098=0,"",INDEX(Classes!$H$6:$H$420,$M3098))</f>
        <v/>
      </c>
      <c r="D3098" s="61" t="str">
        <f aca="false">IF($M3098=0,"",INDEX(Classes!$B$6:$B$420,$M3098))</f>
        <v/>
      </c>
      <c r="E3098" s="61" t="str">
        <f aca="false">IF($M3098=0,"",INDEX(Classes!$C$6:$C$420,$M3098))</f>
        <v/>
      </c>
      <c r="F3098" s="63"/>
      <c r="G3098" s="63"/>
      <c r="H3098" s="60"/>
      <c r="I3098" s="60"/>
      <c r="J3098" s="63"/>
      <c r="K3098" s="61" t="str">
        <f aca="false">IF($P3098=0,"",IF($F3098="Baseline","— Baseline",IF($O3098=0,"No result",IF($N3098=0,"No Start (attainment only)",IF(OR($N3098=1,$O3098=1),"U – needs rule",INDEX(MxBody,MATCH($I3098,MxCurr,0),MATCH($H3098,MxStart,0)))))))</f>
        <v/>
      </c>
      <c r="L3098" s="62" t="str">
        <f aca="false">IF(COUNTA($A3098,$F3098,$G3098,$H3098,$I3098,$J3098)=0,"",IF($M3098=0,"✖ كود الصف غير موجود",IF(ISNA(MATCH($F3098,Lists!$A$2:$A$5,0)),"✖ الفترة غير صحيحة",IF(ISNA(MATCH($G3098,Lists!$B$2:$B$7,0)),"✖ المجموعة غير صحيحة",IF(NOT(OR($H3098="",$N3098&gt;0)),"✖ Start غير صحيح",IF(NOT(OR($I3098="",$I3098="NR",$O3098&gt;0)),"✖ Current غير صحيح",IF(NOT(IF(ISNUMBER($J3098),AND($J3098&gt;=0,$J3098=INT($J3098)),FALSE())),"✖ العدد يجب أن يكون صحيحًا ≥ 0",IF(AND($F3098="Baseline",$H3098&lt;&gt;""),"⚠ Baseline: Start لا يدخل في التقدم",IF($K3098="No Start (attainment only)","ℹ تحصيل فقط (بدون Start)",IF($K3098="U – needs rule","ℹ حالة U تحتاج قاعدة معتمدة",IF($K3098="No result","ℹ بدون نتيجة (يُستبعد من التحصيل)","OK")))))))))))</f>
        <v/>
      </c>
      <c r="M3098" s="64" t="n">
        <f aca="false">IF($A3098="",0,IFERROR(MATCH($A3098,Classes!$A$6:$A$420,0),0))</f>
        <v>0</v>
      </c>
      <c r="N3098" s="64" t="n">
        <f aca="false">IF($H3098="",0,IFERROR(MATCH($H3098,GradeList,0),0))</f>
        <v>0</v>
      </c>
      <c r="O3098" s="64" t="n">
        <f aca="false">IF(OR($I3098="",$I3098="NR"),0,IFERROR(MATCH($I3098,GradeList,0),0))</f>
        <v>0</v>
      </c>
      <c r="P3098" s="64" t="n">
        <f aca="false">IF(AND($M3098&gt;0,ISNUMBER(MATCH($F3098,Lists!$A$2:$A$5,0)),ISNUMBER(MATCH($G3098,Lists!$B$2:$B$7,0)),OR($H3098="",$N3098&gt;0),OR($I3098="",$I3098="NR",$O3098&gt;0),IF(ISNUMBER($J3098),AND($J3098&gt;=0,$J3098=INT($J3098)),FALSE())),$J3098,0)</f>
        <v>0</v>
      </c>
      <c r="Q3098" s="64" t="n">
        <f aca="false">IF(AND($P3098&gt;0,$O3098&gt;0),$P3098,0)</f>
        <v>0</v>
      </c>
      <c r="R3098" s="64" t="n">
        <f aca="false">IF(AND($Q3098&gt;0,$O3098&gt;=AtRank),$Q3098,0)</f>
        <v>0</v>
      </c>
      <c r="S3098" s="64" t="n">
        <f aca="false">IF(AND($Q3098&gt;0,$O3098&gt;=AboveRank),$Q3098,0)</f>
        <v>0</v>
      </c>
      <c r="T3098" s="64" t="n">
        <f aca="false">IF($K3098="Less",$P3098,0)</f>
        <v>0</v>
      </c>
      <c r="U3098" s="64" t="n">
        <f aca="false">IF($K3098="Expected",$P3098,0)</f>
        <v>0</v>
      </c>
      <c r="V3098" s="64" t="n">
        <f aca="false">IF($K3098="Better",$P3098,0)</f>
        <v>0</v>
      </c>
      <c r="W3098" s="64" t="n">
        <f aca="false">IF($K3098="U – needs rule",$P3098,0)</f>
        <v>0</v>
      </c>
      <c r="X3098" s="64" t="n">
        <f aca="false">IF($K3098="No Start (attainment only)",$P3098,0)</f>
        <v>0</v>
      </c>
    </row>
    <row r="3099" customFormat="false" ht="15" hidden="false" customHeight="false" outlineLevel="0" collapsed="false">
      <c r="A3099" s="60"/>
      <c r="B3099" s="61" t="str">
        <f aca="false">IF($M3099=0,"",INDEX(Classes!$E$6:$E$420,$M3099))</f>
        <v/>
      </c>
      <c r="C3099" s="62" t="str">
        <f aca="false">IF($M3099=0,"",INDEX(Classes!$H$6:$H$420,$M3099))</f>
        <v/>
      </c>
      <c r="D3099" s="61" t="str">
        <f aca="false">IF($M3099=0,"",INDEX(Classes!$B$6:$B$420,$M3099))</f>
        <v/>
      </c>
      <c r="E3099" s="61" t="str">
        <f aca="false">IF($M3099=0,"",INDEX(Classes!$C$6:$C$420,$M3099))</f>
        <v/>
      </c>
      <c r="F3099" s="63"/>
      <c r="G3099" s="63"/>
      <c r="H3099" s="60"/>
      <c r="I3099" s="60"/>
      <c r="J3099" s="63"/>
      <c r="K3099" s="61" t="str">
        <f aca="false">IF($P3099=0,"",IF($F3099="Baseline","— Baseline",IF($O3099=0,"No result",IF($N3099=0,"No Start (attainment only)",IF(OR($N3099=1,$O3099=1),"U – needs rule",INDEX(MxBody,MATCH($I3099,MxCurr,0),MATCH($H3099,MxStart,0)))))))</f>
        <v/>
      </c>
      <c r="L3099" s="62" t="str">
        <f aca="false">IF(COUNTA($A3099,$F3099,$G3099,$H3099,$I3099,$J3099)=0,"",IF($M3099=0,"✖ كود الصف غير موجود",IF(ISNA(MATCH($F3099,Lists!$A$2:$A$5,0)),"✖ الفترة غير صحيحة",IF(ISNA(MATCH($G3099,Lists!$B$2:$B$7,0)),"✖ المجموعة غير صحيحة",IF(NOT(OR($H3099="",$N3099&gt;0)),"✖ Start غير صحيح",IF(NOT(OR($I3099="",$I3099="NR",$O3099&gt;0)),"✖ Current غير صحيح",IF(NOT(IF(ISNUMBER($J3099),AND($J3099&gt;=0,$J3099=INT($J3099)),FALSE())),"✖ العدد يجب أن يكون صحيحًا ≥ 0",IF(AND($F3099="Baseline",$H3099&lt;&gt;""),"⚠ Baseline: Start لا يدخل في التقدم",IF($K3099="No Start (attainment only)","ℹ تحصيل فقط (بدون Start)",IF($K3099="U – needs rule","ℹ حالة U تحتاج قاعدة معتمدة",IF($K3099="No result","ℹ بدون نتيجة (يُستبعد من التحصيل)","OK")))))))))))</f>
        <v/>
      </c>
      <c r="M3099" s="64" t="n">
        <f aca="false">IF($A3099="",0,IFERROR(MATCH($A3099,Classes!$A$6:$A$420,0),0))</f>
        <v>0</v>
      </c>
      <c r="N3099" s="64" t="n">
        <f aca="false">IF($H3099="",0,IFERROR(MATCH($H3099,GradeList,0),0))</f>
        <v>0</v>
      </c>
      <c r="O3099" s="64" t="n">
        <f aca="false">IF(OR($I3099="",$I3099="NR"),0,IFERROR(MATCH($I3099,GradeList,0),0))</f>
        <v>0</v>
      </c>
      <c r="P3099" s="64" t="n">
        <f aca="false">IF(AND($M3099&gt;0,ISNUMBER(MATCH($F3099,Lists!$A$2:$A$5,0)),ISNUMBER(MATCH($G3099,Lists!$B$2:$B$7,0)),OR($H3099="",$N3099&gt;0),OR($I3099="",$I3099="NR",$O3099&gt;0),IF(ISNUMBER($J3099),AND($J3099&gt;=0,$J3099=INT($J3099)),FALSE())),$J3099,0)</f>
        <v>0</v>
      </c>
      <c r="Q3099" s="64" t="n">
        <f aca="false">IF(AND($P3099&gt;0,$O3099&gt;0),$P3099,0)</f>
        <v>0</v>
      </c>
      <c r="R3099" s="64" t="n">
        <f aca="false">IF(AND($Q3099&gt;0,$O3099&gt;=AtRank),$Q3099,0)</f>
        <v>0</v>
      </c>
      <c r="S3099" s="64" t="n">
        <f aca="false">IF(AND($Q3099&gt;0,$O3099&gt;=AboveRank),$Q3099,0)</f>
        <v>0</v>
      </c>
      <c r="T3099" s="64" t="n">
        <f aca="false">IF($K3099="Less",$P3099,0)</f>
        <v>0</v>
      </c>
      <c r="U3099" s="64" t="n">
        <f aca="false">IF($K3099="Expected",$P3099,0)</f>
        <v>0</v>
      </c>
      <c r="V3099" s="64" t="n">
        <f aca="false">IF($K3099="Better",$P3099,0)</f>
        <v>0</v>
      </c>
      <c r="W3099" s="64" t="n">
        <f aca="false">IF($K3099="U – needs rule",$P3099,0)</f>
        <v>0</v>
      </c>
      <c r="X3099" s="64" t="n">
        <f aca="false">IF($K3099="No Start (attainment only)",$P3099,0)</f>
        <v>0</v>
      </c>
    </row>
    <row r="3100" customFormat="false" ht="15" hidden="false" customHeight="false" outlineLevel="0" collapsed="false">
      <c r="A3100" s="60"/>
      <c r="B3100" s="61" t="str">
        <f aca="false">IF($M3100=0,"",INDEX(Classes!$E$6:$E$420,$M3100))</f>
        <v/>
      </c>
      <c r="C3100" s="62" t="str">
        <f aca="false">IF($M3100=0,"",INDEX(Classes!$H$6:$H$420,$M3100))</f>
        <v/>
      </c>
      <c r="D3100" s="61" t="str">
        <f aca="false">IF($M3100=0,"",INDEX(Classes!$B$6:$B$420,$M3100))</f>
        <v/>
      </c>
      <c r="E3100" s="61" t="str">
        <f aca="false">IF($M3100=0,"",INDEX(Classes!$C$6:$C$420,$M3100))</f>
        <v/>
      </c>
      <c r="F3100" s="63"/>
      <c r="G3100" s="63"/>
      <c r="H3100" s="60"/>
      <c r="I3100" s="60"/>
      <c r="J3100" s="63"/>
      <c r="K3100" s="61" t="str">
        <f aca="false">IF($P3100=0,"",IF($F3100="Baseline","— Baseline",IF($O3100=0,"No result",IF($N3100=0,"No Start (attainment only)",IF(OR($N3100=1,$O3100=1),"U – needs rule",INDEX(MxBody,MATCH($I3100,MxCurr,0),MATCH($H3100,MxStart,0)))))))</f>
        <v/>
      </c>
      <c r="L3100" s="62" t="str">
        <f aca="false">IF(COUNTA($A3100,$F3100,$G3100,$H3100,$I3100,$J3100)=0,"",IF($M3100=0,"✖ كود الصف غير موجود",IF(ISNA(MATCH($F3100,Lists!$A$2:$A$5,0)),"✖ الفترة غير صحيحة",IF(ISNA(MATCH($G3100,Lists!$B$2:$B$7,0)),"✖ المجموعة غير صحيحة",IF(NOT(OR($H3100="",$N3100&gt;0)),"✖ Start غير صحيح",IF(NOT(OR($I3100="",$I3100="NR",$O3100&gt;0)),"✖ Current غير صحيح",IF(NOT(IF(ISNUMBER($J3100),AND($J3100&gt;=0,$J3100=INT($J3100)),FALSE())),"✖ العدد يجب أن يكون صحيحًا ≥ 0",IF(AND($F3100="Baseline",$H3100&lt;&gt;""),"⚠ Baseline: Start لا يدخل في التقدم",IF($K3100="No Start (attainment only)","ℹ تحصيل فقط (بدون Start)",IF($K3100="U – needs rule","ℹ حالة U تحتاج قاعدة معتمدة",IF($K3100="No result","ℹ بدون نتيجة (يُستبعد من التحصيل)","OK")))))))))))</f>
        <v/>
      </c>
      <c r="M3100" s="64" t="n">
        <f aca="false">IF($A3100="",0,IFERROR(MATCH($A3100,Classes!$A$6:$A$420,0),0))</f>
        <v>0</v>
      </c>
      <c r="N3100" s="64" t="n">
        <f aca="false">IF($H3100="",0,IFERROR(MATCH($H3100,GradeList,0),0))</f>
        <v>0</v>
      </c>
      <c r="O3100" s="64" t="n">
        <f aca="false">IF(OR($I3100="",$I3100="NR"),0,IFERROR(MATCH($I3100,GradeList,0),0))</f>
        <v>0</v>
      </c>
      <c r="P3100" s="64" t="n">
        <f aca="false">IF(AND($M3100&gt;0,ISNUMBER(MATCH($F3100,Lists!$A$2:$A$5,0)),ISNUMBER(MATCH($G3100,Lists!$B$2:$B$7,0)),OR($H3100="",$N3100&gt;0),OR($I3100="",$I3100="NR",$O3100&gt;0),IF(ISNUMBER($J3100),AND($J3100&gt;=0,$J3100=INT($J3100)),FALSE())),$J3100,0)</f>
        <v>0</v>
      </c>
      <c r="Q3100" s="64" t="n">
        <f aca="false">IF(AND($P3100&gt;0,$O3100&gt;0),$P3100,0)</f>
        <v>0</v>
      </c>
      <c r="R3100" s="64" t="n">
        <f aca="false">IF(AND($Q3100&gt;0,$O3100&gt;=AtRank),$Q3100,0)</f>
        <v>0</v>
      </c>
      <c r="S3100" s="64" t="n">
        <f aca="false">IF(AND($Q3100&gt;0,$O3100&gt;=AboveRank),$Q3100,0)</f>
        <v>0</v>
      </c>
      <c r="T3100" s="64" t="n">
        <f aca="false">IF($K3100="Less",$P3100,0)</f>
        <v>0</v>
      </c>
      <c r="U3100" s="64" t="n">
        <f aca="false">IF($K3100="Expected",$P3100,0)</f>
        <v>0</v>
      </c>
      <c r="V3100" s="64" t="n">
        <f aca="false">IF($K3100="Better",$P3100,0)</f>
        <v>0</v>
      </c>
      <c r="W3100" s="64" t="n">
        <f aca="false">IF($K3100="U – needs rule",$P3100,0)</f>
        <v>0</v>
      </c>
      <c r="X3100" s="64" t="n">
        <f aca="false">IF($K3100="No Start (attainment only)",$P3100,0)</f>
        <v>0</v>
      </c>
    </row>
    <row r="3101" customFormat="false" ht="15" hidden="false" customHeight="false" outlineLevel="0" collapsed="false">
      <c r="A3101" s="60"/>
      <c r="B3101" s="61" t="str">
        <f aca="false">IF($M3101=0,"",INDEX(Classes!$E$6:$E$420,$M3101))</f>
        <v/>
      </c>
      <c r="C3101" s="62" t="str">
        <f aca="false">IF($M3101=0,"",INDEX(Classes!$H$6:$H$420,$M3101))</f>
        <v/>
      </c>
      <c r="D3101" s="61" t="str">
        <f aca="false">IF($M3101=0,"",INDEX(Classes!$B$6:$B$420,$M3101))</f>
        <v/>
      </c>
      <c r="E3101" s="61" t="str">
        <f aca="false">IF($M3101=0,"",INDEX(Classes!$C$6:$C$420,$M3101))</f>
        <v/>
      </c>
      <c r="F3101" s="63"/>
      <c r="G3101" s="63"/>
      <c r="H3101" s="60"/>
      <c r="I3101" s="60"/>
      <c r="J3101" s="63"/>
      <c r="K3101" s="61" t="str">
        <f aca="false">IF($P3101=0,"",IF($F3101="Baseline","— Baseline",IF($O3101=0,"No result",IF($N3101=0,"No Start (attainment only)",IF(OR($N3101=1,$O3101=1),"U – needs rule",INDEX(MxBody,MATCH($I3101,MxCurr,0),MATCH($H3101,MxStart,0)))))))</f>
        <v/>
      </c>
      <c r="L3101" s="62" t="str">
        <f aca="false">IF(COUNTA($A3101,$F3101,$G3101,$H3101,$I3101,$J3101)=0,"",IF($M3101=0,"✖ كود الصف غير موجود",IF(ISNA(MATCH($F3101,Lists!$A$2:$A$5,0)),"✖ الفترة غير صحيحة",IF(ISNA(MATCH($G3101,Lists!$B$2:$B$7,0)),"✖ المجموعة غير صحيحة",IF(NOT(OR($H3101="",$N3101&gt;0)),"✖ Start غير صحيح",IF(NOT(OR($I3101="",$I3101="NR",$O3101&gt;0)),"✖ Current غير صحيح",IF(NOT(IF(ISNUMBER($J3101),AND($J3101&gt;=0,$J3101=INT($J3101)),FALSE())),"✖ العدد يجب أن يكون صحيحًا ≥ 0",IF(AND($F3101="Baseline",$H3101&lt;&gt;""),"⚠ Baseline: Start لا يدخل في التقدم",IF($K3101="No Start (attainment only)","ℹ تحصيل فقط (بدون Start)",IF($K3101="U – needs rule","ℹ حالة U تحتاج قاعدة معتمدة",IF($K3101="No result","ℹ بدون نتيجة (يُستبعد من التحصيل)","OK")))))))))))</f>
        <v/>
      </c>
      <c r="M3101" s="64" t="n">
        <f aca="false">IF($A3101="",0,IFERROR(MATCH($A3101,Classes!$A$6:$A$420,0),0))</f>
        <v>0</v>
      </c>
      <c r="N3101" s="64" t="n">
        <f aca="false">IF($H3101="",0,IFERROR(MATCH($H3101,GradeList,0),0))</f>
        <v>0</v>
      </c>
      <c r="O3101" s="64" t="n">
        <f aca="false">IF(OR($I3101="",$I3101="NR"),0,IFERROR(MATCH($I3101,GradeList,0),0))</f>
        <v>0</v>
      </c>
      <c r="P3101" s="64" t="n">
        <f aca="false">IF(AND($M3101&gt;0,ISNUMBER(MATCH($F3101,Lists!$A$2:$A$5,0)),ISNUMBER(MATCH($G3101,Lists!$B$2:$B$7,0)),OR($H3101="",$N3101&gt;0),OR($I3101="",$I3101="NR",$O3101&gt;0),IF(ISNUMBER($J3101),AND($J3101&gt;=0,$J3101=INT($J3101)),FALSE())),$J3101,0)</f>
        <v>0</v>
      </c>
      <c r="Q3101" s="64" t="n">
        <f aca="false">IF(AND($P3101&gt;0,$O3101&gt;0),$P3101,0)</f>
        <v>0</v>
      </c>
      <c r="R3101" s="64" t="n">
        <f aca="false">IF(AND($Q3101&gt;0,$O3101&gt;=AtRank),$Q3101,0)</f>
        <v>0</v>
      </c>
      <c r="S3101" s="64" t="n">
        <f aca="false">IF(AND($Q3101&gt;0,$O3101&gt;=AboveRank),$Q3101,0)</f>
        <v>0</v>
      </c>
      <c r="T3101" s="64" t="n">
        <f aca="false">IF($K3101="Less",$P3101,0)</f>
        <v>0</v>
      </c>
      <c r="U3101" s="64" t="n">
        <f aca="false">IF($K3101="Expected",$P3101,0)</f>
        <v>0</v>
      </c>
      <c r="V3101" s="64" t="n">
        <f aca="false">IF($K3101="Better",$P3101,0)</f>
        <v>0</v>
      </c>
      <c r="W3101" s="64" t="n">
        <f aca="false">IF($K3101="U – needs rule",$P3101,0)</f>
        <v>0</v>
      </c>
      <c r="X3101" s="64" t="n">
        <f aca="false">IF($K3101="No Start (attainment only)",$P3101,0)</f>
        <v>0</v>
      </c>
    </row>
    <row r="3102" customFormat="false" ht="15" hidden="false" customHeight="false" outlineLevel="0" collapsed="false">
      <c r="A3102" s="60"/>
      <c r="B3102" s="61" t="str">
        <f aca="false">IF($M3102=0,"",INDEX(Classes!$E$6:$E$420,$M3102))</f>
        <v/>
      </c>
      <c r="C3102" s="62" t="str">
        <f aca="false">IF($M3102=0,"",INDEX(Classes!$H$6:$H$420,$M3102))</f>
        <v/>
      </c>
      <c r="D3102" s="61" t="str">
        <f aca="false">IF($M3102=0,"",INDEX(Classes!$B$6:$B$420,$M3102))</f>
        <v/>
      </c>
      <c r="E3102" s="61" t="str">
        <f aca="false">IF($M3102=0,"",INDEX(Classes!$C$6:$C$420,$M3102))</f>
        <v/>
      </c>
      <c r="F3102" s="63"/>
      <c r="G3102" s="63"/>
      <c r="H3102" s="60"/>
      <c r="I3102" s="60"/>
      <c r="J3102" s="63"/>
      <c r="K3102" s="61" t="str">
        <f aca="false">IF($P3102=0,"",IF($F3102="Baseline","— Baseline",IF($O3102=0,"No result",IF($N3102=0,"No Start (attainment only)",IF(OR($N3102=1,$O3102=1),"U – needs rule",INDEX(MxBody,MATCH($I3102,MxCurr,0),MATCH($H3102,MxStart,0)))))))</f>
        <v/>
      </c>
      <c r="L3102" s="62" t="str">
        <f aca="false">IF(COUNTA($A3102,$F3102,$G3102,$H3102,$I3102,$J3102)=0,"",IF($M3102=0,"✖ كود الصف غير موجود",IF(ISNA(MATCH($F3102,Lists!$A$2:$A$5,0)),"✖ الفترة غير صحيحة",IF(ISNA(MATCH($G3102,Lists!$B$2:$B$7,0)),"✖ المجموعة غير صحيحة",IF(NOT(OR($H3102="",$N3102&gt;0)),"✖ Start غير صحيح",IF(NOT(OR($I3102="",$I3102="NR",$O3102&gt;0)),"✖ Current غير صحيح",IF(NOT(IF(ISNUMBER($J3102),AND($J3102&gt;=0,$J3102=INT($J3102)),FALSE())),"✖ العدد يجب أن يكون صحيحًا ≥ 0",IF(AND($F3102="Baseline",$H3102&lt;&gt;""),"⚠ Baseline: Start لا يدخل في التقدم",IF($K3102="No Start (attainment only)","ℹ تحصيل فقط (بدون Start)",IF($K3102="U – needs rule","ℹ حالة U تحتاج قاعدة معتمدة",IF($K3102="No result","ℹ بدون نتيجة (يُستبعد من التحصيل)","OK")))))))))))</f>
        <v/>
      </c>
      <c r="M3102" s="64" t="n">
        <f aca="false">IF($A3102="",0,IFERROR(MATCH($A3102,Classes!$A$6:$A$420,0),0))</f>
        <v>0</v>
      </c>
      <c r="N3102" s="64" t="n">
        <f aca="false">IF($H3102="",0,IFERROR(MATCH($H3102,GradeList,0),0))</f>
        <v>0</v>
      </c>
      <c r="O3102" s="64" t="n">
        <f aca="false">IF(OR($I3102="",$I3102="NR"),0,IFERROR(MATCH($I3102,GradeList,0),0))</f>
        <v>0</v>
      </c>
      <c r="P3102" s="64" t="n">
        <f aca="false">IF(AND($M3102&gt;0,ISNUMBER(MATCH($F3102,Lists!$A$2:$A$5,0)),ISNUMBER(MATCH($G3102,Lists!$B$2:$B$7,0)),OR($H3102="",$N3102&gt;0),OR($I3102="",$I3102="NR",$O3102&gt;0),IF(ISNUMBER($J3102),AND($J3102&gt;=0,$J3102=INT($J3102)),FALSE())),$J3102,0)</f>
        <v>0</v>
      </c>
      <c r="Q3102" s="64" t="n">
        <f aca="false">IF(AND($P3102&gt;0,$O3102&gt;0),$P3102,0)</f>
        <v>0</v>
      </c>
      <c r="R3102" s="64" t="n">
        <f aca="false">IF(AND($Q3102&gt;0,$O3102&gt;=AtRank),$Q3102,0)</f>
        <v>0</v>
      </c>
      <c r="S3102" s="64" t="n">
        <f aca="false">IF(AND($Q3102&gt;0,$O3102&gt;=AboveRank),$Q3102,0)</f>
        <v>0</v>
      </c>
      <c r="T3102" s="64" t="n">
        <f aca="false">IF($K3102="Less",$P3102,0)</f>
        <v>0</v>
      </c>
      <c r="U3102" s="64" t="n">
        <f aca="false">IF($K3102="Expected",$P3102,0)</f>
        <v>0</v>
      </c>
      <c r="V3102" s="64" t="n">
        <f aca="false">IF($K3102="Better",$P3102,0)</f>
        <v>0</v>
      </c>
      <c r="W3102" s="64" t="n">
        <f aca="false">IF($K3102="U – needs rule",$P3102,0)</f>
        <v>0</v>
      </c>
      <c r="X3102" s="64" t="n">
        <f aca="false">IF($K3102="No Start (attainment only)",$P3102,0)</f>
        <v>0</v>
      </c>
    </row>
    <row r="3103" customFormat="false" ht="15" hidden="false" customHeight="false" outlineLevel="0" collapsed="false">
      <c r="A3103" s="60"/>
      <c r="B3103" s="61" t="str">
        <f aca="false">IF($M3103=0,"",INDEX(Classes!$E$6:$E$420,$M3103))</f>
        <v/>
      </c>
      <c r="C3103" s="62" t="str">
        <f aca="false">IF($M3103=0,"",INDEX(Classes!$H$6:$H$420,$M3103))</f>
        <v/>
      </c>
      <c r="D3103" s="61" t="str">
        <f aca="false">IF($M3103=0,"",INDEX(Classes!$B$6:$B$420,$M3103))</f>
        <v/>
      </c>
      <c r="E3103" s="61" t="str">
        <f aca="false">IF($M3103=0,"",INDEX(Classes!$C$6:$C$420,$M3103))</f>
        <v/>
      </c>
      <c r="F3103" s="63"/>
      <c r="G3103" s="63"/>
      <c r="H3103" s="60"/>
      <c r="I3103" s="60"/>
      <c r="J3103" s="63"/>
      <c r="K3103" s="61" t="str">
        <f aca="false">IF($P3103=0,"",IF($F3103="Baseline","— Baseline",IF($O3103=0,"No result",IF($N3103=0,"No Start (attainment only)",IF(OR($N3103=1,$O3103=1),"U – needs rule",INDEX(MxBody,MATCH($I3103,MxCurr,0),MATCH($H3103,MxStart,0)))))))</f>
        <v/>
      </c>
      <c r="L3103" s="62" t="str">
        <f aca="false">IF(COUNTA($A3103,$F3103,$G3103,$H3103,$I3103,$J3103)=0,"",IF($M3103=0,"✖ كود الصف غير موجود",IF(ISNA(MATCH($F3103,Lists!$A$2:$A$5,0)),"✖ الفترة غير صحيحة",IF(ISNA(MATCH($G3103,Lists!$B$2:$B$7,0)),"✖ المجموعة غير صحيحة",IF(NOT(OR($H3103="",$N3103&gt;0)),"✖ Start غير صحيح",IF(NOT(OR($I3103="",$I3103="NR",$O3103&gt;0)),"✖ Current غير صحيح",IF(NOT(IF(ISNUMBER($J3103),AND($J3103&gt;=0,$J3103=INT($J3103)),FALSE())),"✖ العدد يجب أن يكون صحيحًا ≥ 0",IF(AND($F3103="Baseline",$H3103&lt;&gt;""),"⚠ Baseline: Start لا يدخل في التقدم",IF($K3103="No Start (attainment only)","ℹ تحصيل فقط (بدون Start)",IF($K3103="U – needs rule","ℹ حالة U تحتاج قاعدة معتمدة",IF($K3103="No result","ℹ بدون نتيجة (يُستبعد من التحصيل)","OK")))))))))))</f>
        <v/>
      </c>
      <c r="M3103" s="64" t="n">
        <f aca="false">IF($A3103="",0,IFERROR(MATCH($A3103,Classes!$A$6:$A$420,0),0))</f>
        <v>0</v>
      </c>
      <c r="N3103" s="64" t="n">
        <f aca="false">IF($H3103="",0,IFERROR(MATCH($H3103,GradeList,0),0))</f>
        <v>0</v>
      </c>
      <c r="O3103" s="64" t="n">
        <f aca="false">IF(OR($I3103="",$I3103="NR"),0,IFERROR(MATCH($I3103,GradeList,0),0))</f>
        <v>0</v>
      </c>
      <c r="P3103" s="64" t="n">
        <f aca="false">IF(AND($M3103&gt;0,ISNUMBER(MATCH($F3103,Lists!$A$2:$A$5,0)),ISNUMBER(MATCH($G3103,Lists!$B$2:$B$7,0)),OR($H3103="",$N3103&gt;0),OR($I3103="",$I3103="NR",$O3103&gt;0),IF(ISNUMBER($J3103),AND($J3103&gt;=0,$J3103=INT($J3103)),FALSE())),$J3103,0)</f>
        <v>0</v>
      </c>
      <c r="Q3103" s="64" t="n">
        <f aca="false">IF(AND($P3103&gt;0,$O3103&gt;0),$P3103,0)</f>
        <v>0</v>
      </c>
      <c r="R3103" s="64" t="n">
        <f aca="false">IF(AND($Q3103&gt;0,$O3103&gt;=AtRank),$Q3103,0)</f>
        <v>0</v>
      </c>
      <c r="S3103" s="64" t="n">
        <f aca="false">IF(AND($Q3103&gt;0,$O3103&gt;=AboveRank),$Q3103,0)</f>
        <v>0</v>
      </c>
      <c r="T3103" s="64" t="n">
        <f aca="false">IF($K3103="Less",$P3103,0)</f>
        <v>0</v>
      </c>
      <c r="U3103" s="64" t="n">
        <f aca="false">IF($K3103="Expected",$P3103,0)</f>
        <v>0</v>
      </c>
      <c r="V3103" s="64" t="n">
        <f aca="false">IF($K3103="Better",$P3103,0)</f>
        <v>0</v>
      </c>
      <c r="W3103" s="64" t="n">
        <f aca="false">IF($K3103="U – needs rule",$P3103,0)</f>
        <v>0</v>
      </c>
      <c r="X3103" s="64" t="n">
        <f aca="false">IF($K3103="No Start (attainment only)",$P3103,0)</f>
        <v>0</v>
      </c>
    </row>
    <row r="3104" customFormat="false" ht="15" hidden="false" customHeight="false" outlineLevel="0" collapsed="false">
      <c r="A3104" s="60"/>
      <c r="B3104" s="61" t="str">
        <f aca="false">IF($M3104=0,"",INDEX(Classes!$E$6:$E$420,$M3104))</f>
        <v/>
      </c>
      <c r="C3104" s="62" t="str">
        <f aca="false">IF($M3104=0,"",INDEX(Classes!$H$6:$H$420,$M3104))</f>
        <v/>
      </c>
      <c r="D3104" s="61" t="str">
        <f aca="false">IF($M3104=0,"",INDEX(Classes!$B$6:$B$420,$M3104))</f>
        <v/>
      </c>
      <c r="E3104" s="61" t="str">
        <f aca="false">IF($M3104=0,"",INDEX(Classes!$C$6:$C$420,$M3104))</f>
        <v/>
      </c>
      <c r="F3104" s="63"/>
      <c r="G3104" s="63"/>
      <c r="H3104" s="60"/>
      <c r="I3104" s="60"/>
      <c r="J3104" s="63"/>
      <c r="K3104" s="61" t="str">
        <f aca="false">IF($P3104=0,"",IF($F3104="Baseline","— Baseline",IF($O3104=0,"No result",IF($N3104=0,"No Start (attainment only)",IF(OR($N3104=1,$O3104=1),"U – needs rule",INDEX(MxBody,MATCH($I3104,MxCurr,0),MATCH($H3104,MxStart,0)))))))</f>
        <v/>
      </c>
      <c r="L3104" s="62" t="str">
        <f aca="false">IF(COUNTA($A3104,$F3104,$G3104,$H3104,$I3104,$J3104)=0,"",IF($M3104=0,"✖ كود الصف غير موجود",IF(ISNA(MATCH($F3104,Lists!$A$2:$A$5,0)),"✖ الفترة غير صحيحة",IF(ISNA(MATCH($G3104,Lists!$B$2:$B$7,0)),"✖ المجموعة غير صحيحة",IF(NOT(OR($H3104="",$N3104&gt;0)),"✖ Start غير صحيح",IF(NOT(OR($I3104="",$I3104="NR",$O3104&gt;0)),"✖ Current غير صحيح",IF(NOT(IF(ISNUMBER($J3104),AND($J3104&gt;=0,$J3104=INT($J3104)),FALSE())),"✖ العدد يجب أن يكون صحيحًا ≥ 0",IF(AND($F3104="Baseline",$H3104&lt;&gt;""),"⚠ Baseline: Start لا يدخل في التقدم",IF($K3104="No Start (attainment only)","ℹ تحصيل فقط (بدون Start)",IF($K3104="U – needs rule","ℹ حالة U تحتاج قاعدة معتمدة",IF($K3104="No result","ℹ بدون نتيجة (يُستبعد من التحصيل)","OK")))))))))))</f>
        <v/>
      </c>
      <c r="M3104" s="64" t="n">
        <f aca="false">IF($A3104="",0,IFERROR(MATCH($A3104,Classes!$A$6:$A$420,0),0))</f>
        <v>0</v>
      </c>
      <c r="N3104" s="64" t="n">
        <f aca="false">IF($H3104="",0,IFERROR(MATCH($H3104,GradeList,0),0))</f>
        <v>0</v>
      </c>
      <c r="O3104" s="64" t="n">
        <f aca="false">IF(OR($I3104="",$I3104="NR"),0,IFERROR(MATCH($I3104,GradeList,0),0))</f>
        <v>0</v>
      </c>
      <c r="P3104" s="64" t="n">
        <f aca="false">IF(AND($M3104&gt;0,ISNUMBER(MATCH($F3104,Lists!$A$2:$A$5,0)),ISNUMBER(MATCH($G3104,Lists!$B$2:$B$7,0)),OR($H3104="",$N3104&gt;0),OR($I3104="",$I3104="NR",$O3104&gt;0),IF(ISNUMBER($J3104),AND($J3104&gt;=0,$J3104=INT($J3104)),FALSE())),$J3104,0)</f>
        <v>0</v>
      </c>
      <c r="Q3104" s="64" t="n">
        <f aca="false">IF(AND($P3104&gt;0,$O3104&gt;0),$P3104,0)</f>
        <v>0</v>
      </c>
      <c r="R3104" s="64" t="n">
        <f aca="false">IF(AND($Q3104&gt;0,$O3104&gt;=AtRank),$Q3104,0)</f>
        <v>0</v>
      </c>
      <c r="S3104" s="64" t="n">
        <f aca="false">IF(AND($Q3104&gt;0,$O3104&gt;=AboveRank),$Q3104,0)</f>
        <v>0</v>
      </c>
      <c r="T3104" s="64" t="n">
        <f aca="false">IF($K3104="Less",$P3104,0)</f>
        <v>0</v>
      </c>
      <c r="U3104" s="64" t="n">
        <f aca="false">IF($K3104="Expected",$P3104,0)</f>
        <v>0</v>
      </c>
      <c r="V3104" s="64" t="n">
        <f aca="false">IF($K3104="Better",$P3104,0)</f>
        <v>0</v>
      </c>
      <c r="W3104" s="64" t="n">
        <f aca="false">IF($K3104="U – needs rule",$P3104,0)</f>
        <v>0</v>
      </c>
      <c r="X3104" s="64" t="n">
        <f aca="false">IF($K3104="No Start (attainment only)",$P3104,0)</f>
        <v>0</v>
      </c>
    </row>
    <row r="3105" customFormat="false" ht="15" hidden="false" customHeight="false" outlineLevel="0" collapsed="false">
      <c r="A3105" s="60"/>
      <c r="B3105" s="61" t="str">
        <f aca="false">IF($M3105=0,"",INDEX(Classes!$E$6:$E$420,$M3105))</f>
        <v/>
      </c>
      <c r="C3105" s="62" t="str">
        <f aca="false">IF($M3105=0,"",INDEX(Classes!$H$6:$H$420,$M3105))</f>
        <v/>
      </c>
      <c r="D3105" s="61" t="str">
        <f aca="false">IF($M3105=0,"",INDEX(Classes!$B$6:$B$420,$M3105))</f>
        <v/>
      </c>
      <c r="E3105" s="61" t="str">
        <f aca="false">IF($M3105=0,"",INDEX(Classes!$C$6:$C$420,$M3105))</f>
        <v/>
      </c>
      <c r="F3105" s="63"/>
      <c r="G3105" s="63"/>
      <c r="H3105" s="60"/>
      <c r="I3105" s="60"/>
      <c r="J3105" s="63"/>
      <c r="K3105" s="61" t="str">
        <f aca="false">IF($P3105=0,"",IF($F3105="Baseline","— Baseline",IF($O3105=0,"No result",IF($N3105=0,"No Start (attainment only)",IF(OR($N3105=1,$O3105=1),"U – needs rule",INDEX(MxBody,MATCH($I3105,MxCurr,0),MATCH($H3105,MxStart,0)))))))</f>
        <v/>
      </c>
      <c r="L3105" s="62" t="str">
        <f aca="false">IF(COUNTA($A3105,$F3105,$G3105,$H3105,$I3105,$J3105)=0,"",IF($M3105=0,"✖ كود الصف غير موجود",IF(ISNA(MATCH($F3105,Lists!$A$2:$A$5,0)),"✖ الفترة غير صحيحة",IF(ISNA(MATCH($G3105,Lists!$B$2:$B$7,0)),"✖ المجموعة غير صحيحة",IF(NOT(OR($H3105="",$N3105&gt;0)),"✖ Start غير صحيح",IF(NOT(OR($I3105="",$I3105="NR",$O3105&gt;0)),"✖ Current غير صحيح",IF(NOT(IF(ISNUMBER($J3105),AND($J3105&gt;=0,$J3105=INT($J3105)),FALSE())),"✖ العدد يجب أن يكون صحيحًا ≥ 0",IF(AND($F3105="Baseline",$H3105&lt;&gt;""),"⚠ Baseline: Start لا يدخل في التقدم",IF($K3105="No Start (attainment only)","ℹ تحصيل فقط (بدون Start)",IF($K3105="U – needs rule","ℹ حالة U تحتاج قاعدة معتمدة",IF($K3105="No result","ℹ بدون نتيجة (يُستبعد من التحصيل)","OK")))))))))))</f>
        <v/>
      </c>
      <c r="M3105" s="64" t="n">
        <f aca="false">IF($A3105="",0,IFERROR(MATCH($A3105,Classes!$A$6:$A$420,0),0))</f>
        <v>0</v>
      </c>
      <c r="N3105" s="64" t="n">
        <f aca="false">IF($H3105="",0,IFERROR(MATCH($H3105,GradeList,0),0))</f>
        <v>0</v>
      </c>
      <c r="O3105" s="64" t="n">
        <f aca="false">IF(OR($I3105="",$I3105="NR"),0,IFERROR(MATCH($I3105,GradeList,0),0))</f>
        <v>0</v>
      </c>
      <c r="P3105" s="64" t="n">
        <f aca="false">IF(AND($M3105&gt;0,ISNUMBER(MATCH($F3105,Lists!$A$2:$A$5,0)),ISNUMBER(MATCH($G3105,Lists!$B$2:$B$7,0)),OR($H3105="",$N3105&gt;0),OR($I3105="",$I3105="NR",$O3105&gt;0),IF(ISNUMBER($J3105),AND($J3105&gt;=0,$J3105=INT($J3105)),FALSE())),$J3105,0)</f>
        <v>0</v>
      </c>
      <c r="Q3105" s="64" t="n">
        <f aca="false">IF(AND($P3105&gt;0,$O3105&gt;0),$P3105,0)</f>
        <v>0</v>
      </c>
      <c r="R3105" s="64" t="n">
        <f aca="false">IF(AND($Q3105&gt;0,$O3105&gt;=AtRank),$Q3105,0)</f>
        <v>0</v>
      </c>
      <c r="S3105" s="64" t="n">
        <f aca="false">IF(AND($Q3105&gt;0,$O3105&gt;=AboveRank),$Q3105,0)</f>
        <v>0</v>
      </c>
      <c r="T3105" s="64" t="n">
        <f aca="false">IF($K3105="Less",$P3105,0)</f>
        <v>0</v>
      </c>
      <c r="U3105" s="64" t="n">
        <f aca="false">IF($K3105="Expected",$P3105,0)</f>
        <v>0</v>
      </c>
      <c r="V3105" s="64" t="n">
        <f aca="false">IF($K3105="Better",$P3105,0)</f>
        <v>0</v>
      </c>
      <c r="W3105" s="64" t="n">
        <f aca="false">IF($K3105="U – needs rule",$P3105,0)</f>
        <v>0</v>
      </c>
      <c r="X3105" s="64" t="n">
        <f aca="false">IF($K3105="No Start (attainment only)",$P3105,0)</f>
        <v>0</v>
      </c>
    </row>
    <row r="3106" customFormat="false" ht="15" hidden="false" customHeight="false" outlineLevel="0" collapsed="false">
      <c r="A3106" s="60"/>
      <c r="B3106" s="61" t="str">
        <f aca="false">IF($M3106=0,"",INDEX(Classes!$E$6:$E$420,$M3106))</f>
        <v/>
      </c>
      <c r="C3106" s="62" t="str">
        <f aca="false">IF($M3106=0,"",INDEX(Classes!$H$6:$H$420,$M3106))</f>
        <v/>
      </c>
      <c r="D3106" s="61" t="str">
        <f aca="false">IF($M3106=0,"",INDEX(Classes!$B$6:$B$420,$M3106))</f>
        <v/>
      </c>
      <c r="E3106" s="61" t="str">
        <f aca="false">IF($M3106=0,"",INDEX(Classes!$C$6:$C$420,$M3106))</f>
        <v/>
      </c>
      <c r="F3106" s="63"/>
      <c r="G3106" s="63"/>
      <c r="H3106" s="60"/>
      <c r="I3106" s="60"/>
      <c r="J3106" s="63"/>
      <c r="K3106" s="61" t="str">
        <f aca="false">IF($P3106=0,"",IF($F3106="Baseline","— Baseline",IF($O3106=0,"No result",IF($N3106=0,"No Start (attainment only)",IF(OR($N3106=1,$O3106=1),"U – needs rule",INDEX(MxBody,MATCH($I3106,MxCurr,0),MATCH($H3106,MxStart,0)))))))</f>
        <v/>
      </c>
      <c r="L3106" s="62" t="str">
        <f aca="false">IF(COUNTA($A3106,$F3106,$G3106,$H3106,$I3106,$J3106)=0,"",IF($M3106=0,"✖ كود الصف غير موجود",IF(ISNA(MATCH($F3106,Lists!$A$2:$A$5,0)),"✖ الفترة غير صحيحة",IF(ISNA(MATCH($G3106,Lists!$B$2:$B$7,0)),"✖ المجموعة غير صحيحة",IF(NOT(OR($H3106="",$N3106&gt;0)),"✖ Start غير صحيح",IF(NOT(OR($I3106="",$I3106="NR",$O3106&gt;0)),"✖ Current غير صحيح",IF(NOT(IF(ISNUMBER($J3106),AND($J3106&gt;=0,$J3106=INT($J3106)),FALSE())),"✖ العدد يجب أن يكون صحيحًا ≥ 0",IF(AND($F3106="Baseline",$H3106&lt;&gt;""),"⚠ Baseline: Start لا يدخل في التقدم",IF($K3106="No Start (attainment only)","ℹ تحصيل فقط (بدون Start)",IF($K3106="U – needs rule","ℹ حالة U تحتاج قاعدة معتمدة",IF($K3106="No result","ℹ بدون نتيجة (يُستبعد من التحصيل)","OK")))))))))))</f>
        <v/>
      </c>
      <c r="M3106" s="64" t="n">
        <f aca="false">IF($A3106="",0,IFERROR(MATCH($A3106,Classes!$A$6:$A$420,0),0))</f>
        <v>0</v>
      </c>
      <c r="N3106" s="64" t="n">
        <f aca="false">IF($H3106="",0,IFERROR(MATCH($H3106,GradeList,0),0))</f>
        <v>0</v>
      </c>
      <c r="O3106" s="64" t="n">
        <f aca="false">IF(OR($I3106="",$I3106="NR"),0,IFERROR(MATCH($I3106,GradeList,0),0))</f>
        <v>0</v>
      </c>
      <c r="P3106" s="64" t="n">
        <f aca="false">IF(AND($M3106&gt;0,ISNUMBER(MATCH($F3106,Lists!$A$2:$A$5,0)),ISNUMBER(MATCH($G3106,Lists!$B$2:$B$7,0)),OR($H3106="",$N3106&gt;0),OR($I3106="",$I3106="NR",$O3106&gt;0),IF(ISNUMBER($J3106),AND($J3106&gt;=0,$J3106=INT($J3106)),FALSE())),$J3106,0)</f>
        <v>0</v>
      </c>
      <c r="Q3106" s="64" t="n">
        <f aca="false">IF(AND($P3106&gt;0,$O3106&gt;0),$P3106,0)</f>
        <v>0</v>
      </c>
      <c r="R3106" s="64" t="n">
        <f aca="false">IF(AND($Q3106&gt;0,$O3106&gt;=AtRank),$Q3106,0)</f>
        <v>0</v>
      </c>
      <c r="S3106" s="64" t="n">
        <f aca="false">IF(AND($Q3106&gt;0,$O3106&gt;=AboveRank),$Q3106,0)</f>
        <v>0</v>
      </c>
      <c r="T3106" s="64" t="n">
        <f aca="false">IF($K3106="Less",$P3106,0)</f>
        <v>0</v>
      </c>
      <c r="U3106" s="64" t="n">
        <f aca="false">IF($K3106="Expected",$P3106,0)</f>
        <v>0</v>
      </c>
      <c r="V3106" s="64" t="n">
        <f aca="false">IF($K3106="Better",$P3106,0)</f>
        <v>0</v>
      </c>
      <c r="W3106" s="64" t="n">
        <f aca="false">IF($K3106="U – needs rule",$P3106,0)</f>
        <v>0</v>
      </c>
      <c r="X3106" s="64" t="n">
        <f aca="false">IF($K3106="No Start (attainment only)",$P3106,0)</f>
        <v>0</v>
      </c>
    </row>
    <row r="3107" customFormat="false" ht="15" hidden="false" customHeight="false" outlineLevel="0" collapsed="false">
      <c r="A3107" s="60"/>
      <c r="B3107" s="61" t="str">
        <f aca="false">IF($M3107=0,"",INDEX(Classes!$E$6:$E$420,$M3107))</f>
        <v/>
      </c>
      <c r="C3107" s="62" t="str">
        <f aca="false">IF($M3107=0,"",INDEX(Classes!$H$6:$H$420,$M3107))</f>
        <v/>
      </c>
      <c r="D3107" s="61" t="str">
        <f aca="false">IF($M3107=0,"",INDEX(Classes!$B$6:$B$420,$M3107))</f>
        <v/>
      </c>
      <c r="E3107" s="61" t="str">
        <f aca="false">IF($M3107=0,"",INDEX(Classes!$C$6:$C$420,$M3107))</f>
        <v/>
      </c>
      <c r="F3107" s="63"/>
      <c r="G3107" s="63"/>
      <c r="H3107" s="60"/>
      <c r="I3107" s="60"/>
      <c r="J3107" s="63"/>
      <c r="K3107" s="61" t="str">
        <f aca="false">IF($P3107=0,"",IF($F3107="Baseline","— Baseline",IF($O3107=0,"No result",IF($N3107=0,"No Start (attainment only)",IF(OR($N3107=1,$O3107=1),"U – needs rule",INDEX(MxBody,MATCH($I3107,MxCurr,0),MATCH($H3107,MxStart,0)))))))</f>
        <v/>
      </c>
      <c r="L3107" s="62" t="str">
        <f aca="false">IF(COUNTA($A3107,$F3107,$G3107,$H3107,$I3107,$J3107)=0,"",IF($M3107=0,"✖ كود الصف غير موجود",IF(ISNA(MATCH($F3107,Lists!$A$2:$A$5,0)),"✖ الفترة غير صحيحة",IF(ISNA(MATCH($G3107,Lists!$B$2:$B$7,0)),"✖ المجموعة غير صحيحة",IF(NOT(OR($H3107="",$N3107&gt;0)),"✖ Start غير صحيح",IF(NOT(OR($I3107="",$I3107="NR",$O3107&gt;0)),"✖ Current غير صحيح",IF(NOT(IF(ISNUMBER($J3107),AND($J3107&gt;=0,$J3107=INT($J3107)),FALSE())),"✖ العدد يجب أن يكون صحيحًا ≥ 0",IF(AND($F3107="Baseline",$H3107&lt;&gt;""),"⚠ Baseline: Start لا يدخل في التقدم",IF($K3107="No Start (attainment only)","ℹ تحصيل فقط (بدون Start)",IF($K3107="U – needs rule","ℹ حالة U تحتاج قاعدة معتمدة",IF($K3107="No result","ℹ بدون نتيجة (يُستبعد من التحصيل)","OK")))))))))))</f>
        <v/>
      </c>
      <c r="M3107" s="64" t="n">
        <f aca="false">IF($A3107="",0,IFERROR(MATCH($A3107,Classes!$A$6:$A$420,0),0))</f>
        <v>0</v>
      </c>
      <c r="N3107" s="64" t="n">
        <f aca="false">IF($H3107="",0,IFERROR(MATCH($H3107,GradeList,0),0))</f>
        <v>0</v>
      </c>
      <c r="O3107" s="64" t="n">
        <f aca="false">IF(OR($I3107="",$I3107="NR"),0,IFERROR(MATCH($I3107,GradeList,0),0))</f>
        <v>0</v>
      </c>
      <c r="P3107" s="64" t="n">
        <f aca="false">IF(AND($M3107&gt;0,ISNUMBER(MATCH($F3107,Lists!$A$2:$A$5,0)),ISNUMBER(MATCH($G3107,Lists!$B$2:$B$7,0)),OR($H3107="",$N3107&gt;0),OR($I3107="",$I3107="NR",$O3107&gt;0),IF(ISNUMBER($J3107),AND($J3107&gt;=0,$J3107=INT($J3107)),FALSE())),$J3107,0)</f>
        <v>0</v>
      </c>
      <c r="Q3107" s="64" t="n">
        <f aca="false">IF(AND($P3107&gt;0,$O3107&gt;0),$P3107,0)</f>
        <v>0</v>
      </c>
      <c r="R3107" s="64" t="n">
        <f aca="false">IF(AND($Q3107&gt;0,$O3107&gt;=AtRank),$Q3107,0)</f>
        <v>0</v>
      </c>
      <c r="S3107" s="64" t="n">
        <f aca="false">IF(AND($Q3107&gt;0,$O3107&gt;=AboveRank),$Q3107,0)</f>
        <v>0</v>
      </c>
      <c r="T3107" s="64" t="n">
        <f aca="false">IF($K3107="Less",$P3107,0)</f>
        <v>0</v>
      </c>
      <c r="U3107" s="64" t="n">
        <f aca="false">IF($K3107="Expected",$P3107,0)</f>
        <v>0</v>
      </c>
      <c r="V3107" s="64" t="n">
        <f aca="false">IF($K3107="Better",$P3107,0)</f>
        <v>0</v>
      </c>
      <c r="W3107" s="64" t="n">
        <f aca="false">IF($K3107="U – needs rule",$P3107,0)</f>
        <v>0</v>
      </c>
      <c r="X3107" s="64" t="n">
        <f aca="false">IF($K3107="No Start (attainment only)",$P3107,0)</f>
        <v>0</v>
      </c>
    </row>
    <row r="3108" customFormat="false" ht="15" hidden="false" customHeight="false" outlineLevel="0" collapsed="false">
      <c r="A3108" s="60"/>
      <c r="B3108" s="61" t="str">
        <f aca="false">IF($M3108=0,"",INDEX(Classes!$E$6:$E$420,$M3108))</f>
        <v/>
      </c>
      <c r="C3108" s="62" t="str">
        <f aca="false">IF($M3108=0,"",INDEX(Classes!$H$6:$H$420,$M3108))</f>
        <v/>
      </c>
      <c r="D3108" s="61" t="str">
        <f aca="false">IF($M3108=0,"",INDEX(Classes!$B$6:$B$420,$M3108))</f>
        <v/>
      </c>
      <c r="E3108" s="61" t="str">
        <f aca="false">IF($M3108=0,"",INDEX(Classes!$C$6:$C$420,$M3108))</f>
        <v/>
      </c>
      <c r="F3108" s="63"/>
      <c r="G3108" s="63"/>
      <c r="H3108" s="60"/>
      <c r="I3108" s="60"/>
      <c r="J3108" s="63"/>
      <c r="K3108" s="61" t="str">
        <f aca="false">IF($P3108=0,"",IF($F3108="Baseline","— Baseline",IF($O3108=0,"No result",IF($N3108=0,"No Start (attainment only)",IF(OR($N3108=1,$O3108=1),"U – needs rule",INDEX(MxBody,MATCH($I3108,MxCurr,0),MATCH($H3108,MxStart,0)))))))</f>
        <v/>
      </c>
      <c r="L3108" s="62" t="str">
        <f aca="false">IF(COUNTA($A3108,$F3108,$G3108,$H3108,$I3108,$J3108)=0,"",IF($M3108=0,"✖ كود الصف غير موجود",IF(ISNA(MATCH($F3108,Lists!$A$2:$A$5,0)),"✖ الفترة غير صحيحة",IF(ISNA(MATCH($G3108,Lists!$B$2:$B$7,0)),"✖ المجموعة غير صحيحة",IF(NOT(OR($H3108="",$N3108&gt;0)),"✖ Start غير صحيح",IF(NOT(OR($I3108="",$I3108="NR",$O3108&gt;0)),"✖ Current غير صحيح",IF(NOT(IF(ISNUMBER($J3108),AND($J3108&gt;=0,$J3108=INT($J3108)),FALSE())),"✖ العدد يجب أن يكون صحيحًا ≥ 0",IF(AND($F3108="Baseline",$H3108&lt;&gt;""),"⚠ Baseline: Start لا يدخل في التقدم",IF($K3108="No Start (attainment only)","ℹ تحصيل فقط (بدون Start)",IF($K3108="U – needs rule","ℹ حالة U تحتاج قاعدة معتمدة",IF($K3108="No result","ℹ بدون نتيجة (يُستبعد من التحصيل)","OK")))))))))))</f>
        <v/>
      </c>
      <c r="M3108" s="64" t="n">
        <f aca="false">IF($A3108="",0,IFERROR(MATCH($A3108,Classes!$A$6:$A$420,0),0))</f>
        <v>0</v>
      </c>
      <c r="N3108" s="64" t="n">
        <f aca="false">IF($H3108="",0,IFERROR(MATCH($H3108,GradeList,0),0))</f>
        <v>0</v>
      </c>
      <c r="O3108" s="64" t="n">
        <f aca="false">IF(OR($I3108="",$I3108="NR"),0,IFERROR(MATCH($I3108,GradeList,0),0))</f>
        <v>0</v>
      </c>
      <c r="P3108" s="64" t="n">
        <f aca="false">IF(AND($M3108&gt;0,ISNUMBER(MATCH($F3108,Lists!$A$2:$A$5,0)),ISNUMBER(MATCH($G3108,Lists!$B$2:$B$7,0)),OR($H3108="",$N3108&gt;0),OR($I3108="",$I3108="NR",$O3108&gt;0),IF(ISNUMBER($J3108),AND($J3108&gt;=0,$J3108=INT($J3108)),FALSE())),$J3108,0)</f>
        <v>0</v>
      </c>
      <c r="Q3108" s="64" t="n">
        <f aca="false">IF(AND($P3108&gt;0,$O3108&gt;0),$P3108,0)</f>
        <v>0</v>
      </c>
      <c r="R3108" s="64" t="n">
        <f aca="false">IF(AND($Q3108&gt;0,$O3108&gt;=AtRank),$Q3108,0)</f>
        <v>0</v>
      </c>
      <c r="S3108" s="64" t="n">
        <f aca="false">IF(AND($Q3108&gt;0,$O3108&gt;=AboveRank),$Q3108,0)</f>
        <v>0</v>
      </c>
      <c r="T3108" s="64" t="n">
        <f aca="false">IF($K3108="Less",$P3108,0)</f>
        <v>0</v>
      </c>
      <c r="U3108" s="64" t="n">
        <f aca="false">IF($K3108="Expected",$P3108,0)</f>
        <v>0</v>
      </c>
      <c r="V3108" s="64" t="n">
        <f aca="false">IF($K3108="Better",$P3108,0)</f>
        <v>0</v>
      </c>
      <c r="W3108" s="64" t="n">
        <f aca="false">IF($K3108="U – needs rule",$P3108,0)</f>
        <v>0</v>
      </c>
      <c r="X3108" s="64" t="n">
        <f aca="false">IF($K3108="No Start (attainment only)",$P3108,0)</f>
        <v>0</v>
      </c>
    </row>
    <row r="3109" customFormat="false" ht="15" hidden="false" customHeight="false" outlineLevel="0" collapsed="false">
      <c r="A3109" s="60"/>
      <c r="B3109" s="61" t="str">
        <f aca="false">IF($M3109=0,"",INDEX(Classes!$E$6:$E$420,$M3109))</f>
        <v/>
      </c>
      <c r="C3109" s="62" t="str">
        <f aca="false">IF($M3109=0,"",INDEX(Classes!$H$6:$H$420,$M3109))</f>
        <v/>
      </c>
      <c r="D3109" s="61" t="str">
        <f aca="false">IF($M3109=0,"",INDEX(Classes!$B$6:$B$420,$M3109))</f>
        <v/>
      </c>
      <c r="E3109" s="61" t="str">
        <f aca="false">IF($M3109=0,"",INDEX(Classes!$C$6:$C$420,$M3109))</f>
        <v/>
      </c>
      <c r="F3109" s="63"/>
      <c r="G3109" s="63"/>
      <c r="H3109" s="60"/>
      <c r="I3109" s="60"/>
      <c r="J3109" s="63"/>
      <c r="K3109" s="61" t="str">
        <f aca="false">IF($P3109=0,"",IF($F3109="Baseline","— Baseline",IF($O3109=0,"No result",IF($N3109=0,"No Start (attainment only)",IF(OR($N3109=1,$O3109=1),"U – needs rule",INDEX(MxBody,MATCH($I3109,MxCurr,0),MATCH($H3109,MxStart,0)))))))</f>
        <v/>
      </c>
      <c r="L3109" s="62" t="str">
        <f aca="false">IF(COUNTA($A3109,$F3109,$G3109,$H3109,$I3109,$J3109)=0,"",IF($M3109=0,"✖ كود الصف غير موجود",IF(ISNA(MATCH($F3109,Lists!$A$2:$A$5,0)),"✖ الفترة غير صحيحة",IF(ISNA(MATCH($G3109,Lists!$B$2:$B$7,0)),"✖ المجموعة غير صحيحة",IF(NOT(OR($H3109="",$N3109&gt;0)),"✖ Start غير صحيح",IF(NOT(OR($I3109="",$I3109="NR",$O3109&gt;0)),"✖ Current غير صحيح",IF(NOT(IF(ISNUMBER($J3109),AND($J3109&gt;=0,$J3109=INT($J3109)),FALSE())),"✖ العدد يجب أن يكون صحيحًا ≥ 0",IF(AND($F3109="Baseline",$H3109&lt;&gt;""),"⚠ Baseline: Start لا يدخل في التقدم",IF($K3109="No Start (attainment only)","ℹ تحصيل فقط (بدون Start)",IF($K3109="U – needs rule","ℹ حالة U تحتاج قاعدة معتمدة",IF($K3109="No result","ℹ بدون نتيجة (يُستبعد من التحصيل)","OK")))))))))))</f>
        <v/>
      </c>
      <c r="M3109" s="64" t="n">
        <f aca="false">IF($A3109="",0,IFERROR(MATCH($A3109,Classes!$A$6:$A$420,0),0))</f>
        <v>0</v>
      </c>
      <c r="N3109" s="64" t="n">
        <f aca="false">IF($H3109="",0,IFERROR(MATCH($H3109,GradeList,0),0))</f>
        <v>0</v>
      </c>
      <c r="O3109" s="64" t="n">
        <f aca="false">IF(OR($I3109="",$I3109="NR"),0,IFERROR(MATCH($I3109,GradeList,0),0))</f>
        <v>0</v>
      </c>
      <c r="P3109" s="64" t="n">
        <f aca="false">IF(AND($M3109&gt;0,ISNUMBER(MATCH($F3109,Lists!$A$2:$A$5,0)),ISNUMBER(MATCH($G3109,Lists!$B$2:$B$7,0)),OR($H3109="",$N3109&gt;0),OR($I3109="",$I3109="NR",$O3109&gt;0),IF(ISNUMBER($J3109),AND($J3109&gt;=0,$J3109=INT($J3109)),FALSE())),$J3109,0)</f>
        <v>0</v>
      </c>
      <c r="Q3109" s="64" t="n">
        <f aca="false">IF(AND($P3109&gt;0,$O3109&gt;0),$P3109,0)</f>
        <v>0</v>
      </c>
      <c r="R3109" s="64" t="n">
        <f aca="false">IF(AND($Q3109&gt;0,$O3109&gt;=AtRank),$Q3109,0)</f>
        <v>0</v>
      </c>
      <c r="S3109" s="64" t="n">
        <f aca="false">IF(AND($Q3109&gt;0,$O3109&gt;=AboveRank),$Q3109,0)</f>
        <v>0</v>
      </c>
      <c r="T3109" s="64" t="n">
        <f aca="false">IF($K3109="Less",$P3109,0)</f>
        <v>0</v>
      </c>
      <c r="U3109" s="64" t="n">
        <f aca="false">IF($K3109="Expected",$P3109,0)</f>
        <v>0</v>
      </c>
      <c r="V3109" s="64" t="n">
        <f aca="false">IF($K3109="Better",$P3109,0)</f>
        <v>0</v>
      </c>
      <c r="W3109" s="64" t="n">
        <f aca="false">IF($K3109="U – needs rule",$P3109,0)</f>
        <v>0</v>
      </c>
      <c r="X3109" s="64" t="n">
        <f aca="false">IF($K3109="No Start (attainment only)",$P3109,0)</f>
        <v>0</v>
      </c>
    </row>
    <row r="3110" customFormat="false" ht="15" hidden="false" customHeight="false" outlineLevel="0" collapsed="false">
      <c r="A3110" s="60"/>
      <c r="B3110" s="61" t="str">
        <f aca="false">IF($M3110=0,"",INDEX(Classes!$E$6:$E$420,$M3110))</f>
        <v/>
      </c>
      <c r="C3110" s="62" t="str">
        <f aca="false">IF($M3110=0,"",INDEX(Classes!$H$6:$H$420,$M3110))</f>
        <v/>
      </c>
      <c r="D3110" s="61" t="str">
        <f aca="false">IF($M3110=0,"",INDEX(Classes!$B$6:$B$420,$M3110))</f>
        <v/>
      </c>
      <c r="E3110" s="61" t="str">
        <f aca="false">IF($M3110=0,"",INDEX(Classes!$C$6:$C$420,$M3110))</f>
        <v/>
      </c>
      <c r="F3110" s="63"/>
      <c r="G3110" s="63"/>
      <c r="H3110" s="60"/>
      <c r="I3110" s="60"/>
      <c r="J3110" s="63"/>
      <c r="K3110" s="61" t="str">
        <f aca="false">IF($P3110=0,"",IF($F3110="Baseline","— Baseline",IF($O3110=0,"No result",IF($N3110=0,"No Start (attainment only)",IF(OR($N3110=1,$O3110=1),"U – needs rule",INDEX(MxBody,MATCH($I3110,MxCurr,0),MATCH($H3110,MxStart,0)))))))</f>
        <v/>
      </c>
      <c r="L3110" s="62" t="str">
        <f aca="false">IF(COUNTA($A3110,$F3110,$G3110,$H3110,$I3110,$J3110)=0,"",IF($M3110=0,"✖ كود الصف غير موجود",IF(ISNA(MATCH($F3110,Lists!$A$2:$A$5,0)),"✖ الفترة غير صحيحة",IF(ISNA(MATCH($G3110,Lists!$B$2:$B$7,0)),"✖ المجموعة غير صحيحة",IF(NOT(OR($H3110="",$N3110&gt;0)),"✖ Start غير صحيح",IF(NOT(OR($I3110="",$I3110="NR",$O3110&gt;0)),"✖ Current غير صحيح",IF(NOT(IF(ISNUMBER($J3110),AND($J3110&gt;=0,$J3110=INT($J3110)),FALSE())),"✖ العدد يجب أن يكون صحيحًا ≥ 0",IF(AND($F3110="Baseline",$H3110&lt;&gt;""),"⚠ Baseline: Start لا يدخل في التقدم",IF($K3110="No Start (attainment only)","ℹ تحصيل فقط (بدون Start)",IF($K3110="U – needs rule","ℹ حالة U تحتاج قاعدة معتمدة",IF($K3110="No result","ℹ بدون نتيجة (يُستبعد من التحصيل)","OK")))))))))))</f>
        <v/>
      </c>
      <c r="M3110" s="64" t="n">
        <f aca="false">IF($A3110="",0,IFERROR(MATCH($A3110,Classes!$A$6:$A$420,0),0))</f>
        <v>0</v>
      </c>
      <c r="N3110" s="64" t="n">
        <f aca="false">IF($H3110="",0,IFERROR(MATCH($H3110,GradeList,0),0))</f>
        <v>0</v>
      </c>
      <c r="O3110" s="64" t="n">
        <f aca="false">IF(OR($I3110="",$I3110="NR"),0,IFERROR(MATCH($I3110,GradeList,0),0))</f>
        <v>0</v>
      </c>
      <c r="P3110" s="64" t="n">
        <f aca="false">IF(AND($M3110&gt;0,ISNUMBER(MATCH($F3110,Lists!$A$2:$A$5,0)),ISNUMBER(MATCH($G3110,Lists!$B$2:$B$7,0)),OR($H3110="",$N3110&gt;0),OR($I3110="",$I3110="NR",$O3110&gt;0),IF(ISNUMBER($J3110),AND($J3110&gt;=0,$J3110=INT($J3110)),FALSE())),$J3110,0)</f>
        <v>0</v>
      </c>
      <c r="Q3110" s="64" t="n">
        <f aca="false">IF(AND($P3110&gt;0,$O3110&gt;0),$P3110,0)</f>
        <v>0</v>
      </c>
      <c r="R3110" s="64" t="n">
        <f aca="false">IF(AND($Q3110&gt;0,$O3110&gt;=AtRank),$Q3110,0)</f>
        <v>0</v>
      </c>
      <c r="S3110" s="64" t="n">
        <f aca="false">IF(AND($Q3110&gt;0,$O3110&gt;=AboveRank),$Q3110,0)</f>
        <v>0</v>
      </c>
      <c r="T3110" s="64" t="n">
        <f aca="false">IF($K3110="Less",$P3110,0)</f>
        <v>0</v>
      </c>
      <c r="U3110" s="64" t="n">
        <f aca="false">IF($K3110="Expected",$P3110,0)</f>
        <v>0</v>
      </c>
      <c r="V3110" s="64" t="n">
        <f aca="false">IF($K3110="Better",$P3110,0)</f>
        <v>0</v>
      </c>
      <c r="W3110" s="64" t="n">
        <f aca="false">IF($K3110="U – needs rule",$P3110,0)</f>
        <v>0</v>
      </c>
      <c r="X3110" s="64" t="n">
        <f aca="false">IF($K3110="No Start (attainment only)",$P3110,0)</f>
        <v>0</v>
      </c>
    </row>
    <row r="3111" customFormat="false" ht="15" hidden="false" customHeight="false" outlineLevel="0" collapsed="false">
      <c r="A3111" s="60"/>
      <c r="B3111" s="61" t="str">
        <f aca="false">IF($M3111=0,"",INDEX(Classes!$E$6:$E$420,$M3111))</f>
        <v/>
      </c>
      <c r="C3111" s="62" t="str">
        <f aca="false">IF($M3111=0,"",INDEX(Classes!$H$6:$H$420,$M3111))</f>
        <v/>
      </c>
      <c r="D3111" s="61" t="str">
        <f aca="false">IF($M3111=0,"",INDEX(Classes!$B$6:$B$420,$M3111))</f>
        <v/>
      </c>
      <c r="E3111" s="61" t="str">
        <f aca="false">IF($M3111=0,"",INDEX(Classes!$C$6:$C$420,$M3111))</f>
        <v/>
      </c>
      <c r="F3111" s="63"/>
      <c r="G3111" s="63"/>
      <c r="H3111" s="60"/>
      <c r="I3111" s="60"/>
      <c r="J3111" s="63"/>
      <c r="K3111" s="61" t="str">
        <f aca="false">IF($P3111=0,"",IF($F3111="Baseline","— Baseline",IF($O3111=0,"No result",IF($N3111=0,"No Start (attainment only)",IF(OR($N3111=1,$O3111=1),"U – needs rule",INDEX(MxBody,MATCH($I3111,MxCurr,0),MATCH($H3111,MxStart,0)))))))</f>
        <v/>
      </c>
      <c r="L3111" s="62" t="str">
        <f aca="false">IF(COUNTA($A3111,$F3111,$G3111,$H3111,$I3111,$J3111)=0,"",IF($M3111=0,"✖ كود الصف غير موجود",IF(ISNA(MATCH($F3111,Lists!$A$2:$A$5,0)),"✖ الفترة غير صحيحة",IF(ISNA(MATCH($G3111,Lists!$B$2:$B$7,0)),"✖ المجموعة غير صحيحة",IF(NOT(OR($H3111="",$N3111&gt;0)),"✖ Start غير صحيح",IF(NOT(OR($I3111="",$I3111="NR",$O3111&gt;0)),"✖ Current غير صحيح",IF(NOT(IF(ISNUMBER($J3111),AND($J3111&gt;=0,$J3111=INT($J3111)),FALSE())),"✖ العدد يجب أن يكون صحيحًا ≥ 0",IF(AND($F3111="Baseline",$H3111&lt;&gt;""),"⚠ Baseline: Start لا يدخل في التقدم",IF($K3111="No Start (attainment only)","ℹ تحصيل فقط (بدون Start)",IF($K3111="U – needs rule","ℹ حالة U تحتاج قاعدة معتمدة",IF($K3111="No result","ℹ بدون نتيجة (يُستبعد من التحصيل)","OK")))))))))))</f>
        <v/>
      </c>
      <c r="M3111" s="64" t="n">
        <f aca="false">IF($A3111="",0,IFERROR(MATCH($A3111,Classes!$A$6:$A$420,0),0))</f>
        <v>0</v>
      </c>
      <c r="N3111" s="64" t="n">
        <f aca="false">IF($H3111="",0,IFERROR(MATCH($H3111,GradeList,0),0))</f>
        <v>0</v>
      </c>
      <c r="O3111" s="64" t="n">
        <f aca="false">IF(OR($I3111="",$I3111="NR"),0,IFERROR(MATCH($I3111,GradeList,0),0))</f>
        <v>0</v>
      </c>
      <c r="P3111" s="64" t="n">
        <f aca="false">IF(AND($M3111&gt;0,ISNUMBER(MATCH($F3111,Lists!$A$2:$A$5,0)),ISNUMBER(MATCH($G3111,Lists!$B$2:$B$7,0)),OR($H3111="",$N3111&gt;0),OR($I3111="",$I3111="NR",$O3111&gt;0),IF(ISNUMBER($J3111),AND($J3111&gt;=0,$J3111=INT($J3111)),FALSE())),$J3111,0)</f>
        <v>0</v>
      </c>
      <c r="Q3111" s="64" t="n">
        <f aca="false">IF(AND($P3111&gt;0,$O3111&gt;0),$P3111,0)</f>
        <v>0</v>
      </c>
      <c r="R3111" s="64" t="n">
        <f aca="false">IF(AND($Q3111&gt;0,$O3111&gt;=AtRank),$Q3111,0)</f>
        <v>0</v>
      </c>
      <c r="S3111" s="64" t="n">
        <f aca="false">IF(AND($Q3111&gt;0,$O3111&gt;=AboveRank),$Q3111,0)</f>
        <v>0</v>
      </c>
      <c r="T3111" s="64" t="n">
        <f aca="false">IF($K3111="Less",$P3111,0)</f>
        <v>0</v>
      </c>
      <c r="U3111" s="64" t="n">
        <f aca="false">IF($K3111="Expected",$P3111,0)</f>
        <v>0</v>
      </c>
      <c r="V3111" s="64" t="n">
        <f aca="false">IF($K3111="Better",$P3111,0)</f>
        <v>0</v>
      </c>
      <c r="W3111" s="64" t="n">
        <f aca="false">IF($K3111="U – needs rule",$P3111,0)</f>
        <v>0</v>
      </c>
      <c r="X3111" s="64" t="n">
        <f aca="false">IF($K3111="No Start (attainment only)",$P3111,0)</f>
        <v>0</v>
      </c>
    </row>
    <row r="3112" customFormat="false" ht="15" hidden="false" customHeight="false" outlineLevel="0" collapsed="false">
      <c r="A3112" s="60"/>
      <c r="B3112" s="61" t="str">
        <f aca="false">IF($M3112=0,"",INDEX(Classes!$E$6:$E$420,$M3112))</f>
        <v/>
      </c>
      <c r="C3112" s="62" t="str">
        <f aca="false">IF($M3112=0,"",INDEX(Classes!$H$6:$H$420,$M3112))</f>
        <v/>
      </c>
      <c r="D3112" s="61" t="str">
        <f aca="false">IF($M3112=0,"",INDEX(Classes!$B$6:$B$420,$M3112))</f>
        <v/>
      </c>
      <c r="E3112" s="61" t="str">
        <f aca="false">IF($M3112=0,"",INDEX(Classes!$C$6:$C$420,$M3112))</f>
        <v/>
      </c>
      <c r="F3112" s="63"/>
      <c r="G3112" s="63"/>
      <c r="H3112" s="60"/>
      <c r="I3112" s="60"/>
      <c r="J3112" s="63"/>
      <c r="K3112" s="61" t="str">
        <f aca="false">IF($P3112=0,"",IF($F3112="Baseline","— Baseline",IF($O3112=0,"No result",IF($N3112=0,"No Start (attainment only)",IF(OR($N3112=1,$O3112=1),"U – needs rule",INDEX(MxBody,MATCH($I3112,MxCurr,0),MATCH($H3112,MxStart,0)))))))</f>
        <v/>
      </c>
      <c r="L3112" s="62" t="str">
        <f aca="false">IF(COUNTA($A3112,$F3112,$G3112,$H3112,$I3112,$J3112)=0,"",IF($M3112=0,"✖ كود الصف غير موجود",IF(ISNA(MATCH($F3112,Lists!$A$2:$A$5,0)),"✖ الفترة غير صحيحة",IF(ISNA(MATCH($G3112,Lists!$B$2:$B$7,0)),"✖ المجموعة غير صحيحة",IF(NOT(OR($H3112="",$N3112&gt;0)),"✖ Start غير صحيح",IF(NOT(OR($I3112="",$I3112="NR",$O3112&gt;0)),"✖ Current غير صحيح",IF(NOT(IF(ISNUMBER($J3112),AND($J3112&gt;=0,$J3112=INT($J3112)),FALSE())),"✖ العدد يجب أن يكون صحيحًا ≥ 0",IF(AND($F3112="Baseline",$H3112&lt;&gt;""),"⚠ Baseline: Start لا يدخل في التقدم",IF($K3112="No Start (attainment only)","ℹ تحصيل فقط (بدون Start)",IF($K3112="U – needs rule","ℹ حالة U تحتاج قاعدة معتمدة",IF($K3112="No result","ℹ بدون نتيجة (يُستبعد من التحصيل)","OK")))))))))))</f>
        <v/>
      </c>
      <c r="M3112" s="64" t="n">
        <f aca="false">IF($A3112="",0,IFERROR(MATCH($A3112,Classes!$A$6:$A$420,0),0))</f>
        <v>0</v>
      </c>
      <c r="N3112" s="64" t="n">
        <f aca="false">IF($H3112="",0,IFERROR(MATCH($H3112,GradeList,0),0))</f>
        <v>0</v>
      </c>
      <c r="O3112" s="64" t="n">
        <f aca="false">IF(OR($I3112="",$I3112="NR"),0,IFERROR(MATCH($I3112,GradeList,0),0))</f>
        <v>0</v>
      </c>
      <c r="P3112" s="64" t="n">
        <f aca="false">IF(AND($M3112&gt;0,ISNUMBER(MATCH($F3112,Lists!$A$2:$A$5,0)),ISNUMBER(MATCH($G3112,Lists!$B$2:$B$7,0)),OR($H3112="",$N3112&gt;0),OR($I3112="",$I3112="NR",$O3112&gt;0),IF(ISNUMBER($J3112),AND($J3112&gt;=0,$J3112=INT($J3112)),FALSE())),$J3112,0)</f>
        <v>0</v>
      </c>
      <c r="Q3112" s="64" t="n">
        <f aca="false">IF(AND($P3112&gt;0,$O3112&gt;0),$P3112,0)</f>
        <v>0</v>
      </c>
      <c r="R3112" s="64" t="n">
        <f aca="false">IF(AND($Q3112&gt;0,$O3112&gt;=AtRank),$Q3112,0)</f>
        <v>0</v>
      </c>
      <c r="S3112" s="64" t="n">
        <f aca="false">IF(AND($Q3112&gt;0,$O3112&gt;=AboveRank),$Q3112,0)</f>
        <v>0</v>
      </c>
      <c r="T3112" s="64" t="n">
        <f aca="false">IF($K3112="Less",$P3112,0)</f>
        <v>0</v>
      </c>
      <c r="U3112" s="64" t="n">
        <f aca="false">IF($K3112="Expected",$P3112,0)</f>
        <v>0</v>
      </c>
      <c r="V3112" s="64" t="n">
        <f aca="false">IF($K3112="Better",$P3112,0)</f>
        <v>0</v>
      </c>
      <c r="W3112" s="64" t="n">
        <f aca="false">IF($K3112="U – needs rule",$P3112,0)</f>
        <v>0</v>
      </c>
      <c r="X3112" s="64" t="n">
        <f aca="false">IF($K3112="No Start (attainment only)",$P3112,0)</f>
        <v>0</v>
      </c>
    </row>
    <row r="3113" customFormat="false" ht="15" hidden="false" customHeight="false" outlineLevel="0" collapsed="false">
      <c r="A3113" s="60"/>
      <c r="B3113" s="61" t="str">
        <f aca="false">IF($M3113=0,"",INDEX(Classes!$E$6:$E$420,$M3113))</f>
        <v/>
      </c>
      <c r="C3113" s="62" t="str">
        <f aca="false">IF($M3113=0,"",INDEX(Classes!$H$6:$H$420,$M3113))</f>
        <v/>
      </c>
      <c r="D3113" s="61" t="str">
        <f aca="false">IF($M3113=0,"",INDEX(Classes!$B$6:$B$420,$M3113))</f>
        <v/>
      </c>
      <c r="E3113" s="61" t="str">
        <f aca="false">IF($M3113=0,"",INDEX(Classes!$C$6:$C$420,$M3113))</f>
        <v/>
      </c>
      <c r="F3113" s="63"/>
      <c r="G3113" s="63"/>
      <c r="H3113" s="60"/>
      <c r="I3113" s="60"/>
      <c r="J3113" s="63"/>
      <c r="K3113" s="61" t="str">
        <f aca="false">IF($P3113=0,"",IF($F3113="Baseline","— Baseline",IF($O3113=0,"No result",IF($N3113=0,"No Start (attainment only)",IF(OR($N3113=1,$O3113=1),"U – needs rule",INDEX(MxBody,MATCH($I3113,MxCurr,0),MATCH($H3113,MxStart,0)))))))</f>
        <v/>
      </c>
      <c r="L3113" s="62" t="str">
        <f aca="false">IF(COUNTA($A3113,$F3113,$G3113,$H3113,$I3113,$J3113)=0,"",IF($M3113=0,"✖ كود الصف غير موجود",IF(ISNA(MATCH($F3113,Lists!$A$2:$A$5,0)),"✖ الفترة غير صحيحة",IF(ISNA(MATCH($G3113,Lists!$B$2:$B$7,0)),"✖ المجموعة غير صحيحة",IF(NOT(OR($H3113="",$N3113&gt;0)),"✖ Start غير صحيح",IF(NOT(OR($I3113="",$I3113="NR",$O3113&gt;0)),"✖ Current غير صحيح",IF(NOT(IF(ISNUMBER($J3113),AND($J3113&gt;=0,$J3113=INT($J3113)),FALSE())),"✖ العدد يجب أن يكون صحيحًا ≥ 0",IF(AND($F3113="Baseline",$H3113&lt;&gt;""),"⚠ Baseline: Start لا يدخل في التقدم",IF($K3113="No Start (attainment only)","ℹ تحصيل فقط (بدون Start)",IF($K3113="U – needs rule","ℹ حالة U تحتاج قاعدة معتمدة",IF($K3113="No result","ℹ بدون نتيجة (يُستبعد من التحصيل)","OK")))))))))))</f>
        <v/>
      </c>
      <c r="M3113" s="64" t="n">
        <f aca="false">IF($A3113="",0,IFERROR(MATCH($A3113,Classes!$A$6:$A$420,0),0))</f>
        <v>0</v>
      </c>
      <c r="N3113" s="64" t="n">
        <f aca="false">IF($H3113="",0,IFERROR(MATCH($H3113,GradeList,0),0))</f>
        <v>0</v>
      </c>
      <c r="O3113" s="64" t="n">
        <f aca="false">IF(OR($I3113="",$I3113="NR"),0,IFERROR(MATCH($I3113,GradeList,0),0))</f>
        <v>0</v>
      </c>
      <c r="P3113" s="64" t="n">
        <f aca="false">IF(AND($M3113&gt;0,ISNUMBER(MATCH($F3113,Lists!$A$2:$A$5,0)),ISNUMBER(MATCH($G3113,Lists!$B$2:$B$7,0)),OR($H3113="",$N3113&gt;0),OR($I3113="",$I3113="NR",$O3113&gt;0),IF(ISNUMBER($J3113),AND($J3113&gt;=0,$J3113=INT($J3113)),FALSE())),$J3113,0)</f>
        <v>0</v>
      </c>
      <c r="Q3113" s="64" t="n">
        <f aca="false">IF(AND($P3113&gt;0,$O3113&gt;0),$P3113,0)</f>
        <v>0</v>
      </c>
      <c r="R3113" s="64" t="n">
        <f aca="false">IF(AND($Q3113&gt;0,$O3113&gt;=AtRank),$Q3113,0)</f>
        <v>0</v>
      </c>
      <c r="S3113" s="64" t="n">
        <f aca="false">IF(AND($Q3113&gt;0,$O3113&gt;=AboveRank),$Q3113,0)</f>
        <v>0</v>
      </c>
      <c r="T3113" s="64" t="n">
        <f aca="false">IF($K3113="Less",$P3113,0)</f>
        <v>0</v>
      </c>
      <c r="U3113" s="64" t="n">
        <f aca="false">IF($K3113="Expected",$P3113,0)</f>
        <v>0</v>
      </c>
      <c r="V3113" s="64" t="n">
        <f aca="false">IF($K3113="Better",$P3113,0)</f>
        <v>0</v>
      </c>
      <c r="W3113" s="64" t="n">
        <f aca="false">IF($K3113="U – needs rule",$P3113,0)</f>
        <v>0</v>
      </c>
      <c r="X3113" s="64" t="n">
        <f aca="false">IF($K3113="No Start (attainment only)",$P3113,0)</f>
        <v>0</v>
      </c>
    </row>
    <row r="3114" customFormat="false" ht="15" hidden="false" customHeight="false" outlineLevel="0" collapsed="false">
      <c r="A3114" s="60"/>
      <c r="B3114" s="61" t="str">
        <f aca="false">IF($M3114=0,"",INDEX(Classes!$E$6:$E$420,$M3114))</f>
        <v/>
      </c>
      <c r="C3114" s="62" t="str">
        <f aca="false">IF($M3114=0,"",INDEX(Classes!$H$6:$H$420,$M3114))</f>
        <v/>
      </c>
      <c r="D3114" s="61" t="str">
        <f aca="false">IF($M3114=0,"",INDEX(Classes!$B$6:$B$420,$M3114))</f>
        <v/>
      </c>
      <c r="E3114" s="61" t="str">
        <f aca="false">IF($M3114=0,"",INDEX(Classes!$C$6:$C$420,$M3114))</f>
        <v/>
      </c>
      <c r="F3114" s="63"/>
      <c r="G3114" s="63"/>
      <c r="H3114" s="60"/>
      <c r="I3114" s="60"/>
      <c r="J3114" s="63"/>
      <c r="K3114" s="61" t="str">
        <f aca="false">IF($P3114=0,"",IF($F3114="Baseline","— Baseline",IF($O3114=0,"No result",IF($N3114=0,"No Start (attainment only)",IF(OR($N3114=1,$O3114=1),"U – needs rule",INDEX(MxBody,MATCH($I3114,MxCurr,0),MATCH($H3114,MxStart,0)))))))</f>
        <v/>
      </c>
      <c r="L3114" s="62" t="str">
        <f aca="false">IF(COUNTA($A3114,$F3114,$G3114,$H3114,$I3114,$J3114)=0,"",IF($M3114=0,"✖ كود الصف غير موجود",IF(ISNA(MATCH($F3114,Lists!$A$2:$A$5,0)),"✖ الفترة غير صحيحة",IF(ISNA(MATCH($G3114,Lists!$B$2:$B$7,0)),"✖ المجموعة غير صحيحة",IF(NOT(OR($H3114="",$N3114&gt;0)),"✖ Start غير صحيح",IF(NOT(OR($I3114="",$I3114="NR",$O3114&gt;0)),"✖ Current غير صحيح",IF(NOT(IF(ISNUMBER($J3114),AND($J3114&gt;=0,$J3114=INT($J3114)),FALSE())),"✖ العدد يجب أن يكون صحيحًا ≥ 0",IF(AND($F3114="Baseline",$H3114&lt;&gt;""),"⚠ Baseline: Start لا يدخل في التقدم",IF($K3114="No Start (attainment only)","ℹ تحصيل فقط (بدون Start)",IF($K3114="U – needs rule","ℹ حالة U تحتاج قاعدة معتمدة",IF($K3114="No result","ℹ بدون نتيجة (يُستبعد من التحصيل)","OK")))))))))))</f>
        <v/>
      </c>
      <c r="M3114" s="64" t="n">
        <f aca="false">IF($A3114="",0,IFERROR(MATCH($A3114,Classes!$A$6:$A$420,0),0))</f>
        <v>0</v>
      </c>
      <c r="N3114" s="64" t="n">
        <f aca="false">IF($H3114="",0,IFERROR(MATCH($H3114,GradeList,0),0))</f>
        <v>0</v>
      </c>
      <c r="O3114" s="64" t="n">
        <f aca="false">IF(OR($I3114="",$I3114="NR"),0,IFERROR(MATCH($I3114,GradeList,0),0))</f>
        <v>0</v>
      </c>
      <c r="P3114" s="64" t="n">
        <f aca="false">IF(AND($M3114&gt;0,ISNUMBER(MATCH($F3114,Lists!$A$2:$A$5,0)),ISNUMBER(MATCH($G3114,Lists!$B$2:$B$7,0)),OR($H3114="",$N3114&gt;0),OR($I3114="",$I3114="NR",$O3114&gt;0),IF(ISNUMBER($J3114),AND($J3114&gt;=0,$J3114=INT($J3114)),FALSE())),$J3114,0)</f>
        <v>0</v>
      </c>
      <c r="Q3114" s="64" t="n">
        <f aca="false">IF(AND($P3114&gt;0,$O3114&gt;0),$P3114,0)</f>
        <v>0</v>
      </c>
      <c r="R3114" s="64" t="n">
        <f aca="false">IF(AND($Q3114&gt;0,$O3114&gt;=AtRank),$Q3114,0)</f>
        <v>0</v>
      </c>
      <c r="S3114" s="64" t="n">
        <f aca="false">IF(AND($Q3114&gt;0,$O3114&gt;=AboveRank),$Q3114,0)</f>
        <v>0</v>
      </c>
      <c r="T3114" s="64" t="n">
        <f aca="false">IF($K3114="Less",$P3114,0)</f>
        <v>0</v>
      </c>
      <c r="U3114" s="64" t="n">
        <f aca="false">IF($K3114="Expected",$P3114,0)</f>
        <v>0</v>
      </c>
      <c r="V3114" s="64" t="n">
        <f aca="false">IF($K3114="Better",$P3114,0)</f>
        <v>0</v>
      </c>
      <c r="W3114" s="64" t="n">
        <f aca="false">IF($K3114="U – needs rule",$P3114,0)</f>
        <v>0</v>
      </c>
      <c r="X3114" s="64" t="n">
        <f aca="false">IF($K3114="No Start (attainment only)",$P3114,0)</f>
        <v>0</v>
      </c>
    </row>
    <row r="3115" customFormat="false" ht="15" hidden="false" customHeight="false" outlineLevel="0" collapsed="false">
      <c r="A3115" s="60"/>
      <c r="B3115" s="61" t="str">
        <f aca="false">IF($M3115=0,"",INDEX(Classes!$E$6:$E$420,$M3115))</f>
        <v/>
      </c>
      <c r="C3115" s="62" t="str">
        <f aca="false">IF($M3115=0,"",INDEX(Classes!$H$6:$H$420,$M3115))</f>
        <v/>
      </c>
      <c r="D3115" s="61" t="str">
        <f aca="false">IF($M3115=0,"",INDEX(Classes!$B$6:$B$420,$M3115))</f>
        <v/>
      </c>
      <c r="E3115" s="61" t="str">
        <f aca="false">IF($M3115=0,"",INDEX(Classes!$C$6:$C$420,$M3115))</f>
        <v/>
      </c>
      <c r="F3115" s="63"/>
      <c r="G3115" s="63"/>
      <c r="H3115" s="60"/>
      <c r="I3115" s="60"/>
      <c r="J3115" s="63"/>
      <c r="K3115" s="61" t="str">
        <f aca="false">IF($P3115=0,"",IF($F3115="Baseline","— Baseline",IF($O3115=0,"No result",IF($N3115=0,"No Start (attainment only)",IF(OR($N3115=1,$O3115=1),"U – needs rule",INDEX(MxBody,MATCH($I3115,MxCurr,0),MATCH($H3115,MxStart,0)))))))</f>
        <v/>
      </c>
      <c r="L3115" s="62" t="str">
        <f aca="false">IF(COUNTA($A3115,$F3115,$G3115,$H3115,$I3115,$J3115)=0,"",IF($M3115=0,"✖ كود الصف غير موجود",IF(ISNA(MATCH($F3115,Lists!$A$2:$A$5,0)),"✖ الفترة غير صحيحة",IF(ISNA(MATCH($G3115,Lists!$B$2:$B$7,0)),"✖ المجموعة غير صحيحة",IF(NOT(OR($H3115="",$N3115&gt;0)),"✖ Start غير صحيح",IF(NOT(OR($I3115="",$I3115="NR",$O3115&gt;0)),"✖ Current غير صحيح",IF(NOT(IF(ISNUMBER($J3115),AND($J3115&gt;=0,$J3115=INT($J3115)),FALSE())),"✖ العدد يجب أن يكون صحيحًا ≥ 0",IF(AND($F3115="Baseline",$H3115&lt;&gt;""),"⚠ Baseline: Start لا يدخل في التقدم",IF($K3115="No Start (attainment only)","ℹ تحصيل فقط (بدون Start)",IF($K3115="U – needs rule","ℹ حالة U تحتاج قاعدة معتمدة",IF($K3115="No result","ℹ بدون نتيجة (يُستبعد من التحصيل)","OK")))))))))))</f>
        <v/>
      </c>
      <c r="M3115" s="64" t="n">
        <f aca="false">IF($A3115="",0,IFERROR(MATCH($A3115,Classes!$A$6:$A$420,0),0))</f>
        <v>0</v>
      </c>
      <c r="N3115" s="64" t="n">
        <f aca="false">IF($H3115="",0,IFERROR(MATCH($H3115,GradeList,0),0))</f>
        <v>0</v>
      </c>
      <c r="O3115" s="64" t="n">
        <f aca="false">IF(OR($I3115="",$I3115="NR"),0,IFERROR(MATCH($I3115,GradeList,0),0))</f>
        <v>0</v>
      </c>
      <c r="P3115" s="64" t="n">
        <f aca="false">IF(AND($M3115&gt;0,ISNUMBER(MATCH($F3115,Lists!$A$2:$A$5,0)),ISNUMBER(MATCH($G3115,Lists!$B$2:$B$7,0)),OR($H3115="",$N3115&gt;0),OR($I3115="",$I3115="NR",$O3115&gt;0),IF(ISNUMBER($J3115),AND($J3115&gt;=0,$J3115=INT($J3115)),FALSE())),$J3115,0)</f>
        <v>0</v>
      </c>
      <c r="Q3115" s="64" t="n">
        <f aca="false">IF(AND($P3115&gt;0,$O3115&gt;0),$P3115,0)</f>
        <v>0</v>
      </c>
      <c r="R3115" s="64" t="n">
        <f aca="false">IF(AND($Q3115&gt;0,$O3115&gt;=AtRank),$Q3115,0)</f>
        <v>0</v>
      </c>
      <c r="S3115" s="64" t="n">
        <f aca="false">IF(AND($Q3115&gt;0,$O3115&gt;=AboveRank),$Q3115,0)</f>
        <v>0</v>
      </c>
      <c r="T3115" s="64" t="n">
        <f aca="false">IF($K3115="Less",$P3115,0)</f>
        <v>0</v>
      </c>
      <c r="U3115" s="64" t="n">
        <f aca="false">IF($K3115="Expected",$P3115,0)</f>
        <v>0</v>
      </c>
      <c r="V3115" s="64" t="n">
        <f aca="false">IF($K3115="Better",$P3115,0)</f>
        <v>0</v>
      </c>
      <c r="W3115" s="64" t="n">
        <f aca="false">IF($K3115="U – needs rule",$P3115,0)</f>
        <v>0</v>
      </c>
      <c r="X3115" s="64" t="n">
        <f aca="false">IF($K3115="No Start (attainment only)",$P3115,0)</f>
        <v>0</v>
      </c>
    </row>
    <row r="3116" customFormat="false" ht="15" hidden="false" customHeight="false" outlineLevel="0" collapsed="false">
      <c r="A3116" s="60"/>
      <c r="B3116" s="61" t="str">
        <f aca="false">IF($M3116=0,"",INDEX(Classes!$E$6:$E$420,$M3116))</f>
        <v/>
      </c>
      <c r="C3116" s="62" t="str">
        <f aca="false">IF($M3116=0,"",INDEX(Classes!$H$6:$H$420,$M3116))</f>
        <v/>
      </c>
      <c r="D3116" s="61" t="str">
        <f aca="false">IF($M3116=0,"",INDEX(Classes!$B$6:$B$420,$M3116))</f>
        <v/>
      </c>
      <c r="E3116" s="61" t="str">
        <f aca="false">IF($M3116=0,"",INDEX(Classes!$C$6:$C$420,$M3116))</f>
        <v/>
      </c>
      <c r="F3116" s="63"/>
      <c r="G3116" s="63"/>
      <c r="H3116" s="60"/>
      <c r="I3116" s="60"/>
      <c r="J3116" s="63"/>
      <c r="K3116" s="61" t="str">
        <f aca="false">IF($P3116=0,"",IF($F3116="Baseline","— Baseline",IF($O3116=0,"No result",IF($N3116=0,"No Start (attainment only)",IF(OR($N3116=1,$O3116=1),"U – needs rule",INDEX(MxBody,MATCH($I3116,MxCurr,0),MATCH($H3116,MxStart,0)))))))</f>
        <v/>
      </c>
      <c r="L3116" s="62" t="str">
        <f aca="false">IF(COUNTA($A3116,$F3116,$G3116,$H3116,$I3116,$J3116)=0,"",IF($M3116=0,"✖ كود الصف غير موجود",IF(ISNA(MATCH($F3116,Lists!$A$2:$A$5,0)),"✖ الفترة غير صحيحة",IF(ISNA(MATCH($G3116,Lists!$B$2:$B$7,0)),"✖ المجموعة غير صحيحة",IF(NOT(OR($H3116="",$N3116&gt;0)),"✖ Start غير صحيح",IF(NOT(OR($I3116="",$I3116="NR",$O3116&gt;0)),"✖ Current غير صحيح",IF(NOT(IF(ISNUMBER($J3116),AND($J3116&gt;=0,$J3116=INT($J3116)),FALSE())),"✖ العدد يجب أن يكون صحيحًا ≥ 0",IF(AND($F3116="Baseline",$H3116&lt;&gt;""),"⚠ Baseline: Start لا يدخل في التقدم",IF($K3116="No Start (attainment only)","ℹ تحصيل فقط (بدون Start)",IF($K3116="U – needs rule","ℹ حالة U تحتاج قاعدة معتمدة",IF($K3116="No result","ℹ بدون نتيجة (يُستبعد من التحصيل)","OK")))))))))))</f>
        <v/>
      </c>
      <c r="M3116" s="64" t="n">
        <f aca="false">IF($A3116="",0,IFERROR(MATCH($A3116,Classes!$A$6:$A$420,0),0))</f>
        <v>0</v>
      </c>
      <c r="N3116" s="64" t="n">
        <f aca="false">IF($H3116="",0,IFERROR(MATCH($H3116,GradeList,0),0))</f>
        <v>0</v>
      </c>
      <c r="O3116" s="64" t="n">
        <f aca="false">IF(OR($I3116="",$I3116="NR"),0,IFERROR(MATCH($I3116,GradeList,0),0))</f>
        <v>0</v>
      </c>
      <c r="P3116" s="64" t="n">
        <f aca="false">IF(AND($M3116&gt;0,ISNUMBER(MATCH($F3116,Lists!$A$2:$A$5,0)),ISNUMBER(MATCH($G3116,Lists!$B$2:$B$7,0)),OR($H3116="",$N3116&gt;0),OR($I3116="",$I3116="NR",$O3116&gt;0),IF(ISNUMBER($J3116),AND($J3116&gt;=0,$J3116=INT($J3116)),FALSE())),$J3116,0)</f>
        <v>0</v>
      </c>
      <c r="Q3116" s="64" t="n">
        <f aca="false">IF(AND($P3116&gt;0,$O3116&gt;0),$P3116,0)</f>
        <v>0</v>
      </c>
      <c r="R3116" s="64" t="n">
        <f aca="false">IF(AND($Q3116&gt;0,$O3116&gt;=AtRank),$Q3116,0)</f>
        <v>0</v>
      </c>
      <c r="S3116" s="64" t="n">
        <f aca="false">IF(AND($Q3116&gt;0,$O3116&gt;=AboveRank),$Q3116,0)</f>
        <v>0</v>
      </c>
      <c r="T3116" s="64" t="n">
        <f aca="false">IF($K3116="Less",$P3116,0)</f>
        <v>0</v>
      </c>
      <c r="U3116" s="64" t="n">
        <f aca="false">IF($K3116="Expected",$P3116,0)</f>
        <v>0</v>
      </c>
      <c r="V3116" s="64" t="n">
        <f aca="false">IF($K3116="Better",$P3116,0)</f>
        <v>0</v>
      </c>
      <c r="W3116" s="64" t="n">
        <f aca="false">IF($K3116="U – needs rule",$P3116,0)</f>
        <v>0</v>
      </c>
      <c r="X3116" s="64" t="n">
        <f aca="false">IF($K3116="No Start (attainment only)",$P3116,0)</f>
        <v>0</v>
      </c>
    </row>
    <row r="3117" customFormat="false" ht="15" hidden="false" customHeight="false" outlineLevel="0" collapsed="false">
      <c r="A3117" s="60"/>
      <c r="B3117" s="61" t="str">
        <f aca="false">IF($M3117=0,"",INDEX(Classes!$E$6:$E$420,$M3117))</f>
        <v/>
      </c>
      <c r="C3117" s="62" t="str">
        <f aca="false">IF($M3117=0,"",INDEX(Classes!$H$6:$H$420,$M3117))</f>
        <v/>
      </c>
      <c r="D3117" s="61" t="str">
        <f aca="false">IF($M3117=0,"",INDEX(Classes!$B$6:$B$420,$M3117))</f>
        <v/>
      </c>
      <c r="E3117" s="61" t="str">
        <f aca="false">IF($M3117=0,"",INDEX(Classes!$C$6:$C$420,$M3117))</f>
        <v/>
      </c>
      <c r="F3117" s="63"/>
      <c r="G3117" s="63"/>
      <c r="H3117" s="60"/>
      <c r="I3117" s="60"/>
      <c r="J3117" s="63"/>
      <c r="K3117" s="61" t="str">
        <f aca="false">IF($P3117=0,"",IF($F3117="Baseline","— Baseline",IF($O3117=0,"No result",IF($N3117=0,"No Start (attainment only)",IF(OR($N3117=1,$O3117=1),"U – needs rule",INDEX(MxBody,MATCH($I3117,MxCurr,0),MATCH($H3117,MxStart,0)))))))</f>
        <v/>
      </c>
      <c r="L3117" s="62" t="str">
        <f aca="false">IF(COUNTA($A3117,$F3117,$G3117,$H3117,$I3117,$J3117)=0,"",IF($M3117=0,"✖ كود الصف غير موجود",IF(ISNA(MATCH($F3117,Lists!$A$2:$A$5,0)),"✖ الفترة غير صحيحة",IF(ISNA(MATCH($G3117,Lists!$B$2:$B$7,0)),"✖ المجموعة غير صحيحة",IF(NOT(OR($H3117="",$N3117&gt;0)),"✖ Start غير صحيح",IF(NOT(OR($I3117="",$I3117="NR",$O3117&gt;0)),"✖ Current غير صحيح",IF(NOT(IF(ISNUMBER($J3117),AND($J3117&gt;=0,$J3117=INT($J3117)),FALSE())),"✖ العدد يجب أن يكون صحيحًا ≥ 0",IF(AND($F3117="Baseline",$H3117&lt;&gt;""),"⚠ Baseline: Start لا يدخل في التقدم",IF($K3117="No Start (attainment only)","ℹ تحصيل فقط (بدون Start)",IF($K3117="U – needs rule","ℹ حالة U تحتاج قاعدة معتمدة",IF($K3117="No result","ℹ بدون نتيجة (يُستبعد من التحصيل)","OK")))))))))))</f>
        <v/>
      </c>
      <c r="M3117" s="64" t="n">
        <f aca="false">IF($A3117="",0,IFERROR(MATCH($A3117,Classes!$A$6:$A$420,0),0))</f>
        <v>0</v>
      </c>
      <c r="N3117" s="64" t="n">
        <f aca="false">IF($H3117="",0,IFERROR(MATCH($H3117,GradeList,0),0))</f>
        <v>0</v>
      </c>
      <c r="O3117" s="64" t="n">
        <f aca="false">IF(OR($I3117="",$I3117="NR"),0,IFERROR(MATCH($I3117,GradeList,0),0))</f>
        <v>0</v>
      </c>
      <c r="P3117" s="64" t="n">
        <f aca="false">IF(AND($M3117&gt;0,ISNUMBER(MATCH($F3117,Lists!$A$2:$A$5,0)),ISNUMBER(MATCH($G3117,Lists!$B$2:$B$7,0)),OR($H3117="",$N3117&gt;0),OR($I3117="",$I3117="NR",$O3117&gt;0),IF(ISNUMBER($J3117),AND($J3117&gt;=0,$J3117=INT($J3117)),FALSE())),$J3117,0)</f>
        <v>0</v>
      </c>
      <c r="Q3117" s="64" t="n">
        <f aca="false">IF(AND($P3117&gt;0,$O3117&gt;0),$P3117,0)</f>
        <v>0</v>
      </c>
      <c r="R3117" s="64" t="n">
        <f aca="false">IF(AND($Q3117&gt;0,$O3117&gt;=AtRank),$Q3117,0)</f>
        <v>0</v>
      </c>
      <c r="S3117" s="64" t="n">
        <f aca="false">IF(AND($Q3117&gt;0,$O3117&gt;=AboveRank),$Q3117,0)</f>
        <v>0</v>
      </c>
      <c r="T3117" s="64" t="n">
        <f aca="false">IF($K3117="Less",$P3117,0)</f>
        <v>0</v>
      </c>
      <c r="U3117" s="64" t="n">
        <f aca="false">IF($K3117="Expected",$P3117,0)</f>
        <v>0</v>
      </c>
      <c r="V3117" s="64" t="n">
        <f aca="false">IF($K3117="Better",$P3117,0)</f>
        <v>0</v>
      </c>
      <c r="W3117" s="64" t="n">
        <f aca="false">IF($K3117="U – needs rule",$P3117,0)</f>
        <v>0</v>
      </c>
      <c r="X3117" s="64" t="n">
        <f aca="false">IF($K3117="No Start (attainment only)",$P3117,0)</f>
        <v>0</v>
      </c>
    </row>
    <row r="3118" customFormat="false" ht="15" hidden="false" customHeight="false" outlineLevel="0" collapsed="false">
      <c r="A3118" s="60"/>
      <c r="B3118" s="61" t="str">
        <f aca="false">IF($M3118=0,"",INDEX(Classes!$E$6:$E$420,$M3118))</f>
        <v/>
      </c>
      <c r="C3118" s="62" t="str">
        <f aca="false">IF($M3118=0,"",INDEX(Classes!$H$6:$H$420,$M3118))</f>
        <v/>
      </c>
      <c r="D3118" s="61" t="str">
        <f aca="false">IF($M3118=0,"",INDEX(Classes!$B$6:$B$420,$M3118))</f>
        <v/>
      </c>
      <c r="E3118" s="61" t="str">
        <f aca="false">IF($M3118=0,"",INDEX(Classes!$C$6:$C$420,$M3118))</f>
        <v/>
      </c>
      <c r="F3118" s="63"/>
      <c r="G3118" s="63"/>
      <c r="H3118" s="60"/>
      <c r="I3118" s="60"/>
      <c r="J3118" s="63"/>
      <c r="K3118" s="61" t="str">
        <f aca="false">IF($P3118=0,"",IF($F3118="Baseline","— Baseline",IF($O3118=0,"No result",IF($N3118=0,"No Start (attainment only)",IF(OR($N3118=1,$O3118=1),"U – needs rule",INDEX(MxBody,MATCH($I3118,MxCurr,0),MATCH($H3118,MxStart,0)))))))</f>
        <v/>
      </c>
      <c r="L3118" s="62" t="str">
        <f aca="false">IF(COUNTA($A3118,$F3118,$G3118,$H3118,$I3118,$J3118)=0,"",IF($M3118=0,"✖ كود الصف غير موجود",IF(ISNA(MATCH($F3118,Lists!$A$2:$A$5,0)),"✖ الفترة غير صحيحة",IF(ISNA(MATCH($G3118,Lists!$B$2:$B$7,0)),"✖ المجموعة غير صحيحة",IF(NOT(OR($H3118="",$N3118&gt;0)),"✖ Start غير صحيح",IF(NOT(OR($I3118="",$I3118="NR",$O3118&gt;0)),"✖ Current غير صحيح",IF(NOT(IF(ISNUMBER($J3118),AND($J3118&gt;=0,$J3118=INT($J3118)),FALSE())),"✖ العدد يجب أن يكون صحيحًا ≥ 0",IF(AND($F3118="Baseline",$H3118&lt;&gt;""),"⚠ Baseline: Start لا يدخل في التقدم",IF($K3118="No Start (attainment only)","ℹ تحصيل فقط (بدون Start)",IF($K3118="U – needs rule","ℹ حالة U تحتاج قاعدة معتمدة",IF($K3118="No result","ℹ بدون نتيجة (يُستبعد من التحصيل)","OK")))))))))))</f>
        <v/>
      </c>
      <c r="M3118" s="64" t="n">
        <f aca="false">IF($A3118="",0,IFERROR(MATCH($A3118,Classes!$A$6:$A$420,0),0))</f>
        <v>0</v>
      </c>
      <c r="N3118" s="64" t="n">
        <f aca="false">IF($H3118="",0,IFERROR(MATCH($H3118,GradeList,0),0))</f>
        <v>0</v>
      </c>
      <c r="O3118" s="64" t="n">
        <f aca="false">IF(OR($I3118="",$I3118="NR"),0,IFERROR(MATCH($I3118,GradeList,0),0))</f>
        <v>0</v>
      </c>
      <c r="P3118" s="64" t="n">
        <f aca="false">IF(AND($M3118&gt;0,ISNUMBER(MATCH($F3118,Lists!$A$2:$A$5,0)),ISNUMBER(MATCH($G3118,Lists!$B$2:$B$7,0)),OR($H3118="",$N3118&gt;0),OR($I3118="",$I3118="NR",$O3118&gt;0),IF(ISNUMBER($J3118),AND($J3118&gt;=0,$J3118=INT($J3118)),FALSE())),$J3118,0)</f>
        <v>0</v>
      </c>
      <c r="Q3118" s="64" t="n">
        <f aca="false">IF(AND($P3118&gt;0,$O3118&gt;0),$P3118,0)</f>
        <v>0</v>
      </c>
      <c r="R3118" s="64" t="n">
        <f aca="false">IF(AND($Q3118&gt;0,$O3118&gt;=AtRank),$Q3118,0)</f>
        <v>0</v>
      </c>
      <c r="S3118" s="64" t="n">
        <f aca="false">IF(AND($Q3118&gt;0,$O3118&gt;=AboveRank),$Q3118,0)</f>
        <v>0</v>
      </c>
      <c r="T3118" s="64" t="n">
        <f aca="false">IF($K3118="Less",$P3118,0)</f>
        <v>0</v>
      </c>
      <c r="U3118" s="64" t="n">
        <f aca="false">IF($K3118="Expected",$P3118,0)</f>
        <v>0</v>
      </c>
      <c r="V3118" s="64" t="n">
        <f aca="false">IF($K3118="Better",$P3118,0)</f>
        <v>0</v>
      </c>
      <c r="W3118" s="64" t="n">
        <f aca="false">IF($K3118="U – needs rule",$P3118,0)</f>
        <v>0</v>
      </c>
      <c r="X3118" s="64" t="n">
        <f aca="false">IF($K3118="No Start (attainment only)",$P3118,0)</f>
        <v>0</v>
      </c>
    </row>
    <row r="3119" customFormat="false" ht="15" hidden="false" customHeight="false" outlineLevel="0" collapsed="false">
      <c r="A3119" s="60"/>
      <c r="B3119" s="61" t="str">
        <f aca="false">IF($M3119=0,"",INDEX(Classes!$E$6:$E$420,$M3119))</f>
        <v/>
      </c>
      <c r="C3119" s="62" t="str">
        <f aca="false">IF($M3119=0,"",INDEX(Classes!$H$6:$H$420,$M3119))</f>
        <v/>
      </c>
      <c r="D3119" s="61" t="str">
        <f aca="false">IF($M3119=0,"",INDEX(Classes!$B$6:$B$420,$M3119))</f>
        <v/>
      </c>
      <c r="E3119" s="61" t="str">
        <f aca="false">IF($M3119=0,"",INDEX(Classes!$C$6:$C$420,$M3119))</f>
        <v/>
      </c>
      <c r="F3119" s="63"/>
      <c r="G3119" s="63"/>
      <c r="H3119" s="60"/>
      <c r="I3119" s="60"/>
      <c r="J3119" s="63"/>
      <c r="K3119" s="61" t="str">
        <f aca="false">IF($P3119=0,"",IF($F3119="Baseline","— Baseline",IF($O3119=0,"No result",IF($N3119=0,"No Start (attainment only)",IF(OR($N3119=1,$O3119=1),"U – needs rule",INDEX(MxBody,MATCH($I3119,MxCurr,0),MATCH($H3119,MxStart,0)))))))</f>
        <v/>
      </c>
      <c r="L3119" s="62" t="str">
        <f aca="false">IF(COUNTA($A3119,$F3119,$G3119,$H3119,$I3119,$J3119)=0,"",IF($M3119=0,"✖ كود الصف غير موجود",IF(ISNA(MATCH($F3119,Lists!$A$2:$A$5,0)),"✖ الفترة غير صحيحة",IF(ISNA(MATCH($G3119,Lists!$B$2:$B$7,0)),"✖ المجموعة غير صحيحة",IF(NOT(OR($H3119="",$N3119&gt;0)),"✖ Start غير صحيح",IF(NOT(OR($I3119="",$I3119="NR",$O3119&gt;0)),"✖ Current غير صحيح",IF(NOT(IF(ISNUMBER($J3119),AND($J3119&gt;=0,$J3119=INT($J3119)),FALSE())),"✖ العدد يجب أن يكون صحيحًا ≥ 0",IF(AND($F3119="Baseline",$H3119&lt;&gt;""),"⚠ Baseline: Start لا يدخل في التقدم",IF($K3119="No Start (attainment only)","ℹ تحصيل فقط (بدون Start)",IF($K3119="U – needs rule","ℹ حالة U تحتاج قاعدة معتمدة",IF($K3119="No result","ℹ بدون نتيجة (يُستبعد من التحصيل)","OK")))))))))))</f>
        <v/>
      </c>
      <c r="M3119" s="64" t="n">
        <f aca="false">IF($A3119="",0,IFERROR(MATCH($A3119,Classes!$A$6:$A$420,0),0))</f>
        <v>0</v>
      </c>
      <c r="N3119" s="64" t="n">
        <f aca="false">IF($H3119="",0,IFERROR(MATCH($H3119,GradeList,0),0))</f>
        <v>0</v>
      </c>
      <c r="O3119" s="64" t="n">
        <f aca="false">IF(OR($I3119="",$I3119="NR"),0,IFERROR(MATCH($I3119,GradeList,0),0))</f>
        <v>0</v>
      </c>
      <c r="P3119" s="64" t="n">
        <f aca="false">IF(AND($M3119&gt;0,ISNUMBER(MATCH($F3119,Lists!$A$2:$A$5,0)),ISNUMBER(MATCH($G3119,Lists!$B$2:$B$7,0)),OR($H3119="",$N3119&gt;0),OR($I3119="",$I3119="NR",$O3119&gt;0),IF(ISNUMBER($J3119),AND($J3119&gt;=0,$J3119=INT($J3119)),FALSE())),$J3119,0)</f>
        <v>0</v>
      </c>
      <c r="Q3119" s="64" t="n">
        <f aca="false">IF(AND($P3119&gt;0,$O3119&gt;0),$P3119,0)</f>
        <v>0</v>
      </c>
      <c r="R3119" s="64" t="n">
        <f aca="false">IF(AND($Q3119&gt;0,$O3119&gt;=AtRank),$Q3119,0)</f>
        <v>0</v>
      </c>
      <c r="S3119" s="64" t="n">
        <f aca="false">IF(AND($Q3119&gt;0,$O3119&gt;=AboveRank),$Q3119,0)</f>
        <v>0</v>
      </c>
      <c r="T3119" s="64" t="n">
        <f aca="false">IF($K3119="Less",$P3119,0)</f>
        <v>0</v>
      </c>
      <c r="U3119" s="64" t="n">
        <f aca="false">IF($K3119="Expected",$P3119,0)</f>
        <v>0</v>
      </c>
      <c r="V3119" s="64" t="n">
        <f aca="false">IF($K3119="Better",$P3119,0)</f>
        <v>0</v>
      </c>
      <c r="W3119" s="64" t="n">
        <f aca="false">IF($K3119="U – needs rule",$P3119,0)</f>
        <v>0</v>
      </c>
      <c r="X3119" s="64" t="n">
        <f aca="false">IF($K3119="No Start (attainment only)",$P3119,0)</f>
        <v>0</v>
      </c>
    </row>
    <row r="3120" customFormat="false" ht="15" hidden="false" customHeight="false" outlineLevel="0" collapsed="false">
      <c r="A3120" s="60"/>
      <c r="B3120" s="61" t="str">
        <f aca="false">IF($M3120=0,"",INDEX(Classes!$E$6:$E$420,$M3120))</f>
        <v/>
      </c>
      <c r="C3120" s="62" t="str">
        <f aca="false">IF($M3120=0,"",INDEX(Classes!$H$6:$H$420,$M3120))</f>
        <v/>
      </c>
      <c r="D3120" s="61" t="str">
        <f aca="false">IF($M3120=0,"",INDEX(Classes!$B$6:$B$420,$M3120))</f>
        <v/>
      </c>
      <c r="E3120" s="61" t="str">
        <f aca="false">IF($M3120=0,"",INDEX(Classes!$C$6:$C$420,$M3120))</f>
        <v/>
      </c>
      <c r="F3120" s="63"/>
      <c r="G3120" s="63"/>
      <c r="H3120" s="60"/>
      <c r="I3120" s="60"/>
      <c r="J3120" s="63"/>
      <c r="K3120" s="61" t="str">
        <f aca="false">IF($P3120=0,"",IF($F3120="Baseline","— Baseline",IF($O3120=0,"No result",IF($N3120=0,"No Start (attainment only)",IF(OR($N3120=1,$O3120=1),"U – needs rule",INDEX(MxBody,MATCH($I3120,MxCurr,0),MATCH($H3120,MxStart,0)))))))</f>
        <v/>
      </c>
      <c r="L3120" s="62" t="str">
        <f aca="false">IF(COUNTA($A3120,$F3120,$G3120,$H3120,$I3120,$J3120)=0,"",IF($M3120=0,"✖ كود الصف غير موجود",IF(ISNA(MATCH($F3120,Lists!$A$2:$A$5,0)),"✖ الفترة غير صحيحة",IF(ISNA(MATCH($G3120,Lists!$B$2:$B$7,0)),"✖ المجموعة غير صحيحة",IF(NOT(OR($H3120="",$N3120&gt;0)),"✖ Start غير صحيح",IF(NOT(OR($I3120="",$I3120="NR",$O3120&gt;0)),"✖ Current غير صحيح",IF(NOT(IF(ISNUMBER($J3120),AND($J3120&gt;=0,$J3120=INT($J3120)),FALSE())),"✖ العدد يجب أن يكون صحيحًا ≥ 0",IF(AND($F3120="Baseline",$H3120&lt;&gt;""),"⚠ Baseline: Start لا يدخل في التقدم",IF($K3120="No Start (attainment only)","ℹ تحصيل فقط (بدون Start)",IF($K3120="U – needs rule","ℹ حالة U تحتاج قاعدة معتمدة",IF($K3120="No result","ℹ بدون نتيجة (يُستبعد من التحصيل)","OK")))))))))))</f>
        <v/>
      </c>
      <c r="M3120" s="64" t="n">
        <f aca="false">IF($A3120="",0,IFERROR(MATCH($A3120,Classes!$A$6:$A$420,0),0))</f>
        <v>0</v>
      </c>
      <c r="N3120" s="64" t="n">
        <f aca="false">IF($H3120="",0,IFERROR(MATCH($H3120,GradeList,0),0))</f>
        <v>0</v>
      </c>
      <c r="O3120" s="64" t="n">
        <f aca="false">IF(OR($I3120="",$I3120="NR"),0,IFERROR(MATCH($I3120,GradeList,0),0))</f>
        <v>0</v>
      </c>
      <c r="P3120" s="64" t="n">
        <f aca="false">IF(AND($M3120&gt;0,ISNUMBER(MATCH($F3120,Lists!$A$2:$A$5,0)),ISNUMBER(MATCH($G3120,Lists!$B$2:$B$7,0)),OR($H3120="",$N3120&gt;0),OR($I3120="",$I3120="NR",$O3120&gt;0),IF(ISNUMBER($J3120),AND($J3120&gt;=0,$J3120=INT($J3120)),FALSE())),$J3120,0)</f>
        <v>0</v>
      </c>
      <c r="Q3120" s="64" t="n">
        <f aca="false">IF(AND($P3120&gt;0,$O3120&gt;0),$P3120,0)</f>
        <v>0</v>
      </c>
      <c r="R3120" s="64" t="n">
        <f aca="false">IF(AND($Q3120&gt;0,$O3120&gt;=AtRank),$Q3120,0)</f>
        <v>0</v>
      </c>
      <c r="S3120" s="64" t="n">
        <f aca="false">IF(AND($Q3120&gt;0,$O3120&gt;=AboveRank),$Q3120,0)</f>
        <v>0</v>
      </c>
      <c r="T3120" s="64" t="n">
        <f aca="false">IF($K3120="Less",$P3120,0)</f>
        <v>0</v>
      </c>
      <c r="U3120" s="64" t="n">
        <f aca="false">IF($K3120="Expected",$P3120,0)</f>
        <v>0</v>
      </c>
      <c r="V3120" s="64" t="n">
        <f aca="false">IF($K3120="Better",$P3120,0)</f>
        <v>0</v>
      </c>
      <c r="W3120" s="64" t="n">
        <f aca="false">IF($K3120="U – needs rule",$P3120,0)</f>
        <v>0</v>
      </c>
      <c r="X3120" s="64" t="n">
        <f aca="false">IF($K3120="No Start (attainment only)",$P3120,0)</f>
        <v>0</v>
      </c>
    </row>
    <row r="3121" customFormat="false" ht="15" hidden="false" customHeight="false" outlineLevel="0" collapsed="false">
      <c r="A3121" s="60"/>
      <c r="B3121" s="61" t="str">
        <f aca="false">IF($M3121=0,"",INDEX(Classes!$E$6:$E$420,$M3121))</f>
        <v/>
      </c>
      <c r="C3121" s="62" t="str">
        <f aca="false">IF($M3121=0,"",INDEX(Classes!$H$6:$H$420,$M3121))</f>
        <v/>
      </c>
      <c r="D3121" s="61" t="str">
        <f aca="false">IF($M3121=0,"",INDEX(Classes!$B$6:$B$420,$M3121))</f>
        <v/>
      </c>
      <c r="E3121" s="61" t="str">
        <f aca="false">IF($M3121=0,"",INDEX(Classes!$C$6:$C$420,$M3121))</f>
        <v/>
      </c>
      <c r="F3121" s="63"/>
      <c r="G3121" s="63"/>
      <c r="H3121" s="60"/>
      <c r="I3121" s="60"/>
      <c r="J3121" s="63"/>
      <c r="K3121" s="61" t="str">
        <f aca="false">IF($P3121=0,"",IF($F3121="Baseline","— Baseline",IF($O3121=0,"No result",IF($N3121=0,"No Start (attainment only)",IF(OR($N3121=1,$O3121=1),"U – needs rule",INDEX(MxBody,MATCH($I3121,MxCurr,0),MATCH($H3121,MxStart,0)))))))</f>
        <v/>
      </c>
      <c r="L3121" s="62" t="str">
        <f aca="false">IF(COUNTA($A3121,$F3121,$G3121,$H3121,$I3121,$J3121)=0,"",IF($M3121=0,"✖ كود الصف غير موجود",IF(ISNA(MATCH($F3121,Lists!$A$2:$A$5,0)),"✖ الفترة غير صحيحة",IF(ISNA(MATCH($G3121,Lists!$B$2:$B$7,0)),"✖ المجموعة غير صحيحة",IF(NOT(OR($H3121="",$N3121&gt;0)),"✖ Start غير صحيح",IF(NOT(OR($I3121="",$I3121="NR",$O3121&gt;0)),"✖ Current غير صحيح",IF(NOT(IF(ISNUMBER($J3121),AND($J3121&gt;=0,$J3121=INT($J3121)),FALSE())),"✖ العدد يجب أن يكون صحيحًا ≥ 0",IF(AND($F3121="Baseline",$H3121&lt;&gt;""),"⚠ Baseline: Start لا يدخل في التقدم",IF($K3121="No Start (attainment only)","ℹ تحصيل فقط (بدون Start)",IF($K3121="U – needs rule","ℹ حالة U تحتاج قاعدة معتمدة",IF($K3121="No result","ℹ بدون نتيجة (يُستبعد من التحصيل)","OK")))))))))))</f>
        <v/>
      </c>
      <c r="M3121" s="64" t="n">
        <f aca="false">IF($A3121="",0,IFERROR(MATCH($A3121,Classes!$A$6:$A$420,0),0))</f>
        <v>0</v>
      </c>
      <c r="N3121" s="64" t="n">
        <f aca="false">IF($H3121="",0,IFERROR(MATCH($H3121,GradeList,0),0))</f>
        <v>0</v>
      </c>
      <c r="O3121" s="64" t="n">
        <f aca="false">IF(OR($I3121="",$I3121="NR"),0,IFERROR(MATCH($I3121,GradeList,0),0))</f>
        <v>0</v>
      </c>
      <c r="P3121" s="64" t="n">
        <f aca="false">IF(AND($M3121&gt;0,ISNUMBER(MATCH($F3121,Lists!$A$2:$A$5,0)),ISNUMBER(MATCH($G3121,Lists!$B$2:$B$7,0)),OR($H3121="",$N3121&gt;0),OR($I3121="",$I3121="NR",$O3121&gt;0),IF(ISNUMBER($J3121),AND($J3121&gt;=0,$J3121=INT($J3121)),FALSE())),$J3121,0)</f>
        <v>0</v>
      </c>
      <c r="Q3121" s="64" t="n">
        <f aca="false">IF(AND($P3121&gt;0,$O3121&gt;0),$P3121,0)</f>
        <v>0</v>
      </c>
      <c r="R3121" s="64" t="n">
        <f aca="false">IF(AND($Q3121&gt;0,$O3121&gt;=AtRank),$Q3121,0)</f>
        <v>0</v>
      </c>
      <c r="S3121" s="64" t="n">
        <f aca="false">IF(AND($Q3121&gt;0,$O3121&gt;=AboveRank),$Q3121,0)</f>
        <v>0</v>
      </c>
      <c r="T3121" s="64" t="n">
        <f aca="false">IF($K3121="Less",$P3121,0)</f>
        <v>0</v>
      </c>
      <c r="U3121" s="64" t="n">
        <f aca="false">IF($K3121="Expected",$P3121,0)</f>
        <v>0</v>
      </c>
      <c r="V3121" s="64" t="n">
        <f aca="false">IF($K3121="Better",$P3121,0)</f>
        <v>0</v>
      </c>
      <c r="W3121" s="64" t="n">
        <f aca="false">IF($K3121="U – needs rule",$P3121,0)</f>
        <v>0</v>
      </c>
      <c r="X3121" s="64" t="n">
        <f aca="false">IF($K3121="No Start (attainment only)",$P3121,0)</f>
        <v>0</v>
      </c>
    </row>
    <row r="3122" customFormat="false" ht="15" hidden="false" customHeight="false" outlineLevel="0" collapsed="false">
      <c r="A3122" s="60"/>
      <c r="B3122" s="61" t="str">
        <f aca="false">IF($M3122=0,"",INDEX(Classes!$E$6:$E$420,$M3122))</f>
        <v/>
      </c>
      <c r="C3122" s="62" t="str">
        <f aca="false">IF($M3122=0,"",INDEX(Classes!$H$6:$H$420,$M3122))</f>
        <v/>
      </c>
      <c r="D3122" s="61" t="str">
        <f aca="false">IF($M3122=0,"",INDEX(Classes!$B$6:$B$420,$M3122))</f>
        <v/>
      </c>
      <c r="E3122" s="61" t="str">
        <f aca="false">IF($M3122=0,"",INDEX(Classes!$C$6:$C$420,$M3122))</f>
        <v/>
      </c>
      <c r="F3122" s="63"/>
      <c r="G3122" s="63"/>
      <c r="H3122" s="60"/>
      <c r="I3122" s="60"/>
      <c r="J3122" s="63"/>
      <c r="K3122" s="61" t="str">
        <f aca="false">IF($P3122=0,"",IF($F3122="Baseline","— Baseline",IF($O3122=0,"No result",IF($N3122=0,"No Start (attainment only)",IF(OR($N3122=1,$O3122=1),"U – needs rule",INDEX(MxBody,MATCH($I3122,MxCurr,0),MATCH($H3122,MxStart,0)))))))</f>
        <v/>
      </c>
      <c r="L3122" s="62" t="str">
        <f aca="false">IF(COUNTA($A3122,$F3122,$G3122,$H3122,$I3122,$J3122)=0,"",IF($M3122=0,"✖ كود الصف غير موجود",IF(ISNA(MATCH($F3122,Lists!$A$2:$A$5,0)),"✖ الفترة غير صحيحة",IF(ISNA(MATCH($G3122,Lists!$B$2:$B$7,0)),"✖ المجموعة غير صحيحة",IF(NOT(OR($H3122="",$N3122&gt;0)),"✖ Start غير صحيح",IF(NOT(OR($I3122="",$I3122="NR",$O3122&gt;0)),"✖ Current غير صحيح",IF(NOT(IF(ISNUMBER($J3122),AND($J3122&gt;=0,$J3122=INT($J3122)),FALSE())),"✖ العدد يجب أن يكون صحيحًا ≥ 0",IF(AND($F3122="Baseline",$H3122&lt;&gt;""),"⚠ Baseline: Start لا يدخل في التقدم",IF($K3122="No Start (attainment only)","ℹ تحصيل فقط (بدون Start)",IF($K3122="U – needs rule","ℹ حالة U تحتاج قاعدة معتمدة",IF($K3122="No result","ℹ بدون نتيجة (يُستبعد من التحصيل)","OK")))))))))))</f>
        <v/>
      </c>
      <c r="M3122" s="64" t="n">
        <f aca="false">IF($A3122="",0,IFERROR(MATCH($A3122,Classes!$A$6:$A$420,0),0))</f>
        <v>0</v>
      </c>
      <c r="N3122" s="64" t="n">
        <f aca="false">IF($H3122="",0,IFERROR(MATCH($H3122,GradeList,0),0))</f>
        <v>0</v>
      </c>
      <c r="O3122" s="64" t="n">
        <f aca="false">IF(OR($I3122="",$I3122="NR"),0,IFERROR(MATCH($I3122,GradeList,0),0))</f>
        <v>0</v>
      </c>
      <c r="P3122" s="64" t="n">
        <f aca="false">IF(AND($M3122&gt;0,ISNUMBER(MATCH($F3122,Lists!$A$2:$A$5,0)),ISNUMBER(MATCH($G3122,Lists!$B$2:$B$7,0)),OR($H3122="",$N3122&gt;0),OR($I3122="",$I3122="NR",$O3122&gt;0),IF(ISNUMBER($J3122),AND($J3122&gt;=0,$J3122=INT($J3122)),FALSE())),$J3122,0)</f>
        <v>0</v>
      </c>
      <c r="Q3122" s="64" t="n">
        <f aca="false">IF(AND($P3122&gt;0,$O3122&gt;0),$P3122,0)</f>
        <v>0</v>
      </c>
      <c r="R3122" s="64" t="n">
        <f aca="false">IF(AND($Q3122&gt;0,$O3122&gt;=AtRank),$Q3122,0)</f>
        <v>0</v>
      </c>
      <c r="S3122" s="64" t="n">
        <f aca="false">IF(AND($Q3122&gt;0,$O3122&gt;=AboveRank),$Q3122,0)</f>
        <v>0</v>
      </c>
      <c r="T3122" s="64" t="n">
        <f aca="false">IF($K3122="Less",$P3122,0)</f>
        <v>0</v>
      </c>
      <c r="U3122" s="64" t="n">
        <f aca="false">IF($K3122="Expected",$P3122,0)</f>
        <v>0</v>
      </c>
      <c r="V3122" s="64" t="n">
        <f aca="false">IF($K3122="Better",$P3122,0)</f>
        <v>0</v>
      </c>
      <c r="W3122" s="64" t="n">
        <f aca="false">IF($K3122="U – needs rule",$P3122,0)</f>
        <v>0</v>
      </c>
      <c r="X3122" s="64" t="n">
        <f aca="false">IF($K3122="No Start (attainment only)",$P3122,0)</f>
        <v>0</v>
      </c>
    </row>
    <row r="3123" customFormat="false" ht="15" hidden="false" customHeight="false" outlineLevel="0" collapsed="false">
      <c r="A3123" s="60"/>
      <c r="B3123" s="61" t="str">
        <f aca="false">IF($M3123=0,"",INDEX(Classes!$E$6:$E$420,$M3123))</f>
        <v/>
      </c>
      <c r="C3123" s="62" t="str">
        <f aca="false">IF($M3123=0,"",INDEX(Classes!$H$6:$H$420,$M3123))</f>
        <v/>
      </c>
      <c r="D3123" s="61" t="str">
        <f aca="false">IF($M3123=0,"",INDEX(Classes!$B$6:$B$420,$M3123))</f>
        <v/>
      </c>
      <c r="E3123" s="61" t="str">
        <f aca="false">IF($M3123=0,"",INDEX(Classes!$C$6:$C$420,$M3123))</f>
        <v/>
      </c>
      <c r="F3123" s="63"/>
      <c r="G3123" s="63"/>
      <c r="H3123" s="60"/>
      <c r="I3123" s="60"/>
      <c r="J3123" s="63"/>
      <c r="K3123" s="61" t="str">
        <f aca="false">IF($P3123=0,"",IF($F3123="Baseline","— Baseline",IF($O3123=0,"No result",IF($N3123=0,"No Start (attainment only)",IF(OR($N3123=1,$O3123=1),"U – needs rule",INDEX(MxBody,MATCH($I3123,MxCurr,0),MATCH($H3123,MxStart,0)))))))</f>
        <v/>
      </c>
      <c r="L3123" s="62" t="str">
        <f aca="false">IF(COUNTA($A3123,$F3123,$G3123,$H3123,$I3123,$J3123)=0,"",IF($M3123=0,"✖ كود الصف غير موجود",IF(ISNA(MATCH($F3123,Lists!$A$2:$A$5,0)),"✖ الفترة غير صحيحة",IF(ISNA(MATCH($G3123,Lists!$B$2:$B$7,0)),"✖ المجموعة غير صحيحة",IF(NOT(OR($H3123="",$N3123&gt;0)),"✖ Start غير صحيح",IF(NOT(OR($I3123="",$I3123="NR",$O3123&gt;0)),"✖ Current غير صحيح",IF(NOT(IF(ISNUMBER($J3123),AND($J3123&gt;=0,$J3123=INT($J3123)),FALSE())),"✖ العدد يجب أن يكون صحيحًا ≥ 0",IF(AND($F3123="Baseline",$H3123&lt;&gt;""),"⚠ Baseline: Start لا يدخل في التقدم",IF($K3123="No Start (attainment only)","ℹ تحصيل فقط (بدون Start)",IF($K3123="U – needs rule","ℹ حالة U تحتاج قاعدة معتمدة",IF($K3123="No result","ℹ بدون نتيجة (يُستبعد من التحصيل)","OK")))))))))))</f>
        <v/>
      </c>
      <c r="M3123" s="64" t="n">
        <f aca="false">IF($A3123="",0,IFERROR(MATCH($A3123,Classes!$A$6:$A$420,0),0))</f>
        <v>0</v>
      </c>
      <c r="N3123" s="64" t="n">
        <f aca="false">IF($H3123="",0,IFERROR(MATCH($H3123,GradeList,0),0))</f>
        <v>0</v>
      </c>
      <c r="O3123" s="64" t="n">
        <f aca="false">IF(OR($I3123="",$I3123="NR"),0,IFERROR(MATCH($I3123,GradeList,0),0))</f>
        <v>0</v>
      </c>
      <c r="P3123" s="64" t="n">
        <f aca="false">IF(AND($M3123&gt;0,ISNUMBER(MATCH($F3123,Lists!$A$2:$A$5,0)),ISNUMBER(MATCH($G3123,Lists!$B$2:$B$7,0)),OR($H3123="",$N3123&gt;0),OR($I3123="",$I3123="NR",$O3123&gt;0),IF(ISNUMBER($J3123),AND($J3123&gt;=0,$J3123=INT($J3123)),FALSE())),$J3123,0)</f>
        <v>0</v>
      </c>
      <c r="Q3123" s="64" t="n">
        <f aca="false">IF(AND($P3123&gt;0,$O3123&gt;0),$P3123,0)</f>
        <v>0</v>
      </c>
      <c r="R3123" s="64" t="n">
        <f aca="false">IF(AND($Q3123&gt;0,$O3123&gt;=AtRank),$Q3123,0)</f>
        <v>0</v>
      </c>
      <c r="S3123" s="64" t="n">
        <f aca="false">IF(AND($Q3123&gt;0,$O3123&gt;=AboveRank),$Q3123,0)</f>
        <v>0</v>
      </c>
      <c r="T3123" s="64" t="n">
        <f aca="false">IF($K3123="Less",$P3123,0)</f>
        <v>0</v>
      </c>
      <c r="U3123" s="64" t="n">
        <f aca="false">IF($K3123="Expected",$P3123,0)</f>
        <v>0</v>
      </c>
      <c r="V3123" s="64" t="n">
        <f aca="false">IF($K3123="Better",$P3123,0)</f>
        <v>0</v>
      </c>
      <c r="W3123" s="64" t="n">
        <f aca="false">IF($K3123="U – needs rule",$P3123,0)</f>
        <v>0</v>
      </c>
      <c r="X3123" s="64" t="n">
        <f aca="false">IF($K3123="No Start (attainment only)",$P3123,0)</f>
        <v>0</v>
      </c>
    </row>
    <row r="3124" customFormat="false" ht="15" hidden="false" customHeight="false" outlineLevel="0" collapsed="false">
      <c r="A3124" s="60"/>
      <c r="B3124" s="61" t="str">
        <f aca="false">IF($M3124=0,"",INDEX(Classes!$E$6:$E$420,$M3124))</f>
        <v/>
      </c>
      <c r="C3124" s="62" t="str">
        <f aca="false">IF($M3124=0,"",INDEX(Classes!$H$6:$H$420,$M3124))</f>
        <v/>
      </c>
      <c r="D3124" s="61" t="str">
        <f aca="false">IF($M3124=0,"",INDEX(Classes!$B$6:$B$420,$M3124))</f>
        <v/>
      </c>
      <c r="E3124" s="61" t="str">
        <f aca="false">IF($M3124=0,"",INDEX(Classes!$C$6:$C$420,$M3124))</f>
        <v/>
      </c>
      <c r="F3124" s="63"/>
      <c r="G3124" s="63"/>
      <c r="H3124" s="60"/>
      <c r="I3124" s="60"/>
      <c r="J3124" s="63"/>
      <c r="K3124" s="61" t="str">
        <f aca="false">IF($P3124=0,"",IF($F3124="Baseline","— Baseline",IF($O3124=0,"No result",IF($N3124=0,"No Start (attainment only)",IF(OR($N3124=1,$O3124=1),"U – needs rule",INDEX(MxBody,MATCH($I3124,MxCurr,0),MATCH($H3124,MxStart,0)))))))</f>
        <v/>
      </c>
      <c r="L3124" s="62" t="str">
        <f aca="false">IF(COUNTA($A3124,$F3124,$G3124,$H3124,$I3124,$J3124)=0,"",IF($M3124=0,"✖ كود الصف غير موجود",IF(ISNA(MATCH($F3124,Lists!$A$2:$A$5,0)),"✖ الفترة غير صحيحة",IF(ISNA(MATCH($G3124,Lists!$B$2:$B$7,0)),"✖ المجموعة غير صحيحة",IF(NOT(OR($H3124="",$N3124&gt;0)),"✖ Start غير صحيح",IF(NOT(OR($I3124="",$I3124="NR",$O3124&gt;0)),"✖ Current غير صحيح",IF(NOT(IF(ISNUMBER($J3124),AND($J3124&gt;=0,$J3124=INT($J3124)),FALSE())),"✖ العدد يجب أن يكون صحيحًا ≥ 0",IF(AND($F3124="Baseline",$H3124&lt;&gt;""),"⚠ Baseline: Start لا يدخل في التقدم",IF($K3124="No Start (attainment only)","ℹ تحصيل فقط (بدون Start)",IF($K3124="U – needs rule","ℹ حالة U تحتاج قاعدة معتمدة",IF($K3124="No result","ℹ بدون نتيجة (يُستبعد من التحصيل)","OK")))))))))))</f>
        <v/>
      </c>
      <c r="M3124" s="64" t="n">
        <f aca="false">IF($A3124="",0,IFERROR(MATCH($A3124,Classes!$A$6:$A$420,0),0))</f>
        <v>0</v>
      </c>
      <c r="N3124" s="64" t="n">
        <f aca="false">IF($H3124="",0,IFERROR(MATCH($H3124,GradeList,0),0))</f>
        <v>0</v>
      </c>
      <c r="O3124" s="64" t="n">
        <f aca="false">IF(OR($I3124="",$I3124="NR"),0,IFERROR(MATCH($I3124,GradeList,0),0))</f>
        <v>0</v>
      </c>
      <c r="P3124" s="64" t="n">
        <f aca="false">IF(AND($M3124&gt;0,ISNUMBER(MATCH($F3124,Lists!$A$2:$A$5,0)),ISNUMBER(MATCH($G3124,Lists!$B$2:$B$7,0)),OR($H3124="",$N3124&gt;0),OR($I3124="",$I3124="NR",$O3124&gt;0),IF(ISNUMBER($J3124),AND($J3124&gt;=0,$J3124=INT($J3124)),FALSE())),$J3124,0)</f>
        <v>0</v>
      </c>
      <c r="Q3124" s="64" t="n">
        <f aca="false">IF(AND($P3124&gt;0,$O3124&gt;0),$P3124,0)</f>
        <v>0</v>
      </c>
      <c r="R3124" s="64" t="n">
        <f aca="false">IF(AND($Q3124&gt;0,$O3124&gt;=AtRank),$Q3124,0)</f>
        <v>0</v>
      </c>
      <c r="S3124" s="64" t="n">
        <f aca="false">IF(AND($Q3124&gt;0,$O3124&gt;=AboveRank),$Q3124,0)</f>
        <v>0</v>
      </c>
      <c r="T3124" s="64" t="n">
        <f aca="false">IF($K3124="Less",$P3124,0)</f>
        <v>0</v>
      </c>
      <c r="U3124" s="64" t="n">
        <f aca="false">IF($K3124="Expected",$P3124,0)</f>
        <v>0</v>
      </c>
      <c r="V3124" s="64" t="n">
        <f aca="false">IF($K3124="Better",$P3124,0)</f>
        <v>0</v>
      </c>
      <c r="W3124" s="64" t="n">
        <f aca="false">IF($K3124="U – needs rule",$P3124,0)</f>
        <v>0</v>
      </c>
      <c r="X3124" s="64" t="n">
        <f aca="false">IF($K3124="No Start (attainment only)",$P3124,0)</f>
        <v>0</v>
      </c>
    </row>
    <row r="3125" customFormat="false" ht="15" hidden="false" customHeight="false" outlineLevel="0" collapsed="false">
      <c r="A3125" s="60"/>
      <c r="B3125" s="61" t="str">
        <f aca="false">IF($M3125=0,"",INDEX(Classes!$E$6:$E$420,$M3125))</f>
        <v/>
      </c>
      <c r="C3125" s="62" t="str">
        <f aca="false">IF($M3125=0,"",INDEX(Classes!$H$6:$H$420,$M3125))</f>
        <v/>
      </c>
      <c r="D3125" s="61" t="str">
        <f aca="false">IF($M3125=0,"",INDEX(Classes!$B$6:$B$420,$M3125))</f>
        <v/>
      </c>
      <c r="E3125" s="61" t="str">
        <f aca="false">IF($M3125=0,"",INDEX(Classes!$C$6:$C$420,$M3125))</f>
        <v/>
      </c>
      <c r="F3125" s="63"/>
      <c r="G3125" s="63"/>
      <c r="H3125" s="60"/>
      <c r="I3125" s="60"/>
      <c r="J3125" s="63"/>
      <c r="K3125" s="61" t="str">
        <f aca="false">IF($P3125=0,"",IF($F3125="Baseline","— Baseline",IF($O3125=0,"No result",IF($N3125=0,"No Start (attainment only)",IF(OR($N3125=1,$O3125=1),"U – needs rule",INDEX(MxBody,MATCH($I3125,MxCurr,0),MATCH($H3125,MxStart,0)))))))</f>
        <v/>
      </c>
      <c r="L3125" s="62" t="str">
        <f aca="false">IF(COUNTA($A3125,$F3125,$G3125,$H3125,$I3125,$J3125)=0,"",IF($M3125=0,"✖ كود الصف غير موجود",IF(ISNA(MATCH($F3125,Lists!$A$2:$A$5,0)),"✖ الفترة غير صحيحة",IF(ISNA(MATCH($G3125,Lists!$B$2:$B$7,0)),"✖ المجموعة غير صحيحة",IF(NOT(OR($H3125="",$N3125&gt;0)),"✖ Start غير صحيح",IF(NOT(OR($I3125="",$I3125="NR",$O3125&gt;0)),"✖ Current غير صحيح",IF(NOT(IF(ISNUMBER($J3125),AND($J3125&gt;=0,$J3125=INT($J3125)),FALSE())),"✖ العدد يجب أن يكون صحيحًا ≥ 0",IF(AND($F3125="Baseline",$H3125&lt;&gt;""),"⚠ Baseline: Start لا يدخل في التقدم",IF($K3125="No Start (attainment only)","ℹ تحصيل فقط (بدون Start)",IF($K3125="U – needs rule","ℹ حالة U تحتاج قاعدة معتمدة",IF($K3125="No result","ℹ بدون نتيجة (يُستبعد من التحصيل)","OK")))))))))))</f>
        <v/>
      </c>
      <c r="M3125" s="64" t="n">
        <f aca="false">IF($A3125="",0,IFERROR(MATCH($A3125,Classes!$A$6:$A$420,0),0))</f>
        <v>0</v>
      </c>
      <c r="N3125" s="64" t="n">
        <f aca="false">IF($H3125="",0,IFERROR(MATCH($H3125,GradeList,0),0))</f>
        <v>0</v>
      </c>
      <c r="O3125" s="64" t="n">
        <f aca="false">IF(OR($I3125="",$I3125="NR"),0,IFERROR(MATCH($I3125,GradeList,0),0))</f>
        <v>0</v>
      </c>
      <c r="P3125" s="64" t="n">
        <f aca="false">IF(AND($M3125&gt;0,ISNUMBER(MATCH($F3125,Lists!$A$2:$A$5,0)),ISNUMBER(MATCH($G3125,Lists!$B$2:$B$7,0)),OR($H3125="",$N3125&gt;0),OR($I3125="",$I3125="NR",$O3125&gt;0),IF(ISNUMBER($J3125),AND($J3125&gt;=0,$J3125=INT($J3125)),FALSE())),$J3125,0)</f>
        <v>0</v>
      </c>
      <c r="Q3125" s="64" t="n">
        <f aca="false">IF(AND($P3125&gt;0,$O3125&gt;0),$P3125,0)</f>
        <v>0</v>
      </c>
      <c r="R3125" s="64" t="n">
        <f aca="false">IF(AND($Q3125&gt;0,$O3125&gt;=AtRank),$Q3125,0)</f>
        <v>0</v>
      </c>
      <c r="S3125" s="64" t="n">
        <f aca="false">IF(AND($Q3125&gt;0,$O3125&gt;=AboveRank),$Q3125,0)</f>
        <v>0</v>
      </c>
      <c r="T3125" s="64" t="n">
        <f aca="false">IF($K3125="Less",$P3125,0)</f>
        <v>0</v>
      </c>
      <c r="U3125" s="64" t="n">
        <f aca="false">IF($K3125="Expected",$P3125,0)</f>
        <v>0</v>
      </c>
      <c r="V3125" s="64" t="n">
        <f aca="false">IF($K3125="Better",$P3125,0)</f>
        <v>0</v>
      </c>
      <c r="W3125" s="64" t="n">
        <f aca="false">IF($K3125="U – needs rule",$P3125,0)</f>
        <v>0</v>
      </c>
      <c r="X3125" s="64" t="n">
        <f aca="false">IF($K3125="No Start (attainment only)",$P3125,0)</f>
        <v>0</v>
      </c>
    </row>
    <row r="3126" customFormat="false" ht="15" hidden="false" customHeight="false" outlineLevel="0" collapsed="false">
      <c r="A3126" s="60"/>
      <c r="B3126" s="61" t="str">
        <f aca="false">IF($M3126=0,"",INDEX(Classes!$E$6:$E$420,$M3126))</f>
        <v/>
      </c>
      <c r="C3126" s="62" t="str">
        <f aca="false">IF($M3126=0,"",INDEX(Classes!$H$6:$H$420,$M3126))</f>
        <v/>
      </c>
      <c r="D3126" s="61" t="str">
        <f aca="false">IF($M3126=0,"",INDEX(Classes!$B$6:$B$420,$M3126))</f>
        <v/>
      </c>
      <c r="E3126" s="61" t="str">
        <f aca="false">IF($M3126=0,"",INDEX(Classes!$C$6:$C$420,$M3126))</f>
        <v/>
      </c>
      <c r="F3126" s="63"/>
      <c r="G3126" s="63"/>
      <c r="H3126" s="60"/>
      <c r="I3126" s="60"/>
      <c r="J3126" s="63"/>
      <c r="K3126" s="61" t="str">
        <f aca="false">IF($P3126=0,"",IF($F3126="Baseline","— Baseline",IF($O3126=0,"No result",IF($N3126=0,"No Start (attainment only)",IF(OR($N3126=1,$O3126=1),"U – needs rule",INDEX(MxBody,MATCH($I3126,MxCurr,0),MATCH($H3126,MxStart,0)))))))</f>
        <v/>
      </c>
      <c r="L3126" s="62" t="str">
        <f aca="false">IF(COUNTA($A3126,$F3126,$G3126,$H3126,$I3126,$J3126)=0,"",IF($M3126=0,"✖ كود الصف غير موجود",IF(ISNA(MATCH($F3126,Lists!$A$2:$A$5,0)),"✖ الفترة غير صحيحة",IF(ISNA(MATCH($G3126,Lists!$B$2:$B$7,0)),"✖ المجموعة غير صحيحة",IF(NOT(OR($H3126="",$N3126&gt;0)),"✖ Start غير صحيح",IF(NOT(OR($I3126="",$I3126="NR",$O3126&gt;0)),"✖ Current غير صحيح",IF(NOT(IF(ISNUMBER($J3126),AND($J3126&gt;=0,$J3126=INT($J3126)),FALSE())),"✖ العدد يجب أن يكون صحيحًا ≥ 0",IF(AND($F3126="Baseline",$H3126&lt;&gt;""),"⚠ Baseline: Start لا يدخل في التقدم",IF($K3126="No Start (attainment only)","ℹ تحصيل فقط (بدون Start)",IF($K3126="U – needs rule","ℹ حالة U تحتاج قاعدة معتمدة",IF($K3126="No result","ℹ بدون نتيجة (يُستبعد من التحصيل)","OK")))))))))))</f>
        <v/>
      </c>
      <c r="M3126" s="64" t="n">
        <f aca="false">IF($A3126="",0,IFERROR(MATCH($A3126,Classes!$A$6:$A$420,0),0))</f>
        <v>0</v>
      </c>
      <c r="N3126" s="64" t="n">
        <f aca="false">IF($H3126="",0,IFERROR(MATCH($H3126,GradeList,0),0))</f>
        <v>0</v>
      </c>
      <c r="O3126" s="64" t="n">
        <f aca="false">IF(OR($I3126="",$I3126="NR"),0,IFERROR(MATCH($I3126,GradeList,0),0))</f>
        <v>0</v>
      </c>
      <c r="P3126" s="64" t="n">
        <f aca="false">IF(AND($M3126&gt;0,ISNUMBER(MATCH($F3126,Lists!$A$2:$A$5,0)),ISNUMBER(MATCH($G3126,Lists!$B$2:$B$7,0)),OR($H3126="",$N3126&gt;0),OR($I3126="",$I3126="NR",$O3126&gt;0),IF(ISNUMBER($J3126),AND($J3126&gt;=0,$J3126=INT($J3126)),FALSE())),$J3126,0)</f>
        <v>0</v>
      </c>
      <c r="Q3126" s="64" t="n">
        <f aca="false">IF(AND($P3126&gt;0,$O3126&gt;0),$P3126,0)</f>
        <v>0</v>
      </c>
      <c r="R3126" s="64" t="n">
        <f aca="false">IF(AND($Q3126&gt;0,$O3126&gt;=AtRank),$Q3126,0)</f>
        <v>0</v>
      </c>
      <c r="S3126" s="64" t="n">
        <f aca="false">IF(AND($Q3126&gt;0,$O3126&gt;=AboveRank),$Q3126,0)</f>
        <v>0</v>
      </c>
      <c r="T3126" s="64" t="n">
        <f aca="false">IF($K3126="Less",$P3126,0)</f>
        <v>0</v>
      </c>
      <c r="U3126" s="64" t="n">
        <f aca="false">IF($K3126="Expected",$P3126,0)</f>
        <v>0</v>
      </c>
      <c r="V3126" s="64" t="n">
        <f aca="false">IF($K3126="Better",$P3126,0)</f>
        <v>0</v>
      </c>
      <c r="W3126" s="64" t="n">
        <f aca="false">IF($K3126="U – needs rule",$P3126,0)</f>
        <v>0</v>
      </c>
      <c r="X3126" s="64" t="n">
        <f aca="false">IF($K3126="No Start (attainment only)",$P3126,0)</f>
        <v>0</v>
      </c>
    </row>
    <row r="3127" customFormat="false" ht="15" hidden="false" customHeight="false" outlineLevel="0" collapsed="false">
      <c r="A3127" s="60"/>
      <c r="B3127" s="61" t="str">
        <f aca="false">IF($M3127=0,"",INDEX(Classes!$E$6:$E$420,$M3127))</f>
        <v/>
      </c>
      <c r="C3127" s="62" t="str">
        <f aca="false">IF($M3127=0,"",INDEX(Classes!$H$6:$H$420,$M3127))</f>
        <v/>
      </c>
      <c r="D3127" s="61" t="str">
        <f aca="false">IF($M3127=0,"",INDEX(Classes!$B$6:$B$420,$M3127))</f>
        <v/>
      </c>
      <c r="E3127" s="61" t="str">
        <f aca="false">IF($M3127=0,"",INDEX(Classes!$C$6:$C$420,$M3127))</f>
        <v/>
      </c>
      <c r="F3127" s="63"/>
      <c r="G3127" s="63"/>
      <c r="H3127" s="60"/>
      <c r="I3127" s="60"/>
      <c r="J3127" s="63"/>
      <c r="K3127" s="61" t="str">
        <f aca="false">IF($P3127=0,"",IF($F3127="Baseline","— Baseline",IF($O3127=0,"No result",IF($N3127=0,"No Start (attainment only)",IF(OR($N3127=1,$O3127=1),"U – needs rule",INDEX(MxBody,MATCH($I3127,MxCurr,0),MATCH($H3127,MxStart,0)))))))</f>
        <v/>
      </c>
      <c r="L3127" s="62" t="str">
        <f aca="false">IF(COUNTA($A3127,$F3127,$G3127,$H3127,$I3127,$J3127)=0,"",IF($M3127=0,"✖ كود الصف غير موجود",IF(ISNA(MATCH($F3127,Lists!$A$2:$A$5,0)),"✖ الفترة غير صحيحة",IF(ISNA(MATCH($G3127,Lists!$B$2:$B$7,0)),"✖ المجموعة غير صحيحة",IF(NOT(OR($H3127="",$N3127&gt;0)),"✖ Start غير صحيح",IF(NOT(OR($I3127="",$I3127="NR",$O3127&gt;0)),"✖ Current غير صحيح",IF(NOT(IF(ISNUMBER($J3127),AND($J3127&gt;=0,$J3127=INT($J3127)),FALSE())),"✖ العدد يجب أن يكون صحيحًا ≥ 0",IF(AND($F3127="Baseline",$H3127&lt;&gt;""),"⚠ Baseline: Start لا يدخل في التقدم",IF($K3127="No Start (attainment only)","ℹ تحصيل فقط (بدون Start)",IF($K3127="U – needs rule","ℹ حالة U تحتاج قاعدة معتمدة",IF($K3127="No result","ℹ بدون نتيجة (يُستبعد من التحصيل)","OK")))))))))))</f>
        <v/>
      </c>
      <c r="M3127" s="64" t="n">
        <f aca="false">IF($A3127="",0,IFERROR(MATCH($A3127,Classes!$A$6:$A$420,0),0))</f>
        <v>0</v>
      </c>
      <c r="N3127" s="64" t="n">
        <f aca="false">IF($H3127="",0,IFERROR(MATCH($H3127,GradeList,0),0))</f>
        <v>0</v>
      </c>
      <c r="O3127" s="64" t="n">
        <f aca="false">IF(OR($I3127="",$I3127="NR"),0,IFERROR(MATCH($I3127,GradeList,0),0))</f>
        <v>0</v>
      </c>
      <c r="P3127" s="64" t="n">
        <f aca="false">IF(AND($M3127&gt;0,ISNUMBER(MATCH($F3127,Lists!$A$2:$A$5,0)),ISNUMBER(MATCH($G3127,Lists!$B$2:$B$7,0)),OR($H3127="",$N3127&gt;0),OR($I3127="",$I3127="NR",$O3127&gt;0),IF(ISNUMBER($J3127),AND($J3127&gt;=0,$J3127=INT($J3127)),FALSE())),$J3127,0)</f>
        <v>0</v>
      </c>
      <c r="Q3127" s="64" t="n">
        <f aca="false">IF(AND($P3127&gt;0,$O3127&gt;0),$P3127,0)</f>
        <v>0</v>
      </c>
      <c r="R3127" s="64" t="n">
        <f aca="false">IF(AND($Q3127&gt;0,$O3127&gt;=AtRank),$Q3127,0)</f>
        <v>0</v>
      </c>
      <c r="S3127" s="64" t="n">
        <f aca="false">IF(AND($Q3127&gt;0,$O3127&gt;=AboveRank),$Q3127,0)</f>
        <v>0</v>
      </c>
      <c r="T3127" s="64" t="n">
        <f aca="false">IF($K3127="Less",$P3127,0)</f>
        <v>0</v>
      </c>
      <c r="U3127" s="64" t="n">
        <f aca="false">IF($K3127="Expected",$P3127,0)</f>
        <v>0</v>
      </c>
      <c r="V3127" s="64" t="n">
        <f aca="false">IF($K3127="Better",$P3127,0)</f>
        <v>0</v>
      </c>
      <c r="W3127" s="64" t="n">
        <f aca="false">IF($K3127="U – needs rule",$P3127,0)</f>
        <v>0</v>
      </c>
      <c r="X3127" s="64" t="n">
        <f aca="false">IF($K3127="No Start (attainment only)",$P3127,0)</f>
        <v>0</v>
      </c>
    </row>
    <row r="3128" customFormat="false" ht="15" hidden="false" customHeight="false" outlineLevel="0" collapsed="false">
      <c r="A3128" s="60"/>
      <c r="B3128" s="61" t="str">
        <f aca="false">IF($M3128=0,"",INDEX(Classes!$E$6:$E$420,$M3128))</f>
        <v/>
      </c>
      <c r="C3128" s="62" t="str">
        <f aca="false">IF($M3128=0,"",INDEX(Classes!$H$6:$H$420,$M3128))</f>
        <v/>
      </c>
      <c r="D3128" s="61" t="str">
        <f aca="false">IF($M3128=0,"",INDEX(Classes!$B$6:$B$420,$M3128))</f>
        <v/>
      </c>
      <c r="E3128" s="61" t="str">
        <f aca="false">IF($M3128=0,"",INDEX(Classes!$C$6:$C$420,$M3128))</f>
        <v/>
      </c>
      <c r="F3128" s="63"/>
      <c r="G3128" s="63"/>
      <c r="H3128" s="60"/>
      <c r="I3128" s="60"/>
      <c r="J3128" s="63"/>
      <c r="K3128" s="61" t="str">
        <f aca="false">IF($P3128=0,"",IF($F3128="Baseline","— Baseline",IF($O3128=0,"No result",IF($N3128=0,"No Start (attainment only)",IF(OR($N3128=1,$O3128=1),"U – needs rule",INDEX(MxBody,MATCH($I3128,MxCurr,0),MATCH($H3128,MxStart,0)))))))</f>
        <v/>
      </c>
      <c r="L3128" s="62" t="str">
        <f aca="false">IF(COUNTA($A3128,$F3128,$G3128,$H3128,$I3128,$J3128)=0,"",IF($M3128=0,"✖ كود الصف غير موجود",IF(ISNA(MATCH($F3128,Lists!$A$2:$A$5,0)),"✖ الفترة غير صحيحة",IF(ISNA(MATCH($G3128,Lists!$B$2:$B$7,0)),"✖ المجموعة غير صحيحة",IF(NOT(OR($H3128="",$N3128&gt;0)),"✖ Start غير صحيح",IF(NOT(OR($I3128="",$I3128="NR",$O3128&gt;0)),"✖ Current غير صحيح",IF(NOT(IF(ISNUMBER($J3128),AND($J3128&gt;=0,$J3128=INT($J3128)),FALSE())),"✖ العدد يجب أن يكون صحيحًا ≥ 0",IF(AND($F3128="Baseline",$H3128&lt;&gt;""),"⚠ Baseline: Start لا يدخل في التقدم",IF($K3128="No Start (attainment only)","ℹ تحصيل فقط (بدون Start)",IF($K3128="U – needs rule","ℹ حالة U تحتاج قاعدة معتمدة",IF($K3128="No result","ℹ بدون نتيجة (يُستبعد من التحصيل)","OK")))))))))))</f>
        <v/>
      </c>
      <c r="M3128" s="64" t="n">
        <f aca="false">IF($A3128="",0,IFERROR(MATCH($A3128,Classes!$A$6:$A$420,0),0))</f>
        <v>0</v>
      </c>
      <c r="N3128" s="64" t="n">
        <f aca="false">IF($H3128="",0,IFERROR(MATCH($H3128,GradeList,0),0))</f>
        <v>0</v>
      </c>
      <c r="O3128" s="64" t="n">
        <f aca="false">IF(OR($I3128="",$I3128="NR"),0,IFERROR(MATCH($I3128,GradeList,0),0))</f>
        <v>0</v>
      </c>
      <c r="P3128" s="64" t="n">
        <f aca="false">IF(AND($M3128&gt;0,ISNUMBER(MATCH($F3128,Lists!$A$2:$A$5,0)),ISNUMBER(MATCH($G3128,Lists!$B$2:$B$7,0)),OR($H3128="",$N3128&gt;0),OR($I3128="",$I3128="NR",$O3128&gt;0),IF(ISNUMBER($J3128),AND($J3128&gt;=0,$J3128=INT($J3128)),FALSE())),$J3128,0)</f>
        <v>0</v>
      </c>
      <c r="Q3128" s="64" t="n">
        <f aca="false">IF(AND($P3128&gt;0,$O3128&gt;0),$P3128,0)</f>
        <v>0</v>
      </c>
      <c r="R3128" s="64" t="n">
        <f aca="false">IF(AND($Q3128&gt;0,$O3128&gt;=AtRank),$Q3128,0)</f>
        <v>0</v>
      </c>
      <c r="S3128" s="64" t="n">
        <f aca="false">IF(AND($Q3128&gt;0,$O3128&gt;=AboveRank),$Q3128,0)</f>
        <v>0</v>
      </c>
      <c r="T3128" s="64" t="n">
        <f aca="false">IF($K3128="Less",$P3128,0)</f>
        <v>0</v>
      </c>
      <c r="U3128" s="64" t="n">
        <f aca="false">IF($K3128="Expected",$P3128,0)</f>
        <v>0</v>
      </c>
      <c r="V3128" s="64" t="n">
        <f aca="false">IF($K3128="Better",$P3128,0)</f>
        <v>0</v>
      </c>
      <c r="W3128" s="64" t="n">
        <f aca="false">IF($K3128="U – needs rule",$P3128,0)</f>
        <v>0</v>
      </c>
      <c r="X3128" s="64" t="n">
        <f aca="false">IF($K3128="No Start (attainment only)",$P3128,0)</f>
        <v>0</v>
      </c>
    </row>
    <row r="3129" customFormat="false" ht="15" hidden="false" customHeight="false" outlineLevel="0" collapsed="false">
      <c r="A3129" s="60"/>
      <c r="B3129" s="61" t="str">
        <f aca="false">IF($M3129=0,"",INDEX(Classes!$E$6:$E$420,$M3129))</f>
        <v/>
      </c>
      <c r="C3129" s="62" t="str">
        <f aca="false">IF($M3129=0,"",INDEX(Classes!$H$6:$H$420,$M3129))</f>
        <v/>
      </c>
      <c r="D3129" s="61" t="str">
        <f aca="false">IF($M3129=0,"",INDEX(Classes!$B$6:$B$420,$M3129))</f>
        <v/>
      </c>
      <c r="E3129" s="61" t="str">
        <f aca="false">IF($M3129=0,"",INDEX(Classes!$C$6:$C$420,$M3129))</f>
        <v/>
      </c>
      <c r="F3129" s="63"/>
      <c r="G3129" s="63"/>
      <c r="H3129" s="60"/>
      <c r="I3129" s="60"/>
      <c r="J3129" s="63"/>
      <c r="K3129" s="61" t="str">
        <f aca="false">IF($P3129=0,"",IF($F3129="Baseline","— Baseline",IF($O3129=0,"No result",IF($N3129=0,"No Start (attainment only)",IF(OR($N3129=1,$O3129=1),"U – needs rule",INDEX(MxBody,MATCH($I3129,MxCurr,0),MATCH($H3129,MxStart,0)))))))</f>
        <v/>
      </c>
      <c r="L3129" s="62" t="str">
        <f aca="false">IF(COUNTA($A3129,$F3129,$G3129,$H3129,$I3129,$J3129)=0,"",IF($M3129=0,"✖ كود الصف غير موجود",IF(ISNA(MATCH($F3129,Lists!$A$2:$A$5,0)),"✖ الفترة غير صحيحة",IF(ISNA(MATCH($G3129,Lists!$B$2:$B$7,0)),"✖ المجموعة غير صحيحة",IF(NOT(OR($H3129="",$N3129&gt;0)),"✖ Start غير صحيح",IF(NOT(OR($I3129="",$I3129="NR",$O3129&gt;0)),"✖ Current غير صحيح",IF(NOT(IF(ISNUMBER($J3129),AND($J3129&gt;=0,$J3129=INT($J3129)),FALSE())),"✖ العدد يجب أن يكون صحيحًا ≥ 0",IF(AND($F3129="Baseline",$H3129&lt;&gt;""),"⚠ Baseline: Start لا يدخل في التقدم",IF($K3129="No Start (attainment only)","ℹ تحصيل فقط (بدون Start)",IF($K3129="U – needs rule","ℹ حالة U تحتاج قاعدة معتمدة",IF($K3129="No result","ℹ بدون نتيجة (يُستبعد من التحصيل)","OK")))))))))))</f>
        <v/>
      </c>
      <c r="M3129" s="64" t="n">
        <f aca="false">IF($A3129="",0,IFERROR(MATCH($A3129,Classes!$A$6:$A$420,0),0))</f>
        <v>0</v>
      </c>
      <c r="N3129" s="64" t="n">
        <f aca="false">IF($H3129="",0,IFERROR(MATCH($H3129,GradeList,0),0))</f>
        <v>0</v>
      </c>
      <c r="O3129" s="64" t="n">
        <f aca="false">IF(OR($I3129="",$I3129="NR"),0,IFERROR(MATCH($I3129,GradeList,0),0))</f>
        <v>0</v>
      </c>
      <c r="P3129" s="64" t="n">
        <f aca="false">IF(AND($M3129&gt;0,ISNUMBER(MATCH($F3129,Lists!$A$2:$A$5,0)),ISNUMBER(MATCH($G3129,Lists!$B$2:$B$7,0)),OR($H3129="",$N3129&gt;0),OR($I3129="",$I3129="NR",$O3129&gt;0),IF(ISNUMBER($J3129),AND($J3129&gt;=0,$J3129=INT($J3129)),FALSE())),$J3129,0)</f>
        <v>0</v>
      </c>
      <c r="Q3129" s="64" t="n">
        <f aca="false">IF(AND($P3129&gt;0,$O3129&gt;0),$P3129,0)</f>
        <v>0</v>
      </c>
      <c r="R3129" s="64" t="n">
        <f aca="false">IF(AND($Q3129&gt;0,$O3129&gt;=AtRank),$Q3129,0)</f>
        <v>0</v>
      </c>
      <c r="S3129" s="64" t="n">
        <f aca="false">IF(AND($Q3129&gt;0,$O3129&gt;=AboveRank),$Q3129,0)</f>
        <v>0</v>
      </c>
      <c r="T3129" s="64" t="n">
        <f aca="false">IF($K3129="Less",$P3129,0)</f>
        <v>0</v>
      </c>
      <c r="U3129" s="64" t="n">
        <f aca="false">IF($K3129="Expected",$P3129,0)</f>
        <v>0</v>
      </c>
      <c r="V3129" s="64" t="n">
        <f aca="false">IF($K3129="Better",$P3129,0)</f>
        <v>0</v>
      </c>
      <c r="W3129" s="64" t="n">
        <f aca="false">IF($K3129="U – needs rule",$P3129,0)</f>
        <v>0</v>
      </c>
      <c r="X3129" s="64" t="n">
        <f aca="false">IF($K3129="No Start (attainment only)",$P3129,0)</f>
        <v>0</v>
      </c>
    </row>
    <row r="3130" customFormat="false" ht="15" hidden="false" customHeight="false" outlineLevel="0" collapsed="false">
      <c r="A3130" s="60"/>
      <c r="B3130" s="61" t="str">
        <f aca="false">IF($M3130=0,"",INDEX(Classes!$E$6:$E$420,$M3130))</f>
        <v/>
      </c>
      <c r="C3130" s="62" t="str">
        <f aca="false">IF($M3130=0,"",INDEX(Classes!$H$6:$H$420,$M3130))</f>
        <v/>
      </c>
      <c r="D3130" s="61" t="str">
        <f aca="false">IF($M3130=0,"",INDEX(Classes!$B$6:$B$420,$M3130))</f>
        <v/>
      </c>
      <c r="E3130" s="61" t="str">
        <f aca="false">IF($M3130=0,"",INDEX(Classes!$C$6:$C$420,$M3130))</f>
        <v/>
      </c>
      <c r="F3130" s="63"/>
      <c r="G3130" s="63"/>
      <c r="H3130" s="60"/>
      <c r="I3130" s="60"/>
      <c r="J3130" s="63"/>
      <c r="K3130" s="61" t="str">
        <f aca="false">IF($P3130=0,"",IF($F3130="Baseline","— Baseline",IF($O3130=0,"No result",IF($N3130=0,"No Start (attainment only)",IF(OR($N3130=1,$O3130=1),"U – needs rule",INDEX(MxBody,MATCH($I3130,MxCurr,0),MATCH($H3130,MxStart,0)))))))</f>
        <v/>
      </c>
      <c r="L3130" s="62" t="str">
        <f aca="false">IF(COUNTA($A3130,$F3130,$G3130,$H3130,$I3130,$J3130)=0,"",IF($M3130=0,"✖ كود الصف غير موجود",IF(ISNA(MATCH($F3130,Lists!$A$2:$A$5,0)),"✖ الفترة غير صحيحة",IF(ISNA(MATCH($G3130,Lists!$B$2:$B$7,0)),"✖ المجموعة غير صحيحة",IF(NOT(OR($H3130="",$N3130&gt;0)),"✖ Start غير صحيح",IF(NOT(OR($I3130="",$I3130="NR",$O3130&gt;0)),"✖ Current غير صحيح",IF(NOT(IF(ISNUMBER($J3130),AND($J3130&gt;=0,$J3130=INT($J3130)),FALSE())),"✖ العدد يجب أن يكون صحيحًا ≥ 0",IF(AND($F3130="Baseline",$H3130&lt;&gt;""),"⚠ Baseline: Start لا يدخل في التقدم",IF($K3130="No Start (attainment only)","ℹ تحصيل فقط (بدون Start)",IF($K3130="U – needs rule","ℹ حالة U تحتاج قاعدة معتمدة",IF($K3130="No result","ℹ بدون نتيجة (يُستبعد من التحصيل)","OK")))))))))))</f>
        <v/>
      </c>
      <c r="M3130" s="64" t="n">
        <f aca="false">IF($A3130="",0,IFERROR(MATCH($A3130,Classes!$A$6:$A$420,0),0))</f>
        <v>0</v>
      </c>
      <c r="N3130" s="64" t="n">
        <f aca="false">IF($H3130="",0,IFERROR(MATCH($H3130,GradeList,0),0))</f>
        <v>0</v>
      </c>
      <c r="O3130" s="64" t="n">
        <f aca="false">IF(OR($I3130="",$I3130="NR"),0,IFERROR(MATCH($I3130,GradeList,0),0))</f>
        <v>0</v>
      </c>
      <c r="P3130" s="64" t="n">
        <f aca="false">IF(AND($M3130&gt;0,ISNUMBER(MATCH($F3130,Lists!$A$2:$A$5,0)),ISNUMBER(MATCH($G3130,Lists!$B$2:$B$7,0)),OR($H3130="",$N3130&gt;0),OR($I3130="",$I3130="NR",$O3130&gt;0),IF(ISNUMBER($J3130),AND($J3130&gt;=0,$J3130=INT($J3130)),FALSE())),$J3130,0)</f>
        <v>0</v>
      </c>
      <c r="Q3130" s="64" t="n">
        <f aca="false">IF(AND($P3130&gt;0,$O3130&gt;0),$P3130,0)</f>
        <v>0</v>
      </c>
      <c r="R3130" s="64" t="n">
        <f aca="false">IF(AND($Q3130&gt;0,$O3130&gt;=AtRank),$Q3130,0)</f>
        <v>0</v>
      </c>
      <c r="S3130" s="64" t="n">
        <f aca="false">IF(AND($Q3130&gt;0,$O3130&gt;=AboveRank),$Q3130,0)</f>
        <v>0</v>
      </c>
      <c r="T3130" s="64" t="n">
        <f aca="false">IF($K3130="Less",$P3130,0)</f>
        <v>0</v>
      </c>
      <c r="U3130" s="64" t="n">
        <f aca="false">IF($K3130="Expected",$P3130,0)</f>
        <v>0</v>
      </c>
      <c r="V3130" s="64" t="n">
        <f aca="false">IF($K3130="Better",$P3130,0)</f>
        <v>0</v>
      </c>
      <c r="W3130" s="64" t="n">
        <f aca="false">IF($K3130="U – needs rule",$P3130,0)</f>
        <v>0</v>
      </c>
      <c r="X3130" s="64" t="n">
        <f aca="false">IF($K3130="No Start (attainment only)",$P3130,0)</f>
        <v>0</v>
      </c>
    </row>
    <row r="3131" customFormat="false" ht="15" hidden="false" customHeight="false" outlineLevel="0" collapsed="false">
      <c r="A3131" s="60"/>
      <c r="B3131" s="61" t="str">
        <f aca="false">IF($M3131=0,"",INDEX(Classes!$E$6:$E$420,$M3131))</f>
        <v/>
      </c>
      <c r="C3131" s="62" t="str">
        <f aca="false">IF($M3131=0,"",INDEX(Classes!$H$6:$H$420,$M3131))</f>
        <v/>
      </c>
      <c r="D3131" s="61" t="str">
        <f aca="false">IF($M3131=0,"",INDEX(Classes!$B$6:$B$420,$M3131))</f>
        <v/>
      </c>
      <c r="E3131" s="61" t="str">
        <f aca="false">IF($M3131=0,"",INDEX(Classes!$C$6:$C$420,$M3131))</f>
        <v/>
      </c>
      <c r="F3131" s="63"/>
      <c r="G3131" s="63"/>
      <c r="H3131" s="60"/>
      <c r="I3131" s="60"/>
      <c r="J3131" s="63"/>
      <c r="K3131" s="61" t="str">
        <f aca="false">IF($P3131=0,"",IF($F3131="Baseline","— Baseline",IF($O3131=0,"No result",IF($N3131=0,"No Start (attainment only)",IF(OR($N3131=1,$O3131=1),"U – needs rule",INDEX(MxBody,MATCH($I3131,MxCurr,0),MATCH($H3131,MxStart,0)))))))</f>
        <v/>
      </c>
      <c r="L3131" s="62" t="str">
        <f aca="false">IF(COUNTA($A3131,$F3131,$G3131,$H3131,$I3131,$J3131)=0,"",IF($M3131=0,"✖ كود الصف غير موجود",IF(ISNA(MATCH($F3131,Lists!$A$2:$A$5,0)),"✖ الفترة غير صحيحة",IF(ISNA(MATCH($G3131,Lists!$B$2:$B$7,0)),"✖ المجموعة غير صحيحة",IF(NOT(OR($H3131="",$N3131&gt;0)),"✖ Start غير صحيح",IF(NOT(OR($I3131="",$I3131="NR",$O3131&gt;0)),"✖ Current غير صحيح",IF(NOT(IF(ISNUMBER($J3131),AND($J3131&gt;=0,$J3131=INT($J3131)),FALSE())),"✖ العدد يجب أن يكون صحيحًا ≥ 0",IF(AND($F3131="Baseline",$H3131&lt;&gt;""),"⚠ Baseline: Start لا يدخل في التقدم",IF($K3131="No Start (attainment only)","ℹ تحصيل فقط (بدون Start)",IF($K3131="U – needs rule","ℹ حالة U تحتاج قاعدة معتمدة",IF($K3131="No result","ℹ بدون نتيجة (يُستبعد من التحصيل)","OK")))))))))))</f>
        <v/>
      </c>
      <c r="M3131" s="64" t="n">
        <f aca="false">IF($A3131="",0,IFERROR(MATCH($A3131,Classes!$A$6:$A$420,0),0))</f>
        <v>0</v>
      </c>
      <c r="N3131" s="64" t="n">
        <f aca="false">IF($H3131="",0,IFERROR(MATCH($H3131,GradeList,0),0))</f>
        <v>0</v>
      </c>
      <c r="O3131" s="64" t="n">
        <f aca="false">IF(OR($I3131="",$I3131="NR"),0,IFERROR(MATCH($I3131,GradeList,0),0))</f>
        <v>0</v>
      </c>
      <c r="P3131" s="64" t="n">
        <f aca="false">IF(AND($M3131&gt;0,ISNUMBER(MATCH($F3131,Lists!$A$2:$A$5,0)),ISNUMBER(MATCH($G3131,Lists!$B$2:$B$7,0)),OR($H3131="",$N3131&gt;0),OR($I3131="",$I3131="NR",$O3131&gt;0),IF(ISNUMBER($J3131),AND($J3131&gt;=0,$J3131=INT($J3131)),FALSE())),$J3131,0)</f>
        <v>0</v>
      </c>
      <c r="Q3131" s="64" t="n">
        <f aca="false">IF(AND($P3131&gt;0,$O3131&gt;0),$P3131,0)</f>
        <v>0</v>
      </c>
      <c r="R3131" s="64" t="n">
        <f aca="false">IF(AND($Q3131&gt;0,$O3131&gt;=AtRank),$Q3131,0)</f>
        <v>0</v>
      </c>
      <c r="S3131" s="64" t="n">
        <f aca="false">IF(AND($Q3131&gt;0,$O3131&gt;=AboveRank),$Q3131,0)</f>
        <v>0</v>
      </c>
      <c r="T3131" s="64" t="n">
        <f aca="false">IF($K3131="Less",$P3131,0)</f>
        <v>0</v>
      </c>
      <c r="U3131" s="64" t="n">
        <f aca="false">IF($K3131="Expected",$P3131,0)</f>
        <v>0</v>
      </c>
      <c r="V3131" s="64" t="n">
        <f aca="false">IF($K3131="Better",$P3131,0)</f>
        <v>0</v>
      </c>
      <c r="W3131" s="64" t="n">
        <f aca="false">IF($K3131="U – needs rule",$P3131,0)</f>
        <v>0</v>
      </c>
      <c r="X3131" s="64" t="n">
        <f aca="false">IF($K3131="No Start (attainment only)",$P3131,0)</f>
        <v>0</v>
      </c>
    </row>
    <row r="3132" customFormat="false" ht="15" hidden="false" customHeight="false" outlineLevel="0" collapsed="false">
      <c r="A3132" s="60"/>
      <c r="B3132" s="61" t="str">
        <f aca="false">IF($M3132=0,"",INDEX(Classes!$E$6:$E$420,$M3132))</f>
        <v/>
      </c>
      <c r="C3132" s="62" t="str">
        <f aca="false">IF($M3132=0,"",INDEX(Classes!$H$6:$H$420,$M3132))</f>
        <v/>
      </c>
      <c r="D3132" s="61" t="str">
        <f aca="false">IF($M3132=0,"",INDEX(Classes!$B$6:$B$420,$M3132))</f>
        <v/>
      </c>
      <c r="E3132" s="61" t="str">
        <f aca="false">IF($M3132=0,"",INDEX(Classes!$C$6:$C$420,$M3132))</f>
        <v/>
      </c>
      <c r="F3132" s="63"/>
      <c r="G3132" s="63"/>
      <c r="H3132" s="60"/>
      <c r="I3132" s="60"/>
      <c r="J3132" s="63"/>
      <c r="K3132" s="61" t="str">
        <f aca="false">IF($P3132=0,"",IF($F3132="Baseline","— Baseline",IF($O3132=0,"No result",IF($N3132=0,"No Start (attainment only)",IF(OR($N3132=1,$O3132=1),"U – needs rule",INDEX(MxBody,MATCH($I3132,MxCurr,0),MATCH($H3132,MxStart,0)))))))</f>
        <v/>
      </c>
      <c r="L3132" s="62" t="str">
        <f aca="false">IF(COUNTA($A3132,$F3132,$G3132,$H3132,$I3132,$J3132)=0,"",IF($M3132=0,"✖ كود الصف غير موجود",IF(ISNA(MATCH($F3132,Lists!$A$2:$A$5,0)),"✖ الفترة غير صحيحة",IF(ISNA(MATCH($G3132,Lists!$B$2:$B$7,0)),"✖ المجموعة غير صحيحة",IF(NOT(OR($H3132="",$N3132&gt;0)),"✖ Start غير صحيح",IF(NOT(OR($I3132="",$I3132="NR",$O3132&gt;0)),"✖ Current غير صحيح",IF(NOT(IF(ISNUMBER($J3132),AND($J3132&gt;=0,$J3132=INT($J3132)),FALSE())),"✖ العدد يجب أن يكون صحيحًا ≥ 0",IF(AND($F3132="Baseline",$H3132&lt;&gt;""),"⚠ Baseline: Start لا يدخل في التقدم",IF($K3132="No Start (attainment only)","ℹ تحصيل فقط (بدون Start)",IF($K3132="U – needs rule","ℹ حالة U تحتاج قاعدة معتمدة",IF($K3132="No result","ℹ بدون نتيجة (يُستبعد من التحصيل)","OK")))))))))))</f>
        <v/>
      </c>
      <c r="M3132" s="64" t="n">
        <f aca="false">IF($A3132="",0,IFERROR(MATCH($A3132,Classes!$A$6:$A$420,0),0))</f>
        <v>0</v>
      </c>
      <c r="N3132" s="64" t="n">
        <f aca="false">IF($H3132="",0,IFERROR(MATCH($H3132,GradeList,0),0))</f>
        <v>0</v>
      </c>
      <c r="O3132" s="64" t="n">
        <f aca="false">IF(OR($I3132="",$I3132="NR"),0,IFERROR(MATCH($I3132,GradeList,0),0))</f>
        <v>0</v>
      </c>
      <c r="P3132" s="64" t="n">
        <f aca="false">IF(AND($M3132&gt;0,ISNUMBER(MATCH($F3132,Lists!$A$2:$A$5,0)),ISNUMBER(MATCH($G3132,Lists!$B$2:$B$7,0)),OR($H3132="",$N3132&gt;0),OR($I3132="",$I3132="NR",$O3132&gt;0),IF(ISNUMBER($J3132),AND($J3132&gt;=0,$J3132=INT($J3132)),FALSE())),$J3132,0)</f>
        <v>0</v>
      </c>
      <c r="Q3132" s="64" t="n">
        <f aca="false">IF(AND($P3132&gt;0,$O3132&gt;0),$P3132,0)</f>
        <v>0</v>
      </c>
      <c r="R3132" s="64" t="n">
        <f aca="false">IF(AND($Q3132&gt;0,$O3132&gt;=AtRank),$Q3132,0)</f>
        <v>0</v>
      </c>
      <c r="S3132" s="64" t="n">
        <f aca="false">IF(AND($Q3132&gt;0,$O3132&gt;=AboveRank),$Q3132,0)</f>
        <v>0</v>
      </c>
      <c r="T3132" s="64" t="n">
        <f aca="false">IF($K3132="Less",$P3132,0)</f>
        <v>0</v>
      </c>
      <c r="U3132" s="64" t="n">
        <f aca="false">IF($K3132="Expected",$P3132,0)</f>
        <v>0</v>
      </c>
      <c r="V3132" s="64" t="n">
        <f aca="false">IF($K3132="Better",$P3132,0)</f>
        <v>0</v>
      </c>
      <c r="W3132" s="64" t="n">
        <f aca="false">IF($K3132="U – needs rule",$P3132,0)</f>
        <v>0</v>
      </c>
      <c r="X3132" s="64" t="n">
        <f aca="false">IF($K3132="No Start (attainment only)",$P3132,0)</f>
        <v>0</v>
      </c>
    </row>
    <row r="3133" customFormat="false" ht="15" hidden="false" customHeight="false" outlineLevel="0" collapsed="false">
      <c r="A3133" s="60"/>
      <c r="B3133" s="61" t="str">
        <f aca="false">IF($M3133=0,"",INDEX(Classes!$E$6:$E$420,$M3133))</f>
        <v/>
      </c>
      <c r="C3133" s="62" t="str">
        <f aca="false">IF($M3133=0,"",INDEX(Classes!$H$6:$H$420,$M3133))</f>
        <v/>
      </c>
      <c r="D3133" s="61" t="str">
        <f aca="false">IF($M3133=0,"",INDEX(Classes!$B$6:$B$420,$M3133))</f>
        <v/>
      </c>
      <c r="E3133" s="61" t="str">
        <f aca="false">IF($M3133=0,"",INDEX(Classes!$C$6:$C$420,$M3133))</f>
        <v/>
      </c>
      <c r="F3133" s="63"/>
      <c r="G3133" s="63"/>
      <c r="H3133" s="60"/>
      <c r="I3133" s="60"/>
      <c r="J3133" s="63"/>
      <c r="K3133" s="61" t="str">
        <f aca="false">IF($P3133=0,"",IF($F3133="Baseline","— Baseline",IF($O3133=0,"No result",IF($N3133=0,"No Start (attainment only)",IF(OR($N3133=1,$O3133=1),"U – needs rule",INDEX(MxBody,MATCH($I3133,MxCurr,0),MATCH($H3133,MxStart,0)))))))</f>
        <v/>
      </c>
      <c r="L3133" s="62" t="str">
        <f aca="false">IF(COUNTA($A3133,$F3133,$G3133,$H3133,$I3133,$J3133)=0,"",IF($M3133=0,"✖ كود الصف غير موجود",IF(ISNA(MATCH($F3133,Lists!$A$2:$A$5,0)),"✖ الفترة غير صحيحة",IF(ISNA(MATCH($G3133,Lists!$B$2:$B$7,0)),"✖ المجموعة غير صحيحة",IF(NOT(OR($H3133="",$N3133&gt;0)),"✖ Start غير صحيح",IF(NOT(OR($I3133="",$I3133="NR",$O3133&gt;0)),"✖ Current غير صحيح",IF(NOT(IF(ISNUMBER($J3133),AND($J3133&gt;=0,$J3133=INT($J3133)),FALSE())),"✖ العدد يجب أن يكون صحيحًا ≥ 0",IF(AND($F3133="Baseline",$H3133&lt;&gt;""),"⚠ Baseline: Start لا يدخل في التقدم",IF($K3133="No Start (attainment only)","ℹ تحصيل فقط (بدون Start)",IF($K3133="U – needs rule","ℹ حالة U تحتاج قاعدة معتمدة",IF($K3133="No result","ℹ بدون نتيجة (يُستبعد من التحصيل)","OK")))))))))))</f>
        <v/>
      </c>
      <c r="M3133" s="64" t="n">
        <f aca="false">IF($A3133="",0,IFERROR(MATCH($A3133,Classes!$A$6:$A$420,0),0))</f>
        <v>0</v>
      </c>
      <c r="N3133" s="64" t="n">
        <f aca="false">IF($H3133="",0,IFERROR(MATCH($H3133,GradeList,0),0))</f>
        <v>0</v>
      </c>
      <c r="O3133" s="64" t="n">
        <f aca="false">IF(OR($I3133="",$I3133="NR"),0,IFERROR(MATCH($I3133,GradeList,0),0))</f>
        <v>0</v>
      </c>
      <c r="P3133" s="64" t="n">
        <f aca="false">IF(AND($M3133&gt;0,ISNUMBER(MATCH($F3133,Lists!$A$2:$A$5,0)),ISNUMBER(MATCH($G3133,Lists!$B$2:$B$7,0)),OR($H3133="",$N3133&gt;0),OR($I3133="",$I3133="NR",$O3133&gt;0),IF(ISNUMBER($J3133),AND($J3133&gt;=0,$J3133=INT($J3133)),FALSE())),$J3133,0)</f>
        <v>0</v>
      </c>
      <c r="Q3133" s="64" t="n">
        <f aca="false">IF(AND($P3133&gt;0,$O3133&gt;0),$P3133,0)</f>
        <v>0</v>
      </c>
      <c r="R3133" s="64" t="n">
        <f aca="false">IF(AND($Q3133&gt;0,$O3133&gt;=AtRank),$Q3133,0)</f>
        <v>0</v>
      </c>
      <c r="S3133" s="64" t="n">
        <f aca="false">IF(AND($Q3133&gt;0,$O3133&gt;=AboveRank),$Q3133,0)</f>
        <v>0</v>
      </c>
      <c r="T3133" s="64" t="n">
        <f aca="false">IF($K3133="Less",$P3133,0)</f>
        <v>0</v>
      </c>
      <c r="U3133" s="64" t="n">
        <f aca="false">IF($K3133="Expected",$P3133,0)</f>
        <v>0</v>
      </c>
      <c r="V3133" s="64" t="n">
        <f aca="false">IF($K3133="Better",$P3133,0)</f>
        <v>0</v>
      </c>
      <c r="W3133" s="64" t="n">
        <f aca="false">IF($K3133="U – needs rule",$P3133,0)</f>
        <v>0</v>
      </c>
      <c r="X3133" s="64" t="n">
        <f aca="false">IF($K3133="No Start (attainment only)",$P3133,0)</f>
        <v>0</v>
      </c>
    </row>
    <row r="3134" customFormat="false" ht="15" hidden="false" customHeight="false" outlineLevel="0" collapsed="false">
      <c r="A3134" s="60"/>
      <c r="B3134" s="61" t="str">
        <f aca="false">IF($M3134=0,"",INDEX(Classes!$E$6:$E$420,$M3134))</f>
        <v/>
      </c>
      <c r="C3134" s="62" t="str">
        <f aca="false">IF($M3134=0,"",INDEX(Classes!$H$6:$H$420,$M3134))</f>
        <v/>
      </c>
      <c r="D3134" s="61" t="str">
        <f aca="false">IF($M3134=0,"",INDEX(Classes!$B$6:$B$420,$M3134))</f>
        <v/>
      </c>
      <c r="E3134" s="61" t="str">
        <f aca="false">IF($M3134=0,"",INDEX(Classes!$C$6:$C$420,$M3134))</f>
        <v/>
      </c>
      <c r="F3134" s="63"/>
      <c r="G3134" s="63"/>
      <c r="H3134" s="60"/>
      <c r="I3134" s="60"/>
      <c r="J3134" s="63"/>
      <c r="K3134" s="61" t="str">
        <f aca="false">IF($P3134=0,"",IF($F3134="Baseline","— Baseline",IF($O3134=0,"No result",IF($N3134=0,"No Start (attainment only)",IF(OR($N3134=1,$O3134=1),"U – needs rule",INDEX(MxBody,MATCH($I3134,MxCurr,0),MATCH($H3134,MxStart,0)))))))</f>
        <v/>
      </c>
      <c r="L3134" s="62" t="str">
        <f aca="false">IF(COUNTA($A3134,$F3134,$G3134,$H3134,$I3134,$J3134)=0,"",IF($M3134=0,"✖ كود الصف غير موجود",IF(ISNA(MATCH($F3134,Lists!$A$2:$A$5,0)),"✖ الفترة غير صحيحة",IF(ISNA(MATCH($G3134,Lists!$B$2:$B$7,0)),"✖ المجموعة غير صحيحة",IF(NOT(OR($H3134="",$N3134&gt;0)),"✖ Start غير صحيح",IF(NOT(OR($I3134="",$I3134="NR",$O3134&gt;0)),"✖ Current غير صحيح",IF(NOT(IF(ISNUMBER($J3134),AND($J3134&gt;=0,$J3134=INT($J3134)),FALSE())),"✖ العدد يجب أن يكون صحيحًا ≥ 0",IF(AND($F3134="Baseline",$H3134&lt;&gt;""),"⚠ Baseline: Start لا يدخل في التقدم",IF($K3134="No Start (attainment only)","ℹ تحصيل فقط (بدون Start)",IF($K3134="U – needs rule","ℹ حالة U تحتاج قاعدة معتمدة",IF($K3134="No result","ℹ بدون نتيجة (يُستبعد من التحصيل)","OK")))))))))))</f>
        <v/>
      </c>
      <c r="M3134" s="64" t="n">
        <f aca="false">IF($A3134="",0,IFERROR(MATCH($A3134,Classes!$A$6:$A$420,0),0))</f>
        <v>0</v>
      </c>
      <c r="N3134" s="64" t="n">
        <f aca="false">IF($H3134="",0,IFERROR(MATCH($H3134,GradeList,0),0))</f>
        <v>0</v>
      </c>
      <c r="O3134" s="64" t="n">
        <f aca="false">IF(OR($I3134="",$I3134="NR"),0,IFERROR(MATCH($I3134,GradeList,0),0))</f>
        <v>0</v>
      </c>
      <c r="P3134" s="64" t="n">
        <f aca="false">IF(AND($M3134&gt;0,ISNUMBER(MATCH($F3134,Lists!$A$2:$A$5,0)),ISNUMBER(MATCH($G3134,Lists!$B$2:$B$7,0)),OR($H3134="",$N3134&gt;0),OR($I3134="",$I3134="NR",$O3134&gt;0),IF(ISNUMBER($J3134),AND($J3134&gt;=0,$J3134=INT($J3134)),FALSE())),$J3134,0)</f>
        <v>0</v>
      </c>
      <c r="Q3134" s="64" t="n">
        <f aca="false">IF(AND($P3134&gt;0,$O3134&gt;0),$P3134,0)</f>
        <v>0</v>
      </c>
      <c r="R3134" s="64" t="n">
        <f aca="false">IF(AND($Q3134&gt;0,$O3134&gt;=AtRank),$Q3134,0)</f>
        <v>0</v>
      </c>
      <c r="S3134" s="64" t="n">
        <f aca="false">IF(AND($Q3134&gt;0,$O3134&gt;=AboveRank),$Q3134,0)</f>
        <v>0</v>
      </c>
      <c r="T3134" s="64" t="n">
        <f aca="false">IF($K3134="Less",$P3134,0)</f>
        <v>0</v>
      </c>
      <c r="U3134" s="64" t="n">
        <f aca="false">IF($K3134="Expected",$P3134,0)</f>
        <v>0</v>
      </c>
      <c r="V3134" s="64" t="n">
        <f aca="false">IF($K3134="Better",$P3134,0)</f>
        <v>0</v>
      </c>
      <c r="W3134" s="64" t="n">
        <f aca="false">IF($K3134="U – needs rule",$P3134,0)</f>
        <v>0</v>
      </c>
      <c r="X3134" s="64" t="n">
        <f aca="false">IF($K3134="No Start (attainment only)",$P3134,0)</f>
        <v>0</v>
      </c>
    </row>
    <row r="3135" customFormat="false" ht="15" hidden="false" customHeight="false" outlineLevel="0" collapsed="false">
      <c r="A3135" s="60"/>
      <c r="B3135" s="61" t="str">
        <f aca="false">IF($M3135=0,"",INDEX(Classes!$E$6:$E$420,$M3135))</f>
        <v/>
      </c>
      <c r="C3135" s="62" t="str">
        <f aca="false">IF($M3135=0,"",INDEX(Classes!$H$6:$H$420,$M3135))</f>
        <v/>
      </c>
      <c r="D3135" s="61" t="str">
        <f aca="false">IF($M3135=0,"",INDEX(Classes!$B$6:$B$420,$M3135))</f>
        <v/>
      </c>
      <c r="E3135" s="61" t="str">
        <f aca="false">IF($M3135=0,"",INDEX(Classes!$C$6:$C$420,$M3135))</f>
        <v/>
      </c>
      <c r="F3135" s="63"/>
      <c r="G3135" s="63"/>
      <c r="H3135" s="60"/>
      <c r="I3135" s="60"/>
      <c r="J3135" s="63"/>
      <c r="K3135" s="61" t="str">
        <f aca="false">IF($P3135=0,"",IF($F3135="Baseline","— Baseline",IF($O3135=0,"No result",IF($N3135=0,"No Start (attainment only)",IF(OR($N3135=1,$O3135=1),"U – needs rule",INDEX(MxBody,MATCH($I3135,MxCurr,0),MATCH($H3135,MxStart,0)))))))</f>
        <v/>
      </c>
      <c r="L3135" s="62" t="str">
        <f aca="false">IF(COUNTA($A3135,$F3135,$G3135,$H3135,$I3135,$J3135)=0,"",IF($M3135=0,"✖ كود الصف غير موجود",IF(ISNA(MATCH($F3135,Lists!$A$2:$A$5,0)),"✖ الفترة غير صحيحة",IF(ISNA(MATCH($G3135,Lists!$B$2:$B$7,0)),"✖ المجموعة غير صحيحة",IF(NOT(OR($H3135="",$N3135&gt;0)),"✖ Start غير صحيح",IF(NOT(OR($I3135="",$I3135="NR",$O3135&gt;0)),"✖ Current غير صحيح",IF(NOT(IF(ISNUMBER($J3135),AND($J3135&gt;=0,$J3135=INT($J3135)),FALSE())),"✖ العدد يجب أن يكون صحيحًا ≥ 0",IF(AND($F3135="Baseline",$H3135&lt;&gt;""),"⚠ Baseline: Start لا يدخل في التقدم",IF($K3135="No Start (attainment only)","ℹ تحصيل فقط (بدون Start)",IF($K3135="U – needs rule","ℹ حالة U تحتاج قاعدة معتمدة",IF($K3135="No result","ℹ بدون نتيجة (يُستبعد من التحصيل)","OK")))))))))))</f>
        <v/>
      </c>
      <c r="M3135" s="64" t="n">
        <f aca="false">IF($A3135="",0,IFERROR(MATCH($A3135,Classes!$A$6:$A$420,0),0))</f>
        <v>0</v>
      </c>
      <c r="N3135" s="64" t="n">
        <f aca="false">IF($H3135="",0,IFERROR(MATCH($H3135,GradeList,0),0))</f>
        <v>0</v>
      </c>
      <c r="O3135" s="64" t="n">
        <f aca="false">IF(OR($I3135="",$I3135="NR"),0,IFERROR(MATCH($I3135,GradeList,0),0))</f>
        <v>0</v>
      </c>
      <c r="P3135" s="64" t="n">
        <f aca="false">IF(AND($M3135&gt;0,ISNUMBER(MATCH($F3135,Lists!$A$2:$A$5,0)),ISNUMBER(MATCH($G3135,Lists!$B$2:$B$7,0)),OR($H3135="",$N3135&gt;0),OR($I3135="",$I3135="NR",$O3135&gt;0),IF(ISNUMBER($J3135),AND($J3135&gt;=0,$J3135=INT($J3135)),FALSE())),$J3135,0)</f>
        <v>0</v>
      </c>
      <c r="Q3135" s="64" t="n">
        <f aca="false">IF(AND($P3135&gt;0,$O3135&gt;0),$P3135,0)</f>
        <v>0</v>
      </c>
      <c r="R3135" s="64" t="n">
        <f aca="false">IF(AND($Q3135&gt;0,$O3135&gt;=AtRank),$Q3135,0)</f>
        <v>0</v>
      </c>
      <c r="S3135" s="64" t="n">
        <f aca="false">IF(AND($Q3135&gt;0,$O3135&gt;=AboveRank),$Q3135,0)</f>
        <v>0</v>
      </c>
      <c r="T3135" s="64" t="n">
        <f aca="false">IF($K3135="Less",$P3135,0)</f>
        <v>0</v>
      </c>
      <c r="U3135" s="64" t="n">
        <f aca="false">IF($K3135="Expected",$P3135,0)</f>
        <v>0</v>
      </c>
      <c r="V3135" s="64" t="n">
        <f aca="false">IF($K3135="Better",$P3135,0)</f>
        <v>0</v>
      </c>
      <c r="W3135" s="64" t="n">
        <f aca="false">IF($K3135="U – needs rule",$P3135,0)</f>
        <v>0</v>
      </c>
      <c r="X3135" s="64" t="n">
        <f aca="false">IF($K3135="No Start (attainment only)",$P3135,0)</f>
        <v>0</v>
      </c>
    </row>
    <row r="3136" customFormat="false" ht="15" hidden="false" customHeight="false" outlineLevel="0" collapsed="false">
      <c r="A3136" s="60"/>
      <c r="B3136" s="61" t="str">
        <f aca="false">IF($M3136=0,"",INDEX(Classes!$E$6:$E$420,$M3136))</f>
        <v/>
      </c>
      <c r="C3136" s="62" t="str">
        <f aca="false">IF($M3136=0,"",INDEX(Classes!$H$6:$H$420,$M3136))</f>
        <v/>
      </c>
      <c r="D3136" s="61" t="str">
        <f aca="false">IF($M3136=0,"",INDEX(Classes!$B$6:$B$420,$M3136))</f>
        <v/>
      </c>
      <c r="E3136" s="61" t="str">
        <f aca="false">IF($M3136=0,"",INDEX(Classes!$C$6:$C$420,$M3136))</f>
        <v/>
      </c>
      <c r="F3136" s="63"/>
      <c r="G3136" s="63"/>
      <c r="H3136" s="60"/>
      <c r="I3136" s="60"/>
      <c r="J3136" s="63"/>
      <c r="K3136" s="61" t="str">
        <f aca="false">IF($P3136=0,"",IF($F3136="Baseline","— Baseline",IF($O3136=0,"No result",IF($N3136=0,"No Start (attainment only)",IF(OR($N3136=1,$O3136=1),"U – needs rule",INDEX(MxBody,MATCH($I3136,MxCurr,0),MATCH($H3136,MxStart,0)))))))</f>
        <v/>
      </c>
      <c r="L3136" s="62" t="str">
        <f aca="false">IF(COUNTA($A3136,$F3136,$G3136,$H3136,$I3136,$J3136)=0,"",IF($M3136=0,"✖ كود الصف غير موجود",IF(ISNA(MATCH($F3136,Lists!$A$2:$A$5,0)),"✖ الفترة غير صحيحة",IF(ISNA(MATCH($G3136,Lists!$B$2:$B$7,0)),"✖ المجموعة غير صحيحة",IF(NOT(OR($H3136="",$N3136&gt;0)),"✖ Start غير صحيح",IF(NOT(OR($I3136="",$I3136="NR",$O3136&gt;0)),"✖ Current غير صحيح",IF(NOT(IF(ISNUMBER($J3136),AND($J3136&gt;=0,$J3136=INT($J3136)),FALSE())),"✖ العدد يجب أن يكون صحيحًا ≥ 0",IF(AND($F3136="Baseline",$H3136&lt;&gt;""),"⚠ Baseline: Start لا يدخل في التقدم",IF($K3136="No Start (attainment only)","ℹ تحصيل فقط (بدون Start)",IF($K3136="U – needs rule","ℹ حالة U تحتاج قاعدة معتمدة",IF($K3136="No result","ℹ بدون نتيجة (يُستبعد من التحصيل)","OK")))))))))))</f>
        <v/>
      </c>
      <c r="M3136" s="64" t="n">
        <f aca="false">IF($A3136="",0,IFERROR(MATCH($A3136,Classes!$A$6:$A$420,0),0))</f>
        <v>0</v>
      </c>
      <c r="N3136" s="64" t="n">
        <f aca="false">IF($H3136="",0,IFERROR(MATCH($H3136,GradeList,0),0))</f>
        <v>0</v>
      </c>
      <c r="O3136" s="64" t="n">
        <f aca="false">IF(OR($I3136="",$I3136="NR"),0,IFERROR(MATCH($I3136,GradeList,0),0))</f>
        <v>0</v>
      </c>
      <c r="P3136" s="64" t="n">
        <f aca="false">IF(AND($M3136&gt;0,ISNUMBER(MATCH($F3136,Lists!$A$2:$A$5,0)),ISNUMBER(MATCH($G3136,Lists!$B$2:$B$7,0)),OR($H3136="",$N3136&gt;0),OR($I3136="",$I3136="NR",$O3136&gt;0),IF(ISNUMBER($J3136),AND($J3136&gt;=0,$J3136=INT($J3136)),FALSE())),$J3136,0)</f>
        <v>0</v>
      </c>
      <c r="Q3136" s="64" t="n">
        <f aca="false">IF(AND($P3136&gt;0,$O3136&gt;0),$P3136,0)</f>
        <v>0</v>
      </c>
      <c r="R3136" s="64" t="n">
        <f aca="false">IF(AND($Q3136&gt;0,$O3136&gt;=AtRank),$Q3136,0)</f>
        <v>0</v>
      </c>
      <c r="S3136" s="64" t="n">
        <f aca="false">IF(AND($Q3136&gt;0,$O3136&gt;=AboveRank),$Q3136,0)</f>
        <v>0</v>
      </c>
      <c r="T3136" s="64" t="n">
        <f aca="false">IF($K3136="Less",$P3136,0)</f>
        <v>0</v>
      </c>
      <c r="U3136" s="64" t="n">
        <f aca="false">IF($K3136="Expected",$P3136,0)</f>
        <v>0</v>
      </c>
      <c r="V3136" s="64" t="n">
        <f aca="false">IF($K3136="Better",$P3136,0)</f>
        <v>0</v>
      </c>
      <c r="W3136" s="64" t="n">
        <f aca="false">IF($K3136="U – needs rule",$P3136,0)</f>
        <v>0</v>
      </c>
      <c r="X3136" s="64" t="n">
        <f aca="false">IF($K3136="No Start (attainment only)",$P3136,0)</f>
        <v>0</v>
      </c>
    </row>
    <row r="3137" customFormat="false" ht="15" hidden="false" customHeight="false" outlineLevel="0" collapsed="false">
      <c r="A3137" s="60"/>
      <c r="B3137" s="61" t="str">
        <f aca="false">IF($M3137=0,"",INDEX(Classes!$E$6:$E$420,$M3137))</f>
        <v/>
      </c>
      <c r="C3137" s="62" t="str">
        <f aca="false">IF($M3137=0,"",INDEX(Classes!$H$6:$H$420,$M3137))</f>
        <v/>
      </c>
      <c r="D3137" s="61" t="str">
        <f aca="false">IF($M3137=0,"",INDEX(Classes!$B$6:$B$420,$M3137))</f>
        <v/>
      </c>
      <c r="E3137" s="61" t="str">
        <f aca="false">IF($M3137=0,"",INDEX(Classes!$C$6:$C$420,$M3137))</f>
        <v/>
      </c>
      <c r="F3137" s="63"/>
      <c r="G3137" s="63"/>
      <c r="H3137" s="60"/>
      <c r="I3137" s="60"/>
      <c r="J3137" s="63"/>
      <c r="K3137" s="61" t="str">
        <f aca="false">IF($P3137=0,"",IF($F3137="Baseline","— Baseline",IF($O3137=0,"No result",IF($N3137=0,"No Start (attainment only)",IF(OR($N3137=1,$O3137=1),"U – needs rule",INDEX(MxBody,MATCH($I3137,MxCurr,0),MATCH($H3137,MxStart,0)))))))</f>
        <v/>
      </c>
      <c r="L3137" s="62" t="str">
        <f aca="false">IF(COUNTA($A3137,$F3137,$G3137,$H3137,$I3137,$J3137)=0,"",IF($M3137=0,"✖ كود الصف غير موجود",IF(ISNA(MATCH($F3137,Lists!$A$2:$A$5,0)),"✖ الفترة غير صحيحة",IF(ISNA(MATCH($G3137,Lists!$B$2:$B$7,0)),"✖ المجموعة غير صحيحة",IF(NOT(OR($H3137="",$N3137&gt;0)),"✖ Start غير صحيح",IF(NOT(OR($I3137="",$I3137="NR",$O3137&gt;0)),"✖ Current غير صحيح",IF(NOT(IF(ISNUMBER($J3137),AND($J3137&gt;=0,$J3137=INT($J3137)),FALSE())),"✖ العدد يجب أن يكون صحيحًا ≥ 0",IF(AND($F3137="Baseline",$H3137&lt;&gt;""),"⚠ Baseline: Start لا يدخل في التقدم",IF($K3137="No Start (attainment only)","ℹ تحصيل فقط (بدون Start)",IF($K3137="U – needs rule","ℹ حالة U تحتاج قاعدة معتمدة",IF($K3137="No result","ℹ بدون نتيجة (يُستبعد من التحصيل)","OK")))))))))))</f>
        <v/>
      </c>
      <c r="M3137" s="64" t="n">
        <f aca="false">IF($A3137="",0,IFERROR(MATCH($A3137,Classes!$A$6:$A$420,0),0))</f>
        <v>0</v>
      </c>
      <c r="N3137" s="64" t="n">
        <f aca="false">IF($H3137="",0,IFERROR(MATCH($H3137,GradeList,0),0))</f>
        <v>0</v>
      </c>
      <c r="O3137" s="64" t="n">
        <f aca="false">IF(OR($I3137="",$I3137="NR"),0,IFERROR(MATCH($I3137,GradeList,0),0))</f>
        <v>0</v>
      </c>
      <c r="P3137" s="64" t="n">
        <f aca="false">IF(AND($M3137&gt;0,ISNUMBER(MATCH($F3137,Lists!$A$2:$A$5,0)),ISNUMBER(MATCH($G3137,Lists!$B$2:$B$7,0)),OR($H3137="",$N3137&gt;0),OR($I3137="",$I3137="NR",$O3137&gt;0),IF(ISNUMBER($J3137),AND($J3137&gt;=0,$J3137=INT($J3137)),FALSE())),$J3137,0)</f>
        <v>0</v>
      </c>
      <c r="Q3137" s="64" t="n">
        <f aca="false">IF(AND($P3137&gt;0,$O3137&gt;0),$P3137,0)</f>
        <v>0</v>
      </c>
      <c r="R3137" s="64" t="n">
        <f aca="false">IF(AND($Q3137&gt;0,$O3137&gt;=AtRank),$Q3137,0)</f>
        <v>0</v>
      </c>
      <c r="S3137" s="64" t="n">
        <f aca="false">IF(AND($Q3137&gt;0,$O3137&gt;=AboveRank),$Q3137,0)</f>
        <v>0</v>
      </c>
      <c r="T3137" s="64" t="n">
        <f aca="false">IF($K3137="Less",$P3137,0)</f>
        <v>0</v>
      </c>
      <c r="U3137" s="64" t="n">
        <f aca="false">IF($K3137="Expected",$P3137,0)</f>
        <v>0</v>
      </c>
      <c r="V3137" s="64" t="n">
        <f aca="false">IF($K3137="Better",$P3137,0)</f>
        <v>0</v>
      </c>
      <c r="W3137" s="64" t="n">
        <f aca="false">IF($K3137="U – needs rule",$P3137,0)</f>
        <v>0</v>
      </c>
      <c r="X3137" s="64" t="n">
        <f aca="false">IF($K3137="No Start (attainment only)",$P3137,0)</f>
        <v>0</v>
      </c>
    </row>
    <row r="3138" customFormat="false" ht="15" hidden="false" customHeight="false" outlineLevel="0" collapsed="false">
      <c r="A3138" s="60"/>
      <c r="B3138" s="61" t="str">
        <f aca="false">IF($M3138=0,"",INDEX(Classes!$E$6:$E$420,$M3138))</f>
        <v/>
      </c>
      <c r="C3138" s="62" t="str">
        <f aca="false">IF($M3138=0,"",INDEX(Classes!$H$6:$H$420,$M3138))</f>
        <v/>
      </c>
      <c r="D3138" s="61" t="str">
        <f aca="false">IF($M3138=0,"",INDEX(Classes!$B$6:$B$420,$M3138))</f>
        <v/>
      </c>
      <c r="E3138" s="61" t="str">
        <f aca="false">IF($M3138=0,"",INDEX(Classes!$C$6:$C$420,$M3138))</f>
        <v/>
      </c>
      <c r="F3138" s="63"/>
      <c r="G3138" s="63"/>
      <c r="H3138" s="60"/>
      <c r="I3138" s="60"/>
      <c r="J3138" s="63"/>
      <c r="K3138" s="61" t="str">
        <f aca="false">IF($P3138=0,"",IF($F3138="Baseline","— Baseline",IF($O3138=0,"No result",IF($N3138=0,"No Start (attainment only)",IF(OR($N3138=1,$O3138=1),"U – needs rule",INDEX(MxBody,MATCH($I3138,MxCurr,0),MATCH($H3138,MxStart,0)))))))</f>
        <v/>
      </c>
      <c r="L3138" s="62" t="str">
        <f aca="false">IF(COUNTA($A3138,$F3138,$G3138,$H3138,$I3138,$J3138)=0,"",IF($M3138=0,"✖ كود الصف غير موجود",IF(ISNA(MATCH($F3138,Lists!$A$2:$A$5,0)),"✖ الفترة غير صحيحة",IF(ISNA(MATCH($G3138,Lists!$B$2:$B$7,0)),"✖ المجموعة غير صحيحة",IF(NOT(OR($H3138="",$N3138&gt;0)),"✖ Start غير صحيح",IF(NOT(OR($I3138="",$I3138="NR",$O3138&gt;0)),"✖ Current غير صحيح",IF(NOT(IF(ISNUMBER($J3138),AND($J3138&gt;=0,$J3138=INT($J3138)),FALSE())),"✖ العدد يجب أن يكون صحيحًا ≥ 0",IF(AND($F3138="Baseline",$H3138&lt;&gt;""),"⚠ Baseline: Start لا يدخل في التقدم",IF($K3138="No Start (attainment only)","ℹ تحصيل فقط (بدون Start)",IF($K3138="U – needs rule","ℹ حالة U تحتاج قاعدة معتمدة",IF($K3138="No result","ℹ بدون نتيجة (يُستبعد من التحصيل)","OK")))))))))))</f>
        <v/>
      </c>
      <c r="M3138" s="64" t="n">
        <f aca="false">IF($A3138="",0,IFERROR(MATCH($A3138,Classes!$A$6:$A$420,0),0))</f>
        <v>0</v>
      </c>
      <c r="N3138" s="64" t="n">
        <f aca="false">IF($H3138="",0,IFERROR(MATCH($H3138,GradeList,0),0))</f>
        <v>0</v>
      </c>
      <c r="O3138" s="64" t="n">
        <f aca="false">IF(OR($I3138="",$I3138="NR"),0,IFERROR(MATCH($I3138,GradeList,0),0))</f>
        <v>0</v>
      </c>
      <c r="P3138" s="64" t="n">
        <f aca="false">IF(AND($M3138&gt;0,ISNUMBER(MATCH($F3138,Lists!$A$2:$A$5,0)),ISNUMBER(MATCH($G3138,Lists!$B$2:$B$7,0)),OR($H3138="",$N3138&gt;0),OR($I3138="",$I3138="NR",$O3138&gt;0),IF(ISNUMBER($J3138),AND($J3138&gt;=0,$J3138=INT($J3138)),FALSE())),$J3138,0)</f>
        <v>0</v>
      </c>
      <c r="Q3138" s="64" t="n">
        <f aca="false">IF(AND($P3138&gt;0,$O3138&gt;0),$P3138,0)</f>
        <v>0</v>
      </c>
      <c r="R3138" s="64" t="n">
        <f aca="false">IF(AND($Q3138&gt;0,$O3138&gt;=AtRank),$Q3138,0)</f>
        <v>0</v>
      </c>
      <c r="S3138" s="64" t="n">
        <f aca="false">IF(AND($Q3138&gt;0,$O3138&gt;=AboveRank),$Q3138,0)</f>
        <v>0</v>
      </c>
      <c r="T3138" s="64" t="n">
        <f aca="false">IF($K3138="Less",$P3138,0)</f>
        <v>0</v>
      </c>
      <c r="U3138" s="64" t="n">
        <f aca="false">IF($K3138="Expected",$P3138,0)</f>
        <v>0</v>
      </c>
      <c r="V3138" s="64" t="n">
        <f aca="false">IF($K3138="Better",$P3138,0)</f>
        <v>0</v>
      </c>
      <c r="W3138" s="64" t="n">
        <f aca="false">IF($K3138="U – needs rule",$P3138,0)</f>
        <v>0</v>
      </c>
      <c r="X3138" s="64" t="n">
        <f aca="false">IF($K3138="No Start (attainment only)",$P3138,0)</f>
        <v>0</v>
      </c>
    </row>
    <row r="3139" customFormat="false" ht="15" hidden="false" customHeight="false" outlineLevel="0" collapsed="false">
      <c r="A3139" s="60"/>
      <c r="B3139" s="61" t="str">
        <f aca="false">IF($M3139=0,"",INDEX(Classes!$E$6:$E$420,$M3139))</f>
        <v/>
      </c>
      <c r="C3139" s="62" t="str">
        <f aca="false">IF($M3139=0,"",INDEX(Classes!$H$6:$H$420,$M3139))</f>
        <v/>
      </c>
      <c r="D3139" s="61" t="str">
        <f aca="false">IF($M3139=0,"",INDEX(Classes!$B$6:$B$420,$M3139))</f>
        <v/>
      </c>
      <c r="E3139" s="61" t="str">
        <f aca="false">IF($M3139=0,"",INDEX(Classes!$C$6:$C$420,$M3139))</f>
        <v/>
      </c>
      <c r="F3139" s="63"/>
      <c r="G3139" s="63"/>
      <c r="H3139" s="60"/>
      <c r="I3139" s="60"/>
      <c r="J3139" s="63"/>
      <c r="K3139" s="61" t="str">
        <f aca="false">IF($P3139=0,"",IF($F3139="Baseline","— Baseline",IF($O3139=0,"No result",IF($N3139=0,"No Start (attainment only)",IF(OR($N3139=1,$O3139=1),"U – needs rule",INDEX(MxBody,MATCH($I3139,MxCurr,0),MATCH($H3139,MxStart,0)))))))</f>
        <v/>
      </c>
      <c r="L3139" s="62" t="str">
        <f aca="false">IF(COUNTA($A3139,$F3139,$G3139,$H3139,$I3139,$J3139)=0,"",IF($M3139=0,"✖ كود الصف غير موجود",IF(ISNA(MATCH($F3139,Lists!$A$2:$A$5,0)),"✖ الفترة غير صحيحة",IF(ISNA(MATCH($G3139,Lists!$B$2:$B$7,0)),"✖ المجموعة غير صحيحة",IF(NOT(OR($H3139="",$N3139&gt;0)),"✖ Start غير صحيح",IF(NOT(OR($I3139="",$I3139="NR",$O3139&gt;0)),"✖ Current غير صحيح",IF(NOT(IF(ISNUMBER($J3139),AND($J3139&gt;=0,$J3139=INT($J3139)),FALSE())),"✖ العدد يجب أن يكون صحيحًا ≥ 0",IF(AND($F3139="Baseline",$H3139&lt;&gt;""),"⚠ Baseline: Start لا يدخل في التقدم",IF($K3139="No Start (attainment only)","ℹ تحصيل فقط (بدون Start)",IF($K3139="U – needs rule","ℹ حالة U تحتاج قاعدة معتمدة",IF($K3139="No result","ℹ بدون نتيجة (يُستبعد من التحصيل)","OK")))))))))))</f>
        <v/>
      </c>
      <c r="M3139" s="64" t="n">
        <f aca="false">IF($A3139="",0,IFERROR(MATCH($A3139,Classes!$A$6:$A$420,0),0))</f>
        <v>0</v>
      </c>
      <c r="N3139" s="64" t="n">
        <f aca="false">IF($H3139="",0,IFERROR(MATCH($H3139,GradeList,0),0))</f>
        <v>0</v>
      </c>
      <c r="O3139" s="64" t="n">
        <f aca="false">IF(OR($I3139="",$I3139="NR"),0,IFERROR(MATCH($I3139,GradeList,0),0))</f>
        <v>0</v>
      </c>
      <c r="P3139" s="64" t="n">
        <f aca="false">IF(AND($M3139&gt;0,ISNUMBER(MATCH($F3139,Lists!$A$2:$A$5,0)),ISNUMBER(MATCH($G3139,Lists!$B$2:$B$7,0)),OR($H3139="",$N3139&gt;0),OR($I3139="",$I3139="NR",$O3139&gt;0),IF(ISNUMBER($J3139),AND($J3139&gt;=0,$J3139=INT($J3139)),FALSE())),$J3139,0)</f>
        <v>0</v>
      </c>
      <c r="Q3139" s="64" t="n">
        <f aca="false">IF(AND($P3139&gt;0,$O3139&gt;0),$P3139,0)</f>
        <v>0</v>
      </c>
      <c r="R3139" s="64" t="n">
        <f aca="false">IF(AND($Q3139&gt;0,$O3139&gt;=AtRank),$Q3139,0)</f>
        <v>0</v>
      </c>
      <c r="S3139" s="64" t="n">
        <f aca="false">IF(AND($Q3139&gt;0,$O3139&gt;=AboveRank),$Q3139,0)</f>
        <v>0</v>
      </c>
      <c r="T3139" s="64" t="n">
        <f aca="false">IF($K3139="Less",$P3139,0)</f>
        <v>0</v>
      </c>
      <c r="U3139" s="64" t="n">
        <f aca="false">IF($K3139="Expected",$P3139,0)</f>
        <v>0</v>
      </c>
      <c r="V3139" s="64" t="n">
        <f aca="false">IF($K3139="Better",$P3139,0)</f>
        <v>0</v>
      </c>
      <c r="W3139" s="64" t="n">
        <f aca="false">IF($K3139="U – needs rule",$P3139,0)</f>
        <v>0</v>
      </c>
      <c r="X3139" s="64" t="n">
        <f aca="false">IF($K3139="No Start (attainment only)",$P3139,0)</f>
        <v>0</v>
      </c>
    </row>
    <row r="3140" customFormat="false" ht="15" hidden="false" customHeight="false" outlineLevel="0" collapsed="false">
      <c r="A3140" s="60"/>
      <c r="B3140" s="61" t="str">
        <f aca="false">IF($M3140=0,"",INDEX(Classes!$E$6:$E$420,$M3140))</f>
        <v/>
      </c>
      <c r="C3140" s="62" t="str">
        <f aca="false">IF($M3140=0,"",INDEX(Classes!$H$6:$H$420,$M3140))</f>
        <v/>
      </c>
      <c r="D3140" s="61" t="str">
        <f aca="false">IF($M3140=0,"",INDEX(Classes!$B$6:$B$420,$M3140))</f>
        <v/>
      </c>
      <c r="E3140" s="61" t="str">
        <f aca="false">IF($M3140=0,"",INDEX(Classes!$C$6:$C$420,$M3140))</f>
        <v/>
      </c>
      <c r="F3140" s="63"/>
      <c r="G3140" s="63"/>
      <c r="H3140" s="60"/>
      <c r="I3140" s="60"/>
      <c r="J3140" s="63"/>
      <c r="K3140" s="61" t="str">
        <f aca="false">IF($P3140=0,"",IF($F3140="Baseline","— Baseline",IF($O3140=0,"No result",IF($N3140=0,"No Start (attainment only)",IF(OR($N3140=1,$O3140=1),"U – needs rule",INDEX(MxBody,MATCH($I3140,MxCurr,0),MATCH($H3140,MxStart,0)))))))</f>
        <v/>
      </c>
      <c r="L3140" s="62" t="str">
        <f aca="false">IF(COUNTA($A3140,$F3140,$G3140,$H3140,$I3140,$J3140)=0,"",IF($M3140=0,"✖ كود الصف غير موجود",IF(ISNA(MATCH($F3140,Lists!$A$2:$A$5,0)),"✖ الفترة غير صحيحة",IF(ISNA(MATCH($G3140,Lists!$B$2:$B$7,0)),"✖ المجموعة غير صحيحة",IF(NOT(OR($H3140="",$N3140&gt;0)),"✖ Start غير صحيح",IF(NOT(OR($I3140="",$I3140="NR",$O3140&gt;0)),"✖ Current غير صحيح",IF(NOT(IF(ISNUMBER($J3140),AND($J3140&gt;=0,$J3140=INT($J3140)),FALSE())),"✖ العدد يجب أن يكون صحيحًا ≥ 0",IF(AND($F3140="Baseline",$H3140&lt;&gt;""),"⚠ Baseline: Start لا يدخل في التقدم",IF($K3140="No Start (attainment only)","ℹ تحصيل فقط (بدون Start)",IF($K3140="U – needs rule","ℹ حالة U تحتاج قاعدة معتمدة",IF($K3140="No result","ℹ بدون نتيجة (يُستبعد من التحصيل)","OK")))))))))))</f>
        <v/>
      </c>
      <c r="M3140" s="64" t="n">
        <f aca="false">IF($A3140="",0,IFERROR(MATCH($A3140,Classes!$A$6:$A$420,0),0))</f>
        <v>0</v>
      </c>
      <c r="N3140" s="64" t="n">
        <f aca="false">IF($H3140="",0,IFERROR(MATCH($H3140,GradeList,0),0))</f>
        <v>0</v>
      </c>
      <c r="O3140" s="64" t="n">
        <f aca="false">IF(OR($I3140="",$I3140="NR"),0,IFERROR(MATCH($I3140,GradeList,0),0))</f>
        <v>0</v>
      </c>
      <c r="P3140" s="64" t="n">
        <f aca="false">IF(AND($M3140&gt;0,ISNUMBER(MATCH($F3140,Lists!$A$2:$A$5,0)),ISNUMBER(MATCH($G3140,Lists!$B$2:$B$7,0)),OR($H3140="",$N3140&gt;0),OR($I3140="",$I3140="NR",$O3140&gt;0),IF(ISNUMBER($J3140),AND($J3140&gt;=0,$J3140=INT($J3140)),FALSE())),$J3140,0)</f>
        <v>0</v>
      </c>
      <c r="Q3140" s="64" t="n">
        <f aca="false">IF(AND($P3140&gt;0,$O3140&gt;0),$P3140,0)</f>
        <v>0</v>
      </c>
      <c r="R3140" s="64" t="n">
        <f aca="false">IF(AND($Q3140&gt;0,$O3140&gt;=AtRank),$Q3140,0)</f>
        <v>0</v>
      </c>
      <c r="S3140" s="64" t="n">
        <f aca="false">IF(AND($Q3140&gt;0,$O3140&gt;=AboveRank),$Q3140,0)</f>
        <v>0</v>
      </c>
      <c r="T3140" s="64" t="n">
        <f aca="false">IF($K3140="Less",$P3140,0)</f>
        <v>0</v>
      </c>
      <c r="U3140" s="64" t="n">
        <f aca="false">IF($K3140="Expected",$P3140,0)</f>
        <v>0</v>
      </c>
      <c r="V3140" s="64" t="n">
        <f aca="false">IF($K3140="Better",$P3140,0)</f>
        <v>0</v>
      </c>
      <c r="W3140" s="64" t="n">
        <f aca="false">IF($K3140="U – needs rule",$P3140,0)</f>
        <v>0</v>
      </c>
      <c r="X3140" s="64" t="n">
        <f aca="false">IF($K3140="No Start (attainment only)",$P3140,0)</f>
        <v>0</v>
      </c>
    </row>
    <row r="3141" customFormat="false" ht="15" hidden="false" customHeight="false" outlineLevel="0" collapsed="false">
      <c r="A3141" s="60"/>
      <c r="B3141" s="61" t="str">
        <f aca="false">IF($M3141=0,"",INDEX(Classes!$E$6:$E$420,$M3141))</f>
        <v/>
      </c>
      <c r="C3141" s="62" t="str">
        <f aca="false">IF($M3141=0,"",INDEX(Classes!$H$6:$H$420,$M3141))</f>
        <v/>
      </c>
      <c r="D3141" s="61" t="str">
        <f aca="false">IF($M3141=0,"",INDEX(Classes!$B$6:$B$420,$M3141))</f>
        <v/>
      </c>
      <c r="E3141" s="61" t="str">
        <f aca="false">IF($M3141=0,"",INDEX(Classes!$C$6:$C$420,$M3141))</f>
        <v/>
      </c>
      <c r="F3141" s="63"/>
      <c r="G3141" s="63"/>
      <c r="H3141" s="60"/>
      <c r="I3141" s="60"/>
      <c r="J3141" s="63"/>
      <c r="K3141" s="61" t="str">
        <f aca="false">IF($P3141=0,"",IF($F3141="Baseline","— Baseline",IF($O3141=0,"No result",IF($N3141=0,"No Start (attainment only)",IF(OR($N3141=1,$O3141=1),"U – needs rule",INDEX(MxBody,MATCH($I3141,MxCurr,0),MATCH($H3141,MxStart,0)))))))</f>
        <v/>
      </c>
      <c r="L3141" s="62" t="str">
        <f aca="false">IF(COUNTA($A3141,$F3141,$G3141,$H3141,$I3141,$J3141)=0,"",IF($M3141=0,"✖ كود الصف غير موجود",IF(ISNA(MATCH($F3141,Lists!$A$2:$A$5,0)),"✖ الفترة غير صحيحة",IF(ISNA(MATCH($G3141,Lists!$B$2:$B$7,0)),"✖ المجموعة غير صحيحة",IF(NOT(OR($H3141="",$N3141&gt;0)),"✖ Start غير صحيح",IF(NOT(OR($I3141="",$I3141="NR",$O3141&gt;0)),"✖ Current غير صحيح",IF(NOT(IF(ISNUMBER($J3141),AND($J3141&gt;=0,$J3141=INT($J3141)),FALSE())),"✖ العدد يجب أن يكون صحيحًا ≥ 0",IF(AND($F3141="Baseline",$H3141&lt;&gt;""),"⚠ Baseline: Start لا يدخل في التقدم",IF($K3141="No Start (attainment only)","ℹ تحصيل فقط (بدون Start)",IF($K3141="U – needs rule","ℹ حالة U تحتاج قاعدة معتمدة",IF($K3141="No result","ℹ بدون نتيجة (يُستبعد من التحصيل)","OK")))))))))))</f>
        <v/>
      </c>
      <c r="M3141" s="64" t="n">
        <f aca="false">IF($A3141="",0,IFERROR(MATCH($A3141,Classes!$A$6:$A$420,0),0))</f>
        <v>0</v>
      </c>
      <c r="N3141" s="64" t="n">
        <f aca="false">IF($H3141="",0,IFERROR(MATCH($H3141,GradeList,0),0))</f>
        <v>0</v>
      </c>
      <c r="O3141" s="64" t="n">
        <f aca="false">IF(OR($I3141="",$I3141="NR"),0,IFERROR(MATCH($I3141,GradeList,0),0))</f>
        <v>0</v>
      </c>
      <c r="P3141" s="64" t="n">
        <f aca="false">IF(AND($M3141&gt;0,ISNUMBER(MATCH($F3141,Lists!$A$2:$A$5,0)),ISNUMBER(MATCH($G3141,Lists!$B$2:$B$7,0)),OR($H3141="",$N3141&gt;0),OR($I3141="",$I3141="NR",$O3141&gt;0),IF(ISNUMBER($J3141),AND($J3141&gt;=0,$J3141=INT($J3141)),FALSE())),$J3141,0)</f>
        <v>0</v>
      </c>
      <c r="Q3141" s="64" t="n">
        <f aca="false">IF(AND($P3141&gt;0,$O3141&gt;0),$P3141,0)</f>
        <v>0</v>
      </c>
      <c r="R3141" s="64" t="n">
        <f aca="false">IF(AND($Q3141&gt;0,$O3141&gt;=AtRank),$Q3141,0)</f>
        <v>0</v>
      </c>
      <c r="S3141" s="64" t="n">
        <f aca="false">IF(AND($Q3141&gt;0,$O3141&gt;=AboveRank),$Q3141,0)</f>
        <v>0</v>
      </c>
      <c r="T3141" s="64" t="n">
        <f aca="false">IF($K3141="Less",$P3141,0)</f>
        <v>0</v>
      </c>
      <c r="U3141" s="64" t="n">
        <f aca="false">IF($K3141="Expected",$P3141,0)</f>
        <v>0</v>
      </c>
      <c r="V3141" s="64" t="n">
        <f aca="false">IF($K3141="Better",$P3141,0)</f>
        <v>0</v>
      </c>
      <c r="W3141" s="64" t="n">
        <f aca="false">IF($K3141="U – needs rule",$P3141,0)</f>
        <v>0</v>
      </c>
      <c r="X3141" s="64" t="n">
        <f aca="false">IF($K3141="No Start (attainment only)",$P3141,0)</f>
        <v>0</v>
      </c>
    </row>
    <row r="3142" customFormat="false" ht="15" hidden="false" customHeight="false" outlineLevel="0" collapsed="false">
      <c r="A3142" s="60"/>
      <c r="B3142" s="61" t="str">
        <f aca="false">IF($M3142=0,"",INDEX(Classes!$E$6:$E$420,$M3142))</f>
        <v/>
      </c>
      <c r="C3142" s="62" t="str">
        <f aca="false">IF($M3142=0,"",INDEX(Classes!$H$6:$H$420,$M3142))</f>
        <v/>
      </c>
      <c r="D3142" s="61" t="str">
        <f aca="false">IF($M3142=0,"",INDEX(Classes!$B$6:$B$420,$M3142))</f>
        <v/>
      </c>
      <c r="E3142" s="61" t="str">
        <f aca="false">IF($M3142=0,"",INDEX(Classes!$C$6:$C$420,$M3142))</f>
        <v/>
      </c>
      <c r="F3142" s="63"/>
      <c r="G3142" s="63"/>
      <c r="H3142" s="60"/>
      <c r="I3142" s="60"/>
      <c r="J3142" s="63"/>
      <c r="K3142" s="61" t="str">
        <f aca="false">IF($P3142=0,"",IF($F3142="Baseline","— Baseline",IF($O3142=0,"No result",IF($N3142=0,"No Start (attainment only)",IF(OR($N3142=1,$O3142=1),"U – needs rule",INDEX(MxBody,MATCH($I3142,MxCurr,0),MATCH($H3142,MxStart,0)))))))</f>
        <v/>
      </c>
      <c r="L3142" s="62" t="str">
        <f aca="false">IF(COUNTA($A3142,$F3142,$G3142,$H3142,$I3142,$J3142)=0,"",IF($M3142=0,"✖ كود الصف غير موجود",IF(ISNA(MATCH($F3142,Lists!$A$2:$A$5,0)),"✖ الفترة غير صحيحة",IF(ISNA(MATCH($G3142,Lists!$B$2:$B$7,0)),"✖ المجموعة غير صحيحة",IF(NOT(OR($H3142="",$N3142&gt;0)),"✖ Start غير صحيح",IF(NOT(OR($I3142="",$I3142="NR",$O3142&gt;0)),"✖ Current غير صحيح",IF(NOT(IF(ISNUMBER($J3142),AND($J3142&gt;=0,$J3142=INT($J3142)),FALSE())),"✖ العدد يجب أن يكون صحيحًا ≥ 0",IF(AND($F3142="Baseline",$H3142&lt;&gt;""),"⚠ Baseline: Start لا يدخل في التقدم",IF($K3142="No Start (attainment only)","ℹ تحصيل فقط (بدون Start)",IF($K3142="U – needs rule","ℹ حالة U تحتاج قاعدة معتمدة",IF($K3142="No result","ℹ بدون نتيجة (يُستبعد من التحصيل)","OK")))))))))))</f>
        <v/>
      </c>
      <c r="M3142" s="64" t="n">
        <f aca="false">IF($A3142="",0,IFERROR(MATCH($A3142,Classes!$A$6:$A$420,0),0))</f>
        <v>0</v>
      </c>
      <c r="N3142" s="64" t="n">
        <f aca="false">IF($H3142="",0,IFERROR(MATCH($H3142,GradeList,0),0))</f>
        <v>0</v>
      </c>
      <c r="O3142" s="64" t="n">
        <f aca="false">IF(OR($I3142="",$I3142="NR"),0,IFERROR(MATCH($I3142,GradeList,0),0))</f>
        <v>0</v>
      </c>
      <c r="P3142" s="64" t="n">
        <f aca="false">IF(AND($M3142&gt;0,ISNUMBER(MATCH($F3142,Lists!$A$2:$A$5,0)),ISNUMBER(MATCH($G3142,Lists!$B$2:$B$7,0)),OR($H3142="",$N3142&gt;0),OR($I3142="",$I3142="NR",$O3142&gt;0),IF(ISNUMBER($J3142),AND($J3142&gt;=0,$J3142=INT($J3142)),FALSE())),$J3142,0)</f>
        <v>0</v>
      </c>
      <c r="Q3142" s="64" t="n">
        <f aca="false">IF(AND($P3142&gt;0,$O3142&gt;0),$P3142,0)</f>
        <v>0</v>
      </c>
      <c r="R3142" s="64" t="n">
        <f aca="false">IF(AND($Q3142&gt;0,$O3142&gt;=AtRank),$Q3142,0)</f>
        <v>0</v>
      </c>
      <c r="S3142" s="64" t="n">
        <f aca="false">IF(AND($Q3142&gt;0,$O3142&gt;=AboveRank),$Q3142,0)</f>
        <v>0</v>
      </c>
      <c r="T3142" s="64" t="n">
        <f aca="false">IF($K3142="Less",$P3142,0)</f>
        <v>0</v>
      </c>
      <c r="U3142" s="64" t="n">
        <f aca="false">IF($K3142="Expected",$P3142,0)</f>
        <v>0</v>
      </c>
      <c r="V3142" s="64" t="n">
        <f aca="false">IF($K3142="Better",$P3142,0)</f>
        <v>0</v>
      </c>
      <c r="W3142" s="64" t="n">
        <f aca="false">IF($K3142="U – needs rule",$P3142,0)</f>
        <v>0</v>
      </c>
      <c r="X3142" s="64" t="n">
        <f aca="false">IF($K3142="No Start (attainment only)",$P3142,0)</f>
        <v>0</v>
      </c>
    </row>
    <row r="3143" customFormat="false" ht="15" hidden="false" customHeight="false" outlineLevel="0" collapsed="false">
      <c r="A3143" s="60"/>
      <c r="B3143" s="61" t="str">
        <f aca="false">IF($M3143=0,"",INDEX(Classes!$E$6:$E$420,$M3143))</f>
        <v/>
      </c>
      <c r="C3143" s="62" t="str">
        <f aca="false">IF($M3143=0,"",INDEX(Classes!$H$6:$H$420,$M3143))</f>
        <v/>
      </c>
      <c r="D3143" s="61" t="str">
        <f aca="false">IF($M3143=0,"",INDEX(Classes!$B$6:$B$420,$M3143))</f>
        <v/>
      </c>
      <c r="E3143" s="61" t="str">
        <f aca="false">IF($M3143=0,"",INDEX(Classes!$C$6:$C$420,$M3143))</f>
        <v/>
      </c>
      <c r="F3143" s="63"/>
      <c r="G3143" s="63"/>
      <c r="H3143" s="60"/>
      <c r="I3143" s="60"/>
      <c r="J3143" s="63"/>
      <c r="K3143" s="61" t="str">
        <f aca="false">IF($P3143=0,"",IF($F3143="Baseline","— Baseline",IF($O3143=0,"No result",IF($N3143=0,"No Start (attainment only)",IF(OR($N3143=1,$O3143=1),"U – needs rule",INDEX(MxBody,MATCH($I3143,MxCurr,0),MATCH($H3143,MxStart,0)))))))</f>
        <v/>
      </c>
      <c r="L3143" s="62" t="str">
        <f aca="false">IF(COUNTA($A3143,$F3143,$G3143,$H3143,$I3143,$J3143)=0,"",IF($M3143=0,"✖ كود الصف غير موجود",IF(ISNA(MATCH($F3143,Lists!$A$2:$A$5,0)),"✖ الفترة غير صحيحة",IF(ISNA(MATCH($G3143,Lists!$B$2:$B$7,0)),"✖ المجموعة غير صحيحة",IF(NOT(OR($H3143="",$N3143&gt;0)),"✖ Start غير صحيح",IF(NOT(OR($I3143="",$I3143="NR",$O3143&gt;0)),"✖ Current غير صحيح",IF(NOT(IF(ISNUMBER($J3143),AND($J3143&gt;=0,$J3143=INT($J3143)),FALSE())),"✖ العدد يجب أن يكون صحيحًا ≥ 0",IF(AND($F3143="Baseline",$H3143&lt;&gt;""),"⚠ Baseline: Start لا يدخل في التقدم",IF($K3143="No Start (attainment only)","ℹ تحصيل فقط (بدون Start)",IF($K3143="U – needs rule","ℹ حالة U تحتاج قاعدة معتمدة",IF($K3143="No result","ℹ بدون نتيجة (يُستبعد من التحصيل)","OK")))))))))))</f>
        <v/>
      </c>
      <c r="M3143" s="64" t="n">
        <f aca="false">IF($A3143="",0,IFERROR(MATCH($A3143,Classes!$A$6:$A$420,0),0))</f>
        <v>0</v>
      </c>
      <c r="N3143" s="64" t="n">
        <f aca="false">IF($H3143="",0,IFERROR(MATCH($H3143,GradeList,0),0))</f>
        <v>0</v>
      </c>
      <c r="O3143" s="64" t="n">
        <f aca="false">IF(OR($I3143="",$I3143="NR"),0,IFERROR(MATCH($I3143,GradeList,0),0))</f>
        <v>0</v>
      </c>
      <c r="P3143" s="64" t="n">
        <f aca="false">IF(AND($M3143&gt;0,ISNUMBER(MATCH($F3143,Lists!$A$2:$A$5,0)),ISNUMBER(MATCH($G3143,Lists!$B$2:$B$7,0)),OR($H3143="",$N3143&gt;0),OR($I3143="",$I3143="NR",$O3143&gt;0),IF(ISNUMBER($J3143),AND($J3143&gt;=0,$J3143=INT($J3143)),FALSE())),$J3143,0)</f>
        <v>0</v>
      </c>
      <c r="Q3143" s="64" t="n">
        <f aca="false">IF(AND($P3143&gt;0,$O3143&gt;0),$P3143,0)</f>
        <v>0</v>
      </c>
      <c r="R3143" s="64" t="n">
        <f aca="false">IF(AND($Q3143&gt;0,$O3143&gt;=AtRank),$Q3143,0)</f>
        <v>0</v>
      </c>
      <c r="S3143" s="64" t="n">
        <f aca="false">IF(AND($Q3143&gt;0,$O3143&gt;=AboveRank),$Q3143,0)</f>
        <v>0</v>
      </c>
      <c r="T3143" s="64" t="n">
        <f aca="false">IF($K3143="Less",$P3143,0)</f>
        <v>0</v>
      </c>
      <c r="U3143" s="64" t="n">
        <f aca="false">IF($K3143="Expected",$P3143,0)</f>
        <v>0</v>
      </c>
      <c r="V3143" s="64" t="n">
        <f aca="false">IF($K3143="Better",$P3143,0)</f>
        <v>0</v>
      </c>
      <c r="W3143" s="64" t="n">
        <f aca="false">IF($K3143="U – needs rule",$P3143,0)</f>
        <v>0</v>
      </c>
      <c r="X3143" s="64" t="n">
        <f aca="false">IF($K3143="No Start (attainment only)",$P3143,0)</f>
        <v>0</v>
      </c>
    </row>
    <row r="3144" customFormat="false" ht="15" hidden="false" customHeight="false" outlineLevel="0" collapsed="false">
      <c r="A3144" s="60"/>
      <c r="B3144" s="61" t="str">
        <f aca="false">IF($M3144=0,"",INDEX(Classes!$E$6:$E$420,$M3144))</f>
        <v/>
      </c>
      <c r="C3144" s="62" t="str">
        <f aca="false">IF($M3144=0,"",INDEX(Classes!$H$6:$H$420,$M3144))</f>
        <v/>
      </c>
      <c r="D3144" s="61" t="str">
        <f aca="false">IF($M3144=0,"",INDEX(Classes!$B$6:$B$420,$M3144))</f>
        <v/>
      </c>
      <c r="E3144" s="61" t="str">
        <f aca="false">IF($M3144=0,"",INDEX(Classes!$C$6:$C$420,$M3144))</f>
        <v/>
      </c>
      <c r="F3144" s="63"/>
      <c r="G3144" s="63"/>
      <c r="H3144" s="60"/>
      <c r="I3144" s="60"/>
      <c r="J3144" s="63"/>
      <c r="K3144" s="61" t="str">
        <f aca="false">IF($P3144=0,"",IF($F3144="Baseline","— Baseline",IF($O3144=0,"No result",IF($N3144=0,"No Start (attainment only)",IF(OR($N3144=1,$O3144=1),"U – needs rule",INDEX(MxBody,MATCH($I3144,MxCurr,0),MATCH($H3144,MxStart,0)))))))</f>
        <v/>
      </c>
      <c r="L3144" s="62" t="str">
        <f aca="false">IF(COUNTA($A3144,$F3144,$G3144,$H3144,$I3144,$J3144)=0,"",IF($M3144=0,"✖ كود الصف غير موجود",IF(ISNA(MATCH($F3144,Lists!$A$2:$A$5,0)),"✖ الفترة غير صحيحة",IF(ISNA(MATCH($G3144,Lists!$B$2:$B$7,0)),"✖ المجموعة غير صحيحة",IF(NOT(OR($H3144="",$N3144&gt;0)),"✖ Start غير صحيح",IF(NOT(OR($I3144="",$I3144="NR",$O3144&gt;0)),"✖ Current غير صحيح",IF(NOT(IF(ISNUMBER($J3144),AND($J3144&gt;=0,$J3144=INT($J3144)),FALSE())),"✖ العدد يجب أن يكون صحيحًا ≥ 0",IF(AND($F3144="Baseline",$H3144&lt;&gt;""),"⚠ Baseline: Start لا يدخل في التقدم",IF($K3144="No Start (attainment only)","ℹ تحصيل فقط (بدون Start)",IF($K3144="U – needs rule","ℹ حالة U تحتاج قاعدة معتمدة",IF($K3144="No result","ℹ بدون نتيجة (يُستبعد من التحصيل)","OK")))))))))))</f>
        <v/>
      </c>
      <c r="M3144" s="64" t="n">
        <f aca="false">IF($A3144="",0,IFERROR(MATCH($A3144,Classes!$A$6:$A$420,0),0))</f>
        <v>0</v>
      </c>
      <c r="N3144" s="64" t="n">
        <f aca="false">IF($H3144="",0,IFERROR(MATCH($H3144,GradeList,0),0))</f>
        <v>0</v>
      </c>
      <c r="O3144" s="64" t="n">
        <f aca="false">IF(OR($I3144="",$I3144="NR"),0,IFERROR(MATCH($I3144,GradeList,0),0))</f>
        <v>0</v>
      </c>
      <c r="P3144" s="64" t="n">
        <f aca="false">IF(AND($M3144&gt;0,ISNUMBER(MATCH($F3144,Lists!$A$2:$A$5,0)),ISNUMBER(MATCH($G3144,Lists!$B$2:$B$7,0)),OR($H3144="",$N3144&gt;0),OR($I3144="",$I3144="NR",$O3144&gt;0),IF(ISNUMBER($J3144),AND($J3144&gt;=0,$J3144=INT($J3144)),FALSE())),$J3144,0)</f>
        <v>0</v>
      </c>
      <c r="Q3144" s="64" t="n">
        <f aca="false">IF(AND($P3144&gt;0,$O3144&gt;0),$P3144,0)</f>
        <v>0</v>
      </c>
      <c r="R3144" s="64" t="n">
        <f aca="false">IF(AND($Q3144&gt;0,$O3144&gt;=AtRank),$Q3144,0)</f>
        <v>0</v>
      </c>
      <c r="S3144" s="64" t="n">
        <f aca="false">IF(AND($Q3144&gt;0,$O3144&gt;=AboveRank),$Q3144,0)</f>
        <v>0</v>
      </c>
      <c r="T3144" s="64" t="n">
        <f aca="false">IF($K3144="Less",$P3144,0)</f>
        <v>0</v>
      </c>
      <c r="U3144" s="64" t="n">
        <f aca="false">IF($K3144="Expected",$P3144,0)</f>
        <v>0</v>
      </c>
      <c r="V3144" s="64" t="n">
        <f aca="false">IF($K3144="Better",$P3144,0)</f>
        <v>0</v>
      </c>
      <c r="W3144" s="64" t="n">
        <f aca="false">IF($K3144="U – needs rule",$P3144,0)</f>
        <v>0</v>
      </c>
      <c r="X3144" s="64" t="n">
        <f aca="false">IF($K3144="No Start (attainment only)",$P3144,0)</f>
        <v>0</v>
      </c>
    </row>
    <row r="3145" customFormat="false" ht="15" hidden="false" customHeight="false" outlineLevel="0" collapsed="false">
      <c r="A3145" s="60"/>
      <c r="B3145" s="61" t="str">
        <f aca="false">IF($M3145=0,"",INDEX(Classes!$E$6:$E$420,$M3145))</f>
        <v/>
      </c>
      <c r="C3145" s="62" t="str">
        <f aca="false">IF($M3145=0,"",INDEX(Classes!$H$6:$H$420,$M3145))</f>
        <v/>
      </c>
      <c r="D3145" s="61" t="str">
        <f aca="false">IF($M3145=0,"",INDEX(Classes!$B$6:$B$420,$M3145))</f>
        <v/>
      </c>
      <c r="E3145" s="61" t="str">
        <f aca="false">IF($M3145=0,"",INDEX(Classes!$C$6:$C$420,$M3145))</f>
        <v/>
      </c>
      <c r="F3145" s="63"/>
      <c r="G3145" s="63"/>
      <c r="H3145" s="60"/>
      <c r="I3145" s="60"/>
      <c r="J3145" s="63"/>
      <c r="K3145" s="61" t="str">
        <f aca="false">IF($P3145=0,"",IF($F3145="Baseline","— Baseline",IF($O3145=0,"No result",IF($N3145=0,"No Start (attainment only)",IF(OR($N3145=1,$O3145=1),"U – needs rule",INDEX(MxBody,MATCH($I3145,MxCurr,0),MATCH($H3145,MxStart,0)))))))</f>
        <v/>
      </c>
      <c r="L3145" s="62" t="str">
        <f aca="false">IF(COUNTA($A3145,$F3145,$G3145,$H3145,$I3145,$J3145)=0,"",IF($M3145=0,"✖ كود الصف غير موجود",IF(ISNA(MATCH($F3145,Lists!$A$2:$A$5,0)),"✖ الفترة غير صحيحة",IF(ISNA(MATCH($G3145,Lists!$B$2:$B$7,0)),"✖ المجموعة غير صحيحة",IF(NOT(OR($H3145="",$N3145&gt;0)),"✖ Start غير صحيح",IF(NOT(OR($I3145="",$I3145="NR",$O3145&gt;0)),"✖ Current غير صحيح",IF(NOT(IF(ISNUMBER($J3145),AND($J3145&gt;=0,$J3145=INT($J3145)),FALSE())),"✖ العدد يجب أن يكون صحيحًا ≥ 0",IF(AND($F3145="Baseline",$H3145&lt;&gt;""),"⚠ Baseline: Start لا يدخل في التقدم",IF($K3145="No Start (attainment only)","ℹ تحصيل فقط (بدون Start)",IF($K3145="U – needs rule","ℹ حالة U تحتاج قاعدة معتمدة",IF($K3145="No result","ℹ بدون نتيجة (يُستبعد من التحصيل)","OK")))))))))))</f>
        <v/>
      </c>
      <c r="M3145" s="64" t="n">
        <f aca="false">IF($A3145="",0,IFERROR(MATCH($A3145,Classes!$A$6:$A$420,0),0))</f>
        <v>0</v>
      </c>
      <c r="N3145" s="64" t="n">
        <f aca="false">IF($H3145="",0,IFERROR(MATCH($H3145,GradeList,0),0))</f>
        <v>0</v>
      </c>
      <c r="O3145" s="64" t="n">
        <f aca="false">IF(OR($I3145="",$I3145="NR"),0,IFERROR(MATCH($I3145,GradeList,0),0))</f>
        <v>0</v>
      </c>
      <c r="P3145" s="64" t="n">
        <f aca="false">IF(AND($M3145&gt;0,ISNUMBER(MATCH($F3145,Lists!$A$2:$A$5,0)),ISNUMBER(MATCH($G3145,Lists!$B$2:$B$7,0)),OR($H3145="",$N3145&gt;0),OR($I3145="",$I3145="NR",$O3145&gt;0),IF(ISNUMBER($J3145),AND($J3145&gt;=0,$J3145=INT($J3145)),FALSE())),$J3145,0)</f>
        <v>0</v>
      </c>
      <c r="Q3145" s="64" t="n">
        <f aca="false">IF(AND($P3145&gt;0,$O3145&gt;0),$P3145,0)</f>
        <v>0</v>
      </c>
      <c r="R3145" s="64" t="n">
        <f aca="false">IF(AND($Q3145&gt;0,$O3145&gt;=AtRank),$Q3145,0)</f>
        <v>0</v>
      </c>
      <c r="S3145" s="64" t="n">
        <f aca="false">IF(AND($Q3145&gt;0,$O3145&gt;=AboveRank),$Q3145,0)</f>
        <v>0</v>
      </c>
      <c r="T3145" s="64" t="n">
        <f aca="false">IF($K3145="Less",$P3145,0)</f>
        <v>0</v>
      </c>
      <c r="U3145" s="64" t="n">
        <f aca="false">IF($K3145="Expected",$P3145,0)</f>
        <v>0</v>
      </c>
      <c r="V3145" s="64" t="n">
        <f aca="false">IF($K3145="Better",$P3145,0)</f>
        <v>0</v>
      </c>
      <c r="W3145" s="64" t="n">
        <f aca="false">IF($K3145="U – needs rule",$P3145,0)</f>
        <v>0</v>
      </c>
      <c r="X3145" s="64" t="n">
        <f aca="false">IF($K3145="No Start (attainment only)",$P3145,0)</f>
        <v>0</v>
      </c>
    </row>
    <row r="3146" customFormat="false" ht="15" hidden="false" customHeight="false" outlineLevel="0" collapsed="false">
      <c r="A3146" s="60"/>
      <c r="B3146" s="61" t="str">
        <f aca="false">IF($M3146=0,"",INDEX(Classes!$E$6:$E$420,$M3146))</f>
        <v/>
      </c>
      <c r="C3146" s="62" t="str">
        <f aca="false">IF($M3146=0,"",INDEX(Classes!$H$6:$H$420,$M3146))</f>
        <v/>
      </c>
      <c r="D3146" s="61" t="str">
        <f aca="false">IF($M3146=0,"",INDEX(Classes!$B$6:$B$420,$M3146))</f>
        <v/>
      </c>
      <c r="E3146" s="61" t="str">
        <f aca="false">IF($M3146=0,"",INDEX(Classes!$C$6:$C$420,$M3146))</f>
        <v/>
      </c>
      <c r="F3146" s="63"/>
      <c r="G3146" s="63"/>
      <c r="H3146" s="60"/>
      <c r="I3146" s="60"/>
      <c r="J3146" s="63"/>
      <c r="K3146" s="61" t="str">
        <f aca="false">IF($P3146=0,"",IF($F3146="Baseline","— Baseline",IF($O3146=0,"No result",IF($N3146=0,"No Start (attainment only)",IF(OR($N3146=1,$O3146=1),"U – needs rule",INDEX(MxBody,MATCH($I3146,MxCurr,0),MATCH($H3146,MxStart,0)))))))</f>
        <v/>
      </c>
      <c r="L3146" s="62" t="str">
        <f aca="false">IF(COUNTA($A3146,$F3146,$G3146,$H3146,$I3146,$J3146)=0,"",IF($M3146=0,"✖ كود الصف غير موجود",IF(ISNA(MATCH($F3146,Lists!$A$2:$A$5,0)),"✖ الفترة غير صحيحة",IF(ISNA(MATCH($G3146,Lists!$B$2:$B$7,0)),"✖ المجموعة غير صحيحة",IF(NOT(OR($H3146="",$N3146&gt;0)),"✖ Start غير صحيح",IF(NOT(OR($I3146="",$I3146="NR",$O3146&gt;0)),"✖ Current غير صحيح",IF(NOT(IF(ISNUMBER($J3146),AND($J3146&gt;=0,$J3146=INT($J3146)),FALSE())),"✖ العدد يجب أن يكون صحيحًا ≥ 0",IF(AND($F3146="Baseline",$H3146&lt;&gt;""),"⚠ Baseline: Start لا يدخل في التقدم",IF($K3146="No Start (attainment only)","ℹ تحصيل فقط (بدون Start)",IF($K3146="U – needs rule","ℹ حالة U تحتاج قاعدة معتمدة",IF($K3146="No result","ℹ بدون نتيجة (يُستبعد من التحصيل)","OK")))))))))))</f>
        <v/>
      </c>
      <c r="M3146" s="64" t="n">
        <f aca="false">IF($A3146="",0,IFERROR(MATCH($A3146,Classes!$A$6:$A$420,0),0))</f>
        <v>0</v>
      </c>
      <c r="N3146" s="64" t="n">
        <f aca="false">IF($H3146="",0,IFERROR(MATCH($H3146,GradeList,0),0))</f>
        <v>0</v>
      </c>
      <c r="O3146" s="64" t="n">
        <f aca="false">IF(OR($I3146="",$I3146="NR"),0,IFERROR(MATCH($I3146,GradeList,0),0))</f>
        <v>0</v>
      </c>
      <c r="P3146" s="64" t="n">
        <f aca="false">IF(AND($M3146&gt;0,ISNUMBER(MATCH($F3146,Lists!$A$2:$A$5,0)),ISNUMBER(MATCH($G3146,Lists!$B$2:$B$7,0)),OR($H3146="",$N3146&gt;0),OR($I3146="",$I3146="NR",$O3146&gt;0),IF(ISNUMBER($J3146),AND($J3146&gt;=0,$J3146=INT($J3146)),FALSE())),$J3146,0)</f>
        <v>0</v>
      </c>
      <c r="Q3146" s="64" t="n">
        <f aca="false">IF(AND($P3146&gt;0,$O3146&gt;0),$P3146,0)</f>
        <v>0</v>
      </c>
      <c r="R3146" s="64" t="n">
        <f aca="false">IF(AND($Q3146&gt;0,$O3146&gt;=AtRank),$Q3146,0)</f>
        <v>0</v>
      </c>
      <c r="S3146" s="64" t="n">
        <f aca="false">IF(AND($Q3146&gt;0,$O3146&gt;=AboveRank),$Q3146,0)</f>
        <v>0</v>
      </c>
      <c r="T3146" s="64" t="n">
        <f aca="false">IF($K3146="Less",$P3146,0)</f>
        <v>0</v>
      </c>
      <c r="U3146" s="64" t="n">
        <f aca="false">IF($K3146="Expected",$P3146,0)</f>
        <v>0</v>
      </c>
      <c r="V3146" s="64" t="n">
        <f aca="false">IF($K3146="Better",$P3146,0)</f>
        <v>0</v>
      </c>
      <c r="W3146" s="64" t="n">
        <f aca="false">IF($K3146="U – needs rule",$P3146,0)</f>
        <v>0</v>
      </c>
      <c r="X3146" s="64" t="n">
        <f aca="false">IF($K3146="No Start (attainment only)",$P3146,0)</f>
        <v>0</v>
      </c>
    </row>
    <row r="3147" customFormat="false" ht="15" hidden="false" customHeight="false" outlineLevel="0" collapsed="false">
      <c r="A3147" s="60"/>
      <c r="B3147" s="61" t="str">
        <f aca="false">IF($M3147=0,"",INDEX(Classes!$E$6:$E$420,$M3147))</f>
        <v/>
      </c>
      <c r="C3147" s="62" t="str">
        <f aca="false">IF($M3147=0,"",INDEX(Classes!$H$6:$H$420,$M3147))</f>
        <v/>
      </c>
      <c r="D3147" s="61" t="str">
        <f aca="false">IF($M3147=0,"",INDEX(Classes!$B$6:$B$420,$M3147))</f>
        <v/>
      </c>
      <c r="E3147" s="61" t="str">
        <f aca="false">IF($M3147=0,"",INDEX(Classes!$C$6:$C$420,$M3147))</f>
        <v/>
      </c>
      <c r="F3147" s="63"/>
      <c r="G3147" s="63"/>
      <c r="H3147" s="60"/>
      <c r="I3147" s="60"/>
      <c r="J3147" s="63"/>
      <c r="K3147" s="61" t="str">
        <f aca="false">IF($P3147=0,"",IF($F3147="Baseline","— Baseline",IF($O3147=0,"No result",IF($N3147=0,"No Start (attainment only)",IF(OR($N3147=1,$O3147=1),"U – needs rule",INDEX(MxBody,MATCH($I3147,MxCurr,0),MATCH($H3147,MxStart,0)))))))</f>
        <v/>
      </c>
      <c r="L3147" s="62" t="str">
        <f aca="false">IF(COUNTA($A3147,$F3147,$G3147,$H3147,$I3147,$J3147)=0,"",IF($M3147=0,"✖ كود الصف غير موجود",IF(ISNA(MATCH($F3147,Lists!$A$2:$A$5,0)),"✖ الفترة غير صحيحة",IF(ISNA(MATCH($G3147,Lists!$B$2:$B$7,0)),"✖ المجموعة غير صحيحة",IF(NOT(OR($H3147="",$N3147&gt;0)),"✖ Start غير صحيح",IF(NOT(OR($I3147="",$I3147="NR",$O3147&gt;0)),"✖ Current غير صحيح",IF(NOT(IF(ISNUMBER($J3147),AND($J3147&gt;=0,$J3147=INT($J3147)),FALSE())),"✖ العدد يجب أن يكون صحيحًا ≥ 0",IF(AND($F3147="Baseline",$H3147&lt;&gt;""),"⚠ Baseline: Start لا يدخل في التقدم",IF($K3147="No Start (attainment only)","ℹ تحصيل فقط (بدون Start)",IF($K3147="U – needs rule","ℹ حالة U تحتاج قاعدة معتمدة",IF($K3147="No result","ℹ بدون نتيجة (يُستبعد من التحصيل)","OK")))))))))))</f>
        <v/>
      </c>
      <c r="M3147" s="64" t="n">
        <f aca="false">IF($A3147="",0,IFERROR(MATCH($A3147,Classes!$A$6:$A$420,0),0))</f>
        <v>0</v>
      </c>
      <c r="N3147" s="64" t="n">
        <f aca="false">IF($H3147="",0,IFERROR(MATCH($H3147,GradeList,0),0))</f>
        <v>0</v>
      </c>
      <c r="O3147" s="64" t="n">
        <f aca="false">IF(OR($I3147="",$I3147="NR"),0,IFERROR(MATCH($I3147,GradeList,0),0))</f>
        <v>0</v>
      </c>
      <c r="P3147" s="64" t="n">
        <f aca="false">IF(AND($M3147&gt;0,ISNUMBER(MATCH($F3147,Lists!$A$2:$A$5,0)),ISNUMBER(MATCH($G3147,Lists!$B$2:$B$7,0)),OR($H3147="",$N3147&gt;0),OR($I3147="",$I3147="NR",$O3147&gt;0),IF(ISNUMBER($J3147),AND($J3147&gt;=0,$J3147=INT($J3147)),FALSE())),$J3147,0)</f>
        <v>0</v>
      </c>
      <c r="Q3147" s="64" t="n">
        <f aca="false">IF(AND($P3147&gt;0,$O3147&gt;0),$P3147,0)</f>
        <v>0</v>
      </c>
      <c r="R3147" s="64" t="n">
        <f aca="false">IF(AND($Q3147&gt;0,$O3147&gt;=AtRank),$Q3147,0)</f>
        <v>0</v>
      </c>
      <c r="S3147" s="64" t="n">
        <f aca="false">IF(AND($Q3147&gt;0,$O3147&gt;=AboveRank),$Q3147,0)</f>
        <v>0</v>
      </c>
      <c r="T3147" s="64" t="n">
        <f aca="false">IF($K3147="Less",$P3147,0)</f>
        <v>0</v>
      </c>
      <c r="U3147" s="64" t="n">
        <f aca="false">IF($K3147="Expected",$P3147,0)</f>
        <v>0</v>
      </c>
      <c r="V3147" s="64" t="n">
        <f aca="false">IF($K3147="Better",$P3147,0)</f>
        <v>0</v>
      </c>
      <c r="W3147" s="64" t="n">
        <f aca="false">IF($K3147="U – needs rule",$P3147,0)</f>
        <v>0</v>
      </c>
      <c r="X3147" s="64" t="n">
        <f aca="false">IF($K3147="No Start (attainment only)",$P3147,0)</f>
        <v>0</v>
      </c>
    </row>
    <row r="3148" customFormat="false" ht="15" hidden="false" customHeight="false" outlineLevel="0" collapsed="false">
      <c r="A3148" s="60"/>
      <c r="B3148" s="61" t="str">
        <f aca="false">IF($M3148=0,"",INDEX(Classes!$E$6:$E$420,$M3148))</f>
        <v/>
      </c>
      <c r="C3148" s="62" t="str">
        <f aca="false">IF($M3148=0,"",INDEX(Classes!$H$6:$H$420,$M3148))</f>
        <v/>
      </c>
      <c r="D3148" s="61" t="str">
        <f aca="false">IF($M3148=0,"",INDEX(Classes!$B$6:$B$420,$M3148))</f>
        <v/>
      </c>
      <c r="E3148" s="61" t="str">
        <f aca="false">IF($M3148=0,"",INDEX(Classes!$C$6:$C$420,$M3148))</f>
        <v/>
      </c>
      <c r="F3148" s="63"/>
      <c r="G3148" s="63"/>
      <c r="H3148" s="60"/>
      <c r="I3148" s="60"/>
      <c r="J3148" s="63"/>
      <c r="K3148" s="61" t="str">
        <f aca="false">IF($P3148=0,"",IF($F3148="Baseline","— Baseline",IF($O3148=0,"No result",IF($N3148=0,"No Start (attainment only)",IF(OR($N3148=1,$O3148=1),"U – needs rule",INDEX(MxBody,MATCH($I3148,MxCurr,0),MATCH($H3148,MxStart,0)))))))</f>
        <v/>
      </c>
      <c r="L3148" s="62" t="str">
        <f aca="false">IF(COUNTA($A3148,$F3148,$G3148,$H3148,$I3148,$J3148)=0,"",IF($M3148=0,"✖ كود الصف غير موجود",IF(ISNA(MATCH($F3148,Lists!$A$2:$A$5,0)),"✖ الفترة غير صحيحة",IF(ISNA(MATCH($G3148,Lists!$B$2:$B$7,0)),"✖ المجموعة غير صحيحة",IF(NOT(OR($H3148="",$N3148&gt;0)),"✖ Start غير صحيح",IF(NOT(OR($I3148="",$I3148="NR",$O3148&gt;0)),"✖ Current غير صحيح",IF(NOT(IF(ISNUMBER($J3148),AND($J3148&gt;=0,$J3148=INT($J3148)),FALSE())),"✖ العدد يجب أن يكون صحيحًا ≥ 0",IF(AND($F3148="Baseline",$H3148&lt;&gt;""),"⚠ Baseline: Start لا يدخل في التقدم",IF($K3148="No Start (attainment only)","ℹ تحصيل فقط (بدون Start)",IF($K3148="U – needs rule","ℹ حالة U تحتاج قاعدة معتمدة",IF($K3148="No result","ℹ بدون نتيجة (يُستبعد من التحصيل)","OK")))))))))))</f>
        <v/>
      </c>
      <c r="M3148" s="64" t="n">
        <f aca="false">IF($A3148="",0,IFERROR(MATCH($A3148,Classes!$A$6:$A$420,0),0))</f>
        <v>0</v>
      </c>
      <c r="N3148" s="64" t="n">
        <f aca="false">IF($H3148="",0,IFERROR(MATCH($H3148,GradeList,0),0))</f>
        <v>0</v>
      </c>
      <c r="O3148" s="64" t="n">
        <f aca="false">IF(OR($I3148="",$I3148="NR"),0,IFERROR(MATCH($I3148,GradeList,0),0))</f>
        <v>0</v>
      </c>
      <c r="P3148" s="64" t="n">
        <f aca="false">IF(AND($M3148&gt;0,ISNUMBER(MATCH($F3148,Lists!$A$2:$A$5,0)),ISNUMBER(MATCH($G3148,Lists!$B$2:$B$7,0)),OR($H3148="",$N3148&gt;0),OR($I3148="",$I3148="NR",$O3148&gt;0),IF(ISNUMBER($J3148),AND($J3148&gt;=0,$J3148=INT($J3148)),FALSE())),$J3148,0)</f>
        <v>0</v>
      </c>
      <c r="Q3148" s="64" t="n">
        <f aca="false">IF(AND($P3148&gt;0,$O3148&gt;0),$P3148,0)</f>
        <v>0</v>
      </c>
      <c r="R3148" s="64" t="n">
        <f aca="false">IF(AND($Q3148&gt;0,$O3148&gt;=AtRank),$Q3148,0)</f>
        <v>0</v>
      </c>
      <c r="S3148" s="64" t="n">
        <f aca="false">IF(AND($Q3148&gt;0,$O3148&gt;=AboveRank),$Q3148,0)</f>
        <v>0</v>
      </c>
      <c r="T3148" s="64" t="n">
        <f aca="false">IF($K3148="Less",$P3148,0)</f>
        <v>0</v>
      </c>
      <c r="U3148" s="64" t="n">
        <f aca="false">IF($K3148="Expected",$P3148,0)</f>
        <v>0</v>
      </c>
      <c r="V3148" s="64" t="n">
        <f aca="false">IF($K3148="Better",$P3148,0)</f>
        <v>0</v>
      </c>
      <c r="W3148" s="64" t="n">
        <f aca="false">IF($K3148="U – needs rule",$P3148,0)</f>
        <v>0</v>
      </c>
      <c r="X3148" s="64" t="n">
        <f aca="false">IF($K3148="No Start (attainment only)",$P3148,0)</f>
        <v>0</v>
      </c>
    </row>
    <row r="3149" customFormat="false" ht="15" hidden="false" customHeight="false" outlineLevel="0" collapsed="false">
      <c r="A3149" s="60"/>
      <c r="B3149" s="61" t="str">
        <f aca="false">IF($M3149=0,"",INDEX(Classes!$E$6:$E$420,$M3149))</f>
        <v/>
      </c>
      <c r="C3149" s="62" t="str">
        <f aca="false">IF($M3149=0,"",INDEX(Classes!$H$6:$H$420,$M3149))</f>
        <v/>
      </c>
      <c r="D3149" s="61" t="str">
        <f aca="false">IF($M3149=0,"",INDEX(Classes!$B$6:$B$420,$M3149))</f>
        <v/>
      </c>
      <c r="E3149" s="61" t="str">
        <f aca="false">IF($M3149=0,"",INDEX(Classes!$C$6:$C$420,$M3149))</f>
        <v/>
      </c>
      <c r="F3149" s="63"/>
      <c r="G3149" s="63"/>
      <c r="H3149" s="60"/>
      <c r="I3149" s="60"/>
      <c r="J3149" s="63"/>
      <c r="K3149" s="61" t="str">
        <f aca="false">IF($P3149=0,"",IF($F3149="Baseline","— Baseline",IF($O3149=0,"No result",IF($N3149=0,"No Start (attainment only)",IF(OR($N3149=1,$O3149=1),"U – needs rule",INDEX(MxBody,MATCH($I3149,MxCurr,0),MATCH($H3149,MxStart,0)))))))</f>
        <v/>
      </c>
      <c r="L3149" s="62" t="str">
        <f aca="false">IF(COUNTA($A3149,$F3149,$G3149,$H3149,$I3149,$J3149)=0,"",IF($M3149=0,"✖ كود الصف غير موجود",IF(ISNA(MATCH($F3149,Lists!$A$2:$A$5,0)),"✖ الفترة غير صحيحة",IF(ISNA(MATCH($G3149,Lists!$B$2:$B$7,0)),"✖ المجموعة غير صحيحة",IF(NOT(OR($H3149="",$N3149&gt;0)),"✖ Start غير صحيح",IF(NOT(OR($I3149="",$I3149="NR",$O3149&gt;0)),"✖ Current غير صحيح",IF(NOT(IF(ISNUMBER($J3149),AND($J3149&gt;=0,$J3149=INT($J3149)),FALSE())),"✖ العدد يجب أن يكون صحيحًا ≥ 0",IF(AND($F3149="Baseline",$H3149&lt;&gt;""),"⚠ Baseline: Start لا يدخل في التقدم",IF($K3149="No Start (attainment only)","ℹ تحصيل فقط (بدون Start)",IF($K3149="U – needs rule","ℹ حالة U تحتاج قاعدة معتمدة",IF($K3149="No result","ℹ بدون نتيجة (يُستبعد من التحصيل)","OK")))))))))))</f>
        <v/>
      </c>
      <c r="M3149" s="64" t="n">
        <f aca="false">IF($A3149="",0,IFERROR(MATCH($A3149,Classes!$A$6:$A$420,0),0))</f>
        <v>0</v>
      </c>
      <c r="N3149" s="64" t="n">
        <f aca="false">IF($H3149="",0,IFERROR(MATCH($H3149,GradeList,0),0))</f>
        <v>0</v>
      </c>
      <c r="O3149" s="64" t="n">
        <f aca="false">IF(OR($I3149="",$I3149="NR"),0,IFERROR(MATCH($I3149,GradeList,0),0))</f>
        <v>0</v>
      </c>
      <c r="P3149" s="64" t="n">
        <f aca="false">IF(AND($M3149&gt;0,ISNUMBER(MATCH($F3149,Lists!$A$2:$A$5,0)),ISNUMBER(MATCH($G3149,Lists!$B$2:$B$7,0)),OR($H3149="",$N3149&gt;0),OR($I3149="",$I3149="NR",$O3149&gt;0),IF(ISNUMBER($J3149),AND($J3149&gt;=0,$J3149=INT($J3149)),FALSE())),$J3149,0)</f>
        <v>0</v>
      </c>
      <c r="Q3149" s="64" t="n">
        <f aca="false">IF(AND($P3149&gt;0,$O3149&gt;0),$P3149,0)</f>
        <v>0</v>
      </c>
      <c r="R3149" s="64" t="n">
        <f aca="false">IF(AND($Q3149&gt;0,$O3149&gt;=AtRank),$Q3149,0)</f>
        <v>0</v>
      </c>
      <c r="S3149" s="64" t="n">
        <f aca="false">IF(AND($Q3149&gt;0,$O3149&gt;=AboveRank),$Q3149,0)</f>
        <v>0</v>
      </c>
      <c r="T3149" s="64" t="n">
        <f aca="false">IF($K3149="Less",$P3149,0)</f>
        <v>0</v>
      </c>
      <c r="U3149" s="64" t="n">
        <f aca="false">IF($K3149="Expected",$P3149,0)</f>
        <v>0</v>
      </c>
      <c r="V3149" s="64" t="n">
        <f aca="false">IF($K3149="Better",$P3149,0)</f>
        <v>0</v>
      </c>
      <c r="W3149" s="64" t="n">
        <f aca="false">IF($K3149="U – needs rule",$P3149,0)</f>
        <v>0</v>
      </c>
      <c r="X3149" s="64" t="n">
        <f aca="false">IF($K3149="No Start (attainment only)",$P3149,0)</f>
        <v>0</v>
      </c>
    </row>
    <row r="3150" customFormat="false" ht="15" hidden="false" customHeight="false" outlineLevel="0" collapsed="false">
      <c r="A3150" s="60"/>
      <c r="B3150" s="61" t="str">
        <f aca="false">IF($M3150=0,"",INDEX(Classes!$E$6:$E$420,$M3150))</f>
        <v/>
      </c>
      <c r="C3150" s="62" t="str">
        <f aca="false">IF($M3150=0,"",INDEX(Classes!$H$6:$H$420,$M3150))</f>
        <v/>
      </c>
      <c r="D3150" s="61" t="str">
        <f aca="false">IF($M3150=0,"",INDEX(Classes!$B$6:$B$420,$M3150))</f>
        <v/>
      </c>
      <c r="E3150" s="61" t="str">
        <f aca="false">IF($M3150=0,"",INDEX(Classes!$C$6:$C$420,$M3150))</f>
        <v/>
      </c>
      <c r="F3150" s="63"/>
      <c r="G3150" s="63"/>
      <c r="H3150" s="60"/>
      <c r="I3150" s="60"/>
      <c r="J3150" s="63"/>
      <c r="K3150" s="61" t="str">
        <f aca="false">IF($P3150=0,"",IF($F3150="Baseline","— Baseline",IF($O3150=0,"No result",IF($N3150=0,"No Start (attainment only)",IF(OR($N3150=1,$O3150=1),"U – needs rule",INDEX(MxBody,MATCH($I3150,MxCurr,0),MATCH($H3150,MxStart,0)))))))</f>
        <v/>
      </c>
      <c r="L3150" s="62" t="str">
        <f aca="false">IF(COUNTA($A3150,$F3150,$G3150,$H3150,$I3150,$J3150)=0,"",IF($M3150=0,"✖ كود الصف غير موجود",IF(ISNA(MATCH($F3150,Lists!$A$2:$A$5,0)),"✖ الفترة غير صحيحة",IF(ISNA(MATCH($G3150,Lists!$B$2:$B$7,0)),"✖ المجموعة غير صحيحة",IF(NOT(OR($H3150="",$N3150&gt;0)),"✖ Start غير صحيح",IF(NOT(OR($I3150="",$I3150="NR",$O3150&gt;0)),"✖ Current غير صحيح",IF(NOT(IF(ISNUMBER($J3150),AND($J3150&gt;=0,$J3150=INT($J3150)),FALSE())),"✖ العدد يجب أن يكون صحيحًا ≥ 0",IF(AND($F3150="Baseline",$H3150&lt;&gt;""),"⚠ Baseline: Start لا يدخل في التقدم",IF($K3150="No Start (attainment only)","ℹ تحصيل فقط (بدون Start)",IF($K3150="U – needs rule","ℹ حالة U تحتاج قاعدة معتمدة",IF($K3150="No result","ℹ بدون نتيجة (يُستبعد من التحصيل)","OK")))))))))))</f>
        <v/>
      </c>
      <c r="M3150" s="64" t="n">
        <f aca="false">IF($A3150="",0,IFERROR(MATCH($A3150,Classes!$A$6:$A$420,0),0))</f>
        <v>0</v>
      </c>
      <c r="N3150" s="64" t="n">
        <f aca="false">IF($H3150="",0,IFERROR(MATCH($H3150,GradeList,0),0))</f>
        <v>0</v>
      </c>
      <c r="O3150" s="64" t="n">
        <f aca="false">IF(OR($I3150="",$I3150="NR"),0,IFERROR(MATCH($I3150,GradeList,0),0))</f>
        <v>0</v>
      </c>
      <c r="P3150" s="64" t="n">
        <f aca="false">IF(AND($M3150&gt;0,ISNUMBER(MATCH($F3150,Lists!$A$2:$A$5,0)),ISNUMBER(MATCH($G3150,Lists!$B$2:$B$7,0)),OR($H3150="",$N3150&gt;0),OR($I3150="",$I3150="NR",$O3150&gt;0),IF(ISNUMBER($J3150),AND($J3150&gt;=0,$J3150=INT($J3150)),FALSE())),$J3150,0)</f>
        <v>0</v>
      </c>
      <c r="Q3150" s="64" t="n">
        <f aca="false">IF(AND($P3150&gt;0,$O3150&gt;0),$P3150,0)</f>
        <v>0</v>
      </c>
      <c r="R3150" s="64" t="n">
        <f aca="false">IF(AND($Q3150&gt;0,$O3150&gt;=AtRank),$Q3150,0)</f>
        <v>0</v>
      </c>
      <c r="S3150" s="64" t="n">
        <f aca="false">IF(AND($Q3150&gt;0,$O3150&gt;=AboveRank),$Q3150,0)</f>
        <v>0</v>
      </c>
      <c r="T3150" s="64" t="n">
        <f aca="false">IF($K3150="Less",$P3150,0)</f>
        <v>0</v>
      </c>
      <c r="U3150" s="64" t="n">
        <f aca="false">IF($K3150="Expected",$P3150,0)</f>
        <v>0</v>
      </c>
      <c r="V3150" s="64" t="n">
        <f aca="false">IF($K3150="Better",$P3150,0)</f>
        <v>0</v>
      </c>
      <c r="W3150" s="64" t="n">
        <f aca="false">IF($K3150="U – needs rule",$P3150,0)</f>
        <v>0</v>
      </c>
      <c r="X3150" s="64" t="n">
        <f aca="false">IF($K3150="No Start (attainment only)",$P3150,0)</f>
        <v>0</v>
      </c>
    </row>
    <row r="3151" customFormat="false" ht="15" hidden="false" customHeight="false" outlineLevel="0" collapsed="false">
      <c r="A3151" s="60"/>
      <c r="B3151" s="61" t="str">
        <f aca="false">IF($M3151=0,"",INDEX(Classes!$E$6:$E$420,$M3151))</f>
        <v/>
      </c>
      <c r="C3151" s="62" t="str">
        <f aca="false">IF($M3151=0,"",INDEX(Classes!$H$6:$H$420,$M3151))</f>
        <v/>
      </c>
      <c r="D3151" s="61" t="str">
        <f aca="false">IF($M3151=0,"",INDEX(Classes!$B$6:$B$420,$M3151))</f>
        <v/>
      </c>
      <c r="E3151" s="61" t="str">
        <f aca="false">IF($M3151=0,"",INDEX(Classes!$C$6:$C$420,$M3151))</f>
        <v/>
      </c>
      <c r="F3151" s="63"/>
      <c r="G3151" s="63"/>
      <c r="H3151" s="60"/>
      <c r="I3151" s="60"/>
      <c r="J3151" s="63"/>
      <c r="K3151" s="61" t="str">
        <f aca="false">IF($P3151=0,"",IF($F3151="Baseline","— Baseline",IF($O3151=0,"No result",IF($N3151=0,"No Start (attainment only)",IF(OR($N3151=1,$O3151=1),"U – needs rule",INDEX(MxBody,MATCH($I3151,MxCurr,0),MATCH($H3151,MxStart,0)))))))</f>
        <v/>
      </c>
      <c r="L3151" s="62" t="str">
        <f aca="false">IF(COUNTA($A3151,$F3151,$G3151,$H3151,$I3151,$J3151)=0,"",IF($M3151=0,"✖ كود الصف غير موجود",IF(ISNA(MATCH($F3151,Lists!$A$2:$A$5,0)),"✖ الفترة غير صحيحة",IF(ISNA(MATCH($G3151,Lists!$B$2:$B$7,0)),"✖ المجموعة غير صحيحة",IF(NOT(OR($H3151="",$N3151&gt;0)),"✖ Start غير صحيح",IF(NOT(OR($I3151="",$I3151="NR",$O3151&gt;0)),"✖ Current غير صحيح",IF(NOT(IF(ISNUMBER($J3151),AND($J3151&gt;=0,$J3151=INT($J3151)),FALSE())),"✖ العدد يجب أن يكون صحيحًا ≥ 0",IF(AND($F3151="Baseline",$H3151&lt;&gt;""),"⚠ Baseline: Start لا يدخل في التقدم",IF($K3151="No Start (attainment only)","ℹ تحصيل فقط (بدون Start)",IF($K3151="U – needs rule","ℹ حالة U تحتاج قاعدة معتمدة",IF($K3151="No result","ℹ بدون نتيجة (يُستبعد من التحصيل)","OK")))))))))))</f>
        <v/>
      </c>
      <c r="M3151" s="64" t="n">
        <f aca="false">IF($A3151="",0,IFERROR(MATCH($A3151,Classes!$A$6:$A$420,0),0))</f>
        <v>0</v>
      </c>
      <c r="N3151" s="64" t="n">
        <f aca="false">IF($H3151="",0,IFERROR(MATCH($H3151,GradeList,0),0))</f>
        <v>0</v>
      </c>
      <c r="O3151" s="64" t="n">
        <f aca="false">IF(OR($I3151="",$I3151="NR"),0,IFERROR(MATCH($I3151,GradeList,0),0))</f>
        <v>0</v>
      </c>
      <c r="P3151" s="64" t="n">
        <f aca="false">IF(AND($M3151&gt;0,ISNUMBER(MATCH($F3151,Lists!$A$2:$A$5,0)),ISNUMBER(MATCH($G3151,Lists!$B$2:$B$7,0)),OR($H3151="",$N3151&gt;0),OR($I3151="",$I3151="NR",$O3151&gt;0),IF(ISNUMBER($J3151),AND($J3151&gt;=0,$J3151=INT($J3151)),FALSE())),$J3151,0)</f>
        <v>0</v>
      </c>
      <c r="Q3151" s="64" t="n">
        <f aca="false">IF(AND($P3151&gt;0,$O3151&gt;0),$P3151,0)</f>
        <v>0</v>
      </c>
      <c r="R3151" s="64" t="n">
        <f aca="false">IF(AND($Q3151&gt;0,$O3151&gt;=AtRank),$Q3151,0)</f>
        <v>0</v>
      </c>
      <c r="S3151" s="64" t="n">
        <f aca="false">IF(AND($Q3151&gt;0,$O3151&gt;=AboveRank),$Q3151,0)</f>
        <v>0</v>
      </c>
      <c r="T3151" s="64" t="n">
        <f aca="false">IF($K3151="Less",$P3151,0)</f>
        <v>0</v>
      </c>
      <c r="U3151" s="64" t="n">
        <f aca="false">IF($K3151="Expected",$P3151,0)</f>
        <v>0</v>
      </c>
      <c r="V3151" s="64" t="n">
        <f aca="false">IF($K3151="Better",$P3151,0)</f>
        <v>0</v>
      </c>
      <c r="W3151" s="64" t="n">
        <f aca="false">IF($K3151="U – needs rule",$P3151,0)</f>
        <v>0</v>
      </c>
      <c r="X3151" s="64" t="n">
        <f aca="false">IF($K3151="No Start (attainment only)",$P3151,0)</f>
        <v>0</v>
      </c>
    </row>
    <row r="3152" customFormat="false" ht="15" hidden="false" customHeight="false" outlineLevel="0" collapsed="false">
      <c r="A3152" s="60"/>
      <c r="B3152" s="61" t="str">
        <f aca="false">IF($M3152=0,"",INDEX(Classes!$E$6:$E$420,$M3152))</f>
        <v/>
      </c>
      <c r="C3152" s="62" t="str">
        <f aca="false">IF($M3152=0,"",INDEX(Classes!$H$6:$H$420,$M3152))</f>
        <v/>
      </c>
      <c r="D3152" s="61" t="str">
        <f aca="false">IF($M3152=0,"",INDEX(Classes!$B$6:$B$420,$M3152))</f>
        <v/>
      </c>
      <c r="E3152" s="61" t="str">
        <f aca="false">IF($M3152=0,"",INDEX(Classes!$C$6:$C$420,$M3152))</f>
        <v/>
      </c>
      <c r="F3152" s="63"/>
      <c r="G3152" s="63"/>
      <c r="H3152" s="60"/>
      <c r="I3152" s="60"/>
      <c r="J3152" s="63"/>
      <c r="K3152" s="61" t="str">
        <f aca="false">IF($P3152=0,"",IF($F3152="Baseline","— Baseline",IF($O3152=0,"No result",IF($N3152=0,"No Start (attainment only)",IF(OR($N3152=1,$O3152=1),"U – needs rule",INDEX(MxBody,MATCH($I3152,MxCurr,0),MATCH($H3152,MxStart,0)))))))</f>
        <v/>
      </c>
      <c r="L3152" s="62" t="str">
        <f aca="false">IF(COUNTA($A3152,$F3152,$G3152,$H3152,$I3152,$J3152)=0,"",IF($M3152=0,"✖ كود الصف غير موجود",IF(ISNA(MATCH($F3152,Lists!$A$2:$A$5,0)),"✖ الفترة غير صحيحة",IF(ISNA(MATCH($G3152,Lists!$B$2:$B$7,0)),"✖ المجموعة غير صحيحة",IF(NOT(OR($H3152="",$N3152&gt;0)),"✖ Start غير صحيح",IF(NOT(OR($I3152="",$I3152="NR",$O3152&gt;0)),"✖ Current غير صحيح",IF(NOT(IF(ISNUMBER($J3152),AND($J3152&gt;=0,$J3152=INT($J3152)),FALSE())),"✖ العدد يجب أن يكون صحيحًا ≥ 0",IF(AND($F3152="Baseline",$H3152&lt;&gt;""),"⚠ Baseline: Start لا يدخل في التقدم",IF($K3152="No Start (attainment only)","ℹ تحصيل فقط (بدون Start)",IF($K3152="U – needs rule","ℹ حالة U تحتاج قاعدة معتمدة",IF($K3152="No result","ℹ بدون نتيجة (يُستبعد من التحصيل)","OK")))))))))))</f>
        <v/>
      </c>
      <c r="M3152" s="64" t="n">
        <f aca="false">IF($A3152="",0,IFERROR(MATCH($A3152,Classes!$A$6:$A$420,0),0))</f>
        <v>0</v>
      </c>
      <c r="N3152" s="64" t="n">
        <f aca="false">IF($H3152="",0,IFERROR(MATCH($H3152,GradeList,0),0))</f>
        <v>0</v>
      </c>
      <c r="O3152" s="64" t="n">
        <f aca="false">IF(OR($I3152="",$I3152="NR"),0,IFERROR(MATCH($I3152,GradeList,0),0))</f>
        <v>0</v>
      </c>
      <c r="P3152" s="64" t="n">
        <f aca="false">IF(AND($M3152&gt;0,ISNUMBER(MATCH($F3152,Lists!$A$2:$A$5,0)),ISNUMBER(MATCH($G3152,Lists!$B$2:$B$7,0)),OR($H3152="",$N3152&gt;0),OR($I3152="",$I3152="NR",$O3152&gt;0),IF(ISNUMBER($J3152),AND($J3152&gt;=0,$J3152=INT($J3152)),FALSE())),$J3152,0)</f>
        <v>0</v>
      </c>
      <c r="Q3152" s="64" t="n">
        <f aca="false">IF(AND($P3152&gt;0,$O3152&gt;0),$P3152,0)</f>
        <v>0</v>
      </c>
      <c r="R3152" s="64" t="n">
        <f aca="false">IF(AND($Q3152&gt;0,$O3152&gt;=AtRank),$Q3152,0)</f>
        <v>0</v>
      </c>
      <c r="S3152" s="64" t="n">
        <f aca="false">IF(AND($Q3152&gt;0,$O3152&gt;=AboveRank),$Q3152,0)</f>
        <v>0</v>
      </c>
      <c r="T3152" s="64" t="n">
        <f aca="false">IF($K3152="Less",$P3152,0)</f>
        <v>0</v>
      </c>
      <c r="U3152" s="64" t="n">
        <f aca="false">IF($K3152="Expected",$P3152,0)</f>
        <v>0</v>
      </c>
      <c r="V3152" s="64" t="n">
        <f aca="false">IF($K3152="Better",$P3152,0)</f>
        <v>0</v>
      </c>
      <c r="W3152" s="64" t="n">
        <f aca="false">IF($K3152="U – needs rule",$P3152,0)</f>
        <v>0</v>
      </c>
      <c r="X3152" s="64" t="n">
        <f aca="false">IF($K3152="No Start (attainment only)",$P3152,0)</f>
        <v>0</v>
      </c>
    </row>
    <row r="3153" customFormat="false" ht="15" hidden="false" customHeight="false" outlineLevel="0" collapsed="false">
      <c r="A3153" s="60"/>
      <c r="B3153" s="61" t="str">
        <f aca="false">IF($M3153=0,"",INDEX(Classes!$E$6:$E$420,$M3153))</f>
        <v/>
      </c>
      <c r="C3153" s="62" t="str">
        <f aca="false">IF($M3153=0,"",INDEX(Classes!$H$6:$H$420,$M3153))</f>
        <v/>
      </c>
      <c r="D3153" s="61" t="str">
        <f aca="false">IF($M3153=0,"",INDEX(Classes!$B$6:$B$420,$M3153))</f>
        <v/>
      </c>
      <c r="E3153" s="61" t="str">
        <f aca="false">IF($M3153=0,"",INDEX(Classes!$C$6:$C$420,$M3153))</f>
        <v/>
      </c>
      <c r="F3153" s="63"/>
      <c r="G3153" s="63"/>
      <c r="H3153" s="60"/>
      <c r="I3153" s="60"/>
      <c r="J3153" s="63"/>
      <c r="K3153" s="61" t="str">
        <f aca="false">IF($P3153=0,"",IF($F3153="Baseline","— Baseline",IF($O3153=0,"No result",IF($N3153=0,"No Start (attainment only)",IF(OR($N3153=1,$O3153=1),"U – needs rule",INDEX(MxBody,MATCH($I3153,MxCurr,0),MATCH($H3153,MxStart,0)))))))</f>
        <v/>
      </c>
      <c r="L3153" s="62" t="str">
        <f aca="false">IF(COUNTA($A3153,$F3153,$G3153,$H3153,$I3153,$J3153)=0,"",IF($M3153=0,"✖ كود الصف غير موجود",IF(ISNA(MATCH($F3153,Lists!$A$2:$A$5,0)),"✖ الفترة غير صحيحة",IF(ISNA(MATCH($G3153,Lists!$B$2:$B$7,0)),"✖ المجموعة غير صحيحة",IF(NOT(OR($H3153="",$N3153&gt;0)),"✖ Start غير صحيح",IF(NOT(OR($I3153="",$I3153="NR",$O3153&gt;0)),"✖ Current غير صحيح",IF(NOT(IF(ISNUMBER($J3153),AND($J3153&gt;=0,$J3153=INT($J3153)),FALSE())),"✖ العدد يجب أن يكون صحيحًا ≥ 0",IF(AND($F3153="Baseline",$H3153&lt;&gt;""),"⚠ Baseline: Start لا يدخل في التقدم",IF($K3153="No Start (attainment only)","ℹ تحصيل فقط (بدون Start)",IF($K3153="U – needs rule","ℹ حالة U تحتاج قاعدة معتمدة",IF($K3153="No result","ℹ بدون نتيجة (يُستبعد من التحصيل)","OK")))))))))))</f>
        <v/>
      </c>
      <c r="M3153" s="64" t="n">
        <f aca="false">IF($A3153="",0,IFERROR(MATCH($A3153,Classes!$A$6:$A$420,0),0))</f>
        <v>0</v>
      </c>
      <c r="N3153" s="64" t="n">
        <f aca="false">IF($H3153="",0,IFERROR(MATCH($H3153,GradeList,0),0))</f>
        <v>0</v>
      </c>
      <c r="O3153" s="64" t="n">
        <f aca="false">IF(OR($I3153="",$I3153="NR"),0,IFERROR(MATCH($I3153,GradeList,0),0))</f>
        <v>0</v>
      </c>
      <c r="P3153" s="64" t="n">
        <f aca="false">IF(AND($M3153&gt;0,ISNUMBER(MATCH($F3153,Lists!$A$2:$A$5,0)),ISNUMBER(MATCH($G3153,Lists!$B$2:$B$7,0)),OR($H3153="",$N3153&gt;0),OR($I3153="",$I3153="NR",$O3153&gt;0),IF(ISNUMBER($J3153),AND($J3153&gt;=0,$J3153=INT($J3153)),FALSE())),$J3153,0)</f>
        <v>0</v>
      </c>
      <c r="Q3153" s="64" t="n">
        <f aca="false">IF(AND($P3153&gt;0,$O3153&gt;0),$P3153,0)</f>
        <v>0</v>
      </c>
      <c r="R3153" s="64" t="n">
        <f aca="false">IF(AND($Q3153&gt;0,$O3153&gt;=AtRank),$Q3153,0)</f>
        <v>0</v>
      </c>
      <c r="S3153" s="64" t="n">
        <f aca="false">IF(AND($Q3153&gt;0,$O3153&gt;=AboveRank),$Q3153,0)</f>
        <v>0</v>
      </c>
      <c r="T3153" s="64" t="n">
        <f aca="false">IF($K3153="Less",$P3153,0)</f>
        <v>0</v>
      </c>
      <c r="U3153" s="64" t="n">
        <f aca="false">IF($K3153="Expected",$P3153,0)</f>
        <v>0</v>
      </c>
      <c r="V3153" s="64" t="n">
        <f aca="false">IF($K3153="Better",$P3153,0)</f>
        <v>0</v>
      </c>
      <c r="W3153" s="64" t="n">
        <f aca="false">IF($K3153="U – needs rule",$P3153,0)</f>
        <v>0</v>
      </c>
      <c r="X3153" s="64" t="n">
        <f aca="false">IF($K3153="No Start (attainment only)",$P3153,0)</f>
        <v>0</v>
      </c>
    </row>
    <row r="3154" customFormat="false" ht="15" hidden="false" customHeight="false" outlineLevel="0" collapsed="false">
      <c r="A3154" s="60"/>
      <c r="B3154" s="61" t="str">
        <f aca="false">IF($M3154=0,"",INDEX(Classes!$E$6:$E$420,$M3154))</f>
        <v/>
      </c>
      <c r="C3154" s="62" t="str">
        <f aca="false">IF($M3154=0,"",INDEX(Classes!$H$6:$H$420,$M3154))</f>
        <v/>
      </c>
      <c r="D3154" s="61" t="str">
        <f aca="false">IF($M3154=0,"",INDEX(Classes!$B$6:$B$420,$M3154))</f>
        <v/>
      </c>
      <c r="E3154" s="61" t="str">
        <f aca="false">IF($M3154=0,"",INDEX(Classes!$C$6:$C$420,$M3154))</f>
        <v/>
      </c>
      <c r="F3154" s="63"/>
      <c r="G3154" s="63"/>
      <c r="H3154" s="60"/>
      <c r="I3154" s="60"/>
      <c r="J3154" s="63"/>
      <c r="K3154" s="61" t="str">
        <f aca="false">IF($P3154=0,"",IF($F3154="Baseline","— Baseline",IF($O3154=0,"No result",IF($N3154=0,"No Start (attainment only)",IF(OR($N3154=1,$O3154=1),"U – needs rule",INDEX(MxBody,MATCH($I3154,MxCurr,0),MATCH($H3154,MxStart,0)))))))</f>
        <v/>
      </c>
      <c r="L3154" s="62" t="str">
        <f aca="false">IF(COUNTA($A3154,$F3154,$G3154,$H3154,$I3154,$J3154)=0,"",IF($M3154=0,"✖ كود الصف غير موجود",IF(ISNA(MATCH($F3154,Lists!$A$2:$A$5,0)),"✖ الفترة غير صحيحة",IF(ISNA(MATCH($G3154,Lists!$B$2:$B$7,0)),"✖ المجموعة غير صحيحة",IF(NOT(OR($H3154="",$N3154&gt;0)),"✖ Start غير صحيح",IF(NOT(OR($I3154="",$I3154="NR",$O3154&gt;0)),"✖ Current غير صحيح",IF(NOT(IF(ISNUMBER($J3154),AND($J3154&gt;=0,$J3154=INT($J3154)),FALSE())),"✖ العدد يجب أن يكون صحيحًا ≥ 0",IF(AND($F3154="Baseline",$H3154&lt;&gt;""),"⚠ Baseline: Start لا يدخل في التقدم",IF($K3154="No Start (attainment only)","ℹ تحصيل فقط (بدون Start)",IF($K3154="U – needs rule","ℹ حالة U تحتاج قاعدة معتمدة",IF($K3154="No result","ℹ بدون نتيجة (يُستبعد من التحصيل)","OK")))))))))))</f>
        <v/>
      </c>
      <c r="M3154" s="64" t="n">
        <f aca="false">IF($A3154="",0,IFERROR(MATCH($A3154,Classes!$A$6:$A$420,0),0))</f>
        <v>0</v>
      </c>
      <c r="N3154" s="64" t="n">
        <f aca="false">IF($H3154="",0,IFERROR(MATCH($H3154,GradeList,0),0))</f>
        <v>0</v>
      </c>
      <c r="O3154" s="64" t="n">
        <f aca="false">IF(OR($I3154="",$I3154="NR"),0,IFERROR(MATCH($I3154,GradeList,0),0))</f>
        <v>0</v>
      </c>
      <c r="P3154" s="64" t="n">
        <f aca="false">IF(AND($M3154&gt;0,ISNUMBER(MATCH($F3154,Lists!$A$2:$A$5,0)),ISNUMBER(MATCH($G3154,Lists!$B$2:$B$7,0)),OR($H3154="",$N3154&gt;0),OR($I3154="",$I3154="NR",$O3154&gt;0),IF(ISNUMBER($J3154),AND($J3154&gt;=0,$J3154=INT($J3154)),FALSE())),$J3154,0)</f>
        <v>0</v>
      </c>
      <c r="Q3154" s="64" t="n">
        <f aca="false">IF(AND($P3154&gt;0,$O3154&gt;0),$P3154,0)</f>
        <v>0</v>
      </c>
      <c r="R3154" s="64" t="n">
        <f aca="false">IF(AND($Q3154&gt;0,$O3154&gt;=AtRank),$Q3154,0)</f>
        <v>0</v>
      </c>
      <c r="S3154" s="64" t="n">
        <f aca="false">IF(AND($Q3154&gt;0,$O3154&gt;=AboveRank),$Q3154,0)</f>
        <v>0</v>
      </c>
      <c r="T3154" s="64" t="n">
        <f aca="false">IF($K3154="Less",$P3154,0)</f>
        <v>0</v>
      </c>
      <c r="U3154" s="64" t="n">
        <f aca="false">IF($K3154="Expected",$P3154,0)</f>
        <v>0</v>
      </c>
      <c r="V3154" s="64" t="n">
        <f aca="false">IF($K3154="Better",$P3154,0)</f>
        <v>0</v>
      </c>
      <c r="W3154" s="64" t="n">
        <f aca="false">IF($K3154="U – needs rule",$P3154,0)</f>
        <v>0</v>
      </c>
      <c r="X3154" s="64" t="n">
        <f aca="false">IF($K3154="No Start (attainment only)",$P3154,0)</f>
        <v>0</v>
      </c>
    </row>
    <row r="3155" customFormat="false" ht="15" hidden="false" customHeight="false" outlineLevel="0" collapsed="false">
      <c r="A3155" s="60"/>
      <c r="B3155" s="61" t="str">
        <f aca="false">IF($M3155=0,"",INDEX(Classes!$E$6:$E$420,$M3155))</f>
        <v/>
      </c>
      <c r="C3155" s="62" t="str">
        <f aca="false">IF($M3155=0,"",INDEX(Classes!$H$6:$H$420,$M3155))</f>
        <v/>
      </c>
      <c r="D3155" s="61" t="str">
        <f aca="false">IF($M3155=0,"",INDEX(Classes!$B$6:$B$420,$M3155))</f>
        <v/>
      </c>
      <c r="E3155" s="61" t="str">
        <f aca="false">IF($M3155=0,"",INDEX(Classes!$C$6:$C$420,$M3155))</f>
        <v/>
      </c>
      <c r="F3155" s="63"/>
      <c r="G3155" s="63"/>
      <c r="H3155" s="60"/>
      <c r="I3155" s="60"/>
      <c r="J3155" s="63"/>
      <c r="K3155" s="61" t="str">
        <f aca="false">IF($P3155=0,"",IF($F3155="Baseline","— Baseline",IF($O3155=0,"No result",IF($N3155=0,"No Start (attainment only)",IF(OR($N3155=1,$O3155=1),"U – needs rule",INDEX(MxBody,MATCH($I3155,MxCurr,0),MATCH($H3155,MxStart,0)))))))</f>
        <v/>
      </c>
      <c r="L3155" s="62" t="str">
        <f aca="false">IF(COUNTA($A3155,$F3155,$G3155,$H3155,$I3155,$J3155)=0,"",IF($M3155=0,"✖ كود الصف غير موجود",IF(ISNA(MATCH($F3155,Lists!$A$2:$A$5,0)),"✖ الفترة غير صحيحة",IF(ISNA(MATCH($G3155,Lists!$B$2:$B$7,0)),"✖ المجموعة غير صحيحة",IF(NOT(OR($H3155="",$N3155&gt;0)),"✖ Start غير صحيح",IF(NOT(OR($I3155="",$I3155="NR",$O3155&gt;0)),"✖ Current غير صحيح",IF(NOT(IF(ISNUMBER($J3155),AND($J3155&gt;=0,$J3155=INT($J3155)),FALSE())),"✖ العدد يجب أن يكون صحيحًا ≥ 0",IF(AND($F3155="Baseline",$H3155&lt;&gt;""),"⚠ Baseline: Start لا يدخل في التقدم",IF($K3155="No Start (attainment only)","ℹ تحصيل فقط (بدون Start)",IF($K3155="U – needs rule","ℹ حالة U تحتاج قاعدة معتمدة",IF($K3155="No result","ℹ بدون نتيجة (يُستبعد من التحصيل)","OK")))))))))))</f>
        <v/>
      </c>
      <c r="M3155" s="64" t="n">
        <f aca="false">IF($A3155="",0,IFERROR(MATCH($A3155,Classes!$A$6:$A$420,0),0))</f>
        <v>0</v>
      </c>
      <c r="N3155" s="64" t="n">
        <f aca="false">IF($H3155="",0,IFERROR(MATCH($H3155,GradeList,0),0))</f>
        <v>0</v>
      </c>
      <c r="O3155" s="64" t="n">
        <f aca="false">IF(OR($I3155="",$I3155="NR"),0,IFERROR(MATCH($I3155,GradeList,0),0))</f>
        <v>0</v>
      </c>
      <c r="P3155" s="64" t="n">
        <f aca="false">IF(AND($M3155&gt;0,ISNUMBER(MATCH($F3155,Lists!$A$2:$A$5,0)),ISNUMBER(MATCH($G3155,Lists!$B$2:$B$7,0)),OR($H3155="",$N3155&gt;0),OR($I3155="",$I3155="NR",$O3155&gt;0),IF(ISNUMBER($J3155),AND($J3155&gt;=0,$J3155=INT($J3155)),FALSE())),$J3155,0)</f>
        <v>0</v>
      </c>
      <c r="Q3155" s="64" t="n">
        <f aca="false">IF(AND($P3155&gt;0,$O3155&gt;0),$P3155,0)</f>
        <v>0</v>
      </c>
      <c r="R3155" s="64" t="n">
        <f aca="false">IF(AND($Q3155&gt;0,$O3155&gt;=AtRank),$Q3155,0)</f>
        <v>0</v>
      </c>
      <c r="S3155" s="64" t="n">
        <f aca="false">IF(AND($Q3155&gt;0,$O3155&gt;=AboveRank),$Q3155,0)</f>
        <v>0</v>
      </c>
      <c r="T3155" s="64" t="n">
        <f aca="false">IF($K3155="Less",$P3155,0)</f>
        <v>0</v>
      </c>
      <c r="U3155" s="64" t="n">
        <f aca="false">IF($K3155="Expected",$P3155,0)</f>
        <v>0</v>
      </c>
      <c r="V3155" s="64" t="n">
        <f aca="false">IF($K3155="Better",$P3155,0)</f>
        <v>0</v>
      </c>
      <c r="W3155" s="64" t="n">
        <f aca="false">IF($K3155="U – needs rule",$P3155,0)</f>
        <v>0</v>
      </c>
      <c r="X3155" s="64" t="n">
        <f aca="false">IF($K3155="No Start (attainment only)",$P3155,0)</f>
        <v>0</v>
      </c>
    </row>
    <row r="3156" customFormat="false" ht="15" hidden="false" customHeight="false" outlineLevel="0" collapsed="false">
      <c r="A3156" s="60"/>
      <c r="B3156" s="61" t="str">
        <f aca="false">IF($M3156=0,"",INDEX(Classes!$E$6:$E$420,$M3156))</f>
        <v/>
      </c>
      <c r="C3156" s="62" t="str">
        <f aca="false">IF($M3156=0,"",INDEX(Classes!$H$6:$H$420,$M3156))</f>
        <v/>
      </c>
      <c r="D3156" s="61" t="str">
        <f aca="false">IF($M3156=0,"",INDEX(Classes!$B$6:$B$420,$M3156))</f>
        <v/>
      </c>
      <c r="E3156" s="61" t="str">
        <f aca="false">IF($M3156=0,"",INDEX(Classes!$C$6:$C$420,$M3156))</f>
        <v/>
      </c>
      <c r="F3156" s="63"/>
      <c r="G3156" s="63"/>
      <c r="H3156" s="60"/>
      <c r="I3156" s="60"/>
      <c r="J3156" s="63"/>
      <c r="K3156" s="61" t="str">
        <f aca="false">IF($P3156=0,"",IF($F3156="Baseline","— Baseline",IF($O3156=0,"No result",IF($N3156=0,"No Start (attainment only)",IF(OR($N3156=1,$O3156=1),"U – needs rule",INDEX(MxBody,MATCH($I3156,MxCurr,0),MATCH($H3156,MxStart,0)))))))</f>
        <v/>
      </c>
      <c r="L3156" s="62" t="str">
        <f aca="false">IF(COUNTA($A3156,$F3156,$G3156,$H3156,$I3156,$J3156)=0,"",IF($M3156=0,"✖ كود الصف غير موجود",IF(ISNA(MATCH($F3156,Lists!$A$2:$A$5,0)),"✖ الفترة غير صحيحة",IF(ISNA(MATCH($G3156,Lists!$B$2:$B$7,0)),"✖ المجموعة غير صحيحة",IF(NOT(OR($H3156="",$N3156&gt;0)),"✖ Start غير صحيح",IF(NOT(OR($I3156="",$I3156="NR",$O3156&gt;0)),"✖ Current غير صحيح",IF(NOT(IF(ISNUMBER($J3156),AND($J3156&gt;=0,$J3156=INT($J3156)),FALSE())),"✖ العدد يجب أن يكون صحيحًا ≥ 0",IF(AND($F3156="Baseline",$H3156&lt;&gt;""),"⚠ Baseline: Start لا يدخل في التقدم",IF($K3156="No Start (attainment only)","ℹ تحصيل فقط (بدون Start)",IF($K3156="U – needs rule","ℹ حالة U تحتاج قاعدة معتمدة",IF($K3156="No result","ℹ بدون نتيجة (يُستبعد من التحصيل)","OK")))))))))))</f>
        <v/>
      </c>
      <c r="M3156" s="64" t="n">
        <f aca="false">IF($A3156="",0,IFERROR(MATCH($A3156,Classes!$A$6:$A$420,0),0))</f>
        <v>0</v>
      </c>
      <c r="N3156" s="64" t="n">
        <f aca="false">IF($H3156="",0,IFERROR(MATCH($H3156,GradeList,0),0))</f>
        <v>0</v>
      </c>
      <c r="O3156" s="64" t="n">
        <f aca="false">IF(OR($I3156="",$I3156="NR"),0,IFERROR(MATCH($I3156,GradeList,0),0))</f>
        <v>0</v>
      </c>
      <c r="P3156" s="64" t="n">
        <f aca="false">IF(AND($M3156&gt;0,ISNUMBER(MATCH($F3156,Lists!$A$2:$A$5,0)),ISNUMBER(MATCH($G3156,Lists!$B$2:$B$7,0)),OR($H3156="",$N3156&gt;0),OR($I3156="",$I3156="NR",$O3156&gt;0),IF(ISNUMBER($J3156),AND($J3156&gt;=0,$J3156=INT($J3156)),FALSE())),$J3156,0)</f>
        <v>0</v>
      </c>
      <c r="Q3156" s="64" t="n">
        <f aca="false">IF(AND($P3156&gt;0,$O3156&gt;0),$P3156,0)</f>
        <v>0</v>
      </c>
      <c r="R3156" s="64" t="n">
        <f aca="false">IF(AND($Q3156&gt;0,$O3156&gt;=AtRank),$Q3156,0)</f>
        <v>0</v>
      </c>
      <c r="S3156" s="64" t="n">
        <f aca="false">IF(AND($Q3156&gt;0,$O3156&gt;=AboveRank),$Q3156,0)</f>
        <v>0</v>
      </c>
      <c r="T3156" s="64" t="n">
        <f aca="false">IF($K3156="Less",$P3156,0)</f>
        <v>0</v>
      </c>
      <c r="U3156" s="64" t="n">
        <f aca="false">IF($K3156="Expected",$P3156,0)</f>
        <v>0</v>
      </c>
      <c r="V3156" s="64" t="n">
        <f aca="false">IF($K3156="Better",$P3156,0)</f>
        <v>0</v>
      </c>
      <c r="W3156" s="64" t="n">
        <f aca="false">IF($K3156="U – needs rule",$P3156,0)</f>
        <v>0</v>
      </c>
      <c r="X3156" s="64" t="n">
        <f aca="false">IF($K3156="No Start (attainment only)",$P3156,0)</f>
        <v>0</v>
      </c>
    </row>
    <row r="3157" customFormat="false" ht="15" hidden="false" customHeight="false" outlineLevel="0" collapsed="false">
      <c r="A3157" s="60"/>
      <c r="B3157" s="61" t="str">
        <f aca="false">IF($M3157=0,"",INDEX(Classes!$E$6:$E$420,$M3157))</f>
        <v/>
      </c>
      <c r="C3157" s="62" t="str">
        <f aca="false">IF($M3157=0,"",INDEX(Classes!$H$6:$H$420,$M3157))</f>
        <v/>
      </c>
      <c r="D3157" s="61" t="str">
        <f aca="false">IF($M3157=0,"",INDEX(Classes!$B$6:$B$420,$M3157))</f>
        <v/>
      </c>
      <c r="E3157" s="61" t="str">
        <f aca="false">IF($M3157=0,"",INDEX(Classes!$C$6:$C$420,$M3157))</f>
        <v/>
      </c>
      <c r="F3157" s="63"/>
      <c r="G3157" s="63"/>
      <c r="H3157" s="60"/>
      <c r="I3157" s="60"/>
      <c r="J3157" s="63"/>
      <c r="K3157" s="61" t="str">
        <f aca="false">IF($P3157=0,"",IF($F3157="Baseline","— Baseline",IF($O3157=0,"No result",IF($N3157=0,"No Start (attainment only)",IF(OR($N3157=1,$O3157=1),"U – needs rule",INDEX(MxBody,MATCH($I3157,MxCurr,0),MATCH($H3157,MxStart,0)))))))</f>
        <v/>
      </c>
      <c r="L3157" s="62" t="str">
        <f aca="false">IF(COUNTA($A3157,$F3157,$G3157,$H3157,$I3157,$J3157)=0,"",IF($M3157=0,"✖ كود الصف غير موجود",IF(ISNA(MATCH($F3157,Lists!$A$2:$A$5,0)),"✖ الفترة غير صحيحة",IF(ISNA(MATCH($G3157,Lists!$B$2:$B$7,0)),"✖ المجموعة غير صحيحة",IF(NOT(OR($H3157="",$N3157&gt;0)),"✖ Start غير صحيح",IF(NOT(OR($I3157="",$I3157="NR",$O3157&gt;0)),"✖ Current غير صحيح",IF(NOT(IF(ISNUMBER($J3157),AND($J3157&gt;=0,$J3157=INT($J3157)),FALSE())),"✖ العدد يجب أن يكون صحيحًا ≥ 0",IF(AND($F3157="Baseline",$H3157&lt;&gt;""),"⚠ Baseline: Start لا يدخل في التقدم",IF($K3157="No Start (attainment only)","ℹ تحصيل فقط (بدون Start)",IF($K3157="U – needs rule","ℹ حالة U تحتاج قاعدة معتمدة",IF($K3157="No result","ℹ بدون نتيجة (يُستبعد من التحصيل)","OK")))))))))))</f>
        <v/>
      </c>
      <c r="M3157" s="64" t="n">
        <f aca="false">IF($A3157="",0,IFERROR(MATCH($A3157,Classes!$A$6:$A$420,0),0))</f>
        <v>0</v>
      </c>
      <c r="N3157" s="64" t="n">
        <f aca="false">IF($H3157="",0,IFERROR(MATCH($H3157,GradeList,0),0))</f>
        <v>0</v>
      </c>
      <c r="O3157" s="64" t="n">
        <f aca="false">IF(OR($I3157="",$I3157="NR"),0,IFERROR(MATCH($I3157,GradeList,0),0))</f>
        <v>0</v>
      </c>
      <c r="P3157" s="64" t="n">
        <f aca="false">IF(AND($M3157&gt;0,ISNUMBER(MATCH($F3157,Lists!$A$2:$A$5,0)),ISNUMBER(MATCH($G3157,Lists!$B$2:$B$7,0)),OR($H3157="",$N3157&gt;0),OR($I3157="",$I3157="NR",$O3157&gt;0),IF(ISNUMBER($J3157),AND($J3157&gt;=0,$J3157=INT($J3157)),FALSE())),$J3157,0)</f>
        <v>0</v>
      </c>
      <c r="Q3157" s="64" t="n">
        <f aca="false">IF(AND($P3157&gt;0,$O3157&gt;0),$P3157,0)</f>
        <v>0</v>
      </c>
      <c r="R3157" s="64" t="n">
        <f aca="false">IF(AND($Q3157&gt;0,$O3157&gt;=AtRank),$Q3157,0)</f>
        <v>0</v>
      </c>
      <c r="S3157" s="64" t="n">
        <f aca="false">IF(AND($Q3157&gt;0,$O3157&gt;=AboveRank),$Q3157,0)</f>
        <v>0</v>
      </c>
      <c r="T3157" s="64" t="n">
        <f aca="false">IF($K3157="Less",$P3157,0)</f>
        <v>0</v>
      </c>
      <c r="U3157" s="64" t="n">
        <f aca="false">IF($K3157="Expected",$P3157,0)</f>
        <v>0</v>
      </c>
      <c r="V3157" s="64" t="n">
        <f aca="false">IF($K3157="Better",$P3157,0)</f>
        <v>0</v>
      </c>
      <c r="W3157" s="64" t="n">
        <f aca="false">IF($K3157="U – needs rule",$P3157,0)</f>
        <v>0</v>
      </c>
      <c r="X3157" s="64" t="n">
        <f aca="false">IF($K3157="No Start (attainment only)",$P3157,0)</f>
        <v>0</v>
      </c>
    </row>
    <row r="3158" customFormat="false" ht="15" hidden="false" customHeight="false" outlineLevel="0" collapsed="false">
      <c r="A3158" s="60"/>
      <c r="B3158" s="61" t="str">
        <f aca="false">IF($M3158=0,"",INDEX(Classes!$E$6:$E$420,$M3158))</f>
        <v/>
      </c>
      <c r="C3158" s="62" t="str">
        <f aca="false">IF($M3158=0,"",INDEX(Classes!$H$6:$H$420,$M3158))</f>
        <v/>
      </c>
      <c r="D3158" s="61" t="str">
        <f aca="false">IF($M3158=0,"",INDEX(Classes!$B$6:$B$420,$M3158))</f>
        <v/>
      </c>
      <c r="E3158" s="61" t="str">
        <f aca="false">IF($M3158=0,"",INDEX(Classes!$C$6:$C$420,$M3158))</f>
        <v/>
      </c>
      <c r="F3158" s="63"/>
      <c r="G3158" s="63"/>
      <c r="H3158" s="60"/>
      <c r="I3158" s="60"/>
      <c r="J3158" s="63"/>
      <c r="K3158" s="61" t="str">
        <f aca="false">IF($P3158=0,"",IF($F3158="Baseline","— Baseline",IF($O3158=0,"No result",IF($N3158=0,"No Start (attainment only)",IF(OR($N3158=1,$O3158=1),"U – needs rule",INDEX(MxBody,MATCH($I3158,MxCurr,0),MATCH($H3158,MxStart,0)))))))</f>
        <v/>
      </c>
      <c r="L3158" s="62" t="str">
        <f aca="false">IF(COUNTA($A3158,$F3158,$G3158,$H3158,$I3158,$J3158)=0,"",IF($M3158=0,"✖ كود الصف غير موجود",IF(ISNA(MATCH($F3158,Lists!$A$2:$A$5,0)),"✖ الفترة غير صحيحة",IF(ISNA(MATCH($G3158,Lists!$B$2:$B$7,0)),"✖ المجموعة غير صحيحة",IF(NOT(OR($H3158="",$N3158&gt;0)),"✖ Start غير صحيح",IF(NOT(OR($I3158="",$I3158="NR",$O3158&gt;0)),"✖ Current غير صحيح",IF(NOT(IF(ISNUMBER($J3158),AND($J3158&gt;=0,$J3158=INT($J3158)),FALSE())),"✖ العدد يجب أن يكون صحيحًا ≥ 0",IF(AND($F3158="Baseline",$H3158&lt;&gt;""),"⚠ Baseline: Start لا يدخل في التقدم",IF($K3158="No Start (attainment only)","ℹ تحصيل فقط (بدون Start)",IF($K3158="U – needs rule","ℹ حالة U تحتاج قاعدة معتمدة",IF($K3158="No result","ℹ بدون نتيجة (يُستبعد من التحصيل)","OK")))))))))))</f>
        <v/>
      </c>
      <c r="M3158" s="64" t="n">
        <f aca="false">IF($A3158="",0,IFERROR(MATCH($A3158,Classes!$A$6:$A$420,0),0))</f>
        <v>0</v>
      </c>
      <c r="N3158" s="64" t="n">
        <f aca="false">IF($H3158="",0,IFERROR(MATCH($H3158,GradeList,0),0))</f>
        <v>0</v>
      </c>
      <c r="O3158" s="64" t="n">
        <f aca="false">IF(OR($I3158="",$I3158="NR"),0,IFERROR(MATCH($I3158,GradeList,0),0))</f>
        <v>0</v>
      </c>
      <c r="P3158" s="64" t="n">
        <f aca="false">IF(AND($M3158&gt;0,ISNUMBER(MATCH($F3158,Lists!$A$2:$A$5,0)),ISNUMBER(MATCH($G3158,Lists!$B$2:$B$7,0)),OR($H3158="",$N3158&gt;0),OR($I3158="",$I3158="NR",$O3158&gt;0),IF(ISNUMBER($J3158),AND($J3158&gt;=0,$J3158=INT($J3158)),FALSE())),$J3158,0)</f>
        <v>0</v>
      </c>
      <c r="Q3158" s="64" t="n">
        <f aca="false">IF(AND($P3158&gt;0,$O3158&gt;0),$P3158,0)</f>
        <v>0</v>
      </c>
      <c r="R3158" s="64" t="n">
        <f aca="false">IF(AND($Q3158&gt;0,$O3158&gt;=AtRank),$Q3158,0)</f>
        <v>0</v>
      </c>
      <c r="S3158" s="64" t="n">
        <f aca="false">IF(AND($Q3158&gt;0,$O3158&gt;=AboveRank),$Q3158,0)</f>
        <v>0</v>
      </c>
      <c r="T3158" s="64" t="n">
        <f aca="false">IF($K3158="Less",$P3158,0)</f>
        <v>0</v>
      </c>
      <c r="U3158" s="64" t="n">
        <f aca="false">IF($K3158="Expected",$P3158,0)</f>
        <v>0</v>
      </c>
      <c r="V3158" s="64" t="n">
        <f aca="false">IF($K3158="Better",$P3158,0)</f>
        <v>0</v>
      </c>
      <c r="W3158" s="64" t="n">
        <f aca="false">IF($K3158="U – needs rule",$P3158,0)</f>
        <v>0</v>
      </c>
      <c r="X3158" s="64" t="n">
        <f aca="false">IF($K3158="No Start (attainment only)",$P3158,0)</f>
        <v>0</v>
      </c>
    </row>
    <row r="3159" customFormat="false" ht="15" hidden="false" customHeight="false" outlineLevel="0" collapsed="false">
      <c r="A3159" s="60"/>
      <c r="B3159" s="61" t="str">
        <f aca="false">IF($M3159=0,"",INDEX(Classes!$E$6:$E$420,$M3159))</f>
        <v/>
      </c>
      <c r="C3159" s="62" t="str">
        <f aca="false">IF($M3159=0,"",INDEX(Classes!$H$6:$H$420,$M3159))</f>
        <v/>
      </c>
      <c r="D3159" s="61" t="str">
        <f aca="false">IF($M3159=0,"",INDEX(Classes!$B$6:$B$420,$M3159))</f>
        <v/>
      </c>
      <c r="E3159" s="61" t="str">
        <f aca="false">IF($M3159=0,"",INDEX(Classes!$C$6:$C$420,$M3159))</f>
        <v/>
      </c>
      <c r="F3159" s="63"/>
      <c r="G3159" s="63"/>
      <c r="H3159" s="60"/>
      <c r="I3159" s="60"/>
      <c r="J3159" s="63"/>
      <c r="K3159" s="61" t="str">
        <f aca="false">IF($P3159=0,"",IF($F3159="Baseline","— Baseline",IF($O3159=0,"No result",IF($N3159=0,"No Start (attainment only)",IF(OR($N3159=1,$O3159=1),"U – needs rule",INDEX(MxBody,MATCH($I3159,MxCurr,0),MATCH($H3159,MxStart,0)))))))</f>
        <v/>
      </c>
      <c r="L3159" s="62" t="str">
        <f aca="false">IF(COUNTA($A3159,$F3159,$G3159,$H3159,$I3159,$J3159)=0,"",IF($M3159=0,"✖ كود الصف غير موجود",IF(ISNA(MATCH($F3159,Lists!$A$2:$A$5,0)),"✖ الفترة غير صحيحة",IF(ISNA(MATCH($G3159,Lists!$B$2:$B$7,0)),"✖ المجموعة غير صحيحة",IF(NOT(OR($H3159="",$N3159&gt;0)),"✖ Start غير صحيح",IF(NOT(OR($I3159="",$I3159="NR",$O3159&gt;0)),"✖ Current غير صحيح",IF(NOT(IF(ISNUMBER($J3159),AND($J3159&gt;=0,$J3159=INT($J3159)),FALSE())),"✖ العدد يجب أن يكون صحيحًا ≥ 0",IF(AND($F3159="Baseline",$H3159&lt;&gt;""),"⚠ Baseline: Start لا يدخل في التقدم",IF($K3159="No Start (attainment only)","ℹ تحصيل فقط (بدون Start)",IF($K3159="U – needs rule","ℹ حالة U تحتاج قاعدة معتمدة",IF($K3159="No result","ℹ بدون نتيجة (يُستبعد من التحصيل)","OK")))))))))))</f>
        <v/>
      </c>
      <c r="M3159" s="64" t="n">
        <f aca="false">IF($A3159="",0,IFERROR(MATCH($A3159,Classes!$A$6:$A$420,0),0))</f>
        <v>0</v>
      </c>
      <c r="N3159" s="64" t="n">
        <f aca="false">IF($H3159="",0,IFERROR(MATCH($H3159,GradeList,0),0))</f>
        <v>0</v>
      </c>
      <c r="O3159" s="64" t="n">
        <f aca="false">IF(OR($I3159="",$I3159="NR"),0,IFERROR(MATCH($I3159,GradeList,0),0))</f>
        <v>0</v>
      </c>
      <c r="P3159" s="64" t="n">
        <f aca="false">IF(AND($M3159&gt;0,ISNUMBER(MATCH($F3159,Lists!$A$2:$A$5,0)),ISNUMBER(MATCH($G3159,Lists!$B$2:$B$7,0)),OR($H3159="",$N3159&gt;0),OR($I3159="",$I3159="NR",$O3159&gt;0),IF(ISNUMBER($J3159),AND($J3159&gt;=0,$J3159=INT($J3159)),FALSE())),$J3159,0)</f>
        <v>0</v>
      </c>
      <c r="Q3159" s="64" t="n">
        <f aca="false">IF(AND($P3159&gt;0,$O3159&gt;0),$P3159,0)</f>
        <v>0</v>
      </c>
      <c r="R3159" s="64" t="n">
        <f aca="false">IF(AND($Q3159&gt;0,$O3159&gt;=AtRank),$Q3159,0)</f>
        <v>0</v>
      </c>
      <c r="S3159" s="64" t="n">
        <f aca="false">IF(AND($Q3159&gt;0,$O3159&gt;=AboveRank),$Q3159,0)</f>
        <v>0</v>
      </c>
      <c r="T3159" s="64" t="n">
        <f aca="false">IF($K3159="Less",$P3159,0)</f>
        <v>0</v>
      </c>
      <c r="U3159" s="64" t="n">
        <f aca="false">IF($K3159="Expected",$P3159,0)</f>
        <v>0</v>
      </c>
      <c r="V3159" s="64" t="n">
        <f aca="false">IF($K3159="Better",$P3159,0)</f>
        <v>0</v>
      </c>
      <c r="W3159" s="64" t="n">
        <f aca="false">IF($K3159="U – needs rule",$P3159,0)</f>
        <v>0</v>
      </c>
      <c r="X3159" s="64" t="n">
        <f aca="false">IF($K3159="No Start (attainment only)",$P3159,0)</f>
        <v>0</v>
      </c>
    </row>
    <row r="3160" customFormat="false" ht="15" hidden="false" customHeight="false" outlineLevel="0" collapsed="false">
      <c r="A3160" s="60"/>
      <c r="B3160" s="61" t="str">
        <f aca="false">IF($M3160=0,"",INDEX(Classes!$E$6:$E$420,$M3160))</f>
        <v/>
      </c>
      <c r="C3160" s="62" t="str">
        <f aca="false">IF($M3160=0,"",INDEX(Classes!$H$6:$H$420,$M3160))</f>
        <v/>
      </c>
      <c r="D3160" s="61" t="str">
        <f aca="false">IF($M3160=0,"",INDEX(Classes!$B$6:$B$420,$M3160))</f>
        <v/>
      </c>
      <c r="E3160" s="61" t="str">
        <f aca="false">IF($M3160=0,"",INDEX(Classes!$C$6:$C$420,$M3160))</f>
        <v/>
      </c>
      <c r="F3160" s="63"/>
      <c r="G3160" s="63"/>
      <c r="H3160" s="60"/>
      <c r="I3160" s="60"/>
      <c r="J3160" s="63"/>
      <c r="K3160" s="61" t="str">
        <f aca="false">IF($P3160=0,"",IF($F3160="Baseline","— Baseline",IF($O3160=0,"No result",IF($N3160=0,"No Start (attainment only)",IF(OR($N3160=1,$O3160=1),"U – needs rule",INDEX(MxBody,MATCH($I3160,MxCurr,0),MATCH($H3160,MxStart,0)))))))</f>
        <v/>
      </c>
      <c r="L3160" s="62" t="str">
        <f aca="false">IF(COUNTA($A3160,$F3160,$G3160,$H3160,$I3160,$J3160)=0,"",IF($M3160=0,"✖ كود الصف غير موجود",IF(ISNA(MATCH($F3160,Lists!$A$2:$A$5,0)),"✖ الفترة غير صحيحة",IF(ISNA(MATCH($G3160,Lists!$B$2:$B$7,0)),"✖ المجموعة غير صحيحة",IF(NOT(OR($H3160="",$N3160&gt;0)),"✖ Start غير صحيح",IF(NOT(OR($I3160="",$I3160="NR",$O3160&gt;0)),"✖ Current غير صحيح",IF(NOT(IF(ISNUMBER($J3160),AND($J3160&gt;=0,$J3160=INT($J3160)),FALSE())),"✖ العدد يجب أن يكون صحيحًا ≥ 0",IF(AND($F3160="Baseline",$H3160&lt;&gt;""),"⚠ Baseline: Start لا يدخل في التقدم",IF($K3160="No Start (attainment only)","ℹ تحصيل فقط (بدون Start)",IF($K3160="U – needs rule","ℹ حالة U تحتاج قاعدة معتمدة",IF($K3160="No result","ℹ بدون نتيجة (يُستبعد من التحصيل)","OK")))))))))))</f>
        <v/>
      </c>
      <c r="M3160" s="64" t="n">
        <f aca="false">IF($A3160="",0,IFERROR(MATCH($A3160,Classes!$A$6:$A$420,0),0))</f>
        <v>0</v>
      </c>
      <c r="N3160" s="64" t="n">
        <f aca="false">IF($H3160="",0,IFERROR(MATCH($H3160,GradeList,0),0))</f>
        <v>0</v>
      </c>
      <c r="O3160" s="64" t="n">
        <f aca="false">IF(OR($I3160="",$I3160="NR"),0,IFERROR(MATCH($I3160,GradeList,0),0))</f>
        <v>0</v>
      </c>
      <c r="P3160" s="64" t="n">
        <f aca="false">IF(AND($M3160&gt;0,ISNUMBER(MATCH($F3160,Lists!$A$2:$A$5,0)),ISNUMBER(MATCH($G3160,Lists!$B$2:$B$7,0)),OR($H3160="",$N3160&gt;0),OR($I3160="",$I3160="NR",$O3160&gt;0),IF(ISNUMBER($J3160),AND($J3160&gt;=0,$J3160=INT($J3160)),FALSE())),$J3160,0)</f>
        <v>0</v>
      </c>
      <c r="Q3160" s="64" t="n">
        <f aca="false">IF(AND($P3160&gt;0,$O3160&gt;0),$P3160,0)</f>
        <v>0</v>
      </c>
      <c r="R3160" s="64" t="n">
        <f aca="false">IF(AND($Q3160&gt;0,$O3160&gt;=AtRank),$Q3160,0)</f>
        <v>0</v>
      </c>
      <c r="S3160" s="64" t="n">
        <f aca="false">IF(AND($Q3160&gt;0,$O3160&gt;=AboveRank),$Q3160,0)</f>
        <v>0</v>
      </c>
      <c r="T3160" s="64" t="n">
        <f aca="false">IF($K3160="Less",$P3160,0)</f>
        <v>0</v>
      </c>
      <c r="U3160" s="64" t="n">
        <f aca="false">IF($K3160="Expected",$P3160,0)</f>
        <v>0</v>
      </c>
      <c r="V3160" s="64" t="n">
        <f aca="false">IF($K3160="Better",$P3160,0)</f>
        <v>0</v>
      </c>
      <c r="W3160" s="64" t="n">
        <f aca="false">IF($K3160="U – needs rule",$P3160,0)</f>
        <v>0</v>
      </c>
      <c r="X3160" s="64" t="n">
        <f aca="false">IF($K3160="No Start (attainment only)",$P3160,0)</f>
        <v>0</v>
      </c>
    </row>
    <row r="3161" customFormat="false" ht="15" hidden="false" customHeight="false" outlineLevel="0" collapsed="false">
      <c r="A3161" s="60"/>
      <c r="B3161" s="61" t="str">
        <f aca="false">IF($M3161=0,"",INDEX(Classes!$E$6:$E$420,$M3161))</f>
        <v/>
      </c>
      <c r="C3161" s="62" t="str">
        <f aca="false">IF($M3161=0,"",INDEX(Classes!$H$6:$H$420,$M3161))</f>
        <v/>
      </c>
      <c r="D3161" s="61" t="str">
        <f aca="false">IF($M3161=0,"",INDEX(Classes!$B$6:$B$420,$M3161))</f>
        <v/>
      </c>
      <c r="E3161" s="61" t="str">
        <f aca="false">IF($M3161=0,"",INDEX(Classes!$C$6:$C$420,$M3161))</f>
        <v/>
      </c>
      <c r="F3161" s="63"/>
      <c r="G3161" s="63"/>
      <c r="H3161" s="60"/>
      <c r="I3161" s="60"/>
      <c r="J3161" s="63"/>
      <c r="K3161" s="61" t="str">
        <f aca="false">IF($P3161=0,"",IF($F3161="Baseline","— Baseline",IF($O3161=0,"No result",IF($N3161=0,"No Start (attainment only)",IF(OR($N3161=1,$O3161=1),"U – needs rule",INDEX(MxBody,MATCH($I3161,MxCurr,0),MATCH($H3161,MxStart,0)))))))</f>
        <v/>
      </c>
      <c r="L3161" s="62" t="str">
        <f aca="false">IF(COUNTA($A3161,$F3161,$G3161,$H3161,$I3161,$J3161)=0,"",IF($M3161=0,"✖ كود الصف غير موجود",IF(ISNA(MATCH($F3161,Lists!$A$2:$A$5,0)),"✖ الفترة غير صحيحة",IF(ISNA(MATCH($G3161,Lists!$B$2:$B$7,0)),"✖ المجموعة غير صحيحة",IF(NOT(OR($H3161="",$N3161&gt;0)),"✖ Start غير صحيح",IF(NOT(OR($I3161="",$I3161="NR",$O3161&gt;0)),"✖ Current غير صحيح",IF(NOT(IF(ISNUMBER($J3161),AND($J3161&gt;=0,$J3161=INT($J3161)),FALSE())),"✖ العدد يجب أن يكون صحيحًا ≥ 0",IF(AND($F3161="Baseline",$H3161&lt;&gt;""),"⚠ Baseline: Start لا يدخل في التقدم",IF($K3161="No Start (attainment only)","ℹ تحصيل فقط (بدون Start)",IF($K3161="U – needs rule","ℹ حالة U تحتاج قاعدة معتمدة",IF($K3161="No result","ℹ بدون نتيجة (يُستبعد من التحصيل)","OK")))))))))))</f>
        <v/>
      </c>
      <c r="M3161" s="64" t="n">
        <f aca="false">IF($A3161="",0,IFERROR(MATCH($A3161,Classes!$A$6:$A$420,0),0))</f>
        <v>0</v>
      </c>
      <c r="N3161" s="64" t="n">
        <f aca="false">IF($H3161="",0,IFERROR(MATCH($H3161,GradeList,0),0))</f>
        <v>0</v>
      </c>
      <c r="O3161" s="64" t="n">
        <f aca="false">IF(OR($I3161="",$I3161="NR"),0,IFERROR(MATCH($I3161,GradeList,0),0))</f>
        <v>0</v>
      </c>
      <c r="P3161" s="64" t="n">
        <f aca="false">IF(AND($M3161&gt;0,ISNUMBER(MATCH($F3161,Lists!$A$2:$A$5,0)),ISNUMBER(MATCH($G3161,Lists!$B$2:$B$7,0)),OR($H3161="",$N3161&gt;0),OR($I3161="",$I3161="NR",$O3161&gt;0),IF(ISNUMBER($J3161),AND($J3161&gt;=0,$J3161=INT($J3161)),FALSE())),$J3161,0)</f>
        <v>0</v>
      </c>
      <c r="Q3161" s="64" t="n">
        <f aca="false">IF(AND($P3161&gt;0,$O3161&gt;0),$P3161,0)</f>
        <v>0</v>
      </c>
      <c r="R3161" s="64" t="n">
        <f aca="false">IF(AND($Q3161&gt;0,$O3161&gt;=AtRank),$Q3161,0)</f>
        <v>0</v>
      </c>
      <c r="S3161" s="64" t="n">
        <f aca="false">IF(AND($Q3161&gt;0,$O3161&gt;=AboveRank),$Q3161,0)</f>
        <v>0</v>
      </c>
      <c r="T3161" s="64" t="n">
        <f aca="false">IF($K3161="Less",$P3161,0)</f>
        <v>0</v>
      </c>
      <c r="U3161" s="64" t="n">
        <f aca="false">IF($K3161="Expected",$P3161,0)</f>
        <v>0</v>
      </c>
      <c r="V3161" s="64" t="n">
        <f aca="false">IF($K3161="Better",$P3161,0)</f>
        <v>0</v>
      </c>
      <c r="W3161" s="64" t="n">
        <f aca="false">IF($K3161="U – needs rule",$P3161,0)</f>
        <v>0</v>
      </c>
      <c r="X3161" s="64" t="n">
        <f aca="false">IF($K3161="No Start (attainment only)",$P3161,0)</f>
        <v>0</v>
      </c>
    </row>
    <row r="3162" customFormat="false" ht="15" hidden="false" customHeight="false" outlineLevel="0" collapsed="false">
      <c r="A3162" s="60"/>
      <c r="B3162" s="61" t="str">
        <f aca="false">IF($M3162=0,"",INDEX(Classes!$E$6:$E$420,$M3162))</f>
        <v/>
      </c>
      <c r="C3162" s="62" t="str">
        <f aca="false">IF($M3162=0,"",INDEX(Classes!$H$6:$H$420,$M3162))</f>
        <v/>
      </c>
      <c r="D3162" s="61" t="str">
        <f aca="false">IF($M3162=0,"",INDEX(Classes!$B$6:$B$420,$M3162))</f>
        <v/>
      </c>
      <c r="E3162" s="61" t="str">
        <f aca="false">IF($M3162=0,"",INDEX(Classes!$C$6:$C$420,$M3162))</f>
        <v/>
      </c>
      <c r="F3162" s="63"/>
      <c r="G3162" s="63"/>
      <c r="H3162" s="60"/>
      <c r="I3162" s="60"/>
      <c r="J3162" s="63"/>
      <c r="K3162" s="61" t="str">
        <f aca="false">IF($P3162=0,"",IF($F3162="Baseline","— Baseline",IF($O3162=0,"No result",IF($N3162=0,"No Start (attainment only)",IF(OR($N3162=1,$O3162=1),"U – needs rule",INDEX(MxBody,MATCH($I3162,MxCurr,0),MATCH($H3162,MxStart,0)))))))</f>
        <v/>
      </c>
      <c r="L3162" s="62" t="str">
        <f aca="false">IF(COUNTA($A3162,$F3162,$G3162,$H3162,$I3162,$J3162)=0,"",IF($M3162=0,"✖ كود الصف غير موجود",IF(ISNA(MATCH($F3162,Lists!$A$2:$A$5,0)),"✖ الفترة غير صحيحة",IF(ISNA(MATCH($G3162,Lists!$B$2:$B$7,0)),"✖ المجموعة غير صحيحة",IF(NOT(OR($H3162="",$N3162&gt;0)),"✖ Start غير صحيح",IF(NOT(OR($I3162="",$I3162="NR",$O3162&gt;0)),"✖ Current غير صحيح",IF(NOT(IF(ISNUMBER($J3162),AND($J3162&gt;=0,$J3162=INT($J3162)),FALSE())),"✖ العدد يجب أن يكون صحيحًا ≥ 0",IF(AND($F3162="Baseline",$H3162&lt;&gt;""),"⚠ Baseline: Start لا يدخل في التقدم",IF($K3162="No Start (attainment only)","ℹ تحصيل فقط (بدون Start)",IF($K3162="U – needs rule","ℹ حالة U تحتاج قاعدة معتمدة",IF($K3162="No result","ℹ بدون نتيجة (يُستبعد من التحصيل)","OK")))))))))))</f>
        <v/>
      </c>
      <c r="M3162" s="64" t="n">
        <f aca="false">IF($A3162="",0,IFERROR(MATCH($A3162,Classes!$A$6:$A$420,0),0))</f>
        <v>0</v>
      </c>
      <c r="N3162" s="64" t="n">
        <f aca="false">IF($H3162="",0,IFERROR(MATCH($H3162,GradeList,0),0))</f>
        <v>0</v>
      </c>
      <c r="O3162" s="64" t="n">
        <f aca="false">IF(OR($I3162="",$I3162="NR"),0,IFERROR(MATCH($I3162,GradeList,0),0))</f>
        <v>0</v>
      </c>
      <c r="P3162" s="64" t="n">
        <f aca="false">IF(AND($M3162&gt;0,ISNUMBER(MATCH($F3162,Lists!$A$2:$A$5,0)),ISNUMBER(MATCH($G3162,Lists!$B$2:$B$7,0)),OR($H3162="",$N3162&gt;0),OR($I3162="",$I3162="NR",$O3162&gt;0),IF(ISNUMBER($J3162),AND($J3162&gt;=0,$J3162=INT($J3162)),FALSE())),$J3162,0)</f>
        <v>0</v>
      </c>
      <c r="Q3162" s="64" t="n">
        <f aca="false">IF(AND($P3162&gt;0,$O3162&gt;0),$P3162,0)</f>
        <v>0</v>
      </c>
      <c r="R3162" s="64" t="n">
        <f aca="false">IF(AND($Q3162&gt;0,$O3162&gt;=AtRank),$Q3162,0)</f>
        <v>0</v>
      </c>
      <c r="S3162" s="64" t="n">
        <f aca="false">IF(AND($Q3162&gt;0,$O3162&gt;=AboveRank),$Q3162,0)</f>
        <v>0</v>
      </c>
      <c r="T3162" s="64" t="n">
        <f aca="false">IF($K3162="Less",$P3162,0)</f>
        <v>0</v>
      </c>
      <c r="U3162" s="64" t="n">
        <f aca="false">IF($K3162="Expected",$P3162,0)</f>
        <v>0</v>
      </c>
      <c r="V3162" s="64" t="n">
        <f aca="false">IF($K3162="Better",$P3162,0)</f>
        <v>0</v>
      </c>
      <c r="W3162" s="64" t="n">
        <f aca="false">IF($K3162="U – needs rule",$P3162,0)</f>
        <v>0</v>
      </c>
      <c r="X3162" s="64" t="n">
        <f aca="false">IF($K3162="No Start (attainment only)",$P3162,0)</f>
        <v>0</v>
      </c>
    </row>
    <row r="3163" customFormat="false" ht="15" hidden="false" customHeight="false" outlineLevel="0" collapsed="false">
      <c r="A3163" s="60"/>
      <c r="B3163" s="61" t="str">
        <f aca="false">IF($M3163=0,"",INDEX(Classes!$E$6:$E$420,$M3163))</f>
        <v/>
      </c>
      <c r="C3163" s="62" t="str">
        <f aca="false">IF($M3163=0,"",INDEX(Classes!$H$6:$H$420,$M3163))</f>
        <v/>
      </c>
      <c r="D3163" s="61" t="str">
        <f aca="false">IF($M3163=0,"",INDEX(Classes!$B$6:$B$420,$M3163))</f>
        <v/>
      </c>
      <c r="E3163" s="61" t="str">
        <f aca="false">IF($M3163=0,"",INDEX(Classes!$C$6:$C$420,$M3163))</f>
        <v/>
      </c>
      <c r="F3163" s="63"/>
      <c r="G3163" s="63"/>
      <c r="H3163" s="60"/>
      <c r="I3163" s="60"/>
      <c r="J3163" s="63"/>
      <c r="K3163" s="61" t="str">
        <f aca="false">IF($P3163=0,"",IF($F3163="Baseline","— Baseline",IF($O3163=0,"No result",IF($N3163=0,"No Start (attainment only)",IF(OR($N3163=1,$O3163=1),"U – needs rule",INDEX(MxBody,MATCH($I3163,MxCurr,0),MATCH($H3163,MxStart,0)))))))</f>
        <v/>
      </c>
      <c r="L3163" s="62" t="str">
        <f aca="false">IF(COUNTA($A3163,$F3163,$G3163,$H3163,$I3163,$J3163)=0,"",IF($M3163=0,"✖ كود الصف غير موجود",IF(ISNA(MATCH($F3163,Lists!$A$2:$A$5,0)),"✖ الفترة غير صحيحة",IF(ISNA(MATCH($G3163,Lists!$B$2:$B$7,0)),"✖ المجموعة غير صحيحة",IF(NOT(OR($H3163="",$N3163&gt;0)),"✖ Start غير صحيح",IF(NOT(OR($I3163="",$I3163="NR",$O3163&gt;0)),"✖ Current غير صحيح",IF(NOT(IF(ISNUMBER($J3163),AND($J3163&gt;=0,$J3163=INT($J3163)),FALSE())),"✖ العدد يجب أن يكون صحيحًا ≥ 0",IF(AND($F3163="Baseline",$H3163&lt;&gt;""),"⚠ Baseline: Start لا يدخل في التقدم",IF($K3163="No Start (attainment only)","ℹ تحصيل فقط (بدون Start)",IF($K3163="U – needs rule","ℹ حالة U تحتاج قاعدة معتمدة",IF($K3163="No result","ℹ بدون نتيجة (يُستبعد من التحصيل)","OK")))))))))))</f>
        <v/>
      </c>
      <c r="M3163" s="64" t="n">
        <f aca="false">IF($A3163="",0,IFERROR(MATCH($A3163,Classes!$A$6:$A$420,0),0))</f>
        <v>0</v>
      </c>
      <c r="N3163" s="64" t="n">
        <f aca="false">IF($H3163="",0,IFERROR(MATCH($H3163,GradeList,0),0))</f>
        <v>0</v>
      </c>
      <c r="O3163" s="64" t="n">
        <f aca="false">IF(OR($I3163="",$I3163="NR"),0,IFERROR(MATCH($I3163,GradeList,0),0))</f>
        <v>0</v>
      </c>
      <c r="P3163" s="64" t="n">
        <f aca="false">IF(AND($M3163&gt;0,ISNUMBER(MATCH($F3163,Lists!$A$2:$A$5,0)),ISNUMBER(MATCH($G3163,Lists!$B$2:$B$7,0)),OR($H3163="",$N3163&gt;0),OR($I3163="",$I3163="NR",$O3163&gt;0),IF(ISNUMBER($J3163),AND($J3163&gt;=0,$J3163=INT($J3163)),FALSE())),$J3163,0)</f>
        <v>0</v>
      </c>
      <c r="Q3163" s="64" t="n">
        <f aca="false">IF(AND($P3163&gt;0,$O3163&gt;0),$P3163,0)</f>
        <v>0</v>
      </c>
      <c r="R3163" s="64" t="n">
        <f aca="false">IF(AND($Q3163&gt;0,$O3163&gt;=AtRank),$Q3163,0)</f>
        <v>0</v>
      </c>
      <c r="S3163" s="64" t="n">
        <f aca="false">IF(AND($Q3163&gt;0,$O3163&gt;=AboveRank),$Q3163,0)</f>
        <v>0</v>
      </c>
      <c r="T3163" s="64" t="n">
        <f aca="false">IF($K3163="Less",$P3163,0)</f>
        <v>0</v>
      </c>
      <c r="U3163" s="64" t="n">
        <f aca="false">IF($K3163="Expected",$P3163,0)</f>
        <v>0</v>
      </c>
      <c r="V3163" s="64" t="n">
        <f aca="false">IF($K3163="Better",$P3163,0)</f>
        <v>0</v>
      </c>
      <c r="W3163" s="64" t="n">
        <f aca="false">IF($K3163="U – needs rule",$P3163,0)</f>
        <v>0</v>
      </c>
      <c r="X3163" s="64" t="n">
        <f aca="false">IF($K3163="No Start (attainment only)",$P3163,0)</f>
        <v>0</v>
      </c>
    </row>
    <row r="3164" customFormat="false" ht="15" hidden="false" customHeight="false" outlineLevel="0" collapsed="false">
      <c r="A3164" s="60"/>
      <c r="B3164" s="61" t="str">
        <f aca="false">IF($M3164=0,"",INDEX(Classes!$E$6:$E$420,$M3164))</f>
        <v/>
      </c>
      <c r="C3164" s="62" t="str">
        <f aca="false">IF($M3164=0,"",INDEX(Classes!$H$6:$H$420,$M3164))</f>
        <v/>
      </c>
      <c r="D3164" s="61" t="str">
        <f aca="false">IF($M3164=0,"",INDEX(Classes!$B$6:$B$420,$M3164))</f>
        <v/>
      </c>
      <c r="E3164" s="61" t="str">
        <f aca="false">IF($M3164=0,"",INDEX(Classes!$C$6:$C$420,$M3164))</f>
        <v/>
      </c>
      <c r="F3164" s="63"/>
      <c r="G3164" s="63"/>
      <c r="H3164" s="60"/>
      <c r="I3164" s="60"/>
      <c r="J3164" s="63"/>
      <c r="K3164" s="61" t="str">
        <f aca="false">IF($P3164=0,"",IF($F3164="Baseline","— Baseline",IF($O3164=0,"No result",IF($N3164=0,"No Start (attainment only)",IF(OR($N3164=1,$O3164=1),"U – needs rule",INDEX(MxBody,MATCH($I3164,MxCurr,0),MATCH($H3164,MxStart,0)))))))</f>
        <v/>
      </c>
      <c r="L3164" s="62" t="str">
        <f aca="false">IF(COUNTA($A3164,$F3164,$G3164,$H3164,$I3164,$J3164)=0,"",IF($M3164=0,"✖ كود الصف غير موجود",IF(ISNA(MATCH($F3164,Lists!$A$2:$A$5,0)),"✖ الفترة غير صحيحة",IF(ISNA(MATCH($G3164,Lists!$B$2:$B$7,0)),"✖ المجموعة غير صحيحة",IF(NOT(OR($H3164="",$N3164&gt;0)),"✖ Start غير صحيح",IF(NOT(OR($I3164="",$I3164="NR",$O3164&gt;0)),"✖ Current غير صحيح",IF(NOT(IF(ISNUMBER($J3164),AND($J3164&gt;=0,$J3164=INT($J3164)),FALSE())),"✖ العدد يجب أن يكون صحيحًا ≥ 0",IF(AND($F3164="Baseline",$H3164&lt;&gt;""),"⚠ Baseline: Start لا يدخل في التقدم",IF($K3164="No Start (attainment only)","ℹ تحصيل فقط (بدون Start)",IF($K3164="U – needs rule","ℹ حالة U تحتاج قاعدة معتمدة",IF($K3164="No result","ℹ بدون نتيجة (يُستبعد من التحصيل)","OK")))))))))))</f>
        <v/>
      </c>
      <c r="M3164" s="64" t="n">
        <f aca="false">IF($A3164="",0,IFERROR(MATCH($A3164,Classes!$A$6:$A$420,0),0))</f>
        <v>0</v>
      </c>
      <c r="N3164" s="64" t="n">
        <f aca="false">IF($H3164="",0,IFERROR(MATCH($H3164,GradeList,0),0))</f>
        <v>0</v>
      </c>
      <c r="O3164" s="64" t="n">
        <f aca="false">IF(OR($I3164="",$I3164="NR"),0,IFERROR(MATCH($I3164,GradeList,0),0))</f>
        <v>0</v>
      </c>
      <c r="P3164" s="64" t="n">
        <f aca="false">IF(AND($M3164&gt;0,ISNUMBER(MATCH($F3164,Lists!$A$2:$A$5,0)),ISNUMBER(MATCH($G3164,Lists!$B$2:$B$7,0)),OR($H3164="",$N3164&gt;0),OR($I3164="",$I3164="NR",$O3164&gt;0),IF(ISNUMBER($J3164),AND($J3164&gt;=0,$J3164=INT($J3164)),FALSE())),$J3164,0)</f>
        <v>0</v>
      </c>
      <c r="Q3164" s="64" t="n">
        <f aca="false">IF(AND($P3164&gt;0,$O3164&gt;0),$P3164,0)</f>
        <v>0</v>
      </c>
      <c r="R3164" s="64" t="n">
        <f aca="false">IF(AND($Q3164&gt;0,$O3164&gt;=AtRank),$Q3164,0)</f>
        <v>0</v>
      </c>
      <c r="S3164" s="64" t="n">
        <f aca="false">IF(AND($Q3164&gt;0,$O3164&gt;=AboveRank),$Q3164,0)</f>
        <v>0</v>
      </c>
      <c r="T3164" s="64" t="n">
        <f aca="false">IF($K3164="Less",$P3164,0)</f>
        <v>0</v>
      </c>
      <c r="U3164" s="64" t="n">
        <f aca="false">IF($K3164="Expected",$P3164,0)</f>
        <v>0</v>
      </c>
      <c r="V3164" s="64" t="n">
        <f aca="false">IF($K3164="Better",$P3164,0)</f>
        <v>0</v>
      </c>
      <c r="W3164" s="64" t="n">
        <f aca="false">IF($K3164="U – needs rule",$P3164,0)</f>
        <v>0</v>
      </c>
      <c r="X3164" s="64" t="n">
        <f aca="false">IF($K3164="No Start (attainment only)",$P3164,0)</f>
        <v>0</v>
      </c>
    </row>
    <row r="3165" customFormat="false" ht="15" hidden="false" customHeight="false" outlineLevel="0" collapsed="false">
      <c r="A3165" s="60"/>
      <c r="B3165" s="61" t="str">
        <f aca="false">IF($M3165=0,"",INDEX(Classes!$E$6:$E$420,$M3165))</f>
        <v/>
      </c>
      <c r="C3165" s="62" t="str">
        <f aca="false">IF($M3165=0,"",INDEX(Classes!$H$6:$H$420,$M3165))</f>
        <v/>
      </c>
      <c r="D3165" s="61" t="str">
        <f aca="false">IF($M3165=0,"",INDEX(Classes!$B$6:$B$420,$M3165))</f>
        <v/>
      </c>
      <c r="E3165" s="61" t="str">
        <f aca="false">IF($M3165=0,"",INDEX(Classes!$C$6:$C$420,$M3165))</f>
        <v/>
      </c>
      <c r="F3165" s="63"/>
      <c r="G3165" s="63"/>
      <c r="H3165" s="60"/>
      <c r="I3165" s="60"/>
      <c r="J3165" s="63"/>
      <c r="K3165" s="61" t="str">
        <f aca="false">IF($P3165=0,"",IF($F3165="Baseline","— Baseline",IF($O3165=0,"No result",IF($N3165=0,"No Start (attainment only)",IF(OR($N3165=1,$O3165=1),"U – needs rule",INDEX(MxBody,MATCH($I3165,MxCurr,0),MATCH($H3165,MxStart,0)))))))</f>
        <v/>
      </c>
      <c r="L3165" s="62" t="str">
        <f aca="false">IF(COUNTA($A3165,$F3165,$G3165,$H3165,$I3165,$J3165)=0,"",IF($M3165=0,"✖ كود الصف غير موجود",IF(ISNA(MATCH($F3165,Lists!$A$2:$A$5,0)),"✖ الفترة غير صحيحة",IF(ISNA(MATCH($G3165,Lists!$B$2:$B$7,0)),"✖ المجموعة غير صحيحة",IF(NOT(OR($H3165="",$N3165&gt;0)),"✖ Start غير صحيح",IF(NOT(OR($I3165="",$I3165="NR",$O3165&gt;0)),"✖ Current غير صحيح",IF(NOT(IF(ISNUMBER($J3165),AND($J3165&gt;=0,$J3165=INT($J3165)),FALSE())),"✖ العدد يجب أن يكون صحيحًا ≥ 0",IF(AND($F3165="Baseline",$H3165&lt;&gt;""),"⚠ Baseline: Start لا يدخل في التقدم",IF($K3165="No Start (attainment only)","ℹ تحصيل فقط (بدون Start)",IF($K3165="U – needs rule","ℹ حالة U تحتاج قاعدة معتمدة",IF($K3165="No result","ℹ بدون نتيجة (يُستبعد من التحصيل)","OK")))))))))))</f>
        <v/>
      </c>
      <c r="M3165" s="64" t="n">
        <f aca="false">IF($A3165="",0,IFERROR(MATCH($A3165,Classes!$A$6:$A$420,0),0))</f>
        <v>0</v>
      </c>
      <c r="N3165" s="64" t="n">
        <f aca="false">IF($H3165="",0,IFERROR(MATCH($H3165,GradeList,0),0))</f>
        <v>0</v>
      </c>
      <c r="O3165" s="64" t="n">
        <f aca="false">IF(OR($I3165="",$I3165="NR"),0,IFERROR(MATCH($I3165,GradeList,0),0))</f>
        <v>0</v>
      </c>
      <c r="P3165" s="64" t="n">
        <f aca="false">IF(AND($M3165&gt;0,ISNUMBER(MATCH($F3165,Lists!$A$2:$A$5,0)),ISNUMBER(MATCH($G3165,Lists!$B$2:$B$7,0)),OR($H3165="",$N3165&gt;0),OR($I3165="",$I3165="NR",$O3165&gt;0),IF(ISNUMBER($J3165),AND($J3165&gt;=0,$J3165=INT($J3165)),FALSE())),$J3165,0)</f>
        <v>0</v>
      </c>
      <c r="Q3165" s="64" t="n">
        <f aca="false">IF(AND($P3165&gt;0,$O3165&gt;0),$P3165,0)</f>
        <v>0</v>
      </c>
      <c r="R3165" s="64" t="n">
        <f aca="false">IF(AND($Q3165&gt;0,$O3165&gt;=AtRank),$Q3165,0)</f>
        <v>0</v>
      </c>
      <c r="S3165" s="64" t="n">
        <f aca="false">IF(AND($Q3165&gt;0,$O3165&gt;=AboveRank),$Q3165,0)</f>
        <v>0</v>
      </c>
      <c r="T3165" s="64" t="n">
        <f aca="false">IF($K3165="Less",$P3165,0)</f>
        <v>0</v>
      </c>
      <c r="U3165" s="64" t="n">
        <f aca="false">IF($K3165="Expected",$P3165,0)</f>
        <v>0</v>
      </c>
      <c r="V3165" s="64" t="n">
        <f aca="false">IF($K3165="Better",$P3165,0)</f>
        <v>0</v>
      </c>
      <c r="W3165" s="64" t="n">
        <f aca="false">IF($K3165="U – needs rule",$P3165,0)</f>
        <v>0</v>
      </c>
      <c r="X3165" s="64" t="n">
        <f aca="false">IF($K3165="No Start (attainment only)",$P3165,0)</f>
        <v>0</v>
      </c>
    </row>
    <row r="3166" customFormat="false" ht="15" hidden="false" customHeight="false" outlineLevel="0" collapsed="false">
      <c r="A3166" s="60"/>
      <c r="B3166" s="61" t="str">
        <f aca="false">IF($M3166=0,"",INDEX(Classes!$E$6:$E$420,$M3166))</f>
        <v/>
      </c>
      <c r="C3166" s="62" t="str">
        <f aca="false">IF($M3166=0,"",INDEX(Classes!$H$6:$H$420,$M3166))</f>
        <v/>
      </c>
      <c r="D3166" s="61" t="str">
        <f aca="false">IF($M3166=0,"",INDEX(Classes!$B$6:$B$420,$M3166))</f>
        <v/>
      </c>
      <c r="E3166" s="61" t="str">
        <f aca="false">IF($M3166=0,"",INDEX(Classes!$C$6:$C$420,$M3166))</f>
        <v/>
      </c>
      <c r="F3166" s="63"/>
      <c r="G3166" s="63"/>
      <c r="H3166" s="60"/>
      <c r="I3166" s="60"/>
      <c r="J3166" s="63"/>
      <c r="K3166" s="61" t="str">
        <f aca="false">IF($P3166=0,"",IF($F3166="Baseline","— Baseline",IF($O3166=0,"No result",IF($N3166=0,"No Start (attainment only)",IF(OR($N3166=1,$O3166=1),"U – needs rule",INDEX(MxBody,MATCH($I3166,MxCurr,0),MATCH($H3166,MxStart,0)))))))</f>
        <v/>
      </c>
      <c r="L3166" s="62" t="str">
        <f aca="false">IF(COUNTA($A3166,$F3166,$G3166,$H3166,$I3166,$J3166)=0,"",IF($M3166=0,"✖ كود الصف غير موجود",IF(ISNA(MATCH($F3166,Lists!$A$2:$A$5,0)),"✖ الفترة غير صحيحة",IF(ISNA(MATCH($G3166,Lists!$B$2:$B$7,0)),"✖ المجموعة غير صحيحة",IF(NOT(OR($H3166="",$N3166&gt;0)),"✖ Start غير صحيح",IF(NOT(OR($I3166="",$I3166="NR",$O3166&gt;0)),"✖ Current غير صحيح",IF(NOT(IF(ISNUMBER($J3166),AND($J3166&gt;=0,$J3166=INT($J3166)),FALSE())),"✖ العدد يجب أن يكون صحيحًا ≥ 0",IF(AND($F3166="Baseline",$H3166&lt;&gt;""),"⚠ Baseline: Start لا يدخل في التقدم",IF($K3166="No Start (attainment only)","ℹ تحصيل فقط (بدون Start)",IF($K3166="U – needs rule","ℹ حالة U تحتاج قاعدة معتمدة",IF($K3166="No result","ℹ بدون نتيجة (يُستبعد من التحصيل)","OK")))))))))))</f>
        <v/>
      </c>
      <c r="M3166" s="64" t="n">
        <f aca="false">IF($A3166="",0,IFERROR(MATCH($A3166,Classes!$A$6:$A$420,0),0))</f>
        <v>0</v>
      </c>
      <c r="N3166" s="64" t="n">
        <f aca="false">IF($H3166="",0,IFERROR(MATCH($H3166,GradeList,0),0))</f>
        <v>0</v>
      </c>
      <c r="O3166" s="64" t="n">
        <f aca="false">IF(OR($I3166="",$I3166="NR"),0,IFERROR(MATCH($I3166,GradeList,0),0))</f>
        <v>0</v>
      </c>
      <c r="P3166" s="64" t="n">
        <f aca="false">IF(AND($M3166&gt;0,ISNUMBER(MATCH($F3166,Lists!$A$2:$A$5,0)),ISNUMBER(MATCH($G3166,Lists!$B$2:$B$7,0)),OR($H3166="",$N3166&gt;0),OR($I3166="",$I3166="NR",$O3166&gt;0),IF(ISNUMBER($J3166),AND($J3166&gt;=0,$J3166=INT($J3166)),FALSE())),$J3166,0)</f>
        <v>0</v>
      </c>
      <c r="Q3166" s="64" t="n">
        <f aca="false">IF(AND($P3166&gt;0,$O3166&gt;0),$P3166,0)</f>
        <v>0</v>
      </c>
      <c r="R3166" s="64" t="n">
        <f aca="false">IF(AND($Q3166&gt;0,$O3166&gt;=AtRank),$Q3166,0)</f>
        <v>0</v>
      </c>
      <c r="S3166" s="64" t="n">
        <f aca="false">IF(AND($Q3166&gt;0,$O3166&gt;=AboveRank),$Q3166,0)</f>
        <v>0</v>
      </c>
      <c r="T3166" s="64" t="n">
        <f aca="false">IF($K3166="Less",$P3166,0)</f>
        <v>0</v>
      </c>
      <c r="U3166" s="64" t="n">
        <f aca="false">IF($K3166="Expected",$P3166,0)</f>
        <v>0</v>
      </c>
      <c r="V3166" s="64" t="n">
        <f aca="false">IF($K3166="Better",$P3166,0)</f>
        <v>0</v>
      </c>
      <c r="W3166" s="64" t="n">
        <f aca="false">IF($K3166="U – needs rule",$P3166,0)</f>
        <v>0</v>
      </c>
      <c r="X3166" s="64" t="n">
        <f aca="false">IF($K3166="No Start (attainment only)",$P3166,0)</f>
        <v>0</v>
      </c>
    </row>
    <row r="3167" customFormat="false" ht="15" hidden="false" customHeight="false" outlineLevel="0" collapsed="false">
      <c r="A3167" s="60"/>
      <c r="B3167" s="61" t="str">
        <f aca="false">IF($M3167=0,"",INDEX(Classes!$E$6:$E$420,$M3167))</f>
        <v/>
      </c>
      <c r="C3167" s="62" t="str">
        <f aca="false">IF($M3167=0,"",INDEX(Classes!$H$6:$H$420,$M3167))</f>
        <v/>
      </c>
      <c r="D3167" s="61" t="str">
        <f aca="false">IF($M3167=0,"",INDEX(Classes!$B$6:$B$420,$M3167))</f>
        <v/>
      </c>
      <c r="E3167" s="61" t="str">
        <f aca="false">IF($M3167=0,"",INDEX(Classes!$C$6:$C$420,$M3167))</f>
        <v/>
      </c>
      <c r="F3167" s="63"/>
      <c r="G3167" s="63"/>
      <c r="H3167" s="60"/>
      <c r="I3167" s="60"/>
      <c r="J3167" s="63"/>
      <c r="K3167" s="61" t="str">
        <f aca="false">IF($P3167=0,"",IF($F3167="Baseline","— Baseline",IF($O3167=0,"No result",IF($N3167=0,"No Start (attainment only)",IF(OR($N3167=1,$O3167=1),"U – needs rule",INDEX(MxBody,MATCH($I3167,MxCurr,0),MATCH($H3167,MxStart,0)))))))</f>
        <v/>
      </c>
      <c r="L3167" s="62" t="str">
        <f aca="false">IF(COUNTA($A3167,$F3167,$G3167,$H3167,$I3167,$J3167)=0,"",IF($M3167=0,"✖ كود الصف غير موجود",IF(ISNA(MATCH($F3167,Lists!$A$2:$A$5,0)),"✖ الفترة غير صحيحة",IF(ISNA(MATCH($G3167,Lists!$B$2:$B$7,0)),"✖ المجموعة غير صحيحة",IF(NOT(OR($H3167="",$N3167&gt;0)),"✖ Start غير صحيح",IF(NOT(OR($I3167="",$I3167="NR",$O3167&gt;0)),"✖ Current غير صحيح",IF(NOT(IF(ISNUMBER($J3167),AND($J3167&gt;=0,$J3167=INT($J3167)),FALSE())),"✖ العدد يجب أن يكون صحيحًا ≥ 0",IF(AND($F3167="Baseline",$H3167&lt;&gt;""),"⚠ Baseline: Start لا يدخل في التقدم",IF($K3167="No Start (attainment only)","ℹ تحصيل فقط (بدون Start)",IF($K3167="U – needs rule","ℹ حالة U تحتاج قاعدة معتمدة",IF($K3167="No result","ℹ بدون نتيجة (يُستبعد من التحصيل)","OK")))))))))))</f>
        <v/>
      </c>
      <c r="M3167" s="64" t="n">
        <f aca="false">IF($A3167="",0,IFERROR(MATCH($A3167,Classes!$A$6:$A$420,0),0))</f>
        <v>0</v>
      </c>
      <c r="N3167" s="64" t="n">
        <f aca="false">IF($H3167="",0,IFERROR(MATCH($H3167,GradeList,0),0))</f>
        <v>0</v>
      </c>
      <c r="O3167" s="64" t="n">
        <f aca="false">IF(OR($I3167="",$I3167="NR"),0,IFERROR(MATCH($I3167,GradeList,0),0))</f>
        <v>0</v>
      </c>
      <c r="P3167" s="64" t="n">
        <f aca="false">IF(AND($M3167&gt;0,ISNUMBER(MATCH($F3167,Lists!$A$2:$A$5,0)),ISNUMBER(MATCH($G3167,Lists!$B$2:$B$7,0)),OR($H3167="",$N3167&gt;0),OR($I3167="",$I3167="NR",$O3167&gt;0),IF(ISNUMBER($J3167),AND($J3167&gt;=0,$J3167=INT($J3167)),FALSE())),$J3167,0)</f>
        <v>0</v>
      </c>
      <c r="Q3167" s="64" t="n">
        <f aca="false">IF(AND($P3167&gt;0,$O3167&gt;0),$P3167,0)</f>
        <v>0</v>
      </c>
      <c r="R3167" s="64" t="n">
        <f aca="false">IF(AND($Q3167&gt;0,$O3167&gt;=AtRank),$Q3167,0)</f>
        <v>0</v>
      </c>
      <c r="S3167" s="64" t="n">
        <f aca="false">IF(AND($Q3167&gt;0,$O3167&gt;=AboveRank),$Q3167,0)</f>
        <v>0</v>
      </c>
      <c r="T3167" s="64" t="n">
        <f aca="false">IF($K3167="Less",$P3167,0)</f>
        <v>0</v>
      </c>
      <c r="U3167" s="64" t="n">
        <f aca="false">IF($K3167="Expected",$P3167,0)</f>
        <v>0</v>
      </c>
      <c r="V3167" s="64" t="n">
        <f aca="false">IF($K3167="Better",$P3167,0)</f>
        <v>0</v>
      </c>
      <c r="W3167" s="64" t="n">
        <f aca="false">IF($K3167="U – needs rule",$P3167,0)</f>
        <v>0</v>
      </c>
      <c r="X3167" s="64" t="n">
        <f aca="false">IF($K3167="No Start (attainment only)",$P3167,0)</f>
        <v>0</v>
      </c>
    </row>
    <row r="3168" customFormat="false" ht="15" hidden="false" customHeight="false" outlineLevel="0" collapsed="false">
      <c r="A3168" s="60"/>
      <c r="B3168" s="61" t="str">
        <f aca="false">IF($M3168=0,"",INDEX(Classes!$E$6:$E$420,$M3168))</f>
        <v/>
      </c>
      <c r="C3168" s="62" t="str">
        <f aca="false">IF($M3168=0,"",INDEX(Classes!$H$6:$H$420,$M3168))</f>
        <v/>
      </c>
      <c r="D3168" s="61" t="str">
        <f aca="false">IF($M3168=0,"",INDEX(Classes!$B$6:$B$420,$M3168))</f>
        <v/>
      </c>
      <c r="E3168" s="61" t="str">
        <f aca="false">IF($M3168=0,"",INDEX(Classes!$C$6:$C$420,$M3168))</f>
        <v/>
      </c>
      <c r="F3168" s="63"/>
      <c r="G3168" s="63"/>
      <c r="H3168" s="60"/>
      <c r="I3168" s="60"/>
      <c r="J3168" s="63"/>
      <c r="K3168" s="61" t="str">
        <f aca="false">IF($P3168=0,"",IF($F3168="Baseline","— Baseline",IF($O3168=0,"No result",IF($N3168=0,"No Start (attainment only)",IF(OR($N3168=1,$O3168=1),"U – needs rule",INDEX(MxBody,MATCH($I3168,MxCurr,0),MATCH($H3168,MxStart,0)))))))</f>
        <v/>
      </c>
      <c r="L3168" s="62" t="str">
        <f aca="false">IF(COUNTA($A3168,$F3168,$G3168,$H3168,$I3168,$J3168)=0,"",IF($M3168=0,"✖ كود الصف غير موجود",IF(ISNA(MATCH($F3168,Lists!$A$2:$A$5,0)),"✖ الفترة غير صحيحة",IF(ISNA(MATCH($G3168,Lists!$B$2:$B$7,0)),"✖ المجموعة غير صحيحة",IF(NOT(OR($H3168="",$N3168&gt;0)),"✖ Start غير صحيح",IF(NOT(OR($I3168="",$I3168="NR",$O3168&gt;0)),"✖ Current غير صحيح",IF(NOT(IF(ISNUMBER($J3168),AND($J3168&gt;=0,$J3168=INT($J3168)),FALSE())),"✖ العدد يجب أن يكون صحيحًا ≥ 0",IF(AND($F3168="Baseline",$H3168&lt;&gt;""),"⚠ Baseline: Start لا يدخل في التقدم",IF($K3168="No Start (attainment only)","ℹ تحصيل فقط (بدون Start)",IF($K3168="U – needs rule","ℹ حالة U تحتاج قاعدة معتمدة",IF($K3168="No result","ℹ بدون نتيجة (يُستبعد من التحصيل)","OK")))))))))))</f>
        <v/>
      </c>
      <c r="M3168" s="64" t="n">
        <f aca="false">IF($A3168="",0,IFERROR(MATCH($A3168,Classes!$A$6:$A$420,0),0))</f>
        <v>0</v>
      </c>
      <c r="N3168" s="64" t="n">
        <f aca="false">IF($H3168="",0,IFERROR(MATCH($H3168,GradeList,0),0))</f>
        <v>0</v>
      </c>
      <c r="O3168" s="64" t="n">
        <f aca="false">IF(OR($I3168="",$I3168="NR"),0,IFERROR(MATCH($I3168,GradeList,0),0))</f>
        <v>0</v>
      </c>
      <c r="P3168" s="64" t="n">
        <f aca="false">IF(AND($M3168&gt;0,ISNUMBER(MATCH($F3168,Lists!$A$2:$A$5,0)),ISNUMBER(MATCH($G3168,Lists!$B$2:$B$7,0)),OR($H3168="",$N3168&gt;0),OR($I3168="",$I3168="NR",$O3168&gt;0),IF(ISNUMBER($J3168),AND($J3168&gt;=0,$J3168=INT($J3168)),FALSE())),$J3168,0)</f>
        <v>0</v>
      </c>
      <c r="Q3168" s="64" t="n">
        <f aca="false">IF(AND($P3168&gt;0,$O3168&gt;0),$P3168,0)</f>
        <v>0</v>
      </c>
      <c r="R3168" s="64" t="n">
        <f aca="false">IF(AND($Q3168&gt;0,$O3168&gt;=AtRank),$Q3168,0)</f>
        <v>0</v>
      </c>
      <c r="S3168" s="64" t="n">
        <f aca="false">IF(AND($Q3168&gt;0,$O3168&gt;=AboveRank),$Q3168,0)</f>
        <v>0</v>
      </c>
      <c r="T3168" s="64" t="n">
        <f aca="false">IF($K3168="Less",$P3168,0)</f>
        <v>0</v>
      </c>
      <c r="U3168" s="64" t="n">
        <f aca="false">IF($K3168="Expected",$P3168,0)</f>
        <v>0</v>
      </c>
      <c r="V3168" s="64" t="n">
        <f aca="false">IF($K3168="Better",$P3168,0)</f>
        <v>0</v>
      </c>
      <c r="W3168" s="64" t="n">
        <f aca="false">IF($K3168="U – needs rule",$P3168,0)</f>
        <v>0</v>
      </c>
      <c r="X3168" s="64" t="n">
        <f aca="false">IF($K3168="No Start (attainment only)",$P3168,0)</f>
        <v>0</v>
      </c>
    </row>
    <row r="3169" customFormat="false" ht="15" hidden="false" customHeight="false" outlineLevel="0" collapsed="false">
      <c r="A3169" s="60"/>
      <c r="B3169" s="61" t="str">
        <f aca="false">IF($M3169=0,"",INDEX(Classes!$E$6:$E$420,$M3169))</f>
        <v/>
      </c>
      <c r="C3169" s="62" t="str">
        <f aca="false">IF($M3169=0,"",INDEX(Classes!$H$6:$H$420,$M3169))</f>
        <v/>
      </c>
      <c r="D3169" s="61" t="str">
        <f aca="false">IF($M3169=0,"",INDEX(Classes!$B$6:$B$420,$M3169))</f>
        <v/>
      </c>
      <c r="E3169" s="61" t="str">
        <f aca="false">IF($M3169=0,"",INDEX(Classes!$C$6:$C$420,$M3169))</f>
        <v/>
      </c>
      <c r="F3169" s="63"/>
      <c r="G3169" s="63"/>
      <c r="H3169" s="60"/>
      <c r="I3169" s="60"/>
      <c r="J3169" s="63"/>
      <c r="K3169" s="61" t="str">
        <f aca="false">IF($P3169=0,"",IF($F3169="Baseline","— Baseline",IF($O3169=0,"No result",IF($N3169=0,"No Start (attainment only)",IF(OR($N3169=1,$O3169=1),"U – needs rule",INDEX(MxBody,MATCH($I3169,MxCurr,0),MATCH($H3169,MxStart,0)))))))</f>
        <v/>
      </c>
      <c r="L3169" s="62" t="str">
        <f aca="false">IF(COUNTA($A3169,$F3169,$G3169,$H3169,$I3169,$J3169)=0,"",IF($M3169=0,"✖ كود الصف غير موجود",IF(ISNA(MATCH($F3169,Lists!$A$2:$A$5,0)),"✖ الفترة غير صحيحة",IF(ISNA(MATCH($G3169,Lists!$B$2:$B$7,0)),"✖ المجموعة غير صحيحة",IF(NOT(OR($H3169="",$N3169&gt;0)),"✖ Start غير صحيح",IF(NOT(OR($I3169="",$I3169="NR",$O3169&gt;0)),"✖ Current غير صحيح",IF(NOT(IF(ISNUMBER($J3169),AND($J3169&gt;=0,$J3169=INT($J3169)),FALSE())),"✖ العدد يجب أن يكون صحيحًا ≥ 0",IF(AND($F3169="Baseline",$H3169&lt;&gt;""),"⚠ Baseline: Start لا يدخل في التقدم",IF($K3169="No Start (attainment only)","ℹ تحصيل فقط (بدون Start)",IF($K3169="U – needs rule","ℹ حالة U تحتاج قاعدة معتمدة",IF($K3169="No result","ℹ بدون نتيجة (يُستبعد من التحصيل)","OK")))))))))))</f>
        <v/>
      </c>
      <c r="M3169" s="64" t="n">
        <f aca="false">IF($A3169="",0,IFERROR(MATCH($A3169,Classes!$A$6:$A$420,0),0))</f>
        <v>0</v>
      </c>
      <c r="N3169" s="64" t="n">
        <f aca="false">IF($H3169="",0,IFERROR(MATCH($H3169,GradeList,0),0))</f>
        <v>0</v>
      </c>
      <c r="O3169" s="64" t="n">
        <f aca="false">IF(OR($I3169="",$I3169="NR"),0,IFERROR(MATCH($I3169,GradeList,0),0))</f>
        <v>0</v>
      </c>
      <c r="P3169" s="64" t="n">
        <f aca="false">IF(AND($M3169&gt;0,ISNUMBER(MATCH($F3169,Lists!$A$2:$A$5,0)),ISNUMBER(MATCH($G3169,Lists!$B$2:$B$7,0)),OR($H3169="",$N3169&gt;0),OR($I3169="",$I3169="NR",$O3169&gt;0),IF(ISNUMBER($J3169),AND($J3169&gt;=0,$J3169=INT($J3169)),FALSE())),$J3169,0)</f>
        <v>0</v>
      </c>
      <c r="Q3169" s="64" t="n">
        <f aca="false">IF(AND($P3169&gt;0,$O3169&gt;0),$P3169,0)</f>
        <v>0</v>
      </c>
      <c r="R3169" s="64" t="n">
        <f aca="false">IF(AND($Q3169&gt;0,$O3169&gt;=AtRank),$Q3169,0)</f>
        <v>0</v>
      </c>
      <c r="S3169" s="64" t="n">
        <f aca="false">IF(AND($Q3169&gt;0,$O3169&gt;=AboveRank),$Q3169,0)</f>
        <v>0</v>
      </c>
      <c r="T3169" s="64" t="n">
        <f aca="false">IF($K3169="Less",$P3169,0)</f>
        <v>0</v>
      </c>
      <c r="U3169" s="64" t="n">
        <f aca="false">IF($K3169="Expected",$P3169,0)</f>
        <v>0</v>
      </c>
      <c r="V3169" s="64" t="n">
        <f aca="false">IF($K3169="Better",$P3169,0)</f>
        <v>0</v>
      </c>
      <c r="W3169" s="64" t="n">
        <f aca="false">IF($K3169="U – needs rule",$P3169,0)</f>
        <v>0</v>
      </c>
      <c r="X3169" s="64" t="n">
        <f aca="false">IF($K3169="No Start (attainment only)",$P3169,0)</f>
        <v>0</v>
      </c>
    </row>
    <row r="3170" customFormat="false" ht="15" hidden="false" customHeight="false" outlineLevel="0" collapsed="false">
      <c r="A3170" s="60"/>
      <c r="B3170" s="61" t="str">
        <f aca="false">IF($M3170=0,"",INDEX(Classes!$E$6:$E$420,$M3170))</f>
        <v/>
      </c>
      <c r="C3170" s="62" t="str">
        <f aca="false">IF($M3170=0,"",INDEX(Classes!$H$6:$H$420,$M3170))</f>
        <v/>
      </c>
      <c r="D3170" s="61" t="str">
        <f aca="false">IF($M3170=0,"",INDEX(Classes!$B$6:$B$420,$M3170))</f>
        <v/>
      </c>
      <c r="E3170" s="61" t="str">
        <f aca="false">IF($M3170=0,"",INDEX(Classes!$C$6:$C$420,$M3170))</f>
        <v/>
      </c>
      <c r="F3170" s="63"/>
      <c r="G3170" s="63"/>
      <c r="H3170" s="60"/>
      <c r="I3170" s="60"/>
      <c r="J3170" s="63"/>
      <c r="K3170" s="61" t="str">
        <f aca="false">IF($P3170=0,"",IF($F3170="Baseline","— Baseline",IF($O3170=0,"No result",IF($N3170=0,"No Start (attainment only)",IF(OR($N3170=1,$O3170=1),"U – needs rule",INDEX(MxBody,MATCH($I3170,MxCurr,0),MATCH($H3170,MxStart,0)))))))</f>
        <v/>
      </c>
      <c r="L3170" s="62" t="str">
        <f aca="false">IF(COUNTA($A3170,$F3170,$G3170,$H3170,$I3170,$J3170)=0,"",IF($M3170=0,"✖ كود الصف غير موجود",IF(ISNA(MATCH($F3170,Lists!$A$2:$A$5,0)),"✖ الفترة غير صحيحة",IF(ISNA(MATCH($G3170,Lists!$B$2:$B$7,0)),"✖ المجموعة غير صحيحة",IF(NOT(OR($H3170="",$N3170&gt;0)),"✖ Start غير صحيح",IF(NOT(OR($I3170="",$I3170="NR",$O3170&gt;0)),"✖ Current غير صحيح",IF(NOT(IF(ISNUMBER($J3170),AND($J3170&gt;=0,$J3170=INT($J3170)),FALSE())),"✖ العدد يجب أن يكون صحيحًا ≥ 0",IF(AND($F3170="Baseline",$H3170&lt;&gt;""),"⚠ Baseline: Start لا يدخل في التقدم",IF($K3170="No Start (attainment only)","ℹ تحصيل فقط (بدون Start)",IF($K3170="U – needs rule","ℹ حالة U تحتاج قاعدة معتمدة",IF($K3170="No result","ℹ بدون نتيجة (يُستبعد من التحصيل)","OK")))))))))))</f>
        <v/>
      </c>
      <c r="M3170" s="64" t="n">
        <f aca="false">IF($A3170="",0,IFERROR(MATCH($A3170,Classes!$A$6:$A$420,0),0))</f>
        <v>0</v>
      </c>
      <c r="N3170" s="64" t="n">
        <f aca="false">IF($H3170="",0,IFERROR(MATCH($H3170,GradeList,0),0))</f>
        <v>0</v>
      </c>
      <c r="O3170" s="64" t="n">
        <f aca="false">IF(OR($I3170="",$I3170="NR"),0,IFERROR(MATCH($I3170,GradeList,0),0))</f>
        <v>0</v>
      </c>
      <c r="P3170" s="64" t="n">
        <f aca="false">IF(AND($M3170&gt;0,ISNUMBER(MATCH($F3170,Lists!$A$2:$A$5,0)),ISNUMBER(MATCH($G3170,Lists!$B$2:$B$7,0)),OR($H3170="",$N3170&gt;0),OR($I3170="",$I3170="NR",$O3170&gt;0),IF(ISNUMBER($J3170),AND($J3170&gt;=0,$J3170=INT($J3170)),FALSE())),$J3170,0)</f>
        <v>0</v>
      </c>
      <c r="Q3170" s="64" t="n">
        <f aca="false">IF(AND($P3170&gt;0,$O3170&gt;0),$P3170,0)</f>
        <v>0</v>
      </c>
      <c r="R3170" s="64" t="n">
        <f aca="false">IF(AND($Q3170&gt;0,$O3170&gt;=AtRank),$Q3170,0)</f>
        <v>0</v>
      </c>
      <c r="S3170" s="64" t="n">
        <f aca="false">IF(AND($Q3170&gt;0,$O3170&gt;=AboveRank),$Q3170,0)</f>
        <v>0</v>
      </c>
      <c r="T3170" s="64" t="n">
        <f aca="false">IF($K3170="Less",$P3170,0)</f>
        <v>0</v>
      </c>
      <c r="U3170" s="64" t="n">
        <f aca="false">IF($K3170="Expected",$P3170,0)</f>
        <v>0</v>
      </c>
      <c r="V3170" s="64" t="n">
        <f aca="false">IF($K3170="Better",$P3170,0)</f>
        <v>0</v>
      </c>
      <c r="W3170" s="64" t="n">
        <f aca="false">IF($K3170="U – needs rule",$P3170,0)</f>
        <v>0</v>
      </c>
      <c r="X3170" s="64" t="n">
        <f aca="false">IF($K3170="No Start (attainment only)",$P3170,0)</f>
        <v>0</v>
      </c>
    </row>
    <row r="3171" customFormat="false" ht="15" hidden="false" customHeight="false" outlineLevel="0" collapsed="false">
      <c r="A3171" s="60"/>
      <c r="B3171" s="61" t="str">
        <f aca="false">IF($M3171=0,"",INDEX(Classes!$E$6:$E$420,$M3171))</f>
        <v/>
      </c>
      <c r="C3171" s="62" t="str">
        <f aca="false">IF($M3171=0,"",INDEX(Classes!$H$6:$H$420,$M3171))</f>
        <v/>
      </c>
      <c r="D3171" s="61" t="str">
        <f aca="false">IF($M3171=0,"",INDEX(Classes!$B$6:$B$420,$M3171))</f>
        <v/>
      </c>
      <c r="E3171" s="61" t="str">
        <f aca="false">IF($M3171=0,"",INDEX(Classes!$C$6:$C$420,$M3171))</f>
        <v/>
      </c>
      <c r="F3171" s="63"/>
      <c r="G3171" s="63"/>
      <c r="H3171" s="60"/>
      <c r="I3171" s="60"/>
      <c r="J3171" s="63"/>
      <c r="K3171" s="61" t="str">
        <f aca="false">IF($P3171=0,"",IF($F3171="Baseline","— Baseline",IF($O3171=0,"No result",IF($N3171=0,"No Start (attainment only)",IF(OR($N3171=1,$O3171=1),"U – needs rule",INDEX(MxBody,MATCH($I3171,MxCurr,0),MATCH($H3171,MxStart,0)))))))</f>
        <v/>
      </c>
      <c r="L3171" s="62" t="str">
        <f aca="false">IF(COUNTA($A3171,$F3171,$G3171,$H3171,$I3171,$J3171)=0,"",IF($M3171=0,"✖ كود الصف غير موجود",IF(ISNA(MATCH($F3171,Lists!$A$2:$A$5,0)),"✖ الفترة غير صحيحة",IF(ISNA(MATCH($G3171,Lists!$B$2:$B$7,0)),"✖ المجموعة غير صحيحة",IF(NOT(OR($H3171="",$N3171&gt;0)),"✖ Start غير صحيح",IF(NOT(OR($I3171="",$I3171="NR",$O3171&gt;0)),"✖ Current غير صحيح",IF(NOT(IF(ISNUMBER($J3171),AND($J3171&gt;=0,$J3171=INT($J3171)),FALSE())),"✖ العدد يجب أن يكون صحيحًا ≥ 0",IF(AND($F3171="Baseline",$H3171&lt;&gt;""),"⚠ Baseline: Start لا يدخل في التقدم",IF($K3171="No Start (attainment only)","ℹ تحصيل فقط (بدون Start)",IF($K3171="U – needs rule","ℹ حالة U تحتاج قاعدة معتمدة",IF($K3171="No result","ℹ بدون نتيجة (يُستبعد من التحصيل)","OK")))))))))))</f>
        <v/>
      </c>
      <c r="M3171" s="64" t="n">
        <f aca="false">IF($A3171="",0,IFERROR(MATCH($A3171,Classes!$A$6:$A$420,0),0))</f>
        <v>0</v>
      </c>
      <c r="N3171" s="64" t="n">
        <f aca="false">IF($H3171="",0,IFERROR(MATCH($H3171,GradeList,0),0))</f>
        <v>0</v>
      </c>
      <c r="O3171" s="64" t="n">
        <f aca="false">IF(OR($I3171="",$I3171="NR"),0,IFERROR(MATCH($I3171,GradeList,0),0))</f>
        <v>0</v>
      </c>
      <c r="P3171" s="64" t="n">
        <f aca="false">IF(AND($M3171&gt;0,ISNUMBER(MATCH($F3171,Lists!$A$2:$A$5,0)),ISNUMBER(MATCH($G3171,Lists!$B$2:$B$7,0)),OR($H3171="",$N3171&gt;0),OR($I3171="",$I3171="NR",$O3171&gt;0),IF(ISNUMBER($J3171),AND($J3171&gt;=0,$J3171=INT($J3171)),FALSE())),$J3171,0)</f>
        <v>0</v>
      </c>
      <c r="Q3171" s="64" t="n">
        <f aca="false">IF(AND($P3171&gt;0,$O3171&gt;0),$P3171,0)</f>
        <v>0</v>
      </c>
      <c r="R3171" s="64" t="n">
        <f aca="false">IF(AND($Q3171&gt;0,$O3171&gt;=AtRank),$Q3171,0)</f>
        <v>0</v>
      </c>
      <c r="S3171" s="64" t="n">
        <f aca="false">IF(AND($Q3171&gt;0,$O3171&gt;=AboveRank),$Q3171,0)</f>
        <v>0</v>
      </c>
      <c r="T3171" s="64" t="n">
        <f aca="false">IF($K3171="Less",$P3171,0)</f>
        <v>0</v>
      </c>
      <c r="U3171" s="64" t="n">
        <f aca="false">IF($K3171="Expected",$P3171,0)</f>
        <v>0</v>
      </c>
      <c r="V3171" s="64" t="n">
        <f aca="false">IF($K3171="Better",$P3171,0)</f>
        <v>0</v>
      </c>
      <c r="W3171" s="64" t="n">
        <f aca="false">IF($K3171="U – needs rule",$P3171,0)</f>
        <v>0</v>
      </c>
      <c r="X3171" s="64" t="n">
        <f aca="false">IF($K3171="No Start (attainment only)",$P3171,0)</f>
        <v>0</v>
      </c>
    </row>
    <row r="3172" customFormat="false" ht="15" hidden="false" customHeight="false" outlineLevel="0" collapsed="false">
      <c r="A3172" s="60"/>
      <c r="B3172" s="61" t="str">
        <f aca="false">IF($M3172=0,"",INDEX(Classes!$E$6:$E$420,$M3172))</f>
        <v/>
      </c>
      <c r="C3172" s="62" t="str">
        <f aca="false">IF($M3172=0,"",INDEX(Classes!$H$6:$H$420,$M3172))</f>
        <v/>
      </c>
      <c r="D3172" s="61" t="str">
        <f aca="false">IF($M3172=0,"",INDEX(Classes!$B$6:$B$420,$M3172))</f>
        <v/>
      </c>
      <c r="E3172" s="61" t="str">
        <f aca="false">IF($M3172=0,"",INDEX(Classes!$C$6:$C$420,$M3172))</f>
        <v/>
      </c>
      <c r="F3172" s="63"/>
      <c r="G3172" s="63"/>
      <c r="H3172" s="60"/>
      <c r="I3172" s="60"/>
      <c r="J3172" s="63"/>
      <c r="K3172" s="61" t="str">
        <f aca="false">IF($P3172=0,"",IF($F3172="Baseline","— Baseline",IF($O3172=0,"No result",IF($N3172=0,"No Start (attainment only)",IF(OR($N3172=1,$O3172=1),"U – needs rule",INDEX(MxBody,MATCH($I3172,MxCurr,0),MATCH($H3172,MxStart,0)))))))</f>
        <v/>
      </c>
      <c r="L3172" s="62" t="str">
        <f aca="false">IF(COUNTA($A3172,$F3172,$G3172,$H3172,$I3172,$J3172)=0,"",IF($M3172=0,"✖ كود الصف غير موجود",IF(ISNA(MATCH($F3172,Lists!$A$2:$A$5,0)),"✖ الفترة غير صحيحة",IF(ISNA(MATCH($G3172,Lists!$B$2:$B$7,0)),"✖ المجموعة غير صحيحة",IF(NOT(OR($H3172="",$N3172&gt;0)),"✖ Start غير صحيح",IF(NOT(OR($I3172="",$I3172="NR",$O3172&gt;0)),"✖ Current غير صحيح",IF(NOT(IF(ISNUMBER($J3172),AND($J3172&gt;=0,$J3172=INT($J3172)),FALSE())),"✖ العدد يجب أن يكون صحيحًا ≥ 0",IF(AND($F3172="Baseline",$H3172&lt;&gt;""),"⚠ Baseline: Start لا يدخل في التقدم",IF($K3172="No Start (attainment only)","ℹ تحصيل فقط (بدون Start)",IF($K3172="U – needs rule","ℹ حالة U تحتاج قاعدة معتمدة",IF($K3172="No result","ℹ بدون نتيجة (يُستبعد من التحصيل)","OK")))))))))))</f>
        <v/>
      </c>
      <c r="M3172" s="64" t="n">
        <f aca="false">IF($A3172="",0,IFERROR(MATCH($A3172,Classes!$A$6:$A$420,0),0))</f>
        <v>0</v>
      </c>
      <c r="N3172" s="64" t="n">
        <f aca="false">IF($H3172="",0,IFERROR(MATCH($H3172,GradeList,0),0))</f>
        <v>0</v>
      </c>
      <c r="O3172" s="64" t="n">
        <f aca="false">IF(OR($I3172="",$I3172="NR"),0,IFERROR(MATCH($I3172,GradeList,0),0))</f>
        <v>0</v>
      </c>
      <c r="P3172" s="64" t="n">
        <f aca="false">IF(AND($M3172&gt;0,ISNUMBER(MATCH($F3172,Lists!$A$2:$A$5,0)),ISNUMBER(MATCH($G3172,Lists!$B$2:$B$7,0)),OR($H3172="",$N3172&gt;0),OR($I3172="",$I3172="NR",$O3172&gt;0),IF(ISNUMBER($J3172),AND($J3172&gt;=0,$J3172=INT($J3172)),FALSE())),$J3172,0)</f>
        <v>0</v>
      </c>
      <c r="Q3172" s="64" t="n">
        <f aca="false">IF(AND($P3172&gt;0,$O3172&gt;0),$P3172,0)</f>
        <v>0</v>
      </c>
      <c r="R3172" s="64" t="n">
        <f aca="false">IF(AND($Q3172&gt;0,$O3172&gt;=AtRank),$Q3172,0)</f>
        <v>0</v>
      </c>
      <c r="S3172" s="64" t="n">
        <f aca="false">IF(AND($Q3172&gt;0,$O3172&gt;=AboveRank),$Q3172,0)</f>
        <v>0</v>
      </c>
      <c r="T3172" s="64" t="n">
        <f aca="false">IF($K3172="Less",$P3172,0)</f>
        <v>0</v>
      </c>
      <c r="U3172" s="64" t="n">
        <f aca="false">IF($K3172="Expected",$P3172,0)</f>
        <v>0</v>
      </c>
      <c r="V3172" s="64" t="n">
        <f aca="false">IF($K3172="Better",$P3172,0)</f>
        <v>0</v>
      </c>
      <c r="W3172" s="64" t="n">
        <f aca="false">IF($K3172="U – needs rule",$P3172,0)</f>
        <v>0</v>
      </c>
      <c r="X3172" s="64" t="n">
        <f aca="false">IF($K3172="No Start (attainment only)",$P3172,0)</f>
        <v>0</v>
      </c>
    </row>
    <row r="3173" customFormat="false" ht="15" hidden="false" customHeight="false" outlineLevel="0" collapsed="false">
      <c r="A3173" s="60"/>
      <c r="B3173" s="61" t="str">
        <f aca="false">IF($M3173=0,"",INDEX(Classes!$E$6:$E$420,$M3173))</f>
        <v/>
      </c>
      <c r="C3173" s="62" t="str">
        <f aca="false">IF($M3173=0,"",INDEX(Classes!$H$6:$H$420,$M3173))</f>
        <v/>
      </c>
      <c r="D3173" s="61" t="str">
        <f aca="false">IF($M3173=0,"",INDEX(Classes!$B$6:$B$420,$M3173))</f>
        <v/>
      </c>
      <c r="E3173" s="61" t="str">
        <f aca="false">IF($M3173=0,"",INDEX(Classes!$C$6:$C$420,$M3173))</f>
        <v/>
      </c>
      <c r="F3173" s="63"/>
      <c r="G3173" s="63"/>
      <c r="H3173" s="60"/>
      <c r="I3173" s="60"/>
      <c r="J3173" s="63"/>
      <c r="K3173" s="61" t="str">
        <f aca="false">IF($P3173=0,"",IF($F3173="Baseline","— Baseline",IF($O3173=0,"No result",IF($N3173=0,"No Start (attainment only)",IF(OR($N3173=1,$O3173=1),"U – needs rule",INDEX(MxBody,MATCH($I3173,MxCurr,0),MATCH($H3173,MxStart,0)))))))</f>
        <v/>
      </c>
      <c r="L3173" s="62" t="str">
        <f aca="false">IF(COUNTA($A3173,$F3173,$G3173,$H3173,$I3173,$J3173)=0,"",IF($M3173=0,"✖ كود الصف غير موجود",IF(ISNA(MATCH($F3173,Lists!$A$2:$A$5,0)),"✖ الفترة غير صحيحة",IF(ISNA(MATCH($G3173,Lists!$B$2:$B$7,0)),"✖ المجموعة غير صحيحة",IF(NOT(OR($H3173="",$N3173&gt;0)),"✖ Start غير صحيح",IF(NOT(OR($I3173="",$I3173="NR",$O3173&gt;0)),"✖ Current غير صحيح",IF(NOT(IF(ISNUMBER($J3173),AND($J3173&gt;=0,$J3173=INT($J3173)),FALSE())),"✖ العدد يجب أن يكون صحيحًا ≥ 0",IF(AND($F3173="Baseline",$H3173&lt;&gt;""),"⚠ Baseline: Start لا يدخل في التقدم",IF($K3173="No Start (attainment only)","ℹ تحصيل فقط (بدون Start)",IF($K3173="U – needs rule","ℹ حالة U تحتاج قاعدة معتمدة",IF($K3173="No result","ℹ بدون نتيجة (يُستبعد من التحصيل)","OK")))))))))))</f>
        <v/>
      </c>
      <c r="M3173" s="64" t="n">
        <f aca="false">IF($A3173="",0,IFERROR(MATCH($A3173,Classes!$A$6:$A$420,0),0))</f>
        <v>0</v>
      </c>
      <c r="N3173" s="64" t="n">
        <f aca="false">IF($H3173="",0,IFERROR(MATCH($H3173,GradeList,0),0))</f>
        <v>0</v>
      </c>
      <c r="O3173" s="64" t="n">
        <f aca="false">IF(OR($I3173="",$I3173="NR"),0,IFERROR(MATCH($I3173,GradeList,0),0))</f>
        <v>0</v>
      </c>
      <c r="P3173" s="64" t="n">
        <f aca="false">IF(AND($M3173&gt;0,ISNUMBER(MATCH($F3173,Lists!$A$2:$A$5,0)),ISNUMBER(MATCH($G3173,Lists!$B$2:$B$7,0)),OR($H3173="",$N3173&gt;0),OR($I3173="",$I3173="NR",$O3173&gt;0),IF(ISNUMBER($J3173),AND($J3173&gt;=0,$J3173=INT($J3173)),FALSE())),$J3173,0)</f>
        <v>0</v>
      </c>
      <c r="Q3173" s="64" t="n">
        <f aca="false">IF(AND($P3173&gt;0,$O3173&gt;0),$P3173,0)</f>
        <v>0</v>
      </c>
      <c r="R3173" s="64" t="n">
        <f aca="false">IF(AND($Q3173&gt;0,$O3173&gt;=AtRank),$Q3173,0)</f>
        <v>0</v>
      </c>
      <c r="S3173" s="64" t="n">
        <f aca="false">IF(AND($Q3173&gt;0,$O3173&gt;=AboveRank),$Q3173,0)</f>
        <v>0</v>
      </c>
      <c r="T3173" s="64" t="n">
        <f aca="false">IF($K3173="Less",$P3173,0)</f>
        <v>0</v>
      </c>
      <c r="U3173" s="64" t="n">
        <f aca="false">IF($K3173="Expected",$P3173,0)</f>
        <v>0</v>
      </c>
      <c r="V3173" s="64" t="n">
        <f aca="false">IF($K3173="Better",$P3173,0)</f>
        <v>0</v>
      </c>
      <c r="W3173" s="64" t="n">
        <f aca="false">IF($K3173="U – needs rule",$P3173,0)</f>
        <v>0</v>
      </c>
      <c r="X3173" s="64" t="n">
        <f aca="false">IF($K3173="No Start (attainment only)",$P3173,0)</f>
        <v>0</v>
      </c>
    </row>
    <row r="3174" customFormat="false" ht="15" hidden="false" customHeight="false" outlineLevel="0" collapsed="false">
      <c r="A3174" s="60"/>
      <c r="B3174" s="61" t="str">
        <f aca="false">IF($M3174=0,"",INDEX(Classes!$E$6:$E$420,$M3174))</f>
        <v/>
      </c>
      <c r="C3174" s="62" t="str">
        <f aca="false">IF($M3174=0,"",INDEX(Classes!$H$6:$H$420,$M3174))</f>
        <v/>
      </c>
      <c r="D3174" s="61" t="str">
        <f aca="false">IF($M3174=0,"",INDEX(Classes!$B$6:$B$420,$M3174))</f>
        <v/>
      </c>
      <c r="E3174" s="61" t="str">
        <f aca="false">IF($M3174=0,"",INDEX(Classes!$C$6:$C$420,$M3174))</f>
        <v/>
      </c>
      <c r="F3174" s="63"/>
      <c r="G3174" s="63"/>
      <c r="H3174" s="60"/>
      <c r="I3174" s="60"/>
      <c r="J3174" s="63"/>
      <c r="K3174" s="61" t="str">
        <f aca="false">IF($P3174=0,"",IF($F3174="Baseline","— Baseline",IF($O3174=0,"No result",IF($N3174=0,"No Start (attainment only)",IF(OR($N3174=1,$O3174=1),"U – needs rule",INDEX(MxBody,MATCH($I3174,MxCurr,0),MATCH($H3174,MxStart,0)))))))</f>
        <v/>
      </c>
      <c r="L3174" s="62" t="str">
        <f aca="false">IF(COUNTA($A3174,$F3174,$G3174,$H3174,$I3174,$J3174)=0,"",IF($M3174=0,"✖ كود الصف غير موجود",IF(ISNA(MATCH($F3174,Lists!$A$2:$A$5,0)),"✖ الفترة غير صحيحة",IF(ISNA(MATCH($G3174,Lists!$B$2:$B$7,0)),"✖ المجموعة غير صحيحة",IF(NOT(OR($H3174="",$N3174&gt;0)),"✖ Start غير صحيح",IF(NOT(OR($I3174="",$I3174="NR",$O3174&gt;0)),"✖ Current غير صحيح",IF(NOT(IF(ISNUMBER($J3174),AND($J3174&gt;=0,$J3174=INT($J3174)),FALSE())),"✖ العدد يجب أن يكون صحيحًا ≥ 0",IF(AND($F3174="Baseline",$H3174&lt;&gt;""),"⚠ Baseline: Start لا يدخل في التقدم",IF($K3174="No Start (attainment only)","ℹ تحصيل فقط (بدون Start)",IF($K3174="U – needs rule","ℹ حالة U تحتاج قاعدة معتمدة",IF($K3174="No result","ℹ بدون نتيجة (يُستبعد من التحصيل)","OK")))))))))))</f>
        <v/>
      </c>
      <c r="M3174" s="64" t="n">
        <f aca="false">IF($A3174="",0,IFERROR(MATCH($A3174,Classes!$A$6:$A$420,0),0))</f>
        <v>0</v>
      </c>
      <c r="N3174" s="64" t="n">
        <f aca="false">IF($H3174="",0,IFERROR(MATCH($H3174,GradeList,0),0))</f>
        <v>0</v>
      </c>
      <c r="O3174" s="64" t="n">
        <f aca="false">IF(OR($I3174="",$I3174="NR"),0,IFERROR(MATCH($I3174,GradeList,0),0))</f>
        <v>0</v>
      </c>
      <c r="P3174" s="64" t="n">
        <f aca="false">IF(AND($M3174&gt;0,ISNUMBER(MATCH($F3174,Lists!$A$2:$A$5,0)),ISNUMBER(MATCH($G3174,Lists!$B$2:$B$7,0)),OR($H3174="",$N3174&gt;0),OR($I3174="",$I3174="NR",$O3174&gt;0),IF(ISNUMBER($J3174),AND($J3174&gt;=0,$J3174=INT($J3174)),FALSE())),$J3174,0)</f>
        <v>0</v>
      </c>
      <c r="Q3174" s="64" t="n">
        <f aca="false">IF(AND($P3174&gt;0,$O3174&gt;0),$P3174,0)</f>
        <v>0</v>
      </c>
      <c r="R3174" s="64" t="n">
        <f aca="false">IF(AND($Q3174&gt;0,$O3174&gt;=AtRank),$Q3174,0)</f>
        <v>0</v>
      </c>
      <c r="S3174" s="64" t="n">
        <f aca="false">IF(AND($Q3174&gt;0,$O3174&gt;=AboveRank),$Q3174,0)</f>
        <v>0</v>
      </c>
      <c r="T3174" s="64" t="n">
        <f aca="false">IF($K3174="Less",$P3174,0)</f>
        <v>0</v>
      </c>
      <c r="U3174" s="64" t="n">
        <f aca="false">IF($K3174="Expected",$P3174,0)</f>
        <v>0</v>
      </c>
      <c r="V3174" s="64" t="n">
        <f aca="false">IF($K3174="Better",$P3174,0)</f>
        <v>0</v>
      </c>
      <c r="W3174" s="64" t="n">
        <f aca="false">IF($K3174="U – needs rule",$P3174,0)</f>
        <v>0</v>
      </c>
      <c r="X3174" s="64" t="n">
        <f aca="false">IF($K3174="No Start (attainment only)",$P3174,0)</f>
        <v>0</v>
      </c>
    </row>
    <row r="3175" customFormat="false" ht="15" hidden="false" customHeight="false" outlineLevel="0" collapsed="false">
      <c r="A3175" s="60"/>
      <c r="B3175" s="61" t="str">
        <f aca="false">IF($M3175=0,"",INDEX(Classes!$E$6:$E$420,$M3175))</f>
        <v/>
      </c>
      <c r="C3175" s="62" t="str">
        <f aca="false">IF($M3175=0,"",INDEX(Classes!$H$6:$H$420,$M3175))</f>
        <v/>
      </c>
      <c r="D3175" s="61" t="str">
        <f aca="false">IF($M3175=0,"",INDEX(Classes!$B$6:$B$420,$M3175))</f>
        <v/>
      </c>
      <c r="E3175" s="61" t="str">
        <f aca="false">IF($M3175=0,"",INDEX(Classes!$C$6:$C$420,$M3175))</f>
        <v/>
      </c>
      <c r="F3175" s="63"/>
      <c r="G3175" s="63"/>
      <c r="H3175" s="60"/>
      <c r="I3175" s="60"/>
      <c r="J3175" s="63"/>
      <c r="K3175" s="61" t="str">
        <f aca="false">IF($P3175=0,"",IF($F3175="Baseline","— Baseline",IF($O3175=0,"No result",IF($N3175=0,"No Start (attainment only)",IF(OR($N3175=1,$O3175=1),"U – needs rule",INDEX(MxBody,MATCH($I3175,MxCurr,0),MATCH($H3175,MxStart,0)))))))</f>
        <v/>
      </c>
      <c r="L3175" s="62" t="str">
        <f aca="false">IF(COUNTA($A3175,$F3175,$G3175,$H3175,$I3175,$J3175)=0,"",IF($M3175=0,"✖ كود الصف غير موجود",IF(ISNA(MATCH($F3175,Lists!$A$2:$A$5,0)),"✖ الفترة غير صحيحة",IF(ISNA(MATCH($G3175,Lists!$B$2:$B$7,0)),"✖ المجموعة غير صحيحة",IF(NOT(OR($H3175="",$N3175&gt;0)),"✖ Start غير صحيح",IF(NOT(OR($I3175="",$I3175="NR",$O3175&gt;0)),"✖ Current غير صحيح",IF(NOT(IF(ISNUMBER($J3175),AND($J3175&gt;=0,$J3175=INT($J3175)),FALSE())),"✖ العدد يجب أن يكون صحيحًا ≥ 0",IF(AND($F3175="Baseline",$H3175&lt;&gt;""),"⚠ Baseline: Start لا يدخل في التقدم",IF($K3175="No Start (attainment only)","ℹ تحصيل فقط (بدون Start)",IF($K3175="U – needs rule","ℹ حالة U تحتاج قاعدة معتمدة",IF($K3175="No result","ℹ بدون نتيجة (يُستبعد من التحصيل)","OK")))))))))))</f>
        <v/>
      </c>
      <c r="M3175" s="64" t="n">
        <f aca="false">IF($A3175="",0,IFERROR(MATCH($A3175,Classes!$A$6:$A$420,0),0))</f>
        <v>0</v>
      </c>
      <c r="N3175" s="64" t="n">
        <f aca="false">IF($H3175="",0,IFERROR(MATCH($H3175,GradeList,0),0))</f>
        <v>0</v>
      </c>
      <c r="O3175" s="64" t="n">
        <f aca="false">IF(OR($I3175="",$I3175="NR"),0,IFERROR(MATCH($I3175,GradeList,0),0))</f>
        <v>0</v>
      </c>
      <c r="P3175" s="64" t="n">
        <f aca="false">IF(AND($M3175&gt;0,ISNUMBER(MATCH($F3175,Lists!$A$2:$A$5,0)),ISNUMBER(MATCH($G3175,Lists!$B$2:$B$7,0)),OR($H3175="",$N3175&gt;0),OR($I3175="",$I3175="NR",$O3175&gt;0),IF(ISNUMBER($J3175),AND($J3175&gt;=0,$J3175=INT($J3175)),FALSE())),$J3175,0)</f>
        <v>0</v>
      </c>
      <c r="Q3175" s="64" t="n">
        <f aca="false">IF(AND($P3175&gt;0,$O3175&gt;0),$P3175,0)</f>
        <v>0</v>
      </c>
      <c r="R3175" s="64" t="n">
        <f aca="false">IF(AND($Q3175&gt;0,$O3175&gt;=AtRank),$Q3175,0)</f>
        <v>0</v>
      </c>
      <c r="S3175" s="64" t="n">
        <f aca="false">IF(AND($Q3175&gt;0,$O3175&gt;=AboveRank),$Q3175,0)</f>
        <v>0</v>
      </c>
      <c r="T3175" s="64" t="n">
        <f aca="false">IF($K3175="Less",$P3175,0)</f>
        <v>0</v>
      </c>
      <c r="U3175" s="64" t="n">
        <f aca="false">IF($K3175="Expected",$P3175,0)</f>
        <v>0</v>
      </c>
      <c r="V3175" s="64" t="n">
        <f aca="false">IF($K3175="Better",$P3175,0)</f>
        <v>0</v>
      </c>
      <c r="W3175" s="64" t="n">
        <f aca="false">IF($K3175="U – needs rule",$P3175,0)</f>
        <v>0</v>
      </c>
      <c r="X3175" s="64" t="n">
        <f aca="false">IF($K3175="No Start (attainment only)",$P3175,0)</f>
        <v>0</v>
      </c>
    </row>
    <row r="3176" customFormat="false" ht="15" hidden="false" customHeight="false" outlineLevel="0" collapsed="false">
      <c r="A3176" s="60"/>
      <c r="B3176" s="61" t="str">
        <f aca="false">IF($M3176=0,"",INDEX(Classes!$E$6:$E$420,$M3176))</f>
        <v/>
      </c>
      <c r="C3176" s="62" t="str">
        <f aca="false">IF($M3176=0,"",INDEX(Classes!$H$6:$H$420,$M3176))</f>
        <v/>
      </c>
      <c r="D3176" s="61" t="str">
        <f aca="false">IF($M3176=0,"",INDEX(Classes!$B$6:$B$420,$M3176))</f>
        <v/>
      </c>
      <c r="E3176" s="61" t="str">
        <f aca="false">IF($M3176=0,"",INDEX(Classes!$C$6:$C$420,$M3176))</f>
        <v/>
      </c>
      <c r="F3176" s="63"/>
      <c r="G3176" s="63"/>
      <c r="H3176" s="60"/>
      <c r="I3176" s="60"/>
      <c r="J3176" s="63"/>
      <c r="K3176" s="61" t="str">
        <f aca="false">IF($P3176=0,"",IF($F3176="Baseline","— Baseline",IF($O3176=0,"No result",IF($N3176=0,"No Start (attainment only)",IF(OR($N3176=1,$O3176=1),"U – needs rule",INDEX(MxBody,MATCH($I3176,MxCurr,0),MATCH($H3176,MxStart,0)))))))</f>
        <v/>
      </c>
      <c r="L3176" s="62" t="str">
        <f aca="false">IF(COUNTA($A3176,$F3176,$G3176,$H3176,$I3176,$J3176)=0,"",IF($M3176=0,"✖ كود الصف غير موجود",IF(ISNA(MATCH($F3176,Lists!$A$2:$A$5,0)),"✖ الفترة غير صحيحة",IF(ISNA(MATCH($G3176,Lists!$B$2:$B$7,0)),"✖ المجموعة غير صحيحة",IF(NOT(OR($H3176="",$N3176&gt;0)),"✖ Start غير صحيح",IF(NOT(OR($I3176="",$I3176="NR",$O3176&gt;0)),"✖ Current غير صحيح",IF(NOT(IF(ISNUMBER($J3176),AND($J3176&gt;=0,$J3176=INT($J3176)),FALSE())),"✖ العدد يجب أن يكون صحيحًا ≥ 0",IF(AND($F3176="Baseline",$H3176&lt;&gt;""),"⚠ Baseline: Start لا يدخل في التقدم",IF($K3176="No Start (attainment only)","ℹ تحصيل فقط (بدون Start)",IF($K3176="U – needs rule","ℹ حالة U تحتاج قاعدة معتمدة",IF($K3176="No result","ℹ بدون نتيجة (يُستبعد من التحصيل)","OK")))))))))))</f>
        <v/>
      </c>
      <c r="M3176" s="64" t="n">
        <f aca="false">IF($A3176="",0,IFERROR(MATCH($A3176,Classes!$A$6:$A$420,0),0))</f>
        <v>0</v>
      </c>
      <c r="N3176" s="64" t="n">
        <f aca="false">IF($H3176="",0,IFERROR(MATCH($H3176,GradeList,0),0))</f>
        <v>0</v>
      </c>
      <c r="O3176" s="64" t="n">
        <f aca="false">IF(OR($I3176="",$I3176="NR"),0,IFERROR(MATCH($I3176,GradeList,0),0))</f>
        <v>0</v>
      </c>
      <c r="P3176" s="64" t="n">
        <f aca="false">IF(AND($M3176&gt;0,ISNUMBER(MATCH($F3176,Lists!$A$2:$A$5,0)),ISNUMBER(MATCH($G3176,Lists!$B$2:$B$7,0)),OR($H3176="",$N3176&gt;0),OR($I3176="",$I3176="NR",$O3176&gt;0),IF(ISNUMBER($J3176),AND($J3176&gt;=0,$J3176=INT($J3176)),FALSE())),$J3176,0)</f>
        <v>0</v>
      </c>
      <c r="Q3176" s="64" t="n">
        <f aca="false">IF(AND($P3176&gt;0,$O3176&gt;0),$P3176,0)</f>
        <v>0</v>
      </c>
      <c r="R3176" s="64" t="n">
        <f aca="false">IF(AND($Q3176&gt;0,$O3176&gt;=AtRank),$Q3176,0)</f>
        <v>0</v>
      </c>
      <c r="S3176" s="64" t="n">
        <f aca="false">IF(AND($Q3176&gt;0,$O3176&gt;=AboveRank),$Q3176,0)</f>
        <v>0</v>
      </c>
      <c r="T3176" s="64" t="n">
        <f aca="false">IF($K3176="Less",$P3176,0)</f>
        <v>0</v>
      </c>
      <c r="U3176" s="64" t="n">
        <f aca="false">IF($K3176="Expected",$P3176,0)</f>
        <v>0</v>
      </c>
      <c r="V3176" s="64" t="n">
        <f aca="false">IF($K3176="Better",$P3176,0)</f>
        <v>0</v>
      </c>
      <c r="W3176" s="64" t="n">
        <f aca="false">IF($K3176="U – needs rule",$P3176,0)</f>
        <v>0</v>
      </c>
      <c r="X3176" s="64" t="n">
        <f aca="false">IF($K3176="No Start (attainment only)",$P3176,0)</f>
        <v>0</v>
      </c>
    </row>
    <row r="3177" customFormat="false" ht="15" hidden="false" customHeight="false" outlineLevel="0" collapsed="false">
      <c r="A3177" s="60"/>
      <c r="B3177" s="61" t="str">
        <f aca="false">IF($M3177=0,"",INDEX(Classes!$E$6:$E$420,$M3177))</f>
        <v/>
      </c>
      <c r="C3177" s="62" t="str">
        <f aca="false">IF($M3177=0,"",INDEX(Classes!$H$6:$H$420,$M3177))</f>
        <v/>
      </c>
      <c r="D3177" s="61" t="str">
        <f aca="false">IF($M3177=0,"",INDEX(Classes!$B$6:$B$420,$M3177))</f>
        <v/>
      </c>
      <c r="E3177" s="61" t="str">
        <f aca="false">IF($M3177=0,"",INDEX(Classes!$C$6:$C$420,$M3177))</f>
        <v/>
      </c>
      <c r="F3177" s="63"/>
      <c r="G3177" s="63"/>
      <c r="H3177" s="60"/>
      <c r="I3177" s="60"/>
      <c r="J3177" s="63"/>
      <c r="K3177" s="61" t="str">
        <f aca="false">IF($P3177=0,"",IF($F3177="Baseline","— Baseline",IF($O3177=0,"No result",IF($N3177=0,"No Start (attainment only)",IF(OR($N3177=1,$O3177=1),"U – needs rule",INDEX(MxBody,MATCH($I3177,MxCurr,0),MATCH($H3177,MxStart,0)))))))</f>
        <v/>
      </c>
      <c r="L3177" s="62" t="str">
        <f aca="false">IF(COUNTA($A3177,$F3177,$G3177,$H3177,$I3177,$J3177)=0,"",IF($M3177=0,"✖ كود الصف غير موجود",IF(ISNA(MATCH($F3177,Lists!$A$2:$A$5,0)),"✖ الفترة غير صحيحة",IF(ISNA(MATCH($G3177,Lists!$B$2:$B$7,0)),"✖ المجموعة غير صحيحة",IF(NOT(OR($H3177="",$N3177&gt;0)),"✖ Start غير صحيح",IF(NOT(OR($I3177="",$I3177="NR",$O3177&gt;0)),"✖ Current غير صحيح",IF(NOT(IF(ISNUMBER($J3177),AND($J3177&gt;=0,$J3177=INT($J3177)),FALSE())),"✖ العدد يجب أن يكون صحيحًا ≥ 0",IF(AND($F3177="Baseline",$H3177&lt;&gt;""),"⚠ Baseline: Start لا يدخل في التقدم",IF($K3177="No Start (attainment only)","ℹ تحصيل فقط (بدون Start)",IF($K3177="U – needs rule","ℹ حالة U تحتاج قاعدة معتمدة",IF($K3177="No result","ℹ بدون نتيجة (يُستبعد من التحصيل)","OK")))))))))))</f>
        <v/>
      </c>
      <c r="M3177" s="64" t="n">
        <f aca="false">IF($A3177="",0,IFERROR(MATCH($A3177,Classes!$A$6:$A$420,0),0))</f>
        <v>0</v>
      </c>
      <c r="N3177" s="64" t="n">
        <f aca="false">IF($H3177="",0,IFERROR(MATCH($H3177,GradeList,0),0))</f>
        <v>0</v>
      </c>
      <c r="O3177" s="64" t="n">
        <f aca="false">IF(OR($I3177="",$I3177="NR"),0,IFERROR(MATCH($I3177,GradeList,0),0))</f>
        <v>0</v>
      </c>
      <c r="P3177" s="64" t="n">
        <f aca="false">IF(AND($M3177&gt;0,ISNUMBER(MATCH($F3177,Lists!$A$2:$A$5,0)),ISNUMBER(MATCH($G3177,Lists!$B$2:$B$7,0)),OR($H3177="",$N3177&gt;0),OR($I3177="",$I3177="NR",$O3177&gt;0),IF(ISNUMBER($J3177),AND($J3177&gt;=0,$J3177=INT($J3177)),FALSE())),$J3177,0)</f>
        <v>0</v>
      </c>
      <c r="Q3177" s="64" t="n">
        <f aca="false">IF(AND($P3177&gt;0,$O3177&gt;0),$P3177,0)</f>
        <v>0</v>
      </c>
      <c r="R3177" s="64" t="n">
        <f aca="false">IF(AND($Q3177&gt;0,$O3177&gt;=AtRank),$Q3177,0)</f>
        <v>0</v>
      </c>
      <c r="S3177" s="64" t="n">
        <f aca="false">IF(AND($Q3177&gt;0,$O3177&gt;=AboveRank),$Q3177,0)</f>
        <v>0</v>
      </c>
      <c r="T3177" s="64" t="n">
        <f aca="false">IF($K3177="Less",$P3177,0)</f>
        <v>0</v>
      </c>
      <c r="U3177" s="64" t="n">
        <f aca="false">IF($K3177="Expected",$P3177,0)</f>
        <v>0</v>
      </c>
      <c r="V3177" s="64" t="n">
        <f aca="false">IF($K3177="Better",$P3177,0)</f>
        <v>0</v>
      </c>
      <c r="W3177" s="64" t="n">
        <f aca="false">IF($K3177="U – needs rule",$P3177,0)</f>
        <v>0</v>
      </c>
      <c r="X3177" s="64" t="n">
        <f aca="false">IF($K3177="No Start (attainment only)",$P3177,0)</f>
        <v>0</v>
      </c>
    </row>
    <row r="3178" customFormat="false" ht="15" hidden="false" customHeight="false" outlineLevel="0" collapsed="false">
      <c r="A3178" s="60"/>
      <c r="B3178" s="61" t="str">
        <f aca="false">IF($M3178=0,"",INDEX(Classes!$E$6:$E$420,$M3178))</f>
        <v/>
      </c>
      <c r="C3178" s="62" t="str">
        <f aca="false">IF($M3178=0,"",INDEX(Classes!$H$6:$H$420,$M3178))</f>
        <v/>
      </c>
      <c r="D3178" s="61" t="str">
        <f aca="false">IF($M3178=0,"",INDEX(Classes!$B$6:$B$420,$M3178))</f>
        <v/>
      </c>
      <c r="E3178" s="61" t="str">
        <f aca="false">IF($M3178=0,"",INDEX(Classes!$C$6:$C$420,$M3178))</f>
        <v/>
      </c>
      <c r="F3178" s="63"/>
      <c r="G3178" s="63"/>
      <c r="H3178" s="60"/>
      <c r="I3178" s="60"/>
      <c r="J3178" s="63"/>
      <c r="K3178" s="61" t="str">
        <f aca="false">IF($P3178=0,"",IF($F3178="Baseline","— Baseline",IF($O3178=0,"No result",IF($N3178=0,"No Start (attainment only)",IF(OR($N3178=1,$O3178=1),"U – needs rule",INDEX(MxBody,MATCH($I3178,MxCurr,0),MATCH($H3178,MxStart,0)))))))</f>
        <v/>
      </c>
      <c r="L3178" s="62" t="str">
        <f aca="false">IF(COUNTA($A3178,$F3178,$G3178,$H3178,$I3178,$J3178)=0,"",IF($M3178=0,"✖ كود الصف غير موجود",IF(ISNA(MATCH($F3178,Lists!$A$2:$A$5,0)),"✖ الفترة غير صحيحة",IF(ISNA(MATCH($G3178,Lists!$B$2:$B$7,0)),"✖ المجموعة غير صحيحة",IF(NOT(OR($H3178="",$N3178&gt;0)),"✖ Start غير صحيح",IF(NOT(OR($I3178="",$I3178="NR",$O3178&gt;0)),"✖ Current غير صحيح",IF(NOT(IF(ISNUMBER($J3178),AND($J3178&gt;=0,$J3178=INT($J3178)),FALSE())),"✖ العدد يجب أن يكون صحيحًا ≥ 0",IF(AND($F3178="Baseline",$H3178&lt;&gt;""),"⚠ Baseline: Start لا يدخل في التقدم",IF($K3178="No Start (attainment only)","ℹ تحصيل فقط (بدون Start)",IF($K3178="U – needs rule","ℹ حالة U تحتاج قاعدة معتمدة",IF($K3178="No result","ℹ بدون نتيجة (يُستبعد من التحصيل)","OK")))))))))))</f>
        <v/>
      </c>
      <c r="M3178" s="64" t="n">
        <f aca="false">IF($A3178="",0,IFERROR(MATCH($A3178,Classes!$A$6:$A$420,0),0))</f>
        <v>0</v>
      </c>
      <c r="N3178" s="64" t="n">
        <f aca="false">IF($H3178="",0,IFERROR(MATCH($H3178,GradeList,0),0))</f>
        <v>0</v>
      </c>
      <c r="O3178" s="64" t="n">
        <f aca="false">IF(OR($I3178="",$I3178="NR"),0,IFERROR(MATCH($I3178,GradeList,0),0))</f>
        <v>0</v>
      </c>
      <c r="P3178" s="64" t="n">
        <f aca="false">IF(AND($M3178&gt;0,ISNUMBER(MATCH($F3178,Lists!$A$2:$A$5,0)),ISNUMBER(MATCH($G3178,Lists!$B$2:$B$7,0)),OR($H3178="",$N3178&gt;0),OR($I3178="",$I3178="NR",$O3178&gt;0),IF(ISNUMBER($J3178),AND($J3178&gt;=0,$J3178=INT($J3178)),FALSE())),$J3178,0)</f>
        <v>0</v>
      </c>
      <c r="Q3178" s="64" t="n">
        <f aca="false">IF(AND($P3178&gt;0,$O3178&gt;0),$P3178,0)</f>
        <v>0</v>
      </c>
      <c r="R3178" s="64" t="n">
        <f aca="false">IF(AND($Q3178&gt;0,$O3178&gt;=AtRank),$Q3178,0)</f>
        <v>0</v>
      </c>
      <c r="S3178" s="64" t="n">
        <f aca="false">IF(AND($Q3178&gt;0,$O3178&gt;=AboveRank),$Q3178,0)</f>
        <v>0</v>
      </c>
      <c r="T3178" s="64" t="n">
        <f aca="false">IF($K3178="Less",$P3178,0)</f>
        <v>0</v>
      </c>
      <c r="U3178" s="64" t="n">
        <f aca="false">IF($K3178="Expected",$P3178,0)</f>
        <v>0</v>
      </c>
      <c r="V3178" s="64" t="n">
        <f aca="false">IF($K3178="Better",$P3178,0)</f>
        <v>0</v>
      </c>
      <c r="W3178" s="64" t="n">
        <f aca="false">IF($K3178="U – needs rule",$P3178,0)</f>
        <v>0</v>
      </c>
      <c r="X3178" s="64" t="n">
        <f aca="false">IF($K3178="No Start (attainment only)",$P3178,0)</f>
        <v>0</v>
      </c>
    </row>
    <row r="3179" customFormat="false" ht="15" hidden="false" customHeight="false" outlineLevel="0" collapsed="false">
      <c r="A3179" s="60"/>
      <c r="B3179" s="61" t="str">
        <f aca="false">IF($M3179=0,"",INDEX(Classes!$E$6:$E$420,$M3179))</f>
        <v/>
      </c>
      <c r="C3179" s="62" t="str">
        <f aca="false">IF($M3179=0,"",INDEX(Classes!$H$6:$H$420,$M3179))</f>
        <v/>
      </c>
      <c r="D3179" s="61" t="str">
        <f aca="false">IF($M3179=0,"",INDEX(Classes!$B$6:$B$420,$M3179))</f>
        <v/>
      </c>
      <c r="E3179" s="61" t="str">
        <f aca="false">IF($M3179=0,"",INDEX(Classes!$C$6:$C$420,$M3179))</f>
        <v/>
      </c>
      <c r="F3179" s="63"/>
      <c r="G3179" s="63"/>
      <c r="H3179" s="60"/>
      <c r="I3179" s="60"/>
      <c r="J3179" s="63"/>
      <c r="K3179" s="61" t="str">
        <f aca="false">IF($P3179=0,"",IF($F3179="Baseline","— Baseline",IF($O3179=0,"No result",IF($N3179=0,"No Start (attainment only)",IF(OR($N3179=1,$O3179=1),"U – needs rule",INDEX(MxBody,MATCH($I3179,MxCurr,0),MATCH($H3179,MxStart,0)))))))</f>
        <v/>
      </c>
      <c r="L3179" s="62" t="str">
        <f aca="false">IF(COUNTA($A3179,$F3179,$G3179,$H3179,$I3179,$J3179)=0,"",IF($M3179=0,"✖ كود الصف غير موجود",IF(ISNA(MATCH($F3179,Lists!$A$2:$A$5,0)),"✖ الفترة غير صحيحة",IF(ISNA(MATCH($G3179,Lists!$B$2:$B$7,0)),"✖ المجموعة غير صحيحة",IF(NOT(OR($H3179="",$N3179&gt;0)),"✖ Start غير صحيح",IF(NOT(OR($I3179="",$I3179="NR",$O3179&gt;0)),"✖ Current غير صحيح",IF(NOT(IF(ISNUMBER($J3179),AND($J3179&gt;=0,$J3179=INT($J3179)),FALSE())),"✖ العدد يجب أن يكون صحيحًا ≥ 0",IF(AND($F3179="Baseline",$H3179&lt;&gt;""),"⚠ Baseline: Start لا يدخل في التقدم",IF($K3179="No Start (attainment only)","ℹ تحصيل فقط (بدون Start)",IF($K3179="U – needs rule","ℹ حالة U تحتاج قاعدة معتمدة",IF($K3179="No result","ℹ بدون نتيجة (يُستبعد من التحصيل)","OK")))))))))))</f>
        <v/>
      </c>
      <c r="M3179" s="64" t="n">
        <f aca="false">IF($A3179="",0,IFERROR(MATCH($A3179,Classes!$A$6:$A$420,0),0))</f>
        <v>0</v>
      </c>
      <c r="N3179" s="64" t="n">
        <f aca="false">IF($H3179="",0,IFERROR(MATCH($H3179,GradeList,0),0))</f>
        <v>0</v>
      </c>
      <c r="O3179" s="64" t="n">
        <f aca="false">IF(OR($I3179="",$I3179="NR"),0,IFERROR(MATCH($I3179,GradeList,0),0))</f>
        <v>0</v>
      </c>
      <c r="P3179" s="64" t="n">
        <f aca="false">IF(AND($M3179&gt;0,ISNUMBER(MATCH($F3179,Lists!$A$2:$A$5,0)),ISNUMBER(MATCH($G3179,Lists!$B$2:$B$7,0)),OR($H3179="",$N3179&gt;0),OR($I3179="",$I3179="NR",$O3179&gt;0),IF(ISNUMBER($J3179),AND($J3179&gt;=0,$J3179=INT($J3179)),FALSE())),$J3179,0)</f>
        <v>0</v>
      </c>
      <c r="Q3179" s="64" t="n">
        <f aca="false">IF(AND($P3179&gt;0,$O3179&gt;0),$P3179,0)</f>
        <v>0</v>
      </c>
      <c r="R3179" s="64" t="n">
        <f aca="false">IF(AND($Q3179&gt;0,$O3179&gt;=AtRank),$Q3179,0)</f>
        <v>0</v>
      </c>
      <c r="S3179" s="64" t="n">
        <f aca="false">IF(AND($Q3179&gt;0,$O3179&gt;=AboveRank),$Q3179,0)</f>
        <v>0</v>
      </c>
      <c r="T3179" s="64" t="n">
        <f aca="false">IF($K3179="Less",$P3179,0)</f>
        <v>0</v>
      </c>
      <c r="U3179" s="64" t="n">
        <f aca="false">IF($K3179="Expected",$P3179,0)</f>
        <v>0</v>
      </c>
      <c r="V3179" s="64" t="n">
        <f aca="false">IF($K3179="Better",$P3179,0)</f>
        <v>0</v>
      </c>
      <c r="W3179" s="64" t="n">
        <f aca="false">IF($K3179="U – needs rule",$P3179,0)</f>
        <v>0</v>
      </c>
      <c r="X3179" s="64" t="n">
        <f aca="false">IF($K3179="No Start (attainment only)",$P3179,0)</f>
        <v>0</v>
      </c>
    </row>
    <row r="3180" customFormat="false" ht="15" hidden="false" customHeight="false" outlineLevel="0" collapsed="false">
      <c r="A3180" s="60"/>
      <c r="B3180" s="61" t="str">
        <f aca="false">IF($M3180=0,"",INDEX(Classes!$E$6:$E$420,$M3180))</f>
        <v/>
      </c>
      <c r="C3180" s="62" t="str">
        <f aca="false">IF($M3180=0,"",INDEX(Classes!$H$6:$H$420,$M3180))</f>
        <v/>
      </c>
      <c r="D3180" s="61" t="str">
        <f aca="false">IF($M3180=0,"",INDEX(Classes!$B$6:$B$420,$M3180))</f>
        <v/>
      </c>
      <c r="E3180" s="61" t="str">
        <f aca="false">IF($M3180=0,"",INDEX(Classes!$C$6:$C$420,$M3180))</f>
        <v/>
      </c>
      <c r="F3180" s="63"/>
      <c r="G3180" s="63"/>
      <c r="H3180" s="60"/>
      <c r="I3180" s="60"/>
      <c r="J3180" s="63"/>
      <c r="K3180" s="61" t="str">
        <f aca="false">IF($P3180=0,"",IF($F3180="Baseline","— Baseline",IF($O3180=0,"No result",IF($N3180=0,"No Start (attainment only)",IF(OR($N3180=1,$O3180=1),"U – needs rule",INDEX(MxBody,MATCH($I3180,MxCurr,0),MATCH($H3180,MxStart,0)))))))</f>
        <v/>
      </c>
      <c r="L3180" s="62" t="str">
        <f aca="false">IF(COUNTA($A3180,$F3180,$G3180,$H3180,$I3180,$J3180)=0,"",IF($M3180=0,"✖ كود الصف غير موجود",IF(ISNA(MATCH($F3180,Lists!$A$2:$A$5,0)),"✖ الفترة غير صحيحة",IF(ISNA(MATCH($G3180,Lists!$B$2:$B$7,0)),"✖ المجموعة غير صحيحة",IF(NOT(OR($H3180="",$N3180&gt;0)),"✖ Start غير صحيح",IF(NOT(OR($I3180="",$I3180="NR",$O3180&gt;0)),"✖ Current غير صحيح",IF(NOT(IF(ISNUMBER($J3180),AND($J3180&gt;=0,$J3180=INT($J3180)),FALSE())),"✖ العدد يجب أن يكون صحيحًا ≥ 0",IF(AND($F3180="Baseline",$H3180&lt;&gt;""),"⚠ Baseline: Start لا يدخل في التقدم",IF($K3180="No Start (attainment only)","ℹ تحصيل فقط (بدون Start)",IF($K3180="U – needs rule","ℹ حالة U تحتاج قاعدة معتمدة",IF($K3180="No result","ℹ بدون نتيجة (يُستبعد من التحصيل)","OK")))))))))))</f>
        <v/>
      </c>
      <c r="M3180" s="64" t="n">
        <f aca="false">IF($A3180="",0,IFERROR(MATCH($A3180,Classes!$A$6:$A$420,0),0))</f>
        <v>0</v>
      </c>
      <c r="N3180" s="64" t="n">
        <f aca="false">IF($H3180="",0,IFERROR(MATCH($H3180,GradeList,0),0))</f>
        <v>0</v>
      </c>
      <c r="O3180" s="64" t="n">
        <f aca="false">IF(OR($I3180="",$I3180="NR"),0,IFERROR(MATCH($I3180,GradeList,0),0))</f>
        <v>0</v>
      </c>
      <c r="P3180" s="64" t="n">
        <f aca="false">IF(AND($M3180&gt;0,ISNUMBER(MATCH($F3180,Lists!$A$2:$A$5,0)),ISNUMBER(MATCH($G3180,Lists!$B$2:$B$7,0)),OR($H3180="",$N3180&gt;0),OR($I3180="",$I3180="NR",$O3180&gt;0),IF(ISNUMBER($J3180),AND($J3180&gt;=0,$J3180=INT($J3180)),FALSE())),$J3180,0)</f>
        <v>0</v>
      </c>
      <c r="Q3180" s="64" t="n">
        <f aca="false">IF(AND($P3180&gt;0,$O3180&gt;0),$P3180,0)</f>
        <v>0</v>
      </c>
      <c r="R3180" s="64" t="n">
        <f aca="false">IF(AND($Q3180&gt;0,$O3180&gt;=AtRank),$Q3180,0)</f>
        <v>0</v>
      </c>
      <c r="S3180" s="64" t="n">
        <f aca="false">IF(AND($Q3180&gt;0,$O3180&gt;=AboveRank),$Q3180,0)</f>
        <v>0</v>
      </c>
      <c r="T3180" s="64" t="n">
        <f aca="false">IF($K3180="Less",$P3180,0)</f>
        <v>0</v>
      </c>
      <c r="U3180" s="64" t="n">
        <f aca="false">IF($K3180="Expected",$P3180,0)</f>
        <v>0</v>
      </c>
      <c r="V3180" s="64" t="n">
        <f aca="false">IF($K3180="Better",$P3180,0)</f>
        <v>0</v>
      </c>
      <c r="W3180" s="64" t="n">
        <f aca="false">IF($K3180="U – needs rule",$P3180,0)</f>
        <v>0</v>
      </c>
      <c r="X3180" s="64" t="n">
        <f aca="false">IF($K3180="No Start (attainment only)",$P3180,0)</f>
        <v>0</v>
      </c>
    </row>
    <row r="3181" customFormat="false" ht="15" hidden="false" customHeight="false" outlineLevel="0" collapsed="false">
      <c r="A3181" s="60"/>
      <c r="B3181" s="61" t="str">
        <f aca="false">IF($M3181=0,"",INDEX(Classes!$E$6:$E$420,$M3181))</f>
        <v/>
      </c>
      <c r="C3181" s="62" t="str">
        <f aca="false">IF($M3181=0,"",INDEX(Classes!$H$6:$H$420,$M3181))</f>
        <v/>
      </c>
      <c r="D3181" s="61" t="str">
        <f aca="false">IF($M3181=0,"",INDEX(Classes!$B$6:$B$420,$M3181))</f>
        <v/>
      </c>
      <c r="E3181" s="61" t="str">
        <f aca="false">IF($M3181=0,"",INDEX(Classes!$C$6:$C$420,$M3181))</f>
        <v/>
      </c>
      <c r="F3181" s="63"/>
      <c r="G3181" s="63"/>
      <c r="H3181" s="60"/>
      <c r="I3181" s="60"/>
      <c r="J3181" s="63"/>
      <c r="K3181" s="61" t="str">
        <f aca="false">IF($P3181=0,"",IF($F3181="Baseline","— Baseline",IF($O3181=0,"No result",IF($N3181=0,"No Start (attainment only)",IF(OR($N3181=1,$O3181=1),"U – needs rule",INDEX(MxBody,MATCH($I3181,MxCurr,0),MATCH($H3181,MxStart,0)))))))</f>
        <v/>
      </c>
      <c r="L3181" s="62" t="str">
        <f aca="false">IF(COUNTA($A3181,$F3181,$G3181,$H3181,$I3181,$J3181)=0,"",IF($M3181=0,"✖ كود الصف غير موجود",IF(ISNA(MATCH($F3181,Lists!$A$2:$A$5,0)),"✖ الفترة غير صحيحة",IF(ISNA(MATCH($G3181,Lists!$B$2:$B$7,0)),"✖ المجموعة غير صحيحة",IF(NOT(OR($H3181="",$N3181&gt;0)),"✖ Start غير صحيح",IF(NOT(OR($I3181="",$I3181="NR",$O3181&gt;0)),"✖ Current غير صحيح",IF(NOT(IF(ISNUMBER($J3181),AND($J3181&gt;=0,$J3181=INT($J3181)),FALSE())),"✖ العدد يجب أن يكون صحيحًا ≥ 0",IF(AND($F3181="Baseline",$H3181&lt;&gt;""),"⚠ Baseline: Start لا يدخل في التقدم",IF($K3181="No Start (attainment only)","ℹ تحصيل فقط (بدون Start)",IF($K3181="U – needs rule","ℹ حالة U تحتاج قاعدة معتمدة",IF($K3181="No result","ℹ بدون نتيجة (يُستبعد من التحصيل)","OK")))))))))))</f>
        <v/>
      </c>
      <c r="M3181" s="64" t="n">
        <f aca="false">IF($A3181="",0,IFERROR(MATCH($A3181,Classes!$A$6:$A$420,0),0))</f>
        <v>0</v>
      </c>
      <c r="N3181" s="64" t="n">
        <f aca="false">IF($H3181="",0,IFERROR(MATCH($H3181,GradeList,0),0))</f>
        <v>0</v>
      </c>
      <c r="O3181" s="64" t="n">
        <f aca="false">IF(OR($I3181="",$I3181="NR"),0,IFERROR(MATCH($I3181,GradeList,0),0))</f>
        <v>0</v>
      </c>
      <c r="P3181" s="64" t="n">
        <f aca="false">IF(AND($M3181&gt;0,ISNUMBER(MATCH($F3181,Lists!$A$2:$A$5,0)),ISNUMBER(MATCH($G3181,Lists!$B$2:$B$7,0)),OR($H3181="",$N3181&gt;0),OR($I3181="",$I3181="NR",$O3181&gt;0),IF(ISNUMBER($J3181),AND($J3181&gt;=0,$J3181=INT($J3181)),FALSE())),$J3181,0)</f>
        <v>0</v>
      </c>
      <c r="Q3181" s="64" t="n">
        <f aca="false">IF(AND($P3181&gt;0,$O3181&gt;0),$P3181,0)</f>
        <v>0</v>
      </c>
      <c r="R3181" s="64" t="n">
        <f aca="false">IF(AND($Q3181&gt;0,$O3181&gt;=AtRank),$Q3181,0)</f>
        <v>0</v>
      </c>
      <c r="S3181" s="64" t="n">
        <f aca="false">IF(AND($Q3181&gt;0,$O3181&gt;=AboveRank),$Q3181,0)</f>
        <v>0</v>
      </c>
      <c r="T3181" s="64" t="n">
        <f aca="false">IF($K3181="Less",$P3181,0)</f>
        <v>0</v>
      </c>
      <c r="U3181" s="64" t="n">
        <f aca="false">IF($K3181="Expected",$P3181,0)</f>
        <v>0</v>
      </c>
      <c r="V3181" s="64" t="n">
        <f aca="false">IF($K3181="Better",$P3181,0)</f>
        <v>0</v>
      </c>
      <c r="W3181" s="64" t="n">
        <f aca="false">IF($K3181="U – needs rule",$P3181,0)</f>
        <v>0</v>
      </c>
      <c r="X3181" s="64" t="n">
        <f aca="false">IF($K3181="No Start (attainment only)",$P3181,0)</f>
        <v>0</v>
      </c>
    </row>
    <row r="3182" customFormat="false" ht="15" hidden="false" customHeight="false" outlineLevel="0" collapsed="false">
      <c r="A3182" s="60"/>
      <c r="B3182" s="61" t="str">
        <f aca="false">IF($M3182=0,"",INDEX(Classes!$E$6:$E$420,$M3182))</f>
        <v/>
      </c>
      <c r="C3182" s="62" t="str">
        <f aca="false">IF($M3182=0,"",INDEX(Classes!$H$6:$H$420,$M3182))</f>
        <v/>
      </c>
      <c r="D3182" s="61" t="str">
        <f aca="false">IF($M3182=0,"",INDEX(Classes!$B$6:$B$420,$M3182))</f>
        <v/>
      </c>
      <c r="E3182" s="61" t="str">
        <f aca="false">IF($M3182=0,"",INDEX(Classes!$C$6:$C$420,$M3182))</f>
        <v/>
      </c>
      <c r="F3182" s="63"/>
      <c r="G3182" s="63"/>
      <c r="H3182" s="60"/>
      <c r="I3182" s="60"/>
      <c r="J3182" s="63"/>
      <c r="K3182" s="61" t="str">
        <f aca="false">IF($P3182=0,"",IF($F3182="Baseline","— Baseline",IF($O3182=0,"No result",IF($N3182=0,"No Start (attainment only)",IF(OR($N3182=1,$O3182=1),"U – needs rule",INDEX(MxBody,MATCH($I3182,MxCurr,0),MATCH($H3182,MxStart,0)))))))</f>
        <v/>
      </c>
      <c r="L3182" s="62" t="str">
        <f aca="false">IF(COUNTA($A3182,$F3182,$G3182,$H3182,$I3182,$J3182)=0,"",IF($M3182=0,"✖ كود الصف غير موجود",IF(ISNA(MATCH($F3182,Lists!$A$2:$A$5,0)),"✖ الفترة غير صحيحة",IF(ISNA(MATCH($G3182,Lists!$B$2:$B$7,0)),"✖ المجموعة غير صحيحة",IF(NOT(OR($H3182="",$N3182&gt;0)),"✖ Start غير صحيح",IF(NOT(OR($I3182="",$I3182="NR",$O3182&gt;0)),"✖ Current غير صحيح",IF(NOT(IF(ISNUMBER($J3182),AND($J3182&gt;=0,$J3182=INT($J3182)),FALSE())),"✖ العدد يجب أن يكون صحيحًا ≥ 0",IF(AND($F3182="Baseline",$H3182&lt;&gt;""),"⚠ Baseline: Start لا يدخل في التقدم",IF($K3182="No Start (attainment only)","ℹ تحصيل فقط (بدون Start)",IF($K3182="U – needs rule","ℹ حالة U تحتاج قاعدة معتمدة",IF($K3182="No result","ℹ بدون نتيجة (يُستبعد من التحصيل)","OK")))))))))))</f>
        <v/>
      </c>
      <c r="M3182" s="64" t="n">
        <f aca="false">IF($A3182="",0,IFERROR(MATCH($A3182,Classes!$A$6:$A$420,0),0))</f>
        <v>0</v>
      </c>
      <c r="N3182" s="64" t="n">
        <f aca="false">IF($H3182="",0,IFERROR(MATCH($H3182,GradeList,0),0))</f>
        <v>0</v>
      </c>
      <c r="O3182" s="64" t="n">
        <f aca="false">IF(OR($I3182="",$I3182="NR"),0,IFERROR(MATCH($I3182,GradeList,0),0))</f>
        <v>0</v>
      </c>
      <c r="P3182" s="64" t="n">
        <f aca="false">IF(AND($M3182&gt;0,ISNUMBER(MATCH($F3182,Lists!$A$2:$A$5,0)),ISNUMBER(MATCH($G3182,Lists!$B$2:$B$7,0)),OR($H3182="",$N3182&gt;0),OR($I3182="",$I3182="NR",$O3182&gt;0),IF(ISNUMBER($J3182),AND($J3182&gt;=0,$J3182=INT($J3182)),FALSE())),$J3182,0)</f>
        <v>0</v>
      </c>
      <c r="Q3182" s="64" t="n">
        <f aca="false">IF(AND($P3182&gt;0,$O3182&gt;0),$P3182,0)</f>
        <v>0</v>
      </c>
      <c r="R3182" s="64" t="n">
        <f aca="false">IF(AND($Q3182&gt;0,$O3182&gt;=AtRank),$Q3182,0)</f>
        <v>0</v>
      </c>
      <c r="S3182" s="64" t="n">
        <f aca="false">IF(AND($Q3182&gt;0,$O3182&gt;=AboveRank),$Q3182,0)</f>
        <v>0</v>
      </c>
      <c r="T3182" s="64" t="n">
        <f aca="false">IF($K3182="Less",$P3182,0)</f>
        <v>0</v>
      </c>
      <c r="U3182" s="64" t="n">
        <f aca="false">IF($K3182="Expected",$P3182,0)</f>
        <v>0</v>
      </c>
      <c r="V3182" s="64" t="n">
        <f aca="false">IF($K3182="Better",$P3182,0)</f>
        <v>0</v>
      </c>
      <c r="W3182" s="64" t="n">
        <f aca="false">IF($K3182="U – needs rule",$P3182,0)</f>
        <v>0</v>
      </c>
      <c r="X3182" s="64" t="n">
        <f aca="false">IF($K3182="No Start (attainment only)",$P3182,0)</f>
        <v>0</v>
      </c>
    </row>
    <row r="3183" customFormat="false" ht="15" hidden="false" customHeight="false" outlineLevel="0" collapsed="false">
      <c r="A3183" s="60"/>
      <c r="B3183" s="61" t="str">
        <f aca="false">IF($M3183=0,"",INDEX(Classes!$E$6:$E$420,$M3183))</f>
        <v/>
      </c>
      <c r="C3183" s="62" t="str">
        <f aca="false">IF($M3183=0,"",INDEX(Classes!$H$6:$H$420,$M3183))</f>
        <v/>
      </c>
      <c r="D3183" s="61" t="str">
        <f aca="false">IF($M3183=0,"",INDEX(Classes!$B$6:$B$420,$M3183))</f>
        <v/>
      </c>
      <c r="E3183" s="61" t="str">
        <f aca="false">IF($M3183=0,"",INDEX(Classes!$C$6:$C$420,$M3183))</f>
        <v/>
      </c>
      <c r="F3183" s="63"/>
      <c r="G3183" s="63"/>
      <c r="H3183" s="60"/>
      <c r="I3183" s="60"/>
      <c r="J3183" s="63"/>
      <c r="K3183" s="61" t="str">
        <f aca="false">IF($P3183=0,"",IF($F3183="Baseline","— Baseline",IF($O3183=0,"No result",IF($N3183=0,"No Start (attainment only)",IF(OR($N3183=1,$O3183=1),"U – needs rule",INDEX(MxBody,MATCH($I3183,MxCurr,0),MATCH($H3183,MxStart,0)))))))</f>
        <v/>
      </c>
      <c r="L3183" s="62" t="str">
        <f aca="false">IF(COUNTA($A3183,$F3183,$G3183,$H3183,$I3183,$J3183)=0,"",IF($M3183=0,"✖ كود الصف غير موجود",IF(ISNA(MATCH($F3183,Lists!$A$2:$A$5,0)),"✖ الفترة غير صحيحة",IF(ISNA(MATCH($G3183,Lists!$B$2:$B$7,0)),"✖ المجموعة غير صحيحة",IF(NOT(OR($H3183="",$N3183&gt;0)),"✖ Start غير صحيح",IF(NOT(OR($I3183="",$I3183="NR",$O3183&gt;0)),"✖ Current غير صحيح",IF(NOT(IF(ISNUMBER($J3183),AND($J3183&gt;=0,$J3183=INT($J3183)),FALSE())),"✖ العدد يجب أن يكون صحيحًا ≥ 0",IF(AND($F3183="Baseline",$H3183&lt;&gt;""),"⚠ Baseline: Start لا يدخل في التقدم",IF($K3183="No Start (attainment only)","ℹ تحصيل فقط (بدون Start)",IF($K3183="U – needs rule","ℹ حالة U تحتاج قاعدة معتمدة",IF($K3183="No result","ℹ بدون نتيجة (يُستبعد من التحصيل)","OK")))))))))))</f>
        <v/>
      </c>
      <c r="M3183" s="64" t="n">
        <f aca="false">IF($A3183="",0,IFERROR(MATCH($A3183,Classes!$A$6:$A$420,0),0))</f>
        <v>0</v>
      </c>
      <c r="N3183" s="64" t="n">
        <f aca="false">IF($H3183="",0,IFERROR(MATCH($H3183,GradeList,0),0))</f>
        <v>0</v>
      </c>
      <c r="O3183" s="64" t="n">
        <f aca="false">IF(OR($I3183="",$I3183="NR"),0,IFERROR(MATCH($I3183,GradeList,0),0))</f>
        <v>0</v>
      </c>
      <c r="P3183" s="64" t="n">
        <f aca="false">IF(AND($M3183&gt;0,ISNUMBER(MATCH($F3183,Lists!$A$2:$A$5,0)),ISNUMBER(MATCH($G3183,Lists!$B$2:$B$7,0)),OR($H3183="",$N3183&gt;0),OR($I3183="",$I3183="NR",$O3183&gt;0),IF(ISNUMBER($J3183),AND($J3183&gt;=0,$J3183=INT($J3183)),FALSE())),$J3183,0)</f>
        <v>0</v>
      </c>
      <c r="Q3183" s="64" t="n">
        <f aca="false">IF(AND($P3183&gt;0,$O3183&gt;0),$P3183,0)</f>
        <v>0</v>
      </c>
      <c r="R3183" s="64" t="n">
        <f aca="false">IF(AND($Q3183&gt;0,$O3183&gt;=AtRank),$Q3183,0)</f>
        <v>0</v>
      </c>
      <c r="S3183" s="64" t="n">
        <f aca="false">IF(AND($Q3183&gt;0,$O3183&gt;=AboveRank),$Q3183,0)</f>
        <v>0</v>
      </c>
      <c r="T3183" s="64" t="n">
        <f aca="false">IF($K3183="Less",$P3183,0)</f>
        <v>0</v>
      </c>
      <c r="U3183" s="64" t="n">
        <f aca="false">IF($K3183="Expected",$P3183,0)</f>
        <v>0</v>
      </c>
      <c r="V3183" s="64" t="n">
        <f aca="false">IF($K3183="Better",$P3183,0)</f>
        <v>0</v>
      </c>
      <c r="W3183" s="64" t="n">
        <f aca="false">IF($K3183="U – needs rule",$P3183,0)</f>
        <v>0</v>
      </c>
      <c r="X3183" s="64" t="n">
        <f aca="false">IF($K3183="No Start (attainment only)",$P3183,0)</f>
        <v>0</v>
      </c>
    </row>
    <row r="3184" customFormat="false" ht="15" hidden="false" customHeight="false" outlineLevel="0" collapsed="false">
      <c r="A3184" s="60"/>
      <c r="B3184" s="61" t="str">
        <f aca="false">IF($M3184=0,"",INDEX(Classes!$E$6:$E$420,$M3184))</f>
        <v/>
      </c>
      <c r="C3184" s="62" t="str">
        <f aca="false">IF($M3184=0,"",INDEX(Classes!$H$6:$H$420,$M3184))</f>
        <v/>
      </c>
      <c r="D3184" s="61" t="str">
        <f aca="false">IF($M3184=0,"",INDEX(Classes!$B$6:$B$420,$M3184))</f>
        <v/>
      </c>
      <c r="E3184" s="61" t="str">
        <f aca="false">IF($M3184=0,"",INDEX(Classes!$C$6:$C$420,$M3184))</f>
        <v/>
      </c>
      <c r="F3184" s="63"/>
      <c r="G3184" s="63"/>
      <c r="H3184" s="60"/>
      <c r="I3184" s="60"/>
      <c r="J3184" s="63"/>
      <c r="K3184" s="61" t="str">
        <f aca="false">IF($P3184=0,"",IF($F3184="Baseline","— Baseline",IF($O3184=0,"No result",IF($N3184=0,"No Start (attainment only)",IF(OR($N3184=1,$O3184=1),"U – needs rule",INDEX(MxBody,MATCH($I3184,MxCurr,0),MATCH($H3184,MxStart,0)))))))</f>
        <v/>
      </c>
      <c r="L3184" s="62" t="str">
        <f aca="false">IF(COUNTA($A3184,$F3184,$G3184,$H3184,$I3184,$J3184)=0,"",IF($M3184=0,"✖ كود الصف غير موجود",IF(ISNA(MATCH($F3184,Lists!$A$2:$A$5,0)),"✖ الفترة غير صحيحة",IF(ISNA(MATCH($G3184,Lists!$B$2:$B$7,0)),"✖ المجموعة غير صحيحة",IF(NOT(OR($H3184="",$N3184&gt;0)),"✖ Start غير صحيح",IF(NOT(OR($I3184="",$I3184="NR",$O3184&gt;0)),"✖ Current غير صحيح",IF(NOT(IF(ISNUMBER($J3184),AND($J3184&gt;=0,$J3184=INT($J3184)),FALSE())),"✖ العدد يجب أن يكون صحيحًا ≥ 0",IF(AND($F3184="Baseline",$H3184&lt;&gt;""),"⚠ Baseline: Start لا يدخل في التقدم",IF($K3184="No Start (attainment only)","ℹ تحصيل فقط (بدون Start)",IF($K3184="U – needs rule","ℹ حالة U تحتاج قاعدة معتمدة",IF($K3184="No result","ℹ بدون نتيجة (يُستبعد من التحصيل)","OK")))))))))))</f>
        <v/>
      </c>
      <c r="M3184" s="64" t="n">
        <f aca="false">IF($A3184="",0,IFERROR(MATCH($A3184,Classes!$A$6:$A$420,0),0))</f>
        <v>0</v>
      </c>
      <c r="N3184" s="64" t="n">
        <f aca="false">IF($H3184="",0,IFERROR(MATCH($H3184,GradeList,0),0))</f>
        <v>0</v>
      </c>
      <c r="O3184" s="64" t="n">
        <f aca="false">IF(OR($I3184="",$I3184="NR"),0,IFERROR(MATCH($I3184,GradeList,0),0))</f>
        <v>0</v>
      </c>
      <c r="P3184" s="64" t="n">
        <f aca="false">IF(AND($M3184&gt;0,ISNUMBER(MATCH($F3184,Lists!$A$2:$A$5,0)),ISNUMBER(MATCH($G3184,Lists!$B$2:$B$7,0)),OR($H3184="",$N3184&gt;0),OR($I3184="",$I3184="NR",$O3184&gt;0),IF(ISNUMBER($J3184),AND($J3184&gt;=0,$J3184=INT($J3184)),FALSE())),$J3184,0)</f>
        <v>0</v>
      </c>
      <c r="Q3184" s="64" t="n">
        <f aca="false">IF(AND($P3184&gt;0,$O3184&gt;0),$P3184,0)</f>
        <v>0</v>
      </c>
      <c r="R3184" s="64" t="n">
        <f aca="false">IF(AND($Q3184&gt;0,$O3184&gt;=AtRank),$Q3184,0)</f>
        <v>0</v>
      </c>
      <c r="S3184" s="64" t="n">
        <f aca="false">IF(AND($Q3184&gt;0,$O3184&gt;=AboveRank),$Q3184,0)</f>
        <v>0</v>
      </c>
      <c r="T3184" s="64" t="n">
        <f aca="false">IF($K3184="Less",$P3184,0)</f>
        <v>0</v>
      </c>
      <c r="U3184" s="64" t="n">
        <f aca="false">IF($K3184="Expected",$P3184,0)</f>
        <v>0</v>
      </c>
      <c r="V3184" s="64" t="n">
        <f aca="false">IF($K3184="Better",$P3184,0)</f>
        <v>0</v>
      </c>
      <c r="W3184" s="64" t="n">
        <f aca="false">IF($K3184="U – needs rule",$P3184,0)</f>
        <v>0</v>
      </c>
      <c r="X3184" s="64" t="n">
        <f aca="false">IF($K3184="No Start (attainment only)",$P3184,0)</f>
        <v>0</v>
      </c>
    </row>
    <row r="3185" customFormat="false" ht="15" hidden="false" customHeight="false" outlineLevel="0" collapsed="false">
      <c r="A3185" s="60"/>
      <c r="B3185" s="61" t="str">
        <f aca="false">IF($M3185=0,"",INDEX(Classes!$E$6:$E$420,$M3185))</f>
        <v/>
      </c>
      <c r="C3185" s="62" t="str">
        <f aca="false">IF($M3185=0,"",INDEX(Classes!$H$6:$H$420,$M3185))</f>
        <v/>
      </c>
      <c r="D3185" s="61" t="str">
        <f aca="false">IF($M3185=0,"",INDEX(Classes!$B$6:$B$420,$M3185))</f>
        <v/>
      </c>
      <c r="E3185" s="61" t="str">
        <f aca="false">IF($M3185=0,"",INDEX(Classes!$C$6:$C$420,$M3185))</f>
        <v/>
      </c>
      <c r="F3185" s="63"/>
      <c r="G3185" s="63"/>
      <c r="H3185" s="60"/>
      <c r="I3185" s="60"/>
      <c r="J3185" s="63"/>
      <c r="K3185" s="61" t="str">
        <f aca="false">IF($P3185=0,"",IF($F3185="Baseline","— Baseline",IF($O3185=0,"No result",IF($N3185=0,"No Start (attainment only)",IF(OR($N3185=1,$O3185=1),"U – needs rule",INDEX(MxBody,MATCH($I3185,MxCurr,0),MATCH($H3185,MxStart,0)))))))</f>
        <v/>
      </c>
      <c r="L3185" s="62" t="str">
        <f aca="false">IF(COUNTA($A3185,$F3185,$G3185,$H3185,$I3185,$J3185)=0,"",IF($M3185=0,"✖ كود الصف غير موجود",IF(ISNA(MATCH($F3185,Lists!$A$2:$A$5,0)),"✖ الفترة غير صحيحة",IF(ISNA(MATCH($G3185,Lists!$B$2:$B$7,0)),"✖ المجموعة غير صحيحة",IF(NOT(OR($H3185="",$N3185&gt;0)),"✖ Start غير صحيح",IF(NOT(OR($I3185="",$I3185="NR",$O3185&gt;0)),"✖ Current غير صحيح",IF(NOT(IF(ISNUMBER($J3185),AND($J3185&gt;=0,$J3185=INT($J3185)),FALSE())),"✖ العدد يجب أن يكون صحيحًا ≥ 0",IF(AND($F3185="Baseline",$H3185&lt;&gt;""),"⚠ Baseline: Start لا يدخل في التقدم",IF($K3185="No Start (attainment only)","ℹ تحصيل فقط (بدون Start)",IF($K3185="U – needs rule","ℹ حالة U تحتاج قاعدة معتمدة",IF($K3185="No result","ℹ بدون نتيجة (يُستبعد من التحصيل)","OK")))))))))))</f>
        <v/>
      </c>
      <c r="M3185" s="64" t="n">
        <f aca="false">IF($A3185="",0,IFERROR(MATCH($A3185,Classes!$A$6:$A$420,0),0))</f>
        <v>0</v>
      </c>
      <c r="N3185" s="64" t="n">
        <f aca="false">IF($H3185="",0,IFERROR(MATCH($H3185,GradeList,0),0))</f>
        <v>0</v>
      </c>
      <c r="O3185" s="64" t="n">
        <f aca="false">IF(OR($I3185="",$I3185="NR"),0,IFERROR(MATCH($I3185,GradeList,0),0))</f>
        <v>0</v>
      </c>
      <c r="P3185" s="64" t="n">
        <f aca="false">IF(AND($M3185&gt;0,ISNUMBER(MATCH($F3185,Lists!$A$2:$A$5,0)),ISNUMBER(MATCH($G3185,Lists!$B$2:$B$7,0)),OR($H3185="",$N3185&gt;0),OR($I3185="",$I3185="NR",$O3185&gt;0),IF(ISNUMBER($J3185),AND($J3185&gt;=0,$J3185=INT($J3185)),FALSE())),$J3185,0)</f>
        <v>0</v>
      </c>
      <c r="Q3185" s="64" t="n">
        <f aca="false">IF(AND($P3185&gt;0,$O3185&gt;0),$P3185,0)</f>
        <v>0</v>
      </c>
      <c r="R3185" s="64" t="n">
        <f aca="false">IF(AND($Q3185&gt;0,$O3185&gt;=AtRank),$Q3185,0)</f>
        <v>0</v>
      </c>
      <c r="S3185" s="64" t="n">
        <f aca="false">IF(AND($Q3185&gt;0,$O3185&gt;=AboveRank),$Q3185,0)</f>
        <v>0</v>
      </c>
      <c r="T3185" s="64" t="n">
        <f aca="false">IF($K3185="Less",$P3185,0)</f>
        <v>0</v>
      </c>
      <c r="U3185" s="64" t="n">
        <f aca="false">IF($K3185="Expected",$P3185,0)</f>
        <v>0</v>
      </c>
      <c r="V3185" s="64" t="n">
        <f aca="false">IF($K3185="Better",$P3185,0)</f>
        <v>0</v>
      </c>
      <c r="W3185" s="64" t="n">
        <f aca="false">IF($K3185="U – needs rule",$P3185,0)</f>
        <v>0</v>
      </c>
      <c r="X3185" s="64" t="n">
        <f aca="false">IF($K3185="No Start (attainment only)",$P3185,0)</f>
        <v>0</v>
      </c>
    </row>
    <row r="3186" customFormat="false" ht="15" hidden="false" customHeight="false" outlineLevel="0" collapsed="false">
      <c r="A3186" s="60"/>
      <c r="B3186" s="61" t="str">
        <f aca="false">IF($M3186=0,"",INDEX(Classes!$E$6:$E$420,$M3186))</f>
        <v/>
      </c>
      <c r="C3186" s="62" t="str">
        <f aca="false">IF($M3186=0,"",INDEX(Classes!$H$6:$H$420,$M3186))</f>
        <v/>
      </c>
      <c r="D3186" s="61" t="str">
        <f aca="false">IF($M3186=0,"",INDEX(Classes!$B$6:$B$420,$M3186))</f>
        <v/>
      </c>
      <c r="E3186" s="61" t="str">
        <f aca="false">IF($M3186=0,"",INDEX(Classes!$C$6:$C$420,$M3186))</f>
        <v/>
      </c>
      <c r="F3186" s="63"/>
      <c r="G3186" s="63"/>
      <c r="H3186" s="60"/>
      <c r="I3186" s="60"/>
      <c r="J3186" s="63"/>
      <c r="K3186" s="61" t="str">
        <f aca="false">IF($P3186=0,"",IF($F3186="Baseline","— Baseline",IF($O3186=0,"No result",IF($N3186=0,"No Start (attainment only)",IF(OR($N3186=1,$O3186=1),"U – needs rule",INDEX(MxBody,MATCH($I3186,MxCurr,0),MATCH($H3186,MxStart,0)))))))</f>
        <v/>
      </c>
      <c r="L3186" s="62" t="str">
        <f aca="false">IF(COUNTA($A3186,$F3186,$G3186,$H3186,$I3186,$J3186)=0,"",IF($M3186=0,"✖ كود الصف غير موجود",IF(ISNA(MATCH($F3186,Lists!$A$2:$A$5,0)),"✖ الفترة غير صحيحة",IF(ISNA(MATCH($G3186,Lists!$B$2:$B$7,0)),"✖ المجموعة غير صحيحة",IF(NOT(OR($H3186="",$N3186&gt;0)),"✖ Start غير صحيح",IF(NOT(OR($I3186="",$I3186="NR",$O3186&gt;0)),"✖ Current غير صحيح",IF(NOT(IF(ISNUMBER($J3186),AND($J3186&gt;=0,$J3186=INT($J3186)),FALSE())),"✖ العدد يجب أن يكون صحيحًا ≥ 0",IF(AND($F3186="Baseline",$H3186&lt;&gt;""),"⚠ Baseline: Start لا يدخل في التقدم",IF($K3186="No Start (attainment only)","ℹ تحصيل فقط (بدون Start)",IF($K3186="U – needs rule","ℹ حالة U تحتاج قاعدة معتمدة",IF($K3186="No result","ℹ بدون نتيجة (يُستبعد من التحصيل)","OK")))))))))))</f>
        <v/>
      </c>
      <c r="M3186" s="64" t="n">
        <f aca="false">IF($A3186="",0,IFERROR(MATCH($A3186,Classes!$A$6:$A$420,0),0))</f>
        <v>0</v>
      </c>
      <c r="N3186" s="64" t="n">
        <f aca="false">IF($H3186="",0,IFERROR(MATCH($H3186,GradeList,0),0))</f>
        <v>0</v>
      </c>
      <c r="O3186" s="64" t="n">
        <f aca="false">IF(OR($I3186="",$I3186="NR"),0,IFERROR(MATCH($I3186,GradeList,0),0))</f>
        <v>0</v>
      </c>
      <c r="P3186" s="64" t="n">
        <f aca="false">IF(AND($M3186&gt;0,ISNUMBER(MATCH($F3186,Lists!$A$2:$A$5,0)),ISNUMBER(MATCH($G3186,Lists!$B$2:$B$7,0)),OR($H3186="",$N3186&gt;0),OR($I3186="",$I3186="NR",$O3186&gt;0),IF(ISNUMBER($J3186),AND($J3186&gt;=0,$J3186=INT($J3186)),FALSE())),$J3186,0)</f>
        <v>0</v>
      </c>
      <c r="Q3186" s="64" t="n">
        <f aca="false">IF(AND($P3186&gt;0,$O3186&gt;0),$P3186,0)</f>
        <v>0</v>
      </c>
      <c r="R3186" s="64" t="n">
        <f aca="false">IF(AND($Q3186&gt;0,$O3186&gt;=AtRank),$Q3186,0)</f>
        <v>0</v>
      </c>
      <c r="S3186" s="64" t="n">
        <f aca="false">IF(AND($Q3186&gt;0,$O3186&gt;=AboveRank),$Q3186,0)</f>
        <v>0</v>
      </c>
      <c r="T3186" s="64" t="n">
        <f aca="false">IF($K3186="Less",$P3186,0)</f>
        <v>0</v>
      </c>
      <c r="U3186" s="64" t="n">
        <f aca="false">IF($K3186="Expected",$P3186,0)</f>
        <v>0</v>
      </c>
      <c r="V3186" s="64" t="n">
        <f aca="false">IF($K3186="Better",$P3186,0)</f>
        <v>0</v>
      </c>
      <c r="W3186" s="64" t="n">
        <f aca="false">IF($K3186="U – needs rule",$P3186,0)</f>
        <v>0</v>
      </c>
      <c r="X3186" s="64" t="n">
        <f aca="false">IF($K3186="No Start (attainment only)",$P3186,0)</f>
        <v>0</v>
      </c>
    </row>
    <row r="3187" customFormat="false" ht="15" hidden="false" customHeight="false" outlineLevel="0" collapsed="false">
      <c r="A3187" s="60"/>
      <c r="B3187" s="61" t="str">
        <f aca="false">IF($M3187=0,"",INDEX(Classes!$E$6:$E$420,$M3187))</f>
        <v/>
      </c>
      <c r="C3187" s="62" t="str">
        <f aca="false">IF($M3187=0,"",INDEX(Classes!$H$6:$H$420,$M3187))</f>
        <v/>
      </c>
      <c r="D3187" s="61" t="str">
        <f aca="false">IF($M3187=0,"",INDEX(Classes!$B$6:$B$420,$M3187))</f>
        <v/>
      </c>
      <c r="E3187" s="61" t="str">
        <f aca="false">IF($M3187=0,"",INDEX(Classes!$C$6:$C$420,$M3187))</f>
        <v/>
      </c>
      <c r="F3187" s="63"/>
      <c r="G3187" s="63"/>
      <c r="H3187" s="60"/>
      <c r="I3187" s="60"/>
      <c r="J3187" s="63"/>
      <c r="K3187" s="61" t="str">
        <f aca="false">IF($P3187=0,"",IF($F3187="Baseline","— Baseline",IF($O3187=0,"No result",IF($N3187=0,"No Start (attainment only)",IF(OR($N3187=1,$O3187=1),"U – needs rule",INDEX(MxBody,MATCH($I3187,MxCurr,0),MATCH($H3187,MxStart,0)))))))</f>
        <v/>
      </c>
      <c r="L3187" s="62" t="str">
        <f aca="false">IF(COUNTA($A3187,$F3187,$G3187,$H3187,$I3187,$J3187)=0,"",IF($M3187=0,"✖ كود الصف غير موجود",IF(ISNA(MATCH($F3187,Lists!$A$2:$A$5,0)),"✖ الفترة غير صحيحة",IF(ISNA(MATCH($G3187,Lists!$B$2:$B$7,0)),"✖ المجموعة غير صحيحة",IF(NOT(OR($H3187="",$N3187&gt;0)),"✖ Start غير صحيح",IF(NOT(OR($I3187="",$I3187="NR",$O3187&gt;0)),"✖ Current غير صحيح",IF(NOT(IF(ISNUMBER($J3187),AND($J3187&gt;=0,$J3187=INT($J3187)),FALSE())),"✖ العدد يجب أن يكون صحيحًا ≥ 0",IF(AND($F3187="Baseline",$H3187&lt;&gt;""),"⚠ Baseline: Start لا يدخل في التقدم",IF($K3187="No Start (attainment only)","ℹ تحصيل فقط (بدون Start)",IF($K3187="U – needs rule","ℹ حالة U تحتاج قاعدة معتمدة",IF($K3187="No result","ℹ بدون نتيجة (يُستبعد من التحصيل)","OK")))))))))))</f>
        <v/>
      </c>
      <c r="M3187" s="64" t="n">
        <f aca="false">IF($A3187="",0,IFERROR(MATCH($A3187,Classes!$A$6:$A$420,0),0))</f>
        <v>0</v>
      </c>
      <c r="N3187" s="64" t="n">
        <f aca="false">IF($H3187="",0,IFERROR(MATCH($H3187,GradeList,0),0))</f>
        <v>0</v>
      </c>
      <c r="O3187" s="64" t="n">
        <f aca="false">IF(OR($I3187="",$I3187="NR"),0,IFERROR(MATCH($I3187,GradeList,0),0))</f>
        <v>0</v>
      </c>
      <c r="P3187" s="64" t="n">
        <f aca="false">IF(AND($M3187&gt;0,ISNUMBER(MATCH($F3187,Lists!$A$2:$A$5,0)),ISNUMBER(MATCH($G3187,Lists!$B$2:$B$7,0)),OR($H3187="",$N3187&gt;0),OR($I3187="",$I3187="NR",$O3187&gt;0),IF(ISNUMBER($J3187),AND($J3187&gt;=0,$J3187=INT($J3187)),FALSE())),$J3187,0)</f>
        <v>0</v>
      </c>
      <c r="Q3187" s="64" t="n">
        <f aca="false">IF(AND($P3187&gt;0,$O3187&gt;0),$P3187,0)</f>
        <v>0</v>
      </c>
      <c r="R3187" s="64" t="n">
        <f aca="false">IF(AND($Q3187&gt;0,$O3187&gt;=AtRank),$Q3187,0)</f>
        <v>0</v>
      </c>
      <c r="S3187" s="64" t="n">
        <f aca="false">IF(AND($Q3187&gt;0,$O3187&gt;=AboveRank),$Q3187,0)</f>
        <v>0</v>
      </c>
      <c r="T3187" s="64" t="n">
        <f aca="false">IF($K3187="Less",$P3187,0)</f>
        <v>0</v>
      </c>
      <c r="U3187" s="64" t="n">
        <f aca="false">IF($K3187="Expected",$P3187,0)</f>
        <v>0</v>
      </c>
      <c r="V3187" s="64" t="n">
        <f aca="false">IF($K3187="Better",$P3187,0)</f>
        <v>0</v>
      </c>
      <c r="W3187" s="64" t="n">
        <f aca="false">IF($K3187="U – needs rule",$P3187,0)</f>
        <v>0</v>
      </c>
      <c r="X3187" s="64" t="n">
        <f aca="false">IF($K3187="No Start (attainment only)",$P3187,0)</f>
        <v>0</v>
      </c>
    </row>
    <row r="3188" customFormat="false" ht="15" hidden="false" customHeight="false" outlineLevel="0" collapsed="false">
      <c r="A3188" s="60"/>
      <c r="B3188" s="61" t="str">
        <f aca="false">IF($M3188=0,"",INDEX(Classes!$E$6:$E$420,$M3188))</f>
        <v/>
      </c>
      <c r="C3188" s="62" t="str">
        <f aca="false">IF($M3188=0,"",INDEX(Classes!$H$6:$H$420,$M3188))</f>
        <v/>
      </c>
      <c r="D3188" s="61" t="str">
        <f aca="false">IF($M3188=0,"",INDEX(Classes!$B$6:$B$420,$M3188))</f>
        <v/>
      </c>
      <c r="E3188" s="61" t="str">
        <f aca="false">IF($M3188=0,"",INDEX(Classes!$C$6:$C$420,$M3188))</f>
        <v/>
      </c>
      <c r="F3188" s="63"/>
      <c r="G3188" s="63"/>
      <c r="H3188" s="60"/>
      <c r="I3188" s="60"/>
      <c r="J3188" s="63"/>
      <c r="K3188" s="61" t="str">
        <f aca="false">IF($P3188=0,"",IF($F3188="Baseline","— Baseline",IF($O3188=0,"No result",IF($N3188=0,"No Start (attainment only)",IF(OR($N3188=1,$O3188=1),"U – needs rule",INDEX(MxBody,MATCH($I3188,MxCurr,0),MATCH($H3188,MxStart,0)))))))</f>
        <v/>
      </c>
      <c r="L3188" s="62" t="str">
        <f aca="false">IF(COUNTA($A3188,$F3188,$G3188,$H3188,$I3188,$J3188)=0,"",IF($M3188=0,"✖ كود الصف غير موجود",IF(ISNA(MATCH($F3188,Lists!$A$2:$A$5,0)),"✖ الفترة غير صحيحة",IF(ISNA(MATCH($G3188,Lists!$B$2:$B$7,0)),"✖ المجموعة غير صحيحة",IF(NOT(OR($H3188="",$N3188&gt;0)),"✖ Start غير صحيح",IF(NOT(OR($I3188="",$I3188="NR",$O3188&gt;0)),"✖ Current غير صحيح",IF(NOT(IF(ISNUMBER($J3188),AND($J3188&gt;=0,$J3188=INT($J3188)),FALSE())),"✖ العدد يجب أن يكون صحيحًا ≥ 0",IF(AND($F3188="Baseline",$H3188&lt;&gt;""),"⚠ Baseline: Start لا يدخل في التقدم",IF($K3188="No Start (attainment only)","ℹ تحصيل فقط (بدون Start)",IF($K3188="U – needs rule","ℹ حالة U تحتاج قاعدة معتمدة",IF($K3188="No result","ℹ بدون نتيجة (يُستبعد من التحصيل)","OK")))))))))))</f>
        <v/>
      </c>
      <c r="M3188" s="64" t="n">
        <f aca="false">IF($A3188="",0,IFERROR(MATCH($A3188,Classes!$A$6:$A$420,0),0))</f>
        <v>0</v>
      </c>
      <c r="N3188" s="64" t="n">
        <f aca="false">IF($H3188="",0,IFERROR(MATCH($H3188,GradeList,0),0))</f>
        <v>0</v>
      </c>
      <c r="O3188" s="64" t="n">
        <f aca="false">IF(OR($I3188="",$I3188="NR"),0,IFERROR(MATCH($I3188,GradeList,0),0))</f>
        <v>0</v>
      </c>
      <c r="P3188" s="64" t="n">
        <f aca="false">IF(AND($M3188&gt;0,ISNUMBER(MATCH($F3188,Lists!$A$2:$A$5,0)),ISNUMBER(MATCH($G3188,Lists!$B$2:$B$7,0)),OR($H3188="",$N3188&gt;0),OR($I3188="",$I3188="NR",$O3188&gt;0),IF(ISNUMBER($J3188),AND($J3188&gt;=0,$J3188=INT($J3188)),FALSE())),$J3188,0)</f>
        <v>0</v>
      </c>
      <c r="Q3188" s="64" t="n">
        <f aca="false">IF(AND($P3188&gt;0,$O3188&gt;0),$P3188,0)</f>
        <v>0</v>
      </c>
      <c r="R3188" s="64" t="n">
        <f aca="false">IF(AND($Q3188&gt;0,$O3188&gt;=AtRank),$Q3188,0)</f>
        <v>0</v>
      </c>
      <c r="S3188" s="64" t="n">
        <f aca="false">IF(AND($Q3188&gt;0,$O3188&gt;=AboveRank),$Q3188,0)</f>
        <v>0</v>
      </c>
      <c r="T3188" s="64" t="n">
        <f aca="false">IF($K3188="Less",$P3188,0)</f>
        <v>0</v>
      </c>
      <c r="U3188" s="64" t="n">
        <f aca="false">IF($K3188="Expected",$P3188,0)</f>
        <v>0</v>
      </c>
      <c r="V3188" s="64" t="n">
        <f aca="false">IF($K3188="Better",$P3188,0)</f>
        <v>0</v>
      </c>
      <c r="W3188" s="64" t="n">
        <f aca="false">IF($K3188="U – needs rule",$P3188,0)</f>
        <v>0</v>
      </c>
      <c r="X3188" s="64" t="n">
        <f aca="false">IF($K3188="No Start (attainment only)",$P3188,0)</f>
        <v>0</v>
      </c>
    </row>
    <row r="3189" customFormat="false" ht="15" hidden="false" customHeight="false" outlineLevel="0" collapsed="false">
      <c r="A3189" s="60"/>
      <c r="B3189" s="61" t="str">
        <f aca="false">IF($M3189=0,"",INDEX(Classes!$E$6:$E$420,$M3189))</f>
        <v/>
      </c>
      <c r="C3189" s="62" t="str">
        <f aca="false">IF($M3189=0,"",INDEX(Classes!$H$6:$H$420,$M3189))</f>
        <v/>
      </c>
      <c r="D3189" s="61" t="str">
        <f aca="false">IF($M3189=0,"",INDEX(Classes!$B$6:$B$420,$M3189))</f>
        <v/>
      </c>
      <c r="E3189" s="61" t="str">
        <f aca="false">IF($M3189=0,"",INDEX(Classes!$C$6:$C$420,$M3189))</f>
        <v/>
      </c>
      <c r="F3189" s="63"/>
      <c r="G3189" s="63"/>
      <c r="H3189" s="60"/>
      <c r="I3189" s="60"/>
      <c r="J3189" s="63"/>
      <c r="K3189" s="61" t="str">
        <f aca="false">IF($P3189=0,"",IF($F3189="Baseline","— Baseline",IF($O3189=0,"No result",IF($N3189=0,"No Start (attainment only)",IF(OR($N3189=1,$O3189=1),"U – needs rule",INDEX(MxBody,MATCH($I3189,MxCurr,0),MATCH($H3189,MxStart,0)))))))</f>
        <v/>
      </c>
      <c r="L3189" s="62" t="str">
        <f aca="false">IF(COUNTA($A3189,$F3189,$G3189,$H3189,$I3189,$J3189)=0,"",IF($M3189=0,"✖ كود الصف غير موجود",IF(ISNA(MATCH($F3189,Lists!$A$2:$A$5,0)),"✖ الفترة غير صحيحة",IF(ISNA(MATCH($G3189,Lists!$B$2:$B$7,0)),"✖ المجموعة غير صحيحة",IF(NOT(OR($H3189="",$N3189&gt;0)),"✖ Start غير صحيح",IF(NOT(OR($I3189="",$I3189="NR",$O3189&gt;0)),"✖ Current غير صحيح",IF(NOT(IF(ISNUMBER($J3189),AND($J3189&gt;=0,$J3189=INT($J3189)),FALSE())),"✖ العدد يجب أن يكون صحيحًا ≥ 0",IF(AND($F3189="Baseline",$H3189&lt;&gt;""),"⚠ Baseline: Start لا يدخل في التقدم",IF($K3189="No Start (attainment only)","ℹ تحصيل فقط (بدون Start)",IF($K3189="U – needs rule","ℹ حالة U تحتاج قاعدة معتمدة",IF($K3189="No result","ℹ بدون نتيجة (يُستبعد من التحصيل)","OK")))))))))))</f>
        <v/>
      </c>
      <c r="M3189" s="64" t="n">
        <f aca="false">IF($A3189="",0,IFERROR(MATCH($A3189,Classes!$A$6:$A$420,0),0))</f>
        <v>0</v>
      </c>
      <c r="N3189" s="64" t="n">
        <f aca="false">IF($H3189="",0,IFERROR(MATCH($H3189,GradeList,0),0))</f>
        <v>0</v>
      </c>
      <c r="O3189" s="64" t="n">
        <f aca="false">IF(OR($I3189="",$I3189="NR"),0,IFERROR(MATCH($I3189,GradeList,0),0))</f>
        <v>0</v>
      </c>
      <c r="P3189" s="64" t="n">
        <f aca="false">IF(AND($M3189&gt;0,ISNUMBER(MATCH($F3189,Lists!$A$2:$A$5,0)),ISNUMBER(MATCH($G3189,Lists!$B$2:$B$7,0)),OR($H3189="",$N3189&gt;0),OR($I3189="",$I3189="NR",$O3189&gt;0),IF(ISNUMBER($J3189),AND($J3189&gt;=0,$J3189=INT($J3189)),FALSE())),$J3189,0)</f>
        <v>0</v>
      </c>
      <c r="Q3189" s="64" t="n">
        <f aca="false">IF(AND($P3189&gt;0,$O3189&gt;0),$P3189,0)</f>
        <v>0</v>
      </c>
      <c r="R3189" s="64" t="n">
        <f aca="false">IF(AND($Q3189&gt;0,$O3189&gt;=AtRank),$Q3189,0)</f>
        <v>0</v>
      </c>
      <c r="S3189" s="64" t="n">
        <f aca="false">IF(AND($Q3189&gt;0,$O3189&gt;=AboveRank),$Q3189,0)</f>
        <v>0</v>
      </c>
      <c r="T3189" s="64" t="n">
        <f aca="false">IF($K3189="Less",$P3189,0)</f>
        <v>0</v>
      </c>
      <c r="U3189" s="64" t="n">
        <f aca="false">IF($K3189="Expected",$P3189,0)</f>
        <v>0</v>
      </c>
      <c r="V3189" s="64" t="n">
        <f aca="false">IF($K3189="Better",$P3189,0)</f>
        <v>0</v>
      </c>
      <c r="W3189" s="64" t="n">
        <f aca="false">IF($K3189="U – needs rule",$P3189,0)</f>
        <v>0</v>
      </c>
      <c r="X3189" s="64" t="n">
        <f aca="false">IF($K3189="No Start (attainment only)",$P3189,0)</f>
        <v>0</v>
      </c>
    </row>
    <row r="3190" customFormat="false" ht="15" hidden="false" customHeight="false" outlineLevel="0" collapsed="false">
      <c r="A3190" s="60"/>
      <c r="B3190" s="61" t="str">
        <f aca="false">IF($M3190=0,"",INDEX(Classes!$E$6:$E$420,$M3190))</f>
        <v/>
      </c>
      <c r="C3190" s="62" t="str">
        <f aca="false">IF($M3190=0,"",INDEX(Classes!$H$6:$H$420,$M3190))</f>
        <v/>
      </c>
      <c r="D3190" s="61" t="str">
        <f aca="false">IF($M3190=0,"",INDEX(Classes!$B$6:$B$420,$M3190))</f>
        <v/>
      </c>
      <c r="E3190" s="61" t="str">
        <f aca="false">IF($M3190=0,"",INDEX(Classes!$C$6:$C$420,$M3190))</f>
        <v/>
      </c>
      <c r="F3190" s="63"/>
      <c r="G3190" s="63"/>
      <c r="H3190" s="60"/>
      <c r="I3190" s="60"/>
      <c r="J3190" s="63"/>
      <c r="K3190" s="61" t="str">
        <f aca="false">IF($P3190=0,"",IF($F3190="Baseline","— Baseline",IF($O3190=0,"No result",IF($N3190=0,"No Start (attainment only)",IF(OR($N3190=1,$O3190=1),"U – needs rule",INDEX(MxBody,MATCH($I3190,MxCurr,0),MATCH($H3190,MxStart,0)))))))</f>
        <v/>
      </c>
      <c r="L3190" s="62" t="str">
        <f aca="false">IF(COUNTA($A3190,$F3190,$G3190,$H3190,$I3190,$J3190)=0,"",IF($M3190=0,"✖ كود الصف غير موجود",IF(ISNA(MATCH($F3190,Lists!$A$2:$A$5,0)),"✖ الفترة غير صحيحة",IF(ISNA(MATCH($G3190,Lists!$B$2:$B$7,0)),"✖ المجموعة غير صحيحة",IF(NOT(OR($H3190="",$N3190&gt;0)),"✖ Start غير صحيح",IF(NOT(OR($I3190="",$I3190="NR",$O3190&gt;0)),"✖ Current غير صحيح",IF(NOT(IF(ISNUMBER($J3190),AND($J3190&gt;=0,$J3190=INT($J3190)),FALSE())),"✖ العدد يجب أن يكون صحيحًا ≥ 0",IF(AND($F3190="Baseline",$H3190&lt;&gt;""),"⚠ Baseline: Start لا يدخل في التقدم",IF($K3190="No Start (attainment only)","ℹ تحصيل فقط (بدون Start)",IF($K3190="U – needs rule","ℹ حالة U تحتاج قاعدة معتمدة",IF($K3190="No result","ℹ بدون نتيجة (يُستبعد من التحصيل)","OK")))))))))))</f>
        <v/>
      </c>
      <c r="M3190" s="64" t="n">
        <f aca="false">IF($A3190="",0,IFERROR(MATCH($A3190,Classes!$A$6:$A$420,0),0))</f>
        <v>0</v>
      </c>
      <c r="N3190" s="64" t="n">
        <f aca="false">IF($H3190="",0,IFERROR(MATCH($H3190,GradeList,0),0))</f>
        <v>0</v>
      </c>
      <c r="O3190" s="64" t="n">
        <f aca="false">IF(OR($I3190="",$I3190="NR"),0,IFERROR(MATCH($I3190,GradeList,0),0))</f>
        <v>0</v>
      </c>
      <c r="P3190" s="64" t="n">
        <f aca="false">IF(AND($M3190&gt;0,ISNUMBER(MATCH($F3190,Lists!$A$2:$A$5,0)),ISNUMBER(MATCH($G3190,Lists!$B$2:$B$7,0)),OR($H3190="",$N3190&gt;0),OR($I3190="",$I3190="NR",$O3190&gt;0),IF(ISNUMBER($J3190),AND($J3190&gt;=0,$J3190=INT($J3190)),FALSE())),$J3190,0)</f>
        <v>0</v>
      </c>
      <c r="Q3190" s="64" t="n">
        <f aca="false">IF(AND($P3190&gt;0,$O3190&gt;0),$P3190,0)</f>
        <v>0</v>
      </c>
      <c r="R3190" s="64" t="n">
        <f aca="false">IF(AND($Q3190&gt;0,$O3190&gt;=AtRank),$Q3190,0)</f>
        <v>0</v>
      </c>
      <c r="S3190" s="64" t="n">
        <f aca="false">IF(AND($Q3190&gt;0,$O3190&gt;=AboveRank),$Q3190,0)</f>
        <v>0</v>
      </c>
      <c r="T3190" s="64" t="n">
        <f aca="false">IF($K3190="Less",$P3190,0)</f>
        <v>0</v>
      </c>
      <c r="U3190" s="64" t="n">
        <f aca="false">IF($K3190="Expected",$P3190,0)</f>
        <v>0</v>
      </c>
      <c r="V3190" s="64" t="n">
        <f aca="false">IF($K3190="Better",$P3190,0)</f>
        <v>0</v>
      </c>
      <c r="W3190" s="64" t="n">
        <f aca="false">IF($K3190="U – needs rule",$P3190,0)</f>
        <v>0</v>
      </c>
      <c r="X3190" s="64" t="n">
        <f aca="false">IF($K3190="No Start (attainment only)",$P3190,0)</f>
        <v>0</v>
      </c>
    </row>
    <row r="3191" customFormat="false" ht="15" hidden="false" customHeight="false" outlineLevel="0" collapsed="false">
      <c r="A3191" s="60"/>
      <c r="B3191" s="61" t="str">
        <f aca="false">IF($M3191=0,"",INDEX(Classes!$E$6:$E$420,$M3191))</f>
        <v/>
      </c>
      <c r="C3191" s="62" t="str">
        <f aca="false">IF($M3191=0,"",INDEX(Classes!$H$6:$H$420,$M3191))</f>
        <v/>
      </c>
      <c r="D3191" s="61" t="str">
        <f aca="false">IF($M3191=0,"",INDEX(Classes!$B$6:$B$420,$M3191))</f>
        <v/>
      </c>
      <c r="E3191" s="61" t="str">
        <f aca="false">IF($M3191=0,"",INDEX(Classes!$C$6:$C$420,$M3191))</f>
        <v/>
      </c>
      <c r="F3191" s="63"/>
      <c r="G3191" s="63"/>
      <c r="H3191" s="60"/>
      <c r="I3191" s="60"/>
      <c r="J3191" s="63"/>
      <c r="K3191" s="61" t="str">
        <f aca="false">IF($P3191=0,"",IF($F3191="Baseline","— Baseline",IF($O3191=0,"No result",IF($N3191=0,"No Start (attainment only)",IF(OR($N3191=1,$O3191=1),"U – needs rule",INDEX(MxBody,MATCH($I3191,MxCurr,0),MATCH($H3191,MxStart,0)))))))</f>
        <v/>
      </c>
      <c r="L3191" s="62" t="str">
        <f aca="false">IF(COUNTA($A3191,$F3191,$G3191,$H3191,$I3191,$J3191)=0,"",IF($M3191=0,"✖ كود الصف غير موجود",IF(ISNA(MATCH($F3191,Lists!$A$2:$A$5,0)),"✖ الفترة غير صحيحة",IF(ISNA(MATCH($G3191,Lists!$B$2:$B$7,0)),"✖ المجموعة غير صحيحة",IF(NOT(OR($H3191="",$N3191&gt;0)),"✖ Start غير صحيح",IF(NOT(OR($I3191="",$I3191="NR",$O3191&gt;0)),"✖ Current غير صحيح",IF(NOT(IF(ISNUMBER($J3191),AND($J3191&gt;=0,$J3191=INT($J3191)),FALSE())),"✖ العدد يجب أن يكون صحيحًا ≥ 0",IF(AND($F3191="Baseline",$H3191&lt;&gt;""),"⚠ Baseline: Start لا يدخل في التقدم",IF($K3191="No Start (attainment only)","ℹ تحصيل فقط (بدون Start)",IF($K3191="U – needs rule","ℹ حالة U تحتاج قاعدة معتمدة",IF($K3191="No result","ℹ بدون نتيجة (يُستبعد من التحصيل)","OK")))))))))))</f>
        <v/>
      </c>
      <c r="M3191" s="64" t="n">
        <f aca="false">IF($A3191="",0,IFERROR(MATCH($A3191,Classes!$A$6:$A$420,0),0))</f>
        <v>0</v>
      </c>
      <c r="N3191" s="64" t="n">
        <f aca="false">IF($H3191="",0,IFERROR(MATCH($H3191,GradeList,0),0))</f>
        <v>0</v>
      </c>
      <c r="O3191" s="64" t="n">
        <f aca="false">IF(OR($I3191="",$I3191="NR"),0,IFERROR(MATCH($I3191,GradeList,0),0))</f>
        <v>0</v>
      </c>
      <c r="P3191" s="64" t="n">
        <f aca="false">IF(AND($M3191&gt;0,ISNUMBER(MATCH($F3191,Lists!$A$2:$A$5,0)),ISNUMBER(MATCH($G3191,Lists!$B$2:$B$7,0)),OR($H3191="",$N3191&gt;0),OR($I3191="",$I3191="NR",$O3191&gt;0),IF(ISNUMBER($J3191),AND($J3191&gt;=0,$J3191=INT($J3191)),FALSE())),$J3191,0)</f>
        <v>0</v>
      </c>
      <c r="Q3191" s="64" t="n">
        <f aca="false">IF(AND($P3191&gt;0,$O3191&gt;0),$P3191,0)</f>
        <v>0</v>
      </c>
      <c r="R3191" s="64" t="n">
        <f aca="false">IF(AND($Q3191&gt;0,$O3191&gt;=AtRank),$Q3191,0)</f>
        <v>0</v>
      </c>
      <c r="S3191" s="64" t="n">
        <f aca="false">IF(AND($Q3191&gt;0,$O3191&gt;=AboveRank),$Q3191,0)</f>
        <v>0</v>
      </c>
      <c r="T3191" s="64" t="n">
        <f aca="false">IF($K3191="Less",$P3191,0)</f>
        <v>0</v>
      </c>
      <c r="U3191" s="64" t="n">
        <f aca="false">IF($K3191="Expected",$P3191,0)</f>
        <v>0</v>
      </c>
      <c r="V3191" s="64" t="n">
        <f aca="false">IF($K3191="Better",$P3191,0)</f>
        <v>0</v>
      </c>
      <c r="W3191" s="64" t="n">
        <f aca="false">IF($K3191="U – needs rule",$P3191,0)</f>
        <v>0</v>
      </c>
      <c r="X3191" s="64" t="n">
        <f aca="false">IF($K3191="No Start (attainment only)",$P3191,0)</f>
        <v>0</v>
      </c>
    </row>
    <row r="3192" customFormat="false" ht="15" hidden="false" customHeight="false" outlineLevel="0" collapsed="false">
      <c r="A3192" s="60"/>
      <c r="B3192" s="61" t="str">
        <f aca="false">IF($M3192=0,"",INDEX(Classes!$E$6:$E$420,$M3192))</f>
        <v/>
      </c>
      <c r="C3192" s="62" t="str">
        <f aca="false">IF($M3192=0,"",INDEX(Classes!$H$6:$H$420,$M3192))</f>
        <v/>
      </c>
      <c r="D3192" s="61" t="str">
        <f aca="false">IF($M3192=0,"",INDEX(Classes!$B$6:$B$420,$M3192))</f>
        <v/>
      </c>
      <c r="E3192" s="61" t="str">
        <f aca="false">IF($M3192=0,"",INDEX(Classes!$C$6:$C$420,$M3192))</f>
        <v/>
      </c>
      <c r="F3192" s="63"/>
      <c r="G3192" s="63"/>
      <c r="H3192" s="60"/>
      <c r="I3192" s="60"/>
      <c r="J3192" s="63"/>
      <c r="K3192" s="61" t="str">
        <f aca="false">IF($P3192=0,"",IF($F3192="Baseline","— Baseline",IF($O3192=0,"No result",IF($N3192=0,"No Start (attainment only)",IF(OR($N3192=1,$O3192=1),"U – needs rule",INDEX(MxBody,MATCH($I3192,MxCurr,0),MATCH($H3192,MxStart,0)))))))</f>
        <v/>
      </c>
      <c r="L3192" s="62" t="str">
        <f aca="false">IF(COUNTA($A3192,$F3192,$G3192,$H3192,$I3192,$J3192)=0,"",IF($M3192=0,"✖ كود الصف غير موجود",IF(ISNA(MATCH($F3192,Lists!$A$2:$A$5,0)),"✖ الفترة غير صحيحة",IF(ISNA(MATCH($G3192,Lists!$B$2:$B$7,0)),"✖ المجموعة غير صحيحة",IF(NOT(OR($H3192="",$N3192&gt;0)),"✖ Start غير صحيح",IF(NOT(OR($I3192="",$I3192="NR",$O3192&gt;0)),"✖ Current غير صحيح",IF(NOT(IF(ISNUMBER($J3192),AND($J3192&gt;=0,$J3192=INT($J3192)),FALSE())),"✖ العدد يجب أن يكون صحيحًا ≥ 0",IF(AND($F3192="Baseline",$H3192&lt;&gt;""),"⚠ Baseline: Start لا يدخل في التقدم",IF($K3192="No Start (attainment only)","ℹ تحصيل فقط (بدون Start)",IF($K3192="U – needs rule","ℹ حالة U تحتاج قاعدة معتمدة",IF($K3192="No result","ℹ بدون نتيجة (يُستبعد من التحصيل)","OK")))))))))))</f>
        <v/>
      </c>
      <c r="M3192" s="64" t="n">
        <f aca="false">IF($A3192="",0,IFERROR(MATCH($A3192,Classes!$A$6:$A$420,0),0))</f>
        <v>0</v>
      </c>
      <c r="N3192" s="64" t="n">
        <f aca="false">IF($H3192="",0,IFERROR(MATCH($H3192,GradeList,0),0))</f>
        <v>0</v>
      </c>
      <c r="O3192" s="64" t="n">
        <f aca="false">IF(OR($I3192="",$I3192="NR"),0,IFERROR(MATCH($I3192,GradeList,0),0))</f>
        <v>0</v>
      </c>
      <c r="P3192" s="64" t="n">
        <f aca="false">IF(AND($M3192&gt;0,ISNUMBER(MATCH($F3192,Lists!$A$2:$A$5,0)),ISNUMBER(MATCH($G3192,Lists!$B$2:$B$7,0)),OR($H3192="",$N3192&gt;0),OR($I3192="",$I3192="NR",$O3192&gt;0),IF(ISNUMBER($J3192),AND($J3192&gt;=0,$J3192=INT($J3192)),FALSE())),$J3192,0)</f>
        <v>0</v>
      </c>
      <c r="Q3192" s="64" t="n">
        <f aca="false">IF(AND($P3192&gt;0,$O3192&gt;0),$P3192,0)</f>
        <v>0</v>
      </c>
      <c r="R3192" s="64" t="n">
        <f aca="false">IF(AND($Q3192&gt;0,$O3192&gt;=AtRank),$Q3192,0)</f>
        <v>0</v>
      </c>
      <c r="S3192" s="64" t="n">
        <f aca="false">IF(AND($Q3192&gt;0,$O3192&gt;=AboveRank),$Q3192,0)</f>
        <v>0</v>
      </c>
      <c r="T3192" s="64" t="n">
        <f aca="false">IF($K3192="Less",$P3192,0)</f>
        <v>0</v>
      </c>
      <c r="U3192" s="64" t="n">
        <f aca="false">IF($K3192="Expected",$P3192,0)</f>
        <v>0</v>
      </c>
      <c r="V3192" s="64" t="n">
        <f aca="false">IF($K3192="Better",$P3192,0)</f>
        <v>0</v>
      </c>
      <c r="W3192" s="64" t="n">
        <f aca="false">IF($K3192="U – needs rule",$P3192,0)</f>
        <v>0</v>
      </c>
      <c r="X3192" s="64" t="n">
        <f aca="false">IF($K3192="No Start (attainment only)",$P3192,0)</f>
        <v>0</v>
      </c>
    </row>
    <row r="3193" customFormat="false" ht="15" hidden="false" customHeight="false" outlineLevel="0" collapsed="false">
      <c r="A3193" s="60"/>
      <c r="B3193" s="61" t="str">
        <f aca="false">IF($M3193=0,"",INDEX(Classes!$E$6:$E$420,$M3193))</f>
        <v/>
      </c>
      <c r="C3193" s="62" t="str">
        <f aca="false">IF($M3193=0,"",INDEX(Classes!$H$6:$H$420,$M3193))</f>
        <v/>
      </c>
      <c r="D3193" s="61" t="str">
        <f aca="false">IF($M3193=0,"",INDEX(Classes!$B$6:$B$420,$M3193))</f>
        <v/>
      </c>
      <c r="E3193" s="61" t="str">
        <f aca="false">IF($M3193=0,"",INDEX(Classes!$C$6:$C$420,$M3193))</f>
        <v/>
      </c>
      <c r="F3193" s="63"/>
      <c r="G3193" s="63"/>
      <c r="H3193" s="60"/>
      <c r="I3193" s="60"/>
      <c r="J3193" s="63"/>
      <c r="K3193" s="61" t="str">
        <f aca="false">IF($P3193=0,"",IF($F3193="Baseline","— Baseline",IF($O3193=0,"No result",IF($N3193=0,"No Start (attainment only)",IF(OR($N3193=1,$O3193=1),"U – needs rule",INDEX(MxBody,MATCH($I3193,MxCurr,0),MATCH($H3193,MxStart,0)))))))</f>
        <v/>
      </c>
      <c r="L3193" s="62" t="str">
        <f aca="false">IF(COUNTA($A3193,$F3193,$G3193,$H3193,$I3193,$J3193)=0,"",IF($M3193=0,"✖ كود الصف غير موجود",IF(ISNA(MATCH($F3193,Lists!$A$2:$A$5,0)),"✖ الفترة غير صحيحة",IF(ISNA(MATCH($G3193,Lists!$B$2:$B$7,0)),"✖ المجموعة غير صحيحة",IF(NOT(OR($H3193="",$N3193&gt;0)),"✖ Start غير صحيح",IF(NOT(OR($I3193="",$I3193="NR",$O3193&gt;0)),"✖ Current غير صحيح",IF(NOT(IF(ISNUMBER($J3193),AND($J3193&gt;=0,$J3193=INT($J3193)),FALSE())),"✖ العدد يجب أن يكون صحيحًا ≥ 0",IF(AND($F3193="Baseline",$H3193&lt;&gt;""),"⚠ Baseline: Start لا يدخل في التقدم",IF($K3193="No Start (attainment only)","ℹ تحصيل فقط (بدون Start)",IF($K3193="U – needs rule","ℹ حالة U تحتاج قاعدة معتمدة",IF($K3193="No result","ℹ بدون نتيجة (يُستبعد من التحصيل)","OK")))))))))))</f>
        <v/>
      </c>
      <c r="M3193" s="64" t="n">
        <f aca="false">IF($A3193="",0,IFERROR(MATCH($A3193,Classes!$A$6:$A$420,0),0))</f>
        <v>0</v>
      </c>
      <c r="N3193" s="64" t="n">
        <f aca="false">IF($H3193="",0,IFERROR(MATCH($H3193,GradeList,0),0))</f>
        <v>0</v>
      </c>
      <c r="O3193" s="64" t="n">
        <f aca="false">IF(OR($I3193="",$I3193="NR"),0,IFERROR(MATCH($I3193,GradeList,0),0))</f>
        <v>0</v>
      </c>
      <c r="P3193" s="64" t="n">
        <f aca="false">IF(AND($M3193&gt;0,ISNUMBER(MATCH($F3193,Lists!$A$2:$A$5,0)),ISNUMBER(MATCH($G3193,Lists!$B$2:$B$7,0)),OR($H3193="",$N3193&gt;0),OR($I3193="",$I3193="NR",$O3193&gt;0),IF(ISNUMBER($J3193),AND($J3193&gt;=0,$J3193=INT($J3193)),FALSE())),$J3193,0)</f>
        <v>0</v>
      </c>
      <c r="Q3193" s="64" t="n">
        <f aca="false">IF(AND($P3193&gt;0,$O3193&gt;0),$P3193,0)</f>
        <v>0</v>
      </c>
      <c r="R3193" s="64" t="n">
        <f aca="false">IF(AND($Q3193&gt;0,$O3193&gt;=AtRank),$Q3193,0)</f>
        <v>0</v>
      </c>
      <c r="S3193" s="64" t="n">
        <f aca="false">IF(AND($Q3193&gt;0,$O3193&gt;=AboveRank),$Q3193,0)</f>
        <v>0</v>
      </c>
      <c r="T3193" s="64" t="n">
        <f aca="false">IF($K3193="Less",$P3193,0)</f>
        <v>0</v>
      </c>
      <c r="U3193" s="64" t="n">
        <f aca="false">IF($K3193="Expected",$P3193,0)</f>
        <v>0</v>
      </c>
      <c r="V3193" s="64" t="n">
        <f aca="false">IF($K3193="Better",$P3193,0)</f>
        <v>0</v>
      </c>
      <c r="W3193" s="64" t="n">
        <f aca="false">IF($K3193="U – needs rule",$P3193,0)</f>
        <v>0</v>
      </c>
      <c r="X3193" s="64" t="n">
        <f aca="false">IF($K3193="No Start (attainment only)",$P3193,0)</f>
        <v>0</v>
      </c>
    </row>
    <row r="3194" customFormat="false" ht="15" hidden="false" customHeight="false" outlineLevel="0" collapsed="false">
      <c r="A3194" s="60"/>
      <c r="B3194" s="61" t="str">
        <f aca="false">IF($M3194=0,"",INDEX(Classes!$E$6:$E$420,$M3194))</f>
        <v/>
      </c>
      <c r="C3194" s="62" t="str">
        <f aca="false">IF($M3194=0,"",INDEX(Classes!$H$6:$H$420,$M3194))</f>
        <v/>
      </c>
      <c r="D3194" s="61" t="str">
        <f aca="false">IF($M3194=0,"",INDEX(Classes!$B$6:$B$420,$M3194))</f>
        <v/>
      </c>
      <c r="E3194" s="61" t="str">
        <f aca="false">IF($M3194=0,"",INDEX(Classes!$C$6:$C$420,$M3194))</f>
        <v/>
      </c>
      <c r="F3194" s="63"/>
      <c r="G3194" s="63"/>
      <c r="H3194" s="60"/>
      <c r="I3194" s="60"/>
      <c r="J3194" s="63"/>
      <c r="K3194" s="61" t="str">
        <f aca="false">IF($P3194=0,"",IF($F3194="Baseline","— Baseline",IF($O3194=0,"No result",IF($N3194=0,"No Start (attainment only)",IF(OR($N3194=1,$O3194=1),"U – needs rule",INDEX(MxBody,MATCH($I3194,MxCurr,0),MATCH($H3194,MxStart,0)))))))</f>
        <v/>
      </c>
      <c r="L3194" s="62" t="str">
        <f aca="false">IF(COUNTA($A3194,$F3194,$G3194,$H3194,$I3194,$J3194)=0,"",IF($M3194=0,"✖ كود الصف غير موجود",IF(ISNA(MATCH($F3194,Lists!$A$2:$A$5,0)),"✖ الفترة غير صحيحة",IF(ISNA(MATCH($G3194,Lists!$B$2:$B$7,0)),"✖ المجموعة غير صحيحة",IF(NOT(OR($H3194="",$N3194&gt;0)),"✖ Start غير صحيح",IF(NOT(OR($I3194="",$I3194="NR",$O3194&gt;0)),"✖ Current غير صحيح",IF(NOT(IF(ISNUMBER($J3194),AND($J3194&gt;=0,$J3194=INT($J3194)),FALSE())),"✖ العدد يجب أن يكون صحيحًا ≥ 0",IF(AND($F3194="Baseline",$H3194&lt;&gt;""),"⚠ Baseline: Start لا يدخل في التقدم",IF($K3194="No Start (attainment only)","ℹ تحصيل فقط (بدون Start)",IF($K3194="U – needs rule","ℹ حالة U تحتاج قاعدة معتمدة",IF($K3194="No result","ℹ بدون نتيجة (يُستبعد من التحصيل)","OK")))))))))))</f>
        <v/>
      </c>
      <c r="M3194" s="64" t="n">
        <f aca="false">IF($A3194="",0,IFERROR(MATCH($A3194,Classes!$A$6:$A$420,0),0))</f>
        <v>0</v>
      </c>
      <c r="N3194" s="64" t="n">
        <f aca="false">IF($H3194="",0,IFERROR(MATCH($H3194,GradeList,0),0))</f>
        <v>0</v>
      </c>
      <c r="O3194" s="64" t="n">
        <f aca="false">IF(OR($I3194="",$I3194="NR"),0,IFERROR(MATCH($I3194,GradeList,0),0))</f>
        <v>0</v>
      </c>
      <c r="P3194" s="64" t="n">
        <f aca="false">IF(AND($M3194&gt;0,ISNUMBER(MATCH($F3194,Lists!$A$2:$A$5,0)),ISNUMBER(MATCH($G3194,Lists!$B$2:$B$7,0)),OR($H3194="",$N3194&gt;0),OR($I3194="",$I3194="NR",$O3194&gt;0),IF(ISNUMBER($J3194),AND($J3194&gt;=0,$J3194=INT($J3194)),FALSE())),$J3194,0)</f>
        <v>0</v>
      </c>
      <c r="Q3194" s="64" t="n">
        <f aca="false">IF(AND($P3194&gt;0,$O3194&gt;0),$P3194,0)</f>
        <v>0</v>
      </c>
      <c r="R3194" s="64" t="n">
        <f aca="false">IF(AND($Q3194&gt;0,$O3194&gt;=AtRank),$Q3194,0)</f>
        <v>0</v>
      </c>
      <c r="S3194" s="64" t="n">
        <f aca="false">IF(AND($Q3194&gt;0,$O3194&gt;=AboveRank),$Q3194,0)</f>
        <v>0</v>
      </c>
      <c r="T3194" s="64" t="n">
        <f aca="false">IF($K3194="Less",$P3194,0)</f>
        <v>0</v>
      </c>
      <c r="U3194" s="64" t="n">
        <f aca="false">IF($K3194="Expected",$P3194,0)</f>
        <v>0</v>
      </c>
      <c r="V3194" s="64" t="n">
        <f aca="false">IF($K3194="Better",$P3194,0)</f>
        <v>0</v>
      </c>
      <c r="W3194" s="64" t="n">
        <f aca="false">IF($K3194="U – needs rule",$P3194,0)</f>
        <v>0</v>
      </c>
      <c r="X3194" s="64" t="n">
        <f aca="false">IF($K3194="No Start (attainment only)",$P3194,0)</f>
        <v>0</v>
      </c>
    </row>
    <row r="3195" customFormat="false" ht="15" hidden="false" customHeight="false" outlineLevel="0" collapsed="false">
      <c r="A3195" s="60"/>
      <c r="B3195" s="61" t="str">
        <f aca="false">IF($M3195=0,"",INDEX(Classes!$E$6:$E$420,$M3195))</f>
        <v/>
      </c>
      <c r="C3195" s="62" t="str">
        <f aca="false">IF($M3195=0,"",INDEX(Classes!$H$6:$H$420,$M3195))</f>
        <v/>
      </c>
      <c r="D3195" s="61" t="str">
        <f aca="false">IF($M3195=0,"",INDEX(Classes!$B$6:$B$420,$M3195))</f>
        <v/>
      </c>
      <c r="E3195" s="61" t="str">
        <f aca="false">IF($M3195=0,"",INDEX(Classes!$C$6:$C$420,$M3195))</f>
        <v/>
      </c>
      <c r="F3195" s="63"/>
      <c r="G3195" s="63"/>
      <c r="H3195" s="60"/>
      <c r="I3195" s="60"/>
      <c r="J3195" s="63"/>
      <c r="K3195" s="61" t="str">
        <f aca="false">IF($P3195=0,"",IF($F3195="Baseline","— Baseline",IF($O3195=0,"No result",IF($N3195=0,"No Start (attainment only)",IF(OR($N3195=1,$O3195=1),"U – needs rule",INDEX(MxBody,MATCH($I3195,MxCurr,0),MATCH($H3195,MxStart,0)))))))</f>
        <v/>
      </c>
      <c r="L3195" s="62" t="str">
        <f aca="false">IF(COUNTA($A3195,$F3195,$G3195,$H3195,$I3195,$J3195)=0,"",IF($M3195=0,"✖ كود الصف غير موجود",IF(ISNA(MATCH($F3195,Lists!$A$2:$A$5,0)),"✖ الفترة غير صحيحة",IF(ISNA(MATCH($G3195,Lists!$B$2:$B$7,0)),"✖ المجموعة غير صحيحة",IF(NOT(OR($H3195="",$N3195&gt;0)),"✖ Start غير صحيح",IF(NOT(OR($I3195="",$I3195="NR",$O3195&gt;0)),"✖ Current غير صحيح",IF(NOT(IF(ISNUMBER($J3195),AND($J3195&gt;=0,$J3195=INT($J3195)),FALSE())),"✖ العدد يجب أن يكون صحيحًا ≥ 0",IF(AND($F3195="Baseline",$H3195&lt;&gt;""),"⚠ Baseline: Start لا يدخل في التقدم",IF($K3195="No Start (attainment only)","ℹ تحصيل فقط (بدون Start)",IF($K3195="U – needs rule","ℹ حالة U تحتاج قاعدة معتمدة",IF($K3195="No result","ℹ بدون نتيجة (يُستبعد من التحصيل)","OK")))))))))))</f>
        <v/>
      </c>
      <c r="M3195" s="64" t="n">
        <f aca="false">IF($A3195="",0,IFERROR(MATCH($A3195,Classes!$A$6:$A$420,0),0))</f>
        <v>0</v>
      </c>
      <c r="N3195" s="64" t="n">
        <f aca="false">IF($H3195="",0,IFERROR(MATCH($H3195,GradeList,0),0))</f>
        <v>0</v>
      </c>
      <c r="O3195" s="64" t="n">
        <f aca="false">IF(OR($I3195="",$I3195="NR"),0,IFERROR(MATCH($I3195,GradeList,0),0))</f>
        <v>0</v>
      </c>
      <c r="P3195" s="64" t="n">
        <f aca="false">IF(AND($M3195&gt;0,ISNUMBER(MATCH($F3195,Lists!$A$2:$A$5,0)),ISNUMBER(MATCH($G3195,Lists!$B$2:$B$7,0)),OR($H3195="",$N3195&gt;0),OR($I3195="",$I3195="NR",$O3195&gt;0),IF(ISNUMBER($J3195),AND($J3195&gt;=0,$J3195=INT($J3195)),FALSE())),$J3195,0)</f>
        <v>0</v>
      </c>
      <c r="Q3195" s="64" t="n">
        <f aca="false">IF(AND($P3195&gt;0,$O3195&gt;0),$P3195,0)</f>
        <v>0</v>
      </c>
      <c r="R3195" s="64" t="n">
        <f aca="false">IF(AND($Q3195&gt;0,$O3195&gt;=AtRank),$Q3195,0)</f>
        <v>0</v>
      </c>
      <c r="S3195" s="64" t="n">
        <f aca="false">IF(AND($Q3195&gt;0,$O3195&gt;=AboveRank),$Q3195,0)</f>
        <v>0</v>
      </c>
      <c r="T3195" s="64" t="n">
        <f aca="false">IF($K3195="Less",$P3195,0)</f>
        <v>0</v>
      </c>
      <c r="U3195" s="64" t="n">
        <f aca="false">IF($K3195="Expected",$P3195,0)</f>
        <v>0</v>
      </c>
      <c r="V3195" s="64" t="n">
        <f aca="false">IF($K3195="Better",$P3195,0)</f>
        <v>0</v>
      </c>
      <c r="W3195" s="64" t="n">
        <f aca="false">IF($K3195="U – needs rule",$P3195,0)</f>
        <v>0</v>
      </c>
      <c r="X3195" s="64" t="n">
        <f aca="false">IF($K3195="No Start (attainment only)",$P3195,0)</f>
        <v>0</v>
      </c>
    </row>
    <row r="3196" customFormat="false" ht="15" hidden="false" customHeight="false" outlineLevel="0" collapsed="false">
      <c r="A3196" s="60"/>
      <c r="B3196" s="61" t="str">
        <f aca="false">IF($M3196=0,"",INDEX(Classes!$E$6:$E$420,$M3196))</f>
        <v/>
      </c>
      <c r="C3196" s="62" t="str">
        <f aca="false">IF($M3196=0,"",INDEX(Classes!$H$6:$H$420,$M3196))</f>
        <v/>
      </c>
      <c r="D3196" s="61" t="str">
        <f aca="false">IF($M3196=0,"",INDEX(Classes!$B$6:$B$420,$M3196))</f>
        <v/>
      </c>
      <c r="E3196" s="61" t="str">
        <f aca="false">IF($M3196=0,"",INDEX(Classes!$C$6:$C$420,$M3196))</f>
        <v/>
      </c>
      <c r="F3196" s="63"/>
      <c r="G3196" s="63"/>
      <c r="H3196" s="60"/>
      <c r="I3196" s="60"/>
      <c r="J3196" s="63"/>
      <c r="K3196" s="61" t="str">
        <f aca="false">IF($P3196=0,"",IF($F3196="Baseline","— Baseline",IF($O3196=0,"No result",IF($N3196=0,"No Start (attainment only)",IF(OR($N3196=1,$O3196=1),"U – needs rule",INDEX(MxBody,MATCH($I3196,MxCurr,0),MATCH($H3196,MxStart,0)))))))</f>
        <v/>
      </c>
      <c r="L3196" s="62" t="str">
        <f aca="false">IF(COUNTA($A3196,$F3196,$G3196,$H3196,$I3196,$J3196)=0,"",IF($M3196=0,"✖ كود الصف غير موجود",IF(ISNA(MATCH($F3196,Lists!$A$2:$A$5,0)),"✖ الفترة غير صحيحة",IF(ISNA(MATCH($G3196,Lists!$B$2:$B$7,0)),"✖ المجموعة غير صحيحة",IF(NOT(OR($H3196="",$N3196&gt;0)),"✖ Start غير صحيح",IF(NOT(OR($I3196="",$I3196="NR",$O3196&gt;0)),"✖ Current غير صحيح",IF(NOT(IF(ISNUMBER($J3196),AND($J3196&gt;=0,$J3196=INT($J3196)),FALSE())),"✖ العدد يجب أن يكون صحيحًا ≥ 0",IF(AND($F3196="Baseline",$H3196&lt;&gt;""),"⚠ Baseline: Start لا يدخل في التقدم",IF($K3196="No Start (attainment only)","ℹ تحصيل فقط (بدون Start)",IF($K3196="U – needs rule","ℹ حالة U تحتاج قاعدة معتمدة",IF($K3196="No result","ℹ بدون نتيجة (يُستبعد من التحصيل)","OK")))))))))))</f>
        <v/>
      </c>
      <c r="M3196" s="64" t="n">
        <f aca="false">IF($A3196="",0,IFERROR(MATCH($A3196,Classes!$A$6:$A$420,0),0))</f>
        <v>0</v>
      </c>
      <c r="N3196" s="64" t="n">
        <f aca="false">IF($H3196="",0,IFERROR(MATCH($H3196,GradeList,0),0))</f>
        <v>0</v>
      </c>
      <c r="O3196" s="64" t="n">
        <f aca="false">IF(OR($I3196="",$I3196="NR"),0,IFERROR(MATCH($I3196,GradeList,0),0))</f>
        <v>0</v>
      </c>
      <c r="P3196" s="64" t="n">
        <f aca="false">IF(AND($M3196&gt;0,ISNUMBER(MATCH($F3196,Lists!$A$2:$A$5,0)),ISNUMBER(MATCH($G3196,Lists!$B$2:$B$7,0)),OR($H3196="",$N3196&gt;0),OR($I3196="",$I3196="NR",$O3196&gt;0),IF(ISNUMBER($J3196),AND($J3196&gt;=0,$J3196=INT($J3196)),FALSE())),$J3196,0)</f>
        <v>0</v>
      </c>
      <c r="Q3196" s="64" t="n">
        <f aca="false">IF(AND($P3196&gt;0,$O3196&gt;0),$P3196,0)</f>
        <v>0</v>
      </c>
      <c r="R3196" s="64" t="n">
        <f aca="false">IF(AND($Q3196&gt;0,$O3196&gt;=AtRank),$Q3196,0)</f>
        <v>0</v>
      </c>
      <c r="S3196" s="64" t="n">
        <f aca="false">IF(AND($Q3196&gt;0,$O3196&gt;=AboveRank),$Q3196,0)</f>
        <v>0</v>
      </c>
      <c r="T3196" s="64" t="n">
        <f aca="false">IF($K3196="Less",$P3196,0)</f>
        <v>0</v>
      </c>
      <c r="U3196" s="64" t="n">
        <f aca="false">IF($K3196="Expected",$P3196,0)</f>
        <v>0</v>
      </c>
      <c r="V3196" s="64" t="n">
        <f aca="false">IF($K3196="Better",$P3196,0)</f>
        <v>0</v>
      </c>
      <c r="W3196" s="64" t="n">
        <f aca="false">IF($K3196="U – needs rule",$P3196,0)</f>
        <v>0</v>
      </c>
      <c r="X3196" s="64" t="n">
        <f aca="false">IF($K3196="No Start (attainment only)",$P3196,0)</f>
        <v>0</v>
      </c>
    </row>
    <row r="3197" customFormat="false" ht="15" hidden="false" customHeight="false" outlineLevel="0" collapsed="false">
      <c r="A3197" s="60"/>
      <c r="B3197" s="61" t="str">
        <f aca="false">IF($M3197=0,"",INDEX(Classes!$E$6:$E$420,$M3197))</f>
        <v/>
      </c>
      <c r="C3197" s="62" t="str">
        <f aca="false">IF($M3197=0,"",INDEX(Classes!$H$6:$H$420,$M3197))</f>
        <v/>
      </c>
      <c r="D3197" s="61" t="str">
        <f aca="false">IF($M3197=0,"",INDEX(Classes!$B$6:$B$420,$M3197))</f>
        <v/>
      </c>
      <c r="E3197" s="61" t="str">
        <f aca="false">IF($M3197=0,"",INDEX(Classes!$C$6:$C$420,$M3197))</f>
        <v/>
      </c>
      <c r="F3197" s="63"/>
      <c r="G3197" s="63"/>
      <c r="H3197" s="60"/>
      <c r="I3197" s="60"/>
      <c r="J3197" s="63"/>
      <c r="K3197" s="61" t="str">
        <f aca="false">IF($P3197=0,"",IF($F3197="Baseline","— Baseline",IF($O3197=0,"No result",IF($N3197=0,"No Start (attainment only)",IF(OR($N3197=1,$O3197=1),"U – needs rule",INDEX(MxBody,MATCH($I3197,MxCurr,0),MATCH($H3197,MxStart,0)))))))</f>
        <v/>
      </c>
      <c r="L3197" s="62" t="str">
        <f aca="false">IF(COUNTA($A3197,$F3197,$G3197,$H3197,$I3197,$J3197)=0,"",IF($M3197=0,"✖ كود الصف غير موجود",IF(ISNA(MATCH($F3197,Lists!$A$2:$A$5,0)),"✖ الفترة غير صحيحة",IF(ISNA(MATCH($G3197,Lists!$B$2:$B$7,0)),"✖ المجموعة غير صحيحة",IF(NOT(OR($H3197="",$N3197&gt;0)),"✖ Start غير صحيح",IF(NOT(OR($I3197="",$I3197="NR",$O3197&gt;0)),"✖ Current غير صحيح",IF(NOT(IF(ISNUMBER($J3197),AND($J3197&gt;=0,$J3197=INT($J3197)),FALSE())),"✖ العدد يجب أن يكون صحيحًا ≥ 0",IF(AND($F3197="Baseline",$H3197&lt;&gt;""),"⚠ Baseline: Start لا يدخل في التقدم",IF($K3197="No Start (attainment only)","ℹ تحصيل فقط (بدون Start)",IF($K3197="U – needs rule","ℹ حالة U تحتاج قاعدة معتمدة",IF($K3197="No result","ℹ بدون نتيجة (يُستبعد من التحصيل)","OK")))))))))))</f>
        <v/>
      </c>
      <c r="M3197" s="64" t="n">
        <f aca="false">IF($A3197="",0,IFERROR(MATCH($A3197,Classes!$A$6:$A$420,0),0))</f>
        <v>0</v>
      </c>
      <c r="N3197" s="64" t="n">
        <f aca="false">IF($H3197="",0,IFERROR(MATCH($H3197,GradeList,0),0))</f>
        <v>0</v>
      </c>
      <c r="O3197" s="64" t="n">
        <f aca="false">IF(OR($I3197="",$I3197="NR"),0,IFERROR(MATCH($I3197,GradeList,0),0))</f>
        <v>0</v>
      </c>
      <c r="P3197" s="64" t="n">
        <f aca="false">IF(AND($M3197&gt;0,ISNUMBER(MATCH($F3197,Lists!$A$2:$A$5,0)),ISNUMBER(MATCH($G3197,Lists!$B$2:$B$7,0)),OR($H3197="",$N3197&gt;0),OR($I3197="",$I3197="NR",$O3197&gt;0),IF(ISNUMBER($J3197),AND($J3197&gt;=0,$J3197=INT($J3197)),FALSE())),$J3197,0)</f>
        <v>0</v>
      </c>
      <c r="Q3197" s="64" t="n">
        <f aca="false">IF(AND($P3197&gt;0,$O3197&gt;0),$P3197,0)</f>
        <v>0</v>
      </c>
      <c r="R3197" s="64" t="n">
        <f aca="false">IF(AND($Q3197&gt;0,$O3197&gt;=AtRank),$Q3197,0)</f>
        <v>0</v>
      </c>
      <c r="S3197" s="64" t="n">
        <f aca="false">IF(AND($Q3197&gt;0,$O3197&gt;=AboveRank),$Q3197,0)</f>
        <v>0</v>
      </c>
      <c r="T3197" s="64" t="n">
        <f aca="false">IF($K3197="Less",$P3197,0)</f>
        <v>0</v>
      </c>
      <c r="U3197" s="64" t="n">
        <f aca="false">IF($K3197="Expected",$P3197,0)</f>
        <v>0</v>
      </c>
      <c r="V3197" s="64" t="n">
        <f aca="false">IF($K3197="Better",$P3197,0)</f>
        <v>0</v>
      </c>
      <c r="W3197" s="64" t="n">
        <f aca="false">IF($K3197="U – needs rule",$P3197,0)</f>
        <v>0</v>
      </c>
      <c r="X3197" s="64" t="n">
        <f aca="false">IF($K3197="No Start (attainment only)",$P3197,0)</f>
        <v>0</v>
      </c>
    </row>
    <row r="3198" customFormat="false" ht="15" hidden="false" customHeight="false" outlineLevel="0" collapsed="false">
      <c r="A3198" s="60"/>
      <c r="B3198" s="61" t="str">
        <f aca="false">IF($M3198=0,"",INDEX(Classes!$E$6:$E$420,$M3198))</f>
        <v/>
      </c>
      <c r="C3198" s="62" t="str">
        <f aca="false">IF($M3198=0,"",INDEX(Classes!$H$6:$H$420,$M3198))</f>
        <v/>
      </c>
      <c r="D3198" s="61" t="str">
        <f aca="false">IF($M3198=0,"",INDEX(Classes!$B$6:$B$420,$M3198))</f>
        <v/>
      </c>
      <c r="E3198" s="61" t="str">
        <f aca="false">IF($M3198=0,"",INDEX(Classes!$C$6:$C$420,$M3198))</f>
        <v/>
      </c>
      <c r="F3198" s="63"/>
      <c r="G3198" s="63"/>
      <c r="H3198" s="60"/>
      <c r="I3198" s="60"/>
      <c r="J3198" s="63"/>
      <c r="K3198" s="61" t="str">
        <f aca="false">IF($P3198=0,"",IF($F3198="Baseline","— Baseline",IF($O3198=0,"No result",IF($N3198=0,"No Start (attainment only)",IF(OR($N3198=1,$O3198=1),"U – needs rule",INDEX(MxBody,MATCH($I3198,MxCurr,0),MATCH($H3198,MxStart,0)))))))</f>
        <v/>
      </c>
      <c r="L3198" s="62" t="str">
        <f aca="false">IF(COUNTA($A3198,$F3198,$G3198,$H3198,$I3198,$J3198)=0,"",IF($M3198=0,"✖ كود الصف غير موجود",IF(ISNA(MATCH($F3198,Lists!$A$2:$A$5,0)),"✖ الفترة غير صحيحة",IF(ISNA(MATCH($G3198,Lists!$B$2:$B$7,0)),"✖ المجموعة غير صحيحة",IF(NOT(OR($H3198="",$N3198&gt;0)),"✖ Start غير صحيح",IF(NOT(OR($I3198="",$I3198="NR",$O3198&gt;0)),"✖ Current غير صحيح",IF(NOT(IF(ISNUMBER($J3198),AND($J3198&gt;=0,$J3198=INT($J3198)),FALSE())),"✖ العدد يجب أن يكون صحيحًا ≥ 0",IF(AND($F3198="Baseline",$H3198&lt;&gt;""),"⚠ Baseline: Start لا يدخل في التقدم",IF($K3198="No Start (attainment only)","ℹ تحصيل فقط (بدون Start)",IF($K3198="U – needs rule","ℹ حالة U تحتاج قاعدة معتمدة",IF($K3198="No result","ℹ بدون نتيجة (يُستبعد من التحصيل)","OK")))))))))))</f>
        <v/>
      </c>
      <c r="M3198" s="64" t="n">
        <f aca="false">IF($A3198="",0,IFERROR(MATCH($A3198,Classes!$A$6:$A$420,0),0))</f>
        <v>0</v>
      </c>
      <c r="N3198" s="64" t="n">
        <f aca="false">IF($H3198="",0,IFERROR(MATCH($H3198,GradeList,0),0))</f>
        <v>0</v>
      </c>
      <c r="O3198" s="64" t="n">
        <f aca="false">IF(OR($I3198="",$I3198="NR"),0,IFERROR(MATCH($I3198,GradeList,0),0))</f>
        <v>0</v>
      </c>
      <c r="P3198" s="64" t="n">
        <f aca="false">IF(AND($M3198&gt;0,ISNUMBER(MATCH($F3198,Lists!$A$2:$A$5,0)),ISNUMBER(MATCH($G3198,Lists!$B$2:$B$7,0)),OR($H3198="",$N3198&gt;0),OR($I3198="",$I3198="NR",$O3198&gt;0),IF(ISNUMBER($J3198),AND($J3198&gt;=0,$J3198=INT($J3198)),FALSE())),$J3198,0)</f>
        <v>0</v>
      </c>
      <c r="Q3198" s="64" t="n">
        <f aca="false">IF(AND($P3198&gt;0,$O3198&gt;0),$P3198,0)</f>
        <v>0</v>
      </c>
      <c r="R3198" s="64" t="n">
        <f aca="false">IF(AND($Q3198&gt;0,$O3198&gt;=AtRank),$Q3198,0)</f>
        <v>0</v>
      </c>
      <c r="S3198" s="64" t="n">
        <f aca="false">IF(AND($Q3198&gt;0,$O3198&gt;=AboveRank),$Q3198,0)</f>
        <v>0</v>
      </c>
      <c r="T3198" s="64" t="n">
        <f aca="false">IF($K3198="Less",$P3198,0)</f>
        <v>0</v>
      </c>
      <c r="U3198" s="64" t="n">
        <f aca="false">IF($K3198="Expected",$P3198,0)</f>
        <v>0</v>
      </c>
      <c r="V3198" s="64" t="n">
        <f aca="false">IF($K3198="Better",$P3198,0)</f>
        <v>0</v>
      </c>
      <c r="W3198" s="64" t="n">
        <f aca="false">IF($K3198="U – needs rule",$P3198,0)</f>
        <v>0</v>
      </c>
      <c r="X3198" s="64" t="n">
        <f aca="false">IF($K3198="No Start (attainment only)",$P3198,0)</f>
        <v>0</v>
      </c>
    </row>
    <row r="3199" customFormat="false" ht="15" hidden="false" customHeight="false" outlineLevel="0" collapsed="false">
      <c r="A3199" s="60"/>
      <c r="B3199" s="61" t="str">
        <f aca="false">IF($M3199=0,"",INDEX(Classes!$E$6:$E$420,$M3199))</f>
        <v/>
      </c>
      <c r="C3199" s="62" t="str">
        <f aca="false">IF($M3199=0,"",INDEX(Classes!$H$6:$H$420,$M3199))</f>
        <v/>
      </c>
      <c r="D3199" s="61" t="str">
        <f aca="false">IF($M3199=0,"",INDEX(Classes!$B$6:$B$420,$M3199))</f>
        <v/>
      </c>
      <c r="E3199" s="61" t="str">
        <f aca="false">IF($M3199=0,"",INDEX(Classes!$C$6:$C$420,$M3199))</f>
        <v/>
      </c>
      <c r="F3199" s="63"/>
      <c r="G3199" s="63"/>
      <c r="H3199" s="60"/>
      <c r="I3199" s="60"/>
      <c r="J3199" s="63"/>
      <c r="K3199" s="61" t="str">
        <f aca="false">IF($P3199=0,"",IF($F3199="Baseline","— Baseline",IF($O3199=0,"No result",IF($N3199=0,"No Start (attainment only)",IF(OR($N3199=1,$O3199=1),"U – needs rule",INDEX(MxBody,MATCH($I3199,MxCurr,0),MATCH($H3199,MxStart,0)))))))</f>
        <v/>
      </c>
      <c r="L3199" s="62" t="str">
        <f aca="false">IF(COUNTA($A3199,$F3199,$G3199,$H3199,$I3199,$J3199)=0,"",IF($M3199=0,"✖ كود الصف غير موجود",IF(ISNA(MATCH($F3199,Lists!$A$2:$A$5,0)),"✖ الفترة غير صحيحة",IF(ISNA(MATCH($G3199,Lists!$B$2:$B$7,0)),"✖ المجموعة غير صحيحة",IF(NOT(OR($H3199="",$N3199&gt;0)),"✖ Start غير صحيح",IF(NOT(OR($I3199="",$I3199="NR",$O3199&gt;0)),"✖ Current غير صحيح",IF(NOT(IF(ISNUMBER($J3199),AND($J3199&gt;=0,$J3199=INT($J3199)),FALSE())),"✖ العدد يجب أن يكون صحيحًا ≥ 0",IF(AND($F3199="Baseline",$H3199&lt;&gt;""),"⚠ Baseline: Start لا يدخل في التقدم",IF($K3199="No Start (attainment only)","ℹ تحصيل فقط (بدون Start)",IF($K3199="U – needs rule","ℹ حالة U تحتاج قاعدة معتمدة",IF($K3199="No result","ℹ بدون نتيجة (يُستبعد من التحصيل)","OK")))))))))))</f>
        <v/>
      </c>
      <c r="M3199" s="64" t="n">
        <f aca="false">IF($A3199="",0,IFERROR(MATCH($A3199,Classes!$A$6:$A$420,0),0))</f>
        <v>0</v>
      </c>
      <c r="N3199" s="64" t="n">
        <f aca="false">IF($H3199="",0,IFERROR(MATCH($H3199,GradeList,0),0))</f>
        <v>0</v>
      </c>
      <c r="O3199" s="64" t="n">
        <f aca="false">IF(OR($I3199="",$I3199="NR"),0,IFERROR(MATCH($I3199,GradeList,0),0))</f>
        <v>0</v>
      </c>
      <c r="P3199" s="64" t="n">
        <f aca="false">IF(AND($M3199&gt;0,ISNUMBER(MATCH($F3199,Lists!$A$2:$A$5,0)),ISNUMBER(MATCH($G3199,Lists!$B$2:$B$7,0)),OR($H3199="",$N3199&gt;0),OR($I3199="",$I3199="NR",$O3199&gt;0),IF(ISNUMBER($J3199),AND($J3199&gt;=0,$J3199=INT($J3199)),FALSE())),$J3199,0)</f>
        <v>0</v>
      </c>
      <c r="Q3199" s="64" t="n">
        <f aca="false">IF(AND($P3199&gt;0,$O3199&gt;0),$P3199,0)</f>
        <v>0</v>
      </c>
      <c r="R3199" s="64" t="n">
        <f aca="false">IF(AND($Q3199&gt;0,$O3199&gt;=AtRank),$Q3199,0)</f>
        <v>0</v>
      </c>
      <c r="S3199" s="64" t="n">
        <f aca="false">IF(AND($Q3199&gt;0,$O3199&gt;=AboveRank),$Q3199,0)</f>
        <v>0</v>
      </c>
      <c r="T3199" s="64" t="n">
        <f aca="false">IF($K3199="Less",$P3199,0)</f>
        <v>0</v>
      </c>
      <c r="U3199" s="64" t="n">
        <f aca="false">IF($K3199="Expected",$P3199,0)</f>
        <v>0</v>
      </c>
      <c r="V3199" s="64" t="n">
        <f aca="false">IF($K3199="Better",$P3199,0)</f>
        <v>0</v>
      </c>
      <c r="W3199" s="64" t="n">
        <f aca="false">IF($K3199="U – needs rule",$P3199,0)</f>
        <v>0</v>
      </c>
      <c r="X3199" s="64" t="n">
        <f aca="false">IF($K3199="No Start (attainment only)",$P3199,0)</f>
        <v>0</v>
      </c>
    </row>
    <row r="3200" customFormat="false" ht="15" hidden="false" customHeight="false" outlineLevel="0" collapsed="false">
      <c r="A3200" s="60"/>
      <c r="B3200" s="61" t="str">
        <f aca="false">IF($M3200=0,"",INDEX(Classes!$E$6:$E$420,$M3200))</f>
        <v/>
      </c>
      <c r="C3200" s="62" t="str">
        <f aca="false">IF($M3200=0,"",INDEX(Classes!$H$6:$H$420,$M3200))</f>
        <v/>
      </c>
      <c r="D3200" s="61" t="str">
        <f aca="false">IF($M3200=0,"",INDEX(Classes!$B$6:$B$420,$M3200))</f>
        <v/>
      </c>
      <c r="E3200" s="61" t="str">
        <f aca="false">IF($M3200=0,"",INDEX(Classes!$C$6:$C$420,$M3200))</f>
        <v/>
      </c>
      <c r="F3200" s="63"/>
      <c r="G3200" s="63"/>
      <c r="H3200" s="60"/>
      <c r="I3200" s="60"/>
      <c r="J3200" s="63"/>
      <c r="K3200" s="61" t="str">
        <f aca="false">IF($P3200=0,"",IF($F3200="Baseline","— Baseline",IF($O3200=0,"No result",IF($N3200=0,"No Start (attainment only)",IF(OR($N3200=1,$O3200=1),"U – needs rule",INDEX(MxBody,MATCH($I3200,MxCurr,0),MATCH($H3200,MxStart,0)))))))</f>
        <v/>
      </c>
      <c r="L3200" s="62" t="str">
        <f aca="false">IF(COUNTA($A3200,$F3200,$G3200,$H3200,$I3200,$J3200)=0,"",IF($M3200=0,"✖ كود الصف غير موجود",IF(ISNA(MATCH($F3200,Lists!$A$2:$A$5,0)),"✖ الفترة غير صحيحة",IF(ISNA(MATCH($G3200,Lists!$B$2:$B$7,0)),"✖ المجموعة غير صحيحة",IF(NOT(OR($H3200="",$N3200&gt;0)),"✖ Start غير صحيح",IF(NOT(OR($I3200="",$I3200="NR",$O3200&gt;0)),"✖ Current غير صحيح",IF(NOT(IF(ISNUMBER($J3200),AND($J3200&gt;=0,$J3200=INT($J3200)),FALSE())),"✖ العدد يجب أن يكون صحيحًا ≥ 0",IF(AND($F3200="Baseline",$H3200&lt;&gt;""),"⚠ Baseline: Start لا يدخل في التقدم",IF($K3200="No Start (attainment only)","ℹ تحصيل فقط (بدون Start)",IF($K3200="U – needs rule","ℹ حالة U تحتاج قاعدة معتمدة",IF($K3200="No result","ℹ بدون نتيجة (يُستبعد من التحصيل)","OK")))))))))))</f>
        <v/>
      </c>
      <c r="M3200" s="64" t="n">
        <f aca="false">IF($A3200="",0,IFERROR(MATCH($A3200,Classes!$A$6:$A$420,0),0))</f>
        <v>0</v>
      </c>
      <c r="N3200" s="64" t="n">
        <f aca="false">IF($H3200="",0,IFERROR(MATCH($H3200,GradeList,0),0))</f>
        <v>0</v>
      </c>
      <c r="O3200" s="64" t="n">
        <f aca="false">IF(OR($I3200="",$I3200="NR"),0,IFERROR(MATCH($I3200,GradeList,0),0))</f>
        <v>0</v>
      </c>
      <c r="P3200" s="64" t="n">
        <f aca="false">IF(AND($M3200&gt;0,ISNUMBER(MATCH($F3200,Lists!$A$2:$A$5,0)),ISNUMBER(MATCH($G3200,Lists!$B$2:$B$7,0)),OR($H3200="",$N3200&gt;0),OR($I3200="",$I3200="NR",$O3200&gt;0),IF(ISNUMBER($J3200),AND($J3200&gt;=0,$J3200=INT($J3200)),FALSE())),$J3200,0)</f>
        <v>0</v>
      </c>
      <c r="Q3200" s="64" t="n">
        <f aca="false">IF(AND($P3200&gt;0,$O3200&gt;0),$P3200,0)</f>
        <v>0</v>
      </c>
      <c r="R3200" s="64" t="n">
        <f aca="false">IF(AND($Q3200&gt;0,$O3200&gt;=AtRank),$Q3200,0)</f>
        <v>0</v>
      </c>
      <c r="S3200" s="64" t="n">
        <f aca="false">IF(AND($Q3200&gt;0,$O3200&gt;=AboveRank),$Q3200,0)</f>
        <v>0</v>
      </c>
      <c r="T3200" s="64" t="n">
        <f aca="false">IF($K3200="Less",$P3200,0)</f>
        <v>0</v>
      </c>
      <c r="U3200" s="64" t="n">
        <f aca="false">IF($K3200="Expected",$P3200,0)</f>
        <v>0</v>
      </c>
      <c r="V3200" s="64" t="n">
        <f aca="false">IF($K3200="Better",$P3200,0)</f>
        <v>0</v>
      </c>
      <c r="W3200" s="64" t="n">
        <f aca="false">IF($K3200="U – needs rule",$P3200,0)</f>
        <v>0</v>
      </c>
      <c r="X3200" s="64" t="n">
        <f aca="false">IF($K3200="No Start (attainment only)",$P3200,0)</f>
        <v>0</v>
      </c>
    </row>
    <row r="3201" customFormat="false" ht="15" hidden="false" customHeight="false" outlineLevel="0" collapsed="false">
      <c r="A3201" s="60"/>
      <c r="B3201" s="61" t="str">
        <f aca="false">IF($M3201=0,"",INDEX(Classes!$E$6:$E$420,$M3201))</f>
        <v/>
      </c>
      <c r="C3201" s="62" t="str">
        <f aca="false">IF($M3201=0,"",INDEX(Classes!$H$6:$H$420,$M3201))</f>
        <v/>
      </c>
      <c r="D3201" s="61" t="str">
        <f aca="false">IF($M3201=0,"",INDEX(Classes!$B$6:$B$420,$M3201))</f>
        <v/>
      </c>
      <c r="E3201" s="61" t="str">
        <f aca="false">IF($M3201=0,"",INDEX(Classes!$C$6:$C$420,$M3201))</f>
        <v/>
      </c>
      <c r="F3201" s="63"/>
      <c r="G3201" s="63"/>
      <c r="H3201" s="60"/>
      <c r="I3201" s="60"/>
      <c r="J3201" s="63"/>
      <c r="K3201" s="61" t="str">
        <f aca="false">IF($P3201=0,"",IF($F3201="Baseline","— Baseline",IF($O3201=0,"No result",IF($N3201=0,"No Start (attainment only)",IF(OR($N3201=1,$O3201=1),"U – needs rule",INDEX(MxBody,MATCH($I3201,MxCurr,0),MATCH($H3201,MxStart,0)))))))</f>
        <v/>
      </c>
      <c r="L3201" s="62" t="str">
        <f aca="false">IF(COUNTA($A3201,$F3201,$G3201,$H3201,$I3201,$J3201)=0,"",IF($M3201=0,"✖ كود الصف غير موجود",IF(ISNA(MATCH($F3201,Lists!$A$2:$A$5,0)),"✖ الفترة غير صحيحة",IF(ISNA(MATCH($G3201,Lists!$B$2:$B$7,0)),"✖ المجموعة غير صحيحة",IF(NOT(OR($H3201="",$N3201&gt;0)),"✖ Start غير صحيح",IF(NOT(OR($I3201="",$I3201="NR",$O3201&gt;0)),"✖ Current غير صحيح",IF(NOT(IF(ISNUMBER($J3201),AND($J3201&gt;=0,$J3201=INT($J3201)),FALSE())),"✖ العدد يجب أن يكون صحيحًا ≥ 0",IF(AND($F3201="Baseline",$H3201&lt;&gt;""),"⚠ Baseline: Start لا يدخل في التقدم",IF($K3201="No Start (attainment only)","ℹ تحصيل فقط (بدون Start)",IF($K3201="U – needs rule","ℹ حالة U تحتاج قاعدة معتمدة",IF($K3201="No result","ℹ بدون نتيجة (يُستبعد من التحصيل)","OK")))))))))))</f>
        <v/>
      </c>
      <c r="M3201" s="64" t="n">
        <f aca="false">IF($A3201="",0,IFERROR(MATCH($A3201,Classes!$A$6:$A$420,0),0))</f>
        <v>0</v>
      </c>
      <c r="N3201" s="64" t="n">
        <f aca="false">IF($H3201="",0,IFERROR(MATCH($H3201,GradeList,0),0))</f>
        <v>0</v>
      </c>
      <c r="O3201" s="64" t="n">
        <f aca="false">IF(OR($I3201="",$I3201="NR"),0,IFERROR(MATCH($I3201,GradeList,0),0))</f>
        <v>0</v>
      </c>
      <c r="P3201" s="64" t="n">
        <f aca="false">IF(AND($M3201&gt;0,ISNUMBER(MATCH($F3201,Lists!$A$2:$A$5,0)),ISNUMBER(MATCH($G3201,Lists!$B$2:$B$7,0)),OR($H3201="",$N3201&gt;0),OR($I3201="",$I3201="NR",$O3201&gt;0),IF(ISNUMBER($J3201),AND($J3201&gt;=0,$J3201=INT($J3201)),FALSE())),$J3201,0)</f>
        <v>0</v>
      </c>
      <c r="Q3201" s="64" t="n">
        <f aca="false">IF(AND($P3201&gt;0,$O3201&gt;0),$P3201,0)</f>
        <v>0</v>
      </c>
      <c r="R3201" s="64" t="n">
        <f aca="false">IF(AND($Q3201&gt;0,$O3201&gt;=AtRank),$Q3201,0)</f>
        <v>0</v>
      </c>
      <c r="S3201" s="64" t="n">
        <f aca="false">IF(AND($Q3201&gt;0,$O3201&gt;=AboveRank),$Q3201,0)</f>
        <v>0</v>
      </c>
      <c r="T3201" s="64" t="n">
        <f aca="false">IF($K3201="Less",$P3201,0)</f>
        <v>0</v>
      </c>
      <c r="U3201" s="64" t="n">
        <f aca="false">IF($K3201="Expected",$P3201,0)</f>
        <v>0</v>
      </c>
      <c r="V3201" s="64" t="n">
        <f aca="false">IF($K3201="Better",$P3201,0)</f>
        <v>0</v>
      </c>
      <c r="W3201" s="64" t="n">
        <f aca="false">IF($K3201="U – needs rule",$P3201,0)</f>
        <v>0</v>
      </c>
      <c r="X3201" s="64" t="n">
        <f aca="false">IF($K3201="No Start (attainment only)",$P3201,0)</f>
        <v>0</v>
      </c>
    </row>
    <row r="3202" customFormat="false" ht="15" hidden="false" customHeight="false" outlineLevel="0" collapsed="false">
      <c r="A3202" s="60"/>
      <c r="B3202" s="61" t="str">
        <f aca="false">IF($M3202=0,"",INDEX(Classes!$E$6:$E$420,$M3202))</f>
        <v/>
      </c>
      <c r="C3202" s="62" t="str">
        <f aca="false">IF($M3202=0,"",INDEX(Classes!$H$6:$H$420,$M3202))</f>
        <v/>
      </c>
      <c r="D3202" s="61" t="str">
        <f aca="false">IF($M3202=0,"",INDEX(Classes!$B$6:$B$420,$M3202))</f>
        <v/>
      </c>
      <c r="E3202" s="61" t="str">
        <f aca="false">IF($M3202=0,"",INDEX(Classes!$C$6:$C$420,$M3202))</f>
        <v/>
      </c>
      <c r="F3202" s="63"/>
      <c r="G3202" s="63"/>
      <c r="H3202" s="60"/>
      <c r="I3202" s="60"/>
      <c r="J3202" s="63"/>
      <c r="K3202" s="61" t="str">
        <f aca="false">IF($P3202=0,"",IF($F3202="Baseline","— Baseline",IF($O3202=0,"No result",IF($N3202=0,"No Start (attainment only)",IF(OR($N3202=1,$O3202=1),"U – needs rule",INDEX(MxBody,MATCH($I3202,MxCurr,0),MATCH($H3202,MxStart,0)))))))</f>
        <v/>
      </c>
      <c r="L3202" s="62" t="str">
        <f aca="false">IF(COUNTA($A3202,$F3202,$G3202,$H3202,$I3202,$J3202)=0,"",IF($M3202=0,"✖ كود الصف غير موجود",IF(ISNA(MATCH($F3202,Lists!$A$2:$A$5,0)),"✖ الفترة غير صحيحة",IF(ISNA(MATCH($G3202,Lists!$B$2:$B$7,0)),"✖ المجموعة غير صحيحة",IF(NOT(OR($H3202="",$N3202&gt;0)),"✖ Start غير صحيح",IF(NOT(OR($I3202="",$I3202="NR",$O3202&gt;0)),"✖ Current غير صحيح",IF(NOT(IF(ISNUMBER($J3202),AND($J3202&gt;=0,$J3202=INT($J3202)),FALSE())),"✖ العدد يجب أن يكون صحيحًا ≥ 0",IF(AND($F3202="Baseline",$H3202&lt;&gt;""),"⚠ Baseline: Start لا يدخل في التقدم",IF($K3202="No Start (attainment only)","ℹ تحصيل فقط (بدون Start)",IF($K3202="U – needs rule","ℹ حالة U تحتاج قاعدة معتمدة",IF($K3202="No result","ℹ بدون نتيجة (يُستبعد من التحصيل)","OK")))))))))))</f>
        <v/>
      </c>
      <c r="M3202" s="64" t="n">
        <f aca="false">IF($A3202="",0,IFERROR(MATCH($A3202,Classes!$A$6:$A$420,0),0))</f>
        <v>0</v>
      </c>
      <c r="N3202" s="64" t="n">
        <f aca="false">IF($H3202="",0,IFERROR(MATCH($H3202,GradeList,0),0))</f>
        <v>0</v>
      </c>
      <c r="O3202" s="64" t="n">
        <f aca="false">IF(OR($I3202="",$I3202="NR"),0,IFERROR(MATCH($I3202,GradeList,0),0))</f>
        <v>0</v>
      </c>
      <c r="P3202" s="64" t="n">
        <f aca="false">IF(AND($M3202&gt;0,ISNUMBER(MATCH($F3202,Lists!$A$2:$A$5,0)),ISNUMBER(MATCH($G3202,Lists!$B$2:$B$7,0)),OR($H3202="",$N3202&gt;0),OR($I3202="",$I3202="NR",$O3202&gt;0),IF(ISNUMBER($J3202),AND($J3202&gt;=0,$J3202=INT($J3202)),FALSE())),$J3202,0)</f>
        <v>0</v>
      </c>
      <c r="Q3202" s="64" t="n">
        <f aca="false">IF(AND($P3202&gt;0,$O3202&gt;0),$P3202,0)</f>
        <v>0</v>
      </c>
      <c r="R3202" s="64" t="n">
        <f aca="false">IF(AND($Q3202&gt;0,$O3202&gt;=AtRank),$Q3202,0)</f>
        <v>0</v>
      </c>
      <c r="S3202" s="64" t="n">
        <f aca="false">IF(AND($Q3202&gt;0,$O3202&gt;=AboveRank),$Q3202,0)</f>
        <v>0</v>
      </c>
      <c r="T3202" s="64" t="n">
        <f aca="false">IF($K3202="Less",$P3202,0)</f>
        <v>0</v>
      </c>
      <c r="U3202" s="64" t="n">
        <f aca="false">IF($K3202="Expected",$P3202,0)</f>
        <v>0</v>
      </c>
      <c r="V3202" s="64" t="n">
        <f aca="false">IF($K3202="Better",$P3202,0)</f>
        <v>0</v>
      </c>
      <c r="W3202" s="64" t="n">
        <f aca="false">IF($K3202="U – needs rule",$P3202,0)</f>
        <v>0</v>
      </c>
      <c r="X3202" s="64" t="n">
        <f aca="false">IF($K3202="No Start (attainment only)",$P3202,0)</f>
        <v>0</v>
      </c>
    </row>
    <row r="3203" customFormat="false" ht="15" hidden="false" customHeight="false" outlineLevel="0" collapsed="false">
      <c r="A3203" s="60"/>
      <c r="B3203" s="61" t="str">
        <f aca="false">IF($M3203=0,"",INDEX(Classes!$E$6:$E$420,$M3203))</f>
        <v/>
      </c>
      <c r="C3203" s="62" t="str">
        <f aca="false">IF($M3203=0,"",INDEX(Classes!$H$6:$H$420,$M3203))</f>
        <v/>
      </c>
      <c r="D3203" s="61" t="str">
        <f aca="false">IF($M3203=0,"",INDEX(Classes!$B$6:$B$420,$M3203))</f>
        <v/>
      </c>
      <c r="E3203" s="61" t="str">
        <f aca="false">IF($M3203=0,"",INDEX(Classes!$C$6:$C$420,$M3203))</f>
        <v/>
      </c>
      <c r="F3203" s="63"/>
      <c r="G3203" s="63"/>
      <c r="H3203" s="60"/>
      <c r="I3203" s="60"/>
      <c r="J3203" s="63"/>
      <c r="K3203" s="61" t="str">
        <f aca="false">IF($P3203=0,"",IF($F3203="Baseline","— Baseline",IF($O3203=0,"No result",IF($N3203=0,"No Start (attainment only)",IF(OR($N3203=1,$O3203=1),"U – needs rule",INDEX(MxBody,MATCH($I3203,MxCurr,0),MATCH($H3203,MxStart,0)))))))</f>
        <v/>
      </c>
      <c r="L3203" s="62" t="str">
        <f aca="false">IF(COUNTA($A3203,$F3203,$G3203,$H3203,$I3203,$J3203)=0,"",IF($M3203=0,"✖ كود الصف غير موجود",IF(ISNA(MATCH($F3203,Lists!$A$2:$A$5,0)),"✖ الفترة غير صحيحة",IF(ISNA(MATCH($G3203,Lists!$B$2:$B$7,0)),"✖ المجموعة غير صحيحة",IF(NOT(OR($H3203="",$N3203&gt;0)),"✖ Start غير صحيح",IF(NOT(OR($I3203="",$I3203="NR",$O3203&gt;0)),"✖ Current غير صحيح",IF(NOT(IF(ISNUMBER($J3203),AND($J3203&gt;=0,$J3203=INT($J3203)),FALSE())),"✖ العدد يجب أن يكون صحيحًا ≥ 0",IF(AND($F3203="Baseline",$H3203&lt;&gt;""),"⚠ Baseline: Start لا يدخل في التقدم",IF($K3203="No Start (attainment only)","ℹ تحصيل فقط (بدون Start)",IF($K3203="U – needs rule","ℹ حالة U تحتاج قاعدة معتمدة",IF($K3203="No result","ℹ بدون نتيجة (يُستبعد من التحصيل)","OK")))))))))))</f>
        <v/>
      </c>
      <c r="M3203" s="64" t="n">
        <f aca="false">IF($A3203="",0,IFERROR(MATCH($A3203,Classes!$A$6:$A$420,0),0))</f>
        <v>0</v>
      </c>
      <c r="N3203" s="64" t="n">
        <f aca="false">IF($H3203="",0,IFERROR(MATCH($H3203,GradeList,0),0))</f>
        <v>0</v>
      </c>
      <c r="O3203" s="64" t="n">
        <f aca="false">IF(OR($I3203="",$I3203="NR"),0,IFERROR(MATCH($I3203,GradeList,0),0))</f>
        <v>0</v>
      </c>
      <c r="P3203" s="64" t="n">
        <f aca="false">IF(AND($M3203&gt;0,ISNUMBER(MATCH($F3203,Lists!$A$2:$A$5,0)),ISNUMBER(MATCH($G3203,Lists!$B$2:$B$7,0)),OR($H3203="",$N3203&gt;0),OR($I3203="",$I3203="NR",$O3203&gt;0),IF(ISNUMBER($J3203),AND($J3203&gt;=0,$J3203=INT($J3203)),FALSE())),$J3203,0)</f>
        <v>0</v>
      </c>
      <c r="Q3203" s="64" t="n">
        <f aca="false">IF(AND($P3203&gt;0,$O3203&gt;0),$P3203,0)</f>
        <v>0</v>
      </c>
      <c r="R3203" s="64" t="n">
        <f aca="false">IF(AND($Q3203&gt;0,$O3203&gt;=AtRank),$Q3203,0)</f>
        <v>0</v>
      </c>
      <c r="S3203" s="64" t="n">
        <f aca="false">IF(AND($Q3203&gt;0,$O3203&gt;=AboveRank),$Q3203,0)</f>
        <v>0</v>
      </c>
      <c r="T3203" s="64" t="n">
        <f aca="false">IF($K3203="Less",$P3203,0)</f>
        <v>0</v>
      </c>
      <c r="U3203" s="64" t="n">
        <f aca="false">IF($K3203="Expected",$P3203,0)</f>
        <v>0</v>
      </c>
      <c r="V3203" s="64" t="n">
        <f aca="false">IF($K3203="Better",$P3203,0)</f>
        <v>0</v>
      </c>
      <c r="W3203" s="64" t="n">
        <f aca="false">IF($K3203="U – needs rule",$P3203,0)</f>
        <v>0</v>
      </c>
      <c r="X3203" s="64" t="n">
        <f aca="false">IF($K3203="No Start (attainment only)",$P3203,0)</f>
        <v>0</v>
      </c>
    </row>
    <row r="3204" customFormat="false" ht="15" hidden="false" customHeight="false" outlineLevel="0" collapsed="false">
      <c r="A3204" s="60"/>
      <c r="B3204" s="61" t="str">
        <f aca="false">IF($M3204=0,"",INDEX(Classes!$E$6:$E$420,$M3204))</f>
        <v/>
      </c>
      <c r="C3204" s="62" t="str">
        <f aca="false">IF($M3204=0,"",INDEX(Classes!$H$6:$H$420,$M3204))</f>
        <v/>
      </c>
      <c r="D3204" s="61" t="str">
        <f aca="false">IF($M3204=0,"",INDEX(Classes!$B$6:$B$420,$M3204))</f>
        <v/>
      </c>
      <c r="E3204" s="61" t="str">
        <f aca="false">IF($M3204=0,"",INDEX(Classes!$C$6:$C$420,$M3204))</f>
        <v/>
      </c>
      <c r="F3204" s="63"/>
      <c r="G3204" s="63"/>
      <c r="H3204" s="60"/>
      <c r="I3204" s="60"/>
      <c r="J3204" s="63"/>
      <c r="K3204" s="61" t="str">
        <f aca="false">IF($P3204=0,"",IF($F3204="Baseline","— Baseline",IF($O3204=0,"No result",IF($N3204=0,"No Start (attainment only)",IF(OR($N3204=1,$O3204=1),"U – needs rule",INDEX(MxBody,MATCH($I3204,MxCurr,0),MATCH($H3204,MxStart,0)))))))</f>
        <v/>
      </c>
      <c r="L3204" s="62" t="str">
        <f aca="false">IF(COUNTA($A3204,$F3204,$G3204,$H3204,$I3204,$J3204)=0,"",IF($M3204=0,"✖ كود الصف غير موجود",IF(ISNA(MATCH($F3204,Lists!$A$2:$A$5,0)),"✖ الفترة غير صحيحة",IF(ISNA(MATCH($G3204,Lists!$B$2:$B$7,0)),"✖ المجموعة غير صحيحة",IF(NOT(OR($H3204="",$N3204&gt;0)),"✖ Start غير صحيح",IF(NOT(OR($I3204="",$I3204="NR",$O3204&gt;0)),"✖ Current غير صحيح",IF(NOT(IF(ISNUMBER($J3204),AND($J3204&gt;=0,$J3204=INT($J3204)),FALSE())),"✖ العدد يجب أن يكون صحيحًا ≥ 0",IF(AND($F3204="Baseline",$H3204&lt;&gt;""),"⚠ Baseline: Start لا يدخل في التقدم",IF($K3204="No Start (attainment only)","ℹ تحصيل فقط (بدون Start)",IF($K3204="U – needs rule","ℹ حالة U تحتاج قاعدة معتمدة",IF($K3204="No result","ℹ بدون نتيجة (يُستبعد من التحصيل)","OK")))))))))))</f>
        <v/>
      </c>
      <c r="M3204" s="64" t="n">
        <f aca="false">IF($A3204="",0,IFERROR(MATCH($A3204,Classes!$A$6:$A$420,0),0))</f>
        <v>0</v>
      </c>
      <c r="N3204" s="64" t="n">
        <f aca="false">IF($H3204="",0,IFERROR(MATCH($H3204,GradeList,0),0))</f>
        <v>0</v>
      </c>
      <c r="O3204" s="64" t="n">
        <f aca="false">IF(OR($I3204="",$I3204="NR"),0,IFERROR(MATCH($I3204,GradeList,0),0))</f>
        <v>0</v>
      </c>
      <c r="P3204" s="64" t="n">
        <f aca="false">IF(AND($M3204&gt;0,ISNUMBER(MATCH($F3204,Lists!$A$2:$A$5,0)),ISNUMBER(MATCH($G3204,Lists!$B$2:$B$7,0)),OR($H3204="",$N3204&gt;0),OR($I3204="",$I3204="NR",$O3204&gt;0),IF(ISNUMBER($J3204),AND($J3204&gt;=0,$J3204=INT($J3204)),FALSE())),$J3204,0)</f>
        <v>0</v>
      </c>
      <c r="Q3204" s="64" t="n">
        <f aca="false">IF(AND($P3204&gt;0,$O3204&gt;0),$P3204,0)</f>
        <v>0</v>
      </c>
      <c r="R3204" s="64" t="n">
        <f aca="false">IF(AND($Q3204&gt;0,$O3204&gt;=AtRank),$Q3204,0)</f>
        <v>0</v>
      </c>
      <c r="S3204" s="64" t="n">
        <f aca="false">IF(AND($Q3204&gt;0,$O3204&gt;=AboveRank),$Q3204,0)</f>
        <v>0</v>
      </c>
      <c r="T3204" s="64" t="n">
        <f aca="false">IF($K3204="Less",$P3204,0)</f>
        <v>0</v>
      </c>
      <c r="U3204" s="64" t="n">
        <f aca="false">IF($K3204="Expected",$P3204,0)</f>
        <v>0</v>
      </c>
      <c r="V3204" s="64" t="n">
        <f aca="false">IF($K3204="Better",$P3204,0)</f>
        <v>0</v>
      </c>
      <c r="W3204" s="64" t="n">
        <f aca="false">IF($K3204="U – needs rule",$P3204,0)</f>
        <v>0</v>
      </c>
      <c r="X3204" s="64" t="n">
        <f aca="false">IF($K3204="No Start (attainment only)",$P3204,0)</f>
        <v>0</v>
      </c>
    </row>
    <row r="3205" customFormat="false" ht="15" hidden="false" customHeight="false" outlineLevel="0" collapsed="false">
      <c r="A3205" s="60"/>
      <c r="B3205" s="61" t="str">
        <f aca="false">IF($M3205=0,"",INDEX(Classes!$E$6:$E$420,$M3205))</f>
        <v/>
      </c>
      <c r="C3205" s="62" t="str">
        <f aca="false">IF($M3205=0,"",INDEX(Classes!$H$6:$H$420,$M3205))</f>
        <v/>
      </c>
      <c r="D3205" s="61" t="str">
        <f aca="false">IF($M3205=0,"",INDEX(Classes!$B$6:$B$420,$M3205))</f>
        <v/>
      </c>
      <c r="E3205" s="61" t="str">
        <f aca="false">IF($M3205=0,"",INDEX(Classes!$C$6:$C$420,$M3205))</f>
        <v/>
      </c>
      <c r="F3205" s="63"/>
      <c r="G3205" s="63"/>
      <c r="H3205" s="60"/>
      <c r="I3205" s="60"/>
      <c r="J3205" s="63"/>
      <c r="K3205" s="61" t="str">
        <f aca="false">IF($P3205=0,"",IF($F3205="Baseline","— Baseline",IF($O3205=0,"No result",IF($N3205=0,"No Start (attainment only)",IF(OR($N3205=1,$O3205=1),"U – needs rule",INDEX(MxBody,MATCH($I3205,MxCurr,0),MATCH($H3205,MxStart,0)))))))</f>
        <v/>
      </c>
      <c r="L3205" s="62" t="str">
        <f aca="false">IF(COUNTA($A3205,$F3205,$G3205,$H3205,$I3205,$J3205)=0,"",IF($M3205=0,"✖ كود الصف غير موجود",IF(ISNA(MATCH($F3205,Lists!$A$2:$A$5,0)),"✖ الفترة غير صحيحة",IF(ISNA(MATCH($G3205,Lists!$B$2:$B$7,0)),"✖ المجموعة غير صحيحة",IF(NOT(OR($H3205="",$N3205&gt;0)),"✖ Start غير صحيح",IF(NOT(OR($I3205="",$I3205="NR",$O3205&gt;0)),"✖ Current غير صحيح",IF(NOT(IF(ISNUMBER($J3205),AND($J3205&gt;=0,$J3205=INT($J3205)),FALSE())),"✖ العدد يجب أن يكون صحيحًا ≥ 0",IF(AND($F3205="Baseline",$H3205&lt;&gt;""),"⚠ Baseline: Start لا يدخل في التقدم",IF($K3205="No Start (attainment only)","ℹ تحصيل فقط (بدون Start)",IF($K3205="U – needs rule","ℹ حالة U تحتاج قاعدة معتمدة",IF($K3205="No result","ℹ بدون نتيجة (يُستبعد من التحصيل)","OK")))))))))))</f>
        <v/>
      </c>
      <c r="M3205" s="64" t="n">
        <f aca="false">IF($A3205="",0,IFERROR(MATCH($A3205,Classes!$A$6:$A$420,0),0))</f>
        <v>0</v>
      </c>
      <c r="N3205" s="64" t="n">
        <f aca="false">IF($H3205="",0,IFERROR(MATCH($H3205,GradeList,0),0))</f>
        <v>0</v>
      </c>
      <c r="O3205" s="64" t="n">
        <f aca="false">IF(OR($I3205="",$I3205="NR"),0,IFERROR(MATCH($I3205,GradeList,0),0))</f>
        <v>0</v>
      </c>
      <c r="P3205" s="64" t="n">
        <f aca="false">IF(AND($M3205&gt;0,ISNUMBER(MATCH($F3205,Lists!$A$2:$A$5,0)),ISNUMBER(MATCH($G3205,Lists!$B$2:$B$7,0)),OR($H3205="",$N3205&gt;0),OR($I3205="",$I3205="NR",$O3205&gt;0),IF(ISNUMBER($J3205),AND($J3205&gt;=0,$J3205=INT($J3205)),FALSE())),$J3205,0)</f>
        <v>0</v>
      </c>
      <c r="Q3205" s="64" t="n">
        <f aca="false">IF(AND($P3205&gt;0,$O3205&gt;0),$P3205,0)</f>
        <v>0</v>
      </c>
      <c r="R3205" s="64" t="n">
        <f aca="false">IF(AND($Q3205&gt;0,$O3205&gt;=AtRank),$Q3205,0)</f>
        <v>0</v>
      </c>
      <c r="S3205" s="64" t="n">
        <f aca="false">IF(AND($Q3205&gt;0,$O3205&gt;=AboveRank),$Q3205,0)</f>
        <v>0</v>
      </c>
      <c r="T3205" s="64" t="n">
        <f aca="false">IF($K3205="Less",$P3205,0)</f>
        <v>0</v>
      </c>
      <c r="U3205" s="64" t="n">
        <f aca="false">IF($K3205="Expected",$P3205,0)</f>
        <v>0</v>
      </c>
      <c r="V3205" s="64" t="n">
        <f aca="false">IF($K3205="Better",$P3205,0)</f>
        <v>0</v>
      </c>
      <c r="W3205" s="64" t="n">
        <f aca="false">IF($K3205="U – needs rule",$P3205,0)</f>
        <v>0</v>
      </c>
      <c r="X3205" s="64" t="n">
        <f aca="false">IF($K3205="No Start (attainment only)",$P3205,0)</f>
        <v>0</v>
      </c>
    </row>
    <row r="3206" customFormat="false" ht="15" hidden="false" customHeight="false" outlineLevel="0" collapsed="false">
      <c r="A3206" s="60"/>
      <c r="B3206" s="61" t="str">
        <f aca="false">IF($M3206=0,"",INDEX(Classes!$E$6:$E$420,$M3206))</f>
        <v/>
      </c>
      <c r="C3206" s="62" t="str">
        <f aca="false">IF($M3206=0,"",INDEX(Classes!$H$6:$H$420,$M3206))</f>
        <v/>
      </c>
      <c r="D3206" s="61" t="str">
        <f aca="false">IF($M3206=0,"",INDEX(Classes!$B$6:$B$420,$M3206))</f>
        <v/>
      </c>
      <c r="E3206" s="61" t="str">
        <f aca="false">IF($M3206=0,"",INDEX(Classes!$C$6:$C$420,$M3206))</f>
        <v/>
      </c>
      <c r="F3206" s="63"/>
      <c r="G3206" s="63"/>
      <c r="H3206" s="60"/>
      <c r="I3206" s="60"/>
      <c r="J3206" s="63"/>
      <c r="K3206" s="61" t="str">
        <f aca="false">IF($P3206=0,"",IF($F3206="Baseline","— Baseline",IF($O3206=0,"No result",IF($N3206=0,"No Start (attainment only)",IF(OR($N3206=1,$O3206=1),"U – needs rule",INDEX(MxBody,MATCH($I3206,MxCurr,0),MATCH($H3206,MxStart,0)))))))</f>
        <v/>
      </c>
      <c r="L3206" s="62" t="str">
        <f aca="false">IF(COUNTA($A3206,$F3206,$G3206,$H3206,$I3206,$J3206)=0,"",IF($M3206=0,"✖ كود الصف غير موجود",IF(ISNA(MATCH($F3206,Lists!$A$2:$A$5,0)),"✖ الفترة غير صحيحة",IF(ISNA(MATCH($G3206,Lists!$B$2:$B$7,0)),"✖ المجموعة غير صحيحة",IF(NOT(OR($H3206="",$N3206&gt;0)),"✖ Start غير صحيح",IF(NOT(OR($I3206="",$I3206="NR",$O3206&gt;0)),"✖ Current غير صحيح",IF(NOT(IF(ISNUMBER($J3206),AND($J3206&gt;=0,$J3206=INT($J3206)),FALSE())),"✖ العدد يجب أن يكون صحيحًا ≥ 0",IF(AND($F3206="Baseline",$H3206&lt;&gt;""),"⚠ Baseline: Start لا يدخل في التقدم",IF($K3206="No Start (attainment only)","ℹ تحصيل فقط (بدون Start)",IF($K3206="U – needs rule","ℹ حالة U تحتاج قاعدة معتمدة",IF($K3206="No result","ℹ بدون نتيجة (يُستبعد من التحصيل)","OK")))))))))))</f>
        <v/>
      </c>
      <c r="M3206" s="64" t="n">
        <f aca="false">IF($A3206="",0,IFERROR(MATCH($A3206,Classes!$A$6:$A$420,0),0))</f>
        <v>0</v>
      </c>
      <c r="N3206" s="64" t="n">
        <f aca="false">IF($H3206="",0,IFERROR(MATCH($H3206,GradeList,0),0))</f>
        <v>0</v>
      </c>
      <c r="O3206" s="64" t="n">
        <f aca="false">IF(OR($I3206="",$I3206="NR"),0,IFERROR(MATCH($I3206,GradeList,0),0))</f>
        <v>0</v>
      </c>
      <c r="P3206" s="64" t="n">
        <f aca="false">IF(AND($M3206&gt;0,ISNUMBER(MATCH($F3206,Lists!$A$2:$A$5,0)),ISNUMBER(MATCH($G3206,Lists!$B$2:$B$7,0)),OR($H3206="",$N3206&gt;0),OR($I3206="",$I3206="NR",$O3206&gt;0),IF(ISNUMBER($J3206),AND($J3206&gt;=0,$J3206=INT($J3206)),FALSE())),$J3206,0)</f>
        <v>0</v>
      </c>
      <c r="Q3206" s="64" t="n">
        <f aca="false">IF(AND($P3206&gt;0,$O3206&gt;0),$P3206,0)</f>
        <v>0</v>
      </c>
      <c r="R3206" s="64" t="n">
        <f aca="false">IF(AND($Q3206&gt;0,$O3206&gt;=AtRank),$Q3206,0)</f>
        <v>0</v>
      </c>
      <c r="S3206" s="64" t="n">
        <f aca="false">IF(AND($Q3206&gt;0,$O3206&gt;=AboveRank),$Q3206,0)</f>
        <v>0</v>
      </c>
      <c r="T3206" s="64" t="n">
        <f aca="false">IF($K3206="Less",$P3206,0)</f>
        <v>0</v>
      </c>
      <c r="U3206" s="64" t="n">
        <f aca="false">IF($K3206="Expected",$P3206,0)</f>
        <v>0</v>
      </c>
      <c r="V3206" s="64" t="n">
        <f aca="false">IF($K3206="Better",$P3206,0)</f>
        <v>0</v>
      </c>
      <c r="W3206" s="64" t="n">
        <f aca="false">IF($K3206="U – needs rule",$P3206,0)</f>
        <v>0</v>
      </c>
      <c r="X3206" s="64" t="n">
        <f aca="false">IF($K3206="No Start (attainment only)",$P3206,0)</f>
        <v>0</v>
      </c>
    </row>
    <row r="3207" customFormat="false" ht="15" hidden="false" customHeight="false" outlineLevel="0" collapsed="false">
      <c r="A3207" s="60"/>
      <c r="B3207" s="61" t="str">
        <f aca="false">IF($M3207=0,"",INDEX(Classes!$E$6:$E$420,$M3207))</f>
        <v/>
      </c>
      <c r="C3207" s="62" t="str">
        <f aca="false">IF($M3207=0,"",INDEX(Classes!$H$6:$H$420,$M3207))</f>
        <v/>
      </c>
      <c r="D3207" s="61" t="str">
        <f aca="false">IF($M3207=0,"",INDEX(Classes!$B$6:$B$420,$M3207))</f>
        <v/>
      </c>
      <c r="E3207" s="61" t="str">
        <f aca="false">IF($M3207=0,"",INDEX(Classes!$C$6:$C$420,$M3207))</f>
        <v/>
      </c>
      <c r="F3207" s="63"/>
      <c r="G3207" s="63"/>
      <c r="H3207" s="60"/>
      <c r="I3207" s="60"/>
      <c r="J3207" s="63"/>
      <c r="K3207" s="61" t="str">
        <f aca="false">IF($P3207=0,"",IF($F3207="Baseline","— Baseline",IF($O3207=0,"No result",IF($N3207=0,"No Start (attainment only)",IF(OR($N3207=1,$O3207=1),"U – needs rule",INDEX(MxBody,MATCH($I3207,MxCurr,0),MATCH($H3207,MxStart,0)))))))</f>
        <v/>
      </c>
      <c r="L3207" s="62" t="str">
        <f aca="false">IF(COUNTA($A3207,$F3207,$G3207,$H3207,$I3207,$J3207)=0,"",IF($M3207=0,"✖ كود الصف غير موجود",IF(ISNA(MATCH($F3207,Lists!$A$2:$A$5,0)),"✖ الفترة غير صحيحة",IF(ISNA(MATCH($G3207,Lists!$B$2:$B$7,0)),"✖ المجموعة غير صحيحة",IF(NOT(OR($H3207="",$N3207&gt;0)),"✖ Start غير صحيح",IF(NOT(OR($I3207="",$I3207="NR",$O3207&gt;0)),"✖ Current غير صحيح",IF(NOT(IF(ISNUMBER($J3207),AND($J3207&gt;=0,$J3207=INT($J3207)),FALSE())),"✖ العدد يجب أن يكون صحيحًا ≥ 0",IF(AND($F3207="Baseline",$H3207&lt;&gt;""),"⚠ Baseline: Start لا يدخل في التقدم",IF($K3207="No Start (attainment only)","ℹ تحصيل فقط (بدون Start)",IF($K3207="U – needs rule","ℹ حالة U تحتاج قاعدة معتمدة",IF($K3207="No result","ℹ بدون نتيجة (يُستبعد من التحصيل)","OK")))))))))))</f>
        <v/>
      </c>
      <c r="M3207" s="64" t="n">
        <f aca="false">IF($A3207="",0,IFERROR(MATCH($A3207,Classes!$A$6:$A$420,0),0))</f>
        <v>0</v>
      </c>
      <c r="N3207" s="64" t="n">
        <f aca="false">IF($H3207="",0,IFERROR(MATCH($H3207,GradeList,0),0))</f>
        <v>0</v>
      </c>
      <c r="O3207" s="64" t="n">
        <f aca="false">IF(OR($I3207="",$I3207="NR"),0,IFERROR(MATCH($I3207,GradeList,0),0))</f>
        <v>0</v>
      </c>
      <c r="P3207" s="64" t="n">
        <f aca="false">IF(AND($M3207&gt;0,ISNUMBER(MATCH($F3207,Lists!$A$2:$A$5,0)),ISNUMBER(MATCH($G3207,Lists!$B$2:$B$7,0)),OR($H3207="",$N3207&gt;0),OR($I3207="",$I3207="NR",$O3207&gt;0),IF(ISNUMBER($J3207),AND($J3207&gt;=0,$J3207=INT($J3207)),FALSE())),$J3207,0)</f>
        <v>0</v>
      </c>
      <c r="Q3207" s="64" t="n">
        <f aca="false">IF(AND($P3207&gt;0,$O3207&gt;0),$P3207,0)</f>
        <v>0</v>
      </c>
      <c r="R3207" s="64" t="n">
        <f aca="false">IF(AND($Q3207&gt;0,$O3207&gt;=AtRank),$Q3207,0)</f>
        <v>0</v>
      </c>
      <c r="S3207" s="64" t="n">
        <f aca="false">IF(AND($Q3207&gt;0,$O3207&gt;=AboveRank),$Q3207,0)</f>
        <v>0</v>
      </c>
      <c r="T3207" s="64" t="n">
        <f aca="false">IF($K3207="Less",$P3207,0)</f>
        <v>0</v>
      </c>
      <c r="U3207" s="64" t="n">
        <f aca="false">IF($K3207="Expected",$P3207,0)</f>
        <v>0</v>
      </c>
      <c r="V3207" s="64" t="n">
        <f aca="false">IF($K3207="Better",$P3207,0)</f>
        <v>0</v>
      </c>
      <c r="W3207" s="64" t="n">
        <f aca="false">IF($K3207="U – needs rule",$P3207,0)</f>
        <v>0</v>
      </c>
      <c r="X3207" s="64" t="n">
        <f aca="false">IF($K3207="No Start (attainment only)",$P3207,0)</f>
        <v>0</v>
      </c>
    </row>
    <row r="3208" customFormat="false" ht="15" hidden="false" customHeight="false" outlineLevel="0" collapsed="false">
      <c r="A3208" s="60"/>
      <c r="B3208" s="61" t="str">
        <f aca="false">IF($M3208=0,"",INDEX(Classes!$E$6:$E$420,$M3208))</f>
        <v/>
      </c>
      <c r="C3208" s="62" t="str">
        <f aca="false">IF($M3208=0,"",INDEX(Classes!$H$6:$H$420,$M3208))</f>
        <v/>
      </c>
      <c r="D3208" s="61" t="str">
        <f aca="false">IF($M3208=0,"",INDEX(Classes!$B$6:$B$420,$M3208))</f>
        <v/>
      </c>
      <c r="E3208" s="61" t="str">
        <f aca="false">IF($M3208=0,"",INDEX(Classes!$C$6:$C$420,$M3208))</f>
        <v/>
      </c>
      <c r="F3208" s="63"/>
      <c r="G3208" s="63"/>
      <c r="H3208" s="60"/>
      <c r="I3208" s="60"/>
      <c r="J3208" s="63"/>
      <c r="K3208" s="61" t="str">
        <f aca="false">IF($P3208=0,"",IF($F3208="Baseline","— Baseline",IF($O3208=0,"No result",IF($N3208=0,"No Start (attainment only)",IF(OR($N3208=1,$O3208=1),"U – needs rule",INDEX(MxBody,MATCH($I3208,MxCurr,0),MATCH($H3208,MxStart,0)))))))</f>
        <v/>
      </c>
      <c r="L3208" s="62" t="str">
        <f aca="false">IF(COUNTA($A3208,$F3208,$G3208,$H3208,$I3208,$J3208)=0,"",IF($M3208=0,"✖ كود الصف غير موجود",IF(ISNA(MATCH($F3208,Lists!$A$2:$A$5,0)),"✖ الفترة غير صحيحة",IF(ISNA(MATCH($G3208,Lists!$B$2:$B$7,0)),"✖ المجموعة غير صحيحة",IF(NOT(OR($H3208="",$N3208&gt;0)),"✖ Start غير صحيح",IF(NOT(OR($I3208="",$I3208="NR",$O3208&gt;0)),"✖ Current غير صحيح",IF(NOT(IF(ISNUMBER($J3208),AND($J3208&gt;=0,$J3208=INT($J3208)),FALSE())),"✖ العدد يجب أن يكون صحيحًا ≥ 0",IF(AND($F3208="Baseline",$H3208&lt;&gt;""),"⚠ Baseline: Start لا يدخل في التقدم",IF($K3208="No Start (attainment only)","ℹ تحصيل فقط (بدون Start)",IF($K3208="U – needs rule","ℹ حالة U تحتاج قاعدة معتمدة",IF($K3208="No result","ℹ بدون نتيجة (يُستبعد من التحصيل)","OK")))))))))))</f>
        <v/>
      </c>
      <c r="M3208" s="64" t="n">
        <f aca="false">IF($A3208="",0,IFERROR(MATCH($A3208,Classes!$A$6:$A$420,0),0))</f>
        <v>0</v>
      </c>
      <c r="N3208" s="64" t="n">
        <f aca="false">IF($H3208="",0,IFERROR(MATCH($H3208,GradeList,0),0))</f>
        <v>0</v>
      </c>
      <c r="O3208" s="64" t="n">
        <f aca="false">IF(OR($I3208="",$I3208="NR"),0,IFERROR(MATCH($I3208,GradeList,0),0))</f>
        <v>0</v>
      </c>
      <c r="P3208" s="64" t="n">
        <f aca="false">IF(AND($M3208&gt;0,ISNUMBER(MATCH($F3208,Lists!$A$2:$A$5,0)),ISNUMBER(MATCH($G3208,Lists!$B$2:$B$7,0)),OR($H3208="",$N3208&gt;0),OR($I3208="",$I3208="NR",$O3208&gt;0),IF(ISNUMBER($J3208),AND($J3208&gt;=0,$J3208=INT($J3208)),FALSE())),$J3208,0)</f>
        <v>0</v>
      </c>
      <c r="Q3208" s="64" t="n">
        <f aca="false">IF(AND($P3208&gt;0,$O3208&gt;0),$P3208,0)</f>
        <v>0</v>
      </c>
      <c r="R3208" s="64" t="n">
        <f aca="false">IF(AND($Q3208&gt;0,$O3208&gt;=AtRank),$Q3208,0)</f>
        <v>0</v>
      </c>
      <c r="S3208" s="64" t="n">
        <f aca="false">IF(AND($Q3208&gt;0,$O3208&gt;=AboveRank),$Q3208,0)</f>
        <v>0</v>
      </c>
      <c r="T3208" s="64" t="n">
        <f aca="false">IF($K3208="Less",$P3208,0)</f>
        <v>0</v>
      </c>
      <c r="U3208" s="64" t="n">
        <f aca="false">IF($K3208="Expected",$P3208,0)</f>
        <v>0</v>
      </c>
      <c r="V3208" s="64" t="n">
        <f aca="false">IF($K3208="Better",$P3208,0)</f>
        <v>0</v>
      </c>
      <c r="W3208" s="64" t="n">
        <f aca="false">IF($K3208="U – needs rule",$P3208,0)</f>
        <v>0</v>
      </c>
      <c r="X3208" s="64" t="n">
        <f aca="false">IF($K3208="No Start (attainment only)",$P3208,0)</f>
        <v>0</v>
      </c>
    </row>
    <row r="3209" customFormat="false" ht="15" hidden="false" customHeight="false" outlineLevel="0" collapsed="false">
      <c r="A3209" s="60"/>
      <c r="B3209" s="61" t="str">
        <f aca="false">IF($M3209=0,"",INDEX(Classes!$E$6:$E$420,$M3209))</f>
        <v/>
      </c>
      <c r="C3209" s="62" t="str">
        <f aca="false">IF($M3209=0,"",INDEX(Classes!$H$6:$H$420,$M3209))</f>
        <v/>
      </c>
      <c r="D3209" s="61" t="str">
        <f aca="false">IF($M3209=0,"",INDEX(Classes!$B$6:$B$420,$M3209))</f>
        <v/>
      </c>
      <c r="E3209" s="61" t="str">
        <f aca="false">IF($M3209=0,"",INDEX(Classes!$C$6:$C$420,$M3209))</f>
        <v/>
      </c>
      <c r="F3209" s="63"/>
      <c r="G3209" s="63"/>
      <c r="H3209" s="60"/>
      <c r="I3209" s="60"/>
      <c r="J3209" s="63"/>
      <c r="K3209" s="61" t="str">
        <f aca="false">IF($P3209=0,"",IF($F3209="Baseline","— Baseline",IF($O3209=0,"No result",IF($N3209=0,"No Start (attainment only)",IF(OR($N3209=1,$O3209=1),"U – needs rule",INDEX(MxBody,MATCH($I3209,MxCurr,0),MATCH($H3209,MxStart,0)))))))</f>
        <v/>
      </c>
      <c r="L3209" s="62" t="str">
        <f aca="false">IF(COUNTA($A3209,$F3209,$G3209,$H3209,$I3209,$J3209)=0,"",IF($M3209=0,"✖ كود الصف غير موجود",IF(ISNA(MATCH($F3209,Lists!$A$2:$A$5,0)),"✖ الفترة غير صحيحة",IF(ISNA(MATCH($G3209,Lists!$B$2:$B$7,0)),"✖ المجموعة غير صحيحة",IF(NOT(OR($H3209="",$N3209&gt;0)),"✖ Start غير صحيح",IF(NOT(OR($I3209="",$I3209="NR",$O3209&gt;0)),"✖ Current غير صحيح",IF(NOT(IF(ISNUMBER($J3209),AND($J3209&gt;=0,$J3209=INT($J3209)),FALSE())),"✖ العدد يجب أن يكون صحيحًا ≥ 0",IF(AND($F3209="Baseline",$H3209&lt;&gt;""),"⚠ Baseline: Start لا يدخل في التقدم",IF($K3209="No Start (attainment only)","ℹ تحصيل فقط (بدون Start)",IF($K3209="U – needs rule","ℹ حالة U تحتاج قاعدة معتمدة",IF($K3209="No result","ℹ بدون نتيجة (يُستبعد من التحصيل)","OK")))))))))))</f>
        <v/>
      </c>
      <c r="M3209" s="64" t="n">
        <f aca="false">IF($A3209="",0,IFERROR(MATCH($A3209,Classes!$A$6:$A$420,0),0))</f>
        <v>0</v>
      </c>
      <c r="N3209" s="64" t="n">
        <f aca="false">IF($H3209="",0,IFERROR(MATCH($H3209,GradeList,0),0))</f>
        <v>0</v>
      </c>
      <c r="O3209" s="64" t="n">
        <f aca="false">IF(OR($I3209="",$I3209="NR"),0,IFERROR(MATCH($I3209,GradeList,0),0))</f>
        <v>0</v>
      </c>
      <c r="P3209" s="64" t="n">
        <f aca="false">IF(AND($M3209&gt;0,ISNUMBER(MATCH($F3209,Lists!$A$2:$A$5,0)),ISNUMBER(MATCH($G3209,Lists!$B$2:$B$7,0)),OR($H3209="",$N3209&gt;0),OR($I3209="",$I3209="NR",$O3209&gt;0),IF(ISNUMBER($J3209),AND($J3209&gt;=0,$J3209=INT($J3209)),FALSE())),$J3209,0)</f>
        <v>0</v>
      </c>
      <c r="Q3209" s="64" t="n">
        <f aca="false">IF(AND($P3209&gt;0,$O3209&gt;0),$P3209,0)</f>
        <v>0</v>
      </c>
      <c r="R3209" s="64" t="n">
        <f aca="false">IF(AND($Q3209&gt;0,$O3209&gt;=AtRank),$Q3209,0)</f>
        <v>0</v>
      </c>
      <c r="S3209" s="64" t="n">
        <f aca="false">IF(AND($Q3209&gt;0,$O3209&gt;=AboveRank),$Q3209,0)</f>
        <v>0</v>
      </c>
      <c r="T3209" s="64" t="n">
        <f aca="false">IF($K3209="Less",$P3209,0)</f>
        <v>0</v>
      </c>
      <c r="U3209" s="64" t="n">
        <f aca="false">IF($K3209="Expected",$P3209,0)</f>
        <v>0</v>
      </c>
      <c r="V3209" s="64" t="n">
        <f aca="false">IF($K3209="Better",$P3209,0)</f>
        <v>0</v>
      </c>
      <c r="W3209" s="64" t="n">
        <f aca="false">IF($K3209="U – needs rule",$P3209,0)</f>
        <v>0</v>
      </c>
      <c r="X3209" s="64" t="n">
        <f aca="false">IF($K3209="No Start (attainment only)",$P3209,0)</f>
        <v>0</v>
      </c>
    </row>
    <row r="3210" customFormat="false" ht="15" hidden="false" customHeight="false" outlineLevel="0" collapsed="false">
      <c r="A3210" s="60"/>
      <c r="B3210" s="61" t="str">
        <f aca="false">IF($M3210=0,"",INDEX(Classes!$E$6:$E$420,$M3210))</f>
        <v/>
      </c>
      <c r="C3210" s="62" t="str">
        <f aca="false">IF($M3210=0,"",INDEX(Classes!$H$6:$H$420,$M3210))</f>
        <v/>
      </c>
      <c r="D3210" s="61" t="str">
        <f aca="false">IF($M3210=0,"",INDEX(Classes!$B$6:$B$420,$M3210))</f>
        <v/>
      </c>
      <c r="E3210" s="61" t="str">
        <f aca="false">IF($M3210=0,"",INDEX(Classes!$C$6:$C$420,$M3210))</f>
        <v/>
      </c>
      <c r="F3210" s="63"/>
      <c r="G3210" s="63"/>
      <c r="H3210" s="60"/>
      <c r="I3210" s="60"/>
      <c r="J3210" s="63"/>
      <c r="K3210" s="61" t="str">
        <f aca="false">IF($P3210=0,"",IF($F3210="Baseline","— Baseline",IF($O3210=0,"No result",IF($N3210=0,"No Start (attainment only)",IF(OR($N3210=1,$O3210=1),"U – needs rule",INDEX(MxBody,MATCH($I3210,MxCurr,0),MATCH($H3210,MxStart,0)))))))</f>
        <v/>
      </c>
      <c r="L3210" s="62" t="str">
        <f aca="false">IF(COUNTA($A3210,$F3210,$G3210,$H3210,$I3210,$J3210)=0,"",IF($M3210=0,"✖ كود الصف غير موجود",IF(ISNA(MATCH($F3210,Lists!$A$2:$A$5,0)),"✖ الفترة غير صحيحة",IF(ISNA(MATCH($G3210,Lists!$B$2:$B$7,0)),"✖ المجموعة غير صحيحة",IF(NOT(OR($H3210="",$N3210&gt;0)),"✖ Start غير صحيح",IF(NOT(OR($I3210="",$I3210="NR",$O3210&gt;0)),"✖ Current غير صحيح",IF(NOT(IF(ISNUMBER($J3210),AND($J3210&gt;=0,$J3210=INT($J3210)),FALSE())),"✖ العدد يجب أن يكون صحيحًا ≥ 0",IF(AND($F3210="Baseline",$H3210&lt;&gt;""),"⚠ Baseline: Start لا يدخل في التقدم",IF($K3210="No Start (attainment only)","ℹ تحصيل فقط (بدون Start)",IF($K3210="U – needs rule","ℹ حالة U تحتاج قاعدة معتمدة",IF($K3210="No result","ℹ بدون نتيجة (يُستبعد من التحصيل)","OK")))))))))))</f>
        <v/>
      </c>
      <c r="M3210" s="64" t="n">
        <f aca="false">IF($A3210="",0,IFERROR(MATCH($A3210,Classes!$A$6:$A$420,0),0))</f>
        <v>0</v>
      </c>
      <c r="N3210" s="64" t="n">
        <f aca="false">IF($H3210="",0,IFERROR(MATCH($H3210,GradeList,0),0))</f>
        <v>0</v>
      </c>
      <c r="O3210" s="64" t="n">
        <f aca="false">IF(OR($I3210="",$I3210="NR"),0,IFERROR(MATCH($I3210,GradeList,0),0))</f>
        <v>0</v>
      </c>
      <c r="P3210" s="64" t="n">
        <f aca="false">IF(AND($M3210&gt;0,ISNUMBER(MATCH($F3210,Lists!$A$2:$A$5,0)),ISNUMBER(MATCH($G3210,Lists!$B$2:$B$7,0)),OR($H3210="",$N3210&gt;0),OR($I3210="",$I3210="NR",$O3210&gt;0),IF(ISNUMBER($J3210),AND($J3210&gt;=0,$J3210=INT($J3210)),FALSE())),$J3210,0)</f>
        <v>0</v>
      </c>
      <c r="Q3210" s="64" t="n">
        <f aca="false">IF(AND($P3210&gt;0,$O3210&gt;0),$P3210,0)</f>
        <v>0</v>
      </c>
      <c r="R3210" s="64" t="n">
        <f aca="false">IF(AND($Q3210&gt;0,$O3210&gt;=AtRank),$Q3210,0)</f>
        <v>0</v>
      </c>
      <c r="S3210" s="64" t="n">
        <f aca="false">IF(AND($Q3210&gt;0,$O3210&gt;=AboveRank),$Q3210,0)</f>
        <v>0</v>
      </c>
      <c r="T3210" s="64" t="n">
        <f aca="false">IF($K3210="Less",$P3210,0)</f>
        <v>0</v>
      </c>
      <c r="U3210" s="64" t="n">
        <f aca="false">IF($K3210="Expected",$P3210,0)</f>
        <v>0</v>
      </c>
      <c r="V3210" s="64" t="n">
        <f aca="false">IF($K3210="Better",$P3210,0)</f>
        <v>0</v>
      </c>
      <c r="W3210" s="64" t="n">
        <f aca="false">IF($K3210="U – needs rule",$P3210,0)</f>
        <v>0</v>
      </c>
      <c r="X3210" s="64" t="n">
        <f aca="false">IF($K3210="No Start (attainment only)",$P3210,0)</f>
        <v>0</v>
      </c>
    </row>
    <row r="3211" customFormat="false" ht="15" hidden="false" customHeight="false" outlineLevel="0" collapsed="false">
      <c r="A3211" s="60"/>
      <c r="B3211" s="61" t="str">
        <f aca="false">IF($M3211=0,"",INDEX(Classes!$E$6:$E$420,$M3211))</f>
        <v/>
      </c>
      <c r="C3211" s="62" t="str">
        <f aca="false">IF($M3211=0,"",INDEX(Classes!$H$6:$H$420,$M3211))</f>
        <v/>
      </c>
      <c r="D3211" s="61" t="str">
        <f aca="false">IF($M3211=0,"",INDEX(Classes!$B$6:$B$420,$M3211))</f>
        <v/>
      </c>
      <c r="E3211" s="61" t="str">
        <f aca="false">IF($M3211=0,"",INDEX(Classes!$C$6:$C$420,$M3211))</f>
        <v/>
      </c>
      <c r="F3211" s="63"/>
      <c r="G3211" s="63"/>
      <c r="H3211" s="60"/>
      <c r="I3211" s="60"/>
      <c r="J3211" s="63"/>
      <c r="K3211" s="61" t="str">
        <f aca="false">IF($P3211=0,"",IF($F3211="Baseline","— Baseline",IF($O3211=0,"No result",IF($N3211=0,"No Start (attainment only)",IF(OR($N3211=1,$O3211=1),"U – needs rule",INDEX(MxBody,MATCH($I3211,MxCurr,0),MATCH($H3211,MxStart,0)))))))</f>
        <v/>
      </c>
      <c r="L3211" s="62" t="str">
        <f aca="false">IF(COUNTA($A3211,$F3211,$G3211,$H3211,$I3211,$J3211)=0,"",IF($M3211=0,"✖ كود الصف غير موجود",IF(ISNA(MATCH($F3211,Lists!$A$2:$A$5,0)),"✖ الفترة غير صحيحة",IF(ISNA(MATCH($G3211,Lists!$B$2:$B$7,0)),"✖ المجموعة غير صحيحة",IF(NOT(OR($H3211="",$N3211&gt;0)),"✖ Start غير صحيح",IF(NOT(OR($I3211="",$I3211="NR",$O3211&gt;0)),"✖ Current غير صحيح",IF(NOT(IF(ISNUMBER($J3211),AND($J3211&gt;=0,$J3211=INT($J3211)),FALSE())),"✖ العدد يجب أن يكون صحيحًا ≥ 0",IF(AND($F3211="Baseline",$H3211&lt;&gt;""),"⚠ Baseline: Start لا يدخل في التقدم",IF($K3211="No Start (attainment only)","ℹ تحصيل فقط (بدون Start)",IF($K3211="U – needs rule","ℹ حالة U تحتاج قاعدة معتمدة",IF($K3211="No result","ℹ بدون نتيجة (يُستبعد من التحصيل)","OK")))))))))))</f>
        <v/>
      </c>
      <c r="M3211" s="64" t="n">
        <f aca="false">IF($A3211="",0,IFERROR(MATCH($A3211,Classes!$A$6:$A$420,0),0))</f>
        <v>0</v>
      </c>
      <c r="N3211" s="64" t="n">
        <f aca="false">IF($H3211="",0,IFERROR(MATCH($H3211,GradeList,0),0))</f>
        <v>0</v>
      </c>
      <c r="O3211" s="64" t="n">
        <f aca="false">IF(OR($I3211="",$I3211="NR"),0,IFERROR(MATCH($I3211,GradeList,0),0))</f>
        <v>0</v>
      </c>
      <c r="P3211" s="64" t="n">
        <f aca="false">IF(AND($M3211&gt;0,ISNUMBER(MATCH($F3211,Lists!$A$2:$A$5,0)),ISNUMBER(MATCH($G3211,Lists!$B$2:$B$7,0)),OR($H3211="",$N3211&gt;0),OR($I3211="",$I3211="NR",$O3211&gt;0),IF(ISNUMBER($J3211),AND($J3211&gt;=0,$J3211=INT($J3211)),FALSE())),$J3211,0)</f>
        <v>0</v>
      </c>
      <c r="Q3211" s="64" t="n">
        <f aca="false">IF(AND($P3211&gt;0,$O3211&gt;0),$P3211,0)</f>
        <v>0</v>
      </c>
      <c r="R3211" s="64" t="n">
        <f aca="false">IF(AND($Q3211&gt;0,$O3211&gt;=AtRank),$Q3211,0)</f>
        <v>0</v>
      </c>
      <c r="S3211" s="64" t="n">
        <f aca="false">IF(AND($Q3211&gt;0,$O3211&gt;=AboveRank),$Q3211,0)</f>
        <v>0</v>
      </c>
      <c r="T3211" s="64" t="n">
        <f aca="false">IF($K3211="Less",$P3211,0)</f>
        <v>0</v>
      </c>
      <c r="U3211" s="64" t="n">
        <f aca="false">IF($K3211="Expected",$P3211,0)</f>
        <v>0</v>
      </c>
      <c r="V3211" s="64" t="n">
        <f aca="false">IF($K3211="Better",$P3211,0)</f>
        <v>0</v>
      </c>
      <c r="W3211" s="64" t="n">
        <f aca="false">IF($K3211="U – needs rule",$P3211,0)</f>
        <v>0</v>
      </c>
      <c r="X3211" s="64" t="n">
        <f aca="false">IF($K3211="No Start (attainment only)",$P3211,0)</f>
        <v>0</v>
      </c>
    </row>
    <row r="3212" customFormat="false" ht="15" hidden="false" customHeight="false" outlineLevel="0" collapsed="false">
      <c r="A3212" s="60"/>
      <c r="B3212" s="61" t="str">
        <f aca="false">IF($M3212=0,"",INDEX(Classes!$E$6:$E$420,$M3212))</f>
        <v/>
      </c>
      <c r="C3212" s="62" t="str">
        <f aca="false">IF($M3212=0,"",INDEX(Classes!$H$6:$H$420,$M3212))</f>
        <v/>
      </c>
      <c r="D3212" s="61" t="str">
        <f aca="false">IF($M3212=0,"",INDEX(Classes!$B$6:$B$420,$M3212))</f>
        <v/>
      </c>
      <c r="E3212" s="61" t="str">
        <f aca="false">IF($M3212=0,"",INDEX(Classes!$C$6:$C$420,$M3212))</f>
        <v/>
      </c>
      <c r="F3212" s="63"/>
      <c r="G3212" s="63"/>
      <c r="H3212" s="60"/>
      <c r="I3212" s="60"/>
      <c r="J3212" s="63"/>
      <c r="K3212" s="61" t="str">
        <f aca="false">IF($P3212=0,"",IF($F3212="Baseline","— Baseline",IF($O3212=0,"No result",IF($N3212=0,"No Start (attainment only)",IF(OR($N3212=1,$O3212=1),"U – needs rule",INDEX(MxBody,MATCH($I3212,MxCurr,0),MATCH($H3212,MxStart,0)))))))</f>
        <v/>
      </c>
      <c r="L3212" s="62" t="str">
        <f aca="false">IF(COUNTA($A3212,$F3212,$G3212,$H3212,$I3212,$J3212)=0,"",IF($M3212=0,"✖ كود الصف غير موجود",IF(ISNA(MATCH($F3212,Lists!$A$2:$A$5,0)),"✖ الفترة غير صحيحة",IF(ISNA(MATCH($G3212,Lists!$B$2:$B$7,0)),"✖ المجموعة غير صحيحة",IF(NOT(OR($H3212="",$N3212&gt;0)),"✖ Start غير صحيح",IF(NOT(OR($I3212="",$I3212="NR",$O3212&gt;0)),"✖ Current غير صحيح",IF(NOT(IF(ISNUMBER($J3212),AND($J3212&gt;=0,$J3212=INT($J3212)),FALSE())),"✖ العدد يجب أن يكون صحيحًا ≥ 0",IF(AND($F3212="Baseline",$H3212&lt;&gt;""),"⚠ Baseline: Start لا يدخل في التقدم",IF($K3212="No Start (attainment only)","ℹ تحصيل فقط (بدون Start)",IF($K3212="U – needs rule","ℹ حالة U تحتاج قاعدة معتمدة",IF($K3212="No result","ℹ بدون نتيجة (يُستبعد من التحصيل)","OK")))))))))))</f>
        <v/>
      </c>
      <c r="M3212" s="64" t="n">
        <f aca="false">IF($A3212="",0,IFERROR(MATCH($A3212,Classes!$A$6:$A$420,0),0))</f>
        <v>0</v>
      </c>
      <c r="N3212" s="64" t="n">
        <f aca="false">IF($H3212="",0,IFERROR(MATCH($H3212,GradeList,0),0))</f>
        <v>0</v>
      </c>
      <c r="O3212" s="64" t="n">
        <f aca="false">IF(OR($I3212="",$I3212="NR"),0,IFERROR(MATCH($I3212,GradeList,0),0))</f>
        <v>0</v>
      </c>
      <c r="P3212" s="64" t="n">
        <f aca="false">IF(AND($M3212&gt;0,ISNUMBER(MATCH($F3212,Lists!$A$2:$A$5,0)),ISNUMBER(MATCH($G3212,Lists!$B$2:$B$7,0)),OR($H3212="",$N3212&gt;0),OR($I3212="",$I3212="NR",$O3212&gt;0),IF(ISNUMBER($J3212),AND($J3212&gt;=0,$J3212=INT($J3212)),FALSE())),$J3212,0)</f>
        <v>0</v>
      </c>
      <c r="Q3212" s="64" t="n">
        <f aca="false">IF(AND($P3212&gt;0,$O3212&gt;0),$P3212,0)</f>
        <v>0</v>
      </c>
      <c r="R3212" s="64" t="n">
        <f aca="false">IF(AND($Q3212&gt;0,$O3212&gt;=AtRank),$Q3212,0)</f>
        <v>0</v>
      </c>
      <c r="S3212" s="64" t="n">
        <f aca="false">IF(AND($Q3212&gt;0,$O3212&gt;=AboveRank),$Q3212,0)</f>
        <v>0</v>
      </c>
      <c r="T3212" s="64" t="n">
        <f aca="false">IF($K3212="Less",$P3212,0)</f>
        <v>0</v>
      </c>
      <c r="U3212" s="64" t="n">
        <f aca="false">IF($K3212="Expected",$P3212,0)</f>
        <v>0</v>
      </c>
      <c r="V3212" s="64" t="n">
        <f aca="false">IF($K3212="Better",$P3212,0)</f>
        <v>0</v>
      </c>
      <c r="W3212" s="64" t="n">
        <f aca="false">IF($K3212="U – needs rule",$P3212,0)</f>
        <v>0</v>
      </c>
      <c r="X3212" s="64" t="n">
        <f aca="false">IF($K3212="No Start (attainment only)",$P3212,0)</f>
        <v>0</v>
      </c>
    </row>
    <row r="3213" customFormat="false" ht="15" hidden="false" customHeight="false" outlineLevel="0" collapsed="false">
      <c r="A3213" s="60"/>
      <c r="B3213" s="61" t="str">
        <f aca="false">IF($M3213=0,"",INDEX(Classes!$E$6:$E$420,$M3213))</f>
        <v/>
      </c>
      <c r="C3213" s="62" t="str">
        <f aca="false">IF($M3213=0,"",INDEX(Classes!$H$6:$H$420,$M3213))</f>
        <v/>
      </c>
      <c r="D3213" s="61" t="str">
        <f aca="false">IF($M3213=0,"",INDEX(Classes!$B$6:$B$420,$M3213))</f>
        <v/>
      </c>
      <c r="E3213" s="61" t="str">
        <f aca="false">IF($M3213=0,"",INDEX(Classes!$C$6:$C$420,$M3213))</f>
        <v/>
      </c>
      <c r="F3213" s="63"/>
      <c r="G3213" s="63"/>
      <c r="H3213" s="60"/>
      <c r="I3213" s="60"/>
      <c r="J3213" s="63"/>
      <c r="K3213" s="61" t="str">
        <f aca="false">IF($P3213=0,"",IF($F3213="Baseline","— Baseline",IF($O3213=0,"No result",IF($N3213=0,"No Start (attainment only)",IF(OR($N3213=1,$O3213=1),"U – needs rule",INDEX(MxBody,MATCH($I3213,MxCurr,0),MATCH($H3213,MxStart,0)))))))</f>
        <v/>
      </c>
      <c r="L3213" s="62" t="str">
        <f aca="false">IF(COUNTA($A3213,$F3213,$G3213,$H3213,$I3213,$J3213)=0,"",IF($M3213=0,"✖ كود الصف غير موجود",IF(ISNA(MATCH($F3213,Lists!$A$2:$A$5,0)),"✖ الفترة غير صحيحة",IF(ISNA(MATCH($G3213,Lists!$B$2:$B$7,0)),"✖ المجموعة غير صحيحة",IF(NOT(OR($H3213="",$N3213&gt;0)),"✖ Start غير صحيح",IF(NOT(OR($I3213="",$I3213="NR",$O3213&gt;0)),"✖ Current غير صحيح",IF(NOT(IF(ISNUMBER($J3213),AND($J3213&gt;=0,$J3213=INT($J3213)),FALSE())),"✖ العدد يجب أن يكون صحيحًا ≥ 0",IF(AND($F3213="Baseline",$H3213&lt;&gt;""),"⚠ Baseline: Start لا يدخل في التقدم",IF($K3213="No Start (attainment only)","ℹ تحصيل فقط (بدون Start)",IF($K3213="U – needs rule","ℹ حالة U تحتاج قاعدة معتمدة",IF($K3213="No result","ℹ بدون نتيجة (يُستبعد من التحصيل)","OK")))))))))))</f>
        <v/>
      </c>
      <c r="M3213" s="64" t="n">
        <f aca="false">IF($A3213="",0,IFERROR(MATCH($A3213,Classes!$A$6:$A$420,0),0))</f>
        <v>0</v>
      </c>
      <c r="N3213" s="64" t="n">
        <f aca="false">IF($H3213="",0,IFERROR(MATCH($H3213,GradeList,0),0))</f>
        <v>0</v>
      </c>
      <c r="O3213" s="64" t="n">
        <f aca="false">IF(OR($I3213="",$I3213="NR"),0,IFERROR(MATCH($I3213,GradeList,0),0))</f>
        <v>0</v>
      </c>
      <c r="P3213" s="64" t="n">
        <f aca="false">IF(AND($M3213&gt;0,ISNUMBER(MATCH($F3213,Lists!$A$2:$A$5,0)),ISNUMBER(MATCH($G3213,Lists!$B$2:$B$7,0)),OR($H3213="",$N3213&gt;0),OR($I3213="",$I3213="NR",$O3213&gt;0),IF(ISNUMBER($J3213),AND($J3213&gt;=0,$J3213=INT($J3213)),FALSE())),$J3213,0)</f>
        <v>0</v>
      </c>
      <c r="Q3213" s="64" t="n">
        <f aca="false">IF(AND($P3213&gt;0,$O3213&gt;0),$P3213,0)</f>
        <v>0</v>
      </c>
      <c r="R3213" s="64" t="n">
        <f aca="false">IF(AND($Q3213&gt;0,$O3213&gt;=AtRank),$Q3213,0)</f>
        <v>0</v>
      </c>
      <c r="S3213" s="64" t="n">
        <f aca="false">IF(AND($Q3213&gt;0,$O3213&gt;=AboveRank),$Q3213,0)</f>
        <v>0</v>
      </c>
      <c r="T3213" s="64" t="n">
        <f aca="false">IF($K3213="Less",$P3213,0)</f>
        <v>0</v>
      </c>
      <c r="U3213" s="64" t="n">
        <f aca="false">IF($K3213="Expected",$P3213,0)</f>
        <v>0</v>
      </c>
      <c r="V3213" s="64" t="n">
        <f aca="false">IF($K3213="Better",$P3213,0)</f>
        <v>0</v>
      </c>
      <c r="W3213" s="64" t="n">
        <f aca="false">IF($K3213="U – needs rule",$P3213,0)</f>
        <v>0</v>
      </c>
      <c r="X3213" s="64" t="n">
        <f aca="false">IF($K3213="No Start (attainment only)",$P3213,0)</f>
        <v>0</v>
      </c>
    </row>
    <row r="3214" customFormat="false" ht="15" hidden="false" customHeight="false" outlineLevel="0" collapsed="false">
      <c r="A3214" s="60"/>
      <c r="B3214" s="61" t="str">
        <f aca="false">IF($M3214=0,"",INDEX(Classes!$E$6:$E$420,$M3214))</f>
        <v/>
      </c>
      <c r="C3214" s="62" t="str">
        <f aca="false">IF($M3214=0,"",INDEX(Classes!$H$6:$H$420,$M3214))</f>
        <v/>
      </c>
      <c r="D3214" s="61" t="str">
        <f aca="false">IF($M3214=0,"",INDEX(Classes!$B$6:$B$420,$M3214))</f>
        <v/>
      </c>
      <c r="E3214" s="61" t="str">
        <f aca="false">IF($M3214=0,"",INDEX(Classes!$C$6:$C$420,$M3214))</f>
        <v/>
      </c>
      <c r="F3214" s="63"/>
      <c r="G3214" s="63"/>
      <c r="H3214" s="60"/>
      <c r="I3214" s="60"/>
      <c r="J3214" s="63"/>
      <c r="K3214" s="61" t="str">
        <f aca="false">IF($P3214=0,"",IF($F3214="Baseline","— Baseline",IF($O3214=0,"No result",IF($N3214=0,"No Start (attainment only)",IF(OR($N3214=1,$O3214=1),"U – needs rule",INDEX(MxBody,MATCH($I3214,MxCurr,0),MATCH($H3214,MxStart,0)))))))</f>
        <v/>
      </c>
      <c r="L3214" s="62" t="str">
        <f aca="false">IF(COUNTA($A3214,$F3214,$G3214,$H3214,$I3214,$J3214)=0,"",IF($M3214=0,"✖ كود الصف غير موجود",IF(ISNA(MATCH($F3214,Lists!$A$2:$A$5,0)),"✖ الفترة غير صحيحة",IF(ISNA(MATCH($G3214,Lists!$B$2:$B$7,0)),"✖ المجموعة غير صحيحة",IF(NOT(OR($H3214="",$N3214&gt;0)),"✖ Start غير صحيح",IF(NOT(OR($I3214="",$I3214="NR",$O3214&gt;0)),"✖ Current غير صحيح",IF(NOT(IF(ISNUMBER($J3214),AND($J3214&gt;=0,$J3214=INT($J3214)),FALSE())),"✖ العدد يجب أن يكون صحيحًا ≥ 0",IF(AND($F3214="Baseline",$H3214&lt;&gt;""),"⚠ Baseline: Start لا يدخل في التقدم",IF($K3214="No Start (attainment only)","ℹ تحصيل فقط (بدون Start)",IF($K3214="U – needs rule","ℹ حالة U تحتاج قاعدة معتمدة",IF($K3214="No result","ℹ بدون نتيجة (يُستبعد من التحصيل)","OK")))))))))))</f>
        <v/>
      </c>
      <c r="M3214" s="64" t="n">
        <f aca="false">IF($A3214="",0,IFERROR(MATCH($A3214,Classes!$A$6:$A$420,0),0))</f>
        <v>0</v>
      </c>
      <c r="N3214" s="64" t="n">
        <f aca="false">IF($H3214="",0,IFERROR(MATCH($H3214,GradeList,0),0))</f>
        <v>0</v>
      </c>
      <c r="O3214" s="64" t="n">
        <f aca="false">IF(OR($I3214="",$I3214="NR"),0,IFERROR(MATCH($I3214,GradeList,0),0))</f>
        <v>0</v>
      </c>
      <c r="P3214" s="64" t="n">
        <f aca="false">IF(AND($M3214&gt;0,ISNUMBER(MATCH($F3214,Lists!$A$2:$A$5,0)),ISNUMBER(MATCH($G3214,Lists!$B$2:$B$7,0)),OR($H3214="",$N3214&gt;0),OR($I3214="",$I3214="NR",$O3214&gt;0),IF(ISNUMBER($J3214),AND($J3214&gt;=0,$J3214=INT($J3214)),FALSE())),$J3214,0)</f>
        <v>0</v>
      </c>
      <c r="Q3214" s="64" t="n">
        <f aca="false">IF(AND($P3214&gt;0,$O3214&gt;0),$P3214,0)</f>
        <v>0</v>
      </c>
      <c r="R3214" s="64" t="n">
        <f aca="false">IF(AND($Q3214&gt;0,$O3214&gt;=AtRank),$Q3214,0)</f>
        <v>0</v>
      </c>
      <c r="S3214" s="64" t="n">
        <f aca="false">IF(AND($Q3214&gt;0,$O3214&gt;=AboveRank),$Q3214,0)</f>
        <v>0</v>
      </c>
      <c r="T3214" s="64" t="n">
        <f aca="false">IF($K3214="Less",$P3214,0)</f>
        <v>0</v>
      </c>
      <c r="U3214" s="64" t="n">
        <f aca="false">IF($K3214="Expected",$P3214,0)</f>
        <v>0</v>
      </c>
      <c r="V3214" s="64" t="n">
        <f aca="false">IF($K3214="Better",$P3214,0)</f>
        <v>0</v>
      </c>
      <c r="W3214" s="64" t="n">
        <f aca="false">IF($K3214="U – needs rule",$P3214,0)</f>
        <v>0</v>
      </c>
      <c r="X3214" s="64" t="n">
        <f aca="false">IF($K3214="No Start (attainment only)",$P3214,0)</f>
        <v>0</v>
      </c>
    </row>
    <row r="3215" customFormat="false" ht="15" hidden="false" customHeight="false" outlineLevel="0" collapsed="false">
      <c r="A3215" s="60"/>
      <c r="B3215" s="61" t="str">
        <f aca="false">IF($M3215=0,"",INDEX(Classes!$E$6:$E$420,$M3215))</f>
        <v/>
      </c>
      <c r="C3215" s="62" t="str">
        <f aca="false">IF($M3215=0,"",INDEX(Classes!$H$6:$H$420,$M3215))</f>
        <v/>
      </c>
      <c r="D3215" s="61" t="str">
        <f aca="false">IF($M3215=0,"",INDEX(Classes!$B$6:$B$420,$M3215))</f>
        <v/>
      </c>
      <c r="E3215" s="61" t="str">
        <f aca="false">IF($M3215=0,"",INDEX(Classes!$C$6:$C$420,$M3215))</f>
        <v/>
      </c>
      <c r="F3215" s="63"/>
      <c r="G3215" s="63"/>
      <c r="H3215" s="60"/>
      <c r="I3215" s="60"/>
      <c r="J3215" s="63"/>
      <c r="K3215" s="61" t="str">
        <f aca="false">IF($P3215=0,"",IF($F3215="Baseline","— Baseline",IF($O3215=0,"No result",IF($N3215=0,"No Start (attainment only)",IF(OR($N3215=1,$O3215=1),"U – needs rule",INDEX(MxBody,MATCH($I3215,MxCurr,0),MATCH($H3215,MxStart,0)))))))</f>
        <v/>
      </c>
      <c r="L3215" s="62" t="str">
        <f aca="false">IF(COUNTA($A3215,$F3215,$G3215,$H3215,$I3215,$J3215)=0,"",IF($M3215=0,"✖ كود الصف غير موجود",IF(ISNA(MATCH($F3215,Lists!$A$2:$A$5,0)),"✖ الفترة غير صحيحة",IF(ISNA(MATCH($G3215,Lists!$B$2:$B$7,0)),"✖ المجموعة غير صحيحة",IF(NOT(OR($H3215="",$N3215&gt;0)),"✖ Start غير صحيح",IF(NOT(OR($I3215="",$I3215="NR",$O3215&gt;0)),"✖ Current غير صحيح",IF(NOT(IF(ISNUMBER($J3215),AND($J3215&gt;=0,$J3215=INT($J3215)),FALSE())),"✖ العدد يجب أن يكون صحيحًا ≥ 0",IF(AND($F3215="Baseline",$H3215&lt;&gt;""),"⚠ Baseline: Start لا يدخل في التقدم",IF($K3215="No Start (attainment only)","ℹ تحصيل فقط (بدون Start)",IF($K3215="U – needs rule","ℹ حالة U تحتاج قاعدة معتمدة",IF($K3215="No result","ℹ بدون نتيجة (يُستبعد من التحصيل)","OK")))))))))))</f>
        <v/>
      </c>
      <c r="M3215" s="64" t="n">
        <f aca="false">IF($A3215="",0,IFERROR(MATCH($A3215,Classes!$A$6:$A$420,0),0))</f>
        <v>0</v>
      </c>
      <c r="N3215" s="64" t="n">
        <f aca="false">IF($H3215="",0,IFERROR(MATCH($H3215,GradeList,0),0))</f>
        <v>0</v>
      </c>
      <c r="O3215" s="64" t="n">
        <f aca="false">IF(OR($I3215="",$I3215="NR"),0,IFERROR(MATCH($I3215,GradeList,0),0))</f>
        <v>0</v>
      </c>
      <c r="P3215" s="64" t="n">
        <f aca="false">IF(AND($M3215&gt;0,ISNUMBER(MATCH($F3215,Lists!$A$2:$A$5,0)),ISNUMBER(MATCH($G3215,Lists!$B$2:$B$7,0)),OR($H3215="",$N3215&gt;0),OR($I3215="",$I3215="NR",$O3215&gt;0),IF(ISNUMBER($J3215),AND($J3215&gt;=0,$J3215=INT($J3215)),FALSE())),$J3215,0)</f>
        <v>0</v>
      </c>
      <c r="Q3215" s="64" t="n">
        <f aca="false">IF(AND($P3215&gt;0,$O3215&gt;0),$P3215,0)</f>
        <v>0</v>
      </c>
      <c r="R3215" s="64" t="n">
        <f aca="false">IF(AND($Q3215&gt;0,$O3215&gt;=AtRank),$Q3215,0)</f>
        <v>0</v>
      </c>
      <c r="S3215" s="64" t="n">
        <f aca="false">IF(AND($Q3215&gt;0,$O3215&gt;=AboveRank),$Q3215,0)</f>
        <v>0</v>
      </c>
      <c r="T3215" s="64" t="n">
        <f aca="false">IF($K3215="Less",$P3215,0)</f>
        <v>0</v>
      </c>
      <c r="U3215" s="64" t="n">
        <f aca="false">IF($K3215="Expected",$P3215,0)</f>
        <v>0</v>
      </c>
      <c r="V3215" s="64" t="n">
        <f aca="false">IF($K3215="Better",$P3215,0)</f>
        <v>0</v>
      </c>
      <c r="W3215" s="64" t="n">
        <f aca="false">IF($K3215="U – needs rule",$P3215,0)</f>
        <v>0</v>
      </c>
      <c r="X3215" s="64" t="n">
        <f aca="false">IF($K3215="No Start (attainment only)",$P3215,0)</f>
        <v>0</v>
      </c>
    </row>
    <row r="3216" customFormat="false" ht="15" hidden="false" customHeight="false" outlineLevel="0" collapsed="false">
      <c r="A3216" s="60"/>
      <c r="B3216" s="61" t="str">
        <f aca="false">IF($M3216=0,"",INDEX(Classes!$E$6:$E$420,$M3216))</f>
        <v/>
      </c>
      <c r="C3216" s="62" t="str">
        <f aca="false">IF($M3216=0,"",INDEX(Classes!$H$6:$H$420,$M3216))</f>
        <v/>
      </c>
      <c r="D3216" s="61" t="str">
        <f aca="false">IF($M3216=0,"",INDEX(Classes!$B$6:$B$420,$M3216))</f>
        <v/>
      </c>
      <c r="E3216" s="61" t="str">
        <f aca="false">IF($M3216=0,"",INDEX(Classes!$C$6:$C$420,$M3216))</f>
        <v/>
      </c>
      <c r="F3216" s="63"/>
      <c r="G3216" s="63"/>
      <c r="H3216" s="60"/>
      <c r="I3216" s="60"/>
      <c r="J3216" s="63"/>
      <c r="K3216" s="61" t="str">
        <f aca="false">IF($P3216=0,"",IF($F3216="Baseline","— Baseline",IF($O3216=0,"No result",IF($N3216=0,"No Start (attainment only)",IF(OR($N3216=1,$O3216=1),"U – needs rule",INDEX(MxBody,MATCH($I3216,MxCurr,0),MATCH($H3216,MxStart,0)))))))</f>
        <v/>
      </c>
      <c r="L3216" s="62" t="str">
        <f aca="false">IF(COUNTA($A3216,$F3216,$G3216,$H3216,$I3216,$J3216)=0,"",IF($M3216=0,"✖ كود الصف غير موجود",IF(ISNA(MATCH($F3216,Lists!$A$2:$A$5,0)),"✖ الفترة غير صحيحة",IF(ISNA(MATCH($G3216,Lists!$B$2:$B$7,0)),"✖ المجموعة غير صحيحة",IF(NOT(OR($H3216="",$N3216&gt;0)),"✖ Start غير صحيح",IF(NOT(OR($I3216="",$I3216="NR",$O3216&gt;0)),"✖ Current غير صحيح",IF(NOT(IF(ISNUMBER($J3216),AND($J3216&gt;=0,$J3216=INT($J3216)),FALSE())),"✖ العدد يجب أن يكون صحيحًا ≥ 0",IF(AND($F3216="Baseline",$H3216&lt;&gt;""),"⚠ Baseline: Start لا يدخل في التقدم",IF($K3216="No Start (attainment only)","ℹ تحصيل فقط (بدون Start)",IF($K3216="U – needs rule","ℹ حالة U تحتاج قاعدة معتمدة",IF($K3216="No result","ℹ بدون نتيجة (يُستبعد من التحصيل)","OK")))))))))))</f>
        <v/>
      </c>
      <c r="M3216" s="64" t="n">
        <f aca="false">IF($A3216="",0,IFERROR(MATCH($A3216,Classes!$A$6:$A$420,0),0))</f>
        <v>0</v>
      </c>
      <c r="N3216" s="64" t="n">
        <f aca="false">IF($H3216="",0,IFERROR(MATCH($H3216,GradeList,0),0))</f>
        <v>0</v>
      </c>
      <c r="O3216" s="64" t="n">
        <f aca="false">IF(OR($I3216="",$I3216="NR"),0,IFERROR(MATCH($I3216,GradeList,0),0))</f>
        <v>0</v>
      </c>
      <c r="P3216" s="64" t="n">
        <f aca="false">IF(AND($M3216&gt;0,ISNUMBER(MATCH($F3216,Lists!$A$2:$A$5,0)),ISNUMBER(MATCH($G3216,Lists!$B$2:$B$7,0)),OR($H3216="",$N3216&gt;0),OR($I3216="",$I3216="NR",$O3216&gt;0),IF(ISNUMBER($J3216),AND($J3216&gt;=0,$J3216=INT($J3216)),FALSE())),$J3216,0)</f>
        <v>0</v>
      </c>
      <c r="Q3216" s="64" t="n">
        <f aca="false">IF(AND($P3216&gt;0,$O3216&gt;0),$P3216,0)</f>
        <v>0</v>
      </c>
      <c r="R3216" s="64" t="n">
        <f aca="false">IF(AND($Q3216&gt;0,$O3216&gt;=AtRank),$Q3216,0)</f>
        <v>0</v>
      </c>
      <c r="S3216" s="64" t="n">
        <f aca="false">IF(AND($Q3216&gt;0,$O3216&gt;=AboveRank),$Q3216,0)</f>
        <v>0</v>
      </c>
      <c r="T3216" s="64" t="n">
        <f aca="false">IF($K3216="Less",$P3216,0)</f>
        <v>0</v>
      </c>
      <c r="U3216" s="64" t="n">
        <f aca="false">IF($K3216="Expected",$P3216,0)</f>
        <v>0</v>
      </c>
      <c r="V3216" s="64" t="n">
        <f aca="false">IF($K3216="Better",$P3216,0)</f>
        <v>0</v>
      </c>
      <c r="W3216" s="64" t="n">
        <f aca="false">IF($K3216="U – needs rule",$P3216,0)</f>
        <v>0</v>
      </c>
      <c r="X3216" s="64" t="n">
        <f aca="false">IF($K3216="No Start (attainment only)",$P3216,0)</f>
        <v>0</v>
      </c>
    </row>
    <row r="3217" customFormat="false" ht="15" hidden="false" customHeight="false" outlineLevel="0" collapsed="false">
      <c r="A3217" s="60"/>
      <c r="B3217" s="61" t="str">
        <f aca="false">IF($M3217=0,"",INDEX(Classes!$E$6:$E$420,$M3217))</f>
        <v/>
      </c>
      <c r="C3217" s="62" t="str">
        <f aca="false">IF($M3217=0,"",INDEX(Classes!$H$6:$H$420,$M3217))</f>
        <v/>
      </c>
      <c r="D3217" s="61" t="str">
        <f aca="false">IF($M3217=0,"",INDEX(Classes!$B$6:$B$420,$M3217))</f>
        <v/>
      </c>
      <c r="E3217" s="61" t="str">
        <f aca="false">IF($M3217=0,"",INDEX(Classes!$C$6:$C$420,$M3217))</f>
        <v/>
      </c>
      <c r="F3217" s="63"/>
      <c r="G3217" s="63"/>
      <c r="H3217" s="60"/>
      <c r="I3217" s="60"/>
      <c r="J3217" s="63"/>
      <c r="K3217" s="61" t="str">
        <f aca="false">IF($P3217=0,"",IF($F3217="Baseline","— Baseline",IF($O3217=0,"No result",IF($N3217=0,"No Start (attainment only)",IF(OR($N3217=1,$O3217=1),"U – needs rule",INDEX(MxBody,MATCH($I3217,MxCurr,0),MATCH($H3217,MxStart,0)))))))</f>
        <v/>
      </c>
      <c r="L3217" s="62" t="str">
        <f aca="false">IF(COUNTA($A3217,$F3217,$G3217,$H3217,$I3217,$J3217)=0,"",IF($M3217=0,"✖ كود الصف غير موجود",IF(ISNA(MATCH($F3217,Lists!$A$2:$A$5,0)),"✖ الفترة غير صحيحة",IF(ISNA(MATCH($G3217,Lists!$B$2:$B$7,0)),"✖ المجموعة غير صحيحة",IF(NOT(OR($H3217="",$N3217&gt;0)),"✖ Start غير صحيح",IF(NOT(OR($I3217="",$I3217="NR",$O3217&gt;0)),"✖ Current غير صحيح",IF(NOT(IF(ISNUMBER($J3217),AND($J3217&gt;=0,$J3217=INT($J3217)),FALSE())),"✖ العدد يجب أن يكون صحيحًا ≥ 0",IF(AND($F3217="Baseline",$H3217&lt;&gt;""),"⚠ Baseline: Start لا يدخل في التقدم",IF($K3217="No Start (attainment only)","ℹ تحصيل فقط (بدون Start)",IF($K3217="U – needs rule","ℹ حالة U تحتاج قاعدة معتمدة",IF($K3217="No result","ℹ بدون نتيجة (يُستبعد من التحصيل)","OK")))))))))))</f>
        <v/>
      </c>
      <c r="M3217" s="64" t="n">
        <f aca="false">IF($A3217="",0,IFERROR(MATCH($A3217,Classes!$A$6:$A$420,0),0))</f>
        <v>0</v>
      </c>
      <c r="N3217" s="64" t="n">
        <f aca="false">IF($H3217="",0,IFERROR(MATCH($H3217,GradeList,0),0))</f>
        <v>0</v>
      </c>
      <c r="O3217" s="64" t="n">
        <f aca="false">IF(OR($I3217="",$I3217="NR"),0,IFERROR(MATCH($I3217,GradeList,0),0))</f>
        <v>0</v>
      </c>
      <c r="P3217" s="64" t="n">
        <f aca="false">IF(AND($M3217&gt;0,ISNUMBER(MATCH($F3217,Lists!$A$2:$A$5,0)),ISNUMBER(MATCH($G3217,Lists!$B$2:$B$7,0)),OR($H3217="",$N3217&gt;0),OR($I3217="",$I3217="NR",$O3217&gt;0),IF(ISNUMBER($J3217),AND($J3217&gt;=0,$J3217=INT($J3217)),FALSE())),$J3217,0)</f>
        <v>0</v>
      </c>
      <c r="Q3217" s="64" t="n">
        <f aca="false">IF(AND($P3217&gt;0,$O3217&gt;0),$P3217,0)</f>
        <v>0</v>
      </c>
      <c r="R3217" s="64" t="n">
        <f aca="false">IF(AND($Q3217&gt;0,$O3217&gt;=AtRank),$Q3217,0)</f>
        <v>0</v>
      </c>
      <c r="S3217" s="64" t="n">
        <f aca="false">IF(AND($Q3217&gt;0,$O3217&gt;=AboveRank),$Q3217,0)</f>
        <v>0</v>
      </c>
      <c r="T3217" s="64" t="n">
        <f aca="false">IF($K3217="Less",$P3217,0)</f>
        <v>0</v>
      </c>
      <c r="U3217" s="64" t="n">
        <f aca="false">IF($K3217="Expected",$P3217,0)</f>
        <v>0</v>
      </c>
      <c r="V3217" s="64" t="n">
        <f aca="false">IF($K3217="Better",$P3217,0)</f>
        <v>0</v>
      </c>
      <c r="W3217" s="64" t="n">
        <f aca="false">IF($K3217="U – needs rule",$P3217,0)</f>
        <v>0</v>
      </c>
      <c r="X3217" s="64" t="n">
        <f aca="false">IF($K3217="No Start (attainment only)",$P3217,0)</f>
        <v>0</v>
      </c>
    </row>
    <row r="3218" customFormat="false" ht="15" hidden="false" customHeight="false" outlineLevel="0" collapsed="false">
      <c r="A3218" s="60"/>
      <c r="B3218" s="61" t="str">
        <f aca="false">IF($M3218=0,"",INDEX(Classes!$E$6:$E$420,$M3218))</f>
        <v/>
      </c>
      <c r="C3218" s="62" t="str">
        <f aca="false">IF($M3218=0,"",INDEX(Classes!$H$6:$H$420,$M3218))</f>
        <v/>
      </c>
      <c r="D3218" s="61" t="str">
        <f aca="false">IF($M3218=0,"",INDEX(Classes!$B$6:$B$420,$M3218))</f>
        <v/>
      </c>
      <c r="E3218" s="61" t="str">
        <f aca="false">IF($M3218=0,"",INDEX(Classes!$C$6:$C$420,$M3218))</f>
        <v/>
      </c>
      <c r="F3218" s="63"/>
      <c r="G3218" s="63"/>
      <c r="H3218" s="60"/>
      <c r="I3218" s="60"/>
      <c r="J3218" s="63"/>
      <c r="K3218" s="61" t="str">
        <f aca="false">IF($P3218=0,"",IF($F3218="Baseline","— Baseline",IF($O3218=0,"No result",IF($N3218=0,"No Start (attainment only)",IF(OR($N3218=1,$O3218=1),"U – needs rule",INDEX(MxBody,MATCH($I3218,MxCurr,0),MATCH($H3218,MxStart,0)))))))</f>
        <v/>
      </c>
      <c r="L3218" s="62" t="str">
        <f aca="false">IF(COUNTA($A3218,$F3218,$G3218,$H3218,$I3218,$J3218)=0,"",IF($M3218=0,"✖ كود الصف غير موجود",IF(ISNA(MATCH($F3218,Lists!$A$2:$A$5,0)),"✖ الفترة غير صحيحة",IF(ISNA(MATCH($G3218,Lists!$B$2:$B$7,0)),"✖ المجموعة غير صحيحة",IF(NOT(OR($H3218="",$N3218&gt;0)),"✖ Start غير صحيح",IF(NOT(OR($I3218="",$I3218="NR",$O3218&gt;0)),"✖ Current غير صحيح",IF(NOT(IF(ISNUMBER($J3218),AND($J3218&gt;=0,$J3218=INT($J3218)),FALSE())),"✖ العدد يجب أن يكون صحيحًا ≥ 0",IF(AND($F3218="Baseline",$H3218&lt;&gt;""),"⚠ Baseline: Start لا يدخل في التقدم",IF($K3218="No Start (attainment only)","ℹ تحصيل فقط (بدون Start)",IF($K3218="U – needs rule","ℹ حالة U تحتاج قاعدة معتمدة",IF($K3218="No result","ℹ بدون نتيجة (يُستبعد من التحصيل)","OK")))))))))))</f>
        <v/>
      </c>
      <c r="M3218" s="64" t="n">
        <f aca="false">IF($A3218="",0,IFERROR(MATCH($A3218,Classes!$A$6:$A$420,0),0))</f>
        <v>0</v>
      </c>
      <c r="N3218" s="64" t="n">
        <f aca="false">IF($H3218="",0,IFERROR(MATCH($H3218,GradeList,0),0))</f>
        <v>0</v>
      </c>
      <c r="O3218" s="64" t="n">
        <f aca="false">IF(OR($I3218="",$I3218="NR"),0,IFERROR(MATCH($I3218,GradeList,0),0))</f>
        <v>0</v>
      </c>
      <c r="P3218" s="64" t="n">
        <f aca="false">IF(AND($M3218&gt;0,ISNUMBER(MATCH($F3218,Lists!$A$2:$A$5,0)),ISNUMBER(MATCH($G3218,Lists!$B$2:$B$7,0)),OR($H3218="",$N3218&gt;0),OR($I3218="",$I3218="NR",$O3218&gt;0),IF(ISNUMBER($J3218),AND($J3218&gt;=0,$J3218=INT($J3218)),FALSE())),$J3218,0)</f>
        <v>0</v>
      </c>
      <c r="Q3218" s="64" t="n">
        <f aca="false">IF(AND($P3218&gt;0,$O3218&gt;0),$P3218,0)</f>
        <v>0</v>
      </c>
      <c r="R3218" s="64" t="n">
        <f aca="false">IF(AND($Q3218&gt;0,$O3218&gt;=AtRank),$Q3218,0)</f>
        <v>0</v>
      </c>
      <c r="S3218" s="64" t="n">
        <f aca="false">IF(AND($Q3218&gt;0,$O3218&gt;=AboveRank),$Q3218,0)</f>
        <v>0</v>
      </c>
      <c r="T3218" s="64" t="n">
        <f aca="false">IF($K3218="Less",$P3218,0)</f>
        <v>0</v>
      </c>
      <c r="U3218" s="64" t="n">
        <f aca="false">IF($K3218="Expected",$P3218,0)</f>
        <v>0</v>
      </c>
      <c r="V3218" s="64" t="n">
        <f aca="false">IF($K3218="Better",$P3218,0)</f>
        <v>0</v>
      </c>
      <c r="W3218" s="64" t="n">
        <f aca="false">IF($K3218="U – needs rule",$P3218,0)</f>
        <v>0</v>
      </c>
      <c r="X3218" s="64" t="n">
        <f aca="false">IF($K3218="No Start (attainment only)",$P3218,0)</f>
        <v>0</v>
      </c>
    </row>
    <row r="3219" customFormat="false" ht="15" hidden="false" customHeight="false" outlineLevel="0" collapsed="false">
      <c r="A3219" s="60"/>
      <c r="B3219" s="61" t="str">
        <f aca="false">IF($M3219=0,"",INDEX(Classes!$E$6:$E$420,$M3219))</f>
        <v/>
      </c>
      <c r="C3219" s="62" t="str">
        <f aca="false">IF($M3219=0,"",INDEX(Classes!$H$6:$H$420,$M3219))</f>
        <v/>
      </c>
      <c r="D3219" s="61" t="str">
        <f aca="false">IF($M3219=0,"",INDEX(Classes!$B$6:$B$420,$M3219))</f>
        <v/>
      </c>
      <c r="E3219" s="61" t="str">
        <f aca="false">IF($M3219=0,"",INDEX(Classes!$C$6:$C$420,$M3219))</f>
        <v/>
      </c>
      <c r="F3219" s="63"/>
      <c r="G3219" s="63"/>
      <c r="H3219" s="60"/>
      <c r="I3219" s="60"/>
      <c r="J3219" s="63"/>
      <c r="K3219" s="61" t="str">
        <f aca="false">IF($P3219=0,"",IF($F3219="Baseline","— Baseline",IF($O3219=0,"No result",IF($N3219=0,"No Start (attainment only)",IF(OR($N3219=1,$O3219=1),"U – needs rule",INDEX(MxBody,MATCH($I3219,MxCurr,0),MATCH($H3219,MxStart,0)))))))</f>
        <v/>
      </c>
      <c r="L3219" s="62" t="str">
        <f aca="false">IF(COUNTA($A3219,$F3219,$G3219,$H3219,$I3219,$J3219)=0,"",IF($M3219=0,"✖ كود الصف غير موجود",IF(ISNA(MATCH($F3219,Lists!$A$2:$A$5,0)),"✖ الفترة غير صحيحة",IF(ISNA(MATCH($G3219,Lists!$B$2:$B$7,0)),"✖ المجموعة غير صحيحة",IF(NOT(OR($H3219="",$N3219&gt;0)),"✖ Start غير صحيح",IF(NOT(OR($I3219="",$I3219="NR",$O3219&gt;0)),"✖ Current غير صحيح",IF(NOT(IF(ISNUMBER($J3219),AND($J3219&gt;=0,$J3219=INT($J3219)),FALSE())),"✖ العدد يجب أن يكون صحيحًا ≥ 0",IF(AND($F3219="Baseline",$H3219&lt;&gt;""),"⚠ Baseline: Start لا يدخل في التقدم",IF($K3219="No Start (attainment only)","ℹ تحصيل فقط (بدون Start)",IF($K3219="U – needs rule","ℹ حالة U تحتاج قاعدة معتمدة",IF($K3219="No result","ℹ بدون نتيجة (يُستبعد من التحصيل)","OK")))))))))))</f>
        <v/>
      </c>
      <c r="M3219" s="64" t="n">
        <f aca="false">IF($A3219="",0,IFERROR(MATCH($A3219,Classes!$A$6:$A$420,0),0))</f>
        <v>0</v>
      </c>
      <c r="N3219" s="64" t="n">
        <f aca="false">IF($H3219="",0,IFERROR(MATCH($H3219,GradeList,0),0))</f>
        <v>0</v>
      </c>
      <c r="O3219" s="64" t="n">
        <f aca="false">IF(OR($I3219="",$I3219="NR"),0,IFERROR(MATCH($I3219,GradeList,0),0))</f>
        <v>0</v>
      </c>
      <c r="P3219" s="64" t="n">
        <f aca="false">IF(AND($M3219&gt;0,ISNUMBER(MATCH($F3219,Lists!$A$2:$A$5,0)),ISNUMBER(MATCH($G3219,Lists!$B$2:$B$7,0)),OR($H3219="",$N3219&gt;0),OR($I3219="",$I3219="NR",$O3219&gt;0),IF(ISNUMBER($J3219),AND($J3219&gt;=0,$J3219=INT($J3219)),FALSE())),$J3219,0)</f>
        <v>0</v>
      </c>
      <c r="Q3219" s="64" t="n">
        <f aca="false">IF(AND($P3219&gt;0,$O3219&gt;0),$P3219,0)</f>
        <v>0</v>
      </c>
      <c r="R3219" s="64" t="n">
        <f aca="false">IF(AND($Q3219&gt;0,$O3219&gt;=AtRank),$Q3219,0)</f>
        <v>0</v>
      </c>
      <c r="S3219" s="64" t="n">
        <f aca="false">IF(AND($Q3219&gt;0,$O3219&gt;=AboveRank),$Q3219,0)</f>
        <v>0</v>
      </c>
      <c r="T3219" s="64" t="n">
        <f aca="false">IF($K3219="Less",$P3219,0)</f>
        <v>0</v>
      </c>
      <c r="U3219" s="64" t="n">
        <f aca="false">IF($K3219="Expected",$P3219,0)</f>
        <v>0</v>
      </c>
      <c r="V3219" s="64" t="n">
        <f aca="false">IF($K3219="Better",$P3219,0)</f>
        <v>0</v>
      </c>
      <c r="W3219" s="64" t="n">
        <f aca="false">IF($K3219="U – needs rule",$P3219,0)</f>
        <v>0</v>
      </c>
      <c r="X3219" s="64" t="n">
        <f aca="false">IF($K3219="No Start (attainment only)",$P3219,0)</f>
        <v>0</v>
      </c>
    </row>
    <row r="3220" customFormat="false" ht="15" hidden="false" customHeight="false" outlineLevel="0" collapsed="false">
      <c r="A3220" s="60"/>
      <c r="B3220" s="61" t="str">
        <f aca="false">IF($M3220=0,"",INDEX(Classes!$E$6:$E$420,$M3220))</f>
        <v/>
      </c>
      <c r="C3220" s="62" t="str">
        <f aca="false">IF($M3220=0,"",INDEX(Classes!$H$6:$H$420,$M3220))</f>
        <v/>
      </c>
      <c r="D3220" s="61" t="str">
        <f aca="false">IF($M3220=0,"",INDEX(Classes!$B$6:$B$420,$M3220))</f>
        <v/>
      </c>
      <c r="E3220" s="61" t="str">
        <f aca="false">IF($M3220=0,"",INDEX(Classes!$C$6:$C$420,$M3220))</f>
        <v/>
      </c>
      <c r="F3220" s="63"/>
      <c r="G3220" s="63"/>
      <c r="H3220" s="60"/>
      <c r="I3220" s="60"/>
      <c r="J3220" s="63"/>
      <c r="K3220" s="61" t="str">
        <f aca="false">IF($P3220=0,"",IF($F3220="Baseline","— Baseline",IF($O3220=0,"No result",IF($N3220=0,"No Start (attainment only)",IF(OR($N3220=1,$O3220=1),"U – needs rule",INDEX(MxBody,MATCH($I3220,MxCurr,0),MATCH($H3220,MxStart,0)))))))</f>
        <v/>
      </c>
      <c r="L3220" s="62" t="str">
        <f aca="false">IF(COUNTA($A3220,$F3220,$G3220,$H3220,$I3220,$J3220)=0,"",IF($M3220=0,"✖ كود الصف غير موجود",IF(ISNA(MATCH($F3220,Lists!$A$2:$A$5,0)),"✖ الفترة غير صحيحة",IF(ISNA(MATCH($G3220,Lists!$B$2:$B$7,0)),"✖ المجموعة غير صحيحة",IF(NOT(OR($H3220="",$N3220&gt;0)),"✖ Start غير صحيح",IF(NOT(OR($I3220="",$I3220="NR",$O3220&gt;0)),"✖ Current غير صحيح",IF(NOT(IF(ISNUMBER($J3220),AND($J3220&gt;=0,$J3220=INT($J3220)),FALSE())),"✖ العدد يجب أن يكون صحيحًا ≥ 0",IF(AND($F3220="Baseline",$H3220&lt;&gt;""),"⚠ Baseline: Start لا يدخل في التقدم",IF($K3220="No Start (attainment only)","ℹ تحصيل فقط (بدون Start)",IF($K3220="U – needs rule","ℹ حالة U تحتاج قاعدة معتمدة",IF($K3220="No result","ℹ بدون نتيجة (يُستبعد من التحصيل)","OK")))))))))))</f>
        <v/>
      </c>
      <c r="M3220" s="64" t="n">
        <f aca="false">IF($A3220="",0,IFERROR(MATCH($A3220,Classes!$A$6:$A$420,0),0))</f>
        <v>0</v>
      </c>
      <c r="N3220" s="64" t="n">
        <f aca="false">IF($H3220="",0,IFERROR(MATCH($H3220,GradeList,0),0))</f>
        <v>0</v>
      </c>
      <c r="O3220" s="64" t="n">
        <f aca="false">IF(OR($I3220="",$I3220="NR"),0,IFERROR(MATCH($I3220,GradeList,0),0))</f>
        <v>0</v>
      </c>
      <c r="P3220" s="64" t="n">
        <f aca="false">IF(AND($M3220&gt;0,ISNUMBER(MATCH($F3220,Lists!$A$2:$A$5,0)),ISNUMBER(MATCH($G3220,Lists!$B$2:$B$7,0)),OR($H3220="",$N3220&gt;0),OR($I3220="",$I3220="NR",$O3220&gt;0),IF(ISNUMBER($J3220),AND($J3220&gt;=0,$J3220=INT($J3220)),FALSE())),$J3220,0)</f>
        <v>0</v>
      </c>
      <c r="Q3220" s="64" t="n">
        <f aca="false">IF(AND($P3220&gt;0,$O3220&gt;0),$P3220,0)</f>
        <v>0</v>
      </c>
      <c r="R3220" s="64" t="n">
        <f aca="false">IF(AND($Q3220&gt;0,$O3220&gt;=AtRank),$Q3220,0)</f>
        <v>0</v>
      </c>
      <c r="S3220" s="64" t="n">
        <f aca="false">IF(AND($Q3220&gt;0,$O3220&gt;=AboveRank),$Q3220,0)</f>
        <v>0</v>
      </c>
      <c r="T3220" s="64" t="n">
        <f aca="false">IF($K3220="Less",$P3220,0)</f>
        <v>0</v>
      </c>
      <c r="U3220" s="64" t="n">
        <f aca="false">IF($K3220="Expected",$P3220,0)</f>
        <v>0</v>
      </c>
      <c r="V3220" s="64" t="n">
        <f aca="false">IF($K3220="Better",$P3220,0)</f>
        <v>0</v>
      </c>
      <c r="W3220" s="64" t="n">
        <f aca="false">IF($K3220="U – needs rule",$P3220,0)</f>
        <v>0</v>
      </c>
      <c r="X3220" s="64" t="n">
        <f aca="false">IF($K3220="No Start (attainment only)",$P3220,0)</f>
        <v>0</v>
      </c>
    </row>
    <row r="3221" customFormat="false" ht="15" hidden="false" customHeight="false" outlineLevel="0" collapsed="false">
      <c r="A3221" s="60"/>
      <c r="B3221" s="61" t="str">
        <f aca="false">IF($M3221=0,"",INDEX(Classes!$E$6:$E$420,$M3221))</f>
        <v/>
      </c>
      <c r="C3221" s="62" t="str">
        <f aca="false">IF($M3221=0,"",INDEX(Classes!$H$6:$H$420,$M3221))</f>
        <v/>
      </c>
      <c r="D3221" s="61" t="str">
        <f aca="false">IF($M3221=0,"",INDEX(Classes!$B$6:$B$420,$M3221))</f>
        <v/>
      </c>
      <c r="E3221" s="61" t="str">
        <f aca="false">IF($M3221=0,"",INDEX(Classes!$C$6:$C$420,$M3221))</f>
        <v/>
      </c>
      <c r="F3221" s="63"/>
      <c r="G3221" s="63"/>
      <c r="H3221" s="60"/>
      <c r="I3221" s="60"/>
      <c r="J3221" s="63"/>
      <c r="K3221" s="61" t="str">
        <f aca="false">IF($P3221=0,"",IF($F3221="Baseline","— Baseline",IF($O3221=0,"No result",IF($N3221=0,"No Start (attainment only)",IF(OR($N3221=1,$O3221=1),"U – needs rule",INDEX(MxBody,MATCH($I3221,MxCurr,0),MATCH($H3221,MxStart,0)))))))</f>
        <v/>
      </c>
      <c r="L3221" s="62" t="str">
        <f aca="false">IF(COUNTA($A3221,$F3221,$G3221,$H3221,$I3221,$J3221)=0,"",IF($M3221=0,"✖ كود الصف غير موجود",IF(ISNA(MATCH($F3221,Lists!$A$2:$A$5,0)),"✖ الفترة غير صحيحة",IF(ISNA(MATCH($G3221,Lists!$B$2:$B$7,0)),"✖ المجموعة غير صحيحة",IF(NOT(OR($H3221="",$N3221&gt;0)),"✖ Start غير صحيح",IF(NOT(OR($I3221="",$I3221="NR",$O3221&gt;0)),"✖ Current غير صحيح",IF(NOT(IF(ISNUMBER($J3221),AND($J3221&gt;=0,$J3221=INT($J3221)),FALSE())),"✖ العدد يجب أن يكون صحيحًا ≥ 0",IF(AND($F3221="Baseline",$H3221&lt;&gt;""),"⚠ Baseline: Start لا يدخل في التقدم",IF($K3221="No Start (attainment only)","ℹ تحصيل فقط (بدون Start)",IF($K3221="U – needs rule","ℹ حالة U تحتاج قاعدة معتمدة",IF($K3221="No result","ℹ بدون نتيجة (يُستبعد من التحصيل)","OK")))))))))))</f>
        <v/>
      </c>
      <c r="M3221" s="64" t="n">
        <f aca="false">IF($A3221="",0,IFERROR(MATCH($A3221,Classes!$A$6:$A$420,0),0))</f>
        <v>0</v>
      </c>
      <c r="N3221" s="64" t="n">
        <f aca="false">IF($H3221="",0,IFERROR(MATCH($H3221,GradeList,0),0))</f>
        <v>0</v>
      </c>
      <c r="O3221" s="64" t="n">
        <f aca="false">IF(OR($I3221="",$I3221="NR"),0,IFERROR(MATCH($I3221,GradeList,0),0))</f>
        <v>0</v>
      </c>
      <c r="P3221" s="64" t="n">
        <f aca="false">IF(AND($M3221&gt;0,ISNUMBER(MATCH($F3221,Lists!$A$2:$A$5,0)),ISNUMBER(MATCH($G3221,Lists!$B$2:$B$7,0)),OR($H3221="",$N3221&gt;0),OR($I3221="",$I3221="NR",$O3221&gt;0),IF(ISNUMBER($J3221),AND($J3221&gt;=0,$J3221=INT($J3221)),FALSE())),$J3221,0)</f>
        <v>0</v>
      </c>
      <c r="Q3221" s="64" t="n">
        <f aca="false">IF(AND($P3221&gt;0,$O3221&gt;0),$P3221,0)</f>
        <v>0</v>
      </c>
      <c r="R3221" s="64" t="n">
        <f aca="false">IF(AND($Q3221&gt;0,$O3221&gt;=AtRank),$Q3221,0)</f>
        <v>0</v>
      </c>
      <c r="S3221" s="64" t="n">
        <f aca="false">IF(AND($Q3221&gt;0,$O3221&gt;=AboveRank),$Q3221,0)</f>
        <v>0</v>
      </c>
      <c r="T3221" s="64" t="n">
        <f aca="false">IF($K3221="Less",$P3221,0)</f>
        <v>0</v>
      </c>
      <c r="U3221" s="64" t="n">
        <f aca="false">IF($K3221="Expected",$P3221,0)</f>
        <v>0</v>
      </c>
      <c r="V3221" s="64" t="n">
        <f aca="false">IF($K3221="Better",$P3221,0)</f>
        <v>0</v>
      </c>
      <c r="W3221" s="64" t="n">
        <f aca="false">IF($K3221="U – needs rule",$P3221,0)</f>
        <v>0</v>
      </c>
      <c r="X3221" s="64" t="n">
        <f aca="false">IF($K3221="No Start (attainment only)",$P3221,0)</f>
        <v>0</v>
      </c>
    </row>
    <row r="3222" customFormat="false" ht="15" hidden="false" customHeight="false" outlineLevel="0" collapsed="false">
      <c r="A3222" s="60"/>
      <c r="B3222" s="61" t="str">
        <f aca="false">IF($M3222=0,"",INDEX(Classes!$E$6:$E$420,$M3222))</f>
        <v/>
      </c>
      <c r="C3222" s="62" t="str">
        <f aca="false">IF($M3222=0,"",INDEX(Classes!$H$6:$H$420,$M3222))</f>
        <v/>
      </c>
      <c r="D3222" s="61" t="str">
        <f aca="false">IF($M3222=0,"",INDEX(Classes!$B$6:$B$420,$M3222))</f>
        <v/>
      </c>
      <c r="E3222" s="61" t="str">
        <f aca="false">IF($M3222=0,"",INDEX(Classes!$C$6:$C$420,$M3222))</f>
        <v/>
      </c>
      <c r="F3222" s="63"/>
      <c r="G3222" s="63"/>
      <c r="H3222" s="60"/>
      <c r="I3222" s="60"/>
      <c r="J3222" s="63"/>
      <c r="K3222" s="61" t="str">
        <f aca="false">IF($P3222=0,"",IF($F3222="Baseline","— Baseline",IF($O3222=0,"No result",IF($N3222=0,"No Start (attainment only)",IF(OR($N3222=1,$O3222=1),"U – needs rule",INDEX(MxBody,MATCH($I3222,MxCurr,0),MATCH($H3222,MxStart,0)))))))</f>
        <v/>
      </c>
      <c r="L3222" s="62" t="str">
        <f aca="false">IF(COUNTA($A3222,$F3222,$G3222,$H3222,$I3222,$J3222)=0,"",IF($M3222=0,"✖ كود الصف غير موجود",IF(ISNA(MATCH($F3222,Lists!$A$2:$A$5,0)),"✖ الفترة غير صحيحة",IF(ISNA(MATCH($G3222,Lists!$B$2:$B$7,0)),"✖ المجموعة غير صحيحة",IF(NOT(OR($H3222="",$N3222&gt;0)),"✖ Start غير صحيح",IF(NOT(OR($I3222="",$I3222="NR",$O3222&gt;0)),"✖ Current غير صحيح",IF(NOT(IF(ISNUMBER($J3222),AND($J3222&gt;=0,$J3222=INT($J3222)),FALSE())),"✖ العدد يجب أن يكون صحيحًا ≥ 0",IF(AND($F3222="Baseline",$H3222&lt;&gt;""),"⚠ Baseline: Start لا يدخل في التقدم",IF($K3222="No Start (attainment only)","ℹ تحصيل فقط (بدون Start)",IF($K3222="U – needs rule","ℹ حالة U تحتاج قاعدة معتمدة",IF($K3222="No result","ℹ بدون نتيجة (يُستبعد من التحصيل)","OK")))))))))))</f>
        <v/>
      </c>
      <c r="M3222" s="64" t="n">
        <f aca="false">IF($A3222="",0,IFERROR(MATCH($A3222,Classes!$A$6:$A$420,0),0))</f>
        <v>0</v>
      </c>
      <c r="N3222" s="64" t="n">
        <f aca="false">IF($H3222="",0,IFERROR(MATCH($H3222,GradeList,0),0))</f>
        <v>0</v>
      </c>
      <c r="O3222" s="64" t="n">
        <f aca="false">IF(OR($I3222="",$I3222="NR"),0,IFERROR(MATCH($I3222,GradeList,0),0))</f>
        <v>0</v>
      </c>
      <c r="P3222" s="64" t="n">
        <f aca="false">IF(AND($M3222&gt;0,ISNUMBER(MATCH($F3222,Lists!$A$2:$A$5,0)),ISNUMBER(MATCH($G3222,Lists!$B$2:$B$7,0)),OR($H3222="",$N3222&gt;0),OR($I3222="",$I3222="NR",$O3222&gt;0),IF(ISNUMBER($J3222),AND($J3222&gt;=0,$J3222=INT($J3222)),FALSE())),$J3222,0)</f>
        <v>0</v>
      </c>
      <c r="Q3222" s="64" t="n">
        <f aca="false">IF(AND($P3222&gt;0,$O3222&gt;0),$P3222,0)</f>
        <v>0</v>
      </c>
      <c r="R3222" s="64" t="n">
        <f aca="false">IF(AND($Q3222&gt;0,$O3222&gt;=AtRank),$Q3222,0)</f>
        <v>0</v>
      </c>
      <c r="S3222" s="64" t="n">
        <f aca="false">IF(AND($Q3222&gt;0,$O3222&gt;=AboveRank),$Q3222,0)</f>
        <v>0</v>
      </c>
      <c r="T3222" s="64" t="n">
        <f aca="false">IF($K3222="Less",$P3222,0)</f>
        <v>0</v>
      </c>
      <c r="U3222" s="64" t="n">
        <f aca="false">IF($K3222="Expected",$P3222,0)</f>
        <v>0</v>
      </c>
      <c r="V3222" s="64" t="n">
        <f aca="false">IF($K3222="Better",$P3222,0)</f>
        <v>0</v>
      </c>
      <c r="W3222" s="64" t="n">
        <f aca="false">IF($K3222="U – needs rule",$P3222,0)</f>
        <v>0</v>
      </c>
      <c r="X3222" s="64" t="n">
        <f aca="false">IF($K3222="No Start (attainment only)",$P3222,0)</f>
        <v>0</v>
      </c>
    </row>
    <row r="3223" customFormat="false" ht="15" hidden="false" customHeight="false" outlineLevel="0" collapsed="false">
      <c r="A3223" s="60"/>
      <c r="B3223" s="61" t="str">
        <f aca="false">IF($M3223=0,"",INDEX(Classes!$E$6:$E$420,$M3223))</f>
        <v/>
      </c>
      <c r="C3223" s="62" t="str">
        <f aca="false">IF($M3223=0,"",INDEX(Classes!$H$6:$H$420,$M3223))</f>
        <v/>
      </c>
      <c r="D3223" s="61" t="str">
        <f aca="false">IF($M3223=0,"",INDEX(Classes!$B$6:$B$420,$M3223))</f>
        <v/>
      </c>
      <c r="E3223" s="61" t="str">
        <f aca="false">IF($M3223=0,"",INDEX(Classes!$C$6:$C$420,$M3223))</f>
        <v/>
      </c>
      <c r="F3223" s="63"/>
      <c r="G3223" s="63"/>
      <c r="H3223" s="60"/>
      <c r="I3223" s="60"/>
      <c r="J3223" s="63"/>
      <c r="K3223" s="61" t="str">
        <f aca="false">IF($P3223=0,"",IF($F3223="Baseline","— Baseline",IF($O3223=0,"No result",IF($N3223=0,"No Start (attainment only)",IF(OR($N3223=1,$O3223=1),"U – needs rule",INDEX(MxBody,MATCH($I3223,MxCurr,0),MATCH($H3223,MxStart,0)))))))</f>
        <v/>
      </c>
      <c r="L3223" s="62" t="str">
        <f aca="false">IF(COUNTA($A3223,$F3223,$G3223,$H3223,$I3223,$J3223)=0,"",IF($M3223=0,"✖ كود الصف غير موجود",IF(ISNA(MATCH($F3223,Lists!$A$2:$A$5,0)),"✖ الفترة غير صحيحة",IF(ISNA(MATCH($G3223,Lists!$B$2:$B$7,0)),"✖ المجموعة غير صحيحة",IF(NOT(OR($H3223="",$N3223&gt;0)),"✖ Start غير صحيح",IF(NOT(OR($I3223="",$I3223="NR",$O3223&gt;0)),"✖ Current غير صحيح",IF(NOT(IF(ISNUMBER($J3223),AND($J3223&gt;=0,$J3223=INT($J3223)),FALSE())),"✖ العدد يجب أن يكون صحيحًا ≥ 0",IF(AND($F3223="Baseline",$H3223&lt;&gt;""),"⚠ Baseline: Start لا يدخل في التقدم",IF($K3223="No Start (attainment only)","ℹ تحصيل فقط (بدون Start)",IF($K3223="U – needs rule","ℹ حالة U تحتاج قاعدة معتمدة",IF($K3223="No result","ℹ بدون نتيجة (يُستبعد من التحصيل)","OK")))))))))))</f>
        <v/>
      </c>
      <c r="M3223" s="64" t="n">
        <f aca="false">IF($A3223="",0,IFERROR(MATCH($A3223,Classes!$A$6:$A$420,0),0))</f>
        <v>0</v>
      </c>
      <c r="N3223" s="64" t="n">
        <f aca="false">IF($H3223="",0,IFERROR(MATCH($H3223,GradeList,0),0))</f>
        <v>0</v>
      </c>
      <c r="O3223" s="64" t="n">
        <f aca="false">IF(OR($I3223="",$I3223="NR"),0,IFERROR(MATCH($I3223,GradeList,0),0))</f>
        <v>0</v>
      </c>
      <c r="P3223" s="64" t="n">
        <f aca="false">IF(AND($M3223&gt;0,ISNUMBER(MATCH($F3223,Lists!$A$2:$A$5,0)),ISNUMBER(MATCH($G3223,Lists!$B$2:$B$7,0)),OR($H3223="",$N3223&gt;0),OR($I3223="",$I3223="NR",$O3223&gt;0),IF(ISNUMBER($J3223),AND($J3223&gt;=0,$J3223=INT($J3223)),FALSE())),$J3223,0)</f>
        <v>0</v>
      </c>
      <c r="Q3223" s="64" t="n">
        <f aca="false">IF(AND($P3223&gt;0,$O3223&gt;0),$P3223,0)</f>
        <v>0</v>
      </c>
      <c r="R3223" s="64" t="n">
        <f aca="false">IF(AND($Q3223&gt;0,$O3223&gt;=AtRank),$Q3223,0)</f>
        <v>0</v>
      </c>
      <c r="S3223" s="64" t="n">
        <f aca="false">IF(AND($Q3223&gt;0,$O3223&gt;=AboveRank),$Q3223,0)</f>
        <v>0</v>
      </c>
      <c r="T3223" s="64" t="n">
        <f aca="false">IF($K3223="Less",$P3223,0)</f>
        <v>0</v>
      </c>
      <c r="U3223" s="64" t="n">
        <f aca="false">IF($K3223="Expected",$P3223,0)</f>
        <v>0</v>
      </c>
      <c r="V3223" s="64" t="n">
        <f aca="false">IF($K3223="Better",$P3223,0)</f>
        <v>0</v>
      </c>
      <c r="W3223" s="64" t="n">
        <f aca="false">IF($K3223="U – needs rule",$P3223,0)</f>
        <v>0</v>
      </c>
      <c r="X3223" s="64" t="n">
        <f aca="false">IF($K3223="No Start (attainment only)",$P3223,0)</f>
        <v>0</v>
      </c>
    </row>
    <row r="3224" customFormat="false" ht="15" hidden="false" customHeight="false" outlineLevel="0" collapsed="false">
      <c r="A3224" s="60"/>
      <c r="B3224" s="61" t="str">
        <f aca="false">IF($M3224=0,"",INDEX(Classes!$E$6:$E$420,$M3224))</f>
        <v/>
      </c>
      <c r="C3224" s="62" t="str">
        <f aca="false">IF($M3224=0,"",INDEX(Classes!$H$6:$H$420,$M3224))</f>
        <v/>
      </c>
      <c r="D3224" s="61" t="str">
        <f aca="false">IF($M3224=0,"",INDEX(Classes!$B$6:$B$420,$M3224))</f>
        <v/>
      </c>
      <c r="E3224" s="61" t="str">
        <f aca="false">IF($M3224=0,"",INDEX(Classes!$C$6:$C$420,$M3224))</f>
        <v/>
      </c>
      <c r="F3224" s="63"/>
      <c r="G3224" s="63"/>
      <c r="H3224" s="60"/>
      <c r="I3224" s="60"/>
      <c r="J3224" s="63"/>
      <c r="K3224" s="61" t="str">
        <f aca="false">IF($P3224=0,"",IF($F3224="Baseline","— Baseline",IF($O3224=0,"No result",IF($N3224=0,"No Start (attainment only)",IF(OR($N3224=1,$O3224=1),"U – needs rule",INDEX(MxBody,MATCH($I3224,MxCurr,0),MATCH($H3224,MxStart,0)))))))</f>
        <v/>
      </c>
      <c r="L3224" s="62" t="str">
        <f aca="false">IF(COUNTA($A3224,$F3224,$G3224,$H3224,$I3224,$J3224)=0,"",IF($M3224=0,"✖ كود الصف غير موجود",IF(ISNA(MATCH($F3224,Lists!$A$2:$A$5,0)),"✖ الفترة غير صحيحة",IF(ISNA(MATCH($G3224,Lists!$B$2:$B$7,0)),"✖ المجموعة غير صحيحة",IF(NOT(OR($H3224="",$N3224&gt;0)),"✖ Start غير صحيح",IF(NOT(OR($I3224="",$I3224="NR",$O3224&gt;0)),"✖ Current غير صحيح",IF(NOT(IF(ISNUMBER($J3224),AND($J3224&gt;=0,$J3224=INT($J3224)),FALSE())),"✖ العدد يجب أن يكون صحيحًا ≥ 0",IF(AND($F3224="Baseline",$H3224&lt;&gt;""),"⚠ Baseline: Start لا يدخل في التقدم",IF($K3224="No Start (attainment only)","ℹ تحصيل فقط (بدون Start)",IF($K3224="U – needs rule","ℹ حالة U تحتاج قاعدة معتمدة",IF($K3224="No result","ℹ بدون نتيجة (يُستبعد من التحصيل)","OK")))))))))))</f>
        <v/>
      </c>
      <c r="M3224" s="64" t="n">
        <f aca="false">IF($A3224="",0,IFERROR(MATCH($A3224,Classes!$A$6:$A$420,0),0))</f>
        <v>0</v>
      </c>
      <c r="N3224" s="64" t="n">
        <f aca="false">IF($H3224="",0,IFERROR(MATCH($H3224,GradeList,0),0))</f>
        <v>0</v>
      </c>
      <c r="O3224" s="64" t="n">
        <f aca="false">IF(OR($I3224="",$I3224="NR"),0,IFERROR(MATCH($I3224,GradeList,0),0))</f>
        <v>0</v>
      </c>
      <c r="P3224" s="64" t="n">
        <f aca="false">IF(AND($M3224&gt;0,ISNUMBER(MATCH($F3224,Lists!$A$2:$A$5,0)),ISNUMBER(MATCH($G3224,Lists!$B$2:$B$7,0)),OR($H3224="",$N3224&gt;0),OR($I3224="",$I3224="NR",$O3224&gt;0),IF(ISNUMBER($J3224),AND($J3224&gt;=0,$J3224=INT($J3224)),FALSE())),$J3224,0)</f>
        <v>0</v>
      </c>
      <c r="Q3224" s="64" t="n">
        <f aca="false">IF(AND($P3224&gt;0,$O3224&gt;0),$P3224,0)</f>
        <v>0</v>
      </c>
      <c r="R3224" s="64" t="n">
        <f aca="false">IF(AND($Q3224&gt;0,$O3224&gt;=AtRank),$Q3224,0)</f>
        <v>0</v>
      </c>
      <c r="S3224" s="64" t="n">
        <f aca="false">IF(AND($Q3224&gt;0,$O3224&gt;=AboveRank),$Q3224,0)</f>
        <v>0</v>
      </c>
      <c r="T3224" s="64" t="n">
        <f aca="false">IF($K3224="Less",$P3224,0)</f>
        <v>0</v>
      </c>
      <c r="U3224" s="64" t="n">
        <f aca="false">IF($K3224="Expected",$P3224,0)</f>
        <v>0</v>
      </c>
      <c r="V3224" s="64" t="n">
        <f aca="false">IF($K3224="Better",$P3224,0)</f>
        <v>0</v>
      </c>
      <c r="W3224" s="64" t="n">
        <f aca="false">IF($K3224="U – needs rule",$P3224,0)</f>
        <v>0</v>
      </c>
      <c r="X3224" s="64" t="n">
        <f aca="false">IF($K3224="No Start (attainment only)",$P3224,0)</f>
        <v>0</v>
      </c>
    </row>
    <row r="3225" customFormat="false" ht="15" hidden="false" customHeight="false" outlineLevel="0" collapsed="false">
      <c r="A3225" s="60"/>
      <c r="B3225" s="61" t="str">
        <f aca="false">IF($M3225=0,"",INDEX(Classes!$E$6:$E$420,$M3225))</f>
        <v/>
      </c>
      <c r="C3225" s="62" t="str">
        <f aca="false">IF($M3225=0,"",INDEX(Classes!$H$6:$H$420,$M3225))</f>
        <v/>
      </c>
      <c r="D3225" s="61" t="str">
        <f aca="false">IF($M3225=0,"",INDEX(Classes!$B$6:$B$420,$M3225))</f>
        <v/>
      </c>
      <c r="E3225" s="61" t="str">
        <f aca="false">IF($M3225=0,"",INDEX(Classes!$C$6:$C$420,$M3225))</f>
        <v/>
      </c>
      <c r="F3225" s="63"/>
      <c r="G3225" s="63"/>
      <c r="H3225" s="60"/>
      <c r="I3225" s="60"/>
      <c r="J3225" s="63"/>
      <c r="K3225" s="61" t="str">
        <f aca="false">IF($P3225=0,"",IF($F3225="Baseline","— Baseline",IF($O3225=0,"No result",IF($N3225=0,"No Start (attainment only)",IF(OR($N3225=1,$O3225=1),"U – needs rule",INDEX(MxBody,MATCH($I3225,MxCurr,0),MATCH($H3225,MxStart,0)))))))</f>
        <v/>
      </c>
      <c r="L3225" s="62" t="str">
        <f aca="false">IF(COUNTA($A3225,$F3225,$G3225,$H3225,$I3225,$J3225)=0,"",IF($M3225=0,"✖ كود الصف غير موجود",IF(ISNA(MATCH($F3225,Lists!$A$2:$A$5,0)),"✖ الفترة غير صحيحة",IF(ISNA(MATCH($G3225,Lists!$B$2:$B$7,0)),"✖ المجموعة غير صحيحة",IF(NOT(OR($H3225="",$N3225&gt;0)),"✖ Start غير صحيح",IF(NOT(OR($I3225="",$I3225="NR",$O3225&gt;0)),"✖ Current غير صحيح",IF(NOT(IF(ISNUMBER($J3225),AND($J3225&gt;=0,$J3225=INT($J3225)),FALSE())),"✖ العدد يجب أن يكون صحيحًا ≥ 0",IF(AND($F3225="Baseline",$H3225&lt;&gt;""),"⚠ Baseline: Start لا يدخل في التقدم",IF($K3225="No Start (attainment only)","ℹ تحصيل فقط (بدون Start)",IF($K3225="U – needs rule","ℹ حالة U تحتاج قاعدة معتمدة",IF($K3225="No result","ℹ بدون نتيجة (يُستبعد من التحصيل)","OK")))))))))))</f>
        <v/>
      </c>
      <c r="M3225" s="64" t="n">
        <f aca="false">IF($A3225="",0,IFERROR(MATCH($A3225,Classes!$A$6:$A$420,0),0))</f>
        <v>0</v>
      </c>
      <c r="N3225" s="64" t="n">
        <f aca="false">IF($H3225="",0,IFERROR(MATCH($H3225,GradeList,0),0))</f>
        <v>0</v>
      </c>
      <c r="O3225" s="64" t="n">
        <f aca="false">IF(OR($I3225="",$I3225="NR"),0,IFERROR(MATCH($I3225,GradeList,0),0))</f>
        <v>0</v>
      </c>
      <c r="P3225" s="64" t="n">
        <f aca="false">IF(AND($M3225&gt;0,ISNUMBER(MATCH($F3225,Lists!$A$2:$A$5,0)),ISNUMBER(MATCH($G3225,Lists!$B$2:$B$7,0)),OR($H3225="",$N3225&gt;0),OR($I3225="",$I3225="NR",$O3225&gt;0),IF(ISNUMBER($J3225),AND($J3225&gt;=0,$J3225=INT($J3225)),FALSE())),$J3225,0)</f>
        <v>0</v>
      </c>
      <c r="Q3225" s="64" t="n">
        <f aca="false">IF(AND($P3225&gt;0,$O3225&gt;0),$P3225,0)</f>
        <v>0</v>
      </c>
      <c r="R3225" s="64" t="n">
        <f aca="false">IF(AND($Q3225&gt;0,$O3225&gt;=AtRank),$Q3225,0)</f>
        <v>0</v>
      </c>
      <c r="S3225" s="64" t="n">
        <f aca="false">IF(AND($Q3225&gt;0,$O3225&gt;=AboveRank),$Q3225,0)</f>
        <v>0</v>
      </c>
      <c r="T3225" s="64" t="n">
        <f aca="false">IF($K3225="Less",$P3225,0)</f>
        <v>0</v>
      </c>
      <c r="U3225" s="64" t="n">
        <f aca="false">IF($K3225="Expected",$P3225,0)</f>
        <v>0</v>
      </c>
      <c r="V3225" s="64" t="n">
        <f aca="false">IF($K3225="Better",$P3225,0)</f>
        <v>0</v>
      </c>
      <c r="W3225" s="64" t="n">
        <f aca="false">IF($K3225="U – needs rule",$P3225,0)</f>
        <v>0</v>
      </c>
      <c r="X3225" s="64" t="n">
        <f aca="false">IF($K3225="No Start (attainment only)",$P3225,0)</f>
        <v>0</v>
      </c>
    </row>
    <row r="3226" customFormat="false" ht="15" hidden="false" customHeight="false" outlineLevel="0" collapsed="false">
      <c r="A3226" s="60"/>
      <c r="B3226" s="61" t="str">
        <f aca="false">IF($M3226=0,"",INDEX(Classes!$E$6:$E$420,$M3226))</f>
        <v/>
      </c>
      <c r="C3226" s="62" t="str">
        <f aca="false">IF($M3226=0,"",INDEX(Classes!$H$6:$H$420,$M3226))</f>
        <v/>
      </c>
      <c r="D3226" s="61" t="str">
        <f aca="false">IF($M3226=0,"",INDEX(Classes!$B$6:$B$420,$M3226))</f>
        <v/>
      </c>
      <c r="E3226" s="61" t="str">
        <f aca="false">IF($M3226=0,"",INDEX(Classes!$C$6:$C$420,$M3226))</f>
        <v/>
      </c>
      <c r="F3226" s="63"/>
      <c r="G3226" s="63"/>
      <c r="H3226" s="60"/>
      <c r="I3226" s="60"/>
      <c r="J3226" s="63"/>
      <c r="K3226" s="61" t="str">
        <f aca="false">IF($P3226=0,"",IF($F3226="Baseline","— Baseline",IF($O3226=0,"No result",IF($N3226=0,"No Start (attainment only)",IF(OR($N3226=1,$O3226=1),"U – needs rule",INDEX(MxBody,MATCH($I3226,MxCurr,0),MATCH($H3226,MxStart,0)))))))</f>
        <v/>
      </c>
      <c r="L3226" s="62" t="str">
        <f aca="false">IF(COUNTA($A3226,$F3226,$G3226,$H3226,$I3226,$J3226)=0,"",IF($M3226=0,"✖ كود الصف غير موجود",IF(ISNA(MATCH($F3226,Lists!$A$2:$A$5,0)),"✖ الفترة غير صحيحة",IF(ISNA(MATCH($G3226,Lists!$B$2:$B$7,0)),"✖ المجموعة غير صحيحة",IF(NOT(OR($H3226="",$N3226&gt;0)),"✖ Start غير صحيح",IF(NOT(OR($I3226="",$I3226="NR",$O3226&gt;0)),"✖ Current غير صحيح",IF(NOT(IF(ISNUMBER($J3226),AND($J3226&gt;=0,$J3226=INT($J3226)),FALSE())),"✖ العدد يجب أن يكون صحيحًا ≥ 0",IF(AND($F3226="Baseline",$H3226&lt;&gt;""),"⚠ Baseline: Start لا يدخل في التقدم",IF($K3226="No Start (attainment only)","ℹ تحصيل فقط (بدون Start)",IF($K3226="U – needs rule","ℹ حالة U تحتاج قاعدة معتمدة",IF($K3226="No result","ℹ بدون نتيجة (يُستبعد من التحصيل)","OK")))))))))))</f>
        <v/>
      </c>
      <c r="M3226" s="64" t="n">
        <f aca="false">IF($A3226="",0,IFERROR(MATCH($A3226,Classes!$A$6:$A$420,0),0))</f>
        <v>0</v>
      </c>
      <c r="N3226" s="64" t="n">
        <f aca="false">IF($H3226="",0,IFERROR(MATCH($H3226,GradeList,0),0))</f>
        <v>0</v>
      </c>
      <c r="O3226" s="64" t="n">
        <f aca="false">IF(OR($I3226="",$I3226="NR"),0,IFERROR(MATCH($I3226,GradeList,0),0))</f>
        <v>0</v>
      </c>
      <c r="P3226" s="64" t="n">
        <f aca="false">IF(AND($M3226&gt;0,ISNUMBER(MATCH($F3226,Lists!$A$2:$A$5,0)),ISNUMBER(MATCH($G3226,Lists!$B$2:$B$7,0)),OR($H3226="",$N3226&gt;0),OR($I3226="",$I3226="NR",$O3226&gt;0),IF(ISNUMBER($J3226),AND($J3226&gt;=0,$J3226=INT($J3226)),FALSE())),$J3226,0)</f>
        <v>0</v>
      </c>
      <c r="Q3226" s="64" t="n">
        <f aca="false">IF(AND($P3226&gt;0,$O3226&gt;0),$P3226,0)</f>
        <v>0</v>
      </c>
      <c r="R3226" s="64" t="n">
        <f aca="false">IF(AND($Q3226&gt;0,$O3226&gt;=AtRank),$Q3226,0)</f>
        <v>0</v>
      </c>
      <c r="S3226" s="64" t="n">
        <f aca="false">IF(AND($Q3226&gt;0,$O3226&gt;=AboveRank),$Q3226,0)</f>
        <v>0</v>
      </c>
      <c r="T3226" s="64" t="n">
        <f aca="false">IF($K3226="Less",$P3226,0)</f>
        <v>0</v>
      </c>
      <c r="U3226" s="64" t="n">
        <f aca="false">IF($K3226="Expected",$P3226,0)</f>
        <v>0</v>
      </c>
      <c r="V3226" s="64" t="n">
        <f aca="false">IF($K3226="Better",$P3226,0)</f>
        <v>0</v>
      </c>
      <c r="W3226" s="64" t="n">
        <f aca="false">IF($K3226="U – needs rule",$P3226,0)</f>
        <v>0</v>
      </c>
      <c r="X3226" s="64" t="n">
        <f aca="false">IF($K3226="No Start (attainment only)",$P3226,0)</f>
        <v>0</v>
      </c>
    </row>
    <row r="3227" customFormat="false" ht="15" hidden="false" customHeight="false" outlineLevel="0" collapsed="false">
      <c r="A3227" s="60"/>
      <c r="B3227" s="61" t="str">
        <f aca="false">IF($M3227=0,"",INDEX(Classes!$E$6:$E$420,$M3227))</f>
        <v/>
      </c>
      <c r="C3227" s="62" t="str">
        <f aca="false">IF($M3227=0,"",INDEX(Classes!$H$6:$H$420,$M3227))</f>
        <v/>
      </c>
      <c r="D3227" s="61" t="str">
        <f aca="false">IF($M3227=0,"",INDEX(Classes!$B$6:$B$420,$M3227))</f>
        <v/>
      </c>
      <c r="E3227" s="61" t="str">
        <f aca="false">IF($M3227=0,"",INDEX(Classes!$C$6:$C$420,$M3227))</f>
        <v/>
      </c>
      <c r="F3227" s="63"/>
      <c r="G3227" s="63"/>
      <c r="H3227" s="60"/>
      <c r="I3227" s="60"/>
      <c r="J3227" s="63"/>
      <c r="K3227" s="61" t="str">
        <f aca="false">IF($P3227=0,"",IF($F3227="Baseline","— Baseline",IF($O3227=0,"No result",IF($N3227=0,"No Start (attainment only)",IF(OR($N3227=1,$O3227=1),"U – needs rule",INDEX(MxBody,MATCH($I3227,MxCurr,0),MATCH($H3227,MxStart,0)))))))</f>
        <v/>
      </c>
      <c r="L3227" s="62" t="str">
        <f aca="false">IF(COUNTA($A3227,$F3227,$G3227,$H3227,$I3227,$J3227)=0,"",IF($M3227=0,"✖ كود الصف غير موجود",IF(ISNA(MATCH($F3227,Lists!$A$2:$A$5,0)),"✖ الفترة غير صحيحة",IF(ISNA(MATCH($G3227,Lists!$B$2:$B$7,0)),"✖ المجموعة غير صحيحة",IF(NOT(OR($H3227="",$N3227&gt;0)),"✖ Start غير صحيح",IF(NOT(OR($I3227="",$I3227="NR",$O3227&gt;0)),"✖ Current غير صحيح",IF(NOT(IF(ISNUMBER($J3227),AND($J3227&gt;=0,$J3227=INT($J3227)),FALSE())),"✖ العدد يجب أن يكون صحيحًا ≥ 0",IF(AND($F3227="Baseline",$H3227&lt;&gt;""),"⚠ Baseline: Start لا يدخل في التقدم",IF($K3227="No Start (attainment only)","ℹ تحصيل فقط (بدون Start)",IF($K3227="U – needs rule","ℹ حالة U تحتاج قاعدة معتمدة",IF($K3227="No result","ℹ بدون نتيجة (يُستبعد من التحصيل)","OK")))))))))))</f>
        <v/>
      </c>
      <c r="M3227" s="64" t="n">
        <f aca="false">IF($A3227="",0,IFERROR(MATCH($A3227,Classes!$A$6:$A$420,0),0))</f>
        <v>0</v>
      </c>
      <c r="N3227" s="64" t="n">
        <f aca="false">IF($H3227="",0,IFERROR(MATCH($H3227,GradeList,0),0))</f>
        <v>0</v>
      </c>
      <c r="O3227" s="64" t="n">
        <f aca="false">IF(OR($I3227="",$I3227="NR"),0,IFERROR(MATCH($I3227,GradeList,0),0))</f>
        <v>0</v>
      </c>
      <c r="P3227" s="64" t="n">
        <f aca="false">IF(AND($M3227&gt;0,ISNUMBER(MATCH($F3227,Lists!$A$2:$A$5,0)),ISNUMBER(MATCH($G3227,Lists!$B$2:$B$7,0)),OR($H3227="",$N3227&gt;0),OR($I3227="",$I3227="NR",$O3227&gt;0),IF(ISNUMBER($J3227),AND($J3227&gt;=0,$J3227=INT($J3227)),FALSE())),$J3227,0)</f>
        <v>0</v>
      </c>
      <c r="Q3227" s="64" t="n">
        <f aca="false">IF(AND($P3227&gt;0,$O3227&gt;0),$P3227,0)</f>
        <v>0</v>
      </c>
      <c r="R3227" s="64" t="n">
        <f aca="false">IF(AND($Q3227&gt;0,$O3227&gt;=AtRank),$Q3227,0)</f>
        <v>0</v>
      </c>
      <c r="S3227" s="64" t="n">
        <f aca="false">IF(AND($Q3227&gt;0,$O3227&gt;=AboveRank),$Q3227,0)</f>
        <v>0</v>
      </c>
      <c r="T3227" s="64" t="n">
        <f aca="false">IF($K3227="Less",$P3227,0)</f>
        <v>0</v>
      </c>
      <c r="U3227" s="64" t="n">
        <f aca="false">IF($K3227="Expected",$P3227,0)</f>
        <v>0</v>
      </c>
      <c r="V3227" s="64" t="n">
        <f aca="false">IF($K3227="Better",$P3227,0)</f>
        <v>0</v>
      </c>
      <c r="W3227" s="64" t="n">
        <f aca="false">IF($K3227="U – needs rule",$P3227,0)</f>
        <v>0</v>
      </c>
      <c r="X3227" s="64" t="n">
        <f aca="false">IF($K3227="No Start (attainment only)",$P3227,0)</f>
        <v>0</v>
      </c>
    </row>
    <row r="3228" customFormat="false" ht="15" hidden="false" customHeight="false" outlineLevel="0" collapsed="false">
      <c r="A3228" s="60"/>
      <c r="B3228" s="61" t="str">
        <f aca="false">IF($M3228=0,"",INDEX(Classes!$E$6:$E$420,$M3228))</f>
        <v/>
      </c>
      <c r="C3228" s="62" t="str">
        <f aca="false">IF($M3228=0,"",INDEX(Classes!$H$6:$H$420,$M3228))</f>
        <v/>
      </c>
      <c r="D3228" s="61" t="str">
        <f aca="false">IF($M3228=0,"",INDEX(Classes!$B$6:$B$420,$M3228))</f>
        <v/>
      </c>
      <c r="E3228" s="61" t="str">
        <f aca="false">IF($M3228=0,"",INDEX(Classes!$C$6:$C$420,$M3228))</f>
        <v/>
      </c>
      <c r="F3228" s="63"/>
      <c r="G3228" s="63"/>
      <c r="H3228" s="60"/>
      <c r="I3228" s="60"/>
      <c r="J3228" s="63"/>
      <c r="K3228" s="61" t="str">
        <f aca="false">IF($P3228=0,"",IF($F3228="Baseline","— Baseline",IF($O3228=0,"No result",IF($N3228=0,"No Start (attainment only)",IF(OR($N3228=1,$O3228=1),"U – needs rule",INDEX(MxBody,MATCH($I3228,MxCurr,0),MATCH($H3228,MxStart,0)))))))</f>
        <v/>
      </c>
      <c r="L3228" s="62" t="str">
        <f aca="false">IF(COUNTA($A3228,$F3228,$G3228,$H3228,$I3228,$J3228)=0,"",IF($M3228=0,"✖ كود الصف غير موجود",IF(ISNA(MATCH($F3228,Lists!$A$2:$A$5,0)),"✖ الفترة غير صحيحة",IF(ISNA(MATCH($G3228,Lists!$B$2:$B$7,0)),"✖ المجموعة غير صحيحة",IF(NOT(OR($H3228="",$N3228&gt;0)),"✖ Start غير صحيح",IF(NOT(OR($I3228="",$I3228="NR",$O3228&gt;0)),"✖ Current غير صحيح",IF(NOT(IF(ISNUMBER($J3228),AND($J3228&gt;=0,$J3228=INT($J3228)),FALSE())),"✖ العدد يجب أن يكون صحيحًا ≥ 0",IF(AND($F3228="Baseline",$H3228&lt;&gt;""),"⚠ Baseline: Start لا يدخل في التقدم",IF($K3228="No Start (attainment only)","ℹ تحصيل فقط (بدون Start)",IF($K3228="U – needs rule","ℹ حالة U تحتاج قاعدة معتمدة",IF($K3228="No result","ℹ بدون نتيجة (يُستبعد من التحصيل)","OK")))))))))))</f>
        <v/>
      </c>
      <c r="M3228" s="64" t="n">
        <f aca="false">IF($A3228="",0,IFERROR(MATCH($A3228,Classes!$A$6:$A$420,0),0))</f>
        <v>0</v>
      </c>
      <c r="N3228" s="64" t="n">
        <f aca="false">IF($H3228="",0,IFERROR(MATCH($H3228,GradeList,0),0))</f>
        <v>0</v>
      </c>
      <c r="O3228" s="64" t="n">
        <f aca="false">IF(OR($I3228="",$I3228="NR"),0,IFERROR(MATCH($I3228,GradeList,0),0))</f>
        <v>0</v>
      </c>
      <c r="P3228" s="64" t="n">
        <f aca="false">IF(AND($M3228&gt;0,ISNUMBER(MATCH($F3228,Lists!$A$2:$A$5,0)),ISNUMBER(MATCH($G3228,Lists!$B$2:$B$7,0)),OR($H3228="",$N3228&gt;0),OR($I3228="",$I3228="NR",$O3228&gt;0),IF(ISNUMBER($J3228),AND($J3228&gt;=0,$J3228=INT($J3228)),FALSE())),$J3228,0)</f>
        <v>0</v>
      </c>
      <c r="Q3228" s="64" t="n">
        <f aca="false">IF(AND($P3228&gt;0,$O3228&gt;0),$P3228,0)</f>
        <v>0</v>
      </c>
      <c r="R3228" s="64" t="n">
        <f aca="false">IF(AND($Q3228&gt;0,$O3228&gt;=AtRank),$Q3228,0)</f>
        <v>0</v>
      </c>
      <c r="S3228" s="64" t="n">
        <f aca="false">IF(AND($Q3228&gt;0,$O3228&gt;=AboveRank),$Q3228,0)</f>
        <v>0</v>
      </c>
      <c r="T3228" s="64" t="n">
        <f aca="false">IF($K3228="Less",$P3228,0)</f>
        <v>0</v>
      </c>
      <c r="U3228" s="64" t="n">
        <f aca="false">IF($K3228="Expected",$P3228,0)</f>
        <v>0</v>
      </c>
      <c r="V3228" s="64" t="n">
        <f aca="false">IF($K3228="Better",$P3228,0)</f>
        <v>0</v>
      </c>
      <c r="W3228" s="64" t="n">
        <f aca="false">IF($K3228="U – needs rule",$P3228,0)</f>
        <v>0</v>
      </c>
      <c r="X3228" s="64" t="n">
        <f aca="false">IF($K3228="No Start (attainment only)",$P3228,0)</f>
        <v>0</v>
      </c>
    </row>
    <row r="3229" customFormat="false" ht="15" hidden="false" customHeight="false" outlineLevel="0" collapsed="false">
      <c r="A3229" s="60"/>
      <c r="B3229" s="61" t="str">
        <f aca="false">IF($M3229=0,"",INDEX(Classes!$E$6:$E$420,$M3229))</f>
        <v/>
      </c>
      <c r="C3229" s="62" t="str">
        <f aca="false">IF($M3229=0,"",INDEX(Classes!$H$6:$H$420,$M3229))</f>
        <v/>
      </c>
      <c r="D3229" s="61" t="str">
        <f aca="false">IF($M3229=0,"",INDEX(Classes!$B$6:$B$420,$M3229))</f>
        <v/>
      </c>
      <c r="E3229" s="61" t="str">
        <f aca="false">IF($M3229=0,"",INDEX(Classes!$C$6:$C$420,$M3229))</f>
        <v/>
      </c>
      <c r="F3229" s="63"/>
      <c r="G3229" s="63"/>
      <c r="H3229" s="60"/>
      <c r="I3229" s="60"/>
      <c r="J3229" s="63"/>
      <c r="K3229" s="61" t="str">
        <f aca="false">IF($P3229=0,"",IF($F3229="Baseline","— Baseline",IF($O3229=0,"No result",IF($N3229=0,"No Start (attainment only)",IF(OR($N3229=1,$O3229=1),"U – needs rule",INDEX(MxBody,MATCH($I3229,MxCurr,0),MATCH($H3229,MxStart,0)))))))</f>
        <v/>
      </c>
      <c r="L3229" s="62" t="str">
        <f aca="false">IF(COUNTA($A3229,$F3229,$G3229,$H3229,$I3229,$J3229)=0,"",IF($M3229=0,"✖ كود الصف غير موجود",IF(ISNA(MATCH($F3229,Lists!$A$2:$A$5,0)),"✖ الفترة غير صحيحة",IF(ISNA(MATCH($G3229,Lists!$B$2:$B$7,0)),"✖ المجموعة غير صحيحة",IF(NOT(OR($H3229="",$N3229&gt;0)),"✖ Start غير صحيح",IF(NOT(OR($I3229="",$I3229="NR",$O3229&gt;0)),"✖ Current غير صحيح",IF(NOT(IF(ISNUMBER($J3229),AND($J3229&gt;=0,$J3229=INT($J3229)),FALSE())),"✖ العدد يجب أن يكون صحيحًا ≥ 0",IF(AND($F3229="Baseline",$H3229&lt;&gt;""),"⚠ Baseline: Start لا يدخل في التقدم",IF($K3229="No Start (attainment only)","ℹ تحصيل فقط (بدون Start)",IF($K3229="U – needs rule","ℹ حالة U تحتاج قاعدة معتمدة",IF($K3229="No result","ℹ بدون نتيجة (يُستبعد من التحصيل)","OK")))))))))))</f>
        <v/>
      </c>
      <c r="M3229" s="64" t="n">
        <f aca="false">IF($A3229="",0,IFERROR(MATCH($A3229,Classes!$A$6:$A$420,0),0))</f>
        <v>0</v>
      </c>
      <c r="N3229" s="64" t="n">
        <f aca="false">IF($H3229="",0,IFERROR(MATCH($H3229,GradeList,0),0))</f>
        <v>0</v>
      </c>
      <c r="O3229" s="64" t="n">
        <f aca="false">IF(OR($I3229="",$I3229="NR"),0,IFERROR(MATCH($I3229,GradeList,0),0))</f>
        <v>0</v>
      </c>
      <c r="P3229" s="64" t="n">
        <f aca="false">IF(AND($M3229&gt;0,ISNUMBER(MATCH($F3229,Lists!$A$2:$A$5,0)),ISNUMBER(MATCH($G3229,Lists!$B$2:$B$7,0)),OR($H3229="",$N3229&gt;0),OR($I3229="",$I3229="NR",$O3229&gt;0),IF(ISNUMBER($J3229),AND($J3229&gt;=0,$J3229=INT($J3229)),FALSE())),$J3229,0)</f>
        <v>0</v>
      </c>
      <c r="Q3229" s="64" t="n">
        <f aca="false">IF(AND($P3229&gt;0,$O3229&gt;0),$P3229,0)</f>
        <v>0</v>
      </c>
      <c r="R3229" s="64" t="n">
        <f aca="false">IF(AND($Q3229&gt;0,$O3229&gt;=AtRank),$Q3229,0)</f>
        <v>0</v>
      </c>
      <c r="S3229" s="64" t="n">
        <f aca="false">IF(AND($Q3229&gt;0,$O3229&gt;=AboveRank),$Q3229,0)</f>
        <v>0</v>
      </c>
      <c r="T3229" s="64" t="n">
        <f aca="false">IF($K3229="Less",$P3229,0)</f>
        <v>0</v>
      </c>
      <c r="U3229" s="64" t="n">
        <f aca="false">IF($K3229="Expected",$P3229,0)</f>
        <v>0</v>
      </c>
      <c r="V3229" s="64" t="n">
        <f aca="false">IF($K3229="Better",$P3229,0)</f>
        <v>0</v>
      </c>
      <c r="W3229" s="64" t="n">
        <f aca="false">IF($K3229="U – needs rule",$P3229,0)</f>
        <v>0</v>
      </c>
      <c r="X3229" s="64" t="n">
        <f aca="false">IF($K3229="No Start (attainment only)",$P3229,0)</f>
        <v>0</v>
      </c>
    </row>
    <row r="3230" customFormat="false" ht="15" hidden="false" customHeight="false" outlineLevel="0" collapsed="false">
      <c r="A3230" s="60"/>
      <c r="B3230" s="61" t="str">
        <f aca="false">IF($M3230=0,"",INDEX(Classes!$E$6:$E$420,$M3230))</f>
        <v/>
      </c>
      <c r="C3230" s="62" t="str">
        <f aca="false">IF($M3230=0,"",INDEX(Classes!$H$6:$H$420,$M3230))</f>
        <v/>
      </c>
      <c r="D3230" s="61" t="str">
        <f aca="false">IF($M3230=0,"",INDEX(Classes!$B$6:$B$420,$M3230))</f>
        <v/>
      </c>
      <c r="E3230" s="61" t="str">
        <f aca="false">IF($M3230=0,"",INDEX(Classes!$C$6:$C$420,$M3230))</f>
        <v/>
      </c>
      <c r="F3230" s="63"/>
      <c r="G3230" s="63"/>
      <c r="H3230" s="60"/>
      <c r="I3230" s="60"/>
      <c r="J3230" s="63"/>
      <c r="K3230" s="61" t="str">
        <f aca="false">IF($P3230=0,"",IF($F3230="Baseline","— Baseline",IF($O3230=0,"No result",IF($N3230=0,"No Start (attainment only)",IF(OR($N3230=1,$O3230=1),"U – needs rule",INDEX(MxBody,MATCH($I3230,MxCurr,0),MATCH($H3230,MxStart,0)))))))</f>
        <v/>
      </c>
      <c r="L3230" s="62" t="str">
        <f aca="false">IF(COUNTA($A3230,$F3230,$G3230,$H3230,$I3230,$J3230)=0,"",IF($M3230=0,"✖ كود الصف غير موجود",IF(ISNA(MATCH($F3230,Lists!$A$2:$A$5,0)),"✖ الفترة غير صحيحة",IF(ISNA(MATCH($G3230,Lists!$B$2:$B$7,0)),"✖ المجموعة غير صحيحة",IF(NOT(OR($H3230="",$N3230&gt;0)),"✖ Start غير صحيح",IF(NOT(OR($I3230="",$I3230="NR",$O3230&gt;0)),"✖ Current غير صحيح",IF(NOT(IF(ISNUMBER($J3230),AND($J3230&gt;=0,$J3230=INT($J3230)),FALSE())),"✖ العدد يجب أن يكون صحيحًا ≥ 0",IF(AND($F3230="Baseline",$H3230&lt;&gt;""),"⚠ Baseline: Start لا يدخل في التقدم",IF($K3230="No Start (attainment only)","ℹ تحصيل فقط (بدون Start)",IF($K3230="U – needs rule","ℹ حالة U تحتاج قاعدة معتمدة",IF($K3230="No result","ℹ بدون نتيجة (يُستبعد من التحصيل)","OK")))))))))))</f>
        <v/>
      </c>
      <c r="M3230" s="64" t="n">
        <f aca="false">IF($A3230="",0,IFERROR(MATCH($A3230,Classes!$A$6:$A$420,0),0))</f>
        <v>0</v>
      </c>
      <c r="N3230" s="64" t="n">
        <f aca="false">IF($H3230="",0,IFERROR(MATCH($H3230,GradeList,0),0))</f>
        <v>0</v>
      </c>
      <c r="O3230" s="64" t="n">
        <f aca="false">IF(OR($I3230="",$I3230="NR"),0,IFERROR(MATCH($I3230,GradeList,0),0))</f>
        <v>0</v>
      </c>
      <c r="P3230" s="64" t="n">
        <f aca="false">IF(AND($M3230&gt;0,ISNUMBER(MATCH($F3230,Lists!$A$2:$A$5,0)),ISNUMBER(MATCH($G3230,Lists!$B$2:$B$7,0)),OR($H3230="",$N3230&gt;0),OR($I3230="",$I3230="NR",$O3230&gt;0),IF(ISNUMBER($J3230),AND($J3230&gt;=0,$J3230=INT($J3230)),FALSE())),$J3230,0)</f>
        <v>0</v>
      </c>
      <c r="Q3230" s="64" t="n">
        <f aca="false">IF(AND($P3230&gt;0,$O3230&gt;0),$P3230,0)</f>
        <v>0</v>
      </c>
      <c r="R3230" s="64" t="n">
        <f aca="false">IF(AND($Q3230&gt;0,$O3230&gt;=AtRank),$Q3230,0)</f>
        <v>0</v>
      </c>
      <c r="S3230" s="64" t="n">
        <f aca="false">IF(AND($Q3230&gt;0,$O3230&gt;=AboveRank),$Q3230,0)</f>
        <v>0</v>
      </c>
      <c r="T3230" s="64" t="n">
        <f aca="false">IF($K3230="Less",$P3230,0)</f>
        <v>0</v>
      </c>
      <c r="U3230" s="64" t="n">
        <f aca="false">IF($K3230="Expected",$P3230,0)</f>
        <v>0</v>
      </c>
      <c r="V3230" s="64" t="n">
        <f aca="false">IF($K3230="Better",$P3230,0)</f>
        <v>0</v>
      </c>
      <c r="W3230" s="64" t="n">
        <f aca="false">IF($K3230="U – needs rule",$P3230,0)</f>
        <v>0</v>
      </c>
      <c r="X3230" s="64" t="n">
        <f aca="false">IF($K3230="No Start (attainment only)",$P3230,0)</f>
        <v>0</v>
      </c>
    </row>
    <row r="3231" customFormat="false" ht="15" hidden="false" customHeight="false" outlineLevel="0" collapsed="false">
      <c r="A3231" s="60"/>
      <c r="B3231" s="61" t="str">
        <f aca="false">IF($M3231=0,"",INDEX(Classes!$E$6:$E$420,$M3231))</f>
        <v/>
      </c>
      <c r="C3231" s="62" t="str">
        <f aca="false">IF($M3231=0,"",INDEX(Classes!$H$6:$H$420,$M3231))</f>
        <v/>
      </c>
      <c r="D3231" s="61" t="str">
        <f aca="false">IF($M3231=0,"",INDEX(Classes!$B$6:$B$420,$M3231))</f>
        <v/>
      </c>
      <c r="E3231" s="61" t="str">
        <f aca="false">IF($M3231=0,"",INDEX(Classes!$C$6:$C$420,$M3231))</f>
        <v/>
      </c>
      <c r="F3231" s="63"/>
      <c r="G3231" s="63"/>
      <c r="H3231" s="60"/>
      <c r="I3231" s="60"/>
      <c r="J3231" s="63"/>
      <c r="K3231" s="61" t="str">
        <f aca="false">IF($P3231=0,"",IF($F3231="Baseline","— Baseline",IF($O3231=0,"No result",IF($N3231=0,"No Start (attainment only)",IF(OR($N3231=1,$O3231=1),"U – needs rule",INDEX(MxBody,MATCH($I3231,MxCurr,0),MATCH($H3231,MxStart,0)))))))</f>
        <v/>
      </c>
      <c r="L3231" s="62" t="str">
        <f aca="false">IF(COUNTA($A3231,$F3231,$G3231,$H3231,$I3231,$J3231)=0,"",IF($M3231=0,"✖ كود الصف غير موجود",IF(ISNA(MATCH($F3231,Lists!$A$2:$A$5,0)),"✖ الفترة غير صحيحة",IF(ISNA(MATCH($G3231,Lists!$B$2:$B$7,0)),"✖ المجموعة غير صحيحة",IF(NOT(OR($H3231="",$N3231&gt;0)),"✖ Start غير صحيح",IF(NOT(OR($I3231="",$I3231="NR",$O3231&gt;0)),"✖ Current غير صحيح",IF(NOT(IF(ISNUMBER($J3231),AND($J3231&gt;=0,$J3231=INT($J3231)),FALSE())),"✖ العدد يجب أن يكون صحيحًا ≥ 0",IF(AND($F3231="Baseline",$H3231&lt;&gt;""),"⚠ Baseline: Start لا يدخل في التقدم",IF($K3231="No Start (attainment only)","ℹ تحصيل فقط (بدون Start)",IF($K3231="U – needs rule","ℹ حالة U تحتاج قاعدة معتمدة",IF($K3231="No result","ℹ بدون نتيجة (يُستبعد من التحصيل)","OK")))))))))))</f>
        <v/>
      </c>
      <c r="M3231" s="64" t="n">
        <f aca="false">IF($A3231="",0,IFERROR(MATCH($A3231,Classes!$A$6:$A$420,0),0))</f>
        <v>0</v>
      </c>
      <c r="N3231" s="64" t="n">
        <f aca="false">IF($H3231="",0,IFERROR(MATCH($H3231,GradeList,0),0))</f>
        <v>0</v>
      </c>
      <c r="O3231" s="64" t="n">
        <f aca="false">IF(OR($I3231="",$I3231="NR"),0,IFERROR(MATCH($I3231,GradeList,0),0))</f>
        <v>0</v>
      </c>
      <c r="P3231" s="64" t="n">
        <f aca="false">IF(AND($M3231&gt;0,ISNUMBER(MATCH($F3231,Lists!$A$2:$A$5,0)),ISNUMBER(MATCH($G3231,Lists!$B$2:$B$7,0)),OR($H3231="",$N3231&gt;0),OR($I3231="",$I3231="NR",$O3231&gt;0),IF(ISNUMBER($J3231),AND($J3231&gt;=0,$J3231=INT($J3231)),FALSE())),$J3231,0)</f>
        <v>0</v>
      </c>
      <c r="Q3231" s="64" t="n">
        <f aca="false">IF(AND($P3231&gt;0,$O3231&gt;0),$P3231,0)</f>
        <v>0</v>
      </c>
      <c r="R3231" s="64" t="n">
        <f aca="false">IF(AND($Q3231&gt;0,$O3231&gt;=AtRank),$Q3231,0)</f>
        <v>0</v>
      </c>
      <c r="S3231" s="64" t="n">
        <f aca="false">IF(AND($Q3231&gt;0,$O3231&gt;=AboveRank),$Q3231,0)</f>
        <v>0</v>
      </c>
      <c r="T3231" s="64" t="n">
        <f aca="false">IF($K3231="Less",$P3231,0)</f>
        <v>0</v>
      </c>
      <c r="U3231" s="64" t="n">
        <f aca="false">IF($K3231="Expected",$P3231,0)</f>
        <v>0</v>
      </c>
      <c r="V3231" s="64" t="n">
        <f aca="false">IF($K3231="Better",$P3231,0)</f>
        <v>0</v>
      </c>
      <c r="W3231" s="64" t="n">
        <f aca="false">IF($K3231="U – needs rule",$P3231,0)</f>
        <v>0</v>
      </c>
      <c r="X3231" s="64" t="n">
        <f aca="false">IF($K3231="No Start (attainment only)",$P3231,0)</f>
        <v>0</v>
      </c>
    </row>
    <row r="3232" customFormat="false" ht="15" hidden="false" customHeight="false" outlineLevel="0" collapsed="false">
      <c r="A3232" s="60"/>
      <c r="B3232" s="61" t="str">
        <f aca="false">IF($M3232=0,"",INDEX(Classes!$E$6:$E$420,$M3232))</f>
        <v/>
      </c>
      <c r="C3232" s="62" t="str">
        <f aca="false">IF($M3232=0,"",INDEX(Classes!$H$6:$H$420,$M3232))</f>
        <v/>
      </c>
      <c r="D3232" s="61" t="str">
        <f aca="false">IF($M3232=0,"",INDEX(Classes!$B$6:$B$420,$M3232))</f>
        <v/>
      </c>
      <c r="E3232" s="61" t="str">
        <f aca="false">IF($M3232=0,"",INDEX(Classes!$C$6:$C$420,$M3232))</f>
        <v/>
      </c>
      <c r="F3232" s="63"/>
      <c r="G3232" s="63"/>
      <c r="H3232" s="60"/>
      <c r="I3232" s="60"/>
      <c r="J3232" s="63"/>
      <c r="K3232" s="61" t="str">
        <f aca="false">IF($P3232=0,"",IF($F3232="Baseline","— Baseline",IF($O3232=0,"No result",IF($N3232=0,"No Start (attainment only)",IF(OR($N3232=1,$O3232=1),"U – needs rule",INDEX(MxBody,MATCH($I3232,MxCurr,0),MATCH($H3232,MxStart,0)))))))</f>
        <v/>
      </c>
      <c r="L3232" s="62" t="str">
        <f aca="false">IF(COUNTA($A3232,$F3232,$G3232,$H3232,$I3232,$J3232)=0,"",IF($M3232=0,"✖ كود الصف غير موجود",IF(ISNA(MATCH($F3232,Lists!$A$2:$A$5,0)),"✖ الفترة غير صحيحة",IF(ISNA(MATCH($G3232,Lists!$B$2:$B$7,0)),"✖ المجموعة غير صحيحة",IF(NOT(OR($H3232="",$N3232&gt;0)),"✖ Start غير صحيح",IF(NOT(OR($I3232="",$I3232="NR",$O3232&gt;0)),"✖ Current غير صحيح",IF(NOT(IF(ISNUMBER($J3232),AND($J3232&gt;=0,$J3232=INT($J3232)),FALSE())),"✖ العدد يجب أن يكون صحيحًا ≥ 0",IF(AND($F3232="Baseline",$H3232&lt;&gt;""),"⚠ Baseline: Start لا يدخل في التقدم",IF($K3232="No Start (attainment only)","ℹ تحصيل فقط (بدون Start)",IF($K3232="U – needs rule","ℹ حالة U تحتاج قاعدة معتمدة",IF($K3232="No result","ℹ بدون نتيجة (يُستبعد من التحصيل)","OK")))))))))))</f>
        <v/>
      </c>
      <c r="M3232" s="64" t="n">
        <f aca="false">IF($A3232="",0,IFERROR(MATCH($A3232,Classes!$A$6:$A$420,0),0))</f>
        <v>0</v>
      </c>
      <c r="N3232" s="64" t="n">
        <f aca="false">IF($H3232="",0,IFERROR(MATCH($H3232,GradeList,0),0))</f>
        <v>0</v>
      </c>
      <c r="O3232" s="64" t="n">
        <f aca="false">IF(OR($I3232="",$I3232="NR"),0,IFERROR(MATCH($I3232,GradeList,0),0))</f>
        <v>0</v>
      </c>
      <c r="P3232" s="64" t="n">
        <f aca="false">IF(AND($M3232&gt;0,ISNUMBER(MATCH($F3232,Lists!$A$2:$A$5,0)),ISNUMBER(MATCH($G3232,Lists!$B$2:$B$7,0)),OR($H3232="",$N3232&gt;0),OR($I3232="",$I3232="NR",$O3232&gt;0),IF(ISNUMBER($J3232),AND($J3232&gt;=0,$J3232=INT($J3232)),FALSE())),$J3232,0)</f>
        <v>0</v>
      </c>
      <c r="Q3232" s="64" t="n">
        <f aca="false">IF(AND($P3232&gt;0,$O3232&gt;0),$P3232,0)</f>
        <v>0</v>
      </c>
      <c r="R3232" s="64" t="n">
        <f aca="false">IF(AND($Q3232&gt;0,$O3232&gt;=AtRank),$Q3232,0)</f>
        <v>0</v>
      </c>
      <c r="S3232" s="64" t="n">
        <f aca="false">IF(AND($Q3232&gt;0,$O3232&gt;=AboveRank),$Q3232,0)</f>
        <v>0</v>
      </c>
      <c r="T3232" s="64" t="n">
        <f aca="false">IF($K3232="Less",$P3232,0)</f>
        <v>0</v>
      </c>
      <c r="U3232" s="64" t="n">
        <f aca="false">IF($K3232="Expected",$P3232,0)</f>
        <v>0</v>
      </c>
      <c r="V3232" s="64" t="n">
        <f aca="false">IF($K3232="Better",$P3232,0)</f>
        <v>0</v>
      </c>
      <c r="W3232" s="64" t="n">
        <f aca="false">IF($K3232="U – needs rule",$P3232,0)</f>
        <v>0</v>
      </c>
      <c r="X3232" s="64" t="n">
        <f aca="false">IF($K3232="No Start (attainment only)",$P3232,0)</f>
        <v>0</v>
      </c>
    </row>
    <row r="3233" customFormat="false" ht="15" hidden="false" customHeight="false" outlineLevel="0" collapsed="false">
      <c r="A3233" s="60"/>
      <c r="B3233" s="61" t="str">
        <f aca="false">IF($M3233=0,"",INDEX(Classes!$E$6:$E$420,$M3233))</f>
        <v/>
      </c>
      <c r="C3233" s="62" t="str">
        <f aca="false">IF($M3233=0,"",INDEX(Classes!$H$6:$H$420,$M3233))</f>
        <v/>
      </c>
      <c r="D3233" s="61" t="str">
        <f aca="false">IF($M3233=0,"",INDEX(Classes!$B$6:$B$420,$M3233))</f>
        <v/>
      </c>
      <c r="E3233" s="61" t="str">
        <f aca="false">IF($M3233=0,"",INDEX(Classes!$C$6:$C$420,$M3233))</f>
        <v/>
      </c>
      <c r="F3233" s="63"/>
      <c r="G3233" s="63"/>
      <c r="H3233" s="60"/>
      <c r="I3233" s="60"/>
      <c r="J3233" s="63"/>
      <c r="K3233" s="61" t="str">
        <f aca="false">IF($P3233=0,"",IF($F3233="Baseline","— Baseline",IF($O3233=0,"No result",IF($N3233=0,"No Start (attainment only)",IF(OR($N3233=1,$O3233=1),"U – needs rule",INDEX(MxBody,MATCH($I3233,MxCurr,0),MATCH($H3233,MxStart,0)))))))</f>
        <v/>
      </c>
      <c r="L3233" s="62" t="str">
        <f aca="false">IF(COUNTA($A3233,$F3233,$G3233,$H3233,$I3233,$J3233)=0,"",IF($M3233=0,"✖ كود الصف غير موجود",IF(ISNA(MATCH($F3233,Lists!$A$2:$A$5,0)),"✖ الفترة غير صحيحة",IF(ISNA(MATCH($G3233,Lists!$B$2:$B$7,0)),"✖ المجموعة غير صحيحة",IF(NOT(OR($H3233="",$N3233&gt;0)),"✖ Start غير صحيح",IF(NOT(OR($I3233="",$I3233="NR",$O3233&gt;0)),"✖ Current غير صحيح",IF(NOT(IF(ISNUMBER($J3233),AND($J3233&gt;=0,$J3233=INT($J3233)),FALSE())),"✖ العدد يجب أن يكون صحيحًا ≥ 0",IF(AND($F3233="Baseline",$H3233&lt;&gt;""),"⚠ Baseline: Start لا يدخل في التقدم",IF($K3233="No Start (attainment only)","ℹ تحصيل فقط (بدون Start)",IF($K3233="U – needs rule","ℹ حالة U تحتاج قاعدة معتمدة",IF($K3233="No result","ℹ بدون نتيجة (يُستبعد من التحصيل)","OK")))))))))))</f>
        <v/>
      </c>
      <c r="M3233" s="64" t="n">
        <f aca="false">IF($A3233="",0,IFERROR(MATCH($A3233,Classes!$A$6:$A$420,0),0))</f>
        <v>0</v>
      </c>
      <c r="N3233" s="64" t="n">
        <f aca="false">IF($H3233="",0,IFERROR(MATCH($H3233,GradeList,0),0))</f>
        <v>0</v>
      </c>
      <c r="O3233" s="64" t="n">
        <f aca="false">IF(OR($I3233="",$I3233="NR"),0,IFERROR(MATCH($I3233,GradeList,0),0))</f>
        <v>0</v>
      </c>
      <c r="P3233" s="64" t="n">
        <f aca="false">IF(AND($M3233&gt;0,ISNUMBER(MATCH($F3233,Lists!$A$2:$A$5,0)),ISNUMBER(MATCH($G3233,Lists!$B$2:$B$7,0)),OR($H3233="",$N3233&gt;0),OR($I3233="",$I3233="NR",$O3233&gt;0),IF(ISNUMBER($J3233),AND($J3233&gt;=0,$J3233=INT($J3233)),FALSE())),$J3233,0)</f>
        <v>0</v>
      </c>
      <c r="Q3233" s="64" t="n">
        <f aca="false">IF(AND($P3233&gt;0,$O3233&gt;0),$P3233,0)</f>
        <v>0</v>
      </c>
      <c r="R3233" s="64" t="n">
        <f aca="false">IF(AND($Q3233&gt;0,$O3233&gt;=AtRank),$Q3233,0)</f>
        <v>0</v>
      </c>
      <c r="S3233" s="64" t="n">
        <f aca="false">IF(AND($Q3233&gt;0,$O3233&gt;=AboveRank),$Q3233,0)</f>
        <v>0</v>
      </c>
      <c r="T3233" s="64" t="n">
        <f aca="false">IF($K3233="Less",$P3233,0)</f>
        <v>0</v>
      </c>
      <c r="U3233" s="64" t="n">
        <f aca="false">IF($K3233="Expected",$P3233,0)</f>
        <v>0</v>
      </c>
      <c r="V3233" s="64" t="n">
        <f aca="false">IF($K3233="Better",$P3233,0)</f>
        <v>0</v>
      </c>
      <c r="W3233" s="64" t="n">
        <f aca="false">IF($K3233="U – needs rule",$P3233,0)</f>
        <v>0</v>
      </c>
      <c r="X3233" s="64" t="n">
        <f aca="false">IF($K3233="No Start (attainment only)",$P3233,0)</f>
        <v>0</v>
      </c>
    </row>
    <row r="3234" customFormat="false" ht="15" hidden="false" customHeight="false" outlineLevel="0" collapsed="false">
      <c r="A3234" s="60"/>
      <c r="B3234" s="61" t="str">
        <f aca="false">IF($M3234=0,"",INDEX(Classes!$E$6:$E$420,$M3234))</f>
        <v/>
      </c>
      <c r="C3234" s="62" t="str">
        <f aca="false">IF($M3234=0,"",INDEX(Classes!$H$6:$H$420,$M3234))</f>
        <v/>
      </c>
      <c r="D3234" s="61" t="str">
        <f aca="false">IF($M3234=0,"",INDEX(Classes!$B$6:$B$420,$M3234))</f>
        <v/>
      </c>
      <c r="E3234" s="61" t="str">
        <f aca="false">IF($M3234=0,"",INDEX(Classes!$C$6:$C$420,$M3234))</f>
        <v/>
      </c>
      <c r="F3234" s="63"/>
      <c r="G3234" s="63"/>
      <c r="H3234" s="60"/>
      <c r="I3234" s="60"/>
      <c r="J3234" s="63"/>
      <c r="K3234" s="61" t="str">
        <f aca="false">IF($P3234=0,"",IF($F3234="Baseline","— Baseline",IF($O3234=0,"No result",IF($N3234=0,"No Start (attainment only)",IF(OR($N3234=1,$O3234=1),"U – needs rule",INDEX(MxBody,MATCH($I3234,MxCurr,0),MATCH($H3234,MxStart,0)))))))</f>
        <v/>
      </c>
      <c r="L3234" s="62" t="str">
        <f aca="false">IF(COUNTA($A3234,$F3234,$G3234,$H3234,$I3234,$J3234)=0,"",IF($M3234=0,"✖ كود الصف غير موجود",IF(ISNA(MATCH($F3234,Lists!$A$2:$A$5,0)),"✖ الفترة غير صحيحة",IF(ISNA(MATCH($G3234,Lists!$B$2:$B$7,0)),"✖ المجموعة غير صحيحة",IF(NOT(OR($H3234="",$N3234&gt;0)),"✖ Start غير صحيح",IF(NOT(OR($I3234="",$I3234="NR",$O3234&gt;0)),"✖ Current غير صحيح",IF(NOT(IF(ISNUMBER($J3234),AND($J3234&gt;=0,$J3234=INT($J3234)),FALSE())),"✖ العدد يجب أن يكون صحيحًا ≥ 0",IF(AND($F3234="Baseline",$H3234&lt;&gt;""),"⚠ Baseline: Start لا يدخل في التقدم",IF($K3234="No Start (attainment only)","ℹ تحصيل فقط (بدون Start)",IF($K3234="U – needs rule","ℹ حالة U تحتاج قاعدة معتمدة",IF($K3234="No result","ℹ بدون نتيجة (يُستبعد من التحصيل)","OK")))))))))))</f>
        <v/>
      </c>
      <c r="M3234" s="64" t="n">
        <f aca="false">IF($A3234="",0,IFERROR(MATCH($A3234,Classes!$A$6:$A$420,0),0))</f>
        <v>0</v>
      </c>
      <c r="N3234" s="64" t="n">
        <f aca="false">IF($H3234="",0,IFERROR(MATCH($H3234,GradeList,0),0))</f>
        <v>0</v>
      </c>
      <c r="O3234" s="64" t="n">
        <f aca="false">IF(OR($I3234="",$I3234="NR"),0,IFERROR(MATCH($I3234,GradeList,0),0))</f>
        <v>0</v>
      </c>
      <c r="P3234" s="64" t="n">
        <f aca="false">IF(AND($M3234&gt;0,ISNUMBER(MATCH($F3234,Lists!$A$2:$A$5,0)),ISNUMBER(MATCH($G3234,Lists!$B$2:$B$7,0)),OR($H3234="",$N3234&gt;0),OR($I3234="",$I3234="NR",$O3234&gt;0),IF(ISNUMBER($J3234),AND($J3234&gt;=0,$J3234=INT($J3234)),FALSE())),$J3234,0)</f>
        <v>0</v>
      </c>
      <c r="Q3234" s="64" t="n">
        <f aca="false">IF(AND($P3234&gt;0,$O3234&gt;0),$P3234,0)</f>
        <v>0</v>
      </c>
      <c r="R3234" s="64" t="n">
        <f aca="false">IF(AND($Q3234&gt;0,$O3234&gt;=AtRank),$Q3234,0)</f>
        <v>0</v>
      </c>
      <c r="S3234" s="64" t="n">
        <f aca="false">IF(AND($Q3234&gt;0,$O3234&gt;=AboveRank),$Q3234,0)</f>
        <v>0</v>
      </c>
      <c r="T3234" s="64" t="n">
        <f aca="false">IF($K3234="Less",$P3234,0)</f>
        <v>0</v>
      </c>
      <c r="U3234" s="64" t="n">
        <f aca="false">IF($K3234="Expected",$P3234,0)</f>
        <v>0</v>
      </c>
      <c r="V3234" s="64" t="n">
        <f aca="false">IF($K3234="Better",$P3234,0)</f>
        <v>0</v>
      </c>
      <c r="W3234" s="64" t="n">
        <f aca="false">IF($K3234="U – needs rule",$P3234,0)</f>
        <v>0</v>
      </c>
      <c r="X3234" s="64" t="n">
        <f aca="false">IF($K3234="No Start (attainment only)",$P3234,0)</f>
        <v>0</v>
      </c>
    </row>
    <row r="3235" customFormat="false" ht="15" hidden="false" customHeight="false" outlineLevel="0" collapsed="false">
      <c r="A3235" s="60"/>
      <c r="B3235" s="61" t="str">
        <f aca="false">IF($M3235=0,"",INDEX(Classes!$E$6:$E$420,$M3235))</f>
        <v/>
      </c>
      <c r="C3235" s="62" t="str">
        <f aca="false">IF($M3235=0,"",INDEX(Classes!$H$6:$H$420,$M3235))</f>
        <v/>
      </c>
      <c r="D3235" s="61" t="str">
        <f aca="false">IF($M3235=0,"",INDEX(Classes!$B$6:$B$420,$M3235))</f>
        <v/>
      </c>
      <c r="E3235" s="61" t="str">
        <f aca="false">IF($M3235=0,"",INDEX(Classes!$C$6:$C$420,$M3235))</f>
        <v/>
      </c>
      <c r="F3235" s="63"/>
      <c r="G3235" s="63"/>
      <c r="H3235" s="60"/>
      <c r="I3235" s="60"/>
      <c r="J3235" s="63"/>
      <c r="K3235" s="61" t="str">
        <f aca="false">IF($P3235=0,"",IF($F3235="Baseline","— Baseline",IF($O3235=0,"No result",IF($N3235=0,"No Start (attainment only)",IF(OR($N3235=1,$O3235=1),"U – needs rule",INDEX(MxBody,MATCH($I3235,MxCurr,0),MATCH($H3235,MxStart,0)))))))</f>
        <v/>
      </c>
      <c r="L3235" s="62" t="str">
        <f aca="false">IF(COUNTA($A3235,$F3235,$G3235,$H3235,$I3235,$J3235)=0,"",IF($M3235=0,"✖ كود الصف غير موجود",IF(ISNA(MATCH($F3235,Lists!$A$2:$A$5,0)),"✖ الفترة غير صحيحة",IF(ISNA(MATCH($G3235,Lists!$B$2:$B$7,0)),"✖ المجموعة غير صحيحة",IF(NOT(OR($H3235="",$N3235&gt;0)),"✖ Start غير صحيح",IF(NOT(OR($I3235="",$I3235="NR",$O3235&gt;0)),"✖ Current غير صحيح",IF(NOT(IF(ISNUMBER($J3235),AND($J3235&gt;=0,$J3235=INT($J3235)),FALSE())),"✖ العدد يجب أن يكون صحيحًا ≥ 0",IF(AND($F3235="Baseline",$H3235&lt;&gt;""),"⚠ Baseline: Start لا يدخل في التقدم",IF($K3235="No Start (attainment only)","ℹ تحصيل فقط (بدون Start)",IF($K3235="U – needs rule","ℹ حالة U تحتاج قاعدة معتمدة",IF($K3235="No result","ℹ بدون نتيجة (يُستبعد من التحصيل)","OK")))))))))))</f>
        <v/>
      </c>
      <c r="M3235" s="64" t="n">
        <f aca="false">IF($A3235="",0,IFERROR(MATCH($A3235,Classes!$A$6:$A$420,0),0))</f>
        <v>0</v>
      </c>
      <c r="N3235" s="64" t="n">
        <f aca="false">IF($H3235="",0,IFERROR(MATCH($H3235,GradeList,0),0))</f>
        <v>0</v>
      </c>
      <c r="O3235" s="64" t="n">
        <f aca="false">IF(OR($I3235="",$I3235="NR"),0,IFERROR(MATCH($I3235,GradeList,0),0))</f>
        <v>0</v>
      </c>
      <c r="P3235" s="64" t="n">
        <f aca="false">IF(AND($M3235&gt;0,ISNUMBER(MATCH($F3235,Lists!$A$2:$A$5,0)),ISNUMBER(MATCH($G3235,Lists!$B$2:$B$7,0)),OR($H3235="",$N3235&gt;0),OR($I3235="",$I3235="NR",$O3235&gt;0),IF(ISNUMBER($J3235),AND($J3235&gt;=0,$J3235=INT($J3235)),FALSE())),$J3235,0)</f>
        <v>0</v>
      </c>
      <c r="Q3235" s="64" t="n">
        <f aca="false">IF(AND($P3235&gt;0,$O3235&gt;0),$P3235,0)</f>
        <v>0</v>
      </c>
      <c r="R3235" s="64" t="n">
        <f aca="false">IF(AND($Q3235&gt;0,$O3235&gt;=AtRank),$Q3235,0)</f>
        <v>0</v>
      </c>
      <c r="S3235" s="64" t="n">
        <f aca="false">IF(AND($Q3235&gt;0,$O3235&gt;=AboveRank),$Q3235,0)</f>
        <v>0</v>
      </c>
      <c r="T3235" s="64" t="n">
        <f aca="false">IF($K3235="Less",$P3235,0)</f>
        <v>0</v>
      </c>
      <c r="U3235" s="64" t="n">
        <f aca="false">IF($K3235="Expected",$P3235,0)</f>
        <v>0</v>
      </c>
      <c r="V3235" s="64" t="n">
        <f aca="false">IF($K3235="Better",$P3235,0)</f>
        <v>0</v>
      </c>
      <c r="W3235" s="64" t="n">
        <f aca="false">IF($K3235="U – needs rule",$P3235,0)</f>
        <v>0</v>
      </c>
      <c r="X3235" s="64" t="n">
        <f aca="false">IF($K3235="No Start (attainment only)",$P3235,0)</f>
        <v>0</v>
      </c>
    </row>
    <row r="3236" customFormat="false" ht="15" hidden="false" customHeight="false" outlineLevel="0" collapsed="false">
      <c r="A3236" s="60"/>
      <c r="B3236" s="61" t="str">
        <f aca="false">IF($M3236=0,"",INDEX(Classes!$E$6:$E$420,$M3236))</f>
        <v/>
      </c>
      <c r="C3236" s="62" t="str">
        <f aca="false">IF($M3236=0,"",INDEX(Classes!$H$6:$H$420,$M3236))</f>
        <v/>
      </c>
      <c r="D3236" s="61" t="str">
        <f aca="false">IF($M3236=0,"",INDEX(Classes!$B$6:$B$420,$M3236))</f>
        <v/>
      </c>
      <c r="E3236" s="61" t="str">
        <f aca="false">IF($M3236=0,"",INDEX(Classes!$C$6:$C$420,$M3236))</f>
        <v/>
      </c>
      <c r="F3236" s="63"/>
      <c r="G3236" s="63"/>
      <c r="H3236" s="60"/>
      <c r="I3236" s="60"/>
      <c r="J3236" s="63"/>
      <c r="K3236" s="61" t="str">
        <f aca="false">IF($P3236=0,"",IF($F3236="Baseline","— Baseline",IF($O3236=0,"No result",IF($N3236=0,"No Start (attainment only)",IF(OR($N3236=1,$O3236=1),"U – needs rule",INDEX(MxBody,MATCH($I3236,MxCurr,0),MATCH($H3236,MxStart,0)))))))</f>
        <v/>
      </c>
      <c r="L3236" s="62" t="str">
        <f aca="false">IF(COUNTA($A3236,$F3236,$G3236,$H3236,$I3236,$J3236)=0,"",IF($M3236=0,"✖ كود الصف غير موجود",IF(ISNA(MATCH($F3236,Lists!$A$2:$A$5,0)),"✖ الفترة غير صحيحة",IF(ISNA(MATCH($G3236,Lists!$B$2:$B$7,0)),"✖ المجموعة غير صحيحة",IF(NOT(OR($H3236="",$N3236&gt;0)),"✖ Start غير صحيح",IF(NOT(OR($I3236="",$I3236="NR",$O3236&gt;0)),"✖ Current غير صحيح",IF(NOT(IF(ISNUMBER($J3236),AND($J3236&gt;=0,$J3236=INT($J3236)),FALSE())),"✖ العدد يجب أن يكون صحيحًا ≥ 0",IF(AND($F3236="Baseline",$H3236&lt;&gt;""),"⚠ Baseline: Start لا يدخل في التقدم",IF($K3236="No Start (attainment only)","ℹ تحصيل فقط (بدون Start)",IF($K3236="U – needs rule","ℹ حالة U تحتاج قاعدة معتمدة",IF($K3236="No result","ℹ بدون نتيجة (يُستبعد من التحصيل)","OK")))))))))))</f>
        <v/>
      </c>
      <c r="M3236" s="64" t="n">
        <f aca="false">IF($A3236="",0,IFERROR(MATCH($A3236,Classes!$A$6:$A$420,0),0))</f>
        <v>0</v>
      </c>
      <c r="N3236" s="64" t="n">
        <f aca="false">IF($H3236="",0,IFERROR(MATCH($H3236,GradeList,0),0))</f>
        <v>0</v>
      </c>
      <c r="O3236" s="64" t="n">
        <f aca="false">IF(OR($I3236="",$I3236="NR"),0,IFERROR(MATCH($I3236,GradeList,0),0))</f>
        <v>0</v>
      </c>
      <c r="P3236" s="64" t="n">
        <f aca="false">IF(AND($M3236&gt;0,ISNUMBER(MATCH($F3236,Lists!$A$2:$A$5,0)),ISNUMBER(MATCH($G3236,Lists!$B$2:$B$7,0)),OR($H3236="",$N3236&gt;0),OR($I3236="",$I3236="NR",$O3236&gt;0),IF(ISNUMBER($J3236),AND($J3236&gt;=0,$J3236=INT($J3236)),FALSE())),$J3236,0)</f>
        <v>0</v>
      </c>
      <c r="Q3236" s="64" t="n">
        <f aca="false">IF(AND($P3236&gt;0,$O3236&gt;0),$P3236,0)</f>
        <v>0</v>
      </c>
      <c r="R3236" s="64" t="n">
        <f aca="false">IF(AND($Q3236&gt;0,$O3236&gt;=AtRank),$Q3236,0)</f>
        <v>0</v>
      </c>
      <c r="S3236" s="64" t="n">
        <f aca="false">IF(AND($Q3236&gt;0,$O3236&gt;=AboveRank),$Q3236,0)</f>
        <v>0</v>
      </c>
      <c r="T3236" s="64" t="n">
        <f aca="false">IF($K3236="Less",$P3236,0)</f>
        <v>0</v>
      </c>
      <c r="U3236" s="64" t="n">
        <f aca="false">IF($K3236="Expected",$P3236,0)</f>
        <v>0</v>
      </c>
      <c r="V3236" s="64" t="n">
        <f aca="false">IF($K3236="Better",$P3236,0)</f>
        <v>0</v>
      </c>
      <c r="W3236" s="64" t="n">
        <f aca="false">IF($K3236="U – needs rule",$P3236,0)</f>
        <v>0</v>
      </c>
      <c r="X3236" s="64" t="n">
        <f aca="false">IF($K3236="No Start (attainment only)",$P3236,0)</f>
        <v>0</v>
      </c>
    </row>
    <row r="3237" customFormat="false" ht="15" hidden="false" customHeight="false" outlineLevel="0" collapsed="false">
      <c r="A3237" s="60"/>
      <c r="B3237" s="61" t="str">
        <f aca="false">IF($M3237=0,"",INDEX(Classes!$E$6:$E$420,$M3237))</f>
        <v/>
      </c>
      <c r="C3237" s="62" t="str">
        <f aca="false">IF($M3237=0,"",INDEX(Classes!$H$6:$H$420,$M3237))</f>
        <v/>
      </c>
      <c r="D3237" s="61" t="str">
        <f aca="false">IF($M3237=0,"",INDEX(Classes!$B$6:$B$420,$M3237))</f>
        <v/>
      </c>
      <c r="E3237" s="61" t="str">
        <f aca="false">IF($M3237=0,"",INDEX(Classes!$C$6:$C$420,$M3237))</f>
        <v/>
      </c>
      <c r="F3237" s="63"/>
      <c r="G3237" s="63"/>
      <c r="H3237" s="60"/>
      <c r="I3237" s="60"/>
      <c r="J3237" s="63"/>
      <c r="K3237" s="61" t="str">
        <f aca="false">IF($P3237=0,"",IF($F3237="Baseline","— Baseline",IF($O3237=0,"No result",IF($N3237=0,"No Start (attainment only)",IF(OR($N3237=1,$O3237=1),"U – needs rule",INDEX(MxBody,MATCH($I3237,MxCurr,0),MATCH($H3237,MxStart,0)))))))</f>
        <v/>
      </c>
      <c r="L3237" s="62" t="str">
        <f aca="false">IF(COUNTA($A3237,$F3237,$G3237,$H3237,$I3237,$J3237)=0,"",IF($M3237=0,"✖ كود الصف غير موجود",IF(ISNA(MATCH($F3237,Lists!$A$2:$A$5,0)),"✖ الفترة غير صحيحة",IF(ISNA(MATCH($G3237,Lists!$B$2:$B$7,0)),"✖ المجموعة غير صحيحة",IF(NOT(OR($H3237="",$N3237&gt;0)),"✖ Start غير صحيح",IF(NOT(OR($I3237="",$I3237="NR",$O3237&gt;0)),"✖ Current غير صحيح",IF(NOT(IF(ISNUMBER($J3237),AND($J3237&gt;=0,$J3237=INT($J3237)),FALSE())),"✖ العدد يجب أن يكون صحيحًا ≥ 0",IF(AND($F3237="Baseline",$H3237&lt;&gt;""),"⚠ Baseline: Start لا يدخل في التقدم",IF($K3237="No Start (attainment only)","ℹ تحصيل فقط (بدون Start)",IF($K3237="U – needs rule","ℹ حالة U تحتاج قاعدة معتمدة",IF($K3237="No result","ℹ بدون نتيجة (يُستبعد من التحصيل)","OK")))))))))))</f>
        <v/>
      </c>
      <c r="M3237" s="64" t="n">
        <f aca="false">IF($A3237="",0,IFERROR(MATCH($A3237,Classes!$A$6:$A$420,0),0))</f>
        <v>0</v>
      </c>
      <c r="N3237" s="64" t="n">
        <f aca="false">IF($H3237="",0,IFERROR(MATCH($H3237,GradeList,0),0))</f>
        <v>0</v>
      </c>
      <c r="O3237" s="64" t="n">
        <f aca="false">IF(OR($I3237="",$I3237="NR"),0,IFERROR(MATCH($I3237,GradeList,0),0))</f>
        <v>0</v>
      </c>
      <c r="P3237" s="64" t="n">
        <f aca="false">IF(AND($M3237&gt;0,ISNUMBER(MATCH($F3237,Lists!$A$2:$A$5,0)),ISNUMBER(MATCH($G3237,Lists!$B$2:$B$7,0)),OR($H3237="",$N3237&gt;0),OR($I3237="",$I3237="NR",$O3237&gt;0),IF(ISNUMBER($J3237),AND($J3237&gt;=0,$J3237=INT($J3237)),FALSE())),$J3237,0)</f>
        <v>0</v>
      </c>
      <c r="Q3237" s="64" t="n">
        <f aca="false">IF(AND($P3237&gt;0,$O3237&gt;0),$P3237,0)</f>
        <v>0</v>
      </c>
      <c r="R3237" s="64" t="n">
        <f aca="false">IF(AND($Q3237&gt;0,$O3237&gt;=AtRank),$Q3237,0)</f>
        <v>0</v>
      </c>
      <c r="S3237" s="64" t="n">
        <f aca="false">IF(AND($Q3237&gt;0,$O3237&gt;=AboveRank),$Q3237,0)</f>
        <v>0</v>
      </c>
      <c r="T3237" s="64" t="n">
        <f aca="false">IF($K3237="Less",$P3237,0)</f>
        <v>0</v>
      </c>
      <c r="U3237" s="64" t="n">
        <f aca="false">IF($K3237="Expected",$P3237,0)</f>
        <v>0</v>
      </c>
      <c r="V3237" s="64" t="n">
        <f aca="false">IF($K3237="Better",$P3237,0)</f>
        <v>0</v>
      </c>
      <c r="W3237" s="64" t="n">
        <f aca="false">IF($K3237="U – needs rule",$P3237,0)</f>
        <v>0</v>
      </c>
      <c r="X3237" s="64" t="n">
        <f aca="false">IF($K3237="No Start (attainment only)",$P3237,0)</f>
        <v>0</v>
      </c>
    </row>
    <row r="3238" customFormat="false" ht="15" hidden="false" customHeight="false" outlineLevel="0" collapsed="false">
      <c r="A3238" s="60"/>
      <c r="B3238" s="61" t="str">
        <f aca="false">IF($M3238=0,"",INDEX(Classes!$E$6:$E$420,$M3238))</f>
        <v/>
      </c>
      <c r="C3238" s="62" t="str">
        <f aca="false">IF($M3238=0,"",INDEX(Classes!$H$6:$H$420,$M3238))</f>
        <v/>
      </c>
      <c r="D3238" s="61" t="str">
        <f aca="false">IF($M3238=0,"",INDEX(Classes!$B$6:$B$420,$M3238))</f>
        <v/>
      </c>
      <c r="E3238" s="61" t="str">
        <f aca="false">IF($M3238=0,"",INDEX(Classes!$C$6:$C$420,$M3238))</f>
        <v/>
      </c>
      <c r="F3238" s="63"/>
      <c r="G3238" s="63"/>
      <c r="H3238" s="60"/>
      <c r="I3238" s="60"/>
      <c r="J3238" s="63"/>
      <c r="K3238" s="61" t="str">
        <f aca="false">IF($P3238=0,"",IF($F3238="Baseline","— Baseline",IF($O3238=0,"No result",IF($N3238=0,"No Start (attainment only)",IF(OR($N3238=1,$O3238=1),"U – needs rule",INDEX(MxBody,MATCH($I3238,MxCurr,0),MATCH($H3238,MxStart,0)))))))</f>
        <v/>
      </c>
      <c r="L3238" s="62" t="str">
        <f aca="false">IF(COUNTA($A3238,$F3238,$G3238,$H3238,$I3238,$J3238)=0,"",IF($M3238=0,"✖ كود الصف غير موجود",IF(ISNA(MATCH($F3238,Lists!$A$2:$A$5,0)),"✖ الفترة غير صحيحة",IF(ISNA(MATCH($G3238,Lists!$B$2:$B$7,0)),"✖ المجموعة غير صحيحة",IF(NOT(OR($H3238="",$N3238&gt;0)),"✖ Start غير صحيح",IF(NOT(OR($I3238="",$I3238="NR",$O3238&gt;0)),"✖ Current غير صحيح",IF(NOT(IF(ISNUMBER($J3238),AND($J3238&gt;=0,$J3238=INT($J3238)),FALSE())),"✖ العدد يجب أن يكون صحيحًا ≥ 0",IF(AND($F3238="Baseline",$H3238&lt;&gt;""),"⚠ Baseline: Start لا يدخل في التقدم",IF($K3238="No Start (attainment only)","ℹ تحصيل فقط (بدون Start)",IF($K3238="U – needs rule","ℹ حالة U تحتاج قاعدة معتمدة",IF($K3238="No result","ℹ بدون نتيجة (يُستبعد من التحصيل)","OK")))))))))))</f>
        <v/>
      </c>
      <c r="M3238" s="64" t="n">
        <f aca="false">IF($A3238="",0,IFERROR(MATCH($A3238,Classes!$A$6:$A$420,0),0))</f>
        <v>0</v>
      </c>
      <c r="N3238" s="64" t="n">
        <f aca="false">IF($H3238="",0,IFERROR(MATCH($H3238,GradeList,0),0))</f>
        <v>0</v>
      </c>
      <c r="O3238" s="64" t="n">
        <f aca="false">IF(OR($I3238="",$I3238="NR"),0,IFERROR(MATCH($I3238,GradeList,0),0))</f>
        <v>0</v>
      </c>
      <c r="P3238" s="64" t="n">
        <f aca="false">IF(AND($M3238&gt;0,ISNUMBER(MATCH($F3238,Lists!$A$2:$A$5,0)),ISNUMBER(MATCH($G3238,Lists!$B$2:$B$7,0)),OR($H3238="",$N3238&gt;0),OR($I3238="",$I3238="NR",$O3238&gt;0),IF(ISNUMBER($J3238),AND($J3238&gt;=0,$J3238=INT($J3238)),FALSE())),$J3238,0)</f>
        <v>0</v>
      </c>
      <c r="Q3238" s="64" t="n">
        <f aca="false">IF(AND($P3238&gt;0,$O3238&gt;0),$P3238,0)</f>
        <v>0</v>
      </c>
      <c r="R3238" s="64" t="n">
        <f aca="false">IF(AND($Q3238&gt;0,$O3238&gt;=AtRank),$Q3238,0)</f>
        <v>0</v>
      </c>
      <c r="S3238" s="64" t="n">
        <f aca="false">IF(AND($Q3238&gt;0,$O3238&gt;=AboveRank),$Q3238,0)</f>
        <v>0</v>
      </c>
      <c r="T3238" s="64" t="n">
        <f aca="false">IF($K3238="Less",$P3238,0)</f>
        <v>0</v>
      </c>
      <c r="U3238" s="64" t="n">
        <f aca="false">IF($K3238="Expected",$P3238,0)</f>
        <v>0</v>
      </c>
      <c r="V3238" s="64" t="n">
        <f aca="false">IF($K3238="Better",$P3238,0)</f>
        <v>0</v>
      </c>
      <c r="W3238" s="64" t="n">
        <f aca="false">IF($K3238="U – needs rule",$P3238,0)</f>
        <v>0</v>
      </c>
      <c r="X3238" s="64" t="n">
        <f aca="false">IF($K3238="No Start (attainment only)",$P3238,0)</f>
        <v>0</v>
      </c>
    </row>
    <row r="3239" customFormat="false" ht="15" hidden="false" customHeight="false" outlineLevel="0" collapsed="false">
      <c r="A3239" s="60"/>
      <c r="B3239" s="61" t="str">
        <f aca="false">IF($M3239=0,"",INDEX(Classes!$E$6:$E$420,$M3239))</f>
        <v/>
      </c>
      <c r="C3239" s="62" t="str">
        <f aca="false">IF($M3239=0,"",INDEX(Classes!$H$6:$H$420,$M3239))</f>
        <v/>
      </c>
      <c r="D3239" s="61" t="str">
        <f aca="false">IF($M3239=0,"",INDEX(Classes!$B$6:$B$420,$M3239))</f>
        <v/>
      </c>
      <c r="E3239" s="61" t="str">
        <f aca="false">IF($M3239=0,"",INDEX(Classes!$C$6:$C$420,$M3239))</f>
        <v/>
      </c>
      <c r="F3239" s="63"/>
      <c r="G3239" s="63"/>
      <c r="H3239" s="60"/>
      <c r="I3239" s="60"/>
      <c r="J3239" s="63"/>
      <c r="K3239" s="61" t="str">
        <f aca="false">IF($P3239=0,"",IF($F3239="Baseline","— Baseline",IF($O3239=0,"No result",IF($N3239=0,"No Start (attainment only)",IF(OR($N3239=1,$O3239=1),"U – needs rule",INDEX(MxBody,MATCH($I3239,MxCurr,0),MATCH($H3239,MxStart,0)))))))</f>
        <v/>
      </c>
      <c r="L3239" s="62" t="str">
        <f aca="false">IF(COUNTA($A3239,$F3239,$G3239,$H3239,$I3239,$J3239)=0,"",IF($M3239=0,"✖ كود الصف غير موجود",IF(ISNA(MATCH($F3239,Lists!$A$2:$A$5,0)),"✖ الفترة غير صحيحة",IF(ISNA(MATCH($G3239,Lists!$B$2:$B$7,0)),"✖ المجموعة غير صحيحة",IF(NOT(OR($H3239="",$N3239&gt;0)),"✖ Start غير صحيح",IF(NOT(OR($I3239="",$I3239="NR",$O3239&gt;0)),"✖ Current غير صحيح",IF(NOT(IF(ISNUMBER($J3239),AND($J3239&gt;=0,$J3239=INT($J3239)),FALSE())),"✖ العدد يجب أن يكون صحيحًا ≥ 0",IF(AND($F3239="Baseline",$H3239&lt;&gt;""),"⚠ Baseline: Start لا يدخل في التقدم",IF($K3239="No Start (attainment only)","ℹ تحصيل فقط (بدون Start)",IF($K3239="U – needs rule","ℹ حالة U تحتاج قاعدة معتمدة",IF($K3239="No result","ℹ بدون نتيجة (يُستبعد من التحصيل)","OK")))))))))))</f>
        <v/>
      </c>
      <c r="M3239" s="64" t="n">
        <f aca="false">IF($A3239="",0,IFERROR(MATCH($A3239,Classes!$A$6:$A$420,0),0))</f>
        <v>0</v>
      </c>
      <c r="N3239" s="64" t="n">
        <f aca="false">IF($H3239="",0,IFERROR(MATCH($H3239,GradeList,0),0))</f>
        <v>0</v>
      </c>
      <c r="O3239" s="64" t="n">
        <f aca="false">IF(OR($I3239="",$I3239="NR"),0,IFERROR(MATCH($I3239,GradeList,0),0))</f>
        <v>0</v>
      </c>
      <c r="P3239" s="64" t="n">
        <f aca="false">IF(AND($M3239&gt;0,ISNUMBER(MATCH($F3239,Lists!$A$2:$A$5,0)),ISNUMBER(MATCH($G3239,Lists!$B$2:$B$7,0)),OR($H3239="",$N3239&gt;0),OR($I3239="",$I3239="NR",$O3239&gt;0),IF(ISNUMBER($J3239),AND($J3239&gt;=0,$J3239=INT($J3239)),FALSE())),$J3239,0)</f>
        <v>0</v>
      </c>
      <c r="Q3239" s="64" t="n">
        <f aca="false">IF(AND($P3239&gt;0,$O3239&gt;0),$P3239,0)</f>
        <v>0</v>
      </c>
      <c r="R3239" s="64" t="n">
        <f aca="false">IF(AND($Q3239&gt;0,$O3239&gt;=AtRank),$Q3239,0)</f>
        <v>0</v>
      </c>
      <c r="S3239" s="64" t="n">
        <f aca="false">IF(AND($Q3239&gt;0,$O3239&gt;=AboveRank),$Q3239,0)</f>
        <v>0</v>
      </c>
      <c r="T3239" s="64" t="n">
        <f aca="false">IF($K3239="Less",$P3239,0)</f>
        <v>0</v>
      </c>
      <c r="U3239" s="64" t="n">
        <f aca="false">IF($K3239="Expected",$P3239,0)</f>
        <v>0</v>
      </c>
      <c r="V3239" s="64" t="n">
        <f aca="false">IF($K3239="Better",$P3239,0)</f>
        <v>0</v>
      </c>
      <c r="W3239" s="64" t="n">
        <f aca="false">IF($K3239="U – needs rule",$P3239,0)</f>
        <v>0</v>
      </c>
      <c r="X3239" s="64" t="n">
        <f aca="false">IF($K3239="No Start (attainment only)",$P3239,0)</f>
        <v>0</v>
      </c>
    </row>
    <row r="3240" customFormat="false" ht="15" hidden="false" customHeight="false" outlineLevel="0" collapsed="false">
      <c r="A3240" s="60"/>
      <c r="B3240" s="61" t="str">
        <f aca="false">IF($M3240=0,"",INDEX(Classes!$E$6:$E$420,$M3240))</f>
        <v/>
      </c>
      <c r="C3240" s="62" t="str">
        <f aca="false">IF($M3240=0,"",INDEX(Classes!$H$6:$H$420,$M3240))</f>
        <v/>
      </c>
      <c r="D3240" s="61" t="str">
        <f aca="false">IF($M3240=0,"",INDEX(Classes!$B$6:$B$420,$M3240))</f>
        <v/>
      </c>
      <c r="E3240" s="61" t="str">
        <f aca="false">IF($M3240=0,"",INDEX(Classes!$C$6:$C$420,$M3240))</f>
        <v/>
      </c>
      <c r="F3240" s="63"/>
      <c r="G3240" s="63"/>
      <c r="H3240" s="60"/>
      <c r="I3240" s="60"/>
      <c r="J3240" s="63"/>
      <c r="K3240" s="61" t="str">
        <f aca="false">IF($P3240=0,"",IF($F3240="Baseline","— Baseline",IF($O3240=0,"No result",IF($N3240=0,"No Start (attainment only)",IF(OR($N3240=1,$O3240=1),"U – needs rule",INDEX(MxBody,MATCH($I3240,MxCurr,0),MATCH($H3240,MxStart,0)))))))</f>
        <v/>
      </c>
      <c r="L3240" s="62" t="str">
        <f aca="false">IF(COUNTA($A3240,$F3240,$G3240,$H3240,$I3240,$J3240)=0,"",IF($M3240=0,"✖ كود الصف غير موجود",IF(ISNA(MATCH($F3240,Lists!$A$2:$A$5,0)),"✖ الفترة غير صحيحة",IF(ISNA(MATCH($G3240,Lists!$B$2:$B$7,0)),"✖ المجموعة غير صحيحة",IF(NOT(OR($H3240="",$N3240&gt;0)),"✖ Start غير صحيح",IF(NOT(OR($I3240="",$I3240="NR",$O3240&gt;0)),"✖ Current غير صحيح",IF(NOT(IF(ISNUMBER($J3240),AND($J3240&gt;=0,$J3240=INT($J3240)),FALSE())),"✖ العدد يجب أن يكون صحيحًا ≥ 0",IF(AND($F3240="Baseline",$H3240&lt;&gt;""),"⚠ Baseline: Start لا يدخل في التقدم",IF($K3240="No Start (attainment only)","ℹ تحصيل فقط (بدون Start)",IF($K3240="U – needs rule","ℹ حالة U تحتاج قاعدة معتمدة",IF($K3240="No result","ℹ بدون نتيجة (يُستبعد من التحصيل)","OK")))))))))))</f>
        <v/>
      </c>
      <c r="M3240" s="64" t="n">
        <f aca="false">IF($A3240="",0,IFERROR(MATCH($A3240,Classes!$A$6:$A$420,0),0))</f>
        <v>0</v>
      </c>
      <c r="N3240" s="64" t="n">
        <f aca="false">IF($H3240="",0,IFERROR(MATCH($H3240,GradeList,0),0))</f>
        <v>0</v>
      </c>
      <c r="O3240" s="64" t="n">
        <f aca="false">IF(OR($I3240="",$I3240="NR"),0,IFERROR(MATCH($I3240,GradeList,0),0))</f>
        <v>0</v>
      </c>
      <c r="P3240" s="64" t="n">
        <f aca="false">IF(AND($M3240&gt;0,ISNUMBER(MATCH($F3240,Lists!$A$2:$A$5,0)),ISNUMBER(MATCH($G3240,Lists!$B$2:$B$7,0)),OR($H3240="",$N3240&gt;0),OR($I3240="",$I3240="NR",$O3240&gt;0),IF(ISNUMBER($J3240),AND($J3240&gt;=0,$J3240=INT($J3240)),FALSE())),$J3240,0)</f>
        <v>0</v>
      </c>
      <c r="Q3240" s="64" t="n">
        <f aca="false">IF(AND($P3240&gt;0,$O3240&gt;0),$P3240,0)</f>
        <v>0</v>
      </c>
      <c r="R3240" s="64" t="n">
        <f aca="false">IF(AND($Q3240&gt;0,$O3240&gt;=AtRank),$Q3240,0)</f>
        <v>0</v>
      </c>
      <c r="S3240" s="64" t="n">
        <f aca="false">IF(AND($Q3240&gt;0,$O3240&gt;=AboveRank),$Q3240,0)</f>
        <v>0</v>
      </c>
      <c r="T3240" s="64" t="n">
        <f aca="false">IF($K3240="Less",$P3240,0)</f>
        <v>0</v>
      </c>
      <c r="U3240" s="64" t="n">
        <f aca="false">IF($K3240="Expected",$P3240,0)</f>
        <v>0</v>
      </c>
      <c r="V3240" s="64" t="n">
        <f aca="false">IF($K3240="Better",$P3240,0)</f>
        <v>0</v>
      </c>
      <c r="W3240" s="64" t="n">
        <f aca="false">IF($K3240="U – needs rule",$P3240,0)</f>
        <v>0</v>
      </c>
      <c r="X3240" s="64" t="n">
        <f aca="false">IF($K3240="No Start (attainment only)",$P3240,0)</f>
        <v>0</v>
      </c>
    </row>
    <row r="3241" customFormat="false" ht="15" hidden="false" customHeight="false" outlineLevel="0" collapsed="false">
      <c r="A3241" s="60"/>
      <c r="B3241" s="61" t="str">
        <f aca="false">IF($M3241=0,"",INDEX(Classes!$E$6:$E$420,$M3241))</f>
        <v/>
      </c>
      <c r="C3241" s="62" t="str">
        <f aca="false">IF($M3241=0,"",INDEX(Classes!$H$6:$H$420,$M3241))</f>
        <v/>
      </c>
      <c r="D3241" s="61" t="str">
        <f aca="false">IF($M3241=0,"",INDEX(Classes!$B$6:$B$420,$M3241))</f>
        <v/>
      </c>
      <c r="E3241" s="61" t="str">
        <f aca="false">IF($M3241=0,"",INDEX(Classes!$C$6:$C$420,$M3241))</f>
        <v/>
      </c>
      <c r="F3241" s="63"/>
      <c r="G3241" s="63"/>
      <c r="H3241" s="60"/>
      <c r="I3241" s="60"/>
      <c r="J3241" s="63"/>
      <c r="K3241" s="61" t="str">
        <f aca="false">IF($P3241=0,"",IF($F3241="Baseline","— Baseline",IF($O3241=0,"No result",IF($N3241=0,"No Start (attainment only)",IF(OR($N3241=1,$O3241=1),"U – needs rule",INDEX(MxBody,MATCH($I3241,MxCurr,0),MATCH($H3241,MxStart,0)))))))</f>
        <v/>
      </c>
      <c r="L3241" s="62" t="str">
        <f aca="false">IF(COUNTA($A3241,$F3241,$G3241,$H3241,$I3241,$J3241)=0,"",IF($M3241=0,"✖ كود الصف غير موجود",IF(ISNA(MATCH($F3241,Lists!$A$2:$A$5,0)),"✖ الفترة غير صحيحة",IF(ISNA(MATCH($G3241,Lists!$B$2:$B$7,0)),"✖ المجموعة غير صحيحة",IF(NOT(OR($H3241="",$N3241&gt;0)),"✖ Start غير صحيح",IF(NOT(OR($I3241="",$I3241="NR",$O3241&gt;0)),"✖ Current غير صحيح",IF(NOT(IF(ISNUMBER($J3241),AND($J3241&gt;=0,$J3241=INT($J3241)),FALSE())),"✖ العدد يجب أن يكون صحيحًا ≥ 0",IF(AND($F3241="Baseline",$H3241&lt;&gt;""),"⚠ Baseline: Start لا يدخل في التقدم",IF($K3241="No Start (attainment only)","ℹ تحصيل فقط (بدون Start)",IF($K3241="U – needs rule","ℹ حالة U تحتاج قاعدة معتمدة",IF($K3241="No result","ℹ بدون نتيجة (يُستبعد من التحصيل)","OK")))))))))))</f>
        <v/>
      </c>
      <c r="M3241" s="64" t="n">
        <f aca="false">IF($A3241="",0,IFERROR(MATCH($A3241,Classes!$A$6:$A$420,0),0))</f>
        <v>0</v>
      </c>
      <c r="N3241" s="64" t="n">
        <f aca="false">IF($H3241="",0,IFERROR(MATCH($H3241,GradeList,0),0))</f>
        <v>0</v>
      </c>
      <c r="O3241" s="64" t="n">
        <f aca="false">IF(OR($I3241="",$I3241="NR"),0,IFERROR(MATCH($I3241,GradeList,0),0))</f>
        <v>0</v>
      </c>
      <c r="P3241" s="64" t="n">
        <f aca="false">IF(AND($M3241&gt;0,ISNUMBER(MATCH($F3241,Lists!$A$2:$A$5,0)),ISNUMBER(MATCH($G3241,Lists!$B$2:$B$7,0)),OR($H3241="",$N3241&gt;0),OR($I3241="",$I3241="NR",$O3241&gt;0),IF(ISNUMBER($J3241),AND($J3241&gt;=0,$J3241=INT($J3241)),FALSE())),$J3241,0)</f>
        <v>0</v>
      </c>
      <c r="Q3241" s="64" t="n">
        <f aca="false">IF(AND($P3241&gt;0,$O3241&gt;0),$P3241,0)</f>
        <v>0</v>
      </c>
      <c r="R3241" s="64" t="n">
        <f aca="false">IF(AND($Q3241&gt;0,$O3241&gt;=AtRank),$Q3241,0)</f>
        <v>0</v>
      </c>
      <c r="S3241" s="64" t="n">
        <f aca="false">IF(AND($Q3241&gt;0,$O3241&gt;=AboveRank),$Q3241,0)</f>
        <v>0</v>
      </c>
      <c r="T3241" s="64" t="n">
        <f aca="false">IF($K3241="Less",$P3241,0)</f>
        <v>0</v>
      </c>
      <c r="U3241" s="64" t="n">
        <f aca="false">IF($K3241="Expected",$P3241,0)</f>
        <v>0</v>
      </c>
      <c r="V3241" s="64" t="n">
        <f aca="false">IF($K3241="Better",$P3241,0)</f>
        <v>0</v>
      </c>
      <c r="W3241" s="64" t="n">
        <f aca="false">IF($K3241="U – needs rule",$P3241,0)</f>
        <v>0</v>
      </c>
      <c r="X3241" s="64" t="n">
        <f aca="false">IF($K3241="No Start (attainment only)",$P3241,0)</f>
        <v>0</v>
      </c>
    </row>
    <row r="3242" customFormat="false" ht="15" hidden="false" customHeight="false" outlineLevel="0" collapsed="false">
      <c r="A3242" s="60"/>
      <c r="B3242" s="61" t="str">
        <f aca="false">IF($M3242=0,"",INDEX(Classes!$E$6:$E$420,$M3242))</f>
        <v/>
      </c>
      <c r="C3242" s="62" t="str">
        <f aca="false">IF($M3242=0,"",INDEX(Classes!$H$6:$H$420,$M3242))</f>
        <v/>
      </c>
      <c r="D3242" s="61" t="str">
        <f aca="false">IF($M3242=0,"",INDEX(Classes!$B$6:$B$420,$M3242))</f>
        <v/>
      </c>
      <c r="E3242" s="61" t="str">
        <f aca="false">IF($M3242=0,"",INDEX(Classes!$C$6:$C$420,$M3242))</f>
        <v/>
      </c>
      <c r="F3242" s="63"/>
      <c r="G3242" s="63"/>
      <c r="H3242" s="60"/>
      <c r="I3242" s="60"/>
      <c r="J3242" s="63"/>
      <c r="K3242" s="61" t="str">
        <f aca="false">IF($P3242=0,"",IF($F3242="Baseline","— Baseline",IF($O3242=0,"No result",IF($N3242=0,"No Start (attainment only)",IF(OR($N3242=1,$O3242=1),"U – needs rule",INDEX(MxBody,MATCH($I3242,MxCurr,0),MATCH($H3242,MxStart,0)))))))</f>
        <v/>
      </c>
      <c r="L3242" s="62" t="str">
        <f aca="false">IF(COUNTA($A3242,$F3242,$G3242,$H3242,$I3242,$J3242)=0,"",IF($M3242=0,"✖ كود الصف غير موجود",IF(ISNA(MATCH($F3242,Lists!$A$2:$A$5,0)),"✖ الفترة غير صحيحة",IF(ISNA(MATCH($G3242,Lists!$B$2:$B$7,0)),"✖ المجموعة غير صحيحة",IF(NOT(OR($H3242="",$N3242&gt;0)),"✖ Start غير صحيح",IF(NOT(OR($I3242="",$I3242="NR",$O3242&gt;0)),"✖ Current غير صحيح",IF(NOT(IF(ISNUMBER($J3242),AND($J3242&gt;=0,$J3242=INT($J3242)),FALSE())),"✖ العدد يجب أن يكون صحيحًا ≥ 0",IF(AND($F3242="Baseline",$H3242&lt;&gt;""),"⚠ Baseline: Start لا يدخل في التقدم",IF($K3242="No Start (attainment only)","ℹ تحصيل فقط (بدون Start)",IF($K3242="U – needs rule","ℹ حالة U تحتاج قاعدة معتمدة",IF($K3242="No result","ℹ بدون نتيجة (يُستبعد من التحصيل)","OK")))))))))))</f>
        <v/>
      </c>
      <c r="M3242" s="64" t="n">
        <f aca="false">IF($A3242="",0,IFERROR(MATCH($A3242,Classes!$A$6:$A$420,0),0))</f>
        <v>0</v>
      </c>
      <c r="N3242" s="64" t="n">
        <f aca="false">IF($H3242="",0,IFERROR(MATCH($H3242,GradeList,0),0))</f>
        <v>0</v>
      </c>
      <c r="O3242" s="64" t="n">
        <f aca="false">IF(OR($I3242="",$I3242="NR"),0,IFERROR(MATCH($I3242,GradeList,0),0))</f>
        <v>0</v>
      </c>
      <c r="P3242" s="64" t="n">
        <f aca="false">IF(AND($M3242&gt;0,ISNUMBER(MATCH($F3242,Lists!$A$2:$A$5,0)),ISNUMBER(MATCH($G3242,Lists!$B$2:$B$7,0)),OR($H3242="",$N3242&gt;0),OR($I3242="",$I3242="NR",$O3242&gt;0),IF(ISNUMBER($J3242),AND($J3242&gt;=0,$J3242=INT($J3242)),FALSE())),$J3242,0)</f>
        <v>0</v>
      </c>
      <c r="Q3242" s="64" t="n">
        <f aca="false">IF(AND($P3242&gt;0,$O3242&gt;0),$P3242,0)</f>
        <v>0</v>
      </c>
      <c r="R3242" s="64" t="n">
        <f aca="false">IF(AND($Q3242&gt;0,$O3242&gt;=AtRank),$Q3242,0)</f>
        <v>0</v>
      </c>
      <c r="S3242" s="64" t="n">
        <f aca="false">IF(AND($Q3242&gt;0,$O3242&gt;=AboveRank),$Q3242,0)</f>
        <v>0</v>
      </c>
      <c r="T3242" s="64" t="n">
        <f aca="false">IF($K3242="Less",$P3242,0)</f>
        <v>0</v>
      </c>
      <c r="U3242" s="64" t="n">
        <f aca="false">IF($K3242="Expected",$P3242,0)</f>
        <v>0</v>
      </c>
      <c r="V3242" s="64" t="n">
        <f aca="false">IF($K3242="Better",$P3242,0)</f>
        <v>0</v>
      </c>
      <c r="W3242" s="64" t="n">
        <f aca="false">IF($K3242="U – needs rule",$P3242,0)</f>
        <v>0</v>
      </c>
      <c r="X3242" s="64" t="n">
        <f aca="false">IF($K3242="No Start (attainment only)",$P3242,0)</f>
        <v>0</v>
      </c>
    </row>
    <row r="3243" customFormat="false" ht="15" hidden="false" customHeight="false" outlineLevel="0" collapsed="false">
      <c r="A3243" s="60"/>
      <c r="B3243" s="61" t="str">
        <f aca="false">IF($M3243=0,"",INDEX(Classes!$E$6:$E$420,$M3243))</f>
        <v/>
      </c>
      <c r="C3243" s="62" t="str">
        <f aca="false">IF($M3243=0,"",INDEX(Classes!$H$6:$H$420,$M3243))</f>
        <v/>
      </c>
      <c r="D3243" s="61" t="str">
        <f aca="false">IF($M3243=0,"",INDEX(Classes!$B$6:$B$420,$M3243))</f>
        <v/>
      </c>
      <c r="E3243" s="61" t="str">
        <f aca="false">IF($M3243=0,"",INDEX(Classes!$C$6:$C$420,$M3243))</f>
        <v/>
      </c>
      <c r="F3243" s="63"/>
      <c r="G3243" s="63"/>
      <c r="H3243" s="60"/>
      <c r="I3243" s="60"/>
      <c r="J3243" s="63"/>
      <c r="K3243" s="61" t="str">
        <f aca="false">IF($P3243=0,"",IF($F3243="Baseline","— Baseline",IF($O3243=0,"No result",IF($N3243=0,"No Start (attainment only)",IF(OR($N3243=1,$O3243=1),"U – needs rule",INDEX(MxBody,MATCH($I3243,MxCurr,0),MATCH($H3243,MxStart,0)))))))</f>
        <v/>
      </c>
      <c r="L3243" s="62" t="str">
        <f aca="false">IF(COUNTA($A3243,$F3243,$G3243,$H3243,$I3243,$J3243)=0,"",IF($M3243=0,"✖ كود الصف غير موجود",IF(ISNA(MATCH($F3243,Lists!$A$2:$A$5,0)),"✖ الفترة غير صحيحة",IF(ISNA(MATCH($G3243,Lists!$B$2:$B$7,0)),"✖ المجموعة غير صحيحة",IF(NOT(OR($H3243="",$N3243&gt;0)),"✖ Start غير صحيح",IF(NOT(OR($I3243="",$I3243="NR",$O3243&gt;0)),"✖ Current غير صحيح",IF(NOT(IF(ISNUMBER($J3243),AND($J3243&gt;=0,$J3243=INT($J3243)),FALSE())),"✖ العدد يجب أن يكون صحيحًا ≥ 0",IF(AND($F3243="Baseline",$H3243&lt;&gt;""),"⚠ Baseline: Start لا يدخل في التقدم",IF($K3243="No Start (attainment only)","ℹ تحصيل فقط (بدون Start)",IF($K3243="U – needs rule","ℹ حالة U تحتاج قاعدة معتمدة",IF($K3243="No result","ℹ بدون نتيجة (يُستبعد من التحصيل)","OK")))))))))))</f>
        <v/>
      </c>
      <c r="M3243" s="64" t="n">
        <f aca="false">IF($A3243="",0,IFERROR(MATCH($A3243,Classes!$A$6:$A$420,0),0))</f>
        <v>0</v>
      </c>
      <c r="N3243" s="64" t="n">
        <f aca="false">IF($H3243="",0,IFERROR(MATCH($H3243,GradeList,0),0))</f>
        <v>0</v>
      </c>
      <c r="O3243" s="64" t="n">
        <f aca="false">IF(OR($I3243="",$I3243="NR"),0,IFERROR(MATCH($I3243,GradeList,0),0))</f>
        <v>0</v>
      </c>
      <c r="P3243" s="64" t="n">
        <f aca="false">IF(AND($M3243&gt;0,ISNUMBER(MATCH($F3243,Lists!$A$2:$A$5,0)),ISNUMBER(MATCH($G3243,Lists!$B$2:$B$7,0)),OR($H3243="",$N3243&gt;0),OR($I3243="",$I3243="NR",$O3243&gt;0),IF(ISNUMBER($J3243),AND($J3243&gt;=0,$J3243=INT($J3243)),FALSE())),$J3243,0)</f>
        <v>0</v>
      </c>
      <c r="Q3243" s="64" t="n">
        <f aca="false">IF(AND($P3243&gt;0,$O3243&gt;0),$P3243,0)</f>
        <v>0</v>
      </c>
      <c r="R3243" s="64" t="n">
        <f aca="false">IF(AND($Q3243&gt;0,$O3243&gt;=AtRank),$Q3243,0)</f>
        <v>0</v>
      </c>
      <c r="S3243" s="64" t="n">
        <f aca="false">IF(AND($Q3243&gt;0,$O3243&gt;=AboveRank),$Q3243,0)</f>
        <v>0</v>
      </c>
      <c r="T3243" s="64" t="n">
        <f aca="false">IF($K3243="Less",$P3243,0)</f>
        <v>0</v>
      </c>
      <c r="U3243" s="64" t="n">
        <f aca="false">IF($K3243="Expected",$P3243,0)</f>
        <v>0</v>
      </c>
      <c r="V3243" s="64" t="n">
        <f aca="false">IF($K3243="Better",$P3243,0)</f>
        <v>0</v>
      </c>
      <c r="W3243" s="64" t="n">
        <f aca="false">IF($K3243="U – needs rule",$P3243,0)</f>
        <v>0</v>
      </c>
      <c r="X3243" s="64" t="n">
        <f aca="false">IF($K3243="No Start (attainment only)",$P3243,0)</f>
        <v>0</v>
      </c>
    </row>
    <row r="3244" customFormat="false" ht="15" hidden="false" customHeight="false" outlineLevel="0" collapsed="false">
      <c r="A3244" s="60"/>
      <c r="B3244" s="61" t="str">
        <f aca="false">IF($M3244=0,"",INDEX(Classes!$E$6:$E$420,$M3244))</f>
        <v/>
      </c>
      <c r="C3244" s="62" t="str">
        <f aca="false">IF($M3244=0,"",INDEX(Classes!$H$6:$H$420,$M3244))</f>
        <v/>
      </c>
      <c r="D3244" s="61" t="str">
        <f aca="false">IF($M3244=0,"",INDEX(Classes!$B$6:$B$420,$M3244))</f>
        <v/>
      </c>
      <c r="E3244" s="61" t="str">
        <f aca="false">IF($M3244=0,"",INDEX(Classes!$C$6:$C$420,$M3244))</f>
        <v/>
      </c>
      <c r="F3244" s="63"/>
      <c r="G3244" s="63"/>
      <c r="H3244" s="60"/>
      <c r="I3244" s="60"/>
      <c r="J3244" s="63"/>
      <c r="K3244" s="61" t="str">
        <f aca="false">IF($P3244=0,"",IF($F3244="Baseline","— Baseline",IF($O3244=0,"No result",IF($N3244=0,"No Start (attainment only)",IF(OR($N3244=1,$O3244=1),"U – needs rule",INDEX(MxBody,MATCH($I3244,MxCurr,0),MATCH($H3244,MxStart,0)))))))</f>
        <v/>
      </c>
      <c r="L3244" s="62" t="str">
        <f aca="false">IF(COUNTA($A3244,$F3244,$G3244,$H3244,$I3244,$J3244)=0,"",IF($M3244=0,"✖ كود الصف غير موجود",IF(ISNA(MATCH($F3244,Lists!$A$2:$A$5,0)),"✖ الفترة غير صحيحة",IF(ISNA(MATCH($G3244,Lists!$B$2:$B$7,0)),"✖ المجموعة غير صحيحة",IF(NOT(OR($H3244="",$N3244&gt;0)),"✖ Start غير صحيح",IF(NOT(OR($I3244="",$I3244="NR",$O3244&gt;0)),"✖ Current غير صحيح",IF(NOT(IF(ISNUMBER($J3244),AND($J3244&gt;=0,$J3244=INT($J3244)),FALSE())),"✖ العدد يجب أن يكون صحيحًا ≥ 0",IF(AND($F3244="Baseline",$H3244&lt;&gt;""),"⚠ Baseline: Start لا يدخل في التقدم",IF($K3244="No Start (attainment only)","ℹ تحصيل فقط (بدون Start)",IF($K3244="U – needs rule","ℹ حالة U تحتاج قاعدة معتمدة",IF($K3244="No result","ℹ بدون نتيجة (يُستبعد من التحصيل)","OK")))))))))))</f>
        <v/>
      </c>
      <c r="M3244" s="64" t="n">
        <f aca="false">IF($A3244="",0,IFERROR(MATCH($A3244,Classes!$A$6:$A$420,0),0))</f>
        <v>0</v>
      </c>
      <c r="N3244" s="64" t="n">
        <f aca="false">IF($H3244="",0,IFERROR(MATCH($H3244,GradeList,0),0))</f>
        <v>0</v>
      </c>
      <c r="O3244" s="64" t="n">
        <f aca="false">IF(OR($I3244="",$I3244="NR"),0,IFERROR(MATCH($I3244,GradeList,0),0))</f>
        <v>0</v>
      </c>
      <c r="P3244" s="64" t="n">
        <f aca="false">IF(AND($M3244&gt;0,ISNUMBER(MATCH($F3244,Lists!$A$2:$A$5,0)),ISNUMBER(MATCH($G3244,Lists!$B$2:$B$7,0)),OR($H3244="",$N3244&gt;0),OR($I3244="",$I3244="NR",$O3244&gt;0),IF(ISNUMBER($J3244),AND($J3244&gt;=0,$J3244=INT($J3244)),FALSE())),$J3244,0)</f>
        <v>0</v>
      </c>
      <c r="Q3244" s="64" t="n">
        <f aca="false">IF(AND($P3244&gt;0,$O3244&gt;0),$P3244,0)</f>
        <v>0</v>
      </c>
      <c r="R3244" s="64" t="n">
        <f aca="false">IF(AND($Q3244&gt;0,$O3244&gt;=AtRank),$Q3244,0)</f>
        <v>0</v>
      </c>
      <c r="S3244" s="64" t="n">
        <f aca="false">IF(AND($Q3244&gt;0,$O3244&gt;=AboveRank),$Q3244,0)</f>
        <v>0</v>
      </c>
      <c r="T3244" s="64" t="n">
        <f aca="false">IF($K3244="Less",$P3244,0)</f>
        <v>0</v>
      </c>
      <c r="U3244" s="64" t="n">
        <f aca="false">IF($K3244="Expected",$P3244,0)</f>
        <v>0</v>
      </c>
      <c r="V3244" s="64" t="n">
        <f aca="false">IF($K3244="Better",$P3244,0)</f>
        <v>0</v>
      </c>
      <c r="W3244" s="64" t="n">
        <f aca="false">IF($K3244="U – needs rule",$P3244,0)</f>
        <v>0</v>
      </c>
      <c r="X3244" s="64" t="n">
        <f aca="false">IF($K3244="No Start (attainment only)",$P3244,0)</f>
        <v>0</v>
      </c>
    </row>
    <row r="3245" customFormat="false" ht="15" hidden="false" customHeight="false" outlineLevel="0" collapsed="false">
      <c r="A3245" s="60"/>
      <c r="B3245" s="61" t="str">
        <f aca="false">IF($M3245=0,"",INDEX(Classes!$E$6:$E$420,$M3245))</f>
        <v/>
      </c>
      <c r="C3245" s="62" t="str">
        <f aca="false">IF($M3245=0,"",INDEX(Classes!$H$6:$H$420,$M3245))</f>
        <v/>
      </c>
      <c r="D3245" s="61" t="str">
        <f aca="false">IF($M3245=0,"",INDEX(Classes!$B$6:$B$420,$M3245))</f>
        <v/>
      </c>
      <c r="E3245" s="61" t="str">
        <f aca="false">IF($M3245=0,"",INDEX(Classes!$C$6:$C$420,$M3245))</f>
        <v/>
      </c>
      <c r="F3245" s="63"/>
      <c r="G3245" s="63"/>
      <c r="H3245" s="60"/>
      <c r="I3245" s="60"/>
      <c r="J3245" s="63"/>
      <c r="K3245" s="61" t="str">
        <f aca="false">IF($P3245=0,"",IF($F3245="Baseline","— Baseline",IF($O3245=0,"No result",IF($N3245=0,"No Start (attainment only)",IF(OR($N3245=1,$O3245=1),"U – needs rule",INDEX(MxBody,MATCH($I3245,MxCurr,0),MATCH($H3245,MxStart,0)))))))</f>
        <v/>
      </c>
      <c r="L3245" s="62" t="str">
        <f aca="false">IF(COUNTA($A3245,$F3245,$G3245,$H3245,$I3245,$J3245)=0,"",IF($M3245=0,"✖ كود الصف غير موجود",IF(ISNA(MATCH($F3245,Lists!$A$2:$A$5,0)),"✖ الفترة غير صحيحة",IF(ISNA(MATCH($G3245,Lists!$B$2:$B$7,0)),"✖ المجموعة غير صحيحة",IF(NOT(OR($H3245="",$N3245&gt;0)),"✖ Start غير صحيح",IF(NOT(OR($I3245="",$I3245="NR",$O3245&gt;0)),"✖ Current غير صحيح",IF(NOT(IF(ISNUMBER($J3245),AND($J3245&gt;=0,$J3245=INT($J3245)),FALSE())),"✖ العدد يجب أن يكون صحيحًا ≥ 0",IF(AND($F3245="Baseline",$H3245&lt;&gt;""),"⚠ Baseline: Start لا يدخل في التقدم",IF($K3245="No Start (attainment only)","ℹ تحصيل فقط (بدون Start)",IF($K3245="U – needs rule","ℹ حالة U تحتاج قاعدة معتمدة",IF($K3245="No result","ℹ بدون نتيجة (يُستبعد من التحصيل)","OK")))))))))))</f>
        <v/>
      </c>
      <c r="M3245" s="64" t="n">
        <f aca="false">IF($A3245="",0,IFERROR(MATCH($A3245,Classes!$A$6:$A$420,0),0))</f>
        <v>0</v>
      </c>
      <c r="N3245" s="64" t="n">
        <f aca="false">IF($H3245="",0,IFERROR(MATCH($H3245,GradeList,0),0))</f>
        <v>0</v>
      </c>
      <c r="O3245" s="64" t="n">
        <f aca="false">IF(OR($I3245="",$I3245="NR"),0,IFERROR(MATCH($I3245,GradeList,0),0))</f>
        <v>0</v>
      </c>
      <c r="P3245" s="64" t="n">
        <f aca="false">IF(AND($M3245&gt;0,ISNUMBER(MATCH($F3245,Lists!$A$2:$A$5,0)),ISNUMBER(MATCH($G3245,Lists!$B$2:$B$7,0)),OR($H3245="",$N3245&gt;0),OR($I3245="",$I3245="NR",$O3245&gt;0),IF(ISNUMBER($J3245),AND($J3245&gt;=0,$J3245=INT($J3245)),FALSE())),$J3245,0)</f>
        <v>0</v>
      </c>
      <c r="Q3245" s="64" t="n">
        <f aca="false">IF(AND($P3245&gt;0,$O3245&gt;0),$P3245,0)</f>
        <v>0</v>
      </c>
      <c r="R3245" s="64" t="n">
        <f aca="false">IF(AND($Q3245&gt;0,$O3245&gt;=AtRank),$Q3245,0)</f>
        <v>0</v>
      </c>
      <c r="S3245" s="64" t="n">
        <f aca="false">IF(AND($Q3245&gt;0,$O3245&gt;=AboveRank),$Q3245,0)</f>
        <v>0</v>
      </c>
      <c r="T3245" s="64" t="n">
        <f aca="false">IF($K3245="Less",$P3245,0)</f>
        <v>0</v>
      </c>
      <c r="U3245" s="64" t="n">
        <f aca="false">IF($K3245="Expected",$P3245,0)</f>
        <v>0</v>
      </c>
      <c r="V3245" s="64" t="n">
        <f aca="false">IF($K3245="Better",$P3245,0)</f>
        <v>0</v>
      </c>
      <c r="W3245" s="64" t="n">
        <f aca="false">IF($K3245="U – needs rule",$P3245,0)</f>
        <v>0</v>
      </c>
      <c r="X3245" s="64" t="n">
        <f aca="false">IF($K3245="No Start (attainment only)",$P3245,0)</f>
        <v>0</v>
      </c>
    </row>
    <row r="3246" customFormat="false" ht="15" hidden="false" customHeight="false" outlineLevel="0" collapsed="false">
      <c r="A3246" s="60"/>
      <c r="B3246" s="61" t="str">
        <f aca="false">IF($M3246=0,"",INDEX(Classes!$E$6:$E$420,$M3246))</f>
        <v/>
      </c>
      <c r="C3246" s="62" t="str">
        <f aca="false">IF($M3246=0,"",INDEX(Classes!$H$6:$H$420,$M3246))</f>
        <v/>
      </c>
      <c r="D3246" s="61" t="str">
        <f aca="false">IF($M3246=0,"",INDEX(Classes!$B$6:$B$420,$M3246))</f>
        <v/>
      </c>
      <c r="E3246" s="61" t="str">
        <f aca="false">IF($M3246=0,"",INDEX(Classes!$C$6:$C$420,$M3246))</f>
        <v/>
      </c>
      <c r="F3246" s="63"/>
      <c r="G3246" s="63"/>
      <c r="H3246" s="60"/>
      <c r="I3246" s="60"/>
      <c r="J3246" s="63"/>
      <c r="K3246" s="61" t="str">
        <f aca="false">IF($P3246=0,"",IF($F3246="Baseline","— Baseline",IF($O3246=0,"No result",IF($N3246=0,"No Start (attainment only)",IF(OR($N3246=1,$O3246=1),"U – needs rule",INDEX(MxBody,MATCH($I3246,MxCurr,0),MATCH($H3246,MxStart,0)))))))</f>
        <v/>
      </c>
      <c r="L3246" s="62" t="str">
        <f aca="false">IF(COUNTA($A3246,$F3246,$G3246,$H3246,$I3246,$J3246)=0,"",IF($M3246=0,"✖ كود الصف غير موجود",IF(ISNA(MATCH($F3246,Lists!$A$2:$A$5,0)),"✖ الفترة غير صحيحة",IF(ISNA(MATCH($G3246,Lists!$B$2:$B$7,0)),"✖ المجموعة غير صحيحة",IF(NOT(OR($H3246="",$N3246&gt;0)),"✖ Start غير صحيح",IF(NOT(OR($I3246="",$I3246="NR",$O3246&gt;0)),"✖ Current غير صحيح",IF(NOT(IF(ISNUMBER($J3246),AND($J3246&gt;=0,$J3246=INT($J3246)),FALSE())),"✖ العدد يجب أن يكون صحيحًا ≥ 0",IF(AND($F3246="Baseline",$H3246&lt;&gt;""),"⚠ Baseline: Start لا يدخل في التقدم",IF($K3246="No Start (attainment only)","ℹ تحصيل فقط (بدون Start)",IF($K3246="U – needs rule","ℹ حالة U تحتاج قاعدة معتمدة",IF($K3246="No result","ℹ بدون نتيجة (يُستبعد من التحصيل)","OK")))))))))))</f>
        <v/>
      </c>
      <c r="M3246" s="64" t="n">
        <f aca="false">IF($A3246="",0,IFERROR(MATCH($A3246,Classes!$A$6:$A$420,0),0))</f>
        <v>0</v>
      </c>
      <c r="N3246" s="64" t="n">
        <f aca="false">IF($H3246="",0,IFERROR(MATCH($H3246,GradeList,0),0))</f>
        <v>0</v>
      </c>
      <c r="O3246" s="64" t="n">
        <f aca="false">IF(OR($I3246="",$I3246="NR"),0,IFERROR(MATCH($I3246,GradeList,0),0))</f>
        <v>0</v>
      </c>
      <c r="P3246" s="64" t="n">
        <f aca="false">IF(AND($M3246&gt;0,ISNUMBER(MATCH($F3246,Lists!$A$2:$A$5,0)),ISNUMBER(MATCH($G3246,Lists!$B$2:$B$7,0)),OR($H3246="",$N3246&gt;0),OR($I3246="",$I3246="NR",$O3246&gt;0),IF(ISNUMBER($J3246),AND($J3246&gt;=0,$J3246=INT($J3246)),FALSE())),$J3246,0)</f>
        <v>0</v>
      </c>
      <c r="Q3246" s="64" t="n">
        <f aca="false">IF(AND($P3246&gt;0,$O3246&gt;0),$P3246,0)</f>
        <v>0</v>
      </c>
      <c r="R3246" s="64" t="n">
        <f aca="false">IF(AND($Q3246&gt;0,$O3246&gt;=AtRank),$Q3246,0)</f>
        <v>0</v>
      </c>
      <c r="S3246" s="64" t="n">
        <f aca="false">IF(AND($Q3246&gt;0,$O3246&gt;=AboveRank),$Q3246,0)</f>
        <v>0</v>
      </c>
      <c r="T3246" s="64" t="n">
        <f aca="false">IF($K3246="Less",$P3246,0)</f>
        <v>0</v>
      </c>
      <c r="U3246" s="64" t="n">
        <f aca="false">IF($K3246="Expected",$P3246,0)</f>
        <v>0</v>
      </c>
      <c r="V3246" s="64" t="n">
        <f aca="false">IF($K3246="Better",$P3246,0)</f>
        <v>0</v>
      </c>
      <c r="W3246" s="64" t="n">
        <f aca="false">IF($K3246="U – needs rule",$P3246,0)</f>
        <v>0</v>
      </c>
      <c r="X3246" s="64" t="n">
        <f aca="false">IF($K3246="No Start (attainment only)",$P3246,0)</f>
        <v>0</v>
      </c>
    </row>
    <row r="3247" customFormat="false" ht="15" hidden="false" customHeight="false" outlineLevel="0" collapsed="false">
      <c r="A3247" s="60"/>
      <c r="B3247" s="61" t="str">
        <f aca="false">IF($M3247=0,"",INDEX(Classes!$E$6:$E$420,$M3247))</f>
        <v/>
      </c>
      <c r="C3247" s="62" t="str">
        <f aca="false">IF($M3247=0,"",INDEX(Classes!$H$6:$H$420,$M3247))</f>
        <v/>
      </c>
      <c r="D3247" s="61" t="str">
        <f aca="false">IF($M3247=0,"",INDEX(Classes!$B$6:$B$420,$M3247))</f>
        <v/>
      </c>
      <c r="E3247" s="61" t="str">
        <f aca="false">IF($M3247=0,"",INDEX(Classes!$C$6:$C$420,$M3247))</f>
        <v/>
      </c>
      <c r="F3247" s="63"/>
      <c r="G3247" s="63"/>
      <c r="H3247" s="60"/>
      <c r="I3247" s="60"/>
      <c r="J3247" s="63"/>
      <c r="K3247" s="61" t="str">
        <f aca="false">IF($P3247=0,"",IF($F3247="Baseline","— Baseline",IF($O3247=0,"No result",IF($N3247=0,"No Start (attainment only)",IF(OR($N3247=1,$O3247=1),"U – needs rule",INDEX(MxBody,MATCH($I3247,MxCurr,0),MATCH($H3247,MxStart,0)))))))</f>
        <v/>
      </c>
      <c r="L3247" s="62" t="str">
        <f aca="false">IF(COUNTA($A3247,$F3247,$G3247,$H3247,$I3247,$J3247)=0,"",IF($M3247=0,"✖ كود الصف غير موجود",IF(ISNA(MATCH($F3247,Lists!$A$2:$A$5,0)),"✖ الفترة غير صحيحة",IF(ISNA(MATCH($G3247,Lists!$B$2:$B$7,0)),"✖ المجموعة غير صحيحة",IF(NOT(OR($H3247="",$N3247&gt;0)),"✖ Start غير صحيح",IF(NOT(OR($I3247="",$I3247="NR",$O3247&gt;0)),"✖ Current غير صحيح",IF(NOT(IF(ISNUMBER($J3247),AND($J3247&gt;=0,$J3247=INT($J3247)),FALSE())),"✖ العدد يجب أن يكون صحيحًا ≥ 0",IF(AND($F3247="Baseline",$H3247&lt;&gt;""),"⚠ Baseline: Start لا يدخل في التقدم",IF($K3247="No Start (attainment only)","ℹ تحصيل فقط (بدون Start)",IF($K3247="U – needs rule","ℹ حالة U تحتاج قاعدة معتمدة",IF($K3247="No result","ℹ بدون نتيجة (يُستبعد من التحصيل)","OK")))))))))))</f>
        <v/>
      </c>
      <c r="M3247" s="64" t="n">
        <f aca="false">IF($A3247="",0,IFERROR(MATCH($A3247,Classes!$A$6:$A$420,0),0))</f>
        <v>0</v>
      </c>
      <c r="N3247" s="64" t="n">
        <f aca="false">IF($H3247="",0,IFERROR(MATCH($H3247,GradeList,0),0))</f>
        <v>0</v>
      </c>
      <c r="O3247" s="64" t="n">
        <f aca="false">IF(OR($I3247="",$I3247="NR"),0,IFERROR(MATCH($I3247,GradeList,0),0))</f>
        <v>0</v>
      </c>
      <c r="P3247" s="64" t="n">
        <f aca="false">IF(AND($M3247&gt;0,ISNUMBER(MATCH($F3247,Lists!$A$2:$A$5,0)),ISNUMBER(MATCH($G3247,Lists!$B$2:$B$7,0)),OR($H3247="",$N3247&gt;0),OR($I3247="",$I3247="NR",$O3247&gt;0),IF(ISNUMBER($J3247),AND($J3247&gt;=0,$J3247=INT($J3247)),FALSE())),$J3247,0)</f>
        <v>0</v>
      </c>
      <c r="Q3247" s="64" t="n">
        <f aca="false">IF(AND($P3247&gt;0,$O3247&gt;0),$P3247,0)</f>
        <v>0</v>
      </c>
      <c r="R3247" s="64" t="n">
        <f aca="false">IF(AND($Q3247&gt;0,$O3247&gt;=AtRank),$Q3247,0)</f>
        <v>0</v>
      </c>
      <c r="S3247" s="64" t="n">
        <f aca="false">IF(AND($Q3247&gt;0,$O3247&gt;=AboveRank),$Q3247,0)</f>
        <v>0</v>
      </c>
      <c r="T3247" s="64" t="n">
        <f aca="false">IF($K3247="Less",$P3247,0)</f>
        <v>0</v>
      </c>
      <c r="U3247" s="64" t="n">
        <f aca="false">IF($K3247="Expected",$P3247,0)</f>
        <v>0</v>
      </c>
      <c r="V3247" s="64" t="n">
        <f aca="false">IF($K3247="Better",$P3247,0)</f>
        <v>0</v>
      </c>
      <c r="W3247" s="64" t="n">
        <f aca="false">IF($K3247="U – needs rule",$P3247,0)</f>
        <v>0</v>
      </c>
      <c r="X3247" s="64" t="n">
        <f aca="false">IF($K3247="No Start (attainment only)",$P3247,0)</f>
        <v>0</v>
      </c>
    </row>
    <row r="3248" customFormat="false" ht="15" hidden="false" customHeight="false" outlineLevel="0" collapsed="false">
      <c r="A3248" s="60"/>
      <c r="B3248" s="61" t="str">
        <f aca="false">IF($M3248=0,"",INDEX(Classes!$E$6:$E$420,$M3248))</f>
        <v/>
      </c>
      <c r="C3248" s="62" t="str">
        <f aca="false">IF($M3248=0,"",INDEX(Classes!$H$6:$H$420,$M3248))</f>
        <v/>
      </c>
      <c r="D3248" s="61" t="str">
        <f aca="false">IF($M3248=0,"",INDEX(Classes!$B$6:$B$420,$M3248))</f>
        <v/>
      </c>
      <c r="E3248" s="61" t="str">
        <f aca="false">IF($M3248=0,"",INDEX(Classes!$C$6:$C$420,$M3248))</f>
        <v/>
      </c>
      <c r="F3248" s="63"/>
      <c r="G3248" s="63"/>
      <c r="H3248" s="60"/>
      <c r="I3248" s="60"/>
      <c r="J3248" s="63"/>
      <c r="K3248" s="61" t="str">
        <f aca="false">IF($P3248=0,"",IF($F3248="Baseline","— Baseline",IF($O3248=0,"No result",IF($N3248=0,"No Start (attainment only)",IF(OR($N3248=1,$O3248=1),"U – needs rule",INDEX(MxBody,MATCH($I3248,MxCurr,0),MATCH($H3248,MxStart,0)))))))</f>
        <v/>
      </c>
      <c r="L3248" s="62" t="str">
        <f aca="false">IF(COUNTA($A3248,$F3248,$G3248,$H3248,$I3248,$J3248)=0,"",IF($M3248=0,"✖ كود الصف غير موجود",IF(ISNA(MATCH($F3248,Lists!$A$2:$A$5,0)),"✖ الفترة غير صحيحة",IF(ISNA(MATCH($G3248,Lists!$B$2:$B$7,0)),"✖ المجموعة غير صحيحة",IF(NOT(OR($H3248="",$N3248&gt;0)),"✖ Start غير صحيح",IF(NOT(OR($I3248="",$I3248="NR",$O3248&gt;0)),"✖ Current غير صحيح",IF(NOT(IF(ISNUMBER($J3248),AND($J3248&gt;=0,$J3248=INT($J3248)),FALSE())),"✖ العدد يجب أن يكون صحيحًا ≥ 0",IF(AND($F3248="Baseline",$H3248&lt;&gt;""),"⚠ Baseline: Start لا يدخل في التقدم",IF($K3248="No Start (attainment only)","ℹ تحصيل فقط (بدون Start)",IF($K3248="U – needs rule","ℹ حالة U تحتاج قاعدة معتمدة",IF($K3248="No result","ℹ بدون نتيجة (يُستبعد من التحصيل)","OK")))))))))))</f>
        <v/>
      </c>
      <c r="M3248" s="64" t="n">
        <f aca="false">IF($A3248="",0,IFERROR(MATCH($A3248,Classes!$A$6:$A$420,0),0))</f>
        <v>0</v>
      </c>
      <c r="N3248" s="64" t="n">
        <f aca="false">IF($H3248="",0,IFERROR(MATCH($H3248,GradeList,0),0))</f>
        <v>0</v>
      </c>
      <c r="O3248" s="64" t="n">
        <f aca="false">IF(OR($I3248="",$I3248="NR"),0,IFERROR(MATCH($I3248,GradeList,0),0))</f>
        <v>0</v>
      </c>
      <c r="P3248" s="64" t="n">
        <f aca="false">IF(AND($M3248&gt;0,ISNUMBER(MATCH($F3248,Lists!$A$2:$A$5,0)),ISNUMBER(MATCH($G3248,Lists!$B$2:$B$7,0)),OR($H3248="",$N3248&gt;0),OR($I3248="",$I3248="NR",$O3248&gt;0),IF(ISNUMBER($J3248),AND($J3248&gt;=0,$J3248=INT($J3248)),FALSE())),$J3248,0)</f>
        <v>0</v>
      </c>
      <c r="Q3248" s="64" t="n">
        <f aca="false">IF(AND($P3248&gt;0,$O3248&gt;0),$P3248,0)</f>
        <v>0</v>
      </c>
      <c r="R3248" s="64" t="n">
        <f aca="false">IF(AND($Q3248&gt;0,$O3248&gt;=AtRank),$Q3248,0)</f>
        <v>0</v>
      </c>
      <c r="S3248" s="64" t="n">
        <f aca="false">IF(AND($Q3248&gt;0,$O3248&gt;=AboveRank),$Q3248,0)</f>
        <v>0</v>
      </c>
      <c r="T3248" s="64" t="n">
        <f aca="false">IF($K3248="Less",$P3248,0)</f>
        <v>0</v>
      </c>
      <c r="U3248" s="64" t="n">
        <f aca="false">IF($K3248="Expected",$P3248,0)</f>
        <v>0</v>
      </c>
      <c r="V3248" s="64" t="n">
        <f aca="false">IF($K3248="Better",$P3248,0)</f>
        <v>0</v>
      </c>
      <c r="W3248" s="64" t="n">
        <f aca="false">IF($K3248="U – needs rule",$P3248,0)</f>
        <v>0</v>
      </c>
      <c r="X3248" s="64" t="n">
        <f aca="false">IF($K3248="No Start (attainment only)",$P3248,0)</f>
        <v>0</v>
      </c>
    </row>
    <row r="3249" customFormat="false" ht="15" hidden="false" customHeight="false" outlineLevel="0" collapsed="false">
      <c r="A3249" s="60"/>
      <c r="B3249" s="61" t="str">
        <f aca="false">IF($M3249=0,"",INDEX(Classes!$E$6:$E$420,$M3249))</f>
        <v/>
      </c>
      <c r="C3249" s="62" t="str">
        <f aca="false">IF($M3249=0,"",INDEX(Classes!$H$6:$H$420,$M3249))</f>
        <v/>
      </c>
      <c r="D3249" s="61" t="str">
        <f aca="false">IF($M3249=0,"",INDEX(Classes!$B$6:$B$420,$M3249))</f>
        <v/>
      </c>
      <c r="E3249" s="61" t="str">
        <f aca="false">IF($M3249=0,"",INDEX(Classes!$C$6:$C$420,$M3249))</f>
        <v/>
      </c>
      <c r="F3249" s="63"/>
      <c r="G3249" s="63"/>
      <c r="H3249" s="60"/>
      <c r="I3249" s="60"/>
      <c r="J3249" s="63"/>
      <c r="K3249" s="61" t="str">
        <f aca="false">IF($P3249=0,"",IF($F3249="Baseline","— Baseline",IF($O3249=0,"No result",IF($N3249=0,"No Start (attainment only)",IF(OR($N3249=1,$O3249=1),"U – needs rule",INDEX(MxBody,MATCH($I3249,MxCurr,0),MATCH($H3249,MxStart,0)))))))</f>
        <v/>
      </c>
      <c r="L3249" s="62" t="str">
        <f aca="false">IF(COUNTA($A3249,$F3249,$G3249,$H3249,$I3249,$J3249)=0,"",IF($M3249=0,"✖ كود الصف غير موجود",IF(ISNA(MATCH($F3249,Lists!$A$2:$A$5,0)),"✖ الفترة غير صحيحة",IF(ISNA(MATCH($G3249,Lists!$B$2:$B$7,0)),"✖ المجموعة غير صحيحة",IF(NOT(OR($H3249="",$N3249&gt;0)),"✖ Start غير صحيح",IF(NOT(OR($I3249="",$I3249="NR",$O3249&gt;0)),"✖ Current غير صحيح",IF(NOT(IF(ISNUMBER($J3249),AND($J3249&gt;=0,$J3249=INT($J3249)),FALSE())),"✖ العدد يجب أن يكون صحيحًا ≥ 0",IF(AND($F3249="Baseline",$H3249&lt;&gt;""),"⚠ Baseline: Start لا يدخل في التقدم",IF($K3249="No Start (attainment only)","ℹ تحصيل فقط (بدون Start)",IF($K3249="U – needs rule","ℹ حالة U تحتاج قاعدة معتمدة",IF($K3249="No result","ℹ بدون نتيجة (يُستبعد من التحصيل)","OK")))))))))))</f>
        <v/>
      </c>
      <c r="M3249" s="64" t="n">
        <f aca="false">IF($A3249="",0,IFERROR(MATCH($A3249,Classes!$A$6:$A$420,0),0))</f>
        <v>0</v>
      </c>
      <c r="N3249" s="64" t="n">
        <f aca="false">IF($H3249="",0,IFERROR(MATCH($H3249,GradeList,0),0))</f>
        <v>0</v>
      </c>
      <c r="O3249" s="64" t="n">
        <f aca="false">IF(OR($I3249="",$I3249="NR"),0,IFERROR(MATCH($I3249,GradeList,0),0))</f>
        <v>0</v>
      </c>
      <c r="P3249" s="64" t="n">
        <f aca="false">IF(AND($M3249&gt;0,ISNUMBER(MATCH($F3249,Lists!$A$2:$A$5,0)),ISNUMBER(MATCH($G3249,Lists!$B$2:$B$7,0)),OR($H3249="",$N3249&gt;0),OR($I3249="",$I3249="NR",$O3249&gt;0),IF(ISNUMBER($J3249),AND($J3249&gt;=0,$J3249=INT($J3249)),FALSE())),$J3249,0)</f>
        <v>0</v>
      </c>
      <c r="Q3249" s="64" t="n">
        <f aca="false">IF(AND($P3249&gt;0,$O3249&gt;0),$P3249,0)</f>
        <v>0</v>
      </c>
      <c r="R3249" s="64" t="n">
        <f aca="false">IF(AND($Q3249&gt;0,$O3249&gt;=AtRank),$Q3249,0)</f>
        <v>0</v>
      </c>
      <c r="S3249" s="64" t="n">
        <f aca="false">IF(AND($Q3249&gt;0,$O3249&gt;=AboveRank),$Q3249,0)</f>
        <v>0</v>
      </c>
      <c r="T3249" s="64" t="n">
        <f aca="false">IF($K3249="Less",$P3249,0)</f>
        <v>0</v>
      </c>
      <c r="U3249" s="64" t="n">
        <f aca="false">IF($K3249="Expected",$P3249,0)</f>
        <v>0</v>
      </c>
      <c r="V3249" s="64" t="n">
        <f aca="false">IF($K3249="Better",$P3249,0)</f>
        <v>0</v>
      </c>
      <c r="W3249" s="64" t="n">
        <f aca="false">IF($K3249="U – needs rule",$P3249,0)</f>
        <v>0</v>
      </c>
      <c r="X3249" s="64" t="n">
        <f aca="false">IF($K3249="No Start (attainment only)",$P3249,0)</f>
        <v>0</v>
      </c>
    </row>
    <row r="3250" customFormat="false" ht="15" hidden="false" customHeight="false" outlineLevel="0" collapsed="false">
      <c r="A3250" s="60"/>
      <c r="B3250" s="61" t="str">
        <f aca="false">IF($M3250=0,"",INDEX(Classes!$E$6:$E$420,$M3250))</f>
        <v/>
      </c>
      <c r="C3250" s="62" t="str">
        <f aca="false">IF($M3250=0,"",INDEX(Classes!$H$6:$H$420,$M3250))</f>
        <v/>
      </c>
      <c r="D3250" s="61" t="str">
        <f aca="false">IF($M3250=0,"",INDEX(Classes!$B$6:$B$420,$M3250))</f>
        <v/>
      </c>
      <c r="E3250" s="61" t="str">
        <f aca="false">IF($M3250=0,"",INDEX(Classes!$C$6:$C$420,$M3250))</f>
        <v/>
      </c>
      <c r="F3250" s="63"/>
      <c r="G3250" s="63"/>
      <c r="H3250" s="60"/>
      <c r="I3250" s="60"/>
      <c r="J3250" s="63"/>
      <c r="K3250" s="61" t="str">
        <f aca="false">IF($P3250=0,"",IF($F3250="Baseline","— Baseline",IF($O3250=0,"No result",IF($N3250=0,"No Start (attainment only)",IF(OR($N3250=1,$O3250=1),"U – needs rule",INDEX(MxBody,MATCH($I3250,MxCurr,0),MATCH($H3250,MxStart,0)))))))</f>
        <v/>
      </c>
      <c r="L3250" s="62" t="str">
        <f aca="false">IF(COUNTA($A3250,$F3250,$G3250,$H3250,$I3250,$J3250)=0,"",IF($M3250=0,"✖ كود الصف غير موجود",IF(ISNA(MATCH($F3250,Lists!$A$2:$A$5,0)),"✖ الفترة غير صحيحة",IF(ISNA(MATCH($G3250,Lists!$B$2:$B$7,0)),"✖ المجموعة غير صحيحة",IF(NOT(OR($H3250="",$N3250&gt;0)),"✖ Start غير صحيح",IF(NOT(OR($I3250="",$I3250="NR",$O3250&gt;0)),"✖ Current غير صحيح",IF(NOT(IF(ISNUMBER($J3250),AND($J3250&gt;=0,$J3250=INT($J3250)),FALSE())),"✖ العدد يجب أن يكون صحيحًا ≥ 0",IF(AND($F3250="Baseline",$H3250&lt;&gt;""),"⚠ Baseline: Start لا يدخل في التقدم",IF($K3250="No Start (attainment only)","ℹ تحصيل فقط (بدون Start)",IF($K3250="U – needs rule","ℹ حالة U تحتاج قاعدة معتمدة",IF($K3250="No result","ℹ بدون نتيجة (يُستبعد من التحصيل)","OK")))))))))))</f>
        <v/>
      </c>
      <c r="M3250" s="64" t="n">
        <f aca="false">IF($A3250="",0,IFERROR(MATCH($A3250,Classes!$A$6:$A$420,0),0))</f>
        <v>0</v>
      </c>
      <c r="N3250" s="64" t="n">
        <f aca="false">IF($H3250="",0,IFERROR(MATCH($H3250,GradeList,0),0))</f>
        <v>0</v>
      </c>
      <c r="O3250" s="64" t="n">
        <f aca="false">IF(OR($I3250="",$I3250="NR"),0,IFERROR(MATCH($I3250,GradeList,0),0))</f>
        <v>0</v>
      </c>
      <c r="P3250" s="64" t="n">
        <f aca="false">IF(AND($M3250&gt;0,ISNUMBER(MATCH($F3250,Lists!$A$2:$A$5,0)),ISNUMBER(MATCH($G3250,Lists!$B$2:$B$7,0)),OR($H3250="",$N3250&gt;0),OR($I3250="",$I3250="NR",$O3250&gt;0),IF(ISNUMBER($J3250),AND($J3250&gt;=0,$J3250=INT($J3250)),FALSE())),$J3250,0)</f>
        <v>0</v>
      </c>
      <c r="Q3250" s="64" t="n">
        <f aca="false">IF(AND($P3250&gt;0,$O3250&gt;0),$P3250,0)</f>
        <v>0</v>
      </c>
      <c r="R3250" s="64" t="n">
        <f aca="false">IF(AND($Q3250&gt;0,$O3250&gt;=AtRank),$Q3250,0)</f>
        <v>0</v>
      </c>
      <c r="S3250" s="64" t="n">
        <f aca="false">IF(AND($Q3250&gt;0,$O3250&gt;=AboveRank),$Q3250,0)</f>
        <v>0</v>
      </c>
      <c r="T3250" s="64" t="n">
        <f aca="false">IF($K3250="Less",$P3250,0)</f>
        <v>0</v>
      </c>
      <c r="U3250" s="64" t="n">
        <f aca="false">IF($K3250="Expected",$P3250,0)</f>
        <v>0</v>
      </c>
      <c r="V3250" s="64" t="n">
        <f aca="false">IF($K3250="Better",$P3250,0)</f>
        <v>0</v>
      </c>
      <c r="W3250" s="64" t="n">
        <f aca="false">IF($K3250="U – needs rule",$P3250,0)</f>
        <v>0</v>
      </c>
      <c r="X3250" s="64" t="n">
        <f aca="false">IF($K3250="No Start (attainment only)",$P3250,0)</f>
        <v>0</v>
      </c>
    </row>
    <row r="3251" customFormat="false" ht="15" hidden="false" customHeight="false" outlineLevel="0" collapsed="false">
      <c r="A3251" s="60"/>
      <c r="B3251" s="61" t="str">
        <f aca="false">IF($M3251=0,"",INDEX(Classes!$E$6:$E$420,$M3251))</f>
        <v/>
      </c>
      <c r="C3251" s="62" t="str">
        <f aca="false">IF($M3251=0,"",INDEX(Classes!$H$6:$H$420,$M3251))</f>
        <v/>
      </c>
      <c r="D3251" s="61" t="str">
        <f aca="false">IF($M3251=0,"",INDEX(Classes!$B$6:$B$420,$M3251))</f>
        <v/>
      </c>
      <c r="E3251" s="61" t="str">
        <f aca="false">IF($M3251=0,"",INDEX(Classes!$C$6:$C$420,$M3251))</f>
        <v/>
      </c>
      <c r="F3251" s="63"/>
      <c r="G3251" s="63"/>
      <c r="H3251" s="60"/>
      <c r="I3251" s="60"/>
      <c r="J3251" s="63"/>
      <c r="K3251" s="61" t="str">
        <f aca="false">IF($P3251=0,"",IF($F3251="Baseline","— Baseline",IF($O3251=0,"No result",IF($N3251=0,"No Start (attainment only)",IF(OR($N3251=1,$O3251=1),"U – needs rule",INDEX(MxBody,MATCH($I3251,MxCurr,0),MATCH($H3251,MxStart,0)))))))</f>
        <v/>
      </c>
      <c r="L3251" s="62" t="str">
        <f aca="false">IF(COUNTA($A3251,$F3251,$G3251,$H3251,$I3251,$J3251)=0,"",IF($M3251=0,"✖ كود الصف غير موجود",IF(ISNA(MATCH($F3251,Lists!$A$2:$A$5,0)),"✖ الفترة غير صحيحة",IF(ISNA(MATCH($G3251,Lists!$B$2:$B$7,0)),"✖ المجموعة غير صحيحة",IF(NOT(OR($H3251="",$N3251&gt;0)),"✖ Start غير صحيح",IF(NOT(OR($I3251="",$I3251="NR",$O3251&gt;0)),"✖ Current غير صحيح",IF(NOT(IF(ISNUMBER($J3251),AND($J3251&gt;=0,$J3251=INT($J3251)),FALSE())),"✖ العدد يجب أن يكون صحيحًا ≥ 0",IF(AND($F3251="Baseline",$H3251&lt;&gt;""),"⚠ Baseline: Start لا يدخل في التقدم",IF($K3251="No Start (attainment only)","ℹ تحصيل فقط (بدون Start)",IF($K3251="U – needs rule","ℹ حالة U تحتاج قاعدة معتمدة",IF($K3251="No result","ℹ بدون نتيجة (يُستبعد من التحصيل)","OK")))))))))))</f>
        <v/>
      </c>
      <c r="M3251" s="64" t="n">
        <f aca="false">IF($A3251="",0,IFERROR(MATCH($A3251,Classes!$A$6:$A$420,0),0))</f>
        <v>0</v>
      </c>
      <c r="N3251" s="64" t="n">
        <f aca="false">IF($H3251="",0,IFERROR(MATCH($H3251,GradeList,0),0))</f>
        <v>0</v>
      </c>
      <c r="O3251" s="64" t="n">
        <f aca="false">IF(OR($I3251="",$I3251="NR"),0,IFERROR(MATCH($I3251,GradeList,0),0))</f>
        <v>0</v>
      </c>
      <c r="P3251" s="64" t="n">
        <f aca="false">IF(AND($M3251&gt;0,ISNUMBER(MATCH($F3251,Lists!$A$2:$A$5,0)),ISNUMBER(MATCH($G3251,Lists!$B$2:$B$7,0)),OR($H3251="",$N3251&gt;0),OR($I3251="",$I3251="NR",$O3251&gt;0),IF(ISNUMBER($J3251),AND($J3251&gt;=0,$J3251=INT($J3251)),FALSE())),$J3251,0)</f>
        <v>0</v>
      </c>
      <c r="Q3251" s="64" t="n">
        <f aca="false">IF(AND($P3251&gt;0,$O3251&gt;0),$P3251,0)</f>
        <v>0</v>
      </c>
      <c r="R3251" s="64" t="n">
        <f aca="false">IF(AND($Q3251&gt;0,$O3251&gt;=AtRank),$Q3251,0)</f>
        <v>0</v>
      </c>
      <c r="S3251" s="64" t="n">
        <f aca="false">IF(AND($Q3251&gt;0,$O3251&gt;=AboveRank),$Q3251,0)</f>
        <v>0</v>
      </c>
      <c r="T3251" s="64" t="n">
        <f aca="false">IF($K3251="Less",$P3251,0)</f>
        <v>0</v>
      </c>
      <c r="U3251" s="64" t="n">
        <f aca="false">IF($K3251="Expected",$P3251,0)</f>
        <v>0</v>
      </c>
      <c r="V3251" s="64" t="n">
        <f aca="false">IF($K3251="Better",$P3251,0)</f>
        <v>0</v>
      </c>
      <c r="W3251" s="64" t="n">
        <f aca="false">IF($K3251="U – needs rule",$P3251,0)</f>
        <v>0</v>
      </c>
      <c r="X3251" s="64" t="n">
        <f aca="false">IF($K3251="No Start (attainment only)",$P3251,0)</f>
        <v>0</v>
      </c>
    </row>
    <row r="3252" customFormat="false" ht="15" hidden="false" customHeight="false" outlineLevel="0" collapsed="false">
      <c r="A3252" s="60"/>
      <c r="B3252" s="61" t="str">
        <f aca="false">IF($M3252=0,"",INDEX(Classes!$E$6:$E$420,$M3252))</f>
        <v/>
      </c>
      <c r="C3252" s="62" t="str">
        <f aca="false">IF($M3252=0,"",INDEX(Classes!$H$6:$H$420,$M3252))</f>
        <v/>
      </c>
      <c r="D3252" s="61" t="str">
        <f aca="false">IF($M3252=0,"",INDEX(Classes!$B$6:$B$420,$M3252))</f>
        <v/>
      </c>
      <c r="E3252" s="61" t="str">
        <f aca="false">IF($M3252=0,"",INDEX(Classes!$C$6:$C$420,$M3252))</f>
        <v/>
      </c>
      <c r="F3252" s="63"/>
      <c r="G3252" s="63"/>
      <c r="H3252" s="60"/>
      <c r="I3252" s="60"/>
      <c r="J3252" s="63"/>
      <c r="K3252" s="61" t="str">
        <f aca="false">IF($P3252=0,"",IF($F3252="Baseline","— Baseline",IF($O3252=0,"No result",IF($N3252=0,"No Start (attainment only)",IF(OR($N3252=1,$O3252=1),"U – needs rule",INDEX(MxBody,MATCH($I3252,MxCurr,0),MATCH($H3252,MxStart,0)))))))</f>
        <v/>
      </c>
      <c r="L3252" s="62" t="str">
        <f aca="false">IF(COUNTA($A3252,$F3252,$G3252,$H3252,$I3252,$J3252)=0,"",IF($M3252=0,"✖ كود الصف غير موجود",IF(ISNA(MATCH($F3252,Lists!$A$2:$A$5,0)),"✖ الفترة غير صحيحة",IF(ISNA(MATCH($G3252,Lists!$B$2:$B$7,0)),"✖ المجموعة غير صحيحة",IF(NOT(OR($H3252="",$N3252&gt;0)),"✖ Start غير صحيح",IF(NOT(OR($I3252="",$I3252="NR",$O3252&gt;0)),"✖ Current غير صحيح",IF(NOT(IF(ISNUMBER($J3252),AND($J3252&gt;=0,$J3252=INT($J3252)),FALSE())),"✖ العدد يجب أن يكون صحيحًا ≥ 0",IF(AND($F3252="Baseline",$H3252&lt;&gt;""),"⚠ Baseline: Start لا يدخل في التقدم",IF($K3252="No Start (attainment only)","ℹ تحصيل فقط (بدون Start)",IF($K3252="U – needs rule","ℹ حالة U تحتاج قاعدة معتمدة",IF($K3252="No result","ℹ بدون نتيجة (يُستبعد من التحصيل)","OK")))))))))))</f>
        <v/>
      </c>
      <c r="M3252" s="64" t="n">
        <f aca="false">IF($A3252="",0,IFERROR(MATCH($A3252,Classes!$A$6:$A$420,0),0))</f>
        <v>0</v>
      </c>
      <c r="N3252" s="64" t="n">
        <f aca="false">IF($H3252="",0,IFERROR(MATCH($H3252,GradeList,0),0))</f>
        <v>0</v>
      </c>
      <c r="O3252" s="64" t="n">
        <f aca="false">IF(OR($I3252="",$I3252="NR"),0,IFERROR(MATCH($I3252,GradeList,0),0))</f>
        <v>0</v>
      </c>
      <c r="P3252" s="64" t="n">
        <f aca="false">IF(AND($M3252&gt;0,ISNUMBER(MATCH($F3252,Lists!$A$2:$A$5,0)),ISNUMBER(MATCH($G3252,Lists!$B$2:$B$7,0)),OR($H3252="",$N3252&gt;0),OR($I3252="",$I3252="NR",$O3252&gt;0),IF(ISNUMBER($J3252),AND($J3252&gt;=0,$J3252=INT($J3252)),FALSE())),$J3252,0)</f>
        <v>0</v>
      </c>
      <c r="Q3252" s="64" t="n">
        <f aca="false">IF(AND($P3252&gt;0,$O3252&gt;0),$P3252,0)</f>
        <v>0</v>
      </c>
      <c r="R3252" s="64" t="n">
        <f aca="false">IF(AND($Q3252&gt;0,$O3252&gt;=AtRank),$Q3252,0)</f>
        <v>0</v>
      </c>
      <c r="S3252" s="64" t="n">
        <f aca="false">IF(AND($Q3252&gt;0,$O3252&gt;=AboveRank),$Q3252,0)</f>
        <v>0</v>
      </c>
      <c r="T3252" s="64" t="n">
        <f aca="false">IF($K3252="Less",$P3252,0)</f>
        <v>0</v>
      </c>
      <c r="U3252" s="64" t="n">
        <f aca="false">IF($K3252="Expected",$P3252,0)</f>
        <v>0</v>
      </c>
      <c r="V3252" s="64" t="n">
        <f aca="false">IF($K3252="Better",$P3252,0)</f>
        <v>0</v>
      </c>
      <c r="W3252" s="64" t="n">
        <f aca="false">IF($K3252="U – needs rule",$P3252,0)</f>
        <v>0</v>
      </c>
      <c r="X3252" s="64" t="n">
        <f aca="false">IF($K3252="No Start (attainment only)",$P3252,0)</f>
        <v>0</v>
      </c>
    </row>
    <row r="3253" customFormat="false" ht="15" hidden="false" customHeight="false" outlineLevel="0" collapsed="false">
      <c r="A3253" s="60"/>
      <c r="B3253" s="61" t="str">
        <f aca="false">IF($M3253=0,"",INDEX(Classes!$E$6:$E$420,$M3253))</f>
        <v/>
      </c>
      <c r="C3253" s="62" t="str">
        <f aca="false">IF($M3253=0,"",INDEX(Classes!$H$6:$H$420,$M3253))</f>
        <v/>
      </c>
      <c r="D3253" s="61" t="str">
        <f aca="false">IF($M3253=0,"",INDEX(Classes!$B$6:$B$420,$M3253))</f>
        <v/>
      </c>
      <c r="E3253" s="61" t="str">
        <f aca="false">IF($M3253=0,"",INDEX(Classes!$C$6:$C$420,$M3253))</f>
        <v/>
      </c>
      <c r="F3253" s="63"/>
      <c r="G3253" s="63"/>
      <c r="H3253" s="60"/>
      <c r="I3253" s="60"/>
      <c r="J3253" s="63"/>
      <c r="K3253" s="61" t="str">
        <f aca="false">IF($P3253=0,"",IF($F3253="Baseline","— Baseline",IF($O3253=0,"No result",IF($N3253=0,"No Start (attainment only)",IF(OR($N3253=1,$O3253=1),"U – needs rule",INDEX(MxBody,MATCH($I3253,MxCurr,0),MATCH($H3253,MxStart,0)))))))</f>
        <v/>
      </c>
      <c r="L3253" s="62" t="str">
        <f aca="false">IF(COUNTA($A3253,$F3253,$G3253,$H3253,$I3253,$J3253)=0,"",IF($M3253=0,"✖ كود الصف غير موجود",IF(ISNA(MATCH($F3253,Lists!$A$2:$A$5,0)),"✖ الفترة غير صحيحة",IF(ISNA(MATCH($G3253,Lists!$B$2:$B$7,0)),"✖ المجموعة غير صحيحة",IF(NOT(OR($H3253="",$N3253&gt;0)),"✖ Start غير صحيح",IF(NOT(OR($I3253="",$I3253="NR",$O3253&gt;0)),"✖ Current غير صحيح",IF(NOT(IF(ISNUMBER($J3253),AND($J3253&gt;=0,$J3253=INT($J3253)),FALSE())),"✖ العدد يجب أن يكون صحيحًا ≥ 0",IF(AND($F3253="Baseline",$H3253&lt;&gt;""),"⚠ Baseline: Start لا يدخل في التقدم",IF($K3253="No Start (attainment only)","ℹ تحصيل فقط (بدون Start)",IF($K3253="U – needs rule","ℹ حالة U تحتاج قاعدة معتمدة",IF($K3253="No result","ℹ بدون نتيجة (يُستبعد من التحصيل)","OK")))))))))))</f>
        <v/>
      </c>
      <c r="M3253" s="64" t="n">
        <f aca="false">IF($A3253="",0,IFERROR(MATCH($A3253,Classes!$A$6:$A$420,0),0))</f>
        <v>0</v>
      </c>
      <c r="N3253" s="64" t="n">
        <f aca="false">IF($H3253="",0,IFERROR(MATCH($H3253,GradeList,0),0))</f>
        <v>0</v>
      </c>
      <c r="O3253" s="64" t="n">
        <f aca="false">IF(OR($I3253="",$I3253="NR"),0,IFERROR(MATCH($I3253,GradeList,0),0))</f>
        <v>0</v>
      </c>
      <c r="P3253" s="64" t="n">
        <f aca="false">IF(AND($M3253&gt;0,ISNUMBER(MATCH($F3253,Lists!$A$2:$A$5,0)),ISNUMBER(MATCH($G3253,Lists!$B$2:$B$7,0)),OR($H3253="",$N3253&gt;0),OR($I3253="",$I3253="NR",$O3253&gt;0),IF(ISNUMBER($J3253),AND($J3253&gt;=0,$J3253=INT($J3253)),FALSE())),$J3253,0)</f>
        <v>0</v>
      </c>
      <c r="Q3253" s="64" t="n">
        <f aca="false">IF(AND($P3253&gt;0,$O3253&gt;0),$P3253,0)</f>
        <v>0</v>
      </c>
      <c r="R3253" s="64" t="n">
        <f aca="false">IF(AND($Q3253&gt;0,$O3253&gt;=AtRank),$Q3253,0)</f>
        <v>0</v>
      </c>
      <c r="S3253" s="64" t="n">
        <f aca="false">IF(AND($Q3253&gt;0,$O3253&gt;=AboveRank),$Q3253,0)</f>
        <v>0</v>
      </c>
      <c r="T3253" s="64" t="n">
        <f aca="false">IF($K3253="Less",$P3253,0)</f>
        <v>0</v>
      </c>
      <c r="U3253" s="64" t="n">
        <f aca="false">IF($K3253="Expected",$P3253,0)</f>
        <v>0</v>
      </c>
      <c r="V3253" s="64" t="n">
        <f aca="false">IF($K3253="Better",$P3253,0)</f>
        <v>0</v>
      </c>
      <c r="W3253" s="64" t="n">
        <f aca="false">IF($K3253="U – needs rule",$P3253,0)</f>
        <v>0</v>
      </c>
      <c r="X3253" s="64" t="n">
        <f aca="false">IF($K3253="No Start (attainment only)",$P3253,0)</f>
        <v>0</v>
      </c>
    </row>
    <row r="3254" customFormat="false" ht="15" hidden="false" customHeight="false" outlineLevel="0" collapsed="false">
      <c r="A3254" s="60"/>
      <c r="B3254" s="61" t="str">
        <f aca="false">IF($M3254=0,"",INDEX(Classes!$E$6:$E$420,$M3254))</f>
        <v/>
      </c>
      <c r="C3254" s="62" t="str">
        <f aca="false">IF($M3254=0,"",INDEX(Classes!$H$6:$H$420,$M3254))</f>
        <v/>
      </c>
      <c r="D3254" s="61" t="str">
        <f aca="false">IF($M3254=0,"",INDEX(Classes!$B$6:$B$420,$M3254))</f>
        <v/>
      </c>
      <c r="E3254" s="61" t="str">
        <f aca="false">IF($M3254=0,"",INDEX(Classes!$C$6:$C$420,$M3254))</f>
        <v/>
      </c>
      <c r="F3254" s="63"/>
      <c r="G3254" s="63"/>
      <c r="H3254" s="60"/>
      <c r="I3254" s="60"/>
      <c r="J3254" s="63"/>
      <c r="K3254" s="61" t="str">
        <f aca="false">IF($P3254=0,"",IF($F3254="Baseline","— Baseline",IF($O3254=0,"No result",IF($N3254=0,"No Start (attainment only)",IF(OR($N3254=1,$O3254=1),"U – needs rule",INDEX(MxBody,MATCH($I3254,MxCurr,0),MATCH($H3254,MxStart,0)))))))</f>
        <v/>
      </c>
      <c r="L3254" s="62" t="str">
        <f aca="false">IF(COUNTA($A3254,$F3254,$G3254,$H3254,$I3254,$J3254)=0,"",IF($M3254=0,"✖ كود الصف غير موجود",IF(ISNA(MATCH($F3254,Lists!$A$2:$A$5,0)),"✖ الفترة غير صحيحة",IF(ISNA(MATCH($G3254,Lists!$B$2:$B$7,0)),"✖ المجموعة غير صحيحة",IF(NOT(OR($H3254="",$N3254&gt;0)),"✖ Start غير صحيح",IF(NOT(OR($I3254="",$I3254="NR",$O3254&gt;0)),"✖ Current غير صحيح",IF(NOT(IF(ISNUMBER($J3254),AND($J3254&gt;=0,$J3254=INT($J3254)),FALSE())),"✖ العدد يجب أن يكون صحيحًا ≥ 0",IF(AND($F3254="Baseline",$H3254&lt;&gt;""),"⚠ Baseline: Start لا يدخل في التقدم",IF($K3254="No Start (attainment only)","ℹ تحصيل فقط (بدون Start)",IF($K3254="U – needs rule","ℹ حالة U تحتاج قاعدة معتمدة",IF($K3254="No result","ℹ بدون نتيجة (يُستبعد من التحصيل)","OK")))))))))))</f>
        <v/>
      </c>
      <c r="M3254" s="64" t="n">
        <f aca="false">IF($A3254="",0,IFERROR(MATCH($A3254,Classes!$A$6:$A$420,0),0))</f>
        <v>0</v>
      </c>
      <c r="N3254" s="64" t="n">
        <f aca="false">IF($H3254="",0,IFERROR(MATCH($H3254,GradeList,0),0))</f>
        <v>0</v>
      </c>
      <c r="O3254" s="64" t="n">
        <f aca="false">IF(OR($I3254="",$I3254="NR"),0,IFERROR(MATCH($I3254,GradeList,0),0))</f>
        <v>0</v>
      </c>
      <c r="P3254" s="64" t="n">
        <f aca="false">IF(AND($M3254&gt;0,ISNUMBER(MATCH($F3254,Lists!$A$2:$A$5,0)),ISNUMBER(MATCH($G3254,Lists!$B$2:$B$7,0)),OR($H3254="",$N3254&gt;0),OR($I3254="",$I3254="NR",$O3254&gt;0),IF(ISNUMBER($J3254),AND($J3254&gt;=0,$J3254=INT($J3254)),FALSE())),$J3254,0)</f>
        <v>0</v>
      </c>
      <c r="Q3254" s="64" t="n">
        <f aca="false">IF(AND($P3254&gt;0,$O3254&gt;0),$P3254,0)</f>
        <v>0</v>
      </c>
      <c r="R3254" s="64" t="n">
        <f aca="false">IF(AND($Q3254&gt;0,$O3254&gt;=AtRank),$Q3254,0)</f>
        <v>0</v>
      </c>
      <c r="S3254" s="64" t="n">
        <f aca="false">IF(AND($Q3254&gt;0,$O3254&gt;=AboveRank),$Q3254,0)</f>
        <v>0</v>
      </c>
      <c r="T3254" s="64" t="n">
        <f aca="false">IF($K3254="Less",$P3254,0)</f>
        <v>0</v>
      </c>
      <c r="U3254" s="64" t="n">
        <f aca="false">IF($K3254="Expected",$P3254,0)</f>
        <v>0</v>
      </c>
      <c r="V3254" s="64" t="n">
        <f aca="false">IF($K3254="Better",$P3254,0)</f>
        <v>0</v>
      </c>
      <c r="W3254" s="64" t="n">
        <f aca="false">IF($K3254="U – needs rule",$P3254,0)</f>
        <v>0</v>
      </c>
      <c r="X3254" s="64" t="n">
        <f aca="false">IF($K3254="No Start (attainment only)",$P3254,0)</f>
        <v>0</v>
      </c>
    </row>
    <row r="3255" customFormat="false" ht="15" hidden="false" customHeight="false" outlineLevel="0" collapsed="false">
      <c r="A3255" s="60"/>
      <c r="B3255" s="61" t="str">
        <f aca="false">IF($M3255=0,"",INDEX(Classes!$E$6:$E$420,$M3255))</f>
        <v/>
      </c>
      <c r="C3255" s="62" t="str">
        <f aca="false">IF($M3255=0,"",INDEX(Classes!$H$6:$H$420,$M3255))</f>
        <v/>
      </c>
      <c r="D3255" s="61" t="str">
        <f aca="false">IF($M3255=0,"",INDEX(Classes!$B$6:$B$420,$M3255))</f>
        <v/>
      </c>
      <c r="E3255" s="61" t="str">
        <f aca="false">IF($M3255=0,"",INDEX(Classes!$C$6:$C$420,$M3255))</f>
        <v/>
      </c>
      <c r="F3255" s="63"/>
      <c r="G3255" s="63"/>
      <c r="H3255" s="60"/>
      <c r="I3255" s="60"/>
      <c r="J3255" s="63"/>
      <c r="K3255" s="61" t="str">
        <f aca="false">IF($P3255=0,"",IF($F3255="Baseline","— Baseline",IF($O3255=0,"No result",IF($N3255=0,"No Start (attainment only)",IF(OR($N3255=1,$O3255=1),"U – needs rule",INDEX(MxBody,MATCH($I3255,MxCurr,0),MATCH($H3255,MxStart,0)))))))</f>
        <v/>
      </c>
      <c r="L3255" s="62" t="str">
        <f aca="false">IF(COUNTA($A3255,$F3255,$G3255,$H3255,$I3255,$J3255)=0,"",IF($M3255=0,"✖ كود الصف غير موجود",IF(ISNA(MATCH($F3255,Lists!$A$2:$A$5,0)),"✖ الفترة غير صحيحة",IF(ISNA(MATCH($G3255,Lists!$B$2:$B$7,0)),"✖ المجموعة غير صحيحة",IF(NOT(OR($H3255="",$N3255&gt;0)),"✖ Start غير صحيح",IF(NOT(OR($I3255="",$I3255="NR",$O3255&gt;0)),"✖ Current غير صحيح",IF(NOT(IF(ISNUMBER($J3255),AND($J3255&gt;=0,$J3255=INT($J3255)),FALSE())),"✖ العدد يجب أن يكون صحيحًا ≥ 0",IF(AND($F3255="Baseline",$H3255&lt;&gt;""),"⚠ Baseline: Start لا يدخل في التقدم",IF($K3255="No Start (attainment only)","ℹ تحصيل فقط (بدون Start)",IF($K3255="U – needs rule","ℹ حالة U تحتاج قاعدة معتمدة",IF($K3255="No result","ℹ بدون نتيجة (يُستبعد من التحصيل)","OK")))))))))))</f>
        <v/>
      </c>
      <c r="M3255" s="64" t="n">
        <f aca="false">IF($A3255="",0,IFERROR(MATCH($A3255,Classes!$A$6:$A$420,0),0))</f>
        <v>0</v>
      </c>
      <c r="N3255" s="64" t="n">
        <f aca="false">IF($H3255="",0,IFERROR(MATCH($H3255,GradeList,0),0))</f>
        <v>0</v>
      </c>
      <c r="O3255" s="64" t="n">
        <f aca="false">IF(OR($I3255="",$I3255="NR"),0,IFERROR(MATCH($I3255,GradeList,0),0))</f>
        <v>0</v>
      </c>
      <c r="P3255" s="64" t="n">
        <f aca="false">IF(AND($M3255&gt;0,ISNUMBER(MATCH($F3255,Lists!$A$2:$A$5,0)),ISNUMBER(MATCH($G3255,Lists!$B$2:$B$7,0)),OR($H3255="",$N3255&gt;0),OR($I3255="",$I3255="NR",$O3255&gt;0),IF(ISNUMBER($J3255),AND($J3255&gt;=0,$J3255=INT($J3255)),FALSE())),$J3255,0)</f>
        <v>0</v>
      </c>
      <c r="Q3255" s="64" t="n">
        <f aca="false">IF(AND($P3255&gt;0,$O3255&gt;0),$P3255,0)</f>
        <v>0</v>
      </c>
      <c r="R3255" s="64" t="n">
        <f aca="false">IF(AND($Q3255&gt;0,$O3255&gt;=AtRank),$Q3255,0)</f>
        <v>0</v>
      </c>
      <c r="S3255" s="64" t="n">
        <f aca="false">IF(AND($Q3255&gt;0,$O3255&gt;=AboveRank),$Q3255,0)</f>
        <v>0</v>
      </c>
      <c r="T3255" s="64" t="n">
        <f aca="false">IF($K3255="Less",$P3255,0)</f>
        <v>0</v>
      </c>
      <c r="U3255" s="64" t="n">
        <f aca="false">IF($K3255="Expected",$P3255,0)</f>
        <v>0</v>
      </c>
      <c r="V3255" s="64" t="n">
        <f aca="false">IF($K3255="Better",$P3255,0)</f>
        <v>0</v>
      </c>
      <c r="W3255" s="64" t="n">
        <f aca="false">IF($K3255="U – needs rule",$P3255,0)</f>
        <v>0</v>
      </c>
      <c r="X3255" s="64" t="n">
        <f aca="false">IF($K3255="No Start (attainment only)",$P3255,0)</f>
        <v>0</v>
      </c>
    </row>
    <row r="3256" customFormat="false" ht="15" hidden="false" customHeight="false" outlineLevel="0" collapsed="false">
      <c r="A3256" s="60"/>
      <c r="B3256" s="61" t="str">
        <f aca="false">IF($M3256=0,"",INDEX(Classes!$E$6:$E$420,$M3256))</f>
        <v/>
      </c>
      <c r="C3256" s="62" t="str">
        <f aca="false">IF($M3256=0,"",INDEX(Classes!$H$6:$H$420,$M3256))</f>
        <v/>
      </c>
      <c r="D3256" s="61" t="str">
        <f aca="false">IF($M3256=0,"",INDEX(Classes!$B$6:$B$420,$M3256))</f>
        <v/>
      </c>
      <c r="E3256" s="61" t="str">
        <f aca="false">IF($M3256=0,"",INDEX(Classes!$C$6:$C$420,$M3256))</f>
        <v/>
      </c>
      <c r="F3256" s="63"/>
      <c r="G3256" s="63"/>
      <c r="H3256" s="60"/>
      <c r="I3256" s="60"/>
      <c r="J3256" s="63"/>
      <c r="K3256" s="61" t="str">
        <f aca="false">IF($P3256=0,"",IF($F3256="Baseline","— Baseline",IF($O3256=0,"No result",IF($N3256=0,"No Start (attainment only)",IF(OR($N3256=1,$O3256=1),"U – needs rule",INDEX(MxBody,MATCH($I3256,MxCurr,0),MATCH($H3256,MxStart,0)))))))</f>
        <v/>
      </c>
      <c r="L3256" s="62" t="str">
        <f aca="false">IF(COUNTA($A3256,$F3256,$G3256,$H3256,$I3256,$J3256)=0,"",IF($M3256=0,"✖ كود الصف غير موجود",IF(ISNA(MATCH($F3256,Lists!$A$2:$A$5,0)),"✖ الفترة غير صحيحة",IF(ISNA(MATCH($G3256,Lists!$B$2:$B$7,0)),"✖ المجموعة غير صحيحة",IF(NOT(OR($H3256="",$N3256&gt;0)),"✖ Start غير صحيح",IF(NOT(OR($I3256="",$I3256="NR",$O3256&gt;0)),"✖ Current غير صحيح",IF(NOT(IF(ISNUMBER($J3256),AND($J3256&gt;=0,$J3256=INT($J3256)),FALSE())),"✖ العدد يجب أن يكون صحيحًا ≥ 0",IF(AND($F3256="Baseline",$H3256&lt;&gt;""),"⚠ Baseline: Start لا يدخل في التقدم",IF($K3256="No Start (attainment only)","ℹ تحصيل فقط (بدون Start)",IF($K3256="U – needs rule","ℹ حالة U تحتاج قاعدة معتمدة",IF($K3256="No result","ℹ بدون نتيجة (يُستبعد من التحصيل)","OK")))))))))))</f>
        <v/>
      </c>
      <c r="M3256" s="64" t="n">
        <f aca="false">IF($A3256="",0,IFERROR(MATCH($A3256,Classes!$A$6:$A$420,0),0))</f>
        <v>0</v>
      </c>
      <c r="N3256" s="64" t="n">
        <f aca="false">IF($H3256="",0,IFERROR(MATCH($H3256,GradeList,0),0))</f>
        <v>0</v>
      </c>
      <c r="O3256" s="64" t="n">
        <f aca="false">IF(OR($I3256="",$I3256="NR"),0,IFERROR(MATCH($I3256,GradeList,0),0))</f>
        <v>0</v>
      </c>
      <c r="P3256" s="64" t="n">
        <f aca="false">IF(AND($M3256&gt;0,ISNUMBER(MATCH($F3256,Lists!$A$2:$A$5,0)),ISNUMBER(MATCH($G3256,Lists!$B$2:$B$7,0)),OR($H3256="",$N3256&gt;0),OR($I3256="",$I3256="NR",$O3256&gt;0),IF(ISNUMBER($J3256),AND($J3256&gt;=0,$J3256=INT($J3256)),FALSE())),$J3256,0)</f>
        <v>0</v>
      </c>
      <c r="Q3256" s="64" t="n">
        <f aca="false">IF(AND($P3256&gt;0,$O3256&gt;0),$P3256,0)</f>
        <v>0</v>
      </c>
      <c r="R3256" s="64" t="n">
        <f aca="false">IF(AND($Q3256&gt;0,$O3256&gt;=AtRank),$Q3256,0)</f>
        <v>0</v>
      </c>
      <c r="S3256" s="64" t="n">
        <f aca="false">IF(AND($Q3256&gt;0,$O3256&gt;=AboveRank),$Q3256,0)</f>
        <v>0</v>
      </c>
      <c r="T3256" s="64" t="n">
        <f aca="false">IF($K3256="Less",$P3256,0)</f>
        <v>0</v>
      </c>
      <c r="U3256" s="64" t="n">
        <f aca="false">IF($K3256="Expected",$P3256,0)</f>
        <v>0</v>
      </c>
      <c r="V3256" s="64" t="n">
        <f aca="false">IF($K3256="Better",$P3256,0)</f>
        <v>0</v>
      </c>
      <c r="W3256" s="64" t="n">
        <f aca="false">IF($K3256="U – needs rule",$P3256,0)</f>
        <v>0</v>
      </c>
      <c r="X3256" s="64" t="n">
        <f aca="false">IF($K3256="No Start (attainment only)",$P3256,0)</f>
        <v>0</v>
      </c>
    </row>
    <row r="3257" customFormat="false" ht="15" hidden="false" customHeight="false" outlineLevel="0" collapsed="false">
      <c r="A3257" s="60"/>
      <c r="B3257" s="61" t="str">
        <f aca="false">IF($M3257=0,"",INDEX(Classes!$E$6:$E$420,$M3257))</f>
        <v/>
      </c>
      <c r="C3257" s="62" t="str">
        <f aca="false">IF($M3257=0,"",INDEX(Classes!$H$6:$H$420,$M3257))</f>
        <v/>
      </c>
      <c r="D3257" s="61" t="str">
        <f aca="false">IF($M3257=0,"",INDEX(Classes!$B$6:$B$420,$M3257))</f>
        <v/>
      </c>
      <c r="E3257" s="61" t="str">
        <f aca="false">IF($M3257=0,"",INDEX(Classes!$C$6:$C$420,$M3257))</f>
        <v/>
      </c>
      <c r="F3257" s="63"/>
      <c r="G3257" s="63"/>
      <c r="H3257" s="60"/>
      <c r="I3257" s="60"/>
      <c r="J3257" s="63"/>
      <c r="K3257" s="61" t="str">
        <f aca="false">IF($P3257=0,"",IF($F3257="Baseline","— Baseline",IF($O3257=0,"No result",IF($N3257=0,"No Start (attainment only)",IF(OR($N3257=1,$O3257=1),"U – needs rule",INDEX(MxBody,MATCH($I3257,MxCurr,0),MATCH($H3257,MxStart,0)))))))</f>
        <v/>
      </c>
      <c r="L3257" s="62" t="str">
        <f aca="false">IF(COUNTA($A3257,$F3257,$G3257,$H3257,$I3257,$J3257)=0,"",IF($M3257=0,"✖ كود الصف غير موجود",IF(ISNA(MATCH($F3257,Lists!$A$2:$A$5,0)),"✖ الفترة غير صحيحة",IF(ISNA(MATCH($G3257,Lists!$B$2:$B$7,0)),"✖ المجموعة غير صحيحة",IF(NOT(OR($H3257="",$N3257&gt;0)),"✖ Start غير صحيح",IF(NOT(OR($I3257="",$I3257="NR",$O3257&gt;0)),"✖ Current غير صحيح",IF(NOT(IF(ISNUMBER($J3257),AND($J3257&gt;=0,$J3257=INT($J3257)),FALSE())),"✖ العدد يجب أن يكون صحيحًا ≥ 0",IF(AND($F3257="Baseline",$H3257&lt;&gt;""),"⚠ Baseline: Start لا يدخل في التقدم",IF($K3257="No Start (attainment only)","ℹ تحصيل فقط (بدون Start)",IF($K3257="U – needs rule","ℹ حالة U تحتاج قاعدة معتمدة",IF($K3257="No result","ℹ بدون نتيجة (يُستبعد من التحصيل)","OK")))))))))))</f>
        <v/>
      </c>
      <c r="M3257" s="64" t="n">
        <f aca="false">IF($A3257="",0,IFERROR(MATCH($A3257,Classes!$A$6:$A$420,0),0))</f>
        <v>0</v>
      </c>
      <c r="N3257" s="64" t="n">
        <f aca="false">IF($H3257="",0,IFERROR(MATCH($H3257,GradeList,0),0))</f>
        <v>0</v>
      </c>
      <c r="O3257" s="64" t="n">
        <f aca="false">IF(OR($I3257="",$I3257="NR"),0,IFERROR(MATCH($I3257,GradeList,0),0))</f>
        <v>0</v>
      </c>
      <c r="P3257" s="64" t="n">
        <f aca="false">IF(AND($M3257&gt;0,ISNUMBER(MATCH($F3257,Lists!$A$2:$A$5,0)),ISNUMBER(MATCH($G3257,Lists!$B$2:$B$7,0)),OR($H3257="",$N3257&gt;0),OR($I3257="",$I3257="NR",$O3257&gt;0),IF(ISNUMBER($J3257),AND($J3257&gt;=0,$J3257=INT($J3257)),FALSE())),$J3257,0)</f>
        <v>0</v>
      </c>
      <c r="Q3257" s="64" t="n">
        <f aca="false">IF(AND($P3257&gt;0,$O3257&gt;0),$P3257,0)</f>
        <v>0</v>
      </c>
      <c r="R3257" s="64" t="n">
        <f aca="false">IF(AND($Q3257&gt;0,$O3257&gt;=AtRank),$Q3257,0)</f>
        <v>0</v>
      </c>
      <c r="S3257" s="64" t="n">
        <f aca="false">IF(AND($Q3257&gt;0,$O3257&gt;=AboveRank),$Q3257,0)</f>
        <v>0</v>
      </c>
      <c r="T3257" s="64" t="n">
        <f aca="false">IF($K3257="Less",$P3257,0)</f>
        <v>0</v>
      </c>
      <c r="U3257" s="64" t="n">
        <f aca="false">IF($K3257="Expected",$P3257,0)</f>
        <v>0</v>
      </c>
      <c r="V3257" s="64" t="n">
        <f aca="false">IF($K3257="Better",$P3257,0)</f>
        <v>0</v>
      </c>
      <c r="W3257" s="64" t="n">
        <f aca="false">IF($K3257="U – needs rule",$P3257,0)</f>
        <v>0</v>
      </c>
      <c r="X3257" s="64" t="n">
        <f aca="false">IF($K3257="No Start (attainment only)",$P3257,0)</f>
        <v>0</v>
      </c>
    </row>
    <row r="3258" customFormat="false" ht="15" hidden="false" customHeight="false" outlineLevel="0" collapsed="false">
      <c r="A3258" s="60"/>
      <c r="B3258" s="61" t="str">
        <f aca="false">IF($M3258=0,"",INDEX(Classes!$E$6:$E$420,$M3258))</f>
        <v/>
      </c>
      <c r="C3258" s="62" t="str">
        <f aca="false">IF($M3258=0,"",INDEX(Classes!$H$6:$H$420,$M3258))</f>
        <v/>
      </c>
      <c r="D3258" s="61" t="str">
        <f aca="false">IF($M3258=0,"",INDEX(Classes!$B$6:$B$420,$M3258))</f>
        <v/>
      </c>
      <c r="E3258" s="61" t="str">
        <f aca="false">IF($M3258=0,"",INDEX(Classes!$C$6:$C$420,$M3258))</f>
        <v/>
      </c>
      <c r="F3258" s="63"/>
      <c r="G3258" s="63"/>
      <c r="H3258" s="60"/>
      <c r="I3258" s="60"/>
      <c r="J3258" s="63"/>
      <c r="K3258" s="61" t="str">
        <f aca="false">IF($P3258=0,"",IF($F3258="Baseline","— Baseline",IF($O3258=0,"No result",IF($N3258=0,"No Start (attainment only)",IF(OR($N3258=1,$O3258=1),"U – needs rule",INDEX(MxBody,MATCH($I3258,MxCurr,0),MATCH($H3258,MxStart,0)))))))</f>
        <v/>
      </c>
      <c r="L3258" s="62" t="str">
        <f aca="false">IF(COUNTA($A3258,$F3258,$G3258,$H3258,$I3258,$J3258)=0,"",IF($M3258=0,"✖ كود الصف غير موجود",IF(ISNA(MATCH($F3258,Lists!$A$2:$A$5,0)),"✖ الفترة غير صحيحة",IF(ISNA(MATCH($G3258,Lists!$B$2:$B$7,0)),"✖ المجموعة غير صحيحة",IF(NOT(OR($H3258="",$N3258&gt;0)),"✖ Start غير صحيح",IF(NOT(OR($I3258="",$I3258="NR",$O3258&gt;0)),"✖ Current غير صحيح",IF(NOT(IF(ISNUMBER($J3258),AND($J3258&gt;=0,$J3258=INT($J3258)),FALSE())),"✖ العدد يجب أن يكون صحيحًا ≥ 0",IF(AND($F3258="Baseline",$H3258&lt;&gt;""),"⚠ Baseline: Start لا يدخل في التقدم",IF($K3258="No Start (attainment only)","ℹ تحصيل فقط (بدون Start)",IF($K3258="U – needs rule","ℹ حالة U تحتاج قاعدة معتمدة",IF($K3258="No result","ℹ بدون نتيجة (يُستبعد من التحصيل)","OK")))))))))))</f>
        <v/>
      </c>
      <c r="M3258" s="64" t="n">
        <f aca="false">IF($A3258="",0,IFERROR(MATCH($A3258,Classes!$A$6:$A$420,0),0))</f>
        <v>0</v>
      </c>
      <c r="N3258" s="64" t="n">
        <f aca="false">IF($H3258="",0,IFERROR(MATCH($H3258,GradeList,0),0))</f>
        <v>0</v>
      </c>
      <c r="O3258" s="64" t="n">
        <f aca="false">IF(OR($I3258="",$I3258="NR"),0,IFERROR(MATCH($I3258,GradeList,0),0))</f>
        <v>0</v>
      </c>
      <c r="P3258" s="64" t="n">
        <f aca="false">IF(AND($M3258&gt;0,ISNUMBER(MATCH($F3258,Lists!$A$2:$A$5,0)),ISNUMBER(MATCH($G3258,Lists!$B$2:$B$7,0)),OR($H3258="",$N3258&gt;0),OR($I3258="",$I3258="NR",$O3258&gt;0),IF(ISNUMBER($J3258),AND($J3258&gt;=0,$J3258=INT($J3258)),FALSE())),$J3258,0)</f>
        <v>0</v>
      </c>
      <c r="Q3258" s="64" t="n">
        <f aca="false">IF(AND($P3258&gt;0,$O3258&gt;0),$P3258,0)</f>
        <v>0</v>
      </c>
      <c r="R3258" s="64" t="n">
        <f aca="false">IF(AND($Q3258&gt;0,$O3258&gt;=AtRank),$Q3258,0)</f>
        <v>0</v>
      </c>
      <c r="S3258" s="64" t="n">
        <f aca="false">IF(AND($Q3258&gt;0,$O3258&gt;=AboveRank),$Q3258,0)</f>
        <v>0</v>
      </c>
      <c r="T3258" s="64" t="n">
        <f aca="false">IF($K3258="Less",$P3258,0)</f>
        <v>0</v>
      </c>
      <c r="U3258" s="64" t="n">
        <f aca="false">IF($K3258="Expected",$P3258,0)</f>
        <v>0</v>
      </c>
      <c r="V3258" s="64" t="n">
        <f aca="false">IF($K3258="Better",$P3258,0)</f>
        <v>0</v>
      </c>
      <c r="W3258" s="64" t="n">
        <f aca="false">IF($K3258="U – needs rule",$P3258,0)</f>
        <v>0</v>
      </c>
      <c r="X3258" s="64" t="n">
        <f aca="false">IF($K3258="No Start (attainment only)",$P3258,0)</f>
        <v>0</v>
      </c>
    </row>
    <row r="3259" customFormat="false" ht="15" hidden="false" customHeight="false" outlineLevel="0" collapsed="false">
      <c r="A3259" s="60"/>
      <c r="B3259" s="61" t="str">
        <f aca="false">IF($M3259=0,"",INDEX(Classes!$E$6:$E$420,$M3259))</f>
        <v/>
      </c>
      <c r="C3259" s="62" t="str">
        <f aca="false">IF($M3259=0,"",INDEX(Classes!$H$6:$H$420,$M3259))</f>
        <v/>
      </c>
      <c r="D3259" s="61" t="str">
        <f aca="false">IF($M3259=0,"",INDEX(Classes!$B$6:$B$420,$M3259))</f>
        <v/>
      </c>
      <c r="E3259" s="61" t="str">
        <f aca="false">IF($M3259=0,"",INDEX(Classes!$C$6:$C$420,$M3259))</f>
        <v/>
      </c>
      <c r="F3259" s="63"/>
      <c r="G3259" s="63"/>
      <c r="H3259" s="60"/>
      <c r="I3259" s="60"/>
      <c r="J3259" s="63"/>
      <c r="K3259" s="61" t="str">
        <f aca="false">IF($P3259=0,"",IF($F3259="Baseline","— Baseline",IF($O3259=0,"No result",IF($N3259=0,"No Start (attainment only)",IF(OR($N3259=1,$O3259=1),"U – needs rule",INDEX(MxBody,MATCH($I3259,MxCurr,0),MATCH($H3259,MxStart,0)))))))</f>
        <v/>
      </c>
      <c r="L3259" s="62" t="str">
        <f aca="false">IF(COUNTA($A3259,$F3259,$G3259,$H3259,$I3259,$J3259)=0,"",IF($M3259=0,"✖ كود الصف غير موجود",IF(ISNA(MATCH($F3259,Lists!$A$2:$A$5,0)),"✖ الفترة غير صحيحة",IF(ISNA(MATCH($G3259,Lists!$B$2:$B$7,0)),"✖ المجموعة غير صحيحة",IF(NOT(OR($H3259="",$N3259&gt;0)),"✖ Start غير صحيح",IF(NOT(OR($I3259="",$I3259="NR",$O3259&gt;0)),"✖ Current غير صحيح",IF(NOT(IF(ISNUMBER($J3259),AND($J3259&gt;=0,$J3259=INT($J3259)),FALSE())),"✖ العدد يجب أن يكون صحيحًا ≥ 0",IF(AND($F3259="Baseline",$H3259&lt;&gt;""),"⚠ Baseline: Start لا يدخل في التقدم",IF($K3259="No Start (attainment only)","ℹ تحصيل فقط (بدون Start)",IF($K3259="U – needs rule","ℹ حالة U تحتاج قاعدة معتمدة",IF($K3259="No result","ℹ بدون نتيجة (يُستبعد من التحصيل)","OK")))))))))))</f>
        <v/>
      </c>
      <c r="M3259" s="64" t="n">
        <f aca="false">IF($A3259="",0,IFERROR(MATCH($A3259,Classes!$A$6:$A$420,0),0))</f>
        <v>0</v>
      </c>
      <c r="N3259" s="64" t="n">
        <f aca="false">IF($H3259="",0,IFERROR(MATCH($H3259,GradeList,0),0))</f>
        <v>0</v>
      </c>
      <c r="O3259" s="64" t="n">
        <f aca="false">IF(OR($I3259="",$I3259="NR"),0,IFERROR(MATCH($I3259,GradeList,0),0))</f>
        <v>0</v>
      </c>
      <c r="P3259" s="64" t="n">
        <f aca="false">IF(AND($M3259&gt;0,ISNUMBER(MATCH($F3259,Lists!$A$2:$A$5,0)),ISNUMBER(MATCH($G3259,Lists!$B$2:$B$7,0)),OR($H3259="",$N3259&gt;0),OR($I3259="",$I3259="NR",$O3259&gt;0),IF(ISNUMBER($J3259),AND($J3259&gt;=0,$J3259=INT($J3259)),FALSE())),$J3259,0)</f>
        <v>0</v>
      </c>
      <c r="Q3259" s="64" t="n">
        <f aca="false">IF(AND($P3259&gt;0,$O3259&gt;0),$P3259,0)</f>
        <v>0</v>
      </c>
      <c r="R3259" s="64" t="n">
        <f aca="false">IF(AND($Q3259&gt;0,$O3259&gt;=AtRank),$Q3259,0)</f>
        <v>0</v>
      </c>
      <c r="S3259" s="64" t="n">
        <f aca="false">IF(AND($Q3259&gt;0,$O3259&gt;=AboveRank),$Q3259,0)</f>
        <v>0</v>
      </c>
      <c r="T3259" s="64" t="n">
        <f aca="false">IF($K3259="Less",$P3259,0)</f>
        <v>0</v>
      </c>
      <c r="U3259" s="64" t="n">
        <f aca="false">IF($K3259="Expected",$P3259,0)</f>
        <v>0</v>
      </c>
      <c r="V3259" s="64" t="n">
        <f aca="false">IF($K3259="Better",$P3259,0)</f>
        <v>0</v>
      </c>
      <c r="W3259" s="64" t="n">
        <f aca="false">IF($K3259="U – needs rule",$P3259,0)</f>
        <v>0</v>
      </c>
      <c r="X3259" s="64" t="n">
        <f aca="false">IF($K3259="No Start (attainment only)",$P3259,0)</f>
        <v>0</v>
      </c>
    </row>
    <row r="3260" customFormat="false" ht="15" hidden="false" customHeight="false" outlineLevel="0" collapsed="false">
      <c r="A3260" s="60"/>
      <c r="B3260" s="61" t="str">
        <f aca="false">IF($M3260=0,"",INDEX(Classes!$E$6:$E$420,$M3260))</f>
        <v/>
      </c>
      <c r="C3260" s="62" t="str">
        <f aca="false">IF($M3260=0,"",INDEX(Classes!$H$6:$H$420,$M3260))</f>
        <v/>
      </c>
      <c r="D3260" s="61" t="str">
        <f aca="false">IF($M3260=0,"",INDEX(Classes!$B$6:$B$420,$M3260))</f>
        <v/>
      </c>
      <c r="E3260" s="61" t="str">
        <f aca="false">IF($M3260=0,"",INDEX(Classes!$C$6:$C$420,$M3260))</f>
        <v/>
      </c>
      <c r="F3260" s="63"/>
      <c r="G3260" s="63"/>
      <c r="H3260" s="60"/>
      <c r="I3260" s="60"/>
      <c r="J3260" s="63"/>
      <c r="K3260" s="61" t="str">
        <f aca="false">IF($P3260=0,"",IF($F3260="Baseline","— Baseline",IF($O3260=0,"No result",IF($N3260=0,"No Start (attainment only)",IF(OR($N3260=1,$O3260=1),"U – needs rule",INDEX(MxBody,MATCH($I3260,MxCurr,0),MATCH($H3260,MxStart,0)))))))</f>
        <v/>
      </c>
      <c r="L3260" s="62" t="str">
        <f aca="false">IF(COUNTA($A3260,$F3260,$G3260,$H3260,$I3260,$J3260)=0,"",IF($M3260=0,"✖ كود الصف غير موجود",IF(ISNA(MATCH($F3260,Lists!$A$2:$A$5,0)),"✖ الفترة غير صحيحة",IF(ISNA(MATCH($G3260,Lists!$B$2:$B$7,0)),"✖ المجموعة غير صحيحة",IF(NOT(OR($H3260="",$N3260&gt;0)),"✖ Start غير صحيح",IF(NOT(OR($I3260="",$I3260="NR",$O3260&gt;0)),"✖ Current غير صحيح",IF(NOT(IF(ISNUMBER($J3260),AND($J3260&gt;=0,$J3260=INT($J3260)),FALSE())),"✖ العدد يجب أن يكون صحيحًا ≥ 0",IF(AND($F3260="Baseline",$H3260&lt;&gt;""),"⚠ Baseline: Start لا يدخل في التقدم",IF($K3260="No Start (attainment only)","ℹ تحصيل فقط (بدون Start)",IF($K3260="U – needs rule","ℹ حالة U تحتاج قاعدة معتمدة",IF($K3260="No result","ℹ بدون نتيجة (يُستبعد من التحصيل)","OK")))))))))))</f>
        <v/>
      </c>
      <c r="M3260" s="64" t="n">
        <f aca="false">IF($A3260="",0,IFERROR(MATCH($A3260,Classes!$A$6:$A$420,0),0))</f>
        <v>0</v>
      </c>
      <c r="N3260" s="64" t="n">
        <f aca="false">IF($H3260="",0,IFERROR(MATCH($H3260,GradeList,0),0))</f>
        <v>0</v>
      </c>
      <c r="O3260" s="64" t="n">
        <f aca="false">IF(OR($I3260="",$I3260="NR"),0,IFERROR(MATCH($I3260,GradeList,0),0))</f>
        <v>0</v>
      </c>
      <c r="P3260" s="64" t="n">
        <f aca="false">IF(AND($M3260&gt;0,ISNUMBER(MATCH($F3260,Lists!$A$2:$A$5,0)),ISNUMBER(MATCH($G3260,Lists!$B$2:$B$7,0)),OR($H3260="",$N3260&gt;0),OR($I3260="",$I3260="NR",$O3260&gt;0),IF(ISNUMBER($J3260),AND($J3260&gt;=0,$J3260=INT($J3260)),FALSE())),$J3260,0)</f>
        <v>0</v>
      </c>
      <c r="Q3260" s="64" t="n">
        <f aca="false">IF(AND($P3260&gt;0,$O3260&gt;0),$P3260,0)</f>
        <v>0</v>
      </c>
      <c r="R3260" s="64" t="n">
        <f aca="false">IF(AND($Q3260&gt;0,$O3260&gt;=AtRank),$Q3260,0)</f>
        <v>0</v>
      </c>
      <c r="S3260" s="64" t="n">
        <f aca="false">IF(AND($Q3260&gt;0,$O3260&gt;=AboveRank),$Q3260,0)</f>
        <v>0</v>
      </c>
      <c r="T3260" s="64" t="n">
        <f aca="false">IF($K3260="Less",$P3260,0)</f>
        <v>0</v>
      </c>
      <c r="U3260" s="64" t="n">
        <f aca="false">IF($K3260="Expected",$P3260,0)</f>
        <v>0</v>
      </c>
      <c r="V3260" s="64" t="n">
        <f aca="false">IF($K3260="Better",$P3260,0)</f>
        <v>0</v>
      </c>
      <c r="W3260" s="64" t="n">
        <f aca="false">IF($K3260="U – needs rule",$P3260,0)</f>
        <v>0</v>
      </c>
      <c r="X3260" s="64" t="n">
        <f aca="false">IF($K3260="No Start (attainment only)",$P3260,0)</f>
        <v>0</v>
      </c>
    </row>
    <row r="3261" customFormat="false" ht="15" hidden="false" customHeight="false" outlineLevel="0" collapsed="false">
      <c r="A3261" s="60"/>
      <c r="B3261" s="61" t="str">
        <f aca="false">IF($M3261=0,"",INDEX(Classes!$E$6:$E$420,$M3261))</f>
        <v/>
      </c>
      <c r="C3261" s="62" t="str">
        <f aca="false">IF($M3261=0,"",INDEX(Classes!$H$6:$H$420,$M3261))</f>
        <v/>
      </c>
      <c r="D3261" s="61" t="str">
        <f aca="false">IF($M3261=0,"",INDEX(Classes!$B$6:$B$420,$M3261))</f>
        <v/>
      </c>
      <c r="E3261" s="61" t="str">
        <f aca="false">IF($M3261=0,"",INDEX(Classes!$C$6:$C$420,$M3261))</f>
        <v/>
      </c>
      <c r="F3261" s="63"/>
      <c r="G3261" s="63"/>
      <c r="H3261" s="60"/>
      <c r="I3261" s="60"/>
      <c r="J3261" s="63"/>
      <c r="K3261" s="61" t="str">
        <f aca="false">IF($P3261=0,"",IF($F3261="Baseline","— Baseline",IF($O3261=0,"No result",IF($N3261=0,"No Start (attainment only)",IF(OR($N3261=1,$O3261=1),"U – needs rule",INDEX(MxBody,MATCH($I3261,MxCurr,0),MATCH($H3261,MxStart,0)))))))</f>
        <v/>
      </c>
      <c r="L3261" s="62" t="str">
        <f aca="false">IF(COUNTA($A3261,$F3261,$G3261,$H3261,$I3261,$J3261)=0,"",IF($M3261=0,"✖ كود الصف غير موجود",IF(ISNA(MATCH($F3261,Lists!$A$2:$A$5,0)),"✖ الفترة غير صحيحة",IF(ISNA(MATCH($G3261,Lists!$B$2:$B$7,0)),"✖ المجموعة غير صحيحة",IF(NOT(OR($H3261="",$N3261&gt;0)),"✖ Start غير صحيح",IF(NOT(OR($I3261="",$I3261="NR",$O3261&gt;0)),"✖ Current غير صحيح",IF(NOT(IF(ISNUMBER($J3261),AND($J3261&gt;=0,$J3261=INT($J3261)),FALSE())),"✖ العدد يجب أن يكون صحيحًا ≥ 0",IF(AND($F3261="Baseline",$H3261&lt;&gt;""),"⚠ Baseline: Start لا يدخل في التقدم",IF($K3261="No Start (attainment only)","ℹ تحصيل فقط (بدون Start)",IF($K3261="U – needs rule","ℹ حالة U تحتاج قاعدة معتمدة",IF($K3261="No result","ℹ بدون نتيجة (يُستبعد من التحصيل)","OK")))))))))))</f>
        <v/>
      </c>
      <c r="M3261" s="64" t="n">
        <f aca="false">IF($A3261="",0,IFERROR(MATCH($A3261,Classes!$A$6:$A$420,0),0))</f>
        <v>0</v>
      </c>
      <c r="N3261" s="64" t="n">
        <f aca="false">IF($H3261="",0,IFERROR(MATCH($H3261,GradeList,0),0))</f>
        <v>0</v>
      </c>
      <c r="O3261" s="64" t="n">
        <f aca="false">IF(OR($I3261="",$I3261="NR"),0,IFERROR(MATCH($I3261,GradeList,0),0))</f>
        <v>0</v>
      </c>
      <c r="P3261" s="64" t="n">
        <f aca="false">IF(AND($M3261&gt;0,ISNUMBER(MATCH($F3261,Lists!$A$2:$A$5,0)),ISNUMBER(MATCH($G3261,Lists!$B$2:$B$7,0)),OR($H3261="",$N3261&gt;0),OR($I3261="",$I3261="NR",$O3261&gt;0),IF(ISNUMBER($J3261),AND($J3261&gt;=0,$J3261=INT($J3261)),FALSE())),$J3261,0)</f>
        <v>0</v>
      </c>
      <c r="Q3261" s="64" t="n">
        <f aca="false">IF(AND($P3261&gt;0,$O3261&gt;0),$P3261,0)</f>
        <v>0</v>
      </c>
      <c r="R3261" s="64" t="n">
        <f aca="false">IF(AND($Q3261&gt;0,$O3261&gt;=AtRank),$Q3261,0)</f>
        <v>0</v>
      </c>
      <c r="S3261" s="64" t="n">
        <f aca="false">IF(AND($Q3261&gt;0,$O3261&gt;=AboveRank),$Q3261,0)</f>
        <v>0</v>
      </c>
      <c r="T3261" s="64" t="n">
        <f aca="false">IF($K3261="Less",$P3261,0)</f>
        <v>0</v>
      </c>
      <c r="U3261" s="64" t="n">
        <f aca="false">IF($K3261="Expected",$P3261,0)</f>
        <v>0</v>
      </c>
      <c r="V3261" s="64" t="n">
        <f aca="false">IF($K3261="Better",$P3261,0)</f>
        <v>0</v>
      </c>
      <c r="W3261" s="64" t="n">
        <f aca="false">IF($K3261="U – needs rule",$P3261,0)</f>
        <v>0</v>
      </c>
      <c r="X3261" s="64" t="n">
        <f aca="false">IF($K3261="No Start (attainment only)",$P3261,0)</f>
        <v>0</v>
      </c>
    </row>
    <row r="3262" customFormat="false" ht="15" hidden="false" customHeight="false" outlineLevel="0" collapsed="false">
      <c r="A3262" s="60"/>
      <c r="B3262" s="61" t="str">
        <f aca="false">IF($M3262=0,"",INDEX(Classes!$E$6:$E$420,$M3262))</f>
        <v/>
      </c>
      <c r="C3262" s="62" t="str">
        <f aca="false">IF($M3262=0,"",INDEX(Classes!$H$6:$H$420,$M3262))</f>
        <v/>
      </c>
      <c r="D3262" s="61" t="str">
        <f aca="false">IF($M3262=0,"",INDEX(Classes!$B$6:$B$420,$M3262))</f>
        <v/>
      </c>
      <c r="E3262" s="61" t="str">
        <f aca="false">IF($M3262=0,"",INDEX(Classes!$C$6:$C$420,$M3262))</f>
        <v/>
      </c>
      <c r="F3262" s="63"/>
      <c r="G3262" s="63"/>
      <c r="H3262" s="60"/>
      <c r="I3262" s="60"/>
      <c r="J3262" s="63"/>
      <c r="K3262" s="61" t="str">
        <f aca="false">IF($P3262=0,"",IF($F3262="Baseline","— Baseline",IF($O3262=0,"No result",IF($N3262=0,"No Start (attainment only)",IF(OR($N3262=1,$O3262=1),"U – needs rule",INDEX(MxBody,MATCH($I3262,MxCurr,0),MATCH($H3262,MxStart,0)))))))</f>
        <v/>
      </c>
      <c r="L3262" s="62" t="str">
        <f aca="false">IF(COUNTA($A3262,$F3262,$G3262,$H3262,$I3262,$J3262)=0,"",IF($M3262=0,"✖ كود الصف غير موجود",IF(ISNA(MATCH($F3262,Lists!$A$2:$A$5,0)),"✖ الفترة غير صحيحة",IF(ISNA(MATCH($G3262,Lists!$B$2:$B$7,0)),"✖ المجموعة غير صحيحة",IF(NOT(OR($H3262="",$N3262&gt;0)),"✖ Start غير صحيح",IF(NOT(OR($I3262="",$I3262="NR",$O3262&gt;0)),"✖ Current غير صحيح",IF(NOT(IF(ISNUMBER($J3262),AND($J3262&gt;=0,$J3262=INT($J3262)),FALSE())),"✖ العدد يجب أن يكون صحيحًا ≥ 0",IF(AND($F3262="Baseline",$H3262&lt;&gt;""),"⚠ Baseline: Start لا يدخل في التقدم",IF($K3262="No Start (attainment only)","ℹ تحصيل فقط (بدون Start)",IF($K3262="U – needs rule","ℹ حالة U تحتاج قاعدة معتمدة",IF($K3262="No result","ℹ بدون نتيجة (يُستبعد من التحصيل)","OK")))))))))))</f>
        <v/>
      </c>
      <c r="M3262" s="64" t="n">
        <f aca="false">IF($A3262="",0,IFERROR(MATCH($A3262,Classes!$A$6:$A$420,0),0))</f>
        <v>0</v>
      </c>
      <c r="N3262" s="64" t="n">
        <f aca="false">IF($H3262="",0,IFERROR(MATCH($H3262,GradeList,0),0))</f>
        <v>0</v>
      </c>
      <c r="O3262" s="64" t="n">
        <f aca="false">IF(OR($I3262="",$I3262="NR"),0,IFERROR(MATCH($I3262,GradeList,0),0))</f>
        <v>0</v>
      </c>
      <c r="P3262" s="64" t="n">
        <f aca="false">IF(AND($M3262&gt;0,ISNUMBER(MATCH($F3262,Lists!$A$2:$A$5,0)),ISNUMBER(MATCH($G3262,Lists!$B$2:$B$7,0)),OR($H3262="",$N3262&gt;0),OR($I3262="",$I3262="NR",$O3262&gt;0),IF(ISNUMBER($J3262),AND($J3262&gt;=0,$J3262=INT($J3262)),FALSE())),$J3262,0)</f>
        <v>0</v>
      </c>
      <c r="Q3262" s="64" t="n">
        <f aca="false">IF(AND($P3262&gt;0,$O3262&gt;0),$P3262,0)</f>
        <v>0</v>
      </c>
      <c r="R3262" s="64" t="n">
        <f aca="false">IF(AND($Q3262&gt;0,$O3262&gt;=AtRank),$Q3262,0)</f>
        <v>0</v>
      </c>
      <c r="S3262" s="64" t="n">
        <f aca="false">IF(AND($Q3262&gt;0,$O3262&gt;=AboveRank),$Q3262,0)</f>
        <v>0</v>
      </c>
      <c r="T3262" s="64" t="n">
        <f aca="false">IF($K3262="Less",$P3262,0)</f>
        <v>0</v>
      </c>
      <c r="U3262" s="64" t="n">
        <f aca="false">IF($K3262="Expected",$P3262,0)</f>
        <v>0</v>
      </c>
      <c r="V3262" s="64" t="n">
        <f aca="false">IF($K3262="Better",$P3262,0)</f>
        <v>0</v>
      </c>
      <c r="W3262" s="64" t="n">
        <f aca="false">IF($K3262="U – needs rule",$P3262,0)</f>
        <v>0</v>
      </c>
      <c r="X3262" s="64" t="n">
        <f aca="false">IF($K3262="No Start (attainment only)",$P3262,0)</f>
        <v>0</v>
      </c>
    </row>
    <row r="3263" customFormat="false" ht="15" hidden="false" customHeight="false" outlineLevel="0" collapsed="false">
      <c r="A3263" s="60"/>
      <c r="B3263" s="61" t="str">
        <f aca="false">IF($M3263=0,"",INDEX(Classes!$E$6:$E$420,$M3263))</f>
        <v/>
      </c>
      <c r="C3263" s="62" t="str">
        <f aca="false">IF($M3263=0,"",INDEX(Classes!$H$6:$H$420,$M3263))</f>
        <v/>
      </c>
      <c r="D3263" s="61" t="str">
        <f aca="false">IF($M3263=0,"",INDEX(Classes!$B$6:$B$420,$M3263))</f>
        <v/>
      </c>
      <c r="E3263" s="61" t="str">
        <f aca="false">IF($M3263=0,"",INDEX(Classes!$C$6:$C$420,$M3263))</f>
        <v/>
      </c>
      <c r="F3263" s="63"/>
      <c r="G3263" s="63"/>
      <c r="H3263" s="60"/>
      <c r="I3263" s="60"/>
      <c r="J3263" s="63"/>
      <c r="K3263" s="61" t="str">
        <f aca="false">IF($P3263=0,"",IF($F3263="Baseline","— Baseline",IF($O3263=0,"No result",IF($N3263=0,"No Start (attainment only)",IF(OR($N3263=1,$O3263=1),"U – needs rule",INDEX(MxBody,MATCH($I3263,MxCurr,0),MATCH($H3263,MxStart,0)))))))</f>
        <v/>
      </c>
      <c r="L3263" s="62" t="str">
        <f aca="false">IF(COUNTA($A3263,$F3263,$G3263,$H3263,$I3263,$J3263)=0,"",IF($M3263=0,"✖ كود الصف غير موجود",IF(ISNA(MATCH($F3263,Lists!$A$2:$A$5,0)),"✖ الفترة غير صحيحة",IF(ISNA(MATCH($G3263,Lists!$B$2:$B$7,0)),"✖ المجموعة غير صحيحة",IF(NOT(OR($H3263="",$N3263&gt;0)),"✖ Start غير صحيح",IF(NOT(OR($I3263="",$I3263="NR",$O3263&gt;0)),"✖ Current غير صحيح",IF(NOT(IF(ISNUMBER($J3263),AND($J3263&gt;=0,$J3263=INT($J3263)),FALSE())),"✖ العدد يجب أن يكون صحيحًا ≥ 0",IF(AND($F3263="Baseline",$H3263&lt;&gt;""),"⚠ Baseline: Start لا يدخل في التقدم",IF($K3263="No Start (attainment only)","ℹ تحصيل فقط (بدون Start)",IF($K3263="U – needs rule","ℹ حالة U تحتاج قاعدة معتمدة",IF($K3263="No result","ℹ بدون نتيجة (يُستبعد من التحصيل)","OK")))))))))))</f>
        <v/>
      </c>
      <c r="M3263" s="64" t="n">
        <f aca="false">IF($A3263="",0,IFERROR(MATCH($A3263,Classes!$A$6:$A$420,0),0))</f>
        <v>0</v>
      </c>
      <c r="N3263" s="64" t="n">
        <f aca="false">IF($H3263="",0,IFERROR(MATCH($H3263,GradeList,0),0))</f>
        <v>0</v>
      </c>
      <c r="O3263" s="64" t="n">
        <f aca="false">IF(OR($I3263="",$I3263="NR"),0,IFERROR(MATCH($I3263,GradeList,0),0))</f>
        <v>0</v>
      </c>
      <c r="P3263" s="64" t="n">
        <f aca="false">IF(AND($M3263&gt;0,ISNUMBER(MATCH($F3263,Lists!$A$2:$A$5,0)),ISNUMBER(MATCH($G3263,Lists!$B$2:$B$7,0)),OR($H3263="",$N3263&gt;0),OR($I3263="",$I3263="NR",$O3263&gt;0),IF(ISNUMBER($J3263),AND($J3263&gt;=0,$J3263=INT($J3263)),FALSE())),$J3263,0)</f>
        <v>0</v>
      </c>
      <c r="Q3263" s="64" t="n">
        <f aca="false">IF(AND($P3263&gt;0,$O3263&gt;0),$P3263,0)</f>
        <v>0</v>
      </c>
      <c r="R3263" s="64" t="n">
        <f aca="false">IF(AND($Q3263&gt;0,$O3263&gt;=AtRank),$Q3263,0)</f>
        <v>0</v>
      </c>
      <c r="S3263" s="64" t="n">
        <f aca="false">IF(AND($Q3263&gt;0,$O3263&gt;=AboveRank),$Q3263,0)</f>
        <v>0</v>
      </c>
      <c r="T3263" s="64" t="n">
        <f aca="false">IF($K3263="Less",$P3263,0)</f>
        <v>0</v>
      </c>
      <c r="U3263" s="64" t="n">
        <f aca="false">IF($K3263="Expected",$P3263,0)</f>
        <v>0</v>
      </c>
      <c r="V3263" s="64" t="n">
        <f aca="false">IF($K3263="Better",$P3263,0)</f>
        <v>0</v>
      </c>
      <c r="W3263" s="64" t="n">
        <f aca="false">IF($K3263="U – needs rule",$P3263,0)</f>
        <v>0</v>
      </c>
      <c r="X3263" s="64" t="n">
        <f aca="false">IF($K3263="No Start (attainment only)",$P3263,0)</f>
        <v>0</v>
      </c>
    </row>
    <row r="3264" customFormat="false" ht="15" hidden="false" customHeight="false" outlineLevel="0" collapsed="false">
      <c r="A3264" s="60"/>
      <c r="B3264" s="61" t="str">
        <f aca="false">IF($M3264=0,"",INDEX(Classes!$E$6:$E$420,$M3264))</f>
        <v/>
      </c>
      <c r="C3264" s="62" t="str">
        <f aca="false">IF($M3264=0,"",INDEX(Classes!$H$6:$H$420,$M3264))</f>
        <v/>
      </c>
      <c r="D3264" s="61" t="str">
        <f aca="false">IF($M3264=0,"",INDEX(Classes!$B$6:$B$420,$M3264))</f>
        <v/>
      </c>
      <c r="E3264" s="61" t="str">
        <f aca="false">IF($M3264=0,"",INDEX(Classes!$C$6:$C$420,$M3264))</f>
        <v/>
      </c>
      <c r="F3264" s="63"/>
      <c r="G3264" s="63"/>
      <c r="H3264" s="60"/>
      <c r="I3264" s="60"/>
      <c r="J3264" s="63"/>
      <c r="K3264" s="61" t="str">
        <f aca="false">IF($P3264=0,"",IF($F3264="Baseline","— Baseline",IF($O3264=0,"No result",IF($N3264=0,"No Start (attainment only)",IF(OR($N3264=1,$O3264=1),"U – needs rule",INDEX(MxBody,MATCH($I3264,MxCurr,0),MATCH($H3264,MxStart,0)))))))</f>
        <v/>
      </c>
      <c r="L3264" s="62" t="str">
        <f aca="false">IF(COUNTA($A3264,$F3264,$G3264,$H3264,$I3264,$J3264)=0,"",IF($M3264=0,"✖ كود الصف غير موجود",IF(ISNA(MATCH($F3264,Lists!$A$2:$A$5,0)),"✖ الفترة غير صحيحة",IF(ISNA(MATCH($G3264,Lists!$B$2:$B$7,0)),"✖ المجموعة غير صحيحة",IF(NOT(OR($H3264="",$N3264&gt;0)),"✖ Start غير صحيح",IF(NOT(OR($I3264="",$I3264="NR",$O3264&gt;0)),"✖ Current غير صحيح",IF(NOT(IF(ISNUMBER($J3264),AND($J3264&gt;=0,$J3264=INT($J3264)),FALSE())),"✖ العدد يجب أن يكون صحيحًا ≥ 0",IF(AND($F3264="Baseline",$H3264&lt;&gt;""),"⚠ Baseline: Start لا يدخل في التقدم",IF($K3264="No Start (attainment only)","ℹ تحصيل فقط (بدون Start)",IF($K3264="U – needs rule","ℹ حالة U تحتاج قاعدة معتمدة",IF($K3264="No result","ℹ بدون نتيجة (يُستبعد من التحصيل)","OK")))))))))))</f>
        <v/>
      </c>
      <c r="M3264" s="64" t="n">
        <f aca="false">IF($A3264="",0,IFERROR(MATCH($A3264,Classes!$A$6:$A$420,0),0))</f>
        <v>0</v>
      </c>
      <c r="N3264" s="64" t="n">
        <f aca="false">IF($H3264="",0,IFERROR(MATCH($H3264,GradeList,0),0))</f>
        <v>0</v>
      </c>
      <c r="O3264" s="64" t="n">
        <f aca="false">IF(OR($I3264="",$I3264="NR"),0,IFERROR(MATCH($I3264,GradeList,0),0))</f>
        <v>0</v>
      </c>
      <c r="P3264" s="64" t="n">
        <f aca="false">IF(AND($M3264&gt;0,ISNUMBER(MATCH($F3264,Lists!$A$2:$A$5,0)),ISNUMBER(MATCH($G3264,Lists!$B$2:$B$7,0)),OR($H3264="",$N3264&gt;0),OR($I3264="",$I3264="NR",$O3264&gt;0),IF(ISNUMBER($J3264),AND($J3264&gt;=0,$J3264=INT($J3264)),FALSE())),$J3264,0)</f>
        <v>0</v>
      </c>
      <c r="Q3264" s="64" t="n">
        <f aca="false">IF(AND($P3264&gt;0,$O3264&gt;0),$P3264,0)</f>
        <v>0</v>
      </c>
      <c r="R3264" s="64" t="n">
        <f aca="false">IF(AND($Q3264&gt;0,$O3264&gt;=AtRank),$Q3264,0)</f>
        <v>0</v>
      </c>
      <c r="S3264" s="64" t="n">
        <f aca="false">IF(AND($Q3264&gt;0,$O3264&gt;=AboveRank),$Q3264,0)</f>
        <v>0</v>
      </c>
      <c r="T3264" s="64" t="n">
        <f aca="false">IF($K3264="Less",$P3264,0)</f>
        <v>0</v>
      </c>
      <c r="U3264" s="64" t="n">
        <f aca="false">IF($K3264="Expected",$P3264,0)</f>
        <v>0</v>
      </c>
      <c r="V3264" s="64" t="n">
        <f aca="false">IF($K3264="Better",$P3264,0)</f>
        <v>0</v>
      </c>
      <c r="W3264" s="64" t="n">
        <f aca="false">IF($K3264="U – needs rule",$P3264,0)</f>
        <v>0</v>
      </c>
      <c r="X3264" s="64" t="n">
        <f aca="false">IF($K3264="No Start (attainment only)",$P3264,0)</f>
        <v>0</v>
      </c>
    </row>
    <row r="3265" customFormat="false" ht="15" hidden="false" customHeight="false" outlineLevel="0" collapsed="false">
      <c r="A3265" s="60"/>
      <c r="B3265" s="61" t="str">
        <f aca="false">IF($M3265=0,"",INDEX(Classes!$E$6:$E$420,$M3265))</f>
        <v/>
      </c>
      <c r="C3265" s="62" t="str">
        <f aca="false">IF($M3265=0,"",INDEX(Classes!$H$6:$H$420,$M3265))</f>
        <v/>
      </c>
      <c r="D3265" s="61" t="str">
        <f aca="false">IF($M3265=0,"",INDEX(Classes!$B$6:$B$420,$M3265))</f>
        <v/>
      </c>
      <c r="E3265" s="61" t="str">
        <f aca="false">IF($M3265=0,"",INDEX(Classes!$C$6:$C$420,$M3265))</f>
        <v/>
      </c>
      <c r="F3265" s="63"/>
      <c r="G3265" s="63"/>
      <c r="H3265" s="60"/>
      <c r="I3265" s="60"/>
      <c r="J3265" s="63"/>
      <c r="K3265" s="61" t="str">
        <f aca="false">IF($P3265=0,"",IF($F3265="Baseline","— Baseline",IF($O3265=0,"No result",IF($N3265=0,"No Start (attainment only)",IF(OR($N3265=1,$O3265=1),"U – needs rule",INDEX(MxBody,MATCH($I3265,MxCurr,0),MATCH($H3265,MxStart,0)))))))</f>
        <v/>
      </c>
      <c r="L3265" s="62" t="str">
        <f aca="false">IF(COUNTA($A3265,$F3265,$G3265,$H3265,$I3265,$J3265)=0,"",IF($M3265=0,"✖ كود الصف غير موجود",IF(ISNA(MATCH($F3265,Lists!$A$2:$A$5,0)),"✖ الفترة غير صحيحة",IF(ISNA(MATCH($G3265,Lists!$B$2:$B$7,0)),"✖ المجموعة غير صحيحة",IF(NOT(OR($H3265="",$N3265&gt;0)),"✖ Start غير صحيح",IF(NOT(OR($I3265="",$I3265="NR",$O3265&gt;0)),"✖ Current غير صحيح",IF(NOT(IF(ISNUMBER($J3265),AND($J3265&gt;=0,$J3265=INT($J3265)),FALSE())),"✖ العدد يجب أن يكون صحيحًا ≥ 0",IF(AND($F3265="Baseline",$H3265&lt;&gt;""),"⚠ Baseline: Start لا يدخل في التقدم",IF($K3265="No Start (attainment only)","ℹ تحصيل فقط (بدون Start)",IF($K3265="U – needs rule","ℹ حالة U تحتاج قاعدة معتمدة",IF($K3265="No result","ℹ بدون نتيجة (يُستبعد من التحصيل)","OK")))))))))))</f>
        <v/>
      </c>
      <c r="M3265" s="64" t="n">
        <f aca="false">IF($A3265="",0,IFERROR(MATCH($A3265,Classes!$A$6:$A$420,0),0))</f>
        <v>0</v>
      </c>
      <c r="N3265" s="64" t="n">
        <f aca="false">IF($H3265="",0,IFERROR(MATCH($H3265,GradeList,0),0))</f>
        <v>0</v>
      </c>
      <c r="O3265" s="64" t="n">
        <f aca="false">IF(OR($I3265="",$I3265="NR"),0,IFERROR(MATCH($I3265,GradeList,0),0))</f>
        <v>0</v>
      </c>
      <c r="P3265" s="64" t="n">
        <f aca="false">IF(AND($M3265&gt;0,ISNUMBER(MATCH($F3265,Lists!$A$2:$A$5,0)),ISNUMBER(MATCH($G3265,Lists!$B$2:$B$7,0)),OR($H3265="",$N3265&gt;0),OR($I3265="",$I3265="NR",$O3265&gt;0),IF(ISNUMBER($J3265),AND($J3265&gt;=0,$J3265=INT($J3265)),FALSE())),$J3265,0)</f>
        <v>0</v>
      </c>
      <c r="Q3265" s="64" t="n">
        <f aca="false">IF(AND($P3265&gt;0,$O3265&gt;0),$P3265,0)</f>
        <v>0</v>
      </c>
      <c r="R3265" s="64" t="n">
        <f aca="false">IF(AND($Q3265&gt;0,$O3265&gt;=AtRank),$Q3265,0)</f>
        <v>0</v>
      </c>
      <c r="S3265" s="64" t="n">
        <f aca="false">IF(AND($Q3265&gt;0,$O3265&gt;=AboveRank),$Q3265,0)</f>
        <v>0</v>
      </c>
      <c r="T3265" s="64" t="n">
        <f aca="false">IF($K3265="Less",$P3265,0)</f>
        <v>0</v>
      </c>
      <c r="U3265" s="64" t="n">
        <f aca="false">IF($K3265="Expected",$P3265,0)</f>
        <v>0</v>
      </c>
      <c r="V3265" s="64" t="n">
        <f aca="false">IF($K3265="Better",$P3265,0)</f>
        <v>0</v>
      </c>
      <c r="W3265" s="64" t="n">
        <f aca="false">IF($K3265="U – needs rule",$P3265,0)</f>
        <v>0</v>
      </c>
      <c r="X3265" s="64" t="n">
        <f aca="false">IF($K3265="No Start (attainment only)",$P3265,0)</f>
        <v>0</v>
      </c>
    </row>
    <row r="3266" customFormat="false" ht="15" hidden="false" customHeight="false" outlineLevel="0" collapsed="false">
      <c r="A3266" s="60"/>
      <c r="B3266" s="61" t="str">
        <f aca="false">IF($M3266=0,"",INDEX(Classes!$E$6:$E$420,$M3266))</f>
        <v/>
      </c>
      <c r="C3266" s="62" t="str">
        <f aca="false">IF($M3266=0,"",INDEX(Classes!$H$6:$H$420,$M3266))</f>
        <v/>
      </c>
      <c r="D3266" s="61" t="str">
        <f aca="false">IF($M3266=0,"",INDEX(Classes!$B$6:$B$420,$M3266))</f>
        <v/>
      </c>
      <c r="E3266" s="61" t="str">
        <f aca="false">IF($M3266=0,"",INDEX(Classes!$C$6:$C$420,$M3266))</f>
        <v/>
      </c>
      <c r="F3266" s="63"/>
      <c r="G3266" s="63"/>
      <c r="H3266" s="60"/>
      <c r="I3266" s="60"/>
      <c r="J3266" s="63"/>
      <c r="K3266" s="61" t="str">
        <f aca="false">IF($P3266=0,"",IF($F3266="Baseline","— Baseline",IF($O3266=0,"No result",IF($N3266=0,"No Start (attainment only)",IF(OR($N3266=1,$O3266=1),"U – needs rule",INDEX(MxBody,MATCH($I3266,MxCurr,0),MATCH($H3266,MxStart,0)))))))</f>
        <v/>
      </c>
      <c r="L3266" s="62" t="str">
        <f aca="false">IF(COUNTA($A3266,$F3266,$G3266,$H3266,$I3266,$J3266)=0,"",IF($M3266=0,"✖ كود الصف غير موجود",IF(ISNA(MATCH($F3266,Lists!$A$2:$A$5,0)),"✖ الفترة غير صحيحة",IF(ISNA(MATCH($G3266,Lists!$B$2:$B$7,0)),"✖ المجموعة غير صحيحة",IF(NOT(OR($H3266="",$N3266&gt;0)),"✖ Start غير صحيح",IF(NOT(OR($I3266="",$I3266="NR",$O3266&gt;0)),"✖ Current غير صحيح",IF(NOT(IF(ISNUMBER($J3266),AND($J3266&gt;=0,$J3266=INT($J3266)),FALSE())),"✖ العدد يجب أن يكون صحيحًا ≥ 0",IF(AND($F3266="Baseline",$H3266&lt;&gt;""),"⚠ Baseline: Start لا يدخل في التقدم",IF($K3266="No Start (attainment only)","ℹ تحصيل فقط (بدون Start)",IF($K3266="U – needs rule","ℹ حالة U تحتاج قاعدة معتمدة",IF($K3266="No result","ℹ بدون نتيجة (يُستبعد من التحصيل)","OK")))))))))))</f>
        <v/>
      </c>
      <c r="M3266" s="64" t="n">
        <f aca="false">IF($A3266="",0,IFERROR(MATCH($A3266,Classes!$A$6:$A$420,0),0))</f>
        <v>0</v>
      </c>
      <c r="N3266" s="64" t="n">
        <f aca="false">IF($H3266="",0,IFERROR(MATCH($H3266,GradeList,0),0))</f>
        <v>0</v>
      </c>
      <c r="O3266" s="64" t="n">
        <f aca="false">IF(OR($I3266="",$I3266="NR"),0,IFERROR(MATCH($I3266,GradeList,0),0))</f>
        <v>0</v>
      </c>
      <c r="P3266" s="64" t="n">
        <f aca="false">IF(AND($M3266&gt;0,ISNUMBER(MATCH($F3266,Lists!$A$2:$A$5,0)),ISNUMBER(MATCH($G3266,Lists!$B$2:$B$7,0)),OR($H3266="",$N3266&gt;0),OR($I3266="",$I3266="NR",$O3266&gt;0),IF(ISNUMBER($J3266),AND($J3266&gt;=0,$J3266=INT($J3266)),FALSE())),$J3266,0)</f>
        <v>0</v>
      </c>
      <c r="Q3266" s="64" t="n">
        <f aca="false">IF(AND($P3266&gt;0,$O3266&gt;0),$P3266,0)</f>
        <v>0</v>
      </c>
      <c r="R3266" s="64" t="n">
        <f aca="false">IF(AND($Q3266&gt;0,$O3266&gt;=AtRank),$Q3266,0)</f>
        <v>0</v>
      </c>
      <c r="S3266" s="64" t="n">
        <f aca="false">IF(AND($Q3266&gt;0,$O3266&gt;=AboveRank),$Q3266,0)</f>
        <v>0</v>
      </c>
      <c r="T3266" s="64" t="n">
        <f aca="false">IF($K3266="Less",$P3266,0)</f>
        <v>0</v>
      </c>
      <c r="U3266" s="64" t="n">
        <f aca="false">IF($K3266="Expected",$P3266,0)</f>
        <v>0</v>
      </c>
      <c r="V3266" s="64" t="n">
        <f aca="false">IF($K3266="Better",$P3266,0)</f>
        <v>0</v>
      </c>
      <c r="W3266" s="64" t="n">
        <f aca="false">IF($K3266="U – needs rule",$P3266,0)</f>
        <v>0</v>
      </c>
      <c r="X3266" s="64" t="n">
        <f aca="false">IF($K3266="No Start (attainment only)",$P3266,0)</f>
        <v>0</v>
      </c>
    </row>
    <row r="3267" customFormat="false" ht="15" hidden="false" customHeight="false" outlineLevel="0" collapsed="false">
      <c r="A3267" s="60"/>
      <c r="B3267" s="61" t="str">
        <f aca="false">IF($M3267=0,"",INDEX(Classes!$E$6:$E$420,$M3267))</f>
        <v/>
      </c>
      <c r="C3267" s="62" t="str">
        <f aca="false">IF($M3267=0,"",INDEX(Classes!$H$6:$H$420,$M3267))</f>
        <v/>
      </c>
      <c r="D3267" s="61" t="str">
        <f aca="false">IF($M3267=0,"",INDEX(Classes!$B$6:$B$420,$M3267))</f>
        <v/>
      </c>
      <c r="E3267" s="61" t="str">
        <f aca="false">IF($M3267=0,"",INDEX(Classes!$C$6:$C$420,$M3267))</f>
        <v/>
      </c>
      <c r="F3267" s="63"/>
      <c r="G3267" s="63"/>
      <c r="H3267" s="60"/>
      <c r="I3267" s="60"/>
      <c r="J3267" s="63"/>
      <c r="K3267" s="61" t="str">
        <f aca="false">IF($P3267=0,"",IF($F3267="Baseline","— Baseline",IF($O3267=0,"No result",IF($N3267=0,"No Start (attainment only)",IF(OR($N3267=1,$O3267=1),"U – needs rule",INDEX(MxBody,MATCH($I3267,MxCurr,0),MATCH($H3267,MxStart,0)))))))</f>
        <v/>
      </c>
      <c r="L3267" s="62" t="str">
        <f aca="false">IF(COUNTA($A3267,$F3267,$G3267,$H3267,$I3267,$J3267)=0,"",IF($M3267=0,"✖ كود الصف غير موجود",IF(ISNA(MATCH($F3267,Lists!$A$2:$A$5,0)),"✖ الفترة غير صحيحة",IF(ISNA(MATCH($G3267,Lists!$B$2:$B$7,0)),"✖ المجموعة غير صحيحة",IF(NOT(OR($H3267="",$N3267&gt;0)),"✖ Start غير صحيح",IF(NOT(OR($I3267="",$I3267="NR",$O3267&gt;0)),"✖ Current غير صحيح",IF(NOT(IF(ISNUMBER($J3267),AND($J3267&gt;=0,$J3267=INT($J3267)),FALSE())),"✖ العدد يجب أن يكون صحيحًا ≥ 0",IF(AND($F3267="Baseline",$H3267&lt;&gt;""),"⚠ Baseline: Start لا يدخل في التقدم",IF($K3267="No Start (attainment only)","ℹ تحصيل فقط (بدون Start)",IF($K3267="U – needs rule","ℹ حالة U تحتاج قاعدة معتمدة",IF($K3267="No result","ℹ بدون نتيجة (يُستبعد من التحصيل)","OK")))))))))))</f>
        <v/>
      </c>
      <c r="M3267" s="64" t="n">
        <f aca="false">IF($A3267="",0,IFERROR(MATCH($A3267,Classes!$A$6:$A$420,0),0))</f>
        <v>0</v>
      </c>
      <c r="N3267" s="64" t="n">
        <f aca="false">IF($H3267="",0,IFERROR(MATCH($H3267,GradeList,0),0))</f>
        <v>0</v>
      </c>
      <c r="O3267" s="64" t="n">
        <f aca="false">IF(OR($I3267="",$I3267="NR"),0,IFERROR(MATCH($I3267,GradeList,0),0))</f>
        <v>0</v>
      </c>
      <c r="P3267" s="64" t="n">
        <f aca="false">IF(AND($M3267&gt;0,ISNUMBER(MATCH($F3267,Lists!$A$2:$A$5,0)),ISNUMBER(MATCH($G3267,Lists!$B$2:$B$7,0)),OR($H3267="",$N3267&gt;0),OR($I3267="",$I3267="NR",$O3267&gt;0),IF(ISNUMBER($J3267),AND($J3267&gt;=0,$J3267=INT($J3267)),FALSE())),$J3267,0)</f>
        <v>0</v>
      </c>
      <c r="Q3267" s="64" t="n">
        <f aca="false">IF(AND($P3267&gt;0,$O3267&gt;0),$P3267,0)</f>
        <v>0</v>
      </c>
      <c r="R3267" s="64" t="n">
        <f aca="false">IF(AND($Q3267&gt;0,$O3267&gt;=AtRank),$Q3267,0)</f>
        <v>0</v>
      </c>
      <c r="S3267" s="64" t="n">
        <f aca="false">IF(AND($Q3267&gt;0,$O3267&gt;=AboveRank),$Q3267,0)</f>
        <v>0</v>
      </c>
      <c r="T3267" s="64" t="n">
        <f aca="false">IF($K3267="Less",$P3267,0)</f>
        <v>0</v>
      </c>
      <c r="U3267" s="64" t="n">
        <f aca="false">IF($K3267="Expected",$P3267,0)</f>
        <v>0</v>
      </c>
      <c r="V3267" s="64" t="n">
        <f aca="false">IF($K3267="Better",$P3267,0)</f>
        <v>0</v>
      </c>
      <c r="W3267" s="64" t="n">
        <f aca="false">IF($K3267="U – needs rule",$P3267,0)</f>
        <v>0</v>
      </c>
      <c r="X3267" s="64" t="n">
        <f aca="false">IF($K3267="No Start (attainment only)",$P3267,0)</f>
        <v>0</v>
      </c>
    </row>
    <row r="3268" customFormat="false" ht="15" hidden="false" customHeight="false" outlineLevel="0" collapsed="false">
      <c r="A3268" s="60"/>
      <c r="B3268" s="61" t="str">
        <f aca="false">IF($M3268=0,"",INDEX(Classes!$E$6:$E$420,$M3268))</f>
        <v/>
      </c>
      <c r="C3268" s="62" t="str">
        <f aca="false">IF($M3268=0,"",INDEX(Classes!$H$6:$H$420,$M3268))</f>
        <v/>
      </c>
      <c r="D3268" s="61" t="str">
        <f aca="false">IF($M3268=0,"",INDEX(Classes!$B$6:$B$420,$M3268))</f>
        <v/>
      </c>
      <c r="E3268" s="61" t="str">
        <f aca="false">IF($M3268=0,"",INDEX(Classes!$C$6:$C$420,$M3268))</f>
        <v/>
      </c>
      <c r="F3268" s="63"/>
      <c r="G3268" s="63"/>
      <c r="H3268" s="60"/>
      <c r="I3268" s="60"/>
      <c r="J3268" s="63"/>
      <c r="K3268" s="61" t="str">
        <f aca="false">IF($P3268=0,"",IF($F3268="Baseline","— Baseline",IF($O3268=0,"No result",IF($N3268=0,"No Start (attainment only)",IF(OR($N3268=1,$O3268=1),"U – needs rule",INDEX(MxBody,MATCH($I3268,MxCurr,0),MATCH($H3268,MxStart,0)))))))</f>
        <v/>
      </c>
      <c r="L3268" s="62" t="str">
        <f aca="false">IF(COUNTA($A3268,$F3268,$G3268,$H3268,$I3268,$J3268)=0,"",IF($M3268=0,"✖ كود الصف غير موجود",IF(ISNA(MATCH($F3268,Lists!$A$2:$A$5,0)),"✖ الفترة غير صحيحة",IF(ISNA(MATCH($G3268,Lists!$B$2:$B$7,0)),"✖ المجموعة غير صحيحة",IF(NOT(OR($H3268="",$N3268&gt;0)),"✖ Start غير صحيح",IF(NOT(OR($I3268="",$I3268="NR",$O3268&gt;0)),"✖ Current غير صحيح",IF(NOT(IF(ISNUMBER($J3268),AND($J3268&gt;=0,$J3268=INT($J3268)),FALSE())),"✖ العدد يجب أن يكون صحيحًا ≥ 0",IF(AND($F3268="Baseline",$H3268&lt;&gt;""),"⚠ Baseline: Start لا يدخل في التقدم",IF($K3268="No Start (attainment only)","ℹ تحصيل فقط (بدون Start)",IF($K3268="U – needs rule","ℹ حالة U تحتاج قاعدة معتمدة",IF($K3268="No result","ℹ بدون نتيجة (يُستبعد من التحصيل)","OK")))))))))))</f>
        <v/>
      </c>
      <c r="M3268" s="64" t="n">
        <f aca="false">IF($A3268="",0,IFERROR(MATCH($A3268,Classes!$A$6:$A$420,0),0))</f>
        <v>0</v>
      </c>
      <c r="N3268" s="64" t="n">
        <f aca="false">IF($H3268="",0,IFERROR(MATCH($H3268,GradeList,0),0))</f>
        <v>0</v>
      </c>
      <c r="O3268" s="64" t="n">
        <f aca="false">IF(OR($I3268="",$I3268="NR"),0,IFERROR(MATCH($I3268,GradeList,0),0))</f>
        <v>0</v>
      </c>
      <c r="P3268" s="64" t="n">
        <f aca="false">IF(AND($M3268&gt;0,ISNUMBER(MATCH($F3268,Lists!$A$2:$A$5,0)),ISNUMBER(MATCH($G3268,Lists!$B$2:$B$7,0)),OR($H3268="",$N3268&gt;0),OR($I3268="",$I3268="NR",$O3268&gt;0),IF(ISNUMBER($J3268),AND($J3268&gt;=0,$J3268=INT($J3268)),FALSE())),$J3268,0)</f>
        <v>0</v>
      </c>
      <c r="Q3268" s="64" t="n">
        <f aca="false">IF(AND($P3268&gt;0,$O3268&gt;0),$P3268,0)</f>
        <v>0</v>
      </c>
      <c r="R3268" s="64" t="n">
        <f aca="false">IF(AND($Q3268&gt;0,$O3268&gt;=AtRank),$Q3268,0)</f>
        <v>0</v>
      </c>
      <c r="S3268" s="64" t="n">
        <f aca="false">IF(AND($Q3268&gt;0,$O3268&gt;=AboveRank),$Q3268,0)</f>
        <v>0</v>
      </c>
      <c r="T3268" s="64" t="n">
        <f aca="false">IF($K3268="Less",$P3268,0)</f>
        <v>0</v>
      </c>
      <c r="U3268" s="64" t="n">
        <f aca="false">IF($K3268="Expected",$P3268,0)</f>
        <v>0</v>
      </c>
      <c r="V3268" s="64" t="n">
        <f aca="false">IF($K3268="Better",$P3268,0)</f>
        <v>0</v>
      </c>
      <c r="W3268" s="64" t="n">
        <f aca="false">IF($K3268="U – needs rule",$P3268,0)</f>
        <v>0</v>
      </c>
      <c r="X3268" s="64" t="n">
        <f aca="false">IF($K3268="No Start (attainment only)",$P3268,0)</f>
        <v>0</v>
      </c>
    </row>
    <row r="3269" customFormat="false" ht="15" hidden="false" customHeight="false" outlineLevel="0" collapsed="false">
      <c r="A3269" s="60"/>
      <c r="B3269" s="61" t="str">
        <f aca="false">IF($M3269=0,"",INDEX(Classes!$E$6:$E$420,$M3269))</f>
        <v/>
      </c>
      <c r="C3269" s="62" t="str">
        <f aca="false">IF($M3269=0,"",INDEX(Classes!$H$6:$H$420,$M3269))</f>
        <v/>
      </c>
      <c r="D3269" s="61" t="str">
        <f aca="false">IF($M3269=0,"",INDEX(Classes!$B$6:$B$420,$M3269))</f>
        <v/>
      </c>
      <c r="E3269" s="61" t="str">
        <f aca="false">IF($M3269=0,"",INDEX(Classes!$C$6:$C$420,$M3269))</f>
        <v/>
      </c>
      <c r="F3269" s="63"/>
      <c r="G3269" s="63"/>
      <c r="H3269" s="60"/>
      <c r="I3269" s="60"/>
      <c r="J3269" s="63"/>
      <c r="K3269" s="61" t="str">
        <f aca="false">IF($P3269=0,"",IF($F3269="Baseline","— Baseline",IF($O3269=0,"No result",IF($N3269=0,"No Start (attainment only)",IF(OR($N3269=1,$O3269=1),"U – needs rule",INDEX(MxBody,MATCH($I3269,MxCurr,0),MATCH($H3269,MxStart,0)))))))</f>
        <v/>
      </c>
      <c r="L3269" s="62" t="str">
        <f aca="false">IF(COUNTA($A3269,$F3269,$G3269,$H3269,$I3269,$J3269)=0,"",IF($M3269=0,"✖ كود الصف غير موجود",IF(ISNA(MATCH($F3269,Lists!$A$2:$A$5,0)),"✖ الفترة غير صحيحة",IF(ISNA(MATCH($G3269,Lists!$B$2:$B$7,0)),"✖ المجموعة غير صحيحة",IF(NOT(OR($H3269="",$N3269&gt;0)),"✖ Start غير صحيح",IF(NOT(OR($I3269="",$I3269="NR",$O3269&gt;0)),"✖ Current غير صحيح",IF(NOT(IF(ISNUMBER($J3269),AND($J3269&gt;=0,$J3269=INT($J3269)),FALSE())),"✖ العدد يجب أن يكون صحيحًا ≥ 0",IF(AND($F3269="Baseline",$H3269&lt;&gt;""),"⚠ Baseline: Start لا يدخل في التقدم",IF($K3269="No Start (attainment only)","ℹ تحصيل فقط (بدون Start)",IF($K3269="U – needs rule","ℹ حالة U تحتاج قاعدة معتمدة",IF($K3269="No result","ℹ بدون نتيجة (يُستبعد من التحصيل)","OK")))))))))))</f>
        <v/>
      </c>
      <c r="M3269" s="64" t="n">
        <f aca="false">IF($A3269="",0,IFERROR(MATCH($A3269,Classes!$A$6:$A$420,0),0))</f>
        <v>0</v>
      </c>
      <c r="N3269" s="64" t="n">
        <f aca="false">IF($H3269="",0,IFERROR(MATCH($H3269,GradeList,0),0))</f>
        <v>0</v>
      </c>
      <c r="O3269" s="64" t="n">
        <f aca="false">IF(OR($I3269="",$I3269="NR"),0,IFERROR(MATCH($I3269,GradeList,0),0))</f>
        <v>0</v>
      </c>
      <c r="P3269" s="64" t="n">
        <f aca="false">IF(AND($M3269&gt;0,ISNUMBER(MATCH($F3269,Lists!$A$2:$A$5,0)),ISNUMBER(MATCH($G3269,Lists!$B$2:$B$7,0)),OR($H3269="",$N3269&gt;0),OR($I3269="",$I3269="NR",$O3269&gt;0),IF(ISNUMBER($J3269),AND($J3269&gt;=0,$J3269=INT($J3269)),FALSE())),$J3269,0)</f>
        <v>0</v>
      </c>
      <c r="Q3269" s="64" t="n">
        <f aca="false">IF(AND($P3269&gt;0,$O3269&gt;0),$P3269,0)</f>
        <v>0</v>
      </c>
      <c r="R3269" s="64" t="n">
        <f aca="false">IF(AND($Q3269&gt;0,$O3269&gt;=AtRank),$Q3269,0)</f>
        <v>0</v>
      </c>
      <c r="S3269" s="64" t="n">
        <f aca="false">IF(AND($Q3269&gt;0,$O3269&gt;=AboveRank),$Q3269,0)</f>
        <v>0</v>
      </c>
      <c r="T3269" s="64" t="n">
        <f aca="false">IF($K3269="Less",$P3269,0)</f>
        <v>0</v>
      </c>
      <c r="U3269" s="64" t="n">
        <f aca="false">IF($K3269="Expected",$P3269,0)</f>
        <v>0</v>
      </c>
      <c r="V3269" s="64" t="n">
        <f aca="false">IF($K3269="Better",$P3269,0)</f>
        <v>0</v>
      </c>
      <c r="W3269" s="64" t="n">
        <f aca="false">IF($K3269="U – needs rule",$P3269,0)</f>
        <v>0</v>
      </c>
      <c r="X3269" s="64" t="n">
        <f aca="false">IF($K3269="No Start (attainment only)",$P3269,0)</f>
        <v>0</v>
      </c>
    </row>
    <row r="3270" customFormat="false" ht="15" hidden="false" customHeight="false" outlineLevel="0" collapsed="false">
      <c r="A3270" s="60"/>
      <c r="B3270" s="61" t="str">
        <f aca="false">IF($M3270=0,"",INDEX(Classes!$E$6:$E$420,$M3270))</f>
        <v/>
      </c>
      <c r="C3270" s="62" t="str">
        <f aca="false">IF($M3270=0,"",INDEX(Classes!$H$6:$H$420,$M3270))</f>
        <v/>
      </c>
      <c r="D3270" s="61" t="str">
        <f aca="false">IF($M3270=0,"",INDEX(Classes!$B$6:$B$420,$M3270))</f>
        <v/>
      </c>
      <c r="E3270" s="61" t="str">
        <f aca="false">IF($M3270=0,"",INDEX(Classes!$C$6:$C$420,$M3270))</f>
        <v/>
      </c>
      <c r="F3270" s="63"/>
      <c r="G3270" s="63"/>
      <c r="H3270" s="60"/>
      <c r="I3270" s="60"/>
      <c r="J3270" s="63"/>
      <c r="K3270" s="61" t="str">
        <f aca="false">IF($P3270=0,"",IF($F3270="Baseline","— Baseline",IF($O3270=0,"No result",IF($N3270=0,"No Start (attainment only)",IF(OR($N3270=1,$O3270=1),"U – needs rule",INDEX(MxBody,MATCH($I3270,MxCurr,0),MATCH($H3270,MxStart,0)))))))</f>
        <v/>
      </c>
      <c r="L3270" s="62" t="str">
        <f aca="false">IF(COUNTA($A3270,$F3270,$G3270,$H3270,$I3270,$J3270)=0,"",IF($M3270=0,"✖ كود الصف غير موجود",IF(ISNA(MATCH($F3270,Lists!$A$2:$A$5,0)),"✖ الفترة غير صحيحة",IF(ISNA(MATCH($G3270,Lists!$B$2:$B$7,0)),"✖ المجموعة غير صحيحة",IF(NOT(OR($H3270="",$N3270&gt;0)),"✖ Start غير صحيح",IF(NOT(OR($I3270="",$I3270="NR",$O3270&gt;0)),"✖ Current غير صحيح",IF(NOT(IF(ISNUMBER($J3270),AND($J3270&gt;=0,$J3270=INT($J3270)),FALSE())),"✖ العدد يجب أن يكون صحيحًا ≥ 0",IF(AND($F3270="Baseline",$H3270&lt;&gt;""),"⚠ Baseline: Start لا يدخل في التقدم",IF($K3270="No Start (attainment only)","ℹ تحصيل فقط (بدون Start)",IF($K3270="U – needs rule","ℹ حالة U تحتاج قاعدة معتمدة",IF($K3270="No result","ℹ بدون نتيجة (يُستبعد من التحصيل)","OK")))))))))))</f>
        <v/>
      </c>
      <c r="M3270" s="64" t="n">
        <f aca="false">IF($A3270="",0,IFERROR(MATCH($A3270,Classes!$A$6:$A$420,0),0))</f>
        <v>0</v>
      </c>
      <c r="N3270" s="64" t="n">
        <f aca="false">IF($H3270="",0,IFERROR(MATCH($H3270,GradeList,0),0))</f>
        <v>0</v>
      </c>
      <c r="O3270" s="64" t="n">
        <f aca="false">IF(OR($I3270="",$I3270="NR"),0,IFERROR(MATCH($I3270,GradeList,0),0))</f>
        <v>0</v>
      </c>
      <c r="P3270" s="64" t="n">
        <f aca="false">IF(AND($M3270&gt;0,ISNUMBER(MATCH($F3270,Lists!$A$2:$A$5,0)),ISNUMBER(MATCH($G3270,Lists!$B$2:$B$7,0)),OR($H3270="",$N3270&gt;0),OR($I3270="",$I3270="NR",$O3270&gt;0),IF(ISNUMBER($J3270),AND($J3270&gt;=0,$J3270=INT($J3270)),FALSE())),$J3270,0)</f>
        <v>0</v>
      </c>
      <c r="Q3270" s="64" t="n">
        <f aca="false">IF(AND($P3270&gt;0,$O3270&gt;0),$P3270,0)</f>
        <v>0</v>
      </c>
      <c r="R3270" s="64" t="n">
        <f aca="false">IF(AND($Q3270&gt;0,$O3270&gt;=AtRank),$Q3270,0)</f>
        <v>0</v>
      </c>
      <c r="S3270" s="64" t="n">
        <f aca="false">IF(AND($Q3270&gt;0,$O3270&gt;=AboveRank),$Q3270,0)</f>
        <v>0</v>
      </c>
      <c r="T3270" s="64" t="n">
        <f aca="false">IF($K3270="Less",$P3270,0)</f>
        <v>0</v>
      </c>
      <c r="U3270" s="64" t="n">
        <f aca="false">IF($K3270="Expected",$P3270,0)</f>
        <v>0</v>
      </c>
      <c r="V3270" s="64" t="n">
        <f aca="false">IF($K3270="Better",$P3270,0)</f>
        <v>0</v>
      </c>
      <c r="W3270" s="64" t="n">
        <f aca="false">IF($K3270="U – needs rule",$P3270,0)</f>
        <v>0</v>
      </c>
      <c r="X3270" s="64" t="n">
        <f aca="false">IF($K3270="No Start (attainment only)",$P3270,0)</f>
        <v>0</v>
      </c>
    </row>
    <row r="3271" customFormat="false" ht="15" hidden="false" customHeight="false" outlineLevel="0" collapsed="false">
      <c r="A3271" s="60"/>
      <c r="B3271" s="61" t="str">
        <f aca="false">IF($M3271=0,"",INDEX(Classes!$E$6:$E$420,$M3271))</f>
        <v/>
      </c>
      <c r="C3271" s="62" t="str">
        <f aca="false">IF($M3271=0,"",INDEX(Classes!$H$6:$H$420,$M3271))</f>
        <v/>
      </c>
      <c r="D3271" s="61" t="str">
        <f aca="false">IF($M3271=0,"",INDEX(Classes!$B$6:$B$420,$M3271))</f>
        <v/>
      </c>
      <c r="E3271" s="61" t="str">
        <f aca="false">IF($M3271=0,"",INDEX(Classes!$C$6:$C$420,$M3271))</f>
        <v/>
      </c>
      <c r="F3271" s="63"/>
      <c r="G3271" s="63"/>
      <c r="H3271" s="60"/>
      <c r="I3271" s="60"/>
      <c r="J3271" s="63"/>
      <c r="K3271" s="61" t="str">
        <f aca="false">IF($P3271=0,"",IF($F3271="Baseline","— Baseline",IF($O3271=0,"No result",IF($N3271=0,"No Start (attainment only)",IF(OR($N3271=1,$O3271=1),"U – needs rule",INDEX(MxBody,MATCH($I3271,MxCurr,0),MATCH($H3271,MxStart,0)))))))</f>
        <v/>
      </c>
      <c r="L3271" s="62" t="str">
        <f aca="false">IF(COUNTA($A3271,$F3271,$G3271,$H3271,$I3271,$J3271)=0,"",IF($M3271=0,"✖ كود الصف غير موجود",IF(ISNA(MATCH($F3271,Lists!$A$2:$A$5,0)),"✖ الفترة غير صحيحة",IF(ISNA(MATCH($G3271,Lists!$B$2:$B$7,0)),"✖ المجموعة غير صحيحة",IF(NOT(OR($H3271="",$N3271&gt;0)),"✖ Start غير صحيح",IF(NOT(OR($I3271="",$I3271="NR",$O3271&gt;0)),"✖ Current غير صحيح",IF(NOT(IF(ISNUMBER($J3271),AND($J3271&gt;=0,$J3271=INT($J3271)),FALSE())),"✖ العدد يجب أن يكون صحيحًا ≥ 0",IF(AND($F3271="Baseline",$H3271&lt;&gt;""),"⚠ Baseline: Start لا يدخل في التقدم",IF($K3271="No Start (attainment only)","ℹ تحصيل فقط (بدون Start)",IF($K3271="U – needs rule","ℹ حالة U تحتاج قاعدة معتمدة",IF($K3271="No result","ℹ بدون نتيجة (يُستبعد من التحصيل)","OK")))))))))))</f>
        <v/>
      </c>
      <c r="M3271" s="64" t="n">
        <f aca="false">IF($A3271="",0,IFERROR(MATCH($A3271,Classes!$A$6:$A$420,0),0))</f>
        <v>0</v>
      </c>
      <c r="N3271" s="64" t="n">
        <f aca="false">IF($H3271="",0,IFERROR(MATCH($H3271,GradeList,0),0))</f>
        <v>0</v>
      </c>
      <c r="O3271" s="64" t="n">
        <f aca="false">IF(OR($I3271="",$I3271="NR"),0,IFERROR(MATCH($I3271,GradeList,0),0))</f>
        <v>0</v>
      </c>
      <c r="P3271" s="64" t="n">
        <f aca="false">IF(AND($M3271&gt;0,ISNUMBER(MATCH($F3271,Lists!$A$2:$A$5,0)),ISNUMBER(MATCH($G3271,Lists!$B$2:$B$7,0)),OR($H3271="",$N3271&gt;0),OR($I3271="",$I3271="NR",$O3271&gt;0),IF(ISNUMBER($J3271),AND($J3271&gt;=0,$J3271=INT($J3271)),FALSE())),$J3271,0)</f>
        <v>0</v>
      </c>
      <c r="Q3271" s="64" t="n">
        <f aca="false">IF(AND($P3271&gt;0,$O3271&gt;0),$P3271,0)</f>
        <v>0</v>
      </c>
      <c r="R3271" s="64" t="n">
        <f aca="false">IF(AND($Q3271&gt;0,$O3271&gt;=AtRank),$Q3271,0)</f>
        <v>0</v>
      </c>
      <c r="S3271" s="64" t="n">
        <f aca="false">IF(AND($Q3271&gt;0,$O3271&gt;=AboveRank),$Q3271,0)</f>
        <v>0</v>
      </c>
      <c r="T3271" s="64" t="n">
        <f aca="false">IF($K3271="Less",$P3271,0)</f>
        <v>0</v>
      </c>
      <c r="U3271" s="64" t="n">
        <f aca="false">IF($K3271="Expected",$P3271,0)</f>
        <v>0</v>
      </c>
      <c r="V3271" s="64" t="n">
        <f aca="false">IF($K3271="Better",$P3271,0)</f>
        <v>0</v>
      </c>
      <c r="W3271" s="64" t="n">
        <f aca="false">IF($K3271="U – needs rule",$P3271,0)</f>
        <v>0</v>
      </c>
      <c r="X3271" s="64" t="n">
        <f aca="false">IF($K3271="No Start (attainment only)",$P3271,0)</f>
        <v>0</v>
      </c>
    </row>
    <row r="3272" customFormat="false" ht="15" hidden="false" customHeight="false" outlineLevel="0" collapsed="false">
      <c r="A3272" s="60"/>
      <c r="B3272" s="61" t="str">
        <f aca="false">IF($M3272=0,"",INDEX(Classes!$E$6:$E$420,$M3272))</f>
        <v/>
      </c>
      <c r="C3272" s="62" t="str">
        <f aca="false">IF($M3272=0,"",INDEX(Classes!$H$6:$H$420,$M3272))</f>
        <v/>
      </c>
      <c r="D3272" s="61" t="str">
        <f aca="false">IF($M3272=0,"",INDEX(Classes!$B$6:$B$420,$M3272))</f>
        <v/>
      </c>
      <c r="E3272" s="61" t="str">
        <f aca="false">IF($M3272=0,"",INDEX(Classes!$C$6:$C$420,$M3272))</f>
        <v/>
      </c>
      <c r="F3272" s="63"/>
      <c r="G3272" s="63"/>
      <c r="H3272" s="60"/>
      <c r="I3272" s="60"/>
      <c r="J3272" s="63"/>
      <c r="K3272" s="61" t="str">
        <f aca="false">IF($P3272=0,"",IF($F3272="Baseline","— Baseline",IF($O3272=0,"No result",IF($N3272=0,"No Start (attainment only)",IF(OR($N3272=1,$O3272=1),"U – needs rule",INDEX(MxBody,MATCH($I3272,MxCurr,0),MATCH($H3272,MxStart,0)))))))</f>
        <v/>
      </c>
      <c r="L3272" s="62" t="str">
        <f aca="false">IF(COUNTA($A3272,$F3272,$G3272,$H3272,$I3272,$J3272)=0,"",IF($M3272=0,"✖ كود الصف غير موجود",IF(ISNA(MATCH($F3272,Lists!$A$2:$A$5,0)),"✖ الفترة غير صحيحة",IF(ISNA(MATCH($G3272,Lists!$B$2:$B$7,0)),"✖ المجموعة غير صحيحة",IF(NOT(OR($H3272="",$N3272&gt;0)),"✖ Start غير صحيح",IF(NOT(OR($I3272="",$I3272="NR",$O3272&gt;0)),"✖ Current غير صحيح",IF(NOT(IF(ISNUMBER($J3272),AND($J3272&gt;=0,$J3272=INT($J3272)),FALSE())),"✖ العدد يجب أن يكون صحيحًا ≥ 0",IF(AND($F3272="Baseline",$H3272&lt;&gt;""),"⚠ Baseline: Start لا يدخل في التقدم",IF($K3272="No Start (attainment only)","ℹ تحصيل فقط (بدون Start)",IF($K3272="U – needs rule","ℹ حالة U تحتاج قاعدة معتمدة",IF($K3272="No result","ℹ بدون نتيجة (يُستبعد من التحصيل)","OK")))))))))))</f>
        <v/>
      </c>
      <c r="M3272" s="64" t="n">
        <f aca="false">IF($A3272="",0,IFERROR(MATCH($A3272,Classes!$A$6:$A$420,0),0))</f>
        <v>0</v>
      </c>
      <c r="N3272" s="64" t="n">
        <f aca="false">IF($H3272="",0,IFERROR(MATCH($H3272,GradeList,0),0))</f>
        <v>0</v>
      </c>
      <c r="O3272" s="64" t="n">
        <f aca="false">IF(OR($I3272="",$I3272="NR"),0,IFERROR(MATCH($I3272,GradeList,0),0))</f>
        <v>0</v>
      </c>
      <c r="P3272" s="64" t="n">
        <f aca="false">IF(AND($M3272&gt;0,ISNUMBER(MATCH($F3272,Lists!$A$2:$A$5,0)),ISNUMBER(MATCH($G3272,Lists!$B$2:$B$7,0)),OR($H3272="",$N3272&gt;0),OR($I3272="",$I3272="NR",$O3272&gt;0),IF(ISNUMBER($J3272),AND($J3272&gt;=0,$J3272=INT($J3272)),FALSE())),$J3272,0)</f>
        <v>0</v>
      </c>
      <c r="Q3272" s="64" t="n">
        <f aca="false">IF(AND($P3272&gt;0,$O3272&gt;0),$P3272,0)</f>
        <v>0</v>
      </c>
      <c r="R3272" s="64" t="n">
        <f aca="false">IF(AND($Q3272&gt;0,$O3272&gt;=AtRank),$Q3272,0)</f>
        <v>0</v>
      </c>
      <c r="S3272" s="64" t="n">
        <f aca="false">IF(AND($Q3272&gt;0,$O3272&gt;=AboveRank),$Q3272,0)</f>
        <v>0</v>
      </c>
      <c r="T3272" s="64" t="n">
        <f aca="false">IF($K3272="Less",$P3272,0)</f>
        <v>0</v>
      </c>
      <c r="U3272" s="64" t="n">
        <f aca="false">IF($K3272="Expected",$P3272,0)</f>
        <v>0</v>
      </c>
      <c r="V3272" s="64" t="n">
        <f aca="false">IF($K3272="Better",$P3272,0)</f>
        <v>0</v>
      </c>
      <c r="W3272" s="64" t="n">
        <f aca="false">IF($K3272="U – needs rule",$P3272,0)</f>
        <v>0</v>
      </c>
      <c r="X3272" s="64" t="n">
        <f aca="false">IF($K3272="No Start (attainment only)",$P3272,0)</f>
        <v>0</v>
      </c>
    </row>
    <row r="3273" customFormat="false" ht="15" hidden="false" customHeight="false" outlineLevel="0" collapsed="false">
      <c r="A3273" s="60"/>
      <c r="B3273" s="61" t="str">
        <f aca="false">IF($M3273=0,"",INDEX(Classes!$E$6:$E$420,$M3273))</f>
        <v/>
      </c>
      <c r="C3273" s="62" t="str">
        <f aca="false">IF($M3273=0,"",INDEX(Classes!$H$6:$H$420,$M3273))</f>
        <v/>
      </c>
      <c r="D3273" s="61" t="str">
        <f aca="false">IF($M3273=0,"",INDEX(Classes!$B$6:$B$420,$M3273))</f>
        <v/>
      </c>
      <c r="E3273" s="61" t="str">
        <f aca="false">IF($M3273=0,"",INDEX(Classes!$C$6:$C$420,$M3273))</f>
        <v/>
      </c>
      <c r="F3273" s="63"/>
      <c r="G3273" s="63"/>
      <c r="H3273" s="60"/>
      <c r="I3273" s="60"/>
      <c r="J3273" s="63"/>
      <c r="K3273" s="61" t="str">
        <f aca="false">IF($P3273=0,"",IF($F3273="Baseline","— Baseline",IF($O3273=0,"No result",IF($N3273=0,"No Start (attainment only)",IF(OR($N3273=1,$O3273=1),"U – needs rule",INDEX(MxBody,MATCH($I3273,MxCurr,0),MATCH($H3273,MxStart,0)))))))</f>
        <v/>
      </c>
      <c r="L3273" s="62" t="str">
        <f aca="false">IF(COUNTA($A3273,$F3273,$G3273,$H3273,$I3273,$J3273)=0,"",IF($M3273=0,"✖ كود الصف غير موجود",IF(ISNA(MATCH($F3273,Lists!$A$2:$A$5,0)),"✖ الفترة غير صحيحة",IF(ISNA(MATCH($G3273,Lists!$B$2:$B$7,0)),"✖ المجموعة غير صحيحة",IF(NOT(OR($H3273="",$N3273&gt;0)),"✖ Start غير صحيح",IF(NOT(OR($I3273="",$I3273="NR",$O3273&gt;0)),"✖ Current غير صحيح",IF(NOT(IF(ISNUMBER($J3273),AND($J3273&gt;=0,$J3273=INT($J3273)),FALSE())),"✖ العدد يجب أن يكون صحيحًا ≥ 0",IF(AND($F3273="Baseline",$H3273&lt;&gt;""),"⚠ Baseline: Start لا يدخل في التقدم",IF($K3273="No Start (attainment only)","ℹ تحصيل فقط (بدون Start)",IF($K3273="U – needs rule","ℹ حالة U تحتاج قاعدة معتمدة",IF($K3273="No result","ℹ بدون نتيجة (يُستبعد من التحصيل)","OK")))))))))))</f>
        <v/>
      </c>
      <c r="M3273" s="64" t="n">
        <f aca="false">IF($A3273="",0,IFERROR(MATCH($A3273,Classes!$A$6:$A$420,0),0))</f>
        <v>0</v>
      </c>
      <c r="N3273" s="64" t="n">
        <f aca="false">IF($H3273="",0,IFERROR(MATCH($H3273,GradeList,0),0))</f>
        <v>0</v>
      </c>
      <c r="O3273" s="64" t="n">
        <f aca="false">IF(OR($I3273="",$I3273="NR"),0,IFERROR(MATCH($I3273,GradeList,0),0))</f>
        <v>0</v>
      </c>
      <c r="P3273" s="64" t="n">
        <f aca="false">IF(AND($M3273&gt;0,ISNUMBER(MATCH($F3273,Lists!$A$2:$A$5,0)),ISNUMBER(MATCH($G3273,Lists!$B$2:$B$7,0)),OR($H3273="",$N3273&gt;0),OR($I3273="",$I3273="NR",$O3273&gt;0),IF(ISNUMBER($J3273),AND($J3273&gt;=0,$J3273=INT($J3273)),FALSE())),$J3273,0)</f>
        <v>0</v>
      </c>
      <c r="Q3273" s="64" t="n">
        <f aca="false">IF(AND($P3273&gt;0,$O3273&gt;0),$P3273,0)</f>
        <v>0</v>
      </c>
      <c r="R3273" s="64" t="n">
        <f aca="false">IF(AND($Q3273&gt;0,$O3273&gt;=AtRank),$Q3273,0)</f>
        <v>0</v>
      </c>
      <c r="S3273" s="64" t="n">
        <f aca="false">IF(AND($Q3273&gt;0,$O3273&gt;=AboveRank),$Q3273,0)</f>
        <v>0</v>
      </c>
      <c r="T3273" s="64" t="n">
        <f aca="false">IF($K3273="Less",$P3273,0)</f>
        <v>0</v>
      </c>
      <c r="U3273" s="64" t="n">
        <f aca="false">IF($K3273="Expected",$P3273,0)</f>
        <v>0</v>
      </c>
      <c r="V3273" s="64" t="n">
        <f aca="false">IF($K3273="Better",$P3273,0)</f>
        <v>0</v>
      </c>
      <c r="W3273" s="64" t="n">
        <f aca="false">IF($K3273="U – needs rule",$P3273,0)</f>
        <v>0</v>
      </c>
      <c r="X3273" s="64" t="n">
        <f aca="false">IF($K3273="No Start (attainment only)",$P3273,0)</f>
        <v>0</v>
      </c>
    </row>
    <row r="3274" customFormat="false" ht="15" hidden="false" customHeight="false" outlineLevel="0" collapsed="false">
      <c r="A3274" s="60"/>
      <c r="B3274" s="61" t="str">
        <f aca="false">IF($M3274=0,"",INDEX(Classes!$E$6:$E$420,$M3274))</f>
        <v/>
      </c>
      <c r="C3274" s="62" t="str">
        <f aca="false">IF($M3274=0,"",INDEX(Classes!$H$6:$H$420,$M3274))</f>
        <v/>
      </c>
      <c r="D3274" s="61" t="str">
        <f aca="false">IF($M3274=0,"",INDEX(Classes!$B$6:$B$420,$M3274))</f>
        <v/>
      </c>
      <c r="E3274" s="61" t="str">
        <f aca="false">IF($M3274=0,"",INDEX(Classes!$C$6:$C$420,$M3274))</f>
        <v/>
      </c>
      <c r="F3274" s="63"/>
      <c r="G3274" s="63"/>
      <c r="H3274" s="60"/>
      <c r="I3274" s="60"/>
      <c r="J3274" s="63"/>
      <c r="K3274" s="61" t="str">
        <f aca="false">IF($P3274=0,"",IF($F3274="Baseline","— Baseline",IF($O3274=0,"No result",IF($N3274=0,"No Start (attainment only)",IF(OR($N3274=1,$O3274=1),"U – needs rule",INDEX(MxBody,MATCH($I3274,MxCurr,0),MATCH($H3274,MxStart,0)))))))</f>
        <v/>
      </c>
      <c r="L3274" s="62" t="str">
        <f aca="false">IF(COUNTA($A3274,$F3274,$G3274,$H3274,$I3274,$J3274)=0,"",IF($M3274=0,"✖ كود الصف غير موجود",IF(ISNA(MATCH($F3274,Lists!$A$2:$A$5,0)),"✖ الفترة غير صحيحة",IF(ISNA(MATCH($G3274,Lists!$B$2:$B$7,0)),"✖ المجموعة غير صحيحة",IF(NOT(OR($H3274="",$N3274&gt;0)),"✖ Start غير صحيح",IF(NOT(OR($I3274="",$I3274="NR",$O3274&gt;0)),"✖ Current غير صحيح",IF(NOT(IF(ISNUMBER($J3274),AND($J3274&gt;=0,$J3274=INT($J3274)),FALSE())),"✖ العدد يجب أن يكون صحيحًا ≥ 0",IF(AND($F3274="Baseline",$H3274&lt;&gt;""),"⚠ Baseline: Start لا يدخل في التقدم",IF($K3274="No Start (attainment only)","ℹ تحصيل فقط (بدون Start)",IF($K3274="U – needs rule","ℹ حالة U تحتاج قاعدة معتمدة",IF($K3274="No result","ℹ بدون نتيجة (يُستبعد من التحصيل)","OK")))))))))))</f>
        <v/>
      </c>
      <c r="M3274" s="64" t="n">
        <f aca="false">IF($A3274="",0,IFERROR(MATCH($A3274,Classes!$A$6:$A$420,0),0))</f>
        <v>0</v>
      </c>
      <c r="N3274" s="64" t="n">
        <f aca="false">IF($H3274="",0,IFERROR(MATCH($H3274,GradeList,0),0))</f>
        <v>0</v>
      </c>
      <c r="O3274" s="64" t="n">
        <f aca="false">IF(OR($I3274="",$I3274="NR"),0,IFERROR(MATCH($I3274,GradeList,0),0))</f>
        <v>0</v>
      </c>
      <c r="P3274" s="64" t="n">
        <f aca="false">IF(AND($M3274&gt;0,ISNUMBER(MATCH($F3274,Lists!$A$2:$A$5,0)),ISNUMBER(MATCH($G3274,Lists!$B$2:$B$7,0)),OR($H3274="",$N3274&gt;0),OR($I3274="",$I3274="NR",$O3274&gt;0),IF(ISNUMBER($J3274),AND($J3274&gt;=0,$J3274=INT($J3274)),FALSE())),$J3274,0)</f>
        <v>0</v>
      </c>
      <c r="Q3274" s="64" t="n">
        <f aca="false">IF(AND($P3274&gt;0,$O3274&gt;0),$P3274,0)</f>
        <v>0</v>
      </c>
      <c r="R3274" s="64" t="n">
        <f aca="false">IF(AND($Q3274&gt;0,$O3274&gt;=AtRank),$Q3274,0)</f>
        <v>0</v>
      </c>
      <c r="S3274" s="64" t="n">
        <f aca="false">IF(AND($Q3274&gt;0,$O3274&gt;=AboveRank),$Q3274,0)</f>
        <v>0</v>
      </c>
      <c r="T3274" s="64" t="n">
        <f aca="false">IF($K3274="Less",$P3274,0)</f>
        <v>0</v>
      </c>
      <c r="U3274" s="64" t="n">
        <f aca="false">IF($K3274="Expected",$P3274,0)</f>
        <v>0</v>
      </c>
      <c r="V3274" s="64" t="n">
        <f aca="false">IF($K3274="Better",$P3274,0)</f>
        <v>0</v>
      </c>
      <c r="W3274" s="64" t="n">
        <f aca="false">IF($K3274="U – needs rule",$P3274,0)</f>
        <v>0</v>
      </c>
      <c r="X3274" s="64" t="n">
        <f aca="false">IF($K3274="No Start (attainment only)",$P3274,0)</f>
        <v>0</v>
      </c>
    </row>
    <row r="3275" customFormat="false" ht="15" hidden="false" customHeight="false" outlineLevel="0" collapsed="false">
      <c r="A3275" s="60"/>
      <c r="B3275" s="61" t="str">
        <f aca="false">IF($M3275=0,"",INDEX(Classes!$E$6:$E$420,$M3275))</f>
        <v/>
      </c>
      <c r="C3275" s="62" t="str">
        <f aca="false">IF($M3275=0,"",INDEX(Classes!$H$6:$H$420,$M3275))</f>
        <v/>
      </c>
      <c r="D3275" s="61" t="str">
        <f aca="false">IF($M3275=0,"",INDEX(Classes!$B$6:$B$420,$M3275))</f>
        <v/>
      </c>
      <c r="E3275" s="61" t="str">
        <f aca="false">IF($M3275=0,"",INDEX(Classes!$C$6:$C$420,$M3275))</f>
        <v/>
      </c>
      <c r="F3275" s="63"/>
      <c r="G3275" s="63"/>
      <c r="H3275" s="60"/>
      <c r="I3275" s="60"/>
      <c r="J3275" s="63"/>
      <c r="K3275" s="61" t="str">
        <f aca="false">IF($P3275=0,"",IF($F3275="Baseline","— Baseline",IF($O3275=0,"No result",IF($N3275=0,"No Start (attainment only)",IF(OR($N3275=1,$O3275=1),"U – needs rule",INDEX(MxBody,MATCH($I3275,MxCurr,0),MATCH($H3275,MxStart,0)))))))</f>
        <v/>
      </c>
      <c r="L3275" s="62" t="str">
        <f aca="false">IF(COUNTA($A3275,$F3275,$G3275,$H3275,$I3275,$J3275)=0,"",IF($M3275=0,"✖ كود الصف غير موجود",IF(ISNA(MATCH($F3275,Lists!$A$2:$A$5,0)),"✖ الفترة غير صحيحة",IF(ISNA(MATCH($G3275,Lists!$B$2:$B$7,0)),"✖ المجموعة غير صحيحة",IF(NOT(OR($H3275="",$N3275&gt;0)),"✖ Start غير صحيح",IF(NOT(OR($I3275="",$I3275="NR",$O3275&gt;0)),"✖ Current غير صحيح",IF(NOT(IF(ISNUMBER($J3275),AND($J3275&gt;=0,$J3275=INT($J3275)),FALSE())),"✖ العدد يجب أن يكون صحيحًا ≥ 0",IF(AND($F3275="Baseline",$H3275&lt;&gt;""),"⚠ Baseline: Start لا يدخل في التقدم",IF($K3275="No Start (attainment only)","ℹ تحصيل فقط (بدون Start)",IF($K3275="U – needs rule","ℹ حالة U تحتاج قاعدة معتمدة",IF($K3275="No result","ℹ بدون نتيجة (يُستبعد من التحصيل)","OK")))))))))))</f>
        <v/>
      </c>
      <c r="M3275" s="64" t="n">
        <f aca="false">IF($A3275="",0,IFERROR(MATCH($A3275,Classes!$A$6:$A$420,0),0))</f>
        <v>0</v>
      </c>
      <c r="N3275" s="64" t="n">
        <f aca="false">IF($H3275="",0,IFERROR(MATCH($H3275,GradeList,0),0))</f>
        <v>0</v>
      </c>
      <c r="O3275" s="64" t="n">
        <f aca="false">IF(OR($I3275="",$I3275="NR"),0,IFERROR(MATCH($I3275,GradeList,0),0))</f>
        <v>0</v>
      </c>
      <c r="P3275" s="64" t="n">
        <f aca="false">IF(AND($M3275&gt;0,ISNUMBER(MATCH($F3275,Lists!$A$2:$A$5,0)),ISNUMBER(MATCH($G3275,Lists!$B$2:$B$7,0)),OR($H3275="",$N3275&gt;0),OR($I3275="",$I3275="NR",$O3275&gt;0),IF(ISNUMBER($J3275),AND($J3275&gt;=0,$J3275=INT($J3275)),FALSE())),$J3275,0)</f>
        <v>0</v>
      </c>
      <c r="Q3275" s="64" t="n">
        <f aca="false">IF(AND($P3275&gt;0,$O3275&gt;0),$P3275,0)</f>
        <v>0</v>
      </c>
      <c r="R3275" s="64" t="n">
        <f aca="false">IF(AND($Q3275&gt;0,$O3275&gt;=AtRank),$Q3275,0)</f>
        <v>0</v>
      </c>
      <c r="S3275" s="64" t="n">
        <f aca="false">IF(AND($Q3275&gt;0,$O3275&gt;=AboveRank),$Q3275,0)</f>
        <v>0</v>
      </c>
      <c r="T3275" s="64" t="n">
        <f aca="false">IF($K3275="Less",$P3275,0)</f>
        <v>0</v>
      </c>
      <c r="U3275" s="64" t="n">
        <f aca="false">IF($K3275="Expected",$P3275,0)</f>
        <v>0</v>
      </c>
      <c r="V3275" s="64" t="n">
        <f aca="false">IF($K3275="Better",$P3275,0)</f>
        <v>0</v>
      </c>
      <c r="W3275" s="64" t="n">
        <f aca="false">IF($K3275="U – needs rule",$P3275,0)</f>
        <v>0</v>
      </c>
      <c r="X3275" s="64" t="n">
        <f aca="false">IF($K3275="No Start (attainment only)",$P3275,0)</f>
        <v>0</v>
      </c>
    </row>
    <row r="3276" customFormat="false" ht="15" hidden="false" customHeight="false" outlineLevel="0" collapsed="false">
      <c r="A3276" s="60"/>
      <c r="B3276" s="61" t="str">
        <f aca="false">IF($M3276=0,"",INDEX(Classes!$E$6:$E$420,$M3276))</f>
        <v/>
      </c>
      <c r="C3276" s="62" t="str">
        <f aca="false">IF($M3276=0,"",INDEX(Classes!$H$6:$H$420,$M3276))</f>
        <v/>
      </c>
      <c r="D3276" s="61" t="str">
        <f aca="false">IF($M3276=0,"",INDEX(Classes!$B$6:$B$420,$M3276))</f>
        <v/>
      </c>
      <c r="E3276" s="61" t="str">
        <f aca="false">IF($M3276=0,"",INDEX(Classes!$C$6:$C$420,$M3276))</f>
        <v/>
      </c>
      <c r="F3276" s="63"/>
      <c r="G3276" s="63"/>
      <c r="H3276" s="60"/>
      <c r="I3276" s="60"/>
      <c r="J3276" s="63"/>
      <c r="K3276" s="61" t="str">
        <f aca="false">IF($P3276=0,"",IF($F3276="Baseline","— Baseline",IF($O3276=0,"No result",IF($N3276=0,"No Start (attainment only)",IF(OR($N3276=1,$O3276=1),"U – needs rule",INDEX(MxBody,MATCH($I3276,MxCurr,0),MATCH($H3276,MxStart,0)))))))</f>
        <v/>
      </c>
      <c r="L3276" s="62" t="str">
        <f aca="false">IF(COUNTA($A3276,$F3276,$G3276,$H3276,$I3276,$J3276)=0,"",IF($M3276=0,"✖ كود الصف غير موجود",IF(ISNA(MATCH($F3276,Lists!$A$2:$A$5,0)),"✖ الفترة غير صحيحة",IF(ISNA(MATCH($G3276,Lists!$B$2:$B$7,0)),"✖ المجموعة غير صحيحة",IF(NOT(OR($H3276="",$N3276&gt;0)),"✖ Start غير صحيح",IF(NOT(OR($I3276="",$I3276="NR",$O3276&gt;0)),"✖ Current غير صحيح",IF(NOT(IF(ISNUMBER($J3276),AND($J3276&gt;=0,$J3276=INT($J3276)),FALSE())),"✖ العدد يجب أن يكون صحيحًا ≥ 0",IF(AND($F3276="Baseline",$H3276&lt;&gt;""),"⚠ Baseline: Start لا يدخل في التقدم",IF($K3276="No Start (attainment only)","ℹ تحصيل فقط (بدون Start)",IF($K3276="U – needs rule","ℹ حالة U تحتاج قاعدة معتمدة",IF($K3276="No result","ℹ بدون نتيجة (يُستبعد من التحصيل)","OK")))))))))))</f>
        <v/>
      </c>
      <c r="M3276" s="64" t="n">
        <f aca="false">IF($A3276="",0,IFERROR(MATCH($A3276,Classes!$A$6:$A$420,0),0))</f>
        <v>0</v>
      </c>
      <c r="N3276" s="64" t="n">
        <f aca="false">IF($H3276="",0,IFERROR(MATCH($H3276,GradeList,0),0))</f>
        <v>0</v>
      </c>
      <c r="O3276" s="64" t="n">
        <f aca="false">IF(OR($I3276="",$I3276="NR"),0,IFERROR(MATCH($I3276,GradeList,0),0))</f>
        <v>0</v>
      </c>
      <c r="P3276" s="64" t="n">
        <f aca="false">IF(AND($M3276&gt;0,ISNUMBER(MATCH($F3276,Lists!$A$2:$A$5,0)),ISNUMBER(MATCH($G3276,Lists!$B$2:$B$7,0)),OR($H3276="",$N3276&gt;0),OR($I3276="",$I3276="NR",$O3276&gt;0),IF(ISNUMBER($J3276),AND($J3276&gt;=0,$J3276=INT($J3276)),FALSE())),$J3276,0)</f>
        <v>0</v>
      </c>
      <c r="Q3276" s="64" t="n">
        <f aca="false">IF(AND($P3276&gt;0,$O3276&gt;0),$P3276,0)</f>
        <v>0</v>
      </c>
      <c r="R3276" s="64" t="n">
        <f aca="false">IF(AND($Q3276&gt;0,$O3276&gt;=AtRank),$Q3276,0)</f>
        <v>0</v>
      </c>
      <c r="S3276" s="64" t="n">
        <f aca="false">IF(AND($Q3276&gt;0,$O3276&gt;=AboveRank),$Q3276,0)</f>
        <v>0</v>
      </c>
      <c r="T3276" s="64" t="n">
        <f aca="false">IF($K3276="Less",$P3276,0)</f>
        <v>0</v>
      </c>
      <c r="U3276" s="64" t="n">
        <f aca="false">IF($K3276="Expected",$P3276,0)</f>
        <v>0</v>
      </c>
      <c r="V3276" s="64" t="n">
        <f aca="false">IF($K3276="Better",$P3276,0)</f>
        <v>0</v>
      </c>
      <c r="W3276" s="64" t="n">
        <f aca="false">IF($K3276="U – needs rule",$P3276,0)</f>
        <v>0</v>
      </c>
      <c r="X3276" s="64" t="n">
        <f aca="false">IF($K3276="No Start (attainment only)",$P3276,0)</f>
        <v>0</v>
      </c>
    </row>
    <row r="3277" customFormat="false" ht="15" hidden="false" customHeight="false" outlineLevel="0" collapsed="false">
      <c r="A3277" s="60"/>
      <c r="B3277" s="61" t="str">
        <f aca="false">IF($M3277=0,"",INDEX(Classes!$E$6:$E$420,$M3277))</f>
        <v/>
      </c>
      <c r="C3277" s="62" t="str">
        <f aca="false">IF($M3277=0,"",INDEX(Classes!$H$6:$H$420,$M3277))</f>
        <v/>
      </c>
      <c r="D3277" s="61" t="str">
        <f aca="false">IF($M3277=0,"",INDEX(Classes!$B$6:$B$420,$M3277))</f>
        <v/>
      </c>
      <c r="E3277" s="61" t="str">
        <f aca="false">IF($M3277=0,"",INDEX(Classes!$C$6:$C$420,$M3277))</f>
        <v/>
      </c>
      <c r="F3277" s="63"/>
      <c r="G3277" s="63"/>
      <c r="H3277" s="60"/>
      <c r="I3277" s="60"/>
      <c r="J3277" s="63"/>
      <c r="K3277" s="61" t="str">
        <f aca="false">IF($P3277=0,"",IF($F3277="Baseline","— Baseline",IF($O3277=0,"No result",IF($N3277=0,"No Start (attainment only)",IF(OR($N3277=1,$O3277=1),"U – needs rule",INDEX(MxBody,MATCH($I3277,MxCurr,0),MATCH($H3277,MxStart,0)))))))</f>
        <v/>
      </c>
      <c r="L3277" s="62" t="str">
        <f aca="false">IF(COUNTA($A3277,$F3277,$G3277,$H3277,$I3277,$J3277)=0,"",IF($M3277=0,"✖ كود الصف غير موجود",IF(ISNA(MATCH($F3277,Lists!$A$2:$A$5,0)),"✖ الفترة غير صحيحة",IF(ISNA(MATCH($G3277,Lists!$B$2:$B$7,0)),"✖ المجموعة غير صحيحة",IF(NOT(OR($H3277="",$N3277&gt;0)),"✖ Start غير صحيح",IF(NOT(OR($I3277="",$I3277="NR",$O3277&gt;0)),"✖ Current غير صحيح",IF(NOT(IF(ISNUMBER($J3277),AND($J3277&gt;=0,$J3277=INT($J3277)),FALSE())),"✖ العدد يجب أن يكون صحيحًا ≥ 0",IF(AND($F3277="Baseline",$H3277&lt;&gt;""),"⚠ Baseline: Start لا يدخل في التقدم",IF($K3277="No Start (attainment only)","ℹ تحصيل فقط (بدون Start)",IF($K3277="U – needs rule","ℹ حالة U تحتاج قاعدة معتمدة",IF($K3277="No result","ℹ بدون نتيجة (يُستبعد من التحصيل)","OK")))))))))))</f>
        <v/>
      </c>
      <c r="M3277" s="64" t="n">
        <f aca="false">IF($A3277="",0,IFERROR(MATCH($A3277,Classes!$A$6:$A$420,0),0))</f>
        <v>0</v>
      </c>
      <c r="N3277" s="64" t="n">
        <f aca="false">IF($H3277="",0,IFERROR(MATCH($H3277,GradeList,0),0))</f>
        <v>0</v>
      </c>
      <c r="O3277" s="64" t="n">
        <f aca="false">IF(OR($I3277="",$I3277="NR"),0,IFERROR(MATCH($I3277,GradeList,0),0))</f>
        <v>0</v>
      </c>
      <c r="P3277" s="64" t="n">
        <f aca="false">IF(AND($M3277&gt;0,ISNUMBER(MATCH($F3277,Lists!$A$2:$A$5,0)),ISNUMBER(MATCH($G3277,Lists!$B$2:$B$7,0)),OR($H3277="",$N3277&gt;0),OR($I3277="",$I3277="NR",$O3277&gt;0),IF(ISNUMBER($J3277),AND($J3277&gt;=0,$J3277=INT($J3277)),FALSE())),$J3277,0)</f>
        <v>0</v>
      </c>
      <c r="Q3277" s="64" t="n">
        <f aca="false">IF(AND($P3277&gt;0,$O3277&gt;0),$P3277,0)</f>
        <v>0</v>
      </c>
      <c r="R3277" s="64" t="n">
        <f aca="false">IF(AND($Q3277&gt;0,$O3277&gt;=AtRank),$Q3277,0)</f>
        <v>0</v>
      </c>
      <c r="S3277" s="64" t="n">
        <f aca="false">IF(AND($Q3277&gt;0,$O3277&gt;=AboveRank),$Q3277,0)</f>
        <v>0</v>
      </c>
      <c r="T3277" s="64" t="n">
        <f aca="false">IF($K3277="Less",$P3277,0)</f>
        <v>0</v>
      </c>
      <c r="U3277" s="64" t="n">
        <f aca="false">IF($K3277="Expected",$P3277,0)</f>
        <v>0</v>
      </c>
      <c r="V3277" s="64" t="n">
        <f aca="false">IF($K3277="Better",$P3277,0)</f>
        <v>0</v>
      </c>
      <c r="W3277" s="64" t="n">
        <f aca="false">IF($K3277="U – needs rule",$P3277,0)</f>
        <v>0</v>
      </c>
      <c r="X3277" s="64" t="n">
        <f aca="false">IF($K3277="No Start (attainment only)",$P3277,0)</f>
        <v>0</v>
      </c>
    </row>
    <row r="3278" customFormat="false" ht="15" hidden="false" customHeight="false" outlineLevel="0" collapsed="false">
      <c r="A3278" s="60"/>
      <c r="B3278" s="61" t="str">
        <f aca="false">IF($M3278=0,"",INDEX(Classes!$E$6:$E$420,$M3278))</f>
        <v/>
      </c>
      <c r="C3278" s="62" t="str">
        <f aca="false">IF($M3278=0,"",INDEX(Classes!$H$6:$H$420,$M3278))</f>
        <v/>
      </c>
      <c r="D3278" s="61" t="str">
        <f aca="false">IF($M3278=0,"",INDEX(Classes!$B$6:$B$420,$M3278))</f>
        <v/>
      </c>
      <c r="E3278" s="61" t="str">
        <f aca="false">IF($M3278=0,"",INDEX(Classes!$C$6:$C$420,$M3278))</f>
        <v/>
      </c>
      <c r="F3278" s="63"/>
      <c r="G3278" s="63"/>
      <c r="H3278" s="60"/>
      <c r="I3278" s="60"/>
      <c r="J3278" s="63"/>
      <c r="K3278" s="61" t="str">
        <f aca="false">IF($P3278=0,"",IF($F3278="Baseline","— Baseline",IF($O3278=0,"No result",IF($N3278=0,"No Start (attainment only)",IF(OR($N3278=1,$O3278=1),"U – needs rule",INDEX(MxBody,MATCH($I3278,MxCurr,0),MATCH($H3278,MxStart,0)))))))</f>
        <v/>
      </c>
      <c r="L3278" s="62" t="str">
        <f aca="false">IF(COUNTA($A3278,$F3278,$G3278,$H3278,$I3278,$J3278)=0,"",IF($M3278=0,"✖ كود الصف غير موجود",IF(ISNA(MATCH($F3278,Lists!$A$2:$A$5,0)),"✖ الفترة غير صحيحة",IF(ISNA(MATCH($G3278,Lists!$B$2:$B$7,0)),"✖ المجموعة غير صحيحة",IF(NOT(OR($H3278="",$N3278&gt;0)),"✖ Start غير صحيح",IF(NOT(OR($I3278="",$I3278="NR",$O3278&gt;0)),"✖ Current غير صحيح",IF(NOT(IF(ISNUMBER($J3278),AND($J3278&gt;=0,$J3278=INT($J3278)),FALSE())),"✖ العدد يجب أن يكون صحيحًا ≥ 0",IF(AND($F3278="Baseline",$H3278&lt;&gt;""),"⚠ Baseline: Start لا يدخل في التقدم",IF($K3278="No Start (attainment only)","ℹ تحصيل فقط (بدون Start)",IF($K3278="U – needs rule","ℹ حالة U تحتاج قاعدة معتمدة",IF($K3278="No result","ℹ بدون نتيجة (يُستبعد من التحصيل)","OK")))))))))))</f>
        <v/>
      </c>
      <c r="M3278" s="64" t="n">
        <f aca="false">IF($A3278="",0,IFERROR(MATCH($A3278,Classes!$A$6:$A$420,0),0))</f>
        <v>0</v>
      </c>
      <c r="N3278" s="64" t="n">
        <f aca="false">IF($H3278="",0,IFERROR(MATCH($H3278,GradeList,0),0))</f>
        <v>0</v>
      </c>
      <c r="O3278" s="64" t="n">
        <f aca="false">IF(OR($I3278="",$I3278="NR"),0,IFERROR(MATCH($I3278,GradeList,0),0))</f>
        <v>0</v>
      </c>
      <c r="P3278" s="64" t="n">
        <f aca="false">IF(AND($M3278&gt;0,ISNUMBER(MATCH($F3278,Lists!$A$2:$A$5,0)),ISNUMBER(MATCH($G3278,Lists!$B$2:$B$7,0)),OR($H3278="",$N3278&gt;0),OR($I3278="",$I3278="NR",$O3278&gt;0),IF(ISNUMBER($J3278),AND($J3278&gt;=0,$J3278=INT($J3278)),FALSE())),$J3278,0)</f>
        <v>0</v>
      </c>
      <c r="Q3278" s="64" t="n">
        <f aca="false">IF(AND($P3278&gt;0,$O3278&gt;0),$P3278,0)</f>
        <v>0</v>
      </c>
      <c r="R3278" s="64" t="n">
        <f aca="false">IF(AND($Q3278&gt;0,$O3278&gt;=AtRank),$Q3278,0)</f>
        <v>0</v>
      </c>
      <c r="S3278" s="64" t="n">
        <f aca="false">IF(AND($Q3278&gt;0,$O3278&gt;=AboveRank),$Q3278,0)</f>
        <v>0</v>
      </c>
      <c r="T3278" s="64" t="n">
        <f aca="false">IF($K3278="Less",$P3278,0)</f>
        <v>0</v>
      </c>
      <c r="U3278" s="64" t="n">
        <f aca="false">IF($K3278="Expected",$P3278,0)</f>
        <v>0</v>
      </c>
      <c r="V3278" s="64" t="n">
        <f aca="false">IF($K3278="Better",$P3278,0)</f>
        <v>0</v>
      </c>
      <c r="W3278" s="64" t="n">
        <f aca="false">IF($K3278="U – needs rule",$P3278,0)</f>
        <v>0</v>
      </c>
      <c r="X3278" s="64" t="n">
        <f aca="false">IF($K3278="No Start (attainment only)",$P3278,0)</f>
        <v>0</v>
      </c>
    </row>
    <row r="3279" customFormat="false" ht="15" hidden="false" customHeight="false" outlineLevel="0" collapsed="false">
      <c r="A3279" s="60"/>
      <c r="B3279" s="61" t="str">
        <f aca="false">IF($M3279=0,"",INDEX(Classes!$E$6:$E$420,$M3279))</f>
        <v/>
      </c>
      <c r="C3279" s="62" t="str">
        <f aca="false">IF($M3279=0,"",INDEX(Classes!$H$6:$H$420,$M3279))</f>
        <v/>
      </c>
      <c r="D3279" s="61" t="str">
        <f aca="false">IF($M3279=0,"",INDEX(Classes!$B$6:$B$420,$M3279))</f>
        <v/>
      </c>
      <c r="E3279" s="61" t="str">
        <f aca="false">IF($M3279=0,"",INDEX(Classes!$C$6:$C$420,$M3279))</f>
        <v/>
      </c>
      <c r="F3279" s="63"/>
      <c r="G3279" s="63"/>
      <c r="H3279" s="60"/>
      <c r="I3279" s="60"/>
      <c r="J3279" s="63"/>
      <c r="K3279" s="61" t="str">
        <f aca="false">IF($P3279=0,"",IF($F3279="Baseline","— Baseline",IF($O3279=0,"No result",IF($N3279=0,"No Start (attainment only)",IF(OR($N3279=1,$O3279=1),"U – needs rule",INDEX(MxBody,MATCH($I3279,MxCurr,0),MATCH($H3279,MxStart,0)))))))</f>
        <v/>
      </c>
      <c r="L3279" s="62" t="str">
        <f aca="false">IF(COUNTA($A3279,$F3279,$G3279,$H3279,$I3279,$J3279)=0,"",IF($M3279=0,"✖ كود الصف غير موجود",IF(ISNA(MATCH($F3279,Lists!$A$2:$A$5,0)),"✖ الفترة غير صحيحة",IF(ISNA(MATCH($G3279,Lists!$B$2:$B$7,0)),"✖ المجموعة غير صحيحة",IF(NOT(OR($H3279="",$N3279&gt;0)),"✖ Start غير صحيح",IF(NOT(OR($I3279="",$I3279="NR",$O3279&gt;0)),"✖ Current غير صحيح",IF(NOT(IF(ISNUMBER($J3279),AND($J3279&gt;=0,$J3279=INT($J3279)),FALSE())),"✖ العدد يجب أن يكون صحيحًا ≥ 0",IF(AND($F3279="Baseline",$H3279&lt;&gt;""),"⚠ Baseline: Start لا يدخل في التقدم",IF($K3279="No Start (attainment only)","ℹ تحصيل فقط (بدون Start)",IF($K3279="U – needs rule","ℹ حالة U تحتاج قاعدة معتمدة",IF($K3279="No result","ℹ بدون نتيجة (يُستبعد من التحصيل)","OK")))))))))))</f>
        <v/>
      </c>
      <c r="M3279" s="64" t="n">
        <f aca="false">IF($A3279="",0,IFERROR(MATCH($A3279,Classes!$A$6:$A$420,0),0))</f>
        <v>0</v>
      </c>
      <c r="N3279" s="64" t="n">
        <f aca="false">IF($H3279="",0,IFERROR(MATCH($H3279,GradeList,0),0))</f>
        <v>0</v>
      </c>
      <c r="O3279" s="64" t="n">
        <f aca="false">IF(OR($I3279="",$I3279="NR"),0,IFERROR(MATCH($I3279,GradeList,0),0))</f>
        <v>0</v>
      </c>
      <c r="P3279" s="64" t="n">
        <f aca="false">IF(AND($M3279&gt;0,ISNUMBER(MATCH($F3279,Lists!$A$2:$A$5,0)),ISNUMBER(MATCH($G3279,Lists!$B$2:$B$7,0)),OR($H3279="",$N3279&gt;0),OR($I3279="",$I3279="NR",$O3279&gt;0),IF(ISNUMBER($J3279),AND($J3279&gt;=0,$J3279=INT($J3279)),FALSE())),$J3279,0)</f>
        <v>0</v>
      </c>
      <c r="Q3279" s="64" t="n">
        <f aca="false">IF(AND($P3279&gt;0,$O3279&gt;0),$P3279,0)</f>
        <v>0</v>
      </c>
      <c r="R3279" s="64" t="n">
        <f aca="false">IF(AND($Q3279&gt;0,$O3279&gt;=AtRank),$Q3279,0)</f>
        <v>0</v>
      </c>
      <c r="S3279" s="64" t="n">
        <f aca="false">IF(AND($Q3279&gt;0,$O3279&gt;=AboveRank),$Q3279,0)</f>
        <v>0</v>
      </c>
      <c r="T3279" s="64" t="n">
        <f aca="false">IF($K3279="Less",$P3279,0)</f>
        <v>0</v>
      </c>
      <c r="U3279" s="64" t="n">
        <f aca="false">IF($K3279="Expected",$P3279,0)</f>
        <v>0</v>
      </c>
      <c r="V3279" s="64" t="n">
        <f aca="false">IF($K3279="Better",$P3279,0)</f>
        <v>0</v>
      </c>
      <c r="W3279" s="64" t="n">
        <f aca="false">IF($K3279="U – needs rule",$P3279,0)</f>
        <v>0</v>
      </c>
      <c r="X3279" s="64" t="n">
        <f aca="false">IF($K3279="No Start (attainment only)",$P3279,0)</f>
        <v>0</v>
      </c>
    </row>
    <row r="3280" customFormat="false" ht="15" hidden="false" customHeight="false" outlineLevel="0" collapsed="false">
      <c r="A3280" s="60"/>
      <c r="B3280" s="61" t="str">
        <f aca="false">IF($M3280=0,"",INDEX(Classes!$E$6:$E$420,$M3280))</f>
        <v/>
      </c>
      <c r="C3280" s="62" t="str">
        <f aca="false">IF($M3280=0,"",INDEX(Classes!$H$6:$H$420,$M3280))</f>
        <v/>
      </c>
      <c r="D3280" s="61" t="str">
        <f aca="false">IF($M3280=0,"",INDEX(Classes!$B$6:$B$420,$M3280))</f>
        <v/>
      </c>
      <c r="E3280" s="61" t="str">
        <f aca="false">IF($M3280=0,"",INDEX(Classes!$C$6:$C$420,$M3280))</f>
        <v/>
      </c>
      <c r="F3280" s="63"/>
      <c r="G3280" s="63"/>
      <c r="H3280" s="60"/>
      <c r="I3280" s="60"/>
      <c r="J3280" s="63"/>
      <c r="K3280" s="61" t="str">
        <f aca="false">IF($P3280=0,"",IF($F3280="Baseline","— Baseline",IF($O3280=0,"No result",IF($N3280=0,"No Start (attainment only)",IF(OR($N3280=1,$O3280=1),"U – needs rule",INDEX(MxBody,MATCH($I3280,MxCurr,0),MATCH($H3280,MxStart,0)))))))</f>
        <v/>
      </c>
      <c r="L3280" s="62" t="str">
        <f aca="false">IF(COUNTA($A3280,$F3280,$G3280,$H3280,$I3280,$J3280)=0,"",IF($M3280=0,"✖ كود الصف غير موجود",IF(ISNA(MATCH($F3280,Lists!$A$2:$A$5,0)),"✖ الفترة غير صحيحة",IF(ISNA(MATCH($G3280,Lists!$B$2:$B$7,0)),"✖ المجموعة غير صحيحة",IF(NOT(OR($H3280="",$N3280&gt;0)),"✖ Start غير صحيح",IF(NOT(OR($I3280="",$I3280="NR",$O3280&gt;0)),"✖ Current غير صحيح",IF(NOT(IF(ISNUMBER($J3280),AND($J3280&gt;=0,$J3280=INT($J3280)),FALSE())),"✖ العدد يجب أن يكون صحيحًا ≥ 0",IF(AND($F3280="Baseline",$H3280&lt;&gt;""),"⚠ Baseline: Start لا يدخل في التقدم",IF($K3280="No Start (attainment only)","ℹ تحصيل فقط (بدون Start)",IF($K3280="U – needs rule","ℹ حالة U تحتاج قاعدة معتمدة",IF($K3280="No result","ℹ بدون نتيجة (يُستبعد من التحصيل)","OK")))))))))))</f>
        <v/>
      </c>
      <c r="M3280" s="64" t="n">
        <f aca="false">IF($A3280="",0,IFERROR(MATCH($A3280,Classes!$A$6:$A$420,0),0))</f>
        <v>0</v>
      </c>
      <c r="N3280" s="64" t="n">
        <f aca="false">IF($H3280="",0,IFERROR(MATCH($H3280,GradeList,0),0))</f>
        <v>0</v>
      </c>
      <c r="O3280" s="64" t="n">
        <f aca="false">IF(OR($I3280="",$I3280="NR"),0,IFERROR(MATCH($I3280,GradeList,0),0))</f>
        <v>0</v>
      </c>
      <c r="P3280" s="64" t="n">
        <f aca="false">IF(AND($M3280&gt;0,ISNUMBER(MATCH($F3280,Lists!$A$2:$A$5,0)),ISNUMBER(MATCH($G3280,Lists!$B$2:$B$7,0)),OR($H3280="",$N3280&gt;0),OR($I3280="",$I3280="NR",$O3280&gt;0),IF(ISNUMBER($J3280),AND($J3280&gt;=0,$J3280=INT($J3280)),FALSE())),$J3280,0)</f>
        <v>0</v>
      </c>
      <c r="Q3280" s="64" t="n">
        <f aca="false">IF(AND($P3280&gt;0,$O3280&gt;0),$P3280,0)</f>
        <v>0</v>
      </c>
      <c r="R3280" s="64" t="n">
        <f aca="false">IF(AND($Q3280&gt;0,$O3280&gt;=AtRank),$Q3280,0)</f>
        <v>0</v>
      </c>
      <c r="S3280" s="64" t="n">
        <f aca="false">IF(AND($Q3280&gt;0,$O3280&gt;=AboveRank),$Q3280,0)</f>
        <v>0</v>
      </c>
      <c r="T3280" s="64" t="n">
        <f aca="false">IF($K3280="Less",$P3280,0)</f>
        <v>0</v>
      </c>
      <c r="U3280" s="64" t="n">
        <f aca="false">IF($K3280="Expected",$P3280,0)</f>
        <v>0</v>
      </c>
      <c r="V3280" s="64" t="n">
        <f aca="false">IF($K3280="Better",$P3280,0)</f>
        <v>0</v>
      </c>
      <c r="W3280" s="64" t="n">
        <f aca="false">IF($K3280="U – needs rule",$P3280,0)</f>
        <v>0</v>
      </c>
      <c r="X3280" s="64" t="n">
        <f aca="false">IF($K3280="No Start (attainment only)",$P3280,0)</f>
        <v>0</v>
      </c>
    </row>
    <row r="3281" customFormat="false" ht="15" hidden="false" customHeight="false" outlineLevel="0" collapsed="false">
      <c r="A3281" s="60"/>
      <c r="B3281" s="61" t="str">
        <f aca="false">IF($M3281=0,"",INDEX(Classes!$E$6:$E$420,$M3281))</f>
        <v/>
      </c>
      <c r="C3281" s="62" t="str">
        <f aca="false">IF($M3281=0,"",INDEX(Classes!$H$6:$H$420,$M3281))</f>
        <v/>
      </c>
      <c r="D3281" s="61" t="str">
        <f aca="false">IF($M3281=0,"",INDEX(Classes!$B$6:$B$420,$M3281))</f>
        <v/>
      </c>
      <c r="E3281" s="61" t="str">
        <f aca="false">IF($M3281=0,"",INDEX(Classes!$C$6:$C$420,$M3281))</f>
        <v/>
      </c>
      <c r="F3281" s="63"/>
      <c r="G3281" s="63"/>
      <c r="H3281" s="60"/>
      <c r="I3281" s="60"/>
      <c r="J3281" s="63"/>
      <c r="K3281" s="61" t="str">
        <f aca="false">IF($P3281=0,"",IF($F3281="Baseline","— Baseline",IF($O3281=0,"No result",IF($N3281=0,"No Start (attainment only)",IF(OR($N3281=1,$O3281=1),"U – needs rule",INDEX(MxBody,MATCH($I3281,MxCurr,0),MATCH($H3281,MxStart,0)))))))</f>
        <v/>
      </c>
      <c r="L3281" s="62" t="str">
        <f aca="false">IF(COUNTA($A3281,$F3281,$G3281,$H3281,$I3281,$J3281)=0,"",IF($M3281=0,"✖ كود الصف غير موجود",IF(ISNA(MATCH($F3281,Lists!$A$2:$A$5,0)),"✖ الفترة غير صحيحة",IF(ISNA(MATCH($G3281,Lists!$B$2:$B$7,0)),"✖ المجموعة غير صحيحة",IF(NOT(OR($H3281="",$N3281&gt;0)),"✖ Start غير صحيح",IF(NOT(OR($I3281="",$I3281="NR",$O3281&gt;0)),"✖ Current غير صحيح",IF(NOT(IF(ISNUMBER($J3281),AND($J3281&gt;=0,$J3281=INT($J3281)),FALSE())),"✖ العدد يجب أن يكون صحيحًا ≥ 0",IF(AND($F3281="Baseline",$H3281&lt;&gt;""),"⚠ Baseline: Start لا يدخل في التقدم",IF($K3281="No Start (attainment only)","ℹ تحصيل فقط (بدون Start)",IF($K3281="U – needs rule","ℹ حالة U تحتاج قاعدة معتمدة",IF($K3281="No result","ℹ بدون نتيجة (يُستبعد من التحصيل)","OK")))))))))))</f>
        <v/>
      </c>
      <c r="M3281" s="64" t="n">
        <f aca="false">IF($A3281="",0,IFERROR(MATCH($A3281,Classes!$A$6:$A$420,0),0))</f>
        <v>0</v>
      </c>
      <c r="N3281" s="64" t="n">
        <f aca="false">IF($H3281="",0,IFERROR(MATCH($H3281,GradeList,0),0))</f>
        <v>0</v>
      </c>
      <c r="O3281" s="64" t="n">
        <f aca="false">IF(OR($I3281="",$I3281="NR"),0,IFERROR(MATCH($I3281,GradeList,0),0))</f>
        <v>0</v>
      </c>
      <c r="P3281" s="64" t="n">
        <f aca="false">IF(AND($M3281&gt;0,ISNUMBER(MATCH($F3281,Lists!$A$2:$A$5,0)),ISNUMBER(MATCH($G3281,Lists!$B$2:$B$7,0)),OR($H3281="",$N3281&gt;0),OR($I3281="",$I3281="NR",$O3281&gt;0),IF(ISNUMBER($J3281),AND($J3281&gt;=0,$J3281=INT($J3281)),FALSE())),$J3281,0)</f>
        <v>0</v>
      </c>
      <c r="Q3281" s="64" t="n">
        <f aca="false">IF(AND($P3281&gt;0,$O3281&gt;0),$P3281,0)</f>
        <v>0</v>
      </c>
      <c r="R3281" s="64" t="n">
        <f aca="false">IF(AND($Q3281&gt;0,$O3281&gt;=AtRank),$Q3281,0)</f>
        <v>0</v>
      </c>
      <c r="S3281" s="64" t="n">
        <f aca="false">IF(AND($Q3281&gt;0,$O3281&gt;=AboveRank),$Q3281,0)</f>
        <v>0</v>
      </c>
      <c r="T3281" s="64" t="n">
        <f aca="false">IF($K3281="Less",$P3281,0)</f>
        <v>0</v>
      </c>
      <c r="U3281" s="64" t="n">
        <f aca="false">IF($K3281="Expected",$P3281,0)</f>
        <v>0</v>
      </c>
      <c r="V3281" s="64" t="n">
        <f aca="false">IF($K3281="Better",$P3281,0)</f>
        <v>0</v>
      </c>
      <c r="W3281" s="64" t="n">
        <f aca="false">IF($K3281="U – needs rule",$P3281,0)</f>
        <v>0</v>
      </c>
      <c r="X3281" s="64" t="n">
        <f aca="false">IF($K3281="No Start (attainment only)",$P3281,0)</f>
        <v>0</v>
      </c>
    </row>
    <row r="3282" customFormat="false" ht="15" hidden="false" customHeight="false" outlineLevel="0" collapsed="false">
      <c r="A3282" s="60"/>
      <c r="B3282" s="61" t="str">
        <f aca="false">IF($M3282=0,"",INDEX(Classes!$E$6:$E$420,$M3282))</f>
        <v/>
      </c>
      <c r="C3282" s="62" t="str">
        <f aca="false">IF($M3282=0,"",INDEX(Classes!$H$6:$H$420,$M3282))</f>
        <v/>
      </c>
      <c r="D3282" s="61" t="str">
        <f aca="false">IF($M3282=0,"",INDEX(Classes!$B$6:$B$420,$M3282))</f>
        <v/>
      </c>
      <c r="E3282" s="61" t="str">
        <f aca="false">IF($M3282=0,"",INDEX(Classes!$C$6:$C$420,$M3282))</f>
        <v/>
      </c>
      <c r="F3282" s="63"/>
      <c r="G3282" s="63"/>
      <c r="H3282" s="60"/>
      <c r="I3282" s="60"/>
      <c r="J3282" s="63"/>
      <c r="K3282" s="61" t="str">
        <f aca="false">IF($P3282=0,"",IF($F3282="Baseline","— Baseline",IF($O3282=0,"No result",IF($N3282=0,"No Start (attainment only)",IF(OR($N3282=1,$O3282=1),"U – needs rule",INDEX(MxBody,MATCH($I3282,MxCurr,0),MATCH($H3282,MxStart,0)))))))</f>
        <v/>
      </c>
      <c r="L3282" s="62" t="str">
        <f aca="false">IF(COUNTA($A3282,$F3282,$G3282,$H3282,$I3282,$J3282)=0,"",IF($M3282=0,"✖ كود الصف غير موجود",IF(ISNA(MATCH($F3282,Lists!$A$2:$A$5,0)),"✖ الفترة غير صحيحة",IF(ISNA(MATCH($G3282,Lists!$B$2:$B$7,0)),"✖ المجموعة غير صحيحة",IF(NOT(OR($H3282="",$N3282&gt;0)),"✖ Start غير صحيح",IF(NOT(OR($I3282="",$I3282="NR",$O3282&gt;0)),"✖ Current غير صحيح",IF(NOT(IF(ISNUMBER($J3282),AND($J3282&gt;=0,$J3282=INT($J3282)),FALSE())),"✖ العدد يجب أن يكون صحيحًا ≥ 0",IF(AND($F3282="Baseline",$H3282&lt;&gt;""),"⚠ Baseline: Start لا يدخل في التقدم",IF($K3282="No Start (attainment only)","ℹ تحصيل فقط (بدون Start)",IF($K3282="U – needs rule","ℹ حالة U تحتاج قاعدة معتمدة",IF($K3282="No result","ℹ بدون نتيجة (يُستبعد من التحصيل)","OK")))))))))))</f>
        <v/>
      </c>
      <c r="M3282" s="64" t="n">
        <f aca="false">IF($A3282="",0,IFERROR(MATCH($A3282,Classes!$A$6:$A$420,0),0))</f>
        <v>0</v>
      </c>
      <c r="N3282" s="64" t="n">
        <f aca="false">IF($H3282="",0,IFERROR(MATCH($H3282,GradeList,0),0))</f>
        <v>0</v>
      </c>
      <c r="O3282" s="64" t="n">
        <f aca="false">IF(OR($I3282="",$I3282="NR"),0,IFERROR(MATCH($I3282,GradeList,0),0))</f>
        <v>0</v>
      </c>
      <c r="P3282" s="64" t="n">
        <f aca="false">IF(AND($M3282&gt;0,ISNUMBER(MATCH($F3282,Lists!$A$2:$A$5,0)),ISNUMBER(MATCH($G3282,Lists!$B$2:$B$7,0)),OR($H3282="",$N3282&gt;0),OR($I3282="",$I3282="NR",$O3282&gt;0),IF(ISNUMBER($J3282),AND($J3282&gt;=0,$J3282=INT($J3282)),FALSE())),$J3282,0)</f>
        <v>0</v>
      </c>
      <c r="Q3282" s="64" t="n">
        <f aca="false">IF(AND($P3282&gt;0,$O3282&gt;0),$P3282,0)</f>
        <v>0</v>
      </c>
      <c r="R3282" s="64" t="n">
        <f aca="false">IF(AND($Q3282&gt;0,$O3282&gt;=AtRank),$Q3282,0)</f>
        <v>0</v>
      </c>
      <c r="S3282" s="64" t="n">
        <f aca="false">IF(AND($Q3282&gt;0,$O3282&gt;=AboveRank),$Q3282,0)</f>
        <v>0</v>
      </c>
      <c r="T3282" s="64" t="n">
        <f aca="false">IF($K3282="Less",$P3282,0)</f>
        <v>0</v>
      </c>
      <c r="U3282" s="64" t="n">
        <f aca="false">IF($K3282="Expected",$P3282,0)</f>
        <v>0</v>
      </c>
      <c r="V3282" s="64" t="n">
        <f aca="false">IF($K3282="Better",$P3282,0)</f>
        <v>0</v>
      </c>
      <c r="W3282" s="64" t="n">
        <f aca="false">IF($K3282="U – needs rule",$P3282,0)</f>
        <v>0</v>
      </c>
      <c r="X3282" s="64" t="n">
        <f aca="false">IF($K3282="No Start (attainment only)",$P3282,0)</f>
        <v>0</v>
      </c>
    </row>
    <row r="3283" customFormat="false" ht="15" hidden="false" customHeight="false" outlineLevel="0" collapsed="false">
      <c r="A3283" s="60"/>
      <c r="B3283" s="61" t="str">
        <f aca="false">IF($M3283=0,"",INDEX(Classes!$E$6:$E$420,$M3283))</f>
        <v/>
      </c>
      <c r="C3283" s="62" t="str">
        <f aca="false">IF($M3283=0,"",INDEX(Classes!$H$6:$H$420,$M3283))</f>
        <v/>
      </c>
      <c r="D3283" s="61" t="str">
        <f aca="false">IF($M3283=0,"",INDEX(Classes!$B$6:$B$420,$M3283))</f>
        <v/>
      </c>
      <c r="E3283" s="61" t="str">
        <f aca="false">IF($M3283=0,"",INDEX(Classes!$C$6:$C$420,$M3283))</f>
        <v/>
      </c>
      <c r="F3283" s="63"/>
      <c r="G3283" s="63"/>
      <c r="H3283" s="60"/>
      <c r="I3283" s="60"/>
      <c r="J3283" s="63"/>
      <c r="K3283" s="61" t="str">
        <f aca="false">IF($P3283=0,"",IF($F3283="Baseline","— Baseline",IF($O3283=0,"No result",IF($N3283=0,"No Start (attainment only)",IF(OR($N3283=1,$O3283=1),"U – needs rule",INDEX(MxBody,MATCH($I3283,MxCurr,0),MATCH($H3283,MxStart,0)))))))</f>
        <v/>
      </c>
      <c r="L3283" s="62" t="str">
        <f aca="false">IF(COUNTA($A3283,$F3283,$G3283,$H3283,$I3283,$J3283)=0,"",IF($M3283=0,"✖ كود الصف غير موجود",IF(ISNA(MATCH($F3283,Lists!$A$2:$A$5,0)),"✖ الفترة غير صحيحة",IF(ISNA(MATCH($G3283,Lists!$B$2:$B$7,0)),"✖ المجموعة غير صحيحة",IF(NOT(OR($H3283="",$N3283&gt;0)),"✖ Start غير صحيح",IF(NOT(OR($I3283="",$I3283="NR",$O3283&gt;0)),"✖ Current غير صحيح",IF(NOT(IF(ISNUMBER($J3283),AND($J3283&gt;=0,$J3283=INT($J3283)),FALSE())),"✖ العدد يجب أن يكون صحيحًا ≥ 0",IF(AND($F3283="Baseline",$H3283&lt;&gt;""),"⚠ Baseline: Start لا يدخل في التقدم",IF($K3283="No Start (attainment only)","ℹ تحصيل فقط (بدون Start)",IF($K3283="U – needs rule","ℹ حالة U تحتاج قاعدة معتمدة",IF($K3283="No result","ℹ بدون نتيجة (يُستبعد من التحصيل)","OK")))))))))))</f>
        <v/>
      </c>
      <c r="M3283" s="64" t="n">
        <f aca="false">IF($A3283="",0,IFERROR(MATCH($A3283,Classes!$A$6:$A$420,0),0))</f>
        <v>0</v>
      </c>
      <c r="N3283" s="64" t="n">
        <f aca="false">IF($H3283="",0,IFERROR(MATCH($H3283,GradeList,0),0))</f>
        <v>0</v>
      </c>
      <c r="O3283" s="64" t="n">
        <f aca="false">IF(OR($I3283="",$I3283="NR"),0,IFERROR(MATCH($I3283,GradeList,0),0))</f>
        <v>0</v>
      </c>
      <c r="P3283" s="64" t="n">
        <f aca="false">IF(AND($M3283&gt;0,ISNUMBER(MATCH($F3283,Lists!$A$2:$A$5,0)),ISNUMBER(MATCH($G3283,Lists!$B$2:$B$7,0)),OR($H3283="",$N3283&gt;0),OR($I3283="",$I3283="NR",$O3283&gt;0),IF(ISNUMBER($J3283),AND($J3283&gt;=0,$J3283=INT($J3283)),FALSE())),$J3283,0)</f>
        <v>0</v>
      </c>
      <c r="Q3283" s="64" t="n">
        <f aca="false">IF(AND($P3283&gt;0,$O3283&gt;0),$P3283,0)</f>
        <v>0</v>
      </c>
      <c r="R3283" s="64" t="n">
        <f aca="false">IF(AND($Q3283&gt;0,$O3283&gt;=AtRank),$Q3283,0)</f>
        <v>0</v>
      </c>
      <c r="S3283" s="64" t="n">
        <f aca="false">IF(AND($Q3283&gt;0,$O3283&gt;=AboveRank),$Q3283,0)</f>
        <v>0</v>
      </c>
      <c r="T3283" s="64" t="n">
        <f aca="false">IF($K3283="Less",$P3283,0)</f>
        <v>0</v>
      </c>
      <c r="U3283" s="64" t="n">
        <f aca="false">IF($K3283="Expected",$P3283,0)</f>
        <v>0</v>
      </c>
      <c r="V3283" s="64" t="n">
        <f aca="false">IF($K3283="Better",$P3283,0)</f>
        <v>0</v>
      </c>
      <c r="W3283" s="64" t="n">
        <f aca="false">IF($K3283="U – needs rule",$P3283,0)</f>
        <v>0</v>
      </c>
      <c r="X3283" s="64" t="n">
        <f aca="false">IF($K3283="No Start (attainment only)",$P3283,0)</f>
        <v>0</v>
      </c>
    </row>
    <row r="3284" customFormat="false" ht="15" hidden="false" customHeight="false" outlineLevel="0" collapsed="false">
      <c r="A3284" s="60"/>
      <c r="B3284" s="61" t="str">
        <f aca="false">IF($M3284=0,"",INDEX(Classes!$E$6:$E$420,$M3284))</f>
        <v/>
      </c>
      <c r="C3284" s="62" t="str">
        <f aca="false">IF($M3284=0,"",INDEX(Classes!$H$6:$H$420,$M3284))</f>
        <v/>
      </c>
      <c r="D3284" s="61" t="str">
        <f aca="false">IF($M3284=0,"",INDEX(Classes!$B$6:$B$420,$M3284))</f>
        <v/>
      </c>
      <c r="E3284" s="61" t="str">
        <f aca="false">IF($M3284=0,"",INDEX(Classes!$C$6:$C$420,$M3284))</f>
        <v/>
      </c>
      <c r="F3284" s="63"/>
      <c r="G3284" s="63"/>
      <c r="H3284" s="60"/>
      <c r="I3284" s="60"/>
      <c r="J3284" s="63"/>
      <c r="K3284" s="61" t="str">
        <f aca="false">IF($P3284=0,"",IF($F3284="Baseline","— Baseline",IF($O3284=0,"No result",IF($N3284=0,"No Start (attainment only)",IF(OR($N3284=1,$O3284=1),"U – needs rule",INDEX(MxBody,MATCH($I3284,MxCurr,0),MATCH($H3284,MxStart,0)))))))</f>
        <v/>
      </c>
      <c r="L3284" s="62" t="str">
        <f aca="false">IF(COUNTA($A3284,$F3284,$G3284,$H3284,$I3284,$J3284)=0,"",IF($M3284=0,"✖ كود الصف غير موجود",IF(ISNA(MATCH($F3284,Lists!$A$2:$A$5,0)),"✖ الفترة غير صحيحة",IF(ISNA(MATCH($G3284,Lists!$B$2:$B$7,0)),"✖ المجموعة غير صحيحة",IF(NOT(OR($H3284="",$N3284&gt;0)),"✖ Start غير صحيح",IF(NOT(OR($I3284="",$I3284="NR",$O3284&gt;0)),"✖ Current غير صحيح",IF(NOT(IF(ISNUMBER($J3284),AND($J3284&gt;=0,$J3284=INT($J3284)),FALSE())),"✖ العدد يجب أن يكون صحيحًا ≥ 0",IF(AND($F3284="Baseline",$H3284&lt;&gt;""),"⚠ Baseline: Start لا يدخل في التقدم",IF($K3284="No Start (attainment only)","ℹ تحصيل فقط (بدون Start)",IF($K3284="U – needs rule","ℹ حالة U تحتاج قاعدة معتمدة",IF($K3284="No result","ℹ بدون نتيجة (يُستبعد من التحصيل)","OK")))))))))))</f>
        <v/>
      </c>
      <c r="M3284" s="64" t="n">
        <f aca="false">IF($A3284="",0,IFERROR(MATCH($A3284,Classes!$A$6:$A$420,0),0))</f>
        <v>0</v>
      </c>
      <c r="N3284" s="64" t="n">
        <f aca="false">IF($H3284="",0,IFERROR(MATCH($H3284,GradeList,0),0))</f>
        <v>0</v>
      </c>
      <c r="O3284" s="64" t="n">
        <f aca="false">IF(OR($I3284="",$I3284="NR"),0,IFERROR(MATCH($I3284,GradeList,0),0))</f>
        <v>0</v>
      </c>
      <c r="P3284" s="64" t="n">
        <f aca="false">IF(AND($M3284&gt;0,ISNUMBER(MATCH($F3284,Lists!$A$2:$A$5,0)),ISNUMBER(MATCH($G3284,Lists!$B$2:$B$7,0)),OR($H3284="",$N3284&gt;0),OR($I3284="",$I3284="NR",$O3284&gt;0),IF(ISNUMBER($J3284),AND($J3284&gt;=0,$J3284=INT($J3284)),FALSE())),$J3284,0)</f>
        <v>0</v>
      </c>
      <c r="Q3284" s="64" t="n">
        <f aca="false">IF(AND($P3284&gt;0,$O3284&gt;0),$P3284,0)</f>
        <v>0</v>
      </c>
      <c r="R3284" s="64" t="n">
        <f aca="false">IF(AND($Q3284&gt;0,$O3284&gt;=AtRank),$Q3284,0)</f>
        <v>0</v>
      </c>
      <c r="S3284" s="64" t="n">
        <f aca="false">IF(AND($Q3284&gt;0,$O3284&gt;=AboveRank),$Q3284,0)</f>
        <v>0</v>
      </c>
      <c r="T3284" s="64" t="n">
        <f aca="false">IF($K3284="Less",$P3284,0)</f>
        <v>0</v>
      </c>
      <c r="U3284" s="64" t="n">
        <f aca="false">IF($K3284="Expected",$P3284,0)</f>
        <v>0</v>
      </c>
      <c r="V3284" s="64" t="n">
        <f aca="false">IF($K3284="Better",$P3284,0)</f>
        <v>0</v>
      </c>
      <c r="W3284" s="64" t="n">
        <f aca="false">IF($K3284="U – needs rule",$P3284,0)</f>
        <v>0</v>
      </c>
      <c r="X3284" s="64" t="n">
        <f aca="false">IF($K3284="No Start (attainment only)",$P3284,0)</f>
        <v>0</v>
      </c>
    </row>
    <row r="3285" customFormat="false" ht="15" hidden="false" customHeight="false" outlineLevel="0" collapsed="false">
      <c r="A3285" s="60"/>
      <c r="B3285" s="61" t="str">
        <f aca="false">IF($M3285=0,"",INDEX(Classes!$E$6:$E$420,$M3285))</f>
        <v/>
      </c>
      <c r="C3285" s="62" t="str">
        <f aca="false">IF($M3285=0,"",INDEX(Classes!$H$6:$H$420,$M3285))</f>
        <v/>
      </c>
      <c r="D3285" s="61" t="str">
        <f aca="false">IF($M3285=0,"",INDEX(Classes!$B$6:$B$420,$M3285))</f>
        <v/>
      </c>
      <c r="E3285" s="61" t="str">
        <f aca="false">IF($M3285=0,"",INDEX(Classes!$C$6:$C$420,$M3285))</f>
        <v/>
      </c>
      <c r="F3285" s="63"/>
      <c r="G3285" s="63"/>
      <c r="H3285" s="60"/>
      <c r="I3285" s="60"/>
      <c r="J3285" s="63"/>
      <c r="K3285" s="61" t="str">
        <f aca="false">IF($P3285=0,"",IF($F3285="Baseline","— Baseline",IF($O3285=0,"No result",IF($N3285=0,"No Start (attainment only)",IF(OR($N3285=1,$O3285=1),"U – needs rule",INDEX(MxBody,MATCH($I3285,MxCurr,0),MATCH($H3285,MxStart,0)))))))</f>
        <v/>
      </c>
      <c r="L3285" s="62" t="str">
        <f aca="false">IF(COUNTA($A3285,$F3285,$G3285,$H3285,$I3285,$J3285)=0,"",IF($M3285=0,"✖ كود الصف غير موجود",IF(ISNA(MATCH($F3285,Lists!$A$2:$A$5,0)),"✖ الفترة غير صحيحة",IF(ISNA(MATCH($G3285,Lists!$B$2:$B$7,0)),"✖ المجموعة غير صحيحة",IF(NOT(OR($H3285="",$N3285&gt;0)),"✖ Start غير صحيح",IF(NOT(OR($I3285="",$I3285="NR",$O3285&gt;0)),"✖ Current غير صحيح",IF(NOT(IF(ISNUMBER($J3285),AND($J3285&gt;=0,$J3285=INT($J3285)),FALSE())),"✖ العدد يجب أن يكون صحيحًا ≥ 0",IF(AND($F3285="Baseline",$H3285&lt;&gt;""),"⚠ Baseline: Start لا يدخل في التقدم",IF($K3285="No Start (attainment only)","ℹ تحصيل فقط (بدون Start)",IF($K3285="U – needs rule","ℹ حالة U تحتاج قاعدة معتمدة",IF($K3285="No result","ℹ بدون نتيجة (يُستبعد من التحصيل)","OK")))))))))))</f>
        <v/>
      </c>
      <c r="M3285" s="64" t="n">
        <f aca="false">IF($A3285="",0,IFERROR(MATCH($A3285,Classes!$A$6:$A$420,0),0))</f>
        <v>0</v>
      </c>
      <c r="N3285" s="64" t="n">
        <f aca="false">IF($H3285="",0,IFERROR(MATCH($H3285,GradeList,0),0))</f>
        <v>0</v>
      </c>
      <c r="O3285" s="64" t="n">
        <f aca="false">IF(OR($I3285="",$I3285="NR"),0,IFERROR(MATCH($I3285,GradeList,0),0))</f>
        <v>0</v>
      </c>
      <c r="P3285" s="64" t="n">
        <f aca="false">IF(AND($M3285&gt;0,ISNUMBER(MATCH($F3285,Lists!$A$2:$A$5,0)),ISNUMBER(MATCH($G3285,Lists!$B$2:$B$7,0)),OR($H3285="",$N3285&gt;0),OR($I3285="",$I3285="NR",$O3285&gt;0),IF(ISNUMBER($J3285),AND($J3285&gt;=0,$J3285=INT($J3285)),FALSE())),$J3285,0)</f>
        <v>0</v>
      </c>
      <c r="Q3285" s="64" t="n">
        <f aca="false">IF(AND($P3285&gt;0,$O3285&gt;0),$P3285,0)</f>
        <v>0</v>
      </c>
      <c r="R3285" s="64" t="n">
        <f aca="false">IF(AND($Q3285&gt;0,$O3285&gt;=AtRank),$Q3285,0)</f>
        <v>0</v>
      </c>
      <c r="S3285" s="64" t="n">
        <f aca="false">IF(AND($Q3285&gt;0,$O3285&gt;=AboveRank),$Q3285,0)</f>
        <v>0</v>
      </c>
      <c r="T3285" s="64" t="n">
        <f aca="false">IF($K3285="Less",$P3285,0)</f>
        <v>0</v>
      </c>
      <c r="U3285" s="64" t="n">
        <f aca="false">IF($K3285="Expected",$P3285,0)</f>
        <v>0</v>
      </c>
      <c r="V3285" s="64" t="n">
        <f aca="false">IF($K3285="Better",$P3285,0)</f>
        <v>0</v>
      </c>
      <c r="W3285" s="64" t="n">
        <f aca="false">IF($K3285="U – needs rule",$P3285,0)</f>
        <v>0</v>
      </c>
      <c r="X3285" s="64" t="n">
        <f aca="false">IF($K3285="No Start (attainment only)",$P3285,0)</f>
        <v>0</v>
      </c>
    </row>
    <row r="3286" customFormat="false" ht="15" hidden="false" customHeight="false" outlineLevel="0" collapsed="false">
      <c r="A3286" s="60"/>
      <c r="B3286" s="61" t="str">
        <f aca="false">IF($M3286=0,"",INDEX(Classes!$E$6:$E$420,$M3286))</f>
        <v/>
      </c>
      <c r="C3286" s="62" t="str">
        <f aca="false">IF($M3286=0,"",INDEX(Classes!$H$6:$H$420,$M3286))</f>
        <v/>
      </c>
      <c r="D3286" s="61" t="str">
        <f aca="false">IF($M3286=0,"",INDEX(Classes!$B$6:$B$420,$M3286))</f>
        <v/>
      </c>
      <c r="E3286" s="61" t="str">
        <f aca="false">IF($M3286=0,"",INDEX(Classes!$C$6:$C$420,$M3286))</f>
        <v/>
      </c>
      <c r="F3286" s="63"/>
      <c r="G3286" s="63"/>
      <c r="H3286" s="60"/>
      <c r="I3286" s="60"/>
      <c r="J3286" s="63"/>
      <c r="K3286" s="61" t="str">
        <f aca="false">IF($P3286=0,"",IF($F3286="Baseline","— Baseline",IF($O3286=0,"No result",IF($N3286=0,"No Start (attainment only)",IF(OR($N3286=1,$O3286=1),"U – needs rule",INDEX(MxBody,MATCH($I3286,MxCurr,0),MATCH($H3286,MxStart,0)))))))</f>
        <v/>
      </c>
      <c r="L3286" s="62" t="str">
        <f aca="false">IF(COUNTA($A3286,$F3286,$G3286,$H3286,$I3286,$J3286)=0,"",IF($M3286=0,"✖ كود الصف غير موجود",IF(ISNA(MATCH($F3286,Lists!$A$2:$A$5,0)),"✖ الفترة غير صحيحة",IF(ISNA(MATCH($G3286,Lists!$B$2:$B$7,0)),"✖ المجموعة غير صحيحة",IF(NOT(OR($H3286="",$N3286&gt;0)),"✖ Start غير صحيح",IF(NOT(OR($I3286="",$I3286="NR",$O3286&gt;0)),"✖ Current غير صحيح",IF(NOT(IF(ISNUMBER($J3286),AND($J3286&gt;=0,$J3286=INT($J3286)),FALSE())),"✖ العدد يجب أن يكون صحيحًا ≥ 0",IF(AND($F3286="Baseline",$H3286&lt;&gt;""),"⚠ Baseline: Start لا يدخل في التقدم",IF($K3286="No Start (attainment only)","ℹ تحصيل فقط (بدون Start)",IF($K3286="U – needs rule","ℹ حالة U تحتاج قاعدة معتمدة",IF($K3286="No result","ℹ بدون نتيجة (يُستبعد من التحصيل)","OK")))))))))))</f>
        <v/>
      </c>
      <c r="M3286" s="64" t="n">
        <f aca="false">IF($A3286="",0,IFERROR(MATCH($A3286,Classes!$A$6:$A$420,0),0))</f>
        <v>0</v>
      </c>
      <c r="N3286" s="64" t="n">
        <f aca="false">IF($H3286="",0,IFERROR(MATCH($H3286,GradeList,0),0))</f>
        <v>0</v>
      </c>
      <c r="O3286" s="64" t="n">
        <f aca="false">IF(OR($I3286="",$I3286="NR"),0,IFERROR(MATCH($I3286,GradeList,0),0))</f>
        <v>0</v>
      </c>
      <c r="P3286" s="64" t="n">
        <f aca="false">IF(AND($M3286&gt;0,ISNUMBER(MATCH($F3286,Lists!$A$2:$A$5,0)),ISNUMBER(MATCH($G3286,Lists!$B$2:$B$7,0)),OR($H3286="",$N3286&gt;0),OR($I3286="",$I3286="NR",$O3286&gt;0),IF(ISNUMBER($J3286),AND($J3286&gt;=0,$J3286=INT($J3286)),FALSE())),$J3286,0)</f>
        <v>0</v>
      </c>
      <c r="Q3286" s="64" t="n">
        <f aca="false">IF(AND($P3286&gt;0,$O3286&gt;0),$P3286,0)</f>
        <v>0</v>
      </c>
      <c r="R3286" s="64" t="n">
        <f aca="false">IF(AND($Q3286&gt;0,$O3286&gt;=AtRank),$Q3286,0)</f>
        <v>0</v>
      </c>
      <c r="S3286" s="64" t="n">
        <f aca="false">IF(AND($Q3286&gt;0,$O3286&gt;=AboveRank),$Q3286,0)</f>
        <v>0</v>
      </c>
      <c r="T3286" s="64" t="n">
        <f aca="false">IF($K3286="Less",$P3286,0)</f>
        <v>0</v>
      </c>
      <c r="U3286" s="64" t="n">
        <f aca="false">IF($K3286="Expected",$P3286,0)</f>
        <v>0</v>
      </c>
      <c r="V3286" s="64" t="n">
        <f aca="false">IF($K3286="Better",$P3286,0)</f>
        <v>0</v>
      </c>
      <c r="W3286" s="64" t="n">
        <f aca="false">IF($K3286="U – needs rule",$P3286,0)</f>
        <v>0</v>
      </c>
      <c r="X3286" s="64" t="n">
        <f aca="false">IF($K3286="No Start (attainment only)",$P3286,0)</f>
        <v>0</v>
      </c>
    </row>
    <row r="3287" customFormat="false" ht="15" hidden="false" customHeight="false" outlineLevel="0" collapsed="false">
      <c r="A3287" s="60"/>
      <c r="B3287" s="61" t="str">
        <f aca="false">IF($M3287=0,"",INDEX(Classes!$E$6:$E$420,$M3287))</f>
        <v/>
      </c>
      <c r="C3287" s="62" t="str">
        <f aca="false">IF($M3287=0,"",INDEX(Classes!$H$6:$H$420,$M3287))</f>
        <v/>
      </c>
      <c r="D3287" s="61" t="str">
        <f aca="false">IF($M3287=0,"",INDEX(Classes!$B$6:$B$420,$M3287))</f>
        <v/>
      </c>
      <c r="E3287" s="61" t="str">
        <f aca="false">IF($M3287=0,"",INDEX(Classes!$C$6:$C$420,$M3287))</f>
        <v/>
      </c>
      <c r="F3287" s="63"/>
      <c r="G3287" s="63"/>
      <c r="H3287" s="60"/>
      <c r="I3287" s="60"/>
      <c r="J3287" s="63"/>
      <c r="K3287" s="61" t="str">
        <f aca="false">IF($P3287=0,"",IF($F3287="Baseline","— Baseline",IF($O3287=0,"No result",IF($N3287=0,"No Start (attainment only)",IF(OR($N3287=1,$O3287=1),"U – needs rule",INDEX(MxBody,MATCH($I3287,MxCurr,0),MATCH($H3287,MxStart,0)))))))</f>
        <v/>
      </c>
      <c r="L3287" s="62" t="str">
        <f aca="false">IF(COUNTA($A3287,$F3287,$G3287,$H3287,$I3287,$J3287)=0,"",IF($M3287=0,"✖ كود الصف غير موجود",IF(ISNA(MATCH($F3287,Lists!$A$2:$A$5,0)),"✖ الفترة غير صحيحة",IF(ISNA(MATCH($G3287,Lists!$B$2:$B$7,0)),"✖ المجموعة غير صحيحة",IF(NOT(OR($H3287="",$N3287&gt;0)),"✖ Start غير صحيح",IF(NOT(OR($I3287="",$I3287="NR",$O3287&gt;0)),"✖ Current غير صحيح",IF(NOT(IF(ISNUMBER($J3287),AND($J3287&gt;=0,$J3287=INT($J3287)),FALSE())),"✖ العدد يجب أن يكون صحيحًا ≥ 0",IF(AND($F3287="Baseline",$H3287&lt;&gt;""),"⚠ Baseline: Start لا يدخل في التقدم",IF($K3287="No Start (attainment only)","ℹ تحصيل فقط (بدون Start)",IF($K3287="U – needs rule","ℹ حالة U تحتاج قاعدة معتمدة",IF($K3287="No result","ℹ بدون نتيجة (يُستبعد من التحصيل)","OK")))))))))))</f>
        <v/>
      </c>
      <c r="M3287" s="64" t="n">
        <f aca="false">IF($A3287="",0,IFERROR(MATCH($A3287,Classes!$A$6:$A$420,0),0))</f>
        <v>0</v>
      </c>
      <c r="N3287" s="64" t="n">
        <f aca="false">IF($H3287="",0,IFERROR(MATCH($H3287,GradeList,0),0))</f>
        <v>0</v>
      </c>
      <c r="O3287" s="64" t="n">
        <f aca="false">IF(OR($I3287="",$I3287="NR"),0,IFERROR(MATCH($I3287,GradeList,0),0))</f>
        <v>0</v>
      </c>
      <c r="P3287" s="64" t="n">
        <f aca="false">IF(AND($M3287&gt;0,ISNUMBER(MATCH($F3287,Lists!$A$2:$A$5,0)),ISNUMBER(MATCH($G3287,Lists!$B$2:$B$7,0)),OR($H3287="",$N3287&gt;0),OR($I3287="",$I3287="NR",$O3287&gt;0),IF(ISNUMBER($J3287),AND($J3287&gt;=0,$J3287=INT($J3287)),FALSE())),$J3287,0)</f>
        <v>0</v>
      </c>
      <c r="Q3287" s="64" t="n">
        <f aca="false">IF(AND($P3287&gt;0,$O3287&gt;0),$P3287,0)</f>
        <v>0</v>
      </c>
      <c r="R3287" s="64" t="n">
        <f aca="false">IF(AND($Q3287&gt;0,$O3287&gt;=AtRank),$Q3287,0)</f>
        <v>0</v>
      </c>
      <c r="S3287" s="64" t="n">
        <f aca="false">IF(AND($Q3287&gt;0,$O3287&gt;=AboveRank),$Q3287,0)</f>
        <v>0</v>
      </c>
      <c r="T3287" s="64" t="n">
        <f aca="false">IF($K3287="Less",$P3287,0)</f>
        <v>0</v>
      </c>
      <c r="U3287" s="64" t="n">
        <f aca="false">IF($K3287="Expected",$P3287,0)</f>
        <v>0</v>
      </c>
      <c r="V3287" s="64" t="n">
        <f aca="false">IF($K3287="Better",$P3287,0)</f>
        <v>0</v>
      </c>
      <c r="W3287" s="64" t="n">
        <f aca="false">IF($K3287="U – needs rule",$P3287,0)</f>
        <v>0</v>
      </c>
      <c r="X3287" s="64" t="n">
        <f aca="false">IF($K3287="No Start (attainment only)",$P3287,0)</f>
        <v>0</v>
      </c>
    </row>
    <row r="3288" customFormat="false" ht="15" hidden="false" customHeight="false" outlineLevel="0" collapsed="false">
      <c r="A3288" s="60"/>
      <c r="B3288" s="61" t="str">
        <f aca="false">IF($M3288=0,"",INDEX(Classes!$E$6:$E$420,$M3288))</f>
        <v/>
      </c>
      <c r="C3288" s="62" t="str">
        <f aca="false">IF($M3288=0,"",INDEX(Classes!$H$6:$H$420,$M3288))</f>
        <v/>
      </c>
      <c r="D3288" s="61" t="str">
        <f aca="false">IF($M3288=0,"",INDEX(Classes!$B$6:$B$420,$M3288))</f>
        <v/>
      </c>
      <c r="E3288" s="61" t="str">
        <f aca="false">IF($M3288=0,"",INDEX(Classes!$C$6:$C$420,$M3288))</f>
        <v/>
      </c>
      <c r="F3288" s="63"/>
      <c r="G3288" s="63"/>
      <c r="H3288" s="60"/>
      <c r="I3288" s="60"/>
      <c r="J3288" s="63"/>
      <c r="K3288" s="61" t="str">
        <f aca="false">IF($P3288=0,"",IF($F3288="Baseline","— Baseline",IF($O3288=0,"No result",IF($N3288=0,"No Start (attainment only)",IF(OR($N3288=1,$O3288=1),"U – needs rule",INDEX(MxBody,MATCH($I3288,MxCurr,0),MATCH($H3288,MxStart,0)))))))</f>
        <v/>
      </c>
      <c r="L3288" s="62" t="str">
        <f aca="false">IF(COUNTA($A3288,$F3288,$G3288,$H3288,$I3288,$J3288)=0,"",IF($M3288=0,"✖ كود الصف غير موجود",IF(ISNA(MATCH($F3288,Lists!$A$2:$A$5,0)),"✖ الفترة غير صحيحة",IF(ISNA(MATCH($G3288,Lists!$B$2:$B$7,0)),"✖ المجموعة غير صحيحة",IF(NOT(OR($H3288="",$N3288&gt;0)),"✖ Start غير صحيح",IF(NOT(OR($I3288="",$I3288="NR",$O3288&gt;0)),"✖ Current غير صحيح",IF(NOT(IF(ISNUMBER($J3288),AND($J3288&gt;=0,$J3288=INT($J3288)),FALSE())),"✖ العدد يجب أن يكون صحيحًا ≥ 0",IF(AND($F3288="Baseline",$H3288&lt;&gt;""),"⚠ Baseline: Start لا يدخل في التقدم",IF($K3288="No Start (attainment only)","ℹ تحصيل فقط (بدون Start)",IF($K3288="U – needs rule","ℹ حالة U تحتاج قاعدة معتمدة",IF($K3288="No result","ℹ بدون نتيجة (يُستبعد من التحصيل)","OK")))))))))))</f>
        <v/>
      </c>
      <c r="M3288" s="64" t="n">
        <f aca="false">IF($A3288="",0,IFERROR(MATCH($A3288,Classes!$A$6:$A$420,0),0))</f>
        <v>0</v>
      </c>
      <c r="N3288" s="64" t="n">
        <f aca="false">IF($H3288="",0,IFERROR(MATCH($H3288,GradeList,0),0))</f>
        <v>0</v>
      </c>
      <c r="O3288" s="64" t="n">
        <f aca="false">IF(OR($I3288="",$I3288="NR"),0,IFERROR(MATCH($I3288,GradeList,0),0))</f>
        <v>0</v>
      </c>
      <c r="P3288" s="64" t="n">
        <f aca="false">IF(AND($M3288&gt;0,ISNUMBER(MATCH($F3288,Lists!$A$2:$A$5,0)),ISNUMBER(MATCH($G3288,Lists!$B$2:$B$7,0)),OR($H3288="",$N3288&gt;0),OR($I3288="",$I3288="NR",$O3288&gt;0),IF(ISNUMBER($J3288),AND($J3288&gt;=0,$J3288=INT($J3288)),FALSE())),$J3288,0)</f>
        <v>0</v>
      </c>
      <c r="Q3288" s="64" t="n">
        <f aca="false">IF(AND($P3288&gt;0,$O3288&gt;0),$P3288,0)</f>
        <v>0</v>
      </c>
      <c r="R3288" s="64" t="n">
        <f aca="false">IF(AND($Q3288&gt;0,$O3288&gt;=AtRank),$Q3288,0)</f>
        <v>0</v>
      </c>
      <c r="S3288" s="64" t="n">
        <f aca="false">IF(AND($Q3288&gt;0,$O3288&gt;=AboveRank),$Q3288,0)</f>
        <v>0</v>
      </c>
      <c r="T3288" s="64" t="n">
        <f aca="false">IF($K3288="Less",$P3288,0)</f>
        <v>0</v>
      </c>
      <c r="U3288" s="64" t="n">
        <f aca="false">IF($K3288="Expected",$P3288,0)</f>
        <v>0</v>
      </c>
      <c r="V3288" s="64" t="n">
        <f aca="false">IF($K3288="Better",$P3288,0)</f>
        <v>0</v>
      </c>
      <c r="W3288" s="64" t="n">
        <f aca="false">IF($K3288="U – needs rule",$P3288,0)</f>
        <v>0</v>
      </c>
      <c r="X3288" s="64" t="n">
        <f aca="false">IF($K3288="No Start (attainment only)",$P3288,0)</f>
        <v>0</v>
      </c>
    </row>
    <row r="3289" customFormat="false" ht="15" hidden="false" customHeight="false" outlineLevel="0" collapsed="false">
      <c r="A3289" s="60"/>
      <c r="B3289" s="61" t="str">
        <f aca="false">IF($M3289=0,"",INDEX(Classes!$E$6:$E$420,$M3289))</f>
        <v/>
      </c>
      <c r="C3289" s="62" t="str">
        <f aca="false">IF($M3289=0,"",INDEX(Classes!$H$6:$H$420,$M3289))</f>
        <v/>
      </c>
      <c r="D3289" s="61" t="str">
        <f aca="false">IF($M3289=0,"",INDEX(Classes!$B$6:$B$420,$M3289))</f>
        <v/>
      </c>
      <c r="E3289" s="61" t="str">
        <f aca="false">IF($M3289=0,"",INDEX(Classes!$C$6:$C$420,$M3289))</f>
        <v/>
      </c>
      <c r="F3289" s="63"/>
      <c r="G3289" s="63"/>
      <c r="H3289" s="60"/>
      <c r="I3289" s="60"/>
      <c r="J3289" s="63"/>
      <c r="K3289" s="61" t="str">
        <f aca="false">IF($P3289=0,"",IF($F3289="Baseline","— Baseline",IF($O3289=0,"No result",IF($N3289=0,"No Start (attainment only)",IF(OR($N3289=1,$O3289=1),"U – needs rule",INDEX(MxBody,MATCH($I3289,MxCurr,0),MATCH($H3289,MxStart,0)))))))</f>
        <v/>
      </c>
      <c r="L3289" s="62" t="str">
        <f aca="false">IF(COUNTA($A3289,$F3289,$G3289,$H3289,$I3289,$J3289)=0,"",IF($M3289=0,"✖ كود الصف غير موجود",IF(ISNA(MATCH($F3289,Lists!$A$2:$A$5,0)),"✖ الفترة غير صحيحة",IF(ISNA(MATCH($G3289,Lists!$B$2:$B$7,0)),"✖ المجموعة غير صحيحة",IF(NOT(OR($H3289="",$N3289&gt;0)),"✖ Start غير صحيح",IF(NOT(OR($I3289="",$I3289="NR",$O3289&gt;0)),"✖ Current غير صحيح",IF(NOT(IF(ISNUMBER($J3289),AND($J3289&gt;=0,$J3289=INT($J3289)),FALSE())),"✖ العدد يجب أن يكون صحيحًا ≥ 0",IF(AND($F3289="Baseline",$H3289&lt;&gt;""),"⚠ Baseline: Start لا يدخل في التقدم",IF($K3289="No Start (attainment only)","ℹ تحصيل فقط (بدون Start)",IF($K3289="U – needs rule","ℹ حالة U تحتاج قاعدة معتمدة",IF($K3289="No result","ℹ بدون نتيجة (يُستبعد من التحصيل)","OK")))))))))))</f>
        <v/>
      </c>
      <c r="M3289" s="64" t="n">
        <f aca="false">IF($A3289="",0,IFERROR(MATCH($A3289,Classes!$A$6:$A$420,0),0))</f>
        <v>0</v>
      </c>
      <c r="N3289" s="64" t="n">
        <f aca="false">IF($H3289="",0,IFERROR(MATCH($H3289,GradeList,0),0))</f>
        <v>0</v>
      </c>
      <c r="O3289" s="64" t="n">
        <f aca="false">IF(OR($I3289="",$I3289="NR"),0,IFERROR(MATCH($I3289,GradeList,0),0))</f>
        <v>0</v>
      </c>
      <c r="P3289" s="64" t="n">
        <f aca="false">IF(AND($M3289&gt;0,ISNUMBER(MATCH($F3289,Lists!$A$2:$A$5,0)),ISNUMBER(MATCH($G3289,Lists!$B$2:$B$7,0)),OR($H3289="",$N3289&gt;0),OR($I3289="",$I3289="NR",$O3289&gt;0),IF(ISNUMBER($J3289),AND($J3289&gt;=0,$J3289=INT($J3289)),FALSE())),$J3289,0)</f>
        <v>0</v>
      </c>
      <c r="Q3289" s="64" t="n">
        <f aca="false">IF(AND($P3289&gt;0,$O3289&gt;0),$P3289,0)</f>
        <v>0</v>
      </c>
      <c r="R3289" s="64" t="n">
        <f aca="false">IF(AND($Q3289&gt;0,$O3289&gt;=AtRank),$Q3289,0)</f>
        <v>0</v>
      </c>
      <c r="S3289" s="64" t="n">
        <f aca="false">IF(AND($Q3289&gt;0,$O3289&gt;=AboveRank),$Q3289,0)</f>
        <v>0</v>
      </c>
      <c r="T3289" s="64" t="n">
        <f aca="false">IF($K3289="Less",$P3289,0)</f>
        <v>0</v>
      </c>
      <c r="U3289" s="64" t="n">
        <f aca="false">IF($K3289="Expected",$P3289,0)</f>
        <v>0</v>
      </c>
      <c r="V3289" s="64" t="n">
        <f aca="false">IF($K3289="Better",$P3289,0)</f>
        <v>0</v>
      </c>
      <c r="W3289" s="64" t="n">
        <f aca="false">IF($K3289="U – needs rule",$P3289,0)</f>
        <v>0</v>
      </c>
      <c r="X3289" s="64" t="n">
        <f aca="false">IF($K3289="No Start (attainment only)",$P3289,0)</f>
        <v>0</v>
      </c>
    </row>
    <row r="3290" customFormat="false" ht="15" hidden="false" customHeight="false" outlineLevel="0" collapsed="false">
      <c r="A3290" s="60"/>
      <c r="B3290" s="61" t="str">
        <f aca="false">IF($M3290=0,"",INDEX(Classes!$E$6:$E$420,$M3290))</f>
        <v/>
      </c>
      <c r="C3290" s="62" t="str">
        <f aca="false">IF($M3290=0,"",INDEX(Classes!$H$6:$H$420,$M3290))</f>
        <v/>
      </c>
      <c r="D3290" s="61" t="str">
        <f aca="false">IF($M3290=0,"",INDEX(Classes!$B$6:$B$420,$M3290))</f>
        <v/>
      </c>
      <c r="E3290" s="61" t="str">
        <f aca="false">IF($M3290=0,"",INDEX(Classes!$C$6:$C$420,$M3290))</f>
        <v/>
      </c>
      <c r="F3290" s="63"/>
      <c r="G3290" s="63"/>
      <c r="H3290" s="60"/>
      <c r="I3290" s="60"/>
      <c r="J3290" s="63"/>
      <c r="K3290" s="61" t="str">
        <f aca="false">IF($P3290=0,"",IF($F3290="Baseline","— Baseline",IF($O3290=0,"No result",IF($N3290=0,"No Start (attainment only)",IF(OR($N3290=1,$O3290=1),"U – needs rule",INDEX(MxBody,MATCH($I3290,MxCurr,0),MATCH($H3290,MxStart,0)))))))</f>
        <v/>
      </c>
      <c r="L3290" s="62" t="str">
        <f aca="false">IF(COUNTA($A3290,$F3290,$G3290,$H3290,$I3290,$J3290)=0,"",IF($M3290=0,"✖ كود الصف غير موجود",IF(ISNA(MATCH($F3290,Lists!$A$2:$A$5,0)),"✖ الفترة غير صحيحة",IF(ISNA(MATCH($G3290,Lists!$B$2:$B$7,0)),"✖ المجموعة غير صحيحة",IF(NOT(OR($H3290="",$N3290&gt;0)),"✖ Start غير صحيح",IF(NOT(OR($I3290="",$I3290="NR",$O3290&gt;0)),"✖ Current غير صحيح",IF(NOT(IF(ISNUMBER($J3290),AND($J3290&gt;=0,$J3290=INT($J3290)),FALSE())),"✖ العدد يجب أن يكون صحيحًا ≥ 0",IF(AND($F3290="Baseline",$H3290&lt;&gt;""),"⚠ Baseline: Start لا يدخل في التقدم",IF($K3290="No Start (attainment only)","ℹ تحصيل فقط (بدون Start)",IF($K3290="U – needs rule","ℹ حالة U تحتاج قاعدة معتمدة",IF($K3290="No result","ℹ بدون نتيجة (يُستبعد من التحصيل)","OK")))))))))))</f>
        <v/>
      </c>
      <c r="M3290" s="64" t="n">
        <f aca="false">IF($A3290="",0,IFERROR(MATCH($A3290,Classes!$A$6:$A$420,0),0))</f>
        <v>0</v>
      </c>
      <c r="N3290" s="64" t="n">
        <f aca="false">IF($H3290="",0,IFERROR(MATCH($H3290,GradeList,0),0))</f>
        <v>0</v>
      </c>
      <c r="O3290" s="64" t="n">
        <f aca="false">IF(OR($I3290="",$I3290="NR"),0,IFERROR(MATCH($I3290,GradeList,0),0))</f>
        <v>0</v>
      </c>
      <c r="P3290" s="64" t="n">
        <f aca="false">IF(AND($M3290&gt;0,ISNUMBER(MATCH($F3290,Lists!$A$2:$A$5,0)),ISNUMBER(MATCH($G3290,Lists!$B$2:$B$7,0)),OR($H3290="",$N3290&gt;0),OR($I3290="",$I3290="NR",$O3290&gt;0),IF(ISNUMBER($J3290),AND($J3290&gt;=0,$J3290=INT($J3290)),FALSE())),$J3290,0)</f>
        <v>0</v>
      </c>
      <c r="Q3290" s="64" t="n">
        <f aca="false">IF(AND($P3290&gt;0,$O3290&gt;0),$P3290,0)</f>
        <v>0</v>
      </c>
      <c r="R3290" s="64" t="n">
        <f aca="false">IF(AND($Q3290&gt;0,$O3290&gt;=AtRank),$Q3290,0)</f>
        <v>0</v>
      </c>
      <c r="S3290" s="64" t="n">
        <f aca="false">IF(AND($Q3290&gt;0,$O3290&gt;=AboveRank),$Q3290,0)</f>
        <v>0</v>
      </c>
      <c r="T3290" s="64" t="n">
        <f aca="false">IF($K3290="Less",$P3290,0)</f>
        <v>0</v>
      </c>
      <c r="U3290" s="64" t="n">
        <f aca="false">IF($K3290="Expected",$P3290,0)</f>
        <v>0</v>
      </c>
      <c r="V3290" s="64" t="n">
        <f aca="false">IF($K3290="Better",$P3290,0)</f>
        <v>0</v>
      </c>
      <c r="W3290" s="64" t="n">
        <f aca="false">IF($K3290="U – needs rule",$P3290,0)</f>
        <v>0</v>
      </c>
      <c r="X3290" s="64" t="n">
        <f aca="false">IF($K3290="No Start (attainment only)",$P3290,0)</f>
        <v>0</v>
      </c>
    </row>
    <row r="3291" customFormat="false" ht="15" hidden="false" customHeight="false" outlineLevel="0" collapsed="false">
      <c r="A3291" s="60"/>
      <c r="B3291" s="61" t="str">
        <f aca="false">IF($M3291=0,"",INDEX(Classes!$E$6:$E$420,$M3291))</f>
        <v/>
      </c>
      <c r="C3291" s="62" t="str">
        <f aca="false">IF($M3291=0,"",INDEX(Classes!$H$6:$H$420,$M3291))</f>
        <v/>
      </c>
      <c r="D3291" s="61" t="str">
        <f aca="false">IF($M3291=0,"",INDEX(Classes!$B$6:$B$420,$M3291))</f>
        <v/>
      </c>
      <c r="E3291" s="61" t="str">
        <f aca="false">IF($M3291=0,"",INDEX(Classes!$C$6:$C$420,$M3291))</f>
        <v/>
      </c>
      <c r="F3291" s="63"/>
      <c r="G3291" s="63"/>
      <c r="H3291" s="60"/>
      <c r="I3291" s="60"/>
      <c r="J3291" s="63"/>
      <c r="K3291" s="61" t="str">
        <f aca="false">IF($P3291=0,"",IF($F3291="Baseline","— Baseline",IF($O3291=0,"No result",IF($N3291=0,"No Start (attainment only)",IF(OR($N3291=1,$O3291=1),"U – needs rule",INDEX(MxBody,MATCH($I3291,MxCurr,0),MATCH($H3291,MxStart,0)))))))</f>
        <v/>
      </c>
      <c r="L3291" s="62" t="str">
        <f aca="false">IF(COUNTA($A3291,$F3291,$G3291,$H3291,$I3291,$J3291)=0,"",IF($M3291=0,"✖ كود الصف غير موجود",IF(ISNA(MATCH($F3291,Lists!$A$2:$A$5,0)),"✖ الفترة غير صحيحة",IF(ISNA(MATCH($G3291,Lists!$B$2:$B$7,0)),"✖ المجموعة غير صحيحة",IF(NOT(OR($H3291="",$N3291&gt;0)),"✖ Start غير صحيح",IF(NOT(OR($I3291="",$I3291="NR",$O3291&gt;0)),"✖ Current غير صحيح",IF(NOT(IF(ISNUMBER($J3291),AND($J3291&gt;=0,$J3291=INT($J3291)),FALSE())),"✖ العدد يجب أن يكون صحيحًا ≥ 0",IF(AND($F3291="Baseline",$H3291&lt;&gt;""),"⚠ Baseline: Start لا يدخل في التقدم",IF($K3291="No Start (attainment only)","ℹ تحصيل فقط (بدون Start)",IF($K3291="U – needs rule","ℹ حالة U تحتاج قاعدة معتمدة",IF($K3291="No result","ℹ بدون نتيجة (يُستبعد من التحصيل)","OK")))))))))))</f>
        <v/>
      </c>
      <c r="M3291" s="64" t="n">
        <f aca="false">IF($A3291="",0,IFERROR(MATCH($A3291,Classes!$A$6:$A$420,0),0))</f>
        <v>0</v>
      </c>
      <c r="N3291" s="64" t="n">
        <f aca="false">IF($H3291="",0,IFERROR(MATCH($H3291,GradeList,0),0))</f>
        <v>0</v>
      </c>
      <c r="O3291" s="64" t="n">
        <f aca="false">IF(OR($I3291="",$I3291="NR"),0,IFERROR(MATCH($I3291,GradeList,0),0))</f>
        <v>0</v>
      </c>
      <c r="P3291" s="64" t="n">
        <f aca="false">IF(AND($M3291&gt;0,ISNUMBER(MATCH($F3291,Lists!$A$2:$A$5,0)),ISNUMBER(MATCH($G3291,Lists!$B$2:$B$7,0)),OR($H3291="",$N3291&gt;0),OR($I3291="",$I3291="NR",$O3291&gt;0),IF(ISNUMBER($J3291),AND($J3291&gt;=0,$J3291=INT($J3291)),FALSE())),$J3291,0)</f>
        <v>0</v>
      </c>
      <c r="Q3291" s="64" t="n">
        <f aca="false">IF(AND($P3291&gt;0,$O3291&gt;0),$P3291,0)</f>
        <v>0</v>
      </c>
      <c r="R3291" s="64" t="n">
        <f aca="false">IF(AND($Q3291&gt;0,$O3291&gt;=AtRank),$Q3291,0)</f>
        <v>0</v>
      </c>
      <c r="S3291" s="64" t="n">
        <f aca="false">IF(AND($Q3291&gt;0,$O3291&gt;=AboveRank),$Q3291,0)</f>
        <v>0</v>
      </c>
      <c r="T3291" s="64" t="n">
        <f aca="false">IF($K3291="Less",$P3291,0)</f>
        <v>0</v>
      </c>
      <c r="U3291" s="64" t="n">
        <f aca="false">IF($K3291="Expected",$P3291,0)</f>
        <v>0</v>
      </c>
      <c r="V3291" s="64" t="n">
        <f aca="false">IF($K3291="Better",$P3291,0)</f>
        <v>0</v>
      </c>
      <c r="W3291" s="64" t="n">
        <f aca="false">IF($K3291="U – needs rule",$P3291,0)</f>
        <v>0</v>
      </c>
      <c r="X3291" s="64" t="n">
        <f aca="false">IF($K3291="No Start (attainment only)",$P3291,0)</f>
        <v>0</v>
      </c>
    </row>
    <row r="3292" customFormat="false" ht="15" hidden="false" customHeight="false" outlineLevel="0" collapsed="false">
      <c r="A3292" s="60"/>
      <c r="B3292" s="61" t="str">
        <f aca="false">IF($M3292=0,"",INDEX(Classes!$E$6:$E$420,$M3292))</f>
        <v/>
      </c>
      <c r="C3292" s="62" t="str">
        <f aca="false">IF($M3292=0,"",INDEX(Classes!$H$6:$H$420,$M3292))</f>
        <v/>
      </c>
      <c r="D3292" s="61" t="str">
        <f aca="false">IF($M3292=0,"",INDEX(Classes!$B$6:$B$420,$M3292))</f>
        <v/>
      </c>
      <c r="E3292" s="61" t="str">
        <f aca="false">IF($M3292=0,"",INDEX(Classes!$C$6:$C$420,$M3292))</f>
        <v/>
      </c>
      <c r="F3292" s="63"/>
      <c r="G3292" s="63"/>
      <c r="H3292" s="60"/>
      <c r="I3292" s="60"/>
      <c r="J3292" s="63"/>
      <c r="K3292" s="61" t="str">
        <f aca="false">IF($P3292=0,"",IF($F3292="Baseline","— Baseline",IF($O3292=0,"No result",IF($N3292=0,"No Start (attainment only)",IF(OR($N3292=1,$O3292=1),"U – needs rule",INDEX(MxBody,MATCH($I3292,MxCurr,0),MATCH($H3292,MxStart,0)))))))</f>
        <v/>
      </c>
      <c r="L3292" s="62" t="str">
        <f aca="false">IF(COUNTA($A3292,$F3292,$G3292,$H3292,$I3292,$J3292)=0,"",IF($M3292=0,"✖ كود الصف غير موجود",IF(ISNA(MATCH($F3292,Lists!$A$2:$A$5,0)),"✖ الفترة غير صحيحة",IF(ISNA(MATCH($G3292,Lists!$B$2:$B$7,0)),"✖ المجموعة غير صحيحة",IF(NOT(OR($H3292="",$N3292&gt;0)),"✖ Start غير صحيح",IF(NOT(OR($I3292="",$I3292="NR",$O3292&gt;0)),"✖ Current غير صحيح",IF(NOT(IF(ISNUMBER($J3292),AND($J3292&gt;=0,$J3292=INT($J3292)),FALSE())),"✖ العدد يجب أن يكون صحيحًا ≥ 0",IF(AND($F3292="Baseline",$H3292&lt;&gt;""),"⚠ Baseline: Start لا يدخل في التقدم",IF($K3292="No Start (attainment only)","ℹ تحصيل فقط (بدون Start)",IF($K3292="U – needs rule","ℹ حالة U تحتاج قاعدة معتمدة",IF($K3292="No result","ℹ بدون نتيجة (يُستبعد من التحصيل)","OK")))))))))))</f>
        <v/>
      </c>
      <c r="M3292" s="64" t="n">
        <f aca="false">IF($A3292="",0,IFERROR(MATCH($A3292,Classes!$A$6:$A$420,0),0))</f>
        <v>0</v>
      </c>
      <c r="N3292" s="64" t="n">
        <f aca="false">IF($H3292="",0,IFERROR(MATCH($H3292,GradeList,0),0))</f>
        <v>0</v>
      </c>
      <c r="O3292" s="64" t="n">
        <f aca="false">IF(OR($I3292="",$I3292="NR"),0,IFERROR(MATCH($I3292,GradeList,0),0))</f>
        <v>0</v>
      </c>
      <c r="P3292" s="64" t="n">
        <f aca="false">IF(AND($M3292&gt;0,ISNUMBER(MATCH($F3292,Lists!$A$2:$A$5,0)),ISNUMBER(MATCH($G3292,Lists!$B$2:$B$7,0)),OR($H3292="",$N3292&gt;0),OR($I3292="",$I3292="NR",$O3292&gt;0),IF(ISNUMBER($J3292),AND($J3292&gt;=0,$J3292=INT($J3292)),FALSE())),$J3292,0)</f>
        <v>0</v>
      </c>
      <c r="Q3292" s="64" t="n">
        <f aca="false">IF(AND($P3292&gt;0,$O3292&gt;0),$P3292,0)</f>
        <v>0</v>
      </c>
      <c r="R3292" s="64" t="n">
        <f aca="false">IF(AND($Q3292&gt;0,$O3292&gt;=AtRank),$Q3292,0)</f>
        <v>0</v>
      </c>
      <c r="S3292" s="64" t="n">
        <f aca="false">IF(AND($Q3292&gt;0,$O3292&gt;=AboveRank),$Q3292,0)</f>
        <v>0</v>
      </c>
      <c r="T3292" s="64" t="n">
        <f aca="false">IF($K3292="Less",$P3292,0)</f>
        <v>0</v>
      </c>
      <c r="U3292" s="64" t="n">
        <f aca="false">IF($K3292="Expected",$P3292,0)</f>
        <v>0</v>
      </c>
      <c r="V3292" s="64" t="n">
        <f aca="false">IF($K3292="Better",$P3292,0)</f>
        <v>0</v>
      </c>
      <c r="W3292" s="64" t="n">
        <f aca="false">IF($K3292="U – needs rule",$P3292,0)</f>
        <v>0</v>
      </c>
      <c r="X3292" s="64" t="n">
        <f aca="false">IF($K3292="No Start (attainment only)",$P3292,0)</f>
        <v>0</v>
      </c>
    </row>
    <row r="3293" customFormat="false" ht="15" hidden="false" customHeight="false" outlineLevel="0" collapsed="false">
      <c r="A3293" s="60"/>
      <c r="B3293" s="61" t="str">
        <f aca="false">IF($M3293=0,"",INDEX(Classes!$E$6:$E$420,$M3293))</f>
        <v/>
      </c>
      <c r="C3293" s="62" t="str">
        <f aca="false">IF($M3293=0,"",INDEX(Classes!$H$6:$H$420,$M3293))</f>
        <v/>
      </c>
      <c r="D3293" s="61" t="str">
        <f aca="false">IF($M3293=0,"",INDEX(Classes!$B$6:$B$420,$M3293))</f>
        <v/>
      </c>
      <c r="E3293" s="61" t="str">
        <f aca="false">IF($M3293=0,"",INDEX(Classes!$C$6:$C$420,$M3293))</f>
        <v/>
      </c>
      <c r="F3293" s="63"/>
      <c r="G3293" s="63"/>
      <c r="H3293" s="60"/>
      <c r="I3293" s="60"/>
      <c r="J3293" s="63"/>
      <c r="K3293" s="61" t="str">
        <f aca="false">IF($P3293=0,"",IF($F3293="Baseline","— Baseline",IF($O3293=0,"No result",IF($N3293=0,"No Start (attainment only)",IF(OR($N3293=1,$O3293=1),"U – needs rule",INDEX(MxBody,MATCH($I3293,MxCurr,0),MATCH($H3293,MxStart,0)))))))</f>
        <v/>
      </c>
      <c r="L3293" s="62" t="str">
        <f aca="false">IF(COUNTA($A3293,$F3293,$G3293,$H3293,$I3293,$J3293)=0,"",IF($M3293=0,"✖ كود الصف غير موجود",IF(ISNA(MATCH($F3293,Lists!$A$2:$A$5,0)),"✖ الفترة غير صحيحة",IF(ISNA(MATCH($G3293,Lists!$B$2:$B$7,0)),"✖ المجموعة غير صحيحة",IF(NOT(OR($H3293="",$N3293&gt;0)),"✖ Start غير صحيح",IF(NOT(OR($I3293="",$I3293="NR",$O3293&gt;0)),"✖ Current غير صحيح",IF(NOT(IF(ISNUMBER($J3293),AND($J3293&gt;=0,$J3293=INT($J3293)),FALSE())),"✖ العدد يجب أن يكون صحيحًا ≥ 0",IF(AND($F3293="Baseline",$H3293&lt;&gt;""),"⚠ Baseline: Start لا يدخل في التقدم",IF($K3293="No Start (attainment only)","ℹ تحصيل فقط (بدون Start)",IF($K3293="U – needs rule","ℹ حالة U تحتاج قاعدة معتمدة",IF($K3293="No result","ℹ بدون نتيجة (يُستبعد من التحصيل)","OK")))))))))))</f>
        <v/>
      </c>
      <c r="M3293" s="64" t="n">
        <f aca="false">IF($A3293="",0,IFERROR(MATCH($A3293,Classes!$A$6:$A$420,0),0))</f>
        <v>0</v>
      </c>
      <c r="N3293" s="64" t="n">
        <f aca="false">IF($H3293="",0,IFERROR(MATCH($H3293,GradeList,0),0))</f>
        <v>0</v>
      </c>
      <c r="O3293" s="64" t="n">
        <f aca="false">IF(OR($I3293="",$I3293="NR"),0,IFERROR(MATCH($I3293,GradeList,0),0))</f>
        <v>0</v>
      </c>
      <c r="P3293" s="64" t="n">
        <f aca="false">IF(AND($M3293&gt;0,ISNUMBER(MATCH($F3293,Lists!$A$2:$A$5,0)),ISNUMBER(MATCH($G3293,Lists!$B$2:$B$7,0)),OR($H3293="",$N3293&gt;0),OR($I3293="",$I3293="NR",$O3293&gt;0),IF(ISNUMBER($J3293),AND($J3293&gt;=0,$J3293=INT($J3293)),FALSE())),$J3293,0)</f>
        <v>0</v>
      </c>
      <c r="Q3293" s="64" t="n">
        <f aca="false">IF(AND($P3293&gt;0,$O3293&gt;0),$P3293,0)</f>
        <v>0</v>
      </c>
      <c r="R3293" s="64" t="n">
        <f aca="false">IF(AND($Q3293&gt;0,$O3293&gt;=AtRank),$Q3293,0)</f>
        <v>0</v>
      </c>
      <c r="S3293" s="64" t="n">
        <f aca="false">IF(AND($Q3293&gt;0,$O3293&gt;=AboveRank),$Q3293,0)</f>
        <v>0</v>
      </c>
      <c r="T3293" s="64" t="n">
        <f aca="false">IF($K3293="Less",$P3293,0)</f>
        <v>0</v>
      </c>
      <c r="U3293" s="64" t="n">
        <f aca="false">IF($K3293="Expected",$P3293,0)</f>
        <v>0</v>
      </c>
      <c r="V3293" s="64" t="n">
        <f aca="false">IF($K3293="Better",$P3293,0)</f>
        <v>0</v>
      </c>
      <c r="W3293" s="64" t="n">
        <f aca="false">IF($K3293="U – needs rule",$P3293,0)</f>
        <v>0</v>
      </c>
      <c r="X3293" s="64" t="n">
        <f aca="false">IF($K3293="No Start (attainment only)",$P3293,0)</f>
        <v>0</v>
      </c>
    </row>
    <row r="3294" customFormat="false" ht="15" hidden="false" customHeight="false" outlineLevel="0" collapsed="false">
      <c r="A3294" s="60"/>
      <c r="B3294" s="61" t="str">
        <f aca="false">IF($M3294=0,"",INDEX(Classes!$E$6:$E$420,$M3294))</f>
        <v/>
      </c>
      <c r="C3294" s="62" t="str">
        <f aca="false">IF($M3294=0,"",INDEX(Classes!$H$6:$H$420,$M3294))</f>
        <v/>
      </c>
      <c r="D3294" s="61" t="str">
        <f aca="false">IF($M3294=0,"",INDEX(Classes!$B$6:$B$420,$M3294))</f>
        <v/>
      </c>
      <c r="E3294" s="61" t="str">
        <f aca="false">IF($M3294=0,"",INDEX(Classes!$C$6:$C$420,$M3294))</f>
        <v/>
      </c>
      <c r="F3294" s="63"/>
      <c r="G3294" s="63"/>
      <c r="H3294" s="60"/>
      <c r="I3294" s="60"/>
      <c r="J3294" s="63"/>
      <c r="K3294" s="61" t="str">
        <f aca="false">IF($P3294=0,"",IF($F3294="Baseline","— Baseline",IF($O3294=0,"No result",IF($N3294=0,"No Start (attainment only)",IF(OR($N3294=1,$O3294=1),"U – needs rule",INDEX(MxBody,MATCH($I3294,MxCurr,0),MATCH($H3294,MxStart,0)))))))</f>
        <v/>
      </c>
      <c r="L3294" s="62" t="str">
        <f aca="false">IF(COUNTA($A3294,$F3294,$G3294,$H3294,$I3294,$J3294)=0,"",IF($M3294=0,"✖ كود الصف غير موجود",IF(ISNA(MATCH($F3294,Lists!$A$2:$A$5,0)),"✖ الفترة غير صحيحة",IF(ISNA(MATCH($G3294,Lists!$B$2:$B$7,0)),"✖ المجموعة غير صحيحة",IF(NOT(OR($H3294="",$N3294&gt;0)),"✖ Start غير صحيح",IF(NOT(OR($I3294="",$I3294="NR",$O3294&gt;0)),"✖ Current غير صحيح",IF(NOT(IF(ISNUMBER($J3294),AND($J3294&gt;=0,$J3294=INT($J3294)),FALSE())),"✖ العدد يجب أن يكون صحيحًا ≥ 0",IF(AND($F3294="Baseline",$H3294&lt;&gt;""),"⚠ Baseline: Start لا يدخل في التقدم",IF($K3294="No Start (attainment only)","ℹ تحصيل فقط (بدون Start)",IF($K3294="U – needs rule","ℹ حالة U تحتاج قاعدة معتمدة",IF($K3294="No result","ℹ بدون نتيجة (يُستبعد من التحصيل)","OK")))))))))))</f>
        <v/>
      </c>
      <c r="M3294" s="64" t="n">
        <f aca="false">IF($A3294="",0,IFERROR(MATCH($A3294,Classes!$A$6:$A$420,0),0))</f>
        <v>0</v>
      </c>
      <c r="N3294" s="64" t="n">
        <f aca="false">IF($H3294="",0,IFERROR(MATCH($H3294,GradeList,0),0))</f>
        <v>0</v>
      </c>
      <c r="O3294" s="64" t="n">
        <f aca="false">IF(OR($I3294="",$I3294="NR"),0,IFERROR(MATCH($I3294,GradeList,0),0))</f>
        <v>0</v>
      </c>
      <c r="P3294" s="64" t="n">
        <f aca="false">IF(AND($M3294&gt;0,ISNUMBER(MATCH($F3294,Lists!$A$2:$A$5,0)),ISNUMBER(MATCH($G3294,Lists!$B$2:$B$7,0)),OR($H3294="",$N3294&gt;0),OR($I3294="",$I3294="NR",$O3294&gt;0),IF(ISNUMBER($J3294),AND($J3294&gt;=0,$J3294=INT($J3294)),FALSE())),$J3294,0)</f>
        <v>0</v>
      </c>
      <c r="Q3294" s="64" t="n">
        <f aca="false">IF(AND($P3294&gt;0,$O3294&gt;0),$P3294,0)</f>
        <v>0</v>
      </c>
      <c r="R3294" s="64" t="n">
        <f aca="false">IF(AND($Q3294&gt;0,$O3294&gt;=AtRank),$Q3294,0)</f>
        <v>0</v>
      </c>
      <c r="S3294" s="64" t="n">
        <f aca="false">IF(AND($Q3294&gt;0,$O3294&gt;=AboveRank),$Q3294,0)</f>
        <v>0</v>
      </c>
      <c r="T3294" s="64" t="n">
        <f aca="false">IF($K3294="Less",$P3294,0)</f>
        <v>0</v>
      </c>
      <c r="U3294" s="64" t="n">
        <f aca="false">IF($K3294="Expected",$P3294,0)</f>
        <v>0</v>
      </c>
      <c r="V3294" s="64" t="n">
        <f aca="false">IF($K3294="Better",$P3294,0)</f>
        <v>0</v>
      </c>
      <c r="W3294" s="64" t="n">
        <f aca="false">IF($K3294="U – needs rule",$P3294,0)</f>
        <v>0</v>
      </c>
      <c r="X3294" s="64" t="n">
        <f aca="false">IF($K3294="No Start (attainment only)",$P3294,0)</f>
        <v>0</v>
      </c>
    </row>
    <row r="3295" customFormat="false" ht="15" hidden="false" customHeight="false" outlineLevel="0" collapsed="false">
      <c r="A3295" s="60"/>
      <c r="B3295" s="61" t="str">
        <f aca="false">IF($M3295=0,"",INDEX(Classes!$E$6:$E$420,$M3295))</f>
        <v/>
      </c>
      <c r="C3295" s="62" t="str">
        <f aca="false">IF($M3295=0,"",INDEX(Classes!$H$6:$H$420,$M3295))</f>
        <v/>
      </c>
      <c r="D3295" s="61" t="str">
        <f aca="false">IF($M3295=0,"",INDEX(Classes!$B$6:$B$420,$M3295))</f>
        <v/>
      </c>
      <c r="E3295" s="61" t="str">
        <f aca="false">IF($M3295=0,"",INDEX(Classes!$C$6:$C$420,$M3295))</f>
        <v/>
      </c>
      <c r="F3295" s="63"/>
      <c r="G3295" s="63"/>
      <c r="H3295" s="60"/>
      <c r="I3295" s="60"/>
      <c r="J3295" s="63"/>
      <c r="K3295" s="61" t="str">
        <f aca="false">IF($P3295=0,"",IF($F3295="Baseline","— Baseline",IF($O3295=0,"No result",IF($N3295=0,"No Start (attainment only)",IF(OR($N3295=1,$O3295=1),"U – needs rule",INDEX(MxBody,MATCH($I3295,MxCurr,0),MATCH($H3295,MxStart,0)))))))</f>
        <v/>
      </c>
      <c r="L3295" s="62" t="str">
        <f aca="false">IF(COUNTA($A3295,$F3295,$G3295,$H3295,$I3295,$J3295)=0,"",IF($M3295=0,"✖ كود الصف غير موجود",IF(ISNA(MATCH($F3295,Lists!$A$2:$A$5,0)),"✖ الفترة غير صحيحة",IF(ISNA(MATCH($G3295,Lists!$B$2:$B$7,0)),"✖ المجموعة غير صحيحة",IF(NOT(OR($H3295="",$N3295&gt;0)),"✖ Start غير صحيح",IF(NOT(OR($I3295="",$I3295="NR",$O3295&gt;0)),"✖ Current غير صحيح",IF(NOT(IF(ISNUMBER($J3295),AND($J3295&gt;=0,$J3295=INT($J3295)),FALSE())),"✖ العدد يجب أن يكون صحيحًا ≥ 0",IF(AND($F3295="Baseline",$H3295&lt;&gt;""),"⚠ Baseline: Start لا يدخل في التقدم",IF($K3295="No Start (attainment only)","ℹ تحصيل فقط (بدون Start)",IF($K3295="U – needs rule","ℹ حالة U تحتاج قاعدة معتمدة",IF($K3295="No result","ℹ بدون نتيجة (يُستبعد من التحصيل)","OK")))))))))))</f>
        <v/>
      </c>
      <c r="M3295" s="64" t="n">
        <f aca="false">IF($A3295="",0,IFERROR(MATCH($A3295,Classes!$A$6:$A$420,0),0))</f>
        <v>0</v>
      </c>
      <c r="N3295" s="64" t="n">
        <f aca="false">IF($H3295="",0,IFERROR(MATCH($H3295,GradeList,0),0))</f>
        <v>0</v>
      </c>
      <c r="O3295" s="64" t="n">
        <f aca="false">IF(OR($I3295="",$I3295="NR"),0,IFERROR(MATCH($I3295,GradeList,0),0))</f>
        <v>0</v>
      </c>
      <c r="P3295" s="64" t="n">
        <f aca="false">IF(AND($M3295&gt;0,ISNUMBER(MATCH($F3295,Lists!$A$2:$A$5,0)),ISNUMBER(MATCH($G3295,Lists!$B$2:$B$7,0)),OR($H3295="",$N3295&gt;0),OR($I3295="",$I3295="NR",$O3295&gt;0),IF(ISNUMBER($J3295),AND($J3295&gt;=0,$J3295=INT($J3295)),FALSE())),$J3295,0)</f>
        <v>0</v>
      </c>
      <c r="Q3295" s="64" t="n">
        <f aca="false">IF(AND($P3295&gt;0,$O3295&gt;0),$P3295,0)</f>
        <v>0</v>
      </c>
      <c r="R3295" s="64" t="n">
        <f aca="false">IF(AND($Q3295&gt;0,$O3295&gt;=AtRank),$Q3295,0)</f>
        <v>0</v>
      </c>
      <c r="S3295" s="64" t="n">
        <f aca="false">IF(AND($Q3295&gt;0,$O3295&gt;=AboveRank),$Q3295,0)</f>
        <v>0</v>
      </c>
      <c r="T3295" s="64" t="n">
        <f aca="false">IF($K3295="Less",$P3295,0)</f>
        <v>0</v>
      </c>
      <c r="U3295" s="64" t="n">
        <f aca="false">IF($K3295="Expected",$P3295,0)</f>
        <v>0</v>
      </c>
      <c r="V3295" s="64" t="n">
        <f aca="false">IF($K3295="Better",$P3295,0)</f>
        <v>0</v>
      </c>
      <c r="W3295" s="64" t="n">
        <f aca="false">IF($K3295="U – needs rule",$P3295,0)</f>
        <v>0</v>
      </c>
      <c r="X3295" s="64" t="n">
        <f aca="false">IF($K3295="No Start (attainment only)",$P3295,0)</f>
        <v>0</v>
      </c>
    </row>
    <row r="3296" customFormat="false" ht="15" hidden="false" customHeight="false" outlineLevel="0" collapsed="false">
      <c r="A3296" s="60"/>
      <c r="B3296" s="61" t="str">
        <f aca="false">IF($M3296=0,"",INDEX(Classes!$E$6:$E$420,$M3296))</f>
        <v/>
      </c>
      <c r="C3296" s="62" t="str">
        <f aca="false">IF($M3296=0,"",INDEX(Classes!$H$6:$H$420,$M3296))</f>
        <v/>
      </c>
      <c r="D3296" s="61" t="str">
        <f aca="false">IF($M3296=0,"",INDEX(Classes!$B$6:$B$420,$M3296))</f>
        <v/>
      </c>
      <c r="E3296" s="61" t="str">
        <f aca="false">IF($M3296=0,"",INDEX(Classes!$C$6:$C$420,$M3296))</f>
        <v/>
      </c>
      <c r="F3296" s="63"/>
      <c r="G3296" s="63"/>
      <c r="H3296" s="60"/>
      <c r="I3296" s="60"/>
      <c r="J3296" s="63"/>
      <c r="K3296" s="61" t="str">
        <f aca="false">IF($P3296=0,"",IF($F3296="Baseline","— Baseline",IF($O3296=0,"No result",IF($N3296=0,"No Start (attainment only)",IF(OR($N3296=1,$O3296=1),"U – needs rule",INDEX(MxBody,MATCH($I3296,MxCurr,0),MATCH($H3296,MxStart,0)))))))</f>
        <v/>
      </c>
      <c r="L3296" s="62" t="str">
        <f aca="false">IF(COUNTA($A3296,$F3296,$G3296,$H3296,$I3296,$J3296)=0,"",IF($M3296=0,"✖ كود الصف غير موجود",IF(ISNA(MATCH($F3296,Lists!$A$2:$A$5,0)),"✖ الفترة غير صحيحة",IF(ISNA(MATCH($G3296,Lists!$B$2:$B$7,0)),"✖ المجموعة غير صحيحة",IF(NOT(OR($H3296="",$N3296&gt;0)),"✖ Start غير صحيح",IF(NOT(OR($I3296="",$I3296="NR",$O3296&gt;0)),"✖ Current غير صحيح",IF(NOT(IF(ISNUMBER($J3296),AND($J3296&gt;=0,$J3296=INT($J3296)),FALSE())),"✖ العدد يجب أن يكون صحيحًا ≥ 0",IF(AND($F3296="Baseline",$H3296&lt;&gt;""),"⚠ Baseline: Start لا يدخل في التقدم",IF($K3296="No Start (attainment only)","ℹ تحصيل فقط (بدون Start)",IF($K3296="U – needs rule","ℹ حالة U تحتاج قاعدة معتمدة",IF($K3296="No result","ℹ بدون نتيجة (يُستبعد من التحصيل)","OK")))))))))))</f>
        <v/>
      </c>
      <c r="M3296" s="64" t="n">
        <f aca="false">IF($A3296="",0,IFERROR(MATCH($A3296,Classes!$A$6:$A$420,0),0))</f>
        <v>0</v>
      </c>
      <c r="N3296" s="64" t="n">
        <f aca="false">IF($H3296="",0,IFERROR(MATCH($H3296,GradeList,0),0))</f>
        <v>0</v>
      </c>
      <c r="O3296" s="64" t="n">
        <f aca="false">IF(OR($I3296="",$I3296="NR"),0,IFERROR(MATCH($I3296,GradeList,0),0))</f>
        <v>0</v>
      </c>
      <c r="P3296" s="64" t="n">
        <f aca="false">IF(AND($M3296&gt;0,ISNUMBER(MATCH($F3296,Lists!$A$2:$A$5,0)),ISNUMBER(MATCH($G3296,Lists!$B$2:$B$7,0)),OR($H3296="",$N3296&gt;0),OR($I3296="",$I3296="NR",$O3296&gt;0),IF(ISNUMBER($J3296),AND($J3296&gt;=0,$J3296=INT($J3296)),FALSE())),$J3296,0)</f>
        <v>0</v>
      </c>
      <c r="Q3296" s="64" t="n">
        <f aca="false">IF(AND($P3296&gt;0,$O3296&gt;0),$P3296,0)</f>
        <v>0</v>
      </c>
      <c r="R3296" s="64" t="n">
        <f aca="false">IF(AND($Q3296&gt;0,$O3296&gt;=AtRank),$Q3296,0)</f>
        <v>0</v>
      </c>
      <c r="S3296" s="64" t="n">
        <f aca="false">IF(AND($Q3296&gt;0,$O3296&gt;=AboveRank),$Q3296,0)</f>
        <v>0</v>
      </c>
      <c r="T3296" s="64" t="n">
        <f aca="false">IF($K3296="Less",$P3296,0)</f>
        <v>0</v>
      </c>
      <c r="U3296" s="64" t="n">
        <f aca="false">IF($K3296="Expected",$P3296,0)</f>
        <v>0</v>
      </c>
      <c r="V3296" s="64" t="n">
        <f aca="false">IF($K3296="Better",$P3296,0)</f>
        <v>0</v>
      </c>
      <c r="W3296" s="64" t="n">
        <f aca="false">IF($K3296="U – needs rule",$P3296,0)</f>
        <v>0</v>
      </c>
      <c r="X3296" s="64" t="n">
        <f aca="false">IF($K3296="No Start (attainment only)",$P3296,0)</f>
        <v>0</v>
      </c>
    </row>
    <row r="3297" customFormat="false" ht="15" hidden="false" customHeight="false" outlineLevel="0" collapsed="false">
      <c r="A3297" s="60"/>
      <c r="B3297" s="61" t="str">
        <f aca="false">IF($M3297=0,"",INDEX(Classes!$E$6:$E$420,$M3297))</f>
        <v/>
      </c>
      <c r="C3297" s="62" t="str">
        <f aca="false">IF($M3297=0,"",INDEX(Classes!$H$6:$H$420,$M3297))</f>
        <v/>
      </c>
      <c r="D3297" s="61" t="str">
        <f aca="false">IF($M3297=0,"",INDEX(Classes!$B$6:$B$420,$M3297))</f>
        <v/>
      </c>
      <c r="E3297" s="61" t="str">
        <f aca="false">IF($M3297=0,"",INDEX(Classes!$C$6:$C$420,$M3297))</f>
        <v/>
      </c>
      <c r="F3297" s="63"/>
      <c r="G3297" s="63"/>
      <c r="H3297" s="60"/>
      <c r="I3297" s="60"/>
      <c r="J3297" s="63"/>
      <c r="K3297" s="61" t="str">
        <f aca="false">IF($P3297=0,"",IF($F3297="Baseline","— Baseline",IF($O3297=0,"No result",IF($N3297=0,"No Start (attainment only)",IF(OR($N3297=1,$O3297=1),"U – needs rule",INDEX(MxBody,MATCH($I3297,MxCurr,0),MATCH($H3297,MxStart,0)))))))</f>
        <v/>
      </c>
      <c r="L3297" s="62" t="str">
        <f aca="false">IF(COUNTA($A3297,$F3297,$G3297,$H3297,$I3297,$J3297)=0,"",IF($M3297=0,"✖ كود الصف غير موجود",IF(ISNA(MATCH($F3297,Lists!$A$2:$A$5,0)),"✖ الفترة غير صحيحة",IF(ISNA(MATCH($G3297,Lists!$B$2:$B$7,0)),"✖ المجموعة غير صحيحة",IF(NOT(OR($H3297="",$N3297&gt;0)),"✖ Start غير صحيح",IF(NOT(OR($I3297="",$I3297="NR",$O3297&gt;0)),"✖ Current غير صحيح",IF(NOT(IF(ISNUMBER($J3297),AND($J3297&gt;=0,$J3297=INT($J3297)),FALSE())),"✖ العدد يجب أن يكون صحيحًا ≥ 0",IF(AND($F3297="Baseline",$H3297&lt;&gt;""),"⚠ Baseline: Start لا يدخل في التقدم",IF($K3297="No Start (attainment only)","ℹ تحصيل فقط (بدون Start)",IF($K3297="U – needs rule","ℹ حالة U تحتاج قاعدة معتمدة",IF($K3297="No result","ℹ بدون نتيجة (يُستبعد من التحصيل)","OK")))))))))))</f>
        <v/>
      </c>
      <c r="M3297" s="64" t="n">
        <f aca="false">IF($A3297="",0,IFERROR(MATCH($A3297,Classes!$A$6:$A$420,0),0))</f>
        <v>0</v>
      </c>
      <c r="N3297" s="64" t="n">
        <f aca="false">IF($H3297="",0,IFERROR(MATCH($H3297,GradeList,0),0))</f>
        <v>0</v>
      </c>
      <c r="O3297" s="64" t="n">
        <f aca="false">IF(OR($I3297="",$I3297="NR"),0,IFERROR(MATCH($I3297,GradeList,0),0))</f>
        <v>0</v>
      </c>
      <c r="P3297" s="64" t="n">
        <f aca="false">IF(AND($M3297&gt;0,ISNUMBER(MATCH($F3297,Lists!$A$2:$A$5,0)),ISNUMBER(MATCH($G3297,Lists!$B$2:$B$7,0)),OR($H3297="",$N3297&gt;0),OR($I3297="",$I3297="NR",$O3297&gt;0),IF(ISNUMBER($J3297),AND($J3297&gt;=0,$J3297=INT($J3297)),FALSE())),$J3297,0)</f>
        <v>0</v>
      </c>
      <c r="Q3297" s="64" t="n">
        <f aca="false">IF(AND($P3297&gt;0,$O3297&gt;0),$P3297,0)</f>
        <v>0</v>
      </c>
      <c r="R3297" s="64" t="n">
        <f aca="false">IF(AND($Q3297&gt;0,$O3297&gt;=AtRank),$Q3297,0)</f>
        <v>0</v>
      </c>
      <c r="S3297" s="64" t="n">
        <f aca="false">IF(AND($Q3297&gt;0,$O3297&gt;=AboveRank),$Q3297,0)</f>
        <v>0</v>
      </c>
      <c r="T3297" s="64" t="n">
        <f aca="false">IF($K3297="Less",$P3297,0)</f>
        <v>0</v>
      </c>
      <c r="U3297" s="64" t="n">
        <f aca="false">IF($K3297="Expected",$P3297,0)</f>
        <v>0</v>
      </c>
      <c r="V3297" s="64" t="n">
        <f aca="false">IF($K3297="Better",$P3297,0)</f>
        <v>0</v>
      </c>
      <c r="W3297" s="64" t="n">
        <f aca="false">IF($K3297="U – needs rule",$P3297,0)</f>
        <v>0</v>
      </c>
      <c r="X3297" s="64" t="n">
        <f aca="false">IF($K3297="No Start (attainment only)",$P3297,0)</f>
        <v>0</v>
      </c>
    </row>
    <row r="3298" customFormat="false" ht="15" hidden="false" customHeight="false" outlineLevel="0" collapsed="false">
      <c r="A3298" s="60"/>
      <c r="B3298" s="61" t="str">
        <f aca="false">IF($M3298=0,"",INDEX(Classes!$E$6:$E$420,$M3298))</f>
        <v/>
      </c>
      <c r="C3298" s="62" t="str">
        <f aca="false">IF($M3298=0,"",INDEX(Classes!$H$6:$H$420,$M3298))</f>
        <v/>
      </c>
      <c r="D3298" s="61" t="str">
        <f aca="false">IF($M3298=0,"",INDEX(Classes!$B$6:$B$420,$M3298))</f>
        <v/>
      </c>
      <c r="E3298" s="61" t="str">
        <f aca="false">IF($M3298=0,"",INDEX(Classes!$C$6:$C$420,$M3298))</f>
        <v/>
      </c>
      <c r="F3298" s="63"/>
      <c r="G3298" s="63"/>
      <c r="H3298" s="60"/>
      <c r="I3298" s="60"/>
      <c r="J3298" s="63"/>
      <c r="K3298" s="61" t="str">
        <f aca="false">IF($P3298=0,"",IF($F3298="Baseline","— Baseline",IF($O3298=0,"No result",IF($N3298=0,"No Start (attainment only)",IF(OR($N3298=1,$O3298=1),"U – needs rule",INDEX(MxBody,MATCH($I3298,MxCurr,0),MATCH($H3298,MxStart,0)))))))</f>
        <v/>
      </c>
      <c r="L3298" s="62" t="str">
        <f aca="false">IF(COUNTA($A3298,$F3298,$G3298,$H3298,$I3298,$J3298)=0,"",IF($M3298=0,"✖ كود الصف غير موجود",IF(ISNA(MATCH($F3298,Lists!$A$2:$A$5,0)),"✖ الفترة غير صحيحة",IF(ISNA(MATCH($G3298,Lists!$B$2:$B$7,0)),"✖ المجموعة غير صحيحة",IF(NOT(OR($H3298="",$N3298&gt;0)),"✖ Start غير صحيح",IF(NOT(OR($I3298="",$I3298="NR",$O3298&gt;0)),"✖ Current غير صحيح",IF(NOT(IF(ISNUMBER($J3298),AND($J3298&gt;=0,$J3298=INT($J3298)),FALSE())),"✖ العدد يجب أن يكون صحيحًا ≥ 0",IF(AND($F3298="Baseline",$H3298&lt;&gt;""),"⚠ Baseline: Start لا يدخل في التقدم",IF($K3298="No Start (attainment only)","ℹ تحصيل فقط (بدون Start)",IF($K3298="U – needs rule","ℹ حالة U تحتاج قاعدة معتمدة",IF($K3298="No result","ℹ بدون نتيجة (يُستبعد من التحصيل)","OK")))))))))))</f>
        <v/>
      </c>
      <c r="M3298" s="64" t="n">
        <f aca="false">IF($A3298="",0,IFERROR(MATCH($A3298,Classes!$A$6:$A$420,0),0))</f>
        <v>0</v>
      </c>
      <c r="N3298" s="64" t="n">
        <f aca="false">IF($H3298="",0,IFERROR(MATCH($H3298,GradeList,0),0))</f>
        <v>0</v>
      </c>
      <c r="O3298" s="64" t="n">
        <f aca="false">IF(OR($I3298="",$I3298="NR"),0,IFERROR(MATCH($I3298,GradeList,0),0))</f>
        <v>0</v>
      </c>
      <c r="P3298" s="64" t="n">
        <f aca="false">IF(AND($M3298&gt;0,ISNUMBER(MATCH($F3298,Lists!$A$2:$A$5,0)),ISNUMBER(MATCH($G3298,Lists!$B$2:$B$7,0)),OR($H3298="",$N3298&gt;0),OR($I3298="",$I3298="NR",$O3298&gt;0),IF(ISNUMBER($J3298),AND($J3298&gt;=0,$J3298=INT($J3298)),FALSE())),$J3298,0)</f>
        <v>0</v>
      </c>
      <c r="Q3298" s="64" t="n">
        <f aca="false">IF(AND($P3298&gt;0,$O3298&gt;0),$P3298,0)</f>
        <v>0</v>
      </c>
      <c r="R3298" s="64" t="n">
        <f aca="false">IF(AND($Q3298&gt;0,$O3298&gt;=AtRank),$Q3298,0)</f>
        <v>0</v>
      </c>
      <c r="S3298" s="64" t="n">
        <f aca="false">IF(AND($Q3298&gt;0,$O3298&gt;=AboveRank),$Q3298,0)</f>
        <v>0</v>
      </c>
      <c r="T3298" s="64" t="n">
        <f aca="false">IF($K3298="Less",$P3298,0)</f>
        <v>0</v>
      </c>
      <c r="U3298" s="64" t="n">
        <f aca="false">IF($K3298="Expected",$P3298,0)</f>
        <v>0</v>
      </c>
      <c r="V3298" s="64" t="n">
        <f aca="false">IF($K3298="Better",$P3298,0)</f>
        <v>0</v>
      </c>
      <c r="W3298" s="64" t="n">
        <f aca="false">IF($K3298="U – needs rule",$P3298,0)</f>
        <v>0</v>
      </c>
      <c r="X3298" s="64" t="n">
        <f aca="false">IF($K3298="No Start (attainment only)",$P3298,0)</f>
        <v>0</v>
      </c>
    </row>
    <row r="3299" customFormat="false" ht="15" hidden="false" customHeight="false" outlineLevel="0" collapsed="false">
      <c r="A3299" s="60"/>
      <c r="B3299" s="61" t="str">
        <f aca="false">IF($M3299=0,"",INDEX(Classes!$E$6:$E$420,$M3299))</f>
        <v/>
      </c>
      <c r="C3299" s="62" t="str">
        <f aca="false">IF($M3299=0,"",INDEX(Classes!$H$6:$H$420,$M3299))</f>
        <v/>
      </c>
      <c r="D3299" s="61" t="str">
        <f aca="false">IF($M3299=0,"",INDEX(Classes!$B$6:$B$420,$M3299))</f>
        <v/>
      </c>
      <c r="E3299" s="61" t="str">
        <f aca="false">IF($M3299=0,"",INDEX(Classes!$C$6:$C$420,$M3299))</f>
        <v/>
      </c>
      <c r="F3299" s="63"/>
      <c r="G3299" s="63"/>
      <c r="H3299" s="60"/>
      <c r="I3299" s="60"/>
      <c r="J3299" s="63"/>
      <c r="K3299" s="61" t="str">
        <f aca="false">IF($P3299=0,"",IF($F3299="Baseline","— Baseline",IF($O3299=0,"No result",IF($N3299=0,"No Start (attainment only)",IF(OR($N3299=1,$O3299=1),"U – needs rule",INDEX(MxBody,MATCH($I3299,MxCurr,0),MATCH($H3299,MxStart,0)))))))</f>
        <v/>
      </c>
      <c r="L3299" s="62" t="str">
        <f aca="false">IF(COUNTA($A3299,$F3299,$G3299,$H3299,$I3299,$J3299)=0,"",IF($M3299=0,"✖ كود الصف غير موجود",IF(ISNA(MATCH($F3299,Lists!$A$2:$A$5,0)),"✖ الفترة غير صحيحة",IF(ISNA(MATCH($G3299,Lists!$B$2:$B$7,0)),"✖ المجموعة غير صحيحة",IF(NOT(OR($H3299="",$N3299&gt;0)),"✖ Start غير صحيح",IF(NOT(OR($I3299="",$I3299="NR",$O3299&gt;0)),"✖ Current غير صحيح",IF(NOT(IF(ISNUMBER($J3299),AND($J3299&gt;=0,$J3299=INT($J3299)),FALSE())),"✖ العدد يجب أن يكون صحيحًا ≥ 0",IF(AND($F3299="Baseline",$H3299&lt;&gt;""),"⚠ Baseline: Start لا يدخل في التقدم",IF($K3299="No Start (attainment only)","ℹ تحصيل فقط (بدون Start)",IF($K3299="U – needs rule","ℹ حالة U تحتاج قاعدة معتمدة",IF($K3299="No result","ℹ بدون نتيجة (يُستبعد من التحصيل)","OK")))))))))))</f>
        <v/>
      </c>
      <c r="M3299" s="64" t="n">
        <f aca="false">IF($A3299="",0,IFERROR(MATCH($A3299,Classes!$A$6:$A$420,0),0))</f>
        <v>0</v>
      </c>
      <c r="N3299" s="64" t="n">
        <f aca="false">IF($H3299="",0,IFERROR(MATCH($H3299,GradeList,0),0))</f>
        <v>0</v>
      </c>
      <c r="O3299" s="64" t="n">
        <f aca="false">IF(OR($I3299="",$I3299="NR"),0,IFERROR(MATCH($I3299,GradeList,0),0))</f>
        <v>0</v>
      </c>
      <c r="P3299" s="64" t="n">
        <f aca="false">IF(AND($M3299&gt;0,ISNUMBER(MATCH($F3299,Lists!$A$2:$A$5,0)),ISNUMBER(MATCH($G3299,Lists!$B$2:$B$7,0)),OR($H3299="",$N3299&gt;0),OR($I3299="",$I3299="NR",$O3299&gt;0),IF(ISNUMBER($J3299),AND($J3299&gt;=0,$J3299=INT($J3299)),FALSE())),$J3299,0)</f>
        <v>0</v>
      </c>
      <c r="Q3299" s="64" t="n">
        <f aca="false">IF(AND($P3299&gt;0,$O3299&gt;0),$P3299,0)</f>
        <v>0</v>
      </c>
      <c r="R3299" s="64" t="n">
        <f aca="false">IF(AND($Q3299&gt;0,$O3299&gt;=AtRank),$Q3299,0)</f>
        <v>0</v>
      </c>
      <c r="S3299" s="64" t="n">
        <f aca="false">IF(AND($Q3299&gt;0,$O3299&gt;=AboveRank),$Q3299,0)</f>
        <v>0</v>
      </c>
      <c r="T3299" s="64" t="n">
        <f aca="false">IF($K3299="Less",$P3299,0)</f>
        <v>0</v>
      </c>
      <c r="U3299" s="64" t="n">
        <f aca="false">IF($K3299="Expected",$P3299,0)</f>
        <v>0</v>
      </c>
      <c r="V3299" s="64" t="n">
        <f aca="false">IF($K3299="Better",$P3299,0)</f>
        <v>0</v>
      </c>
      <c r="W3299" s="64" t="n">
        <f aca="false">IF($K3299="U – needs rule",$P3299,0)</f>
        <v>0</v>
      </c>
      <c r="X3299" s="64" t="n">
        <f aca="false">IF($K3299="No Start (attainment only)",$P3299,0)</f>
        <v>0</v>
      </c>
    </row>
    <row r="3300" customFormat="false" ht="15" hidden="false" customHeight="false" outlineLevel="0" collapsed="false">
      <c r="A3300" s="60"/>
      <c r="B3300" s="61" t="str">
        <f aca="false">IF($M3300=0,"",INDEX(Classes!$E$6:$E$420,$M3300))</f>
        <v/>
      </c>
      <c r="C3300" s="62" t="str">
        <f aca="false">IF($M3300=0,"",INDEX(Classes!$H$6:$H$420,$M3300))</f>
        <v/>
      </c>
      <c r="D3300" s="61" t="str">
        <f aca="false">IF($M3300=0,"",INDEX(Classes!$B$6:$B$420,$M3300))</f>
        <v/>
      </c>
      <c r="E3300" s="61" t="str">
        <f aca="false">IF($M3300=0,"",INDEX(Classes!$C$6:$C$420,$M3300))</f>
        <v/>
      </c>
      <c r="F3300" s="63"/>
      <c r="G3300" s="63"/>
      <c r="H3300" s="60"/>
      <c r="I3300" s="60"/>
      <c r="J3300" s="63"/>
      <c r="K3300" s="61" t="str">
        <f aca="false">IF($P3300=0,"",IF($F3300="Baseline","— Baseline",IF($O3300=0,"No result",IF($N3300=0,"No Start (attainment only)",IF(OR($N3300=1,$O3300=1),"U – needs rule",INDEX(MxBody,MATCH($I3300,MxCurr,0),MATCH($H3300,MxStart,0)))))))</f>
        <v/>
      </c>
      <c r="L3300" s="62" t="str">
        <f aca="false">IF(COUNTA($A3300,$F3300,$G3300,$H3300,$I3300,$J3300)=0,"",IF($M3300=0,"✖ كود الصف غير موجود",IF(ISNA(MATCH($F3300,Lists!$A$2:$A$5,0)),"✖ الفترة غير صحيحة",IF(ISNA(MATCH($G3300,Lists!$B$2:$B$7,0)),"✖ المجموعة غير صحيحة",IF(NOT(OR($H3300="",$N3300&gt;0)),"✖ Start غير صحيح",IF(NOT(OR($I3300="",$I3300="NR",$O3300&gt;0)),"✖ Current غير صحيح",IF(NOT(IF(ISNUMBER($J3300),AND($J3300&gt;=0,$J3300=INT($J3300)),FALSE())),"✖ العدد يجب أن يكون صحيحًا ≥ 0",IF(AND($F3300="Baseline",$H3300&lt;&gt;""),"⚠ Baseline: Start لا يدخل في التقدم",IF($K3300="No Start (attainment only)","ℹ تحصيل فقط (بدون Start)",IF($K3300="U – needs rule","ℹ حالة U تحتاج قاعدة معتمدة",IF($K3300="No result","ℹ بدون نتيجة (يُستبعد من التحصيل)","OK")))))))))))</f>
        <v/>
      </c>
      <c r="M3300" s="64" t="n">
        <f aca="false">IF($A3300="",0,IFERROR(MATCH($A3300,Classes!$A$6:$A$420,0),0))</f>
        <v>0</v>
      </c>
      <c r="N3300" s="64" t="n">
        <f aca="false">IF($H3300="",0,IFERROR(MATCH($H3300,GradeList,0),0))</f>
        <v>0</v>
      </c>
      <c r="O3300" s="64" t="n">
        <f aca="false">IF(OR($I3300="",$I3300="NR"),0,IFERROR(MATCH($I3300,GradeList,0),0))</f>
        <v>0</v>
      </c>
      <c r="P3300" s="64" t="n">
        <f aca="false">IF(AND($M3300&gt;0,ISNUMBER(MATCH($F3300,Lists!$A$2:$A$5,0)),ISNUMBER(MATCH($G3300,Lists!$B$2:$B$7,0)),OR($H3300="",$N3300&gt;0),OR($I3300="",$I3300="NR",$O3300&gt;0),IF(ISNUMBER($J3300),AND($J3300&gt;=0,$J3300=INT($J3300)),FALSE())),$J3300,0)</f>
        <v>0</v>
      </c>
      <c r="Q3300" s="64" t="n">
        <f aca="false">IF(AND($P3300&gt;0,$O3300&gt;0),$P3300,0)</f>
        <v>0</v>
      </c>
      <c r="R3300" s="64" t="n">
        <f aca="false">IF(AND($Q3300&gt;0,$O3300&gt;=AtRank),$Q3300,0)</f>
        <v>0</v>
      </c>
      <c r="S3300" s="64" t="n">
        <f aca="false">IF(AND($Q3300&gt;0,$O3300&gt;=AboveRank),$Q3300,0)</f>
        <v>0</v>
      </c>
      <c r="T3300" s="64" t="n">
        <f aca="false">IF($K3300="Less",$P3300,0)</f>
        <v>0</v>
      </c>
      <c r="U3300" s="64" t="n">
        <f aca="false">IF($K3300="Expected",$P3300,0)</f>
        <v>0</v>
      </c>
      <c r="V3300" s="64" t="n">
        <f aca="false">IF($K3300="Better",$P3300,0)</f>
        <v>0</v>
      </c>
      <c r="W3300" s="64" t="n">
        <f aca="false">IF($K3300="U – needs rule",$P3300,0)</f>
        <v>0</v>
      </c>
      <c r="X3300" s="64" t="n">
        <f aca="false">IF($K3300="No Start (attainment only)",$P3300,0)</f>
        <v>0</v>
      </c>
    </row>
    <row r="3301" customFormat="false" ht="15" hidden="false" customHeight="false" outlineLevel="0" collapsed="false">
      <c r="A3301" s="60"/>
      <c r="B3301" s="61" t="str">
        <f aca="false">IF($M3301=0,"",INDEX(Classes!$E$6:$E$420,$M3301))</f>
        <v/>
      </c>
      <c r="C3301" s="62" t="str">
        <f aca="false">IF($M3301=0,"",INDEX(Classes!$H$6:$H$420,$M3301))</f>
        <v/>
      </c>
      <c r="D3301" s="61" t="str">
        <f aca="false">IF($M3301=0,"",INDEX(Classes!$B$6:$B$420,$M3301))</f>
        <v/>
      </c>
      <c r="E3301" s="61" t="str">
        <f aca="false">IF($M3301=0,"",INDEX(Classes!$C$6:$C$420,$M3301))</f>
        <v/>
      </c>
      <c r="F3301" s="63"/>
      <c r="G3301" s="63"/>
      <c r="H3301" s="60"/>
      <c r="I3301" s="60"/>
      <c r="J3301" s="63"/>
      <c r="K3301" s="61" t="str">
        <f aca="false">IF($P3301=0,"",IF($F3301="Baseline","— Baseline",IF($O3301=0,"No result",IF($N3301=0,"No Start (attainment only)",IF(OR($N3301=1,$O3301=1),"U – needs rule",INDEX(MxBody,MATCH($I3301,MxCurr,0),MATCH($H3301,MxStart,0)))))))</f>
        <v/>
      </c>
      <c r="L3301" s="62" t="str">
        <f aca="false">IF(COUNTA($A3301,$F3301,$G3301,$H3301,$I3301,$J3301)=0,"",IF($M3301=0,"✖ كود الصف غير موجود",IF(ISNA(MATCH($F3301,Lists!$A$2:$A$5,0)),"✖ الفترة غير صحيحة",IF(ISNA(MATCH($G3301,Lists!$B$2:$B$7,0)),"✖ المجموعة غير صحيحة",IF(NOT(OR($H3301="",$N3301&gt;0)),"✖ Start غير صحيح",IF(NOT(OR($I3301="",$I3301="NR",$O3301&gt;0)),"✖ Current غير صحيح",IF(NOT(IF(ISNUMBER($J3301),AND($J3301&gt;=0,$J3301=INT($J3301)),FALSE())),"✖ العدد يجب أن يكون صحيحًا ≥ 0",IF(AND($F3301="Baseline",$H3301&lt;&gt;""),"⚠ Baseline: Start لا يدخل في التقدم",IF($K3301="No Start (attainment only)","ℹ تحصيل فقط (بدون Start)",IF($K3301="U – needs rule","ℹ حالة U تحتاج قاعدة معتمدة",IF($K3301="No result","ℹ بدون نتيجة (يُستبعد من التحصيل)","OK")))))))))))</f>
        <v/>
      </c>
      <c r="M3301" s="64" t="n">
        <f aca="false">IF($A3301="",0,IFERROR(MATCH($A3301,Classes!$A$6:$A$420,0),0))</f>
        <v>0</v>
      </c>
      <c r="N3301" s="64" t="n">
        <f aca="false">IF($H3301="",0,IFERROR(MATCH($H3301,GradeList,0),0))</f>
        <v>0</v>
      </c>
      <c r="O3301" s="64" t="n">
        <f aca="false">IF(OR($I3301="",$I3301="NR"),0,IFERROR(MATCH($I3301,GradeList,0),0))</f>
        <v>0</v>
      </c>
      <c r="P3301" s="64" t="n">
        <f aca="false">IF(AND($M3301&gt;0,ISNUMBER(MATCH($F3301,Lists!$A$2:$A$5,0)),ISNUMBER(MATCH($G3301,Lists!$B$2:$B$7,0)),OR($H3301="",$N3301&gt;0),OR($I3301="",$I3301="NR",$O3301&gt;0),IF(ISNUMBER($J3301),AND($J3301&gt;=0,$J3301=INT($J3301)),FALSE())),$J3301,0)</f>
        <v>0</v>
      </c>
      <c r="Q3301" s="64" t="n">
        <f aca="false">IF(AND($P3301&gt;0,$O3301&gt;0),$P3301,0)</f>
        <v>0</v>
      </c>
      <c r="R3301" s="64" t="n">
        <f aca="false">IF(AND($Q3301&gt;0,$O3301&gt;=AtRank),$Q3301,0)</f>
        <v>0</v>
      </c>
      <c r="S3301" s="64" t="n">
        <f aca="false">IF(AND($Q3301&gt;0,$O3301&gt;=AboveRank),$Q3301,0)</f>
        <v>0</v>
      </c>
      <c r="T3301" s="64" t="n">
        <f aca="false">IF($K3301="Less",$P3301,0)</f>
        <v>0</v>
      </c>
      <c r="U3301" s="64" t="n">
        <f aca="false">IF($K3301="Expected",$P3301,0)</f>
        <v>0</v>
      </c>
      <c r="V3301" s="64" t="n">
        <f aca="false">IF($K3301="Better",$P3301,0)</f>
        <v>0</v>
      </c>
      <c r="W3301" s="64" t="n">
        <f aca="false">IF($K3301="U – needs rule",$P3301,0)</f>
        <v>0</v>
      </c>
      <c r="X3301" s="64" t="n">
        <f aca="false">IF($K3301="No Start (attainment only)",$P3301,0)</f>
        <v>0</v>
      </c>
    </row>
    <row r="3302" customFormat="false" ht="15" hidden="false" customHeight="false" outlineLevel="0" collapsed="false">
      <c r="A3302" s="60"/>
      <c r="B3302" s="61" t="str">
        <f aca="false">IF($M3302=0,"",INDEX(Classes!$E$6:$E$420,$M3302))</f>
        <v/>
      </c>
      <c r="C3302" s="62" t="str">
        <f aca="false">IF($M3302=0,"",INDEX(Classes!$H$6:$H$420,$M3302))</f>
        <v/>
      </c>
      <c r="D3302" s="61" t="str">
        <f aca="false">IF($M3302=0,"",INDEX(Classes!$B$6:$B$420,$M3302))</f>
        <v/>
      </c>
      <c r="E3302" s="61" t="str">
        <f aca="false">IF($M3302=0,"",INDEX(Classes!$C$6:$C$420,$M3302))</f>
        <v/>
      </c>
      <c r="F3302" s="63"/>
      <c r="G3302" s="63"/>
      <c r="H3302" s="60"/>
      <c r="I3302" s="60"/>
      <c r="J3302" s="63"/>
      <c r="K3302" s="61" t="str">
        <f aca="false">IF($P3302=0,"",IF($F3302="Baseline","— Baseline",IF($O3302=0,"No result",IF($N3302=0,"No Start (attainment only)",IF(OR($N3302=1,$O3302=1),"U – needs rule",INDEX(MxBody,MATCH($I3302,MxCurr,0),MATCH($H3302,MxStart,0)))))))</f>
        <v/>
      </c>
      <c r="L3302" s="62" t="str">
        <f aca="false">IF(COUNTA($A3302,$F3302,$G3302,$H3302,$I3302,$J3302)=0,"",IF($M3302=0,"✖ كود الصف غير موجود",IF(ISNA(MATCH($F3302,Lists!$A$2:$A$5,0)),"✖ الفترة غير صحيحة",IF(ISNA(MATCH($G3302,Lists!$B$2:$B$7,0)),"✖ المجموعة غير صحيحة",IF(NOT(OR($H3302="",$N3302&gt;0)),"✖ Start غير صحيح",IF(NOT(OR($I3302="",$I3302="NR",$O3302&gt;0)),"✖ Current غير صحيح",IF(NOT(IF(ISNUMBER($J3302),AND($J3302&gt;=0,$J3302=INT($J3302)),FALSE())),"✖ العدد يجب أن يكون صحيحًا ≥ 0",IF(AND($F3302="Baseline",$H3302&lt;&gt;""),"⚠ Baseline: Start لا يدخل في التقدم",IF($K3302="No Start (attainment only)","ℹ تحصيل فقط (بدون Start)",IF($K3302="U – needs rule","ℹ حالة U تحتاج قاعدة معتمدة",IF($K3302="No result","ℹ بدون نتيجة (يُستبعد من التحصيل)","OK")))))))))))</f>
        <v/>
      </c>
      <c r="M3302" s="64" t="n">
        <f aca="false">IF($A3302="",0,IFERROR(MATCH($A3302,Classes!$A$6:$A$420,0),0))</f>
        <v>0</v>
      </c>
      <c r="N3302" s="64" t="n">
        <f aca="false">IF($H3302="",0,IFERROR(MATCH($H3302,GradeList,0),0))</f>
        <v>0</v>
      </c>
      <c r="O3302" s="64" t="n">
        <f aca="false">IF(OR($I3302="",$I3302="NR"),0,IFERROR(MATCH($I3302,GradeList,0),0))</f>
        <v>0</v>
      </c>
      <c r="P3302" s="64" t="n">
        <f aca="false">IF(AND($M3302&gt;0,ISNUMBER(MATCH($F3302,Lists!$A$2:$A$5,0)),ISNUMBER(MATCH($G3302,Lists!$B$2:$B$7,0)),OR($H3302="",$N3302&gt;0),OR($I3302="",$I3302="NR",$O3302&gt;0),IF(ISNUMBER($J3302),AND($J3302&gt;=0,$J3302=INT($J3302)),FALSE())),$J3302,0)</f>
        <v>0</v>
      </c>
      <c r="Q3302" s="64" t="n">
        <f aca="false">IF(AND($P3302&gt;0,$O3302&gt;0),$P3302,0)</f>
        <v>0</v>
      </c>
      <c r="R3302" s="64" t="n">
        <f aca="false">IF(AND($Q3302&gt;0,$O3302&gt;=AtRank),$Q3302,0)</f>
        <v>0</v>
      </c>
      <c r="S3302" s="64" t="n">
        <f aca="false">IF(AND($Q3302&gt;0,$O3302&gt;=AboveRank),$Q3302,0)</f>
        <v>0</v>
      </c>
      <c r="T3302" s="64" t="n">
        <f aca="false">IF($K3302="Less",$P3302,0)</f>
        <v>0</v>
      </c>
      <c r="U3302" s="64" t="n">
        <f aca="false">IF($K3302="Expected",$P3302,0)</f>
        <v>0</v>
      </c>
      <c r="V3302" s="64" t="n">
        <f aca="false">IF($K3302="Better",$P3302,0)</f>
        <v>0</v>
      </c>
      <c r="W3302" s="64" t="n">
        <f aca="false">IF($K3302="U – needs rule",$P3302,0)</f>
        <v>0</v>
      </c>
      <c r="X3302" s="64" t="n">
        <f aca="false">IF($K3302="No Start (attainment only)",$P3302,0)</f>
        <v>0</v>
      </c>
    </row>
    <row r="3303" customFormat="false" ht="15" hidden="false" customHeight="false" outlineLevel="0" collapsed="false">
      <c r="A3303" s="60"/>
      <c r="B3303" s="61" t="str">
        <f aca="false">IF($M3303=0,"",INDEX(Classes!$E$6:$E$420,$M3303))</f>
        <v/>
      </c>
      <c r="C3303" s="62" t="str">
        <f aca="false">IF($M3303=0,"",INDEX(Classes!$H$6:$H$420,$M3303))</f>
        <v/>
      </c>
      <c r="D3303" s="61" t="str">
        <f aca="false">IF($M3303=0,"",INDEX(Classes!$B$6:$B$420,$M3303))</f>
        <v/>
      </c>
      <c r="E3303" s="61" t="str">
        <f aca="false">IF($M3303=0,"",INDEX(Classes!$C$6:$C$420,$M3303))</f>
        <v/>
      </c>
      <c r="F3303" s="63"/>
      <c r="G3303" s="63"/>
      <c r="H3303" s="60"/>
      <c r="I3303" s="60"/>
      <c r="J3303" s="63"/>
      <c r="K3303" s="61" t="str">
        <f aca="false">IF($P3303=0,"",IF($F3303="Baseline","— Baseline",IF($O3303=0,"No result",IF($N3303=0,"No Start (attainment only)",IF(OR($N3303=1,$O3303=1),"U – needs rule",INDEX(MxBody,MATCH($I3303,MxCurr,0),MATCH($H3303,MxStart,0)))))))</f>
        <v/>
      </c>
      <c r="L3303" s="62" t="str">
        <f aca="false">IF(COUNTA($A3303,$F3303,$G3303,$H3303,$I3303,$J3303)=0,"",IF($M3303=0,"✖ كود الصف غير موجود",IF(ISNA(MATCH($F3303,Lists!$A$2:$A$5,0)),"✖ الفترة غير صحيحة",IF(ISNA(MATCH($G3303,Lists!$B$2:$B$7,0)),"✖ المجموعة غير صحيحة",IF(NOT(OR($H3303="",$N3303&gt;0)),"✖ Start غير صحيح",IF(NOT(OR($I3303="",$I3303="NR",$O3303&gt;0)),"✖ Current غير صحيح",IF(NOT(IF(ISNUMBER($J3303),AND($J3303&gt;=0,$J3303=INT($J3303)),FALSE())),"✖ العدد يجب أن يكون صحيحًا ≥ 0",IF(AND($F3303="Baseline",$H3303&lt;&gt;""),"⚠ Baseline: Start لا يدخل في التقدم",IF($K3303="No Start (attainment only)","ℹ تحصيل فقط (بدون Start)",IF($K3303="U – needs rule","ℹ حالة U تحتاج قاعدة معتمدة",IF($K3303="No result","ℹ بدون نتيجة (يُستبعد من التحصيل)","OK")))))))))))</f>
        <v/>
      </c>
      <c r="M3303" s="64" t="n">
        <f aca="false">IF($A3303="",0,IFERROR(MATCH($A3303,Classes!$A$6:$A$420,0),0))</f>
        <v>0</v>
      </c>
      <c r="N3303" s="64" t="n">
        <f aca="false">IF($H3303="",0,IFERROR(MATCH($H3303,GradeList,0),0))</f>
        <v>0</v>
      </c>
      <c r="O3303" s="64" t="n">
        <f aca="false">IF(OR($I3303="",$I3303="NR"),0,IFERROR(MATCH($I3303,GradeList,0),0))</f>
        <v>0</v>
      </c>
      <c r="P3303" s="64" t="n">
        <f aca="false">IF(AND($M3303&gt;0,ISNUMBER(MATCH($F3303,Lists!$A$2:$A$5,0)),ISNUMBER(MATCH($G3303,Lists!$B$2:$B$7,0)),OR($H3303="",$N3303&gt;0),OR($I3303="",$I3303="NR",$O3303&gt;0),IF(ISNUMBER($J3303),AND($J3303&gt;=0,$J3303=INT($J3303)),FALSE())),$J3303,0)</f>
        <v>0</v>
      </c>
      <c r="Q3303" s="64" t="n">
        <f aca="false">IF(AND($P3303&gt;0,$O3303&gt;0),$P3303,0)</f>
        <v>0</v>
      </c>
      <c r="R3303" s="64" t="n">
        <f aca="false">IF(AND($Q3303&gt;0,$O3303&gt;=AtRank),$Q3303,0)</f>
        <v>0</v>
      </c>
      <c r="S3303" s="64" t="n">
        <f aca="false">IF(AND($Q3303&gt;0,$O3303&gt;=AboveRank),$Q3303,0)</f>
        <v>0</v>
      </c>
      <c r="T3303" s="64" t="n">
        <f aca="false">IF($K3303="Less",$P3303,0)</f>
        <v>0</v>
      </c>
      <c r="U3303" s="64" t="n">
        <f aca="false">IF($K3303="Expected",$P3303,0)</f>
        <v>0</v>
      </c>
      <c r="V3303" s="64" t="n">
        <f aca="false">IF($K3303="Better",$P3303,0)</f>
        <v>0</v>
      </c>
      <c r="W3303" s="64" t="n">
        <f aca="false">IF($K3303="U – needs rule",$P3303,0)</f>
        <v>0</v>
      </c>
      <c r="X3303" s="64" t="n">
        <f aca="false">IF($K3303="No Start (attainment only)",$P3303,0)</f>
        <v>0</v>
      </c>
    </row>
    <row r="3304" customFormat="false" ht="15" hidden="false" customHeight="false" outlineLevel="0" collapsed="false">
      <c r="A3304" s="60"/>
      <c r="B3304" s="61" t="str">
        <f aca="false">IF($M3304=0,"",INDEX(Classes!$E$6:$E$420,$M3304))</f>
        <v/>
      </c>
      <c r="C3304" s="62" t="str">
        <f aca="false">IF($M3304=0,"",INDEX(Classes!$H$6:$H$420,$M3304))</f>
        <v/>
      </c>
      <c r="D3304" s="61" t="str">
        <f aca="false">IF($M3304=0,"",INDEX(Classes!$B$6:$B$420,$M3304))</f>
        <v/>
      </c>
      <c r="E3304" s="61" t="str">
        <f aca="false">IF($M3304=0,"",INDEX(Classes!$C$6:$C$420,$M3304))</f>
        <v/>
      </c>
      <c r="F3304" s="63"/>
      <c r="G3304" s="63"/>
      <c r="H3304" s="60"/>
      <c r="I3304" s="60"/>
      <c r="J3304" s="63"/>
      <c r="K3304" s="61" t="str">
        <f aca="false">IF($P3304=0,"",IF($F3304="Baseline","— Baseline",IF($O3304=0,"No result",IF($N3304=0,"No Start (attainment only)",IF(OR($N3304=1,$O3304=1),"U – needs rule",INDEX(MxBody,MATCH($I3304,MxCurr,0),MATCH($H3304,MxStart,0)))))))</f>
        <v/>
      </c>
      <c r="L3304" s="62" t="str">
        <f aca="false">IF(COUNTA($A3304,$F3304,$G3304,$H3304,$I3304,$J3304)=0,"",IF($M3304=0,"✖ كود الصف غير موجود",IF(ISNA(MATCH($F3304,Lists!$A$2:$A$5,0)),"✖ الفترة غير صحيحة",IF(ISNA(MATCH($G3304,Lists!$B$2:$B$7,0)),"✖ المجموعة غير صحيحة",IF(NOT(OR($H3304="",$N3304&gt;0)),"✖ Start غير صحيح",IF(NOT(OR($I3304="",$I3304="NR",$O3304&gt;0)),"✖ Current غير صحيح",IF(NOT(IF(ISNUMBER($J3304),AND($J3304&gt;=0,$J3304=INT($J3304)),FALSE())),"✖ العدد يجب أن يكون صحيحًا ≥ 0",IF(AND($F3304="Baseline",$H3304&lt;&gt;""),"⚠ Baseline: Start لا يدخل في التقدم",IF($K3304="No Start (attainment only)","ℹ تحصيل فقط (بدون Start)",IF($K3304="U – needs rule","ℹ حالة U تحتاج قاعدة معتمدة",IF($K3304="No result","ℹ بدون نتيجة (يُستبعد من التحصيل)","OK")))))))))))</f>
        <v/>
      </c>
      <c r="M3304" s="64" t="n">
        <f aca="false">IF($A3304="",0,IFERROR(MATCH($A3304,Classes!$A$6:$A$420,0),0))</f>
        <v>0</v>
      </c>
      <c r="N3304" s="64" t="n">
        <f aca="false">IF($H3304="",0,IFERROR(MATCH($H3304,GradeList,0),0))</f>
        <v>0</v>
      </c>
      <c r="O3304" s="64" t="n">
        <f aca="false">IF(OR($I3304="",$I3304="NR"),0,IFERROR(MATCH($I3304,GradeList,0),0))</f>
        <v>0</v>
      </c>
      <c r="P3304" s="64" t="n">
        <f aca="false">IF(AND($M3304&gt;0,ISNUMBER(MATCH($F3304,Lists!$A$2:$A$5,0)),ISNUMBER(MATCH($G3304,Lists!$B$2:$B$7,0)),OR($H3304="",$N3304&gt;0),OR($I3304="",$I3304="NR",$O3304&gt;0),IF(ISNUMBER($J3304),AND($J3304&gt;=0,$J3304=INT($J3304)),FALSE())),$J3304,0)</f>
        <v>0</v>
      </c>
      <c r="Q3304" s="64" t="n">
        <f aca="false">IF(AND($P3304&gt;0,$O3304&gt;0),$P3304,0)</f>
        <v>0</v>
      </c>
      <c r="R3304" s="64" t="n">
        <f aca="false">IF(AND($Q3304&gt;0,$O3304&gt;=AtRank),$Q3304,0)</f>
        <v>0</v>
      </c>
      <c r="S3304" s="64" t="n">
        <f aca="false">IF(AND($Q3304&gt;0,$O3304&gt;=AboveRank),$Q3304,0)</f>
        <v>0</v>
      </c>
      <c r="T3304" s="64" t="n">
        <f aca="false">IF($K3304="Less",$P3304,0)</f>
        <v>0</v>
      </c>
      <c r="U3304" s="64" t="n">
        <f aca="false">IF($K3304="Expected",$P3304,0)</f>
        <v>0</v>
      </c>
      <c r="V3304" s="64" t="n">
        <f aca="false">IF($K3304="Better",$P3304,0)</f>
        <v>0</v>
      </c>
      <c r="W3304" s="64" t="n">
        <f aca="false">IF($K3304="U – needs rule",$P3304,0)</f>
        <v>0</v>
      </c>
      <c r="X3304" s="64" t="n">
        <f aca="false">IF($K3304="No Start (attainment only)",$P3304,0)</f>
        <v>0</v>
      </c>
    </row>
    <row r="3305" customFormat="false" ht="15" hidden="false" customHeight="false" outlineLevel="0" collapsed="false">
      <c r="A3305" s="60"/>
      <c r="B3305" s="61" t="str">
        <f aca="false">IF($M3305=0,"",INDEX(Classes!$E$6:$E$420,$M3305))</f>
        <v/>
      </c>
      <c r="C3305" s="62" t="str">
        <f aca="false">IF($M3305=0,"",INDEX(Classes!$H$6:$H$420,$M3305))</f>
        <v/>
      </c>
      <c r="D3305" s="61" t="str">
        <f aca="false">IF($M3305=0,"",INDEX(Classes!$B$6:$B$420,$M3305))</f>
        <v/>
      </c>
      <c r="E3305" s="61" t="str">
        <f aca="false">IF($M3305=0,"",INDEX(Classes!$C$6:$C$420,$M3305))</f>
        <v/>
      </c>
      <c r="F3305" s="63"/>
      <c r="G3305" s="63"/>
      <c r="H3305" s="60"/>
      <c r="I3305" s="60"/>
      <c r="J3305" s="63"/>
      <c r="K3305" s="61" t="str">
        <f aca="false">IF($P3305=0,"",IF($F3305="Baseline","— Baseline",IF($O3305=0,"No result",IF($N3305=0,"No Start (attainment only)",IF(OR($N3305=1,$O3305=1),"U – needs rule",INDEX(MxBody,MATCH($I3305,MxCurr,0),MATCH($H3305,MxStart,0)))))))</f>
        <v/>
      </c>
      <c r="L3305" s="62" t="str">
        <f aca="false">IF(COUNTA($A3305,$F3305,$G3305,$H3305,$I3305,$J3305)=0,"",IF($M3305=0,"✖ كود الصف غير موجود",IF(ISNA(MATCH($F3305,Lists!$A$2:$A$5,0)),"✖ الفترة غير صحيحة",IF(ISNA(MATCH($G3305,Lists!$B$2:$B$7,0)),"✖ المجموعة غير صحيحة",IF(NOT(OR($H3305="",$N3305&gt;0)),"✖ Start غير صحيح",IF(NOT(OR($I3305="",$I3305="NR",$O3305&gt;0)),"✖ Current غير صحيح",IF(NOT(IF(ISNUMBER($J3305),AND($J3305&gt;=0,$J3305=INT($J3305)),FALSE())),"✖ العدد يجب أن يكون صحيحًا ≥ 0",IF(AND($F3305="Baseline",$H3305&lt;&gt;""),"⚠ Baseline: Start لا يدخل في التقدم",IF($K3305="No Start (attainment only)","ℹ تحصيل فقط (بدون Start)",IF($K3305="U – needs rule","ℹ حالة U تحتاج قاعدة معتمدة",IF($K3305="No result","ℹ بدون نتيجة (يُستبعد من التحصيل)","OK")))))))))))</f>
        <v/>
      </c>
      <c r="M3305" s="64" t="n">
        <f aca="false">IF($A3305="",0,IFERROR(MATCH($A3305,Classes!$A$6:$A$420,0),0))</f>
        <v>0</v>
      </c>
      <c r="N3305" s="64" t="n">
        <f aca="false">IF($H3305="",0,IFERROR(MATCH($H3305,GradeList,0),0))</f>
        <v>0</v>
      </c>
      <c r="O3305" s="64" t="n">
        <f aca="false">IF(OR($I3305="",$I3305="NR"),0,IFERROR(MATCH($I3305,GradeList,0),0))</f>
        <v>0</v>
      </c>
      <c r="P3305" s="64" t="n">
        <f aca="false">IF(AND($M3305&gt;0,ISNUMBER(MATCH($F3305,Lists!$A$2:$A$5,0)),ISNUMBER(MATCH($G3305,Lists!$B$2:$B$7,0)),OR($H3305="",$N3305&gt;0),OR($I3305="",$I3305="NR",$O3305&gt;0),IF(ISNUMBER($J3305),AND($J3305&gt;=0,$J3305=INT($J3305)),FALSE())),$J3305,0)</f>
        <v>0</v>
      </c>
      <c r="Q3305" s="64" t="n">
        <f aca="false">IF(AND($P3305&gt;0,$O3305&gt;0),$P3305,0)</f>
        <v>0</v>
      </c>
      <c r="R3305" s="64" t="n">
        <f aca="false">IF(AND($Q3305&gt;0,$O3305&gt;=AtRank),$Q3305,0)</f>
        <v>0</v>
      </c>
      <c r="S3305" s="64" t="n">
        <f aca="false">IF(AND($Q3305&gt;0,$O3305&gt;=AboveRank),$Q3305,0)</f>
        <v>0</v>
      </c>
      <c r="T3305" s="64" t="n">
        <f aca="false">IF($K3305="Less",$P3305,0)</f>
        <v>0</v>
      </c>
      <c r="U3305" s="64" t="n">
        <f aca="false">IF($K3305="Expected",$P3305,0)</f>
        <v>0</v>
      </c>
      <c r="V3305" s="64" t="n">
        <f aca="false">IF($K3305="Better",$P3305,0)</f>
        <v>0</v>
      </c>
      <c r="W3305" s="64" t="n">
        <f aca="false">IF($K3305="U – needs rule",$P3305,0)</f>
        <v>0</v>
      </c>
      <c r="X3305" s="64" t="n">
        <f aca="false">IF($K3305="No Start (attainment only)",$P3305,0)</f>
        <v>0</v>
      </c>
    </row>
    <row r="3306" customFormat="false" ht="15" hidden="false" customHeight="false" outlineLevel="0" collapsed="false">
      <c r="A3306" s="60"/>
      <c r="B3306" s="61" t="str">
        <f aca="false">IF($M3306=0,"",INDEX(Classes!$E$6:$E$420,$M3306))</f>
        <v/>
      </c>
      <c r="C3306" s="62" t="str">
        <f aca="false">IF($M3306=0,"",INDEX(Classes!$H$6:$H$420,$M3306))</f>
        <v/>
      </c>
      <c r="D3306" s="61" t="str">
        <f aca="false">IF($M3306=0,"",INDEX(Classes!$B$6:$B$420,$M3306))</f>
        <v/>
      </c>
      <c r="E3306" s="61" t="str">
        <f aca="false">IF($M3306=0,"",INDEX(Classes!$C$6:$C$420,$M3306))</f>
        <v/>
      </c>
      <c r="F3306" s="63"/>
      <c r="G3306" s="63"/>
      <c r="H3306" s="60"/>
      <c r="I3306" s="60"/>
      <c r="J3306" s="63"/>
      <c r="K3306" s="61" t="str">
        <f aca="false">IF($P3306=0,"",IF($F3306="Baseline","— Baseline",IF($O3306=0,"No result",IF($N3306=0,"No Start (attainment only)",IF(OR($N3306=1,$O3306=1),"U – needs rule",INDEX(MxBody,MATCH($I3306,MxCurr,0),MATCH($H3306,MxStart,0)))))))</f>
        <v/>
      </c>
      <c r="L3306" s="62" t="str">
        <f aca="false">IF(COUNTA($A3306,$F3306,$G3306,$H3306,$I3306,$J3306)=0,"",IF($M3306=0,"✖ كود الصف غير موجود",IF(ISNA(MATCH($F3306,Lists!$A$2:$A$5,0)),"✖ الفترة غير صحيحة",IF(ISNA(MATCH($G3306,Lists!$B$2:$B$7,0)),"✖ المجموعة غير صحيحة",IF(NOT(OR($H3306="",$N3306&gt;0)),"✖ Start غير صحيح",IF(NOT(OR($I3306="",$I3306="NR",$O3306&gt;0)),"✖ Current غير صحيح",IF(NOT(IF(ISNUMBER($J3306),AND($J3306&gt;=0,$J3306=INT($J3306)),FALSE())),"✖ العدد يجب أن يكون صحيحًا ≥ 0",IF(AND($F3306="Baseline",$H3306&lt;&gt;""),"⚠ Baseline: Start لا يدخل في التقدم",IF($K3306="No Start (attainment only)","ℹ تحصيل فقط (بدون Start)",IF($K3306="U – needs rule","ℹ حالة U تحتاج قاعدة معتمدة",IF($K3306="No result","ℹ بدون نتيجة (يُستبعد من التحصيل)","OK")))))))))))</f>
        <v/>
      </c>
      <c r="M3306" s="64" t="n">
        <f aca="false">IF($A3306="",0,IFERROR(MATCH($A3306,Classes!$A$6:$A$420,0),0))</f>
        <v>0</v>
      </c>
      <c r="N3306" s="64" t="n">
        <f aca="false">IF($H3306="",0,IFERROR(MATCH($H3306,GradeList,0),0))</f>
        <v>0</v>
      </c>
      <c r="O3306" s="64" t="n">
        <f aca="false">IF(OR($I3306="",$I3306="NR"),0,IFERROR(MATCH($I3306,GradeList,0),0))</f>
        <v>0</v>
      </c>
      <c r="P3306" s="64" t="n">
        <f aca="false">IF(AND($M3306&gt;0,ISNUMBER(MATCH($F3306,Lists!$A$2:$A$5,0)),ISNUMBER(MATCH($G3306,Lists!$B$2:$B$7,0)),OR($H3306="",$N3306&gt;0),OR($I3306="",$I3306="NR",$O3306&gt;0),IF(ISNUMBER($J3306),AND($J3306&gt;=0,$J3306=INT($J3306)),FALSE())),$J3306,0)</f>
        <v>0</v>
      </c>
      <c r="Q3306" s="64" t="n">
        <f aca="false">IF(AND($P3306&gt;0,$O3306&gt;0),$P3306,0)</f>
        <v>0</v>
      </c>
      <c r="R3306" s="64" t="n">
        <f aca="false">IF(AND($Q3306&gt;0,$O3306&gt;=AtRank),$Q3306,0)</f>
        <v>0</v>
      </c>
      <c r="S3306" s="64" t="n">
        <f aca="false">IF(AND($Q3306&gt;0,$O3306&gt;=AboveRank),$Q3306,0)</f>
        <v>0</v>
      </c>
      <c r="T3306" s="64" t="n">
        <f aca="false">IF($K3306="Less",$P3306,0)</f>
        <v>0</v>
      </c>
      <c r="U3306" s="64" t="n">
        <f aca="false">IF($K3306="Expected",$P3306,0)</f>
        <v>0</v>
      </c>
      <c r="V3306" s="64" t="n">
        <f aca="false">IF($K3306="Better",$P3306,0)</f>
        <v>0</v>
      </c>
      <c r="W3306" s="64" t="n">
        <f aca="false">IF($K3306="U – needs rule",$P3306,0)</f>
        <v>0</v>
      </c>
      <c r="X3306" s="64" t="n">
        <f aca="false">IF($K3306="No Start (attainment only)",$P3306,0)</f>
        <v>0</v>
      </c>
    </row>
    <row r="3307" customFormat="false" ht="15" hidden="false" customHeight="false" outlineLevel="0" collapsed="false">
      <c r="A3307" s="60"/>
      <c r="B3307" s="61" t="str">
        <f aca="false">IF($M3307=0,"",INDEX(Classes!$E$6:$E$420,$M3307))</f>
        <v/>
      </c>
      <c r="C3307" s="62" t="str">
        <f aca="false">IF($M3307=0,"",INDEX(Classes!$H$6:$H$420,$M3307))</f>
        <v/>
      </c>
      <c r="D3307" s="61" t="str">
        <f aca="false">IF($M3307=0,"",INDEX(Classes!$B$6:$B$420,$M3307))</f>
        <v/>
      </c>
      <c r="E3307" s="61" t="str">
        <f aca="false">IF($M3307=0,"",INDEX(Classes!$C$6:$C$420,$M3307))</f>
        <v/>
      </c>
      <c r="F3307" s="63"/>
      <c r="G3307" s="63"/>
      <c r="H3307" s="60"/>
      <c r="I3307" s="60"/>
      <c r="J3307" s="63"/>
      <c r="K3307" s="61" t="str">
        <f aca="false">IF($P3307=0,"",IF($F3307="Baseline","— Baseline",IF($O3307=0,"No result",IF($N3307=0,"No Start (attainment only)",IF(OR($N3307=1,$O3307=1),"U – needs rule",INDEX(MxBody,MATCH($I3307,MxCurr,0),MATCH($H3307,MxStart,0)))))))</f>
        <v/>
      </c>
      <c r="L3307" s="62" t="str">
        <f aca="false">IF(COUNTA($A3307,$F3307,$G3307,$H3307,$I3307,$J3307)=0,"",IF($M3307=0,"✖ كود الصف غير موجود",IF(ISNA(MATCH($F3307,Lists!$A$2:$A$5,0)),"✖ الفترة غير صحيحة",IF(ISNA(MATCH($G3307,Lists!$B$2:$B$7,0)),"✖ المجموعة غير صحيحة",IF(NOT(OR($H3307="",$N3307&gt;0)),"✖ Start غير صحيح",IF(NOT(OR($I3307="",$I3307="NR",$O3307&gt;0)),"✖ Current غير صحيح",IF(NOT(IF(ISNUMBER($J3307),AND($J3307&gt;=0,$J3307=INT($J3307)),FALSE())),"✖ العدد يجب أن يكون صحيحًا ≥ 0",IF(AND($F3307="Baseline",$H3307&lt;&gt;""),"⚠ Baseline: Start لا يدخل في التقدم",IF($K3307="No Start (attainment only)","ℹ تحصيل فقط (بدون Start)",IF($K3307="U – needs rule","ℹ حالة U تحتاج قاعدة معتمدة",IF($K3307="No result","ℹ بدون نتيجة (يُستبعد من التحصيل)","OK")))))))))))</f>
        <v/>
      </c>
      <c r="M3307" s="64" t="n">
        <f aca="false">IF($A3307="",0,IFERROR(MATCH($A3307,Classes!$A$6:$A$420,0),0))</f>
        <v>0</v>
      </c>
      <c r="N3307" s="64" t="n">
        <f aca="false">IF($H3307="",0,IFERROR(MATCH($H3307,GradeList,0),0))</f>
        <v>0</v>
      </c>
      <c r="O3307" s="64" t="n">
        <f aca="false">IF(OR($I3307="",$I3307="NR"),0,IFERROR(MATCH($I3307,GradeList,0),0))</f>
        <v>0</v>
      </c>
      <c r="P3307" s="64" t="n">
        <f aca="false">IF(AND($M3307&gt;0,ISNUMBER(MATCH($F3307,Lists!$A$2:$A$5,0)),ISNUMBER(MATCH($G3307,Lists!$B$2:$B$7,0)),OR($H3307="",$N3307&gt;0),OR($I3307="",$I3307="NR",$O3307&gt;0),IF(ISNUMBER($J3307),AND($J3307&gt;=0,$J3307=INT($J3307)),FALSE())),$J3307,0)</f>
        <v>0</v>
      </c>
      <c r="Q3307" s="64" t="n">
        <f aca="false">IF(AND($P3307&gt;0,$O3307&gt;0),$P3307,0)</f>
        <v>0</v>
      </c>
      <c r="R3307" s="64" t="n">
        <f aca="false">IF(AND($Q3307&gt;0,$O3307&gt;=AtRank),$Q3307,0)</f>
        <v>0</v>
      </c>
      <c r="S3307" s="64" t="n">
        <f aca="false">IF(AND($Q3307&gt;0,$O3307&gt;=AboveRank),$Q3307,0)</f>
        <v>0</v>
      </c>
      <c r="T3307" s="64" t="n">
        <f aca="false">IF($K3307="Less",$P3307,0)</f>
        <v>0</v>
      </c>
      <c r="U3307" s="64" t="n">
        <f aca="false">IF($K3307="Expected",$P3307,0)</f>
        <v>0</v>
      </c>
      <c r="V3307" s="64" t="n">
        <f aca="false">IF($K3307="Better",$P3307,0)</f>
        <v>0</v>
      </c>
      <c r="W3307" s="64" t="n">
        <f aca="false">IF($K3307="U – needs rule",$P3307,0)</f>
        <v>0</v>
      </c>
      <c r="X3307" s="64" t="n">
        <f aca="false">IF($K3307="No Start (attainment only)",$P3307,0)</f>
        <v>0</v>
      </c>
    </row>
    <row r="3308" customFormat="false" ht="15" hidden="false" customHeight="false" outlineLevel="0" collapsed="false">
      <c r="A3308" s="60"/>
      <c r="B3308" s="61" t="str">
        <f aca="false">IF($M3308=0,"",INDEX(Classes!$E$6:$E$420,$M3308))</f>
        <v/>
      </c>
      <c r="C3308" s="62" t="str">
        <f aca="false">IF($M3308=0,"",INDEX(Classes!$H$6:$H$420,$M3308))</f>
        <v/>
      </c>
      <c r="D3308" s="61" t="str">
        <f aca="false">IF($M3308=0,"",INDEX(Classes!$B$6:$B$420,$M3308))</f>
        <v/>
      </c>
      <c r="E3308" s="61" t="str">
        <f aca="false">IF($M3308=0,"",INDEX(Classes!$C$6:$C$420,$M3308))</f>
        <v/>
      </c>
      <c r="F3308" s="63"/>
      <c r="G3308" s="63"/>
      <c r="H3308" s="60"/>
      <c r="I3308" s="60"/>
      <c r="J3308" s="63"/>
      <c r="K3308" s="61" t="str">
        <f aca="false">IF($P3308=0,"",IF($F3308="Baseline","— Baseline",IF($O3308=0,"No result",IF($N3308=0,"No Start (attainment only)",IF(OR($N3308=1,$O3308=1),"U – needs rule",INDEX(MxBody,MATCH($I3308,MxCurr,0),MATCH($H3308,MxStart,0)))))))</f>
        <v/>
      </c>
      <c r="L3308" s="62" t="str">
        <f aca="false">IF(COUNTA($A3308,$F3308,$G3308,$H3308,$I3308,$J3308)=0,"",IF($M3308=0,"✖ كود الصف غير موجود",IF(ISNA(MATCH($F3308,Lists!$A$2:$A$5,0)),"✖ الفترة غير صحيحة",IF(ISNA(MATCH($G3308,Lists!$B$2:$B$7,0)),"✖ المجموعة غير صحيحة",IF(NOT(OR($H3308="",$N3308&gt;0)),"✖ Start غير صحيح",IF(NOT(OR($I3308="",$I3308="NR",$O3308&gt;0)),"✖ Current غير صحيح",IF(NOT(IF(ISNUMBER($J3308),AND($J3308&gt;=0,$J3308=INT($J3308)),FALSE())),"✖ العدد يجب أن يكون صحيحًا ≥ 0",IF(AND($F3308="Baseline",$H3308&lt;&gt;""),"⚠ Baseline: Start لا يدخل في التقدم",IF($K3308="No Start (attainment only)","ℹ تحصيل فقط (بدون Start)",IF($K3308="U – needs rule","ℹ حالة U تحتاج قاعدة معتمدة",IF($K3308="No result","ℹ بدون نتيجة (يُستبعد من التحصيل)","OK")))))))))))</f>
        <v/>
      </c>
      <c r="M3308" s="64" t="n">
        <f aca="false">IF($A3308="",0,IFERROR(MATCH($A3308,Classes!$A$6:$A$420,0),0))</f>
        <v>0</v>
      </c>
      <c r="N3308" s="64" t="n">
        <f aca="false">IF($H3308="",0,IFERROR(MATCH($H3308,GradeList,0),0))</f>
        <v>0</v>
      </c>
      <c r="O3308" s="64" t="n">
        <f aca="false">IF(OR($I3308="",$I3308="NR"),0,IFERROR(MATCH($I3308,GradeList,0),0))</f>
        <v>0</v>
      </c>
      <c r="P3308" s="64" t="n">
        <f aca="false">IF(AND($M3308&gt;0,ISNUMBER(MATCH($F3308,Lists!$A$2:$A$5,0)),ISNUMBER(MATCH($G3308,Lists!$B$2:$B$7,0)),OR($H3308="",$N3308&gt;0),OR($I3308="",$I3308="NR",$O3308&gt;0),IF(ISNUMBER($J3308),AND($J3308&gt;=0,$J3308=INT($J3308)),FALSE())),$J3308,0)</f>
        <v>0</v>
      </c>
      <c r="Q3308" s="64" t="n">
        <f aca="false">IF(AND($P3308&gt;0,$O3308&gt;0),$P3308,0)</f>
        <v>0</v>
      </c>
      <c r="R3308" s="64" t="n">
        <f aca="false">IF(AND($Q3308&gt;0,$O3308&gt;=AtRank),$Q3308,0)</f>
        <v>0</v>
      </c>
      <c r="S3308" s="64" t="n">
        <f aca="false">IF(AND($Q3308&gt;0,$O3308&gt;=AboveRank),$Q3308,0)</f>
        <v>0</v>
      </c>
      <c r="T3308" s="64" t="n">
        <f aca="false">IF($K3308="Less",$P3308,0)</f>
        <v>0</v>
      </c>
      <c r="U3308" s="64" t="n">
        <f aca="false">IF($K3308="Expected",$P3308,0)</f>
        <v>0</v>
      </c>
      <c r="V3308" s="64" t="n">
        <f aca="false">IF($K3308="Better",$P3308,0)</f>
        <v>0</v>
      </c>
      <c r="W3308" s="64" t="n">
        <f aca="false">IF($K3308="U – needs rule",$P3308,0)</f>
        <v>0</v>
      </c>
      <c r="X3308" s="64" t="n">
        <f aca="false">IF($K3308="No Start (attainment only)",$P3308,0)</f>
        <v>0</v>
      </c>
    </row>
    <row r="3309" customFormat="false" ht="15" hidden="false" customHeight="false" outlineLevel="0" collapsed="false">
      <c r="A3309" s="60"/>
      <c r="B3309" s="61" t="str">
        <f aca="false">IF($M3309=0,"",INDEX(Classes!$E$6:$E$420,$M3309))</f>
        <v/>
      </c>
      <c r="C3309" s="62" t="str">
        <f aca="false">IF($M3309=0,"",INDEX(Classes!$H$6:$H$420,$M3309))</f>
        <v/>
      </c>
      <c r="D3309" s="61" t="str">
        <f aca="false">IF($M3309=0,"",INDEX(Classes!$B$6:$B$420,$M3309))</f>
        <v/>
      </c>
      <c r="E3309" s="61" t="str">
        <f aca="false">IF($M3309=0,"",INDEX(Classes!$C$6:$C$420,$M3309))</f>
        <v/>
      </c>
      <c r="F3309" s="63"/>
      <c r="G3309" s="63"/>
      <c r="H3309" s="60"/>
      <c r="I3309" s="60"/>
      <c r="J3309" s="63"/>
      <c r="K3309" s="61" t="str">
        <f aca="false">IF($P3309=0,"",IF($F3309="Baseline","— Baseline",IF($O3309=0,"No result",IF($N3309=0,"No Start (attainment only)",IF(OR($N3309=1,$O3309=1),"U – needs rule",INDEX(MxBody,MATCH($I3309,MxCurr,0),MATCH($H3309,MxStart,0)))))))</f>
        <v/>
      </c>
      <c r="L3309" s="62" t="str">
        <f aca="false">IF(COUNTA($A3309,$F3309,$G3309,$H3309,$I3309,$J3309)=0,"",IF($M3309=0,"✖ كود الصف غير موجود",IF(ISNA(MATCH($F3309,Lists!$A$2:$A$5,0)),"✖ الفترة غير صحيحة",IF(ISNA(MATCH($G3309,Lists!$B$2:$B$7,0)),"✖ المجموعة غير صحيحة",IF(NOT(OR($H3309="",$N3309&gt;0)),"✖ Start غير صحيح",IF(NOT(OR($I3309="",$I3309="NR",$O3309&gt;0)),"✖ Current غير صحيح",IF(NOT(IF(ISNUMBER($J3309),AND($J3309&gt;=0,$J3309=INT($J3309)),FALSE())),"✖ العدد يجب أن يكون صحيحًا ≥ 0",IF(AND($F3309="Baseline",$H3309&lt;&gt;""),"⚠ Baseline: Start لا يدخل في التقدم",IF($K3309="No Start (attainment only)","ℹ تحصيل فقط (بدون Start)",IF($K3309="U – needs rule","ℹ حالة U تحتاج قاعدة معتمدة",IF($K3309="No result","ℹ بدون نتيجة (يُستبعد من التحصيل)","OK")))))))))))</f>
        <v/>
      </c>
      <c r="M3309" s="64" t="n">
        <f aca="false">IF($A3309="",0,IFERROR(MATCH($A3309,Classes!$A$6:$A$420,0),0))</f>
        <v>0</v>
      </c>
      <c r="N3309" s="64" t="n">
        <f aca="false">IF($H3309="",0,IFERROR(MATCH($H3309,GradeList,0),0))</f>
        <v>0</v>
      </c>
      <c r="O3309" s="64" t="n">
        <f aca="false">IF(OR($I3309="",$I3309="NR"),0,IFERROR(MATCH($I3309,GradeList,0),0))</f>
        <v>0</v>
      </c>
      <c r="P3309" s="64" t="n">
        <f aca="false">IF(AND($M3309&gt;0,ISNUMBER(MATCH($F3309,Lists!$A$2:$A$5,0)),ISNUMBER(MATCH($G3309,Lists!$B$2:$B$7,0)),OR($H3309="",$N3309&gt;0),OR($I3309="",$I3309="NR",$O3309&gt;0),IF(ISNUMBER($J3309),AND($J3309&gt;=0,$J3309=INT($J3309)),FALSE())),$J3309,0)</f>
        <v>0</v>
      </c>
      <c r="Q3309" s="64" t="n">
        <f aca="false">IF(AND($P3309&gt;0,$O3309&gt;0),$P3309,0)</f>
        <v>0</v>
      </c>
      <c r="R3309" s="64" t="n">
        <f aca="false">IF(AND($Q3309&gt;0,$O3309&gt;=AtRank),$Q3309,0)</f>
        <v>0</v>
      </c>
      <c r="S3309" s="64" t="n">
        <f aca="false">IF(AND($Q3309&gt;0,$O3309&gt;=AboveRank),$Q3309,0)</f>
        <v>0</v>
      </c>
      <c r="T3309" s="64" t="n">
        <f aca="false">IF($K3309="Less",$P3309,0)</f>
        <v>0</v>
      </c>
      <c r="U3309" s="64" t="n">
        <f aca="false">IF($K3309="Expected",$P3309,0)</f>
        <v>0</v>
      </c>
      <c r="V3309" s="64" t="n">
        <f aca="false">IF($K3309="Better",$P3309,0)</f>
        <v>0</v>
      </c>
      <c r="W3309" s="64" t="n">
        <f aca="false">IF($K3309="U – needs rule",$P3309,0)</f>
        <v>0</v>
      </c>
      <c r="X3309" s="64" t="n">
        <f aca="false">IF($K3309="No Start (attainment only)",$P3309,0)</f>
        <v>0</v>
      </c>
    </row>
    <row r="3310" customFormat="false" ht="15" hidden="false" customHeight="false" outlineLevel="0" collapsed="false">
      <c r="A3310" s="60"/>
      <c r="B3310" s="61" t="str">
        <f aca="false">IF($M3310=0,"",INDEX(Classes!$E$6:$E$420,$M3310))</f>
        <v/>
      </c>
      <c r="C3310" s="62" t="str">
        <f aca="false">IF($M3310=0,"",INDEX(Classes!$H$6:$H$420,$M3310))</f>
        <v/>
      </c>
      <c r="D3310" s="61" t="str">
        <f aca="false">IF($M3310=0,"",INDEX(Classes!$B$6:$B$420,$M3310))</f>
        <v/>
      </c>
      <c r="E3310" s="61" t="str">
        <f aca="false">IF($M3310=0,"",INDEX(Classes!$C$6:$C$420,$M3310))</f>
        <v/>
      </c>
      <c r="F3310" s="63"/>
      <c r="G3310" s="63"/>
      <c r="H3310" s="60"/>
      <c r="I3310" s="60"/>
      <c r="J3310" s="63"/>
      <c r="K3310" s="61" t="str">
        <f aca="false">IF($P3310=0,"",IF($F3310="Baseline","— Baseline",IF($O3310=0,"No result",IF($N3310=0,"No Start (attainment only)",IF(OR($N3310=1,$O3310=1),"U – needs rule",INDEX(MxBody,MATCH($I3310,MxCurr,0),MATCH($H3310,MxStart,0)))))))</f>
        <v/>
      </c>
      <c r="L3310" s="62" t="str">
        <f aca="false">IF(COUNTA($A3310,$F3310,$G3310,$H3310,$I3310,$J3310)=0,"",IF($M3310=0,"✖ كود الصف غير موجود",IF(ISNA(MATCH($F3310,Lists!$A$2:$A$5,0)),"✖ الفترة غير صحيحة",IF(ISNA(MATCH($G3310,Lists!$B$2:$B$7,0)),"✖ المجموعة غير صحيحة",IF(NOT(OR($H3310="",$N3310&gt;0)),"✖ Start غير صحيح",IF(NOT(OR($I3310="",$I3310="NR",$O3310&gt;0)),"✖ Current غير صحيح",IF(NOT(IF(ISNUMBER($J3310),AND($J3310&gt;=0,$J3310=INT($J3310)),FALSE())),"✖ العدد يجب أن يكون صحيحًا ≥ 0",IF(AND($F3310="Baseline",$H3310&lt;&gt;""),"⚠ Baseline: Start لا يدخل في التقدم",IF($K3310="No Start (attainment only)","ℹ تحصيل فقط (بدون Start)",IF($K3310="U – needs rule","ℹ حالة U تحتاج قاعدة معتمدة",IF($K3310="No result","ℹ بدون نتيجة (يُستبعد من التحصيل)","OK")))))))))))</f>
        <v/>
      </c>
      <c r="M3310" s="64" t="n">
        <f aca="false">IF($A3310="",0,IFERROR(MATCH($A3310,Classes!$A$6:$A$420,0),0))</f>
        <v>0</v>
      </c>
      <c r="N3310" s="64" t="n">
        <f aca="false">IF($H3310="",0,IFERROR(MATCH($H3310,GradeList,0),0))</f>
        <v>0</v>
      </c>
      <c r="O3310" s="64" t="n">
        <f aca="false">IF(OR($I3310="",$I3310="NR"),0,IFERROR(MATCH($I3310,GradeList,0),0))</f>
        <v>0</v>
      </c>
      <c r="P3310" s="64" t="n">
        <f aca="false">IF(AND($M3310&gt;0,ISNUMBER(MATCH($F3310,Lists!$A$2:$A$5,0)),ISNUMBER(MATCH($G3310,Lists!$B$2:$B$7,0)),OR($H3310="",$N3310&gt;0),OR($I3310="",$I3310="NR",$O3310&gt;0),IF(ISNUMBER($J3310),AND($J3310&gt;=0,$J3310=INT($J3310)),FALSE())),$J3310,0)</f>
        <v>0</v>
      </c>
      <c r="Q3310" s="64" t="n">
        <f aca="false">IF(AND($P3310&gt;0,$O3310&gt;0),$P3310,0)</f>
        <v>0</v>
      </c>
      <c r="R3310" s="64" t="n">
        <f aca="false">IF(AND($Q3310&gt;0,$O3310&gt;=AtRank),$Q3310,0)</f>
        <v>0</v>
      </c>
      <c r="S3310" s="64" t="n">
        <f aca="false">IF(AND($Q3310&gt;0,$O3310&gt;=AboveRank),$Q3310,0)</f>
        <v>0</v>
      </c>
      <c r="T3310" s="64" t="n">
        <f aca="false">IF($K3310="Less",$P3310,0)</f>
        <v>0</v>
      </c>
      <c r="U3310" s="64" t="n">
        <f aca="false">IF($K3310="Expected",$P3310,0)</f>
        <v>0</v>
      </c>
      <c r="V3310" s="64" t="n">
        <f aca="false">IF($K3310="Better",$P3310,0)</f>
        <v>0</v>
      </c>
      <c r="W3310" s="64" t="n">
        <f aca="false">IF($K3310="U – needs rule",$P3310,0)</f>
        <v>0</v>
      </c>
      <c r="X3310" s="64" t="n">
        <f aca="false">IF($K3310="No Start (attainment only)",$P3310,0)</f>
        <v>0</v>
      </c>
    </row>
    <row r="3311" customFormat="false" ht="15" hidden="false" customHeight="false" outlineLevel="0" collapsed="false">
      <c r="A3311" s="60"/>
      <c r="B3311" s="61" t="str">
        <f aca="false">IF($M3311=0,"",INDEX(Classes!$E$6:$E$420,$M3311))</f>
        <v/>
      </c>
      <c r="C3311" s="62" t="str">
        <f aca="false">IF($M3311=0,"",INDEX(Classes!$H$6:$H$420,$M3311))</f>
        <v/>
      </c>
      <c r="D3311" s="61" t="str">
        <f aca="false">IF($M3311=0,"",INDEX(Classes!$B$6:$B$420,$M3311))</f>
        <v/>
      </c>
      <c r="E3311" s="61" t="str">
        <f aca="false">IF($M3311=0,"",INDEX(Classes!$C$6:$C$420,$M3311))</f>
        <v/>
      </c>
      <c r="F3311" s="63"/>
      <c r="G3311" s="63"/>
      <c r="H3311" s="60"/>
      <c r="I3311" s="60"/>
      <c r="J3311" s="63"/>
      <c r="K3311" s="61" t="str">
        <f aca="false">IF($P3311=0,"",IF($F3311="Baseline","— Baseline",IF($O3311=0,"No result",IF($N3311=0,"No Start (attainment only)",IF(OR($N3311=1,$O3311=1),"U – needs rule",INDEX(MxBody,MATCH($I3311,MxCurr,0),MATCH($H3311,MxStart,0)))))))</f>
        <v/>
      </c>
      <c r="L3311" s="62" t="str">
        <f aca="false">IF(COUNTA($A3311,$F3311,$G3311,$H3311,$I3311,$J3311)=0,"",IF($M3311=0,"✖ كود الصف غير موجود",IF(ISNA(MATCH($F3311,Lists!$A$2:$A$5,0)),"✖ الفترة غير صحيحة",IF(ISNA(MATCH($G3311,Lists!$B$2:$B$7,0)),"✖ المجموعة غير صحيحة",IF(NOT(OR($H3311="",$N3311&gt;0)),"✖ Start غير صحيح",IF(NOT(OR($I3311="",$I3311="NR",$O3311&gt;0)),"✖ Current غير صحيح",IF(NOT(IF(ISNUMBER($J3311),AND($J3311&gt;=0,$J3311=INT($J3311)),FALSE())),"✖ العدد يجب أن يكون صحيحًا ≥ 0",IF(AND($F3311="Baseline",$H3311&lt;&gt;""),"⚠ Baseline: Start لا يدخل في التقدم",IF($K3311="No Start (attainment only)","ℹ تحصيل فقط (بدون Start)",IF($K3311="U – needs rule","ℹ حالة U تحتاج قاعدة معتمدة",IF($K3311="No result","ℹ بدون نتيجة (يُستبعد من التحصيل)","OK")))))))))))</f>
        <v/>
      </c>
      <c r="M3311" s="64" t="n">
        <f aca="false">IF($A3311="",0,IFERROR(MATCH($A3311,Classes!$A$6:$A$420,0),0))</f>
        <v>0</v>
      </c>
      <c r="N3311" s="64" t="n">
        <f aca="false">IF($H3311="",0,IFERROR(MATCH($H3311,GradeList,0),0))</f>
        <v>0</v>
      </c>
      <c r="O3311" s="64" t="n">
        <f aca="false">IF(OR($I3311="",$I3311="NR"),0,IFERROR(MATCH($I3311,GradeList,0),0))</f>
        <v>0</v>
      </c>
      <c r="P3311" s="64" t="n">
        <f aca="false">IF(AND($M3311&gt;0,ISNUMBER(MATCH($F3311,Lists!$A$2:$A$5,0)),ISNUMBER(MATCH($G3311,Lists!$B$2:$B$7,0)),OR($H3311="",$N3311&gt;0),OR($I3311="",$I3311="NR",$O3311&gt;0),IF(ISNUMBER($J3311),AND($J3311&gt;=0,$J3311=INT($J3311)),FALSE())),$J3311,0)</f>
        <v>0</v>
      </c>
      <c r="Q3311" s="64" t="n">
        <f aca="false">IF(AND($P3311&gt;0,$O3311&gt;0),$P3311,0)</f>
        <v>0</v>
      </c>
      <c r="R3311" s="64" t="n">
        <f aca="false">IF(AND($Q3311&gt;0,$O3311&gt;=AtRank),$Q3311,0)</f>
        <v>0</v>
      </c>
      <c r="S3311" s="64" t="n">
        <f aca="false">IF(AND($Q3311&gt;0,$O3311&gt;=AboveRank),$Q3311,0)</f>
        <v>0</v>
      </c>
      <c r="T3311" s="64" t="n">
        <f aca="false">IF($K3311="Less",$P3311,0)</f>
        <v>0</v>
      </c>
      <c r="U3311" s="64" t="n">
        <f aca="false">IF($K3311="Expected",$P3311,0)</f>
        <v>0</v>
      </c>
      <c r="V3311" s="64" t="n">
        <f aca="false">IF($K3311="Better",$P3311,0)</f>
        <v>0</v>
      </c>
      <c r="W3311" s="64" t="n">
        <f aca="false">IF($K3311="U – needs rule",$P3311,0)</f>
        <v>0</v>
      </c>
      <c r="X3311" s="64" t="n">
        <f aca="false">IF($K3311="No Start (attainment only)",$P3311,0)</f>
        <v>0</v>
      </c>
    </row>
    <row r="3312" customFormat="false" ht="15" hidden="false" customHeight="false" outlineLevel="0" collapsed="false">
      <c r="A3312" s="60"/>
      <c r="B3312" s="61" t="str">
        <f aca="false">IF($M3312=0,"",INDEX(Classes!$E$6:$E$420,$M3312))</f>
        <v/>
      </c>
      <c r="C3312" s="62" t="str">
        <f aca="false">IF($M3312=0,"",INDEX(Classes!$H$6:$H$420,$M3312))</f>
        <v/>
      </c>
      <c r="D3312" s="61" t="str">
        <f aca="false">IF($M3312=0,"",INDEX(Classes!$B$6:$B$420,$M3312))</f>
        <v/>
      </c>
      <c r="E3312" s="61" t="str">
        <f aca="false">IF($M3312=0,"",INDEX(Classes!$C$6:$C$420,$M3312))</f>
        <v/>
      </c>
      <c r="F3312" s="63"/>
      <c r="G3312" s="63"/>
      <c r="H3312" s="60"/>
      <c r="I3312" s="60"/>
      <c r="J3312" s="63"/>
      <c r="K3312" s="61" t="str">
        <f aca="false">IF($P3312=0,"",IF($F3312="Baseline","— Baseline",IF($O3312=0,"No result",IF($N3312=0,"No Start (attainment only)",IF(OR($N3312=1,$O3312=1),"U – needs rule",INDEX(MxBody,MATCH($I3312,MxCurr,0),MATCH($H3312,MxStart,0)))))))</f>
        <v/>
      </c>
      <c r="L3312" s="62" t="str">
        <f aca="false">IF(COUNTA($A3312,$F3312,$G3312,$H3312,$I3312,$J3312)=0,"",IF($M3312=0,"✖ كود الصف غير موجود",IF(ISNA(MATCH($F3312,Lists!$A$2:$A$5,0)),"✖ الفترة غير صحيحة",IF(ISNA(MATCH($G3312,Lists!$B$2:$B$7,0)),"✖ المجموعة غير صحيحة",IF(NOT(OR($H3312="",$N3312&gt;0)),"✖ Start غير صحيح",IF(NOT(OR($I3312="",$I3312="NR",$O3312&gt;0)),"✖ Current غير صحيح",IF(NOT(IF(ISNUMBER($J3312),AND($J3312&gt;=0,$J3312=INT($J3312)),FALSE())),"✖ العدد يجب أن يكون صحيحًا ≥ 0",IF(AND($F3312="Baseline",$H3312&lt;&gt;""),"⚠ Baseline: Start لا يدخل في التقدم",IF($K3312="No Start (attainment only)","ℹ تحصيل فقط (بدون Start)",IF($K3312="U – needs rule","ℹ حالة U تحتاج قاعدة معتمدة",IF($K3312="No result","ℹ بدون نتيجة (يُستبعد من التحصيل)","OK")))))))))))</f>
        <v/>
      </c>
      <c r="M3312" s="64" t="n">
        <f aca="false">IF($A3312="",0,IFERROR(MATCH($A3312,Classes!$A$6:$A$420,0),0))</f>
        <v>0</v>
      </c>
      <c r="N3312" s="64" t="n">
        <f aca="false">IF($H3312="",0,IFERROR(MATCH($H3312,GradeList,0),0))</f>
        <v>0</v>
      </c>
      <c r="O3312" s="64" t="n">
        <f aca="false">IF(OR($I3312="",$I3312="NR"),0,IFERROR(MATCH($I3312,GradeList,0),0))</f>
        <v>0</v>
      </c>
      <c r="P3312" s="64" t="n">
        <f aca="false">IF(AND($M3312&gt;0,ISNUMBER(MATCH($F3312,Lists!$A$2:$A$5,0)),ISNUMBER(MATCH($G3312,Lists!$B$2:$B$7,0)),OR($H3312="",$N3312&gt;0),OR($I3312="",$I3312="NR",$O3312&gt;0),IF(ISNUMBER($J3312),AND($J3312&gt;=0,$J3312=INT($J3312)),FALSE())),$J3312,0)</f>
        <v>0</v>
      </c>
      <c r="Q3312" s="64" t="n">
        <f aca="false">IF(AND($P3312&gt;0,$O3312&gt;0),$P3312,0)</f>
        <v>0</v>
      </c>
      <c r="R3312" s="64" t="n">
        <f aca="false">IF(AND($Q3312&gt;0,$O3312&gt;=AtRank),$Q3312,0)</f>
        <v>0</v>
      </c>
      <c r="S3312" s="64" t="n">
        <f aca="false">IF(AND($Q3312&gt;0,$O3312&gt;=AboveRank),$Q3312,0)</f>
        <v>0</v>
      </c>
      <c r="T3312" s="64" t="n">
        <f aca="false">IF($K3312="Less",$P3312,0)</f>
        <v>0</v>
      </c>
      <c r="U3312" s="64" t="n">
        <f aca="false">IF($K3312="Expected",$P3312,0)</f>
        <v>0</v>
      </c>
      <c r="V3312" s="64" t="n">
        <f aca="false">IF($K3312="Better",$P3312,0)</f>
        <v>0</v>
      </c>
      <c r="W3312" s="64" t="n">
        <f aca="false">IF($K3312="U – needs rule",$P3312,0)</f>
        <v>0</v>
      </c>
      <c r="X3312" s="64" t="n">
        <f aca="false">IF($K3312="No Start (attainment only)",$P3312,0)</f>
        <v>0</v>
      </c>
    </row>
    <row r="3313" customFormat="false" ht="15" hidden="false" customHeight="false" outlineLevel="0" collapsed="false">
      <c r="A3313" s="60"/>
      <c r="B3313" s="61" t="str">
        <f aca="false">IF($M3313=0,"",INDEX(Classes!$E$6:$E$420,$M3313))</f>
        <v/>
      </c>
      <c r="C3313" s="62" t="str">
        <f aca="false">IF($M3313=0,"",INDEX(Classes!$H$6:$H$420,$M3313))</f>
        <v/>
      </c>
      <c r="D3313" s="61" t="str">
        <f aca="false">IF($M3313=0,"",INDEX(Classes!$B$6:$B$420,$M3313))</f>
        <v/>
      </c>
      <c r="E3313" s="61" t="str">
        <f aca="false">IF($M3313=0,"",INDEX(Classes!$C$6:$C$420,$M3313))</f>
        <v/>
      </c>
      <c r="F3313" s="63"/>
      <c r="G3313" s="63"/>
      <c r="H3313" s="60"/>
      <c r="I3313" s="60"/>
      <c r="J3313" s="63"/>
      <c r="K3313" s="61" t="str">
        <f aca="false">IF($P3313=0,"",IF($F3313="Baseline","— Baseline",IF($O3313=0,"No result",IF($N3313=0,"No Start (attainment only)",IF(OR($N3313=1,$O3313=1),"U – needs rule",INDEX(MxBody,MATCH($I3313,MxCurr,0),MATCH($H3313,MxStart,0)))))))</f>
        <v/>
      </c>
      <c r="L3313" s="62" t="str">
        <f aca="false">IF(COUNTA($A3313,$F3313,$G3313,$H3313,$I3313,$J3313)=0,"",IF($M3313=0,"✖ كود الصف غير موجود",IF(ISNA(MATCH($F3313,Lists!$A$2:$A$5,0)),"✖ الفترة غير صحيحة",IF(ISNA(MATCH($G3313,Lists!$B$2:$B$7,0)),"✖ المجموعة غير صحيحة",IF(NOT(OR($H3313="",$N3313&gt;0)),"✖ Start غير صحيح",IF(NOT(OR($I3313="",$I3313="NR",$O3313&gt;0)),"✖ Current غير صحيح",IF(NOT(IF(ISNUMBER($J3313),AND($J3313&gt;=0,$J3313=INT($J3313)),FALSE())),"✖ العدد يجب أن يكون صحيحًا ≥ 0",IF(AND($F3313="Baseline",$H3313&lt;&gt;""),"⚠ Baseline: Start لا يدخل في التقدم",IF($K3313="No Start (attainment only)","ℹ تحصيل فقط (بدون Start)",IF($K3313="U – needs rule","ℹ حالة U تحتاج قاعدة معتمدة",IF($K3313="No result","ℹ بدون نتيجة (يُستبعد من التحصيل)","OK")))))))))))</f>
        <v/>
      </c>
      <c r="M3313" s="64" t="n">
        <f aca="false">IF($A3313="",0,IFERROR(MATCH($A3313,Classes!$A$6:$A$420,0),0))</f>
        <v>0</v>
      </c>
      <c r="N3313" s="64" t="n">
        <f aca="false">IF($H3313="",0,IFERROR(MATCH($H3313,GradeList,0),0))</f>
        <v>0</v>
      </c>
      <c r="O3313" s="64" t="n">
        <f aca="false">IF(OR($I3313="",$I3313="NR"),0,IFERROR(MATCH($I3313,GradeList,0),0))</f>
        <v>0</v>
      </c>
      <c r="P3313" s="64" t="n">
        <f aca="false">IF(AND($M3313&gt;0,ISNUMBER(MATCH($F3313,Lists!$A$2:$A$5,0)),ISNUMBER(MATCH($G3313,Lists!$B$2:$B$7,0)),OR($H3313="",$N3313&gt;0),OR($I3313="",$I3313="NR",$O3313&gt;0),IF(ISNUMBER($J3313),AND($J3313&gt;=0,$J3313=INT($J3313)),FALSE())),$J3313,0)</f>
        <v>0</v>
      </c>
      <c r="Q3313" s="64" t="n">
        <f aca="false">IF(AND($P3313&gt;0,$O3313&gt;0),$P3313,0)</f>
        <v>0</v>
      </c>
      <c r="R3313" s="64" t="n">
        <f aca="false">IF(AND($Q3313&gt;0,$O3313&gt;=AtRank),$Q3313,0)</f>
        <v>0</v>
      </c>
      <c r="S3313" s="64" t="n">
        <f aca="false">IF(AND($Q3313&gt;0,$O3313&gt;=AboveRank),$Q3313,0)</f>
        <v>0</v>
      </c>
      <c r="T3313" s="64" t="n">
        <f aca="false">IF($K3313="Less",$P3313,0)</f>
        <v>0</v>
      </c>
      <c r="U3313" s="64" t="n">
        <f aca="false">IF($K3313="Expected",$P3313,0)</f>
        <v>0</v>
      </c>
      <c r="V3313" s="64" t="n">
        <f aca="false">IF($K3313="Better",$P3313,0)</f>
        <v>0</v>
      </c>
      <c r="W3313" s="64" t="n">
        <f aca="false">IF($K3313="U – needs rule",$P3313,0)</f>
        <v>0</v>
      </c>
      <c r="X3313" s="64" t="n">
        <f aca="false">IF($K3313="No Start (attainment only)",$P3313,0)</f>
        <v>0</v>
      </c>
    </row>
    <row r="3314" customFormat="false" ht="15" hidden="false" customHeight="false" outlineLevel="0" collapsed="false">
      <c r="A3314" s="60"/>
      <c r="B3314" s="61" t="str">
        <f aca="false">IF($M3314=0,"",INDEX(Classes!$E$6:$E$420,$M3314))</f>
        <v/>
      </c>
      <c r="C3314" s="62" t="str">
        <f aca="false">IF($M3314=0,"",INDEX(Classes!$H$6:$H$420,$M3314))</f>
        <v/>
      </c>
      <c r="D3314" s="61" t="str">
        <f aca="false">IF($M3314=0,"",INDEX(Classes!$B$6:$B$420,$M3314))</f>
        <v/>
      </c>
      <c r="E3314" s="61" t="str">
        <f aca="false">IF($M3314=0,"",INDEX(Classes!$C$6:$C$420,$M3314))</f>
        <v/>
      </c>
      <c r="F3314" s="63"/>
      <c r="G3314" s="63"/>
      <c r="H3314" s="60"/>
      <c r="I3314" s="60"/>
      <c r="J3314" s="63"/>
      <c r="K3314" s="61" t="str">
        <f aca="false">IF($P3314=0,"",IF($F3314="Baseline","— Baseline",IF($O3314=0,"No result",IF($N3314=0,"No Start (attainment only)",IF(OR($N3314=1,$O3314=1),"U – needs rule",INDEX(MxBody,MATCH($I3314,MxCurr,0),MATCH($H3314,MxStart,0)))))))</f>
        <v/>
      </c>
      <c r="L3314" s="62" t="str">
        <f aca="false">IF(COUNTA($A3314,$F3314,$G3314,$H3314,$I3314,$J3314)=0,"",IF($M3314=0,"✖ كود الصف غير موجود",IF(ISNA(MATCH($F3314,Lists!$A$2:$A$5,0)),"✖ الفترة غير صحيحة",IF(ISNA(MATCH($G3314,Lists!$B$2:$B$7,0)),"✖ المجموعة غير صحيحة",IF(NOT(OR($H3314="",$N3314&gt;0)),"✖ Start غير صحيح",IF(NOT(OR($I3314="",$I3314="NR",$O3314&gt;0)),"✖ Current غير صحيح",IF(NOT(IF(ISNUMBER($J3314),AND($J3314&gt;=0,$J3314=INT($J3314)),FALSE())),"✖ العدد يجب أن يكون صحيحًا ≥ 0",IF(AND($F3314="Baseline",$H3314&lt;&gt;""),"⚠ Baseline: Start لا يدخل في التقدم",IF($K3314="No Start (attainment only)","ℹ تحصيل فقط (بدون Start)",IF($K3314="U – needs rule","ℹ حالة U تحتاج قاعدة معتمدة",IF($K3314="No result","ℹ بدون نتيجة (يُستبعد من التحصيل)","OK")))))))))))</f>
        <v/>
      </c>
      <c r="M3314" s="64" t="n">
        <f aca="false">IF($A3314="",0,IFERROR(MATCH($A3314,Classes!$A$6:$A$420,0),0))</f>
        <v>0</v>
      </c>
      <c r="N3314" s="64" t="n">
        <f aca="false">IF($H3314="",0,IFERROR(MATCH($H3314,GradeList,0),0))</f>
        <v>0</v>
      </c>
      <c r="O3314" s="64" t="n">
        <f aca="false">IF(OR($I3314="",$I3314="NR"),0,IFERROR(MATCH($I3314,GradeList,0),0))</f>
        <v>0</v>
      </c>
      <c r="P3314" s="64" t="n">
        <f aca="false">IF(AND($M3314&gt;0,ISNUMBER(MATCH($F3314,Lists!$A$2:$A$5,0)),ISNUMBER(MATCH($G3314,Lists!$B$2:$B$7,0)),OR($H3314="",$N3314&gt;0),OR($I3314="",$I3314="NR",$O3314&gt;0),IF(ISNUMBER($J3314),AND($J3314&gt;=0,$J3314=INT($J3314)),FALSE())),$J3314,0)</f>
        <v>0</v>
      </c>
      <c r="Q3314" s="64" t="n">
        <f aca="false">IF(AND($P3314&gt;0,$O3314&gt;0),$P3314,0)</f>
        <v>0</v>
      </c>
      <c r="R3314" s="64" t="n">
        <f aca="false">IF(AND($Q3314&gt;0,$O3314&gt;=AtRank),$Q3314,0)</f>
        <v>0</v>
      </c>
      <c r="S3314" s="64" t="n">
        <f aca="false">IF(AND($Q3314&gt;0,$O3314&gt;=AboveRank),$Q3314,0)</f>
        <v>0</v>
      </c>
      <c r="T3314" s="64" t="n">
        <f aca="false">IF($K3314="Less",$P3314,0)</f>
        <v>0</v>
      </c>
      <c r="U3314" s="64" t="n">
        <f aca="false">IF($K3314="Expected",$P3314,0)</f>
        <v>0</v>
      </c>
      <c r="V3314" s="64" t="n">
        <f aca="false">IF($K3314="Better",$P3314,0)</f>
        <v>0</v>
      </c>
      <c r="W3314" s="64" t="n">
        <f aca="false">IF($K3314="U – needs rule",$P3314,0)</f>
        <v>0</v>
      </c>
      <c r="X3314" s="64" t="n">
        <f aca="false">IF($K3314="No Start (attainment only)",$P3314,0)</f>
        <v>0</v>
      </c>
    </row>
    <row r="3315" customFormat="false" ht="15" hidden="false" customHeight="false" outlineLevel="0" collapsed="false">
      <c r="A3315" s="60"/>
      <c r="B3315" s="61" t="str">
        <f aca="false">IF($M3315=0,"",INDEX(Classes!$E$6:$E$420,$M3315))</f>
        <v/>
      </c>
      <c r="C3315" s="62" t="str">
        <f aca="false">IF($M3315=0,"",INDEX(Classes!$H$6:$H$420,$M3315))</f>
        <v/>
      </c>
      <c r="D3315" s="61" t="str">
        <f aca="false">IF($M3315=0,"",INDEX(Classes!$B$6:$B$420,$M3315))</f>
        <v/>
      </c>
      <c r="E3315" s="61" t="str">
        <f aca="false">IF($M3315=0,"",INDEX(Classes!$C$6:$C$420,$M3315))</f>
        <v/>
      </c>
      <c r="F3315" s="63"/>
      <c r="G3315" s="63"/>
      <c r="H3315" s="60"/>
      <c r="I3315" s="60"/>
      <c r="J3315" s="63"/>
      <c r="K3315" s="61" t="str">
        <f aca="false">IF($P3315=0,"",IF($F3315="Baseline","— Baseline",IF($O3315=0,"No result",IF($N3315=0,"No Start (attainment only)",IF(OR($N3315=1,$O3315=1),"U – needs rule",INDEX(MxBody,MATCH($I3315,MxCurr,0),MATCH($H3315,MxStart,0)))))))</f>
        <v/>
      </c>
      <c r="L3315" s="62" t="str">
        <f aca="false">IF(COUNTA($A3315,$F3315,$G3315,$H3315,$I3315,$J3315)=0,"",IF($M3315=0,"✖ كود الصف غير موجود",IF(ISNA(MATCH($F3315,Lists!$A$2:$A$5,0)),"✖ الفترة غير صحيحة",IF(ISNA(MATCH($G3315,Lists!$B$2:$B$7,0)),"✖ المجموعة غير صحيحة",IF(NOT(OR($H3315="",$N3315&gt;0)),"✖ Start غير صحيح",IF(NOT(OR($I3315="",$I3315="NR",$O3315&gt;0)),"✖ Current غير صحيح",IF(NOT(IF(ISNUMBER($J3315),AND($J3315&gt;=0,$J3315=INT($J3315)),FALSE())),"✖ العدد يجب أن يكون صحيحًا ≥ 0",IF(AND($F3315="Baseline",$H3315&lt;&gt;""),"⚠ Baseline: Start لا يدخل في التقدم",IF($K3315="No Start (attainment only)","ℹ تحصيل فقط (بدون Start)",IF($K3315="U – needs rule","ℹ حالة U تحتاج قاعدة معتمدة",IF($K3315="No result","ℹ بدون نتيجة (يُستبعد من التحصيل)","OK")))))))))))</f>
        <v/>
      </c>
      <c r="M3315" s="64" t="n">
        <f aca="false">IF($A3315="",0,IFERROR(MATCH($A3315,Classes!$A$6:$A$420,0),0))</f>
        <v>0</v>
      </c>
      <c r="N3315" s="64" t="n">
        <f aca="false">IF($H3315="",0,IFERROR(MATCH($H3315,GradeList,0),0))</f>
        <v>0</v>
      </c>
      <c r="O3315" s="64" t="n">
        <f aca="false">IF(OR($I3315="",$I3315="NR"),0,IFERROR(MATCH($I3315,GradeList,0),0))</f>
        <v>0</v>
      </c>
      <c r="P3315" s="64" t="n">
        <f aca="false">IF(AND($M3315&gt;0,ISNUMBER(MATCH($F3315,Lists!$A$2:$A$5,0)),ISNUMBER(MATCH($G3315,Lists!$B$2:$B$7,0)),OR($H3315="",$N3315&gt;0),OR($I3315="",$I3315="NR",$O3315&gt;0),IF(ISNUMBER($J3315),AND($J3315&gt;=0,$J3315=INT($J3315)),FALSE())),$J3315,0)</f>
        <v>0</v>
      </c>
      <c r="Q3315" s="64" t="n">
        <f aca="false">IF(AND($P3315&gt;0,$O3315&gt;0),$P3315,0)</f>
        <v>0</v>
      </c>
      <c r="R3315" s="64" t="n">
        <f aca="false">IF(AND($Q3315&gt;0,$O3315&gt;=AtRank),$Q3315,0)</f>
        <v>0</v>
      </c>
      <c r="S3315" s="64" t="n">
        <f aca="false">IF(AND($Q3315&gt;0,$O3315&gt;=AboveRank),$Q3315,0)</f>
        <v>0</v>
      </c>
      <c r="T3315" s="64" t="n">
        <f aca="false">IF($K3315="Less",$P3315,0)</f>
        <v>0</v>
      </c>
      <c r="U3315" s="64" t="n">
        <f aca="false">IF($K3315="Expected",$P3315,0)</f>
        <v>0</v>
      </c>
      <c r="V3315" s="64" t="n">
        <f aca="false">IF($K3315="Better",$P3315,0)</f>
        <v>0</v>
      </c>
      <c r="W3315" s="64" t="n">
        <f aca="false">IF($K3315="U – needs rule",$P3315,0)</f>
        <v>0</v>
      </c>
      <c r="X3315" s="64" t="n">
        <f aca="false">IF($K3315="No Start (attainment only)",$P3315,0)</f>
        <v>0</v>
      </c>
    </row>
    <row r="3316" customFormat="false" ht="15" hidden="false" customHeight="false" outlineLevel="0" collapsed="false">
      <c r="A3316" s="60"/>
      <c r="B3316" s="61" t="str">
        <f aca="false">IF($M3316=0,"",INDEX(Classes!$E$6:$E$420,$M3316))</f>
        <v/>
      </c>
      <c r="C3316" s="62" t="str">
        <f aca="false">IF($M3316=0,"",INDEX(Classes!$H$6:$H$420,$M3316))</f>
        <v/>
      </c>
      <c r="D3316" s="61" t="str">
        <f aca="false">IF($M3316=0,"",INDEX(Classes!$B$6:$B$420,$M3316))</f>
        <v/>
      </c>
      <c r="E3316" s="61" t="str">
        <f aca="false">IF($M3316=0,"",INDEX(Classes!$C$6:$C$420,$M3316))</f>
        <v/>
      </c>
      <c r="F3316" s="63"/>
      <c r="G3316" s="63"/>
      <c r="H3316" s="60"/>
      <c r="I3316" s="60"/>
      <c r="J3316" s="63"/>
      <c r="K3316" s="61" t="str">
        <f aca="false">IF($P3316=0,"",IF($F3316="Baseline","— Baseline",IF($O3316=0,"No result",IF($N3316=0,"No Start (attainment only)",IF(OR($N3316=1,$O3316=1),"U – needs rule",INDEX(MxBody,MATCH($I3316,MxCurr,0),MATCH($H3316,MxStart,0)))))))</f>
        <v/>
      </c>
      <c r="L3316" s="62" t="str">
        <f aca="false">IF(COUNTA($A3316,$F3316,$G3316,$H3316,$I3316,$J3316)=0,"",IF($M3316=0,"✖ كود الصف غير موجود",IF(ISNA(MATCH($F3316,Lists!$A$2:$A$5,0)),"✖ الفترة غير صحيحة",IF(ISNA(MATCH($G3316,Lists!$B$2:$B$7,0)),"✖ المجموعة غير صحيحة",IF(NOT(OR($H3316="",$N3316&gt;0)),"✖ Start غير صحيح",IF(NOT(OR($I3316="",$I3316="NR",$O3316&gt;0)),"✖ Current غير صحيح",IF(NOT(IF(ISNUMBER($J3316),AND($J3316&gt;=0,$J3316=INT($J3316)),FALSE())),"✖ العدد يجب أن يكون صحيحًا ≥ 0",IF(AND($F3316="Baseline",$H3316&lt;&gt;""),"⚠ Baseline: Start لا يدخل في التقدم",IF($K3316="No Start (attainment only)","ℹ تحصيل فقط (بدون Start)",IF($K3316="U – needs rule","ℹ حالة U تحتاج قاعدة معتمدة",IF($K3316="No result","ℹ بدون نتيجة (يُستبعد من التحصيل)","OK")))))))))))</f>
        <v/>
      </c>
      <c r="M3316" s="64" t="n">
        <f aca="false">IF($A3316="",0,IFERROR(MATCH($A3316,Classes!$A$6:$A$420,0),0))</f>
        <v>0</v>
      </c>
      <c r="N3316" s="64" t="n">
        <f aca="false">IF($H3316="",0,IFERROR(MATCH($H3316,GradeList,0),0))</f>
        <v>0</v>
      </c>
      <c r="O3316" s="64" t="n">
        <f aca="false">IF(OR($I3316="",$I3316="NR"),0,IFERROR(MATCH($I3316,GradeList,0),0))</f>
        <v>0</v>
      </c>
      <c r="P3316" s="64" t="n">
        <f aca="false">IF(AND($M3316&gt;0,ISNUMBER(MATCH($F3316,Lists!$A$2:$A$5,0)),ISNUMBER(MATCH($G3316,Lists!$B$2:$B$7,0)),OR($H3316="",$N3316&gt;0),OR($I3316="",$I3316="NR",$O3316&gt;0),IF(ISNUMBER($J3316),AND($J3316&gt;=0,$J3316=INT($J3316)),FALSE())),$J3316,0)</f>
        <v>0</v>
      </c>
      <c r="Q3316" s="64" t="n">
        <f aca="false">IF(AND($P3316&gt;0,$O3316&gt;0),$P3316,0)</f>
        <v>0</v>
      </c>
      <c r="R3316" s="64" t="n">
        <f aca="false">IF(AND($Q3316&gt;0,$O3316&gt;=AtRank),$Q3316,0)</f>
        <v>0</v>
      </c>
      <c r="S3316" s="64" t="n">
        <f aca="false">IF(AND($Q3316&gt;0,$O3316&gt;=AboveRank),$Q3316,0)</f>
        <v>0</v>
      </c>
      <c r="T3316" s="64" t="n">
        <f aca="false">IF($K3316="Less",$P3316,0)</f>
        <v>0</v>
      </c>
      <c r="U3316" s="64" t="n">
        <f aca="false">IF($K3316="Expected",$P3316,0)</f>
        <v>0</v>
      </c>
      <c r="V3316" s="64" t="n">
        <f aca="false">IF($K3316="Better",$P3316,0)</f>
        <v>0</v>
      </c>
      <c r="W3316" s="64" t="n">
        <f aca="false">IF($K3316="U – needs rule",$P3316,0)</f>
        <v>0</v>
      </c>
      <c r="X3316" s="64" t="n">
        <f aca="false">IF($K3316="No Start (attainment only)",$P3316,0)</f>
        <v>0</v>
      </c>
    </row>
    <row r="3317" customFormat="false" ht="15" hidden="false" customHeight="false" outlineLevel="0" collapsed="false">
      <c r="A3317" s="60"/>
      <c r="B3317" s="61" t="str">
        <f aca="false">IF($M3317=0,"",INDEX(Classes!$E$6:$E$420,$M3317))</f>
        <v/>
      </c>
      <c r="C3317" s="62" t="str">
        <f aca="false">IF($M3317=0,"",INDEX(Classes!$H$6:$H$420,$M3317))</f>
        <v/>
      </c>
      <c r="D3317" s="61" t="str">
        <f aca="false">IF($M3317=0,"",INDEX(Classes!$B$6:$B$420,$M3317))</f>
        <v/>
      </c>
      <c r="E3317" s="61" t="str">
        <f aca="false">IF($M3317=0,"",INDEX(Classes!$C$6:$C$420,$M3317))</f>
        <v/>
      </c>
      <c r="F3317" s="63"/>
      <c r="G3317" s="63"/>
      <c r="H3317" s="60"/>
      <c r="I3317" s="60"/>
      <c r="J3317" s="63"/>
      <c r="K3317" s="61" t="str">
        <f aca="false">IF($P3317=0,"",IF($F3317="Baseline","— Baseline",IF($O3317=0,"No result",IF($N3317=0,"No Start (attainment only)",IF(OR($N3317=1,$O3317=1),"U – needs rule",INDEX(MxBody,MATCH($I3317,MxCurr,0),MATCH($H3317,MxStart,0)))))))</f>
        <v/>
      </c>
      <c r="L3317" s="62" t="str">
        <f aca="false">IF(COUNTA($A3317,$F3317,$G3317,$H3317,$I3317,$J3317)=0,"",IF($M3317=0,"✖ كود الصف غير موجود",IF(ISNA(MATCH($F3317,Lists!$A$2:$A$5,0)),"✖ الفترة غير صحيحة",IF(ISNA(MATCH($G3317,Lists!$B$2:$B$7,0)),"✖ المجموعة غير صحيحة",IF(NOT(OR($H3317="",$N3317&gt;0)),"✖ Start غير صحيح",IF(NOT(OR($I3317="",$I3317="NR",$O3317&gt;0)),"✖ Current غير صحيح",IF(NOT(IF(ISNUMBER($J3317),AND($J3317&gt;=0,$J3317=INT($J3317)),FALSE())),"✖ العدد يجب أن يكون صحيحًا ≥ 0",IF(AND($F3317="Baseline",$H3317&lt;&gt;""),"⚠ Baseline: Start لا يدخل في التقدم",IF($K3317="No Start (attainment only)","ℹ تحصيل فقط (بدون Start)",IF($K3317="U – needs rule","ℹ حالة U تحتاج قاعدة معتمدة",IF($K3317="No result","ℹ بدون نتيجة (يُستبعد من التحصيل)","OK")))))))))))</f>
        <v/>
      </c>
      <c r="M3317" s="64" t="n">
        <f aca="false">IF($A3317="",0,IFERROR(MATCH($A3317,Classes!$A$6:$A$420,0),0))</f>
        <v>0</v>
      </c>
      <c r="N3317" s="64" t="n">
        <f aca="false">IF($H3317="",0,IFERROR(MATCH($H3317,GradeList,0),0))</f>
        <v>0</v>
      </c>
      <c r="O3317" s="64" t="n">
        <f aca="false">IF(OR($I3317="",$I3317="NR"),0,IFERROR(MATCH($I3317,GradeList,0),0))</f>
        <v>0</v>
      </c>
      <c r="P3317" s="64" t="n">
        <f aca="false">IF(AND($M3317&gt;0,ISNUMBER(MATCH($F3317,Lists!$A$2:$A$5,0)),ISNUMBER(MATCH($G3317,Lists!$B$2:$B$7,0)),OR($H3317="",$N3317&gt;0),OR($I3317="",$I3317="NR",$O3317&gt;0),IF(ISNUMBER($J3317),AND($J3317&gt;=0,$J3317=INT($J3317)),FALSE())),$J3317,0)</f>
        <v>0</v>
      </c>
      <c r="Q3317" s="64" t="n">
        <f aca="false">IF(AND($P3317&gt;0,$O3317&gt;0),$P3317,0)</f>
        <v>0</v>
      </c>
      <c r="R3317" s="64" t="n">
        <f aca="false">IF(AND($Q3317&gt;0,$O3317&gt;=AtRank),$Q3317,0)</f>
        <v>0</v>
      </c>
      <c r="S3317" s="64" t="n">
        <f aca="false">IF(AND($Q3317&gt;0,$O3317&gt;=AboveRank),$Q3317,0)</f>
        <v>0</v>
      </c>
      <c r="T3317" s="64" t="n">
        <f aca="false">IF($K3317="Less",$P3317,0)</f>
        <v>0</v>
      </c>
      <c r="U3317" s="64" t="n">
        <f aca="false">IF($K3317="Expected",$P3317,0)</f>
        <v>0</v>
      </c>
      <c r="V3317" s="64" t="n">
        <f aca="false">IF($K3317="Better",$P3317,0)</f>
        <v>0</v>
      </c>
      <c r="W3317" s="64" t="n">
        <f aca="false">IF($K3317="U – needs rule",$P3317,0)</f>
        <v>0</v>
      </c>
      <c r="X3317" s="64" t="n">
        <f aca="false">IF($K3317="No Start (attainment only)",$P3317,0)</f>
        <v>0</v>
      </c>
    </row>
    <row r="3318" customFormat="false" ht="15" hidden="false" customHeight="false" outlineLevel="0" collapsed="false">
      <c r="A3318" s="60"/>
      <c r="B3318" s="61" t="str">
        <f aca="false">IF($M3318=0,"",INDEX(Classes!$E$6:$E$420,$M3318))</f>
        <v/>
      </c>
      <c r="C3318" s="62" t="str">
        <f aca="false">IF($M3318=0,"",INDEX(Classes!$H$6:$H$420,$M3318))</f>
        <v/>
      </c>
      <c r="D3318" s="61" t="str">
        <f aca="false">IF($M3318=0,"",INDEX(Classes!$B$6:$B$420,$M3318))</f>
        <v/>
      </c>
      <c r="E3318" s="61" t="str">
        <f aca="false">IF($M3318=0,"",INDEX(Classes!$C$6:$C$420,$M3318))</f>
        <v/>
      </c>
      <c r="F3318" s="63"/>
      <c r="G3318" s="63"/>
      <c r="H3318" s="60"/>
      <c r="I3318" s="60"/>
      <c r="J3318" s="63"/>
      <c r="K3318" s="61" t="str">
        <f aca="false">IF($P3318=0,"",IF($F3318="Baseline","— Baseline",IF($O3318=0,"No result",IF($N3318=0,"No Start (attainment only)",IF(OR($N3318=1,$O3318=1),"U – needs rule",INDEX(MxBody,MATCH($I3318,MxCurr,0),MATCH($H3318,MxStart,0)))))))</f>
        <v/>
      </c>
      <c r="L3318" s="62" t="str">
        <f aca="false">IF(COUNTA($A3318,$F3318,$G3318,$H3318,$I3318,$J3318)=0,"",IF($M3318=0,"✖ كود الصف غير موجود",IF(ISNA(MATCH($F3318,Lists!$A$2:$A$5,0)),"✖ الفترة غير صحيحة",IF(ISNA(MATCH($G3318,Lists!$B$2:$B$7,0)),"✖ المجموعة غير صحيحة",IF(NOT(OR($H3318="",$N3318&gt;0)),"✖ Start غير صحيح",IF(NOT(OR($I3318="",$I3318="NR",$O3318&gt;0)),"✖ Current غير صحيح",IF(NOT(IF(ISNUMBER($J3318),AND($J3318&gt;=0,$J3318=INT($J3318)),FALSE())),"✖ العدد يجب أن يكون صحيحًا ≥ 0",IF(AND($F3318="Baseline",$H3318&lt;&gt;""),"⚠ Baseline: Start لا يدخل في التقدم",IF($K3318="No Start (attainment only)","ℹ تحصيل فقط (بدون Start)",IF($K3318="U – needs rule","ℹ حالة U تحتاج قاعدة معتمدة",IF($K3318="No result","ℹ بدون نتيجة (يُستبعد من التحصيل)","OK")))))))))))</f>
        <v/>
      </c>
      <c r="M3318" s="64" t="n">
        <f aca="false">IF($A3318="",0,IFERROR(MATCH($A3318,Classes!$A$6:$A$420,0),0))</f>
        <v>0</v>
      </c>
      <c r="N3318" s="64" t="n">
        <f aca="false">IF($H3318="",0,IFERROR(MATCH($H3318,GradeList,0),0))</f>
        <v>0</v>
      </c>
      <c r="O3318" s="64" t="n">
        <f aca="false">IF(OR($I3318="",$I3318="NR"),0,IFERROR(MATCH($I3318,GradeList,0),0))</f>
        <v>0</v>
      </c>
      <c r="P3318" s="64" t="n">
        <f aca="false">IF(AND($M3318&gt;0,ISNUMBER(MATCH($F3318,Lists!$A$2:$A$5,0)),ISNUMBER(MATCH($G3318,Lists!$B$2:$B$7,0)),OR($H3318="",$N3318&gt;0),OR($I3318="",$I3318="NR",$O3318&gt;0),IF(ISNUMBER($J3318),AND($J3318&gt;=0,$J3318=INT($J3318)),FALSE())),$J3318,0)</f>
        <v>0</v>
      </c>
      <c r="Q3318" s="64" t="n">
        <f aca="false">IF(AND($P3318&gt;0,$O3318&gt;0),$P3318,0)</f>
        <v>0</v>
      </c>
      <c r="R3318" s="64" t="n">
        <f aca="false">IF(AND($Q3318&gt;0,$O3318&gt;=AtRank),$Q3318,0)</f>
        <v>0</v>
      </c>
      <c r="S3318" s="64" t="n">
        <f aca="false">IF(AND($Q3318&gt;0,$O3318&gt;=AboveRank),$Q3318,0)</f>
        <v>0</v>
      </c>
      <c r="T3318" s="64" t="n">
        <f aca="false">IF($K3318="Less",$P3318,0)</f>
        <v>0</v>
      </c>
      <c r="U3318" s="64" t="n">
        <f aca="false">IF($K3318="Expected",$P3318,0)</f>
        <v>0</v>
      </c>
      <c r="V3318" s="64" t="n">
        <f aca="false">IF($K3318="Better",$P3318,0)</f>
        <v>0</v>
      </c>
      <c r="W3318" s="64" t="n">
        <f aca="false">IF($K3318="U – needs rule",$P3318,0)</f>
        <v>0</v>
      </c>
      <c r="X3318" s="64" t="n">
        <f aca="false">IF($K3318="No Start (attainment only)",$P3318,0)</f>
        <v>0</v>
      </c>
    </row>
    <row r="3319" customFormat="false" ht="15" hidden="false" customHeight="false" outlineLevel="0" collapsed="false">
      <c r="A3319" s="60"/>
      <c r="B3319" s="61" t="str">
        <f aca="false">IF($M3319=0,"",INDEX(Classes!$E$6:$E$420,$M3319))</f>
        <v/>
      </c>
      <c r="C3319" s="62" t="str">
        <f aca="false">IF($M3319=0,"",INDEX(Classes!$H$6:$H$420,$M3319))</f>
        <v/>
      </c>
      <c r="D3319" s="61" t="str">
        <f aca="false">IF($M3319=0,"",INDEX(Classes!$B$6:$B$420,$M3319))</f>
        <v/>
      </c>
      <c r="E3319" s="61" t="str">
        <f aca="false">IF($M3319=0,"",INDEX(Classes!$C$6:$C$420,$M3319))</f>
        <v/>
      </c>
      <c r="F3319" s="63"/>
      <c r="G3319" s="63"/>
      <c r="H3319" s="60"/>
      <c r="I3319" s="60"/>
      <c r="J3319" s="63"/>
      <c r="K3319" s="61" t="str">
        <f aca="false">IF($P3319=0,"",IF($F3319="Baseline","— Baseline",IF($O3319=0,"No result",IF($N3319=0,"No Start (attainment only)",IF(OR($N3319=1,$O3319=1),"U – needs rule",INDEX(MxBody,MATCH($I3319,MxCurr,0),MATCH($H3319,MxStart,0)))))))</f>
        <v/>
      </c>
      <c r="L3319" s="62" t="str">
        <f aca="false">IF(COUNTA($A3319,$F3319,$G3319,$H3319,$I3319,$J3319)=0,"",IF($M3319=0,"✖ كود الصف غير موجود",IF(ISNA(MATCH($F3319,Lists!$A$2:$A$5,0)),"✖ الفترة غير صحيحة",IF(ISNA(MATCH($G3319,Lists!$B$2:$B$7,0)),"✖ المجموعة غير صحيحة",IF(NOT(OR($H3319="",$N3319&gt;0)),"✖ Start غير صحيح",IF(NOT(OR($I3319="",$I3319="NR",$O3319&gt;0)),"✖ Current غير صحيح",IF(NOT(IF(ISNUMBER($J3319),AND($J3319&gt;=0,$J3319=INT($J3319)),FALSE())),"✖ العدد يجب أن يكون صحيحًا ≥ 0",IF(AND($F3319="Baseline",$H3319&lt;&gt;""),"⚠ Baseline: Start لا يدخل في التقدم",IF($K3319="No Start (attainment only)","ℹ تحصيل فقط (بدون Start)",IF($K3319="U – needs rule","ℹ حالة U تحتاج قاعدة معتمدة",IF($K3319="No result","ℹ بدون نتيجة (يُستبعد من التحصيل)","OK")))))))))))</f>
        <v/>
      </c>
      <c r="M3319" s="64" t="n">
        <f aca="false">IF($A3319="",0,IFERROR(MATCH($A3319,Classes!$A$6:$A$420,0),0))</f>
        <v>0</v>
      </c>
      <c r="N3319" s="64" t="n">
        <f aca="false">IF($H3319="",0,IFERROR(MATCH($H3319,GradeList,0),0))</f>
        <v>0</v>
      </c>
      <c r="O3319" s="64" t="n">
        <f aca="false">IF(OR($I3319="",$I3319="NR"),0,IFERROR(MATCH($I3319,GradeList,0),0))</f>
        <v>0</v>
      </c>
      <c r="P3319" s="64" t="n">
        <f aca="false">IF(AND($M3319&gt;0,ISNUMBER(MATCH($F3319,Lists!$A$2:$A$5,0)),ISNUMBER(MATCH($G3319,Lists!$B$2:$B$7,0)),OR($H3319="",$N3319&gt;0),OR($I3319="",$I3319="NR",$O3319&gt;0),IF(ISNUMBER($J3319),AND($J3319&gt;=0,$J3319=INT($J3319)),FALSE())),$J3319,0)</f>
        <v>0</v>
      </c>
      <c r="Q3319" s="64" t="n">
        <f aca="false">IF(AND($P3319&gt;0,$O3319&gt;0),$P3319,0)</f>
        <v>0</v>
      </c>
      <c r="R3319" s="64" t="n">
        <f aca="false">IF(AND($Q3319&gt;0,$O3319&gt;=AtRank),$Q3319,0)</f>
        <v>0</v>
      </c>
      <c r="S3319" s="64" t="n">
        <f aca="false">IF(AND($Q3319&gt;0,$O3319&gt;=AboveRank),$Q3319,0)</f>
        <v>0</v>
      </c>
      <c r="T3319" s="64" t="n">
        <f aca="false">IF($K3319="Less",$P3319,0)</f>
        <v>0</v>
      </c>
      <c r="U3319" s="64" t="n">
        <f aca="false">IF($K3319="Expected",$P3319,0)</f>
        <v>0</v>
      </c>
      <c r="V3319" s="64" t="n">
        <f aca="false">IF($K3319="Better",$P3319,0)</f>
        <v>0</v>
      </c>
      <c r="W3319" s="64" t="n">
        <f aca="false">IF($K3319="U – needs rule",$P3319,0)</f>
        <v>0</v>
      </c>
      <c r="X3319" s="64" t="n">
        <f aca="false">IF($K3319="No Start (attainment only)",$P3319,0)</f>
        <v>0</v>
      </c>
    </row>
    <row r="3320" customFormat="false" ht="15" hidden="false" customHeight="false" outlineLevel="0" collapsed="false">
      <c r="A3320" s="60"/>
      <c r="B3320" s="61" t="str">
        <f aca="false">IF($M3320=0,"",INDEX(Classes!$E$6:$E$420,$M3320))</f>
        <v/>
      </c>
      <c r="C3320" s="62" t="str">
        <f aca="false">IF($M3320=0,"",INDEX(Classes!$H$6:$H$420,$M3320))</f>
        <v/>
      </c>
      <c r="D3320" s="61" t="str">
        <f aca="false">IF($M3320=0,"",INDEX(Classes!$B$6:$B$420,$M3320))</f>
        <v/>
      </c>
      <c r="E3320" s="61" t="str">
        <f aca="false">IF($M3320=0,"",INDEX(Classes!$C$6:$C$420,$M3320))</f>
        <v/>
      </c>
      <c r="F3320" s="63"/>
      <c r="G3320" s="63"/>
      <c r="H3320" s="60"/>
      <c r="I3320" s="60"/>
      <c r="J3320" s="63"/>
      <c r="K3320" s="61" t="str">
        <f aca="false">IF($P3320=0,"",IF($F3320="Baseline","— Baseline",IF($O3320=0,"No result",IF($N3320=0,"No Start (attainment only)",IF(OR($N3320=1,$O3320=1),"U – needs rule",INDEX(MxBody,MATCH($I3320,MxCurr,0),MATCH($H3320,MxStart,0)))))))</f>
        <v/>
      </c>
      <c r="L3320" s="62" t="str">
        <f aca="false">IF(COUNTA($A3320,$F3320,$G3320,$H3320,$I3320,$J3320)=0,"",IF($M3320=0,"✖ كود الصف غير موجود",IF(ISNA(MATCH($F3320,Lists!$A$2:$A$5,0)),"✖ الفترة غير صحيحة",IF(ISNA(MATCH($G3320,Lists!$B$2:$B$7,0)),"✖ المجموعة غير صحيحة",IF(NOT(OR($H3320="",$N3320&gt;0)),"✖ Start غير صحيح",IF(NOT(OR($I3320="",$I3320="NR",$O3320&gt;0)),"✖ Current غير صحيح",IF(NOT(IF(ISNUMBER($J3320),AND($J3320&gt;=0,$J3320=INT($J3320)),FALSE())),"✖ العدد يجب أن يكون صحيحًا ≥ 0",IF(AND($F3320="Baseline",$H3320&lt;&gt;""),"⚠ Baseline: Start لا يدخل في التقدم",IF($K3320="No Start (attainment only)","ℹ تحصيل فقط (بدون Start)",IF($K3320="U – needs rule","ℹ حالة U تحتاج قاعدة معتمدة",IF($K3320="No result","ℹ بدون نتيجة (يُستبعد من التحصيل)","OK")))))))))))</f>
        <v/>
      </c>
      <c r="M3320" s="64" t="n">
        <f aca="false">IF($A3320="",0,IFERROR(MATCH($A3320,Classes!$A$6:$A$420,0),0))</f>
        <v>0</v>
      </c>
      <c r="N3320" s="64" t="n">
        <f aca="false">IF($H3320="",0,IFERROR(MATCH($H3320,GradeList,0),0))</f>
        <v>0</v>
      </c>
      <c r="O3320" s="64" t="n">
        <f aca="false">IF(OR($I3320="",$I3320="NR"),0,IFERROR(MATCH($I3320,GradeList,0),0))</f>
        <v>0</v>
      </c>
      <c r="P3320" s="64" t="n">
        <f aca="false">IF(AND($M3320&gt;0,ISNUMBER(MATCH($F3320,Lists!$A$2:$A$5,0)),ISNUMBER(MATCH($G3320,Lists!$B$2:$B$7,0)),OR($H3320="",$N3320&gt;0),OR($I3320="",$I3320="NR",$O3320&gt;0),IF(ISNUMBER($J3320),AND($J3320&gt;=0,$J3320=INT($J3320)),FALSE())),$J3320,0)</f>
        <v>0</v>
      </c>
      <c r="Q3320" s="64" t="n">
        <f aca="false">IF(AND($P3320&gt;0,$O3320&gt;0),$P3320,0)</f>
        <v>0</v>
      </c>
      <c r="R3320" s="64" t="n">
        <f aca="false">IF(AND($Q3320&gt;0,$O3320&gt;=AtRank),$Q3320,0)</f>
        <v>0</v>
      </c>
      <c r="S3320" s="64" t="n">
        <f aca="false">IF(AND($Q3320&gt;0,$O3320&gt;=AboveRank),$Q3320,0)</f>
        <v>0</v>
      </c>
      <c r="T3320" s="64" t="n">
        <f aca="false">IF($K3320="Less",$P3320,0)</f>
        <v>0</v>
      </c>
      <c r="U3320" s="64" t="n">
        <f aca="false">IF($K3320="Expected",$P3320,0)</f>
        <v>0</v>
      </c>
      <c r="V3320" s="64" t="n">
        <f aca="false">IF($K3320="Better",$P3320,0)</f>
        <v>0</v>
      </c>
      <c r="W3320" s="64" t="n">
        <f aca="false">IF($K3320="U – needs rule",$P3320,0)</f>
        <v>0</v>
      </c>
      <c r="X3320" s="64" t="n">
        <f aca="false">IF($K3320="No Start (attainment only)",$P3320,0)</f>
        <v>0</v>
      </c>
    </row>
    <row r="3321" customFormat="false" ht="15" hidden="false" customHeight="false" outlineLevel="0" collapsed="false">
      <c r="A3321" s="60"/>
      <c r="B3321" s="61" t="str">
        <f aca="false">IF($M3321=0,"",INDEX(Classes!$E$6:$E$420,$M3321))</f>
        <v/>
      </c>
      <c r="C3321" s="62" t="str">
        <f aca="false">IF($M3321=0,"",INDEX(Classes!$H$6:$H$420,$M3321))</f>
        <v/>
      </c>
      <c r="D3321" s="61" t="str">
        <f aca="false">IF($M3321=0,"",INDEX(Classes!$B$6:$B$420,$M3321))</f>
        <v/>
      </c>
      <c r="E3321" s="61" t="str">
        <f aca="false">IF($M3321=0,"",INDEX(Classes!$C$6:$C$420,$M3321))</f>
        <v/>
      </c>
      <c r="F3321" s="63"/>
      <c r="G3321" s="63"/>
      <c r="H3321" s="60"/>
      <c r="I3321" s="60"/>
      <c r="J3321" s="63"/>
      <c r="K3321" s="61" t="str">
        <f aca="false">IF($P3321=0,"",IF($F3321="Baseline","— Baseline",IF($O3321=0,"No result",IF($N3321=0,"No Start (attainment only)",IF(OR($N3321=1,$O3321=1),"U – needs rule",INDEX(MxBody,MATCH($I3321,MxCurr,0),MATCH($H3321,MxStart,0)))))))</f>
        <v/>
      </c>
      <c r="L3321" s="62" t="str">
        <f aca="false">IF(COUNTA($A3321,$F3321,$G3321,$H3321,$I3321,$J3321)=0,"",IF($M3321=0,"✖ كود الصف غير موجود",IF(ISNA(MATCH($F3321,Lists!$A$2:$A$5,0)),"✖ الفترة غير صحيحة",IF(ISNA(MATCH($G3321,Lists!$B$2:$B$7,0)),"✖ المجموعة غير صحيحة",IF(NOT(OR($H3321="",$N3321&gt;0)),"✖ Start غير صحيح",IF(NOT(OR($I3321="",$I3321="NR",$O3321&gt;0)),"✖ Current غير صحيح",IF(NOT(IF(ISNUMBER($J3321),AND($J3321&gt;=0,$J3321=INT($J3321)),FALSE())),"✖ العدد يجب أن يكون صحيحًا ≥ 0",IF(AND($F3321="Baseline",$H3321&lt;&gt;""),"⚠ Baseline: Start لا يدخل في التقدم",IF($K3321="No Start (attainment only)","ℹ تحصيل فقط (بدون Start)",IF($K3321="U – needs rule","ℹ حالة U تحتاج قاعدة معتمدة",IF($K3321="No result","ℹ بدون نتيجة (يُستبعد من التحصيل)","OK")))))))))))</f>
        <v/>
      </c>
      <c r="M3321" s="64" t="n">
        <f aca="false">IF($A3321="",0,IFERROR(MATCH($A3321,Classes!$A$6:$A$420,0),0))</f>
        <v>0</v>
      </c>
      <c r="N3321" s="64" t="n">
        <f aca="false">IF($H3321="",0,IFERROR(MATCH($H3321,GradeList,0),0))</f>
        <v>0</v>
      </c>
      <c r="O3321" s="64" t="n">
        <f aca="false">IF(OR($I3321="",$I3321="NR"),0,IFERROR(MATCH($I3321,GradeList,0),0))</f>
        <v>0</v>
      </c>
      <c r="P3321" s="64" t="n">
        <f aca="false">IF(AND($M3321&gt;0,ISNUMBER(MATCH($F3321,Lists!$A$2:$A$5,0)),ISNUMBER(MATCH($G3321,Lists!$B$2:$B$7,0)),OR($H3321="",$N3321&gt;0),OR($I3321="",$I3321="NR",$O3321&gt;0),IF(ISNUMBER($J3321),AND($J3321&gt;=0,$J3321=INT($J3321)),FALSE())),$J3321,0)</f>
        <v>0</v>
      </c>
      <c r="Q3321" s="64" t="n">
        <f aca="false">IF(AND($P3321&gt;0,$O3321&gt;0),$P3321,0)</f>
        <v>0</v>
      </c>
      <c r="R3321" s="64" t="n">
        <f aca="false">IF(AND($Q3321&gt;0,$O3321&gt;=AtRank),$Q3321,0)</f>
        <v>0</v>
      </c>
      <c r="S3321" s="64" t="n">
        <f aca="false">IF(AND($Q3321&gt;0,$O3321&gt;=AboveRank),$Q3321,0)</f>
        <v>0</v>
      </c>
      <c r="T3321" s="64" t="n">
        <f aca="false">IF($K3321="Less",$P3321,0)</f>
        <v>0</v>
      </c>
      <c r="U3321" s="64" t="n">
        <f aca="false">IF($K3321="Expected",$P3321,0)</f>
        <v>0</v>
      </c>
      <c r="V3321" s="64" t="n">
        <f aca="false">IF($K3321="Better",$P3321,0)</f>
        <v>0</v>
      </c>
      <c r="W3321" s="64" t="n">
        <f aca="false">IF($K3321="U – needs rule",$P3321,0)</f>
        <v>0</v>
      </c>
      <c r="X3321" s="64" t="n">
        <f aca="false">IF($K3321="No Start (attainment only)",$P3321,0)</f>
        <v>0</v>
      </c>
    </row>
    <row r="3322" customFormat="false" ht="15" hidden="false" customHeight="false" outlineLevel="0" collapsed="false">
      <c r="A3322" s="60"/>
      <c r="B3322" s="61" t="str">
        <f aca="false">IF($M3322=0,"",INDEX(Classes!$E$6:$E$420,$M3322))</f>
        <v/>
      </c>
      <c r="C3322" s="62" t="str">
        <f aca="false">IF($M3322=0,"",INDEX(Classes!$H$6:$H$420,$M3322))</f>
        <v/>
      </c>
      <c r="D3322" s="61" t="str">
        <f aca="false">IF($M3322=0,"",INDEX(Classes!$B$6:$B$420,$M3322))</f>
        <v/>
      </c>
      <c r="E3322" s="61" t="str">
        <f aca="false">IF($M3322=0,"",INDEX(Classes!$C$6:$C$420,$M3322))</f>
        <v/>
      </c>
      <c r="F3322" s="63"/>
      <c r="G3322" s="63"/>
      <c r="H3322" s="60"/>
      <c r="I3322" s="60"/>
      <c r="J3322" s="63"/>
      <c r="K3322" s="61" t="str">
        <f aca="false">IF($P3322=0,"",IF($F3322="Baseline","— Baseline",IF($O3322=0,"No result",IF($N3322=0,"No Start (attainment only)",IF(OR($N3322=1,$O3322=1),"U – needs rule",INDEX(MxBody,MATCH($I3322,MxCurr,0),MATCH($H3322,MxStart,0)))))))</f>
        <v/>
      </c>
      <c r="L3322" s="62" t="str">
        <f aca="false">IF(COUNTA($A3322,$F3322,$G3322,$H3322,$I3322,$J3322)=0,"",IF($M3322=0,"✖ كود الصف غير موجود",IF(ISNA(MATCH($F3322,Lists!$A$2:$A$5,0)),"✖ الفترة غير صحيحة",IF(ISNA(MATCH($G3322,Lists!$B$2:$B$7,0)),"✖ المجموعة غير صحيحة",IF(NOT(OR($H3322="",$N3322&gt;0)),"✖ Start غير صحيح",IF(NOT(OR($I3322="",$I3322="NR",$O3322&gt;0)),"✖ Current غير صحيح",IF(NOT(IF(ISNUMBER($J3322),AND($J3322&gt;=0,$J3322=INT($J3322)),FALSE())),"✖ العدد يجب أن يكون صحيحًا ≥ 0",IF(AND($F3322="Baseline",$H3322&lt;&gt;""),"⚠ Baseline: Start لا يدخل في التقدم",IF($K3322="No Start (attainment only)","ℹ تحصيل فقط (بدون Start)",IF($K3322="U – needs rule","ℹ حالة U تحتاج قاعدة معتمدة",IF($K3322="No result","ℹ بدون نتيجة (يُستبعد من التحصيل)","OK")))))))))))</f>
        <v/>
      </c>
      <c r="M3322" s="64" t="n">
        <f aca="false">IF($A3322="",0,IFERROR(MATCH($A3322,Classes!$A$6:$A$420,0),0))</f>
        <v>0</v>
      </c>
      <c r="N3322" s="64" t="n">
        <f aca="false">IF($H3322="",0,IFERROR(MATCH($H3322,GradeList,0),0))</f>
        <v>0</v>
      </c>
      <c r="O3322" s="64" t="n">
        <f aca="false">IF(OR($I3322="",$I3322="NR"),0,IFERROR(MATCH($I3322,GradeList,0),0))</f>
        <v>0</v>
      </c>
      <c r="P3322" s="64" t="n">
        <f aca="false">IF(AND($M3322&gt;0,ISNUMBER(MATCH($F3322,Lists!$A$2:$A$5,0)),ISNUMBER(MATCH($G3322,Lists!$B$2:$B$7,0)),OR($H3322="",$N3322&gt;0),OR($I3322="",$I3322="NR",$O3322&gt;0),IF(ISNUMBER($J3322),AND($J3322&gt;=0,$J3322=INT($J3322)),FALSE())),$J3322,0)</f>
        <v>0</v>
      </c>
      <c r="Q3322" s="64" t="n">
        <f aca="false">IF(AND($P3322&gt;0,$O3322&gt;0),$P3322,0)</f>
        <v>0</v>
      </c>
      <c r="R3322" s="64" t="n">
        <f aca="false">IF(AND($Q3322&gt;0,$O3322&gt;=AtRank),$Q3322,0)</f>
        <v>0</v>
      </c>
      <c r="S3322" s="64" t="n">
        <f aca="false">IF(AND($Q3322&gt;0,$O3322&gt;=AboveRank),$Q3322,0)</f>
        <v>0</v>
      </c>
      <c r="T3322" s="64" t="n">
        <f aca="false">IF($K3322="Less",$P3322,0)</f>
        <v>0</v>
      </c>
      <c r="U3322" s="64" t="n">
        <f aca="false">IF($K3322="Expected",$P3322,0)</f>
        <v>0</v>
      </c>
      <c r="V3322" s="64" t="n">
        <f aca="false">IF($K3322="Better",$P3322,0)</f>
        <v>0</v>
      </c>
      <c r="W3322" s="64" t="n">
        <f aca="false">IF($K3322="U – needs rule",$P3322,0)</f>
        <v>0</v>
      </c>
      <c r="X3322" s="64" t="n">
        <f aca="false">IF($K3322="No Start (attainment only)",$P3322,0)</f>
        <v>0</v>
      </c>
    </row>
    <row r="3323" customFormat="false" ht="15" hidden="false" customHeight="false" outlineLevel="0" collapsed="false">
      <c r="A3323" s="60"/>
      <c r="B3323" s="61" t="str">
        <f aca="false">IF($M3323=0,"",INDEX(Classes!$E$6:$E$420,$M3323))</f>
        <v/>
      </c>
      <c r="C3323" s="62" t="str">
        <f aca="false">IF($M3323=0,"",INDEX(Classes!$H$6:$H$420,$M3323))</f>
        <v/>
      </c>
      <c r="D3323" s="61" t="str">
        <f aca="false">IF($M3323=0,"",INDEX(Classes!$B$6:$B$420,$M3323))</f>
        <v/>
      </c>
      <c r="E3323" s="61" t="str">
        <f aca="false">IF($M3323=0,"",INDEX(Classes!$C$6:$C$420,$M3323))</f>
        <v/>
      </c>
      <c r="F3323" s="63"/>
      <c r="G3323" s="63"/>
      <c r="H3323" s="60"/>
      <c r="I3323" s="60"/>
      <c r="J3323" s="63"/>
      <c r="K3323" s="61" t="str">
        <f aca="false">IF($P3323=0,"",IF($F3323="Baseline","— Baseline",IF($O3323=0,"No result",IF($N3323=0,"No Start (attainment only)",IF(OR($N3323=1,$O3323=1),"U – needs rule",INDEX(MxBody,MATCH($I3323,MxCurr,0),MATCH($H3323,MxStart,0)))))))</f>
        <v/>
      </c>
      <c r="L3323" s="62" t="str">
        <f aca="false">IF(COUNTA($A3323,$F3323,$G3323,$H3323,$I3323,$J3323)=0,"",IF($M3323=0,"✖ كود الصف غير موجود",IF(ISNA(MATCH($F3323,Lists!$A$2:$A$5,0)),"✖ الفترة غير صحيحة",IF(ISNA(MATCH($G3323,Lists!$B$2:$B$7,0)),"✖ المجموعة غير صحيحة",IF(NOT(OR($H3323="",$N3323&gt;0)),"✖ Start غير صحيح",IF(NOT(OR($I3323="",$I3323="NR",$O3323&gt;0)),"✖ Current غير صحيح",IF(NOT(IF(ISNUMBER($J3323),AND($J3323&gt;=0,$J3323=INT($J3323)),FALSE())),"✖ العدد يجب أن يكون صحيحًا ≥ 0",IF(AND($F3323="Baseline",$H3323&lt;&gt;""),"⚠ Baseline: Start لا يدخل في التقدم",IF($K3323="No Start (attainment only)","ℹ تحصيل فقط (بدون Start)",IF($K3323="U – needs rule","ℹ حالة U تحتاج قاعدة معتمدة",IF($K3323="No result","ℹ بدون نتيجة (يُستبعد من التحصيل)","OK")))))))))))</f>
        <v/>
      </c>
      <c r="M3323" s="64" t="n">
        <f aca="false">IF($A3323="",0,IFERROR(MATCH($A3323,Classes!$A$6:$A$420,0),0))</f>
        <v>0</v>
      </c>
      <c r="N3323" s="64" t="n">
        <f aca="false">IF($H3323="",0,IFERROR(MATCH($H3323,GradeList,0),0))</f>
        <v>0</v>
      </c>
      <c r="O3323" s="64" t="n">
        <f aca="false">IF(OR($I3323="",$I3323="NR"),0,IFERROR(MATCH($I3323,GradeList,0),0))</f>
        <v>0</v>
      </c>
      <c r="P3323" s="64" t="n">
        <f aca="false">IF(AND($M3323&gt;0,ISNUMBER(MATCH($F3323,Lists!$A$2:$A$5,0)),ISNUMBER(MATCH($G3323,Lists!$B$2:$B$7,0)),OR($H3323="",$N3323&gt;0),OR($I3323="",$I3323="NR",$O3323&gt;0),IF(ISNUMBER($J3323),AND($J3323&gt;=0,$J3323=INT($J3323)),FALSE())),$J3323,0)</f>
        <v>0</v>
      </c>
      <c r="Q3323" s="64" t="n">
        <f aca="false">IF(AND($P3323&gt;0,$O3323&gt;0),$P3323,0)</f>
        <v>0</v>
      </c>
      <c r="R3323" s="64" t="n">
        <f aca="false">IF(AND($Q3323&gt;0,$O3323&gt;=AtRank),$Q3323,0)</f>
        <v>0</v>
      </c>
      <c r="S3323" s="64" t="n">
        <f aca="false">IF(AND($Q3323&gt;0,$O3323&gt;=AboveRank),$Q3323,0)</f>
        <v>0</v>
      </c>
      <c r="T3323" s="64" t="n">
        <f aca="false">IF($K3323="Less",$P3323,0)</f>
        <v>0</v>
      </c>
      <c r="U3323" s="64" t="n">
        <f aca="false">IF($K3323="Expected",$P3323,0)</f>
        <v>0</v>
      </c>
      <c r="V3323" s="64" t="n">
        <f aca="false">IF($K3323="Better",$P3323,0)</f>
        <v>0</v>
      </c>
      <c r="W3323" s="64" t="n">
        <f aca="false">IF($K3323="U – needs rule",$P3323,0)</f>
        <v>0</v>
      </c>
      <c r="X3323" s="64" t="n">
        <f aca="false">IF($K3323="No Start (attainment only)",$P3323,0)</f>
        <v>0</v>
      </c>
    </row>
    <row r="3324" customFormat="false" ht="15" hidden="false" customHeight="false" outlineLevel="0" collapsed="false">
      <c r="A3324" s="60"/>
      <c r="B3324" s="61" t="str">
        <f aca="false">IF($M3324=0,"",INDEX(Classes!$E$6:$E$420,$M3324))</f>
        <v/>
      </c>
      <c r="C3324" s="62" t="str">
        <f aca="false">IF($M3324=0,"",INDEX(Classes!$H$6:$H$420,$M3324))</f>
        <v/>
      </c>
      <c r="D3324" s="61" t="str">
        <f aca="false">IF($M3324=0,"",INDEX(Classes!$B$6:$B$420,$M3324))</f>
        <v/>
      </c>
      <c r="E3324" s="61" t="str">
        <f aca="false">IF($M3324=0,"",INDEX(Classes!$C$6:$C$420,$M3324))</f>
        <v/>
      </c>
      <c r="F3324" s="63"/>
      <c r="G3324" s="63"/>
      <c r="H3324" s="60"/>
      <c r="I3324" s="60"/>
      <c r="J3324" s="63"/>
      <c r="K3324" s="61" t="str">
        <f aca="false">IF($P3324=0,"",IF($F3324="Baseline","— Baseline",IF($O3324=0,"No result",IF($N3324=0,"No Start (attainment only)",IF(OR($N3324=1,$O3324=1),"U – needs rule",INDEX(MxBody,MATCH($I3324,MxCurr,0),MATCH($H3324,MxStart,0)))))))</f>
        <v/>
      </c>
      <c r="L3324" s="62" t="str">
        <f aca="false">IF(COUNTA($A3324,$F3324,$G3324,$H3324,$I3324,$J3324)=0,"",IF($M3324=0,"✖ كود الصف غير موجود",IF(ISNA(MATCH($F3324,Lists!$A$2:$A$5,0)),"✖ الفترة غير صحيحة",IF(ISNA(MATCH($G3324,Lists!$B$2:$B$7,0)),"✖ المجموعة غير صحيحة",IF(NOT(OR($H3324="",$N3324&gt;0)),"✖ Start غير صحيح",IF(NOT(OR($I3324="",$I3324="NR",$O3324&gt;0)),"✖ Current غير صحيح",IF(NOT(IF(ISNUMBER($J3324),AND($J3324&gt;=0,$J3324=INT($J3324)),FALSE())),"✖ العدد يجب أن يكون صحيحًا ≥ 0",IF(AND($F3324="Baseline",$H3324&lt;&gt;""),"⚠ Baseline: Start لا يدخل في التقدم",IF($K3324="No Start (attainment only)","ℹ تحصيل فقط (بدون Start)",IF($K3324="U – needs rule","ℹ حالة U تحتاج قاعدة معتمدة",IF($K3324="No result","ℹ بدون نتيجة (يُستبعد من التحصيل)","OK")))))))))))</f>
        <v/>
      </c>
      <c r="M3324" s="64" t="n">
        <f aca="false">IF($A3324="",0,IFERROR(MATCH($A3324,Classes!$A$6:$A$420,0),0))</f>
        <v>0</v>
      </c>
      <c r="N3324" s="64" t="n">
        <f aca="false">IF($H3324="",0,IFERROR(MATCH($H3324,GradeList,0),0))</f>
        <v>0</v>
      </c>
      <c r="O3324" s="64" t="n">
        <f aca="false">IF(OR($I3324="",$I3324="NR"),0,IFERROR(MATCH($I3324,GradeList,0),0))</f>
        <v>0</v>
      </c>
      <c r="P3324" s="64" t="n">
        <f aca="false">IF(AND($M3324&gt;0,ISNUMBER(MATCH($F3324,Lists!$A$2:$A$5,0)),ISNUMBER(MATCH($G3324,Lists!$B$2:$B$7,0)),OR($H3324="",$N3324&gt;0),OR($I3324="",$I3324="NR",$O3324&gt;0),IF(ISNUMBER($J3324),AND($J3324&gt;=0,$J3324=INT($J3324)),FALSE())),$J3324,0)</f>
        <v>0</v>
      </c>
      <c r="Q3324" s="64" t="n">
        <f aca="false">IF(AND($P3324&gt;0,$O3324&gt;0),$P3324,0)</f>
        <v>0</v>
      </c>
      <c r="R3324" s="64" t="n">
        <f aca="false">IF(AND($Q3324&gt;0,$O3324&gt;=AtRank),$Q3324,0)</f>
        <v>0</v>
      </c>
      <c r="S3324" s="64" t="n">
        <f aca="false">IF(AND($Q3324&gt;0,$O3324&gt;=AboveRank),$Q3324,0)</f>
        <v>0</v>
      </c>
      <c r="T3324" s="64" t="n">
        <f aca="false">IF($K3324="Less",$P3324,0)</f>
        <v>0</v>
      </c>
      <c r="U3324" s="64" t="n">
        <f aca="false">IF($K3324="Expected",$P3324,0)</f>
        <v>0</v>
      </c>
      <c r="V3324" s="64" t="n">
        <f aca="false">IF($K3324="Better",$P3324,0)</f>
        <v>0</v>
      </c>
      <c r="W3324" s="64" t="n">
        <f aca="false">IF($K3324="U – needs rule",$P3324,0)</f>
        <v>0</v>
      </c>
      <c r="X3324" s="64" t="n">
        <f aca="false">IF($K3324="No Start (attainment only)",$P3324,0)</f>
        <v>0</v>
      </c>
    </row>
    <row r="3325" customFormat="false" ht="15" hidden="false" customHeight="false" outlineLevel="0" collapsed="false">
      <c r="A3325" s="60"/>
      <c r="B3325" s="61" t="str">
        <f aca="false">IF($M3325=0,"",INDEX(Classes!$E$6:$E$420,$M3325))</f>
        <v/>
      </c>
      <c r="C3325" s="62" t="str">
        <f aca="false">IF($M3325=0,"",INDEX(Classes!$H$6:$H$420,$M3325))</f>
        <v/>
      </c>
      <c r="D3325" s="61" t="str">
        <f aca="false">IF($M3325=0,"",INDEX(Classes!$B$6:$B$420,$M3325))</f>
        <v/>
      </c>
      <c r="E3325" s="61" t="str">
        <f aca="false">IF($M3325=0,"",INDEX(Classes!$C$6:$C$420,$M3325))</f>
        <v/>
      </c>
      <c r="F3325" s="63"/>
      <c r="G3325" s="63"/>
      <c r="H3325" s="60"/>
      <c r="I3325" s="60"/>
      <c r="J3325" s="63"/>
      <c r="K3325" s="61" t="str">
        <f aca="false">IF($P3325=0,"",IF($F3325="Baseline","— Baseline",IF($O3325=0,"No result",IF($N3325=0,"No Start (attainment only)",IF(OR($N3325=1,$O3325=1),"U – needs rule",INDEX(MxBody,MATCH($I3325,MxCurr,0),MATCH($H3325,MxStart,0)))))))</f>
        <v/>
      </c>
      <c r="L3325" s="62" t="str">
        <f aca="false">IF(COUNTA($A3325,$F3325,$G3325,$H3325,$I3325,$J3325)=0,"",IF($M3325=0,"✖ كود الصف غير موجود",IF(ISNA(MATCH($F3325,Lists!$A$2:$A$5,0)),"✖ الفترة غير صحيحة",IF(ISNA(MATCH($G3325,Lists!$B$2:$B$7,0)),"✖ المجموعة غير صحيحة",IF(NOT(OR($H3325="",$N3325&gt;0)),"✖ Start غير صحيح",IF(NOT(OR($I3325="",$I3325="NR",$O3325&gt;0)),"✖ Current غير صحيح",IF(NOT(IF(ISNUMBER($J3325),AND($J3325&gt;=0,$J3325=INT($J3325)),FALSE())),"✖ العدد يجب أن يكون صحيحًا ≥ 0",IF(AND($F3325="Baseline",$H3325&lt;&gt;""),"⚠ Baseline: Start لا يدخل في التقدم",IF($K3325="No Start (attainment only)","ℹ تحصيل فقط (بدون Start)",IF($K3325="U – needs rule","ℹ حالة U تحتاج قاعدة معتمدة",IF($K3325="No result","ℹ بدون نتيجة (يُستبعد من التحصيل)","OK")))))))))))</f>
        <v/>
      </c>
      <c r="M3325" s="64" t="n">
        <f aca="false">IF($A3325="",0,IFERROR(MATCH($A3325,Classes!$A$6:$A$420,0),0))</f>
        <v>0</v>
      </c>
      <c r="N3325" s="64" t="n">
        <f aca="false">IF($H3325="",0,IFERROR(MATCH($H3325,GradeList,0),0))</f>
        <v>0</v>
      </c>
      <c r="O3325" s="64" t="n">
        <f aca="false">IF(OR($I3325="",$I3325="NR"),0,IFERROR(MATCH($I3325,GradeList,0),0))</f>
        <v>0</v>
      </c>
      <c r="P3325" s="64" t="n">
        <f aca="false">IF(AND($M3325&gt;0,ISNUMBER(MATCH($F3325,Lists!$A$2:$A$5,0)),ISNUMBER(MATCH($G3325,Lists!$B$2:$B$7,0)),OR($H3325="",$N3325&gt;0),OR($I3325="",$I3325="NR",$O3325&gt;0),IF(ISNUMBER($J3325),AND($J3325&gt;=0,$J3325=INT($J3325)),FALSE())),$J3325,0)</f>
        <v>0</v>
      </c>
      <c r="Q3325" s="64" t="n">
        <f aca="false">IF(AND($P3325&gt;0,$O3325&gt;0),$P3325,0)</f>
        <v>0</v>
      </c>
      <c r="R3325" s="64" t="n">
        <f aca="false">IF(AND($Q3325&gt;0,$O3325&gt;=AtRank),$Q3325,0)</f>
        <v>0</v>
      </c>
      <c r="S3325" s="64" t="n">
        <f aca="false">IF(AND($Q3325&gt;0,$O3325&gt;=AboveRank),$Q3325,0)</f>
        <v>0</v>
      </c>
      <c r="T3325" s="64" t="n">
        <f aca="false">IF($K3325="Less",$P3325,0)</f>
        <v>0</v>
      </c>
      <c r="U3325" s="64" t="n">
        <f aca="false">IF($K3325="Expected",$P3325,0)</f>
        <v>0</v>
      </c>
      <c r="V3325" s="64" t="n">
        <f aca="false">IF($K3325="Better",$P3325,0)</f>
        <v>0</v>
      </c>
      <c r="W3325" s="64" t="n">
        <f aca="false">IF($K3325="U – needs rule",$P3325,0)</f>
        <v>0</v>
      </c>
      <c r="X3325" s="64" t="n">
        <f aca="false">IF($K3325="No Start (attainment only)",$P3325,0)</f>
        <v>0</v>
      </c>
    </row>
    <row r="3326" customFormat="false" ht="15" hidden="false" customHeight="false" outlineLevel="0" collapsed="false">
      <c r="A3326" s="60"/>
      <c r="B3326" s="61" t="str">
        <f aca="false">IF($M3326=0,"",INDEX(Classes!$E$6:$E$420,$M3326))</f>
        <v/>
      </c>
      <c r="C3326" s="62" t="str">
        <f aca="false">IF($M3326=0,"",INDEX(Classes!$H$6:$H$420,$M3326))</f>
        <v/>
      </c>
      <c r="D3326" s="61" t="str">
        <f aca="false">IF($M3326=0,"",INDEX(Classes!$B$6:$B$420,$M3326))</f>
        <v/>
      </c>
      <c r="E3326" s="61" t="str">
        <f aca="false">IF($M3326=0,"",INDEX(Classes!$C$6:$C$420,$M3326))</f>
        <v/>
      </c>
      <c r="F3326" s="63"/>
      <c r="G3326" s="63"/>
      <c r="H3326" s="60"/>
      <c r="I3326" s="60"/>
      <c r="J3326" s="63"/>
      <c r="K3326" s="61" t="str">
        <f aca="false">IF($P3326=0,"",IF($F3326="Baseline","— Baseline",IF($O3326=0,"No result",IF($N3326=0,"No Start (attainment only)",IF(OR($N3326=1,$O3326=1),"U – needs rule",INDEX(MxBody,MATCH($I3326,MxCurr,0),MATCH($H3326,MxStart,0)))))))</f>
        <v/>
      </c>
      <c r="L3326" s="62" t="str">
        <f aca="false">IF(COUNTA($A3326,$F3326,$G3326,$H3326,$I3326,$J3326)=0,"",IF($M3326=0,"✖ كود الصف غير موجود",IF(ISNA(MATCH($F3326,Lists!$A$2:$A$5,0)),"✖ الفترة غير صحيحة",IF(ISNA(MATCH($G3326,Lists!$B$2:$B$7,0)),"✖ المجموعة غير صحيحة",IF(NOT(OR($H3326="",$N3326&gt;0)),"✖ Start غير صحيح",IF(NOT(OR($I3326="",$I3326="NR",$O3326&gt;0)),"✖ Current غير صحيح",IF(NOT(IF(ISNUMBER($J3326),AND($J3326&gt;=0,$J3326=INT($J3326)),FALSE())),"✖ العدد يجب أن يكون صحيحًا ≥ 0",IF(AND($F3326="Baseline",$H3326&lt;&gt;""),"⚠ Baseline: Start لا يدخل في التقدم",IF($K3326="No Start (attainment only)","ℹ تحصيل فقط (بدون Start)",IF($K3326="U – needs rule","ℹ حالة U تحتاج قاعدة معتمدة",IF($K3326="No result","ℹ بدون نتيجة (يُستبعد من التحصيل)","OK")))))))))))</f>
        <v/>
      </c>
      <c r="M3326" s="64" t="n">
        <f aca="false">IF($A3326="",0,IFERROR(MATCH($A3326,Classes!$A$6:$A$420,0),0))</f>
        <v>0</v>
      </c>
      <c r="N3326" s="64" t="n">
        <f aca="false">IF($H3326="",0,IFERROR(MATCH($H3326,GradeList,0),0))</f>
        <v>0</v>
      </c>
      <c r="O3326" s="64" t="n">
        <f aca="false">IF(OR($I3326="",$I3326="NR"),0,IFERROR(MATCH($I3326,GradeList,0),0))</f>
        <v>0</v>
      </c>
      <c r="P3326" s="64" t="n">
        <f aca="false">IF(AND($M3326&gt;0,ISNUMBER(MATCH($F3326,Lists!$A$2:$A$5,0)),ISNUMBER(MATCH($G3326,Lists!$B$2:$B$7,0)),OR($H3326="",$N3326&gt;0),OR($I3326="",$I3326="NR",$O3326&gt;0),IF(ISNUMBER($J3326),AND($J3326&gt;=0,$J3326=INT($J3326)),FALSE())),$J3326,0)</f>
        <v>0</v>
      </c>
      <c r="Q3326" s="64" t="n">
        <f aca="false">IF(AND($P3326&gt;0,$O3326&gt;0),$P3326,0)</f>
        <v>0</v>
      </c>
      <c r="R3326" s="64" t="n">
        <f aca="false">IF(AND($Q3326&gt;0,$O3326&gt;=AtRank),$Q3326,0)</f>
        <v>0</v>
      </c>
      <c r="S3326" s="64" t="n">
        <f aca="false">IF(AND($Q3326&gt;0,$O3326&gt;=AboveRank),$Q3326,0)</f>
        <v>0</v>
      </c>
      <c r="T3326" s="64" t="n">
        <f aca="false">IF($K3326="Less",$P3326,0)</f>
        <v>0</v>
      </c>
      <c r="U3326" s="64" t="n">
        <f aca="false">IF($K3326="Expected",$P3326,0)</f>
        <v>0</v>
      </c>
      <c r="V3326" s="64" t="n">
        <f aca="false">IF($K3326="Better",$P3326,0)</f>
        <v>0</v>
      </c>
      <c r="W3326" s="64" t="n">
        <f aca="false">IF($K3326="U – needs rule",$P3326,0)</f>
        <v>0</v>
      </c>
      <c r="X3326" s="64" t="n">
        <f aca="false">IF($K3326="No Start (attainment only)",$P3326,0)</f>
        <v>0</v>
      </c>
    </row>
    <row r="3327" customFormat="false" ht="15" hidden="false" customHeight="false" outlineLevel="0" collapsed="false">
      <c r="A3327" s="60"/>
      <c r="B3327" s="61" t="str">
        <f aca="false">IF($M3327=0,"",INDEX(Classes!$E$6:$E$420,$M3327))</f>
        <v/>
      </c>
      <c r="C3327" s="62" t="str">
        <f aca="false">IF($M3327=0,"",INDEX(Classes!$H$6:$H$420,$M3327))</f>
        <v/>
      </c>
      <c r="D3327" s="61" t="str">
        <f aca="false">IF($M3327=0,"",INDEX(Classes!$B$6:$B$420,$M3327))</f>
        <v/>
      </c>
      <c r="E3327" s="61" t="str">
        <f aca="false">IF($M3327=0,"",INDEX(Classes!$C$6:$C$420,$M3327))</f>
        <v/>
      </c>
      <c r="F3327" s="63"/>
      <c r="G3327" s="63"/>
      <c r="H3327" s="60"/>
      <c r="I3327" s="60"/>
      <c r="J3327" s="63"/>
      <c r="K3327" s="61" t="str">
        <f aca="false">IF($P3327=0,"",IF($F3327="Baseline","— Baseline",IF($O3327=0,"No result",IF($N3327=0,"No Start (attainment only)",IF(OR($N3327=1,$O3327=1),"U – needs rule",INDEX(MxBody,MATCH($I3327,MxCurr,0),MATCH($H3327,MxStart,0)))))))</f>
        <v/>
      </c>
      <c r="L3327" s="62" t="str">
        <f aca="false">IF(COUNTA($A3327,$F3327,$G3327,$H3327,$I3327,$J3327)=0,"",IF($M3327=0,"✖ كود الصف غير موجود",IF(ISNA(MATCH($F3327,Lists!$A$2:$A$5,0)),"✖ الفترة غير صحيحة",IF(ISNA(MATCH($G3327,Lists!$B$2:$B$7,0)),"✖ المجموعة غير صحيحة",IF(NOT(OR($H3327="",$N3327&gt;0)),"✖ Start غير صحيح",IF(NOT(OR($I3327="",$I3327="NR",$O3327&gt;0)),"✖ Current غير صحيح",IF(NOT(IF(ISNUMBER($J3327),AND($J3327&gt;=0,$J3327=INT($J3327)),FALSE())),"✖ العدد يجب أن يكون صحيحًا ≥ 0",IF(AND($F3327="Baseline",$H3327&lt;&gt;""),"⚠ Baseline: Start لا يدخل في التقدم",IF($K3327="No Start (attainment only)","ℹ تحصيل فقط (بدون Start)",IF($K3327="U – needs rule","ℹ حالة U تحتاج قاعدة معتمدة",IF($K3327="No result","ℹ بدون نتيجة (يُستبعد من التحصيل)","OK")))))))))))</f>
        <v/>
      </c>
      <c r="M3327" s="64" t="n">
        <f aca="false">IF($A3327="",0,IFERROR(MATCH($A3327,Classes!$A$6:$A$420,0),0))</f>
        <v>0</v>
      </c>
      <c r="N3327" s="64" t="n">
        <f aca="false">IF($H3327="",0,IFERROR(MATCH($H3327,GradeList,0),0))</f>
        <v>0</v>
      </c>
      <c r="O3327" s="64" t="n">
        <f aca="false">IF(OR($I3327="",$I3327="NR"),0,IFERROR(MATCH($I3327,GradeList,0),0))</f>
        <v>0</v>
      </c>
      <c r="P3327" s="64" t="n">
        <f aca="false">IF(AND($M3327&gt;0,ISNUMBER(MATCH($F3327,Lists!$A$2:$A$5,0)),ISNUMBER(MATCH($G3327,Lists!$B$2:$B$7,0)),OR($H3327="",$N3327&gt;0),OR($I3327="",$I3327="NR",$O3327&gt;0),IF(ISNUMBER($J3327),AND($J3327&gt;=0,$J3327=INT($J3327)),FALSE())),$J3327,0)</f>
        <v>0</v>
      </c>
      <c r="Q3327" s="64" t="n">
        <f aca="false">IF(AND($P3327&gt;0,$O3327&gt;0),$P3327,0)</f>
        <v>0</v>
      </c>
      <c r="R3327" s="64" t="n">
        <f aca="false">IF(AND($Q3327&gt;0,$O3327&gt;=AtRank),$Q3327,0)</f>
        <v>0</v>
      </c>
      <c r="S3327" s="64" t="n">
        <f aca="false">IF(AND($Q3327&gt;0,$O3327&gt;=AboveRank),$Q3327,0)</f>
        <v>0</v>
      </c>
      <c r="T3327" s="64" t="n">
        <f aca="false">IF($K3327="Less",$P3327,0)</f>
        <v>0</v>
      </c>
      <c r="U3327" s="64" t="n">
        <f aca="false">IF($K3327="Expected",$P3327,0)</f>
        <v>0</v>
      </c>
      <c r="V3327" s="64" t="n">
        <f aca="false">IF($K3327="Better",$P3327,0)</f>
        <v>0</v>
      </c>
      <c r="W3327" s="64" t="n">
        <f aca="false">IF($K3327="U – needs rule",$P3327,0)</f>
        <v>0</v>
      </c>
      <c r="X3327" s="64" t="n">
        <f aca="false">IF($K3327="No Start (attainment only)",$P3327,0)</f>
        <v>0</v>
      </c>
    </row>
    <row r="3328" customFormat="false" ht="15" hidden="false" customHeight="false" outlineLevel="0" collapsed="false">
      <c r="A3328" s="60"/>
      <c r="B3328" s="61" t="str">
        <f aca="false">IF($M3328=0,"",INDEX(Classes!$E$6:$E$420,$M3328))</f>
        <v/>
      </c>
      <c r="C3328" s="62" t="str">
        <f aca="false">IF($M3328=0,"",INDEX(Classes!$H$6:$H$420,$M3328))</f>
        <v/>
      </c>
      <c r="D3328" s="61" t="str">
        <f aca="false">IF($M3328=0,"",INDEX(Classes!$B$6:$B$420,$M3328))</f>
        <v/>
      </c>
      <c r="E3328" s="61" t="str">
        <f aca="false">IF($M3328=0,"",INDEX(Classes!$C$6:$C$420,$M3328))</f>
        <v/>
      </c>
      <c r="F3328" s="63"/>
      <c r="G3328" s="63"/>
      <c r="H3328" s="60"/>
      <c r="I3328" s="60"/>
      <c r="J3328" s="63"/>
      <c r="K3328" s="61" t="str">
        <f aca="false">IF($P3328=0,"",IF($F3328="Baseline","— Baseline",IF($O3328=0,"No result",IF($N3328=0,"No Start (attainment only)",IF(OR($N3328=1,$O3328=1),"U – needs rule",INDEX(MxBody,MATCH($I3328,MxCurr,0),MATCH($H3328,MxStart,0)))))))</f>
        <v/>
      </c>
      <c r="L3328" s="62" t="str">
        <f aca="false">IF(COUNTA($A3328,$F3328,$G3328,$H3328,$I3328,$J3328)=0,"",IF($M3328=0,"✖ كود الصف غير موجود",IF(ISNA(MATCH($F3328,Lists!$A$2:$A$5,0)),"✖ الفترة غير صحيحة",IF(ISNA(MATCH($G3328,Lists!$B$2:$B$7,0)),"✖ المجموعة غير صحيحة",IF(NOT(OR($H3328="",$N3328&gt;0)),"✖ Start غير صحيح",IF(NOT(OR($I3328="",$I3328="NR",$O3328&gt;0)),"✖ Current غير صحيح",IF(NOT(IF(ISNUMBER($J3328),AND($J3328&gt;=0,$J3328=INT($J3328)),FALSE())),"✖ العدد يجب أن يكون صحيحًا ≥ 0",IF(AND($F3328="Baseline",$H3328&lt;&gt;""),"⚠ Baseline: Start لا يدخل في التقدم",IF($K3328="No Start (attainment only)","ℹ تحصيل فقط (بدون Start)",IF($K3328="U – needs rule","ℹ حالة U تحتاج قاعدة معتمدة",IF($K3328="No result","ℹ بدون نتيجة (يُستبعد من التحصيل)","OK")))))))))))</f>
        <v/>
      </c>
      <c r="M3328" s="64" t="n">
        <f aca="false">IF($A3328="",0,IFERROR(MATCH($A3328,Classes!$A$6:$A$420,0),0))</f>
        <v>0</v>
      </c>
      <c r="N3328" s="64" t="n">
        <f aca="false">IF($H3328="",0,IFERROR(MATCH($H3328,GradeList,0),0))</f>
        <v>0</v>
      </c>
      <c r="O3328" s="64" t="n">
        <f aca="false">IF(OR($I3328="",$I3328="NR"),0,IFERROR(MATCH($I3328,GradeList,0),0))</f>
        <v>0</v>
      </c>
      <c r="P3328" s="64" t="n">
        <f aca="false">IF(AND($M3328&gt;0,ISNUMBER(MATCH($F3328,Lists!$A$2:$A$5,0)),ISNUMBER(MATCH($G3328,Lists!$B$2:$B$7,0)),OR($H3328="",$N3328&gt;0),OR($I3328="",$I3328="NR",$O3328&gt;0),IF(ISNUMBER($J3328),AND($J3328&gt;=0,$J3328=INT($J3328)),FALSE())),$J3328,0)</f>
        <v>0</v>
      </c>
      <c r="Q3328" s="64" t="n">
        <f aca="false">IF(AND($P3328&gt;0,$O3328&gt;0),$P3328,0)</f>
        <v>0</v>
      </c>
      <c r="R3328" s="64" t="n">
        <f aca="false">IF(AND($Q3328&gt;0,$O3328&gt;=AtRank),$Q3328,0)</f>
        <v>0</v>
      </c>
      <c r="S3328" s="64" t="n">
        <f aca="false">IF(AND($Q3328&gt;0,$O3328&gt;=AboveRank),$Q3328,0)</f>
        <v>0</v>
      </c>
      <c r="T3328" s="64" t="n">
        <f aca="false">IF($K3328="Less",$P3328,0)</f>
        <v>0</v>
      </c>
      <c r="U3328" s="64" t="n">
        <f aca="false">IF($K3328="Expected",$P3328,0)</f>
        <v>0</v>
      </c>
      <c r="V3328" s="64" t="n">
        <f aca="false">IF($K3328="Better",$P3328,0)</f>
        <v>0</v>
      </c>
      <c r="W3328" s="64" t="n">
        <f aca="false">IF($K3328="U – needs rule",$P3328,0)</f>
        <v>0</v>
      </c>
      <c r="X3328" s="64" t="n">
        <f aca="false">IF($K3328="No Start (attainment only)",$P3328,0)</f>
        <v>0</v>
      </c>
    </row>
    <row r="3329" customFormat="false" ht="15" hidden="false" customHeight="false" outlineLevel="0" collapsed="false">
      <c r="A3329" s="60"/>
      <c r="B3329" s="61" t="str">
        <f aca="false">IF($M3329=0,"",INDEX(Classes!$E$6:$E$420,$M3329))</f>
        <v/>
      </c>
      <c r="C3329" s="62" t="str">
        <f aca="false">IF($M3329=0,"",INDEX(Classes!$H$6:$H$420,$M3329))</f>
        <v/>
      </c>
      <c r="D3329" s="61" t="str">
        <f aca="false">IF($M3329=0,"",INDEX(Classes!$B$6:$B$420,$M3329))</f>
        <v/>
      </c>
      <c r="E3329" s="61" t="str">
        <f aca="false">IF($M3329=0,"",INDEX(Classes!$C$6:$C$420,$M3329))</f>
        <v/>
      </c>
      <c r="F3329" s="63"/>
      <c r="G3329" s="63"/>
      <c r="H3329" s="60"/>
      <c r="I3329" s="60"/>
      <c r="J3329" s="63"/>
      <c r="K3329" s="61" t="str">
        <f aca="false">IF($P3329=0,"",IF($F3329="Baseline","— Baseline",IF($O3329=0,"No result",IF($N3329=0,"No Start (attainment only)",IF(OR($N3329=1,$O3329=1),"U – needs rule",INDEX(MxBody,MATCH($I3329,MxCurr,0),MATCH($H3329,MxStart,0)))))))</f>
        <v/>
      </c>
      <c r="L3329" s="62" t="str">
        <f aca="false">IF(COUNTA($A3329,$F3329,$G3329,$H3329,$I3329,$J3329)=0,"",IF($M3329=0,"✖ كود الصف غير موجود",IF(ISNA(MATCH($F3329,Lists!$A$2:$A$5,0)),"✖ الفترة غير صحيحة",IF(ISNA(MATCH($G3329,Lists!$B$2:$B$7,0)),"✖ المجموعة غير صحيحة",IF(NOT(OR($H3329="",$N3329&gt;0)),"✖ Start غير صحيح",IF(NOT(OR($I3329="",$I3329="NR",$O3329&gt;0)),"✖ Current غير صحيح",IF(NOT(IF(ISNUMBER($J3329),AND($J3329&gt;=0,$J3329=INT($J3329)),FALSE())),"✖ العدد يجب أن يكون صحيحًا ≥ 0",IF(AND($F3329="Baseline",$H3329&lt;&gt;""),"⚠ Baseline: Start لا يدخل في التقدم",IF($K3329="No Start (attainment only)","ℹ تحصيل فقط (بدون Start)",IF($K3329="U – needs rule","ℹ حالة U تحتاج قاعدة معتمدة",IF($K3329="No result","ℹ بدون نتيجة (يُستبعد من التحصيل)","OK")))))))))))</f>
        <v/>
      </c>
      <c r="M3329" s="64" t="n">
        <f aca="false">IF($A3329="",0,IFERROR(MATCH($A3329,Classes!$A$6:$A$420,0),0))</f>
        <v>0</v>
      </c>
      <c r="N3329" s="64" t="n">
        <f aca="false">IF($H3329="",0,IFERROR(MATCH($H3329,GradeList,0),0))</f>
        <v>0</v>
      </c>
      <c r="O3329" s="64" t="n">
        <f aca="false">IF(OR($I3329="",$I3329="NR"),0,IFERROR(MATCH($I3329,GradeList,0),0))</f>
        <v>0</v>
      </c>
      <c r="P3329" s="64" t="n">
        <f aca="false">IF(AND($M3329&gt;0,ISNUMBER(MATCH($F3329,Lists!$A$2:$A$5,0)),ISNUMBER(MATCH($G3329,Lists!$B$2:$B$7,0)),OR($H3329="",$N3329&gt;0),OR($I3329="",$I3329="NR",$O3329&gt;0),IF(ISNUMBER($J3329),AND($J3329&gt;=0,$J3329=INT($J3329)),FALSE())),$J3329,0)</f>
        <v>0</v>
      </c>
      <c r="Q3329" s="64" t="n">
        <f aca="false">IF(AND($P3329&gt;0,$O3329&gt;0),$P3329,0)</f>
        <v>0</v>
      </c>
      <c r="R3329" s="64" t="n">
        <f aca="false">IF(AND($Q3329&gt;0,$O3329&gt;=AtRank),$Q3329,0)</f>
        <v>0</v>
      </c>
      <c r="S3329" s="64" t="n">
        <f aca="false">IF(AND($Q3329&gt;0,$O3329&gt;=AboveRank),$Q3329,0)</f>
        <v>0</v>
      </c>
      <c r="T3329" s="64" t="n">
        <f aca="false">IF($K3329="Less",$P3329,0)</f>
        <v>0</v>
      </c>
      <c r="U3329" s="64" t="n">
        <f aca="false">IF($K3329="Expected",$P3329,0)</f>
        <v>0</v>
      </c>
      <c r="V3329" s="64" t="n">
        <f aca="false">IF($K3329="Better",$P3329,0)</f>
        <v>0</v>
      </c>
      <c r="W3329" s="64" t="n">
        <f aca="false">IF($K3329="U – needs rule",$P3329,0)</f>
        <v>0</v>
      </c>
      <c r="X3329" s="64" t="n">
        <f aca="false">IF($K3329="No Start (attainment only)",$P3329,0)</f>
        <v>0</v>
      </c>
    </row>
    <row r="3330" customFormat="false" ht="15" hidden="false" customHeight="false" outlineLevel="0" collapsed="false">
      <c r="A3330" s="60"/>
      <c r="B3330" s="61" t="str">
        <f aca="false">IF($M3330=0,"",INDEX(Classes!$E$6:$E$420,$M3330))</f>
        <v/>
      </c>
      <c r="C3330" s="62" t="str">
        <f aca="false">IF($M3330=0,"",INDEX(Classes!$H$6:$H$420,$M3330))</f>
        <v/>
      </c>
      <c r="D3330" s="61" t="str">
        <f aca="false">IF($M3330=0,"",INDEX(Classes!$B$6:$B$420,$M3330))</f>
        <v/>
      </c>
      <c r="E3330" s="61" t="str">
        <f aca="false">IF($M3330=0,"",INDEX(Classes!$C$6:$C$420,$M3330))</f>
        <v/>
      </c>
      <c r="F3330" s="63"/>
      <c r="G3330" s="63"/>
      <c r="H3330" s="60"/>
      <c r="I3330" s="60"/>
      <c r="J3330" s="63"/>
      <c r="K3330" s="61" t="str">
        <f aca="false">IF($P3330=0,"",IF($F3330="Baseline","— Baseline",IF($O3330=0,"No result",IF($N3330=0,"No Start (attainment only)",IF(OR($N3330=1,$O3330=1),"U – needs rule",INDEX(MxBody,MATCH($I3330,MxCurr,0),MATCH($H3330,MxStart,0)))))))</f>
        <v/>
      </c>
      <c r="L3330" s="62" t="str">
        <f aca="false">IF(COUNTA($A3330,$F3330,$G3330,$H3330,$I3330,$J3330)=0,"",IF($M3330=0,"✖ كود الصف غير موجود",IF(ISNA(MATCH($F3330,Lists!$A$2:$A$5,0)),"✖ الفترة غير صحيحة",IF(ISNA(MATCH($G3330,Lists!$B$2:$B$7,0)),"✖ المجموعة غير صحيحة",IF(NOT(OR($H3330="",$N3330&gt;0)),"✖ Start غير صحيح",IF(NOT(OR($I3330="",$I3330="NR",$O3330&gt;0)),"✖ Current غير صحيح",IF(NOT(IF(ISNUMBER($J3330),AND($J3330&gt;=0,$J3330=INT($J3330)),FALSE())),"✖ العدد يجب أن يكون صحيحًا ≥ 0",IF(AND($F3330="Baseline",$H3330&lt;&gt;""),"⚠ Baseline: Start لا يدخل في التقدم",IF($K3330="No Start (attainment only)","ℹ تحصيل فقط (بدون Start)",IF($K3330="U – needs rule","ℹ حالة U تحتاج قاعدة معتمدة",IF($K3330="No result","ℹ بدون نتيجة (يُستبعد من التحصيل)","OK")))))))))))</f>
        <v/>
      </c>
      <c r="M3330" s="64" t="n">
        <f aca="false">IF($A3330="",0,IFERROR(MATCH($A3330,Classes!$A$6:$A$420,0),0))</f>
        <v>0</v>
      </c>
      <c r="N3330" s="64" t="n">
        <f aca="false">IF($H3330="",0,IFERROR(MATCH($H3330,GradeList,0),0))</f>
        <v>0</v>
      </c>
      <c r="O3330" s="64" t="n">
        <f aca="false">IF(OR($I3330="",$I3330="NR"),0,IFERROR(MATCH($I3330,GradeList,0),0))</f>
        <v>0</v>
      </c>
      <c r="P3330" s="64" t="n">
        <f aca="false">IF(AND($M3330&gt;0,ISNUMBER(MATCH($F3330,Lists!$A$2:$A$5,0)),ISNUMBER(MATCH($G3330,Lists!$B$2:$B$7,0)),OR($H3330="",$N3330&gt;0),OR($I3330="",$I3330="NR",$O3330&gt;0),IF(ISNUMBER($J3330),AND($J3330&gt;=0,$J3330=INT($J3330)),FALSE())),$J3330,0)</f>
        <v>0</v>
      </c>
      <c r="Q3330" s="64" t="n">
        <f aca="false">IF(AND($P3330&gt;0,$O3330&gt;0),$P3330,0)</f>
        <v>0</v>
      </c>
      <c r="R3330" s="64" t="n">
        <f aca="false">IF(AND($Q3330&gt;0,$O3330&gt;=AtRank),$Q3330,0)</f>
        <v>0</v>
      </c>
      <c r="S3330" s="64" t="n">
        <f aca="false">IF(AND($Q3330&gt;0,$O3330&gt;=AboveRank),$Q3330,0)</f>
        <v>0</v>
      </c>
      <c r="T3330" s="64" t="n">
        <f aca="false">IF($K3330="Less",$P3330,0)</f>
        <v>0</v>
      </c>
      <c r="U3330" s="64" t="n">
        <f aca="false">IF($K3330="Expected",$P3330,0)</f>
        <v>0</v>
      </c>
      <c r="V3330" s="64" t="n">
        <f aca="false">IF($K3330="Better",$P3330,0)</f>
        <v>0</v>
      </c>
      <c r="W3330" s="64" t="n">
        <f aca="false">IF($K3330="U – needs rule",$P3330,0)</f>
        <v>0</v>
      </c>
      <c r="X3330" s="64" t="n">
        <f aca="false">IF($K3330="No Start (attainment only)",$P3330,0)</f>
        <v>0</v>
      </c>
    </row>
    <row r="3331" customFormat="false" ht="15" hidden="false" customHeight="false" outlineLevel="0" collapsed="false">
      <c r="A3331" s="60"/>
      <c r="B3331" s="61" t="str">
        <f aca="false">IF($M3331=0,"",INDEX(Classes!$E$6:$E$420,$M3331))</f>
        <v/>
      </c>
      <c r="C3331" s="62" t="str">
        <f aca="false">IF($M3331=0,"",INDEX(Classes!$H$6:$H$420,$M3331))</f>
        <v/>
      </c>
      <c r="D3331" s="61" t="str">
        <f aca="false">IF($M3331=0,"",INDEX(Classes!$B$6:$B$420,$M3331))</f>
        <v/>
      </c>
      <c r="E3331" s="61" t="str">
        <f aca="false">IF($M3331=0,"",INDEX(Classes!$C$6:$C$420,$M3331))</f>
        <v/>
      </c>
      <c r="F3331" s="63"/>
      <c r="G3331" s="63"/>
      <c r="H3331" s="60"/>
      <c r="I3331" s="60"/>
      <c r="J3331" s="63"/>
      <c r="K3331" s="61" t="str">
        <f aca="false">IF($P3331=0,"",IF($F3331="Baseline","— Baseline",IF($O3331=0,"No result",IF($N3331=0,"No Start (attainment only)",IF(OR($N3331=1,$O3331=1),"U – needs rule",INDEX(MxBody,MATCH($I3331,MxCurr,0),MATCH($H3331,MxStart,0)))))))</f>
        <v/>
      </c>
      <c r="L3331" s="62" t="str">
        <f aca="false">IF(COUNTA($A3331,$F3331,$G3331,$H3331,$I3331,$J3331)=0,"",IF($M3331=0,"✖ كود الصف غير موجود",IF(ISNA(MATCH($F3331,Lists!$A$2:$A$5,0)),"✖ الفترة غير صحيحة",IF(ISNA(MATCH($G3331,Lists!$B$2:$B$7,0)),"✖ المجموعة غير صحيحة",IF(NOT(OR($H3331="",$N3331&gt;0)),"✖ Start غير صحيح",IF(NOT(OR($I3331="",$I3331="NR",$O3331&gt;0)),"✖ Current غير صحيح",IF(NOT(IF(ISNUMBER($J3331),AND($J3331&gt;=0,$J3331=INT($J3331)),FALSE())),"✖ العدد يجب أن يكون صحيحًا ≥ 0",IF(AND($F3331="Baseline",$H3331&lt;&gt;""),"⚠ Baseline: Start لا يدخل في التقدم",IF($K3331="No Start (attainment only)","ℹ تحصيل فقط (بدون Start)",IF($K3331="U – needs rule","ℹ حالة U تحتاج قاعدة معتمدة",IF($K3331="No result","ℹ بدون نتيجة (يُستبعد من التحصيل)","OK")))))))))))</f>
        <v/>
      </c>
      <c r="M3331" s="64" t="n">
        <f aca="false">IF($A3331="",0,IFERROR(MATCH($A3331,Classes!$A$6:$A$420,0),0))</f>
        <v>0</v>
      </c>
      <c r="N3331" s="64" t="n">
        <f aca="false">IF($H3331="",0,IFERROR(MATCH($H3331,GradeList,0),0))</f>
        <v>0</v>
      </c>
      <c r="O3331" s="64" t="n">
        <f aca="false">IF(OR($I3331="",$I3331="NR"),0,IFERROR(MATCH($I3331,GradeList,0),0))</f>
        <v>0</v>
      </c>
      <c r="P3331" s="64" t="n">
        <f aca="false">IF(AND($M3331&gt;0,ISNUMBER(MATCH($F3331,Lists!$A$2:$A$5,0)),ISNUMBER(MATCH($G3331,Lists!$B$2:$B$7,0)),OR($H3331="",$N3331&gt;0),OR($I3331="",$I3331="NR",$O3331&gt;0),IF(ISNUMBER($J3331),AND($J3331&gt;=0,$J3331=INT($J3331)),FALSE())),$J3331,0)</f>
        <v>0</v>
      </c>
      <c r="Q3331" s="64" t="n">
        <f aca="false">IF(AND($P3331&gt;0,$O3331&gt;0),$P3331,0)</f>
        <v>0</v>
      </c>
      <c r="R3331" s="64" t="n">
        <f aca="false">IF(AND($Q3331&gt;0,$O3331&gt;=AtRank),$Q3331,0)</f>
        <v>0</v>
      </c>
      <c r="S3331" s="64" t="n">
        <f aca="false">IF(AND($Q3331&gt;0,$O3331&gt;=AboveRank),$Q3331,0)</f>
        <v>0</v>
      </c>
      <c r="T3331" s="64" t="n">
        <f aca="false">IF($K3331="Less",$P3331,0)</f>
        <v>0</v>
      </c>
      <c r="U3331" s="64" t="n">
        <f aca="false">IF($K3331="Expected",$P3331,0)</f>
        <v>0</v>
      </c>
      <c r="V3331" s="64" t="n">
        <f aca="false">IF($K3331="Better",$P3331,0)</f>
        <v>0</v>
      </c>
      <c r="W3331" s="64" t="n">
        <f aca="false">IF($K3331="U – needs rule",$P3331,0)</f>
        <v>0</v>
      </c>
      <c r="X3331" s="64" t="n">
        <f aca="false">IF($K3331="No Start (attainment only)",$P3331,0)</f>
        <v>0</v>
      </c>
    </row>
    <row r="3332" customFormat="false" ht="15" hidden="false" customHeight="false" outlineLevel="0" collapsed="false">
      <c r="A3332" s="60"/>
      <c r="B3332" s="61" t="str">
        <f aca="false">IF($M3332=0,"",INDEX(Classes!$E$6:$E$420,$M3332))</f>
        <v/>
      </c>
      <c r="C3332" s="62" t="str">
        <f aca="false">IF($M3332=0,"",INDEX(Classes!$H$6:$H$420,$M3332))</f>
        <v/>
      </c>
      <c r="D3332" s="61" t="str">
        <f aca="false">IF($M3332=0,"",INDEX(Classes!$B$6:$B$420,$M3332))</f>
        <v/>
      </c>
      <c r="E3332" s="61" t="str">
        <f aca="false">IF($M3332=0,"",INDEX(Classes!$C$6:$C$420,$M3332))</f>
        <v/>
      </c>
      <c r="F3332" s="63"/>
      <c r="G3332" s="63"/>
      <c r="H3332" s="60"/>
      <c r="I3332" s="60"/>
      <c r="J3332" s="63"/>
      <c r="K3332" s="61" t="str">
        <f aca="false">IF($P3332=0,"",IF($F3332="Baseline","— Baseline",IF($O3332=0,"No result",IF($N3332=0,"No Start (attainment only)",IF(OR($N3332=1,$O3332=1),"U – needs rule",INDEX(MxBody,MATCH($I3332,MxCurr,0),MATCH($H3332,MxStart,0)))))))</f>
        <v/>
      </c>
      <c r="L3332" s="62" t="str">
        <f aca="false">IF(COUNTA($A3332,$F3332,$G3332,$H3332,$I3332,$J3332)=0,"",IF($M3332=0,"✖ كود الصف غير موجود",IF(ISNA(MATCH($F3332,Lists!$A$2:$A$5,0)),"✖ الفترة غير صحيحة",IF(ISNA(MATCH($G3332,Lists!$B$2:$B$7,0)),"✖ المجموعة غير صحيحة",IF(NOT(OR($H3332="",$N3332&gt;0)),"✖ Start غير صحيح",IF(NOT(OR($I3332="",$I3332="NR",$O3332&gt;0)),"✖ Current غير صحيح",IF(NOT(IF(ISNUMBER($J3332),AND($J3332&gt;=0,$J3332=INT($J3332)),FALSE())),"✖ العدد يجب أن يكون صحيحًا ≥ 0",IF(AND($F3332="Baseline",$H3332&lt;&gt;""),"⚠ Baseline: Start لا يدخل في التقدم",IF($K3332="No Start (attainment only)","ℹ تحصيل فقط (بدون Start)",IF($K3332="U – needs rule","ℹ حالة U تحتاج قاعدة معتمدة",IF($K3332="No result","ℹ بدون نتيجة (يُستبعد من التحصيل)","OK")))))))))))</f>
        <v/>
      </c>
      <c r="M3332" s="64" t="n">
        <f aca="false">IF($A3332="",0,IFERROR(MATCH($A3332,Classes!$A$6:$A$420,0),0))</f>
        <v>0</v>
      </c>
      <c r="N3332" s="64" t="n">
        <f aca="false">IF($H3332="",0,IFERROR(MATCH($H3332,GradeList,0),0))</f>
        <v>0</v>
      </c>
      <c r="O3332" s="64" t="n">
        <f aca="false">IF(OR($I3332="",$I3332="NR"),0,IFERROR(MATCH($I3332,GradeList,0),0))</f>
        <v>0</v>
      </c>
      <c r="P3332" s="64" t="n">
        <f aca="false">IF(AND($M3332&gt;0,ISNUMBER(MATCH($F3332,Lists!$A$2:$A$5,0)),ISNUMBER(MATCH($G3332,Lists!$B$2:$B$7,0)),OR($H3332="",$N3332&gt;0),OR($I3332="",$I3332="NR",$O3332&gt;0),IF(ISNUMBER($J3332),AND($J3332&gt;=0,$J3332=INT($J3332)),FALSE())),$J3332,0)</f>
        <v>0</v>
      </c>
      <c r="Q3332" s="64" t="n">
        <f aca="false">IF(AND($P3332&gt;0,$O3332&gt;0),$P3332,0)</f>
        <v>0</v>
      </c>
      <c r="R3332" s="64" t="n">
        <f aca="false">IF(AND($Q3332&gt;0,$O3332&gt;=AtRank),$Q3332,0)</f>
        <v>0</v>
      </c>
      <c r="S3332" s="64" t="n">
        <f aca="false">IF(AND($Q3332&gt;0,$O3332&gt;=AboveRank),$Q3332,0)</f>
        <v>0</v>
      </c>
      <c r="T3332" s="64" t="n">
        <f aca="false">IF($K3332="Less",$P3332,0)</f>
        <v>0</v>
      </c>
      <c r="U3332" s="64" t="n">
        <f aca="false">IF($K3332="Expected",$P3332,0)</f>
        <v>0</v>
      </c>
      <c r="V3332" s="64" t="n">
        <f aca="false">IF($K3332="Better",$P3332,0)</f>
        <v>0</v>
      </c>
      <c r="W3332" s="64" t="n">
        <f aca="false">IF($K3332="U – needs rule",$P3332,0)</f>
        <v>0</v>
      </c>
      <c r="X3332" s="64" t="n">
        <f aca="false">IF($K3332="No Start (attainment only)",$P3332,0)</f>
        <v>0</v>
      </c>
    </row>
    <row r="3333" customFormat="false" ht="15" hidden="false" customHeight="false" outlineLevel="0" collapsed="false">
      <c r="A3333" s="60"/>
      <c r="B3333" s="61" t="str">
        <f aca="false">IF($M3333=0,"",INDEX(Classes!$E$6:$E$420,$M3333))</f>
        <v/>
      </c>
      <c r="C3333" s="62" t="str">
        <f aca="false">IF($M3333=0,"",INDEX(Classes!$H$6:$H$420,$M3333))</f>
        <v/>
      </c>
      <c r="D3333" s="61" t="str">
        <f aca="false">IF($M3333=0,"",INDEX(Classes!$B$6:$B$420,$M3333))</f>
        <v/>
      </c>
      <c r="E3333" s="61" t="str">
        <f aca="false">IF($M3333=0,"",INDEX(Classes!$C$6:$C$420,$M3333))</f>
        <v/>
      </c>
      <c r="F3333" s="63"/>
      <c r="G3333" s="63"/>
      <c r="H3333" s="60"/>
      <c r="I3333" s="60"/>
      <c r="J3333" s="63"/>
      <c r="K3333" s="61" t="str">
        <f aca="false">IF($P3333=0,"",IF($F3333="Baseline","— Baseline",IF($O3333=0,"No result",IF($N3333=0,"No Start (attainment only)",IF(OR($N3333=1,$O3333=1),"U – needs rule",INDEX(MxBody,MATCH($I3333,MxCurr,0),MATCH($H3333,MxStart,0)))))))</f>
        <v/>
      </c>
      <c r="L3333" s="62" t="str">
        <f aca="false">IF(COUNTA($A3333,$F3333,$G3333,$H3333,$I3333,$J3333)=0,"",IF($M3333=0,"✖ كود الصف غير موجود",IF(ISNA(MATCH($F3333,Lists!$A$2:$A$5,0)),"✖ الفترة غير صحيحة",IF(ISNA(MATCH($G3333,Lists!$B$2:$B$7,0)),"✖ المجموعة غير صحيحة",IF(NOT(OR($H3333="",$N3333&gt;0)),"✖ Start غير صحيح",IF(NOT(OR($I3333="",$I3333="NR",$O3333&gt;0)),"✖ Current غير صحيح",IF(NOT(IF(ISNUMBER($J3333),AND($J3333&gt;=0,$J3333=INT($J3333)),FALSE())),"✖ العدد يجب أن يكون صحيحًا ≥ 0",IF(AND($F3333="Baseline",$H3333&lt;&gt;""),"⚠ Baseline: Start لا يدخل في التقدم",IF($K3333="No Start (attainment only)","ℹ تحصيل فقط (بدون Start)",IF($K3333="U – needs rule","ℹ حالة U تحتاج قاعدة معتمدة",IF($K3333="No result","ℹ بدون نتيجة (يُستبعد من التحصيل)","OK")))))))))))</f>
        <v/>
      </c>
      <c r="M3333" s="64" t="n">
        <f aca="false">IF($A3333="",0,IFERROR(MATCH($A3333,Classes!$A$6:$A$420,0),0))</f>
        <v>0</v>
      </c>
      <c r="N3333" s="64" t="n">
        <f aca="false">IF($H3333="",0,IFERROR(MATCH($H3333,GradeList,0),0))</f>
        <v>0</v>
      </c>
      <c r="O3333" s="64" t="n">
        <f aca="false">IF(OR($I3333="",$I3333="NR"),0,IFERROR(MATCH($I3333,GradeList,0),0))</f>
        <v>0</v>
      </c>
      <c r="P3333" s="64" t="n">
        <f aca="false">IF(AND($M3333&gt;0,ISNUMBER(MATCH($F3333,Lists!$A$2:$A$5,0)),ISNUMBER(MATCH($G3333,Lists!$B$2:$B$7,0)),OR($H3333="",$N3333&gt;0),OR($I3333="",$I3333="NR",$O3333&gt;0),IF(ISNUMBER($J3333),AND($J3333&gt;=0,$J3333=INT($J3333)),FALSE())),$J3333,0)</f>
        <v>0</v>
      </c>
      <c r="Q3333" s="64" t="n">
        <f aca="false">IF(AND($P3333&gt;0,$O3333&gt;0),$P3333,0)</f>
        <v>0</v>
      </c>
      <c r="R3333" s="64" t="n">
        <f aca="false">IF(AND($Q3333&gt;0,$O3333&gt;=AtRank),$Q3333,0)</f>
        <v>0</v>
      </c>
      <c r="S3333" s="64" t="n">
        <f aca="false">IF(AND($Q3333&gt;0,$O3333&gt;=AboveRank),$Q3333,0)</f>
        <v>0</v>
      </c>
      <c r="T3333" s="64" t="n">
        <f aca="false">IF($K3333="Less",$P3333,0)</f>
        <v>0</v>
      </c>
      <c r="U3333" s="64" t="n">
        <f aca="false">IF($K3333="Expected",$P3333,0)</f>
        <v>0</v>
      </c>
      <c r="V3333" s="64" t="n">
        <f aca="false">IF($K3333="Better",$P3333,0)</f>
        <v>0</v>
      </c>
      <c r="W3333" s="64" t="n">
        <f aca="false">IF($K3333="U – needs rule",$P3333,0)</f>
        <v>0</v>
      </c>
      <c r="X3333" s="64" t="n">
        <f aca="false">IF($K3333="No Start (attainment only)",$P3333,0)</f>
        <v>0</v>
      </c>
    </row>
    <row r="3334" customFormat="false" ht="15" hidden="false" customHeight="false" outlineLevel="0" collapsed="false">
      <c r="A3334" s="60"/>
      <c r="B3334" s="61" t="str">
        <f aca="false">IF($M3334=0,"",INDEX(Classes!$E$6:$E$420,$M3334))</f>
        <v/>
      </c>
      <c r="C3334" s="62" t="str">
        <f aca="false">IF($M3334=0,"",INDEX(Classes!$H$6:$H$420,$M3334))</f>
        <v/>
      </c>
      <c r="D3334" s="61" t="str">
        <f aca="false">IF($M3334=0,"",INDEX(Classes!$B$6:$B$420,$M3334))</f>
        <v/>
      </c>
      <c r="E3334" s="61" t="str">
        <f aca="false">IF($M3334=0,"",INDEX(Classes!$C$6:$C$420,$M3334))</f>
        <v/>
      </c>
      <c r="F3334" s="63"/>
      <c r="G3334" s="63"/>
      <c r="H3334" s="60"/>
      <c r="I3334" s="60"/>
      <c r="J3334" s="63"/>
      <c r="K3334" s="61" t="str">
        <f aca="false">IF($P3334=0,"",IF($F3334="Baseline","— Baseline",IF($O3334=0,"No result",IF($N3334=0,"No Start (attainment only)",IF(OR($N3334=1,$O3334=1),"U – needs rule",INDEX(MxBody,MATCH($I3334,MxCurr,0),MATCH($H3334,MxStart,0)))))))</f>
        <v/>
      </c>
      <c r="L3334" s="62" t="str">
        <f aca="false">IF(COUNTA($A3334,$F3334,$G3334,$H3334,$I3334,$J3334)=0,"",IF($M3334=0,"✖ كود الصف غير موجود",IF(ISNA(MATCH($F3334,Lists!$A$2:$A$5,0)),"✖ الفترة غير صحيحة",IF(ISNA(MATCH($G3334,Lists!$B$2:$B$7,0)),"✖ المجموعة غير صحيحة",IF(NOT(OR($H3334="",$N3334&gt;0)),"✖ Start غير صحيح",IF(NOT(OR($I3334="",$I3334="NR",$O3334&gt;0)),"✖ Current غير صحيح",IF(NOT(IF(ISNUMBER($J3334),AND($J3334&gt;=0,$J3334=INT($J3334)),FALSE())),"✖ العدد يجب أن يكون صحيحًا ≥ 0",IF(AND($F3334="Baseline",$H3334&lt;&gt;""),"⚠ Baseline: Start لا يدخل في التقدم",IF($K3334="No Start (attainment only)","ℹ تحصيل فقط (بدون Start)",IF($K3334="U – needs rule","ℹ حالة U تحتاج قاعدة معتمدة",IF($K3334="No result","ℹ بدون نتيجة (يُستبعد من التحصيل)","OK")))))))))))</f>
        <v/>
      </c>
      <c r="M3334" s="64" t="n">
        <f aca="false">IF($A3334="",0,IFERROR(MATCH($A3334,Classes!$A$6:$A$420,0),0))</f>
        <v>0</v>
      </c>
      <c r="N3334" s="64" t="n">
        <f aca="false">IF($H3334="",0,IFERROR(MATCH($H3334,GradeList,0),0))</f>
        <v>0</v>
      </c>
      <c r="O3334" s="64" t="n">
        <f aca="false">IF(OR($I3334="",$I3334="NR"),0,IFERROR(MATCH($I3334,GradeList,0),0))</f>
        <v>0</v>
      </c>
      <c r="P3334" s="64" t="n">
        <f aca="false">IF(AND($M3334&gt;0,ISNUMBER(MATCH($F3334,Lists!$A$2:$A$5,0)),ISNUMBER(MATCH($G3334,Lists!$B$2:$B$7,0)),OR($H3334="",$N3334&gt;0),OR($I3334="",$I3334="NR",$O3334&gt;0),IF(ISNUMBER($J3334),AND($J3334&gt;=0,$J3334=INT($J3334)),FALSE())),$J3334,0)</f>
        <v>0</v>
      </c>
      <c r="Q3334" s="64" t="n">
        <f aca="false">IF(AND($P3334&gt;0,$O3334&gt;0),$P3334,0)</f>
        <v>0</v>
      </c>
      <c r="R3334" s="64" t="n">
        <f aca="false">IF(AND($Q3334&gt;0,$O3334&gt;=AtRank),$Q3334,0)</f>
        <v>0</v>
      </c>
      <c r="S3334" s="64" t="n">
        <f aca="false">IF(AND($Q3334&gt;0,$O3334&gt;=AboveRank),$Q3334,0)</f>
        <v>0</v>
      </c>
      <c r="T3334" s="64" t="n">
        <f aca="false">IF($K3334="Less",$P3334,0)</f>
        <v>0</v>
      </c>
      <c r="U3334" s="64" t="n">
        <f aca="false">IF($K3334="Expected",$P3334,0)</f>
        <v>0</v>
      </c>
      <c r="V3334" s="64" t="n">
        <f aca="false">IF($K3334="Better",$P3334,0)</f>
        <v>0</v>
      </c>
      <c r="W3334" s="64" t="n">
        <f aca="false">IF($K3334="U – needs rule",$P3334,0)</f>
        <v>0</v>
      </c>
      <c r="X3334" s="64" t="n">
        <f aca="false">IF($K3334="No Start (attainment only)",$P3334,0)</f>
        <v>0</v>
      </c>
    </row>
    <row r="3335" customFormat="false" ht="15" hidden="false" customHeight="false" outlineLevel="0" collapsed="false">
      <c r="A3335" s="60"/>
      <c r="B3335" s="61" t="str">
        <f aca="false">IF($M3335=0,"",INDEX(Classes!$E$6:$E$420,$M3335))</f>
        <v/>
      </c>
      <c r="C3335" s="62" t="str">
        <f aca="false">IF($M3335=0,"",INDEX(Classes!$H$6:$H$420,$M3335))</f>
        <v/>
      </c>
      <c r="D3335" s="61" t="str">
        <f aca="false">IF($M3335=0,"",INDEX(Classes!$B$6:$B$420,$M3335))</f>
        <v/>
      </c>
      <c r="E3335" s="61" t="str">
        <f aca="false">IF($M3335=0,"",INDEX(Classes!$C$6:$C$420,$M3335))</f>
        <v/>
      </c>
      <c r="F3335" s="63"/>
      <c r="G3335" s="63"/>
      <c r="H3335" s="60"/>
      <c r="I3335" s="60"/>
      <c r="J3335" s="63"/>
      <c r="K3335" s="61" t="str">
        <f aca="false">IF($P3335=0,"",IF($F3335="Baseline","— Baseline",IF($O3335=0,"No result",IF($N3335=0,"No Start (attainment only)",IF(OR($N3335=1,$O3335=1),"U – needs rule",INDEX(MxBody,MATCH($I3335,MxCurr,0),MATCH($H3335,MxStart,0)))))))</f>
        <v/>
      </c>
      <c r="L3335" s="62" t="str">
        <f aca="false">IF(COUNTA($A3335,$F3335,$G3335,$H3335,$I3335,$J3335)=0,"",IF($M3335=0,"✖ كود الصف غير موجود",IF(ISNA(MATCH($F3335,Lists!$A$2:$A$5,0)),"✖ الفترة غير صحيحة",IF(ISNA(MATCH($G3335,Lists!$B$2:$B$7,0)),"✖ المجموعة غير صحيحة",IF(NOT(OR($H3335="",$N3335&gt;0)),"✖ Start غير صحيح",IF(NOT(OR($I3335="",$I3335="NR",$O3335&gt;0)),"✖ Current غير صحيح",IF(NOT(IF(ISNUMBER($J3335),AND($J3335&gt;=0,$J3335=INT($J3335)),FALSE())),"✖ العدد يجب أن يكون صحيحًا ≥ 0",IF(AND($F3335="Baseline",$H3335&lt;&gt;""),"⚠ Baseline: Start لا يدخل في التقدم",IF($K3335="No Start (attainment only)","ℹ تحصيل فقط (بدون Start)",IF($K3335="U – needs rule","ℹ حالة U تحتاج قاعدة معتمدة",IF($K3335="No result","ℹ بدون نتيجة (يُستبعد من التحصيل)","OK")))))))))))</f>
        <v/>
      </c>
      <c r="M3335" s="64" t="n">
        <f aca="false">IF($A3335="",0,IFERROR(MATCH($A3335,Classes!$A$6:$A$420,0),0))</f>
        <v>0</v>
      </c>
      <c r="N3335" s="64" t="n">
        <f aca="false">IF($H3335="",0,IFERROR(MATCH($H3335,GradeList,0),0))</f>
        <v>0</v>
      </c>
      <c r="O3335" s="64" t="n">
        <f aca="false">IF(OR($I3335="",$I3335="NR"),0,IFERROR(MATCH($I3335,GradeList,0),0))</f>
        <v>0</v>
      </c>
      <c r="P3335" s="64" t="n">
        <f aca="false">IF(AND($M3335&gt;0,ISNUMBER(MATCH($F3335,Lists!$A$2:$A$5,0)),ISNUMBER(MATCH($G3335,Lists!$B$2:$B$7,0)),OR($H3335="",$N3335&gt;0),OR($I3335="",$I3335="NR",$O3335&gt;0),IF(ISNUMBER($J3335),AND($J3335&gt;=0,$J3335=INT($J3335)),FALSE())),$J3335,0)</f>
        <v>0</v>
      </c>
      <c r="Q3335" s="64" t="n">
        <f aca="false">IF(AND($P3335&gt;0,$O3335&gt;0),$P3335,0)</f>
        <v>0</v>
      </c>
      <c r="R3335" s="64" t="n">
        <f aca="false">IF(AND($Q3335&gt;0,$O3335&gt;=AtRank),$Q3335,0)</f>
        <v>0</v>
      </c>
      <c r="S3335" s="64" t="n">
        <f aca="false">IF(AND($Q3335&gt;0,$O3335&gt;=AboveRank),$Q3335,0)</f>
        <v>0</v>
      </c>
      <c r="T3335" s="64" t="n">
        <f aca="false">IF($K3335="Less",$P3335,0)</f>
        <v>0</v>
      </c>
      <c r="U3335" s="64" t="n">
        <f aca="false">IF($K3335="Expected",$P3335,0)</f>
        <v>0</v>
      </c>
      <c r="V3335" s="64" t="n">
        <f aca="false">IF($K3335="Better",$P3335,0)</f>
        <v>0</v>
      </c>
      <c r="W3335" s="64" t="n">
        <f aca="false">IF($K3335="U – needs rule",$P3335,0)</f>
        <v>0</v>
      </c>
      <c r="X3335" s="64" t="n">
        <f aca="false">IF($K3335="No Start (attainment only)",$P3335,0)</f>
        <v>0</v>
      </c>
    </row>
    <row r="3336" customFormat="false" ht="15" hidden="false" customHeight="false" outlineLevel="0" collapsed="false">
      <c r="A3336" s="60"/>
      <c r="B3336" s="61" t="str">
        <f aca="false">IF($M3336=0,"",INDEX(Classes!$E$6:$E$420,$M3336))</f>
        <v/>
      </c>
      <c r="C3336" s="62" t="str">
        <f aca="false">IF($M3336=0,"",INDEX(Classes!$H$6:$H$420,$M3336))</f>
        <v/>
      </c>
      <c r="D3336" s="61" t="str">
        <f aca="false">IF($M3336=0,"",INDEX(Classes!$B$6:$B$420,$M3336))</f>
        <v/>
      </c>
      <c r="E3336" s="61" t="str">
        <f aca="false">IF($M3336=0,"",INDEX(Classes!$C$6:$C$420,$M3336))</f>
        <v/>
      </c>
      <c r="F3336" s="63"/>
      <c r="G3336" s="63"/>
      <c r="H3336" s="60"/>
      <c r="I3336" s="60"/>
      <c r="J3336" s="63"/>
      <c r="K3336" s="61" t="str">
        <f aca="false">IF($P3336=0,"",IF($F3336="Baseline","— Baseline",IF($O3336=0,"No result",IF($N3336=0,"No Start (attainment only)",IF(OR($N3336=1,$O3336=1),"U – needs rule",INDEX(MxBody,MATCH($I3336,MxCurr,0),MATCH($H3336,MxStart,0)))))))</f>
        <v/>
      </c>
      <c r="L3336" s="62" t="str">
        <f aca="false">IF(COUNTA($A3336,$F3336,$G3336,$H3336,$I3336,$J3336)=0,"",IF($M3336=0,"✖ كود الصف غير موجود",IF(ISNA(MATCH($F3336,Lists!$A$2:$A$5,0)),"✖ الفترة غير صحيحة",IF(ISNA(MATCH($G3336,Lists!$B$2:$B$7,0)),"✖ المجموعة غير صحيحة",IF(NOT(OR($H3336="",$N3336&gt;0)),"✖ Start غير صحيح",IF(NOT(OR($I3336="",$I3336="NR",$O3336&gt;0)),"✖ Current غير صحيح",IF(NOT(IF(ISNUMBER($J3336),AND($J3336&gt;=0,$J3336=INT($J3336)),FALSE())),"✖ العدد يجب أن يكون صحيحًا ≥ 0",IF(AND($F3336="Baseline",$H3336&lt;&gt;""),"⚠ Baseline: Start لا يدخل في التقدم",IF($K3336="No Start (attainment only)","ℹ تحصيل فقط (بدون Start)",IF($K3336="U – needs rule","ℹ حالة U تحتاج قاعدة معتمدة",IF($K3336="No result","ℹ بدون نتيجة (يُستبعد من التحصيل)","OK")))))))))))</f>
        <v/>
      </c>
      <c r="M3336" s="64" t="n">
        <f aca="false">IF($A3336="",0,IFERROR(MATCH($A3336,Classes!$A$6:$A$420,0),0))</f>
        <v>0</v>
      </c>
      <c r="N3336" s="64" t="n">
        <f aca="false">IF($H3336="",0,IFERROR(MATCH($H3336,GradeList,0),0))</f>
        <v>0</v>
      </c>
      <c r="O3336" s="64" t="n">
        <f aca="false">IF(OR($I3336="",$I3336="NR"),0,IFERROR(MATCH($I3336,GradeList,0),0))</f>
        <v>0</v>
      </c>
      <c r="P3336" s="64" t="n">
        <f aca="false">IF(AND($M3336&gt;0,ISNUMBER(MATCH($F3336,Lists!$A$2:$A$5,0)),ISNUMBER(MATCH($G3336,Lists!$B$2:$B$7,0)),OR($H3336="",$N3336&gt;0),OR($I3336="",$I3336="NR",$O3336&gt;0),IF(ISNUMBER($J3336),AND($J3336&gt;=0,$J3336=INT($J3336)),FALSE())),$J3336,0)</f>
        <v>0</v>
      </c>
      <c r="Q3336" s="64" t="n">
        <f aca="false">IF(AND($P3336&gt;0,$O3336&gt;0),$P3336,0)</f>
        <v>0</v>
      </c>
      <c r="R3336" s="64" t="n">
        <f aca="false">IF(AND($Q3336&gt;0,$O3336&gt;=AtRank),$Q3336,0)</f>
        <v>0</v>
      </c>
      <c r="S3336" s="64" t="n">
        <f aca="false">IF(AND($Q3336&gt;0,$O3336&gt;=AboveRank),$Q3336,0)</f>
        <v>0</v>
      </c>
      <c r="T3336" s="64" t="n">
        <f aca="false">IF($K3336="Less",$P3336,0)</f>
        <v>0</v>
      </c>
      <c r="U3336" s="64" t="n">
        <f aca="false">IF($K3336="Expected",$P3336,0)</f>
        <v>0</v>
      </c>
      <c r="V3336" s="64" t="n">
        <f aca="false">IF($K3336="Better",$P3336,0)</f>
        <v>0</v>
      </c>
      <c r="W3336" s="64" t="n">
        <f aca="false">IF($K3336="U – needs rule",$P3336,0)</f>
        <v>0</v>
      </c>
      <c r="X3336" s="64" t="n">
        <f aca="false">IF($K3336="No Start (attainment only)",$P3336,0)</f>
        <v>0</v>
      </c>
    </row>
    <row r="3337" customFormat="false" ht="15" hidden="false" customHeight="false" outlineLevel="0" collapsed="false">
      <c r="A3337" s="60"/>
      <c r="B3337" s="61" t="str">
        <f aca="false">IF($M3337=0,"",INDEX(Classes!$E$6:$E$420,$M3337))</f>
        <v/>
      </c>
      <c r="C3337" s="62" t="str">
        <f aca="false">IF($M3337=0,"",INDEX(Classes!$H$6:$H$420,$M3337))</f>
        <v/>
      </c>
      <c r="D3337" s="61" t="str">
        <f aca="false">IF($M3337=0,"",INDEX(Classes!$B$6:$B$420,$M3337))</f>
        <v/>
      </c>
      <c r="E3337" s="61" t="str">
        <f aca="false">IF($M3337=0,"",INDEX(Classes!$C$6:$C$420,$M3337))</f>
        <v/>
      </c>
      <c r="F3337" s="63"/>
      <c r="G3337" s="63"/>
      <c r="H3337" s="60"/>
      <c r="I3337" s="60"/>
      <c r="J3337" s="63"/>
      <c r="K3337" s="61" t="str">
        <f aca="false">IF($P3337=0,"",IF($F3337="Baseline","— Baseline",IF($O3337=0,"No result",IF($N3337=0,"No Start (attainment only)",IF(OR($N3337=1,$O3337=1),"U – needs rule",INDEX(MxBody,MATCH($I3337,MxCurr,0),MATCH($H3337,MxStart,0)))))))</f>
        <v/>
      </c>
      <c r="L3337" s="62" t="str">
        <f aca="false">IF(COUNTA($A3337,$F3337,$G3337,$H3337,$I3337,$J3337)=0,"",IF($M3337=0,"✖ كود الصف غير موجود",IF(ISNA(MATCH($F3337,Lists!$A$2:$A$5,0)),"✖ الفترة غير صحيحة",IF(ISNA(MATCH($G3337,Lists!$B$2:$B$7,0)),"✖ المجموعة غير صحيحة",IF(NOT(OR($H3337="",$N3337&gt;0)),"✖ Start غير صحيح",IF(NOT(OR($I3337="",$I3337="NR",$O3337&gt;0)),"✖ Current غير صحيح",IF(NOT(IF(ISNUMBER($J3337),AND($J3337&gt;=0,$J3337=INT($J3337)),FALSE())),"✖ العدد يجب أن يكون صحيحًا ≥ 0",IF(AND($F3337="Baseline",$H3337&lt;&gt;""),"⚠ Baseline: Start لا يدخل في التقدم",IF($K3337="No Start (attainment only)","ℹ تحصيل فقط (بدون Start)",IF($K3337="U – needs rule","ℹ حالة U تحتاج قاعدة معتمدة",IF($K3337="No result","ℹ بدون نتيجة (يُستبعد من التحصيل)","OK")))))))))))</f>
        <v/>
      </c>
      <c r="M3337" s="64" t="n">
        <f aca="false">IF($A3337="",0,IFERROR(MATCH($A3337,Classes!$A$6:$A$420,0),0))</f>
        <v>0</v>
      </c>
      <c r="N3337" s="64" t="n">
        <f aca="false">IF($H3337="",0,IFERROR(MATCH($H3337,GradeList,0),0))</f>
        <v>0</v>
      </c>
      <c r="O3337" s="64" t="n">
        <f aca="false">IF(OR($I3337="",$I3337="NR"),0,IFERROR(MATCH($I3337,GradeList,0),0))</f>
        <v>0</v>
      </c>
      <c r="P3337" s="64" t="n">
        <f aca="false">IF(AND($M3337&gt;0,ISNUMBER(MATCH($F3337,Lists!$A$2:$A$5,0)),ISNUMBER(MATCH($G3337,Lists!$B$2:$B$7,0)),OR($H3337="",$N3337&gt;0),OR($I3337="",$I3337="NR",$O3337&gt;0),IF(ISNUMBER($J3337),AND($J3337&gt;=0,$J3337=INT($J3337)),FALSE())),$J3337,0)</f>
        <v>0</v>
      </c>
      <c r="Q3337" s="64" t="n">
        <f aca="false">IF(AND($P3337&gt;0,$O3337&gt;0),$P3337,0)</f>
        <v>0</v>
      </c>
      <c r="R3337" s="64" t="n">
        <f aca="false">IF(AND($Q3337&gt;0,$O3337&gt;=AtRank),$Q3337,0)</f>
        <v>0</v>
      </c>
      <c r="S3337" s="64" t="n">
        <f aca="false">IF(AND($Q3337&gt;0,$O3337&gt;=AboveRank),$Q3337,0)</f>
        <v>0</v>
      </c>
      <c r="T3337" s="64" t="n">
        <f aca="false">IF($K3337="Less",$P3337,0)</f>
        <v>0</v>
      </c>
      <c r="U3337" s="64" t="n">
        <f aca="false">IF($K3337="Expected",$P3337,0)</f>
        <v>0</v>
      </c>
      <c r="V3337" s="64" t="n">
        <f aca="false">IF($K3337="Better",$P3337,0)</f>
        <v>0</v>
      </c>
      <c r="W3337" s="64" t="n">
        <f aca="false">IF($K3337="U – needs rule",$P3337,0)</f>
        <v>0</v>
      </c>
      <c r="X3337" s="64" t="n">
        <f aca="false">IF($K3337="No Start (attainment only)",$P3337,0)</f>
        <v>0</v>
      </c>
    </row>
    <row r="3338" customFormat="false" ht="15" hidden="false" customHeight="false" outlineLevel="0" collapsed="false">
      <c r="A3338" s="60"/>
      <c r="B3338" s="61" t="str">
        <f aca="false">IF($M3338=0,"",INDEX(Classes!$E$6:$E$420,$M3338))</f>
        <v/>
      </c>
      <c r="C3338" s="62" t="str">
        <f aca="false">IF($M3338=0,"",INDEX(Classes!$H$6:$H$420,$M3338))</f>
        <v/>
      </c>
      <c r="D3338" s="61" t="str">
        <f aca="false">IF($M3338=0,"",INDEX(Classes!$B$6:$B$420,$M3338))</f>
        <v/>
      </c>
      <c r="E3338" s="61" t="str">
        <f aca="false">IF($M3338=0,"",INDEX(Classes!$C$6:$C$420,$M3338))</f>
        <v/>
      </c>
      <c r="F3338" s="63"/>
      <c r="G3338" s="63"/>
      <c r="H3338" s="60"/>
      <c r="I3338" s="60"/>
      <c r="J3338" s="63"/>
      <c r="K3338" s="61" t="str">
        <f aca="false">IF($P3338=0,"",IF($F3338="Baseline","— Baseline",IF($O3338=0,"No result",IF($N3338=0,"No Start (attainment only)",IF(OR($N3338=1,$O3338=1),"U – needs rule",INDEX(MxBody,MATCH($I3338,MxCurr,0),MATCH($H3338,MxStart,0)))))))</f>
        <v/>
      </c>
      <c r="L3338" s="62" t="str">
        <f aca="false">IF(COUNTA($A3338,$F3338,$G3338,$H3338,$I3338,$J3338)=0,"",IF($M3338=0,"✖ كود الصف غير موجود",IF(ISNA(MATCH($F3338,Lists!$A$2:$A$5,0)),"✖ الفترة غير صحيحة",IF(ISNA(MATCH($G3338,Lists!$B$2:$B$7,0)),"✖ المجموعة غير صحيحة",IF(NOT(OR($H3338="",$N3338&gt;0)),"✖ Start غير صحيح",IF(NOT(OR($I3338="",$I3338="NR",$O3338&gt;0)),"✖ Current غير صحيح",IF(NOT(IF(ISNUMBER($J3338),AND($J3338&gt;=0,$J3338=INT($J3338)),FALSE())),"✖ العدد يجب أن يكون صحيحًا ≥ 0",IF(AND($F3338="Baseline",$H3338&lt;&gt;""),"⚠ Baseline: Start لا يدخل في التقدم",IF($K3338="No Start (attainment only)","ℹ تحصيل فقط (بدون Start)",IF($K3338="U – needs rule","ℹ حالة U تحتاج قاعدة معتمدة",IF($K3338="No result","ℹ بدون نتيجة (يُستبعد من التحصيل)","OK")))))))))))</f>
        <v/>
      </c>
      <c r="M3338" s="64" t="n">
        <f aca="false">IF($A3338="",0,IFERROR(MATCH($A3338,Classes!$A$6:$A$420,0),0))</f>
        <v>0</v>
      </c>
      <c r="N3338" s="64" t="n">
        <f aca="false">IF($H3338="",0,IFERROR(MATCH($H3338,GradeList,0),0))</f>
        <v>0</v>
      </c>
      <c r="O3338" s="64" t="n">
        <f aca="false">IF(OR($I3338="",$I3338="NR"),0,IFERROR(MATCH($I3338,GradeList,0),0))</f>
        <v>0</v>
      </c>
      <c r="P3338" s="64" t="n">
        <f aca="false">IF(AND($M3338&gt;0,ISNUMBER(MATCH($F3338,Lists!$A$2:$A$5,0)),ISNUMBER(MATCH($G3338,Lists!$B$2:$B$7,0)),OR($H3338="",$N3338&gt;0),OR($I3338="",$I3338="NR",$O3338&gt;0),IF(ISNUMBER($J3338),AND($J3338&gt;=0,$J3338=INT($J3338)),FALSE())),$J3338,0)</f>
        <v>0</v>
      </c>
      <c r="Q3338" s="64" t="n">
        <f aca="false">IF(AND($P3338&gt;0,$O3338&gt;0),$P3338,0)</f>
        <v>0</v>
      </c>
      <c r="R3338" s="64" t="n">
        <f aca="false">IF(AND($Q3338&gt;0,$O3338&gt;=AtRank),$Q3338,0)</f>
        <v>0</v>
      </c>
      <c r="S3338" s="64" t="n">
        <f aca="false">IF(AND($Q3338&gt;0,$O3338&gt;=AboveRank),$Q3338,0)</f>
        <v>0</v>
      </c>
      <c r="T3338" s="64" t="n">
        <f aca="false">IF($K3338="Less",$P3338,0)</f>
        <v>0</v>
      </c>
      <c r="U3338" s="64" t="n">
        <f aca="false">IF($K3338="Expected",$P3338,0)</f>
        <v>0</v>
      </c>
      <c r="V3338" s="64" t="n">
        <f aca="false">IF($K3338="Better",$P3338,0)</f>
        <v>0</v>
      </c>
      <c r="W3338" s="64" t="n">
        <f aca="false">IF($K3338="U – needs rule",$P3338,0)</f>
        <v>0</v>
      </c>
      <c r="X3338" s="64" t="n">
        <f aca="false">IF($K3338="No Start (attainment only)",$P3338,0)</f>
        <v>0</v>
      </c>
    </row>
    <row r="3339" customFormat="false" ht="15" hidden="false" customHeight="false" outlineLevel="0" collapsed="false">
      <c r="A3339" s="60"/>
      <c r="B3339" s="61" t="str">
        <f aca="false">IF($M3339=0,"",INDEX(Classes!$E$6:$E$420,$M3339))</f>
        <v/>
      </c>
      <c r="C3339" s="62" t="str">
        <f aca="false">IF($M3339=0,"",INDEX(Classes!$H$6:$H$420,$M3339))</f>
        <v/>
      </c>
      <c r="D3339" s="61" t="str">
        <f aca="false">IF($M3339=0,"",INDEX(Classes!$B$6:$B$420,$M3339))</f>
        <v/>
      </c>
      <c r="E3339" s="61" t="str">
        <f aca="false">IF($M3339=0,"",INDEX(Classes!$C$6:$C$420,$M3339))</f>
        <v/>
      </c>
      <c r="F3339" s="63"/>
      <c r="G3339" s="63"/>
      <c r="H3339" s="60"/>
      <c r="I3339" s="60"/>
      <c r="J3339" s="63"/>
      <c r="K3339" s="61" t="str">
        <f aca="false">IF($P3339=0,"",IF($F3339="Baseline","— Baseline",IF($O3339=0,"No result",IF($N3339=0,"No Start (attainment only)",IF(OR($N3339=1,$O3339=1),"U – needs rule",INDEX(MxBody,MATCH($I3339,MxCurr,0),MATCH($H3339,MxStart,0)))))))</f>
        <v/>
      </c>
      <c r="L3339" s="62" t="str">
        <f aca="false">IF(COUNTA($A3339,$F3339,$G3339,$H3339,$I3339,$J3339)=0,"",IF($M3339=0,"✖ كود الصف غير موجود",IF(ISNA(MATCH($F3339,Lists!$A$2:$A$5,0)),"✖ الفترة غير صحيحة",IF(ISNA(MATCH($G3339,Lists!$B$2:$B$7,0)),"✖ المجموعة غير صحيحة",IF(NOT(OR($H3339="",$N3339&gt;0)),"✖ Start غير صحيح",IF(NOT(OR($I3339="",$I3339="NR",$O3339&gt;0)),"✖ Current غير صحيح",IF(NOT(IF(ISNUMBER($J3339),AND($J3339&gt;=0,$J3339=INT($J3339)),FALSE())),"✖ العدد يجب أن يكون صحيحًا ≥ 0",IF(AND($F3339="Baseline",$H3339&lt;&gt;""),"⚠ Baseline: Start لا يدخل في التقدم",IF($K3339="No Start (attainment only)","ℹ تحصيل فقط (بدون Start)",IF($K3339="U – needs rule","ℹ حالة U تحتاج قاعدة معتمدة",IF($K3339="No result","ℹ بدون نتيجة (يُستبعد من التحصيل)","OK")))))))))))</f>
        <v/>
      </c>
      <c r="M3339" s="64" t="n">
        <f aca="false">IF($A3339="",0,IFERROR(MATCH($A3339,Classes!$A$6:$A$420,0),0))</f>
        <v>0</v>
      </c>
      <c r="N3339" s="64" t="n">
        <f aca="false">IF($H3339="",0,IFERROR(MATCH($H3339,GradeList,0),0))</f>
        <v>0</v>
      </c>
      <c r="O3339" s="64" t="n">
        <f aca="false">IF(OR($I3339="",$I3339="NR"),0,IFERROR(MATCH($I3339,GradeList,0),0))</f>
        <v>0</v>
      </c>
      <c r="P3339" s="64" t="n">
        <f aca="false">IF(AND($M3339&gt;0,ISNUMBER(MATCH($F3339,Lists!$A$2:$A$5,0)),ISNUMBER(MATCH($G3339,Lists!$B$2:$B$7,0)),OR($H3339="",$N3339&gt;0),OR($I3339="",$I3339="NR",$O3339&gt;0),IF(ISNUMBER($J3339),AND($J3339&gt;=0,$J3339=INT($J3339)),FALSE())),$J3339,0)</f>
        <v>0</v>
      </c>
      <c r="Q3339" s="64" t="n">
        <f aca="false">IF(AND($P3339&gt;0,$O3339&gt;0),$P3339,0)</f>
        <v>0</v>
      </c>
      <c r="R3339" s="64" t="n">
        <f aca="false">IF(AND($Q3339&gt;0,$O3339&gt;=AtRank),$Q3339,0)</f>
        <v>0</v>
      </c>
      <c r="S3339" s="64" t="n">
        <f aca="false">IF(AND($Q3339&gt;0,$O3339&gt;=AboveRank),$Q3339,0)</f>
        <v>0</v>
      </c>
      <c r="T3339" s="64" t="n">
        <f aca="false">IF($K3339="Less",$P3339,0)</f>
        <v>0</v>
      </c>
      <c r="U3339" s="64" t="n">
        <f aca="false">IF($K3339="Expected",$P3339,0)</f>
        <v>0</v>
      </c>
      <c r="V3339" s="64" t="n">
        <f aca="false">IF($K3339="Better",$P3339,0)</f>
        <v>0</v>
      </c>
      <c r="W3339" s="64" t="n">
        <f aca="false">IF($K3339="U – needs rule",$P3339,0)</f>
        <v>0</v>
      </c>
      <c r="X3339" s="64" t="n">
        <f aca="false">IF($K3339="No Start (attainment only)",$P3339,0)</f>
        <v>0</v>
      </c>
    </row>
    <row r="3340" customFormat="false" ht="15" hidden="false" customHeight="false" outlineLevel="0" collapsed="false">
      <c r="A3340" s="60"/>
      <c r="B3340" s="61" t="str">
        <f aca="false">IF($M3340=0,"",INDEX(Classes!$E$6:$E$420,$M3340))</f>
        <v/>
      </c>
      <c r="C3340" s="62" t="str">
        <f aca="false">IF($M3340=0,"",INDEX(Classes!$H$6:$H$420,$M3340))</f>
        <v/>
      </c>
      <c r="D3340" s="61" t="str">
        <f aca="false">IF($M3340=0,"",INDEX(Classes!$B$6:$B$420,$M3340))</f>
        <v/>
      </c>
      <c r="E3340" s="61" t="str">
        <f aca="false">IF($M3340=0,"",INDEX(Classes!$C$6:$C$420,$M3340))</f>
        <v/>
      </c>
      <c r="F3340" s="63"/>
      <c r="G3340" s="63"/>
      <c r="H3340" s="60"/>
      <c r="I3340" s="60"/>
      <c r="J3340" s="63"/>
      <c r="K3340" s="61" t="str">
        <f aca="false">IF($P3340=0,"",IF($F3340="Baseline","— Baseline",IF($O3340=0,"No result",IF($N3340=0,"No Start (attainment only)",IF(OR($N3340=1,$O3340=1),"U – needs rule",INDEX(MxBody,MATCH($I3340,MxCurr,0),MATCH($H3340,MxStart,0)))))))</f>
        <v/>
      </c>
      <c r="L3340" s="62" t="str">
        <f aca="false">IF(COUNTA($A3340,$F3340,$G3340,$H3340,$I3340,$J3340)=0,"",IF($M3340=0,"✖ كود الصف غير موجود",IF(ISNA(MATCH($F3340,Lists!$A$2:$A$5,0)),"✖ الفترة غير صحيحة",IF(ISNA(MATCH($G3340,Lists!$B$2:$B$7,0)),"✖ المجموعة غير صحيحة",IF(NOT(OR($H3340="",$N3340&gt;0)),"✖ Start غير صحيح",IF(NOT(OR($I3340="",$I3340="NR",$O3340&gt;0)),"✖ Current غير صحيح",IF(NOT(IF(ISNUMBER($J3340),AND($J3340&gt;=0,$J3340=INT($J3340)),FALSE())),"✖ العدد يجب أن يكون صحيحًا ≥ 0",IF(AND($F3340="Baseline",$H3340&lt;&gt;""),"⚠ Baseline: Start لا يدخل في التقدم",IF($K3340="No Start (attainment only)","ℹ تحصيل فقط (بدون Start)",IF($K3340="U – needs rule","ℹ حالة U تحتاج قاعدة معتمدة",IF($K3340="No result","ℹ بدون نتيجة (يُستبعد من التحصيل)","OK")))))))))))</f>
        <v/>
      </c>
      <c r="M3340" s="64" t="n">
        <f aca="false">IF($A3340="",0,IFERROR(MATCH($A3340,Classes!$A$6:$A$420,0),0))</f>
        <v>0</v>
      </c>
      <c r="N3340" s="64" t="n">
        <f aca="false">IF($H3340="",0,IFERROR(MATCH($H3340,GradeList,0),0))</f>
        <v>0</v>
      </c>
      <c r="O3340" s="64" t="n">
        <f aca="false">IF(OR($I3340="",$I3340="NR"),0,IFERROR(MATCH($I3340,GradeList,0),0))</f>
        <v>0</v>
      </c>
      <c r="P3340" s="64" t="n">
        <f aca="false">IF(AND($M3340&gt;0,ISNUMBER(MATCH($F3340,Lists!$A$2:$A$5,0)),ISNUMBER(MATCH($G3340,Lists!$B$2:$B$7,0)),OR($H3340="",$N3340&gt;0),OR($I3340="",$I3340="NR",$O3340&gt;0),IF(ISNUMBER($J3340),AND($J3340&gt;=0,$J3340=INT($J3340)),FALSE())),$J3340,0)</f>
        <v>0</v>
      </c>
      <c r="Q3340" s="64" t="n">
        <f aca="false">IF(AND($P3340&gt;0,$O3340&gt;0),$P3340,0)</f>
        <v>0</v>
      </c>
      <c r="R3340" s="64" t="n">
        <f aca="false">IF(AND($Q3340&gt;0,$O3340&gt;=AtRank),$Q3340,0)</f>
        <v>0</v>
      </c>
      <c r="S3340" s="64" t="n">
        <f aca="false">IF(AND($Q3340&gt;0,$O3340&gt;=AboveRank),$Q3340,0)</f>
        <v>0</v>
      </c>
      <c r="T3340" s="64" t="n">
        <f aca="false">IF($K3340="Less",$P3340,0)</f>
        <v>0</v>
      </c>
      <c r="U3340" s="64" t="n">
        <f aca="false">IF($K3340="Expected",$P3340,0)</f>
        <v>0</v>
      </c>
      <c r="V3340" s="64" t="n">
        <f aca="false">IF($K3340="Better",$P3340,0)</f>
        <v>0</v>
      </c>
      <c r="W3340" s="64" t="n">
        <f aca="false">IF($K3340="U – needs rule",$P3340,0)</f>
        <v>0</v>
      </c>
      <c r="X3340" s="64" t="n">
        <f aca="false">IF($K3340="No Start (attainment only)",$P3340,0)</f>
        <v>0</v>
      </c>
    </row>
    <row r="3341" customFormat="false" ht="15" hidden="false" customHeight="false" outlineLevel="0" collapsed="false">
      <c r="A3341" s="60"/>
      <c r="B3341" s="61" t="str">
        <f aca="false">IF($M3341=0,"",INDEX(Classes!$E$6:$E$420,$M3341))</f>
        <v/>
      </c>
      <c r="C3341" s="62" t="str">
        <f aca="false">IF($M3341=0,"",INDEX(Classes!$H$6:$H$420,$M3341))</f>
        <v/>
      </c>
      <c r="D3341" s="61" t="str">
        <f aca="false">IF($M3341=0,"",INDEX(Classes!$B$6:$B$420,$M3341))</f>
        <v/>
      </c>
      <c r="E3341" s="61" t="str">
        <f aca="false">IF($M3341=0,"",INDEX(Classes!$C$6:$C$420,$M3341))</f>
        <v/>
      </c>
      <c r="F3341" s="63"/>
      <c r="G3341" s="63"/>
      <c r="H3341" s="60"/>
      <c r="I3341" s="60"/>
      <c r="J3341" s="63"/>
      <c r="K3341" s="61" t="str">
        <f aca="false">IF($P3341=0,"",IF($F3341="Baseline","— Baseline",IF($O3341=0,"No result",IF($N3341=0,"No Start (attainment only)",IF(OR($N3341=1,$O3341=1),"U – needs rule",INDEX(MxBody,MATCH($I3341,MxCurr,0),MATCH($H3341,MxStart,0)))))))</f>
        <v/>
      </c>
      <c r="L3341" s="62" t="str">
        <f aca="false">IF(COUNTA($A3341,$F3341,$G3341,$H3341,$I3341,$J3341)=0,"",IF($M3341=0,"✖ كود الصف غير موجود",IF(ISNA(MATCH($F3341,Lists!$A$2:$A$5,0)),"✖ الفترة غير صحيحة",IF(ISNA(MATCH($G3341,Lists!$B$2:$B$7,0)),"✖ المجموعة غير صحيحة",IF(NOT(OR($H3341="",$N3341&gt;0)),"✖ Start غير صحيح",IF(NOT(OR($I3341="",$I3341="NR",$O3341&gt;0)),"✖ Current غير صحيح",IF(NOT(IF(ISNUMBER($J3341),AND($J3341&gt;=0,$J3341=INT($J3341)),FALSE())),"✖ العدد يجب أن يكون صحيحًا ≥ 0",IF(AND($F3341="Baseline",$H3341&lt;&gt;""),"⚠ Baseline: Start لا يدخل في التقدم",IF($K3341="No Start (attainment only)","ℹ تحصيل فقط (بدون Start)",IF($K3341="U – needs rule","ℹ حالة U تحتاج قاعدة معتمدة",IF($K3341="No result","ℹ بدون نتيجة (يُستبعد من التحصيل)","OK")))))))))))</f>
        <v/>
      </c>
      <c r="M3341" s="64" t="n">
        <f aca="false">IF($A3341="",0,IFERROR(MATCH($A3341,Classes!$A$6:$A$420,0),0))</f>
        <v>0</v>
      </c>
      <c r="N3341" s="64" t="n">
        <f aca="false">IF($H3341="",0,IFERROR(MATCH($H3341,GradeList,0),0))</f>
        <v>0</v>
      </c>
      <c r="O3341" s="64" t="n">
        <f aca="false">IF(OR($I3341="",$I3341="NR"),0,IFERROR(MATCH($I3341,GradeList,0),0))</f>
        <v>0</v>
      </c>
      <c r="P3341" s="64" t="n">
        <f aca="false">IF(AND($M3341&gt;0,ISNUMBER(MATCH($F3341,Lists!$A$2:$A$5,0)),ISNUMBER(MATCH($G3341,Lists!$B$2:$B$7,0)),OR($H3341="",$N3341&gt;0),OR($I3341="",$I3341="NR",$O3341&gt;0),IF(ISNUMBER($J3341),AND($J3341&gt;=0,$J3341=INT($J3341)),FALSE())),$J3341,0)</f>
        <v>0</v>
      </c>
      <c r="Q3341" s="64" t="n">
        <f aca="false">IF(AND($P3341&gt;0,$O3341&gt;0),$P3341,0)</f>
        <v>0</v>
      </c>
      <c r="R3341" s="64" t="n">
        <f aca="false">IF(AND($Q3341&gt;0,$O3341&gt;=AtRank),$Q3341,0)</f>
        <v>0</v>
      </c>
      <c r="S3341" s="64" t="n">
        <f aca="false">IF(AND($Q3341&gt;0,$O3341&gt;=AboveRank),$Q3341,0)</f>
        <v>0</v>
      </c>
      <c r="T3341" s="64" t="n">
        <f aca="false">IF($K3341="Less",$P3341,0)</f>
        <v>0</v>
      </c>
      <c r="U3341" s="64" t="n">
        <f aca="false">IF($K3341="Expected",$P3341,0)</f>
        <v>0</v>
      </c>
      <c r="V3341" s="64" t="n">
        <f aca="false">IF($K3341="Better",$P3341,0)</f>
        <v>0</v>
      </c>
      <c r="W3341" s="64" t="n">
        <f aca="false">IF($K3341="U – needs rule",$P3341,0)</f>
        <v>0</v>
      </c>
      <c r="X3341" s="64" t="n">
        <f aca="false">IF($K3341="No Start (attainment only)",$P3341,0)</f>
        <v>0</v>
      </c>
    </row>
    <row r="3342" customFormat="false" ht="15" hidden="false" customHeight="false" outlineLevel="0" collapsed="false">
      <c r="A3342" s="60"/>
      <c r="B3342" s="61" t="str">
        <f aca="false">IF($M3342=0,"",INDEX(Classes!$E$6:$E$420,$M3342))</f>
        <v/>
      </c>
      <c r="C3342" s="62" t="str">
        <f aca="false">IF($M3342=0,"",INDEX(Classes!$H$6:$H$420,$M3342))</f>
        <v/>
      </c>
      <c r="D3342" s="61" t="str">
        <f aca="false">IF($M3342=0,"",INDEX(Classes!$B$6:$B$420,$M3342))</f>
        <v/>
      </c>
      <c r="E3342" s="61" t="str">
        <f aca="false">IF($M3342=0,"",INDEX(Classes!$C$6:$C$420,$M3342))</f>
        <v/>
      </c>
      <c r="F3342" s="63"/>
      <c r="G3342" s="63"/>
      <c r="H3342" s="60"/>
      <c r="I3342" s="60"/>
      <c r="J3342" s="63"/>
      <c r="K3342" s="61" t="str">
        <f aca="false">IF($P3342=0,"",IF($F3342="Baseline","— Baseline",IF($O3342=0,"No result",IF($N3342=0,"No Start (attainment only)",IF(OR($N3342=1,$O3342=1),"U – needs rule",INDEX(MxBody,MATCH($I3342,MxCurr,0),MATCH($H3342,MxStart,0)))))))</f>
        <v/>
      </c>
      <c r="L3342" s="62" t="str">
        <f aca="false">IF(COUNTA($A3342,$F3342,$G3342,$H3342,$I3342,$J3342)=0,"",IF($M3342=0,"✖ كود الصف غير موجود",IF(ISNA(MATCH($F3342,Lists!$A$2:$A$5,0)),"✖ الفترة غير صحيحة",IF(ISNA(MATCH($G3342,Lists!$B$2:$B$7,0)),"✖ المجموعة غير صحيحة",IF(NOT(OR($H3342="",$N3342&gt;0)),"✖ Start غير صحيح",IF(NOT(OR($I3342="",$I3342="NR",$O3342&gt;0)),"✖ Current غير صحيح",IF(NOT(IF(ISNUMBER($J3342),AND($J3342&gt;=0,$J3342=INT($J3342)),FALSE())),"✖ العدد يجب أن يكون صحيحًا ≥ 0",IF(AND($F3342="Baseline",$H3342&lt;&gt;""),"⚠ Baseline: Start لا يدخل في التقدم",IF($K3342="No Start (attainment only)","ℹ تحصيل فقط (بدون Start)",IF($K3342="U – needs rule","ℹ حالة U تحتاج قاعدة معتمدة",IF($K3342="No result","ℹ بدون نتيجة (يُستبعد من التحصيل)","OK")))))))))))</f>
        <v/>
      </c>
      <c r="M3342" s="64" t="n">
        <f aca="false">IF($A3342="",0,IFERROR(MATCH($A3342,Classes!$A$6:$A$420,0),0))</f>
        <v>0</v>
      </c>
      <c r="N3342" s="64" t="n">
        <f aca="false">IF($H3342="",0,IFERROR(MATCH($H3342,GradeList,0),0))</f>
        <v>0</v>
      </c>
      <c r="O3342" s="64" t="n">
        <f aca="false">IF(OR($I3342="",$I3342="NR"),0,IFERROR(MATCH($I3342,GradeList,0),0))</f>
        <v>0</v>
      </c>
      <c r="P3342" s="64" t="n">
        <f aca="false">IF(AND($M3342&gt;0,ISNUMBER(MATCH($F3342,Lists!$A$2:$A$5,0)),ISNUMBER(MATCH($G3342,Lists!$B$2:$B$7,0)),OR($H3342="",$N3342&gt;0),OR($I3342="",$I3342="NR",$O3342&gt;0),IF(ISNUMBER($J3342),AND($J3342&gt;=0,$J3342=INT($J3342)),FALSE())),$J3342,0)</f>
        <v>0</v>
      </c>
      <c r="Q3342" s="64" t="n">
        <f aca="false">IF(AND($P3342&gt;0,$O3342&gt;0),$P3342,0)</f>
        <v>0</v>
      </c>
      <c r="R3342" s="64" t="n">
        <f aca="false">IF(AND($Q3342&gt;0,$O3342&gt;=AtRank),$Q3342,0)</f>
        <v>0</v>
      </c>
      <c r="S3342" s="64" t="n">
        <f aca="false">IF(AND($Q3342&gt;0,$O3342&gt;=AboveRank),$Q3342,0)</f>
        <v>0</v>
      </c>
      <c r="T3342" s="64" t="n">
        <f aca="false">IF($K3342="Less",$P3342,0)</f>
        <v>0</v>
      </c>
      <c r="U3342" s="64" t="n">
        <f aca="false">IF($K3342="Expected",$P3342,0)</f>
        <v>0</v>
      </c>
      <c r="V3342" s="64" t="n">
        <f aca="false">IF($K3342="Better",$P3342,0)</f>
        <v>0</v>
      </c>
      <c r="W3342" s="64" t="n">
        <f aca="false">IF($K3342="U – needs rule",$P3342,0)</f>
        <v>0</v>
      </c>
      <c r="X3342" s="64" t="n">
        <f aca="false">IF($K3342="No Start (attainment only)",$P3342,0)</f>
        <v>0</v>
      </c>
    </row>
    <row r="3343" customFormat="false" ht="15" hidden="false" customHeight="false" outlineLevel="0" collapsed="false">
      <c r="A3343" s="60"/>
      <c r="B3343" s="61" t="str">
        <f aca="false">IF($M3343=0,"",INDEX(Classes!$E$6:$E$420,$M3343))</f>
        <v/>
      </c>
      <c r="C3343" s="62" t="str">
        <f aca="false">IF($M3343=0,"",INDEX(Classes!$H$6:$H$420,$M3343))</f>
        <v/>
      </c>
      <c r="D3343" s="61" t="str">
        <f aca="false">IF($M3343=0,"",INDEX(Classes!$B$6:$B$420,$M3343))</f>
        <v/>
      </c>
      <c r="E3343" s="61" t="str">
        <f aca="false">IF($M3343=0,"",INDEX(Classes!$C$6:$C$420,$M3343))</f>
        <v/>
      </c>
      <c r="F3343" s="63"/>
      <c r="G3343" s="63"/>
      <c r="H3343" s="60"/>
      <c r="I3343" s="60"/>
      <c r="J3343" s="63"/>
      <c r="K3343" s="61" t="str">
        <f aca="false">IF($P3343=0,"",IF($F3343="Baseline","— Baseline",IF($O3343=0,"No result",IF($N3343=0,"No Start (attainment only)",IF(OR($N3343=1,$O3343=1),"U – needs rule",INDEX(MxBody,MATCH($I3343,MxCurr,0),MATCH($H3343,MxStart,0)))))))</f>
        <v/>
      </c>
      <c r="L3343" s="62" t="str">
        <f aca="false">IF(COUNTA($A3343,$F3343,$G3343,$H3343,$I3343,$J3343)=0,"",IF($M3343=0,"✖ كود الصف غير موجود",IF(ISNA(MATCH($F3343,Lists!$A$2:$A$5,0)),"✖ الفترة غير صحيحة",IF(ISNA(MATCH($G3343,Lists!$B$2:$B$7,0)),"✖ المجموعة غير صحيحة",IF(NOT(OR($H3343="",$N3343&gt;0)),"✖ Start غير صحيح",IF(NOT(OR($I3343="",$I3343="NR",$O3343&gt;0)),"✖ Current غير صحيح",IF(NOT(IF(ISNUMBER($J3343),AND($J3343&gt;=0,$J3343=INT($J3343)),FALSE())),"✖ العدد يجب أن يكون صحيحًا ≥ 0",IF(AND($F3343="Baseline",$H3343&lt;&gt;""),"⚠ Baseline: Start لا يدخل في التقدم",IF($K3343="No Start (attainment only)","ℹ تحصيل فقط (بدون Start)",IF($K3343="U – needs rule","ℹ حالة U تحتاج قاعدة معتمدة",IF($K3343="No result","ℹ بدون نتيجة (يُستبعد من التحصيل)","OK")))))))))))</f>
        <v/>
      </c>
      <c r="M3343" s="64" t="n">
        <f aca="false">IF($A3343="",0,IFERROR(MATCH($A3343,Classes!$A$6:$A$420,0),0))</f>
        <v>0</v>
      </c>
      <c r="N3343" s="64" t="n">
        <f aca="false">IF($H3343="",0,IFERROR(MATCH($H3343,GradeList,0),0))</f>
        <v>0</v>
      </c>
      <c r="O3343" s="64" t="n">
        <f aca="false">IF(OR($I3343="",$I3343="NR"),0,IFERROR(MATCH($I3343,GradeList,0),0))</f>
        <v>0</v>
      </c>
      <c r="P3343" s="64" t="n">
        <f aca="false">IF(AND($M3343&gt;0,ISNUMBER(MATCH($F3343,Lists!$A$2:$A$5,0)),ISNUMBER(MATCH($G3343,Lists!$B$2:$B$7,0)),OR($H3343="",$N3343&gt;0),OR($I3343="",$I3343="NR",$O3343&gt;0),IF(ISNUMBER($J3343),AND($J3343&gt;=0,$J3343=INT($J3343)),FALSE())),$J3343,0)</f>
        <v>0</v>
      </c>
      <c r="Q3343" s="64" t="n">
        <f aca="false">IF(AND($P3343&gt;0,$O3343&gt;0),$P3343,0)</f>
        <v>0</v>
      </c>
      <c r="R3343" s="64" t="n">
        <f aca="false">IF(AND($Q3343&gt;0,$O3343&gt;=AtRank),$Q3343,0)</f>
        <v>0</v>
      </c>
      <c r="S3343" s="64" t="n">
        <f aca="false">IF(AND($Q3343&gt;0,$O3343&gt;=AboveRank),$Q3343,0)</f>
        <v>0</v>
      </c>
      <c r="T3343" s="64" t="n">
        <f aca="false">IF($K3343="Less",$P3343,0)</f>
        <v>0</v>
      </c>
      <c r="U3343" s="64" t="n">
        <f aca="false">IF($K3343="Expected",$P3343,0)</f>
        <v>0</v>
      </c>
      <c r="V3343" s="64" t="n">
        <f aca="false">IF($K3343="Better",$P3343,0)</f>
        <v>0</v>
      </c>
      <c r="W3343" s="64" t="n">
        <f aca="false">IF($K3343="U – needs rule",$P3343,0)</f>
        <v>0</v>
      </c>
      <c r="X3343" s="64" t="n">
        <f aca="false">IF($K3343="No Start (attainment only)",$P3343,0)</f>
        <v>0</v>
      </c>
    </row>
    <row r="3344" customFormat="false" ht="15" hidden="false" customHeight="false" outlineLevel="0" collapsed="false">
      <c r="A3344" s="60"/>
      <c r="B3344" s="61" t="str">
        <f aca="false">IF($M3344=0,"",INDEX(Classes!$E$6:$E$420,$M3344))</f>
        <v/>
      </c>
      <c r="C3344" s="62" t="str">
        <f aca="false">IF($M3344=0,"",INDEX(Classes!$H$6:$H$420,$M3344))</f>
        <v/>
      </c>
      <c r="D3344" s="61" t="str">
        <f aca="false">IF($M3344=0,"",INDEX(Classes!$B$6:$B$420,$M3344))</f>
        <v/>
      </c>
      <c r="E3344" s="61" t="str">
        <f aca="false">IF($M3344=0,"",INDEX(Classes!$C$6:$C$420,$M3344))</f>
        <v/>
      </c>
      <c r="F3344" s="63"/>
      <c r="G3344" s="63"/>
      <c r="H3344" s="60"/>
      <c r="I3344" s="60"/>
      <c r="J3344" s="63"/>
      <c r="K3344" s="61" t="str">
        <f aca="false">IF($P3344=0,"",IF($F3344="Baseline","— Baseline",IF($O3344=0,"No result",IF($N3344=0,"No Start (attainment only)",IF(OR($N3344=1,$O3344=1),"U – needs rule",INDEX(MxBody,MATCH($I3344,MxCurr,0),MATCH($H3344,MxStart,0)))))))</f>
        <v/>
      </c>
      <c r="L3344" s="62" t="str">
        <f aca="false">IF(COUNTA($A3344,$F3344,$G3344,$H3344,$I3344,$J3344)=0,"",IF($M3344=0,"✖ كود الصف غير موجود",IF(ISNA(MATCH($F3344,Lists!$A$2:$A$5,0)),"✖ الفترة غير صحيحة",IF(ISNA(MATCH($G3344,Lists!$B$2:$B$7,0)),"✖ المجموعة غير صحيحة",IF(NOT(OR($H3344="",$N3344&gt;0)),"✖ Start غير صحيح",IF(NOT(OR($I3344="",$I3344="NR",$O3344&gt;0)),"✖ Current غير صحيح",IF(NOT(IF(ISNUMBER($J3344),AND($J3344&gt;=0,$J3344=INT($J3344)),FALSE())),"✖ العدد يجب أن يكون صحيحًا ≥ 0",IF(AND($F3344="Baseline",$H3344&lt;&gt;""),"⚠ Baseline: Start لا يدخل في التقدم",IF($K3344="No Start (attainment only)","ℹ تحصيل فقط (بدون Start)",IF($K3344="U – needs rule","ℹ حالة U تحتاج قاعدة معتمدة",IF($K3344="No result","ℹ بدون نتيجة (يُستبعد من التحصيل)","OK")))))))))))</f>
        <v/>
      </c>
      <c r="M3344" s="64" t="n">
        <f aca="false">IF($A3344="",0,IFERROR(MATCH($A3344,Classes!$A$6:$A$420,0),0))</f>
        <v>0</v>
      </c>
      <c r="N3344" s="64" t="n">
        <f aca="false">IF($H3344="",0,IFERROR(MATCH($H3344,GradeList,0),0))</f>
        <v>0</v>
      </c>
      <c r="O3344" s="64" t="n">
        <f aca="false">IF(OR($I3344="",$I3344="NR"),0,IFERROR(MATCH($I3344,GradeList,0),0))</f>
        <v>0</v>
      </c>
      <c r="P3344" s="64" t="n">
        <f aca="false">IF(AND($M3344&gt;0,ISNUMBER(MATCH($F3344,Lists!$A$2:$A$5,0)),ISNUMBER(MATCH($G3344,Lists!$B$2:$B$7,0)),OR($H3344="",$N3344&gt;0),OR($I3344="",$I3344="NR",$O3344&gt;0),IF(ISNUMBER($J3344),AND($J3344&gt;=0,$J3344=INT($J3344)),FALSE())),$J3344,0)</f>
        <v>0</v>
      </c>
      <c r="Q3344" s="64" t="n">
        <f aca="false">IF(AND($P3344&gt;0,$O3344&gt;0),$P3344,0)</f>
        <v>0</v>
      </c>
      <c r="R3344" s="64" t="n">
        <f aca="false">IF(AND($Q3344&gt;0,$O3344&gt;=AtRank),$Q3344,0)</f>
        <v>0</v>
      </c>
      <c r="S3344" s="64" t="n">
        <f aca="false">IF(AND($Q3344&gt;0,$O3344&gt;=AboveRank),$Q3344,0)</f>
        <v>0</v>
      </c>
      <c r="T3344" s="64" t="n">
        <f aca="false">IF($K3344="Less",$P3344,0)</f>
        <v>0</v>
      </c>
      <c r="U3344" s="64" t="n">
        <f aca="false">IF($K3344="Expected",$P3344,0)</f>
        <v>0</v>
      </c>
      <c r="V3344" s="64" t="n">
        <f aca="false">IF($K3344="Better",$P3344,0)</f>
        <v>0</v>
      </c>
      <c r="W3344" s="64" t="n">
        <f aca="false">IF($K3344="U – needs rule",$P3344,0)</f>
        <v>0</v>
      </c>
      <c r="X3344" s="64" t="n">
        <f aca="false">IF($K3344="No Start (attainment only)",$P3344,0)</f>
        <v>0</v>
      </c>
    </row>
    <row r="3345" customFormat="false" ht="15" hidden="false" customHeight="false" outlineLevel="0" collapsed="false">
      <c r="A3345" s="60"/>
      <c r="B3345" s="61" t="str">
        <f aca="false">IF($M3345=0,"",INDEX(Classes!$E$6:$E$420,$M3345))</f>
        <v/>
      </c>
      <c r="C3345" s="62" t="str">
        <f aca="false">IF($M3345=0,"",INDEX(Classes!$H$6:$H$420,$M3345))</f>
        <v/>
      </c>
      <c r="D3345" s="61" t="str">
        <f aca="false">IF($M3345=0,"",INDEX(Classes!$B$6:$B$420,$M3345))</f>
        <v/>
      </c>
      <c r="E3345" s="61" t="str">
        <f aca="false">IF($M3345=0,"",INDEX(Classes!$C$6:$C$420,$M3345))</f>
        <v/>
      </c>
      <c r="F3345" s="63"/>
      <c r="G3345" s="63"/>
      <c r="H3345" s="60"/>
      <c r="I3345" s="60"/>
      <c r="J3345" s="63"/>
      <c r="K3345" s="61" t="str">
        <f aca="false">IF($P3345=0,"",IF($F3345="Baseline","— Baseline",IF($O3345=0,"No result",IF($N3345=0,"No Start (attainment only)",IF(OR($N3345=1,$O3345=1),"U – needs rule",INDEX(MxBody,MATCH($I3345,MxCurr,0),MATCH($H3345,MxStart,0)))))))</f>
        <v/>
      </c>
      <c r="L3345" s="62" t="str">
        <f aca="false">IF(COUNTA($A3345,$F3345,$G3345,$H3345,$I3345,$J3345)=0,"",IF($M3345=0,"✖ كود الصف غير موجود",IF(ISNA(MATCH($F3345,Lists!$A$2:$A$5,0)),"✖ الفترة غير صحيحة",IF(ISNA(MATCH($G3345,Lists!$B$2:$B$7,0)),"✖ المجموعة غير صحيحة",IF(NOT(OR($H3345="",$N3345&gt;0)),"✖ Start غير صحيح",IF(NOT(OR($I3345="",$I3345="NR",$O3345&gt;0)),"✖ Current غير صحيح",IF(NOT(IF(ISNUMBER($J3345),AND($J3345&gt;=0,$J3345=INT($J3345)),FALSE())),"✖ العدد يجب أن يكون صحيحًا ≥ 0",IF(AND($F3345="Baseline",$H3345&lt;&gt;""),"⚠ Baseline: Start لا يدخل في التقدم",IF($K3345="No Start (attainment only)","ℹ تحصيل فقط (بدون Start)",IF($K3345="U – needs rule","ℹ حالة U تحتاج قاعدة معتمدة",IF($K3345="No result","ℹ بدون نتيجة (يُستبعد من التحصيل)","OK")))))))))))</f>
        <v/>
      </c>
      <c r="M3345" s="64" t="n">
        <f aca="false">IF($A3345="",0,IFERROR(MATCH($A3345,Classes!$A$6:$A$420,0),0))</f>
        <v>0</v>
      </c>
      <c r="N3345" s="64" t="n">
        <f aca="false">IF($H3345="",0,IFERROR(MATCH($H3345,GradeList,0),0))</f>
        <v>0</v>
      </c>
      <c r="O3345" s="64" t="n">
        <f aca="false">IF(OR($I3345="",$I3345="NR"),0,IFERROR(MATCH($I3345,GradeList,0),0))</f>
        <v>0</v>
      </c>
      <c r="P3345" s="64" t="n">
        <f aca="false">IF(AND($M3345&gt;0,ISNUMBER(MATCH($F3345,Lists!$A$2:$A$5,0)),ISNUMBER(MATCH($G3345,Lists!$B$2:$B$7,0)),OR($H3345="",$N3345&gt;0),OR($I3345="",$I3345="NR",$O3345&gt;0),IF(ISNUMBER($J3345),AND($J3345&gt;=0,$J3345=INT($J3345)),FALSE())),$J3345,0)</f>
        <v>0</v>
      </c>
      <c r="Q3345" s="64" t="n">
        <f aca="false">IF(AND($P3345&gt;0,$O3345&gt;0),$P3345,0)</f>
        <v>0</v>
      </c>
      <c r="R3345" s="64" t="n">
        <f aca="false">IF(AND($Q3345&gt;0,$O3345&gt;=AtRank),$Q3345,0)</f>
        <v>0</v>
      </c>
      <c r="S3345" s="64" t="n">
        <f aca="false">IF(AND($Q3345&gt;0,$O3345&gt;=AboveRank),$Q3345,0)</f>
        <v>0</v>
      </c>
      <c r="T3345" s="64" t="n">
        <f aca="false">IF($K3345="Less",$P3345,0)</f>
        <v>0</v>
      </c>
      <c r="U3345" s="64" t="n">
        <f aca="false">IF($K3345="Expected",$P3345,0)</f>
        <v>0</v>
      </c>
      <c r="V3345" s="64" t="n">
        <f aca="false">IF($K3345="Better",$P3345,0)</f>
        <v>0</v>
      </c>
      <c r="W3345" s="64" t="n">
        <f aca="false">IF($K3345="U – needs rule",$P3345,0)</f>
        <v>0</v>
      </c>
      <c r="X3345" s="64" t="n">
        <f aca="false">IF($K3345="No Start (attainment only)",$P3345,0)</f>
        <v>0</v>
      </c>
    </row>
    <row r="3346" customFormat="false" ht="15" hidden="false" customHeight="false" outlineLevel="0" collapsed="false">
      <c r="A3346" s="60"/>
      <c r="B3346" s="61" t="str">
        <f aca="false">IF($M3346=0,"",INDEX(Classes!$E$6:$E$420,$M3346))</f>
        <v/>
      </c>
      <c r="C3346" s="62" t="str">
        <f aca="false">IF($M3346=0,"",INDEX(Classes!$H$6:$H$420,$M3346))</f>
        <v/>
      </c>
      <c r="D3346" s="61" t="str">
        <f aca="false">IF($M3346=0,"",INDEX(Classes!$B$6:$B$420,$M3346))</f>
        <v/>
      </c>
      <c r="E3346" s="61" t="str">
        <f aca="false">IF($M3346=0,"",INDEX(Classes!$C$6:$C$420,$M3346))</f>
        <v/>
      </c>
      <c r="F3346" s="63"/>
      <c r="G3346" s="63"/>
      <c r="H3346" s="60"/>
      <c r="I3346" s="60"/>
      <c r="J3346" s="63"/>
      <c r="K3346" s="61" t="str">
        <f aca="false">IF($P3346=0,"",IF($F3346="Baseline","— Baseline",IF($O3346=0,"No result",IF($N3346=0,"No Start (attainment only)",IF(OR($N3346=1,$O3346=1),"U – needs rule",INDEX(MxBody,MATCH($I3346,MxCurr,0),MATCH($H3346,MxStart,0)))))))</f>
        <v/>
      </c>
      <c r="L3346" s="62" t="str">
        <f aca="false">IF(COUNTA($A3346,$F3346,$G3346,$H3346,$I3346,$J3346)=0,"",IF($M3346=0,"✖ كود الصف غير موجود",IF(ISNA(MATCH($F3346,Lists!$A$2:$A$5,0)),"✖ الفترة غير صحيحة",IF(ISNA(MATCH($G3346,Lists!$B$2:$B$7,0)),"✖ المجموعة غير صحيحة",IF(NOT(OR($H3346="",$N3346&gt;0)),"✖ Start غير صحيح",IF(NOT(OR($I3346="",$I3346="NR",$O3346&gt;0)),"✖ Current غير صحيح",IF(NOT(IF(ISNUMBER($J3346),AND($J3346&gt;=0,$J3346=INT($J3346)),FALSE())),"✖ العدد يجب أن يكون صحيحًا ≥ 0",IF(AND($F3346="Baseline",$H3346&lt;&gt;""),"⚠ Baseline: Start لا يدخل في التقدم",IF($K3346="No Start (attainment only)","ℹ تحصيل فقط (بدون Start)",IF($K3346="U – needs rule","ℹ حالة U تحتاج قاعدة معتمدة",IF($K3346="No result","ℹ بدون نتيجة (يُستبعد من التحصيل)","OK")))))))))))</f>
        <v/>
      </c>
      <c r="M3346" s="64" t="n">
        <f aca="false">IF($A3346="",0,IFERROR(MATCH($A3346,Classes!$A$6:$A$420,0),0))</f>
        <v>0</v>
      </c>
      <c r="N3346" s="64" t="n">
        <f aca="false">IF($H3346="",0,IFERROR(MATCH($H3346,GradeList,0),0))</f>
        <v>0</v>
      </c>
      <c r="O3346" s="64" t="n">
        <f aca="false">IF(OR($I3346="",$I3346="NR"),0,IFERROR(MATCH($I3346,GradeList,0),0))</f>
        <v>0</v>
      </c>
      <c r="P3346" s="64" t="n">
        <f aca="false">IF(AND($M3346&gt;0,ISNUMBER(MATCH($F3346,Lists!$A$2:$A$5,0)),ISNUMBER(MATCH($G3346,Lists!$B$2:$B$7,0)),OR($H3346="",$N3346&gt;0),OR($I3346="",$I3346="NR",$O3346&gt;0),IF(ISNUMBER($J3346),AND($J3346&gt;=0,$J3346=INT($J3346)),FALSE())),$J3346,0)</f>
        <v>0</v>
      </c>
      <c r="Q3346" s="64" t="n">
        <f aca="false">IF(AND($P3346&gt;0,$O3346&gt;0),$P3346,0)</f>
        <v>0</v>
      </c>
      <c r="R3346" s="64" t="n">
        <f aca="false">IF(AND($Q3346&gt;0,$O3346&gt;=AtRank),$Q3346,0)</f>
        <v>0</v>
      </c>
      <c r="S3346" s="64" t="n">
        <f aca="false">IF(AND($Q3346&gt;0,$O3346&gt;=AboveRank),$Q3346,0)</f>
        <v>0</v>
      </c>
      <c r="T3346" s="64" t="n">
        <f aca="false">IF($K3346="Less",$P3346,0)</f>
        <v>0</v>
      </c>
      <c r="U3346" s="64" t="n">
        <f aca="false">IF($K3346="Expected",$P3346,0)</f>
        <v>0</v>
      </c>
      <c r="V3346" s="64" t="n">
        <f aca="false">IF($K3346="Better",$P3346,0)</f>
        <v>0</v>
      </c>
      <c r="W3346" s="64" t="n">
        <f aca="false">IF($K3346="U – needs rule",$P3346,0)</f>
        <v>0</v>
      </c>
      <c r="X3346" s="64" t="n">
        <f aca="false">IF($K3346="No Start (attainment only)",$P3346,0)</f>
        <v>0</v>
      </c>
    </row>
    <row r="3347" customFormat="false" ht="15" hidden="false" customHeight="false" outlineLevel="0" collapsed="false">
      <c r="A3347" s="60"/>
      <c r="B3347" s="61" t="str">
        <f aca="false">IF($M3347=0,"",INDEX(Classes!$E$6:$E$420,$M3347))</f>
        <v/>
      </c>
      <c r="C3347" s="62" t="str">
        <f aca="false">IF($M3347=0,"",INDEX(Classes!$H$6:$H$420,$M3347))</f>
        <v/>
      </c>
      <c r="D3347" s="61" t="str">
        <f aca="false">IF($M3347=0,"",INDEX(Classes!$B$6:$B$420,$M3347))</f>
        <v/>
      </c>
      <c r="E3347" s="61" t="str">
        <f aca="false">IF($M3347=0,"",INDEX(Classes!$C$6:$C$420,$M3347))</f>
        <v/>
      </c>
      <c r="F3347" s="63"/>
      <c r="G3347" s="63"/>
      <c r="H3347" s="60"/>
      <c r="I3347" s="60"/>
      <c r="J3347" s="63"/>
      <c r="K3347" s="61" t="str">
        <f aca="false">IF($P3347=0,"",IF($F3347="Baseline","— Baseline",IF($O3347=0,"No result",IF($N3347=0,"No Start (attainment only)",IF(OR($N3347=1,$O3347=1),"U – needs rule",INDEX(MxBody,MATCH($I3347,MxCurr,0),MATCH($H3347,MxStart,0)))))))</f>
        <v/>
      </c>
      <c r="L3347" s="62" t="str">
        <f aca="false">IF(COUNTA($A3347,$F3347,$G3347,$H3347,$I3347,$J3347)=0,"",IF($M3347=0,"✖ كود الصف غير موجود",IF(ISNA(MATCH($F3347,Lists!$A$2:$A$5,0)),"✖ الفترة غير صحيحة",IF(ISNA(MATCH($G3347,Lists!$B$2:$B$7,0)),"✖ المجموعة غير صحيحة",IF(NOT(OR($H3347="",$N3347&gt;0)),"✖ Start غير صحيح",IF(NOT(OR($I3347="",$I3347="NR",$O3347&gt;0)),"✖ Current غير صحيح",IF(NOT(IF(ISNUMBER($J3347),AND($J3347&gt;=0,$J3347=INT($J3347)),FALSE())),"✖ العدد يجب أن يكون صحيحًا ≥ 0",IF(AND($F3347="Baseline",$H3347&lt;&gt;""),"⚠ Baseline: Start لا يدخل في التقدم",IF($K3347="No Start (attainment only)","ℹ تحصيل فقط (بدون Start)",IF($K3347="U – needs rule","ℹ حالة U تحتاج قاعدة معتمدة",IF($K3347="No result","ℹ بدون نتيجة (يُستبعد من التحصيل)","OK")))))))))))</f>
        <v/>
      </c>
      <c r="M3347" s="64" t="n">
        <f aca="false">IF($A3347="",0,IFERROR(MATCH($A3347,Classes!$A$6:$A$420,0),0))</f>
        <v>0</v>
      </c>
      <c r="N3347" s="64" t="n">
        <f aca="false">IF($H3347="",0,IFERROR(MATCH($H3347,GradeList,0),0))</f>
        <v>0</v>
      </c>
      <c r="O3347" s="64" t="n">
        <f aca="false">IF(OR($I3347="",$I3347="NR"),0,IFERROR(MATCH($I3347,GradeList,0),0))</f>
        <v>0</v>
      </c>
      <c r="P3347" s="64" t="n">
        <f aca="false">IF(AND($M3347&gt;0,ISNUMBER(MATCH($F3347,Lists!$A$2:$A$5,0)),ISNUMBER(MATCH($G3347,Lists!$B$2:$B$7,0)),OR($H3347="",$N3347&gt;0),OR($I3347="",$I3347="NR",$O3347&gt;0),IF(ISNUMBER($J3347),AND($J3347&gt;=0,$J3347=INT($J3347)),FALSE())),$J3347,0)</f>
        <v>0</v>
      </c>
      <c r="Q3347" s="64" t="n">
        <f aca="false">IF(AND($P3347&gt;0,$O3347&gt;0),$P3347,0)</f>
        <v>0</v>
      </c>
      <c r="R3347" s="64" t="n">
        <f aca="false">IF(AND($Q3347&gt;0,$O3347&gt;=AtRank),$Q3347,0)</f>
        <v>0</v>
      </c>
      <c r="S3347" s="64" t="n">
        <f aca="false">IF(AND($Q3347&gt;0,$O3347&gt;=AboveRank),$Q3347,0)</f>
        <v>0</v>
      </c>
      <c r="T3347" s="64" t="n">
        <f aca="false">IF($K3347="Less",$P3347,0)</f>
        <v>0</v>
      </c>
      <c r="U3347" s="64" t="n">
        <f aca="false">IF($K3347="Expected",$P3347,0)</f>
        <v>0</v>
      </c>
      <c r="V3347" s="64" t="n">
        <f aca="false">IF($K3347="Better",$P3347,0)</f>
        <v>0</v>
      </c>
      <c r="W3347" s="64" t="n">
        <f aca="false">IF($K3347="U – needs rule",$P3347,0)</f>
        <v>0</v>
      </c>
      <c r="X3347" s="64" t="n">
        <f aca="false">IF($K3347="No Start (attainment only)",$P3347,0)</f>
        <v>0</v>
      </c>
    </row>
    <row r="3348" customFormat="false" ht="15" hidden="false" customHeight="false" outlineLevel="0" collapsed="false">
      <c r="A3348" s="60"/>
      <c r="B3348" s="61" t="str">
        <f aca="false">IF($M3348=0,"",INDEX(Classes!$E$6:$E$420,$M3348))</f>
        <v/>
      </c>
      <c r="C3348" s="62" t="str">
        <f aca="false">IF($M3348=0,"",INDEX(Classes!$H$6:$H$420,$M3348))</f>
        <v/>
      </c>
      <c r="D3348" s="61" t="str">
        <f aca="false">IF($M3348=0,"",INDEX(Classes!$B$6:$B$420,$M3348))</f>
        <v/>
      </c>
      <c r="E3348" s="61" t="str">
        <f aca="false">IF($M3348=0,"",INDEX(Classes!$C$6:$C$420,$M3348))</f>
        <v/>
      </c>
      <c r="F3348" s="63"/>
      <c r="G3348" s="63"/>
      <c r="H3348" s="60"/>
      <c r="I3348" s="60"/>
      <c r="J3348" s="63"/>
      <c r="K3348" s="61" t="str">
        <f aca="false">IF($P3348=0,"",IF($F3348="Baseline","— Baseline",IF($O3348=0,"No result",IF($N3348=0,"No Start (attainment only)",IF(OR($N3348=1,$O3348=1),"U – needs rule",INDEX(MxBody,MATCH($I3348,MxCurr,0),MATCH($H3348,MxStart,0)))))))</f>
        <v/>
      </c>
      <c r="L3348" s="62" t="str">
        <f aca="false">IF(COUNTA($A3348,$F3348,$G3348,$H3348,$I3348,$J3348)=0,"",IF($M3348=0,"✖ كود الصف غير موجود",IF(ISNA(MATCH($F3348,Lists!$A$2:$A$5,0)),"✖ الفترة غير صحيحة",IF(ISNA(MATCH($G3348,Lists!$B$2:$B$7,0)),"✖ المجموعة غير صحيحة",IF(NOT(OR($H3348="",$N3348&gt;0)),"✖ Start غير صحيح",IF(NOT(OR($I3348="",$I3348="NR",$O3348&gt;0)),"✖ Current غير صحيح",IF(NOT(IF(ISNUMBER($J3348),AND($J3348&gt;=0,$J3348=INT($J3348)),FALSE())),"✖ العدد يجب أن يكون صحيحًا ≥ 0",IF(AND($F3348="Baseline",$H3348&lt;&gt;""),"⚠ Baseline: Start لا يدخل في التقدم",IF($K3348="No Start (attainment only)","ℹ تحصيل فقط (بدون Start)",IF($K3348="U – needs rule","ℹ حالة U تحتاج قاعدة معتمدة",IF($K3348="No result","ℹ بدون نتيجة (يُستبعد من التحصيل)","OK")))))))))))</f>
        <v/>
      </c>
      <c r="M3348" s="64" t="n">
        <f aca="false">IF($A3348="",0,IFERROR(MATCH($A3348,Classes!$A$6:$A$420,0),0))</f>
        <v>0</v>
      </c>
      <c r="N3348" s="64" t="n">
        <f aca="false">IF($H3348="",0,IFERROR(MATCH($H3348,GradeList,0),0))</f>
        <v>0</v>
      </c>
      <c r="O3348" s="64" t="n">
        <f aca="false">IF(OR($I3348="",$I3348="NR"),0,IFERROR(MATCH($I3348,GradeList,0),0))</f>
        <v>0</v>
      </c>
      <c r="P3348" s="64" t="n">
        <f aca="false">IF(AND($M3348&gt;0,ISNUMBER(MATCH($F3348,Lists!$A$2:$A$5,0)),ISNUMBER(MATCH($G3348,Lists!$B$2:$B$7,0)),OR($H3348="",$N3348&gt;0),OR($I3348="",$I3348="NR",$O3348&gt;0),IF(ISNUMBER($J3348),AND($J3348&gt;=0,$J3348=INT($J3348)),FALSE())),$J3348,0)</f>
        <v>0</v>
      </c>
      <c r="Q3348" s="64" t="n">
        <f aca="false">IF(AND($P3348&gt;0,$O3348&gt;0),$P3348,0)</f>
        <v>0</v>
      </c>
      <c r="R3348" s="64" t="n">
        <f aca="false">IF(AND($Q3348&gt;0,$O3348&gt;=AtRank),$Q3348,0)</f>
        <v>0</v>
      </c>
      <c r="S3348" s="64" t="n">
        <f aca="false">IF(AND($Q3348&gt;0,$O3348&gt;=AboveRank),$Q3348,0)</f>
        <v>0</v>
      </c>
      <c r="T3348" s="64" t="n">
        <f aca="false">IF($K3348="Less",$P3348,0)</f>
        <v>0</v>
      </c>
      <c r="U3348" s="64" t="n">
        <f aca="false">IF($K3348="Expected",$P3348,0)</f>
        <v>0</v>
      </c>
      <c r="V3348" s="64" t="n">
        <f aca="false">IF($K3348="Better",$P3348,0)</f>
        <v>0</v>
      </c>
      <c r="W3348" s="64" t="n">
        <f aca="false">IF($K3348="U – needs rule",$P3348,0)</f>
        <v>0</v>
      </c>
      <c r="X3348" s="64" t="n">
        <f aca="false">IF($K3348="No Start (attainment only)",$P3348,0)</f>
        <v>0</v>
      </c>
    </row>
    <row r="3349" customFormat="false" ht="15" hidden="false" customHeight="false" outlineLevel="0" collapsed="false">
      <c r="A3349" s="60"/>
      <c r="B3349" s="61" t="str">
        <f aca="false">IF($M3349=0,"",INDEX(Classes!$E$6:$E$420,$M3349))</f>
        <v/>
      </c>
      <c r="C3349" s="62" t="str">
        <f aca="false">IF($M3349=0,"",INDEX(Classes!$H$6:$H$420,$M3349))</f>
        <v/>
      </c>
      <c r="D3349" s="61" t="str">
        <f aca="false">IF($M3349=0,"",INDEX(Classes!$B$6:$B$420,$M3349))</f>
        <v/>
      </c>
      <c r="E3349" s="61" t="str">
        <f aca="false">IF($M3349=0,"",INDEX(Classes!$C$6:$C$420,$M3349))</f>
        <v/>
      </c>
      <c r="F3349" s="63"/>
      <c r="G3349" s="63"/>
      <c r="H3349" s="60"/>
      <c r="I3349" s="60"/>
      <c r="J3349" s="63"/>
      <c r="K3349" s="61" t="str">
        <f aca="false">IF($P3349=0,"",IF($F3349="Baseline","— Baseline",IF($O3349=0,"No result",IF($N3349=0,"No Start (attainment only)",IF(OR($N3349=1,$O3349=1),"U – needs rule",INDEX(MxBody,MATCH($I3349,MxCurr,0),MATCH($H3349,MxStart,0)))))))</f>
        <v/>
      </c>
      <c r="L3349" s="62" t="str">
        <f aca="false">IF(COUNTA($A3349,$F3349,$G3349,$H3349,$I3349,$J3349)=0,"",IF($M3349=0,"✖ كود الصف غير موجود",IF(ISNA(MATCH($F3349,Lists!$A$2:$A$5,0)),"✖ الفترة غير صحيحة",IF(ISNA(MATCH($G3349,Lists!$B$2:$B$7,0)),"✖ المجموعة غير صحيحة",IF(NOT(OR($H3349="",$N3349&gt;0)),"✖ Start غير صحيح",IF(NOT(OR($I3349="",$I3349="NR",$O3349&gt;0)),"✖ Current غير صحيح",IF(NOT(IF(ISNUMBER($J3349),AND($J3349&gt;=0,$J3349=INT($J3349)),FALSE())),"✖ العدد يجب أن يكون صحيحًا ≥ 0",IF(AND($F3349="Baseline",$H3349&lt;&gt;""),"⚠ Baseline: Start لا يدخل في التقدم",IF($K3349="No Start (attainment only)","ℹ تحصيل فقط (بدون Start)",IF($K3349="U – needs rule","ℹ حالة U تحتاج قاعدة معتمدة",IF($K3349="No result","ℹ بدون نتيجة (يُستبعد من التحصيل)","OK")))))))))))</f>
        <v/>
      </c>
      <c r="M3349" s="64" t="n">
        <f aca="false">IF($A3349="",0,IFERROR(MATCH($A3349,Classes!$A$6:$A$420,0),0))</f>
        <v>0</v>
      </c>
      <c r="N3349" s="64" t="n">
        <f aca="false">IF($H3349="",0,IFERROR(MATCH($H3349,GradeList,0),0))</f>
        <v>0</v>
      </c>
      <c r="O3349" s="64" t="n">
        <f aca="false">IF(OR($I3349="",$I3349="NR"),0,IFERROR(MATCH($I3349,GradeList,0),0))</f>
        <v>0</v>
      </c>
      <c r="P3349" s="64" t="n">
        <f aca="false">IF(AND($M3349&gt;0,ISNUMBER(MATCH($F3349,Lists!$A$2:$A$5,0)),ISNUMBER(MATCH($G3349,Lists!$B$2:$B$7,0)),OR($H3349="",$N3349&gt;0),OR($I3349="",$I3349="NR",$O3349&gt;0),IF(ISNUMBER($J3349),AND($J3349&gt;=0,$J3349=INT($J3349)),FALSE())),$J3349,0)</f>
        <v>0</v>
      </c>
      <c r="Q3349" s="64" t="n">
        <f aca="false">IF(AND($P3349&gt;0,$O3349&gt;0),$P3349,0)</f>
        <v>0</v>
      </c>
      <c r="R3349" s="64" t="n">
        <f aca="false">IF(AND($Q3349&gt;0,$O3349&gt;=AtRank),$Q3349,0)</f>
        <v>0</v>
      </c>
      <c r="S3349" s="64" t="n">
        <f aca="false">IF(AND($Q3349&gt;0,$O3349&gt;=AboveRank),$Q3349,0)</f>
        <v>0</v>
      </c>
      <c r="T3349" s="64" t="n">
        <f aca="false">IF($K3349="Less",$P3349,0)</f>
        <v>0</v>
      </c>
      <c r="U3349" s="64" t="n">
        <f aca="false">IF($K3349="Expected",$P3349,0)</f>
        <v>0</v>
      </c>
      <c r="V3349" s="64" t="n">
        <f aca="false">IF($K3349="Better",$P3349,0)</f>
        <v>0</v>
      </c>
      <c r="W3349" s="64" t="n">
        <f aca="false">IF($K3349="U – needs rule",$P3349,0)</f>
        <v>0</v>
      </c>
      <c r="X3349" s="64" t="n">
        <f aca="false">IF($K3349="No Start (attainment only)",$P3349,0)</f>
        <v>0</v>
      </c>
    </row>
    <row r="3350" customFormat="false" ht="15" hidden="false" customHeight="false" outlineLevel="0" collapsed="false">
      <c r="A3350" s="60"/>
      <c r="B3350" s="61" t="str">
        <f aca="false">IF($M3350=0,"",INDEX(Classes!$E$6:$E$420,$M3350))</f>
        <v/>
      </c>
      <c r="C3350" s="62" t="str">
        <f aca="false">IF($M3350=0,"",INDEX(Classes!$H$6:$H$420,$M3350))</f>
        <v/>
      </c>
      <c r="D3350" s="61" t="str">
        <f aca="false">IF($M3350=0,"",INDEX(Classes!$B$6:$B$420,$M3350))</f>
        <v/>
      </c>
      <c r="E3350" s="61" t="str">
        <f aca="false">IF($M3350=0,"",INDEX(Classes!$C$6:$C$420,$M3350))</f>
        <v/>
      </c>
      <c r="F3350" s="63"/>
      <c r="G3350" s="63"/>
      <c r="H3350" s="60"/>
      <c r="I3350" s="60"/>
      <c r="J3350" s="63"/>
      <c r="K3350" s="61" t="str">
        <f aca="false">IF($P3350=0,"",IF($F3350="Baseline","— Baseline",IF($O3350=0,"No result",IF($N3350=0,"No Start (attainment only)",IF(OR($N3350=1,$O3350=1),"U – needs rule",INDEX(MxBody,MATCH($I3350,MxCurr,0),MATCH($H3350,MxStart,0)))))))</f>
        <v/>
      </c>
      <c r="L3350" s="62" t="str">
        <f aca="false">IF(COUNTA($A3350,$F3350,$G3350,$H3350,$I3350,$J3350)=0,"",IF($M3350=0,"✖ كود الصف غير موجود",IF(ISNA(MATCH($F3350,Lists!$A$2:$A$5,0)),"✖ الفترة غير صحيحة",IF(ISNA(MATCH($G3350,Lists!$B$2:$B$7,0)),"✖ المجموعة غير صحيحة",IF(NOT(OR($H3350="",$N3350&gt;0)),"✖ Start غير صحيح",IF(NOT(OR($I3350="",$I3350="NR",$O3350&gt;0)),"✖ Current غير صحيح",IF(NOT(IF(ISNUMBER($J3350),AND($J3350&gt;=0,$J3350=INT($J3350)),FALSE())),"✖ العدد يجب أن يكون صحيحًا ≥ 0",IF(AND($F3350="Baseline",$H3350&lt;&gt;""),"⚠ Baseline: Start لا يدخل في التقدم",IF($K3350="No Start (attainment only)","ℹ تحصيل فقط (بدون Start)",IF($K3350="U – needs rule","ℹ حالة U تحتاج قاعدة معتمدة",IF($K3350="No result","ℹ بدون نتيجة (يُستبعد من التحصيل)","OK")))))))))))</f>
        <v/>
      </c>
      <c r="M3350" s="64" t="n">
        <f aca="false">IF($A3350="",0,IFERROR(MATCH($A3350,Classes!$A$6:$A$420,0),0))</f>
        <v>0</v>
      </c>
      <c r="N3350" s="64" t="n">
        <f aca="false">IF($H3350="",0,IFERROR(MATCH($H3350,GradeList,0),0))</f>
        <v>0</v>
      </c>
      <c r="O3350" s="64" t="n">
        <f aca="false">IF(OR($I3350="",$I3350="NR"),0,IFERROR(MATCH($I3350,GradeList,0),0))</f>
        <v>0</v>
      </c>
      <c r="P3350" s="64" t="n">
        <f aca="false">IF(AND($M3350&gt;0,ISNUMBER(MATCH($F3350,Lists!$A$2:$A$5,0)),ISNUMBER(MATCH($G3350,Lists!$B$2:$B$7,0)),OR($H3350="",$N3350&gt;0),OR($I3350="",$I3350="NR",$O3350&gt;0),IF(ISNUMBER($J3350),AND($J3350&gt;=0,$J3350=INT($J3350)),FALSE())),$J3350,0)</f>
        <v>0</v>
      </c>
      <c r="Q3350" s="64" t="n">
        <f aca="false">IF(AND($P3350&gt;0,$O3350&gt;0),$P3350,0)</f>
        <v>0</v>
      </c>
      <c r="R3350" s="64" t="n">
        <f aca="false">IF(AND($Q3350&gt;0,$O3350&gt;=AtRank),$Q3350,0)</f>
        <v>0</v>
      </c>
      <c r="S3350" s="64" t="n">
        <f aca="false">IF(AND($Q3350&gt;0,$O3350&gt;=AboveRank),$Q3350,0)</f>
        <v>0</v>
      </c>
      <c r="T3350" s="64" t="n">
        <f aca="false">IF($K3350="Less",$P3350,0)</f>
        <v>0</v>
      </c>
      <c r="U3350" s="64" t="n">
        <f aca="false">IF($K3350="Expected",$P3350,0)</f>
        <v>0</v>
      </c>
      <c r="V3350" s="64" t="n">
        <f aca="false">IF($K3350="Better",$P3350,0)</f>
        <v>0</v>
      </c>
      <c r="W3350" s="64" t="n">
        <f aca="false">IF($K3350="U – needs rule",$P3350,0)</f>
        <v>0</v>
      </c>
      <c r="X3350" s="64" t="n">
        <f aca="false">IF($K3350="No Start (attainment only)",$P3350,0)</f>
        <v>0</v>
      </c>
    </row>
    <row r="3351" customFormat="false" ht="15" hidden="false" customHeight="false" outlineLevel="0" collapsed="false">
      <c r="A3351" s="60"/>
      <c r="B3351" s="61" t="str">
        <f aca="false">IF($M3351=0,"",INDEX(Classes!$E$6:$E$420,$M3351))</f>
        <v/>
      </c>
      <c r="C3351" s="62" t="str">
        <f aca="false">IF($M3351=0,"",INDEX(Classes!$H$6:$H$420,$M3351))</f>
        <v/>
      </c>
      <c r="D3351" s="61" t="str">
        <f aca="false">IF($M3351=0,"",INDEX(Classes!$B$6:$B$420,$M3351))</f>
        <v/>
      </c>
      <c r="E3351" s="61" t="str">
        <f aca="false">IF($M3351=0,"",INDEX(Classes!$C$6:$C$420,$M3351))</f>
        <v/>
      </c>
      <c r="F3351" s="63"/>
      <c r="G3351" s="63"/>
      <c r="H3351" s="60"/>
      <c r="I3351" s="60"/>
      <c r="J3351" s="63"/>
      <c r="K3351" s="61" t="str">
        <f aca="false">IF($P3351=0,"",IF($F3351="Baseline","— Baseline",IF($O3351=0,"No result",IF($N3351=0,"No Start (attainment only)",IF(OR($N3351=1,$O3351=1),"U – needs rule",INDEX(MxBody,MATCH($I3351,MxCurr,0),MATCH($H3351,MxStart,0)))))))</f>
        <v/>
      </c>
      <c r="L3351" s="62" t="str">
        <f aca="false">IF(COUNTA($A3351,$F3351,$G3351,$H3351,$I3351,$J3351)=0,"",IF($M3351=0,"✖ كود الصف غير موجود",IF(ISNA(MATCH($F3351,Lists!$A$2:$A$5,0)),"✖ الفترة غير صحيحة",IF(ISNA(MATCH($G3351,Lists!$B$2:$B$7,0)),"✖ المجموعة غير صحيحة",IF(NOT(OR($H3351="",$N3351&gt;0)),"✖ Start غير صحيح",IF(NOT(OR($I3351="",$I3351="NR",$O3351&gt;0)),"✖ Current غير صحيح",IF(NOT(IF(ISNUMBER($J3351),AND($J3351&gt;=0,$J3351=INT($J3351)),FALSE())),"✖ العدد يجب أن يكون صحيحًا ≥ 0",IF(AND($F3351="Baseline",$H3351&lt;&gt;""),"⚠ Baseline: Start لا يدخل في التقدم",IF($K3351="No Start (attainment only)","ℹ تحصيل فقط (بدون Start)",IF($K3351="U – needs rule","ℹ حالة U تحتاج قاعدة معتمدة",IF($K3351="No result","ℹ بدون نتيجة (يُستبعد من التحصيل)","OK")))))))))))</f>
        <v/>
      </c>
      <c r="M3351" s="64" t="n">
        <f aca="false">IF($A3351="",0,IFERROR(MATCH($A3351,Classes!$A$6:$A$420,0),0))</f>
        <v>0</v>
      </c>
      <c r="N3351" s="64" t="n">
        <f aca="false">IF($H3351="",0,IFERROR(MATCH($H3351,GradeList,0),0))</f>
        <v>0</v>
      </c>
      <c r="O3351" s="64" t="n">
        <f aca="false">IF(OR($I3351="",$I3351="NR"),0,IFERROR(MATCH($I3351,GradeList,0),0))</f>
        <v>0</v>
      </c>
      <c r="P3351" s="64" t="n">
        <f aca="false">IF(AND($M3351&gt;0,ISNUMBER(MATCH($F3351,Lists!$A$2:$A$5,0)),ISNUMBER(MATCH($G3351,Lists!$B$2:$B$7,0)),OR($H3351="",$N3351&gt;0),OR($I3351="",$I3351="NR",$O3351&gt;0),IF(ISNUMBER($J3351),AND($J3351&gt;=0,$J3351=INT($J3351)),FALSE())),$J3351,0)</f>
        <v>0</v>
      </c>
      <c r="Q3351" s="64" t="n">
        <f aca="false">IF(AND($P3351&gt;0,$O3351&gt;0),$P3351,0)</f>
        <v>0</v>
      </c>
      <c r="R3351" s="64" t="n">
        <f aca="false">IF(AND($Q3351&gt;0,$O3351&gt;=AtRank),$Q3351,0)</f>
        <v>0</v>
      </c>
      <c r="S3351" s="64" t="n">
        <f aca="false">IF(AND($Q3351&gt;0,$O3351&gt;=AboveRank),$Q3351,0)</f>
        <v>0</v>
      </c>
      <c r="T3351" s="64" t="n">
        <f aca="false">IF($K3351="Less",$P3351,0)</f>
        <v>0</v>
      </c>
      <c r="U3351" s="64" t="n">
        <f aca="false">IF($K3351="Expected",$P3351,0)</f>
        <v>0</v>
      </c>
      <c r="V3351" s="64" t="n">
        <f aca="false">IF($K3351="Better",$P3351,0)</f>
        <v>0</v>
      </c>
      <c r="W3351" s="64" t="n">
        <f aca="false">IF($K3351="U – needs rule",$P3351,0)</f>
        <v>0</v>
      </c>
      <c r="X3351" s="64" t="n">
        <f aca="false">IF($K3351="No Start (attainment only)",$P3351,0)</f>
        <v>0</v>
      </c>
    </row>
    <row r="3352" customFormat="false" ht="15" hidden="false" customHeight="false" outlineLevel="0" collapsed="false">
      <c r="A3352" s="60"/>
      <c r="B3352" s="61" t="str">
        <f aca="false">IF($M3352=0,"",INDEX(Classes!$E$6:$E$420,$M3352))</f>
        <v/>
      </c>
      <c r="C3352" s="62" t="str">
        <f aca="false">IF($M3352=0,"",INDEX(Classes!$H$6:$H$420,$M3352))</f>
        <v/>
      </c>
      <c r="D3352" s="61" t="str">
        <f aca="false">IF($M3352=0,"",INDEX(Classes!$B$6:$B$420,$M3352))</f>
        <v/>
      </c>
      <c r="E3352" s="61" t="str">
        <f aca="false">IF($M3352=0,"",INDEX(Classes!$C$6:$C$420,$M3352))</f>
        <v/>
      </c>
      <c r="F3352" s="63"/>
      <c r="G3352" s="63"/>
      <c r="H3352" s="60"/>
      <c r="I3352" s="60"/>
      <c r="J3352" s="63"/>
      <c r="K3352" s="61" t="str">
        <f aca="false">IF($P3352=0,"",IF($F3352="Baseline","— Baseline",IF($O3352=0,"No result",IF($N3352=0,"No Start (attainment only)",IF(OR($N3352=1,$O3352=1),"U – needs rule",INDEX(MxBody,MATCH($I3352,MxCurr,0),MATCH($H3352,MxStart,0)))))))</f>
        <v/>
      </c>
      <c r="L3352" s="62" t="str">
        <f aca="false">IF(COUNTA($A3352,$F3352,$G3352,$H3352,$I3352,$J3352)=0,"",IF($M3352=0,"✖ كود الصف غير موجود",IF(ISNA(MATCH($F3352,Lists!$A$2:$A$5,0)),"✖ الفترة غير صحيحة",IF(ISNA(MATCH($G3352,Lists!$B$2:$B$7,0)),"✖ المجموعة غير صحيحة",IF(NOT(OR($H3352="",$N3352&gt;0)),"✖ Start غير صحيح",IF(NOT(OR($I3352="",$I3352="NR",$O3352&gt;0)),"✖ Current غير صحيح",IF(NOT(IF(ISNUMBER($J3352),AND($J3352&gt;=0,$J3352=INT($J3352)),FALSE())),"✖ العدد يجب أن يكون صحيحًا ≥ 0",IF(AND($F3352="Baseline",$H3352&lt;&gt;""),"⚠ Baseline: Start لا يدخل في التقدم",IF($K3352="No Start (attainment only)","ℹ تحصيل فقط (بدون Start)",IF($K3352="U – needs rule","ℹ حالة U تحتاج قاعدة معتمدة",IF($K3352="No result","ℹ بدون نتيجة (يُستبعد من التحصيل)","OK")))))))))))</f>
        <v/>
      </c>
      <c r="M3352" s="64" t="n">
        <f aca="false">IF($A3352="",0,IFERROR(MATCH($A3352,Classes!$A$6:$A$420,0),0))</f>
        <v>0</v>
      </c>
      <c r="N3352" s="64" t="n">
        <f aca="false">IF($H3352="",0,IFERROR(MATCH($H3352,GradeList,0),0))</f>
        <v>0</v>
      </c>
      <c r="O3352" s="64" t="n">
        <f aca="false">IF(OR($I3352="",$I3352="NR"),0,IFERROR(MATCH($I3352,GradeList,0),0))</f>
        <v>0</v>
      </c>
      <c r="P3352" s="64" t="n">
        <f aca="false">IF(AND($M3352&gt;0,ISNUMBER(MATCH($F3352,Lists!$A$2:$A$5,0)),ISNUMBER(MATCH($G3352,Lists!$B$2:$B$7,0)),OR($H3352="",$N3352&gt;0),OR($I3352="",$I3352="NR",$O3352&gt;0),IF(ISNUMBER($J3352),AND($J3352&gt;=0,$J3352=INT($J3352)),FALSE())),$J3352,0)</f>
        <v>0</v>
      </c>
      <c r="Q3352" s="64" t="n">
        <f aca="false">IF(AND($P3352&gt;0,$O3352&gt;0),$P3352,0)</f>
        <v>0</v>
      </c>
      <c r="R3352" s="64" t="n">
        <f aca="false">IF(AND($Q3352&gt;0,$O3352&gt;=AtRank),$Q3352,0)</f>
        <v>0</v>
      </c>
      <c r="S3352" s="64" t="n">
        <f aca="false">IF(AND($Q3352&gt;0,$O3352&gt;=AboveRank),$Q3352,0)</f>
        <v>0</v>
      </c>
      <c r="T3352" s="64" t="n">
        <f aca="false">IF($K3352="Less",$P3352,0)</f>
        <v>0</v>
      </c>
      <c r="U3352" s="64" t="n">
        <f aca="false">IF($K3352="Expected",$P3352,0)</f>
        <v>0</v>
      </c>
      <c r="V3352" s="64" t="n">
        <f aca="false">IF($K3352="Better",$P3352,0)</f>
        <v>0</v>
      </c>
      <c r="W3352" s="64" t="n">
        <f aca="false">IF($K3352="U – needs rule",$P3352,0)</f>
        <v>0</v>
      </c>
      <c r="X3352" s="64" t="n">
        <f aca="false">IF($K3352="No Start (attainment only)",$P3352,0)</f>
        <v>0</v>
      </c>
    </row>
    <row r="3353" customFormat="false" ht="15" hidden="false" customHeight="false" outlineLevel="0" collapsed="false">
      <c r="A3353" s="60"/>
      <c r="B3353" s="61" t="str">
        <f aca="false">IF($M3353=0,"",INDEX(Classes!$E$6:$E$420,$M3353))</f>
        <v/>
      </c>
      <c r="C3353" s="62" t="str">
        <f aca="false">IF($M3353=0,"",INDEX(Classes!$H$6:$H$420,$M3353))</f>
        <v/>
      </c>
      <c r="D3353" s="61" t="str">
        <f aca="false">IF($M3353=0,"",INDEX(Classes!$B$6:$B$420,$M3353))</f>
        <v/>
      </c>
      <c r="E3353" s="61" t="str">
        <f aca="false">IF($M3353=0,"",INDEX(Classes!$C$6:$C$420,$M3353))</f>
        <v/>
      </c>
      <c r="F3353" s="63"/>
      <c r="G3353" s="63"/>
      <c r="H3353" s="60"/>
      <c r="I3353" s="60"/>
      <c r="J3353" s="63"/>
      <c r="K3353" s="61" t="str">
        <f aca="false">IF($P3353=0,"",IF($F3353="Baseline","— Baseline",IF($O3353=0,"No result",IF($N3353=0,"No Start (attainment only)",IF(OR($N3353=1,$O3353=1),"U – needs rule",INDEX(MxBody,MATCH($I3353,MxCurr,0),MATCH($H3353,MxStart,0)))))))</f>
        <v/>
      </c>
      <c r="L3353" s="62" t="str">
        <f aca="false">IF(COUNTA($A3353,$F3353,$G3353,$H3353,$I3353,$J3353)=0,"",IF($M3353=0,"✖ كود الصف غير موجود",IF(ISNA(MATCH($F3353,Lists!$A$2:$A$5,0)),"✖ الفترة غير صحيحة",IF(ISNA(MATCH($G3353,Lists!$B$2:$B$7,0)),"✖ المجموعة غير صحيحة",IF(NOT(OR($H3353="",$N3353&gt;0)),"✖ Start غير صحيح",IF(NOT(OR($I3353="",$I3353="NR",$O3353&gt;0)),"✖ Current غير صحيح",IF(NOT(IF(ISNUMBER($J3353),AND($J3353&gt;=0,$J3353=INT($J3353)),FALSE())),"✖ العدد يجب أن يكون صحيحًا ≥ 0",IF(AND($F3353="Baseline",$H3353&lt;&gt;""),"⚠ Baseline: Start لا يدخل في التقدم",IF($K3353="No Start (attainment only)","ℹ تحصيل فقط (بدون Start)",IF($K3353="U – needs rule","ℹ حالة U تحتاج قاعدة معتمدة",IF($K3353="No result","ℹ بدون نتيجة (يُستبعد من التحصيل)","OK")))))))))))</f>
        <v/>
      </c>
      <c r="M3353" s="64" t="n">
        <f aca="false">IF($A3353="",0,IFERROR(MATCH($A3353,Classes!$A$6:$A$420,0),0))</f>
        <v>0</v>
      </c>
      <c r="N3353" s="64" t="n">
        <f aca="false">IF($H3353="",0,IFERROR(MATCH($H3353,GradeList,0),0))</f>
        <v>0</v>
      </c>
      <c r="O3353" s="64" t="n">
        <f aca="false">IF(OR($I3353="",$I3353="NR"),0,IFERROR(MATCH($I3353,GradeList,0),0))</f>
        <v>0</v>
      </c>
      <c r="P3353" s="64" t="n">
        <f aca="false">IF(AND($M3353&gt;0,ISNUMBER(MATCH($F3353,Lists!$A$2:$A$5,0)),ISNUMBER(MATCH($G3353,Lists!$B$2:$B$7,0)),OR($H3353="",$N3353&gt;0),OR($I3353="",$I3353="NR",$O3353&gt;0),IF(ISNUMBER($J3353),AND($J3353&gt;=0,$J3353=INT($J3353)),FALSE())),$J3353,0)</f>
        <v>0</v>
      </c>
      <c r="Q3353" s="64" t="n">
        <f aca="false">IF(AND($P3353&gt;0,$O3353&gt;0),$P3353,0)</f>
        <v>0</v>
      </c>
      <c r="R3353" s="64" t="n">
        <f aca="false">IF(AND($Q3353&gt;0,$O3353&gt;=AtRank),$Q3353,0)</f>
        <v>0</v>
      </c>
      <c r="S3353" s="64" t="n">
        <f aca="false">IF(AND($Q3353&gt;0,$O3353&gt;=AboveRank),$Q3353,0)</f>
        <v>0</v>
      </c>
      <c r="T3353" s="64" t="n">
        <f aca="false">IF($K3353="Less",$P3353,0)</f>
        <v>0</v>
      </c>
      <c r="U3353" s="64" t="n">
        <f aca="false">IF($K3353="Expected",$P3353,0)</f>
        <v>0</v>
      </c>
      <c r="V3353" s="64" t="n">
        <f aca="false">IF($K3353="Better",$P3353,0)</f>
        <v>0</v>
      </c>
      <c r="W3353" s="64" t="n">
        <f aca="false">IF($K3353="U – needs rule",$P3353,0)</f>
        <v>0</v>
      </c>
      <c r="X3353" s="64" t="n">
        <f aca="false">IF($K3353="No Start (attainment only)",$P3353,0)</f>
        <v>0</v>
      </c>
    </row>
    <row r="3354" customFormat="false" ht="15" hidden="false" customHeight="false" outlineLevel="0" collapsed="false">
      <c r="A3354" s="60"/>
      <c r="B3354" s="61" t="str">
        <f aca="false">IF($M3354=0,"",INDEX(Classes!$E$6:$E$420,$M3354))</f>
        <v/>
      </c>
      <c r="C3354" s="62" t="str">
        <f aca="false">IF($M3354=0,"",INDEX(Classes!$H$6:$H$420,$M3354))</f>
        <v/>
      </c>
      <c r="D3354" s="61" t="str">
        <f aca="false">IF($M3354=0,"",INDEX(Classes!$B$6:$B$420,$M3354))</f>
        <v/>
      </c>
      <c r="E3354" s="61" t="str">
        <f aca="false">IF($M3354=0,"",INDEX(Classes!$C$6:$C$420,$M3354))</f>
        <v/>
      </c>
      <c r="F3354" s="63"/>
      <c r="G3354" s="63"/>
      <c r="H3354" s="60"/>
      <c r="I3354" s="60"/>
      <c r="J3354" s="63"/>
      <c r="K3354" s="61" t="str">
        <f aca="false">IF($P3354=0,"",IF($F3354="Baseline","— Baseline",IF($O3354=0,"No result",IF($N3354=0,"No Start (attainment only)",IF(OR($N3354=1,$O3354=1),"U – needs rule",INDEX(MxBody,MATCH($I3354,MxCurr,0),MATCH($H3354,MxStart,0)))))))</f>
        <v/>
      </c>
      <c r="L3354" s="62" t="str">
        <f aca="false">IF(COUNTA($A3354,$F3354,$G3354,$H3354,$I3354,$J3354)=0,"",IF($M3354=0,"✖ كود الصف غير موجود",IF(ISNA(MATCH($F3354,Lists!$A$2:$A$5,0)),"✖ الفترة غير صحيحة",IF(ISNA(MATCH($G3354,Lists!$B$2:$B$7,0)),"✖ المجموعة غير صحيحة",IF(NOT(OR($H3354="",$N3354&gt;0)),"✖ Start غير صحيح",IF(NOT(OR($I3354="",$I3354="NR",$O3354&gt;0)),"✖ Current غير صحيح",IF(NOT(IF(ISNUMBER($J3354),AND($J3354&gt;=0,$J3354=INT($J3354)),FALSE())),"✖ العدد يجب أن يكون صحيحًا ≥ 0",IF(AND($F3354="Baseline",$H3354&lt;&gt;""),"⚠ Baseline: Start لا يدخل في التقدم",IF($K3354="No Start (attainment only)","ℹ تحصيل فقط (بدون Start)",IF($K3354="U – needs rule","ℹ حالة U تحتاج قاعدة معتمدة",IF($K3354="No result","ℹ بدون نتيجة (يُستبعد من التحصيل)","OK")))))))))))</f>
        <v/>
      </c>
      <c r="M3354" s="64" t="n">
        <f aca="false">IF($A3354="",0,IFERROR(MATCH($A3354,Classes!$A$6:$A$420,0),0))</f>
        <v>0</v>
      </c>
      <c r="N3354" s="64" t="n">
        <f aca="false">IF($H3354="",0,IFERROR(MATCH($H3354,GradeList,0),0))</f>
        <v>0</v>
      </c>
      <c r="O3354" s="64" t="n">
        <f aca="false">IF(OR($I3354="",$I3354="NR"),0,IFERROR(MATCH($I3354,GradeList,0),0))</f>
        <v>0</v>
      </c>
      <c r="P3354" s="64" t="n">
        <f aca="false">IF(AND($M3354&gt;0,ISNUMBER(MATCH($F3354,Lists!$A$2:$A$5,0)),ISNUMBER(MATCH($G3354,Lists!$B$2:$B$7,0)),OR($H3354="",$N3354&gt;0),OR($I3354="",$I3354="NR",$O3354&gt;0),IF(ISNUMBER($J3354),AND($J3354&gt;=0,$J3354=INT($J3354)),FALSE())),$J3354,0)</f>
        <v>0</v>
      </c>
      <c r="Q3354" s="64" t="n">
        <f aca="false">IF(AND($P3354&gt;0,$O3354&gt;0),$P3354,0)</f>
        <v>0</v>
      </c>
      <c r="R3354" s="64" t="n">
        <f aca="false">IF(AND($Q3354&gt;0,$O3354&gt;=AtRank),$Q3354,0)</f>
        <v>0</v>
      </c>
      <c r="S3354" s="64" t="n">
        <f aca="false">IF(AND($Q3354&gt;0,$O3354&gt;=AboveRank),$Q3354,0)</f>
        <v>0</v>
      </c>
      <c r="T3354" s="64" t="n">
        <f aca="false">IF($K3354="Less",$P3354,0)</f>
        <v>0</v>
      </c>
      <c r="U3354" s="64" t="n">
        <f aca="false">IF($K3354="Expected",$P3354,0)</f>
        <v>0</v>
      </c>
      <c r="V3354" s="64" t="n">
        <f aca="false">IF($K3354="Better",$P3354,0)</f>
        <v>0</v>
      </c>
      <c r="W3354" s="64" t="n">
        <f aca="false">IF($K3354="U – needs rule",$P3354,0)</f>
        <v>0</v>
      </c>
      <c r="X3354" s="64" t="n">
        <f aca="false">IF($K3354="No Start (attainment only)",$P3354,0)</f>
        <v>0</v>
      </c>
    </row>
    <row r="3355" customFormat="false" ht="15" hidden="false" customHeight="false" outlineLevel="0" collapsed="false">
      <c r="A3355" s="60"/>
      <c r="B3355" s="61" t="str">
        <f aca="false">IF($M3355=0,"",INDEX(Classes!$E$6:$E$420,$M3355))</f>
        <v/>
      </c>
      <c r="C3355" s="62" t="str">
        <f aca="false">IF($M3355=0,"",INDEX(Classes!$H$6:$H$420,$M3355))</f>
        <v/>
      </c>
      <c r="D3355" s="61" t="str">
        <f aca="false">IF($M3355=0,"",INDEX(Classes!$B$6:$B$420,$M3355))</f>
        <v/>
      </c>
      <c r="E3355" s="61" t="str">
        <f aca="false">IF($M3355=0,"",INDEX(Classes!$C$6:$C$420,$M3355))</f>
        <v/>
      </c>
      <c r="F3355" s="63"/>
      <c r="G3355" s="63"/>
      <c r="H3355" s="60"/>
      <c r="I3355" s="60"/>
      <c r="J3355" s="63"/>
      <c r="K3355" s="61" t="str">
        <f aca="false">IF($P3355=0,"",IF($F3355="Baseline","— Baseline",IF($O3355=0,"No result",IF($N3355=0,"No Start (attainment only)",IF(OR($N3355=1,$O3355=1),"U – needs rule",INDEX(MxBody,MATCH($I3355,MxCurr,0),MATCH($H3355,MxStart,0)))))))</f>
        <v/>
      </c>
      <c r="L3355" s="62" t="str">
        <f aca="false">IF(COUNTA($A3355,$F3355,$G3355,$H3355,$I3355,$J3355)=0,"",IF($M3355=0,"✖ كود الصف غير موجود",IF(ISNA(MATCH($F3355,Lists!$A$2:$A$5,0)),"✖ الفترة غير صحيحة",IF(ISNA(MATCH($G3355,Lists!$B$2:$B$7,0)),"✖ المجموعة غير صحيحة",IF(NOT(OR($H3355="",$N3355&gt;0)),"✖ Start غير صحيح",IF(NOT(OR($I3355="",$I3355="NR",$O3355&gt;0)),"✖ Current غير صحيح",IF(NOT(IF(ISNUMBER($J3355),AND($J3355&gt;=0,$J3355=INT($J3355)),FALSE())),"✖ العدد يجب أن يكون صحيحًا ≥ 0",IF(AND($F3355="Baseline",$H3355&lt;&gt;""),"⚠ Baseline: Start لا يدخل في التقدم",IF($K3355="No Start (attainment only)","ℹ تحصيل فقط (بدون Start)",IF($K3355="U – needs rule","ℹ حالة U تحتاج قاعدة معتمدة",IF($K3355="No result","ℹ بدون نتيجة (يُستبعد من التحصيل)","OK")))))))))))</f>
        <v/>
      </c>
      <c r="M3355" s="64" t="n">
        <f aca="false">IF($A3355="",0,IFERROR(MATCH($A3355,Classes!$A$6:$A$420,0),0))</f>
        <v>0</v>
      </c>
      <c r="N3355" s="64" t="n">
        <f aca="false">IF($H3355="",0,IFERROR(MATCH($H3355,GradeList,0),0))</f>
        <v>0</v>
      </c>
      <c r="O3355" s="64" t="n">
        <f aca="false">IF(OR($I3355="",$I3355="NR"),0,IFERROR(MATCH($I3355,GradeList,0),0))</f>
        <v>0</v>
      </c>
      <c r="P3355" s="64" t="n">
        <f aca="false">IF(AND($M3355&gt;0,ISNUMBER(MATCH($F3355,Lists!$A$2:$A$5,0)),ISNUMBER(MATCH($G3355,Lists!$B$2:$B$7,0)),OR($H3355="",$N3355&gt;0),OR($I3355="",$I3355="NR",$O3355&gt;0),IF(ISNUMBER($J3355),AND($J3355&gt;=0,$J3355=INT($J3355)),FALSE())),$J3355,0)</f>
        <v>0</v>
      </c>
      <c r="Q3355" s="64" t="n">
        <f aca="false">IF(AND($P3355&gt;0,$O3355&gt;0),$P3355,0)</f>
        <v>0</v>
      </c>
      <c r="R3355" s="64" t="n">
        <f aca="false">IF(AND($Q3355&gt;0,$O3355&gt;=AtRank),$Q3355,0)</f>
        <v>0</v>
      </c>
      <c r="S3355" s="64" t="n">
        <f aca="false">IF(AND($Q3355&gt;0,$O3355&gt;=AboveRank),$Q3355,0)</f>
        <v>0</v>
      </c>
      <c r="T3355" s="64" t="n">
        <f aca="false">IF($K3355="Less",$P3355,0)</f>
        <v>0</v>
      </c>
      <c r="U3355" s="64" t="n">
        <f aca="false">IF($K3355="Expected",$P3355,0)</f>
        <v>0</v>
      </c>
      <c r="V3355" s="64" t="n">
        <f aca="false">IF($K3355="Better",$P3355,0)</f>
        <v>0</v>
      </c>
      <c r="W3355" s="64" t="n">
        <f aca="false">IF($K3355="U – needs rule",$P3355,0)</f>
        <v>0</v>
      </c>
      <c r="X3355" s="64" t="n">
        <f aca="false">IF($K3355="No Start (attainment only)",$P3355,0)</f>
        <v>0</v>
      </c>
    </row>
    <row r="3356" customFormat="false" ht="15" hidden="false" customHeight="false" outlineLevel="0" collapsed="false">
      <c r="A3356" s="60"/>
      <c r="B3356" s="61" t="str">
        <f aca="false">IF($M3356=0,"",INDEX(Classes!$E$6:$E$420,$M3356))</f>
        <v/>
      </c>
      <c r="C3356" s="62" t="str">
        <f aca="false">IF($M3356=0,"",INDEX(Classes!$H$6:$H$420,$M3356))</f>
        <v/>
      </c>
      <c r="D3356" s="61" t="str">
        <f aca="false">IF($M3356=0,"",INDEX(Classes!$B$6:$B$420,$M3356))</f>
        <v/>
      </c>
      <c r="E3356" s="61" t="str">
        <f aca="false">IF($M3356=0,"",INDEX(Classes!$C$6:$C$420,$M3356))</f>
        <v/>
      </c>
      <c r="F3356" s="63"/>
      <c r="G3356" s="63"/>
      <c r="H3356" s="60"/>
      <c r="I3356" s="60"/>
      <c r="J3356" s="63"/>
      <c r="K3356" s="61" t="str">
        <f aca="false">IF($P3356=0,"",IF($F3356="Baseline","— Baseline",IF($O3356=0,"No result",IF($N3356=0,"No Start (attainment only)",IF(OR($N3356=1,$O3356=1),"U – needs rule",INDEX(MxBody,MATCH($I3356,MxCurr,0),MATCH($H3356,MxStart,0)))))))</f>
        <v/>
      </c>
      <c r="L3356" s="62" t="str">
        <f aca="false">IF(COUNTA($A3356,$F3356,$G3356,$H3356,$I3356,$J3356)=0,"",IF($M3356=0,"✖ كود الصف غير موجود",IF(ISNA(MATCH($F3356,Lists!$A$2:$A$5,0)),"✖ الفترة غير صحيحة",IF(ISNA(MATCH($G3356,Lists!$B$2:$B$7,0)),"✖ المجموعة غير صحيحة",IF(NOT(OR($H3356="",$N3356&gt;0)),"✖ Start غير صحيح",IF(NOT(OR($I3356="",$I3356="NR",$O3356&gt;0)),"✖ Current غير صحيح",IF(NOT(IF(ISNUMBER($J3356),AND($J3356&gt;=0,$J3356=INT($J3356)),FALSE())),"✖ العدد يجب أن يكون صحيحًا ≥ 0",IF(AND($F3356="Baseline",$H3356&lt;&gt;""),"⚠ Baseline: Start لا يدخل في التقدم",IF($K3356="No Start (attainment only)","ℹ تحصيل فقط (بدون Start)",IF($K3356="U – needs rule","ℹ حالة U تحتاج قاعدة معتمدة",IF($K3356="No result","ℹ بدون نتيجة (يُستبعد من التحصيل)","OK")))))))))))</f>
        <v/>
      </c>
      <c r="M3356" s="64" t="n">
        <f aca="false">IF($A3356="",0,IFERROR(MATCH($A3356,Classes!$A$6:$A$420,0),0))</f>
        <v>0</v>
      </c>
      <c r="N3356" s="64" t="n">
        <f aca="false">IF($H3356="",0,IFERROR(MATCH($H3356,GradeList,0),0))</f>
        <v>0</v>
      </c>
      <c r="O3356" s="64" t="n">
        <f aca="false">IF(OR($I3356="",$I3356="NR"),0,IFERROR(MATCH($I3356,GradeList,0),0))</f>
        <v>0</v>
      </c>
      <c r="P3356" s="64" t="n">
        <f aca="false">IF(AND($M3356&gt;0,ISNUMBER(MATCH($F3356,Lists!$A$2:$A$5,0)),ISNUMBER(MATCH($G3356,Lists!$B$2:$B$7,0)),OR($H3356="",$N3356&gt;0),OR($I3356="",$I3356="NR",$O3356&gt;0),IF(ISNUMBER($J3356),AND($J3356&gt;=0,$J3356=INT($J3356)),FALSE())),$J3356,0)</f>
        <v>0</v>
      </c>
      <c r="Q3356" s="64" t="n">
        <f aca="false">IF(AND($P3356&gt;0,$O3356&gt;0),$P3356,0)</f>
        <v>0</v>
      </c>
      <c r="R3356" s="64" t="n">
        <f aca="false">IF(AND($Q3356&gt;0,$O3356&gt;=AtRank),$Q3356,0)</f>
        <v>0</v>
      </c>
      <c r="S3356" s="64" t="n">
        <f aca="false">IF(AND($Q3356&gt;0,$O3356&gt;=AboveRank),$Q3356,0)</f>
        <v>0</v>
      </c>
      <c r="T3356" s="64" t="n">
        <f aca="false">IF($K3356="Less",$P3356,0)</f>
        <v>0</v>
      </c>
      <c r="U3356" s="64" t="n">
        <f aca="false">IF($K3356="Expected",$P3356,0)</f>
        <v>0</v>
      </c>
      <c r="V3356" s="64" t="n">
        <f aca="false">IF($K3356="Better",$P3356,0)</f>
        <v>0</v>
      </c>
      <c r="W3356" s="64" t="n">
        <f aca="false">IF($K3356="U – needs rule",$P3356,0)</f>
        <v>0</v>
      </c>
      <c r="X3356" s="64" t="n">
        <f aca="false">IF($K3356="No Start (attainment only)",$P3356,0)</f>
        <v>0</v>
      </c>
    </row>
    <row r="3357" customFormat="false" ht="15" hidden="false" customHeight="false" outlineLevel="0" collapsed="false">
      <c r="A3357" s="60"/>
      <c r="B3357" s="61" t="str">
        <f aca="false">IF($M3357=0,"",INDEX(Classes!$E$6:$E$420,$M3357))</f>
        <v/>
      </c>
      <c r="C3357" s="62" t="str">
        <f aca="false">IF($M3357=0,"",INDEX(Classes!$H$6:$H$420,$M3357))</f>
        <v/>
      </c>
      <c r="D3357" s="61" t="str">
        <f aca="false">IF($M3357=0,"",INDEX(Classes!$B$6:$B$420,$M3357))</f>
        <v/>
      </c>
      <c r="E3357" s="61" t="str">
        <f aca="false">IF($M3357=0,"",INDEX(Classes!$C$6:$C$420,$M3357))</f>
        <v/>
      </c>
      <c r="F3357" s="63"/>
      <c r="G3357" s="63"/>
      <c r="H3357" s="60"/>
      <c r="I3357" s="60"/>
      <c r="J3357" s="63"/>
      <c r="K3357" s="61" t="str">
        <f aca="false">IF($P3357=0,"",IF($F3357="Baseline","— Baseline",IF($O3357=0,"No result",IF($N3357=0,"No Start (attainment only)",IF(OR($N3357=1,$O3357=1),"U – needs rule",INDEX(MxBody,MATCH($I3357,MxCurr,0),MATCH($H3357,MxStart,0)))))))</f>
        <v/>
      </c>
      <c r="L3357" s="62" t="str">
        <f aca="false">IF(COUNTA($A3357,$F3357,$G3357,$H3357,$I3357,$J3357)=0,"",IF($M3357=0,"✖ كود الصف غير موجود",IF(ISNA(MATCH($F3357,Lists!$A$2:$A$5,0)),"✖ الفترة غير صحيحة",IF(ISNA(MATCH($G3357,Lists!$B$2:$B$7,0)),"✖ المجموعة غير صحيحة",IF(NOT(OR($H3357="",$N3357&gt;0)),"✖ Start غير صحيح",IF(NOT(OR($I3357="",$I3357="NR",$O3357&gt;0)),"✖ Current غير صحيح",IF(NOT(IF(ISNUMBER($J3357),AND($J3357&gt;=0,$J3357=INT($J3357)),FALSE())),"✖ العدد يجب أن يكون صحيحًا ≥ 0",IF(AND($F3357="Baseline",$H3357&lt;&gt;""),"⚠ Baseline: Start لا يدخل في التقدم",IF($K3357="No Start (attainment only)","ℹ تحصيل فقط (بدون Start)",IF($K3357="U – needs rule","ℹ حالة U تحتاج قاعدة معتمدة",IF($K3357="No result","ℹ بدون نتيجة (يُستبعد من التحصيل)","OK")))))))))))</f>
        <v/>
      </c>
      <c r="M3357" s="64" t="n">
        <f aca="false">IF($A3357="",0,IFERROR(MATCH($A3357,Classes!$A$6:$A$420,0),0))</f>
        <v>0</v>
      </c>
      <c r="N3357" s="64" t="n">
        <f aca="false">IF($H3357="",0,IFERROR(MATCH($H3357,GradeList,0),0))</f>
        <v>0</v>
      </c>
      <c r="O3357" s="64" t="n">
        <f aca="false">IF(OR($I3357="",$I3357="NR"),0,IFERROR(MATCH($I3357,GradeList,0),0))</f>
        <v>0</v>
      </c>
      <c r="P3357" s="64" t="n">
        <f aca="false">IF(AND($M3357&gt;0,ISNUMBER(MATCH($F3357,Lists!$A$2:$A$5,0)),ISNUMBER(MATCH($G3357,Lists!$B$2:$B$7,0)),OR($H3357="",$N3357&gt;0),OR($I3357="",$I3357="NR",$O3357&gt;0),IF(ISNUMBER($J3357),AND($J3357&gt;=0,$J3357=INT($J3357)),FALSE())),$J3357,0)</f>
        <v>0</v>
      </c>
      <c r="Q3357" s="64" t="n">
        <f aca="false">IF(AND($P3357&gt;0,$O3357&gt;0),$P3357,0)</f>
        <v>0</v>
      </c>
      <c r="R3357" s="64" t="n">
        <f aca="false">IF(AND($Q3357&gt;0,$O3357&gt;=AtRank),$Q3357,0)</f>
        <v>0</v>
      </c>
      <c r="S3357" s="64" t="n">
        <f aca="false">IF(AND($Q3357&gt;0,$O3357&gt;=AboveRank),$Q3357,0)</f>
        <v>0</v>
      </c>
      <c r="T3357" s="64" t="n">
        <f aca="false">IF($K3357="Less",$P3357,0)</f>
        <v>0</v>
      </c>
      <c r="U3357" s="64" t="n">
        <f aca="false">IF($K3357="Expected",$P3357,0)</f>
        <v>0</v>
      </c>
      <c r="V3357" s="64" t="n">
        <f aca="false">IF($K3357="Better",$P3357,0)</f>
        <v>0</v>
      </c>
      <c r="W3357" s="64" t="n">
        <f aca="false">IF($K3357="U – needs rule",$P3357,0)</f>
        <v>0</v>
      </c>
      <c r="X3357" s="64" t="n">
        <f aca="false">IF($K3357="No Start (attainment only)",$P3357,0)</f>
        <v>0</v>
      </c>
    </row>
    <row r="3358" customFormat="false" ht="15" hidden="false" customHeight="false" outlineLevel="0" collapsed="false">
      <c r="A3358" s="60"/>
      <c r="B3358" s="61" t="str">
        <f aca="false">IF($M3358=0,"",INDEX(Classes!$E$6:$E$420,$M3358))</f>
        <v/>
      </c>
      <c r="C3358" s="62" t="str">
        <f aca="false">IF($M3358=0,"",INDEX(Classes!$H$6:$H$420,$M3358))</f>
        <v/>
      </c>
      <c r="D3358" s="61" t="str">
        <f aca="false">IF($M3358=0,"",INDEX(Classes!$B$6:$B$420,$M3358))</f>
        <v/>
      </c>
      <c r="E3358" s="61" t="str">
        <f aca="false">IF($M3358=0,"",INDEX(Classes!$C$6:$C$420,$M3358))</f>
        <v/>
      </c>
      <c r="F3358" s="63"/>
      <c r="G3358" s="63"/>
      <c r="H3358" s="60"/>
      <c r="I3358" s="60"/>
      <c r="J3358" s="63"/>
      <c r="K3358" s="61" t="str">
        <f aca="false">IF($P3358=0,"",IF($F3358="Baseline","— Baseline",IF($O3358=0,"No result",IF($N3358=0,"No Start (attainment only)",IF(OR($N3358=1,$O3358=1),"U – needs rule",INDEX(MxBody,MATCH($I3358,MxCurr,0),MATCH($H3358,MxStart,0)))))))</f>
        <v/>
      </c>
      <c r="L3358" s="62" t="str">
        <f aca="false">IF(COUNTA($A3358,$F3358,$G3358,$H3358,$I3358,$J3358)=0,"",IF($M3358=0,"✖ كود الصف غير موجود",IF(ISNA(MATCH($F3358,Lists!$A$2:$A$5,0)),"✖ الفترة غير صحيحة",IF(ISNA(MATCH($G3358,Lists!$B$2:$B$7,0)),"✖ المجموعة غير صحيحة",IF(NOT(OR($H3358="",$N3358&gt;0)),"✖ Start غير صحيح",IF(NOT(OR($I3358="",$I3358="NR",$O3358&gt;0)),"✖ Current غير صحيح",IF(NOT(IF(ISNUMBER($J3358),AND($J3358&gt;=0,$J3358=INT($J3358)),FALSE())),"✖ العدد يجب أن يكون صحيحًا ≥ 0",IF(AND($F3358="Baseline",$H3358&lt;&gt;""),"⚠ Baseline: Start لا يدخل في التقدم",IF($K3358="No Start (attainment only)","ℹ تحصيل فقط (بدون Start)",IF($K3358="U – needs rule","ℹ حالة U تحتاج قاعدة معتمدة",IF($K3358="No result","ℹ بدون نتيجة (يُستبعد من التحصيل)","OK")))))))))))</f>
        <v/>
      </c>
      <c r="M3358" s="64" t="n">
        <f aca="false">IF($A3358="",0,IFERROR(MATCH($A3358,Classes!$A$6:$A$420,0),0))</f>
        <v>0</v>
      </c>
      <c r="N3358" s="64" t="n">
        <f aca="false">IF($H3358="",0,IFERROR(MATCH($H3358,GradeList,0),0))</f>
        <v>0</v>
      </c>
      <c r="O3358" s="64" t="n">
        <f aca="false">IF(OR($I3358="",$I3358="NR"),0,IFERROR(MATCH($I3358,GradeList,0),0))</f>
        <v>0</v>
      </c>
      <c r="P3358" s="64" t="n">
        <f aca="false">IF(AND($M3358&gt;0,ISNUMBER(MATCH($F3358,Lists!$A$2:$A$5,0)),ISNUMBER(MATCH($G3358,Lists!$B$2:$B$7,0)),OR($H3358="",$N3358&gt;0),OR($I3358="",$I3358="NR",$O3358&gt;0),IF(ISNUMBER($J3358),AND($J3358&gt;=0,$J3358=INT($J3358)),FALSE())),$J3358,0)</f>
        <v>0</v>
      </c>
      <c r="Q3358" s="64" t="n">
        <f aca="false">IF(AND($P3358&gt;0,$O3358&gt;0),$P3358,0)</f>
        <v>0</v>
      </c>
      <c r="R3358" s="64" t="n">
        <f aca="false">IF(AND($Q3358&gt;0,$O3358&gt;=AtRank),$Q3358,0)</f>
        <v>0</v>
      </c>
      <c r="S3358" s="64" t="n">
        <f aca="false">IF(AND($Q3358&gt;0,$O3358&gt;=AboveRank),$Q3358,0)</f>
        <v>0</v>
      </c>
      <c r="T3358" s="64" t="n">
        <f aca="false">IF($K3358="Less",$P3358,0)</f>
        <v>0</v>
      </c>
      <c r="U3358" s="64" t="n">
        <f aca="false">IF($K3358="Expected",$P3358,0)</f>
        <v>0</v>
      </c>
      <c r="V3358" s="64" t="n">
        <f aca="false">IF($K3358="Better",$P3358,0)</f>
        <v>0</v>
      </c>
      <c r="W3358" s="64" t="n">
        <f aca="false">IF($K3358="U – needs rule",$P3358,0)</f>
        <v>0</v>
      </c>
      <c r="X3358" s="64" t="n">
        <f aca="false">IF($K3358="No Start (attainment only)",$P3358,0)</f>
        <v>0</v>
      </c>
    </row>
    <row r="3359" customFormat="false" ht="15" hidden="false" customHeight="false" outlineLevel="0" collapsed="false">
      <c r="A3359" s="60"/>
      <c r="B3359" s="61" t="str">
        <f aca="false">IF($M3359=0,"",INDEX(Classes!$E$6:$E$420,$M3359))</f>
        <v/>
      </c>
      <c r="C3359" s="62" t="str">
        <f aca="false">IF($M3359=0,"",INDEX(Classes!$H$6:$H$420,$M3359))</f>
        <v/>
      </c>
      <c r="D3359" s="61" t="str">
        <f aca="false">IF($M3359=0,"",INDEX(Classes!$B$6:$B$420,$M3359))</f>
        <v/>
      </c>
      <c r="E3359" s="61" t="str">
        <f aca="false">IF($M3359=0,"",INDEX(Classes!$C$6:$C$420,$M3359))</f>
        <v/>
      </c>
      <c r="F3359" s="63"/>
      <c r="G3359" s="63"/>
      <c r="H3359" s="60"/>
      <c r="I3359" s="60"/>
      <c r="J3359" s="63"/>
      <c r="K3359" s="61" t="str">
        <f aca="false">IF($P3359=0,"",IF($F3359="Baseline","— Baseline",IF($O3359=0,"No result",IF($N3359=0,"No Start (attainment only)",IF(OR($N3359=1,$O3359=1),"U – needs rule",INDEX(MxBody,MATCH($I3359,MxCurr,0),MATCH($H3359,MxStart,0)))))))</f>
        <v/>
      </c>
      <c r="L3359" s="62" t="str">
        <f aca="false">IF(COUNTA($A3359,$F3359,$G3359,$H3359,$I3359,$J3359)=0,"",IF($M3359=0,"✖ كود الصف غير موجود",IF(ISNA(MATCH($F3359,Lists!$A$2:$A$5,0)),"✖ الفترة غير صحيحة",IF(ISNA(MATCH($G3359,Lists!$B$2:$B$7,0)),"✖ المجموعة غير صحيحة",IF(NOT(OR($H3359="",$N3359&gt;0)),"✖ Start غير صحيح",IF(NOT(OR($I3359="",$I3359="NR",$O3359&gt;0)),"✖ Current غير صحيح",IF(NOT(IF(ISNUMBER($J3359),AND($J3359&gt;=0,$J3359=INT($J3359)),FALSE())),"✖ العدد يجب أن يكون صحيحًا ≥ 0",IF(AND($F3359="Baseline",$H3359&lt;&gt;""),"⚠ Baseline: Start لا يدخل في التقدم",IF($K3359="No Start (attainment only)","ℹ تحصيل فقط (بدون Start)",IF($K3359="U – needs rule","ℹ حالة U تحتاج قاعدة معتمدة",IF($K3359="No result","ℹ بدون نتيجة (يُستبعد من التحصيل)","OK")))))))))))</f>
        <v/>
      </c>
      <c r="M3359" s="64" t="n">
        <f aca="false">IF($A3359="",0,IFERROR(MATCH($A3359,Classes!$A$6:$A$420,0),0))</f>
        <v>0</v>
      </c>
      <c r="N3359" s="64" t="n">
        <f aca="false">IF($H3359="",0,IFERROR(MATCH($H3359,GradeList,0),0))</f>
        <v>0</v>
      </c>
      <c r="O3359" s="64" t="n">
        <f aca="false">IF(OR($I3359="",$I3359="NR"),0,IFERROR(MATCH($I3359,GradeList,0),0))</f>
        <v>0</v>
      </c>
      <c r="P3359" s="64" t="n">
        <f aca="false">IF(AND($M3359&gt;0,ISNUMBER(MATCH($F3359,Lists!$A$2:$A$5,0)),ISNUMBER(MATCH($G3359,Lists!$B$2:$B$7,0)),OR($H3359="",$N3359&gt;0),OR($I3359="",$I3359="NR",$O3359&gt;0),IF(ISNUMBER($J3359),AND($J3359&gt;=0,$J3359=INT($J3359)),FALSE())),$J3359,0)</f>
        <v>0</v>
      </c>
      <c r="Q3359" s="64" t="n">
        <f aca="false">IF(AND($P3359&gt;0,$O3359&gt;0),$P3359,0)</f>
        <v>0</v>
      </c>
      <c r="R3359" s="64" t="n">
        <f aca="false">IF(AND($Q3359&gt;0,$O3359&gt;=AtRank),$Q3359,0)</f>
        <v>0</v>
      </c>
      <c r="S3359" s="64" t="n">
        <f aca="false">IF(AND($Q3359&gt;0,$O3359&gt;=AboveRank),$Q3359,0)</f>
        <v>0</v>
      </c>
      <c r="T3359" s="64" t="n">
        <f aca="false">IF($K3359="Less",$P3359,0)</f>
        <v>0</v>
      </c>
      <c r="U3359" s="64" t="n">
        <f aca="false">IF($K3359="Expected",$P3359,0)</f>
        <v>0</v>
      </c>
      <c r="V3359" s="64" t="n">
        <f aca="false">IF($K3359="Better",$P3359,0)</f>
        <v>0</v>
      </c>
      <c r="W3359" s="64" t="n">
        <f aca="false">IF($K3359="U – needs rule",$P3359,0)</f>
        <v>0</v>
      </c>
      <c r="X3359" s="64" t="n">
        <f aca="false">IF($K3359="No Start (attainment only)",$P3359,0)</f>
        <v>0</v>
      </c>
    </row>
    <row r="3360" customFormat="false" ht="15" hidden="false" customHeight="false" outlineLevel="0" collapsed="false">
      <c r="A3360" s="60"/>
      <c r="B3360" s="61" t="str">
        <f aca="false">IF($M3360=0,"",INDEX(Classes!$E$6:$E$420,$M3360))</f>
        <v/>
      </c>
      <c r="C3360" s="62" t="str">
        <f aca="false">IF($M3360=0,"",INDEX(Classes!$H$6:$H$420,$M3360))</f>
        <v/>
      </c>
      <c r="D3360" s="61" t="str">
        <f aca="false">IF($M3360=0,"",INDEX(Classes!$B$6:$B$420,$M3360))</f>
        <v/>
      </c>
      <c r="E3360" s="61" t="str">
        <f aca="false">IF($M3360=0,"",INDEX(Classes!$C$6:$C$420,$M3360))</f>
        <v/>
      </c>
      <c r="F3360" s="63"/>
      <c r="G3360" s="63"/>
      <c r="H3360" s="60"/>
      <c r="I3360" s="60"/>
      <c r="J3360" s="63"/>
      <c r="K3360" s="61" t="str">
        <f aca="false">IF($P3360=0,"",IF($F3360="Baseline","— Baseline",IF($O3360=0,"No result",IF($N3360=0,"No Start (attainment only)",IF(OR($N3360=1,$O3360=1),"U – needs rule",INDEX(MxBody,MATCH($I3360,MxCurr,0),MATCH($H3360,MxStart,0)))))))</f>
        <v/>
      </c>
      <c r="L3360" s="62" t="str">
        <f aca="false">IF(COUNTA($A3360,$F3360,$G3360,$H3360,$I3360,$J3360)=0,"",IF($M3360=0,"✖ كود الصف غير موجود",IF(ISNA(MATCH($F3360,Lists!$A$2:$A$5,0)),"✖ الفترة غير صحيحة",IF(ISNA(MATCH($G3360,Lists!$B$2:$B$7,0)),"✖ المجموعة غير صحيحة",IF(NOT(OR($H3360="",$N3360&gt;0)),"✖ Start غير صحيح",IF(NOT(OR($I3360="",$I3360="NR",$O3360&gt;0)),"✖ Current غير صحيح",IF(NOT(IF(ISNUMBER($J3360),AND($J3360&gt;=0,$J3360=INT($J3360)),FALSE())),"✖ العدد يجب أن يكون صحيحًا ≥ 0",IF(AND($F3360="Baseline",$H3360&lt;&gt;""),"⚠ Baseline: Start لا يدخل في التقدم",IF($K3360="No Start (attainment only)","ℹ تحصيل فقط (بدون Start)",IF($K3360="U – needs rule","ℹ حالة U تحتاج قاعدة معتمدة",IF($K3360="No result","ℹ بدون نتيجة (يُستبعد من التحصيل)","OK")))))))))))</f>
        <v/>
      </c>
      <c r="M3360" s="64" t="n">
        <f aca="false">IF($A3360="",0,IFERROR(MATCH($A3360,Classes!$A$6:$A$420,0),0))</f>
        <v>0</v>
      </c>
      <c r="N3360" s="64" t="n">
        <f aca="false">IF($H3360="",0,IFERROR(MATCH($H3360,GradeList,0),0))</f>
        <v>0</v>
      </c>
      <c r="O3360" s="64" t="n">
        <f aca="false">IF(OR($I3360="",$I3360="NR"),0,IFERROR(MATCH($I3360,GradeList,0),0))</f>
        <v>0</v>
      </c>
      <c r="P3360" s="64" t="n">
        <f aca="false">IF(AND($M3360&gt;0,ISNUMBER(MATCH($F3360,Lists!$A$2:$A$5,0)),ISNUMBER(MATCH($G3360,Lists!$B$2:$B$7,0)),OR($H3360="",$N3360&gt;0),OR($I3360="",$I3360="NR",$O3360&gt;0),IF(ISNUMBER($J3360),AND($J3360&gt;=0,$J3360=INT($J3360)),FALSE())),$J3360,0)</f>
        <v>0</v>
      </c>
      <c r="Q3360" s="64" t="n">
        <f aca="false">IF(AND($P3360&gt;0,$O3360&gt;0),$P3360,0)</f>
        <v>0</v>
      </c>
      <c r="R3360" s="64" t="n">
        <f aca="false">IF(AND($Q3360&gt;0,$O3360&gt;=AtRank),$Q3360,0)</f>
        <v>0</v>
      </c>
      <c r="S3360" s="64" t="n">
        <f aca="false">IF(AND($Q3360&gt;0,$O3360&gt;=AboveRank),$Q3360,0)</f>
        <v>0</v>
      </c>
      <c r="T3360" s="64" t="n">
        <f aca="false">IF($K3360="Less",$P3360,0)</f>
        <v>0</v>
      </c>
      <c r="U3360" s="64" t="n">
        <f aca="false">IF($K3360="Expected",$P3360,0)</f>
        <v>0</v>
      </c>
      <c r="V3360" s="64" t="n">
        <f aca="false">IF($K3360="Better",$P3360,0)</f>
        <v>0</v>
      </c>
      <c r="W3360" s="64" t="n">
        <f aca="false">IF($K3360="U – needs rule",$P3360,0)</f>
        <v>0</v>
      </c>
      <c r="X3360" s="64" t="n">
        <f aca="false">IF($K3360="No Start (attainment only)",$P3360,0)</f>
        <v>0</v>
      </c>
    </row>
    <row r="3361" customFormat="false" ht="15" hidden="false" customHeight="false" outlineLevel="0" collapsed="false">
      <c r="A3361" s="60"/>
      <c r="B3361" s="61" t="str">
        <f aca="false">IF($M3361=0,"",INDEX(Classes!$E$6:$E$420,$M3361))</f>
        <v/>
      </c>
      <c r="C3361" s="62" t="str">
        <f aca="false">IF($M3361=0,"",INDEX(Classes!$H$6:$H$420,$M3361))</f>
        <v/>
      </c>
      <c r="D3361" s="61" t="str">
        <f aca="false">IF($M3361=0,"",INDEX(Classes!$B$6:$B$420,$M3361))</f>
        <v/>
      </c>
      <c r="E3361" s="61" t="str">
        <f aca="false">IF($M3361=0,"",INDEX(Classes!$C$6:$C$420,$M3361))</f>
        <v/>
      </c>
      <c r="F3361" s="63"/>
      <c r="G3361" s="63"/>
      <c r="H3361" s="60"/>
      <c r="I3361" s="60"/>
      <c r="J3361" s="63"/>
      <c r="K3361" s="61" t="str">
        <f aca="false">IF($P3361=0,"",IF($F3361="Baseline","— Baseline",IF($O3361=0,"No result",IF($N3361=0,"No Start (attainment only)",IF(OR($N3361=1,$O3361=1),"U – needs rule",INDEX(MxBody,MATCH($I3361,MxCurr,0),MATCH($H3361,MxStart,0)))))))</f>
        <v/>
      </c>
      <c r="L3361" s="62" t="str">
        <f aca="false">IF(COUNTA($A3361,$F3361,$G3361,$H3361,$I3361,$J3361)=0,"",IF($M3361=0,"✖ كود الصف غير موجود",IF(ISNA(MATCH($F3361,Lists!$A$2:$A$5,0)),"✖ الفترة غير صحيحة",IF(ISNA(MATCH($G3361,Lists!$B$2:$B$7,0)),"✖ المجموعة غير صحيحة",IF(NOT(OR($H3361="",$N3361&gt;0)),"✖ Start غير صحيح",IF(NOT(OR($I3361="",$I3361="NR",$O3361&gt;0)),"✖ Current غير صحيح",IF(NOT(IF(ISNUMBER($J3361),AND($J3361&gt;=0,$J3361=INT($J3361)),FALSE())),"✖ العدد يجب أن يكون صحيحًا ≥ 0",IF(AND($F3361="Baseline",$H3361&lt;&gt;""),"⚠ Baseline: Start لا يدخل في التقدم",IF($K3361="No Start (attainment only)","ℹ تحصيل فقط (بدون Start)",IF($K3361="U – needs rule","ℹ حالة U تحتاج قاعدة معتمدة",IF($K3361="No result","ℹ بدون نتيجة (يُستبعد من التحصيل)","OK")))))))))))</f>
        <v/>
      </c>
      <c r="M3361" s="64" t="n">
        <f aca="false">IF($A3361="",0,IFERROR(MATCH($A3361,Classes!$A$6:$A$420,0),0))</f>
        <v>0</v>
      </c>
      <c r="N3361" s="64" t="n">
        <f aca="false">IF($H3361="",0,IFERROR(MATCH($H3361,GradeList,0),0))</f>
        <v>0</v>
      </c>
      <c r="O3361" s="64" t="n">
        <f aca="false">IF(OR($I3361="",$I3361="NR"),0,IFERROR(MATCH($I3361,GradeList,0),0))</f>
        <v>0</v>
      </c>
      <c r="P3361" s="64" t="n">
        <f aca="false">IF(AND($M3361&gt;0,ISNUMBER(MATCH($F3361,Lists!$A$2:$A$5,0)),ISNUMBER(MATCH($G3361,Lists!$B$2:$B$7,0)),OR($H3361="",$N3361&gt;0),OR($I3361="",$I3361="NR",$O3361&gt;0),IF(ISNUMBER($J3361),AND($J3361&gt;=0,$J3361=INT($J3361)),FALSE())),$J3361,0)</f>
        <v>0</v>
      </c>
      <c r="Q3361" s="64" t="n">
        <f aca="false">IF(AND($P3361&gt;0,$O3361&gt;0),$P3361,0)</f>
        <v>0</v>
      </c>
      <c r="R3361" s="64" t="n">
        <f aca="false">IF(AND($Q3361&gt;0,$O3361&gt;=AtRank),$Q3361,0)</f>
        <v>0</v>
      </c>
      <c r="S3361" s="64" t="n">
        <f aca="false">IF(AND($Q3361&gt;0,$O3361&gt;=AboveRank),$Q3361,0)</f>
        <v>0</v>
      </c>
      <c r="T3361" s="64" t="n">
        <f aca="false">IF($K3361="Less",$P3361,0)</f>
        <v>0</v>
      </c>
      <c r="U3361" s="64" t="n">
        <f aca="false">IF($K3361="Expected",$P3361,0)</f>
        <v>0</v>
      </c>
      <c r="V3361" s="64" t="n">
        <f aca="false">IF($K3361="Better",$P3361,0)</f>
        <v>0</v>
      </c>
      <c r="W3361" s="64" t="n">
        <f aca="false">IF($K3361="U – needs rule",$P3361,0)</f>
        <v>0</v>
      </c>
      <c r="X3361" s="64" t="n">
        <f aca="false">IF($K3361="No Start (attainment only)",$P3361,0)</f>
        <v>0</v>
      </c>
    </row>
    <row r="3362" customFormat="false" ht="15" hidden="false" customHeight="false" outlineLevel="0" collapsed="false">
      <c r="A3362" s="60"/>
      <c r="B3362" s="61" t="str">
        <f aca="false">IF($M3362=0,"",INDEX(Classes!$E$6:$E$420,$M3362))</f>
        <v/>
      </c>
      <c r="C3362" s="62" t="str">
        <f aca="false">IF($M3362=0,"",INDEX(Classes!$H$6:$H$420,$M3362))</f>
        <v/>
      </c>
      <c r="D3362" s="61" t="str">
        <f aca="false">IF($M3362=0,"",INDEX(Classes!$B$6:$B$420,$M3362))</f>
        <v/>
      </c>
      <c r="E3362" s="61" t="str">
        <f aca="false">IF($M3362=0,"",INDEX(Classes!$C$6:$C$420,$M3362))</f>
        <v/>
      </c>
      <c r="F3362" s="63"/>
      <c r="G3362" s="63"/>
      <c r="H3362" s="60"/>
      <c r="I3362" s="60"/>
      <c r="J3362" s="63"/>
      <c r="K3362" s="61" t="str">
        <f aca="false">IF($P3362=0,"",IF($F3362="Baseline","— Baseline",IF($O3362=0,"No result",IF($N3362=0,"No Start (attainment only)",IF(OR($N3362=1,$O3362=1),"U – needs rule",INDEX(MxBody,MATCH($I3362,MxCurr,0),MATCH($H3362,MxStart,0)))))))</f>
        <v/>
      </c>
      <c r="L3362" s="62" t="str">
        <f aca="false">IF(COUNTA($A3362,$F3362,$G3362,$H3362,$I3362,$J3362)=0,"",IF($M3362=0,"✖ كود الصف غير موجود",IF(ISNA(MATCH($F3362,Lists!$A$2:$A$5,0)),"✖ الفترة غير صحيحة",IF(ISNA(MATCH($G3362,Lists!$B$2:$B$7,0)),"✖ المجموعة غير صحيحة",IF(NOT(OR($H3362="",$N3362&gt;0)),"✖ Start غير صحيح",IF(NOT(OR($I3362="",$I3362="NR",$O3362&gt;0)),"✖ Current غير صحيح",IF(NOT(IF(ISNUMBER($J3362),AND($J3362&gt;=0,$J3362=INT($J3362)),FALSE())),"✖ العدد يجب أن يكون صحيحًا ≥ 0",IF(AND($F3362="Baseline",$H3362&lt;&gt;""),"⚠ Baseline: Start لا يدخل في التقدم",IF($K3362="No Start (attainment only)","ℹ تحصيل فقط (بدون Start)",IF($K3362="U – needs rule","ℹ حالة U تحتاج قاعدة معتمدة",IF($K3362="No result","ℹ بدون نتيجة (يُستبعد من التحصيل)","OK")))))))))))</f>
        <v/>
      </c>
      <c r="M3362" s="64" t="n">
        <f aca="false">IF($A3362="",0,IFERROR(MATCH($A3362,Classes!$A$6:$A$420,0),0))</f>
        <v>0</v>
      </c>
      <c r="N3362" s="64" t="n">
        <f aca="false">IF($H3362="",0,IFERROR(MATCH($H3362,GradeList,0),0))</f>
        <v>0</v>
      </c>
      <c r="O3362" s="64" t="n">
        <f aca="false">IF(OR($I3362="",$I3362="NR"),0,IFERROR(MATCH($I3362,GradeList,0),0))</f>
        <v>0</v>
      </c>
      <c r="P3362" s="64" t="n">
        <f aca="false">IF(AND($M3362&gt;0,ISNUMBER(MATCH($F3362,Lists!$A$2:$A$5,0)),ISNUMBER(MATCH($G3362,Lists!$B$2:$B$7,0)),OR($H3362="",$N3362&gt;0),OR($I3362="",$I3362="NR",$O3362&gt;0),IF(ISNUMBER($J3362),AND($J3362&gt;=0,$J3362=INT($J3362)),FALSE())),$J3362,0)</f>
        <v>0</v>
      </c>
      <c r="Q3362" s="64" t="n">
        <f aca="false">IF(AND($P3362&gt;0,$O3362&gt;0),$P3362,0)</f>
        <v>0</v>
      </c>
      <c r="R3362" s="64" t="n">
        <f aca="false">IF(AND($Q3362&gt;0,$O3362&gt;=AtRank),$Q3362,0)</f>
        <v>0</v>
      </c>
      <c r="S3362" s="64" t="n">
        <f aca="false">IF(AND($Q3362&gt;0,$O3362&gt;=AboveRank),$Q3362,0)</f>
        <v>0</v>
      </c>
      <c r="T3362" s="64" t="n">
        <f aca="false">IF($K3362="Less",$P3362,0)</f>
        <v>0</v>
      </c>
      <c r="U3362" s="64" t="n">
        <f aca="false">IF($K3362="Expected",$P3362,0)</f>
        <v>0</v>
      </c>
      <c r="V3362" s="64" t="n">
        <f aca="false">IF($K3362="Better",$P3362,0)</f>
        <v>0</v>
      </c>
      <c r="W3362" s="64" t="n">
        <f aca="false">IF($K3362="U – needs rule",$P3362,0)</f>
        <v>0</v>
      </c>
      <c r="X3362" s="64" t="n">
        <f aca="false">IF($K3362="No Start (attainment only)",$P3362,0)</f>
        <v>0</v>
      </c>
    </row>
    <row r="3363" customFormat="false" ht="15" hidden="false" customHeight="false" outlineLevel="0" collapsed="false">
      <c r="A3363" s="60"/>
      <c r="B3363" s="61" t="str">
        <f aca="false">IF($M3363=0,"",INDEX(Classes!$E$6:$E$420,$M3363))</f>
        <v/>
      </c>
      <c r="C3363" s="62" t="str">
        <f aca="false">IF($M3363=0,"",INDEX(Classes!$H$6:$H$420,$M3363))</f>
        <v/>
      </c>
      <c r="D3363" s="61" t="str">
        <f aca="false">IF($M3363=0,"",INDEX(Classes!$B$6:$B$420,$M3363))</f>
        <v/>
      </c>
      <c r="E3363" s="61" t="str">
        <f aca="false">IF($M3363=0,"",INDEX(Classes!$C$6:$C$420,$M3363))</f>
        <v/>
      </c>
      <c r="F3363" s="63"/>
      <c r="G3363" s="63"/>
      <c r="H3363" s="60"/>
      <c r="I3363" s="60"/>
      <c r="J3363" s="63"/>
      <c r="K3363" s="61" t="str">
        <f aca="false">IF($P3363=0,"",IF($F3363="Baseline","— Baseline",IF($O3363=0,"No result",IF($N3363=0,"No Start (attainment only)",IF(OR($N3363=1,$O3363=1),"U – needs rule",INDEX(MxBody,MATCH($I3363,MxCurr,0),MATCH($H3363,MxStart,0)))))))</f>
        <v/>
      </c>
      <c r="L3363" s="62" t="str">
        <f aca="false">IF(COUNTA($A3363,$F3363,$G3363,$H3363,$I3363,$J3363)=0,"",IF($M3363=0,"✖ كود الصف غير موجود",IF(ISNA(MATCH($F3363,Lists!$A$2:$A$5,0)),"✖ الفترة غير صحيحة",IF(ISNA(MATCH($G3363,Lists!$B$2:$B$7,0)),"✖ المجموعة غير صحيحة",IF(NOT(OR($H3363="",$N3363&gt;0)),"✖ Start غير صحيح",IF(NOT(OR($I3363="",$I3363="NR",$O3363&gt;0)),"✖ Current غير صحيح",IF(NOT(IF(ISNUMBER($J3363),AND($J3363&gt;=0,$J3363=INT($J3363)),FALSE())),"✖ العدد يجب أن يكون صحيحًا ≥ 0",IF(AND($F3363="Baseline",$H3363&lt;&gt;""),"⚠ Baseline: Start لا يدخل في التقدم",IF($K3363="No Start (attainment only)","ℹ تحصيل فقط (بدون Start)",IF($K3363="U – needs rule","ℹ حالة U تحتاج قاعدة معتمدة",IF($K3363="No result","ℹ بدون نتيجة (يُستبعد من التحصيل)","OK")))))))))))</f>
        <v/>
      </c>
      <c r="M3363" s="64" t="n">
        <f aca="false">IF($A3363="",0,IFERROR(MATCH($A3363,Classes!$A$6:$A$420,0),0))</f>
        <v>0</v>
      </c>
      <c r="N3363" s="64" t="n">
        <f aca="false">IF($H3363="",0,IFERROR(MATCH($H3363,GradeList,0),0))</f>
        <v>0</v>
      </c>
      <c r="O3363" s="64" t="n">
        <f aca="false">IF(OR($I3363="",$I3363="NR"),0,IFERROR(MATCH($I3363,GradeList,0),0))</f>
        <v>0</v>
      </c>
      <c r="P3363" s="64" t="n">
        <f aca="false">IF(AND($M3363&gt;0,ISNUMBER(MATCH($F3363,Lists!$A$2:$A$5,0)),ISNUMBER(MATCH($G3363,Lists!$B$2:$B$7,0)),OR($H3363="",$N3363&gt;0),OR($I3363="",$I3363="NR",$O3363&gt;0),IF(ISNUMBER($J3363),AND($J3363&gt;=0,$J3363=INT($J3363)),FALSE())),$J3363,0)</f>
        <v>0</v>
      </c>
      <c r="Q3363" s="64" t="n">
        <f aca="false">IF(AND($P3363&gt;0,$O3363&gt;0),$P3363,0)</f>
        <v>0</v>
      </c>
      <c r="R3363" s="64" t="n">
        <f aca="false">IF(AND($Q3363&gt;0,$O3363&gt;=AtRank),$Q3363,0)</f>
        <v>0</v>
      </c>
      <c r="S3363" s="64" t="n">
        <f aca="false">IF(AND($Q3363&gt;0,$O3363&gt;=AboveRank),$Q3363,0)</f>
        <v>0</v>
      </c>
      <c r="T3363" s="64" t="n">
        <f aca="false">IF($K3363="Less",$P3363,0)</f>
        <v>0</v>
      </c>
      <c r="U3363" s="64" t="n">
        <f aca="false">IF($K3363="Expected",$P3363,0)</f>
        <v>0</v>
      </c>
      <c r="V3363" s="64" t="n">
        <f aca="false">IF($K3363="Better",$P3363,0)</f>
        <v>0</v>
      </c>
      <c r="W3363" s="64" t="n">
        <f aca="false">IF($K3363="U – needs rule",$P3363,0)</f>
        <v>0</v>
      </c>
      <c r="X3363" s="64" t="n">
        <f aca="false">IF($K3363="No Start (attainment only)",$P3363,0)</f>
        <v>0</v>
      </c>
    </row>
    <row r="3364" customFormat="false" ht="15" hidden="false" customHeight="false" outlineLevel="0" collapsed="false">
      <c r="A3364" s="60"/>
      <c r="B3364" s="61" t="str">
        <f aca="false">IF($M3364=0,"",INDEX(Classes!$E$6:$E$420,$M3364))</f>
        <v/>
      </c>
      <c r="C3364" s="62" t="str">
        <f aca="false">IF($M3364=0,"",INDEX(Classes!$H$6:$H$420,$M3364))</f>
        <v/>
      </c>
      <c r="D3364" s="61" t="str">
        <f aca="false">IF($M3364=0,"",INDEX(Classes!$B$6:$B$420,$M3364))</f>
        <v/>
      </c>
      <c r="E3364" s="61" t="str">
        <f aca="false">IF($M3364=0,"",INDEX(Classes!$C$6:$C$420,$M3364))</f>
        <v/>
      </c>
      <c r="F3364" s="63"/>
      <c r="G3364" s="63"/>
      <c r="H3364" s="60"/>
      <c r="I3364" s="60"/>
      <c r="J3364" s="63"/>
      <c r="K3364" s="61" t="str">
        <f aca="false">IF($P3364=0,"",IF($F3364="Baseline","— Baseline",IF($O3364=0,"No result",IF($N3364=0,"No Start (attainment only)",IF(OR($N3364=1,$O3364=1),"U – needs rule",INDEX(MxBody,MATCH($I3364,MxCurr,0),MATCH($H3364,MxStart,0)))))))</f>
        <v/>
      </c>
      <c r="L3364" s="62" t="str">
        <f aca="false">IF(COUNTA($A3364,$F3364,$G3364,$H3364,$I3364,$J3364)=0,"",IF($M3364=0,"✖ كود الصف غير موجود",IF(ISNA(MATCH($F3364,Lists!$A$2:$A$5,0)),"✖ الفترة غير صحيحة",IF(ISNA(MATCH($G3364,Lists!$B$2:$B$7,0)),"✖ المجموعة غير صحيحة",IF(NOT(OR($H3364="",$N3364&gt;0)),"✖ Start غير صحيح",IF(NOT(OR($I3364="",$I3364="NR",$O3364&gt;0)),"✖ Current غير صحيح",IF(NOT(IF(ISNUMBER($J3364),AND($J3364&gt;=0,$J3364=INT($J3364)),FALSE())),"✖ العدد يجب أن يكون صحيحًا ≥ 0",IF(AND($F3364="Baseline",$H3364&lt;&gt;""),"⚠ Baseline: Start لا يدخل في التقدم",IF($K3364="No Start (attainment only)","ℹ تحصيل فقط (بدون Start)",IF($K3364="U – needs rule","ℹ حالة U تحتاج قاعدة معتمدة",IF($K3364="No result","ℹ بدون نتيجة (يُستبعد من التحصيل)","OK")))))))))))</f>
        <v/>
      </c>
      <c r="M3364" s="64" t="n">
        <f aca="false">IF($A3364="",0,IFERROR(MATCH($A3364,Classes!$A$6:$A$420,0),0))</f>
        <v>0</v>
      </c>
      <c r="N3364" s="64" t="n">
        <f aca="false">IF($H3364="",0,IFERROR(MATCH($H3364,GradeList,0),0))</f>
        <v>0</v>
      </c>
      <c r="O3364" s="64" t="n">
        <f aca="false">IF(OR($I3364="",$I3364="NR"),0,IFERROR(MATCH($I3364,GradeList,0),0))</f>
        <v>0</v>
      </c>
      <c r="P3364" s="64" t="n">
        <f aca="false">IF(AND($M3364&gt;0,ISNUMBER(MATCH($F3364,Lists!$A$2:$A$5,0)),ISNUMBER(MATCH($G3364,Lists!$B$2:$B$7,0)),OR($H3364="",$N3364&gt;0),OR($I3364="",$I3364="NR",$O3364&gt;0),IF(ISNUMBER($J3364),AND($J3364&gt;=0,$J3364=INT($J3364)),FALSE())),$J3364,0)</f>
        <v>0</v>
      </c>
      <c r="Q3364" s="64" t="n">
        <f aca="false">IF(AND($P3364&gt;0,$O3364&gt;0),$P3364,0)</f>
        <v>0</v>
      </c>
      <c r="R3364" s="64" t="n">
        <f aca="false">IF(AND($Q3364&gt;0,$O3364&gt;=AtRank),$Q3364,0)</f>
        <v>0</v>
      </c>
      <c r="S3364" s="64" t="n">
        <f aca="false">IF(AND($Q3364&gt;0,$O3364&gt;=AboveRank),$Q3364,0)</f>
        <v>0</v>
      </c>
      <c r="T3364" s="64" t="n">
        <f aca="false">IF($K3364="Less",$P3364,0)</f>
        <v>0</v>
      </c>
      <c r="U3364" s="64" t="n">
        <f aca="false">IF($K3364="Expected",$P3364,0)</f>
        <v>0</v>
      </c>
      <c r="V3364" s="64" t="n">
        <f aca="false">IF($K3364="Better",$P3364,0)</f>
        <v>0</v>
      </c>
      <c r="W3364" s="64" t="n">
        <f aca="false">IF($K3364="U – needs rule",$P3364,0)</f>
        <v>0</v>
      </c>
      <c r="X3364" s="64" t="n">
        <f aca="false">IF($K3364="No Start (attainment only)",$P3364,0)</f>
        <v>0</v>
      </c>
    </row>
    <row r="3365" customFormat="false" ht="15" hidden="false" customHeight="false" outlineLevel="0" collapsed="false">
      <c r="A3365" s="60"/>
      <c r="B3365" s="61" t="str">
        <f aca="false">IF($M3365=0,"",INDEX(Classes!$E$6:$E$420,$M3365))</f>
        <v/>
      </c>
      <c r="C3365" s="62" t="str">
        <f aca="false">IF($M3365=0,"",INDEX(Classes!$H$6:$H$420,$M3365))</f>
        <v/>
      </c>
      <c r="D3365" s="61" t="str">
        <f aca="false">IF($M3365=0,"",INDEX(Classes!$B$6:$B$420,$M3365))</f>
        <v/>
      </c>
      <c r="E3365" s="61" t="str">
        <f aca="false">IF($M3365=0,"",INDEX(Classes!$C$6:$C$420,$M3365))</f>
        <v/>
      </c>
      <c r="F3365" s="63"/>
      <c r="G3365" s="63"/>
      <c r="H3365" s="60"/>
      <c r="I3365" s="60"/>
      <c r="J3365" s="63"/>
      <c r="K3365" s="61" t="str">
        <f aca="false">IF($P3365=0,"",IF($F3365="Baseline","— Baseline",IF($O3365=0,"No result",IF($N3365=0,"No Start (attainment only)",IF(OR($N3365=1,$O3365=1),"U – needs rule",INDEX(MxBody,MATCH($I3365,MxCurr,0),MATCH($H3365,MxStart,0)))))))</f>
        <v/>
      </c>
      <c r="L3365" s="62" t="str">
        <f aca="false">IF(COUNTA($A3365,$F3365,$G3365,$H3365,$I3365,$J3365)=0,"",IF($M3365=0,"✖ كود الصف غير موجود",IF(ISNA(MATCH($F3365,Lists!$A$2:$A$5,0)),"✖ الفترة غير صحيحة",IF(ISNA(MATCH($G3365,Lists!$B$2:$B$7,0)),"✖ المجموعة غير صحيحة",IF(NOT(OR($H3365="",$N3365&gt;0)),"✖ Start غير صحيح",IF(NOT(OR($I3365="",$I3365="NR",$O3365&gt;0)),"✖ Current غير صحيح",IF(NOT(IF(ISNUMBER($J3365),AND($J3365&gt;=0,$J3365=INT($J3365)),FALSE())),"✖ العدد يجب أن يكون صحيحًا ≥ 0",IF(AND($F3365="Baseline",$H3365&lt;&gt;""),"⚠ Baseline: Start لا يدخل في التقدم",IF($K3365="No Start (attainment only)","ℹ تحصيل فقط (بدون Start)",IF($K3365="U – needs rule","ℹ حالة U تحتاج قاعدة معتمدة",IF($K3365="No result","ℹ بدون نتيجة (يُستبعد من التحصيل)","OK")))))))))))</f>
        <v/>
      </c>
      <c r="M3365" s="64" t="n">
        <f aca="false">IF($A3365="",0,IFERROR(MATCH($A3365,Classes!$A$6:$A$420,0),0))</f>
        <v>0</v>
      </c>
      <c r="N3365" s="64" t="n">
        <f aca="false">IF($H3365="",0,IFERROR(MATCH($H3365,GradeList,0),0))</f>
        <v>0</v>
      </c>
      <c r="O3365" s="64" t="n">
        <f aca="false">IF(OR($I3365="",$I3365="NR"),0,IFERROR(MATCH($I3365,GradeList,0),0))</f>
        <v>0</v>
      </c>
      <c r="P3365" s="64" t="n">
        <f aca="false">IF(AND($M3365&gt;0,ISNUMBER(MATCH($F3365,Lists!$A$2:$A$5,0)),ISNUMBER(MATCH($G3365,Lists!$B$2:$B$7,0)),OR($H3365="",$N3365&gt;0),OR($I3365="",$I3365="NR",$O3365&gt;0),IF(ISNUMBER($J3365),AND($J3365&gt;=0,$J3365=INT($J3365)),FALSE())),$J3365,0)</f>
        <v>0</v>
      </c>
      <c r="Q3365" s="64" t="n">
        <f aca="false">IF(AND($P3365&gt;0,$O3365&gt;0),$P3365,0)</f>
        <v>0</v>
      </c>
      <c r="R3365" s="64" t="n">
        <f aca="false">IF(AND($Q3365&gt;0,$O3365&gt;=AtRank),$Q3365,0)</f>
        <v>0</v>
      </c>
      <c r="S3365" s="64" t="n">
        <f aca="false">IF(AND($Q3365&gt;0,$O3365&gt;=AboveRank),$Q3365,0)</f>
        <v>0</v>
      </c>
      <c r="T3365" s="64" t="n">
        <f aca="false">IF($K3365="Less",$P3365,0)</f>
        <v>0</v>
      </c>
      <c r="U3365" s="64" t="n">
        <f aca="false">IF($K3365="Expected",$P3365,0)</f>
        <v>0</v>
      </c>
      <c r="V3365" s="64" t="n">
        <f aca="false">IF($K3365="Better",$P3365,0)</f>
        <v>0</v>
      </c>
      <c r="W3365" s="64" t="n">
        <f aca="false">IF($K3365="U – needs rule",$P3365,0)</f>
        <v>0</v>
      </c>
      <c r="X3365" s="64" t="n">
        <f aca="false">IF($K3365="No Start (attainment only)",$P3365,0)</f>
        <v>0</v>
      </c>
    </row>
    <row r="3366" customFormat="false" ht="15" hidden="false" customHeight="false" outlineLevel="0" collapsed="false">
      <c r="A3366" s="60"/>
      <c r="B3366" s="61" t="str">
        <f aca="false">IF($M3366=0,"",INDEX(Classes!$E$6:$E$420,$M3366))</f>
        <v/>
      </c>
      <c r="C3366" s="62" t="str">
        <f aca="false">IF($M3366=0,"",INDEX(Classes!$H$6:$H$420,$M3366))</f>
        <v/>
      </c>
      <c r="D3366" s="61" t="str">
        <f aca="false">IF($M3366=0,"",INDEX(Classes!$B$6:$B$420,$M3366))</f>
        <v/>
      </c>
      <c r="E3366" s="61" t="str">
        <f aca="false">IF($M3366=0,"",INDEX(Classes!$C$6:$C$420,$M3366))</f>
        <v/>
      </c>
      <c r="F3366" s="63"/>
      <c r="G3366" s="63"/>
      <c r="H3366" s="60"/>
      <c r="I3366" s="60"/>
      <c r="J3366" s="63"/>
      <c r="K3366" s="61" t="str">
        <f aca="false">IF($P3366=0,"",IF($F3366="Baseline","— Baseline",IF($O3366=0,"No result",IF($N3366=0,"No Start (attainment only)",IF(OR($N3366=1,$O3366=1),"U – needs rule",INDEX(MxBody,MATCH($I3366,MxCurr,0),MATCH($H3366,MxStart,0)))))))</f>
        <v/>
      </c>
      <c r="L3366" s="62" t="str">
        <f aca="false">IF(COUNTA($A3366,$F3366,$G3366,$H3366,$I3366,$J3366)=0,"",IF($M3366=0,"✖ كود الصف غير موجود",IF(ISNA(MATCH($F3366,Lists!$A$2:$A$5,0)),"✖ الفترة غير صحيحة",IF(ISNA(MATCH($G3366,Lists!$B$2:$B$7,0)),"✖ المجموعة غير صحيحة",IF(NOT(OR($H3366="",$N3366&gt;0)),"✖ Start غير صحيح",IF(NOT(OR($I3366="",$I3366="NR",$O3366&gt;0)),"✖ Current غير صحيح",IF(NOT(IF(ISNUMBER($J3366),AND($J3366&gt;=0,$J3366=INT($J3366)),FALSE())),"✖ العدد يجب أن يكون صحيحًا ≥ 0",IF(AND($F3366="Baseline",$H3366&lt;&gt;""),"⚠ Baseline: Start لا يدخل في التقدم",IF($K3366="No Start (attainment only)","ℹ تحصيل فقط (بدون Start)",IF($K3366="U – needs rule","ℹ حالة U تحتاج قاعدة معتمدة",IF($K3366="No result","ℹ بدون نتيجة (يُستبعد من التحصيل)","OK")))))))))))</f>
        <v/>
      </c>
      <c r="M3366" s="64" t="n">
        <f aca="false">IF($A3366="",0,IFERROR(MATCH($A3366,Classes!$A$6:$A$420,0),0))</f>
        <v>0</v>
      </c>
      <c r="N3366" s="64" t="n">
        <f aca="false">IF($H3366="",0,IFERROR(MATCH($H3366,GradeList,0),0))</f>
        <v>0</v>
      </c>
      <c r="O3366" s="64" t="n">
        <f aca="false">IF(OR($I3366="",$I3366="NR"),0,IFERROR(MATCH($I3366,GradeList,0),0))</f>
        <v>0</v>
      </c>
      <c r="P3366" s="64" t="n">
        <f aca="false">IF(AND($M3366&gt;0,ISNUMBER(MATCH($F3366,Lists!$A$2:$A$5,0)),ISNUMBER(MATCH($G3366,Lists!$B$2:$B$7,0)),OR($H3366="",$N3366&gt;0),OR($I3366="",$I3366="NR",$O3366&gt;0),IF(ISNUMBER($J3366),AND($J3366&gt;=0,$J3366=INT($J3366)),FALSE())),$J3366,0)</f>
        <v>0</v>
      </c>
      <c r="Q3366" s="64" t="n">
        <f aca="false">IF(AND($P3366&gt;0,$O3366&gt;0),$P3366,0)</f>
        <v>0</v>
      </c>
      <c r="R3366" s="64" t="n">
        <f aca="false">IF(AND($Q3366&gt;0,$O3366&gt;=AtRank),$Q3366,0)</f>
        <v>0</v>
      </c>
      <c r="S3366" s="64" t="n">
        <f aca="false">IF(AND($Q3366&gt;0,$O3366&gt;=AboveRank),$Q3366,0)</f>
        <v>0</v>
      </c>
      <c r="T3366" s="64" t="n">
        <f aca="false">IF($K3366="Less",$P3366,0)</f>
        <v>0</v>
      </c>
      <c r="U3366" s="64" t="n">
        <f aca="false">IF($K3366="Expected",$P3366,0)</f>
        <v>0</v>
      </c>
      <c r="V3366" s="64" t="n">
        <f aca="false">IF($K3366="Better",$P3366,0)</f>
        <v>0</v>
      </c>
      <c r="W3366" s="64" t="n">
        <f aca="false">IF($K3366="U – needs rule",$P3366,0)</f>
        <v>0</v>
      </c>
      <c r="X3366" s="64" t="n">
        <f aca="false">IF($K3366="No Start (attainment only)",$P3366,0)</f>
        <v>0</v>
      </c>
    </row>
    <row r="3367" customFormat="false" ht="15" hidden="false" customHeight="false" outlineLevel="0" collapsed="false">
      <c r="A3367" s="60"/>
      <c r="B3367" s="61" t="str">
        <f aca="false">IF($M3367=0,"",INDEX(Classes!$E$6:$E$420,$M3367))</f>
        <v/>
      </c>
      <c r="C3367" s="62" t="str">
        <f aca="false">IF($M3367=0,"",INDEX(Classes!$H$6:$H$420,$M3367))</f>
        <v/>
      </c>
      <c r="D3367" s="61" t="str">
        <f aca="false">IF($M3367=0,"",INDEX(Classes!$B$6:$B$420,$M3367))</f>
        <v/>
      </c>
      <c r="E3367" s="61" t="str">
        <f aca="false">IF($M3367=0,"",INDEX(Classes!$C$6:$C$420,$M3367))</f>
        <v/>
      </c>
      <c r="F3367" s="63"/>
      <c r="G3367" s="63"/>
      <c r="H3367" s="60"/>
      <c r="I3367" s="60"/>
      <c r="J3367" s="63"/>
      <c r="K3367" s="61" t="str">
        <f aca="false">IF($P3367=0,"",IF($F3367="Baseline","— Baseline",IF($O3367=0,"No result",IF($N3367=0,"No Start (attainment only)",IF(OR($N3367=1,$O3367=1),"U – needs rule",INDEX(MxBody,MATCH($I3367,MxCurr,0),MATCH($H3367,MxStart,0)))))))</f>
        <v/>
      </c>
      <c r="L3367" s="62" t="str">
        <f aca="false">IF(COUNTA($A3367,$F3367,$G3367,$H3367,$I3367,$J3367)=0,"",IF($M3367=0,"✖ كود الصف غير موجود",IF(ISNA(MATCH($F3367,Lists!$A$2:$A$5,0)),"✖ الفترة غير صحيحة",IF(ISNA(MATCH($G3367,Lists!$B$2:$B$7,0)),"✖ المجموعة غير صحيحة",IF(NOT(OR($H3367="",$N3367&gt;0)),"✖ Start غير صحيح",IF(NOT(OR($I3367="",$I3367="NR",$O3367&gt;0)),"✖ Current غير صحيح",IF(NOT(IF(ISNUMBER($J3367),AND($J3367&gt;=0,$J3367=INT($J3367)),FALSE())),"✖ العدد يجب أن يكون صحيحًا ≥ 0",IF(AND($F3367="Baseline",$H3367&lt;&gt;""),"⚠ Baseline: Start لا يدخل في التقدم",IF($K3367="No Start (attainment only)","ℹ تحصيل فقط (بدون Start)",IF($K3367="U – needs rule","ℹ حالة U تحتاج قاعدة معتمدة",IF($K3367="No result","ℹ بدون نتيجة (يُستبعد من التحصيل)","OK")))))))))))</f>
        <v/>
      </c>
      <c r="M3367" s="64" t="n">
        <f aca="false">IF($A3367="",0,IFERROR(MATCH($A3367,Classes!$A$6:$A$420,0),0))</f>
        <v>0</v>
      </c>
      <c r="N3367" s="64" t="n">
        <f aca="false">IF($H3367="",0,IFERROR(MATCH($H3367,GradeList,0),0))</f>
        <v>0</v>
      </c>
      <c r="O3367" s="64" t="n">
        <f aca="false">IF(OR($I3367="",$I3367="NR"),0,IFERROR(MATCH($I3367,GradeList,0),0))</f>
        <v>0</v>
      </c>
      <c r="P3367" s="64" t="n">
        <f aca="false">IF(AND($M3367&gt;0,ISNUMBER(MATCH($F3367,Lists!$A$2:$A$5,0)),ISNUMBER(MATCH($G3367,Lists!$B$2:$B$7,0)),OR($H3367="",$N3367&gt;0),OR($I3367="",$I3367="NR",$O3367&gt;0),IF(ISNUMBER($J3367),AND($J3367&gt;=0,$J3367=INT($J3367)),FALSE())),$J3367,0)</f>
        <v>0</v>
      </c>
      <c r="Q3367" s="64" t="n">
        <f aca="false">IF(AND($P3367&gt;0,$O3367&gt;0),$P3367,0)</f>
        <v>0</v>
      </c>
      <c r="R3367" s="64" t="n">
        <f aca="false">IF(AND($Q3367&gt;0,$O3367&gt;=AtRank),$Q3367,0)</f>
        <v>0</v>
      </c>
      <c r="S3367" s="64" t="n">
        <f aca="false">IF(AND($Q3367&gt;0,$O3367&gt;=AboveRank),$Q3367,0)</f>
        <v>0</v>
      </c>
      <c r="T3367" s="64" t="n">
        <f aca="false">IF($K3367="Less",$P3367,0)</f>
        <v>0</v>
      </c>
      <c r="U3367" s="64" t="n">
        <f aca="false">IF($K3367="Expected",$P3367,0)</f>
        <v>0</v>
      </c>
      <c r="V3367" s="64" t="n">
        <f aca="false">IF($K3367="Better",$P3367,0)</f>
        <v>0</v>
      </c>
      <c r="W3367" s="64" t="n">
        <f aca="false">IF($K3367="U – needs rule",$P3367,0)</f>
        <v>0</v>
      </c>
      <c r="X3367" s="64" t="n">
        <f aca="false">IF($K3367="No Start (attainment only)",$P3367,0)</f>
        <v>0</v>
      </c>
    </row>
    <row r="3368" customFormat="false" ht="15" hidden="false" customHeight="false" outlineLevel="0" collapsed="false">
      <c r="A3368" s="60"/>
      <c r="B3368" s="61" t="str">
        <f aca="false">IF($M3368=0,"",INDEX(Classes!$E$6:$E$420,$M3368))</f>
        <v/>
      </c>
      <c r="C3368" s="62" t="str">
        <f aca="false">IF($M3368=0,"",INDEX(Classes!$H$6:$H$420,$M3368))</f>
        <v/>
      </c>
      <c r="D3368" s="61" t="str">
        <f aca="false">IF($M3368=0,"",INDEX(Classes!$B$6:$B$420,$M3368))</f>
        <v/>
      </c>
      <c r="E3368" s="61" t="str">
        <f aca="false">IF($M3368=0,"",INDEX(Classes!$C$6:$C$420,$M3368))</f>
        <v/>
      </c>
      <c r="F3368" s="63"/>
      <c r="G3368" s="63"/>
      <c r="H3368" s="60"/>
      <c r="I3368" s="60"/>
      <c r="J3368" s="63"/>
      <c r="K3368" s="61" t="str">
        <f aca="false">IF($P3368=0,"",IF($F3368="Baseline","— Baseline",IF($O3368=0,"No result",IF($N3368=0,"No Start (attainment only)",IF(OR($N3368=1,$O3368=1),"U – needs rule",INDEX(MxBody,MATCH($I3368,MxCurr,0),MATCH($H3368,MxStart,0)))))))</f>
        <v/>
      </c>
      <c r="L3368" s="62" t="str">
        <f aca="false">IF(COUNTA($A3368,$F3368,$G3368,$H3368,$I3368,$J3368)=0,"",IF($M3368=0,"✖ كود الصف غير موجود",IF(ISNA(MATCH($F3368,Lists!$A$2:$A$5,0)),"✖ الفترة غير صحيحة",IF(ISNA(MATCH($G3368,Lists!$B$2:$B$7,0)),"✖ المجموعة غير صحيحة",IF(NOT(OR($H3368="",$N3368&gt;0)),"✖ Start غير صحيح",IF(NOT(OR($I3368="",$I3368="NR",$O3368&gt;0)),"✖ Current غير صحيح",IF(NOT(IF(ISNUMBER($J3368),AND($J3368&gt;=0,$J3368=INT($J3368)),FALSE())),"✖ العدد يجب أن يكون صحيحًا ≥ 0",IF(AND($F3368="Baseline",$H3368&lt;&gt;""),"⚠ Baseline: Start لا يدخل في التقدم",IF($K3368="No Start (attainment only)","ℹ تحصيل فقط (بدون Start)",IF($K3368="U – needs rule","ℹ حالة U تحتاج قاعدة معتمدة",IF($K3368="No result","ℹ بدون نتيجة (يُستبعد من التحصيل)","OK")))))))))))</f>
        <v/>
      </c>
      <c r="M3368" s="64" t="n">
        <f aca="false">IF($A3368="",0,IFERROR(MATCH($A3368,Classes!$A$6:$A$420,0),0))</f>
        <v>0</v>
      </c>
      <c r="N3368" s="64" t="n">
        <f aca="false">IF($H3368="",0,IFERROR(MATCH($H3368,GradeList,0),0))</f>
        <v>0</v>
      </c>
      <c r="O3368" s="64" t="n">
        <f aca="false">IF(OR($I3368="",$I3368="NR"),0,IFERROR(MATCH($I3368,GradeList,0),0))</f>
        <v>0</v>
      </c>
      <c r="P3368" s="64" t="n">
        <f aca="false">IF(AND($M3368&gt;0,ISNUMBER(MATCH($F3368,Lists!$A$2:$A$5,0)),ISNUMBER(MATCH($G3368,Lists!$B$2:$B$7,0)),OR($H3368="",$N3368&gt;0),OR($I3368="",$I3368="NR",$O3368&gt;0),IF(ISNUMBER($J3368),AND($J3368&gt;=0,$J3368=INT($J3368)),FALSE())),$J3368,0)</f>
        <v>0</v>
      </c>
      <c r="Q3368" s="64" t="n">
        <f aca="false">IF(AND($P3368&gt;0,$O3368&gt;0),$P3368,0)</f>
        <v>0</v>
      </c>
      <c r="R3368" s="64" t="n">
        <f aca="false">IF(AND($Q3368&gt;0,$O3368&gt;=AtRank),$Q3368,0)</f>
        <v>0</v>
      </c>
      <c r="S3368" s="64" t="n">
        <f aca="false">IF(AND($Q3368&gt;0,$O3368&gt;=AboveRank),$Q3368,0)</f>
        <v>0</v>
      </c>
      <c r="T3368" s="64" t="n">
        <f aca="false">IF($K3368="Less",$P3368,0)</f>
        <v>0</v>
      </c>
      <c r="U3368" s="64" t="n">
        <f aca="false">IF($K3368="Expected",$P3368,0)</f>
        <v>0</v>
      </c>
      <c r="V3368" s="64" t="n">
        <f aca="false">IF($K3368="Better",$P3368,0)</f>
        <v>0</v>
      </c>
      <c r="W3368" s="64" t="n">
        <f aca="false">IF($K3368="U – needs rule",$P3368,0)</f>
        <v>0</v>
      </c>
      <c r="X3368" s="64" t="n">
        <f aca="false">IF($K3368="No Start (attainment only)",$P3368,0)</f>
        <v>0</v>
      </c>
    </row>
    <row r="3369" customFormat="false" ht="15" hidden="false" customHeight="false" outlineLevel="0" collapsed="false">
      <c r="A3369" s="60"/>
      <c r="B3369" s="61" t="str">
        <f aca="false">IF($M3369=0,"",INDEX(Classes!$E$6:$E$420,$M3369))</f>
        <v/>
      </c>
      <c r="C3369" s="62" t="str">
        <f aca="false">IF($M3369=0,"",INDEX(Classes!$H$6:$H$420,$M3369))</f>
        <v/>
      </c>
      <c r="D3369" s="61" t="str">
        <f aca="false">IF($M3369=0,"",INDEX(Classes!$B$6:$B$420,$M3369))</f>
        <v/>
      </c>
      <c r="E3369" s="61" t="str">
        <f aca="false">IF($M3369=0,"",INDEX(Classes!$C$6:$C$420,$M3369))</f>
        <v/>
      </c>
      <c r="F3369" s="63"/>
      <c r="G3369" s="63"/>
      <c r="H3369" s="60"/>
      <c r="I3369" s="60"/>
      <c r="J3369" s="63"/>
      <c r="K3369" s="61" t="str">
        <f aca="false">IF($P3369=0,"",IF($F3369="Baseline","— Baseline",IF($O3369=0,"No result",IF($N3369=0,"No Start (attainment only)",IF(OR($N3369=1,$O3369=1),"U – needs rule",INDEX(MxBody,MATCH($I3369,MxCurr,0),MATCH($H3369,MxStart,0)))))))</f>
        <v/>
      </c>
      <c r="L3369" s="62" t="str">
        <f aca="false">IF(COUNTA($A3369,$F3369,$G3369,$H3369,$I3369,$J3369)=0,"",IF($M3369=0,"✖ كود الصف غير موجود",IF(ISNA(MATCH($F3369,Lists!$A$2:$A$5,0)),"✖ الفترة غير صحيحة",IF(ISNA(MATCH($G3369,Lists!$B$2:$B$7,0)),"✖ المجموعة غير صحيحة",IF(NOT(OR($H3369="",$N3369&gt;0)),"✖ Start غير صحيح",IF(NOT(OR($I3369="",$I3369="NR",$O3369&gt;0)),"✖ Current غير صحيح",IF(NOT(IF(ISNUMBER($J3369),AND($J3369&gt;=0,$J3369=INT($J3369)),FALSE())),"✖ العدد يجب أن يكون صحيحًا ≥ 0",IF(AND($F3369="Baseline",$H3369&lt;&gt;""),"⚠ Baseline: Start لا يدخل في التقدم",IF($K3369="No Start (attainment only)","ℹ تحصيل فقط (بدون Start)",IF($K3369="U – needs rule","ℹ حالة U تحتاج قاعدة معتمدة",IF($K3369="No result","ℹ بدون نتيجة (يُستبعد من التحصيل)","OK")))))))))))</f>
        <v/>
      </c>
      <c r="M3369" s="64" t="n">
        <f aca="false">IF($A3369="",0,IFERROR(MATCH($A3369,Classes!$A$6:$A$420,0),0))</f>
        <v>0</v>
      </c>
      <c r="N3369" s="64" t="n">
        <f aca="false">IF($H3369="",0,IFERROR(MATCH($H3369,GradeList,0),0))</f>
        <v>0</v>
      </c>
      <c r="O3369" s="64" t="n">
        <f aca="false">IF(OR($I3369="",$I3369="NR"),0,IFERROR(MATCH($I3369,GradeList,0),0))</f>
        <v>0</v>
      </c>
      <c r="P3369" s="64" t="n">
        <f aca="false">IF(AND($M3369&gt;0,ISNUMBER(MATCH($F3369,Lists!$A$2:$A$5,0)),ISNUMBER(MATCH($G3369,Lists!$B$2:$B$7,0)),OR($H3369="",$N3369&gt;0),OR($I3369="",$I3369="NR",$O3369&gt;0),IF(ISNUMBER($J3369),AND($J3369&gt;=0,$J3369=INT($J3369)),FALSE())),$J3369,0)</f>
        <v>0</v>
      </c>
      <c r="Q3369" s="64" t="n">
        <f aca="false">IF(AND($P3369&gt;0,$O3369&gt;0),$P3369,0)</f>
        <v>0</v>
      </c>
      <c r="R3369" s="64" t="n">
        <f aca="false">IF(AND($Q3369&gt;0,$O3369&gt;=AtRank),$Q3369,0)</f>
        <v>0</v>
      </c>
      <c r="S3369" s="64" t="n">
        <f aca="false">IF(AND($Q3369&gt;0,$O3369&gt;=AboveRank),$Q3369,0)</f>
        <v>0</v>
      </c>
      <c r="T3369" s="64" t="n">
        <f aca="false">IF($K3369="Less",$P3369,0)</f>
        <v>0</v>
      </c>
      <c r="U3369" s="64" t="n">
        <f aca="false">IF($K3369="Expected",$P3369,0)</f>
        <v>0</v>
      </c>
      <c r="V3369" s="64" t="n">
        <f aca="false">IF($K3369="Better",$P3369,0)</f>
        <v>0</v>
      </c>
      <c r="W3369" s="64" t="n">
        <f aca="false">IF($K3369="U – needs rule",$P3369,0)</f>
        <v>0</v>
      </c>
      <c r="X3369" s="64" t="n">
        <f aca="false">IF($K3369="No Start (attainment only)",$P3369,0)</f>
        <v>0</v>
      </c>
    </row>
    <row r="3370" customFormat="false" ht="15" hidden="false" customHeight="false" outlineLevel="0" collapsed="false">
      <c r="A3370" s="60"/>
      <c r="B3370" s="61" t="str">
        <f aca="false">IF($M3370=0,"",INDEX(Classes!$E$6:$E$420,$M3370))</f>
        <v/>
      </c>
      <c r="C3370" s="62" t="str">
        <f aca="false">IF($M3370=0,"",INDEX(Classes!$H$6:$H$420,$M3370))</f>
        <v/>
      </c>
      <c r="D3370" s="61" t="str">
        <f aca="false">IF($M3370=0,"",INDEX(Classes!$B$6:$B$420,$M3370))</f>
        <v/>
      </c>
      <c r="E3370" s="61" t="str">
        <f aca="false">IF($M3370=0,"",INDEX(Classes!$C$6:$C$420,$M3370))</f>
        <v/>
      </c>
      <c r="F3370" s="63"/>
      <c r="G3370" s="63"/>
      <c r="H3370" s="60"/>
      <c r="I3370" s="60"/>
      <c r="J3370" s="63"/>
      <c r="K3370" s="61" t="str">
        <f aca="false">IF($P3370=0,"",IF($F3370="Baseline","— Baseline",IF($O3370=0,"No result",IF($N3370=0,"No Start (attainment only)",IF(OR($N3370=1,$O3370=1),"U – needs rule",INDEX(MxBody,MATCH($I3370,MxCurr,0),MATCH($H3370,MxStart,0)))))))</f>
        <v/>
      </c>
      <c r="L3370" s="62" t="str">
        <f aca="false">IF(COUNTA($A3370,$F3370,$G3370,$H3370,$I3370,$J3370)=0,"",IF($M3370=0,"✖ كود الصف غير موجود",IF(ISNA(MATCH($F3370,Lists!$A$2:$A$5,0)),"✖ الفترة غير صحيحة",IF(ISNA(MATCH($G3370,Lists!$B$2:$B$7,0)),"✖ المجموعة غير صحيحة",IF(NOT(OR($H3370="",$N3370&gt;0)),"✖ Start غير صحيح",IF(NOT(OR($I3370="",$I3370="NR",$O3370&gt;0)),"✖ Current غير صحيح",IF(NOT(IF(ISNUMBER($J3370),AND($J3370&gt;=0,$J3370=INT($J3370)),FALSE())),"✖ العدد يجب أن يكون صحيحًا ≥ 0",IF(AND($F3370="Baseline",$H3370&lt;&gt;""),"⚠ Baseline: Start لا يدخل في التقدم",IF($K3370="No Start (attainment only)","ℹ تحصيل فقط (بدون Start)",IF($K3370="U – needs rule","ℹ حالة U تحتاج قاعدة معتمدة",IF($K3370="No result","ℹ بدون نتيجة (يُستبعد من التحصيل)","OK")))))))))))</f>
        <v/>
      </c>
      <c r="M3370" s="64" t="n">
        <f aca="false">IF($A3370="",0,IFERROR(MATCH($A3370,Classes!$A$6:$A$420,0),0))</f>
        <v>0</v>
      </c>
      <c r="N3370" s="64" t="n">
        <f aca="false">IF($H3370="",0,IFERROR(MATCH($H3370,GradeList,0),0))</f>
        <v>0</v>
      </c>
      <c r="O3370" s="64" t="n">
        <f aca="false">IF(OR($I3370="",$I3370="NR"),0,IFERROR(MATCH($I3370,GradeList,0),0))</f>
        <v>0</v>
      </c>
      <c r="P3370" s="64" t="n">
        <f aca="false">IF(AND($M3370&gt;0,ISNUMBER(MATCH($F3370,Lists!$A$2:$A$5,0)),ISNUMBER(MATCH($G3370,Lists!$B$2:$B$7,0)),OR($H3370="",$N3370&gt;0),OR($I3370="",$I3370="NR",$O3370&gt;0),IF(ISNUMBER($J3370),AND($J3370&gt;=0,$J3370=INT($J3370)),FALSE())),$J3370,0)</f>
        <v>0</v>
      </c>
      <c r="Q3370" s="64" t="n">
        <f aca="false">IF(AND($P3370&gt;0,$O3370&gt;0),$P3370,0)</f>
        <v>0</v>
      </c>
      <c r="R3370" s="64" t="n">
        <f aca="false">IF(AND($Q3370&gt;0,$O3370&gt;=AtRank),$Q3370,0)</f>
        <v>0</v>
      </c>
      <c r="S3370" s="64" t="n">
        <f aca="false">IF(AND($Q3370&gt;0,$O3370&gt;=AboveRank),$Q3370,0)</f>
        <v>0</v>
      </c>
      <c r="T3370" s="64" t="n">
        <f aca="false">IF($K3370="Less",$P3370,0)</f>
        <v>0</v>
      </c>
      <c r="U3370" s="64" t="n">
        <f aca="false">IF($K3370="Expected",$P3370,0)</f>
        <v>0</v>
      </c>
      <c r="V3370" s="64" t="n">
        <f aca="false">IF($K3370="Better",$P3370,0)</f>
        <v>0</v>
      </c>
      <c r="W3370" s="64" t="n">
        <f aca="false">IF($K3370="U – needs rule",$P3370,0)</f>
        <v>0</v>
      </c>
      <c r="X3370" s="64" t="n">
        <f aca="false">IF($K3370="No Start (attainment only)",$P3370,0)</f>
        <v>0</v>
      </c>
    </row>
    <row r="3371" customFormat="false" ht="15" hidden="false" customHeight="false" outlineLevel="0" collapsed="false">
      <c r="A3371" s="60"/>
      <c r="B3371" s="61" t="str">
        <f aca="false">IF($M3371=0,"",INDEX(Classes!$E$6:$E$420,$M3371))</f>
        <v/>
      </c>
      <c r="C3371" s="62" t="str">
        <f aca="false">IF($M3371=0,"",INDEX(Classes!$H$6:$H$420,$M3371))</f>
        <v/>
      </c>
      <c r="D3371" s="61" t="str">
        <f aca="false">IF($M3371=0,"",INDEX(Classes!$B$6:$B$420,$M3371))</f>
        <v/>
      </c>
      <c r="E3371" s="61" t="str">
        <f aca="false">IF($M3371=0,"",INDEX(Classes!$C$6:$C$420,$M3371))</f>
        <v/>
      </c>
      <c r="F3371" s="63"/>
      <c r="G3371" s="63"/>
      <c r="H3371" s="60"/>
      <c r="I3371" s="60"/>
      <c r="J3371" s="63"/>
      <c r="K3371" s="61" t="str">
        <f aca="false">IF($P3371=0,"",IF($F3371="Baseline","— Baseline",IF($O3371=0,"No result",IF($N3371=0,"No Start (attainment only)",IF(OR($N3371=1,$O3371=1),"U – needs rule",INDEX(MxBody,MATCH($I3371,MxCurr,0),MATCH($H3371,MxStart,0)))))))</f>
        <v/>
      </c>
      <c r="L3371" s="62" t="str">
        <f aca="false">IF(COUNTA($A3371,$F3371,$G3371,$H3371,$I3371,$J3371)=0,"",IF($M3371=0,"✖ كود الصف غير موجود",IF(ISNA(MATCH($F3371,Lists!$A$2:$A$5,0)),"✖ الفترة غير صحيحة",IF(ISNA(MATCH($G3371,Lists!$B$2:$B$7,0)),"✖ المجموعة غير صحيحة",IF(NOT(OR($H3371="",$N3371&gt;0)),"✖ Start غير صحيح",IF(NOT(OR($I3371="",$I3371="NR",$O3371&gt;0)),"✖ Current غير صحيح",IF(NOT(IF(ISNUMBER($J3371),AND($J3371&gt;=0,$J3371=INT($J3371)),FALSE())),"✖ العدد يجب أن يكون صحيحًا ≥ 0",IF(AND($F3371="Baseline",$H3371&lt;&gt;""),"⚠ Baseline: Start لا يدخل في التقدم",IF($K3371="No Start (attainment only)","ℹ تحصيل فقط (بدون Start)",IF($K3371="U – needs rule","ℹ حالة U تحتاج قاعدة معتمدة",IF($K3371="No result","ℹ بدون نتيجة (يُستبعد من التحصيل)","OK")))))))))))</f>
        <v/>
      </c>
      <c r="M3371" s="64" t="n">
        <f aca="false">IF($A3371="",0,IFERROR(MATCH($A3371,Classes!$A$6:$A$420,0),0))</f>
        <v>0</v>
      </c>
      <c r="N3371" s="64" t="n">
        <f aca="false">IF($H3371="",0,IFERROR(MATCH($H3371,GradeList,0),0))</f>
        <v>0</v>
      </c>
      <c r="O3371" s="64" t="n">
        <f aca="false">IF(OR($I3371="",$I3371="NR"),0,IFERROR(MATCH($I3371,GradeList,0),0))</f>
        <v>0</v>
      </c>
      <c r="P3371" s="64" t="n">
        <f aca="false">IF(AND($M3371&gt;0,ISNUMBER(MATCH($F3371,Lists!$A$2:$A$5,0)),ISNUMBER(MATCH($G3371,Lists!$B$2:$B$7,0)),OR($H3371="",$N3371&gt;0),OR($I3371="",$I3371="NR",$O3371&gt;0),IF(ISNUMBER($J3371),AND($J3371&gt;=0,$J3371=INT($J3371)),FALSE())),$J3371,0)</f>
        <v>0</v>
      </c>
      <c r="Q3371" s="64" t="n">
        <f aca="false">IF(AND($P3371&gt;0,$O3371&gt;0),$P3371,0)</f>
        <v>0</v>
      </c>
      <c r="R3371" s="64" t="n">
        <f aca="false">IF(AND($Q3371&gt;0,$O3371&gt;=AtRank),$Q3371,0)</f>
        <v>0</v>
      </c>
      <c r="S3371" s="64" t="n">
        <f aca="false">IF(AND($Q3371&gt;0,$O3371&gt;=AboveRank),$Q3371,0)</f>
        <v>0</v>
      </c>
      <c r="T3371" s="64" t="n">
        <f aca="false">IF($K3371="Less",$P3371,0)</f>
        <v>0</v>
      </c>
      <c r="U3371" s="64" t="n">
        <f aca="false">IF($K3371="Expected",$P3371,0)</f>
        <v>0</v>
      </c>
      <c r="V3371" s="64" t="n">
        <f aca="false">IF($K3371="Better",$P3371,0)</f>
        <v>0</v>
      </c>
      <c r="W3371" s="64" t="n">
        <f aca="false">IF($K3371="U – needs rule",$P3371,0)</f>
        <v>0</v>
      </c>
      <c r="X3371" s="64" t="n">
        <f aca="false">IF($K3371="No Start (attainment only)",$P3371,0)</f>
        <v>0</v>
      </c>
    </row>
    <row r="3372" customFormat="false" ht="15" hidden="false" customHeight="false" outlineLevel="0" collapsed="false">
      <c r="A3372" s="60"/>
      <c r="B3372" s="61" t="str">
        <f aca="false">IF($M3372=0,"",INDEX(Classes!$E$6:$E$420,$M3372))</f>
        <v/>
      </c>
      <c r="C3372" s="62" t="str">
        <f aca="false">IF($M3372=0,"",INDEX(Classes!$H$6:$H$420,$M3372))</f>
        <v/>
      </c>
      <c r="D3372" s="61" t="str">
        <f aca="false">IF($M3372=0,"",INDEX(Classes!$B$6:$B$420,$M3372))</f>
        <v/>
      </c>
      <c r="E3372" s="61" t="str">
        <f aca="false">IF($M3372=0,"",INDEX(Classes!$C$6:$C$420,$M3372))</f>
        <v/>
      </c>
      <c r="F3372" s="63"/>
      <c r="G3372" s="63"/>
      <c r="H3372" s="60"/>
      <c r="I3372" s="60"/>
      <c r="J3372" s="63"/>
      <c r="K3372" s="61" t="str">
        <f aca="false">IF($P3372=0,"",IF($F3372="Baseline","— Baseline",IF($O3372=0,"No result",IF($N3372=0,"No Start (attainment only)",IF(OR($N3372=1,$O3372=1),"U – needs rule",INDEX(MxBody,MATCH($I3372,MxCurr,0),MATCH($H3372,MxStart,0)))))))</f>
        <v/>
      </c>
      <c r="L3372" s="62" t="str">
        <f aca="false">IF(COUNTA($A3372,$F3372,$G3372,$H3372,$I3372,$J3372)=0,"",IF($M3372=0,"✖ كود الصف غير موجود",IF(ISNA(MATCH($F3372,Lists!$A$2:$A$5,0)),"✖ الفترة غير صحيحة",IF(ISNA(MATCH($G3372,Lists!$B$2:$B$7,0)),"✖ المجموعة غير صحيحة",IF(NOT(OR($H3372="",$N3372&gt;0)),"✖ Start غير صحيح",IF(NOT(OR($I3372="",$I3372="NR",$O3372&gt;0)),"✖ Current غير صحيح",IF(NOT(IF(ISNUMBER($J3372),AND($J3372&gt;=0,$J3372=INT($J3372)),FALSE())),"✖ العدد يجب أن يكون صحيحًا ≥ 0",IF(AND($F3372="Baseline",$H3372&lt;&gt;""),"⚠ Baseline: Start لا يدخل في التقدم",IF($K3372="No Start (attainment only)","ℹ تحصيل فقط (بدون Start)",IF($K3372="U – needs rule","ℹ حالة U تحتاج قاعدة معتمدة",IF($K3372="No result","ℹ بدون نتيجة (يُستبعد من التحصيل)","OK")))))))))))</f>
        <v/>
      </c>
      <c r="M3372" s="64" t="n">
        <f aca="false">IF($A3372="",0,IFERROR(MATCH($A3372,Classes!$A$6:$A$420,0),0))</f>
        <v>0</v>
      </c>
      <c r="N3372" s="64" t="n">
        <f aca="false">IF($H3372="",0,IFERROR(MATCH($H3372,GradeList,0),0))</f>
        <v>0</v>
      </c>
      <c r="O3372" s="64" t="n">
        <f aca="false">IF(OR($I3372="",$I3372="NR"),0,IFERROR(MATCH($I3372,GradeList,0),0))</f>
        <v>0</v>
      </c>
      <c r="P3372" s="64" t="n">
        <f aca="false">IF(AND($M3372&gt;0,ISNUMBER(MATCH($F3372,Lists!$A$2:$A$5,0)),ISNUMBER(MATCH($G3372,Lists!$B$2:$B$7,0)),OR($H3372="",$N3372&gt;0),OR($I3372="",$I3372="NR",$O3372&gt;0),IF(ISNUMBER($J3372),AND($J3372&gt;=0,$J3372=INT($J3372)),FALSE())),$J3372,0)</f>
        <v>0</v>
      </c>
      <c r="Q3372" s="64" t="n">
        <f aca="false">IF(AND($P3372&gt;0,$O3372&gt;0),$P3372,0)</f>
        <v>0</v>
      </c>
      <c r="R3372" s="64" t="n">
        <f aca="false">IF(AND($Q3372&gt;0,$O3372&gt;=AtRank),$Q3372,0)</f>
        <v>0</v>
      </c>
      <c r="S3372" s="64" t="n">
        <f aca="false">IF(AND($Q3372&gt;0,$O3372&gt;=AboveRank),$Q3372,0)</f>
        <v>0</v>
      </c>
      <c r="T3372" s="64" t="n">
        <f aca="false">IF($K3372="Less",$P3372,0)</f>
        <v>0</v>
      </c>
      <c r="U3372" s="64" t="n">
        <f aca="false">IF($K3372="Expected",$P3372,0)</f>
        <v>0</v>
      </c>
      <c r="V3372" s="64" t="n">
        <f aca="false">IF($K3372="Better",$P3372,0)</f>
        <v>0</v>
      </c>
      <c r="W3372" s="64" t="n">
        <f aca="false">IF($K3372="U – needs rule",$P3372,0)</f>
        <v>0</v>
      </c>
      <c r="X3372" s="64" t="n">
        <f aca="false">IF($K3372="No Start (attainment only)",$P3372,0)</f>
        <v>0</v>
      </c>
    </row>
    <row r="3373" customFormat="false" ht="15" hidden="false" customHeight="false" outlineLevel="0" collapsed="false">
      <c r="A3373" s="60"/>
      <c r="B3373" s="61" t="str">
        <f aca="false">IF($M3373=0,"",INDEX(Classes!$E$6:$E$420,$M3373))</f>
        <v/>
      </c>
      <c r="C3373" s="62" t="str">
        <f aca="false">IF($M3373=0,"",INDEX(Classes!$H$6:$H$420,$M3373))</f>
        <v/>
      </c>
      <c r="D3373" s="61" t="str">
        <f aca="false">IF($M3373=0,"",INDEX(Classes!$B$6:$B$420,$M3373))</f>
        <v/>
      </c>
      <c r="E3373" s="61" t="str">
        <f aca="false">IF($M3373=0,"",INDEX(Classes!$C$6:$C$420,$M3373))</f>
        <v/>
      </c>
      <c r="F3373" s="63"/>
      <c r="G3373" s="63"/>
      <c r="H3373" s="60"/>
      <c r="I3373" s="60"/>
      <c r="J3373" s="63"/>
      <c r="K3373" s="61" t="str">
        <f aca="false">IF($P3373=0,"",IF($F3373="Baseline","— Baseline",IF($O3373=0,"No result",IF($N3373=0,"No Start (attainment only)",IF(OR($N3373=1,$O3373=1),"U – needs rule",INDEX(MxBody,MATCH($I3373,MxCurr,0),MATCH($H3373,MxStart,0)))))))</f>
        <v/>
      </c>
      <c r="L3373" s="62" t="str">
        <f aca="false">IF(COUNTA($A3373,$F3373,$G3373,$H3373,$I3373,$J3373)=0,"",IF($M3373=0,"✖ كود الصف غير موجود",IF(ISNA(MATCH($F3373,Lists!$A$2:$A$5,0)),"✖ الفترة غير صحيحة",IF(ISNA(MATCH($G3373,Lists!$B$2:$B$7,0)),"✖ المجموعة غير صحيحة",IF(NOT(OR($H3373="",$N3373&gt;0)),"✖ Start غير صحيح",IF(NOT(OR($I3373="",$I3373="NR",$O3373&gt;0)),"✖ Current غير صحيح",IF(NOT(IF(ISNUMBER($J3373),AND($J3373&gt;=0,$J3373=INT($J3373)),FALSE())),"✖ العدد يجب أن يكون صحيحًا ≥ 0",IF(AND($F3373="Baseline",$H3373&lt;&gt;""),"⚠ Baseline: Start لا يدخل في التقدم",IF($K3373="No Start (attainment only)","ℹ تحصيل فقط (بدون Start)",IF($K3373="U – needs rule","ℹ حالة U تحتاج قاعدة معتمدة",IF($K3373="No result","ℹ بدون نتيجة (يُستبعد من التحصيل)","OK")))))))))))</f>
        <v/>
      </c>
      <c r="M3373" s="64" t="n">
        <f aca="false">IF($A3373="",0,IFERROR(MATCH($A3373,Classes!$A$6:$A$420,0),0))</f>
        <v>0</v>
      </c>
      <c r="N3373" s="64" t="n">
        <f aca="false">IF($H3373="",0,IFERROR(MATCH($H3373,GradeList,0),0))</f>
        <v>0</v>
      </c>
      <c r="O3373" s="64" t="n">
        <f aca="false">IF(OR($I3373="",$I3373="NR"),0,IFERROR(MATCH($I3373,GradeList,0),0))</f>
        <v>0</v>
      </c>
      <c r="P3373" s="64" t="n">
        <f aca="false">IF(AND($M3373&gt;0,ISNUMBER(MATCH($F3373,Lists!$A$2:$A$5,0)),ISNUMBER(MATCH($G3373,Lists!$B$2:$B$7,0)),OR($H3373="",$N3373&gt;0),OR($I3373="",$I3373="NR",$O3373&gt;0),IF(ISNUMBER($J3373),AND($J3373&gt;=0,$J3373=INT($J3373)),FALSE())),$J3373,0)</f>
        <v>0</v>
      </c>
      <c r="Q3373" s="64" t="n">
        <f aca="false">IF(AND($P3373&gt;0,$O3373&gt;0),$P3373,0)</f>
        <v>0</v>
      </c>
      <c r="R3373" s="64" t="n">
        <f aca="false">IF(AND($Q3373&gt;0,$O3373&gt;=AtRank),$Q3373,0)</f>
        <v>0</v>
      </c>
      <c r="S3373" s="64" t="n">
        <f aca="false">IF(AND($Q3373&gt;0,$O3373&gt;=AboveRank),$Q3373,0)</f>
        <v>0</v>
      </c>
      <c r="T3373" s="64" t="n">
        <f aca="false">IF($K3373="Less",$P3373,0)</f>
        <v>0</v>
      </c>
      <c r="U3373" s="64" t="n">
        <f aca="false">IF($K3373="Expected",$P3373,0)</f>
        <v>0</v>
      </c>
      <c r="V3373" s="64" t="n">
        <f aca="false">IF($K3373="Better",$P3373,0)</f>
        <v>0</v>
      </c>
      <c r="W3373" s="64" t="n">
        <f aca="false">IF($K3373="U – needs rule",$P3373,0)</f>
        <v>0</v>
      </c>
      <c r="X3373" s="64" t="n">
        <f aca="false">IF($K3373="No Start (attainment only)",$P3373,0)</f>
        <v>0</v>
      </c>
    </row>
    <row r="3374" customFormat="false" ht="15" hidden="false" customHeight="false" outlineLevel="0" collapsed="false">
      <c r="A3374" s="60"/>
      <c r="B3374" s="61" t="str">
        <f aca="false">IF($M3374=0,"",INDEX(Classes!$E$6:$E$420,$M3374))</f>
        <v/>
      </c>
      <c r="C3374" s="62" t="str">
        <f aca="false">IF($M3374=0,"",INDEX(Classes!$H$6:$H$420,$M3374))</f>
        <v/>
      </c>
      <c r="D3374" s="61" t="str">
        <f aca="false">IF($M3374=0,"",INDEX(Classes!$B$6:$B$420,$M3374))</f>
        <v/>
      </c>
      <c r="E3374" s="61" t="str">
        <f aca="false">IF($M3374=0,"",INDEX(Classes!$C$6:$C$420,$M3374))</f>
        <v/>
      </c>
      <c r="F3374" s="63"/>
      <c r="G3374" s="63"/>
      <c r="H3374" s="60"/>
      <c r="I3374" s="60"/>
      <c r="J3374" s="63"/>
      <c r="K3374" s="61" t="str">
        <f aca="false">IF($P3374=0,"",IF($F3374="Baseline","— Baseline",IF($O3374=0,"No result",IF($N3374=0,"No Start (attainment only)",IF(OR($N3374=1,$O3374=1),"U – needs rule",INDEX(MxBody,MATCH($I3374,MxCurr,0),MATCH($H3374,MxStart,0)))))))</f>
        <v/>
      </c>
      <c r="L3374" s="62" t="str">
        <f aca="false">IF(COUNTA($A3374,$F3374,$G3374,$H3374,$I3374,$J3374)=0,"",IF($M3374=0,"✖ كود الصف غير موجود",IF(ISNA(MATCH($F3374,Lists!$A$2:$A$5,0)),"✖ الفترة غير صحيحة",IF(ISNA(MATCH($G3374,Lists!$B$2:$B$7,0)),"✖ المجموعة غير صحيحة",IF(NOT(OR($H3374="",$N3374&gt;0)),"✖ Start غير صحيح",IF(NOT(OR($I3374="",$I3374="NR",$O3374&gt;0)),"✖ Current غير صحيح",IF(NOT(IF(ISNUMBER($J3374),AND($J3374&gt;=0,$J3374=INT($J3374)),FALSE())),"✖ العدد يجب أن يكون صحيحًا ≥ 0",IF(AND($F3374="Baseline",$H3374&lt;&gt;""),"⚠ Baseline: Start لا يدخل في التقدم",IF($K3374="No Start (attainment only)","ℹ تحصيل فقط (بدون Start)",IF($K3374="U – needs rule","ℹ حالة U تحتاج قاعدة معتمدة",IF($K3374="No result","ℹ بدون نتيجة (يُستبعد من التحصيل)","OK")))))))))))</f>
        <v/>
      </c>
      <c r="M3374" s="64" t="n">
        <f aca="false">IF($A3374="",0,IFERROR(MATCH($A3374,Classes!$A$6:$A$420,0),0))</f>
        <v>0</v>
      </c>
      <c r="N3374" s="64" t="n">
        <f aca="false">IF($H3374="",0,IFERROR(MATCH($H3374,GradeList,0),0))</f>
        <v>0</v>
      </c>
      <c r="O3374" s="64" t="n">
        <f aca="false">IF(OR($I3374="",$I3374="NR"),0,IFERROR(MATCH($I3374,GradeList,0),0))</f>
        <v>0</v>
      </c>
      <c r="P3374" s="64" t="n">
        <f aca="false">IF(AND($M3374&gt;0,ISNUMBER(MATCH($F3374,Lists!$A$2:$A$5,0)),ISNUMBER(MATCH($G3374,Lists!$B$2:$B$7,0)),OR($H3374="",$N3374&gt;0),OR($I3374="",$I3374="NR",$O3374&gt;0),IF(ISNUMBER($J3374),AND($J3374&gt;=0,$J3374=INT($J3374)),FALSE())),$J3374,0)</f>
        <v>0</v>
      </c>
      <c r="Q3374" s="64" t="n">
        <f aca="false">IF(AND($P3374&gt;0,$O3374&gt;0),$P3374,0)</f>
        <v>0</v>
      </c>
      <c r="R3374" s="64" t="n">
        <f aca="false">IF(AND($Q3374&gt;0,$O3374&gt;=AtRank),$Q3374,0)</f>
        <v>0</v>
      </c>
      <c r="S3374" s="64" t="n">
        <f aca="false">IF(AND($Q3374&gt;0,$O3374&gt;=AboveRank),$Q3374,0)</f>
        <v>0</v>
      </c>
      <c r="T3374" s="64" t="n">
        <f aca="false">IF($K3374="Less",$P3374,0)</f>
        <v>0</v>
      </c>
      <c r="U3374" s="64" t="n">
        <f aca="false">IF($K3374="Expected",$P3374,0)</f>
        <v>0</v>
      </c>
      <c r="V3374" s="64" t="n">
        <f aca="false">IF($K3374="Better",$P3374,0)</f>
        <v>0</v>
      </c>
      <c r="W3374" s="64" t="n">
        <f aca="false">IF($K3374="U – needs rule",$P3374,0)</f>
        <v>0</v>
      </c>
      <c r="X3374" s="64" t="n">
        <f aca="false">IF($K3374="No Start (attainment only)",$P3374,0)</f>
        <v>0</v>
      </c>
    </row>
    <row r="3375" customFormat="false" ht="15" hidden="false" customHeight="false" outlineLevel="0" collapsed="false">
      <c r="A3375" s="60"/>
      <c r="B3375" s="61" t="str">
        <f aca="false">IF($M3375=0,"",INDEX(Classes!$E$6:$E$420,$M3375))</f>
        <v/>
      </c>
      <c r="C3375" s="62" t="str">
        <f aca="false">IF($M3375=0,"",INDEX(Classes!$H$6:$H$420,$M3375))</f>
        <v/>
      </c>
      <c r="D3375" s="61" t="str">
        <f aca="false">IF($M3375=0,"",INDEX(Classes!$B$6:$B$420,$M3375))</f>
        <v/>
      </c>
      <c r="E3375" s="61" t="str">
        <f aca="false">IF($M3375=0,"",INDEX(Classes!$C$6:$C$420,$M3375))</f>
        <v/>
      </c>
      <c r="F3375" s="63"/>
      <c r="G3375" s="63"/>
      <c r="H3375" s="60"/>
      <c r="I3375" s="60"/>
      <c r="J3375" s="63"/>
      <c r="K3375" s="61" t="str">
        <f aca="false">IF($P3375=0,"",IF($F3375="Baseline","— Baseline",IF($O3375=0,"No result",IF($N3375=0,"No Start (attainment only)",IF(OR($N3375=1,$O3375=1),"U – needs rule",INDEX(MxBody,MATCH($I3375,MxCurr,0),MATCH($H3375,MxStart,0)))))))</f>
        <v/>
      </c>
      <c r="L3375" s="62" t="str">
        <f aca="false">IF(COUNTA($A3375,$F3375,$G3375,$H3375,$I3375,$J3375)=0,"",IF($M3375=0,"✖ كود الصف غير موجود",IF(ISNA(MATCH($F3375,Lists!$A$2:$A$5,0)),"✖ الفترة غير صحيحة",IF(ISNA(MATCH($G3375,Lists!$B$2:$B$7,0)),"✖ المجموعة غير صحيحة",IF(NOT(OR($H3375="",$N3375&gt;0)),"✖ Start غير صحيح",IF(NOT(OR($I3375="",$I3375="NR",$O3375&gt;0)),"✖ Current غير صحيح",IF(NOT(IF(ISNUMBER($J3375),AND($J3375&gt;=0,$J3375=INT($J3375)),FALSE())),"✖ العدد يجب أن يكون صحيحًا ≥ 0",IF(AND($F3375="Baseline",$H3375&lt;&gt;""),"⚠ Baseline: Start لا يدخل في التقدم",IF($K3375="No Start (attainment only)","ℹ تحصيل فقط (بدون Start)",IF($K3375="U – needs rule","ℹ حالة U تحتاج قاعدة معتمدة",IF($K3375="No result","ℹ بدون نتيجة (يُستبعد من التحصيل)","OK")))))))))))</f>
        <v/>
      </c>
      <c r="M3375" s="64" t="n">
        <f aca="false">IF($A3375="",0,IFERROR(MATCH($A3375,Classes!$A$6:$A$420,0),0))</f>
        <v>0</v>
      </c>
      <c r="N3375" s="64" t="n">
        <f aca="false">IF($H3375="",0,IFERROR(MATCH($H3375,GradeList,0),0))</f>
        <v>0</v>
      </c>
      <c r="O3375" s="64" t="n">
        <f aca="false">IF(OR($I3375="",$I3375="NR"),0,IFERROR(MATCH($I3375,GradeList,0),0))</f>
        <v>0</v>
      </c>
      <c r="P3375" s="64" t="n">
        <f aca="false">IF(AND($M3375&gt;0,ISNUMBER(MATCH($F3375,Lists!$A$2:$A$5,0)),ISNUMBER(MATCH($G3375,Lists!$B$2:$B$7,0)),OR($H3375="",$N3375&gt;0),OR($I3375="",$I3375="NR",$O3375&gt;0),IF(ISNUMBER($J3375),AND($J3375&gt;=0,$J3375=INT($J3375)),FALSE())),$J3375,0)</f>
        <v>0</v>
      </c>
      <c r="Q3375" s="64" t="n">
        <f aca="false">IF(AND($P3375&gt;0,$O3375&gt;0),$P3375,0)</f>
        <v>0</v>
      </c>
      <c r="R3375" s="64" t="n">
        <f aca="false">IF(AND($Q3375&gt;0,$O3375&gt;=AtRank),$Q3375,0)</f>
        <v>0</v>
      </c>
      <c r="S3375" s="64" t="n">
        <f aca="false">IF(AND($Q3375&gt;0,$O3375&gt;=AboveRank),$Q3375,0)</f>
        <v>0</v>
      </c>
      <c r="T3375" s="64" t="n">
        <f aca="false">IF($K3375="Less",$P3375,0)</f>
        <v>0</v>
      </c>
      <c r="U3375" s="64" t="n">
        <f aca="false">IF($K3375="Expected",$P3375,0)</f>
        <v>0</v>
      </c>
      <c r="V3375" s="64" t="n">
        <f aca="false">IF($K3375="Better",$P3375,0)</f>
        <v>0</v>
      </c>
      <c r="W3375" s="64" t="n">
        <f aca="false">IF($K3375="U – needs rule",$P3375,0)</f>
        <v>0</v>
      </c>
      <c r="X3375" s="64" t="n">
        <f aca="false">IF($K3375="No Start (attainment only)",$P3375,0)</f>
        <v>0</v>
      </c>
    </row>
    <row r="3376" customFormat="false" ht="15" hidden="false" customHeight="false" outlineLevel="0" collapsed="false">
      <c r="A3376" s="60"/>
      <c r="B3376" s="61" t="str">
        <f aca="false">IF($M3376=0,"",INDEX(Classes!$E$6:$E$420,$M3376))</f>
        <v/>
      </c>
      <c r="C3376" s="62" t="str">
        <f aca="false">IF($M3376=0,"",INDEX(Classes!$H$6:$H$420,$M3376))</f>
        <v/>
      </c>
      <c r="D3376" s="61" t="str">
        <f aca="false">IF($M3376=0,"",INDEX(Classes!$B$6:$B$420,$M3376))</f>
        <v/>
      </c>
      <c r="E3376" s="61" t="str">
        <f aca="false">IF($M3376=0,"",INDEX(Classes!$C$6:$C$420,$M3376))</f>
        <v/>
      </c>
      <c r="F3376" s="63"/>
      <c r="G3376" s="63"/>
      <c r="H3376" s="60"/>
      <c r="I3376" s="60"/>
      <c r="J3376" s="63"/>
      <c r="K3376" s="61" t="str">
        <f aca="false">IF($P3376=0,"",IF($F3376="Baseline","— Baseline",IF($O3376=0,"No result",IF($N3376=0,"No Start (attainment only)",IF(OR($N3376=1,$O3376=1),"U – needs rule",INDEX(MxBody,MATCH($I3376,MxCurr,0),MATCH($H3376,MxStart,0)))))))</f>
        <v/>
      </c>
      <c r="L3376" s="62" t="str">
        <f aca="false">IF(COUNTA($A3376,$F3376,$G3376,$H3376,$I3376,$J3376)=0,"",IF($M3376=0,"✖ كود الصف غير موجود",IF(ISNA(MATCH($F3376,Lists!$A$2:$A$5,0)),"✖ الفترة غير صحيحة",IF(ISNA(MATCH($G3376,Lists!$B$2:$B$7,0)),"✖ المجموعة غير صحيحة",IF(NOT(OR($H3376="",$N3376&gt;0)),"✖ Start غير صحيح",IF(NOT(OR($I3376="",$I3376="NR",$O3376&gt;0)),"✖ Current غير صحيح",IF(NOT(IF(ISNUMBER($J3376),AND($J3376&gt;=0,$J3376=INT($J3376)),FALSE())),"✖ العدد يجب أن يكون صحيحًا ≥ 0",IF(AND($F3376="Baseline",$H3376&lt;&gt;""),"⚠ Baseline: Start لا يدخل في التقدم",IF($K3376="No Start (attainment only)","ℹ تحصيل فقط (بدون Start)",IF($K3376="U – needs rule","ℹ حالة U تحتاج قاعدة معتمدة",IF($K3376="No result","ℹ بدون نتيجة (يُستبعد من التحصيل)","OK")))))))))))</f>
        <v/>
      </c>
      <c r="M3376" s="64" t="n">
        <f aca="false">IF($A3376="",0,IFERROR(MATCH($A3376,Classes!$A$6:$A$420,0),0))</f>
        <v>0</v>
      </c>
      <c r="N3376" s="64" t="n">
        <f aca="false">IF($H3376="",0,IFERROR(MATCH($H3376,GradeList,0),0))</f>
        <v>0</v>
      </c>
      <c r="O3376" s="64" t="n">
        <f aca="false">IF(OR($I3376="",$I3376="NR"),0,IFERROR(MATCH($I3376,GradeList,0),0))</f>
        <v>0</v>
      </c>
      <c r="P3376" s="64" t="n">
        <f aca="false">IF(AND($M3376&gt;0,ISNUMBER(MATCH($F3376,Lists!$A$2:$A$5,0)),ISNUMBER(MATCH($G3376,Lists!$B$2:$B$7,0)),OR($H3376="",$N3376&gt;0),OR($I3376="",$I3376="NR",$O3376&gt;0),IF(ISNUMBER($J3376),AND($J3376&gt;=0,$J3376=INT($J3376)),FALSE())),$J3376,0)</f>
        <v>0</v>
      </c>
      <c r="Q3376" s="64" t="n">
        <f aca="false">IF(AND($P3376&gt;0,$O3376&gt;0),$P3376,0)</f>
        <v>0</v>
      </c>
      <c r="R3376" s="64" t="n">
        <f aca="false">IF(AND($Q3376&gt;0,$O3376&gt;=AtRank),$Q3376,0)</f>
        <v>0</v>
      </c>
      <c r="S3376" s="64" t="n">
        <f aca="false">IF(AND($Q3376&gt;0,$O3376&gt;=AboveRank),$Q3376,0)</f>
        <v>0</v>
      </c>
      <c r="T3376" s="64" t="n">
        <f aca="false">IF($K3376="Less",$P3376,0)</f>
        <v>0</v>
      </c>
      <c r="U3376" s="64" t="n">
        <f aca="false">IF($K3376="Expected",$P3376,0)</f>
        <v>0</v>
      </c>
      <c r="V3376" s="64" t="n">
        <f aca="false">IF($K3376="Better",$P3376,0)</f>
        <v>0</v>
      </c>
      <c r="W3376" s="64" t="n">
        <f aca="false">IF($K3376="U – needs rule",$P3376,0)</f>
        <v>0</v>
      </c>
      <c r="X3376" s="64" t="n">
        <f aca="false">IF($K3376="No Start (attainment only)",$P3376,0)</f>
        <v>0</v>
      </c>
    </row>
    <row r="3377" customFormat="false" ht="15" hidden="false" customHeight="false" outlineLevel="0" collapsed="false">
      <c r="A3377" s="60"/>
      <c r="B3377" s="61" t="str">
        <f aca="false">IF($M3377=0,"",INDEX(Classes!$E$6:$E$420,$M3377))</f>
        <v/>
      </c>
      <c r="C3377" s="62" t="str">
        <f aca="false">IF($M3377=0,"",INDEX(Classes!$H$6:$H$420,$M3377))</f>
        <v/>
      </c>
      <c r="D3377" s="61" t="str">
        <f aca="false">IF($M3377=0,"",INDEX(Classes!$B$6:$B$420,$M3377))</f>
        <v/>
      </c>
      <c r="E3377" s="61" t="str">
        <f aca="false">IF($M3377=0,"",INDEX(Classes!$C$6:$C$420,$M3377))</f>
        <v/>
      </c>
      <c r="F3377" s="63"/>
      <c r="G3377" s="63"/>
      <c r="H3377" s="60"/>
      <c r="I3377" s="60"/>
      <c r="J3377" s="63"/>
      <c r="K3377" s="61" t="str">
        <f aca="false">IF($P3377=0,"",IF($F3377="Baseline","— Baseline",IF($O3377=0,"No result",IF($N3377=0,"No Start (attainment only)",IF(OR($N3377=1,$O3377=1),"U – needs rule",INDEX(MxBody,MATCH($I3377,MxCurr,0),MATCH($H3377,MxStart,0)))))))</f>
        <v/>
      </c>
      <c r="L3377" s="62" t="str">
        <f aca="false">IF(COUNTA($A3377,$F3377,$G3377,$H3377,$I3377,$J3377)=0,"",IF($M3377=0,"✖ كود الصف غير موجود",IF(ISNA(MATCH($F3377,Lists!$A$2:$A$5,0)),"✖ الفترة غير صحيحة",IF(ISNA(MATCH($G3377,Lists!$B$2:$B$7,0)),"✖ المجموعة غير صحيحة",IF(NOT(OR($H3377="",$N3377&gt;0)),"✖ Start غير صحيح",IF(NOT(OR($I3377="",$I3377="NR",$O3377&gt;0)),"✖ Current غير صحيح",IF(NOT(IF(ISNUMBER($J3377),AND($J3377&gt;=0,$J3377=INT($J3377)),FALSE())),"✖ العدد يجب أن يكون صحيحًا ≥ 0",IF(AND($F3377="Baseline",$H3377&lt;&gt;""),"⚠ Baseline: Start لا يدخل في التقدم",IF($K3377="No Start (attainment only)","ℹ تحصيل فقط (بدون Start)",IF($K3377="U – needs rule","ℹ حالة U تحتاج قاعدة معتمدة",IF($K3377="No result","ℹ بدون نتيجة (يُستبعد من التحصيل)","OK")))))))))))</f>
        <v/>
      </c>
      <c r="M3377" s="64" t="n">
        <f aca="false">IF($A3377="",0,IFERROR(MATCH($A3377,Classes!$A$6:$A$420,0),0))</f>
        <v>0</v>
      </c>
      <c r="N3377" s="64" t="n">
        <f aca="false">IF($H3377="",0,IFERROR(MATCH($H3377,GradeList,0),0))</f>
        <v>0</v>
      </c>
      <c r="O3377" s="64" t="n">
        <f aca="false">IF(OR($I3377="",$I3377="NR"),0,IFERROR(MATCH($I3377,GradeList,0),0))</f>
        <v>0</v>
      </c>
      <c r="P3377" s="64" t="n">
        <f aca="false">IF(AND($M3377&gt;0,ISNUMBER(MATCH($F3377,Lists!$A$2:$A$5,0)),ISNUMBER(MATCH($G3377,Lists!$B$2:$B$7,0)),OR($H3377="",$N3377&gt;0),OR($I3377="",$I3377="NR",$O3377&gt;0),IF(ISNUMBER($J3377),AND($J3377&gt;=0,$J3377=INT($J3377)),FALSE())),$J3377,0)</f>
        <v>0</v>
      </c>
      <c r="Q3377" s="64" t="n">
        <f aca="false">IF(AND($P3377&gt;0,$O3377&gt;0),$P3377,0)</f>
        <v>0</v>
      </c>
      <c r="R3377" s="64" t="n">
        <f aca="false">IF(AND($Q3377&gt;0,$O3377&gt;=AtRank),$Q3377,0)</f>
        <v>0</v>
      </c>
      <c r="S3377" s="64" t="n">
        <f aca="false">IF(AND($Q3377&gt;0,$O3377&gt;=AboveRank),$Q3377,0)</f>
        <v>0</v>
      </c>
      <c r="T3377" s="64" t="n">
        <f aca="false">IF($K3377="Less",$P3377,0)</f>
        <v>0</v>
      </c>
      <c r="U3377" s="64" t="n">
        <f aca="false">IF($K3377="Expected",$P3377,0)</f>
        <v>0</v>
      </c>
      <c r="V3377" s="64" t="n">
        <f aca="false">IF($K3377="Better",$P3377,0)</f>
        <v>0</v>
      </c>
      <c r="W3377" s="64" t="n">
        <f aca="false">IF($K3377="U – needs rule",$P3377,0)</f>
        <v>0</v>
      </c>
      <c r="X3377" s="64" t="n">
        <f aca="false">IF($K3377="No Start (attainment only)",$P3377,0)</f>
        <v>0</v>
      </c>
    </row>
    <row r="3378" customFormat="false" ht="15" hidden="false" customHeight="false" outlineLevel="0" collapsed="false">
      <c r="A3378" s="60"/>
      <c r="B3378" s="61" t="str">
        <f aca="false">IF($M3378=0,"",INDEX(Classes!$E$6:$E$420,$M3378))</f>
        <v/>
      </c>
      <c r="C3378" s="62" t="str">
        <f aca="false">IF($M3378=0,"",INDEX(Classes!$H$6:$H$420,$M3378))</f>
        <v/>
      </c>
      <c r="D3378" s="61" t="str">
        <f aca="false">IF($M3378=0,"",INDEX(Classes!$B$6:$B$420,$M3378))</f>
        <v/>
      </c>
      <c r="E3378" s="61" t="str">
        <f aca="false">IF($M3378=0,"",INDEX(Classes!$C$6:$C$420,$M3378))</f>
        <v/>
      </c>
      <c r="F3378" s="63"/>
      <c r="G3378" s="63"/>
      <c r="H3378" s="60"/>
      <c r="I3378" s="60"/>
      <c r="J3378" s="63"/>
      <c r="K3378" s="61" t="str">
        <f aca="false">IF($P3378=0,"",IF($F3378="Baseline","— Baseline",IF($O3378=0,"No result",IF($N3378=0,"No Start (attainment only)",IF(OR($N3378=1,$O3378=1),"U – needs rule",INDEX(MxBody,MATCH($I3378,MxCurr,0),MATCH($H3378,MxStart,0)))))))</f>
        <v/>
      </c>
      <c r="L3378" s="62" t="str">
        <f aca="false">IF(COUNTA($A3378,$F3378,$G3378,$H3378,$I3378,$J3378)=0,"",IF($M3378=0,"✖ كود الصف غير موجود",IF(ISNA(MATCH($F3378,Lists!$A$2:$A$5,0)),"✖ الفترة غير صحيحة",IF(ISNA(MATCH($G3378,Lists!$B$2:$B$7,0)),"✖ المجموعة غير صحيحة",IF(NOT(OR($H3378="",$N3378&gt;0)),"✖ Start غير صحيح",IF(NOT(OR($I3378="",$I3378="NR",$O3378&gt;0)),"✖ Current غير صحيح",IF(NOT(IF(ISNUMBER($J3378),AND($J3378&gt;=0,$J3378=INT($J3378)),FALSE())),"✖ العدد يجب أن يكون صحيحًا ≥ 0",IF(AND($F3378="Baseline",$H3378&lt;&gt;""),"⚠ Baseline: Start لا يدخل في التقدم",IF($K3378="No Start (attainment only)","ℹ تحصيل فقط (بدون Start)",IF($K3378="U – needs rule","ℹ حالة U تحتاج قاعدة معتمدة",IF($K3378="No result","ℹ بدون نتيجة (يُستبعد من التحصيل)","OK")))))))))))</f>
        <v/>
      </c>
      <c r="M3378" s="64" t="n">
        <f aca="false">IF($A3378="",0,IFERROR(MATCH($A3378,Classes!$A$6:$A$420,0),0))</f>
        <v>0</v>
      </c>
      <c r="N3378" s="64" t="n">
        <f aca="false">IF($H3378="",0,IFERROR(MATCH($H3378,GradeList,0),0))</f>
        <v>0</v>
      </c>
      <c r="O3378" s="64" t="n">
        <f aca="false">IF(OR($I3378="",$I3378="NR"),0,IFERROR(MATCH($I3378,GradeList,0),0))</f>
        <v>0</v>
      </c>
      <c r="P3378" s="64" t="n">
        <f aca="false">IF(AND($M3378&gt;0,ISNUMBER(MATCH($F3378,Lists!$A$2:$A$5,0)),ISNUMBER(MATCH($G3378,Lists!$B$2:$B$7,0)),OR($H3378="",$N3378&gt;0),OR($I3378="",$I3378="NR",$O3378&gt;0),IF(ISNUMBER($J3378),AND($J3378&gt;=0,$J3378=INT($J3378)),FALSE())),$J3378,0)</f>
        <v>0</v>
      </c>
      <c r="Q3378" s="64" t="n">
        <f aca="false">IF(AND($P3378&gt;0,$O3378&gt;0),$P3378,0)</f>
        <v>0</v>
      </c>
      <c r="R3378" s="64" t="n">
        <f aca="false">IF(AND($Q3378&gt;0,$O3378&gt;=AtRank),$Q3378,0)</f>
        <v>0</v>
      </c>
      <c r="S3378" s="64" t="n">
        <f aca="false">IF(AND($Q3378&gt;0,$O3378&gt;=AboveRank),$Q3378,0)</f>
        <v>0</v>
      </c>
      <c r="T3378" s="64" t="n">
        <f aca="false">IF($K3378="Less",$P3378,0)</f>
        <v>0</v>
      </c>
      <c r="U3378" s="64" t="n">
        <f aca="false">IF($K3378="Expected",$P3378,0)</f>
        <v>0</v>
      </c>
      <c r="V3378" s="64" t="n">
        <f aca="false">IF($K3378="Better",$P3378,0)</f>
        <v>0</v>
      </c>
      <c r="W3378" s="64" t="n">
        <f aca="false">IF($K3378="U – needs rule",$P3378,0)</f>
        <v>0</v>
      </c>
      <c r="X3378" s="64" t="n">
        <f aca="false">IF($K3378="No Start (attainment only)",$P3378,0)</f>
        <v>0</v>
      </c>
    </row>
    <row r="3379" customFormat="false" ht="15" hidden="false" customHeight="false" outlineLevel="0" collapsed="false">
      <c r="A3379" s="60"/>
      <c r="B3379" s="61" t="str">
        <f aca="false">IF($M3379=0,"",INDEX(Classes!$E$6:$E$420,$M3379))</f>
        <v/>
      </c>
      <c r="C3379" s="62" t="str">
        <f aca="false">IF($M3379=0,"",INDEX(Classes!$H$6:$H$420,$M3379))</f>
        <v/>
      </c>
      <c r="D3379" s="61" t="str">
        <f aca="false">IF($M3379=0,"",INDEX(Classes!$B$6:$B$420,$M3379))</f>
        <v/>
      </c>
      <c r="E3379" s="61" t="str">
        <f aca="false">IF($M3379=0,"",INDEX(Classes!$C$6:$C$420,$M3379))</f>
        <v/>
      </c>
      <c r="F3379" s="63"/>
      <c r="G3379" s="63"/>
      <c r="H3379" s="60"/>
      <c r="I3379" s="60"/>
      <c r="J3379" s="63"/>
      <c r="K3379" s="61" t="str">
        <f aca="false">IF($P3379=0,"",IF($F3379="Baseline","— Baseline",IF($O3379=0,"No result",IF($N3379=0,"No Start (attainment only)",IF(OR($N3379=1,$O3379=1),"U – needs rule",INDEX(MxBody,MATCH($I3379,MxCurr,0),MATCH($H3379,MxStart,0)))))))</f>
        <v/>
      </c>
      <c r="L3379" s="62" t="str">
        <f aca="false">IF(COUNTA($A3379,$F3379,$G3379,$H3379,$I3379,$J3379)=0,"",IF($M3379=0,"✖ كود الصف غير موجود",IF(ISNA(MATCH($F3379,Lists!$A$2:$A$5,0)),"✖ الفترة غير صحيحة",IF(ISNA(MATCH($G3379,Lists!$B$2:$B$7,0)),"✖ المجموعة غير صحيحة",IF(NOT(OR($H3379="",$N3379&gt;0)),"✖ Start غير صحيح",IF(NOT(OR($I3379="",$I3379="NR",$O3379&gt;0)),"✖ Current غير صحيح",IF(NOT(IF(ISNUMBER($J3379),AND($J3379&gt;=0,$J3379=INT($J3379)),FALSE())),"✖ العدد يجب أن يكون صحيحًا ≥ 0",IF(AND($F3379="Baseline",$H3379&lt;&gt;""),"⚠ Baseline: Start لا يدخل في التقدم",IF($K3379="No Start (attainment only)","ℹ تحصيل فقط (بدون Start)",IF($K3379="U – needs rule","ℹ حالة U تحتاج قاعدة معتمدة",IF($K3379="No result","ℹ بدون نتيجة (يُستبعد من التحصيل)","OK")))))))))))</f>
        <v/>
      </c>
      <c r="M3379" s="64" t="n">
        <f aca="false">IF($A3379="",0,IFERROR(MATCH($A3379,Classes!$A$6:$A$420,0),0))</f>
        <v>0</v>
      </c>
      <c r="N3379" s="64" t="n">
        <f aca="false">IF($H3379="",0,IFERROR(MATCH($H3379,GradeList,0),0))</f>
        <v>0</v>
      </c>
      <c r="O3379" s="64" t="n">
        <f aca="false">IF(OR($I3379="",$I3379="NR"),0,IFERROR(MATCH($I3379,GradeList,0),0))</f>
        <v>0</v>
      </c>
      <c r="P3379" s="64" t="n">
        <f aca="false">IF(AND($M3379&gt;0,ISNUMBER(MATCH($F3379,Lists!$A$2:$A$5,0)),ISNUMBER(MATCH($G3379,Lists!$B$2:$B$7,0)),OR($H3379="",$N3379&gt;0),OR($I3379="",$I3379="NR",$O3379&gt;0),IF(ISNUMBER($J3379),AND($J3379&gt;=0,$J3379=INT($J3379)),FALSE())),$J3379,0)</f>
        <v>0</v>
      </c>
      <c r="Q3379" s="64" t="n">
        <f aca="false">IF(AND($P3379&gt;0,$O3379&gt;0),$P3379,0)</f>
        <v>0</v>
      </c>
      <c r="R3379" s="64" t="n">
        <f aca="false">IF(AND($Q3379&gt;0,$O3379&gt;=AtRank),$Q3379,0)</f>
        <v>0</v>
      </c>
      <c r="S3379" s="64" t="n">
        <f aca="false">IF(AND($Q3379&gt;0,$O3379&gt;=AboveRank),$Q3379,0)</f>
        <v>0</v>
      </c>
      <c r="T3379" s="64" t="n">
        <f aca="false">IF($K3379="Less",$P3379,0)</f>
        <v>0</v>
      </c>
      <c r="U3379" s="64" t="n">
        <f aca="false">IF($K3379="Expected",$P3379,0)</f>
        <v>0</v>
      </c>
      <c r="V3379" s="64" t="n">
        <f aca="false">IF($K3379="Better",$P3379,0)</f>
        <v>0</v>
      </c>
      <c r="W3379" s="64" t="n">
        <f aca="false">IF($K3379="U – needs rule",$P3379,0)</f>
        <v>0</v>
      </c>
      <c r="X3379" s="64" t="n">
        <f aca="false">IF($K3379="No Start (attainment only)",$P3379,0)</f>
        <v>0</v>
      </c>
    </row>
    <row r="3380" customFormat="false" ht="15" hidden="false" customHeight="false" outlineLevel="0" collapsed="false">
      <c r="A3380" s="60"/>
      <c r="B3380" s="61" t="str">
        <f aca="false">IF($M3380=0,"",INDEX(Classes!$E$6:$E$420,$M3380))</f>
        <v/>
      </c>
      <c r="C3380" s="62" t="str">
        <f aca="false">IF($M3380=0,"",INDEX(Classes!$H$6:$H$420,$M3380))</f>
        <v/>
      </c>
      <c r="D3380" s="61" t="str">
        <f aca="false">IF($M3380=0,"",INDEX(Classes!$B$6:$B$420,$M3380))</f>
        <v/>
      </c>
      <c r="E3380" s="61" t="str">
        <f aca="false">IF($M3380=0,"",INDEX(Classes!$C$6:$C$420,$M3380))</f>
        <v/>
      </c>
      <c r="F3380" s="63"/>
      <c r="G3380" s="63"/>
      <c r="H3380" s="60"/>
      <c r="I3380" s="60"/>
      <c r="J3380" s="63"/>
      <c r="K3380" s="61" t="str">
        <f aca="false">IF($P3380=0,"",IF($F3380="Baseline","— Baseline",IF($O3380=0,"No result",IF($N3380=0,"No Start (attainment only)",IF(OR($N3380=1,$O3380=1),"U – needs rule",INDEX(MxBody,MATCH($I3380,MxCurr,0),MATCH($H3380,MxStart,0)))))))</f>
        <v/>
      </c>
      <c r="L3380" s="62" t="str">
        <f aca="false">IF(COUNTA($A3380,$F3380,$G3380,$H3380,$I3380,$J3380)=0,"",IF($M3380=0,"✖ كود الصف غير موجود",IF(ISNA(MATCH($F3380,Lists!$A$2:$A$5,0)),"✖ الفترة غير صحيحة",IF(ISNA(MATCH($G3380,Lists!$B$2:$B$7,0)),"✖ المجموعة غير صحيحة",IF(NOT(OR($H3380="",$N3380&gt;0)),"✖ Start غير صحيح",IF(NOT(OR($I3380="",$I3380="NR",$O3380&gt;0)),"✖ Current غير صحيح",IF(NOT(IF(ISNUMBER($J3380),AND($J3380&gt;=0,$J3380=INT($J3380)),FALSE())),"✖ العدد يجب أن يكون صحيحًا ≥ 0",IF(AND($F3380="Baseline",$H3380&lt;&gt;""),"⚠ Baseline: Start لا يدخل في التقدم",IF($K3380="No Start (attainment only)","ℹ تحصيل فقط (بدون Start)",IF($K3380="U – needs rule","ℹ حالة U تحتاج قاعدة معتمدة",IF($K3380="No result","ℹ بدون نتيجة (يُستبعد من التحصيل)","OK")))))))))))</f>
        <v/>
      </c>
      <c r="M3380" s="64" t="n">
        <f aca="false">IF($A3380="",0,IFERROR(MATCH($A3380,Classes!$A$6:$A$420,0),0))</f>
        <v>0</v>
      </c>
      <c r="N3380" s="64" t="n">
        <f aca="false">IF($H3380="",0,IFERROR(MATCH($H3380,GradeList,0),0))</f>
        <v>0</v>
      </c>
      <c r="O3380" s="64" t="n">
        <f aca="false">IF(OR($I3380="",$I3380="NR"),0,IFERROR(MATCH($I3380,GradeList,0),0))</f>
        <v>0</v>
      </c>
      <c r="P3380" s="64" t="n">
        <f aca="false">IF(AND($M3380&gt;0,ISNUMBER(MATCH($F3380,Lists!$A$2:$A$5,0)),ISNUMBER(MATCH($G3380,Lists!$B$2:$B$7,0)),OR($H3380="",$N3380&gt;0),OR($I3380="",$I3380="NR",$O3380&gt;0),IF(ISNUMBER($J3380),AND($J3380&gt;=0,$J3380=INT($J3380)),FALSE())),$J3380,0)</f>
        <v>0</v>
      </c>
      <c r="Q3380" s="64" t="n">
        <f aca="false">IF(AND($P3380&gt;0,$O3380&gt;0),$P3380,0)</f>
        <v>0</v>
      </c>
      <c r="R3380" s="64" t="n">
        <f aca="false">IF(AND($Q3380&gt;0,$O3380&gt;=AtRank),$Q3380,0)</f>
        <v>0</v>
      </c>
      <c r="S3380" s="64" t="n">
        <f aca="false">IF(AND($Q3380&gt;0,$O3380&gt;=AboveRank),$Q3380,0)</f>
        <v>0</v>
      </c>
      <c r="T3380" s="64" t="n">
        <f aca="false">IF($K3380="Less",$P3380,0)</f>
        <v>0</v>
      </c>
      <c r="U3380" s="64" t="n">
        <f aca="false">IF($K3380="Expected",$P3380,0)</f>
        <v>0</v>
      </c>
      <c r="V3380" s="64" t="n">
        <f aca="false">IF($K3380="Better",$P3380,0)</f>
        <v>0</v>
      </c>
      <c r="W3380" s="64" t="n">
        <f aca="false">IF($K3380="U – needs rule",$P3380,0)</f>
        <v>0</v>
      </c>
      <c r="X3380" s="64" t="n">
        <f aca="false">IF($K3380="No Start (attainment only)",$P3380,0)</f>
        <v>0</v>
      </c>
    </row>
    <row r="3381" customFormat="false" ht="15" hidden="false" customHeight="false" outlineLevel="0" collapsed="false">
      <c r="A3381" s="60"/>
      <c r="B3381" s="61" t="str">
        <f aca="false">IF($M3381=0,"",INDEX(Classes!$E$6:$E$420,$M3381))</f>
        <v/>
      </c>
      <c r="C3381" s="62" t="str">
        <f aca="false">IF($M3381=0,"",INDEX(Classes!$H$6:$H$420,$M3381))</f>
        <v/>
      </c>
      <c r="D3381" s="61" t="str">
        <f aca="false">IF($M3381=0,"",INDEX(Classes!$B$6:$B$420,$M3381))</f>
        <v/>
      </c>
      <c r="E3381" s="61" t="str">
        <f aca="false">IF($M3381=0,"",INDEX(Classes!$C$6:$C$420,$M3381))</f>
        <v/>
      </c>
      <c r="F3381" s="63"/>
      <c r="G3381" s="63"/>
      <c r="H3381" s="60"/>
      <c r="I3381" s="60"/>
      <c r="J3381" s="63"/>
      <c r="K3381" s="61" t="str">
        <f aca="false">IF($P3381=0,"",IF($F3381="Baseline","— Baseline",IF($O3381=0,"No result",IF($N3381=0,"No Start (attainment only)",IF(OR($N3381=1,$O3381=1),"U – needs rule",INDEX(MxBody,MATCH($I3381,MxCurr,0),MATCH($H3381,MxStart,0)))))))</f>
        <v/>
      </c>
      <c r="L3381" s="62" t="str">
        <f aca="false">IF(COUNTA($A3381,$F3381,$G3381,$H3381,$I3381,$J3381)=0,"",IF($M3381=0,"✖ كود الصف غير موجود",IF(ISNA(MATCH($F3381,Lists!$A$2:$A$5,0)),"✖ الفترة غير صحيحة",IF(ISNA(MATCH($G3381,Lists!$B$2:$B$7,0)),"✖ المجموعة غير صحيحة",IF(NOT(OR($H3381="",$N3381&gt;0)),"✖ Start غير صحيح",IF(NOT(OR($I3381="",$I3381="NR",$O3381&gt;0)),"✖ Current غير صحيح",IF(NOT(IF(ISNUMBER($J3381),AND($J3381&gt;=0,$J3381=INT($J3381)),FALSE())),"✖ العدد يجب أن يكون صحيحًا ≥ 0",IF(AND($F3381="Baseline",$H3381&lt;&gt;""),"⚠ Baseline: Start لا يدخل في التقدم",IF($K3381="No Start (attainment only)","ℹ تحصيل فقط (بدون Start)",IF($K3381="U – needs rule","ℹ حالة U تحتاج قاعدة معتمدة",IF($K3381="No result","ℹ بدون نتيجة (يُستبعد من التحصيل)","OK")))))))))))</f>
        <v/>
      </c>
      <c r="M3381" s="64" t="n">
        <f aca="false">IF($A3381="",0,IFERROR(MATCH($A3381,Classes!$A$6:$A$420,0),0))</f>
        <v>0</v>
      </c>
      <c r="N3381" s="64" t="n">
        <f aca="false">IF($H3381="",0,IFERROR(MATCH($H3381,GradeList,0),0))</f>
        <v>0</v>
      </c>
      <c r="O3381" s="64" t="n">
        <f aca="false">IF(OR($I3381="",$I3381="NR"),0,IFERROR(MATCH($I3381,GradeList,0),0))</f>
        <v>0</v>
      </c>
      <c r="P3381" s="64" t="n">
        <f aca="false">IF(AND($M3381&gt;0,ISNUMBER(MATCH($F3381,Lists!$A$2:$A$5,0)),ISNUMBER(MATCH($G3381,Lists!$B$2:$B$7,0)),OR($H3381="",$N3381&gt;0),OR($I3381="",$I3381="NR",$O3381&gt;0),IF(ISNUMBER($J3381),AND($J3381&gt;=0,$J3381=INT($J3381)),FALSE())),$J3381,0)</f>
        <v>0</v>
      </c>
      <c r="Q3381" s="64" t="n">
        <f aca="false">IF(AND($P3381&gt;0,$O3381&gt;0),$P3381,0)</f>
        <v>0</v>
      </c>
      <c r="R3381" s="64" t="n">
        <f aca="false">IF(AND($Q3381&gt;0,$O3381&gt;=AtRank),$Q3381,0)</f>
        <v>0</v>
      </c>
      <c r="S3381" s="64" t="n">
        <f aca="false">IF(AND($Q3381&gt;0,$O3381&gt;=AboveRank),$Q3381,0)</f>
        <v>0</v>
      </c>
      <c r="T3381" s="64" t="n">
        <f aca="false">IF($K3381="Less",$P3381,0)</f>
        <v>0</v>
      </c>
      <c r="U3381" s="64" t="n">
        <f aca="false">IF($K3381="Expected",$P3381,0)</f>
        <v>0</v>
      </c>
      <c r="V3381" s="64" t="n">
        <f aca="false">IF($K3381="Better",$P3381,0)</f>
        <v>0</v>
      </c>
      <c r="W3381" s="64" t="n">
        <f aca="false">IF($K3381="U – needs rule",$P3381,0)</f>
        <v>0</v>
      </c>
      <c r="X3381" s="64" t="n">
        <f aca="false">IF($K3381="No Start (attainment only)",$P3381,0)</f>
        <v>0</v>
      </c>
    </row>
    <row r="3382" customFormat="false" ht="15" hidden="false" customHeight="false" outlineLevel="0" collapsed="false">
      <c r="A3382" s="60"/>
      <c r="B3382" s="61" t="str">
        <f aca="false">IF($M3382=0,"",INDEX(Classes!$E$6:$E$420,$M3382))</f>
        <v/>
      </c>
      <c r="C3382" s="62" t="str">
        <f aca="false">IF($M3382=0,"",INDEX(Classes!$H$6:$H$420,$M3382))</f>
        <v/>
      </c>
      <c r="D3382" s="61" t="str">
        <f aca="false">IF($M3382=0,"",INDEX(Classes!$B$6:$B$420,$M3382))</f>
        <v/>
      </c>
      <c r="E3382" s="61" t="str">
        <f aca="false">IF($M3382=0,"",INDEX(Classes!$C$6:$C$420,$M3382))</f>
        <v/>
      </c>
      <c r="F3382" s="63"/>
      <c r="G3382" s="63"/>
      <c r="H3382" s="60"/>
      <c r="I3382" s="60"/>
      <c r="J3382" s="63"/>
      <c r="K3382" s="61" t="str">
        <f aca="false">IF($P3382=0,"",IF($F3382="Baseline","— Baseline",IF($O3382=0,"No result",IF($N3382=0,"No Start (attainment only)",IF(OR($N3382=1,$O3382=1),"U – needs rule",INDEX(MxBody,MATCH($I3382,MxCurr,0),MATCH($H3382,MxStart,0)))))))</f>
        <v/>
      </c>
      <c r="L3382" s="62" t="str">
        <f aca="false">IF(COUNTA($A3382,$F3382,$G3382,$H3382,$I3382,$J3382)=0,"",IF($M3382=0,"✖ كود الصف غير موجود",IF(ISNA(MATCH($F3382,Lists!$A$2:$A$5,0)),"✖ الفترة غير صحيحة",IF(ISNA(MATCH($G3382,Lists!$B$2:$B$7,0)),"✖ المجموعة غير صحيحة",IF(NOT(OR($H3382="",$N3382&gt;0)),"✖ Start غير صحيح",IF(NOT(OR($I3382="",$I3382="NR",$O3382&gt;0)),"✖ Current غير صحيح",IF(NOT(IF(ISNUMBER($J3382),AND($J3382&gt;=0,$J3382=INT($J3382)),FALSE())),"✖ العدد يجب أن يكون صحيحًا ≥ 0",IF(AND($F3382="Baseline",$H3382&lt;&gt;""),"⚠ Baseline: Start لا يدخل في التقدم",IF($K3382="No Start (attainment only)","ℹ تحصيل فقط (بدون Start)",IF($K3382="U – needs rule","ℹ حالة U تحتاج قاعدة معتمدة",IF($K3382="No result","ℹ بدون نتيجة (يُستبعد من التحصيل)","OK")))))))))))</f>
        <v/>
      </c>
      <c r="M3382" s="64" t="n">
        <f aca="false">IF($A3382="",0,IFERROR(MATCH($A3382,Classes!$A$6:$A$420,0),0))</f>
        <v>0</v>
      </c>
      <c r="N3382" s="64" t="n">
        <f aca="false">IF($H3382="",0,IFERROR(MATCH($H3382,GradeList,0),0))</f>
        <v>0</v>
      </c>
      <c r="O3382" s="64" t="n">
        <f aca="false">IF(OR($I3382="",$I3382="NR"),0,IFERROR(MATCH($I3382,GradeList,0),0))</f>
        <v>0</v>
      </c>
      <c r="P3382" s="64" t="n">
        <f aca="false">IF(AND($M3382&gt;0,ISNUMBER(MATCH($F3382,Lists!$A$2:$A$5,0)),ISNUMBER(MATCH($G3382,Lists!$B$2:$B$7,0)),OR($H3382="",$N3382&gt;0),OR($I3382="",$I3382="NR",$O3382&gt;0),IF(ISNUMBER($J3382),AND($J3382&gt;=0,$J3382=INT($J3382)),FALSE())),$J3382,0)</f>
        <v>0</v>
      </c>
      <c r="Q3382" s="64" t="n">
        <f aca="false">IF(AND($P3382&gt;0,$O3382&gt;0),$P3382,0)</f>
        <v>0</v>
      </c>
      <c r="R3382" s="64" t="n">
        <f aca="false">IF(AND($Q3382&gt;0,$O3382&gt;=AtRank),$Q3382,0)</f>
        <v>0</v>
      </c>
      <c r="S3382" s="64" t="n">
        <f aca="false">IF(AND($Q3382&gt;0,$O3382&gt;=AboveRank),$Q3382,0)</f>
        <v>0</v>
      </c>
      <c r="T3382" s="64" t="n">
        <f aca="false">IF($K3382="Less",$P3382,0)</f>
        <v>0</v>
      </c>
      <c r="U3382" s="64" t="n">
        <f aca="false">IF($K3382="Expected",$P3382,0)</f>
        <v>0</v>
      </c>
      <c r="V3382" s="64" t="n">
        <f aca="false">IF($K3382="Better",$P3382,0)</f>
        <v>0</v>
      </c>
      <c r="W3382" s="64" t="n">
        <f aca="false">IF($K3382="U – needs rule",$P3382,0)</f>
        <v>0</v>
      </c>
      <c r="X3382" s="64" t="n">
        <f aca="false">IF($K3382="No Start (attainment only)",$P3382,0)</f>
        <v>0</v>
      </c>
    </row>
    <row r="3383" customFormat="false" ht="15" hidden="false" customHeight="false" outlineLevel="0" collapsed="false">
      <c r="A3383" s="60"/>
      <c r="B3383" s="61" t="str">
        <f aca="false">IF($M3383=0,"",INDEX(Classes!$E$6:$E$420,$M3383))</f>
        <v/>
      </c>
      <c r="C3383" s="62" t="str">
        <f aca="false">IF($M3383=0,"",INDEX(Classes!$H$6:$H$420,$M3383))</f>
        <v/>
      </c>
      <c r="D3383" s="61" t="str">
        <f aca="false">IF($M3383=0,"",INDEX(Classes!$B$6:$B$420,$M3383))</f>
        <v/>
      </c>
      <c r="E3383" s="61" t="str">
        <f aca="false">IF($M3383=0,"",INDEX(Classes!$C$6:$C$420,$M3383))</f>
        <v/>
      </c>
      <c r="F3383" s="63"/>
      <c r="G3383" s="63"/>
      <c r="H3383" s="60"/>
      <c r="I3383" s="60"/>
      <c r="J3383" s="63"/>
      <c r="K3383" s="61" t="str">
        <f aca="false">IF($P3383=0,"",IF($F3383="Baseline","— Baseline",IF($O3383=0,"No result",IF($N3383=0,"No Start (attainment only)",IF(OR($N3383=1,$O3383=1),"U – needs rule",INDEX(MxBody,MATCH($I3383,MxCurr,0),MATCH($H3383,MxStart,0)))))))</f>
        <v/>
      </c>
      <c r="L3383" s="62" t="str">
        <f aca="false">IF(COUNTA($A3383,$F3383,$G3383,$H3383,$I3383,$J3383)=0,"",IF($M3383=0,"✖ كود الصف غير موجود",IF(ISNA(MATCH($F3383,Lists!$A$2:$A$5,0)),"✖ الفترة غير صحيحة",IF(ISNA(MATCH($G3383,Lists!$B$2:$B$7,0)),"✖ المجموعة غير صحيحة",IF(NOT(OR($H3383="",$N3383&gt;0)),"✖ Start غير صحيح",IF(NOT(OR($I3383="",$I3383="NR",$O3383&gt;0)),"✖ Current غير صحيح",IF(NOT(IF(ISNUMBER($J3383),AND($J3383&gt;=0,$J3383=INT($J3383)),FALSE())),"✖ العدد يجب أن يكون صحيحًا ≥ 0",IF(AND($F3383="Baseline",$H3383&lt;&gt;""),"⚠ Baseline: Start لا يدخل في التقدم",IF($K3383="No Start (attainment only)","ℹ تحصيل فقط (بدون Start)",IF($K3383="U – needs rule","ℹ حالة U تحتاج قاعدة معتمدة",IF($K3383="No result","ℹ بدون نتيجة (يُستبعد من التحصيل)","OK")))))))))))</f>
        <v/>
      </c>
      <c r="M3383" s="64" t="n">
        <f aca="false">IF($A3383="",0,IFERROR(MATCH($A3383,Classes!$A$6:$A$420,0),0))</f>
        <v>0</v>
      </c>
      <c r="N3383" s="64" t="n">
        <f aca="false">IF($H3383="",0,IFERROR(MATCH($H3383,GradeList,0),0))</f>
        <v>0</v>
      </c>
      <c r="O3383" s="64" t="n">
        <f aca="false">IF(OR($I3383="",$I3383="NR"),0,IFERROR(MATCH($I3383,GradeList,0),0))</f>
        <v>0</v>
      </c>
      <c r="P3383" s="64" t="n">
        <f aca="false">IF(AND($M3383&gt;0,ISNUMBER(MATCH($F3383,Lists!$A$2:$A$5,0)),ISNUMBER(MATCH($G3383,Lists!$B$2:$B$7,0)),OR($H3383="",$N3383&gt;0),OR($I3383="",$I3383="NR",$O3383&gt;0),IF(ISNUMBER($J3383),AND($J3383&gt;=0,$J3383=INT($J3383)),FALSE())),$J3383,0)</f>
        <v>0</v>
      </c>
      <c r="Q3383" s="64" t="n">
        <f aca="false">IF(AND($P3383&gt;0,$O3383&gt;0),$P3383,0)</f>
        <v>0</v>
      </c>
      <c r="R3383" s="64" t="n">
        <f aca="false">IF(AND($Q3383&gt;0,$O3383&gt;=AtRank),$Q3383,0)</f>
        <v>0</v>
      </c>
      <c r="S3383" s="64" t="n">
        <f aca="false">IF(AND($Q3383&gt;0,$O3383&gt;=AboveRank),$Q3383,0)</f>
        <v>0</v>
      </c>
      <c r="T3383" s="64" t="n">
        <f aca="false">IF($K3383="Less",$P3383,0)</f>
        <v>0</v>
      </c>
      <c r="U3383" s="64" t="n">
        <f aca="false">IF($K3383="Expected",$P3383,0)</f>
        <v>0</v>
      </c>
      <c r="V3383" s="64" t="n">
        <f aca="false">IF($K3383="Better",$P3383,0)</f>
        <v>0</v>
      </c>
      <c r="W3383" s="64" t="n">
        <f aca="false">IF($K3383="U – needs rule",$P3383,0)</f>
        <v>0</v>
      </c>
      <c r="X3383" s="64" t="n">
        <f aca="false">IF($K3383="No Start (attainment only)",$P3383,0)</f>
        <v>0</v>
      </c>
    </row>
    <row r="3384" customFormat="false" ht="15" hidden="false" customHeight="false" outlineLevel="0" collapsed="false">
      <c r="A3384" s="60"/>
      <c r="B3384" s="61" t="str">
        <f aca="false">IF($M3384=0,"",INDEX(Classes!$E$6:$E$420,$M3384))</f>
        <v/>
      </c>
      <c r="C3384" s="62" t="str">
        <f aca="false">IF($M3384=0,"",INDEX(Classes!$H$6:$H$420,$M3384))</f>
        <v/>
      </c>
      <c r="D3384" s="61" t="str">
        <f aca="false">IF($M3384=0,"",INDEX(Classes!$B$6:$B$420,$M3384))</f>
        <v/>
      </c>
      <c r="E3384" s="61" t="str">
        <f aca="false">IF($M3384=0,"",INDEX(Classes!$C$6:$C$420,$M3384))</f>
        <v/>
      </c>
      <c r="F3384" s="63"/>
      <c r="G3384" s="63"/>
      <c r="H3384" s="60"/>
      <c r="I3384" s="60"/>
      <c r="J3384" s="63"/>
      <c r="K3384" s="61" t="str">
        <f aca="false">IF($P3384=0,"",IF($F3384="Baseline","— Baseline",IF($O3384=0,"No result",IF($N3384=0,"No Start (attainment only)",IF(OR($N3384=1,$O3384=1),"U – needs rule",INDEX(MxBody,MATCH($I3384,MxCurr,0),MATCH($H3384,MxStart,0)))))))</f>
        <v/>
      </c>
      <c r="L3384" s="62" t="str">
        <f aca="false">IF(COUNTA($A3384,$F3384,$G3384,$H3384,$I3384,$J3384)=0,"",IF($M3384=0,"✖ كود الصف غير موجود",IF(ISNA(MATCH($F3384,Lists!$A$2:$A$5,0)),"✖ الفترة غير صحيحة",IF(ISNA(MATCH($G3384,Lists!$B$2:$B$7,0)),"✖ المجموعة غير صحيحة",IF(NOT(OR($H3384="",$N3384&gt;0)),"✖ Start غير صحيح",IF(NOT(OR($I3384="",$I3384="NR",$O3384&gt;0)),"✖ Current غير صحيح",IF(NOT(IF(ISNUMBER($J3384),AND($J3384&gt;=0,$J3384=INT($J3384)),FALSE())),"✖ العدد يجب أن يكون صحيحًا ≥ 0",IF(AND($F3384="Baseline",$H3384&lt;&gt;""),"⚠ Baseline: Start لا يدخل في التقدم",IF($K3384="No Start (attainment only)","ℹ تحصيل فقط (بدون Start)",IF($K3384="U – needs rule","ℹ حالة U تحتاج قاعدة معتمدة",IF($K3384="No result","ℹ بدون نتيجة (يُستبعد من التحصيل)","OK")))))))))))</f>
        <v/>
      </c>
      <c r="M3384" s="64" t="n">
        <f aca="false">IF($A3384="",0,IFERROR(MATCH($A3384,Classes!$A$6:$A$420,0),0))</f>
        <v>0</v>
      </c>
      <c r="N3384" s="64" t="n">
        <f aca="false">IF($H3384="",0,IFERROR(MATCH($H3384,GradeList,0),0))</f>
        <v>0</v>
      </c>
      <c r="O3384" s="64" t="n">
        <f aca="false">IF(OR($I3384="",$I3384="NR"),0,IFERROR(MATCH($I3384,GradeList,0),0))</f>
        <v>0</v>
      </c>
      <c r="P3384" s="64" t="n">
        <f aca="false">IF(AND($M3384&gt;0,ISNUMBER(MATCH($F3384,Lists!$A$2:$A$5,0)),ISNUMBER(MATCH($G3384,Lists!$B$2:$B$7,0)),OR($H3384="",$N3384&gt;0),OR($I3384="",$I3384="NR",$O3384&gt;0),IF(ISNUMBER($J3384),AND($J3384&gt;=0,$J3384=INT($J3384)),FALSE())),$J3384,0)</f>
        <v>0</v>
      </c>
      <c r="Q3384" s="64" t="n">
        <f aca="false">IF(AND($P3384&gt;0,$O3384&gt;0),$P3384,0)</f>
        <v>0</v>
      </c>
      <c r="R3384" s="64" t="n">
        <f aca="false">IF(AND($Q3384&gt;0,$O3384&gt;=AtRank),$Q3384,0)</f>
        <v>0</v>
      </c>
      <c r="S3384" s="64" t="n">
        <f aca="false">IF(AND($Q3384&gt;0,$O3384&gt;=AboveRank),$Q3384,0)</f>
        <v>0</v>
      </c>
      <c r="T3384" s="64" t="n">
        <f aca="false">IF($K3384="Less",$P3384,0)</f>
        <v>0</v>
      </c>
      <c r="U3384" s="64" t="n">
        <f aca="false">IF($K3384="Expected",$P3384,0)</f>
        <v>0</v>
      </c>
      <c r="V3384" s="64" t="n">
        <f aca="false">IF($K3384="Better",$P3384,0)</f>
        <v>0</v>
      </c>
      <c r="W3384" s="64" t="n">
        <f aca="false">IF($K3384="U – needs rule",$P3384,0)</f>
        <v>0</v>
      </c>
      <c r="X3384" s="64" t="n">
        <f aca="false">IF($K3384="No Start (attainment only)",$P3384,0)</f>
        <v>0</v>
      </c>
    </row>
    <row r="3385" customFormat="false" ht="15" hidden="false" customHeight="false" outlineLevel="0" collapsed="false">
      <c r="A3385" s="60"/>
      <c r="B3385" s="61" t="str">
        <f aca="false">IF($M3385=0,"",INDEX(Classes!$E$6:$E$420,$M3385))</f>
        <v/>
      </c>
      <c r="C3385" s="62" t="str">
        <f aca="false">IF($M3385=0,"",INDEX(Classes!$H$6:$H$420,$M3385))</f>
        <v/>
      </c>
      <c r="D3385" s="61" t="str">
        <f aca="false">IF($M3385=0,"",INDEX(Classes!$B$6:$B$420,$M3385))</f>
        <v/>
      </c>
      <c r="E3385" s="61" t="str">
        <f aca="false">IF($M3385=0,"",INDEX(Classes!$C$6:$C$420,$M3385))</f>
        <v/>
      </c>
      <c r="F3385" s="63"/>
      <c r="G3385" s="63"/>
      <c r="H3385" s="60"/>
      <c r="I3385" s="60"/>
      <c r="J3385" s="63"/>
      <c r="K3385" s="61" t="str">
        <f aca="false">IF($P3385=0,"",IF($F3385="Baseline","— Baseline",IF($O3385=0,"No result",IF($N3385=0,"No Start (attainment only)",IF(OR($N3385=1,$O3385=1),"U – needs rule",INDEX(MxBody,MATCH($I3385,MxCurr,0),MATCH($H3385,MxStart,0)))))))</f>
        <v/>
      </c>
      <c r="L3385" s="62" t="str">
        <f aca="false">IF(COUNTA($A3385,$F3385,$G3385,$H3385,$I3385,$J3385)=0,"",IF($M3385=0,"✖ كود الصف غير موجود",IF(ISNA(MATCH($F3385,Lists!$A$2:$A$5,0)),"✖ الفترة غير صحيحة",IF(ISNA(MATCH($G3385,Lists!$B$2:$B$7,0)),"✖ المجموعة غير صحيحة",IF(NOT(OR($H3385="",$N3385&gt;0)),"✖ Start غير صحيح",IF(NOT(OR($I3385="",$I3385="NR",$O3385&gt;0)),"✖ Current غير صحيح",IF(NOT(IF(ISNUMBER($J3385),AND($J3385&gt;=0,$J3385=INT($J3385)),FALSE())),"✖ العدد يجب أن يكون صحيحًا ≥ 0",IF(AND($F3385="Baseline",$H3385&lt;&gt;""),"⚠ Baseline: Start لا يدخل في التقدم",IF($K3385="No Start (attainment only)","ℹ تحصيل فقط (بدون Start)",IF($K3385="U – needs rule","ℹ حالة U تحتاج قاعدة معتمدة",IF($K3385="No result","ℹ بدون نتيجة (يُستبعد من التحصيل)","OK")))))))))))</f>
        <v/>
      </c>
      <c r="M3385" s="64" t="n">
        <f aca="false">IF($A3385="",0,IFERROR(MATCH($A3385,Classes!$A$6:$A$420,0),0))</f>
        <v>0</v>
      </c>
      <c r="N3385" s="64" t="n">
        <f aca="false">IF($H3385="",0,IFERROR(MATCH($H3385,GradeList,0),0))</f>
        <v>0</v>
      </c>
      <c r="O3385" s="64" t="n">
        <f aca="false">IF(OR($I3385="",$I3385="NR"),0,IFERROR(MATCH($I3385,GradeList,0),0))</f>
        <v>0</v>
      </c>
      <c r="P3385" s="64" t="n">
        <f aca="false">IF(AND($M3385&gt;0,ISNUMBER(MATCH($F3385,Lists!$A$2:$A$5,0)),ISNUMBER(MATCH($G3385,Lists!$B$2:$B$7,0)),OR($H3385="",$N3385&gt;0),OR($I3385="",$I3385="NR",$O3385&gt;0),IF(ISNUMBER($J3385),AND($J3385&gt;=0,$J3385=INT($J3385)),FALSE())),$J3385,0)</f>
        <v>0</v>
      </c>
      <c r="Q3385" s="64" t="n">
        <f aca="false">IF(AND($P3385&gt;0,$O3385&gt;0),$P3385,0)</f>
        <v>0</v>
      </c>
      <c r="R3385" s="64" t="n">
        <f aca="false">IF(AND($Q3385&gt;0,$O3385&gt;=AtRank),$Q3385,0)</f>
        <v>0</v>
      </c>
      <c r="S3385" s="64" t="n">
        <f aca="false">IF(AND($Q3385&gt;0,$O3385&gt;=AboveRank),$Q3385,0)</f>
        <v>0</v>
      </c>
      <c r="T3385" s="64" t="n">
        <f aca="false">IF($K3385="Less",$P3385,0)</f>
        <v>0</v>
      </c>
      <c r="U3385" s="64" t="n">
        <f aca="false">IF($K3385="Expected",$P3385,0)</f>
        <v>0</v>
      </c>
      <c r="V3385" s="64" t="n">
        <f aca="false">IF($K3385="Better",$P3385,0)</f>
        <v>0</v>
      </c>
      <c r="W3385" s="64" t="n">
        <f aca="false">IF($K3385="U – needs rule",$P3385,0)</f>
        <v>0</v>
      </c>
      <c r="X3385" s="64" t="n">
        <f aca="false">IF($K3385="No Start (attainment only)",$P3385,0)</f>
        <v>0</v>
      </c>
    </row>
    <row r="3386" customFormat="false" ht="15" hidden="false" customHeight="false" outlineLevel="0" collapsed="false">
      <c r="A3386" s="60"/>
      <c r="B3386" s="61" t="str">
        <f aca="false">IF($M3386=0,"",INDEX(Classes!$E$6:$E$420,$M3386))</f>
        <v/>
      </c>
      <c r="C3386" s="62" t="str">
        <f aca="false">IF($M3386=0,"",INDEX(Classes!$H$6:$H$420,$M3386))</f>
        <v/>
      </c>
      <c r="D3386" s="61" t="str">
        <f aca="false">IF($M3386=0,"",INDEX(Classes!$B$6:$B$420,$M3386))</f>
        <v/>
      </c>
      <c r="E3386" s="61" t="str">
        <f aca="false">IF($M3386=0,"",INDEX(Classes!$C$6:$C$420,$M3386))</f>
        <v/>
      </c>
      <c r="F3386" s="63"/>
      <c r="G3386" s="63"/>
      <c r="H3386" s="60"/>
      <c r="I3386" s="60"/>
      <c r="J3386" s="63"/>
      <c r="K3386" s="61" t="str">
        <f aca="false">IF($P3386=0,"",IF($F3386="Baseline","— Baseline",IF($O3386=0,"No result",IF($N3386=0,"No Start (attainment only)",IF(OR($N3386=1,$O3386=1),"U – needs rule",INDEX(MxBody,MATCH($I3386,MxCurr,0),MATCH($H3386,MxStart,0)))))))</f>
        <v/>
      </c>
      <c r="L3386" s="62" t="str">
        <f aca="false">IF(COUNTA($A3386,$F3386,$G3386,$H3386,$I3386,$J3386)=0,"",IF($M3386=0,"✖ كود الصف غير موجود",IF(ISNA(MATCH($F3386,Lists!$A$2:$A$5,0)),"✖ الفترة غير صحيحة",IF(ISNA(MATCH($G3386,Lists!$B$2:$B$7,0)),"✖ المجموعة غير صحيحة",IF(NOT(OR($H3386="",$N3386&gt;0)),"✖ Start غير صحيح",IF(NOT(OR($I3386="",$I3386="NR",$O3386&gt;0)),"✖ Current غير صحيح",IF(NOT(IF(ISNUMBER($J3386),AND($J3386&gt;=0,$J3386=INT($J3386)),FALSE())),"✖ العدد يجب أن يكون صحيحًا ≥ 0",IF(AND($F3386="Baseline",$H3386&lt;&gt;""),"⚠ Baseline: Start لا يدخل في التقدم",IF($K3386="No Start (attainment only)","ℹ تحصيل فقط (بدون Start)",IF($K3386="U – needs rule","ℹ حالة U تحتاج قاعدة معتمدة",IF($K3386="No result","ℹ بدون نتيجة (يُستبعد من التحصيل)","OK")))))))))))</f>
        <v/>
      </c>
      <c r="M3386" s="64" t="n">
        <f aca="false">IF($A3386="",0,IFERROR(MATCH($A3386,Classes!$A$6:$A$420,0),0))</f>
        <v>0</v>
      </c>
      <c r="N3386" s="64" t="n">
        <f aca="false">IF($H3386="",0,IFERROR(MATCH($H3386,GradeList,0),0))</f>
        <v>0</v>
      </c>
      <c r="O3386" s="64" t="n">
        <f aca="false">IF(OR($I3386="",$I3386="NR"),0,IFERROR(MATCH($I3386,GradeList,0),0))</f>
        <v>0</v>
      </c>
      <c r="P3386" s="64" t="n">
        <f aca="false">IF(AND($M3386&gt;0,ISNUMBER(MATCH($F3386,Lists!$A$2:$A$5,0)),ISNUMBER(MATCH($G3386,Lists!$B$2:$B$7,0)),OR($H3386="",$N3386&gt;0),OR($I3386="",$I3386="NR",$O3386&gt;0),IF(ISNUMBER($J3386),AND($J3386&gt;=0,$J3386=INT($J3386)),FALSE())),$J3386,0)</f>
        <v>0</v>
      </c>
      <c r="Q3386" s="64" t="n">
        <f aca="false">IF(AND($P3386&gt;0,$O3386&gt;0),$P3386,0)</f>
        <v>0</v>
      </c>
      <c r="R3386" s="64" t="n">
        <f aca="false">IF(AND($Q3386&gt;0,$O3386&gt;=AtRank),$Q3386,0)</f>
        <v>0</v>
      </c>
      <c r="S3386" s="64" t="n">
        <f aca="false">IF(AND($Q3386&gt;0,$O3386&gt;=AboveRank),$Q3386,0)</f>
        <v>0</v>
      </c>
      <c r="T3386" s="64" t="n">
        <f aca="false">IF($K3386="Less",$P3386,0)</f>
        <v>0</v>
      </c>
      <c r="U3386" s="64" t="n">
        <f aca="false">IF($K3386="Expected",$P3386,0)</f>
        <v>0</v>
      </c>
      <c r="V3386" s="64" t="n">
        <f aca="false">IF($K3386="Better",$P3386,0)</f>
        <v>0</v>
      </c>
      <c r="W3386" s="64" t="n">
        <f aca="false">IF($K3386="U – needs rule",$P3386,0)</f>
        <v>0</v>
      </c>
      <c r="X3386" s="64" t="n">
        <f aca="false">IF($K3386="No Start (attainment only)",$P3386,0)</f>
        <v>0</v>
      </c>
    </row>
    <row r="3387" customFormat="false" ht="15" hidden="false" customHeight="false" outlineLevel="0" collapsed="false">
      <c r="A3387" s="60"/>
      <c r="B3387" s="61" t="str">
        <f aca="false">IF($M3387=0,"",INDEX(Classes!$E$6:$E$420,$M3387))</f>
        <v/>
      </c>
      <c r="C3387" s="62" t="str">
        <f aca="false">IF($M3387=0,"",INDEX(Classes!$H$6:$H$420,$M3387))</f>
        <v/>
      </c>
      <c r="D3387" s="61" t="str">
        <f aca="false">IF($M3387=0,"",INDEX(Classes!$B$6:$B$420,$M3387))</f>
        <v/>
      </c>
      <c r="E3387" s="61" t="str">
        <f aca="false">IF($M3387=0,"",INDEX(Classes!$C$6:$C$420,$M3387))</f>
        <v/>
      </c>
      <c r="F3387" s="63"/>
      <c r="G3387" s="63"/>
      <c r="H3387" s="60"/>
      <c r="I3387" s="60"/>
      <c r="J3387" s="63"/>
      <c r="K3387" s="61" t="str">
        <f aca="false">IF($P3387=0,"",IF($F3387="Baseline","— Baseline",IF($O3387=0,"No result",IF($N3387=0,"No Start (attainment only)",IF(OR($N3387=1,$O3387=1),"U – needs rule",INDEX(MxBody,MATCH($I3387,MxCurr,0),MATCH($H3387,MxStart,0)))))))</f>
        <v/>
      </c>
      <c r="L3387" s="62" t="str">
        <f aca="false">IF(COUNTA($A3387,$F3387,$G3387,$H3387,$I3387,$J3387)=0,"",IF($M3387=0,"✖ كود الصف غير موجود",IF(ISNA(MATCH($F3387,Lists!$A$2:$A$5,0)),"✖ الفترة غير صحيحة",IF(ISNA(MATCH($G3387,Lists!$B$2:$B$7,0)),"✖ المجموعة غير صحيحة",IF(NOT(OR($H3387="",$N3387&gt;0)),"✖ Start غير صحيح",IF(NOT(OR($I3387="",$I3387="NR",$O3387&gt;0)),"✖ Current غير صحيح",IF(NOT(IF(ISNUMBER($J3387),AND($J3387&gt;=0,$J3387=INT($J3387)),FALSE())),"✖ العدد يجب أن يكون صحيحًا ≥ 0",IF(AND($F3387="Baseline",$H3387&lt;&gt;""),"⚠ Baseline: Start لا يدخل في التقدم",IF($K3387="No Start (attainment only)","ℹ تحصيل فقط (بدون Start)",IF($K3387="U – needs rule","ℹ حالة U تحتاج قاعدة معتمدة",IF($K3387="No result","ℹ بدون نتيجة (يُستبعد من التحصيل)","OK")))))))))))</f>
        <v/>
      </c>
      <c r="M3387" s="64" t="n">
        <f aca="false">IF($A3387="",0,IFERROR(MATCH($A3387,Classes!$A$6:$A$420,0),0))</f>
        <v>0</v>
      </c>
      <c r="N3387" s="64" t="n">
        <f aca="false">IF($H3387="",0,IFERROR(MATCH($H3387,GradeList,0),0))</f>
        <v>0</v>
      </c>
      <c r="O3387" s="64" t="n">
        <f aca="false">IF(OR($I3387="",$I3387="NR"),0,IFERROR(MATCH($I3387,GradeList,0),0))</f>
        <v>0</v>
      </c>
      <c r="P3387" s="64" t="n">
        <f aca="false">IF(AND($M3387&gt;0,ISNUMBER(MATCH($F3387,Lists!$A$2:$A$5,0)),ISNUMBER(MATCH($G3387,Lists!$B$2:$B$7,0)),OR($H3387="",$N3387&gt;0),OR($I3387="",$I3387="NR",$O3387&gt;0),IF(ISNUMBER($J3387),AND($J3387&gt;=0,$J3387=INT($J3387)),FALSE())),$J3387,0)</f>
        <v>0</v>
      </c>
      <c r="Q3387" s="64" t="n">
        <f aca="false">IF(AND($P3387&gt;0,$O3387&gt;0),$P3387,0)</f>
        <v>0</v>
      </c>
      <c r="R3387" s="64" t="n">
        <f aca="false">IF(AND($Q3387&gt;0,$O3387&gt;=AtRank),$Q3387,0)</f>
        <v>0</v>
      </c>
      <c r="S3387" s="64" t="n">
        <f aca="false">IF(AND($Q3387&gt;0,$O3387&gt;=AboveRank),$Q3387,0)</f>
        <v>0</v>
      </c>
      <c r="T3387" s="64" t="n">
        <f aca="false">IF($K3387="Less",$P3387,0)</f>
        <v>0</v>
      </c>
      <c r="U3387" s="64" t="n">
        <f aca="false">IF($K3387="Expected",$P3387,0)</f>
        <v>0</v>
      </c>
      <c r="V3387" s="64" t="n">
        <f aca="false">IF($K3387="Better",$P3387,0)</f>
        <v>0</v>
      </c>
      <c r="W3387" s="64" t="n">
        <f aca="false">IF($K3387="U – needs rule",$P3387,0)</f>
        <v>0</v>
      </c>
      <c r="X3387" s="64" t="n">
        <f aca="false">IF($K3387="No Start (attainment only)",$P3387,0)</f>
        <v>0</v>
      </c>
    </row>
    <row r="3388" customFormat="false" ht="15" hidden="false" customHeight="false" outlineLevel="0" collapsed="false">
      <c r="A3388" s="60"/>
      <c r="B3388" s="61" t="str">
        <f aca="false">IF($M3388=0,"",INDEX(Classes!$E$6:$E$420,$M3388))</f>
        <v/>
      </c>
      <c r="C3388" s="62" t="str">
        <f aca="false">IF($M3388=0,"",INDEX(Classes!$H$6:$H$420,$M3388))</f>
        <v/>
      </c>
      <c r="D3388" s="61" t="str">
        <f aca="false">IF($M3388=0,"",INDEX(Classes!$B$6:$B$420,$M3388))</f>
        <v/>
      </c>
      <c r="E3388" s="61" t="str">
        <f aca="false">IF($M3388=0,"",INDEX(Classes!$C$6:$C$420,$M3388))</f>
        <v/>
      </c>
      <c r="F3388" s="63"/>
      <c r="G3388" s="63"/>
      <c r="H3388" s="60"/>
      <c r="I3388" s="60"/>
      <c r="J3388" s="63"/>
      <c r="K3388" s="61" t="str">
        <f aca="false">IF($P3388=0,"",IF($F3388="Baseline","— Baseline",IF($O3388=0,"No result",IF($N3388=0,"No Start (attainment only)",IF(OR($N3388=1,$O3388=1),"U – needs rule",INDEX(MxBody,MATCH($I3388,MxCurr,0),MATCH($H3388,MxStart,0)))))))</f>
        <v/>
      </c>
      <c r="L3388" s="62" t="str">
        <f aca="false">IF(COUNTA($A3388,$F3388,$G3388,$H3388,$I3388,$J3388)=0,"",IF($M3388=0,"✖ كود الصف غير موجود",IF(ISNA(MATCH($F3388,Lists!$A$2:$A$5,0)),"✖ الفترة غير صحيحة",IF(ISNA(MATCH($G3388,Lists!$B$2:$B$7,0)),"✖ المجموعة غير صحيحة",IF(NOT(OR($H3388="",$N3388&gt;0)),"✖ Start غير صحيح",IF(NOT(OR($I3388="",$I3388="NR",$O3388&gt;0)),"✖ Current غير صحيح",IF(NOT(IF(ISNUMBER($J3388),AND($J3388&gt;=0,$J3388=INT($J3388)),FALSE())),"✖ العدد يجب أن يكون صحيحًا ≥ 0",IF(AND($F3388="Baseline",$H3388&lt;&gt;""),"⚠ Baseline: Start لا يدخل في التقدم",IF($K3388="No Start (attainment only)","ℹ تحصيل فقط (بدون Start)",IF($K3388="U – needs rule","ℹ حالة U تحتاج قاعدة معتمدة",IF($K3388="No result","ℹ بدون نتيجة (يُستبعد من التحصيل)","OK")))))))))))</f>
        <v/>
      </c>
      <c r="M3388" s="64" t="n">
        <f aca="false">IF($A3388="",0,IFERROR(MATCH($A3388,Classes!$A$6:$A$420,0),0))</f>
        <v>0</v>
      </c>
      <c r="N3388" s="64" t="n">
        <f aca="false">IF($H3388="",0,IFERROR(MATCH($H3388,GradeList,0),0))</f>
        <v>0</v>
      </c>
      <c r="O3388" s="64" t="n">
        <f aca="false">IF(OR($I3388="",$I3388="NR"),0,IFERROR(MATCH($I3388,GradeList,0),0))</f>
        <v>0</v>
      </c>
      <c r="P3388" s="64" t="n">
        <f aca="false">IF(AND($M3388&gt;0,ISNUMBER(MATCH($F3388,Lists!$A$2:$A$5,0)),ISNUMBER(MATCH($G3388,Lists!$B$2:$B$7,0)),OR($H3388="",$N3388&gt;0),OR($I3388="",$I3388="NR",$O3388&gt;0),IF(ISNUMBER($J3388),AND($J3388&gt;=0,$J3388=INT($J3388)),FALSE())),$J3388,0)</f>
        <v>0</v>
      </c>
      <c r="Q3388" s="64" t="n">
        <f aca="false">IF(AND($P3388&gt;0,$O3388&gt;0),$P3388,0)</f>
        <v>0</v>
      </c>
      <c r="R3388" s="64" t="n">
        <f aca="false">IF(AND($Q3388&gt;0,$O3388&gt;=AtRank),$Q3388,0)</f>
        <v>0</v>
      </c>
      <c r="S3388" s="64" t="n">
        <f aca="false">IF(AND($Q3388&gt;0,$O3388&gt;=AboveRank),$Q3388,0)</f>
        <v>0</v>
      </c>
      <c r="T3388" s="64" t="n">
        <f aca="false">IF($K3388="Less",$P3388,0)</f>
        <v>0</v>
      </c>
      <c r="U3388" s="64" t="n">
        <f aca="false">IF($K3388="Expected",$P3388,0)</f>
        <v>0</v>
      </c>
      <c r="V3388" s="64" t="n">
        <f aca="false">IF($K3388="Better",$P3388,0)</f>
        <v>0</v>
      </c>
      <c r="W3388" s="64" t="n">
        <f aca="false">IF($K3388="U – needs rule",$P3388,0)</f>
        <v>0</v>
      </c>
      <c r="X3388" s="64" t="n">
        <f aca="false">IF($K3388="No Start (attainment only)",$P3388,0)</f>
        <v>0</v>
      </c>
    </row>
    <row r="3389" customFormat="false" ht="15" hidden="false" customHeight="false" outlineLevel="0" collapsed="false">
      <c r="A3389" s="60"/>
      <c r="B3389" s="61" t="str">
        <f aca="false">IF($M3389=0,"",INDEX(Classes!$E$6:$E$420,$M3389))</f>
        <v/>
      </c>
      <c r="C3389" s="62" t="str">
        <f aca="false">IF($M3389=0,"",INDEX(Classes!$H$6:$H$420,$M3389))</f>
        <v/>
      </c>
      <c r="D3389" s="61" t="str">
        <f aca="false">IF($M3389=0,"",INDEX(Classes!$B$6:$B$420,$M3389))</f>
        <v/>
      </c>
      <c r="E3389" s="61" t="str">
        <f aca="false">IF($M3389=0,"",INDEX(Classes!$C$6:$C$420,$M3389))</f>
        <v/>
      </c>
      <c r="F3389" s="63"/>
      <c r="G3389" s="63"/>
      <c r="H3389" s="60"/>
      <c r="I3389" s="60"/>
      <c r="J3389" s="63"/>
      <c r="K3389" s="61" t="str">
        <f aca="false">IF($P3389=0,"",IF($F3389="Baseline","— Baseline",IF($O3389=0,"No result",IF($N3389=0,"No Start (attainment only)",IF(OR($N3389=1,$O3389=1),"U – needs rule",INDEX(MxBody,MATCH($I3389,MxCurr,0),MATCH($H3389,MxStart,0)))))))</f>
        <v/>
      </c>
      <c r="L3389" s="62" t="str">
        <f aca="false">IF(COUNTA($A3389,$F3389,$G3389,$H3389,$I3389,$J3389)=0,"",IF($M3389=0,"✖ كود الصف غير موجود",IF(ISNA(MATCH($F3389,Lists!$A$2:$A$5,0)),"✖ الفترة غير صحيحة",IF(ISNA(MATCH($G3389,Lists!$B$2:$B$7,0)),"✖ المجموعة غير صحيحة",IF(NOT(OR($H3389="",$N3389&gt;0)),"✖ Start غير صحيح",IF(NOT(OR($I3389="",$I3389="NR",$O3389&gt;0)),"✖ Current غير صحيح",IF(NOT(IF(ISNUMBER($J3389),AND($J3389&gt;=0,$J3389=INT($J3389)),FALSE())),"✖ العدد يجب أن يكون صحيحًا ≥ 0",IF(AND($F3389="Baseline",$H3389&lt;&gt;""),"⚠ Baseline: Start لا يدخل في التقدم",IF($K3389="No Start (attainment only)","ℹ تحصيل فقط (بدون Start)",IF($K3389="U – needs rule","ℹ حالة U تحتاج قاعدة معتمدة",IF($K3389="No result","ℹ بدون نتيجة (يُستبعد من التحصيل)","OK")))))))))))</f>
        <v/>
      </c>
      <c r="M3389" s="64" t="n">
        <f aca="false">IF($A3389="",0,IFERROR(MATCH($A3389,Classes!$A$6:$A$420,0),0))</f>
        <v>0</v>
      </c>
      <c r="N3389" s="64" t="n">
        <f aca="false">IF($H3389="",0,IFERROR(MATCH($H3389,GradeList,0),0))</f>
        <v>0</v>
      </c>
      <c r="O3389" s="64" t="n">
        <f aca="false">IF(OR($I3389="",$I3389="NR"),0,IFERROR(MATCH($I3389,GradeList,0),0))</f>
        <v>0</v>
      </c>
      <c r="P3389" s="64" t="n">
        <f aca="false">IF(AND($M3389&gt;0,ISNUMBER(MATCH($F3389,Lists!$A$2:$A$5,0)),ISNUMBER(MATCH($G3389,Lists!$B$2:$B$7,0)),OR($H3389="",$N3389&gt;0),OR($I3389="",$I3389="NR",$O3389&gt;0),IF(ISNUMBER($J3389),AND($J3389&gt;=0,$J3389=INT($J3389)),FALSE())),$J3389,0)</f>
        <v>0</v>
      </c>
      <c r="Q3389" s="64" t="n">
        <f aca="false">IF(AND($P3389&gt;0,$O3389&gt;0),$P3389,0)</f>
        <v>0</v>
      </c>
      <c r="R3389" s="64" t="n">
        <f aca="false">IF(AND($Q3389&gt;0,$O3389&gt;=AtRank),$Q3389,0)</f>
        <v>0</v>
      </c>
      <c r="S3389" s="64" t="n">
        <f aca="false">IF(AND($Q3389&gt;0,$O3389&gt;=AboveRank),$Q3389,0)</f>
        <v>0</v>
      </c>
      <c r="T3389" s="64" t="n">
        <f aca="false">IF($K3389="Less",$P3389,0)</f>
        <v>0</v>
      </c>
      <c r="U3389" s="64" t="n">
        <f aca="false">IF($K3389="Expected",$P3389,0)</f>
        <v>0</v>
      </c>
      <c r="V3389" s="64" t="n">
        <f aca="false">IF($K3389="Better",$P3389,0)</f>
        <v>0</v>
      </c>
      <c r="W3389" s="64" t="n">
        <f aca="false">IF($K3389="U – needs rule",$P3389,0)</f>
        <v>0</v>
      </c>
      <c r="X3389" s="64" t="n">
        <f aca="false">IF($K3389="No Start (attainment only)",$P3389,0)</f>
        <v>0</v>
      </c>
    </row>
    <row r="3390" customFormat="false" ht="15" hidden="false" customHeight="false" outlineLevel="0" collapsed="false">
      <c r="A3390" s="60"/>
      <c r="B3390" s="61" t="str">
        <f aca="false">IF($M3390=0,"",INDEX(Classes!$E$6:$E$420,$M3390))</f>
        <v/>
      </c>
      <c r="C3390" s="62" t="str">
        <f aca="false">IF($M3390=0,"",INDEX(Classes!$H$6:$H$420,$M3390))</f>
        <v/>
      </c>
      <c r="D3390" s="61" t="str">
        <f aca="false">IF($M3390=0,"",INDEX(Classes!$B$6:$B$420,$M3390))</f>
        <v/>
      </c>
      <c r="E3390" s="61" t="str">
        <f aca="false">IF($M3390=0,"",INDEX(Classes!$C$6:$C$420,$M3390))</f>
        <v/>
      </c>
      <c r="F3390" s="63"/>
      <c r="G3390" s="63"/>
      <c r="H3390" s="60"/>
      <c r="I3390" s="60"/>
      <c r="J3390" s="63"/>
      <c r="K3390" s="61" t="str">
        <f aca="false">IF($P3390=0,"",IF($F3390="Baseline","— Baseline",IF($O3390=0,"No result",IF($N3390=0,"No Start (attainment only)",IF(OR($N3390=1,$O3390=1),"U – needs rule",INDEX(MxBody,MATCH($I3390,MxCurr,0),MATCH($H3390,MxStart,0)))))))</f>
        <v/>
      </c>
      <c r="L3390" s="62" t="str">
        <f aca="false">IF(COUNTA($A3390,$F3390,$G3390,$H3390,$I3390,$J3390)=0,"",IF($M3390=0,"✖ كود الصف غير موجود",IF(ISNA(MATCH($F3390,Lists!$A$2:$A$5,0)),"✖ الفترة غير صحيحة",IF(ISNA(MATCH($G3390,Lists!$B$2:$B$7,0)),"✖ المجموعة غير صحيحة",IF(NOT(OR($H3390="",$N3390&gt;0)),"✖ Start غير صحيح",IF(NOT(OR($I3390="",$I3390="NR",$O3390&gt;0)),"✖ Current غير صحيح",IF(NOT(IF(ISNUMBER($J3390),AND($J3390&gt;=0,$J3390=INT($J3390)),FALSE())),"✖ العدد يجب أن يكون صحيحًا ≥ 0",IF(AND($F3390="Baseline",$H3390&lt;&gt;""),"⚠ Baseline: Start لا يدخل في التقدم",IF($K3390="No Start (attainment only)","ℹ تحصيل فقط (بدون Start)",IF($K3390="U – needs rule","ℹ حالة U تحتاج قاعدة معتمدة",IF($K3390="No result","ℹ بدون نتيجة (يُستبعد من التحصيل)","OK")))))))))))</f>
        <v/>
      </c>
      <c r="M3390" s="64" t="n">
        <f aca="false">IF($A3390="",0,IFERROR(MATCH($A3390,Classes!$A$6:$A$420,0),0))</f>
        <v>0</v>
      </c>
      <c r="N3390" s="64" t="n">
        <f aca="false">IF($H3390="",0,IFERROR(MATCH($H3390,GradeList,0),0))</f>
        <v>0</v>
      </c>
      <c r="O3390" s="64" t="n">
        <f aca="false">IF(OR($I3390="",$I3390="NR"),0,IFERROR(MATCH($I3390,GradeList,0),0))</f>
        <v>0</v>
      </c>
      <c r="P3390" s="64" t="n">
        <f aca="false">IF(AND($M3390&gt;0,ISNUMBER(MATCH($F3390,Lists!$A$2:$A$5,0)),ISNUMBER(MATCH($G3390,Lists!$B$2:$B$7,0)),OR($H3390="",$N3390&gt;0),OR($I3390="",$I3390="NR",$O3390&gt;0),IF(ISNUMBER($J3390),AND($J3390&gt;=0,$J3390=INT($J3390)),FALSE())),$J3390,0)</f>
        <v>0</v>
      </c>
      <c r="Q3390" s="64" t="n">
        <f aca="false">IF(AND($P3390&gt;0,$O3390&gt;0),$P3390,0)</f>
        <v>0</v>
      </c>
      <c r="R3390" s="64" t="n">
        <f aca="false">IF(AND($Q3390&gt;0,$O3390&gt;=AtRank),$Q3390,0)</f>
        <v>0</v>
      </c>
      <c r="S3390" s="64" t="n">
        <f aca="false">IF(AND($Q3390&gt;0,$O3390&gt;=AboveRank),$Q3390,0)</f>
        <v>0</v>
      </c>
      <c r="T3390" s="64" t="n">
        <f aca="false">IF($K3390="Less",$P3390,0)</f>
        <v>0</v>
      </c>
      <c r="U3390" s="64" t="n">
        <f aca="false">IF($K3390="Expected",$P3390,0)</f>
        <v>0</v>
      </c>
      <c r="V3390" s="64" t="n">
        <f aca="false">IF($K3390="Better",$P3390,0)</f>
        <v>0</v>
      </c>
      <c r="W3390" s="64" t="n">
        <f aca="false">IF($K3390="U – needs rule",$P3390,0)</f>
        <v>0</v>
      </c>
      <c r="X3390" s="64" t="n">
        <f aca="false">IF($K3390="No Start (attainment only)",$P3390,0)</f>
        <v>0</v>
      </c>
    </row>
    <row r="3391" customFormat="false" ht="15" hidden="false" customHeight="false" outlineLevel="0" collapsed="false">
      <c r="A3391" s="60"/>
      <c r="B3391" s="61" t="str">
        <f aca="false">IF($M3391=0,"",INDEX(Classes!$E$6:$E$420,$M3391))</f>
        <v/>
      </c>
      <c r="C3391" s="62" t="str">
        <f aca="false">IF($M3391=0,"",INDEX(Classes!$H$6:$H$420,$M3391))</f>
        <v/>
      </c>
      <c r="D3391" s="61" t="str">
        <f aca="false">IF($M3391=0,"",INDEX(Classes!$B$6:$B$420,$M3391))</f>
        <v/>
      </c>
      <c r="E3391" s="61" t="str">
        <f aca="false">IF($M3391=0,"",INDEX(Classes!$C$6:$C$420,$M3391))</f>
        <v/>
      </c>
      <c r="F3391" s="63"/>
      <c r="G3391" s="63"/>
      <c r="H3391" s="60"/>
      <c r="I3391" s="60"/>
      <c r="J3391" s="63"/>
      <c r="K3391" s="61" t="str">
        <f aca="false">IF($P3391=0,"",IF($F3391="Baseline","— Baseline",IF($O3391=0,"No result",IF($N3391=0,"No Start (attainment only)",IF(OR($N3391=1,$O3391=1),"U – needs rule",INDEX(MxBody,MATCH($I3391,MxCurr,0),MATCH($H3391,MxStart,0)))))))</f>
        <v/>
      </c>
      <c r="L3391" s="62" t="str">
        <f aca="false">IF(COUNTA($A3391,$F3391,$G3391,$H3391,$I3391,$J3391)=0,"",IF($M3391=0,"✖ كود الصف غير موجود",IF(ISNA(MATCH($F3391,Lists!$A$2:$A$5,0)),"✖ الفترة غير صحيحة",IF(ISNA(MATCH($G3391,Lists!$B$2:$B$7,0)),"✖ المجموعة غير صحيحة",IF(NOT(OR($H3391="",$N3391&gt;0)),"✖ Start غير صحيح",IF(NOT(OR($I3391="",$I3391="NR",$O3391&gt;0)),"✖ Current غير صحيح",IF(NOT(IF(ISNUMBER($J3391),AND($J3391&gt;=0,$J3391=INT($J3391)),FALSE())),"✖ العدد يجب أن يكون صحيحًا ≥ 0",IF(AND($F3391="Baseline",$H3391&lt;&gt;""),"⚠ Baseline: Start لا يدخل في التقدم",IF($K3391="No Start (attainment only)","ℹ تحصيل فقط (بدون Start)",IF($K3391="U – needs rule","ℹ حالة U تحتاج قاعدة معتمدة",IF($K3391="No result","ℹ بدون نتيجة (يُستبعد من التحصيل)","OK")))))))))))</f>
        <v/>
      </c>
      <c r="M3391" s="64" t="n">
        <f aca="false">IF($A3391="",0,IFERROR(MATCH($A3391,Classes!$A$6:$A$420,0),0))</f>
        <v>0</v>
      </c>
      <c r="N3391" s="64" t="n">
        <f aca="false">IF($H3391="",0,IFERROR(MATCH($H3391,GradeList,0),0))</f>
        <v>0</v>
      </c>
      <c r="O3391" s="64" t="n">
        <f aca="false">IF(OR($I3391="",$I3391="NR"),0,IFERROR(MATCH($I3391,GradeList,0),0))</f>
        <v>0</v>
      </c>
      <c r="P3391" s="64" t="n">
        <f aca="false">IF(AND($M3391&gt;0,ISNUMBER(MATCH($F3391,Lists!$A$2:$A$5,0)),ISNUMBER(MATCH($G3391,Lists!$B$2:$B$7,0)),OR($H3391="",$N3391&gt;0),OR($I3391="",$I3391="NR",$O3391&gt;0),IF(ISNUMBER($J3391),AND($J3391&gt;=0,$J3391=INT($J3391)),FALSE())),$J3391,0)</f>
        <v>0</v>
      </c>
      <c r="Q3391" s="64" t="n">
        <f aca="false">IF(AND($P3391&gt;0,$O3391&gt;0),$P3391,0)</f>
        <v>0</v>
      </c>
      <c r="R3391" s="64" t="n">
        <f aca="false">IF(AND($Q3391&gt;0,$O3391&gt;=AtRank),$Q3391,0)</f>
        <v>0</v>
      </c>
      <c r="S3391" s="64" t="n">
        <f aca="false">IF(AND($Q3391&gt;0,$O3391&gt;=AboveRank),$Q3391,0)</f>
        <v>0</v>
      </c>
      <c r="T3391" s="64" t="n">
        <f aca="false">IF($K3391="Less",$P3391,0)</f>
        <v>0</v>
      </c>
      <c r="U3391" s="64" t="n">
        <f aca="false">IF($K3391="Expected",$P3391,0)</f>
        <v>0</v>
      </c>
      <c r="V3391" s="64" t="n">
        <f aca="false">IF($K3391="Better",$P3391,0)</f>
        <v>0</v>
      </c>
      <c r="W3391" s="64" t="n">
        <f aca="false">IF($K3391="U – needs rule",$P3391,0)</f>
        <v>0</v>
      </c>
      <c r="X3391" s="64" t="n">
        <f aca="false">IF($K3391="No Start (attainment only)",$P3391,0)</f>
        <v>0</v>
      </c>
    </row>
    <row r="3392" customFormat="false" ht="15" hidden="false" customHeight="false" outlineLevel="0" collapsed="false">
      <c r="A3392" s="60"/>
      <c r="B3392" s="61" t="str">
        <f aca="false">IF($M3392=0,"",INDEX(Classes!$E$6:$E$420,$M3392))</f>
        <v/>
      </c>
      <c r="C3392" s="62" t="str">
        <f aca="false">IF($M3392=0,"",INDEX(Classes!$H$6:$H$420,$M3392))</f>
        <v/>
      </c>
      <c r="D3392" s="61" t="str">
        <f aca="false">IF($M3392=0,"",INDEX(Classes!$B$6:$B$420,$M3392))</f>
        <v/>
      </c>
      <c r="E3392" s="61" t="str">
        <f aca="false">IF($M3392=0,"",INDEX(Classes!$C$6:$C$420,$M3392))</f>
        <v/>
      </c>
      <c r="F3392" s="63"/>
      <c r="G3392" s="63"/>
      <c r="H3392" s="60"/>
      <c r="I3392" s="60"/>
      <c r="J3392" s="63"/>
      <c r="K3392" s="61" t="str">
        <f aca="false">IF($P3392=0,"",IF($F3392="Baseline","— Baseline",IF($O3392=0,"No result",IF($N3392=0,"No Start (attainment only)",IF(OR($N3392=1,$O3392=1),"U – needs rule",INDEX(MxBody,MATCH($I3392,MxCurr,0),MATCH($H3392,MxStart,0)))))))</f>
        <v/>
      </c>
      <c r="L3392" s="62" t="str">
        <f aca="false">IF(COUNTA($A3392,$F3392,$G3392,$H3392,$I3392,$J3392)=0,"",IF($M3392=0,"✖ كود الصف غير موجود",IF(ISNA(MATCH($F3392,Lists!$A$2:$A$5,0)),"✖ الفترة غير صحيحة",IF(ISNA(MATCH($G3392,Lists!$B$2:$B$7,0)),"✖ المجموعة غير صحيحة",IF(NOT(OR($H3392="",$N3392&gt;0)),"✖ Start غير صحيح",IF(NOT(OR($I3392="",$I3392="NR",$O3392&gt;0)),"✖ Current غير صحيح",IF(NOT(IF(ISNUMBER($J3392),AND($J3392&gt;=0,$J3392=INT($J3392)),FALSE())),"✖ العدد يجب أن يكون صحيحًا ≥ 0",IF(AND($F3392="Baseline",$H3392&lt;&gt;""),"⚠ Baseline: Start لا يدخل في التقدم",IF($K3392="No Start (attainment only)","ℹ تحصيل فقط (بدون Start)",IF($K3392="U – needs rule","ℹ حالة U تحتاج قاعدة معتمدة",IF($K3392="No result","ℹ بدون نتيجة (يُستبعد من التحصيل)","OK")))))))))))</f>
        <v/>
      </c>
      <c r="M3392" s="64" t="n">
        <f aca="false">IF($A3392="",0,IFERROR(MATCH($A3392,Classes!$A$6:$A$420,0),0))</f>
        <v>0</v>
      </c>
      <c r="N3392" s="64" t="n">
        <f aca="false">IF($H3392="",0,IFERROR(MATCH($H3392,GradeList,0),0))</f>
        <v>0</v>
      </c>
      <c r="O3392" s="64" t="n">
        <f aca="false">IF(OR($I3392="",$I3392="NR"),0,IFERROR(MATCH($I3392,GradeList,0),0))</f>
        <v>0</v>
      </c>
      <c r="P3392" s="64" t="n">
        <f aca="false">IF(AND($M3392&gt;0,ISNUMBER(MATCH($F3392,Lists!$A$2:$A$5,0)),ISNUMBER(MATCH($G3392,Lists!$B$2:$B$7,0)),OR($H3392="",$N3392&gt;0),OR($I3392="",$I3392="NR",$O3392&gt;0),IF(ISNUMBER($J3392),AND($J3392&gt;=0,$J3392=INT($J3392)),FALSE())),$J3392,0)</f>
        <v>0</v>
      </c>
      <c r="Q3392" s="64" t="n">
        <f aca="false">IF(AND($P3392&gt;0,$O3392&gt;0),$P3392,0)</f>
        <v>0</v>
      </c>
      <c r="R3392" s="64" t="n">
        <f aca="false">IF(AND($Q3392&gt;0,$O3392&gt;=AtRank),$Q3392,0)</f>
        <v>0</v>
      </c>
      <c r="S3392" s="64" t="n">
        <f aca="false">IF(AND($Q3392&gt;0,$O3392&gt;=AboveRank),$Q3392,0)</f>
        <v>0</v>
      </c>
      <c r="T3392" s="64" t="n">
        <f aca="false">IF($K3392="Less",$P3392,0)</f>
        <v>0</v>
      </c>
      <c r="U3392" s="64" t="n">
        <f aca="false">IF($K3392="Expected",$P3392,0)</f>
        <v>0</v>
      </c>
      <c r="V3392" s="64" t="n">
        <f aca="false">IF($K3392="Better",$P3392,0)</f>
        <v>0</v>
      </c>
      <c r="W3392" s="64" t="n">
        <f aca="false">IF($K3392="U – needs rule",$P3392,0)</f>
        <v>0</v>
      </c>
      <c r="X3392" s="64" t="n">
        <f aca="false">IF($K3392="No Start (attainment only)",$P3392,0)</f>
        <v>0</v>
      </c>
    </row>
    <row r="3393" customFormat="false" ht="15" hidden="false" customHeight="false" outlineLevel="0" collapsed="false">
      <c r="A3393" s="60"/>
      <c r="B3393" s="61" t="str">
        <f aca="false">IF($M3393=0,"",INDEX(Classes!$E$6:$E$420,$M3393))</f>
        <v/>
      </c>
      <c r="C3393" s="62" t="str">
        <f aca="false">IF($M3393=0,"",INDEX(Classes!$H$6:$H$420,$M3393))</f>
        <v/>
      </c>
      <c r="D3393" s="61" t="str">
        <f aca="false">IF($M3393=0,"",INDEX(Classes!$B$6:$B$420,$M3393))</f>
        <v/>
      </c>
      <c r="E3393" s="61" t="str">
        <f aca="false">IF($M3393=0,"",INDEX(Classes!$C$6:$C$420,$M3393))</f>
        <v/>
      </c>
      <c r="F3393" s="63"/>
      <c r="G3393" s="63"/>
      <c r="H3393" s="60"/>
      <c r="I3393" s="60"/>
      <c r="J3393" s="63"/>
      <c r="K3393" s="61" t="str">
        <f aca="false">IF($P3393=0,"",IF($F3393="Baseline","— Baseline",IF($O3393=0,"No result",IF($N3393=0,"No Start (attainment only)",IF(OR($N3393=1,$O3393=1),"U – needs rule",INDEX(MxBody,MATCH($I3393,MxCurr,0),MATCH($H3393,MxStart,0)))))))</f>
        <v/>
      </c>
      <c r="L3393" s="62" t="str">
        <f aca="false">IF(COUNTA($A3393,$F3393,$G3393,$H3393,$I3393,$J3393)=0,"",IF($M3393=0,"✖ كود الصف غير موجود",IF(ISNA(MATCH($F3393,Lists!$A$2:$A$5,0)),"✖ الفترة غير صحيحة",IF(ISNA(MATCH($G3393,Lists!$B$2:$B$7,0)),"✖ المجموعة غير صحيحة",IF(NOT(OR($H3393="",$N3393&gt;0)),"✖ Start غير صحيح",IF(NOT(OR($I3393="",$I3393="NR",$O3393&gt;0)),"✖ Current غير صحيح",IF(NOT(IF(ISNUMBER($J3393),AND($J3393&gt;=0,$J3393=INT($J3393)),FALSE())),"✖ العدد يجب أن يكون صحيحًا ≥ 0",IF(AND($F3393="Baseline",$H3393&lt;&gt;""),"⚠ Baseline: Start لا يدخل في التقدم",IF($K3393="No Start (attainment only)","ℹ تحصيل فقط (بدون Start)",IF($K3393="U – needs rule","ℹ حالة U تحتاج قاعدة معتمدة",IF($K3393="No result","ℹ بدون نتيجة (يُستبعد من التحصيل)","OK")))))))))))</f>
        <v/>
      </c>
      <c r="M3393" s="64" t="n">
        <f aca="false">IF($A3393="",0,IFERROR(MATCH($A3393,Classes!$A$6:$A$420,0),0))</f>
        <v>0</v>
      </c>
      <c r="N3393" s="64" t="n">
        <f aca="false">IF($H3393="",0,IFERROR(MATCH($H3393,GradeList,0),0))</f>
        <v>0</v>
      </c>
      <c r="O3393" s="64" t="n">
        <f aca="false">IF(OR($I3393="",$I3393="NR"),0,IFERROR(MATCH($I3393,GradeList,0),0))</f>
        <v>0</v>
      </c>
      <c r="P3393" s="64" t="n">
        <f aca="false">IF(AND($M3393&gt;0,ISNUMBER(MATCH($F3393,Lists!$A$2:$A$5,0)),ISNUMBER(MATCH($G3393,Lists!$B$2:$B$7,0)),OR($H3393="",$N3393&gt;0),OR($I3393="",$I3393="NR",$O3393&gt;0),IF(ISNUMBER($J3393),AND($J3393&gt;=0,$J3393=INT($J3393)),FALSE())),$J3393,0)</f>
        <v>0</v>
      </c>
      <c r="Q3393" s="64" t="n">
        <f aca="false">IF(AND($P3393&gt;0,$O3393&gt;0),$P3393,0)</f>
        <v>0</v>
      </c>
      <c r="R3393" s="64" t="n">
        <f aca="false">IF(AND($Q3393&gt;0,$O3393&gt;=AtRank),$Q3393,0)</f>
        <v>0</v>
      </c>
      <c r="S3393" s="64" t="n">
        <f aca="false">IF(AND($Q3393&gt;0,$O3393&gt;=AboveRank),$Q3393,0)</f>
        <v>0</v>
      </c>
      <c r="T3393" s="64" t="n">
        <f aca="false">IF($K3393="Less",$P3393,0)</f>
        <v>0</v>
      </c>
      <c r="U3393" s="64" t="n">
        <f aca="false">IF($K3393="Expected",$P3393,0)</f>
        <v>0</v>
      </c>
      <c r="V3393" s="64" t="n">
        <f aca="false">IF($K3393="Better",$P3393,0)</f>
        <v>0</v>
      </c>
      <c r="W3393" s="64" t="n">
        <f aca="false">IF($K3393="U – needs rule",$P3393,0)</f>
        <v>0</v>
      </c>
      <c r="X3393" s="64" t="n">
        <f aca="false">IF($K3393="No Start (attainment only)",$P3393,0)</f>
        <v>0</v>
      </c>
    </row>
    <row r="3394" customFormat="false" ht="15" hidden="false" customHeight="false" outlineLevel="0" collapsed="false">
      <c r="A3394" s="60"/>
      <c r="B3394" s="61" t="str">
        <f aca="false">IF($M3394=0,"",INDEX(Classes!$E$6:$E$420,$M3394))</f>
        <v/>
      </c>
      <c r="C3394" s="62" t="str">
        <f aca="false">IF($M3394=0,"",INDEX(Classes!$H$6:$H$420,$M3394))</f>
        <v/>
      </c>
      <c r="D3394" s="61" t="str">
        <f aca="false">IF($M3394=0,"",INDEX(Classes!$B$6:$B$420,$M3394))</f>
        <v/>
      </c>
      <c r="E3394" s="61" t="str">
        <f aca="false">IF($M3394=0,"",INDEX(Classes!$C$6:$C$420,$M3394))</f>
        <v/>
      </c>
      <c r="F3394" s="63"/>
      <c r="G3394" s="63"/>
      <c r="H3394" s="60"/>
      <c r="I3394" s="60"/>
      <c r="J3394" s="63"/>
      <c r="K3394" s="61" t="str">
        <f aca="false">IF($P3394=0,"",IF($F3394="Baseline","— Baseline",IF($O3394=0,"No result",IF($N3394=0,"No Start (attainment only)",IF(OR($N3394=1,$O3394=1),"U – needs rule",INDEX(MxBody,MATCH($I3394,MxCurr,0),MATCH($H3394,MxStart,0)))))))</f>
        <v/>
      </c>
      <c r="L3394" s="62" t="str">
        <f aca="false">IF(COUNTA($A3394,$F3394,$G3394,$H3394,$I3394,$J3394)=0,"",IF($M3394=0,"✖ كود الصف غير موجود",IF(ISNA(MATCH($F3394,Lists!$A$2:$A$5,0)),"✖ الفترة غير صحيحة",IF(ISNA(MATCH($G3394,Lists!$B$2:$B$7,0)),"✖ المجموعة غير صحيحة",IF(NOT(OR($H3394="",$N3394&gt;0)),"✖ Start غير صحيح",IF(NOT(OR($I3394="",$I3394="NR",$O3394&gt;0)),"✖ Current غير صحيح",IF(NOT(IF(ISNUMBER($J3394),AND($J3394&gt;=0,$J3394=INT($J3394)),FALSE())),"✖ العدد يجب أن يكون صحيحًا ≥ 0",IF(AND($F3394="Baseline",$H3394&lt;&gt;""),"⚠ Baseline: Start لا يدخل في التقدم",IF($K3394="No Start (attainment only)","ℹ تحصيل فقط (بدون Start)",IF($K3394="U – needs rule","ℹ حالة U تحتاج قاعدة معتمدة",IF($K3394="No result","ℹ بدون نتيجة (يُستبعد من التحصيل)","OK")))))))))))</f>
        <v/>
      </c>
      <c r="M3394" s="64" t="n">
        <f aca="false">IF($A3394="",0,IFERROR(MATCH($A3394,Classes!$A$6:$A$420,0),0))</f>
        <v>0</v>
      </c>
      <c r="N3394" s="64" t="n">
        <f aca="false">IF($H3394="",0,IFERROR(MATCH($H3394,GradeList,0),0))</f>
        <v>0</v>
      </c>
      <c r="O3394" s="64" t="n">
        <f aca="false">IF(OR($I3394="",$I3394="NR"),0,IFERROR(MATCH($I3394,GradeList,0),0))</f>
        <v>0</v>
      </c>
      <c r="P3394" s="64" t="n">
        <f aca="false">IF(AND($M3394&gt;0,ISNUMBER(MATCH($F3394,Lists!$A$2:$A$5,0)),ISNUMBER(MATCH($G3394,Lists!$B$2:$B$7,0)),OR($H3394="",$N3394&gt;0),OR($I3394="",$I3394="NR",$O3394&gt;0),IF(ISNUMBER($J3394),AND($J3394&gt;=0,$J3394=INT($J3394)),FALSE())),$J3394,0)</f>
        <v>0</v>
      </c>
      <c r="Q3394" s="64" t="n">
        <f aca="false">IF(AND($P3394&gt;0,$O3394&gt;0),$P3394,0)</f>
        <v>0</v>
      </c>
      <c r="R3394" s="64" t="n">
        <f aca="false">IF(AND($Q3394&gt;0,$O3394&gt;=AtRank),$Q3394,0)</f>
        <v>0</v>
      </c>
      <c r="S3394" s="64" t="n">
        <f aca="false">IF(AND($Q3394&gt;0,$O3394&gt;=AboveRank),$Q3394,0)</f>
        <v>0</v>
      </c>
      <c r="T3394" s="64" t="n">
        <f aca="false">IF($K3394="Less",$P3394,0)</f>
        <v>0</v>
      </c>
      <c r="U3394" s="64" t="n">
        <f aca="false">IF($K3394="Expected",$P3394,0)</f>
        <v>0</v>
      </c>
      <c r="V3394" s="64" t="n">
        <f aca="false">IF($K3394="Better",$P3394,0)</f>
        <v>0</v>
      </c>
      <c r="W3394" s="64" t="n">
        <f aca="false">IF($K3394="U – needs rule",$P3394,0)</f>
        <v>0</v>
      </c>
      <c r="X3394" s="64" t="n">
        <f aca="false">IF($K3394="No Start (attainment only)",$P3394,0)</f>
        <v>0</v>
      </c>
    </row>
    <row r="3395" customFormat="false" ht="15" hidden="false" customHeight="false" outlineLevel="0" collapsed="false">
      <c r="A3395" s="60"/>
      <c r="B3395" s="61" t="str">
        <f aca="false">IF($M3395=0,"",INDEX(Classes!$E$6:$E$420,$M3395))</f>
        <v/>
      </c>
      <c r="C3395" s="62" t="str">
        <f aca="false">IF($M3395=0,"",INDEX(Classes!$H$6:$H$420,$M3395))</f>
        <v/>
      </c>
      <c r="D3395" s="61" t="str">
        <f aca="false">IF($M3395=0,"",INDEX(Classes!$B$6:$B$420,$M3395))</f>
        <v/>
      </c>
      <c r="E3395" s="61" t="str">
        <f aca="false">IF($M3395=0,"",INDEX(Classes!$C$6:$C$420,$M3395))</f>
        <v/>
      </c>
      <c r="F3395" s="63"/>
      <c r="G3395" s="63"/>
      <c r="H3395" s="60"/>
      <c r="I3395" s="60"/>
      <c r="J3395" s="63"/>
      <c r="K3395" s="61" t="str">
        <f aca="false">IF($P3395=0,"",IF($F3395="Baseline","— Baseline",IF($O3395=0,"No result",IF($N3395=0,"No Start (attainment only)",IF(OR($N3395=1,$O3395=1),"U – needs rule",INDEX(MxBody,MATCH($I3395,MxCurr,0),MATCH($H3395,MxStart,0)))))))</f>
        <v/>
      </c>
      <c r="L3395" s="62" t="str">
        <f aca="false">IF(COUNTA($A3395,$F3395,$G3395,$H3395,$I3395,$J3395)=0,"",IF($M3395=0,"✖ كود الصف غير موجود",IF(ISNA(MATCH($F3395,Lists!$A$2:$A$5,0)),"✖ الفترة غير صحيحة",IF(ISNA(MATCH($G3395,Lists!$B$2:$B$7,0)),"✖ المجموعة غير صحيحة",IF(NOT(OR($H3395="",$N3395&gt;0)),"✖ Start غير صحيح",IF(NOT(OR($I3395="",$I3395="NR",$O3395&gt;0)),"✖ Current غير صحيح",IF(NOT(IF(ISNUMBER($J3395),AND($J3395&gt;=0,$J3395=INT($J3395)),FALSE())),"✖ العدد يجب أن يكون صحيحًا ≥ 0",IF(AND($F3395="Baseline",$H3395&lt;&gt;""),"⚠ Baseline: Start لا يدخل في التقدم",IF($K3395="No Start (attainment only)","ℹ تحصيل فقط (بدون Start)",IF($K3395="U – needs rule","ℹ حالة U تحتاج قاعدة معتمدة",IF($K3395="No result","ℹ بدون نتيجة (يُستبعد من التحصيل)","OK")))))))))))</f>
        <v/>
      </c>
      <c r="M3395" s="64" t="n">
        <f aca="false">IF($A3395="",0,IFERROR(MATCH($A3395,Classes!$A$6:$A$420,0),0))</f>
        <v>0</v>
      </c>
      <c r="N3395" s="64" t="n">
        <f aca="false">IF($H3395="",0,IFERROR(MATCH($H3395,GradeList,0),0))</f>
        <v>0</v>
      </c>
      <c r="O3395" s="64" t="n">
        <f aca="false">IF(OR($I3395="",$I3395="NR"),0,IFERROR(MATCH($I3395,GradeList,0),0))</f>
        <v>0</v>
      </c>
      <c r="P3395" s="64" t="n">
        <f aca="false">IF(AND($M3395&gt;0,ISNUMBER(MATCH($F3395,Lists!$A$2:$A$5,0)),ISNUMBER(MATCH($G3395,Lists!$B$2:$B$7,0)),OR($H3395="",$N3395&gt;0),OR($I3395="",$I3395="NR",$O3395&gt;0),IF(ISNUMBER($J3395),AND($J3395&gt;=0,$J3395=INT($J3395)),FALSE())),$J3395,0)</f>
        <v>0</v>
      </c>
      <c r="Q3395" s="64" t="n">
        <f aca="false">IF(AND($P3395&gt;0,$O3395&gt;0),$P3395,0)</f>
        <v>0</v>
      </c>
      <c r="R3395" s="64" t="n">
        <f aca="false">IF(AND($Q3395&gt;0,$O3395&gt;=AtRank),$Q3395,0)</f>
        <v>0</v>
      </c>
      <c r="S3395" s="64" t="n">
        <f aca="false">IF(AND($Q3395&gt;0,$O3395&gt;=AboveRank),$Q3395,0)</f>
        <v>0</v>
      </c>
      <c r="T3395" s="64" t="n">
        <f aca="false">IF($K3395="Less",$P3395,0)</f>
        <v>0</v>
      </c>
      <c r="U3395" s="64" t="n">
        <f aca="false">IF($K3395="Expected",$P3395,0)</f>
        <v>0</v>
      </c>
      <c r="V3395" s="64" t="n">
        <f aca="false">IF($K3395="Better",$P3395,0)</f>
        <v>0</v>
      </c>
      <c r="W3395" s="64" t="n">
        <f aca="false">IF($K3395="U – needs rule",$P3395,0)</f>
        <v>0</v>
      </c>
      <c r="X3395" s="64" t="n">
        <f aca="false">IF($K3395="No Start (attainment only)",$P3395,0)</f>
        <v>0</v>
      </c>
    </row>
    <row r="3396" customFormat="false" ht="15" hidden="false" customHeight="false" outlineLevel="0" collapsed="false">
      <c r="A3396" s="60"/>
      <c r="B3396" s="61" t="str">
        <f aca="false">IF($M3396=0,"",INDEX(Classes!$E$6:$E$420,$M3396))</f>
        <v/>
      </c>
      <c r="C3396" s="62" t="str">
        <f aca="false">IF($M3396=0,"",INDEX(Classes!$H$6:$H$420,$M3396))</f>
        <v/>
      </c>
      <c r="D3396" s="61" t="str">
        <f aca="false">IF($M3396=0,"",INDEX(Classes!$B$6:$B$420,$M3396))</f>
        <v/>
      </c>
      <c r="E3396" s="61" t="str">
        <f aca="false">IF($M3396=0,"",INDEX(Classes!$C$6:$C$420,$M3396))</f>
        <v/>
      </c>
      <c r="F3396" s="63"/>
      <c r="G3396" s="63"/>
      <c r="H3396" s="60"/>
      <c r="I3396" s="60"/>
      <c r="J3396" s="63"/>
      <c r="K3396" s="61" t="str">
        <f aca="false">IF($P3396=0,"",IF($F3396="Baseline","— Baseline",IF($O3396=0,"No result",IF($N3396=0,"No Start (attainment only)",IF(OR($N3396=1,$O3396=1),"U – needs rule",INDEX(MxBody,MATCH($I3396,MxCurr,0),MATCH($H3396,MxStart,0)))))))</f>
        <v/>
      </c>
      <c r="L3396" s="62" t="str">
        <f aca="false">IF(COUNTA($A3396,$F3396,$G3396,$H3396,$I3396,$J3396)=0,"",IF($M3396=0,"✖ كود الصف غير موجود",IF(ISNA(MATCH($F3396,Lists!$A$2:$A$5,0)),"✖ الفترة غير صحيحة",IF(ISNA(MATCH($G3396,Lists!$B$2:$B$7,0)),"✖ المجموعة غير صحيحة",IF(NOT(OR($H3396="",$N3396&gt;0)),"✖ Start غير صحيح",IF(NOT(OR($I3396="",$I3396="NR",$O3396&gt;0)),"✖ Current غير صحيح",IF(NOT(IF(ISNUMBER($J3396),AND($J3396&gt;=0,$J3396=INT($J3396)),FALSE())),"✖ العدد يجب أن يكون صحيحًا ≥ 0",IF(AND($F3396="Baseline",$H3396&lt;&gt;""),"⚠ Baseline: Start لا يدخل في التقدم",IF($K3396="No Start (attainment only)","ℹ تحصيل فقط (بدون Start)",IF($K3396="U – needs rule","ℹ حالة U تحتاج قاعدة معتمدة",IF($K3396="No result","ℹ بدون نتيجة (يُستبعد من التحصيل)","OK")))))))))))</f>
        <v/>
      </c>
      <c r="M3396" s="64" t="n">
        <f aca="false">IF($A3396="",0,IFERROR(MATCH($A3396,Classes!$A$6:$A$420,0),0))</f>
        <v>0</v>
      </c>
      <c r="N3396" s="64" t="n">
        <f aca="false">IF($H3396="",0,IFERROR(MATCH($H3396,GradeList,0),0))</f>
        <v>0</v>
      </c>
      <c r="O3396" s="64" t="n">
        <f aca="false">IF(OR($I3396="",$I3396="NR"),0,IFERROR(MATCH($I3396,GradeList,0),0))</f>
        <v>0</v>
      </c>
      <c r="P3396" s="64" t="n">
        <f aca="false">IF(AND($M3396&gt;0,ISNUMBER(MATCH($F3396,Lists!$A$2:$A$5,0)),ISNUMBER(MATCH($G3396,Lists!$B$2:$B$7,0)),OR($H3396="",$N3396&gt;0),OR($I3396="",$I3396="NR",$O3396&gt;0),IF(ISNUMBER($J3396),AND($J3396&gt;=0,$J3396=INT($J3396)),FALSE())),$J3396,0)</f>
        <v>0</v>
      </c>
      <c r="Q3396" s="64" t="n">
        <f aca="false">IF(AND($P3396&gt;0,$O3396&gt;0),$P3396,0)</f>
        <v>0</v>
      </c>
      <c r="R3396" s="64" t="n">
        <f aca="false">IF(AND($Q3396&gt;0,$O3396&gt;=AtRank),$Q3396,0)</f>
        <v>0</v>
      </c>
      <c r="S3396" s="64" t="n">
        <f aca="false">IF(AND($Q3396&gt;0,$O3396&gt;=AboveRank),$Q3396,0)</f>
        <v>0</v>
      </c>
      <c r="T3396" s="64" t="n">
        <f aca="false">IF($K3396="Less",$P3396,0)</f>
        <v>0</v>
      </c>
      <c r="U3396" s="64" t="n">
        <f aca="false">IF($K3396="Expected",$P3396,0)</f>
        <v>0</v>
      </c>
      <c r="V3396" s="64" t="n">
        <f aca="false">IF($K3396="Better",$P3396,0)</f>
        <v>0</v>
      </c>
      <c r="W3396" s="64" t="n">
        <f aca="false">IF($K3396="U – needs rule",$P3396,0)</f>
        <v>0</v>
      </c>
      <c r="X3396" s="64" t="n">
        <f aca="false">IF($K3396="No Start (attainment only)",$P3396,0)</f>
        <v>0</v>
      </c>
    </row>
    <row r="3397" customFormat="false" ht="15" hidden="false" customHeight="false" outlineLevel="0" collapsed="false">
      <c r="A3397" s="60"/>
      <c r="B3397" s="61" t="str">
        <f aca="false">IF($M3397=0,"",INDEX(Classes!$E$6:$E$420,$M3397))</f>
        <v/>
      </c>
      <c r="C3397" s="62" t="str">
        <f aca="false">IF($M3397=0,"",INDEX(Classes!$H$6:$H$420,$M3397))</f>
        <v/>
      </c>
      <c r="D3397" s="61" t="str">
        <f aca="false">IF($M3397=0,"",INDEX(Classes!$B$6:$B$420,$M3397))</f>
        <v/>
      </c>
      <c r="E3397" s="61" t="str">
        <f aca="false">IF($M3397=0,"",INDEX(Classes!$C$6:$C$420,$M3397))</f>
        <v/>
      </c>
      <c r="F3397" s="63"/>
      <c r="G3397" s="63"/>
      <c r="H3397" s="60"/>
      <c r="I3397" s="60"/>
      <c r="J3397" s="63"/>
      <c r="K3397" s="61" t="str">
        <f aca="false">IF($P3397=0,"",IF($F3397="Baseline","— Baseline",IF($O3397=0,"No result",IF($N3397=0,"No Start (attainment only)",IF(OR($N3397=1,$O3397=1),"U – needs rule",INDEX(MxBody,MATCH($I3397,MxCurr,0),MATCH($H3397,MxStart,0)))))))</f>
        <v/>
      </c>
      <c r="L3397" s="62" t="str">
        <f aca="false">IF(COUNTA($A3397,$F3397,$G3397,$H3397,$I3397,$J3397)=0,"",IF($M3397=0,"✖ كود الصف غير موجود",IF(ISNA(MATCH($F3397,Lists!$A$2:$A$5,0)),"✖ الفترة غير صحيحة",IF(ISNA(MATCH($G3397,Lists!$B$2:$B$7,0)),"✖ المجموعة غير صحيحة",IF(NOT(OR($H3397="",$N3397&gt;0)),"✖ Start غير صحيح",IF(NOT(OR($I3397="",$I3397="NR",$O3397&gt;0)),"✖ Current غير صحيح",IF(NOT(IF(ISNUMBER($J3397),AND($J3397&gt;=0,$J3397=INT($J3397)),FALSE())),"✖ العدد يجب أن يكون صحيحًا ≥ 0",IF(AND($F3397="Baseline",$H3397&lt;&gt;""),"⚠ Baseline: Start لا يدخل في التقدم",IF($K3397="No Start (attainment only)","ℹ تحصيل فقط (بدون Start)",IF($K3397="U – needs rule","ℹ حالة U تحتاج قاعدة معتمدة",IF($K3397="No result","ℹ بدون نتيجة (يُستبعد من التحصيل)","OK")))))))))))</f>
        <v/>
      </c>
      <c r="M3397" s="64" t="n">
        <f aca="false">IF($A3397="",0,IFERROR(MATCH($A3397,Classes!$A$6:$A$420,0),0))</f>
        <v>0</v>
      </c>
      <c r="N3397" s="64" t="n">
        <f aca="false">IF($H3397="",0,IFERROR(MATCH($H3397,GradeList,0),0))</f>
        <v>0</v>
      </c>
      <c r="O3397" s="64" t="n">
        <f aca="false">IF(OR($I3397="",$I3397="NR"),0,IFERROR(MATCH($I3397,GradeList,0),0))</f>
        <v>0</v>
      </c>
      <c r="P3397" s="64" t="n">
        <f aca="false">IF(AND($M3397&gt;0,ISNUMBER(MATCH($F3397,Lists!$A$2:$A$5,0)),ISNUMBER(MATCH($G3397,Lists!$B$2:$B$7,0)),OR($H3397="",$N3397&gt;0),OR($I3397="",$I3397="NR",$O3397&gt;0),IF(ISNUMBER($J3397),AND($J3397&gt;=0,$J3397=INT($J3397)),FALSE())),$J3397,0)</f>
        <v>0</v>
      </c>
      <c r="Q3397" s="64" t="n">
        <f aca="false">IF(AND($P3397&gt;0,$O3397&gt;0),$P3397,0)</f>
        <v>0</v>
      </c>
      <c r="R3397" s="64" t="n">
        <f aca="false">IF(AND($Q3397&gt;0,$O3397&gt;=AtRank),$Q3397,0)</f>
        <v>0</v>
      </c>
      <c r="S3397" s="64" t="n">
        <f aca="false">IF(AND($Q3397&gt;0,$O3397&gt;=AboveRank),$Q3397,0)</f>
        <v>0</v>
      </c>
      <c r="T3397" s="64" t="n">
        <f aca="false">IF($K3397="Less",$P3397,0)</f>
        <v>0</v>
      </c>
      <c r="U3397" s="64" t="n">
        <f aca="false">IF($K3397="Expected",$P3397,0)</f>
        <v>0</v>
      </c>
      <c r="V3397" s="64" t="n">
        <f aca="false">IF($K3397="Better",$P3397,0)</f>
        <v>0</v>
      </c>
      <c r="W3397" s="64" t="n">
        <f aca="false">IF($K3397="U – needs rule",$P3397,0)</f>
        <v>0</v>
      </c>
      <c r="X3397" s="64" t="n">
        <f aca="false">IF($K3397="No Start (attainment only)",$P3397,0)</f>
        <v>0</v>
      </c>
    </row>
    <row r="3398" customFormat="false" ht="15" hidden="false" customHeight="false" outlineLevel="0" collapsed="false">
      <c r="A3398" s="60"/>
      <c r="B3398" s="61" t="str">
        <f aca="false">IF($M3398=0,"",INDEX(Classes!$E$6:$E$420,$M3398))</f>
        <v/>
      </c>
      <c r="C3398" s="62" t="str">
        <f aca="false">IF($M3398=0,"",INDEX(Classes!$H$6:$H$420,$M3398))</f>
        <v/>
      </c>
      <c r="D3398" s="61" t="str">
        <f aca="false">IF($M3398=0,"",INDEX(Classes!$B$6:$B$420,$M3398))</f>
        <v/>
      </c>
      <c r="E3398" s="61" t="str">
        <f aca="false">IF($M3398=0,"",INDEX(Classes!$C$6:$C$420,$M3398))</f>
        <v/>
      </c>
      <c r="F3398" s="63"/>
      <c r="G3398" s="63"/>
      <c r="H3398" s="60"/>
      <c r="I3398" s="60"/>
      <c r="J3398" s="63"/>
      <c r="K3398" s="61" t="str">
        <f aca="false">IF($P3398=0,"",IF($F3398="Baseline","— Baseline",IF($O3398=0,"No result",IF($N3398=0,"No Start (attainment only)",IF(OR($N3398=1,$O3398=1),"U – needs rule",INDEX(MxBody,MATCH($I3398,MxCurr,0),MATCH($H3398,MxStart,0)))))))</f>
        <v/>
      </c>
      <c r="L3398" s="62" t="str">
        <f aca="false">IF(COUNTA($A3398,$F3398,$G3398,$H3398,$I3398,$J3398)=0,"",IF($M3398=0,"✖ كود الصف غير موجود",IF(ISNA(MATCH($F3398,Lists!$A$2:$A$5,0)),"✖ الفترة غير صحيحة",IF(ISNA(MATCH($G3398,Lists!$B$2:$B$7,0)),"✖ المجموعة غير صحيحة",IF(NOT(OR($H3398="",$N3398&gt;0)),"✖ Start غير صحيح",IF(NOT(OR($I3398="",$I3398="NR",$O3398&gt;0)),"✖ Current غير صحيح",IF(NOT(IF(ISNUMBER($J3398),AND($J3398&gt;=0,$J3398=INT($J3398)),FALSE())),"✖ العدد يجب أن يكون صحيحًا ≥ 0",IF(AND($F3398="Baseline",$H3398&lt;&gt;""),"⚠ Baseline: Start لا يدخل في التقدم",IF($K3398="No Start (attainment only)","ℹ تحصيل فقط (بدون Start)",IF($K3398="U – needs rule","ℹ حالة U تحتاج قاعدة معتمدة",IF($K3398="No result","ℹ بدون نتيجة (يُستبعد من التحصيل)","OK")))))))))))</f>
        <v/>
      </c>
      <c r="M3398" s="64" t="n">
        <f aca="false">IF($A3398="",0,IFERROR(MATCH($A3398,Classes!$A$6:$A$420,0),0))</f>
        <v>0</v>
      </c>
      <c r="N3398" s="64" t="n">
        <f aca="false">IF($H3398="",0,IFERROR(MATCH($H3398,GradeList,0),0))</f>
        <v>0</v>
      </c>
      <c r="O3398" s="64" t="n">
        <f aca="false">IF(OR($I3398="",$I3398="NR"),0,IFERROR(MATCH($I3398,GradeList,0),0))</f>
        <v>0</v>
      </c>
      <c r="P3398" s="64" t="n">
        <f aca="false">IF(AND($M3398&gt;0,ISNUMBER(MATCH($F3398,Lists!$A$2:$A$5,0)),ISNUMBER(MATCH($G3398,Lists!$B$2:$B$7,0)),OR($H3398="",$N3398&gt;0),OR($I3398="",$I3398="NR",$O3398&gt;0),IF(ISNUMBER($J3398),AND($J3398&gt;=0,$J3398=INT($J3398)),FALSE())),$J3398,0)</f>
        <v>0</v>
      </c>
      <c r="Q3398" s="64" t="n">
        <f aca="false">IF(AND($P3398&gt;0,$O3398&gt;0),$P3398,0)</f>
        <v>0</v>
      </c>
      <c r="R3398" s="64" t="n">
        <f aca="false">IF(AND($Q3398&gt;0,$O3398&gt;=AtRank),$Q3398,0)</f>
        <v>0</v>
      </c>
      <c r="S3398" s="64" t="n">
        <f aca="false">IF(AND($Q3398&gt;0,$O3398&gt;=AboveRank),$Q3398,0)</f>
        <v>0</v>
      </c>
      <c r="T3398" s="64" t="n">
        <f aca="false">IF($K3398="Less",$P3398,0)</f>
        <v>0</v>
      </c>
      <c r="U3398" s="64" t="n">
        <f aca="false">IF($K3398="Expected",$P3398,0)</f>
        <v>0</v>
      </c>
      <c r="V3398" s="64" t="n">
        <f aca="false">IF($K3398="Better",$P3398,0)</f>
        <v>0</v>
      </c>
      <c r="W3398" s="64" t="n">
        <f aca="false">IF($K3398="U – needs rule",$P3398,0)</f>
        <v>0</v>
      </c>
      <c r="X3398" s="64" t="n">
        <f aca="false">IF($K3398="No Start (attainment only)",$P3398,0)</f>
        <v>0</v>
      </c>
    </row>
    <row r="3399" customFormat="false" ht="15" hidden="false" customHeight="false" outlineLevel="0" collapsed="false">
      <c r="A3399" s="60"/>
      <c r="B3399" s="61" t="str">
        <f aca="false">IF($M3399=0,"",INDEX(Classes!$E$6:$E$420,$M3399))</f>
        <v/>
      </c>
      <c r="C3399" s="62" t="str">
        <f aca="false">IF($M3399=0,"",INDEX(Classes!$H$6:$H$420,$M3399))</f>
        <v/>
      </c>
      <c r="D3399" s="61" t="str">
        <f aca="false">IF($M3399=0,"",INDEX(Classes!$B$6:$B$420,$M3399))</f>
        <v/>
      </c>
      <c r="E3399" s="61" t="str">
        <f aca="false">IF($M3399=0,"",INDEX(Classes!$C$6:$C$420,$M3399))</f>
        <v/>
      </c>
      <c r="F3399" s="63"/>
      <c r="G3399" s="63"/>
      <c r="H3399" s="60"/>
      <c r="I3399" s="60"/>
      <c r="J3399" s="63"/>
      <c r="K3399" s="61" t="str">
        <f aca="false">IF($P3399=0,"",IF($F3399="Baseline","— Baseline",IF($O3399=0,"No result",IF($N3399=0,"No Start (attainment only)",IF(OR($N3399=1,$O3399=1),"U – needs rule",INDEX(MxBody,MATCH($I3399,MxCurr,0),MATCH($H3399,MxStart,0)))))))</f>
        <v/>
      </c>
      <c r="L3399" s="62" t="str">
        <f aca="false">IF(COUNTA($A3399,$F3399,$G3399,$H3399,$I3399,$J3399)=0,"",IF($M3399=0,"✖ كود الصف غير موجود",IF(ISNA(MATCH($F3399,Lists!$A$2:$A$5,0)),"✖ الفترة غير صحيحة",IF(ISNA(MATCH($G3399,Lists!$B$2:$B$7,0)),"✖ المجموعة غير صحيحة",IF(NOT(OR($H3399="",$N3399&gt;0)),"✖ Start غير صحيح",IF(NOT(OR($I3399="",$I3399="NR",$O3399&gt;0)),"✖ Current غير صحيح",IF(NOT(IF(ISNUMBER($J3399),AND($J3399&gt;=0,$J3399=INT($J3399)),FALSE())),"✖ العدد يجب أن يكون صحيحًا ≥ 0",IF(AND($F3399="Baseline",$H3399&lt;&gt;""),"⚠ Baseline: Start لا يدخل في التقدم",IF($K3399="No Start (attainment only)","ℹ تحصيل فقط (بدون Start)",IF($K3399="U – needs rule","ℹ حالة U تحتاج قاعدة معتمدة",IF($K3399="No result","ℹ بدون نتيجة (يُستبعد من التحصيل)","OK")))))))))))</f>
        <v/>
      </c>
      <c r="M3399" s="64" t="n">
        <f aca="false">IF($A3399="",0,IFERROR(MATCH($A3399,Classes!$A$6:$A$420,0),0))</f>
        <v>0</v>
      </c>
      <c r="N3399" s="64" t="n">
        <f aca="false">IF($H3399="",0,IFERROR(MATCH($H3399,GradeList,0),0))</f>
        <v>0</v>
      </c>
      <c r="O3399" s="64" t="n">
        <f aca="false">IF(OR($I3399="",$I3399="NR"),0,IFERROR(MATCH($I3399,GradeList,0),0))</f>
        <v>0</v>
      </c>
      <c r="P3399" s="64" t="n">
        <f aca="false">IF(AND($M3399&gt;0,ISNUMBER(MATCH($F3399,Lists!$A$2:$A$5,0)),ISNUMBER(MATCH($G3399,Lists!$B$2:$B$7,0)),OR($H3399="",$N3399&gt;0),OR($I3399="",$I3399="NR",$O3399&gt;0),IF(ISNUMBER($J3399),AND($J3399&gt;=0,$J3399=INT($J3399)),FALSE())),$J3399,0)</f>
        <v>0</v>
      </c>
      <c r="Q3399" s="64" t="n">
        <f aca="false">IF(AND($P3399&gt;0,$O3399&gt;0),$P3399,0)</f>
        <v>0</v>
      </c>
      <c r="R3399" s="64" t="n">
        <f aca="false">IF(AND($Q3399&gt;0,$O3399&gt;=AtRank),$Q3399,0)</f>
        <v>0</v>
      </c>
      <c r="S3399" s="64" t="n">
        <f aca="false">IF(AND($Q3399&gt;0,$O3399&gt;=AboveRank),$Q3399,0)</f>
        <v>0</v>
      </c>
      <c r="T3399" s="64" t="n">
        <f aca="false">IF($K3399="Less",$P3399,0)</f>
        <v>0</v>
      </c>
      <c r="U3399" s="64" t="n">
        <f aca="false">IF($K3399="Expected",$P3399,0)</f>
        <v>0</v>
      </c>
      <c r="V3399" s="64" t="n">
        <f aca="false">IF($K3399="Better",$P3399,0)</f>
        <v>0</v>
      </c>
      <c r="W3399" s="64" t="n">
        <f aca="false">IF($K3399="U – needs rule",$P3399,0)</f>
        <v>0</v>
      </c>
      <c r="X3399" s="64" t="n">
        <f aca="false">IF($K3399="No Start (attainment only)",$P3399,0)</f>
        <v>0</v>
      </c>
    </row>
    <row r="3400" customFormat="false" ht="15" hidden="false" customHeight="false" outlineLevel="0" collapsed="false">
      <c r="A3400" s="60"/>
      <c r="B3400" s="61" t="str">
        <f aca="false">IF($M3400=0,"",INDEX(Classes!$E$6:$E$420,$M3400))</f>
        <v/>
      </c>
      <c r="C3400" s="62" t="str">
        <f aca="false">IF($M3400=0,"",INDEX(Classes!$H$6:$H$420,$M3400))</f>
        <v/>
      </c>
      <c r="D3400" s="61" t="str">
        <f aca="false">IF($M3400=0,"",INDEX(Classes!$B$6:$B$420,$M3400))</f>
        <v/>
      </c>
      <c r="E3400" s="61" t="str">
        <f aca="false">IF($M3400=0,"",INDEX(Classes!$C$6:$C$420,$M3400))</f>
        <v/>
      </c>
      <c r="F3400" s="63"/>
      <c r="G3400" s="63"/>
      <c r="H3400" s="60"/>
      <c r="I3400" s="60"/>
      <c r="J3400" s="63"/>
      <c r="K3400" s="61" t="str">
        <f aca="false">IF($P3400=0,"",IF($F3400="Baseline","— Baseline",IF($O3400=0,"No result",IF($N3400=0,"No Start (attainment only)",IF(OR($N3400=1,$O3400=1),"U – needs rule",INDEX(MxBody,MATCH($I3400,MxCurr,0),MATCH($H3400,MxStart,0)))))))</f>
        <v/>
      </c>
      <c r="L3400" s="62" t="str">
        <f aca="false">IF(COUNTA($A3400,$F3400,$G3400,$H3400,$I3400,$J3400)=0,"",IF($M3400=0,"✖ كود الصف غير موجود",IF(ISNA(MATCH($F3400,Lists!$A$2:$A$5,0)),"✖ الفترة غير صحيحة",IF(ISNA(MATCH($G3400,Lists!$B$2:$B$7,0)),"✖ المجموعة غير صحيحة",IF(NOT(OR($H3400="",$N3400&gt;0)),"✖ Start غير صحيح",IF(NOT(OR($I3400="",$I3400="NR",$O3400&gt;0)),"✖ Current غير صحيح",IF(NOT(IF(ISNUMBER($J3400),AND($J3400&gt;=0,$J3400=INT($J3400)),FALSE())),"✖ العدد يجب أن يكون صحيحًا ≥ 0",IF(AND($F3400="Baseline",$H3400&lt;&gt;""),"⚠ Baseline: Start لا يدخل في التقدم",IF($K3400="No Start (attainment only)","ℹ تحصيل فقط (بدون Start)",IF($K3400="U – needs rule","ℹ حالة U تحتاج قاعدة معتمدة",IF($K3400="No result","ℹ بدون نتيجة (يُستبعد من التحصيل)","OK")))))))))))</f>
        <v/>
      </c>
      <c r="M3400" s="64" t="n">
        <f aca="false">IF($A3400="",0,IFERROR(MATCH($A3400,Classes!$A$6:$A$420,0),0))</f>
        <v>0</v>
      </c>
      <c r="N3400" s="64" t="n">
        <f aca="false">IF($H3400="",0,IFERROR(MATCH($H3400,GradeList,0),0))</f>
        <v>0</v>
      </c>
      <c r="O3400" s="64" t="n">
        <f aca="false">IF(OR($I3400="",$I3400="NR"),0,IFERROR(MATCH($I3400,GradeList,0),0))</f>
        <v>0</v>
      </c>
      <c r="P3400" s="64" t="n">
        <f aca="false">IF(AND($M3400&gt;0,ISNUMBER(MATCH($F3400,Lists!$A$2:$A$5,0)),ISNUMBER(MATCH($G3400,Lists!$B$2:$B$7,0)),OR($H3400="",$N3400&gt;0),OR($I3400="",$I3400="NR",$O3400&gt;0),IF(ISNUMBER($J3400),AND($J3400&gt;=0,$J3400=INT($J3400)),FALSE())),$J3400,0)</f>
        <v>0</v>
      </c>
      <c r="Q3400" s="64" t="n">
        <f aca="false">IF(AND($P3400&gt;0,$O3400&gt;0),$P3400,0)</f>
        <v>0</v>
      </c>
      <c r="R3400" s="64" t="n">
        <f aca="false">IF(AND($Q3400&gt;0,$O3400&gt;=AtRank),$Q3400,0)</f>
        <v>0</v>
      </c>
      <c r="S3400" s="64" t="n">
        <f aca="false">IF(AND($Q3400&gt;0,$O3400&gt;=AboveRank),$Q3400,0)</f>
        <v>0</v>
      </c>
      <c r="T3400" s="64" t="n">
        <f aca="false">IF($K3400="Less",$P3400,0)</f>
        <v>0</v>
      </c>
      <c r="U3400" s="64" t="n">
        <f aca="false">IF($K3400="Expected",$P3400,0)</f>
        <v>0</v>
      </c>
      <c r="V3400" s="64" t="n">
        <f aca="false">IF($K3400="Better",$P3400,0)</f>
        <v>0</v>
      </c>
      <c r="W3400" s="64" t="n">
        <f aca="false">IF($K3400="U – needs rule",$P3400,0)</f>
        <v>0</v>
      </c>
      <c r="X3400" s="64" t="n">
        <f aca="false">IF($K3400="No Start (attainment only)",$P3400,0)</f>
        <v>0</v>
      </c>
    </row>
    <row r="3401" customFormat="false" ht="15" hidden="false" customHeight="false" outlineLevel="0" collapsed="false">
      <c r="A3401" s="60"/>
      <c r="B3401" s="61" t="str">
        <f aca="false">IF($M3401=0,"",INDEX(Classes!$E$6:$E$420,$M3401))</f>
        <v/>
      </c>
      <c r="C3401" s="62" t="str">
        <f aca="false">IF($M3401=0,"",INDEX(Classes!$H$6:$H$420,$M3401))</f>
        <v/>
      </c>
      <c r="D3401" s="61" t="str">
        <f aca="false">IF($M3401=0,"",INDEX(Classes!$B$6:$B$420,$M3401))</f>
        <v/>
      </c>
      <c r="E3401" s="61" t="str">
        <f aca="false">IF($M3401=0,"",INDEX(Classes!$C$6:$C$420,$M3401))</f>
        <v/>
      </c>
      <c r="F3401" s="63"/>
      <c r="G3401" s="63"/>
      <c r="H3401" s="60"/>
      <c r="I3401" s="60"/>
      <c r="J3401" s="63"/>
      <c r="K3401" s="61" t="str">
        <f aca="false">IF($P3401=0,"",IF($F3401="Baseline","— Baseline",IF($O3401=0,"No result",IF($N3401=0,"No Start (attainment only)",IF(OR($N3401=1,$O3401=1),"U – needs rule",INDEX(MxBody,MATCH($I3401,MxCurr,0),MATCH($H3401,MxStart,0)))))))</f>
        <v/>
      </c>
      <c r="L3401" s="62" t="str">
        <f aca="false">IF(COUNTA($A3401,$F3401,$G3401,$H3401,$I3401,$J3401)=0,"",IF($M3401=0,"✖ كود الصف غير موجود",IF(ISNA(MATCH($F3401,Lists!$A$2:$A$5,0)),"✖ الفترة غير صحيحة",IF(ISNA(MATCH($G3401,Lists!$B$2:$B$7,0)),"✖ المجموعة غير صحيحة",IF(NOT(OR($H3401="",$N3401&gt;0)),"✖ Start غير صحيح",IF(NOT(OR($I3401="",$I3401="NR",$O3401&gt;0)),"✖ Current غير صحيح",IF(NOT(IF(ISNUMBER($J3401),AND($J3401&gt;=0,$J3401=INT($J3401)),FALSE())),"✖ العدد يجب أن يكون صحيحًا ≥ 0",IF(AND($F3401="Baseline",$H3401&lt;&gt;""),"⚠ Baseline: Start لا يدخل في التقدم",IF($K3401="No Start (attainment only)","ℹ تحصيل فقط (بدون Start)",IF($K3401="U – needs rule","ℹ حالة U تحتاج قاعدة معتمدة",IF($K3401="No result","ℹ بدون نتيجة (يُستبعد من التحصيل)","OK")))))))))))</f>
        <v/>
      </c>
      <c r="M3401" s="64" t="n">
        <f aca="false">IF($A3401="",0,IFERROR(MATCH($A3401,Classes!$A$6:$A$420,0),0))</f>
        <v>0</v>
      </c>
      <c r="N3401" s="64" t="n">
        <f aca="false">IF($H3401="",0,IFERROR(MATCH($H3401,GradeList,0),0))</f>
        <v>0</v>
      </c>
      <c r="O3401" s="64" t="n">
        <f aca="false">IF(OR($I3401="",$I3401="NR"),0,IFERROR(MATCH($I3401,GradeList,0),0))</f>
        <v>0</v>
      </c>
      <c r="P3401" s="64" t="n">
        <f aca="false">IF(AND($M3401&gt;0,ISNUMBER(MATCH($F3401,Lists!$A$2:$A$5,0)),ISNUMBER(MATCH($G3401,Lists!$B$2:$B$7,0)),OR($H3401="",$N3401&gt;0),OR($I3401="",$I3401="NR",$O3401&gt;0),IF(ISNUMBER($J3401),AND($J3401&gt;=0,$J3401=INT($J3401)),FALSE())),$J3401,0)</f>
        <v>0</v>
      </c>
      <c r="Q3401" s="64" t="n">
        <f aca="false">IF(AND($P3401&gt;0,$O3401&gt;0),$P3401,0)</f>
        <v>0</v>
      </c>
      <c r="R3401" s="64" t="n">
        <f aca="false">IF(AND($Q3401&gt;0,$O3401&gt;=AtRank),$Q3401,0)</f>
        <v>0</v>
      </c>
      <c r="S3401" s="64" t="n">
        <f aca="false">IF(AND($Q3401&gt;0,$O3401&gt;=AboveRank),$Q3401,0)</f>
        <v>0</v>
      </c>
      <c r="T3401" s="64" t="n">
        <f aca="false">IF($K3401="Less",$P3401,0)</f>
        <v>0</v>
      </c>
      <c r="U3401" s="64" t="n">
        <f aca="false">IF($K3401="Expected",$P3401,0)</f>
        <v>0</v>
      </c>
      <c r="V3401" s="64" t="n">
        <f aca="false">IF($K3401="Better",$P3401,0)</f>
        <v>0</v>
      </c>
      <c r="W3401" s="64" t="n">
        <f aca="false">IF($K3401="U – needs rule",$P3401,0)</f>
        <v>0</v>
      </c>
      <c r="X3401" s="64" t="n">
        <f aca="false">IF($K3401="No Start (attainment only)",$P3401,0)</f>
        <v>0</v>
      </c>
    </row>
    <row r="3402" customFormat="false" ht="15" hidden="false" customHeight="false" outlineLevel="0" collapsed="false">
      <c r="A3402" s="60"/>
      <c r="B3402" s="61" t="str">
        <f aca="false">IF($M3402=0,"",INDEX(Classes!$E$6:$E$420,$M3402))</f>
        <v/>
      </c>
      <c r="C3402" s="62" t="str">
        <f aca="false">IF($M3402=0,"",INDEX(Classes!$H$6:$H$420,$M3402))</f>
        <v/>
      </c>
      <c r="D3402" s="61" t="str">
        <f aca="false">IF($M3402=0,"",INDEX(Classes!$B$6:$B$420,$M3402))</f>
        <v/>
      </c>
      <c r="E3402" s="61" t="str">
        <f aca="false">IF($M3402=0,"",INDEX(Classes!$C$6:$C$420,$M3402))</f>
        <v/>
      </c>
      <c r="F3402" s="63"/>
      <c r="G3402" s="63"/>
      <c r="H3402" s="60"/>
      <c r="I3402" s="60"/>
      <c r="J3402" s="63"/>
      <c r="K3402" s="61" t="str">
        <f aca="false">IF($P3402=0,"",IF($F3402="Baseline","— Baseline",IF($O3402=0,"No result",IF($N3402=0,"No Start (attainment only)",IF(OR($N3402=1,$O3402=1),"U – needs rule",INDEX(MxBody,MATCH($I3402,MxCurr,0),MATCH($H3402,MxStart,0)))))))</f>
        <v/>
      </c>
      <c r="L3402" s="62" t="str">
        <f aca="false">IF(COUNTA($A3402,$F3402,$G3402,$H3402,$I3402,$J3402)=0,"",IF($M3402=0,"✖ كود الصف غير موجود",IF(ISNA(MATCH($F3402,Lists!$A$2:$A$5,0)),"✖ الفترة غير صحيحة",IF(ISNA(MATCH($G3402,Lists!$B$2:$B$7,0)),"✖ المجموعة غير صحيحة",IF(NOT(OR($H3402="",$N3402&gt;0)),"✖ Start غير صحيح",IF(NOT(OR($I3402="",$I3402="NR",$O3402&gt;0)),"✖ Current غير صحيح",IF(NOT(IF(ISNUMBER($J3402),AND($J3402&gt;=0,$J3402=INT($J3402)),FALSE())),"✖ العدد يجب أن يكون صحيحًا ≥ 0",IF(AND($F3402="Baseline",$H3402&lt;&gt;""),"⚠ Baseline: Start لا يدخل في التقدم",IF($K3402="No Start (attainment only)","ℹ تحصيل فقط (بدون Start)",IF($K3402="U – needs rule","ℹ حالة U تحتاج قاعدة معتمدة",IF($K3402="No result","ℹ بدون نتيجة (يُستبعد من التحصيل)","OK")))))))))))</f>
        <v/>
      </c>
      <c r="M3402" s="64" t="n">
        <f aca="false">IF($A3402="",0,IFERROR(MATCH($A3402,Classes!$A$6:$A$420,0),0))</f>
        <v>0</v>
      </c>
      <c r="N3402" s="64" t="n">
        <f aca="false">IF($H3402="",0,IFERROR(MATCH($H3402,GradeList,0),0))</f>
        <v>0</v>
      </c>
      <c r="O3402" s="64" t="n">
        <f aca="false">IF(OR($I3402="",$I3402="NR"),0,IFERROR(MATCH($I3402,GradeList,0),0))</f>
        <v>0</v>
      </c>
      <c r="P3402" s="64" t="n">
        <f aca="false">IF(AND($M3402&gt;0,ISNUMBER(MATCH($F3402,Lists!$A$2:$A$5,0)),ISNUMBER(MATCH($G3402,Lists!$B$2:$B$7,0)),OR($H3402="",$N3402&gt;0),OR($I3402="",$I3402="NR",$O3402&gt;0),IF(ISNUMBER($J3402),AND($J3402&gt;=0,$J3402=INT($J3402)),FALSE())),$J3402,0)</f>
        <v>0</v>
      </c>
      <c r="Q3402" s="64" t="n">
        <f aca="false">IF(AND($P3402&gt;0,$O3402&gt;0),$P3402,0)</f>
        <v>0</v>
      </c>
      <c r="R3402" s="64" t="n">
        <f aca="false">IF(AND($Q3402&gt;0,$O3402&gt;=AtRank),$Q3402,0)</f>
        <v>0</v>
      </c>
      <c r="S3402" s="64" t="n">
        <f aca="false">IF(AND($Q3402&gt;0,$O3402&gt;=AboveRank),$Q3402,0)</f>
        <v>0</v>
      </c>
      <c r="T3402" s="64" t="n">
        <f aca="false">IF($K3402="Less",$P3402,0)</f>
        <v>0</v>
      </c>
      <c r="U3402" s="64" t="n">
        <f aca="false">IF($K3402="Expected",$P3402,0)</f>
        <v>0</v>
      </c>
      <c r="V3402" s="64" t="n">
        <f aca="false">IF($K3402="Better",$P3402,0)</f>
        <v>0</v>
      </c>
      <c r="W3402" s="64" t="n">
        <f aca="false">IF($K3402="U – needs rule",$P3402,0)</f>
        <v>0</v>
      </c>
      <c r="X3402" s="64" t="n">
        <f aca="false">IF($K3402="No Start (attainment only)",$P3402,0)</f>
        <v>0</v>
      </c>
    </row>
    <row r="3403" customFormat="false" ht="15" hidden="false" customHeight="false" outlineLevel="0" collapsed="false">
      <c r="A3403" s="60"/>
      <c r="B3403" s="61" t="str">
        <f aca="false">IF($M3403=0,"",INDEX(Classes!$E$6:$E$420,$M3403))</f>
        <v/>
      </c>
      <c r="C3403" s="62" t="str">
        <f aca="false">IF($M3403=0,"",INDEX(Classes!$H$6:$H$420,$M3403))</f>
        <v/>
      </c>
      <c r="D3403" s="61" t="str">
        <f aca="false">IF($M3403=0,"",INDEX(Classes!$B$6:$B$420,$M3403))</f>
        <v/>
      </c>
      <c r="E3403" s="61" t="str">
        <f aca="false">IF($M3403=0,"",INDEX(Classes!$C$6:$C$420,$M3403))</f>
        <v/>
      </c>
      <c r="F3403" s="63"/>
      <c r="G3403" s="63"/>
      <c r="H3403" s="60"/>
      <c r="I3403" s="60"/>
      <c r="J3403" s="63"/>
      <c r="K3403" s="61" t="str">
        <f aca="false">IF($P3403=0,"",IF($F3403="Baseline","— Baseline",IF($O3403=0,"No result",IF($N3403=0,"No Start (attainment only)",IF(OR($N3403=1,$O3403=1),"U – needs rule",INDEX(MxBody,MATCH($I3403,MxCurr,0),MATCH($H3403,MxStart,0)))))))</f>
        <v/>
      </c>
      <c r="L3403" s="62" t="str">
        <f aca="false">IF(COUNTA($A3403,$F3403,$G3403,$H3403,$I3403,$J3403)=0,"",IF($M3403=0,"✖ كود الصف غير موجود",IF(ISNA(MATCH($F3403,Lists!$A$2:$A$5,0)),"✖ الفترة غير صحيحة",IF(ISNA(MATCH($G3403,Lists!$B$2:$B$7,0)),"✖ المجموعة غير صحيحة",IF(NOT(OR($H3403="",$N3403&gt;0)),"✖ Start غير صحيح",IF(NOT(OR($I3403="",$I3403="NR",$O3403&gt;0)),"✖ Current غير صحيح",IF(NOT(IF(ISNUMBER($J3403),AND($J3403&gt;=0,$J3403=INT($J3403)),FALSE())),"✖ العدد يجب أن يكون صحيحًا ≥ 0",IF(AND($F3403="Baseline",$H3403&lt;&gt;""),"⚠ Baseline: Start لا يدخل في التقدم",IF($K3403="No Start (attainment only)","ℹ تحصيل فقط (بدون Start)",IF($K3403="U – needs rule","ℹ حالة U تحتاج قاعدة معتمدة",IF($K3403="No result","ℹ بدون نتيجة (يُستبعد من التحصيل)","OK")))))))))))</f>
        <v/>
      </c>
      <c r="M3403" s="64" t="n">
        <f aca="false">IF($A3403="",0,IFERROR(MATCH($A3403,Classes!$A$6:$A$420,0),0))</f>
        <v>0</v>
      </c>
      <c r="N3403" s="64" t="n">
        <f aca="false">IF($H3403="",0,IFERROR(MATCH($H3403,GradeList,0),0))</f>
        <v>0</v>
      </c>
      <c r="O3403" s="64" t="n">
        <f aca="false">IF(OR($I3403="",$I3403="NR"),0,IFERROR(MATCH($I3403,GradeList,0),0))</f>
        <v>0</v>
      </c>
      <c r="P3403" s="64" t="n">
        <f aca="false">IF(AND($M3403&gt;0,ISNUMBER(MATCH($F3403,Lists!$A$2:$A$5,0)),ISNUMBER(MATCH($G3403,Lists!$B$2:$B$7,0)),OR($H3403="",$N3403&gt;0),OR($I3403="",$I3403="NR",$O3403&gt;0),IF(ISNUMBER($J3403),AND($J3403&gt;=0,$J3403=INT($J3403)),FALSE())),$J3403,0)</f>
        <v>0</v>
      </c>
      <c r="Q3403" s="64" t="n">
        <f aca="false">IF(AND($P3403&gt;0,$O3403&gt;0),$P3403,0)</f>
        <v>0</v>
      </c>
      <c r="R3403" s="64" t="n">
        <f aca="false">IF(AND($Q3403&gt;0,$O3403&gt;=AtRank),$Q3403,0)</f>
        <v>0</v>
      </c>
      <c r="S3403" s="64" t="n">
        <f aca="false">IF(AND($Q3403&gt;0,$O3403&gt;=AboveRank),$Q3403,0)</f>
        <v>0</v>
      </c>
      <c r="T3403" s="64" t="n">
        <f aca="false">IF($K3403="Less",$P3403,0)</f>
        <v>0</v>
      </c>
      <c r="U3403" s="64" t="n">
        <f aca="false">IF($K3403="Expected",$P3403,0)</f>
        <v>0</v>
      </c>
      <c r="V3403" s="64" t="n">
        <f aca="false">IF($K3403="Better",$P3403,0)</f>
        <v>0</v>
      </c>
      <c r="W3403" s="64" t="n">
        <f aca="false">IF($K3403="U – needs rule",$P3403,0)</f>
        <v>0</v>
      </c>
      <c r="X3403" s="64" t="n">
        <f aca="false">IF($K3403="No Start (attainment only)",$P3403,0)</f>
        <v>0</v>
      </c>
    </row>
    <row r="3404" customFormat="false" ht="15" hidden="false" customHeight="false" outlineLevel="0" collapsed="false">
      <c r="A3404" s="60"/>
      <c r="B3404" s="61" t="str">
        <f aca="false">IF($M3404=0,"",INDEX(Classes!$E$6:$E$420,$M3404))</f>
        <v/>
      </c>
      <c r="C3404" s="62" t="str">
        <f aca="false">IF($M3404=0,"",INDEX(Classes!$H$6:$H$420,$M3404))</f>
        <v/>
      </c>
      <c r="D3404" s="61" t="str">
        <f aca="false">IF($M3404=0,"",INDEX(Classes!$B$6:$B$420,$M3404))</f>
        <v/>
      </c>
      <c r="E3404" s="61" t="str">
        <f aca="false">IF($M3404=0,"",INDEX(Classes!$C$6:$C$420,$M3404))</f>
        <v/>
      </c>
      <c r="F3404" s="63"/>
      <c r="G3404" s="63"/>
      <c r="H3404" s="60"/>
      <c r="I3404" s="60"/>
      <c r="J3404" s="63"/>
      <c r="K3404" s="61" t="str">
        <f aca="false">IF($P3404=0,"",IF($F3404="Baseline","— Baseline",IF($O3404=0,"No result",IF($N3404=0,"No Start (attainment only)",IF(OR($N3404=1,$O3404=1),"U – needs rule",INDEX(MxBody,MATCH($I3404,MxCurr,0),MATCH($H3404,MxStart,0)))))))</f>
        <v/>
      </c>
      <c r="L3404" s="62" t="str">
        <f aca="false">IF(COUNTA($A3404,$F3404,$G3404,$H3404,$I3404,$J3404)=0,"",IF($M3404=0,"✖ كود الصف غير موجود",IF(ISNA(MATCH($F3404,Lists!$A$2:$A$5,0)),"✖ الفترة غير صحيحة",IF(ISNA(MATCH($G3404,Lists!$B$2:$B$7,0)),"✖ المجموعة غير صحيحة",IF(NOT(OR($H3404="",$N3404&gt;0)),"✖ Start غير صحيح",IF(NOT(OR($I3404="",$I3404="NR",$O3404&gt;0)),"✖ Current غير صحيح",IF(NOT(IF(ISNUMBER($J3404),AND($J3404&gt;=0,$J3404=INT($J3404)),FALSE())),"✖ العدد يجب أن يكون صحيحًا ≥ 0",IF(AND($F3404="Baseline",$H3404&lt;&gt;""),"⚠ Baseline: Start لا يدخل في التقدم",IF($K3404="No Start (attainment only)","ℹ تحصيل فقط (بدون Start)",IF($K3404="U – needs rule","ℹ حالة U تحتاج قاعدة معتمدة",IF($K3404="No result","ℹ بدون نتيجة (يُستبعد من التحصيل)","OK")))))))))))</f>
        <v/>
      </c>
      <c r="M3404" s="64" t="n">
        <f aca="false">IF($A3404="",0,IFERROR(MATCH($A3404,Classes!$A$6:$A$420,0),0))</f>
        <v>0</v>
      </c>
      <c r="N3404" s="64" t="n">
        <f aca="false">IF($H3404="",0,IFERROR(MATCH($H3404,GradeList,0),0))</f>
        <v>0</v>
      </c>
      <c r="O3404" s="64" t="n">
        <f aca="false">IF(OR($I3404="",$I3404="NR"),0,IFERROR(MATCH($I3404,GradeList,0),0))</f>
        <v>0</v>
      </c>
      <c r="P3404" s="64" t="n">
        <f aca="false">IF(AND($M3404&gt;0,ISNUMBER(MATCH($F3404,Lists!$A$2:$A$5,0)),ISNUMBER(MATCH($G3404,Lists!$B$2:$B$7,0)),OR($H3404="",$N3404&gt;0),OR($I3404="",$I3404="NR",$O3404&gt;0),IF(ISNUMBER($J3404),AND($J3404&gt;=0,$J3404=INT($J3404)),FALSE())),$J3404,0)</f>
        <v>0</v>
      </c>
      <c r="Q3404" s="64" t="n">
        <f aca="false">IF(AND($P3404&gt;0,$O3404&gt;0),$P3404,0)</f>
        <v>0</v>
      </c>
      <c r="R3404" s="64" t="n">
        <f aca="false">IF(AND($Q3404&gt;0,$O3404&gt;=AtRank),$Q3404,0)</f>
        <v>0</v>
      </c>
      <c r="S3404" s="64" t="n">
        <f aca="false">IF(AND($Q3404&gt;0,$O3404&gt;=AboveRank),$Q3404,0)</f>
        <v>0</v>
      </c>
      <c r="T3404" s="64" t="n">
        <f aca="false">IF($K3404="Less",$P3404,0)</f>
        <v>0</v>
      </c>
      <c r="U3404" s="64" t="n">
        <f aca="false">IF($K3404="Expected",$P3404,0)</f>
        <v>0</v>
      </c>
      <c r="V3404" s="64" t="n">
        <f aca="false">IF($K3404="Better",$P3404,0)</f>
        <v>0</v>
      </c>
      <c r="W3404" s="64" t="n">
        <f aca="false">IF($K3404="U – needs rule",$P3404,0)</f>
        <v>0</v>
      </c>
      <c r="X3404" s="64" t="n">
        <f aca="false">IF($K3404="No Start (attainment only)",$P3404,0)</f>
        <v>0</v>
      </c>
    </row>
    <row r="3405" customFormat="false" ht="15" hidden="false" customHeight="false" outlineLevel="0" collapsed="false">
      <c r="A3405" s="60"/>
      <c r="B3405" s="61" t="str">
        <f aca="false">IF($M3405=0,"",INDEX(Classes!$E$6:$E$420,$M3405))</f>
        <v/>
      </c>
      <c r="C3405" s="62" t="str">
        <f aca="false">IF($M3405=0,"",INDEX(Classes!$H$6:$H$420,$M3405))</f>
        <v/>
      </c>
      <c r="D3405" s="61" t="str">
        <f aca="false">IF($M3405=0,"",INDEX(Classes!$B$6:$B$420,$M3405))</f>
        <v/>
      </c>
      <c r="E3405" s="61" t="str">
        <f aca="false">IF($M3405=0,"",INDEX(Classes!$C$6:$C$420,$M3405))</f>
        <v/>
      </c>
      <c r="F3405" s="63"/>
      <c r="G3405" s="63"/>
      <c r="H3405" s="60"/>
      <c r="I3405" s="60"/>
      <c r="J3405" s="63"/>
      <c r="K3405" s="61" t="str">
        <f aca="false">IF($P3405=0,"",IF($F3405="Baseline","— Baseline",IF($O3405=0,"No result",IF($N3405=0,"No Start (attainment only)",IF(OR($N3405=1,$O3405=1),"U – needs rule",INDEX(MxBody,MATCH($I3405,MxCurr,0),MATCH($H3405,MxStart,0)))))))</f>
        <v/>
      </c>
      <c r="L3405" s="62" t="str">
        <f aca="false">IF(COUNTA($A3405,$F3405,$G3405,$H3405,$I3405,$J3405)=0,"",IF($M3405=0,"✖ كود الصف غير موجود",IF(ISNA(MATCH($F3405,Lists!$A$2:$A$5,0)),"✖ الفترة غير صحيحة",IF(ISNA(MATCH($G3405,Lists!$B$2:$B$7,0)),"✖ المجموعة غير صحيحة",IF(NOT(OR($H3405="",$N3405&gt;0)),"✖ Start غير صحيح",IF(NOT(OR($I3405="",$I3405="NR",$O3405&gt;0)),"✖ Current غير صحيح",IF(NOT(IF(ISNUMBER($J3405),AND($J3405&gt;=0,$J3405=INT($J3405)),FALSE())),"✖ العدد يجب أن يكون صحيحًا ≥ 0",IF(AND($F3405="Baseline",$H3405&lt;&gt;""),"⚠ Baseline: Start لا يدخل في التقدم",IF($K3405="No Start (attainment only)","ℹ تحصيل فقط (بدون Start)",IF($K3405="U – needs rule","ℹ حالة U تحتاج قاعدة معتمدة",IF($K3405="No result","ℹ بدون نتيجة (يُستبعد من التحصيل)","OK")))))))))))</f>
        <v/>
      </c>
      <c r="M3405" s="64" t="n">
        <f aca="false">IF($A3405="",0,IFERROR(MATCH($A3405,Classes!$A$6:$A$420,0),0))</f>
        <v>0</v>
      </c>
      <c r="N3405" s="64" t="n">
        <f aca="false">IF($H3405="",0,IFERROR(MATCH($H3405,GradeList,0),0))</f>
        <v>0</v>
      </c>
      <c r="O3405" s="64" t="n">
        <f aca="false">IF(OR($I3405="",$I3405="NR"),0,IFERROR(MATCH($I3405,GradeList,0),0))</f>
        <v>0</v>
      </c>
      <c r="P3405" s="64" t="n">
        <f aca="false">IF(AND($M3405&gt;0,ISNUMBER(MATCH($F3405,Lists!$A$2:$A$5,0)),ISNUMBER(MATCH($G3405,Lists!$B$2:$B$7,0)),OR($H3405="",$N3405&gt;0),OR($I3405="",$I3405="NR",$O3405&gt;0),IF(ISNUMBER($J3405),AND($J3405&gt;=0,$J3405=INT($J3405)),FALSE())),$J3405,0)</f>
        <v>0</v>
      </c>
      <c r="Q3405" s="64" t="n">
        <f aca="false">IF(AND($P3405&gt;0,$O3405&gt;0),$P3405,0)</f>
        <v>0</v>
      </c>
      <c r="R3405" s="64" t="n">
        <f aca="false">IF(AND($Q3405&gt;0,$O3405&gt;=AtRank),$Q3405,0)</f>
        <v>0</v>
      </c>
      <c r="S3405" s="64" t="n">
        <f aca="false">IF(AND($Q3405&gt;0,$O3405&gt;=AboveRank),$Q3405,0)</f>
        <v>0</v>
      </c>
      <c r="T3405" s="64" t="n">
        <f aca="false">IF($K3405="Less",$P3405,0)</f>
        <v>0</v>
      </c>
      <c r="U3405" s="64" t="n">
        <f aca="false">IF($K3405="Expected",$P3405,0)</f>
        <v>0</v>
      </c>
      <c r="V3405" s="64" t="n">
        <f aca="false">IF($K3405="Better",$P3405,0)</f>
        <v>0</v>
      </c>
      <c r="W3405" s="64" t="n">
        <f aca="false">IF($K3405="U – needs rule",$P3405,0)</f>
        <v>0</v>
      </c>
      <c r="X3405" s="64" t="n">
        <f aca="false">IF($K3405="No Start (attainment only)",$P3405,0)</f>
        <v>0</v>
      </c>
    </row>
    <row r="3406" customFormat="false" ht="15" hidden="false" customHeight="false" outlineLevel="0" collapsed="false">
      <c r="A3406" s="60"/>
      <c r="B3406" s="61" t="str">
        <f aca="false">IF($M3406=0,"",INDEX(Classes!$E$6:$E$420,$M3406))</f>
        <v/>
      </c>
      <c r="C3406" s="62" t="str">
        <f aca="false">IF($M3406=0,"",INDEX(Classes!$H$6:$H$420,$M3406))</f>
        <v/>
      </c>
      <c r="D3406" s="61" t="str">
        <f aca="false">IF($M3406=0,"",INDEX(Classes!$B$6:$B$420,$M3406))</f>
        <v/>
      </c>
      <c r="E3406" s="61" t="str">
        <f aca="false">IF($M3406=0,"",INDEX(Classes!$C$6:$C$420,$M3406))</f>
        <v/>
      </c>
      <c r="F3406" s="63"/>
      <c r="G3406" s="63"/>
      <c r="H3406" s="60"/>
      <c r="I3406" s="60"/>
      <c r="J3406" s="63"/>
      <c r="K3406" s="61" t="str">
        <f aca="false">IF($P3406=0,"",IF($F3406="Baseline","— Baseline",IF($O3406=0,"No result",IF($N3406=0,"No Start (attainment only)",IF(OR($N3406=1,$O3406=1),"U – needs rule",INDEX(MxBody,MATCH($I3406,MxCurr,0),MATCH($H3406,MxStart,0)))))))</f>
        <v/>
      </c>
      <c r="L3406" s="62" t="str">
        <f aca="false">IF(COUNTA($A3406,$F3406,$G3406,$H3406,$I3406,$J3406)=0,"",IF($M3406=0,"✖ كود الصف غير موجود",IF(ISNA(MATCH($F3406,Lists!$A$2:$A$5,0)),"✖ الفترة غير صحيحة",IF(ISNA(MATCH($G3406,Lists!$B$2:$B$7,0)),"✖ المجموعة غير صحيحة",IF(NOT(OR($H3406="",$N3406&gt;0)),"✖ Start غير صحيح",IF(NOT(OR($I3406="",$I3406="NR",$O3406&gt;0)),"✖ Current غير صحيح",IF(NOT(IF(ISNUMBER($J3406),AND($J3406&gt;=0,$J3406=INT($J3406)),FALSE())),"✖ العدد يجب أن يكون صحيحًا ≥ 0",IF(AND($F3406="Baseline",$H3406&lt;&gt;""),"⚠ Baseline: Start لا يدخل في التقدم",IF($K3406="No Start (attainment only)","ℹ تحصيل فقط (بدون Start)",IF($K3406="U – needs rule","ℹ حالة U تحتاج قاعدة معتمدة",IF($K3406="No result","ℹ بدون نتيجة (يُستبعد من التحصيل)","OK")))))))))))</f>
        <v/>
      </c>
      <c r="M3406" s="64" t="n">
        <f aca="false">IF($A3406="",0,IFERROR(MATCH($A3406,Classes!$A$6:$A$420,0),0))</f>
        <v>0</v>
      </c>
      <c r="N3406" s="64" t="n">
        <f aca="false">IF($H3406="",0,IFERROR(MATCH($H3406,GradeList,0),0))</f>
        <v>0</v>
      </c>
      <c r="O3406" s="64" t="n">
        <f aca="false">IF(OR($I3406="",$I3406="NR"),0,IFERROR(MATCH($I3406,GradeList,0),0))</f>
        <v>0</v>
      </c>
      <c r="P3406" s="64" t="n">
        <f aca="false">IF(AND($M3406&gt;0,ISNUMBER(MATCH($F3406,Lists!$A$2:$A$5,0)),ISNUMBER(MATCH($G3406,Lists!$B$2:$B$7,0)),OR($H3406="",$N3406&gt;0),OR($I3406="",$I3406="NR",$O3406&gt;0),IF(ISNUMBER($J3406),AND($J3406&gt;=0,$J3406=INT($J3406)),FALSE())),$J3406,0)</f>
        <v>0</v>
      </c>
      <c r="Q3406" s="64" t="n">
        <f aca="false">IF(AND($P3406&gt;0,$O3406&gt;0),$P3406,0)</f>
        <v>0</v>
      </c>
      <c r="R3406" s="64" t="n">
        <f aca="false">IF(AND($Q3406&gt;0,$O3406&gt;=AtRank),$Q3406,0)</f>
        <v>0</v>
      </c>
      <c r="S3406" s="64" t="n">
        <f aca="false">IF(AND($Q3406&gt;0,$O3406&gt;=AboveRank),$Q3406,0)</f>
        <v>0</v>
      </c>
      <c r="T3406" s="64" t="n">
        <f aca="false">IF($K3406="Less",$P3406,0)</f>
        <v>0</v>
      </c>
      <c r="U3406" s="64" t="n">
        <f aca="false">IF($K3406="Expected",$P3406,0)</f>
        <v>0</v>
      </c>
      <c r="V3406" s="64" t="n">
        <f aca="false">IF($K3406="Better",$P3406,0)</f>
        <v>0</v>
      </c>
      <c r="W3406" s="64" t="n">
        <f aca="false">IF($K3406="U – needs rule",$P3406,0)</f>
        <v>0</v>
      </c>
      <c r="X3406" s="64" t="n">
        <f aca="false">IF($K3406="No Start (attainment only)",$P3406,0)</f>
        <v>0</v>
      </c>
    </row>
    <row r="3407" customFormat="false" ht="15" hidden="false" customHeight="false" outlineLevel="0" collapsed="false">
      <c r="A3407" s="60"/>
      <c r="B3407" s="61" t="str">
        <f aca="false">IF($M3407=0,"",INDEX(Classes!$E$6:$E$420,$M3407))</f>
        <v/>
      </c>
      <c r="C3407" s="62" t="str">
        <f aca="false">IF($M3407=0,"",INDEX(Classes!$H$6:$H$420,$M3407))</f>
        <v/>
      </c>
      <c r="D3407" s="61" t="str">
        <f aca="false">IF($M3407=0,"",INDEX(Classes!$B$6:$B$420,$M3407))</f>
        <v/>
      </c>
      <c r="E3407" s="61" t="str">
        <f aca="false">IF($M3407=0,"",INDEX(Classes!$C$6:$C$420,$M3407))</f>
        <v/>
      </c>
      <c r="F3407" s="63"/>
      <c r="G3407" s="63"/>
      <c r="H3407" s="60"/>
      <c r="I3407" s="60"/>
      <c r="J3407" s="63"/>
      <c r="K3407" s="61" t="str">
        <f aca="false">IF($P3407=0,"",IF($F3407="Baseline","— Baseline",IF($O3407=0,"No result",IF($N3407=0,"No Start (attainment only)",IF(OR($N3407=1,$O3407=1),"U – needs rule",INDEX(MxBody,MATCH($I3407,MxCurr,0),MATCH($H3407,MxStart,0)))))))</f>
        <v/>
      </c>
      <c r="L3407" s="62" t="str">
        <f aca="false">IF(COUNTA($A3407,$F3407,$G3407,$H3407,$I3407,$J3407)=0,"",IF($M3407=0,"✖ كود الصف غير موجود",IF(ISNA(MATCH($F3407,Lists!$A$2:$A$5,0)),"✖ الفترة غير صحيحة",IF(ISNA(MATCH($G3407,Lists!$B$2:$B$7,0)),"✖ المجموعة غير صحيحة",IF(NOT(OR($H3407="",$N3407&gt;0)),"✖ Start غير صحيح",IF(NOT(OR($I3407="",$I3407="NR",$O3407&gt;0)),"✖ Current غير صحيح",IF(NOT(IF(ISNUMBER($J3407),AND($J3407&gt;=0,$J3407=INT($J3407)),FALSE())),"✖ العدد يجب أن يكون صحيحًا ≥ 0",IF(AND($F3407="Baseline",$H3407&lt;&gt;""),"⚠ Baseline: Start لا يدخل في التقدم",IF($K3407="No Start (attainment only)","ℹ تحصيل فقط (بدون Start)",IF($K3407="U – needs rule","ℹ حالة U تحتاج قاعدة معتمدة",IF($K3407="No result","ℹ بدون نتيجة (يُستبعد من التحصيل)","OK")))))))))))</f>
        <v/>
      </c>
      <c r="M3407" s="64" t="n">
        <f aca="false">IF($A3407="",0,IFERROR(MATCH($A3407,Classes!$A$6:$A$420,0),0))</f>
        <v>0</v>
      </c>
      <c r="N3407" s="64" t="n">
        <f aca="false">IF($H3407="",0,IFERROR(MATCH($H3407,GradeList,0),0))</f>
        <v>0</v>
      </c>
      <c r="O3407" s="64" t="n">
        <f aca="false">IF(OR($I3407="",$I3407="NR"),0,IFERROR(MATCH($I3407,GradeList,0),0))</f>
        <v>0</v>
      </c>
      <c r="P3407" s="64" t="n">
        <f aca="false">IF(AND($M3407&gt;0,ISNUMBER(MATCH($F3407,Lists!$A$2:$A$5,0)),ISNUMBER(MATCH($G3407,Lists!$B$2:$B$7,0)),OR($H3407="",$N3407&gt;0),OR($I3407="",$I3407="NR",$O3407&gt;0),IF(ISNUMBER($J3407),AND($J3407&gt;=0,$J3407=INT($J3407)),FALSE())),$J3407,0)</f>
        <v>0</v>
      </c>
      <c r="Q3407" s="64" t="n">
        <f aca="false">IF(AND($P3407&gt;0,$O3407&gt;0),$P3407,0)</f>
        <v>0</v>
      </c>
      <c r="R3407" s="64" t="n">
        <f aca="false">IF(AND($Q3407&gt;0,$O3407&gt;=AtRank),$Q3407,0)</f>
        <v>0</v>
      </c>
      <c r="S3407" s="64" t="n">
        <f aca="false">IF(AND($Q3407&gt;0,$O3407&gt;=AboveRank),$Q3407,0)</f>
        <v>0</v>
      </c>
      <c r="T3407" s="64" t="n">
        <f aca="false">IF($K3407="Less",$P3407,0)</f>
        <v>0</v>
      </c>
      <c r="U3407" s="64" t="n">
        <f aca="false">IF($K3407="Expected",$P3407,0)</f>
        <v>0</v>
      </c>
      <c r="V3407" s="64" t="n">
        <f aca="false">IF($K3407="Better",$P3407,0)</f>
        <v>0</v>
      </c>
      <c r="W3407" s="64" t="n">
        <f aca="false">IF($K3407="U – needs rule",$P3407,0)</f>
        <v>0</v>
      </c>
      <c r="X3407" s="64" t="n">
        <f aca="false">IF($K3407="No Start (attainment only)",$P3407,0)</f>
        <v>0</v>
      </c>
    </row>
    <row r="3408" customFormat="false" ht="15" hidden="false" customHeight="false" outlineLevel="0" collapsed="false">
      <c r="A3408" s="60"/>
      <c r="B3408" s="61" t="str">
        <f aca="false">IF($M3408=0,"",INDEX(Classes!$E$6:$E$420,$M3408))</f>
        <v/>
      </c>
      <c r="C3408" s="62" t="str">
        <f aca="false">IF($M3408=0,"",INDEX(Classes!$H$6:$H$420,$M3408))</f>
        <v/>
      </c>
      <c r="D3408" s="61" t="str">
        <f aca="false">IF($M3408=0,"",INDEX(Classes!$B$6:$B$420,$M3408))</f>
        <v/>
      </c>
      <c r="E3408" s="61" t="str">
        <f aca="false">IF($M3408=0,"",INDEX(Classes!$C$6:$C$420,$M3408))</f>
        <v/>
      </c>
      <c r="F3408" s="63"/>
      <c r="G3408" s="63"/>
      <c r="H3408" s="60"/>
      <c r="I3408" s="60"/>
      <c r="J3408" s="63"/>
      <c r="K3408" s="61" t="str">
        <f aca="false">IF($P3408=0,"",IF($F3408="Baseline","— Baseline",IF($O3408=0,"No result",IF($N3408=0,"No Start (attainment only)",IF(OR($N3408=1,$O3408=1),"U – needs rule",INDEX(MxBody,MATCH($I3408,MxCurr,0),MATCH($H3408,MxStart,0)))))))</f>
        <v/>
      </c>
      <c r="L3408" s="62" t="str">
        <f aca="false">IF(COUNTA($A3408,$F3408,$G3408,$H3408,$I3408,$J3408)=0,"",IF($M3408=0,"✖ كود الصف غير موجود",IF(ISNA(MATCH($F3408,Lists!$A$2:$A$5,0)),"✖ الفترة غير صحيحة",IF(ISNA(MATCH($G3408,Lists!$B$2:$B$7,0)),"✖ المجموعة غير صحيحة",IF(NOT(OR($H3408="",$N3408&gt;0)),"✖ Start غير صحيح",IF(NOT(OR($I3408="",$I3408="NR",$O3408&gt;0)),"✖ Current غير صحيح",IF(NOT(IF(ISNUMBER($J3408),AND($J3408&gt;=0,$J3408=INT($J3408)),FALSE())),"✖ العدد يجب أن يكون صحيحًا ≥ 0",IF(AND($F3408="Baseline",$H3408&lt;&gt;""),"⚠ Baseline: Start لا يدخل في التقدم",IF($K3408="No Start (attainment only)","ℹ تحصيل فقط (بدون Start)",IF($K3408="U – needs rule","ℹ حالة U تحتاج قاعدة معتمدة",IF($K3408="No result","ℹ بدون نتيجة (يُستبعد من التحصيل)","OK")))))))))))</f>
        <v/>
      </c>
      <c r="M3408" s="64" t="n">
        <f aca="false">IF($A3408="",0,IFERROR(MATCH($A3408,Classes!$A$6:$A$420,0),0))</f>
        <v>0</v>
      </c>
      <c r="N3408" s="64" t="n">
        <f aca="false">IF($H3408="",0,IFERROR(MATCH($H3408,GradeList,0),0))</f>
        <v>0</v>
      </c>
      <c r="O3408" s="64" t="n">
        <f aca="false">IF(OR($I3408="",$I3408="NR"),0,IFERROR(MATCH($I3408,GradeList,0),0))</f>
        <v>0</v>
      </c>
      <c r="P3408" s="64" t="n">
        <f aca="false">IF(AND($M3408&gt;0,ISNUMBER(MATCH($F3408,Lists!$A$2:$A$5,0)),ISNUMBER(MATCH($G3408,Lists!$B$2:$B$7,0)),OR($H3408="",$N3408&gt;0),OR($I3408="",$I3408="NR",$O3408&gt;0),IF(ISNUMBER($J3408),AND($J3408&gt;=0,$J3408=INT($J3408)),FALSE())),$J3408,0)</f>
        <v>0</v>
      </c>
      <c r="Q3408" s="64" t="n">
        <f aca="false">IF(AND($P3408&gt;0,$O3408&gt;0),$P3408,0)</f>
        <v>0</v>
      </c>
      <c r="R3408" s="64" t="n">
        <f aca="false">IF(AND($Q3408&gt;0,$O3408&gt;=AtRank),$Q3408,0)</f>
        <v>0</v>
      </c>
      <c r="S3408" s="64" t="n">
        <f aca="false">IF(AND($Q3408&gt;0,$O3408&gt;=AboveRank),$Q3408,0)</f>
        <v>0</v>
      </c>
      <c r="T3408" s="64" t="n">
        <f aca="false">IF($K3408="Less",$P3408,0)</f>
        <v>0</v>
      </c>
      <c r="U3408" s="64" t="n">
        <f aca="false">IF($K3408="Expected",$P3408,0)</f>
        <v>0</v>
      </c>
      <c r="V3408" s="64" t="n">
        <f aca="false">IF($K3408="Better",$P3408,0)</f>
        <v>0</v>
      </c>
      <c r="W3408" s="64" t="n">
        <f aca="false">IF($K3408="U – needs rule",$P3408,0)</f>
        <v>0</v>
      </c>
      <c r="X3408" s="64" t="n">
        <f aca="false">IF($K3408="No Start (attainment only)",$P3408,0)</f>
        <v>0</v>
      </c>
    </row>
    <row r="3409" customFormat="false" ht="15" hidden="false" customHeight="false" outlineLevel="0" collapsed="false">
      <c r="A3409" s="60"/>
      <c r="B3409" s="61" t="str">
        <f aca="false">IF($M3409=0,"",INDEX(Classes!$E$6:$E$420,$M3409))</f>
        <v/>
      </c>
      <c r="C3409" s="62" t="str">
        <f aca="false">IF($M3409=0,"",INDEX(Classes!$H$6:$H$420,$M3409))</f>
        <v/>
      </c>
      <c r="D3409" s="61" t="str">
        <f aca="false">IF($M3409=0,"",INDEX(Classes!$B$6:$B$420,$M3409))</f>
        <v/>
      </c>
      <c r="E3409" s="61" t="str">
        <f aca="false">IF($M3409=0,"",INDEX(Classes!$C$6:$C$420,$M3409))</f>
        <v/>
      </c>
      <c r="F3409" s="63"/>
      <c r="G3409" s="63"/>
      <c r="H3409" s="60"/>
      <c r="I3409" s="60"/>
      <c r="J3409" s="63"/>
      <c r="K3409" s="61" t="str">
        <f aca="false">IF($P3409=0,"",IF($F3409="Baseline","— Baseline",IF($O3409=0,"No result",IF($N3409=0,"No Start (attainment only)",IF(OR($N3409=1,$O3409=1),"U – needs rule",INDEX(MxBody,MATCH($I3409,MxCurr,0),MATCH($H3409,MxStart,0)))))))</f>
        <v/>
      </c>
      <c r="L3409" s="62" t="str">
        <f aca="false">IF(COUNTA($A3409,$F3409,$G3409,$H3409,$I3409,$J3409)=0,"",IF($M3409=0,"✖ كود الصف غير موجود",IF(ISNA(MATCH($F3409,Lists!$A$2:$A$5,0)),"✖ الفترة غير صحيحة",IF(ISNA(MATCH($G3409,Lists!$B$2:$B$7,0)),"✖ المجموعة غير صحيحة",IF(NOT(OR($H3409="",$N3409&gt;0)),"✖ Start غير صحيح",IF(NOT(OR($I3409="",$I3409="NR",$O3409&gt;0)),"✖ Current غير صحيح",IF(NOT(IF(ISNUMBER($J3409),AND($J3409&gt;=0,$J3409=INT($J3409)),FALSE())),"✖ العدد يجب أن يكون صحيحًا ≥ 0",IF(AND($F3409="Baseline",$H3409&lt;&gt;""),"⚠ Baseline: Start لا يدخل في التقدم",IF($K3409="No Start (attainment only)","ℹ تحصيل فقط (بدون Start)",IF($K3409="U – needs rule","ℹ حالة U تحتاج قاعدة معتمدة",IF($K3409="No result","ℹ بدون نتيجة (يُستبعد من التحصيل)","OK")))))))))))</f>
        <v/>
      </c>
      <c r="M3409" s="64" t="n">
        <f aca="false">IF($A3409="",0,IFERROR(MATCH($A3409,Classes!$A$6:$A$420,0),0))</f>
        <v>0</v>
      </c>
      <c r="N3409" s="64" t="n">
        <f aca="false">IF($H3409="",0,IFERROR(MATCH($H3409,GradeList,0),0))</f>
        <v>0</v>
      </c>
      <c r="O3409" s="64" t="n">
        <f aca="false">IF(OR($I3409="",$I3409="NR"),0,IFERROR(MATCH($I3409,GradeList,0),0))</f>
        <v>0</v>
      </c>
      <c r="P3409" s="64" t="n">
        <f aca="false">IF(AND($M3409&gt;0,ISNUMBER(MATCH($F3409,Lists!$A$2:$A$5,0)),ISNUMBER(MATCH($G3409,Lists!$B$2:$B$7,0)),OR($H3409="",$N3409&gt;0),OR($I3409="",$I3409="NR",$O3409&gt;0),IF(ISNUMBER($J3409),AND($J3409&gt;=0,$J3409=INT($J3409)),FALSE())),$J3409,0)</f>
        <v>0</v>
      </c>
      <c r="Q3409" s="64" t="n">
        <f aca="false">IF(AND($P3409&gt;0,$O3409&gt;0),$P3409,0)</f>
        <v>0</v>
      </c>
      <c r="R3409" s="64" t="n">
        <f aca="false">IF(AND($Q3409&gt;0,$O3409&gt;=AtRank),$Q3409,0)</f>
        <v>0</v>
      </c>
      <c r="S3409" s="64" t="n">
        <f aca="false">IF(AND($Q3409&gt;0,$O3409&gt;=AboveRank),$Q3409,0)</f>
        <v>0</v>
      </c>
      <c r="T3409" s="64" t="n">
        <f aca="false">IF($K3409="Less",$P3409,0)</f>
        <v>0</v>
      </c>
      <c r="U3409" s="64" t="n">
        <f aca="false">IF($K3409="Expected",$P3409,0)</f>
        <v>0</v>
      </c>
      <c r="V3409" s="64" t="n">
        <f aca="false">IF($K3409="Better",$P3409,0)</f>
        <v>0</v>
      </c>
      <c r="W3409" s="64" t="n">
        <f aca="false">IF($K3409="U – needs rule",$P3409,0)</f>
        <v>0</v>
      </c>
      <c r="X3409" s="64" t="n">
        <f aca="false">IF($K3409="No Start (attainment only)",$P3409,0)</f>
        <v>0</v>
      </c>
    </row>
    <row r="3410" customFormat="false" ht="15" hidden="false" customHeight="false" outlineLevel="0" collapsed="false">
      <c r="A3410" s="60"/>
      <c r="B3410" s="61" t="str">
        <f aca="false">IF($M3410=0,"",INDEX(Classes!$E$6:$E$420,$M3410))</f>
        <v/>
      </c>
      <c r="C3410" s="62" t="str">
        <f aca="false">IF($M3410=0,"",INDEX(Classes!$H$6:$H$420,$M3410))</f>
        <v/>
      </c>
      <c r="D3410" s="61" t="str">
        <f aca="false">IF($M3410=0,"",INDEX(Classes!$B$6:$B$420,$M3410))</f>
        <v/>
      </c>
      <c r="E3410" s="61" t="str">
        <f aca="false">IF($M3410=0,"",INDEX(Classes!$C$6:$C$420,$M3410))</f>
        <v/>
      </c>
      <c r="F3410" s="63"/>
      <c r="G3410" s="63"/>
      <c r="H3410" s="60"/>
      <c r="I3410" s="60"/>
      <c r="J3410" s="63"/>
      <c r="K3410" s="61" t="str">
        <f aca="false">IF($P3410=0,"",IF($F3410="Baseline","— Baseline",IF($O3410=0,"No result",IF($N3410=0,"No Start (attainment only)",IF(OR($N3410=1,$O3410=1),"U – needs rule",INDEX(MxBody,MATCH($I3410,MxCurr,0),MATCH($H3410,MxStart,0)))))))</f>
        <v/>
      </c>
      <c r="L3410" s="62" t="str">
        <f aca="false">IF(COUNTA($A3410,$F3410,$G3410,$H3410,$I3410,$J3410)=0,"",IF($M3410=0,"✖ كود الصف غير موجود",IF(ISNA(MATCH($F3410,Lists!$A$2:$A$5,0)),"✖ الفترة غير صحيحة",IF(ISNA(MATCH($G3410,Lists!$B$2:$B$7,0)),"✖ المجموعة غير صحيحة",IF(NOT(OR($H3410="",$N3410&gt;0)),"✖ Start غير صحيح",IF(NOT(OR($I3410="",$I3410="NR",$O3410&gt;0)),"✖ Current غير صحيح",IF(NOT(IF(ISNUMBER($J3410),AND($J3410&gt;=0,$J3410=INT($J3410)),FALSE())),"✖ العدد يجب أن يكون صحيحًا ≥ 0",IF(AND($F3410="Baseline",$H3410&lt;&gt;""),"⚠ Baseline: Start لا يدخل في التقدم",IF($K3410="No Start (attainment only)","ℹ تحصيل فقط (بدون Start)",IF($K3410="U – needs rule","ℹ حالة U تحتاج قاعدة معتمدة",IF($K3410="No result","ℹ بدون نتيجة (يُستبعد من التحصيل)","OK")))))))))))</f>
        <v/>
      </c>
      <c r="M3410" s="64" t="n">
        <f aca="false">IF($A3410="",0,IFERROR(MATCH($A3410,Classes!$A$6:$A$420,0),0))</f>
        <v>0</v>
      </c>
      <c r="N3410" s="64" t="n">
        <f aca="false">IF($H3410="",0,IFERROR(MATCH($H3410,GradeList,0),0))</f>
        <v>0</v>
      </c>
      <c r="O3410" s="64" t="n">
        <f aca="false">IF(OR($I3410="",$I3410="NR"),0,IFERROR(MATCH($I3410,GradeList,0),0))</f>
        <v>0</v>
      </c>
      <c r="P3410" s="64" t="n">
        <f aca="false">IF(AND($M3410&gt;0,ISNUMBER(MATCH($F3410,Lists!$A$2:$A$5,0)),ISNUMBER(MATCH($G3410,Lists!$B$2:$B$7,0)),OR($H3410="",$N3410&gt;0),OR($I3410="",$I3410="NR",$O3410&gt;0),IF(ISNUMBER($J3410),AND($J3410&gt;=0,$J3410=INT($J3410)),FALSE())),$J3410,0)</f>
        <v>0</v>
      </c>
      <c r="Q3410" s="64" t="n">
        <f aca="false">IF(AND($P3410&gt;0,$O3410&gt;0),$P3410,0)</f>
        <v>0</v>
      </c>
      <c r="R3410" s="64" t="n">
        <f aca="false">IF(AND($Q3410&gt;0,$O3410&gt;=AtRank),$Q3410,0)</f>
        <v>0</v>
      </c>
      <c r="S3410" s="64" t="n">
        <f aca="false">IF(AND($Q3410&gt;0,$O3410&gt;=AboveRank),$Q3410,0)</f>
        <v>0</v>
      </c>
      <c r="T3410" s="64" t="n">
        <f aca="false">IF($K3410="Less",$P3410,0)</f>
        <v>0</v>
      </c>
      <c r="U3410" s="64" t="n">
        <f aca="false">IF($K3410="Expected",$P3410,0)</f>
        <v>0</v>
      </c>
      <c r="V3410" s="64" t="n">
        <f aca="false">IF($K3410="Better",$P3410,0)</f>
        <v>0</v>
      </c>
      <c r="W3410" s="64" t="n">
        <f aca="false">IF($K3410="U – needs rule",$P3410,0)</f>
        <v>0</v>
      </c>
      <c r="X3410" s="64" t="n">
        <f aca="false">IF($K3410="No Start (attainment only)",$P3410,0)</f>
        <v>0</v>
      </c>
    </row>
    <row r="3411" customFormat="false" ht="15" hidden="false" customHeight="false" outlineLevel="0" collapsed="false">
      <c r="A3411" s="60"/>
      <c r="B3411" s="61" t="str">
        <f aca="false">IF($M3411=0,"",INDEX(Classes!$E$6:$E$420,$M3411))</f>
        <v/>
      </c>
      <c r="C3411" s="62" t="str">
        <f aca="false">IF($M3411=0,"",INDEX(Classes!$H$6:$H$420,$M3411))</f>
        <v/>
      </c>
      <c r="D3411" s="61" t="str">
        <f aca="false">IF($M3411=0,"",INDEX(Classes!$B$6:$B$420,$M3411))</f>
        <v/>
      </c>
      <c r="E3411" s="61" t="str">
        <f aca="false">IF($M3411=0,"",INDEX(Classes!$C$6:$C$420,$M3411))</f>
        <v/>
      </c>
      <c r="F3411" s="63"/>
      <c r="G3411" s="63"/>
      <c r="H3411" s="60"/>
      <c r="I3411" s="60"/>
      <c r="J3411" s="63"/>
      <c r="K3411" s="61" t="str">
        <f aca="false">IF($P3411=0,"",IF($F3411="Baseline","— Baseline",IF($O3411=0,"No result",IF($N3411=0,"No Start (attainment only)",IF(OR($N3411=1,$O3411=1),"U – needs rule",INDEX(MxBody,MATCH($I3411,MxCurr,0),MATCH($H3411,MxStart,0)))))))</f>
        <v/>
      </c>
      <c r="L3411" s="62" t="str">
        <f aca="false">IF(COUNTA($A3411,$F3411,$G3411,$H3411,$I3411,$J3411)=0,"",IF($M3411=0,"✖ كود الصف غير موجود",IF(ISNA(MATCH($F3411,Lists!$A$2:$A$5,0)),"✖ الفترة غير صحيحة",IF(ISNA(MATCH($G3411,Lists!$B$2:$B$7,0)),"✖ المجموعة غير صحيحة",IF(NOT(OR($H3411="",$N3411&gt;0)),"✖ Start غير صحيح",IF(NOT(OR($I3411="",$I3411="NR",$O3411&gt;0)),"✖ Current غير صحيح",IF(NOT(IF(ISNUMBER($J3411),AND($J3411&gt;=0,$J3411=INT($J3411)),FALSE())),"✖ العدد يجب أن يكون صحيحًا ≥ 0",IF(AND($F3411="Baseline",$H3411&lt;&gt;""),"⚠ Baseline: Start لا يدخل في التقدم",IF($K3411="No Start (attainment only)","ℹ تحصيل فقط (بدون Start)",IF($K3411="U – needs rule","ℹ حالة U تحتاج قاعدة معتمدة",IF($K3411="No result","ℹ بدون نتيجة (يُستبعد من التحصيل)","OK")))))))))))</f>
        <v/>
      </c>
      <c r="M3411" s="64" t="n">
        <f aca="false">IF($A3411="",0,IFERROR(MATCH($A3411,Classes!$A$6:$A$420,0),0))</f>
        <v>0</v>
      </c>
      <c r="N3411" s="64" t="n">
        <f aca="false">IF($H3411="",0,IFERROR(MATCH($H3411,GradeList,0),0))</f>
        <v>0</v>
      </c>
      <c r="O3411" s="64" t="n">
        <f aca="false">IF(OR($I3411="",$I3411="NR"),0,IFERROR(MATCH($I3411,GradeList,0),0))</f>
        <v>0</v>
      </c>
      <c r="P3411" s="64" t="n">
        <f aca="false">IF(AND($M3411&gt;0,ISNUMBER(MATCH($F3411,Lists!$A$2:$A$5,0)),ISNUMBER(MATCH($G3411,Lists!$B$2:$B$7,0)),OR($H3411="",$N3411&gt;0),OR($I3411="",$I3411="NR",$O3411&gt;0),IF(ISNUMBER($J3411),AND($J3411&gt;=0,$J3411=INT($J3411)),FALSE())),$J3411,0)</f>
        <v>0</v>
      </c>
      <c r="Q3411" s="64" t="n">
        <f aca="false">IF(AND($P3411&gt;0,$O3411&gt;0),$P3411,0)</f>
        <v>0</v>
      </c>
      <c r="R3411" s="64" t="n">
        <f aca="false">IF(AND($Q3411&gt;0,$O3411&gt;=AtRank),$Q3411,0)</f>
        <v>0</v>
      </c>
      <c r="S3411" s="64" t="n">
        <f aca="false">IF(AND($Q3411&gt;0,$O3411&gt;=AboveRank),$Q3411,0)</f>
        <v>0</v>
      </c>
      <c r="T3411" s="64" t="n">
        <f aca="false">IF($K3411="Less",$P3411,0)</f>
        <v>0</v>
      </c>
      <c r="U3411" s="64" t="n">
        <f aca="false">IF($K3411="Expected",$P3411,0)</f>
        <v>0</v>
      </c>
      <c r="V3411" s="64" t="n">
        <f aca="false">IF($K3411="Better",$P3411,0)</f>
        <v>0</v>
      </c>
      <c r="W3411" s="64" t="n">
        <f aca="false">IF($K3411="U – needs rule",$P3411,0)</f>
        <v>0</v>
      </c>
      <c r="X3411" s="64" t="n">
        <f aca="false">IF($K3411="No Start (attainment only)",$P3411,0)</f>
        <v>0</v>
      </c>
    </row>
    <row r="3412" customFormat="false" ht="15" hidden="false" customHeight="false" outlineLevel="0" collapsed="false">
      <c r="A3412" s="60"/>
      <c r="B3412" s="61" t="str">
        <f aca="false">IF($M3412=0,"",INDEX(Classes!$E$6:$E$420,$M3412))</f>
        <v/>
      </c>
      <c r="C3412" s="62" t="str">
        <f aca="false">IF($M3412=0,"",INDEX(Classes!$H$6:$H$420,$M3412))</f>
        <v/>
      </c>
      <c r="D3412" s="61" t="str">
        <f aca="false">IF($M3412=0,"",INDEX(Classes!$B$6:$B$420,$M3412))</f>
        <v/>
      </c>
      <c r="E3412" s="61" t="str">
        <f aca="false">IF($M3412=0,"",INDEX(Classes!$C$6:$C$420,$M3412))</f>
        <v/>
      </c>
      <c r="F3412" s="63"/>
      <c r="G3412" s="63"/>
      <c r="H3412" s="60"/>
      <c r="I3412" s="60"/>
      <c r="J3412" s="63"/>
      <c r="K3412" s="61" t="str">
        <f aca="false">IF($P3412=0,"",IF($F3412="Baseline","— Baseline",IF($O3412=0,"No result",IF($N3412=0,"No Start (attainment only)",IF(OR($N3412=1,$O3412=1),"U – needs rule",INDEX(MxBody,MATCH($I3412,MxCurr,0),MATCH($H3412,MxStart,0)))))))</f>
        <v/>
      </c>
      <c r="L3412" s="62" t="str">
        <f aca="false">IF(COUNTA($A3412,$F3412,$G3412,$H3412,$I3412,$J3412)=0,"",IF($M3412=0,"✖ كود الصف غير موجود",IF(ISNA(MATCH($F3412,Lists!$A$2:$A$5,0)),"✖ الفترة غير صحيحة",IF(ISNA(MATCH($G3412,Lists!$B$2:$B$7,0)),"✖ المجموعة غير صحيحة",IF(NOT(OR($H3412="",$N3412&gt;0)),"✖ Start غير صحيح",IF(NOT(OR($I3412="",$I3412="NR",$O3412&gt;0)),"✖ Current غير صحيح",IF(NOT(IF(ISNUMBER($J3412),AND($J3412&gt;=0,$J3412=INT($J3412)),FALSE())),"✖ العدد يجب أن يكون صحيحًا ≥ 0",IF(AND($F3412="Baseline",$H3412&lt;&gt;""),"⚠ Baseline: Start لا يدخل في التقدم",IF($K3412="No Start (attainment only)","ℹ تحصيل فقط (بدون Start)",IF($K3412="U – needs rule","ℹ حالة U تحتاج قاعدة معتمدة",IF($K3412="No result","ℹ بدون نتيجة (يُستبعد من التحصيل)","OK")))))))))))</f>
        <v/>
      </c>
      <c r="M3412" s="64" t="n">
        <f aca="false">IF($A3412="",0,IFERROR(MATCH($A3412,Classes!$A$6:$A$420,0),0))</f>
        <v>0</v>
      </c>
      <c r="N3412" s="64" t="n">
        <f aca="false">IF($H3412="",0,IFERROR(MATCH($H3412,GradeList,0),0))</f>
        <v>0</v>
      </c>
      <c r="O3412" s="64" t="n">
        <f aca="false">IF(OR($I3412="",$I3412="NR"),0,IFERROR(MATCH($I3412,GradeList,0),0))</f>
        <v>0</v>
      </c>
      <c r="P3412" s="64" t="n">
        <f aca="false">IF(AND($M3412&gt;0,ISNUMBER(MATCH($F3412,Lists!$A$2:$A$5,0)),ISNUMBER(MATCH($G3412,Lists!$B$2:$B$7,0)),OR($H3412="",$N3412&gt;0),OR($I3412="",$I3412="NR",$O3412&gt;0),IF(ISNUMBER($J3412),AND($J3412&gt;=0,$J3412=INT($J3412)),FALSE())),$J3412,0)</f>
        <v>0</v>
      </c>
      <c r="Q3412" s="64" t="n">
        <f aca="false">IF(AND($P3412&gt;0,$O3412&gt;0),$P3412,0)</f>
        <v>0</v>
      </c>
      <c r="R3412" s="64" t="n">
        <f aca="false">IF(AND($Q3412&gt;0,$O3412&gt;=AtRank),$Q3412,0)</f>
        <v>0</v>
      </c>
      <c r="S3412" s="64" t="n">
        <f aca="false">IF(AND($Q3412&gt;0,$O3412&gt;=AboveRank),$Q3412,0)</f>
        <v>0</v>
      </c>
      <c r="T3412" s="64" t="n">
        <f aca="false">IF($K3412="Less",$P3412,0)</f>
        <v>0</v>
      </c>
      <c r="U3412" s="64" t="n">
        <f aca="false">IF($K3412="Expected",$P3412,0)</f>
        <v>0</v>
      </c>
      <c r="V3412" s="64" t="n">
        <f aca="false">IF($K3412="Better",$P3412,0)</f>
        <v>0</v>
      </c>
      <c r="W3412" s="64" t="n">
        <f aca="false">IF($K3412="U – needs rule",$P3412,0)</f>
        <v>0</v>
      </c>
      <c r="X3412" s="64" t="n">
        <f aca="false">IF($K3412="No Start (attainment only)",$P3412,0)</f>
        <v>0</v>
      </c>
    </row>
    <row r="3413" customFormat="false" ht="15" hidden="false" customHeight="false" outlineLevel="0" collapsed="false">
      <c r="A3413" s="60"/>
      <c r="B3413" s="61" t="str">
        <f aca="false">IF($M3413=0,"",INDEX(Classes!$E$6:$E$420,$M3413))</f>
        <v/>
      </c>
      <c r="C3413" s="62" t="str">
        <f aca="false">IF($M3413=0,"",INDEX(Classes!$H$6:$H$420,$M3413))</f>
        <v/>
      </c>
      <c r="D3413" s="61" t="str">
        <f aca="false">IF($M3413=0,"",INDEX(Classes!$B$6:$B$420,$M3413))</f>
        <v/>
      </c>
      <c r="E3413" s="61" t="str">
        <f aca="false">IF($M3413=0,"",INDEX(Classes!$C$6:$C$420,$M3413))</f>
        <v/>
      </c>
      <c r="F3413" s="63"/>
      <c r="G3413" s="63"/>
      <c r="H3413" s="60"/>
      <c r="I3413" s="60"/>
      <c r="J3413" s="63"/>
      <c r="K3413" s="61" t="str">
        <f aca="false">IF($P3413=0,"",IF($F3413="Baseline","— Baseline",IF($O3413=0,"No result",IF($N3413=0,"No Start (attainment only)",IF(OR($N3413=1,$O3413=1),"U – needs rule",INDEX(MxBody,MATCH($I3413,MxCurr,0),MATCH($H3413,MxStart,0)))))))</f>
        <v/>
      </c>
      <c r="L3413" s="62" t="str">
        <f aca="false">IF(COUNTA($A3413,$F3413,$G3413,$H3413,$I3413,$J3413)=0,"",IF($M3413=0,"✖ كود الصف غير موجود",IF(ISNA(MATCH($F3413,Lists!$A$2:$A$5,0)),"✖ الفترة غير صحيحة",IF(ISNA(MATCH($G3413,Lists!$B$2:$B$7,0)),"✖ المجموعة غير صحيحة",IF(NOT(OR($H3413="",$N3413&gt;0)),"✖ Start غير صحيح",IF(NOT(OR($I3413="",$I3413="NR",$O3413&gt;0)),"✖ Current غير صحيح",IF(NOT(IF(ISNUMBER($J3413),AND($J3413&gt;=0,$J3413=INT($J3413)),FALSE())),"✖ العدد يجب أن يكون صحيحًا ≥ 0",IF(AND($F3413="Baseline",$H3413&lt;&gt;""),"⚠ Baseline: Start لا يدخل في التقدم",IF($K3413="No Start (attainment only)","ℹ تحصيل فقط (بدون Start)",IF($K3413="U – needs rule","ℹ حالة U تحتاج قاعدة معتمدة",IF($K3413="No result","ℹ بدون نتيجة (يُستبعد من التحصيل)","OK")))))))))))</f>
        <v/>
      </c>
      <c r="M3413" s="64" t="n">
        <f aca="false">IF($A3413="",0,IFERROR(MATCH($A3413,Classes!$A$6:$A$420,0),0))</f>
        <v>0</v>
      </c>
      <c r="N3413" s="64" t="n">
        <f aca="false">IF($H3413="",0,IFERROR(MATCH($H3413,GradeList,0),0))</f>
        <v>0</v>
      </c>
      <c r="O3413" s="64" t="n">
        <f aca="false">IF(OR($I3413="",$I3413="NR"),0,IFERROR(MATCH($I3413,GradeList,0),0))</f>
        <v>0</v>
      </c>
      <c r="P3413" s="64" t="n">
        <f aca="false">IF(AND($M3413&gt;0,ISNUMBER(MATCH($F3413,Lists!$A$2:$A$5,0)),ISNUMBER(MATCH($G3413,Lists!$B$2:$B$7,0)),OR($H3413="",$N3413&gt;0),OR($I3413="",$I3413="NR",$O3413&gt;0),IF(ISNUMBER($J3413),AND($J3413&gt;=0,$J3413=INT($J3413)),FALSE())),$J3413,0)</f>
        <v>0</v>
      </c>
      <c r="Q3413" s="64" t="n">
        <f aca="false">IF(AND($P3413&gt;0,$O3413&gt;0),$P3413,0)</f>
        <v>0</v>
      </c>
      <c r="R3413" s="64" t="n">
        <f aca="false">IF(AND($Q3413&gt;0,$O3413&gt;=AtRank),$Q3413,0)</f>
        <v>0</v>
      </c>
      <c r="S3413" s="64" t="n">
        <f aca="false">IF(AND($Q3413&gt;0,$O3413&gt;=AboveRank),$Q3413,0)</f>
        <v>0</v>
      </c>
      <c r="T3413" s="64" t="n">
        <f aca="false">IF($K3413="Less",$P3413,0)</f>
        <v>0</v>
      </c>
      <c r="U3413" s="64" t="n">
        <f aca="false">IF($K3413="Expected",$P3413,0)</f>
        <v>0</v>
      </c>
      <c r="V3413" s="64" t="n">
        <f aca="false">IF($K3413="Better",$P3413,0)</f>
        <v>0</v>
      </c>
      <c r="W3413" s="64" t="n">
        <f aca="false">IF($K3413="U – needs rule",$P3413,0)</f>
        <v>0</v>
      </c>
      <c r="X3413" s="64" t="n">
        <f aca="false">IF($K3413="No Start (attainment only)",$P3413,0)</f>
        <v>0</v>
      </c>
    </row>
    <row r="3414" customFormat="false" ht="15" hidden="false" customHeight="false" outlineLevel="0" collapsed="false">
      <c r="A3414" s="60"/>
      <c r="B3414" s="61" t="str">
        <f aca="false">IF($M3414=0,"",INDEX(Classes!$E$6:$E$420,$M3414))</f>
        <v/>
      </c>
      <c r="C3414" s="62" t="str">
        <f aca="false">IF($M3414=0,"",INDEX(Classes!$H$6:$H$420,$M3414))</f>
        <v/>
      </c>
      <c r="D3414" s="61" t="str">
        <f aca="false">IF($M3414=0,"",INDEX(Classes!$B$6:$B$420,$M3414))</f>
        <v/>
      </c>
      <c r="E3414" s="61" t="str">
        <f aca="false">IF($M3414=0,"",INDEX(Classes!$C$6:$C$420,$M3414))</f>
        <v/>
      </c>
      <c r="F3414" s="63"/>
      <c r="G3414" s="63"/>
      <c r="H3414" s="60"/>
      <c r="I3414" s="60"/>
      <c r="J3414" s="63"/>
      <c r="K3414" s="61" t="str">
        <f aca="false">IF($P3414=0,"",IF($F3414="Baseline","— Baseline",IF($O3414=0,"No result",IF($N3414=0,"No Start (attainment only)",IF(OR($N3414=1,$O3414=1),"U – needs rule",INDEX(MxBody,MATCH($I3414,MxCurr,0),MATCH($H3414,MxStart,0)))))))</f>
        <v/>
      </c>
      <c r="L3414" s="62" t="str">
        <f aca="false">IF(COUNTA($A3414,$F3414,$G3414,$H3414,$I3414,$J3414)=0,"",IF($M3414=0,"✖ كود الصف غير موجود",IF(ISNA(MATCH($F3414,Lists!$A$2:$A$5,0)),"✖ الفترة غير صحيحة",IF(ISNA(MATCH($G3414,Lists!$B$2:$B$7,0)),"✖ المجموعة غير صحيحة",IF(NOT(OR($H3414="",$N3414&gt;0)),"✖ Start غير صحيح",IF(NOT(OR($I3414="",$I3414="NR",$O3414&gt;0)),"✖ Current غير صحيح",IF(NOT(IF(ISNUMBER($J3414),AND($J3414&gt;=0,$J3414=INT($J3414)),FALSE())),"✖ العدد يجب أن يكون صحيحًا ≥ 0",IF(AND($F3414="Baseline",$H3414&lt;&gt;""),"⚠ Baseline: Start لا يدخل في التقدم",IF($K3414="No Start (attainment only)","ℹ تحصيل فقط (بدون Start)",IF($K3414="U – needs rule","ℹ حالة U تحتاج قاعدة معتمدة",IF($K3414="No result","ℹ بدون نتيجة (يُستبعد من التحصيل)","OK")))))))))))</f>
        <v/>
      </c>
      <c r="M3414" s="64" t="n">
        <f aca="false">IF($A3414="",0,IFERROR(MATCH($A3414,Classes!$A$6:$A$420,0),0))</f>
        <v>0</v>
      </c>
      <c r="N3414" s="64" t="n">
        <f aca="false">IF($H3414="",0,IFERROR(MATCH($H3414,GradeList,0),0))</f>
        <v>0</v>
      </c>
      <c r="O3414" s="64" t="n">
        <f aca="false">IF(OR($I3414="",$I3414="NR"),0,IFERROR(MATCH($I3414,GradeList,0),0))</f>
        <v>0</v>
      </c>
      <c r="P3414" s="64" t="n">
        <f aca="false">IF(AND($M3414&gt;0,ISNUMBER(MATCH($F3414,Lists!$A$2:$A$5,0)),ISNUMBER(MATCH($G3414,Lists!$B$2:$B$7,0)),OR($H3414="",$N3414&gt;0),OR($I3414="",$I3414="NR",$O3414&gt;0),IF(ISNUMBER($J3414),AND($J3414&gt;=0,$J3414=INT($J3414)),FALSE())),$J3414,0)</f>
        <v>0</v>
      </c>
      <c r="Q3414" s="64" t="n">
        <f aca="false">IF(AND($P3414&gt;0,$O3414&gt;0),$P3414,0)</f>
        <v>0</v>
      </c>
      <c r="R3414" s="64" t="n">
        <f aca="false">IF(AND($Q3414&gt;0,$O3414&gt;=AtRank),$Q3414,0)</f>
        <v>0</v>
      </c>
      <c r="S3414" s="64" t="n">
        <f aca="false">IF(AND($Q3414&gt;0,$O3414&gt;=AboveRank),$Q3414,0)</f>
        <v>0</v>
      </c>
      <c r="T3414" s="64" t="n">
        <f aca="false">IF($K3414="Less",$P3414,0)</f>
        <v>0</v>
      </c>
      <c r="U3414" s="64" t="n">
        <f aca="false">IF($K3414="Expected",$P3414,0)</f>
        <v>0</v>
      </c>
      <c r="V3414" s="64" t="n">
        <f aca="false">IF($K3414="Better",$P3414,0)</f>
        <v>0</v>
      </c>
      <c r="W3414" s="64" t="n">
        <f aca="false">IF($K3414="U – needs rule",$P3414,0)</f>
        <v>0</v>
      </c>
      <c r="X3414" s="64" t="n">
        <f aca="false">IF($K3414="No Start (attainment only)",$P3414,0)</f>
        <v>0</v>
      </c>
    </row>
    <row r="3415" customFormat="false" ht="15" hidden="false" customHeight="false" outlineLevel="0" collapsed="false">
      <c r="A3415" s="60"/>
      <c r="B3415" s="61" t="str">
        <f aca="false">IF($M3415=0,"",INDEX(Classes!$E$6:$E$420,$M3415))</f>
        <v/>
      </c>
      <c r="C3415" s="62" t="str">
        <f aca="false">IF($M3415=0,"",INDEX(Classes!$H$6:$H$420,$M3415))</f>
        <v/>
      </c>
      <c r="D3415" s="61" t="str">
        <f aca="false">IF($M3415=0,"",INDEX(Classes!$B$6:$B$420,$M3415))</f>
        <v/>
      </c>
      <c r="E3415" s="61" t="str">
        <f aca="false">IF($M3415=0,"",INDEX(Classes!$C$6:$C$420,$M3415))</f>
        <v/>
      </c>
      <c r="F3415" s="63"/>
      <c r="G3415" s="63"/>
      <c r="H3415" s="60"/>
      <c r="I3415" s="60"/>
      <c r="J3415" s="63"/>
      <c r="K3415" s="61" t="str">
        <f aca="false">IF($P3415=0,"",IF($F3415="Baseline","— Baseline",IF($O3415=0,"No result",IF($N3415=0,"No Start (attainment only)",IF(OR($N3415=1,$O3415=1),"U – needs rule",INDEX(MxBody,MATCH($I3415,MxCurr,0),MATCH($H3415,MxStart,0)))))))</f>
        <v/>
      </c>
      <c r="L3415" s="62" t="str">
        <f aca="false">IF(COUNTA($A3415,$F3415,$G3415,$H3415,$I3415,$J3415)=0,"",IF($M3415=0,"✖ كود الصف غير موجود",IF(ISNA(MATCH($F3415,Lists!$A$2:$A$5,0)),"✖ الفترة غير صحيحة",IF(ISNA(MATCH($G3415,Lists!$B$2:$B$7,0)),"✖ المجموعة غير صحيحة",IF(NOT(OR($H3415="",$N3415&gt;0)),"✖ Start غير صحيح",IF(NOT(OR($I3415="",$I3415="NR",$O3415&gt;0)),"✖ Current غير صحيح",IF(NOT(IF(ISNUMBER($J3415),AND($J3415&gt;=0,$J3415=INT($J3415)),FALSE())),"✖ العدد يجب أن يكون صحيحًا ≥ 0",IF(AND($F3415="Baseline",$H3415&lt;&gt;""),"⚠ Baseline: Start لا يدخل في التقدم",IF($K3415="No Start (attainment only)","ℹ تحصيل فقط (بدون Start)",IF($K3415="U – needs rule","ℹ حالة U تحتاج قاعدة معتمدة",IF($K3415="No result","ℹ بدون نتيجة (يُستبعد من التحصيل)","OK")))))))))))</f>
        <v/>
      </c>
      <c r="M3415" s="64" t="n">
        <f aca="false">IF($A3415="",0,IFERROR(MATCH($A3415,Classes!$A$6:$A$420,0),0))</f>
        <v>0</v>
      </c>
      <c r="N3415" s="64" t="n">
        <f aca="false">IF($H3415="",0,IFERROR(MATCH($H3415,GradeList,0),0))</f>
        <v>0</v>
      </c>
      <c r="O3415" s="64" t="n">
        <f aca="false">IF(OR($I3415="",$I3415="NR"),0,IFERROR(MATCH($I3415,GradeList,0),0))</f>
        <v>0</v>
      </c>
      <c r="P3415" s="64" t="n">
        <f aca="false">IF(AND($M3415&gt;0,ISNUMBER(MATCH($F3415,Lists!$A$2:$A$5,0)),ISNUMBER(MATCH($G3415,Lists!$B$2:$B$7,0)),OR($H3415="",$N3415&gt;0),OR($I3415="",$I3415="NR",$O3415&gt;0),IF(ISNUMBER($J3415),AND($J3415&gt;=0,$J3415=INT($J3415)),FALSE())),$J3415,0)</f>
        <v>0</v>
      </c>
      <c r="Q3415" s="64" t="n">
        <f aca="false">IF(AND($P3415&gt;0,$O3415&gt;0),$P3415,0)</f>
        <v>0</v>
      </c>
      <c r="R3415" s="64" t="n">
        <f aca="false">IF(AND($Q3415&gt;0,$O3415&gt;=AtRank),$Q3415,0)</f>
        <v>0</v>
      </c>
      <c r="S3415" s="64" t="n">
        <f aca="false">IF(AND($Q3415&gt;0,$O3415&gt;=AboveRank),$Q3415,0)</f>
        <v>0</v>
      </c>
      <c r="T3415" s="64" t="n">
        <f aca="false">IF($K3415="Less",$P3415,0)</f>
        <v>0</v>
      </c>
      <c r="U3415" s="64" t="n">
        <f aca="false">IF($K3415="Expected",$P3415,0)</f>
        <v>0</v>
      </c>
      <c r="V3415" s="64" t="n">
        <f aca="false">IF($K3415="Better",$P3415,0)</f>
        <v>0</v>
      </c>
      <c r="W3415" s="64" t="n">
        <f aca="false">IF($K3415="U – needs rule",$P3415,0)</f>
        <v>0</v>
      </c>
      <c r="X3415" s="64" t="n">
        <f aca="false">IF($K3415="No Start (attainment only)",$P3415,0)</f>
        <v>0</v>
      </c>
    </row>
    <row r="3416" customFormat="false" ht="15" hidden="false" customHeight="false" outlineLevel="0" collapsed="false">
      <c r="A3416" s="60"/>
      <c r="B3416" s="61" t="str">
        <f aca="false">IF($M3416=0,"",INDEX(Classes!$E$6:$E$420,$M3416))</f>
        <v/>
      </c>
      <c r="C3416" s="62" t="str">
        <f aca="false">IF($M3416=0,"",INDEX(Classes!$H$6:$H$420,$M3416))</f>
        <v/>
      </c>
      <c r="D3416" s="61" t="str">
        <f aca="false">IF($M3416=0,"",INDEX(Classes!$B$6:$B$420,$M3416))</f>
        <v/>
      </c>
      <c r="E3416" s="61" t="str">
        <f aca="false">IF($M3416=0,"",INDEX(Classes!$C$6:$C$420,$M3416))</f>
        <v/>
      </c>
      <c r="F3416" s="63"/>
      <c r="G3416" s="63"/>
      <c r="H3416" s="60"/>
      <c r="I3416" s="60"/>
      <c r="J3416" s="63"/>
      <c r="K3416" s="61" t="str">
        <f aca="false">IF($P3416=0,"",IF($F3416="Baseline","— Baseline",IF($O3416=0,"No result",IF($N3416=0,"No Start (attainment only)",IF(OR($N3416=1,$O3416=1),"U – needs rule",INDEX(MxBody,MATCH($I3416,MxCurr,0),MATCH($H3416,MxStart,0)))))))</f>
        <v/>
      </c>
      <c r="L3416" s="62" t="str">
        <f aca="false">IF(COUNTA($A3416,$F3416,$G3416,$H3416,$I3416,$J3416)=0,"",IF($M3416=0,"✖ كود الصف غير موجود",IF(ISNA(MATCH($F3416,Lists!$A$2:$A$5,0)),"✖ الفترة غير صحيحة",IF(ISNA(MATCH($G3416,Lists!$B$2:$B$7,0)),"✖ المجموعة غير صحيحة",IF(NOT(OR($H3416="",$N3416&gt;0)),"✖ Start غير صحيح",IF(NOT(OR($I3416="",$I3416="NR",$O3416&gt;0)),"✖ Current غير صحيح",IF(NOT(IF(ISNUMBER($J3416),AND($J3416&gt;=0,$J3416=INT($J3416)),FALSE())),"✖ العدد يجب أن يكون صحيحًا ≥ 0",IF(AND($F3416="Baseline",$H3416&lt;&gt;""),"⚠ Baseline: Start لا يدخل في التقدم",IF($K3416="No Start (attainment only)","ℹ تحصيل فقط (بدون Start)",IF($K3416="U – needs rule","ℹ حالة U تحتاج قاعدة معتمدة",IF($K3416="No result","ℹ بدون نتيجة (يُستبعد من التحصيل)","OK")))))))))))</f>
        <v/>
      </c>
      <c r="M3416" s="64" t="n">
        <f aca="false">IF($A3416="",0,IFERROR(MATCH($A3416,Classes!$A$6:$A$420,0),0))</f>
        <v>0</v>
      </c>
      <c r="N3416" s="64" t="n">
        <f aca="false">IF($H3416="",0,IFERROR(MATCH($H3416,GradeList,0),0))</f>
        <v>0</v>
      </c>
      <c r="O3416" s="64" t="n">
        <f aca="false">IF(OR($I3416="",$I3416="NR"),0,IFERROR(MATCH($I3416,GradeList,0),0))</f>
        <v>0</v>
      </c>
      <c r="P3416" s="64" t="n">
        <f aca="false">IF(AND($M3416&gt;0,ISNUMBER(MATCH($F3416,Lists!$A$2:$A$5,0)),ISNUMBER(MATCH($G3416,Lists!$B$2:$B$7,0)),OR($H3416="",$N3416&gt;0),OR($I3416="",$I3416="NR",$O3416&gt;0),IF(ISNUMBER($J3416),AND($J3416&gt;=0,$J3416=INT($J3416)),FALSE())),$J3416,0)</f>
        <v>0</v>
      </c>
      <c r="Q3416" s="64" t="n">
        <f aca="false">IF(AND($P3416&gt;0,$O3416&gt;0),$P3416,0)</f>
        <v>0</v>
      </c>
      <c r="R3416" s="64" t="n">
        <f aca="false">IF(AND($Q3416&gt;0,$O3416&gt;=AtRank),$Q3416,0)</f>
        <v>0</v>
      </c>
      <c r="S3416" s="64" t="n">
        <f aca="false">IF(AND($Q3416&gt;0,$O3416&gt;=AboveRank),$Q3416,0)</f>
        <v>0</v>
      </c>
      <c r="T3416" s="64" t="n">
        <f aca="false">IF($K3416="Less",$P3416,0)</f>
        <v>0</v>
      </c>
      <c r="U3416" s="64" t="n">
        <f aca="false">IF($K3416="Expected",$P3416,0)</f>
        <v>0</v>
      </c>
      <c r="V3416" s="64" t="n">
        <f aca="false">IF($K3416="Better",$P3416,0)</f>
        <v>0</v>
      </c>
      <c r="W3416" s="64" t="n">
        <f aca="false">IF($K3416="U – needs rule",$P3416,0)</f>
        <v>0</v>
      </c>
      <c r="X3416" s="64" t="n">
        <f aca="false">IF($K3416="No Start (attainment only)",$P3416,0)</f>
        <v>0</v>
      </c>
    </row>
    <row r="3417" customFormat="false" ht="15" hidden="false" customHeight="false" outlineLevel="0" collapsed="false">
      <c r="A3417" s="60"/>
      <c r="B3417" s="61" t="str">
        <f aca="false">IF($M3417=0,"",INDEX(Classes!$E$6:$E$420,$M3417))</f>
        <v/>
      </c>
      <c r="C3417" s="62" t="str">
        <f aca="false">IF($M3417=0,"",INDEX(Classes!$H$6:$H$420,$M3417))</f>
        <v/>
      </c>
      <c r="D3417" s="61" t="str">
        <f aca="false">IF($M3417=0,"",INDEX(Classes!$B$6:$B$420,$M3417))</f>
        <v/>
      </c>
      <c r="E3417" s="61" t="str">
        <f aca="false">IF($M3417=0,"",INDEX(Classes!$C$6:$C$420,$M3417))</f>
        <v/>
      </c>
      <c r="F3417" s="63"/>
      <c r="G3417" s="63"/>
      <c r="H3417" s="60"/>
      <c r="I3417" s="60"/>
      <c r="J3417" s="63"/>
      <c r="K3417" s="61" t="str">
        <f aca="false">IF($P3417=0,"",IF($F3417="Baseline","— Baseline",IF($O3417=0,"No result",IF($N3417=0,"No Start (attainment only)",IF(OR($N3417=1,$O3417=1),"U – needs rule",INDEX(MxBody,MATCH($I3417,MxCurr,0),MATCH($H3417,MxStart,0)))))))</f>
        <v/>
      </c>
      <c r="L3417" s="62" t="str">
        <f aca="false">IF(COUNTA($A3417,$F3417,$G3417,$H3417,$I3417,$J3417)=0,"",IF($M3417=0,"✖ كود الصف غير موجود",IF(ISNA(MATCH($F3417,Lists!$A$2:$A$5,0)),"✖ الفترة غير صحيحة",IF(ISNA(MATCH($G3417,Lists!$B$2:$B$7,0)),"✖ المجموعة غير صحيحة",IF(NOT(OR($H3417="",$N3417&gt;0)),"✖ Start غير صحيح",IF(NOT(OR($I3417="",$I3417="NR",$O3417&gt;0)),"✖ Current غير صحيح",IF(NOT(IF(ISNUMBER($J3417),AND($J3417&gt;=0,$J3417=INT($J3417)),FALSE())),"✖ العدد يجب أن يكون صحيحًا ≥ 0",IF(AND($F3417="Baseline",$H3417&lt;&gt;""),"⚠ Baseline: Start لا يدخل في التقدم",IF($K3417="No Start (attainment only)","ℹ تحصيل فقط (بدون Start)",IF($K3417="U – needs rule","ℹ حالة U تحتاج قاعدة معتمدة",IF($K3417="No result","ℹ بدون نتيجة (يُستبعد من التحصيل)","OK")))))))))))</f>
        <v/>
      </c>
      <c r="M3417" s="64" t="n">
        <f aca="false">IF($A3417="",0,IFERROR(MATCH($A3417,Classes!$A$6:$A$420,0),0))</f>
        <v>0</v>
      </c>
      <c r="N3417" s="64" t="n">
        <f aca="false">IF($H3417="",0,IFERROR(MATCH($H3417,GradeList,0),0))</f>
        <v>0</v>
      </c>
      <c r="O3417" s="64" t="n">
        <f aca="false">IF(OR($I3417="",$I3417="NR"),0,IFERROR(MATCH($I3417,GradeList,0),0))</f>
        <v>0</v>
      </c>
      <c r="P3417" s="64" t="n">
        <f aca="false">IF(AND($M3417&gt;0,ISNUMBER(MATCH($F3417,Lists!$A$2:$A$5,0)),ISNUMBER(MATCH($G3417,Lists!$B$2:$B$7,0)),OR($H3417="",$N3417&gt;0),OR($I3417="",$I3417="NR",$O3417&gt;0),IF(ISNUMBER($J3417),AND($J3417&gt;=0,$J3417=INT($J3417)),FALSE())),$J3417,0)</f>
        <v>0</v>
      </c>
      <c r="Q3417" s="64" t="n">
        <f aca="false">IF(AND($P3417&gt;0,$O3417&gt;0),$P3417,0)</f>
        <v>0</v>
      </c>
      <c r="R3417" s="64" t="n">
        <f aca="false">IF(AND($Q3417&gt;0,$O3417&gt;=AtRank),$Q3417,0)</f>
        <v>0</v>
      </c>
      <c r="S3417" s="64" t="n">
        <f aca="false">IF(AND($Q3417&gt;0,$O3417&gt;=AboveRank),$Q3417,0)</f>
        <v>0</v>
      </c>
      <c r="T3417" s="64" t="n">
        <f aca="false">IF($K3417="Less",$P3417,0)</f>
        <v>0</v>
      </c>
      <c r="U3417" s="64" t="n">
        <f aca="false">IF($K3417="Expected",$P3417,0)</f>
        <v>0</v>
      </c>
      <c r="V3417" s="64" t="n">
        <f aca="false">IF($K3417="Better",$P3417,0)</f>
        <v>0</v>
      </c>
      <c r="W3417" s="64" t="n">
        <f aca="false">IF($K3417="U – needs rule",$P3417,0)</f>
        <v>0</v>
      </c>
      <c r="X3417" s="64" t="n">
        <f aca="false">IF($K3417="No Start (attainment only)",$P3417,0)</f>
        <v>0</v>
      </c>
    </row>
    <row r="3418" customFormat="false" ht="15" hidden="false" customHeight="false" outlineLevel="0" collapsed="false">
      <c r="A3418" s="60"/>
      <c r="B3418" s="61" t="str">
        <f aca="false">IF($M3418=0,"",INDEX(Classes!$E$6:$E$420,$M3418))</f>
        <v/>
      </c>
      <c r="C3418" s="62" t="str">
        <f aca="false">IF($M3418=0,"",INDEX(Classes!$H$6:$H$420,$M3418))</f>
        <v/>
      </c>
      <c r="D3418" s="61" t="str">
        <f aca="false">IF($M3418=0,"",INDEX(Classes!$B$6:$B$420,$M3418))</f>
        <v/>
      </c>
      <c r="E3418" s="61" t="str">
        <f aca="false">IF($M3418=0,"",INDEX(Classes!$C$6:$C$420,$M3418))</f>
        <v/>
      </c>
      <c r="F3418" s="63"/>
      <c r="G3418" s="63"/>
      <c r="H3418" s="60"/>
      <c r="I3418" s="60"/>
      <c r="J3418" s="63"/>
      <c r="K3418" s="61" t="str">
        <f aca="false">IF($P3418=0,"",IF($F3418="Baseline","— Baseline",IF($O3418=0,"No result",IF($N3418=0,"No Start (attainment only)",IF(OR($N3418=1,$O3418=1),"U – needs rule",INDEX(MxBody,MATCH($I3418,MxCurr,0),MATCH($H3418,MxStart,0)))))))</f>
        <v/>
      </c>
      <c r="L3418" s="62" t="str">
        <f aca="false">IF(COUNTA($A3418,$F3418,$G3418,$H3418,$I3418,$J3418)=0,"",IF($M3418=0,"✖ كود الصف غير موجود",IF(ISNA(MATCH($F3418,Lists!$A$2:$A$5,0)),"✖ الفترة غير صحيحة",IF(ISNA(MATCH($G3418,Lists!$B$2:$B$7,0)),"✖ المجموعة غير صحيحة",IF(NOT(OR($H3418="",$N3418&gt;0)),"✖ Start غير صحيح",IF(NOT(OR($I3418="",$I3418="NR",$O3418&gt;0)),"✖ Current غير صحيح",IF(NOT(IF(ISNUMBER($J3418),AND($J3418&gt;=0,$J3418=INT($J3418)),FALSE())),"✖ العدد يجب أن يكون صحيحًا ≥ 0",IF(AND($F3418="Baseline",$H3418&lt;&gt;""),"⚠ Baseline: Start لا يدخل في التقدم",IF($K3418="No Start (attainment only)","ℹ تحصيل فقط (بدون Start)",IF($K3418="U – needs rule","ℹ حالة U تحتاج قاعدة معتمدة",IF($K3418="No result","ℹ بدون نتيجة (يُستبعد من التحصيل)","OK")))))))))))</f>
        <v/>
      </c>
      <c r="M3418" s="64" t="n">
        <f aca="false">IF($A3418="",0,IFERROR(MATCH($A3418,Classes!$A$6:$A$420,0),0))</f>
        <v>0</v>
      </c>
      <c r="N3418" s="64" t="n">
        <f aca="false">IF($H3418="",0,IFERROR(MATCH($H3418,GradeList,0),0))</f>
        <v>0</v>
      </c>
      <c r="O3418" s="64" t="n">
        <f aca="false">IF(OR($I3418="",$I3418="NR"),0,IFERROR(MATCH($I3418,GradeList,0),0))</f>
        <v>0</v>
      </c>
      <c r="P3418" s="64" t="n">
        <f aca="false">IF(AND($M3418&gt;0,ISNUMBER(MATCH($F3418,Lists!$A$2:$A$5,0)),ISNUMBER(MATCH($G3418,Lists!$B$2:$B$7,0)),OR($H3418="",$N3418&gt;0),OR($I3418="",$I3418="NR",$O3418&gt;0),IF(ISNUMBER($J3418),AND($J3418&gt;=0,$J3418=INT($J3418)),FALSE())),$J3418,0)</f>
        <v>0</v>
      </c>
      <c r="Q3418" s="64" t="n">
        <f aca="false">IF(AND($P3418&gt;0,$O3418&gt;0),$P3418,0)</f>
        <v>0</v>
      </c>
      <c r="R3418" s="64" t="n">
        <f aca="false">IF(AND($Q3418&gt;0,$O3418&gt;=AtRank),$Q3418,0)</f>
        <v>0</v>
      </c>
      <c r="S3418" s="64" t="n">
        <f aca="false">IF(AND($Q3418&gt;0,$O3418&gt;=AboveRank),$Q3418,0)</f>
        <v>0</v>
      </c>
      <c r="T3418" s="64" t="n">
        <f aca="false">IF($K3418="Less",$P3418,0)</f>
        <v>0</v>
      </c>
      <c r="U3418" s="64" t="n">
        <f aca="false">IF($K3418="Expected",$P3418,0)</f>
        <v>0</v>
      </c>
      <c r="V3418" s="64" t="n">
        <f aca="false">IF($K3418="Better",$P3418,0)</f>
        <v>0</v>
      </c>
      <c r="W3418" s="64" t="n">
        <f aca="false">IF($K3418="U – needs rule",$P3418,0)</f>
        <v>0</v>
      </c>
      <c r="X3418" s="64" t="n">
        <f aca="false">IF($K3418="No Start (attainment only)",$P3418,0)</f>
        <v>0</v>
      </c>
    </row>
    <row r="3419" customFormat="false" ht="15" hidden="false" customHeight="false" outlineLevel="0" collapsed="false">
      <c r="A3419" s="60"/>
      <c r="B3419" s="61" t="str">
        <f aca="false">IF($M3419=0,"",INDEX(Classes!$E$6:$E$420,$M3419))</f>
        <v/>
      </c>
      <c r="C3419" s="62" t="str">
        <f aca="false">IF($M3419=0,"",INDEX(Classes!$H$6:$H$420,$M3419))</f>
        <v/>
      </c>
      <c r="D3419" s="61" t="str">
        <f aca="false">IF($M3419=0,"",INDEX(Classes!$B$6:$B$420,$M3419))</f>
        <v/>
      </c>
      <c r="E3419" s="61" t="str">
        <f aca="false">IF($M3419=0,"",INDEX(Classes!$C$6:$C$420,$M3419))</f>
        <v/>
      </c>
      <c r="F3419" s="63"/>
      <c r="G3419" s="63"/>
      <c r="H3419" s="60"/>
      <c r="I3419" s="60"/>
      <c r="J3419" s="63"/>
      <c r="K3419" s="61" t="str">
        <f aca="false">IF($P3419=0,"",IF($F3419="Baseline","— Baseline",IF($O3419=0,"No result",IF($N3419=0,"No Start (attainment only)",IF(OR($N3419=1,$O3419=1),"U – needs rule",INDEX(MxBody,MATCH($I3419,MxCurr,0),MATCH($H3419,MxStart,0)))))))</f>
        <v/>
      </c>
      <c r="L3419" s="62" t="str">
        <f aca="false">IF(COUNTA($A3419,$F3419,$G3419,$H3419,$I3419,$J3419)=0,"",IF($M3419=0,"✖ كود الصف غير موجود",IF(ISNA(MATCH($F3419,Lists!$A$2:$A$5,0)),"✖ الفترة غير صحيحة",IF(ISNA(MATCH($G3419,Lists!$B$2:$B$7,0)),"✖ المجموعة غير صحيحة",IF(NOT(OR($H3419="",$N3419&gt;0)),"✖ Start غير صحيح",IF(NOT(OR($I3419="",$I3419="NR",$O3419&gt;0)),"✖ Current غير صحيح",IF(NOT(IF(ISNUMBER($J3419),AND($J3419&gt;=0,$J3419=INT($J3419)),FALSE())),"✖ العدد يجب أن يكون صحيحًا ≥ 0",IF(AND($F3419="Baseline",$H3419&lt;&gt;""),"⚠ Baseline: Start لا يدخل في التقدم",IF($K3419="No Start (attainment only)","ℹ تحصيل فقط (بدون Start)",IF($K3419="U – needs rule","ℹ حالة U تحتاج قاعدة معتمدة",IF($K3419="No result","ℹ بدون نتيجة (يُستبعد من التحصيل)","OK")))))))))))</f>
        <v/>
      </c>
      <c r="M3419" s="64" t="n">
        <f aca="false">IF($A3419="",0,IFERROR(MATCH($A3419,Classes!$A$6:$A$420,0),0))</f>
        <v>0</v>
      </c>
      <c r="N3419" s="64" t="n">
        <f aca="false">IF($H3419="",0,IFERROR(MATCH($H3419,GradeList,0),0))</f>
        <v>0</v>
      </c>
      <c r="O3419" s="64" t="n">
        <f aca="false">IF(OR($I3419="",$I3419="NR"),0,IFERROR(MATCH($I3419,GradeList,0),0))</f>
        <v>0</v>
      </c>
      <c r="P3419" s="64" t="n">
        <f aca="false">IF(AND($M3419&gt;0,ISNUMBER(MATCH($F3419,Lists!$A$2:$A$5,0)),ISNUMBER(MATCH($G3419,Lists!$B$2:$B$7,0)),OR($H3419="",$N3419&gt;0),OR($I3419="",$I3419="NR",$O3419&gt;0),IF(ISNUMBER($J3419),AND($J3419&gt;=0,$J3419=INT($J3419)),FALSE())),$J3419,0)</f>
        <v>0</v>
      </c>
      <c r="Q3419" s="64" t="n">
        <f aca="false">IF(AND($P3419&gt;0,$O3419&gt;0),$P3419,0)</f>
        <v>0</v>
      </c>
      <c r="R3419" s="64" t="n">
        <f aca="false">IF(AND($Q3419&gt;0,$O3419&gt;=AtRank),$Q3419,0)</f>
        <v>0</v>
      </c>
      <c r="S3419" s="64" t="n">
        <f aca="false">IF(AND($Q3419&gt;0,$O3419&gt;=AboveRank),$Q3419,0)</f>
        <v>0</v>
      </c>
      <c r="T3419" s="64" t="n">
        <f aca="false">IF($K3419="Less",$P3419,0)</f>
        <v>0</v>
      </c>
      <c r="U3419" s="64" t="n">
        <f aca="false">IF($K3419="Expected",$P3419,0)</f>
        <v>0</v>
      </c>
      <c r="V3419" s="64" t="n">
        <f aca="false">IF($K3419="Better",$P3419,0)</f>
        <v>0</v>
      </c>
      <c r="W3419" s="64" t="n">
        <f aca="false">IF($K3419="U – needs rule",$P3419,0)</f>
        <v>0</v>
      </c>
      <c r="X3419" s="64" t="n">
        <f aca="false">IF($K3419="No Start (attainment only)",$P3419,0)</f>
        <v>0</v>
      </c>
    </row>
    <row r="3420" customFormat="false" ht="15" hidden="false" customHeight="false" outlineLevel="0" collapsed="false">
      <c r="A3420" s="60"/>
      <c r="B3420" s="61" t="str">
        <f aca="false">IF($M3420=0,"",INDEX(Classes!$E$6:$E$420,$M3420))</f>
        <v/>
      </c>
      <c r="C3420" s="62" t="str">
        <f aca="false">IF($M3420=0,"",INDEX(Classes!$H$6:$H$420,$M3420))</f>
        <v/>
      </c>
      <c r="D3420" s="61" t="str">
        <f aca="false">IF($M3420=0,"",INDEX(Classes!$B$6:$B$420,$M3420))</f>
        <v/>
      </c>
      <c r="E3420" s="61" t="str">
        <f aca="false">IF($M3420=0,"",INDEX(Classes!$C$6:$C$420,$M3420))</f>
        <v/>
      </c>
      <c r="F3420" s="63"/>
      <c r="G3420" s="63"/>
      <c r="H3420" s="60"/>
      <c r="I3420" s="60"/>
      <c r="J3420" s="63"/>
      <c r="K3420" s="61" t="str">
        <f aca="false">IF($P3420=0,"",IF($F3420="Baseline","— Baseline",IF($O3420=0,"No result",IF($N3420=0,"No Start (attainment only)",IF(OR($N3420=1,$O3420=1),"U – needs rule",INDEX(MxBody,MATCH($I3420,MxCurr,0),MATCH($H3420,MxStart,0)))))))</f>
        <v/>
      </c>
      <c r="L3420" s="62" t="str">
        <f aca="false">IF(COUNTA($A3420,$F3420,$G3420,$H3420,$I3420,$J3420)=0,"",IF($M3420=0,"✖ كود الصف غير موجود",IF(ISNA(MATCH($F3420,Lists!$A$2:$A$5,0)),"✖ الفترة غير صحيحة",IF(ISNA(MATCH($G3420,Lists!$B$2:$B$7,0)),"✖ المجموعة غير صحيحة",IF(NOT(OR($H3420="",$N3420&gt;0)),"✖ Start غير صحيح",IF(NOT(OR($I3420="",$I3420="NR",$O3420&gt;0)),"✖ Current غير صحيح",IF(NOT(IF(ISNUMBER($J3420),AND($J3420&gt;=0,$J3420=INT($J3420)),FALSE())),"✖ العدد يجب أن يكون صحيحًا ≥ 0",IF(AND($F3420="Baseline",$H3420&lt;&gt;""),"⚠ Baseline: Start لا يدخل في التقدم",IF($K3420="No Start (attainment only)","ℹ تحصيل فقط (بدون Start)",IF($K3420="U – needs rule","ℹ حالة U تحتاج قاعدة معتمدة",IF($K3420="No result","ℹ بدون نتيجة (يُستبعد من التحصيل)","OK")))))))))))</f>
        <v/>
      </c>
      <c r="M3420" s="64" t="n">
        <f aca="false">IF($A3420="",0,IFERROR(MATCH($A3420,Classes!$A$6:$A$420,0),0))</f>
        <v>0</v>
      </c>
      <c r="N3420" s="64" t="n">
        <f aca="false">IF($H3420="",0,IFERROR(MATCH($H3420,GradeList,0),0))</f>
        <v>0</v>
      </c>
      <c r="O3420" s="64" t="n">
        <f aca="false">IF(OR($I3420="",$I3420="NR"),0,IFERROR(MATCH($I3420,GradeList,0),0))</f>
        <v>0</v>
      </c>
      <c r="P3420" s="64" t="n">
        <f aca="false">IF(AND($M3420&gt;0,ISNUMBER(MATCH($F3420,Lists!$A$2:$A$5,0)),ISNUMBER(MATCH($G3420,Lists!$B$2:$B$7,0)),OR($H3420="",$N3420&gt;0),OR($I3420="",$I3420="NR",$O3420&gt;0),IF(ISNUMBER($J3420),AND($J3420&gt;=0,$J3420=INT($J3420)),FALSE())),$J3420,0)</f>
        <v>0</v>
      </c>
      <c r="Q3420" s="64" t="n">
        <f aca="false">IF(AND($P3420&gt;0,$O3420&gt;0),$P3420,0)</f>
        <v>0</v>
      </c>
      <c r="R3420" s="64" t="n">
        <f aca="false">IF(AND($Q3420&gt;0,$O3420&gt;=AtRank),$Q3420,0)</f>
        <v>0</v>
      </c>
      <c r="S3420" s="64" t="n">
        <f aca="false">IF(AND($Q3420&gt;0,$O3420&gt;=AboveRank),$Q3420,0)</f>
        <v>0</v>
      </c>
      <c r="T3420" s="64" t="n">
        <f aca="false">IF($K3420="Less",$P3420,0)</f>
        <v>0</v>
      </c>
      <c r="U3420" s="64" t="n">
        <f aca="false">IF($K3420="Expected",$P3420,0)</f>
        <v>0</v>
      </c>
      <c r="V3420" s="64" t="n">
        <f aca="false">IF($K3420="Better",$P3420,0)</f>
        <v>0</v>
      </c>
      <c r="W3420" s="64" t="n">
        <f aca="false">IF($K3420="U – needs rule",$P3420,0)</f>
        <v>0</v>
      </c>
      <c r="X3420" s="64" t="n">
        <f aca="false">IF($K3420="No Start (attainment only)",$P3420,0)</f>
        <v>0</v>
      </c>
    </row>
    <row r="3421" customFormat="false" ht="15" hidden="false" customHeight="false" outlineLevel="0" collapsed="false">
      <c r="A3421" s="60"/>
      <c r="B3421" s="61" t="str">
        <f aca="false">IF($M3421=0,"",INDEX(Classes!$E$6:$E$420,$M3421))</f>
        <v/>
      </c>
      <c r="C3421" s="62" t="str">
        <f aca="false">IF($M3421=0,"",INDEX(Classes!$H$6:$H$420,$M3421))</f>
        <v/>
      </c>
      <c r="D3421" s="61" t="str">
        <f aca="false">IF($M3421=0,"",INDEX(Classes!$B$6:$B$420,$M3421))</f>
        <v/>
      </c>
      <c r="E3421" s="61" t="str">
        <f aca="false">IF($M3421=0,"",INDEX(Classes!$C$6:$C$420,$M3421))</f>
        <v/>
      </c>
      <c r="F3421" s="63"/>
      <c r="G3421" s="63"/>
      <c r="H3421" s="60"/>
      <c r="I3421" s="60"/>
      <c r="J3421" s="63"/>
      <c r="K3421" s="61" t="str">
        <f aca="false">IF($P3421=0,"",IF($F3421="Baseline","— Baseline",IF($O3421=0,"No result",IF($N3421=0,"No Start (attainment only)",IF(OR($N3421=1,$O3421=1),"U – needs rule",INDEX(MxBody,MATCH($I3421,MxCurr,0),MATCH($H3421,MxStart,0)))))))</f>
        <v/>
      </c>
      <c r="L3421" s="62" t="str">
        <f aca="false">IF(COUNTA($A3421,$F3421,$G3421,$H3421,$I3421,$J3421)=0,"",IF($M3421=0,"✖ كود الصف غير موجود",IF(ISNA(MATCH($F3421,Lists!$A$2:$A$5,0)),"✖ الفترة غير صحيحة",IF(ISNA(MATCH($G3421,Lists!$B$2:$B$7,0)),"✖ المجموعة غير صحيحة",IF(NOT(OR($H3421="",$N3421&gt;0)),"✖ Start غير صحيح",IF(NOT(OR($I3421="",$I3421="NR",$O3421&gt;0)),"✖ Current غير صحيح",IF(NOT(IF(ISNUMBER($J3421),AND($J3421&gt;=0,$J3421=INT($J3421)),FALSE())),"✖ العدد يجب أن يكون صحيحًا ≥ 0",IF(AND($F3421="Baseline",$H3421&lt;&gt;""),"⚠ Baseline: Start لا يدخل في التقدم",IF($K3421="No Start (attainment only)","ℹ تحصيل فقط (بدون Start)",IF($K3421="U – needs rule","ℹ حالة U تحتاج قاعدة معتمدة",IF($K3421="No result","ℹ بدون نتيجة (يُستبعد من التحصيل)","OK")))))))))))</f>
        <v/>
      </c>
      <c r="M3421" s="64" t="n">
        <f aca="false">IF($A3421="",0,IFERROR(MATCH($A3421,Classes!$A$6:$A$420,0),0))</f>
        <v>0</v>
      </c>
      <c r="N3421" s="64" t="n">
        <f aca="false">IF($H3421="",0,IFERROR(MATCH($H3421,GradeList,0),0))</f>
        <v>0</v>
      </c>
      <c r="O3421" s="64" t="n">
        <f aca="false">IF(OR($I3421="",$I3421="NR"),0,IFERROR(MATCH($I3421,GradeList,0),0))</f>
        <v>0</v>
      </c>
      <c r="P3421" s="64" t="n">
        <f aca="false">IF(AND($M3421&gt;0,ISNUMBER(MATCH($F3421,Lists!$A$2:$A$5,0)),ISNUMBER(MATCH($G3421,Lists!$B$2:$B$7,0)),OR($H3421="",$N3421&gt;0),OR($I3421="",$I3421="NR",$O3421&gt;0),IF(ISNUMBER($J3421),AND($J3421&gt;=0,$J3421=INT($J3421)),FALSE())),$J3421,0)</f>
        <v>0</v>
      </c>
      <c r="Q3421" s="64" t="n">
        <f aca="false">IF(AND($P3421&gt;0,$O3421&gt;0),$P3421,0)</f>
        <v>0</v>
      </c>
      <c r="R3421" s="64" t="n">
        <f aca="false">IF(AND($Q3421&gt;0,$O3421&gt;=AtRank),$Q3421,0)</f>
        <v>0</v>
      </c>
      <c r="S3421" s="64" t="n">
        <f aca="false">IF(AND($Q3421&gt;0,$O3421&gt;=AboveRank),$Q3421,0)</f>
        <v>0</v>
      </c>
      <c r="T3421" s="64" t="n">
        <f aca="false">IF($K3421="Less",$P3421,0)</f>
        <v>0</v>
      </c>
      <c r="U3421" s="64" t="n">
        <f aca="false">IF($K3421="Expected",$P3421,0)</f>
        <v>0</v>
      </c>
      <c r="V3421" s="64" t="n">
        <f aca="false">IF($K3421="Better",$P3421,0)</f>
        <v>0</v>
      </c>
      <c r="W3421" s="64" t="n">
        <f aca="false">IF($K3421="U – needs rule",$P3421,0)</f>
        <v>0</v>
      </c>
      <c r="X3421" s="64" t="n">
        <f aca="false">IF($K3421="No Start (attainment only)",$P3421,0)</f>
        <v>0</v>
      </c>
    </row>
    <row r="3422" customFormat="false" ht="15" hidden="false" customHeight="false" outlineLevel="0" collapsed="false">
      <c r="A3422" s="60"/>
      <c r="B3422" s="61" t="str">
        <f aca="false">IF($M3422=0,"",INDEX(Classes!$E$6:$E$420,$M3422))</f>
        <v/>
      </c>
      <c r="C3422" s="62" t="str">
        <f aca="false">IF($M3422=0,"",INDEX(Classes!$H$6:$H$420,$M3422))</f>
        <v/>
      </c>
      <c r="D3422" s="61" t="str">
        <f aca="false">IF($M3422=0,"",INDEX(Classes!$B$6:$B$420,$M3422))</f>
        <v/>
      </c>
      <c r="E3422" s="61" t="str">
        <f aca="false">IF($M3422=0,"",INDEX(Classes!$C$6:$C$420,$M3422))</f>
        <v/>
      </c>
      <c r="F3422" s="63"/>
      <c r="G3422" s="63"/>
      <c r="H3422" s="60"/>
      <c r="I3422" s="60"/>
      <c r="J3422" s="63"/>
      <c r="K3422" s="61" t="str">
        <f aca="false">IF($P3422=0,"",IF($F3422="Baseline","— Baseline",IF($O3422=0,"No result",IF($N3422=0,"No Start (attainment only)",IF(OR($N3422=1,$O3422=1),"U – needs rule",INDEX(MxBody,MATCH($I3422,MxCurr,0),MATCH($H3422,MxStart,0)))))))</f>
        <v/>
      </c>
      <c r="L3422" s="62" t="str">
        <f aca="false">IF(COUNTA($A3422,$F3422,$G3422,$H3422,$I3422,$J3422)=0,"",IF($M3422=0,"✖ كود الصف غير موجود",IF(ISNA(MATCH($F3422,Lists!$A$2:$A$5,0)),"✖ الفترة غير صحيحة",IF(ISNA(MATCH($G3422,Lists!$B$2:$B$7,0)),"✖ المجموعة غير صحيحة",IF(NOT(OR($H3422="",$N3422&gt;0)),"✖ Start غير صحيح",IF(NOT(OR($I3422="",$I3422="NR",$O3422&gt;0)),"✖ Current غير صحيح",IF(NOT(IF(ISNUMBER($J3422),AND($J3422&gt;=0,$J3422=INT($J3422)),FALSE())),"✖ العدد يجب أن يكون صحيحًا ≥ 0",IF(AND($F3422="Baseline",$H3422&lt;&gt;""),"⚠ Baseline: Start لا يدخل في التقدم",IF($K3422="No Start (attainment only)","ℹ تحصيل فقط (بدون Start)",IF($K3422="U – needs rule","ℹ حالة U تحتاج قاعدة معتمدة",IF($K3422="No result","ℹ بدون نتيجة (يُستبعد من التحصيل)","OK")))))))))))</f>
        <v/>
      </c>
      <c r="M3422" s="64" t="n">
        <f aca="false">IF($A3422="",0,IFERROR(MATCH($A3422,Classes!$A$6:$A$420,0),0))</f>
        <v>0</v>
      </c>
      <c r="N3422" s="64" t="n">
        <f aca="false">IF($H3422="",0,IFERROR(MATCH($H3422,GradeList,0),0))</f>
        <v>0</v>
      </c>
      <c r="O3422" s="64" t="n">
        <f aca="false">IF(OR($I3422="",$I3422="NR"),0,IFERROR(MATCH($I3422,GradeList,0),0))</f>
        <v>0</v>
      </c>
      <c r="P3422" s="64" t="n">
        <f aca="false">IF(AND($M3422&gt;0,ISNUMBER(MATCH($F3422,Lists!$A$2:$A$5,0)),ISNUMBER(MATCH($G3422,Lists!$B$2:$B$7,0)),OR($H3422="",$N3422&gt;0),OR($I3422="",$I3422="NR",$O3422&gt;0),IF(ISNUMBER($J3422),AND($J3422&gt;=0,$J3422=INT($J3422)),FALSE())),$J3422,0)</f>
        <v>0</v>
      </c>
      <c r="Q3422" s="64" t="n">
        <f aca="false">IF(AND($P3422&gt;0,$O3422&gt;0),$P3422,0)</f>
        <v>0</v>
      </c>
      <c r="R3422" s="64" t="n">
        <f aca="false">IF(AND($Q3422&gt;0,$O3422&gt;=AtRank),$Q3422,0)</f>
        <v>0</v>
      </c>
      <c r="S3422" s="64" t="n">
        <f aca="false">IF(AND($Q3422&gt;0,$O3422&gt;=AboveRank),$Q3422,0)</f>
        <v>0</v>
      </c>
      <c r="T3422" s="64" t="n">
        <f aca="false">IF($K3422="Less",$P3422,0)</f>
        <v>0</v>
      </c>
      <c r="U3422" s="64" t="n">
        <f aca="false">IF($K3422="Expected",$P3422,0)</f>
        <v>0</v>
      </c>
      <c r="V3422" s="64" t="n">
        <f aca="false">IF($K3422="Better",$P3422,0)</f>
        <v>0</v>
      </c>
      <c r="W3422" s="64" t="n">
        <f aca="false">IF($K3422="U – needs rule",$P3422,0)</f>
        <v>0</v>
      </c>
      <c r="X3422" s="64" t="n">
        <f aca="false">IF($K3422="No Start (attainment only)",$P3422,0)</f>
        <v>0</v>
      </c>
    </row>
    <row r="3423" customFormat="false" ht="15" hidden="false" customHeight="false" outlineLevel="0" collapsed="false">
      <c r="A3423" s="60"/>
      <c r="B3423" s="61" t="str">
        <f aca="false">IF($M3423=0,"",INDEX(Classes!$E$6:$E$420,$M3423))</f>
        <v/>
      </c>
      <c r="C3423" s="62" t="str">
        <f aca="false">IF($M3423=0,"",INDEX(Classes!$H$6:$H$420,$M3423))</f>
        <v/>
      </c>
      <c r="D3423" s="61" t="str">
        <f aca="false">IF($M3423=0,"",INDEX(Classes!$B$6:$B$420,$M3423))</f>
        <v/>
      </c>
      <c r="E3423" s="61" t="str">
        <f aca="false">IF($M3423=0,"",INDEX(Classes!$C$6:$C$420,$M3423))</f>
        <v/>
      </c>
      <c r="F3423" s="63"/>
      <c r="G3423" s="63"/>
      <c r="H3423" s="60"/>
      <c r="I3423" s="60"/>
      <c r="J3423" s="63"/>
      <c r="K3423" s="61" t="str">
        <f aca="false">IF($P3423=0,"",IF($F3423="Baseline","— Baseline",IF($O3423=0,"No result",IF($N3423=0,"No Start (attainment only)",IF(OR($N3423=1,$O3423=1),"U – needs rule",INDEX(MxBody,MATCH($I3423,MxCurr,0),MATCH($H3423,MxStart,0)))))))</f>
        <v/>
      </c>
      <c r="L3423" s="62" t="str">
        <f aca="false">IF(COUNTA($A3423,$F3423,$G3423,$H3423,$I3423,$J3423)=0,"",IF($M3423=0,"✖ كود الصف غير موجود",IF(ISNA(MATCH($F3423,Lists!$A$2:$A$5,0)),"✖ الفترة غير صحيحة",IF(ISNA(MATCH($G3423,Lists!$B$2:$B$7,0)),"✖ المجموعة غير صحيحة",IF(NOT(OR($H3423="",$N3423&gt;0)),"✖ Start غير صحيح",IF(NOT(OR($I3423="",$I3423="NR",$O3423&gt;0)),"✖ Current غير صحيح",IF(NOT(IF(ISNUMBER($J3423),AND($J3423&gt;=0,$J3423=INT($J3423)),FALSE())),"✖ العدد يجب أن يكون صحيحًا ≥ 0",IF(AND($F3423="Baseline",$H3423&lt;&gt;""),"⚠ Baseline: Start لا يدخل في التقدم",IF($K3423="No Start (attainment only)","ℹ تحصيل فقط (بدون Start)",IF($K3423="U – needs rule","ℹ حالة U تحتاج قاعدة معتمدة",IF($K3423="No result","ℹ بدون نتيجة (يُستبعد من التحصيل)","OK")))))))))))</f>
        <v/>
      </c>
      <c r="M3423" s="64" t="n">
        <f aca="false">IF($A3423="",0,IFERROR(MATCH($A3423,Classes!$A$6:$A$420,0),0))</f>
        <v>0</v>
      </c>
      <c r="N3423" s="64" t="n">
        <f aca="false">IF($H3423="",0,IFERROR(MATCH($H3423,GradeList,0),0))</f>
        <v>0</v>
      </c>
      <c r="O3423" s="64" t="n">
        <f aca="false">IF(OR($I3423="",$I3423="NR"),0,IFERROR(MATCH($I3423,GradeList,0),0))</f>
        <v>0</v>
      </c>
      <c r="P3423" s="64" t="n">
        <f aca="false">IF(AND($M3423&gt;0,ISNUMBER(MATCH($F3423,Lists!$A$2:$A$5,0)),ISNUMBER(MATCH($G3423,Lists!$B$2:$B$7,0)),OR($H3423="",$N3423&gt;0),OR($I3423="",$I3423="NR",$O3423&gt;0),IF(ISNUMBER($J3423),AND($J3423&gt;=0,$J3423=INT($J3423)),FALSE())),$J3423,0)</f>
        <v>0</v>
      </c>
      <c r="Q3423" s="64" t="n">
        <f aca="false">IF(AND($P3423&gt;0,$O3423&gt;0),$P3423,0)</f>
        <v>0</v>
      </c>
      <c r="R3423" s="64" t="n">
        <f aca="false">IF(AND($Q3423&gt;0,$O3423&gt;=AtRank),$Q3423,0)</f>
        <v>0</v>
      </c>
      <c r="S3423" s="64" t="n">
        <f aca="false">IF(AND($Q3423&gt;0,$O3423&gt;=AboveRank),$Q3423,0)</f>
        <v>0</v>
      </c>
      <c r="T3423" s="64" t="n">
        <f aca="false">IF($K3423="Less",$P3423,0)</f>
        <v>0</v>
      </c>
      <c r="U3423" s="64" t="n">
        <f aca="false">IF($K3423="Expected",$P3423,0)</f>
        <v>0</v>
      </c>
      <c r="V3423" s="64" t="n">
        <f aca="false">IF($K3423="Better",$P3423,0)</f>
        <v>0</v>
      </c>
      <c r="W3423" s="64" t="n">
        <f aca="false">IF($K3423="U – needs rule",$P3423,0)</f>
        <v>0</v>
      </c>
      <c r="X3423" s="64" t="n">
        <f aca="false">IF($K3423="No Start (attainment only)",$P3423,0)</f>
        <v>0</v>
      </c>
    </row>
    <row r="3424" customFormat="false" ht="15" hidden="false" customHeight="false" outlineLevel="0" collapsed="false">
      <c r="A3424" s="60"/>
      <c r="B3424" s="61" t="str">
        <f aca="false">IF($M3424=0,"",INDEX(Classes!$E$6:$E$420,$M3424))</f>
        <v/>
      </c>
      <c r="C3424" s="62" t="str">
        <f aca="false">IF($M3424=0,"",INDEX(Classes!$H$6:$H$420,$M3424))</f>
        <v/>
      </c>
      <c r="D3424" s="61" t="str">
        <f aca="false">IF($M3424=0,"",INDEX(Classes!$B$6:$B$420,$M3424))</f>
        <v/>
      </c>
      <c r="E3424" s="61" t="str">
        <f aca="false">IF($M3424=0,"",INDEX(Classes!$C$6:$C$420,$M3424))</f>
        <v/>
      </c>
      <c r="F3424" s="63"/>
      <c r="G3424" s="63"/>
      <c r="H3424" s="60"/>
      <c r="I3424" s="60"/>
      <c r="J3424" s="63"/>
      <c r="K3424" s="61" t="str">
        <f aca="false">IF($P3424=0,"",IF($F3424="Baseline","— Baseline",IF($O3424=0,"No result",IF($N3424=0,"No Start (attainment only)",IF(OR($N3424=1,$O3424=1),"U – needs rule",INDEX(MxBody,MATCH($I3424,MxCurr,0),MATCH($H3424,MxStart,0)))))))</f>
        <v/>
      </c>
      <c r="L3424" s="62" t="str">
        <f aca="false">IF(COUNTA($A3424,$F3424,$G3424,$H3424,$I3424,$J3424)=0,"",IF($M3424=0,"✖ كود الصف غير موجود",IF(ISNA(MATCH($F3424,Lists!$A$2:$A$5,0)),"✖ الفترة غير صحيحة",IF(ISNA(MATCH($G3424,Lists!$B$2:$B$7,0)),"✖ المجموعة غير صحيحة",IF(NOT(OR($H3424="",$N3424&gt;0)),"✖ Start غير صحيح",IF(NOT(OR($I3424="",$I3424="NR",$O3424&gt;0)),"✖ Current غير صحيح",IF(NOT(IF(ISNUMBER($J3424),AND($J3424&gt;=0,$J3424=INT($J3424)),FALSE())),"✖ العدد يجب أن يكون صحيحًا ≥ 0",IF(AND($F3424="Baseline",$H3424&lt;&gt;""),"⚠ Baseline: Start لا يدخل في التقدم",IF($K3424="No Start (attainment only)","ℹ تحصيل فقط (بدون Start)",IF($K3424="U – needs rule","ℹ حالة U تحتاج قاعدة معتمدة",IF($K3424="No result","ℹ بدون نتيجة (يُستبعد من التحصيل)","OK")))))))))))</f>
        <v/>
      </c>
      <c r="M3424" s="64" t="n">
        <f aca="false">IF($A3424="",0,IFERROR(MATCH($A3424,Classes!$A$6:$A$420,0),0))</f>
        <v>0</v>
      </c>
      <c r="N3424" s="64" t="n">
        <f aca="false">IF($H3424="",0,IFERROR(MATCH($H3424,GradeList,0),0))</f>
        <v>0</v>
      </c>
      <c r="O3424" s="64" t="n">
        <f aca="false">IF(OR($I3424="",$I3424="NR"),0,IFERROR(MATCH($I3424,GradeList,0),0))</f>
        <v>0</v>
      </c>
      <c r="P3424" s="64" t="n">
        <f aca="false">IF(AND($M3424&gt;0,ISNUMBER(MATCH($F3424,Lists!$A$2:$A$5,0)),ISNUMBER(MATCH($G3424,Lists!$B$2:$B$7,0)),OR($H3424="",$N3424&gt;0),OR($I3424="",$I3424="NR",$O3424&gt;0),IF(ISNUMBER($J3424),AND($J3424&gt;=0,$J3424=INT($J3424)),FALSE())),$J3424,0)</f>
        <v>0</v>
      </c>
      <c r="Q3424" s="64" t="n">
        <f aca="false">IF(AND($P3424&gt;0,$O3424&gt;0),$P3424,0)</f>
        <v>0</v>
      </c>
      <c r="R3424" s="64" t="n">
        <f aca="false">IF(AND($Q3424&gt;0,$O3424&gt;=AtRank),$Q3424,0)</f>
        <v>0</v>
      </c>
      <c r="S3424" s="64" t="n">
        <f aca="false">IF(AND($Q3424&gt;0,$O3424&gt;=AboveRank),$Q3424,0)</f>
        <v>0</v>
      </c>
      <c r="T3424" s="64" t="n">
        <f aca="false">IF($K3424="Less",$P3424,0)</f>
        <v>0</v>
      </c>
      <c r="U3424" s="64" t="n">
        <f aca="false">IF($K3424="Expected",$P3424,0)</f>
        <v>0</v>
      </c>
      <c r="V3424" s="64" t="n">
        <f aca="false">IF($K3424="Better",$P3424,0)</f>
        <v>0</v>
      </c>
      <c r="W3424" s="64" t="n">
        <f aca="false">IF($K3424="U – needs rule",$P3424,0)</f>
        <v>0</v>
      </c>
      <c r="X3424" s="64" t="n">
        <f aca="false">IF($K3424="No Start (attainment only)",$P3424,0)</f>
        <v>0</v>
      </c>
    </row>
    <row r="3425" customFormat="false" ht="15" hidden="false" customHeight="false" outlineLevel="0" collapsed="false">
      <c r="A3425" s="60"/>
      <c r="B3425" s="61" t="str">
        <f aca="false">IF($M3425=0,"",INDEX(Classes!$E$6:$E$420,$M3425))</f>
        <v/>
      </c>
      <c r="C3425" s="62" t="str">
        <f aca="false">IF($M3425=0,"",INDEX(Classes!$H$6:$H$420,$M3425))</f>
        <v/>
      </c>
      <c r="D3425" s="61" t="str">
        <f aca="false">IF($M3425=0,"",INDEX(Classes!$B$6:$B$420,$M3425))</f>
        <v/>
      </c>
      <c r="E3425" s="61" t="str">
        <f aca="false">IF($M3425=0,"",INDEX(Classes!$C$6:$C$420,$M3425))</f>
        <v/>
      </c>
      <c r="F3425" s="63"/>
      <c r="G3425" s="63"/>
      <c r="H3425" s="60"/>
      <c r="I3425" s="60"/>
      <c r="J3425" s="63"/>
      <c r="K3425" s="61" t="str">
        <f aca="false">IF($P3425=0,"",IF($F3425="Baseline","— Baseline",IF($O3425=0,"No result",IF($N3425=0,"No Start (attainment only)",IF(OR($N3425=1,$O3425=1),"U – needs rule",INDEX(MxBody,MATCH($I3425,MxCurr,0),MATCH($H3425,MxStart,0)))))))</f>
        <v/>
      </c>
      <c r="L3425" s="62" t="str">
        <f aca="false">IF(COUNTA($A3425,$F3425,$G3425,$H3425,$I3425,$J3425)=0,"",IF($M3425=0,"✖ كود الصف غير موجود",IF(ISNA(MATCH($F3425,Lists!$A$2:$A$5,0)),"✖ الفترة غير صحيحة",IF(ISNA(MATCH($G3425,Lists!$B$2:$B$7,0)),"✖ المجموعة غير صحيحة",IF(NOT(OR($H3425="",$N3425&gt;0)),"✖ Start غير صحيح",IF(NOT(OR($I3425="",$I3425="NR",$O3425&gt;0)),"✖ Current غير صحيح",IF(NOT(IF(ISNUMBER($J3425),AND($J3425&gt;=0,$J3425=INT($J3425)),FALSE())),"✖ العدد يجب أن يكون صحيحًا ≥ 0",IF(AND($F3425="Baseline",$H3425&lt;&gt;""),"⚠ Baseline: Start لا يدخل في التقدم",IF($K3425="No Start (attainment only)","ℹ تحصيل فقط (بدون Start)",IF($K3425="U – needs rule","ℹ حالة U تحتاج قاعدة معتمدة",IF($K3425="No result","ℹ بدون نتيجة (يُستبعد من التحصيل)","OK")))))))))))</f>
        <v/>
      </c>
      <c r="M3425" s="64" t="n">
        <f aca="false">IF($A3425="",0,IFERROR(MATCH($A3425,Classes!$A$6:$A$420,0),0))</f>
        <v>0</v>
      </c>
      <c r="N3425" s="64" t="n">
        <f aca="false">IF($H3425="",0,IFERROR(MATCH($H3425,GradeList,0),0))</f>
        <v>0</v>
      </c>
      <c r="O3425" s="64" t="n">
        <f aca="false">IF(OR($I3425="",$I3425="NR"),0,IFERROR(MATCH($I3425,GradeList,0),0))</f>
        <v>0</v>
      </c>
      <c r="P3425" s="64" t="n">
        <f aca="false">IF(AND($M3425&gt;0,ISNUMBER(MATCH($F3425,Lists!$A$2:$A$5,0)),ISNUMBER(MATCH($G3425,Lists!$B$2:$B$7,0)),OR($H3425="",$N3425&gt;0),OR($I3425="",$I3425="NR",$O3425&gt;0),IF(ISNUMBER($J3425),AND($J3425&gt;=0,$J3425=INT($J3425)),FALSE())),$J3425,0)</f>
        <v>0</v>
      </c>
      <c r="Q3425" s="64" t="n">
        <f aca="false">IF(AND($P3425&gt;0,$O3425&gt;0),$P3425,0)</f>
        <v>0</v>
      </c>
      <c r="R3425" s="64" t="n">
        <f aca="false">IF(AND($Q3425&gt;0,$O3425&gt;=AtRank),$Q3425,0)</f>
        <v>0</v>
      </c>
      <c r="S3425" s="64" t="n">
        <f aca="false">IF(AND($Q3425&gt;0,$O3425&gt;=AboveRank),$Q3425,0)</f>
        <v>0</v>
      </c>
      <c r="T3425" s="64" t="n">
        <f aca="false">IF($K3425="Less",$P3425,0)</f>
        <v>0</v>
      </c>
      <c r="U3425" s="64" t="n">
        <f aca="false">IF($K3425="Expected",$P3425,0)</f>
        <v>0</v>
      </c>
      <c r="V3425" s="64" t="n">
        <f aca="false">IF($K3425="Better",$P3425,0)</f>
        <v>0</v>
      </c>
      <c r="W3425" s="64" t="n">
        <f aca="false">IF($K3425="U – needs rule",$P3425,0)</f>
        <v>0</v>
      </c>
      <c r="X3425" s="64" t="n">
        <f aca="false">IF($K3425="No Start (attainment only)",$P3425,0)</f>
        <v>0</v>
      </c>
    </row>
    <row r="3426" customFormat="false" ht="15" hidden="false" customHeight="false" outlineLevel="0" collapsed="false">
      <c r="A3426" s="60"/>
      <c r="B3426" s="61" t="str">
        <f aca="false">IF($M3426=0,"",INDEX(Classes!$E$6:$E$420,$M3426))</f>
        <v/>
      </c>
      <c r="C3426" s="62" t="str">
        <f aca="false">IF($M3426=0,"",INDEX(Classes!$H$6:$H$420,$M3426))</f>
        <v/>
      </c>
      <c r="D3426" s="61" t="str">
        <f aca="false">IF($M3426=0,"",INDEX(Classes!$B$6:$B$420,$M3426))</f>
        <v/>
      </c>
      <c r="E3426" s="61" t="str">
        <f aca="false">IF($M3426=0,"",INDEX(Classes!$C$6:$C$420,$M3426))</f>
        <v/>
      </c>
      <c r="F3426" s="63"/>
      <c r="G3426" s="63"/>
      <c r="H3426" s="60"/>
      <c r="I3426" s="60"/>
      <c r="J3426" s="63"/>
      <c r="K3426" s="61" t="str">
        <f aca="false">IF($P3426=0,"",IF($F3426="Baseline","— Baseline",IF($O3426=0,"No result",IF($N3426=0,"No Start (attainment only)",IF(OR($N3426=1,$O3426=1),"U – needs rule",INDEX(MxBody,MATCH($I3426,MxCurr,0),MATCH($H3426,MxStart,0)))))))</f>
        <v/>
      </c>
      <c r="L3426" s="62" t="str">
        <f aca="false">IF(COUNTA($A3426,$F3426,$G3426,$H3426,$I3426,$J3426)=0,"",IF($M3426=0,"✖ كود الصف غير موجود",IF(ISNA(MATCH($F3426,Lists!$A$2:$A$5,0)),"✖ الفترة غير صحيحة",IF(ISNA(MATCH($G3426,Lists!$B$2:$B$7,0)),"✖ المجموعة غير صحيحة",IF(NOT(OR($H3426="",$N3426&gt;0)),"✖ Start غير صحيح",IF(NOT(OR($I3426="",$I3426="NR",$O3426&gt;0)),"✖ Current غير صحيح",IF(NOT(IF(ISNUMBER($J3426),AND($J3426&gt;=0,$J3426=INT($J3426)),FALSE())),"✖ العدد يجب أن يكون صحيحًا ≥ 0",IF(AND($F3426="Baseline",$H3426&lt;&gt;""),"⚠ Baseline: Start لا يدخل في التقدم",IF($K3426="No Start (attainment only)","ℹ تحصيل فقط (بدون Start)",IF($K3426="U – needs rule","ℹ حالة U تحتاج قاعدة معتمدة",IF($K3426="No result","ℹ بدون نتيجة (يُستبعد من التحصيل)","OK")))))))))))</f>
        <v/>
      </c>
      <c r="M3426" s="64" t="n">
        <f aca="false">IF($A3426="",0,IFERROR(MATCH($A3426,Classes!$A$6:$A$420,0),0))</f>
        <v>0</v>
      </c>
      <c r="N3426" s="64" t="n">
        <f aca="false">IF($H3426="",0,IFERROR(MATCH($H3426,GradeList,0),0))</f>
        <v>0</v>
      </c>
      <c r="O3426" s="64" t="n">
        <f aca="false">IF(OR($I3426="",$I3426="NR"),0,IFERROR(MATCH($I3426,GradeList,0),0))</f>
        <v>0</v>
      </c>
      <c r="P3426" s="64" t="n">
        <f aca="false">IF(AND($M3426&gt;0,ISNUMBER(MATCH($F3426,Lists!$A$2:$A$5,0)),ISNUMBER(MATCH($G3426,Lists!$B$2:$B$7,0)),OR($H3426="",$N3426&gt;0),OR($I3426="",$I3426="NR",$O3426&gt;0),IF(ISNUMBER($J3426),AND($J3426&gt;=0,$J3426=INT($J3426)),FALSE())),$J3426,0)</f>
        <v>0</v>
      </c>
      <c r="Q3426" s="64" t="n">
        <f aca="false">IF(AND($P3426&gt;0,$O3426&gt;0),$P3426,0)</f>
        <v>0</v>
      </c>
      <c r="R3426" s="64" t="n">
        <f aca="false">IF(AND($Q3426&gt;0,$O3426&gt;=AtRank),$Q3426,0)</f>
        <v>0</v>
      </c>
      <c r="S3426" s="64" t="n">
        <f aca="false">IF(AND($Q3426&gt;0,$O3426&gt;=AboveRank),$Q3426,0)</f>
        <v>0</v>
      </c>
      <c r="T3426" s="64" t="n">
        <f aca="false">IF($K3426="Less",$P3426,0)</f>
        <v>0</v>
      </c>
      <c r="U3426" s="64" t="n">
        <f aca="false">IF($K3426="Expected",$P3426,0)</f>
        <v>0</v>
      </c>
      <c r="V3426" s="64" t="n">
        <f aca="false">IF($K3426="Better",$P3426,0)</f>
        <v>0</v>
      </c>
      <c r="W3426" s="64" t="n">
        <f aca="false">IF($K3426="U – needs rule",$P3426,0)</f>
        <v>0</v>
      </c>
      <c r="X3426" s="64" t="n">
        <f aca="false">IF($K3426="No Start (attainment only)",$P3426,0)</f>
        <v>0</v>
      </c>
    </row>
    <row r="3427" customFormat="false" ht="15" hidden="false" customHeight="false" outlineLevel="0" collapsed="false">
      <c r="A3427" s="60"/>
      <c r="B3427" s="61" t="str">
        <f aca="false">IF($M3427=0,"",INDEX(Classes!$E$6:$E$420,$M3427))</f>
        <v/>
      </c>
      <c r="C3427" s="62" t="str">
        <f aca="false">IF($M3427=0,"",INDEX(Classes!$H$6:$H$420,$M3427))</f>
        <v/>
      </c>
      <c r="D3427" s="61" t="str">
        <f aca="false">IF($M3427=0,"",INDEX(Classes!$B$6:$B$420,$M3427))</f>
        <v/>
      </c>
      <c r="E3427" s="61" t="str">
        <f aca="false">IF($M3427=0,"",INDEX(Classes!$C$6:$C$420,$M3427))</f>
        <v/>
      </c>
      <c r="F3427" s="63"/>
      <c r="G3427" s="63"/>
      <c r="H3427" s="60"/>
      <c r="I3427" s="60"/>
      <c r="J3427" s="63"/>
      <c r="K3427" s="61" t="str">
        <f aca="false">IF($P3427=0,"",IF($F3427="Baseline","— Baseline",IF($O3427=0,"No result",IF($N3427=0,"No Start (attainment only)",IF(OR($N3427=1,$O3427=1),"U – needs rule",INDEX(MxBody,MATCH($I3427,MxCurr,0),MATCH($H3427,MxStart,0)))))))</f>
        <v/>
      </c>
      <c r="L3427" s="62" t="str">
        <f aca="false">IF(COUNTA($A3427,$F3427,$G3427,$H3427,$I3427,$J3427)=0,"",IF($M3427=0,"✖ كود الصف غير موجود",IF(ISNA(MATCH($F3427,Lists!$A$2:$A$5,0)),"✖ الفترة غير صحيحة",IF(ISNA(MATCH($G3427,Lists!$B$2:$B$7,0)),"✖ المجموعة غير صحيحة",IF(NOT(OR($H3427="",$N3427&gt;0)),"✖ Start غير صحيح",IF(NOT(OR($I3427="",$I3427="NR",$O3427&gt;0)),"✖ Current غير صحيح",IF(NOT(IF(ISNUMBER($J3427),AND($J3427&gt;=0,$J3427=INT($J3427)),FALSE())),"✖ العدد يجب أن يكون صحيحًا ≥ 0",IF(AND($F3427="Baseline",$H3427&lt;&gt;""),"⚠ Baseline: Start لا يدخل في التقدم",IF($K3427="No Start (attainment only)","ℹ تحصيل فقط (بدون Start)",IF($K3427="U – needs rule","ℹ حالة U تحتاج قاعدة معتمدة",IF($K3427="No result","ℹ بدون نتيجة (يُستبعد من التحصيل)","OK")))))))))))</f>
        <v/>
      </c>
      <c r="M3427" s="64" t="n">
        <f aca="false">IF($A3427="",0,IFERROR(MATCH($A3427,Classes!$A$6:$A$420,0),0))</f>
        <v>0</v>
      </c>
      <c r="N3427" s="64" t="n">
        <f aca="false">IF($H3427="",0,IFERROR(MATCH($H3427,GradeList,0),0))</f>
        <v>0</v>
      </c>
      <c r="O3427" s="64" t="n">
        <f aca="false">IF(OR($I3427="",$I3427="NR"),0,IFERROR(MATCH($I3427,GradeList,0),0))</f>
        <v>0</v>
      </c>
      <c r="P3427" s="64" t="n">
        <f aca="false">IF(AND($M3427&gt;0,ISNUMBER(MATCH($F3427,Lists!$A$2:$A$5,0)),ISNUMBER(MATCH($G3427,Lists!$B$2:$B$7,0)),OR($H3427="",$N3427&gt;0),OR($I3427="",$I3427="NR",$O3427&gt;0),IF(ISNUMBER($J3427),AND($J3427&gt;=0,$J3427=INT($J3427)),FALSE())),$J3427,0)</f>
        <v>0</v>
      </c>
      <c r="Q3427" s="64" t="n">
        <f aca="false">IF(AND($P3427&gt;0,$O3427&gt;0),$P3427,0)</f>
        <v>0</v>
      </c>
      <c r="R3427" s="64" t="n">
        <f aca="false">IF(AND($Q3427&gt;0,$O3427&gt;=AtRank),$Q3427,0)</f>
        <v>0</v>
      </c>
      <c r="S3427" s="64" t="n">
        <f aca="false">IF(AND($Q3427&gt;0,$O3427&gt;=AboveRank),$Q3427,0)</f>
        <v>0</v>
      </c>
      <c r="T3427" s="64" t="n">
        <f aca="false">IF($K3427="Less",$P3427,0)</f>
        <v>0</v>
      </c>
      <c r="U3427" s="64" t="n">
        <f aca="false">IF($K3427="Expected",$P3427,0)</f>
        <v>0</v>
      </c>
      <c r="V3427" s="64" t="n">
        <f aca="false">IF($K3427="Better",$P3427,0)</f>
        <v>0</v>
      </c>
      <c r="W3427" s="64" t="n">
        <f aca="false">IF($K3427="U – needs rule",$P3427,0)</f>
        <v>0</v>
      </c>
      <c r="X3427" s="64" t="n">
        <f aca="false">IF($K3427="No Start (attainment only)",$P3427,0)</f>
        <v>0</v>
      </c>
    </row>
    <row r="3428" customFormat="false" ht="15" hidden="false" customHeight="false" outlineLevel="0" collapsed="false">
      <c r="A3428" s="60"/>
      <c r="B3428" s="61" t="str">
        <f aca="false">IF($M3428=0,"",INDEX(Classes!$E$6:$E$420,$M3428))</f>
        <v/>
      </c>
      <c r="C3428" s="62" t="str">
        <f aca="false">IF($M3428=0,"",INDEX(Classes!$H$6:$H$420,$M3428))</f>
        <v/>
      </c>
      <c r="D3428" s="61" t="str">
        <f aca="false">IF($M3428=0,"",INDEX(Classes!$B$6:$B$420,$M3428))</f>
        <v/>
      </c>
      <c r="E3428" s="61" t="str">
        <f aca="false">IF($M3428=0,"",INDEX(Classes!$C$6:$C$420,$M3428))</f>
        <v/>
      </c>
      <c r="F3428" s="63"/>
      <c r="G3428" s="63"/>
      <c r="H3428" s="60"/>
      <c r="I3428" s="60"/>
      <c r="J3428" s="63"/>
      <c r="K3428" s="61" t="str">
        <f aca="false">IF($P3428=0,"",IF($F3428="Baseline","— Baseline",IF($O3428=0,"No result",IF($N3428=0,"No Start (attainment only)",IF(OR($N3428=1,$O3428=1),"U – needs rule",INDEX(MxBody,MATCH($I3428,MxCurr,0),MATCH($H3428,MxStart,0)))))))</f>
        <v/>
      </c>
      <c r="L3428" s="62" t="str">
        <f aca="false">IF(COUNTA($A3428,$F3428,$G3428,$H3428,$I3428,$J3428)=0,"",IF($M3428=0,"✖ كود الصف غير موجود",IF(ISNA(MATCH($F3428,Lists!$A$2:$A$5,0)),"✖ الفترة غير صحيحة",IF(ISNA(MATCH($G3428,Lists!$B$2:$B$7,0)),"✖ المجموعة غير صحيحة",IF(NOT(OR($H3428="",$N3428&gt;0)),"✖ Start غير صحيح",IF(NOT(OR($I3428="",$I3428="NR",$O3428&gt;0)),"✖ Current غير صحيح",IF(NOT(IF(ISNUMBER($J3428),AND($J3428&gt;=0,$J3428=INT($J3428)),FALSE())),"✖ العدد يجب أن يكون صحيحًا ≥ 0",IF(AND($F3428="Baseline",$H3428&lt;&gt;""),"⚠ Baseline: Start لا يدخل في التقدم",IF($K3428="No Start (attainment only)","ℹ تحصيل فقط (بدون Start)",IF($K3428="U – needs rule","ℹ حالة U تحتاج قاعدة معتمدة",IF($K3428="No result","ℹ بدون نتيجة (يُستبعد من التحصيل)","OK")))))))))))</f>
        <v/>
      </c>
      <c r="M3428" s="64" t="n">
        <f aca="false">IF($A3428="",0,IFERROR(MATCH($A3428,Classes!$A$6:$A$420,0),0))</f>
        <v>0</v>
      </c>
      <c r="N3428" s="64" t="n">
        <f aca="false">IF($H3428="",0,IFERROR(MATCH($H3428,GradeList,0),0))</f>
        <v>0</v>
      </c>
      <c r="O3428" s="64" t="n">
        <f aca="false">IF(OR($I3428="",$I3428="NR"),0,IFERROR(MATCH($I3428,GradeList,0),0))</f>
        <v>0</v>
      </c>
      <c r="P3428" s="64" t="n">
        <f aca="false">IF(AND($M3428&gt;0,ISNUMBER(MATCH($F3428,Lists!$A$2:$A$5,0)),ISNUMBER(MATCH($G3428,Lists!$B$2:$B$7,0)),OR($H3428="",$N3428&gt;0),OR($I3428="",$I3428="NR",$O3428&gt;0),IF(ISNUMBER($J3428),AND($J3428&gt;=0,$J3428=INT($J3428)),FALSE())),$J3428,0)</f>
        <v>0</v>
      </c>
      <c r="Q3428" s="64" t="n">
        <f aca="false">IF(AND($P3428&gt;0,$O3428&gt;0),$P3428,0)</f>
        <v>0</v>
      </c>
      <c r="R3428" s="64" t="n">
        <f aca="false">IF(AND($Q3428&gt;0,$O3428&gt;=AtRank),$Q3428,0)</f>
        <v>0</v>
      </c>
      <c r="S3428" s="64" t="n">
        <f aca="false">IF(AND($Q3428&gt;0,$O3428&gt;=AboveRank),$Q3428,0)</f>
        <v>0</v>
      </c>
      <c r="T3428" s="64" t="n">
        <f aca="false">IF($K3428="Less",$P3428,0)</f>
        <v>0</v>
      </c>
      <c r="U3428" s="64" t="n">
        <f aca="false">IF($K3428="Expected",$P3428,0)</f>
        <v>0</v>
      </c>
      <c r="V3428" s="64" t="n">
        <f aca="false">IF($K3428="Better",$P3428,0)</f>
        <v>0</v>
      </c>
      <c r="W3428" s="64" t="n">
        <f aca="false">IF($K3428="U – needs rule",$P3428,0)</f>
        <v>0</v>
      </c>
      <c r="X3428" s="64" t="n">
        <f aca="false">IF($K3428="No Start (attainment only)",$P3428,0)</f>
        <v>0</v>
      </c>
    </row>
    <row r="3429" customFormat="false" ht="15" hidden="false" customHeight="false" outlineLevel="0" collapsed="false">
      <c r="A3429" s="60"/>
      <c r="B3429" s="61" t="str">
        <f aca="false">IF($M3429=0,"",INDEX(Classes!$E$6:$E$420,$M3429))</f>
        <v/>
      </c>
      <c r="C3429" s="62" t="str">
        <f aca="false">IF($M3429=0,"",INDEX(Classes!$H$6:$H$420,$M3429))</f>
        <v/>
      </c>
      <c r="D3429" s="61" t="str">
        <f aca="false">IF($M3429=0,"",INDEX(Classes!$B$6:$B$420,$M3429))</f>
        <v/>
      </c>
      <c r="E3429" s="61" t="str">
        <f aca="false">IF($M3429=0,"",INDEX(Classes!$C$6:$C$420,$M3429))</f>
        <v/>
      </c>
      <c r="F3429" s="63"/>
      <c r="G3429" s="63"/>
      <c r="H3429" s="60"/>
      <c r="I3429" s="60"/>
      <c r="J3429" s="63"/>
      <c r="K3429" s="61" t="str">
        <f aca="false">IF($P3429=0,"",IF($F3429="Baseline","— Baseline",IF($O3429=0,"No result",IF($N3429=0,"No Start (attainment only)",IF(OR($N3429=1,$O3429=1),"U – needs rule",INDEX(MxBody,MATCH($I3429,MxCurr,0),MATCH($H3429,MxStart,0)))))))</f>
        <v/>
      </c>
      <c r="L3429" s="62" t="str">
        <f aca="false">IF(COUNTA($A3429,$F3429,$G3429,$H3429,$I3429,$J3429)=0,"",IF($M3429=0,"✖ كود الصف غير موجود",IF(ISNA(MATCH($F3429,Lists!$A$2:$A$5,0)),"✖ الفترة غير صحيحة",IF(ISNA(MATCH($G3429,Lists!$B$2:$B$7,0)),"✖ المجموعة غير صحيحة",IF(NOT(OR($H3429="",$N3429&gt;0)),"✖ Start غير صحيح",IF(NOT(OR($I3429="",$I3429="NR",$O3429&gt;0)),"✖ Current غير صحيح",IF(NOT(IF(ISNUMBER($J3429),AND($J3429&gt;=0,$J3429=INT($J3429)),FALSE())),"✖ العدد يجب أن يكون صحيحًا ≥ 0",IF(AND($F3429="Baseline",$H3429&lt;&gt;""),"⚠ Baseline: Start لا يدخل في التقدم",IF($K3429="No Start (attainment only)","ℹ تحصيل فقط (بدون Start)",IF($K3429="U – needs rule","ℹ حالة U تحتاج قاعدة معتمدة",IF($K3429="No result","ℹ بدون نتيجة (يُستبعد من التحصيل)","OK")))))))))))</f>
        <v/>
      </c>
      <c r="M3429" s="64" t="n">
        <f aca="false">IF($A3429="",0,IFERROR(MATCH($A3429,Classes!$A$6:$A$420,0),0))</f>
        <v>0</v>
      </c>
      <c r="N3429" s="64" t="n">
        <f aca="false">IF($H3429="",0,IFERROR(MATCH($H3429,GradeList,0),0))</f>
        <v>0</v>
      </c>
      <c r="O3429" s="64" t="n">
        <f aca="false">IF(OR($I3429="",$I3429="NR"),0,IFERROR(MATCH($I3429,GradeList,0),0))</f>
        <v>0</v>
      </c>
      <c r="P3429" s="64" t="n">
        <f aca="false">IF(AND($M3429&gt;0,ISNUMBER(MATCH($F3429,Lists!$A$2:$A$5,0)),ISNUMBER(MATCH($G3429,Lists!$B$2:$B$7,0)),OR($H3429="",$N3429&gt;0),OR($I3429="",$I3429="NR",$O3429&gt;0),IF(ISNUMBER($J3429),AND($J3429&gt;=0,$J3429=INT($J3429)),FALSE())),$J3429,0)</f>
        <v>0</v>
      </c>
      <c r="Q3429" s="64" t="n">
        <f aca="false">IF(AND($P3429&gt;0,$O3429&gt;0),$P3429,0)</f>
        <v>0</v>
      </c>
      <c r="R3429" s="64" t="n">
        <f aca="false">IF(AND($Q3429&gt;0,$O3429&gt;=AtRank),$Q3429,0)</f>
        <v>0</v>
      </c>
      <c r="S3429" s="64" t="n">
        <f aca="false">IF(AND($Q3429&gt;0,$O3429&gt;=AboveRank),$Q3429,0)</f>
        <v>0</v>
      </c>
      <c r="T3429" s="64" t="n">
        <f aca="false">IF($K3429="Less",$P3429,0)</f>
        <v>0</v>
      </c>
      <c r="U3429" s="64" t="n">
        <f aca="false">IF($K3429="Expected",$P3429,0)</f>
        <v>0</v>
      </c>
      <c r="V3429" s="64" t="n">
        <f aca="false">IF($K3429="Better",$P3429,0)</f>
        <v>0</v>
      </c>
      <c r="W3429" s="64" t="n">
        <f aca="false">IF($K3429="U – needs rule",$P3429,0)</f>
        <v>0</v>
      </c>
      <c r="X3429" s="64" t="n">
        <f aca="false">IF($K3429="No Start (attainment only)",$P3429,0)</f>
        <v>0</v>
      </c>
    </row>
    <row r="3430" customFormat="false" ht="15" hidden="false" customHeight="false" outlineLevel="0" collapsed="false">
      <c r="A3430" s="60"/>
      <c r="B3430" s="61" t="str">
        <f aca="false">IF($M3430=0,"",INDEX(Classes!$E$6:$E$420,$M3430))</f>
        <v/>
      </c>
      <c r="C3430" s="62" t="str">
        <f aca="false">IF($M3430=0,"",INDEX(Classes!$H$6:$H$420,$M3430))</f>
        <v/>
      </c>
      <c r="D3430" s="61" t="str">
        <f aca="false">IF($M3430=0,"",INDEX(Classes!$B$6:$B$420,$M3430))</f>
        <v/>
      </c>
      <c r="E3430" s="61" t="str">
        <f aca="false">IF($M3430=0,"",INDEX(Classes!$C$6:$C$420,$M3430))</f>
        <v/>
      </c>
      <c r="F3430" s="63"/>
      <c r="G3430" s="63"/>
      <c r="H3430" s="60"/>
      <c r="I3430" s="60"/>
      <c r="J3430" s="63"/>
      <c r="K3430" s="61" t="str">
        <f aca="false">IF($P3430=0,"",IF($F3430="Baseline","— Baseline",IF($O3430=0,"No result",IF($N3430=0,"No Start (attainment only)",IF(OR($N3430=1,$O3430=1),"U – needs rule",INDEX(MxBody,MATCH($I3430,MxCurr,0),MATCH($H3430,MxStart,0)))))))</f>
        <v/>
      </c>
      <c r="L3430" s="62" t="str">
        <f aca="false">IF(COUNTA($A3430,$F3430,$G3430,$H3430,$I3430,$J3430)=0,"",IF($M3430=0,"✖ كود الصف غير موجود",IF(ISNA(MATCH($F3430,Lists!$A$2:$A$5,0)),"✖ الفترة غير صحيحة",IF(ISNA(MATCH($G3430,Lists!$B$2:$B$7,0)),"✖ المجموعة غير صحيحة",IF(NOT(OR($H3430="",$N3430&gt;0)),"✖ Start غير صحيح",IF(NOT(OR($I3430="",$I3430="NR",$O3430&gt;0)),"✖ Current غير صحيح",IF(NOT(IF(ISNUMBER($J3430),AND($J3430&gt;=0,$J3430=INT($J3430)),FALSE())),"✖ العدد يجب أن يكون صحيحًا ≥ 0",IF(AND($F3430="Baseline",$H3430&lt;&gt;""),"⚠ Baseline: Start لا يدخل في التقدم",IF($K3430="No Start (attainment only)","ℹ تحصيل فقط (بدون Start)",IF($K3430="U – needs rule","ℹ حالة U تحتاج قاعدة معتمدة",IF($K3430="No result","ℹ بدون نتيجة (يُستبعد من التحصيل)","OK")))))))))))</f>
        <v/>
      </c>
      <c r="M3430" s="64" t="n">
        <f aca="false">IF($A3430="",0,IFERROR(MATCH($A3430,Classes!$A$6:$A$420,0),0))</f>
        <v>0</v>
      </c>
      <c r="N3430" s="64" t="n">
        <f aca="false">IF($H3430="",0,IFERROR(MATCH($H3430,GradeList,0),0))</f>
        <v>0</v>
      </c>
      <c r="O3430" s="64" t="n">
        <f aca="false">IF(OR($I3430="",$I3430="NR"),0,IFERROR(MATCH($I3430,GradeList,0),0))</f>
        <v>0</v>
      </c>
      <c r="P3430" s="64" t="n">
        <f aca="false">IF(AND($M3430&gt;0,ISNUMBER(MATCH($F3430,Lists!$A$2:$A$5,0)),ISNUMBER(MATCH($G3430,Lists!$B$2:$B$7,0)),OR($H3430="",$N3430&gt;0),OR($I3430="",$I3430="NR",$O3430&gt;0),IF(ISNUMBER($J3430),AND($J3430&gt;=0,$J3430=INT($J3430)),FALSE())),$J3430,0)</f>
        <v>0</v>
      </c>
      <c r="Q3430" s="64" t="n">
        <f aca="false">IF(AND($P3430&gt;0,$O3430&gt;0),$P3430,0)</f>
        <v>0</v>
      </c>
      <c r="R3430" s="64" t="n">
        <f aca="false">IF(AND($Q3430&gt;0,$O3430&gt;=AtRank),$Q3430,0)</f>
        <v>0</v>
      </c>
      <c r="S3430" s="64" t="n">
        <f aca="false">IF(AND($Q3430&gt;0,$O3430&gt;=AboveRank),$Q3430,0)</f>
        <v>0</v>
      </c>
      <c r="T3430" s="64" t="n">
        <f aca="false">IF($K3430="Less",$P3430,0)</f>
        <v>0</v>
      </c>
      <c r="U3430" s="64" t="n">
        <f aca="false">IF($K3430="Expected",$P3430,0)</f>
        <v>0</v>
      </c>
      <c r="V3430" s="64" t="n">
        <f aca="false">IF($K3430="Better",$P3430,0)</f>
        <v>0</v>
      </c>
      <c r="W3430" s="64" t="n">
        <f aca="false">IF($K3430="U – needs rule",$P3430,0)</f>
        <v>0</v>
      </c>
      <c r="X3430" s="64" t="n">
        <f aca="false">IF($K3430="No Start (attainment only)",$P3430,0)</f>
        <v>0</v>
      </c>
    </row>
    <row r="3431" customFormat="false" ht="15" hidden="false" customHeight="false" outlineLevel="0" collapsed="false">
      <c r="A3431" s="60"/>
      <c r="B3431" s="61" t="str">
        <f aca="false">IF($M3431=0,"",INDEX(Classes!$E$6:$E$420,$M3431))</f>
        <v/>
      </c>
      <c r="C3431" s="62" t="str">
        <f aca="false">IF($M3431=0,"",INDEX(Classes!$H$6:$H$420,$M3431))</f>
        <v/>
      </c>
      <c r="D3431" s="61" t="str">
        <f aca="false">IF($M3431=0,"",INDEX(Classes!$B$6:$B$420,$M3431))</f>
        <v/>
      </c>
      <c r="E3431" s="61" t="str">
        <f aca="false">IF($M3431=0,"",INDEX(Classes!$C$6:$C$420,$M3431))</f>
        <v/>
      </c>
      <c r="F3431" s="63"/>
      <c r="G3431" s="63"/>
      <c r="H3431" s="60"/>
      <c r="I3431" s="60"/>
      <c r="J3431" s="63"/>
      <c r="K3431" s="61" t="str">
        <f aca="false">IF($P3431=0,"",IF($F3431="Baseline","— Baseline",IF($O3431=0,"No result",IF($N3431=0,"No Start (attainment only)",IF(OR($N3431=1,$O3431=1),"U – needs rule",INDEX(MxBody,MATCH($I3431,MxCurr,0),MATCH($H3431,MxStart,0)))))))</f>
        <v/>
      </c>
      <c r="L3431" s="62" t="str">
        <f aca="false">IF(COUNTA($A3431,$F3431,$G3431,$H3431,$I3431,$J3431)=0,"",IF($M3431=0,"✖ كود الصف غير موجود",IF(ISNA(MATCH($F3431,Lists!$A$2:$A$5,0)),"✖ الفترة غير صحيحة",IF(ISNA(MATCH($G3431,Lists!$B$2:$B$7,0)),"✖ المجموعة غير صحيحة",IF(NOT(OR($H3431="",$N3431&gt;0)),"✖ Start غير صحيح",IF(NOT(OR($I3431="",$I3431="NR",$O3431&gt;0)),"✖ Current غير صحيح",IF(NOT(IF(ISNUMBER($J3431),AND($J3431&gt;=0,$J3431=INT($J3431)),FALSE())),"✖ العدد يجب أن يكون صحيحًا ≥ 0",IF(AND($F3431="Baseline",$H3431&lt;&gt;""),"⚠ Baseline: Start لا يدخل في التقدم",IF($K3431="No Start (attainment only)","ℹ تحصيل فقط (بدون Start)",IF($K3431="U – needs rule","ℹ حالة U تحتاج قاعدة معتمدة",IF($K3431="No result","ℹ بدون نتيجة (يُستبعد من التحصيل)","OK")))))))))))</f>
        <v/>
      </c>
      <c r="M3431" s="64" t="n">
        <f aca="false">IF($A3431="",0,IFERROR(MATCH($A3431,Classes!$A$6:$A$420,0),0))</f>
        <v>0</v>
      </c>
      <c r="N3431" s="64" t="n">
        <f aca="false">IF($H3431="",0,IFERROR(MATCH($H3431,GradeList,0),0))</f>
        <v>0</v>
      </c>
      <c r="O3431" s="64" t="n">
        <f aca="false">IF(OR($I3431="",$I3431="NR"),0,IFERROR(MATCH($I3431,GradeList,0),0))</f>
        <v>0</v>
      </c>
      <c r="P3431" s="64" t="n">
        <f aca="false">IF(AND($M3431&gt;0,ISNUMBER(MATCH($F3431,Lists!$A$2:$A$5,0)),ISNUMBER(MATCH($G3431,Lists!$B$2:$B$7,0)),OR($H3431="",$N3431&gt;0),OR($I3431="",$I3431="NR",$O3431&gt;0),IF(ISNUMBER($J3431),AND($J3431&gt;=0,$J3431=INT($J3431)),FALSE())),$J3431,0)</f>
        <v>0</v>
      </c>
      <c r="Q3431" s="64" t="n">
        <f aca="false">IF(AND($P3431&gt;0,$O3431&gt;0),$P3431,0)</f>
        <v>0</v>
      </c>
      <c r="R3431" s="64" t="n">
        <f aca="false">IF(AND($Q3431&gt;0,$O3431&gt;=AtRank),$Q3431,0)</f>
        <v>0</v>
      </c>
      <c r="S3431" s="64" t="n">
        <f aca="false">IF(AND($Q3431&gt;0,$O3431&gt;=AboveRank),$Q3431,0)</f>
        <v>0</v>
      </c>
      <c r="T3431" s="64" t="n">
        <f aca="false">IF($K3431="Less",$P3431,0)</f>
        <v>0</v>
      </c>
      <c r="U3431" s="64" t="n">
        <f aca="false">IF($K3431="Expected",$P3431,0)</f>
        <v>0</v>
      </c>
      <c r="V3431" s="64" t="n">
        <f aca="false">IF($K3431="Better",$P3431,0)</f>
        <v>0</v>
      </c>
      <c r="W3431" s="64" t="n">
        <f aca="false">IF($K3431="U – needs rule",$P3431,0)</f>
        <v>0</v>
      </c>
      <c r="X3431" s="64" t="n">
        <f aca="false">IF($K3431="No Start (attainment only)",$P3431,0)</f>
        <v>0</v>
      </c>
    </row>
    <row r="3432" customFormat="false" ht="15" hidden="false" customHeight="false" outlineLevel="0" collapsed="false">
      <c r="A3432" s="60"/>
      <c r="B3432" s="61" t="str">
        <f aca="false">IF($M3432=0,"",INDEX(Classes!$E$6:$E$420,$M3432))</f>
        <v/>
      </c>
      <c r="C3432" s="62" t="str">
        <f aca="false">IF($M3432=0,"",INDEX(Classes!$H$6:$H$420,$M3432))</f>
        <v/>
      </c>
      <c r="D3432" s="61" t="str">
        <f aca="false">IF($M3432=0,"",INDEX(Classes!$B$6:$B$420,$M3432))</f>
        <v/>
      </c>
      <c r="E3432" s="61" t="str">
        <f aca="false">IF($M3432=0,"",INDEX(Classes!$C$6:$C$420,$M3432))</f>
        <v/>
      </c>
      <c r="F3432" s="63"/>
      <c r="G3432" s="63"/>
      <c r="H3432" s="60"/>
      <c r="I3432" s="60"/>
      <c r="J3432" s="63"/>
      <c r="K3432" s="61" t="str">
        <f aca="false">IF($P3432=0,"",IF($F3432="Baseline","— Baseline",IF($O3432=0,"No result",IF($N3432=0,"No Start (attainment only)",IF(OR($N3432=1,$O3432=1),"U – needs rule",INDEX(MxBody,MATCH($I3432,MxCurr,0),MATCH($H3432,MxStart,0)))))))</f>
        <v/>
      </c>
      <c r="L3432" s="62" t="str">
        <f aca="false">IF(COUNTA($A3432,$F3432,$G3432,$H3432,$I3432,$J3432)=0,"",IF($M3432=0,"✖ كود الصف غير موجود",IF(ISNA(MATCH($F3432,Lists!$A$2:$A$5,0)),"✖ الفترة غير صحيحة",IF(ISNA(MATCH($G3432,Lists!$B$2:$B$7,0)),"✖ المجموعة غير صحيحة",IF(NOT(OR($H3432="",$N3432&gt;0)),"✖ Start غير صحيح",IF(NOT(OR($I3432="",$I3432="NR",$O3432&gt;0)),"✖ Current غير صحيح",IF(NOT(IF(ISNUMBER($J3432),AND($J3432&gt;=0,$J3432=INT($J3432)),FALSE())),"✖ العدد يجب أن يكون صحيحًا ≥ 0",IF(AND($F3432="Baseline",$H3432&lt;&gt;""),"⚠ Baseline: Start لا يدخل في التقدم",IF($K3432="No Start (attainment only)","ℹ تحصيل فقط (بدون Start)",IF($K3432="U – needs rule","ℹ حالة U تحتاج قاعدة معتمدة",IF($K3432="No result","ℹ بدون نتيجة (يُستبعد من التحصيل)","OK")))))))))))</f>
        <v/>
      </c>
      <c r="M3432" s="64" t="n">
        <f aca="false">IF($A3432="",0,IFERROR(MATCH($A3432,Classes!$A$6:$A$420,0),0))</f>
        <v>0</v>
      </c>
      <c r="N3432" s="64" t="n">
        <f aca="false">IF($H3432="",0,IFERROR(MATCH($H3432,GradeList,0),0))</f>
        <v>0</v>
      </c>
      <c r="O3432" s="64" t="n">
        <f aca="false">IF(OR($I3432="",$I3432="NR"),0,IFERROR(MATCH($I3432,GradeList,0),0))</f>
        <v>0</v>
      </c>
      <c r="P3432" s="64" t="n">
        <f aca="false">IF(AND($M3432&gt;0,ISNUMBER(MATCH($F3432,Lists!$A$2:$A$5,0)),ISNUMBER(MATCH($G3432,Lists!$B$2:$B$7,0)),OR($H3432="",$N3432&gt;0),OR($I3432="",$I3432="NR",$O3432&gt;0),IF(ISNUMBER($J3432),AND($J3432&gt;=0,$J3432=INT($J3432)),FALSE())),$J3432,0)</f>
        <v>0</v>
      </c>
      <c r="Q3432" s="64" t="n">
        <f aca="false">IF(AND($P3432&gt;0,$O3432&gt;0),$P3432,0)</f>
        <v>0</v>
      </c>
      <c r="R3432" s="64" t="n">
        <f aca="false">IF(AND($Q3432&gt;0,$O3432&gt;=AtRank),$Q3432,0)</f>
        <v>0</v>
      </c>
      <c r="S3432" s="64" t="n">
        <f aca="false">IF(AND($Q3432&gt;0,$O3432&gt;=AboveRank),$Q3432,0)</f>
        <v>0</v>
      </c>
      <c r="T3432" s="64" t="n">
        <f aca="false">IF($K3432="Less",$P3432,0)</f>
        <v>0</v>
      </c>
      <c r="U3432" s="64" t="n">
        <f aca="false">IF($K3432="Expected",$P3432,0)</f>
        <v>0</v>
      </c>
      <c r="V3432" s="64" t="n">
        <f aca="false">IF($K3432="Better",$P3432,0)</f>
        <v>0</v>
      </c>
      <c r="W3432" s="64" t="n">
        <f aca="false">IF($K3432="U – needs rule",$P3432,0)</f>
        <v>0</v>
      </c>
      <c r="X3432" s="64" t="n">
        <f aca="false">IF($K3432="No Start (attainment only)",$P3432,0)</f>
        <v>0</v>
      </c>
    </row>
    <row r="3433" customFormat="false" ht="15" hidden="false" customHeight="false" outlineLevel="0" collapsed="false">
      <c r="A3433" s="60"/>
      <c r="B3433" s="61" t="str">
        <f aca="false">IF($M3433=0,"",INDEX(Classes!$E$6:$E$420,$M3433))</f>
        <v/>
      </c>
      <c r="C3433" s="62" t="str">
        <f aca="false">IF($M3433=0,"",INDEX(Classes!$H$6:$H$420,$M3433))</f>
        <v/>
      </c>
      <c r="D3433" s="61" t="str">
        <f aca="false">IF($M3433=0,"",INDEX(Classes!$B$6:$B$420,$M3433))</f>
        <v/>
      </c>
      <c r="E3433" s="61" t="str">
        <f aca="false">IF($M3433=0,"",INDEX(Classes!$C$6:$C$420,$M3433))</f>
        <v/>
      </c>
      <c r="F3433" s="63"/>
      <c r="G3433" s="63"/>
      <c r="H3433" s="60"/>
      <c r="I3433" s="60"/>
      <c r="J3433" s="63"/>
      <c r="K3433" s="61" t="str">
        <f aca="false">IF($P3433=0,"",IF($F3433="Baseline","— Baseline",IF($O3433=0,"No result",IF($N3433=0,"No Start (attainment only)",IF(OR($N3433=1,$O3433=1),"U – needs rule",INDEX(MxBody,MATCH($I3433,MxCurr,0),MATCH($H3433,MxStart,0)))))))</f>
        <v/>
      </c>
      <c r="L3433" s="62" t="str">
        <f aca="false">IF(COUNTA($A3433,$F3433,$G3433,$H3433,$I3433,$J3433)=0,"",IF($M3433=0,"✖ كود الصف غير موجود",IF(ISNA(MATCH($F3433,Lists!$A$2:$A$5,0)),"✖ الفترة غير صحيحة",IF(ISNA(MATCH($G3433,Lists!$B$2:$B$7,0)),"✖ المجموعة غير صحيحة",IF(NOT(OR($H3433="",$N3433&gt;0)),"✖ Start غير صحيح",IF(NOT(OR($I3433="",$I3433="NR",$O3433&gt;0)),"✖ Current غير صحيح",IF(NOT(IF(ISNUMBER($J3433),AND($J3433&gt;=0,$J3433=INT($J3433)),FALSE())),"✖ العدد يجب أن يكون صحيحًا ≥ 0",IF(AND($F3433="Baseline",$H3433&lt;&gt;""),"⚠ Baseline: Start لا يدخل في التقدم",IF($K3433="No Start (attainment only)","ℹ تحصيل فقط (بدون Start)",IF($K3433="U – needs rule","ℹ حالة U تحتاج قاعدة معتمدة",IF($K3433="No result","ℹ بدون نتيجة (يُستبعد من التحصيل)","OK")))))))))))</f>
        <v/>
      </c>
      <c r="M3433" s="64" t="n">
        <f aca="false">IF($A3433="",0,IFERROR(MATCH($A3433,Classes!$A$6:$A$420,0),0))</f>
        <v>0</v>
      </c>
      <c r="N3433" s="64" t="n">
        <f aca="false">IF($H3433="",0,IFERROR(MATCH($H3433,GradeList,0),0))</f>
        <v>0</v>
      </c>
      <c r="O3433" s="64" t="n">
        <f aca="false">IF(OR($I3433="",$I3433="NR"),0,IFERROR(MATCH($I3433,GradeList,0),0))</f>
        <v>0</v>
      </c>
      <c r="P3433" s="64" t="n">
        <f aca="false">IF(AND($M3433&gt;0,ISNUMBER(MATCH($F3433,Lists!$A$2:$A$5,0)),ISNUMBER(MATCH($G3433,Lists!$B$2:$B$7,0)),OR($H3433="",$N3433&gt;0),OR($I3433="",$I3433="NR",$O3433&gt;0),IF(ISNUMBER($J3433),AND($J3433&gt;=0,$J3433=INT($J3433)),FALSE())),$J3433,0)</f>
        <v>0</v>
      </c>
      <c r="Q3433" s="64" t="n">
        <f aca="false">IF(AND($P3433&gt;0,$O3433&gt;0),$P3433,0)</f>
        <v>0</v>
      </c>
      <c r="R3433" s="64" t="n">
        <f aca="false">IF(AND($Q3433&gt;0,$O3433&gt;=AtRank),$Q3433,0)</f>
        <v>0</v>
      </c>
      <c r="S3433" s="64" t="n">
        <f aca="false">IF(AND($Q3433&gt;0,$O3433&gt;=AboveRank),$Q3433,0)</f>
        <v>0</v>
      </c>
      <c r="T3433" s="64" t="n">
        <f aca="false">IF($K3433="Less",$P3433,0)</f>
        <v>0</v>
      </c>
      <c r="U3433" s="64" t="n">
        <f aca="false">IF($K3433="Expected",$P3433,0)</f>
        <v>0</v>
      </c>
      <c r="V3433" s="64" t="n">
        <f aca="false">IF($K3433="Better",$P3433,0)</f>
        <v>0</v>
      </c>
      <c r="W3433" s="64" t="n">
        <f aca="false">IF($K3433="U – needs rule",$P3433,0)</f>
        <v>0</v>
      </c>
      <c r="X3433" s="64" t="n">
        <f aca="false">IF($K3433="No Start (attainment only)",$P3433,0)</f>
        <v>0</v>
      </c>
    </row>
    <row r="3434" customFormat="false" ht="15" hidden="false" customHeight="false" outlineLevel="0" collapsed="false">
      <c r="A3434" s="60"/>
      <c r="B3434" s="61" t="str">
        <f aca="false">IF($M3434=0,"",INDEX(Classes!$E$6:$E$420,$M3434))</f>
        <v/>
      </c>
      <c r="C3434" s="62" t="str">
        <f aca="false">IF($M3434=0,"",INDEX(Classes!$H$6:$H$420,$M3434))</f>
        <v/>
      </c>
      <c r="D3434" s="61" t="str">
        <f aca="false">IF($M3434=0,"",INDEX(Classes!$B$6:$B$420,$M3434))</f>
        <v/>
      </c>
      <c r="E3434" s="61" t="str">
        <f aca="false">IF($M3434=0,"",INDEX(Classes!$C$6:$C$420,$M3434))</f>
        <v/>
      </c>
      <c r="F3434" s="63"/>
      <c r="G3434" s="63"/>
      <c r="H3434" s="60"/>
      <c r="I3434" s="60"/>
      <c r="J3434" s="63"/>
      <c r="K3434" s="61" t="str">
        <f aca="false">IF($P3434=0,"",IF($F3434="Baseline","— Baseline",IF($O3434=0,"No result",IF($N3434=0,"No Start (attainment only)",IF(OR($N3434=1,$O3434=1),"U – needs rule",INDEX(MxBody,MATCH($I3434,MxCurr,0),MATCH($H3434,MxStart,0)))))))</f>
        <v/>
      </c>
      <c r="L3434" s="62" t="str">
        <f aca="false">IF(COUNTA($A3434,$F3434,$G3434,$H3434,$I3434,$J3434)=0,"",IF($M3434=0,"✖ كود الصف غير موجود",IF(ISNA(MATCH($F3434,Lists!$A$2:$A$5,0)),"✖ الفترة غير صحيحة",IF(ISNA(MATCH($G3434,Lists!$B$2:$B$7,0)),"✖ المجموعة غير صحيحة",IF(NOT(OR($H3434="",$N3434&gt;0)),"✖ Start غير صحيح",IF(NOT(OR($I3434="",$I3434="NR",$O3434&gt;0)),"✖ Current غير صحيح",IF(NOT(IF(ISNUMBER($J3434),AND($J3434&gt;=0,$J3434=INT($J3434)),FALSE())),"✖ العدد يجب أن يكون صحيحًا ≥ 0",IF(AND($F3434="Baseline",$H3434&lt;&gt;""),"⚠ Baseline: Start لا يدخل في التقدم",IF($K3434="No Start (attainment only)","ℹ تحصيل فقط (بدون Start)",IF($K3434="U – needs rule","ℹ حالة U تحتاج قاعدة معتمدة",IF($K3434="No result","ℹ بدون نتيجة (يُستبعد من التحصيل)","OK")))))))))))</f>
        <v/>
      </c>
      <c r="M3434" s="64" t="n">
        <f aca="false">IF($A3434="",0,IFERROR(MATCH($A3434,Classes!$A$6:$A$420,0),0))</f>
        <v>0</v>
      </c>
      <c r="N3434" s="64" t="n">
        <f aca="false">IF($H3434="",0,IFERROR(MATCH($H3434,GradeList,0),0))</f>
        <v>0</v>
      </c>
      <c r="O3434" s="64" t="n">
        <f aca="false">IF(OR($I3434="",$I3434="NR"),0,IFERROR(MATCH($I3434,GradeList,0),0))</f>
        <v>0</v>
      </c>
      <c r="P3434" s="64" t="n">
        <f aca="false">IF(AND($M3434&gt;0,ISNUMBER(MATCH($F3434,Lists!$A$2:$A$5,0)),ISNUMBER(MATCH($G3434,Lists!$B$2:$B$7,0)),OR($H3434="",$N3434&gt;0),OR($I3434="",$I3434="NR",$O3434&gt;0),IF(ISNUMBER($J3434),AND($J3434&gt;=0,$J3434=INT($J3434)),FALSE())),$J3434,0)</f>
        <v>0</v>
      </c>
      <c r="Q3434" s="64" t="n">
        <f aca="false">IF(AND($P3434&gt;0,$O3434&gt;0),$P3434,0)</f>
        <v>0</v>
      </c>
      <c r="R3434" s="64" t="n">
        <f aca="false">IF(AND($Q3434&gt;0,$O3434&gt;=AtRank),$Q3434,0)</f>
        <v>0</v>
      </c>
      <c r="S3434" s="64" t="n">
        <f aca="false">IF(AND($Q3434&gt;0,$O3434&gt;=AboveRank),$Q3434,0)</f>
        <v>0</v>
      </c>
      <c r="T3434" s="64" t="n">
        <f aca="false">IF($K3434="Less",$P3434,0)</f>
        <v>0</v>
      </c>
      <c r="U3434" s="64" t="n">
        <f aca="false">IF($K3434="Expected",$P3434,0)</f>
        <v>0</v>
      </c>
      <c r="V3434" s="64" t="n">
        <f aca="false">IF($K3434="Better",$P3434,0)</f>
        <v>0</v>
      </c>
      <c r="W3434" s="64" t="n">
        <f aca="false">IF($K3434="U – needs rule",$P3434,0)</f>
        <v>0</v>
      </c>
      <c r="X3434" s="64" t="n">
        <f aca="false">IF($K3434="No Start (attainment only)",$P3434,0)</f>
        <v>0</v>
      </c>
    </row>
    <row r="3435" customFormat="false" ht="15" hidden="false" customHeight="false" outlineLevel="0" collapsed="false">
      <c r="A3435" s="60"/>
      <c r="B3435" s="61" t="str">
        <f aca="false">IF($M3435=0,"",INDEX(Classes!$E$6:$E$420,$M3435))</f>
        <v/>
      </c>
      <c r="C3435" s="62" t="str">
        <f aca="false">IF($M3435=0,"",INDEX(Classes!$H$6:$H$420,$M3435))</f>
        <v/>
      </c>
      <c r="D3435" s="61" t="str">
        <f aca="false">IF($M3435=0,"",INDEX(Classes!$B$6:$B$420,$M3435))</f>
        <v/>
      </c>
      <c r="E3435" s="61" t="str">
        <f aca="false">IF($M3435=0,"",INDEX(Classes!$C$6:$C$420,$M3435))</f>
        <v/>
      </c>
      <c r="F3435" s="63"/>
      <c r="G3435" s="63"/>
      <c r="H3435" s="60"/>
      <c r="I3435" s="60"/>
      <c r="J3435" s="63"/>
      <c r="K3435" s="61" t="str">
        <f aca="false">IF($P3435=0,"",IF($F3435="Baseline","— Baseline",IF($O3435=0,"No result",IF($N3435=0,"No Start (attainment only)",IF(OR($N3435=1,$O3435=1),"U – needs rule",INDEX(MxBody,MATCH($I3435,MxCurr,0),MATCH($H3435,MxStart,0)))))))</f>
        <v/>
      </c>
      <c r="L3435" s="62" t="str">
        <f aca="false">IF(COUNTA($A3435,$F3435,$G3435,$H3435,$I3435,$J3435)=0,"",IF($M3435=0,"✖ كود الصف غير موجود",IF(ISNA(MATCH($F3435,Lists!$A$2:$A$5,0)),"✖ الفترة غير صحيحة",IF(ISNA(MATCH($G3435,Lists!$B$2:$B$7,0)),"✖ المجموعة غير صحيحة",IF(NOT(OR($H3435="",$N3435&gt;0)),"✖ Start غير صحيح",IF(NOT(OR($I3435="",$I3435="NR",$O3435&gt;0)),"✖ Current غير صحيح",IF(NOT(IF(ISNUMBER($J3435),AND($J3435&gt;=0,$J3435=INT($J3435)),FALSE())),"✖ العدد يجب أن يكون صحيحًا ≥ 0",IF(AND($F3435="Baseline",$H3435&lt;&gt;""),"⚠ Baseline: Start لا يدخل في التقدم",IF($K3435="No Start (attainment only)","ℹ تحصيل فقط (بدون Start)",IF($K3435="U – needs rule","ℹ حالة U تحتاج قاعدة معتمدة",IF($K3435="No result","ℹ بدون نتيجة (يُستبعد من التحصيل)","OK")))))))))))</f>
        <v/>
      </c>
      <c r="M3435" s="64" t="n">
        <f aca="false">IF($A3435="",0,IFERROR(MATCH($A3435,Classes!$A$6:$A$420,0),0))</f>
        <v>0</v>
      </c>
      <c r="N3435" s="64" t="n">
        <f aca="false">IF($H3435="",0,IFERROR(MATCH($H3435,GradeList,0),0))</f>
        <v>0</v>
      </c>
      <c r="O3435" s="64" t="n">
        <f aca="false">IF(OR($I3435="",$I3435="NR"),0,IFERROR(MATCH($I3435,GradeList,0),0))</f>
        <v>0</v>
      </c>
      <c r="P3435" s="64" t="n">
        <f aca="false">IF(AND($M3435&gt;0,ISNUMBER(MATCH($F3435,Lists!$A$2:$A$5,0)),ISNUMBER(MATCH($G3435,Lists!$B$2:$B$7,0)),OR($H3435="",$N3435&gt;0),OR($I3435="",$I3435="NR",$O3435&gt;0),IF(ISNUMBER($J3435),AND($J3435&gt;=0,$J3435=INT($J3435)),FALSE())),$J3435,0)</f>
        <v>0</v>
      </c>
      <c r="Q3435" s="64" t="n">
        <f aca="false">IF(AND($P3435&gt;0,$O3435&gt;0),$P3435,0)</f>
        <v>0</v>
      </c>
      <c r="R3435" s="64" t="n">
        <f aca="false">IF(AND($Q3435&gt;0,$O3435&gt;=AtRank),$Q3435,0)</f>
        <v>0</v>
      </c>
      <c r="S3435" s="64" t="n">
        <f aca="false">IF(AND($Q3435&gt;0,$O3435&gt;=AboveRank),$Q3435,0)</f>
        <v>0</v>
      </c>
      <c r="T3435" s="64" t="n">
        <f aca="false">IF($K3435="Less",$P3435,0)</f>
        <v>0</v>
      </c>
      <c r="U3435" s="64" t="n">
        <f aca="false">IF($K3435="Expected",$P3435,0)</f>
        <v>0</v>
      </c>
      <c r="V3435" s="64" t="n">
        <f aca="false">IF($K3435="Better",$P3435,0)</f>
        <v>0</v>
      </c>
      <c r="W3435" s="64" t="n">
        <f aca="false">IF($K3435="U – needs rule",$P3435,0)</f>
        <v>0</v>
      </c>
      <c r="X3435" s="64" t="n">
        <f aca="false">IF($K3435="No Start (attainment only)",$P3435,0)</f>
        <v>0</v>
      </c>
    </row>
    <row r="3436" customFormat="false" ht="15" hidden="false" customHeight="false" outlineLevel="0" collapsed="false">
      <c r="A3436" s="60"/>
      <c r="B3436" s="61" t="str">
        <f aca="false">IF($M3436=0,"",INDEX(Classes!$E$6:$E$420,$M3436))</f>
        <v/>
      </c>
      <c r="C3436" s="62" t="str">
        <f aca="false">IF($M3436=0,"",INDEX(Classes!$H$6:$H$420,$M3436))</f>
        <v/>
      </c>
      <c r="D3436" s="61" t="str">
        <f aca="false">IF($M3436=0,"",INDEX(Classes!$B$6:$B$420,$M3436))</f>
        <v/>
      </c>
      <c r="E3436" s="61" t="str">
        <f aca="false">IF($M3436=0,"",INDEX(Classes!$C$6:$C$420,$M3436))</f>
        <v/>
      </c>
      <c r="F3436" s="63"/>
      <c r="G3436" s="63"/>
      <c r="H3436" s="60"/>
      <c r="I3436" s="60"/>
      <c r="J3436" s="63"/>
      <c r="K3436" s="61" t="str">
        <f aca="false">IF($P3436=0,"",IF($F3436="Baseline","— Baseline",IF($O3436=0,"No result",IF($N3436=0,"No Start (attainment only)",IF(OR($N3436=1,$O3436=1),"U – needs rule",INDEX(MxBody,MATCH($I3436,MxCurr,0),MATCH($H3436,MxStart,0)))))))</f>
        <v/>
      </c>
      <c r="L3436" s="62" t="str">
        <f aca="false">IF(COUNTA($A3436,$F3436,$G3436,$H3436,$I3436,$J3436)=0,"",IF($M3436=0,"✖ كود الصف غير موجود",IF(ISNA(MATCH($F3436,Lists!$A$2:$A$5,0)),"✖ الفترة غير صحيحة",IF(ISNA(MATCH($G3436,Lists!$B$2:$B$7,0)),"✖ المجموعة غير صحيحة",IF(NOT(OR($H3436="",$N3436&gt;0)),"✖ Start غير صحيح",IF(NOT(OR($I3436="",$I3436="NR",$O3436&gt;0)),"✖ Current غير صحيح",IF(NOT(IF(ISNUMBER($J3436),AND($J3436&gt;=0,$J3436=INT($J3436)),FALSE())),"✖ العدد يجب أن يكون صحيحًا ≥ 0",IF(AND($F3436="Baseline",$H3436&lt;&gt;""),"⚠ Baseline: Start لا يدخل في التقدم",IF($K3436="No Start (attainment only)","ℹ تحصيل فقط (بدون Start)",IF($K3436="U – needs rule","ℹ حالة U تحتاج قاعدة معتمدة",IF($K3436="No result","ℹ بدون نتيجة (يُستبعد من التحصيل)","OK")))))))))))</f>
        <v/>
      </c>
      <c r="M3436" s="64" t="n">
        <f aca="false">IF($A3436="",0,IFERROR(MATCH($A3436,Classes!$A$6:$A$420,0),0))</f>
        <v>0</v>
      </c>
      <c r="N3436" s="64" t="n">
        <f aca="false">IF($H3436="",0,IFERROR(MATCH($H3436,GradeList,0),0))</f>
        <v>0</v>
      </c>
      <c r="O3436" s="64" t="n">
        <f aca="false">IF(OR($I3436="",$I3436="NR"),0,IFERROR(MATCH($I3436,GradeList,0),0))</f>
        <v>0</v>
      </c>
      <c r="P3436" s="64" t="n">
        <f aca="false">IF(AND($M3436&gt;0,ISNUMBER(MATCH($F3436,Lists!$A$2:$A$5,0)),ISNUMBER(MATCH($G3436,Lists!$B$2:$B$7,0)),OR($H3436="",$N3436&gt;0),OR($I3436="",$I3436="NR",$O3436&gt;0),IF(ISNUMBER($J3436),AND($J3436&gt;=0,$J3436=INT($J3436)),FALSE())),$J3436,0)</f>
        <v>0</v>
      </c>
      <c r="Q3436" s="64" t="n">
        <f aca="false">IF(AND($P3436&gt;0,$O3436&gt;0),$P3436,0)</f>
        <v>0</v>
      </c>
      <c r="R3436" s="64" t="n">
        <f aca="false">IF(AND($Q3436&gt;0,$O3436&gt;=AtRank),$Q3436,0)</f>
        <v>0</v>
      </c>
      <c r="S3436" s="64" t="n">
        <f aca="false">IF(AND($Q3436&gt;0,$O3436&gt;=AboveRank),$Q3436,0)</f>
        <v>0</v>
      </c>
      <c r="T3436" s="64" t="n">
        <f aca="false">IF($K3436="Less",$P3436,0)</f>
        <v>0</v>
      </c>
      <c r="U3436" s="64" t="n">
        <f aca="false">IF($K3436="Expected",$P3436,0)</f>
        <v>0</v>
      </c>
      <c r="V3436" s="64" t="n">
        <f aca="false">IF($K3436="Better",$P3436,0)</f>
        <v>0</v>
      </c>
      <c r="W3436" s="64" t="n">
        <f aca="false">IF($K3436="U – needs rule",$P3436,0)</f>
        <v>0</v>
      </c>
      <c r="X3436" s="64" t="n">
        <f aca="false">IF($K3436="No Start (attainment only)",$P3436,0)</f>
        <v>0</v>
      </c>
    </row>
    <row r="3437" customFormat="false" ht="15" hidden="false" customHeight="false" outlineLevel="0" collapsed="false">
      <c r="A3437" s="60"/>
      <c r="B3437" s="61" t="str">
        <f aca="false">IF($M3437=0,"",INDEX(Classes!$E$6:$E$420,$M3437))</f>
        <v/>
      </c>
      <c r="C3437" s="62" t="str">
        <f aca="false">IF($M3437=0,"",INDEX(Classes!$H$6:$H$420,$M3437))</f>
        <v/>
      </c>
      <c r="D3437" s="61" t="str">
        <f aca="false">IF($M3437=0,"",INDEX(Classes!$B$6:$B$420,$M3437))</f>
        <v/>
      </c>
      <c r="E3437" s="61" t="str">
        <f aca="false">IF($M3437=0,"",INDEX(Classes!$C$6:$C$420,$M3437))</f>
        <v/>
      </c>
      <c r="F3437" s="63"/>
      <c r="G3437" s="63"/>
      <c r="H3437" s="60"/>
      <c r="I3437" s="60"/>
      <c r="J3437" s="63"/>
      <c r="K3437" s="61" t="str">
        <f aca="false">IF($P3437=0,"",IF($F3437="Baseline","— Baseline",IF($O3437=0,"No result",IF($N3437=0,"No Start (attainment only)",IF(OR($N3437=1,$O3437=1),"U – needs rule",INDEX(MxBody,MATCH($I3437,MxCurr,0),MATCH($H3437,MxStart,0)))))))</f>
        <v/>
      </c>
      <c r="L3437" s="62" t="str">
        <f aca="false">IF(COUNTA($A3437,$F3437,$G3437,$H3437,$I3437,$J3437)=0,"",IF($M3437=0,"✖ كود الصف غير موجود",IF(ISNA(MATCH($F3437,Lists!$A$2:$A$5,0)),"✖ الفترة غير صحيحة",IF(ISNA(MATCH($G3437,Lists!$B$2:$B$7,0)),"✖ المجموعة غير صحيحة",IF(NOT(OR($H3437="",$N3437&gt;0)),"✖ Start غير صحيح",IF(NOT(OR($I3437="",$I3437="NR",$O3437&gt;0)),"✖ Current غير صحيح",IF(NOT(IF(ISNUMBER($J3437),AND($J3437&gt;=0,$J3437=INT($J3437)),FALSE())),"✖ العدد يجب أن يكون صحيحًا ≥ 0",IF(AND($F3437="Baseline",$H3437&lt;&gt;""),"⚠ Baseline: Start لا يدخل في التقدم",IF($K3437="No Start (attainment only)","ℹ تحصيل فقط (بدون Start)",IF($K3437="U – needs rule","ℹ حالة U تحتاج قاعدة معتمدة",IF($K3437="No result","ℹ بدون نتيجة (يُستبعد من التحصيل)","OK")))))))))))</f>
        <v/>
      </c>
      <c r="M3437" s="64" t="n">
        <f aca="false">IF($A3437="",0,IFERROR(MATCH($A3437,Classes!$A$6:$A$420,0),0))</f>
        <v>0</v>
      </c>
      <c r="N3437" s="64" t="n">
        <f aca="false">IF($H3437="",0,IFERROR(MATCH($H3437,GradeList,0),0))</f>
        <v>0</v>
      </c>
      <c r="O3437" s="64" t="n">
        <f aca="false">IF(OR($I3437="",$I3437="NR"),0,IFERROR(MATCH($I3437,GradeList,0),0))</f>
        <v>0</v>
      </c>
      <c r="P3437" s="64" t="n">
        <f aca="false">IF(AND($M3437&gt;0,ISNUMBER(MATCH($F3437,Lists!$A$2:$A$5,0)),ISNUMBER(MATCH($G3437,Lists!$B$2:$B$7,0)),OR($H3437="",$N3437&gt;0),OR($I3437="",$I3437="NR",$O3437&gt;0),IF(ISNUMBER($J3437),AND($J3437&gt;=0,$J3437=INT($J3437)),FALSE())),$J3437,0)</f>
        <v>0</v>
      </c>
      <c r="Q3437" s="64" t="n">
        <f aca="false">IF(AND($P3437&gt;0,$O3437&gt;0),$P3437,0)</f>
        <v>0</v>
      </c>
      <c r="R3437" s="64" t="n">
        <f aca="false">IF(AND($Q3437&gt;0,$O3437&gt;=AtRank),$Q3437,0)</f>
        <v>0</v>
      </c>
      <c r="S3437" s="64" t="n">
        <f aca="false">IF(AND($Q3437&gt;0,$O3437&gt;=AboveRank),$Q3437,0)</f>
        <v>0</v>
      </c>
      <c r="T3437" s="64" t="n">
        <f aca="false">IF($K3437="Less",$P3437,0)</f>
        <v>0</v>
      </c>
      <c r="U3437" s="64" t="n">
        <f aca="false">IF($K3437="Expected",$P3437,0)</f>
        <v>0</v>
      </c>
      <c r="V3437" s="64" t="n">
        <f aca="false">IF($K3437="Better",$P3437,0)</f>
        <v>0</v>
      </c>
      <c r="W3437" s="64" t="n">
        <f aca="false">IF($K3437="U – needs rule",$P3437,0)</f>
        <v>0</v>
      </c>
      <c r="X3437" s="64" t="n">
        <f aca="false">IF($K3437="No Start (attainment only)",$P3437,0)</f>
        <v>0</v>
      </c>
    </row>
    <row r="3438" customFormat="false" ht="15" hidden="false" customHeight="false" outlineLevel="0" collapsed="false">
      <c r="A3438" s="60"/>
      <c r="B3438" s="61" t="str">
        <f aca="false">IF($M3438=0,"",INDEX(Classes!$E$6:$E$420,$M3438))</f>
        <v/>
      </c>
      <c r="C3438" s="62" t="str">
        <f aca="false">IF($M3438=0,"",INDEX(Classes!$H$6:$H$420,$M3438))</f>
        <v/>
      </c>
      <c r="D3438" s="61" t="str">
        <f aca="false">IF($M3438=0,"",INDEX(Classes!$B$6:$B$420,$M3438))</f>
        <v/>
      </c>
      <c r="E3438" s="61" t="str">
        <f aca="false">IF($M3438=0,"",INDEX(Classes!$C$6:$C$420,$M3438))</f>
        <v/>
      </c>
      <c r="F3438" s="63"/>
      <c r="G3438" s="63"/>
      <c r="H3438" s="60"/>
      <c r="I3438" s="60"/>
      <c r="J3438" s="63"/>
      <c r="K3438" s="61" t="str">
        <f aca="false">IF($P3438=0,"",IF($F3438="Baseline","— Baseline",IF($O3438=0,"No result",IF($N3438=0,"No Start (attainment only)",IF(OR($N3438=1,$O3438=1),"U – needs rule",INDEX(MxBody,MATCH($I3438,MxCurr,0),MATCH($H3438,MxStart,0)))))))</f>
        <v/>
      </c>
      <c r="L3438" s="62" t="str">
        <f aca="false">IF(COUNTA($A3438,$F3438,$G3438,$H3438,$I3438,$J3438)=0,"",IF($M3438=0,"✖ كود الصف غير موجود",IF(ISNA(MATCH($F3438,Lists!$A$2:$A$5,0)),"✖ الفترة غير صحيحة",IF(ISNA(MATCH($G3438,Lists!$B$2:$B$7,0)),"✖ المجموعة غير صحيحة",IF(NOT(OR($H3438="",$N3438&gt;0)),"✖ Start غير صحيح",IF(NOT(OR($I3438="",$I3438="NR",$O3438&gt;0)),"✖ Current غير صحيح",IF(NOT(IF(ISNUMBER($J3438),AND($J3438&gt;=0,$J3438=INT($J3438)),FALSE())),"✖ العدد يجب أن يكون صحيحًا ≥ 0",IF(AND($F3438="Baseline",$H3438&lt;&gt;""),"⚠ Baseline: Start لا يدخل في التقدم",IF($K3438="No Start (attainment only)","ℹ تحصيل فقط (بدون Start)",IF($K3438="U – needs rule","ℹ حالة U تحتاج قاعدة معتمدة",IF($K3438="No result","ℹ بدون نتيجة (يُستبعد من التحصيل)","OK")))))))))))</f>
        <v/>
      </c>
      <c r="M3438" s="64" t="n">
        <f aca="false">IF($A3438="",0,IFERROR(MATCH($A3438,Classes!$A$6:$A$420,0),0))</f>
        <v>0</v>
      </c>
      <c r="N3438" s="64" t="n">
        <f aca="false">IF($H3438="",0,IFERROR(MATCH($H3438,GradeList,0),0))</f>
        <v>0</v>
      </c>
      <c r="O3438" s="64" t="n">
        <f aca="false">IF(OR($I3438="",$I3438="NR"),0,IFERROR(MATCH($I3438,GradeList,0),0))</f>
        <v>0</v>
      </c>
      <c r="P3438" s="64" t="n">
        <f aca="false">IF(AND($M3438&gt;0,ISNUMBER(MATCH($F3438,Lists!$A$2:$A$5,0)),ISNUMBER(MATCH($G3438,Lists!$B$2:$B$7,0)),OR($H3438="",$N3438&gt;0),OR($I3438="",$I3438="NR",$O3438&gt;0),IF(ISNUMBER($J3438),AND($J3438&gt;=0,$J3438=INT($J3438)),FALSE())),$J3438,0)</f>
        <v>0</v>
      </c>
      <c r="Q3438" s="64" t="n">
        <f aca="false">IF(AND($P3438&gt;0,$O3438&gt;0),$P3438,0)</f>
        <v>0</v>
      </c>
      <c r="R3438" s="64" t="n">
        <f aca="false">IF(AND($Q3438&gt;0,$O3438&gt;=AtRank),$Q3438,0)</f>
        <v>0</v>
      </c>
      <c r="S3438" s="64" t="n">
        <f aca="false">IF(AND($Q3438&gt;0,$O3438&gt;=AboveRank),$Q3438,0)</f>
        <v>0</v>
      </c>
      <c r="T3438" s="64" t="n">
        <f aca="false">IF($K3438="Less",$P3438,0)</f>
        <v>0</v>
      </c>
      <c r="U3438" s="64" t="n">
        <f aca="false">IF($K3438="Expected",$P3438,0)</f>
        <v>0</v>
      </c>
      <c r="V3438" s="64" t="n">
        <f aca="false">IF($K3438="Better",$P3438,0)</f>
        <v>0</v>
      </c>
      <c r="W3438" s="64" t="n">
        <f aca="false">IF($K3438="U – needs rule",$P3438,0)</f>
        <v>0</v>
      </c>
      <c r="X3438" s="64" t="n">
        <f aca="false">IF($K3438="No Start (attainment only)",$P3438,0)</f>
        <v>0</v>
      </c>
    </row>
    <row r="3439" customFormat="false" ht="15" hidden="false" customHeight="false" outlineLevel="0" collapsed="false">
      <c r="A3439" s="60"/>
      <c r="B3439" s="61" t="str">
        <f aca="false">IF($M3439=0,"",INDEX(Classes!$E$6:$E$420,$M3439))</f>
        <v/>
      </c>
      <c r="C3439" s="62" t="str">
        <f aca="false">IF($M3439=0,"",INDEX(Classes!$H$6:$H$420,$M3439))</f>
        <v/>
      </c>
      <c r="D3439" s="61" t="str">
        <f aca="false">IF($M3439=0,"",INDEX(Classes!$B$6:$B$420,$M3439))</f>
        <v/>
      </c>
      <c r="E3439" s="61" t="str">
        <f aca="false">IF($M3439=0,"",INDEX(Classes!$C$6:$C$420,$M3439))</f>
        <v/>
      </c>
      <c r="F3439" s="63"/>
      <c r="G3439" s="63"/>
      <c r="H3439" s="60"/>
      <c r="I3439" s="60"/>
      <c r="J3439" s="63"/>
      <c r="K3439" s="61" t="str">
        <f aca="false">IF($P3439=0,"",IF($F3439="Baseline","— Baseline",IF($O3439=0,"No result",IF($N3439=0,"No Start (attainment only)",IF(OR($N3439=1,$O3439=1),"U – needs rule",INDEX(MxBody,MATCH($I3439,MxCurr,0),MATCH($H3439,MxStart,0)))))))</f>
        <v/>
      </c>
      <c r="L3439" s="62" t="str">
        <f aca="false">IF(COUNTA($A3439,$F3439,$G3439,$H3439,$I3439,$J3439)=0,"",IF($M3439=0,"✖ كود الصف غير موجود",IF(ISNA(MATCH($F3439,Lists!$A$2:$A$5,0)),"✖ الفترة غير صحيحة",IF(ISNA(MATCH($G3439,Lists!$B$2:$B$7,0)),"✖ المجموعة غير صحيحة",IF(NOT(OR($H3439="",$N3439&gt;0)),"✖ Start غير صحيح",IF(NOT(OR($I3439="",$I3439="NR",$O3439&gt;0)),"✖ Current غير صحيح",IF(NOT(IF(ISNUMBER($J3439),AND($J3439&gt;=0,$J3439=INT($J3439)),FALSE())),"✖ العدد يجب أن يكون صحيحًا ≥ 0",IF(AND($F3439="Baseline",$H3439&lt;&gt;""),"⚠ Baseline: Start لا يدخل في التقدم",IF($K3439="No Start (attainment only)","ℹ تحصيل فقط (بدون Start)",IF($K3439="U – needs rule","ℹ حالة U تحتاج قاعدة معتمدة",IF($K3439="No result","ℹ بدون نتيجة (يُستبعد من التحصيل)","OK")))))))))))</f>
        <v/>
      </c>
      <c r="M3439" s="64" t="n">
        <f aca="false">IF($A3439="",0,IFERROR(MATCH($A3439,Classes!$A$6:$A$420,0),0))</f>
        <v>0</v>
      </c>
      <c r="N3439" s="64" t="n">
        <f aca="false">IF($H3439="",0,IFERROR(MATCH($H3439,GradeList,0),0))</f>
        <v>0</v>
      </c>
      <c r="O3439" s="64" t="n">
        <f aca="false">IF(OR($I3439="",$I3439="NR"),0,IFERROR(MATCH($I3439,GradeList,0),0))</f>
        <v>0</v>
      </c>
      <c r="P3439" s="64" t="n">
        <f aca="false">IF(AND($M3439&gt;0,ISNUMBER(MATCH($F3439,Lists!$A$2:$A$5,0)),ISNUMBER(MATCH($G3439,Lists!$B$2:$B$7,0)),OR($H3439="",$N3439&gt;0),OR($I3439="",$I3439="NR",$O3439&gt;0),IF(ISNUMBER($J3439),AND($J3439&gt;=0,$J3439=INT($J3439)),FALSE())),$J3439,0)</f>
        <v>0</v>
      </c>
      <c r="Q3439" s="64" t="n">
        <f aca="false">IF(AND($P3439&gt;0,$O3439&gt;0),$P3439,0)</f>
        <v>0</v>
      </c>
      <c r="R3439" s="64" t="n">
        <f aca="false">IF(AND($Q3439&gt;0,$O3439&gt;=AtRank),$Q3439,0)</f>
        <v>0</v>
      </c>
      <c r="S3439" s="64" t="n">
        <f aca="false">IF(AND($Q3439&gt;0,$O3439&gt;=AboveRank),$Q3439,0)</f>
        <v>0</v>
      </c>
      <c r="T3439" s="64" t="n">
        <f aca="false">IF($K3439="Less",$P3439,0)</f>
        <v>0</v>
      </c>
      <c r="U3439" s="64" t="n">
        <f aca="false">IF($K3439="Expected",$P3439,0)</f>
        <v>0</v>
      </c>
      <c r="V3439" s="64" t="n">
        <f aca="false">IF($K3439="Better",$P3439,0)</f>
        <v>0</v>
      </c>
      <c r="W3439" s="64" t="n">
        <f aca="false">IF($K3439="U – needs rule",$P3439,0)</f>
        <v>0</v>
      </c>
      <c r="X3439" s="64" t="n">
        <f aca="false">IF($K3439="No Start (attainment only)",$P3439,0)</f>
        <v>0</v>
      </c>
    </row>
    <row r="3440" customFormat="false" ht="15" hidden="false" customHeight="false" outlineLevel="0" collapsed="false">
      <c r="A3440" s="60"/>
      <c r="B3440" s="61" t="str">
        <f aca="false">IF($M3440=0,"",INDEX(Classes!$E$6:$E$420,$M3440))</f>
        <v/>
      </c>
      <c r="C3440" s="62" t="str">
        <f aca="false">IF($M3440=0,"",INDEX(Classes!$H$6:$H$420,$M3440))</f>
        <v/>
      </c>
      <c r="D3440" s="61" t="str">
        <f aca="false">IF($M3440=0,"",INDEX(Classes!$B$6:$B$420,$M3440))</f>
        <v/>
      </c>
      <c r="E3440" s="61" t="str">
        <f aca="false">IF($M3440=0,"",INDEX(Classes!$C$6:$C$420,$M3440))</f>
        <v/>
      </c>
      <c r="F3440" s="63"/>
      <c r="G3440" s="63"/>
      <c r="H3440" s="60"/>
      <c r="I3440" s="60"/>
      <c r="J3440" s="63"/>
      <c r="K3440" s="61" t="str">
        <f aca="false">IF($P3440=0,"",IF($F3440="Baseline","— Baseline",IF($O3440=0,"No result",IF($N3440=0,"No Start (attainment only)",IF(OR($N3440=1,$O3440=1),"U – needs rule",INDEX(MxBody,MATCH($I3440,MxCurr,0),MATCH($H3440,MxStart,0)))))))</f>
        <v/>
      </c>
      <c r="L3440" s="62" t="str">
        <f aca="false">IF(COUNTA($A3440,$F3440,$G3440,$H3440,$I3440,$J3440)=0,"",IF($M3440=0,"✖ كود الصف غير موجود",IF(ISNA(MATCH($F3440,Lists!$A$2:$A$5,0)),"✖ الفترة غير صحيحة",IF(ISNA(MATCH($G3440,Lists!$B$2:$B$7,0)),"✖ المجموعة غير صحيحة",IF(NOT(OR($H3440="",$N3440&gt;0)),"✖ Start غير صحيح",IF(NOT(OR($I3440="",$I3440="NR",$O3440&gt;0)),"✖ Current غير صحيح",IF(NOT(IF(ISNUMBER($J3440),AND($J3440&gt;=0,$J3440=INT($J3440)),FALSE())),"✖ العدد يجب أن يكون صحيحًا ≥ 0",IF(AND($F3440="Baseline",$H3440&lt;&gt;""),"⚠ Baseline: Start لا يدخل في التقدم",IF($K3440="No Start (attainment only)","ℹ تحصيل فقط (بدون Start)",IF($K3440="U – needs rule","ℹ حالة U تحتاج قاعدة معتمدة",IF($K3440="No result","ℹ بدون نتيجة (يُستبعد من التحصيل)","OK")))))))))))</f>
        <v/>
      </c>
      <c r="M3440" s="64" t="n">
        <f aca="false">IF($A3440="",0,IFERROR(MATCH($A3440,Classes!$A$6:$A$420,0),0))</f>
        <v>0</v>
      </c>
      <c r="N3440" s="64" t="n">
        <f aca="false">IF($H3440="",0,IFERROR(MATCH($H3440,GradeList,0),0))</f>
        <v>0</v>
      </c>
      <c r="O3440" s="64" t="n">
        <f aca="false">IF(OR($I3440="",$I3440="NR"),0,IFERROR(MATCH($I3440,GradeList,0),0))</f>
        <v>0</v>
      </c>
      <c r="P3440" s="64" t="n">
        <f aca="false">IF(AND($M3440&gt;0,ISNUMBER(MATCH($F3440,Lists!$A$2:$A$5,0)),ISNUMBER(MATCH($G3440,Lists!$B$2:$B$7,0)),OR($H3440="",$N3440&gt;0),OR($I3440="",$I3440="NR",$O3440&gt;0),IF(ISNUMBER($J3440),AND($J3440&gt;=0,$J3440=INT($J3440)),FALSE())),$J3440,0)</f>
        <v>0</v>
      </c>
      <c r="Q3440" s="64" t="n">
        <f aca="false">IF(AND($P3440&gt;0,$O3440&gt;0),$P3440,0)</f>
        <v>0</v>
      </c>
      <c r="R3440" s="64" t="n">
        <f aca="false">IF(AND($Q3440&gt;0,$O3440&gt;=AtRank),$Q3440,0)</f>
        <v>0</v>
      </c>
      <c r="S3440" s="64" t="n">
        <f aca="false">IF(AND($Q3440&gt;0,$O3440&gt;=AboveRank),$Q3440,0)</f>
        <v>0</v>
      </c>
      <c r="T3440" s="64" t="n">
        <f aca="false">IF($K3440="Less",$P3440,0)</f>
        <v>0</v>
      </c>
      <c r="U3440" s="64" t="n">
        <f aca="false">IF($K3440="Expected",$P3440,0)</f>
        <v>0</v>
      </c>
      <c r="V3440" s="64" t="n">
        <f aca="false">IF($K3440="Better",$P3440,0)</f>
        <v>0</v>
      </c>
      <c r="W3440" s="64" t="n">
        <f aca="false">IF($K3440="U – needs rule",$P3440,0)</f>
        <v>0</v>
      </c>
      <c r="X3440" s="64" t="n">
        <f aca="false">IF($K3440="No Start (attainment only)",$P3440,0)</f>
        <v>0</v>
      </c>
    </row>
    <row r="3441" customFormat="false" ht="15" hidden="false" customHeight="false" outlineLevel="0" collapsed="false">
      <c r="A3441" s="60"/>
      <c r="B3441" s="61" t="str">
        <f aca="false">IF($M3441=0,"",INDEX(Classes!$E$6:$E$420,$M3441))</f>
        <v/>
      </c>
      <c r="C3441" s="62" t="str">
        <f aca="false">IF($M3441=0,"",INDEX(Classes!$H$6:$H$420,$M3441))</f>
        <v/>
      </c>
      <c r="D3441" s="61" t="str">
        <f aca="false">IF($M3441=0,"",INDEX(Classes!$B$6:$B$420,$M3441))</f>
        <v/>
      </c>
      <c r="E3441" s="61" t="str">
        <f aca="false">IF($M3441=0,"",INDEX(Classes!$C$6:$C$420,$M3441))</f>
        <v/>
      </c>
      <c r="F3441" s="63"/>
      <c r="G3441" s="63"/>
      <c r="H3441" s="60"/>
      <c r="I3441" s="60"/>
      <c r="J3441" s="63"/>
      <c r="K3441" s="61" t="str">
        <f aca="false">IF($P3441=0,"",IF($F3441="Baseline","— Baseline",IF($O3441=0,"No result",IF($N3441=0,"No Start (attainment only)",IF(OR($N3441=1,$O3441=1),"U – needs rule",INDEX(MxBody,MATCH($I3441,MxCurr,0),MATCH($H3441,MxStart,0)))))))</f>
        <v/>
      </c>
      <c r="L3441" s="62" t="str">
        <f aca="false">IF(COUNTA($A3441,$F3441,$G3441,$H3441,$I3441,$J3441)=0,"",IF($M3441=0,"✖ كود الصف غير موجود",IF(ISNA(MATCH($F3441,Lists!$A$2:$A$5,0)),"✖ الفترة غير صحيحة",IF(ISNA(MATCH($G3441,Lists!$B$2:$B$7,0)),"✖ المجموعة غير صحيحة",IF(NOT(OR($H3441="",$N3441&gt;0)),"✖ Start غير صحيح",IF(NOT(OR($I3441="",$I3441="NR",$O3441&gt;0)),"✖ Current غير صحيح",IF(NOT(IF(ISNUMBER($J3441),AND($J3441&gt;=0,$J3441=INT($J3441)),FALSE())),"✖ العدد يجب أن يكون صحيحًا ≥ 0",IF(AND($F3441="Baseline",$H3441&lt;&gt;""),"⚠ Baseline: Start لا يدخل في التقدم",IF($K3441="No Start (attainment only)","ℹ تحصيل فقط (بدون Start)",IF($K3441="U – needs rule","ℹ حالة U تحتاج قاعدة معتمدة",IF($K3441="No result","ℹ بدون نتيجة (يُستبعد من التحصيل)","OK")))))))))))</f>
        <v/>
      </c>
      <c r="M3441" s="64" t="n">
        <f aca="false">IF($A3441="",0,IFERROR(MATCH($A3441,Classes!$A$6:$A$420,0),0))</f>
        <v>0</v>
      </c>
      <c r="N3441" s="64" t="n">
        <f aca="false">IF($H3441="",0,IFERROR(MATCH($H3441,GradeList,0),0))</f>
        <v>0</v>
      </c>
      <c r="O3441" s="64" t="n">
        <f aca="false">IF(OR($I3441="",$I3441="NR"),0,IFERROR(MATCH($I3441,GradeList,0),0))</f>
        <v>0</v>
      </c>
      <c r="P3441" s="64" t="n">
        <f aca="false">IF(AND($M3441&gt;0,ISNUMBER(MATCH($F3441,Lists!$A$2:$A$5,0)),ISNUMBER(MATCH($G3441,Lists!$B$2:$B$7,0)),OR($H3441="",$N3441&gt;0),OR($I3441="",$I3441="NR",$O3441&gt;0),IF(ISNUMBER($J3441),AND($J3441&gt;=0,$J3441=INT($J3441)),FALSE())),$J3441,0)</f>
        <v>0</v>
      </c>
      <c r="Q3441" s="64" t="n">
        <f aca="false">IF(AND($P3441&gt;0,$O3441&gt;0),$P3441,0)</f>
        <v>0</v>
      </c>
      <c r="R3441" s="64" t="n">
        <f aca="false">IF(AND($Q3441&gt;0,$O3441&gt;=AtRank),$Q3441,0)</f>
        <v>0</v>
      </c>
      <c r="S3441" s="64" t="n">
        <f aca="false">IF(AND($Q3441&gt;0,$O3441&gt;=AboveRank),$Q3441,0)</f>
        <v>0</v>
      </c>
      <c r="T3441" s="64" t="n">
        <f aca="false">IF($K3441="Less",$P3441,0)</f>
        <v>0</v>
      </c>
      <c r="U3441" s="64" t="n">
        <f aca="false">IF($K3441="Expected",$P3441,0)</f>
        <v>0</v>
      </c>
      <c r="V3441" s="64" t="n">
        <f aca="false">IF($K3441="Better",$P3441,0)</f>
        <v>0</v>
      </c>
      <c r="W3441" s="64" t="n">
        <f aca="false">IF($K3441="U – needs rule",$P3441,0)</f>
        <v>0</v>
      </c>
      <c r="X3441" s="64" t="n">
        <f aca="false">IF($K3441="No Start (attainment only)",$P3441,0)</f>
        <v>0</v>
      </c>
    </row>
    <row r="3442" customFormat="false" ht="15" hidden="false" customHeight="false" outlineLevel="0" collapsed="false">
      <c r="A3442" s="60"/>
      <c r="B3442" s="61" t="str">
        <f aca="false">IF($M3442=0,"",INDEX(Classes!$E$6:$E$420,$M3442))</f>
        <v/>
      </c>
      <c r="C3442" s="62" t="str">
        <f aca="false">IF($M3442=0,"",INDEX(Classes!$H$6:$H$420,$M3442))</f>
        <v/>
      </c>
      <c r="D3442" s="61" t="str">
        <f aca="false">IF($M3442=0,"",INDEX(Classes!$B$6:$B$420,$M3442))</f>
        <v/>
      </c>
      <c r="E3442" s="61" t="str">
        <f aca="false">IF($M3442=0,"",INDEX(Classes!$C$6:$C$420,$M3442))</f>
        <v/>
      </c>
      <c r="F3442" s="63"/>
      <c r="G3442" s="63"/>
      <c r="H3442" s="60"/>
      <c r="I3442" s="60"/>
      <c r="J3442" s="63"/>
      <c r="K3442" s="61" t="str">
        <f aca="false">IF($P3442=0,"",IF($F3442="Baseline","— Baseline",IF($O3442=0,"No result",IF($N3442=0,"No Start (attainment only)",IF(OR($N3442=1,$O3442=1),"U – needs rule",INDEX(MxBody,MATCH($I3442,MxCurr,0),MATCH($H3442,MxStart,0)))))))</f>
        <v/>
      </c>
      <c r="L3442" s="62" t="str">
        <f aca="false">IF(COUNTA($A3442,$F3442,$G3442,$H3442,$I3442,$J3442)=0,"",IF($M3442=0,"✖ كود الصف غير موجود",IF(ISNA(MATCH($F3442,Lists!$A$2:$A$5,0)),"✖ الفترة غير صحيحة",IF(ISNA(MATCH($G3442,Lists!$B$2:$B$7,0)),"✖ المجموعة غير صحيحة",IF(NOT(OR($H3442="",$N3442&gt;0)),"✖ Start غير صحيح",IF(NOT(OR($I3442="",$I3442="NR",$O3442&gt;0)),"✖ Current غير صحيح",IF(NOT(IF(ISNUMBER($J3442),AND($J3442&gt;=0,$J3442=INT($J3442)),FALSE())),"✖ العدد يجب أن يكون صحيحًا ≥ 0",IF(AND($F3442="Baseline",$H3442&lt;&gt;""),"⚠ Baseline: Start لا يدخل في التقدم",IF($K3442="No Start (attainment only)","ℹ تحصيل فقط (بدون Start)",IF($K3442="U – needs rule","ℹ حالة U تحتاج قاعدة معتمدة",IF($K3442="No result","ℹ بدون نتيجة (يُستبعد من التحصيل)","OK")))))))))))</f>
        <v/>
      </c>
      <c r="M3442" s="64" t="n">
        <f aca="false">IF($A3442="",0,IFERROR(MATCH($A3442,Classes!$A$6:$A$420,0),0))</f>
        <v>0</v>
      </c>
      <c r="N3442" s="64" t="n">
        <f aca="false">IF($H3442="",0,IFERROR(MATCH($H3442,GradeList,0),0))</f>
        <v>0</v>
      </c>
      <c r="O3442" s="64" t="n">
        <f aca="false">IF(OR($I3442="",$I3442="NR"),0,IFERROR(MATCH($I3442,GradeList,0),0))</f>
        <v>0</v>
      </c>
      <c r="P3442" s="64" t="n">
        <f aca="false">IF(AND($M3442&gt;0,ISNUMBER(MATCH($F3442,Lists!$A$2:$A$5,0)),ISNUMBER(MATCH($G3442,Lists!$B$2:$B$7,0)),OR($H3442="",$N3442&gt;0),OR($I3442="",$I3442="NR",$O3442&gt;0),IF(ISNUMBER($J3442),AND($J3442&gt;=0,$J3442=INT($J3442)),FALSE())),$J3442,0)</f>
        <v>0</v>
      </c>
      <c r="Q3442" s="64" t="n">
        <f aca="false">IF(AND($P3442&gt;0,$O3442&gt;0),$P3442,0)</f>
        <v>0</v>
      </c>
      <c r="R3442" s="64" t="n">
        <f aca="false">IF(AND($Q3442&gt;0,$O3442&gt;=AtRank),$Q3442,0)</f>
        <v>0</v>
      </c>
      <c r="S3442" s="64" t="n">
        <f aca="false">IF(AND($Q3442&gt;0,$O3442&gt;=AboveRank),$Q3442,0)</f>
        <v>0</v>
      </c>
      <c r="T3442" s="64" t="n">
        <f aca="false">IF($K3442="Less",$P3442,0)</f>
        <v>0</v>
      </c>
      <c r="U3442" s="64" t="n">
        <f aca="false">IF($K3442="Expected",$P3442,0)</f>
        <v>0</v>
      </c>
      <c r="V3442" s="64" t="n">
        <f aca="false">IF($K3442="Better",$P3442,0)</f>
        <v>0</v>
      </c>
      <c r="W3442" s="64" t="n">
        <f aca="false">IF($K3442="U – needs rule",$P3442,0)</f>
        <v>0</v>
      </c>
      <c r="X3442" s="64" t="n">
        <f aca="false">IF($K3442="No Start (attainment only)",$P3442,0)</f>
        <v>0</v>
      </c>
    </row>
    <row r="3443" customFormat="false" ht="15" hidden="false" customHeight="false" outlineLevel="0" collapsed="false">
      <c r="A3443" s="60"/>
      <c r="B3443" s="61" t="str">
        <f aca="false">IF($M3443=0,"",INDEX(Classes!$E$6:$E$420,$M3443))</f>
        <v/>
      </c>
      <c r="C3443" s="62" t="str">
        <f aca="false">IF($M3443=0,"",INDEX(Classes!$H$6:$H$420,$M3443))</f>
        <v/>
      </c>
      <c r="D3443" s="61" t="str">
        <f aca="false">IF($M3443=0,"",INDEX(Classes!$B$6:$B$420,$M3443))</f>
        <v/>
      </c>
      <c r="E3443" s="61" t="str">
        <f aca="false">IF($M3443=0,"",INDEX(Classes!$C$6:$C$420,$M3443))</f>
        <v/>
      </c>
      <c r="F3443" s="63"/>
      <c r="G3443" s="63"/>
      <c r="H3443" s="60"/>
      <c r="I3443" s="60"/>
      <c r="J3443" s="63"/>
      <c r="K3443" s="61" t="str">
        <f aca="false">IF($P3443=0,"",IF($F3443="Baseline","— Baseline",IF($O3443=0,"No result",IF($N3443=0,"No Start (attainment only)",IF(OR($N3443=1,$O3443=1),"U – needs rule",INDEX(MxBody,MATCH($I3443,MxCurr,0),MATCH($H3443,MxStart,0)))))))</f>
        <v/>
      </c>
      <c r="L3443" s="62" t="str">
        <f aca="false">IF(COUNTA($A3443,$F3443,$G3443,$H3443,$I3443,$J3443)=0,"",IF($M3443=0,"✖ كود الصف غير موجود",IF(ISNA(MATCH($F3443,Lists!$A$2:$A$5,0)),"✖ الفترة غير صحيحة",IF(ISNA(MATCH($G3443,Lists!$B$2:$B$7,0)),"✖ المجموعة غير صحيحة",IF(NOT(OR($H3443="",$N3443&gt;0)),"✖ Start غير صحيح",IF(NOT(OR($I3443="",$I3443="NR",$O3443&gt;0)),"✖ Current غير صحيح",IF(NOT(IF(ISNUMBER($J3443),AND($J3443&gt;=0,$J3443=INT($J3443)),FALSE())),"✖ العدد يجب أن يكون صحيحًا ≥ 0",IF(AND($F3443="Baseline",$H3443&lt;&gt;""),"⚠ Baseline: Start لا يدخل في التقدم",IF($K3443="No Start (attainment only)","ℹ تحصيل فقط (بدون Start)",IF($K3443="U – needs rule","ℹ حالة U تحتاج قاعدة معتمدة",IF($K3443="No result","ℹ بدون نتيجة (يُستبعد من التحصيل)","OK")))))))))))</f>
        <v/>
      </c>
      <c r="M3443" s="64" t="n">
        <f aca="false">IF($A3443="",0,IFERROR(MATCH($A3443,Classes!$A$6:$A$420,0),0))</f>
        <v>0</v>
      </c>
      <c r="N3443" s="64" t="n">
        <f aca="false">IF($H3443="",0,IFERROR(MATCH($H3443,GradeList,0),0))</f>
        <v>0</v>
      </c>
      <c r="O3443" s="64" t="n">
        <f aca="false">IF(OR($I3443="",$I3443="NR"),0,IFERROR(MATCH($I3443,GradeList,0),0))</f>
        <v>0</v>
      </c>
      <c r="P3443" s="64" t="n">
        <f aca="false">IF(AND($M3443&gt;0,ISNUMBER(MATCH($F3443,Lists!$A$2:$A$5,0)),ISNUMBER(MATCH($G3443,Lists!$B$2:$B$7,0)),OR($H3443="",$N3443&gt;0),OR($I3443="",$I3443="NR",$O3443&gt;0),IF(ISNUMBER($J3443),AND($J3443&gt;=0,$J3443=INT($J3443)),FALSE())),$J3443,0)</f>
        <v>0</v>
      </c>
      <c r="Q3443" s="64" t="n">
        <f aca="false">IF(AND($P3443&gt;0,$O3443&gt;0),$P3443,0)</f>
        <v>0</v>
      </c>
      <c r="R3443" s="64" t="n">
        <f aca="false">IF(AND($Q3443&gt;0,$O3443&gt;=AtRank),$Q3443,0)</f>
        <v>0</v>
      </c>
      <c r="S3443" s="64" t="n">
        <f aca="false">IF(AND($Q3443&gt;0,$O3443&gt;=AboveRank),$Q3443,0)</f>
        <v>0</v>
      </c>
      <c r="T3443" s="64" t="n">
        <f aca="false">IF($K3443="Less",$P3443,0)</f>
        <v>0</v>
      </c>
      <c r="U3443" s="64" t="n">
        <f aca="false">IF($K3443="Expected",$P3443,0)</f>
        <v>0</v>
      </c>
      <c r="V3443" s="64" t="n">
        <f aca="false">IF($K3443="Better",$P3443,0)</f>
        <v>0</v>
      </c>
      <c r="W3443" s="64" t="n">
        <f aca="false">IF($K3443="U – needs rule",$P3443,0)</f>
        <v>0</v>
      </c>
      <c r="X3443" s="64" t="n">
        <f aca="false">IF($K3443="No Start (attainment only)",$P3443,0)</f>
        <v>0</v>
      </c>
    </row>
    <row r="3444" customFormat="false" ht="15" hidden="false" customHeight="false" outlineLevel="0" collapsed="false">
      <c r="A3444" s="60"/>
      <c r="B3444" s="61" t="str">
        <f aca="false">IF($M3444=0,"",INDEX(Classes!$E$6:$E$420,$M3444))</f>
        <v/>
      </c>
      <c r="C3444" s="62" t="str">
        <f aca="false">IF($M3444=0,"",INDEX(Classes!$H$6:$H$420,$M3444))</f>
        <v/>
      </c>
      <c r="D3444" s="61" t="str">
        <f aca="false">IF($M3444=0,"",INDEX(Classes!$B$6:$B$420,$M3444))</f>
        <v/>
      </c>
      <c r="E3444" s="61" t="str">
        <f aca="false">IF($M3444=0,"",INDEX(Classes!$C$6:$C$420,$M3444))</f>
        <v/>
      </c>
      <c r="F3444" s="63"/>
      <c r="G3444" s="63"/>
      <c r="H3444" s="60"/>
      <c r="I3444" s="60"/>
      <c r="J3444" s="63"/>
      <c r="K3444" s="61" t="str">
        <f aca="false">IF($P3444=0,"",IF($F3444="Baseline","— Baseline",IF($O3444=0,"No result",IF($N3444=0,"No Start (attainment only)",IF(OR($N3444=1,$O3444=1),"U – needs rule",INDEX(MxBody,MATCH($I3444,MxCurr,0),MATCH($H3444,MxStart,0)))))))</f>
        <v/>
      </c>
      <c r="L3444" s="62" t="str">
        <f aca="false">IF(COUNTA($A3444,$F3444,$G3444,$H3444,$I3444,$J3444)=0,"",IF($M3444=0,"✖ كود الصف غير موجود",IF(ISNA(MATCH($F3444,Lists!$A$2:$A$5,0)),"✖ الفترة غير صحيحة",IF(ISNA(MATCH($G3444,Lists!$B$2:$B$7,0)),"✖ المجموعة غير صحيحة",IF(NOT(OR($H3444="",$N3444&gt;0)),"✖ Start غير صحيح",IF(NOT(OR($I3444="",$I3444="NR",$O3444&gt;0)),"✖ Current غير صحيح",IF(NOT(IF(ISNUMBER($J3444),AND($J3444&gt;=0,$J3444=INT($J3444)),FALSE())),"✖ العدد يجب أن يكون صحيحًا ≥ 0",IF(AND($F3444="Baseline",$H3444&lt;&gt;""),"⚠ Baseline: Start لا يدخل في التقدم",IF($K3444="No Start (attainment only)","ℹ تحصيل فقط (بدون Start)",IF($K3444="U – needs rule","ℹ حالة U تحتاج قاعدة معتمدة",IF($K3444="No result","ℹ بدون نتيجة (يُستبعد من التحصيل)","OK")))))))))))</f>
        <v/>
      </c>
      <c r="M3444" s="64" t="n">
        <f aca="false">IF($A3444="",0,IFERROR(MATCH($A3444,Classes!$A$6:$A$420,0),0))</f>
        <v>0</v>
      </c>
      <c r="N3444" s="64" t="n">
        <f aca="false">IF($H3444="",0,IFERROR(MATCH($H3444,GradeList,0),0))</f>
        <v>0</v>
      </c>
      <c r="O3444" s="64" t="n">
        <f aca="false">IF(OR($I3444="",$I3444="NR"),0,IFERROR(MATCH($I3444,GradeList,0),0))</f>
        <v>0</v>
      </c>
      <c r="P3444" s="64" t="n">
        <f aca="false">IF(AND($M3444&gt;0,ISNUMBER(MATCH($F3444,Lists!$A$2:$A$5,0)),ISNUMBER(MATCH($G3444,Lists!$B$2:$B$7,0)),OR($H3444="",$N3444&gt;0),OR($I3444="",$I3444="NR",$O3444&gt;0),IF(ISNUMBER($J3444),AND($J3444&gt;=0,$J3444=INT($J3444)),FALSE())),$J3444,0)</f>
        <v>0</v>
      </c>
      <c r="Q3444" s="64" t="n">
        <f aca="false">IF(AND($P3444&gt;0,$O3444&gt;0),$P3444,0)</f>
        <v>0</v>
      </c>
      <c r="R3444" s="64" t="n">
        <f aca="false">IF(AND($Q3444&gt;0,$O3444&gt;=AtRank),$Q3444,0)</f>
        <v>0</v>
      </c>
      <c r="S3444" s="64" t="n">
        <f aca="false">IF(AND($Q3444&gt;0,$O3444&gt;=AboveRank),$Q3444,0)</f>
        <v>0</v>
      </c>
      <c r="T3444" s="64" t="n">
        <f aca="false">IF($K3444="Less",$P3444,0)</f>
        <v>0</v>
      </c>
      <c r="U3444" s="64" t="n">
        <f aca="false">IF($K3444="Expected",$P3444,0)</f>
        <v>0</v>
      </c>
      <c r="V3444" s="64" t="n">
        <f aca="false">IF($K3444="Better",$P3444,0)</f>
        <v>0</v>
      </c>
      <c r="W3444" s="64" t="n">
        <f aca="false">IF($K3444="U – needs rule",$P3444,0)</f>
        <v>0</v>
      </c>
      <c r="X3444" s="64" t="n">
        <f aca="false">IF($K3444="No Start (attainment only)",$P3444,0)</f>
        <v>0</v>
      </c>
    </row>
    <row r="3445" customFormat="false" ht="15" hidden="false" customHeight="false" outlineLevel="0" collapsed="false">
      <c r="A3445" s="60"/>
      <c r="B3445" s="61" t="str">
        <f aca="false">IF($M3445=0,"",INDEX(Classes!$E$6:$E$420,$M3445))</f>
        <v/>
      </c>
      <c r="C3445" s="62" t="str">
        <f aca="false">IF($M3445=0,"",INDEX(Classes!$H$6:$H$420,$M3445))</f>
        <v/>
      </c>
      <c r="D3445" s="61" t="str">
        <f aca="false">IF($M3445=0,"",INDEX(Classes!$B$6:$B$420,$M3445))</f>
        <v/>
      </c>
      <c r="E3445" s="61" t="str">
        <f aca="false">IF($M3445=0,"",INDEX(Classes!$C$6:$C$420,$M3445))</f>
        <v/>
      </c>
      <c r="F3445" s="63"/>
      <c r="G3445" s="63"/>
      <c r="H3445" s="60"/>
      <c r="I3445" s="60"/>
      <c r="J3445" s="63"/>
      <c r="K3445" s="61" t="str">
        <f aca="false">IF($P3445=0,"",IF($F3445="Baseline","— Baseline",IF($O3445=0,"No result",IF($N3445=0,"No Start (attainment only)",IF(OR($N3445=1,$O3445=1),"U – needs rule",INDEX(MxBody,MATCH($I3445,MxCurr,0),MATCH($H3445,MxStart,0)))))))</f>
        <v/>
      </c>
      <c r="L3445" s="62" t="str">
        <f aca="false">IF(COUNTA($A3445,$F3445,$G3445,$H3445,$I3445,$J3445)=0,"",IF($M3445=0,"✖ كود الصف غير موجود",IF(ISNA(MATCH($F3445,Lists!$A$2:$A$5,0)),"✖ الفترة غير صحيحة",IF(ISNA(MATCH($G3445,Lists!$B$2:$B$7,0)),"✖ المجموعة غير صحيحة",IF(NOT(OR($H3445="",$N3445&gt;0)),"✖ Start غير صحيح",IF(NOT(OR($I3445="",$I3445="NR",$O3445&gt;0)),"✖ Current غير صحيح",IF(NOT(IF(ISNUMBER($J3445),AND($J3445&gt;=0,$J3445=INT($J3445)),FALSE())),"✖ العدد يجب أن يكون صحيحًا ≥ 0",IF(AND($F3445="Baseline",$H3445&lt;&gt;""),"⚠ Baseline: Start لا يدخل في التقدم",IF($K3445="No Start (attainment only)","ℹ تحصيل فقط (بدون Start)",IF($K3445="U – needs rule","ℹ حالة U تحتاج قاعدة معتمدة",IF($K3445="No result","ℹ بدون نتيجة (يُستبعد من التحصيل)","OK")))))))))))</f>
        <v/>
      </c>
      <c r="M3445" s="64" t="n">
        <f aca="false">IF($A3445="",0,IFERROR(MATCH($A3445,Classes!$A$6:$A$420,0),0))</f>
        <v>0</v>
      </c>
      <c r="N3445" s="64" t="n">
        <f aca="false">IF($H3445="",0,IFERROR(MATCH($H3445,GradeList,0),0))</f>
        <v>0</v>
      </c>
      <c r="O3445" s="64" t="n">
        <f aca="false">IF(OR($I3445="",$I3445="NR"),0,IFERROR(MATCH($I3445,GradeList,0),0))</f>
        <v>0</v>
      </c>
      <c r="P3445" s="64" t="n">
        <f aca="false">IF(AND($M3445&gt;0,ISNUMBER(MATCH($F3445,Lists!$A$2:$A$5,0)),ISNUMBER(MATCH($G3445,Lists!$B$2:$B$7,0)),OR($H3445="",$N3445&gt;0),OR($I3445="",$I3445="NR",$O3445&gt;0),IF(ISNUMBER($J3445),AND($J3445&gt;=0,$J3445=INT($J3445)),FALSE())),$J3445,0)</f>
        <v>0</v>
      </c>
      <c r="Q3445" s="64" t="n">
        <f aca="false">IF(AND($P3445&gt;0,$O3445&gt;0),$P3445,0)</f>
        <v>0</v>
      </c>
      <c r="R3445" s="64" t="n">
        <f aca="false">IF(AND($Q3445&gt;0,$O3445&gt;=AtRank),$Q3445,0)</f>
        <v>0</v>
      </c>
      <c r="S3445" s="64" t="n">
        <f aca="false">IF(AND($Q3445&gt;0,$O3445&gt;=AboveRank),$Q3445,0)</f>
        <v>0</v>
      </c>
      <c r="T3445" s="64" t="n">
        <f aca="false">IF($K3445="Less",$P3445,0)</f>
        <v>0</v>
      </c>
      <c r="U3445" s="64" t="n">
        <f aca="false">IF($K3445="Expected",$P3445,0)</f>
        <v>0</v>
      </c>
      <c r="V3445" s="64" t="n">
        <f aca="false">IF($K3445="Better",$P3445,0)</f>
        <v>0</v>
      </c>
      <c r="W3445" s="64" t="n">
        <f aca="false">IF($K3445="U – needs rule",$P3445,0)</f>
        <v>0</v>
      </c>
      <c r="X3445" s="64" t="n">
        <f aca="false">IF($K3445="No Start (attainment only)",$P3445,0)</f>
        <v>0</v>
      </c>
    </row>
    <row r="3446" customFormat="false" ht="15" hidden="false" customHeight="false" outlineLevel="0" collapsed="false">
      <c r="A3446" s="60"/>
      <c r="B3446" s="61" t="str">
        <f aca="false">IF($M3446=0,"",INDEX(Classes!$E$6:$E$420,$M3446))</f>
        <v/>
      </c>
      <c r="C3446" s="62" t="str">
        <f aca="false">IF($M3446=0,"",INDEX(Classes!$H$6:$H$420,$M3446))</f>
        <v/>
      </c>
      <c r="D3446" s="61" t="str">
        <f aca="false">IF($M3446=0,"",INDEX(Classes!$B$6:$B$420,$M3446))</f>
        <v/>
      </c>
      <c r="E3446" s="61" t="str">
        <f aca="false">IF($M3446=0,"",INDEX(Classes!$C$6:$C$420,$M3446))</f>
        <v/>
      </c>
      <c r="F3446" s="63"/>
      <c r="G3446" s="63"/>
      <c r="H3446" s="60"/>
      <c r="I3446" s="60"/>
      <c r="J3446" s="63"/>
      <c r="K3446" s="61" t="str">
        <f aca="false">IF($P3446=0,"",IF($F3446="Baseline","— Baseline",IF($O3446=0,"No result",IF($N3446=0,"No Start (attainment only)",IF(OR($N3446=1,$O3446=1),"U – needs rule",INDEX(MxBody,MATCH($I3446,MxCurr,0),MATCH($H3446,MxStart,0)))))))</f>
        <v/>
      </c>
      <c r="L3446" s="62" t="str">
        <f aca="false">IF(COUNTA($A3446,$F3446,$G3446,$H3446,$I3446,$J3446)=0,"",IF($M3446=0,"✖ كود الصف غير موجود",IF(ISNA(MATCH($F3446,Lists!$A$2:$A$5,0)),"✖ الفترة غير صحيحة",IF(ISNA(MATCH($G3446,Lists!$B$2:$B$7,0)),"✖ المجموعة غير صحيحة",IF(NOT(OR($H3446="",$N3446&gt;0)),"✖ Start غير صحيح",IF(NOT(OR($I3446="",$I3446="NR",$O3446&gt;0)),"✖ Current غير صحيح",IF(NOT(IF(ISNUMBER($J3446),AND($J3446&gt;=0,$J3446=INT($J3446)),FALSE())),"✖ العدد يجب أن يكون صحيحًا ≥ 0",IF(AND($F3446="Baseline",$H3446&lt;&gt;""),"⚠ Baseline: Start لا يدخل في التقدم",IF($K3446="No Start (attainment only)","ℹ تحصيل فقط (بدون Start)",IF($K3446="U – needs rule","ℹ حالة U تحتاج قاعدة معتمدة",IF($K3446="No result","ℹ بدون نتيجة (يُستبعد من التحصيل)","OK")))))))))))</f>
        <v/>
      </c>
      <c r="M3446" s="64" t="n">
        <f aca="false">IF($A3446="",0,IFERROR(MATCH($A3446,Classes!$A$6:$A$420,0),0))</f>
        <v>0</v>
      </c>
      <c r="N3446" s="64" t="n">
        <f aca="false">IF($H3446="",0,IFERROR(MATCH($H3446,GradeList,0),0))</f>
        <v>0</v>
      </c>
      <c r="O3446" s="64" t="n">
        <f aca="false">IF(OR($I3446="",$I3446="NR"),0,IFERROR(MATCH($I3446,GradeList,0),0))</f>
        <v>0</v>
      </c>
      <c r="P3446" s="64" t="n">
        <f aca="false">IF(AND($M3446&gt;0,ISNUMBER(MATCH($F3446,Lists!$A$2:$A$5,0)),ISNUMBER(MATCH($G3446,Lists!$B$2:$B$7,0)),OR($H3446="",$N3446&gt;0),OR($I3446="",$I3446="NR",$O3446&gt;0),IF(ISNUMBER($J3446),AND($J3446&gt;=0,$J3446=INT($J3446)),FALSE())),$J3446,0)</f>
        <v>0</v>
      </c>
      <c r="Q3446" s="64" t="n">
        <f aca="false">IF(AND($P3446&gt;0,$O3446&gt;0),$P3446,0)</f>
        <v>0</v>
      </c>
      <c r="R3446" s="64" t="n">
        <f aca="false">IF(AND($Q3446&gt;0,$O3446&gt;=AtRank),$Q3446,0)</f>
        <v>0</v>
      </c>
      <c r="S3446" s="64" t="n">
        <f aca="false">IF(AND($Q3446&gt;0,$O3446&gt;=AboveRank),$Q3446,0)</f>
        <v>0</v>
      </c>
      <c r="T3446" s="64" t="n">
        <f aca="false">IF($K3446="Less",$P3446,0)</f>
        <v>0</v>
      </c>
      <c r="U3446" s="64" t="n">
        <f aca="false">IF($K3446="Expected",$P3446,0)</f>
        <v>0</v>
      </c>
      <c r="V3446" s="64" t="n">
        <f aca="false">IF($K3446="Better",$P3446,0)</f>
        <v>0</v>
      </c>
      <c r="W3446" s="64" t="n">
        <f aca="false">IF($K3446="U – needs rule",$P3446,0)</f>
        <v>0</v>
      </c>
      <c r="X3446" s="64" t="n">
        <f aca="false">IF($K3446="No Start (attainment only)",$P3446,0)</f>
        <v>0</v>
      </c>
    </row>
    <row r="3447" customFormat="false" ht="15" hidden="false" customHeight="false" outlineLevel="0" collapsed="false">
      <c r="A3447" s="60"/>
      <c r="B3447" s="61" t="str">
        <f aca="false">IF($M3447=0,"",INDEX(Classes!$E$6:$E$420,$M3447))</f>
        <v/>
      </c>
      <c r="C3447" s="62" t="str">
        <f aca="false">IF($M3447=0,"",INDEX(Classes!$H$6:$H$420,$M3447))</f>
        <v/>
      </c>
      <c r="D3447" s="61" t="str">
        <f aca="false">IF($M3447=0,"",INDEX(Classes!$B$6:$B$420,$M3447))</f>
        <v/>
      </c>
      <c r="E3447" s="61" t="str">
        <f aca="false">IF($M3447=0,"",INDEX(Classes!$C$6:$C$420,$M3447))</f>
        <v/>
      </c>
      <c r="F3447" s="63"/>
      <c r="G3447" s="63"/>
      <c r="H3447" s="60"/>
      <c r="I3447" s="60"/>
      <c r="J3447" s="63"/>
      <c r="K3447" s="61" t="str">
        <f aca="false">IF($P3447=0,"",IF($F3447="Baseline","— Baseline",IF($O3447=0,"No result",IF($N3447=0,"No Start (attainment only)",IF(OR($N3447=1,$O3447=1),"U – needs rule",INDEX(MxBody,MATCH($I3447,MxCurr,0),MATCH($H3447,MxStart,0)))))))</f>
        <v/>
      </c>
      <c r="L3447" s="62" t="str">
        <f aca="false">IF(COUNTA($A3447,$F3447,$G3447,$H3447,$I3447,$J3447)=0,"",IF($M3447=0,"✖ كود الصف غير موجود",IF(ISNA(MATCH($F3447,Lists!$A$2:$A$5,0)),"✖ الفترة غير صحيحة",IF(ISNA(MATCH($G3447,Lists!$B$2:$B$7,0)),"✖ المجموعة غير صحيحة",IF(NOT(OR($H3447="",$N3447&gt;0)),"✖ Start غير صحيح",IF(NOT(OR($I3447="",$I3447="NR",$O3447&gt;0)),"✖ Current غير صحيح",IF(NOT(IF(ISNUMBER($J3447),AND($J3447&gt;=0,$J3447=INT($J3447)),FALSE())),"✖ العدد يجب أن يكون صحيحًا ≥ 0",IF(AND($F3447="Baseline",$H3447&lt;&gt;""),"⚠ Baseline: Start لا يدخل في التقدم",IF($K3447="No Start (attainment only)","ℹ تحصيل فقط (بدون Start)",IF($K3447="U – needs rule","ℹ حالة U تحتاج قاعدة معتمدة",IF($K3447="No result","ℹ بدون نتيجة (يُستبعد من التحصيل)","OK")))))))))))</f>
        <v/>
      </c>
      <c r="M3447" s="64" t="n">
        <f aca="false">IF($A3447="",0,IFERROR(MATCH($A3447,Classes!$A$6:$A$420,0),0))</f>
        <v>0</v>
      </c>
      <c r="N3447" s="64" t="n">
        <f aca="false">IF($H3447="",0,IFERROR(MATCH($H3447,GradeList,0),0))</f>
        <v>0</v>
      </c>
      <c r="O3447" s="64" t="n">
        <f aca="false">IF(OR($I3447="",$I3447="NR"),0,IFERROR(MATCH($I3447,GradeList,0),0))</f>
        <v>0</v>
      </c>
      <c r="P3447" s="64" t="n">
        <f aca="false">IF(AND($M3447&gt;0,ISNUMBER(MATCH($F3447,Lists!$A$2:$A$5,0)),ISNUMBER(MATCH($G3447,Lists!$B$2:$B$7,0)),OR($H3447="",$N3447&gt;0),OR($I3447="",$I3447="NR",$O3447&gt;0),IF(ISNUMBER($J3447),AND($J3447&gt;=0,$J3447=INT($J3447)),FALSE())),$J3447,0)</f>
        <v>0</v>
      </c>
      <c r="Q3447" s="64" t="n">
        <f aca="false">IF(AND($P3447&gt;0,$O3447&gt;0),$P3447,0)</f>
        <v>0</v>
      </c>
      <c r="R3447" s="64" t="n">
        <f aca="false">IF(AND($Q3447&gt;0,$O3447&gt;=AtRank),$Q3447,0)</f>
        <v>0</v>
      </c>
      <c r="S3447" s="64" t="n">
        <f aca="false">IF(AND($Q3447&gt;0,$O3447&gt;=AboveRank),$Q3447,0)</f>
        <v>0</v>
      </c>
      <c r="T3447" s="64" t="n">
        <f aca="false">IF($K3447="Less",$P3447,0)</f>
        <v>0</v>
      </c>
      <c r="U3447" s="64" t="n">
        <f aca="false">IF($K3447="Expected",$P3447,0)</f>
        <v>0</v>
      </c>
      <c r="V3447" s="64" t="n">
        <f aca="false">IF($K3447="Better",$P3447,0)</f>
        <v>0</v>
      </c>
      <c r="W3447" s="64" t="n">
        <f aca="false">IF($K3447="U – needs rule",$P3447,0)</f>
        <v>0</v>
      </c>
      <c r="X3447" s="64" t="n">
        <f aca="false">IF($K3447="No Start (attainment only)",$P3447,0)</f>
        <v>0</v>
      </c>
    </row>
    <row r="3448" customFormat="false" ht="15" hidden="false" customHeight="false" outlineLevel="0" collapsed="false">
      <c r="A3448" s="60"/>
      <c r="B3448" s="61" t="str">
        <f aca="false">IF($M3448=0,"",INDEX(Classes!$E$6:$E$420,$M3448))</f>
        <v/>
      </c>
      <c r="C3448" s="62" t="str">
        <f aca="false">IF($M3448=0,"",INDEX(Classes!$H$6:$H$420,$M3448))</f>
        <v/>
      </c>
      <c r="D3448" s="61" t="str">
        <f aca="false">IF($M3448=0,"",INDEX(Classes!$B$6:$B$420,$M3448))</f>
        <v/>
      </c>
      <c r="E3448" s="61" t="str">
        <f aca="false">IF($M3448=0,"",INDEX(Classes!$C$6:$C$420,$M3448))</f>
        <v/>
      </c>
      <c r="F3448" s="63"/>
      <c r="G3448" s="63"/>
      <c r="H3448" s="60"/>
      <c r="I3448" s="60"/>
      <c r="J3448" s="63"/>
      <c r="K3448" s="61" t="str">
        <f aca="false">IF($P3448=0,"",IF($F3448="Baseline","— Baseline",IF($O3448=0,"No result",IF($N3448=0,"No Start (attainment only)",IF(OR($N3448=1,$O3448=1),"U – needs rule",INDEX(MxBody,MATCH($I3448,MxCurr,0),MATCH($H3448,MxStart,0)))))))</f>
        <v/>
      </c>
      <c r="L3448" s="62" t="str">
        <f aca="false">IF(COUNTA($A3448,$F3448,$G3448,$H3448,$I3448,$J3448)=0,"",IF($M3448=0,"✖ كود الصف غير موجود",IF(ISNA(MATCH($F3448,Lists!$A$2:$A$5,0)),"✖ الفترة غير صحيحة",IF(ISNA(MATCH($G3448,Lists!$B$2:$B$7,0)),"✖ المجموعة غير صحيحة",IF(NOT(OR($H3448="",$N3448&gt;0)),"✖ Start غير صحيح",IF(NOT(OR($I3448="",$I3448="NR",$O3448&gt;0)),"✖ Current غير صحيح",IF(NOT(IF(ISNUMBER($J3448),AND($J3448&gt;=0,$J3448=INT($J3448)),FALSE())),"✖ العدد يجب أن يكون صحيحًا ≥ 0",IF(AND($F3448="Baseline",$H3448&lt;&gt;""),"⚠ Baseline: Start لا يدخل في التقدم",IF($K3448="No Start (attainment only)","ℹ تحصيل فقط (بدون Start)",IF($K3448="U – needs rule","ℹ حالة U تحتاج قاعدة معتمدة",IF($K3448="No result","ℹ بدون نتيجة (يُستبعد من التحصيل)","OK")))))))))))</f>
        <v/>
      </c>
      <c r="M3448" s="64" t="n">
        <f aca="false">IF($A3448="",0,IFERROR(MATCH($A3448,Classes!$A$6:$A$420,0),0))</f>
        <v>0</v>
      </c>
      <c r="N3448" s="64" t="n">
        <f aca="false">IF($H3448="",0,IFERROR(MATCH($H3448,GradeList,0),0))</f>
        <v>0</v>
      </c>
      <c r="O3448" s="64" t="n">
        <f aca="false">IF(OR($I3448="",$I3448="NR"),0,IFERROR(MATCH($I3448,GradeList,0),0))</f>
        <v>0</v>
      </c>
      <c r="P3448" s="64" t="n">
        <f aca="false">IF(AND($M3448&gt;0,ISNUMBER(MATCH($F3448,Lists!$A$2:$A$5,0)),ISNUMBER(MATCH($G3448,Lists!$B$2:$B$7,0)),OR($H3448="",$N3448&gt;0),OR($I3448="",$I3448="NR",$O3448&gt;0),IF(ISNUMBER($J3448),AND($J3448&gt;=0,$J3448=INT($J3448)),FALSE())),$J3448,0)</f>
        <v>0</v>
      </c>
      <c r="Q3448" s="64" t="n">
        <f aca="false">IF(AND($P3448&gt;0,$O3448&gt;0),$P3448,0)</f>
        <v>0</v>
      </c>
      <c r="R3448" s="64" t="n">
        <f aca="false">IF(AND($Q3448&gt;0,$O3448&gt;=AtRank),$Q3448,0)</f>
        <v>0</v>
      </c>
      <c r="S3448" s="64" t="n">
        <f aca="false">IF(AND($Q3448&gt;0,$O3448&gt;=AboveRank),$Q3448,0)</f>
        <v>0</v>
      </c>
      <c r="T3448" s="64" t="n">
        <f aca="false">IF($K3448="Less",$P3448,0)</f>
        <v>0</v>
      </c>
      <c r="U3448" s="64" t="n">
        <f aca="false">IF($K3448="Expected",$P3448,0)</f>
        <v>0</v>
      </c>
      <c r="V3448" s="64" t="n">
        <f aca="false">IF($K3448="Better",$P3448,0)</f>
        <v>0</v>
      </c>
      <c r="W3448" s="64" t="n">
        <f aca="false">IF($K3448="U – needs rule",$P3448,0)</f>
        <v>0</v>
      </c>
      <c r="X3448" s="64" t="n">
        <f aca="false">IF($K3448="No Start (attainment only)",$P3448,0)</f>
        <v>0</v>
      </c>
    </row>
    <row r="3449" customFormat="false" ht="15" hidden="false" customHeight="false" outlineLevel="0" collapsed="false">
      <c r="A3449" s="60"/>
      <c r="B3449" s="61" t="str">
        <f aca="false">IF($M3449=0,"",INDEX(Classes!$E$6:$E$420,$M3449))</f>
        <v/>
      </c>
      <c r="C3449" s="62" t="str">
        <f aca="false">IF($M3449=0,"",INDEX(Classes!$H$6:$H$420,$M3449))</f>
        <v/>
      </c>
      <c r="D3449" s="61" t="str">
        <f aca="false">IF($M3449=0,"",INDEX(Classes!$B$6:$B$420,$M3449))</f>
        <v/>
      </c>
      <c r="E3449" s="61" t="str">
        <f aca="false">IF($M3449=0,"",INDEX(Classes!$C$6:$C$420,$M3449))</f>
        <v/>
      </c>
      <c r="F3449" s="63"/>
      <c r="G3449" s="63"/>
      <c r="H3449" s="60"/>
      <c r="I3449" s="60"/>
      <c r="J3449" s="63"/>
      <c r="K3449" s="61" t="str">
        <f aca="false">IF($P3449=0,"",IF($F3449="Baseline","— Baseline",IF($O3449=0,"No result",IF($N3449=0,"No Start (attainment only)",IF(OR($N3449=1,$O3449=1),"U – needs rule",INDEX(MxBody,MATCH($I3449,MxCurr,0),MATCH($H3449,MxStart,0)))))))</f>
        <v/>
      </c>
      <c r="L3449" s="62" t="str">
        <f aca="false">IF(COUNTA($A3449,$F3449,$G3449,$H3449,$I3449,$J3449)=0,"",IF($M3449=0,"✖ كود الصف غير موجود",IF(ISNA(MATCH($F3449,Lists!$A$2:$A$5,0)),"✖ الفترة غير صحيحة",IF(ISNA(MATCH($G3449,Lists!$B$2:$B$7,0)),"✖ المجموعة غير صحيحة",IF(NOT(OR($H3449="",$N3449&gt;0)),"✖ Start غير صحيح",IF(NOT(OR($I3449="",$I3449="NR",$O3449&gt;0)),"✖ Current غير صحيح",IF(NOT(IF(ISNUMBER($J3449),AND($J3449&gt;=0,$J3449=INT($J3449)),FALSE())),"✖ العدد يجب أن يكون صحيحًا ≥ 0",IF(AND($F3449="Baseline",$H3449&lt;&gt;""),"⚠ Baseline: Start لا يدخل في التقدم",IF($K3449="No Start (attainment only)","ℹ تحصيل فقط (بدون Start)",IF($K3449="U – needs rule","ℹ حالة U تحتاج قاعدة معتمدة",IF($K3449="No result","ℹ بدون نتيجة (يُستبعد من التحصيل)","OK")))))))))))</f>
        <v/>
      </c>
      <c r="M3449" s="64" t="n">
        <f aca="false">IF($A3449="",0,IFERROR(MATCH($A3449,Classes!$A$6:$A$420,0),0))</f>
        <v>0</v>
      </c>
      <c r="N3449" s="64" t="n">
        <f aca="false">IF($H3449="",0,IFERROR(MATCH($H3449,GradeList,0),0))</f>
        <v>0</v>
      </c>
      <c r="O3449" s="64" t="n">
        <f aca="false">IF(OR($I3449="",$I3449="NR"),0,IFERROR(MATCH($I3449,GradeList,0),0))</f>
        <v>0</v>
      </c>
      <c r="P3449" s="64" t="n">
        <f aca="false">IF(AND($M3449&gt;0,ISNUMBER(MATCH($F3449,Lists!$A$2:$A$5,0)),ISNUMBER(MATCH($G3449,Lists!$B$2:$B$7,0)),OR($H3449="",$N3449&gt;0),OR($I3449="",$I3449="NR",$O3449&gt;0),IF(ISNUMBER($J3449),AND($J3449&gt;=0,$J3449=INT($J3449)),FALSE())),$J3449,0)</f>
        <v>0</v>
      </c>
      <c r="Q3449" s="64" t="n">
        <f aca="false">IF(AND($P3449&gt;0,$O3449&gt;0),$P3449,0)</f>
        <v>0</v>
      </c>
      <c r="R3449" s="64" t="n">
        <f aca="false">IF(AND($Q3449&gt;0,$O3449&gt;=AtRank),$Q3449,0)</f>
        <v>0</v>
      </c>
      <c r="S3449" s="64" t="n">
        <f aca="false">IF(AND($Q3449&gt;0,$O3449&gt;=AboveRank),$Q3449,0)</f>
        <v>0</v>
      </c>
      <c r="T3449" s="64" t="n">
        <f aca="false">IF($K3449="Less",$P3449,0)</f>
        <v>0</v>
      </c>
      <c r="U3449" s="64" t="n">
        <f aca="false">IF($K3449="Expected",$P3449,0)</f>
        <v>0</v>
      </c>
      <c r="V3449" s="64" t="n">
        <f aca="false">IF($K3449="Better",$P3449,0)</f>
        <v>0</v>
      </c>
      <c r="W3449" s="64" t="n">
        <f aca="false">IF($K3449="U – needs rule",$P3449,0)</f>
        <v>0</v>
      </c>
      <c r="X3449" s="64" t="n">
        <f aca="false">IF($K3449="No Start (attainment only)",$P3449,0)</f>
        <v>0</v>
      </c>
    </row>
    <row r="3450" customFormat="false" ht="15" hidden="false" customHeight="false" outlineLevel="0" collapsed="false">
      <c r="A3450" s="60"/>
      <c r="B3450" s="61" t="str">
        <f aca="false">IF($M3450=0,"",INDEX(Classes!$E$6:$E$420,$M3450))</f>
        <v/>
      </c>
      <c r="C3450" s="62" t="str">
        <f aca="false">IF($M3450=0,"",INDEX(Classes!$H$6:$H$420,$M3450))</f>
        <v/>
      </c>
      <c r="D3450" s="61" t="str">
        <f aca="false">IF($M3450=0,"",INDEX(Classes!$B$6:$B$420,$M3450))</f>
        <v/>
      </c>
      <c r="E3450" s="61" t="str">
        <f aca="false">IF($M3450=0,"",INDEX(Classes!$C$6:$C$420,$M3450))</f>
        <v/>
      </c>
      <c r="F3450" s="63"/>
      <c r="G3450" s="63"/>
      <c r="H3450" s="60"/>
      <c r="I3450" s="60"/>
      <c r="J3450" s="63"/>
      <c r="K3450" s="61" t="str">
        <f aca="false">IF($P3450=0,"",IF($F3450="Baseline","— Baseline",IF($O3450=0,"No result",IF($N3450=0,"No Start (attainment only)",IF(OR($N3450=1,$O3450=1),"U – needs rule",INDEX(MxBody,MATCH($I3450,MxCurr,0),MATCH($H3450,MxStart,0)))))))</f>
        <v/>
      </c>
      <c r="L3450" s="62" t="str">
        <f aca="false">IF(COUNTA($A3450,$F3450,$G3450,$H3450,$I3450,$J3450)=0,"",IF($M3450=0,"✖ كود الصف غير موجود",IF(ISNA(MATCH($F3450,Lists!$A$2:$A$5,0)),"✖ الفترة غير صحيحة",IF(ISNA(MATCH($G3450,Lists!$B$2:$B$7,0)),"✖ المجموعة غير صحيحة",IF(NOT(OR($H3450="",$N3450&gt;0)),"✖ Start غير صحيح",IF(NOT(OR($I3450="",$I3450="NR",$O3450&gt;0)),"✖ Current غير صحيح",IF(NOT(IF(ISNUMBER($J3450),AND($J3450&gt;=0,$J3450=INT($J3450)),FALSE())),"✖ العدد يجب أن يكون صحيحًا ≥ 0",IF(AND($F3450="Baseline",$H3450&lt;&gt;""),"⚠ Baseline: Start لا يدخل في التقدم",IF($K3450="No Start (attainment only)","ℹ تحصيل فقط (بدون Start)",IF($K3450="U – needs rule","ℹ حالة U تحتاج قاعدة معتمدة",IF($K3450="No result","ℹ بدون نتيجة (يُستبعد من التحصيل)","OK")))))))))))</f>
        <v/>
      </c>
      <c r="M3450" s="64" t="n">
        <f aca="false">IF($A3450="",0,IFERROR(MATCH($A3450,Classes!$A$6:$A$420,0),0))</f>
        <v>0</v>
      </c>
      <c r="N3450" s="64" t="n">
        <f aca="false">IF($H3450="",0,IFERROR(MATCH($H3450,GradeList,0),0))</f>
        <v>0</v>
      </c>
      <c r="O3450" s="64" t="n">
        <f aca="false">IF(OR($I3450="",$I3450="NR"),0,IFERROR(MATCH($I3450,GradeList,0),0))</f>
        <v>0</v>
      </c>
      <c r="P3450" s="64" t="n">
        <f aca="false">IF(AND($M3450&gt;0,ISNUMBER(MATCH($F3450,Lists!$A$2:$A$5,0)),ISNUMBER(MATCH($G3450,Lists!$B$2:$B$7,0)),OR($H3450="",$N3450&gt;0),OR($I3450="",$I3450="NR",$O3450&gt;0),IF(ISNUMBER($J3450),AND($J3450&gt;=0,$J3450=INT($J3450)),FALSE())),$J3450,0)</f>
        <v>0</v>
      </c>
      <c r="Q3450" s="64" t="n">
        <f aca="false">IF(AND($P3450&gt;0,$O3450&gt;0),$P3450,0)</f>
        <v>0</v>
      </c>
      <c r="R3450" s="64" t="n">
        <f aca="false">IF(AND($Q3450&gt;0,$O3450&gt;=AtRank),$Q3450,0)</f>
        <v>0</v>
      </c>
      <c r="S3450" s="64" t="n">
        <f aca="false">IF(AND($Q3450&gt;0,$O3450&gt;=AboveRank),$Q3450,0)</f>
        <v>0</v>
      </c>
      <c r="T3450" s="64" t="n">
        <f aca="false">IF($K3450="Less",$P3450,0)</f>
        <v>0</v>
      </c>
      <c r="U3450" s="64" t="n">
        <f aca="false">IF($K3450="Expected",$P3450,0)</f>
        <v>0</v>
      </c>
      <c r="V3450" s="64" t="n">
        <f aca="false">IF($K3450="Better",$P3450,0)</f>
        <v>0</v>
      </c>
      <c r="W3450" s="64" t="n">
        <f aca="false">IF($K3450="U – needs rule",$P3450,0)</f>
        <v>0</v>
      </c>
      <c r="X3450" s="64" t="n">
        <f aca="false">IF($K3450="No Start (attainment only)",$P3450,0)</f>
        <v>0</v>
      </c>
    </row>
    <row r="3451" customFormat="false" ht="15" hidden="false" customHeight="false" outlineLevel="0" collapsed="false">
      <c r="A3451" s="60"/>
      <c r="B3451" s="61" t="str">
        <f aca="false">IF($M3451=0,"",INDEX(Classes!$E$6:$E$420,$M3451))</f>
        <v/>
      </c>
      <c r="C3451" s="62" t="str">
        <f aca="false">IF($M3451=0,"",INDEX(Classes!$H$6:$H$420,$M3451))</f>
        <v/>
      </c>
      <c r="D3451" s="61" t="str">
        <f aca="false">IF($M3451=0,"",INDEX(Classes!$B$6:$B$420,$M3451))</f>
        <v/>
      </c>
      <c r="E3451" s="61" t="str">
        <f aca="false">IF($M3451=0,"",INDEX(Classes!$C$6:$C$420,$M3451))</f>
        <v/>
      </c>
      <c r="F3451" s="63"/>
      <c r="G3451" s="63"/>
      <c r="H3451" s="60"/>
      <c r="I3451" s="60"/>
      <c r="J3451" s="63"/>
      <c r="K3451" s="61" t="str">
        <f aca="false">IF($P3451=0,"",IF($F3451="Baseline","— Baseline",IF($O3451=0,"No result",IF($N3451=0,"No Start (attainment only)",IF(OR($N3451=1,$O3451=1),"U – needs rule",INDEX(MxBody,MATCH($I3451,MxCurr,0),MATCH($H3451,MxStart,0)))))))</f>
        <v/>
      </c>
      <c r="L3451" s="62" t="str">
        <f aca="false">IF(COUNTA($A3451,$F3451,$G3451,$H3451,$I3451,$J3451)=0,"",IF($M3451=0,"✖ كود الصف غير موجود",IF(ISNA(MATCH($F3451,Lists!$A$2:$A$5,0)),"✖ الفترة غير صحيحة",IF(ISNA(MATCH($G3451,Lists!$B$2:$B$7,0)),"✖ المجموعة غير صحيحة",IF(NOT(OR($H3451="",$N3451&gt;0)),"✖ Start غير صحيح",IF(NOT(OR($I3451="",$I3451="NR",$O3451&gt;0)),"✖ Current غير صحيح",IF(NOT(IF(ISNUMBER($J3451),AND($J3451&gt;=0,$J3451=INT($J3451)),FALSE())),"✖ العدد يجب أن يكون صحيحًا ≥ 0",IF(AND($F3451="Baseline",$H3451&lt;&gt;""),"⚠ Baseline: Start لا يدخل في التقدم",IF($K3451="No Start (attainment only)","ℹ تحصيل فقط (بدون Start)",IF($K3451="U – needs rule","ℹ حالة U تحتاج قاعدة معتمدة",IF($K3451="No result","ℹ بدون نتيجة (يُستبعد من التحصيل)","OK")))))))))))</f>
        <v/>
      </c>
      <c r="M3451" s="64" t="n">
        <f aca="false">IF($A3451="",0,IFERROR(MATCH($A3451,Classes!$A$6:$A$420,0),0))</f>
        <v>0</v>
      </c>
      <c r="N3451" s="64" t="n">
        <f aca="false">IF($H3451="",0,IFERROR(MATCH($H3451,GradeList,0),0))</f>
        <v>0</v>
      </c>
      <c r="O3451" s="64" t="n">
        <f aca="false">IF(OR($I3451="",$I3451="NR"),0,IFERROR(MATCH($I3451,GradeList,0),0))</f>
        <v>0</v>
      </c>
      <c r="P3451" s="64" t="n">
        <f aca="false">IF(AND($M3451&gt;0,ISNUMBER(MATCH($F3451,Lists!$A$2:$A$5,0)),ISNUMBER(MATCH($G3451,Lists!$B$2:$B$7,0)),OR($H3451="",$N3451&gt;0),OR($I3451="",$I3451="NR",$O3451&gt;0),IF(ISNUMBER($J3451),AND($J3451&gt;=0,$J3451=INT($J3451)),FALSE())),$J3451,0)</f>
        <v>0</v>
      </c>
      <c r="Q3451" s="64" t="n">
        <f aca="false">IF(AND($P3451&gt;0,$O3451&gt;0),$P3451,0)</f>
        <v>0</v>
      </c>
      <c r="R3451" s="64" t="n">
        <f aca="false">IF(AND($Q3451&gt;0,$O3451&gt;=AtRank),$Q3451,0)</f>
        <v>0</v>
      </c>
      <c r="S3451" s="64" t="n">
        <f aca="false">IF(AND($Q3451&gt;0,$O3451&gt;=AboveRank),$Q3451,0)</f>
        <v>0</v>
      </c>
      <c r="T3451" s="64" t="n">
        <f aca="false">IF($K3451="Less",$P3451,0)</f>
        <v>0</v>
      </c>
      <c r="U3451" s="64" t="n">
        <f aca="false">IF($K3451="Expected",$P3451,0)</f>
        <v>0</v>
      </c>
      <c r="V3451" s="64" t="n">
        <f aca="false">IF($K3451="Better",$P3451,0)</f>
        <v>0</v>
      </c>
      <c r="W3451" s="64" t="n">
        <f aca="false">IF($K3451="U – needs rule",$P3451,0)</f>
        <v>0</v>
      </c>
      <c r="X3451" s="64" t="n">
        <f aca="false">IF($K3451="No Start (attainment only)",$P3451,0)</f>
        <v>0</v>
      </c>
    </row>
    <row r="3452" customFormat="false" ht="15" hidden="false" customHeight="false" outlineLevel="0" collapsed="false">
      <c r="A3452" s="60"/>
      <c r="B3452" s="61" t="str">
        <f aca="false">IF($M3452=0,"",INDEX(Classes!$E$6:$E$420,$M3452))</f>
        <v/>
      </c>
      <c r="C3452" s="62" t="str">
        <f aca="false">IF($M3452=0,"",INDEX(Classes!$H$6:$H$420,$M3452))</f>
        <v/>
      </c>
      <c r="D3452" s="61" t="str">
        <f aca="false">IF($M3452=0,"",INDEX(Classes!$B$6:$B$420,$M3452))</f>
        <v/>
      </c>
      <c r="E3452" s="61" t="str">
        <f aca="false">IF($M3452=0,"",INDEX(Classes!$C$6:$C$420,$M3452))</f>
        <v/>
      </c>
      <c r="F3452" s="63"/>
      <c r="G3452" s="63"/>
      <c r="H3452" s="60"/>
      <c r="I3452" s="60"/>
      <c r="J3452" s="63"/>
      <c r="K3452" s="61" t="str">
        <f aca="false">IF($P3452=0,"",IF($F3452="Baseline","— Baseline",IF($O3452=0,"No result",IF($N3452=0,"No Start (attainment only)",IF(OR($N3452=1,$O3452=1),"U – needs rule",INDEX(MxBody,MATCH($I3452,MxCurr,0),MATCH($H3452,MxStart,0)))))))</f>
        <v/>
      </c>
      <c r="L3452" s="62" t="str">
        <f aca="false">IF(COUNTA($A3452,$F3452,$G3452,$H3452,$I3452,$J3452)=0,"",IF($M3452=0,"✖ كود الصف غير موجود",IF(ISNA(MATCH($F3452,Lists!$A$2:$A$5,0)),"✖ الفترة غير صحيحة",IF(ISNA(MATCH($G3452,Lists!$B$2:$B$7,0)),"✖ المجموعة غير صحيحة",IF(NOT(OR($H3452="",$N3452&gt;0)),"✖ Start غير صحيح",IF(NOT(OR($I3452="",$I3452="NR",$O3452&gt;0)),"✖ Current غير صحيح",IF(NOT(IF(ISNUMBER($J3452),AND($J3452&gt;=0,$J3452=INT($J3452)),FALSE())),"✖ العدد يجب أن يكون صحيحًا ≥ 0",IF(AND($F3452="Baseline",$H3452&lt;&gt;""),"⚠ Baseline: Start لا يدخل في التقدم",IF($K3452="No Start (attainment only)","ℹ تحصيل فقط (بدون Start)",IF($K3452="U – needs rule","ℹ حالة U تحتاج قاعدة معتمدة",IF($K3452="No result","ℹ بدون نتيجة (يُستبعد من التحصيل)","OK")))))))))))</f>
        <v/>
      </c>
      <c r="M3452" s="64" t="n">
        <f aca="false">IF($A3452="",0,IFERROR(MATCH($A3452,Classes!$A$6:$A$420,0),0))</f>
        <v>0</v>
      </c>
      <c r="N3452" s="64" t="n">
        <f aca="false">IF($H3452="",0,IFERROR(MATCH($H3452,GradeList,0),0))</f>
        <v>0</v>
      </c>
      <c r="O3452" s="64" t="n">
        <f aca="false">IF(OR($I3452="",$I3452="NR"),0,IFERROR(MATCH($I3452,GradeList,0),0))</f>
        <v>0</v>
      </c>
      <c r="P3452" s="64" t="n">
        <f aca="false">IF(AND($M3452&gt;0,ISNUMBER(MATCH($F3452,Lists!$A$2:$A$5,0)),ISNUMBER(MATCH($G3452,Lists!$B$2:$B$7,0)),OR($H3452="",$N3452&gt;0),OR($I3452="",$I3452="NR",$O3452&gt;0),IF(ISNUMBER($J3452),AND($J3452&gt;=0,$J3452=INT($J3452)),FALSE())),$J3452,0)</f>
        <v>0</v>
      </c>
      <c r="Q3452" s="64" t="n">
        <f aca="false">IF(AND($P3452&gt;0,$O3452&gt;0),$P3452,0)</f>
        <v>0</v>
      </c>
      <c r="R3452" s="64" t="n">
        <f aca="false">IF(AND($Q3452&gt;0,$O3452&gt;=AtRank),$Q3452,0)</f>
        <v>0</v>
      </c>
      <c r="S3452" s="64" t="n">
        <f aca="false">IF(AND($Q3452&gt;0,$O3452&gt;=AboveRank),$Q3452,0)</f>
        <v>0</v>
      </c>
      <c r="T3452" s="64" t="n">
        <f aca="false">IF($K3452="Less",$P3452,0)</f>
        <v>0</v>
      </c>
      <c r="U3452" s="64" t="n">
        <f aca="false">IF($K3452="Expected",$P3452,0)</f>
        <v>0</v>
      </c>
      <c r="V3452" s="64" t="n">
        <f aca="false">IF($K3452="Better",$P3452,0)</f>
        <v>0</v>
      </c>
      <c r="W3452" s="64" t="n">
        <f aca="false">IF($K3452="U – needs rule",$P3452,0)</f>
        <v>0</v>
      </c>
      <c r="X3452" s="64" t="n">
        <f aca="false">IF($K3452="No Start (attainment only)",$P3452,0)</f>
        <v>0</v>
      </c>
    </row>
    <row r="3453" customFormat="false" ht="15" hidden="false" customHeight="false" outlineLevel="0" collapsed="false">
      <c r="A3453" s="60"/>
      <c r="B3453" s="61" t="str">
        <f aca="false">IF($M3453=0,"",INDEX(Classes!$E$6:$E$420,$M3453))</f>
        <v/>
      </c>
      <c r="C3453" s="62" t="str">
        <f aca="false">IF($M3453=0,"",INDEX(Classes!$H$6:$H$420,$M3453))</f>
        <v/>
      </c>
      <c r="D3453" s="61" t="str">
        <f aca="false">IF($M3453=0,"",INDEX(Classes!$B$6:$B$420,$M3453))</f>
        <v/>
      </c>
      <c r="E3453" s="61" t="str">
        <f aca="false">IF($M3453=0,"",INDEX(Classes!$C$6:$C$420,$M3453))</f>
        <v/>
      </c>
      <c r="F3453" s="63"/>
      <c r="G3453" s="63"/>
      <c r="H3453" s="60"/>
      <c r="I3453" s="60"/>
      <c r="J3453" s="63"/>
      <c r="K3453" s="61" t="str">
        <f aca="false">IF($P3453=0,"",IF($F3453="Baseline","— Baseline",IF($O3453=0,"No result",IF($N3453=0,"No Start (attainment only)",IF(OR($N3453=1,$O3453=1),"U – needs rule",INDEX(MxBody,MATCH($I3453,MxCurr,0),MATCH($H3453,MxStart,0)))))))</f>
        <v/>
      </c>
      <c r="L3453" s="62" t="str">
        <f aca="false">IF(COUNTA($A3453,$F3453,$G3453,$H3453,$I3453,$J3453)=0,"",IF($M3453=0,"✖ كود الصف غير موجود",IF(ISNA(MATCH($F3453,Lists!$A$2:$A$5,0)),"✖ الفترة غير صحيحة",IF(ISNA(MATCH($G3453,Lists!$B$2:$B$7,0)),"✖ المجموعة غير صحيحة",IF(NOT(OR($H3453="",$N3453&gt;0)),"✖ Start غير صحيح",IF(NOT(OR($I3453="",$I3453="NR",$O3453&gt;0)),"✖ Current غير صحيح",IF(NOT(IF(ISNUMBER($J3453),AND($J3453&gt;=0,$J3453=INT($J3453)),FALSE())),"✖ العدد يجب أن يكون صحيحًا ≥ 0",IF(AND($F3453="Baseline",$H3453&lt;&gt;""),"⚠ Baseline: Start لا يدخل في التقدم",IF($K3453="No Start (attainment only)","ℹ تحصيل فقط (بدون Start)",IF($K3453="U – needs rule","ℹ حالة U تحتاج قاعدة معتمدة",IF($K3453="No result","ℹ بدون نتيجة (يُستبعد من التحصيل)","OK")))))))))))</f>
        <v/>
      </c>
      <c r="M3453" s="64" t="n">
        <f aca="false">IF($A3453="",0,IFERROR(MATCH($A3453,Classes!$A$6:$A$420,0),0))</f>
        <v>0</v>
      </c>
      <c r="N3453" s="64" t="n">
        <f aca="false">IF($H3453="",0,IFERROR(MATCH($H3453,GradeList,0),0))</f>
        <v>0</v>
      </c>
      <c r="O3453" s="64" t="n">
        <f aca="false">IF(OR($I3453="",$I3453="NR"),0,IFERROR(MATCH($I3453,GradeList,0),0))</f>
        <v>0</v>
      </c>
      <c r="P3453" s="64" t="n">
        <f aca="false">IF(AND($M3453&gt;0,ISNUMBER(MATCH($F3453,Lists!$A$2:$A$5,0)),ISNUMBER(MATCH($G3453,Lists!$B$2:$B$7,0)),OR($H3453="",$N3453&gt;0),OR($I3453="",$I3453="NR",$O3453&gt;0),IF(ISNUMBER($J3453),AND($J3453&gt;=0,$J3453=INT($J3453)),FALSE())),$J3453,0)</f>
        <v>0</v>
      </c>
      <c r="Q3453" s="64" t="n">
        <f aca="false">IF(AND($P3453&gt;0,$O3453&gt;0),$P3453,0)</f>
        <v>0</v>
      </c>
      <c r="R3453" s="64" t="n">
        <f aca="false">IF(AND($Q3453&gt;0,$O3453&gt;=AtRank),$Q3453,0)</f>
        <v>0</v>
      </c>
      <c r="S3453" s="64" t="n">
        <f aca="false">IF(AND($Q3453&gt;0,$O3453&gt;=AboveRank),$Q3453,0)</f>
        <v>0</v>
      </c>
      <c r="T3453" s="64" t="n">
        <f aca="false">IF($K3453="Less",$P3453,0)</f>
        <v>0</v>
      </c>
      <c r="U3453" s="64" t="n">
        <f aca="false">IF($K3453="Expected",$P3453,0)</f>
        <v>0</v>
      </c>
      <c r="V3453" s="64" t="n">
        <f aca="false">IF($K3453="Better",$P3453,0)</f>
        <v>0</v>
      </c>
      <c r="W3453" s="64" t="n">
        <f aca="false">IF($K3453="U – needs rule",$P3453,0)</f>
        <v>0</v>
      </c>
      <c r="X3453" s="64" t="n">
        <f aca="false">IF($K3453="No Start (attainment only)",$P3453,0)</f>
        <v>0</v>
      </c>
    </row>
    <row r="3454" customFormat="false" ht="15" hidden="false" customHeight="false" outlineLevel="0" collapsed="false">
      <c r="A3454" s="60"/>
      <c r="B3454" s="61" t="str">
        <f aca="false">IF($M3454=0,"",INDEX(Classes!$E$6:$E$420,$M3454))</f>
        <v/>
      </c>
      <c r="C3454" s="62" t="str">
        <f aca="false">IF($M3454=0,"",INDEX(Classes!$H$6:$H$420,$M3454))</f>
        <v/>
      </c>
      <c r="D3454" s="61" t="str">
        <f aca="false">IF($M3454=0,"",INDEX(Classes!$B$6:$B$420,$M3454))</f>
        <v/>
      </c>
      <c r="E3454" s="61" t="str">
        <f aca="false">IF($M3454=0,"",INDEX(Classes!$C$6:$C$420,$M3454))</f>
        <v/>
      </c>
      <c r="F3454" s="63"/>
      <c r="G3454" s="63"/>
      <c r="H3454" s="60"/>
      <c r="I3454" s="60"/>
      <c r="J3454" s="63"/>
      <c r="K3454" s="61" t="str">
        <f aca="false">IF($P3454=0,"",IF($F3454="Baseline","— Baseline",IF($O3454=0,"No result",IF($N3454=0,"No Start (attainment only)",IF(OR($N3454=1,$O3454=1),"U – needs rule",INDEX(MxBody,MATCH($I3454,MxCurr,0),MATCH($H3454,MxStart,0)))))))</f>
        <v/>
      </c>
      <c r="L3454" s="62" t="str">
        <f aca="false">IF(COUNTA($A3454,$F3454,$G3454,$H3454,$I3454,$J3454)=0,"",IF($M3454=0,"✖ كود الصف غير موجود",IF(ISNA(MATCH($F3454,Lists!$A$2:$A$5,0)),"✖ الفترة غير صحيحة",IF(ISNA(MATCH($G3454,Lists!$B$2:$B$7,0)),"✖ المجموعة غير صحيحة",IF(NOT(OR($H3454="",$N3454&gt;0)),"✖ Start غير صحيح",IF(NOT(OR($I3454="",$I3454="NR",$O3454&gt;0)),"✖ Current غير صحيح",IF(NOT(IF(ISNUMBER($J3454),AND($J3454&gt;=0,$J3454=INT($J3454)),FALSE())),"✖ العدد يجب أن يكون صحيحًا ≥ 0",IF(AND($F3454="Baseline",$H3454&lt;&gt;""),"⚠ Baseline: Start لا يدخل في التقدم",IF($K3454="No Start (attainment only)","ℹ تحصيل فقط (بدون Start)",IF($K3454="U – needs rule","ℹ حالة U تحتاج قاعدة معتمدة",IF($K3454="No result","ℹ بدون نتيجة (يُستبعد من التحصيل)","OK")))))))))))</f>
        <v/>
      </c>
      <c r="M3454" s="64" t="n">
        <f aca="false">IF($A3454="",0,IFERROR(MATCH($A3454,Classes!$A$6:$A$420,0),0))</f>
        <v>0</v>
      </c>
      <c r="N3454" s="64" t="n">
        <f aca="false">IF($H3454="",0,IFERROR(MATCH($H3454,GradeList,0),0))</f>
        <v>0</v>
      </c>
      <c r="O3454" s="64" t="n">
        <f aca="false">IF(OR($I3454="",$I3454="NR"),0,IFERROR(MATCH($I3454,GradeList,0),0))</f>
        <v>0</v>
      </c>
      <c r="P3454" s="64" t="n">
        <f aca="false">IF(AND($M3454&gt;0,ISNUMBER(MATCH($F3454,Lists!$A$2:$A$5,0)),ISNUMBER(MATCH($G3454,Lists!$B$2:$B$7,0)),OR($H3454="",$N3454&gt;0),OR($I3454="",$I3454="NR",$O3454&gt;0),IF(ISNUMBER($J3454),AND($J3454&gt;=0,$J3454=INT($J3454)),FALSE())),$J3454,0)</f>
        <v>0</v>
      </c>
      <c r="Q3454" s="64" t="n">
        <f aca="false">IF(AND($P3454&gt;0,$O3454&gt;0),$P3454,0)</f>
        <v>0</v>
      </c>
      <c r="R3454" s="64" t="n">
        <f aca="false">IF(AND($Q3454&gt;0,$O3454&gt;=AtRank),$Q3454,0)</f>
        <v>0</v>
      </c>
      <c r="S3454" s="64" t="n">
        <f aca="false">IF(AND($Q3454&gt;0,$O3454&gt;=AboveRank),$Q3454,0)</f>
        <v>0</v>
      </c>
      <c r="T3454" s="64" t="n">
        <f aca="false">IF($K3454="Less",$P3454,0)</f>
        <v>0</v>
      </c>
      <c r="U3454" s="64" t="n">
        <f aca="false">IF($K3454="Expected",$P3454,0)</f>
        <v>0</v>
      </c>
      <c r="V3454" s="64" t="n">
        <f aca="false">IF($K3454="Better",$P3454,0)</f>
        <v>0</v>
      </c>
      <c r="W3454" s="64" t="n">
        <f aca="false">IF($K3454="U – needs rule",$P3454,0)</f>
        <v>0</v>
      </c>
      <c r="X3454" s="64" t="n">
        <f aca="false">IF($K3454="No Start (attainment only)",$P3454,0)</f>
        <v>0</v>
      </c>
    </row>
    <row r="3455" customFormat="false" ht="15" hidden="false" customHeight="false" outlineLevel="0" collapsed="false">
      <c r="A3455" s="60"/>
      <c r="B3455" s="61" t="str">
        <f aca="false">IF($M3455=0,"",INDEX(Classes!$E$6:$E$420,$M3455))</f>
        <v/>
      </c>
      <c r="C3455" s="62" t="str">
        <f aca="false">IF($M3455=0,"",INDEX(Classes!$H$6:$H$420,$M3455))</f>
        <v/>
      </c>
      <c r="D3455" s="61" t="str">
        <f aca="false">IF($M3455=0,"",INDEX(Classes!$B$6:$B$420,$M3455))</f>
        <v/>
      </c>
      <c r="E3455" s="61" t="str">
        <f aca="false">IF($M3455=0,"",INDEX(Classes!$C$6:$C$420,$M3455))</f>
        <v/>
      </c>
      <c r="F3455" s="63"/>
      <c r="G3455" s="63"/>
      <c r="H3455" s="60"/>
      <c r="I3455" s="60"/>
      <c r="J3455" s="63"/>
      <c r="K3455" s="61" t="str">
        <f aca="false">IF($P3455=0,"",IF($F3455="Baseline","— Baseline",IF($O3455=0,"No result",IF($N3455=0,"No Start (attainment only)",IF(OR($N3455=1,$O3455=1),"U – needs rule",INDEX(MxBody,MATCH($I3455,MxCurr,0),MATCH($H3455,MxStart,0)))))))</f>
        <v/>
      </c>
      <c r="L3455" s="62" t="str">
        <f aca="false">IF(COUNTA($A3455,$F3455,$G3455,$H3455,$I3455,$J3455)=0,"",IF($M3455=0,"✖ كود الصف غير موجود",IF(ISNA(MATCH($F3455,Lists!$A$2:$A$5,0)),"✖ الفترة غير صحيحة",IF(ISNA(MATCH($G3455,Lists!$B$2:$B$7,0)),"✖ المجموعة غير صحيحة",IF(NOT(OR($H3455="",$N3455&gt;0)),"✖ Start غير صحيح",IF(NOT(OR($I3455="",$I3455="NR",$O3455&gt;0)),"✖ Current غير صحيح",IF(NOT(IF(ISNUMBER($J3455),AND($J3455&gt;=0,$J3455=INT($J3455)),FALSE())),"✖ العدد يجب أن يكون صحيحًا ≥ 0",IF(AND($F3455="Baseline",$H3455&lt;&gt;""),"⚠ Baseline: Start لا يدخل في التقدم",IF($K3455="No Start (attainment only)","ℹ تحصيل فقط (بدون Start)",IF($K3455="U – needs rule","ℹ حالة U تحتاج قاعدة معتمدة",IF($K3455="No result","ℹ بدون نتيجة (يُستبعد من التحصيل)","OK")))))))))))</f>
        <v/>
      </c>
      <c r="M3455" s="64" t="n">
        <f aca="false">IF($A3455="",0,IFERROR(MATCH($A3455,Classes!$A$6:$A$420,0),0))</f>
        <v>0</v>
      </c>
      <c r="N3455" s="64" t="n">
        <f aca="false">IF($H3455="",0,IFERROR(MATCH($H3455,GradeList,0),0))</f>
        <v>0</v>
      </c>
      <c r="O3455" s="64" t="n">
        <f aca="false">IF(OR($I3455="",$I3455="NR"),0,IFERROR(MATCH($I3455,GradeList,0),0))</f>
        <v>0</v>
      </c>
      <c r="P3455" s="64" t="n">
        <f aca="false">IF(AND($M3455&gt;0,ISNUMBER(MATCH($F3455,Lists!$A$2:$A$5,0)),ISNUMBER(MATCH($G3455,Lists!$B$2:$B$7,0)),OR($H3455="",$N3455&gt;0),OR($I3455="",$I3455="NR",$O3455&gt;0),IF(ISNUMBER($J3455),AND($J3455&gt;=0,$J3455=INT($J3455)),FALSE())),$J3455,0)</f>
        <v>0</v>
      </c>
      <c r="Q3455" s="64" t="n">
        <f aca="false">IF(AND($P3455&gt;0,$O3455&gt;0),$P3455,0)</f>
        <v>0</v>
      </c>
      <c r="R3455" s="64" t="n">
        <f aca="false">IF(AND($Q3455&gt;0,$O3455&gt;=AtRank),$Q3455,0)</f>
        <v>0</v>
      </c>
      <c r="S3455" s="64" t="n">
        <f aca="false">IF(AND($Q3455&gt;0,$O3455&gt;=AboveRank),$Q3455,0)</f>
        <v>0</v>
      </c>
      <c r="T3455" s="64" t="n">
        <f aca="false">IF($K3455="Less",$P3455,0)</f>
        <v>0</v>
      </c>
      <c r="U3455" s="64" t="n">
        <f aca="false">IF($K3455="Expected",$P3455,0)</f>
        <v>0</v>
      </c>
      <c r="V3455" s="64" t="n">
        <f aca="false">IF($K3455="Better",$P3455,0)</f>
        <v>0</v>
      </c>
      <c r="W3455" s="64" t="n">
        <f aca="false">IF($K3455="U – needs rule",$P3455,0)</f>
        <v>0</v>
      </c>
      <c r="X3455" s="64" t="n">
        <f aca="false">IF($K3455="No Start (attainment only)",$P3455,0)</f>
        <v>0</v>
      </c>
    </row>
    <row r="3456" customFormat="false" ht="15" hidden="false" customHeight="false" outlineLevel="0" collapsed="false">
      <c r="A3456" s="60"/>
      <c r="B3456" s="61" t="str">
        <f aca="false">IF($M3456=0,"",INDEX(Classes!$E$6:$E$420,$M3456))</f>
        <v/>
      </c>
      <c r="C3456" s="62" t="str">
        <f aca="false">IF($M3456=0,"",INDEX(Classes!$H$6:$H$420,$M3456))</f>
        <v/>
      </c>
      <c r="D3456" s="61" t="str">
        <f aca="false">IF($M3456=0,"",INDEX(Classes!$B$6:$B$420,$M3456))</f>
        <v/>
      </c>
      <c r="E3456" s="61" t="str">
        <f aca="false">IF($M3456=0,"",INDEX(Classes!$C$6:$C$420,$M3456))</f>
        <v/>
      </c>
      <c r="F3456" s="63"/>
      <c r="G3456" s="63"/>
      <c r="H3456" s="60"/>
      <c r="I3456" s="60"/>
      <c r="J3456" s="63"/>
      <c r="K3456" s="61" t="str">
        <f aca="false">IF($P3456=0,"",IF($F3456="Baseline","— Baseline",IF($O3456=0,"No result",IF($N3456=0,"No Start (attainment only)",IF(OR($N3456=1,$O3456=1),"U – needs rule",INDEX(MxBody,MATCH($I3456,MxCurr,0),MATCH($H3456,MxStart,0)))))))</f>
        <v/>
      </c>
      <c r="L3456" s="62" t="str">
        <f aca="false">IF(COUNTA($A3456,$F3456,$G3456,$H3456,$I3456,$J3456)=0,"",IF($M3456=0,"✖ كود الصف غير موجود",IF(ISNA(MATCH($F3456,Lists!$A$2:$A$5,0)),"✖ الفترة غير صحيحة",IF(ISNA(MATCH($G3456,Lists!$B$2:$B$7,0)),"✖ المجموعة غير صحيحة",IF(NOT(OR($H3456="",$N3456&gt;0)),"✖ Start غير صحيح",IF(NOT(OR($I3456="",$I3456="NR",$O3456&gt;0)),"✖ Current غير صحيح",IF(NOT(IF(ISNUMBER($J3456),AND($J3456&gt;=0,$J3456=INT($J3456)),FALSE())),"✖ العدد يجب أن يكون صحيحًا ≥ 0",IF(AND($F3456="Baseline",$H3456&lt;&gt;""),"⚠ Baseline: Start لا يدخل في التقدم",IF($K3456="No Start (attainment only)","ℹ تحصيل فقط (بدون Start)",IF($K3456="U – needs rule","ℹ حالة U تحتاج قاعدة معتمدة",IF($K3456="No result","ℹ بدون نتيجة (يُستبعد من التحصيل)","OK")))))))))))</f>
        <v/>
      </c>
      <c r="M3456" s="64" t="n">
        <f aca="false">IF($A3456="",0,IFERROR(MATCH($A3456,Classes!$A$6:$A$420,0),0))</f>
        <v>0</v>
      </c>
      <c r="N3456" s="64" t="n">
        <f aca="false">IF($H3456="",0,IFERROR(MATCH($H3456,GradeList,0),0))</f>
        <v>0</v>
      </c>
      <c r="O3456" s="64" t="n">
        <f aca="false">IF(OR($I3456="",$I3456="NR"),0,IFERROR(MATCH($I3456,GradeList,0),0))</f>
        <v>0</v>
      </c>
      <c r="P3456" s="64" t="n">
        <f aca="false">IF(AND($M3456&gt;0,ISNUMBER(MATCH($F3456,Lists!$A$2:$A$5,0)),ISNUMBER(MATCH($G3456,Lists!$B$2:$B$7,0)),OR($H3456="",$N3456&gt;0),OR($I3456="",$I3456="NR",$O3456&gt;0),IF(ISNUMBER($J3456),AND($J3456&gt;=0,$J3456=INT($J3456)),FALSE())),$J3456,0)</f>
        <v>0</v>
      </c>
      <c r="Q3456" s="64" t="n">
        <f aca="false">IF(AND($P3456&gt;0,$O3456&gt;0),$P3456,0)</f>
        <v>0</v>
      </c>
      <c r="R3456" s="64" t="n">
        <f aca="false">IF(AND($Q3456&gt;0,$O3456&gt;=AtRank),$Q3456,0)</f>
        <v>0</v>
      </c>
      <c r="S3456" s="64" t="n">
        <f aca="false">IF(AND($Q3456&gt;0,$O3456&gt;=AboveRank),$Q3456,0)</f>
        <v>0</v>
      </c>
      <c r="T3456" s="64" t="n">
        <f aca="false">IF($K3456="Less",$P3456,0)</f>
        <v>0</v>
      </c>
      <c r="U3456" s="64" t="n">
        <f aca="false">IF($K3456="Expected",$P3456,0)</f>
        <v>0</v>
      </c>
      <c r="V3456" s="64" t="n">
        <f aca="false">IF($K3456="Better",$P3456,0)</f>
        <v>0</v>
      </c>
      <c r="W3456" s="64" t="n">
        <f aca="false">IF($K3456="U – needs rule",$P3456,0)</f>
        <v>0</v>
      </c>
      <c r="X3456" s="64" t="n">
        <f aca="false">IF($K3456="No Start (attainment only)",$P3456,0)</f>
        <v>0</v>
      </c>
    </row>
    <row r="3457" customFormat="false" ht="15" hidden="false" customHeight="false" outlineLevel="0" collapsed="false">
      <c r="A3457" s="60"/>
      <c r="B3457" s="61" t="str">
        <f aca="false">IF($M3457=0,"",INDEX(Classes!$E$6:$E$420,$M3457))</f>
        <v/>
      </c>
      <c r="C3457" s="62" t="str">
        <f aca="false">IF($M3457=0,"",INDEX(Classes!$H$6:$H$420,$M3457))</f>
        <v/>
      </c>
      <c r="D3457" s="61" t="str">
        <f aca="false">IF($M3457=0,"",INDEX(Classes!$B$6:$B$420,$M3457))</f>
        <v/>
      </c>
      <c r="E3457" s="61" t="str">
        <f aca="false">IF($M3457=0,"",INDEX(Classes!$C$6:$C$420,$M3457))</f>
        <v/>
      </c>
      <c r="F3457" s="63"/>
      <c r="G3457" s="63"/>
      <c r="H3457" s="60"/>
      <c r="I3457" s="60"/>
      <c r="J3457" s="63"/>
      <c r="K3457" s="61" t="str">
        <f aca="false">IF($P3457=0,"",IF($F3457="Baseline","— Baseline",IF($O3457=0,"No result",IF($N3457=0,"No Start (attainment only)",IF(OR($N3457=1,$O3457=1),"U – needs rule",INDEX(MxBody,MATCH($I3457,MxCurr,0),MATCH($H3457,MxStart,0)))))))</f>
        <v/>
      </c>
      <c r="L3457" s="62" t="str">
        <f aca="false">IF(COUNTA($A3457,$F3457,$G3457,$H3457,$I3457,$J3457)=0,"",IF($M3457=0,"✖ كود الصف غير موجود",IF(ISNA(MATCH($F3457,Lists!$A$2:$A$5,0)),"✖ الفترة غير صحيحة",IF(ISNA(MATCH($G3457,Lists!$B$2:$B$7,0)),"✖ المجموعة غير صحيحة",IF(NOT(OR($H3457="",$N3457&gt;0)),"✖ Start غير صحيح",IF(NOT(OR($I3457="",$I3457="NR",$O3457&gt;0)),"✖ Current غير صحيح",IF(NOT(IF(ISNUMBER($J3457),AND($J3457&gt;=0,$J3457=INT($J3457)),FALSE())),"✖ العدد يجب أن يكون صحيحًا ≥ 0",IF(AND($F3457="Baseline",$H3457&lt;&gt;""),"⚠ Baseline: Start لا يدخل في التقدم",IF($K3457="No Start (attainment only)","ℹ تحصيل فقط (بدون Start)",IF($K3457="U – needs rule","ℹ حالة U تحتاج قاعدة معتمدة",IF($K3457="No result","ℹ بدون نتيجة (يُستبعد من التحصيل)","OK")))))))))))</f>
        <v/>
      </c>
      <c r="M3457" s="64" t="n">
        <f aca="false">IF($A3457="",0,IFERROR(MATCH($A3457,Classes!$A$6:$A$420,0),0))</f>
        <v>0</v>
      </c>
      <c r="N3457" s="64" t="n">
        <f aca="false">IF($H3457="",0,IFERROR(MATCH($H3457,GradeList,0),0))</f>
        <v>0</v>
      </c>
      <c r="O3457" s="64" t="n">
        <f aca="false">IF(OR($I3457="",$I3457="NR"),0,IFERROR(MATCH($I3457,GradeList,0),0))</f>
        <v>0</v>
      </c>
      <c r="P3457" s="64" t="n">
        <f aca="false">IF(AND($M3457&gt;0,ISNUMBER(MATCH($F3457,Lists!$A$2:$A$5,0)),ISNUMBER(MATCH($G3457,Lists!$B$2:$B$7,0)),OR($H3457="",$N3457&gt;0),OR($I3457="",$I3457="NR",$O3457&gt;0),IF(ISNUMBER($J3457),AND($J3457&gt;=0,$J3457=INT($J3457)),FALSE())),$J3457,0)</f>
        <v>0</v>
      </c>
      <c r="Q3457" s="64" t="n">
        <f aca="false">IF(AND($P3457&gt;0,$O3457&gt;0),$P3457,0)</f>
        <v>0</v>
      </c>
      <c r="R3457" s="64" t="n">
        <f aca="false">IF(AND($Q3457&gt;0,$O3457&gt;=AtRank),$Q3457,0)</f>
        <v>0</v>
      </c>
      <c r="S3457" s="64" t="n">
        <f aca="false">IF(AND($Q3457&gt;0,$O3457&gt;=AboveRank),$Q3457,0)</f>
        <v>0</v>
      </c>
      <c r="T3457" s="64" t="n">
        <f aca="false">IF($K3457="Less",$P3457,0)</f>
        <v>0</v>
      </c>
      <c r="U3457" s="64" t="n">
        <f aca="false">IF($K3457="Expected",$P3457,0)</f>
        <v>0</v>
      </c>
      <c r="V3457" s="64" t="n">
        <f aca="false">IF($K3457="Better",$P3457,0)</f>
        <v>0</v>
      </c>
      <c r="W3457" s="64" t="n">
        <f aca="false">IF($K3457="U – needs rule",$P3457,0)</f>
        <v>0</v>
      </c>
      <c r="X3457" s="64" t="n">
        <f aca="false">IF($K3457="No Start (attainment only)",$P3457,0)</f>
        <v>0</v>
      </c>
    </row>
    <row r="3458" customFormat="false" ht="15" hidden="false" customHeight="false" outlineLevel="0" collapsed="false">
      <c r="A3458" s="60"/>
      <c r="B3458" s="61" t="str">
        <f aca="false">IF($M3458=0,"",INDEX(Classes!$E$6:$E$420,$M3458))</f>
        <v/>
      </c>
      <c r="C3458" s="62" t="str">
        <f aca="false">IF($M3458=0,"",INDEX(Classes!$H$6:$H$420,$M3458))</f>
        <v/>
      </c>
      <c r="D3458" s="61" t="str">
        <f aca="false">IF($M3458=0,"",INDEX(Classes!$B$6:$B$420,$M3458))</f>
        <v/>
      </c>
      <c r="E3458" s="61" t="str">
        <f aca="false">IF($M3458=0,"",INDEX(Classes!$C$6:$C$420,$M3458))</f>
        <v/>
      </c>
      <c r="F3458" s="63"/>
      <c r="G3458" s="63"/>
      <c r="H3458" s="60"/>
      <c r="I3458" s="60"/>
      <c r="J3458" s="63"/>
      <c r="K3458" s="61" t="str">
        <f aca="false">IF($P3458=0,"",IF($F3458="Baseline","— Baseline",IF($O3458=0,"No result",IF($N3458=0,"No Start (attainment only)",IF(OR($N3458=1,$O3458=1),"U – needs rule",INDEX(MxBody,MATCH($I3458,MxCurr,0),MATCH($H3458,MxStart,0)))))))</f>
        <v/>
      </c>
      <c r="L3458" s="62" t="str">
        <f aca="false">IF(COUNTA($A3458,$F3458,$G3458,$H3458,$I3458,$J3458)=0,"",IF($M3458=0,"✖ كود الصف غير موجود",IF(ISNA(MATCH($F3458,Lists!$A$2:$A$5,0)),"✖ الفترة غير صحيحة",IF(ISNA(MATCH($G3458,Lists!$B$2:$B$7,0)),"✖ المجموعة غير صحيحة",IF(NOT(OR($H3458="",$N3458&gt;0)),"✖ Start غير صحيح",IF(NOT(OR($I3458="",$I3458="NR",$O3458&gt;0)),"✖ Current غير صحيح",IF(NOT(IF(ISNUMBER($J3458),AND($J3458&gt;=0,$J3458=INT($J3458)),FALSE())),"✖ العدد يجب أن يكون صحيحًا ≥ 0",IF(AND($F3458="Baseline",$H3458&lt;&gt;""),"⚠ Baseline: Start لا يدخل في التقدم",IF($K3458="No Start (attainment only)","ℹ تحصيل فقط (بدون Start)",IF($K3458="U – needs rule","ℹ حالة U تحتاج قاعدة معتمدة",IF($K3458="No result","ℹ بدون نتيجة (يُستبعد من التحصيل)","OK")))))))))))</f>
        <v/>
      </c>
      <c r="M3458" s="64" t="n">
        <f aca="false">IF($A3458="",0,IFERROR(MATCH($A3458,Classes!$A$6:$A$420,0),0))</f>
        <v>0</v>
      </c>
      <c r="N3458" s="64" t="n">
        <f aca="false">IF($H3458="",0,IFERROR(MATCH($H3458,GradeList,0),0))</f>
        <v>0</v>
      </c>
      <c r="O3458" s="64" t="n">
        <f aca="false">IF(OR($I3458="",$I3458="NR"),0,IFERROR(MATCH($I3458,GradeList,0),0))</f>
        <v>0</v>
      </c>
      <c r="P3458" s="64" t="n">
        <f aca="false">IF(AND($M3458&gt;0,ISNUMBER(MATCH($F3458,Lists!$A$2:$A$5,0)),ISNUMBER(MATCH($G3458,Lists!$B$2:$B$7,0)),OR($H3458="",$N3458&gt;0),OR($I3458="",$I3458="NR",$O3458&gt;0),IF(ISNUMBER($J3458),AND($J3458&gt;=0,$J3458=INT($J3458)),FALSE())),$J3458,0)</f>
        <v>0</v>
      </c>
      <c r="Q3458" s="64" t="n">
        <f aca="false">IF(AND($P3458&gt;0,$O3458&gt;0),$P3458,0)</f>
        <v>0</v>
      </c>
      <c r="R3458" s="64" t="n">
        <f aca="false">IF(AND($Q3458&gt;0,$O3458&gt;=AtRank),$Q3458,0)</f>
        <v>0</v>
      </c>
      <c r="S3458" s="64" t="n">
        <f aca="false">IF(AND($Q3458&gt;0,$O3458&gt;=AboveRank),$Q3458,0)</f>
        <v>0</v>
      </c>
      <c r="T3458" s="64" t="n">
        <f aca="false">IF($K3458="Less",$P3458,0)</f>
        <v>0</v>
      </c>
      <c r="U3458" s="64" t="n">
        <f aca="false">IF($K3458="Expected",$P3458,0)</f>
        <v>0</v>
      </c>
      <c r="V3458" s="64" t="n">
        <f aca="false">IF($K3458="Better",$P3458,0)</f>
        <v>0</v>
      </c>
      <c r="W3458" s="64" t="n">
        <f aca="false">IF($K3458="U – needs rule",$P3458,0)</f>
        <v>0</v>
      </c>
      <c r="X3458" s="64" t="n">
        <f aca="false">IF($K3458="No Start (attainment only)",$P3458,0)</f>
        <v>0</v>
      </c>
    </row>
    <row r="3459" customFormat="false" ht="15" hidden="false" customHeight="false" outlineLevel="0" collapsed="false">
      <c r="A3459" s="60"/>
      <c r="B3459" s="61" t="str">
        <f aca="false">IF($M3459=0,"",INDEX(Classes!$E$6:$E$420,$M3459))</f>
        <v/>
      </c>
      <c r="C3459" s="62" t="str">
        <f aca="false">IF($M3459=0,"",INDEX(Classes!$H$6:$H$420,$M3459))</f>
        <v/>
      </c>
      <c r="D3459" s="61" t="str">
        <f aca="false">IF($M3459=0,"",INDEX(Classes!$B$6:$B$420,$M3459))</f>
        <v/>
      </c>
      <c r="E3459" s="61" t="str">
        <f aca="false">IF($M3459=0,"",INDEX(Classes!$C$6:$C$420,$M3459))</f>
        <v/>
      </c>
      <c r="F3459" s="63"/>
      <c r="G3459" s="63"/>
      <c r="H3459" s="60"/>
      <c r="I3459" s="60"/>
      <c r="J3459" s="63"/>
      <c r="K3459" s="61" t="str">
        <f aca="false">IF($P3459=0,"",IF($F3459="Baseline","— Baseline",IF($O3459=0,"No result",IF($N3459=0,"No Start (attainment only)",IF(OR($N3459=1,$O3459=1),"U – needs rule",INDEX(MxBody,MATCH($I3459,MxCurr,0),MATCH($H3459,MxStart,0)))))))</f>
        <v/>
      </c>
      <c r="L3459" s="62" t="str">
        <f aca="false">IF(COUNTA($A3459,$F3459,$G3459,$H3459,$I3459,$J3459)=0,"",IF($M3459=0,"✖ كود الصف غير موجود",IF(ISNA(MATCH($F3459,Lists!$A$2:$A$5,0)),"✖ الفترة غير صحيحة",IF(ISNA(MATCH($G3459,Lists!$B$2:$B$7,0)),"✖ المجموعة غير صحيحة",IF(NOT(OR($H3459="",$N3459&gt;0)),"✖ Start غير صحيح",IF(NOT(OR($I3459="",$I3459="NR",$O3459&gt;0)),"✖ Current غير صحيح",IF(NOT(IF(ISNUMBER($J3459),AND($J3459&gt;=0,$J3459=INT($J3459)),FALSE())),"✖ العدد يجب أن يكون صحيحًا ≥ 0",IF(AND($F3459="Baseline",$H3459&lt;&gt;""),"⚠ Baseline: Start لا يدخل في التقدم",IF($K3459="No Start (attainment only)","ℹ تحصيل فقط (بدون Start)",IF($K3459="U – needs rule","ℹ حالة U تحتاج قاعدة معتمدة",IF($K3459="No result","ℹ بدون نتيجة (يُستبعد من التحصيل)","OK")))))))))))</f>
        <v/>
      </c>
      <c r="M3459" s="64" t="n">
        <f aca="false">IF($A3459="",0,IFERROR(MATCH($A3459,Classes!$A$6:$A$420,0),0))</f>
        <v>0</v>
      </c>
      <c r="N3459" s="64" t="n">
        <f aca="false">IF($H3459="",0,IFERROR(MATCH($H3459,GradeList,0),0))</f>
        <v>0</v>
      </c>
      <c r="O3459" s="64" t="n">
        <f aca="false">IF(OR($I3459="",$I3459="NR"),0,IFERROR(MATCH($I3459,GradeList,0),0))</f>
        <v>0</v>
      </c>
      <c r="P3459" s="64" t="n">
        <f aca="false">IF(AND($M3459&gt;0,ISNUMBER(MATCH($F3459,Lists!$A$2:$A$5,0)),ISNUMBER(MATCH($G3459,Lists!$B$2:$B$7,0)),OR($H3459="",$N3459&gt;0),OR($I3459="",$I3459="NR",$O3459&gt;0),IF(ISNUMBER($J3459),AND($J3459&gt;=0,$J3459=INT($J3459)),FALSE())),$J3459,0)</f>
        <v>0</v>
      </c>
      <c r="Q3459" s="64" t="n">
        <f aca="false">IF(AND($P3459&gt;0,$O3459&gt;0),$P3459,0)</f>
        <v>0</v>
      </c>
      <c r="R3459" s="64" t="n">
        <f aca="false">IF(AND($Q3459&gt;0,$O3459&gt;=AtRank),$Q3459,0)</f>
        <v>0</v>
      </c>
      <c r="S3459" s="64" t="n">
        <f aca="false">IF(AND($Q3459&gt;0,$O3459&gt;=AboveRank),$Q3459,0)</f>
        <v>0</v>
      </c>
      <c r="T3459" s="64" t="n">
        <f aca="false">IF($K3459="Less",$P3459,0)</f>
        <v>0</v>
      </c>
      <c r="U3459" s="64" t="n">
        <f aca="false">IF($K3459="Expected",$P3459,0)</f>
        <v>0</v>
      </c>
      <c r="V3459" s="64" t="n">
        <f aca="false">IF($K3459="Better",$P3459,0)</f>
        <v>0</v>
      </c>
      <c r="W3459" s="64" t="n">
        <f aca="false">IF($K3459="U – needs rule",$P3459,0)</f>
        <v>0</v>
      </c>
      <c r="X3459" s="64" t="n">
        <f aca="false">IF($K3459="No Start (attainment only)",$P3459,0)</f>
        <v>0</v>
      </c>
    </row>
    <row r="3460" customFormat="false" ht="15" hidden="false" customHeight="false" outlineLevel="0" collapsed="false">
      <c r="A3460" s="60"/>
      <c r="B3460" s="61" t="str">
        <f aca="false">IF($M3460=0,"",INDEX(Classes!$E$6:$E$420,$M3460))</f>
        <v/>
      </c>
      <c r="C3460" s="62" t="str">
        <f aca="false">IF($M3460=0,"",INDEX(Classes!$H$6:$H$420,$M3460))</f>
        <v/>
      </c>
      <c r="D3460" s="61" t="str">
        <f aca="false">IF($M3460=0,"",INDEX(Classes!$B$6:$B$420,$M3460))</f>
        <v/>
      </c>
      <c r="E3460" s="61" t="str">
        <f aca="false">IF($M3460=0,"",INDEX(Classes!$C$6:$C$420,$M3460))</f>
        <v/>
      </c>
      <c r="F3460" s="63"/>
      <c r="G3460" s="63"/>
      <c r="H3460" s="60"/>
      <c r="I3460" s="60"/>
      <c r="J3460" s="63"/>
      <c r="K3460" s="61" t="str">
        <f aca="false">IF($P3460=0,"",IF($F3460="Baseline","— Baseline",IF($O3460=0,"No result",IF($N3460=0,"No Start (attainment only)",IF(OR($N3460=1,$O3460=1),"U – needs rule",INDEX(MxBody,MATCH($I3460,MxCurr,0),MATCH($H3460,MxStart,0)))))))</f>
        <v/>
      </c>
      <c r="L3460" s="62" t="str">
        <f aca="false">IF(COUNTA($A3460,$F3460,$G3460,$H3460,$I3460,$J3460)=0,"",IF($M3460=0,"✖ كود الصف غير موجود",IF(ISNA(MATCH($F3460,Lists!$A$2:$A$5,0)),"✖ الفترة غير صحيحة",IF(ISNA(MATCH($G3460,Lists!$B$2:$B$7,0)),"✖ المجموعة غير صحيحة",IF(NOT(OR($H3460="",$N3460&gt;0)),"✖ Start غير صحيح",IF(NOT(OR($I3460="",$I3460="NR",$O3460&gt;0)),"✖ Current غير صحيح",IF(NOT(IF(ISNUMBER($J3460),AND($J3460&gt;=0,$J3460=INT($J3460)),FALSE())),"✖ العدد يجب أن يكون صحيحًا ≥ 0",IF(AND($F3460="Baseline",$H3460&lt;&gt;""),"⚠ Baseline: Start لا يدخل في التقدم",IF($K3460="No Start (attainment only)","ℹ تحصيل فقط (بدون Start)",IF($K3460="U – needs rule","ℹ حالة U تحتاج قاعدة معتمدة",IF($K3460="No result","ℹ بدون نتيجة (يُستبعد من التحصيل)","OK")))))))))))</f>
        <v/>
      </c>
      <c r="M3460" s="64" t="n">
        <f aca="false">IF($A3460="",0,IFERROR(MATCH($A3460,Classes!$A$6:$A$420,0),0))</f>
        <v>0</v>
      </c>
      <c r="N3460" s="64" t="n">
        <f aca="false">IF($H3460="",0,IFERROR(MATCH($H3460,GradeList,0),0))</f>
        <v>0</v>
      </c>
      <c r="O3460" s="64" t="n">
        <f aca="false">IF(OR($I3460="",$I3460="NR"),0,IFERROR(MATCH($I3460,GradeList,0),0))</f>
        <v>0</v>
      </c>
      <c r="P3460" s="64" t="n">
        <f aca="false">IF(AND($M3460&gt;0,ISNUMBER(MATCH($F3460,Lists!$A$2:$A$5,0)),ISNUMBER(MATCH($G3460,Lists!$B$2:$B$7,0)),OR($H3460="",$N3460&gt;0),OR($I3460="",$I3460="NR",$O3460&gt;0),IF(ISNUMBER($J3460),AND($J3460&gt;=0,$J3460=INT($J3460)),FALSE())),$J3460,0)</f>
        <v>0</v>
      </c>
      <c r="Q3460" s="64" t="n">
        <f aca="false">IF(AND($P3460&gt;0,$O3460&gt;0),$P3460,0)</f>
        <v>0</v>
      </c>
      <c r="R3460" s="64" t="n">
        <f aca="false">IF(AND($Q3460&gt;0,$O3460&gt;=AtRank),$Q3460,0)</f>
        <v>0</v>
      </c>
      <c r="S3460" s="64" t="n">
        <f aca="false">IF(AND($Q3460&gt;0,$O3460&gt;=AboveRank),$Q3460,0)</f>
        <v>0</v>
      </c>
      <c r="T3460" s="64" t="n">
        <f aca="false">IF($K3460="Less",$P3460,0)</f>
        <v>0</v>
      </c>
      <c r="U3460" s="64" t="n">
        <f aca="false">IF($K3460="Expected",$P3460,0)</f>
        <v>0</v>
      </c>
      <c r="V3460" s="64" t="n">
        <f aca="false">IF($K3460="Better",$P3460,0)</f>
        <v>0</v>
      </c>
      <c r="W3460" s="64" t="n">
        <f aca="false">IF($K3460="U – needs rule",$P3460,0)</f>
        <v>0</v>
      </c>
      <c r="X3460" s="64" t="n">
        <f aca="false">IF($K3460="No Start (attainment only)",$P3460,0)</f>
        <v>0</v>
      </c>
    </row>
    <row r="3461" customFormat="false" ht="15" hidden="false" customHeight="false" outlineLevel="0" collapsed="false">
      <c r="A3461" s="60"/>
      <c r="B3461" s="61" t="str">
        <f aca="false">IF($M3461=0,"",INDEX(Classes!$E$6:$E$420,$M3461))</f>
        <v/>
      </c>
      <c r="C3461" s="62" t="str">
        <f aca="false">IF($M3461=0,"",INDEX(Classes!$H$6:$H$420,$M3461))</f>
        <v/>
      </c>
      <c r="D3461" s="61" t="str">
        <f aca="false">IF($M3461=0,"",INDEX(Classes!$B$6:$B$420,$M3461))</f>
        <v/>
      </c>
      <c r="E3461" s="61" t="str">
        <f aca="false">IF($M3461=0,"",INDEX(Classes!$C$6:$C$420,$M3461))</f>
        <v/>
      </c>
      <c r="F3461" s="63"/>
      <c r="G3461" s="63"/>
      <c r="H3461" s="60"/>
      <c r="I3461" s="60"/>
      <c r="J3461" s="63"/>
      <c r="K3461" s="61" t="str">
        <f aca="false">IF($P3461=0,"",IF($F3461="Baseline","— Baseline",IF($O3461=0,"No result",IF($N3461=0,"No Start (attainment only)",IF(OR($N3461=1,$O3461=1),"U – needs rule",INDEX(MxBody,MATCH($I3461,MxCurr,0),MATCH($H3461,MxStart,0)))))))</f>
        <v/>
      </c>
      <c r="L3461" s="62" t="str">
        <f aca="false">IF(COUNTA($A3461,$F3461,$G3461,$H3461,$I3461,$J3461)=0,"",IF($M3461=0,"✖ كود الصف غير موجود",IF(ISNA(MATCH($F3461,Lists!$A$2:$A$5,0)),"✖ الفترة غير صحيحة",IF(ISNA(MATCH($G3461,Lists!$B$2:$B$7,0)),"✖ المجموعة غير صحيحة",IF(NOT(OR($H3461="",$N3461&gt;0)),"✖ Start غير صحيح",IF(NOT(OR($I3461="",$I3461="NR",$O3461&gt;0)),"✖ Current غير صحيح",IF(NOT(IF(ISNUMBER($J3461),AND($J3461&gt;=0,$J3461=INT($J3461)),FALSE())),"✖ العدد يجب أن يكون صحيحًا ≥ 0",IF(AND($F3461="Baseline",$H3461&lt;&gt;""),"⚠ Baseline: Start لا يدخل في التقدم",IF($K3461="No Start (attainment only)","ℹ تحصيل فقط (بدون Start)",IF($K3461="U – needs rule","ℹ حالة U تحتاج قاعدة معتمدة",IF($K3461="No result","ℹ بدون نتيجة (يُستبعد من التحصيل)","OK")))))))))))</f>
        <v/>
      </c>
      <c r="M3461" s="64" t="n">
        <f aca="false">IF($A3461="",0,IFERROR(MATCH($A3461,Classes!$A$6:$A$420,0),0))</f>
        <v>0</v>
      </c>
      <c r="N3461" s="64" t="n">
        <f aca="false">IF($H3461="",0,IFERROR(MATCH($H3461,GradeList,0),0))</f>
        <v>0</v>
      </c>
      <c r="O3461" s="64" t="n">
        <f aca="false">IF(OR($I3461="",$I3461="NR"),0,IFERROR(MATCH($I3461,GradeList,0),0))</f>
        <v>0</v>
      </c>
      <c r="P3461" s="64" t="n">
        <f aca="false">IF(AND($M3461&gt;0,ISNUMBER(MATCH($F3461,Lists!$A$2:$A$5,0)),ISNUMBER(MATCH($G3461,Lists!$B$2:$B$7,0)),OR($H3461="",$N3461&gt;0),OR($I3461="",$I3461="NR",$O3461&gt;0),IF(ISNUMBER($J3461),AND($J3461&gt;=0,$J3461=INT($J3461)),FALSE())),$J3461,0)</f>
        <v>0</v>
      </c>
      <c r="Q3461" s="64" t="n">
        <f aca="false">IF(AND($P3461&gt;0,$O3461&gt;0),$P3461,0)</f>
        <v>0</v>
      </c>
      <c r="R3461" s="64" t="n">
        <f aca="false">IF(AND($Q3461&gt;0,$O3461&gt;=AtRank),$Q3461,0)</f>
        <v>0</v>
      </c>
      <c r="S3461" s="64" t="n">
        <f aca="false">IF(AND($Q3461&gt;0,$O3461&gt;=AboveRank),$Q3461,0)</f>
        <v>0</v>
      </c>
      <c r="T3461" s="64" t="n">
        <f aca="false">IF($K3461="Less",$P3461,0)</f>
        <v>0</v>
      </c>
      <c r="U3461" s="64" t="n">
        <f aca="false">IF($K3461="Expected",$P3461,0)</f>
        <v>0</v>
      </c>
      <c r="V3461" s="64" t="n">
        <f aca="false">IF($K3461="Better",$P3461,0)</f>
        <v>0</v>
      </c>
      <c r="W3461" s="64" t="n">
        <f aca="false">IF($K3461="U – needs rule",$P3461,0)</f>
        <v>0</v>
      </c>
      <c r="X3461" s="64" t="n">
        <f aca="false">IF($K3461="No Start (attainment only)",$P3461,0)</f>
        <v>0</v>
      </c>
    </row>
    <row r="3462" customFormat="false" ht="15" hidden="false" customHeight="false" outlineLevel="0" collapsed="false">
      <c r="A3462" s="60"/>
      <c r="B3462" s="61" t="str">
        <f aca="false">IF($M3462=0,"",INDEX(Classes!$E$6:$E$420,$M3462))</f>
        <v/>
      </c>
      <c r="C3462" s="62" t="str">
        <f aca="false">IF($M3462=0,"",INDEX(Classes!$H$6:$H$420,$M3462))</f>
        <v/>
      </c>
      <c r="D3462" s="61" t="str">
        <f aca="false">IF($M3462=0,"",INDEX(Classes!$B$6:$B$420,$M3462))</f>
        <v/>
      </c>
      <c r="E3462" s="61" t="str">
        <f aca="false">IF($M3462=0,"",INDEX(Classes!$C$6:$C$420,$M3462))</f>
        <v/>
      </c>
      <c r="F3462" s="63"/>
      <c r="G3462" s="63"/>
      <c r="H3462" s="60"/>
      <c r="I3462" s="60"/>
      <c r="J3462" s="63"/>
      <c r="K3462" s="61" t="str">
        <f aca="false">IF($P3462=0,"",IF($F3462="Baseline","— Baseline",IF($O3462=0,"No result",IF($N3462=0,"No Start (attainment only)",IF(OR($N3462=1,$O3462=1),"U – needs rule",INDEX(MxBody,MATCH($I3462,MxCurr,0),MATCH($H3462,MxStart,0)))))))</f>
        <v/>
      </c>
      <c r="L3462" s="62" t="str">
        <f aca="false">IF(COUNTA($A3462,$F3462,$G3462,$H3462,$I3462,$J3462)=0,"",IF($M3462=0,"✖ كود الصف غير موجود",IF(ISNA(MATCH($F3462,Lists!$A$2:$A$5,0)),"✖ الفترة غير صحيحة",IF(ISNA(MATCH($G3462,Lists!$B$2:$B$7,0)),"✖ المجموعة غير صحيحة",IF(NOT(OR($H3462="",$N3462&gt;0)),"✖ Start غير صحيح",IF(NOT(OR($I3462="",$I3462="NR",$O3462&gt;0)),"✖ Current غير صحيح",IF(NOT(IF(ISNUMBER($J3462),AND($J3462&gt;=0,$J3462=INT($J3462)),FALSE())),"✖ العدد يجب أن يكون صحيحًا ≥ 0",IF(AND($F3462="Baseline",$H3462&lt;&gt;""),"⚠ Baseline: Start لا يدخل في التقدم",IF($K3462="No Start (attainment only)","ℹ تحصيل فقط (بدون Start)",IF($K3462="U – needs rule","ℹ حالة U تحتاج قاعدة معتمدة",IF($K3462="No result","ℹ بدون نتيجة (يُستبعد من التحصيل)","OK")))))))))))</f>
        <v/>
      </c>
      <c r="M3462" s="64" t="n">
        <f aca="false">IF($A3462="",0,IFERROR(MATCH($A3462,Classes!$A$6:$A$420,0),0))</f>
        <v>0</v>
      </c>
      <c r="N3462" s="64" t="n">
        <f aca="false">IF($H3462="",0,IFERROR(MATCH($H3462,GradeList,0),0))</f>
        <v>0</v>
      </c>
      <c r="O3462" s="64" t="n">
        <f aca="false">IF(OR($I3462="",$I3462="NR"),0,IFERROR(MATCH($I3462,GradeList,0),0))</f>
        <v>0</v>
      </c>
      <c r="P3462" s="64" t="n">
        <f aca="false">IF(AND($M3462&gt;0,ISNUMBER(MATCH($F3462,Lists!$A$2:$A$5,0)),ISNUMBER(MATCH($G3462,Lists!$B$2:$B$7,0)),OR($H3462="",$N3462&gt;0),OR($I3462="",$I3462="NR",$O3462&gt;0),IF(ISNUMBER($J3462),AND($J3462&gt;=0,$J3462=INT($J3462)),FALSE())),$J3462,0)</f>
        <v>0</v>
      </c>
      <c r="Q3462" s="64" t="n">
        <f aca="false">IF(AND($P3462&gt;0,$O3462&gt;0),$P3462,0)</f>
        <v>0</v>
      </c>
      <c r="R3462" s="64" t="n">
        <f aca="false">IF(AND($Q3462&gt;0,$O3462&gt;=AtRank),$Q3462,0)</f>
        <v>0</v>
      </c>
      <c r="S3462" s="64" t="n">
        <f aca="false">IF(AND($Q3462&gt;0,$O3462&gt;=AboveRank),$Q3462,0)</f>
        <v>0</v>
      </c>
      <c r="T3462" s="64" t="n">
        <f aca="false">IF($K3462="Less",$P3462,0)</f>
        <v>0</v>
      </c>
      <c r="U3462" s="64" t="n">
        <f aca="false">IF($K3462="Expected",$P3462,0)</f>
        <v>0</v>
      </c>
      <c r="V3462" s="64" t="n">
        <f aca="false">IF($K3462="Better",$P3462,0)</f>
        <v>0</v>
      </c>
      <c r="W3462" s="64" t="n">
        <f aca="false">IF($K3462="U – needs rule",$P3462,0)</f>
        <v>0</v>
      </c>
      <c r="X3462" s="64" t="n">
        <f aca="false">IF($K3462="No Start (attainment only)",$P3462,0)</f>
        <v>0</v>
      </c>
    </row>
    <row r="3463" customFormat="false" ht="15" hidden="false" customHeight="false" outlineLevel="0" collapsed="false">
      <c r="A3463" s="60"/>
      <c r="B3463" s="61" t="str">
        <f aca="false">IF($M3463=0,"",INDEX(Classes!$E$6:$E$420,$M3463))</f>
        <v/>
      </c>
      <c r="C3463" s="62" t="str">
        <f aca="false">IF($M3463=0,"",INDEX(Classes!$H$6:$H$420,$M3463))</f>
        <v/>
      </c>
      <c r="D3463" s="61" t="str">
        <f aca="false">IF($M3463=0,"",INDEX(Classes!$B$6:$B$420,$M3463))</f>
        <v/>
      </c>
      <c r="E3463" s="61" t="str">
        <f aca="false">IF($M3463=0,"",INDEX(Classes!$C$6:$C$420,$M3463))</f>
        <v/>
      </c>
      <c r="F3463" s="63"/>
      <c r="G3463" s="63"/>
      <c r="H3463" s="60"/>
      <c r="I3463" s="60"/>
      <c r="J3463" s="63"/>
      <c r="K3463" s="61" t="str">
        <f aca="false">IF($P3463=0,"",IF($F3463="Baseline","— Baseline",IF($O3463=0,"No result",IF($N3463=0,"No Start (attainment only)",IF(OR($N3463=1,$O3463=1),"U – needs rule",INDEX(MxBody,MATCH($I3463,MxCurr,0),MATCH($H3463,MxStart,0)))))))</f>
        <v/>
      </c>
      <c r="L3463" s="62" t="str">
        <f aca="false">IF(COUNTA($A3463,$F3463,$G3463,$H3463,$I3463,$J3463)=0,"",IF($M3463=0,"✖ كود الصف غير موجود",IF(ISNA(MATCH($F3463,Lists!$A$2:$A$5,0)),"✖ الفترة غير صحيحة",IF(ISNA(MATCH($G3463,Lists!$B$2:$B$7,0)),"✖ المجموعة غير صحيحة",IF(NOT(OR($H3463="",$N3463&gt;0)),"✖ Start غير صحيح",IF(NOT(OR($I3463="",$I3463="NR",$O3463&gt;0)),"✖ Current غير صحيح",IF(NOT(IF(ISNUMBER($J3463),AND($J3463&gt;=0,$J3463=INT($J3463)),FALSE())),"✖ العدد يجب أن يكون صحيحًا ≥ 0",IF(AND($F3463="Baseline",$H3463&lt;&gt;""),"⚠ Baseline: Start لا يدخل في التقدم",IF($K3463="No Start (attainment only)","ℹ تحصيل فقط (بدون Start)",IF($K3463="U – needs rule","ℹ حالة U تحتاج قاعدة معتمدة",IF($K3463="No result","ℹ بدون نتيجة (يُستبعد من التحصيل)","OK")))))))))))</f>
        <v/>
      </c>
      <c r="M3463" s="64" t="n">
        <f aca="false">IF($A3463="",0,IFERROR(MATCH($A3463,Classes!$A$6:$A$420,0),0))</f>
        <v>0</v>
      </c>
      <c r="N3463" s="64" t="n">
        <f aca="false">IF($H3463="",0,IFERROR(MATCH($H3463,GradeList,0),0))</f>
        <v>0</v>
      </c>
      <c r="O3463" s="64" t="n">
        <f aca="false">IF(OR($I3463="",$I3463="NR"),0,IFERROR(MATCH($I3463,GradeList,0),0))</f>
        <v>0</v>
      </c>
      <c r="P3463" s="64" t="n">
        <f aca="false">IF(AND($M3463&gt;0,ISNUMBER(MATCH($F3463,Lists!$A$2:$A$5,0)),ISNUMBER(MATCH($G3463,Lists!$B$2:$B$7,0)),OR($H3463="",$N3463&gt;0),OR($I3463="",$I3463="NR",$O3463&gt;0),IF(ISNUMBER($J3463),AND($J3463&gt;=0,$J3463=INT($J3463)),FALSE())),$J3463,0)</f>
        <v>0</v>
      </c>
      <c r="Q3463" s="64" t="n">
        <f aca="false">IF(AND($P3463&gt;0,$O3463&gt;0),$P3463,0)</f>
        <v>0</v>
      </c>
      <c r="R3463" s="64" t="n">
        <f aca="false">IF(AND($Q3463&gt;0,$O3463&gt;=AtRank),$Q3463,0)</f>
        <v>0</v>
      </c>
      <c r="S3463" s="64" t="n">
        <f aca="false">IF(AND($Q3463&gt;0,$O3463&gt;=AboveRank),$Q3463,0)</f>
        <v>0</v>
      </c>
      <c r="T3463" s="64" t="n">
        <f aca="false">IF($K3463="Less",$P3463,0)</f>
        <v>0</v>
      </c>
      <c r="U3463" s="64" t="n">
        <f aca="false">IF($K3463="Expected",$P3463,0)</f>
        <v>0</v>
      </c>
      <c r="V3463" s="64" t="n">
        <f aca="false">IF($K3463="Better",$P3463,0)</f>
        <v>0</v>
      </c>
      <c r="W3463" s="64" t="n">
        <f aca="false">IF($K3463="U – needs rule",$P3463,0)</f>
        <v>0</v>
      </c>
      <c r="X3463" s="64" t="n">
        <f aca="false">IF($K3463="No Start (attainment only)",$P3463,0)</f>
        <v>0</v>
      </c>
    </row>
    <row r="3464" customFormat="false" ht="15" hidden="false" customHeight="false" outlineLevel="0" collapsed="false">
      <c r="A3464" s="60"/>
      <c r="B3464" s="61" t="str">
        <f aca="false">IF($M3464=0,"",INDEX(Classes!$E$6:$E$420,$M3464))</f>
        <v/>
      </c>
      <c r="C3464" s="62" t="str">
        <f aca="false">IF($M3464=0,"",INDEX(Classes!$H$6:$H$420,$M3464))</f>
        <v/>
      </c>
      <c r="D3464" s="61" t="str">
        <f aca="false">IF($M3464=0,"",INDEX(Classes!$B$6:$B$420,$M3464))</f>
        <v/>
      </c>
      <c r="E3464" s="61" t="str">
        <f aca="false">IF($M3464=0,"",INDEX(Classes!$C$6:$C$420,$M3464))</f>
        <v/>
      </c>
      <c r="F3464" s="63"/>
      <c r="G3464" s="63"/>
      <c r="H3464" s="60"/>
      <c r="I3464" s="60"/>
      <c r="J3464" s="63"/>
      <c r="K3464" s="61" t="str">
        <f aca="false">IF($P3464=0,"",IF($F3464="Baseline","— Baseline",IF($O3464=0,"No result",IF($N3464=0,"No Start (attainment only)",IF(OR($N3464=1,$O3464=1),"U – needs rule",INDEX(MxBody,MATCH($I3464,MxCurr,0),MATCH($H3464,MxStart,0)))))))</f>
        <v/>
      </c>
      <c r="L3464" s="62" t="str">
        <f aca="false">IF(COUNTA($A3464,$F3464,$G3464,$H3464,$I3464,$J3464)=0,"",IF($M3464=0,"✖ كود الصف غير موجود",IF(ISNA(MATCH($F3464,Lists!$A$2:$A$5,0)),"✖ الفترة غير صحيحة",IF(ISNA(MATCH($G3464,Lists!$B$2:$B$7,0)),"✖ المجموعة غير صحيحة",IF(NOT(OR($H3464="",$N3464&gt;0)),"✖ Start غير صحيح",IF(NOT(OR($I3464="",$I3464="NR",$O3464&gt;0)),"✖ Current غير صحيح",IF(NOT(IF(ISNUMBER($J3464),AND($J3464&gt;=0,$J3464=INT($J3464)),FALSE())),"✖ العدد يجب أن يكون صحيحًا ≥ 0",IF(AND($F3464="Baseline",$H3464&lt;&gt;""),"⚠ Baseline: Start لا يدخل في التقدم",IF($K3464="No Start (attainment only)","ℹ تحصيل فقط (بدون Start)",IF($K3464="U – needs rule","ℹ حالة U تحتاج قاعدة معتمدة",IF($K3464="No result","ℹ بدون نتيجة (يُستبعد من التحصيل)","OK")))))))))))</f>
        <v/>
      </c>
      <c r="M3464" s="64" t="n">
        <f aca="false">IF($A3464="",0,IFERROR(MATCH($A3464,Classes!$A$6:$A$420,0),0))</f>
        <v>0</v>
      </c>
      <c r="N3464" s="64" t="n">
        <f aca="false">IF($H3464="",0,IFERROR(MATCH($H3464,GradeList,0),0))</f>
        <v>0</v>
      </c>
      <c r="O3464" s="64" t="n">
        <f aca="false">IF(OR($I3464="",$I3464="NR"),0,IFERROR(MATCH($I3464,GradeList,0),0))</f>
        <v>0</v>
      </c>
      <c r="P3464" s="64" t="n">
        <f aca="false">IF(AND($M3464&gt;0,ISNUMBER(MATCH($F3464,Lists!$A$2:$A$5,0)),ISNUMBER(MATCH($G3464,Lists!$B$2:$B$7,0)),OR($H3464="",$N3464&gt;0),OR($I3464="",$I3464="NR",$O3464&gt;0),IF(ISNUMBER($J3464),AND($J3464&gt;=0,$J3464=INT($J3464)),FALSE())),$J3464,0)</f>
        <v>0</v>
      </c>
      <c r="Q3464" s="64" t="n">
        <f aca="false">IF(AND($P3464&gt;0,$O3464&gt;0),$P3464,0)</f>
        <v>0</v>
      </c>
      <c r="R3464" s="64" t="n">
        <f aca="false">IF(AND($Q3464&gt;0,$O3464&gt;=AtRank),$Q3464,0)</f>
        <v>0</v>
      </c>
      <c r="S3464" s="64" t="n">
        <f aca="false">IF(AND($Q3464&gt;0,$O3464&gt;=AboveRank),$Q3464,0)</f>
        <v>0</v>
      </c>
      <c r="T3464" s="64" t="n">
        <f aca="false">IF($K3464="Less",$P3464,0)</f>
        <v>0</v>
      </c>
      <c r="U3464" s="64" t="n">
        <f aca="false">IF($K3464="Expected",$P3464,0)</f>
        <v>0</v>
      </c>
      <c r="V3464" s="64" t="n">
        <f aca="false">IF($K3464="Better",$P3464,0)</f>
        <v>0</v>
      </c>
      <c r="W3464" s="64" t="n">
        <f aca="false">IF($K3464="U – needs rule",$P3464,0)</f>
        <v>0</v>
      </c>
      <c r="X3464" s="64" t="n">
        <f aca="false">IF($K3464="No Start (attainment only)",$P3464,0)</f>
        <v>0</v>
      </c>
    </row>
    <row r="3465" customFormat="false" ht="15" hidden="false" customHeight="false" outlineLevel="0" collapsed="false">
      <c r="A3465" s="60"/>
      <c r="B3465" s="61" t="str">
        <f aca="false">IF($M3465=0,"",INDEX(Classes!$E$6:$E$420,$M3465))</f>
        <v/>
      </c>
      <c r="C3465" s="62" t="str">
        <f aca="false">IF($M3465=0,"",INDEX(Classes!$H$6:$H$420,$M3465))</f>
        <v/>
      </c>
      <c r="D3465" s="61" t="str">
        <f aca="false">IF($M3465=0,"",INDEX(Classes!$B$6:$B$420,$M3465))</f>
        <v/>
      </c>
      <c r="E3465" s="61" t="str">
        <f aca="false">IF($M3465=0,"",INDEX(Classes!$C$6:$C$420,$M3465))</f>
        <v/>
      </c>
      <c r="F3465" s="63"/>
      <c r="G3465" s="63"/>
      <c r="H3465" s="60"/>
      <c r="I3465" s="60"/>
      <c r="J3465" s="63"/>
      <c r="K3465" s="61" t="str">
        <f aca="false">IF($P3465=0,"",IF($F3465="Baseline","— Baseline",IF($O3465=0,"No result",IF($N3465=0,"No Start (attainment only)",IF(OR($N3465=1,$O3465=1),"U – needs rule",INDEX(MxBody,MATCH($I3465,MxCurr,0),MATCH($H3465,MxStart,0)))))))</f>
        <v/>
      </c>
      <c r="L3465" s="62" t="str">
        <f aca="false">IF(COUNTA($A3465,$F3465,$G3465,$H3465,$I3465,$J3465)=0,"",IF($M3465=0,"✖ كود الصف غير موجود",IF(ISNA(MATCH($F3465,Lists!$A$2:$A$5,0)),"✖ الفترة غير صحيحة",IF(ISNA(MATCH($G3465,Lists!$B$2:$B$7,0)),"✖ المجموعة غير صحيحة",IF(NOT(OR($H3465="",$N3465&gt;0)),"✖ Start غير صحيح",IF(NOT(OR($I3465="",$I3465="NR",$O3465&gt;0)),"✖ Current غير صحيح",IF(NOT(IF(ISNUMBER($J3465),AND($J3465&gt;=0,$J3465=INT($J3465)),FALSE())),"✖ العدد يجب أن يكون صحيحًا ≥ 0",IF(AND($F3465="Baseline",$H3465&lt;&gt;""),"⚠ Baseline: Start لا يدخل في التقدم",IF($K3465="No Start (attainment only)","ℹ تحصيل فقط (بدون Start)",IF($K3465="U – needs rule","ℹ حالة U تحتاج قاعدة معتمدة",IF($K3465="No result","ℹ بدون نتيجة (يُستبعد من التحصيل)","OK")))))))))))</f>
        <v/>
      </c>
      <c r="M3465" s="64" t="n">
        <f aca="false">IF($A3465="",0,IFERROR(MATCH($A3465,Classes!$A$6:$A$420,0),0))</f>
        <v>0</v>
      </c>
      <c r="N3465" s="64" t="n">
        <f aca="false">IF($H3465="",0,IFERROR(MATCH($H3465,GradeList,0),0))</f>
        <v>0</v>
      </c>
      <c r="O3465" s="64" t="n">
        <f aca="false">IF(OR($I3465="",$I3465="NR"),0,IFERROR(MATCH($I3465,GradeList,0),0))</f>
        <v>0</v>
      </c>
      <c r="P3465" s="64" t="n">
        <f aca="false">IF(AND($M3465&gt;0,ISNUMBER(MATCH($F3465,Lists!$A$2:$A$5,0)),ISNUMBER(MATCH($G3465,Lists!$B$2:$B$7,0)),OR($H3465="",$N3465&gt;0),OR($I3465="",$I3465="NR",$O3465&gt;0),IF(ISNUMBER($J3465),AND($J3465&gt;=0,$J3465=INT($J3465)),FALSE())),$J3465,0)</f>
        <v>0</v>
      </c>
      <c r="Q3465" s="64" t="n">
        <f aca="false">IF(AND($P3465&gt;0,$O3465&gt;0),$P3465,0)</f>
        <v>0</v>
      </c>
      <c r="R3465" s="64" t="n">
        <f aca="false">IF(AND($Q3465&gt;0,$O3465&gt;=AtRank),$Q3465,0)</f>
        <v>0</v>
      </c>
      <c r="S3465" s="64" t="n">
        <f aca="false">IF(AND($Q3465&gt;0,$O3465&gt;=AboveRank),$Q3465,0)</f>
        <v>0</v>
      </c>
      <c r="T3465" s="64" t="n">
        <f aca="false">IF($K3465="Less",$P3465,0)</f>
        <v>0</v>
      </c>
      <c r="U3465" s="64" t="n">
        <f aca="false">IF($K3465="Expected",$P3465,0)</f>
        <v>0</v>
      </c>
      <c r="V3465" s="64" t="n">
        <f aca="false">IF($K3465="Better",$P3465,0)</f>
        <v>0</v>
      </c>
      <c r="W3465" s="64" t="n">
        <f aca="false">IF($K3465="U – needs rule",$P3465,0)</f>
        <v>0</v>
      </c>
      <c r="X3465" s="64" t="n">
        <f aca="false">IF($K3465="No Start (attainment only)",$P3465,0)</f>
        <v>0</v>
      </c>
    </row>
    <row r="3466" customFormat="false" ht="15" hidden="false" customHeight="false" outlineLevel="0" collapsed="false">
      <c r="A3466" s="60"/>
      <c r="B3466" s="61" t="str">
        <f aca="false">IF($M3466=0,"",INDEX(Classes!$E$6:$E$420,$M3466))</f>
        <v/>
      </c>
      <c r="C3466" s="62" t="str">
        <f aca="false">IF($M3466=0,"",INDEX(Classes!$H$6:$H$420,$M3466))</f>
        <v/>
      </c>
      <c r="D3466" s="61" t="str">
        <f aca="false">IF($M3466=0,"",INDEX(Classes!$B$6:$B$420,$M3466))</f>
        <v/>
      </c>
      <c r="E3466" s="61" t="str">
        <f aca="false">IF($M3466=0,"",INDEX(Classes!$C$6:$C$420,$M3466))</f>
        <v/>
      </c>
      <c r="F3466" s="63"/>
      <c r="G3466" s="63"/>
      <c r="H3466" s="60"/>
      <c r="I3466" s="60"/>
      <c r="J3466" s="63"/>
      <c r="K3466" s="61" t="str">
        <f aca="false">IF($P3466=0,"",IF($F3466="Baseline","— Baseline",IF($O3466=0,"No result",IF($N3466=0,"No Start (attainment only)",IF(OR($N3466=1,$O3466=1),"U – needs rule",INDEX(MxBody,MATCH($I3466,MxCurr,0),MATCH($H3466,MxStart,0)))))))</f>
        <v/>
      </c>
      <c r="L3466" s="62" t="str">
        <f aca="false">IF(COUNTA($A3466,$F3466,$G3466,$H3466,$I3466,$J3466)=0,"",IF($M3466=0,"✖ كود الصف غير موجود",IF(ISNA(MATCH($F3466,Lists!$A$2:$A$5,0)),"✖ الفترة غير صحيحة",IF(ISNA(MATCH($G3466,Lists!$B$2:$B$7,0)),"✖ المجموعة غير صحيحة",IF(NOT(OR($H3466="",$N3466&gt;0)),"✖ Start غير صحيح",IF(NOT(OR($I3466="",$I3466="NR",$O3466&gt;0)),"✖ Current غير صحيح",IF(NOT(IF(ISNUMBER($J3466),AND($J3466&gt;=0,$J3466=INT($J3466)),FALSE())),"✖ العدد يجب أن يكون صحيحًا ≥ 0",IF(AND($F3466="Baseline",$H3466&lt;&gt;""),"⚠ Baseline: Start لا يدخل في التقدم",IF($K3466="No Start (attainment only)","ℹ تحصيل فقط (بدون Start)",IF($K3466="U – needs rule","ℹ حالة U تحتاج قاعدة معتمدة",IF($K3466="No result","ℹ بدون نتيجة (يُستبعد من التحصيل)","OK")))))))))))</f>
        <v/>
      </c>
      <c r="M3466" s="64" t="n">
        <f aca="false">IF($A3466="",0,IFERROR(MATCH($A3466,Classes!$A$6:$A$420,0),0))</f>
        <v>0</v>
      </c>
      <c r="N3466" s="64" t="n">
        <f aca="false">IF($H3466="",0,IFERROR(MATCH($H3466,GradeList,0),0))</f>
        <v>0</v>
      </c>
      <c r="O3466" s="64" t="n">
        <f aca="false">IF(OR($I3466="",$I3466="NR"),0,IFERROR(MATCH($I3466,GradeList,0),0))</f>
        <v>0</v>
      </c>
      <c r="P3466" s="64" t="n">
        <f aca="false">IF(AND($M3466&gt;0,ISNUMBER(MATCH($F3466,Lists!$A$2:$A$5,0)),ISNUMBER(MATCH($G3466,Lists!$B$2:$B$7,0)),OR($H3466="",$N3466&gt;0),OR($I3466="",$I3466="NR",$O3466&gt;0),IF(ISNUMBER($J3466),AND($J3466&gt;=0,$J3466=INT($J3466)),FALSE())),$J3466,0)</f>
        <v>0</v>
      </c>
      <c r="Q3466" s="64" t="n">
        <f aca="false">IF(AND($P3466&gt;0,$O3466&gt;0),$P3466,0)</f>
        <v>0</v>
      </c>
      <c r="R3466" s="64" t="n">
        <f aca="false">IF(AND($Q3466&gt;0,$O3466&gt;=AtRank),$Q3466,0)</f>
        <v>0</v>
      </c>
      <c r="S3466" s="64" t="n">
        <f aca="false">IF(AND($Q3466&gt;0,$O3466&gt;=AboveRank),$Q3466,0)</f>
        <v>0</v>
      </c>
      <c r="T3466" s="64" t="n">
        <f aca="false">IF($K3466="Less",$P3466,0)</f>
        <v>0</v>
      </c>
      <c r="U3466" s="64" t="n">
        <f aca="false">IF($K3466="Expected",$P3466,0)</f>
        <v>0</v>
      </c>
      <c r="V3466" s="64" t="n">
        <f aca="false">IF($K3466="Better",$P3466,0)</f>
        <v>0</v>
      </c>
      <c r="W3466" s="64" t="n">
        <f aca="false">IF($K3466="U – needs rule",$P3466,0)</f>
        <v>0</v>
      </c>
      <c r="X3466" s="64" t="n">
        <f aca="false">IF($K3466="No Start (attainment only)",$P3466,0)</f>
        <v>0</v>
      </c>
    </row>
    <row r="3467" customFormat="false" ht="15" hidden="false" customHeight="false" outlineLevel="0" collapsed="false">
      <c r="A3467" s="60"/>
      <c r="B3467" s="61" t="str">
        <f aca="false">IF($M3467=0,"",INDEX(Classes!$E$6:$E$420,$M3467))</f>
        <v/>
      </c>
      <c r="C3467" s="62" t="str">
        <f aca="false">IF($M3467=0,"",INDEX(Classes!$H$6:$H$420,$M3467))</f>
        <v/>
      </c>
      <c r="D3467" s="61" t="str">
        <f aca="false">IF($M3467=0,"",INDEX(Classes!$B$6:$B$420,$M3467))</f>
        <v/>
      </c>
      <c r="E3467" s="61" t="str">
        <f aca="false">IF($M3467=0,"",INDEX(Classes!$C$6:$C$420,$M3467))</f>
        <v/>
      </c>
      <c r="F3467" s="63"/>
      <c r="G3467" s="63"/>
      <c r="H3467" s="60"/>
      <c r="I3467" s="60"/>
      <c r="J3467" s="63"/>
      <c r="K3467" s="61" t="str">
        <f aca="false">IF($P3467=0,"",IF($F3467="Baseline","— Baseline",IF($O3467=0,"No result",IF($N3467=0,"No Start (attainment only)",IF(OR($N3467=1,$O3467=1),"U – needs rule",INDEX(MxBody,MATCH($I3467,MxCurr,0),MATCH($H3467,MxStart,0)))))))</f>
        <v/>
      </c>
      <c r="L3467" s="62" t="str">
        <f aca="false">IF(COUNTA($A3467,$F3467,$G3467,$H3467,$I3467,$J3467)=0,"",IF($M3467=0,"✖ كود الصف غير موجود",IF(ISNA(MATCH($F3467,Lists!$A$2:$A$5,0)),"✖ الفترة غير صحيحة",IF(ISNA(MATCH($G3467,Lists!$B$2:$B$7,0)),"✖ المجموعة غير صحيحة",IF(NOT(OR($H3467="",$N3467&gt;0)),"✖ Start غير صحيح",IF(NOT(OR($I3467="",$I3467="NR",$O3467&gt;0)),"✖ Current غير صحيح",IF(NOT(IF(ISNUMBER($J3467),AND($J3467&gt;=0,$J3467=INT($J3467)),FALSE())),"✖ العدد يجب أن يكون صحيحًا ≥ 0",IF(AND($F3467="Baseline",$H3467&lt;&gt;""),"⚠ Baseline: Start لا يدخل في التقدم",IF($K3467="No Start (attainment only)","ℹ تحصيل فقط (بدون Start)",IF($K3467="U – needs rule","ℹ حالة U تحتاج قاعدة معتمدة",IF($K3467="No result","ℹ بدون نتيجة (يُستبعد من التحصيل)","OK")))))))))))</f>
        <v/>
      </c>
      <c r="M3467" s="64" t="n">
        <f aca="false">IF($A3467="",0,IFERROR(MATCH($A3467,Classes!$A$6:$A$420,0),0))</f>
        <v>0</v>
      </c>
      <c r="N3467" s="64" t="n">
        <f aca="false">IF($H3467="",0,IFERROR(MATCH($H3467,GradeList,0),0))</f>
        <v>0</v>
      </c>
      <c r="O3467" s="64" t="n">
        <f aca="false">IF(OR($I3467="",$I3467="NR"),0,IFERROR(MATCH($I3467,GradeList,0),0))</f>
        <v>0</v>
      </c>
      <c r="P3467" s="64" t="n">
        <f aca="false">IF(AND($M3467&gt;0,ISNUMBER(MATCH($F3467,Lists!$A$2:$A$5,0)),ISNUMBER(MATCH($G3467,Lists!$B$2:$B$7,0)),OR($H3467="",$N3467&gt;0),OR($I3467="",$I3467="NR",$O3467&gt;0),IF(ISNUMBER($J3467),AND($J3467&gt;=0,$J3467=INT($J3467)),FALSE())),$J3467,0)</f>
        <v>0</v>
      </c>
      <c r="Q3467" s="64" t="n">
        <f aca="false">IF(AND($P3467&gt;0,$O3467&gt;0),$P3467,0)</f>
        <v>0</v>
      </c>
      <c r="R3467" s="64" t="n">
        <f aca="false">IF(AND($Q3467&gt;0,$O3467&gt;=AtRank),$Q3467,0)</f>
        <v>0</v>
      </c>
      <c r="S3467" s="64" t="n">
        <f aca="false">IF(AND($Q3467&gt;0,$O3467&gt;=AboveRank),$Q3467,0)</f>
        <v>0</v>
      </c>
      <c r="T3467" s="64" t="n">
        <f aca="false">IF($K3467="Less",$P3467,0)</f>
        <v>0</v>
      </c>
      <c r="U3467" s="64" t="n">
        <f aca="false">IF($K3467="Expected",$P3467,0)</f>
        <v>0</v>
      </c>
      <c r="V3467" s="64" t="n">
        <f aca="false">IF($K3467="Better",$P3467,0)</f>
        <v>0</v>
      </c>
      <c r="W3467" s="64" t="n">
        <f aca="false">IF($K3467="U – needs rule",$P3467,0)</f>
        <v>0</v>
      </c>
      <c r="X3467" s="64" t="n">
        <f aca="false">IF($K3467="No Start (attainment only)",$P3467,0)</f>
        <v>0</v>
      </c>
    </row>
    <row r="3468" customFormat="false" ht="15" hidden="false" customHeight="false" outlineLevel="0" collapsed="false">
      <c r="A3468" s="60"/>
      <c r="B3468" s="61" t="str">
        <f aca="false">IF($M3468=0,"",INDEX(Classes!$E$6:$E$420,$M3468))</f>
        <v/>
      </c>
      <c r="C3468" s="62" t="str">
        <f aca="false">IF($M3468=0,"",INDEX(Classes!$H$6:$H$420,$M3468))</f>
        <v/>
      </c>
      <c r="D3468" s="61" t="str">
        <f aca="false">IF($M3468=0,"",INDEX(Classes!$B$6:$B$420,$M3468))</f>
        <v/>
      </c>
      <c r="E3468" s="61" t="str">
        <f aca="false">IF($M3468=0,"",INDEX(Classes!$C$6:$C$420,$M3468))</f>
        <v/>
      </c>
      <c r="F3468" s="63"/>
      <c r="G3468" s="63"/>
      <c r="H3468" s="60"/>
      <c r="I3468" s="60"/>
      <c r="J3468" s="63"/>
      <c r="K3468" s="61" t="str">
        <f aca="false">IF($P3468=0,"",IF($F3468="Baseline","— Baseline",IF($O3468=0,"No result",IF($N3468=0,"No Start (attainment only)",IF(OR($N3468=1,$O3468=1),"U – needs rule",INDEX(MxBody,MATCH($I3468,MxCurr,0),MATCH($H3468,MxStart,0)))))))</f>
        <v/>
      </c>
      <c r="L3468" s="62" t="str">
        <f aca="false">IF(COUNTA($A3468,$F3468,$G3468,$H3468,$I3468,$J3468)=0,"",IF($M3468=0,"✖ كود الصف غير موجود",IF(ISNA(MATCH($F3468,Lists!$A$2:$A$5,0)),"✖ الفترة غير صحيحة",IF(ISNA(MATCH($G3468,Lists!$B$2:$B$7,0)),"✖ المجموعة غير صحيحة",IF(NOT(OR($H3468="",$N3468&gt;0)),"✖ Start غير صحيح",IF(NOT(OR($I3468="",$I3468="NR",$O3468&gt;0)),"✖ Current غير صحيح",IF(NOT(IF(ISNUMBER($J3468),AND($J3468&gt;=0,$J3468=INT($J3468)),FALSE())),"✖ العدد يجب أن يكون صحيحًا ≥ 0",IF(AND($F3468="Baseline",$H3468&lt;&gt;""),"⚠ Baseline: Start لا يدخل في التقدم",IF($K3468="No Start (attainment only)","ℹ تحصيل فقط (بدون Start)",IF($K3468="U – needs rule","ℹ حالة U تحتاج قاعدة معتمدة",IF($K3468="No result","ℹ بدون نتيجة (يُستبعد من التحصيل)","OK")))))))))))</f>
        <v/>
      </c>
      <c r="M3468" s="64" t="n">
        <f aca="false">IF($A3468="",0,IFERROR(MATCH($A3468,Classes!$A$6:$A$420,0),0))</f>
        <v>0</v>
      </c>
      <c r="N3468" s="64" t="n">
        <f aca="false">IF($H3468="",0,IFERROR(MATCH($H3468,GradeList,0),0))</f>
        <v>0</v>
      </c>
      <c r="O3468" s="64" t="n">
        <f aca="false">IF(OR($I3468="",$I3468="NR"),0,IFERROR(MATCH($I3468,GradeList,0),0))</f>
        <v>0</v>
      </c>
      <c r="P3468" s="64" t="n">
        <f aca="false">IF(AND($M3468&gt;0,ISNUMBER(MATCH($F3468,Lists!$A$2:$A$5,0)),ISNUMBER(MATCH($G3468,Lists!$B$2:$B$7,0)),OR($H3468="",$N3468&gt;0),OR($I3468="",$I3468="NR",$O3468&gt;0),IF(ISNUMBER($J3468),AND($J3468&gt;=0,$J3468=INT($J3468)),FALSE())),$J3468,0)</f>
        <v>0</v>
      </c>
      <c r="Q3468" s="64" t="n">
        <f aca="false">IF(AND($P3468&gt;0,$O3468&gt;0),$P3468,0)</f>
        <v>0</v>
      </c>
      <c r="R3468" s="64" t="n">
        <f aca="false">IF(AND($Q3468&gt;0,$O3468&gt;=AtRank),$Q3468,0)</f>
        <v>0</v>
      </c>
      <c r="S3468" s="64" t="n">
        <f aca="false">IF(AND($Q3468&gt;0,$O3468&gt;=AboveRank),$Q3468,0)</f>
        <v>0</v>
      </c>
      <c r="T3468" s="64" t="n">
        <f aca="false">IF($K3468="Less",$P3468,0)</f>
        <v>0</v>
      </c>
      <c r="U3468" s="64" t="n">
        <f aca="false">IF($K3468="Expected",$P3468,0)</f>
        <v>0</v>
      </c>
      <c r="V3468" s="64" t="n">
        <f aca="false">IF($K3468="Better",$P3468,0)</f>
        <v>0</v>
      </c>
      <c r="W3468" s="64" t="n">
        <f aca="false">IF($K3468="U – needs rule",$P3468,0)</f>
        <v>0</v>
      </c>
      <c r="X3468" s="64" t="n">
        <f aca="false">IF($K3468="No Start (attainment only)",$P3468,0)</f>
        <v>0</v>
      </c>
    </row>
    <row r="3469" customFormat="false" ht="15" hidden="false" customHeight="false" outlineLevel="0" collapsed="false">
      <c r="A3469" s="60"/>
      <c r="B3469" s="61" t="str">
        <f aca="false">IF($M3469=0,"",INDEX(Classes!$E$6:$E$420,$M3469))</f>
        <v/>
      </c>
      <c r="C3469" s="62" t="str">
        <f aca="false">IF($M3469=0,"",INDEX(Classes!$H$6:$H$420,$M3469))</f>
        <v/>
      </c>
      <c r="D3469" s="61" t="str">
        <f aca="false">IF($M3469=0,"",INDEX(Classes!$B$6:$B$420,$M3469))</f>
        <v/>
      </c>
      <c r="E3469" s="61" t="str">
        <f aca="false">IF($M3469=0,"",INDEX(Classes!$C$6:$C$420,$M3469))</f>
        <v/>
      </c>
      <c r="F3469" s="63"/>
      <c r="G3469" s="63"/>
      <c r="H3469" s="60"/>
      <c r="I3469" s="60"/>
      <c r="J3469" s="63"/>
      <c r="K3469" s="61" t="str">
        <f aca="false">IF($P3469=0,"",IF($F3469="Baseline","— Baseline",IF($O3469=0,"No result",IF($N3469=0,"No Start (attainment only)",IF(OR($N3469=1,$O3469=1),"U – needs rule",INDEX(MxBody,MATCH($I3469,MxCurr,0),MATCH($H3469,MxStart,0)))))))</f>
        <v/>
      </c>
      <c r="L3469" s="62" t="str">
        <f aca="false">IF(COUNTA($A3469,$F3469,$G3469,$H3469,$I3469,$J3469)=0,"",IF($M3469=0,"✖ كود الصف غير موجود",IF(ISNA(MATCH($F3469,Lists!$A$2:$A$5,0)),"✖ الفترة غير صحيحة",IF(ISNA(MATCH($G3469,Lists!$B$2:$B$7,0)),"✖ المجموعة غير صحيحة",IF(NOT(OR($H3469="",$N3469&gt;0)),"✖ Start غير صحيح",IF(NOT(OR($I3469="",$I3469="NR",$O3469&gt;0)),"✖ Current غير صحيح",IF(NOT(IF(ISNUMBER($J3469),AND($J3469&gt;=0,$J3469=INT($J3469)),FALSE())),"✖ العدد يجب أن يكون صحيحًا ≥ 0",IF(AND($F3469="Baseline",$H3469&lt;&gt;""),"⚠ Baseline: Start لا يدخل في التقدم",IF($K3469="No Start (attainment only)","ℹ تحصيل فقط (بدون Start)",IF($K3469="U – needs rule","ℹ حالة U تحتاج قاعدة معتمدة",IF($K3469="No result","ℹ بدون نتيجة (يُستبعد من التحصيل)","OK")))))))))))</f>
        <v/>
      </c>
      <c r="M3469" s="64" t="n">
        <f aca="false">IF($A3469="",0,IFERROR(MATCH($A3469,Classes!$A$6:$A$420,0),0))</f>
        <v>0</v>
      </c>
      <c r="N3469" s="64" t="n">
        <f aca="false">IF($H3469="",0,IFERROR(MATCH($H3469,GradeList,0),0))</f>
        <v>0</v>
      </c>
      <c r="O3469" s="64" t="n">
        <f aca="false">IF(OR($I3469="",$I3469="NR"),0,IFERROR(MATCH($I3469,GradeList,0),0))</f>
        <v>0</v>
      </c>
      <c r="P3469" s="64" t="n">
        <f aca="false">IF(AND($M3469&gt;0,ISNUMBER(MATCH($F3469,Lists!$A$2:$A$5,0)),ISNUMBER(MATCH($G3469,Lists!$B$2:$B$7,0)),OR($H3469="",$N3469&gt;0),OR($I3469="",$I3469="NR",$O3469&gt;0),IF(ISNUMBER($J3469),AND($J3469&gt;=0,$J3469=INT($J3469)),FALSE())),$J3469,0)</f>
        <v>0</v>
      </c>
      <c r="Q3469" s="64" t="n">
        <f aca="false">IF(AND($P3469&gt;0,$O3469&gt;0),$P3469,0)</f>
        <v>0</v>
      </c>
      <c r="R3469" s="64" t="n">
        <f aca="false">IF(AND($Q3469&gt;0,$O3469&gt;=AtRank),$Q3469,0)</f>
        <v>0</v>
      </c>
      <c r="S3469" s="64" t="n">
        <f aca="false">IF(AND($Q3469&gt;0,$O3469&gt;=AboveRank),$Q3469,0)</f>
        <v>0</v>
      </c>
      <c r="T3469" s="64" t="n">
        <f aca="false">IF($K3469="Less",$P3469,0)</f>
        <v>0</v>
      </c>
      <c r="U3469" s="64" t="n">
        <f aca="false">IF($K3469="Expected",$P3469,0)</f>
        <v>0</v>
      </c>
      <c r="V3469" s="64" t="n">
        <f aca="false">IF($K3469="Better",$P3469,0)</f>
        <v>0</v>
      </c>
      <c r="W3469" s="64" t="n">
        <f aca="false">IF($K3469="U – needs rule",$P3469,0)</f>
        <v>0</v>
      </c>
      <c r="X3469" s="64" t="n">
        <f aca="false">IF($K3469="No Start (attainment only)",$P3469,0)</f>
        <v>0</v>
      </c>
    </row>
    <row r="3470" customFormat="false" ht="15" hidden="false" customHeight="false" outlineLevel="0" collapsed="false">
      <c r="A3470" s="60"/>
      <c r="B3470" s="61" t="str">
        <f aca="false">IF($M3470=0,"",INDEX(Classes!$E$6:$E$420,$M3470))</f>
        <v/>
      </c>
      <c r="C3470" s="62" t="str">
        <f aca="false">IF($M3470=0,"",INDEX(Classes!$H$6:$H$420,$M3470))</f>
        <v/>
      </c>
      <c r="D3470" s="61" t="str">
        <f aca="false">IF($M3470=0,"",INDEX(Classes!$B$6:$B$420,$M3470))</f>
        <v/>
      </c>
      <c r="E3470" s="61" t="str">
        <f aca="false">IF($M3470=0,"",INDEX(Classes!$C$6:$C$420,$M3470))</f>
        <v/>
      </c>
      <c r="F3470" s="63"/>
      <c r="G3470" s="63"/>
      <c r="H3470" s="60"/>
      <c r="I3470" s="60"/>
      <c r="J3470" s="63"/>
      <c r="K3470" s="61" t="str">
        <f aca="false">IF($P3470=0,"",IF($F3470="Baseline","— Baseline",IF($O3470=0,"No result",IF($N3470=0,"No Start (attainment only)",IF(OR($N3470=1,$O3470=1),"U – needs rule",INDEX(MxBody,MATCH($I3470,MxCurr,0),MATCH($H3470,MxStart,0)))))))</f>
        <v/>
      </c>
      <c r="L3470" s="62" t="str">
        <f aca="false">IF(COUNTA($A3470,$F3470,$G3470,$H3470,$I3470,$J3470)=0,"",IF($M3470=0,"✖ كود الصف غير موجود",IF(ISNA(MATCH($F3470,Lists!$A$2:$A$5,0)),"✖ الفترة غير صحيحة",IF(ISNA(MATCH($G3470,Lists!$B$2:$B$7,0)),"✖ المجموعة غير صحيحة",IF(NOT(OR($H3470="",$N3470&gt;0)),"✖ Start غير صحيح",IF(NOT(OR($I3470="",$I3470="NR",$O3470&gt;0)),"✖ Current غير صحيح",IF(NOT(IF(ISNUMBER($J3470),AND($J3470&gt;=0,$J3470=INT($J3470)),FALSE())),"✖ العدد يجب أن يكون صحيحًا ≥ 0",IF(AND($F3470="Baseline",$H3470&lt;&gt;""),"⚠ Baseline: Start لا يدخل في التقدم",IF($K3470="No Start (attainment only)","ℹ تحصيل فقط (بدون Start)",IF($K3470="U – needs rule","ℹ حالة U تحتاج قاعدة معتمدة",IF($K3470="No result","ℹ بدون نتيجة (يُستبعد من التحصيل)","OK")))))))))))</f>
        <v/>
      </c>
      <c r="M3470" s="64" t="n">
        <f aca="false">IF($A3470="",0,IFERROR(MATCH($A3470,Classes!$A$6:$A$420,0),0))</f>
        <v>0</v>
      </c>
      <c r="N3470" s="64" t="n">
        <f aca="false">IF($H3470="",0,IFERROR(MATCH($H3470,GradeList,0),0))</f>
        <v>0</v>
      </c>
      <c r="O3470" s="64" t="n">
        <f aca="false">IF(OR($I3470="",$I3470="NR"),0,IFERROR(MATCH($I3470,GradeList,0),0))</f>
        <v>0</v>
      </c>
      <c r="P3470" s="64" t="n">
        <f aca="false">IF(AND($M3470&gt;0,ISNUMBER(MATCH($F3470,Lists!$A$2:$A$5,0)),ISNUMBER(MATCH($G3470,Lists!$B$2:$B$7,0)),OR($H3470="",$N3470&gt;0),OR($I3470="",$I3470="NR",$O3470&gt;0),IF(ISNUMBER($J3470),AND($J3470&gt;=0,$J3470=INT($J3470)),FALSE())),$J3470,0)</f>
        <v>0</v>
      </c>
      <c r="Q3470" s="64" t="n">
        <f aca="false">IF(AND($P3470&gt;0,$O3470&gt;0),$P3470,0)</f>
        <v>0</v>
      </c>
      <c r="R3470" s="64" t="n">
        <f aca="false">IF(AND($Q3470&gt;0,$O3470&gt;=AtRank),$Q3470,0)</f>
        <v>0</v>
      </c>
      <c r="S3470" s="64" t="n">
        <f aca="false">IF(AND($Q3470&gt;0,$O3470&gt;=AboveRank),$Q3470,0)</f>
        <v>0</v>
      </c>
      <c r="T3470" s="64" t="n">
        <f aca="false">IF($K3470="Less",$P3470,0)</f>
        <v>0</v>
      </c>
      <c r="U3470" s="64" t="n">
        <f aca="false">IF($K3470="Expected",$P3470,0)</f>
        <v>0</v>
      </c>
      <c r="V3470" s="64" t="n">
        <f aca="false">IF($K3470="Better",$P3470,0)</f>
        <v>0</v>
      </c>
      <c r="W3470" s="64" t="n">
        <f aca="false">IF($K3470="U – needs rule",$P3470,0)</f>
        <v>0</v>
      </c>
      <c r="X3470" s="64" t="n">
        <f aca="false">IF($K3470="No Start (attainment only)",$P3470,0)</f>
        <v>0</v>
      </c>
    </row>
    <row r="3471" customFormat="false" ht="15" hidden="false" customHeight="false" outlineLevel="0" collapsed="false">
      <c r="A3471" s="60"/>
      <c r="B3471" s="61" t="str">
        <f aca="false">IF($M3471=0,"",INDEX(Classes!$E$6:$E$420,$M3471))</f>
        <v/>
      </c>
      <c r="C3471" s="62" t="str">
        <f aca="false">IF($M3471=0,"",INDEX(Classes!$H$6:$H$420,$M3471))</f>
        <v/>
      </c>
      <c r="D3471" s="61" t="str">
        <f aca="false">IF($M3471=0,"",INDEX(Classes!$B$6:$B$420,$M3471))</f>
        <v/>
      </c>
      <c r="E3471" s="61" t="str">
        <f aca="false">IF($M3471=0,"",INDEX(Classes!$C$6:$C$420,$M3471))</f>
        <v/>
      </c>
      <c r="F3471" s="63"/>
      <c r="G3471" s="63"/>
      <c r="H3471" s="60"/>
      <c r="I3471" s="60"/>
      <c r="J3471" s="63"/>
      <c r="K3471" s="61" t="str">
        <f aca="false">IF($P3471=0,"",IF($F3471="Baseline","— Baseline",IF($O3471=0,"No result",IF($N3471=0,"No Start (attainment only)",IF(OR($N3471=1,$O3471=1),"U – needs rule",INDEX(MxBody,MATCH($I3471,MxCurr,0),MATCH($H3471,MxStart,0)))))))</f>
        <v/>
      </c>
      <c r="L3471" s="62" t="str">
        <f aca="false">IF(COUNTA($A3471,$F3471,$G3471,$H3471,$I3471,$J3471)=0,"",IF($M3471=0,"✖ كود الصف غير موجود",IF(ISNA(MATCH($F3471,Lists!$A$2:$A$5,0)),"✖ الفترة غير صحيحة",IF(ISNA(MATCH($G3471,Lists!$B$2:$B$7,0)),"✖ المجموعة غير صحيحة",IF(NOT(OR($H3471="",$N3471&gt;0)),"✖ Start غير صحيح",IF(NOT(OR($I3471="",$I3471="NR",$O3471&gt;0)),"✖ Current غير صحيح",IF(NOT(IF(ISNUMBER($J3471),AND($J3471&gt;=0,$J3471=INT($J3471)),FALSE())),"✖ العدد يجب أن يكون صحيحًا ≥ 0",IF(AND($F3471="Baseline",$H3471&lt;&gt;""),"⚠ Baseline: Start لا يدخل في التقدم",IF($K3471="No Start (attainment only)","ℹ تحصيل فقط (بدون Start)",IF($K3471="U – needs rule","ℹ حالة U تحتاج قاعدة معتمدة",IF($K3471="No result","ℹ بدون نتيجة (يُستبعد من التحصيل)","OK")))))))))))</f>
        <v/>
      </c>
      <c r="M3471" s="64" t="n">
        <f aca="false">IF($A3471="",0,IFERROR(MATCH($A3471,Classes!$A$6:$A$420,0),0))</f>
        <v>0</v>
      </c>
      <c r="N3471" s="64" t="n">
        <f aca="false">IF($H3471="",0,IFERROR(MATCH($H3471,GradeList,0),0))</f>
        <v>0</v>
      </c>
      <c r="O3471" s="64" t="n">
        <f aca="false">IF(OR($I3471="",$I3471="NR"),0,IFERROR(MATCH($I3471,GradeList,0),0))</f>
        <v>0</v>
      </c>
      <c r="P3471" s="64" t="n">
        <f aca="false">IF(AND($M3471&gt;0,ISNUMBER(MATCH($F3471,Lists!$A$2:$A$5,0)),ISNUMBER(MATCH($G3471,Lists!$B$2:$B$7,0)),OR($H3471="",$N3471&gt;0),OR($I3471="",$I3471="NR",$O3471&gt;0),IF(ISNUMBER($J3471),AND($J3471&gt;=0,$J3471=INT($J3471)),FALSE())),$J3471,0)</f>
        <v>0</v>
      </c>
      <c r="Q3471" s="64" t="n">
        <f aca="false">IF(AND($P3471&gt;0,$O3471&gt;0),$P3471,0)</f>
        <v>0</v>
      </c>
      <c r="R3471" s="64" t="n">
        <f aca="false">IF(AND($Q3471&gt;0,$O3471&gt;=AtRank),$Q3471,0)</f>
        <v>0</v>
      </c>
      <c r="S3471" s="64" t="n">
        <f aca="false">IF(AND($Q3471&gt;0,$O3471&gt;=AboveRank),$Q3471,0)</f>
        <v>0</v>
      </c>
      <c r="T3471" s="64" t="n">
        <f aca="false">IF($K3471="Less",$P3471,0)</f>
        <v>0</v>
      </c>
      <c r="U3471" s="64" t="n">
        <f aca="false">IF($K3471="Expected",$P3471,0)</f>
        <v>0</v>
      </c>
      <c r="V3471" s="64" t="n">
        <f aca="false">IF($K3471="Better",$P3471,0)</f>
        <v>0</v>
      </c>
      <c r="W3471" s="64" t="n">
        <f aca="false">IF($K3471="U – needs rule",$P3471,0)</f>
        <v>0</v>
      </c>
      <c r="X3471" s="64" t="n">
        <f aca="false">IF($K3471="No Start (attainment only)",$P3471,0)</f>
        <v>0</v>
      </c>
    </row>
    <row r="3472" customFormat="false" ht="15" hidden="false" customHeight="false" outlineLevel="0" collapsed="false">
      <c r="A3472" s="60"/>
      <c r="B3472" s="61" t="str">
        <f aca="false">IF($M3472=0,"",INDEX(Classes!$E$6:$E$420,$M3472))</f>
        <v/>
      </c>
      <c r="C3472" s="62" t="str">
        <f aca="false">IF($M3472=0,"",INDEX(Classes!$H$6:$H$420,$M3472))</f>
        <v/>
      </c>
      <c r="D3472" s="61" t="str">
        <f aca="false">IF($M3472=0,"",INDEX(Classes!$B$6:$B$420,$M3472))</f>
        <v/>
      </c>
      <c r="E3472" s="61" t="str">
        <f aca="false">IF($M3472=0,"",INDEX(Classes!$C$6:$C$420,$M3472))</f>
        <v/>
      </c>
      <c r="F3472" s="63"/>
      <c r="G3472" s="63"/>
      <c r="H3472" s="60"/>
      <c r="I3472" s="60"/>
      <c r="J3472" s="63"/>
      <c r="K3472" s="61" t="str">
        <f aca="false">IF($P3472=0,"",IF($F3472="Baseline","— Baseline",IF($O3472=0,"No result",IF($N3472=0,"No Start (attainment only)",IF(OR($N3472=1,$O3472=1),"U – needs rule",INDEX(MxBody,MATCH($I3472,MxCurr,0),MATCH($H3472,MxStart,0)))))))</f>
        <v/>
      </c>
      <c r="L3472" s="62" t="str">
        <f aca="false">IF(COUNTA($A3472,$F3472,$G3472,$H3472,$I3472,$J3472)=0,"",IF($M3472=0,"✖ كود الصف غير موجود",IF(ISNA(MATCH($F3472,Lists!$A$2:$A$5,0)),"✖ الفترة غير صحيحة",IF(ISNA(MATCH($G3472,Lists!$B$2:$B$7,0)),"✖ المجموعة غير صحيحة",IF(NOT(OR($H3472="",$N3472&gt;0)),"✖ Start غير صحيح",IF(NOT(OR($I3472="",$I3472="NR",$O3472&gt;0)),"✖ Current غير صحيح",IF(NOT(IF(ISNUMBER($J3472),AND($J3472&gt;=0,$J3472=INT($J3472)),FALSE())),"✖ العدد يجب أن يكون صحيحًا ≥ 0",IF(AND($F3472="Baseline",$H3472&lt;&gt;""),"⚠ Baseline: Start لا يدخل في التقدم",IF($K3472="No Start (attainment only)","ℹ تحصيل فقط (بدون Start)",IF($K3472="U – needs rule","ℹ حالة U تحتاج قاعدة معتمدة",IF($K3472="No result","ℹ بدون نتيجة (يُستبعد من التحصيل)","OK")))))))))))</f>
        <v/>
      </c>
      <c r="M3472" s="64" t="n">
        <f aca="false">IF($A3472="",0,IFERROR(MATCH($A3472,Classes!$A$6:$A$420,0),0))</f>
        <v>0</v>
      </c>
      <c r="N3472" s="64" t="n">
        <f aca="false">IF($H3472="",0,IFERROR(MATCH($H3472,GradeList,0),0))</f>
        <v>0</v>
      </c>
      <c r="O3472" s="64" t="n">
        <f aca="false">IF(OR($I3472="",$I3472="NR"),0,IFERROR(MATCH($I3472,GradeList,0),0))</f>
        <v>0</v>
      </c>
      <c r="P3472" s="64" t="n">
        <f aca="false">IF(AND($M3472&gt;0,ISNUMBER(MATCH($F3472,Lists!$A$2:$A$5,0)),ISNUMBER(MATCH($G3472,Lists!$B$2:$B$7,0)),OR($H3472="",$N3472&gt;0),OR($I3472="",$I3472="NR",$O3472&gt;0),IF(ISNUMBER($J3472),AND($J3472&gt;=0,$J3472=INT($J3472)),FALSE())),$J3472,0)</f>
        <v>0</v>
      </c>
      <c r="Q3472" s="64" t="n">
        <f aca="false">IF(AND($P3472&gt;0,$O3472&gt;0),$P3472,0)</f>
        <v>0</v>
      </c>
      <c r="R3472" s="64" t="n">
        <f aca="false">IF(AND($Q3472&gt;0,$O3472&gt;=AtRank),$Q3472,0)</f>
        <v>0</v>
      </c>
      <c r="S3472" s="64" t="n">
        <f aca="false">IF(AND($Q3472&gt;0,$O3472&gt;=AboveRank),$Q3472,0)</f>
        <v>0</v>
      </c>
      <c r="T3472" s="64" t="n">
        <f aca="false">IF($K3472="Less",$P3472,0)</f>
        <v>0</v>
      </c>
      <c r="U3472" s="64" t="n">
        <f aca="false">IF($K3472="Expected",$P3472,0)</f>
        <v>0</v>
      </c>
      <c r="V3472" s="64" t="n">
        <f aca="false">IF($K3472="Better",$P3472,0)</f>
        <v>0</v>
      </c>
      <c r="W3472" s="64" t="n">
        <f aca="false">IF($K3472="U – needs rule",$P3472,0)</f>
        <v>0</v>
      </c>
      <c r="X3472" s="64" t="n">
        <f aca="false">IF($K3472="No Start (attainment only)",$P3472,0)</f>
        <v>0</v>
      </c>
    </row>
    <row r="3473" customFormat="false" ht="15" hidden="false" customHeight="false" outlineLevel="0" collapsed="false">
      <c r="A3473" s="60"/>
      <c r="B3473" s="61" t="str">
        <f aca="false">IF($M3473=0,"",INDEX(Classes!$E$6:$E$420,$M3473))</f>
        <v/>
      </c>
      <c r="C3473" s="62" t="str">
        <f aca="false">IF($M3473=0,"",INDEX(Classes!$H$6:$H$420,$M3473))</f>
        <v/>
      </c>
      <c r="D3473" s="61" t="str">
        <f aca="false">IF($M3473=0,"",INDEX(Classes!$B$6:$B$420,$M3473))</f>
        <v/>
      </c>
      <c r="E3473" s="61" t="str">
        <f aca="false">IF($M3473=0,"",INDEX(Classes!$C$6:$C$420,$M3473))</f>
        <v/>
      </c>
      <c r="F3473" s="63"/>
      <c r="G3473" s="63"/>
      <c r="H3473" s="60"/>
      <c r="I3473" s="60"/>
      <c r="J3473" s="63"/>
      <c r="K3473" s="61" t="str">
        <f aca="false">IF($P3473=0,"",IF($F3473="Baseline","— Baseline",IF($O3473=0,"No result",IF($N3473=0,"No Start (attainment only)",IF(OR($N3473=1,$O3473=1),"U – needs rule",INDEX(MxBody,MATCH($I3473,MxCurr,0),MATCH($H3473,MxStart,0)))))))</f>
        <v/>
      </c>
      <c r="L3473" s="62" t="str">
        <f aca="false">IF(COUNTA($A3473,$F3473,$G3473,$H3473,$I3473,$J3473)=0,"",IF($M3473=0,"✖ كود الصف غير موجود",IF(ISNA(MATCH($F3473,Lists!$A$2:$A$5,0)),"✖ الفترة غير صحيحة",IF(ISNA(MATCH($G3473,Lists!$B$2:$B$7,0)),"✖ المجموعة غير صحيحة",IF(NOT(OR($H3473="",$N3473&gt;0)),"✖ Start غير صحيح",IF(NOT(OR($I3473="",$I3473="NR",$O3473&gt;0)),"✖ Current غير صحيح",IF(NOT(IF(ISNUMBER($J3473),AND($J3473&gt;=0,$J3473=INT($J3473)),FALSE())),"✖ العدد يجب أن يكون صحيحًا ≥ 0",IF(AND($F3473="Baseline",$H3473&lt;&gt;""),"⚠ Baseline: Start لا يدخل في التقدم",IF($K3473="No Start (attainment only)","ℹ تحصيل فقط (بدون Start)",IF($K3473="U – needs rule","ℹ حالة U تحتاج قاعدة معتمدة",IF($K3473="No result","ℹ بدون نتيجة (يُستبعد من التحصيل)","OK")))))))))))</f>
        <v/>
      </c>
      <c r="M3473" s="64" t="n">
        <f aca="false">IF($A3473="",0,IFERROR(MATCH($A3473,Classes!$A$6:$A$420,0),0))</f>
        <v>0</v>
      </c>
      <c r="N3473" s="64" t="n">
        <f aca="false">IF($H3473="",0,IFERROR(MATCH($H3473,GradeList,0),0))</f>
        <v>0</v>
      </c>
      <c r="O3473" s="64" t="n">
        <f aca="false">IF(OR($I3473="",$I3473="NR"),0,IFERROR(MATCH($I3473,GradeList,0),0))</f>
        <v>0</v>
      </c>
      <c r="P3473" s="64" t="n">
        <f aca="false">IF(AND($M3473&gt;0,ISNUMBER(MATCH($F3473,Lists!$A$2:$A$5,0)),ISNUMBER(MATCH($G3473,Lists!$B$2:$B$7,0)),OR($H3473="",$N3473&gt;0),OR($I3473="",$I3473="NR",$O3473&gt;0),IF(ISNUMBER($J3473),AND($J3473&gt;=0,$J3473=INT($J3473)),FALSE())),$J3473,0)</f>
        <v>0</v>
      </c>
      <c r="Q3473" s="64" t="n">
        <f aca="false">IF(AND($P3473&gt;0,$O3473&gt;0),$P3473,0)</f>
        <v>0</v>
      </c>
      <c r="R3473" s="64" t="n">
        <f aca="false">IF(AND($Q3473&gt;0,$O3473&gt;=AtRank),$Q3473,0)</f>
        <v>0</v>
      </c>
      <c r="S3473" s="64" t="n">
        <f aca="false">IF(AND($Q3473&gt;0,$O3473&gt;=AboveRank),$Q3473,0)</f>
        <v>0</v>
      </c>
      <c r="T3473" s="64" t="n">
        <f aca="false">IF($K3473="Less",$P3473,0)</f>
        <v>0</v>
      </c>
      <c r="U3473" s="64" t="n">
        <f aca="false">IF($K3473="Expected",$P3473,0)</f>
        <v>0</v>
      </c>
      <c r="V3473" s="64" t="n">
        <f aca="false">IF($K3473="Better",$P3473,0)</f>
        <v>0</v>
      </c>
      <c r="W3473" s="64" t="n">
        <f aca="false">IF($K3473="U – needs rule",$P3473,0)</f>
        <v>0</v>
      </c>
      <c r="X3473" s="64" t="n">
        <f aca="false">IF($K3473="No Start (attainment only)",$P3473,0)</f>
        <v>0</v>
      </c>
    </row>
    <row r="3474" customFormat="false" ht="15" hidden="false" customHeight="false" outlineLevel="0" collapsed="false">
      <c r="A3474" s="60"/>
      <c r="B3474" s="61" t="str">
        <f aca="false">IF($M3474=0,"",INDEX(Classes!$E$6:$E$420,$M3474))</f>
        <v/>
      </c>
      <c r="C3474" s="62" t="str">
        <f aca="false">IF($M3474=0,"",INDEX(Classes!$H$6:$H$420,$M3474))</f>
        <v/>
      </c>
      <c r="D3474" s="61" t="str">
        <f aca="false">IF($M3474=0,"",INDEX(Classes!$B$6:$B$420,$M3474))</f>
        <v/>
      </c>
      <c r="E3474" s="61" t="str">
        <f aca="false">IF($M3474=0,"",INDEX(Classes!$C$6:$C$420,$M3474))</f>
        <v/>
      </c>
      <c r="F3474" s="63"/>
      <c r="G3474" s="63"/>
      <c r="H3474" s="60"/>
      <c r="I3474" s="60"/>
      <c r="J3474" s="63"/>
      <c r="K3474" s="61" t="str">
        <f aca="false">IF($P3474=0,"",IF($F3474="Baseline","— Baseline",IF($O3474=0,"No result",IF($N3474=0,"No Start (attainment only)",IF(OR($N3474=1,$O3474=1),"U – needs rule",INDEX(MxBody,MATCH($I3474,MxCurr,0),MATCH($H3474,MxStart,0)))))))</f>
        <v/>
      </c>
      <c r="L3474" s="62" t="str">
        <f aca="false">IF(COUNTA($A3474,$F3474,$G3474,$H3474,$I3474,$J3474)=0,"",IF($M3474=0,"✖ كود الصف غير موجود",IF(ISNA(MATCH($F3474,Lists!$A$2:$A$5,0)),"✖ الفترة غير صحيحة",IF(ISNA(MATCH($G3474,Lists!$B$2:$B$7,0)),"✖ المجموعة غير صحيحة",IF(NOT(OR($H3474="",$N3474&gt;0)),"✖ Start غير صحيح",IF(NOT(OR($I3474="",$I3474="NR",$O3474&gt;0)),"✖ Current غير صحيح",IF(NOT(IF(ISNUMBER($J3474),AND($J3474&gt;=0,$J3474=INT($J3474)),FALSE())),"✖ العدد يجب أن يكون صحيحًا ≥ 0",IF(AND($F3474="Baseline",$H3474&lt;&gt;""),"⚠ Baseline: Start لا يدخل في التقدم",IF($K3474="No Start (attainment only)","ℹ تحصيل فقط (بدون Start)",IF($K3474="U – needs rule","ℹ حالة U تحتاج قاعدة معتمدة",IF($K3474="No result","ℹ بدون نتيجة (يُستبعد من التحصيل)","OK")))))))))))</f>
        <v/>
      </c>
      <c r="M3474" s="64" t="n">
        <f aca="false">IF($A3474="",0,IFERROR(MATCH($A3474,Classes!$A$6:$A$420,0),0))</f>
        <v>0</v>
      </c>
      <c r="N3474" s="64" t="n">
        <f aca="false">IF($H3474="",0,IFERROR(MATCH($H3474,GradeList,0),0))</f>
        <v>0</v>
      </c>
      <c r="O3474" s="64" t="n">
        <f aca="false">IF(OR($I3474="",$I3474="NR"),0,IFERROR(MATCH($I3474,GradeList,0),0))</f>
        <v>0</v>
      </c>
      <c r="P3474" s="64" t="n">
        <f aca="false">IF(AND($M3474&gt;0,ISNUMBER(MATCH($F3474,Lists!$A$2:$A$5,0)),ISNUMBER(MATCH($G3474,Lists!$B$2:$B$7,0)),OR($H3474="",$N3474&gt;0),OR($I3474="",$I3474="NR",$O3474&gt;0),IF(ISNUMBER($J3474),AND($J3474&gt;=0,$J3474=INT($J3474)),FALSE())),$J3474,0)</f>
        <v>0</v>
      </c>
      <c r="Q3474" s="64" t="n">
        <f aca="false">IF(AND($P3474&gt;0,$O3474&gt;0),$P3474,0)</f>
        <v>0</v>
      </c>
      <c r="R3474" s="64" t="n">
        <f aca="false">IF(AND($Q3474&gt;0,$O3474&gt;=AtRank),$Q3474,0)</f>
        <v>0</v>
      </c>
      <c r="S3474" s="64" t="n">
        <f aca="false">IF(AND($Q3474&gt;0,$O3474&gt;=AboveRank),$Q3474,0)</f>
        <v>0</v>
      </c>
      <c r="T3474" s="64" t="n">
        <f aca="false">IF($K3474="Less",$P3474,0)</f>
        <v>0</v>
      </c>
      <c r="U3474" s="64" t="n">
        <f aca="false">IF($K3474="Expected",$P3474,0)</f>
        <v>0</v>
      </c>
      <c r="V3474" s="64" t="n">
        <f aca="false">IF($K3474="Better",$P3474,0)</f>
        <v>0</v>
      </c>
      <c r="W3474" s="64" t="n">
        <f aca="false">IF($K3474="U – needs rule",$P3474,0)</f>
        <v>0</v>
      </c>
      <c r="X3474" s="64" t="n">
        <f aca="false">IF($K3474="No Start (attainment only)",$P3474,0)</f>
        <v>0</v>
      </c>
    </row>
    <row r="3475" customFormat="false" ht="15" hidden="false" customHeight="false" outlineLevel="0" collapsed="false">
      <c r="A3475" s="60"/>
      <c r="B3475" s="61" t="str">
        <f aca="false">IF($M3475=0,"",INDEX(Classes!$E$6:$E$420,$M3475))</f>
        <v/>
      </c>
      <c r="C3475" s="62" t="str">
        <f aca="false">IF($M3475=0,"",INDEX(Classes!$H$6:$H$420,$M3475))</f>
        <v/>
      </c>
      <c r="D3475" s="61" t="str">
        <f aca="false">IF($M3475=0,"",INDEX(Classes!$B$6:$B$420,$M3475))</f>
        <v/>
      </c>
      <c r="E3475" s="61" t="str">
        <f aca="false">IF($M3475=0,"",INDEX(Classes!$C$6:$C$420,$M3475))</f>
        <v/>
      </c>
      <c r="F3475" s="63"/>
      <c r="G3475" s="63"/>
      <c r="H3475" s="60"/>
      <c r="I3475" s="60"/>
      <c r="J3475" s="63"/>
      <c r="K3475" s="61" t="str">
        <f aca="false">IF($P3475=0,"",IF($F3475="Baseline","— Baseline",IF($O3475=0,"No result",IF($N3475=0,"No Start (attainment only)",IF(OR($N3475=1,$O3475=1),"U – needs rule",INDEX(MxBody,MATCH($I3475,MxCurr,0),MATCH($H3475,MxStart,0)))))))</f>
        <v/>
      </c>
      <c r="L3475" s="62" t="str">
        <f aca="false">IF(COUNTA($A3475,$F3475,$G3475,$H3475,$I3475,$J3475)=0,"",IF($M3475=0,"✖ كود الصف غير موجود",IF(ISNA(MATCH($F3475,Lists!$A$2:$A$5,0)),"✖ الفترة غير صحيحة",IF(ISNA(MATCH($G3475,Lists!$B$2:$B$7,0)),"✖ المجموعة غير صحيحة",IF(NOT(OR($H3475="",$N3475&gt;0)),"✖ Start غير صحيح",IF(NOT(OR($I3475="",$I3475="NR",$O3475&gt;0)),"✖ Current غير صحيح",IF(NOT(IF(ISNUMBER($J3475),AND($J3475&gt;=0,$J3475=INT($J3475)),FALSE())),"✖ العدد يجب أن يكون صحيحًا ≥ 0",IF(AND($F3475="Baseline",$H3475&lt;&gt;""),"⚠ Baseline: Start لا يدخل في التقدم",IF($K3475="No Start (attainment only)","ℹ تحصيل فقط (بدون Start)",IF($K3475="U – needs rule","ℹ حالة U تحتاج قاعدة معتمدة",IF($K3475="No result","ℹ بدون نتيجة (يُستبعد من التحصيل)","OK")))))))))))</f>
        <v/>
      </c>
      <c r="M3475" s="64" t="n">
        <f aca="false">IF($A3475="",0,IFERROR(MATCH($A3475,Classes!$A$6:$A$420,0),0))</f>
        <v>0</v>
      </c>
      <c r="N3475" s="64" t="n">
        <f aca="false">IF($H3475="",0,IFERROR(MATCH($H3475,GradeList,0),0))</f>
        <v>0</v>
      </c>
      <c r="O3475" s="64" t="n">
        <f aca="false">IF(OR($I3475="",$I3475="NR"),0,IFERROR(MATCH($I3475,GradeList,0),0))</f>
        <v>0</v>
      </c>
      <c r="P3475" s="64" t="n">
        <f aca="false">IF(AND($M3475&gt;0,ISNUMBER(MATCH($F3475,Lists!$A$2:$A$5,0)),ISNUMBER(MATCH($G3475,Lists!$B$2:$B$7,0)),OR($H3475="",$N3475&gt;0),OR($I3475="",$I3475="NR",$O3475&gt;0),IF(ISNUMBER($J3475),AND($J3475&gt;=0,$J3475=INT($J3475)),FALSE())),$J3475,0)</f>
        <v>0</v>
      </c>
      <c r="Q3475" s="64" t="n">
        <f aca="false">IF(AND($P3475&gt;0,$O3475&gt;0),$P3475,0)</f>
        <v>0</v>
      </c>
      <c r="R3475" s="64" t="n">
        <f aca="false">IF(AND($Q3475&gt;0,$O3475&gt;=AtRank),$Q3475,0)</f>
        <v>0</v>
      </c>
      <c r="S3475" s="64" t="n">
        <f aca="false">IF(AND($Q3475&gt;0,$O3475&gt;=AboveRank),$Q3475,0)</f>
        <v>0</v>
      </c>
      <c r="T3475" s="64" t="n">
        <f aca="false">IF($K3475="Less",$P3475,0)</f>
        <v>0</v>
      </c>
      <c r="U3475" s="64" t="n">
        <f aca="false">IF($K3475="Expected",$P3475,0)</f>
        <v>0</v>
      </c>
      <c r="V3475" s="64" t="n">
        <f aca="false">IF($K3475="Better",$P3475,0)</f>
        <v>0</v>
      </c>
      <c r="W3475" s="64" t="n">
        <f aca="false">IF($K3475="U – needs rule",$P3475,0)</f>
        <v>0</v>
      </c>
      <c r="X3475" s="64" t="n">
        <f aca="false">IF($K3475="No Start (attainment only)",$P3475,0)</f>
        <v>0</v>
      </c>
    </row>
    <row r="3476" customFormat="false" ht="15" hidden="false" customHeight="false" outlineLevel="0" collapsed="false">
      <c r="A3476" s="60"/>
      <c r="B3476" s="61" t="str">
        <f aca="false">IF($M3476=0,"",INDEX(Classes!$E$6:$E$420,$M3476))</f>
        <v/>
      </c>
      <c r="C3476" s="62" t="str">
        <f aca="false">IF($M3476=0,"",INDEX(Classes!$H$6:$H$420,$M3476))</f>
        <v/>
      </c>
      <c r="D3476" s="61" t="str">
        <f aca="false">IF($M3476=0,"",INDEX(Classes!$B$6:$B$420,$M3476))</f>
        <v/>
      </c>
      <c r="E3476" s="61" t="str">
        <f aca="false">IF($M3476=0,"",INDEX(Classes!$C$6:$C$420,$M3476))</f>
        <v/>
      </c>
      <c r="F3476" s="63"/>
      <c r="G3476" s="63"/>
      <c r="H3476" s="60"/>
      <c r="I3476" s="60"/>
      <c r="J3476" s="63"/>
      <c r="K3476" s="61" t="str">
        <f aca="false">IF($P3476=0,"",IF($F3476="Baseline","— Baseline",IF($O3476=0,"No result",IF($N3476=0,"No Start (attainment only)",IF(OR($N3476=1,$O3476=1),"U – needs rule",INDEX(MxBody,MATCH($I3476,MxCurr,0),MATCH($H3476,MxStart,0)))))))</f>
        <v/>
      </c>
      <c r="L3476" s="62" t="str">
        <f aca="false">IF(COUNTA($A3476,$F3476,$G3476,$H3476,$I3476,$J3476)=0,"",IF($M3476=0,"✖ كود الصف غير موجود",IF(ISNA(MATCH($F3476,Lists!$A$2:$A$5,0)),"✖ الفترة غير صحيحة",IF(ISNA(MATCH($G3476,Lists!$B$2:$B$7,0)),"✖ المجموعة غير صحيحة",IF(NOT(OR($H3476="",$N3476&gt;0)),"✖ Start غير صحيح",IF(NOT(OR($I3476="",$I3476="NR",$O3476&gt;0)),"✖ Current غير صحيح",IF(NOT(IF(ISNUMBER($J3476),AND($J3476&gt;=0,$J3476=INT($J3476)),FALSE())),"✖ العدد يجب أن يكون صحيحًا ≥ 0",IF(AND($F3476="Baseline",$H3476&lt;&gt;""),"⚠ Baseline: Start لا يدخل في التقدم",IF($K3476="No Start (attainment only)","ℹ تحصيل فقط (بدون Start)",IF($K3476="U – needs rule","ℹ حالة U تحتاج قاعدة معتمدة",IF($K3476="No result","ℹ بدون نتيجة (يُستبعد من التحصيل)","OK")))))))))))</f>
        <v/>
      </c>
      <c r="M3476" s="64" t="n">
        <f aca="false">IF($A3476="",0,IFERROR(MATCH($A3476,Classes!$A$6:$A$420,0),0))</f>
        <v>0</v>
      </c>
      <c r="N3476" s="64" t="n">
        <f aca="false">IF($H3476="",0,IFERROR(MATCH($H3476,GradeList,0),0))</f>
        <v>0</v>
      </c>
      <c r="O3476" s="64" t="n">
        <f aca="false">IF(OR($I3476="",$I3476="NR"),0,IFERROR(MATCH($I3476,GradeList,0),0))</f>
        <v>0</v>
      </c>
      <c r="P3476" s="64" t="n">
        <f aca="false">IF(AND($M3476&gt;0,ISNUMBER(MATCH($F3476,Lists!$A$2:$A$5,0)),ISNUMBER(MATCH($G3476,Lists!$B$2:$B$7,0)),OR($H3476="",$N3476&gt;0),OR($I3476="",$I3476="NR",$O3476&gt;0),IF(ISNUMBER($J3476),AND($J3476&gt;=0,$J3476=INT($J3476)),FALSE())),$J3476,0)</f>
        <v>0</v>
      </c>
      <c r="Q3476" s="64" t="n">
        <f aca="false">IF(AND($P3476&gt;0,$O3476&gt;0),$P3476,0)</f>
        <v>0</v>
      </c>
      <c r="R3476" s="64" t="n">
        <f aca="false">IF(AND($Q3476&gt;0,$O3476&gt;=AtRank),$Q3476,0)</f>
        <v>0</v>
      </c>
      <c r="S3476" s="64" t="n">
        <f aca="false">IF(AND($Q3476&gt;0,$O3476&gt;=AboveRank),$Q3476,0)</f>
        <v>0</v>
      </c>
      <c r="T3476" s="64" t="n">
        <f aca="false">IF($K3476="Less",$P3476,0)</f>
        <v>0</v>
      </c>
      <c r="U3476" s="64" t="n">
        <f aca="false">IF($K3476="Expected",$P3476,0)</f>
        <v>0</v>
      </c>
      <c r="V3476" s="64" t="n">
        <f aca="false">IF($K3476="Better",$P3476,0)</f>
        <v>0</v>
      </c>
      <c r="W3476" s="64" t="n">
        <f aca="false">IF($K3476="U – needs rule",$P3476,0)</f>
        <v>0</v>
      </c>
      <c r="X3476" s="64" t="n">
        <f aca="false">IF($K3476="No Start (attainment only)",$P3476,0)</f>
        <v>0</v>
      </c>
    </row>
    <row r="3477" customFormat="false" ht="15" hidden="false" customHeight="false" outlineLevel="0" collapsed="false">
      <c r="A3477" s="60"/>
      <c r="B3477" s="61" t="str">
        <f aca="false">IF($M3477=0,"",INDEX(Classes!$E$6:$E$420,$M3477))</f>
        <v/>
      </c>
      <c r="C3477" s="62" t="str">
        <f aca="false">IF($M3477=0,"",INDEX(Classes!$H$6:$H$420,$M3477))</f>
        <v/>
      </c>
      <c r="D3477" s="61" t="str">
        <f aca="false">IF($M3477=0,"",INDEX(Classes!$B$6:$B$420,$M3477))</f>
        <v/>
      </c>
      <c r="E3477" s="61" t="str">
        <f aca="false">IF($M3477=0,"",INDEX(Classes!$C$6:$C$420,$M3477))</f>
        <v/>
      </c>
      <c r="F3477" s="63"/>
      <c r="G3477" s="63"/>
      <c r="H3477" s="60"/>
      <c r="I3477" s="60"/>
      <c r="J3477" s="63"/>
      <c r="K3477" s="61" t="str">
        <f aca="false">IF($P3477=0,"",IF($F3477="Baseline","— Baseline",IF($O3477=0,"No result",IF($N3477=0,"No Start (attainment only)",IF(OR($N3477=1,$O3477=1),"U – needs rule",INDEX(MxBody,MATCH($I3477,MxCurr,0),MATCH($H3477,MxStart,0)))))))</f>
        <v/>
      </c>
      <c r="L3477" s="62" t="str">
        <f aca="false">IF(COUNTA($A3477,$F3477,$G3477,$H3477,$I3477,$J3477)=0,"",IF($M3477=0,"✖ كود الصف غير موجود",IF(ISNA(MATCH($F3477,Lists!$A$2:$A$5,0)),"✖ الفترة غير صحيحة",IF(ISNA(MATCH($G3477,Lists!$B$2:$B$7,0)),"✖ المجموعة غير صحيحة",IF(NOT(OR($H3477="",$N3477&gt;0)),"✖ Start غير صحيح",IF(NOT(OR($I3477="",$I3477="NR",$O3477&gt;0)),"✖ Current غير صحيح",IF(NOT(IF(ISNUMBER($J3477),AND($J3477&gt;=0,$J3477=INT($J3477)),FALSE())),"✖ العدد يجب أن يكون صحيحًا ≥ 0",IF(AND($F3477="Baseline",$H3477&lt;&gt;""),"⚠ Baseline: Start لا يدخل في التقدم",IF($K3477="No Start (attainment only)","ℹ تحصيل فقط (بدون Start)",IF($K3477="U – needs rule","ℹ حالة U تحتاج قاعدة معتمدة",IF($K3477="No result","ℹ بدون نتيجة (يُستبعد من التحصيل)","OK")))))))))))</f>
        <v/>
      </c>
      <c r="M3477" s="64" t="n">
        <f aca="false">IF($A3477="",0,IFERROR(MATCH($A3477,Classes!$A$6:$A$420,0),0))</f>
        <v>0</v>
      </c>
      <c r="N3477" s="64" t="n">
        <f aca="false">IF($H3477="",0,IFERROR(MATCH($H3477,GradeList,0),0))</f>
        <v>0</v>
      </c>
      <c r="O3477" s="64" t="n">
        <f aca="false">IF(OR($I3477="",$I3477="NR"),0,IFERROR(MATCH($I3477,GradeList,0),0))</f>
        <v>0</v>
      </c>
      <c r="P3477" s="64" t="n">
        <f aca="false">IF(AND($M3477&gt;0,ISNUMBER(MATCH($F3477,Lists!$A$2:$A$5,0)),ISNUMBER(MATCH($G3477,Lists!$B$2:$B$7,0)),OR($H3477="",$N3477&gt;0),OR($I3477="",$I3477="NR",$O3477&gt;0),IF(ISNUMBER($J3477),AND($J3477&gt;=0,$J3477=INT($J3477)),FALSE())),$J3477,0)</f>
        <v>0</v>
      </c>
      <c r="Q3477" s="64" t="n">
        <f aca="false">IF(AND($P3477&gt;0,$O3477&gt;0),$P3477,0)</f>
        <v>0</v>
      </c>
      <c r="R3477" s="64" t="n">
        <f aca="false">IF(AND($Q3477&gt;0,$O3477&gt;=AtRank),$Q3477,0)</f>
        <v>0</v>
      </c>
      <c r="S3477" s="64" t="n">
        <f aca="false">IF(AND($Q3477&gt;0,$O3477&gt;=AboveRank),$Q3477,0)</f>
        <v>0</v>
      </c>
      <c r="T3477" s="64" t="n">
        <f aca="false">IF($K3477="Less",$P3477,0)</f>
        <v>0</v>
      </c>
      <c r="U3477" s="64" t="n">
        <f aca="false">IF($K3477="Expected",$P3477,0)</f>
        <v>0</v>
      </c>
      <c r="V3477" s="64" t="n">
        <f aca="false">IF($K3477="Better",$P3477,0)</f>
        <v>0</v>
      </c>
      <c r="W3477" s="64" t="n">
        <f aca="false">IF($K3477="U – needs rule",$P3477,0)</f>
        <v>0</v>
      </c>
      <c r="X3477" s="64" t="n">
        <f aca="false">IF($K3477="No Start (attainment only)",$P3477,0)</f>
        <v>0</v>
      </c>
    </row>
    <row r="3478" customFormat="false" ht="15" hidden="false" customHeight="false" outlineLevel="0" collapsed="false">
      <c r="A3478" s="60"/>
      <c r="B3478" s="61" t="str">
        <f aca="false">IF($M3478=0,"",INDEX(Classes!$E$6:$E$420,$M3478))</f>
        <v/>
      </c>
      <c r="C3478" s="62" t="str">
        <f aca="false">IF($M3478=0,"",INDEX(Classes!$H$6:$H$420,$M3478))</f>
        <v/>
      </c>
      <c r="D3478" s="61" t="str">
        <f aca="false">IF($M3478=0,"",INDEX(Classes!$B$6:$B$420,$M3478))</f>
        <v/>
      </c>
      <c r="E3478" s="61" t="str">
        <f aca="false">IF($M3478=0,"",INDEX(Classes!$C$6:$C$420,$M3478))</f>
        <v/>
      </c>
      <c r="F3478" s="63"/>
      <c r="G3478" s="63"/>
      <c r="H3478" s="60"/>
      <c r="I3478" s="60"/>
      <c r="J3478" s="63"/>
      <c r="K3478" s="61" t="str">
        <f aca="false">IF($P3478=0,"",IF($F3478="Baseline","— Baseline",IF($O3478=0,"No result",IF($N3478=0,"No Start (attainment only)",IF(OR($N3478=1,$O3478=1),"U – needs rule",INDEX(MxBody,MATCH($I3478,MxCurr,0),MATCH($H3478,MxStart,0)))))))</f>
        <v/>
      </c>
      <c r="L3478" s="62" t="str">
        <f aca="false">IF(COUNTA($A3478,$F3478,$G3478,$H3478,$I3478,$J3478)=0,"",IF($M3478=0,"✖ كود الصف غير موجود",IF(ISNA(MATCH($F3478,Lists!$A$2:$A$5,0)),"✖ الفترة غير صحيحة",IF(ISNA(MATCH($G3478,Lists!$B$2:$B$7,0)),"✖ المجموعة غير صحيحة",IF(NOT(OR($H3478="",$N3478&gt;0)),"✖ Start غير صحيح",IF(NOT(OR($I3478="",$I3478="NR",$O3478&gt;0)),"✖ Current غير صحيح",IF(NOT(IF(ISNUMBER($J3478),AND($J3478&gt;=0,$J3478=INT($J3478)),FALSE())),"✖ العدد يجب أن يكون صحيحًا ≥ 0",IF(AND($F3478="Baseline",$H3478&lt;&gt;""),"⚠ Baseline: Start لا يدخل في التقدم",IF($K3478="No Start (attainment only)","ℹ تحصيل فقط (بدون Start)",IF($K3478="U – needs rule","ℹ حالة U تحتاج قاعدة معتمدة",IF($K3478="No result","ℹ بدون نتيجة (يُستبعد من التحصيل)","OK")))))))))))</f>
        <v/>
      </c>
      <c r="M3478" s="64" t="n">
        <f aca="false">IF($A3478="",0,IFERROR(MATCH($A3478,Classes!$A$6:$A$420,0),0))</f>
        <v>0</v>
      </c>
      <c r="N3478" s="64" t="n">
        <f aca="false">IF($H3478="",0,IFERROR(MATCH($H3478,GradeList,0),0))</f>
        <v>0</v>
      </c>
      <c r="O3478" s="64" t="n">
        <f aca="false">IF(OR($I3478="",$I3478="NR"),0,IFERROR(MATCH($I3478,GradeList,0),0))</f>
        <v>0</v>
      </c>
      <c r="P3478" s="64" t="n">
        <f aca="false">IF(AND($M3478&gt;0,ISNUMBER(MATCH($F3478,Lists!$A$2:$A$5,0)),ISNUMBER(MATCH($G3478,Lists!$B$2:$B$7,0)),OR($H3478="",$N3478&gt;0),OR($I3478="",$I3478="NR",$O3478&gt;0),IF(ISNUMBER($J3478),AND($J3478&gt;=0,$J3478=INT($J3478)),FALSE())),$J3478,0)</f>
        <v>0</v>
      </c>
      <c r="Q3478" s="64" t="n">
        <f aca="false">IF(AND($P3478&gt;0,$O3478&gt;0),$P3478,0)</f>
        <v>0</v>
      </c>
      <c r="R3478" s="64" t="n">
        <f aca="false">IF(AND($Q3478&gt;0,$O3478&gt;=AtRank),$Q3478,0)</f>
        <v>0</v>
      </c>
      <c r="S3478" s="64" t="n">
        <f aca="false">IF(AND($Q3478&gt;0,$O3478&gt;=AboveRank),$Q3478,0)</f>
        <v>0</v>
      </c>
      <c r="T3478" s="64" t="n">
        <f aca="false">IF($K3478="Less",$P3478,0)</f>
        <v>0</v>
      </c>
      <c r="U3478" s="64" t="n">
        <f aca="false">IF($K3478="Expected",$P3478,0)</f>
        <v>0</v>
      </c>
      <c r="V3478" s="64" t="n">
        <f aca="false">IF($K3478="Better",$P3478,0)</f>
        <v>0</v>
      </c>
      <c r="W3478" s="64" t="n">
        <f aca="false">IF($K3478="U – needs rule",$P3478,0)</f>
        <v>0</v>
      </c>
      <c r="X3478" s="64" t="n">
        <f aca="false">IF($K3478="No Start (attainment only)",$P3478,0)</f>
        <v>0</v>
      </c>
    </row>
    <row r="3479" customFormat="false" ht="15" hidden="false" customHeight="false" outlineLevel="0" collapsed="false">
      <c r="A3479" s="60"/>
      <c r="B3479" s="61" t="str">
        <f aca="false">IF($M3479=0,"",INDEX(Classes!$E$6:$E$420,$M3479))</f>
        <v/>
      </c>
      <c r="C3479" s="62" t="str">
        <f aca="false">IF($M3479=0,"",INDEX(Classes!$H$6:$H$420,$M3479))</f>
        <v/>
      </c>
      <c r="D3479" s="61" t="str">
        <f aca="false">IF($M3479=0,"",INDEX(Classes!$B$6:$B$420,$M3479))</f>
        <v/>
      </c>
      <c r="E3479" s="61" t="str">
        <f aca="false">IF($M3479=0,"",INDEX(Classes!$C$6:$C$420,$M3479))</f>
        <v/>
      </c>
      <c r="F3479" s="63"/>
      <c r="G3479" s="63"/>
      <c r="H3479" s="60"/>
      <c r="I3479" s="60"/>
      <c r="J3479" s="63"/>
      <c r="K3479" s="61" t="str">
        <f aca="false">IF($P3479=0,"",IF($F3479="Baseline","— Baseline",IF($O3479=0,"No result",IF($N3479=0,"No Start (attainment only)",IF(OR($N3479=1,$O3479=1),"U – needs rule",INDEX(MxBody,MATCH($I3479,MxCurr,0),MATCH($H3479,MxStart,0)))))))</f>
        <v/>
      </c>
      <c r="L3479" s="62" t="str">
        <f aca="false">IF(COUNTA($A3479,$F3479,$G3479,$H3479,$I3479,$J3479)=0,"",IF($M3479=0,"✖ كود الصف غير موجود",IF(ISNA(MATCH($F3479,Lists!$A$2:$A$5,0)),"✖ الفترة غير صحيحة",IF(ISNA(MATCH($G3479,Lists!$B$2:$B$7,0)),"✖ المجموعة غير صحيحة",IF(NOT(OR($H3479="",$N3479&gt;0)),"✖ Start غير صحيح",IF(NOT(OR($I3479="",$I3479="NR",$O3479&gt;0)),"✖ Current غير صحيح",IF(NOT(IF(ISNUMBER($J3479),AND($J3479&gt;=0,$J3479=INT($J3479)),FALSE())),"✖ العدد يجب أن يكون صحيحًا ≥ 0",IF(AND($F3479="Baseline",$H3479&lt;&gt;""),"⚠ Baseline: Start لا يدخل في التقدم",IF($K3479="No Start (attainment only)","ℹ تحصيل فقط (بدون Start)",IF($K3479="U – needs rule","ℹ حالة U تحتاج قاعدة معتمدة",IF($K3479="No result","ℹ بدون نتيجة (يُستبعد من التحصيل)","OK")))))))))))</f>
        <v/>
      </c>
      <c r="M3479" s="64" t="n">
        <f aca="false">IF($A3479="",0,IFERROR(MATCH($A3479,Classes!$A$6:$A$420,0),0))</f>
        <v>0</v>
      </c>
      <c r="N3479" s="64" t="n">
        <f aca="false">IF($H3479="",0,IFERROR(MATCH($H3479,GradeList,0),0))</f>
        <v>0</v>
      </c>
      <c r="O3479" s="64" t="n">
        <f aca="false">IF(OR($I3479="",$I3479="NR"),0,IFERROR(MATCH($I3479,GradeList,0),0))</f>
        <v>0</v>
      </c>
      <c r="P3479" s="64" t="n">
        <f aca="false">IF(AND($M3479&gt;0,ISNUMBER(MATCH($F3479,Lists!$A$2:$A$5,0)),ISNUMBER(MATCH($G3479,Lists!$B$2:$B$7,0)),OR($H3479="",$N3479&gt;0),OR($I3479="",$I3479="NR",$O3479&gt;0),IF(ISNUMBER($J3479),AND($J3479&gt;=0,$J3479=INT($J3479)),FALSE())),$J3479,0)</f>
        <v>0</v>
      </c>
      <c r="Q3479" s="64" t="n">
        <f aca="false">IF(AND($P3479&gt;0,$O3479&gt;0),$P3479,0)</f>
        <v>0</v>
      </c>
      <c r="R3479" s="64" t="n">
        <f aca="false">IF(AND($Q3479&gt;0,$O3479&gt;=AtRank),$Q3479,0)</f>
        <v>0</v>
      </c>
      <c r="S3479" s="64" t="n">
        <f aca="false">IF(AND($Q3479&gt;0,$O3479&gt;=AboveRank),$Q3479,0)</f>
        <v>0</v>
      </c>
      <c r="T3479" s="64" t="n">
        <f aca="false">IF($K3479="Less",$P3479,0)</f>
        <v>0</v>
      </c>
      <c r="U3479" s="64" t="n">
        <f aca="false">IF($K3479="Expected",$P3479,0)</f>
        <v>0</v>
      </c>
      <c r="V3479" s="64" t="n">
        <f aca="false">IF($K3479="Better",$P3479,0)</f>
        <v>0</v>
      </c>
      <c r="W3479" s="64" t="n">
        <f aca="false">IF($K3479="U – needs rule",$P3479,0)</f>
        <v>0</v>
      </c>
      <c r="X3479" s="64" t="n">
        <f aca="false">IF($K3479="No Start (attainment only)",$P3479,0)</f>
        <v>0</v>
      </c>
    </row>
    <row r="3480" customFormat="false" ht="15" hidden="false" customHeight="false" outlineLevel="0" collapsed="false">
      <c r="A3480" s="60"/>
      <c r="B3480" s="61" t="str">
        <f aca="false">IF($M3480=0,"",INDEX(Classes!$E$6:$E$420,$M3480))</f>
        <v/>
      </c>
      <c r="C3480" s="62" t="str">
        <f aca="false">IF($M3480=0,"",INDEX(Classes!$H$6:$H$420,$M3480))</f>
        <v/>
      </c>
      <c r="D3480" s="61" t="str">
        <f aca="false">IF($M3480=0,"",INDEX(Classes!$B$6:$B$420,$M3480))</f>
        <v/>
      </c>
      <c r="E3480" s="61" t="str">
        <f aca="false">IF($M3480=0,"",INDEX(Classes!$C$6:$C$420,$M3480))</f>
        <v/>
      </c>
      <c r="F3480" s="63"/>
      <c r="G3480" s="63"/>
      <c r="H3480" s="60"/>
      <c r="I3480" s="60"/>
      <c r="J3480" s="63"/>
      <c r="K3480" s="61" t="str">
        <f aca="false">IF($P3480=0,"",IF($F3480="Baseline","— Baseline",IF($O3480=0,"No result",IF($N3480=0,"No Start (attainment only)",IF(OR($N3480=1,$O3480=1),"U – needs rule",INDEX(MxBody,MATCH($I3480,MxCurr,0),MATCH($H3480,MxStart,0)))))))</f>
        <v/>
      </c>
      <c r="L3480" s="62" t="str">
        <f aca="false">IF(COUNTA($A3480,$F3480,$G3480,$H3480,$I3480,$J3480)=0,"",IF($M3480=0,"✖ كود الصف غير موجود",IF(ISNA(MATCH($F3480,Lists!$A$2:$A$5,0)),"✖ الفترة غير صحيحة",IF(ISNA(MATCH($G3480,Lists!$B$2:$B$7,0)),"✖ المجموعة غير صحيحة",IF(NOT(OR($H3480="",$N3480&gt;0)),"✖ Start غير صحيح",IF(NOT(OR($I3480="",$I3480="NR",$O3480&gt;0)),"✖ Current غير صحيح",IF(NOT(IF(ISNUMBER($J3480),AND($J3480&gt;=0,$J3480=INT($J3480)),FALSE())),"✖ العدد يجب أن يكون صحيحًا ≥ 0",IF(AND($F3480="Baseline",$H3480&lt;&gt;""),"⚠ Baseline: Start لا يدخل في التقدم",IF($K3480="No Start (attainment only)","ℹ تحصيل فقط (بدون Start)",IF($K3480="U – needs rule","ℹ حالة U تحتاج قاعدة معتمدة",IF($K3480="No result","ℹ بدون نتيجة (يُستبعد من التحصيل)","OK")))))))))))</f>
        <v/>
      </c>
      <c r="M3480" s="64" t="n">
        <f aca="false">IF($A3480="",0,IFERROR(MATCH($A3480,Classes!$A$6:$A$420,0),0))</f>
        <v>0</v>
      </c>
      <c r="N3480" s="64" t="n">
        <f aca="false">IF($H3480="",0,IFERROR(MATCH($H3480,GradeList,0),0))</f>
        <v>0</v>
      </c>
      <c r="O3480" s="64" t="n">
        <f aca="false">IF(OR($I3480="",$I3480="NR"),0,IFERROR(MATCH($I3480,GradeList,0),0))</f>
        <v>0</v>
      </c>
      <c r="P3480" s="64" t="n">
        <f aca="false">IF(AND($M3480&gt;0,ISNUMBER(MATCH($F3480,Lists!$A$2:$A$5,0)),ISNUMBER(MATCH($G3480,Lists!$B$2:$B$7,0)),OR($H3480="",$N3480&gt;0),OR($I3480="",$I3480="NR",$O3480&gt;0),IF(ISNUMBER($J3480),AND($J3480&gt;=0,$J3480=INT($J3480)),FALSE())),$J3480,0)</f>
        <v>0</v>
      </c>
      <c r="Q3480" s="64" t="n">
        <f aca="false">IF(AND($P3480&gt;0,$O3480&gt;0),$P3480,0)</f>
        <v>0</v>
      </c>
      <c r="R3480" s="64" t="n">
        <f aca="false">IF(AND($Q3480&gt;0,$O3480&gt;=AtRank),$Q3480,0)</f>
        <v>0</v>
      </c>
      <c r="S3480" s="64" t="n">
        <f aca="false">IF(AND($Q3480&gt;0,$O3480&gt;=AboveRank),$Q3480,0)</f>
        <v>0</v>
      </c>
      <c r="T3480" s="64" t="n">
        <f aca="false">IF($K3480="Less",$P3480,0)</f>
        <v>0</v>
      </c>
      <c r="U3480" s="64" t="n">
        <f aca="false">IF($K3480="Expected",$P3480,0)</f>
        <v>0</v>
      </c>
      <c r="V3480" s="64" t="n">
        <f aca="false">IF($K3480="Better",$P3480,0)</f>
        <v>0</v>
      </c>
      <c r="W3480" s="64" t="n">
        <f aca="false">IF($K3480="U – needs rule",$P3480,0)</f>
        <v>0</v>
      </c>
      <c r="X3480" s="64" t="n">
        <f aca="false">IF($K3480="No Start (attainment only)",$P3480,0)</f>
        <v>0</v>
      </c>
    </row>
    <row r="3481" customFormat="false" ht="15" hidden="false" customHeight="false" outlineLevel="0" collapsed="false">
      <c r="A3481" s="60"/>
      <c r="B3481" s="61" t="str">
        <f aca="false">IF($M3481=0,"",INDEX(Classes!$E$6:$E$420,$M3481))</f>
        <v/>
      </c>
      <c r="C3481" s="62" t="str">
        <f aca="false">IF($M3481=0,"",INDEX(Classes!$H$6:$H$420,$M3481))</f>
        <v/>
      </c>
      <c r="D3481" s="61" t="str">
        <f aca="false">IF($M3481=0,"",INDEX(Classes!$B$6:$B$420,$M3481))</f>
        <v/>
      </c>
      <c r="E3481" s="61" t="str">
        <f aca="false">IF($M3481=0,"",INDEX(Classes!$C$6:$C$420,$M3481))</f>
        <v/>
      </c>
      <c r="F3481" s="63"/>
      <c r="G3481" s="63"/>
      <c r="H3481" s="60"/>
      <c r="I3481" s="60"/>
      <c r="J3481" s="63"/>
      <c r="K3481" s="61" t="str">
        <f aca="false">IF($P3481=0,"",IF($F3481="Baseline","— Baseline",IF($O3481=0,"No result",IF($N3481=0,"No Start (attainment only)",IF(OR($N3481=1,$O3481=1),"U – needs rule",INDEX(MxBody,MATCH($I3481,MxCurr,0),MATCH($H3481,MxStart,0)))))))</f>
        <v/>
      </c>
      <c r="L3481" s="62" t="str">
        <f aca="false">IF(COUNTA($A3481,$F3481,$G3481,$H3481,$I3481,$J3481)=0,"",IF($M3481=0,"✖ كود الصف غير موجود",IF(ISNA(MATCH($F3481,Lists!$A$2:$A$5,0)),"✖ الفترة غير صحيحة",IF(ISNA(MATCH($G3481,Lists!$B$2:$B$7,0)),"✖ المجموعة غير صحيحة",IF(NOT(OR($H3481="",$N3481&gt;0)),"✖ Start غير صحيح",IF(NOT(OR($I3481="",$I3481="NR",$O3481&gt;0)),"✖ Current غير صحيح",IF(NOT(IF(ISNUMBER($J3481),AND($J3481&gt;=0,$J3481=INT($J3481)),FALSE())),"✖ العدد يجب أن يكون صحيحًا ≥ 0",IF(AND($F3481="Baseline",$H3481&lt;&gt;""),"⚠ Baseline: Start لا يدخل في التقدم",IF($K3481="No Start (attainment only)","ℹ تحصيل فقط (بدون Start)",IF($K3481="U – needs rule","ℹ حالة U تحتاج قاعدة معتمدة",IF($K3481="No result","ℹ بدون نتيجة (يُستبعد من التحصيل)","OK")))))))))))</f>
        <v/>
      </c>
      <c r="M3481" s="64" t="n">
        <f aca="false">IF($A3481="",0,IFERROR(MATCH($A3481,Classes!$A$6:$A$420,0),0))</f>
        <v>0</v>
      </c>
      <c r="N3481" s="64" t="n">
        <f aca="false">IF($H3481="",0,IFERROR(MATCH($H3481,GradeList,0),0))</f>
        <v>0</v>
      </c>
      <c r="O3481" s="64" t="n">
        <f aca="false">IF(OR($I3481="",$I3481="NR"),0,IFERROR(MATCH($I3481,GradeList,0),0))</f>
        <v>0</v>
      </c>
      <c r="P3481" s="64" t="n">
        <f aca="false">IF(AND($M3481&gt;0,ISNUMBER(MATCH($F3481,Lists!$A$2:$A$5,0)),ISNUMBER(MATCH($G3481,Lists!$B$2:$B$7,0)),OR($H3481="",$N3481&gt;0),OR($I3481="",$I3481="NR",$O3481&gt;0),IF(ISNUMBER($J3481),AND($J3481&gt;=0,$J3481=INT($J3481)),FALSE())),$J3481,0)</f>
        <v>0</v>
      </c>
      <c r="Q3481" s="64" t="n">
        <f aca="false">IF(AND($P3481&gt;0,$O3481&gt;0),$P3481,0)</f>
        <v>0</v>
      </c>
      <c r="R3481" s="64" t="n">
        <f aca="false">IF(AND($Q3481&gt;0,$O3481&gt;=AtRank),$Q3481,0)</f>
        <v>0</v>
      </c>
      <c r="S3481" s="64" t="n">
        <f aca="false">IF(AND($Q3481&gt;0,$O3481&gt;=AboveRank),$Q3481,0)</f>
        <v>0</v>
      </c>
      <c r="T3481" s="64" t="n">
        <f aca="false">IF($K3481="Less",$P3481,0)</f>
        <v>0</v>
      </c>
      <c r="U3481" s="64" t="n">
        <f aca="false">IF($K3481="Expected",$P3481,0)</f>
        <v>0</v>
      </c>
      <c r="V3481" s="64" t="n">
        <f aca="false">IF($K3481="Better",$P3481,0)</f>
        <v>0</v>
      </c>
      <c r="W3481" s="64" t="n">
        <f aca="false">IF($K3481="U – needs rule",$P3481,0)</f>
        <v>0</v>
      </c>
      <c r="X3481" s="64" t="n">
        <f aca="false">IF($K3481="No Start (attainment only)",$P3481,0)</f>
        <v>0</v>
      </c>
    </row>
    <row r="3482" customFormat="false" ht="15" hidden="false" customHeight="false" outlineLevel="0" collapsed="false">
      <c r="A3482" s="60"/>
      <c r="B3482" s="61" t="str">
        <f aca="false">IF($M3482=0,"",INDEX(Classes!$E$6:$E$420,$M3482))</f>
        <v/>
      </c>
      <c r="C3482" s="62" t="str">
        <f aca="false">IF($M3482=0,"",INDEX(Classes!$H$6:$H$420,$M3482))</f>
        <v/>
      </c>
      <c r="D3482" s="61" t="str">
        <f aca="false">IF($M3482=0,"",INDEX(Classes!$B$6:$B$420,$M3482))</f>
        <v/>
      </c>
      <c r="E3482" s="61" t="str">
        <f aca="false">IF($M3482=0,"",INDEX(Classes!$C$6:$C$420,$M3482))</f>
        <v/>
      </c>
      <c r="F3482" s="63"/>
      <c r="G3482" s="63"/>
      <c r="H3482" s="60"/>
      <c r="I3482" s="60"/>
      <c r="J3482" s="63"/>
      <c r="K3482" s="61" t="str">
        <f aca="false">IF($P3482=0,"",IF($F3482="Baseline","— Baseline",IF($O3482=0,"No result",IF($N3482=0,"No Start (attainment only)",IF(OR($N3482=1,$O3482=1),"U – needs rule",INDEX(MxBody,MATCH($I3482,MxCurr,0),MATCH($H3482,MxStart,0)))))))</f>
        <v/>
      </c>
      <c r="L3482" s="62" t="str">
        <f aca="false">IF(COUNTA($A3482,$F3482,$G3482,$H3482,$I3482,$J3482)=0,"",IF($M3482=0,"✖ كود الصف غير موجود",IF(ISNA(MATCH($F3482,Lists!$A$2:$A$5,0)),"✖ الفترة غير صحيحة",IF(ISNA(MATCH($G3482,Lists!$B$2:$B$7,0)),"✖ المجموعة غير صحيحة",IF(NOT(OR($H3482="",$N3482&gt;0)),"✖ Start غير صحيح",IF(NOT(OR($I3482="",$I3482="NR",$O3482&gt;0)),"✖ Current غير صحيح",IF(NOT(IF(ISNUMBER($J3482),AND($J3482&gt;=0,$J3482=INT($J3482)),FALSE())),"✖ العدد يجب أن يكون صحيحًا ≥ 0",IF(AND($F3482="Baseline",$H3482&lt;&gt;""),"⚠ Baseline: Start لا يدخل في التقدم",IF($K3482="No Start (attainment only)","ℹ تحصيل فقط (بدون Start)",IF($K3482="U – needs rule","ℹ حالة U تحتاج قاعدة معتمدة",IF($K3482="No result","ℹ بدون نتيجة (يُستبعد من التحصيل)","OK")))))))))))</f>
        <v/>
      </c>
      <c r="M3482" s="64" t="n">
        <f aca="false">IF($A3482="",0,IFERROR(MATCH($A3482,Classes!$A$6:$A$420,0),0))</f>
        <v>0</v>
      </c>
      <c r="N3482" s="64" t="n">
        <f aca="false">IF($H3482="",0,IFERROR(MATCH($H3482,GradeList,0),0))</f>
        <v>0</v>
      </c>
      <c r="O3482" s="64" t="n">
        <f aca="false">IF(OR($I3482="",$I3482="NR"),0,IFERROR(MATCH($I3482,GradeList,0),0))</f>
        <v>0</v>
      </c>
      <c r="P3482" s="64" t="n">
        <f aca="false">IF(AND($M3482&gt;0,ISNUMBER(MATCH($F3482,Lists!$A$2:$A$5,0)),ISNUMBER(MATCH($G3482,Lists!$B$2:$B$7,0)),OR($H3482="",$N3482&gt;0),OR($I3482="",$I3482="NR",$O3482&gt;0),IF(ISNUMBER($J3482),AND($J3482&gt;=0,$J3482=INT($J3482)),FALSE())),$J3482,0)</f>
        <v>0</v>
      </c>
      <c r="Q3482" s="64" t="n">
        <f aca="false">IF(AND($P3482&gt;0,$O3482&gt;0),$P3482,0)</f>
        <v>0</v>
      </c>
      <c r="R3482" s="64" t="n">
        <f aca="false">IF(AND($Q3482&gt;0,$O3482&gt;=AtRank),$Q3482,0)</f>
        <v>0</v>
      </c>
      <c r="S3482" s="64" t="n">
        <f aca="false">IF(AND($Q3482&gt;0,$O3482&gt;=AboveRank),$Q3482,0)</f>
        <v>0</v>
      </c>
      <c r="T3482" s="64" t="n">
        <f aca="false">IF($K3482="Less",$P3482,0)</f>
        <v>0</v>
      </c>
      <c r="U3482" s="64" t="n">
        <f aca="false">IF($K3482="Expected",$P3482,0)</f>
        <v>0</v>
      </c>
      <c r="V3482" s="64" t="n">
        <f aca="false">IF($K3482="Better",$P3482,0)</f>
        <v>0</v>
      </c>
      <c r="W3482" s="64" t="n">
        <f aca="false">IF($K3482="U – needs rule",$P3482,0)</f>
        <v>0</v>
      </c>
      <c r="X3482" s="64" t="n">
        <f aca="false">IF($K3482="No Start (attainment only)",$P3482,0)</f>
        <v>0</v>
      </c>
    </row>
    <row r="3483" customFormat="false" ht="15" hidden="false" customHeight="false" outlineLevel="0" collapsed="false">
      <c r="A3483" s="60"/>
      <c r="B3483" s="61" t="str">
        <f aca="false">IF($M3483=0,"",INDEX(Classes!$E$6:$E$420,$M3483))</f>
        <v/>
      </c>
      <c r="C3483" s="62" t="str">
        <f aca="false">IF($M3483=0,"",INDEX(Classes!$H$6:$H$420,$M3483))</f>
        <v/>
      </c>
      <c r="D3483" s="61" t="str">
        <f aca="false">IF($M3483=0,"",INDEX(Classes!$B$6:$B$420,$M3483))</f>
        <v/>
      </c>
      <c r="E3483" s="61" t="str">
        <f aca="false">IF($M3483=0,"",INDEX(Classes!$C$6:$C$420,$M3483))</f>
        <v/>
      </c>
      <c r="F3483" s="63"/>
      <c r="G3483" s="63"/>
      <c r="H3483" s="60"/>
      <c r="I3483" s="60"/>
      <c r="J3483" s="63"/>
      <c r="K3483" s="61" t="str">
        <f aca="false">IF($P3483=0,"",IF($F3483="Baseline","— Baseline",IF($O3483=0,"No result",IF($N3483=0,"No Start (attainment only)",IF(OR($N3483=1,$O3483=1),"U – needs rule",INDEX(MxBody,MATCH($I3483,MxCurr,0),MATCH($H3483,MxStart,0)))))))</f>
        <v/>
      </c>
      <c r="L3483" s="62" t="str">
        <f aca="false">IF(COUNTA($A3483,$F3483,$G3483,$H3483,$I3483,$J3483)=0,"",IF($M3483=0,"✖ كود الصف غير موجود",IF(ISNA(MATCH($F3483,Lists!$A$2:$A$5,0)),"✖ الفترة غير صحيحة",IF(ISNA(MATCH($G3483,Lists!$B$2:$B$7,0)),"✖ المجموعة غير صحيحة",IF(NOT(OR($H3483="",$N3483&gt;0)),"✖ Start غير صحيح",IF(NOT(OR($I3483="",$I3483="NR",$O3483&gt;0)),"✖ Current غير صحيح",IF(NOT(IF(ISNUMBER($J3483),AND($J3483&gt;=0,$J3483=INT($J3483)),FALSE())),"✖ العدد يجب أن يكون صحيحًا ≥ 0",IF(AND($F3483="Baseline",$H3483&lt;&gt;""),"⚠ Baseline: Start لا يدخل في التقدم",IF($K3483="No Start (attainment only)","ℹ تحصيل فقط (بدون Start)",IF($K3483="U – needs rule","ℹ حالة U تحتاج قاعدة معتمدة",IF($K3483="No result","ℹ بدون نتيجة (يُستبعد من التحصيل)","OK")))))))))))</f>
        <v/>
      </c>
      <c r="M3483" s="64" t="n">
        <f aca="false">IF($A3483="",0,IFERROR(MATCH($A3483,Classes!$A$6:$A$420,0),0))</f>
        <v>0</v>
      </c>
      <c r="N3483" s="64" t="n">
        <f aca="false">IF($H3483="",0,IFERROR(MATCH($H3483,GradeList,0),0))</f>
        <v>0</v>
      </c>
      <c r="O3483" s="64" t="n">
        <f aca="false">IF(OR($I3483="",$I3483="NR"),0,IFERROR(MATCH($I3483,GradeList,0),0))</f>
        <v>0</v>
      </c>
      <c r="P3483" s="64" t="n">
        <f aca="false">IF(AND($M3483&gt;0,ISNUMBER(MATCH($F3483,Lists!$A$2:$A$5,0)),ISNUMBER(MATCH($G3483,Lists!$B$2:$B$7,0)),OR($H3483="",$N3483&gt;0),OR($I3483="",$I3483="NR",$O3483&gt;0),IF(ISNUMBER($J3483),AND($J3483&gt;=0,$J3483=INT($J3483)),FALSE())),$J3483,0)</f>
        <v>0</v>
      </c>
      <c r="Q3483" s="64" t="n">
        <f aca="false">IF(AND($P3483&gt;0,$O3483&gt;0),$P3483,0)</f>
        <v>0</v>
      </c>
      <c r="R3483" s="64" t="n">
        <f aca="false">IF(AND($Q3483&gt;0,$O3483&gt;=AtRank),$Q3483,0)</f>
        <v>0</v>
      </c>
      <c r="S3483" s="64" t="n">
        <f aca="false">IF(AND($Q3483&gt;0,$O3483&gt;=AboveRank),$Q3483,0)</f>
        <v>0</v>
      </c>
      <c r="T3483" s="64" t="n">
        <f aca="false">IF($K3483="Less",$P3483,0)</f>
        <v>0</v>
      </c>
      <c r="U3483" s="64" t="n">
        <f aca="false">IF($K3483="Expected",$P3483,0)</f>
        <v>0</v>
      </c>
      <c r="V3483" s="64" t="n">
        <f aca="false">IF($K3483="Better",$P3483,0)</f>
        <v>0</v>
      </c>
      <c r="W3483" s="64" t="n">
        <f aca="false">IF($K3483="U – needs rule",$P3483,0)</f>
        <v>0</v>
      </c>
      <c r="X3483" s="64" t="n">
        <f aca="false">IF($K3483="No Start (attainment only)",$P3483,0)</f>
        <v>0</v>
      </c>
    </row>
    <row r="3484" customFormat="false" ht="15" hidden="false" customHeight="false" outlineLevel="0" collapsed="false">
      <c r="A3484" s="60"/>
      <c r="B3484" s="61" t="str">
        <f aca="false">IF($M3484=0,"",INDEX(Classes!$E$6:$E$420,$M3484))</f>
        <v/>
      </c>
      <c r="C3484" s="62" t="str">
        <f aca="false">IF($M3484=0,"",INDEX(Classes!$H$6:$H$420,$M3484))</f>
        <v/>
      </c>
      <c r="D3484" s="61" t="str">
        <f aca="false">IF($M3484=0,"",INDEX(Classes!$B$6:$B$420,$M3484))</f>
        <v/>
      </c>
      <c r="E3484" s="61" t="str">
        <f aca="false">IF($M3484=0,"",INDEX(Classes!$C$6:$C$420,$M3484))</f>
        <v/>
      </c>
      <c r="F3484" s="63"/>
      <c r="G3484" s="63"/>
      <c r="H3484" s="60"/>
      <c r="I3484" s="60"/>
      <c r="J3484" s="63"/>
      <c r="K3484" s="61" t="str">
        <f aca="false">IF($P3484=0,"",IF($F3484="Baseline","— Baseline",IF($O3484=0,"No result",IF($N3484=0,"No Start (attainment only)",IF(OR($N3484=1,$O3484=1),"U – needs rule",INDEX(MxBody,MATCH($I3484,MxCurr,0),MATCH($H3484,MxStart,0)))))))</f>
        <v/>
      </c>
      <c r="L3484" s="62" t="str">
        <f aca="false">IF(COUNTA($A3484,$F3484,$G3484,$H3484,$I3484,$J3484)=0,"",IF($M3484=0,"✖ كود الصف غير موجود",IF(ISNA(MATCH($F3484,Lists!$A$2:$A$5,0)),"✖ الفترة غير صحيحة",IF(ISNA(MATCH($G3484,Lists!$B$2:$B$7,0)),"✖ المجموعة غير صحيحة",IF(NOT(OR($H3484="",$N3484&gt;0)),"✖ Start غير صحيح",IF(NOT(OR($I3484="",$I3484="NR",$O3484&gt;0)),"✖ Current غير صحيح",IF(NOT(IF(ISNUMBER($J3484),AND($J3484&gt;=0,$J3484=INT($J3484)),FALSE())),"✖ العدد يجب أن يكون صحيحًا ≥ 0",IF(AND($F3484="Baseline",$H3484&lt;&gt;""),"⚠ Baseline: Start لا يدخل في التقدم",IF($K3484="No Start (attainment only)","ℹ تحصيل فقط (بدون Start)",IF($K3484="U – needs rule","ℹ حالة U تحتاج قاعدة معتمدة",IF($K3484="No result","ℹ بدون نتيجة (يُستبعد من التحصيل)","OK")))))))))))</f>
        <v/>
      </c>
      <c r="M3484" s="64" t="n">
        <f aca="false">IF($A3484="",0,IFERROR(MATCH($A3484,Classes!$A$6:$A$420,0),0))</f>
        <v>0</v>
      </c>
      <c r="N3484" s="64" t="n">
        <f aca="false">IF($H3484="",0,IFERROR(MATCH($H3484,GradeList,0),0))</f>
        <v>0</v>
      </c>
      <c r="O3484" s="64" t="n">
        <f aca="false">IF(OR($I3484="",$I3484="NR"),0,IFERROR(MATCH($I3484,GradeList,0),0))</f>
        <v>0</v>
      </c>
      <c r="P3484" s="64" t="n">
        <f aca="false">IF(AND($M3484&gt;0,ISNUMBER(MATCH($F3484,Lists!$A$2:$A$5,0)),ISNUMBER(MATCH($G3484,Lists!$B$2:$B$7,0)),OR($H3484="",$N3484&gt;0),OR($I3484="",$I3484="NR",$O3484&gt;0),IF(ISNUMBER($J3484),AND($J3484&gt;=0,$J3484=INT($J3484)),FALSE())),$J3484,0)</f>
        <v>0</v>
      </c>
      <c r="Q3484" s="64" t="n">
        <f aca="false">IF(AND($P3484&gt;0,$O3484&gt;0),$P3484,0)</f>
        <v>0</v>
      </c>
      <c r="R3484" s="64" t="n">
        <f aca="false">IF(AND($Q3484&gt;0,$O3484&gt;=AtRank),$Q3484,0)</f>
        <v>0</v>
      </c>
      <c r="S3484" s="64" t="n">
        <f aca="false">IF(AND($Q3484&gt;0,$O3484&gt;=AboveRank),$Q3484,0)</f>
        <v>0</v>
      </c>
      <c r="T3484" s="64" t="n">
        <f aca="false">IF($K3484="Less",$P3484,0)</f>
        <v>0</v>
      </c>
      <c r="U3484" s="64" t="n">
        <f aca="false">IF($K3484="Expected",$P3484,0)</f>
        <v>0</v>
      </c>
      <c r="V3484" s="64" t="n">
        <f aca="false">IF($K3484="Better",$P3484,0)</f>
        <v>0</v>
      </c>
      <c r="W3484" s="64" t="n">
        <f aca="false">IF($K3484="U – needs rule",$P3484,0)</f>
        <v>0</v>
      </c>
      <c r="X3484" s="64" t="n">
        <f aca="false">IF($K3484="No Start (attainment only)",$P3484,0)</f>
        <v>0</v>
      </c>
    </row>
    <row r="3485" customFormat="false" ht="15" hidden="false" customHeight="false" outlineLevel="0" collapsed="false">
      <c r="A3485" s="60"/>
      <c r="B3485" s="61" t="str">
        <f aca="false">IF($M3485=0,"",INDEX(Classes!$E$6:$E$420,$M3485))</f>
        <v/>
      </c>
      <c r="C3485" s="62" t="str">
        <f aca="false">IF($M3485=0,"",INDEX(Classes!$H$6:$H$420,$M3485))</f>
        <v/>
      </c>
      <c r="D3485" s="61" t="str">
        <f aca="false">IF($M3485=0,"",INDEX(Classes!$B$6:$B$420,$M3485))</f>
        <v/>
      </c>
      <c r="E3485" s="61" t="str">
        <f aca="false">IF($M3485=0,"",INDEX(Classes!$C$6:$C$420,$M3485))</f>
        <v/>
      </c>
      <c r="F3485" s="63"/>
      <c r="G3485" s="63"/>
      <c r="H3485" s="60"/>
      <c r="I3485" s="60"/>
      <c r="J3485" s="63"/>
      <c r="K3485" s="61" t="str">
        <f aca="false">IF($P3485=0,"",IF($F3485="Baseline","— Baseline",IF($O3485=0,"No result",IF($N3485=0,"No Start (attainment only)",IF(OR($N3485=1,$O3485=1),"U – needs rule",INDEX(MxBody,MATCH($I3485,MxCurr,0),MATCH($H3485,MxStart,0)))))))</f>
        <v/>
      </c>
      <c r="L3485" s="62" t="str">
        <f aca="false">IF(COUNTA($A3485,$F3485,$G3485,$H3485,$I3485,$J3485)=0,"",IF($M3485=0,"✖ كود الصف غير موجود",IF(ISNA(MATCH($F3485,Lists!$A$2:$A$5,0)),"✖ الفترة غير صحيحة",IF(ISNA(MATCH($G3485,Lists!$B$2:$B$7,0)),"✖ المجموعة غير صحيحة",IF(NOT(OR($H3485="",$N3485&gt;0)),"✖ Start غير صحيح",IF(NOT(OR($I3485="",$I3485="NR",$O3485&gt;0)),"✖ Current غير صحيح",IF(NOT(IF(ISNUMBER($J3485),AND($J3485&gt;=0,$J3485=INT($J3485)),FALSE())),"✖ العدد يجب أن يكون صحيحًا ≥ 0",IF(AND($F3485="Baseline",$H3485&lt;&gt;""),"⚠ Baseline: Start لا يدخل في التقدم",IF($K3485="No Start (attainment only)","ℹ تحصيل فقط (بدون Start)",IF($K3485="U – needs rule","ℹ حالة U تحتاج قاعدة معتمدة",IF($K3485="No result","ℹ بدون نتيجة (يُستبعد من التحصيل)","OK")))))))))))</f>
        <v/>
      </c>
      <c r="M3485" s="64" t="n">
        <f aca="false">IF($A3485="",0,IFERROR(MATCH($A3485,Classes!$A$6:$A$420,0),0))</f>
        <v>0</v>
      </c>
      <c r="N3485" s="64" t="n">
        <f aca="false">IF($H3485="",0,IFERROR(MATCH($H3485,GradeList,0),0))</f>
        <v>0</v>
      </c>
      <c r="O3485" s="64" t="n">
        <f aca="false">IF(OR($I3485="",$I3485="NR"),0,IFERROR(MATCH($I3485,GradeList,0),0))</f>
        <v>0</v>
      </c>
      <c r="P3485" s="64" t="n">
        <f aca="false">IF(AND($M3485&gt;0,ISNUMBER(MATCH($F3485,Lists!$A$2:$A$5,0)),ISNUMBER(MATCH($G3485,Lists!$B$2:$B$7,0)),OR($H3485="",$N3485&gt;0),OR($I3485="",$I3485="NR",$O3485&gt;0),IF(ISNUMBER($J3485),AND($J3485&gt;=0,$J3485=INT($J3485)),FALSE())),$J3485,0)</f>
        <v>0</v>
      </c>
      <c r="Q3485" s="64" t="n">
        <f aca="false">IF(AND($P3485&gt;0,$O3485&gt;0),$P3485,0)</f>
        <v>0</v>
      </c>
      <c r="R3485" s="64" t="n">
        <f aca="false">IF(AND($Q3485&gt;0,$O3485&gt;=AtRank),$Q3485,0)</f>
        <v>0</v>
      </c>
      <c r="S3485" s="64" t="n">
        <f aca="false">IF(AND($Q3485&gt;0,$O3485&gt;=AboveRank),$Q3485,0)</f>
        <v>0</v>
      </c>
      <c r="T3485" s="64" t="n">
        <f aca="false">IF($K3485="Less",$P3485,0)</f>
        <v>0</v>
      </c>
      <c r="U3485" s="64" t="n">
        <f aca="false">IF($K3485="Expected",$P3485,0)</f>
        <v>0</v>
      </c>
      <c r="V3485" s="64" t="n">
        <f aca="false">IF($K3485="Better",$P3485,0)</f>
        <v>0</v>
      </c>
      <c r="W3485" s="64" t="n">
        <f aca="false">IF($K3485="U – needs rule",$P3485,0)</f>
        <v>0</v>
      </c>
      <c r="X3485" s="64" t="n">
        <f aca="false">IF($K3485="No Start (attainment only)",$P3485,0)</f>
        <v>0</v>
      </c>
    </row>
    <row r="3486" customFormat="false" ht="15" hidden="false" customHeight="false" outlineLevel="0" collapsed="false">
      <c r="A3486" s="60"/>
      <c r="B3486" s="61" t="str">
        <f aca="false">IF($M3486=0,"",INDEX(Classes!$E$6:$E$420,$M3486))</f>
        <v/>
      </c>
      <c r="C3486" s="62" t="str">
        <f aca="false">IF($M3486=0,"",INDEX(Classes!$H$6:$H$420,$M3486))</f>
        <v/>
      </c>
      <c r="D3486" s="61" t="str">
        <f aca="false">IF($M3486=0,"",INDEX(Classes!$B$6:$B$420,$M3486))</f>
        <v/>
      </c>
      <c r="E3486" s="61" t="str">
        <f aca="false">IF($M3486=0,"",INDEX(Classes!$C$6:$C$420,$M3486))</f>
        <v/>
      </c>
      <c r="F3486" s="63"/>
      <c r="G3486" s="63"/>
      <c r="H3486" s="60"/>
      <c r="I3486" s="60"/>
      <c r="J3486" s="63"/>
      <c r="K3486" s="61" t="str">
        <f aca="false">IF($P3486=0,"",IF($F3486="Baseline","— Baseline",IF($O3486=0,"No result",IF($N3486=0,"No Start (attainment only)",IF(OR($N3486=1,$O3486=1),"U – needs rule",INDEX(MxBody,MATCH($I3486,MxCurr,0),MATCH($H3486,MxStart,0)))))))</f>
        <v/>
      </c>
      <c r="L3486" s="62" t="str">
        <f aca="false">IF(COUNTA($A3486,$F3486,$G3486,$H3486,$I3486,$J3486)=0,"",IF($M3486=0,"✖ كود الصف غير موجود",IF(ISNA(MATCH($F3486,Lists!$A$2:$A$5,0)),"✖ الفترة غير صحيحة",IF(ISNA(MATCH($G3486,Lists!$B$2:$B$7,0)),"✖ المجموعة غير صحيحة",IF(NOT(OR($H3486="",$N3486&gt;0)),"✖ Start غير صحيح",IF(NOT(OR($I3486="",$I3486="NR",$O3486&gt;0)),"✖ Current غير صحيح",IF(NOT(IF(ISNUMBER($J3486),AND($J3486&gt;=0,$J3486=INT($J3486)),FALSE())),"✖ العدد يجب أن يكون صحيحًا ≥ 0",IF(AND($F3486="Baseline",$H3486&lt;&gt;""),"⚠ Baseline: Start لا يدخل في التقدم",IF($K3486="No Start (attainment only)","ℹ تحصيل فقط (بدون Start)",IF($K3486="U – needs rule","ℹ حالة U تحتاج قاعدة معتمدة",IF($K3486="No result","ℹ بدون نتيجة (يُستبعد من التحصيل)","OK")))))))))))</f>
        <v/>
      </c>
      <c r="M3486" s="64" t="n">
        <f aca="false">IF($A3486="",0,IFERROR(MATCH($A3486,Classes!$A$6:$A$420,0),0))</f>
        <v>0</v>
      </c>
      <c r="N3486" s="64" t="n">
        <f aca="false">IF($H3486="",0,IFERROR(MATCH($H3486,GradeList,0),0))</f>
        <v>0</v>
      </c>
      <c r="O3486" s="64" t="n">
        <f aca="false">IF(OR($I3486="",$I3486="NR"),0,IFERROR(MATCH($I3486,GradeList,0),0))</f>
        <v>0</v>
      </c>
      <c r="P3486" s="64" t="n">
        <f aca="false">IF(AND($M3486&gt;0,ISNUMBER(MATCH($F3486,Lists!$A$2:$A$5,0)),ISNUMBER(MATCH($G3486,Lists!$B$2:$B$7,0)),OR($H3486="",$N3486&gt;0),OR($I3486="",$I3486="NR",$O3486&gt;0),IF(ISNUMBER($J3486),AND($J3486&gt;=0,$J3486=INT($J3486)),FALSE())),$J3486,0)</f>
        <v>0</v>
      </c>
      <c r="Q3486" s="64" t="n">
        <f aca="false">IF(AND($P3486&gt;0,$O3486&gt;0),$P3486,0)</f>
        <v>0</v>
      </c>
      <c r="R3486" s="64" t="n">
        <f aca="false">IF(AND($Q3486&gt;0,$O3486&gt;=AtRank),$Q3486,0)</f>
        <v>0</v>
      </c>
      <c r="S3486" s="64" t="n">
        <f aca="false">IF(AND($Q3486&gt;0,$O3486&gt;=AboveRank),$Q3486,0)</f>
        <v>0</v>
      </c>
      <c r="T3486" s="64" t="n">
        <f aca="false">IF($K3486="Less",$P3486,0)</f>
        <v>0</v>
      </c>
      <c r="U3486" s="64" t="n">
        <f aca="false">IF($K3486="Expected",$P3486,0)</f>
        <v>0</v>
      </c>
      <c r="V3486" s="64" t="n">
        <f aca="false">IF($K3486="Better",$P3486,0)</f>
        <v>0</v>
      </c>
      <c r="W3486" s="64" t="n">
        <f aca="false">IF($K3486="U – needs rule",$P3486,0)</f>
        <v>0</v>
      </c>
      <c r="X3486" s="64" t="n">
        <f aca="false">IF($K3486="No Start (attainment only)",$P3486,0)</f>
        <v>0</v>
      </c>
    </row>
    <row r="3487" customFormat="false" ht="15" hidden="false" customHeight="false" outlineLevel="0" collapsed="false">
      <c r="A3487" s="60"/>
      <c r="B3487" s="61" t="str">
        <f aca="false">IF($M3487=0,"",INDEX(Classes!$E$6:$E$420,$M3487))</f>
        <v/>
      </c>
      <c r="C3487" s="62" t="str">
        <f aca="false">IF($M3487=0,"",INDEX(Classes!$H$6:$H$420,$M3487))</f>
        <v/>
      </c>
      <c r="D3487" s="61" t="str">
        <f aca="false">IF($M3487=0,"",INDEX(Classes!$B$6:$B$420,$M3487))</f>
        <v/>
      </c>
      <c r="E3487" s="61" t="str">
        <f aca="false">IF($M3487=0,"",INDEX(Classes!$C$6:$C$420,$M3487))</f>
        <v/>
      </c>
      <c r="F3487" s="63"/>
      <c r="G3487" s="63"/>
      <c r="H3487" s="60"/>
      <c r="I3487" s="60"/>
      <c r="J3487" s="63"/>
      <c r="K3487" s="61" t="str">
        <f aca="false">IF($P3487=0,"",IF($F3487="Baseline","— Baseline",IF($O3487=0,"No result",IF($N3487=0,"No Start (attainment only)",IF(OR($N3487=1,$O3487=1),"U – needs rule",INDEX(MxBody,MATCH($I3487,MxCurr,0),MATCH($H3487,MxStart,0)))))))</f>
        <v/>
      </c>
      <c r="L3487" s="62" t="str">
        <f aca="false">IF(COUNTA($A3487,$F3487,$G3487,$H3487,$I3487,$J3487)=0,"",IF($M3487=0,"✖ كود الصف غير موجود",IF(ISNA(MATCH($F3487,Lists!$A$2:$A$5,0)),"✖ الفترة غير صحيحة",IF(ISNA(MATCH($G3487,Lists!$B$2:$B$7,0)),"✖ المجموعة غير صحيحة",IF(NOT(OR($H3487="",$N3487&gt;0)),"✖ Start غير صحيح",IF(NOT(OR($I3487="",$I3487="NR",$O3487&gt;0)),"✖ Current غير صحيح",IF(NOT(IF(ISNUMBER($J3487),AND($J3487&gt;=0,$J3487=INT($J3487)),FALSE())),"✖ العدد يجب أن يكون صحيحًا ≥ 0",IF(AND($F3487="Baseline",$H3487&lt;&gt;""),"⚠ Baseline: Start لا يدخل في التقدم",IF($K3487="No Start (attainment only)","ℹ تحصيل فقط (بدون Start)",IF($K3487="U – needs rule","ℹ حالة U تحتاج قاعدة معتمدة",IF($K3487="No result","ℹ بدون نتيجة (يُستبعد من التحصيل)","OK")))))))))))</f>
        <v/>
      </c>
      <c r="M3487" s="64" t="n">
        <f aca="false">IF($A3487="",0,IFERROR(MATCH($A3487,Classes!$A$6:$A$420,0),0))</f>
        <v>0</v>
      </c>
      <c r="N3487" s="64" t="n">
        <f aca="false">IF($H3487="",0,IFERROR(MATCH($H3487,GradeList,0),0))</f>
        <v>0</v>
      </c>
      <c r="O3487" s="64" t="n">
        <f aca="false">IF(OR($I3487="",$I3487="NR"),0,IFERROR(MATCH($I3487,GradeList,0),0))</f>
        <v>0</v>
      </c>
      <c r="P3487" s="64" t="n">
        <f aca="false">IF(AND($M3487&gt;0,ISNUMBER(MATCH($F3487,Lists!$A$2:$A$5,0)),ISNUMBER(MATCH($G3487,Lists!$B$2:$B$7,0)),OR($H3487="",$N3487&gt;0),OR($I3487="",$I3487="NR",$O3487&gt;0),IF(ISNUMBER($J3487),AND($J3487&gt;=0,$J3487=INT($J3487)),FALSE())),$J3487,0)</f>
        <v>0</v>
      </c>
      <c r="Q3487" s="64" t="n">
        <f aca="false">IF(AND($P3487&gt;0,$O3487&gt;0),$P3487,0)</f>
        <v>0</v>
      </c>
      <c r="R3487" s="64" t="n">
        <f aca="false">IF(AND($Q3487&gt;0,$O3487&gt;=AtRank),$Q3487,0)</f>
        <v>0</v>
      </c>
      <c r="S3487" s="64" t="n">
        <f aca="false">IF(AND($Q3487&gt;0,$O3487&gt;=AboveRank),$Q3487,0)</f>
        <v>0</v>
      </c>
      <c r="T3487" s="64" t="n">
        <f aca="false">IF($K3487="Less",$P3487,0)</f>
        <v>0</v>
      </c>
      <c r="U3487" s="64" t="n">
        <f aca="false">IF($K3487="Expected",$P3487,0)</f>
        <v>0</v>
      </c>
      <c r="V3487" s="64" t="n">
        <f aca="false">IF($K3487="Better",$P3487,0)</f>
        <v>0</v>
      </c>
      <c r="W3487" s="64" t="n">
        <f aca="false">IF($K3487="U – needs rule",$P3487,0)</f>
        <v>0</v>
      </c>
      <c r="X3487" s="64" t="n">
        <f aca="false">IF($K3487="No Start (attainment only)",$P3487,0)</f>
        <v>0</v>
      </c>
    </row>
    <row r="3488" customFormat="false" ht="15" hidden="false" customHeight="false" outlineLevel="0" collapsed="false">
      <c r="A3488" s="60"/>
      <c r="B3488" s="61" t="str">
        <f aca="false">IF($M3488=0,"",INDEX(Classes!$E$6:$E$420,$M3488))</f>
        <v/>
      </c>
      <c r="C3488" s="62" t="str">
        <f aca="false">IF($M3488=0,"",INDEX(Classes!$H$6:$H$420,$M3488))</f>
        <v/>
      </c>
      <c r="D3488" s="61" t="str">
        <f aca="false">IF($M3488=0,"",INDEX(Classes!$B$6:$B$420,$M3488))</f>
        <v/>
      </c>
      <c r="E3488" s="61" t="str">
        <f aca="false">IF($M3488=0,"",INDEX(Classes!$C$6:$C$420,$M3488))</f>
        <v/>
      </c>
      <c r="F3488" s="63"/>
      <c r="G3488" s="63"/>
      <c r="H3488" s="60"/>
      <c r="I3488" s="60"/>
      <c r="J3488" s="63"/>
      <c r="K3488" s="61" t="str">
        <f aca="false">IF($P3488=0,"",IF($F3488="Baseline","— Baseline",IF($O3488=0,"No result",IF($N3488=0,"No Start (attainment only)",IF(OR($N3488=1,$O3488=1),"U – needs rule",INDEX(MxBody,MATCH($I3488,MxCurr,0),MATCH($H3488,MxStart,0)))))))</f>
        <v/>
      </c>
      <c r="L3488" s="62" t="str">
        <f aca="false">IF(COUNTA($A3488,$F3488,$G3488,$H3488,$I3488,$J3488)=0,"",IF($M3488=0,"✖ كود الصف غير موجود",IF(ISNA(MATCH($F3488,Lists!$A$2:$A$5,0)),"✖ الفترة غير صحيحة",IF(ISNA(MATCH($G3488,Lists!$B$2:$B$7,0)),"✖ المجموعة غير صحيحة",IF(NOT(OR($H3488="",$N3488&gt;0)),"✖ Start غير صحيح",IF(NOT(OR($I3488="",$I3488="NR",$O3488&gt;0)),"✖ Current غير صحيح",IF(NOT(IF(ISNUMBER($J3488),AND($J3488&gt;=0,$J3488=INT($J3488)),FALSE())),"✖ العدد يجب أن يكون صحيحًا ≥ 0",IF(AND($F3488="Baseline",$H3488&lt;&gt;""),"⚠ Baseline: Start لا يدخل في التقدم",IF($K3488="No Start (attainment only)","ℹ تحصيل فقط (بدون Start)",IF($K3488="U – needs rule","ℹ حالة U تحتاج قاعدة معتمدة",IF($K3488="No result","ℹ بدون نتيجة (يُستبعد من التحصيل)","OK")))))))))))</f>
        <v/>
      </c>
      <c r="M3488" s="64" t="n">
        <f aca="false">IF($A3488="",0,IFERROR(MATCH($A3488,Classes!$A$6:$A$420,0),0))</f>
        <v>0</v>
      </c>
      <c r="N3488" s="64" t="n">
        <f aca="false">IF($H3488="",0,IFERROR(MATCH($H3488,GradeList,0),0))</f>
        <v>0</v>
      </c>
      <c r="O3488" s="64" t="n">
        <f aca="false">IF(OR($I3488="",$I3488="NR"),0,IFERROR(MATCH($I3488,GradeList,0),0))</f>
        <v>0</v>
      </c>
      <c r="P3488" s="64" t="n">
        <f aca="false">IF(AND($M3488&gt;0,ISNUMBER(MATCH($F3488,Lists!$A$2:$A$5,0)),ISNUMBER(MATCH($G3488,Lists!$B$2:$B$7,0)),OR($H3488="",$N3488&gt;0),OR($I3488="",$I3488="NR",$O3488&gt;0),IF(ISNUMBER($J3488),AND($J3488&gt;=0,$J3488=INT($J3488)),FALSE())),$J3488,0)</f>
        <v>0</v>
      </c>
      <c r="Q3488" s="64" t="n">
        <f aca="false">IF(AND($P3488&gt;0,$O3488&gt;0),$P3488,0)</f>
        <v>0</v>
      </c>
      <c r="R3488" s="64" t="n">
        <f aca="false">IF(AND($Q3488&gt;0,$O3488&gt;=AtRank),$Q3488,0)</f>
        <v>0</v>
      </c>
      <c r="S3488" s="64" t="n">
        <f aca="false">IF(AND($Q3488&gt;0,$O3488&gt;=AboveRank),$Q3488,0)</f>
        <v>0</v>
      </c>
      <c r="T3488" s="64" t="n">
        <f aca="false">IF($K3488="Less",$P3488,0)</f>
        <v>0</v>
      </c>
      <c r="U3488" s="64" t="n">
        <f aca="false">IF($K3488="Expected",$P3488,0)</f>
        <v>0</v>
      </c>
      <c r="V3488" s="64" t="n">
        <f aca="false">IF($K3488="Better",$P3488,0)</f>
        <v>0</v>
      </c>
      <c r="W3488" s="64" t="n">
        <f aca="false">IF($K3488="U – needs rule",$P3488,0)</f>
        <v>0</v>
      </c>
      <c r="X3488" s="64" t="n">
        <f aca="false">IF($K3488="No Start (attainment only)",$P3488,0)</f>
        <v>0</v>
      </c>
    </row>
    <row r="3489" customFormat="false" ht="15" hidden="false" customHeight="false" outlineLevel="0" collapsed="false">
      <c r="A3489" s="60"/>
      <c r="B3489" s="61" t="str">
        <f aca="false">IF($M3489=0,"",INDEX(Classes!$E$6:$E$420,$M3489))</f>
        <v/>
      </c>
      <c r="C3489" s="62" t="str">
        <f aca="false">IF($M3489=0,"",INDEX(Classes!$H$6:$H$420,$M3489))</f>
        <v/>
      </c>
      <c r="D3489" s="61" t="str">
        <f aca="false">IF($M3489=0,"",INDEX(Classes!$B$6:$B$420,$M3489))</f>
        <v/>
      </c>
      <c r="E3489" s="61" t="str">
        <f aca="false">IF($M3489=0,"",INDEX(Classes!$C$6:$C$420,$M3489))</f>
        <v/>
      </c>
      <c r="F3489" s="63"/>
      <c r="G3489" s="63"/>
      <c r="H3489" s="60"/>
      <c r="I3489" s="60"/>
      <c r="J3489" s="63"/>
      <c r="K3489" s="61" t="str">
        <f aca="false">IF($P3489=0,"",IF($F3489="Baseline","— Baseline",IF($O3489=0,"No result",IF($N3489=0,"No Start (attainment only)",IF(OR($N3489=1,$O3489=1),"U – needs rule",INDEX(MxBody,MATCH($I3489,MxCurr,0),MATCH($H3489,MxStart,0)))))))</f>
        <v/>
      </c>
      <c r="L3489" s="62" t="str">
        <f aca="false">IF(COUNTA($A3489,$F3489,$G3489,$H3489,$I3489,$J3489)=0,"",IF($M3489=0,"✖ كود الصف غير موجود",IF(ISNA(MATCH($F3489,Lists!$A$2:$A$5,0)),"✖ الفترة غير صحيحة",IF(ISNA(MATCH($G3489,Lists!$B$2:$B$7,0)),"✖ المجموعة غير صحيحة",IF(NOT(OR($H3489="",$N3489&gt;0)),"✖ Start غير صحيح",IF(NOT(OR($I3489="",$I3489="NR",$O3489&gt;0)),"✖ Current غير صحيح",IF(NOT(IF(ISNUMBER($J3489),AND($J3489&gt;=0,$J3489=INT($J3489)),FALSE())),"✖ العدد يجب أن يكون صحيحًا ≥ 0",IF(AND($F3489="Baseline",$H3489&lt;&gt;""),"⚠ Baseline: Start لا يدخل في التقدم",IF($K3489="No Start (attainment only)","ℹ تحصيل فقط (بدون Start)",IF($K3489="U – needs rule","ℹ حالة U تحتاج قاعدة معتمدة",IF($K3489="No result","ℹ بدون نتيجة (يُستبعد من التحصيل)","OK")))))))))))</f>
        <v/>
      </c>
      <c r="M3489" s="64" t="n">
        <f aca="false">IF($A3489="",0,IFERROR(MATCH($A3489,Classes!$A$6:$A$420,0),0))</f>
        <v>0</v>
      </c>
      <c r="N3489" s="64" t="n">
        <f aca="false">IF($H3489="",0,IFERROR(MATCH($H3489,GradeList,0),0))</f>
        <v>0</v>
      </c>
      <c r="O3489" s="64" t="n">
        <f aca="false">IF(OR($I3489="",$I3489="NR"),0,IFERROR(MATCH($I3489,GradeList,0),0))</f>
        <v>0</v>
      </c>
      <c r="P3489" s="64" t="n">
        <f aca="false">IF(AND($M3489&gt;0,ISNUMBER(MATCH($F3489,Lists!$A$2:$A$5,0)),ISNUMBER(MATCH($G3489,Lists!$B$2:$B$7,0)),OR($H3489="",$N3489&gt;0),OR($I3489="",$I3489="NR",$O3489&gt;0),IF(ISNUMBER($J3489),AND($J3489&gt;=0,$J3489=INT($J3489)),FALSE())),$J3489,0)</f>
        <v>0</v>
      </c>
      <c r="Q3489" s="64" t="n">
        <f aca="false">IF(AND($P3489&gt;0,$O3489&gt;0),$P3489,0)</f>
        <v>0</v>
      </c>
      <c r="R3489" s="64" t="n">
        <f aca="false">IF(AND($Q3489&gt;0,$O3489&gt;=AtRank),$Q3489,0)</f>
        <v>0</v>
      </c>
      <c r="S3489" s="64" t="n">
        <f aca="false">IF(AND($Q3489&gt;0,$O3489&gt;=AboveRank),$Q3489,0)</f>
        <v>0</v>
      </c>
      <c r="T3489" s="64" t="n">
        <f aca="false">IF($K3489="Less",$P3489,0)</f>
        <v>0</v>
      </c>
      <c r="U3489" s="64" t="n">
        <f aca="false">IF($K3489="Expected",$P3489,0)</f>
        <v>0</v>
      </c>
      <c r="V3489" s="64" t="n">
        <f aca="false">IF($K3489="Better",$P3489,0)</f>
        <v>0</v>
      </c>
      <c r="W3489" s="64" t="n">
        <f aca="false">IF($K3489="U – needs rule",$P3489,0)</f>
        <v>0</v>
      </c>
      <c r="X3489" s="64" t="n">
        <f aca="false">IF($K3489="No Start (attainment only)",$P3489,0)</f>
        <v>0</v>
      </c>
    </row>
    <row r="3490" customFormat="false" ht="15" hidden="false" customHeight="false" outlineLevel="0" collapsed="false">
      <c r="A3490" s="60"/>
      <c r="B3490" s="61" t="str">
        <f aca="false">IF($M3490=0,"",INDEX(Classes!$E$6:$E$420,$M3490))</f>
        <v/>
      </c>
      <c r="C3490" s="62" t="str">
        <f aca="false">IF($M3490=0,"",INDEX(Classes!$H$6:$H$420,$M3490))</f>
        <v/>
      </c>
      <c r="D3490" s="61" t="str">
        <f aca="false">IF($M3490=0,"",INDEX(Classes!$B$6:$B$420,$M3490))</f>
        <v/>
      </c>
      <c r="E3490" s="61" t="str">
        <f aca="false">IF($M3490=0,"",INDEX(Classes!$C$6:$C$420,$M3490))</f>
        <v/>
      </c>
      <c r="F3490" s="63"/>
      <c r="G3490" s="63"/>
      <c r="H3490" s="60"/>
      <c r="I3490" s="60"/>
      <c r="J3490" s="63"/>
      <c r="K3490" s="61" t="str">
        <f aca="false">IF($P3490=0,"",IF($F3490="Baseline","— Baseline",IF($O3490=0,"No result",IF($N3490=0,"No Start (attainment only)",IF(OR($N3490=1,$O3490=1),"U – needs rule",INDEX(MxBody,MATCH($I3490,MxCurr,0),MATCH($H3490,MxStart,0)))))))</f>
        <v/>
      </c>
      <c r="L3490" s="62" t="str">
        <f aca="false">IF(COUNTA($A3490,$F3490,$G3490,$H3490,$I3490,$J3490)=0,"",IF($M3490=0,"✖ كود الصف غير موجود",IF(ISNA(MATCH($F3490,Lists!$A$2:$A$5,0)),"✖ الفترة غير صحيحة",IF(ISNA(MATCH($G3490,Lists!$B$2:$B$7,0)),"✖ المجموعة غير صحيحة",IF(NOT(OR($H3490="",$N3490&gt;0)),"✖ Start غير صحيح",IF(NOT(OR($I3490="",$I3490="NR",$O3490&gt;0)),"✖ Current غير صحيح",IF(NOT(IF(ISNUMBER($J3490),AND($J3490&gt;=0,$J3490=INT($J3490)),FALSE())),"✖ العدد يجب أن يكون صحيحًا ≥ 0",IF(AND($F3490="Baseline",$H3490&lt;&gt;""),"⚠ Baseline: Start لا يدخل في التقدم",IF($K3490="No Start (attainment only)","ℹ تحصيل فقط (بدون Start)",IF($K3490="U – needs rule","ℹ حالة U تحتاج قاعدة معتمدة",IF($K3490="No result","ℹ بدون نتيجة (يُستبعد من التحصيل)","OK")))))))))))</f>
        <v/>
      </c>
      <c r="M3490" s="64" t="n">
        <f aca="false">IF($A3490="",0,IFERROR(MATCH($A3490,Classes!$A$6:$A$420,0),0))</f>
        <v>0</v>
      </c>
      <c r="N3490" s="64" t="n">
        <f aca="false">IF($H3490="",0,IFERROR(MATCH($H3490,GradeList,0),0))</f>
        <v>0</v>
      </c>
      <c r="O3490" s="64" t="n">
        <f aca="false">IF(OR($I3490="",$I3490="NR"),0,IFERROR(MATCH($I3490,GradeList,0),0))</f>
        <v>0</v>
      </c>
      <c r="P3490" s="64" t="n">
        <f aca="false">IF(AND($M3490&gt;0,ISNUMBER(MATCH($F3490,Lists!$A$2:$A$5,0)),ISNUMBER(MATCH($G3490,Lists!$B$2:$B$7,0)),OR($H3490="",$N3490&gt;0),OR($I3490="",$I3490="NR",$O3490&gt;0),IF(ISNUMBER($J3490),AND($J3490&gt;=0,$J3490=INT($J3490)),FALSE())),$J3490,0)</f>
        <v>0</v>
      </c>
      <c r="Q3490" s="64" t="n">
        <f aca="false">IF(AND($P3490&gt;0,$O3490&gt;0),$P3490,0)</f>
        <v>0</v>
      </c>
      <c r="R3490" s="64" t="n">
        <f aca="false">IF(AND($Q3490&gt;0,$O3490&gt;=AtRank),$Q3490,0)</f>
        <v>0</v>
      </c>
      <c r="S3490" s="64" t="n">
        <f aca="false">IF(AND($Q3490&gt;0,$O3490&gt;=AboveRank),$Q3490,0)</f>
        <v>0</v>
      </c>
      <c r="T3490" s="64" t="n">
        <f aca="false">IF($K3490="Less",$P3490,0)</f>
        <v>0</v>
      </c>
      <c r="U3490" s="64" t="n">
        <f aca="false">IF($K3490="Expected",$P3490,0)</f>
        <v>0</v>
      </c>
      <c r="V3490" s="64" t="n">
        <f aca="false">IF($K3490="Better",$P3490,0)</f>
        <v>0</v>
      </c>
      <c r="W3490" s="64" t="n">
        <f aca="false">IF($K3490="U – needs rule",$P3490,0)</f>
        <v>0</v>
      </c>
      <c r="X3490" s="64" t="n">
        <f aca="false">IF($K3490="No Start (attainment only)",$P3490,0)</f>
        <v>0</v>
      </c>
    </row>
    <row r="3491" customFormat="false" ht="15" hidden="false" customHeight="false" outlineLevel="0" collapsed="false">
      <c r="A3491" s="60"/>
      <c r="B3491" s="61" t="str">
        <f aca="false">IF($M3491=0,"",INDEX(Classes!$E$6:$E$420,$M3491))</f>
        <v/>
      </c>
      <c r="C3491" s="62" t="str">
        <f aca="false">IF($M3491=0,"",INDEX(Classes!$H$6:$H$420,$M3491))</f>
        <v/>
      </c>
      <c r="D3491" s="61" t="str">
        <f aca="false">IF($M3491=0,"",INDEX(Classes!$B$6:$B$420,$M3491))</f>
        <v/>
      </c>
      <c r="E3491" s="61" t="str">
        <f aca="false">IF($M3491=0,"",INDEX(Classes!$C$6:$C$420,$M3491))</f>
        <v/>
      </c>
      <c r="F3491" s="63"/>
      <c r="G3491" s="63"/>
      <c r="H3491" s="60"/>
      <c r="I3491" s="60"/>
      <c r="J3491" s="63"/>
      <c r="K3491" s="61" t="str">
        <f aca="false">IF($P3491=0,"",IF($F3491="Baseline","— Baseline",IF($O3491=0,"No result",IF($N3491=0,"No Start (attainment only)",IF(OR($N3491=1,$O3491=1),"U – needs rule",INDEX(MxBody,MATCH($I3491,MxCurr,0),MATCH($H3491,MxStart,0)))))))</f>
        <v/>
      </c>
      <c r="L3491" s="62" t="str">
        <f aca="false">IF(COUNTA($A3491,$F3491,$G3491,$H3491,$I3491,$J3491)=0,"",IF($M3491=0,"✖ كود الصف غير موجود",IF(ISNA(MATCH($F3491,Lists!$A$2:$A$5,0)),"✖ الفترة غير صحيحة",IF(ISNA(MATCH($G3491,Lists!$B$2:$B$7,0)),"✖ المجموعة غير صحيحة",IF(NOT(OR($H3491="",$N3491&gt;0)),"✖ Start غير صحيح",IF(NOT(OR($I3491="",$I3491="NR",$O3491&gt;0)),"✖ Current غير صحيح",IF(NOT(IF(ISNUMBER($J3491),AND($J3491&gt;=0,$J3491=INT($J3491)),FALSE())),"✖ العدد يجب أن يكون صحيحًا ≥ 0",IF(AND($F3491="Baseline",$H3491&lt;&gt;""),"⚠ Baseline: Start لا يدخل في التقدم",IF($K3491="No Start (attainment only)","ℹ تحصيل فقط (بدون Start)",IF($K3491="U – needs rule","ℹ حالة U تحتاج قاعدة معتمدة",IF($K3491="No result","ℹ بدون نتيجة (يُستبعد من التحصيل)","OK")))))))))))</f>
        <v/>
      </c>
      <c r="M3491" s="64" t="n">
        <f aca="false">IF($A3491="",0,IFERROR(MATCH($A3491,Classes!$A$6:$A$420,0),0))</f>
        <v>0</v>
      </c>
      <c r="N3491" s="64" t="n">
        <f aca="false">IF($H3491="",0,IFERROR(MATCH($H3491,GradeList,0),0))</f>
        <v>0</v>
      </c>
      <c r="O3491" s="64" t="n">
        <f aca="false">IF(OR($I3491="",$I3491="NR"),0,IFERROR(MATCH($I3491,GradeList,0),0))</f>
        <v>0</v>
      </c>
      <c r="P3491" s="64" t="n">
        <f aca="false">IF(AND($M3491&gt;0,ISNUMBER(MATCH($F3491,Lists!$A$2:$A$5,0)),ISNUMBER(MATCH($G3491,Lists!$B$2:$B$7,0)),OR($H3491="",$N3491&gt;0),OR($I3491="",$I3491="NR",$O3491&gt;0),IF(ISNUMBER($J3491),AND($J3491&gt;=0,$J3491=INT($J3491)),FALSE())),$J3491,0)</f>
        <v>0</v>
      </c>
      <c r="Q3491" s="64" t="n">
        <f aca="false">IF(AND($P3491&gt;0,$O3491&gt;0),$P3491,0)</f>
        <v>0</v>
      </c>
      <c r="R3491" s="64" t="n">
        <f aca="false">IF(AND($Q3491&gt;0,$O3491&gt;=AtRank),$Q3491,0)</f>
        <v>0</v>
      </c>
      <c r="S3491" s="64" t="n">
        <f aca="false">IF(AND($Q3491&gt;0,$O3491&gt;=AboveRank),$Q3491,0)</f>
        <v>0</v>
      </c>
      <c r="T3491" s="64" t="n">
        <f aca="false">IF($K3491="Less",$P3491,0)</f>
        <v>0</v>
      </c>
      <c r="U3491" s="64" t="n">
        <f aca="false">IF($K3491="Expected",$P3491,0)</f>
        <v>0</v>
      </c>
      <c r="V3491" s="64" t="n">
        <f aca="false">IF($K3491="Better",$P3491,0)</f>
        <v>0</v>
      </c>
      <c r="W3491" s="64" t="n">
        <f aca="false">IF($K3491="U – needs rule",$P3491,0)</f>
        <v>0</v>
      </c>
      <c r="X3491" s="64" t="n">
        <f aca="false">IF($K3491="No Start (attainment only)",$P3491,0)</f>
        <v>0</v>
      </c>
    </row>
    <row r="3492" customFormat="false" ht="15" hidden="false" customHeight="false" outlineLevel="0" collapsed="false">
      <c r="A3492" s="60"/>
      <c r="B3492" s="61" t="str">
        <f aca="false">IF($M3492=0,"",INDEX(Classes!$E$6:$E$420,$M3492))</f>
        <v/>
      </c>
      <c r="C3492" s="62" t="str">
        <f aca="false">IF($M3492=0,"",INDEX(Classes!$H$6:$H$420,$M3492))</f>
        <v/>
      </c>
      <c r="D3492" s="61" t="str">
        <f aca="false">IF($M3492=0,"",INDEX(Classes!$B$6:$B$420,$M3492))</f>
        <v/>
      </c>
      <c r="E3492" s="61" t="str">
        <f aca="false">IF($M3492=0,"",INDEX(Classes!$C$6:$C$420,$M3492))</f>
        <v/>
      </c>
      <c r="F3492" s="63"/>
      <c r="G3492" s="63"/>
      <c r="H3492" s="60"/>
      <c r="I3492" s="60"/>
      <c r="J3492" s="63"/>
      <c r="K3492" s="61" t="str">
        <f aca="false">IF($P3492=0,"",IF($F3492="Baseline","— Baseline",IF($O3492=0,"No result",IF($N3492=0,"No Start (attainment only)",IF(OR($N3492=1,$O3492=1),"U – needs rule",INDEX(MxBody,MATCH($I3492,MxCurr,0),MATCH($H3492,MxStart,0)))))))</f>
        <v/>
      </c>
      <c r="L3492" s="62" t="str">
        <f aca="false">IF(COUNTA($A3492,$F3492,$G3492,$H3492,$I3492,$J3492)=0,"",IF($M3492=0,"✖ كود الصف غير موجود",IF(ISNA(MATCH($F3492,Lists!$A$2:$A$5,0)),"✖ الفترة غير صحيحة",IF(ISNA(MATCH($G3492,Lists!$B$2:$B$7,0)),"✖ المجموعة غير صحيحة",IF(NOT(OR($H3492="",$N3492&gt;0)),"✖ Start غير صحيح",IF(NOT(OR($I3492="",$I3492="NR",$O3492&gt;0)),"✖ Current غير صحيح",IF(NOT(IF(ISNUMBER($J3492),AND($J3492&gt;=0,$J3492=INT($J3492)),FALSE())),"✖ العدد يجب أن يكون صحيحًا ≥ 0",IF(AND($F3492="Baseline",$H3492&lt;&gt;""),"⚠ Baseline: Start لا يدخل في التقدم",IF($K3492="No Start (attainment only)","ℹ تحصيل فقط (بدون Start)",IF($K3492="U – needs rule","ℹ حالة U تحتاج قاعدة معتمدة",IF($K3492="No result","ℹ بدون نتيجة (يُستبعد من التحصيل)","OK")))))))))))</f>
        <v/>
      </c>
      <c r="M3492" s="64" t="n">
        <f aca="false">IF($A3492="",0,IFERROR(MATCH($A3492,Classes!$A$6:$A$420,0),0))</f>
        <v>0</v>
      </c>
      <c r="N3492" s="64" t="n">
        <f aca="false">IF($H3492="",0,IFERROR(MATCH($H3492,GradeList,0),0))</f>
        <v>0</v>
      </c>
      <c r="O3492" s="64" t="n">
        <f aca="false">IF(OR($I3492="",$I3492="NR"),0,IFERROR(MATCH($I3492,GradeList,0),0))</f>
        <v>0</v>
      </c>
      <c r="P3492" s="64" t="n">
        <f aca="false">IF(AND($M3492&gt;0,ISNUMBER(MATCH($F3492,Lists!$A$2:$A$5,0)),ISNUMBER(MATCH($G3492,Lists!$B$2:$B$7,0)),OR($H3492="",$N3492&gt;0),OR($I3492="",$I3492="NR",$O3492&gt;0),IF(ISNUMBER($J3492),AND($J3492&gt;=0,$J3492=INT($J3492)),FALSE())),$J3492,0)</f>
        <v>0</v>
      </c>
      <c r="Q3492" s="64" t="n">
        <f aca="false">IF(AND($P3492&gt;0,$O3492&gt;0),$P3492,0)</f>
        <v>0</v>
      </c>
      <c r="R3492" s="64" t="n">
        <f aca="false">IF(AND($Q3492&gt;0,$O3492&gt;=AtRank),$Q3492,0)</f>
        <v>0</v>
      </c>
      <c r="S3492" s="64" t="n">
        <f aca="false">IF(AND($Q3492&gt;0,$O3492&gt;=AboveRank),$Q3492,0)</f>
        <v>0</v>
      </c>
      <c r="T3492" s="64" t="n">
        <f aca="false">IF($K3492="Less",$P3492,0)</f>
        <v>0</v>
      </c>
      <c r="U3492" s="64" t="n">
        <f aca="false">IF($K3492="Expected",$P3492,0)</f>
        <v>0</v>
      </c>
      <c r="V3492" s="64" t="n">
        <f aca="false">IF($K3492="Better",$P3492,0)</f>
        <v>0</v>
      </c>
      <c r="W3492" s="64" t="n">
        <f aca="false">IF($K3492="U – needs rule",$P3492,0)</f>
        <v>0</v>
      </c>
      <c r="X3492" s="64" t="n">
        <f aca="false">IF($K3492="No Start (attainment only)",$P3492,0)</f>
        <v>0</v>
      </c>
    </row>
    <row r="3493" customFormat="false" ht="15" hidden="false" customHeight="false" outlineLevel="0" collapsed="false">
      <c r="A3493" s="60"/>
      <c r="B3493" s="61" t="str">
        <f aca="false">IF($M3493=0,"",INDEX(Classes!$E$6:$E$420,$M3493))</f>
        <v/>
      </c>
      <c r="C3493" s="62" t="str">
        <f aca="false">IF($M3493=0,"",INDEX(Classes!$H$6:$H$420,$M3493))</f>
        <v/>
      </c>
      <c r="D3493" s="61" t="str">
        <f aca="false">IF($M3493=0,"",INDEX(Classes!$B$6:$B$420,$M3493))</f>
        <v/>
      </c>
      <c r="E3493" s="61" t="str">
        <f aca="false">IF($M3493=0,"",INDEX(Classes!$C$6:$C$420,$M3493))</f>
        <v/>
      </c>
      <c r="F3493" s="63"/>
      <c r="G3493" s="63"/>
      <c r="H3493" s="60"/>
      <c r="I3493" s="60"/>
      <c r="J3493" s="63"/>
      <c r="K3493" s="61" t="str">
        <f aca="false">IF($P3493=0,"",IF($F3493="Baseline","— Baseline",IF($O3493=0,"No result",IF($N3493=0,"No Start (attainment only)",IF(OR($N3493=1,$O3493=1),"U – needs rule",INDEX(MxBody,MATCH($I3493,MxCurr,0),MATCH($H3493,MxStart,0)))))))</f>
        <v/>
      </c>
      <c r="L3493" s="62" t="str">
        <f aca="false">IF(COUNTA($A3493,$F3493,$G3493,$H3493,$I3493,$J3493)=0,"",IF($M3493=0,"✖ كود الصف غير موجود",IF(ISNA(MATCH($F3493,Lists!$A$2:$A$5,0)),"✖ الفترة غير صحيحة",IF(ISNA(MATCH($G3493,Lists!$B$2:$B$7,0)),"✖ المجموعة غير صحيحة",IF(NOT(OR($H3493="",$N3493&gt;0)),"✖ Start غير صحيح",IF(NOT(OR($I3493="",$I3493="NR",$O3493&gt;0)),"✖ Current غير صحيح",IF(NOT(IF(ISNUMBER($J3493),AND($J3493&gt;=0,$J3493=INT($J3493)),FALSE())),"✖ العدد يجب أن يكون صحيحًا ≥ 0",IF(AND($F3493="Baseline",$H3493&lt;&gt;""),"⚠ Baseline: Start لا يدخل في التقدم",IF($K3493="No Start (attainment only)","ℹ تحصيل فقط (بدون Start)",IF($K3493="U – needs rule","ℹ حالة U تحتاج قاعدة معتمدة",IF($K3493="No result","ℹ بدون نتيجة (يُستبعد من التحصيل)","OK")))))))))))</f>
        <v/>
      </c>
      <c r="M3493" s="64" t="n">
        <f aca="false">IF($A3493="",0,IFERROR(MATCH($A3493,Classes!$A$6:$A$420,0),0))</f>
        <v>0</v>
      </c>
      <c r="N3493" s="64" t="n">
        <f aca="false">IF($H3493="",0,IFERROR(MATCH($H3493,GradeList,0),0))</f>
        <v>0</v>
      </c>
      <c r="O3493" s="64" t="n">
        <f aca="false">IF(OR($I3493="",$I3493="NR"),0,IFERROR(MATCH($I3493,GradeList,0),0))</f>
        <v>0</v>
      </c>
      <c r="P3493" s="64" t="n">
        <f aca="false">IF(AND($M3493&gt;0,ISNUMBER(MATCH($F3493,Lists!$A$2:$A$5,0)),ISNUMBER(MATCH($G3493,Lists!$B$2:$B$7,0)),OR($H3493="",$N3493&gt;0),OR($I3493="",$I3493="NR",$O3493&gt;0),IF(ISNUMBER($J3493),AND($J3493&gt;=0,$J3493=INT($J3493)),FALSE())),$J3493,0)</f>
        <v>0</v>
      </c>
      <c r="Q3493" s="64" t="n">
        <f aca="false">IF(AND($P3493&gt;0,$O3493&gt;0),$P3493,0)</f>
        <v>0</v>
      </c>
      <c r="R3493" s="64" t="n">
        <f aca="false">IF(AND($Q3493&gt;0,$O3493&gt;=AtRank),$Q3493,0)</f>
        <v>0</v>
      </c>
      <c r="S3493" s="64" t="n">
        <f aca="false">IF(AND($Q3493&gt;0,$O3493&gt;=AboveRank),$Q3493,0)</f>
        <v>0</v>
      </c>
      <c r="T3493" s="64" t="n">
        <f aca="false">IF($K3493="Less",$P3493,0)</f>
        <v>0</v>
      </c>
      <c r="U3493" s="64" t="n">
        <f aca="false">IF($K3493="Expected",$P3493,0)</f>
        <v>0</v>
      </c>
      <c r="V3493" s="64" t="n">
        <f aca="false">IF($K3493="Better",$P3493,0)</f>
        <v>0</v>
      </c>
      <c r="W3493" s="64" t="n">
        <f aca="false">IF($K3493="U – needs rule",$P3493,0)</f>
        <v>0</v>
      </c>
      <c r="X3493" s="64" t="n">
        <f aca="false">IF($K3493="No Start (attainment only)",$P3493,0)</f>
        <v>0</v>
      </c>
    </row>
    <row r="3494" customFormat="false" ht="15" hidden="false" customHeight="false" outlineLevel="0" collapsed="false">
      <c r="A3494" s="60"/>
      <c r="B3494" s="61" t="str">
        <f aca="false">IF($M3494=0,"",INDEX(Classes!$E$6:$E$420,$M3494))</f>
        <v/>
      </c>
      <c r="C3494" s="62" t="str">
        <f aca="false">IF($M3494=0,"",INDEX(Classes!$H$6:$H$420,$M3494))</f>
        <v/>
      </c>
      <c r="D3494" s="61" t="str">
        <f aca="false">IF($M3494=0,"",INDEX(Classes!$B$6:$B$420,$M3494))</f>
        <v/>
      </c>
      <c r="E3494" s="61" t="str">
        <f aca="false">IF($M3494=0,"",INDEX(Classes!$C$6:$C$420,$M3494))</f>
        <v/>
      </c>
      <c r="F3494" s="63"/>
      <c r="G3494" s="63"/>
      <c r="H3494" s="60"/>
      <c r="I3494" s="60"/>
      <c r="J3494" s="63"/>
      <c r="K3494" s="61" t="str">
        <f aca="false">IF($P3494=0,"",IF($F3494="Baseline","— Baseline",IF($O3494=0,"No result",IF($N3494=0,"No Start (attainment only)",IF(OR($N3494=1,$O3494=1),"U – needs rule",INDEX(MxBody,MATCH($I3494,MxCurr,0),MATCH($H3494,MxStart,0)))))))</f>
        <v/>
      </c>
      <c r="L3494" s="62" t="str">
        <f aca="false">IF(COUNTA($A3494,$F3494,$G3494,$H3494,$I3494,$J3494)=0,"",IF($M3494=0,"✖ كود الصف غير موجود",IF(ISNA(MATCH($F3494,Lists!$A$2:$A$5,0)),"✖ الفترة غير صحيحة",IF(ISNA(MATCH($G3494,Lists!$B$2:$B$7,0)),"✖ المجموعة غير صحيحة",IF(NOT(OR($H3494="",$N3494&gt;0)),"✖ Start غير صحيح",IF(NOT(OR($I3494="",$I3494="NR",$O3494&gt;0)),"✖ Current غير صحيح",IF(NOT(IF(ISNUMBER($J3494),AND($J3494&gt;=0,$J3494=INT($J3494)),FALSE())),"✖ العدد يجب أن يكون صحيحًا ≥ 0",IF(AND($F3494="Baseline",$H3494&lt;&gt;""),"⚠ Baseline: Start لا يدخل في التقدم",IF($K3494="No Start (attainment only)","ℹ تحصيل فقط (بدون Start)",IF($K3494="U – needs rule","ℹ حالة U تحتاج قاعدة معتمدة",IF($K3494="No result","ℹ بدون نتيجة (يُستبعد من التحصيل)","OK")))))))))))</f>
        <v/>
      </c>
      <c r="M3494" s="64" t="n">
        <f aca="false">IF($A3494="",0,IFERROR(MATCH($A3494,Classes!$A$6:$A$420,0),0))</f>
        <v>0</v>
      </c>
      <c r="N3494" s="64" t="n">
        <f aca="false">IF($H3494="",0,IFERROR(MATCH($H3494,GradeList,0),0))</f>
        <v>0</v>
      </c>
      <c r="O3494" s="64" t="n">
        <f aca="false">IF(OR($I3494="",$I3494="NR"),0,IFERROR(MATCH($I3494,GradeList,0),0))</f>
        <v>0</v>
      </c>
      <c r="P3494" s="64" t="n">
        <f aca="false">IF(AND($M3494&gt;0,ISNUMBER(MATCH($F3494,Lists!$A$2:$A$5,0)),ISNUMBER(MATCH($G3494,Lists!$B$2:$B$7,0)),OR($H3494="",$N3494&gt;0),OR($I3494="",$I3494="NR",$O3494&gt;0),IF(ISNUMBER($J3494),AND($J3494&gt;=0,$J3494=INT($J3494)),FALSE())),$J3494,0)</f>
        <v>0</v>
      </c>
      <c r="Q3494" s="64" t="n">
        <f aca="false">IF(AND($P3494&gt;0,$O3494&gt;0),$P3494,0)</f>
        <v>0</v>
      </c>
      <c r="R3494" s="64" t="n">
        <f aca="false">IF(AND($Q3494&gt;0,$O3494&gt;=AtRank),$Q3494,0)</f>
        <v>0</v>
      </c>
      <c r="S3494" s="64" t="n">
        <f aca="false">IF(AND($Q3494&gt;0,$O3494&gt;=AboveRank),$Q3494,0)</f>
        <v>0</v>
      </c>
      <c r="T3494" s="64" t="n">
        <f aca="false">IF($K3494="Less",$P3494,0)</f>
        <v>0</v>
      </c>
      <c r="U3494" s="64" t="n">
        <f aca="false">IF($K3494="Expected",$P3494,0)</f>
        <v>0</v>
      </c>
      <c r="V3494" s="64" t="n">
        <f aca="false">IF($K3494="Better",$P3494,0)</f>
        <v>0</v>
      </c>
      <c r="W3494" s="64" t="n">
        <f aca="false">IF($K3494="U – needs rule",$P3494,0)</f>
        <v>0</v>
      </c>
      <c r="X3494" s="64" t="n">
        <f aca="false">IF($K3494="No Start (attainment only)",$P3494,0)</f>
        <v>0</v>
      </c>
    </row>
    <row r="3495" customFormat="false" ht="15" hidden="false" customHeight="false" outlineLevel="0" collapsed="false">
      <c r="A3495" s="60"/>
      <c r="B3495" s="61" t="str">
        <f aca="false">IF($M3495=0,"",INDEX(Classes!$E$6:$E$420,$M3495))</f>
        <v/>
      </c>
      <c r="C3495" s="62" t="str">
        <f aca="false">IF($M3495=0,"",INDEX(Classes!$H$6:$H$420,$M3495))</f>
        <v/>
      </c>
      <c r="D3495" s="61" t="str">
        <f aca="false">IF($M3495=0,"",INDEX(Classes!$B$6:$B$420,$M3495))</f>
        <v/>
      </c>
      <c r="E3495" s="61" t="str">
        <f aca="false">IF($M3495=0,"",INDEX(Classes!$C$6:$C$420,$M3495))</f>
        <v/>
      </c>
      <c r="F3495" s="63"/>
      <c r="G3495" s="63"/>
      <c r="H3495" s="60"/>
      <c r="I3495" s="60"/>
      <c r="J3495" s="63"/>
      <c r="K3495" s="61" t="str">
        <f aca="false">IF($P3495=0,"",IF($F3495="Baseline","— Baseline",IF($O3495=0,"No result",IF($N3495=0,"No Start (attainment only)",IF(OR($N3495=1,$O3495=1),"U – needs rule",INDEX(MxBody,MATCH($I3495,MxCurr,0),MATCH($H3495,MxStart,0)))))))</f>
        <v/>
      </c>
      <c r="L3495" s="62" t="str">
        <f aca="false">IF(COUNTA($A3495,$F3495,$G3495,$H3495,$I3495,$J3495)=0,"",IF($M3495=0,"✖ كود الصف غير موجود",IF(ISNA(MATCH($F3495,Lists!$A$2:$A$5,0)),"✖ الفترة غير صحيحة",IF(ISNA(MATCH($G3495,Lists!$B$2:$B$7,0)),"✖ المجموعة غير صحيحة",IF(NOT(OR($H3495="",$N3495&gt;0)),"✖ Start غير صحيح",IF(NOT(OR($I3495="",$I3495="NR",$O3495&gt;0)),"✖ Current غير صحيح",IF(NOT(IF(ISNUMBER($J3495),AND($J3495&gt;=0,$J3495=INT($J3495)),FALSE())),"✖ العدد يجب أن يكون صحيحًا ≥ 0",IF(AND($F3495="Baseline",$H3495&lt;&gt;""),"⚠ Baseline: Start لا يدخل في التقدم",IF($K3495="No Start (attainment only)","ℹ تحصيل فقط (بدون Start)",IF($K3495="U – needs rule","ℹ حالة U تحتاج قاعدة معتمدة",IF($K3495="No result","ℹ بدون نتيجة (يُستبعد من التحصيل)","OK")))))))))))</f>
        <v/>
      </c>
      <c r="M3495" s="64" t="n">
        <f aca="false">IF($A3495="",0,IFERROR(MATCH($A3495,Classes!$A$6:$A$420,0),0))</f>
        <v>0</v>
      </c>
      <c r="N3495" s="64" t="n">
        <f aca="false">IF($H3495="",0,IFERROR(MATCH($H3495,GradeList,0),0))</f>
        <v>0</v>
      </c>
      <c r="O3495" s="64" t="n">
        <f aca="false">IF(OR($I3495="",$I3495="NR"),0,IFERROR(MATCH($I3495,GradeList,0),0))</f>
        <v>0</v>
      </c>
      <c r="P3495" s="64" t="n">
        <f aca="false">IF(AND($M3495&gt;0,ISNUMBER(MATCH($F3495,Lists!$A$2:$A$5,0)),ISNUMBER(MATCH($G3495,Lists!$B$2:$B$7,0)),OR($H3495="",$N3495&gt;0),OR($I3495="",$I3495="NR",$O3495&gt;0),IF(ISNUMBER($J3495),AND($J3495&gt;=0,$J3495=INT($J3495)),FALSE())),$J3495,0)</f>
        <v>0</v>
      </c>
      <c r="Q3495" s="64" t="n">
        <f aca="false">IF(AND($P3495&gt;0,$O3495&gt;0),$P3495,0)</f>
        <v>0</v>
      </c>
      <c r="R3495" s="64" t="n">
        <f aca="false">IF(AND($Q3495&gt;0,$O3495&gt;=AtRank),$Q3495,0)</f>
        <v>0</v>
      </c>
      <c r="S3495" s="64" t="n">
        <f aca="false">IF(AND($Q3495&gt;0,$O3495&gt;=AboveRank),$Q3495,0)</f>
        <v>0</v>
      </c>
      <c r="T3495" s="64" t="n">
        <f aca="false">IF($K3495="Less",$P3495,0)</f>
        <v>0</v>
      </c>
      <c r="U3495" s="64" t="n">
        <f aca="false">IF($K3495="Expected",$P3495,0)</f>
        <v>0</v>
      </c>
      <c r="V3495" s="64" t="n">
        <f aca="false">IF($K3495="Better",$P3495,0)</f>
        <v>0</v>
      </c>
      <c r="W3495" s="64" t="n">
        <f aca="false">IF($K3495="U – needs rule",$P3495,0)</f>
        <v>0</v>
      </c>
      <c r="X3495" s="64" t="n">
        <f aca="false">IF($K3495="No Start (attainment only)",$P3495,0)</f>
        <v>0</v>
      </c>
    </row>
    <row r="3496" customFormat="false" ht="15" hidden="false" customHeight="false" outlineLevel="0" collapsed="false">
      <c r="A3496" s="60"/>
      <c r="B3496" s="61" t="str">
        <f aca="false">IF($M3496=0,"",INDEX(Classes!$E$6:$E$420,$M3496))</f>
        <v/>
      </c>
      <c r="C3496" s="62" t="str">
        <f aca="false">IF($M3496=0,"",INDEX(Classes!$H$6:$H$420,$M3496))</f>
        <v/>
      </c>
      <c r="D3496" s="61" t="str">
        <f aca="false">IF($M3496=0,"",INDEX(Classes!$B$6:$B$420,$M3496))</f>
        <v/>
      </c>
      <c r="E3496" s="61" t="str">
        <f aca="false">IF($M3496=0,"",INDEX(Classes!$C$6:$C$420,$M3496))</f>
        <v/>
      </c>
      <c r="F3496" s="63"/>
      <c r="G3496" s="63"/>
      <c r="H3496" s="60"/>
      <c r="I3496" s="60"/>
      <c r="J3496" s="63"/>
      <c r="K3496" s="61" t="str">
        <f aca="false">IF($P3496=0,"",IF($F3496="Baseline","— Baseline",IF($O3496=0,"No result",IF($N3496=0,"No Start (attainment only)",IF(OR($N3496=1,$O3496=1),"U – needs rule",INDEX(MxBody,MATCH($I3496,MxCurr,0),MATCH($H3496,MxStart,0)))))))</f>
        <v/>
      </c>
      <c r="L3496" s="62" t="str">
        <f aca="false">IF(COUNTA($A3496,$F3496,$G3496,$H3496,$I3496,$J3496)=0,"",IF($M3496=0,"✖ كود الصف غير موجود",IF(ISNA(MATCH($F3496,Lists!$A$2:$A$5,0)),"✖ الفترة غير صحيحة",IF(ISNA(MATCH($G3496,Lists!$B$2:$B$7,0)),"✖ المجموعة غير صحيحة",IF(NOT(OR($H3496="",$N3496&gt;0)),"✖ Start غير صحيح",IF(NOT(OR($I3496="",$I3496="NR",$O3496&gt;0)),"✖ Current غير صحيح",IF(NOT(IF(ISNUMBER($J3496),AND($J3496&gt;=0,$J3496=INT($J3496)),FALSE())),"✖ العدد يجب أن يكون صحيحًا ≥ 0",IF(AND($F3496="Baseline",$H3496&lt;&gt;""),"⚠ Baseline: Start لا يدخل في التقدم",IF($K3496="No Start (attainment only)","ℹ تحصيل فقط (بدون Start)",IF($K3496="U – needs rule","ℹ حالة U تحتاج قاعدة معتمدة",IF($K3496="No result","ℹ بدون نتيجة (يُستبعد من التحصيل)","OK")))))))))))</f>
        <v/>
      </c>
      <c r="M3496" s="64" t="n">
        <f aca="false">IF($A3496="",0,IFERROR(MATCH($A3496,Classes!$A$6:$A$420,0),0))</f>
        <v>0</v>
      </c>
      <c r="N3496" s="64" t="n">
        <f aca="false">IF($H3496="",0,IFERROR(MATCH($H3496,GradeList,0),0))</f>
        <v>0</v>
      </c>
      <c r="O3496" s="64" t="n">
        <f aca="false">IF(OR($I3496="",$I3496="NR"),0,IFERROR(MATCH($I3496,GradeList,0),0))</f>
        <v>0</v>
      </c>
      <c r="P3496" s="64" t="n">
        <f aca="false">IF(AND($M3496&gt;0,ISNUMBER(MATCH($F3496,Lists!$A$2:$A$5,0)),ISNUMBER(MATCH($G3496,Lists!$B$2:$B$7,0)),OR($H3496="",$N3496&gt;0),OR($I3496="",$I3496="NR",$O3496&gt;0),IF(ISNUMBER($J3496),AND($J3496&gt;=0,$J3496=INT($J3496)),FALSE())),$J3496,0)</f>
        <v>0</v>
      </c>
      <c r="Q3496" s="64" t="n">
        <f aca="false">IF(AND($P3496&gt;0,$O3496&gt;0),$P3496,0)</f>
        <v>0</v>
      </c>
      <c r="R3496" s="64" t="n">
        <f aca="false">IF(AND($Q3496&gt;0,$O3496&gt;=AtRank),$Q3496,0)</f>
        <v>0</v>
      </c>
      <c r="S3496" s="64" t="n">
        <f aca="false">IF(AND($Q3496&gt;0,$O3496&gt;=AboveRank),$Q3496,0)</f>
        <v>0</v>
      </c>
      <c r="T3496" s="64" t="n">
        <f aca="false">IF($K3496="Less",$P3496,0)</f>
        <v>0</v>
      </c>
      <c r="U3496" s="64" t="n">
        <f aca="false">IF($K3496="Expected",$P3496,0)</f>
        <v>0</v>
      </c>
      <c r="V3496" s="64" t="n">
        <f aca="false">IF($K3496="Better",$P3496,0)</f>
        <v>0</v>
      </c>
      <c r="W3496" s="64" t="n">
        <f aca="false">IF($K3496="U – needs rule",$P3496,0)</f>
        <v>0</v>
      </c>
      <c r="X3496" s="64" t="n">
        <f aca="false">IF($K3496="No Start (attainment only)",$P3496,0)</f>
        <v>0</v>
      </c>
    </row>
    <row r="3497" customFormat="false" ht="15" hidden="false" customHeight="false" outlineLevel="0" collapsed="false">
      <c r="A3497" s="60"/>
      <c r="B3497" s="61" t="str">
        <f aca="false">IF($M3497=0,"",INDEX(Classes!$E$6:$E$420,$M3497))</f>
        <v/>
      </c>
      <c r="C3497" s="62" t="str">
        <f aca="false">IF($M3497=0,"",INDEX(Classes!$H$6:$H$420,$M3497))</f>
        <v/>
      </c>
      <c r="D3497" s="61" t="str">
        <f aca="false">IF($M3497=0,"",INDEX(Classes!$B$6:$B$420,$M3497))</f>
        <v/>
      </c>
      <c r="E3497" s="61" t="str">
        <f aca="false">IF($M3497=0,"",INDEX(Classes!$C$6:$C$420,$M3497))</f>
        <v/>
      </c>
      <c r="F3497" s="63"/>
      <c r="G3497" s="63"/>
      <c r="H3497" s="60"/>
      <c r="I3497" s="60"/>
      <c r="J3497" s="63"/>
      <c r="K3497" s="61" t="str">
        <f aca="false">IF($P3497=0,"",IF($F3497="Baseline","— Baseline",IF($O3497=0,"No result",IF($N3497=0,"No Start (attainment only)",IF(OR($N3497=1,$O3497=1),"U – needs rule",INDEX(MxBody,MATCH($I3497,MxCurr,0),MATCH($H3497,MxStart,0)))))))</f>
        <v/>
      </c>
      <c r="L3497" s="62" t="str">
        <f aca="false">IF(COUNTA($A3497,$F3497,$G3497,$H3497,$I3497,$J3497)=0,"",IF($M3497=0,"✖ كود الصف غير موجود",IF(ISNA(MATCH($F3497,Lists!$A$2:$A$5,0)),"✖ الفترة غير صحيحة",IF(ISNA(MATCH($G3497,Lists!$B$2:$B$7,0)),"✖ المجموعة غير صحيحة",IF(NOT(OR($H3497="",$N3497&gt;0)),"✖ Start غير صحيح",IF(NOT(OR($I3497="",$I3497="NR",$O3497&gt;0)),"✖ Current غير صحيح",IF(NOT(IF(ISNUMBER($J3497),AND($J3497&gt;=0,$J3497=INT($J3497)),FALSE())),"✖ العدد يجب أن يكون صحيحًا ≥ 0",IF(AND($F3497="Baseline",$H3497&lt;&gt;""),"⚠ Baseline: Start لا يدخل في التقدم",IF($K3497="No Start (attainment only)","ℹ تحصيل فقط (بدون Start)",IF($K3497="U – needs rule","ℹ حالة U تحتاج قاعدة معتمدة",IF($K3497="No result","ℹ بدون نتيجة (يُستبعد من التحصيل)","OK")))))))))))</f>
        <v/>
      </c>
      <c r="M3497" s="64" t="n">
        <f aca="false">IF($A3497="",0,IFERROR(MATCH($A3497,Classes!$A$6:$A$420,0),0))</f>
        <v>0</v>
      </c>
      <c r="N3497" s="64" t="n">
        <f aca="false">IF($H3497="",0,IFERROR(MATCH($H3497,GradeList,0),0))</f>
        <v>0</v>
      </c>
      <c r="O3497" s="64" t="n">
        <f aca="false">IF(OR($I3497="",$I3497="NR"),0,IFERROR(MATCH($I3497,GradeList,0),0))</f>
        <v>0</v>
      </c>
      <c r="P3497" s="64" t="n">
        <f aca="false">IF(AND($M3497&gt;0,ISNUMBER(MATCH($F3497,Lists!$A$2:$A$5,0)),ISNUMBER(MATCH($G3497,Lists!$B$2:$B$7,0)),OR($H3497="",$N3497&gt;0),OR($I3497="",$I3497="NR",$O3497&gt;0),IF(ISNUMBER($J3497),AND($J3497&gt;=0,$J3497=INT($J3497)),FALSE())),$J3497,0)</f>
        <v>0</v>
      </c>
      <c r="Q3497" s="64" t="n">
        <f aca="false">IF(AND($P3497&gt;0,$O3497&gt;0),$P3497,0)</f>
        <v>0</v>
      </c>
      <c r="R3497" s="64" t="n">
        <f aca="false">IF(AND($Q3497&gt;0,$O3497&gt;=AtRank),$Q3497,0)</f>
        <v>0</v>
      </c>
      <c r="S3497" s="64" t="n">
        <f aca="false">IF(AND($Q3497&gt;0,$O3497&gt;=AboveRank),$Q3497,0)</f>
        <v>0</v>
      </c>
      <c r="T3497" s="64" t="n">
        <f aca="false">IF($K3497="Less",$P3497,0)</f>
        <v>0</v>
      </c>
      <c r="U3497" s="64" t="n">
        <f aca="false">IF($K3497="Expected",$P3497,0)</f>
        <v>0</v>
      </c>
      <c r="V3497" s="64" t="n">
        <f aca="false">IF($K3497="Better",$P3497,0)</f>
        <v>0</v>
      </c>
      <c r="W3497" s="64" t="n">
        <f aca="false">IF($K3497="U – needs rule",$P3497,0)</f>
        <v>0</v>
      </c>
      <c r="X3497" s="64" t="n">
        <f aca="false">IF($K3497="No Start (attainment only)",$P3497,0)</f>
        <v>0</v>
      </c>
    </row>
    <row r="3498" customFormat="false" ht="15" hidden="false" customHeight="false" outlineLevel="0" collapsed="false">
      <c r="A3498" s="60"/>
      <c r="B3498" s="61" t="str">
        <f aca="false">IF($M3498=0,"",INDEX(Classes!$E$6:$E$420,$M3498))</f>
        <v/>
      </c>
      <c r="C3498" s="62" t="str">
        <f aca="false">IF($M3498=0,"",INDEX(Classes!$H$6:$H$420,$M3498))</f>
        <v/>
      </c>
      <c r="D3498" s="61" t="str">
        <f aca="false">IF($M3498=0,"",INDEX(Classes!$B$6:$B$420,$M3498))</f>
        <v/>
      </c>
      <c r="E3498" s="61" t="str">
        <f aca="false">IF($M3498=0,"",INDEX(Classes!$C$6:$C$420,$M3498))</f>
        <v/>
      </c>
      <c r="F3498" s="63"/>
      <c r="G3498" s="63"/>
      <c r="H3498" s="60"/>
      <c r="I3498" s="60"/>
      <c r="J3498" s="63"/>
      <c r="K3498" s="61" t="str">
        <f aca="false">IF($P3498=0,"",IF($F3498="Baseline","— Baseline",IF($O3498=0,"No result",IF($N3498=0,"No Start (attainment only)",IF(OR($N3498=1,$O3498=1),"U – needs rule",INDEX(MxBody,MATCH($I3498,MxCurr,0),MATCH($H3498,MxStart,0)))))))</f>
        <v/>
      </c>
      <c r="L3498" s="62" t="str">
        <f aca="false">IF(COUNTA($A3498,$F3498,$G3498,$H3498,$I3498,$J3498)=0,"",IF($M3498=0,"✖ كود الصف غير موجود",IF(ISNA(MATCH($F3498,Lists!$A$2:$A$5,0)),"✖ الفترة غير صحيحة",IF(ISNA(MATCH($G3498,Lists!$B$2:$B$7,0)),"✖ المجموعة غير صحيحة",IF(NOT(OR($H3498="",$N3498&gt;0)),"✖ Start غير صحيح",IF(NOT(OR($I3498="",$I3498="NR",$O3498&gt;0)),"✖ Current غير صحيح",IF(NOT(IF(ISNUMBER($J3498),AND($J3498&gt;=0,$J3498=INT($J3498)),FALSE())),"✖ العدد يجب أن يكون صحيحًا ≥ 0",IF(AND($F3498="Baseline",$H3498&lt;&gt;""),"⚠ Baseline: Start لا يدخل في التقدم",IF($K3498="No Start (attainment only)","ℹ تحصيل فقط (بدون Start)",IF($K3498="U – needs rule","ℹ حالة U تحتاج قاعدة معتمدة",IF($K3498="No result","ℹ بدون نتيجة (يُستبعد من التحصيل)","OK")))))))))))</f>
        <v/>
      </c>
      <c r="M3498" s="64" t="n">
        <f aca="false">IF($A3498="",0,IFERROR(MATCH($A3498,Classes!$A$6:$A$420,0),0))</f>
        <v>0</v>
      </c>
      <c r="N3498" s="64" t="n">
        <f aca="false">IF($H3498="",0,IFERROR(MATCH($H3498,GradeList,0),0))</f>
        <v>0</v>
      </c>
      <c r="O3498" s="64" t="n">
        <f aca="false">IF(OR($I3498="",$I3498="NR"),0,IFERROR(MATCH($I3498,GradeList,0),0))</f>
        <v>0</v>
      </c>
      <c r="P3498" s="64" t="n">
        <f aca="false">IF(AND($M3498&gt;0,ISNUMBER(MATCH($F3498,Lists!$A$2:$A$5,0)),ISNUMBER(MATCH($G3498,Lists!$B$2:$B$7,0)),OR($H3498="",$N3498&gt;0),OR($I3498="",$I3498="NR",$O3498&gt;0),IF(ISNUMBER($J3498),AND($J3498&gt;=0,$J3498=INT($J3498)),FALSE())),$J3498,0)</f>
        <v>0</v>
      </c>
      <c r="Q3498" s="64" t="n">
        <f aca="false">IF(AND($P3498&gt;0,$O3498&gt;0),$P3498,0)</f>
        <v>0</v>
      </c>
      <c r="R3498" s="64" t="n">
        <f aca="false">IF(AND($Q3498&gt;0,$O3498&gt;=AtRank),$Q3498,0)</f>
        <v>0</v>
      </c>
      <c r="S3498" s="64" t="n">
        <f aca="false">IF(AND($Q3498&gt;0,$O3498&gt;=AboveRank),$Q3498,0)</f>
        <v>0</v>
      </c>
      <c r="T3498" s="64" t="n">
        <f aca="false">IF($K3498="Less",$P3498,0)</f>
        <v>0</v>
      </c>
      <c r="U3498" s="64" t="n">
        <f aca="false">IF($K3498="Expected",$P3498,0)</f>
        <v>0</v>
      </c>
      <c r="V3498" s="64" t="n">
        <f aca="false">IF($K3498="Better",$P3498,0)</f>
        <v>0</v>
      </c>
      <c r="W3498" s="64" t="n">
        <f aca="false">IF($K3498="U – needs rule",$P3498,0)</f>
        <v>0</v>
      </c>
      <c r="X3498" s="64" t="n">
        <f aca="false">IF($K3498="No Start (attainment only)",$P3498,0)</f>
        <v>0</v>
      </c>
    </row>
    <row r="3499" customFormat="false" ht="15" hidden="false" customHeight="false" outlineLevel="0" collapsed="false">
      <c r="A3499" s="60"/>
      <c r="B3499" s="61" t="str">
        <f aca="false">IF($M3499=0,"",INDEX(Classes!$E$6:$E$420,$M3499))</f>
        <v/>
      </c>
      <c r="C3499" s="62" t="str">
        <f aca="false">IF($M3499=0,"",INDEX(Classes!$H$6:$H$420,$M3499))</f>
        <v/>
      </c>
      <c r="D3499" s="61" t="str">
        <f aca="false">IF($M3499=0,"",INDEX(Classes!$B$6:$B$420,$M3499))</f>
        <v/>
      </c>
      <c r="E3499" s="61" t="str">
        <f aca="false">IF($M3499=0,"",INDEX(Classes!$C$6:$C$420,$M3499))</f>
        <v/>
      </c>
      <c r="F3499" s="63"/>
      <c r="G3499" s="63"/>
      <c r="H3499" s="60"/>
      <c r="I3499" s="60"/>
      <c r="J3499" s="63"/>
      <c r="K3499" s="61" t="str">
        <f aca="false">IF($P3499=0,"",IF($F3499="Baseline","— Baseline",IF($O3499=0,"No result",IF($N3499=0,"No Start (attainment only)",IF(OR($N3499=1,$O3499=1),"U – needs rule",INDEX(MxBody,MATCH($I3499,MxCurr,0),MATCH($H3499,MxStart,0)))))))</f>
        <v/>
      </c>
      <c r="L3499" s="62" t="str">
        <f aca="false">IF(COUNTA($A3499,$F3499,$G3499,$H3499,$I3499,$J3499)=0,"",IF($M3499=0,"✖ كود الصف غير موجود",IF(ISNA(MATCH($F3499,Lists!$A$2:$A$5,0)),"✖ الفترة غير صحيحة",IF(ISNA(MATCH($G3499,Lists!$B$2:$B$7,0)),"✖ المجموعة غير صحيحة",IF(NOT(OR($H3499="",$N3499&gt;0)),"✖ Start غير صحيح",IF(NOT(OR($I3499="",$I3499="NR",$O3499&gt;0)),"✖ Current غير صحيح",IF(NOT(IF(ISNUMBER($J3499),AND($J3499&gt;=0,$J3499=INT($J3499)),FALSE())),"✖ العدد يجب أن يكون صحيحًا ≥ 0",IF(AND($F3499="Baseline",$H3499&lt;&gt;""),"⚠ Baseline: Start لا يدخل في التقدم",IF($K3499="No Start (attainment only)","ℹ تحصيل فقط (بدون Start)",IF($K3499="U – needs rule","ℹ حالة U تحتاج قاعدة معتمدة",IF($K3499="No result","ℹ بدون نتيجة (يُستبعد من التحصيل)","OK")))))))))))</f>
        <v/>
      </c>
      <c r="M3499" s="64" t="n">
        <f aca="false">IF($A3499="",0,IFERROR(MATCH($A3499,Classes!$A$6:$A$420,0),0))</f>
        <v>0</v>
      </c>
      <c r="N3499" s="64" t="n">
        <f aca="false">IF($H3499="",0,IFERROR(MATCH($H3499,GradeList,0),0))</f>
        <v>0</v>
      </c>
      <c r="O3499" s="64" t="n">
        <f aca="false">IF(OR($I3499="",$I3499="NR"),0,IFERROR(MATCH($I3499,GradeList,0),0))</f>
        <v>0</v>
      </c>
      <c r="P3499" s="64" t="n">
        <f aca="false">IF(AND($M3499&gt;0,ISNUMBER(MATCH($F3499,Lists!$A$2:$A$5,0)),ISNUMBER(MATCH($G3499,Lists!$B$2:$B$7,0)),OR($H3499="",$N3499&gt;0),OR($I3499="",$I3499="NR",$O3499&gt;0),IF(ISNUMBER($J3499),AND($J3499&gt;=0,$J3499=INT($J3499)),FALSE())),$J3499,0)</f>
        <v>0</v>
      </c>
      <c r="Q3499" s="64" t="n">
        <f aca="false">IF(AND($P3499&gt;0,$O3499&gt;0),$P3499,0)</f>
        <v>0</v>
      </c>
      <c r="R3499" s="64" t="n">
        <f aca="false">IF(AND($Q3499&gt;0,$O3499&gt;=AtRank),$Q3499,0)</f>
        <v>0</v>
      </c>
      <c r="S3499" s="64" t="n">
        <f aca="false">IF(AND($Q3499&gt;0,$O3499&gt;=AboveRank),$Q3499,0)</f>
        <v>0</v>
      </c>
      <c r="T3499" s="64" t="n">
        <f aca="false">IF($K3499="Less",$P3499,0)</f>
        <v>0</v>
      </c>
      <c r="U3499" s="64" t="n">
        <f aca="false">IF($K3499="Expected",$P3499,0)</f>
        <v>0</v>
      </c>
      <c r="V3499" s="64" t="n">
        <f aca="false">IF($K3499="Better",$P3499,0)</f>
        <v>0</v>
      </c>
      <c r="W3499" s="64" t="n">
        <f aca="false">IF($K3499="U – needs rule",$P3499,0)</f>
        <v>0</v>
      </c>
      <c r="X3499" s="64" t="n">
        <f aca="false">IF($K3499="No Start (attainment only)",$P3499,0)</f>
        <v>0</v>
      </c>
    </row>
    <row r="3500" customFormat="false" ht="15" hidden="false" customHeight="false" outlineLevel="0" collapsed="false">
      <c r="A3500" s="60"/>
      <c r="B3500" s="61" t="str">
        <f aca="false">IF($M3500=0,"",INDEX(Classes!$E$6:$E$420,$M3500))</f>
        <v/>
      </c>
      <c r="C3500" s="62" t="str">
        <f aca="false">IF($M3500=0,"",INDEX(Classes!$H$6:$H$420,$M3500))</f>
        <v/>
      </c>
      <c r="D3500" s="61" t="str">
        <f aca="false">IF($M3500=0,"",INDEX(Classes!$B$6:$B$420,$M3500))</f>
        <v/>
      </c>
      <c r="E3500" s="61" t="str">
        <f aca="false">IF($M3500=0,"",INDEX(Classes!$C$6:$C$420,$M3500))</f>
        <v/>
      </c>
      <c r="F3500" s="63"/>
      <c r="G3500" s="63"/>
      <c r="H3500" s="60"/>
      <c r="I3500" s="60"/>
      <c r="J3500" s="63"/>
      <c r="K3500" s="61" t="str">
        <f aca="false">IF($P3500=0,"",IF($F3500="Baseline","— Baseline",IF($O3500=0,"No result",IF($N3500=0,"No Start (attainment only)",IF(OR($N3500=1,$O3500=1),"U – needs rule",INDEX(MxBody,MATCH($I3500,MxCurr,0),MATCH($H3500,MxStart,0)))))))</f>
        <v/>
      </c>
      <c r="L3500" s="62" t="str">
        <f aca="false">IF(COUNTA($A3500,$F3500,$G3500,$H3500,$I3500,$J3500)=0,"",IF($M3500=0,"✖ كود الصف غير موجود",IF(ISNA(MATCH($F3500,Lists!$A$2:$A$5,0)),"✖ الفترة غير صحيحة",IF(ISNA(MATCH($G3500,Lists!$B$2:$B$7,0)),"✖ المجموعة غير صحيحة",IF(NOT(OR($H3500="",$N3500&gt;0)),"✖ Start غير صحيح",IF(NOT(OR($I3500="",$I3500="NR",$O3500&gt;0)),"✖ Current غير صحيح",IF(NOT(IF(ISNUMBER($J3500),AND($J3500&gt;=0,$J3500=INT($J3500)),FALSE())),"✖ العدد يجب أن يكون صحيحًا ≥ 0",IF(AND($F3500="Baseline",$H3500&lt;&gt;""),"⚠ Baseline: Start لا يدخل في التقدم",IF($K3500="No Start (attainment only)","ℹ تحصيل فقط (بدون Start)",IF($K3500="U – needs rule","ℹ حالة U تحتاج قاعدة معتمدة",IF($K3500="No result","ℹ بدون نتيجة (يُستبعد من التحصيل)","OK")))))))))))</f>
        <v/>
      </c>
      <c r="M3500" s="64" t="n">
        <f aca="false">IF($A3500="",0,IFERROR(MATCH($A3500,Classes!$A$6:$A$420,0),0))</f>
        <v>0</v>
      </c>
      <c r="N3500" s="64" t="n">
        <f aca="false">IF($H3500="",0,IFERROR(MATCH($H3500,GradeList,0),0))</f>
        <v>0</v>
      </c>
      <c r="O3500" s="64" t="n">
        <f aca="false">IF(OR($I3500="",$I3500="NR"),0,IFERROR(MATCH($I3500,GradeList,0),0))</f>
        <v>0</v>
      </c>
      <c r="P3500" s="64" t="n">
        <f aca="false">IF(AND($M3500&gt;0,ISNUMBER(MATCH($F3500,Lists!$A$2:$A$5,0)),ISNUMBER(MATCH($G3500,Lists!$B$2:$B$7,0)),OR($H3500="",$N3500&gt;0),OR($I3500="",$I3500="NR",$O3500&gt;0),IF(ISNUMBER($J3500),AND($J3500&gt;=0,$J3500=INT($J3500)),FALSE())),$J3500,0)</f>
        <v>0</v>
      </c>
      <c r="Q3500" s="64" t="n">
        <f aca="false">IF(AND($P3500&gt;0,$O3500&gt;0),$P3500,0)</f>
        <v>0</v>
      </c>
      <c r="R3500" s="64" t="n">
        <f aca="false">IF(AND($Q3500&gt;0,$O3500&gt;=AtRank),$Q3500,0)</f>
        <v>0</v>
      </c>
      <c r="S3500" s="64" t="n">
        <f aca="false">IF(AND($Q3500&gt;0,$O3500&gt;=AboveRank),$Q3500,0)</f>
        <v>0</v>
      </c>
      <c r="T3500" s="64" t="n">
        <f aca="false">IF($K3500="Less",$P3500,0)</f>
        <v>0</v>
      </c>
      <c r="U3500" s="64" t="n">
        <f aca="false">IF($K3500="Expected",$P3500,0)</f>
        <v>0</v>
      </c>
      <c r="V3500" s="64" t="n">
        <f aca="false">IF($K3500="Better",$P3500,0)</f>
        <v>0</v>
      </c>
      <c r="W3500" s="64" t="n">
        <f aca="false">IF($K3500="U – needs rule",$P3500,0)</f>
        <v>0</v>
      </c>
      <c r="X3500" s="64" t="n">
        <f aca="false">IF($K3500="No Start (attainment only)",$P3500,0)</f>
        <v>0</v>
      </c>
    </row>
    <row r="3501" customFormat="false" ht="15" hidden="false" customHeight="false" outlineLevel="0" collapsed="false">
      <c r="A3501" s="60"/>
      <c r="B3501" s="61" t="str">
        <f aca="false">IF($M3501=0,"",INDEX(Classes!$E$6:$E$420,$M3501))</f>
        <v/>
      </c>
      <c r="C3501" s="62" t="str">
        <f aca="false">IF($M3501=0,"",INDEX(Classes!$H$6:$H$420,$M3501))</f>
        <v/>
      </c>
      <c r="D3501" s="61" t="str">
        <f aca="false">IF($M3501=0,"",INDEX(Classes!$B$6:$B$420,$M3501))</f>
        <v/>
      </c>
      <c r="E3501" s="61" t="str">
        <f aca="false">IF($M3501=0,"",INDEX(Classes!$C$6:$C$420,$M3501))</f>
        <v/>
      </c>
      <c r="F3501" s="63"/>
      <c r="G3501" s="63"/>
      <c r="H3501" s="60"/>
      <c r="I3501" s="60"/>
      <c r="J3501" s="63"/>
      <c r="K3501" s="61" t="str">
        <f aca="false">IF($P3501=0,"",IF($F3501="Baseline","— Baseline",IF($O3501=0,"No result",IF($N3501=0,"No Start (attainment only)",IF(OR($N3501=1,$O3501=1),"U – needs rule",INDEX(MxBody,MATCH($I3501,MxCurr,0),MATCH($H3501,MxStart,0)))))))</f>
        <v/>
      </c>
      <c r="L3501" s="62" t="str">
        <f aca="false">IF(COUNTA($A3501,$F3501,$G3501,$H3501,$I3501,$J3501)=0,"",IF($M3501=0,"✖ كود الصف غير موجود",IF(ISNA(MATCH($F3501,Lists!$A$2:$A$5,0)),"✖ الفترة غير صحيحة",IF(ISNA(MATCH($G3501,Lists!$B$2:$B$7,0)),"✖ المجموعة غير صحيحة",IF(NOT(OR($H3501="",$N3501&gt;0)),"✖ Start غير صحيح",IF(NOT(OR($I3501="",$I3501="NR",$O3501&gt;0)),"✖ Current غير صحيح",IF(NOT(IF(ISNUMBER($J3501),AND($J3501&gt;=0,$J3501=INT($J3501)),FALSE())),"✖ العدد يجب أن يكون صحيحًا ≥ 0",IF(AND($F3501="Baseline",$H3501&lt;&gt;""),"⚠ Baseline: Start لا يدخل في التقدم",IF($K3501="No Start (attainment only)","ℹ تحصيل فقط (بدون Start)",IF($K3501="U – needs rule","ℹ حالة U تحتاج قاعدة معتمدة",IF($K3501="No result","ℹ بدون نتيجة (يُستبعد من التحصيل)","OK")))))))))))</f>
        <v/>
      </c>
      <c r="M3501" s="64" t="n">
        <f aca="false">IF($A3501="",0,IFERROR(MATCH($A3501,Classes!$A$6:$A$420,0),0))</f>
        <v>0</v>
      </c>
      <c r="N3501" s="64" t="n">
        <f aca="false">IF($H3501="",0,IFERROR(MATCH($H3501,GradeList,0),0))</f>
        <v>0</v>
      </c>
      <c r="O3501" s="64" t="n">
        <f aca="false">IF(OR($I3501="",$I3501="NR"),0,IFERROR(MATCH($I3501,GradeList,0),0))</f>
        <v>0</v>
      </c>
      <c r="P3501" s="64" t="n">
        <f aca="false">IF(AND($M3501&gt;0,ISNUMBER(MATCH($F3501,Lists!$A$2:$A$5,0)),ISNUMBER(MATCH($G3501,Lists!$B$2:$B$7,0)),OR($H3501="",$N3501&gt;0),OR($I3501="",$I3501="NR",$O3501&gt;0),IF(ISNUMBER($J3501),AND($J3501&gt;=0,$J3501=INT($J3501)),FALSE())),$J3501,0)</f>
        <v>0</v>
      </c>
      <c r="Q3501" s="64" t="n">
        <f aca="false">IF(AND($P3501&gt;0,$O3501&gt;0),$P3501,0)</f>
        <v>0</v>
      </c>
      <c r="R3501" s="64" t="n">
        <f aca="false">IF(AND($Q3501&gt;0,$O3501&gt;=AtRank),$Q3501,0)</f>
        <v>0</v>
      </c>
      <c r="S3501" s="64" t="n">
        <f aca="false">IF(AND($Q3501&gt;0,$O3501&gt;=AboveRank),$Q3501,0)</f>
        <v>0</v>
      </c>
      <c r="T3501" s="64" t="n">
        <f aca="false">IF($K3501="Less",$P3501,0)</f>
        <v>0</v>
      </c>
      <c r="U3501" s="64" t="n">
        <f aca="false">IF($K3501="Expected",$P3501,0)</f>
        <v>0</v>
      </c>
      <c r="V3501" s="64" t="n">
        <f aca="false">IF($K3501="Better",$P3501,0)</f>
        <v>0</v>
      </c>
      <c r="W3501" s="64" t="n">
        <f aca="false">IF($K3501="U – needs rule",$P3501,0)</f>
        <v>0</v>
      </c>
      <c r="X3501" s="64" t="n">
        <f aca="false">IF($K3501="No Start (attainment only)",$P3501,0)</f>
        <v>0</v>
      </c>
    </row>
    <row r="3502" customFormat="false" ht="15" hidden="false" customHeight="false" outlineLevel="0" collapsed="false">
      <c r="A3502" s="60"/>
      <c r="B3502" s="61" t="str">
        <f aca="false">IF($M3502=0,"",INDEX(Classes!$E$6:$E$420,$M3502))</f>
        <v/>
      </c>
      <c r="C3502" s="62" t="str">
        <f aca="false">IF($M3502=0,"",INDEX(Classes!$H$6:$H$420,$M3502))</f>
        <v/>
      </c>
      <c r="D3502" s="61" t="str">
        <f aca="false">IF($M3502=0,"",INDEX(Classes!$B$6:$B$420,$M3502))</f>
        <v/>
      </c>
      <c r="E3502" s="61" t="str">
        <f aca="false">IF($M3502=0,"",INDEX(Classes!$C$6:$C$420,$M3502))</f>
        <v/>
      </c>
      <c r="F3502" s="63"/>
      <c r="G3502" s="63"/>
      <c r="H3502" s="60"/>
      <c r="I3502" s="60"/>
      <c r="J3502" s="63"/>
      <c r="K3502" s="61" t="str">
        <f aca="false">IF($P3502=0,"",IF($F3502="Baseline","— Baseline",IF($O3502=0,"No result",IF($N3502=0,"No Start (attainment only)",IF(OR($N3502=1,$O3502=1),"U – needs rule",INDEX(MxBody,MATCH($I3502,MxCurr,0),MATCH($H3502,MxStart,0)))))))</f>
        <v/>
      </c>
      <c r="L3502" s="62" t="str">
        <f aca="false">IF(COUNTA($A3502,$F3502,$G3502,$H3502,$I3502,$J3502)=0,"",IF($M3502=0,"✖ كود الصف غير موجود",IF(ISNA(MATCH($F3502,Lists!$A$2:$A$5,0)),"✖ الفترة غير صحيحة",IF(ISNA(MATCH($G3502,Lists!$B$2:$B$7,0)),"✖ المجموعة غير صحيحة",IF(NOT(OR($H3502="",$N3502&gt;0)),"✖ Start غير صحيح",IF(NOT(OR($I3502="",$I3502="NR",$O3502&gt;0)),"✖ Current غير صحيح",IF(NOT(IF(ISNUMBER($J3502),AND($J3502&gt;=0,$J3502=INT($J3502)),FALSE())),"✖ العدد يجب أن يكون صحيحًا ≥ 0",IF(AND($F3502="Baseline",$H3502&lt;&gt;""),"⚠ Baseline: Start لا يدخل في التقدم",IF($K3502="No Start (attainment only)","ℹ تحصيل فقط (بدون Start)",IF($K3502="U – needs rule","ℹ حالة U تحتاج قاعدة معتمدة",IF($K3502="No result","ℹ بدون نتيجة (يُستبعد من التحصيل)","OK")))))))))))</f>
        <v/>
      </c>
      <c r="M3502" s="64" t="n">
        <f aca="false">IF($A3502="",0,IFERROR(MATCH($A3502,Classes!$A$6:$A$420,0),0))</f>
        <v>0</v>
      </c>
      <c r="N3502" s="64" t="n">
        <f aca="false">IF($H3502="",0,IFERROR(MATCH($H3502,GradeList,0),0))</f>
        <v>0</v>
      </c>
      <c r="O3502" s="64" t="n">
        <f aca="false">IF(OR($I3502="",$I3502="NR"),0,IFERROR(MATCH($I3502,GradeList,0),0))</f>
        <v>0</v>
      </c>
      <c r="P3502" s="64" t="n">
        <f aca="false">IF(AND($M3502&gt;0,ISNUMBER(MATCH($F3502,Lists!$A$2:$A$5,0)),ISNUMBER(MATCH($G3502,Lists!$B$2:$B$7,0)),OR($H3502="",$N3502&gt;0),OR($I3502="",$I3502="NR",$O3502&gt;0),IF(ISNUMBER($J3502),AND($J3502&gt;=0,$J3502=INT($J3502)),FALSE())),$J3502,0)</f>
        <v>0</v>
      </c>
      <c r="Q3502" s="64" t="n">
        <f aca="false">IF(AND($P3502&gt;0,$O3502&gt;0),$P3502,0)</f>
        <v>0</v>
      </c>
      <c r="R3502" s="64" t="n">
        <f aca="false">IF(AND($Q3502&gt;0,$O3502&gt;=AtRank),$Q3502,0)</f>
        <v>0</v>
      </c>
      <c r="S3502" s="64" t="n">
        <f aca="false">IF(AND($Q3502&gt;0,$O3502&gt;=AboveRank),$Q3502,0)</f>
        <v>0</v>
      </c>
      <c r="T3502" s="64" t="n">
        <f aca="false">IF($K3502="Less",$P3502,0)</f>
        <v>0</v>
      </c>
      <c r="U3502" s="64" t="n">
        <f aca="false">IF($K3502="Expected",$P3502,0)</f>
        <v>0</v>
      </c>
      <c r="V3502" s="64" t="n">
        <f aca="false">IF($K3502="Better",$P3502,0)</f>
        <v>0</v>
      </c>
      <c r="W3502" s="64" t="n">
        <f aca="false">IF($K3502="U – needs rule",$P3502,0)</f>
        <v>0</v>
      </c>
      <c r="X3502" s="64" t="n">
        <f aca="false">IF($K3502="No Start (attainment only)",$P3502,0)</f>
        <v>0</v>
      </c>
    </row>
    <row r="3503" customFormat="false" ht="15" hidden="false" customHeight="false" outlineLevel="0" collapsed="false">
      <c r="A3503" s="60"/>
      <c r="B3503" s="61" t="str">
        <f aca="false">IF($M3503=0,"",INDEX(Classes!$E$6:$E$420,$M3503))</f>
        <v/>
      </c>
      <c r="C3503" s="62" t="str">
        <f aca="false">IF($M3503=0,"",INDEX(Classes!$H$6:$H$420,$M3503))</f>
        <v/>
      </c>
      <c r="D3503" s="61" t="str">
        <f aca="false">IF($M3503=0,"",INDEX(Classes!$B$6:$B$420,$M3503))</f>
        <v/>
      </c>
      <c r="E3503" s="61" t="str">
        <f aca="false">IF($M3503=0,"",INDEX(Classes!$C$6:$C$420,$M3503))</f>
        <v/>
      </c>
      <c r="F3503" s="63"/>
      <c r="G3503" s="63"/>
      <c r="H3503" s="60"/>
      <c r="I3503" s="60"/>
      <c r="J3503" s="63"/>
      <c r="K3503" s="61" t="str">
        <f aca="false">IF($P3503=0,"",IF($F3503="Baseline","— Baseline",IF($O3503=0,"No result",IF($N3503=0,"No Start (attainment only)",IF(OR($N3503=1,$O3503=1),"U – needs rule",INDEX(MxBody,MATCH($I3503,MxCurr,0),MATCH($H3503,MxStart,0)))))))</f>
        <v/>
      </c>
      <c r="L3503" s="62" t="str">
        <f aca="false">IF(COUNTA($A3503,$F3503,$G3503,$H3503,$I3503,$J3503)=0,"",IF($M3503=0,"✖ كود الصف غير موجود",IF(ISNA(MATCH($F3503,Lists!$A$2:$A$5,0)),"✖ الفترة غير صحيحة",IF(ISNA(MATCH($G3503,Lists!$B$2:$B$7,0)),"✖ المجموعة غير صحيحة",IF(NOT(OR($H3503="",$N3503&gt;0)),"✖ Start غير صحيح",IF(NOT(OR($I3503="",$I3503="NR",$O3503&gt;0)),"✖ Current غير صحيح",IF(NOT(IF(ISNUMBER($J3503),AND($J3503&gt;=0,$J3503=INT($J3503)),FALSE())),"✖ العدد يجب أن يكون صحيحًا ≥ 0",IF(AND($F3503="Baseline",$H3503&lt;&gt;""),"⚠ Baseline: Start لا يدخل في التقدم",IF($K3503="No Start (attainment only)","ℹ تحصيل فقط (بدون Start)",IF($K3503="U – needs rule","ℹ حالة U تحتاج قاعدة معتمدة",IF($K3503="No result","ℹ بدون نتيجة (يُستبعد من التحصيل)","OK")))))))))))</f>
        <v/>
      </c>
      <c r="M3503" s="64" t="n">
        <f aca="false">IF($A3503="",0,IFERROR(MATCH($A3503,Classes!$A$6:$A$420,0),0))</f>
        <v>0</v>
      </c>
      <c r="N3503" s="64" t="n">
        <f aca="false">IF($H3503="",0,IFERROR(MATCH($H3503,GradeList,0),0))</f>
        <v>0</v>
      </c>
      <c r="O3503" s="64" t="n">
        <f aca="false">IF(OR($I3503="",$I3503="NR"),0,IFERROR(MATCH($I3503,GradeList,0),0))</f>
        <v>0</v>
      </c>
      <c r="P3503" s="64" t="n">
        <f aca="false">IF(AND($M3503&gt;0,ISNUMBER(MATCH($F3503,Lists!$A$2:$A$5,0)),ISNUMBER(MATCH($G3503,Lists!$B$2:$B$7,0)),OR($H3503="",$N3503&gt;0),OR($I3503="",$I3503="NR",$O3503&gt;0),IF(ISNUMBER($J3503),AND($J3503&gt;=0,$J3503=INT($J3503)),FALSE())),$J3503,0)</f>
        <v>0</v>
      </c>
      <c r="Q3503" s="64" t="n">
        <f aca="false">IF(AND($P3503&gt;0,$O3503&gt;0),$P3503,0)</f>
        <v>0</v>
      </c>
      <c r="R3503" s="64" t="n">
        <f aca="false">IF(AND($Q3503&gt;0,$O3503&gt;=AtRank),$Q3503,0)</f>
        <v>0</v>
      </c>
      <c r="S3503" s="64" t="n">
        <f aca="false">IF(AND($Q3503&gt;0,$O3503&gt;=AboveRank),$Q3503,0)</f>
        <v>0</v>
      </c>
      <c r="T3503" s="64" t="n">
        <f aca="false">IF($K3503="Less",$P3503,0)</f>
        <v>0</v>
      </c>
      <c r="U3503" s="64" t="n">
        <f aca="false">IF($K3503="Expected",$P3503,0)</f>
        <v>0</v>
      </c>
      <c r="V3503" s="64" t="n">
        <f aca="false">IF($K3503="Better",$P3503,0)</f>
        <v>0</v>
      </c>
      <c r="W3503" s="64" t="n">
        <f aca="false">IF($K3503="U – needs rule",$P3503,0)</f>
        <v>0</v>
      </c>
      <c r="X3503" s="64" t="n">
        <f aca="false">IF($K3503="No Start (attainment only)",$P3503,0)</f>
        <v>0</v>
      </c>
    </row>
    <row r="3504" customFormat="false" ht="15" hidden="false" customHeight="false" outlineLevel="0" collapsed="false">
      <c r="A3504" s="60"/>
      <c r="B3504" s="61" t="str">
        <f aca="false">IF($M3504=0,"",INDEX(Classes!$E$6:$E$420,$M3504))</f>
        <v/>
      </c>
      <c r="C3504" s="62" t="str">
        <f aca="false">IF($M3504=0,"",INDEX(Classes!$H$6:$H$420,$M3504))</f>
        <v/>
      </c>
      <c r="D3504" s="61" t="str">
        <f aca="false">IF($M3504=0,"",INDEX(Classes!$B$6:$B$420,$M3504))</f>
        <v/>
      </c>
      <c r="E3504" s="61" t="str">
        <f aca="false">IF($M3504=0,"",INDEX(Classes!$C$6:$C$420,$M3504))</f>
        <v/>
      </c>
      <c r="F3504" s="63"/>
      <c r="G3504" s="63"/>
      <c r="H3504" s="60"/>
      <c r="I3504" s="60"/>
      <c r="J3504" s="63"/>
      <c r="K3504" s="61" t="str">
        <f aca="false">IF($P3504=0,"",IF($F3504="Baseline","— Baseline",IF($O3504=0,"No result",IF($N3504=0,"No Start (attainment only)",IF(OR($N3504=1,$O3504=1),"U – needs rule",INDEX(MxBody,MATCH($I3504,MxCurr,0),MATCH($H3504,MxStart,0)))))))</f>
        <v/>
      </c>
      <c r="L3504" s="62" t="str">
        <f aca="false">IF(COUNTA($A3504,$F3504,$G3504,$H3504,$I3504,$J3504)=0,"",IF($M3504=0,"✖ كود الصف غير موجود",IF(ISNA(MATCH($F3504,Lists!$A$2:$A$5,0)),"✖ الفترة غير صحيحة",IF(ISNA(MATCH($G3504,Lists!$B$2:$B$7,0)),"✖ المجموعة غير صحيحة",IF(NOT(OR($H3504="",$N3504&gt;0)),"✖ Start غير صحيح",IF(NOT(OR($I3504="",$I3504="NR",$O3504&gt;0)),"✖ Current غير صحيح",IF(NOT(IF(ISNUMBER($J3504),AND($J3504&gt;=0,$J3504=INT($J3504)),FALSE())),"✖ العدد يجب أن يكون صحيحًا ≥ 0",IF(AND($F3504="Baseline",$H3504&lt;&gt;""),"⚠ Baseline: Start لا يدخل في التقدم",IF($K3504="No Start (attainment only)","ℹ تحصيل فقط (بدون Start)",IF($K3504="U – needs rule","ℹ حالة U تحتاج قاعدة معتمدة",IF($K3504="No result","ℹ بدون نتيجة (يُستبعد من التحصيل)","OK")))))))))))</f>
        <v/>
      </c>
      <c r="M3504" s="64" t="n">
        <f aca="false">IF($A3504="",0,IFERROR(MATCH($A3504,Classes!$A$6:$A$420,0),0))</f>
        <v>0</v>
      </c>
      <c r="N3504" s="64" t="n">
        <f aca="false">IF($H3504="",0,IFERROR(MATCH($H3504,GradeList,0),0))</f>
        <v>0</v>
      </c>
      <c r="O3504" s="64" t="n">
        <f aca="false">IF(OR($I3504="",$I3504="NR"),0,IFERROR(MATCH($I3504,GradeList,0),0))</f>
        <v>0</v>
      </c>
      <c r="P3504" s="64" t="n">
        <f aca="false">IF(AND($M3504&gt;0,ISNUMBER(MATCH($F3504,Lists!$A$2:$A$5,0)),ISNUMBER(MATCH($G3504,Lists!$B$2:$B$7,0)),OR($H3504="",$N3504&gt;0),OR($I3504="",$I3504="NR",$O3504&gt;0),IF(ISNUMBER($J3504),AND($J3504&gt;=0,$J3504=INT($J3504)),FALSE())),$J3504,0)</f>
        <v>0</v>
      </c>
      <c r="Q3504" s="64" t="n">
        <f aca="false">IF(AND($P3504&gt;0,$O3504&gt;0),$P3504,0)</f>
        <v>0</v>
      </c>
      <c r="R3504" s="64" t="n">
        <f aca="false">IF(AND($Q3504&gt;0,$O3504&gt;=AtRank),$Q3504,0)</f>
        <v>0</v>
      </c>
      <c r="S3504" s="64" t="n">
        <f aca="false">IF(AND($Q3504&gt;0,$O3504&gt;=AboveRank),$Q3504,0)</f>
        <v>0</v>
      </c>
      <c r="T3504" s="64" t="n">
        <f aca="false">IF($K3504="Less",$P3504,0)</f>
        <v>0</v>
      </c>
      <c r="U3504" s="64" t="n">
        <f aca="false">IF($K3504="Expected",$P3504,0)</f>
        <v>0</v>
      </c>
      <c r="V3504" s="64" t="n">
        <f aca="false">IF($K3504="Better",$P3504,0)</f>
        <v>0</v>
      </c>
      <c r="W3504" s="64" t="n">
        <f aca="false">IF($K3504="U – needs rule",$P3504,0)</f>
        <v>0</v>
      </c>
      <c r="X3504" s="64" t="n">
        <f aca="false">IF($K3504="No Start (attainment only)",$P3504,0)</f>
        <v>0</v>
      </c>
    </row>
    <row r="3505" customFormat="false" ht="15" hidden="false" customHeight="false" outlineLevel="0" collapsed="false">
      <c r="A3505" s="60"/>
      <c r="B3505" s="61" t="str">
        <f aca="false">IF($M3505=0,"",INDEX(Classes!$E$6:$E$420,$M3505))</f>
        <v/>
      </c>
      <c r="C3505" s="62" t="str">
        <f aca="false">IF($M3505=0,"",INDEX(Classes!$H$6:$H$420,$M3505))</f>
        <v/>
      </c>
      <c r="D3505" s="61" t="str">
        <f aca="false">IF($M3505=0,"",INDEX(Classes!$B$6:$B$420,$M3505))</f>
        <v/>
      </c>
      <c r="E3505" s="61" t="str">
        <f aca="false">IF($M3505=0,"",INDEX(Classes!$C$6:$C$420,$M3505))</f>
        <v/>
      </c>
      <c r="F3505" s="63"/>
      <c r="G3505" s="63"/>
      <c r="H3505" s="60"/>
      <c r="I3505" s="60"/>
      <c r="J3505" s="63"/>
      <c r="K3505" s="61" t="str">
        <f aca="false">IF($P3505=0,"",IF($F3505="Baseline","— Baseline",IF($O3505=0,"No result",IF($N3505=0,"No Start (attainment only)",IF(OR($N3505=1,$O3505=1),"U – needs rule",INDEX(MxBody,MATCH($I3505,MxCurr,0),MATCH($H3505,MxStart,0)))))))</f>
        <v/>
      </c>
      <c r="L3505" s="62" t="str">
        <f aca="false">IF(COUNTA($A3505,$F3505,$G3505,$H3505,$I3505,$J3505)=0,"",IF($M3505=0,"✖ كود الصف غير موجود",IF(ISNA(MATCH($F3505,Lists!$A$2:$A$5,0)),"✖ الفترة غير صحيحة",IF(ISNA(MATCH($G3505,Lists!$B$2:$B$7,0)),"✖ المجموعة غير صحيحة",IF(NOT(OR($H3505="",$N3505&gt;0)),"✖ Start غير صحيح",IF(NOT(OR($I3505="",$I3505="NR",$O3505&gt;0)),"✖ Current غير صحيح",IF(NOT(IF(ISNUMBER($J3505),AND($J3505&gt;=0,$J3505=INT($J3505)),FALSE())),"✖ العدد يجب أن يكون صحيحًا ≥ 0",IF(AND($F3505="Baseline",$H3505&lt;&gt;""),"⚠ Baseline: Start لا يدخل في التقدم",IF($K3505="No Start (attainment only)","ℹ تحصيل فقط (بدون Start)",IF($K3505="U – needs rule","ℹ حالة U تحتاج قاعدة معتمدة",IF($K3505="No result","ℹ بدون نتيجة (يُستبعد من التحصيل)","OK")))))))))))</f>
        <v/>
      </c>
      <c r="M3505" s="64" t="n">
        <f aca="false">IF($A3505="",0,IFERROR(MATCH($A3505,Classes!$A$6:$A$420,0),0))</f>
        <v>0</v>
      </c>
      <c r="N3505" s="64" t="n">
        <f aca="false">IF($H3505="",0,IFERROR(MATCH($H3505,GradeList,0),0))</f>
        <v>0</v>
      </c>
      <c r="O3505" s="64" t="n">
        <f aca="false">IF(OR($I3505="",$I3505="NR"),0,IFERROR(MATCH($I3505,GradeList,0),0))</f>
        <v>0</v>
      </c>
      <c r="P3505" s="64" t="n">
        <f aca="false">IF(AND($M3505&gt;0,ISNUMBER(MATCH($F3505,Lists!$A$2:$A$5,0)),ISNUMBER(MATCH($G3505,Lists!$B$2:$B$7,0)),OR($H3505="",$N3505&gt;0),OR($I3505="",$I3505="NR",$O3505&gt;0),IF(ISNUMBER($J3505),AND($J3505&gt;=0,$J3505=INT($J3505)),FALSE())),$J3505,0)</f>
        <v>0</v>
      </c>
      <c r="Q3505" s="64" t="n">
        <f aca="false">IF(AND($P3505&gt;0,$O3505&gt;0),$P3505,0)</f>
        <v>0</v>
      </c>
      <c r="R3505" s="64" t="n">
        <f aca="false">IF(AND($Q3505&gt;0,$O3505&gt;=AtRank),$Q3505,0)</f>
        <v>0</v>
      </c>
      <c r="S3505" s="64" t="n">
        <f aca="false">IF(AND($Q3505&gt;0,$O3505&gt;=AboveRank),$Q3505,0)</f>
        <v>0</v>
      </c>
      <c r="T3505" s="64" t="n">
        <f aca="false">IF($K3505="Less",$P3505,0)</f>
        <v>0</v>
      </c>
      <c r="U3505" s="64" t="n">
        <f aca="false">IF($K3505="Expected",$P3505,0)</f>
        <v>0</v>
      </c>
      <c r="V3505" s="64" t="n">
        <f aca="false">IF($K3505="Better",$P3505,0)</f>
        <v>0</v>
      </c>
      <c r="W3505" s="64" t="n">
        <f aca="false">IF($K3505="U – needs rule",$P3505,0)</f>
        <v>0</v>
      </c>
      <c r="X3505" s="64" t="n">
        <f aca="false">IF($K3505="No Start (attainment only)",$P3505,0)</f>
        <v>0</v>
      </c>
    </row>
    <row r="3506" customFormat="false" ht="15" hidden="false" customHeight="false" outlineLevel="0" collapsed="false">
      <c r="A3506" s="60"/>
      <c r="B3506" s="61" t="str">
        <f aca="false">IF($M3506=0,"",INDEX(Classes!$E$6:$E$420,$M3506))</f>
        <v/>
      </c>
      <c r="C3506" s="62" t="str">
        <f aca="false">IF($M3506=0,"",INDEX(Classes!$H$6:$H$420,$M3506))</f>
        <v/>
      </c>
      <c r="D3506" s="61" t="str">
        <f aca="false">IF($M3506=0,"",INDEX(Classes!$B$6:$B$420,$M3506))</f>
        <v/>
      </c>
      <c r="E3506" s="61" t="str">
        <f aca="false">IF($M3506=0,"",INDEX(Classes!$C$6:$C$420,$M3506))</f>
        <v/>
      </c>
      <c r="F3506" s="63"/>
      <c r="G3506" s="63"/>
      <c r="H3506" s="60"/>
      <c r="I3506" s="60"/>
      <c r="J3506" s="63"/>
      <c r="K3506" s="61" t="str">
        <f aca="false">IF($P3506=0,"",IF($F3506="Baseline","— Baseline",IF($O3506=0,"No result",IF($N3506=0,"No Start (attainment only)",IF(OR($N3506=1,$O3506=1),"U – needs rule",INDEX(MxBody,MATCH($I3506,MxCurr,0),MATCH($H3506,MxStart,0)))))))</f>
        <v/>
      </c>
      <c r="L3506" s="62" t="str">
        <f aca="false">IF(COUNTA($A3506,$F3506,$G3506,$H3506,$I3506,$J3506)=0,"",IF($M3506=0,"✖ كود الصف غير موجود",IF(ISNA(MATCH($F3506,Lists!$A$2:$A$5,0)),"✖ الفترة غير صحيحة",IF(ISNA(MATCH($G3506,Lists!$B$2:$B$7,0)),"✖ المجموعة غير صحيحة",IF(NOT(OR($H3506="",$N3506&gt;0)),"✖ Start غير صحيح",IF(NOT(OR($I3506="",$I3506="NR",$O3506&gt;0)),"✖ Current غير صحيح",IF(NOT(IF(ISNUMBER($J3506),AND($J3506&gt;=0,$J3506=INT($J3506)),FALSE())),"✖ العدد يجب أن يكون صحيحًا ≥ 0",IF(AND($F3506="Baseline",$H3506&lt;&gt;""),"⚠ Baseline: Start لا يدخل في التقدم",IF($K3506="No Start (attainment only)","ℹ تحصيل فقط (بدون Start)",IF($K3506="U – needs rule","ℹ حالة U تحتاج قاعدة معتمدة",IF($K3506="No result","ℹ بدون نتيجة (يُستبعد من التحصيل)","OK")))))))))))</f>
        <v/>
      </c>
      <c r="M3506" s="64" t="n">
        <f aca="false">IF($A3506="",0,IFERROR(MATCH($A3506,Classes!$A$6:$A$420,0),0))</f>
        <v>0</v>
      </c>
      <c r="N3506" s="64" t="n">
        <f aca="false">IF($H3506="",0,IFERROR(MATCH($H3506,GradeList,0),0))</f>
        <v>0</v>
      </c>
      <c r="O3506" s="64" t="n">
        <f aca="false">IF(OR($I3506="",$I3506="NR"),0,IFERROR(MATCH($I3506,GradeList,0),0))</f>
        <v>0</v>
      </c>
      <c r="P3506" s="64" t="n">
        <f aca="false">IF(AND($M3506&gt;0,ISNUMBER(MATCH($F3506,Lists!$A$2:$A$5,0)),ISNUMBER(MATCH($G3506,Lists!$B$2:$B$7,0)),OR($H3506="",$N3506&gt;0),OR($I3506="",$I3506="NR",$O3506&gt;0),IF(ISNUMBER($J3506),AND($J3506&gt;=0,$J3506=INT($J3506)),FALSE())),$J3506,0)</f>
        <v>0</v>
      </c>
      <c r="Q3506" s="64" t="n">
        <f aca="false">IF(AND($P3506&gt;0,$O3506&gt;0),$P3506,0)</f>
        <v>0</v>
      </c>
      <c r="R3506" s="64" t="n">
        <f aca="false">IF(AND($Q3506&gt;0,$O3506&gt;=AtRank),$Q3506,0)</f>
        <v>0</v>
      </c>
      <c r="S3506" s="64" t="n">
        <f aca="false">IF(AND($Q3506&gt;0,$O3506&gt;=AboveRank),$Q3506,0)</f>
        <v>0</v>
      </c>
      <c r="T3506" s="64" t="n">
        <f aca="false">IF($K3506="Less",$P3506,0)</f>
        <v>0</v>
      </c>
      <c r="U3506" s="64" t="n">
        <f aca="false">IF($K3506="Expected",$P3506,0)</f>
        <v>0</v>
      </c>
      <c r="V3506" s="64" t="n">
        <f aca="false">IF($K3506="Better",$P3506,0)</f>
        <v>0</v>
      </c>
      <c r="W3506" s="64" t="n">
        <f aca="false">IF($K3506="U – needs rule",$P3506,0)</f>
        <v>0</v>
      </c>
      <c r="X3506" s="64" t="n">
        <f aca="false">IF($K3506="No Start (attainment only)",$P3506,0)</f>
        <v>0</v>
      </c>
    </row>
    <row r="3507" customFormat="false" ht="15" hidden="false" customHeight="false" outlineLevel="0" collapsed="false">
      <c r="A3507" s="60"/>
      <c r="B3507" s="61" t="str">
        <f aca="false">IF($M3507=0,"",INDEX(Classes!$E$6:$E$420,$M3507))</f>
        <v/>
      </c>
      <c r="C3507" s="62" t="str">
        <f aca="false">IF($M3507=0,"",INDEX(Classes!$H$6:$H$420,$M3507))</f>
        <v/>
      </c>
      <c r="D3507" s="61" t="str">
        <f aca="false">IF($M3507=0,"",INDEX(Classes!$B$6:$B$420,$M3507))</f>
        <v/>
      </c>
      <c r="E3507" s="61" t="str">
        <f aca="false">IF($M3507=0,"",INDEX(Classes!$C$6:$C$420,$M3507))</f>
        <v/>
      </c>
      <c r="F3507" s="63"/>
      <c r="G3507" s="63"/>
      <c r="H3507" s="60"/>
      <c r="I3507" s="60"/>
      <c r="J3507" s="63"/>
      <c r="K3507" s="61" t="str">
        <f aca="false">IF($P3507=0,"",IF($F3507="Baseline","— Baseline",IF($O3507=0,"No result",IF($N3507=0,"No Start (attainment only)",IF(OR($N3507=1,$O3507=1),"U – needs rule",INDEX(MxBody,MATCH($I3507,MxCurr,0),MATCH($H3507,MxStart,0)))))))</f>
        <v/>
      </c>
      <c r="L3507" s="62" t="str">
        <f aca="false">IF(COUNTA($A3507,$F3507,$G3507,$H3507,$I3507,$J3507)=0,"",IF($M3507=0,"✖ كود الصف غير موجود",IF(ISNA(MATCH($F3507,Lists!$A$2:$A$5,0)),"✖ الفترة غير صحيحة",IF(ISNA(MATCH($G3507,Lists!$B$2:$B$7,0)),"✖ المجموعة غير صحيحة",IF(NOT(OR($H3507="",$N3507&gt;0)),"✖ Start غير صحيح",IF(NOT(OR($I3507="",$I3507="NR",$O3507&gt;0)),"✖ Current غير صحيح",IF(NOT(IF(ISNUMBER($J3507),AND($J3507&gt;=0,$J3507=INT($J3507)),FALSE())),"✖ العدد يجب أن يكون صحيحًا ≥ 0",IF(AND($F3507="Baseline",$H3507&lt;&gt;""),"⚠ Baseline: Start لا يدخل في التقدم",IF($K3507="No Start (attainment only)","ℹ تحصيل فقط (بدون Start)",IF($K3507="U – needs rule","ℹ حالة U تحتاج قاعدة معتمدة",IF($K3507="No result","ℹ بدون نتيجة (يُستبعد من التحصيل)","OK")))))))))))</f>
        <v/>
      </c>
      <c r="M3507" s="64" t="n">
        <f aca="false">IF($A3507="",0,IFERROR(MATCH($A3507,Classes!$A$6:$A$420,0),0))</f>
        <v>0</v>
      </c>
      <c r="N3507" s="64" t="n">
        <f aca="false">IF($H3507="",0,IFERROR(MATCH($H3507,GradeList,0),0))</f>
        <v>0</v>
      </c>
      <c r="O3507" s="64" t="n">
        <f aca="false">IF(OR($I3507="",$I3507="NR"),0,IFERROR(MATCH($I3507,GradeList,0),0))</f>
        <v>0</v>
      </c>
      <c r="P3507" s="64" t="n">
        <f aca="false">IF(AND($M3507&gt;0,ISNUMBER(MATCH($F3507,Lists!$A$2:$A$5,0)),ISNUMBER(MATCH($G3507,Lists!$B$2:$B$7,0)),OR($H3507="",$N3507&gt;0),OR($I3507="",$I3507="NR",$O3507&gt;0),IF(ISNUMBER($J3507),AND($J3507&gt;=0,$J3507=INT($J3507)),FALSE())),$J3507,0)</f>
        <v>0</v>
      </c>
      <c r="Q3507" s="64" t="n">
        <f aca="false">IF(AND($P3507&gt;0,$O3507&gt;0),$P3507,0)</f>
        <v>0</v>
      </c>
      <c r="R3507" s="64" t="n">
        <f aca="false">IF(AND($Q3507&gt;0,$O3507&gt;=AtRank),$Q3507,0)</f>
        <v>0</v>
      </c>
      <c r="S3507" s="64" t="n">
        <f aca="false">IF(AND($Q3507&gt;0,$O3507&gt;=AboveRank),$Q3507,0)</f>
        <v>0</v>
      </c>
      <c r="T3507" s="64" t="n">
        <f aca="false">IF($K3507="Less",$P3507,0)</f>
        <v>0</v>
      </c>
      <c r="U3507" s="64" t="n">
        <f aca="false">IF($K3507="Expected",$P3507,0)</f>
        <v>0</v>
      </c>
      <c r="V3507" s="64" t="n">
        <f aca="false">IF($K3507="Better",$P3507,0)</f>
        <v>0</v>
      </c>
      <c r="W3507" s="64" t="n">
        <f aca="false">IF($K3507="U – needs rule",$P3507,0)</f>
        <v>0</v>
      </c>
      <c r="X3507" s="64" t="n">
        <f aca="false">IF($K3507="No Start (attainment only)",$P3507,0)</f>
        <v>0</v>
      </c>
    </row>
    <row r="3508" customFormat="false" ht="15" hidden="false" customHeight="false" outlineLevel="0" collapsed="false">
      <c r="A3508" s="60"/>
      <c r="B3508" s="61" t="str">
        <f aca="false">IF($M3508=0,"",INDEX(Classes!$E$6:$E$420,$M3508))</f>
        <v/>
      </c>
      <c r="C3508" s="62" t="str">
        <f aca="false">IF($M3508=0,"",INDEX(Classes!$H$6:$H$420,$M3508))</f>
        <v/>
      </c>
      <c r="D3508" s="61" t="str">
        <f aca="false">IF($M3508=0,"",INDEX(Classes!$B$6:$B$420,$M3508))</f>
        <v/>
      </c>
      <c r="E3508" s="61" t="str">
        <f aca="false">IF($M3508=0,"",INDEX(Classes!$C$6:$C$420,$M3508))</f>
        <v/>
      </c>
      <c r="F3508" s="63"/>
      <c r="G3508" s="63"/>
      <c r="H3508" s="60"/>
      <c r="I3508" s="60"/>
      <c r="J3508" s="63"/>
      <c r="K3508" s="61" t="str">
        <f aca="false">IF($P3508=0,"",IF($F3508="Baseline","— Baseline",IF($O3508=0,"No result",IF($N3508=0,"No Start (attainment only)",IF(OR($N3508=1,$O3508=1),"U – needs rule",INDEX(MxBody,MATCH($I3508,MxCurr,0),MATCH($H3508,MxStart,0)))))))</f>
        <v/>
      </c>
      <c r="L3508" s="62" t="str">
        <f aca="false">IF(COUNTA($A3508,$F3508,$G3508,$H3508,$I3508,$J3508)=0,"",IF($M3508=0,"✖ كود الصف غير موجود",IF(ISNA(MATCH($F3508,Lists!$A$2:$A$5,0)),"✖ الفترة غير صحيحة",IF(ISNA(MATCH($G3508,Lists!$B$2:$B$7,0)),"✖ المجموعة غير صحيحة",IF(NOT(OR($H3508="",$N3508&gt;0)),"✖ Start غير صحيح",IF(NOT(OR($I3508="",$I3508="NR",$O3508&gt;0)),"✖ Current غير صحيح",IF(NOT(IF(ISNUMBER($J3508),AND($J3508&gt;=0,$J3508=INT($J3508)),FALSE())),"✖ العدد يجب أن يكون صحيحًا ≥ 0",IF(AND($F3508="Baseline",$H3508&lt;&gt;""),"⚠ Baseline: Start لا يدخل في التقدم",IF($K3508="No Start (attainment only)","ℹ تحصيل فقط (بدون Start)",IF($K3508="U – needs rule","ℹ حالة U تحتاج قاعدة معتمدة",IF($K3508="No result","ℹ بدون نتيجة (يُستبعد من التحصيل)","OK")))))))))))</f>
        <v/>
      </c>
      <c r="M3508" s="64" t="n">
        <f aca="false">IF($A3508="",0,IFERROR(MATCH($A3508,Classes!$A$6:$A$420,0),0))</f>
        <v>0</v>
      </c>
      <c r="N3508" s="64" t="n">
        <f aca="false">IF($H3508="",0,IFERROR(MATCH($H3508,GradeList,0),0))</f>
        <v>0</v>
      </c>
      <c r="O3508" s="64" t="n">
        <f aca="false">IF(OR($I3508="",$I3508="NR"),0,IFERROR(MATCH($I3508,GradeList,0),0))</f>
        <v>0</v>
      </c>
      <c r="P3508" s="64" t="n">
        <f aca="false">IF(AND($M3508&gt;0,ISNUMBER(MATCH($F3508,Lists!$A$2:$A$5,0)),ISNUMBER(MATCH($G3508,Lists!$B$2:$B$7,0)),OR($H3508="",$N3508&gt;0),OR($I3508="",$I3508="NR",$O3508&gt;0),IF(ISNUMBER($J3508),AND($J3508&gt;=0,$J3508=INT($J3508)),FALSE())),$J3508,0)</f>
        <v>0</v>
      </c>
      <c r="Q3508" s="64" t="n">
        <f aca="false">IF(AND($P3508&gt;0,$O3508&gt;0),$P3508,0)</f>
        <v>0</v>
      </c>
      <c r="R3508" s="64" t="n">
        <f aca="false">IF(AND($Q3508&gt;0,$O3508&gt;=AtRank),$Q3508,0)</f>
        <v>0</v>
      </c>
      <c r="S3508" s="64" t="n">
        <f aca="false">IF(AND($Q3508&gt;0,$O3508&gt;=AboveRank),$Q3508,0)</f>
        <v>0</v>
      </c>
      <c r="T3508" s="64" t="n">
        <f aca="false">IF($K3508="Less",$P3508,0)</f>
        <v>0</v>
      </c>
      <c r="U3508" s="64" t="n">
        <f aca="false">IF($K3508="Expected",$P3508,0)</f>
        <v>0</v>
      </c>
      <c r="V3508" s="64" t="n">
        <f aca="false">IF($K3508="Better",$P3508,0)</f>
        <v>0</v>
      </c>
      <c r="W3508" s="64" t="n">
        <f aca="false">IF($K3508="U – needs rule",$P3508,0)</f>
        <v>0</v>
      </c>
      <c r="X3508" s="64" t="n">
        <f aca="false">IF($K3508="No Start (attainment only)",$P3508,0)</f>
        <v>0</v>
      </c>
    </row>
    <row r="3509" customFormat="false" ht="15" hidden="false" customHeight="false" outlineLevel="0" collapsed="false">
      <c r="A3509" s="60"/>
      <c r="B3509" s="61" t="str">
        <f aca="false">IF($M3509=0,"",INDEX(Classes!$E$6:$E$420,$M3509))</f>
        <v/>
      </c>
      <c r="C3509" s="62" t="str">
        <f aca="false">IF($M3509=0,"",INDEX(Classes!$H$6:$H$420,$M3509))</f>
        <v/>
      </c>
      <c r="D3509" s="61" t="str">
        <f aca="false">IF($M3509=0,"",INDEX(Classes!$B$6:$B$420,$M3509))</f>
        <v/>
      </c>
      <c r="E3509" s="61" t="str">
        <f aca="false">IF($M3509=0,"",INDEX(Classes!$C$6:$C$420,$M3509))</f>
        <v/>
      </c>
      <c r="F3509" s="63"/>
      <c r="G3509" s="63"/>
      <c r="H3509" s="60"/>
      <c r="I3509" s="60"/>
      <c r="J3509" s="63"/>
      <c r="K3509" s="61" t="str">
        <f aca="false">IF($P3509=0,"",IF($F3509="Baseline","— Baseline",IF($O3509=0,"No result",IF($N3509=0,"No Start (attainment only)",IF(OR($N3509=1,$O3509=1),"U – needs rule",INDEX(MxBody,MATCH($I3509,MxCurr,0),MATCH($H3509,MxStart,0)))))))</f>
        <v/>
      </c>
      <c r="L3509" s="62" t="str">
        <f aca="false">IF(COUNTA($A3509,$F3509,$G3509,$H3509,$I3509,$J3509)=0,"",IF($M3509=0,"✖ كود الصف غير موجود",IF(ISNA(MATCH($F3509,Lists!$A$2:$A$5,0)),"✖ الفترة غير صحيحة",IF(ISNA(MATCH($G3509,Lists!$B$2:$B$7,0)),"✖ المجموعة غير صحيحة",IF(NOT(OR($H3509="",$N3509&gt;0)),"✖ Start غير صحيح",IF(NOT(OR($I3509="",$I3509="NR",$O3509&gt;0)),"✖ Current غير صحيح",IF(NOT(IF(ISNUMBER($J3509),AND($J3509&gt;=0,$J3509=INT($J3509)),FALSE())),"✖ العدد يجب أن يكون صحيحًا ≥ 0",IF(AND($F3509="Baseline",$H3509&lt;&gt;""),"⚠ Baseline: Start لا يدخل في التقدم",IF($K3509="No Start (attainment only)","ℹ تحصيل فقط (بدون Start)",IF($K3509="U – needs rule","ℹ حالة U تحتاج قاعدة معتمدة",IF($K3509="No result","ℹ بدون نتيجة (يُستبعد من التحصيل)","OK")))))))))))</f>
        <v/>
      </c>
      <c r="M3509" s="64" t="n">
        <f aca="false">IF($A3509="",0,IFERROR(MATCH($A3509,Classes!$A$6:$A$420,0),0))</f>
        <v>0</v>
      </c>
      <c r="N3509" s="64" t="n">
        <f aca="false">IF($H3509="",0,IFERROR(MATCH($H3509,GradeList,0),0))</f>
        <v>0</v>
      </c>
      <c r="O3509" s="64" t="n">
        <f aca="false">IF(OR($I3509="",$I3509="NR"),0,IFERROR(MATCH($I3509,GradeList,0),0))</f>
        <v>0</v>
      </c>
      <c r="P3509" s="64" t="n">
        <f aca="false">IF(AND($M3509&gt;0,ISNUMBER(MATCH($F3509,Lists!$A$2:$A$5,0)),ISNUMBER(MATCH($G3509,Lists!$B$2:$B$7,0)),OR($H3509="",$N3509&gt;0),OR($I3509="",$I3509="NR",$O3509&gt;0),IF(ISNUMBER($J3509),AND($J3509&gt;=0,$J3509=INT($J3509)),FALSE())),$J3509,0)</f>
        <v>0</v>
      </c>
      <c r="Q3509" s="64" t="n">
        <f aca="false">IF(AND($P3509&gt;0,$O3509&gt;0),$P3509,0)</f>
        <v>0</v>
      </c>
      <c r="R3509" s="64" t="n">
        <f aca="false">IF(AND($Q3509&gt;0,$O3509&gt;=AtRank),$Q3509,0)</f>
        <v>0</v>
      </c>
      <c r="S3509" s="64" t="n">
        <f aca="false">IF(AND($Q3509&gt;0,$O3509&gt;=AboveRank),$Q3509,0)</f>
        <v>0</v>
      </c>
      <c r="T3509" s="64" t="n">
        <f aca="false">IF($K3509="Less",$P3509,0)</f>
        <v>0</v>
      </c>
      <c r="U3509" s="64" t="n">
        <f aca="false">IF($K3509="Expected",$P3509,0)</f>
        <v>0</v>
      </c>
      <c r="V3509" s="64" t="n">
        <f aca="false">IF($K3509="Better",$P3509,0)</f>
        <v>0</v>
      </c>
      <c r="W3509" s="64" t="n">
        <f aca="false">IF($K3509="U – needs rule",$P3509,0)</f>
        <v>0</v>
      </c>
      <c r="X3509" s="64" t="n">
        <f aca="false">IF($K3509="No Start (attainment only)",$P3509,0)</f>
        <v>0</v>
      </c>
    </row>
    <row r="3510" customFormat="false" ht="15" hidden="false" customHeight="false" outlineLevel="0" collapsed="false">
      <c r="A3510" s="60"/>
      <c r="B3510" s="61" t="str">
        <f aca="false">IF($M3510=0,"",INDEX(Classes!$E$6:$E$420,$M3510))</f>
        <v/>
      </c>
      <c r="C3510" s="62" t="str">
        <f aca="false">IF($M3510=0,"",INDEX(Classes!$H$6:$H$420,$M3510))</f>
        <v/>
      </c>
      <c r="D3510" s="61" t="str">
        <f aca="false">IF($M3510=0,"",INDEX(Classes!$B$6:$B$420,$M3510))</f>
        <v/>
      </c>
      <c r="E3510" s="61" t="str">
        <f aca="false">IF($M3510=0,"",INDEX(Classes!$C$6:$C$420,$M3510))</f>
        <v/>
      </c>
      <c r="F3510" s="63"/>
      <c r="G3510" s="63"/>
      <c r="H3510" s="60"/>
      <c r="I3510" s="60"/>
      <c r="J3510" s="63"/>
      <c r="K3510" s="61" t="str">
        <f aca="false">IF($P3510=0,"",IF($F3510="Baseline","— Baseline",IF($O3510=0,"No result",IF($N3510=0,"No Start (attainment only)",IF(OR($N3510=1,$O3510=1),"U – needs rule",INDEX(MxBody,MATCH($I3510,MxCurr,0),MATCH($H3510,MxStart,0)))))))</f>
        <v/>
      </c>
      <c r="L3510" s="62" t="str">
        <f aca="false">IF(COUNTA($A3510,$F3510,$G3510,$H3510,$I3510,$J3510)=0,"",IF($M3510=0,"✖ كود الصف غير موجود",IF(ISNA(MATCH($F3510,Lists!$A$2:$A$5,0)),"✖ الفترة غير صحيحة",IF(ISNA(MATCH($G3510,Lists!$B$2:$B$7,0)),"✖ المجموعة غير صحيحة",IF(NOT(OR($H3510="",$N3510&gt;0)),"✖ Start غير صحيح",IF(NOT(OR($I3510="",$I3510="NR",$O3510&gt;0)),"✖ Current غير صحيح",IF(NOT(IF(ISNUMBER($J3510),AND($J3510&gt;=0,$J3510=INT($J3510)),FALSE())),"✖ العدد يجب أن يكون صحيحًا ≥ 0",IF(AND($F3510="Baseline",$H3510&lt;&gt;""),"⚠ Baseline: Start لا يدخل في التقدم",IF($K3510="No Start (attainment only)","ℹ تحصيل فقط (بدون Start)",IF($K3510="U – needs rule","ℹ حالة U تحتاج قاعدة معتمدة",IF($K3510="No result","ℹ بدون نتيجة (يُستبعد من التحصيل)","OK")))))))))))</f>
        <v/>
      </c>
      <c r="M3510" s="64" t="n">
        <f aca="false">IF($A3510="",0,IFERROR(MATCH($A3510,Classes!$A$6:$A$420,0),0))</f>
        <v>0</v>
      </c>
      <c r="N3510" s="64" t="n">
        <f aca="false">IF($H3510="",0,IFERROR(MATCH($H3510,GradeList,0),0))</f>
        <v>0</v>
      </c>
      <c r="O3510" s="64" t="n">
        <f aca="false">IF(OR($I3510="",$I3510="NR"),0,IFERROR(MATCH($I3510,GradeList,0),0))</f>
        <v>0</v>
      </c>
      <c r="P3510" s="64" t="n">
        <f aca="false">IF(AND($M3510&gt;0,ISNUMBER(MATCH($F3510,Lists!$A$2:$A$5,0)),ISNUMBER(MATCH($G3510,Lists!$B$2:$B$7,0)),OR($H3510="",$N3510&gt;0),OR($I3510="",$I3510="NR",$O3510&gt;0),IF(ISNUMBER($J3510),AND($J3510&gt;=0,$J3510=INT($J3510)),FALSE())),$J3510,0)</f>
        <v>0</v>
      </c>
      <c r="Q3510" s="64" t="n">
        <f aca="false">IF(AND($P3510&gt;0,$O3510&gt;0),$P3510,0)</f>
        <v>0</v>
      </c>
      <c r="R3510" s="64" t="n">
        <f aca="false">IF(AND($Q3510&gt;0,$O3510&gt;=AtRank),$Q3510,0)</f>
        <v>0</v>
      </c>
      <c r="S3510" s="64" t="n">
        <f aca="false">IF(AND($Q3510&gt;0,$O3510&gt;=AboveRank),$Q3510,0)</f>
        <v>0</v>
      </c>
      <c r="T3510" s="64" t="n">
        <f aca="false">IF($K3510="Less",$P3510,0)</f>
        <v>0</v>
      </c>
      <c r="U3510" s="64" t="n">
        <f aca="false">IF($K3510="Expected",$P3510,0)</f>
        <v>0</v>
      </c>
      <c r="V3510" s="64" t="n">
        <f aca="false">IF($K3510="Better",$P3510,0)</f>
        <v>0</v>
      </c>
      <c r="W3510" s="64" t="n">
        <f aca="false">IF($K3510="U – needs rule",$P3510,0)</f>
        <v>0</v>
      </c>
      <c r="X3510" s="64" t="n">
        <f aca="false">IF($K3510="No Start (attainment only)",$P3510,0)</f>
        <v>0</v>
      </c>
    </row>
    <row r="3511" customFormat="false" ht="15" hidden="false" customHeight="false" outlineLevel="0" collapsed="false">
      <c r="A3511" s="60"/>
      <c r="B3511" s="61" t="str">
        <f aca="false">IF($M3511=0,"",INDEX(Classes!$E$6:$E$420,$M3511))</f>
        <v/>
      </c>
      <c r="C3511" s="62" t="str">
        <f aca="false">IF($M3511=0,"",INDEX(Classes!$H$6:$H$420,$M3511))</f>
        <v/>
      </c>
      <c r="D3511" s="61" t="str">
        <f aca="false">IF($M3511=0,"",INDEX(Classes!$B$6:$B$420,$M3511))</f>
        <v/>
      </c>
      <c r="E3511" s="61" t="str">
        <f aca="false">IF($M3511=0,"",INDEX(Classes!$C$6:$C$420,$M3511))</f>
        <v/>
      </c>
      <c r="F3511" s="63"/>
      <c r="G3511" s="63"/>
      <c r="H3511" s="60"/>
      <c r="I3511" s="60"/>
      <c r="J3511" s="63"/>
      <c r="K3511" s="61" t="str">
        <f aca="false">IF($P3511=0,"",IF($F3511="Baseline","— Baseline",IF($O3511=0,"No result",IF($N3511=0,"No Start (attainment only)",IF(OR($N3511=1,$O3511=1),"U – needs rule",INDEX(MxBody,MATCH($I3511,MxCurr,0),MATCH($H3511,MxStart,0)))))))</f>
        <v/>
      </c>
      <c r="L3511" s="62" t="str">
        <f aca="false">IF(COUNTA($A3511,$F3511,$G3511,$H3511,$I3511,$J3511)=0,"",IF($M3511=0,"✖ كود الصف غير موجود",IF(ISNA(MATCH($F3511,Lists!$A$2:$A$5,0)),"✖ الفترة غير صحيحة",IF(ISNA(MATCH($G3511,Lists!$B$2:$B$7,0)),"✖ المجموعة غير صحيحة",IF(NOT(OR($H3511="",$N3511&gt;0)),"✖ Start غير صحيح",IF(NOT(OR($I3511="",$I3511="NR",$O3511&gt;0)),"✖ Current غير صحيح",IF(NOT(IF(ISNUMBER($J3511),AND($J3511&gt;=0,$J3511=INT($J3511)),FALSE())),"✖ العدد يجب أن يكون صحيحًا ≥ 0",IF(AND($F3511="Baseline",$H3511&lt;&gt;""),"⚠ Baseline: Start لا يدخل في التقدم",IF($K3511="No Start (attainment only)","ℹ تحصيل فقط (بدون Start)",IF($K3511="U – needs rule","ℹ حالة U تحتاج قاعدة معتمدة",IF($K3511="No result","ℹ بدون نتيجة (يُستبعد من التحصيل)","OK")))))))))))</f>
        <v/>
      </c>
      <c r="M3511" s="64" t="n">
        <f aca="false">IF($A3511="",0,IFERROR(MATCH($A3511,Classes!$A$6:$A$420,0),0))</f>
        <v>0</v>
      </c>
      <c r="N3511" s="64" t="n">
        <f aca="false">IF($H3511="",0,IFERROR(MATCH($H3511,GradeList,0),0))</f>
        <v>0</v>
      </c>
      <c r="O3511" s="64" t="n">
        <f aca="false">IF(OR($I3511="",$I3511="NR"),0,IFERROR(MATCH($I3511,GradeList,0),0))</f>
        <v>0</v>
      </c>
      <c r="P3511" s="64" t="n">
        <f aca="false">IF(AND($M3511&gt;0,ISNUMBER(MATCH($F3511,Lists!$A$2:$A$5,0)),ISNUMBER(MATCH($G3511,Lists!$B$2:$B$7,0)),OR($H3511="",$N3511&gt;0),OR($I3511="",$I3511="NR",$O3511&gt;0),IF(ISNUMBER($J3511),AND($J3511&gt;=0,$J3511=INT($J3511)),FALSE())),$J3511,0)</f>
        <v>0</v>
      </c>
      <c r="Q3511" s="64" t="n">
        <f aca="false">IF(AND($P3511&gt;0,$O3511&gt;0),$P3511,0)</f>
        <v>0</v>
      </c>
      <c r="R3511" s="64" t="n">
        <f aca="false">IF(AND($Q3511&gt;0,$O3511&gt;=AtRank),$Q3511,0)</f>
        <v>0</v>
      </c>
      <c r="S3511" s="64" t="n">
        <f aca="false">IF(AND($Q3511&gt;0,$O3511&gt;=AboveRank),$Q3511,0)</f>
        <v>0</v>
      </c>
      <c r="T3511" s="64" t="n">
        <f aca="false">IF($K3511="Less",$P3511,0)</f>
        <v>0</v>
      </c>
      <c r="U3511" s="64" t="n">
        <f aca="false">IF($K3511="Expected",$P3511,0)</f>
        <v>0</v>
      </c>
      <c r="V3511" s="64" t="n">
        <f aca="false">IF($K3511="Better",$P3511,0)</f>
        <v>0</v>
      </c>
      <c r="W3511" s="64" t="n">
        <f aca="false">IF($K3511="U – needs rule",$P3511,0)</f>
        <v>0</v>
      </c>
      <c r="X3511" s="64" t="n">
        <f aca="false">IF($K3511="No Start (attainment only)",$P3511,0)</f>
        <v>0</v>
      </c>
    </row>
    <row r="3512" customFormat="false" ht="15" hidden="false" customHeight="false" outlineLevel="0" collapsed="false">
      <c r="A3512" s="60"/>
      <c r="B3512" s="61" t="str">
        <f aca="false">IF($M3512=0,"",INDEX(Classes!$E$6:$E$420,$M3512))</f>
        <v/>
      </c>
      <c r="C3512" s="62" t="str">
        <f aca="false">IF($M3512=0,"",INDEX(Classes!$H$6:$H$420,$M3512))</f>
        <v/>
      </c>
      <c r="D3512" s="61" t="str">
        <f aca="false">IF($M3512=0,"",INDEX(Classes!$B$6:$B$420,$M3512))</f>
        <v/>
      </c>
      <c r="E3512" s="61" t="str">
        <f aca="false">IF($M3512=0,"",INDEX(Classes!$C$6:$C$420,$M3512))</f>
        <v/>
      </c>
      <c r="F3512" s="63"/>
      <c r="G3512" s="63"/>
      <c r="H3512" s="60"/>
      <c r="I3512" s="60"/>
      <c r="J3512" s="63"/>
      <c r="K3512" s="61" t="str">
        <f aca="false">IF($P3512=0,"",IF($F3512="Baseline","— Baseline",IF($O3512=0,"No result",IF($N3512=0,"No Start (attainment only)",IF(OR($N3512=1,$O3512=1),"U – needs rule",INDEX(MxBody,MATCH($I3512,MxCurr,0),MATCH($H3512,MxStart,0)))))))</f>
        <v/>
      </c>
      <c r="L3512" s="62" t="str">
        <f aca="false">IF(COUNTA($A3512,$F3512,$G3512,$H3512,$I3512,$J3512)=0,"",IF($M3512=0,"✖ كود الصف غير موجود",IF(ISNA(MATCH($F3512,Lists!$A$2:$A$5,0)),"✖ الفترة غير صحيحة",IF(ISNA(MATCH($G3512,Lists!$B$2:$B$7,0)),"✖ المجموعة غير صحيحة",IF(NOT(OR($H3512="",$N3512&gt;0)),"✖ Start غير صحيح",IF(NOT(OR($I3512="",$I3512="NR",$O3512&gt;0)),"✖ Current غير صحيح",IF(NOT(IF(ISNUMBER($J3512),AND($J3512&gt;=0,$J3512=INT($J3512)),FALSE())),"✖ العدد يجب أن يكون صحيحًا ≥ 0",IF(AND($F3512="Baseline",$H3512&lt;&gt;""),"⚠ Baseline: Start لا يدخل في التقدم",IF($K3512="No Start (attainment only)","ℹ تحصيل فقط (بدون Start)",IF($K3512="U – needs rule","ℹ حالة U تحتاج قاعدة معتمدة",IF($K3512="No result","ℹ بدون نتيجة (يُستبعد من التحصيل)","OK")))))))))))</f>
        <v/>
      </c>
      <c r="M3512" s="64" t="n">
        <f aca="false">IF($A3512="",0,IFERROR(MATCH($A3512,Classes!$A$6:$A$420,0),0))</f>
        <v>0</v>
      </c>
      <c r="N3512" s="64" t="n">
        <f aca="false">IF($H3512="",0,IFERROR(MATCH($H3512,GradeList,0),0))</f>
        <v>0</v>
      </c>
      <c r="O3512" s="64" t="n">
        <f aca="false">IF(OR($I3512="",$I3512="NR"),0,IFERROR(MATCH($I3512,GradeList,0),0))</f>
        <v>0</v>
      </c>
      <c r="P3512" s="64" t="n">
        <f aca="false">IF(AND($M3512&gt;0,ISNUMBER(MATCH($F3512,Lists!$A$2:$A$5,0)),ISNUMBER(MATCH($G3512,Lists!$B$2:$B$7,0)),OR($H3512="",$N3512&gt;0),OR($I3512="",$I3512="NR",$O3512&gt;0),IF(ISNUMBER($J3512),AND($J3512&gt;=0,$J3512=INT($J3512)),FALSE())),$J3512,0)</f>
        <v>0</v>
      </c>
      <c r="Q3512" s="64" t="n">
        <f aca="false">IF(AND($P3512&gt;0,$O3512&gt;0),$P3512,0)</f>
        <v>0</v>
      </c>
      <c r="R3512" s="64" t="n">
        <f aca="false">IF(AND($Q3512&gt;0,$O3512&gt;=AtRank),$Q3512,0)</f>
        <v>0</v>
      </c>
      <c r="S3512" s="64" t="n">
        <f aca="false">IF(AND($Q3512&gt;0,$O3512&gt;=AboveRank),$Q3512,0)</f>
        <v>0</v>
      </c>
      <c r="T3512" s="64" t="n">
        <f aca="false">IF($K3512="Less",$P3512,0)</f>
        <v>0</v>
      </c>
      <c r="U3512" s="64" t="n">
        <f aca="false">IF($K3512="Expected",$P3512,0)</f>
        <v>0</v>
      </c>
      <c r="V3512" s="64" t="n">
        <f aca="false">IF($K3512="Better",$P3512,0)</f>
        <v>0</v>
      </c>
      <c r="W3512" s="64" t="n">
        <f aca="false">IF($K3512="U – needs rule",$P3512,0)</f>
        <v>0</v>
      </c>
      <c r="X3512" s="64" t="n">
        <f aca="false">IF($K3512="No Start (attainment only)",$P3512,0)</f>
        <v>0</v>
      </c>
    </row>
    <row r="3513" customFormat="false" ht="15" hidden="false" customHeight="false" outlineLevel="0" collapsed="false">
      <c r="A3513" s="60"/>
      <c r="B3513" s="61" t="str">
        <f aca="false">IF($M3513=0,"",INDEX(Classes!$E$6:$E$420,$M3513))</f>
        <v/>
      </c>
      <c r="C3513" s="62" t="str">
        <f aca="false">IF($M3513=0,"",INDEX(Classes!$H$6:$H$420,$M3513))</f>
        <v/>
      </c>
      <c r="D3513" s="61" t="str">
        <f aca="false">IF($M3513=0,"",INDEX(Classes!$B$6:$B$420,$M3513))</f>
        <v/>
      </c>
      <c r="E3513" s="61" t="str">
        <f aca="false">IF($M3513=0,"",INDEX(Classes!$C$6:$C$420,$M3513))</f>
        <v/>
      </c>
      <c r="F3513" s="63"/>
      <c r="G3513" s="63"/>
      <c r="H3513" s="60"/>
      <c r="I3513" s="60"/>
      <c r="J3513" s="63"/>
      <c r="K3513" s="61" t="str">
        <f aca="false">IF($P3513=0,"",IF($F3513="Baseline","— Baseline",IF($O3513=0,"No result",IF($N3513=0,"No Start (attainment only)",IF(OR($N3513=1,$O3513=1),"U – needs rule",INDEX(MxBody,MATCH($I3513,MxCurr,0),MATCH($H3513,MxStart,0)))))))</f>
        <v/>
      </c>
      <c r="L3513" s="62" t="str">
        <f aca="false">IF(COUNTA($A3513,$F3513,$G3513,$H3513,$I3513,$J3513)=0,"",IF($M3513=0,"✖ كود الصف غير موجود",IF(ISNA(MATCH($F3513,Lists!$A$2:$A$5,0)),"✖ الفترة غير صحيحة",IF(ISNA(MATCH($G3513,Lists!$B$2:$B$7,0)),"✖ المجموعة غير صحيحة",IF(NOT(OR($H3513="",$N3513&gt;0)),"✖ Start غير صحيح",IF(NOT(OR($I3513="",$I3513="NR",$O3513&gt;0)),"✖ Current غير صحيح",IF(NOT(IF(ISNUMBER($J3513),AND($J3513&gt;=0,$J3513=INT($J3513)),FALSE())),"✖ العدد يجب أن يكون صحيحًا ≥ 0",IF(AND($F3513="Baseline",$H3513&lt;&gt;""),"⚠ Baseline: Start لا يدخل في التقدم",IF($K3513="No Start (attainment only)","ℹ تحصيل فقط (بدون Start)",IF($K3513="U – needs rule","ℹ حالة U تحتاج قاعدة معتمدة",IF($K3513="No result","ℹ بدون نتيجة (يُستبعد من التحصيل)","OK")))))))))))</f>
        <v/>
      </c>
      <c r="M3513" s="64" t="n">
        <f aca="false">IF($A3513="",0,IFERROR(MATCH($A3513,Classes!$A$6:$A$420,0),0))</f>
        <v>0</v>
      </c>
      <c r="N3513" s="64" t="n">
        <f aca="false">IF($H3513="",0,IFERROR(MATCH($H3513,GradeList,0),0))</f>
        <v>0</v>
      </c>
      <c r="O3513" s="64" t="n">
        <f aca="false">IF(OR($I3513="",$I3513="NR"),0,IFERROR(MATCH($I3513,GradeList,0),0))</f>
        <v>0</v>
      </c>
      <c r="P3513" s="64" t="n">
        <f aca="false">IF(AND($M3513&gt;0,ISNUMBER(MATCH($F3513,Lists!$A$2:$A$5,0)),ISNUMBER(MATCH($G3513,Lists!$B$2:$B$7,0)),OR($H3513="",$N3513&gt;0),OR($I3513="",$I3513="NR",$O3513&gt;0),IF(ISNUMBER($J3513),AND($J3513&gt;=0,$J3513=INT($J3513)),FALSE())),$J3513,0)</f>
        <v>0</v>
      </c>
      <c r="Q3513" s="64" t="n">
        <f aca="false">IF(AND($P3513&gt;0,$O3513&gt;0),$P3513,0)</f>
        <v>0</v>
      </c>
      <c r="R3513" s="64" t="n">
        <f aca="false">IF(AND($Q3513&gt;0,$O3513&gt;=AtRank),$Q3513,0)</f>
        <v>0</v>
      </c>
      <c r="S3513" s="64" t="n">
        <f aca="false">IF(AND($Q3513&gt;0,$O3513&gt;=AboveRank),$Q3513,0)</f>
        <v>0</v>
      </c>
      <c r="T3513" s="64" t="n">
        <f aca="false">IF($K3513="Less",$P3513,0)</f>
        <v>0</v>
      </c>
      <c r="U3513" s="64" t="n">
        <f aca="false">IF($K3513="Expected",$P3513,0)</f>
        <v>0</v>
      </c>
      <c r="V3513" s="64" t="n">
        <f aca="false">IF($K3513="Better",$P3513,0)</f>
        <v>0</v>
      </c>
      <c r="W3513" s="64" t="n">
        <f aca="false">IF($K3513="U – needs rule",$P3513,0)</f>
        <v>0</v>
      </c>
      <c r="X3513" s="64" t="n">
        <f aca="false">IF($K3513="No Start (attainment only)",$P3513,0)</f>
        <v>0</v>
      </c>
    </row>
    <row r="3514" customFormat="false" ht="15" hidden="false" customHeight="false" outlineLevel="0" collapsed="false">
      <c r="A3514" s="60"/>
      <c r="B3514" s="61" t="str">
        <f aca="false">IF($M3514=0,"",INDEX(Classes!$E$6:$E$420,$M3514))</f>
        <v/>
      </c>
      <c r="C3514" s="62" t="str">
        <f aca="false">IF($M3514=0,"",INDEX(Classes!$H$6:$H$420,$M3514))</f>
        <v/>
      </c>
      <c r="D3514" s="61" t="str">
        <f aca="false">IF($M3514=0,"",INDEX(Classes!$B$6:$B$420,$M3514))</f>
        <v/>
      </c>
      <c r="E3514" s="61" t="str">
        <f aca="false">IF($M3514=0,"",INDEX(Classes!$C$6:$C$420,$M3514))</f>
        <v/>
      </c>
      <c r="F3514" s="63"/>
      <c r="G3514" s="63"/>
      <c r="H3514" s="60"/>
      <c r="I3514" s="60"/>
      <c r="J3514" s="63"/>
      <c r="K3514" s="61" t="str">
        <f aca="false">IF($P3514=0,"",IF($F3514="Baseline","— Baseline",IF($O3514=0,"No result",IF($N3514=0,"No Start (attainment only)",IF(OR($N3514=1,$O3514=1),"U – needs rule",INDEX(MxBody,MATCH($I3514,MxCurr,0),MATCH($H3514,MxStart,0)))))))</f>
        <v/>
      </c>
      <c r="L3514" s="62" t="str">
        <f aca="false">IF(COUNTA($A3514,$F3514,$G3514,$H3514,$I3514,$J3514)=0,"",IF($M3514=0,"✖ كود الصف غير موجود",IF(ISNA(MATCH($F3514,Lists!$A$2:$A$5,0)),"✖ الفترة غير صحيحة",IF(ISNA(MATCH($G3514,Lists!$B$2:$B$7,0)),"✖ المجموعة غير صحيحة",IF(NOT(OR($H3514="",$N3514&gt;0)),"✖ Start غير صحيح",IF(NOT(OR($I3514="",$I3514="NR",$O3514&gt;0)),"✖ Current غير صحيح",IF(NOT(IF(ISNUMBER($J3514),AND($J3514&gt;=0,$J3514=INT($J3514)),FALSE())),"✖ العدد يجب أن يكون صحيحًا ≥ 0",IF(AND($F3514="Baseline",$H3514&lt;&gt;""),"⚠ Baseline: Start لا يدخل في التقدم",IF($K3514="No Start (attainment only)","ℹ تحصيل فقط (بدون Start)",IF($K3514="U – needs rule","ℹ حالة U تحتاج قاعدة معتمدة",IF($K3514="No result","ℹ بدون نتيجة (يُستبعد من التحصيل)","OK")))))))))))</f>
        <v/>
      </c>
      <c r="M3514" s="64" t="n">
        <f aca="false">IF($A3514="",0,IFERROR(MATCH($A3514,Classes!$A$6:$A$420,0),0))</f>
        <v>0</v>
      </c>
      <c r="N3514" s="64" t="n">
        <f aca="false">IF($H3514="",0,IFERROR(MATCH($H3514,GradeList,0),0))</f>
        <v>0</v>
      </c>
      <c r="O3514" s="64" t="n">
        <f aca="false">IF(OR($I3514="",$I3514="NR"),0,IFERROR(MATCH($I3514,GradeList,0),0))</f>
        <v>0</v>
      </c>
      <c r="P3514" s="64" t="n">
        <f aca="false">IF(AND($M3514&gt;0,ISNUMBER(MATCH($F3514,Lists!$A$2:$A$5,0)),ISNUMBER(MATCH($G3514,Lists!$B$2:$B$7,0)),OR($H3514="",$N3514&gt;0),OR($I3514="",$I3514="NR",$O3514&gt;0),IF(ISNUMBER($J3514),AND($J3514&gt;=0,$J3514=INT($J3514)),FALSE())),$J3514,0)</f>
        <v>0</v>
      </c>
      <c r="Q3514" s="64" t="n">
        <f aca="false">IF(AND($P3514&gt;0,$O3514&gt;0),$P3514,0)</f>
        <v>0</v>
      </c>
      <c r="R3514" s="64" t="n">
        <f aca="false">IF(AND($Q3514&gt;0,$O3514&gt;=AtRank),$Q3514,0)</f>
        <v>0</v>
      </c>
      <c r="S3514" s="64" t="n">
        <f aca="false">IF(AND($Q3514&gt;0,$O3514&gt;=AboveRank),$Q3514,0)</f>
        <v>0</v>
      </c>
      <c r="T3514" s="64" t="n">
        <f aca="false">IF($K3514="Less",$P3514,0)</f>
        <v>0</v>
      </c>
      <c r="U3514" s="64" t="n">
        <f aca="false">IF($K3514="Expected",$P3514,0)</f>
        <v>0</v>
      </c>
      <c r="V3514" s="64" t="n">
        <f aca="false">IF($K3514="Better",$P3514,0)</f>
        <v>0</v>
      </c>
      <c r="W3514" s="64" t="n">
        <f aca="false">IF($K3514="U – needs rule",$P3514,0)</f>
        <v>0</v>
      </c>
      <c r="X3514" s="64" t="n">
        <f aca="false">IF($K3514="No Start (attainment only)",$P3514,0)</f>
        <v>0</v>
      </c>
    </row>
    <row r="3515" customFormat="false" ht="15" hidden="false" customHeight="false" outlineLevel="0" collapsed="false">
      <c r="A3515" s="60"/>
      <c r="B3515" s="61" t="str">
        <f aca="false">IF($M3515=0,"",INDEX(Classes!$E$6:$E$420,$M3515))</f>
        <v/>
      </c>
      <c r="C3515" s="62" t="str">
        <f aca="false">IF($M3515=0,"",INDEX(Classes!$H$6:$H$420,$M3515))</f>
        <v/>
      </c>
      <c r="D3515" s="61" t="str">
        <f aca="false">IF($M3515=0,"",INDEX(Classes!$B$6:$B$420,$M3515))</f>
        <v/>
      </c>
      <c r="E3515" s="61" t="str">
        <f aca="false">IF($M3515=0,"",INDEX(Classes!$C$6:$C$420,$M3515))</f>
        <v/>
      </c>
      <c r="F3515" s="63"/>
      <c r="G3515" s="63"/>
      <c r="H3515" s="60"/>
      <c r="I3515" s="60"/>
      <c r="J3515" s="63"/>
      <c r="K3515" s="61" t="str">
        <f aca="false">IF($P3515=0,"",IF($F3515="Baseline","— Baseline",IF($O3515=0,"No result",IF($N3515=0,"No Start (attainment only)",IF(OR($N3515=1,$O3515=1),"U – needs rule",INDEX(MxBody,MATCH($I3515,MxCurr,0),MATCH($H3515,MxStart,0)))))))</f>
        <v/>
      </c>
      <c r="L3515" s="62" t="str">
        <f aca="false">IF(COUNTA($A3515,$F3515,$G3515,$H3515,$I3515,$J3515)=0,"",IF($M3515=0,"✖ كود الصف غير موجود",IF(ISNA(MATCH($F3515,Lists!$A$2:$A$5,0)),"✖ الفترة غير صحيحة",IF(ISNA(MATCH($G3515,Lists!$B$2:$B$7,0)),"✖ المجموعة غير صحيحة",IF(NOT(OR($H3515="",$N3515&gt;0)),"✖ Start غير صحيح",IF(NOT(OR($I3515="",$I3515="NR",$O3515&gt;0)),"✖ Current غير صحيح",IF(NOT(IF(ISNUMBER($J3515),AND($J3515&gt;=0,$J3515=INT($J3515)),FALSE())),"✖ العدد يجب أن يكون صحيحًا ≥ 0",IF(AND($F3515="Baseline",$H3515&lt;&gt;""),"⚠ Baseline: Start لا يدخل في التقدم",IF($K3515="No Start (attainment only)","ℹ تحصيل فقط (بدون Start)",IF($K3515="U – needs rule","ℹ حالة U تحتاج قاعدة معتمدة",IF($K3515="No result","ℹ بدون نتيجة (يُستبعد من التحصيل)","OK")))))))))))</f>
        <v/>
      </c>
      <c r="M3515" s="64" t="n">
        <f aca="false">IF($A3515="",0,IFERROR(MATCH($A3515,Classes!$A$6:$A$420,0),0))</f>
        <v>0</v>
      </c>
      <c r="N3515" s="64" t="n">
        <f aca="false">IF($H3515="",0,IFERROR(MATCH($H3515,GradeList,0),0))</f>
        <v>0</v>
      </c>
      <c r="O3515" s="64" t="n">
        <f aca="false">IF(OR($I3515="",$I3515="NR"),0,IFERROR(MATCH($I3515,GradeList,0),0))</f>
        <v>0</v>
      </c>
      <c r="P3515" s="64" t="n">
        <f aca="false">IF(AND($M3515&gt;0,ISNUMBER(MATCH($F3515,Lists!$A$2:$A$5,0)),ISNUMBER(MATCH($G3515,Lists!$B$2:$B$7,0)),OR($H3515="",$N3515&gt;0),OR($I3515="",$I3515="NR",$O3515&gt;0),IF(ISNUMBER($J3515),AND($J3515&gt;=0,$J3515=INT($J3515)),FALSE())),$J3515,0)</f>
        <v>0</v>
      </c>
      <c r="Q3515" s="64" t="n">
        <f aca="false">IF(AND($P3515&gt;0,$O3515&gt;0),$P3515,0)</f>
        <v>0</v>
      </c>
      <c r="R3515" s="64" t="n">
        <f aca="false">IF(AND($Q3515&gt;0,$O3515&gt;=AtRank),$Q3515,0)</f>
        <v>0</v>
      </c>
      <c r="S3515" s="64" t="n">
        <f aca="false">IF(AND($Q3515&gt;0,$O3515&gt;=AboveRank),$Q3515,0)</f>
        <v>0</v>
      </c>
      <c r="T3515" s="64" t="n">
        <f aca="false">IF($K3515="Less",$P3515,0)</f>
        <v>0</v>
      </c>
      <c r="U3515" s="64" t="n">
        <f aca="false">IF($K3515="Expected",$P3515,0)</f>
        <v>0</v>
      </c>
      <c r="V3515" s="64" t="n">
        <f aca="false">IF($K3515="Better",$P3515,0)</f>
        <v>0</v>
      </c>
      <c r="W3515" s="64" t="n">
        <f aca="false">IF($K3515="U – needs rule",$P3515,0)</f>
        <v>0</v>
      </c>
      <c r="X3515" s="64" t="n">
        <f aca="false">IF($K3515="No Start (attainment only)",$P3515,0)</f>
        <v>0</v>
      </c>
    </row>
    <row r="3516" customFormat="false" ht="15" hidden="false" customHeight="false" outlineLevel="0" collapsed="false">
      <c r="A3516" s="60"/>
      <c r="B3516" s="61" t="str">
        <f aca="false">IF($M3516=0,"",INDEX(Classes!$E$6:$E$420,$M3516))</f>
        <v/>
      </c>
      <c r="C3516" s="62" t="str">
        <f aca="false">IF($M3516=0,"",INDEX(Classes!$H$6:$H$420,$M3516))</f>
        <v/>
      </c>
      <c r="D3516" s="61" t="str">
        <f aca="false">IF($M3516=0,"",INDEX(Classes!$B$6:$B$420,$M3516))</f>
        <v/>
      </c>
      <c r="E3516" s="61" t="str">
        <f aca="false">IF($M3516=0,"",INDEX(Classes!$C$6:$C$420,$M3516))</f>
        <v/>
      </c>
      <c r="F3516" s="63"/>
      <c r="G3516" s="63"/>
      <c r="H3516" s="60"/>
      <c r="I3516" s="60"/>
      <c r="J3516" s="63"/>
      <c r="K3516" s="61" t="str">
        <f aca="false">IF($P3516=0,"",IF($F3516="Baseline","— Baseline",IF($O3516=0,"No result",IF($N3516=0,"No Start (attainment only)",IF(OR($N3516=1,$O3516=1),"U – needs rule",INDEX(MxBody,MATCH($I3516,MxCurr,0),MATCH($H3516,MxStart,0)))))))</f>
        <v/>
      </c>
      <c r="L3516" s="62" t="str">
        <f aca="false">IF(COUNTA($A3516,$F3516,$G3516,$H3516,$I3516,$J3516)=0,"",IF($M3516=0,"✖ كود الصف غير موجود",IF(ISNA(MATCH($F3516,Lists!$A$2:$A$5,0)),"✖ الفترة غير صحيحة",IF(ISNA(MATCH($G3516,Lists!$B$2:$B$7,0)),"✖ المجموعة غير صحيحة",IF(NOT(OR($H3516="",$N3516&gt;0)),"✖ Start غير صحيح",IF(NOT(OR($I3516="",$I3516="NR",$O3516&gt;0)),"✖ Current غير صحيح",IF(NOT(IF(ISNUMBER($J3516),AND($J3516&gt;=0,$J3516=INT($J3516)),FALSE())),"✖ العدد يجب أن يكون صحيحًا ≥ 0",IF(AND($F3516="Baseline",$H3516&lt;&gt;""),"⚠ Baseline: Start لا يدخل في التقدم",IF($K3516="No Start (attainment only)","ℹ تحصيل فقط (بدون Start)",IF($K3516="U – needs rule","ℹ حالة U تحتاج قاعدة معتمدة",IF($K3516="No result","ℹ بدون نتيجة (يُستبعد من التحصيل)","OK")))))))))))</f>
        <v/>
      </c>
      <c r="M3516" s="64" t="n">
        <f aca="false">IF($A3516="",0,IFERROR(MATCH($A3516,Classes!$A$6:$A$420,0),0))</f>
        <v>0</v>
      </c>
      <c r="N3516" s="64" t="n">
        <f aca="false">IF($H3516="",0,IFERROR(MATCH($H3516,GradeList,0),0))</f>
        <v>0</v>
      </c>
      <c r="O3516" s="64" t="n">
        <f aca="false">IF(OR($I3516="",$I3516="NR"),0,IFERROR(MATCH($I3516,GradeList,0),0))</f>
        <v>0</v>
      </c>
      <c r="P3516" s="64" t="n">
        <f aca="false">IF(AND($M3516&gt;0,ISNUMBER(MATCH($F3516,Lists!$A$2:$A$5,0)),ISNUMBER(MATCH($G3516,Lists!$B$2:$B$7,0)),OR($H3516="",$N3516&gt;0),OR($I3516="",$I3516="NR",$O3516&gt;0),IF(ISNUMBER($J3516),AND($J3516&gt;=0,$J3516=INT($J3516)),FALSE())),$J3516,0)</f>
        <v>0</v>
      </c>
      <c r="Q3516" s="64" t="n">
        <f aca="false">IF(AND($P3516&gt;0,$O3516&gt;0),$P3516,0)</f>
        <v>0</v>
      </c>
      <c r="R3516" s="64" t="n">
        <f aca="false">IF(AND($Q3516&gt;0,$O3516&gt;=AtRank),$Q3516,0)</f>
        <v>0</v>
      </c>
      <c r="S3516" s="64" t="n">
        <f aca="false">IF(AND($Q3516&gt;0,$O3516&gt;=AboveRank),$Q3516,0)</f>
        <v>0</v>
      </c>
      <c r="T3516" s="64" t="n">
        <f aca="false">IF($K3516="Less",$P3516,0)</f>
        <v>0</v>
      </c>
      <c r="U3516" s="64" t="n">
        <f aca="false">IF($K3516="Expected",$P3516,0)</f>
        <v>0</v>
      </c>
      <c r="V3516" s="64" t="n">
        <f aca="false">IF($K3516="Better",$P3516,0)</f>
        <v>0</v>
      </c>
      <c r="W3516" s="64" t="n">
        <f aca="false">IF($K3516="U – needs rule",$P3516,0)</f>
        <v>0</v>
      </c>
      <c r="X3516" s="64" t="n">
        <f aca="false">IF($K3516="No Start (attainment only)",$P3516,0)</f>
        <v>0</v>
      </c>
    </row>
    <row r="3517" customFormat="false" ht="15" hidden="false" customHeight="false" outlineLevel="0" collapsed="false">
      <c r="A3517" s="60"/>
      <c r="B3517" s="61" t="str">
        <f aca="false">IF($M3517=0,"",INDEX(Classes!$E$6:$E$420,$M3517))</f>
        <v/>
      </c>
      <c r="C3517" s="62" t="str">
        <f aca="false">IF($M3517=0,"",INDEX(Classes!$H$6:$H$420,$M3517))</f>
        <v/>
      </c>
      <c r="D3517" s="61" t="str">
        <f aca="false">IF($M3517=0,"",INDEX(Classes!$B$6:$B$420,$M3517))</f>
        <v/>
      </c>
      <c r="E3517" s="61" t="str">
        <f aca="false">IF($M3517=0,"",INDEX(Classes!$C$6:$C$420,$M3517))</f>
        <v/>
      </c>
      <c r="F3517" s="63"/>
      <c r="G3517" s="63"/>
      <c r="H3517" s="60"/>
      <c r="I3517" s="60"/>
      <c r="J3517" s="63"/>
      <c r="K3517" s="61" t="str">
        <f aca="false">IF($P3517=0,"",IF($F3517="Baseline","— Baseline",IF($O3517=0,"No result",IF($N3517=0,"No Start (attainment only)",IF(OR($N3517=1,$O3517=1),"U – needs rule",INDEX(MxBody,MATCH($I3517,MxCurr,0),MATCH($H3517,MxStart,0)))))))</f>
        <v/>
      </c>
      <c r="L3517" s="62" t="str">
        <f aca="false">IF(COUNTA($A3517,$F3517,$G3517,$H3517,$I3517,$J3517)=0,"",IF($M3517=0,"✖ كود الصف غير موجود",IF(ISNA(MATCH($F3517,Lists!$A$2:$A$5,0)),"✖ الفترة غير صحيحة",IF(ISNA(MATCH($G3517,Lists!$B$2:$B$7,0)),"✖ المجموعة غير صحيحة",IF(NOT(OR($H3517="",$N3517&gt;0)),"✖ Start غير صحيح",IF(NOT(OR($I3517="",$I3517="NR",$O3517&gt;0)),"✖ Current غير صحيح",IF(NOT(IF(ISNUMBER($J3517),AND($J3517&gt;=0,$J3517=INT($J3517)),FALSE())),"✖ العدد يجب أن يكون صحيحًا ≥ 0",IF(AND($F3517="Baseline",$H3517&lt;&gt;""),"⚠ Baseline: Start لا يدخل في التقدم",IF($K3517="No Start (attainment only)","ℹ تحصيل فقط (بدون Start)",IF($K3517="U – needs rule","ℹ حالة U تحتاج قاعدة معتمدة",IF($K3517="No result","ℹ بدون نتيجة (يُستبعد من التحصيل)","OK")))))))))))</f>
        <v/>
      </c>
      <c r="M3517" s="64" t="n">
        <f aca="false">IF($A3517="",0,IFERROR(MATCH($A3517,Classes!$A$6:$A$420,0),0))</f>
        <v>0</v>
      </c>
      <c r="N3517" s="64" t="n">
        <f aca="false">IF($H3517="",0,IFERROR(MATCH($H3517,GradeList,0),0))</f>
        <v>0</v>
      </c>
      <c r="O3517" s="64" t="n">
        <f aca="false">IF(OR($I3517="",$I3517="NR"),0,IFERROR(MATCH($I3517,GradeList,0),0))</f>
        <v>0</v>
      </c>
      <c r="P3517" s="64" t="n">
        <f aca="false">IF(AND($M3517&gt;0,ISNUMBER(MATCH($F3517,Lists!$A$2:$A$5,0)),ISNUMBER(MATCH($G3517,Lists!$B$2:$B$7,0)),OR($H3517="",$N3517&gt;0),OR($I3517="",$I3517="NR",$O3517&gt;0),IF(ISNUMBER($J3517),AND($J3517&gt;=0,$J3517=INT($J3517)),FALSE())),$J3517,0)</f>
        <v>0</v>
      </c>
      <c r="Q3517" s="64" t="n">
        <f aca="false">IF(AND($P3517&gt;0,$O3517&gt;0),$P3517,0)</f>
        <v>0</v>
      </c>
      <c r="R3517" s="64" t="n">
        <f aca="false">IF(AND($Q3517&gt;0,$O3517&gt;=AtRank),$Q3517,0)</f>
        <v>0</v>
      </c>
      <c r="S3517" s="64" t="n">
        <f aca="false">IF(AND($Q3517&gt;0,$O3517&gt;=AboveRank),$Q3517,0)</f>
        <v>0</v>
      </c>
      <c r="T3517" s="64" t="n">
        <f aca="false">IF($K3517="Less",$P3517,0)</f>
        <v>0</v>
      </c>
      <c r="U3517" s="64" t="n">
        <f aca="false">IF($K3517="Expected",$P3517,0)</f>
        <v>0</v>
      </c>
      <c r="V3517" s="64" t="n">
        <f aca="false">IF($K3517="Better",$P3517,0)</f>
        <v>0</v>
      </c>
      <c r="W3517" s="64" t="n">
        <f aca="false">IF($K3517="U – needs rule",$P3517,0)</f>
        <v>0</v>
      </c>
      <c r="X3517" s="64" t="n">
        <f aca="false">IF($K3517="No Start (attainment only)",$P3517,0)</f>
        <v>0</v>
      </c>
    </row>
    <row r="3518" customFormat="false" ht="15" hidden="false" customHeight="false" outlineLevel="0" collapsed="false">
      <c r="A3518" s="60"/>
      <c r="B3518" s="61" t="str">
        <f aca="false">IF($M3518=0,"",INDEX(Classes!$E$6:$E$420,$M3518))</f>
        <v/>
      </c>
      <c r="C3518" s="62" t="str">
        <f aca="false">IF($M3518=0,"",INDEX(Classes!$H$6:$H$420,$M3518))</f>
        <v/>
      </c>
      <c r="D3518" s="61" t="str">
        <f aca="false">IF($M3518=0,"",INDEX(Classes!$B$6:$B$420,$M3518))</f>
        <v/>
      </c>
      <c r="E3518" s="61" t="str">
        <f aca="false">IF($M3518=0,"",INDEX(Classes!$C$6:$C$420,$M3518))</f>
        <v/>
      </c>
      <c r="F3518" s="63"/>
      <c r="G3518" s="63"/>
      <c r="H3518" s="60"/>
      <c r="I3518" s="60"/>
      <c r="J3518" s="63"/>
      <c r="K3518" s="61" t="str">
        <f aca="false">IF($P3518=0,"",IF($F3518="Baseline","— Baseline",IF($O3518=0,"No result",IF($N3518=0,"No Start (attainment only)",IF(OR($N3518=1,$O3518=1),"U – needs rule",INDEX(MxBody,MATCH($I3518,MxCurr,0),MATCH($H3518,MxStart,0)))))))</f>
        <v/>
      </c>
      <c r="L3518" s="62" t="str">
        <f aca="false">IF(COUNTA($A3518,$F3518,$G3518,$H3518,$I3518,$J3518)=0,"",IF($M3518=0,"✖ كود الصف غير موجود",IF(ISNA(MATCH($F3518,Lists!$A$2:$A$5,0)),"✖ الفترة غير صحيحة",IF(ISNA(MATCH($G3518,Lists!$B$2:$B$7,0)),"✖ المجموعة غير صحيحة",IF(NOT(OR($H3518="",$N3518&gt;0)),"✖ Start غير صحيح",IF(NOT(OR($I3518="",$I3518="NR",$O3518&gt;0)),"✖ Current غير صحيح",IF(NOT(IF(ISNUMBER($J3518),AND($J3518&gt;=0,$J3518=INT($J3518)),FALSE())),"✖ العدد يجب أن يكون صحيحًا ≥ 0",IF(AND($F3518="Baseline",$H3518&lt;&gt;""),"⚠ Baseline: Start لا يدخل في التقدم",IF($K3518="No Start (attainment only)","ℹ تحصيل فقط (بدون Start)",IF($K3518="U – needs rule","ℹ حالة U تحتاج قاعدة معتمدة",IF($K3518="No result","ℹ بدون نتيجة (يُستبعد من التحصيل)","OK")))))))))))</f>
        <v/>
      </c>
      <c r="M3518" s="64" t="n">
        <f aca="false">IF($A3518="",0,IFERROR(MATCH($A3518,Classes!$A$6:$A$420,0),0))</f>
        <v>0</v>
      </c>
      <c r="N3518" s="64" t="n">
        <f aca="false">IF($H3518="",0,IFERROR(MATCH($H3518,GradeList,0),0))</f>
        <v>0</v>
      </c>
      <c r="O3518" s="64" t="n">
        <f aca="false">IF(OR($I3518="",$I3518="NR"),0,IFERROR(MATCH($I3518,GradeList,0),0))</f>
        <v>0</v>
      </c>
      <c r="P3518" s="64" t="n">
        <f aca="false">IF(AND($M3518&gt;0,ISNUMBER(MATCH($F3518,Lists!$A$2:$A$5,0)),ISNUMBER(MATCH($G3518,Lists!$B$2:$B$7,0)),OR($H3518="",$N3518&gt;0),OR($I3518="",$I3518="NR",$O3518&gt;0),IF(ISNUMBER($J3518),AND($J3518&gt;=0,$J3518=INT($J3518)),FALSE())),$J3518,0)</f>
        <v>0</v>
      </c>
      <c r="Q3518" s="64" t="n">
        <f aca="false">IF(AND($P3518&gt;0,$O3518&gt;0),$P3518,0)</f>
        <v>0</v>
      </c>
      <c r="R3518" s="64" t="n">
        <f aca="false">IF(AND($Q3518&gt;0,$O3518&gt;=AtRank),$Q3518,0)</f>
        <v>0</v>
      </c>
      <c r="S3518" s="64" t="n">
        <f aca="false">IF(AND($Q3518&gt;0,$O3518&gt;=AboveRank),$Q3518,0)</f>
        <v>0</v>
      </c>
      <c r="T3518" s="64" t="n">
        <f aca="false">IF($K3518="Less",$P3518,0)</f>
        <v>0</v>
      </c>
      <c r="U3518" s="64" t="n">
        <f aca="false">IF($K3518="Expected",$P3518,0)</f>
        <v>0</v>
      </c>
      <c r="V3518" s="64" t="n">
        <f aca="false">IF($K3518="Better",$P3518,0)</f>
        <v>0</v>
      </c>
      <c r="W3518" s="64" t="n">
        <f aca="false">IF($K3518="U – needs rule",$P3518,0)</f>
        <v>0</v>
      </c>
      <c r="X3518" s="64" t="n">
        <f aca="false">IF($K3518="No Start (attainment only)",$P3518,0)</f>
        <v>0</v>
      </c>
    </row>
    <row r="3519" customFormat="false" ht="15" hidden="false" customHeight="false" outlineLevel="0" collapsed="false">
      <c r="A3519" s="60"/>
      <c r="B3519" s="61" t="str">
        <f aca="false">IF($M3519=0,"",INDEX(Classes!$E$6:$E$420,$M3519))</f>
        <v/>
      </c>
      <c r="C3519" s="62" t="str">
        <f aca="false">IF($M3519=0,"",INDEX(Classes!$H$6:$H$420,$M3519))</f>
        <v/>
      </c>
      <c r="D3519" s="61" t="str">
        <f aca="false">IF($M3519=0,"",INDEX(Classes!$B$6:$B$420,$M3519))</f>
        <v/>
      </c>
      <c r="E3519" s="61" t="str">
        <f aca="false">IF($M3519=0,"",INDEX(Classes!$C$6:$C$420,$M3519))</f>
        <v/>
      </c>
      <c r="F3519" s="63"/>
      <c r="G3519" s="63"/>
      <c r="H3519" s="60"/>
      <c r="I3519" s="60"/>
      <c r="J3519" s="63"/>
      <c r="K3519" s="61" t="str">
        <f aca="false">IF($P3519=0,"",IF($F3519="Baseline","— Baseline",IF($O3519=0,"No result",IF($N3519=0,"No Start (attainment only)",IF(OR($N3519=1,$O3519=1),"U – needs rule",INDEX(MxBody,MATCH($I3519,MxCurr,0),MATCH($H3519,MxStart,0)))))))</f>
        <v/>
      </c>
      <c r="L3519" s="62" t="str">
        <f aca="false">IF(COUNTA($A3519,$F3519,$G3519,$H3519,$I3519,$J3519)=0,"",IF($M3519=0,"✖ كود الصف غير موجود",IF(ISNA(MATCH($F3519,Lists!$A$2:$A$5,0)),"✖ الفترة غير صحيحة",IF(ISNA(MATCH($G3519,Lists!$B$2:$B$7,0)),"✖ المجموعة غير صحيحة",IF(NOT(OR($H3519="",$N3519&gt;0)),"✖ Start غير صحيح",IF(NOT(OR($I3519="",$I3519="NR",$O3519&gt;0)),"✖ Current غير صحيح",IF(NOT(IF(ISNUMBER($J3519),AND($J3519&gt;=0,$J3519=INT($J3519)),FALSE())),"✖ العدد يجب أن يكون صحيحًا ≥ 0",IF(AND($F3519="Baseline",$H3519&lt;&gt;""),"⚠ Baseline: Start لا يدخل في التقدم",IF($K3519="No Start (attainment only)","ℹ تحصيل فقط (بدون Start)",IF($K3519="U – needs rule","ℹ حالة U تحتاج قاعدة معتمدة",IF($K3519="No result","ℹ بدون نتيجة (يُستبعد من التحصيل)","OK")))))))))))</f>
        <v/>
      </c>
      <c r="M3519" s="64" t="n">
        <f aca="false">IF($A3519="",0,IFERROR(MATCH($A3519,Classes!$A$6:$A$420,0),0))</f>
        <v>0</v>
      </c>
      <c r="N3519" s="64" t="n">
        <f aca="false">IF($H3519="",0,IFERROR(MATCH($H3519,GradeList,0),0))</f>
        <v>0</v>
      </c>
      <c r="O3519" s="64" t="n">
        <f aca="false">IF(OR($I3519="",$I3519="NR"),0,IFERROR(MATCH($I3519,GradeList,0),0))</f>
        <v>0</v>
      </c>
      <c r="P3519" s="64" t="n">
        <f aca="false">IF(AND($M3519&gt;0,ISNUMBER(MATCH($F3519,Lists!$A$2:$A$5,0)),ISNUMBER(MATCH($G3519,Lists!$B$2:$B$7,0)),OR($H3519="",$N3519&gt;0),OR($I3519="",$I3519="NR",$O3519&gt;0),IF(ISNUMBER($J3519),AND($J3519&gt;=0,$J3519=INT($J3519)),FALSE())),$J3519,0)</f>
        <v>0</v>
      </c>
      <c r="Q3519" s="64" t="n">
        <f aca="false">IF(AND($P3519&gt;0,$O3519&gt;0),$P3519,0)</f>
        <v>0</v>
      </c>
      <c r="R3519" s="64" t="n">
        <f aca="false">IF(AND($Q3519&gt;0,$O3519&gt;=AtRank),$Q3519,0)</f>
        <v>0</v>
      </c>
      <c r="S3519" s="64" t="n">
        <f aca="false">IF(AND($Q3519&gt;0,$O3519&gt;=AboveRank),$Q3519,0)</f>
        <v>0</v>
      </c>
      <c r="T3519" s="64" t="n">
        <f aca="false">IF($K3519="Less",$P3519,0)</f>
        <v>0</v>
      </c>
      <c r="U3519" s="64" t="n">
        <f aca="false">IF($K3519="Expected",$P3519,0)</f>
        <v>0</v>
      </c>
      <c r="V3519" s="64" t="n">
        <f aca="false">IF($K3519="Better",$P3519,0)</f>
        <v>0</v>
      </c>
      <c r="W3519" s="64" t="n">
        <f aca="false">IF($K3519="U – needs rule",$P3519,0)</f>
        <v>0</v>
      </c>
      <c r="X3519" s="64" t="n">
        <f aca="false">IF($K3519="No Start (attainment only)",$P3519,0)</f>
        <v>0</v>
      </c>
    </row>
    <row r="3520" customFormat="false" ht="15" hidden="false" customHeight="false" outlineLevel="0" collapsed="false">
      <c r="A3520" s="60"/>
      <c r="B3520" s="61" t="str">
        <f aca="false">IF($M3520=0,"",INDEX(Classes!$E$6:$E$420,$M3520))</f>
        <v/>
      </c>
      <c r="C3520" s="62" t="str">
        <f aca="false">IF($M3520=0,"",INDEX(Classes!$H$6:$H$420,$M3520))</f>
        <v/>
      </c>
      <c r="D3520" s="61" t="str">
        <f aca="false">IF($M3520=0,"",INDEX(Classes!$B$6:$B$420,$M3520))</f>
        <v/>
      </c>
      <c r="E3520" s="61" t="str">
        <f aca="false">IF($M3520=0,"",INDEX(Classes!$C$6:$C$420,$M3520))</f>
        <v/>
      </c>
      <c r="F3520" s="63"/>
      <c r="G3520" s="63"/>
      <c r="H3520" s="60"/>
      <c r="I3520" s="60"/>
      <c r="J3520" s="63"/>
      <c r="K3520" s="61" t="str">
        <f aca="false">IF($P3520=0,"",IF($F3520="Baseline","— Baseline",IF($O3520=0,"No result",IF($N3520=0,"No Start (attainment only)",IF(OR($N3520=1,$O3520=1),"U – needs rule",INDEX(MxBody,MATCH($I3520,MxCurr,0),MATCH($H3520,MxStart,0)))))))</f>
        <v/>
      </c>
      <c r="L3520" s="62" t="str">
        <f aca="false">IF(COUNTA($A3520,$F3520,$G3520,$H3520,$I3520,$J3520)=0,"",IF($M3520=0,"✖ كود الصف غير موجود",IF(ISNA(MATCH($F3520,Lists!$A$2:$A$5,0)),"✖ الفترة غير صحيحة",IF(ISNA(MATCH($G3520,Lists!$B$2:$B$7,0)),"✖ المجموعة غير صحيحة",IF(NOT(OR($H3520="",$N3520&gt;0)),"✖ Start غير صحيح",IF(NOT(OR($I3520="",$I3520="NR",$O3520&gt;0)),"✖ Current غير صحيح",IF(NOT(IF(ISNUMBER($J3520),AND($J3520&gt;=0,$J3520=INT($J3520)),FALSE())),"✖ العدد يجب أن يكون صحيحًا ≥ 0",IF(AND($F3520="Baseline",$H3520&lt;&gt;""),"⚠ Baseline: Start لا يدخل في التقدم",IF($K3520="No Start (attainment only)","ℹ تحصيل فقط (بدون Start)",IF($K3520="U – needs rule","ℹ حالة U تحتاج قاعدة معتمدة",IF($K3520="No result","ℹ بدون نتيجة (يُستبعد من التحصيل)","OK")))))))))))</f>
        <v/>
      </c>
      <c r="M3520" s="64" t="n">
        <f aca="false">IF($A3520="",0,IFERROR(MATCH($A3520,Classes!$A$6:$A$420,0),0))</f>
        <v>0</v>
      </c>
      <c r="N3520" s="64" t="n">
        <f aca="false">IF($H3520="",0,IFERROR(MATCH($H3520,GradeList,0),0))</f>
        <v>0</v>
      </c>
      <c r="O3520" s="64" t="n">
        <f aca="false">IF(OR($I3520="",$I3520="NR"),0,IFERROR(MATCH($I3520,GradeList,0),0))</f>
        <v>0</v>
      </c>
      <c r="P3520" s="64" t="n">
        <f aca="false">IF(AND($M3520&gt;0,ISNUMBER(MATCH($F3520,Lists!$A$2:$A$5,0)),ISNUMBER(MATCH($G3520,Lists!$B$2:$B$7,0)),OR($H3520="",$N3520&gt;0),OR($I3520="",$I3520="NR",$O3520&gt;0),IF(ISNUMBER($J3520),AND($J3520&gt;=0,$J3520=INT($J3520)),FALSE())),$J3520,0)</f>
        <v>0</v>
      </c>
      <c r="Q3520" s="64" t="n">
        <f aca="false">IF(AND($P3520&gt;0,$O3520&gt;0),$P3520,0)</f>
        <v>0</v>
      </c>
      <c r="R3520" s="64" t="n">
        <f aca="false">IF(AND($Q3520&gt;0,$O3520&gt;=AtRank),$Q3520,0)</f>
        <v>0</v>
      </c>
      <c r="S3520" s="64" t="n">
        <f aca="false">IF(AND($Q3520&gt;0,$O3520&gt;=AboveRank),$Q3520,0)</f>
        <v>0</v>
      </c>
      <c r="T3520" s="64" t="n">
        <f aca="false">IF($K3520="Less",$P3520,0)</f>
        <v>0</v>
      </c>
      <c r="U3520" s="64" t="n">
        <f aca="false">IF($K3520="Expected",$P3520,0)</f>
        <v>0</v>
      </c>
      <c r="V3520" s="64" t="n">
        <f aca="false">IF($K3520="Better",$P3520,0)</f>
        <v>0</v>
      </c>
      <c r="W3520" s="64" t="n">
        <f aca="false">IF($K3520="U – needs rule",$P3520,0)</f>
        <v>0</v>
      </c>
      <c r="X3520" s="64" t="n">
        <f aca="false">IF($K3520="No Start (attainment only)",$P3520,0)</f>
        <v>0</v>
      </c>
    </row>
    <row r="3521" customFormat="false" ht="15" hidden="false" customHeight="false" outlineLevel="0" collapsed="false">
      <c r="A3521" s="60"/>
      <c r="B3521" s="61" t="str">
        <f aca="false">IF($M3521=0,"",INDEX(Classes!$E$6:$E$420,$M3521))</f>
        <v/>
      </c>
      <c r="C3521" s="62" t="str">
        <f aca="false">IF($M3521=0,"",INDEX(Classes!$H$6:$H$420,$M3521))</f>
        <v/>
      </c>
      <c r="D3521" s="61" t="str">
        <f aca="false">IF($M3521=0,"",INDEX(Classes!$B$6:$B$420,$M3521))</f>
        <v/>
      </c>
      <c r="E3521" s="61" t="str">
        <f aca="false">IF($M3521=0,"",INDEX(Classes!$C$6:$C$420,$M3521))</f>
        <v/>
      </c>
      <c r="F3521" s="63"/>
      <c r="G3521" s="63"/>
      <c r="H3521" s="60"/>
      <c r="I3521" s="60"/>
      <c r="J3521" s="63"/>
      <c r="K3521" s="61" t="str">
        <f aca="false">IF($P3521=0,"",IF($F3521="Baseline","— Baseline",IF($O3521=0,"No result",IF($N3521=0,"No Start (attainment only)",IF(OR($N3521=1,$O3521=1),"U – needs rule",INDEX(MxBody,MATCH($I3521,MxCurr,0),MATCH($H3521,MxStart,0)))))))</f>
        <v/>
      </c>
      <c r="L3521" s="62" t="str">
        <f aca="false">IF(COUNTA($A3521,$F3521,$G3521,$H3521,$I3521,$J3521)=0,"",IF($M3521=0,"✖ كود الصف غير موجود",IF(ISNA(MATCH($F3521,Lists!$A$2:$A$5,0)),"✖ الفترة غير صحيحة",IF(ISNA(MATCH($G3521,Lists!$B$2:$B$7,0)),"✖ المجموعة غير صحيحة",IF(NOT(OR($H3521="",$N3521&gt;0)),"✖ Start غير صحيح",IF(NOT(OR($I3521="",$I3521="NR",$O3521&gt;0)),"✖ Current غير صحيح",IF(NOT(IF(ISNUMBER($J3521),AND($J3521&gt;=0,$J3521=INT($J3521)),FALSE())),"✖ العدد يجب أن يكون صحيحًا ≥ 0",IF(AND($F3521="Baseline",$H3521&lt;&gt;""),"⚠ Baseline: Start لا يدخل في التقدم",IF($K3521="No Start (attainment only)","ℹ تحصيل فقط (بدون Start)",IF($K3521="U – needs rule","ℹ حالة U تحتاج قاعدة معتمدة",IF($K3521="No result","ℹ بدون نتيجة (يُستبعد من التحصيل)","OK")))))))))))</f>
        <v/>
      </c>
      <c r="M3521" s="64" t="n">
        <f aca="false">IF($A3521="",0,IFERROR(MATCH($A3521,Classes!$A$6:$A$420,0),0))</f>
        <v>0</v>
      </c>
      <c r="N3521" s="64" t="n">
        <f aca="false">IF($H3521="",0,IFERROR(MATCH($H3521,GradeList,0),0))</f>
        <v>0</v>
      </c>
      <c r="O3521" s="64" t="n">
        <f aca="false">IF(OR($I3521="",$I3521="NR"),0,IFERROR(MATCH($I3521,GradeList,0),0))</f>
        <v>0</v>
      </c>
      <c r="P3521" s="64" t="n">
        <f aca="false">IF(AND($M3521&gt;0,ISNUMBER(MATCH($F3521,Lists!$A$2:$A$5,0)),ISNUMBER(MATCH($G3521,Lists!$B$2:$B$7,0)),OR($H3521="",$N3521&gt;0),OR($I3521="",$I3521="NR",$O3521&gt;0),IF(ISNUMBER($J3521),AND($J3521&gt;=0,$J3521=INT($J3521)),FALSE())),$J3521,0)</f>
        <v>0</v>
      </c>
      <c r="Q3521" s="64" t="n">
        <f aca="false">IF(AND($P3521&gt;0,$O3521&gt;0),$P3521,0)</f>
        <v>0</v>
      </c>
      <c r="R3521" s="64" t="n">
        <f aca="false">IF(AND($Q3521&gt;0,$O3521&gt;=AtRank),$Q3521,0)</f>
        <v>0</v>
      </c>
      <c r="S3521" s="64" t="n">
        <f aca="false">IF(AND($Q3521&gt;0,$O3521&gt;=AboveRank),$Q3521,0)</f>
        <v>0</v>
      </c>
      <c r="T3521" s="64" t="n">
        <f aca="false">IF($K3521="Less",$P3521,0)</f>
        <v>0</v>
      </c>
      <c r="U3521" s="64" t="n">
        <f aca="false">IF($K3521="Expected",$P3521,0)</f>
        <v>0</v>
      </c>
      <c r="V3521" s="64" t="n">
        <f aca="false">IF($K3521="Better",$P3521,0)</f>
        <v>0</v>
      </c>
      <c r="W3521" s="64" t="n">
        <f aca="false">IF($K3521="U – needs rule",$P3521,0)</f>
        <v>0</v>
      </c>
      <c r="X3521" s="64" t="n">
        <f aca="false">IF($K3521="No Start (attainment only)",$P3521,0)</f>
        <v>0</v>
      </c>
    </row>
    <row r="3522" customFormat="false" ht="15" hidden="false" customHeight="false" outlineLevel="0" collapsed="false">
      <c r="A3522" s="60"/>
      <c r="B3522" s="61" t="str">
        <f aca="false">IF($M3522=0,"",INDEX(Classes!$E$6:$E$420,$M3522))</f>
        <v/>
      </c>
      <c r="C3522" s="62" t="str">
        <f aca="false">IF($M3522=0,"",INDEX(Classes!$H$6:$H$420,$M3522))</f>
        <v/>
      </c>
      <c r="D3522" s="61" t="str">
        <f aca="false">IF($M3522=0,"",INDEX(Classes!$B$6:$B$420,$M3522))</f>
        <v/>
      </c>
      <c r="E3522" s="61" t="str">
        <f aca="false">IF($M3522=0,"",INDEX(Classes!$C$6:$C$420,$M3522))</f>
        <v/>
      </c>
      <c r="F3522" s="63"/>
      <c r="G3522" s="63"/>
      <c r="H3522" s="60"/>
      <c r="I3522" s="60"/>
      <c r="J3522" s="63"/>
      <c r="K3522" s="61" t="str">
        <f aca="false">IF($P3522=0,"",IF($F3522="Baseline","— Baseline",IF($O3522=0,"No result",IF($N3522=0,"No Start (attainment only)",IF(OR($N3522=1,$O3522=1),"U – needs rule",INDEX(MxBody,MATCH($I3522,MxCurr,0),MATCH($H3522,MxStart,0)))))))</f>
        <v/>
      </c>
      <c r="L3522" s="62" t="str">
        <f aca="false">IF(COUNTA($A3522,$F3522,$G3522,$H3522,$I3522,$J3522)=0,"",IF($M3522=0,"✖ كود الصف غير موجود",IF(ISNA(MATCH($F3522,Lists!$A$2:$A$5,0)),"✖ الفترة غير صحيحة",IF(ISNA(MATCH($G3522,Lists!$B$2:$B$7,0)),"✖ المجموعة غير صحيحة",IF(NOT(OR($H3522="",$N3522&gt;0)),"✖ Start غير صحيح",IF(NOT(OR($I3522="",$I3522="NR",$O3522&gt;0)),"✖ Current غير صحيح",IF(NOT(IF(ISNUMBER($J3522),AND($J3522&gt;=0,$J3522=INT($J3522)),FALSE())),"✖ العدد يجب أن يكون صحيحًا ≥ 0",IF(AND($F3522="Baseline",$H3522&lt;&gt;""),"⚠ Baseline: Start لا يدخل في التقدم",IF($K3522="No Start (attainment only)","ℹ تحصيل فقط (بدون Start)",IF($K3522="U – needs rule","ℹ حالة U تحتاج قاعدة معتمدة",IF($K3522="No result","ℹ بدون نتيجة (يُستبعد من التحصيل)","OK")))))))))))</f>
        <v/>
      </c>
      <c r="M3522" s="64" t="n">
        <f aca="false">IF($A3522="",0,IFERROR(MATCH($A3522,Classes!$A$6:$A$420,0),0))</f>
        <v>0</v>
      </c>
      <c r="N3522" s="64" t="n">
        <f aca="false">IF($H3522="",0,IFERROR(MATCH($H3522,GradeList,0),0))</f>
        <v>0</v>
      </c>
      <c r="O3522" s="64" t="n">
        <f aca="false">IF(OR($I3522="",$I3522="NR"),0,IFERROR(MATCH($I3522,GradeList,0),0))</f>
        <v>0</v>
      </c>
      <c r="P3522" s="64" t="n">
        <f aca="false">IF(AND($M3522&gt;0,ISNUMBER(MATCH($F3522,Lists!$A$2:$A$5,0)),ISNUMBER(MATCH($G3522,Lists!$B$2:$B$7,0)),OR($H3522="",$N3522&gt;0),OR($I3522="",$I3522="NR",$O3522&gt;0),IF(ISNUMBER($J3522),AND($J3522&gt;=0,$J3522=INT($J3522)),FALSE())),$J3522,0)</f>
        <v>0</v>
      </c>
      <c r="Q3522" s="64" t="n">
        <f aca="false">IF(AND($P3522&gt;0,$O3522&gt;0),$P3522,0)</f>
        <v>0</v>
      </c>
      <c r="R3522" s="64" t="n">
        <f aca="false">IF(AND($Q3522&gt;0,$O3522&gt;=AtRank),$Q3522,0)</f>
        <v>0</v>
      </c>
      <c r="S3522" s="64" t="n">
        <f aca="false">IF(AND($Q3522&gt;0,$O3522&gt;=AboveRank),$Q3522,0)</f>
        <v>0</v>
      </c>
      <c r="T3522" s="64" t="n">
        <f aca="false">IF($K3522="Less",$P3522,0)</f>
        <v>0</v>
      </c>
      <c r="U3522" s="64" t="n">
        <f aca="false">IF($K3522="Expected",$P3522,0)</f>
        <v>0</v>
      </c>
      <c r="V3522" s="64" t="n">
        <f aca="false">IF($K3522="Better",$P3522,0)</f>
        <v>0</v>
      </c>
      <c r="W3522" s="64" t="n">
        <f aca="false">IF($K3522="U – needs rule",$P3522,0)</f>
        <v>0</v>
      </c>
      <c r="X3522" s="64" t="n">
        <f aca="false">IF($K3522="No Start (attainment only)",$P3522,0)</f>
        <v>0</v>
      </c>
    </row>
    <row r="3523" customFormat="false" ht="15" hidden="false" customHeight="false" outlineLevel="0" collapsed="false">
      <c r="A3523" s="60"/>
      <c r="B3523" s="61" t="str">
        <f aca="false">IF($M3523=0,"",INDEX(Classes!$E$6:$E$420,$M3523))</f>
        <v/>
      </c>
      <c r="C3523" s="62" t="str">
        <f aca="false">IF($M3523=0,"",INDEX(Classes!$H$6:$H$420,$M3523))</f>
        <v/>
      </c>
      <c r="D3523" s="61" t="str">
        <f aca="false">IF($M3523=0,"",INDEX(Classes!$B$6:$B$420,$M3523))</f>
        <v/>
      </c>
      <c r="E3523" s="61" t="str">
        <f aca="false">IF($M3523=0,"",INDEX(Classes!$C$6:$C$420,$M3523))</f>
        <v/>
      </c>
      <c r="F3523" s="63"/>
      <c r="G3523" s="63"/>
      <c r="H3523" s="60"/>
      <c r="I3523" s="60"/>
      <c r="J3523" s="63"/>
      <c r="K3523" s="61" t="str">
        <f aca="false">IF($P3523=0,"",IF($F3523="Baseline","— Baseline",IF($O3523=0,"No result",IF($N3523=0,"No Start (attainment only)",IF(OR($N3523=1,$O3523=1),"U – needs rule",INDEX(MxBody,MATCH($I3523,MxCurr,0),MATCH($H3523,MxStart,0)))))))</f>
        <v/>
      </c>
      <c r="L3523" s="62" t="str">
        <f aca="false">IF(COUNTA($A3523,$F3523,$G3523,$H3523,$I3523,$J3523)=0,"",IF($M3523=0,"✖ كود الصف غير موجود",IF(ISNA(MATCH($F3523,Lists!$A$2:$A$5,0)),"✖ الفترة غير صحيحة",IF(ISNA(MATCH($G3523,Lists!$B$2:$B$7,0)),"✖ المجموعة غير صحيحة",IF(NOT(OR($H3523="",$N3523&gt;0)),"✖ Start غير صحيح",IF(NOT(OR($I3523="",$I3523="NR",$O3523&gt;0)),"✖ Current غير صحيح",IF(NOT(IF(ISNUMBER($J3523),AND($J3523&gt;=0,$J3523=INT($J3523)),FALSE())),"✖ العدد يجب أن يكون صحيحًا ≥ 0",IF(AND($F3523="Baseline",$H3523&lt;&gt;""),"⚠ Baseline: Start لا يدخل في التقدم",IF($K3523="No Start (attainment only)","ℹ تحصيل فقط (بدون Start)",IF($K3523="U – needs rule","ℹ حالة U تحتاج قاعدة معتمدة",IF($K3523="No result","ℹ بدون نتيجة (يُستبعد من التحصيل)","OK")))))))))))</f>
        <v/>
      </c>
      <c r="M3523" s="64" t="n">
        <f aca="false">IF($A3523="",0,IFERROR(MATCH($A3523,Classes!$A$6:$A$420,0),0))</f>
        <v>0</v>
      </c>
      <c r="N3523" s="64" t="n">
        <f aca="false">IF($H3523="",0,IFERROR(MATCH($H3523,GradeList,0),0))</f>
        <v>0</v>
      </c>
      <c r="O3523" s="64" t="n">
        <f aca="false">IF(OR($I3523="",$I3523="NR"),0,IFERROR(MATCH($I3523,GradeList,0),0))</f>
        <v>0</v>
      </c>
      <c r="P3523" s="64" t="n">
        <f aca="false">IF(AND($M3523&gt;0,ISNUMBER(MATCH($F3523,Lists!$A$2:$A$5,0)),ISNUMBER(MATCH($G3523,Lists!$B$2:$B$7,0)),OR($H3523="",$N3523&gt;0),OR($I3523="",$I3523="NR",$O3523&gt;0),IF(ISNUMBER($J3523),AND($J3523&gt;=0,$J3523=INT($J3523)),FALSE())),$J3523,0)</f>
        <v>0</v>
      </c>
      <c r="Q3523" s="64" t="n">
        <f aca="false">IF(AND($P3523&gt;0,$O3523&gt;0),$P3523,0)</f>
        <v>0</v>
      </c>
      <c r="R3523" s="64" t="n">
        <f aca="false">IF(AND($Q3523&gt;0,$O3523&gt;=AtRank),$Q3523,0)</f>
        <v>0</v>
      </c>
      <c r="S3523" s="64" t="n">
        <f aca="false">IF(AND($Q3523&gt;0,$O3523&gt;=AboveRank),$Q3523,0)</f>
        <v>0</v>
      </c>
      <c r="T3523" s="64" t="n">
        <f aca="false">IF($K3523="Less",$P3523,0)</f>
        <v>0</v>
      </c>
      <c r="U3523" s="64" t="n">
        <f aca="false">IF($K3523="Expected",$P3523,0)</f>
        <v>0</v>
      </c>
      <c r="V3523" s="64" t="n">
        <f aca="false">IF($K3523="Better",$P3523,0)</f>
        <v>0</v>
      </c>
      <c r="W3523" s="64" t="n">
        <f aca="false">IF($K3523="U – needs rule",$P3523,0)</f>
        <v>0</v>
      </c>
      <c r="X3523" s="64" t="n">
        <f aca="false">IF($K3523="No Start (attainment only)",$P3523,0)</f>
        <v>0</v>
      </c>
    </row>
    <row r="3524" customFormat="false" ht="15" hidden="false" customHeight="false" outlineLevel="0" collapsed="false">
      <c r="A3524" s="60"/>
      <c r="B3524" s="61" t="str">
        <f aca="false">IF($M3524=0,"",INDEX(Classes!$E$6:$E$420,$M3524))</f>
        <v/>
      </c>
      <c r="C3524" s="62" t="str">
        <f aca="false">IF($M3524=0,"",INDEX(Classes!$H$6:$H$420,$M3524))</f>
        <v/>
      </c>
      <c r="D3524" s="61" t="str">
        <f aca="false">IF($M3524=0,"",INDEX(Classes!$B$6:$B$420,$M3524))</f>
        <v/>
      </c>
      <c r="E3524" s="61" t="str">
        <f aca="false">IF($M3524=0,"",INDEX(Classes!$C$6:$C$420,$M3524))</f>
        <v/>
      </c>
      <c r="F3524" s="63"/>
      <c r="G3524" s="63"/>
      <c r="H3524" s="60"/>
      <c r="I3524" s="60"/>
      <c r="J3524" s="63"/>
      <c r="K3524" s="61" t="str">
        <f aca="false">IF($P3524=0,"",IF($F3524="Baseline","— Baseline",IF($O3524=0,"No result",IF($N3524=0,"No Start (attainment only)",IF(OR($N3524=1,$O3524=1),"U – needs rule",INDEX(MxBody,MATCH($I3524,MxCurr,0),MATCH($H3524,MxStart,0)))))))</f>
        <v/>
      </c>
      <c r="L3524" s="62" t="str">
        <f aca="false">IF(COUNTA($A3524,$F3524,$G3524,$H3524,$I3524,$J3524)=0,"",IF($M3524=0,"✖ كود الصف غير موجود",IF(ISNA(MATCH($F3524,Lists!$A$2:$A$5,0)),"✖ الفترة غير صحيحة",IF(ISNA(MATCH($G3524,Lists!$B$2:$B$7,0)),"✖ المجموعة غير صحيحة",IF(NOT(OR($H3524="",$N3524&gt;0)),"✖ Start غير صحيح",IF(NOT(OR($I3524="",$I3524="NR",$O3524&gt;0)),"✖ Current غير صحيح",IF(NOT(IF(ISNUMBER($J3524),AND($J3524&gt;=0,$J3524=INT($J3524)),FALSE())),"✖ العدد يجب أن يكون صحيحًا ≥ 0",IF(AND($F3524="Baseline",$H3524&lt;&gt;""),"⚠ Baseline: Start لا يدخل في التقدم",IF($K3524="No Start (attainment only)","ℹ تحصيل فقط (بدون Start)",IF($K3524="U – needs rule","ℹ حالة U تحتاج قاعدة معتمدة",IF($K3524="No result","ℹ بدون نتيجة (يُستبعد من التحصيل)","OK")))))))))))</f>
        <v/>
      </c>
      <c r="M3524" s="64" t="n">
        <f aca="false">IF($A3524="",0,IFERROR(MATCH($A3524,Classes!$A$6:$A$420,0),0))</f>
        <v>0</v>
      </c>
      <c r="N3524" s="64" t="n">
        <f aca="false">IF($H3524="",0,IFERROR(MATCH($H3524,GradeList,0),0))</f>
        <v>0</v>
      </c>
      <c r="O3524" s="64" t="n">
        <f aca="false">IF(OR($I3524="",$I3524="NR"),0,IFERROR(MATCH($I3524,GradeList,0),0))</f>
        <v>0</v>
      </c>
      <c r="P3524" s="64" t="n">
        <f aca="false">IF(AND($M3524&gt;0,ISNUMBER(MATCH($F3524,Lists!$A$2:$A$5,0)),ISNUMBER(MATCH($G3524,Lists!$B$2:$B$7,0)),OR($H3524="",$N3524&gt;0),OR($I3524="",$I3524="NR",$O3524&gt;0),IF(ISNUMBER($J3524),AND($J3524&gt;=0,$J3524=INT($J3524)),FALSE())),$J3524,0)</f>
        <v>0</v>
      </c>
      <c r="Q3524" s="64" t="n">
        <f aca="false">IF(AND($P3524&gt;0,$O3524&gt;0),$P3524,0)</f>
        <v>0</v>
      </c>
      <c r="R3524" s="64" t="n">
        <f aca="false">IF(AND($Q3524&gt;0,$O3524&gt;=AtRank),$Q3524,0)</f>
        <v>0</v>
      </c>
      <c r="S3524" s="64" t="n">
        <f aca="false">IF(AND($Q3524&gt;0,$O3524&gt;=AboveRank),$Q3524,0)</f>
        <v>0</v>
      </c>
      <c r="T3524" s="64" t="n">
        <f aca="false">IF($K3524="Less",$P3524,0)</f>
        <v>0</v>
      </c>
      <c r="U3524" s="64" t="n">
        <f aca="false">IF($K3524="Expected",$P3524,0)</f>
        <v>0</v>
      </c>
      <c r="V3524" s="64" t="n">
        <f aca="false">IF($K3524="Better",$P3524,0)</f>
        <v>0</v>
      </c>
      <c r="W3524" s="64" t="n">
        <f aca="false">IF($K3524="U – needs rule",$P3524,0)</f>
        <v>0</v>
      </c>
      <c r="X3524" s="64" t="n">
        <f aca="false">IF($K3524="No Start (attainment only)",$P3524,0)</f>
        <v>0</v>
      </c>
    </row>
    <row r="3525" customFormat="false" ht="15" hidden="false" customHeight="false" outlineLevel="0" collapsed="false">
      <c r="A3525" s="60"/>
      <c r="B3525" s="61" t="str">
        <f aca="false">IF($M3525=0,"",INDEX(Classes!$E$6:$E$420,$M3525))</f>
        <v/>
      </c>
      <c r="C3525" s="62" t="str">
        <f aca="false">IF($M3525=0,"",INDEX(Classes!$H$6:$H$420,$M3525))</f>
        <v/>
      </c>
      <c r="D3525" s="61" t="str">
        <f aca="false">IF($M3525=0,"",INDEX(Classes!$B$6:$B$420,$M3525))</f>
        <v/>
      </c>
      <c r="E3525" s="61" t="str">
        <f aca="false">IF($M3525=0,"",INDEX(Classes!$C$6:$C$420,$M3525))</f>
        <v/>
      </c>
      <c r="F3525" s="63"/>
      <c r="G3525" s="63"/>
      <c r="H3525" s="60"/>
      <c r="I3525" s="60"/>
      <c r="J3525" s="63"/>
      <c r="K3525" s="61" t="str">
        <f aca="false">IF($P3525=0,"",IF($F3525="Baseline","— Baseline",IF($O3525=0,"No result",IF($N3525=0,"No Start (attainment only)",IF(OR($N3525=1,$O3525=1),"U – needs rule",INDEX(MxBody,MATCH($I3525,MxCurr,0),MATCH($H3525,MxStart,0)))))))</f>
        <v/>
      </c>
      <c r="L3525" s="62" t="str">
        <f aca="false">IF(COUNTA($A3525,$F3525,$G3525,$H3525,$I3525,$J3525)=0,"",IF($M3525=0,"✖ كود الصف غير موجود",IF(ISNA(MATCH($F3525,Lists!$A$2:$A$5,0)),"✖ الفترة غير صحيحة",IF(ISNA(MATCH($G3525,Lists!$B$2:$B$7,0)),"✖ المجموعة غير صحيحة",IF(NOT(OR($H3525="",$N3525&gt;0)),"✖ Start غير صحيح",IF(NOT(OR($I3525="",$I3525="NR",$O3525&gt;0)),"✖ Current غير صحيح",IF(NOT(IF(ISNUMBER($J3525),AND($J3525&gt;=0,$J3525=INT($J3525)),FALSE())),"✖ العدد يجب أن يكون صحيحًا ≥ 0",IF(AND($F3525="Baseline",$H3525&lt;&gt;""),"⚠ Baseline: Start لا يدخل في التقدم",IF($K3525="No Start (attainment only)","ℹ تحصيل فقط (بدون Start)",IF($K3525="U – needs rule","ℹ حالة U تحتاج قاعدة معتمدة",IF($K3525="No result","ℹ بدون نتيجة (يُستبعد من التحصيل)","OK")))))))))))</f>
        <v/>
      </c>
      <c r="M3525" s="64" t="n">
        <f aca="false">IF($A3525="",0,IFERROR(MATCH($A3525,Classes!$A$6:$A$420,0),0))</f>
        <v>0</v>
      </c>
      <c r="N3525" s="64" t="n">
        <f aca="false">IF($H3525="",0,IFERROR(MATCH($H3525,GradeList,0),0))</f>
        <v>0</v>
      </c>
      <c r="O3525" s="64" t="n">
        <f aca="false">IF(OR($I3525="",$I3525="NR"),0,IFERROR(MATCH($I3525,GradeList,0),0))</f>
        <v>0</v>
      </c>
      <c r="P3525" s="64" t="n">
        <f aca="false">IF(AND($M3525&gt;0,ISNUMBER(MATCH($F3525,Lists!$A$2:$A$5,0)),ISNUMBER(MATCH($G3525,Lists!$B$2:$B$7,0)),OR($H3525="",$N3525&gt;0),OR($I3525="",$I3525="NR",$O3525&gt;0),IF(ISNUMBER($J3525),AND($J3525&gt;=0,$J3525=INT($J3525)),FALSE())),$J3525,0)</f>
        <v>0</v>
      </c>
      <c r="Q3525" s="64" t="n">
        <f aca="false">IF(AND($P3525&gt;0,$O3525&gt;0),$P3525,0)</f>
        <v>0</v>
      </c>
      <c r="R3525" s="64" t="n">
        <f aca="false">IF(AND($Q3525&gt;0,$O3525&gt;=AtRank),$Q3525,0)</f>
        <v>0</v>
      </c>
      <c r="S3525" s="64" t="n">
        <f aca="false">IF(AND($Q3525&gt;0,$O3525&gt;=AboveRank),$Q3525,0)</f>
        <v>0</v>
      </c>
      <c r="T3525" s="64" t="n">
        <f aca="false">IF($K3525="Less",$P3525,0)</f>
        <v>0</v>
      </c>
      <c r="U3525" s="64" t="n">
        <f aca="false">IF($K3525="Expected",$P3525,0)</f>
        <v>0</v>
      </c>
      <c r="V3525" s="64" t="n">
        <f aca="false">IF($K3525="Better",$P3525,0)</f>
        <v>0</v>
      </c>
      <c r="W3525" s="64" t="n">
        <f aca="false">IF($K3525="U – needs rule",$P3525,0)</f>
        <v>0</v>
      </c>
      <c r="X3525" s="64" t="n">
        <f aca="false">IF($K3525="No Start (attainment only)",$P3525,0)</f>
        <v>0</v>
      </c>
    </row>
    <row r="3526" customFormat="false" ht="15" hidden="false" customHeight="false" outlineLevel="0" collapsed="false">
      <c r="A3526" s="60"/>
      <c r="B3526" s="61" t="str">
        <f aca="false">IF($M3526=0,"",INDEX(Classes!$E$6:$E$420,$M3526))</f>
        <v/>
      </c>
      <c r="C3526" s="62" t="str">
        <f aca="false">IF($M3526=0,"",INDEX(Classes!$H$6:$H$420,$M3526))</f>
        <v/>
      </c>
      <c r="D3526" s="61" t="str">
        <f aca="false">IF($M3526=0,"",INDEX(Classes!$B$6:$B$420,$M3526))</f>
        <v/>
      </c>
      <c r="E3526" s="61" t="str">
        <f aca="false">IF($M3526=0,"",INDEX(Classes!$C$6:$C$420,$M3526))</f>
        <v/>
      </c>
      <c r="F3526" s="63"/>
      <c r="G3526" s="63"/>
      <c r="H3526" s="60"/>
      <c r="I3526" s="60"/>
      <c r="J3526" s="63"/>
      <c r="K3526" s="61" t="str">
        <f aca="false">IF($P3526=0,"",IF($F3526="Baseline","— Baseline",IF($O3526=0,"No result",IF($N3526=0,"No Start (attainment only)",IF(OR($N3526=1,$O3526=1),"U – needs rule",INDEX(MxBody,MATCH($I3526,MxCurr,0),MATCH($H3526,MxStart,0)))))))</f>
        <v/>
      </c>
      <c r="L3526" s="62" t="str">
        <f aca="false">IF(COUNTA($A3526,$F3526,$G3526,$H3526,$I3526,$J3526)=0,"",IF($M3526=0,"✖ كود الصف غير موجود",IF(ISNA(MATCH($F3526,Lists!$A$2:$A$5,0)),"✖ الفترة غير صحيحة",IF(ISNA(MATCH($G3526,Lists!$B$2:$B$7,0)),"✖ المجموعة غير صحيحة",IF(NOT(OR($H3526="",$N3526&gt;0)),"✖ Start غير صحيح",IF(NOT(OR($I3526="",$I3526="NR",$O3526&gt;0)),"✖ Current غير صحيح",IF(NOT(IF(ISNUMBER($J3526),AND($J3526&gt;=0,$J3526=INT($J3526)),FALSE())),"✖ العدد يجب أن يكون صحيحًا ≥ 0",IF(AND($F3526="Baseline",$H3526&lt;&gt;""),"⚠ Baseline: Start لا يدخل في التقدم",IF($K3526="No Start (attainment only)","ℹ تحصيل فقط (بدون Start)",IF($K3526="U – needs rule","ℹ حالة U تحتاج قاعدة معتمدة",IF($K3526="No result","ℹ بدون نتيجة (يُستبعد من التحصيل)","OK")))))))))))</f>
        <v/>
      </c>
      <c r="M3526" s="64" t="n">
        <f aca="false">IF($A3526="",0,IFERROR(MATCH($A3526,Classes!$A$6:$A$420,0),0))</f>
        <v>0</v>
      </c>
      <c r="N3526" s="64" t="n">
        <f aca="false">IF($H3526="",0,IFERROR(MATCH($H3526,GradeList,0),0))</f>
        <v>0</v>
      </c>
      <c r="O3526" s="64" t="n">
        <f aca="false">IF(OR($I3526="",$I3526="NR"),0,IFERROR(MATCH($I3526,GradeList,0),0))</f>
        <v>0</v>
      </c>
      <c r="P3526" s="64" t="n">
        <f aca="false">IF(AND($M3526&gt;0,ISNUMBER(MATCH($F3526,Lists!$A$2:$A$5,0)),ISNUMBER(MATCH($G3526,Lists!$B$2:$B$7,0)),OR($H3526="",$N3526&gt;0),OR($I3526="",$I3526="NR",$O3526&gt;0),IF(ISNUMBER($J3526),AND($J3526&gt;=0,$J3526=INT($J3526)),FALSE())),$J3526,0)</f>
        <v>0</v>
      </c>
      <c r="Q3526" s="64" t="n">
        <f aca="false">IF(AND($P3526&gt;0,$O3526&gt;0),$P3526,0)</f>
        <v>0</v>
      </c>
      <c r="R3526" s="64" t="n">
        <f aca="false">IF(AND($Q3526&gt;0,$O3526&gt;=AtRank),$Q3526,0)</f>
        <v>0</v>
      </c>
      <c r="S3526" s="64" t="n">
        <f aca="false">IF(AND($Q3526&gt;0,$O3526&gt;=AboveRank),$Q3526,0)</f>
        <v>0</v>
      </c>
      <c r="T3526" s="64" t="n">
        <f aca="false">IF($K3526="Less",$P3526,0)</f>
        <v>0</v>
      </c>
      <c r="U3526" s="64" t="n">
        <f aca="false">IF($K3526="Expected",$P3526,0)</f>
        <v>0</v>
      </c>
      <c r="V3526" s="64" t="n">
        <f aca="false">IF($K3526="Better",$P3526,0)</f>
        <v>0</v>
      </c>
      <c r="W3526" s="64" t="n">
        <f aca="false">IF($K3526="U – needs rule",$P3526,0)</f>
        <v>0</v>
      </c>
      <c r="X3526" s="64" t="n">
        <f aca="false">IF($K3526="No Start (attainment only)",$P3526,0)</f>
        <v>0</v>
      </c>
    </row>
    <row r="3527" customFormat="false" ht="15" hidden="false" customHeight="false" outlineLevel="0" collapsed="false">
      <c r="A3527" s="60"/>
      <c r="B3527" s="61" t="str">
        <f aca="false">IF($M3527=0,"",INDEX(Classes!$E$6:$E$420,$M3527))</f>
        <v/>
      </c>
      <c r="C3527" s="62" t="str">
        <f aca="false">IF($M3527=0,"",INDEX(Classes!$H$6:$H$420,$M3527))</f>
        <v/>
      </c>
      <c r="D3527" s="61" t="str">
        <f aca="false">IF($M3527=0,"",INDEX(Classes!$B$6:$B$420,$M3527))</f>
        <v/>
      </c>
      <c r="E3527" s="61" t="str">
        <f aca="false">IF($M3527=0,"",INDEX(Classes!$C$6:$C$420,$M3527))</f>
        <v/>
      </c>
      <c r="F3527" s="63"/>
      <c r="G3527" s="63"/>
      <c r="H3527" s="60"/>
      <c r="I3527" s="60"/>
      <c r="J3527" s="63"/>
      <c r="K3527" s="61" t="str">
        <f aca="false">IF($P3527=0,"",IF($F3527="Baseline","— Baseline",IF($O3527=0,"No result",IF($N3527=0,"No Start (attainment only)",IF(OR($N3527=1,$O3527=1),"U – needs rule",INDEX(MxBody,MATCH($I3527,MxCurr,0),MATCH($H3527,MxStart,0)))))))</f>
        <v/>
      </c>
      <c r="L3527" s="62" t="str">
        <f aca="false">IF(COUNTA($A3527,$F3527,$G3527,$H3527,$I3527,$J3527)=0,"",IF($M3527=0,"✖ كود الصف غير موجود",IF(ISNA(MATCH($F3527,Lists!$A$2:$A$5,0)),"✖ الفترة غير صحيحة",IF(ISNA(MATCH($G3527,Lists!$B$2:$B$7,0)),"✖ المجموعة غير صحيحة",IF(NOT(OR($H3527="",$N3527&gt;0)),"✖ Start غير صحيح",IF(NOT(OR($I3527="",$I3527="NR",$O3527&gt;0)),"✖ Current غير صحيح",IF(NOT(IF(ISNUMBER($J3527),AND($J3527&gt;=0,$J3527=INT($J3527)),FALSE())),"✖ العدد يجب أن يكون صحيحًا ≥ 0",IF(AND($F3527="Baseline",$H3527&lt;&gt;""),"⚠ Baseline: Start لا يدخل في التقدم",IF($K3527="No Start (attainment only)","ℹ تحصيل فقط (بدون Start)",IF($K3527="U – needs rule","ℹ حالة U تحتاج قاعدة معتمدة",IF($K3527="No result","ℹ بدون نتيجة (يُستبعد من التحصيل)","OK")))))))))))</f>
        <v/>
      </c>
      <c r="M3527" s="64" t="n">
        <f aca="false">IF($A3527="",0,IFERROR(MATCH($A3527,Classes!$A$6:$A$420,0),0))</f>
        <v>0</v>
      </c>
      <c r="N3527" s="64" t="n">
        <f aca="false">IF($H3527="",0,IFERROR(MATCH($H3527,GradeList,0),0))</f>
        <v>0</v>
      </c>
      <c r="O3527" s="64" t="n">
        <f aca="false">IF(OR($I3527="",$I3527="NR"),0,IFERROR(MATCH($I3527,GradeList,0),0))</f>
        <v>0</v>
      </c>
      <c r="P3527" s="64" t="n">
        <f aca="false">IF(AND($M3527&gt;0,ISNUMBER(MATCH($F3527,Lists!$A$2:$A$5,0)),ISNUMBER(MATCH($G3527,Lists!$B$2:$B$7,0)),OR($H3527="",$N3527&gt;0),OR($I3527="",$I3527="NR",$O3527&gt;0),IF(ISNUMBER($J3527),AND($J3527&gt;=0,$J3527=INT($J3527)),FALSE())),$J3527,0)</f>
        <v>0</v>
      </c>
      <c r="Q3527" s="64" t="n">
        <f aca="false">IF(AND($P3527&gt;0,$O3527&gt;0),$P3527,0)</f>
        <v>0</v>
      </c>
      <c r="R3527" s="64" t="n">
        <f aca="false">IF(AND($Q3527&gt;0,$O3527&gt;=AtRank),$Q3527,0)</f>
        <v>0</v>
      </c>
      <c r="S3527" s="64" t="n">
        <f aca="false">IF(AND($Q3527&gt;0,$O3527&gt;=AboveRank),$Q3527,0)</f>
        <v>0</v>
      </c>
      <c r="T3527" s="64" t="n">
        <f aca="false">IF($K3527="Less",$P3527,0)</f>
        <v>0</v>
      </c>
      <c r="U3527" s="64" t="n">
        <f aca="false">IF($K3527="Expected",$P3527,0)</f>
        <v>0</v>
      </c>
      <c r="V3527" s="64" t="n">
        <f aca="false">IF($K3527="Better",$P3527,0)</f>
        <v>0</v>
      </c>
      <c r="W3527" s="64" t="n">
        <f aca="false">IF($K3527="U – needs rule",$P3527,0)</f>
        <v>0</v>
      </c>
      <c r="X3527" s="64" t="n">
        <f aca="false">IF($K3527="No Start (attainment only)",$P3527,0)</f>
        <v>0</v>
      </c>
    </row>
    <row r="3528" customFormat="false" ht="15" hidden="false" customHeight="false" outlineLevel="0" collapsed="false">
      <c r="A3528" s="60"/>
      <c r="B3528" s="61" t="str">
        <f aca="false">IF($M3528=0,"",INDEX(Classes!$E$6:$E$420,$M3528))</f>
        <v/>
      </c>
      <c r="C3528" s="62" t="str">
        <f aca="false">IF($M3528=0,"",INDEX(Classes!$H$6:$H$420,$M3528))</f>
        <v/>
      </c>
      <c r="D3528" s="61" t="str">
        <f aca="false">IF($M3528=0,"",INDEX(Classes!$B$6:$B$420,$M3528))</f>
        <v/>
      </c>
      <c r="E3528" s="61" t="str">
        <f aca="false">IF($M3528=0,"",INDEX(Classes!$C$6:$C$420,$M3528))</f>
        <v/>
      </c>
      <c r="F3528" s="63"/>
      <c r="G3528" s="63"/>
      <c r="H3528" s="60"/>
      <c r="I3528" s="60"/>
      <c r="J3528" s="63"/>
      <c r="K3528" s="61" t="str">
        <f aca="false">IF($P3528=0,"",IF($F3528="Baseline","— Baseline",IF($O3528=0,"No result",IF($N3528=0,"No Start (attainment only)",IF(OR($N3528=1,$O3528=1),"U – needs rule",INDEX(MxBody,MATCH($I3528,MxCurr,0),MATCH($H3528,MxStart,0)))))))</f>
        <v/>
      </c>
      <c r="L3528" s="62" t="str">
        <f aca="false">IF(COUNTA($A3528,$F3528,$G3528,$H3528,$I3528,$J3528)=0,"",IF($M3528=0,"✖ كود الصف غير موجود",IF(ISNA(MATCH($F3528,Lists!$A$2:$A$5,0)),"✖ الفترة غير صحيحة",IF(ISNA(MATCH($G3528,Lists!$B$2:$B$7,0)),"✖ المجموعة غير صحيحة",IF(NOT(OR($H3528="",$N3528&gt;0)),"✖ Start غير صحيح",IF(NOT(OR($I3528="",$I3528="NR",$O3528&gt;0)),"✖ Current غير صحيح",IF(NOT(IF(ISNUMBER($J3528),AND($J3528&gt;=0,$J3528=INT($J3528)),FALSE())),"✖ العدد يجب أن يكون صحيحًا ≥ 0",IF(AND($F3528="Baseline",$H3528&lt;&gt;""),"⚠ Baseline: Start لا يدخل في التقدم",IF($K3528="No Start (attainment only)","ℹ تحصيل فقط (بدون Start)",IF($K3528="U – needs rule","ℹ حالة U تحتاج قاعدة معتمدة",IF($K3528="No result","ℹ بدون نتيجة (يُستبعد من التحصيل)","OK")))))))))))</f>
        <v/>
      </c>
      <c r="M3528" s="64" t="n">
        <f aca="false">IF($A3528="",0,IFERROR(MATCH($A3528,Classes!$A$6:$A$420,0),0))</f>
        <v>0</v>
      </c>
      <c r="N3528" s="64" t="n">
        <f aca="false">IF($H3528="",0,IFERROR(MATCH($H3528,GradeList,0),0))</f>
        <v>0</v>
      </c>
      <c r="O3528" s="64" t="n">
        <f aca="false">IF(OR($I3528="",$I3528="NR"),0,IFERROR(MATCH($I3528,GradeList,0),0))</f>
        <v>0</v>
      </c>
      <c r="P3528" s="64" t="n">
        <f aca="false">IF(AND($M3528&gt;0,ISNUMBER(MATCH($F3528,Lists!$A$2:$A$5,0)),ISNUMBER(MATCH($G3528,Lists!$B$2:$B$7,0)),OR($H3528="",$N3528&gt;0),OR($I3528="",$I3528="NR",$O3528&gt;0),IF(ISNUMBER($J3528),AND($J3528&gt;=0,$J3528=INT($J3528)),FALSE())),$J3528,0)</f>
        <v>0</v>
      </c>
      <c r="Q3528" s="64" t="n">
        <f aca="false">IF(AND($P3528&gt;0,$O3528&gt;0),$P3528,0)</f>
        <v>0</v>
      </c>
      <c r="R3528" s="64" t="n">
        <f aca="false">IF(AND($Q3528&gt;0,$O3528&gt;=AtRank),$Q3528,0)</f>
        <v>0</v>
      </c>
      <c r="S3528" s="64" t="n">
        <f aca="false">IF(AND($Q3528&gt;0,$O3528&gt;=AboveRank),$Q3528,0)</f>
        <v>0</v>
      </c>
      <c r="T3528" s="64" t="n">
        <f aca="false">IF($K3528="Less",$P3528,0)</f>
        <v>0</v>
      </c>
      <c r="U3528" s="64" t="n">
        <f aca="false">IF($K3528="Expected",$P3528,0)</f>
        <v>0</v>
      </c>
      <c r="V3528" s="64" t="n">
        <f aca="false">IF($K3528="Better",$P3528,0)</f>
        <v>0</v>
      </c>
      <c r="W3528" s="64" t="n">
        <f aca="false">IF($K3528="U – needs rule",$P3528,0)</f>
        <v>0</v>
      </c>
      <c r="X3528" s="64" t="n">
        <f aca="false">IF($K3528="No Start (attainment only)",$P3528,0)</f>
        <v>0</v>
      </c>
    </row>
    <row r="3529" customFormat="false" ht="15" hidden="false" customHeight="false" outlineLevel="0" collapsed="false">
      <c r="A3529" s="60"/>
      <c r="B3529" s="61" t="str">
        <f aca="false">IF($M3529=0,"",INDEX(Classes!$E$6:$E$420,$M3529))</f>
        <v/>
      </c>
      <c r="C3529" s="62" t="str">
        <f aca="false">IF($M3529=0,"",INDEX(Classes!$H$6:$H$420,$M3529))</f>
        <v/>
      </c>
      <c r="D3529" s="61" t="str">
        <f aca="false">IF($M3529=0,"",INDEX(Classes!$B$6:$B$420,$M3529))</f>
        <v/>
      </c>
      <c r="E3529" s="61" t="str">
        <f aca="false">IF($M3529=0,"",INDEX(Classes!$C$6:$C$420,$M3529))</f>
        <v/>
      </c>
      <c r="F3529" s="63"/>
      <c r="G3529" s="63"/>
      <c r="H3529" s="60"/>
      <c r="I3529" s="60"/>
      <c r="J3529" s="63"/>
      <c r="K3529" s="61" t="str">
        <f aca="false">IF($P3529=0,"",IF($F3529="Baseline","— Baseline",IF($O3529=0,"No result",IF($N3529=0,"No Start (attainment only)",IF(OR($N3529=1,$O3529=1),"U – needs rule",INDEX(MxBody,MATCH($I3529,MxCurr,0),MATCH($H3529,MxStart,0)))))))</f>
        <v/>
      </c>
      <c r="L3529" s="62" t="str">
        <f aca="false">IF(COUNTA($A3529,$F3529,$G3529,$H3529,$I3529,$J3529)=0,"",IF($M3529=0,"✖ كود الصف غير موجود",IF(ISNA(MATCH($F3529,Lists!$A$2:$A$5,0)),"✖ الفترة غير صحيحة",IF(ISNA(MATCH($G3529,Lists!$B$2:$B$7,0)),"✖ المجموعة غير صحيحة",IF(NOT(OR($H3529="",$N3529&gt;0)),"✖ Start غير صحيح",IF(NOT(OR($I3529="",$I3529="NR",$O3529&gt;0)),"✖ Current غير صحيح",IF(NOT(IF(ISNUMBER($J3529),AND($J3529&gt;=0,$J3529=INT($J3529)),FALSE())),"✖ العدد يجب أن يكون صحيحًا ≥ 0",IF(AND($F3529="Baseline",$H3529&lt;&gt;""),"⚠ Baseline: Start لا يدخل في التقدم",IF($K3529="No Start (attainment only)","ℹ تحصيل فقط (بدون Start)",IF($K3529="U – needs rule","ℹ حالة U تحتاج قاعدة معتمدة",IF($K3529="No result","ℹ بدون نتيجة (يُستبعد من التحصيل)","OK")))))))))))</f>
        <v/>
      </c>
      <c r="M3529" s="64" t="n">
        <f aca="false">IF($A3529="",0,IFERROR(MATCH($A3529,Classes!$A$6:$A$420,0),0))</f>
        <v>0</v>
      </c>
      <c r="N3529" s="64" t="n">
        <f aca="false">IF($H3529="",0,IFERROR(MATCH($H3529,GradeList,0),0))</f>
        <v>0</v>
      </c>
      <c r="O3529" s="64" t="n">
        <f aca="false">IF(OR($I3529="",$I3529="NR"),0,IFERROR(MATCH($I3529,GradeList,0),0))</f>
        <v>0</v>
      </c>
      <c r="P3529" s="64" t="n">
        <f aca="false">IF(AND($M3529&gt;0,ISNUMBER(MATCH($F3529,Lists!$A$2:$A$5,0)),ISNUMBER(MATCH($G3529,Lists!$B$2:$B$7,0)),OR($H3529="",$N3529&gt;0),OR($I3529="",$I3529="NR",$O3529&gt;0),IF(ISNUMBER($J3529),AND($J3529&gt;=0,$J3529=INT($J3529)),FALSE())),$J3529,0)</f>
        <v>0</v>
      </c>
      <c r="Q3529" s="64" t="n">
        <f aca="false">IF(AND($P3529&gt;0,$O3529&gt;0),$P3529,0)</f>
        <v>0</v>
      </c>
      <c r="R3529" s="64" t="n">
        <f aca="false">IF(AND($Q3529&gt;0,$O3529&gt;=AtRank),$Q3529,0)</f>
        <v>0</v>
      </c>
      <c r="S3529" s="64" t="n">
        <f aca="false">IF(AND($Q3529&gt;0,$O3529&gt;=AboveRank),$Q3529,0)</f>
        <v>0</v>
      </c>
      <c r="T3529" s="64" t="n">
        <f aca="false">IF($K3529="Less",$P3529,0)</f>
        <v>0</v>
      </c>
      <c r="U3529" s="64" t="n">
        <f aca="false">IF($K3529="Expected",$P3529,0)</f>
        <v>0</v>
      </c>
      <c r="V3529" s="64" t="n">
        <f aca="false">IF($K3529="Better",$P3529,0)</f>
        <v>0</v>
      </c>
      <c r="W3529" s="64" t="n">
        <f aca="false">IF($K3529="U – needs rule",$P3529,0)</f>
        <v>0</v>
      </c>
      <c r="X3529" s="64" t="n">
        <f aca="false">IF($K3529="No Start (attainment only)",$P3529,0)</f>
        <v>0</v>
      </c>
    </row>
    <row r="3530" customFormat="false" ht="15" hidden="false" customHeight="false" outlineLevel="0" collapsed="false">
      <c r="A3530" s="60"/>
      <c r="B3530" s="61" t="str">
        <f aca="false">IF($M3530=0,"",INDEX(Classes!$E$6:$E$420,$M3530))</f>
        <v/>
      </c>
      <c r="C3530" s="62" t="str">
        <f aca="false">IF($M3530=0,"",INDEX(Classes!$H$6:$H$420,$M3530))</f>
        <v/>
      </c>
      <c r="D3530" s="61" t="str">
        <f aca="false">IF($M3530=0,"",INDEX(Classes!$B$6:$B$420,$M3530))</f>
        <v/>
      </c>
      <c r="E3530" s="61" t="str">
        <f aca="false">IF($M3530=0,"",INDEX(Classes!$C$6:$C$420,$M3530))</f>
        <v/>
      </c>
      <c r="F3530" s="63"/>
      <c r="G3530" s="63"/>
      <c r="H3530" s="60"/>
      <c r="I3530" s="60"/>
      <c r="J3530" s="63"/>
      <c r="K3530" s="61" t="str">
        <f aca="false">IF($P3530=0,"",IF($F3530="Baseline","— Baseline",IF($O3530=0,"No result",IF($N3530=0,"No Start (attainment only)",IF(OR($N3530=1,$O3530=1),"U – needs rule",INDEX(MxBody,MATCH($I3530,MxCurr,0),MATCH($H3530,MxStart,0)))))))</f>
        <v/>
      </c>
      <c r="L3530" s="62" t="str">
        <f aca="false">IF(COUNTA($A3530,$F3530,$G3530,$H3530,$I3530,$J3530)=0,"",IF($M3530=0,"✖ كود الصف غير موجود",IF(ISNA(MATCH($F3530,Lists!$A$2:$A$5,0)),"✖ الفترة غير صحيحة",IF(ISNA(MATCH($G3530,Lists!$B$2:$B$7,0)),"✖ المجموعة غير صحيحة",IF(NOT(OR($H3530="",$N3530&gt;0)),"✖ Start غير صحيح",IF(NOT(OR($I3530="",$I3530="NR",$O3530&gt;0)),"✖ Current غير صحيح",IF(NOT(IF(ISNUMBER($J3530),AND($J3530&gt;=0,$J3530=INT($J3530)),FALSE())),"✖ العدد يجب أن يكون صحيحًا ≥ 0",IF(AND($F3530="Baseline",$H3530&lt;&gt;""),"⚠ Baseline: Start لا يدخل في التقدم",IF($K3530="No Start (attainment only)","ℹ تحصيل فقط (بدون Start)",IF($K3530="U – needs rule","ℹ حالة U تحتاج قاعدة معتمدة",IF($K3530="No result","ℹ بدون نتيجة (يُستبعد من التحصيل)","OK")))))))))))</f>
        <v/>
      </c>
      <c r="M3530" s="64" t="n">
        <f aca="false">IF($A3530="",0,IFERROR(MATCH($A3530,Classes!$A$6:$A$420,0),0))</f>
        <v>0</v>
      </c>
      <c r="N3530" s="64" t="n">
        <f aca="false">IF($H3530="",0,IFERROR(MATCH($H3530,GradeList,0),0))</f>
        <v>0</v>
      </c>
      <c r="O3530" s="64" t="n">
        <f aca="false">IF(OR($I3530="",$I3530="NR"),0,IFERROR(MATCH($I3530,GradeList,0),0))</f>
        <v>0</v>
      </c>
      <c r="P3530" s="64" t="n">
        <f aca="false">IF(AND($M3530&gt;0,ISNUMBER(MATCH($F3530,Lists!$A$2:$A$5,0)),ISNUMBER(MATCH($G3530,Lists!$B$2:$B$7,0)),OR($H3530="",$N3530&gt;0),OR($I3530="",$I3530="NR",$O3530&gt;0),IF(ISNUMBER($J3530),AND($J3530&gt;=0,$J3530=INT($J3530)),FALSE())),$J3530,0)</f>
        <v>0</v>
      </c>
      <c r="Q3530" s="64" t="n">
        <f aca="false">IF(AND($P3530&gt;0,$O3530&gt;0),$P3530,0)</f>
        <v>0</v>
      </c>
      <c r="R3530" s="64" t="n">
        <f aca="false">IF(AND($Q3530&gt;0,$O3530&gt;=AtRank),$Q3530,0)</f>
        <v>0</v>
      </c>
      <c r="S3530" s="64" t="n">
        <f aca="false">IF(AND($Q3530&gt;0,$O3530&gt;=AboveRank),$Q3530,0)</f>
        <v>0</v>
      </c>
      <c r="T3530" s="64" t="n">
        <f aca="false">IF($K3530="Less",$P3530,0)</f>
        <v>0</v>
      </c>
      <c r="U3530" s="64" t="n">
        <f aca="false">IF($K3530="Expected",$P3530,0)</f>
        <v>0</v>
      </c>
      <c r="V3530" s="64" t="n">
        <f aca="false">IF($K3530="Better",$P3530,0)</f>
        <v>0</v>
      </c>
      <c r="W3530" s="64" t="n">
        <f aca="false">IF($K3530="U – needs rule",$P3530,0)</f>
        <v>0</v>
      </c>
      <c r="X3530" s="64" t="n">
        <f aca="false">IF($K3530="No Start (attainment only)",$P3530,0)</f>
        <v>0</v>
      </c>
    </row>
    <row r="3531" customFormat="false" ht="15" hidden="false" customHeight="false" outlineLevel="0" collapsed="false">
      <c r="A3531" s="60"/>
      <c r="B3531" s="61" t="str">
        <f aca="false">IF($M3531=0,"",INDEX(Classes!$E$6:$E$420,$M3531))</f>
        <v/>
      </c>
      <c r="C3531" s="62" t="str">
        <f aca="false">IF($M3531=0,"",INDEX(Classes!$H$6:$H$420,$M3531))</f>
        <v/>
      </c>
      <c r="D3531" s="61" t="str">
        <f aca="false">IF($M3531=0,"",INDEX(Classes!$B$6:$B$420,$M3531))</f>
        <v/>
      </c>
      <c r="E3531" s="61" t="str">
        <f aca="false">IF($M3531=0,"",INDEX(Classes!$C$6:$C$420,$M3531))</f>
        <v/>
      </c>
      <c r="F3531" s="63"/>
      <c r="G3531" s="63"/>
      <c r="H3531" s="60"/>
      <c r="I3531" s="60"/>
      <c r="J3531" s="63"/>
      <c r="K3531" s="61" t="str">
        <f aca="false">IF($P3531=0,"",IF($F3531="Baseline","— Baseline",IF($O3531=0,"No result",IF($N3531=0,"No Start (attainment only)",IF(OR($N3531=1,$O3531=1),"U – needs rule",INDEX(MxBody,MATCH($I3531,MxCurr,0),MATCH($H3531,MxStart,0)))))))</f>
        <v/>
      </c>
      <c r="L3531" s="62" t="str">
        <f aca="false">IF(COUNTA($A3531,$F3531,$G3531,$H3531,$I3531,$J3531)=0,"",IF($M3531=0,"✖ كود الصف غير موجود",IF(ISNA(MATCH($F3531,Lists!$A$2:$A$5,0)),"✖ الفترة غير صحيحة",IF(ISNA(MATCH($G3531,Lists!$B$2:$B$7,0)),"✖ المجموعة غير صحيحة",IF(NOT(OR($H3531="",$N3531&gt;0)),"✖ Start غير صحيح",IF(NOT(OR($I3531="",$I3531="NR",$O3531&gt;0)),"✖ Current غير صحيح",IF(NOT(IF(ISNUMBER($J3531),AND($J3531&gt;=0,$J3531=INT($J3531)),FALSE())),"✖ العدد يجب أن يكون صحيحًا ≥ 0",IF(AND($F3531="Baseline",$H3531&lt;&gt;""),"⚠ Baseline: Start لا يدخل في التقدم",IF($K3531="No Start (attainment only)","ℹ تحصيل فقط (بدون Start)",IF($K3531="U – needs rule","ℹ حالة U تحتاج قاعدة معتمدة",IF($K3531="No result","ℹ بدون نتيجة (يُستبعد من التحصيل)","OK")))))))))))</f>
        <v/>
      </c>
      <c r="M3531" s="64" t="n">
        <f aca="false">IF($A3531="",0,IFERROR(MATCH($A3531,Classes!$A$6:$A$420,0),0))</f>
        <v>0</v>
      </c>
      <c r="N3531" s="64" t="n">
        <f aca="false">IF($H3531="",0,IFERROR(MATCH($H3531,GradeList,0),0))</f>
        <v>0</v>
      </c>
      <c r="O3531" s="64" t="n">
        <f aca="false">IF(OR($I3531="",$I3531="NR"),0,IFERROR(MATCH($I3531,GradeList,0),0))</f>
        <v>0</v>
      </c>
      <c r="P3531" s="64" t="n">
        <f aca="false">IF(AND($M3531&gt;0,ISNUMBER(MATCH($F3531,Lists!$A$2:$A$5,0)),ISNUMBER(MATCH($G3531,Lists!$B$2:$B$7,0)),OR($H3531="",$N3531&gt;0),OR($I3531="",$I3531="NR",$O3531&gt;0),IF(ISNUMBER($J3531),AND($J3531&gt;=0,$J3531=INT($J3531)),FALSE())),$J3531,0)</f>
        <v>0</v>
      </c>
      <c r="Q3531" s="64" t="n">
        <f aca="false">IF(AND($P3531&gt;0,$O3531&gt;0),$P3531,0)</f>
        <v>0</v>
      </c>
      <c r="R3531" s="64" t="n">
        <f aca="false">IF(AND($Q3531&gt;0,$O3531&gt;=AtRank),$Q3531,0)</f>
        <v>0</v>
      </c>
      <c r="S3531" s="64" t="n">
        <f aca="false">IF(AND($Q3531&gt;0,$O3531&gt;=AboveRank),$Q3531,0)</f>
        <v>0</v>
      </c>
      <c r="T3531" s="64" t="n">
        <f aca="false">IF($K3531="Less",$P3531,0)</f>
        <v>0</v>
      </c>
      <c r="U3531" s="64" t="n">
        <f aca="false">IF($K3531="Expected",$P3531,0)</f>
        <v>0</v>
      </c>
      <c r="V3531" s="64" t="n">
        <f aca="false">IF($K3531="Better",$P3531,0)</f>
        <v>0</v>
      </c>
      <c r="W3531" s="64" t="n">
        <f aca="false">IF($K3531="U – needs rule",$P3531,0)</f>
        <v>0</v>
      </c>
      <c r="X3531" s="64" t="n">
        <f aca="false">IF($K3531="No Start (attainment only)",$P3531,0)</f>
        <v>0</v>
      </c>
    </row>
    <row r="3532" customFormat="false" ht="15" hidden="false" customHeight="false" outlineLevel="0" collapsed="false">
      <c r="A3532" s="60"/>
      <c r="B3532" s="61" t="str">
        <f aca="false">IF($M3532=0,"",INDEX(Classes!$E$6:$E$420,$M3532))</f>
        <v/>
      </c>
      <c r="C3532" s="62" t="str">
        <f aca="false">IF($M3532=0,"",INDEX(Classes!$H$6:$H$420,$M3532))</f>
        <v/>
      </c>
      <c r="D3532" s="61" t="str">
        <f aca="false">IF($M3532=0,"",INDEX(Classes!$B$6:$B$420,$M3532))</f>
        <v/>
      </c>
      <c r="E3532" s="61" t="str">
        <f aca="false">IF($M3532=0,"",INDEX(Classes!$C$6:$C$420,$M3532))</f>
        <v/>
      </c>
      <c r="F3532" s="63"/>
      <c r="G3532" s="63"/>
      <c r="H3532" s="60"/>
      <c r="I3532" s="60"/>
      <c r="J3532" s="63"/>
      <c r="K3532" s="61" t="str">
        <f aca="false">IF($P3532=0,"",IF($F3532="Baseline","— Baseline",IF($O3532=0,"No result",IF($N3532=0,"No Start (attainment only)",IF(OR($N3532=1,$O3532=1),"U – needs rule",INDEX(MxBody,MATCH($I3532,MxCurr,0),MATCH($H3532,MxStart,0)))))))</f>
        <v/>
      </c>
      <c r="L3532" s="62" t="str">
        <f aca="false">IF(COUNTA($A3532,$F3532,$G3532,$H3532,$I3532,$J3532)=0,"",IF($M3532=0,"✖ كود الصف غير موجود",IF(ISNA(MATCH($F3532,Lists!$A$2:$A$5,0)),"✖ الفترة غير صحيحة",IF(ISNA(MATCH($G3532,Lists!$B$2:$B$7,0)),"✖ المجموعة غير صحيحة",IF(NOT(OR($H3532="",$N3532&gt;0)),"✖ Start غير صحيح",IF(NOT(OR($I3532="",$I3532="NR",$O3532&gt;0)),"✖ Current غير صحيح",IF(NOT(IF(ISNUMBER($J3532),AND($J3532&gt;=0,$J3532=INT($J3532)),FALSE())),"✖ العدد يجب أن يكون صحيحًا ≥ 0",IF(AND($F3532="Baseline",$H3532&lt;&gt;""),"⚠ Baseline: Start لا يدخل في التقدم",IF($K3532="No Start (attainment only)","ℹ تحصيل فقط (بدون Start)",IF($K3532="U – needs rule","ℹ حالة U تحتاج قاعدة معتمدة",IF($K3532="No result","ℹ بدون نتيجة (يُستبعد من التحصيل)","OK")))))))))))</f>
        <v/>
      </c>
      <c r="M3532" s="64" t="n">
        <f aca="false">IF($A3532="",0,IFERROR(MATCH($A3532,Classes!$A$6:$A$420,0),0))</f>
        <v>0</v>
      </c>
      <c r="N3532" s="64" t="n">
        <f aca="false">IF($H3532="",0,IFERROR(MATCH($H3532,GradeList,0),0))</f>
        <v>0</v>
      </c>
      <c r="O3532" s="64" t="n">
        <f aca="false">IF(OR($I3532="",$I3532="NR"),0,IFERROR(MATCH($I3532,GradeList,0),0))</f>
        <v>0</v>
      </c>
      <c r="P3532" s="64" t="n">
        <f aca="false">IF(AND($M3532&gt;0,ISNUMBER(MATCH($F3532,Lists!$A$2:$A$5,0)),ISNUMBER(MATCH($G3532,Lists!$B$2:$B$7,0)),OR($H3532="",$N3532&gt;0),OR($I3532="",$I3532="NR",$O3532&gt;0),IF(ISNUMBER($J3532),AND($J3532&gt;=0,$J3532=INT($J3532)),FALSE())),$J3532,0)</f>
        <v>0</v>
      </c>
      <c r="Q3532" s="64" t="n">
        <f aca="false">IF(AND($P3532&gt;0,$O3532&gt;0),$P3532,0)</f>
        <v>0</v>
      </c>
      <c r="R3532" s="64" t="n">
        <f aca="false">IF(AND($Q3532&gt;0,$O3532&gt;=AtRank),$Q3532,0)</f>
        <v>0</v>
      </c>
      <c r="S3532" s="64" t="n">
        <f aca="false">IF(AND($Q3532&gt;0,$O3532&gt;=AboveRank),$Q3532,0)</f>
        <v>0</v>
      </c>
      <c r="T3532" s="64" t="n">
        <f aca="false">IF($K3532="Less",$P3532,0)</f>
        <v>0</v>
      </c>
      <c r="U3532" s="64" t="n">
        <f aca="false">IF($K3532="Expected",$P3532,0)</f>
        <v>0</v>
      </c>
      <c r="V3532" s="64" t="n">
        <f aca="false">IF($K3532="Better",$P3532,0)</f>
        <v>0</v>
      </c>
      <c r="W3532" s="64" t="n">
        <f aca="false">IF($K3532="U – needs rule",$P3532,0)</f>
        <v>0</v>
      </c>
      <c r="X3532" s="64" t="n">
        <f aca="false">IF($K3532="No Start (attainment only)",$P3532,0)</f>
        <v>0</v>
      </c>
    </row>
    <row r="3533" customFormat="false" ht="15" hidden="false" customHeight="false" outlineLevel="0" collapsed="false">
      <c r="A3533" s="60"/>
      <c r="B3533" s="61" t="str">
        <f aca="false">IF($M3533=0,"",INDEX(Classes!$E$6:$E$420,$M3533))</f>
        <v/>
      </c>
      <c r="C3533" s="62" t="str">
        <f aca="false">IF($M3533=0,"",INDEX(Classes!$H$6:$H$420,$M3533))</f>
        <v/>
      </c>
      <c r="D3533" s="61" t="str">
        <f aca="false">IF($M3533=0,"",INDEX(Classes!$B$6:$B$420,$M3533))</f>
        <v/>
      </c>
      <c r="E3533" s="61" t="str">
        <f aca="false">IF($M3533=0,"",INDEX(Classes!$C$6:$C$420,$M3533))</f>
        <v/>
      </c>
      <c r="F3533" s="63"/>
      <c r="G3533" s="63"/>
      <c r="H3533" s="60"/>
      <c r="I3533" s="60"/>
      <c r="J3533" s="63"/>
      <c r="K3533" s="61" t="str">
        <f aca="false">IF($P3533=0,"",IF($F3533="Baseline","— Baseline",IF($O3533=0,"No result",IF($N3533=0,"No Start (attainment only)",IF(OR($N3533=1,$O3533=1),"U – needs rule",INDEX(MxBody,MATCH($I3533,MxCurr,0),MATCH($H3533,MxStart,0)))))))</f>
        <v/>
      </c>
      <c r="L3533" s="62" t="str">
        <f aca="false">IF(COUNTA($A3533,$F3533,$G3533,$H3533,$I3533,$J3533)=0,"",IF($M3533=0,"✖ كود الصف غير موجود",IF(ISNA(MATCH($F3533,Lists!$A$2:$A$5,0)),"✖ الفترة غير صحيحة",IF(ISNA(MATCH($G3533,Lists!$B$2:$B$7,0)),"✖ المجموعة غير صحيحة",IF(NOT(OR($H3533="",$N3533&gt;0)),"✖ Start غير صحيح",IF(NOT(OR($I3533="",$I3533="NR",$O3533&gt;0)),"✖ Current غير صحيح",IF(NOT(IF(ISNUMBER($J3533),AND($J3533&gt;=0,$J3533=INT($J3533)),FALSE())),"✖ العدد يجب أن يكون صحيحًا ≥ 0",IF(AND($F3533="Baseline",$H3533&lt;&gt;""),"⚠ Baseline: Start لا يدخل في التقدم",IF($K3533="No Start (attainment only)","ℹ تحصيل فقط (بدون Start)",IF($K3533="U – needs rule","ℹ حالة U تحتاج قاعدة معتمدة",IF($K3533="No result","ℹ بدون نتيجة (يُستبعد من التحصيل)","OK")))))))))))</f>
        <v/>
      </c>
      <c r="M3533" s="64" t="n">
        <f aca="false">IF($A3533="",0,IFERROR(MATCH($A3533,Classes!$A$6:$A$420,0),0))</f>
        <v>0</v>
      </c>
      <c r="N3533" s="64" t="n">
        <f aca="false">IF($H3533="",0,IFERROR(MATCH($H3533,GradeList,0),0))</f>
        <v>0</v>
      </c>
      <c r="O3533" s="64" t="n">
        <f aca="false">IF(OR($I3533="",$I3533="NR"),0,IFERROR(MATCH($I3533,GradeList,0),0))</f>
        <v>0</v>
      </c>
      <c r="P3533" s="64" t="n">
        <f aca="false">IF(AND($M3533&gt;0,ISNUMBER(MATCH($F3533,Lists!$A$2:$A$5,0)),ISNUMBER(MATCH($G3533,Lists!$B$2:$B$7,0)),OR($H3533="",$N3533&gt;0),OR($I3533="",$I3533="NR",$O3533&gt;0),IF(ISNUMBER($J3533),AND($J3533&gt;=0,$J3533=INT($J3533)),FALSE())),$J3533,0)</f>
        <v>0</v>
      </c>
      <c r="Q3533" s="64" t="n">
        <f aca="false">IF(AND($P3533&gt;0,$O3533&gt;0),$P3533,0)</f>
        <v>0</v>
      </c>
      <c r="R3533" s="64" t="n">
        <f aca="false">IF(AND($Q3533&gt;0,$O3533&gt;=AtRank),$Q3533,0)</f>
        <v>0</v>
      </c>
      <c r="S3533" s="64" t="n">
        <f aca="false">IF(AND($Q3533&gt;0,$O3533&gt;=AboveRank),$Q3533,0)</f>
        <v>0</v>
      </c>
      <c r="T3533" s="64" t="n">
        <f aca="false">IF($K3533="Less",$P3533,0)</f>
        <v>0</v>
      </c>
      <c r="U3533" s="64" t="n">
        <f aca="false">IF($K3533="Expected",$P3533,0)</f>
        <v>0</v>
      </c>
      <c r="V3533" s="64" t="n">
        <f aca="false">IF($K3533="Better",$P3533,0)</f>
        <v>0</v>
      </c>
      <c r="W3533" s="64" t="n">
        <f aca="false">IF($K3533="U – needs rule",$P3533,0)</f>
        <v>0</v>
      </c>
      <c r="X3533" s="64" t="n">
        <f aca="false">IF($K3533="No Start (attainment only)",$P3533,0)</f>
        <v>0</v>
      </c>
    </row>
    <row r="3534" customFormat="false" ht="15" hidden="false" customHeight="false" outlineLevel="0" collapsed="false">
      <c r="A3534" s="60"/>
      <c r="B3534" s="61" t="str">
        <f aca="false">IF($M3534=0,"",INDEX(Classes!$E$6:$E$420,$M3534))</f>
        <v/>
      </c>
      <c r="C3534" s="62" t="str">
        <f aca="false">IF($M3534=0,"",INDEX(Classes!$H$6:$H$420,$M3534))</f>
        <v/>
      </c>
      <c r="D3534" s="61" t="str">
        <f aca="false">IF($M3534=0,"",INDEX(Classes!$B$6:$B$420,$M3534))</f>
        <v/>
      </c>
      <c r="E3534" s="61" t="str">
        <f aca="false">IF($M3534=0,"",INDEX(Classes!$C$6:$C$420,$M3534))</f>
        <v/>
      </c>
      <c r="F3534" s="63"/>
      <c r="G3534" s="63"/>
      <c r="H3534" s="60"/>
      <c r="I3534" s="60"/>
      <c r="J3534" s="63"/>
      <c r="K3534" s="61" t="str">
        <f aca="false">IF($P3534=0,"",IF($F3534="Baseline","— Baseline",IF($O3534=0,"No result",IF($N3534=0,"No Start (attainment only)",IF(OR($N3534=1,$O3534=1),"U – needs rule",INDEX(MxBody,MATCH($I3534,MxCurr,0),MATCH($H3534,MxStart,0)))))))</f>
        <v/>
      </c>
      <c r="L3534" s="62" t="str">
        <f aca="false">IF(COUNTA($A3534,$F3534,$G3534,$H3534,$I3534,$J3534)=0,"",IF($M3534=0,"✖ كود الصف غير موجود",IF(ISNA(MATCH($F3534,Lists!$A$2:$A$5,0)),"✖ الفترة غير صحيحة",IF(ISNA(MATCH($G3534,Lists!$B$2:$B$7,0)),"✖ المجموعة غير صحيحة",IF(NOT(OR($H3534="",$N3534&gt;0)),"✖ Start غير صحيح",IF(NOT(OR($I3534="",$I3534="NR",$O3534&gt;0)),"✖ Current غير صحيح",IF(NOT(IF(ISNUMBER($J3534),AND($J3534&gt;=0,$J3534=INT($J3534)),FALSE())),"✖ العدد يجب أن يكون صحيحًا ≥ 0",IF(AND($F3534="Baseline",$H3534&lt;&gt;""),"⚠ Baseline: Start لا يدخل في التقدم",IF($K3534="No Start (attainment only)","ℹ تحصيل فقط (بدون Start)",IF($K3534="U – needs rule","ℹ حالة U تحتاج قاعدة معتمدة",IF($K3534="No result","ℹ بدون نتيجة (يُستبعد من التحصيل)","OK")))))))))))</f>
        <v/>
      </c>
      <c r="M3534" s="64" t="n">
        <f aca="false">IF($A3534="",0,IFERROR(MATCH($A3534,Classes!$A$6:$A$420,0),0))</f>
        <v>0</v>
      </c>
      <c r="N3534" s="64" t="n">
        <f aca="false">IF($H3534="",0,IFERROR(MATCH($H3534,GradeList,0),0))</f>
        <v>0</v>
      </c>
      <c r="O3534" s="64" t="n">
        <f aca="false">IF(OR($I3534="",$I3534="NR"),0,IFERROR(MATCH($I3534,GradeList,0),0))</f>
        <v>0</v>
      </c>
      <c r="P3534" s="64" t="n">
        <f aca="false">IF(AND($M3534&gt;0,ISNUMBER(MATCH($F3534,Lists!$A$2:$A$5,0)),ISNUMBER(MATCH($G3534,Lists!$B$2:$B$7,0)),OR($H3534="",$N3534&gt;0),OR($I3534="",$I3534="NR",$O3534&gt;0),IF(ISNUMBER($J3534),AND($J3534&gt;=0,$J3534=INT($J3534)),FALSE())),$J3534,0)</f>
        <v>0</v>
      </c>
      <c r="Q3534" s="64" t="n">
        <f aca="false">IF(AND($P3534&gt;0,$O3534&gt;0),$P3534,0)</f>
        <v>0</v>
      </c>
      <c r="R3534" s="64" t="n">
        <f aca="false">IF(AND($Q3534&gt;0,$O3534&gt;=AtRank),$Q3534,0)</f>
        <v>0</v>
      </c>
      <c r="S3534" s="64" t="n">
        <f aca="false">IF(AND($Q3534&gt;0,$O3534&gt;=AboveRank),$Q3534,0)</f>
        <v>0</v>
      </c>
      <c r="T3534" s="64" t="n">
        <f aca="false">IF($K3534="Less",$P3534,0)</f>
        <v>0</v>
      </c>
      <c r="U3534" s="64" t="n">
        <f aca="false">IF($K3534="Expected",$P3534,0)</f>
        <v>0</v>
      </c>
      <c r="V3534" s="64" t="n">
        <f aca="false">IF($K3534="Better",$P3534,0)</f>
        <v>0</v>
      </c>
      <c r="W3534" s="64" t="n">
        <f aca="false">IF($K3534="U – needs rule",$P3534,0)</f>
        <v>0</v>
      </c>
      <c r="X3534" s="64" t="n">
        <f aca="false">IF($K3534="No Start (attainment only)",$P3534,0)</f>
        <v>0</v>
      </c>
    </row>
    <row r="3535" customFormat="false" ht="15" hidden="false" customHeight="false" outlineLevel="0" collapsed="false">
      <c r="A3535" s="60"/>
      <c r="B3535" s="61" t="str">
        <f aca="false">IF($M3535=0,"",INDEX(Classes!$E$6:$E$420,$M3535))</f>
        <v/>
      </c>
      <c r="C3535" s="62" t="str">
        <f aca="false">IF($M3535=0,"",INDEX(Classes!$H$6:$H$420,$M3535))</f>
        <v/>
      </c>
      <c r="D3535" s="61" t="str">
        <f aca="false">IF($M3535=0,"",INDEX(Classes!$B$6:$B$420,$M3535))</f>
        <v/>
      </c>
      <c r="E3535" s="61" t="str">
        <f aca="false">IF($M3535=0,"",INDEX(Classes!$C$6:$C$420,$M3535))</f>
        <v/>
      </c>
      <c r="F3535" s="63"/>
      <c r="G3535" s="63"/>
      <c r="H3535" s="60"/>
      <c r="I3535" s="60"/>
      <c r="J3535" s="63"/>
      <c r="K3535" s="61" t="str">
        <f aca="false">IF($P3535=0,"",IF($F3535="Baseline","— Baseline",IF($O3535=0,"No result",IF($N3535=0,"No Start (attainment only)",IF(OR($N3535=1,$O3535=1),"U – needs rule",INDEX(MxBody,MATCH($I3535,MxCurr,0),MATCH($H3535,MxStart,0)))))))</f>
        <v/>
      </c>
      <c r="L3535" s="62" t="str">
        <f aca="false">IF(COUNTA($A3535,$F3535,$G3535,$H3535,$I3535,$J3535)=0,"",IF($M3535=0,"✖ كود الصف غير موجود",IF(ISNA(MATCH($F3535,Lists!$A$2:$A$5,0)),"✖ الفترة غير صحيحة",IF(ISNA(MATCH($G3535,Lists!$B$2:$B$7,0)),"✖ المجموعة غير صحيحة",IF(NOT(OR($H3535="",$N3535&gt;0)),"✖ Start غير صحيح",IF(NOT(OR($I3535="",$I3535="NR",$O3535&gt;0)),"✖ Current غير صحيح",IF(NOT(IF(ISNUMBER($J3535),AND($J3535&gt;=0,$J3535=INT($J3535)),FALSE())),"✖ العدد يجب أن يكون صحيحًا ≥ 0",IF(AND($F3535="Baseline",$H3535&lt;&gt;""),"⚠ Baseline: Start لا يدخل في التقدم",IF($K3535="No Start (attainment only)","ℹ تحصيل فقط (بدون Start)",IF($K3535="U – needs rule","ℹ حالة U تحتاج قاعدة معتمدة",IF($K3535="No result","ℹ بدون نتيجة (يُستبعد من التحصيل)","OK")))))))))))</f>
        <v/>
      </c>
      <c r="M3535" s="64" t="n">
        <f aca="false">IF($A3535="",0,IFERROR(MATCH($A3535,Classes!$A$6:$A$420,0),0))</f>
        <v>0</v>
      </c>
      <c r="N3535" s="64" t="n">
        <f aca="false">IF($H3535="",0,IFERROR(MATCH($H3535,GradeList,0),0))</f>
        <v>0</v>
      </c>
      <c r="O3535" s="64" t="n">
        <f aca="false">IF(OR($I3535="",$I3535="NR"),0,IFERROR(MATCH($I3535,GradeList,0),0))</f>
        <v>0</v>
      </c>
      <c r="P3535" s="64" t="n">
        <f aca="false">IF(AND($M3535&gt;0,ISNUMBER(MATCH($F3535,Lists!$A$2:$A$5,0)),ISNUMBER(MATCH($G3535,Lists!$B$2:$B$7,0)),OR($H3535="",$N3535&gt;0),OR($I3535="",$I3535="NR",$O3535&gt;0),IF(ISNUMBER($J3535),AND($J3535&gt;=0,$J3535=INT($J3535)),FALSE())),$J3535,0)</f>
        <v>0</v>
      </c>
      <c r="Q3535" s="64" t="n">
        <f aca="false">IF(AND($P3535&gt;0,$O3535&gt;0),$P3535,0)</f>
        <v>0</v>
      </c>
      <c r="R3535" s="64" t="n">
        <f aca="false">IF(AND($Q3535&gt;0,$O3535&gt;=AtRank),$Q3535,0)</f>
        <v>0</v>
      </c>
      <c r="S3535" s="64" t="n">
        <f aca="false">IF(AND($Q3535&gt;0,$O3535&gt;=AboveRank),$Q3535,0)</f>
        <v>0</v>
      </c>
      <c r="T3535" s="64" t="n">
        <f aca="false">IF($K3535="Less",$P3535,0)</f>
        <v>0</v>
      </c>
      <c r="U3535" s="64" t="n">
        <f aca="false">IF($K3535="Expected",$P3535,0)</f>
        <v>0</v>
      </c>
      <c r="V3535" s="64" t="n">
        <f aca="false">IF($K3535="Better",$P3535,0)</f>
        <v>0</v>
      </c>
      <c r="W3535" s="64" t="n">
        <f aca="false">IF($K3535="U – needs rule",$P3535,0)</f>
        <v>0</v>
      </c>
      <c r="X3535" s="64" t="n">
        <f aca="false">IF($K3535="No Start (attainment only)",$P3535,0)</f>
        <v>0</v>
      </c>
    </row>
    <row r="3536" customFormat="false" ht="15" hidden="false" customHeight="false" outlineLevel="0" collapsed="false">
      <c r="A3536" s="60"/>
      <c r="B3536" s="61" t="str">
        <f aca="false">IF($M3536=0,"",INDEX(Classes!$E$6:$E$420,$M3536))</f>
        <v/>
      </c>
      <c r="C3536" s="62" t="str">
        <f aca="false">IF($M3536=0,"",INDEX(Classes!$H$6:$H$420,$M3536))</f>
        <v/>
      </c>
      <c r="D3536" s="61" t="str">
        <f aca="false">IF($M3536=0,"",INDEX(Classes!$B$6:$B$420,$M3536))</f>
        <v/>
      </c>
      <c r="E3536" s="61" t="str">
        <f aca="false">IF($M3536=0,"",INDEX(Classes!$C$6:$C$420,$M3536))</f>
        <v/>
      </c>
      <c r="F3536" s="63"/>
      <c r="G3536" s="63"/>
      <c r="H3536" s="60"/>
      <c r="I3536" s="60"/>
      <c r="J3536" s="63"/>
      <c r="K3536" s="61" t="str">
        <f aca="false">IF($P3536=0,"",IF($F3536="Baseline","— Baseline",IF($O3536=0,"No result",IF($N3536=0,"No Start (attainment only)",IF(OR($N3536=1,$O3536=1),"U – needs rule",INDEX(MxBody,MATCH($I3536,MxCurr,0),MATCH($H3536,MxStart,0)))))))</f>
        <v/>
      </c>
      <c r="L3536" s="62" t="str">
        <f aca="false">IF(COUNTA($A3536,$F3536,$G3536,$H3536,$I3536,$J3536)=0,"",IF($M3536=0,"✖ كود الصف غير موجود",IF(ISNA(MATCH($F3536,Lists!$A$2:$A$5,0)),"✖ الفترة غير صحيحة",IF(ISNA(MATCH($G3536,Lists!$B$2:$B$7,0)),"✖ المجموعة غير صحيحة",IF(NOT(OR($H3536="",$N3536&gt;0)),"✖ Start غير صحيح",IF(NOT(OR($I3536="",$I3536="NR",$O3536&gt;0)),"✖ Current غير صحيح",IF(NOT(IF(ISNUMBER($J3536),AND($J3536&gt;=0,$J3536=INT($J3536)),FALSE())),"✖ العدد يجب أن يكون صحيحًا ≥ 0",IF(AND($F3536="Baseline",$H3536&lt;&gt;""),"⚠ Baseline: Start لا يدخل في التقدم",IF($K3536="No Start (attainment only)","ℹ تحصيل فقط (بدون Start)",IF($K3536="U – needs rule","ℹ حالة U تحتاج قاعدة معتمدة",IF($K3536="No result","ℹ بدون نتيجة (يُستبعد من التحصيل)","OK")))))))))))</f>
        <v/>
      </c>
      <c r="M3536" s="64" t="n">
        <f aca="false">IF($A3536="",0,IFERROR(MATCH($A3536,Classes!$A$6:$A$420,0),0))</f>
        <v>0</v>
      </c>
      <c r="N3536" s="64" t="n">
        <f aca="false">IF($H3536="",0,IFERROR(MATCH($H3536,GradeList,0),0))</f>
        <v>0</v>
      </c>
      <c r="O3536" s="64" t="n">
        <f aca="false">IF(OR($I3536="",$I3536="NR"),0,IFERROR(MATCH($I3536,GradeList,0),0))</f>
        <v>0</v>
      </c>
      <c r="P3536" s="64" t="n">
        <f aca="false">IF(AND($M3536&gt;0,ISNUMBER(MATCH($F3536,Lists!$A$2:$A$5,0)),ISNUMBER(MATCH($G3536,Lists!$B$2:$B$7,0)),OR($H3536="",$N3536&gt;0),OR($I3536="",$I3536="NR",$O3536&gt;0),IF(ISNUMBER($J3536),AND($J3536&gt;=0,$J3536=INT($J3536)),FALSE())),$J3536,0)</f>
        <v>0</v>
      </c>
      <c r="Q3536" s="64" t="n">
        <f aca="false">IF(AND($P3536&gt;0,$O3536&gt;0),$P3536,0)</f>
        <v>0</v>
      </c>
      <c r="R3536" s="64" t="n">
        <f aca="false">IF(AND($Q3536&gt;0,$O3536&gt;=AtRank),$Q3536,0)</f>
        <v>0</v>
      </c>
      <c r="S3536" s="64" t="n">
        <f aca="false">IF(AND($Q3536&gt;0,$O3536&gt;=AboveRank),$Q3536,0)</f>
        <v>0</v>
      </c>
      <c r="T3536" s="64" t="n">
        <f aca="false">IF($K3536="Less",$P3536,0)</f>
        <v>0</v>
      </c>
      <c r="U3536" s="64" t="n">
        <f aca="false">IF($K3536="Expected",$P3536,0)</f>
        <v>0</v>
      </c>
      <c r="V3536" s="64" t="n">
        <f aca="false">IF($K3536="Better",$P3536,0)</f>
        <v>0</v>
      </c>
      <c r="W3536" s="64" t="n">
        <f aca="false">IF($K3536="U – needs rule",$P3536,0)</f>
        <v>0</v>
      </c>
      <c r="X3536" s="64" t="n">
        <f aca="false">IF($K3536="No Start (attainment only)",$P3536,0)</f>
        <v>0</v>
      </c>
    </row>
    <row r="3537" customFormat="false" ht="15" hidden="false" customHeight="false" outlineLevel="0" collapsed="false">
      <c r="A3537" s="60"/>
      <c r="B3537" s="61" t="str">
        <f aca="false">IF($M3537=0,"",INDEX(Classes!$E$6:$E$420,$M3537))</f>
        <v/>
      </c>
      <c r="C3537" s="62" t="str">
        <f aca="false">IF($M3537=0,"",INDEX(Classes!$H$6:$H$420,$M3537))</f>
        <v/>
      </c>
      <c r="D3537" s="61" t="str">
        <f aca="false">IF($M3537=0,"",INDEX(Classes!$B$6:$B$420,$M3537))</f>
        <v/>
      </c>
      <c r="E3537" s="61" t="str">
        <f aca="false">IF($M3537=0,"",INDEX(Classes!$C$6:$C$420,$M3537))</f>
        <v/>
      </c>
      <c r="F3537" s="63"/>
      <c r="G3537" s="63"/>
      <c r="H3537" s="60"/>
      <c r="I3537" s="60"/>
      <c r="J3537" s="63"/>
      <c r="K3537" s="61" t="str">
        <f aca="false">IF($P3537=0,"",IF($F3537="Baseline","— Baseline",IF($O3537=0,"No result",IF($N3537=0,"No Start (attainment only)",IF(OR($N3537=1,$O3537=1),"U – needs rule",INDEX(MxBody,MATCH($I3537,MxCurr,0),MATCH($H3537,MxStart,0)))))))</f>
        <v/>
      </c>
      <c r="L3537" s="62" t="str">
        <f aca="false">IF(COUNTA($A3537,$F3537,$G3537,$H3537,$I3537,$J3537)=0,"",IF($M3537=0,"✖ كود الصف غير موجود",IF(ISNA(MATCH($F3537,Lists!$A$2:$A$5,0)),"✖ الفترة غير صحيحة",IF(ISNA(MATCH($G3537,Lists!$B$2:$B$7,0)),"✖ المجموعة غير صحيحة",IF(NOT(OR($H3537="",$N3537&gt;0)),"✖ Start غير صحيح",IF(NOT(OR($I3537="",$I3537="NR",$O3537&gt;0)),"✖ Current غير صحيح",IF(NOT(IF(ISNUMBER($J3537),AND($J3537&gt;=0,$J3537=INT($J3537)),FALSE())),"✖ العدد يجب أن يكون صحيحًا ≥ 0",IF(AND($F3537="Baseline",$H3537&lt;&gt;""),"⚠ Baseline: Start لا يدخل في التقدم",IF($K3537="No Start (attainment only)","ℹ تحصيل فقط (بدون Start)",IF($K3537="U – needs rule","ℹ حالة U تحتاج قاعدة معتمدة",IF($K3537="No result","ℹ بدون نتيجة (يُستبعد من التحصيل)","OK")))))))))))</f>
        <v/>
      </c>
      <c r="M3537" s="64" t="n">
        <f aca="false">IF($A3537="",0,IFERROR(MATCH($A3537,Classes!$A$6:$A$420,0),0))</f>
        <v>0</v>
      </c>
      <c r="N3537" s="64" t="n">
        <f aca="false">IF($H3537="",0,IFERROR(MATCH($H3537,GradeList,0),0))</f>
        <v>0</v>
      </c>
      <c r="O3537" s="64" t="n">
        <f aca="false">IF(OR($I3537="",$I3537="NR"),0,IFERROR(MATCH($I3537,GradeList,0),0))</f>
        <v>0</v>
      </c>
      <c r="P3537" s="64" t="n">
        <f aca="false">IF(AND($M3537&gt;0,ISNUMBER(MATCH($F3537,Lists!$A$2:$A$5,0)),ISNUMBER(MATCH($G3537,Lists!$B$2:$B$7,0)),OR($H3537="",$N3537&gt;0),OR($I3537="",$I3537="NR",$O3537&gt;0),IF(ISNUMBER($J3537),AND($J3537&gt;=0,$J3537=INT($J3537)),FALSE())),$J3537,0)</f>
        <v>0</v>
      </c>
      <c r="Q3537" s="64" t="n">
        <f aca="false">IF(AND($P3537&gt;0,$O3537&gt;0),$P3537,0)</f>
        <v>0</v>
      </c>
      <c r="R3537" s="64" t="n">
        <f aca="false">IF(AND($Q3537&gt;0,$O3537&gt;=AtRank),$Q3537,0)</f>
        <v>0</v>
      </c>
      <c r="S3537" s="64" t="n">
        <f aca="false">IF(AND($Q3537&gt;0,$O3537&gt;=AboveRank),$Q3537,0)</f>
        <v>0</v>
      </c>
      <c r="T3537" s="64" t="n">
        <f aca="false">IF($K3537="Less",$P3537,0)</f>
        <v>0</v>
      </c>
      <c r="U3537" s="64" t="n">
        <f aca="false">IF($K3537="Expected",$P3537,0)</f>
        <v>0</v>
      </c>
      <c r="V3537" s="64" t="n">
        <f aca="false">IF($K3537="Better",$P3537,0)</f>
        <v>0</v>
      </c>
      <c r="W3537" s="64" t="n">
        <f aca="false">IF($K3537="U – needs rule",$P3537,0)</f>
        <v>0</v>
      </c>
      <c r="X3537" s="64" t="n">
        <f aca="false">IF($K3537="No Start (attainment only)",$P3537,0)</f>
        <v>0</v>
      </c>
    </row>
    <row r="3538" customFormat="false" ht="15" hidden="false" customHeight="false" outlineLevel="0" collapsed="false">
      <c r="A3538" s="60"/>
      <c r="B3538" s="61" t="str">
        <f aca="false">IF($M3538=0,"",INDEX(Classes!$E$6:$E$420,$M3538))</f>
        <v/>
      </c>
      <c r="C3538" s="62" t="str">
        <f aca="false">IF($M3538=0,"",INDEX(Classes!$H$6:$H$420,$M3538))</f>
        <v/>
      </c>
      <c r="D3538" s="61" t="str">
        <f aca="false">IF($M3538=0,"",INDEX(Classes!$B$6:$B$420,$M3538))</f>
        <v/>
      </c>
      <c r="E3538" s="61" t="str">
        <f aca="false">IF($M3538=0,"",INDEX(Classes!$C$6:$C$420,$M3538))</f>
        <v/>
      </c>
      <c r="F3538" s="63"/>
      <c r="G3538" s="63"/>
      <c r="H3538" s="60"/>
      <c r="I3538" s="60"/>
      <c r="J3538" s="63"/>
      <c r="K3538" s="61" t="str">
        <f aca="false">IF($P3538=0,"",IF($F3538="Baseline","— Baseline",IF($O3538=0,"No result",IF($N3538=0,"No Start (attainment only)",IF(OR($N3538=1,$O3538=1),"U – needs rule",INDEX(MxBody,MATCH($I3538,MxCurr,0),MATCH($H3538,MxStart,0)))))))</f>
        <v/>
      </c>
      <c r="L3538" s="62" t="str">
        <f aca="false">IF(COUNTA($A3538,$F3538,$G3538,$H3538,$I3538,$J3538)=0,"",IF($M3538=0,"✖ كود الصف غير موجود",IF(ISNA(MATCH($F3538,Lists!$A$2:$A$5,0)),"✖ الفترة غير صحيحة",IF(ISNA(MATCH($G3538,Lists!$B$2:$B$7,0)),"✖ المجموعة غير صحيحة",IF(NOT(OR($H3538="",$N3538&gt;0)),"✖ Start غير صحيح",IF(NOT(OR($I3538="",$I3538="NR",$O3538&gt;0)),"✖ Current غير صحيح",IF(NOT(IF(ISNUMBER($J3538),AND($J3538&gt;=0,$J3538=INT($J3538)),FALSE())),"✖ العدد يجب أن يكون صحيحًا ≥ 0",IF(AND($F3538="Baseline",$H3538&lt;&gt;""),"⚠ Baseline: Start لا يدخل في التقدم",IF($K3538="No Start (attainment only)","ℹ تحصيل فقط (بدون Start)",IF($K3538="U – needs rule","ℹ حالة U تحتاج قاعدة معتمدة",IF($K3538="No result","ℹ بدون نتيجة (يُستبعد من التحصيل)","OK")))))))))))</f>
        <v/>
      </c>
      <c r="M3538" s="64" t="n">
        <f aca="false">IF($A3538="",0,IFERROR(MATCH($A3538,Classes!$A$6:$A$420,0),0))</f>
        <v>0</v>
      </c>
      <c r="N3538" s="64" t="n">
        <f aca="false">IF($H3538="",0,IFERROR(MATCH($H3538,GradeList,0),0))</f>
        <v>0</v>
      </c>
      <c r="O3538" s="64" t="n">
        <f aca="false">IF(OR($I3538="",$I3538="NR"),0,IFERROR(MATCH($I3538,GradeList,0),0))</f>
        <v>0</v>
      </c>
      <c r="P3538" s="64" t="n">
        <f aca="false">IF(AND($M3538&gt;0,ISNUMBER(MATCH($F3538,Lists!$A$2:$A$5,0)),ISNUMBER(MATCH($G3538,Lists!$B$2:$B$7,0)),OR($H3538="",$N3538&gt;0),OR($I3538="",$I3538="NR",$O3538&gt;0),IF(ISNUMBER($J3538),AND($J3538&gt;=0,$J3538=INT($J3538)),FALSE())),$J3538,0)</f>
        <v>0</v>
      </c>
      <c r="Q3538" s="64" t="n">
        <f aca="false">IF(AND($P3538&gt;0,$O3538&gt;0),$P3538,0)</f>
        <v>0</v>
      </c>
      <c r="R3538" s="64" t="n">
        <f aca="false">IF(AND($Q3538&gt;0,$O3538&gt;=AtRank),$Q3538,0)</f>
        <v>0</v>
      </c>
      <c r="S3538" s="64" t="n">
        <f aca="false">IF(AND($Q3538&gt;0,$O3538&gt;=AboveRank),$Q3538,0)</f>
        <v>0</v>
      </c>
      <c r="T3538" s="64" t="n">
        <f aca="false">IF($K3538="Less",$P3538,0)</f>
        <v>0</v>
      </c>
      <c r="U3538" s="64" t="n">
        <f aca="false">IF($K3538="Expected",$P3538,0)</f>
        <v>0</v>
      </c>
      <c r="V3538" s="64" t="n">
        <f aca="false">IF($K3538="Better",$P3538,0)</f>
        <v>0</v>
      </c>
      <c r="W3538" s="64" t="n">
        <f aca="false">IF($K3538="U – needs rule",$P3538,0)</f>
        <v>0</v>
      </c>
      <c r="X3538" s="64" t="n">
        <f aca="false">IF($K3538="No Start (attainment only)",$P3538,0)</f>
        <v>0</v>
      </c>
    </row>
    <row r="3539" customFormat="false" ht="15" hidden="false" customHeight="false" outlineLevel="0" collapsed="false">
      <c r="A3539" s="60"/>
      <c r="B3539" s="61" t="str">
        <f aca="false">IF($M3539=0,"",INDEX(Classes!$E$6:$E$420,$M3539))</f>
        <v/>
      </c>
      <c r="C3539" s="62" t="str">
        <f aca="false">IF($M3539=0,"",INDEX(Classes!$H$6:$H$420,$M3539))</f>
        <v/>
      </c>
      <c r="D3539" s="61" t="str">
        <f aca="false">IF($M3539=0,"",INDEX(Classes!$B$6:$B$420,$M3539))</f>
        <v/>
      </c>
      <c r="E3539" s="61" t="str">
        <f aca="false">IF($M3539=0,"",INDEX(Classes!$C$6:$C$420,$M3539))</f>
        <v/>
      </c>
      <c r="F3539" s="63"/>
      <c r="G3539" s="63"/>
      <c r="H3539" s="60"/>
      <c r="I3539" s="60"/>
      <c r="J3539" s="63"/>
      <c r="K3539" s="61" t="str">
        <f aca="false">IF($P3539=0,"",IF($F3539="Baseline","— Baseline",IF($O3539=0,"No result",IF($N3539=0,"No Start (attainment only)",IF(OR($N3539=1,$O3539=1),"U – needs rule",INDEX(MxBody,MATCH($I3539,MxCurr,0),MATCH($H3539,MxStart,0)))))))</f>
        <v/>
      </c>
      <c r="L3539" s="62" t="str">
        <f aca="false">IF(COUNTA($A3539,$F3539,$G3539,$H3539,$I3539,$J3539)=0,"",IF($M3539=0,"✖ كود الصف غير موجود",IF(ISNA(MATCH($F3539,Lists!$A$2:$A$5,0)),"✖ الفترة غير صحيحة",IF(ISNA(MATCH($G3539,Lists!$B$2:$B$7,0)),"✖ المجموعة غير صحيحة",IF(NOT(OR($H3539="",$N3539&gt;0)),"✖ Start غير صحيح",IF(NOT(OR($I3539="",$I3539="NR",$O3539&gt;0)),"✖ Current غير صحيح",IF(NOT(IF(ISNUMBER($J3539),AND($J3539&gt;=0,$J3539=INT($J3539)),FALSE())),"✖ العدد يجب أن يكون صحيحًا ≥ 0",IF(AND($F3539="Baseline",$H3539&lt;&gt;""),"⚠ Baseline: Start لا يدخل في التقدم",IF($K3539="No Start (attainment only)","ℹ تحصيل فقط (بدون Start)",IF($K3539="U – needs rule","ℹ حالة U تحتاج قاعدة معتمدة",IF($K3539="No result","ℹ بدون نتيجة (يُستبعد من التحصيل)","OK")))))))))))</f>
        <v/>
      </c>
      <c r="M3539" s="64" t="n">
        <f aca="false">IF($A3539="",0,IFERROR(MATCH($A3539,Classes!$A$6:$A$420,0),0))</f>
        <v>0</v>
      </c>
      <c r="N3539" s="64" t="n">
        <f aca="false">IF($H3539="",0,IFERROR(MATCH($H3539,GradeList,0),0))</f>
        <v>0</v>
      </c>
      <c r="O3539" s="64" t="n">
        <f aca="false">IF(OR($I3539="",$I3539="NR"),0,IFERROR(MATCH($I3539,GradeList,0),0))</f>
        <v>0</v>
      </c>
      <c r="P3539" s="64" t="n">
        <f aca="false">IF(AND($M3539&gt;0,ISNUMBER(MATCH($F3539,Lists!$A$2:$A$5,0)),ISNUMBER(MATCH($G3539,Lists!$B$2:$B$7,0)),OR($H3539="",$N3539&gt;0),OR($I3539="",$I3539="NR",$O3539&gt;0),IF(ISNUMBER($J3539),AND($J3539&gt;=0,$J3539=INT($J3539)),FALSE())),$J3539,0)</f>
        <v>0</v>
      </c>
      <c r="Q3539" s="64" t="n">
        <f aca="false">IF(AND($P3539&gt;0,$O3539&gt;0),$P3539,0)</f>
        <v>0</v>
      </c>
      <c r="R3539" s="64" t="n">
        <f aca="false">IF(AND($Q3539&gt;0,$O3539&gt;=AtRank),$Q3539,0)</f>
        <v>0</v>
      </c>
      <c r="S3539" s="64" t="n">
        <f aca="false">IF(AND($Q3539&gt;0,$O3539&gt;=AboveRank),$Q3539,0)</f>
        <v>0</v>
      </c>
      <c r="T3539" s="64" t="n">
        <f aca="false">IF($K3539="Less",$P3539,0)</f>
        <v>0</v>
      </c>
      <c r="U3539" s="64" t="n">
        <f aca="false">IF($K3539="Expected",$P3539,0)</f>
        <v>0</v>
      </c>
      <c r="V3539" s="64" t="n">
        <f aca="false">IF($K3539="Better",$P3539,0)</f>
        <v>0</v>
      </c>
      <c r="W3539" s="64" t="n">
        <f aca="false">IF($K3539="U – needs rule",$P3539,0)</f>
        <v>0</v>
      </c>
      <c r="X3539" s="64" t="n">
        <f aca="false">IF($K3539="No Start (attainment only)",$P3539,0)</f>
        <v>0</v>
      </c>
    </row>
    <row r="3540" customFormat="false" ht="15" hidden="false" customHeight="false" outlineLevel="0" collapsed="false">
      <c r="A3540" s="60"/>
      <c r="B3540" s="61" t="str">
        <f aca="false">IF($M3540=0,"",INDEX(Classes!$E$6:$E$420,$M3540))</f>
        <v/>
      </c>
      <c r="C3540" s="62" t="str">
        <f aca="false">IF($M3540=0,"",INDEX(Classes!$H$6:$H$420,$M3540))</f>
        <v/>
      </c>
      <c r="D3540" s="61" t="str">
        <f aca="false">IF($M3540=0,"",INDEX(Classes!$B$6:$B$420,$M3540))</f>
        <v/>
      </c>
      <c r="E3540" s="61" t="str">
        <f aca="false">IF($M3540=0,"",INDEX(Classes!$C$6:$C$420,$M3540))</f>
        <v/>
      </c>
      <c r="F3540" s="63"/>
      <c r="G3540" s="63"/>
      <c r="H3540" s="60"/>
      <c r="I3540" s="60"/>
      <c r="J3540" s="63"/>
      <c r="K3540" s="61" t="str">
        <f aca="false">IF($P3540=0,"",IF($F3540="Baseline","— Baseline",IF($O3540=0,"No result",IF($N3540=0,"No Start (attainment only)",IF(OR($N3540=1,$O3540=1),"U – needs rule",INDEX(MxBody,MATCH($I3540,MxCurr,0),MATCH($H3540,MxStart,0)))))))</f>
        <v/>
      </c>
      <c r="L3540" s="62" t="str">
        <f aca="false">IF(COUNTA($A3540,$F3540,$G3540,$H3540,$I3540,$J3540)=0,"",IF($M3540=0,"✖ كود الصف غير موجود",IF(ISNA(MATCH($F3540,Lists!$A$2:$A$5,0)),"✖ الفترة غير صحيحة",IF(ISNA(MATCH($G3540,Lists!$B$2:$B$7,0)),"✖ المجموعة غير صحيحة",IF(NOT(OR($H3540="",$N3540&gt;0)),"✖ Start غير صحيح",IF(NOT(OR($I3540="",$I3540="NR",$O3540&gt;0)),"✖ Current غير صحيح",IF(NOT(IF(ISNUMBER($J3540),AND($J3540&gt;=0,$J3540=INT($J3540)),FALSE())),"✖ العدد يجب أن يكون صحيحًا ≥ 0",IF(AND($F3540="Baseline",$H3540&lt;&gt;""),"⚠ Baseline: Start لا يدخل في التقدم",IF($K3540="No Start (attainment only)","ℹ تحصيل فقط (بدون Start)",IF($K3540="U – needs rule","ℹ حالة U تحتاج قاعدة معتمدة",IF($K3540="No result","ℹ بدون نتيجة (يُستبعد من التحصيل)","OK")))))))))))</f>
        <v/>
      </c>
      <c r="M3540" s="64" t="n">
        <f aca="false">IF($A3540="",0,IFERROR(MATCH($A3540,Classes!$A$6:$A$420,0),0))</f>
        <v>0</v>
      </c>
      <c r="N3540" s="64" t="n">
        <f aca="false">IF($H3540="",0,IFERROR(MATCH($H3540,GradeList,0),0))</f>
        <v>0</v>
      </c>
      <c r="O3540" s="64" t="n">
        <f aca="false">IF(OR($I3540="",$I3540="NR"),0,IFERROR(MATCH($I3540,GradeList,0),0))</f>
        <v>0</v>
      </c>
      <c r="P3540" s="64" t="n">
        <f aca="false">IF(AND($M3540&gt;0,ISNUMBER(MATCH($F3540,Lists!$A$2:$A$5,0)),ISNUMBER(MATCH($G3540,Lists!$B$2:$B$7,0)),OR($H3540="",$N3540&gt;0),OR($I3540="",$I3540="NR",$O3540&gt;0),IF(ISNUMBER($J3540),AND($J3540&gt;=0,$J3540=INT($J3540)),FALSE())),$J3540,0)</f>
        <v>0</v>
      </c>
      <c r="Q3540" s="64" t="n">
        <f aca="false">IF(AND($P3540&gt;0,$O3540&gt;0),$P3540,0)</f>
        <v>0</v>
      </c>
      <c r="R3540" s="64" t="n">
        <f aca="false">IF(AND($Q3540&gt;0,$O3540&gt;=AtRank),$Q3540,0)</f>
        <v>0</v>
      </c>
      <c r="S3540" s="64" t="n">
        <f aca="false">IF(AND($Q3540&gt;0,$O3540&gt;=AboveRank),$Q3540,0)</f>
        <v>0</v>
      </c>
      <c r="T3540" s="64" t="n">
        <f aca="false">IF($K3540="Less",$P3540,0)</f>
        <v>0</v>
      </c>
      <c r="U3540" s="64" t="n">
        <f aca="false">IF($K3540="Expected",$P3540,0)</f>
        <v>0</v>
      </c>
      <c r="V3540" s="64" t="n">
        <f aca="false">IF($K3540="Better",$P3540,0)</f>
        <v>0</v>
      </c>
      <c r="W3540" s="64" t="n">
        <f aca="false">IF($K3540="U – needs rule",$P3540,0)</f>
        <v>0</v>
      </c>
      <c r="X3540" s="64" t="n">
        <f aca="false">IF($K3540="No Start (attainment only)",$P3540,0)</f>
        <v>0</v>
      </c>
    </row>
    <row r="3541" customFormat="false" ht="15" hidden="false" customHeight="false" outlineLevel="0" collapsed="false">
      <c r="A3541" s="60"/>
      <c r="B3541" s="61" t="str">
        <f aca="false">IF($M3541=0,"",INDEX(Classes!$E$6:$E$420,$M3541))</f>
        <v/>
      </c>
      <c r="C3541" s="62" t="str">
        <f aca="false">IF($M3541=0,"",INDEX(Classes!$H$6:$H$420,$M3541))</f>
        <v/>
      </c>
      <c r="D3541" s="61" t="str">
        <f aca="false">IF($M3541=0,"",INDEX(Classes!$B$6:$B$420,$M3541))</f>
        <v/>
      </c>
      <c r="E3541" s="61" t="str">
        <f aca="false">IF($M3541=0,"",INDEX(Classes!$C$6:$C$420,$M3541))</f>
        <v/>
      </c>
      <c r="F3541" s="63"/>
      <c r="G3541" s="63"/>
      <c r="H3541" s="60"/>
      <c r="I3541" s="60"/>
      <c r="J3541" s="63"/>
      <c r="K3541" s="61" t="str">
        <f aca="false">IF($P3541=0,"",IF($F3541="Baseline","— Baseline",IF($O3541=0,"No result",IF($N3541=0,"No Start (attainment only)",IF(OR($N3541=1,$O3541=1),"U – needs rule",INDEX(MxBody,MATCH($I3541,MxCurr,0),MATCH($H3541,MxStart,0)))))))</f>
        <v/>
      </c>
      <c r="L3541" s="62" t="str">
        <f aca="false">IF(COUNTA($A3541,$F3541,$G3541,$H3541,$I3541,$J3541)=0,"",IF($M3541=0,"✖ كود الصف غير موجود",IF(ISNA(MATCH($F3541,Lists!$A$2:$A$5,0)),"✖ الفترة غير صحيحة",IF(ISNA(MATCH($G3541,Lists!$B$2:$B$7,0)),"✖ المجموعة غير صحيحة",IF(NOT(OR($H3541="",$N3541&gt;0)),"✖ Start غير صحيح",IF(NOT(OR($I3541="",$I3541="NR",$O3541&gt;0)),"✖ Current غير صحيح",IF(NOT(IF(ISNUMBER($J3541),AND($J3541&gt;=0,$J3541=INT($J3541)),FALSE())),"✖ العدد يجب أن يكون صحيحًا ≥ 0",IF(AND($F3541="Baseline",$H3541&lt;&gt;""),"⚠ Baseline: Start لا يدخل في التقدم",IF($K3541="No Start (attainment only)","ℹ تحصيل فقط (بدون Start)",IF($K3541="U – needs rule","ℹ حالة U تحتاج قاعدة معتمدة",IF($K3541="No result","ℹ بدون نتيجة (يُستبعد من التحصيل)","OK")))))))))))</f>
        <v/>
      </c>
      <c r="M3541" s="64" t="n">
        <f aca="false">IF($A3541="",0,IFERROR(MATCH($A3541,Classes!$A$6:$A$420,0),0))</f>
        <v>0</v>
      </c>
      <c r="N3541" s="64" t="n">
        <f aca="false">IF($H3541="",0,IFERROR(MATCH($H3541,GradeList,0),0))</f>
        <v>0</v>
      </c>
      <c r="O3541" s="64" t="n">
        <f aca="false">IF(OR($I3541="",$I3541="NR"),0,IFERROR(MATCH($I3541,GradeList,0),0))</f>
        <v>0</v>
      </c>
      <c r="P3541" s="64" t="n">
        <f aca="false">IF(AND($M3541&gt;0,ISNUMBER(MATCH($F3541,Lists!$A$2:$A$5,0)),ISNUMBER(MATCH($G3541,Lists!$B$2:$B$7,0)),OR($H3541="",$N3541&gt;0),OR($I3541="",$I3541="NR",$O3541&gt;0),IF(ISNUMBER($J3541),AND($J3541&gt;=0,$J3541=INT($J3541)),FALSE())),$J3541,0)</f>
        <v>0</v>
      </c>
      <c r="Q3541" s="64" t="n">
        <f aca="false">IF(AND($P3541&gt;0,$O3541&gt;0),$P3541,0)</f>
        <v>0</v>
      </c>
      <c r="R3541" s="64" t="n">
        <f aca="false">IF(AND($Q3541&gt;0,$O3541&gt;=AtRank),$Q3541,0)</f>
        <v>0</v>
      </c>
      <c r="S3541" s="64" t="n">
        <f aca="false">IF(AND($Q3541&gt;0,$O3541&gt;=AboveRank),$Q3541,0)</f>
        <v>0</v>
      </c>
      <c r="T3541" s="64" t="n">
        <f aca="false">IF($K3541="Less",$P3541,0)</f>
        <v>0</v>
      </c>
      <c r="U3541" s="64" t="n">
        <f aca="false">IF($K3541="Expected",$P3541,0)</f>
        <v>0</v>
      </c>
      <c r="V3541" s="64" t="n">
        <f aca="false">IF($K3541="Better",$P3541,0)</f>
        <v>0</v>
      </c>
      <c r="W3541" s="64" t="n">
        <f aca="false">IF($K3541="U – needs rule",$P3541,0)</f>
        <v>0</v>
      </c>
      <c r="X3541" s="64" t="n">
        <f aca="false">IF($K3541="No Start (attainment only)",$P3541,0)</f>
        <v>0</v>
      </c>
    </row>
    <row r="3542" customFormat="false" ht="15" hidden="false" customHeight="false" outlineLevel="0" collapsed="false">
      <c r="A3542" s="60"/>
      <c r="B3542" s="61" t="str">
        <f aca="false">IF($M3542=0,"",INDEX(Classes!$E$6:$E$420,$M3542))</f>
        <v/>
      </c>
      <c r="C3542" s="62" t="str">
        <f aca="false">IF($M3542=0,"",INDEX(Classes!$H$6:$H$420,$M3542))</f>
        <v/>
      </c>
      <c r="D3542" s="61" t="str">
        <f aca="false">IF($M3542=0,"",INDEX(Classes!$B$6:$B$420,$M3542))</f>
        <v/>
      </c>
      <c r="E3542" s="61" t="str">
        <f aca="false">IF($M3542=0,"",INDEX(Classes!$C$6:$C$420,$M3542))</f>
        <v/>
      </c>
      <c r="F3542" s="63"/>
      <c r="G3542" s="63"/>
      <c r="H3542" s="60"/>
      <c r="I3542" s="60"/>
      <c r="J3542" s="63"/>
      <c r="K3542" s="61" t="str">
        <f aca="false">IF($P3542=0,"",IF($F3542="Baseline","— Baseline",IF($O3542=0,"No result",IF($N3542=0,"No Start (attainment only)",IF(OR($N3542=1,$O3542=1),"U – needs rule",INDEX(MxBody,MATCH($I3542,MxCurr,0),MATCH($H3542,MxStart,0)))))))</f>
        <v/>
      </c>
      <c r="L3542" s="62" t="str">
        <f aca="false">IF(COUNTA($A3542,$F3542,$G3542,$H3542,$I3542,$J3542)=0,"",IF($M3542=0,"✖ كود الصف غير موجود",IF(ISNA(MATCH($F3542,Lists!$A$2:$A$5,0)),"✖ الفترة غير صحيحة",IF(ISNA(MATCH($G3542,Lists!$B$2:$B$7,0)),"✖ المجموعة غير صحيحة",IF(NOT(OR($H3542="",$N3542&gt;0)),"✖ Start غير صحيح",IF(NOT(OR($I3542="",$I3542="NR",$O3542&gt;0)),"✖ Current غير صحيح",IF(NOT(IF(ISNUMBER($J3542),AND($J3542&gt;=0,$J3542=INT($J3542)),FALSE())),"✖ العدد يجب أن يكون صحيحًا ≥ 0",IF(AND($F3542="Baseline",$H3542&lt;&gt;""),"⚠ Baseline: Start لا يدخل في التقدم",IF($K3542="No Start (attainment only)","ℹ تحصيل فقط (بدون Start)",IF($K3542="U – needs rule","ℹ حالة U تحتاج قاعدة معتمدة",IF($K3542="No result","ℹ بدون نتيجة (يُستبعد من التحصيل)","OK")))))))))))</f>
        <v/>
      </c>
      <c r="M3542" s="64" t="n">
        <f aca="false">IF($A3542="",0,IFERROR(MATCH($A3542,Classes!$A$6:$A$420,0),0))</f>
        <v>0</v>
      </c>
      <c r="N3542" s="64" t="n">
        <f aca="false">IF($H3542="",0,IFERROR(MATCH($H3542,GradeList,0),0))</f>
        <v>0</v>
      </c>
      <c r="O3542" s="64" t="n">
        <f aca="false">IF(OR($I3542="",$I3542="NR"),0,IFERROR(MATCH($I3542,GradeList,0),0))</f>
        <v>0</v>
      </c>
      <c r="P3542" s="64" t="n">
        <f aca="false">IF(AND($M3542&gt;0,ISNUMBER(MATCH($F3542,Lists!$A$2:$A$5,0)),ISNUMBER(MATCH($G3542,Lists!$B$2:$B$7,0)),OR($H3542="",$N3542&gt;0),OR($I3542="",$I3542="NR",$O3542&gt;0),IF(ISNUMBER($J3542),AND($J3542&gt;=0,$J3542=INT($J3542)),FALSE())),$J3542,0)</f>
        <v>0</v>
      </c>
      <c r="Q3542" s="64" t="n">
        <f aca="false">IF(AND($P3542&gt;0,$O3542&gt;0),$P3542,0)</f>
        <v>0</v>
      </c>
      <c r="R3542" s="64" t="n">
        <f aca="false">IF(AND($Q3542&gt;0,$O3542&gt;=AtRank),$Q3542,0)</f>
        <v>0</v>
      </c>
      <c r="S3542" s="64" t="n">
        <f aca="false">IF(AND($Q3542&gt;0,$O3542&gt;=AboveRank),$Q3542,0)</f>
        <v>0</v>
      </c>
      <c r="T3542" s="64" t="n">
        <f aca="false">IF($K3542="Less",$P3542,0)</f>
        <v>0</v>
      </c>
      <c r="U3542" s="64" t="n">
        <f aca="false">IF($K3542="Expected",$P3542,0)</f>
        <v>0</v>
      </c>
      <c r="V3542" s="64" t="n">
        <f aca="false">IF($K3542="Better",$P3542,0)</f>
        <v>0</v>
      </c>
      <c r="W3542" s="64" t="n">
        <f aca="false">IF($K3542="U – needs rule",$P3542,0)</f>
        <v>0</v>
      </c>
      <c r="X3542" s="64" t="n">
        <f aca="false">IF($K3542="No Start (attainment only)",$P3542,0)</f>
        <v>0</v>
      </c>
    </row>
    <row r="3543" customFormat="false" ht="15" hidden="false" customHeight="false" outlineLevel="0" collapsed="false">
      <c r="A3543" s="60"/>
      <c r="B3543" s="61" t="str">
        <f aca="false">IF($M3543=0,"",INDEX(Classes!$E$6:$E$420,$M3543))</f>
        <v/>
      </c>
      <c r="C3543" s="62" t="str">
        <f aca="false">IF($M3543=0,"",INDEX(Classes!$H$6:$H$420,$M3543))</f>
        <v/>
      </c>
      <c r="D3543" s="61" t="str">
        <f aca="false">IF($M3543=0,"",INDEX(Classes!$B$6:$B$420,$M3543))</f>
        <v/>
      </c>
      <c r="E3543" s="61" t="str">
        <f aca="false">IF($M3543=0,"",INDEX(Classes!$C$6:$C$420,$M3543))</f>
        <v/>
      </c>
      <c r="F3543" s="63"/>
      <c r="G3543" s="63"/>
      <c r="H3543" s="60"/>
      <c r="I3543" s="60"/>
      <c r="J3543" s="63"/>
      <c r="K3543" s="61" t="str">
        <f aca="false">IF($P3543=0,"",IF($F3543="Baseline","— Baseline",IF($O3543=0,"No result",IF($N3543=0,"No Start (attainment only)",IF(OR($N3543=1,$O3543=1),"U – needs rule",INDEX(MxBody,MATCH($I3543,MxCurr,0),MATCH($H3543,MxStart,0)))))))</f>
        <v/>
      </c>
      <c r="L3543" s="62" t="str">
        <f aca="false">IF(COUNTA($A3543,$F3543,$G3543,$H3543,$I3543,$J3543)=0,"",IF($M3543=0,"✖ كود الصف غير موجود",IF(ISNA(MATCH($F3543,Lists!$A$2:$A$5,0)),"✖ الفترة غير صحيحة",IF(ISNA(MATCH($G3543,Lists!$B$2:$B$7,0)),"✖ المجموعة غير صحيحة",IF(NOT(OR($H3543="",$N3543&gt;0)),"✖ Start غير صحيح",IF(NOT(OR($I3543="",$I3543="NR",$O3543&gt;0)),"✖ Current غير صحيح",IF(NOT(IF(ISNUMBER($J3543),AND($J3543&gt;=0,$J3543=INT($J3543)),FALSE())),"✖ العدد يجب أن يكون صحيحًا ≥ 0",IF(AND($F3543="Baseline",$H3543&lt;&gt;""),"⚠ Baseline: Start لا يدخل في التقدم",IF($K3543="No Start (attainment only)","ℹ تحصيل فقط (بدون Start)",IF($K3543="U – needs rule","ℹ حالة U تحتاج قاعدة معتمدة",IF($K3543="No result","ℹ بدون نتيجة (يُستبعد من التحصيل)","OK")))))))))))</f>
        <v/>
      </c>
      <c r="M3543" s="64" t="n">
        <f aca="false">IF($A3543="",0,IFERROR(MATCH($A3543,Classes!$A$6:$A$420,0),0))</f>
        <v>0</v>
      </c>
      <c r="N3543" s="64" t="n">
        <f aca="false">IF($H3543="",0,IFERROR(MATCH($H3543,GradeList,0),0))</f>
        <v>0</v>
      </c>
      <c r="O3543" s="64" t="n">
        <f aca="false">IF(OR($I3543="",$I3543="NR"),0,IFERROR(MATCH($I3543,GradeList,0),0))</f>
        <v>0</v>
      </c>
      <c r="P3543" s="64" t="n">
        <f aca="false">IF(AND($M3543&gt;0,ISNUMBER(MATCH($F3543,Lists!$A$2:$A$5,0)),ISNUMBER(MATCH($G3543,Lists!$B$2:$B$7,0)),OR($H3543="",$N3543&gt;0),OR($I3543="",$I3543="NR",$O3543&gt;0),IF(ISNUMBER($J3543),AND($J3543&gt;=0,$J3543=INT($J3543)),FALSE())),$J3543,0)</f>
        <v>0</v>
      </c>
      <c r="Q3543" s="64" t="n">
        <f aca="false">IF(AND($P3543&gt;0,$O3543&gt;0),$P3543,0)</f>
        <v>0</v>
      </c>
      <c r="R3543" s="64" t="n">
        <f aca="false">IF(AND($Q3543&gt;0,$O3543&gt;=AtRank),$Q3543,0)</f>
        <v>0</v>
      </c>
      <c r="S3543" s="64" t="n">
        <f aca="false">IF(AND($Q3543&gt;0,$O3543&gt;=AboveRank),$Q3543,0)</f>
        <v>0</v>
      </c>
      <c r="T3543" s="64" t="n">
        <f aca="false">IF($K3543="Less",$P3543,0)</f>
        <v>0</v>
      </c>
      <c r="U3543" s="64" t="n">
        <f aca="false">IF($K3543="Expected",$P3543,0)</f>
        <v>0</v>
      </c>
      <c r="V3543" s="64" t="n">
        <f aca="false">IF($K3543="Better",$P3543,0)</f>
        <v>0</v>
      </c>
      <c r="W3543" s="64" t="n">
        <f aca="false">IF($K3543="U – needs rule",$P3543,0)</f>
        <v>0</v>
      </c>
      <c r="X3543" s="64" t="n">
        <f aca="false">IF($K3543="No Start (attainment only)",$P3543,0)</f>
        <v>0</v>
      </c>
    </row>
    <row r="3544" customFormat="false" ht="15" hidden="false" customHeight="false" outlineLevel="0" collapsed="false">
      <c r="A3544" s="60"/>
      <c r="B3544" s="61" t="str">
        <f aca="false">IF($M3544=0,"",INDEX(Classes!$E$6:$E$420,$M3544))</f>
        <v/>
      </c>
      <c r="C3544" s="62" t="str">
        <f aca="false">IF($M3544=0,"",INDEX(Classes!$H$6:$H$420,$M3544))</f>
        <v/>
      </c>
      <c r="D3544" s="61" t="str">
        <f aca="false">IF($M3544=0,"",INDEX(Classes!$B$6:$B$420,$M3544))</f>
        <v/>
      </c>
      <c r="E3544" s="61" t="str">
        <f aca="false">IF($M3544=0,"",INDEX(Classes!$C$6:$C$420,$M3544))</f>
        <v/>
      </c>
      <c r="F3544" s="63"/>
      <c r="G3544" s="63"/>
      <c r="H3544" s="60"/>
      <c r="I3544" s="60"/>
      <c r="J3544" s="63"/>
      <c r="K3544" s="61" t="str">
        <f aca="false">IF($P3544=0,"",IF($F3544="Baseline","— Baseline",IF($O3544=0,"No result",IF($N3544=0,"No Start (attainment only)",IF(OR($N3544=1,$O3544=1),"U – needs rule",INDEX(MxBody,MATCH($I3544,MxCurr,0),MATCH($H3544,MxStart,0)))))))</f>
        <v/>
      </c>
      <c r="L3544" s="62" t="str">
        <f aca="false">IF(COUNTA($A3544,$F3544,$G3544,$H3544,$I3544,$J3544)=0,"",IF($M3544=0,"✖ كود الصف غير موجود",IF(ISNA(MATCH($F3544,Lists!$A$2:$A$5,0)),"✖ الفترة غير صحيحة",IF(ISNA(MATCH($G3544,Lists!$B$2:$B$7,0)),"✖ المجموعة غير صحيحة",IF(NOT(OR($H3544="",$N3544&gt;0)),"✖ Start غير صحيح",IF(NOT(OR($I3544="",$I3544="NR",$O3544&gt;0)),"✖ Current غير صحيح",IF(NOT(IF(ISNUMBER($J3544),AND($J3544&gt;=0,$J3544=INT($J3544)),FALSE())),"✖ العدد يجب أن يكون صحيحًا ≥ 0",IF(AND($F3544="Baseline",$H3544&lt;&gt;""),"⚠ Baseline: Start لا يدخل في التقدم",IF($K3544="No Start (attainment only)","ℹ تحصيل فقط (بدون Start)",IF($K3544="U – needs rule","ℹ حالة U تحتاج قاعدة معتمدة",IF($K3544="No result","ℹ بدون نتيجة (يُستبعد من التحصيل)","OK")))))))))))</f>
        <v/>
      </c>
      <c r="M3544" s="64" t="n">
        <f aca="false">IF($A3544="",0,IFERROR(MATCH($A3544,Classes!$A$6:$A$420,0),0))</f>
        <v>0</v>
      </c>
      <c r="N3544" s="64" t="n">
        <f aca="false">IF($H3544="",0,IFERROR(MATCH($H3544,GradeList,0),0))</f>
        <v>0</v>
      </c>
      <c r="O3544" s="64" t="n">
        <f aca="false">IF(OR($I3544="",$I3544="NR"),0,IFERROR(MATCH($I3544,GradeList,0),0))</f>
        <v>0</v>
      </c>
      <c r="P3544" s="64" t="n">
        <f aca="false">IF(AND($M3544&gt;0,ISNUMBER(MATCH($F3544,Lists!$A$2:$A$5,0)),ISNUMBER(MATCH($G3544,Lists!$B$2:$B$7,0)),OR($H3544="",$N3544&gt;0),OR($I3544="",$I3544="NR",$O3544&gt;0),IF(ISNUMBER($J3544),AND($J3544&gt;=0,$J3544=INT($J3544)),FALSE())),$J3544,0)</f>
        <v>0</v>
      </c>
      <c r="Q3544" s="64" t="n">
        <f aca="false">IF(AND($P3544&gt;0,$O3544&gt;0),$P3544,0)</f>
        <v>0</v>
      </c>
      <c r="R3544" s="64" t="n">
        <f aca="false">IF(AND($Q3544&gt;0,$O3544&gt;=AtRank),$Q3544,0)</f>
        <v>0</v>
      </c>
      <c r="S3544" s="64" t="n">
        <f aca="false">IF(AND($Q3544&gt;0,$O3544&gt;=AboveRank),$Q3544,0)</f>
        <v>0</v>
      </c>
      <c r="T3544" s="64" t="n">
        <f aca="false">IF($K3544="Less",$P3544,0)</f>
        <v>0</v>
      </c>
      <c r="U3544" s="64" t="n">
        <f aca="false">IF($K3544="Expected",$P3544,0)</f>
        <v>0</v>
      </c>
      <c r="V3544" s="64" t="n">
        <f aca="false">IF($K3544="Better",$P3544,0)</f>
        <v>0</v>
      </c>
      <c r="W3544" s="64" t="n">
        <f aca="false">IF($K3544="U – needs rule",$P3544,0)</f>
        <v>0</v>
      </c>
      <c r="X3544" s="64" t="n">
        <f aca="false">IF($K3544="No Start (attainment only)",$P3544,0)</f>
        <v>0</v>
      </c>
    </row>
    <row r="3545" customFormat="false" ht="15" hidden="false" customHeight="false" outlineLevel="0" collapsed="false">
      <c r="A3545" s="60"/>
      <c r="B3545" s="61" t="str">
        <f aca="false">IF($M3545=0,"",INDEX(Classes!$E$6:$E$420,$M3545))</f>
        <v/>
      </c>
      <c r="C3545" s="62" t="str">
        <f aca="false">IF($M3545=0,"",INDEX(Classes!$H$6:$H$420,$M3545))</f>
        <v/>
      </c>
      <c r="D3545" s="61" t="str">
        <f aca="false">IF($M3545=0,"",INDEX(Classes!$B$6:$B$420,$M3545))</f>
        <v/>
      </c>
      <c r="E3545" s="61" t="str">
        <f aca="false">IF($M3545=0,"",INDEX(Classes!$C$6:$C$420,$M3545))</f>
        <v/>
      </c>
      <c r="F3545" s="63"/>
      <c r="G3545" s="63"/>
      <c r="H3545" s="60"/>
      <c r="I3545" s="60"/>
      <c r="J3545" s="63"/>
      <c r="K3545" s="61" t="str">
        <f aca="false">IF($P3545=0,"",IF($F3545="Baseline","— Baseline",IF($O3545=0,"No result",IF($N3545=0,"No Start (attainment only)",IF(OR($N3545=1,$O3545=1),"U – needs rule",INDEX(MxBody,MATCH($I3545,MxCurr,0),MATCH($H3545,MxStart,0)))))))</f>
        <v/>
      </c>
      <c r="L3545" s="62" t="str">
        <f aca="false">IF(COUNTA($A3545,$F3545,$G3545,$H3545,$I3545,$J3545)=0,"",IF($M3545=0,"✖ كود الصف غير موجود",IF(ISNA(MATCH($F3545,Lists!$A$2:$A$5,0)),"✖ الفترة غير صحيحة",IF(ISNA(MATCH($G3545,Lists!$B$2:$B$7,0)),"✖ المجموعة غير صحيحة",IF(NOT(OR($H3545="",$N3545&gt;0)),"✖ Start غير صحيح",IF(NOT(OR($I3545="",$I3545="NR",$O3545&gt;0)),"✖ Current غير صحيح",IF(NOT(IF(ISNUMBER($J3545),AND($J3545&gt;=0,$J3545=INT($J3545)),FALSE())),"✖ العدد يجب أن يكون صحيحًا ≥ 0",IF(AND($F3545="Baseline",$H3545&lt;&gt;""),"⚠ Baseline: Start لا يدخل في التقدم",IF($K3545="No Start (attainment only)","ℹ تحصيل فقط (بدون Start)",IF($K3545="U – needs rule","ℹ حالة U تحتاج قاعدة معتمدة",IF($K3545="No result","ℹ بدون نتيجة (يُستبعد من التحصيل)","OK")))))))))))</f>
        <v/>
      </c>
      <c r="M3545" s="64" t="n">
        <f aca="false">IF($A3545="",0,IFERROR(MATCH($A3545,Classes!$A$6:$A$420,0),0))</f>
        <v>0</v>
      </c>
      <c r="N3545" s="64" t="n">
        <f aca="false">IF($H3545="",0,IFERROR(MATCH($H3545,GradeList,0),0))</f>
        <v>0</v>
      </c>
      <c r="O3545" s="64" t="n">
        <f aca="false">IF(OR($I3545="",$I3545="NR"),0,IFERROR(MATCH($I3545,GradeList,0),0))</f>
        <v>0</v>
      </c>
      <c r="P3545" s="64" t="n">
        <f aca="false">IF(AND($M3545&gt;0,ISNUMBER(MATCH($F3545,Lists!$A$2:$A$5,0)),ISNUMBER(MATCH($G3545,Lists!$B$2:$B$7,0)),OR($H3545="",$N3545&gt;0),OR($I3545="",$I3545="NR",$O3545&gt;0),IF(ISNUMBER($J3545),AND($J3545&gt;=0,$J3545=INT($J3545)),FALSE())),$J3545,0)</f>
        <v>0</v>
      </c>
      <c r="Q3545" s="64" t="n">
        <f aca="false">IF(AND($P3545&gt;0,$O3545&gt;0),$P3545,0)</f>
        <v>0</v>
      </c>
      <c r="R3545" s="64" t="n">
        <f aca="false">IF(AND($Q3545&gt;0,$O3545&gt;=AtRank),$Q3545,0)</f>
        <v>0</v>
      </c>
      <c r="S3545" s="64" t="n">
        <f aca="false">IF(AND($Q3545&gt;0,$O3545&gt;=AboveRank),$Q3545,0)</f>
        <v>0</v>
      </c>
      <c r="T3545" s="64" t="n">
        <f aca="false">IF($K3545="Less",$P3545,0)</f>
        <v>0</v>
      </c>
      <c r="U3545" s="64" t="n">
        <f aca="false">IF($K3545="Expected",$P3545,0)</f>
        <v>0</v>
      </c>
      <c r="V3545" s="64" t="n">
        <f aca="false">IF($K3545="Better",$P3545,0)</f>
        <v>0</v>
      </c>
      <c r="W3545" s="64" t="n">
        <f aca="false">IF($K3545="U – needs rule",$P3545,0)</f>
        <v>0</v>
      </c>
      <c r="X3545" s="64" t="n">
        <f aca="false">IF($K3545="No Start (attainment only)",$P3545,0)</f>
        <v>0</v>
      </c>
    </row>
    <row r="3546" customFormat="false" ht="15" hidden="false" customHeight="false" outlineLevel="0" collapsed="false">
      <c r="A3546" s="60"/>
      <c r="B3546" s="61" t="str">
        <f aca="false">IF($M3546=0,"",INDEX(Classes!$E$6:$E$420,$M3546))</f>
        <v/>
      </c>
      <c r="C3546" s="62" t="str">
        <f aca="false">IF($M3546=0,"",INDEX(Classes!$H$6:$H$420,$M3546))</f>
        <v/>
      </c>
      <c r="D3546" s="61" t="str">
        <f aca="false">IF($M3546=0,"",INDEX(Classes!$B$6:$B$420,$M3546))</f>
        <v/>
      </c>
      <c r="E3546" s="61" t="str">
        <f aca="false">IF($M3546=0,"",INDEX(Classes!$C$6:$C$420,$M3546))</f>
        <v/>
      </c>
      <c r="F3546" s="63"/>
      <c r="G3546" s="63"/>
      <c r="H3546" s="60"/>
      <c r="I3546" s="60"/>
      <c r="J3546" s="63"/>
      <c r="K3546" s="61" t="str">
        <f aca="false">IF($P3546=0,"",IF($F3546="Baseline","— Baseline",IF($O3546=0,"No result",IF($N3546=0,"No Start (attainment only)",IF(OR($N3546=1,$O3546=1),"U – needs rule",INDEX(MxBody,MATCH($I3546,MxCurr,0),MATCH($H3546,MxStart,0)))))))</f>
        <v/>
      </c>
      <c r="L3546" s="62" t="str">
        <f aca="false">IF(COUNTA($A3546,$F3546,$G3546,$H3546,$I3546,$J3546)=0,"",IF($M3546=0,"✖ كود الصف غير موجود",IF(ISNA(MATCH($F3546,Lists!$A$2:$A$5,0)),"✖ الفترة غير صحيحة",IF(ISNA(MATCH($G3546,Lists!$B$2:$B$7,0)),"✖ المجموعة غير صحيحة",IF(NOT(OR($H3546="",$N3546&gt;0)),"✖ Start غير صحيح",IF(NOT(OR($I3546="",$I3546="NR",$O3546&gt;0)),"✖ Current غير صحيح",IF(NOT(IF(ISNUMBER($J3546),AND($J3546&gt;=0,$J3546=INT($J3546)),FALSE())),"✖ العدد يجب أن يكون صحيحًا ≥ 0",IF(AND($F3546="Baseline",$H3546&lt;&gt;""),"⚠ Baseline: Start لا يدخل في التقدم",IF($K3546="No Start (attainment only)","ℹ تحصيل فقط (بدون Start)",IF($K3546="U – needs rule","ℹ حالة U تحتاج قاعدة معتمدة",IF($K3546="No result","ℹ بدون نتيجة (يُستبعد من التحصيل)","OK")))))))))))</f>
        <v/>
      </c>
      <c r="M3546" s="64" t="n">
        <f aca="false">IF($A3546="",0,IFERROR(MATCH($A3546,Classes!$A$6:$A$420,0),0))</f>
        <v>0</v>
      </c>
      <c r="N3546" s="64" t="n">
        <f aca="false">IF($H3546="",0,IFERROR(MATCH($H3546,GradeList,0),0))</f>
        <v>0</v>
      </c>
      <c r="O3546" s="64" t="n">
        <f aca="false">IF(OR($I3546="",$I3546="NR"),0,IFERROR(MATCH($I3546,GradeList,0),0))</f>
        <v>0</v>
      </c>
      <c r="P3546" s="64" t="n">
        <f aca="false">IF(AND($M3546&gt;0,ISNUMBER(MATCH($F3546,Lists!$A$2:$A$5,0)),ISNUMBER(MATCH($G3546,Lists!$B$2:$B$7,0)),OR($H3546="",$N3546&gt;0),OR($I3546="",$I3546="NR",$O3546&gt;0),IF(ISNUMBER($J3546),AND($J3546&gt;=0,$J3546=INT($J3546)),FALSE())),$J3546,0)</f>
        <v>0</v>
      </c>
      <c r="Q3546" s="64" t="n">
        <f aca="false">IF(AND($P3546&gt;0,$O3546&gt;0),$P3546,0)</f>
        <v>0</v>
      </c>
      <c r="R3546" s="64" t="n">
        <f aca="false">IF(AND($Q3546&gt;0,$O3546&gt;=AtRank),$Q3546,0)</f>
        <v>0</v>
      </c>
      <c r="S3546" s="64" t="n">
        <f aca="false">IF(AND($Q3546&gt;0,$O3546&gt;=AboveRank),$Q3546,0)</f>
        <v>0</v>
      </c>
      <c r="T3546" s="64" t="n">
        <f aca="false">IF($K3546="Less",$P3546,0)</f>
        <v>0</v>
      </c>
      <c r="U3546" s="64" t="n">
        <f aca="false">IF($K3546="Expected",$P3546,0)</f>
        <v>0</v>
      </c>
      <c r="V3546" s="64" t="n">
        <f aca="false">IF($K3546="Better",$P3546,0)</f>
        <v>0</v>
      </c>
      <c r="W3546" s="64" t="n">
        <f aca="false">IF($K3546="U – needs rule",$P3546,0)</f>
        <v>0</v>
      </c>
      <c r="X3546" s="64" t="n">
        <f aca="false">IF($K3546="No Start (attainment only)",$P3546,0)</f>
        <v>0</v>
      </c>
    </row>
    <row r="3547" customFormat="false" ht="15" hidden="false" customHeight="false" outlineLevel="0" collapsed="false">
      <c r="A3547" s="60"/>
      <c r="B3547" s="61" t="str">
        <f aca="false">IF($M3547=0,"",INDEX(Classes!$E$6:$E$420,$M3547))</f>
        <v/>
      </c>
      <c r="C3547" s="62" t="str">
        <f aca="false">IF($M3547=0,"",INDEX(Classes!$H$6:$H$420,$M3547))</f>
        <v/>
      </c>
      <c r="D3547" s="61" t="str">
        <f aca="false">IF($M3547=0,"",INDEX(Classes!$B$6:$B$420,$M3547))</f>
        <v/>
      </c>
      <c r="E3547" s="61" t="str">
        <f aca="false">IF($M3547=0,"",INDEX(Classes!$C$6:$C$420,$M3547))</f>
        <v/>
      </c>
      <c r="F3547" s="63"/>
      <c r="G3547" s="63"/>
      <c r="H3547" s="60"/>
      <c r="I3547" s="60"/>
      <c r="J3547" s="63"/>
      <c r="K3547" s="61" t="str">
        <f aca="false">IF($P3547=0,"",IF($F3547="Baseline","— Baseline",IF($O3547=0,"No result",IF($N3547=0,"No Start (attainment only)",IF(OR($N3547=1,$O3547=1),"U – needs rule",INDEX(MxBody,MATCH($I3547,MxCurr,0),MATCH($H3547,MxStart,0)))))))</f>
        <v/>
      </c>
      <c r="L3547" s="62" t="str">
        <f aca="false">IF(COUNTA($A3547,$F3547,$G3547,$H3547,$I3547,$J3547)=0,"",IF($M3547=0,"✖ كود الصف غير موجود",IF(ISNA(MATCH($F3547,Lists!$A$2:$A$5,0)),"✖ الفترة غير صحيحة",IF(ISNA(MATCH($G3547,Lists!$B$2:$B$7,0)),"✖ المجموعة غير صحيحة",IF(NOT(OR($H3547="",$N3547&gt;0)),"✖ Start غير صحيح",IF(NOT(OR($I3547="",$I3547="NR",$O3547&gt;0)),"✖ Current غير صحيح",IF(NOT(IF(ISNUMBER($J3547),AND($J3547&gt;=0,$J3547=INT($J3547)),FALSE())),"✖ العدد يجب أن يكون صحيحًا ≥ 0",IF(AND($F3547="Baseline",$H3547&lt;&gt;""),"⚠ Baseline: Start لا يدخل في التقدم",IF($K3547="No Start (attainment only)","ℹ تحصيل فقط (بدون Start)",IF($K3547="U – needs rule","ℹ حالة U تحتاج قاعدة معتمدة",IF($K3547="No result","ℹ بدون نتيجة (يُستبعد من التحصيل)","OK")))))))))))</f>
        <v/>
      </c>
      <c r="M3547" s="64" t="n">
        <f aca="false">IF($A3547="",0,IFERROR(MATCH($A3547,Classes!$A$6:$A$420,0),0))</f>
        <v>0</v>
      </c>
      <c r="N3547" s="64" t="n">
        <f aca="false">IF($H3547="",0,IFERROR(MATCH($H3547,GradeList,0),0))</f>
        <v>0</v>
      </c>
      <c r="O3547" s="64" t="n">
        <f aca="false">IF(OR($I3547="",$I3547="NR"),0,IFERROR(MATCH($I3547,GradeList,0),0))</f>
        <v>0</v>
      </c>
      <c r="P3547" s="64" t="n">
        <f aca="false">IF(AND($M3547&gt;0,ISNUMBER(MATCH($F3547,Lists!$A$2:$A$5,0)),ISNUMBER(MATCH($G3547,Lists!$B$2:$B$7,0)),OR($H3547="",$N3547&gt;0),OR($I3547="",$I3547="NR",$O3547&gt;0),IF(ISNUMBER($J3547),AND($J3547&gt;=0,$J3547=INT($J3547)),FALSE())),$J3547,0)</f>
        <v>0</v>
      </c>
      <c r="Q3547" s="64" t="n">
        <f aca="false">IF(AND($P3547&gt;0,$O3547&gt;0),$P3547,0)</f>
        <v>0</v>
      </c>
      <c r="R3547" s="64" t="n">
        <f aca="false">IF(AND($Q3547&gt;0,$O3547&gt;=AtRank),$Q3547,0)</f>
        <v>0</v>
      </c>
      <c r="S3547" s="64" t="n">
        <f aca="false">IF(AND($Q3547&gt;0,$O3547&gt;=AboveRank),$Q3547,0)</f>
        <v>0</v>
      </c>
      <c r="T3547" s="64" t="n">
        <f aca="false">IF($K3547="Less",$P3547,0)</f>
        <v>0</v>
      </c>
      <c r="U3547" s="64" t="n">
        <f aca="false">IF($K3547="Expected",$P3547,0)</f>
        <v>0</v>
      </c>
      <c r="V3547" s="64" t="n">
        <f aca="false">IF($K3547="Better",$P3547,0)</f>
        <v>0</v>
      </c>
      <c r="W3547" s="64" t="n">
        <f aca="false">IF($K3547="U – needs rule",$P3547,0)</f>
        <v>0</v>
      </c>
      <c r="X3547" s="64" t="n">
        <f aca="false">IF($K3547="No Start (attainment only)",$P3547,0)</f>
        <v>0</v>
      </c>
    </row>
    <row r="3548" customFormat="false" ht="15" hidden="false" customHeight="false" outlineLevel="0" collapsed="false">
      <c r="A3548" s="60"/>
      <c r="B3548" s="61" t="str">
        <f aca="false">IF($M3548=0,"",INDEX(Classes!$E$6:$E$420,$M3548))</f>
        <v/>
      </c>
      <c r="C3548" s="62" t="str">
        <f aca="false">IF($M3548=0,"",INDEX(Classes!$H$6:$H$420,$M3548))</f>
        <v/>
      </c>
      <c r="D3548" s="61" t="str">
        <f aca="false">IF($M3548=0,"",INDEX(Classes!$B$6:$B$420,$M3548))</f>
        <v/>
      </c>
      <c r="E3548" s="61" t="str">
        <f aca="false">IF($M3548=0,"",INDEX(Classes!$C$6:$C$420,$M3548))</f>
        <v/>
      </c>
      <c r="F3548" s="63"/>
      <c r="G3548" s="63"/>
      <c r="H3548" s="60"/>
      <c r="I3548" s="60"/>
      <c r="J3548" s="63"/>
      <c r="K3548" s="61" t="str">
        <f aca="false">IF($P3548=0,"",IF($F3548="Baseline","— Baseline",IF($O3548=0,"No result",IF($N3548=0,"No Start (attainment only)",IF(OR($N3548=1,$O3548=1),"U – needs rule",INDEX(MxBody,MATCH($I3548,MxCurr,0),MATCH($H3548,MxStart,0)))))))</f>
        <v/>
      </c>
      <c r="L3548" s="62" t="str">
        <f aca="false">IF(COUNTA($A3548,$F3548,$G3548,$H3548,$I3548,$J3548)=0,"",IF($M3548=0,"✖ كود الصف غير موجود",IF(ISNA(MATCH($F3548,Lists!$A$2:$A$5,0)),"✖ الفترة غير صحيحة",IF(ISNA(MATCH($G3548,Lists!$B$2:$B$7,0)),"✖ المجموعة غير صحيحة",IF(NOT(OR($H3548="",$N3548&gt;0)),"✖ Start غير صحيح",IF(NOT(OR($I3548="",$I3548="NR",$O3548&gt;0)),"✖ Current غير صحيح",IF(NOT(IF(ISNUMBER($J3548),AND($J3548&gt;=0,$J3548=INT($J3548)),FALSE())),"✖ العدد يجب أن يكون صحيحًا ≥ 0",IF(AND($F3548="Baseline",$H3548&lt;&gt;""),"⚠ Baseline: Start لا يدخل في التقدم",IF($K3548="No Start (attainment only)","ℹ تحصيل فقط (بدون Start)",IF($K3548="U – needs rule","ℹ حالة U تحتاج قاعدة معتمدة",IF($K3548="No result","ℹ بدون نتيجة (يُستبعد من التحصيل)","OK")))))))))))</f>
        <v/>
      </c>
      <c r="M3548" s="64" t="n">
        <f aca="false">IF($A3548="",0,IFERROR(MATCH($A3548,Classes!$A$6:$A$420,0),0))</f>
        <v>0</v>
      </c>
      <c r="N3548" s="64" t="n">
        <f aca="false">IF($H3548="",0,IFERROR(MATCH($H3548,GradeList,0),0))</f>
        <v>0</v>
      </c>
      <c r="O3548" s="64" t="n">
        <f aca="false">IF(OR($I3548="",$I3548="NR"),0,IFERROR(MATCH($I3548,GradeList,0),0))</f>
        <v>0</v>
      </c>
      <c r="P3548" s="64" t="n">
        <f aca="false">IF(AND($M3548&gt;0,ISNUMBER(MATCH($F3548,Lists!$A$2:$A$5,0)),ISNUMBER(MATCH($G3548,Lists!$B$2:$B$7,0)),OR($H3548="",$N3548&gt;0),OR($I3548="",$I3548="NR",$O3548&gt;0),IF(ISNUMBER($J3548),AND($J3548&gt;=0,$J3548=INT($J3548)),FALSE())),$J3548,0)</f>
        <v>0</v>
      </c>
      <c r="Q3548" s="64" t="n">
        <f aca="false">IF(AND($P3548&gt;0,$O3548&gt;0),$P3548,0)</f>
        <v>0</v>
      </c>
      <c r="R3548" s="64" t="n">
        <f aca="false">IF(AND($Q3548&gt;0,$O3548&gt;=AtRank),$Q3548,0)</f>
        <v>0</v>
      </c>
      <c r="S3548" s="64" t="n">
        <f aca="false">IF(AND($Q3548&gt;0,$O3548&gt;=AboveRank),$Q3548,0)</f>
        <v>0</v>
      </c>
      <c r="T3548" s="64" t="n">
        <f aca="false">IF($K3548="Less",$P3548,0)</f>
        <v>0</v>
      </c>
      <c r="U3548" s="64" t="n">
        <f aca="false">IF($K3548="Expected",$P3548,0)</f>
        <v>0</v>
      </c>
      <c r="V3548" s="64" t="n">
        <f aca="false">IF($K3548="Better",$P3548,0)</f>
        <v>0</v>
      </c>
      <c r="W3548" s="64" t="n">
        <f aca="false">IF($K3548="U – needs rule",$P3548,0)</f>
        <v>0</v>
      </c>
      <c r="X3548" s="64" t="n">
        <f aca="false">IF($K3548="No Start (attainment only)",$P3548,0)</f>
        <v>0</v>
      </c>
    </row>
    <row r="3549" customFormat="false" ht="15" hidden="false" customHeight="false" outlineLevel="0" collapsed="false">
      <c r="A3549" s="60"/>
      <c r="B3549" s="61" t="str">
        <f aca="false">IF($M3549=0,"",INDEX(Classes!$E$6:$E$420,$M3549))</f>
        <v/>
      </c>
      <c r="C3549" s="62" t="str">
        <f aca="false">IF($M3549=0,"",INDEX(Classes!$H$6:$H$420,$M3549))</f>
        <v/>
      </c>
      <c r="D3549" s="61" t="str">
        <f aca="false">IF($M3549=0,"",INDEX(Classes!$B$6:$B$420,$M3549))</f>
        <v/>
      </c>
      <c r="E3549" s="61" t="str">
        <f aca="false">IF($M3549=0,"",INDEX(Classes!$C$6:$C$420,$M3549))</f>
        <v/>
      </c>
      <c r="F3549" s="63"/>
      <c r="G3549" s="63"/>
      <c r="H3549" s="60"/>
      <c r="I3549" s="60"/>
      <c r="J3549" s="63"/>
      <c r="K3549" s="61" t="str">
        <f aca="false">IF($P3549=0,"",IF($F3549="Baseline","— Baseline",IF($O3549=0,"No result",IF($N3549=0,"No Start (attainment only)",IF(OR($N3549=1,$O3549=1),"U – needs rule",INDEX(MxBody,MATCH($I3549,MxCurr,0),MATCH($H3549,MxStart,0)))))))</f>
        <v/>
      </c>
      <c r="L3549" s="62" t="str">
        <f aca="false">IF(COUNTA($A3549,$F3549,$G3549,$H3549,$I3549,$J3549)=0,"",IF($M3549=0,"✖ كود الصف غير موجود",IF(ISNA(MATCH($F3549,Lists!$A$2:$A$5,0)),"✖ الفترة غير صحيحة",IF(ISNA(MATCH($G3549,Lists!$B$2:$B$7,0)),"✖ المجموعة غير صحيحة",IF(NOT(OR($H3549="",$N3549&gt;0)),"✖ Start غير صحيح",IF(NOT(OR($I3549="",$I3549="NR",$O3549&gt;0)),"✖ Current غير صحيح",IF(NOT(IF(ISNUMBER($J3549),AND($J3549&gt;=0,$J3549=INT($J3549)),FALSE())),"✖ العدد يجب أن يكون صحيحًا ≥ 0",IF(AND($F3549="Baseline",$H3549&lt;&gt;""),"⚠ Baseline: Start لا يدخل في التقدم",IF($K3549="No Start (attainment only)","ℹ تحصيل فقط (بدون Start)",IF($K3549="U – needs rule","ℹ حالة U تحتاج قاعدة معتمدة",IF($K3549="No result","ℹ بدون نتيجة (يُستبعد من التحصيل)","OK")))))))))))</f>
        <v/>
      </c>
      <c r="M3549" s="64" t="n">
        <f aca="false">IF($A3549="",0,IFERROR(MATCH($A3549,Classes!$A$6:$A$420,0),0))</f>
        <v>0</v>
      </c>
      <c r="N3549" s="64" t="n">
        <f aca="false">IF($H3549="",0,IFERROR(MATCH($H3549,GradeList,0),0))</f>
        <v>0</v>
      </c>
      <c r="O3549" s="64" t="n">
        <f aca="false">IF(OR($I3549="",$I3549="NR"),0,IFERROR(MATCH($I3549,GradeList,0),0))</f>
        <v>0</v>
      </c>
      <c r="P3549" s="64" t="n">
        <f aca="false">IF(AND($M3549&gt;0,ISNUMBER(MATCH($F3549,Lists!$A$2:$A$5,0)),ISNUMBER(MATCH($G3549,Lists!$B$2:$B$7,0)),OR($H3549="",$N3549&gt;0),OR($I3549="",$I3549="NR",$O3549&gt;0),IF(ISNUMBER($J3549),AND($J3549&gt;=0,$J3549=INT($J3549)),FALSE())),$J3549,0)</f>
        <v>0</v>
      </c>
      <c r="Q3549" s="64" t="n">
        <f aca="false">IF(AND($P3549&gt;0,$O3549&gt;0),$P3549,0)</f>
        <v>0</v>
      </c>
      <c r="R3549" s="64" t="n">
        <f aca="false">IF(AND($Q3549&gt;0,$O3549&gt;=AtRank),$Q3549,0)</f>
        <v>0</v>
      </c>
      <c r="S3549" s="64" t="n">
        <f aca="false">IF(AND($Q3549&gt;0,$O3549&gt;=AboveRank),$Q3549,0)</f>
        <v>0</v>
      </c>
      <c r="T3549" s="64" t="n">
        <f aca="false">IF($K3549="Less",$P3549,0)</f>
        <v>0</v>
      </c>
      <c r="U3549" s="64" t="n">
        <f aca="false">IF($K3549="Expected",$P3549,0)</f>
        <v>0</v>
      </c>
      <c r="V3549" s="64" t="n">
        <f aca="false">IF($K3549="Better",$P3549,0)</f>
        <v>0</v>
      </c>
      <c r="W3549" s="64" t="n">
        <f aca="false">IF($K3549="U – needs rule",$P3549,0)</f>
        <v>0</v>
      </c>
      <c r="X3549" s="64" t="n">
        <f aca="false">IF($K3549="No Start (attainment only)",$P3549,0)</f>
        <v>0</v>
      </c>
    </row>
    <row r="3550" customFormat="false" ht="15" hidden="false" customHeight="false" outlineLevel="0" collapsed="false">
      <c r="A3550" s="60"/>
      <c r="B3550" s="61" t="str">
        <f aca="false">IF($M3550=0,"",INDEX(Classes!$E$6:$E$420,$M3550))</f>
        <v/>
      </c>
      <c r="C3550" s="62" t="str">
        <f aca="false">IF($M3550=0,"",INDEX(Classes!$H$6:$H$420,$M3550))</f>
        <v/>
      </c>
      <c r="D3550" s="61" t="str">
        <f aca="false">IF($M3550=0,"",INDEX(Classes!$B$6:$B$420,$M3550))</f>
        <v/>
      </c>
      <c r="E3550" s="61" t="str">
        <f aca="false">IF($M3550=0,"",INDEX(Classes!$C$6:$C$420,$M3550))</f>
        <v/>
      </c>
      <c r="F3550" s="63"/>
      <c r="G3550" s="63"/>
      <c r="H3550" s="60"/>
      <c r="I3550" s="60"/>
      <c r="J3550" s="63"/>
      <c r="K3550" s="61" t="str">
        <f aca="false">IF($P3550=0,"",IF($F3550="Baseline","— Baseline",IF($O3550=0,"No result",IF($N3550=0,"No Start (attainment only)",IF(OR($N3550=1,$O3550=1),"U – needs rule",INDEX(MxBody,MATCH($I3550,MxCurr,0),MATCH($H3550,MxStart,0)))))))</f>
        <v/>
      </c>
      <c r="L3550" s="62" t="str">
        <f aca="false">IF(COUNTA($A3550,$F3550,$G3550,$H3550,$I3550,$J3550)=0,"",IF($M3550=0,"✖ كود الصف غير موجود",IF(ISNA(MATCH($F3550,Lists!$A$2:$A$5,0)),"✖ الفترة غير صحيحة",IF(ISNA(MATCH($G3550,Lists!$B$2:$B$7,0)),"✖ المجموعة غير صحيحة",IF(NOT(OR($H3550="",$N3550&gt;0)),"✖ Start غير صحيح",IF(NOT(OR($I3550="",$I3550="NR",$O3550&gt;0)),"✖ Current غير صحيح",IF(NOT(IF(ISNUMBER($J3550),AND($J3550&gt;=0,$J3550=INT($J3550)),FALSE())),"✖ العدد يجب أن يكون صحيحًا ≥ 0",IF(AND($F3550="Baseline",$H3550&lt;&gt;""),"⚠ Baseline: Start لا يدخل في التقدم",IF($K3550="No Start (attainment only)","ℹ تحصيل فقط (بدون Start)",IF($K3550="U – needs rule","ℹ حالة U تحتاج قاعدة معتمدة",IF($K3550="No result","ℹ بدون نتيجة (يُستبعد من التحصيل)","OK")))))))))))</f>
        <v/>
      </c>
      <c r="M3550" s="64" t="n">
        <f aca="false">IF($A3550="",0,IFERROR(MATCH($A3550,Classes!$A$6:$A$420,0),0))</f>
        <v>0</v>
      </c>
      <c r="N3550" s="64" t="n">
        <f aca="false">IF($H3550="",0,IFERROR(MATCH($H3550,GradeList,0),0))</f>
        <v>0</v>
      </c>
      <c r="O3550" s="64" t="n">
        <f aca="false">IF(OR($I3550="",$I3550="NR"),0,IFERROR(MATCH($I3550,GradeList,0),0))</f>
        <v>0</v>
      </c>
      <c r="P3550" s="64" t="n">
        <f aca="false">IF(AND($M3550&gt;0,ISNUMBER(MATCH($F3550,Lists!$A$2:$A$5,0)),ISNUMBER(MATCH($G3550,Lists!$B$2:$B$7,0)),OR($H3550="",$N3550&gt;0),OR($I3550="",$I3550="NR",$O3550&gt;0),IF(ISNUMBER($J3550),AND($J3550&gt;=0,$J3550=INT($J3550)),FALSE())),$J3550,0)</f>
        <v>0</v>
      </c>
      <c r="Q3550" s="64" t="n">
        <f aca="false">IF(AND($P3550&gt;0,$O3550&gt;0),$P3550,0)</f>
        <v>0</v>
      </c>
      <c r="R3550" s="64" t="n">
        <f aca="false">IF(AND($Q3550&gt;0,$O3550&gt;=AtRank),$Q3550,0)</f>
        <v>0</v>
      </c>
      <c r="S3550" s="64" t="n">
        <f aca="false">IF(AND($Q3550&gt;0,$O3550&gt;=AboveRank),$Q3550,0)</f>
        <v>0</v>
      </c>
      <c r="T3550" s="64" t="n">
        <f aca="false">IF($K3550="Less",$P3550,0)</f>
        <v>0</v>
      </c>
      <c r="U3550" s="64" t="n">
        <f aca="false">IF($K3550="Expected",$P3550,0)</f>
        <v>0</v>
      </c>
      <c r="V3550" s="64" t="n">
        <f aca="false">IF($K3550="Better",$P3550,0)</f>
        <v>0</v>
      </c>
      <c r="W3550" s="64" t="n">
        <f aca="false">IF($K3550="U – needs rule",$P3550,0)</f>
        <v>0</v>
      </c>
      <c r="X3550" s="64" t="n">
        <f aca="false">IF($K3550="No Start (attainment only)",$P3550,0)</f>
        <v>0</v>
      </c>
    </row>
    <row r="3551" customFormat="false" ht="15" hidden="false" customHeight="false" outlineLevel="0" collapsed="false">
      <c r="A3551" s="60"/>
      <c r="B3551" s="61" t="str">
        <f aca="false">IF($M3551=0,"",INDEX(Classes!$E$6:$E$420,$M3551))</f>
        <v/>
      </c>
      <c r="C3551" s="62" t="str">
        <f aca="false">IF($M3551=0,"",INDEX(Classes!$H$6:$H$420,$M3551))</f>
        <v/>
      </c>
      <c r="D3551" s="61" t="str">
        <f aca="false">IF($M3551=0,"",INDEX(Classes!$B$6:$B$420,$M3551))</f>
        <v/>
      </c>
      <c r="E3551" s="61" t="str">
        <f aca="false">IF($M3551=0,"",INDEX(Classes!$C$6:$C$420,$M3551))</f>
        <v/>
      </c>
      <c r="F3551" s="63"/>
      <c r="G3551" s="63"/>
      <c r="H3551" s="60"/>
      <c r="I3551" s="60"/>
      <c r="J3551" s="63"/>
      <c r="K3551" s="61" t="str">
        <f aca="false">IF($P3551=0,"",IF($F3551="Baseline","— Baseline",IF($O3551=0,"No result",IF($N3551=0,"No Start (attainment only)",IF(OR($N3551=1,$O3551=1),"U – needs rule",INDEX(MxBody,MATCH($I3551,MxCurr,0),MATCH($H3551,MxStart,0)))))))</f>
        <v/>
      </c>
      <c r="L3551" s="62" t="str">
        <f aca="false">IF(COUNTA($A3551,$F3551,$G3551,$H3551,$I3551,$J3551)=0,"",IF($M3551=0,"✖ كود الصف غير موجود",IF(ISNA(MATCH($F3551,Lists!$A$2:$A$5,0)),"✖ الفترة غير صحيحة",IF(ISNA(MATCH($G3551,Lists!$B$2:$B$7,0)),"✖ المجموعة غير صحيحة",IF(NOT(OR($H3551="",$N3551&gt;0)),"✖ Start غير صحيح",IF(NOT(OR($I3551="",$I3551="NR",$O3551&gt;0)),"✖ Current غير صحيح",IF(NOT(IF(ISNUMBER($J3551),AND($J3551&gt;=0,$J3551=INT($J3551)),FALSE())),"✖ العدد يجب أن يكون صحيحًا ≥ 0",IF(AND($F3551="Baseline",$H3551&lt;&gt;""),"⚠ Baseline: Start لا يدخل في التقدم",IF($K3551="No Start (attainment only)","ℹ تحصيل فقط (بدون Start)",IF($K3551="U – needs rule","ℹ حالة U تحتاج قاعدة معتمدة",IF($K3551="No result","ℹ بدون نتيجة (يُستبعد من التحصيل)","OK")))))))))))</f>
        <v/>
      </c>
      <c r="M3551" s="64" t="n">
        <f aca="false">IF($A3551="",0,IFERROR(MATCH($A3551,Classes!$A$6:$A$420,0),0))</f>
        <v>0</v>
      </c>
      <c r="N3551" s="64" t="n">
        <f aca="false">IF($H3551="",0,IFERROR(MATCH($H3551,GradeList,0),0))</f>
        <v>0</v>
      </c>
      <c r="O3551" s="64" t="n">
        <f aca="false">IF(OR($I3551="",$I3551="NR"),0,IFERROR(MATCH($I3551,GradeList,0),0))</f>
        <v>0</v>
      </c>
      <c r="P3551" s="64" t="n">
        <f aca="false">IF(AND($M3551&gt;0,ISNUMBER(MATCH($F3551,Lists!$A$2:$A$5,0)),ISNUMBER(MATCH($G3551,Lists!$B$2:$B$7,0)),OR($H3551="",$N3551&gt;0),OR($I3551="",$I3551="NR",$O3551&gt;0),IF(ISNUMBER($J3551),AND($J3551&gt;=0,$J3551=INT($J3551)),FALSE())),$J3551,0)</f>
        <v>0</v>
      </c>
      <c r="Q3551" s="64" t="n">
        <f aca="false">IF(AND($P3551&gt;0,$O3551&gt;0),$P3551,0)</f>
        <v>0</v>
      </c>
      <c r="R3551" s="64" t="n">
        <f aca="false">IF(AND($Q3551&gt;0,$O3551&gt;=AtRank),$Q3551,0)</f>
        <v>0</v>
      </c>
      <c r="S3551" s="64" t="n">
        <f aca="false">IF(AND($Q3551&gt;0,$O3551&gt;=AboveRank),$Q3551,0)</f>
        <v>0</v>
      </c>
      <c r="T3551" s="64" t="n">
        <f aca="false">IF($K3551="Less",$P3551,0)</f>
        <v>0</v>
      </c>
      <c r="U3551" s="64" t="n">
        <f aca="false">IF($K3551="Expected",$P3551,0)</f>
        <v>0</v>
      </c>
      <c r="V3551" s="64" t="n">
        <f aca="false">IF($K3551="Better",$P3551,0)</f>
        <v>0</v>
      </c>
      <c r="W3551" s="64" t="n">
        <f aca="false">IF($K3551="U – needs rule",$P3551,0)</f>
        <v>0</v>
      </c>
      <c r="X3551" s="64" t="n">
        <f aca="false">IF($K3551="No Start (attainment only)",$P3551,0)</f>
        <v>0</v>
      </c>
    </row>
    <row r="3552" customFormat="false" ht="15" hidden="false" customHeight="false" outlineLevel="0" collapsed="false">
      <c r="A3552" s="60"/>
      <c r="B3552" s="61" t="str">
        <f aca="false">IF($M3552=0,"",INDEX(Classes!$E$6:$E$420,$M3552))</f>
        <v/>
      </c>
      <c r="C3552" s="62" t="str">
        <f aca="false">IF($M3552=0,"",INDEX(Classes!$H$6:$H$420,$M3552))</f>
        <v/>
      </c>
      <c r="D3552" s="61" t="str">
        <f aca="false">IF($M3552=0,"",INDEX(Classes!$B$6:$B$420,$M3552))</f>
        <v/>
      </c>
      <c r="E3552" s="61" t="str">
        <f aca="false">IF($M3552=0,"",INDEX(Classes!$C$6:$C$420,$M3552))</f>
        <v/>
      </c>
      <c r="F3552" s="63"/>
      <c r="G3552" s="63"/>
      <c r="H3552" s="60"/>
      <c r="I3552" s="60"/>
      <c r="J3552" s="63"/>
      <c r="K3552" s="61" t="str">
        <f aca="false">IF($P3552=0,"",IF($F3552="Baseline","— Baseline",IF($O3552=0,"No result",IF($N3552=0,"No Start (attainment only)",IF(OR($N3552=1,$O3552=1),"U – needs rule",INDEX(MxBody,MATCH($I3552,MxCurr,0),MATCH($H3552,MxStart,0)))))))</f>
        <v/>
      </c>
      <c r="L3552" s="62" t="str">
        <f aca="false">IF(COUNTA($A3552,$F3552,$G3552,$H3552,$I3552,$J3552)=0,"",IF($M3552=0,"✖ كود الصف غير موجود",IF(ISNA(MATCH($F3552,Lists!$A$2:$A$5,0)),"✖ الفترة غير صحيحة",IF(ISNA(MATCH($G3552,Lists!$B$2:$B$7,0)),"✖ المجموعة غير صحيحة",IF(NOT(OR($H3552="",$N3552&gt;0)),"✖ Start غير صحيح",IF(NOT(OR($I3552="",$I3552="NR",$O3552&gt;0)),"✖ Current غير صحيح",IF(NOT(IF(ISNUMBER($J3552),AND($J3552&gt;=0,$J3552=INT($J3552)),FALSE())),"✖ العدد يجب أن يكون صحيحًا ≥ 0",IF(AND($F3552="Baseline",$H3552&lt;&gt;""),"⚠ Baseline: Start لا يدخل في التقدم",IF($K3552="No Start (attainment only)","ℹ تحصيل فقط (بدون Start)",IF($K3552="U – needs rule","ℹ حالة U تحتاج قاعدة معتمدة",IF($K3552="No result","ℹ بدون نتيجة (يُستبعد من التحصيل)","OK")))))))))))</f>
        <v/>
      </c>
      <c r="M3552" s="64" t="n">
        <f aca="false">IF($A3552="",0,IFERROR(MATCH($A3552,Classes!$A$6:$A$420,0),0))</f>
        <v>0</v>
      </c>
      <c r="N3552" s="64" t="n">
        <f aca="false">IF($H3552="",0,IFERROR(MATCH($H3552,GradeList,0),0))</f>
        <v>0</v>
      </c>
      <c r="O3552" s="64" t="n">
        <f aca="false">IF(OR($I3552="",$I3552="NR"),0,IFERROR(MATCH($I3552,GradeList,0),0))</f>
        <v>0</v>
      </c>
      <c r="P3552" s="64" t="n">
        <f aca="false">IF(AND($M3552&gt;0,ISNUMBER(MATCH($F3552,Lists!$A$2:$A$5,0)),ISNUMBER(MATCH($G3552,Lists!$B$2:$B$7,0)),OR($H3552="",$N3552&gt;0),OR($I3552="",$I3552="NR",$O3552&gt;0),IF(ISNUMBER($J3552),AND($J3552&gt;=0,$J3552=INT($J3552)),FALSE())),$J3552,0)</f>
        <v>0</v>
      </c>
      <c r="Q3552" s="64" t="n">
        <f aca="false">IF(AND($P3552&gt;0,$O3552&gt;0),$P3552,0)</f>
        <v>0</v>
      </c>
      <c r="R3552" s="64" t="n">
        <f aca="false">IF(AND($Q3552&gt;0,$O3552&gt;=AtRank),$Q3552,0)</f>
        <v>0</v>
      </c>
      <c r="S3552" s="64" t="n">
        <f aca="false">IF(AND($Q3552&gt;0,$O3552&gt;=AboveRank),$Q3552,0)</f>
        <v>0</v>
      </c>
      <c r="T3552" s="64" t="n">
        <f aca="false">IF($K3552="Less",$P3552,0)</f>
        <v>0</v>
      </c>
      <c r="U3552" s="64" t="n">
        <f aca="false">IF($K3552="Expected",$P3552,0)</f>
        <v>0</v>
      </c>
      <c r="V3552" s="64" t="n">
        <f aca="false">IF($K3552="Better",$P3552,0)</f>
        <v>0</v>
      </c>
      <c r="W3552" s="64" t="n">
        <f aca="false">IF($K3552="U – needs rule",$P3552,0)</f>
        <v>0</v>
      </c>
      <c r="X3552" s="64" t="n">
        <f aca="false">IF($K3552="No Start (attainment only)",$P3552,0)</f>
        <v>0</v>
      </c>
    </row>
    <row r="3553" customFormat="false" ht="15" hidden="false" customHeight="false" outlineLevel="0" collapsed="false">
      <c r="A3553" s="60"/>
      <c r="B3553" s="61" t="str">
        <f aca="false">IF($M3553=0,"",INDEX(Classes!$E$6:$E$420,$M3553))</f>
        <v/>
      </c>
      <c r="C3553" s="62" t="str">
        <f aca="false">IF($M3553=0,"",INDEX(Classes!$H$6:$H$420,$M3553))</f>
        <v/>
      </c>
      <c r="D3553" s="61" t="str">
        <f aca="false">IF($M3553=0,"",INDEX(Classes!$B$6:$B$420,$M3553))</f>
        <v/>
      </c>
      <c r="E3553" s="61" t="str">
        <f aca="false">IF($M3553=0,"",INDEX(Classes!$C$6:$C$420,$M3553))</f>
        <v/>
      </c>
      <c r="F3553" s="63"/>
      <c r="G3553" s="63"/>
      <c r="H3553" s="60"/>
      <c r="I3553" s="60"/>
      <c r="J3553" s="63"/>
      <c r="K3553" s="61" t="str">
        <f aca="false">IF($P3553=0,"",IF($F3553="Baseline","— Baseline",IF($O3553=0,"No result",IF($N3553=0,"No Start (attainment only)",IF(OR($N3553=1,$O3553=1),"U – needs rule",INDEX(MxBody,MATCH($I3553,MxCurr,0),MATCH($H3553,MxStart,0)))))))</f>
        <v/>
      </c>
      <c r="L3553" s="62" t="str">
        <f aca="false">IF(COUNTA($A3553,$F3553,$G3553,$H3553,$I3553,$J3553)=0,"",IF($M3553=0,"✖ كود الصف غير موجود",IF(ISNA(MATCH($F3553,Lists!$A$2:$A$5,0)),"✖ الفترة غير صحيحة",IF(ISNA(MATCH($G3553,Lists!$B$2:$B$7,0)),"✖ المجموعة غير صحيحة",IF(NOT(OR($H3553="",$N3553&gt;0)),"✖ Start غير صحيح",IF(NOT(OR($I3553="",$I3553="NR",$O3553&gt;0)),"✖ Current غير صحيح",IF(NOT(IF(ISNUMBER($J3553),AND($J3553&gt;=0,$J3553=INT($J3553)),FALSE())),"✖ العدد يجب أن يكون صحيحًا ≥ 0",IF(AND($F3553="Baseline",$H3553&lt;&gt;""),"⚠ Baseline: Start لا يدخل في التقدم",IF($K3553="No Start (attainment only)","ℹ تحصيل فقط (بدون Start)",IF($K3553="U – needs rule","ℹ حالة U تحتاج قاعدة معتمدة",IF($K3553="No result","ℹ بدون نتيجة (يُستبعد من التحصيل)","OK")))))))))))</f>
        <v/>
      </c>
      <c r="M3553" s="64" t="n">
        <f aca="false">IF($A3553="",0,IFERROR(MATCH($A3553,Classes!$A$6:$A$420,0),0))</f>
        <v>0</v>
      </c>
      <c r="N3553" s="64" t="n">
        <f aca="false">IF($H3553="",0,IFERROR(MATCH($H3553,GradeList,0),0))</f>
        <v>0</v>
      </c>
      <c r="O3553" s="64" t="n">
        <f aca="false">IF(OR($I3553="",$I3553="NR"),0,IFERROR(MATCH($I3553,GradeList,0),0))</f>
        <v>0</v>
      </c>
      <c r="P3553" s="64" t="n">
        <f aca="false">IF(AND($M3553&gt;0,ISNUMBER(MATCH($F3553,Lists!$A$2:$A$5,0)),ISNUMBER(MATCH($G3553,Lists!$B$2:$B$7,0)),OR($H3553="",$N3553&gt;0),OR($I3553="",$I3553="NR",$O3553&gt;0),IF(ISNUMBER($J3553),AND($J3553&gt;=0,$J3553=INT($J3553)),FALSE())),$J3553,0)</f>
        <v>0</v>
      </c>
      <c r="Q3553" s="64" t="n">
        <f aca="false">IF(AND($P3553&gt;0,$O3553&gt;0),$P3553,0)</f>
        <v>0</v>
      </c>
      <c r="R3553" s="64" t="n">
        <f aca="false">IF(AND($Q3553&gt;0,$O3553&gt;=AtRank),$Q3553,0)</f>
        <v>0</v>
      </c>
      <c r="S3553" s="64" t="n">
        <f aca="false">IF(AND($Q3553&gt;0,$O3553&gt;=AboveRank),$Q3553,0)</f>
        <v>0</v>
      </c>
      <c r="T3553" s="64" t="n">
        <f aca="false">IF($K3553="Less",$P3553,0)</f>
        <v>0</v>
      </c>
      <c r="U3553" s="64" t="n">
        <f aca="false">IF($K3553="Expected",$P3553,0)</f>
        <v>0</v>
      </c>
      <c r="V3553" s="64" t="n">
        <f aca="false">IF($K3553="Better",$P3553,0)</f>
        <v>0</v>
      </c>
      <c r="W3553" s="64" t="n">
        <f aca="false">IF($K3553="U – needs rule",$P3553,0)</f>
        <v>0</v>
      </c>
      <c r="X3553" s="64" t="n">
        <f aca="false">IF($K3553="No Start (attainment only)",$P3553,0)</f>
        <v>0</v>
      </c>
    </row>
    <row r="3554" customFormat="false" ht="15" hidden="false" customHeight="false" outlineLevel="0" collapsed="false">
      <c r="A3554" s="60"/>
      <c r="B3554" s="61" t="str">
        <f aca="false">IF($M3554=0,"",INDEX(Classes!$E$6:$E$420,$M3554))</f>
        <v/>
      </c>
      <c r="C3554" s="62" t="str">
        <f aca="false">IF($M3554=0,"",INDEX(Classes!$H$6:$H$420,$M3554))</f>
        <v/>
      </c>
      <c r="D3554" s="61" t="str">
        <f aca="false">IF($M3554=0,"",INDEX(Classes!$B$6:$B$420,$M3554))</f>
        <v/>
      </c>
      <c r="E3554" s="61" t="str">
        <f aca="false">IF($M3554=0,"",INDEX(Classes!$C$6:$C$420,$M3554))</f>
        <v/>
      </c>
      <c r="F3554" s="63"/>
      <c r="G3554" s="63"/>
      <c r="H3554" s="60"/>
      <c r="I3554" s="60"/>
      <c r="J3554" s="63"/>
      <c r="K3554" s="61" t="str">
        <f aca="false">IF($P3554=0,"",IF($F3554="Baseline","— Baseline",IF($O3554=0,"No result",IF($N3554=0,"No Start (attainment only)",IF(OR($N3554=1,$O3554=1),"U – needs rule",INDEX(MxBody,MATCH($I3554,MxCurr,0),MATCH($H3554,MxStart,0)))))))</f>
        <v/>
      </c>
      <c r="L3554" s="62" t="str">
        <f aca="false">IF(COUNTA($A3554,$F3554,$G3554,$H3554,$I3554,$J3554)=0,"",IF($M3554=0,"✖ كود الصف غير موجود",IF(ISNA(MATCH($F3554,Lists!$A$2:$A$5,0)),"✖ الفترة غير صحيحة",IF(ISNA(MATCH($G3554,Lists!$B$2:$B$7,0)),"✖ المجموعة غير صحيحة",IF(NOT(OR($H3554="",$N3554&gt;0)),"✖ Start غير صحيح",IF(NOT(OR($I3554="",$I3554="NR",$O3554&gt;0)),"✖ Current غير صحيح",IF(NOT(IF(ISNUMBER($J3554),AND($J3554&gt;=0,$J3554=INT($J3554)),FALSE())),"✖ العدد يجب أن يكون صحيحًا ≥ 0",IF(AND($F3554="Baseline",$H3554&lt;&gt;""),"⚠ Baseline: Start لا يدخل في التقدم",IF($K3554="No Start (attainment only)","ℹ تحصيل فقط (بدون Start)",IF($K3554="U – needs rule","ℹ حالة U تحتاج قاعدة معتمدة",IF($K3554="No result","ℹ بدون نتيجة (يُستبعد من التحصيل)","OK")))))))))))</f>
        <v/>
      </c>
      <c r="M3554" s="64" t="n">
        <f aca="false">IF($A3554="",0,IFERROR(MATCH($A3554,Classes!$A$6:$A$420,0),0))</f>
        <v>0</v>
      </c>
      <c r="N3554" s="64" t="n">
        <f aca="false">IF($H3554="",0,IFERROR(MATCH($H3554,GradeList,0),0))</f>
        <v>0</v>
      </c>
      <c r="O3554" s="64" t="n">
        <f aca="false">IF(OR($I3554="",$I3554="NR"),0,IFERROR(MATCH($I3554,GradeList,0),0))</f>
        <v>0</v>
      </c>
      <c r="P3554" s="64" t="n">
        <f aca="false">IF(AND($M3554&gt;0,ISNUMBER(MATCH($F3554,Lists!$A$2:$A$5,0)),ISNUMBER(MATCH($G3554,Lists!$B$2:$B$7,0)),OR($H3554="",$N3554&gt;0),OR($I3554="",$I3554="NR",$O3554&gt;0),IF(ISNUMBER($J3554),AND($J3554&gt;=0,$J3554=INT($J3554)),FALSE())),$J3554,0)</f>
        <v>0</v>
      </c>
      <c r="Q3554" s="64" t="n">
        <f aca="false">IF(AND($P3554&gt;0,$O3554&gt;0),$P3554,0)</f>
        <v>0</v>
      </c>
      <c r="R3554" s="64" t="n">
        <f aca="false">IF(AND($Q3554&gt;0,$O3554&gt;=AtRank),$Q3554,0)</f>
        <v>0</v>
      </c>
      <c r="S3554" s="64" t="n">
        <f aca="false">IF(AND($Q3554&gt;0,$O3554&gt;=AboveRank),$Q3554,0)</f>
        <v>0</v>
      </c>
      <c r="T3554" s="64" t="n">
        <f aca="false">IF($K3554="Less",$P3554,0)</f>
        <v>0</v>
      </c>
      <c r="U3554" s="64" t="n">
        <f aca="false">IF($K3554="Expected",$P3554,0)</f>
        <v>0</v>
      </c>
      <c r="V3554" s="64" t="n">
        <f aca="false">IF($K3554="Better",$P3554,0)</f>
        <v>0</v>
      </c>
      <c r="W3554" s="64" t="n">
        <f aca="false">IF($K3554="U – needs rule",$P3554,0)</f>
        <v>0</v>
      </c>
      <c r="X3554" s="64" t="n">
        <f aca="false">IF($K3554="No Start (attainment only)",$P3554,0)</f>
        <v>0</v>
      </c>
    </row>
    <row r="3555" customFormat="false" ht="15" hidden="false" customHeight="false" outlineLevel="0" collapsed="false">
      <c r="A3555" s="60"/>
      <c r="B3555" s="61" t="str">
        <f aca="false">IF($M3555=0,"",INDEX(Classes!$E$6:$E$420,$M3555))</f>
        <v/>
      </c>
      <c r="C3555" s="62" t="str">
        <f aca="false">IF($M3555=0,"",INDEX(Classes!$H$6:$H$420,$M3555))</f>
        <v/>
      </c>
      <c r="D3555" s="61" t="str">
        <f aca="false">IF($M3555=0,"",INDEX(Classes!$B$6:$B$420,$M3555))</f>
        <v/>
      </c>
      <c r="E3555" s="61" t="str">
        <f aca="false">IF($M3555=0,"",INDEX(Classes!$C$6:$C$420,$M3555))</f>
        <v/>
      </c>
      <c r="F3555" s="63"/>
      <c r="G3555" s="63"/>
      <c r="H3555" s="60"/>
      <c r="I3555" s="60"/>
      <c r="J3555" s="63"/>
      <c r="K3555" s="61" t="str">
        <f aca="false">IF($P3555=0,"",IF($F3555="Baseline","— Baseline",IF($O3555=0,"No result",IF($N3555=0,"No Start (attainment only)",IF(OR($N3555=1,$O3555=1),"U – needs rule",INDEX(MxBody,MATCH($I3555,MxCurr,0),MATCH($H3555,MxStart,0)))))))</f>
        <v/>
      </c>
      <c r="L3555" s="62" t="str">
        <f aca="false">IF(COUNTA($A3555,$F3555,$G3555,$H3555,$I3555,$J3555)=0,"",IF($M3555=0,"✖ كود الصف غير موجود",IF(ISNA(MATCH($F3555,Lists!$A$2:$A$5,0)),"✖ الفترة غير صحيحة",IF(ISNA(MATCH($G3555,Lists!$B$2:$B$7,0)),"✖ المجموعة غير صحيحة",IF(NOT(OR($H3555="",$N3555&gt;0)),"✖ Start غير صحيح",IF(NOT(OR($I3555="",$I3555="NR",$O3555&gt;0)),"✖ Current غير صحيح",IF(NOT(IF(ISNUMBER($J3555),AND($J3555&gt;=0,$J3555=INT($J3555)),FALSE())),"✖ العدد يجب أن يكون صحيحًا ≥ 0",IF(AND($F3555="Baseline",$H3555&lt;&gt;""),"⚠ Baseline: Start لا يدخل في التقدم",IF($K3555="No Start (attainment only)","ℹ تحصيل فقط (بدون Start)",IF($K3555="U – needs rule","ℹ حالة U تحتاج قاعدة معتمدة",IF($K3555="No result","ℹ بدون نتيجة (يُستبعد من التحصيل)","OK")))))))))))</f>
        <v/>
      </c>
      <c r="M3555" s="64" t="n">
        <f aca="false">IF($A3555="",0,IFERROR(MATCH($A3555,Classes!$A$6:$A$420,0),0))</f>
        <v>0</v>
      </c>
      <c r="N3555" s="64" t="n">
        <f aca="false">IF($H3555="",0,IFERROR(MATCH($H3555,GradeList,0),0))</f>
        <v>0</v>
      </c>
      <c r="O3555" s="64" t="n">
        <f aca="false">IF(OR($I3555="",$I3555="NR"),0,IFERROR(MATCH($I3555,GradeList,0),0))</f>
        <v>0</v>
      </c>
      <c r="P3555" s="64" t="n">
        <f aca="false">IF(AND($M3555&gt;0,ISNUMBER(MATCH($F3555,Lists!$A$2:$A$5,0)),ISNUMBER(MATCH($G3555,Lists!$B$2:$B$7,0)),OR($H3555="",$N3555&gt;0),OR($I3555="",$I3555="NR",$O3555&gt;0),IF(ISNUMBER($J3555),AND($J3555&gt;=0,$J3555=INT($J3555)),FALSE())),$J3555,0)</f>
        <v>0</v>
      </c>
      <c r="Q3555" s="64" t="n">
        <f aca="false">IF(AND($P3555&gt;0,$O3555&gt;0),$P3555,0)</f>
        <v>0</v>
      </c>
      <c r="R3555" s="64" t="n">
        <f aca="false">IF(AND($Q3555&gt;0,$O3555&gt;=AtRank),$Q3555,0)</f>
        <v>0</v>
      </c>
      <c r="S3555" s="64" t="n">
        <f aca="false">IF(AND($Q3555&gt;0,$O3555&gt;=AboveRank),$Q3555,0)</f>
        <v>0</v>
      </c>
      <c r="T3555" s="64" t="n">
        <f aca="false">IF($K3555="Less",$P3555,0)</f>
        <v>0</v>
      </c>
      <c r="U3555" s="64" t="n">
        <f aca="false">IF($K3555="Expected",$P3555,0)</f>
        <v>0</v>
      </c>
      <c r="V3555" s="64" t="n">
        <f aca="false">IF($K3555="Better",$P3555,0)</f>
        <v>0</v>
      </c>
      <c r="W3555" s="64" t="n">
        <f aca="false">IF($K3555="U – needs rule",$P3555,0)</f>
        <v>0</v>
      </c>
      <c r="X3555" s="64" t="n">
        <f aca="false">IF($K3555="No Start (attainment only)",$P3555,0)</f>
        <v>0</v>
      </c>
    </row>
    <row r="3556" customFormat="false" ht="15" hidden="false" customHeight="false" outlineLevel="0" collapsed="false">
      <c r="A3556" s="60"/>
      <c r="B3556" s="61" t="str">
        <f aca="false">IF($M3556=0,"",INDEX(Classes!$E$6:$E$420,$M3556))</f>
        <v/>
      </c>
      <c r="C3556" s="62" t="str">
        <f aca="false">IF($M3556=0,"",INDEX(Classes!$H$6:$H$420,$M3556))</f>
        <v/>
      </c>
      <c r="D3556" s="61" t="str">
        <f aca="false">IF($M3556=0,"",INDEX(Classes!$B$6:$B$420,$M3556))</f>
        <v/>
      </c>
      <c r="E3556" s="61" t="str">
        <f aca="false">IF($M3556=0,"",INDEX(Classes!$C$6:$C$420,$M3556))</f>
        <v/>
      </c>
      <c r="F3556" s="63"/>
      <c r="G3556" s="63"/>
      <c r="H3556" s="60"/>
      <c r="I3556" s="60"/>
      <c r="J3556" s="63"/>
      <c r="K3556" s="61" t="str">
        <f aca="false">IF($P3556=0,"",IF($F3556="Baseline","— Baseline",IF($O3556=0,"No result",IF($N3556=0,"No Start (attainment only)",IF(OR($N3556=1,$O3556=1),"U – needs rule",INDEX(MxBody,MATCH($I3556,MxCurr,0),MATCH($H3556,MxStart,0)))))))</f>
        <v/>
      </c>
      <c r="L3556" s="62" t="str">
        <f aca="false">IF(COUNTA($A3556,$F3556,$G3556,$H3556,$I3556,$J3556)=0,"",IF($M3556=0,"✖ كود الصف غير موجود",IF(ISNA(MATCH($F3556,Lists!$A$2:$A$5,0)),"✖ الفترة غير صحيحة",IF(ISNA(MATCH($G3556,Lists!$B$2:$B$7,0)),"✖ المجموعة غير صحيحة",IF(NOT(OR($H3556="",$N3556&gt;0)),"✖ Start غير صحيح",IF(NOT(OR($I3556="",$I3556="NR",$O3556&gt;0)),"✖ Current غير صحيح",IF(NOT(IF(ISNUMBER($J3556),AND($J3556&gt;=0,$J3556=INT($J3556)),FALSE())),"✖ العدد يجب أن يكون صحيحًا ≥ 0",IF(AND($F3556="Baseline",$H3556&lt;&gt;""),"⚠ Baseline: Start لا يدخل في التقدم",IF($K3556="No Start (attainment only)","ℹ تحصيل فقط (بدون Start)",IF($K3556="U – needs rule","ℹ حالة U تحتاج قاعدة معتمدة",IF($K3556="No result","ℹ بدون نتيجة (يُستبعد من التحصيل)","OK")))))))))))</f>
        <v/>
      </c>
      <c r="M3556" s="64" t="n">
        <f aca="false">IF($A3556="",0,IFERROR(MATCH($A3556,Classes!$A$6:$A$420,0),0))</f>
        <v>0</v>
      </c>
      <c r="N3556" s="64" t="n">
        <f aca="false">IF($H3556="",0,IFERROR(MATCH($H3556,GradeList,0),0))</f>
        <v>0</v>
      </c>
      <c r="O3556" s="64" t="n">
        <f aca="false">IF(OR($I3556="",$I3556="NR"),0,IFERROR(MATCH($I3556,GradeList,0),0))</f>
        <v>0</v>
      </c>
      <c r="P3556" s="64" t="n">
        <f aca="false">IF(AND($M3556&gt;0,ISNUMBER(MATCH($F3556,Lists!$A$2:$A$5,0)),ISNUMBER(MATCH($G3556,Lists!$B$2:$B$7,0)),OR($H3556="",$N3556&gt;0),OR($I3556="",$I3556="NR",$O3556&gt;0),IF(ISNUMBER($J3556),AND($J3556&gt;=0,$J3556=INT($J3556)),FALSE())),$J3556,0)</f>
        <v>0</v>
      </c>
      <c r="Q3556" s="64" t="n">
        <f aca="false">IF(AND($P3556&gt;0,$O3556&gt;0),$P3556,0)</f>
        <v>0</v>
      </c>
      <c r="R3556" s="64" t="n">
        <f aca="false">IF(AND($Q3556&gt;0,$O3556&gt;=AtRank),$Q3556,0)</f>
        <v>0</v>
      </c>
      <c r="S3556" s="64" t="n">
        <f aca="false">IF(AND($Q3556&gt;0,$O3556&gt;=AboveRank),$Q3556,0)</f>
        <v>0</v>
      </c>
      <c r="T3556" s="64" t="n">
        <f aca="false">IF($K3556="Less",$P3556,0)</f>
        <v>0</v>
      </c>
      <c r="U3556" s="64" t="n">
        <f aca="false">IF($K3556="Expected",$P3556,0)</f>
        <v>0</v>
      </c>
      <c r="V3556" s="64" t="n">
        <f aca="false">IF($K3556="Better",$P3556,0)</f>
        <v>0</v>
      </c>
      <c r="W3556" s="64" t="n">
        <f aca="false">IF($K3556="U – needs rule",$P3556,0)</f>
        <v>0</v>
      </c>
      <c r="X3556" s="64" t="n">
        <f aca="false">IF($K3556="No Start (attainment only)",$P3556,0)</f>
        <v>0</v>
      </c>
    </row>
    <row r="3557" customFormat="false" ht="15" hidden="false" customHeight="false" outlineLevel="0" collapsed="false">
      <c r="A3557" s="60"/>
      <c r="B3557" s="61" t="str">
        <f aca="false">IF($M3557=0,"",INDEX(Classes!$E$6:$E$420,$M3557))</f>
        <v/>
      </c>
      <c r="C3557" s="62" t="str">
        <f aca="false">IF($M3557=0,"",INDEX(Classes!$H$6:$H$420,$M3557))</f>
        <v/>
      </c>
      <c r="D3557" s="61" t="str">
        <f aca="false">IF($M3557=0,"",INDEX(Classes!$B$6:$B$420,$M3557))</f>
        <v/>
      </c>
      <c r="E3557" s="61" t="str">
        <f aca="false">IF($M3557=0,"",INDEX(Classes!$C$6:$C$420,$M3557))</f>
        <v/>
      </c>
      <c r="F3557" s="63"/>
      <c r="G3557" s="63"/>
      <c r="H3557" s="60"/>
      <c r="I3557" s="60"/>
      <c r="J3557" s="63"/>
      <c r="K3557" s="61" t="str">
        <f aca="false">IF($P3557=0,"",IF($F3557="Baseline","— Baseline",IF($O3557=0,"No result",IF($N3557=0,"No Start (attainment only)",IF(OR($N3557=1,$O3557=1),"U – needs rule",INDEX(MxBody,MATCH($I3557,MxCurr,0),MATCH($H3557,MxStart,0)))))))</f>
        <v/>
      </c>
      <c r="L3557" s="62" t="str">
        <f aca="false">IF(COUNTA($A3557,$F3557,$G3557,$H3557,$I3557,$J3557)=0,"",IF($M3557=0,"✖ كود الصف غير موجود",IF(ISNA(MATCH($F3557,Lists!$A$2:$A$5,0)),"✖ الفترة غير صحيحة",IF(ISNA(MATCH($G3557,Lists!$B$2:$B$7,0)),"✖ المجموعة غير صحيحة",IF(NOT(OR($H3557="",$N3557&gt;0)),"✖ Start غير صحيح",IF(NOT(OR($I3557="",$I3557="NR",$O3557&gt;0)),"✖ Current غير صحيح",IF(NOT(IF(ISNUMBER($J3557),AND($J3557&gt;=0,$J3557=INT($J3557)),FALSE())),"✖ العدد يجب أن يكون صحيحًا ≥ 0",IF(AND($F3557="Baseline",$H3557&lt;&gt;""),"⚠ Baseline: Start لا يدخل في التقدم",IF($K3557="No Start (attainment only)","ℹ تحصيل فقط (بدون Start)",IF($K3557="U – needs rule","ℹ حالة U تحتاج قاعدة معتمدة",IF($K3557="No result","ℹ بدون نتيجة (يُستبعد من التحصيل)","OK")))))))))))</f>
        <v/>
      </c>
      <c r="M3557" s="64" t="n">
        <f aca="false">IF($A3557="",0,IFERROR(MATCH($A3557,Classes!$A$6:$A$420,0),0))</f>
        <v>0</v>
      </c>
      <c r="N3557" s="64" t="n">
        <f aca="false">IF($H3557="",0,IFERROR(MATCH($H3557,GradeList,0),0))</f>
        <v>0</v>
      </c>
      <c r="O3557" s="64" t="n">
        <f aca="false">IF(OR($I3557="",$I3557="NR"),0,IFERROR(MATCH($I3557,GradeList,0),0))</f>
        <v>0</v>
      </c>
      <c r="P3557" s="64" t="n">
        <f aca="false">IF(AND($M3557&gt;0,ISNUMBER(MATCH($F3557,Lists!$A$2:$A$5,0)),ISNUMBER(MATCH($G3557,Lists!$B$2:$B$7,0)),OR($H3557="",$N3557&gt;0),OR($I3557="",$I3557="NR",$O3557&gt;0),IF(ISNUMBER($J3557),AND($J3557&gt;=0,$J3557=INT($J3557)),FALSE())),$J3557,0)</f>
        <v>0</v>
      </c>
      <c r="Q3557" s="64" t="n">
        <f aca="false">IF(AND($P3557&gt;0,$O3557&gt;0),$P3557,0)</f>
        <v>0</v>
      </c>
      <c r="R3557" s="64" t="n">
        <f aca="false">IF(AND($Q3557&gt;0,$O3557&gt;=AtRank),$Q3557,0)</f>
        <v>0</v>
      </c>
      <c r="S3557" s="64" t="n">
        <f aca="false">IF(AND($Q3557&gt;0,$O3557&gt;=AboveRank),$Q3557,0)</f>
        <v>0</v>
      </c>
      <c r="T3557" s="64" t="n">
        <f aca="false">IF($K3557="Less",$P3557,0)</f>
        <v>0</v>
      </c>
      <c r="U3557" s="64" t="n">
        <f aca="false">IF($K3557="Expected",$P3557,0)</f>
        <v>0</v>
      </c>
      <c r="V3557" s="64" t="n">
        <f aca="false">IF($K3557="Better",$P3557,0)</f>
        <v>0</v>
      </c>
      <c r="W3557" s="64" t="n">
        <f aca="false">IF($K3557="U – needs rule",$P3557,0)</f>
        <v>0</v>
      </c>
      <c r="X3557" s="64" t="n">
        <f aca="false">IF($K3557="No Start (attainment only)",$P3557,0)</f>
        <v>0</v>
      </c>
    </row>
    <row r="3558" customFormat="false" ht="15" hidden="false" customHeight="false" outlineLevel="0" collapsed="false">
      <c r="A3558" s="60"/>
      <c r="B3558" s="61" t="str">
        <f aca="false">IF($M3558=0,"",INDEX(Classes!$E$6:$E$420,$M3558))</f>
        <v/>
      </c>
      <c r="C3558" s="62" t="str">
        <f aca="false">IF($M3558=0,"",INDEX(Classes!$H$6:$H$420,$M3558))</f>
        <v/>
      </c>
      <c r="D3558" s="61" t="str">
        <f aca="false">IF($M3558=0,"",INDEX(Classes!$B$6:$B$420,$M3558))</f>
        <v/>
      </c>
      <c r="E3558" s="61" t="str">
        <f aca="false">IF($M3558=0,"",INDEX(Classes!$C$6:$C$420,$M3558))</f>
        <v/>
      </c>
      <c r="F3558" s="63"/>
      <c r="G3558" s="63"/>
      <c r="H3558" s="60"/>
      <c r="I3558" s="60"/>
      <c r="J3558" s="63"/>
      <c r="K3558" s="61" t="str">
        <f aca="false">IF($P3558=0,"",IF($F3558="Baseline","— Baseline",IF($O3558=0,"No result",IF($N3558=0,"No Start (attainment only)",IF(OR($N3558=1,$O3558=1),"U – needs rule",INDEX(MxBody,MATCH($I3558,MxCurr,0),MATCH($H3558,MxStart,0)))))))</f>
        <v/>
      </c>
      <c r="L3558" s="62" t="str">
        <f aca="false">IF(COUNTA($A3558,$F3558,$G3558,$H3558,$I3558,$J3558)=0,"",IF($M3558=0,"✖ كود الصف غير موجود",IF(ISNA(MATCH($F3558,Lists!$A$2:$A$5,0)),"✖ الفترة غير صحيحة",IF(ISNA(MATCH($G3558,Lists!$B$2:$B$7,0)),"✖ المجموعة غير صحيحة",IF(NOT(OR($H3558="",$N3558&gt;0)),"✖ Start غير صحيح",IF(NOT(OR($I3558="",$I3558="NR",$O3558&gt;0)),"✖ Current غير صحيح",IF(NOT(IF(ISNUMBER($J3558),AND($J3558&gt;=0,$J3558=INT($J3558)),FALSE())),"✖ العدد يجب أن يكون صحيحًا ≥ 0",IF(AND($F3558="Baseline",$H3558&lt;&gt;""),"⚠ Baseline: Start لا يدخل في التقدم",IF($K3558="No Start (attainment only)","ℹ تحصيل فقط (بدون Start)",IF($K3558="U – needs rule","ℹ حالة U تحتاج قاعدة معتمدة",IF($K3558="No result","ℹ بدون نتيجة (يُستبعد من التحصيل)","OK")))))))))))</f>
        <v/>
      </c>
      <c r="M3558" s="64" t="n">
        <f aca="false">IF($A3558="",0,IFERROR(MATCH($A3558,Classes!$A$6:$A$420,0),0))</f>
        <v>0</v>
      </c>
      <c r="N3558" s="64" t="n">
        <f aca="false">IF($H3558="",0,IFERROR(MATCH($H3558,GradeList,0),0))</f>
        <v>0</v>
      </c>
      <c r="O3558" s="64" t="n">
        <f aca="false">IF(OR($I3558="",$I3558="NR"),0,IFERROR(MATCH($I3558,GradeList,0),0))</f>
        <v>0</v>
      </c>
      <c r="P3558" s="64" t="n">
        <f aca="false">IF(AND($M3558&gt;0,ISNUMBER(MATCH($F3558,Lists!$A$2:$A$5,0)),ISNUMBER(MATCH($G3558,Lists!$B$2:$B$7,0)),OR($H3558="",$N3558&gt;0),OR($I3558="",$I3558="NR",$O3558&gt;0),IF(ISNUMBER($J3558),AND($J3558&gt;=0,$J3558=INT($J3558)),FALSE())),$J3558,0)</f>
        <v>0</v>
      </c>
      <c r="Q3558" s="64" t="n">
        <f aca="false">IF(AND($P3558&gt;0,$O3558&gt;0),$P3558,0)</f>
        <v>0</v>
      </c>
      <c r="R3558" s="64" t="n">
        <f aca="false">IF(AND($Q3558&gt;0,$O3558&gt;=AtRank),$Q3558,0)</f>
        <v>0</v>
      </c>
      <c r="S3558" s="64" t="n">
        <f aca="false">IF(AND($Q3558&gt;0,$O3558&gt;=AboveRank),$Q3558,0)</f>
        <v>0</v>
      </c>
      <c r="T3558" s="64" t="n">
        <f aca="false">IF($K3558="Less",$P3558,0)</f>
        <v>0</v>
      </c>
      <c r="U3558" s="64" t="n">
        <f aca="false">IF($K3558="Expected",$P3558,0)</f>
        <v>0</v>
      </c>
      <c r="V3558" s="64" t="n">
        <f aca="false">IF($K3558="Better",$P3558,0)</f>
        <v>0</v>
      </c>
      <c r="W3558" s="64" t="n">
        <f aca="false">IF($K3558="U – needs rule",$P3558,0)</f>
        <v>0</v>
      </c>
      <c r="X3558" s="64" t="n">
        <f aca="false">IF($K3558="No Start (attainment only)",$P3558,0)</f>
        <v>0</v>
      </c>
    </row>
    <row r="3559" customFormat="false" ht="15" hidden="false" customHeight="false" outlineLevel="0" collapsed="false">
      <c r="A3559" s="60"/>
      <c r="B3559" s="61" t="str">
        <f aca="false">IF($M3559=0,"",INDEX(Classes!$E$6:$E$420,$M3559))</f>
        <v/>
      </c>
      <c r="C3559" s="62" t="str">
        <f aca="false">IF($M3559=0,"",INDEX(Classes!$H$6:$H$420,$M3559))</f>
        <v/>
      </c>
      <c r="D3559" s="61" t="str">
        <f aca="false">IF($M3559=0,"",INDEX(Classes!$B$6:$B$420,$M3559))</f>
        <v/>
      </c>
      <c r="E3559" s="61" t="str">
        <f aca="false">IF($M3559=0,"",INDEX(Classes!$C$6:$C$420,$M3559))</f>
        <v/>
      </c>
      <c r="F3559" s="63"/>
      <c r="G3559" s="63"/>
      <c r="H3559" s="60"/>
      <c r="I3559" s="60"/>
      <c r="J3559" s="63"/>
      <c r="K3559" s="61" t="str">
        <f aca="false">IF($P3559=0,"",IF($F3559="Baseline","— Baseline",IF($O3559=0,"No result",IF($N3559=0,"No Start (attainment only)",IF(OR($N3559=1,$O3559=1),"U – needs rule",INDEX(MxBody,MATCH($I3559,MxCurr,0),MATCH($H3559,MxStart,0)))))))</f>
        <v/>
      </c>
      <c r="L3559" s="62" t="str">
        <f aca="false">IF(COUNTA($A3559,$F3559,$G3559,$H3559,$I3559,$J3559)=0,"",IF($M3559=0,"✖ كود الصف غير موجود",IF(ISNA(MATCH($F3559,Lists!$A$2:$A$5,0)),"✖ الفترة غير صحيحة",IF(ISNA(MATCH($G3559,Lists!$B$2:$B$7,0)),"✖ المجموعة غير صحيحة",IF(NOT(OR($H3559="",$N3559&gt;0)),"✖ Start غير صحيح",IF(NOT(OR($I3559="",$I3559="NR",$O3559&gt;0)),"✖ Current غير صحيح",IF(NOT(IF(ISNUMBER($J3559),AND($J3559&gt;=0,$J3559=INT($J3559)),FALSE())),"✖ العدد يجب أن يكون صحيحًا ≥ 0",IF(AND($F3559="Baseline",$H3559&lt;&gt;""),"⚠ Baseline: Start لا يدخل في التقدم",IF($K3559="No Start (attainment only)","ℹ تحصيل فقط (بدون Start)",IF($K3559="U – needs rule","ℹ حالة U تحتاج قاعدة معتمدة",IF($K3559="No result","ℹ بدون نتيجة (يُستبعد من التحصيل)","OK")))))))))))</f>
        <v/>
      </c>
      <c r="M3559" s="64" t="n">
        <f aca="false">IF($A3559="",0,IFERROR(MATCH($A3559,Classes!$A$6:$A$420,0),0))</f>
        <v>0</v>
      </c>
      <c r="N3559" s="64" t="n">
        <f aca="false">IF($H3559="",0,IFERROR(MATCH($H3559,GradeList,0),0))</f>
        <v>0</v>
      </c>
      <c r="O3559" s="64" t="n">
        <f aca="false">IF(OR($I3559="",$I3559="NR"),0,IFERROR(MATCH($I3559,GradeList,0),0))</f>
        <v>0</v>
      </c>
      <c r="P3559" s="64" t="n">
        <f aca="false">IF(AND($M3559&gt;0,ISNUMBER(MATCH($F3559,Lists!$A$2:$A$5,0)),ISNUMBER(MATCH($G3559,Lists!$B$2:$B$7,0)),OR($H3559="",$N3559&gt;0),OR($I3559="",$I3559="NR",$O3559&gt;0),IF(ISNUMBER($J3559),AND($J3559&gt;=0,$J3559=INT($J3559)),FALSE())),$J3559,0)</f>
        <v>0</v>
      </c>
      <c r="Q3559" s="64" t="n">
        <f aca="false">IF(AND($P3559&gt;0,$O3559&gt;0),$P3559,0)</f>
        <v>0</v>
      </c>
      <c r="R3559" s="64" t="n">
        <f aca="false">IF(AND($Q3559&gt;0,$O3559&gt;=AtRank),$Q3559,0)</f>
        <v>0</v>
      </c>
      <c r="S3559" s="64" t="n">
        <f aca="false">IF(AND($Q3559&gt;0,$O3559&gt;=AboveRank),$Q3559,0)</f>
        <v>0</v>
      </c>
      <c r="T3559" s="64" t="n">
        <f aca="false">IF($K3559="Less",$P3559,0)</f>
        <v>0</v>
      </c>
      <c r="U3559" s="64" t="n">
        <f aca="false">IF($K3559="Expected",$P3559,0)</f>
        <v>0</v>
      </c>
      <c r="V3559" s="64" t="n">
        <f aca="false">IF($K3559="Better",$P3559,0)</f>
        <v>0</v>
      </c>
      <c r="W3559" s="64" t="n">
        <f aca="false">IF($K3559="U – needs rule",$P3559,0)</f>
        <v>0</v>
      </c>
      <c r="X3559" s="64" t="n">
        <f aca="false">IF($K3559="No Start (attainment only)",$P3559,0)</f>
        <v>0</v>
      </c>
    </row>
    <row r="3560" customFormat="false" ht="15" hidden="false" customHeight="false" outlineLevel="0" collapsed="false">
      <c r="A3560" s="60"/>
      <c r="B3560" s="61" t="str">
        <f aca="false">IF($M3560=0,"",INDEX(Classes!$E$6:$E$420,$M3560))</f>
        <v/>
      </c>
      <c r="C3560" s="62" t="str">
        <f aca="false">IF($M3560=0,"",INDEX(Classes!$H$6:$H$420,$M3560))</f>
        <v/>
      </c>
      <c r="D3560" s="61" t="str">
        <f aca="false">IF($M3560=0,"",INDEX(Classes!$B$6:$B$420,$M3560))</f>
        <v/>
      </c>
      <c r="E3560" s="61" t="str">
        <f aca="false">IF($M3560=0,"",INDEX(Classes!$C$6:$C$420,$M3560))</f>
        <v/>
      </c>
      <c r="F3560" s="63"/>
      <c r="G3560" s="63"/>
      <c r="H3560" s="60"/>
      <c r="I3560" s="60"/>
      <c r="J3560" s="63"/>
      <c r="K3560" s="61" t="str">
        <f aca="false">IF($P3560=0,"",IF($F3560="Baseline","— Baseline",IF($O3560=0,"No result",IF($N3560=0,"No Start (attainment only)",IF(OR($N3560=1,$O3560=1),"U – needs rule",INDEX(MxBody,MATCH($I3560,MxCurr,0),MATCH($H3560,MxStart,0)))))))</f>
        <v/>
      </c>
      <c r="L3560" s="62" t="str">
        <f aca="false">IF(COUNTA($A3560,$F3560,$G3560,$H3560,$I3560,$J3560)=0,"",IF($M3560=0,"✖ كود الصف غير موجود",IF(ISNA(MATCH($F3560,Lists!$A$2:$A$5,0)),"✖ الفترة غير صحيحة",IF(ISNA(MATCH($G3560,Lists!$B$2:$B$7,0)),"✖ المجموعة غير صحيحة",IF(NOT(OR($H3560="",$N3560&gt;0)),"✖ Start غير صحيح",IF(NOT(OR($I3560="",$I3560="NR",$O3560&gt;0)),"✖ Current غير صحيح",IF(NOT(IF(ISNUMBER($J3560),AND($J3560&gt;=0,$J3560=INT($J3560)),FALSE())),"✖ العدد يجب أن يكون صحيحًا ≥ 0",IF(AND($F3560="Baseline",$H3560&lt;&gt;""),"⚠ Baseline: Start لا يدخل في التقدم",IF($K3560="No Start (attainment only)","ℹ تحصيل فقط (بدون Start)",IF($K3560="U – needs rule","ℹ حالة U تحتاج قاعدة معتمدة",IF($K3560="No result","ℹ بدون نتيجة (يُستبعد من التحصيل)","OK")))))))))))</f>
        <v/>
      </c>
      <c r="M3560" s="64" t="n">
        <f aca="false">IF($A3560="",0,IFERROR(MATCH($A3560,Classes!$A$6:$A$420,0),0))</f>
        <v>0</v>
      </c>
      <c r="N3560" s="64" t="n">
        <f aca="false">IF($H3560="",0,IFERROR(MATCH($H3560,GradeList,0),0))</f>
        <v>0</v>
      </c>
      <c r="O3560" s="64" t="n">
        <f aca="false">IF(OR($I3560="",$I3560="NR"),0,IFERROR(MATCH($I3560,GradeList,0),0))</f>
        <v>0</v>
      </c>
      <c r="P3560" s="64" t="n">
        <f aca="false">IF(AND($M3560&gt;0,ISNUMBER(MATCH($F3560,Lists!$A$2:$A$5,0)),ISNUMBER(MATCH($G3560,Lists!$B$2:$B$7,0)),OR($H3560="",$N3560&gt;0),OR($I3560="",$I3560="NR",$O3560&gt;0),IF(ISNUMBER($J3560),AND($J3560&gt;=0,$J3560=INT($J3560)),FALSE())),$J3560,0)</f>
        <v>0</v>
      </c>
      <c r="Q3560" s="64" t="n">
        <f aca="false">IF(AND($P3560&gt;0,$O3560&gt;0),$P3560,0)</f>
        <v>0</v>
      </c>
      <c r="R3560" s="64" t="n">
        <f aca="false">IF(AND($Q3560&gt;0,$O3560&gt;=AtRank),$Q3560,0)</f>
        <v>0</v>
      </c>
      <c r="S3560" s="64" t="n">
        <f aca="false">IF(AND($Q3560&gt;0,$O3560&gt;=AboveRank),$Q3560,0)</f>
        <v>0</v>
      </c>
      <c r="T3560" s="64" t="n">
        <f aca="false">IF($K3560="Less",$P3560,0)</f>
        <v>0</v>
      </c>
      <c r="U3560" s="64" t="n">
        <f aca="false">IF($K3560="Expected",$P3560,0)</f>
        <v>0</v>
      </c>
      <c r="V3560" s="64" t="n">
        <f aca="false">IF($K3560="Better",$P3560,0)</f>
        <v>0</v>
      </c>
      <c r="W3560" s="64" t="n">
        <f aca="false">IF($K3560="U – needs rule",$P3560,0)</f>
        <v>0</v>
      </c>
      <c r="X3560" s="64" t="n">
        <f aca="false">IF($K3560="No Start (attainment only)",$P3560,0)</f>
        <v>0</v>
      </c>
    </row>
    <row r="3561" customFormat="false" ht="15" hidden="false" customHeight="false" outlineLevel="0" collapsed="false">
      <c r="A3561" s="60"/>
      <c r="B3561" s="61" t="str">
        <f aca="false">IF($M3561=0,"",INDEX(Classes!$E$6:$E$420,$M3561))</f>
        <v/>
      </c>
      <c r="C3561" s="62" t="str">
        <f aca="false">IF($M3561=0,"",INDEX(Classes!$H$6:$H$420,$M3561))</f>
        <v/>
      </c>
      <c r="D3561" s="61" t="str">
        <f aca="false">IF($M3561=0,"",INDEX(Classes!$B$6:$B$420,$M3561))</f>
        <v/>
      </c>
      <c r="E3561" s="61" t="str">
        <f aca="false">IF($M3561=0,"",INDEX(Classes!$C$6:$C$420,$M3561))</f>
        <v/>
      </c>
      <c r="F3561" s="63"/>
      <c r="G3561" s="63"/>
      <c r="H3561" s="60"/>
      <c r="I3561" s="60"/>
      <c r="J3561" s="63"/>
      <c r="K3561" s="61" t="str">
        <f aca="false">IF($P3561=0,"",IF($F3561="Baseline","— Baseline",IF($O3561=0,"No result",IF($N3561=0,"No Start (attainment only)",IF(OR($N3561=1,$O3561=1),"U – needs rule",INDEX(MxBody,MATCH($I3561,MxCurr,0),MATCH($H3561,MxStart,0)))))))</f>
        <v/>
      </c>
      <c r="L3561" s="62" t="str">
        <f aca="false">IF(COUNTA($A3561,$F3561,$G3561,$H3561,$I3561,$J3561)=0,"",IF($M3561=0,"✖ كود الصف غير موجود",IF(ISNA(MATCH($F3561,Lists!$A$2:$A$5,0)),"✖ الفترة غير صحيحة",IF(ISNA(MATCH($G3561,Lists!$B$2:$B$7,0)),"✖ المجموعة غير صحيحة",IF(NOT(OR($H3561="",$N3561&gt;0)),"✖ Start غير صحيح",IF(NOT(OR($I3561="",$I3561="NR",$O3561&gt;0)),"✖ Current غير صحيح",IF(NOT(IF(ISNUMBER($J3561),AND($J3561&gt;=0,$J3561=INT($J3561)),FALSE())),"✖ العدد يجب أن يكون صحيحًا ≥ 0",IF(AND($F3561="Baseline",$H3561&lt;&gt;""),"⚠ Baseline: Start لا يدخل في التقدم",IF($K3561="No Start (attainment only)","ℹ تحصيل فقط (بدون Start)",IF($K3561="U – needs rule","ℹ حالة U تحتاج قاعدة معتمدة",IF($K3561="No result","ℹ بدون نتيجة (يُستبعد من التحصيل)","OK")))))))))))</f>
        <v/>
      </c>
      <c r="M3561" s="64" t="n">
        <f aca="false">IF($A3561="",0,IFERROR(MATCH($A3561,Classes!$A$6:$A$420,0),0))</f>
        <v>0</v>
      </c>
      <c r="N3561" s="64" t="n">
        <f aca="false">IF($H3561="",0,IFERROR(MATCH($H3561,GradeList,0),0))</f>
        <v>0</v>
      </c>
      <c r="O3561" s="64" t="n">
        <f aca="false">IF(OR($I3561="",$I3561="NR"),0,IFERROR(MATCH($I3561,GradeList,0),0))</f>
        <v>0</v>
      </c>
      <c r="P3561" s="64" t="n">
        <f aca="false">IF(AND($M3561&gt;0,ISNUMBER(MATCH($F3561,Lists!$A$2:$A$5,0)),ISNUMBER(MATCH($G3561,Lists!$B$2:$B$7,0)),OR($H3561="",$N3561&gt;0),OR($I3561="",$I3561="NR",$O3561&gt;0),IF(ISNUMBER($J3561),AND($J3561&gt;=0,$J3561=INT($J3561)),FALSE())),$J3561,0)</f>
        <v>0</v>
      </c>
      <c r="Q3561" s="64" t="n">
        <f aca="false">IF(AND($P3561&gt;0,$O3561&gt;0),$P3561,0)</f>
        <v>0</v>
      </c>
      <c r="R3561" s="64" t="n">
        <f aca="false">IF(AND($Q3561&gt;0,$O3561&gt;=AtRank),$Q3561,0)</f>
        <v>0</v>
      </c>
      <c r="S3561" s="64" t="n">
        <f aca="false">IF(AND($Q3561&gt;0,$O3561&gt;=AboveRank),$Q3561,0)</f>
        <v>0</v>
      </c>
      <c r="T3561" s="64" t="n">
        <f aca="false">IF($K3561="Less",$P3561,0)</f>
        <v>0</v>
      </c>
      <c r="U3561" s="64" t="n">
        <f aca="false">IF($K3561="Expected",$P3561,0)</f>
        <v>0</v>
      </c>
      <c r="V3561" s="64" t="n">
        <f aca="false">IF($K3561="Better",$P3561,0)</f>
        <v>0</v>
      </c>
      <c r="W3561" s="64" t="n">
        <f aca="false">IF($K3561="U – needs rule",$P3561,0)</f>
        <v>0</v>
      </c>
      <c r="X3561" s="64" t="n">
        <f aca="false">IF($K3561="No Start (attainment only)",$P3561,0)</f>
        <v>0</v>
      </c>
    </row>
    <row r="3562" customFormat="false" ht="15" hidden="false" customHeight="false" outlineLevel="0" collapsed="false">
      <c r="A3562" s="60"/>
      <c r="B3562" s="61" t="str">
        <f aca="false">IF($M3562=0,"",INDEX(Classes!$E$6:$E$420,$M3562))</f>
        <v/>
      </c>
      <c r="C3562" s="62" t="str">
        <f aca="false">IF($M3562=0,"",INDEX(Classes!$H$6:$H$420,$M3562))</f>
        <v/>
      </c>
      <c r="D3562" s="61" t="str">
        <f aca="false">IF($M3562=0,"",INDEX(Classes!$B$6:$B$420,$M3562))</f>
        <v/>
      </c>
      <c r="E3562" s="61" t="str">
        <f aca="false">IF($M3562=0,"",INDEX(Classes!$C$6:$C$420,$M3562))</f>
        <v/>
      </c>
      <c r="F3562" s="63"/>
      <c r="G3562" s="63"/>
      <c r="H3562" s="60"/>
      <c r="I3562" s="60"/>
      <c r="J3562" s="63"/>
      <c r="K3562" s="61" t="str">
        <f aca="false">IF($P3562=0,"",IF($F3562="Baseline","— Baseline",IF($O3562=0,"No result",IF($N3562=0,"No Start (attainment only)",IF(OR($N3562=1,$O3562=1),"U – needs rule",INDEX(MxBody,MATCH($I3562,MxCurr,0),MATCH($H3562,MxStart,0)))))))</f>
        <v/>
      </c>
      <c r="L3562" s="62" t="str">
        <f aca="false">IF(COUNTA($A3562,$F3562,$G3562,$H3562,$I3562,$J3562)=0,"",IF($M3562=0,"✖ كود الصف غير موجود",IF(ISNA(MATCH($F3562,Lists!$A$2:$A$5,0)),"✖ الفترة غير صحيحة",IF(ISNA(MATCH($G3562,Lists!$B$2:$B$7,0)),"✖ المجموعة غير صحيحة",IF(NOT(OR($H3562="",$N3562&gt;0)),"✖ Start غير صحيح",IF(NOT(OR($I3562="",$I3562="NR",$O3562&gt;0)),"✖ Current غير صحيح",IF(NOT(IF(ISNUMBER($J3562),AND($J3562&gt;=0,$J3562=INT($J3562)),FALSE())),"✖ العدد يجب أن يكون صحيحًا ≥ 0",IF(AND($F3562="Baseline",$H3562&lt;&gt;""),"⚠ Baseline: Start لا يدخل في التقدم",IF($K3562="No Start (attainment only)","ℹ تحصيل فقط (بدون Start)",IF($K3562="U – needs rule","ℹ حالة U تحتاج قاعدة معتمدة",IF($K3562="No result","ℹ بدون نتيجة (يُستبعد من التحصيل)","OK")))))))))))</f>
        <v/>
      </c>
      <c r="M3562" s="64" t="n">
        <f aca="false">IF($A3562="",0,IFERROR(MATCH($A3562,Classes!$A$6:$A$420,0),0))</f>
        <v>0</v>
      </c>
      <c r="N3562" s="64" t="n">
        <f aca="false">IF($H3562="",0,IFERROR(MATCH($H3562,GradeList,0),0))</f>
        <v>0</v>
      </c>
      <c r="O3562" s="64" t="n">
        <f aca="false">IF(OR($I3562="",$I3562="NR"),0,IFERROR(MATCH($I3562,GradeList,0),0))</f>
        <v>0</v>
      </c>
      <c r="P3562" s="64" t="n">
        <f aca="false">IF(AND($M3562&gt;0,ISNUMBER(MATCH($F3562,Lists!$A$2:$A$5,0)),ISNUMBER(MATCH($G3562,Lists!$B$2:$B$7,0)),OR($H3562="",$N3562&gt;0),OR($I3562="",$I3562="NR",$O3562&gt;0),IF(ISNUMBER($J3562),AND($J3562&gt;=0,$J3562=INT($J3562)),FALSE())),$J3562,0)</f>
        <v>0</v>
      </c>
      <c r="Q3562" s="64" t="n">
        <f aca="false">IF(AND($P3562&gt;0,$O3562&gt;0),$P3562,0)</f>
        <v>0</v>
      </c>
      <c r="R3562" s="64" t="n">
        <f aca="false">IF(AND($Q3562&gt;0,$O3562&gt;=AtRank),$Q3562,0)</f>
        <v>0</v>
      </c>
      <c r="S3562" s="64" t="n">
        <f aca="false">IF(AND($Q3562&gt;0,$O3562&gt;=AboveRank),$Q3562,0)</f>
        <v>0</v>
      </c>
      <c r="T3562" s="64" t="n">
        <f aca="false">IF($K3562="Less",$P3562,0)</f>
        <v>0</v>
      </c>
      <c r="U3562" s="64" t="n">
        <f aca="false">IF($K3562="Expected",$P3562,0)</f>
        <v>0</v>
      </c>
      <c r="V3562" s="64" t="n">
        <f aca="false">IF($K3562="Better",$P3562,0)</f>
        <v>0</v>
      </c>
      <c r="W3562" s="64" t="n">
        <f aca="false">IF($K3562="U – needs rule",$P3562,0)</f>
        <v>0</v>
      </c>
      <c r="X3562" s="64" t="n">
        <f aca="false">IF($K3562="No Start (attainment only)",$P3562,0)</f>
        <v>0</v>
      </c>
    </row>
    <row r="3563" customFormat="false" ht="15" hidden="false" customHeight="false" outlineLevel="0" collapsed="false">
      <c r="A3563" s="60"/>
      <c r="B3563" s="61" t="str">
        <f aca="false">IF($M3563=0,"",INDEX(Classes!$E$6:$E$420,$M3563))</f>
        <v/>
      </c>
      <c r="C3563" s="62" t="str">
        <f aca="false">IF($M3563=0,"",INDEX(Classes!$H$6:$H$420,$M3563))</f>
        <v/>
      </c>
      <c r="D3563" s="61" t="str">
        <f aca="false">IF($M3563=0,"",INDEX(Classes!$B$6:$B$420,$M3563))</f>
        <v/>
      </c>
      <c r="E3563" s="61" t="str">
        <f aca="false">IF($M3563=0,"",INDEX(Classes!$C$6:$C$420,$M3563))</f>
        <v/>
      </c>
      <c r="F3563" s="63"/>
      <c r="G3563" s="63"/>
      <c r="H3563" s="60"/>
      <c r="I3563" s="60"/>
      <c r="J3563" s="63"/>
      <c r="K3563" s="61" t="str">
        <f aca="false">IF($P3563=0,"",IF($F3563="Baseline","— Baseline",IF($O3563=0,"No result",IF($N3563=0,"No Start (attainment only)",IF(OR($N3563=1,$O3563=1),"U – needs rule",INDEX(MxBody,MATCH($I3563,MxCurr,0),MATCH($H3563,MxStart,0)))))))</f>
        <v/>
      </c>
      <c r="L3563" s="62" t="str">
        <f aca="false">IF(COUNTA($A3563,$F3563,$G3563,$H3563,$I3563,$J3563)=0,"",IF($M3563=0,"✖ كود الصف غير موجود",IF(ISNA(MATCH($F3563,Lists!$A$2:$A$5,0)),"✖ الفترة غير صحيحة",IF(ISNA(MATCH($G3563,Lists!$B$2:$B$7,0)),"✖ المجموعة غير صحيحة",IF(NOT(OR($H3563="",$N3563&gt;0)),"✖ Start غير صحيح",IF(NOT(OR($I3563="",$I3563="NR",$O3563&gt;0)),"✖ Current غير صحيح",IF(NOT(IF(ISNUMBER($J3563),AND($J3563&gt;=0,$J3563=INT($J3563)),FALSE())),"✖ العدد يجب أن يكون صحيحًا ≥ 0",IF(AND($F3563="Baseline",$H3563&lt;&gt;""),"⚠ Baseline: Start لا يدخل في التقدم",IF($K3563="No Start (attainment only)","ℹ تحصيل فقط (بدون Start)",IF($K3563="U – needs rule","ℹ حالة U تحتاج قاعدة معتمدة",IF($K3563="No result","ℹ بدون نتيجة (يُستبعد من التحصيل)","OK")))))))))))</f>
        <v/>
      </c>
      <c r="M3563" s="64" t="n">
        <f aca="false">IF($A3563="",0,IFERROR(MATCH($A3563,Classes!$A$6:$A$420,0),0))</f>
        <v>0</v>
      </c>
      <c r="N3563" s="64" t="n">
        <f aca="false">IF($H3563="",0,IFERROR(MATCH($H3563,GradeList,0),0))</f>
        <v>0</v>
      </c>
      <c r="O3563" s="64" t="n">
        <f aca="false">IF(OR($I3563="",$I3563="NR"),0,IFERROR(MATCH($I3563,GradeList,0),0))</f>
        <v>0</v>
      </c>
      <c r="P3563" s="64" t="n">
        <f aca="false">IF(AND($M3563&gt;0,ISNUMBER(MATCH($F3563,Lists!$A$2:$A$5,0)),ISNUMBER(MATCH($G3563,Lists!$B$2:$B$7,0)),OR($H3563="",$N3563&gt;0),OR($I3563="",$I3563="NR",$O3563&gt;0),IF(ISNUMBER($J3563),AND($J3563&gt;=0,$J3563=INT($J3563)),FALSE())),$J3563,0)</f>
        <v>0</v>
      </c>
      <c r="Q3563" s="64" t="n">
        <f aca="false">IF(AND($P3563&gt;0,$O3563&gt;0),$P3563,0)</f>
        <v>0</v>
      </c>
      <c r="R3563" s="64" t="n">
        <f aca="false">IF(AND($Q3563&gt;0,$O3563&gt;=AtRank),$Q3563,0)</f>
        <v>0</v>
      </c>
      <c r="S3563" s="64" t="n">
        <f aca="false">IF(AND($Q3563&gt;0,$O3563&gt;=AboveRank),$Q3563,0)</f>
        <v>0</v>
      </c>
      <c r="T3563" s="64" t="n">
        <f aca="false">IF($K3563="Less",$P3563,0)</f>
        <v>0</v>
      </c>
      <c r="U3563" s="64" t="n">
        <f aca="false">IF($K3563="Expected",$P3563,0)</f>
        <v>0</v>
      </c>
      <c r="V3563" s="64" t="n">
        <f aca="false">IF($K3563="Better",$P3563,0)</f>
        <v>0</v>
      </c>
      <c r="W3563" s="64" t="n">
        <f aca="false">IF($K3563="U – needs rule",$P3563,0)</f>
        <v>0</v>
      </c>
      <c r="X3563" s="64" t="n">
        <f aca="false">IF($K3563="No Start (attainment only)",$P3563,0)</f>
        <v>0</v>
      </c>
    </row>
    <row r="3564" customFormat="false" ht="15" hidden="false" customHeight="false" outlineLevel="0" collapsed="false">
      <c r="A3564" s="60"/>
      <c r="B3564" s="61" t="str">
        <f aca="false">IF($M3564=0,"",INDEX(Classes!$E$6:$E$420,$M3564))</f>
        <v/>
      </c>
      <c r="C3564" s="62" t="str">
        <f aca="false">IF($M3564=0,"",INDEX(Classes!$H$6:$H$420,$M3564))</f>
        <v/>
      </c>
      <c r="D3564" s="61" t="str">
        <f aca="false">IF($M3564=0,"",INDEX(Classes!$B$6:$B$420,$M3564))</f>
        <v/>
      </c>
      <c r="E3564" s="61" t="str">
        <f aca="false">IF($M3564=0,"",INDEX(Classes!$C$6:$C$420,$M3564))</f>
        <v/>
      </c>
      <c r="F3564" s="63"/>
      <c r="G3564" s="63"/>
      <c r="H3564" s="60"/>
      <c r="I3564" s="60"/>
      <c r="J3564" s="63"/>
      <c r="K3564" s="61" t="str">
        <f aca="false">IF($P3564=0,"",IF($F3564="Baseline","— Baseline",IF($O3564=0,"No result",IF($N3564=0,"No Start (attainment only)",IF(OR($N3564=1,$O3564=1),"U – needs rule",INDEX(MxBody,MATCH($I3564,MxCurr,0),MATCH($H3564,MxStart,0)))))))</f>
        <v/>
      </c>
      <c r="L3564" s="62" t="str">
        <f aca="false">IF(COUNTA($A3564,$F3564,$G3564,$H3564,$I3564,$J3564)=0,"",IF($M3564=0,"✖ كود الصف غير موجود",IF(ISNA(MATCH($F3564,Lists!$A$2:$A$5,0)),"✖ الفترة غير صحيحة",IF(ISNA(MATCH($G3564,Lists!$B$2:$B$7,0)),"✖ المجموعة غير صحيحة",IF(NOT(OR($H3564="",$N3564&gt;0)),"✖ Start غير صحيح",IF(NOT(OR($I3564="",$I3564="NR",$O3564&gt;0)),"✖ Current غير صحيح",IF(NOT(IF(ISNUMBER($J3564),AND($J3564&gt;=0,$J3564=INT($J3564)),FALSE())),"✖ العدد يجب أن يكون صحيحًا ≥ 0",IF(AND($F3564="Baseline",$H3564&lt;&gt;""),"⚠ Baseline: Start لا يدخل في التقدم",IF($K3564="No Start (attainment only)","ℹ تحصيل فقط (بدون Start)",IF($K3564="U – needs rule","ℹ حالة U تحتاج قاعدة معتمدة",IF($K3564="No result","ℹ بدون نتيجة (يُستبعد من التحصيل)","OK")))))))))))</f>
        <v/>
      </c>
      <c r="M3564" s="64" t="n">
        <f aca="false">IF($A3564="",0,IFERROR(MATCH($A3564,Classes!$A$6:$A$420,0),0))</f>
        <v>0</v>
      </c>
      <c r="N3564" s="64" t="n">
        <f aca="false">IF($H3564="",0,IFERROR(MATCH($H3564,GradeList,0),0))</f>
        <v>0</v>
      </c>
      <c r="O3564" s="64" t="n">
        <f aca="false">IF(OR($I3564="",$I3564="NR"),0,IFERROR(MATCH($I3564,GradeList,0),0))</f>
        <v>0</v>
      </c>
      <c r="P3564" s="64" t="n">
        <f aca="false">IF(AND($M3564&gt;0,ISNUMBER(MATCH($F3564,Lists!$A$2:$A$5,0)),ISNUMBER(MATCH($G3564,Lists!$B$2:$B$7,0)),OR($H3564="",$N3564&gt;0),OR($I3564="",$I3564="NR",$O3564&gt;0),IF(ISNUMBER($J3564),AND($J3564&gt;=0,$J3564=INT($J3564)),FALSE())),$J3564,0)</f>
        <v>0</v>
      </c>
      <c r="Q3564" s="64" t="n">
        <f aca="false">IF(AND($P3564&gt;0,$O3564&gt;0),$P3564,0)</f>
        <v>0</v>
      </c>
      <c r="R3564" s="64" t="n">
        <f aca="false">IF(AND($Q3564&gt;0,$O3564&gt;=AtRank),$Q3564,0)</f>
        <v>0</v>
      </c>
      <c r="S3564" s="64" t="n">
        <f aca="false">IF(AND($Q3564&gt;0,$O3564&gt;=AboveRank),$Q3564,0)</f>
        <v>0</v>
      </c>
      <c r="T3564" s="64" t="n">
        <f aca="false">IF($K3564="Less",$P3564,0)</f>
        <v>0</v>
      </c>
      <c r="U3564" s="64" t="n">
        <f aca="false">IF($K3564="Expected",$P3564,0)</f>
        <v>0</v>
      </c>
      <c r="V3564" s="64" t="n">
        <f aca="false">IF($K3564="Better",$P3564,0)</f>
        <v>0</v>
      </c>
      <c r="W3564" s="64" t="n">
        <f aca="false">IF($K3564="U – needs rule",$P3564,0)</f>
        <v>0</v>
      </c>
      <c r="X3564" s="64" t="n">
        <f aca="false">IF($K3564="No Start (attainment only)",$P3564,0)</f>
        <v>0</v>
      </c>
    </row>
    <row r="3565" customFormat="false" ht="15" hidden="false" customHeight="false" outlineLevel="0" collapsed="false">
      <c r="A3565" s="60"/>
      <c r="B3565" s="61" t="str">
        <f aca="false">IF($M3565=0,"",INDEX(Classes!$E$6:$E$420,$M3565))</f>
        <v/>
      </c>
      <c r="C3565" s="62" t="str">
        <f aca="false">IF($M3565=0,"",INDEX(Classes!$H$6:$H$420,$M3565))</f>
        <v/>
      </c>
      <c r="D3565" s="61" t="str">
        <f aca="false">IF($M3565=0,"",INDEX(Classes!$B$6:$B$420,$M3565))</f>
        <v/>
      </c>
      <c r="E3565" s="61" t="str">
        <f aca="false">IF($M3565=0,"",INDEX(Classes!$C$6:$C$420,$M3565))</f>
        <v/>
      </c>
      <c r="F3565" s="63"/>
      <c r="G3565" s="63"/>
      <c r="H3565" s="60"/>
      <c r="I3565" s="60"/>
      <c r="J3565" s="63"/>
      <c r="K3565" s="61" t="str">
        <f aca="false">IF($P3565=0,"",IF($F3565="Baseline","— Baseline",IF($O3565=0,"No result",IF($N3565=0,"No Start (attainment only)",IF(OR($N3565=1,$O3565=1),"U – needs rule",INDEX(MxBody,MATCH($I3565,MxCurr,0),MATCH($H3565,MxStart,0)))))))</f>
        <v/>
      </c>
      <c r="L3565" s="62" t="str">
        <f aca="false">IF(COUNTA($A3565,$F3565,$G3565,$H3565,$I3565,$J3565)=0,"",IF($M3565=0,"✖ كود الصف غير موجود",IF(ISNA(MATCH($F3565,Lists!$A$2:$A$5,0)),"✖ الفترة غير صحيحة",IF(ISNA(MATCH($G3565,Lists!$B$2:$B$7,0)),"✖ المجموعة غير صحيحة",IF(NOT(OR($H3565="",$N3565&gt;0)),"✖ Start غير صحيح",IF(NOT(OR($I3565="",$I3565="NR",$O3565&gt;0)),"✖ Current غير صحيح",IF(NOT(IF(ISNUMBER($J3565),AND($J3565&gt;=0,$J3565=INT($J3565)),FALSE())),"✖ العدد يجب أن يكون صحيحًا ≥ 0",IF(AND($F3565="Baseline",$H3565&lt;&gt;""),"⚠ Baseline: Start لا يدخل في التقدم",IF($K3565="No Start (attainment only)","ℹ تحصيل فقط (بدون Start)",IF($K3565="U – needs rule","ℹ حالة U تحتاج قاعدة معتمدة",IF($K3565="No result","ℹ بدون نتيجة (يُستبعد من التحصيل)","OK")))))))))))</f>
        <v/>
      </c>
      <c r="M3565" s="64" t="n">
        <f aca="false">IF($A3565="",0,IFERROR(MATCH($A3565,Classes!$A$6:$A$420,0),0))</f>
        <v>0</v>
      </c>
      <c r="N3565" s="64" t="n">
        <f aca="false">IF($H3565="",0,IFERROR(MATCH($H3565,GradeList,0),0))</f>
        <v>0</v>
      </c>
      <c r="O3565" s="64" t="n">
        <f aca="false">IF(OR($I3565="",$I3565="NR"),0,IFERROR(MATCH($I3565,GradeList,0),0))</f>
        <v>0</v>
      </c>
      <c r="P3565" s="64" t="n">
        <f aca="false">IF(AND($M3565&gt;0,ISNUMBER(MATCH($F3565,Lists!$A$2:$A$5,0)),ISNUMBER(MATCH($G3565,Lists!$B$2:$B$7,0)),OR($H3565="",$N3565&gt;0),OR($I3565="",$I3565="NR",$O3565&gt;0),IF(ISNUMBER($J3565),AND($J3565&gt;=0,$J3565=INT($J3565)),FALSE())),$J3565,0)</f>
        <v>0</v>
      </c>
      <c r="Q3565" s="64" t="n">
        <f aca="false">IF(AND($P3565&gt;0,$O3565&gt;0),$P3565,0)</f>
        <v>0</v>
      </c>
      <c r="R3565" s="64" t="n">
        <f aca="false">IF(AND($Q3565&gt;0,$O3565&gt;=AtRank),$Q3565,0)</f>
        <v>0</v>
      </c>
      <c r="S3565" s="64" t="n">
        <f aca="false">IF(AND($Q3565&gt;0,$O3565&gt;=AboveRank),$Q3565,0)</f>
        <v>0</v>
      </c>
      <c r="T3565" s="64" t="n">
        <f aca="false">IF($K3565="Less",$P3565,0)</f>
        <v>0</v>
      </c>
      <c r="U3565" s="64" t="n">
        <f aca="false">IF($K3565="Expected",$P3565,0)</f>
        <v>0</v>
      </c>
      <c r="V3565" s="64" t="n">
        <f aca="false">IF($K3565="Better",$P3565,0)</f>
        <v>0</v>
      </c>
      <c r="W3565" s="64" t="n">
        <f aca="false">IF($K3565="U – needs rule",$P3565,0)</f>
        <v>0</v>
      </c>
      <c r="X3565" s="64" t="n">
        <f aca="false">IF($K3565="No Start (attainment only)",$P3565,0)</f>
        <v>0</v>
      </c>
    </row>
    <row r="3566" customFormat="false" ht="15" hidden="false" customHeight="false" outlineLevel="0" collapsed="false">
      <c r="A3566" s="60"/>
      <c r="B3566" s="61" t="str">
        <f aca="false">IF($M3566=0,"",INDEX(Classes!$E$6:$E$420,$M3566))</f>
        <v/>
      </c>
      <c r="C3566" s="62" t="str">
        <f aca="false">IF($M3566=0,"",INDEX(Classes!$H$6:$H$420,$M3566))</f>
        <v/>
      </c>
      <c r="D3566" s="61" t="str">
        <f aca="false">IF($M3566=0,"",INDEX(Classes!$B$6:$B$420,$M3566))</f>
        <v/>
      </c>
      <c r="E3566" s="61" t="str">
        <f aca="false">IF($M3566=0,"",INDEX(Classes!$C$6:$C$420,$M3566))</f>
        <v/>
      </c>
      <c r="F3566" s="63"/>
      <c r="G3566" s="63"/>
      <c r="H3566" s="60"/>
      <c r="I3566" s="60"/>
      <c r="J3566" s="63"/>
      <c r="K3566" s="61" t="str">
        <f aca="false">IF($P3566=0,"",IF($F3566="Baseline","— Baseline",IF($O3566=0,"No result",IF($N3566=0,"No Start (attainment only)",IF(OR($N3566=1,$O3566=1),"U – needs rule",INDEX(MxBody,MATCH($I3566,MxCurr,0),MATCH($H3566,MxStart,0)))))))</f>
        <v/>
      </c>
      <c r="L3566" s="62" t="str">
        <f aca="false">IF(COUNTA($A3566,$F3566,$G3566,$H3566,$I3566,$J3566)=0,"",IF($M3566=0,"✖ كود الصف غير موجود",IF(ISNA(MATCH($F3566,Lists!$A$2:$A$5,0)),"✖ الفترة غير صحيحة",IF(ISNA(MATCH($G3566,Lists!$B$2:$B$7,0)),"✖ المجموعة غير صحيحة",IF(NOT(OR($H3566="",$N3566&gt;0)),"✖ Start غير صحيح",IF(NOT(OR($I3566="",$I3566="NR",$O3566&gt;0)),"✖ Current غير صحيح",IF(NOT(IF(ISNUMBER($J3566),AND($J3566&gt;=0,$J3566=INT($J3566)),FALSE())),"✖ العدد يجب أن يكون صحيحًا ≥ 0",IF(AND($F3566="Baseline",$H3566&lt;&gt;""),"⚠ Baseline: Start لا يدخل في التقدم",IF($K3566="No Start (attainment only)","ℹ تحصيل فقط (بدون Start)",IF($K3566="U – needs rule","ℹ حالة U تحتاج قاعدة معتمدة",IF($K3566="No result","ℹ بدون نتيجة (يُستبعد من التحصيل)","OK")))))))))))</f>
        <v/>
      </c>
      <c r="M3566" s="64" t="n">
        <f aca="false">IF($A3566="",0,IFERROR(MATCH($A3566,Classes!$A$6:$A$420,0),0))</f>
        <v>0</v>
      </c>
      <c r="N3566" s="64" t="n">
        <f aca="false">IF($H3566="",0,IFERROR(MATCH($H3566,GradeList,0),0))</f>
        <v>0</v>
      </c>
      <c r="O3566" s="64" t="n">
        <f aca="false">IF(OR($I3566="",$I3566="NR"),0,IFERROR(MATCH($I3566,GradeList,0),0))</f>
        <v>0</v>
      </c>
      <c r="P3566" s="64" t="n">
        <f aca="false">IF(AND($M3566&gt;0,ISNUMBER(MATCH($F3566,Lists!$A$2:$A$5,0)),ISNUMBER(MATCH($G3566,Lists!$B$2:$B$7,0)),OR($H3566="",$N3566&gt;0),OR($I3566="",$I3566="NR",$O3566&gt;0),IF(ISNUMBER($J3566),AND($J3566&gt;=0,$J3566=INT($J3566)),FALSE())),$J3566,0)</f>
        <v>0</v>
      </c>
      <c r="Q3566" s="64" t="n">
        <f aca="false">IF(AND($P3566&gt;0,$O3566&gt;0),$P3566,0)</f>
        <v>0</v>
      </c>
      <c r="R3566" s="64" t="n">
        <f aca="false">IF(AND($Q3566&gt;0,$O3566&gt;=AtRank),$Q3566,0)</f>
        <v>0</v>
      </c>
      <c r="S3566" s="64" t="n">
        <f aca="false">IF(AND($Q3566&gt;0,$O3566&gt;=AboveRank),$Q3566,0)</f>
        <v>0</v>
      </c>
      <c r="T3566" s="64" t="n">
        <f aca="false">IF($K3566="Less",$P3566,0)</f>
        <v>0</v>
      </c>
      <c r="U3566" s="64" t="n">
        <f aca="false">IF($K3566="Expected",$P3566,0)</f>
        <v>0</v>
      </c>
      <c r="V3566" s="64" t="n">
        <f aca="false">IF($K3566="Better",$P3566,0)</f>
        <v>0</v>
      </c>
      <c r="W3566" s="64" t="n">
        <f aca="false">IF($K3566="U – needs rule",$P3566,0)</f>
        <v>0</v>
      </c>
      <c r="X3566" s="64" t="n">
        <f aca="false">IF($K3566="No Start (attainment only)",$P3566,0)</f>
        <v>0</v>
      </c>
    </row>
    <row r="3567" customFormat="false" ht="15" hidden="false" customHeight="false" outlineLevel="0" collapsed="false">
      <c r="A3567" s="60"/>
      <c r="B3567" s="61" t="str">
        <f aca="false">IF($M3567=0,"",INDEX(Classes!$E$6:$E$420,$M3567))</f>
        <v/>
      </c>
      <c r="C3567" s="62" t="str">
        <f aca="false">IF($M3567=0,"",INDEX(Classes!$H$6:$H$420,$M3567))</f>
        <v/>
      </c>
      <c r="D3567" s="61" t="str">
        <f aca="false">IF($M3567=0,"",INDEX(Classes!$B$6:$B$420,$M3567))</f>
        <v/>
      </c>
      <c r="E3567" s="61" t="str">
        <f aca="false">IF($M3567=0,"",INDEX(Classes!$C$6:$C$420,$M3567))</f>
        <v/>
      </c>
      <c r="F3567" s="63"/>
      <c r="G3567" s="63"/>
      <c r="H3567" s="60"/>
      <c r="I3567" s="60"/>
      <c r="J3567" s="63"/>
      <c r="K3567" s="61" t="str">
        <f aca="false">IF($P3567=0,"",IF($F3567="Baseline","— Baseline",IF($O3567=0,"No result",IF($N3567=0,"No Start (attainment only)",IF(OR($N3567=1,$O3567=1),"U – needs rule",INDEX(MxBody,MATCH($I3567,MxCurr,0),MATCH($H3567,MxStart,0)))))))</f>
        <v/>
      </c>
      <c r="L3567" s="62" t="str">
        <f aca="false">IF(COUNTA($A3567,$F3567,$G3567,$H3567,$I3567,$J3567)=0,"",IF($M3567=0,"✖ كود الصف غير موجود",IF(ISNA(MATCH($F3567,Lists!$A$2:$A$5,0)),"✖ الفترة غير صحيحة",IF(ISNA(MATCH($G3567,Lists!$B$2:$B$7,0)),"✖ المجموعة غير صحيحة",IF(NOT(OR($H3567="",$N3567&gt;0)),"✖ Start غير صحيح",IF(NOT(OR($I3567="",$I3567="NR",$O3567&gt;0)),"✖ Current غير صحيح",IF(NOT(IF(ISNUMBER($J3567),AND($J3567&gt;=0,$J3567=INT($J3567)),FALSE())),"✖ العدد يجب أن يكون صحيحًا ≥ 0",IF(AND($F3567="Baseline",$H3567&lt;&gt;""),"⚠ Baseline: Start لا يدخل في التقدم",IF($K3567="No Start (attainment only)","ℹ تحصيل فقط (بدون Start)",IF($K3567="U – needs rule","ℹ حالة U تحتاج قاعدة معتمدة",IF($K3567="No result","ℹ بدون نتيجة (يُستبعد من التحصيل)","OK")))))))))))</f>
        <v/>
      </c>
      <c r="M3567" s="64" t="n">
        <f aca="false">IF($A3567="",0,IFERROR(MATCH($A3567,Classes!$A$6:$A$420,0),0))</f>
        <v>0</v>
      </c>
      <c r="N3567" s="64" t="n">
        <f aca="false">IF($H3567="",0,IFERROR(MATCH($H3567,GradeList,0),0))</f>
        <v>0</v>
      </c>
      <c r="O3567" s="64" t="n">
        <f aca="false">IF(OR($I3567="",$I3567="NR"),0,IFERROR(MATCH($I3567,GradeList,0),0))</f>
        <v>0</v>
      </c>
      <c r="P3567" s="64" t="n">
        <f aca="false">IF(AND($M3567&gt;0,ISNUMBER(MATCH($F3567,Lists!$A$2:$A$5,0)),ISNUMBER(MATCH($G3567,Lists!$B$2:$B$7,0)),OR($H3567="",$N3567&gt;0),OR($I3567="",$I3567="NR",$O3567&gt;0),IF(ISNUMBER($J3567),AND($J3567&gt;=0,$J3567=INT($J3567)),FALSE())),$J3567,0)</f>
        <v>0</v>
      </c>
      <c r="Q3567" s="64" t="n">
        <f aca="false">IF(AND($P3567&gt;0,$O3567&gt;0),$P3567,0)</f>
        <v>0</v>
      </c>
      <c r="R3567" s="64" t="n">
        <f aca="false">IF(AND($Q3567&gt;0,$O3567&gt;=AtRank),$Q3567,0)</f>
        <v>0</v>
      </c>
      <c r="S3567" s="64" t="n">
        <f aca="false">IF(AND($Q3567&gt;0,$O3567&gt;=AboveRank),$Q3567,0)</f>
        <v>0</v>
      </c>
      <c r="T3567" s="64" t="n">
        <f aca="false">IF($K3567="Less",$P3567,0)</f>
        <v>0</v>
      </c>
      <c r="U3567" s="64" t="n">
        <f aca="false">IF($K3567="Expected",$P3567,0)</f>
        <v>0</v>
      </c>
      <c r="V3567" s="64" t="n">
        <f aca="false">IF($K3567="Better",$P3567,0)</f>
        <v>0</v>
      </c>
      <c r="W3567" s="64" t="n">
        <f aca="false">IF($K3567="U – needs rule",$P3567,0)</f>
        <v>0</v>
      </c>
      <c r="X3567" s="64" t="n">
        <f aca="false">IF($K3567="No Start (attainment only)",$P3567,0)</f>
        <v>0</v>
      </c>
    </row>
    <row r="3568" customFormat="false" ht="15" hidden="false" customHeight="false" outlineLevel="0" collapsed="false">
      <c r="A3568" s="60"/>
      <c r="B3568" s="61" t="str">
        <f aca="false">IF($M3568=0,"",INDEX(Classes!$E$6:$E$420,$M3568))</f>
        <v/>
      </c>
      <c r="C3568" s="62" t="str">
        <f aca="false">IF($M3568=0,"",INDEX(Classes!$H$6:$H$420,$M3568))</f>
        <v/>
      </c>
      <c r="D3568" s="61" t="str">
        <f aca="false">IF($M3568=0,"",INDEX(Classes!$B$6:$B$420,$M3568))</f>
        <v/>
      </c>
      <c r="E3568" s="61" t="str">
        <f aca="false">IF($M3568=0,"",INDEX(Classes!$C$6:$C$420,$M3568))</f>
        <v/>
      </c>
      <c r="F3568" s="63"/>
      <c r="G3568" s="63"/>
      <c r="H3568" s="60"/>
      <c r="I3568" s="60"/>
      <c r="J3568" s="63"/>
      <c r="K3568" s="61" t="str">
        <f aca="false">IF($P3568=0,"",IF($F3568="Baseline","— Baseline",IF($O3568=0,"No result",IF($N3568=0,"No Start (attainment only)",IF(OR($N3568=1,$O3568=1),"U – needs rule",INDEX(MxBody,MATCH($I3568,MxCurr,0),MATCH($H3568,MxStart,0)))))))</f>
        <v/>
      </c>
      <c r="L3568" s="62" t="str">
        <f aca="false">IF(COUNTA($A3568,$F3568,$G3568,$H3568,$I3568,$J3568)=0,"",IF($M3568=0,"✖ كود الصف غير موجود",IF(ISNA(MATCH($F3568,Lists!$A$2:$A$5,0)),"✖ الفترة غير صحيحة",IF(ISNA(MATCH($G3568,Lists!$B$2:$B$7,0)),"✖ المجموعة غير صحيحة",IF(NOT(OR($H3568="",$N3568&gt;0)),"✖ Start غير صحيح",IF(NOT(OR($I3568="",$I3568="NR",$O3568&gt;0)),"✖ Current غير صحيح",IF(NOT(IF(ISNUMBER($J3568),AND($J3568&gt;=0,$J3568=INT($J3568)),FALSE())),"✖ العدد يجب أن يكون صحيحًا ≥ 0",IF(AND($F3568="Baseline",$H3568&lt;&gt;""),"⚠ Baseline: Start لا يدخل في التقدم",IF($K3568="No Start (attainment only)","ℹ تحصيل فقط (بدون Start)",IF($K3568="U – needs rule","ℹ حالة U تحتاج قاعدة معتمدة",IF($K3568="No result","ℹ بدون نتيجة (يُستبعد من التحصيل)","OK")))))))))))</f>
        <v/>
      </c>
      <c r="M3568" s="64" t="n">
        <f aca="false">IF($A3568="",0,IFERROR(MATCH($A3568,Classes!$A$6:$A$420,0),0))</f>
        <v>0</v>
      </c>
      <c r="N3568" s="64" t="n">
        <f aca="false">IF($H3568="",0,IFERROR(MATCH($H3568,GradeList,0),0))</f>
        <v>0</v>
      </c>
      <c r="O3568" s="64" t="n">
        <f aca="false">IF(OR($I3568="",$I3568="NR"),0,IFERROR(MATCH($I3568,GradeList,0),0))</f>
        <v>0</v>
      </c>
      <c r="P3568" s="64" t="n">
        <f aca="false">IF(AND($M3568&gt;0,ISNUMBER(MATCH($F3568,Lists!$A$2:$A$5,0)),ISNUMBER(MATCH($G3568,Lists!$B$2:$B$7,0)),OR($H3568="",$N3568&gt;0),OR($I3568="",$I3568="NR",$O3568&gt;0),IF(ISNUMBER($J3568),AND($J3568&gt;=0,$J3568=INT($J3568)),FALSE())),$J3568,0)</f>
        <v>0</v>
      </c>
      <c r="Q3568" s="64" t="n">
        <f aca="false">IF(AND($P3568&gt;0,$O3568&gt;0),$P3568,0)</f>
        <v>0</v>
      </c>
      <c r="R3568" s="64" t="n">
        <f aca="false">IF(AND($Q3568&gt;0,$O3568&gt;=AtRank),$Q3568,0)</f>
        <v>0</v>
      </c>
      <c r="S3568" s="64" t="n">
        <f aca="false">IF(AND($Q3568&gt;0,$O3568&gt;=AboveRank),$Q3568,0)</f>
        <v>0</v>
      </c>
      <c r="T3568" s="64" t="n">
        <f aca="false">IF($K3568="Less",$P3568,0)</f>
        <v>0</v>
      </c>
      <c r="U3568" s="64" t="n">
        <f aca="false">IF($K3568="Expected",$P3568,0)</f>
        <v>0</v>
      </c>
      <c r="V3568" s="64" t="n">
        <f aca="false">IF($K3568="Better",$P3568,0)</f>
        <v>0</v>
      </c>
      <c r="W3568" s="64" t="n">
        <f aca="false">IF($K3568="U – needs rule",$P3568,0)</f>
        <v>0</v>
      </c>
      <c r="X3568" s="64" t="n">
        <f aca="false">IF($K3568="No Start (attainment only)",$P3568,0)</f>
        <v>0</v>
      </c>
    </row>
    <row r="3569" customFormat="false" ht="15" hidden="false" customHeight="false" outlineLevel="0" collapsed="false">
      <c r="A3569" s="60"/>
      <c r="B3569" s="61" t="str">
        <f aca="false">IF($M3569=0,"",INDEX(Classes!$E$6:$E$420,$M3569))</f>
        <v/>
      </c>
      <c r="C3569" s="62" t="str">
        <f aca="false">IF($M3569=0,"",INDEX(Classes!$H$6:$H$420,$M3569))</f>
        <v/>
      </c>
      <c r="D3569" s="61" t="str">
        <f aca="false">IF($M3569=0,"",INDEX(Classes!$B$6:$B$420,$M3569))</f>
        <v/>
      </c>
      <c r="E3569" s="61" t="str">
        <f aca="false">IF($M3569=0,"",INDEX(Classes!$C$6:$C$420,$M3569))</f>
        <v/>
      </c>
      <c r="F3569" s="63"/>
      <c r="G3569" s="63"/>
      <c r="H3569" s="60"/>
      <c r="I3569" s="60"/>
      <c r="J3569" s="63"/>
      <c r="K3569" s="61" t="str">
        <f aca="false">IF($P3569=0,"",IF($F3569="Baseline","— Baseline",IF($O3569=0,"No result",IF($N3569=0,"No Start (attainment only)",IF(OR($N3569=1,$O3569=1),"U – needs rule",INDEX(MxBody,MATCH($I3569,MxCurr,0),MATCH($H3569,MxStart,0)))))))</f>
        <v/>
      </c>
      <c r="L3569" s="62" t="str">
        <f aca="false">IF(COUNTA($A3569,$F3569,$G3569,$H3569,$I3569,$J3569)=0,"",IF($M3569=0,"✖ كود الصف غير موجود",IF(ISNA(MATCH($F3569,Lists!$A$2:$A$5,0)),"✖ الفترة غير صحيحة",IF(ISNA(MATCH($G3569,Lists!$B$2:$B$7,0)),"✖ المجموعة غير صحيحة",IF(NOT(OR($H3569="",$N3569&gt;0)),"✖ Start غير صحيح",IF(NOT(OR($I3569="",$I3569="NR",$O3569&gt;0)),"✖ Current غير صحيح",IF(NOT(IF(ISNUMBER($J3569),AND($J3569&gt;=0,$J3569=INT($J3569)),FALSE())),"✖ العدد يجب أن يكون صحيحًا ≥ 0",IF(AND($F3569="Baseline",$H3569&lt;&gt;""),"⚠ Baseline: Start لا يدخل في التقدم",IF($K3569="No Start (attainment only)","ℹ تحصيل فقط (بدون Start)",IF($K3569="U – needs rule","ℹ حالة U تحتاج قاعدة معتمدة",IF($K3569="No result","ℹ بدون نتيجة (يُستبعد من التحصيل)","OK")))))))))))</f>
        <v/>
      </c>
      <c r="M3569" s="64" t="n">
        <f aca="false">IF($A3569="",0,IFERROR(MATCH($A3569,Classes!$A$6:$A$420,0),0))</f>
        <v>0</v>
      </c>
      <c r="N3569" s="64" t="n">
        <f aca="false">IF($H3569="",0,IFERROR(MATCH($H3569,GradeList,0),0))</f>
        <v>0</v>
      </c>
      <c r="O3569" s="64" t="n">
        <f aca="false">IF(OR($I3569="",$I3569="NR"),0,IFERROR(MATCH($I3569,GradeList,0),0))</f>
        <v>0</v>
      </c>
      <c r="P3569" s="64" t="n">
        <f aca="false">IF(AND($M3569&gt;0,ISNUMBER(MATCH($F3569,Lists!$A$2:$A$5,0)),ISNUMBER(MATCH($G3569,Lists!$B$2:$B$7,0)),OR($H3569="",$N3569&gt;0),OR($I3569="",$I3569="NR",$O3569&gt;0),IF(ISNUMBER($J3569),AND($J3569&gt;=0,$J3569=INT($J3569)),FALSE())),$J3569,0)</f>
        <v>0</v>
      </c>
      <c r="Q3569" s="64" t="n">
        <f aca="false">IF(AND($P3569&gt;0,$O3569&gt;0),$P3569,0)</f>
        <v>0</v>
      </c>
      <c r="R3569" s="64" t="n">
        <f aca="false">IF(AND($Q3569&gt;0,$O3569&gt;=AtRank),$Q3569,0)</f>
        <v>0</v>
      </c>
      <c r="S3569" s="64" t="n">
        <f aca="false">IF(AND($Q3569&gt;0,$O3569&gt;=AboveRank),$Q3569,0)</f>
        <v>0</v>
      </c>
      <c r="T3569" s="64" t="n">
        <f aca="false">IF($K3569="Less",$P3569,0)</f>
        <v>0</v>
      </c>
      <c r="U3569" s="64" t="n">
        <f aca="false">IF($K3569="Expected",$P3569,0)</f>
        <v>0</v>
      </c>
      <c r="V3569" s="64" t="n">
        <f aca="false">IF($K3569="Better",$P3569,0)</f>
        <v>0</v>
      </c>
      <c r="W3569" s="64" t="n">
        <f aca="false">IF($K3569="U – needs rule",$P3569,0)</f>
        <v>0</v>
      </c>
      <c r="X3569" s="64" t="n">
        <f aca="false">IF($K3569="No Start (attainment only)",$P3569,0)</f>
        <v>0</v>
      </c>
    </row>
    <row r="3570" customFormat="false" ht="15" hidden="false" customHeight="false" outlineLevel="0" collapsed="false">
      <c r="A3570" s="60"/>
      <c r="B3570" s="61" t="str">
        <f aca="false">IF($M3570=0,"",INDEX(Classes!$E$6:$E$420,$M3570))</f>
        <v/>
      </c>
      <c r="C3570" s="62" t="str">
        <f aca="false">IF($M3570=0,"",INDEX(Classes!$H$6:$H$420,$M3570))</f>
        <v/>
      </c>
      <c r="D3570" s="61" t="str">
        <f aca="false">IF($M3570=0,"",INDEX(Classes!$B$6:$B$420,$M3570))</f>
        <v/>
      </c>
      <c r="E3570" s="61" t="str">
        <f aca="false">IF($M3570=0,"",INDEX(Classes!$C$6:$C$420,$M3570))</f>
        <v/>
      </c>
      <c r="F3570" s="63"/>
      <c r="G3570" s="63"/>
      <c r="H3570" s="60"/>
      <c r="I3570" s="60"/>
      <c r="J3570" s="63"/>
      <c r="K3570" s="61" t="str">
        <f aca="false">IF($P3570=0,"",IF($F3570="Baseline","— Baseline",IF($O3570=0,"No result",IF($N3570=0,"No Start (attainment only)",IF(OR($N3570=1,$O3570=1),"U – needs rule",INDEX(MxBody,MATCH($I3570,MxCurr,0),MATCH($H3570,MxStart,0)))))))</f>
        <v/>
      </c>
      <c r="L3570" s="62" t="str">
        <f aca="false">IF(COUNTA($A3570,$F3570,$G3570,$H3570,$I3570,$J3570)=0,"",IF($M3570=0,"✖ كود الصف غير موجود",IF(ISNA(MATCH($F3570,Lists!$A$2:$A$5,0)),"✖ الفترة غير صحيحة",IF(ISNA(MATCH($G3570,Lists!$B$2:$B$7,0)),"✖ المجموعة غير صحيحة",IF(NOT(OR($H3570="",$N3570&gt;0)),"✖ Start غير صحيح",IF(NOT(OR($I3570="",$I3570="NR",$O3570&gt;0)),"✖ Current غير صحيح",IF(NOT(IF(ISNUMBER($J3570),AND($J3570&gt;=0,$J3570=INT($J3570)),FALSE())),"✖ العدد يجب أن يكون صحيحًا ≥ 0",IF(AND($F3570="Baseline",$H3570&lt;&gt;""),"⚠ Baseline: Start لا يدخل في التقدم",IF($K3570="No Start (attainment only)","ℹ تحصيل فقط (بدون Start)",IF($K3570="U – needs rule","ℹ حالة U تحتاج قاعدة معتمدة",IF($K3570="No result","ℹ بدون نتيجة (يُستبعد من التحصيل)","OK")))))))))))</f>
        <v/>
      </c>
      <c r="M3570" s="64" t="n">
        <f aca="false">IF($A3570="",0,IFERROR(MATCH($A3570,Classes!$A$6:$A$420,0),0))</f>
        <v>0</v>
      </c>
      <c r="N3570" s="64" t="n">
        <f aca="false">IF($H3570="",0,IFERROR(MATCH($H3570,GradeList,0),0))</f>
        <v>0</v>
      </c>
      <c r="O3570" s="64" t="n">
        <f aca="false">IF(OR($I3570="",$I3570="NR"),0,IFERROR(MATCH($I3570,GradeList,0),0))</f>
        <v>0</v>
      </c>
      <c r="P3570" s="64" t="n">
        <f aca="false">IF(AND($M3570&gt;0,ISNUMBER(MATCH($F3570,Lists!$A$2:$A$5,0)),ISNUMBER(MATCH($G3570,Lists!$B$2:$B$7,0)),OR($H3570="",$N3570&gt;0),OR($I3570="",$I3570="NR",$O3570&gt;0),IF(ISNUMBER($J3570),AND($J3570&gt;=0,$J3570=INT($J3570)),FALSE())),$J3570,0)</f>
        <v>0</v>
      </c>
      <c r="Q3570" s="64" t="n">
        <f aca="false">IF(AND($P3570&gt;0,$O3570&gt;0),$P3570,0)</f>
        <v>0</v>
      </c>
      <c r="R3570" s="64" t="n">
        <f aca="false">IF(AND($Q3570&gt;0,$O3570&gt;=AtRank),$Q3570,0)</f>
        <v>0</v>
      </c>
      <c r="S3570" s="64" t="n">
        <f aca="false">IF(AND($Q3570&gt;0,$O3570&gt;=AboveRank),$Q3570,0)</f>
        <v>0</v>
      </c>
      <c r="T3570" s="64" t="n">
        <f aca="false">IF($K3570="Less",$P3570,0)</f>
        <v>0</v>
      </c>
      <c r="U3570" s="64" t="n">
        <f aca="false">IF($K3570="Expected",$P3570,0)</f>
        <v>0</v>
      </c>
      <c r="V3570" s="64" t="n">
        <f aca="false">IF($K3570="Better",$P3570,0)</f>
        <v>0</v>
      </c>
      <c r="W3570" s="64" t="n">
        <f aca="false">IF($K3570="U – needs rule",$P3570,0)</f>
        <v>0</v>
      </c>
      <c r="X3570" s="64" t="n">
        <f aca="false">IF($K3570="No Start (attainment only)",$P3570,0)</f>
        <v>0</v>
      </c>
    </row>
    <row r="3571" customFormat="false" ht="15" hidden="false" customHeight="false" outlineLevel="0" collapsed="false">
      <c r="A3571" s="60"/>
      <c r="B3571" s="61" t="str">
        <f aca="false">IF($M3571=0,"",INDEX(Classes!$E$6:$E$420,$M3571))</f>
        <v/>
      </c>
      <c r="C3571" s="62" t="str">
        <f aca="false">IF($M3571=0,"",INDEX(Classes!$H$6:$H$420,$M3571))</f>
        <v/>
      </c>
      <c r="D3571" s="61" t="str">
        <f aca="false">IF($M3571=0,"",INDEX(Classes!$B$6:$B$420,$M3571))</f>
        <v/>
      </c>
      <c r="E3571" s="61" t="str">
        <f aca="false">IF($M3571=0,"",INDEX(Classes!$C$6:$C$420,$M3571))</f>
        <v/>
      </c>
      <c r="F3571" s="63"/>
      <c r="G3571" s="63"/>
      <c r="H3571" s="60"/>
      <c r="I3571" s="60"/>
      <c r="J3571" s="63"/>
      <c r="K3571" s="61" t="str">
        <f aca="false">IF($P3571=0,"",IF($F3571="Baseline","— Baseline",IF($O3571=0,"No result",IF($N3571=0,"No Start (attainment only)",IF(OR($N3571=1,$O3571=1),"U – needs rule",INDEX(MxBody,MATCH($I3571,MxCurr,0),MATCH($H3571,MxStart,0)))))))</f>
        <v/>
      </c>
      <c r="L3571" s="62" t="str">
        <f aca="false">IF(COUNTA($A3571,$F3571,$G3571,$H3571,$I3571,$J3571)=0,"",IF($M3571=0,"✖ كود الصف غير موجود",IF(ISNA(MATCH($F3571,Lists!$A$2:$A$5,0)),"✖ الفترة غير صحيحة",IF(ISNA(MATCH($G3571,Lists!$B$2:$B$7,0)),"✖ المجموعة غير صحيحة",IF(NOT(OR($H3571="",$N3571&gt;0)),"✖ Start غير صحيح",IF(NOT(OR($I3571="",$I3571="NR",$O3571&gt;0)),"✖ Current غير صحيح",IF(NOT(IF(ISNUMBER($J3571),AND($J3571&gt;=0,$J3571=INT($J3571)),FALSE())),"✖ العدد يجب أن يكون صحيحًا ≥ 0",IF(AND($F3571="Baseline",$H3571&lt;&gt;""),"⚠ Baseline: Start لا يدخل في التقدم",IF($K3571="No Start (attainment only)","ℹ تحصيل فقط (بدون Start)",IF($K3571="U – needs rule","ℹ حالة U تحتاج قاعدة معتمدة",IF($K3571="No result","ℹ بدون نتيجة (يُستبعد من التحصيل)","OK")))))))))))</f>
        <v/>
      </c>
      <c r="M3571" s="64" t="n">
        <f aca="false">IF($A3571="",0,IFERROR(MATCH($A3571,Classes!$A$6:$A$420,0),0))</f>
        <v>0</v>
      </c>
      <c r="N3571" s="64" t="n">
        <f aca="false">IF($H3571="",0,IFERROR(MATCH($H3571,GradeList,0),0))</f>
        <v>0</v>
      </c>
      <c r="O3571" s="64" t="n">
        <f aca="false">IF(OR($I3571="",$I3571="NR"),0,IFERROR(MATCH($I3571,GradeList,0),0))</f>
        <v>0</v>
      </c>
      <c r="P3571" s="64" t="n">
        <f aca="false">IF(AND($M3571&gt;0,ISNUMBER(MATCH($F3571,Lists!$A$2:$A$5,0)),ISNUMBER(MATCH($G3571,Lists!$B$2:$B$7,0)),OR($H3571="",$N3571&gt;0),OR($I3571="",$I3571="NR",$O3571&gt;0),IF(ISNUMBER($J3571),AND($J3571&gt;=0,$J3571=INT($J3571)),FALSE())),$J3571,0)</f>
        <v>0</v>
      </c>
      <c r="Q3571" s="64" t="n">
        <f aca="false">IF(AND($P3571&gt;0,$O3571&gt;0),$P3571,0)</f>
        <v>0</v>
      </c>
      <c r="R3571" s="64" t="n">
        <f aca="false">IF(AND($Q3571&gt;0,$O3571&gt;=AtRank),$Q3571,0)</f>
        <v>0</v>
      </c>
      <c r="S3571" s="64" t="n">
        <f aca="false">IF(AND($Q3571&gt;0,$O3571&gt;=AboveRank),$Q3571,0)</f>
        <v>0</v>
      </c>
      <c r="T3571" s="64" t="n">
        <f aca="false">IF($K3571="Less",$P3571,0)</f>
        <v>0</v>
      </c>
      <c r="U3571" s="64" t="n">
        <f aca="false">IF($K3571="Expected",$P3571,0)</f>
        <v>0</v>
      </c>
      <c r="V3571" s="64" t="n">
        <f aca="false">IF($K3571="Better",$P3571,0)</f>
        <v>0</v>
      </c>
      <c r="W3571" s="64" t="n">
        <f aca="false">IF($K3571="U – needs rule",$P3571,0)</f>
        <v>0</v>
      </c>
      <c r="X3571" s="64" t="n">
        <f aca="false">IF($K3571="No Start (attainment only)",$P3571,0)</f>
        <v>0</v>
      </c>
    </row>
    <row r="3572" customFormat="false" ht="15" hidden="false" customHeight="false" outlineLevel="0" collapsed="false">
      <c r="A3572" s="60"/>
      <c r="B3572" s="61" t="str">
        <f aca="false">IF($M3572=0,"",INDEX(Classes!$E$6:$E$420,$M3572))</f>
        <v/>
      </c>
      <c r="C3572" s="62" t="str">
        <f aca="false">IF($M3572=0,"",INDEX(Classes!$H$6:$H$420,$M3572))</f>
        <v/>
      </c>
      <c r="D3572" s="61" t="str">
        <f aca="false">IF($M3572=0,"",INDEX(Classes!$B$6:$B$420,$M3572))</f>
        <v/>
      </c>
      <c r="E3572" s="61" t="str">
        <f aca="false">IF($M3572=0,"",INDEX(Classes!$C$6:$C$420,$M3572))</f>
        <v/>
      </c>
      <c r="F3572" s="63"/>
      <c r="G3572" s="63"/>
      <c r="H3572" s="60"/>
      <c r="I3572" s="60"/>
      <c r="J3572" s="63"/>
      <c r="K3572" s="61" t="str">
        <f aca="false">IF($P3572=0,"",IF($F3572="Baseline","— Baseline",IF($O3572=0,"No result",IF($N3572=0,"No Start (attainment only)",IF(OR($N3572=1,$O3572=1),"U – needs rule",INDEX(MxBody,MATCH($I3572,MxCurr,0),MATCH($H3572,MxStart,0)))))))</f>
        <v/>
      </c>
      <c r="L3572" s="62" t="str">
        <f aca="false">IF(COUNTA($A3572,$F3572,$G3572,$H3572,$I3572,$J3572)=0,"",IF($M3572=0,"✖ كود الصف غير موجود",IF(ISNA(MATCH($F3572,Lists!$A$2:$A$5,0)),"✖ الفترة غير صحيحة",IF(ISNA(MATCH($G3572,Lists!$B$2:$B$7,0)),"✖ المجموعة غير صحيحة",IF(NOT(OR($H3572="",$N3572&gt;0)),"✖ Start غير صحيح",IF(NOT(OR($I3572="",$I3572="NR",$O3572&gt;0)),"✖ Current غير صحيح",IF(NOT(IF(ISNUMBER($J3572),AND($J3572&gt;=0,$J3572=INT($J3572)),FALSE())),"✖ العدد يجب أن يكون صحيحًا ≥ 0",IF(AND($F3572="Baseline",$H3572&lt;&gt;""),"⚠ Baseline: Start لا يدخل في التقدم",IF($K3572="No Start (attainment only)","ℹ تحصيل فقط (بدون Start)",IF($K3572="U – needs rule","ℹ حالة U تحتاج قاعدة معتمدة",IF($K3572="No result","ℹ بدون نتيجة (يُستبعد من التحصيل)","OK")))))))))))</f>
        <v/>
      </c>
      <c r="M3572" s="64" t="n">
        <f aca="false">IF($A3572="",0,IFERROR(MATCH($A3572,Classes!$A$6:$A$420,0),0))</f>
        <v>0</v>
      </c>
      <c r="N3572" s="64" t="n">
        <f aca="false">IF($H3572="",0,IFERROR(MATCH($H3572,GradeList,0),0))</f>
        <v>0</v>
      </c>
      <c r="O3572" s="64" t="n">
        <f aca="false">IF(OR($I3572="",$I3572="NR"),0,IFERROR(MATCH($I3572,GradeList,0),0))</f>
        <v>0</v>
      </c>
      <c r="P3572" s="64" t="n">
        <f aca="false">IF(AND($M3572&gt;0,ISNUMBER(MATCH($F3572,Lists!$A$2:$A$5,0)),ISNUMBER(MATCH($G3572,Lists!$B$2:$B$7,0)),OR($H3572="",$N3572&gt;0),OR($I3572="",$I3572="NR",$O3572&gt;0),IF(ISNUMBER($J3572),AND($J3572&gt;=0,$J3572=INT($J3572)),FALSE())),$J3572,0)</f>
        <v>0</v>
      </c>
      <c r="Q3572" s="64" t="n">
        <f aca="false">IF(AND($P3572&gt;0,$O3572&gt;0),$P3572,0)</f>
        <v>0</v>
      </c>
      <c r="R3572" s="64" t="n">
        <f aca="false">IF(AND($Q3572&gt;0,$O3572&gt;=AtRank),$Q3572,0)</f>
        <v>0</v>
      </c>
      <c r="S3572" s="64" t="n">
        <f aca="false">IF(AND($Q3572&gt;0,$O3572&gt;=AboveRank),$Q3572,0)</f>
        <v>0</v>
      </c>
      <c r="T3572" s="64" t="n">
        <f aca="false">IF($K3572="Less",$P3572,0)</f>
        <v>0</v>
      </c>
      <c r="U3572" s="64" t="n">
        <f aca="false">IF($K3572="Expected",$P3572,0)</f>
        <v>0</v>
      </c>
      <c r="V3572" s="64" t="n">
        <f aca="false">IF($K3572="Better",$P3572,0)</f>
        <v>0</v>
      </c>
      <c r="W3572" s="64" t="n">
        <f aca="false">IF($K3572="U – needs rule",$P3572,0)</f>
        <v>0</v>
      </c>
      <c r="X3572" s="64" t="n">
        <f aca="false">IF($K3572="No Start (attainment only)",$P3572,0)</f>
        <v>0</v>
      </c>
    </row>
    <row r="3573" customFormat="false" ht="15" hidden="false" customHeight="false" outlineLevel="0" collapsed="false">
      <c r="A3573" s="60"/>
      <c r="B3573" s="61" t="str">
        <f aca="false">IF($M3573=0,"",INDEX(Classes!$E$6:$E$420,$M3573))</f>
        <v/>
      </c>
      <c r="C3573" s="62" t="str">
        <f aca="false">IF($M3573=0,"",INDEX(Classes!$H$6:$H$420,$M3573))</f>
        <v/>
      </c>
      <c r="D3573" s="61" t="str">
        <f aca="false">IF($M3573=0,"",INDEX(Classes!$B$6:$B$420,$M3573))</f>
        <v/>
      </c>
      <c r="E3573" s="61" t="str">
        <f aca="false">IF($M3573=0,"",INDEX(Classes!$C$6:$C$420,$M3573))</f>
        <v/>
      </c>
      <c r="F3573" s="63"/>
      <c r="G3573" s="63"/>
      <c r="H3573" s="60"/>
      <c r="I3573" s="60"/>
      <c r="J3573" s="63"/>
      <c r="K3573" s="61" t="str">
        <f aca="false">IF($P3573=0,"",IF($F3573="Baseline","— Baseline",IF($O3573=0,"No result",IF($N3573=0,"No Start (attainment only)",IF(OR($N3573=1,$O3573=1),"U – needs rule",INDEX(MxBody,MATCH($I3573,MxCurr,0),MATCH($H3573,MxStart,0)))))))</f>
        <v/>
      </c>
      <c r="L3573" s="62" t="str">
        <f aca="false">IF(COUNTA($A3573,$F3573,$G3573,$H3573,$I3573,$J3573)=0,"",IF($M3573=0,"✖ كود الصف غير موجود",IF(ISNA(MATCH($F3573,Lists!$A$2:$A$5,0)),"✖ الفترة غير صحيحة",IF(ISNA(MATCH($G3573,Lists!$B$2:$B$7,0)),"✖ المجموعة غير صحيحة",IF(NOT(OR($H3573="",$N3573&gt;0)),"✖ Start غير صحيح",IF(NOT(OR($I3573="",$I3573="NR",$O3573&gt;0)),"✖ Current غير صحيح",IF(NOT(IF(ISNUMBER($J3573),AND($J3573&gt;=0,$J3573=INT($J3573)),FALSE())),"✖ العدد يجب أن يكون صحيحًا ≥ 0",IF(AND($F3573="Baseline",$H3573&lt;&gt;""),"⚠ Baseline: Start لا يدخل في التقدم",IF($K3573="No Start (attainment only)","ℹ تحصيل فقط (بدون Start)",IF($K3573="U – needs rule","ℹ حالة U تحتاج قاعدة معتمدة",IF($K3573="No result","ℹ بدون نتيجة (يُستبعد من التحصيل)","OK")))))))))))</f>
        <v/>
      </c>
      <c r="M3573" s="64" t="n">
        <f aca="false">IF($A3573="",0,IFERROR(MATCH($A3573,Classes!$A$6:$A$420,0),0))</f>
        <v>0</v>
      </c>
      <c r="N3573" s="64" t="n">
        <f aca="false">IF($H3573="",0,IFERROR(MATCH($H3573,GradeList,0),0))</f>
        <v>0</v>
      </c>
      <c r="O3573" s="64" t="n">
        <f aca="false">IF(OR($I3573="",$I3573="NR"),0,IFERROR(MATCH($I3573,GradeList,0),0))</f>
        <v>0</v>
      </c>
      <c r="P3573" s="64" t="n">
        <f aca="false">IF(AND($M3573&gt;0,ISNUMBER(MATCH($F3573,Lists!$A$2:$A$5,0)),ISNUMBER(MATCH($G3573,Lists!$B$2:$B$7,0)),OR($H3573="",$N3573&gt;0),OR($I3573="",$I3573="NR",$O3573&gt;0),IF(ISNUMBER($J3573),AND($J3573&gt;=0,$J3573=INT($J3573)),FALSE())),$J3573,0)</f>
        <v>0</v>
      </c>
      <c r="Q3573" s="64" t="n">
        <f aca="false">IF(AND($P3573&gt;0,$O3573&gt;0),$P3573,0)</f>
        <v>0</v>
      </c>
      <c r="R3573" s="64" t="n">
        <f aca="false">IF(AND($Q3573&gt;0,$O3573&gt;=AtRank),$Q3573,0)</f>
        <v>0</v>
      </c>
      <c r="S3573" s="64" t="n">
        <f aca="false">IF(AND($Q3573&gt;0,$O3573&gt;=AboveRank),$Q3573,0)</f>
        <v>0</v>
      </c>
      <c r="T3573" s="64" t="n">
        <f aca="false">IF($K3573="Less",$P3573,0)</f>
        <v>0</v>
      </c>
      <c r="U3573" s="64" t="n">
        <f aca="false">IF($K3573="Expected",$P3573,0)</f>
        <v>0</v>
      </c>
      <c r="V3573" s="64" t="n">
        <f aca="false">IF($K3573="Better",$P3573,0)</f>
        <v>0</v>
      </c>
      <c r="W3573" s="64" t="n">
        <f aca="false">IF($K3573="U – needs rule",$P3573,0)</f>
        <v>0</v>
      </c>
      <c r="X3573" s="64" t="n">
        <f aca="false">IF($K3573="No Start (attainment only)",$P3573,0)</f>
        <v>0</v>
      </c>
    </row>
    <row r="3574" customFormat="false" ht="15" hidden="false" customHeight="false" outlineLevel="0" collapsed="false">
      <c r="A3574" s="60"/>
      <c r="B3574" s="61" t="str">
        <f aca="false">IF($M3574=0,"",INDEX(Classes!$E$6:$E$420,$M3574))</f>
        <v/>
      </c>
      <c r="C3574" s="62" t="str">
        <f aca="false">IF($M3574=0,"",INDEX(Classes!$H$6:$H$420,$M3574))</f>
        <v/>
      </c>
      <c r="D3574" s="61" t="str">
        <f aca="false">IF($M3574=0,"",INDEX(Classes!$B$6:$B$420,$M3574))</f>
        <v/>
      </c>
      <c r="E3574" s="61" t="str">
        <f aca="false">IF($M3574=0,"",INDEX(Classes!$C$6:$C$420,$M3574))</f>
        <v/>
      </c>
      <c r="F3574" s="63"/>
      <c r="G3574" s="63"/>
      <c r="H3574" s="60"/>
      <c r="I3574" s="60"/>
      <c r="J3574" s="63"/>
      <c r="K3574" s="61" t="str">
        <f aca="false">IF($P3574=0,"",IF($F3574="Baseline","— Baseline",IF($O3574=0,"No result",IF($N3574=0,"No Start (attainment only)",IF(OR($N3574=1,$O3574=1),"U – needs rule",INDEX(MxBody,MATCH($I3574,MxCurr,0),MATCH($H3574,MxStart,0)))))))</f>
        <v/>
      </c>
      <c r="L3574" s="62" t="str">
        <f aca="false">IF(COUNTA($A3574,$F3574,$G3574,$H3574,$I3574,$J3574)=0,"",IF($M3574=0,"✖ كود الصف غير موجود",IF(ISNA(MATCH($F3574,Lists!$A$2:$A$5,0)),"✖ الفترة غير صحيحة",IF(ISNA(MATCH($G3574,Lists!$B$2:$B$7,0)),"✖ المجموعة غير صحيحة",IF(NOT(OR($H3574="",$N3574&gt;0)),"✖ Start غير صحيح",IF(NOT(OR($I3574="",$I3574="NR",$O3574&gt;0)),"✖ Current غير صحيح",IF(NOT(IF(ISNUMBER($J3574),AND($J3574&gt;=0,$J3574=INT($J3574)),FALSE())),"✖ العدد يجب أن يكون صحيحًا ≥ 0",IF(AND($F3574="Baseline",$H3574&lt;&gt;""),"⚠ Baseline: Start لا يدخل في التقدم",IF($K3574="No Start (attainment only)","ℹ تحصيل فقط (بدون Start)",IF($K3574="U – needs rule","ℹ حالة U تحتاج قاعدة معتمدة",IF($K3574="No result","ℹ بدون نتيجة (يُستبعد من التحصيل)","OK")))))))))))</f>
        <v/>
      </c>
      <c r="M3574" s="64" t="n">
        <f aca="false">IF($A3574="",0,IFERROR(MATCH($A3574,Classes!$A$6:$A$420,0),0))</f>
        <v>0</v>
      </c>
      <c r="N3574" s="64" t="n">
        <f aca="false">IF($H3574="",0,IFERROR(MATCH($H3574,GradeList,0),0))</f>
        <v>0</v>
      </c>
      <c r="O3574" s="64" t="n">
        <f aca="false">IF(OR($I3574="",$I3574="NR"),0,IFERROR(MATCH($I3574,GradeList,0),0))</f>
        <v>0</v>
      </c>
      <c r="P3574" s="64" t="n">
        <f aca="false">IF(AND($M3574&gt;0,ISNUMBER(MATCH($F3574,Lists!$A$2:$A$5,0)),ISNUMBER(MATCH($G3574,Lists!$B$2:$B$7,0)),OR($H3574="",$N3574&gt;0),OR($I3574="",$I3574="NR",$O3574&gt;0),IF(ISNUMBER($J3574),AND($J3574&gt;=0,$J3574=INT($J3574)),FALSE())),$J3574,0)</f>
        <v>0</v>
      </c>
      <c r="Q3574" s="64" t="n">
        <f aca="false">IF(AND($P3574&gt;0,$O3574&gt;0),$P3574,0)</f>
        <v>0</v>
      </c>
      <c r="R3574" s="64" t="n">
        <f aca="false">IF(AND($Q3574&gt;0,$O3574&gt;=AtRank),$Q3574,0)</f>
        <v>0</v>
      </c>
      <c r="S3574" s="64" t="n">
        <f aca="false">IF(AND($Q3574&gt;0,$O3574&gt;=AboveRank),$Q3574,0)</f>
        <v>0</v>
      </c>
      <c r="T3574" s="64" t="n">
        <f aca="false">IF($K3574="Less",$P3574,0)</f>
        <v>0</v>
      </c>
      <c r="U3574" s="64" t="n">
        <f aca="false">IF($K3574="Expected",$P3574,0)</f>
        <v>0</v>
      </c>
      <c r="V3574" s="64" t="n">
        <f aca="false">IF($K3574="Better",$P3574,0)</f>
        <v>0</v>
      </c>
      <c r="W3574" s="64" t="n">
        <f aca="false">IF($K3574="U – needs rule",$P3574,0)</f>
        <v>0</v>
      </c>
      <c r="X3574" s="64" t="n">
        <f aca="false">IF($K3574="No Start (attainment only)",$P3574,0)</f>
        <v>0</v>
      </c>
    </row>
    <row r="3575" customFormat="false" ht="15" hidden="false" customHeight="false" outlineLevel="0" collapsed="false">
      <c r="A3575" s="60"/>
      <c r="B3575" s="61" t="str">
        <f aca="false">IF($M3575=0,"",INDEX(Classes!$E$6:$E$420,$M3575))</f>
        <v/>
      </c>
      <c r="C3575" s="62" t="str">
        <f aca="false">IF($M3575=0,"",INDEX(Classes!$H$6:$H$420,$M3575))</f>
        <v/>
      </c>
      <c r="D3575" s="61" t="str">
        <f aca="false">IF($M3575=0,"",INDEX(Classes!$B$6:$B$420,$M3575))</f>
        <v/>
      </c>
      <c r="E3575" s="61" t="str">
        <f aca="false">IF($M3575=0,"",INDEX(Classes!$C$6:$C$420,$M3575))</f>
        <v/>
      </c>
      <c r="F3575" s="63"/>
      <c r="G3575" s="63"/>
      <c r="H3575" s="60"/>
      <c r="I3575" s="60"/>
      <c r="J3575" s="63"/>
      <c r="K3575" s="61" t="str">
        <f aca="false">IF($P3575=0,"",IF($F3575="Baseline","— Baseline",IF($O3575=0,"No result",IF($N3575=0,"No Start (attainment only)",IF(OR($N3575=1,$O3575=1),"U – needs rule",INDEX(MxBody,MATCH($I3575,MxCurr,0),MATCH($H3575,MxStart,0)))))))</f>
        <v/>
      </c>
      <c r="L3575" s="62" t="str">
        <f aca="false">IF(COUNTA($A3575,$F3575,$G3575,$H3575,$I3575,$J3575)=0,"",IF($M3575=0,"✖ كود الصف غير موجود",IF(ISNA(MATCH($F3575,Lists!$A$2:$A$5,0)),"✖ الفترة غير صحيحة",IF(ISNA(MATCH($G3575,Lists!$B$2:$B$7,0)),"✖ المجموعة غير صحيحة",IF(NOT(OR($H3575="",$N3575&gt;0)),"✖ Start غير صحيح",IF(NOT(OR($I3575="",$I3575="NR",$O3575&gt;0)),"✖ Current غير صحيح",IF(NOT(IF(ISNUMBER($J3575),AND($J3575&gt;=0,$J3575=INT($J3575)),FALSE())),"✖ العدد يجب أن يكون صحيحًا ≥ 0",IF(AND($F3575="Baseline",$H3575&lt;&gt;""),"⚠ Baseline: Start لا يدخل في التقدم",IF($K3575="No Start (attainment only)","ℹ تحصيل فقط (بدون Start)",IF($K3575="U – needs rule","ℹ حالة U تحتاج قاعدة معتمدة",IF($K3575="No result","ℹ بدون نتيجة (يُستبعد من التحصيل)","OK")))))))))))</f>
        <v/>
      </c>
      <c r="M3575" s="64" t="n">
        <f aca="false">IF($A3575="",0,IFERROR(MATCH($A3575,Classes!$A$6:$A$420,0),0))</f>
        <v>0</v>
      </c>
      <c r="N3575" s="64" t="n">
        <f aca="false">IF($H3575="",0,IFERROR(MATCH($H3575,GradeList,0),0))</f>
        <v>0</v>
      </c>
      <c r="O3575" s="64" t="n">
        <f aca="false">IF(OR($I3575="",$I3575="NR"),0,IFERROR(MATCH($I3575,GradeList,0),0))</f>
        <v>0</v>
      </c>
      <c r="P3575" s="64" t="n">
        <f aca="false">IF(AND($M3575&gt;0,ISNUMBER(MATCH($F3575,Lists!$A$2:$A$5,0)),ISNUMBER(MATCH($G3575,Lists!$B$2:$B$7,0)),OR($H3575="",$N3575&gt;0),OR($I3575="",$I3575="NR",$O3575&gt;0),IF(ISNUMBER($J3575),AND($J3575&gt;=0,$J3575=INT($J3575)),FALSE())),$J3575,0)</f>
        <v>0</v>
      </c>
      <c r="Q3575" s="64" t="n">
        <f aca="false">IF(AND($P3575&gt;0,$O3575&gt;0),$P3575,0)</f>
        <v>0</v>
      </c>
      <c r="R3575" s="64" t="n">
        <f aca="false">IF(AND($Q3575&gt;0,$O3575&gt;=AtRank),$Q3575,0)</f>
        <v>0</v>
      </c>
      <c r="S3575" s="64" t="n">
        <f aca="false">IF(AND($Q3575&gt;0,$O3575&gt;=AboveRank),$Q3575,0)</f>
        <v>0</v>
      </c>
      <c r="T3575" s="64" t="n">
        <f aca="false">IF($K3575="Less",$P3575,0)</f>
        <v>0</v>
      </c>
      <c r="U3575" s="64" t="n">
        <f aca="false">IF($K3575="Expected",$P3575,0)</f>
        <v>0</v>
      </c>
      <c r="V3575" s="64" t="n">
        <f aca="false">IF($K3575="Better",$P3575,0)</f>
        <v>0</v>
      </c>
      <c r="W3575" s="64" t="n">
        <f aca="false">IF($K3575="U – needs rule",$P3575,0)</f>
        <v>0</v>
      </c>
      <c r="X3575" s="64" t="n">
        <f aca="false">IF($K3575="No Start (attainment only)",$P3575,0)</f>
        <v>0</v>
      </c>
    </row>
    <row r="3576" customFormat="false" ht="15" hidden="false" customHeight="false" outlineLevel="0" collapsed="false">
      <c r="A3576" s="60"/>
      <c r="B3576" s="61" t="str">
        <f aca="false">IF($M3576=0,"",INDEX(Classes!$E$6:$E$420,$M3576))</f>
        <v/>
      </c>
      <c r="C3576" s="62" t="str">
        <f aca="false">IF($M3576=0,"",INDEX(Classes!$H$6:$H$420,$M3576))</f>
        <v/>
      </c>
      <c r="D3576" s="61" t="str">
        <f aca="false">IF($M3576=0,"",INDEX(Classes!$B$6:$B$420,$M3576))</f>
        <v/>
      </c>
      <c r="E3576" s="61" t="str">
        <f aca="false">IF($M3576=0,"",INDEX(Classes!$C$6:$C$420,$M3576))</f>
        <v/>
      </c>
      <c r="F3576" s="63"/>
      <c r="G3576" s="63"/>
      <c r="H3576" s="60"/>
      <c r="I3576" s="60"/>
      <c r="J3576" s="63"/>
      <c r="K3576" s="61" t="str">
        <f aca="false">IF($P3576=0,"",IF($F3576="Baseline","— Baseline",IF($O3576=0,"No result",IF($N3576=0,"No Start (attainment only)",IF(OR($N3576=1,$O3576=1),"U – needs rule",INDEX(MxBody,MATCH($I3576,MxCurr,0),MATCH($H3576,MxStart,0)))))))</f>
        <v/>
      </c>
      <c r="L3576" s="62" t="str">
        <f aca="false">IF(COUNTA($A3576,$F3576,$G3576,$H3576,$I3576,$J3576)=0,"",IF($M3576=0,"✖ كود الصف غير موجود",IF(ISNA(MATCH($F3576,Lists!$A$2:$A$5,0)),"✖ الفترة غير صحيحة",IF(ISNA(MATCH($G3576,Lists!$B$2:$B$7,0)),"✖ المجموعة غير صحيحة",IF(NOT(OR($H3576="",$N3576&gt;0)),"✖ Start غير صحيح",IF(NOT(OR($I3576="",$I3576="NR",$O3576&gt;0)),"✖ Current غير صحيح",IF(NOT(IF(ISNUMBER($J3576),AND($J3576&gt;=0,$J3576=INT($J3576)),FALSE())),"✖ العدد يجب أن يكون صحيحًا ≥ 0",IF(AND($F3576="Baseline",$H3576&lt;&gt;""),"⚠ Baseline: Start لا يدخل في التقدم",IF($K3576="No Start (attainment only)","ℹ تحصيل فقط (بدون Start)",IF($K3576="U – needs rule","ℹ حالة U تحتاج قاعدة معتمدة",IF($K3576="No result","ℹ بدون نتيجة (يُستبعد من التحصيل)","OK")))))))))))</f>
        <v/>
      </c>
      <c r="M3576" s="64" t="n">
        <f aca="false">IF($A3576="",0,IFERROR(MATCH($A3576,Classes!$A$6:$A$420,0),0))</f>
        <v>0</v>
      </c>
      <c r="N3576" s="64" t="n">
        <f aca="false">IF($H3576="",0,IFERROR(MATCH($H3576,GradeList,0),0))</f>
        <v>0</v>
      </c>
      <c r="O3576" s="64" t="n">
        <f aca="false">IF(OR($I3576="",$I3576="NR"),0,IFERROR(MATCH($I3576,GradeList,0),0))</f>
        <v>0</v>
      </c>
      <c r="P3576" s="64" t="n">
        <f aca="false">IF(AND($M3576&gt;0,ISNUMBER(MATCH($F3576,Lists!$A$2:$A$5,0)),ISNUMBER(MATCH($G3576,Lists!$B$2:$B$7,0)),OR($H3576="",$N3576&gt;0),OR($I3576="",$I3576="NR",$O3576&gt;0),IF(ISNUMBER($J3576),AND($J3576&gt;=0,$J3576=INT($J3576)),FALSE())),$J3576,0)</f>
        <v>0</v>
      </c>
      <c r="Q3576" s="64" t="n">
        <f aca="false">IF(AND($P3576&gt;0,$O3576&gt;0),$P3576,0)</f>
        <v>0</v>
      </c>
      <c r="R3576" s="64" t="n">
        <f aca="false">IF(AND($Q3576&gt;0,$O3576&gt;=AtRank),$Q3576,0)</f>
        <v>0</v>
      </c>
      <c r="S3576" s="64" t="n">
        <f aca="false">IF(AND($Q3576&gt;0,$O3576&gt;=AboveRank),$Q3576,0)</f>
        <v>0</v>
      </c>
      <c r="T3576" s="64" t="n">
        <f aca="false">IF($K3576="Less",$P3576,0)</f>
        <v>0</v>
      </c>
      <c r="U3576" s="64" t="n">
        <f aca="false">IF($K3576="Expected",$P3576,0)</f>
        <v>0</v>
      </c>
      <c r="V3576" s="64" t="n">
        <f aca="false">IF($K3576="Better",$P3576,0)</f>
        <v>0</v>
      </c>
      <c r="W3576" s="64" t="n">
        <f aca="false">IF($K3576="U – needs rule",$P3576,0)</f>
        <v>0</v>
      </c>
      <c r="X3576" s="64" t="n">
        <f aca="false">IF($K3576="No Start (attainment only)",$P3576,0)</f>
        <v>0</v>
      </c>
    </row>
    <row r="3577" customFormat="false" ht="15" hidden="false" customHeight="false" outlineLevel="0" collapsed="false">
      <c r="A3577" s="60"/>
      <c r="B3577" s="61" t="str">
        <f aca="false">IF($M3577=0,"",INDEX(Classes!$E$6:$E$420,$M3577))</f>
        <v/>
      </c>
      <c r="C3577" s="62" t="str">
        <f aca="false">IF($M3577=0,"",INDEX(Classes!$H$6:$H$420,$M3577))</f>
        <v/>
      </c>
      <c r="D3577" s="61" t="str">
        <f aca="false">IF($M3577=0,"",INDEX(Classes!$B$6:$B$420,$M3577))</f>
        <v/>
      </c>
      <c r="E3577" s="61" t="str">
        <f aca="false">IF($M3577=0,"",INDEX(Classes!$C$6:$C$420,$M3577))</f>
        <v/>
      </c>
      <c r="F3577" s="63"/>
      <c r="G3577" s="63"/>
      <c r="H3577" s="60"/>
      <c r="I3577" s="60"/>
      <c r="J3577" s="63"/>
      <c r="K3577" s="61" t="str">
        <f aca="false">IF($P3577=0,"",IF($F3577="Baseline","— Baseline",IF($O3577=0,"No result",IF($N3577=0,"No Start (attainment only)",IF(OR($N3577=1,$O3577=1),"U – needs rule",INDEX(MxBody,MATCH($I3577,MxCurr,0),MATCH($H3577,MxStart,0)))))))</f>
        <v/>
      </c>
      <c r="L3577" s="62" t="str">
        <f aca="false">IF(COUNTA($A3577,$F3577,$G3577,$H3577,$I3577,$J3577)=0,"",IF($M3577=0,"✖ كود الصف غير موجود",IF(ISNA(MATCH($F3577,Lists!$A$2:$A$5,0)),"✖ الفترة غير صحيحة",IF(ISNA(MATCH($G3577,Lists!$B$2:$B$7,0)),"✖ المجموعة غير صحيحة",IF(NOT(OR($H3577="",$N3577&gt;0)),"✖ Start غير صحيح",IF(NOT(OR($I3577="",$I3577="NR",$O3577&gt;0)),"✖ Current غير صحيح",IF(NOT(IF(ISNUMBER($J3577),AND($J3577&gt;=0,$J3577=INT($J3577)),FALSE())),"✖ العدد يجب أن يكون صحيحًا ≥ 0",IF(AND($F3577="Baseline",$H3577&lt;&gt;""),"⚠ Baseline: Start لا يدخل في التقدم",IF($K3577="No Start (attainment only)","ℹ تحصيل فقط (بدون Start)",IF($K3577="U – needs rule","ℹ حالة U تحتاج قاعدة معتمدة",IF($K3577="No result","ℹ بدون نتيجة (يُستبعد من التحصيل)","OK")))))))))))</f>
        <v/>
      </c>
      <c r="M3577" s="64" t="n">
        <f aca="false">IF($A3577="",0,IFERROR(MATCH($A3577,Classes!$A$6:$A$420,0),0))</f>
        <v>0</v>
      </c>
      <c r="N3577" s="64" t="n">
        <f aca="false">IF($H3577="",0,IFERROR(MATCH($H3577,GradeList,0),0))</f>
        <v>0</v>
      </c>
      <c r="O3577" s="64" t="n">
        <f aca="false">IF(OR($I3577="",$I3577="NR"),0,IFERROR(MATCH($I3577,GradeList,0),0))</f>
        <v>0</v>
      </c>
      <c r="P3577" s="64" t="n">
        <f aca="false">IF(AND($M3577&gt;0,ISNUMBER(MATCH($F3577,Lists!$A$2:$A$5,0)),ISNUMBER(MATCH($G3577,Lists!$B$2:$B$7,0)),OR($H3577="",$N3577&gt;0),OR($I3577="",$I3577="NR",$O3577&gt;0),IF(ISNUMBER($J3577),AND($J3577&gt;=0,$J3577=INT($J3577)),FALSE())),$J3577,0)</f>
        <v>0</v>
      </c>
      <c r="Q3577" s="64" t="n">
        <f aca="false">IF(AND($P3577&gt;0,$O3577&gt;0),$P3577,0)</f>
        <v>0</v>
      </c>
      <c r="R3577" s="64" t="n">
        <f aca="false">IF(AND($Q3577&gt;0,$O3577&gt;=AtRank),$Q3577,0)</f>
        <v>0</v>
      </c>
      <c r="S3577" s="64" t="n">
        <f aca="false">IF(AND($Q3577&gt;0,$O3577&gt;=AboveRank),$Q3577,0)</f>
        <v>0</v>
      </c>
      <c r="T3577" s="64" t="n">
        <f aca="false">IF($K3577="Less",$P3577,0)</f>
        <v>0</v>
      </c>
      <c r="U3577" s="64" t="n">
        <f aca="false">IF($K3577="Expected",$P3577,0)</f>
        <v>0</v>
      </c>
      <c r="V3577" s="64" t="n">
        <f aca="false">IF($K3577="Better",$P3577,0)</f>
        <v>0</v>
      </c>
      <c r="W3577" s="64" t="n">
        <f aca="false">IF($K3577="U – needs rule",$P3577,0)</f>
        <v>0</v>
      </c>
      <c r="X3577" s="64" t="n">
        <f aca="false">IF($K3577="No Start (attainment only)",$P3577,0)</f>
        <v>0</v>
      </c>
    </row>
    <row r="3578" customFormat="false" ht="15" hidden="false" customHeight="false" outlineLevel="0" collapsed="false">
      <c r="A3578" s="60"/>
      <c r="B3578" s="61" t="str">
        <f aca="false">IF($M3578=0,"",INDEX(Classes!$E$6:$E$420,$M3578))</f>
        <v/>
      </c>
      <c r="C3578" s="62" t="str">
        <f aca="false">IF($M3578=0,"",INDEX(Classes!$H$6:$H$420,$M3578))</f>
        <v/>
      </c>
      <c r="D3578" s="61" t="str">
        <f aca="false">IF($M3578=0,"",INDEX(Classes!$B$6:$B$420,$M3578))</f>
        <v/>
      </c>
      <c r="E3578" s="61" t="str">
        <f aca="false">IF($M3578=0,"",INDEX(Classes!$C$6:$C$420,$M3578))</f>
        <v/>
      </c>
      <c r="F3578" s="63"/>
      <c r="G3578" s="63"/>
      <c r="H3578" s="60"/>
      <c r="I3578" s="60"/>
      <c r="J3578" s="63"/>
      <c r="K3578" s="61" t="str">
        <f aca="false">IF($P3578=0,"",IF($F3578="Baseline","— Baseline",IF($O3578=0,"No result",IF($N3578=0,"No Start (attainment only)",IF(OR($N3578=1,$O3578=1),"U – needs rule",INDEX(MxBody,MATCH($I3578,MxCurr,0),MATCH($H3578,MxStart,0)))))))</f>
        <v/>
      </c>
      <c r="L3578" s="62" t="str">
        <f aca="false">IF(COUNTA($A3578,$F3578,$G3578,$H3578,$I3578,$J3578)=0,"",IF($M3578=0,"✖ كود الصف غير موجود",IF(ISNA(MATCH($F3578,Lists!$A$2:$A$5,0)),"✖ الفترة غير صحيحة",IF(ISNA(MATCH($G3578,Lists!$B$2:$B$7,0)),"✖ المجموعة غير صحيحة",IF(NOT(OR($H3578="",$N3578&gt;0)),"✖ Start غير صحيح",IF(NOT(OR($I3578="",$I3578="NR",$O3578&gt;0)),"✖ Current غير صحيح",IF(NOT(IF(ISNUMBER($J3578),AND($J3578&gt;=0,$J3578=INT($J3578)),FALSE())),"✖ العدد يجب أن يكون صحيحًا ≥ 0",IF(AND($F3578="Baseline",$H3578&lt;&gt;""),"⚠ Baseline: Start لا يدخل في التقدم",IF($K3578="No Start (attainment only)","ℹ تحصيل فقط (بدون Start)",IF($K3578="U – needs rule","ℹ حالة U تحتاج قاعدة معتمدة",IF($K3578="No result","ℹ بدون نتيجة (يُستبعد من التحصيل)","OK")))))))))))</f>
        <v/>
      </c>
      <c r="M3578" s="64" t="n">
        <f aca="false">IF($A3578="",0,IFERROR(MATCH($A3578,Classes!$A$6:$A$420,0),0))</f>
        <v>0</v>
      </c>
      <c r="N3578" s="64" t="n">
        <f aca="false">IF($H3578="",0,IFERROR(MATCH($H3578,GradeList,0),0))</f>
        <v>0</v>
      </c>
      <c r="O3578" s="64" t="n">
        <f aca="false">IF(OR($I3578="",$I3578="NR"),0,IFERROR(MATCH($I3578,GradeList,0),0))</f>
        <v>0</v>
      </c>
      <c r="P3578" s="64" t="n">
        <f aca="false">IF(AND($M3578&gt;0,ISNUMBER(MATCH($F3578,Lists!$A$2:$A$5,0)),ISNUMBER(MATCH($G3578,Lists!$B$2:$B$7,0)),OR($H3578="",$N3578&gt;0),OR($I3578="",$I3578="NR",$O3578&gt;0),IF(ISNUMBER($J3578),AND($J3578&gt;=0,$J3578=INT($J3578)),FALSE())),$J3578,0)</f>
        <v>0</v>
      </c>
      <c r="Q3578" s="64" t="n">
        <f aca="false">IF(AND($P3578&gt;0,$O3578&gt;0),$P3578,0)</f>
        <v>0</v>
      </c>
      <c r="R3578" s="64" t="n">
        <f aca="false">IF(AND($Q3578&gt;0,$O3578&gt;=AtRank),$Q3578,0)</f>
        <v>0</v>
      </c>
      <c r="S3578" s="64" t="n">
        <f aca="false">IF(AND($Q3578&gt;0,$O3578&gt;=AboveRank),$Q3578,0)</f>
        <v>0</v>
      </c>
      <c r="T3578" s="64" t="n">
        <f aca="false">IF($K3578="Less",$P3578,0)</f>
        <v>0</v>
      </c>
      <c r="U3578" s="64" t="n">
        <f aca="false">IF($K3578="Expected",$P3578,0)</f>
        <v>0</v>
      </c>
      <c r="V3578" s="64" t="n">
        <f aca="false">IF($K3578="Better",$P3578,0)</f>
        <v>0</v>
      </c>
      <c r="W3578" s="64" t="n">
        <f aca="false">IF($K3578="U – needs rule",$P3578,0)</f>
        <v>0</v>
      </c>
      <c r="X3578" s="64" t="n">
        <f aca="false">IF($K3578="No Start (attainment only)",$P3578,0)</f>
        <v>0</v>
      </c>
    </row>
    <row r="3579" customFormat="false" ht="15" hidden="false" customHeight="false" outlineLevel="0" collapsed="false">
      <c r="A3579" s="60"/>
      <c r="B3579" s="61" t="str">
        <f aca="false">IF($M3579=0,"",INDEX(Classes!$E$6:$E$420,$M3579))</f>
        <v/>
      </c>
      <c r="C3579" s="62" t="str">
        <f aca="false">IF($M3579=0,"",INDEX(Classes!$H$6:$H$420,$M3579))</f>
        <v/>
      </c>
      <c r="D3579" s="61" t="str">
        <f aca="false">IF($M3579=0,"",INDEX(Classes!$B$6:$B$420,$M3579))</f>
        <v/>
      </c>
      <c r="E3579" s="61" t="str">
        <f aca="false">IF($M3579=0,"",INDEX(Classes!$C$6:$C$420,$M3579))</f>
        <v/>
      </c>
      <c r="F3579" s="63"/>
      <c r="G3579" s="63"/>
      <c r="H3579" s="60"/>
      <c r="I3579" s="60"/>
      <c r="J3579" s="63"/>
      <c r="K3579" s="61" t="str">
        <f aca="false">IF($P3579=0,"",IF($F3579="Baseline","— Baseline",IF($O3579=0,"No result",IF($N3579=0,"No Start (attainment only)",IF(OR($N3579=1,$O3579=1),"U – needs rule",INDEX(MxBody,MATCH($I3579,MxCurr,0),MATCH($H3579,MxStart,0)))))))</f>
        <v/>
      </c>
      <c r="L3579" s="62" t="str">
        <f aca="false">IF(COUNTA($A3579,$F3579,$G3579,$H3579,$I3579,$J3579)=0,"",IF($M3579=0,"✖ كود الصف غير موجود",IF(ISNA(MATCH($F3579,Lists!$A$2:$A$5,0)),"✖ الفترة غير صحيحة",IF(ISNA(MATCH($G3579,Lists!$B$2:$B$7,0)),"✖ المجموعة غير صحيحة",IF(NOT(OR($H3579="",$N3579&gt;0)),"✖ Start غير صحيح",IF(NOT(OR($I3579="",$I3579="NR",$O3579&gt;0)),"✖ Current غير صحيح",IF(NOT(IF(ISNUMBER($J3579),AND($J3579&gt;=0,$J3579=INT($J3579)),FALSE())),"✖ العدد يجب أن يكون صحيحًا ≥ 0",IF(AND($F3579="Baseline",$H3579&lt;&gt;""),"⚠ Baseline: Start لا يدخل في التقدم",IF($K3579="No Start (attainment only)","ℹ تحصيل فقط (بدون Start)",IF($K3579="U – needs rule","ℹ حالة U تحتاج قاعدة معتمدة",IF($K3579="No result","ℹ بدون نتيجة (يُستبعد من التحصيل)","OK")))))))))))</f>
        <v/>
      </c>
      <c r="M3579" s="64" t="n">
        <f aca="false">IF($A3579="",0,IFERROR(MATCH($A3579,Classes!$A$6:$A$420,0),0))</f>
        <v>0</v>
      </c>
      <c r="N3579" s="64" t="n">
        <f aca="false">IF($H3579="",0,IFERROR(MATCH($H3579,GradeList,0),0))</f>
        <v>0</v>
      </c>
      <c r="O3579" s="64" t="n">
        <f aca="false">IF(OR($I3579="",$I3579="NR"),0,IFERROR(MATCH($I3579,GradeList,0),0))</f>
        <v>0</v>
      </c>
      <c r="P3579" s="64" t="n">
        <f aca="false">IF(AND($M3579&gt;0,ISNUMBER(MATCH($F3579,Lists!$A$2:$A$5,0)),ISNUMBER(MATCH($G3579,Lists!$B$2:$B$7,0)),OR($H3579="",$N3579&gt;0),OR($I3579="",$I3579="NR",$O3579&gt;0),IF(ISNUMBER($J3579),AND($J3579&gt;=0,$J3579=INT($J3579)),FALSE())),$J3579,0)</f>
        <v>0</v>
      </c>
      <c r="Q3579" s="64" t="n">
        <f aca="false">IF(AND($P3579&gt;0,$O3579&gt;0),$P3579,0)</f>
        <v>0</v>
      </c>
      <c r="R3579" s="64" t="n">
        <f aca="false">IF(AND($Q3579&gt;0,$O3579&gt;=AtRank),$Q3579,0)</f>
        <v>0</v>
      </c>
      <c r="S3579" s="64" t="n">
        <f aca="false">IF(AND($Q3579&gt;0,$O3579&gt;=AboveRank),$Q3579,0)</f>
        <v>0</v>
      </c>
      <c r="T3579" s="64" t="n">
        <f aca="false">IF($K3579="Less",$P3579,0)</f>
        <v>0</v>
      </c>
      <c r="U3579" s="64" t="n">
        <f aca="false">IF($K3579="Expected",$P3579,0)</f>
        <v>0</v>
      </c>
      <c r="V3579" s="64" t="n">
        <f aca="false">IF($K3579="Better",$P3579,0)</f>
        <v>0</v>
      </c>
      <c r="W3579" s="64" t="n">
        <f aca="false">IF($K3579="U – needs rule",$P3579,0)</f>
        <v>0</v>
      </c>
      <c r="X3579" s="64" t="n">
        <f aca="false">IF($K3579="No Start (attainment only)",$P3579,0)</f>
        <v>0</v>
      </c>
    </row>
    <row r="3580" customFormat="false" ht="15" hidden="false" customHeight="false" outlineLevel="0" collapsed="false">
      <c r="A3580" s="60"/>
      <c r="B3580" s="61" t="str">
        <f aca="false">IF($M3580=0,"",INDEX(Classes!$E$6:$E$420,$M3580))</f>
        <v/>
      </c>
      <c r="C3580" s="62" t="str">
        <f aca="false">IF($M3580=0,"",INDEX(Classes!$H$6:$H$420,$M3580))</f>
        <v/>
      </c>
      <c r="D3580" s="61" t="str">
        <f aca="false">IF($M3580=0,"",INDEX(Classes!$B$6:$B$420,$M3580))</f>
        <v/>
      </c>
      <c r="E3580" s="61" t="str">
        <f aca="false">IF($M3580=0,"",INDEX(Classes!$C$6:$C$420,$M3580))</f>
        <v/>
      </c>
      <c r="F3580" s="63"/>
      <c r="G3580" s="63"/>
      <c r="H3580" s="60"/>
      <c r="I3580" s="60"/>
      <c r="J3580" s="63"/>
      <c r="K3580" s="61" t="str">
        <f aca="false">IF($P3580=0,"",IF($F3580="Baseline","— Baseline",IF($O3580=0,"No result",IF($N3580=0,"No Start (attainment only)",IF(OR($N3580=1,$O3580=1),"U – needs rule",INDEX(MxBody,MATCH($I3580,MxCurr,0),MATCH($H3580,MxStart,0)))))))</f>
        <v/>
      </c>
      <c r="L3580" s="62" t="str">
        <f aca="false">IF(COUNTA($A3580,$F3580,$G3580,$H3580,$I3580,$J3580)=0,"",IF($M3580=0,"✖ كود الصف غير موجود",IF(ISNA(MATCH($F3580,Lists!$A$2:$A$5,0)),"✖ الفترة غير صحيحة",IF(ISNA(MATCH($G3580,Lists!$B$2:$B$7,0)),"✖ المجموعة غير صحيحة",IF(NOT(OR($H3580="",$N3580&gt;0)),"✖ Start غير صحيح",IF(NOT(OR($I3580="",$I3580="NR",$O3580&gt;0)),"✖ Current غير صحيح",IF(NOT(IF(ISNUMBER($J3580),AND($J3580&gt;=0,$J3580=INT($J3580)),FALSE())),"✖ العدد يجب أن يكون صحيحًا ≥ 0",IF(AND($F3580="Baseline",$H3580&lt;&gt;""),"⚠ Baseline: Start لا يدخل في التقدم",IF($K3580="No Start (attainment only)","ℹ تحصيل فقط (بدون Start)",IF($K3580="U – needs rule","ℹ حالة U تحتاج قاعدة معتمدة",IF($K3580="No result","ℹ بدون نتيجة (يُستبعد من التحصيل)","OK")))))))))))</f>
        <v/>
      </c>
      <c r="M3580" s="64" t="n">
        <f aca="false">IF($A3580="",0,IFERROR(MATCH($A3580,Classes!$A$6:$A$420,0),0))</f>
        <v>0</v>
      </c>
      <c r="N3580" s="64" t="n">
        <f aca="false">IF($H3580="",0,IFERROR(MATCH($H3580,GradeList,0),0))</f>
        <v>0</v>
      </c>
      <c r="O3580" s="64" t="n">
        <f aca="false">IF(OR($I3580="",$I3580="NR"),0,IFERROR(MATCH($I3580,GradeList,0),0))</f>
        <v>0</v>
      </c>
      <c r="P3580" s="64" t="n">
        <f aca="false">IF(AND($M3580&gt;0,ISNUMBER(MATCH($F3580,Lists!$A$2:$A$5,0)),ISNUMBER(MATCH($G3580,Lists!$B$2:$B$7,0)),OR($H3580="",$N3580&gt;0),OR($I3580="",$I3580="NR",$O3580&gt;0),IF(ISNUMBER($J3580),AND($J3580&gt;=0,$J3580=INT($J3580)),FALSE())),$J3580,0)</f>
        <v>0</v>
      </c>
      <c r="Q3580" s="64" t="n">
        <f aca="false">IF(AND($P3580&gt;0,$O3580&gt;0),$P3580,0)</f>
        <v>0</v>
      </c>
      <c r="R3580" s="64" t="n">
        <f aca="false">IF(AND($Q3580&gt;0,$O3580&gt;=AtRank),$Q3580,0)</f>
        <v>0</v>
      </c>
      <c r="S3580" s="64" t="n">
        <f aca="false">IF(AND($Q3580&gt;0,$O3580&gt;=AboveRank),$Q3580,0)</f>
        <v>0</v>
      </c>
      <c r="T3580" s="64" t="n">
        <f aca="false">IF($K3580="Less",$P3580,0)</f>
        <v>0</v>
      </c>
      <c r="U3580" s="64" t="n">
        <f aca="false">IF($K3580="Expected",$P3580,0)</f>
        <v>0</v>
      </c>
      <c r="V3580" s="64" t="n">
        <f aca="false">IF($K3580="Better",$P3580,0)</f>
        <v>0</v>
      </c>
      <c r="W3580" s="64" t="n">
        <f aca="false">IF($K3580="U – needs rule",$P3580,0)</f>
        <v>0</v>
      </c>
      <c r="X3580" s="64" t="n">
        <f aca="false">IF($K3580="No Start (attainment only)",$P3580,0)</f>
        <v>0</v>
      </c>
    </row>
    <row r="3581" customFormat="false" ht="15" hidden="false" customHeight="false" outlineLevel="0" collapsed="false">
      <c r="A3581" s="60"/>
      <c r="B3581" s="61" t="str">
        <f aca="false">IF($M3581=0,"",INDEX(Classes!$E$6:$E$420,$M3581))</f>
        <v/>
      </c>
      <c r="C3581" s="62" t="str">
        <f aca="false">IF($M3581=0,"",INDEX(Classes!$H$6:$H$420,$M3581))</f>
        <v/>
      </c>
      <c r="D3581" s="61" t="str">
        <f aca="false">IF($M3581=0,"",INDEX(Classes!$B$6:$B$420,$M3581))</f>
        <v/>
      </c>
      <c r="E3581" s="61" t="str">
        <f aca="false">IF($M3581=0,"",INDEX(Classes!$C$6:$C$420,$M3581))</f>
        <v/>
      </c>
      <c r="F3581" s="63"/>
      <c r="G3581" s="63"/>
      <c r="H3581" s="60"/>
      <c r="I3581" s="60"/>
      <c r="J3581" s="63"/>
      <c r="K3581" s="61" t="str">
        <f aca="false">IF($P3581=0,"",IF($F3581="Baseline","— Baseline",IF($O3581=0,"No result",IF($N3581=0,"No Start (attainment only)",IF(OR($N3581=1,$O3581=1),"U – needs rule",INDEX(MxBody,MATCH($I3581,MxCurr,0),MATCH($H3581,MxStart,0)))))))</f>
        <v/>
      </c>
      <c r="L3581" s="62" t="str">
        <f aca="false">IF(COUNTA($A3581,$F3581,$G3581,$H3581,$I3581,$J3581)=0,"",IF($M3581=0,"✖ كود الصف غير موجود",IF(ISNA(MATCH($F3581,Lists!$A$2:$A$5,0)),"✖ الفترة غير صحيحة",IF(ISNA(MATCH($G3581,Lists!$B$2:$B$7,0)),"✖ المجموعة غير صحيحة",IF(NOT(OR($H3581="",$N3581&gt;0)),"✖ Start غير صحيح",IF(NOT(OR($I3581="",$I3581="NR",$O3581&gt;0)),"✖ Current غير صحيح",IF(NOT(IF(ISNUMBER($J3581),AND($J3581&gt;=0,$J3581=INT($J3581)),FALSE())),"✖ العدد يجب أن يكون صحيحًا ≥ 0",IF(AND($F3581="Baseline",$H3581&lt;&gt;""),"⚠ Baseline: Start لا يدخل في التقدم",IF($K3581="No Start (attainment only)","ℹ تحصيل فقط (بدون Start)",IF($K3581="U – needs rule","ℹ حالة U تحتاج قاعدة معتمدة",IF($K3581="No result","ℹ بدون نتيجة (يُستبعد من التحصيل)","OK")))))))))))</f>
        <v/>
      </c>
      <c r="M3581" s="64" t="n">
        <f aca="false">IF($A3581="",0,IFERROR(MATCH($A3581,Classes!$A$6:$A$420,0),0))</f>
        <v>0</v>
      </c>
      <c r="N3581" s="64" t="n">
        <f aca="false">IF($H3581="",0,IFERROR(MATCH($H3581,GradeList,0),0))</f>
        <v>0</v>
      </c>
      <c r="O3581" s="64" t="n">
        <f aca="false">IF(OR($I3581="",$I3581="NR"),0,IFERROR(MATCH($I3581,GradeList,0),0))</f>
        <v>0</v>
      </c>
      <c r="P3581" s="64" t="n">
        <f aca="false">IF(AND($M3581&gt;0,ISNUMBER(MATCH($F3581,Lists!$A$2:$A$5,0)),ISNUMBER(MATCH($G3581,Lists!$B$2:$B$7,0)),OR($H3581="",$N3581&gt;0),OR($I3581="",$I3581="NR",$O3581&gt;0),IF(ISNUMBER($J3581),AND($J3581&gt;=0,$J3581=INT($J3581)),FALSE())),$J3581,0)</f>
        <v>0</v>
      </c>
      <c r="Q3581" s="64" t="n">
        <f aca="false">IF(AND($P3581&gt;0,$O3581&gt;0),$P3581,0)</f>
        <v>0</v>
      </c>
      <c r="R3581" s="64" t="n">
        <f aca="false">IF(AND($Q3581&gt;0,$O3581&gt;=AtRank),$Q3581,0)</f>
        <v>0</v>
      </c>
      <c r="S3581" s="64" t="n">
        <f aca="false">IF(AND($Q3581&gt;0,$O3581&gt;=AboveRank),$Q3581,0)</f>
        <v>0</v>
      </c>
      <c r="T3581" s="64" t="n">
        <f aca="false">IF($K3581="Less",$P3581,0)</f>
        <v>0</v>
      </c>
      <c r="U3581" s="64" t="n">
        <f aca="false">IF($K3581="Expected",$P3581,0)</f>
        <v>0</v>
      </c>
      <c r="V3581" s="64" t="n">
        <f aca="false">IF($K3581="Better",$P3581,0)</f>
        <v>0</v>
      </c>
      <c r="W3581" s="64" t="n">
        <f aca="false">IF($K3581="U – needs rule",$P3581,0)</f>
        <v>0</v>
      </c>
      <c r="X3581" s="64" t="n">
        <f aca="false">IF($K3581="No Start (attainment only)",$P3581,0)</f>
        <v>0</v>
      </c>
    </row>
    <row r="3582" customFormat="false" ht="15" hidden="false" customHeight="false" outlineLevel="0" collapsed="false">
      <c r="A3582" s="60"/>
      <c r="B3582" s="61" t="str">
        <f aca="false">IF($M3582=0,"",INDEX(Classes!$E$6:$E$420,$M3582))</f>
        <v/>
      </c>
      <c r="C3582" s="62" t="str">
        <f aca="false">IF($M3582=0,"",INDEX(Classes!$H$6:$H$420,$M3582))</f>
        <v/>
      </c>
      <c r="D3582" s="61" t="str">
        <f aca="false">IF($M3582=0,"",INDEX(Classes!$B$6:$B$420,$M3582))</f>
        <v/>
      </c>
      <c r="E3582" s="61" t="str">
        <f aca="false">IF($M3582=0,"",INDEX(Classes!$C$6:$C$420,$M3582))</f>
        <v/>
      </c>
      <c r="F3582" s="63"/>
      <c r="G3582" s="63"/>
      <c r="H3582" s="60"/>
      <c r="I3582" s="60"/>
      <c r="J3582" s="63"/>
      <c r="K3582" s="61" t="str">
        <f aca="false">IF($P3582=0,"",IF($F3582="Baseline","— Baseline",IF($O3582=0,"No result",IF($N3582=0,"No Start (attainment only)",IF(OR($N3582=1,$O3582=1),"U – needs rule",INDEX(MxBody,MATCH($I3582,MxCurr,0),MATCH($H3582,MxStart,0)))))))</f>
        <v/>
      </c>
      <c r="L3582" s="62" t="str">
        <f aca="false">IF(COUNTA($A3582,$F3582,$G3582,$H3582,$I3582,$J3582)=0,"",IF($M3582=0,"✖ كود الصف غير موجود",IF(ISNA(MATCH($F3582,Lists!$A$2:$A$5,0)),"✖ الفترة غير صحيحة",IF(ISNA(MATCH($G3582,Lists!$B$2:$B$7,0)),"✖ المجموعة غير صحيحة",IF(NOT(OR($H3582="",$N3582&gt;0)),"✖ Start غير صحيح",IF(NOT(OR($I3582="",$I3582="NR",$O3582&gt;0)),"✖ Current غير صحيح",IF(NOT(IF(ISNUMBER($J3582),AND($J3582&gt;=0,$J3582=INT($J3582)),FALSE())),"✖ العدد يجب أن يكون صحيحًا ≥ 0",IF(AND($F3582="Baseline",$H3582&lt;&gt;""),"⚠ Baseline: Start لا يدخل في التقدم",IF($K3582="No Start (attainment only)","ℹ تحصيل فقط (بدون Start)",IF($K3582="U – needs rule","ℹ حالة U تحتاج قاعدة معتمدة",IF($K3582="No result","ℹ بدون نتيجة (يُستبعد من التحصيل)","OK")))))))))))</f>
        <v/>
      </c>
      <c r="M3582" s="64" t="n">
        <f aca="false">IF($A3582="",0,IFERROR(MATCH($A3582,Classes!$A$6:$A$420,0),0))</f>
        <v>0</v>
      </c>
      <c r="N3582" s="64" t="n">
        <f aca="false">IF($H3582="",0,IFERROR(MATCH($H3582,GradeList,0),0))</f>
        <v>0</v>
      </c>
      <c r="O3582" s="64" t="n">
        <f aca="false">IF(OR($I3582="",$I3582="NR"),0,IFERROR(MATCH($I3582,GradeList,0),0))</f>
        <v>0</v>
      </c>
      <c r="P3582" s="64" t="n">
        <f aca="false">IF(AND($M3582&gt;0,ISNUMBER(MATCH($F3582,Lists!$A$2:$A$5,0)),ISNUMBER(MATCH($G3582,Lists!$B$2:$B$7,0)),OR($H3582="",$N3582&gt;0),OR($I3582="",$I3582="NR",$O3582&gt;0),IF(ISNUMBER($J3582),AND($J3582&gt;=0,$J3582=INT($J3582)),FALSE())),$J3582,0)</f>
        <v>0</v>
      </c>
      <c r="Q3582" s="64" t="n">
        <f aca="false">IF(AND($P3582&gt;0,$O3582&gt;0),$P3582,0)</f>
        <v>0</v>
      </c>
      <c r="R3582" s="64" t="n">
        <f aca="false">IF(AND($Q3582&gt;0,$O3582&gt;=AtRank),$Q3582,0)</f>
        <v>0</v>
      </c>
      <c r="S3582" s="64" t="n">
        <f aca="false">IF(AND($Q3582&gt;0,$O3582&gt;=AboveRank),$Q3582,0)</f>
        <v>0</v>
      </c>
      <c r="T3582" s="64" t="n">
        <f aca="false">IF($K3582="Less",$P3582,0)</f>
        <v>0</v>
      </c>
      <c r="U3582" s="64" t="n">
        <f aca="false">IF($K3582="Expected",$P3582,0)</f>
        <v>0</v>
      </c>
      <c r="V3582" s="64" t="n">
        <f aca="false">IF($K3582="Better",$P3582,0)</f>
        <v>0</v>
      </c>
      <c r="W3582" s="64" t="n">
        <f aca="false">IF($K3582="U – needs rule",$P3582,0)</f>
        <v>0</v>
      </c>
      <c r="X3582" s="64" t="n">
        <f aca="false">IF($K3582="No Start (attainment only)",$P3582,0)</f>
        <v>0</v>
      </c>
    </row>
    <row r="3583" customFormat="false" ht="15" hidden="false" customHeight="false" outlineLevel="0" collapsed="false">
      <c r="A3583" s="60"/>
      <c r="B3583" s="61" t="str">
        <f aca="false">IF($M3583=0,"",INDEX(Classes!$E$6:$E$420,$M3583))</f>
        <v/>
      </c>
      <c r="C3583" s="62" t="str">
        <f aca="false">IF($M3583=0,"",INDEX(Classes!$H$6:$H$420,$M3583))</f>
        <v/>
      </c>
      <c r="D3583" s="61" t="str">
        <f aca="false">IF($M3583=0,"",INDEX(Classes!$B$6:$B$420,$M3583))</f>
        <v/>
      </c>
      <c r="E3583" s="61" t="str">
        <f aca="false">IF($M3583=0,"",INDEX(Classes!$C$6:$C$420,$M3583))</f>
        <v/>
      </c>
      <c r="F3583" s="63"/>
      <c r="G3583" s="63"/>
      <c r="H3583" s="60"/>
      <c r="I3583" s="60"/>
      <c r="J3583" s="63"/>
      <c r="K3583" s="61" t="str">
        <f aca="false">IF($P3583=0,"",IF($F3583="Baseline","— Baseline",IF($O3583=0,"No result",IF($N3583=0,"No Start (attainment only)",IF(OR($N3583=1,$O3583=1),"U – needs rule",INDEX(MxBody,MATCH($I3583,MxCurr,0),MATCH($H3583,MxStart,0)))))))</f>
        <v/>
      </c>
      <c r="L3583" s="62" t="str">
        <f aca="false">IF(COUNTA($A3583,$F3583,$G3583,$H3583,$I3583,$J3583)=0,"",IF($M3583=0,"✖ كود الصف غير موجود",IF(ISNA(MATCH($F3583,Lists!$A$2:$A$5,0)),"✖ الفترة غير صحيحة",IF(ISNA(MATCH($G3583,Lists!$B$2:$B$7,0)),"✖ المجموعة غير صحيحة",IF(NOT(OR($H3583="",$N3583&gt;0)),"✖ Start غير صحيح",IF(NOT(OR($I3583="",$I3583="NR",$O3583&gt;0)),"✖ Current غير صحيح",IF(NOT(IF(ISNUMBER($J3583),AND($J3583&gt;=0,$J3583=INT($J3583)),FALSE())),"✖ العدد يجب أن يكون صحيحًا ≥ 0",IF(AND($F3583="Baseline",$H3583&lt;&gt;""),"⚠ Baseline: Start لا يدخل في التقدم",IF($K3583="No Start (attainment only)","ℹ تحصيل فقط (بدون Start)",IF($K3583="U – needs rule","ℹ حالة U تحتاج قاعدة معتمدة",IF($K3583="No result","ℹ بدون نتيجة (يُستبعد من التحصيل)","OK")))))))))))</f>
        <v/>
      </c>
      <c r="M3583" s="64" t="n">
        <f aca="false">IF($A3583="",0,IFERROR(MATCH($A3583,Classes!$A$6:$A$420,0),0))</f>
        <v>0</v>
      </c>
      <c r="N3583" s="64" t="n">
        <f aca="false">IF($H3583="",0,IFERROR(MATCH($H3583,GradeList,0),0))</f>
        <v>0</v>
      </c>
      <c r="O3583" s="64" t="n">
        <f aca="false">IF(OR($I3583="",$I3583="NR"),0,IFERROR(MATCH($I3583,GradeList,0),0))</f>
        <v>0</v>
      </c>
      <c r="P3583" s="64" t="n">
        <f aca="false">IF(AND($M3583&gt;0,ISNUMBER(MATCH($F3583,Lists!$A$2:$A$5,0)),ISNUMBER(MATCH($G3583,Lists!$B$2:$B$7,0)),OR($H3583="",$N3583&gt;0),OR($I3583="",$I3583="NR",$O3583&gt;0),IF(ISNUMBER($J3583),AND($J3583&gt;=0,$J3583=INT($J3583)),FALSE())),$J3583,0)</f>
        <v>0</v>
      </c>
      <c r="Q3583" s="64" t="n">
        <f aca="false">IF(AND($P3583&gt;0,$O3583&gt;0),$P3583,0)</f>
        <v>0</v>
      </c>
      <c r="R3583" s="64" t="n">
        <f aca="false">IF(AND($Q3583&gt;0,$O3583&gt;=AtRank),$Q3583,0)</f>
        <v>0</v>
      </c>
      <c r="S3583" s="64" t="n">
        <f aca="false">IF(AND($Q3583&gt;0,$O3583&gt;=AboveRank),$Q3583,0)</f>
        <v>0</v>
      </c>
      <c r="T3583" s="64" t="n">
        <f aca="false">IF($K3583="Less",$P3583,0)</f>
        <v>0</v>
      </c>
      <c r="U3583" s="64" t="n">
        <f aca="false">IF($K3583="Expected",$P3583,0)</f>
        <v>0</v>
      </c>
      <c r="V3583" s="64" t="n">
        <f aca="false">IF($K3583="Better",$P3583,0)</f>
        <v>0</v>
      </c>
      <c r="W3583" s="64" t="n">
        <f aca="false">IF($K3583="U – needs rule",$P3583,0)</f>
        <v>0</v>
      </c>
      <c r="X3583" s="64" t="n">
        <f aca="false">IF($K3583="No Start (attainment only)",$P3583,0)</f>
        <v>0</v>
      </c>
    </row>
    <row r="3584" customFormat="false" ht="15" hidden="false" customHeight="false" outlineLevel="0" collapsed="false">
      <c r="A3584" s="60"/>
      <c r="B3584" s="61" t="str">
        <f aca="false">IF($M3584=0,"",INDEX(Classes!$E$6:$E$420,$M3584))</f>
        <v/>
      </c>
      <c r="C3584" s="62" t="str">
        <f aca="false">IF($M3584=0,"",INDEX(Classes!$H$6:$H$420,$M3584))</f>
        <v/>
      </c>
      <c r="D3584" s="61" t="str">
        <f aca="false">IF($M3584=0,"",INDEX(Classes!$B$6:$B$420,$M3584))</f>
        <v/>
      </c>
      <c r="E3584" s="61" t="str">
        <f aca="false">IF($M3584=0,"",INDEX(Classes!$C$6:$C$420,$M3584))</f>
        <v/>
      </c>
      <c r="F3584" s="63"/>
      <c r="G3584" s="63"/>
      <c r="H3584" s="60"/>
      <c r="I3584" s="60"/>
      <c r="J3584" s="63"/>
      <c r="K3584" s="61" t="str">
        <f aca="false">IF($P3584=0,"",IF($F3584="Baseline","— Baseline",IF($O3584=0,"No result",IF($N3584=0,"No Start (attainment only)",IF(OR($N3584=1,$O3584=1),"U – needs rule",INDEX(MxBody,MATCH($I3584,MxCurr,0),MATCH($H3584,MxStart,0)))))))</f>
        <v/>
      </c>
      <c r="L3584" s="62" t="str">
        <f aca="false">IF(COUNTA($A3584,$F3584,$G3584,$H3584,$I3584,$J3584)=0,"",IF($M3584=0,"✖ كود الصف غير موجود",IF(ISNA(MATCH($F3584,Lists!$A$2:$A$5,0)),"✖ الفترة غير صحيحة",IF(ISNA(MATCH($G3584,Lists!$B$2:$B$7,0)),"✖ المجموعة غير صحيحة",IF(NOT(OR($H3584="",$N3584&gt;0)),"✖ Start غير صحيح",IF(NOT(OR($I3584="",$I3584="NR",$O3584&gt;0)),"✖ Current غير صحيح",IF(NOT(IF(ISNUMBER($J3584),AND($J3584&gt;=0,$J3584=INT($J3584)),FALSE())),"✖ العدد يجب أن يكون صحيحًا ≥ 0",IF(AND($F3584="Baseline",$H3584&lt;&gt;""),"⚠ Baseline: Start لا يدخل في التقدم",IF($K3584="No Start (attainment only)","ℹ تحصيل فقط (بدون Start)",IF($K3584="U – needs rule","ℹ حالة U تحتاج قاعدة معتمدة",IF($K3584="No result","ℹ بدون نتيجة (يُستبعد من التحصيل)","OK")))))))))))</f>
        <v/>
      </c>
      <c r="M3584" s="64" t="n">
        <f aca="false">IF($A3584="",0,IFERROR(MATCH($A3584,Classes!$A$6:$A$420,0),0))</f>
        <v>0</v>
      </c>
      <c r="N3584" s="64" t="n">
        <f aca="false">IF($H3584="",0,IFERROR(MATCH($H3584,GradeList,0),0))</f>
        <v>0</v>
      </c>
      <c r="O3584" s="64" t="n">
        <f aca="false">IF(OR($I3584="",$I3584="NR"),0,IFERROR(MATCH($I3584,GradeList,0),0))</f>
        <v>0</v>
      </c>
      <c r="P3584" s="64" t="n">
        <f aca="false">IF(AND($M3584&gt;0,ISNUMBER(MATCH($F3584,Lists!$A$2:$A$5,0)),ISNUMBER(MATCH($G3584,Lists!$B$2:$B$7,0)),OR($H3584="",$N3584&gt;0),OR($I3584="",$I3584="NR",$O3584&gt;0),IF(ISNUMBER($J3584),AND($J3584&gt;=0,$J3584=INT($J3584)),FALSE())),$J3584,0)</f>
        <v>0</v>
      </c>
      <c r="Q3584" s="64" t="n">
        <f aca="false">IF(AND($P3584&gt;0,$O3584&gt;0),$P3584,0)</f>
        <v>0</v>
      </c>
      <c r="R3584" s="64" t="n">
        <f aca="false">IF(AND($Q3584&gt;0,$O3584&gt;=AtRank),$Q3584,0)</f>
        <v>0</v>
      </c>
      <c r="S3584" s="64" t="n">
        <f aca="false">IF(AND($Q3584&gt;0,$O3584&gt;=AboveRank),$Q3584,0)</f>
        <v>0</v>
      </c>
      <c r="T3584" s="64" t="n">
        <f aca="false">IF($K3584="Less",$P3584,0)</f>
        <v>0</v>
      </c>
      <c r="U3584" s="64" t="n">
        <f aca="false">IF($K3584="Expected",$P3584,0)</f>
        <v>0</v>
      </c>
      <c r="V3584" s="64" t="n">
        <f aca="false">IF($K3584="Better",$P3584,0)</f>
        <v>0</v>
      </c>
      <c r="W3584" s="64" t="n">
        <f aca="false">IF($K3584="U – needs rule",$P3584,0)</f>
        <v>0</v>
      </c>
      <c r="X3584" s="64" t="n">
        <f aca="false">IF($K3584="No Start (attainment only)",$P3584,0)</f>
        <v>0</v>
      </c>
    </row>
    <row r="3585" customFormat="false" ht="15" hidden="false" customHeight="false" outlineLevel="0" collapsed="false">
      <c r="A3585" s="60"/>
      <c r="B3585" s="61" t="str">
        <f aca="false">IF($M3585=0,"",INDEX(Classes!$E$6:$E$420,$M3585))</f>
        <v/>
      </c>
      <c r="C3585" s="62" t="str">
        <f aca="false">IF($M3585=0,"",INDEX(Classes!$H$6:$H$420,$M3585))</f>
        <v/>
      </c>
      <c r="D3585" s="61" t="str">
        <f aca="false">IF($M3585=0,"",INDEX(Classes!$B$6:$B$420,$M3585))</f>
        <v/>
      </c>
      <c r="E3585" s="61" t="str">
        <f aca="false">IF($M3585=0,"",INDEX(Classes!$C$6:$C$420,$M3585))</f>
        <v/>
      </c>
      <c r="F3585" s="63"/>
      <c r="G3585" s="63"/>
      <c r="H3585" s="60"/>
      <c r="I3585" s="60"/>
      <c r="J3585" s="63"/>
      <c r="K3585" s="61" t="str">
        <f aca="false">IF($P3585=0,"",IF($F3585="Baseline","— Baseline",IF($O3585=0,"No result",IF($N3585=0,"No Start (attainment only)",IF(OR($N3585=1,$O3585=1),"U – needs rule",INDEX(MxBody,MATCH($I3585,MxCurr,0),MATCH($H3585,MxStart,0)))))))</f>
        <v/>
      </c>
      <c r="L3585" s="62" t="str">
        <f aca="false">IF(COUNTA($A3585,$F3585,$G3585,$H3585,$I3585,$J3585)=0,"",IF($M3585=0,"✖ كود الصف غير موجود",IF(ISNA(MATCH($F3585,Lists!$A$2:$A$5,0)),"✖ الفترة غير صحيحة",IF(ISNA(MATCH($G3585,Lists!$B$2:$B$7,0)),"✖ المجموعة غير صحيحة",IF(NOT(OR($H3585="",$N3585&gt;0)),"✖ Start غير صحيح",IF(NOT(OR($I3585="",$I3585="NR",$O3585&gt;0)),"✖ Current غير صحيح",IF(NOT(IF(ISNUMBER($J3585),AND($J3585&gt;=0,$J3585=INT($J3585)),FALSE())),"✖ العدد يجب أن يكون صحيحًا ≥ 0",IF(AND($F3585="Baseline",$H3585&lt;&gt;""),"⚠ Baseline: Start لا يدخل في التقدم",IF($K3585="No Start (attainment only)","ℹ تحصيل فقط (بدون Start)",IF($K3585="U – needs rule","ℹ حالة U تحتاج قاعدة معتمدة",IF($K3585="No result","ℹ بدون نتيجة (يُستبعد من التحصيل)","OK")))))))))))</f>
        <v/>
      </c>
      <c r="M3585" s="64" t="n">
        <f aca="false">IF($A3585="",0,IFERROR(MATCH($A3585,Classes!$A$6:$A$420,0),0))</f>
        <v>0</v>
      </c>
      <c r="N3585" s="64" t="n">
        <f aca="false">IF($H3585="",0,IFERROR(MATCH($H3585,GradeList,0),0))</f>
        <v>0</v>
      </c>
      <c r="O3585" s="64" t="n">
        <f aca="false">IF(OR($I3585="",$I3585="NR"),0,IFERROR(MATCH($I3585,GradeList,0),0))</f>
        <v>0</v>
      </c>
      <c r="P3585" s="64" t="n">
        <f aca="false">IF(AND($M3585&gt;0,ISNUMBER(MATCH($F3585,Lists!$A$2:$A$5,0)),ISNUMBER(MATCH($G3585,Lists!$B$2:$B$7,0)),OR($H3585="",$N3585&gt;0),OR($I3585="",$I3585="NR",$O3585&gt;0),IF(ISNUMBER($J3585),AND($J3585&gt;=0,$J3585=INT($J3585)),FALSE())),$J3585,0)</f>
        <v>0</v>
      </c>
      <c r="Q3585" s="64" t="n">
        <f aca="false">IF(AND($P3585&gt;0,$O3585&gt;0),$P3585,0)</f>
        <v>0</v>
      </c>
      <c r="R3585" s="64" t="n">
        <f aca="false">IF(AND($Q3585&gt;0,$O3585&gt;=AtRank),$Q3585,0)</f>
        <v>0</v>
      </c>
      <c r="S3585" s="64" t="n">
        <f aca="false">IF(AND($Q3585&gt;0,$O3585&gt;=AboveRank),$Q3585,0)</f>
        <v>0</v>
      </c>
      <c r="T3585" s="64" t="n">
        <f aca="false">IF($K3585="Less",$P3585,0)</f>
        <v>0</v>
      </c>
      <c r="U3585" s="64" t="n">
        <f aca="false">IF($K3585="Expected",$P3585,0)</f>
        <v>0</v>
      </c>
      <c r="V3585" s="64" t="n">
        <f aca="false">IF($K3585="Better",$P3585,0)</f>
        <v>0</v>
      </c>
      <c r="W3585" s="64" t="n">
        <f aca="false">IF($K3585="U – needs rule",$P3585,0)</f>
        <v>0</v>
      </c>
      <c r="X3585" s="64" t="n">
        <f aca="false">IF($K3585="No Start (attainment only)",$P3585,0)</f>
        <v>0</v>
      </c>
    </row>
    <row r="3586" customFormat="false" ht="15" hidden="false" customHeight="false" outlineLevel="0" collapsed="false">
      <c r="A3586" s="60"/>
      <c r="B3586" s="61" t="str">
        <f aca="false">IF($M3586=0,"",INDEX(Classes!$E$6:$E$420,$M3586))</f>
        <v/>
      </c>
      <c r="C3586" s="62" t="str">
        <f aca="false">IF($M3586=0,"",INDEX(Classes!$H$6:$H$420,$M3586))</f>
        <v/>
      </c>
      <c r="D3586" s="61" t="str">
        <f aca="false">IF($M3586=0,"",INDEX(Classes!$B$6:$B$420,$M3586))</f>
        <v/>
      </c>
      <c r="E3586" s="61" t="str">
        <f aca="false">IF($M3586=0,"",INDEX(Classes!$C$6:$C$420,$M3586))</f>
        <v/>
      </c>
      <c r="F3586" s="63"/>
      <c r="G3586" s="63"/>
      <c r="H3586" s="60"/>
      <c r="I3586" s="60"/>
      <c r="J3586" s="63"/>
      <c r="K3586" s="61" t="str">
        <f aca="false">IF($P3586=0,"",IF($F3586="Baseline","— Baseline",IF($O3586=0,"No result",IF($N3586=0,"No Start (attainment only)",IF(OR($N3586=1,$O3586=1),"U – needs rule",INDEX(MxBody,MATCH($I3586,MxCurr,0),MATCH($H3586,MxStart,0)))))))</f>
        <v/>
      </c>
      <c r="L3586" s="62" t="str">
        <f aca="false">IF(COUNTA($A3586,$F3586,$G3586,$H3586,$I3586,$J3586)=0,"",IF($M3586=0,"✖ كود الصف غير موجود",IF(ISNA(MATCH($F3586,Lists!$A$2:$A$5,0)),"✖ الفترة غير صحيحة",IF(ISNA(MATCH($G3586,Lists!$B$2:$B$7,0)),"✖ المجموعة غير صحيحة",IF(NOT(OR($H3586="",$N3586&gt;0)),"✖ Start غير صحيح",IF(NOT(OR($I3586="",$I3586="NR",$O3586&gt;0)),"✖ Current غير صحيح",IF(NOT(IF(ISNUMBER($J3586),AND($J3586&gt;=0,$J3586=INT($J3586)),FALSE())),"✖ العدد يجب أن يكون صحيحًا ≥ 0",IF(AND($F3586="Baseline",$H3586&lt;&gt;""),"⚠ Baseline: Start لا يدخل في التقدم",IF($K3586="No Start (attainment only)","ℹ تحصيل فقط (بدون Start)",IF($K3586="U – needs rule","ℹ حالة U تحتاج قاعدة معتمدة",IF($K3586="No result","ℹ بدون نتيجة (يُستبعد من التحصيل)","OK")))))))))))</f>
        <v/>
      </c>
      <c r="M3586" s="64" t="n">
        <f aca="false">IF($A3586="",0,IFERROR(MATCH($A3586,Classes!$A$6:$A$420,0),0))</f>
        <v>0</v>
      </c>
      <c r="N3586" s="64" t="n">
        <f aca="false">IF($H3586="",0,IFERROR(MATCH($H3586,GradeList,0),0))</f>
        <v>0</v>
      </c>
      <c r="O3586" s="64" t="n">
        <f aca="false">IF(OR($I3586="",$I3586="NR"),0,IFERROR(MATCH($I3586,GradeList,0),0))</f>
        <v>0</v>
      </c>
      <c r="P3586" s="64" t="n">
        <f aca="false">IF(AND($M3586&gt;0,ISNUMBER(MATCH($F3586,Lists!$A$2:$A$5,0)),ISNUMBER(MATCH($G3586,Lists!$B$2:$B$7,0)),OR($H3586="",$N3586&gt;0),OR($I3586="",$I3586="NR",$O3586&gt;0),IF(ISNUMBER($J3586),AND($J3586&gt;=0,$J3586=INT($J3586)),FALSE())),$J3586,0)</f>
        <v>0</v>
      </c>
      <c r="Q3586" s="64" t="n">
        <f aca="false">IF(AND($P3586&gt;0,$O3586&gt;0),$P3586,0)</f>
        <v>0</v>
      </c>
      <c r="R3586" s="64" t="n">
        <f aca="false">IF(AND($Q3586&gt;0,$O3586&gt;=AtRank),$Q3586,0)</f>
        <v>0</v>
      </c>
      <c r="S3586" s="64" t="n">
        <f aca="false">IF(AND($Q3586&gt;0,$O3586&gt;=AboveRank),$Q3586,0)</f>
        <v>0</v>
      </c>
      <c r="T3586" s="64" t="n">
        <f aca="false">IF($K3586="Less",$P3586,0)</f>
        <v>0</v>
      </c>
      <c r="U3586" s="64" t="n">
        <f aca="false">IF($K3586="Expected",$P3586,0)</f>
        <v>0</v>
      </c>
      <c r="V3586" s="64" t="n">
        <f aca="false">IF($K3586="Better",$P3586,0)</f>
        <v>0</v>
      </c>
      <c r="W3586" s="64" t="n">
        <f aca="false">IF($K3586="U – needs rule",$P3586,0)</f>
        <v>0</v>
      </c>
      <c r="X3586" s="64" t="n">
        <f aca="false">IF($K3586="No Start (attainment only)",$P3586,0)</f>
        <v>0</v>
      </c>
    </row>
    <row r="3587" customFormat="false" ht="15" hidden="false" customHeight="false" outlineLevel="0" collapsed="false">
      <c r="A3587" s="60"/>
      <c r="B3587" s="61" t="str">
        <f aca="false">IF($M3587=0,"",INDEX(Classes!$E$6:$E$420,$M3587))</f>
        <v/>
      </c>
      <c r="C3587" s="62" t="str">
        <f aca="false">IF($M3587=0,"",INDEX(Classes!$H$6:$H$420,$M3587))</f>
        <v/>
      </c>
      <c r="D3587" s="61" t="str">
        <f aca="false">IF($M3587=0,"",INDEX(Classes!$B$6:$B$420,$M3587))</f>
        <v/>
      </c>
      <c r="E3587" s="61" t="str">
        <f aca="false">IF($M3587=0,"",INDEX(Classes!$C$6:$C$420,$M3587))</f>
        <v/>
      </c>
      <c r="F3587" s="63"/>
      <c r="G3587" s="63"/>
      <c r="H3587" s="60"/>
      <c r="I3587" s="60"/>
      <c r="J3587" s="63"/>
      <c r="K3587" s="61" t="str">
        <f aca="false">IF($P3587=0,"",IF($F3587="Baseline","— Baseline",IF($O3587=0,"No result",IF($N3587=0,"No Start (attainment only)",IF(OR($N3587=1,$O3587=1),"U – needs rule",INDEX(MxBody,MATCH($I3587,MxCurr,0),MATCH($H3587,MxStart,0)))))))</f>
        <v/>
      </c>
      <c r="L3587" s="62" t="str">
        <f aca="false">IF(COUNTA($A3587,$F3587,$G3587,$H3587,$I3587,$J3587)=0,"",IF($M3587=0,"✖ كود الصف غير موجود",IF(ISNA(MATCH($F3587,Lists!$A$2:$A$5,0)),"✖ الفترة غير صحيحة",IF(ISNA(MATCH($G3587,Lists!$B$2:$B$7,0)),"✖ المجموعة غير صحيحة",IF(NOT(OR($H3587="",$N3587&gt;0)),"✖ Start غير صحيح",IF(NOT(OR($I3587="",$I3587="NR",$O3587&gt;0)),"✖ Current غير صحيح",IF(NOT(IF(ISNUMBER($J3587),AND($J3587&gt;=0,$J3587=INT($J3587)),FALSE())),"✖ العدد يجب أن يكون صحيحًا ≥ 0",IF(AND($F3587="Baseline",$H3587&lt;&gt;""),"⚠ Baseline: Start لا يدخل في التقدم",IF($K3587="No Start (attainment only)","ℹ تحصيل فقط (بدون Start)",IF($K3587="U – needs rule","ℹ حالة U تحتاج قاعدة معتمدة",IF($K3587="No result","ℹ بدون نتيجة (يُستبعد من التحصيل)","OK")))))))))))</f>
        <v/>
      </c>
      <c r="M3587" s="64" t="n">
        <f aca="false">IF($A3587="",0,IFERROR(MATCH($A3587,Classes!$A$6:$A$420,0),0))</f>
        <v>0</v>
      </c>
      <c r="N3587" s="64" t="n">
        <f aca="false">IF($H3587="",0,IFERROR(MATCH($H3587,GradeList,0),0))</f>
        <v>0</v>
      </c>
      <c r="O3587" s="64" t="n">
        <f aca="false">IF(OR($I3587="",$I3587="NR"),0,IFERROR(MATCH($I3587,GradeList,0),0))</f>
        <v>0</v>
      </c>
      <c r="P3587" s="64" t="n">
        <f aca="false">IF(AND($M3587&gt;0,ISNUMBER(MATCH($F3587,Lists!$A$2:$A$5,0)),ISNUMBER(MATCH($G3587,Lists!$B$2:$B$7,0)),OR($H3587="",$N3587&gt;0),OR($I3587="",$I3587="NR",$O3587&gt;0),IF(ISNUMBER($J3587),AND($J3587&gt;=0,$J3587=INT($J3587)),FALSE())),$J3587,0)</f>
        <v>0</v>
      </c>
      <c r="Q3587" s="64" t="n">
        <f aca="false">IF(AND($P3587&gt;0,$O3587&gt;0),$P3587,0)</f>
        <v>0</v>
      </c>
      <c r="R3587" s="64" t="n">
        <f aca="false">IF(AND($Q3587&gt;0,$O3587&gt;=AtRank),$Q3587,0)</f>
        <v>0</v>
      </c>
      <c r="S3587" s="64" t="n">
        <f aca="false">IF(AND($Q3587&gt;0,$O3587&gt;=AboveRank),$Q3587,0)</f>
        <v>0</v>
      </c>
      <c r="T3587" s="64" t="n">
        <f aca="false">IF($K3587="Less",$P3587,0)</f>
        <v>0</v>
      </c>
      <c r="U3587" s="64" t="n">
        <f aca="false">IF($K3587="Expected",$P3587,0)</f>
        <v>0</v>
      </c>
      <c r="V3587" s="64" t="n">
        <f aca="false">IF($K3587="Better",$P3587,0)</f>
        <v>0</v>
      </c>
      <c r="W3587" s="64" t="n">
        <f aca="false">IF($K3587="U – needs rule",$P3587,0)</f>
        <v>0</v>
      </c>
      <c r="X3587" s="64" t="n">
        <f aca="false">IF($K3587="No Start (attainment only)",$P3587,0)</f>
        <v>0</v>
      </c>
    </row>
    <row r="3588" customFormat="false" ht="15" hidden="false" customHeight="false" outlineLevel="0" collapsed="false">
      <c r="A3588" s="60"/>
      <c r="B3588" s="61" t="str">
        <f aca="false">IF($M3588=0,"",INDEX(Classes!$E$6:$E$420,$M3588))</f>
        <v/>
      </c>
      <c r="C3588" s="62" t="str">
        <f aca="false">IF($M3588=0,"",INDEX(Classes!$H$6:$H$420,$M3588))</f>
        <v/>
      </c>
      <c r="D3588" s="61" t="str">
        <f aca="false">IF($M3588=0,"",INDEX(Classes!$B$6:$B$420,$M3588))</f>
        <v/>
      </c>
      <c r="E3588" s="61" t="str">
        <f aca="false">IF($M3588=0,"",INDEX(Classes!$C$6:$C$420,$M3588))</f>
        <v/>
      </c>
      <c r="F3588" s="63"/>
      <c r="G3588" s="63"/>
      <c r="H3588" s="60"/>
      <c r="I3588" s="60"/>
      <c r="J3588" s="63"/>
      <c r="K3588" s="61" t="str">
        <f aca="false">IF($P3588=0,"",IF($F3588="Baseline","— Baseline",IF($O3588=0,"No result",IF($N3588=0,"No Start (attainment only)",IF(OR($N3588=1,$O3588=1),"U – needs rule",INDEX(MxBody,MATCH($I3588,MxCurr,0),MATCH($H3588,MxStart,0)))))))</f>
        <v/>
      </c>
      <c r="L3588" s="62" t="str">
        <f aca="false">IF(COUNTA($A3588,$F3588,$G3588,$H3588,$I3588,$J3588)=0,"",IF($M3588=0,"✖ كود الصف غير موجود",IF(ISNA(MATCH($F3588,Lists!$A$2:$A$5,0)),"✖ الفترة غير صحيحة",IF(ISNA(MATCH($G3588,Lists!$B$2:$B$7,0)),"✖ المجموعة غير صحيحة",IF(NOT(OR($H3588="",$N3588&gt;0)),"✖ Start غير صحيح",IF(NOT(OR($I3588="",$I3588="NR",$O3588&gt;0)),"✖ Current غير صحيح",IF(NOT(IF(ISNUMBER($J3588),AND($J3588&gt;=0,$J3588=INT($J3588)),FALSE())),"✖ العدد يجب أن يكون صحيحًا ≥ 0",IF(AND($F3588="Baseline",$H3588&lt;&gt;""),"⚠ Baseline: Start لا يدخل في التقدم",IF($K3588="No Start (attainment only)","ℹ تحصيل فقط (بدون Start)",IF($K3588="U – needs rule","ℹ حالة U تحتاج قاعدة معتمدة",IF($K3588="No result","ℹ بدون نتيجة (يُستبعد من التحصيل)","OK")))))))))))</f>
        <v/>
      </c>
      <c r="M3588" s="64" t="n">
        <f aca="false">IF($A3588="",0,IFERROR(MATCH($A3588,Classes!$A$6:$A$420,0),0))</f>
        <v>0</v>
      </c>
      <c r="N3588" s="64" t="n">
        <f aca="false">IF($H3588="",0,IFERROR(MATCH($H3588,GradeList,0),0))</f>
        <v>0</v>
      </c>
      <c r="O3588" s="64" t="n">
        <f aca="false">IF(OR($I3588="",$I3588="NR"),0,IFERROR(MATCH($I3588,GradeList,0),0))</f>
        <v>0</v>
      </c>
      <c r="P3588" s="64" t="n">
        <f aca="false">IF(AND($M3588&gt;0,ISNUMBER(MATCH($F3588,Lists!$A$2:$A$5,0)),ISNUMBER(MATCH($G3588,Lists!$B$2:$B$7,0)),OR($H3588="",$N3588&gt;0),OR($I3588="",$I3588="NR",$O3588&gt;0),IF(ISNUMBER($J3588),AND($J3588&gt;=0,$J3588=INT($J3588)),FALSE())),$J3588,0)</f>
        <v>0</v>
      </c>
      <c r="Q3588" s="64" t="n">
        <f aca="false">IF(AND($P3588&gt;0,$O3588&gt;0),$P3588,0)</f>
        <v>0</v>
      </c>
      <c r="R3588" s="64" t="n">
        <f aca="false">IF(AND($Q3588&gt;0,$O3588&gt;=AtRank),$Q3588,0)</f>
        <v>0</v>
      </c>
      <c r="S3588" s="64" t="n">
        <f aca="false">IF(AND($Q3588&gt;0,$O3588&gt;=AboveRank),$Q3588,0)</f>
        <v>0</v>
      </c>
      <c r="T3588" s="64" t="n">
        <f aca="false">IF($K3588="Less",$P3588,0)</f>
        <v>0</v>
      </c>
      <c r="U3588" s="64" t="n">
        <f aca="false">IF($K3588="Expected",$P3588,0)</f>
        <v>0</v>
      </c>
      <c r="V3588" s="64" t="n">
        <f aca="false">IF($K3588="Better",$P3588,0)</f>
        <v>0</v>
      </c>
      <c r="W3588" s="64" t="n">
        <f aca="false">IF($K3588="U – needs rule",$P3588,0)</f>
        <v>0</v>
      </c>
      <c r="X3588" s="64" t="n">
        <f aca="false">IF($K3588="No Start (attainment only)",$P3588,0)</f>
        <v>0</v>
      </c>
    </row>
    <row r="3589" customFormat="false" ht="15" hidden="false" customHeight="false" outlineLevel="0" collapsed="false">
      <c r="A3589" s="60"/>
      <c r="B3589" s="61" t="str">
        <f aca="false">IF($M3589=0,"",INDEX(Classes!$E$6:$E$420,$M3589))</f>
        <v/>
      </c>
      <c r="C3589" s="62" t="str">
        <f aca="false">IF($M3589=0,"",INDEX(Classes!$H$6:$H$420,$M3589))</f>
        <v/>
      </c>
      <c r="D3589" s="61" t="str">
        <f aca="false">IF($M3589=0,"",INDEX(Classes!$B$6:$B$420,$M3589))</f>
        <v/>
      </c>
      <c r="E3589" s="61" t="str">
        <f aca="false">IF($M3589=0,"",INDEX(Classes!$C$6:$C$420,$M3589))</f>
        <v/>
      </c>
      <c r="F3589" s="63"/>
      <c r="G3589" s="63"/>
      <c r="H3589" s="60"/>
      <c r="I3589" s="60"/>
      <c r="J3589" s="63"/>
      <c r="K3589" s="61" t="str">
        <f aca="false">IF($P3589=0,"",IF($F3589="Baseline","— Baseline",IF($O3589=0,"No result",IF($N3589=0,"No Start (attainment only)",IF(OR($N3589=1,$O3589=1),"U – needs rule",INDEX(MxBody,MATCH($I3589,MxCurr,0),MATCH($H3589,MxStart,0)))))))</f>
        <v/>
      </c>
      <c r="L3589" s="62" t="str">
        <f aca="false">IF(COUNTA($A3589,$F3589,$G3589,$H3589,$I3589,$J3589)=0,"",IF($M3589=0,"✖ كود الصف غير موجود",IF(ISNA(MATCH($F3589,Lists!$A$2:$A$5,0)),"✖ الفترة غير صحيحة",IF(ISNA(MATCH($G3589,Lists!$B$2:$B$7,0)),"✖ المجموعة غير صحيحة",IF(NOT(OR($H3589="",$N3589&gt;0)),"✖ Start غير صحيح",IF(NOT(OR($I3589="",$I3589="NR",$O3589&gt;0)),"✖ Current غير صحيح",IF(NOT(IF(ISNUMBER($J3589),AND($J3589&gt;=0,$J3589=INT($J3589)),FALSE())),"✖ العدد يجب أن يكون صحيحًا ≥ 0",IF(AND($F3589="Baseline",$H3589&lt;&gt;""),"⚠ Baseline: Start لا يدخل في التقدم",IF($K3589="No Start (attainment only)","ℹ تحصيل فقط (بدون Start)",IF($K3589="U – needs rule","ℹ حالة U تحتاج قاعدة معتمدة",IF($K3589="No result","ℹ بدون نتيجة (يُستبعد من التحصيل)","OK")))))))))))</f>
        <v/>
      </c>
      <c r="M3589" s="64" t="n">
        <f aca="false">IF($A3589="",0,IFERROR(MATCH($A3589,Classes!$A$6:$A$420,0),0))</f>
        <v>0</v>
      </c>
      <c r="N3589" s="64" t="n">
        <f aca="false">IF($H3589="",0,IFERROR(MATCH($H3589,GradeList,0),0))</f>
        <v>0</v>
      </c>
      <c r="O3589" s="64" t="n">
        <f aca="false">IF(OR($I3589="",$I3589="NR"),0,IFERROR(MATCH($I3589,GradeList,0),0))</f>
        <v>0</v>
      </c>
      <c r="P3589" s="64" t="n">
        <f aca="false">IF(AND($M3589&gt;0,ISNUMBER(MATCH($F3589,Lists!$A$2:$A$5,0)),ISNUMBER(MATCH($G3589,Lists!$B$2:$B$7,0)),OR($H3589="",$N3589&gt;0),OR($I3589="",$I3589="NR",$O3589&gt;0),IF(ISNUMBER($J3589),AND($J3589&gt;=0,$J3589=INT($J3589)),FALSE())),$J3589,0)</f>
        <v>0</v>
      </c>
      <c r="Q3589" s="64" t="n">
        <f aca="false">IF(AND($P3589&gt;0,$O3589&gt;0),$P3589,0)</f>
        <v>0</v>
      </c>
      <c r="R3589" s="64" t="n">
        <f aca="false">IF(AND($Q3589&gt;0,$O3589&gt;=AtRank),$Q3589,0)</f>
        <v>0</v>
      </c>
      <c r="S3589" s="64" t="n">
        <f aca="false">IF(AND($Q3589&gt;0,$O3589&gt;=AboveRank),$Q3589,0)</f>
        <v>0</v>
      </c>
      <c r="T3589" s="64" t="n">
        <f aca="false">IF($K3589="Less",$P3589,0)</f>
        <v>0</v>
      </c>
      <c r="U3589" s="64" t="n">
        <f aca="false">IF($K3589="Expected",$P3589,0)</f>
        <v>0</v>
      </c>
      <c r="V3589" s="64" t="n">
        <f aca="false">IF($K3589="Better",$P3589,0)</f>
        <v>0</v>
      </c>
      <c r="W3589" s="64" t="n">
        <f aca="false">IF($K3589="U – needs rule",$P3589,0)</f>
        <v>0</v>
      </c>
      <c r="X3589" s="64" t="n">
        <f aca="false">IF($K3589="No Start (attainment only)",$P3589,0)</f>
        <v>0</v>
      </c>
    </row>
    <row r="3590" customFormat="false" ht="15" hidden="false" customHeight="false" outlineLevel="0" collapsed="false">
      <c r="A3590" s="60"/>
      <c r="B3590" s="61" t="str">
        <f aca="false">IF($M3590=0,"",INDEX(Classes!$E$6:$E$420,$M3590))</f>
        <v/>
      </c>
      <c r="C3590" s="62" t="str">
        <f aca="false">IF($M3590=0,"",INDEX(Classes!$H$6:$H$420,$M3590))</f>
        <v/>
      </c>
      <c r="D3590" s="61" t="str">
        <f aca="false">IF($M3590=0,"",INDEX(Classes!$B$6:$B$420,$M3590))</f>
        <v/>
      </c>
      <c r="E3590" s="61" t="str">
        <f aca="false">IF($M3590=0,"",INDEX(Classes!$C$6:$C$420,$M3590))</f>
        <v/>
      </c>
      <c r="F3590" s="63"/>
      <c r="G3590" s="63"/>
      <c r="H3590" s="60"/>
      <c r="I3590" s="60"/>
      <c r="J3590" s="63"/>
      <c r="K3590" s="61" t="str">
        <f aca="false">IF($P3590=0,"",IF($F3590="Baseline","— Baseline",IF($O3590=0,"No result",IF($N3590=0,"No Start (attainment only)",IF(OR($N3590=1,$O3590=1),"U – needs rule",INDEX(MxBody,MATCH($I3590,MxCurr,0),MATCH($H3590,MxStart,0)))))))</f>
        <v/>
      </c>
      <c r="L3590" s="62" t="str">
        <f aca="false">IF(COUNTA($A3590,$F3590,$G3590,$H3590,$I3590,$J3590)=0,"",IF($M3590=0,"✖ كود الصف غير موجود",IF(ISNA(MATCH($F3590,Lists!$A$2:$A$5,0)),"✖ الفترة غير صحيحة",IF(ISNA(MATCH($G3590,Lists!$B$2:$B$7,0)),"✖ المجموعة غير صحيحة",IF(NOT(OR($H3590="",$N3590&gt;0)),"✖ Start غير صحيح",IF(NOT(OR($I3590="",$I3590="NR",$O3590&gt;0)),"✖ Current غير صحيح",IF(NOT(IF(ISNUMBER($J3590),AND($J3590&gt;=0,$J3590=INT($J3590)),FALSE())),"✖ العدد يجب أن يكون صحيحًا ≥ 0",IF(AND($F3590="Baseline",$H3590&lt;&gt;""),"⚠ Baseline: Start لا يدخل في التقدم",IF($K3590="No Start (attainment only)","ℹ تحصيل فقط (بدون Start)",IF($K3590="U – needs rule","ℹ حالة U تحتاج قاعدة معتمدة",IF($K3590="No result","ℹ بدون نتيجة (يُستبعد من التحصيل)","OK")))))))))))</f>
        <v/>
      </c>
      <c r="M3590" s="64" t="n">
        <f aca="false">IF($A3590="",0,IFERROR(MATCH($A3590,Classes!$A$6:$A$420,0),0))</f>
        <v>0</v>
      </c>
      <c r="N3590" s="64" t="n">
        <f aca="false">IF($H3590="",0,IFERROR(MATCH($H3590,GradeList,0),0))</f>
        <v>0</v>
      </c>
      <c r="O3590" s="64" t="n">
        <f aca="false">IF(OR($I3590="",$I3590="NR"),0,IFERROR(MATCH($I3590,GradeList,0),0))</f>
        <v>0</v>
      </c>
      <c r="P3590" s="64" t="n">
        <f aca="false">IF(AND($M3590&gt;0,ISNUMBER(MATCH($F3590,Lists!$A$2:$A$5,0)),ISNUMBER(MATCH($G3590,Lists!$B$2:$B$7,0)),OR($H3590="",$N3590&gt;0),OR($I3590="",$I3590="NR",$O3590&gt;0),IF(ISNUMBER($J3590),AND($J3590&gt;=0,$J3590=INT($J3590)),FALSE())),$J3590,0)</f>
        <v>0</v>
      </c>
      <c r="Q3590" s="64" t="n">
        <f aca="false">IF(AND($P3590&gt;0,$O3590&gt;0),$P3590,0)</f>
        <v>0</v>
      </c>
      <c r="R3590" s="64" t="n">
        <f aca="false">IF(AND($Q3590&gt;0,$O3590&gt;=AtRank),$Q3590,0)</f>
        <v>0</v>
      </c>
      <c r="S3590" s="64" t="n">
        <f aca="false">IF(AND($Q3590&gt;0,$O3590&gt;=AboveRank),$Q3590,0)</f>
        <v>0</v>
      </c>
      <c r="T3590" s="64" t="n">
        <f aca="false">IF($K3590="Less",$P3590,0)</f>
        <v>0</v>
      </c>
      <c r="U3590" s="64" t="n">
        <f aca="false">IF($K3590="Expected",$P3590,0)</f>
        <v>0</v>
      </c>
      <c r="V3590" s="64" t="n">
        <f aca="false">IF($K3590="Better",$P3590,0)</f>
        <v>0</v>
      </c>
      <c r="W3590" s="64" t="n">
        <f aca="false">IF($K3590="U – needs rule",$P3590,0)</f>
        <v>0</v>
      </c>
      <c r="X3590" s="64" t="n">
        <f aca="false">IF($K3590="No Start (attainment only)",$P3590,0)</f>
        <v>0</v>
      </c>
    </row>
    <row r="3591" customFormat="false" ht="15" hidden="false" customHeight="false" outlineLevel="0" collapsed="false">
      <c r="A3591" s="60"/>
      <c r="B3591" s="61" t="str">
        <f aca="false">IF($M3591=0,"",INDEX(Classes!$E$6:$E$420,$M3591))</f>
        <v/>
      </c>
      <c r="C3591" s="62" t="str">
        <f aca="false">IF($M3591=0,"",INDEX(Classes!$H$6:$H$420,$M3591))</f>
        <v/>
      </c>
      <c r="D3591" s="61" t="str">
        <f aca="false">IF($M3591=0,"",INDEX(Classes!$B$6:$B$420,$M3591))</f>
        <v/>
      </c>
      <c r="E3591" s="61" t="str">
        <f aca="false">IF($M3591=0,"",INDEX(Classes!$C$6:$C$420,$M3591))</f>
        <v/>
      </c>
      <c r="F3591" s="63"/>
      <c r="G3591" s="63"/>
      <c r="H3591" s="60"/>
      <c r="I3591" s="60"/>
      <c r="J3591" s="63"/>
      <c r="K3591" s="61" t="str">
        <f aca="false">IF($P3591=0,"",IF($F3591="Baseline","— Baseline",IF($O3591=0,"No result",IF($N3591=0,"No Start (attainment only)",IF(OR($N3591=1,$O3591=1),"U – needs rule",INDEX(MxBody,MATCH($I3591,MxCurr,0),MATCH($H3591,MxStart,0)))))))</f>
        <v/>
      </c>
      <c r="L3591" s="62" t="str">
        <f aca="false">IF(COUNTA($A3591,$F3591,$G3591,$H3591,$I3591,$J3591)=0,"",IF($M3591=0,"✖ كود الصف غير موجود",IF(ISNA(MATCH($F3591,Lists!$A$2:$A$5,0)),"✖ الفترة غير صحيحة",IF(ISNA(MATCH($G3591,Lists!$B$2:$B$7,0)),"✖ المجموعة غير صحيحة",IF(NOT(OR($H3591="",$N3591&gt;0)),"✖ Start غير صحيح",IF(NOT(OR($I3591="",$I3591="NR",$O3591&gt;0)),"✖ Current غير صحيح",IF(NOT(IF(ISNUMBER($J3591),AND($J3591&gt;=0,$J3591=INT($J3591)),FALSE())),"✖ العدد يجب أن يكون صحيحًا ≥ 0",IF(AND($F3591="Baseline",$H3591&lt;&gt;""),"⚠ Baseline: Start لا يدخل في التقدم",IF($K3591="No Start (attainment only)","ℹ تحصيل فقط (بدون Start)",IF($K3591="U – needs rule","ℹ حالة U تحتاج قاعدة معتمدة",IF($K3591="No result","ℹ بدون نتيجة (يُستبعد من التحصيل)","OK")))))))))))</f>
        <v/>
      </c>
      <c r="M3591" s="64" t="n">
        <f aca="false">IF($A3591="",0,IFERROR(MATCH($A3591,Classes!$A$6:$A$420,0),0))</f>
        <v>0</v>
      </c>
      <c r="N3591" s="64" t="n">
        <f aca="false">IF($H3591="",0,IFERROR(MATCH($H3591,GradeList,0),0))</f>
        <v>0</v>
      </c>
      <c r="O3591" s="64" t="n">
        <f aca="false">IF(OR($I3591="",$I3591="NR"),0,IFERROR(MATCH($I3591,GradeList,0),0))</f>
        <v>0</v>
      </c>
      <c r="P3591" s="64" t="n">
        <f aca="false">IF(AND($M3591&gt;0,ISNUMBER(MATCH($F3591,Lists!$A$2:$A$5,0)),ISNUMBER(MATCH($G3591,Lists!$B$2:$B$7,0)),OR($H3591="",$N3591&gt;0),OR($I3591="",$I3591="NR",$O3591&gt;0),IF(ISNUMBER($J3591),AND($J3591&gt;=0,$J3591=INT($J3591)),FALSE())),$J3591,0)</f>
        <v>0</v>
      </c>
      <c r="Q3591" s="64" t="n">
        <f aca="false">IF(AND($P3591&gt;0,$O3591&gt;0),$P3591,0)</f>
        <v>0</v>
      </c>
      <c r="R3591" s="64" t="n">
        <f aca="false">IF(AND($Q3591&gt;0,$O3591&gt;=AtRank),$Q3591,0)</f>
        <v>0</v>
      </c>
      <c r="S3591" s="64" t="n">
        <f aca="false">IF(AND($Q3591&gt;0,$O3591&gt;=AboveRank),$Q3591,0)</f>
        <v>0</v>
      </c>
      <c r="T3591" s="64" t="n">
        <f aca="false">IF($K3591="Less",$P3591,0)</f>
        <v>0</v>
      </c>
      <c r="U3591" s="64" t="n">
        <f aca="false">IF($K3591="Expected",$P3591,0)</f>
        <v>0</v>
      </c>
      <c r="V3591" s="64" t="n">
        <f aca="false">IF($K3591="Better",$P3591,0)</f>
        <v>0</v>
      </c>
      <c r="W3591" s="64" t="n">
        <f aca="false">IF($K3591="U – needs rule",$P3591,0)</f>
        <v>0</v>
      </c>
      <c r="X3591" s="64" t="n">
        <f aca="false">IF($K3591="No Start (attainment only)",$P3591,0)</f>
        <v>0</v>
      </c>
    </row>
    <row r="3592" customFormat="false" ht="15" hidden="false" customHeight="false" outlineLevel="0" collapsed="false">
      <c r="A3592" s="60"/>
      <c r="B3592" s="61" t="str">
        <f aca="false">IF($M3592=0,"",INDEX(Classes!$E$6:$E$420,$M3592))</f>
        <v/>
      </c>
      <c r="C3592" s="62" t="str">
        <f aca="false">IF($M3592=0,"",INDEX(Classes!$H$6:$H$420,$M3592))</f>
        <v/>
      </c>
      <c r="D3592" s="61" t="str">
        <f aca="false">IF($M3592=0,"",INDEX(Classes!$B$6:$B$420,$M3592))</f>
        <v/>
      </c>
      <c r="E3592" s="61" t="str">
        <f aca="false">IF($M3592=0,"",INDEX(Classes!$C$6:$C$420,$M3592))</f>
        <v/>
      </c>
      <c r="F3592" s="63"/>
      <c r="G3592" s="63"/>
      <c r="H3592" s="60"/>
      <c r="I3592" s="60"/>
      <c r="J3592" s="63"/>
      <c r="K3592" s="61" t="str">
        <f aca="false">IF($P3592=0,"",IF($F3592="Baseline","— Baseline",IF($O3592=0,"No result",IF($N3592=0,"No Start (attainment only)",IF(OR($N3592=1,$O3592=1),"U – needs rule",INDEX(MxBody,MATCH($I3592,MxCurr,0),MATCH($H3592,MxStart,0)))))))</f>
        <v/>
      </c>
      <c r="L3592" s="62" t="str">
        <f aca="false">IF(COUNTA($A3592,$F3592,$G3592,$H3592,$I3592,$J3592)=0,"",IF($M3592=0,"✖ كود الصف غير موجود",IF(ISNA(MATCH($F3592,Lists!$A$2:$A$5,0)),"✖ الفترة غير صحيحة",IF(ISNA(MATCH($G3592,Lists!$B$2:$B$7,0)),"✖ المجموعة غير صحيحة",IF(NOT(OR($H3592="",$N3592&gt;0)),"✖ Start غير صحيح",IF(NOT(OR($I3592="",$I3592="NR",$O3592&gt;0)),"✖ Current غير صحيح",IF(NOT(IF(ISNUMBER($J3592),AND($J3592&gt;=0,$J3592=INT($J3592)),FALSE())),"✖ العدد يجب أن يكون صحيحًا ≥ 0",IF(AND($F3592="Baseline",$H3592&lt;&gt;""),"⚠ Baseline: Start لا يدخل في التقدم",IF($K3592="No Start (attainment only)","ℹ تحصيل فقط (بدون Start)",IF($K3592="U – needs rule","ℹ حالة U تحتاج قاعدة معتمدة",IF($K3592="No result","ℹ بدون نتيجة (يُستبعد من التحصيل)","OK")))))))))))</f>
        <v/>
      </c>
      <c r="M3592" s="64" t="n">
        <f aca="false">IF($A3592="",0,IFERROR(MATCH($A3592,Classes!$A$6:$A$420,0),0))</f>
        <v>0</v>
      </c>
      <c r="N3592" s="64" t="n">
        <f aca="false">IF($H3592="",0,IFERROR(MATCH($H3592,GradeList,0),0))</f>
        <v>0</v>
      </c>
      <c r="O3592" s="64" t="n">
        <f aca="false">IF(OR($I3592="",$I3592="NR"),0,IFERROR(MATCH($I3592,GradeList,0),0))</f>
        <v>0</v>
      </c>
      <c r="P3592" s="64" t="n">
        <f aca="false">IF(AND($M3592&gt;0,ISNUMBER(MATCH($F3592,Lists!$A$2:$A$5,0)),ISNUMBER(MATCH($G3592,Lists!$B$2:$B$7,0)),OR($H3592="",$N3592&gt;0),OR($I3592="",$I3592="NR",$O3592&gt;0),IF(ISNUMBER($J3592),AND($J3592&gt;=0,$J3592=INT($J3592)),FALSE())),$J3592,0)</f>
        <v>0</v>
      </c>
      <c r="Q3592" s="64" t="n">
        <f aca="false">IF(AND($P3592&gt;0,$O3592&gt;0),$P3592,0)</f>
        <v>0</v>
      </c>
      <c r="R3592" s="64" t="n">
        <f aca="false">IF(AND($Q3592&gt;0,$O3592&gt;=AtRank),$Q3592,0)</f>
        <v>0</v>
      </c>
      <c r="S3592" s="64" t="n">
        <f aca="false">IF(AND($Q3592&gt;0,$O3592&gt;=AboveRank),$Q3592,0)</f>
        <v>0</v>
      </c>
      <c r="T3592" s="64" t="n">
        <f aca="false">IF($K3592="Less",$P3592,0)</f>
        <v>0</v>
      </c>
      <c r="U3592" s="64" t="n">
        <f aca="false">IF($K3592="Expected",$P3592,0)</f>
        <v>0</v>
      </c>
      <c r="V3592" s="64" t="n">
        <f aca="false">IF($K3592="Better",$P3592,0)</f>
        <v>0</v>
      </c>
      <c r="W3592" s="64" t="n">
        <f aca="false">IF($K3592="U – needs rule",$P3592,0)</f>
        <v>0</v>
      </c>
      <c r="X3592" s="64" t="n">
        <f aca="false">IF($K3592="No Start (attainment only)",$P3592,0)</f>
        <v>0</v>
      </c>
    </row>
    <row r="3593" customFormat="false" ht="15" hidden="false" customHeight="false" outlineLevel="0" collapsed="false">
      <c r="A3593" s="60"/>
      <c r="B3593" s="61" t="str">
        <f aca="false">IF($M3593=0,"",INDEX(Classes!$E$6:$E$420,$M3593))</f>
        <v/>
      </c>
      <c r="C3593" s="62" t="str">
        <f aca="false">IF($M3593=0,"",INDEX(Classes!$H$6:$H$420,$M3593))</f>
        <v/>
      </c>
      <c r="D3593" s="61" t="str">
        <f aca="false">IF($M3593=0,"",INDEX(Classes!$B$6:$B$420,$M3593))</f>
        <v/>
      </c>
      <c r="E3593" s="61" t="str">
        <f aca="false">IF($M3593=0,"",INDEX(Classes!$C$6:$C$420,$M3593))</f>
        <v/>
      </c>
      <c r="F3593" s="63"/>
      <c r="G3593" s="63"/>
      <c r="H3593" s="60"/>
      <c r="I3593" s="60"/>
      <c r="J3593" s="63"/>
      <c r="K3593" s="61" t="str">
        <f aca="false">IF($P3593=0,"",IF($F3593="Baseline","— Baseline",IF($O3593=0,"No result",IF($N3593=0,"No Start (attainment only)",IF(OR($N3593=1,$O3593=1),"U – needs rule",INDEX(MxBody,MATCH($I3593,MxCurr,0),MATCH($H3593,MxStart,0)))))))</f>
        <v/>
      </c>
      <c r="L3593" s="62" t="str">
        <f aca="false">IF(COUNTA($A3593,$F3593,$G3593,$H3593,$I3593,$J3593)=0,"",IF($M3593=0,"✖ كود الصف غير موجود",IF(ISNA(MATCH($F3593,Lists!$A$2:$A$5,0)),"✖ الفترة غير صحيحة",IF(ISNA(MATCH($G3593,Lists!$B$2:$B$7,0)),"✖ المجموعة غير صحيحة",IF(NOT(OR($H3593="",$N3593&gt;0)),"✖ Start غير صحيح",IF(NOT(OR($I3593="",$I3593="NR",$O3593&gt;0)),"✖ Current غير صحيح",IF(NOT(IF(ISNUMBER($J3593),AND($J3593&gt;=0,$J3593=INT($J3593)),FALSE())),"✖ العدد يجب أن يكون صحيحًا ≥ 0",IF(AND($F3593="Baseline",$H3593&lt;&gt;""),"⚠ Baseline: Start لا يدخل في التقدم",IF($K3593="No Start (attainment only)","ℹ تحصيل فقط (بدون Start)",IF($K3593="U – needs rule","ℹ حالة U تحتاج قاعدة معتمدة",IF($K3593="No result","ℹ بدون نتيجة (يُستبعد من التحصيل)","OK")))))))))))</f>
        <v/>
      </c>
      <c r="M3593" s="64" t="n">
        <f aca="false">IF($A3593="",0,IFERROR(MATCH($A3593,Classes!$A$6:$A$420,0),0))</f>
        <v>0</v>
      </c>
      <c r="N3593" s="64" t="n">
        <f aca="false">IF($H3593="",0,IFERROR(MATCH($H3593,GradeList,0),0))</f>
        <v>0</v>
      </c>
      <c r="O3593" s="64" t="n">
        <f aca="false">IF(OR($I3593="",$I3593="NR"),0,IFERROR(MATCH($I3593,GradeList,0),0))</f>
        <v>0</v>
      </c>
      <c r="P3593" s="64" t="n">
        <f aca="false">IF(AND($M3593&gt;0,ISNUMBER(MATCH($F3593,Lists!$A$2:$A$5,0)),ISNUMBER(MATCH($G3593,Lists!$B$2:$B$7,0)),OR($H3593="",$N3593&gt;0),OR($I3593="",$I3593="NR",$O3593&gt;0),IF(ISNUMBER($J3593),AND($J3593&gt;=0,$J3593=INT($J3593)),FALSE())),$J3593,0)</f>
        <v>0</v>
      </c>
      <c r="Q3593" s="64" t="n">
        <f aca="false">IF(AND($P3593&gt;0,$O3593&gt;0),$P3593,0)</f>
        <v>0</v>
      </c>
      <c r="R3593" s="64" t="n">
        <f aca="false">IF(AND($Q3593&gt;0,$O3593&gt;=AtRank),$Q3593,0)</f>
        <v>0</v>
      </c>
      <c r="S3593" s="64" t="n">
        <f aca="false">IF(AND($Q3593&gt;0,$O3593&gt;=AboveRank),$Q3593,0)</f>
        <v>0</v>
      </c>
      <c r="T3593" s="64" t="n">
        <f aca="false">IF($K3593="Less",$P3593,0)</f>
        <v>0</v>
      </c>
      <c r="U3593" s="64" t="n">
        <f aca="false">IF($K3593="Expected",$P3593,0)</f>
        <v>0</v>
      </c>
      <c r="V3593" s="64" t="n">
        <f aca="false">IF($K3593="Better",$P3593,0)</f>
        <v>0</v>
      </c>
      <c r="W3593" s="64" t="n">
        <f aca="false">IF($K3593="U – needs rule",$P3593,0)</f>
        <v>0</v>
      </c>
      <c r="X3593" s="64" t="n">
        <f aca="false">IF($K3593="No Start (attainment only)",$P3593,0)</f>
        <v>0</v>
      </c>
    </row>
    <row r="3594" customFormat="false" ht="15" hidden="false" customHeight="false" outlineLevel="0" collapsed="false">
      <c r="A3594" s="60"/>
      <c r="B3594" s="61" t="str">
        <f aca="false">IF($M3594=0,"",INDEX(Classes!$E$6:$E$420,$M3594))</f>
        <v/>
      </c>
      <c r="C3594" s="62" t="str">
        <f aca="false">IF($M3594=0,"",INDEX(Classes!$H$6:$H$420,$M3594))</f>
        <v/>
      </c>
      <c r="D3594" s="61" t="str">
        <f aca="false">IF($M3594=0,"",INDEX(Classes!$B$6:$B$420,$M3594))</f>
        <v/>
      </c>
      <c r="E3594" s="61" t="str">
        <f aca="false">IF($M3594=0,"",INDEX(Classes!$C$6:$C$420,$M3594))</f>
        <v/>
      </c>
      <c r="F3594" s="63"/>
      <c r="G3594" s="63"/>
      <c r="H3594" s="60"/>
      <c r="I3594" s="60"/>
      <c r="J3594" s="63"/>
      <c r="K3594" s="61" t="str">
        <f aca="false">IF($P3594=0,"",IF($F3594="Baseline","— Baseline",IF($O3594=0,"No result",IF($N3594=0,"No Start (attainment only)",IF(OR($N3594=1,$O3594=1),"U – needs rule",INDEX(MxBody,MATCH($I3594,MxCurr,0),MATCH($H3594,MxStart,0)))))))</f>
        <v/>
      </c>
      <c r="L3594" s="62" t="str">
        <f aca="false">IF(COUNTA($A3594,$F3594,$G3594,$H3594,$I3594,$J3594)=0,"",IF($M3594=0,"✖ كود الصف غير موجود",IF(ISNA(MATCH($F3594,Lists!$A$2:$A$5,0)),"✖ الفترة غير صحيحة",IF(ISNA(MATCH($G3594,Lists!$B$2:$B$7,0)),"✖ المجموعة غير صحيحة",IF(NOT(OR($H3594="",$N3594&gt;0)),"✖ Start غير صحيح",IF(NOT(OR($I3594="",$I3594="NR",$O3594&gt;0)),"✖ Current غير صحيح",IF(NOT(IF(ISNUMBER($J3594),AND($J3594&gt;=0,$J3594=INT($J3594)),FALSE())),"✖ العدد يجب أن يكون صحيحًا ≥ 0",IF(AND($F3594="Baseline",$H3594&lt;&gt;""),"⚠ Baseline: Start لا يدخل في التقدم",IF($K3594="No Start (attainment only)","ℹ تحصيل فقط (بدون Start)",IF($K3594="U – needs rule","ℹ حالة U تحتاج قاعدة معتمدة",IF($K3594="No result","ℹ بدون نتيجة (يُستبعد من التحصيل)","OK")))))))))))</f>
        <v/>
      </c>
      <c r="M3594" s="64" t="n">
        <f aca="false">IF($A3594="",0,IFERROR(MATCH($A3594,Classes!$A$6:$A$420,0),0))</f>
        <v>0</v>
      </c>
      <c r="N3594" s="64" t="n">
        <f aca="false">IF($H3594="",0,IFERROR(MATCH($H3594,GradeList,0),0))</f>
        <v>0</v>
      </c>
      <c r="O3594" s="64" t="n">
        <f aca="false">IF(OR($I3594="",$I3594="NR"),0,IFERROR(MATCH($I3594,GradeList,0),0))</f>
        <v>0</v>
      </c>
      <c r="P3594" s="64" t="n">
        <f aca="false">IF(AND($M3594&gt;0,ISNUMBER(MATCH($F3594,Lists!$A$2:$A$5,0)),ISNUMBER(MATCH($G3594,Lists!$B$2:$B$7,0)),OR($H3594="",$N3594&gt;0),OR($I3594="",$I3594="NR",$O3594&gt;0),IF(ISNUMBER($J3594),AND($J3594&gt;=0,$J3594=INT($J3594)),FALSE())),$J3594,0)</f>
        <v>0</v>
      </c>
      <c r="Q3594" s="64" t="n">
        <f aca="false">IF(AND($P3594&gt;0,$O3594&gt;0),$P3594,0)</f>
        <v>0</v>
      </c>
      <c r="R3594" s="64" t="n">
        <f aca="false">IF(AND($Q3594&gt;0,$O3594&gt;=AtRank),$Q3594,0)</f>
        <v>0</v>
      </c>
      <c r="S3594" s="64" t="n">
        <f aca="false">IF(AND($Q3594&gt;0,$O3594&gt;=AboveRank),$Q3594,0)</f>
        <v>0</v>
      </c>
      <c r="T3594" s="64" t="n">
        <f aca="false">IF($K3594="Less",$P3594,0)</f>
        <v>0</v>
      </c>
      <c r="U3594" s="64" t="n">
        <f aca="false">IF($K3594="Expected",$P3594,0)</f>
        <v>0</v>
      </c>
      <c r="V3594" s="64" t="n">
        <f aca="false">IF($K3594="Better",$P3594,0)</f>
        <v>0</v>
      </c>
      <c r="W3594" s="64" t="n">
        <f aca="false">IF($K3594="U – needs rule",$P3594,0)</f>
        <v>0</v>
      </c>
      <c r="X3594" s="64" t="n">
        <f aca="false">IF($K3594="No Start (attainment only)",$P3594,0)</f>
        <v>0</v>
      </c>
    </row>
    <row r="3595" customFormat="false" ht="15" hidden="false" customHeight="false" outlineLevel="0" collapsed="false">
      <c r="A3595" s="60"/>
      <c r="B3595" s="61" t="str">
        <f aca="false">IF($M3595=0,"",INDEX(Classes!$E$6:$E$420,$M3595))</f>
        <v/>
      </c>
      <c r="C3595" s="62" t="str">
        <f aca="false">IF($M3595=0,"",INDEX(Classes!$H$6:$H$420,$M3595))</f>
        <v/>
      </c>
      <c r="D3595" s="61" t="str">
        <f aca="false">IF($M3595=0,"",INDEX(Classes!$B$6:$B$420,$M3595))</f>
        <v/>
      </c>
      <c r="E3595" s="61" t="str">
        <f aca="false">IF($M3595=0,"",INDEX(Classes!$C$6:$C$420,$M3595))</f>
        <v/>
      </c>
      <c r="F3595" s="63"/>
      <c r="G3595" s="63"/>
      <c r="H3595" s="60"/>
      <c r="I3595" s="60"/>
      <c r="J3595" s="63"/>
      <c r="K3595" s="61" t="str">
        <f aca="false">IF($P3595=0,"",IF($F3595="Baseline","— Baseline",IF($O3595=0,"No result",IF($N3595=0,"No Start (attainment only)",IF(OR($N3595=1,$O3595=1),"U – needs rule",INDEX(MxBody,MATCH($I3595,MxCurr,0),MATCH($H3595,MxStart,0)))))))</f>
        <v/>
      </c>
      <c r="L3595" s="62" t="str">
        <f aca="false">IF(COUNTA($A3595,$F3595,$G3595,$H3595,$I3595,$J3595)=0,"",IF($M3595=0,"✖ كود الصف غير موجود",IF(ISNA(MATCH($F3595,Lists!$A$2:$A$5,0)),"✖ الفترة غير صحيحة",IF(ISNA(MATCH($G3595,Lists!$B$2:$B$7,0)),"✖ المجموعة غير صحيحة",IF(NOT(OR($H3595="",$N3595&gt;0)),"✖ Start غير صحيح",IF(NOT(OR($I3595="",$I3595="NR",$O3595&gt;0)),"✖ Current غير صحيح",IF(NOT(IF(ISNUMBER($J3595),AND($J3595&gt;=0,$J3595=INT($J3595)),FALSE())),"✖ العدد يجب أن يكون صحيحًا ≥ 0",IF(AND($F3595="Baseline",$H3595&lt;&gt;""),"⚠ Baseline: Start لا يدخل في التقدم",IF($K3595="No Start (attainment only)","ℹ تحصيل فقط (بدون Start)",IF($K3595="U – needs rule","ℹ حالة U تحتاج قاعدة معتمدة",IF($K3595="No result","ℹ بدون نتيجة (يُستبعد من التحصيل)","OK")))))))))))</f>
        <v/>
      </c>
      <c r="M3595" s="64" t="n">
        <f aca="false">IF($A3595="",0,IFERROR(MATCH($A3595,Classes!$A$6:$A$420,0),0))</f>
        <v>0</v>
      </c>
      <c r="N3595" s="64" t="n">
        <f aca="false">IF($H3595="",0,IFERROR(MATCH($H3595,GradeList,0),0))</f>
        <v>0</v>
      </c>
      <c r="O3595" s="64" t="n">
        <f aca="false">IF(OR($I3595="",$I3595="NR"),0,IFERROR(MATCH($I3595,GradeList,0),0))</f>
        <v>0</v>
      </c>
      <c r="P3595" s="64" t="n">
        <f aca="false">IF(AND($M3595&gt;0,ISNUMBER(MATCH($F3595,Lists!$A$2:$A$5,0)),ISNUMBER(MATCH($G3595,Lists!$B$2:$B$7,0)),OR($H3595="",$N3595&gt;0),OR($I3595="",$I3595="NR",$O3595&gt;0),IF(ISNUMBER($J3595),AND($J3595&gt;=0,$J3595=INT($J3595)),FALSE())),$J3595,0)</f>
        <v>0</v>
      </c>
      <c r="Q3595" s="64" t="n">
        <f aca="false">IF(AND($P3595&gt;0,$O3595&gt;0),$P3595,0)</f>
        <v>0</v>
      </c>
      <c r="R3595" s="64" t="n">
        <f aca="false">IF(AND($Q3595&gt;0,$O3595&gt;=AtRank),$Q3595,0)</f>
        <v>0</v>
      </c>
      <c r="S3595" s="64" t="n">
        <f aca="false">IF(AND($Q3595&gt;0,$O3595&gt;=AboveRank),$Q3595,0)</f>
        <v>0</v>
      </c>
      <c r="T3595" s="64" t="n">
        <f aca="false">IF($K3595="Less",$P3595,0)</f>
        <v>0</v>
      </c>
      <c r="U3595" s="64" t="n">
        <f aca="false">IF($K3595="Expected",$P3595,0)</f>
        <v>0</v>
      </c>
      <c r="V3595" s="64" t="n">
        <f aca="false">IF($K3595="Better",$P3595,0)</f>
        <v>0</v>
      </c>
      <c r="W3595" s="64" t="n">
        <f aca="false">IF($K3595="U – needs rule",$P3595,0)</f>
        <v>0</v>
      </c>
      <c r="X3595" s="64" t="n">
        <f aca="false">IF($K3595="No Start (attainment only)",$P3595,0)</f>
        <v>0</v>
      </c>
    </row>
    <row r="3596" customFormat="false" ht="15" hidden="false" customHeight="false" outlineLevel="0" collapsed="false">
      <c r="A3596" s="60"/>
      <c r="B3596" s="61" t="str">
        <f aca="false">IF($M3596=0,"",INDEX(Classes!$E$6:$E$420,$M3596))</f>
        <v/>
      </c>
      <c r="C3596" s="62" t="str">
        <f aca="false">IF($M3596=0,"",INDEX(Classes!$H$6:$H$420,$M3596))</f>
        <v/>
      </c>
      <c r="D3596" s="61" t="str">
        <f aca="false">IF($M3596=0,"",INDEX(Classes!$B$6:$B$420,$M3596))</f>
        <v/>
      </c>
      <c r="E3596" s="61" t="str">
        <f aca="false">IF($M3596=0,"",INDEX(Classes!$C$6:$C$420,$M3596))</f>
        <v/>
      </c>
      <c r="F3596" s="63"/>
      <c r="G3596" s="63"/>
      <c r="H3596" s="60"/>
      <c r="I3596" s="60"/>
      <c r="J3596" s="63"/>
      <c r="K3596" s="61" t="str">
        <f aca="false">IF($P3596=0,"",IF($F3596="Baseline","— Baseline",IF($O3596=0,"No result",IF($N3596=0,"No Start (attainment only)",IF(OR($N3596=1,$O3596=1),"U – needs rule",INDEX(MxBody,MATCH($I3596,MxCurr,0),MATCH($H3596,MxStart,0)))))))</f>
        <v/>
      </c>
      <c r="L3596" s="62" t="str">
        <f aca="false">IF(COUNTA($A3596,$F3596,$G3596,$H3596,$I3596,$J3596)=0,"",IF($M3596=0,"✖ كود الصف غير موجود",IF(ISNA(MATCH($F3596,Lists!$A$2:$A$5,0)),"✖ الفترة غير صحيحة",IF(ISNA(MATCH($G3596,Lists!$B$2:$B$7,0)),"✖ المجموعة غير صحيحة",IF(NOT(OR($H3596="",$N3596&gt;0)),"✖ Start غير صحيح",IF(NOT(OR($I3596="",$I3596="NR",$O3596&gt;0)),"✖ Current غير صحيح",IF(NOT(IF(ISNUMBER($J3596),AND($J3596&gt;=0,$J3596=INT($J3596)),FALSE())),"✖ العدد يجب أن يكون صحيحًا ≥ 0",IF(AND($F3596="Baseline",$H3596&lt;&gt;""),"⚠ Baseline: Start لا يدخل في التقدم",IF($K3596="No Start (attainment only)","ℹ تحصيل فقط (بدون Start)",IF($K3596="U – needs rule","ℹ حالة U تحتاج قاعدة معتمدة",IF($K3596="No result","ℹ بدون نتيجة (يُستبعد من التحصيل)","OK")))))))))))</f>
        <v/>
      </c>
      <c r="M3596" s="64" t="n">
        <f aca="false">IF($A3596="",0,IFERROR(MATCH($A3596,Classes!$A$6:$A$420,0),0))</f>
        <v>0</v>
      </c>
      <c r="N3596" s="64" t="n">
        <f aca="false">IF($H3596="",0,IFERROR(MATCH($H3596,GradeList,0),0))</f>
        <v>0</v>
      </c>
      <c r="O3596" s="64" t="n">
        <f aca="false">IF(OR($I3596="",$I3596="NR"),0,IFERROR(MATCH($I3596,GradeList,0),0))</f>
        <v>0</v>
      </c>
      <c r="P3596" s="64" t="n">
        <f aca="false">IF(AND($M3596&gt;0,ISNUMBER(MATCH($F3596,Lists!$A$2:$A$5,0)),ISNUMBER(MATCH($G3596,Lists!$B$2:$B$7,0)),OR($H3596="",$N3596&gt;0),OR($I3596="",$I3596="NR",$O3596&gt;0),IF(ISNUMBER($J3596),AND($J3596&gt;=0,$J3596=INT($J3596)),FALSE())),$J3596,0)</f>
        <v>0</v>
      </c>
      <c r="Q3596" s="64" t="n">
        <f aca="false">IF(AND($P3596&gt;0,$O3596&gt;0),$P3596,0)</f>
        <v>0</v>
      </c>
      <c r="R3596" s="64" t="n">
        <f aca="false">IF(AND($Q3596&gt;0,$O3596&gt;=AtRank),$Q3596,0)</f>
        <v>0</v>
      </c>
      <c r="S3596" s="64" t="n">
        <f aca="false">IF(AND($Q3596&gt;0,$O3596&gt;=AboveRank),$Q3596,0)</f>
        <v>0</v>
      </c>
      <c r="T3596" s="64" t="n">
        <f aca="false">IF($K3596="Less",$P3596,0)</f>
        <v>0</v>
      </c>
      <c r="U3596" s="64" t="n">
        <f aca="false">IF($K3596="Expected",$P3596,0)</f>
        <v>0</v>
      </c>
      <c r="V3596" s="64" t="n">
        <f aca="false">IF($K3596="Better",$P3596,0)</f>
        <v>0</v>
      </c>
      <c r="W3596" s="64" t="n">
        <f aca="false">IF($K3596="U – needs rule",$P3596,0)</f>
        <v>0</v>
      </c>
      <c r="X3596" s="64" t="n">
        <f aca="false">IF($K3596="No Start (attainment only)",$P3596,0)</f>
        <v>0</v>
      </c>
    </row>
    <row r="3597" customFormat="false" ht="15" hidden="false" customHeight="false" outlineLevel="0" collapsed="false">
      <c r="A3597" s="60"/>
      <c r="B3597" s="61" t="str">
        <f aca="false">IF($M3597=0,"",INDEX(Classes!$E$6:$E$420,$M3597))</f>
        <v/>
      </c>
      <c r="C3597" s="62" t="str">
        <f aca="false">IF($M3597=0,"",INDEX(Classes!$H$6:$H$420,$M3597))</f>
        <v/>
      </c>
      <c r="D3597" s="61" t="str">
        <f aca="false">IF($M3597=0,"",INDEX(Classes!$B$6:$B$420,$M3597))</f>
        <v/>
      </c>
      <c r="E3597" s="61" t="str">
        <f aca="false">IF($M3597=0,"",INDEX(Classes!$C$6:$C$420,$M3597))</f>
        <v/>
      </c>
      <c r="F3597" s="63"/>
      <c r="G3597" s="63"/>
      <c r="H3597" s="60"/>
      <c r="I3597" s="60"/>
      <c r="J3597" s="63"/>
      <c r="K3597" s="61" t="str">
        <f aca="false">IF($P3597=0,"",IF($F3597="Baseline","— Baseline",IF($O3597=0,"No result",IF($N3597=0,"No Start (attainment only)",IF(OR($N3597=1,$O3597=1),"U – needs rule",INDEX(MxBody,MATCH($I3597,MxCurr,0),MATCH($H3597,MxStart,0)))))))</f>
        <v/>
      </c>
      <c r="L3597" s="62" t="str">
        <f aca="false">IF(COUNTA($A3597,$F3597,$G3597,$H3597,$I3597,$J3597)=0,"",IF($M3597=0,"✖ كود الصف غير موجود",IF(ISNA(MATCH($F3597,Lists!$A$2:$A$5,0)),"✖ الفترة غير صحيحة",IF(ISNA(MATCH($G3597,Lists!$B$2:$B$7,0)),"✖ المجموعة غير صحيحة",IF(NOT(OR($H3597="",$N3597&gt;0)),"✖ Start غير صحيح",IF(NOT(OR($I3597="",$I3597="NR",$O3597&gt;0)),"✖ Current غير صحيح",IF(NOT(IF(ISNUMBER($J3597),AND($J3597&gt;=0,$J3597=INT($J3597)),FALSE())),"✖ العدد يجب أن يكون صحيحًا ≥ 0",IF(AND($F3597="Baseline",$H3597&lt;&gt;""),"⚠ Baseline: Start لا يدخل في التقدم",IF($K3597="No Start (attainment only)","ℹ تحصيل فقط (بدون Start)",IF($K3597="U – needs rule","ℹ حالة U تحتاج قاعدة معتمدة",IF($K3597="No result","ℹ بدون نتيجة (يُستبعد من التحصيل)","OK")))))))))))</f>
        <v/>
      </c>
      <c r="M3597" s="64" t="n">
        <f aca="false">IF($A3597="",0,IFERROR(MATCH($A3597,Classes!$A$6:$A$420,0),0))</f>
        <v>0</v>
      </c>
      <c r="N3597" s="64" t="n">
        <f aca="false">IF($H3597="",0,IFERROR(MATCH($H3597,GradeList,0),0))</f>
        <v>0</v>
      </c>
      <c r="O3597" s="64" t="n">
        <f aca="false">IF(OR($I3597="",$I3597="NR"),0,IFERROR(MATCH($I3597,GradeList,0),0))</f>
        <v>0</v>
      </c>
      <c r="P3597" s="64" t="n">
        <f aca="false">IF(AND($M3597&gt;0,ISNUMBER(MATCH($F3597,Lists!$A$2:$A$5,0)),ISNUMBER(MATCH($G3597,Lists!$B$2:$B$7,0)),OR($H3597="",$N3597&gt;0),OR($I3597="",$I3597="NR",$O3597&gt;0),IF(ISNUMBER($J3597),AND($J3597&gt;=0,$J3597=INT($J3597)),FALSE())),$J3597,0)</f>
        <v>0</v>
      </c>
      <c r="Q3597" s="64" t="n">
        <f aca="false">IF(AND($P3597&gt;0,$O3597&gt;0),$P3597,0)</f>
        <v>0</v>
      </c>
      <c r="R3597" s="64" t="n">
        <f aca="false">IF(AND($Q3597&gt;0,$O3597&gt;=AtRank),$Q3597,0)</f>
        <v>0</v>
      </c>
      <c r="S3597" s="64" t="n">
        <f aca="false">IF(AND($Q3597&gt;0,$O3597&gt;=AboveRank),$Q3597,0)</f>
        <v>0</v>
      </c>
      <c r="T3597" s="64" t="n">
        <f aca="false">IF($K3597="Less",$P3597,0)</f>
        <v>0</v>
      </c>
      <c r="U3597" s="64" t="n">
        <f aca="false">IF($K3597="Expected",$P3597,0)</f>
        <v>0</v>
      </c>
      <c r="V3597" s="64" t="n">
        <f aca="false">IF($K3597="Better",$P3597,0)</f>
        <v>0</v>
      </c>
      <c r="W3597" s="64" t="n">
        <f aca="false">IF($K3597="U – needs rule",$P3597,0)</f>
        <v>0</v>
      </c>
      <c r="X3597" s="64" t="n">
        <f aca="false">IF($K3597="No Start (attainment only)",$P3597,0)</f>
        <v>0</v>
      </c>
    </row>
    <row r="3598" customFormat="false" ht="15" hidden="false" customHeight="false" outlineLevel="0" collapsed="false">
      <c r="A3598" s="60"/>
      <c r="B3598" s="61" t="str">
        <f aca="false">IF($M3598=0,"",INDEX(Classes!$E$6:$E$420,$M3598))</f>
        <v/>
      </c>
      <c r="C3598" s="62" t="str">
        <f aca="false">IF($M3598=0,"",INDEX(Classes!$H$6:$H$420,$M3598))</f>
        <v/>
      </c>
      <c r="D3598" s="61" t="str">
        <f aca="false">IF($M3598=0,"",INDEX(Classes!$B$6:$B$420,$M3598))</f>
        <v/>
      </c>
      <c r="E3598" s="61" t="str">
        <f aca="false">IF($M3598=0,"",INDEX(Classes!$C$6:$C$420,$M3598))</f>
        <v/>
      </c>
      <c r="F3598" s="63"/>
      <c r="G3598" s="63"/>
      <c r="H3598" s="60"/>
      <c r="I3598" s="60"/>
      <c r="J3598" s="63"/>
      <c r="K3598" s="61" t="str">
        <f aca="false">IF($P3598=0,"",IF($F3598="Baseline","— Baseline",IF($O3598=0,"No result",IF($N3598=0,"No Start (attainment only)",IF(OR($N3598=1,$O3598=1),"U – needs rule",INDEX(MxBody,MATCH($I3598,MxCurr,0),MATCH($H3598,MxStart,0)))))))</f>
        <v/>
      </c>
      <c r="L3598" s="62" t="str">
        <f aca="false">IF(COUNTA($A3598,$F3598,$G3598,$H3598,$I3598,$J3598)=0,"",IF($M3598=0,"✖ كود الصف غير موجود",IF(ISNA(MATCH($F3598,Lists!$A$2:$A$5,0)),"✖ الفترة غير صحيحة",IF(ISNA(MATCH($G3598,Lists!$B$2:$B$7,0)),"✖ المجموعة غير صحيحة",IF(NOT(OR($H3598="",$N3598&gt;0)),"✖ Start غير صحيح",IF(NOT(OR($I3598="",$I3598="NR",$O3598&gt;0)),"✖ Current غير صحيح",IF(NOT(IF(ISNUMBER($J3598),AND($J3598&gt;=0,$J3598=INT($J3598)),FALSE())),"✖ العدد يجب أن يكون صحيحًا ≥ 0",IF(AND($F3598="Baseline",$H3598&lt;&gt;""),"⚠ Baseline: Start لا يدخل في التقدم",IF($K3598="No Start (attainment only)","ℹ تحصيل فقط (بدون Start)",IF($K3598="U – needs rule","ℹ حالة U تحتاج قاعدة معتمدة",IF($K3598="No result","ℹ بدون نتيجة (يُستبعد من التحصيل)","OK")))))))))))</f>
        <v/>
      </c>
      <c r="M3598" s="64" t="n">
        <f aca="false">IF($A3598="",0,IFERROR(MATCH($A3598,Classes!$A$6:$A$420,0),0))</f>
        <v>0</v>
      </c>
      <c r="N3598" s="64" t="n">
        <f aca="false">IF($H3598="",0,IFERROR(MATCH($H3598,GradeList,0),0))</f>
        <v>0</v>
      </c>
      <c r="O3598" s="64" t="n">
        <f aca="false">IF(OR($I3598="",$I3598="NR"),0,IFERROR(MATCH($I3598,GradeList,0),0))</f>
        <v>0</v>
      </c>
      <c r="P3598" s="64" t="n">
        <f aca="false">IF(AND($M3598&gt;0,ISNUMBER(MATCH($F3598,Lists!$A$2:$A$5,0)),ISNUMBER(MATCH($G3598,Lists!$B$2:$B$7,0)),OR($H3598="",$N3598&gt;0),OR($I3598="",$I3598="NR",$O3598&gt;0),IF(ISNUMBER($J3598),AND($J3598&gt;=0,$J3598=INT($J3598)),FALSE())),$J3598,0)</f>
        <v>0</v>
      </c>
      <c r="Q3598" s="64" t="n">
        <f aca="false">IF(AND($P3598&gt;0,$O3598&gt;0),$P3598,0)</f>
        <v>0</v>
      </c>
      <c r="R3598" s="64" t="n">
        <f aca="false">IF(AND($Q3598&gt;0,$O3598&gt;=AtRank),$Q3598,0)</f>
        <v>0</v>
      </c>
      <c r="S3598" s="64" t="n">
        <f aca="false">IF(AND($Q3598&gt;0,$O3598&gt;=AboveRank),$Q3598,0)</f>
        <v>0</v>
      </c>
      <c r="T3598" s="64" t="n">
        <f aca="false">IF($K3598="Less",$P3598,0)</f>
        <v>0</v>
      </c>
      <c r="U3598" s="64" t="n">
        <f aca="false">IF($K3598="Expected",$P3598,0)</f>
        <v>0</v>
      </c>
      <c r="V3598" s="64" t="n">
        <f aca="false">IF($K3598="Better",$P3598,0)</f>
        <v>0</v>
      </c>
      <c r="W3598" s="64" t="n">
        <f aca="false">IF($K3598="U – needs rule",$P3598,0)</f>
        <v>0</v>
      </c>
      <c r="X3598" s="64" t="n">
        <f aca="false">IF($K3598="No Start (attainment only)",$P3598,0)</f>
        <v>0</v>
      </c>
    </row>
    <row r="3599" customFormat="false" ht="15" hidden="false" customHeight="false" outlineLevel="0" collapsed="false">
      <c r="A3599" s="60"/>
      <c r="B3599" s="61" t="str">
        <f aca="false">IF($M3599=0,"",INDEX(Classes!$E$6:$E$420,$M3599))</f>
        <v/>
      </c>
      <c r="C3599" s="62" t="str">
        <f aca="false">IF($M3599=0,"",INDEX(Classes!$H$6:$H$420,$M3599))</f>
        <v/>
      </c>
      <c r="D3599" s="61" t="str">
        <f aca="false">IF($M3599=0,"",INDEX(Classes!$B$6:$B$420,$M3599))</f>
        <v/>
      </c>
      <c r="E3599" s="61" t="str">
        <f aca="false">IF($M3599=0,"",INDEX(Classes!$C$6:$C$420,$M3599))</f>
        <v/>
      </c>
      <c r="F3599" s="63"/>
      <c r="G3599" s="63"/>
      <c r="H3599" s="60"/>
      <c r="I3599" s="60"/>
      <c r="J3599" s="63"/>
      <c r="K3599" s="61" t="str">
        <f aca="false">IF($P3599=0,"",IF($F3599="Baseline","— Baseline",IF($O3599=0,"No result",IF($N3599=0,"No Start (attainment only)",IF(OR($N3599=1,$O3599=1),"U – needs rule",INDEX(MxBody,MATCH($I3599,MxCurr,0),MATCH($H3599,MxStart,0)))))))</f>
        <v/>
      </c>
      <c r="L3599" s="62" t="str">
        <f aca="false">IF(COUNTA($A3599,$F3599,$G3599,$H3599,$I3599,$J3599)=0,"",IF($M3599=0,"✖ كود الصف غير موجود",IF(ISNA(MATCH($F3599,Lists!$A$2:$A$5,0)),"✖ الفترة غير صحيحة",IF(ISNA(MATCH($G3599,Lists!$B$2:$B$7,0)),"✖ المجموعة غير صحيحة",IF(NOT(OR($H3599="",$N3599&gt;0)),"✖ Start غير صحيح",IF(NOT(OR($I3599="",$I3599="NR",$O3599&gt;0)),"✖ Current غير صحيح",IF(NOT(IF(ISNUMBER($J3599),AND($J3599&gt;=0,$J3599=INT($J3599)),FALSE())),"✖ العدد يجب أن يكون صحيحًا ≥ 0",IF(AND($F3599="Baseline",$H3599&lt;&gt;""),"⚠ Baseline: Start لا يدخل في التقدم",IF($K3599="No Start (attainment only)","ℹ تحصيل فقط (بدون Start)",IF($K3599="U – needs rule","ℹ حالة U تحتاج قاعدة معتمدة",IF($K3599="No result","ℹ بدون نتيجة (يُستبعد من التحصيل)","OK")))))))))))</f>
        <v/>
      </c>
      <c r="M3599" s="64" t="n">
        <f aca="false">IF($A3599="",0,IFERROR(MATCH($A3599,Classes!$A$6:$A$420,0),0))</f>
        <v>0</v>
      </c>
      <c r="N3599" s="64" t="n">
        <f aca="false">IF($H3599="",0,IFERROR(MATCH($H3599,GradeList,0),0))</f>
        <v>0</v>
      </c>
      <c r="O3599" s="64" t="n">
        <f aca="false">IF(OR($I3599="",$I3599="NR"),0,IFERROR(MATCH($I3599,GradeList,0),0))</f>
        <v>0</v>
      </c>
      <c r="P3599" s="64" t="n">
        <f aca="false">IF(AND($M3599&gt;0,ISNUMBER(MATCH($F3599,Lists!$A$2:$A$5,0)),ISNUMBER(MATCH($G3599,Lists!$B$2:$B$7,0)),OR($H3599="",$N3599&gt;0),OR($I3599="",$I3599="NR",$O3599&gt;0),IF(ISNUMBER($J3599),AND($J3599&gt;=0,$J3599=INT($J3599)),FALSE())),$J3599,0)</f>
        <v>0</v>
      </c>
      <c r="Q3599" s="64" t="n">
        <f aca="false">IF(AND($P3599&gt;0,$O3599&gt;0),$P3599,0)</f>
        <v>0</v>
      </c>
      <c r="R3599" s="64" t="n">
        <f aca="false">IF(AND($Q3599&gt;0,$O3599&gt;=AtRank),$Q3599,0)</f>
        <v>0</v>
      </c>
      <c r="S3599" s="64" t="n">
        <f aca="false">IF(AND($Q3599&gt;0,$O3599&gt;=AboveRank),$Q3599,0)</f>
        <v>0</v>
      </c>
      <c r="T3599" s="64" t="n">
        <f aca="false">IF($K3599="Less",$P3599,0)</f>
        <v>0</v>
      </c>
      <c r="U3599" s="64" t="n">
        <f aca="false">IF($K3599="Expected",$P3599,0)</f>
        <v>0</v>
      </c>
      <c r="V3599" s="64" t="n">
        <f aca="false">IF($K3599="Better",$P3599,0)</f>
        <v>0</v>
      </c>
      <c r="W3599" s="64" t="n">
        <f aca="false">IF($K3599="U – needs rule",$P3599,0)</f>
        <v>0</v>
      </c>
      <c r="X3599" s="64" t="n">
        <f aca="false">IF($K3599="No Start (attainment only)",$P3599,0)</f>
        <v>0</v>
      </c>
    </row>
    <row r="3600" customFormat="false" ht="15" hidden="false" customHeight="false" outlineLevel="0" collapsed="false">
      <c r="A3600" s="60"/>
      <c r="B3600" s="61" t="str">
        <f aca="false">IF($M3600=0,"",INDEX(Classes!$E$6:$E$420,$M3600))</f>
        <v/>
      </c>
      <c r="C3600" s="62" t="str">
        <f aca="false">IF($M3600=0,"",INDEX(Classes!$H$6:$H$420,$M3600))</f>
        <v/>
      </c>
      <c r="D3600" s="61" t="str">
        <f aca="false">IF($M3600=0,"",INDEX(Classes!$B$6:$B$420,$M3600))</f>
        <v/>
      </c>
      <c r="E3600" s="61" t="str">
        <f aca="false">IF($M3600=0,"",INDEX(Classes!$C$6:$C$420,$M3600))</f>
        <v/>
      </c>
      <c r="F3600" s="63"/>
      <c r="G3600" s="63"/>
      <c r="H3600" s="60"/>
      <c r="I3600" s="60"/>
      <c r="J3600" s="63"/>
      <c r="K3600" s="61" t="str">
        <f aca="false">IF($P3600=0,"",IF($F3600="Baseline","— Baseline",IF($O3600=0,"No result",IF($N3600=0,"No Start (attainment only)",IF(OR($N3600=1,$O3600=1),"U – needs rule",INDEX(MxBody,MATCH($I3600,MxCurr,0),MATCH($H3600,MxStart,0)))))))</f>
        <v/>
      </c>
      <c r="L3600" s="62" t="str">
        <f aca="false">IF(COUNTA($A3600,$F3600,$G3600,$H3600,$I3600,$J3600)=0,"",IF($M3600=0,"✖ كود الصف غير موجود",IF(ISNA(MATCH($F3600,Lists!$A$2:$A$5,0)),"✖ الفترة غير صحيحة",IF(ISNA(MATCH($G3600,Lists!$B$2:$B$7,0)),"✖ المجموعة غير صحيحة",IF(NOT(OR($H3600="",$N3600&gt;0)),"✖ Start غير صحيح",IF(NOT(OR($I3600="",$I3600="NR",$O3600&gt;0)),"✖ Current غير صحيح",IF(NOT(IF(ISNUMBER($J3600),AND($J3600&gt;=0,$J3600=INT($J3600)),FALSE())),"✖ العدد يجب أن يكون صحيحًا ≥ 0",IF(AND($F3600="Baseline",$H3600&lt;&gt;""),"⚠ Baseline: Start لا يدخل في التقدم",IF($K3600="No Start (attainment only)","ℹ تحصيل فقط (بدون Start)",IF($K3600="U – needs rule","ℹ حالة U تحتاج قاعدة معتمدة",IF($K3600="No result","ℹ بدون نتيجة (يُستبعد من التحصيل)","OK")))))))))))</f>
        <v/>
      </c>
      <c r="M3600" s="64" t="n">
        <f aca="false">IF($A3600="",0,IFERROR(MATCH($A3600,Classes!$A$6:$A$420,0),0))</f>
        <v>0</v>
      </c>
      <c r="N3600" s="64" t="n">
        <f aca="false">IF($H3600="",0,IFERROR(MATCH($H3600,GradeList,0),0))</f>
        <v>0</v>
      </c>
      <c r="O3600" s="64" t="n">
        <f aca="false">IF(OR($I3600="",$I3600="NR"),0,IFERROR(MATCH($I3600,GradeList,0),0))</f>
        <v>0</v>
      </c>
      <c r="P3600" s="64" t="n">
        <f aca="false">IF(AND($M3600&gt;0,ISNUMBER(MATCH($F3600,Lists!$A$2:$A$5,0)),ISNUMBER(MATCH($G3600,Lists!$B$2:$B$7,0)),OR($H3600="",$N3600&gt;0),OR($I3600="",$I3600="NR",$O3600&gt;0),IF(ISNUMBER($J3600),AND($J3600&gt;=0,$J3600=INT($J3600)),FALSE())),$J3600,0)</f>
        <v>0</v>
      </c>
      <c r="Q3600" s="64" t="n">
        <f aca="false">IF(AND($P3600&gt;0,$O3600&gt;0),$P3600,0)</f>
        <v>0</v>
      </c>
      <c r="R3600" s="64" t="n">
        <f aca="false">IF(AND($Q3600&gt;0,$O3600&gt;=AtRank),$Q3600,0)</f>
        <v>0</v>
      </c>
      <c r="S3600" s="64" t="n">
        <f aca="false">IF(AND($Q3600&gt;0,$O3600&gt;=AboveRank),$Q3600,0)</f>
        <v>0</v>
      </c>
      <c r="T3600" s="64" t="n">
        <f aca="false">IF($K3600="Less",$P3600,0)</f>
        <v>0</v>
      </c>
      <c r="U3600" s="64" t="n">
        <f aca="false">IF($K3600="Expected",$P3600,0)</f>
        <v>0</v>
      </c>
      <c r="V3600" s="64" t="n">
        <f aca="false">IF($K3600="Better",$P3600,0)</f>
        <v>0</v>
      </c>
      <c r="W3600" s="64" t="n">
        <f aca="false">IF($K3600="U – needs rule",$P3600,0)</f>
        <v>0</v>
      </c>
      <c r="X3600" s="64" t="n">
        <f aca="false">IF($K3600="No Start (attainment only)",$P3600,0)</f>
        <v>0</v>
      </c>
    </row>
    <row r="3601" customFormat="false" ht="15" hidden="false" customHeight="false" outlineLevel="0" collapsed="false">
      <c r="A3601" s="60"/>
      <c r="B3601" s="61" t="str">
        <f aca="false">IF($M3601=0,"",INDEX(Classes!$E$6:$E$420,$M3601))</f>
        <v/>
      </c>
      <c r="C3601" s="62" t="str">
        <f aca="false">IF($M3601=0,"",INDEX(Classes!$H$6:$H$420,$M3601))</f>
        <v/>
      </c>
      <c r="D3601" s="61" t="str">
        <f aca="false">IF($M3601=0,"",INDEX(Classes!$B$6:$B$420,$M3601))</f>
        <v/>
      </c>
      <c r="E3601" s="61" t="str">
        <f aca="false">IF($M3601=0,"",INDEX(Classes!$C$6:$C$420,$M3601))</f>
        <v/>
      </c>
      <c r="F3601" s="63"/>
      <c r="G3601" s="63"/>
      <c r="H3601" s="60"/>
      <c r="I3601" s="60"/>
      <c r="J3601" s="63"/>
      <c r="K3601" s="61" t="str">
        <f aca="false">IF($P3601=0,"",IF($F3601="Baseline","— Baseline",IF($O3601=0,"No result",IF($N3601=0,"No Start (attainment only)",IF(OR($N3601=1,$O3601=1),"U – needs rule",INDEX(MxBody,MATCH($I3601,MxCurr,0),MATCH($H3601,MxStart,0)))))))</f>
        <v/>
      </c>
      <c r="L3601" s="62" t="str">
        <f aca="false">IF(COUNTA($A3601,$F3601,$G3601,$H3601,$I3601,$J3601)=0,"",IF($M3601=0,"✖ كود الصف غير موجود",IF(ISNA(MATCH($F3601,Lists!$A$2:$A$5,0)),"✖ الفترة غير صحيحة",IF(ISNA(MATCH($G3601,Lists!$B$2:$B$7,0)),"✖ المجموعة غير صحيحة",IF(NOT(OR($H3601="",$N3601&gt;0)),"✖ Start غير صحيح",IF(NOT(OR($I3601="",$I3601="NR",$O3601&gt;0)),"✖ Current غير صحيح",IF(NOT(IF(ISNUMBER($J3601),AND($J3601&gt;=0,$J3601=INT($J3601)),FALSE())),"✖ العدد يجب أن يكون صحيحًا ≥ 0",IF(AND($F3601="Baseline",$H3601&lt;&gt;""),"⚠ Baseline: Start لا يدخل في التقدم",IF($K3601="No Start (attainment only)","ℹ تحصيل فقط (بدون Start)",IF($K3601="U – needs rule","ℹ حالة U تحتاج قاعدة معتمدة",IF($K3601="No result","ℹ بدون نتيجة (يُستبعد من التحصيل)","OK")))))))))))</f>
        <v/>
      </c>
      <c r="M3601" s="64" t="n">
        <f aca="false">IF($A3601="",0,IFERROR(MATCH($A3601,Classes!$A$6:$A$420,0),0))</f>
        <v>0</v>
      </c>
      <c r="N3601" s="64" t="n">
        <f aca="false">IF($H3601="",0,IFERROR(MATCH($H3601,GradeList,0),0))</f>
        <v>0</v>
      </c>
      <c r="O3601" s="64" t="n">
        <f aca="false">IF(OR($I3601="",$I3601="NR"),0,IFERROR(MATCH($I3601,GradeList,0),0))</f>
        <v>0</v>
      </c>
      <c r="P3601" s="64" t="n">
        <f aca="false">IF(AND($M3601&gt;0,ISNUMBER(MATCH($F3601,Lists!$A$2:$A$5,0)),ISNUMBER(MATCH($G3601,Lists!$B$2:$B$7,0)),OR($H3601="",$N3601&gt;0),OR($I3601="",$I3601="NR",$O3601&gt;0),IF(ISNUMBER($J3601),AND($J3601&gt;=0,$J3601=INT($J3601)),FALSE())),$J3601,0)</f>
        <v>0</v>
      </c>
      <c r="Q3601" s="64" t="n">
        <f aca="false">IF(AND($P3601&gt;0,$O3601&gt;0),$P3601,0)</f>
        <v>0</v>
      </c>
      <c r="R3601" s="64" t="n">
        <f aca="false">IF(AND($Q3601&gt;0,$O3601&gt;=AtRank),$Q3601,0)</f>
        <v>0</v>
      </c>
      <c r="S3601" s="64" t="n">
        <f aca="false">IF(AND($Q3601&gt;0,$O3601&gt;=AboveRank),$Q3601,0)</f>
        <v>0</v>
      </c>
      <c r="T3601" s="64" t="n">
        <f aca="false">IF($K3601="Less",$P3601,0)</f>
        <v>0</v>
      </c>
      <c r="U3601" s="64" t="n">
        <f aca="false">IF($K3601="Expected",$P3601,0)</f>
        <v>0</v>
      </c>
      <c r="V3601" s="64" t="n">
        <f aca="false">IF($K3601="Better",$P3601,0)</f>
        <v>0</v>
      </c>
      <c r="W3601" s="64" t="n">
        <f aca="false">IF($K3601="U – needs rule",$P3601,0)</f>
        <v>0</v>
      </c>
      <c r="X3601" s="64" t="n">
        <f aca="false">IF($K3601="No Start (attainment only)",$P3601,0)</f>
        <v>0</v>
      </c>
    </row>
    <row r="3602" customFormat="false" ht="15" hidden="false" customHeight="false" outlineLevel="0" collapsed="false">
      <c r="A3602" s="60"/>
      <c r="B3602" s="61" t="str">
        <f aca="false">IF($M3602=0,"",INDEX(Classes!$E$6:$E$420,$M3602))</f>
        <v/>
      </c>
      <c r="C3602" s="62" t="str">
        <f aca="false">IF($M3602=0,"",INDEX(Classes!$H$6:$H$420,$M3602))</f>
        <v/>
      </c>
      <c r="D3602" s="61" t="str">
        <f aca="false">IF($M3602=0,"",INDEX(Classes!$B$6:$B$420,$M3602))</f>
        <v/>
      </c>
      <c r="E3602" s="61" t="str">
        <f aca="false">IF($M3602=0,"",INDEX(Classes!$C$6:$C$420,$M3602))</f>
        <v/>
      </c>
      <c r="F3602" s="63"/>
      <c r="G3602" s="63"/>
      <c r="H3602" s="60"/>
      <c r="I3602" s="60"/>
      <c r="J3602" s="63"/>
      <c r="K3602" s="61" t="str">
        <f aca="false">IF($P3602=0,"",IF($F3602="Baseline","— Baseline",IF($O3602=0,"No result",IF($N3602=0,"No Start (attainment only)",IF(OR($N3602=1,$O3602=1),"U – needs rule",INDEX(MxBody,MATCH($I3602,MxCurr,0),MATCH($H3602,MxStart,0)))))))</f>
        <v/>
      </c>
      <c r="L3602" s="62" t="str">
        <f aca="false">IF(COUNTA($A3602,$F3602,$G3602,$H3602,$I3602,$J3602)=0,"",IF($M3602=0,"✖ كود الصف غير موجود",IF(ISNA(MATCH($F3602,Lists!$A$2:$A$5,0)),"✖ الفترة غير صحيحة",IF(ISNA(MATCH($G3602,Lists!$B$2:$B$7,0)),"✖ المجموعة غير صحيحة",IF(NOT(OR($H3602="",$N3602&gt;0)),"✖ Start غير صحيح",IF(NOT(OR($I3602="",$I3602="NR",$O3602&gt;0)),"✖ Current غير صحيح",IF(NOT(IF(ISNUMBER($J3602),AND($J3602&gt;=0,$J3602=INT($J3602)),FALSE())),"✖ العدد يجب أن يكون صحيحًا ≥ 0",IF(AND($F3602="Baseline",$H3602&lt;&gt;""),"⚠ Baseline: Start لا يدخل في التقدم",IF($K3602="No Start (attainment only)","ℹ تحصيل فقط (بدون Start)",IF($K3602="U – needs rule","ℹ حالة U تحتاج قاعدة معتمدة",IF($K3602="No result","ℹ بدون نتيجة (يُستبعد من التحصيل)","OK")))))))))))</f>
        <v/>
      </c>
      <c r="M3602" s="64" t="n">
        <f aca="false">IF($A3602="",0,IFERROR(MATCH($A3602,Classes!$A$6:$A$420,0),0))</f>
        <v>0</v>
      </c>
      <c r="N3602" s="64" t="n">
        <f aca="false">IF($H3602="",0,IFERROR(MATCH($H3602,GradeList,0),0))</f>
        <v>0</v>
      </c>
      <c r="O3602" s="64" t="n">
        <f aca="false">IF(OR($I3602="",$I3602="NR"),0,IFERROR(MATCH($I3602,GradeList,0),0))</f>
        <v>0</v>
      </c>
      <c r="P3602" s="64" t="n">
        <f aca="false">IF(AND($M3602&gt;0,ISNUMBER(MATCH($F3602,Lists!$A$2:$A$5,0)),ISNUMBER(MATCH($G3602,Lists!$B$2:$B$7,0)),OR($H3602="",$N3602&gt;0),OR($I3602="",$I3602="NR",$O3602&gt;0),IF(ISNUMBER($J3602),AND($J3602&gt;=0,$J3602=INT($J3602)),FALSE())),$J3602,0)</f>
        <v>0</v>
      </c>
      <c r="Q3602" s="64" t="n">
        <f aca="false">IF(AND($P3602&gt;0,$O3602&gt;0),$P3602,0)</f>
        <v>0</v>
      </c>
      <c r="R3602" s="64" t="n">
        <f aca="false">IF(AND($Q3602&gt;0,$O3602&gt;=AtRank),$Q3602,0)</f>
        <v>0</v>
      </c>
      <c r="S3602" s="64" t="n">
        <f aca="false">IF(AND($Q3602&gt;0,$O3602&gt;=AboveRank),$Q3602,0)</f>
        <v>0</v>
      </c>
      <c r="T3602" s="64" t="n">
        <f aca="false">IF($K3602="Less",$P3602,0)</f>
        <v>0</v>
      </c>
      <c r="U3602" s="64" t="n">
        <f aca="false">IF($K3602="Expected",$P3602,0)</f>
        <v>0</v>
      </c>
      <c r="V3602" s="64" t="n">
        <f aca="false">IF($K3602="Better",$P3602,0)</f>
        <v>0</v>
      </c>
      <c r="W3602" s="64" t="n">
        <f aca="false">IF($K3602="U – needs rule",$P3602,0)</f>
        <v>0</v>
      </c>
      <c r="X3602" s="64" t="n">
        <f aca="false">IF($K3602="No Start (attainment only)",$P3602,0)</f>
        <v>0</v>
      </c>
    </row>
    <row r="3603" customFormat="false" ht="15" hidden="false" customHeight="false" outlineLevel="0" collapsed="false">
      <c r="A3603" s="60"/>
      <c r="B3603" s="61" t="str">
        <f aca="false">IF($M3603=0,"",INDEX(Classes!$E$6:$E$420,$M3603))</f>
        <v/>
      </c>
      <c r="C3603" s="62" t="str">
        <f aca="false">IF($M3603=0,"",INDEX(Classes!$H$6:$H$420,$M3603))</f>
        <v/>
      </c>
      <c r="D3603" s="61" t="str">
        <f aca="false">IF($M3603=0,"",INDEX(Classes!$B$6:$B$420,$M3603))</f>
        <v/>
      </c>
      <c r="E3603" s="61" t="str">
        <f aca="false">IF($M3603=0,"",INDEX(Classes!$C$6:$C$420,$M3603))</f>
        <v/>
      </c>
      <c r="F3603" s="63"/>
      <c r="G3603" s="63"/>
      <c r="H3603" s="60"/>
      <c r="I3603" s="60"/>
      <c r="J3603" s="63"/>
      <c r="K3603" s="61" t="str">
        <f aca="false">IF($P3603=0,"",IF($F3603="Baseline","— Baseline",IF($O3603=0,"No result",IF($N3603=0,"No Start (attainment only)",IF(OR($N3603=1,$O3603=1),"U – needs rule",INDEX(MxBody,MATCH($I3603,MxCurr,0),MATCH($H3603,MxStart,0)))))))</f>
        <v/>
      </c>
      <c r="L3603" s="62" t="str">
        <f aca="false">IF(COUNTA($A3603,$F3603,$G3603,$H3603,$I3603,$J3603)=0,"",IF($M3603=0,"✖ كود الصف غير موجود",IF(ISNA(MATCH($F3603,Lists!$A$2:$A$5,0)),"✖ الفترة غير صحيحة",IF(ISNA(MATCH($G3603,Lists!$B$2:$B$7,0)),"✖ المجموعة غير صحيحة",IF(NOT(OR($H3603="",$N3603&gt;0)),"✖ Start غير صحيح",IF(NOT(OR($I3603="",$I3603="NR",$O3603&gt;0)),"✖ Current غير صحيح",IF(NOT(IF(ISNUMBER($J3603),AND($J3603&gt;=0,$J3603=INT($J3603)),FALSE())),"✖ العدد يجب أن يكون صحيحًا ≥ 0",IF(AND($F3603="Baseline",$H3603&lt;&gt;""),"⚠ Baseline: Start لا يدخل في التقدم",IF($K3603="No Start (attainment only)","ℹ تحصيل فقط (بدون Start)",IF($K3603="U – needs rule","ℹ حالة U تحتاج قاعدة معتمدة",IF($K3603="No result","ℹ بدون نتيجة (يُستبعد من التحصيل)","OK")))))))))))</f>
        <v/>
      </c>
      <c r="M3603" s="64" t="n">
        <f aca="false">IF($A3603="",0,IFERROR(MATCH($A3603,Classes!$A$6:$A$420,0),0))</f>
        <v>0</v>
      </c>
      <c r="N3603" s="64" t="n">
        <f aca="false">IF($H3603="",0,IFERROR(MATCH($H3603,GradeList,0),0))</f>
        <v>0</v>
      </c>
      <c r="O3603" s="64" t="n">
        <f aca="false">IF(OR($I3603="",$I3603="NR"),0,IFERROR(MATCH($I3603,GradeList,0),0))</f>
        <v>0</v>
      </c>
      <c r="P3603" s="64" t="n">
        <f aca="false">IF(AND($M3603&gt;0,ISNUMBER(MATCH($F3603,Lists!$A$2:$A$5,0)),ISNUMBER(MATCH($G3603,Lists!$B$2:$B$7,0)),OR($H3603="",$N3603&gt;0),OR($I3603="",$I3603="NR",$O3603&gt;0),IF(ISNUMBER($J3603),AND($J3603&gt;=0,$J3603=INT($J3603)),FALSE())),$J3603,0)</f>
        <v>0</v>
      </c>
      <c r="Q3603" s="64" t="n">
        <f aca="false">IF(AND($P3603&gt;0,$O3603&gt;0),$P3603,0)</f>
        <v>0</v>
      </c>
      <c r="R3603" s="64" t="n">
        <f aca="false">IF(AND($Q3603&gt;0,$O3603&gt;=AtRank),$Q3603,0)</f>
        <v>0</v>
      </c>
      <c r="S3603" s="64" t="n">
        <f aca="false">IF(AND($Q3603&gt;0,$O3603&gt;=AboveRank),$Q3603,0)</f>
        <v>0</v>
      </c>
      <c r="T3603" s="64" t="n">
        <f aca="false">IF($K3603="Less",$P3603,0)</f>
        <v>0</v>
      </c>
      <c r="U3603" s="64" t="n">
        <f aca="false">IF($K3603="Expected",$P3603,0)</f>
        <v>0</v>
      </c>
      <c r="V3603" s="64" t="n">
        <f aca="false">IF($K3603="Better",$P3603,0)</f>
        <v>0</v>
      </c>
      <c r="W3603" s="64" t="n">
        <f aca="false">IF($K3603="U – needs rule",$P3603,0)</f>
        <v>0</v>
      </c>
      <c r="X3603" s="64" t="n">
        <f aca="false">IF($K3603="No Start (attainment only)",$P3603,0)</f>
        <v>0</v>
      </c>
    </row>
    <row r="3604" customFormat="false" ht="15" hidden="false" customHeight="false" outlineLevel="0" collapsed="false">
      <c r="A3604" s="60"/>
      <c r="B3604" s="61" t="str">
        <f aca="false">IF($M3604=0,"",INDEX(Classes!$E$6:$E$420,$M3604))</f>
        <v/>
      </c>
      <c r="C3604" s="62" t="str">
        <f aca="false">IF($M3604=0,"",INDEX(Classes!$H$6:$H$420,$M3604))</f>
        <v/>
      </c>
      <c r="D3604" s="61" t="str">
        <f aca="false">IF($M3604=0,"",INDEX(Classes!$B$6:$B$420,$M3604))</f>
        <v/>
      </c>
      <c r="E3604" s="61" t="str">
        <f aca="false">IF($M3604=0,"",INDEX(Classes!$C$6:$C$420,$M3604))</f>
        <v/>
      </c>
      <c r="F3604" s="63"/>
      <c r="G3604" s="63"/>
      <c r="H3604" s="60"/>
      <c r="I3604" s="60"/>
      <c r="J3604" s="63"/>
      <c r="K3604" s="61" t="str">
        <f aca="false">IF($P3604=0,"",IF($F3604="Baseline","— Baseline",IF($O3604=0,"No result",IF($N3604=0,"No Start (attainment only)",IF(OR($N3604=1,$O3604=1),"U – needs rule",INDEX(MxBody,MATCH($I3604,MxCurr,0),MATCH($H3604,MxStart,0)))))))</f>
        <v/>
      </c>
      <c r="L3604" s="62" t="str">
        <f aca="false">IF(COUNTA($A3604,$F3604,$G3604,$H3604,$I3604,$J3604)=0,"",IF($M3604=0,"✖ كود الصف غير موجود",IF(ISNA(MATCH($F3604,Lists!$A$2:$A$5,0)),"✖ الفترة غير صحيحة",IF(ISNA(MATCH($G3604,Lists!$B$2:$B$7,0)),"✖ المجموعة غير صحيحة",IF(NOT(OR($H3604="",$N3604&gt;0)),"✖ Start غير صحيح",IF(NOT(OR($I3604="",$I3604="NR",$O3604&gt;0)),"✖ Current غير صحيح",IF(NOT(IF(ISNUMBER($J3604),AND($J3604&gt;=0,$J3604=INT($J3604)),FALSE())),"✖ العدد يجب أن يكون صحيحًا ≥ 0",IF(AND($F3604="Baseline",$H3604&lt;&gt;""),"⚠ Baseline: Start لا يدخل في التقدم",IF($K3604="No Start (attainment only)","ℹ تحصيل فقط (بدون Start)",IF($K3604="U – needs rule","ℹ حالة U تحتاج قاعدة معتمدة",IF($K3604="No result","ℹ بدون نتيجة (يُستبعد من التحصيل)","OK")))))))))))</f>
        <v/>
      </c>
      <c r="M3604" s="64" t="n">
        <f aca="false">IF($A3604="",0,IFERROR(MATCH($A3604,Classes!$A$6:$A$420,0),0))</f>
        <v>0</v>
      </c>
      <c r="N3604" s="64" t="n">
        <f aca="false">IF($H3604="",0,IFERROR(MATCH($H3604,GradeList,0),0))</f>
        <v>0</v>
      </c>
      <c r="O3604" s="64" t="n">
        <f aca="false">IF(OR($I3604="",$I3604="NR"),0,IFERROR(MATCH($I3604,GradeList,0),0))</f>
        <v>0</v>
      </c>
      <c r="P3604" s="64" t="n">
        <f aca="false">IF(AND($M3604&gt;0,ISNUMBER(MATCH($F3604,Lists!$A$2:$A$5,0)),ISNUMBER(MATCH($G3604,Lists!$B$2:$B$7,0)),OR($H3604="",$N3604&gt;0),OR($I3604="",$I3604="NR",$O3604&gt;0),IF(ISNUMBER($J3604),AND($J3604&gt;=0,$J3604=INT($J3604)),FALSE())),$J3604,0)</f>
        <v>0</v>
      </c>
      <c r="Q3604" s="64" t="n">
        <f aca="false">IF(AND($P3604&gt;0,$O3604&gt;0),$P3604,0)</f>
        <v>0</v>
      </c>
      <c r="R3604" s="64" t="n">
        <f aca="false">IF(AND($Q3604&gt;0,$O3604&gt;=AtRank),$Q3604,0)</f>
        <v>0</v>
      </c>
      <c r="S3604" s="64" t="n">
        <f aca="false">IF(AND($Q3604&gt;0,$O3604&gt;=AboveRank),$Q3604,0)</f>
        <v>0</v>
      </c>
      <c r="T3604" s="64" t="n">
        <f aca="false">IF($K3604="Less",$P3604,0)</f>
        <v>0</v>
      </c>
      <c r="U3604" s="64" t="n">
        <f aca="false">IF($K3604="Expected",$P3604,0)</f>
        <v>0</v>
      </c>
      <c r="V3604" s="64" t="n">
        <f aca="false">IF($K3604="Better",$P3604,0)</f>
        <v>0</v>
      </c>
      <c r="W3604" s="64" t="n">
        <f aca="false">IF($K3604="U – needs rule",$P3604,0)</f>
        <v>0</v>
      </c>
      <c r="X3604" s="64" t="n">
        <f aca="false">IF($K3604="No Start (attainment only)",$P3604,0)</f>
        <v>0</v>
      </c>
    </row>
    <row r="3605" customFormat="false" ht="15" hidden="false" customHeight="false" outlineLevel="0" collapsed="false">
      <c r="A3605" s="60"/>
      <c r="B3605" s="61" t="str">
        <f aca="false">IF($M3605=0,"",INDEX(Classes!$E$6:$E$420,$M3605))</f>
        <v/>
      </c>
      <c r="C3605" s="62" t="str">
        <f aca="false">IF($M3605=0,"",INDEX(Classes!$H$6:$H$420,$M3605))</f>
        <v/>
      </c>
      <c r="D3605" s="61" t="str">
        <f aca="false">IF($M3605=0,"",INDEX(Classes!$B$6:$B$420,$M3605))</f>
        <v/>
      </c>
      <c r="E3605" s="61" t="str">
        <f aca="false">IF($M3605=0,"",INDEX(Classes!$C$6:$C$420,$M3605))</f>
        <v/>
      </c>
      <c r="F3605" s="63"/>
      <c r="G3605" s="63"/>
      <c r="H3605" s="60"/>
      <c r="I3605" s="60"/>
      <c r="J3605" s="63"/>
      <c r="K3605" s="61" t="str">
        <f aca="false">IF($P3605=0,"",IF($F3605="Baseline","— Baseline",IF($O3605=0,"No result",IF($N3605=0,"No Start (attainment only)",IF(OR($N3605=1,$O3605=1),"U – needs rule",INDEX(MxBody,MATCH($I3605,MxCurr,0),MATCH($H3605,MxStart,0)))))))</f>
        <v/>
      </c>
      <c r="L3605" s="62" t="str">
        <f aca="false">IF(COUNTA($A3605,$F3605,$G3605,$H3605,$I3605,$J3605)=0,"",IF($M3605=0,"✖ كود الصف غير موجود",IF(ISNA(MATCH($F3605,Lists!$A$2:$A$5,0)),"✖ الفترة غير صحيحة",IF(ISNA(MATCH($G3605,Lists!$B$2:$B$7,0)),"✖ المجموعة غير صحيحة",IF(NOT(OR($H3605="",$N3605&gt;0)),"✖ Start غير صحيح",IF(NOT(OR($I3605="",$I3605="NR",$O3605&gt;0)),"✖ Current غير صحيح",IF(NOT(IF(ISNUMBER($J3605),AND($J3605&gt;=0,$J3605=INT($J3605)),FALSE())),"✖ العدد يجب أن يكون صحيحًا ≥ 0",IF(AND($F3605="Baseline",$H3605&lt;&gt;""),"⚠ Baseline: Start لا يدخل في التقدم",IF($K3605="No Start (attainment only)","ℹ تحصيل فقط (بدون Start)",IF($K3605="U – needs rule","ℹ حالة U تحتاج قاعدة معتمدة",IF($K3605="No result","ℹ بدون نتيجة (يُستبعد من التحصيل)","OK")))))))))))</f>
        <v/>
      </c>
      <c r="M3605" s="64" t="n">
        <f aca="false">IF($A3605="",0,IFERROR(MATCH($A3605,Classes!$A$6:$A$420,0),0))</f>
        <v>0</v>
      </c>
      <c r="N3605" s="64" t="n">
        <f aca="false">IF($H3605="",0,IFERROR(MATCH($H3605,GradeList,0),0))</f>
        <v>0</v>
      </c>
      <c r="O3605" s="64" t="n">
        <f aca="false">IF(OR($I3605="",$I3605="NR"),0,IFERROR(MATCH($I3605,GradeList,0),0))</f>
        <v>0</v>
      </c>
      <c r="P3605" s="64" t="n">
        <f aca="false">IF(AND($M3605&gt;0,ISNUMBER(MATCH($F3605,Lists!$A$2:$A$5,0)),ISNUMBER(MATCH($G3605,Lists!$B$2:$B$7,0)),OR($H3605="",$N3605&gt;0),OR($I3605="",$I3605="NR",$O3605&gt;0),IF(ISNUMBER($J3605),AND($J3605&gt;=0,$J3605=INT($J3605)),FALSE())),$J3605,0)</f>
        <v>0</v>
      </c>
      <c r="Q3605" s="64" t="n">
        <f aca="false">IF(AND($P3605&gt;0,$O3605&gt;0),$P3605,0)</f>
        <v>0</v>
      </c>
      <c r="R3605" s="64" t="n">
        <f aca="false">IF(AND($Q3605&gt;0,$O3605&gt;=AtRank),$Q3605,0)</f>
        <v>0</v>
      </c>
      <c r="S3605" s="64" t="n">
        <f aca="false">IF(AND($Q3605&gt;0,$O3605&gt;=AboveRank),$Q3605,0)</f>
        <v>0</v>
      </c>
      <c r="T3605" s="64" t="n">
        <f aca="false">IF($K3605="Less",$P3605,0)</f>
        <v>0</v>
      </c>
      <c r="U3605" s="64" t="n">
        <f aca="false">IF($K3605="Expected",$P3605,0)</f>
        <v>0</v>
      </c>
      <c r="V3605" s="64" t="n">
        <f aca="false">IF($K3605="Better",$P3605,0)</f>
        <v>0</v>
      </c>
      <c r="W3605" s="64" t="n">
        <f aca="false">IF($K3605="U – needs rule",$P3605,0)</f>
        <v>0</v>
      </c>
      <c r="X3605" s="64" t="n">
        <f aca="false">IF($K3605="No Start (attainment only)",$P3605,0)</f>
        <v>0</v>
      </c>
    </row>
    <row r="3606" customFormat="false" ht="15" hidden="false" customHeight="false" outlineLevel="0" collapsed="false">
      <c r="A3606" s="60"/>
      <c r="B3606" s="61" t="str">
        <f aca="false">IF($M3606=0,"",INDEX(Classes!$E$6:$E$420,$M3606))</f>
        <v/>
      </c>
      <c r="C3606" s="62" t="str">
        <f aca="false">IF($M3606=0,"",INDEX(Classes!$H$6:$H$420,$M3606))</f>
        <v/>
      </c>
      <c r="D3606" s="61" t="str">
        <f aca="false">IF($M3606=0,"",INDEX(Classes!$B$6:$B$420,$M3606))</f>
        <v/>
      </c>
      <c r="E3606" s="61" t="str">
        <f aca="false">IF($M3606=0,"",INDEX(Classes!$C$6:$C$420,$M3606))</f>
        <v/>
      </c>
      <c r="F3606" s="63"/>
      <c r="G3606" s="63"/>
      <c r="H3606" s="60"/>
      <c r="I3606" s="60"/>
      <c r="J3606" s="63"/>
      <c r="K3606" s="61" t="str">
        <f aca="false">IF($P3606=0,"",IF($F3606="Baseline","— Baseline",IF($O3606=0,"No result",IF($N3606=0,"No Start (attainment only)",IF(OR($N3606=1,$O3606=1),"U – needs rule",INDEX(MxBody,MATCH($I3606,MxCurr,0),MATCH($H3606,MxStart,0)))))))</f>
        <v/>
      </c>
      <c r="L3606" s="62" t="str">
        <f aca="false">IF(COUNTA($A3606,$F3606,$G3606,$H3606,$I3606,$J3606)=0,"",IF($M3606=0,"✖ كود الصف غير موجود",IF(ISNA(MATCH($F3606,Lists!$A$2:$A$5,0)),"✖ الفترة غير صحيحة",IF(ISNA(MATCH($G3606,Lists!$B$2:$B$7,0)),"✖ المجموعة غير صحيحة",IF(NOT(OR($H3606="",$N3606&gt;0)),"✖ Start غير صحيح",IF(NOT(OR($I3606="",$I3606="NR",$O3606&gt;0)),"✖ Current غير صحيح",IF(NOT(IF(ISNUMBER($J3606),AND($J3606&gt;=0,$J3606=INT($J3606)),FALSE())),"✖ العدد يجب أن يكون صحيحًا ≥ 0",IF(AND($F3606="Baseline",$H3606&lt;&gt;""),"⚠ Baseline: Start لا يدخل في التقدم",IF($K3606="No Start (attainment only)","ℹ تحصيل فقط (بدون Start)",IF($K3606="U – needs rule","ℹ حالة U تحتاج قاعدة معتمدة",IF($K3606="No result","ℹ بدون نتيجة (يُستبعد من التحصيل)","OK")))))))))))</f>
        <v/>
      </c>
      <c r="M3606" s="64" t="n">
        <f aca="false">IF($A3606="",0,IFERROR(MATCH($A3606,Classes!$A$6:$A$420,0),0))</f>
        <v>0</v>
      </c>
      <c r="N3606" s="64" t="n">
        <f aca="false">IF($H3606="",0,IFERROR(MATCH($H3606,GradeList,0),0))</f>
        <v>0</v>
      </c>
      <c r="O3606" s="64" t="n">
        <f aca="false">IF(OR($I3606="",$I3606="NR"),0,IFERROR(MATCH($I3606,GradeList,0),0))</f>
        <v>0</v>
      </c>
      <c r="P3606" s="64" t="n">
        <f aca="false">IF(AND($M3606&gt;0,ISNUMBER(MATCH($F3606,Lists!$A$2:$A$5,0)),ISNUMBER(MATCH($G3606,Lists!$B$2:$B$7,0)),OR($H3606="",$N3606&gt;0),OR($I3606="",$I3606="NR",$O3606&gt;0),IF(ISNUMBER($J3606),AND($J3606&gt;=0,$J3606=INT($J3606)),FALSE())),$J3606,0)</f>
        <v>0</v>
      </c>
      <c r="Q3606" s="64" t="n">
        <f aca="false">IF(AND($P3606&gt;0,$O3606&gt;0),$P3606,0)</f>
        <v>0</v>
      </c>
      <c r="R3606" s="64" t="n">
        <f aca="false">IF(AND($Q3606&gt;0,$O3606&gt;=AtRank),$Q3606,0)</f>
        <v>0</v>
      </c>
      <c r="S3606" s="64" t="n">
        <f aca="false">IF(AND($Q3606&gt;0,$O3606&gt;=AboveRank),$Q3606,0)</f>
        <v>0</v>
      </c>
      <c r="T3606" s="64" t="n">
        <f aca="false">IF($K3606="Less",$P3606,0)</f>
        <v>0</v>
      </c>
      <c r="U3606" s="64" t="n">
        <f aca="false">IF($K3606="Expected",$P3606,0)</f>
        <v>0</v>
      </c>
      <c r="V3606" s="64" t="n">
        <f aca="false">IF($K3606="Better",$P3606,0)</f>
        <v>0</v>
      </c>
      <c r="W3606" s="64" t="n">
        <f aca="false">IF($K3606="U – needs rule",$P3606,0)</f>
        <v>0</v>
      </c>
      <c r="X3606" s="64" t="n">
        <f aca="false">IF($K3606="No Start (attainment only)",$P3606,0)</f>
        <v>0</v>
      </c>
    </row>
    <row r="3607" customFormat="false" ht="15" hidden="false" customHeight="false" outlineLevel="0" collapsed="false">
      <c r="A3607" s="60"/>
      <c r="B3607" s="61" t="str">
        <f aca="false">IF($M3607=0,"",INDEX(Classes!$E$6:$E$420,$M3607))</f>
        <v/>
      </c>
      <c r="C3607" s="62" t="str">
        <f aca="false">IF($M3607=0,"",INDEX(Classes!$H$6:$H$420,$M3607))</f>
        <v/>
      </c>
      <c r="D3607" s="61" t="str">
        <f aca="false">IF($M3607=0,"",INDEX(Classes!$B$6:$B$420,$M3607))</f>
        <v/>
      </c>
      <c r="E3607" s="61" t="str">
        <f aca="false">IF($M3607=0,"",INDEX(Classes!$C$6:$C$420,$M3607))</f>
        <v/>
      </c>
      <c r="F3607" s="63"/>
      <c r="G3607" s="63"/>
      <c r="H3607" s="60"/>
      <c r="I3607" s="60"/>
      <c r="J3607" s="63"/>
      <c r="K3607" s="61" t="str">
        <f aca="false">IF($P3607=0,"",IF($F3607="Baseline","— Baseline",IF($O3607=0,"No result",IF($N3607=0,"No Start (attainment only)",IF(OR($N3607=1,$O3607=1),"U – needs rule",INDEX(MxBody,MATCH($I3607,MxCurr,0),MATCH($H3607,MxStart,0)))))))</f>
        <v/>
      </c>
      <c r="L3607" s="62" t="str">
        <f aca="false">IF(COUNTA($A3607,$F3607,$G3607,$H3607,$I3607,$J3607)=0,"",IF($M3607=0,"✖ كود الصف غير موجود",IF(ISNA(MATCH($F3607,Lists!$A$2:$A$5,0)),"✖ الفترة غير صحيحة",IF(ISNA(MATCH($G3607,Lists!$B$2:$B$7,0)),"✖ المجموعة غير صحيحة",IF(NOT(OR($H3607="",$N3607&gt;0)),"✖ Start غير صحيح",IF(NOT(OR($I3607="",$I3607="NR",$O3607&gt;0)),"✖ Current غير صحيح",IF(NOT(IF(ISNUMBER($J3607),AND($J3607&gt;=0,$J3607=INT($J3607)),FALSE())),"✖ العدد يجب أن يكون صحيحًا ≥ 0",IF(AND($F3607="Baseline",$H3607&lt;&gt;""),"⚠ Baseline: Start لا يدخل في التقدم",IF($K3607="No Start (attainment only)","ℹ تحصيل فقط (بدون Start)",IF($K3607="U – needs rule","ℹ حالة U تحتاج قاعدة معتمدة",IF($K3607="No result","ℹ بدون نتيجة (يُستبعد من التحصيل)","OK")))))))))))</f>
        <v/>
      </c>
      <c r="M3607" s="64" t="n">
        <f aca="false">IF($A3607="",0,IFERROR(MATCH($A3607,Classes!$A$6:$A$420,0),0))</f>
        <v>0</v>
      </c>
      <c r="N3607" s="64" t="n">
        <f aca="false">IF($H3607="",0,IFERROR(MATCH($H3607,GradeList,0),0))</f>
        <v>0</v>
      </c>
      <c r="O3607" s="64" t="n">
        <f aca="false">IF(OR($I3607="",$I3607="NR"),0,IFERROR(MATCH($I3607,GradeList,0),0))</f>
        <v>0</v>
      </c>
      <c r="P3607" s="64" t="n">
        <f aca="false">IF(AND($M3607&gt;0,ISNUMBER(MATCH($F3607,Lists!$A$2:$A$5,0)),ISNUMBER(MATCH($G3607,Lists!$B$2:$B$7,0)),OR($H3607="",$N3607&gt;0),OR($I3607="",$I3607="NR",$O3607&gt;0),IF(ISNUMBER($J3607),AND($J3607&gt;=0,$J3607=INT($J3607)),FALSE())),$J3607,0)</f>
        <v>0</v>
      </c>
      <c r="Q3607" s="64" t="n">
        <f aca="false">IF(AND($P3607&gt;0,$O3607&gt;0),$P3607,0)</f>
        <v>0</v>
      </c>
      <c r="R3607" s="64" t="n">
        <f aca="false">IF(AND($Q3607&gt;0,$O3607&gt;=AtRank),$Q3607,0)</f>
        <v>0</v>
      </c>
      <c r="S3607" s="64" t="n">
        <f aca="false">IF(AND($Q3607&gt;0,$O3607&gt;=AboveRank),$Q3607,0)</f>
        <v>0</v>
      </c>
      <c r="T3607" s="64" t="n">
        <f aca="false">IF($K3607="Less",$P3607,0)</f>
        <v>0</v>
      </c>
      <c r="U3607" s="64" t="n">
        <f aca="false">IF($K3607="Expected",$P3607,0)</f>
        <v>0</v>
      </c>
      <c r="V3607" s="64" t="n">
        <f aca="false">IF($K3607="Better",$P3607,0)</f>
        <v>0</v>
      </c>
      <c r="W3607" s="64" t="n">
        <f aca="false">IF($K3607="U – needs rule",$P3607,0)</f>
        <v>0</v>
      </c>
      <c r="X3607" s="64" t="n">
        <f aca="false">IF($K3607="No Start (attainment only)",$P3607,0)</f>
        <v>0</v>
      </c>
    </row>
    <row r="3608" customFormat="false" ht="15" hidden="false" customHeight="false" outlineLevel="0" collapsed="false">
      <c r="A3608" s="60"/>
      <c r="B3608" s="61" t="str">
        <f aca="false">IF($M3608=0,"",INDEX(Classes!$E$6:$E$420,$M3608))</f>
        <v/>
      </c>
      <c r="C3608" s="62" t="str">
        <f aca="false">IF($M3608=0,"",INDEX(Classes!$H$6:$H$420,$M3608))</f>
        <v/>
      </c>
      <c r="D3608" s="61" t="str">
        <f aca="false">IF($M3608=0,"",INDEX(Classes!$B$6:$B$420,$M3608))</f>
        <v/>
      </c>
      <c r="E3608" s="61" t="str">
        <f aca="false">IF($M3608=0,"",INDEX(Classes!$C$6:$C$420,$M3608))</f>
        <v/>
      </c>
      <c r="F3608" s="63"/>
      <c r="G3608" s="63"/>
      <c r="H3608" s="60"/>
      <c r="I3608" s="60"/>
      <c r="J3608" s="63"/>
      <c r="K3608" s="61" t="str">
        <f aca="false">IF($P3608=0,"",IF($F3608="Baseline","— Baseline",IF($O3608=0,"No result",IF($N3608=0,"No Start (attainment only)",IF(OR($N3608=1,$O3608=1),"U – needs rule",INDEX(MxBody,MATCH($I3608,MxCurr,0),MATCH($H3608,MxStart,0)))))))</f>
        <v/>
      </c>
      <c r="L3608" s="62" t="str">
        <f aca="false">IF(COUNTA($A3608,$F3608,$G3608,$H3608,$I3608,$J3608)=0,"",IF($M3608=0,"✖ كود الصف غير موجود",IF(ISNA(MATCH($F3608,Lists!$A$2:$A$5,0)),"✖ الفترة غير صحيحة",IF(ISNA(MATCH($G3608,Lists!$B$2:$B$7,0)),"✖ المجموعة غير صحيحة",IF(NOT(OR($H3608="",$N3608&gt;0)),"✖ Start غير صحيح",IF(NOT(OR($I3608="",$I3608="NR",$O3608&gt;0)),"✖ Current غير صحيح",IF(NOT(IF(ISNUMBER($J3608),AND($J3608&gt;=0,$J3608=INT($J3608)),FALSE())),"✖ العدد يجب أن يكون صحيحًا ≥ 0",IF(AND($F3608="Baseline",$H3608&lt;&gt;""),"⚠ Baseline: Start لا يدخل في التقدم",IF($K3608="No Start (attainment only)","ℹ تحصيل فقط (بدون Start)",IF($K3608="U – needs rule","ℹ حالة U تحتاج قاعدة معتمدة",IF($K3608="No result","ℹ بدون نتيجة (يُستبعد من التحصيل)","OK")))))))))))</f>
        <v/>
      </c>
      <c r="M3608" s="64" t="n">
        <f aca="false">IF($A3608="",0,IFERROR(MATCH($A3608,Classes!$A$6:$A$420,0),0))</f>
        <v>0</v>
      </c>
      <c r="N3608" s="64" t="n">
        <f aca="false">IF($H3608="",0,IFERROR(MATCH($H3608,GradeList,0),0))</f>
        <v>0</v>
      </c>
      <c r="O3608" s="64" t="n">
        <f aca="false">IF(OR($I3608="",$I3608="NR"),0,IFERROR(MATCH($I3608,GradeList,0),0))</f>
        <v>0</v>
      </c>
      <c r="P3608" s="64" t="n">
        <f aca="false">IF(AND($M3608&gt;0,ISNUMBER(MATCH($F3608,Lists!$A$2:$A$5,0)),ISNUMBER(MATCH($G3608,Lists!$B$2:$B$7,0)),OR($H3608="",$N3608&gt;0),OR($I3608="",$I3608="NR",$O3608&gt;0),IF(ISNUMBER($J3608),AND($J3608&gt;=0,$J3608=INT($J3608)),FALSE())),$J3608,0)</f>
        <v>0</v>
      </c>
      <c r="Q3608" s="64" t="n">
        <f aca="false">IF(AND($P3608&gt;0,$O3608&gt;0),$P3608,0)</f>
        <v>0</v>
      </c>
      <c r="R3608" s="64" t="n">
        <f aca="false">IF(AND($Q3608&gt;0,$O3608&gt;=AtRank),$Q3608,0)</f>
        <v>0</v>
      </c>
      <c r="S3608" s="64" t="n">
        <f aca="false">IF(AND($Q3608&gt;0,$O3608&gt;=AboveRank),$Q3608,0)</f>
        <v>0</v>
      </c>
      <c r="T3608" s="64" t="n">
        <f aca="false">IF($K3608="Less",$P3608,0)</f>
        <v>0</v>
      </c>
      <c r="U3608" s="64" t="n">
        <f aca="false">IF($K3608="Expected",$P3608,0)</f>
        <v>0</v>
      </c>
      <c r="V3608" s="64" t="n">
        <f aca="false">IF($K3608="Better",$P3608,0)</f>
        <v>0</v>
      </c>
      <c r="W3608" s="64" t="n">
        <f aca="false">IF($K3608="U – needs rule",$P3608,0)</f>
        <v>0</v>
      </c>
      <c r="X3608" s="64" t="n">
        <f aca="false">IF($K3608="No Start (attainment only)",$P3608,0)</f>
        <v>0</v>
      </c>
    </row>
    <row r="3609" customFormat="false" ht="15" hidden="false" customHeight="false" outlineLevel="0" collapsed="false">
      <c r="A3609" s="60"/>
      <c r="B3609" s="61" t="str">
        <f aca="false">IF($M3609=0,"",INDEX(Classes!$E$6:$E$420,$M3609))</f>
        <v/>
      </c>
      <c r="C3609" s="62" t="str">
        <f aca="false">IF($M3609=0,"",INDEX(Classes!$H$6:$H$420,$M3609))</f>
        <v/>
      </c>
      <c r="D3609" s="61" t="str">
        <f aca="false">IF($M3609=0,"",INDEX(Classes!$B$6:$B$420,$M3609))</f>
        <v/>
      </c>
      <c r="E3609" s="61" t="str">
        <f aca="false">IF($M3609=0,"",INDEX(Classes!$C$6:$C$420,$M3609))</f>
        <v/>
      </c>
      <c r="F3609" s="63"/>
      <c r="G3609" s="63"/>
      <c r="H3609" s="60"/>
      <c r="I3609" s="60"/>
      <c r="J3609" s="63"/>
      <c r="K3609" s="61" t="str">
        <f aca="false">IF($P3609=0,"",IF($F3609="Baseline","— Baseline",IF($O3609=0,"No result",IF($N3609=0,"No Start (attainment only)",IF(OR($N3609=1,$O3609=1),"U – needs rule",INDEX(MxBody,MATCH($I3609,MxCurr,0),MATCH($H3609,MxStart,0)))))))</f>
        <v/>
      </c>
      <c r="L3609" s="62" t="str">
        <f aca="false">IF(COUNTA($A3609,$F3609,$G3609,$H3609,$I3609,$J3609)=0,"",IF($M3609=0,"✖ كود الصف غير موجود",IF(ISNA(MATCH($F3609,Lists!$A$2:$A$5,0)),"✖ الفترة غير صحيحة",IF(ISNA(MATCH($G3609,Lists!$B$2:$B$7,0)),"✖ المجموعة غير صحيحة",IF(NOT(OR($H3609="",$N3609&gt;0)),"✖ Start غير صحيح",IF(NOT(OR($I3609="",$I3609="NR",$O3609&gt;0)),"✖ Current غير صحيح",IF(NOT(IF(ISNUMBER($J3609),AND($J3609&gt;=0,$J3609=INT($J3609)),FALSE())),"✖ العدد يجب أن يكون صحيحًا ≥ 0",IF(AND($F3609="Baseline",$H3609&lt;&gt;""),"⚠ Baseline: Start لا يدخل في التقدم",IF($K3609="No Start (attainment only)","ℹ تحصيل فقط (بدون Start)",IF($K3609="U – needs rule","ℹ حالة U تحتاج قاعدة معتمدة",IF($K3609="No result","ℹ بدون نتيجة (يُستبعد من التحصيل)","OK")))))))))))</f>
        <v/>
      </c>
      <c r="M3609" s="64" t="n">
        <f aca="false">IF($A3609="",0,IFERROR(MATCH($A3609,Classes!$A$6:$A$420,0),0))</f>
        <v>0</v>
      </c>
      <c r="N3609" s="64" t="n">
        <f aca="false">IF($H3609="",0,IFERROR(MATCH($H3609,GradeList,0),0))</f>
        <v>0</v>
      </c>
      <c r="O3609" s="64" t="n">
        <f aca="false">IF(OR($I3609="",$I3609="NR"),0,IFERROR(MATCH($I3609,GradeList,0),0))</f>
        <v>0</v>
      </c>
      <c r="P3609" s="64" t="n">
        <f aca="false">IF(AND($M3609&gt;0,ISNUMBER(MATCH($F3609,Lists!$A$2:$A$5,0)),ISNUMBER(MATCH($G3609,Lists!$B$2:$B$7,0)),OR($H3609="",$N3609&gt;0),OR($I3609="",$I3609="NR",$O3609&gt;0),IF(ISNUMBER($J3609),AND($J3609&gt;=0,$J3609=INT($J3609)),FALSE())),$J3609,0)</f>
        <v>0</v>
      </c>
      <c r="Q3609" s="64" t="n">
        <f aca="false">IF(AND($P3609&gt;0,$O3609&gt;0),$P3609,0)</f>
        <v>0</v>
      </c>
      <c r="R3609" s="64" t="n">
        <f aca="false">IF(AND($Q3609&gt;0,$O3609&gt;=AtRank),$Q3609,0)</f>
        <v>0</v>
      </c>
      <c r="S3609" s="64" t="n">
        <f aca="false">IF(AND($Q3609&gt;0,$O3609&gt;=AboveRank),$Q3609,0)</f>
        <v>0</v>
      </c>
      <c r="T3609" s="64" t="n">
        <f aca="false">IF($K3609="Less",$P3609,0)</f>
        <v>0</v>
      </c>
      <c r="U3609" s="64" t="n">
        <f aca="false">IF($K3609="Expected",$P3609,0)</f>
        <v>0</v>
      </c>
      <c r="V3609" s="64" t="n">
        <f aca="false">IF($K3609="Better",$P3609,0)</f>
        <v>0</v>
      </c>
      <c r="W3609" s="64" t="n">
        <f aca="false">IF($K3609="U – needs rule",$P3609,0)</f>
        <v>0</v>
      </c>
      <c r="X3609" s="64" t="n">
        <f aca="false">IF($K3609="No Start (attainment only)",$P3609,0)</f>
        <v>0</v>
      </c>
    </row>
    <row r="3610" customFormat="false" ht="15" hidden="false" customHeight="false" outlineLevel="0" collapsed="false">
      <c r="A3610" s="60"/>
      <c r="B3610" s="61" t="str">
        <f aca="false">IF($M3610=0,"",INDEX(Classes!$E$6:$E$420,$M3610))</f>
        <v/>
      </c>
      <c r="C3610" s="62" t="str">
        <f aca="false">IF($M3610=0,"",INDEX(Classes!$H$6:$H$420,$M3610))</f>
        <v/>
      </c>
      <c r="D3610" s="61" t="str">
        <f aca="false">IF($M3610=0,"",INDEX(Classes!$B$6:$B$420,$M3610))</f>
        <v/>
      </c>
      <c r="E3610" s="61" t="str">
        <f aca="false">IF($M3610=0,"",INDEX(Classes!$C$6:$C$420,$M3610))</f>
        <v/>
      </c>
      <c r="F3610" s="63"/>
      <c r="G3610" s="63"/>
      <c r="H3610" s="60"/>
      <c r="I3610" s="60"/>
      <c r="J3610" s="63"/>
      <c r="K3610" s="61" t="str">
        <f aca="false">IF($P3610=0,"",IF($F3610="Baseline","— Baseline",IF($O3610=0,"No result",IF($N3610=0,"No Start (attainment only)",IF(OR($N3610=1,$O3610=1),"U – needs rule",INDEX(MxBody,MATCH($I3610,MxCurr,0),MATCH($H3610,MxStart,0)))))))</f>
        <v/>
      </c>
      <c r="L3610" s="62" t="str">
        <f aca="false">IF(COUNTA($A3610,$F3610,$G3610,$H3610,$I3610,$J3610)=0,"",IF($M3610=0,"✖ كود الصف غير موجود",IF(ISNA(MATCH($F3610,Lists!$A$2:$A$5,0)),"✖ الفترة غير صحيحة",IF(ISNA(MATCH($G3610,Lists!$B$2:$B$7,0)),"✖ المجموعة غير صحيحة",IF(NOT(OR($H3610="",$N3610&gt;0)),"✖ Start غير صحيح",IF(NOT(OR($I3610="",$I3610="NR",$O3610&gt;0)),"✖ Current غير صحيح",IF(NOT(IF(ISNUMBER($J3610),AND($J3610&gt;=0,$J3610=INT($J3610)),FALSE())),"✖ العدد يجب أن يكون صحيحًا ≥ 0",IF(AND($F3610="Baseline",$H3610&lt;&gt;""),"⚠ Baseline: Start لا يدخل في التقدم",IF($K3610="No Start (attainment only)","ℹ تحصيل فقط (بدون Start)",IF($K3610="U – needs rule","ℹ حالة U تحتاج قاعدة معتمدة",IF($K3610="No result","ℹ بدون نتيجة (يُستبعد من التحصيل)","OK")))))))))))</f>
        <v/>
      </c>
      <c r="M3610" s="64" t="n">
        <f aca="false">IF($A3610="",0,IFERROR(MATCH($A3610,Classes!$A$6:$A$420,0),0))</f>
        <v>0</v>
      </c>
      <c r="N3610" s="64" t="n">
        <f aca="false">IF($H3610="",0,IFERROR(MATCH($H3610,GradeList,0),0))</f>
        <v>0</v>
      </c>
      <c r="O3610" s="64" t="n">
        <f aca="false">IF(OR($I3610="",$I3610="NR"),0,IFERROR(MATCH($I3610,GradeList,0),0))</f>
        <v>0</v>
      </c>
      <c r="P3610" s="64" t="n">
        <f aca="false">IF(AND($M3610&gt;0,ISNUMBER(MATCH($F3610,Lists!$A$2:$A$5,0)),ISNUMBER(MATCH($G3610,Lists!$B$2:$B$7,0)),OR($H3610="",$N3610&gt;0),OR($I3610="",$I3610="NR",$O3610&gt;0),IF(ISNUMBER($J3610),AND($J3610&gt;=0,$J3610=INT($J3610)),FALSE())),$J3610,0)</f>
        <v>0</v>
      </c>
      <c r="Q3610" s="64" t="n">
        <f aca="false">IF(AND($P3610&gt;0,$O3610&gt;0),$P3610,0)</f>
        <v>0</v>
      </c>
      <c r="R3610" s="64" t="n">
        <f aca="false">IF(AND($Q3610&gt;0,$O3610&gt;=AtRank),$Q3610,0)</f>
        <v>0</v>
      </c>
      <c r="S3610" s="64" t="n">
        <f aca="false">IF(AND($Q3610&gt;0,$O3610&gt;=AboveRank),$Q3610,0)</f>
        <v>0</v>
      </c>
      <c r="T3610" s="64" t="n">
        <f aca="false">IF($K3610="Less",$P3610,0)</f>
        <v>0</v>
      </c>
      <c r="U3610" s="64" t="n">
        <f aca="false">IF($K3610="Expected",$P3610,0)</f>
        <v>0</v>
      </c>
      <c r="V3610" s="64" t="n">
        <f aca="false">IF($K3610="Better",$P3610,0)</f>
        <v>0</v>
      </c>
      <c r="W3610" s="64" t="n">
        <f aca="false">IF($K3610="U – needs rule",$P3610,0)</f>
        <v>0</v>
      </c>
      <c r="X3610" s="64" t="n">
        <f aca="false">IF($K3610="No Start (attainment only)",$P3610,0)</f>
        <v>0</v>
      </c>
    </row>
    <row r="3611" customFormat="false" ht="15" hidden="false" customHeight="false" outlineLevel="0" collapsed="false">
      <c r="A3611" s="60"/>
      <c r="B3611" s="61" t="str">
        <f aca="false">IF($M3611=0,"",INDEX(Classes!$E$6:$E$420,$M3611))</f>
        <v/>
      </c>
      <c r="C3611" s="62" t="str">
        <f aca="false">IF($M3611=0,"",INDEX(Classes!$H$6:$H$420,$M3611))</f>
        <v/>
      </c>
      <c r="D3611" s="61" t="str">
        <f aca="false">IF($M3611=0,"",INDEX(Classes!$B$6:$B$420,$M3611))</f>
        <v/>
      </c>
      <c r="E3611" s="61" t="str">
        <f aca="false">IF($M3611=0,"",INDEX(Classes!$C$6:$C$420,$M3611))</f>
        <v/>
      </c>
      <c r="F3611" s="63"/>
      <c r="G3611" s="63"/>
      <c r="H3611" s="60"/>
      <c r="I3611" s="60"/>
      <c r="J3611" s="63"/>
      <c r="K3611" s="61" t="str">
        <f aca="false">IF($P3611=0,"",IF($F3611="Baseline","— Baseline",IF($O3611=0,"No result",IF($N3611=0,"No Start (attainment only)",IF(OR($N3611=1,$O3611=1),"U – needs rule",INDEX(MxBody,MATCH($I3611,MxCurr,0),MATCH($H3611,MxStart,0)))))))</f>
        <v/>
      </c>
      <c r="L3611" s="62" t="str">
        <f aca="false">IF(COUNTA($A3611,$F3611,$G3611,$H3611,$I3611,$J3611)=0,"",IF($M3611=0,"✖ كود الصف غير موجود",IF(ISNA(MATCH($F3611,Lists!$A$2:$A$5,0)),"✖ الفترة غير صحيحة",IF(ISNA(MATCH($G3611,Lists!$B$2:$B$7,0)),"✖ المجموعة غير صحيحة",IF(NOT(OR($H3611="",$N3611&gt;0)),"✖ Start غير صحيح",IF(NOT(OR($I3611="",$I3611="NR",$O3611&gt;0)),"✖ Current غير صحيح",IF(NOT(IF(ISNUMBER($J3611),AND($J3611&gt;=0,$J3611=INT($J3611)),FALSE())),"✖ العدد يجب أن يكون صحيحًا ≥ 0",IF(AND($F3611="Baseline",$H3611&lt;&gt;""),"⚠ Baseline: Start لا يدخل في التقدم",IF($K3611="No Start (attainment only)","ℹ تحصيل فقط (بدون Start)",IF($K3611="U – needs rule","ℹ حالة U تحتاج قاعدة معتمدة",IF($K3611="No result","ℹ بدون نتيجة (يُستبعد من التحصيل)","OK")))))))))))</f>
        <v/>
      </c>
      <c r="M3611" s="64" t="n">
        <f aca="false">IF($A3611="",0,IFERROR(MATCH($A3611,Classes!$A$6:$A$420,0),0))</f>
        <v>0</v>
      </c>
      <c r="N3611" s="64" t="n">
        <f aca="false">IF($H3611="",0,IFERROR(MATCH($H3611,GradeList,0),0))</f>
        <v>0</v>
      </c>
      <c r="O3611" s="64" t="n">
        <f aca="false">IF(OR($I3611="",$I3611="NR"),0,IFERROR(MATCH($I3611,GradeList,0),0))</f>
        <v>0</v>
      </c>
      <c r="P3611" s="64" t="n">
        <f aca="false">IF(AND($M3611&gt;0,ISNUMBER(MATCH($F3611,Lists!$A$2:$A$5,0)),ISNUMBER(MATCH($G3611,Lists!$B$2:$B$7,0)),OR($H3611="",$N3611&gt;0),OR($I3611="",$I3611="NR",$O3611&gt;0),IF(ISNUMBER($J3611),AND($J3611&gt;=0,$J3611=INT($J3611)),FALSE())),$J3611,0)</f>
        <v>0</v>
      </c>
      <c r="Q3611" s="64" t="n">
        <f aca="false">IF(AND($P3611&gt;0,$O3611&gt;0),$P3611,0)</f>
        <v>0</v>
      </c>
      <c r="R3611" s="64" t="n">
        <f aca="false">IF(AND($Q3611&gt;0,$O3611&gt;=AtRank),$Q3611,0)</f>
        <v>0</v>
      </c>
      <c r="S3611" s="64" t="n">
        <f aca="false">IF(AND($Q3611&gt;0,$O3611&gt;=AboveRank),$Q3611,0)</f>
        <v>0</v>
      </c>
      <c r="T3611" s="64" t="n">
        <f aca="false">IF($K3611="Less",$P3611,0)</f>
        <v>0</v>
      </c>
      <c r="U3611" s="64" t="n">
        <f aca="false">IF($K3611="Expected",$P3611,0)</f>
        <v>0</v>
      </c>
      <c r="V3611" s="64" t="n">
        <f aca="false">IF($K3611="Better",$P3611,0)</f>
        <v>0</v>
      </c>
      <c r="W3611" s="64" t="n">
        <f aca="false">IF($K3611="U – needs rule",$P3611,0)</f>
        <v>0</v>
      </c>
      <c r="X3611" s="64" t="n">
        <f aca="false">IF($K3611="No Start (attainment only)",$P3611,0)</f>
        <v>0</v>
      </c>
    </row>
    <row r="3612" customFormat="false" ht="15" hidden="false" customHeight="false" outlineLevel="0" collapsed="false">
      <c r="A3612" s="60"/>
      <c r="B3612" s="61" t="str">
        <f aca="false">IF($M3612=0,"",INDEX(Classes!$E$6:$E$420,$M3612))</f>
        <v/>
      </c>
      <c r="C3612" s="62" t="str">
        <f aca="false">IF($M3612=0,"",INDEX(Classes!$H$6:$H$420,$M3612))</f>
        <v/>
      </c>
      <c r="D3612" s="61" t="str">
        <f aca="false">IF($M3612=0,"",INDEX(Classes!$B$6:$B$420,$M3612))</f>
        <v/>
      </c>
      <c r="E3612" s="61" t="str">
        <f aca="false">IF($M3612=0,"",INDEX(Classes!$C$6:$C$420,$M3612))</f>
        <v/>
      </c>
      <c r="F3612" s="63"/>
      <c r="G3612" s="63"/>
      <c r="H3612" s="60"/>
      <c r="I3612" s="60"/>
      <c r="J3612" s="63"/>
      <c r="K3612" s="61" t="str">
        <f aca="false">IF($P3612=0,"",IF($F3612="Baseline","— Baseline",IF($O3612=0,"No result",IF($N3612=0,"No Start (attainment only)",IF(OR($N3612=1,$O3612=1),"U – needs rule",INDEX(MxBody,MATCH($I3612,MxCurr,0),MATCH($H3612,MxStart,0)))))))</f>
        <v/>
      </c>
      <c r="L3612" s="62" t="str">
        <f aca="false">IF(COUNTA($A3612,$F3612,$G3612,$H3612,$I3612,$J3612)=0,"",IF($M3612=0,"✖ كود الصف غير موجود",IF(ISNA(MATCH($F3612,Lists!$A$2:$A$5,0)),"✖ الفترة غير صحيحة",IF(ISNA(MATCH($G3612,Lists!$B$2:$B$7,0)),"✖ المجموعة غير صحيحة",IF(NOT(OR($H3612="",$N3612&gt;0)),"✖ Start غير صحيح",IF(NOT(OR($I3612="",$I3612="NR",$O3612&gt;0)),"✖ Current غير صحيح",IF(NOT(IF(ISNUMBER($J3612),AND($J3612&gt;=0,$J3612=INT($J3612)),FALSE())),"✖ العدد يجب أن يكون صحيحًا ≥ 0",IF(AND($F3612="Baseline",$H3612&lt;&gt;""),"⚠ Baseline: Start لا يدخل في التقدم",IF($K3612="No Start (attainment only)","ℹ تحصيل فقط (بدون Start)",IF($K3612="U – needs rule","ℹ حالة U تحتاج قاعدة معتمدة",IF($K3612="No result","ℹ بدون نتيجة (يُستبعد من التحصيل)","OK")))))))))))</f>
        <v/>
      </c>
      <c r="M3612" s="64" t="n">
        <f aca="false">IF($A3612="",0,IFERROR(MATCH($A3612,Classes!$A$6:$A$420,0),0))</f>
        <v>0</v>
      </c>
      <c r="N3612" s="64" t="n">
        <f aca="false">IF($H3612="",0,IFERROR(MATCH($H3612,GradeList,0),0))</f>
        <v>0</v>
      </c>
      <c r="O3612" s="64" t="n">
        <f aca="false">IF(OR($I3612="",$I3612="NR"),0,IFERROR(MATCH($I3612,GradeList,0),0))</f>
        <v>0</v>
      </c>
      <c r="P3612" s="64" t="n">
        <f aca="false">IF(AND($M3612&gt;0,ISNUMBER(MATCH($F3612,Lists!$A$2:$A$5,0)),ISNUMBER(MATCH($G3612,Lists!$B$2:$B$7,0)),OR($H3612="",$N3612&gt;0),OR($I3612="",$I3612="NR",$O3612&gt;0),IF(ISNUMBER($J3612),AND($J3612&gt;=0,$J3612=INT($J3612)),FALSE())),$J3612,0)</f>
        <v>0</v>
      </c>
      <c r="Q3612" s="64" t="n">
        <f aca="false">IF(AND($P3612&gt;0,$O3612&gt;0),$P3612,0)</f>
        <v>0</v>
      </c>
      <c r="R3612" s="64" t="n">
        <f aca="false">IF(AND($Q3612&gt;0,$O3612&gt;=AtRank),$Q3612,0)</f>
        <v>0</v>
      </c>
      <c r="S3612" s="64" t="n">
        <f aca="false">IF(AND($Q3612&gt;0,$O3612&gt;=AboveRank),$Q3612,0)</f>
        <v>0</v>
      </c>
      <c r="T3612" s="64" t="n">
        <f aca="false">IF($K3612="Less",$P3612,0)</f>
        <v>0</v>
      </c>
      <c r="U3612" s="64" t="n">
        <f aca="false">IF($K3612="Expected",$P3612,0)</f>
        <v>0</v>
      </c>
      <c r="V3612" s="64" t="n">
        <f aca="false">IF($K3612="Better",$P3612,0)</f>
        <v>0</v>
      </c>
      <c r="W3612" s="64" t="n">
        <f aca="false">IF($K3612="U – needs rule",$P3612,0)</f>
        <v>0</v>
      </c>
      <c r="X3612" s="64" t="n">
        <f aca="false">IF($K3612="No Start (attainment only)",$P3612,0)</f>
        <v>0</v>
      </c>
    </row>
    <row r="3613" customFormat="false" ht="15" hidden="false" customHeight="false" outlineLevel="0" collapsed="false">
      <c r="A3613" s="60"/>
      <c r="B3613" s="61" t="str">
        <f aca="false">IF($M3613=0,"",INDEX(Classes!$E$6:$E$420,$M3613))</f>
        <v/>
      </c>
      <c r="C3613" s="62" t="str">
        <f aca="false">IF($M3613=0,"",INDEX(Classes!$H$6:$H$420,$M3613))</f>
        <v/>
      </c>
      <c r="D3613" s="61" t="str">
        <f aca="false">IF($M3613=0,"",INDEX(Classes!$B$6:$B$420,$M3613))</f>
        <v/>
      </c>
      <c r="E3613" s="61" t="str">
        <f aca="false">IF($M3613=0,"",INDEX(Classes!$C$6:$C$420,$M3613))</f>
        <v/>
      </c>
      <c r="F3613" s="63"/>
      <c r="G3613" s="63"/>
      <c r="H3613" s="60"/>
      <c r="I3613" s="60"/>
      <c r="J3613" s="63"/>
      <c r="K3613" s="61" t="str">
        <f aca="false">IF($P3613=0,"",IF($F3613="Baseline","— Baseline",IF($O3613=0,"No result",IF($N3613=0,"No Start (attainment only)",IF(OR($N3613=1,$O3613=1),"U – needs rule",INDEX(MxBody,MATCH($I3613,MxCurr,0),MATCH($H3613,MxStart,0)))))))</f>
        <v/>
      </c>
      <c r="L3613" s="62" t="str">
        <f aca="false">IF(COUNTA($A3613,$F3613,$G3613,$H3613,$I3613,$J3613)=0,"",IF($M3613=0,"✖ كود الصف غير موجود",IF(ISNA(MATCH($F3613,Lists!$A$2:$A$5,0)),"✖ الفترة غير صحيحة",IF(ISNA(MATCH($G3613,Lists!$B$2:$B$7,0)),"✖ المجموعة غير صحيحة",IF(NOT(OR($H3613="",$N3613&gt;0)),"✖ Start غير صحيح",IF(NOT(OR($I3613="",$I3613="NR",$O3613&gt;0)),"✖ Current غير صحيح",IF(NOT(IF(ISNUMBER($J3613),AND($J3613&gt;=0,$J3613=INT($J3613)),FALSE())),"✖ العدد يجب أن يكون صحيحًا ≥ 0",IF(AND($F3613="Baseline",$H3613&lt;&gt;""),"⚠ Baseline: Start لا يدخل في التقدم",IF($K3613="No Start (attainment only)","ℹ تحصيل فقط (بدون Start)",IF($K3613="U – needs rule","ℹ حالة U تحتاج قاعدة معتمدة",IF($K3613="No result","ℹ بدون نتيجة (يُستبعد من التحصيل)","OK")))))))))))</f>
        <v/>
      </c>
      <c r="M3613" s="64" t="n">
        <f aca="false">IF($A3613="",0,IFERROR(MATCH($A3613,Classes!$A$6:$A$420,0),0))</f>
        <v>0</v>
      </c>
      <c r="N3613" s="64" t="n">
        <f aca="false">IF($H3613="",0,IFERROR(MATCH($H3613,GradeList,0),0))</f>
        <v>0</v>
      </c>
      <c r="O3613" s="64" t="n">
        <f aca="false">IF(OR($I3613="",$I3613="NR"),0,IFERROR(MATCH($I3613,GradeList,0),0))</f>
        <v>0</v>
      </c>
      <c r="P3613" s="64" t="n">
        <f aca="false">IF(AND($M3613&gt;0,ISNUMBER(MATCH($F3613,Lists!$A$2:$A$5,0)),ISNUMBER(MATCH($G3613,Lists!$B$2:$B$7,0)),OR($H3613="",$N3613&gt;0),OR($I3613="",$I3613="NR",$O3613&gt;0),IF(ISNUMBER($J3613),AND($J3613&gt;=0,$J3613=INT($J3613)),FALSE())),$J3613,0)</f>
        <v>0</v>
      </c>
      <c r="Q3613" s="64" t="n">
        <f aca="false">IF(AND($P3613&gt;0,$O3613&gt;0),$P3613,0)</f>
        <v>0</v>
      </c>
      <c r="R3613" s="64" t="n">
        <f aca="false">IF(AND($Q3613&gt;0,$O3613&gt;=AtRank),$Q3613,0)</f>
        <v>0</v>
      </c>
      <c r="S3613" s="64" t="n">
        <f aca="false">IF(AND($Q3613&gt;0,$O3613&gt;=AboveRank),$Q3613,0)</f>
        <v>0</v>
      </c>
      <c r="T3613" s="64" t="n">
        <f aca="false">IF($K3613="Less",$P3613,0)</f>
        <v>0</v>
      </c>
      <c r="U3613" s="64" t="n">
        <f aca="false">IF($K3613="Expected",$P3613,0)</f>
        <v>0</v>
      </c>
      <c r="V3613" s="64" t="n">
        <f aca="false">IF($K3613="Better",$P3613,0)</f>
        <v>0</v>
      </c>
      <c r="W3613" s="64" t="n">
        <f aca="false">IF($K3613="U – needs rule",$P3613,0)</f>
        <v>0</v>
      </c>
      <c r="X3613" s="64" t="n">
        <f aca="false">IF($K3613="No Start (attainment only)",$P3613,0)</f>
        <v>0</v>
      </c>
    </row>
    <row r="3614" customFormat="false" ht="15" hidden="false" customHeight="false" outlineLevel="0" collapsed="false">
      <c r="A3614" s="60"/>
      <c r="B3614" s="61" t="str">
        <f aca="false">IF($M3614=0,"",INDEX(Classes!$E$6:$E$420,$M3614))</f>
        <v/>
      </c>
      <c r="C3614" s="62" t="str">
        <f aca="false">IF($M3614=0,"",INDEX(Classes!$H$6:$H$420,$M3614))</f>
        <v/>
      </c>
      <c r="D3614" s="61" t="str">
        <f aca="false">IF($M3614=0,"",INDEX(Classes!$B$6:$B$420,$M3614))</f>
        <v/>
      </c>
      <c r="E3614" s="61" t="str">
        <f aca="false">IF($M3614=0,"",INDEX(Classes!$C$6:$C$420,$M3614))</f>
        <v/>
      </c>
      <c r="F3614" s="63"/>
      <c r="G3614" s="63"/>
      <c r="H3614" s="60"/>
      <c r="I3614" s="60"/>
      <c r="J3614" s="63"/>
      <c r="K3614" s="61" t="str">
        <f aca="false">IF($P3614=0,"",IF($F3614="Baseline","— Baseline",IF($O3614=0,"No result",IF($N3614=0,"No Start (attainment only)",IF(OR($N3614=1,$O3614=1),"U – needs rule",INDEX(MxBody,MATCH($I3614,MxCurr,0),MATCH($H3614,MxStart,0)))))))</f>
        <v/>
      </c>
      <c r="L3614" s="62" t="str">
        <f aca="false">IF(COUNTA($A3614,$F3614,$G3614,$H3614,$I3614,$J3614)=0,"",IF($M3614=0,"✖ كود الصف غير موجود",IF(ISNA(MATCH($F3614,Lists!$A$2:$A$5,0)),"✖ الفترة غير صحيحة",IF(ISNA(MATCH($G3614,Lists!$B$2:$B$7,0)),"✖ المجموعة غير صحيحة",IF(NOT(OR($H3614="",$N3614&gt;0)),"✖ Start غير صحيح",IF(NOT(OR($I3614="",$I3614="NR",$O3614&gt;0)),"✖ Current غير صحيح",IF(NOT(IF(ISNUMBER($J3614),AND($J3614&gt;=0,$J3614=INT($J3614)),FALSE())),"✖ العدد يجب أن يكون صحيحًا ≥ 0",IF(AND($F3614="Baseline",$H3614&lt;&gt;""),"⚠ Baseline: Start لا يدخل في التقدم",IF($K3614="No Start (attainment only)","ℹ تحصيل فقط (بدون Start)",IF($K3614="U – needs rule","ℹ حالة U تحتاج قاعدة معتمدة",IF($K3614="No result","ℹ بدون نتيجة (يُستبعد من التحصيل)","OK")))))))))))</f>
        <v/>
      </c>
      <c r="M3614" s="64" t="n">
        <f aca="false">IF($A3614="",0,IFERROR(MATCH($A3614,Classes!$A$6:$A$420,0),0))</f>
        <v>0</v>
      </c>
      <c r="N3614" s="64" t="n">
        <f aca="false">IF($H3614="",0,IFERROR(MATCH($H3614,GradeList,0),0))</f>
        <v>0</v>
      </c>
      <c r="O3614" s="64" t="n">
        <f aca="false">IF(OR($I3614="",$I3614="NR"),0,IFERROR(MATCH($I3614,GradeList,0),0))</f>
        <v>0</v>
      </c>
      <c r="P3614" s="64" t="n">
        <f aca="false">IF(AND($M3614&gt;0,ISNUMBER(MATCH($F3614,Lists!$A$2:$A$5,0)),ISNUMBER(MATCH($G3614,Lists!$B$2:$B$7,0)),OR($H3614="",$N3614&gt;0),OR($I3614="",$I3614="NR",$O3614&gt;0),IF(ISNUMBER($J3614),AND($J3614&gt;=0,$J3614=INT($J3614)),FALSE())),$J3614,0)</f>
        <v>0</v>
      </c>
      <c r="Q3614" s="64" t="n">
        <f aca="false">IF(AND($P3614&gt;0,$O3614&gt;0),$P3614,0)</f>
        <v>0</v>
      </c>
      <c r="R3614" s="64" t="n">
        <f aca="false">IF(AND($Q3614&gt;0,$O3614&gt;=AtRank),$Q3614,0)</f>
        <v>0</v>
      </c>
      <c r="S3614" s="64" t="n">
        <f aca="false">IF(AND($Q3614&gt;0,$O3614&gt;=AboveRank),$Q3614,0)</f>
        <v>0</v>
      </c>
      <c r="T3614" s="64" t="n">
        <f aca="false">IF($K3614="Less",$P3614,0)</f>
        <v>0</v>
      </c>
      <c r="U3614" s="64" t="n">
        <f aca="false">IF($K3614="Expected",$P3614,0)</f>
        <v>0</v>
      </c>
      <c r="V3614" s="64" t="n">
        <f aca="false">IF($K3614="Better",$P3614,0)</f>
        <v>0</v>
      </c>
      <c r="W3614" s="64" t="n">
        <f aca="false">IF($K3614="U – needs rule",$P3614,0)</f>
        <v>0</v>
      </c>
      <c r="X3614" s="64" t="n">
        <f aca="false">IF($K3614="No Start (attainment only)",$P3614,0)</f>
        <v>0</v>
      </c>
    </row>
    <row r="3615" customFormat="false" ht="15" hidden="false" customHeight="false" outlineLevel="0" collapsed="false">
      <c r="A3615" s="60"/>
      <c r="B3615" s="61" t="str">
        <f aca="false">IF($M3615=0,"",INDEX(Classes!$E$6:$E$420,$M3615))</f>
        <v/>
      </c>
      <c r="C3615" s="62" t="str">
        <f aca="false">IF($M3615=0,"",INDEX(Classes!$H$6:$H$420,$M3615))</f>
        <v/>
      </c>
      <c r="D3615" s="61" t="str">
        <f aca="false">IF($M3615=0,"",INDEX(Classes!$B$6:$B$420,$M3615))</f>
        <v/>
      </c>
      <c r="E3615" s="61" t="str">
        <f aca="false">IF($M3615=0,"",INDEX(Classes!$C$6:$C$420,$M3615))</f>
        <v/>
      </c>
      <c r="F3615" s="63"/>
      <c r="G3615" s="63"/>
      <c r="H3615" s="60"/>
      <c r="I3615" s="60"/>
      <c r="J3615" s="63"/>
      <c r="K3615" s="61" t="str">
        <f aca="false">IF($P3615=0,"",IF($F3615="Baseline","— Baseline",IF($O3615=0,"No result",IF($N3615=0,"No Start (attainment only)",IF(OR($N3615=1,$O3615=1),"U – needs rule",INDEX(MxBody,MATCH($I3615,MxCurr,0),MATCH($H3615,MxStart,0)))))))</f>
        <v/>
      </c>
      <c r="L3615" s="62" t="str">
        <f aca="false">IF(COUNTA($A3615,$F3615,$G3615,$H3615,$I3615,$J3615)=0,"",IF($M3615=0,"✖ كود الصف غير موجود",IF(ISNA(MATCH($F3615,Lists!$A$2:$A$5,0)),"✖ الفترة غير صحيحة",IF(ISNA(MATCH($G3615,Lists!$B$2:$B$7,0)),"✖ المجموعة غير صحيحة",IF(NOT(OR($H3615="",$N3615&gt;0)),"✖ Start غير صحيح",IF(NOT(OR($I3615="",$I3615="NR",$O3615&gt;0)),"✖ Current غير صحيح",IF(NOT(IF(ISNUMBER($J3615),AND($J3615&gt;=0,$J3615=INT($J3615)),FALSE())),"✖ العدد يجب أن يكون صحيحًا ≥ 0",IF(AND($F3615="Baseline",$H3615&lt;&gt;""),"⚠ Baseline: Start لا يدخل في التقدم",IF($K3615="No Start (attainment only)","ℹ تحصيل فقط (بدون Start)",IF($K3615="U – needs rule","ℹ حالة U تحتاج قاعدة معتمدة",IF($K3615="No result","ℹ بدون نتيجة (يُستبعد من التحصيل)","OK")))))))))))</f>
        <v/>
      </c>
      <c r="M3615" s="64" t="n">
        <f aca="false">IF($A3615="",0,IFERROR(MATCH($A3615,Classes!$A$6:$A$420,0),0))</f>
        <v>0</v>
      </c>
      <c r="N3615" s="64" t="n">
        <f aca="false">IF($H3615="",0,IFERROR(MATCH($H3615,GradeList,0),0))</f>
        <v>0</v>
      </c>
      <c r="O3615" s="64" t="n">
        <f aca="false">IF(OR($I3615="",$I3615="NR"),0,IFERROR(MATCH($I3615,GradeList,0),0))</f>
        <v>0</v>
      </c>
      <c r="P3615" s="64" t="n">
        <f aca="false">IF(AND($M3615&gt;0,ISNUMBER(MATCH($F3615,Lists!$A$2:$A$5,0)),ISNUMBER(MATCH($G3615,Lists!$B$2:$B$7,0)),OR($H3615="",$N3615&gt;0),OR($I3615="",$I3615="NR",$O3615&gt;0),IF(ISNUMBER($J3615),AND($J3615&gt;=0,$J3615=INT($J3615)),FALSE())),$J3615,0)</f>
        <v>0</v>
      </c>
      <c r="Q3615" s="64" t="n">
        <f aca="false">IF(AND($P3615&gt;0,$O3615&gt;0),$P3615,0)</f>
        <v>0</v>
      </c>
      <c r="R3615" s="64" t="n">
        <f aca="false">IF(AND($Q3615&gt;0,$O3615&gt;=AtRank),$Q3615,0)</f>
        <v>0</v>
      </c>
      <c r="S3615" s="64" t="n">
        <f aca="false">IF(AND($Q3615&gt;0,$O3615&gt;=AboveRank),$Q3615,0)</f>
        <v>0</v>
      </c>
      <c r="T3615" s="64" t="n">
        <f aca="false">IF($K3615="Less",$P3615,0)</f>
        <v>0</v>
      </c>
      <c r="U3615" s="64" t="n">
        <f aca="false">IF($K3615="Expected",$P3615,0)</f>
        <v>0</v>
      </c>
      <c r="V3615" s="64" t="n">
        <f aca="false">IF($K3615="Better",$P3615,0)</f>
        <v>0</v>
      </c>
      <c r="W3615" s="64" t="n">
        <f aca="false">IF($K3615="U – needs rule",$P3615,0)</f>
        <v>0</v>
      </c>
      <c r="X3615" s="64" t="n">
        <f aca="false">IF($K3615="No Start (attainment only)",$P3615,0)</f>
        <v>0</v>
      </c>
    </row>
    <row r="3616" customFormat="false" ht="15" hidden="false" customHeight="false" outlineLevel="0" collapsed="false">
      <c r="A3616" s="60"/>
      <c r="B3616" s="61" t="str">
        <f aca="false">IF($M3616=0,"",INDEX(Classes!$E$6:$E$420,$M3616))</f>
        <v/>
      </c>
      <c r="C3616" s="62" t="str">
        <f aca="false">IF($M3616=0,"",INDEX(Classes!$H$6:$H$420,$M3616))</f>
        <v/>
      </c>
      <c r="D3616" s="61" t="str">
        <f aca="false">IF($M3616=0,"",INDEX(Classes!$B$6:$B$420,$M3616))</f>
        <v/>
      </c>
      <c r="E3616" s="61" t="str">
        <f aca="false">IF($M3616=0,"",INDEX(Classes!$C$6:$C$420,$M3616))</f>
        <v/>
      </c>
      <c r="F3616" s="63"/>
      <c r="G3616" s="63"/>
      <c r="H3616" s="60"/>
      <c r="I3616" s="60"/>
      <c r="J3616" s="63"/>
      <c r="K3616" s="61" t="str">
        <f aca="false">IF($P3616=0,"",IF($F3616="Baseline","— Baseline",IF($O3616=0,"No result",IF($N3616=0,"No Start (attainment only)",IF(OR($N3616=1,$O3616=1),"U – needs rule",INDEX(MxBody,MATCH($I3616,MxCurr,0),MATCH($H3616,MxStart,0)))))))</f>
        <v/>
      </c>
      <c r="L3616" s="62" t="str">
        <f aca="false">IF(COUNTA($A3616,$F3616,$G3616,$H3616,$I3616,$J3616)=0,"",IF($M3616=0,"✖ كود الصف غير موجود",IF(ISNA(MATCH($F3616,Lists!$A$2:$A$5,0)),"✖ الفترة غير صحيحة",IF(ISNA(MATCH($G3616,Lists!$B$2:$B$7,0)),"✖ المجموعة غير صحيحة",IF(NOT(OR($H3616="",$N3616&gt;0)),"✖ Start غير صحيح",IF(NOT(OR($I3616="",$I3616="NR",$O3616&gt;0)),"✖ Current غير صحيح",IF(NOT(IF(ISNUMBER($J3616),AND($J3616&gt;=0,$J3616=INT($J3616)),FALSE())),"✖ العدد يجب أن يكون صحيحًا ≥ 0",IF(AND($F3616="Baseline",$H3616&lt;&gt;""),"⚠ Baseline: Start لا يدخل في التقدم",IF($K3616="No Start (attainment only)","ℹ تحصيل فقط (بدون Start)",IF($K3616="U – needs rule","ℹ حالة U تحتاج قاعدة معتمدة",IF($K3616="No result","ℹ بدون نتيجة (يُستبعد من التحصيل)","OK")))))))))))</f>
        <v/>
      </c>
      <c r="M3616" s="64" t="n">
        <f aca="false">IF($A3616="",0,IFERROR(MATCH($A3616,Classes!$A$6:$A$420,0),0))</f>
        <v>0</v>
      </c>
      <c r="N3616" s="64" t="n">
        <f aca="false">IF($H3616="",0,IFERROR(MATCH($H3616,GradeList,0),0))</f>
        <v>0</v>
      </c>
      <c r="O3616" s="64" t="n">
        <f aca="false">IF(OR($I3616="",$I3616="NR"),0,IFERROR(MATCH($I3616,GradeList,0),0))</f>
        <v>0</v>
      </c>
      <c r="P3616" s="64" t="n">
        <f aca="false">IF(AND($M3616&gt;0,ISNUMBER(MATCH($F3616,Lists!$A$2:$A$5,0)),ISNUMBER(MATCH($G3616,Lists!$B$2:$B$7,0)),OR($H3616="",$N3616&gt;0),OR($I3616="",$I3616="NR",$O3616&gt;0),IF(ISNUMBER($J3616),AND($J3616&gt;=0,$J3616=INT($J3616)),FALSE())),$J3616,0)</f>
        <v>0</v>
      </c>
      <c r="Q3616" s="64" t="n">
        <f aca="false">IF(AND($P3616&gt;0,$O3616&gt;0),$P3616,0)</f>
        <v>0</v>
      </c>
      <c r="R3616" s="64" t="n">
        <f aca="false">IF(AND($Q3616&gt;0,$O3616&gt;=AtRank),$Q3616,0)</f>
        <v>0</v>
      </c>
      <c r="S3616" s="64" t="n">
        <f aca="false">IF(AND($Q3616&gt;0,$O3616&gt;=AboveRank),$Q3616,0)</f>
        <v>0</v>
      </c>
      <c r="T3616" s="64" t="n">
        <f aca="false">IF($K3616="Less",$P3616,0)</f>
        <v>0</v>
      </c>
      <c r="U3616" s="64" t="n">
        <f aca="false">IF($K3616="Expected",$P3616,0)</f>
        <v>0</v>
      </c>
      <c r="V3616" s="64" t="n">
        <f aca="false">IF($K3616="Better",$P3616,0)</f>
        <v>0</v>
      </c>
      <c r="W3616" s="64" t="n">
        <f aca="false">IF($K3616="U – needs rule",$P3616,0)</f>
        <v>0</v>
      </c>
      <c r="X3616" s="64" t="n">
        <f aca="false">IF($K3616="No Start (attainment only)",$P3616,0)</f>
        <v>0</v>
      </c>
    </row>
    <row r="3617" customFormat="false" ht="15" hidden="false" customHeight="false" outlineLevel="0" collapsed="false">
      <c r="A3617" s="60"/>
      <c r="B3617" s="61" t="str">
        <f aca="false">IF($M3617=0,"",INDEX(Classes!$E$6:$E$420,$M3617))</f>
        <v/>
      </c>
      <c r="C3617" s="62" t="str">
        <f aca="false">IF($M3617=0,"",INDEX(Classes!$H$6:$H$420,$M3617))</f>
        <v/>
      </c>
      <c r="D3617" s="61" t="str">
        <f aca="false">IF($M3617=0,"",INDEX(Classes!$B$6:$B$420,$M3617))</f>
        <v/>
      </c>
      <c r="E3617" s="61" t="str">
        <f aca="false">IF($M3617=0,"",INDEX(Classes!$C$6:$C$420,$M3617))</f>
        <v/>
      </c>
      <c r="F3617" s="63"/>
      <c r="G3617" s="63"/>
      <c r="H3617" s="60"/>
      <c r="I3617" s="60"/>
      <c r="J3617" s="63"/>
      <c r="K3617" s="61" t="str">
        <f aca="false">IF($P3617=0,"",IF($F3617="Baseline","— Baseline",IF($O3617=0,"No result",IF($N3617=0,"No Start (attainment only)",IF(OR($N3617=1,$O3617=1),"U – needs rule",INDEX(MxBody,MATCH($I3617,MxCurr,0),MATCH($H3617,MxStart,0)))))))</f>
        <v/>
      </c>
      <c r="L3617" s="62" t="str">
        <f aca="false">IF(COUNTA($A3617,$F3617,$G3617,$H3617,$I3617,$J3617)=0,"",IF($M3617=0,"✖ كود الصف غير موجود",IF(ISNA(MATCH($F3617,Lists!$A$2:$A$5,0)),"✖ الفترة غير صحيحة",IF(ISNA(MATCH($G3617,Lists!$B$2:$B$7,0)),"✖ المجموعة غير صحيحة",IF(NOT(OR($H3617="",$N3617&gt;0)),"✖ Start غير صحيح",IF(NOT(OR($I3617="",$I3617="NR",$O3617&gt;0)),"✖ Current غير صحيح",IF(NOT(IF(ISNUMBER($J3617),AND($J3617&gt;=0,$J3617=INT($J3617)),FALSE())),"✖ العدد يجب أن يكون صحيحًا ≥ 0",IF(AND($F3617="Baseline",$H3617&lt;&gt;""),"⚠ Baseline: Start لا يدخل في التقدم",IF($K3617="No Start (attainment only)","ℹ تحصيل فقط (بدون Start)",IF($K3617="U – needs rule","ℹ حالة U تحتاج قاعدة معتمدة",IF($K3617="No result","ℹ بدون نتيجة (يُستبعد من التحصيل)","OK")))))))))))</f>
        <v/>
      </c>
      <c r="M3617" s="64" t="n">
        <f aca="false">IF($A3617="",0,IFERROR(MATCH($A3617,Classes!$A$6:$A$420,0),0))</f>
        <v>0</v>
      </c>
      <c r="N3617" s="64" t="n">
        <f aca="false">IF($H3617="",0,IFERROR(MATCH($H3617,GradeList,0),0))</f>
        <v>0</v>
      </c>
      <c r="O3617" s="64" t="n">
        <f aca="false">IF(OR($I3617="",$I3617="NR"),0,IFERROR(MATCH($I3617,GradeList,0),0))</f>
        <v>0</v>
      </c>
      <c r="P3617" s="64" t="n">
        <f aca="false">IF(AND($M3617&gt;0,ISNUMBER(MATCH($F3617,Lists!$A$2:$A$5,0)),ISNUMBER(MATCH($G3617,Lists!$B$2:$B$7,0)),OR($H3617="",$N3617&gt;0),OR($I3617="",$I3617="NR",$O3617&gt;0),IF(ISNUMBER($J3617),AND($J3617&gt;=0,$J3617=INT($J3617)),FALSE())),$J3617,0)</f>
        <v>0</v>
      </c>
      <c r="Q3617" s="64" t="n">
        <f aca="false">IF(AND($P3617&gt;0,$O3617&gt;0),$P3617,0)</f>
        <v>0</v>
      </c>
      <c r="R3617" s="64" t="n">
        <f aca="false">IF(AND($Q3617&gt;0,$O3617&gt;=AtRank),$Q3617,0)</f>
        <v>0</v>
      </c>
      <c r="S3617" s="64" t="n">
        <f aca="false">IF(AND($Q3617&gt;0,$O3617&gt;=AboveRank),$Q3617,0)</f>
        <v>0</v>
      </c>
      <c r="T3617" s="64" t="n">
        <f aca="false">IF($K3617="Less",$P3617,0)</f>
        <v>0</v>
      </c>
      <c r="U3617" s="64" t="n">
        <f aca="false">IF($K3617="Expected",$P3617,0)</f>
        <v>0</v>
      </c>
      <c r="V3617" s="64" t="n">
        <f aca="false">IF($K3617="Better",$P3617,0)</f>
        <v>0</v>
      </c>
      <c r="W3617" s="64" t="n">
        <f aca="false">IF($K3617="U – needs rule",$P3617,0)</f>
        <v>0</v>
      </c>
      <c r="X3617" s="64" t="n">
        <f aca="false">IF($K3617="No Start (attainment only)",$P3617,0)</f>
        <v>0</v>
      </c>
    </row>
    <row r="3618" customFormat="false" ht="15" hidden="false" customHeight="false" outlineLevel="0" collapsed="false">
      <c r="A3618" s="60"/>
      <c r="B3618" s="61" t="str">
        <f aca="false">IF($M3618=0,"",INDEX(Classes!$E$6:$E$420,$M3618))</f>
        <v/>
      </c>
      <c r="C3618" s="62" t="str">
        <f aca="false">IF($M3618=0,"",INDEX(Classes!$H$6:$H$420,$M3618))</f>
        <v/>
      </c>
      <c r="D3618" s="61" t="str">
        <f aca="false">IF($M3618=0,"",INDEX(Classes!$B$6:$B$420,$M3618))</f>
        <v/>
      </c>
      <c r="E3618" s="61" t="str">
        <f aca="false">IF($M3618=0,"",INDEX(Classes!$C$6:$C$420,$M3618))</f>
        <v/>
      </c>
      <c r="F3618" s="63"/>
      <c r="G3618" s="63"/>
      <c r="H3618" s="60"/>
      <c r="I3618" s="60"/>
      <c r="J3618" s="63"/>
      <c r="K3618" s="61" t="str">
        <f aca="false">IF($P3618=0,"",IF($F3618="Baseline","— Baseline",IF($O3618=0,"No result",IF($N3618=0,"No Start (attainment only)",IF(OR($N3618=1,$O3618=1),"U – needs rule",INDEX(MxBody,MATCH($I3618,MxCurr,0),MATCH($H3618,MxStart,0)))))))</f>
        <v/>
      </c>
      <c r="L3618" s="62" t="str">
        <f aca="false">IF(COUNTA($A3618,$F3618,$G3618,$H3618,$I3618,$J3618)=0,"",IF($M3618=0,"✖ كود الصف غير موجود",IF(ISNA(MATCH($F3618,Lists!$A$2:$A$5,0)),"✖ الفترة غير صحيحة",IF(ISNA(MATCH($G3618,Lists!$B$2:$B$7,0)),"✖ المجموعة غير صحيحة",IF(NOT(OR($H3618="",$N3618&gt;0)),"✖ Start غير صحيح",IF(NOT(OR($I3618="",$I3618="NR",$O3618&gt;0)),"✖ Current غير صحيح",IF(NOT(IF(ISNUMBER($J3618),AND($J3618&gt;=0,$J3618=INT($J3618)),FALSE())),"✖ العدد يجب أن يكون صحيحًا ≥ 0",IF(AND($F3618="Baseline",$H3618&lt;&gt;""),"⚠ Baseline: Start لا يدخل في التقدم",IF($K3618="No Start (attainment only)","ℹ تحصيل فقط (بدون Start)",IF($K3618="U – needs rule","ℹ حالة U تحتاج قاعدة معتمدة",IF($K3618="No result","ℹ بدون نتيجة (يُستبعد من التحصيل)","OK")))))))))))</f>
        <v/>
      </c>
      <c r="M3618" s="64" t="n">
        <f aca="false">IF($A3618="",0,IFERROR(MATCH($A3618,Classes!$A$6:$A$420,0),0))</f>
        <v>0</v>
      </c>
      <c r="N3618" s="64" t="n">
        <f aca="false">IF($H3618="",0,IFERROR(MATCH($H3618,GradeList,0),0))</f>
        <v>0</v>
      </c>
      <c r="O3618" s="64" t="n">
        <f aca="false">IF(OR($I3618="",$I3618="NR"),0,IFERROR(MATCH($I3618,GradeList,0),0))</f>
        <v>0</v>
      </c>
      <c r="P3618" s="64" t="n">
        <f aca="false">IF(AND($M3618&gt;0,ISNUMBER(MATCH($F3618,Lists!$A$2:$A$5,0)),ISNUMBER(MATCH($G3618,Lists!$B$2:$B$7,0)),OR($H3618="",$N3618&gt;0),OR($I3618="",$I3618="NR",$O3618&gt;0),IF(ISNUMBER($J3618),AND($J3618&gt;=0,$J3618=INT($J3618)),FALSE())),$J3618,0)</f>
        <v>0</v>
      </c>
      <c r="Q3618" s="64" t="n">
        <f aca="false">IF(AND($P3618&gt;0,$O3618&gt;0),$P3618,0)</f>
        <v>0</v>
      </c>
      <c r="R3618" s="64" t="n">
        <f aca="false">IF(AND($Q3618&gt;0,$O3618&gt;=AtRank),$Q3618,0)</f>
        <v>0</v>
      </c>
      <c r="S3618" s="64" t="n">
        <f aca="false">IF(AND($Q3618&gt;0,$O3618&gt;=AboveRank),$Q3618,0)</f>
        <v>0</v>
      </c>
      <c r="T3618" s="64" t="n">
        <f aca="false">IF($K3618="Less",$P3618,0)</f>
        <v>0</v>
      </c>
      <c r="U3618" s="64" t="n">
        <f aca="false">IF($K3618="Expected",$P3618,0)</f>
        <v>0</v>
      </c>
      <c r="V3618" s="64" t="n">
        <f aca="false">IF($K3618="Better",$P3618,0)</f>
        <v>0</v>
      </c>
      <c r="W3618" s="64" t="n">
        <f aca="false">IF($K3618="U – needs rule",$P3618,0)</f>
        <v>0</v>
      </c>
      <c r="X3618" s="64" t="n">
        <f aca="false">IF($K3618="No Start (attainment only)",$P3618,0)</f>
        <v>0</v>
      </c>
    </row>
    <row r="3619" customFormat="false" ht="15" hidden="false" customHeight="false" outlineLevel="0" collapsed="false">
      <c r="A3619" s="60"/>
      <c r="B3619" s="61" t="str">
        <f aca="false">IF($M3619=0,"",INDEX(Classes!$E$6:$E$420,$M3619))</f>
        <v/>
      </c>
      <c r="C3619" s="62" t="str">
        <f aca="false">IF($M3619=0,"",INDEX(Classes!$H$6:$H$420,$M3619))</f>
        <v/>
      </c>
      <c r="D3619" s="61" t="str">
        <f aca="false">IF($M3619=0,"",INDEX(Classes!$B$6:$B$420,$M3619))</f>
        <v/>
      </c>
      <c r="E3619" s="61" t="str">
        <f aca="false">IF($M3619=0,"",INDEX(Classes!$C$6:$C$420,$M3619))</f>
        <v/>
      </c>
      <c r="F3619" s="63"/>
      <c r="G3619" s="63"/>
      <c r="H3619" s="60"/>
      <c r="I3619" s="60"/>
      <c r="J3619" s="63"/>
      <c r="K3619" s="61" t="str">
        <f aca="false">IF($P3619=0,"",IF($F3619="Baseline","— Baseline",IF($O3619=0,"No result",IF($N3619=0,"No Start (attainment only)",IF(OR($N3619=1,$O3619=1),"U – needs rule",INDEX(MxBody,MATCH($I3619,MxCurr,0),MATCH($H3619,MxStart,0)))))))</f>
        <v/>
      </c>
      <c r="L3619" s="62" t="str">
        <f aca="false">IF(COUNTA($A3619,$F3619,$G3619,$H3619,$I3619,$J3619)=0,"",IF($M3619=0,"✖ كود الصف غير موجود",IF(ISNA(MATCH($F3619,Lists!$A$2:$A$5,0)),"✖ الفترة غير صحيحة",IF(ISNA(MATCH($G3619,Lists!$B$2:$B$7,0)),"✖ المجموعة غير صحيحة",IF(NOT(OR($H3619="",$N3619&gt;0)),"✖ Start غير صحيح",IF(NOT(OR($I3619="",$I3619="NR",$O3619&gt;0)),"✖ Current غير صحيح",IF(NOT(IF(ISNUMBER($J3619),AND($J3619&gt;=0,$J3619=INT($J3619)),FALSE())),"✖ العدد يجب أن يكون صحيحًا ≥ 0",IF(AND($F3619="Baseline",$H3619&lt;&gt;""),"⚠ Baseline: Start لا يدخل في التقدم",IF($K3619="No Start (attainment only)","ℹ تحصيل فقط (بدون Start)",IF($K3619="U – needs rule","ℹ حالة U تحتاج قاعدة معتمدة",IF($K3619="No result","ℹ بدون نتيجة (يُستبعد من التحصيل)","OK")))))))))))</f>
        <v/>
      </c>
      <c r="M3619" s="64" t="n">
        <f aca="false">IF($A3619="",0,IFERROR(MATCH($A3619,Classes!$A$6:$A$420,0),0))</f>
        <v>0</v>
      </c>
      <c r="N3619" s="64" t="n">
        <f aca="false">IF($H3619="",0,IFERROR(MATCH($H3619,GradeList,0),0))</f>
        <v>0</v>
      </c>
      <c r="O3619" s="64" t="n">
        <f aca="false">IF(OR($I3619="",$I3619="NR"),0,IFERROR(MATCH($I3619,GradeList,0),0))</f>
        <v>0</v>
      </c>
      <c r="P3619" s="64" t="n">
        <f aca="false">IF(AND($M3619&gt;0,ISNUMBER(MATCH($F3619,Lists!$A$2:$A$5,0)),ISNUMBER(MATCH($G3619,Lists!$B$2:$B$7,0)),OR($H3619="",$N3619&gt;0),OR($I3619="",$I3619="NR",$O3619&gt;0),IF(ISNUMBER($J3619),AND($J3619&gt;=0,$J3619=INT($J3619)),FALSE())),$J3619,0)</f>
        <v>0</v>
      </c>
      <c r="Q3619" s="64" t="n">
        <f aca="false">IF(AND($P3619&gt;0,$O3619&gt;0),$P3619,0)</f>
        <v>0</v>
      </c>
      <c r="R3619" s="64" t="n">
        <f aca="false">IF(AND($Q3619&gt;0,$O3619&gt;=AtRank),$Q3619,0)</f>
        <v>0</v>
      </c>
      <c r="S3619" s="64" t="n">
        <f aca="false">IF(AND($Q3619&gt;0,$O3619&gt;=AboveRank),$Q3619,0)</f>
        <v>0</v>
      </c>
      <c r="T3619" s="64" t="n">
        <f aca="false">IF($K3619="Less",$P3619,0)</f>
        <v>0</v>
      </c>
      <c r="U3619" s="64" t="n">
        <f aca="false">IF($K3619="Expected",$P3619,0)</f>
        <v>0</v>
      </c>
      <c r="V3619" s="64" t="n">
        <f aca="false">IF($K3619="Better",$P3619,0)</f>
        <v>0</v>
      </c>
      <c r="W3619" s="64" t="n">
        <f aca="false">IF($K3619="U – needs rule",$P3619,0)</f>
        <v>0</v>
      </c>
      <c r="X3619" s="64" t="n">
        <f aca="false">IF($K3619="No Start (attainment only)",$P3619,0)</f>
        <v>0</v>
      </c>
    </row>
    <row r="3620" customFormat="false" ht="15" hidden="false" customHeight="false" outlineLevel="0" collapsed="false">
      <c r="A3620" s="60"/>
      <c r="B3620" s="61" t="str">
        <f aca="false">IF($M3620=0,"",INDEX(Classes!$E$6:$E$420,$M3620))</f>
        <v/>
      </c>
      <c r="C3620" s="62" t="str">
        <f aca="false">IF($M3620=0,"",INDEX(Classes!$H$6:$H$420,$M3620))</f>
        <v/>
      </c>
      <c r="D3620" s="61" t="str">
        <f aca="false">IF($M3620=0,"",INDEX(Classes!$B$6:$B$420,$M3620))</f>
        <v/>
      </c>
      <c r="E3620" s="61" t="str">
        <f aca="false">IF($M3620=0,"",INDEX(Classes!$C$6:$C$420,$M3620))</f>
        <v/>
      </c>
      <c r="F3620" s="63"/>
      <c r="G3620" s="63"/>
      <c r="H3620" s="60"/>
      <c r="I3620" s="60"/>
      <c r="J3620" s="63"/>
      <c r="K3620" s="61" t="str">
        <f aca="false">IF($P3620=0,"",IF($F3620="Baseline","— Baseline",IF($O3620=0,"No result",IF($N3620=0,"No Start (attainment only)",IF(OR($N3620=1,$O3620=1),"U – needs rule",INDEX(MxBody,MATCH($I3620,MxCurr,0),MATCH($H3620,MxStart,0)))))))</f>
        <v/>
      </c>
      <c r="L3620" s="62" t="str">
        <f aca="false">IF(COUNTA($A3620,$F3620,$G3620,$H3620,$I3620,$J3620)=0,"",IF($M3620=0,"✖ كود الصف غير موجود",IF(ISNA(MATCH($F3620,Lists!$A$2:$A$5,0)),"✖ الفترة غير صحيحة",IF(ISNA(MATCH($G3620,Lists!$B$2:$B$7,0)),"✖ المجموعة غير صحيحة",IF(NOT(OR($H3620="",$N3620&gt;0)),"✖ Start غير صحيح",IF(NOT(OR($I3620="",$I3620="NR",$O3620&gt;0)),"✖ Current غير صحيح",IF(NOT(IF(ISNUMBER($J3620),AND($J3620&gt;=0,$J3620=INT($J3620)),FALSE())),"✖ العدد يجب أن يكون صحيحًا ≥ 0",IF(AND($F3620="Baseline",$H3620&lt;&gt;""),"⚠ Baseline: Start لا يدخل في التقدم",IF($K3620="No Start (attainment only)","ℹ تحصيل فقط (بدون Start)",IF($K3620="U – needs rule","ℹ حالة U تحتاج قاعدة معتمدة",IF($K3620="No result","ℹ بدون نتيجة (يُستبعد من التحصيل)","OK")))))))))))</f>
        <v/>
      </c>
      <c r="M3620" s="64" t="n">
        <f aca="false">IF($A3620="",0,IFERROR(MATCH($A3620,Classes!$A$6:$A$420,0),0))</f>
        <v>0</v>
      </c>
      <c r="N3620" s="64" t="n">
        <f aca="false">IF($H3620="",0,IFERROR(MATCH($H3620,GradeList,0),0))</f>
        <v>0</v>
      </c>
      <c r="O3620" s="64" t="n">
        <f aca="false">IF(OR($I3620="",$I3620="NR"),0,IFERROR(MATCH($I3620,GradeList,0),0))</f>
        <v>0</v>
      </c>
      <c r="P3620" s="64" t="n">
        <f aca="false">IF(AND($M3620&gt;0,ISNUMBER(MATCH($F3620,Lists!$A$2:$A$5,0)),ISNUMBER(MATCH($G3620,Lists!$B$2:$B$7,0)),OR($H3620="",$N3620&gt;0),OR($I3620="",$I3620="NR",$O3620&gt;0),IF(ISNUMBER($J3620),AND($J3620&gt;=0,$J3620=INT($J3620)),FALSE())),$J3620,0)</f>
        <v>0</v>
      </c>
      <c r="Q3620" s="64" t="n">
        <f aca="false">IF(AND($P3620&gt;0,$O3620&gt;0),$P3620,0)</f>
        <v>0</v>
      </c>
      <c r="R3620" s="64" t="n">
        <f aca="false">IF(AND($Q3620&gt;0,$O3620&gt;=AtRank),$Q3620,0)</f>
        <v>0</v>
      </c>
      <c r="S3620" s="64" t="n">
        <f aca="false">IF(AND($Q3620&gt;0,$O3620&gt;=AboveRank),$Q3620,0)</f>
        <v>0</v>
      </c>
      <c r="T3620" s="64" t="n">
        <f aca="false">IF($K3620="Less",$P3620,0)</f>
        <v>0</v>
      </c>
      <c r="U3620" s="64" t="n">
        <f aca="false">IF($K3620="Expected",$P3620,0)</f>
        <v>0</v>
      </c>
      <c r="V3620" s="64" t="n">
        <f aca="false">IF($K3620="Better",$P3620,0)</f>
        <v>0</v>
      </c>
      <c r="W3620" s="64" t="n">
        <f aca="false">IF($K3620="U – needs rule",$P3620,0)</f>
        <v>0</v>
      </c>
      <c r="X3620" s="64" t="n">
        <f aca="false">IF($K3620="No Start (attainment only)",$P3620,0)</f>
        <v>0</v>
      </c>
    </row>
    <row r="3621" customFormat="false" ht="15" hidden="false" customHeight="false" outlineLevel="0" collapsed="false">
      <c r="A3621" s="60"/>
      <c r="B3621" s="61" t="str">
        <f aca="false">IF($M3621=0,"",INDEX(Classes!$E$6:$E$420,$M3621))</f>
        <v/>
      </c>
      <c r="C3621" s="62" t="str">
        <f aca="false">IF($M3621=0,"",INDEX(Classes!$H$6:$H$420,$M3621))</f>
        <v/>
      </c>
      <c r="D3621" s="61" t="str">
        <f aca="false">IF($M3621=0,"",INDEX(Classes!$B$6:$B$420,$M3621))</f>
        <v/>
      </c>
      <c r="E3621" s="61" t="str">
        <f aca="false">IF($M3621=0,"",INDEX(Classes!$C$6:$C$420,$M3621))</f>
        <v/>
      </c>
      <c r="F3621" s="63"/>
      <c r="G3621" s="63"/>
      <c r="H3621" s="60"/>
      <c r="I3621" s="60"/>
      <c r="J3621" s="63"/>
      <c r="K3621" s="61" t="str">
        <f aca="false">IF($P3621=0,"",IF($F3621="Baseline","— Baseline",IF($O3621=0,"No result",IF($N3621=0,"No Start (attainment only)",IF(OR($N3621=1,$O3621=1),"U – needs rule",INDEX(MxBody,MATCH($I3621,MxCurr,0),MATCH($H3621,MxStart,0)))))))</f>
        <v/>
      </c>
      <c r="L3621" s="62" t="str">
        <f aca="false">IF(COUNTA($A3621,$F3621,$G3621,$H3621,$I3621,$J3621)=0,"",IF($M3621=0,"✖ كود الصف غير موجود",IF(ISNA(MATCH($F3621,Lists!$A$2:$A$5,0)),"✖ الفترة غير صحيحة",IF(ISNA(MATCH($G3621,Lists!$B$2:$B$7,0)),"✖ المجموعة غير صحيحة",IF(NOT(OR($H3621="",$N3621&gt;0)),"✖ Start غير صحيح",IF(NOT(OR($I3621="",$I3621="NR",$O3621&gt;0)),"✖ Current غير صحيح",IF(NOT(IF(ISNUMBER($J3621),AND($J3621&gt;=0,$J3621=INT($J3621)),FALSE())),"✖ العدد يجب أن يكون صحيحًا ≥ 0",IF(AND($F3621="Baseline",$H3621&lt;&gt;""),"⚠ Baseline: Start لا يدخل في التقدم",IF($K3621="No Start (attainment only)","ℹ تحصيل فقط (بدون Start)",IF($K3621="U – needs rule","ℹ حالة U تحتاج قاعدة معتمدة",IF($K3621="No result","ℹ بدون نتيجة (يُستبعد من التحصيل)","OK")))))))))))</f>
        <v/>
      </c>
      <c r="M3621" s="64" t="n">
        <f aca="false">IF($A3621="",0,IFERROR(MATCH($A3621,Classes!$A$6:$A$420,0),0))</f>
        <v>0</v>
      </c>
      <c r="N3621" s="64" t="n">
        <f aca="false">IF($H3621="",0,IFERROR(MATCH($H3621,GradeList,0),0))</f>
        <v>0</v>
      </c>
      <c r="O3621" s="64" t="n">
        <f aca="false">IF(OR($I3621="",$I3621="NR"),0,IFERROR(MATCH($I3621,GradeList,0),0))</f>
        <v>0</v>
      </c>
      <c r="P3621" s="64" t="n">
        <f aca="false">IF(AND($M3621&gt;0,ISNUMBER(MATCH($F3621,Lists!$A$2:$A$5,0)),ISNUMBER(MATCH($G3621,Lists!$B$2:$B$7,0)),OR($H3621="",$N3621&gt;0),OR($I3621="",$I3621="NR",$O3621&gt;0),IF(ISNUMBER($J3621),AND($J3621&gt;=0,$J3621=INT($J3621)),FALSE())),$J3621,0)</f>
        <v>0</v>
      </c>
      <c r="Q3621" s="64" t="n">
        <f aca="false">IF(AND($P3621&gt;0,$O3621&gt;0),$P3621,0)</f>
        <v>0</v>
      </c>
      <c r="R3621" s="64" t="n">
        <f aca="false">IF(AND($Q3621&gt;0,$O3621&gt;=AtRank),$Q3621,0)</f>
        <v>0</v>
      </c>
      <c r="S3621" s="64" t="n">
        <f aca="false">IF(AND($Q3621&gt;0,$O3621&gt;=AboveRank),$Q3621,0)</f>
        <v>0</v>
      </c>
      <c r="T3621" s="64" t="n">
        <f aca="false">IF($K3621="Less",$P3621,0)</f>
        <v>0</v>
      </c>
      <c r="U3621" s="64" t="n">
        <f aca="false">IF($K3621="Expected",$P3621,0)</f>
        <v>0</v>
      </c>
      <c r="V3621" s="64" t="n">
        <f aca="false">IF($K3621="Better",$P3621,0)</f>
        <v>0</v>
      </c>
      <c r="W3621" s="64" t="n">
        <f aca="false">IF($K3621="U – needs rule",$P3621,0)</f>
        <v>0</v>
      </c>
      <c r="X3621" s="64" t="n">
        <f aca="false">IF($K3621="No Start (attainment only)",$P3621,0)</f>
        <v>0</v>
      </c>
    </row>
    <row r="3622" customFormat="false" ht="15" hidden="false" customHeight="false" outlineLevel="0" collapsed="false">
      <c r="A3622" s="60"/>
      <c r="B3622" s="61" t="str">
        <f aca="false">IF($M3622=0,"",INDEX(Classes!$E$6:$E$420,$M3622))</f>
        <v/>
      </c>
      <c r="C3622" s="62" t="str">
        <f aca="false">IF($M3622=0,"",INDEX(Classes!$H$6:$H$420,$M3622))</f>
        <v/>
      </c>
      <c r="D3622" s="61" t="str">
        <f aca="false">IF($M3622=0,"",INDEX(Classes!$B$6:$B$420,$M3622))</f>
        <v/>
      </c>
      <c r="E3622" s="61" t="str">
        <f aca="false">IF($M3622=0,"",INDEX(Classes!$C$6:$C$420,$M3622))</f>
        <v/>
      </c>
      <c r="F3622" s="63"/>
      <c r="G3622" s="63"/>
      <c r="H3622" s="60"/>
      <c r="I3622" s="60"/>
      <c r="J3622" s="63"/>
      <c r="K3622" s="61" t="str">
        <f aca="false">IF($P3622=0,"",IF($F3622="Baseline","— Baseline",IF($O3622=0,"No result",IF($N3622=0,"No Start (attainment only)",IF(OR($N3622=1,$O3622=1),"U – needs rule",INDEX(MxBody,MATCH($I3622,MxCurr,0),MATCH($H3622,MxStart,0)))))))</f>
        <v/>
      </c>
      <c r="L3622" s="62" t="str">
        <f aca="false">IF(COUNTA($A3622,$F3622,$G3622,$H3622,$I3622,$J3622)=0,"",IF($M3622=0,"✖ كود الصف غير موجود",IF(ISNA(MATCH($F3622,Lists!$A$2:$A$5,0)),"✖ الفترة غير صحيحة",IF(ISNA(MATCH($G3622,Lists!$B$2:$B$7,0)),"✖ المجموعة غير صحيحة",IF(NOT(OR($H3622="",$N3622&gt;0)),"✖ Start غير صحيح",IF(NOT(OR($I3622="",$I3622="NR",$O3622&gt;0)),"✖ Current غير صحيح",IF(NOT(IF(ISNUMBER($J3622),AND($J3622&gt;=0,$J3622=INT($J3622)),FALSE())),"✖ العدد يجب أن يكون صحيحًا ≥ 0",IF(AND($F3622="Baseline",$H3622&lt;&gt;""),"⚠ Baseline: Start لا يدخل في التقدم",IF($K3622="No Start (attainment only)","ℹ تحصيل فقط (بدون Start)",IF($K3622="U – needs rule","ℹ حالة U تحتاج قاعدة معتمدة",IF($K3622="No result","ℹ بدون نتيجة (يُستبعد من التحصيل)","OK")))))))))))</f>
        <v/>
      </c>
      <c r="M3622" s="64" t="n">
        <f aca="false">IF($A3622="",0,IFERROR(MATCH($A3622,Classes!$A$6:$A$420,0),0))</f>
        <v>0</v>
      </c>
      <c r="N3622" s="64" t="n">
        <f aca="false">IF($H3622="",0,IFERROR(MATCH($H3622,GradeList,0),0))</f>
        <v>0</v>
      </c>
      <c r="O3622" s="64" t="n">
        <f aca="false">IF(OR($I3622="",$I3622="NR"),0,IFERROR(MATCH($I3622,GradeList,0),0))</f>
        <v>0</v>
      </c>
      <c r="P3622" s="64" t="n">
        <f aca="false">IF(AND($M3622&gt;0,ISNUMBER(MATCH($F3622,Lists!$A$2:$A$5,0)),ISNUMBER(MATCH($G3622,Lists!$B$2:$B$7,0)),OR($H3622="",$N3622&gt;0),OR($I3622="",$I3622="NR",$O3622&gt;0),IF(ISNUMBER($J3622),AND($J3622&gt;=0,$J3622=INT($J3622)),FALSE())),$J3622,0)</f>
        <v>0</v>
      </c>
      <c r="Q3622" s="64" t="n">
        <f aca="false">IF(AND($P3622&gt;0,$O3622&gt;0),$P3622,0)</f>
        <v>0</v>
      </c>
      <c r="R3622" s="64" t="n">
        <f aca="false">IF(AND($Q3622&gt;0,$O3622&gt;=AtRank),$Q3622,0)</f>
        <v>0</v>
      </c>
      <c r="S3622" s="64" t="n">
        <f aca="false">IF(AND($Q3622&gt;0,$O3622&gt;=AboveRank),$Q3622,0)</f>
        <v>0</v>
      </c>
      <c r="T3622" s="64" t="n">
        <f aca="false">IF($K3622="Less",$P3622,0)</f>
        <v>0</v>
      </c>
      <c r="U3622" s="64" t="n">
        <f aca="false">IF($K3622="Expected",$P3622,0)</f>
        <v>0</v>
      </c>
      <c r="V3622" s="64" t="n">
        <f aca="false">IF($K3622="Better",$P3622,0)</f>
        <v>0</v>
      </c>
      <c r="W3622" s="64" t="n">
        <f aca="false">IF($K3622="U – needs rule",$P3622,0)</f>
        <v>0</v>
      </c>
      <c r="X3622" s="64" t="n">
        <f aca="false">IF($K3622="No Start (attainment only)",$P3622,0)</f>
        <v>0</v>
      </c>
    </row>
    <row r="3623" customFormat="false" ht="15" hidden="false" customHeight="false" outlineLevel="0" collapsed="false">
      <c r="A3623" s="60"/>
      <c r="B3623" s="61" t="str">
        <f aca="false">IF($M3623=0,"",INDEX(Classes!$E$6:$E$420,$M3623))</f>
        <v/>
      </c>
      <c r="C3623" s="62" t="str">
        <f aca="false">IF($M3623=0,"",INDEX(Classes!$H$6:$H$420,$M3623))</f>
        <v/>
      </c>
      <c r="D3623" s="61" t="str">
        <f aca="false">IF($M3623=0,"",INDEX(Classes!$B$6:$B$420,$M3623))</f>
        <v/>
      </c>
      <c r="E3623" s="61" t="str">
        <f aca="false">IF($M3623=0,"",INDEX(Classes!$C$6:$C$420,$M3623))</f>
        <v/>
      </c>
      <c r="F3623" s="63"/>
      <c r="G3623" s="63"/>
      <c r="H3623" s="60"/>
      <c r="I3623" s="60"/>
      <c r="J3623" s="63"/>
      <c r="K3623" s="61" t="str">
        <f aca="false">IF($P3623=0,"",IF($F3623="Baseline","— Baseline",IF($O3623=0,"No result",IF($N3623=0,"No Start (attainment only)",IF(OR($N3623=1,$O3623=1),"U – needs rule",INDEX(MxBody,MATCH($I3623,MxCurr,0),MATCH($H3623,MxStart,0)))))))</f>
        <v/>
      </c>
      <c r="L3623" s="62" t="str">
        <f aca="false">IF(COUNTA($A3623,$F3623,$G3623,$H3623,$I3623,$J3623)=0,"",IF($M3623=0,"✖ كود الصف غير موجود",IF(ISNA(MATCH($F3623,Lists!$A$2:$A$5,0)),"✖ الفترة غير صحيحة",IF(ISNA(MATCH($G3623,Lists!$B$2:$B$7,0)),"✖ المجموعة غير صحيحة",IF(NOT(OR($H3623="",$N3623&gt;0)),"✖ Start غير صحيح",IF(NOT(OR($I3623="",$I3623="NR",$O3623&gt;0)),"✖ Current غير صحيح",IF(NOT(IF(ISNUMBER($J3623),AND($J3623&gt;=0,$J3623=INT($J3623)),FALSE())),"✖ العدد يجب أن يكون صحيحًا ≥ 0",IF(AND($F3623="Baseline",$H3623&lt;&gt;""),"⚠ Baseline: Start لا يدخل في التقدم",IF($K3623="No Start (attainment only)","ℹ تحصيل فقط (بدون Start)",IF($K3623="U – needs rule","ℹ حالة U تحتاج قاعدة معتمدة",IF($K3623="No result","ℹ بدون نتيجة (يُستبعد من التحصيل)","OK")))))))))))</f>
        <v/>
      </c>
      <c r="M3623" s="64" t="n">
        <f aca="false">IF($A3623="",0,IFERROR(MATCH($A3623,Classes!$A$6:$A$420,0),0))</f>
        <v>0</v>
      </c>
      <c r="N3623" s="64" t="n">
        <f aca="false">IF($H3623="",0,IFERROR(MATCH($H3623,GradeList,0),0))</f>
        <v>0</v>
      </c>
      <c r="O3623" s="64" t="n">
        <f aca="false">IF(OR($I3623="",$I3623="NR"),0,IFERROR(MATCH($I3623,GradeList,0),0))</f>
        <v>0</v>
      </c>
      <c r="P3623" s="64" t="n">
        <f aca="false">IF(AND($M3623&gt;0,ISNUMBER(MATCH($F3623,Lists!$A$2:$A$5,0)),ISNUMBER(MATCH($G3623,Lists!$B$2:$B$7,0)),OR($H3623="",$N3623&gt;0),OR($I3623="",$I3623="NR",$O3623&gt;0),IF(ISNUMBER($J3623),AND($J3623&gt;=0,$J3623=INT($J3623)),FALSE())),$J3623,0)</f>
        <v>0</v>
      </c>
      <c r="Q3623" s="64" t="n">
        <f aca="false">IF(AND($P3623&gt;0,$O3623&gt;0),$P3623,0)</f>
        <v>0</v>
      </c>
      <c r="R3623" s="64" t="n">
        <f aca="false">IF(AND($Q3623&gt;0,$O3623&gt;=AtRank),$Q3623,0)</f>
        <v>0</v>
      </c>
      <c r="S3623" s="64" t="n">
        <f aca="false">IF(AND($Q3623&gt;0,$O3623&gt;=AboveRank),$Q3623,0)</f>
        <v>0</v>
      </c>
      <c r="T3623" s="64" t="n">
        <f aca="false">IF($K3623="Less",$P3623,0)</f>
        <v>0</v>
      </c>
      <c r="U3623" s="64" t="n">
        <f aca="false">IF($K3623="Expected",$P3623,0)</f>
        <v>0</v>
      </c>
      <c r="V3623" s="64" t="n">
        <f aca="false">IF($K3623="Better",$P3623,0)</f>
        <v>0</v>
      </c>
      <c r="W3623" s="64" t="n">
        <f aca="false">IF($K3623="U – needs rule",$P3623,0)</f>
        <v>0</v>
      </c>
      <c r="X3623" s="64" t="n">
        <f aca="false">IF($K3623="No Start (attainment only)",$P3623,0)</f>
        <v>0</v>
      </c>
    </row>
    <row r="3624" customFormat="false" ht="15" hidden="false" customHeight="false" outlineLevel="0" collapsed="false">
      <c r="A3624" s="60"/>
      <c r="B3624" s="61" t="str">
        <f aca="false">IF($M3624=0,"",INDEX(Classes!$E$6:$E$420,$M3624))</f>
        <v/>
      </c>
      <c r="C3624" s="62" t="str">
        <f aca="false">IF($M3624=0,"",INDEX(Classes!$H$6:$H$420,$M3624))</f>
        <v/>
      </c>
      <c r="D3624" s="61" t="str">
        <f aca="false">IF($M3624=0,"",INDEX(Classes!$B$6:$B$420,$M3624))</f>
        <v/>
      </c>
      <c r="E3624" s="61" t="str">
        <f aca="false">IF($M3624=0,"",INDEX(Classes!$C$6:$C$420,$M3624))</f>
        <v/>
      </c>
      <c r="F3624" s="63"/>
      <c r="G3624" s="63"/>
      <c r="H3624" s="60"/>
      <c r="I3624" s="60"/>
      <c r="J3624" s="63"/>
      <c r="K3624" s="61" t="str">
        <f aca="false">IF($P3624=0,"",IF($F3624="Baseline","— Baseline",IF($O3624=0,"No result",IF($N3624=0,"No Start (attainment only)",IF(OR($N3624=1,$O3624=1),"U – needs rule",INDEX(MxBody,MATCH($I3624,MxCurr,0),MATCH($H3624,MxStart,0)))))))</f>
        <v/>
      </c>
      <c r="L3624" s="62" t="str">
        <f aca="false">IF(COUNTA($A3624,$F3624,$G3624,$H3624,$I3624,$J3624)=0,"",IF($M3624=0,"✖ كود الصف غير موجود",IF(ISNA(MATCH($F3624,Lists!$A$2:$A$5,0)),"✖ الفترة غير صحيحة",IF(ISNA(MATCH($G3624,Lists!$B$2:$B$7,0)),"✖ المجموعة غير صحيحة",IF(NOT(OR($H3624="",$N3624&gt;0)),"✖ Start غير صحيح",IF(NOT(OR($I3624="",$I3624="NR",$O3624&gt;0)),"✖ Current غير صحيح",IF(NOT(IF(ISNUMBER($J3624),AND($J3624&gt;=0,$J3624=INT($J3624)),FALSE())),"✖ العدد يجب أن يكون صحيحًا ≥ 0",IF(AND($F3624="Baseline",$H3624&lt;&gt;""),"⚠ Baseline: Start لا يدخل في التقدم",IF($K3624="No Start (attainment only)","ℹ تحصيل فقط (بدون Start)",IF($K3624="U – needs rule","ℹ حالة U تحتاج قاعدة معتمدة",IF($K3624="No result","ℹ بدون نتيجة (يُستبعد من التحصيل)","OK")))))))))))</f>
        <v/>
      </c>
      <c r="M3624" s="64" t="n">
        <f aca="false">IF($A3624="",0,IFERROR(MATCH($A3624,Classes!$A$6:$A$420,0),0))</f>
        <v>0</v>
      </c>
      <c r="N3624" s="64" t="n">
        <f aca="false">IF($H3624="",0,IFERROR(MATCH($H3624,GradeList,0),0))</f>
        <v>0</v>
      </c>
      <c r="O3624" s="64" t="n">
        <f aca="false">IF(OR($I3624="",$I3624="NR"),0,IFERROR(MATCH($I3624,GradeList,0),0))</f>
        <v>0</v>
      </c>
      <c r="P3624" s="64" t="n">
        <f aca="false">IF(AND($M3624&gt;0,ISNUMBER(MATCH($F3624,Lists!$A$2:$A$5,0)),ISNUMBER(MATCH($G3624,Lists!$B$2:$B$7,0)),OR($H3624="",$N3624&gt;0),OR($I3624="",$I3624="NR",$O3624&gt;0),IF(ISNUMBER($J3624),AND($J3624&gt;=0,$J3624=INT($J3624)),FALSE())),$J3624,0)</f>
        <v>0</v>
      </c>
      <c r="Q3624" s="64" t="n">
        <f aca="false">IF(AND($P3624&gt;0,$O3624&gt;0),$P3624,0)</f>
        <v>0</v>
      </c>
      <c r="R3624" s="64" t="n">
        <f aca="false">IF(AND($Q3624&gt;0,$O3624&gt;=AtRank),$Q3624,0)</f>
        <v>0</v>
      </c>
      <c r="S3624" s="64" t="n">
        <f aca="false">IF(AND($Q3624&gt;0,$O3624&gt;=AboveRank),$Q3624,0)</f>
        <v>0</v>
      </c>
      <c r="T3624" s="64" t="n">
        <f aca="false">IF($K3624="Less",$P3624,0)</f>
        <v>0</v>
      </c>
      <c r="U3624" s="64" t="n">
        <f aca="false">IF($K3624="Expected",$P3624,0)</f>
        <v>0</v>
      </c>
      <c r="V3624" s="64" t="n">
        <f aca="false">IF($K3624="Better",$P3624,0)</f>
        <v>0</v>
      </c>
      <c r="W3624" s="64" t="n">
        <f aca="false">IF($K3624="U – needs rule",$P3624,0)</f>
        <v>0</v>
      </c>
      <c r="X3624" s="64" t="n">
        <f aca="false">IF($K3624="No Start (attainment only)",$P3624,0)</f>
        <v>0</v>
      </c>
    </row>
    <row r="3625" customFormat="false" ht="15" hidden="false" customHeight="false" outlineLevel="0" collapsed="false">
      <c r="A3625" s="60"/>
      <c r="B3625" s="61" t="str">
        <f aca="false">IF($M3625=0,"",INDEX(Classes!$E$6:$E$420,$M3625))</f>
        <v/>
      </c>
      <c r="C3625" s="62" t="str">
        <f aca="false">IF($M3625=0,"",INDEX(Classes!$H$6:$H$420,$M3625))</f>
        <v/>
      </c>
      <c r="D3625" s="61" t="str">
        <f aca="false">IF($M3625=0,"",INDEX(Classes!$B$6:$B$420,$M3625))</f>
        <v/>
      </c>
      <c r="E3625" s="61" t="str">
        <f aca="false">IF($M3625=0,"",INDEX(Classes!$C$6:$C$420,$M3625))</f>
        <v/>
      </c>
      <c r="F3625" s="63"/>
      <c r="G3625" s="63"/>
      <c r="H3625" s="60"/>
      <c r="I3625" s="60"/>
      <c r="J3625" s="63"/>
      <c r="K3625" s="61" t="str">
        <f aca="false">IF($P3625=0,"",IF($F3625="Baseline","— Baseline",IF($O3625=0,"No result",IF($N3625=0,"No Start (attainment only)",IF(OR($N3625=1,$O3625=1),"U – needs rule",INDEX(MxBody,MATCH($I3625,MxCurr,0),MATCH($H3625,MxStart,0)))))))</f>
        <v/>
      </c>
      <c r="L3625" s="62" t="str">
        <f aca="false">IF(COUNTA($A3625,$F3625,$G3625,$H3625,$I3625,$J3625)=0,"",IF($M3625=0,"✖ كود الصف غير موجود",IF(ISNA(MATCH($F3625,Lists!$A$2:$A$5,0)),"✖ الفترة غير صحيحة",IF(ISNA(MATCH($G3625,Lists!$B$2:$B$7,0)),"✖ المجموعة غير صحيحة",IF(NOT(OR($H3625="",$N3625&gt;0)),"✖ Start غير صحيح",IF(NOT(OR($I3625="",$I3625="NR",$O3625&gt;0)),"✖ Current غير صحيح",IF(NOT(IF(ISNUMBER($J3625),AND($J3625&gt;=0,$J3625=INT($J3625)),FALSE())),"✖ العدد يجب أن يكون صحيحًا ≥ 0",IF(AND($F3625="Baseline",$H3625&lt;&gt;""),"⚠ Baseline: Start لا يدخل في التقدم",IF($K3625="No Start (attainment only)","ℹ تحصيل فقط (بدون Start)",IF($K3625="U – needs rule","ℹ حالة U تحتاج قاعدة معتمدة",IF($K3625="No result","ℹ بدون نتيجة (يُستبعد من التحصيل)","OK")))))))))))</f>
        <v/>
      </c>
      <c r="M3625" s="64" t="n">
        <f aca="false">IF($A3625="",0,IFERROR(MATCH($A3625,Classes!$A$6:$A$420,0),0))</f>
        <v>0</v>
      </c>
      <c r="N3625" s="64" t="n">
        <f aca="false">IF($H3625="",0,IFERROR(MATCH($H3625,GradeList,0),0))</f>
        <v>0</v>
      </c>
      <c r="O3625" s="64" t="n">
        <f aca="false">IF(OR($I3625="",$I3625="NR"),0,IFERROR(MATCH($I3625,GradeList,0),0))</f>
        <v>0</v>
      </c>
      <c r="P3625" s="64" t="n">
        <f aca="false">IF(AND($M3625&gt;0,ISNUMBER(MATCH($F3625,Lists!$A$2:$A$5,0)),ISNUMBER(MATCH($G3625,Lists!$B$2:$B$7,0)),OR($H3625="",$N3625&gt;0),OR($I3625="",$I3625="NR",$O3625&gt;0),IF(ISNUMBER($J3625),AND($J3625&gt;=0,$J3625=INT($J3625)),FALSE())),$J3625,0)</f>
        <v>0</v>
      </c>
      <c r="Q3625" s="64" t="n">
        <f aca="false">IF(AND($P3625&gt;0,$O3625&gt;0),$P3625,0)</f>
        <v>0</v>
      </c>
      <c r="R3625" s="64" t="n">
        <f aca="false">IF(AND($Q3625&gt;0,$O3625&gt;=AtRank),$Q3625,0)</f>
        <v>0</v>
      </c>
      <c r="S3625" s="64" t="n">
        <f aca="false">IF(AND($Q3625&gt;0,$O3625&gt;=AboveRank),$Q3625,0)</f>
        <v>0</v>
      </c>
      <c r="T3625" s="64" t="n">
        <f aca="false">IF($K3625="Less",$P3625,0)</f>
        <v>0</v>
      </c>
      <c r="U3625" s="64" t="n">
        <f aca="false">IF($K3625="Expected",$P3625,0)</f>
        <v>0</v>
      </c>
      <c r="V3625" s="64" t="n">
        <f aca="false">IF($K3625="Better",$P3625,0)</f>
        <v>0</v>
      </c>
      <c r="W3625" s="64" t="n">
        <f aca="false">IF($K3625="U – needs rule",$P3625,0)</f>
        <v>0</v>
      </c>
      <c r="X3625" s="64" t="n">
        <f aca="false">IF($K3625="No Start (attainment only)",$P3625,0)</f>
        <v>0</v>
      </c>
    </row>
    <row r="3626" customFormat="false" ht="15" hidden="false" customHeight="false" outlineLevel="0" collapsed="false">
      <c r="A3626" s="60"/>
      <c r="B3626" s="61" t="str">
        <f aca="false">IF($M3626=0,"",INDEX(Classes!$E$6:$E$420,$M3626))</f>
        <v/>
      </c>
      <c r="C3626" s="62" t="str">
        <f aca="false">IF($M3626=0,"",INDEX(Classes!$H$6:$H$420,$M3626))</f>
        <v/>
      </c>
      <c r="D3626" s="61" t="str">
        <f aca="false">IF($M3626=0,"",INDEX(Classes!$B$6:$B$420,$M3626))</f>
        <v/>
      </c>
      <c r="E3626" s="61" t="str">
        <f aca="false">IF($M3626=0,"",INDEX(Classes!$C$6:$C$420,$M3626))</f>
        <v/>
      </c>
      <c r="F3626" s="63"/>
      <c r="G3626" s="63"/>
      <c r="H3626" s="60"/>
      <c r="I3626" s="60"/>
      <c r="J3626" s="63"/>
      <c r="K3626" s="61" t="str">
        <f aca="false">IF($P3626=0,"",IF($F3626="Baseline","— Baseline",IF($O3626=0,"No result",IF($N3626=0,"No Start (attainment only)",IF(OR($N3626=1,$O3626=1),"U – needs rule",INDEX(MxBody,MATCH($I3626,MxCurr,0),MATCH($H3626,MxStart,0)))))))</f>
        <v/>
      </c>
      <c r="L3626" s="62" t="str">
        <f aca="false">IF(COUNTA($A3626,$F3626,$G3626,$H3626,$I3626,$J3626)=0,"",IF($M3626=0,"✖ كود الصف غير موجود",IF(ISNA(MATCH($F3626,Lists!$A$2:$A$5,0)),"✖ الفترة غير صحيحة",IF(ISNA(MATCH($G3626,Lists!$B$2:$B$7,0)),"✖ المجموعة غير صحيحة",IF(NOT(OR($H3626="",$N3626&gt;0)),"✖ Start غير صحيح",IF(NOT(OR($I3626="",$I3626="NR",$O3626&gt;0)),"✖ Current غير صحيح",IF(NOT(IF(ISNUMBER($J3626),AND($J3626&gt;=0,$J3626=INT($J3626)),FALSE())),"✖ العدد يجب أن يكون صحيحًا ≥ 0",IF(AND($F3626="Baseline",$H3626&lt;&gt;""),"⚠ Baseline: Start لا يدخل في التقدم",IF($K3626="No Start (attainment only)","ℹ تحصيل فقط (بدون Start)",IF($K3626="U – needs rule","ℹ حالة U تحتاج قاعدة معتمدة",IF($K3626="No result","ℹ بدون نتيجة (يُستبعد من التحصيل)","OK")))))))))))</f>
        <v/>
      </c>
      <c r="M3626" s="64" t="n">
        <f aca="false">IF($A3626="",0,IFERROR(MATCH($A3626,Classes!$A$6:$A$420,0),0))</f>
        <v>0</v>
      </c>
      <c r="N3626" s="64" t="n">
        <f aca="false">IF($H3626="",0,IFERROR(MATCH($H3626,GradeList,0),0))</f>
        <v>0</v>
      </c>
      <c r="O3626" s="64" t="n">
        <f aca="false">IF(OR($I3626="",$I3626="NR"),0,IFERROR(MATCH($I3626,GradeList,0),0))</f>
        <v>0</v>
      </c>
      <c r="P3626" s="64" t="n">
        <f aca="false">IF(AND($M3626&gt;0,ISNUMBER(MATCH($F3626,Lists!$A$2:$A$5,0)),ISNUMBER(MATCH($G3626,Lists!$B$2:$B$7,0)),OR($H3626="",$N3626&gt;0),OR($I3626="",$I3626="NR",$O3626&gt;0),IF(ISNUMBER($J3626),AND($J3626&gt;=0,$J3626=INT($J3626)),FALSE())),$J3626,0)</f>
        <v>0</v>
      </c>
      <c r="Q3626" s="64" t="n">
        <f aca="false">IF(AND($P3626&gt;0,$O3626&gt;0),$P3626,0)</f>
        <v>0</v>
      </c>
      <c r="R3626" s="64" t="n">
        <f aca="false">IF(AND($Q3626&gt;0,$O3626&gt;=AtRank),$Q3626,0)</f>
        <v>0</v>
      </c>
      <c r="S3626" s="64" t="n">
        <f aca="false">IF(AND($Q3626&gt;0,$O3626&gt;=AboveRank),$Q3626,0)</f>
        <v>0</v>
      </c>
      <c r="T3626" s="64" t="n">
        <f aca="false">IF($K3626="Less",$P3626,0)</f>
        <v>0</v>
      </c>
      <c r="U3626" s="64" t="n">
        <f aca="false">IF($K3626="Expected",$P3626,0)</f>
        <v>0</v>
      </c>
      <c r="V3626" s="64" t="n">
        <f aca="false">IF($K3626="Better",$P3626,0)</f>
        <v>0</v>
      </c>
      <c r="W3626" s="64" t="n">
        <f aca="false">IF($K3626="U – needs rule",$P3626,0)</f>
        <v>0</v>
      </c>
      <c r="X3626" s="64" t="n">
        <f aca="false">IF($K3626="No Start (attainment only)",$P3626,0)</f>
        <v>0</v>
      </c>
    </row>
    <row r="3627" customFormat="false" ht="15" hidden="false" customHeight="false" outlineLevel="0" collapsed="false">
      <c r="A3627" s="60"/>
      <c r="B3627" s="61" t="str">
        <f aca="false">IF($M3627=0,"",INDEX(Classes!$E$6:$E$420,$M3627))</f>
        <v/>
      </c>
      <c r="C3627" s="62" t="str">
        <f aca="false">IF($M3627=0,"",INDEX(Classes!$H$6:$H$420,$M3627))</f>
        <v/>
      </c>
      <c r="D3627" s="61" t="str">
        <f aca="false">IF($M3627=0,"",INDEX(Classes!$B$6:$B$420,$M3627))</f>
        <v/>
      </c>
      <c r="E3627" s="61" t="str">
        <f aca="false">IF($M3627=0,"",INDEX(Classes!$C$6:$C$420,$M3627))</f>
        <v/>
      </c>
      <c r="F3627" s="63"/>
      <c r="G3627" s="63"/>
      <c r="H3627" s="60"/>
      <c r="I3627" s="60"/>
      <c r="J3627" s="63"/>
      <c r="K3627" s="61" t="str">
        <f aca="false">IF($P3627=0,"",IF($F3627="Baseline","— Baseline",IF($O3627=0,"No result",IF($N3627=0,"No Start (attainment only)",IF(OR($N3627=1,$O3627=1),"U – needs rule",INDEX(MxBody,MATCH($I3627,MxCurr,0),MATCH($H3627,MxStart,0)))))))</f>
        <v/>
      </c>
      <c r="L3627" s="62" t="str">
        <f aca="false">IF(COUNTA($A3627,$F3627,$G3627,$H3627,$I3627,$J3627)=0,"",IF($M3627=0,"✖ كود الصف غير موجود",IF(ISNA(MATCH($F3627,Lists!$A$2:$A$5,0)),"✖ الفترة غير صحيحة",IF(ISNA(MATCH($G3627,Lists!$B$2:$B$7,0)),"✖ المجموعة غير صحيحة",IF(NOT(OR($H3627="",$N3627&gt;0)),"✖ Start غير صحيح",IF(NOT(OR($I3627="",$I3627="NR",$O3627&gt;0)),"✖ Current غير صحيح",IF(NOT(IF(ISNUMBER($J3627),AND($J3627&gt;=0,$J3627=INT($J3627)),FALSE())),"✖ العدد يجب أن يكون صحيحًا ≥ 0",IF(AND($F3627="Baseline",$H3627&lt;&gt;""),"⚠ Baseline: Start لا يدخل في التقدم",IF($K3627="No Start (attainment only)","ℹ تحصيل فقط (بدون Start)",IF($K3627="U – needs rule","ℹ حالة U تحتاج قاعدة معتمدة",IF($K3627="No result","ℹ بدون نتيجة (يُستبعد من التحصيل)","OK")))))))))))</f>
        <v/>
      </c>
      <c r="M3627" s="64" t="n">
        <f aca="false">IF($A3627="",0,IFERROR(MATCH($A3627,Classes!$A$6:$A$420,0),0))</f>
        <v>0</v>
      </c>
      <c r="N3627" s="64" t="n">
        <f aca="false">IF($H3627="",0,IFERROR(MATCH($H3627,GradeList,0),0))</f>
        <v>0</v>
      </c>
      <c r="O3627" s="64" t="n">
        <f aca="false">IF(OR($I3627="",$I3627="NR"),0,IFERROR(MATCH($I3627,GradeList,0),0))</f>
        <v>0</v>
      </c>
      <c r="P3627" s="64" t="n">
        <f aca="false">IF(AND($M3627&gt;0,ISNUMBER(MATCH($F3627,Lists!$A$2:$A$5,0)),ISNUMBER(MATCH($G3627,Lists!$B$2:$B$7,0)),OR($H3627="",$N3627&gt;0),OR($I3627="",$I3627="NR",$O3627&gt;0),IF(ISNUMBER($J3627),AND($J3627&gt;=0,$J3627=INT($J3627)),FALSE())),$J3627,0)</f>
        <v>0</v>
      </c>
      <c r="Q3627" s="64" t="n">
        <f aca="false">IF(AND($P3627&gt;0,$O3627&gt;0),$P3627,0)</f>
        <v>0</v>
      </c>
      <c r="R3627" s="64" t="n">
        <f aca="false">IF(AND($Q3627&gt;0,$O3627&gt;=AtRank),$Q3627,0)</f>
        <v>0</v>
      </c>
      <c r="S3627" s="64" t="n">
        <f aca="false">IF(AND($Q3627&gt;0,$O3627&gt;=AboveRank),$Q3627,0)</f>
        <v>0</v>
      </c>
      <c r="T3627" s="64" t="n">
        <f aca="false">IF($K3627="Less",$P3627,0)</f>
        <v>0</v>
      </c>
      <c r="U3627" s="64" t="n">
        <f aca="false">IF($K3627="Expected",$P3627,0)</f>
        <v>0</v>
      </c>
      <c r="V3627" s="64" t="n">
        <f aca="false">IF($K3627="Better",$P3627,0)</f>
        <v>0</v>
      </c>
      <c r="W3627" s="64" t="n">
        <f aca="false">IF($K3627="U – needs rule",$P3627,0)</f>
        <v>0</v>
      </c>
      <c r="X3627" s="64" t="n">
        <f aca="false">IF($K3627="No Start (attainment only)",$P3627,0)</f>
        <v>0</v>
      </c>
    </row>
    <row r="3628" customFormat="false" ht="15" hidden="false" customHeight="false" outlineLevel="0" collapsed="false">
      <c r="A3628" s="60"/>
      <c r="B3628" s="61" t="str">
        <f aca="false">IF($M3628=0,"",INDEX(Classes!$E$6:$E$420,$M3628))</f>
        <v/>
      </c>
      <c r="C3628" s="62" t="str">
        <f aca="false">IF($M3628=0,"",INDEX(Classes!$H$6:$H$420,$M3628))</f>
        <v/>
      </c>
      <c r="D3628" s="61" t="str">
        <f aca="false">IF($M3628=0,"",INDEX(Classes!$B$6:$B$420,$M3628))</f>
        <v/>
      </c>
      <c r="E3628" s="61" t="str">
        <f aca="false">IF($M3628=0,"",INDEX(Classes!$C$6:$C$420,$M3628))</f>
        <v/>
      </c>
      <c r="F3628" s="63"/>
      <c r="G3628" s="63"/>
      <c r="H3628" s="60"/>
      <c r="I3628" s="60"/>
      <c r="J3628" s="63"/>
      <c r="K3628" s="61" t="str">
        <f aca="false">IF($P3628=0,"",IF($F3628="Baseline","— Baseline",IF($O3628=0,"No result",IF($N3628=0,"No Start (attainment only)",IF(OR($N3628=1,$O3628=1),"U – needs rule",INDEX(MxBody,MATCH($I3628,MxCurr,0),MATCH($H3628,MxStart,0)))))))</f>
        <v/>
      </c>
      <c r="L3628" s="62" t="str">
        <f aca="false">IF(COUNTA($A3628,$F3628,$G3628,$H3628,$I3628,$J3628)=0,"",IF($M3628=0,"✖ كود الصف غير موجود",IF(ISNA(MATCH($F3628,Lists!$A$2:$A$5,0)),"✖ الفترة غير صحيحة",IF(ISNA(MATCH($G3628,Lists!$B$2:$B$7,0)),"✖ المجموعة غير صحيحة",IF(NOT(OR($H3628="",$N3628&gt;0)),"✖ Start غير صحيح",IF(NOT(OR($I3628="",$I3628="NR",$O3628&gt;0)),"✖ Current غير صحيح",IF(NOT(IF(ISNUMBER($J3628),AND($J3628&gt;=0,$J3628=INT($J3628)),FALSE())),"✖ العدد يجب أن يكون صحيحًا ≥ 0",IF(AND($F3628="Baseline",$H3628&lt;&gt;""),"⚠ Baseline: Start لا يدخل في التقدم",IF($K3628="No Start (attainment only)","ℹ تحصيل فقط (بدون Start)",IF($K3628="U – needs rule","ℹ حالة U تحتاج قاعدة معتمدة",IF($K3628="No result","ℹ بدون نتيجة (يُستبعد من التحصيل)","OK")))))))))))</f>
        <v/>
      </c>
      <c r="M3628" s="64" t="n">
        <f aca="false">IF($A3628="",0,IFERROR(MATCH($A3628,Classes!$A$6:$A$420,0),0))</f>
        <v>0</v>
      </c>
      <c r="N3628" s="64" t="n">
        <f aca="false">IF($H3628="",0,IFERROR(MATCH($H3628,GradeList,0),0))</f>
        <v>0</v>
      </c>
      <c r="O3628" s="64" t="n">
        <f aca="false">IF(OR($I3628="",$I3628="NR"),0,IFERROR(MATCH($I3628,GradeList,0),0))</f>
        <v>0</v>
      </c>
      <c r="P3628" s="64" t="n">
        <f aca="false">IF(AND($M3628&gt;0,ISNUMBER(MATCH($F3628,Lists!$A$2:$A$5,0)),ISNUMBER(MATCH($G3628,Lists!$B$2:$B$7,0)),OR($H3628="",$N3628&gt;0),OR($I3628="",$I3628="NR",$O3628&gt;0),IF(ISNUMBER($J3628),AND($J3628&gt;=0,$J3628=INT($J3628)),FALSE())),$J3628,0)</f>
        <v>0</v>
      </c>
      <c r="Q3628" s="64" t="n">
        <f aca="false">IF(AND($P3628&gt;0,$O3628&gt;0),$P3628,0)</f>
        <v>0</v>
      </c>
      <c r="R3628" s="64" t="n">
        <f aca="false">IF(AND($Q3628&gt;0,$O3628&gt;=AtRank),$Q3628,0)</f>
        <v>0</v>
      </c>
      <c r="S3628" s="64" t="n">
        <f aca="false">IF(AND($Q3628&gt;0,$O3628&gt;=AboveRank),$Q3628,0)</f>
        <v>0</v>
      </c>
      <c r="T3628" s="64" t="n">
        <f aca="false">IF($K3628="Less",$P3628,0)</f>
        <v>0</v>
      </c>
      <c r="U3628" s="64" t="n">
        <f aca="false">IF($K3628="Expected",$P3628,0)</f>
        <v>0</v>
      </c>
      <c r="V3628" s="64" t="n">
        <f aca="false">IF($K3628="Better",$P3628,0)</f>
        <v>0</v>
      </c>
      <c r="W3628" s="64" t="n">
        <f aca="false">IF($K3628="U – needs rule",$P3628,0)</f>
        <v>0</v>
      </c>
      <c r="X3628" s="64" t="n">
        <f aca="false">IF($K3628="No Start (attainment only)",$P3628,0)</f>
        <v>0</v>
      </c>
    </row>
    <row r="3629" customFormat="false" ht="15" hidden="false" customHeight="false" outlineLevel="0" collapsed="false">
      <c r="A3629" s="60"/>
      <c r="B3629" s="61" t="str">
        <f aca="false">IF($M3629=0,"",INDEX(Classes!$E$6:$E$420,$M3629))</f>
        <v/>
      </c>
      <c r="C3629" s="62" t="str">
        <f aca="false">IF($M3629=0,"",INDEX(Classes!$H$6:$H$420,$M3629))</f>
        <v/>
      </c>
      <c r="D3629" s="61" t="str">
        <f aca="false">IF($M3629=0,"",INDEX(Classes!$B$6:$B$420,$M3629))</f>
        <v/>
      </c>
      <c r="E3629" s="61" t="str">
        <f aca="false">IF($M3629=0,"",INDEX(Classes!$C$6:$C$420,$M3629))</f>
        <v/>
      </c>
      <c r="F3629" s="63"/>
      <c r="G3629" s="63"/>
      <c r="H3629" s="60"/>
      <c r="I3629" s="60"/>
      <c r="J3629" s="63"/>
      <c r="K3629" s="61" t="str">
        <f aca="false">IF($P3629=0,"",IF($F3629="Baseline","— Baseline",IF($O3629=0,"No result",IF($N3629=0,"No Start (attainment only)",IF(OR($N3629=1,$O3629=1),"U – needs rule",INDEX(MxBody,MATCH($I3629,MxCurr,0),MATCH($H3629,MxStart,0)))))))</f>
        <v/>
      </c>
      <c r="L3629" s="62" t="str">
        <f aca="false">IF(COUNTA($A3629,$F3629,$G3629,$H3629,$I3629,$J3629)=0,"",IF($M3629=0,"✖ كود الصف غير موجود",IF(ISNA(MATCH($F3629,Lists!$A$2:$A$5,0)),"✖ الفترة غير صحيحة",IF(ISNA(MATCH($G3629,Lists!$B$2:$B$7,0)),"✖ المجموعة غير صحيحة",IF(NOT(OR($H3629="",$N3629&gt;0)),"✖ Start غير صحيح",IF(NOT(OR($I3629="",$I3629="NR",$O3629&gt;0)),"✖ Current غير صحيح",IF(NOT(IF(ISNUMBER($J3629),AND($J3629&gt;=0,$J3629=INT($J3629)),FALSE())),"✖ العدد يجب أن يكون صحيحًا ≥ 0",IF(AND($F3629="Baseline",$H3629&lt;&gt;""),"⚠ Baseline: Start لا يدخل في التقدم",IF($K3629="No Start (attainment only)","ℹ تحصيل فقط (بدون Start)",IF($K3629="U – needs rule","ℹ حالة U تحتاج قاعدة معتمدة",IF($K3629="No result","ℹ بدون نتيجة (يُستبعد من التحصيل)","OK")))))))))))</f>
        <v/>
      </c>
      <c r="M3629" s="64" t="n">
        <f aca="false">IF($A3629="",0,IFERROR(MATCH($A3629,Classes!$A$6:$A$420,0),0))</f>
        <v>0</v>
      </c>
      <c r="N3629" s="64" t="n">
        <f aca="false">IF($H3629="",0,IFERROR(MATCH($H3629,GradeList,0),0))</f>
        <v>0</v>
      </c>
      <c r="O3629" s="64" t="n">
        <f aca="false">IF(OR($I3629="",$I3629="NR"),0,IFERROR(MATCH($I3629,GradeList,0),0))</f>
        <v>0</v>
      </c>
      <c r="P3629" s="64" t="n">
        <f aca="false">IF(AND($M3629&gt;0,ISNUMBER(MATCH($F3629,Lists!$A$2:$A$5,0)),ISNUMBER(MATCH($G3629,Lists!$B$2:$B$7,0)),OR($H3629="",$N3629&gt;0),OR($I3629="",$I3629="NR",$O3629&gt;0),IF(ISNUMBER($J3629),AND($J3629&gt;=0,$J3629=INT($J3629)),FALSE())),$J3629,0)</f>
        <v>0</v>
      </c>
      <c r="Q3629" s="64" t="n">
        <f aca="false">IF(AND($P3629&gt;0,$O3629&gt;0),$P3629,0)</f>
        <v>0</v>
      </c>
      <c r="R3629" s="64" t="n">
        <f aca="false">IF(AND($Q3629&gt;0,$O3629&gt;=AtRank),$Q3629,0)</f>
        <v>0</v>
      </c>
      <c r="S3629" s="64" t="n">
        <f aca="false">IF(AND($Q3629&gt;0,$O3629&gt;=AboveRank),$Q3629,0)</f>
        <v>0</v>
      </c>
      <c r="T3629" s="64" t="n">
        <f aca="false">IF($K3629="Less",$P3629,0)</f>
        <v>0</v>
      </c>
      <c r="U3629" s="64" t="n">
        <f aca="false">IF($K3629="Expected",$P3629,0)</f>
        <v>0</v>
      </c>
      <c r="V3629" s="64" t="n">
        <f aca="false">IF($K3629="Better",$P3629,0)</f>
        <v>0</v>
      </c>
      <c r="W3629" s="64" t="n">
        <f aca="false">IF($K3629="U – needs rule",$P3629,0)</f>
        <v>0</v>
      </c>
      <c r="X3629" s="64" t="n">
        <f aca="false">IF($K3629="No Start (attainment only)",$P3629,0)</f>
        <v>0</v>
      </c>
    </row>
    <row r="3630" customFormat="false" ht="15" hidden="false" customHeight="false" outlineLevel="0" collapsed="false">
      <c r="A3630" s="60"/>
      <c r="B3630" s="61" t="str">
        <f aca="false">IF($M3630=0,"",INDEX(Classes!$E$6:$E$420,$M3630))</f>
        <v/>
      </c>
      <c r="C3630" s="62" t="str">
        <f aca="false">IF($M3630=0,"",INDEX(Classes!$H$6:$H$420,$M3630))</f>
        <v/>
      </c>
      <c r="D3630" s="61" t="str">
        <f aca="false">IF($M3630=0,"",INDEX(Classes!$B$6:$B$420,$M3630))</f>
        <v/>
      </c>
      <c r="E3630" s="61" t="str">
        <f aca="false">IF($M3630=0,"",INDEX(Classes!$C$6:$C$420,$M3630))</f>
        <v/>
      </c>
      <c r="F3630" s="63"/>
      <c r="G3630" s="63"/>
      <c r="H3630" s="60"/>
      <c r="I3630" s="60"/>
      <c r="J3630" s="63"/>
      <c r="K3630" s="61" t="str">
        <f aca="false">IF($P3630=0,"",IF($F3630="Baseline","— Baseline",IF($O3630=0,"No result",IF($N3630=0,"No Start (attainment only)",IF(OR($N3630=1,$O3630=1),"U – needs rule",INDEX(MxBody,MATCH($I3630,MxCurr,0),MATCH($H3630,MxStart,0)))))))</f>
        <v/>
      </c>
      <c r="L3630" s="62" t="str">
        <f aca="false">IF(COUNTA($A3630,$F3630,$G3630,$H3630,$I3630,$J3630)=0,"",IF($M3630=0,"✖ كود الصف غير موجود",IF(ISNA(MATCH($F3630,Lists!$A$2:$A$5,0)),"✖ الفترة غير صحيحة",IF(ISNA(MATCH($G3630,Lists!$B$2:$B$7,0)),"✖ المجموعة غير صحيحة",IF(NOT(OR($H3630="",$N3630&gt;0)),"✖ Start غير صحيح",IF(NOT(OR($I3630="",$I3630="NR",$O3630&gt;0)),"✖ Current غير صحيح",IF(NOT(IF(ISNUMBER($J3630),AND($J3630&gt;=0,$J3630=INT($J3630)),FALSE())),"✖ العدد يجب أن يكون صحيحًا ≥ 0",IF(AND($F3630="Baseline",$H3630&lt;&gt;""),"⚠ Baseline: Start لا يدخل في التقدم",IF($K3630="No Start (attainment only)","ℹ تحصيل فقط (بدون Start)",IF($K3630="U – needs rule","ℹ حالة U تحتاج قاعدة معتمدة",IF($K3630="No result","ℹ بدون نتيجة (يُستبعد من التحصيل)","OK")))))))))))</f>
        <v/>
      </c>
      <c r="M3630" s="64" t="n">
        <f aca="false">IF($A3630="",0,IFERROR(MATCH($A3630,Classes!$A$6:$A$420,0),0))</f>
        <v>0</v>
      </c>
      <c r="N3630" s="64" t="n">
        <f aca="false">IF($H3630="",0,IFERROR(MATCH($H3630,GradeList,0),0))</f>
        <v>0</v>
      </c>
      <c r="O3630" s="64" t="n">
        <f aca="false">IF(OR($I3630="",$I3630="NR"),0,IFERROR(MATCH($I3630,GradeList,0),0))</f>
        <v>0</v>
      </c>
      <c r="P3630" s="64" t="n">
        <f aca="false">IF(AND($M3630&gt;0,ISNUMBER(MATCH($F3630,Lists!$A$2:$A$5,0)),ISNUMBER(MATCH($G3630,Lists!$B$2:$B$7,0)),OR($H3630="",$N3630&gt;0),OR($I3630="",$I3630="NR",$O3630&gt;0),IF(ISNUMBER($J3630),AND($J3630&gt;=0,$J3630=INT($J3630)),FALSE())),$J3630,0)</f>
        <v>0</v>
      </c>
      <c r="Q3630" s="64" t="n">
        <f aca="false">IF(AND($P3630&gt;0,$O3630&gt;0),$P3630,0)</f>
        <v>0</v>
      </c>
      <c r="R3630" s="64" t="n">
        <f aca="false">IF(AND($Q3630&gt;0,$O3630&gt;=AtRank),$Q3630,0)</f>
        <v>0</v>
      </c>
      <c r="S3630" s="64" t="n">
        <f aca="false">IF(AND($Q3630&gt;0,$O3630&gt;=AboveRank),$Q3630,0)</f>
        <v>0</v>
      </c>
      <c r="T3630" s="64" t="n">
        <f aca="false">IF($K3630="Less",$P3630,0)</f>
        <v>0</v>
      </c>
      <c r="U3630" s="64" t="n">
        <f aca="false">IF($K3630="Expected",$P3630,0)</f>
        <v>0</v>
      </c>
      <c r="V3630" s="64" t="n">
        <f aca="false">IF($K3630="Better",$P3630,0)</f>
        <v>0</v>
      </c>
      <c r="W3630" s="64" t="n">
        <f aca="false">IF($K3630="U – needs rule",$P3630,0)</f>
        <v>0</v>
      </c>
      <c r="X3630" s="64" t="n">
        <f aca="false">IF($K3630="No Start (attainment only)",$P3630,0)</f>
        <v>0</v>
      </c>
    </row>
    <row r="3631" customFormat="false" ht="15" hidden="false" customHeight="false" outlineLevel="0" collapsed="false">
      <c r="A3631" s="60"/>
      <c r="B3631" s="61" t="str">
        <f aca="false">IF($M3631=0,"",INDEX(Classes!$E$6:$E$420,$M3631))</f>
        <v/>
      </c>
      <c r="C3631" s="62" t="str">
        <f aca="false">IF($M3631=0,"",INDEX(Classes!$H$6:$H$420,$M3631))</f>
        <v/>
      </c>
      <c r="D3631" s="61" t="str">
        <f aca="false">IF($M3631=0,"",INDEX(Classes!$B$6:$B$420,$M3631))</f>
        <v/>
      </c>
      <c r="E3631" s="61" t="str">
        <f aca="false">IF($M3631=0,"",INDEX(Classes!$C$6:$C$420,$M3631))</f>
        <v/>
      </c>
      <c r="F3631" s="63"/>
      <c r="G3631" s="63"/>
      <c r="H3631" s="60"/>
      <c r="I3631" s="60"/>
      <c r="J3631" s="63"/>
      <c r="K3631" s="61" t="str">
        <f aca="false">IF($P3631=0,"",IF($F3631="Baseline","— Baseline",IF($O3631=0,"No result",IF($N3631=0,"No Start (attainment only)",IF(OR($N3631=1,$O3631=1),"U – needs rule",INDEX(MxBody,MATCH($I3631,MxCurr,0),MATCH($H3631,MxStart,0)))))))</f>
        <v/>
      </c>
      <c r="L3631" s="62" t="str">
        <f aca="false">IF(COUNTA($A3631,$F3631,$G3631,$H3631,$I3631,$J3631)=0,"",IF($M3631=0,"✖ كود الصف غير موجود",IF(ISNA(MATCH($F3631,Lists!$A$2:$A$5,0)),"✖ الفترة غير صحيحة",IF(ISNA(MATCH($G3631,Lists!$B$2:$B$7,0)),"✖ المجموعة غير صحيحة",IF(NOT(OR($H3631="",$N3631&gt;0)),"✖ Start غير صحيح",IF(NOT(OR($I3631="",$I3631="NR",$O3631&gt;0)),"✖ Current غير صحيح",IF(NOT(IF(ISNUMBER($J3631),AND($J3631&gt;=0,$J3631=INT($J3631)),FALSE())),"✖ العدد يجب أن يكون صحيحًا ≥ 0",IF(AND($F3631="Baseline",$H3631&lt;&gt;""),"⚠ Baseline: Start لا يدخل في التقدم",IF($K3631="No Start (attainment only)","ℹ تحصيل فقط (بدون Start)",IF($K3631="U – needs rule","ℹ حالة U تحتاج قاعدة معتمدة",IF($K3631="No result","ℹ بدون نتيجة (يُستبعد من التحصيل)","OK")))))))))))</f>
        <v/>
      </c>
      <c r="M3631" s="64" t="n">
        <f aca="false">IF($A3631="",0,IFERROR(MATCH($A3631,Classes!$A$6:$A$420,0),0))</f>
        <v>0</v>
      </c>
      <c r="N3631" s="64" t="n">
        <f aca="false">IF($H3631="",0,IFERROR(MATCH($H3631,GradeList,0),0))</f>
        <v>0</v>
      </c>
      <c r="O3631" s="64" t="n">
        <f aca="false">IF(OR($I3631="",$I3631="NR"),0,IFERROR(MATCH($I3631,GradeList,0),0))</f>
        <v>0</v>
      </c>
      <c r="P3631" s="64" t="n">
        <f aca="false">IF(AND($M3631&gt;0,ISNUMBER(MATCH($F3631,Lists!$A$2:$A$5,0)),ISNUMBER(MATCH($G3631,Lists!$B$2:$B$7,0)),OR($H3631="",$N3631&gt;0),OR($I3631="",$I3631="NR",$O3631&gt;0),IF(ISNUMBER($J3631),AND($J3631&gt;=0,$J3631=INT($J3631)),FALSE())),$J3631,0)</f>
        <v>0</v>
      </c>
      <c r="Q3631" s="64" t="n">
        <f aca="false">IF(AND($P3631&gt;0,$O3631&gt;0),$P3631,0)</f>
        <v>0</v>
      </c>
      <c r="R3631" s="64" t="n">
        <f aca="false">IF(AND($Q3631&gt;0,$O3631&gt;=AtRank),$Q3631,0)</f>
        <v>0</v>
      </c>
      <c r="S3631" s="64" t="n">
        <f aca="false">IF(AND($Q3631&gt;0,$O3631&gt;=AboveRank),$Q3631,0)</f>
        <v>0</v>
      </c>
      <c r="T3631" s="64" t="n">
        <f aca="false">IF($K3631="Less",$P3631,0)</f>
        <v>0</v>
      </c>
      <c r="U3631" s="64" t="n">
        <f aca="false">IF($K3631="Expected",$P3631,0)</f>
        <v>0</v>
      </c>
      <c r="V3631" s="64" t="n">
        <f aca="false">IF($K3631="Better",$P3631,0)</f>
        <v>0</v>
      </c>
      <c r="W3631" s="64" t="n">
        <f aca="false">IF($K3631="U – needs rule",$P3631,0)</f>
        <v>0</v>
      </c>
      <c r="X3631" s="64" t="n">
        <f aca="false">IF($K3631="No Start (attainment only)",$P3631,0)</f>
        <v>0</v>
      </c>
    </row>
    <row r="3632" customFormat="false" ht="15" hidden="false" customHeight="false" outlineLevel="0" collapsed="false">
      <c r="A3632" s="60"/>
      <c r="B3632" s="61" t="str">
        <f aca="false">IF($M3632=0,"",INDEX(Classes!$E$6:$E$420,$M3632))</f>
        <v/>
      </c>
      <c r="C3632" s="62" t="str">
        <f aca="false">IF($M3632=0,"",INDEX(Classes!$H$6:$H$420,$M3632))</f>
        <v/>
      </c>
      <c r="D3632" s="61" t="str">
        <f aca="false">IF($M3632=0,"",INDEX(Classes!$B$6:$B$420,$M3632))</f>
        <v/>
      </c>
      <c r="E3632" s="61" t="str">
        <f aca="false">IF($M3632=0,"",INDEX(Classes!$C$6:$C$420,$M3632))</f>
        <v/>
      </c>
      <c r="F3632" s="63"/>
      <c r="G3632" s="63"/>
      <c r="H3632" s="60"/>
      <c r="I3632" s="60"/>
      <c r="J3632" s="63"/>
      <c r="K3632" s="61" t="str">
        <f aca="false">IF($P3632=0,"",IF($F3632="Baseline","— Baseline",IF($O3632=0,"No result",IF($N3632=0,"No Start (attainment only)",IF(OR($N3632=1,$O3632=1),"U – needs rule",INDEX(MxBody,MATCH($I3632,MxCurr,0),MATCH($H3632,MxStart,0)))))))</f>
        <v/>
      </c>
      <c r="L3632" s="62" t="str">
        <f aca="false">IF(COUNTA($A3632,$F3632,$G3632,$H3632,$I3632,$J3632)=0,"",IF($M3632=0,"✖ كود الصف غير موجود",IF(ISNA(MATCH($F3632,Lists!$A$2:$A$5,0)),"✖ الفترة غير صحيحة",IF(ISNA(MATCH($G3632,Lists!$B$2:$B$7,0)),"✖ المجموعة غير صحيحة",IF(NOT(OR($H3632="",$N3632&gt;0)),"✖ Start غير صحيح",IF(NOT(OR($I3632="",$I3632="NR",$O3632&gt;0)),"✖ Current غير صحيح",IF(NOT(IF(ISNUMBER($J3632),AND($J3632&gt;=0,$J3632=INT($J3632)),FALSE())),"✖ العدد يجب أن يكون صحيحًا ≥ 0",IF(AND($F3632="Baseline",$H3632&lt;&gt;""),"⚠ Baseline: Start لا يدخل في التقدم",IF($K3632="No Start (attainment only)","ℹ تحصيل فقط (بدون Start)",IF($K3632="U – needs rule","ℹ حالة U تحتاج قاعدة معتمدة",IF($K3632="No result","ℹ بدون نتيجة (يُستبعد من التحصيل)","OK")))))))))))</f>
        <v/>
      </c>
      <c r="M3632" s="64" t="n">
        <f aca="false">IF($A3632="",0,IFERROR(MATCH($A3632,Classes!$A$6:$A$420,0),0))</f>
        <v>0</v>
      </c>
      <c r="N3632" s="64" t="n">
        <f aca="false">IF($H3632="",0,IFERROR(MATCH($H3632,GradeList,0),0))</f>
        <v>0</v>
      </c>
      <c r="O3632" s="64" t="n">
        <f aca="false">IF(OR($I3632="",$I3632="NR"),0,IFERROR(MATCH($I3632,GradeList,0),0))</f>
        <v>0</v>
      </c>
      <c r="P3632" s="64" t="n">
        <f aca="false">IF(AND($M3632&gt;0,ISNUMBER(MATCH($F3632,Lists!$A$2:$A$5,0)),ISNUMBER(MATCH($G3632,Lists!$B$2:$B$7,0)),OR($H3632="",$N3632&gt;0),OR($I3632="",$I3632="NR",$O3632&gt;0),IF(ISNUMBER($J3632),AND($J3632&gt;=0,$J3632=INT($J3632)),FALSE())),$J3632,0)</f>
        <v>0</v>
      </c>
      <c r="Q3632" s="64" t="n">
        <f aca="false">IF(AND($P3632&gt;0,$O3632&gt;0),$P3632,0)</f>
        <v>0</v>
      </c>
      <c r="R3632" s="64" t="n">
        <f aca="false">IF(AND($Q3632&gt;0,$O3632&gt;=AtRank),$Q3632,0)</f>
        <v>0</v>
      </c>
      <c r="S3632" s="64" t="n">
        <f aca="false">IF(AND($Q3632&gt;0,$O3632&gt;=AboveRank),$Q3632,0)</f>
        <v>0</v>
      </c>
      <c r="T3632" s="64" t="n">
        <f aca="false">IF($K3632="Less",$P3632,0)</f>
        <v>0</v>
      </c>
      <c r="U3632" s="64" t="n">
        <f aca="false">IF($K3632="Expected",$P3632,0)</f>
        <v>0</v>
      </c>
      <c r="V3632" s="64" t="n">
        <f aca="false">IF($K3632="Better",$P3632,0)</f>
        <v>0</v>
      </c>
      <c r="W3632" s="64" t="n">
        <f aca="false">IF($K3632="U – needs rule",$P3632,0)</f>
        <v>0</v>
      </c>
      <c r="X3632" s="64" t="n">
        <f aca="false">IF($K3632="No Start (attainment only)",$P3632,0)</f>
        <v>0</v>
      </c>
    </row>
    <row r="3633" customFormat="false" ht="15" hidden="false" customHeight="false" outlineLevel="0" collapsed="false">
      <c r="A3633" s="60"/>
      <c r="B3633" s="61" t="str">
        <f aca="false">IF($M3633=0,"",INDEX(Classes!$E$6:$E$420,$M3633))</f>
        <v/>
      </c>
      <c r="C3633" s="62" t="str">
        <f aca="false">IF($M3633=0,"",INDEX(Classes!$H$6:$H$420,$M3633))</f>
        <v/>
      </c>
      <c r="D3633" s="61" t="str">
        <f aca="false">IF($M3633=0,"",INDEX(Classes!$B$6:$B$420,$M3633))</f>
        <v/>
      </c>
      <c r="E3633" s="61" t="str">
        <f aca="false">IF($M3633=0,"",INDEX(Classes!$C$6:$C$420,$M3633))</f>
        <v/>
      </c>
      <c r="F3633" s="63"/>
      <c r="G3633" s="63"/>
      <c r="H3633" s="60"/>
      <c r="I3633" s="60"/>
      <c r="J3633" s="63"/>
      <c r="K3633" s="61" t="str">
        <f aca="false">IF($P3633=0,"",IF($F3633="Baseline","— Baseline",IF($O3633=0,"No result",IF($N3633=0,"No Start (attainment only)",IF(OR($N3633=1,$O3633=1),"U – needs rule",INDEX(MxBody,MATCH($I3633,MxCurr,0),MATCH($H3633,MxStart,0)))))))</f>
        <v/>
      </c>
      <c r="L3633" s="62" t="str">
        <f aca="false">IF(COUNTA($A3633,$F3633,$G3633,$H3633,$I3633,$J3633)=0,"",IF($M3633=0,"✖ كود الصف غير موجود",IF(ISNA(MATCH($F3633,Lists!$A$2:$A$5,0)),"✖ الفترة غير صحيحة",IF(ISNA(MATCH($G3633,Lists!$B$2:$B$7,0)),"✖ المجموعة غير صحيحة",IF(NOT(OR($H3633="",$N3633&gt;0)),"✖ Start غير صحيح",IF(NOT(OR($I3633="",$I3633="NR",$O3633&gt;0)),"✖ Current غير صحيح",IF(NOT(IF(ISNUMBER($J3633),AND($J3633&gt;=0,$J3633=INT($J3633)),FALSE())),"✖ العدد يجب أن يكون صحيحًا ≥ 0",IF(AND($F3633="Baseline",$H3633&lt;&gt;""),"⚠ Baseline: Start لا يدخل في التقدم",IF($K3633="No Start (attainment only)","ℹ تحصيل فقط (بدون Start)",IF($K3633="U – needs rule","ℹ حالة U تحتاج قاعدة معتمدة",IF($K3633="No result","ℹ بدون نتيجة (يُستبعد من التحصيل)","OK")))))))))))</f>
        <v/>
      </c>
      <c r="M3633" s="64" t="n">
        <f aca="false">IF($A3633="",0,IFERROR(MATCH($A3633,Classes!$A$6:$A$420,0),0))</f>
        <v>0</v>
      </c>
      <c r="N3633" s="64" t="n">
        <f aca="false">IF($H3633="",0,IFERROR(MATCH($H3633,GradeList,0),0))</f>
        <v>0</v>
      </c>
      <c r="O3633" s="64" t="n">
        <f aca="false">IF(OR($I3633="",$I3633="NR"),0,IFERROR(MATCH($I3633,GradeList,0),0))</f>
        <v>0</v>
      </c>
      <c r="P3633" s="64" t="n">
        <f aca="false">IF(AND($M3633&gt;0,ISNUMBER(MATCH($F3633,Lists!$A$2:$A$5,0)),ISNUMBER(MATCH($G3633,Lists!$B$2:$B$7,0)),OR($H3633="",$N3633&gt;0),OR($I3633="",$I3633="NR",$O3633&gt;0),IF(ISNUMBER($J3633),AND($J3633&gt;=0,$J3633=INT($J3633)),FALSE())),$J3633,0)</f>
        <v>0</v>
      </c>
      <c r="Q3633" s="64" t="n">
        <f aca="false">IF(AND($P3633&gt;0,$O3633&gt;0),$P3633,0)</f>
        <v>0</v>
      </c>
      <c r="R3633" s="64" t="n">
        <f aca="false">IF(AND($Q3633&gt;0,$O3633&gt;=AtRank),$Q3633,0)</f>
        <v>0</v>
      </c>
      <c r="S3633" s="64" t="n">
        <f aca="false">IF(AND($Q3633&gt;0,$O3633&gt;=AboveRank),$Q3633,0)</f>
        <v>0</v>
      </c>
      <c r="T3633" s="64" t="n">
        <f aca="false">IF($K3633="Less",$P3633,0)</f>
        <v>0</v>
      </c>
      <c r="U3633" s="64" t="n">
        <f aca="false">IF($K3633="Expected",$P3633,0)</f>
        <v>0</v>
      </c>
      <c r="V3633" s="64" t="n">
        <f aca="false">IF($K3633="Better",$P3633,0)</f>
        <v>0</v>
      </c>
      <c r="W3633" s="64" t="n">
        <f aca="false">IF($K3633="U – needs rule",$P3633,0)</f>
        <v>0</v>
      </c>
      <c r="X3633" s="64" t="n">
        <f aca="false">IF($K3633="No Start (attainment only)",$P3633,0)</f>
        <v>0</v>
      </c>
    </row>
    <row r="3634" customFormat="false" ht="15" hidden="false" customHeight="false" outlineLevel="0" collapsed="false">
      <c r="A3634" s="60"/>
      <c r="B3634" s="61" t="str">
        <f aca="false">IF($M3634=0,"",INDEX(Classes!$E$6:$E$420,$M3634))</f>
        <v/>
      </c>
      <c r="C3634" s="62" t="str">
        <f aca="false">IF($M3634=0,"",INDEX(Classes!$H$6:$H$420,$M3634))</f>
        <v/>
      </c>
      <c r="D3634" s="61" t="str">
        <f aca="false">IF($M3634=0,"",INDEX(Classes!$B$6:$B$420,$M3634))</f>
        <v/>
      </c>
      <c r="E3634" s="61" t="str">
        <f aca="false">IF($M3634=0,"",INDEX(Classes!$C$6:$C$420,$M3634))</f>
        <v/>
      </c>
      <c r="F3634" s="63"/>
      <c r="G3634" s="63"/>
      <c r="H3634" s="60"/>
      <c r="I3634" s="60"/>
      <c r="J3634" s="63"/>
      <c r="K3634" s="61" t="str">
        <f aca="false">IF($P3634=0,"",IF($F3634="Baseline","— Baseline",IF($O3634=0,"No result",IF($N3634=0,"No Start (attainment only)",IF(OR($N3634=1,$O3634=1),"U – needs rule",INDEX(MxBody,MATCH($I3634,MxCurr,0),MATCH($H3634,MxStart,0)))))))</f>
        <v/>
      </c>
      <c r="L3634" s="62" t="str">
        <f aca="false">IF(COUNTA($A3634,$F3634,$G3634,$H3634,$I3634,$J3634)=0,"",IF($M3634=0,"✖ كود الصف غير موجود",IF(ISNA(MATCH($F3634,Lists!$A$2:$A$5,0)),"✖ الفترة غير صحيحة",IF(ISNA(MATCH($G3634,Lists!$B$2:$B$7,0)),"✖ المجموعة غير صحيحة",IF(NOT(OR($H3634="",$N3634&gt;0)),"✖ Start غير صحيح",IF(NOT(OR($I3634="",$I3634="NR",$O3634&gt;0)),"✖ Current غير صحيح",IF(NOT(IF(ISNUMBER($J3634),AND($J3634&gt;=0,$J3634=INT($J3634)),FALSE())),"✖ العدد يجب أن يكون صحيحًا ≥ 0",IF(AND($F3634="Baseline",$H3634&lt;&gt;""),"⚠ Baseline: Start لا يدخل في التقدم",IF($K3634="No Start (attainment only)","ℹ تحصيل فقط (بدون Start)",IF($K3634="U – needs rule","ℹ حالة U تحتاج قاعدة معتمدة",IF($K3634="No result","ℹ بدون نتيجة (يُستبعد من التحصيل)","OK")))))))))))</f>
        <v/>
      </c>
      <c r="M3634" s="64" t="n">
        <f aca="false">IF($A3634="",0,IFERROR(MATCH($A3634,Classes!$A$6:$A$420,0),0))</f>
        <v>0</v>
      </c>
      <c r="N3634" s="64" t="n">
        <f aca="false">IF($H3634="",0,IFERROR(MATCH($H3634,GradeList,0),0))</f>
        <v>0</v>
      </c>
      <c r="O3634" s="64" t="n">
        <f aca="false">IF(OR($I3634="",$I3634="NR"),0,IFERROR(MATCH($I3634,GradeList,0),0))</f>
        <v>0</v>
      </c>
      <c r="P3634" s="64" t="n">
        <f aca="false">IF(AND($M3634&gt;0,ISNUMBER(MATCH($F3634,Lists!$A$2:$A$5,0)),ISNUMBER(MATCH($G3634,Lists!$B$2:$B$7,0)),OR($H3634="",$N3634&gt;0),OR($I3634="",$I3634="NR",$O3634&gt;0),IF(ISNUMBER($J3634),AND($J3634&gt;=0,$J3634=INT($J3634)),FALSE())),$J3634,0)</f>
        <v>0</v>
      </c>
      <c r="Q3634" s="64" t="n">
        <f aca="false">IF(AND($P3634&gt;0,$O3634&gt;0),$P3634,0)</f>
        <v>0</v>
      </c>
      <c r="R3634" s="64" t="n">
        <f aca="false">IF(AND($Q3634&gt;0,$O3634&gt;=AtRank),$Q3634,0)</f>
        <v>0</v>
      </c>
      <c r="S3634" s="64" t="n">
        <f aca="false">IF(AND($Q3634&gt;0,$O3634&gt;=AboveRank),$Q3634,0)</f>
        <v>0</v>
      </c>
      <c r="T3634" s="64" t="n">
        <f aca="false">IF($K3634="Less",$P3634,0)</f>
        <v>0</v>
      </c>
      <c r="U3634" s="64" t="n">
        <f aca="false">IF($K3634="Expected",$P3634,0)</f>
        <v>0</v>
      </c>
      <c r="V3634" s="64" t="n">
        <f aca="false">IF($K3634="Better",$P3634,0)</f>
        <v>0</v>
      </c>
      <c r="W3634" s="64" t="n">
        <f aca="false">IF($K3634="U – needs rule",$P3634,0)</f>
        <v>0</v>
      </c>
      <c r="X3634" s="64" t="n">
        <f aca="false">IF($K3634="No Start (attainment only)",$P3634,0)</f>
        <v>0</v>
      </c>
    </row>
    <row r="3635" customFormat="false" ht="15" hidden="false" customHeight="false" outlineLevel="0" collapsed="false">
      <c r="A3635" s="60"/>
      <c r="B3635" s="61" t="str">
        <f aca="false">IF($M3635=0,"",INDEX(Classes!$E$6:$E$420,$M3635))</f>
        <v/>
      </c>
      <c r="C3635" s="62" t="str">
        <f aca="false">IF($M3635=0,"",INDEX(Classes!$H$6:$H$420,$M3635))</f>
        <v/>
      </c>
      <c r="D3635" s="61" t="str">
        <f aca="false">IF($M3635=0,"",INDEX(Classes!$B$6:$B$420,$M3635))</f>
        <v/>
      </c>
      <c r="E3635" s="61" t="str">
        <f aca="false">IF($M3635=0,"",INDEX(Classes!$C$6:$C$420,$M3635))</f>
        <v/>
      </c>
      <c r="F3635" s="63"/>
      <c r="G3635" s="63"/>
      <c r="H3635" s="60"/>
      <c r="I3635" s="60"/>
      <c r="J3635" s="63"/>
      <c r="K3635" s="61" t="str">
        <f aca="false">IF($P3635=0,"",IF($F3635="Baseline","— Baseline",IF($O3635=0,"No result",IF($N3635=0,"No Start (attainment only)",IF(OR($N3635=1,$O3635=1),"U – needs rule",INDEX(MxBody,MATCH($I3635,MxCurr,0),MATCH($H3635,MxStart,0)))))))</f>
        <v/>
      </c>
      <c r="L3635" s="62" t="str">
        <f aca="false">IF(COUNTA($A3635,$F3635,$G3635,$H3635,$I3635,$J3635)=0,"",IF($M3635=0,"✖ كود الصف غير موجود",IF(ISNA(MATCH($F3635,Lists!$A$2:$A$5,0)),"✖ الفترة غير صحيحة",IF(ISNA(MATCH($G3635,Lists!$B$2:$B$7,0)),"✖ المجموعة غير صحيحة",IF(NOT(OR($H3635="",$N3635&gt;0)),"✖ Start غير صحيح",IF(NOT(OR($I3635="",$I3635="NR",$O3635&gt;0)),"✖ Current غير صحيح",IF(NOT(IF(ISNUMBER($J3635),AND($J3635&gt;=0,$J3635=INT($J3635)),FALSE())),"✖ العدد يجب أن يكون صحيحًا ≥ 0",IF(AND($F3635="Baseline",$H3635&lt;&gt;""),"⚠ Baseline: Start لا يدخل في التقدم",IF($K3635="No Start (attainment only)","ℹ تحصيل فقط (بدون Start)",IF($K3635="U – needs rule","ℹ حالة U تحتاج قاعدة معتمدة",IF($K3635="No result","ℹ بدون نتيجة (يُستبعد من التحصيل)","OK")))))))))))</f>
        <v/>
      </c>
      <c r="M3635" s="64" t="n">
        <f aca="false">IF($A3635="",0,IFERROR(MATCH($A3635,Classes!$A$6:$A$420,0),0))</f>
        <v>0</v>
      </c>
      <c r="N3635" s="64" t="n">
        <f aca="false">IF($H3635="",0,IFERROR(MATCH($H3635,GradeList,0),0))</f>
        <v>0</v>
      </c>
      <c r="O3635" s="64" t="n">
        <f aca="false">IF(OR($I3635="",$I3635="NR"),0,IFERROR(MATCH($I3635,GradeList,0),0))</f>
        <v>0</v>
      </c>
      <c r="P3635" s="64" t="n">
        <f aca="false">IF(AND($M3635&gt;0,ISNUMBER(MATCH($F3635,Lists!$A$2:$A$5,0)),ISNUMBER(MATCH($G3635,Lists!$B$2:$B$7,0)),OR($H3635="",$N3635&gt;0),OR($I3635="",$I3635="NR",$O3635&gt;0),IF(ISNUMBER($J3635),AND($J3635&gt;=0,$J3635=INT($J3635)),FALSE())),$J3635,0)</f>
        <v>0</v>
      </c>
      <c r="Q3635" s="64" t="n">
        <f aca="false">IF(AND($P3635&gt;0,$O3635&gt;0),$P3635,0)</f>
        <v>0</v>
      </c>
      <c r="R3635" s="64" t="n">
        <f aca="false">IF(AND($Q3635&gt;0,$O3635&gt;=AtRank),$Q3635,0)</f>
        <v>0</v>
      </c>
      <c r="S3635" s="64" t="n">
        <f aca="false">IF(AND($Q3635&gt;0,$O3635&gt;=AboveRank),$Q3635,0)</f>
        <v>0</v>
      </c>
      <c r="T3635" s="64" t="n">
        <f aca="false">IF($K3635="Less",$P3635,0)</f>
        <v>0</v>
      </c>
      <c r="U3635" s="64" t="n">
        <f aca="false">IF($K3635="Expected",$P3635,0)</f>
        <v>0</v>
      </c>
      <c r="V3635" s="64" t="n">
        <f aca="false">IF($K3635="Better",$P3635,0)</f>
        <v>0</v>
      </c>
      <c r="W3635" s="64" t="n">
        <f aca="false">IF($K3635="U – needs rule",$P3635,0)</f>
        <v>0</v>
      </c>
      <c r="X3635" s="64" t="n">
        <f aca="false">IF($K3635="No Start (attainment only)",$P3635,0)</f>
        <v>0</v>
      </c>
    </row>
    <row r="3636" customFormat="false" ht="15" hidden="false" customHeight="false" outlineLevel="0" collapsed="false">
      <c r="A3636" s="60"/>
      <c r="B3636" s="61" t="str">
        <f aca="false">IF($M3636=0,"",INDEX(Classes!$E$6:$E$420,$M3636))</f>
        <v/>
      </c>
      <c r="C3636" s="62" t="str">
        <f aca="false">IF($M3636=0,"",INDEX(Classes!$H$6:$H$420,$M3636))</f>
        <v/>
      </c>
      <c r="D3636" s="61" t="str">
        <f aca="false">IF($M3636=0,"",INDEX(Classes!$B$6:$B$420,$M3636))</f>
        <v/>
      </c>
      <c r="E3636" s="61" t="str">
        <f aca="false">IF($M3636=0,"",INDEX(Classes!$C$6:$C$420,$M3636))</f>
        <v/>
      </c>
      <c r="F3636" s="63"/>
      <c r="G3636" s="63"/>
      <c r="H3636" s="60"/>
      <c r="I3636" s="60"/>
      <c r="J3636" s="63"/>
      <c r="K3636" s="61" t="str">
        <f aca="false">IF($P3636=0,"",IF($F3636="Baseline","— Baseline",IF($O3636=0,"No result",IF($N3636=0,"No Start (attainment only)",IF(OR($N3636=1,$O3636=1),"U – needs rule",INDEX(MxBody,MATCH($I3636,MxCurr,0),MATCH($H3636,MxStart,0)))))))</f>
        <v/>
      </c>
      <c r="L3636" s="62" t="str">
        <f aca="false">IF(COUNTA($A3636,$F3636,$G3636,$H3636,$I3636,$J3636)=0,"",IF($M3636=0,"✖ كود الصف غير موجود",IF(ISNA(MATCH($F3636,Lists!$A$2:$A$5,0)),"✖ الفترة غير صحيحة",IF(ISNA(MATCH($G3636,Lists!$B$2:$B$7,0)),"✖ المجموعة غير صحيحة",IF(NOT(OR($H3636="",$N3636&gt;0)),"✖ Start غير صحيح",IF(NOT(OR($I3636="",$I3636="NR",$O3636&gt;0)),"✖ Current غير صحيح",IF(NOT(IF(ISNUMBER($J3636),AND($J3636&gt;=0,$J3636=INT($J3636)),FALSE())),"✖ العدد يجب أن يكون صحيحًا ≥ 0",IF(AND($F3636="Baseline",$H3636&lt;&gt;""),"⚠ Baseline: Start لا يدخل في التقدم",IF($K3636="No Start (attainment only)","ℹ تحصيل فقط (بدون Start)",IF($K3636="U – needs rule","ℹ حالة U تحتاج قاعدة معتمدة",IF($K3636="No result","ℹ بدون نتيجة (يُستبعد من التحصيل)","OK")))))))))))</f>
        <v/>
      </c>
      <c r="M3636" s="64" t="n">
        <f aca="false">IF($A3636="",0,IFERROR(MATCH($A3636,Classes!$A$6:$A$420,0),0))</f>
        <v>0</v>
      </c>
      <c r="N3636" s="64" t="n">
        <f aca="false">IF($H3636="",0,IFERROR(MATCH($H3636,GradeList,0),0))</f>
        <v>0</v>
      </c>
      <c r="O3636" s="64" t="n">
        <f aca="false">IF(OR($I3636="",$I3636="NR"),0,IFERROR(MATCH($I3636,GradeList,0),0))</f>
        <v>0</v>
      </c>
      <c r="P3636" s="64" t="n">
        <f aca="false">IF(AND($M3636&gt;0,ISNUMBER(MATCH($F3636,Lists!$A$2:$A$5,0)),ISNUMBER(MATCH($G3636,Lists!$B$2:$B$7,0)),OR($H3636="",$N3636&gt;0),OR($I3636="",$I3636="NR",$O3636&gt;0),IF(ISNUMBER($J3636),AND($J3636&gt;=0,$J3636=INT($J3636)),FALSE())),$J3636,0)</f>
        <v>0</v>
      </c>
      <c r="Q3636" s="64" t="n">
        <f aca="false">IF(AND($P3636&gt;0,$O3636&gt;0),$P3636,0)</f>
        <v>0</v>
      </c>
      <c r="R3636" s="64" t="n">
        <f aca="false">IF(AND($Q3636&gt;0,$O3636&gt;=AtRank),$Q3636,0)</f>
        <v>0</v>
      </c>
      <c r="S3636" s="64" t="n">
        <f aca="false">IF(AND($Q3636&gt;0,$O3636&gt;=AboveRank),$Q3636,0)</f>
        <v>0</v>
      </c>
      <c r="T3636" s="64" t="n">
        <f aca="false">IF($K3636="Less",$P3636,0)</f>
        <v>0</v>
      </c>
      <c r="U3636" s="64" t="n">
        <f aca="false">IF($K3636="Expected",$P3636,0)</f>
        <v>0</v>
      </c>
      <c r="V3636" s="64" t="n">
        <f aca="false">IF($K3636="Better",$P3636,0)</f>
        <v>0</v>
      </c>
      <c r="W3636" s="64" t="n">
        <f aca="false">IF($K3636="U – needs rule",$P3636,0)</f>
        <v>0</v>
      </c>
      <c r="X3636" s="64" t="n">
        <f aca="false">IF($K3636="No Start (attainment only)",$P3636,0)</f>
        <v>0</v>
      </c>
    </row>
    <row r="3637" customFormat="false" ht="15" hidden="false" customHeight="false" outlineLevel="0" collapsed="false">
      <c r="A3637" s="60"/>
      <c r="B3637" s="61" t="str">
        <f aca="false">IF($M3637=0,"",INDEX(Classes!$E$6:$E$420,$M3637))</f>
        <v/>
      </c>
      <c r="C3637" s="62" t="str">
        <f aca="false">IF($M3637=0,"",INDEX(Classes!$H$6:$H$420,$M3637))</f>
        <v/>
      </c>
      <c r="D3637" s="61" t="str">
        <f aca="false">IF($M3637=0,"",INDEX(Classes!$B$6:$B$420,$M3637))</f>
        <v/>
      </c>
      <c r="E3637" s="61" t="str">
        <f aca="false">IF($M3637=0,"",INDEX(Classes!$C$6:$C$420,$M3637))</f>
        <v/>
      </c>
      <c r="F3637" s="63"/>
      <c r="G3637" s="63"/>
      <c r="H3637" s="60"/>
      <c r="I3637" s="60"/>
      <c r="J3637" s="63"/>
      <c r="K3637" s="61" t="str">
        <f aca="false">IF($P3637=0,"",IF($F3637="Baseline","— Baseline",IF($O3637=0,"No result",IF($N3637=0,"No Start (attainment only)",IF(OR($N3637=1,$O3637=1),"U – needs rule",INDEX(MxBody,MATCH($I3637,MxCurr,0),MATCH($H3637,MxStart,0)))))))</f>
        <v/>
      </c>
      <c r="L3637" s="62" t="str">
        <f aca="false">IF(COUNTA($A3637,$F3637,$G3637,$H3637,$I3637,$J3637)=0,"",IF($M3637=0,"✖ كود الصف غير موجود",IF(ISNA(MATCH($F3637,Lists!$A$2:$A$5,0)),"✖ الفترة غير صحيحة",IF(ISNA(MATCH($G3637,Lists!$B$2:$B$7,0)),"✖ المجموعة غير صحيحة",IF(NOT(OR($H3637="",$N3637&gt;0)),"✖ Start غير صحيح",IF(NOT(OR($I3637="",$I3637="NR",$O3637&gt;0)),"✖ Current غير صحيح",IF(NOT(IF(ISNUMBER($J3637),AND($J3637&gt;=0,$J3637=INT($J3637)),FALSE())),"✖ العدد يجب أن يكون صحيحًا ≥ 0",IF(AND($F3637="Baseline",$H3637&lt;&gt;""),"⚠ Baseline: Start لا يدخل في التقدم",IF($K3637="No Start (attainment only)","ℹ تحصيل فقط (بدون Start)",IF($K3637="U – needs rule","ℹ حالة U تحتاج قاعدة معتمدة",IF($K3637="No result","ℹ بدون نتيجة (يُستبعد من التحصيل)","OK")))))))))))</f>
        <v/>
      </c>
      <c r="M3637" s="64" t="n">
        <f aca="false">IF($A3637="",0,IFERROR(MATCH($A3637,Classes!$A$6:$A$420,0),0))</f>
        <v>0</v>
      </c>
      <c r="N3637" s="64" t="n">
        <f aca="false">IF($H3637="",0,IFERROR(MATCH($H3637,GradeList,0),0))</f>
        <v>0</v>
      </c>
      <c r="O3637" s="64" t="n">
        <f aca="false">IF(OR($I3637="",$I3637="NR"),0,IFERROR(MATCH($I3637,GradeList,0),0))</f>
        <v>0</v>
      </c>
      <c r="P3637" s="64" t="n">
        <f aca="false">IF(AND($M3637&gt;0,ISNUMBER(MATCH($F3637,Lists!$A$2:$A$5,0)),ISNUMBER(MATCH($G3637,Lists!$B$2:$B$7,0)),OR($H3637="",$N3637&gt;0),OR($I3637="",$I3637="NR",$O3637&gt;0),IF(ISNUMBER($J3637),AND($J3637&gt;=0,$J3637=INT($J3637)),FALSE())),$J3637,0)</f>
        <v>0</v>
      </c>
      <c r="Q3637" s="64" t="n">
        <f aca="false">IF(AND($P3637&gt;0,$O3637&gt;0),$P3637,0)</f>
        <v>0</v>
      </c>
      <c r="R3637" s="64" t="n">
        <f aca="false">IF(AND($Q3637&gt;0,$O3637&gt;=AtRank),$Q3637,0)</f>
        <v>0</v>
      </c>
      <c r="S3637" s="64" t="n">
        <f aca="false">IF(AND($Q3637&gt;0,$O3637&gt;=AboveRank),$Q3637,0)</f>
        <v>0</v>
      </c>
      <c r="T3637" s="64" t="n">
        <f aca="false">IF($K3637="Less",$P3637,0)</f>
        <v>0</v>
      </c>
      <c r="U3637" s="64" t="n">
        <f aca="false">IF($K3637="Expected",$P3637,0)</f>
        <v>0</v>
      </c>
      <c r="V3637" s="64" t="n">
        <f aca="false">IF($K3637="Better",$P3637,0)</f>
        <v>0</v>
      </c>
      <c r="W3637" s="64" t="n">
        <f aca="false">IF($K3637="U – needs rule",$P3637,0)</f>
        <v>0</v>
      </c>
      <c r="X3637" s="64" t="n">
        <f aca="false">IF($K3637="No Start (attainment only)",$P3637,0)</f>
        <v>0</v>
      </c>
    </row>
    <row r="3638" customFormat="false" ht="15" hidden="false" customHeight="false" outlineLevel="0" collapsed="false">
      <c r="A3638" s="60"/>
      <c r="B3638" s="61" t="str">
        <f aca="false">IF($M3638=0,"",INDEX(Classes!$E$6:$E$420,$M3638))</f>
        <v/>
      </c>
      <c r="C3638" s="62" t="str">
        <f aca="false">IF($M3638=0,"",INDEX(Classes!$H$6:$H$420,$M3638))</f>
        <v/>
      </c>
      <c r="D3638" s="61" t="str">
        <f aca="false">IF($M3638=0,"",INDEX(Classes!$B$6:$B$420,$M3638))</f>
        <v/>
      </c>
      <c r="E3638" s="61" t="str">
        <f aca="false">IF($M3638=0,"",INDEX(Classes!$C$6:$C$420,$M3638))</f>
        <v/>
      </c>
      <c r="F3638" s="63"/>
      <c r="G3638" s="63"/>
      <c r="H3638" s="60"/>
      <c r="I3638" s="60"/>
      <c r="J3638" s="63"/>
      <c r="K3638" s="61" t="str">
        <f aca="false">IF($P3638=0,"",IF($F3638="Baseline","— Baseline",IF($O3638=0,"No result",IF($N3638=0,"No Start (attainment only)",IF(OR($N3638=1,$O3638=1),"U – needs rule",INDEX(MxBody,MATCH($I3638,MxCurr,0),MATCH($H3638,MxStart,0)))))))</f>
        <v/>
      </c>
      <c r="L3638" s="62" t="str">
        <f aca="false">IF(COUNTA($A3638,$F3638,$G3638,$H3638,$I3638,$J3638)=0,"",IF($M3638=0,"✖ كود الصف غير موجود",IF(ISNA(MATCH($F3638,Lists!$A$2:$A$5,0)),"✖ الفترة غير صحيحة",IF(ISNA(MATCH($G3638,Lists!$B$2:$B$7,0)),"✖ المجموعة غير صحيحة",IF(NOT(OR($H3638="",$N3638&gt;0)),"✖ Start غير صحيح",IF(NOT(OR($I3638="",$I3638="NR",$O3638&gt;0)),"✖ Current غير صحيح",IF(NOT(IF(ISNUMBER($J3638),AND($J3638&gt;=0,$J3638=INT($J3638)),FALSE())),"✖ العدد يجب أن يكون صحيحًا ≥ 0",IF(AND($F3638="Baseline",$H3638&lt;&gt;""),"⚠ Baseline: Start لا يدخل في التقدم",IF($K3638="No Start (attainment only)","ℹ تحصيل فقط (بدون Start)",IF($K3638="U – needs rule","ℹ حالة U تحتاج قاعدة معتمدة",IF($K3638="No result","ℹ بدون نتيجة (يُستبعد من التحصيل)","OK")))))))))))</f>
        <v/>
      </c>
      <c r="M3638" s="64" t="n">
        <f aca="false">IF($A3638="",0,IFERROR(MATCH($A3638,Classes!$A$6:$A$420,0),0))</f>
        <v>0</v>
      </c>
      <c r="N3638" s="64" t="n">
        <f aca="false">IF($H3638="",0,IFERROR(MATCH($H3638,GradeList,0),0))</f>
        <v>0</v>
      </c>
      <c r="O3638" s="64" t="n">
        <f aca="false">IF(OR($I3638="",$I3638="NR"),0,IFERROR(MATCH($I3638,GradeList,0),0))</f>
        <v>0</v>
      </c>
      <c r="P3638" s="64" t="n">
        <f aca="false">IF(AND($M3638&gt;0,ISNUMBER(MATCH($F3638,Lists!$A$2:$A$5,0)),ISNUMBER(MATCH($G3638,Lists!$B$2:$B$7,0)),OR($H3638="",$N3638&gt;0),OR($I3638="",$I3638="NR",$O3638&gt;0),IF(ISNUMBER($J3638),AND($J3638&gt;=0,$J3638=INT($J3638)),FALSE())),$J3638,0)</f>
        <v>0</v>
      </c>
      <c r="Q3638" s="64" t="n">
        <f aca="false">IF(AND($P3638&gt;0,$O3638&gt;0),$P3638,0)</f>
        <v>0</v>
      </c>
      <c r="R3638" s="64" t="n">
        <f aca="false">IF(AND($Q3638&gt;0,$O3638&gt;=AtRank),$Q3638,0)</f>
        <v>0</v>
      </c>
      <c r="S3638" s="64" t="n">
        <f aca="false">IF(AND($Q3638&gt;0,$O3638&gt;=AboveRank),$Q3638,0)</f>
        <v>0</v>
      </c>
      <c r="T3638" s="64" t="n">
        <f aca="false">IF($K3638="Less",$P3638,0)</f>
        <v>0</v>
      </c>
      <c r="U3638" s="64" t="n">
        <f aca="false">IF($K3638="Expected",$P3638,0)</f>
        <v>0</v>
      </c>
      <c r="V3638" s="64" t="n">
        <f aca="false">IF($K3638="Better",$P3638,0)</f>
        <v>0</v>
      </c>
      <c r="W3638" s="64" t="n">
        <f aca="false">IF($K3638="U – needs rule",$P3638,0)</f>
        <v>0</v>
      </c>
      <c r="X3638" s="64" t="n">
        <f aca="false">IF($K3638="No Start (attainment only)",$P3638,0)</f>
        <v>0</v>
      </c>
    </row>
    <row r="3639" customFormat="false" ht="15" hidden="false" customHeight="false" outlineLevel="0" collapsed="false">
      <c r="A3639" s="60"/>
      <c r="B3639" s="61" t="str">
        <f aca="false">IF($M3639=0,"",INDEX(Classes!$E$6:$E$420,$M3639))</f>
        <v/>
      </c>
      <c r="C3639" s="62" t="str">
        <f aca="false">IF($M3639=0,"",INDEX(Classes!$H$6:$H$420,$M3639))</f>
        <v/>
      </c>
      <c r="D3639" s="61" t="str">
        <f aca="false">IF($M3639=0,"",INDEX(Classes!$B$6:$B$420,$M3639))</f>
        <v/>
      </c>
      <c r="E3639" s="61" t="str">
        <f aca="false">IF($M3639=0,"",INDEX(Classes!$C$6:$C$420,$M3639))</f>
        <v/>
      </c>
      <c r="F3639" s="63"/>
      <c r="G3639" s="63"/>
      <c r="H3639" s="60"/>
      <c r="I3639" s="60"/>
      <c r="J3639" s="63"/>
      <c r="K3639" s="61" t="str">
        <f aca="false">IF($P3639=0,"",IF($F3639="Baseline","— Baseline",IF($O3639=0,"No result",IF($N3639=0,"No Start (attainment only)",IF(OR($N3639=1,$O3639=1),"U – needs rule",INDEX(MxBody,MATCH($I3639,MxCurr,0),MATCH($H3639,MxStart,0)))))))</f>
        <v/>
      </c>
      <c r="L3639" s="62" t="str">
        <f aca="false">IF(COUNTA($A3639,$F3639,$G3639,$H3639,$I3639,$J3639)=0,"",IF($M3639=0,"✖ كود الصف غير موجود",IF(ISNA(MATCH($F3639,Lists!$A$2:$A$5,0)),"✖ الفترة غير صحيحة",IF(ISNA(MATCH($G3639,Lists!$B$2:$B$7,0)),"✖ المجموعة غير صحيحة",IF(NOT(OR($H3639="",$N3639&gt;0)),"✖ Start غير صحيح",IF(NOT(OR($I3639="",$I3639="NR",$O3639&gt;0)),"✖ Current غير صحيح",IF(NOT(IF(ISNUMBER($J3639),AND($J3639&gt;=0,$J3639=INT($J3639)),FALSE())),"✖ العدد يجب أن يكون صحيحًا ≥ 0",IF(AND($F3639="Baseline",$H3639&lt;&gt;""),"⚠ Baseline: Start لا يدخل في التقدم",IF($K3639="No Start (attainment only)","ℹ تحصيل فقط (بدون Start)",IF($K3639="U – needs rule","ℹ حالة U تحتاج قاعدة معتمدة",IF($K3639="No result","ℹ بدون نتيجة (يُستبعد من التحصيل)","OK")))))))))))</f>
        <v/>
      </c>
      <c r="M3639" s="64" t="n">
        <f aca="false">IF($A3639="",0,IFERROR(MATCH($A3639,Classes!$A$6:$A$420,0),0))</f>
        <v>0</v>
      </c>
      <c r="N3639" s="64" t="n">
        <f aca="false">IF($H3639="",0,IFERROR(MATCH($H3639,GradeList,0),0))</f>
        <v>0</v>
      </c>
      <c r="O3639" s="64" t="n">
        <f aca="false">IF(OR($I3639="",$I3639="NR"),0,IFERROR(MATCH($I3639,GradeList,0),0))</f>
        <v>0</v>
      </c>
      <c r="P3639" s="64" t="n">
        <f aca="false">IF(AND($M3639&gt;0,ISNUMBER(MATCH($F3639,Lists!$A$2:$A$5,0)),ISNUMBER(MATCH($G3639,Lists!$B$2:$B$7,0)),OR($H3639="",$N3639&gt;0),OR($I3639="",$I3639="NR",$O3639&gt;0),IF(ISNUMBER($J3639),AND($J3639&gt;=0,$J3639=INT($J3639)),FALSE())),$J3639,0)</f>
        <v>0</v>
      </c>
      <c r="Q3639" s="64" t="n">
        <f aca="false">IF(AND($P3639&gt;0,$O3639&gt;0),$P3639,0)</f>
        <v>0</v>
      </c>
      <c r="R3639" s="64" t="n">
        <f aca="false">IF(AND($Q3639&gt;0,$O3639&gt;=AtRank),$Q3639,0)</f>
        <v>0</v>
      </c>
      <c r="S3639" s="64" t="n">
        <f aca="false">IF(AND($Q3639&gt;0,$O3639&gt;=AboveRank),$Q3639,0)</f>
        <v>0</v>
      </c>
      <c r="T3639" s="64" t="n">
        <f aca="false">IF($K3639="Less",$P3639,0)</f>
        <v>0</v>
      </c>
      <c r="U3639" s="64" t="n">
        <f aca="false">IF($K3639="Expected",$P3639,0)</f>
        <v>0</v>
      </c>
      <c r="V3639" s="64" t="n">
        <f aca="false">IF($K3639="Better",$P3639,0)</f>
        <v>0</v>
      </c>
      <c r="W3639" s="64" t="n">
        <f aca="false">IF($K3639="U – needs rule",$P3639,0)</f>
        <v>0</v>
      </c>
      <c r="X3639" s="64" t="n">
        <f aca="false">IF($K3639="No Start (attainment only)",$P3639,0)</f>
        <v>0</v>
      </c>
    </row>
    <row r="3640" customFormat="false" ht="15" hidden="false" customHeight="false" outlineLevel="0" collapsed="false">
      <c r="A3640" s="60"/>
      <c r="B3640" s="61" t="str">
        <f aca="false">IF($M3640=0,"",INDEX(Classes!$E$6:$E$420,$M3640))</f>
        <v/>
      </c>
      <c r="C3640" s="62" t="str">
        <f aca="false">IF($M3640=0,"",INDEX(Classes!$H$6:$H$420,$M3640))</f>
        <v/>
      </c>
      <c r="D3640" s="61" t="str">
        <f aca="false">IF($M3640=0,"",INDEX(Classes!$B$6:$B$420,$M3640))</f>
        <v/>
      </c>
      <c r="E3640" s="61" t="str">
        <f aca="false">IF($M3640=0,"",INDEX(Classes!$C$6:$C$420,$M3640))</f>
        <v/>
      </c>
      <c r="F3640" s="63"/>
      <c r="G3640" s="63"/>
      <c r="H3640" s="60"/>
      <c r="I3640" s="60"/>
      <c r="J3640" s="63"/>
      <c r="K3640" s="61" t="str">
        <f aca="false">IF($P3640=0,"",IF($F3640="Baseline","— Baseline",IF($O3640=0,"No result",IF($N3640=0,"No Start (attainment only)",IF(OR($N3640=1,$O3640=1),"U – needs rule",INDEX(MxBody,MATCH($I3640,MxCurr,0),MATCH($H3640,MxStart,0)))))))</f>
        <v/>
      </c>
      <c r="L3640" s="62" t="str">
        <f aca="false">IF(COUNTA($A3640,$F3640,$G3640,$H3640,$I3640,$J3640)=0,"",IF($M3640=0,"✖ كود الصف غير موجود",IF(ISNA(MATCH($F3640,Lists!$A$2:$A$5,0)),"✖ الفترة غير صحيحة",IF(ISNA(MATCH($G3640,Lists!$B$2:$B$7,0)),"✖ المجموعة غير صحيحة",IF(NOT(OR($H3640="",$N3640&gt;0)),"✖ Start غير صحيح",IF(NOT(OR($I3640="",$I3640="NR",$O3640&gt;0)),"✖ Current غير صحيح",IF(NOT(IF(ISNUMBER($J3640),AND($J3640&gt;=0,$J3640=INT($J3640)),FALSE())),"✖ العدد يجب أن يكون صحيحًا ≥ 0",IF(AND($F3640="Baseline",$H3640&lt;&gt;""),"⚠ Baseline: Start لا يدخل في التقدم",IF($K3640="No Start (attainment only)","ℹ تحصيل فقط (بدون Start)",IF($K3640="U – needs rule","ℹ حالة U تحتاج قاعدة معتمدة",IF($K3640="No result","ℹ بدون نتيجة (يُستبعد من التحصيل)","OK")))))))))))</f>
        <v/>
      </c>
      <c r="M3640" s="64" t="n">
        <f aca="false">IF($A3640="",0,IFERROR(MATCH($A3640,Classes!$A$6:$A$420,0),0))</f>
        <v>0</v>
      </c>
      <c r="N3640" s="64" t="n">
        <f aca="false">IF($H3640="",0,IFERROR(MATCH($H3640,GradeList,0),0))</f>
        <v>0</v>
      </c>
      <c r="O3640" s="64" t="n">
        <f aca="false">IF(OR($I3640="",$I3640="NR"),0,IFERROR(MATCH($I3640,GradeList,0),0))</f>
        <v>0</v>
      </c>
      <c r="P3640" s="64" t="n">
        <f aca="false">IF(AND($M3640&gt;0,ISNUMBER(MATCH($F3640,Lists!$A$2:$A$5,0)),ISNUMBER(MATCH($G3640,Lists!$B$2:$B$7,0)),OR($H3640="",$N3640&gt;0),OR($I3640="",$I3640="NR",$O3640&gt;0),IF(ISNUMBER($J3640),AND($J3640&gt;=0,$J3640=INT($J3640)),FALSE())),$J3640,0)</f>
        <v>0</v>
      </c>
      <c r="Q3640" s="64" t="n">
        <f aca="false">IF(AND($P3640&gt;0,$O3640&gt;0),$P3640,0)</f>
        <v>0</v>
      </c>
      <c r="R3640" s="64" t="n">
        <f aca="false">IF(AND($Q3640&gt;0,$O3640&gt;=AtRank),$Q3640,0)</f>
        <v>0</v>
      </c>
      <c r="S3640" s="64" t="n">
        <f aca="false">IF(AND($Q3640&gt;0,$O3640&gt;=AboveRank),$Q3640,0)</f>
        <v>0</v>
      </c>
      <c r="T3640" s="64" t="n">
        <f aca="false">IF($K3640="Less",$P3640,0)</f>
        <v>0</v>
      </c>
      <c r="U3640" s="64" t="n">
        <f aca="false">IF($K3640="Expected",$P3640,0)</f>
        <v>0</v>
      </c>
      <c r="V3640" s="64" t="n">
        <f aca="false">IF($K3640="Better",$P3640,0)</f>
        <v>0</v>
      </c>
      <c r="W3640" s="64" t="n">
        <f aca="false">IF($K3640="U – needs rule",$P3640,0)</f>
        <v>0</v>
      </c>
      <c r="X3640" s="64" t="n">
        <f aca="false">IF($K3640="No Start (attainment only)",$P3640,0)</f>
        <v>0</v>
      </c>
    </row>
    <row r="3641" customFormat="false" ht="15" hidden="false" customHeight="false" outlineLevel="0" collapsed="false">
      <c r="A3641" s="60"/>
      <c r="B3641" s="61" t="str">
        <f aca="false">IF($M3641=0,"",INDEX(Classes!$E$6:$E$420,$M3641))</f>
        <v/>
      </c>
      <c r="C3641" s="62" t="str">
        <f aca="false">IF($M3641=0,"",INDEX(Classes!$H$6:$H$420,$M3641))</f>
        <v/>
      </c>
      <c r="D3641" s="61" t="str">
        <f aca="false">IF($M3641=0,"",INDEX(Classes!$B$6:$B$420,$M3641))</f>
        <v/>
      </c>
      <c r="E3641" s="61" t="str">
        <f aca="false">IF($M3641=0,"",INDEX(Classes!$C$6:$C$420,$M3641))</f>
        <v/>
      </c>
      <c r="F3641" s="63"/>
      <c r="G3641" s="63"/>
      <c r="H3641" s="60"/>
      <c r="I3641" s="60"/>
      <c r="J3641" s="63"/>
      <c r="K3641" s="61" t="str">
        <f aca="false">IF($P3641=0,"",IF($F3641="Baseline","— Baseline",IF($O3641=0,"No result",IF($N3641=0,"No Start (attainment only)",IF(OR($N3641=1,$O3641=1),"U – needs rule",INDEX(MxBody,MATCH($I3641,MxCurr,0),MATCH($H3641,MxStart,0)))))))</f>
        <v/>
      </c>
      <c r="L3641" s="62" t="str">
        <f aca="false">IF(COUNTA($A3641,$F3641,$G3641,$H3641,$I3641,$J3641)=0,"",IF($M3641=0,"✖ كود الصف غير موجود",IF(ISNA(MATCH($F3641,Lists!$A$2:$A$5,0)),"✖ الفترة غير صحيحة",IF(ISNA(MATCH($G3641,Lists!$B$2:$B$7,0)),"✖ المجموعة غير صحيحة",IF(NOT(OR($H3641="",$N3641&gt;0)),"✖ Start غير صحيح",IF(NOT(OR($I3641="",$I3641="NR",$O3641&gt;0)),"✖ Current غير صحيح",IF(NOT(IF(ISNUMBER($J3641),AND($J3641&gt;=0,$J3641=INT($J3641)),FALSE())),"✖ العدد يجب أن يكون صحيحًا ≥ 0",IF(AND($F3641="Baseline",$H3641&lt;&gt;""),"⚠ Baseline: Start لا يدخل في التقدم",IF($K3641="No Start (attainment only)","ℹ تحصيل فقط (بدون Start)",IF($K3641="U – needs rule","ℹ حالة U تحتاج قاعدة معتمدة",IF($K3641="No result","ℹ بدون نتيجة (يُستبعد من التحصيل)","OK")))))))))))</f>
        <v/>
      </c>
      <c r="M3641" s="64" t="n">
        <f aca="false">IF($A3641="",0,IFERROR(MATCH($A3641,Classes!$A$6:$A$420,0),0))</f>
        <v>0</v>
      </c>
      <c r="N3641" s="64" t="n">
        <f aca="false">IF($H3641="",0,IFERROR(MATCH($H3641,GradeList,0),0))</f>
        <v>0</v>
      </c>
      <c r="O3641" s="64" t="n">
        <f aca="false">IF(OR($I3641="",$I3641="NR"),0,IFERROR(MATCH($I3641,GradeList,0),0))</f>
        <v>0</v>
      </c>
      <c r="P3641" s="64" t="n">
        <f aca="false">IF(AND($M3641&gt;0,ISNUMBER(MATCH($F3641,Lists!$A$2:$A$5,0)),ISNUMBER(MATCH($G3641,Lists!$B$2:$B$7,0)),OR($H3641="",$N3641&gt;0),OR($I3641="",$I3641="NR",$O3641&gt;0),IF(ISNUMBER($J3641),AND($J3641&gt;=0,$J3641=INT($J3641)),FALSE())),$J3641,0)</f>
        <v>0</v>
      </c>
      <c r="Q3641" s="64" t="n">
        <f aca="false">IF(AND($P3641&gt;0,$O3641&gt;0),$P3641,0)</f>
        <v>0</v>
      </c>
      <c r="R3641" s="64" t="n">
        <f aca="false">IF(AND($Q3641&gt;0,$O3641&gt;=AtRank),$Q3641,0)</f>
        <v>0</v>
      </c>
      <c r="S3641" s="64" t="n">
        <f aca="false">IF(AND($Q3641&gt;0,$O3641&gt;=AboveRank),$Q3641,0)</f>
        <v>0</v>
      </c>
      <c r="T3641" s="64" t="n">
        <f aca="false">IF($K3641="Less",$P3641,0)</f>
        <v>0</v>
      </c>
      <c r="U3641" s="64" t="n">
        <f aca="false">IF($K3641="Expected",$P3641,0)</f>
        <v>0</v>
      </c>
      <c r="V3641" s="64" t="n">
        <f aca="false">IF($K3641="Better",$P3641,0)</f>
        <v>0</v>
      </c>
      <c r="W3641" s="64" t="n">
        <f aca="false">IF($K3641="U – needs rule",$P3641,0)</f>
        <v>0</v>
      </c>
      <c r="X3641" s="64" t="n">
        <f aca="false">IF($K3641="No Start (attainment only)",$P3641,0)</f>
        <v>0</v>
      </c>
    </row>
    <row r="3642" customFormat="false" ht="15" hidden="false" customHeight="false" outlineLevel="0" collapsed="false">
      <c r="A3642" s="60"/>
      <c r="B3642" s="61" t="str">
        <f aca="false">IF($M3642=0,"",INDEX(Classes!$E$6:$E$420,$M3642))</f>
        <v/>
      </c>
      <c r="C3642" s="62" t="str">
        <f aca="false">IF($M3642=0,"",INDEX(Classes!$H$6:$H$420,$M3642))</f>
        <v/>
      </c>
      <c r="D3642" s="61" t="str">
        <f aca="false">IF($M3642=0,"",INDEX(Classes!$B$6:$B$420,$M3642))</f>
        <v/>
      </c>
      <c r="E3642" s="61" t="str">
        <f aca="false">IF($M3642=0,"",INDEX(Classes!$C$6:$C$420,$M3642))</f>
        <v/>
      </c>
      <c r="F3642" s="63"/>
      <c r="G3642" s="63"/>
      <c r="H3642" s="60"/>
      <c r="I3642" s="60"/>
      <c r="J3642" s="63"/>
      <c r="K3642" s="61" t="str">
        <f aca="false">IF($P3642=0,"",IF($F3642="Baseline","— Baseline",IF($O3642=0,"No result",IF($N3642=0,"No Start (attainment only)",IF(OR($N3642=1,$O3642=1),"U – needs rule",INDEX(MxBody,MATCH($I3642,MxCurr,0),MATCH($H3642,MxStart,0)))))))</f>
        <v/>
      </c>
      <c r="L3642" s="62" t="str">
        <f aca="false">IF(COUNTA($A3642,$F3642,$G3642,$H3642,$I3642,$J3642)=0,"",IF($M3642=0,"✖ كود الصف غير موجود",IF(ISNA(MATCH($F3642,Lists!$A$2:$A$5,0)),"✖ الفترة غير صحيحة",IF(ISNA(MATCH($G3642,Lists!$B$2:$B$7,0)),"✖ المجموعة غير صحيحة",IF(NOT(OR($H3642="",$N3642&gt;0)),"✖ Start غير صحيح",IF(NOT(OR($I3642="",$I3642="NR",$O3642&gt;0)),"✖ Current غير صحيح",IF(NOT(IF(ISNUMBER($J3642),AND($J3642&gt;=0,$J3642=INT($J3642)),FALSE())),"✖ العدد يجب أن يكون صحيحًا ≥ 0",IF(AND($F3642="Baseline",$H3642&lt;&gt;""),"⚠ Baseline: Start لا يدخل في التقدم",IF($K3642="No Start (attainment only)","ℹ تحصيل فقط (بدون Start)",IF($K3642="U – needs rule","ℹ حالة U تحتاج قاعدة معتمدة",IF($K3642="No result","ℹ بدون نتيجة (يُستبعد من التحصيل)","OK")))))))))))</f>
        <v/>
      </c>
      <c r="M3642" s="64" t="n">
        <f aca="false">IF($A3642="",0,IFERROR(MATCH($A3642,Classes!$A$6:$A$420,0),0))</f>
        <v>0</v>
      </c>
      <c r="N3642" s="64" t="n">
        <f aca="false">IF($H3642="",0,IFERROR(MATCH($H3642,GradeList,0),0))</f>
        <v>0</v>
      </c>
      <c r="O3642" s="64" t="n">
        <f aca="false">IF(OR($I3642="",$I3642="NR"),0,IFERROR(MATCH($I3642,GradeList,0),0))</f>
        <v>0</v>
      </c>
      <c r="P3642" s="64" t="n">
        <f aca="false">IF(AND($M3642&gt;0,ISNUMBER(MATCH($F3642,Lists!$A$2:$A$5,0)),ISNUMBER(MATCH($G3642,Lists!$B$2:$B$7,0)),OR($H3642="",$N3642&gt;0),OR($I3642="",$I3642="NR",$O3642&gt;0),IF(ISNUMBER($J3642),AND($J3642&gt;=0,$J3642=INT($J3642)),FALSE())),$J3642,0)</f>
        <v>0</v>
      </c>
      <c r="Q3642" s="64" t="n">
        <f aca="false">IF(AND($P3642&gt;0,$O3642&gt;0),$P3642,0)</f>
        <v>0</v>
      </c>
      <c r="R3642" s="64" t="n">
        <f aca="false">IF(AND($Q3642&gt;0,$O3642&gt;=AtRank),$Q3642,0)</f>
        <v>0</v>
      </c>
      <c r="S3642" s="64" t="n">
        <f aca="false">IF(AND($Q3642&gt;0,$O3642&gt;=AboveRank),$Q3642,0)</f>
        <v>0</v>
      </c>
      <c r="T3642" s="64" t="n">
        <f aca="false">IF($K3642="Less",$P3642,0)</f>
        <v>0</v>
      </c>
      <c r="U3642" s="64" t="n">
        <f aca="false">IF($K3642="Expected",$P3642,0)</f>
        <v>0</v>
      </c>
      <c r="V3642" s="64" t="n">
        <f aca="false">IF($K3642="Better",$P3642,0)</f>
        <v>0</v>
      </c>
      <c r="W3642" s="64" t="n">
        <f aca="false">IF($K3642="U – needs rule",$P3642,0)</f>
        <v>0</v>
      </c>
      <c r="X3642" s="64" t="n">
        <f aca="false">IF($K3642="No Start (attainment only)",$P3642,0)</f>
        <v>0</v>
      </c>
    </row>
    <row r="3643" customFormat="false" ht="15" hidden="false" customHeight="false" outlineLevel="0" collapsed="false">
      <c r="A3643" s="60"/>
      <c r="B3643" s="61" t="str">
        <f aca="false">IF($M3643=0,"",INDEX(Classes!$E$6:$E$420,$M3643))</f>
        <v/>
      </c>
      <c r="C3643" s="62" t="str">
        <f aca="false">IF($M3643=0,"",INDEX(Classes!$H$6:$H$420,$M3643))</f>
        <v/>
      </c>
      <c r="D3643" s="61" t="str">
        <f aca="false">IF($M3643=0,"",INDEX(Classes!$B$6:$B$420,$M3643))</f>
        <v/>
      </c>
      <c r="E3643" s="61" t="str">
        <f aca="false">IF($M3643=0,"",INDEX(Classes!$C$6:$C$420,$M3643))</f>
        <v/>
      </c>
      <c r="F3643" s="63"/>
      <c r="G3643" s="63"/>
      <c r="H3643" s="60"/>
      <c r="I3643" s="60"/>
      <c r="J3643" s="63"/>
      <c r="K3643" s="61" t="str">
        <f aca="false">IF($P3643=0,"",IF($F3643="Baseline","— Baseline",IF($O3643=0,"No result",IF($N3643=0,"No Start (attainment only)",IF(OR($N3643=1,$O3643=1),"U – needs rule",INDEX(MxBody,MATCH($I3643,MxCurr,0),MATCH($H3643,MxStart,0)))))))</f>
        <v/>
      </c>
      <c r="L3643" s="62" t="str">
        <f aca="false">IF(COUNTA($A3643,$F3643,$G3643,$H3643,$I3643,$J3643)=0,"",IF($M3643=0,"✖ كود الصف غير موجود",IF(ISNA(MATCH($F3643,Lists!$A$2:$A$5,0)),"✖ الفترة غير صحيحة",IF(ISNA(MATCH($G3643,Lists!$B$2:$B$7,0)),"✖ المجموعة غير صحيحة",IF(NOT(OR($H3643="",$N3643&gt;0)),"✖ Start غير صحيح",IF(NOT(OR($I3643="",$I3643="NR",$O3643&gt;0)),"✖ Current غير صحيح",IF(NOT(IF(ISNUMBER($J3643),AND($J3643&gt;=0,$J3643=INT($J3643)),FALSE())),"✖ العدد يجب أن يكون صحيحًا ≥ 0",IF(AND($F3643="Baseline",$H3643&lt;&gt;""),"⚠ Baseline: Start لا يدخل في التقدم",IF($K3643="No Start (attainment only)","ℹ تحصيل فقط (بدون Start)",IF($K3643="U – needs rule","ℹ حالة U تحتاج قاعدة معتمدة",IF($K3643="No result","ℹ بدون نتيجة (يُستبعد من التحصيل)","OK")))))))))))</f>
        <v/>
      </c>
      <c r="M3643" s="64" t="n">
        <f aca="false">IF($A3643="",0,IFERROR(MATCH($A3643,Classes!$A$6:$A$420,0),0))</f>
        <v>0</v>
      </c>
      <c r="N3643" s="64" t="n">
        <f aca="false">IF($H3643="",0,IFERROR(MATCH($H3643,GradeList,0),0))</f>
        <v>0</v>
      </c>
      <c r="O3643" s="64" t="n">
        <f aca="false">IF(OR($I3643="",$I3643="NR"),0,IFERROR(MATCH($I3643,GradeList,0),0))</f>
        <v>0</v>
      </c>
      <c r="P3643" s="64" t="n">
        <f aca="false">IF(AND($M3643&gt;0,ISNUMBER(MATCH($F3643,Lists!$A$2:$A$5,0)),ISNUMBER(MATCH($G3643,Lists!$B$2:$B$7,0)),OR($H3643="",$N3643&gt;0),OR($I3643="",$I3643="NR",$O3643&gt;0),IF(ISNUMBER($J3643),AND($J3643&gt;=0,$J3643=INT($J3643)),FALSE())),$J3643,0)</f>
        <v>0</v>
      </c>
      <c r="Q3643" s="64" t="n">
        <f aca="false">IF(AND($P3643&gt;0,$O3643&gt;0),$P3643,0)</f>
        <v>0</v>
      </c>
      <c r="R3643" s="64" t="n">
        <f aca="false">IF(AND($Q3643&gt;0,$O3643&gt;=AtRank),$Q3643,0)</f>
        <v>0</v>
      </c>
      <c r="S3643" s="64" t="n">
        <f aca="false">IF(AND($Q3643&gt;0,$O3643&gt;=AboveRank),$Q3643,0)</f>
        <v>0</v>
      </c>
      <c r="T3643" s="64" t="n">
        <f aca="false">IF($K3643="Less",$P3643,0)</f>
        <v>0</v>
      </c>
      <c r="U3643" s="64" t="n">
        <f aca="false">IF($K3643="Expected",$P3643,0)</f>
        <v>0</v>
      </c>
      <c r="V3643" s="64" t="n">
        <f aca="false">IF($K3643="Better",$P3643,0)</f>
        <v>0</v>
      </c>
      <c r="W3643" s="64" t="n">
        <f aca="false">IF($K3643="U – needs rule",$P3643,0)</f>
        <v>0</v>
      </c>
      <c r="X3643" s="64" t="n">
        <f aca="false">IF($K3643="No Start (attainment only)",$P3643,0)</f>
        <v>0</v>
      </c>
    </row>
    <row r="3644" customFormat="false" ht="15" hidden="false" customHeight="false" outlineLevel="0" collapsed="false">
      <c r="A3644" s="60"/>
      <c r="B3644" s="61" t="str">
        <f aca="false">IF($M3644=0,"",INDEX(Classes!$E$6:$E$420,$M3644))</f>
        <v/>
      </c>
      <c r="C3644" s="62" t="str">
        <f aca="false">IF($M3644=0,"",INDEX(Classes!$H$6:$H$420,$M3644))</f>
        <v/>
      </c>
      <c r="D3644" s="61" t="str">
        <f aca="false">IF($M3644=0,"",INDEX(Classes!$B$6:$B$420,$M3644))</f>
        <v/>
      </c>
      <c r="E3644" s="61" t="str">
        <f aca="false">IF($M3644=0,"",INDEX(Classes!$C$6:$C$420,$M3644))</f>
        <v/>
      </c>
      <c r="F3644" s="63"/>
      <c r="G3644" s="63"/>
      <c r="H3644" s="60"/>
      <c r="I3644" s="60"/>
      <c r="J3644" s="63"/>
      <c r="K3644" s="61" t="str">
        <f aca="false">IF($P3644=0,"",IF($F3644="Baseline","— Baseline",IF($O3644=0,"No result",IF($N3644=0,"No Start (attainment only)",IF(OR($N3644=1,$O3644=1),"U – needs rule",INDEX(MxBody,MATCH($I3644,MxCurr,0),MATCH($H3644,MxStart,0)))))))</f>
        <v/>
      </c>
      <c r="L3644" s="62" t="str">
        <f aca="false">IF(COUNTA($A3644,$F3644,$G3644,$H3644,$I3644,$J3644)=0,"",IF($M3644=0,"✖ كود الصف غير موجود",IF(ISNA(MATCH($F3644,Lists!$A$2:$A$5,0)),"✖ الفترة غير صحيحة",IF(ISNA(MATCH($G3644,Lists!$B$2:$B$7,0)),"✖ المجموعة غير صحيحة",IF(NOT(OR($H3644="",$N3644&gt;0)),"✖ Start غير صحيح",IF(NOT(OR($I3644="",$I3644="NR",$O3644&gt;0)),"✖ Current غير صحيح",IF(NOT(IF(ISNUMBER($J3644),AND($J3644&gt;=0,$J3644=INT($J3644)),FALSE())),"✖ العدد يجب أن يكون صحيحًا ≥ 0",IF(AND($F3644="Baseline",$H3644&lt;&gt;""),"⚠ Baseline: Start لا يدخل في التقدم",IF($K3644="No Start (attainment only)","ℹ تحصيل فقط (بدون Start)",IF($K3644="U – needs rule","ℹ حالة U تحتاج قاعدة معتمدة",IF($K3644="No result","ℹ بدون نتيجة (يُستبعد من التحصيل)","OK")))))))))))</f>
        <v/>
      </c>
      <c r="M3644" s="64" t="n">
        <f aca="false">IF($A3644="",0,IFERROR(MATCH($A3644,Classes!$A$6:$A$420,0),0))</f>
        <v>0</v>
      </c>
      <c r="N3644" s="64" t="n">
        <f aca="false">IF($H3644="",0,IFERROR(MATCH($H3644,GradeList,0),0))</f>
        <v>0</v>
      </c>
      <c r="O3644" s="64" t="n">
        <f aca="false">IF(OR($I3644="",$I3644="NR"),0,IFERROR(MATCH($I3644,GradeList,0),0))</f>
        <v>0</v>
      </c>
      <c r="P3644" s="64" t="n">
        <f aca="false">IF(AND($M3644&gt;0,ISNUMBER(MATCH($F3644,Lists!$A$2:$A$5,0)),ISNUMBER(MATCH($G3644,Lists!$B$2:$B$7,0)),OR($H3644="",$N3644&gt;0),OR($I3644="",$I3644="NR",$O3644&gt;0),IF(ISNUMBER($J3644),AND($J3644&gt;=0,$J3644=INT($J3644)),FALSE())),$J3644,0)</f>
        <v>0</v>
      </c>
      <c r="Q3644" s="64" t="n">
        <f aca="false">IF(AND($P3644&gt;0,$O3644&gt;0),$P3644,0)</f>
        <v>0</v>
      </c>
      <c r="R3644" s="64" t="n">
        <f aca="false">IF(AND($Q3644&gt;0,$O3644&gt;=AtRank),$Q3644,0)</f>
        <v>0</v>
      </c>
      <c r="S3644" s="64" t="n">
        <f aca="false">IF(AND($Q3644&gt;0,$O3644&gt;=AboveRank),$Q3644,0)</f>
        <v>0</v>
      </c>
      <c r="T3644" s="64" t="n">
        <f aca="false">IF($K3644="Less",$P3644,0)</f>
        <v>0</v>
      </c>
      <c r="U3644" s="64" t="n">
        <f aca="false">IF($K3644="Expected",$P3644,0)</f>
        <v>0</v>
      </c>
      <c r="V3644" s="64" t="n">
        <f aca="false">IF($K3644="Better",$P3644,0)</f>
        <v>0</v>
      </c>
      <c r="W3644" s="64" t="n">
        <f aca="false">IF($K3644="U – needs rule",$P3644,0)</f>
        <v>0</v>
      </c>
      <c r="X3644" s="64" t="n">
        <f aca="false">IF($K3644="No Start (attainment only)",$P3644,0)</f>
        <v>0</v>
      </c>
    </row>
    <row r="3645" customFormat="false" ht="15" hidden="false" customHeight="false" outlineLevel="0" collapsed="false">
      <c r="A3645" s="60"/>
      <c r="B3645" s="61" t="str">
        <f aca="false">IF($M3645=0,"",INDEX(Classes!$E$6:$E$420,$M3645))</f>
        <v/>
      </c>
      <c r="C3645" s="62" t="str">
        <f aca="false">IF($M3645=0,"",INDEX(Classes!$H$6:$H$420,$M3645))</f>
        <v/>
      </c>
      <c r="D3645" s="61" t="str">
        <f aca="false">IF($M3645=0,"",INDEX(Classes!$B$6:$B$420,$M3645))</f>
        <v/>
      </c>
      <c r="E3645" s="61" t="str">
        <f aca="false">IF($M3645=0,"",INDEX(Classes!$C$6:$C$420,$M3645))</f>
        <v/>
      </c>
      <c r="F3645" s="63"/>
      <c r="G3645" s="63"/>
      <c r="H3645" s="60"/>
      <c r="I3645" s="60"/>
      <c r="J3645" s="63"/>
      <c r="K3645" s="61" t="str">
        <f aca="false">IF($P3645=0,"",IF($F3645="Baseline","— Baseline",IF($O3645=0,"No result",IF($N3645=0,"No Start (attainment only)",IF(OR($N3645=1,$O3645=1),"U – needs rule",INDEX(MxBody,MATCH($I3645,MxCurr,0),MATCH($H3645,MxStart,0)))))))</f>
        <v/>
      </c>
      <c r="L3645" s="62" t="str">
        <f aca="false">IF(COUNTA($A3645,$F3645,$G3645,$H3645,$I3645,$J3645)=0,"",IF($M3645=0,"✖ كود الصف غير موجود",IF(ISNA(MATCH($F3645,Lists!$A$2:$A$5,0)),"✖ الفترة غير صحيحة",IF(ISNA(MATCH($G3645,Lists!$B$2:$B$7,0)),"✖ المجموعة غير صحيحة",IF(NOT(OR($H3645="",$N3645&gt;0)),"✖ Start غير صحيح",IF(NOT(OR($I3645="",$I3645="NR",$O3645&gt;0)),"✖ Current غير صحيح",IF(NOT(IF(ISNUMBER($J3645),AND($J3645&gt;=0,$J3645=INT($J3645)),FALSE())),"✖ العدد يجب أن يكون صحيحًا ≥ 0",IF(AND($F3645="Baseline",$H3645&lt;&gt;""),"⚠ Baseline: Start لا يدخل في التقدم",IF($K3645="No Start (attainment only)","ℹ تحصيل فقط (بدون Start)",IF($K3645="U – needs rule","ℹ حالة U تحتاج قاعدة معتمدة",IF($K3645="No result","ℹ بدون نتيجة (يُستبعد من التحصيل)","OK")))))))))))</f>
        <v/>
      </c>
      <c r="M3645" s="64" t="n">
        <f aca="false">IF($A3645="",0,IFERROR(MATCH($A3645,Classes!$A$6:$A$420,0),0))</f>
        <v>0</v>
      </c>
      <c r="N3645" s="64" t="n">
        <f aca="false">IF($H3645="",0,IFERROR(MATCH($H3645,GradeList,0),0))</f>
        <v>0</v>
      </c>
      <c r="O3645" s="64" t="n">
        <f aca="false">IF(OR($I3645="",$I3645="NR"),0,IFERROR(MATCH($I3645,GradeList,0),0))</f>
        <v>0</v>
      </c>
      <c r="P3645" s="64" t="n">
        <f aca="false">IF(AND($M3645&gt;0,ISNUMBER(MATCH($F3645,Lists!$A$2:$A$5,0)),ISNUMBER(MATCH($G3645,Lists!$B$2:$B$7,0)),OR($H3645="",$N3645&gt;0),OR($I3645="",$I3645="NR",$O3645&gt;0),IF(ISNUMBER($J3645),AND($J3645&gt;=0,$J3645=INT($J3645)),FALSE())),$J3645,0)</f>
        <v>0</v>
      </c>
      <c r="Q3645" s="64" t="n">
        <f aca="false">IF(AND($P3645&gt;0,$O3645&gt;0),$P3645,0)</f>
        <v>0</v>
      </c>
      <c r="R3645" s="64" t="n">
        <f aca="false">IF(AND($Q3645&gt;0,$O3645&gt;=AtRank),$Q3645,0)</f>
        <v>0</v>
      </c>
      <c r="S3645" s="64" t="n">
        <f aca="false">IF(AND($Q3645&gt;0,$O3645&gt;=AboveRank),$Q3645,0)</f>
        <v>0</v>
      </c>
      <c r="T3645" s="64" t="n">
        <f aca="false">IF($K3645="Less",$P3645,0)</f>
        <v>0</v>
      </c>
      <c r="U3645" s="64" t="n">
        <f aca="false">IF($K3645="Expected",$P3645,0)</f>
        <v>0</v>
      </c>
      <c r="V3645" s="64" t="n">
        <f aca="false">IF($K3645="Better",$P3645,0)</f>
        <v>0</v>
      </c>
      <c r="W3645" s="64" t="n">
        <f aca="false">IF($K3645="U – needs rule",$P3645,0)</f>
        <v>0</v>
      </c>
      <c r="X3645" s="64" t="n">
        <f aca="false">IF($K3645="No Start (attainment only)",$P3645,0)</f>
        <v>0</v>
      </c>
    </row>
    <row r="3646" customFormat="false" ht="15" hidden="false" customHeight="false" outlineLevel="0" collapsed="false">
      <c r="A3646" s="60"/>
      <c r="B3646" s="61" t="str">
        <f aca="false">IF($M3646=0,"",INDEX(Classes!$E$6:$E$420,$M3646))</f>
        <v/>
      </c>
      <c r="C3646" s="62" t="str">
        <f aca="false">IF($M3646=0,"",INDEX(Classes!$H$6:$H$420,$M3646))</f>
        <v/>
      </c>
      <c r="D3646" s="61" t="str">
        <f aca="false">IF($M3646=0,"",INDEX(Classes!$B$6:$B$420,$M3646))</f>
        <v/>
      </c>
      <c r="E3646" s="61" t="str">
        <f aca="false">IF($M3646=0,"",INDEX(Classes!$C$6:$C$420,$M3646))</f>
        <v/>
      </c>
      <c r="F3646" s="63"/>
      <c r="G3646" s="63"/>
      <c r="H3646" s="60"/>
      <c r="I3646" s="60"/>
      <c r="J3646" s="63"/>
      <c r="K3646" s="61" t="str">
        <f aca="false">IF($P3646=0,"",IF($F3646="Baseline","— Baseline",IF($O3646=0,"No result",IF($N3646=0,"No Start (attainment only)",IF(OR($N3646=1,$O3646=1),"U – needs rule",INDEX(MxBody,MATCH($I3646,MxCurr,0),MATCH($H3646,MxStart,0)))))))</f>
        <v/>
      </c>
      <c r="L3646" s="62" t="str">
        <f aca="false">IF(COUNTA($A3646,$F3646,$G3646,$H3646,$I3646,$J3646)=0,"",IF($M3646=0,"✖ كود الصف غير موجود",IF(ISNA(MATCH($F3646,Lists!$A$2:$A$5,0)),"✖ الفترة غير صحيحة",IF(ISNA(MATCH($G3646,Lists!$B$2:$B$7,0)),"✖ المجموعة غير صحيحة",IF(NOT(OR($H3646="",$N3646&gt;0)),"✖ Start غير صحيح",IF(NOT(OR($I3646="",$I3646="NR",$O3646&gt;0)),"✖ Current غير صحيح",IF(NOT(IF(ISNUMBER($J3646),AND($J3646&gt;=0,$J3646=INT($J3646)),FALSE())),"✖ العدد يجب أن يكون صحيحًا ≥ 0",IF(AND($F3646="Baseline",$H3646&lt;&gt;""),"⚠ Baseline: Start لا يدخل في التقدم",IF($K3646="No Start (attainment only)","ℹ تحصيل فقط (بدون Start)",IF($K3646="U – needs rule","ℹ حالة U تحتاج قاعدة معتمدة",IF($K3646="No result","ℹ بدون نتيجة (يُستبعد من التحصيل)","OK")))))))))))</f>
        <v/>
      </c>
      <c r="M3646" s="64" t="n">
        <f aca="false">IF($A3646="",0,IFERROR(MATCH($A3646,Classes!$A$6:$A$420,0),0))</f>
        <v>0</v>
      </c>
      <c r="N3646" s="64" t="n">
        <f aca="false">IF($H3646="",0,IFERROR(MATCH($H3646,GradeList,0),0))</f>
        <v>0</v>
      </c>
      <c r="O3646" s="64" t="n">
        <f aca="false">IF(OR($I3646="",$I3646="NR"),0,IFERROR(MATCH($I3646,GradeList,0),0))</f>
        <v>0</v>
      </c>
      <c r="P3646" s="64" t="n">
        <f aca="false">IF(AND($M3646&gt;0,ISNUMBER(MATCH($F3646,Lists!$A$2:$A$5,0)),ISNUMBER(MATCH($G3646,Lists!$B$2:$B$7,0)),OR($H3646="",$N3646&gt;0),OR($I3646="",$I3646="NR",$O3646&gt;0),IF(ISNUMBER($J3646),AND($J3646&gt;=0,$J3646=INT($J3646)),FALSE())),$J3646,0)</f>
        <v>0</v>
      </c>
      <c r="Q3646" s="64" t="n">
        <f aca="false">IF(AND($P3646&gt;0,$O3646&gt;0),$P3646,0)</f>
        <v>0</v>
      </c>
      <c r="R3646" s="64" t="n">
        <f aca="false">IF(AND($Q3646&gt;0,$O3646&gt;=AtRank),$Q3646,0)</f>
        <v>0</v>
      </c>
      <c r="S3646" s="64" t="n">
        <f aca="false">IF(AND($Q3646&gt;0,$O3646&gt;=AboveRank),$Q3646,0)</f>
        <v>0</v>
      </c>
      <c r="T3646" s="64" t="n">
        <f aca="false">IF($K3646="Less",$P3646,0)</f>
        <v>0</v>
      </c>
      <c r="U3646" s="64" t="n">
        <f aca="false">IF($K3646="Expected",$P3646,0)</f>
        <v>0</v>
      </c>
      <c r="V3646" s="64" t="n">
        <f aca="false">IF($K3646="Better",$P3646,0)</f>
        <v>0</v>
      </c>
      <c r="W3646" s="64" t="n">
        <f aca="false">IF($K3646="U – needs rule",$P3646,0)</f>
        <v>0</v>
      </c>
      <c r="X3646" s="64" t="n">
        <f aca="false">IF($K3646="No Start (attainment only)",$P3646,0)</f>
        <v>0</v>
      </c>
    </row>
    <row r="3647" customFormat="false" ht="15" hidden="false" customHeight="false" outlineLevel="0" collapsed="false">
      <c r="A3647" s="60"/>
      <c r="B3647" s="61" t="str">
        <f aca="false">IF($M3647=0,"",INDEX(Classes!$E$6:$E$420,$M3647))</f>
        <v/>
      </c>
      <c r="C3647" s="62" t="str">
        <f aca="false">IF($M3647=0,"",INDEX(Classes!$H$6:$H$420,$M3647))</f>
        <v/>
      </c>
      <c r="D3647" s="61" t="str">
        <f aca="false">IF($M3647=0,"",INDEX(Classes!$B$6:$B$420,$M3647))</f>
        <v/>
      </c>
      <c r="E3647" s="61" t="str">
        <f aca="false">IF($M3647=0,"",INDEX(Classes!$C$6:$C$420,$M3647))</f>
        <v/>
      </c>
      <c r="F3647" s="63"/>
      <c r="G3647" s="63"/>
      <c r="H3647" s="60"/>
      <c r="I3647" s="60"/>
      <c r="J3647" s="63"/>
      <c r="K3647" s="61" t="str">
        <f aca="false">IF($P3647=0,"",IF($F3647="Baseline","— Baseline",IF($O3647=0,"No result",IF($N3647=0,"No Start (attainment only)",IF(OR($N3647=1,$O3647=1),"U – needs rule",INDEX(MxBody,MATCH($I3647,MxCurr,0),MATCH($H3647,MxStart,0)))))))</f>
        <v/>
      </c>
      <c r="L3647" s="62" t="str">
        <f aca="false">IF(COUNTA($A3647,$F3647,$G3647,$H3647,$I3647,$J3647)=0,"",IF($M3647=0,"✖ كود الصف غير موجود",IF(ISNA(MATCH($F3647,Lists!$A$2:$A$5,0)),"✖ الفترة غير صحيحة",IF(ISNA(MATCH($G3647,Lists!$B$2:$B$7,0)),"✖ المجموعة غير صحيحة",IF(NOT(OR($H3647="",$N3647&gt;0)),"✖ Start غير صحيح",IF(NOT(OR($I3647="",$I3647="NR",$O3647&gt;0)),"✖ Current غير صحيح",IF(NOT(IF(ISNUMBER($J3647),AND($J3647&gt;=0,$J3647=INT($J3647)),FALSE())),"✖ العدد يجب أن يكون صحيحًا ≥ 0",IF(AND($F3647="Baseline",$H3647&lt;&gt;""),"⚠ Baseline: Start لا يدخل في التقدم",IF($K3647="No Start (attainment only)","ℹ تحصيل فقط (بدون Start)",IF($K3647="U – needs rule","ℹ حالة U تحتاج قاعدة معتمدة",IF($K3647="No result","ℹ بدون نتيجة (يُستبعد من التحصيل)","OK")))))))))))</f>
        <v/>
      </c>
      <c r="M3647" s="64" t="n">
        <f aca="false">IF($A3647="",0,IFERROR(MATCH($A3647,Classes!$A$6:$A$420,0),0))</f>
        <v>0</v>
      </c>
      <c r="N3647" s="64" t="n">
        <f aca="false">IF($H3647="",0,IFERROR(MATCH($H3647,GradeList,0),0))</f>
        <v>0</v>
      </c>
      <c r="O3647" s="64" t="n">
        <f aca="false">IF(OR($I3647="",$I3647="NR"),0,IFERROR(MATCH($I3647,GradeList,0),0))</f>
        <v>0</v>
      </c>
      <c r="P3647" s="64" t="n">
        <f aca="false">IF(AND($M3647&gt;0,ISNUMBER(MATCH($F3647,Lists!$A$2:$A$5,0)),ISNUMBER(MATCH($G3647,Lists!$B$2:$B$7,0)),OR($H3647="",$N3647&gt;0),OR($I3647="",$I3647="NR",$O3647&gt;0),IF(ISNUMBER($J3647),AND($J3647&gt;=0,$J3647=INT($J3647)),FALSE())),$J3647,0)</f>
        <v>0</v>
      </c>
      <c r="Q3647" s="64" t="n">
        <f aca="false">IF(AND($P3647&gt;0,$O3647&gt;0),$P3647,0)</f>
        <v>0</v>
      </c>
      <c r="R3647" s="64" t="n">
        <f aca="false">IF(AND($Q3647&gt;0,$O3647&gt;=AtRank),$Q3647,0)</f>
        <v>0</v>
      </c>
      <c r="S3647" s="64" t="n">
        <f aca="false">IF(AND($Q3647&gt;0,$O3647&gt;=AboveRank),$Q3647,0)</f>
        <v>0</v>
      </c>
      <c r="T3647" s="64" t="n">
        <f aca="false">IF($K3647="Less",$P3647,0)</f>
        <v>0</v>
      </c>
      <c r="U3647" s="64" t="n">
        <f aca="false">IF($K3647="Expected",$P3647,0)</f>
        <v>0</v>
      </c>
      <c r="V3647" s="64" t="n">
        <f aca="false">IF($K3647="Better",$P3647,0)</f>
        <v>0</v>
      </c>
      <c r="W3647" s="64" t="n">
        <f aca="false">IF($K3647="U – needs rule",$P3647,0)</f>
        <v>0</v>
      </c>
      <c r="X3647" s="64" t="n">
        <f aca="false">IF($K3647="No Start (attainment only)",$P3647,0)</f>
        <v>0</v>
      </c>
    </row>
    <row r="3648" customFormat="false" ht="15" hidden="false" customHeight="false" outlineLevel="0" collapsed="false">
      <c r="A3648" s="60"/>
      <c r="B3648" s="61" t="str">
        <f aca="false">IF($M3648=0,"",INDEX(Classes!$E$6:$E$420,$M3648))</f>
        <v/>
      </c>
      <c r="C3648" s="62" t="str">
        <f aca="false">IF($M3648=0,"",INDEX(Classes!$H$6:$H$420,$M3648))</f>
        <v/>
      </c>
      <c r="D3648" s="61" t="str">
        <f aca="false">IF($M3648=0,"",INDEX(Classes!$B$6:$B$420,$M3648))</f>
        <v/>
      </c>
      <c r="E3648" s="61" t="str">
        <f aca="false">IF($M3648=0,"",INDEX(Classes!$C$6:$C$420,$M3648))</f>
        <v/>
      </c>
      <c r="F3648" s="63"/>
      <c r="G3648" s="63"/>
      <c r="H3648" s="60"/>
      <c r="I3648" s="60"/>
      <c r="J3648" s="63"/>
      <c r="K3648" s="61" t="str">
        <f aca="false">IF($P3648=0,"",IF($F3648="Baseline","— Baseline",IF($O3648=0,"No result",IF($N3648=0,"No Start (attainment only)",IF(OR($N3648=1,$O3648=1),"U – needs rule",INDEX(MxBody,MATCH($I3648,MxCurr,0),MATCH($H3648,MxStart,0)))))))</f>
        <v/>
      </c>
      <c r="L3648" s="62" t="str">
        <f aca="false">IF(COUNTA($A3648,$F3648,$G3648,$H3648,$I3648,$J3648)=0,"",IF($M3648=0,"✖ كود الصف غير موجود",IF(ISNA(MATCH($F3648,Lists!$A$2:$A$5,0)),"✖ الفترة غير صحيحة",IF(ISNA(MATCH($G3648,Lists!$B$2:$B$7,0)),"✖ المجموعة غير صحيحة",IF(NOT(OR($H3648="",$N3648&gt;0)),"✖ Start غير صحيح",IF(NOT(OR($I3648="",$I3648="NR",$O3648&gt;0)),"✖ Current غير صحيح",IF(NOT(IF(ISNUMBER($J3648),AND($J3648&gt;=0,$J3648=INT($J3648)),FALSE())),"✖ العدد يجب أن يكون صحيحًا ≥ 0",IF(AND($F3648="Baseline",$H3648&lt;&gt;""),"⚠ Baseline: Start لا يدخل في التقدم",IF($K3648="No Start (attainment only)","ℹ تحصيل فقط (بدون Start)",IF($K3648="U – needs rule","ℹ حالة U تحتاج قاعدة معتمدة",IF($K3648="No result","ℹ بدون نتيجة (يُستبعد من التحصيل)","OK")))))))))))</f>
        <v/>
      </c>
      <c r="M3648" s="64" t="n">
        <f aca="false">IF($A3648="",0,IFERROR(MATCH($A3648,Classes!$A$6:$A$420,0),0))</f>
        <v>0</v>
      </c>
      <c r="N3648" s="64" t="n">
        <f aca="false">IF($H3648="",0,IFERROR(MATCH($H3648,GradeList,0),0))</f>
        <v>0</v>
      </c>
      <c r="O3648" s="64" t="n">
        <f aca="false">IF(OR($I3648="",$I3648="NR"),0,IFERROR(MATCH($I3648,GradeList,0),0))</f>
        <v>0</v>
      </c>
      <c r="P3648" s="64" t="n">
        <f aca="false">IF(AND($M3648&gt;0,ISNUMBER(MATCH($F3648,Lists!$A$2:$A$5,0)),ISNUMBER(MATCH($G3648,Lists!$B$2:$B$7,0)),OR($H3648="",$N3648&gt;0),OR($I3648="",$I3648="NR",$O3648&gt;0),IF(ISNUMBER($J3648),AND($J3648&gt;=0,$J3648=INT($J3648)),FALSE())),$J3648,0)</f>
        <v>0</v>
      </c>
      <c r="Q3648" s="64" t="n">
        <f aca="false">IF(AND($P3648&gt;0,$O3648&gt;0),$P3648,0)</f>
        <v>0</v>
      </c>
      <c r="R3648" s="64" t="n">
        <f aca="false">IF(AND($Q3648&gt;0,$O3648&gt;=AtRank),$Q3648,0)</f>
        <v>0</v>
      </c>
      <c r="S3648" s="64" t="n">
        <f aca="false">IF(AND($Q3648&gt;0,$O3648&gt;=AboveRank),$Q3648,0)</f>
        <v>0</v>
      </c>
      <c r="T3648" s="64" t="n">
        <f aca="false">IF($K3648="Less",$P3648,0)</f>
        <v>0</v>
      </c>
      <c r="U3648" s="64" t="n">
        <f aca="false">IF($K3648="Expected",$P3648,0)</f>
        <v>0</v>
      </c>
      <c r="V3648" s="64" t="n">
        <f aca="false">IF($K3648="Better",$P3648,0)</f>
        <v>0</v>
      </c>
      <c r="W3648" s="64" t="n">
        <f aca="false">IF($K3648="U – needs rule",$P3648,0)</f>
        <v>0</v>
      </c>
      <c r="X3648" s="64" t="n">
        <f aca="false">IF($K3648="No Start (attainment only)",$P3648,0)</f>
        <v>0</v>
      </c>
    </row>
    <row r="3649" customFormat="false" ht="15" hidden="false" customHeight="false" outlineLevel="0" collapsed="false">
      <c r="A3649" s="60"/>
      <c r="B3649" s="61" t="str">
        <f aca="false">IF($M3649=0,"",INDEX(Classes!$E$6:$E$420,$M3649))</f>
        <v/>
      </c>
      <c r="C3649" s="62" t="str">
        <f aca="false">IF($M3649=0,"",INDEX(Classes!$H$6:$H$420,$M3649))</f>
        <v/>
      </c>
      <c r="D3649" s="61" t="str">
        <f aca="false">IF($M3649=0,"",INDEX(Classes!$B$6:$B$420,$M3649))</f>
        <v/>
      </c>
      <c r="E3649" s="61" t="str">
        <f aca="false">IF($M3649=0,"",INDEX(Classes!$C$6:$C$420,$M3649))</f>
        <v/>
      </c>
      <c r="F3649" s="63"/>
      <c r="G3649" s="63"/>
      <c r="H3649" s="60"/>
      <c r="I3649" s="60"/>
      <c r="J3649" s="63"/>
      <c r="K3649" s="61" t="str">
        <f aca="false">IF($P3649=0,"",IF($F3649="Baseline","— Baseline",IF($O3649=0,"No result",IF($N3649=0,"No Start (attainment only)",IF(OR($N3649=1,$O3649=1),"U – needs rule",INDEX(MxBody,MATCH($I3649,MxCurr,0),MATCH($H3649,MxStart,0)))))))</f>
        <v/>
      </c>
      <c r="L3649" s="62" t="str">
        <f aca="false">IF(COUNTA($A3649,$F3649,$G3649,$H3649,$I3649,$J3649)=0,"",IF($M3649=0,"✖ كود الصف غير موجود",IF(ISNA(MATCH($F3649,Lists!$A$2:$A$5,0)),"✖ الفترة غير صحيحة",IF(ISNA(MATCH($G3649,Lists!$B$2:$B$7,0)),"✖ المجموعة غير صحيحة",IF(NOT(OR($H3649="",$N3649&gt;0)),"✖ Start غير صحيح",IF(NOT(OR($I3649="",$I3649="NR",$O3649&gt;0)),"✖ Current غير صحيح",IF(NOT(IF(ISNUMBER($J3649),AND($J3649&gt;=0,$J3649=INT($J3649)),FALSE())),"✖ العدد يجب أن يكون صحيحًا ≥ 0",IF(AND($F3649="Baseline",$H3649&lt;&gt;""),"⚠ Baseline: Start لا يدخل في التقدم",IF($K3649="No Start (attainment only)","ℹ تحصيل فقط (بدون Start)",IF($K3649="U – needs rule","ℹ حالة U تحتاج قاعدة معتمدة",IF($K3649="No result","ℹ بدون نتيجة (يُستبعد من التحصيل)","OK")))))))))))</f>
        <v/>
      </c>
      <c r="M3649" s="64" t="n">
        <f aca="false">IF($A3649="",0,IFERROR(MATCH($A3649,Classes!$A$6:$A$420,0),0))</f>
        <v>0</v>
      </c>
      <c r="N3649" s="64" t="n">
        <f aca="false">IF($H3649="",0,IFERROR(MATCH($H3649,GradeList,0),0))</f>
        <v>0</v>
      </c>
      <c r="O3649" s="64" t="n">
        <f aca="false">IF(OR($I3649="",$I3649="NR"),0,IFERROR(MATCH($I3649,GradeList,0),0))</f>
        <v>0</v>
      </c>
      <c r="P3649" s="64" t="n">
        <f aca="false">IF(AND($M3649&gt;0,ISNUMBER(MATCH($F3649,Lists!$A$2:$A$5,0)),ISNUMBER(MATCH($G3649,Lists!$B$2:$B$7,0)),OR($H3649="",$N3649&gt;0),OR($I3649="",$I3649="NR",$O3649&gt;0),IF(ISNUMBER($J3649),AND($J3649&gt;=0,$J3649=INT($J3649)),FALSE())),$J3649,0)</f>
        <v>0</v>
      </c>
      <c r="Q3649" s="64" t="n">
        <f aca="false">IF(AND($P3649&gt;0,$O3649&gt;0),$P3649,0)</f>
        <v>0</v>
      </c>
      <c r="R3649" s="64" t="n">
        <f aca="false">IF(AND($Q3649&gt;0,$O3649&gt;=AtRank),$Q3649,0)</f>
        <v>0</v>
      </c>
      <c r="S3649" s="64" t="n">
        <f aca="false">IF(AND($Q3649&gt;0,$O3649&gt;=AboveRank),$Q3649,0)</f>
        <v>0</v>
      </c>
      <c r="T3649" s="64" t="n">
        <f aca="false">IF($K3649="Less",$P3649,0)</f>
        <v>0</v>
      </c>
      <c r="U3649" s="64" t="n">
        <f aca="false">IF($K3649="Expected",$P3649,0)</f>
        <v>0</v>
      </c>
      <c r="V3649" s="64" t="n">
        <f aca="false">IF($K3649="Better",$P3649,0)</f>
        <v>0</v>
      </c>
      <c r="W3649" s="64" t="n">
        <f aca="false">IF($K3649="U – needs rule",$P3649,0)</f>
        <v>0</v>
      </c>
      <c r="X3649" s="64" t="n">
        <f aca="false">IF($K3649="No Start (attainment only)",$P3649,0)</f>
        <v>0</v>
      </c>
    </row>
    <row r="3650" customFormat="false" ht="15" hidden="false" customHeight="false" outlineLevel="0" collapsed="false">
      <c r="A3650" s="60"/>
      <c r="B3650" s="61" t="str">
        <f aca="false">IF($M3650=0,"",INDEX(Classes!$E$6:$E$420,$M3650))</f>
        <v/>
      </c>
      <c r="C3650" s="62" t="str">
        <f aca="false">IF($M3650=0,"",INDEX(Classes!$H$6:$H$420,$M3650))</f>
        <v/>
      </c>
      <c r="D3650" s="61" t="str">
        <f aca="false">IF($M3650=0,"",INDEX(Classes!$B$6:$B$420,$M3650))</f>
        <v/>
      </c>
      <c r="E3650" s="61" t="str">
        <f aca="false">IF($M3650=0,"",INDEX(Classes!$C$6:$C$420,$M3650))</f>
        <v/>
      </c>
      <c r="F3650" s="63"/>
      <c r="G3650" s="63"/>
      <c r="H3650" s="60"/>
      <c r="I3650" s="60"/>
      <c r="J3650" s="63"/>
      <c r="K3650" s="61" t="str">
        <f aca="false">IF($P3650=0,"",IF($F3650="Baseline","— Baseline",IF($O3650=0,"No result",IF($N3650=0,"No Start (attainment only)",IF(OR($N3650=1,$O3650=1),"U – needs rule",INDEX(MxBody,MATCH($I3650,MxCurr,0),MATCH($H3650,MxStart,0)))))))</f>
        <v/>
      </c>
      <c r="L3650" s="62" t="str">
        <f aca="false">IF(COUNTA($A3650,$F3650,$G3650,$H3650,$I3650,$J3650)=0,"",IF($M3650=0,"✖ كود الصف غير موجود",IF(ISNA(MATCH($F3650,Lists!$A$2:$A$5,0)),"✖ الفترة غير صحيحة",IF(ISNA(MATCH($G3650,Lists!$B$2:$B$7,0)),"✖ المجموعة غير صحيحة",IF(NOT(OR($H3650="",$N3650&gt;0)),"✖ Start غير صحيح",IF(NOT(OR($I3650="",$I3650="NR",$O3650&gt;0)),"✖ Current غير صحيح",IF(NOT(IF(ISNUMBER($J3650),AND($J3650&gt;=0,$J3650=INT($J3650)),FALSE())),"✖ العدد يجب أن يكون صحيحًا ≥ 0",IF(AND($F3650="Baseline",$H3650&lt;&gt;""),"⚠ Baseline: Start لا يدخل في التقدم",IF($K3650="No Start (attainment only)","ℹ تحصيل فقط (بدون Start)",IF($K3650="U – needs rule","ℹ حالة U تحتاج قاعدة معتمدة",IF($K3650="No result","ℹ بدون نتيجة (يُستبعد من التحصيل)","OK")))))))))))</f>
        <v/>
      </c>
      <c r="M3650" s="64" t="n">
        <f aca="false">IF($A3650="",0,IFERROR(MATCH($A3650,Classes!$A$6:$A$420,0),0))</f>
        <v>0</v>
      </c>
      <c r="N3650" s="64" t="n">
        <f aca="false">IF($H3650="",0,IFERROR(MATCH($H3650,GradeList,0),0))</f>
        <v>0</v>
      </c>
      <c r="O3650" s="64" t="n">
        <f aca="false">IF(OR($I3650="",$I3650="NR"),0,IFERROR(MATCH($I3650,GradeList,0),0))</f>
        <v>0</v>
      </c>
      <c r="P3650" s="64" t="n">
        <f aca="false">IF(AND($M3650&gt;0,ISNUMBER(MATCH($F3650,Lists!$A$2:$A$5,0)),ISNUMBER(MATCH($G3650,Lists!$B$2:$B$7,0)),OR($H3650="",$N3650&gt;0),OR($I3650="",$I3650="NR",$O3650&gt;0),IF(ISNUMBER($J3650),AND($J3650&gt;=0,$J3650=INT($J3650)),FALSE())),$J3650,0)</f>
        <v>0</v>
      </c>
      <c r="Q3650" s="64" t="n">
        <f aca="false">IF(AND($P3650&gt;0,$O3650&gt;0),$P3650,0)</f>
        <v>0</v>
      </c>
      <c r="R3650" s="64" t="n">
        <f aca="false">IF(AND($Q3650&gt;0,$O3650&gt;=AtRank),$Q3650,0)</f>
        <v>0</v>
      </c>
      <c r="S3650" s="64" t="n">
        <f aca="false">IF(AND($Q3650&gt;0,$O3650&gt;=AboveRank),$Q3650,0)</f>
        <v>0</v>
      </c>
      <c r="T3650" s="64" t="n">
        <f aca="false">IF($K3650="Less",$P3650,0)</f>
        <v>0</v>
      </c>
      <c r="U3650" s="64" t="n">
        <f aca="false">IF($K3650="Expected",$P3650,0)</f>
        <v>0</v>
      </c>
      <c r="V3650" s="64" t="n">
        <f aca="false">IF($K3650="Better",$P3650,0)</f>
        <v>0</v>
      </c>
      <c r="W3650" s="64" t="n">
        <f aca="false">IF($K3650="U – needs rule",$P3650,0)</f>
        <v>0</v>
      </c>
      <c r="X3650" s="64" t="n">
        <f aca="false">IF($K3650="No Start (attainment only)",$P3650,0)</f>
        <v>0</v>
      </c>
    </row>
    <row r="3651" customFormat="false" ht="15" hidden="false" customHeight="false" outlineLevel="0" collapsed="false">
      <c r="A3651" s="60"/>
      <c r="B3651" s="61" t="str">
        <f aca="false">IF($M3651=0,"",INDEX(Classes!$E$6:$E$420,$M3651))</f>
        <v/>
      </c>
      <c r="C3651" s="62" t="str">
        <f aca="false">IF($M3651=0,"",INDEX(Classes!$H$6:$H$420,$M3651))</f>
        <v/>
      </c>
      <c r="D3651" s="61" t="str">
        <f aca="false">IF($M3651=0,"",INDEX(Classes!$B$6:$B$420,$M3651))</f>
        <v/>
      </c>
      <c r="E3651" s="61" t="str">
        <f aca="false">IF($M3651=0,"",INDEX(Classes!$C$6:$C$420,$M3651))</f>
        <v/>
      </c>
      <c r="F3651" s="63"/>
      <c r="G3651" s="63"/>
      <c r="H3651" s="60"/>
      <c r="I3651" s="60"/>
      <c r="J3651" s="63"/>
      <c r="K3651" s="61" t="str">
        <f aca="false">IF($P3651=0,"",IF($F3651="Baseline","— Baseline",IF($O3651=0,"No result",IF($N3651=0,"No Start (attainment only)",IF(OR($N3651=1,$O3651=1),"U – needs rule",INDEX(MxBody,MATCH($I3651,MxCurr,0),MATCH($H3651,MxStart,0)))))))</f>
        <v/>
      </c>
      <c r="L3651" s="62" t="str">
        <f aca="false">IF(COUNTA($A3651,$F3651,$G3651,$H3651,$I3651,$J3651)=0,"",IF($M3651=0,"✖ كود الصف غير موجود",IF(ISNA(MATCH($F3651,Lists!$A$2:$A$5,0)),"✖ الفترة غير صحيحة",IF(ISNA(MATCH($G3651,Lists!$B$2:$B$7,0)),"✖ المجموعة غير صحيحة",IF(NOT(OR($H3651="",$N3651&gt;0)),"✖ Start غير صحيح",IF(NOT(OR($I3651="",$I3651="NR",$O3651&gt;0)),"✖ Current غير صحيح",IF(NOT(IF(ISNUMBER($J3651),AND($J3651&gt;=0,$J3651=INT($J3651)),FALSE())),"✖ العدد يجب أن يكون صحيحًا ≥ 0",IF(AND($F3651="Baseline",$H3651&lt;&gt;""),"⚠ Baseline: Start لا يدخل في التقدم",IF($K3651="No Start (attainment only)","ℹ تحصيل فقط (بدون Start)",IF($K3651="U – needs rule","ℹ حالة U تحتاج قاعدة معتمدة",IF($K3651="No result","ℹ بدون نتيجة (يُستبعد من التحصيل)","OK")))))))))))</f>
        <v/>
      </c>
      <c r="M3651" s="64" t="n">
        <f aca="false">IF($A3651="",0,IFERROR(MATCH($A3651,Classes!$A$6:$A$420,0),0))</f>
        <v>0</v>
      </c>
      <c r="N3651" s="64" t="n">
        <f aca="false">IF($H3651="",0,IFERROR(MATCH($H3651,GradeList,0),0))</f>
        <v>0</v>
      </c>
      <c r="O3651" s="64" t="n">
        <f aca="false">IF(OR($I3651="",$I3651="NR"),0,IFERROR(MATCH($I3651,GradeList,0),0))</f>
        <v>0</v>
      </c>
      <c r="P3651" s="64" t="n">
        <f aca="false">IF(AND($M3651&gt;0,ISNUMBER(MATCH($F3651,Lists!$A$2:$A$5,0)),ISNUMBER(MATCH($G3651,Lists!$B$2:$B$7,0)),OR($H3651="",$N3651&gt;0),OR($I3651="",$I3651="NR",$O3651&gt;0),IF(ISNUMBER($J3651),AND($J3651&gt;=0,$J3651=INT($J3651)),FALSE())),$J3651,0)</f>
        <v>0</v>
      </c>
      <c r="Q3651" s="64" t="n">
        <f aca="false">IF(AND($P3651&gt;0,$O3651&gt;0),$P3651,0)</f>
        <v>0</v>
      </c>
      <c r="R3651" s="64" t="n">
        <f aca="false">IF(AND($Q3651&gt;0,$O3651&gt;=AtRank),$Q3651,0)</f>
        <v>0</v>
      </c>
      <c r="S3651" s="64" t="n">
        <f aca="false">IF(AND($Q3651&gt;0,$O3651&gt;=AboveRank),$Q3651,0)</f>
        <v>0</v>
      </c>
      <c r="T3651" s="64" t="n">
        <f aca="false">IF($K3651="Less",$P3651,0)</f>
        <v>0</v>
      </c>
      <c r="U3651" s="64" t="n">
        <f aca="false">IF($K3651="Expected",$P3651,0)</f>
        <v>0</v>
      </c>
      <c r="V3651" s="64" t="n">
        <f aca="false">IF($K3651="Better",$P3651,0)</f>
        <v>0</v>
      </c>
      <c r="W3651" s="64" t="n">
        <f aca="false">IF($K3651="U – needs rule",$P3651,0)</f>
        <v>0</v>
      </c>
      <c r="X3651" s="64" t="n">
        <f aca="false">IF($K3651="No Start (attainment only)",$P3651,0)</f>
        <v>0</v>
      </c>
    </row>
    <row r="3652" customFormat="false" ht="15" hidden="false" customHeight="false" outlineLevel="0" collapsed="false">
      <c r="A3652" s="60"/>
      <c r="B3652" s="61" t="str">
        <f aca="false">IF($M3652=0,"",INDEX(Classes!$E$6:$E$420,$M3652))</f>
        <v/>
      </c>
      <c r="C3652" s="62" t="str">
        <f aca="false">IF($M3652=0,"",INDEX(Classes!$H$6:$H$420,$M3652))</f>
        <v/>
      </c>
      <c r="D3652" s="61" t="str">
        <f aca="false">IF($M3652=0,"",INDEX(Classes!$B$6:$B$420,$M3652))</f>
        <v/>
      </c>
      <c r="E3652" s="61" t="str">
        <f aca="false">IF($M3652=0,"",INDEX(Classes!$C$6:$C$420,$M3652))</f>
        <v/>
      </c>
      <c r="F3652" s="63"/>
      <c r="G3652" s="63"/>
      <c r="H3652" s="60"/>
      <c r="I3652" s="60"/>
      <c r="J3652" s="63"/>
      <c r="K3652" s="61" t="str">
        <f aca="false">IF($P3652=0,"",IF($F3652="Baseline","— Baseline",IF($O3652=0,"No result",IF($N3652=0,"No Start (attainment only)",IF(OR($N3652=1,$O3652=1),"U – needs rule",INDEX(MxBody,MATCH($I3652,MxCurr,0),MATCH($H3652,MxStart,0)))))))</f>
        <v/>
      </c>
      <c r="L3652" s="62" t="str">
        <f aca="false">IF(COUNTA($A3652,$F3652,$G3652,$H3652,$I3652,$J3652)=0,"",IF($M3652=0,"✖ كود الصف غير موجود",IF(ISNA(MATCH($F3652,Lists!$A$2:$A$5,0)),"✖ الفترة غير صحيحة",IF(ISNA(MATCH($G3652,Lists!$B$2:$B$7,0)),"✖ المجموعة غير صحيحة",IF(NOT(OR($H3652="",$N3652&gt;0)),"✖ Start غير صحيح",IF(NOT(OR($I3652="",$I3652="NR",$O3652&gt;0)),"✖ Current غير صحيح",IF(NOT(IF(ISNUMBER($J3652),AND($J3652&gt;=0,$J3652=INT($J3652)),FALSE())),"✖ العدد يجب أن يكون صحيحًا ≥ 0",IF(AND($F3652="Baseline",$H3652&lt;&gt;""),"⚠ Baseline: Start لا يدخل في التقدم",IF($K3652="No Start (attainment only)","ℹ تحصيل فقط (بدون Start)",IF($K3652="U – needs rule","ℹ حالة U تحتاج قاعدة معتمدة",IF($K3652="No result","ℹ بدون نتيجة (يُستبعد من التحصيل)","OK")))))))))))</f>
        <v/>
      </c>
      <c r="M3652" s="64" t="n">
        <f aca="false">IF($A3652="",0,IFERROR(MATCH($A3652,Classes!$A$6:$A$420,0),0))</f>
        <v>0</v>
      </c>
      <c r="N3652" s="64" t="n">
        <f aca="false">IF($H3652="",0,IFERROR(MATCH($H3652,GradeList,0),0))</f>
        <v>0</v>
      </c>
      <c r="O3652" s="64" t="n">
        <f aca="false">IF(OR($I3652="",$I3652="NR"),0,IFERROR(MATCH($I3652,GradeList,0),0))</f>
        <v>0</v>
      </c>
      <c r="P3652" s="64" t="n">
        <f aca="false">IF(AND($M3652&gt;0,ISNUMBER(MATCH($F3652,Lists!$A$2:$A$5,0)),ISNUMBER(MATCH($G3652,Lists!$B$2:$B$7,0)),OR($H3652="",$N3652&gt;0),OR($I3652="",$I3652="NR",$O3652&gt;0),IF(ISNUMBER($J3652),AND($J3652&gt;=0,$J3652=INT($J3652)),FALSE())),$J3652,0)</f>
        <v>0</v>
      </c>
      <c r="Q3652" s="64" t="n">
        <f aca="false">IF(AND($P3652&gt;0,$O3652&gt;0),$P3652,0)</f>
        <v>0</v>
      </c>
      <c r="R3652" s="64" t="n">
        <f aca="false">IF(AND($Q3652&gt;0,$O3652&gt;=AtRank),$Q3652,0)</f>
        <v>0</v>
      </c>
      <c r="S3652" s="64" t="n">
        <f aca="false">IF(AND($Q3652&gt;0,$O3652&gt;=AboveRank),$Q3652,0)</f>
        <v>0</v>
      </c>
      <c r="T3652" s="64" t="n">
        <f aca="false">IF($K3652="Less",$P3652,0)</f>
        <v>0</v>
      </c>
      <c r="U3652" s="64" t="n">
        <f aca="false">IF($K3652="Expected",$P3652,0)</f>
        <v>0</v>
      </c>
      <c r="V3652" s="64" t="n">
        <f aca="false">IF($K3652="Better",$P3652,0)</f>
        <v>0</v>
      </c>
      <c r="W3652" s="64" t="n">
        <f aca="false">IF($K3652="U – needs rule",$P3652,0)</f>
        <v>0</v>
      </c>
      <c r="X3652" s="64" t="n">
        <f aca="false">IF($K3652="No Start (attainment only)",$P3652,0)</f>
        <v>0</v>
      </c>
    </row>
    <row r="3653" customFormat="false" ht="15" hidden="false" customHeight="false" outlineLevel="0" collapsed="false">
      <c r="A3653" s="60"/>
      <c r="B3653" s="61" t="str">
        <f aca="false">IF($M3653=0,"",INDEX(Classes!$E$6:$E$420,$M3653))</f>
        <v/>
      </c>
      <c r="C3653" s="62" t="str">
        <f aca="false">IF($M3653=0,"",INDEX(Classes!$H$6:$H$420,$M3653))</f>
        <v/>
      </c>
      <c r="D3653" s="61" t="str">
        <f aca="false">IF($M3653=0,"",INDEX(Classes!$B$6:$B$420,$M3653))</f>
        <v/>
      </c>
      <c r="E3653" s="61" t="str">
        <f aca="false">IF($M3653=0,"",INDEX(Classes!$C$6:$C$420,$M3653))</f>
        <v/>
      </c>
      <c r="F3653" s="63"/>
      <c r="G3653" s="63"/>
      <c r="H3653" s="60"/>
      <c r="I3653" s="60"/>
      <c r="J3653" s="63"/>
      <c r="K3653" s="61" t="str">
        <f aca="false">IF($P3653=0,"",IF($F3653="Baseline","— Baseline",IF($O3653=0,"No result",IF($N3653=0,"No Start (attainment only)",IF(OR($N3653=1,$O3653=1),"U – needs rule",INDEX(MxBody,MATCH($I3653,MxCurr,0),MATCH($H3653,MxStart,0)))))))</f>
        <v/>
      </c>
      <c r="L3653" s="62" t="str">
        <f aca="false">IF(COUNTA($A3653,$F3653,$G3653,$H3653,$I3653,$J3653)=0,"",IF($M3653=0,"✖ كود الصف غير موجود",IF(ISNA(MATCH($F3653,Lists!$A$2:$A$5,0)),"✖ الفترة غير صحيحة",IF(ISNA(MATCH($G3653,Lists!$B$2:$B$7,0)),"✖ المجموعة غير صحيحة",IF(NOT(OR($H3653="",$N3653&gt;0)),"✖ Start غير صحيح",IF(NOT(OR($I3653="",$I3653="NR",$O3653&gt;0)),"✖ Current غير صحيح",IF(NOT(IF(ISNUMBER($J3653),AND($J3653&gt;=0,$J3653=INT($J3653)),FALSE())),"✖ العدد يجب أن يكون صحيحًا ≥ 0",IF(AND($F3653="Baseline",$H3653&lt;&gt;""),"⚠ Baseline: Start لا يدخل في التقدم",IF($K3653="No Start (attainment only)","ℹ تحصيل فقط (بدون Start)",IF($K3653="U – needs rule","ℹ حالة U تحتاج قاعدة معتمدة",IF($K3653="No result","ℹ بدون نتيجة (يُستبعد من التحصيل)","OK")))))))))))</f>
        <v/>
      </c>
      <c r="M3653" s="64" t="n">
        <f aca="false">IF($A3653="",0,IFERROR(MATCH($A3653,Classes!$A$6:$A$420,0),0))</f>
        <v>0</v>
      </c>
      <c r="N3653" s="64" t="n">
        <f aca="false">IF($H3653="",0,IFERROR(MATCH($H3653,GradeList,0),0))</f>
        <v>0</v>
      </c>
      <c r="O3653" s="64" t="n">
        <f aca="false">IF(OR($I3653="",$I3653="NR"),0,IFERROR(MATCH($I3653,GradeList,0),0))</f>
        <v>0</v>
      </c>
      <c r="P3653" s="64" t="n">
        <f aca="false">IF(AND($M3653&gt;0,ISNUMBER(MATCH($F3653,Lists!$A$2:$A$5,0)),ISNUMBER(MATCH($G3653,Lists!$B$2:$B$7,0)),OR($H3653="",$N3653&gt;0),OR($I3653="",$I3653="NR",$O3653&gt;0),IF(ISNUMBER($J3653),AND($J3653&gt;=0,$J3653=INT($J3653)),FALSE())),$J3653,0)</f>
        <v>0</v>
      </c>
      <c r="Q3653" s="64" t="n">
        <f aca="false">IF(AND($P3653&gt;0,$O3653&gt;0),$P3653,0)</f>
        <v>0</v>
      </c>
      <c r="R3653" s="64" t="n">
        <f aca="false">IF(AND($Q3653&gt;0,$O3653&gt;=AtRank),$Q3653,0)</f>
        <v>0</v>
      </c>
      <c r="S3653" s="64" t="n">
        <f aca="false">IF(AND($Q3653&gt;0,$O3653&gt;=AboveRank),$Q3653,0)</f>
        <v>0</v>
      </c>
      <c r="T3653" s="64" t="n">
        <f aca="false">IF($K3653="Less",$P3653,0)</f>
        <v>0</v>
      </c>
      <c r="U3653" s="64" t="n">
        <f aca="false">IF($K3653="Expected",$P3653,0)</f>
        <v>0</v>
      </c>
      <c r="V3653" s="64" t="n">
        <f aca="false">IF($K3653="Better",$P3653,0)</f>
        <v>0</v>
      </c>
      <c r="W3653" s="64" t="n">
        <f aca="false">IF($K3653="U – needs rule",$P3653,0)</f>
        <v>0</v>
      </c>
      <c r="X3653" s="64" t="n">
        <f aca="false">IF($K3653="No Start (attainment only)",$P3653,0)</f>
        <v>0</v>
      </c>
    </row>
    <row r="3654" customFormat="false" ht="15" hidden="false" customHeight="false" outlineLevel="0" collapsed="false">
      <c r="A3654" s="60"/>
      <c r="B3654" s="61" t="str">
        <f aca="false">IF($M3654=0,"",INDEX(Classes!$E$6:$E$420,$M3654))</f>
        <v/>
      </c>
      <c r="C3654" s="62" t="str">
        <f aca="false">IF($M3654=0,"",INDEX(Classes!$H$6:$H$420,$M3654))</f>
        <v/>
      </c>
      <c r="D3654" s="61" t="str">
        <f aca="false">IF($M3654=0,"",INDEX(Classes!$B$6:$B$420,$M3654))</f>
        <v/>
      </c>
      <c r="E3654" s="61" t="str">
        <f aca="false">IF($M3654=0,"",INDEX(Classes!$C$6:$C$420,$M3654))</f>
        <v/>
      </c>
      <c r="F3654" s="63"/>
      <c r="G3654" s="63"/>
      <c r="H3654" s="60"/>
      <c r="I3654" s="60"/>
      <c r="J3654" s="63"/>
      <c r="K3654" s="61" t="str">
        <f aca="false">IF($P3654=0,"",IF($F3654="Baseline","— Baseline",IF($O3654=0,"No result",IF($N3654=0,"No Start (attainment only)",IF(OR($N3654=1,$O3654=1),"U – needs rule",INDEX(MxBody,MATCH($I3654,MxCurr,0),MATCH($H3654,MxStart,0)))))))</f>
        <v/>
      </c>
      <c r="L3654" s="62" t="str">
        <f aca="false">IF(COUNTA($A3654,$F3654,$G3654,$H3654,$I3654,$J3654)=0,"",IF($M3654=0,"✖ كود الصف غير موجود",IF(ISNA(MATCH($F3654,Lists!$A$2:$A$5,0)),"✖ الفترة غير صحيحة",IF(ISNA(MATCH($G3654,Lists!$B$2:$B$7,0)),"✖ المجموعة غير صحيحة",IF(NOT(OR($H3654="",$N3654&gt;0)),"✖ Start غير صحيح",IF(NOT(OR($I3654="",$I3654="NR",$O3654&gt;0)),"✖ Current غير صحيح",IF(NOT(IF(ISNUMBER($J3654),AND($J3654&gt;=0,$J3654=INT($J3654)),FALSE())),"✖ العدد يجب أن يكون صحيحًا ≥ 0",IF(AND($F3654="Baseline",$H3654&lt;&gt;""),"⚠ Baseline: Start لا يدخل في التقدم",IF($K3654="No Start (attainment only)","ℹ تحصيل فقط (بدون Start)",IF($K3654="U – needs rule","ℹ حالة U تحتاج قاعدة معتمدة",IF($K3654="No result","ℹ بدون نتيجة (يُستبعد من التحصيل)","OK")))))))))))</f>
        <v/>
      </c>
      <c r="M3654" s="64" t="n">
        <f aca="false">IF($A3654="",0,IFERROR(MATCH($A3654,Classes!$A$6:$A$420,0),0))</f>
        <v>0</v>
      </c>
      <c r="N3654" s="64" t="n">
        <f aca="false">IF($H3654="",0,IFERROR(MATCH($H3654,GradeList,0),0))</f>
        <v>0</v>
      </c>
      <c r="O3654" s="64" t="n">
        <f aca="false">IF(OR($I3654="",$I3654="NR"),0,IFERROR(MATCH($I3654,GradeList,0),0))</f>
        <v>0</v>
      </c>
      <c r="P3654" s="64" t="n">
        <f aca="false">IF(AND($M3654&gt;0,ISNUMBER(MATCH($F3654,Lists!$A$2:$A$5,0)),ISNUMBER(MATCH($G3654,Lists!$B$2:$B$7,0)),OR($H3654="",$N3654&gt;0),OR($I3654="",$I3654="NR",$O3654&gt;0),IF(ISNUMBER($J3654),AND($J3654&gt;=0,$J3654=INT($J3654)),FALSE())),$J3654,0)</f>
        <v>0</v>
      </c>
      <c r="Q3654" s="64" t="n">
        <f aca="false">IF(AND($P3654&gt;0,$O3654&gt;0),$P3654,0)</f>
        <v>0</v>
      </c>
      <c r="R3654" s="64" t="n">
        <f aca="false">IF(AND($Q3654&gt;0,$O3654&gt;=AtRank),$Q3654,0)</f>
        <v>0</v>
      </c>
      <c r="S3654" s="64" t="n">
        <f aca="false">IF(AND($Q3654&gt;0,$O3654&gt;=AboveRank),$Q3654,0)</f>
        <v>0</v>
      </c>
      <c r="T3654" s="64" t="n">
        <f aca="false">IF($K3654="Less",$P3654,0)</f>
        <v>0</v>
      </c>
      <c r="U3654" s="64" t="n">
        <f aca="false">IF($K3654="Expected",$P3654,0)</f>
        <v>0</v>
      </c>
      <c r="V3654" s="64" t="n">
        <f aca="false">IF($K3654="Better",$P3654,0)</f>
        <v>0</v>
      </c>
      <c r="W3654" s="64" t="n">
        <f aca="false">IF($K3654="U – needs rule",$P3654,0)</f>
        <v>0</v>
      </c>
      <c r="X3654" s="64" t="n">
        <f aca="false">IF($K3654="No Start (attainment only)",$P3654,0)</f>
        <v>0</v>
      </c>
    </row>
    <row r="3655" customFormat="false" ht="15" hidden="false" customHeight="false" outlineLevel="0" collapsed="false">
      <c r="A3655" s="60"/>
      <c r="B3655" s="61" t="str">
        <f aca="false">IF($M3655=0,"",INDEX(Classes!$E$6:$E$420,$M3655))</f>
        <v/>
      </c>
      <c r="C3655" s="62" t="str">
        <f aca="false">IF($M3655=0,"",INDEX(Classes!$H$6:$H$420,$M3655))</f>
        <v/>
      </c>
      <c r="D3655" s="61" t="str">
        <f aca="false">IF($M3655=0,"",INDEX(Classes!$B$6:$B$420,$M3655))</f>
        <v/>
      </c>
      <c r="E3655" s="61" t="str">
        <f aca="false">IF($M3655=0,"",INDEX(Classes!$C$6:$C$420,$M3655))</f>
        <v/>
      </c>
      <c r="F3655" s="63"/>
      <c r="G3655" s="63"/>
      <c r="H3655" s="60"/>
      <c r="I3655" s="60"/>
      <c r="J3655" s="63"/>
      <c r="K3655" s="61" t="str">
        <f aca="false">IF($P3655=0,"",IF($F3655="Baseline","— Baseline",IF($O3655=0,"No result",IF($N3655=0,"No Start (attainment only)",IF(OR($N3655=1,$O3655=1),"U – needs rule",INDEX(MxBody,MATCH($I3655,MxCurr,0),MATCH($H3655,MxStart,0)))))))</f>
        <v/>
      </c>
      <c r="L3655" s="62" t="str">
        <f aca="false">IF(COUNTA($A3655,$F3655,$G3655,$H3655,$I3655,$J3655)=0,"",IF($M3655=0,"✖ كود الصف غير موجود",IF(ISNA(MATCH($F3655,Lists!$A$2:$A$5,0)),"✖ الفترة غير صحيحة",IF(ISNA(MATCH($G3655,Lists!$B$2:$B$7,0)),"✖ المجموعة غير صحيحة",IF(NOT(OR($H3655="",$N3655&gt;0)),"✖ Start غير صحيح",IF(NOT(OR($I3655="",$I3655="NR",$O3655&gt;0)),"✖ Current غير صحيح",IF(NOT(IF(ISNUMBER($J3655),AND($J3655&gt;=0,$J3655=INT($J3655)),FALSE())),"✖ العدد يجب أن يكون صحيحًا ≥ 0",IF(AND($F3655="Baseline",$H3655&lt;&gt;""),"⚠ Baseline: Start لا يدخل في التقدم",IF($K3655="No Start (attainment only)","ℹ تحصيل فقط (بدون Start)",IF($K3655="U – needs rule","ℹ حالة U تحتاج قاعدة معتمدة",IF($K3655="No result","ℹ بدون نتيجة (يُستبعد من التحصيل)","OK")))))))))))</f>
        <v/>
      </c>
      <c r="M3655" s="64" t="n">
        <f aca="false">IF($A3655="",0,IFERROR(MATCH($A3655,Classes!$A$6:$A$420,0),0))</f>
        <v>0</v>
      </c>
      <c r="N3655" s="64" t="n">
        <f aca="false">IF($H3655="",0,IFERROR(MATCH($H3655,GradeList,0),0))</f>
        <v>0</v>
      </c>
      <c r="O3655" s="64" t="n">
        <f aca="false">IF(OR($I3655="",$I3655="NR"),0,IFERROR(MATCH($I3655,GradeList,0),0))</f>
        <v>0</v>
      </c>
      <c r="P3655" s="64" t="n">
        <f aca="false">IF(AND($M3655&gt;0,ISNUMBER(MATCH($F3655,Lists!$A$2:$A$5,0)),ISNUMBER(MATCH($G3655,Lists!$B$2:$B$7,0)),OR($H3655="",$N3655&gt;0),OR($I3655="",$I3655="NR",$O3655&gt;0),IF(ISNUMBER($J3655),AND($J3655&gt;=0,$J3655=INT($J3655)),FALSE())),$J3655,0)</f>
        <v>0</v>
      </c>
      <c r="Q3655" s="64" t="n">
        <f aca="false">IF(AND($P3655&gt;0,$O3655&gt;0),$P3655,0)</f>
        <v>0</v>
      </c>
      <c r="R3655" s="64" t="n">
        <f aca="false">IF(AND($Q3655&gt;0,$O3655&gt;=AtRank),$Q3655,0)</f>
        <v>0</v>
      </c>
      <c r="S3655" s="64" t="n">
        <f aca="false">IF(AND($Q3655&gt;0,$O3655&gt;=AboveRank),$Q3655,0)</f>
        <v>0</v>
      </c>
      <c r="T3655" s="64" t="n">
        <f aca="false">IF($K3655="Less",$P3655,0)</f>
        <v>0</v>
      </c>
      <c r="U3655" s="64" t="n">
        <f aca="false">IF($K3655="Expected",$P3655,0)</f>
        <v>0</v>
      </c>
      <c r="V3655" s="64" t="n">
        <f aca="false">IF($K3655="Better",$P3655,0)</f>
        <v>0</v>
      </c>
      <c r="W3655" s="64" t="n">
        <f aca="false">IF($K3655="U – needs rule",$P3655,0)</f>
        <v>0</v>
      </c>
      <c r="X3655" s="64" t="n">
        <f aca="false">IF($K3655="No Start (attainment only)",$P3655,0)</f>
        <v>0</v>
      </c>
    </row>
    <row r="3656" customFormat="false" ht="15" hidden="false" customHeight="false" outlineLevel="0" collapsed="false">
      <c r="A3656" s="60"/>
      <c r="B3656" s="61" t="str">
        <f aca="false">IF($M3656=0,"",INDEX(Classes!$E$6:$E$420,$M3656))</f>
        <v/>
      </c>
      <c r="C3656" s="62" t="str">
        <f aca="false">IF($M3656=0,"",INDEX(Classes!$H$6:$H$420,$M3656))</f>
        <v/>
      </c>
      <c r="D3656" s="61" t="str">
        <f aca="false">IF($M3656=0,"",INDEX(Classes!$B$6:$B$420,$M3656))</f>
        <v/>
      </c>
      <c r="E3656" s="61" t="str">
        <f aca="false">IF($M3656=0,"",INDEX(Classes!$C$6:$C$420,$M3656))</f>
        <v/>
      </c>
      <c r="F3656" s="63"/>
      <c r="G3656" s="63"/>
      <c r="H3656" s="60"/>
      <c r="I3656" s="60"/>
      <c r="J3656" s="63"/>
      <c r="K3656" s="61" t="str">
        <f aca="false">IF($P3656=0,"",IF($F3656="Baseline","— Baseline",IF($O3656=0,"No result",IF($N3656=0,"No Start (attainment only)",IF(OR($N3656=1,$O3656=1),"U – needs rule",INDEX(MxBody,MATCH($I3656,MxCurr,0),MATCH($H3656,MxStart,0)))))))</f>
        <v/>
      </c>
      <c r="L3656" s="62" t="str">
        <f aca="false">IF(COUNTA($A3656,$F3656,$G3656,$H3656,$I3656,$J3656)=0,"",IF($M3656=0,"✖ كود الصف غير موجود",IF(ISNA(MATCH($F3656,Lists!$A$2:$A$5,0)),"✖ الفترة غير صحيحة",IF(ISNA(MATCH($G3656,Lists!$B$2:$B$7,0)),"✖ المجموعة غير صحيحة",IF(NOT(OR($H3656="",$N3656&gt;0)),"✖ Start غير صحيح",IF(NOT(OR($I3656="",$I3656="NR",$O3656&gt;0)),"✖ Current غير صحيح",IF(NOT(IF(ISNUMBER($J3656),AND($J3656&gt;=0,$J3656=INT($J3656)),FALSE())),"✖ العدد يجب أن يكون صحيحًا ≥ 0",IF(AND($F3656="Baseline",$H3656&lt;&gt;""),"⚠ Baseline: Start لا يدخل في التقدم",IF($K3656="No Start (attainment only)","ℹ تحصيل فقط (بدون Start)",IF($K3656="U – needs rule","ℹ حالة U تحتاج قاعدة معتمدة",IF($K3656="No result","ℹ بدون نتيجة (يُستبعد من التحصيل)","OK")))))))))))</f>
        <v/>
      </c>
      <c r="M3656" s="64" t="n">
        <f aca="false">IF($A3656="",0,IFERROR(MATCH($A3656,Classes!$A$6:$A$420,0),0))</f>
        <v>0</v>
      </c>
      <c r="N3656" s="64" t="n">
        <f aca="false">IF($H3656="",0,IFERROR(MATCH($H3656,GradeList,0),0))</f>
        <v>0</v>
      </c>
      <c r="O3656" s="64" t="n">
        <f aca="false">IF(OR($I3656="",$I3656="NR"),0,IFERROR(MATCH($I3656,GradeList,0),0))</f>
        <v>0</v>
      </c>
      <c r="P3656" s="64" t="n">
        <f aca="false">IF(AND($M3656&gt;0,ISNUMBER(MATCH($F3656,Lists!$A$2:$A$5,0)),ISNUMBER(MATCH($G3656,Lists!$B$2:$B$7,0)),OR($H3656="",$N3656&gt;0),OR($I3656="",$I3656="NR",$O3656&gt;0),IF(ISNUMBER($J3656),AND($J3656&gt;=0,$J3656=INT($J3656)),FALSE())),$J3656,0)</f>
        <v>0</v>
      </c>
      <c r="Q3656" s="64" t="n">
        <f aca="false">IF(AND($P3656&gt;0,$O3656&gt;0),$P3656,0)</f>
        <v>0</v>
      </c>
      <c r="R3656" s="64" t="n">
        <f aca="false">IF(AND($Q3656&gt;0,$O3656&gt;=AtRank),$Q3656,0)</f>
        <v>0</v>
      </c>
      <c r="S3656" s="64" t="n">
        <f aca="false">IF(AND($Q3656&gt;0,$O3656&gt;=AboveRank),$Q3656,0)</f>
        <v>0</v>
      </c>
      <c r="T3656" s="64" t="n">
        <f aca="false">IF($K3656="Less",$P3656,0)</f>
        <v>0</v>
      </c>
      <c r="U3656" s="64" t="n">
        <f aca="false">IF($K3656="Expected",$P3656,0)</f>
        <v>0</v>
      </c>
      <c r="V3656" s="64" t="n">
        <f aca="false">IF($K3656="Better",$P3656,0)</f>
        <v>0</v>
      </c>
      <c r="W3656" s="64" t="n">
        <f aca="false">IF($K3656="U – needs rule",$P3656,0)</f>
        <v>0</v>
      </c>
      <c r="X3656" s="64" t="n">
        <f aca="false">IF($K3656="No Start (attainment only)",$P3656,0)</f>
        <v>0</v>
      </c>
    </row>
    <row r="3657" customFormat="false" ht="15" hidden="false" customHeight="false" outlineLevel="0" collapsed="false">
      <c r="A3657" s="60"/>
      <c r="B3657" s="61" t="str">
        <f aca="false">IF($M3657=0,"",INDEX(Classes!$E$6:$E$420,$M3657))</f>
        <v/>
      </c>
      <c r="C3657" s="62" t="str">
        <f aca="false">IF($M3657=0,"",INDEX(Classes!$H$6:$H$420,$M3657))</f>
        <v/>
      </c>
      <c r="D3657" s="61" t="str">
        <f aca="false">IF($M3657=0,"",INDEX(Classes!$B$6:$B$420,$M3657))</f>
        <v/>
      </c>
      <c r="E3657" s="61" t="str">
        <f aca="false">IF($M3657=0,"",INDEX(Classes!$C$6:$C$420,$M3657))</f>
        <v/>
      </c>
      <c r="F3657" s="63"/>
      <c r="G3657" s="63"/>
      <c r="H3657" s="60"/>
      <c r="I3657" s="60"/>
      <c r="J3657" s="63"/>
      <c r="K3657" s="61" t="str">
        <f aca="false">IF($P3657=0,"",IF($F3657="Baseline","— Baseline",IF($O3657=0,"No result",IF($N3657=0,"No Start (attainment only)",IF(OR($N3657=1,$O3657=1),"U – needs rule",INDEX(MxBody,MATCH($I3657,MxCurr,0),MATCH($H3657,MxStart,0)))))))</f>
        <v/>
      </c>
      <c r="L3657" s="62" t="str">
        <f aca="false">IF(COUNTA($A3657,$F3657,$G3657,$H3657,$I3657,$J3657)=0,"",IF($M3657=0,"✖ كود الصف غير موجود",IF(ISNA(MATCH($F3657,Lists!$A$2:$A$5,0)),"✖ الفترة غير صحيحة",IF(ISNA(MATCH($G3657,Lists!$B$2:$B$7,0)),"✖ المجموعة غير صحيحة",IF(NOT(OR($H3657="",$N3657&gt;0)),"✖ Start غير صحيح",IF(NOT(OR($I3657="",$I3657="NR",$O3657&gt;0)),"✖ Current غير صحيح",IF(NOT(IF(ISNUMBER($J3657),AND($J3657&gt;=0,$J3657=INT($J3657)),FALSE())),"✖ العدد يجب أن يكون صحيحًا ≥ 0",IF(AND($F3657="Baseline",$H3657&lt;&gt;""),"⚠ Baseline: Start لا يدخل في التقدم",IF($K3657="No Start (attainment only)","ℹ تحصيل فقط (بدون Start)",IF($K3657="U – needs rule","ℹ حالة U تحتاج قاعدة معتمدة",IF($K3657="No result","ℹ بدون نتيجة (يُستبعد من التحصيل)","OK")))))))))))</f>
        <v/>
      </c>
      <c r="M3657" s="64" t="n">
        <f aca="false">IF($A3657="",0,IFERROR(MATCH($A3657,Classes!$A$6:$A$420,0),0))</f>
        <v>0</v>
      </c>
      <c r="N3657" s="64" t="n">
        <f aca="false">IF($H3657="",0,IFERROR(MATCH($H3657,GradeList,0),0))</f>
        <v>0</v>
      </c>
      <c r="O3657" s="64" t="n">
        <f aca="false">IF(OR($I3657="",$I3657="NR"),0,IFERROR(MATCH($I3657,GradeList,0),0))</f>
        <v>0</v>
      </c>
      <c r="P3657" s="64" t="n">
        <f aca="false">IF(AND($M3657&gt;0,ISNUMBER(MATCH($F3657,Lists!$A$2:$A$5,0)),ISNUMBER(MATCH($G3657,Lists!$B$2:$B$7,0)),OR($H3657="",$N3657&gt;0),OR($I3657="",$I3657="NR",$O3657&gt;0),IF(ISNUMBER($J3657),AND($J3657&gt;=0,$J3657=INT($J3657)),FALSE())),$J3657,0)</f>
        <v>0</v>
      </c>
      <c r="Q3657" s="64" t="n">
        <f aca="false">IF(AND($P3657&gt;0,$O3657&gt;0),$P3657,0)</f>
        <v>0</v>
      </c>
      <c r="R3657" s="64" t="n">
        <f aca="false">IF(AND($Q3657&gt;0,$O3657&gt;=AtRank),$Q3657,0)</f>
        <v>0</v>
      </c>
      <c r="S3657" s="64" t="n">
        <f aca="false">IF(AND($Q3657&gt;0,$O3657&gt;=AboveRank),$Q3657,0)</f>
        <v>0</v>
      </c>
      <c r="T3657" s="64" t="n">
        <f aca="false">IF($K3657="Less",$P3657,0)</f>
        <v>0</v>
      </c>
      <c r="U3657" s="64" t="n">
        <f aca="false">IF($K3657="Expected",$P3657,0)</f>
        <v>0</v>
      </c>
      <c r="V3657" s="64" t="n">
        <f aca="false">IF($K3657="Better",$P3657,0)</f>
        <v>0</v>
      </c>
      <c r="W3657" s="64" t="n">
        <f aca="false">IF($K3657="U – needs rule",$P3657,0)</f>
        <v>0</v>
      </c>
      <c r="X3657" s="64" t="n">
        <f aca="false">IF($K3657="No Start (attainment only)",$P3657,0)</f>
        <v>0</v>
      </c>
    </row>
    <row r="3658" customFormat="false" ht="15" hidden="false" customHeight="false" outlineLevel="0" collapsed="false">
      <c r="A3658" s="60"/>
      <c r="B3658" s="61" t="str">
        <f aca="false">IF($M3658=0,"",INDEX(Classes!$E$6:$E$420,$M3658))</f>
        <v/>
      </c>
      <c r="C3658" s="62" t="str">
        <f aca="false">IF($M3658=0,"",INDEX(Classes!$H$6:$H$420,$M3658))</f>
        <v/>
      </c>
      <c r="D3658" s="61" t="str">
        <f aca="false">IF($M3658=0,"",INDEX(Classes!$B$6:$B$420,$M3658))</f>
        <v/>
      </c>
      <c r="E3658" s="61" t="str">
        <f aca="false">IF($M3658=0,"",INDEX(Classes!$C$6:$C$420,$M3658))</f>
        <v/>
      </c>
      <c r="F3658" s="63"/>
      <c r="G3658" s="63"/>
      <c r="H3658" s="60"/>
      <c r="I3658" s="60"/>
      <c r="J3658" s="63"/>
      <c r="K3658" s="61" t="str">
        <f aca="false">IF($P3658=0,"",IF($F3658="Baseline","— Baseline",IF($O3658=0,"No result",IF($N3658=0,"No Start (attainment only)",IF(OR($N3658=1,$O3658=1),"U – needs rule",INDEX(MxBody,MATCH($I3658,MxCurr,0),MATCH($H3658,MxStart,0)))))))</f>
        <v/>
      </c>
      <c r="L3658" s="62" t="str">
        <f aca="false">IF(COUNTA($A3658,$F3658,$G3658,$H3658,$I3658,$J3658)=0,"",IF($M3658=0,"✖ كود الصف غير موجود",IF(ISNA(MATCH($F3658,Lists!$A$2:$A$5,0)),"✖ الفترة غير صحيحة",IF(ISNA(MATCH($G3658,Lists!$B$2:$B$7,0)),"✖ المجموعة غير صحيحة",IF(NOT(OR($H3658="",$N3658&gt;0)),"✖ Start غير صحيح",IF(NOT(OR($I3658="",$I3658="NR",$O3658&gt;0)),"✖ Current غير صحيح",IF(NOT(IF(ISNUMBER($J3658),AND($J3658&gt;=0,$J3658=INT($J3658)),FALSE())),"✖ العدد يجب أن يكون صحيحًا ≥ 0",IF(AND($F3658="Baseline",$H3658&lt;&gt;""),"⚠ Baseline: Start لا يدخل في التقدم",IF($K3658="No Start (attainment only)","ℹ تحصيل فقط (بدون Start)",IF($K3658="U – needs rule","ℹ حالة U تحتاج قاعدة معتمدة",IF($K3658="No result","ℹ بدون نتيجة (يُستبعد من التحصيل)","OK")))))))))))</f>
        <v/>
      </c>
      <c r="M3658" s="64" t="n">
        <f aca="false">IF($A3658="",0,IFERROR(MATCH($A3658,Classes!$A$6:$A$420,0),0))</f>
        <v>0</v>
      </c>
      <c r="N3658" s="64" t="n">
        <f aca="false">IF($H3658="",0,IFERROR(MATCH($H3658,GradeList,0),0))</f>
        <v>0</v>
      </c>
      <c r="O3658" s="64" t="n">
        <f aca="false">IF(OR($I3658="",$I3658="NR"),0,IFERROR(MATCH($I3658,GradeList,0),0))</f>
        <v>0</v>
      </c>
      <c r="P3658" s="64" t="n">
        <f aca="false">IF(AND($M3658&gt;0,ISNUMBER(MATCH($F3658,Lists!$A$2:$A$5,0)),ISNUMBER(MATCH($G3658,Lists!$B$2:$B$7,0)),OR($H3658="",$N3658&gt;0),OR($I3658="",$I3658="NR",$O3658&gt;0),IF(ISNUMBER($J3658),AND($J3658&gt;=0,$J3658=INT($J3658)),FALSE())),$J3658,0)</f>
        <v>0</v>
      </c>
      <c r="Q3658" s="64" t="n">
        <f aca="false">IF(AND($P3658&gt;0,$O3658&gt;0),$P3658,0)</f>
        <v>0</v>
      </c>
      <c r="R3658" s="64" t="n">
        <f aca="false">IF(AND($Q3658&gt;0,$O3658&gt;=AtRank),$Q3658,0)</f>
        <v>0</v>
      </c>
      <c r="S3658" s="64" t="n">
        <f aca="false">IF(AND($Q3658&gt;0,$O3658&gt;=AboveRank),$Q3658,0)</f>
        <v>0</v>
      </c>
      <c r="T3658" s="64" t="n">
        <f aca="false">IF($K3658="Less",$P3658,0)</f>
        <v>0</v>
      </c>
      <c r="U3658" s="64" t="n">
        <f aca="false">IF($K3658="Expected",$P3658,0)</f>
        <v>0</v>
      </c>
      <c r="V3658" s="64" t="n">
        <f aca="false">IF($K3658="Better",$P3658,0)</f>
        <v>0</v>
      </c>
      <c r="W3658" s="64" t="n">
        <f aca="false">IF($K3658="U – needs rule",$P3658,0)</f>
        <v>0</v>
      </c>
      <c r="X3658" s="64" t="n">
        <f aca="false">IF($K3658="No Start (attainment only)",$P3658,0)</f>
        <v>0</v>
      </c>
    </row>
    <row r="3659" customFormat="false" ht="15" hidden="false" customHeight="false" outlineLevel="0" collapsed="false">
      <c r="A3659" s="60"/>
      <c r="B3659" s="61" t="str">
        <f aca="false">IF($M3659=0,"",INDEX(Classes!$E$6:$E$420,$M3659))</f>
        <v/>
      </c>
      <c r="C3659" s="62" t="str">
        <f aca="false">IF($M3659=0,"",INDEX(Classes!$H$6:$H$420,$M3659))</f>
        <v/>
      </c>
      <c r="D3659" s="61" t="str">
        <f aca="false">IF($M3659=0,"",INDEX(Classes!$B$6:$B$420,$M3659))</f>
        <v/>
      </c>
      <c r="E3659" s="61" t="str">
        <f aca="false">IF($M3659=0,"",INDEX(Classes!$C$6:$C$420,$M3659))</f>
        <v/>
      </c>
      <c r="F3659" s="63"/>
      <c r="G3659" s="63"/>
      <c r="H3659" s="60"/>
      <c r="I3659" s="60"/>
      <c r="J3659" s="63"/>
      <c r="K3659" s="61" t="str">
        <f aca="false">IF($P3659=0,"",IF($F3659="Baseline","— Baseline",IF($O3659=0,"No result",IF($N3659=0,"No Start (attainment only)",IF(OR($N3659=1,$O3659=1),"U – needs rule",INDEX(MxBody,MATCH($I3659,MxCurr,0),MATCH($H3659,MxStart,0)))))))</f>
        <v/>
      </c>
      <c r="L3659" s="62" t="str">
        <f aca="false">IF(COUNTA($A3659,$F3659,$G3659,$H3659,$I3659,$J3659)=0,"",IF($M3659=0,"✖ كود الصف غير موجود",IF(ISNA(MATCH($F3659,Lists!$A$2:$A$5,0)),"✖ الفترة غير صحيحة",IF(ISNA(MATCH($G3659,Lists!$B$2:$B$7,0)),"✖ المجموعة غير صحيحة",IF(NOT(OR($H3659="",$N3659&gt;0)),"✖ Start غير صحيح",IF(NOT(OR($I3659="",$I3659="NR",$O3659&gt;0)),"✖ Current غير صحيح",IF(NOT(IF(ISNUMBER($J3659),AND($J3659&gt;=0,$J3659=INT($J3659)),FALSE())),"✖ العدد يجب أن يكون صحيحًا ≥ 0",IF(AND($F3659="Baseline",$H3659&lt;&gt;""),"⚠ Baseline: Start لا يدخل في التقدم",IF($K3659="No Start (attainment only)","ℹ تحصيل فقط (بدون Start)",IF($K3659="U – needs rule","ℹ حالة U تحتاج قاعدة معتمدة",IF($K3659="No result","ℹ بدون نتيجة (يُستبعد من التحصيل)","OK")))))))))))</f>
        <v/>
      </c>
      <c r="M3659" s="64" t="n">
        <f aca="false">IF($A3659="",0,IFERROR(MATCH($A3659,Classes!$A$6:$A$420,0),0))</f>
        <v>0</v>
      </c>
      <c r="N3659" s="64" t="n">
        <f aca="false">IF($H3659="",0,IFERROR(MATCH($H3659,GradeList,0),0))</f>
        <v>0</v>
      </c>
      <c r="O3659" s="64" t="n">
        <f aca="false">IF(OR($I3659="",$I3659="NR"),0,IFERROR(MATCH($I3659,GradeList,0),0))</f>
        <v>0</v>
      </c>
      <c r="P3659" s="64" t="n">
        <f aca="false">IF(AND($M3659&gt;0,ISNUMBER(MATCH($F3659,Lists!$A$2:$A$5,0)),ISNUMBER(MATCH($G3659,Lists!$B$2:$B$7,0)),OR($H3659="",$N3659&gt;0),OR($I3659="",$I3659="NR",$O3659&gt;0),IF(ISNUMBER($J3659),AND($J3659&gt;=0,$J3659=INT($J3659)),FALSE())),$J3659,0)</f>
        <v>0</v>
      </c>
      <c r="Q3659" s="64" t="n">
        <f aca="false">IF(AND($P3659&gt;0,$O3659&gt;0),$P3659,0)</f>
        <v>0</v>
      </c>
      <c r="R3659" s="64" t="n">
        <f aca="false">IF(AND($Q3659&gt;0,$O3659&gt;=AtRank),$Q3659,0)</f>
        <v>0</v>
      </c>
      <c r="S3659" s="64" t="n">
        <f aca="false">IF(AND($Q3659&gt;0,$O3659&gt;=AboveRank),$Q3659,0)</f>
        <v>0</v>
      </c>
      <c r="T3659" s="64" t="n">
        <f aca="false">IF($K3659="Less",$P3659,0)</f>
        <v>0</v>
      </c>
      <c r="U3659" s="64" t="n">
        <f aca="false">IF($K3659="Expected",$P3659,0)</f>
        <v>0</v>
      </c>
      <c r="V3659" s="64" t="n">
        <f aca="false">IF($K3659="Better",$P3659,0)</f>
        <v>0</v>
      </c>
      <c r="W3659" s="64" t="n">
        <f aca="false">IF($K3659="U – needs rule",$P3659,0)</f>
        <v>0</v>
      </c>
      <c r="X3659" s="64" t="n">
        <f aca="false">IF($K3659="No Start (attainment only)",$P3659,0)</f>
        <v>0</v>
      </c>
    </row>
    <row r="3660" customFormat="false" ht="15" hidden="false" customHeight="false" outlineLevel="0" collapsed="false">
      <c r="A3660" s="60"/>
      <c r="B3660" s="61" t="str">
        <f aca="false">IF($M3660=0,"",INDEX(Classes!$E$6:$E$420,$M3660))</f>
        <v/>
      </c>
      <c r="C3660" s="62" t="str">
        <f aca="false">IF($M3660=0,"",INDEX(Classes!$H$6:$H$420,$M3660))</f>
        <v/>
      </c>
      <c r="D3660" s="61" t="str">
        <f aca="false">IF($M3660=0,"",INDEX(Classes!$B$6:$B$420,$M3660))</f>
        <v/>
      </c>
      <c r="E3660" s="61" t="str">
        <f aca="false">IF($M3660=0,"",INDEX(Classes!$C$6:$C$420,$M3660))</f>
        <v/>
      </c>
      <c r="F3660" s="63"/>
      <c r="G3660" s="63"/>
      <c r="H3660" s="60"/>
      <c r="I3660" s="60"/>
      <c r="J3660" s="63"/>
      <c r="K3660" s="61" t="str">
        <f aca="false">IF($P3660=0,"",IF($F3660="Baseline","— Baseline",IF($O3660=0,"No result",IF($N3660=0,"No Start (attainment only)",IF(OR($N3660=1,$O3660=1),"U – needs rule",INDEX(MxBody,MATCH($I3660,MxCurr,0),MATCH($H3660,MxStart,0)))))))</f>
        <v/>
      </c>
      <c r="L3660" s="62" t="str">
        <f aca="false">IF(COUNTA($A3660,$F3660,$G3660,$H3660,$I3660,$J3660)=0,"",IF($M3660=0,"✖ كود الصف غير موجود",IF(ISNA(MATCH($F3660,Lists!$A$2:$A$5,0)),"✖ الفترة غير صحيحة",IF(ISNA(MATCH($G3660,Lists!$B$2:$B$7,0)),"✖ المجموعة غير صحيحة",IF(NOT(OR($H3660="",$N3660&gt;0)),"✖ Start غير صحيح",IF(NOT(OR($I3660="",$I3660="NR",$O3660&gt;0)),"✖ Current غير صحيح",IF(NOT(IF(ISNUMBER($J3660),AND($J3660&gt;=0,$J3660=INT($J3660)),FALSE())),"✖ العدد يجب أن يكون صحيحًا ≥ 0",IF(AND($F3660="Baseline",$H3660&lt;&gt;""),"⚠ Baseline: Start لا يدخل في التقدم",IF($K3660="No Start (attainment only)","ℹ تحصيل فقط (بدون Start)",IF($K3660="U – needs rule","ℹ حالة U تحتاج قاعدة معتمدة",IF($K3660="No result","ℹ بدون نتيجة (يُستبعد من التحصيل)","OK")))))))))))</f>
        <v/>
      </c>
      <c r="M3660" s="64" t="n">
        <f aca="false">IF($A3660="",0,IFERROR(MATCH($A3660,Classes!$A$6:$A$420,0),0))</f>
        <v>0</v>
      </c>
      <c r="N3660" s="64" t="n">
        <f aca="false">IF($H3660="",0,IFERROR(MATCH($H3660,GradeList,0),0))</f>
        <v>0</v>
      </c>
      <c r="O3660" s="64" t="n">
        <f aca="false">IF(OR($I3660="",$I3660="NR"),0,IFERROR(MATCH($I3660,GradeList,0),0))</f>
        <v>0</v>
      </c>
      <c r="P3660" s="64" t="n">
        <f aca="false">IF(AND($M3660&gt;0,ISNUMBER(MATCH($F3660,Lists!$A$2:$A$5,0)),ISNUMBER(MATCH($G3660,Lists!$B$2:$B$7,0)),OR($H3660="",$N3660&gt;0),OR($I3660="",$I3660="NR",$O3660&gt;0),IF(ISNUMBER($J3660),AND($J3660&gt;=0,$J3660=INT($J3660)),FALSE())),$J3660,0)</f>
        <v>0</v>
      </c>
      <c r="Q3660" s="64" t="n">
        <f aca="false">IF(AND($P3660&gt;0,$O3660&gt;0),$P3660,0)</f>
        <v>0</v>
      </c>
      <c r="R3660" s="64" t="n">
        <f aca="false">IF(AND($Q3660&gt;0,$O3660&gt;=AtRank),$Q3660,0)</f>
        <v>0</v>
      </c>
      <c r="S3660" s="64" t="n">
        <f aca="false">IF(AND($Q3660&gt;0,$O3660&gt;=AboveRank),$Q3660,0)</f>
        <v>0</v>
      </c>
      <c r="T3660" s="64" t="n">
        <f aca="false">IF($K3660="Less",$P3660,0)</f>
        <v>0</v>
      </c>
      <c r="U3660" s="64" t="n">
        <f aca="false">IF($K3660="Expected",$P3660,0)</f>
        <v>0</v>
      </c>
      <c r="V3660" s="64" t="n">
        <f aca="false">IF($K3660="Better",$P3660,0)</f>
        <v>0</v>
      </c>
      <c r="W3660" s="64" t="n">
        <f aca="false">IF($K3660="U – needs rule",$P3660,0)</f>
        <v>0</v>
      </c>
      <c r="X3660" s="64" t="n">
        <f aca="false">IF($K3660="No Start (attainment only)",$P3660,0)</f>
        <v>0</v>
      </c>
    </row>
    <row r="3661" customFormat="false" ht="15" hidden="false" customHeight="false" outlineLevel="0" collapsed="false">
      <c r="A3661" s="60"/>
      <c r="B3661" s="61" t="str">
        <f aca="false">IF($M3661=0,"",INDEX(Classes!$E$6:$E$420,$M3661))</f>
        <v/>
      </c>
      <c r="C3661" s="62" t="str">
        <f aca="false">IF($M3661=0,"",INDEX(Classes!$H$6:$H$420,$M3661))</f>
        <v/>
      </c>
      <c r="D3661" s="61" t="str">
        <f aca="false">IF($M3661=0,"",INDEX(Classes!$B$6:$B$420,$M3661))</f>
        <v/>
      </c>
      <c r="E3661" s="61" t="str">
        <f aca="false">IF($M3661=0,"",INDEX(Classes!$C$6:$C$420,$M3661))</f>
        <v/>
      </c>
      <c r="F3661" s="63"/>
      <c r="G3661" s="63"/>
      <c r="H3661" s="60"/>
      <c r="I3661" s="60"/>
      <c r="J3661" s="63"/>
      <c r="K3661" s="61" t="str">
        <f aca="false">IF($P3661=0,"",IF($F3661="Baseline","— Baseline",IF($O3661=0,"No result",IF($N3661=0,"No Start (attainment only)",IF(OR($N3661=1,$O3661=1),"U – needs rule",INDEX(MxBody,MATCH($I3661,MxCurr,0),MATCH($H3661,MxStart,0)))))))</f>
        <v/>
      </c>
      <c r="L3661" s="62" t="str">
        <f aca="false">IF(COUNTA($A3661,$F3661,$G3661,$H3661,$I3661,$J3661)=0,"",IF($M3661=0,"✖ كود الصف غير موجود",IF(ISNA(MATCH($F3661,Lists!$A$2:$A$5,0)),"✖ الفترة غير صحيحة",IF(ISNA(MATCH($G3661,Lists!$B$2:$B$7,0)),"✖ المجموعة غير صحيحة",IF(NOT(OR($H3661="",$N3661&gt;0)),"✖ Start غير صحيح",IF(NOT(OR($I3661="",$I3661="NR",$O3661&gt;0)),"✖ Current غير صحيح",IF(NOT(IF(ISNUMBER($J3661),AND($J3661&gt;=0,$J3661=INT($J3661)),FALSE())),"✖ العدد يجب أن يكون صحيحًا ≥ 0",IF(AND($F3661="Baseline",$H3661&lt;&gt;""),"⚠ Baseline: Start لا يدخل في التقدم",IF($K3661="No Start (attainment only)","ℹ تحصيل فقط (بدون Start)",IF($K3661="U – needs rule","ℹ حالة U تحتاج قاعدة معتمدة",IF($K3661="No result","ℹ بدون نتيجة (يُستبعد من التحصيل)","OK")))))))))))</f>
        <v/>
      </c>
      <c r="M3661" s="64" t="n">
        <f aca="false">IF($A3661="",0,IFERROR(MATCH($A3661,Classes!$A$6:$A$420,0),0))</f>
        <v>0</v>
      </c>
      <c r="N3661" s="64" t="n">
        <f aca="false">IF($H3661="",0,IFERROR(MATCH($H3661,GradeList,0),0))</f>
        <v>0</v>
      </c>
      <c r="O3661" s="64" t="n">
        <f aca="false">IF(OR($I3661="",$I3661="NR"),0,IFERROR(MATCH($I3661,GradeList,0),0))</f>
        <v>0</v>
      </c>
      <c r="P3661" s="64" t="n">
        <f aca="false">IF(AND($M3661&gt;0,ISNUMBER(MATCH($F3661,Lists!$A$2:$A$5,0)),ISNUMBER(MATCH($G3661,Lists!$B$2:$B$7,0)),OR($H3661="",$N3661&gt;0),OR($I3661="",$I3661="NR",$O3661&gt;0),IF(ISNUMBER($J3661),AND($J3661&gt;=0,$J3661=INT($J3661)),FALSE())),$J3661,0)</f>
        <v>0</v>
      </c>
      <c r="Q3661" s="64" t="n">
        <f aca="false">IF(AND($P3661&gt;0,$O3661&gt;0),$P3661,0)</f>
        <v>0</v>
      </c>
      <c r="R3661" s="64" t="n">
        <f aca="false">IF(AND($Q3661&gt;0,$O3661&gt;=AtRank),$Q3661,0)</f>
        <v>0</v>
      </c>
      <c r="S3661" s="64" t="n">
        <f aca="false">IF(AND($Q3661&gt;0,$O3661&gt;=AboveRank),$Q3661,0)</f>
        <v>0</v>
      </c>
      <c r="T3661" s="64" t="n">
        <f aca="false">IF($K3661="Less",$P3661,0)</f>
        <v>0</v>
      </c>
      <c r="U3661" s="64" t="n">
        <f aca="false">IF($K3661="Expected",$P3661,0)</f>
        <v>0</v>
      </c>
      <c r="V3661" s="64" t="n">
        <f aca="false">IF($K3661="Better",$P3661,0)</f>
        <v>0</v>
      </c>
      <c r="W3661" s="64" t="n">
        <f aca="false">IF($K3661="U – needs rule",$P3661,0)</f>
        <v>0</v>
      </c>
      <c r="X3661" s="64" t="n">
        <f aca="false">IF($K3661="No Start (attainment only)",$P3661,0)</f>
        <v>0</v>
      </c>
    </row>
    <row r="3662" customFormat="false" ht="15" hidden="false" customHeight="false" outlineLevel="0" collapsed="false">
      <c r="A3662" s="60"/>
      <c r="B3662" s="61" t="str">
        <f aca="false">IF($M3662=0,"",INDEX(Classes!$E$6:$E$420,$M3662))</f>
        <v/>
      </c>
      <c r="C3662" s="62" t="str">
        <f aca="false">IF($M3662=0,"",INDEX(Classes!$H$6:$H$420,$M3662))</f>
        <v/>
      </c>
      <c r="D3662" s="61" t="str">
        <f aca="false">IF($M3662=0,"",INDEX(Classes!$B$6:$B$420,$M3662))</f>
        <v/>
      </c>
      <c r="E3662" s="61" t="str">
        <f aca="false">IF($M3662=0,"",INDEX(Classes!$C$6:$C$420,$M3662))</f>
        <v/>
      </c>
      <c r="F3662" s="63"/>
      <c r="G3662" s="63"/>
      <c r="H3662" s="60"/>
      <c r="I3662" s="60"/>
      <c r="J3662" s="63"/>
      <c r="K3662" s="61" t="str">
        <f aca="false">IF($P3662=0,"",IF($F3662="Baseline","— Baseline",IF($O3662=0,"No result",IF($N3662=0,"No Start (attainment only)",IF(OR($N3662=1,$O3662=1),"U – needs rule",INDEX(MxBody,MATCH($I3662,MxCurr,0),MATCH($H3662,MxStart,0)))))))</f>
        <v/>
      </c>
      <c r="L3662" s="62" t="str">
        <f aca="false">IF(COUNTA($A3662,$F3662,$G3662,$H3662,$I3662,$J3662)=0,"",IF($M3662=0,"✖ كود الصف غير موجود",IF(ISNA(MATCH($F3662,Lists!$A$2:$A$5,0)),"✖ الفترة غير صحيحة",IF(ISNA(MATCH($G3662,Lists!$B$2:$B$7,0)),"✖ المجموعة غير صحيحة",IF(NOT(OR($H3662="",$N3662&gt;0)),"✖ Start غير صحيح",IF(NOT(OR($I3662="",$I3662="NR",$O3662&gt;0)),"✖ Current غير صحيح",IF(NOT(IF(ISNUMBER($J3662),AND($J3662&gt;=0,$J3662=INT($J3662)),FALSE())),"✖ العدد يجب أن يكون صحيحًا ≥ 0",IF(AND($F3662="Baseline",$H3662&lt;&gt;""),"⚠ Baseline: Start لا يدخل في التقدم",IF($K3662="No Start (attainment only)","ℹ تحصيل فقط (بدون Start)",IF($K3662="U – needs rule","ℹ حالة U تحتاج قاعدة معتمدة",IF($K3662="No result","ℹ بدون نتيجة (يُستبعد من التحصيل)","OK")))))))))))</f>
        <v/>
      </c>
      <c r="M3662" s="64" t="n">
        <f aca="false">IF($A3662="",0,IFERROR(MATCH($A3662,Classes!$A$6:$A$420,0),0))</f>
        <v>0</v>
      </c>
      <c r="N3662" s="64" t="n">
        <f aca="false">IF($H3662="",0,IFERROR(MATCH($H3662,GradeList,0),0))</f>
        <v>0</v>
      </c>
      <c r="O3662" s="64" t="n">
        <f aca="false">IF(OR($I3662="",$I3662="NR"),0,IFERROR(MATCH($I3662,GradeList,0),0))</f>
        <v>0</v>
      </c>
      <c r="P3662" s="64" t="n">
        <f aca="false">IF(AND($M3662&gt;0,ISNUMBER(MATCH($F3662,Lists!$A$2:$A$5,0)),ISNUMBER(MATCH($G3662,Lists!$B$2:$B$7,0)),OR($H3662="",$N3662&gt;0),OR($I3662="",$I3662="NR",$O3662&gt;0),IF(ISNUMBER($J3662),AND($J3662&gt;=0,$J3662=INT($J3662)),FALSE())),$J3662,0)</f>
        <v>0</v>
      </c>
      <c r="Q3662" s="64" t="n">
        <f aca="false">IF(AND($P3662&gt;0,$O3662&gt;0),$P3662,0)</f>
        <v>0</v>
      </c>
      <c r="R3662" s="64" t="n">
        <f aca="false">IF(AND($Q3662&gt;0,$O3662&gt;=AtRank),$Q3662,0)</f>
        <v>0</v>
      </c>
      <c r="S3662" s="64" t="n">
        <f aca="false">IF(AND($Q3662&gt;0,$O3662&gt;=AboveRank),$Q3662,0)</f>
        <v>0</v>
      </c>
      <c r="T3662" s="64" t="n">
        <f aca="false">IF($K3662="Less",$P3662,0)</f>
        <v>0</v>
      </c>
      <c r="U3662" s="64" t="n">
        <f aca="false">IF($K3662="Expected",$P3662,0)</f>
        <v>0</v>
      </c>
      <c r="V3662" s="64" t="n">
        <f aca="false">IF($K3662="Better",$P3662,0)</f>
        <v>0</v>
      </c>
      <c r="W3662" s="64" t="n">
        <f aca="false">IF($K3662="U – needs rule",$P3662,0)</f>
        <v>0</v>
      </c>
      <c r="X3662" s="64" t="n">
        <f aca="false">IF($K3662="No Start (attainment only)",$P3662,0)</f>
        <v>0</v>
      </c>
    </row>
    <row r="3663" customFormat="false" ht="15" hidden="false" customHeight="false" outlineLevel="0" collapsed="false">
      <c r="A3663" s="60"/>
      <c r="B3663" s="61" t="str">
        <f aca="false">IF($M3663=0,"",INDEX(Classes!$E$6:$E$420,$M3663))</f>
        <v/>
      </c>
      <c r="C3663" s="62" t="str">
        <f aca="false">IF($M3663=0,"",INDEX(Classes!$H$6:$H$420,$M3663))</f>
        <v/>
      </c>
      <c r="D3663" s="61" t="str">
        <f aca="false">IF($M3663=0,"",INDEX(Classes!$B$6:$B$420,$M3663))</f>
        <v/>
      </c>
      <c r="E3663" s="61" t="str">
        <f aca="false">IF($M3663=0,"",INDEX(Classes!$C$6:$C$420,$M3663))</f>
        <v/>
      </c>
      <c r="F3663" s="63"/>
      <c r="G3663" s="63"/>
      <c r="H3663" s="60"/>
      <c r="I3663" s="60"/>
      <c r="J3663" s="63"/>
      <c r="K3663" s="61" t="str">
        <f aca="false">IF($P3663=0,"",IF($F3663="Baseline","— Baseline",IF($O3663=0,"No result",IF($N3663=0,"No Start (attainment only)",IF(OR($N3663=1,$O3663=1),"U – needs rule",INDEX(MxBody,MATCH($I3663,MxCurr,0),MATCH($H3663,MxStart,0)))))))</f>
        <v/>
      </c>
      <c r="L3663" s="62" t="str">
        <f aca="false">IF(COUNTA($A3663,$F3663,$G3663,$H3663,$I3663,$J3663)=0,"",IF($M3663=0,"✖ كود الصف غير موجود",IF(ISNA(MATCH($F3663,Lists!$A$2:$A$5,0)),"✖ الفترة غير صحيحة",IF(ISNA(MATCH($G3663,Lists!$B$2:$B$7,0)),"✖ المجموعة غير صحيحة",IF(NOT(OR($H3663="",$N3663&gt;0)),"✖ Start غير صحيح",IF(NOT(OR($I3663="",$I3663="NR",$O3663&gt;0)),"✖ Current غير صحيح",IF(NOT(IF(ISNUMBER($J3663),AND($J3663&gt;=0,$J3663=INT($J3663)),FALSE())),"✖ العدد يجب أن يكون صحيحًا ≥ 0",IF(AND($F3663="Baseline",$H3663&lt;&gt;""),"⚠ Baseline: Start لا يدخل في التقدم",IF($K3663="No Start (attainment only)","ℹ تحصيل فقط (بدون Start)",IF($K3663="U – needs rule","ℹ حالة U تحتاج قاعدة معتمدة",IF($K3663="No result","ℹ بدون نتيجة (يُستبعد من التحصيل)","OK")))))))))))</f>
        <v/>
      </c>
      <c r="M3663" s="64" t="n">
        <f aca="false">IF($A3663="",0,IFERROR(MATCH($A3663,Classes!$A$6:$A$420,0),0))</f>
        <v>0</v>
      </c>
      <c r="N3663" s="64" t="n">
        <f aca="false">IF($H3663="",0,IFERROR(MATCH($H3663,GradeList,0),0))</f>
        <v>0</v>
      </c>
      <c r="O3663" s="64" t="n">
        <f aca="false">IF(OR($I3663="",$I3663="NR"),0,IFERROR(MATCH($I3663,GradeList,0),0))</f>
        <v>0</v>
      </c>
      <c r="P3663" s="64" t="n">
        <f aca="false">IF(AND($M3663&gt;0,ISNUMBER(MATCH($F3663,Lists!$A$2:$A$5,0)),ISNUMBER(MATCH($G3663,Lists!$B$2:$B$7,0)),OR($H3663="",$N3663&gt;0),OR($I3663="",$I3663="NR",$O3663&gt;0),IF(ISNUMBER($J3663),AND($J3663&gt;=0,$J3663=INT($J3663)),FALSE())),$J3663,0)</f>
        <v>0</v>
      </c>
      <c r="Q3663" s="64" t="n">
        <f aca="false">IF(AND($P3663&gt;0,$O3663&gt;0),$P3663,0)</f>
        <v>0</v>
      </c>
      <c r="R3663" s="64" t="n">
        <f aca="false">IF(AND($Q3663&gt;0,$O3663&gt;=AtRank),$Q3663,0)</f>
        <v>0</v>
      </c>
      <c r="S3663" s="64" t="n">
        <f aca="false">IF(AND($Q3663&gt;0,$O3663&gt;=AboveRank),$Q3663,0)</f>
        <v>0</v>
      </c>
      <c r="T3663" s="64" t="n">
        <f aca="false">IF($K3663="Less",$P3663,0)</f>
        <v>0</v>
      </c>
      <c r="U3663" s="64" t="n">
        <f aca="false">IF($K3663="Expected",$P3663,0)</f>
        <v>0</v>
      </c>
      <c r="V3663" s="64" t="n">
        <f aca="false">IF($K3663="Better",$P3663,0)</f>
        <v>0</v>
      </c>
      <c r="W3663" s="64" t="n">
        <f aca="false">IF($K3663="U – needs rule",$P3663,0)</f>
        <v>0</v>
      </c>
      <c r="X3663" s="64" t="n">
        <f aca="false">IF($K3663="No Start (attainment only)",$P3663,0)</f>
        <v>0</v>
      </c>
    </row>
    <row r="3664" customFormat="false" ht="15" hidden="false" customHeight="false" outlineLevel="0" collapsed="false">
      <c r="A3664" s="60"/>
      <c r="B3664" s="61" t="str">
        <f aca="false">IF($M3664=0,"",INDEX(Classes!$E$6:$E$420,$M3664))</f>
        <v/>
      </c>
      <c r="C3664" s="62" t="str">
        <f aca="false">IF($M3664=0,"",INDEX(Classes!$H$6:$H$420,$M3664))</f>
        <v/>
      </c>
      <c r="D3664" s="61" t="str">
        <f aca="false">IF($M3664=0,"",INDEX(Classes!$B$6:$B$420,$M3664))</f>
        <v/>
      </c>
      <c r="E3664" s="61" t="str">
        <f aca="false">IF($M3664=0,"",INDEX(Classes!$C$6:$C$420,$M3664))</f>
        <v/>
      </c>
      <c r="F3664" s="63"/>
      <c r="G3664" s="63"/>
      <c r="H3664" s="60"/>
      <c r="I3664" s="60"/>
      <c r="J3664" s="63"/>
      <c r="K3664" s="61" t="str">
        <f aca="false">IF($P3664=0,"",IF($F3664="Baseline","— Baseline",IF($O3664=0,"No result",IF($N3664=0,"No Start (attainment only)",IF(OR($N3664=1,$O3664=1),"U – needs rule",INDEX(MxBody,MATCH($I3664,MxCurr,0),MATCH($H3664,MxStart,0)))))))</f>
        <v/>
      </c>
      <c r="L3664" s="62" t="str">
        <f aca="false">IF(COUNTA($A3664,$F3664,$G3664,$H3664,$I3664,$J3664)=0,"",IF($M3664=0,"✖ كود الصف غير موجود",IF(ISNA(MATCH($F3664,Lists!$A$2:$A$5,0)),"✖ الفترة غير صحيحة",IF(ISNA(MATCH($G3664,Lists!$B$2:$B$7,0)),"✖ المجموعة غير صحيحة",IF(NOT(OR($H3664="",$N3664&gt;0)),"✖ Start غير صحيح",IF(NOT(OR($I3664="",$I3664="NR",$O3664&gt;0)),"✖ Current غير صحيح",IF(NOT(IF(ISNUMBER($J3664),AND($J3664&gt;=0,$J3664=INT($J3664)),FALSE())),"✖ العدد يجب أن يكون صحيحًا ≥ 0",IF(AND($F3664="Baseline",$H3664&lt;&gt;""),"⚠ Baseline: Start لا يدخل في التقدم",IF($K3664="No Start (attainment only)","ℹ تحصيل فقط (بدون Start)",IF($K3664="U – needs rule","ℹ حالة U تحتاج قاعدة معتمدة",IF($K3664="No result","ℹ بدون نتيجة (يُستبعد من التحصيل)","OK")))))))))))</f>
        <v/>
      </c>
      <c r="M3664" s="64" t="n">
        <f aca="false">IF($A3664="",0,IFERROR(MATCH($A3664,Classes!$A$6:$A$420,0),0))</f>
        <v>0</v>
      </c>
      <c r="N3664" s="64" t="n">
        <f aca="false">IF($H3664="",0,IFERROR(MATCH($H3664,GradeList,0),0))</f>
        <v>0</v>
      </c>
      <c r="O3664" s="64" t="n">
        <f aca="false">IF(OR($I3664="",$I3664="NR"),0,IFERROR(MATCH($I3664,GradeList,0),0))</f>
        <v>0</v>
      </c>
      <c r="P3664" s="64" t="n">
        <f aca="false">IF(AND($M3664&gt;0,ISNUMBER(MATCH($F3664,Lists!$A$2:$A$5,0)),ISNUMBER(MATCH($G3664,Lists!$B$2:$B$7,0)),OR($H3664="",$N3664&gt;0),OR($I3664="",$I3664="NR",$O3664&gt;0),IF(ISNUMBER($J3664),AND($J3664&gt;=0,$J3664=INT($J3664)),FALSE())),$J3664,0)</f>
        <v>0</v>
      </c>
      <c r="Q3664" s="64" t="n">
        <f aca="false">IF(AND($P3664&gt;0,$O3664&gt;0),$P3664,0)</f>
        <v>0</v>
      </c>
      <c r="R3664" s="64" t="n">
        <f aca="false">IF(AND($Q3664&gt;0,$O3664&gt;=AtRank),$Q3664,0)</f>
        <v>0</v>
      </c>
      <c r="S3664" s="64" t="n">
        <f aca="false">IF(AND($Q3664&gt;0,$O3664&gt;=AboveRank),$Q3664,0)</f>
        <v>0</v>
      </c>
      <c r="T3664" s="64" t="n">
        <f aca="false">IF($K3664="Less",$P3664,0)</f>
        <v>0</v>
      </c>
      <c r="U3664" s="64" t="n">
        <f aca="false">IF($K3664="Expected",$P3664,0)</f>
        <v>0</v>
      </c>
      <c r="V3664" s="64" t="n">
        <f aca="false">IF($K3664="Better",$P3664,0)</f>
        <v>0</v>
      </c>
      <c r="W3664" s="64" t="n">
        <f aca="false">IF($K3664="U – needs rule",$P3664,0)</f>
        <v>0</v>
      </c>
      <c r="X3664" s="64" t="n">
        <f aca="false">IF($K3664="No Start (attainment only)",$P3664,0)</f>
        <v>0</v>
      </c>
    </row>
    <row r="3665" customFormat="false" ht="15" hidden="false" customHeight="false" outlineLevel="0" collapsed="false">
      <c r="A3665" s="60"/>
      <c r="B3665" s="61" t="str">
        <f aca="false">IF($M3665=0,"",INDEX(Classes!$E$6:$E$420,$M3665))</f>
        <v/>
      </c>
      <c r="C3665" s="62" t="str">
        <f aca="false">IF($M3665=0,"",INDEX(Classes!$H$6:$H$420,$M3665))</f>
        <v/>
      </c>
      <c r="D3665" s="61" t="str">
        <f aca="false">IF($M3665=0,"",INDEX(Classes!$B$6:$B$420,$M3665))</f>
        <v/>
      </c>
      <c r="E3665" s="61" t="str">
        <f aca="false">IF($M3665=0,"",INDEX(Classes!$C$6:$C$420,$M3665))</f>
        <v/>
      </c>
      <c r="F3665" s="63"/>
      <c r="G3665" s="63"/>
      <c r="H3665" s="60"/>
      <c r="I3665" s="60"/>
      <c r="J3665" s="63"/>
      <c r="K3665" s="61" t="str">
        <f aca="false">IF($P3665=0,"",IF($F3665="Baseline","— Baseline",IF($O3665=0,"No result",IF($N3665=0,"No Start (attainment only)",IF(OR($N3665=1,$O3665=1),"U – needs rule",INDEX(MxBody,MATCH($I3665,MxCurr,0),MATCH($H3665,MxStart,0)))))))</f>
        <v/>
      </c>
      <c r="L3665" s="62" t="str">
        <f aca="false">IF(COUNTA($A3665,$F3665,$G3665,$H3665,$I3665,$J3665)=0,"",IF($M3665=0,"✖ كود الصف غير موجود",IF(ISNA(MATCH($F3665,Lists!$A$2:$A$5,0)),"✖ الفترة غير صحيحة",IF(ISNA(MATCH($G3665,Lists!$B$2:$B$7,0)),"✖ المجموعة غير صحيحة",IF(NOT(OR($H3665="",$N3665&gt;0)),"✖ Start غير صحيح",IF(NOT(OR($I3665="",$I3665="NR",$O3665&gt;0)),"✖ Current غير صحيح",IF(NOT(IF(ISNUMBER($J3665),AND($J3665&gt;=0,$J3665=INT($J3665)),FALSE())),"✖ العدد يجب أن يكون صحيحًا ≥ 0",IF(AND($F3665="Baseline",$H3665&lt;&gt;""),"⚠ Baseline: Start لا يدخل في التقدم",IF($K3665="No Start (attainment only)","ℹ تحصيل فقط (بدون Start)",IF($K3665="U – needs rule","ℹ حالة U تحتاج قاعدة معتمدة",IF($K3665="No result","ℹ بدون نتيجة (يُستبعد من التحصيل)","OK")))))))))))</f>
        <v/>
      </c>
      <c r="M3665" s="64" t="n">
        <f aca="false">IF($A3665="",0,IFERROR(MATCH($A3665,Classes!$A$6:$A$420,0),0))</f>
        <v>0</v>
      </c>
      <c r="N3665" s="64" t="n">
        <f aca="false">IF($H3665="",0,IFERROR(MATCH($H3665,GradeList,0),0))</f>
        <v>0</v>
      </c>
      <c r="O3665" s="64" t="n">
        <f aca="false">IF(OR($I3665="",$I3665="NR"),0,IFERROR(MATCH($I3665,GradeList,0),0))</f>
        <v>0</v>
      </c>
      <c r="P3665" s="64" t="n">
        <f aca="false">IF(AND($M3665&gt;0,ISNUMBER(MATCH($F3665,Lists!$A$2:$A$5,0)),ISNUMBER(MATCH($G3665,Lists!$B$2:$B$7,0)),OR($H3665="",$N3665&gt;0),OR($I3665="",$I3665="NR",$O3665&gt;0),IF(ISNUMBER($J3665),AND($J3665&gt;=0,$J3665=INT($J3665)),FALSE())),$J3665,0)</f>
        <v>0</v>
      </c>
      <c r="Q3665" s="64" t="n">
        <f aca="false">IF(AND($P3665&gt;0,$O3665&gt;0),$P3665,0)</f>
        <v>0</v>
      </c>
      <c r="R3665" s="64" t="n">
        <f aca="false">IF(AND($Q3665&gt;0,$O3665&gt;=AtRank),$Q3665,0)</f>
        <v>0</v>
      </c>
      <c r="S3665" s="64" t="n">
        <f aca="false">IF(AND($Q3665&gt;0,$O3665&gt;=AboveRank),$Q3665,0)</f>
        <v>0</v>
      </c>
      <c r="T3665" s="64" t="n">
        <f aca="false">IF($K3665="Less",$P3665,0)</f>
        <v>0</v>
      </c>
      <c r="U3665" s="64" t="n">
        <f aca="false">IF($K3665="Expected",$P3665,0)</f>
        <v>0</v>
      </c>
      <c r="V3665" s="64" t="n">
        <f aca="false">IF($K3665="Better",$P3665,0)</f>
        <v>0</v>
      </c>
      <c r="W3665" s="64" t="n">
        <f aca="false">IF($K3665="U – needs rule",$P3665,0)</f>
        <v>0</v>
      </c>
      <c r="X3665" s="64" t="n">
        <f aca="false">IF($K3665="No Start (attainment only)",$P3665,0)</f>
        <v>0</v>
      </c>
    </row>
    <row r="3666" customFormat="false" ht="15" hidden="false" customHeight="false" outlineLevel="0" collapsed="false">
      <c r="A3666" s="60"/>
      <c r="B3666" s="61" t="str">
        <f aca="false">IF($M3666=0,"",INDEX(Classes!$E$6:$E$420,$M3666))</f>
        <v/>
      </c>
      <c r="C3666" s="62" t="str">
        <f aca="false">IF($M3666=0,"",INDEX(Classes!$H$6:$H$420,$M3666))</f>
        <v/>
      </c>
      <c r="D3666" s="61" t="str">
        <f aca="false">IF($M3666=0,"",INDEX(Classes!$B$6:$B$420,$M3666))</f>
        <v/>
      </c>
      <c r="E3666" s="61" t="str">
        <f aca="false">IF($M3666=0,"",INDEX(Classes!$C$6:$C$420,$M3666))</f>
        <v/>
      </c>
      <c r="F3666" s="63"/>
      <c r="G3666" s="63"/>
      <c r="H3666" s="60"/>
      <c r="I3666" s="60"/>
      <c r="J3666" s="63"/>
      <c r="K3666" s="61" t="str">
        <f aca="false">IF($P3666=0,"",IF($F3666="Baseline","— Baseline",IF($O3666=0,"No result",IF($N3666=0,"No Start (attainment only)",IF(OR($N3666=1,$O3666=1),"U – needs rule",INDEX(MxBody,MATCH($I3666,MxCurr,0),MATCH($H3666,MxStart,0)))))))</f>
        <v/>
      </c>
      <c r="L3666" s="62" t="str">
        <f aca="false">IF(COUNTA($A3666,$F3666,$G3666,$H3666,$I3666,$J3666)=0,"",IF($M3666=0,"✖ كود الصف غير موجود",IF(ISNA(MATCH($F3666,Lists!$A$2:$A$5,0)),"✖ الفترة غير صحيحة",IF(ISNA(MATCH($G3666,Lists!$B$2:$B$7,0)),"✖ المجموعة غير صحيحة",IF(NOT(OR($H3666="",$N3666&gt;0)),"✖ Start غير صحيح",IF(NOT(OR($I3666="",$I3666="NR",$O3666&gt;0)),"✖ Current غير صحيح",IF(NOT(IF(ISNUMBER($J3666),AND($J3666&gt;=0,$J3666=INT($J3666)),FALSE())),"✖ العدد يجب أن يكون صحيحًا ≥ 0",IF(AND($F3666="Baseline",$H3666&lt;&gt;""),"⚠ Baseline: Start لا يدخل في التقدم",IF($K3666="No Start (attainment only)","ℹ تحصيل فقط (بدون Start)",IF($K3666="U – needs rule","ℹ حالة U تحتاج قاعدة معتمدة",IF($K3666="No result","ℹ بدون نتيجة (يُستبعد من التحصيل)","OK")))))))))))</f>
        <v/>
      </c>
      <c r="M3666" s="64" t="n">
        <f aca="false">IF($A3666="",0,IFERROR(MATCH($A3666,Classes!$A$6:$A$420,0),0))</f>
        <v>0</v>
      </c>
      <c r="N3666" s="64" t="n">
        <f aca="false">IF($H3666="",0,IFERROR(MATCH($H3666,GradeList,0),0))</f>
        <v>0</v>
      </c>
      <c r="O3666" s="64" t="n">
        <f aca="false">IF(OR($I3666="",$I3666="NR"),0,IFERROR(MATCH($I3666,GradeList,0),0))</f>
        <v>0</v>
      </c>
      <c r="P3666" s="64" t="n">
        <f aca="false">IF(AND($M3666&gt;0,ISNUMBER(MATCH($F3666,Lists!$A$2:$A$5,0)),ISNUMBER(MATCH($G3666,Lists!$B$2:$B$7,0)),OR($H3666="",$N3666&gt;0),OR($I3666="",$I3666="NR",$O3666&gt;0),IF(ISNUMBER($J3666),AND($J3666&gt;=0,$J3666=INT($J3666)),FALSE())),$J3666,0)</f>
        <v>0</v>
      </c>
      <c r="Q3666" s="64" t="n">
        <f aca="false">IF(AND($P3666&gt;0,$O3666&gt;0),$P3666,0)</f>
        <v>0</v>
      </c>
      <c r="R3666" s="64" t="n">
        <f aca="false">IF(AND($Q3666&gt;0,$O3666&gt;=AtRank),$Q3666,0)</f>
        <v>0</v>
      </c>
      <c r="S3666" s="64" t="n">
        <f aca="false">IF(AND($Q3666&gt;0,$O3666&gt;=AboveRank),$Q3666,0)</f>
        <v>0</v>
      </c>
      <c r="T3666" s="64" t="n">
        <f aca="false">IF($K3666="Less",$P3666,0)</f>
        <v>0</v>
      </c>
      <c r="U3666" s="64" t="n">
        <f aca="false">IF($K3666="Expected",$P3666,0)</f>
        <v>0</v>
      </c>
      <c r="V3666" s="64" t="n">
        <f aca="false">IF($K3666="Better",$P3666,0)</f>
        <v>0</v>
      </c>
      <c r="W3666" s="64" t="n">
        <f aca="false">IF($K3666="U – needs rule",$P3666,0)</f>
        <v>0</v>
      </c>
      <c r="X3666" s="64" t="n">
        <f aca="false">IF($K3666="No Start (attainment only)",$P3666,0)</f>
        <v>0</v>
      </c>
    </row>
    <row r="3667" customFormat="false" ht="15" hidden="false" customHeight="false" outlineLevel="0" collapsed="false">
      <c r="A3667" s="60"/>
      <c r="B3667" s="61" t="str">
        <f aca="false">IF($M3667=0,"",INDEX(Classes!$E$6:$E$420,$M3667))</f>
        <v/>
      </c>
      <c r="C3667" s="62" t="str">
        <f aca="false">IF($M3667=0,"",INDEX(Classes!$H$6:$H$420,$M3667))</f>
        <v/>
      </c>
      <c r="D3667" s="61" t="str">
        <f aca="false">IF($M3667=0,"",INDEX(Classes!$B$6:$B$420,$M3667))</f>
        <v/>
      </c>
      <c r="E3667" s="61" t="str">
        <f aca="false">IF($M3667=0,"",INDEX(Classes!$C$6:$C$420,$M3667))</f>
        <v/>
      </c>
      <c r="F3667" s="63"/>
      <c r="G3667" s="63"/>
      <c r="H3667" s="60"/>
      <c r="I3667" s="60"/>
      <c r="J3667" s="63"/>
      <c r="K3667" s="61" t="str">
        <f aca="false">IF($P3667=0,"",IF($F3667="Baseline","— Baseline",IF($O3667=0,"No result",IF($N3667=0,"No Start (attainment only)",IF(OR($N3667=1,$O3667=1),"U – needs rule",INDEX(MxBody,MATCH($I3667,MxCurr,0),MATCH($H3667,MxStart,0)))))))</f>
        <v/>
      </c>
      <c r="L3667" s="62" t="str">
        <f aca="false">IF(COUNTA($A3667,$F3667,$G3667,$H3667,$I3667,$J3667)=0,"",IF($M3667=0,"✖ كود الصف غير موجود",IF(ISNA(MATCH($F3667,Lists!$A$2:$A$5,0)),"✖ الفترة غير صحيحة",IF(ISNA(MATCH($G3667,Lists!$B$2:$B$7,0)),"✖ المجموعة غير صحيحة",IF(NOT(OR($H3667="",$N3667&gt;0)),"✖ Start غير صحيح",IF(NOT(OR($I3667="",$I3667="NR",$O3667&gt;0)),"✖ Current غير صحيح",IF(NOT(IF(ISNUMBER($J3667),AND($J3667&gt;=0,$J3667=INT($J3667)),FALSE())),"✖ العدد يجب أن يكون صحيحًا ≥ 0",IF(AND($F3667="Baseline",$H3667&lt;&gt;""),"⚠ Baseline: Start لا يدخل في التقدم",IF($K3667="No Start (attainment only)","ℹ تحصيل فقط (بدون Start)",IF($K3667="U – needs rule","ℹ حالة U تحتاج قاعدة معتمدة",IF($K3667="No result","ℹ بدون نتيجة (يُستبعد من التحصيل)","OK")))))))))))</f>
        <v/>
      </c>
      <c r="M3667" s="64" t="n">
        <f aca="false">IF($A3667="",0,IFERROR(MATCH($A3667,Classes!$A$6:$A$420,0),0))</f>
        <v>0</v>
      </c>
      <c r="N3667" s="64" t="n">
        <f aca="false">IF($H3667="",0,IFERROR(MATCH($H3667,GradeList,0),0))</f>
        <v>0</v>
      </c>
      <c r="O3667" s="64" t="n">
        <f aca="false">IF(OR($I3667="",$I3667="NR"),0,IFERROR(MATCH($I3667,GradeList,0),0))</f>
        <v>0</v>
      </c>
      <c r="P3667" s="64" t="n">
        <f aca="false">IF(AND($M3667&gt;0,ISNUMBER(MATCH($F3667,Lists!$A$2:$A$5,0)),ISNUMBER(MATCH($G3667,Lists!$B$2:$B$7,0)),OR($H3667="",$N3667&gt;0),OR($I3667="",$I3667="NR",$O3667&gt;0),IF(ISNUMBER($J3667),AND($J3667&gt;=0,$J3667=INT($J3667)),FALSE())),$J3667,0)</f>
        <v>0</v>
      </c>
      <c r="Q3667" s="64" t="n">
        <f aca="false">IF(AND($P3667&gt;0,$O3667&gt;0),$P3667,0)</f>
        <v>0</v>
      </c>
      <c r="R3667" s="64" t="n">
        <f aca="false">IF(AND($Q3667&gt;0,$O3667&gt;=AtRank),$Q3667,0)</f>
        <v>0</v>
      </c>
      <c r="S3667" s="64" t="n">
        <f aca="false">IF(AND($Q3667&gt;0,$O3667&gt;=AboveRank),$Q3667,0)</f>
        <v>0</v>
      </c>
      <c r="T3667" s="64" t="n">
        <f aca="false">IF($K3667="Less",$P3667,0)</f>
        <v>0</v>
      </c>
      <c r="U3667" s="64" t="n">
        <f aca="false">IF($K3667="Expected",$P3667,0)</f>
        <v>0</v>
      </c>
      <c r="V3667" s="64" t="n">
        <f aca="false">IF($K3667="Better",$P3667,0)</f>
        <v>0</v>
      </c>
      <c r="W3667" s="64" t="n">
        <f aca="false">IF($K3667="U – needs rule",$P3667,0)</f>
        <v>0</v>
      </c>
      <c r="X3667" s="64" t="n">
        <f aca="false">IF($K3667="No Start (attainment only)",$P3667,0)</f>
        <v>0</v>
      </c>
    </row>
    <row r="3668" customFormat="false" ht="15" hidden="false" customHeight="false" outlineLevel="0" collapsed="false">
      <c r="A3668" s="60"/>
      <c r="B3668" s="61" t="str">
        <f aca="false">IF($M3668=0,"",INDEX(Classes!$E$6:$E$420,$M3668))</f>
        <v/>
      </c>
      <c r="C3668" s="62" t="str">
        <f aca="false">IF($M3668=0,"",INDEX(Classes!$H$6:$H$420,$M3668))</f>
        <v/>
      </c>
      <c r="D3668" s="61" t="str">
        <f aca="false">IF($M3668=0,"",INDEX(Classes!$B$6:$B$420,$M3668))</f>
        <v/>
      </c>
      <c r="E3668" s="61" t="str">
        <f aca="false">IF($M3668=0,"",INDEX(Classes!$C$6:$C$420,$M3668))</f>
        <v/>
      </c>
      <c r="F3668" s="63"/>
      <c r="G3668" s="63"/>
      <c r="H3668" s="60"/>
      <c r="I3668" s="60"/>
      <c r="J3668" s="63"/>
      <c r="K3668" s="61" t="str">
        <f aca="false">IF($P3668=0,"",IF($F3668="Baseline","— Baseline",IF($O3668=0,"No result",IF($N3668=0,"No Start (attainment only)",IF(OR($N3668=1,$O3668=1),"U – needs rule",INDEX(MxBody,MATCH($I3668,MxCurr,0),MATCH($H3668,MxStart,0)))))))</f>
        <v/>
      </c>
      <c r="L3668" s="62" t="str">
        <f aca="false">IF(COUNTA($A3668,$F3668,$G3668,$H3668,$I3668,$J3668)=0,"",IF($M3668=0,"✖ كود الصف غير موجود",IF(ISNA(MATCH($F3668,Lists!$A$2:$A$5,0)),"✖ الفترة غير صحيحة",IF(ISNA(MATCH($G3668,Lists!$B$2:$B$7,0)),"✖ المجموعة غير صحيحة",IF(NOT(OR($H3668="",$N3668&gt;0)),"✖ Start غير صحيح",IF(NOT(OR($I3668="",$I3668="NR",$O3668&gt;0)),"✖ Current غير صحيح",IF(NOT(IF(ISNUMBER($J3668),AND($J3668&gt;=0,$J3668=INT($J3668)),FALSE())),"✖ العدد يجب أن يكون صحيحًا ≥ 0",IF(AND($F3668="Baseline",$H3668&lt;&gt;""),"⚠ Baseline: Start لا يدخل في التقدم",IF($K3668="No Start (attainment only)","ℹ تحصيل فقط (بدون Start)",IF($K3668="U – needs rule","ℹ حالة U تحتاج قاعدة معتمدة",IF($K3668="No result","ℹ بدون نتيجة (يُستبعد من التحصيل)","OK")))))))))))</f>
        <v/>
      </c>
      <c r="M3668" s="64" t="n">
        <f aca="false">IF($A3668="",0,IFERROR(MATCH($A3668,Classes!$A$6:$A$420,0),0))</f>
        <v>0</v>
      </c>
      <c r="N3668" s="64" t="n">
        <f aca="false">IF($H3668="",0,IFERROR(MATCH($H3668,GradeList,0),0))</f>
        <v>0</v>
      </c>
      <c r="O3668" s="64" t="n">
        <f aca="false">IF(OR($I3668="",$I3668="NR"),0,IFERROR(MATCH($I3668,GradeList,0),0))</f>
        <v>0</v>
      </c>
      <c r="P3668" s="64" t="n">
        <f aca="false">IF(AND($M3668&gt;0,ISNUMBER(MATCH($F3668,Lists!$A$2:$A$5,0)),ISNUMBER(MATCH($G3668,Lists!$B$2:$B$7,0)),OR($H3668="",$N3668&gt;0),OR($I3668="",$I3668="NR",$O3668&gt;0),IF(ISNUMBER($J3668),AND($J3668&gt;=0,$J3668=INT($J3668)),FALSE())),$J3668,0)</f>
        <v>0</v>
      </c>
      <c r="Q3668" s="64" t="n">
        <f aca="false">IF(AND($P3668&gt;0,$O3668&gt;0),$P3668,0)</f>
        <v>0</v>
      </c>
      <c r="R3668" s="64" t="n">
        <f aca="false">IF(AND($Q3668&gt;0,$O3668&gt;=AtRank),$Q3668,0)</f>
        <v>0</v>
      </c>
      <c r="S3668" s="64" t="n">
        <f aca="false">IF(AND($Q3668&gt;0,$O3668&gt;=AboveRank),$Q3668,0)</f>
        <v>0</v>
      </c>
      <c r="T3668" s="64" t="n">
        <f aca="false">IF($K3668="Less",$P3668,0)</f>
        <v>0</v>
      </c>
      <c r="U3668" s="64" t="n">
        <f aca="false">IF($K3668="Expected",$P3668,0)</f>
        <v>0</v>
      </c>
      <c r="V3668" s="64" t="n">
        <f aca="false">IF($K3668="Better",$P3668,0)</f>
        <v>0</v>
      </c>
      <c r="W3668" s="64" t="n">
        <f aca="false">IF($K3668="U – needs rule",$P3668,0)</f>
        <v>0</v>
      </c>
      <c r="X3668" s="64" t="n">
        <f aca="false">IF($K3668="No Start (attainment only)",$P3668,0)</f>
        <v>0</v>
      </c>
    </row>
    <row r="3669" customFormat="false" ht="15" hidden="false" customHeight="false" outlineLevel="0" collapsed="false">
      <c r="A3669" s="60"/>
      <c r="B3669" s="61" t="str">
        <f aca="false">IF($M3669=0,"",INDEX(Classes!$E$6:$E$420,$M3669))</f>
        <v/>
      </c>
      <c r="C3669" s="62" t="str">
        <f aca="false">IF($M3669=0,"",INDEX(Classes!$H$6:$H$420,$M3669))</f>
        <v/>
      </c>
      <c r="D3669" s="61" t="str">
        <f aca="false">IF($M3669=0,"",INDEX(Classes!$B$6:$B$420,$M3669))</f>
        <v/>
      </c>
      <c r="E3669" s="61" t="str">
        <f aca="false">IF($M3669=0,"",INDEX(Classes!$C$6:$C$420,$M3669))</f>
        <v/>
      </c>
      <c r="F3669" s="63"/>
      <c r="G3669" s="63"/>
      <c r="H3669" s="60"/>
      <c r="I3669" s="60"/>
      <c r="J3669" s="63"/>
      <c r="K3669" s="61" t="str">
        <f aca="false">IF($P3669=0,"",IF($F3669="Baseline","— Baseline",IF($O3669=0,"No result",IF($N3669=0,"No Start (attainment only)",IF(OR($N3669=1,$O3669=1),"U – needs rule",INDEX(MxBody,MATCH($I3669,MxCurr,0),MATCH($H3669,MxStart,0)))))))</f>
        <v/>
      </c>
      <c r="L3669" s="62" t="str">
        <f aca="false">IF(COUNTA($A3669,$F3669,$G3669,$H3669,$I3669,$J3669)=0,"",IF($M3669=0,"✖ كود الصف غير موجود",IF(ISNA(MATCH($F3669,Lists!$A$2:$A$5,0)),"✖ الفترة غير صحيحة",IF(ISNA(MATCH($G3669,Lists!$B$2:$B$7,0)),"✖ المجموعة غير صحيحة",IF(NOT(OR($H3669="",$N3669&gt;0)),"✖ Start غير صحيح",IF(NOT(OR($I3669="",$I3669="NR",$O3669&gt;0)),"✖ Current غير صحيح",IF(NOT(IF(ISNUMBER($J3669),AND($J3669&gt;=0,$J3669=INT($J3669)),FALSE())),"✖ العدد يجب أن يكون صحيحًا ≥ 0",IF(AND($F3669="Baseline",$H3669&lt;&gt;""),"⚠ Baseline: Start لا يدخل في التقدم",IF($K3669="No Start (attainment only)","ℹ تحصيل فقط (بدون Start)",IF($K3669="U – needs rule","ℹ حالة U تحتاج قاعدة معتمدة",IF($K3669="No result","ℹ بدون نتيجة (يُستبعد من التحصيل)","OK")))))))))))</f>
        <v/>
      </c>
      <c r="M3669" s="64" t="n">
        <f aca="false">IF($A3669="",0,IFERROR(MATCH($A3669,Classes!$A$6:$A$420,0),0))</f>
        <v>0</v>
      </c>
      <c r="N3669" s="64" t="n">
        <f aca="false">IF($H3669="",0,IFERROR(MATCH($H3669,GradeList,0),0))</f>
        <v>0</v>
      </c>
      <c r="O3669" s="64" t="n">
        <f aca="false">IF(OR($I3669="",$I3669="NR"),0,IFERROR(MATCH($I3669,GradeList,0),0))</f>
        <v>0</v>
      </c>
      <c r="P3669" s="64" t="n">
        <f aca="false">IF(AND($M3669&gt;0,ISNUMBER(MATCH($F3669,Lists!$A$2:$A$5,0)),ISNUMBER(MATCH($G3669,Lists!$B$2:$B$7,0)),OR($H3669="",$N3669&gt;0),OR($I3669="",$I3669="NR",$O3669&gt;0),IF(ISNUMBER($J3669),AND($J3669&gt;=0,$J3669=INT($J3669)),FALSE())),$J3669,0)</f>
        <v>0</v>
      </c>
      <c r="Q3669" s="64" t="n">
        <f aca="false">IF(AND($P3669&gt;0,$O3669&gt;0),$P3669,0)</f>
        <v>0</v>
      </c>
      <c r="R3669" s="64" t="n">
        <f aca="false">IF(AND($Q3669&gt;0,$O3669&gt;=AtRank),$Q3669,0)</f>
        <v>0</v>
      </c>
      <c r="S3669" s="64" t="n">
        <f aca="false">IF(AND($Q3669&gt;0,$O3669&gt;=AboveRank),$Q3669,0)</f>
        <v>0</v>
      </c>
      <c r="T3669" s="64" t="n">
        <f aca="false">IF($K3669="Less",$P3669,0)</f>
        <v>0</v>
      </c>
      <c r="U3669" s="64" t="n">
        <f aca="false">IF($K3669="Expected",$P3669,0)</f>
        <v>0</v>
      </c>
      <c r="V3669" s="64" t="n">
        <f aca="false">IF($K3669="Better",$P3669,0)</f>
        <v>0</v>
      </c>
      <c r="W3669" s="64" t="n">
        <f aca="false">IF($K3669="U – needs rule",$P3669,0)</f>
        <v>0</v>
      </c>
      <c r="X3669" s="64" t="n">
        <f aca="false">IF($K3669="No Start (attainment only)",$P3669,0)</f>
        <v>0</v>
      </c>
    </row>
    <row r="3670" customFormat="false" ht="15" hidden="false" customHeight="false" outlineLevel="0" collapsed="false">
      <c r="A3670" s="60"/>
      <c r="B3670" s="61" t="str">
        <f aca="false">IF($M3670=0,"",INDEX(Classes!$E$6:$E$420,$M3670))</f>
        <v/>
      </c>
      <c r="C3670" s="62" t="str">
        <f aca="false">IF($M3670=0,"",INDEX(Classes!$H$6:$H$420,$M3670))</f>
        <v/>
      </c>
      <c r="D3670" s="61" t="str">
        <f aca="false">IF($M3670=0,"",INDEX(Classes!$B$6:$B$420,$M3670))</f>
        <v/>
      </c>
      <c r="E3670" s="61" t="str">
        <f aca="false">IF($M3670=0,"",INDEX(Classes!$C$6:$C$420,$M3670))</f>
        <v/>
      </c>
      <c r="F3670" s="63"/>
      <c r="G3670" s="63"/>
      <c r="H3670" s="60"/>
      <c r="I3670" s="60"/>
      <c r="J3670" s="63"/>
      <c r="K3670" s="61" t="str">
        <f aca="false">IF($P3670=0,"",IF($F3670="Baseline","— Baseline",IF($O3670=0,"No result",IF($N3670=0,"No Start (attainment only)",IF(OR($N3670=1,$O3670=1),"U – needs rule",INDEX(MxBody,MATCH($I3670,MxCurr,0),MATCH($H3670,MxStart,0)))))))</f>
        <v/>
      </c>
      <c r="L3670" s="62" t="str">
        <f aca="false">IF(COUNTA($A3670,$F3670,$G3670,$H3670,$I3670,$J3670)=0,"",IF($M3670=0,"✖ كود الصف غير موجود",IF(ISNA(MATCH($F3670,Lists!$A$2:$A$5,0)),"✖ الفترة غير صحيحة",IF(ISNA(MATCH($G3670,Lists!$B$2:$B$7,0)),"✖ المجموعة غير صحيحة",IF(NOT(OR($H3670="",$N3670&gt;0)),"✖ Start غير صحيح",IF(NOT(OR($I3670="",$I3670="NR",$O3670&gt;0)),"✖ Current غير صحيح",IF(NOT(IF(ISNUMBER($J3670),AND($J3670&gt;=0,$J3670=INT($J3670)),FALSE())),"✖ العدد يجب أن يكون صحيحًا ≥ 0",IF(AND($F3670="Baseline",$H3670&lt;&gt;""),"⚠ Baseline: Start لا يدخل في التقدم",IF($K3670="No Start (attainment only)","ℹ تحصيل فقط (بدون Start)",IF($K3670="U – needs rule","ℹ حالة U تحتاج قاعدة معتمدة",IF($K3670="No result","ℹ بدون نتيجة (يُستبعد من التحصيل)","OK")))))))))))</f>
        <v/>
      </c>
      <c r="M3670" s="64" t="n">
        <f aca="false">IF($A3670="",0,IFERROR(MATCH($A3670,Classes!$A$6:$A$420,0),0))</f>
        <v>0</v>
      </c>
      <c r="N3670" s="64" t="n">
        <f aca="false">IF($H3670="",0,IFERROR(MATCH($H3670,GradeList,0),0))</f>
        <v>0</v>
      </c>
      <c r="O3670" s="64" t="n">
        <f aca="false">IF(OR($I3670="",$I3670="NR"),0,IFERROR(MATCH($I3670,GradeList,0),0))</f>
        <v>0</v>
      </c>
      <c r="P3670" s="64" t="n">
        <f aca="false">IF(AND($M3670&gt;0,ISNUMBER(MATCH($F3670,Lists!$A$2:$A$5,0)),ISNUMBER(MATCH($G3670,Lists!$B$2:$B$7,0)),OR($H3670="",$N3670&gt;0),OR($I3670="",$I3670="NR",$O3670&gt;0),IF(ISNUMBER($J3670),AND($J3670&gt;=0,$J3670=INT($J3670)),FALSE())),$J3670,0)</f>
        <v>0</v>
      </c>
      <c r="Q3670" s="64" t="n">
        <f aca="false">IF(AND($P3670&gt;0,$O3670&gt;0),$P3670,0)</f>
        <v>0</v>
      </c>
      <c r="R3670" s="64" t="n">
        <f aca="false">IF(AND($Q3670&gt;0,$O3670&gt;=AtRank),$Q3670,0)</f>
        <v>0</v>
      </c>
      <c r="S3670" s="64" t="n">
        <f aca="false">IF(AND($Q3670&gt;0,$O3670&gt;=AboveRank),$Q3670,0)</f>
        <v>0</v>
      </c>
      <c r="T3670" s="64" t="n">
        <f aca="false">IF($K3670="Less",$P3670,0)</f>
        <v>0</v>
      </c>
      <c r="U3670" s="64" t="n">
        <f aca="false">IF($K3670="Expected",$P3670,0)</f>
        <v>0</v>
      </c>
      <c r="V3670" s="64" t="n">
        <f aca="false">IF($K3670="Better",$P3670,0)</f>
        <v>0</v>
      </c>
      <c r="W3670" s="64" t="n">
        <f aca="false">IF($K3670="U – needs rule",$P3670,0)</f>
        <v>0</v>
      </c>
      <c r="X3670" s="64" t="n">
        <f aca="false">IF($K3670="No Start (attainment only)",$P3670,0)</f>
        <v>0</v>
      </c>
    </row>
    <row r="3671" customFormat="false" ht="15" hidden="false" customHeight="false" outlineLevel="0" collapsed="false">
      <c r="A3671" s="60"/>
      <c r="B3671" s="61" t="str">
        <f aca="false">IF($M3671=0,"",INDEX(Classes!$E$6:$E$420,$M3671))</f>
        <v/>
      </c>
      <c r="C3671" s="62" t="str">
        <f aca="false">IF($M3671=0,"",INDEX(Classes!$H$6:$H$420,$M3671))</f>
        <v/>
      </c>
      <c r="D3671" s="61" t="str">
        <f aca="false">IF($M3671=0,"",INDEX(Classes!$B$6:$B$420,$M3671))</f>
        <v/>
      </c>
      <c r="E3671" s="61" t="str">
        <f aca="false">IF($M3671=0,"",INDEX(Classes!$C$6:$C$420,$M3671))</f>
        <v/>
      </c>
      <c r="F3671" s="63"/>
      <c r="G3671" s="63"/>
      <c r="H3671" s="60"/>
      <c r="I3671" s="60"/>
      <c r="J3671" s="63"/>
      <c r="K3671" s="61" t="str">
        <f aca="false">IF($P3671=0,"",IF($F3671="Baseline","— Baseline",IF($O3671=0,"No result",IF($N3671=0,"No Start (attainment only)",IF(OR($N3671=1,$O3671=1),"U – needs rule",INDEX(MxBody,MATCH($I3671,MxCurr,0),MATCH($H3671,MxStart,0)))))))</f>
        <v/>
      </c>
      <c r="L3671" s="62" t="str">
        <f aca="false">IF(COUNTA($A3671,$F3671,$G3671,$H3671,$I3671,$J3671)=0,"",IF($M3671=0,"✖ كود الصف غير موجود",IF(ISNA(MATCH($F3671,Lists!$A$2:$A$5,0)),"✖ الفترة غير صحيحة",IF(ISNA(MATCH($G3671,Lists!$B$2:$B$7,0)),"✖ المجموعة غير صحيحة",IF(NOT(OR($H3671="",$N3671&gt;0)),"✖ Start غير صحيح",IF(NOT(OR($I3671="",$I3671="NR",$O3671&gt;0)),"✖ Current غير صحيح",IF(NOT(IF(ISNUMBER($J3671),AND($J3671&gt;=0,$J3671=INT($J3671)),FALSE())),"✖ العدد يجب أن يكون صحيحًا ≥ 0",IF(AND($F3671="Baseline",$H3671&lt;&gt;""),"⚠ Baseline: Start لا يدخل في التقدم",IF($K3671="No Start (attainment only)","ℹ تحصيل فقط (بدون Start)",IF($K3671="U – needs rule","ℹ حالة U تحتاج قاعدة معتمدة",IF($K3671="No result","ℹ بدون نتيجة (يُستبعد من التحصيل)","OK")))))))))))</f>
        <v/>
      </c>
      <c r="M3671" s="64" t="n">
        <f aca="false">IF($A3671="",0,IFERROR(MATCH($A3671,Classes!$A$6:$A$420,0),0))</f>
        <v>0</v>
      </c>
      <c r="N3671" s="64" t="n">
        <f aca="false">IF($H3671="",0,IFERROR(MATCH($H3671,GradeList,0),0))</f>
        <v>0</v>
      </c>
      <c r="O3671" s="64" t="n">
        <f aca="false">IF(OR($I3671="",$I3671="NR"),0,IFERROR(MATCH($I3671,GradeList,0),0))</f>
        <v>0</v>
      </c>
      <c r="P3671" s="64" t="n">
        <f aca="false">IF(AND($M3671&gt;0,ISNUMBER(MATCH($F3671,Lists!$A$2:$A$5,0)),ISNUMBER(MATCH($G3671,Lists!$B$2:$B$7,0)),OR($H3671="",$N3671&gt;0),OR($I3671="",$I3671="NR",$O3671&gt;0),IF(ISNUMBER($J3671),AND($J3671&gt;=0,$J3671=INT($J3671)),FALSE())),$J3671,0)</f>
        <v>0</v>
      </c>
      <c r="Q3671" s="64" t="n">
        <f aca="false">IF(AND($P3671&gt;0,$O3671&gt;0),$P3671,0)</f>
        <v>0</v>
      </c>
      <c r="R3671" s="64" t="n">
        <f aca="false">IF(AND($Q3671&gt;0,$O3671&gt;=AtRank),$Q3671,0)</f>
        <v>0</v>
      </c>
      <c r="S3671" s="64" t="n">
        <f aca="false">IF(AND($Q3671&gt;0,$O3671&gt;=AboveRank),$Q3671,0)</f>
        <v>0</v>
      </c>
      <c r="T3671" s="64" t="n">
        <f aca="false">IF($K3671="Less",$P3671,0)</f>
        <v>0</v>
      </c>
      <c r="U3671" s="64" t="n">
        <f aca="false">IF($K3671="Expected",$P3671,0)</f>
        <v>0</v>
      </c>
      <c r="V3671" s="64" t="n">
        <f aca="false">IF($K3671="Better",$P3671,0)</f>
        <v>0</v>
      </c>
      <c r="W3671" s="64" t="n">
        <f aca="false">IF($K3671="U – needs rule",$P3671,0)</f>
        <v>0</v>
      </c>
      <c r="X3671" s="64" t="n">
        <f aca="false">IF($K3671="No Start (attainment only)",$P3671,0)</f>
        <v>0</v>
      </c>
    </row>
    <row r="3672" customFormat="false" ht="15" hidden="false" customHeight="false" outlineLevel="0" collapsed="false">
      <c r="A3672" s="60"/>
      <c r="B3672" s="61" t="str">
        <f aca="false">IF($M3672=0,"",INDEX(Classes!$E$6:$E$420,$M3672))</f>
        <v/>
      </c>
      <c r="C3672" s="62" t="str">
        <f aca="false">IF($M3672=0,"",INDEX(Classes!$H$6:$H$420,$M3672))</f>
        <v/>
      </c>
      <c r="D3672" s="61" t="str">
        <f aca="false">IF($M3672=0,"",INDEX(Classes!$B$6:$B$420,$M3672))</f>
        <v/>
      </c>
      <c r="E3672" s="61" t="str">
        <f aca="false">IF($M3672=0,"",INDEX(Classes!$C$6:$C$420,$M3672))</f>
        <v/>
      </c>
      <c r="F3672" s="63"/>
      <c r="G3672" s="63"/>
      <c r="H3672" s="60"/>
      <c r="I3672" s="60"/>
      <c r="J3672" s="63"/>
      <c r="K3672" s="61" t="str">
        <f aca="false">IF($P3672=0,"",IF($F3672="Baseline","— Baseline",IF($O3672=0,"No result",IF($N3672=0,"No Start (attainment only)",IF(OR($N3672=1,$O3672=1),"U – needs rule",INDEX(MxBody,MATCH($I3672,MxCurr,0),MATCH($H3672,MxStart,0)))))))</f>
        <v/>
      </c>
      <c r="L3672" s="62" t="str">
        <f aca="false">IF(COUNTA($A3672,$F3672,$G3672,$H3672,$I3672,$J3672)=0,"",IF($M3672=0,"✖ كود الصف غير موجود",IF(ISNA(MATCH($F3672,Lists!$A$2:$A$5,0)),"✖ الفترة غير صحيحة",IF(ISNA(MATCH($G3672,Lists!$B$2:$B$7,0)),"✖ المجموعة غير صحيحة",IF(NOT(OR($H3672="",$N3672&gt;0)),"✖ Start غير صحيح",IF(NOT(OR($I3672="",$I3672="NR",$O3672&gt;0)),"✖ Current غير صحيح",IF(NOT(IF(ISNUMBER($J3672),AND($J3672&gt;=0,$J3672=INT($J3672)),FALSE())),"✖ العدد يجب أن يكون صحيحًا ≥ 0",IF(AND($F3672="Baseline",$H3672&lt;&gt;""),"⚠ Baseline: Start لا يدخل في التقدم",IF($K3672="No Start (attainment only)","ℹ تحصيل فقط (بدون Start)",IF($K3672="U – needs rule","ℹ حالة U تحتاج قاعدة معتمدة",IF($K3672="No result","ℹ بدون نتيجة (يُستبعد من التحصيل)","OK")))))))))))</f>
        <v/>
      </c>
      <c r="M3672" s="64" t="n">
        <f aca="false">IF($A3672="",0,IFERROR(MATCH($A3672,Classes!$A$6:$A$420,0),0))</f>
        <v>0</v>
      </c>
      <c r="N3672" s="64" t="n">
        <f aca="false">IF($H3672="",0,IFERROR(MATCH($H3672,GradeList,0),0))</f>
        <v>0</v>
      </c>
      <c r="O3672" s="64" t="n">
        <f aca="false">IF(OR($I3672="",$I3672="NR"),0,IFERROR(MATCH($I3672,GradeList,0),0))</f>
        <v>0</v>
      </c>
      <c r="P3672" s="64" t="n">
        <f aca="false">IF(AND($M3672&gt;0,ISNUMBER(MATCH($F3672,Lists!$A$2:$A$5,0)),ISNUMBER(MATCH($G3672,Lists!$B$2:$B$7,0)),OR($H3672="",$N3672&gt;0),OR($I3672="",$I3672="NR",$O3672&gt;0),IF(ISNUMBER($J3672),AND($J3672&gt;=0,$J3672=INT($J3672)),FALSE())),$J3672,0)</f>
        <v>0</v>
      </c>
      <c r="Q3672" s="64" t="n">
        <f aca="false">IF(AND($P3672&gt;0,$O3672&gt;0),$P3672,0)</f>
        <v>0</v>
      </c>
      <c r="R3672" s="64" t="n">
        <f aca="false">IF(AND($Q3672&gt;0,$O3672&gt;=AtRank),$Q3672,0)</f>
        <v>0</v>
      </c>
      <c r="S3672" s="64" t="n">
        <f aca="false">IF(AND($Q3672&gt;0,$O3672&gt;=AboveRank),$Q3672,0)</f>
        <v>0</v>
      </c>
      <c r="T3672" s="64" t="n">
        <f aca="false">IF($K3672="Less",$P3672,0)</f>
        <v>0</v>
      </c>
      <c r="U3672" s="64" t="n">
        <f aca="false">IF($K3672="Expected",$P3672,0)</f>
        <v>0</v>
      </c>
      <c r="V3672" s="64" t="n">
        <f aca="false">IF($K3672="Better",$P3672,0)</f>
        <v>0</v>
      </c>
      <c r="W3672" s="64" t="n">
        <f aca="false">IF($K3672="U – needs rule",$P3672,0)</f>
        <v>0</v>
      </c>
      <c r="X3672" s="64" t="n">
        <f aca="false">IF($K3672="No Start (attainment only)",$P3672,0)</f>
        <v>0</v>
      </c>
    </row>
    <row r="3673" customFormat="false" ht="15" hidden="false" customHeight="false" outlineLevel="0" collapsed="false">
      <c r="A3673" s="60"/>
      <c r="B3673" s="61" t="str">
        <f aca="false">IF($M3673=0,"",INDEX(Classes!$E$6:$E$420,$M3673))</f>
        <v/>
      </c>
      <c r="C3673" s="62" t="str">
        <f aca="false">IF($M3673=0,"",INDEX(Classes!$H$6:$H$420,$M3673))</f>
        <v/>
      </c>
      <c r="D3673" s="61" t="str">
        <f aca="false">IF($M3673=0,"",INDEX(Classes!$B$6:$B$420,$M3673))</f>
        <v/>
      </c>
      <c r="E3673" s="61" t="str">
        <f aca="false">IF($M3673=0,"",INDEX(Classes!$C$6:$C$420,$M3673))</f>
        <v/>
      </c>
      <c r="F3673" s="63"/>
      <c r="G3673" s="63"/>
      <c r="H3673" s="60"/>
      <c r="I3673" s="60"/>
      <c r="J3673" s="63"/>
      <c r="K3673" s="61" t="str">
        <f aca="false">IF($P3673=0,"",IF($F3673="Baseline","— Baseline",IF($O3673=0,"No result",IF($N3673=0,"No Start (attainment only)",IF(OR($N3673=1,$O3673=1),"U – needs rule",INDEX(MxBody,MATCH($I3673,MxCurr,0),MATCH($H3673,MxStart,0)))))))</f>
        <v/>
      </c>
      <c r="L3673" s="62" t="str">
        <f aca="false">IF(COUNTA($A3673,$F3673,$G3673,$H3673,$I3673,$J3673)=0,"",IF($M3673=0,"✖ كود الصف غير موجود",IF(ISNA(MATCH($F3673,Lists!$A$2:$A$5,0)),"✖ الفترة غير صحيحة",IF(ISNA(MATCH($G3673,Lists!$B$2:$B$7,0)),"✖ المجموعة غير صحيحة",IF(NOT(OR($H3673="",$N3673&gt;0)),"✖ Start غير صحيح",IF(NOT(OR($I3673="",$I3673="NR",$O3673&gt;0)),"✖ Current غير صحيح",IF(NOT(IF(ISNUMBER($J3673),AND($J3673&gt;=0,$J3673=INT($J3673)),FALSE())),"✖ العدد يجب أن يكون صحيحًا ≥ 0",IF(AND($F3673="Baseline",$H3673&lt;&gt;""),"⚠ Baseline: Start لا يدخل في التقدم",IF($K3673="No Start (attainment only)","ℹ تحصيل فقط (بدون Start)",IF($K3673="U – needs rule","ℹ حالة U تحتاج قاعدة معتمدة",IF($K3673="No result","ℹ بدون نتيجة (يُستبعد من التحصيل)","OK")))))))))))</f>
        <v/>
      </c>
      <c r="M3673" s="64" t="n">
        <f aca="false">IF($A3673="",0,IFERROR(MATCH($A3673,Classes!$A$6:$A$420,0),0))</f>
        <v>0</v>
      </c>
      <c r="N3673" s="64" t="n">
        <f aca="false">IF($H3673="",0,IFERROR(MATCH($H3673,GradeList,0),0))</f>
        <v>0</v>
      </c>
      <c r="O3673" s="64" t="n">
        <f aca="false">IF(OR($I3673="",$I3673="NR"),0,IFERROR(MATCH($I3673,GradeList,0),0))</f>
        <v>0</v>
      </c>
      <c r="P3673" s="64" t="n">
        <f aca="false">IF(AND($M3673&gt;0,ISNUMBER(MATCH($F3673,Lists!$A$2:$A$5,0)),ISNUMBER(MATCH($G3673,Lists!$B$2:$B$7,0)),OR($H3673="",$N3673&gt;0),OR($I3673="",$I3673="NR",$O3673&gt;0),IF(ISNUMBER($J3673),AND($J3673&gt;=0,$J3673=INT($J3673)),FALSE())),$J3673,0)</f>
        <v>0</v>
      </c>
      <c r="Q3673" s="64" t="n">
        <f aca="false">IF(AND($P3673&gt;0,$O3673&gt;0),$P3673,0)</f>
        <v>0</v>
      </c>
      <c r="R3673" s="64" t="n">
        <f aca="false">IF(AND($Q3673&gt;0,$O3673&gt;=AtRank),$Q3673,0)</f>
        <v>0</v>
      </c>
      <c r="S3673" s="64" t="n">
        <f aca="false">IF(AND($Q3673&gt;0,$O3673&gt;=AboveRank),$Q3673,0)</f>
        <v>0</v>
      </c>
      <c r="T3673" s="64" t="n">
        <f aca="false">IF($K3673="Less",$P3673,0)</f>
        <v>0</v>
      </c>
      <c r="U3673" s="64" t="n">
        <f aca="false">IF($K3673="Expected",$P3673,0)</f>
        <v>0</v>
      </c>
      <c r="V3673" s="64" t="n">
        <f aca="false">IF($K3673="Better",$P3673,0)</f>
        <v>0</v>
      </c>
      <c r="W3673" s="64" t="n">
        <f aca="false">IF($K3673="U – needs rule",$P3673,0)</f>
        <v>0</v>
      </c>
      <c r="X3673" s="64" t="n">
        <f aca="false">IF($K3673="No Start (attainment only)",$P3673,0)</f>
        <v>0</v>
      </c>
    </row>
    <row r="3674" customFormat="false" ht="15" hidden="false" customHeight="false" outlineLevel="0" collapsed="false">
      <c r="A3674" s="60"/>
      <c r="B3674" s="61" t="str">
        <f aca="false">IF($M3674=0,"",INDEX(Classes!$E$6:$E$420,$M3674))</f>
        <v/>
      </c>
      <c r="C3674" s="62" t="str">
        <f aca="false">IF($M3674=0,"",INDEX(Classes!$H$6:$H$420,$M3674))</f>
        <v/>
      </c>
      <c r="D3674" s="61" t="str">
        <f aca="false">IF($M3674=0,"",INDEX(Classes!$B$6:$B$420,$M3674))</f>
        <v/>
      </c>
      <c r="E3674" s="61" t="str">
        <f aca="false">IF($M3674=0,"",INDEX(Classes!$C$6:$C$420,$M3674))</f>
        <v/>
      </c>
      <c r="F3674" s="63"/>
      <c r="G3674" s="63"/>
      <c r="H3674" s="60"/>
      <c r="I3674" s="60"/>
      <c r="J3674" s="63"/>
      <c r="K3674" s="61" t="str">
        <f aca="false">IF($P3674=0,"",IF($F3674="Baseline","— Baseline",IF($O3674=0,"No result",IF($N3674=0,"No Start (attainment only)",IF(OR($N3674=1,$O3674=1),"U – needs rule",INDEX(MxBody,MATCH($I3674,MxCurr,0),MATCH($H3674,MxStart,0)))))))</f>
        <v/>
      </c>
      <c r="L3674" s="62" t="str">
        <f aca="false">IF(COUNTA($A3674,$F3674,$G3674,$H3674,$I3674,$J3674)=0,"",IF($M3674=0,"✖ كود الصف غير موجود",IF(ISNA(MATCH($F3674,Lists!$A$2:$A$5,0)),"✖ الفترة غير صحيحة",IF(ISNA(MATCH($G3674,Lists!$B$2:$B$7,0)),"✖ المجموعة غير صحيحة",IF(NOT(OR($H3674="",$N3674&gt;0)),"✖ Start غير صحيح",IF(NOT(OR($I3674="",$I3674="NR",$O3674&gt;0)),"✖ Current غير صحيح",IF(NOT(IF(ISNUMBER($J3674),AND($J3674&gt;=0,$J3674=INT($J3674)),FALSE())),"✖ العدد يجب أن يكون صحيحًا ≥ 0",IF(AND($F3674="Baseline",$H3674&lt;&gt;""),"⚠ Baseline: Start لا يدخل في التقدم",IF($K3674="No Start (attainment only)","ℹ تحصيل فقط (بدون Start)",IF($K3674="U – needs rule","ℹ حالة U تحتاج قاعدة معتمدة",IF($K3674="No result","ℹ بدون نتيجة (يُستبعد من التحصيل)","OK")))))))))))</f>
        <v/>
      </c>
      <c r="M3674" s="64" t="n">
        <f aca="false">IF($A3674="",0,IFERROR(MATCH($A3674,Classes!$A$6:$A$420,0),0))</f>
        <v>0</v>
      </c>
      <c r="N3674" s="64" t="n">
        <f aca="false">IF($H3674="",0,IFERROR(MATCH($H3674,GradeList,0),0))</f>
        <v>0</v>
      </c>
      <c r="O3674" s="64" t="n">
        <f aca="false">IF(OR($I3674="",$I3674="NR"),0,IFERROR(MATCH($I3674,GradeList,0),0))</f>
        <v>0</v>
      </c>
      <c r="P3674" s="64" t="n">
        <f aca="false">IF(AND($M3674&gt;0,ISNUMBER(MATCH($F3674,Lists!$A$2:$A$5,0)),ISNUMBER(MATCH($G3674,Lists!$B$2:$B$7,0)),OR($H3674="",$N3674&gt;0),OR($I3674="",$I3674="NR",$O3674&gt;0),IF(ISNUMBER($J3674),AND($J3674&gt;=0,$J3674=INT($J3674)),FALSE())),$J3674,0)</f>
        <v>0</v>
      </c>
      <c r="Q3674" s="64" t="n">
        <f aca="false">IF(AND($P3674&gt;0,$O3674&gt;0),$P3674,0)</f>
        <v>0</v>
      </c>
      <c r="R3674" s="64" t="n">
        <f aca="false">IF(AND($Q3674&gt;0,$O3674&gt;=AtRank),$Q3674,0)</f>
        <v>0</v>
      </c>
      <c r="S3674" s="64" t="n">
        <f aca="false">IF(AND($Q3674&gt;0,$O3674&gt;=AboveRank),$Q3674,0)</f>
        <v>0</v>
      </c>
      <c r="T3674" s="64" t="n">
        <f aca="false">IF($K3674="Less",$P3674,0)</f>
        <v>0</v>
      </c>
      <c r="U3674" s="64" t="n">
        <f aca="false">IF($K3674="Expected",$P3674,0)</f>
        <v>0</v>
      </c>
      <c r="V3674" s="64" t="n">
        <f aca="false">IF($K3674="Better",$P3674,0)</f>
        <v>0</v>
      </c>
      <c r="W3674" s="64" t="n">
        <f aca="false">IF($K3674="U – needs rule",$P3674,0)</f>
        <v>0</v>
      </c>
      <c r="X3674" s="64" t="n">
        <f aca="false">IF($K3674="No Start (attainment only)",$P3674,0)</f>
        <v>0</v>
      </c>
    </row>
    <row r="3675" customFormat="false" ht="15" hidden="false" customHeight="false" outlineLevel="0" collapsed="false">
      <c r="A3675" s="60"/>
      <c r="B3675" s="61" t="str">
        <f aca="false">IF($M3675=0,"",INDEX(Classes!$E$6:$E$420,$M3675))</f>
        <v/>
      </c>
      <c r="C3675" s="62" t="str">
        <f aca="false">IF($M3675=0,"",INDEX(Classes!$H$6:$H$420,$M3675))</f>
        <v/>
      </c>
      <c r="D3675" s="61" t="str">
        <f aca="false">IF($M3675=0,"",INDEX(Classes!$B$6:$B$420,$M3675))</f>
        <v/>
      </c>
      <c r="E3675" s="61" t="str">
        <f aca="false">IF($M3675=0,"",INDEX(Classes!$C$6:$C$420,$M3675))</f>
        <v/>
      </c>
      <c r="F3675" s="63"/>
      <c r="G3675" s="63"/>
      <c r="H3675" s="60"/>
      <c r="I3675" s="60"/>
      <c r="J3675" s="63"/>
      <c r="K3675" s="61" t="str">
        <f aca="false">IF($P3675=0,"",IF($F3675="Baseline","— Baseline",IF($O3675=0,"No result",IF($N3675=0,"No Start (attainment only)",IF(OR($N3675=1,$O3675=1),"U – needs rule",INDEX(MxBody,MATCH($I3675,MxCurr,0),MATCH($H3675,MxStart,0)))))))</f>
        <v/>
      </c>
      <c r="L3675" s="62" t="str">
        <f aca="false">IF(COUNTA($A3675,$F3675,$G3675,$H3675,$I3675,$J3675)=0,"",IF($M3675=0,"✖ كود الصف غير موجود",IF(ISNA(MATCH($F3675,Lists!$A$2:$A$5,0)),"✖ الفترة غير صحيحة",IF(ISNA(MATCH($G3675,Lists!$B$2:$B$7,0)),"✖ المجموعة غير صحيحة",IF(NOT(OR($H3675="",$N3675&gt;0)),"✖ Start غير صحيح",IF(NOT(OR($I3675="",$I3675="NR",$O3675&gt;0)),"✖ Current غير صحيح",IF(NOT(IF(ISNUMBER($J3675),AND($J3675&gt;=0,$J3675=INT($J3675)),FALSE())),"✖ العدد يجب أن يكون صحيحًا ≥ 0",IF(AND($F3675="Baseline",$H3675&lt;&gt;""),"⚠ Baseline: Start لا يدخل في التقدم",IF($K3675="No Start (attainment only)","ℹ تحصيل فقط (بدون Start)",IF($K3675="U – needs rule","ℹ حالة U تحتاج قاعدة معتمدة",IF($K3675="No result","ℹ بدون نتيجة (يُستبعد من التحصيل)","OK")))))))))))</f>
        <v/>
      </c>
      <c r="M3675" s="64" t="n">
        <f aca="false">IF($A3675="",0,IFERROR(MATCH($A3675,Classes!$A$6:$A$420,0),0))</f>
        <v>0</v>
      </c>
      <c r="N3675" s="64" t="n">
        <f aca="false">IF($H3675="",0,IFERROR(MATCH($H3675,GradeList,0),0))</f>
        <v>0</v>
      </c>
      <c r="O3675" s="64" t="n">
        <f aca="false">IF(OR($I3675="",$I3675="NR"),0,IFERROR(MATCH($I3675,GradeList,0),0))</f>
        <v>0</v>
      </c>
      <c r="P3675" s="64" t="n">
        <f aca="false">IF(AND($M3675&gt;0,ISNUMBER(MATCH($F3675,Lists!$A$2:$A$5,0)),ISNUMBER(MATCH($G3675,Lists!$B$2:$B$7,0)),OR($H3675="",$N3675&gt;0),OR($I3675="",$I3675="NR",$O3675&gt;0),IF(ISNUMBER($J3675),AND($J3675&gt;=0,$J3675=INT($J3675)),FALSE())),$J3675,0)</f>
        <v>0</v>
      </c>
      <c r="Q3675" s="64" t="n">
        <f aca="false">IF(AND($P3675&gt;0,$O3675&gt;0),$P3675,0)</f>
        <v>0</v>
      </c>
      <c r="R3675" s="64" t="n">
        <f aca="false">IF(AND($Q3675&gt;0,$O3675&gt;=AtRank),$Q3675,0)</f>
        <v>0</v>
      </c>
      <c r="S3675" s="64" t="n">
        <f aca="false">IF(AND($Q3675&gt;0,$O3675&gt;=AboveRank),$Q3675,0)</f>
        <v>0</v>
      </c>
      <c r="T3675" s="64" t="n">
        <f aca="false">IF($K3675="Less",$P3675,0)</f>
        <v>0</v>
      </c>
      <c r="U3675" s="64" t="n">
        <f aca="false">IF($K3675="Expected",$P3675,0)</f>
        <v>0</v>
      </c>
      <c r="V3675" s="64" t="n">
        <f aca="false">IF($K3675="Better",$P3675,0)</f>
        <v>0</v>
      </c>
      <c r="W3675" s="64" t="n">
        <f aca="false">IF($K3675="U – needs rule",$P3675,0)</f>
        <v>0</v>
      </c>
      <c r="X3675" s="64" t="n">
        <f aca="false">IF($K3675="No Start (attainment only)",$P3675,0)</f>
        <v>0</v>
      </c>
    </row>
    <row r="3676" customFormat="false" ht="15" hidden="false" customHeight="false" outlineLevel="0" collapsed="false">
      <c r="A3676" s="60"/>
      <c r="B3676" s="61" t="str">
        <f aca="false">IF($M3676=0,"",INDEX(Classes!$E$6:$E$420,$M3676))</f>
        <v/>
      </c>
      <c r="C3676" s="62" t="str">
        <f aca="false">IF($M3676=0,"",INDEX(Classes!$H$6:$H$420,$M3676))</f>
        <v/>
      </c>
      <c r="D3676" s="61" t="str">
        <f aca="false">IF($M3676=0,"",INDEX(Classes!$B$6:$B$420,$M3676))</f>
        <v/>
      </c>
      <c r="E3676" s="61" t="str">
        <f aca="false">IF($M3676=0,"",INDEX(Classes!$C$6:$C$420,$M3676))</f>
        <v/>
      </c>
      <c r="F3676" s="63"/>
      <c r="G3676" s="63"/>
      <c r="H3676" s="60"/>
      <c r="I3676" s="60"/>
      <c r="J3676" s="63"/>
      <c r="K3676" s="61" t="str">
        <f aca="false">IF($P3676=0,"",IF($F3676="Baseline","— Baseline",IF($O3676=0,"No result",IF($N3676=0,"No Start (attainment only)",IF(OR($N3676=1,$O3676=1),"U – needs rule",INDEX(MxBody,MATCH($I3676,MxCurr,0),MATCH($H3676,MxStart,0)))))))</f>
        <v/>
      </c>
      <c r="L3676" s="62" t="str">
        <f aca="false">IF(COUNTA($A3676,$F3676,$G3676,$H3676,$I3676,$J3676)=0,"",IF($M3676=0,"✖ كود الصف غير موجود",IF(ISNA(MATCH($F3676,Lists!$A$2:$A$5,0)),"✖ الفترة غير صحيحة",IF(ISNA(MATCH($G3676,Lists!$B$2:$B$7,0)),"✖ المجموعة غير صحيحة",IF(NOT(OR($H3676="",$N3676&gt;0)),"✖ Start غير صحيح",IF(NOT(OR($I3676="",$I3676="NR",$O3676&gt;0)),"✖ Current غير صحيح",IF(NOT(IF(ISNUMBER($J3676),AND($J3676&gt;=0,$J3676=INT($J3676)),FALSE())),"✖ العدد يجب أن يكون صحيحًا ≥ 0",IF(AND($F3676="Baseline",$H3676&lt;&gt;""),"⚠ Baseline: Start لا يدخل في التقدم",IF($K3676="No Start (attainment only)","ℹ تحصيل فقط (بدون Start)",IF($K3676="U – needs rule","ℹ حالة U تحتاج قاعدة معتمدة",IF($K3676="No result","ℹ بدون نتيجة (يُستبعد من التحصيل)","OK")))))))))))</f>
        <v/>
      </c>
      <c r="M3676" s="64" t="n">
        <f aca="false">IF($A3676="",0,IFERROR(MATCH($A3676,Classes!$A$6:$A$420,0),0))</f>
        <v>0</v>
      </c>
      <c r="N3676" s="64" t="n">
        <f aca="false">IF($H3676="",0,IFERROR(MATCH($H3676,GradeList,0),0))</f>
        <v>0</v>
      </c>
      <c r="O3676" s="64" t="n">
        <f aca="false">IF(OR($I3676="",$I3676="NR"),0,IFERROR(MATCH($I3676,GradeList,0),0))</f>
        <v>0</v>
      </c>
      <c r="P3676" s="64" t="n">
        <f aca="false">IF(AND($M3676&gt;0,ISNUMBER(MATCH($F3676,Lists!$A$2:$A$5,0)),ISNUMBER(MATCH($G3676,Lists!$B$2:$B$7,0)),OR($H3676="",$N3676&gt;0),OR($I3676="",$I3676="NR",$O3676&gt;0),IF(ISNUMBER($J3676),AND($J3676&gt;=0,$J3676=INT($J3676)),FALSE())),$J3676,0)</f>
        <v>0</v>
      </c>
      <c r="Q3676" s="64" t="n">
        <f aca="false">IF(AND($P3676&gt;0,$O3676&gt;0),$P3676,0)</f>
        <v>0</v>
      </c>
      <c r="R3676" s="64" t="n">
        <f aca="false">IF(AND($Q3676&gt;0,$O3676&gt;=AtRank),$Q3676,0)</f>
        <v>0</v>
      </c>
      <c r="S3676" s="64" t="n">
        <f aca="false">IF(AND($Q3676&gt;0,$O3676&gt;=AboveRank),$Q3676,0)</f>
        <v>0</v>
      </c>
      <c r="T3676" s="64" t="n">
        <f aca="false">IF($K3676="Less",$P3676,0)</f>
        <v>0</v>
      </c>
      <c r="U3676" s="64" t="n">
        <f aca="false">IF($K3676="Expected",$P3676,0)</f>
        <v>0</v>
      </c>
      <c r="V3676" s="64" t="n">
        <f aca="false">IF($K3676="Better",$P3676,0)</f>
        <v>0</v>
      </c>
      <c r="W3676" s="64" t="n">
        <f aca="false">IF($K3676="U – needs rule",$P3676,0)</f>
        <v>0</v>
      </c>
      <c r="X3676" s="64" t="n">
        <f aca="false">IF($K3676="No Start (attainment only)",$P3676,0)</f>
        <v>0</v>
      </c>
    </row>
    <row r="3677" customFormat="false" ht="15" hidden="false" customHeight="false" outlineLevel="0" collapsed="false">
      <c r="A3677" s="60"/>
      <c r="B3677" s="61" t="str">
        <f aca="false">IF($M3677=0,"",INDEX(Classes!$E$6:$E$420,$M3677))</f>
        <v/>
      </c>
      <c r="C3677" s="62" t="str">
        <f aca="false">IF($M3677=0,"",INDEX(Classes!$H$6:$H$420,$M3677))</f>
        <v/>
      </c>
      <c r="D3677" s="61" t="str">
        <f aca="false">IF($M3677=0,"",INDEX(Classes!$B$6:$B$420,$M3677))</f>
        <v/>
      </c>
      <c r="E3677" s="61" t="str">
        <f aca="false">IF($M3677=0,"",INDEX(Classes!$C$6:$C$420,$M3677))</f>
        <v/>
      </c>
      <c r="F3677" s="63"/>
      <c r="G3677" s="63"/>
      <c r="H3677" s="60"/>
      <c r="I3677" s="60"/>
      <c r="J3677" s="63"/>
      <c r="K3677" s="61" t="str">
        <f aca="false">IF($P3677=0,"",IF($F3677="Baseline","— Baseline",IF($O3677=0,"No result",IF($N3677=0,"No Start (attainment only)",IF(OR($N3677=1,$O3677=1),"U – needs rule",INDEX(MxBody,MATCH($I3677,MxCurr,0),MATCH($H3677,MxStart,0)))))))</f>
        <v/>
      </c>
      <c r="L3677" s="62" t="str">
        <f aca="false">IF(COUNTA($A3677,$F3677,$G3677,$H3677,$I3677,$J3677)=0,"",IF($M3677=0,"✖ كود الصف غير موجود",IF(ISNA(MATCH($F3677,Lists!$A$2:$A$5,0)),"✖ الفترة غير صحيحة",IF(ISNA(MATCH($G3677,Lists!$B$2:$B$7,0)),"✖ المجموعة غير صحيحة",IF(NOT(OR($H3677="",$N3677&gt;0)),"✖ Start غير صحيح",IF(NOT(OR($I3677="",$I3677="NR",$O3677&gt;0)),"✖ Current غير صحيح",IF(NOT(IF(ISNUMBER($J3677),AND($J3677&gt;=0,$J3677=INT($J3677)),FALSE())),"✖ العدد يجب أن يكون صحيحًا ≥ 0",IF(AND($F3677="Baseline",$H3677&lt;&gt;""),"⚠ Baseline: Start لا يدخل في التقدم",IF($K3677="No Start (attainment only)","ℹ تحصيل فقط (بدون Start)",IF($K3677="U – needs rule","ℹ حالة U تحتاج قاعدة معتمدة",IF($K3677="No result","ℹ بدون نتيجة (يُستبعد من التحصيل)","OK")))))))))))</f>
        <v/>
      </c>
      <c r="M3677" s="64" t="n">
        <f aca="false">IF($A3677="",0,IFERROR(MATCH($A3677,Classes!$A$6:$A$420,0),0))</f>
        <v>0</v>
      </c>
      <c r="N3677" s="64" t="n">
        <f aca="false">IF($H3677="",0,IFERROR(MATCH($H3677,GradeList,0),0))</f>
        <v>0</v>
      </c>
      <c r="O3677" s="64" t="n">
        <f aca="false">IF(OR($I3677="",$I3677="NR"),0,IFERROR(MATCH($I3677,GradeList,0),0))</f>
        <v>0</v>
      </c>
      <c r="P3677" s="64" t="n">
        <f aca="false">IF(AND($M3677&gt;0,ISNUMBER(MATCH($F3677,Lists!$A$2:$A$5,0)),ISNUMBER(MATCH($G3677,Lists!$B$2:$B$7,0)),OR($H3677="",$N3677&gt;0),OR($I3677="",$I3677="NR",$O3677&gt;0),IF(ISNUMBER($J3677),AND($J3677&gt;=0,$J3677=INT($J3677)),FALSE())),$J3677,0)</f>
        <v>0</v>
      </c>
      <c r="Q3677" s="64" t="n">
        <f aca="false">IF(AND($P3677&gt;0,$O3677&gt;0),$P3677,0)</f>
        <v>0</v>
      </c>
      <c r="R3677" s="64" t="n">
        <f aca="false">IF(AND($Q3677&gt;0,$O3677&gt;=AtRank),$Q3677,0)</f>
        <v>0</v>
      </c>
      <c r="S3677" s="64" t="n">
        <f aca="false">IF(AND($Q3677&gt;0,$O3677&gt;=AboveRank),$Q3677,0)</f>
        <v>0</v>
      </c>
      <c r="T3677" s="64" t="n">
        <f aca="false">IF($K3677="Less",$P3677,0)</f>
        <v>0</v>
      </c>
      <c r="U3677" s="64" t="n">
        <f aca="false">IF($K3677="Expected",$P3677,0)</f>
        <v>0</v>
      </c>
      <c r="V3677" s="64" t="n">
        <f aca="false">IF($K3677="Better",$P3677,0)</f>
        <v>0</v>
      </c>
      <c r="W3677" s="64" t="n">
        <f aca="false">IF($K3677="U – needs rule",$P3677,0)</f>
        <v>0</v>
      </c>
      <c r="X3677" s="64" t="n">
        <f aca="false">IF($K3677="No Start (attainment only)",$P3677,0)</f>
        <v>0</v>
      </c>
    </row>
    <row r="3678" customFormat="false" ht="15" hidden="false" customHeight="false" outlineLevel="0" collapsed="false">
      <c r="A3678" s="60"/>
      <c r="B3678" s="61" t="str">
        <f aca="false">IF($M3678=0,"",INDEX(Classes!$E$6:$E$420,$M3678))</f>
        <v/>
      </c>
      <c r="C3678" s="62" t="str">
        <f aca="false">IF($M3678=0,"",INDEX(Classes!$H$6:$H$420,$M3678))</f>
        <v/>
      </c>
      <c r="D3678" s="61" t="str">
        <f aca="false">IF($M3678=0,"",INDEX(Classes!$B$6:$B$420,$M3678))</f>
        <v/>
      </c>
      <c r="E3678" s="61" t="str">
        <f aca="false">IF($M3678=0,"",INDEX(Classes!$C$6:$C$420,$M3678))</f>
        <v/>
      </c>
      <c r="F3678" s="63"/>
      <c r="G3678" s="63"/>
      <c r="H3678" s="60"/>
      <c r="I3678" s="60"/>
      <c r="J3678" s="63"/>
      <c r="K3678" s="61" t="str">
        <f aca="false">IF($P3678=0,"",IF($F3678="Baseline","— Baseline",IF($O3678=0,"No result",IF($N3678=0,"No Start (attainment only)",IF(OR($N3678=1,$O3678=1),"U – needs rule",INDEX(MxBody,MATCH($I3678,MxCurr,0),MATCH($H3678,MxStart,0)))))))</f>
        <v/>
      </c>
      <c r="L3678" s="62" t="str">
        <f aca="false">IF(COUNTA($A3678,$F3678,$G3678,$H3678,$I3678,$J3678)=0,"",IF($M3678=0,"✖ كود الصف غير موجود",IF(ISNA(MATCH($F3678,Lists!$A$2:$A$5,0)),"✖ الفترة غير صحيحة",IF(ISNA(MATCH($G3678,Lists!$B$2:$B$7,0)),"✖ المجموعة غير صحيحة",IF(NOT(OR($H3678="",$N3678&gt;0)),"✖ Start غير صحيح",IF(NOT(OR($I3678="",$I3678="NR",$O3678&gt;0)),"✖ Current غير صحيح",IF(NOT(IF(ISNUMBER($J3678),AND($J3678&gt;=0,$J3678=INT($J3678)),FALSE())),"✖ العدد يجب أن يكون صحيحًا ≥ 0",IF(AND($F3678="Baseline",$H3678&lt;&gt;""),"⚠ Baseline: Start لا يدخل في التقدم",IF($K3678="No Start (attainment only)","ℹ تحصيل فقط (بدون Start)",IF($K3678="U – needs rule","ℹ حالة U تحتاج قاعدة معتمدة",IF($K3678="No result","ℹ بدون نتيجة (يُستبعد من التحصيل)","OK")))))))))))</f>
        <v/>
      </c>
      <c r="M3678" s="64" t="n">
        <f aca="false">IF($A3678="",0,IFERROR(MATCH($A3678,Classes!$A$6:$A$420,0),0))</f>
        <v>0</v>
      </c>
      <c r="N3678" s="64" t="n">
        <f aca="false">IF($H3678="",0,IFERROR(MATCH($H3678,GradeList,0),0))</f>
        <v>0</v>
      </c>
      <c r="O3678" s="64" t="n">
        <f aca="false">IF(OR($I3678="",$I3678="NR"),0,IFERROR(MATCH($I3678,GradeList,0),0))</f>
        <v>0</v>
      </c>
      <c r="P3678" s="64" t="n">
        <f aca="false">IF(AND($M3678&gt;0,ISNUMBER(MATCH($F3678,Lists!$A$2:$A$5,0)),ISNUMBER(MATCH($G3678,Lists!$B$2:$B$7,0)),OR($H3678="",$N3678&gt;0),OR($I3678="",$I3678="NR",$O3678&gt;0),IF(ISNUMBER($J3678),AND($J3678&gt;=0,$J3678=INT($J3678)),FALSE())),$J3678,0)</f>
        <v>0</v>
      </c>
      <c r="Q3678" s="64" t="n">
        <f aca="false">IF(AND($P3678&gt;0,$O3678&gt;0),$P3678,0)</f>
        <v>0</v>
      </c>
      <c r="R3678" s="64" t="n">
        <f aca="false">IF(AND($Q3678&gt;0,$O3678&gt;=AtRank),$Q3678,0)</f>
        <v>0</v>
      </c>
      <c r="S3678" s="64" t="n">
        <f aca="false">IF(AND($Q3678&gt;0,$O3678&gt;=AboveRank),$Q3678,0)</f>
        <v>0</v>
      </c>
      <c r="T3678" s="64" t="n">
        <f aca="false">IF($K3678="Less",$P3678,0)</f>
        <v>0</v>
      </c>
      <c r="U3678" s="64" t="n">
        <f aca="false">IF($K3678="Expected",$P3678,0)</f>
        <v>0</v>
      </c>
      <c r="V3678" s="64" t="n">
        <f aca="false">IF($K3678="Better",$P3678,0)</f>
        <v>0</v>
      </c>
      <c r="W3678" s="64" t="n">
        <f aca="false">IF($K3678="U – needs rule",$P3678,0)</f>
        <v>0</v>
      </c>
      <c r="X3678" s="64" t="n">
        <f aca="false">IF($K3678="No Start (attainment only)",$P3678,0)</f>
        <v>0</v>
      </c>
    </row>
    <row r="3679" customFormat="false" ht="15" hidden="false" customHeight="false" outlineLevel="0" collapsed="false">
      <c r="A3679" s="60"/>
      <c r="B3679" s="61" t="str">
        <f aca="false">IF($M3679=0,"",INDEX(Classes!$E$6:$E$420,$M3679))</f>
        <v/>
      </c>
      <c r="C3679" s="62" t="str">
        <f aca="false">IF($M3679=0,"",INDEX(Classes!$H$6:$H$420,$M3679))</f>
        <v/>
      </c>
      <c r="D3679" s="61" t="str">
        <f aca="false">IF($M3679=0,"",INDEX(Classes!$B$6:$B$420,$M3679))</f>
        <v/>
      </c>
      <c r="E3679" s="61" t="str">
        <f aca="false">IF($M3679=0,"",INDEX(Classes!$C$6:$C$420,$M3679))</f>
        <v/>
      </c>
      <c r="F3679" s="63"/>
      <c r="G3679" s="63"/>
      <c r="H3679" s="60"/>
      <c r="I3679" s="60"/>
      <c r="J3679" s="63"/>
      <c r="K3679" s="61" t="str">
        <f aca="false">IF($P3679=0,"",IF($F3679="Baseline","— Baseline",IF($O3679=0,"No result",IF($N3679=0,"No Start (attainment only)",IF(OR($N3679=1,$O3679=1),"U – needs rule",INDEX(MxBody,MATCH($I3679,MxCurr,0),MATCH($H3679,MxStart,0)))))))</f>
        <v/>
      </c>
      <c r="L3679" s="62" t="str">
        <f aca="false">IF(COUNTA($A3679,$F3679,$G3679,$H3679,$I3679,$J3679)=0,"",IF($M3679=0,"✖ كود الصف غير موجود",IF(ISNA(MATCH($F3679,Lists!$A$2:$A$5,0)),"✖ الفترة غير صحيحة",IF(ISNA(MATCH($G3679,Lists!$B$2:$B$7,0)),"✖ المجموعة غير صحيحة",IF(NOT(OR($H3679="",$N3679&gt;0)),"✖ Start غير صحيح",IF(NOT(OR($I3679="",$I3679="NR",$O3679&gt;0)),"✖ Current غير صحيح",IF(NOT(IF(ISNUMBER($J3679),AND($J3679&gt;=0,$J3679=INT($J3679)),FALSE())),"✖ العدد يجب أن يكون صحيحًا ≥ 0",IF(AND($F3679="Baseline",$H3679&lt;&gt;""),"⚠ Baseline: Start لا يدخل في التقدم",IF($K3679="No Start (attainment only)","ℹ تحصيل فقط (بدون Start)",IF($K3679="U – needs rule","ℹ حالة U تحتاج قاعدة معتمدة",IF($K3679="No result","ℹ بدون نتيجة (يُستبعد من التحصيل)","OK")))))))))))</f>
        <v/>
      </c>
      <c r="M3679" s="64" t="n">
        <f aca="false">IF($A3679="",0,IFERROR(MATCH($A3679,Classes!$A$6:$A$420,0),0))</f>
        <v>0</v>
      </c>
      <c r="N3679" s="64" t="n">
        <f aca="false">IF($H3679="",0,IFERROR(MATCH($H3679,GradeList,0),0))</f>
        <v>0</v>
      </c>
      <c r="O3679" s="64" t="n">
        <f aca="false">IF(OR($I3679="",$I3679="NR"),0,IFERROR(MATCH($I3679,GradeList,0),0))</f>
        <v>0</v>
      </c>
      <c r="P3679" s="64" t="n">
        <f aca="false">IF(AND($M3679&gt;0,ISNUMBER(MATCH($F3679,Lists!$A$2:$A$5,0)),ISNUMBER(MATCH($G3679,Lists!$B$2:$B$7,0)),OR($H3679="",$N3679&gt;0),OR($I3679="",$I3679="NR",$O3679&gt;0),IF(ISNUMBER($J3679),AND($J3679&gt;=0,$J3679=INT($J3679)),FALSE())),$J3679,0)</f>
        <v>0</v>
      </c>
      <c r="Q3679" s="64" t="n">
        <f aca="false">IF(AND($P3679&gt;0,$O3679&gt;0),$P3679,0)</f>
        <v>0</v>
      </c>
      <c r="R3679" s="64" t="n">
        <f aca="false">IF(AND($Q3679&gt;0,$O3679&gt;=AtRank),$Q3679,0)</f>
        <v>0</v>
      </c>
      <c r="S3679" s="64" t="n">
        <f aca="false">IF(AND($Q3679&gt;0,$O3679&gt;=AboveRank),$Q3679,0)</f>
        <v>0</v>
      </c>
      <c r="T3679" s="64" t="n">
        <f aca="false">IF($K3679="Less",$P3679,0)</f>
        <v>0</v>
      </c>
      <c r="U3679" s="64" t="n">
        <f aca="false">IF($K3679="Expected",$P3679,0)</f>
        <v>0</v>
      </c>
      <c r="V3679" s="64" t="n">
        <f aca="false">IF($K3679="Better",$P3679,0)</f>
        <v>0</v>
      </c>
      <c r="W3679" s="64" t="n">
        <f aca="false">IF($K3679="U – needs rule",$P3679,0)</f>
        <v>0</v>
      </c>
      <c r="X3679" s="64" t="n">
        <f aca="false">IF($K3679="No Start (attainment only)",$P3679,0)</f>
        <v>0</v>
      </c>
    </row>
    <row r="3680" customFormat="false" ht="15" hidden="false" customHeight="false" outlineLevel="0" collapsed="false">
      <c r="A3680" s="60"/>
      <c r="B3680" s="61" t="str">
        <f aca="false">IF($M3680=0,"",INDEX(Classes!$E$6:$E$420,$M3680))</f>
        <v/>
      </c>
      <c r="C3680" s="62" t="str">
        <f aca="false">IF($M3680=0,"",INDEX(Classes!$H$6:$H$420,$M3680))</f>
        <v/>
      </c>
      <c r="D3680" s="61" t="str">
        <f aca="false">IF($M3680=0,"",INDEX(Classes!$B$6:$B$420,$M3680))</f>
        <v/>
      </c>
      <c r="E3680" s="61" t="str">
        <f aca="false">IF($M3680=0,"",INDEX(Classes!$C$6:$C$420,$M3680))</f>
        <v/>
      </c>
      <c r="F3680" s="63"/>
      <c r="G3680" s="63"/>
      <c r="H3680" s="60"/>
      <c r="I3680" s="60"/>
      <c r="J3680" s="63"/>
      <c r="K3680" s="61" t="str">
        <f aca="false">IF($P3680=0,"",IF($F3680="Baseline","— Baseline",IF($O3680=0,"No result",IF($N3680=0,"No Start (attainment only)",IF(OR($N3680=1,$O3680=1),"U – needs rule",INDEX(MxBody,MATCH($I3680,MxCurr,0),MATCH($H3680,MxStart,0)))))))</f>
        <v/>
      </c>
      <c r="L3680" s="62" t="str">
        <f aca="false">IF(COUNTA($A3680,$F3680,$G3680,$H3680,$I3680,$J3680)=0,"",IF($M3680=0,"✖ كود الصف غير موجود",IF(ISNA(MATCH($F3680,Lists!$A$2:$A$5,0)),"✖ الفترة غير صحيحة",IF(ISNA(MATCH($G3680,Lists!$B$2:$B$7,0)),"✖ المجموعة غير صحيحة",IF(NOT(OR($H3680="",$N3680&gt;0)),"✖ Start غير صحيح",IF(NOT(OR($I3680="",$I3680="NR",$O3680&gt;0)),"✖ Current غير صحيح",IF(NOT(IF(ISNUMBER($J3680),AND($J3680&gt;=0,$J3680=INT($J3680)),FALSE())),"✖ العدد يجب أن يكون صحيحًا ≥ 0",IF(AND($F3680="Baseline",$H3680&lt;&gt;""),"⚠ Baseline: Start لا يدخل في التقدم",IF($K3680="No Start (attainment only)","ℹ تحصيل فقط (بدون Start)",IF($K3680="U – needs rule","ℹ حالة U تحتاج قاعدة معتمدة",IF($K3680="No result","ℹ بدون نتيجة (يُستبعد من التحصيل)","OK")))))))))))</f>
        <v/>
      </c>
      <c r="M3680" s="64" t="n">
        <f aca="false">IF($A3680="",0,IFERROR(MATCH($A3680,Classes!$A$6:$A$420,0),0))</f>
        <v>0</v>
      </c>
      <c r="N3680" s="64" t="n">
        <f aca="false">IF($H3680="",0,IFERROR(MATCH($H3680,GradeList,0),0))</f>
        <v>0</v>
      </c>
      <c r="O3680" s="64" t="n">
        <f aca="false">IF(OR($I3680="",$I3680="NR"),0,IFERROR(MATCH($I3680,GradeList,0),0))</f>
        <v>0</v>
      </c>
      <c r="P3680" s="64" t="n">
        <f aca="false">IF(AND($M3680&gt;0,ISNUMBER(MATCH($F3680,Lists!$A$2:$A$5,0)),ISNUMBER(MATCH($G3680,Lists!$B$2:$B$7,0)),OR($H3680="",$N3680&gt;0),OR($I3680="",$I3680="NR",$O3680&gt;0),IF(ISNUMBER($J3680),AND($J3680&gt;=0,$J3680=INT($J3680)),FALSE())),$J3680,0)</f>
        <v>0</v>
      </c>
      <c r="Q3680" s="64" t="n">
        <f aca="false">IF(AND($P3680&gt;0,$O3680&gt;0),$P3680,0)</f>
        <v>0</v>
      </c>
      <c r="R3680" s="64" t="n">
        <f aca="false">IF(AND($Q3680&gt;0,$O3680&gt;=AtRank),$Q3680,0)</f>
        <v>0</v>
      </c>
      <c r="S3680" s="64" t="n">
        <f aca="false">IF(AND($Q3680&gt;0,$O3680&gt;=AboveRank),$Q3680,0)</f>
        <v>0</v>
      </c>
      <c r="T3680" s="64" t="n">
        <f aca="false">IF($K3680="Less",$P3680,0)</f>
        <v>0</v>
      </c>
      <c r="U3680" s="64" t="n">
        <f aca="false">IF($K3680="Expected",$P3680,0)</f>
        <v>0</v>
      </c>
      <c r="V3680" s="64" t="n">
        <f aca="false">IF($K3680="Better",$P3680,0)</f>
        <v>0</v>
      </c>
      <c r="W3680" s="64" t="n">
        <f aca="false">IF($K3680="U – needs rule",$P3680,0)</f>
        <v>0</v>
      </c>
      <c r="X3680" s="64" t="n">
        <f aca="false">IF($K3680="No Start (attainment only)",$P3680,0)</f>
        <v>0</v>
      </c>
    </row>
    <row r="3681" customFormat="false" ht="15" hidden="false" customHeight="false" outlineLevel="0" collapsed="false">
      <c r="A3681" s="60"/>
      <c r="B3681" s="61" t="str">
        <f aca="false">IF($M3681=0,"",INDEX(Classes!$E$6:$E$420,$M3681))</f>
        <v/>
      </c>
      <c r="C3681" s="62" t="str">
        <f aca="false">IF($M3681=0,"",INDEX(Classes!$H$6:$H$420,$M3681))</f>
        <v/>
      </c>
      <c r="D3681" s="61" t="str">
        <f aca="false">IF($M3681=0,"",INDEX(Classes!$B$6:$B$420,$M3681))</f>
        <v/>
      </c>
      <c r="E3681" s="61" t="str">
        <f aca="false">IF($M3681=0,"",INDEX(Classes!$C$6:$C$420,$M3681))</f>
        <v/>
      </c>
      <c r="F3681" s="63"/>
      <c r="G3681" s="63"/>
      <c r="H3681" s="60"/>
      <c r="I3681" s="60"/>
      <c r="J3681" s="63"/>
      <c r="K3681" s="61" t="str">
        <f aca="false">IF($P3681=0,"",IF($F3681="Baseline","— Baseline",IF($O3681=0,"No result",IF($N3681=0,"No Start (attainment only)",IF(OR($N3681=1,$O3681=1),"U – needs rule",INDEX(MxBody,MATCH($I3681,MxCurr,0),MATCH($H3681,MxStart,0)))))))</f>
        <v/>
      </c>
      <c r="L3681" s="62" t="str">
        <f aca="false">IF(COUNTA($A3681,$F3681,$G3681,$H3681,$I3681,$J3681)=0,"",IF($M3681=0,"✖ كود الصف غير موجود",IF(ISNA(MATCH($F3681,Lists!$A$2:$A$5,0)),"✖ الفترة غير صحيحة",IF(ISNA(MATCH($G3681,Lists!$B$2:$B$7,0)),"✖ المجموعة غير صحيحة",IF(NOT(OR($H3681="",$N3681&gt;0)),"✖ Start غير صحيح",IF(NOT(OR($I3681="",$I3681="NR",$O3681&gt;0)),"✖ Current غير صحيح",IF(NOT(IF(ISNUMBER($J3681),AND($J3681&gt;=0,$J3681=INT($J3681)),FALSE())),"✖ العدد يجب أن يكون صحيحًا ≥ 0",IF(AND($F3681="Baseline",$H3681&lt;&gt;""),"⚠ Baseline: Start لا يدخل في التقدم",IF($K3681="No Start (attainment only)","ℹ تحصيل فقط (بدون Start)",IF($K3681="U – needs rule","ℹ حالة U تحتاج قاعدة معتمدة",IF($K3681="No result","ℹ بدون نتيجة (يُستبعد من التحصيل)","OK")))))))))))</f>
        <v/>
      </c>
      <c r="M3681" s="64" t="n">
        <f aca="false">IF($A3681="",0,IFERROR(MATCH($A3681,Classes!$A$6:$A$420,0),0))</f>
        <v>0</v>
      </c>
      <c r="N3681" s="64" t="n">
        <f aca="false">IF($H3681="",0,IFERROR(MATCH($H3681,GradeList,0),0))</f>
        <v>0</v>
      </c>
      <c r="O3681" s="64" t="n">
        <f aca="false">IF(OR($I3681="",$I3681="NR"),0,IFERROR(MATCH($I3681,GradeList,0),0))</f>
        <v>0</v>
      </c>
      <c r="P3681" s="64" t="n">
        <f aca="false">IF(AND($M3681&gt;0,ISNUMBER(MATCH($F3681,Lists!$A$2:$A$5,0)),ISNUMBER(MATCH($G3681,Lists!$B$2:$B$7,0)),OR($H3681="",$N3681&gt;0),OR($I3681="",$I3681="NR",$O3681&gt;0),IF(ISNUMBER($J3681),AND($J3681&gt;=0,$J3681=INT($J3681)),FALSE())),$J3681,0)</f>
        <v>0</v>
      </c>
      <c r="Q3681" s="64" t="n">
        <f aca="false">IF(AND($P3681&gt;0,$O3681&gt;0),$P3681,0)</f>
        <v>0</v>
      </c>
      <c r="R3681" s="64" t="n">
        <f aca="false">IF(AND($Q3681&gt;0,$O3681&gt;=AtRank),$Q3681,0)</f>
        <v>0</v>
      </c>
      <c r="S3681" s="64" t="n">
        <f aca="false">IF(AND($Q3681&gt;0,$O3681&gt;=AboveRank),$Q3681,0)</f>
        <v>0</v>
      </c>
      <c r="T3681" s="64" t="n">
        <f aca="false">IF($K3681="Less",$P3681,0)</f>
        <v>0</v>
      </c>
      <c r="U3681" s="64" t="n">
        <f aca="false">IF($K3681="Expected",$P3681,0)</f>
        <v>0</v>
      </c>
      <c r="V3681" s="64" t="n">
        <f aca="false">IF($K3681="Better",$P3681,0)</f>
        <v>0</v>
      </c>
      <c r="W3681" s="64" t="n">
        <f aca="false">IF($K3681="U – needs rule",$P3681,0)</f>
        <v>0</v>
      </c>
      <c r="X3681" s="64" t="n">
        <f aca="false">IF($K3681="No Start (attainment only)",$P3681,0)</f>
        <v>0</v>
      </c>
    </row>
    <row r="3682" customFormat="false" ht="15" hidden="false" customHeight="false" outlineLevel="0" collapsed="false">
      <c r="A3682" s="60"/>
      <c r="B3682" s="61" t="str">
        <f aca="false">IF($M3682=0,"",INDEX(Classes!$E$6:$E$420,$M3682))</f>
        <v/>
      </c>
      <c r="C3682" s="62" t="str">
        <f aca="false">IF($M3682=0,"",INDEX(Classes!$H$6:$H$420,$M3682))</f>
        <v/>
      </c>
      <c r="D3682" s="61" t="str">
        <f aca="false">IF($M3682=0,"",INDEX(Classes!$B$6:$B$420,$M3682))</f>
        <v/>
      </c>
      <c r="E3682" s="61" t="str">
        <f aca="false">IF($M3682=0,"",INDEX(Classes!$C$6:$C$420,$M3682))</f>
        <v/>
      </c>
      <c r="F3682" s="63"/>
      <c r="G3682" s="63"/>
      <c r="H3682" s="60"/>
      <c r="I3682" s="60"/>
      <c r="J3682" s="63"/>
      <c r="K3682" s="61" t="str">
        <f aca="false">IF($P3682=0,"",IF($F3682="Baseline","— Baseline",IF($O3682=0,"No result",IF($N3682=0,"No Start (attainment only)",IF(OR($N3682=1,$O3682=1),"U – needs rule",INDEX(MxBody,MATCH($I3682,MxCurr,0),MATCH($H3682,MxStart,0)))))))</f>
        <v/>
      </c>
      <c r="L3682" s="62" t="str">
        <f aca="false">IF(COUNTA($A3682,$F3682,$G3682,$H3682,$I3682,$J3682)=0,"",IF($M3682=0,"✖ كود الصف غير موجود",IF(ISNA(MATCH($F3682,Lists!$A$2:$A$5,0)),"✖ الفترة غير صحيحة",IF(ISNA(MATCH($G3682,Lists!$B$2:$B$7,0)),"✖ المجموعة غير صحيحة",IF(NOT(OR($H3682="",$N3682&gt;0)),"✖ Start غير صحيح",IF(NOT(OR($I3682="",$I3682="NR",$O3682&gt;0)),"✖ Current غير صحيح",IF(NOT(IF(ISNUMBER($J3682),AND($J3682&gt;=0,$J3682=INT($J3682)),FALSE())),"✖ العدد يجب أن يكون صحيحًا ≥ 0",IF(AND($F3682="Baseline",$H3682&lt;&gt;""),"⚠ Baseline: Start لا يدخل في التقدم",IF($K3682="No Start (attainment only)","ℹ تحصيل فقط (بدون Start)",IF($K3682="U – needs rule","ℹ حالة U تحتاج قاعدة معتمدة",IF($K3682="No result","ℹ بدون نتيجة (يُستبعد من التحصيل)","OK")))))))))))</f>
        <v/>
      </c>
      <c r="M3682" s="64" t="n">
        <f aca="false">IF($A3682="",0,IFERROR(MATCH($A3682,Classes!$A$6:$A$420,0),0))</f>
        <v>0</v>
      </c>
      <c r="N3682" s="64" t="n">
        <f aca="false">IF($H3682="",0,IFERROR(MATCH($H3682,GradeList,0),0))</f>
        <v>0</v>
      </c>
      <c r="O3682" s="64" t="n">
        <f aca="false">IF(OR($I3682="",$I3682="NR"),0,IFERROR(MATCH($I3682,GradeList,0),0))</f>
        <v>0</v>
      </c>
      <c r="P3682" s="64" t="n">
        <f aca="false">IF(AND($M3682&gt;0,ISNUMBER(MATCH($F3682,Lists!$A$2:$A$5,0)),ISNUMBER(MATCH($G3682,Lists!$B$2:$B$7,0)),OR($H3682="",$N3682&gt;0),OR($I3682="",$I3682="NR",$O3682&gt;0),IF(ISNUMBER($J3682),AND($J3682&gt;=0,$J3682=INT($J3682)),FALSE())),$J3682,0)</f>
        <v>0</v>
      </c>
      <c r="Q3682" s="64" t="n">
        <f aca="false">IF(AND($P3682&gt;0,$O3682&gt;0),$P3682,0)</f>
        <v>0</v>
      </c>
      <c r="R3682" s="64" t="n">
        <f aca="false">IF(AND($Q3682&gt;0,$O3682&gt;=AtRank),$Q3682,0)</f>
        <v>0</v>
      </c>
      <c r="S3682" s="64" t="n">
        <f aca="false">IF(AND($Q3682&gt;0,$O3682&gt;=AboveRank),$Q3682,0)</f>
        <v>0</v>
      </c>
      <c r="T3682" s="64" t="n">
        <f aca="false">IF($K3682="Less",$P3682,0)</f>
        <v>0</v>
      </c>
      <c r="U3682" s="64" t="n">
        <f aca="false">IF($K3682="Expected",$P3682,0)</f>
        <v>0</v>
      </c>
      <c r="V3682" s="64" t="n">
        <f aca="false">IF($K3682="Better",$P3682,0)</f>
        <v>0</v>
      </c>
      <c r="W3682" s="64" t="n">
        <f aca="false">IF($K3682="U – needs rule",$P3682,0)</f>
        <v>0</v>
      </c>
      <c r="X3682" s="64" t="n">
        <f aca="false">IF($K3682="No Start (attainment only)",$P3682,0)</f>
        <v>0</v>
      </c>
    </row>
    <row r="3683" customFormat="false" ht="15" hidden="false" customHeight="false" outlineLevel="0" collapsed="false">
      <c r="A3683" s="60"/>
      <c r="B3683" s="61" t="str">
        <f aca="false">IF($M3683=0,"",INDEX(Classes!$E$6:$E$420,$M3683))</f>
        <v/>
      </c>
      <c r="C3683" s="62" t="str">
        <f aca="false">IF($M3683=0,"",INDEX(Classes!$H$6:$H$420,$M3683))</f>
        <v/>
      </c>
      <c r="D3683" s="61" t="str">
        <f aca="false">IF($M3683=0,"",INDEX(Classes!$B$6:$B$420,$M3683))</f>
        <v/>
      </c>
      <c r="E3683" s="61" t="str">
        <f aca="false">IF($M3683=0,"",INDEX(Classes!$C$6:$C$420,$M3683))</f>
        <v/>
      </c>
      <c r="F3683" s="63"/>
      <c r="G3683" s="63"/>
      <c r="H3683" s="60"/>
      <c r="I3683" s="60"/>
      <c r="J3683" s="63"/>
      <c r="K3683" s="61" t="str">
        <f aca="false">IF($P3683=0,"",IF($F3683="Baseline","— Baseline",IF($O3683=0,"No result",IF($N3683=0,"No Start (attainment only)",IF(OR($N3683=1,$O3683=1),"U – needs rule",INDEX(MxBody,MATCH($I3683,MxCurr,0),MATCH($H3683,MxStart,0)))))))</f>
        <v/>
      </c>
      <c r="L3683" s="62" t="str">
        <f aca="false">IF(COUNTA($A3683,$F3683,$G3683,$H3683,$I3683,$J3683)=0,"",IF($M3683=0,"✖ كود الصف غير موجود",IF(ISNA(MATCH($F3683,Lists!$A$2:$A$5,0)),"✖ الفترة غير صحيحة",IF(ISNA(MATCH($G3683,Lists!$B$2:$B$7,0)),"✖ المجموعة غير صحيحة",IF(NOT(OR($H3683="",$N3683&gt;0)),"✖ Start غير صحيح",IF(NOT(OR($I3683="",$I3683="NR",$O3683&gt;0)),"✖ Current غير صحيح",IF(NOT(IF(ISNUMBER($J3683),AND($J3683&gt;=0,$J3683=INT($J3683)),FALSE())),"✖ العدد يجب أن يكون صحيحًا ≥ 0",IF(AND($F3683="Baseline",$H3683&lt;&gt;""),"⚠ Baseline: Start لا يدخل في التقدم",IF($K3683="No Start (attainment only)","ℹ تحصيل فقط (بدون Start)",IF($K3683="U – needs rule","ℹ حالة U تحتاج قاعدة معتمدة",IF($K3683="No result","ℹ بدون نتيجة (يُستبعد من التحصيل)","OK")))))))))))</f>
        <v/>
      </c>
      <c r="M3683" s="64" t="n">
        <f aca="false">IF($A3683="",0,IFERROR(MATCH($A3683,Classes!$A$6:$A$420,0),0))</f>
        <v>0</v>
      </c>
      <c r="N3683" s="64" t="n">
        <f aca="false">IF($H3683="",0,IFERROR(MATCH($H3683,GradeList,0),0))</f>
        <v>0</v>
      </c>
      <c r="O3683" s="64" t="n">
        <f aca="false">IF(OR($I3683="",$I3683="NR"),0,IFERROR(MATCH($I3683,GradeList,0),0))</f>
        <v>0</v>
      </c>
      <c r="P3683" s="64" t="n">
        <f aca="false">IF(AND($M3683&gt;0,ISNUMBER(MATCH($F3683,Lists!$A$2:$A$5,0)),ISNUMBER(MATCH($G3683,Lists!$B$2:$B$7,0)),OR($H3683="",$N3683&gt;0),OR($I3683="",$I3683="NR",$O3683&gt;0),IF(ISNUMBER($J3683),AND($J3683&gt;=0,$J3683=INT($J3683)),FALSE())),$J3683,0)</f>
        <v>0</v>
      </c>
      <c r="Q3683" s="64" t="n">
        <f aca="false">IF(AND($P3683&gt;0,$O3683&gt;0),$P3683,0)</f>
        <v>0</v>
      </c>
      <c r="R3683" s="64" t="n">
        <f aca="false">IF(AND($Q3683&gt;0,$O3683&gt;=AtRank),$Q3683,0)</f>
        <v>0</v>
      </c>
      <c r="S3683" s="64" t="n">
        <f aca="false">IF(AND($Q3683&gt;0,$O3683&gt;=AboveRank),$Q3683,0)</f>
        <v>0</v>
      </c>
      <c r="T3683" s="64" t="n">
        <f aca="false">IF($K3683="Less",$P3683,0)</f>
        <v>0</v>
      </c>
      <c r="U3683" s="64" t="n">
        <f aca="false">IF($K3683="Expected",$P3683,0)</f>
        <v>0</v>
      </c>
      <c r="V3683" s="64" t="n">
        <f aca="false">IF($K3683="Better",$P3683,0)</f>
        <v>0</v>
      </c>
      <c r="W3683" s="64" t="n">
        <f aca="false">IF($K3683="U – needs rule",$P3683,0)</f>
        <v>0</v>
      </c>
      <c r="X3683" s="64" t="n">
        <f aca="false">IF($K3683="No Start (attainment only)",$P3683,0)</f>
        <v>0</v>
      </c>
    </row>
    <row r="3684" customFormat="false" ht="15" hidden="false" customHeight="false" outlineLevel="0" collapsed="false">
      <c r="A3684" s="60"/>
      <c r="B3684" s="61" t="str">
        <f aca="false">IF($M3684=0,"",INDEX(Classes!$E$6:$E$420,$M3684))</f>
        <v/>
      </c>
      <c r="C3684" s="62" t="str">
        <f aca="false">IF($M3684=0,"",INDEX(Classes!$H$6:$H$420,$M3684))</f>
        <v/>
      </c>
      <c r="D3684" s="61" t="str">
        <f aca="false">IF($M3684=0,"",INDEX(Classes!$B$6:$B$420,$M3684))</f>
        <v/>
      </c>
      <c r="E3684" s="61" t="str">
        <f aca="false">IF($M3684=0,"",INDEX(Classes!$C$6:$C$420,$M3684))</f>
        <v/>
      </c>
      <c r="F3684" s="63"/>
      <c r="G3684" s="63"/>
      <c r="H3684" s="60"/>
      <c r="I3684" s="60"/>
      <c r="J3684" s="63"/>
      <c r="K3684" s="61" t="str">
        <f aca="false">IF($P3684=0,"",IF($F3684="Baseline","— Baseline",IF($O3684=0,"No result",IF($N3684=0,"No Start (attainment only)",IF(OR($N3684=1,$O3684=1),"U – needs rule",INDEX(MxBody,MATCH($I3684,MxCurr,0),MATCH($H3684,MxStart,0)))))))</f>
        <v/>
      </c>
      <c r="L3684" s="62" t="str">
        <f aca="false">IF(COUNTA($A3684,$F3684,$G3684,$H3684,$I3684,$J3684)=0,"",IF($M3684=0,"✖ كود الصف غير موجود",IF(ISNA(MATCH($F3684,Lists!$A$2:$A$5,0)),"✖ الفترة غير صحيحة",IF(ISNA(MATCH($G3684,Lists!$B$2:$B$7,0)),"✖ المجموعة غير صحيحة",IF(NOT(OR($H3684="",$N3684&gt;0)),"✖ Start غير صحيح",IF(NOT(OR($I3684="",$I3684="NR",$O3684&gt;0)),"✖ Current غير صحيح",IF(NOT(IF(ISNUMBER($J3684),AND($J3684&gt;=0,$J3684=INT($J3684)),FALSE())),"✖ العدد يجب أن يكون صحيحًا ≥ 0",IF(AND($F3684="Baseline",$H3684&lt;&gt;""),"⚠ Baseline: Start لا يدخل في التقدم",IF($K3684="No Start (attainment only)","ℹ تحصيل فقط (بدون Start)",IF($K3684="U – needs rule","ℹ حالة U تحتاج قاعدة معتمدة",IF($K3684="No result","ℹ بدون نتيجة (يُستبعد من التحصيل)","OK")))))))))))</f>
        <v/>
      </c>
      <c r="M3684" s="64" t="n">
        <f aca="false">IF($A3684="",0,IFERROR(MATCH($A3684,Classes!$A$6:$A$420,0),0))</f>
        <v>0</v>
      </c>
      <c r="N3684" s="64" t="n">
        <f aca="false">IF($H3684="",0,IFERROR(MATCH($H3684,GradeList,0),0))</f>
        <v>0</v>
      </c>
      <c r="O3684" s="64" t="n">
        <f aca="false">IF(OR($I3684="",$I3684="NR"),0,IFERROR(MATCH($I3684,GradeList,0),0))</f>
        <v>0</v>
      </c>
      <c r="P3684" s="64" t="n">
        <f aca="false">IF(AND($M3684&gt;0,ISNUMBER(MATCH($F3684,Lists!$A$2:$A$5,0)),ISNUMBER(MATCH($G3684,Lists!$B$2:$B$7,0)),OR($H3684="",$N3684&gt;0),OR($I3684="",$I3684="NR",$O3684&gt;0),IF(ISNUMBER($J3684),AND($J3684&gt;=0,$J3684=INT($J3684)),FALSE())),$J3684,0)</f>
        <v>0</v>
      </c>
      <c r="Q3684" s="64" t="n">
        <f aca="false">IF(AND($P3684&gt;0,$O3684&gt;0),$P3684,0)</f>
        <v>0</v>
      </c>
      <c r="R3684" s="64" t="n">
        <f aca="false">IF(AND($Q3684&gt;0,$O3684&gt;=AtRank),$Q3684,0)</f>
        <v>0</v>
      </c>
      <c r="S3684" s="64" t="n">
        <f aca="false">IF(AND($Q3684&gt;0,$O3684&gt;=AboveRank),$Q3684,0)</f>
        <v>0</v>
      </c>
      <c r="T3684" s="64" t="n">
        <f aca="false">IF($K3684="Less",$P3684,0)</f>
        <v>0</v>
      </c>
      <c r="U3684" s="64" t="n">
        <f aca="false">IF($K3684="Expected",$P3684,0)</f>
        <v>0</v>
      </c>
      <c r="V3684" s="64" t="n">
        <f aca="false">IF($K3684="Better",$P3684,0)</f>
        <v>0</v>
      </c>
      <c r="W3684" s="64" t="n">
        <f aca="false">IF($K3684="U – needs rule",$P3684,0)</f>
        <v>0</v>
      </c>
      <c r="X3684" s="64" t="n">
        <f aca="false">IF($K3684="No Start (attainment only)",$P3684,0)</f>
        <v>0</v>
      </c>
    </row>
    <row r="3685" customFormat="false" ht="15" hidden="false" customHeight="false" outlineLevel="0" collapsed="false">
      <c r="A3685" s="60"/>
      <c r="B3685" s="61" t="str">
        <f aca="false">IF($M3685=0,"",INDEX(Classes!$E$6:$E$420,$M3685))</f>
        <v/>
      </c>
      <c r="C3685" s="62" t="str">
        <f aca="false">IF($M3685=0,"",INDEX(Classes!$H$6:$H$420,$M3685))</f>
        <v/>
      </c>
      <c r="D3685" s="61" t="str">
        <f aca="false">IF($M3685=0,"",INDEX(Classes!$B$6:$B$420,$M3685))</f>
        <v/>
      </c>
      <c r="E3685" s="61" t="str">
        <f aca="false">IF($M3685=0,"",INDEX(Classes!$C$6:$C$420,$M3685))</f>
        <v/>
      </c>
      <c r="F3685" s="63"/>
      <c r="G3685" s="63"/>
      <c r="H3685" s="60"/>
      <c r="I3685" s="60"/>
      <c r="J3685" s="63"/>
      <c r="K3685" s="61" t="str">
        <f aca="false">IF($P3685=0,"",IF($F3685="Baseline","— Baseline",IF($O3685=0,"No result",IF($N3685=0,"No Start (attainment only)",IF(OR($N3685=1,$O3685=1),"U – needs rule",INDEX(MxBody,MATCH($I3685,MxCurr,0),MATCH($H3685,MxStart,0)))))))</f>
        <v/>
      </c>
      <c r="L3685" s="62" t="str">
        <f aca="false">IF(COUNTA($A3685,$F3685,$G3685,$H3685,$I3685,$J3685)=0,"",IF($M3685=0,"✖ كود الصف غير موجود",IF(ISNA(MATCH($F3685,Lists!$A$2:$A$5,0)),"✖ الفترة غير صحيحة",IF(ISNA(MATCH($G3685,Lists!$B$2:$B$7,0)),"✖ المجموعة غير صحيحة",IF(NOT(OR($H3685="",$N3685&gt;0)),"✖ Start غير صحيح",IF(NOT(OR($I3685="",$I3685="NR",$O3685&gt;0)),"✖ Current غير صحيح",IF(NOT(IF(ISNUMBER($J3685),AND($J3685&gt;=0,$J3685=INT($J3685)),FALSE())),"✖ العدد يجب أن يكون صحيحًا ≥ 0",IF(AND($F3685="Baseline",$H3685&lt;&gt;""),"⚠ Baseline: Start لا يدخل في التقدم",IF($K3685="No Start (attainment only)","ℹ تحصيل فقط (بدون Start)",IF($K3685="U – needs rule","ℹ حالة U تحتاج قاعدة معتمدة",IF($K3685="No result","ℹ بدون نتيجة (يُستبعد من التحصيل)","OK")))))))))))</f>
        <v/>
      </c>
      <c r="M3685" s="64" t="n">
        <f aca="false">IF($A3685="",0,IFERROR(MATCH($A3685,Classes!$A$6:$A$420,0),0))</f>
        <v>0</v>
      </c>
      <c r="N3685" s="64" t="n">
        <f aca="false">IF($H3685="",0,IFERROR(MATCH($H3685,GradeList,0),0))</f>
        <v>0</v>
      </c>
      <c r="O3685" s="64" t="n">
        <f aca="false">IF(OR($I3685="",$I3685="NR"),0,IFERROR(MATCH($I3685,GradeList,0),0))</f>
        <v>0</v>
      </c>
      <c r="P3685" s="64" t="n">
        <f aca="false">IF(AND($M3685&gt;0,ISNUMBER(MATCH($F3685,Lists!$A$2:$A$5,0)),ISNUMBER(MATCH($G3685,Lists!$B$2:$B$7,0)),OR($H3685="",$N3685&gt;0),OR($I3685="",$I3685="NR",$O3685&gt;0),IF(ISNUMBER($J3685),AND($J3685&gt;=0,$J3685=INT($J3685)),FALSE())),$J3685,0)</f>
        <v>0</v>
      </c>
      <c r="Q3685" s="64" t="n">
        <f aca="false">IF(AND($P3685&gt;0,$O3685&gt;0),$P3685,0)</f>
        <v>0</v>
      </c>
      <c r="R3685" s="64" t="n">
        <f aca="false">IF(AND($Q3685&gt;0,$O3685&gt;=AtRank),$Q3685,0)</f>
        <v>0</v>
      </c>
      <c r="S3685" s="64" t="n">
        <f aca="false">IF(AND($Q3685&gt;0,$O3685&gt;=AboveRank),$Q3685,0)</f>
        <v>0</v>
      </c>
      <c r="T3685" s="64" t="n">
        <f aca="false">IF($K3685="Less",$P3685,0)</f>
        <v>0</v>
      </c>
      <c r="U3685" s="64" t="n">
        <f aca="false">IF($K3685="Expected",$P3685,0)</f>
        <v>0</v>
      </c>
      <c r="V3685" s="64" t="n">
        <f aca="false">IF($K3685="Better",$P3685,0)</f>
        <v>0</v>
      </c>
      <c r="W3685" s="64" t="n">
        <f aca="false">IF($K3685="U – needs rule",$P3685,0)</f>
        <v>0</v>
      </c>
      <c r="X3685" s="64" t="n">
        <f aca="false">IF($K3685="No Start (attainment only)",$P3685,0)</f>
        <v>0</v>
      </c>
    </row>
    <row r="3686" customFormat="false" ht="15" hidden="false" customHeight="false" outlineLevel="0" collapsed="false">
      <c r="A3686" s="60"/>
      <c r="B3686" s="61" t="str">
        <f aca="false">IF($M3686=0,"",INDEX(Classes!$E$6:$E$420,$M3686))</f>
        <v/>
      </c>
      <c r="C3686" s="62" t="str">
        <f aca="false">IF($M3686=0,"",INDEX(Classes!$H$6:$H$420,$M3686))</f>
        <v/>
      </c>
      <c r="D3686" s="61" t="str">
        <f aca="false">IF($M3686=0,"",INDEX(Classes!$B$6:$B$420,$M3686))</f>
        <v/>
      </c>
      <c r="E3686" s="61" t="str">
        <f aca="false">IF($M3686=0,"",INDEX(Classes!$C$6:$C$420,$M3686))</f>
        <v/>
      </c>
      <c r="F3686" s="63"/>
      <c r="G3686" s="63"/>
      <c r="H3686" s="60"/>
      <c r="I3686" s="60"/>
      <c r="J3686" s="63"/>
      <c r="K3686" s="61" t="str">
        <f aca="false">IF($P3686=0,"",IF($F3686="Baseline","— Baseline",IF($O3686=0,"No result",IF($N3686=0,"No Start (attainment only)",IF(OR($N3686=1,$O3686=1),"U – needs rule",INDEX(MxBody,MATCH($I3686,MxCurr,0),MATCH($H3686,MxStart,0)))))))</f>
        <v/>
      </c>
      <c r="L3686" s="62" t="str">
        <f aca="false">IF(COUNTA($A3686,$F3686,$G3686,$H3686,$I3686,$J3686)=0,"",IF($M3686=0,"✖ كود الصف غير موجود",IF(ISNA(MATCH($F3686,Lists!$A$2:$A$5,0)),"✖ الفترة غير صحيحة",IF(ISNA(MATCH($G3686,Lists!$B$2:$B$7,0)),"✖ المجموعة غير صحيحة",IF(NOT(OR($H3686="",$N3686&gt;0)),"✖ Start غير صحيح",IF(NOT(OR($I3686="",$I3686="NR",$O3686&gt;0)),"✖ Current غير صحيح",IF(NOT(IF(ISNUMBER($J3686),AND($J3686&gt;=0,$J3686=INT($J3686)),FALSE())),"✖ العدد يجب أن يكون صحيحًا ≥ 0",IF(AND($F3686="Baseline",$H3686&lt;&gt;""),"⚠ Baseline: Start لا يدخل في التقدم",IF($K3686="No Start (attainment only)","ℹ تحصيل فقط (بدون Start)",IF($K3686="U – needs rule","ℹ حالة U تحتاج قاعدة معتمدة",IF($K3686="No result","ℹ بدون نتيجة (يُستبعد من التحصيل)","OK")))))))))))</f>
        <v/>
      </c>
      <c r="M3686" s="64" t="n">
        <f aca="false">IF($A3686="",0,IFERROR(MATCH($A3686,Classes!$A$6:$A$420,0),0))</f>
        <v>0</v>
      </c>
      <c r="N3686" s="64" t="n">
        <f aca="false">IF($H3686="",0,IFERROR(MATCH($H3686,GradeList,0),0))</f>
        <v>0</v>
      </c>
      <c r="O3686" s="64" t="n">
        <f aca="false">IF(OR($I3686="",$I3686="NR"),0,IFERROR(MATCH($I3686,GradeList,0),0))</f>
        <v>0</v>
      </c>
      <c r="P3686" s="64" t="n">
        <f aca="false">IF(AND($M3686&gt;0,ISNUMBER(MATCH($F3686,Lists!$A$2:$A$5,0)),ISNUMBER(MATCH($G3686,Lists!$B$2:$B$7,0)),OR($H3686="",$N3686&gt;0),OR($I3686="",$I3686="NR",$O3686&gt;0),IF(ISNUMBER($J3686),AND($J3686&gt;=0,$J3686=INT($J3686)),FALSE())),$J3686,0)</f>
        <v>0</v>
      </c>
      <c r="Q3686" s="64" t="n">
        <f aca="false">IF(AND($P3686&gt;0,$O3686&gt;0),$P3686,0)</f>
        <v>0</v>
      </c>
      <c r="R3686" s="64" t="n">
        <f aca="false">IF(AND($Q3686&gt;0,$O3686&gt;=AtRank),$Q3686,0)</f>
        <v>0</v>
      </c>
      <c r="S3686" s="64" t="n">
        <f aca="false">IF(AND($Q3686&gt;0,$O3686&gt;=AboveRank),$Q3686,0)</f>
        <v>0</v>
      </c>
      <c r="T3686" s="64" t="n">
        <f aca="false">IF($K3686="Less",$P3686,0)</f>
        <v>0</v>
      </c>
      <c r="U3686" s="64" t="n">
        <f aca="false">IF($K3686="Expected",$P3686,0)</f>
        <v>0</v>
      </c>
      <c r="V3686" s="64" t="n">
        <f aca="false">IF($K3686="Better",$P3686,0)</f>
        <v>0</v>
      </c>
      <c r="W3686" s="64" t="n">
        <f aca="false">IF($K3686="U – needs rule",$P3686,0)</f>
        <v>0</v>
      </c>
      <c r="X3686" s="64" t="n">
        <f aca="false">IF($K3686="No Start (attainment only)",$P3686,0)</f>
        <v>0</v>
      </c>
    </row>
    <row r="3687" customFormat="false" ht="15" hidden="false" customHeight="false" outlineLevel="0" collapsed="false">
      <c r="A3687" s="60"/>
      <c r="B3687" s="61" t="str">
        <f aca="false">IF($M3687=0,"",INDEX(Classes!$E$6:$E$420,$M3687))</f>
        <v/>
      </c>
      <c r="C3687" s="62" t="str">
        <f aca="false">IF($M3687=0,"",INDEX(Classes!$H$6:$H$420,$M3687))</f>
        <v/>
      </c>
      <c r="D3687" s="61" t="str">
        <f aca="false">IF($M3687=0,"",INDEX(Classes!$B$6:$B$420,$M3687))</f>
        <v/>
      </c>
      <c r="E3687" s="61" t="str">
        <f aca="false">IF($M3687=0,"",INDEX(Classes!$C$6:$C$420,$M3687))</f>
        <v/>
      </c>
      <c r="F3687" s="63"/>
      <c r="G3687" s="63"/>
      <c r="H3687" s="60"/>
      <c r="I3687" s="60"/>
      <c r="J3687" s="63"/>
      <c r="K3687" s="61" t="str">
        <f aca="false">IF($P3687=0,"",IF($F3687="Baseline","— Baseline",IF($O3687=0,"No result",IF($N3687=0,"No Start (attainment only)",IF(OR($N3687=1,$O3687=1),"U – needs rule",INDEX(MxBody,MATCH($I3687,MxCurr,0),MATCH($H3687,MxStart,0)))))))</f>
        <v/>
      </c>
      <c r="L3687" s="62" t="str">
        <f aca="false">IF(COUNTA($A3687,$F3687,$G3687,$H3687,$I3687,$J3687)=0,"",IF($M3687=0,"✖ كود الصف غير موجود",IF(ISNA(MATCH($F3687,Lists!$A$2:$A$5,0)),"✖ الفترة غير صحيحة",IF(ISNA(MATCH($G3687,Lists!$B$2:$B$7,0)),"✖ المجموعة غير صحيحة",IF(NOT(OR($H3687="",$N3687&gt;0)),"✖ Start غير صحيح",IF(NOT(OR($I3687="",$I3687="NR",$O3687&gt;0)),"✖ Current غير صحيح",IF(NOT(IF(ISNUMBER($J3687),AND($J3687&gt;=0,$J3687=INT($J3687)),FALSE())),"✖ العدد يجب أن يكون صحيحًا ≥ 0",IF(AND($F3687="Baseline",$H3687&lt;&gt;""),"⚠ Baseline: Start لا يدخل في التقدم",IF($K3687="No Start (attainment only)","ℹ تحصيل فقط (بدون Start)",IF($K3687="U – needs rule","ℹ حالة U تحتاج قاعدة معتمدة",IF($K3687="No result","ℹ بدون نتيجة (يُستبعد من التحصيل)","OK")))))))))))</f>
        <v/>
      </c>
      <c r="M3687" s="64" t="n">
        <f aca="false">IF($A3687="",0,IFERROR(MATCH($A3687,Classes!$A$6:$A$420,0),0))</f>
        <v>0</v>
      </c>
      <c r="N3687" s="64" t="n">
        <f aca="false">IF($H3687="",0,IFERROR(MATCH($H3687,GradeList,0),0))</f>
        <v>0</v>
      </c>
      <c r="O3687" s="64" t="n">
        <f aca="false">IF(OR($I3687="",$I3687="NR"),0,IFERROR(MATCH($I3687,GradeList,0),0))</f>
        <v>0</v>
      </c>
      <c r="P3687" s="64" t="n">
        <f aca="false">IF(AND($M3687&gt;0,ISNUMBER(MATCH($F3687,Lists!$A$2:$A$5,0)),ISNUMBER(MATCH($G3687,Lists!$B$2:$B$7,0)),OR($H3687="",$N3687&gt;0),OR($I3687="",$I3687="NR",$O3687&gt;0),IF(ISNUMBER($J3687),AND($J3687&gt;=0,$J3687=INT($J3687)),FALSE())),$J3687,0)</f>
        <v>0</v>
      </c>
      <c r="Q3687" s="64" t="n">
        <f aca="false">IF(AND($P3687&gt;0,$O3687&gt;0),$P3687,0)</f>
        <v>0</v>
      </c>
      <c r="R3687" s="64" t="n">
        <f aca="false">IF(AND($Q3687&gt;0,$O3687&gt;=AtRank),$Q3687,0)</f>
        <v>0</v>
      </c>
      <c r="S3687" s="64" t="n">
        <f aca="false">IF(AND($Q3687&gt;0,$O3687&gt;=AboveRank),$Q3687,0)</f>
        <v>0</v>
      </c>
      <c r="T3687" s="64" t="n">
        <f aca="false">IF($K3687="Less",$P3687,0)</f>
        <v>0</v>
      </c>
      <c r="U3687" s="64" t="n">
        <f aca="false">IF($K3687="Expected",$P3687,0)</f>
        <v>0</v>
      </c>
      <c r="V3687" s="64" t="n">
        <f aca="false">IF($K3687="Better",$P3687,0)</f>
        <v>0</v>
      </c>
      <c r="W3687" s="64" t="n">
        <f aca="false">IF($K3687="U – needs rule",$P3687,0)</f>
        <v>0</v>
      </c>
      <c r="X3687" s="64" t="n">
        <f aca="false">IF($K3687="No Start (attainment only)",$P3687,0)</f>
        <v>0</v>
      </c>
    </row>
    <row r="3688" customFormat="false" ht="15" hidden="false" customHeight="false" outlineLevel="0" collapsed="false">
      <c r="A3688" s="60"/>
      <c r="B3688" s="61" t="str">
        <f aca="false">IF($M3688=0,"",INDEX(Classes!$E$6:$E$420,$M3688))</f>
        <v/>
      </c>
      <c r="C3688" s="62" t="str">
        <f aca="false">IF($M3688=0,"",INDEX(Classes!$H$6:$H$420,$M3688))</f>
        <v/>
      </c>
      <c r="D3688" s="61" t="str">
        <f aca="false">IF($M3688=0,"",INDEX(Classes!$B$6:$B$420,$M3688))</f>
        <v/>
      </c>
      <c r="E3688" s="61" t="str">
        <f aca="false">IF($M3688=0,"",INDEX(Classes!$C$6:$C$420,$M3688))</f>
        <v/>
      </c>
      <c r="F3688" s="63"/>
      <c r="G3688" s="63"/>
      <c r="H3688" s="60"/>
      <c r="I3688" s="60"/>
      <c r="J3688" s="63"/>
      <c r="K3688" s="61" t="str">
        <f aca="false">IF($P3688=0,"",IF($F3688="Baseline","— Baseline",IF($O3688=0,"No result",IF($N3688=0,"No Start (attainment only)",IF(OR($N3688=1,$O3688=1),"U – needs rule",INDEX(MxBody,MATCH($I3688,MxCurr,0),MATCH($H3688,MxStart,0)))))))</f>
        <v/>
      </c>
      <c r="L3688" s="62" t="str">
        <f aca="false">IF(COUNTA($A3688,$F3688,$G3688,$H3688,$I3688,$J3688)=0,"",IF($M3688=0,"✖ كود الصف غير موجود",IF(ISNA(MATCH($F3688,Lists!$A$2:$A$5,0)),"✖ الفترة غير صحيحة",IF(ISNA(MATCH($G3688,Lists!$B$2:$B$7,0)),"✖ المجموعة غير صحيحة",IF(NOT(OR($H3688="",$N3688&gt;0)),"✖ Start غير صحيح",IF(NOT(OR($I3688="",$I3688="NR",$O3688&gt;0)),"✖ Current غير صحيح",IF(NOT(IF(ISNUMBER($J3688),AND($J3688&gt;=0,$J3688=INT($J3688)),FALSE())),"✖ العدد يجب أن يكون صحيحًا ≥ 0",IF(AND($F3688="Baseline",$H3688&lt;&gt;""),"⚠ Baseline: Start لا يدخل في التقدم",IF($K3688="No Start (attainment only)","ℹ تحصيل فقط (بدون Start)",IF($K3688="U – needs rule","ℹ حالة U تحتاج قاعدة معتمدة",IF($K3688="No result","ℹ بدون نتيجة (يُستبعد من التحصيل)","OK")))))))))))</f>
        <v/>
      </c>
      <c r="M3688" s="64" t="n">
        <f aca="false">IF($A3688="",0,IFERROR(MATCH($A3688,Classes!$A$6:$A$420,0),0))</f>
        <v>0</v>
      </c>
      <c r="N3688" s="64" t="n">
        <f aca="false">IF($H3688="",0,IFERROR(MATCH($H3688,GradeList,0),0))</f>
        <v>0</v>
      </c>
      <c r="O3688" s="64" t="n">
        <f aca="false">IF(OR($I3688="",$I3688="NR"),0,IFERROR(MATCH($I3688,GradeList,0),0))</f>
        <v>0</v>
      </c>
      <c r="P3688" s="64" t="n">
        <f aca="false">IF(AND($M3688&gt;0,ISNUMBER(MATCH($F3688,Lists!$A$2:$A$5,0)),ISNUMBER(MATCH($G3688,Lists!$B$2:$B$7,0)),OR($H3688="",$N3688&gt;0),OR($I3688="",$I3688="NR",$O3688&gt;0),IF(ISNUMBER($J3688),AND($J3688&gt;=0,$J3688=INT($J3688)),FALSE())),$J3688,0)</f>
        <v>0</v>
      </c>
      <c r="Q3688" s="64" t="n">
        <f aca="false">IF(AND($P3688&gt;0,$O3688&gt;0),$P3688,0)</f>
        <v>0</v>
      </c>
      <c r="R3688" s="64" t="n">
        <f aca="false">IF(AND($Q3688&gt;0,$O3688&gt;=AtRank),$Q3688,0)</f>
        <v>0</v>
      </c>
      <c r="S3688" s="64" t="n">
        <f aca="false">IF(AND($Q3688&gt;0,$O3688&gt;=AboveRank),$Q3688,0)</f>
        <v>0</v>
      </c>
      <c r="T3688" s="64" t="n">
        <f aca="false">IF($K3688="Less",$P3688,0)</f>
        <v>0</v>
      </c>
      <c r="U3688" s="64" t="n">
        <f aca="false">IF($K3688="Expected",$P3688,0)</f>
        <v>0</v>
      </c>
      <c r="V3688" s="64" t="n">
        <f aca="false">IF($K3688="Better",$P3688,0)</f>
        <v>0</v>
      </c>
      <c r="W3688" s="64" t="n">
        <f aca="false">IF($K3688="U – needs rule",$P3688,0)</f>
        <v>0</v>
      </c>
      <c r="X3688" s="64" t="n">
        <f aca="false">IF($K3688="No Start (attainment only)",$P3688,0)</f>
        <v>0</v>
      </c>
    </row>
    <row r="3689" customFormat="false" ht="15" hidden="false" customHeight="false" outlineLevel="0" collapsed="false">
      <c r="A3689" s="60"/>
      <c r="B3689" s="61" t="str">
        <f aca="false">IF($M3689=0,"",INDEX(Classes!$E$6:$E$420,$M3689))</f>
        <v/>
      </c>
      <c r="C3689" s="62" t="str">
        <f aca="false">IF($M3689=0,"",INDEX(Classes!$H$6:$H$420,$M3689))</f>
        <v/>
      </c>
      <c r="D3689" s="61" t="str">
        <f aca="false">IF($M3689=0,"",INDEX(Classes!$B$6:$B$420,$M3689))</f>
        <v/>
      </c>
      <c r="E3689" s="61" t="str">
        <f aca="false">IF($M3689=0,"",INDEX(Classes!$C$6:$C$420,$M3689))</f>
        <v/>
      </c>
      <c r="F3689" s="63"/>
      <c r="G3689" s="63"/>
      <c r="H3689" s="60"/>
      <c r="I3689" s="60"/>
      <c r="J3689" s="63"/>
      <c r="K3689" s="61" t="str">
        <f aca="false">IF($P3689=0,"",IF($F3689="Baseline","— Baseline",IF($O3689=0,"No result",IF($N3689=0,"No Start (attainment only)",IF(OR($N3689=1,$O3689=1),"U – needs rule",INDEX(MxBody,MATCH($I3689,MxCurr,0),MATCH($H3689,MxStart,0)))))))</f>
        <v/>
      </c>
      <c r="L3689" s="62" t="str">
        <f aca="false">IF(COUNTA($A3689,$F3689,$G3689,$H3689,$I3689,$J3689)=0,"",IF($M3689=0,"✖ كود الصف غير موجود",IF(ISNA(MATCH($F3689,Lists!$A$2:$A$5,0)),"✖ الفترة غير صحيحة",IF(ISNA(MATCH($G3689,Lists!$B$2:$B$7,0)),"✖ المجموعة غير صحيحة",IF(NOT(OR($H3689="",$N3689&gt;0)),"✖ Start غير صحيح",IF(NOT(OR($I3689="",$I3689="NR",$O3689&gt;0)),"✖ Current غير صحيح",IF(NOT(IF(ISNUMBER($J3689),AND($J3689&gt;=0,$J3689=INT($J3689)),FALSE())),"✖ العدد يجب أن يكون صحيحًا ≥ 0",IF(AND($F3689="Baseline",$H3689&lt;&gt;""),"⚠ Baseline: Start لا يدخل في التقدم",IF($K3689="No Start (attainment only)","ℹ تحصيل فقط (بدون Start)",IF($K3689="U – needs rule","ℹ حالة U تحتاج قاعدة معتمدة",IF($K3689="No result","ℹ بدون نتيجة (يُستبعد من التحصيل)","OK")))))))))))</f>
        <v/>
      </c>
      <c r="M3689" s="64" t="n">
        <f aca="false">IF($A3689="",0,IFERROR(MATCH($A3689,Classes!$A$6:$A$420,0),0))</f>
        <v>0</v>
      </c>
      <c r="N3689" s="64" t="n">
        <f aca="false">IF($H3689="",0,IFERROR(MATCH($H3689,GradeList,0),0))</f>
        <v>0</v>
      </c>
      <c r="O3689" s="64" t="n">
        <f aca="false">IF(OR($I3689="",$I3689="NR"),0,IFERROR(MATCH($I3689,GradeList,0),0))</f>
        <v>0</v>
      </c>
      <c r="P3689" s="64" t="n">
        <f aca="false">IF(AND($M3689&gt;0,ISNUMBER(MATCH($F3689,Lists!$A$2:$A$5,0)),ISNUMBER(MATCH($G3689,Lists!$B$2:$B$7,0)),OR($H3689="",$N3689&gt;0),OR($I3689="",$I3689="NR",$O3689&gt;0),IF(ISNUMBER($J3689),AND($J3689&gt;=0,$J3689=INT($J3689)),FALSE())),$J3689,0)</f>
        <v>0</v>
      </c>
      <c r="Q3689" s="64" t="n">
        <f aca="false">IF(AND($P3689&gt;0,$O3689&gt;0),$P3689,0)</f>
        <v>0</v>
      </c>
      <c r="R3689" s="64" t="n">
        <f aca="false">IF(AND($Q3689&gt;0,$O3689&gt;=AtRank),$Q3689,0)</f>
        <v>0</v>
      </c>
      <c r="S3689" s="64" t="n">
        <f aca="false">IF(AND($Q3689&gt;0,$O3689&gt;=AboveRank),$Q3689,0)</f>
        <v>0</v>
      </c>
      <c r="T3689" s="64" t="n">
        <f aca="false">IF($K3689="Less",$P3689,0)</f>
        <v>0</v>
      </c>
      <c r="U3689" s="64" t="n">
        <f aca="false">IF($K3689="Expected",$P3689,0)</f>
        <v>0</v>
      </c>
      <c r="V3689" s="64" t="n">
        <f aca="false">IF($K3689="Better",$P3689,0)</f>
        <v>0</v>
      </c>
      <c r="W3689" s="64" t="n">
        <f aca="false">IF($K3689="U – needs rule",$P3689,0)</f>
        <v>0</v>
      </c>
      <c r="X3689" s="64" t="n">
        <f aca="false">IF($K3689="No Start (attainment only)",$P3689,0)</f>
        <v>0</v>
      </c>
    </row>
    <row r="3690" customFormat="false" ht="15" hidden="false" customHeight="false" outlineLevel="0" collapsed="false">
      <c r="A3690" s="60"/>
      <c r="B3690" s="61" t="str">
        <f aca="false">IF($M3690=0,"",INDEX(Classes!$E$6:$E$420,$M3690))</f>
        <v/>
      </c>
      <c r="C3690" s="62" t="str">
        <f aca="false">IF($M3690=0,"",INDEX(Classes!$H$6:$H$420,$M3690))</f>
        <v/>
      </c>
      <c r="D3690" s="61" t="str">
        <f aca="false">IF($M3690=0,"",INDEX(Classes!$B$6:$B$420,$M3690))</f>
        <v/>
      </c>
      <c r="E3690" s="61" t="str">
        <f aca="false">IF($M3690=0,"",INDEX(Classes!$C$6:$C$420,$M3690))</f>
        <v/>
      </c>
      <c r="F3690" s="63"/>
      <c r="G3690" s="63"/>
      <c r="H3690" s="60"/>
      <c r="I3690" s="60"/>
      <c r="J3690" s="63"/>
      <c r="K3690" s="61" t="str">
        <f aca="false">IF($P3690=0,"",IF($F3690="Baseline","— Baseline",IF($O3690=0,"No result",IF($N3690=0,"No Start (attainment only)",IF(OR($N3690=1,$O3690=1),"U – needs rule",INDEX(MxBody,MATCH($I3690,MxCurr,0),MATCH($H3690,MxStart,0)))))))</f>
        <v/>
      </c>
      <c r="L3690" s="62" t="str">
        <f aca="false">IF(COUNTA($A3690,$F3690,$G3690,$H3690,$I3690,$J3690)=0,"",IF($M3690=0,"✖ كود الصف غير موجود",IF(ISNA(MATCH($F3690,Lists!$A$2:$A$5,0)),"✖ الفترة غير صحيحة",IF(ISNA(MATCH($G3690,Lists!$B$2:$B$7,0)),"✖ المجموعة غير صحيحة",IF(NOT(OR($H3690="",$N3690&gt;0)),"✖ Start غير صحيح",IF(NOT(OR($I3690="",$I3690="NR",$O3690&gt;0)),"✖ Current غير صحيح",IF(NOT(IF(ISNUMBER($J3690),AND($J3690&gt;=0,$J3690=INT($J3690)),FALSE())),"✖ العدد يجب أن يكون صحيحًا ≥ 0",IF(AND($F3690="Baseline",$H3690&lt;&gt;""),"⚠ Baseline: Start لا يدخل في التقدم",IF($K3690="No Start (attainment only)","ℹ تحصيل فقط (بدون Start)",IF($K3690="U – needs rule","ℹ حالة U تحتاج قاعدة معتمدة",IF($K3690="No result","ℹ بدون نتيجة (يُستبعد من التحصيل)","OK")))))))))))</f>
        <v/>
      </c>
      <c r="M3690" s="64" t="n">
        <f aca="false">IF($A3690="",0,IFERROR(MATCH($A3690,Classes!$A$6:$A$420,0),0))</f>
        <v>0</v>
      </c>
      <c r="N3690" s="64" t="n">
        <f aca="false">IF($H3690="",0,IFERROR(MATCH($H3690,GradeList,0),0))</f>
        <v>0</v>
      </c>
      <c r="O3690" s="64" t="n">
        <f aca="false">IF(OR($I3690="",$I3690="NR"),0,IFERROR(MATCH($I3690,GradeList,0),0))</f>
        <v>0</v>
      </c>
      <c r="P3690" s="64" t="n">
        <f aca="false">IF(AND($M3690&gt;0,ISNUMBER(MATCH($F3690,Lists!$A$2:$A$5,0)),ISNUMBER(MATCH($G3690,Lists!$B$2:$B$7,0)),OR($H3690="",$N3690&gt;0),OR($I3690="",$I3690="NR",$O3690&gt;0),IF(ISNUMBER($J3690),AND($J3690&gt;=0,$J3690=INT($J3690)),FALSE())),$J3690,0)</f>
        <v>0</v>
      </c>
      <c r="Q3690" s="64" t="n">
        <f aca="false">IF(AND($P3690&gt;0,$O3690&gt;0),$P3690,0)</f>
        <v>0</v>
      </c>
      <c r="R3690" s="64" t="n">
        <f aca="false">IF(AND($Q3690&gt;0,$O3690&gt;=AtRank),$Q3690,0)</f>
        <v>0</v>
      </c>
      <c r="S3690" s="64" t="n">
        <f aca="false">IF(AND($Q3690&gt;0,$O3690&gt;=AboveRank),$Q3690,0)</f>
        <v>0</v>
      </c>
      <c r="T3690" s="64" t="n">
        <f aca="false">IF($K3690="Less",$P3690,0)</f>
        <v>0</v>
      </c>
      <c r="U3690" s="64" t="n">
        <f aca="false">IF($K3690="Expected",$P3690,0)</f>
        <v>0</v>
      </c>
      <c r="V3690" s="64" t="n">
        <f aca="false">IF($K3690="Better",$P3690,0)</f>
        <v>0</v>
      </c>
      <c r="W3690" s="64" t="n">
        <f aca="false">IF($K3690="U – needs rule",$P3690,0)</f>
        <v>0</v>
      </c>
      <c r="X3690" s="64" t="n">
        <f aca="false">IF($K3690="No Start (attainment only)",$P3690,0)</f>
        <v>0</v>
      </c>
    </row>
    <row r="3691" customFormat="false" ht="15" hidden="false" customHeight="false" outlineLevel="0" collapsed="false">
      <c r="A3691" s="60"/>
      <c r="B3691" s="61" t="str">
        <f aca="false">IF($M3691=0,"",INDEX(Classes!$E$6:$E$420,$M3691))</f>
        <v/>
      </c>
      <c r="C3691" s="62" t="str">
        <f aca="false">IF($M3691=0,"",INDEX(Classes!$H$6:$H$420,$M3691))</f>
        <v/>
      </c>
      <c r="D3691" s="61" t="str">
        <f aca="false">IF($M3691=0,"",INDEX(Classes!$B$6:$B$420,$M3691))</f>
        <v/>
      </c>
      <c r="E3691" s="61" t="str">
        <f aca="false">IF($M3691=0,"",INDEX(Classes!$C$6:$C$420,$M3691))</f>
        <v/>
      </c>
      <c r="F3691" s="63"/>
      <c r="G3691" s="63"/>
      <c r="H3691" s="60"/>
      <c r="I3691" s="60"/>
      <c r="J3691" s="63"/>
      <c r="K3691" s="61" t="str">
        <f aca="false">IF($P3691=0,"",IF($F3691="Baseline","— Baseline",IF($O3691=0,"No result",IF($N3691=0,"No Start (attainment only)",IF(OR($N3691=1,$O3691=1),"U – needs rule",INDEX(MxBody,MATCH($I3691,MxCurr,0),MATCH($H3691,MxStart,0)))))))</f>
        <v/>
      </c>
      <c r="L3691" s="62" t="str">
        <f aca="false">IF(COUNTA($A3691,$F3691,$G3691,$H3691,$I3691,$J3691)=0,"",IF($M3691=0,"✖ كود الصف غير موجود",IF(ISNA(MATCH($F3691,Lists!$A$2:$A$5,0)),"✖ الفترة غير صحيحة",IF(ISNA(MATCH($G3691,Lists!$B$2:$B$7,0)),"✖ المجموعة غير صحيحة",IF(NOT(OR($H3691="",$N3691&gt;0)),"✖ Start غير صحيح",IF(NOT(OR($I3691="",$I3691="NR",$O3691&gt;0)),"✖ Current غير صحيح",IF(NOT(IF(ISNUMBER($J3691),AND($J3691&gt;=0,$J3691=INT($J3691)),FALSE())),"✖ العدد يجب أن يكون صحيحًا ≥ 0",IF(AND($F3691="Baseline",$H3691&lt;&gt;""),"⚠ Baseline: Start لا يدخل في التقدم",IF($K3691="No Start (attainment only)","ℹ تحصيل فقط (بدون Start)",IF($K3691="U – needs rule","ℹ حالة U تحتاج قاعدة معتمدة",IF($K3691="No result","ℹ بدون نتيجة (يُستبعد من التحصيل)","OK")))))))))))</f>
        <v/>
      </c>
      <c r="M3691" s="64" t="n">
        <f aca="false">IF($A3691="",0,IFERROR(MATCH($A3691,Classes!$A$6:$A$420,0),0))</f>
        <v>0</v>
      </c>
      <c r="N3691" s="64" t="n">
        <f aca="false">IF($H3691="",0,IFERROR(MATCH($H3691,GradeList,0),0))</f>
        <v>0</v>
      </c>
      <c r="O3691" s="64" t="n">
        <f aca="false">IF(OR($I3691="",$I3691="NR"),0,IFERROR(MATCH($I3691,GradeList,0),0))</f>
        <v>0</v>
      </c>
      <c r="P3691" s="64" t="n">
        <f aca="false">IF(AND($M3691&gt;0,ISNUMBER(MATCH($F3691,Lists!$A$2:$A$5,0)),ISNUMBER(MATCH($G3691,Lists!$B$2:$B$7,0)),OR($H3691="",$N3691&gt;0),OR($I3691="",$I3691="NR",$O3691&gt;0),IF(ISNUMBER($J3691),AND($J3691&gt;=0,$J3691=INT($J3691)),FALSE())),$J3691,0)</f>
        <v>0</v>
      </c>
      <c r="Q3691" s="64" t="n">
        <f aca="false">IF(AND($P3691&gt;0,$O3691&gt;0),$P3691,0)</f>
        <v>0</v>
      </c>
      <c r="R3691" s="64" t="n">
        <f aca="false">IF(AND($Q3691&gt;0,$O3691&gt;=AtRank),$Q3691,0)</f>
        <v>0</v>
      </c>
      <c r="S3691" s="64" t="n">
        <f aca="false">IF(AND($Q3691&gt;0,$O3691&gt;=AboveRank),$Q3691,0)</f>
        <v>0</v>
      </c>
      <c r="T3691" s="64" t="n">
        <f aca="false">IF($K3691="Less",$P3691,0)</f>
        <v>0</v>
      </c>
      <c r="U3691" s="64" t="n">
        <f aca="false">IF($K3691="Expected",$P3691,0)</f>
        <v>0</v>
      </c>
      <c r="V3691" s="64" t="n">
        <f aca="false">IF($K3691="Better",$P3691,0)</f>
        <v>0</v>
      </c>
      <c r="W3691" s="64" t="n">
        <f aca="false">IF($K3691="U – needs rule",$P3691,0)</f>
        <v>0</v>
      </c>
      <c r="X3691" s="64" t="n">
        <f aca="false">IF($K3691="No Start (attainment only)",$P3691,0)</f>
        <v>0</v>
      </c>
    </row>
    <row r="3692" customFormat="false" ht="15" hidden="false" customHeight="false" outlineLevel="0" collapsed="false">
      <c r="A3692" s="60"/>
      <c r="B3692" s="61" t="str">
        <f aca="false">IF($M3692=0,"",INDEX(Classes!$E$6:$E$420,$M3692))</f>
        <v/>
      </c>
      <c r="C3692" s="62" t="str">
        <f aca="false">IF($M3692=0,"",INDEX(Classes!$H$6:$H$420,$M3692))</f>
        <v/>
      </c>
      <c r="D3692" s="61" t="str">
        <f aca="false">IF($M3692=0,"",INDEX(Classes!$B$6:$B$420,$M3692))</f>
        <v/>
      </c>
      <c r="E3692" s="61" t="str">
        <f aca="false">IF($M3692=0,"",INDEX(Classes!$C$6:$C$420,$M3692))</f>
        <v/>
      </c>
      <c r="F3692" s="63"/>
      <c r="G3692" s="63"/>
      <c r="H3692" s="60"/>
      <c r="I3692" s="60"/>
      <c r="J3692" s="63"/>
      <c r="K3692" s="61" t="str">
        <f aca="false">IF($P3692=0,"",IF($F3692="Baseline","— Baseline",IF($O3692=0,"No result",IF($N3692=0,"No Start (attainment only)",IF(OR($N3692=1,$O3692=1),"U – needs rule",INDEX(MxBody,MATCH($I3692,MxCurr,0),MATCH($H3692,MxStart,0)))))))</f>
        <v/>
      </c>
      <c r="L3692" s="62" t="str">
        <f aca="false">IF(COUNTA($A3692,$F3692,$G3692,$H3692,$I3692,$J3692)=0,"",IF($M3692=0,"✖ كود الصف غير موجود",IF(ISNA(MATCH($F3692,Lists!$A$2:$A$5,0)),"✖ الفترة غير صحيحة",IF(ISNA(MATCH($G3692,Lists!$B$2:$B$7,0)),"✖ المجموعة غير صحيحة",IF(NOT(OR($H3692="",$N3692&gt;0)),"✖ Start غير صحيح",IF(NOT(OR($I3692="",$I3692="NR",$O3692&gt;0)),"✖ Current غير صحيح",IF(NOT(IF(ISNUMBER($J3692),AND($J3692&gt;=0,$J3692=INT($J3692)),FALSE())),"✖ العدد يجب أن يكون صحيحًا ≥ 0",IF(AND($F3692="Baseline",$H3692&lt;&gt;""),"⚠ Baseline: Start لا يدخل في التقدم",IF($K3692="No Start (attainment only)","ℹ تحصيل فقط (بدون Start)",IF($K3692="U – needs rule","ℹ حالة U تحتاج قاعدة معتمدة",IF($K3692="No result","ℹ بدون نتيجة (يُستبعد من التحصيل)","OK")))))))))))</f>
        <v/>
      </c>
      <c r="M3692" s="64" t="n">
        <f aca="false">IF($A3692="",0,IFERROR(MATCH($A3692,Classes!$A$6:$A$420,0),0))</f>
        <v>0</v>
      </c>
      <c r="N3692" s="64" t="n">
        <f aca="false">IF($H3692="",0,IFERROR(MATCH($H3692,GradeList,0),0))</f>
        <v>0</v>
      </c>
      <c r="O3692" s="64" t="n">
        <f aca="false">IF(OR($I3692="",$I3692="NR"),0,IFERROR(MATCH($I3692,GradeList,0),0))</f>
        <v>0</v>
      </c>
      <c r="P3692" s="64" t="n">
        <f aca="false">IF(AND($M3692&gt;0,ISNUMBER(MATCH($F3692,Lists!$A$2:$A$5,0)),ISNUMBER(MATCH($G3692,Lists!$B$2:$B$7,0)),OR($H3692="",$N3692&gt;0),OR($I3692="",$I3692="NR",$O3692&gt;0),IF(ISNUMBER($J3692),AND($J3692&gt;=0,$J3692=INT($J3692)),FALSE())),$J3692,0)</f>
        <v>0</v>
      </c>
      <c r="Q3692" s="64" t="n">
        <f aca="false">IF(AND($P3692&gt;0,$O3692&gt;0),$P3692,0)</f>
        <v>0</v>
      </c>
      <c r="R3692" s="64" t="n">
        <f aca="false">IF(AND($Q3692&gt;0,$O3692&gt;=AtRank),$Q3692,0)</f>
        <v>0</v>
      </c>
      <c r="S3692" s="64" t="n">
        <f aca="false">IF(AND($Q3692&gt;0,$O3692&gt;=AboveRank),$Q3692,0)</f>
        <v>0</v>
      </c>
      <c r="T3692" s="64" t="n">
        <f aca="false">IF($K3692="Less",$P3692,0)</f>
        <v>0</v>
      </c>
      <c r="U3692" s="64" t="n">
        <f aca="false">IF($K3692="Expected",$P3692,0)</f>
        <v>0</v>
      </c>
      <c r="V3692" s="64" t="n">
        <f aca="false">IF($K3692="Better",$P3692,0)</f>
        <v>0</v>
      </c>
      <c r="W3692" s="64" t="n">
        <f aca="false">IF($K3692="U – needs rule",$P3692,0)</f>
        <v>0</v>
      </c>
      <c r="X3692" s="64" t="n">
        <f aca="false">IF($K3692="No Start (attainment only)",$P3692,0)</f>
        <v>0</v>
      </c>
    </row>
    <row r="3693" customFormat="false" ht="15" hidden="false" customHeight="false" outlineLevel="0" collapsed="false">
      <c r="A3693" s="60"/>
      <c r="B3693" s="61" t="str">
        <f aca="false">IF($M3693=0,"",INDEX(Classes!$E$6:$E$420,$M3693))</f>
        <v/>
      </c>
      <c r="C3693" s="62" t="str">
        <f aca="false">IF($M3693=0,"",INDEX(Classes!$H$6:$H$420,$M3693))</f>
        <v/>
      </c>
      <c r="D3693" s="61" t="str">
        <f aca="false">IF($M3693=0,"",INDEX(Classes!$B$6:$B$420,$M3693))</f>
        <v/>
      </c>
      <c r="E3693" s="61" t="str">
        <f aca="false">IF($M3693=0,"",INDEX(Classes!$C$6:$C$420,$M3693))</f>
        <v/>
      </c>
      <c r="F3693" s="63"/>
      <c r="G3693" s="63"/>
      <c r="H3693" s="60"/>
      <c r="I3693" s="60"/>
      <c r="J3693" s="63"/>
      <c r="K3693" s="61" t="str">
        <f aca="false">IF($P3693=0,"",IF($F3693="Baseline","— Baseline",IF($O3693=0,"No result",IF($N3693=0,"No Start (attainment only)",IF(OR($N3693=1,$O3693=1),"U – needs rule",INDEX(MxBody,MATCH($I3693,MxCurr,0),MATCH($H3693,MxStart,0)))))))</f>
        <v/>
      </c>
      <c r="L3693" s="62" t="str">
        <f aca="false">IF(COUNTA($A3693,$F3693,$G3693,$H3693,$I3693,$J3693)=0,"",IF($M3693=0,"✖ كود الصف غير موجود",IF(ISNA(MATCH($F3693,Lists!$A$2:$A$5,0)),"✖ الفترة غير صحيحة",IF(ISNA(MATCH($G3693,Lists!$B$2:$B$7,0)),"✖ المجموعة غير صحيحة",IF(NOT(OR($H3693="",$N3693&gt;0)),"✖ Start غير صحيح",IF(NOT(OR($I3693="",$I3693="NR",$O3693&gt;0)),"✖ Current غير صحيح",IF(NOT(IF(ISNUMBER($J3693),AND($J3693&gt;=0,$J3693=INT($J3693)),FALSE())),"✖ العدد يجب أن يكون صحيحًا ≥ 0",IF(AND($F3693="Baseline",$H3693&lt;&gt;""),"⚠ Baseline: Start لا يدخل في التقدم",IF($K3693="No Start (attainment only)","ℹ تحصيل فقط (بدون Start)",IF($K3693="U – needs rule","ℹ حالة U تحتاج قاعدة معتمدة",IF($K3693="No result","ℹ بدون نتيجة (يُستبعد من التحصيل)","OK")))))))))))</f>
        <v/>
      </c>
      <c r="M3693" s="64" t="n">
        <f aca="false">IF($A3693="",0,IFERROR(MATCH($A3693,Classes!$A$6:$A$420,0),0))</f>
        <v>0</v>
      </c>
      <c r="N3693" s="64" t="n">
        <f aca="false">IF($H3693="",0,IFERROR(MATCH($H3693,GradeList,0),0))</f>
        <v>0</v>
      </c>
      <c r="O3693" s="64" t="n">
        <f aca="false">IF(OR($I3693="",$I3693="NR"),0,IFERROR(MATCH($I3693,GradeList,0),0))</f>
        <v>0</v>
      </c>
      <c r="P3693" s="64" t="n">
        <f aca="false">IF(AND($M3693&gt;0,ISNUMBER(MATCH($F3693,Lists!$A$2:$A$5,0)),ISNUMBER(MATCH($G3693,Lists!$B$2:$B$7,0)),OR($H3693="",$N3693&gt;0),OR($I3693="",$I3693="NR",$O3693&gt;0),IF(ISNUMBER($J3693),AND($J3693&gt;=0,$J3693=INT($J3693)),FALSE())),$J3693,0)</f>
        <v>0</v>
      </c>
      <c r="Q3693" s="64" t="n">
        <f aca="false">IF(AND($P3693&gt;0,$O3693&gt;0),$P3693,0)</f>
        <v>0</v>
      </c>
      <c r="R3693" s="64" t="n">
        <f aca="false">IF(AND($Q3693&gt;0,$O3693&gt;=AtRank),$Q3693,0)</f>
        <v>0</v>
      </c>
      <c r="S3693" s="64" t="n">
        <f aca="false">IF(AND($Q3693&gt;0,$O3693&gt;=AboveRank),$Q3693,0)</f>
        <v>0</v>
      </c>
      <c r="T3693" s="64" t="n">
        <f aca="false">IF($K3693="Less",$P3693,0)</f>
        <v>0</v>
      </c>
      <c r="U3693" s="64" t="n">
        <f aca="false">IF($K3693="Expected",$P3693,0)</f>
        <v>0</v>
      </c>
      <c r="V3693" s="64" t="n">
        <f aca="false">IF($K3693="Better",$P3693,0)</f>
        <v>0</v>
      </c>
      <c r="W3693" s="64" t="n">
        <f aca="false">IF($K3693="U – needs rule",$P3693,0)</f>
        <v>0</v>
      </c>
      <c r="X3693" s="64" t="n">
        <f aca="false">IF($K3693="No Start (attainment only)",$P3693,0)</f>
        <v>0</v>
      </c>
    </row>
    <row r="3694" customFormat="false" ht="15" hidden="false" customHeight="false" outlineLevel="0" collapsed="false">
      <c r="A3694" s="60"/>
      <c r="B3694" s="61" t="str">
        <f aca="false">IF($M3694=0,"",INDEX(Classes!$E$6:$E$420,$M3694))</f>
        <v/>
      </c>
      <c r="C3694" s="62" t="str">
        <f aca="false">IF($M3694=0,"",INDEX(Classes!$H$6:$H$420,$M3694))</f>
        <v/>
      </c>
      <c r="D3694" s="61" t="str">
        <f aca="false">IF($M3694=0,"",INDEX(Classes!$B$6:$B$420,$M3694))</f>
        <v/>
      </c>
      <c r="E3694" s="61" t="str">
        <f aca="false">IF($M3694=0,"",INDEX(Classes!$C$6:$C$420,$M3694))</f>
        <v/>
      </c>
      <c r="F3694" s="63"/>
      <c r="G3694" s="63"/>
      <c r="H3694" s="60"/>
      <c r="I3694" s="60"/>
      <c r="J3694" s="63"/>
      <c r="K3694" s="61" t="str">
        <f aca="false">IF($P3694=0,"",IF($F3694="Baseline","— Baseline",IF($O3694=0,"No result",IF($N3694=0,"No Start (attainment only)",IF(OR($N3694=1,$O3694=1),"U – needs rule",INDEX(MxBody,MATCH($I3694,MxCurr,0),MATCH($H3694,MxStart,0)))))))</f>
        <v/>
      </c>
      <c r="L3694" s="62" t="str">
        <f aca="false">IF(COUNTA($A3694,$F3694,$G3694,$H3694,$I3694,$J3694)=0,"",IF($M3694=0,"✖ كود الصف غير موجود",IF(ISNA(MATCH($F3694,Lists!$A$2:$A$5,0)),"✖ الفترة غير صحيحة",IF(ISNA(MATCH($G3694,Lists!$B$2:$B$7,0)),"✖ المجموعة غير صحيحة",IF(NOT(OR($H3694="",$N3694&gt;0)),"✖ Start غير صحيح",IF(NOT(OR($I3694="",$I3694="NR",$O3694&gt;0)),"✖ Current غير صحيح",IF(NOT(IF(ISNUMBER($J3694),AND($J3694&gt;=0,$J3694=INT($J3694)),FALSE())),"✖ العدد يجب أن يكون صحيحًا ≥ 0",IF(AND($F3694="Baseline",$H3694&lt;&gt;""),"⚠ Baseline: Start لا يدخل في التقدم",IF($K3694="No Start (attainment only)","ℹ تحصيل فقط (بدون Start)",IF($K3694="U – needs rule","ℹ حالة U تحتاج قاعدة معتمدة",IF($K3694="No result","ℹ بدون نتيجة (يُستبعد من التحصيل)","OK")))))))))))</f>
        <v/>
      </c>
      <c r="M3694" s="64" t="n">
        <f aca="false">IF($A3694="",0,IFERROR(MATCH($A3694,Classes!$A$6:$A$420,0),0))</f>
        <v>0</v>
      </c>
      <c r="N3694" s="64" t="n">
        <f aca="false">IF($H3694="",0,IFERROR(MATCH($H3694,GradeList,0),0))</f>
        <v>0</v>
      </c>
      <c r="O3694" s="64" t="n">
        <f aca="false">IF(OR($I3694="",$I3694="NR"),0,IFERROR(MATCH($I3694,GradeList,0),0))</f>
        <v>0</v>
      </c>
      <c r="P3694" s="64" t="n">
        <f aca="false">IF(AND($M3694&gt;0,ISNUMBER(MATCH($F3694,Lists!$A$2:$A$5,0)),ISNUMBER(MATCH($G3694,Lists!$B$2:$B$7,0)),OR($H3694="",$N3694&gt;0),OR($I3694="",$I3694="NR",$O3694&gt;0),IF(ISNUMBER($J3694),AND($J3694&gt;=0,$J3694=INT($J3694)),FALSE())),$J3694,0)</f>
        <v>0</v>
      </c>
      <c r="Q3694" s="64" t="n">
        <f aca="false">IF(AND($P3694&gt;0,$O3694&gt;0),$P3694,0)</f>
        <v>0</v>
      </c>
      <c r="R3694" s="64" t="n">
        <f aca="false">IF(AND($Q3694&gt;0,$O3694&gt;=AtRank),$Q3694,0)</f>
        <v>0</v>
      </c>
      <c r="S3694" s="64" t="n">
        <f aca="false">IF(AND($Q3694&gt;0,$O3694&gt;=AboveRank),$Q3694,0)</f>
        <v>0</v>
      </c>
      <c r="T3694" s="64" t="n">
        <f aca="false">IF($K3694="Less",$P3694,0)</f>
        <v>0</v>
      </c>
      <c r="U3694" s="64" t="n">
        <f aca="false">IF($K3694="Expected",$P3694,0)</f>
        <v>0</v>
      </c>
      <c r="V3694" s="64" t="n">
        <f aca="false">IF($K3694="Better",$P3694,0)</f>
        <v>0</v>
      </c>
      <c r="W3694" s="64" t="n">
        <f aca="false">IF($K3694="U – needs rule",$P3694,0)</f>
        <v>0</v>
      </c>
      <c r="X3694" s="64" t="n">
        <f aca="false">IF($K3694="No Start (attainment only)",$P3694,0)</f>
        <v>0</v>
      </c>
    </row>
    <row r="3695" customFormat="false" ht="15" hidden="false" customHeight="false" outlineLevel="0" collapsed="false">
      <c r="A3695" s="60"/>
      <c r="B3695" s="61" t="str">
        <f aca="false">IF($M3695=0,"",INDEX(Classes!$E$6:$E$420,$M3695))</f>
        <v/>
      </c>
      <c r="C3695" s="62" t="str">
        <f aca="false">IF($M3695=0,"",INDEX(Classes!$H$6:$H$420,$M3695))</f>
        <v/>
      </c>
      <c r="D3695" s="61" t="str">
        <f aca="false">IF($M3695=0,"",INDEX(Classes!$B$6:$B$420,$M3695))</f>
        <v/>
      </c>
      <c r="E3695" s="61" t="str">
        <f aca="false">IF($M3695=0,"",INDEX(Classes!$C$6:$C$420,$M3695))</f>
        <v/>
      </c>
      <c r="F3695" s="63"/>
      <c r="G3695" s="63"/>
      <c r="H3695" s="60"/>
      <c r="I3695" s="60"/>
      <c r="J3695" s="63"/>
      <c r="K3695" s="61" t="str">
        <f aca="false">IF($P3695=0,"",IF($F3695="Baseline","— Baseline",IF($O3695=0,"No result",IF($N3695=0,"No Start (attainment only)",IF(OR($N3695=1,$O3695=1),"U – needs rule",INDEX(MxBody,MATCH($I3695,MxCurr,0),MATCH($H3695,MxStart,0)))))))</f>
        <v/>
      </c>
      <c r="L3695" s="62" t="str">
        <f aca="false">IF(COUNTA($A3695,$F3695,$G3695,$H3695,$I3695,$J3695)=0,"",IF($M3695=0,"✖ كود الصف غير موجود",IF(ISNA(MATCH($F3695,Lists!$A$2:$A$5,0)),"✖ الفترة غير صحيحة",IF(ISNA(MATCH($G3695,Lists!$B$2:$B$7,0)),"✖ المجموعة غير صحيحة",IF(NOT(OR($H3695="",$N3695&gt;0)),"✖ Start غير صحيح",IF(NOT(OR($I3695="",$I3695="NR",$O3695&gt;0)),"✖ Current غير صحيح",IF(NOT(IF(ISNUMBER($J3695),AND($J3695&gt;=0,$J3695=INT($J3695)),FALSE())),"✖ العدد يجب أن يكون صحيحًا ≥ 0",IF(AND($F3695="Baseline",$H3695&lt;&gt;""),"⚠ Baseline: Start لا يدخل في التقدم",IF($K3695="No Start (attainment only)","ℹ تحصيل فقط (بدون Start)",IF($K3695="U – needs rule","ℹ حالة U تحتاج قاعدة معتمدة",IF($K3695="No result","ℹ بدون نتيجة (يُستبعد من التحصيل)","OK")))))))))))</f>
        <v/>
      </c>
      <c r="M3695" s="64" t="n">
        <f aca="false">IF($A3695="",0,IFERROR(MATCH($A3695,Classes!$A$6:$A$420,0),0))</f>
        <v>0</v>
      </c>
      <c r="N3695" s="64" t="n">
        <f aca="false">IF($H3695="",0,IFERROR(MATCH($H3695,GradeList,0),0))</f>
        <v>0</v>
      </c>
      <c r="O3695" s="64" t="n">
        <f aca="false">IF(OR($I3695="",$I3695="NR"),0,IFERROR(MATCH($I3695,GradeList,0),0))</f>
        <v>0</v>
      </c>
      <c r="P3695" s="64" t="n">
        <f aca="false">IF(AND($M3695&gt;0,ISNUMBER(MATCH($F3695,Lists!$A$2:$A$5,0)),ISNUMBER(MATCH($G3695,Lists!$B$2:$B$7,0)),OR($H3695="",$N3695&gt;0),OR($I3695="",$I3695="NR",$O3695&gt;0),IF(ISNUMBER($J3695),AND($J3695&gt;=0,$J3695=INT($J3695)),FALSE())),$J3695,0)</f>
        <v>0</v>
      </c>
      <c r="Q3695" s="64" t="n">
        <f aca="false">IF(AND($P3695&gt;0,$O3695&gt;0),$P3695,0)</f>
        <v>0</v>
      </c>
      <c r="R3695" s="64" t="n">
        <f aca="false">IF(AND($Q3695&gt;0,$O3695&gt;=AtRank),$Q3695,0)</f>
        <v>0</v>
      </c>
      <c r="S3695" s="64" t="n">
        <f aca="false">IF(AND($Q3695&gt;0,$O3695&gt;=AboveRank),$Q3695,0)</f>
        <v>0</v>
      </c>
      <c r="T3695" s="64" t="n">
        <f aca="false">IF($K3695="Less",$P3695,0)</f>
        <v>0</v>
      </c>
      <c r="U3695" s="64" t="n">
        <f aca="false">IF($K3695="Expected",$P3695,0)</f>
        <v>0</v>
      </c>
      <c r="V3695" s="64" t="n">
        <f aca="false">IF($K3695="Better",$P3695,0)</f>
        <v>0</v>
      </c>
      <c r="W3695" s="64" t="n">
        <f aca="false">IF($K3695="U – needs rule",$P3695,0)</f>
        <v>0</v>
      </c>
      <c r="X3695" s="64" t="n">
        <f aca="false">IF($K3695="No Start (attainment only)",$P3695,0)</f>
        <v>0</v>
      </c>
    </row>
    <row r="3696" customFormat="false" ht="15" hidden="false" customHeight="false" outlineLevel="0" collapsed="false">
      <c r="A3696" s="60"/>
      <c r="B3696" s="61" t="str">
        <f aca="false">IF($M3696=0,"",INDEX(Classes!$E$6:$E$420,$M3696))</f>
        <v/>
      </c>
      <c r="C3696" s="62" t="str">
        <f aca="false">IF($M3696=0,"",INDEX(Classes!$H$6:$H$420,$M3696))</f>
        <v/>
      </c>
      <c r="D3696" s="61" t="str">
        <f aca="false">IF($M3696=0,"",INDEX(Classes!$B$6:$B$420,$M3696))</f>
        <v/>
      </c>
      <c r="E3696" s="61" t="str">
        <f aca="false">IF($M3696=0,"",INDEX(Classes!$C$6:$C$420,$M3696))</f>
        <v/>
      </c>
      <c r="F3696" s="63"/>
      <c r="G3696" s="63"/>
      <c r="H3696" s="60"/>
      <c r="I3696" s="60"/>
      <c r="J3696" s="63"/>
      <c r="K3696" s="61" t="str">
        <f aca="false">IF($P3696=0,"",IF($F3696="Baseline","— Baseline",IF($O3696=0,"No result",IF($N3696=0,"No Start (attainment only)",IF(OR($N3696=1,$O3696=1),"U – needs rule",INDEX(MxBody,MATCH($I3696,MxCurr,0),MATCH($H3696,MxStart,0)))))))</f>
        <v/>
      </c>
      <c r="L3696" s="62" t="str">
        <f aca="false">IF(COUNTA($A3696,$F3696,$G3696,$H3696,$I3696,$J3696)=0,"",IF($M3696=0,"✖ كود الصف غير موجود",IF(ISNA(MATCH($F3696,Lists!$A$2:$A$5,0)),"✖ الفترة غير صحيحة",IF(ISNA(MATCH($G3696,Lists!$B$2:$B$7,0)),"✖ المجموعة غير صحيحة",IF(NOT(OR($H3696="",$N3696&gt;0)),"✖ Start غير صحيح",IF(NOT(OR($I3696="",$I3696="NR",$O3696&gt;0)),"✖ Current غير صحيح",IF(NOT(IF(ISNUMBER($J3696),AND($J3696&gt;=0,$J3696=INT($J3696)),FALSE())),"✖ العدد يجب أن يكون صحيحًا ≥ 0",IF(AND($F3696="Baseline",$H3696&lt;&gt;""),"⚠ Baseline: Start لا يدخل في التقدم",IF($K3696="No Start (attainment only)","ℹ تحصيل فقط (بدون Start)",IF($K3696="U – needs rule","ℹ حالة U تحتاج قاعدة معتمدة",IF($K3696="No result","ℹ بدون نتيجة (يُستبعد من التحصيل)","OK")))))))))))</f>
        <v/>
      </c>
      <c r="M3696" s="64" t="n">
        <f aca="false">IF($A3696="",0,IFERROR(MATCH($A3696,Classes!$A$6:$A$420,0),0))</f>
        <v>0</v>
      </c>
      <c r="N3696" s="64" t="n">
        <f aca="false">IF($H3696="",0,IFERROR(MATCH($H3696,GradeList,0),0))</f>
        <v>0</v>
      </c>
      <c r="O3696" s="64" t="n">
        <f aca="false">IF(OR($I3696="",$I3696="NR"),0,IFERROR(MATCH($I3696,GradeList,0),0))</f>
        <v>0</v>
      </c>
      <c r="P3696" s="64" t="n">
        <f aca="false">IF(AND($M3696&gt;0,ISNUMBER(MATCH($F3696,Lists!$A$2:$A$5,0)),ISNUMBER(MATCH($G3696,Lists!$B$2:$B$7,0)),OR($H3696="",$N3696&gt;0),OR($I3696="",$I3696="NR",$O3696&gt;0),IF(ISNUMBER($J3696),AND($J3696&gt;=0,$J3696=INT($J3696)),FALSE())),$J3696,0)</f>
        <v>0</v>
      </c>
      <c r="Q3696" s="64" t="n">
        <f aca="false">IF(AND($P3696&gt;0,$O3696&gt;0),$P3696,0)</f>
        <v>0</v>
      </c>
      <c r="R3696" s="64" t="n">
        <f aca="false">IF(AND($Q3696&gt;0,$O3696&gt;=AtRank),$Q3696,0)</f>
        <v>0</v>
      </c>
      <c r="S3696" s="64" t="n">
        <f aca="false">IF(AND($Q3696&gt;0,$O3696&gt;=AboveRank),$Q3696,0)</f>
        <v>0</v>
      </c>
      <c r="T3696" s="64" t="n">
        <f aca="false">IF($K3696="Less",$P3696,0)</f>
        <v>0</v>
      </c>
      <c r="U3696" s="64" t="n">
        <f aca="false">IF($K3696="Expected",$P3696,0)</f>
        <v>0</v>
      </c>
      <c r="V3696" s="64" t="n">
        <f aca="false">IF($K3696="Better",$P3696,0)</f>
        <v>0</v>
      </c>
      <c r="W3696" s="64" t="n">
        <f aca="false">IF($K3696="U – needs rule",$P3696,0)</f>
        <v>0</v>
      </c>
      <c r="X3696" s="64" t="n">
        <f aca="false">IF($K3696="No Start (attainment only)",$P3696,0)</f>
        <v>0</v>
      </c>
    </row>
    <row r="3697" customFormat="false" ht="15" hidden="false" customHeight="false" outlineLevel="0" collapsed="false">
      <c r="A3697" s="60"/>
      <c r="B3697" s="61" t="str">
        <f aca="false">IF($M3697=0,"",INDEX(Classes!$E$6:$E$420,$M3697))</f>
        <v/>
      </c>
      <c r="C3697" s="62" t="str">
        <f aca="false">IF($M3697=0,"",INDEX(Classes!$H$6:$H$420,$M3697))</f>
        <v/>
      </c>
      <c r="D3697" s="61" t="str">
        <f aca="false">IF($M3697=0,"",INDEX(Classes!$B$6:$B$420,$M3697))</f>
        <v/>
      </c>
      <c r="E3697" s="61" t="str">
        <f aca="false">IF($M3697=0,"",INDEX(Classes!$C$6:$C$420,$M3697))</f>
        <v/>
      </c>
      <c r="F3697" s="63"/>
      <c r="G3697" s="63"/>
      <c r="H3697" s="60"/>
      <c r="I3697" s="60"/>
      <c r="J3697" s="63"/>
      <c r="K3697" s="61" t="str">
        <f aca="false">IF($P3697=0,"",IF($F3697="Baseline","— Baseline",IF($O3697=0,"No result",IF($N3697=0,"No Start (attainment only)",IF(OR($N3697=1,$O3697=1),"U – needs rule",INDEX(MxBody,MATCH($I3697,MxCurr,0),MATCH($H3697,MxStart,0)))))))</f>
        <v/>
      </c>
      <c r="L3697" s="62" t="str">
        <f aca="false">IF(COUNTA($A3697,$F3697,$G3697,$H3697,$I3697,$J3697)=0,"",IF($M3697=0,"✖ كود الصف غير موجود",IF(ISNA(MATCH($F3697,Lists!$A$2:$A$5,0)),"✖ الفترة غير صحيحة",IF(ISNA(MATCH($G3697,Lists!$B$2:$B$7,0)),"✖ المجموعة غير صحيحة",IF(NOT(OR($H3697="",$N3697&gt;0)),"✖ Start غير صحيح",IF(NOT(OR($I3697="",$I3697="NR",$O3697&gt;0)),"✖ Current غير صحيح",IF(NOT(IF(ISNUMBER($J3697),AND($J3697&gt;=0,$J3697=INT($J3697)),FALSE())),"✖ العدد يجب أن يكون صحيحًا ≥ 0",IF(AND($F3697="Baseline",$H3697&lt;&gt;""),"⚠ Baseline: Start لا يدخل في التقدم",IF($K3697="No Start (attainment only)","ℹ تحصيل فقط (بدون Start)",IF($K3697="U – needs rule","ℹ حالة U تحتاج قاعدة معتمدة",IF($K3697="No result","ℹ بدون نتيجة (يُستبعد من التحصيل)","OK")))))))))))</f>
        <v/>
      </c>
      <c r="M3697" s="64" t="n">
        <f aca="false">IF($A3697="",0,IFERROR(MATCH($A3697,Classes!$A$6:$A$420,0),0))</f>
        <v>0</v>
      </c>
      <c r="N3697" s="64" t="n">
        <f aca="false">IF($H3697="",0,IFERROR(MATCH($H3697,GradeList,0),0))</f>
        <v>0</v>
      </c>
      <c r="O3697" s="64" t="n">
        <f aca="false">IF(OR($I3697="",$I3697="NR"),0,IFERROR(MATCH($I3697,GradeList,0),0))</f>
        <v>0</v>
      </c>
      <c r="P3697" s="64" t="n">
        <f aca="false">IF(AND($M3697&gt;0,ISNUMBER(MATCH($F3697,Lists!$A$2:$A$5,0)),ISNUMBER(MATCH($G3697,Lists!$B$2:$B$7,0)),OR($H3697="",$N3697&gt;0),OR($I3697="",$I3697="NR",$O3697&gt;0),IF(ISNUMBER($J3697),AND($J3697&gt;=0,$J3697=INT($J3697)),FALSE())),$J3697,0)</f>
        <v>0</v>
      </c>
      <c r="Q3697" s="64" t="n">
        <f aca="false">IF(AND($P3697&gt;0,$O3697&gt;0),$P3697,0)</f>
        <v>0</v>
      </c>
      <c r="R3697" s="64" t="n">
        <f aca="false">IF(AND($Q3697&gt;0,$O3697&gt;=AtRank),$Q3697,0)</f>
        <v>0</v>
      </c>
      <c r="S3697" s="64" t="n">
        <f aca="false">IF(AND($Q3697&gt;0,$O3697&gt;=AboveRank),$Q3697,0)</f>
        <v>0</v>
      </c>
      <c r="T3697" s="64" t="n">
        <f aca="false">IF($K3697="Less",$P3697,0)</f>
        <v>0</v>
      </c>
      <c r="U3697" s="64" t="n">
        <f aca="false">IF($K3697="Expected",$P3697,0)</f>
        <v>0</v>
      </c>
      <c r="V3697" s="64" t="n">
        <f aca="false">IF($K3697="Better",$P3697,0)</f>
        <v>0</v>
      </c>
      <c r="W3697" s="64" t="n">
        <f aca="false">IF($K3697="U – needs rule",$P3697,0)</f>
        <v>0</v>
      </c>
      <c r="X3697" s="64" t="n">
        <f aca="false">IF($K3697="No Start (attainment only)",$P3697,0)</f>
        <v>0</v>
      </c>
    </row>
    <row r="3698" customFormat="false" ht="15" hidden="false" customHeight="false" outlineLevel="0" collapsed="false">
      <c r="A3698" s="60"/>
      <c r="B3698" s="61" t="str">
        <f aca="false">IF($M3698=0,"",INDEX(Classes!$E$6:$E$420,$M3698))</f>
        <v/>
      </c>
      <c r="C3698" s="62" t="str">
        <f aca="false">IF($M3698=0,"",INDEX(Classes!$H$6:$H$420,$M3698))</f>
        <v/>
      </c>
      <c r="D3698" s="61" t="str">
        <f aca="false">IF($M3698=0,"",INDEX(Classes!$B$6:$B$420,$M3698))</f>
        <v/>
      </c>
      <c r="E3698" s="61" t="str">
        <f aca="false">IF($M3698=0,"",INDEX(Classes!$C$6:$C$420,$M3698))</f>
        <v/>
      </c>
      <c r="F3698" s="63"/>
      <c r="G3698" s="63"/>
      <c r="H3698" s="60"/>
      <c r="I3698" s="60"/>
      <c r="J3698" s="63"/>
      <c r="K3698" s="61" t="str">
        <f aca="false">IF($P3698=0,"",IF($F3698="Baseline","— Baseline",IF($O3698=0,"No result",IF($N3698=0,"No Start (attainment only)",IF(OR($N3698=1,$O3698=1),"U – needs rule",INDEX(MxBody,MATCH($I3698,MxCurr,0),MATCH($H3698,MxStart,0)))))))</f>
        <v/>
      </c>
      <c r="L3698" s="62" t="str">
        <f aca="false">IF(COUNTA($A3698,$F3698,$G3698,$H3698,$I3698,$J3698)=0,"",IF($M3698=0,"✖ كود الصف غير موجود",IF(ISNA(MATCH($F3698,Lists!$A$2:$A$5,0)),"✖ الفترة غير صحيحة",IF(ISNA(MATCH($G3698,Lists!$B$2:$B$7,0)),"✖ المجموعة غير صحيحة",IF(NOT(OR($H3698="",$N3698&gt;0)),"✖ Start غير صحيح",IF(NOT(OR($I3698="",$I3698="NR",$O3698&gt;0)),"✖ Current غير صحيح",IF(NOT(IF(ISNUMBER($J3698),AND($J3698&gt;=0,$J3698=INT($J3698)),FALSE())),"✖ العدد يجب أن يكون صحيحًا ≥ 0",IF(AND($F3698="Baseline",$H3698&lt;&gt;""),"⚠ Baseline: Start لا يدخل في التقدم",IF($K3698="No Start (attainment only)","ℹ تحصيل فقط (بدون Start)",IF($K3698="U – needs rule","ℹ حالة U تحتاج قاعدة معتمدة",IF($K3698="No result","ℹ بدون نتيجة (يُستبعد من التحصيل)","OK")))))))))))</f>
        <v/>
      </c>
      <c r="M3698" s="64" t="n">
        <f aca="false">IF($A3698="",0,IFERROR(MATCH($A3698,Classes!$A$6:$A$420,0),0))</f>
        <v>0</v>
      </c>
      <c r="N3698" s="64" t="n">
        <f aca="false">IF($H3698="",0,IFERROR(MATCH($H3698,GradeList,0),0))</f>
        <v>0</v>
      </c>
      <c r="O3698" s="64" t="n">
        <f aca="false">IF(OR($I3698="",$I3698="NR"),0,IFERROR(MATCH($I3698,GradeList,0),0))</f>
        <v>0</v>
      </c>
      <c r="P3698" s="64" t="n">
        <f aca="false">IF(AND($M3698&gt;0,ISNUMBER(MATCH($F3698,Lists!$A$2:$A$5,0)),ISNUMBER(MATCH($G3698,Lists!$B$2:$B$7,0)),OR($H3698="",$N3698&gt;0),OR($I3698="",$I3698="NR",$O3698&gt;0),IF(ISNUMBER($J3698),AND($J3698&gt;=0,$J3698=INT($J3698)),FALSE())),$J3698,0)</f>
        <v>0</v>
      </c>
      <c r="Q3698" s="64" t="n">
        <f aca="false">IF(AND($P3698&gt;0,$O3698&gt;0),$P3698,0)</f>
        <v>0</v>
      </c>
      <c r="R3698" s="64" t="n">
        <f aca="false">IF(AND($Q3698&gt;0,$O3698&gt;=AtRank),$Q3698,0)</f>
        <v>0</v>
      </c>
      <c r="S3698" s="64" t="n">
        <f aca="false">IF(AND($Q3698&gt;0,$O3698&gt;=AboveRank),$Q3698,0)</f>
        <v>0</v>
      </c>
      <c r="T3698" s="64" t="n">
        <f aca="false">IF($K3698="Less",$P3698,0)</f>
        <v>0</v>
      </c>
      <c r="U3698" s="64" t="n">
        <f aca="false">IF($K3698="Expected",$P3698,0)</f>
        <v>0</v>
      </c>
      <c r="V3698" s="64" t="n">
        <f aca="false">IF($K3698="Better",$P3698,0)</f>
        <v>0</v>
      </c>
      <c r="W3698" s="64" t="n">
        <f aca="false">IF($K3698="U – needs rule",$P3698,0)</f>
        <v>0</v>
      </c>
      <c r="X3698" s="64" t="n">
        <f aca="false">IF($K3698="No Start (attainment only)",$P3698,0)</f>
        <v>0</v>
      </c>
    </row>
    <row r="3699" customFormat="false" ht="15" hidden="false" customHeight="false" outlineLevel="0" collapsed="false">
      <c r="A3699" s="60"/>
      <c r="B3699" s="61" t="str">
        <f aca="false">IF($M3699=0,"",INDEX(Classes!$E$6:$E$420,$M3699))</f>
        <v/>
      </c>
      <c r="C3699" s="62" t="str">
        <f aca="false">IF($M3699=0,"",INDEX(Classes!$H$6:$H$420,$M3699))</f>
        <v/>
      </c>
      <c r="D3699" s="61" t="str">
        <f aca="false">IF($M3699=0,"",INDEX(Classes!$B$6:$B$420,$M3699))</f>
        <v/>
      </c>
      <c r="E3699" s="61" t="str">
        <f aca="false">IF($M3699=0,"",INDEX(Classes!$C$6:$C$420,$M3699))</f>
        <v/>
      </c>
      <c r="F3699" s="63"/>
      <c r="G3699" s="63"/>
      <c r="H3699" s="60"/>
      <c r="I3699" s="60"/>
      <c r="J3699" s="63"/>
      <c r="K3699" s="61" t="str">
        <f aca="false">IF($P3699=0,"",IF($F3699="Baseline","— Baseline",IF($O3699=0,"No result",IF($N3699=0,"No Start (attainment only)",IF(OR($N3699=1,$O3699=1),"U – needs rule",INDEX(MxBody,MATCH($I3699,MxCurr,0),MATCH($H3699,MxStart,0)))))))</f>
        <v/>
      </c>
      <c r="L3699" s="62" t="str">
        <f aca="false">IF(COUNTA($A3699,$F3699,$G3699,$H3699,$I3699,$J3699)=0,"",IF($M3699=0,"✖ كود الصف غير موجود",IF(ISNA(MATCH($F3699,Lists!$A$2:$A$5,0)),"✖ الفترة غير صحيحة",IF(ISNA(MATCH($G3699,Lists!$B$2:$B$7,0)),"✖ المجموعة غير صحيحة",IF(NOT(OR($H3699="",$N3699&gt;0)),"✖ Start غير صحيح",IF(NOT(OR($I3699="",$I3699="NR",$O3699&gt;0)),"✖ Current غير صحيح",IF(NOT(IF(ISNUMBER($J3699),AND($J3699&gt;=0,$J3699=INT($J3699)),FALSE())),"✖ العدد يجب أن يكون صحيحًا ≥ 0",IF(AND($F3699="Baseline",$H3699&lt;&gt;""),"⚠ Baseline: Start لا يدخل في التقدم",IF($K3699="No Start (attainment only)","ℹ تحصيل فقط (بدون Start)",IF($K3699="U – needs rule","ℹ حالة U تحتاج قاعدة معتمدة",IF($K3699="No result","ℹ بدون نتيجة (يُستبعد من التحصيل)","OK")))))))))))</f>
        <v/>
      </c>
      <c r="M3699" s="64" t="n">
        <f aca="false">IF($A3699="",0,IFERROR(MATCH($A3699,Classes!$A$6:$A$420,0),0))</f>
        <v>0</v>
      </c>
      <c r="N3699" s="64" t="n">
        <f aca="false">IF($H3699="",0,IFERROR(MATCH($H3699,GradeList,0),0))</f>
        <v>0</v>
      </c>
      <c r="O3699" s="64" t="n">
        <f aca="false">IF(OR($I3699="",$I3699="NR"),0,IFERROR(MATCH($I3699,GradeList,0),0))</f>
        <v>0</v>
      </c>
      <c r="P3699" s="64" t="n">
        <f aca="false">IF(AND($M3699&gt;0,ISNUMBER(MATCH($F3699,Lists!$A$2:$A$5,0)),ISNUMBER(MATCH($G3699,Lists!$B$2:$B$7,0)),OR($H3699="",$N3699&gt;0),OR($I3699="",$I3699="NR",$O3699&gt;0),IF(ISNUMBER($J3699),AND($J3699&gt;=0,$J3699=INT($J3699)),FALSE())),$J3699,0)</f>
        <v>0</v>
      </c>
      <c r="Q3699" s="64" t="n">
        <f aca="false">IF(AND($P3699&gt;0,$O3699&gt;0),$P3699,0)</f>
        <v>0</v>
      </c>
      <c r="R3699" s="64" t="n">
        <f aca="false">IF(AND($Q3699&gt;0,$O3699&gt;=AtRank),$Q3699,0)</f>
        <v>0</v>
      </c>
      <c r="S3699" s="64" t="n">
        <f aca="false">IF(AND($Q3699&gt;0,$O3699&gt;=AboveRank),$Q3699,0)</f>
        <v>0</v>
      </c>
      <c r="T3699" s="64" t="n">
        <f aca="false">IF($K3699="Less",$P3699,0)</f>
        <v>0</v>
      </c>
      <c r="U3699" s="64" t="n">
        <f aca="false">IF($K3699="Expected",$P3699,0)</f>
        <v>0</v>
      </c>
      <c r="V3699" s="64" t="n">
        <f aca="false">IF($K3699="Better",$P3699,0)</f>
        <v>0</v>
      </c>
      <c r="W3699" s="64" t="n">
        <f aca="false">IF($K3699="U – needs rule",$P3699,0)</f>
        <v>0</v>
      </c>
      <c r="X3699" s="64" t="n">
        <f aca="false">IF($K3699="No Start (attainment only)",$P3699,0)</f>
        <v>0</v>
      </c>
    </row>
    <row r="3700" customFormat="false" ht="15" hidden="false" customHeight="false" outlineLevel="0" collapsed="false">
      <c r="A3700" s="60"/>
      <c r="B3700" s="61" t="str">
        <f aca="false">IF($M3700=0,"",INDEX(Classes!$E$6:$E$420,$M3700))</f>
        <v/>
      </c>
      <c r="C3700" s="62" t="str">
        <f aca="false">IF($M3700=0,"",INDEX(Classes!$H$6:$H$420,$M3700))</f>
        <v/>
      </c>
      <c r="D3700" s="61" t="str">
        <f aca="false">IF($M3700=0,"",INDEX(Classes!$B$6:$B$420,$M3700))</f>
        <v/>
      </c>
      <c r="E3700" s="61" t="str">
        <f aca="false">IF($M3700=0,"",INDEX(Classes!$C$6:$C$420,$M3700))</f>
        <v/>
      </c>
      <c r="F3700" s="63"/>
      <c r="G3700" s="63"/>
      <c r="H3700" s="60"/>
      <c r="I3700" s="60"/>
      <c r="J3700" s="63"/>
      <c r="K3700" s="61" t="str">
        <f aca="false">IF($P3700=0,"",IF($F3700="Baseline","— Baseline",IF($O3700=0,"No result",IF($N3700=0,"No Start (attainment only)",IF(OR($N3700=1,$O3700=1),"U – needs rule",INDEX(MxBody,MATCH($I3700,MxCurr,0),MATCH($H3700,MxStart,0)))))))</f>
        <v/>
      </c>
      <c r="L3700" s="62" t="str">
        <f aca="false">IF(COUNTA($A3700,$F3700,$G3700,$H3700,$I3700,$J3700)=0,"",IF($M3700=0,"✖ كود الصف غير موجود",IF(ISNA(MATCH($F3700,Lists!$A$2:$A$5,0)),"✖ الفترة غير صحيحة",IF(ISNA(MATCH($G3700,Lists!$B$2:$B$7,0)),"✖ المجموعة غير صحيحة",IF(NOT(OR($H3700="",$N3700&gt;0)),"✖ Start غير صحيح",IF(NOT(OR($I3700="",$I3700="NR",$O3700&gt;0)),"✖ Current غير صحيح",IF(NOT(IF(ISNUMBER($J3700),AND($J3700&gt;=0,$J3700=INT($J3700)),FALSE())),"✖ العدد يجب أن يكون صحيحًا ≥ 0",IF(AND($F3700="Baseline",$H3700&lt;&gt;""),"⚠ Baseline: Start لا يدخل في التقدم",IF($K3700="No Start (attainment only)","ℹ تحصيل فقط (بدون Start)",IF($K3700="U – needs rule","ℹ حالة U تحتاج قاعدة معتمدة",IF($K3700="No result","ℹ بدون نتيجة (يُستبعد من التحصيل)","OK")))))))))))</f>
        <v/>
      </c>
      <c r="M3700" s="64" t="n">
        <f aca="false">IF($A3700="",0,IFERROR(MATCH($A3700,Classes!$A$6:$A$420,0),0))</f>
        <v>0</v>
      </c>
      <c r="N3700" s="64" t="n">
        <f aca="false">IF($H3700="",0,IFERROR(MATCH($H3700,GradeList,0),0))</f>
        <v>0</v>
      </c>
      <c r="O3700" s="64" t="n">
        <f aca="false">IF(OR($I3700="",$I3700="NR"),0,IFERROR(MATCH($I3700,GradeList,0),0))</f>
        <v>0</v>
      </c>
      <c r="P3700" s="64" t="n">
        <f aca="false">IF(AND($M3700&gt;0,ISNUMBER(MATCH($F3700,Lists!$A$2:$A$5,0)),ISNUMBER(MATCH($G3700,Lists!$B$2:$B$7,0)),OR($H3700="",$N3700&gt;0),OR($I3700="",$I3700="NR",$O3700&gt;0),IF(ISNUMBER($J3700),AND($J3700&gt;=0,$J3700=INT($J3700)),FALSE())),$J3700,0)</f>
        <v>0</v>
      </c>
      <c r="Q3700" s="64" t="n">
        <f aca="false">IF(AND($P3700&gt;0,$O3700&gt;0),$P3700,0)</f>
        <v>0</v>
      </c>
      <c r="R3700" s="64" t="n">
        <f aca="false">IF(AND($Q3700&gt;0,$O3700&gt;=AtRank),$Q3700,0)</f>
        <v>0</v>
      </c>
      <c r="S3700" s="64" t="n">
        <f aca="false">IF(AND($Q3700&gt;0,$O3700&gt;=AboveRank),$Q3700,0)</f>
        <v>0</v>
      </c>
      <c r="T3700" s="64" t="n">
        <f aca="false">IF($K3700="Less",$P3700,0)</f>
        <v>0</v>
      </c>
      <c r="U3700" s="64" t="n">
        <f aca="false">IF($K3700="Expected",$P3700,0)</f>
        <v>0</v>
      </c>
      <c r="V3700" s="64" t="n">
        <f aca="false">IF($K3700="Better",$P3700,0)</f>
        <v>0</v>
      </c>
      <c r="W3700" s="64" t="n">
        <f aca="false">IF($K3700="U – needs rule",$P3700,0)</f>
        <v>0</v>
      </c>
      <c r="X3700" s="64" t="n">
        <f aca="false">IF($K3700="No Start (attainment only)",$P3700,0)</f>
        <v>0</v>
      </c>
    </row>
    <row r="3701" customFormat="false" ht="15" hidden="false" customHeight="false" outlineLevel="0" collapsed="false">
      <c r="A3701" s="60"/>
      <c r="B3701" s="61" t="str">
        <f aca="false">IF($M3701=0,"",INDEX(Classes!$E$6:$E$420,$M3701))</f>
        <v/>
      </c>
      <c r="C3701" s="62" t="str">
        <f aca="false">IF($M3701=0,"",INDEX(Classes!$H$6:$H$420,$M3701))</f>
        <v/>
      </c>
      <c r="D3701" s="61" t="str">
        <f aca="false">IF($M3701=0,"",INDEX(Classes!$B$6:$B$420,$M3701))</f>
        <v/>
      </c>
      <c r="E3701" s="61" t="str">
        <f aca="false">IF($M3701=0,"",INDEX(Classes!$C$6:$C$420,$M3701))</f>
        <v/>
      </c>
      <c r="F3701" s="63"/>
      <c r="G3701" s="63"/>
      <c r="H3701" s="60"/>
      <c r="I3701" s="60"/>
      <c r="J3701" s="63"/>
      <c r="K3701" s="61" t="str">
        <f aca="false">IF($P3701=0,"",IF($F3701="Baseline","— Baseline",IF($O3701=0,"No result",IF($N3701=0,"No Start (attainment only)",IF(OR($N3701=1,$O3701=1),"U – needs rule",INDEX(MxBody,MATCH($I3701,MxCurr,0),MATCH($H3701,MxStart,0)))))))</f>
        <v/>
      </c>
      <c r="L3701" s="62" t="str">
        <f aca="false">IF(COUNTA($A3701,$F3701,$G3701,$H3701,$I3701,$J3701)=0,"",IF($M3701=0,"✖ كود الصف غير موجود",IF(ISNA(MATCH($F3701,Lists!$A$2:$A$5,0)),"✖ الفترة غير صحيحة",IF(ISNA(MATCH($G3701,Lists!$B$2:$B$7,0)),"✖ المجموعة غير صحيحة",IF(NOT(OR($H3701="",$N3701&gt;0)),"✖ Start غير صحيح",IF(NOT(OR($I3701="",$I3701="NR",$O3701&gt;0)),"✖ Current غير صحيح",IF(NOT(IF(ISNUMBER($J3701),AND($J3701&gt;=0,$J3701=INT($J3701)),FALSE())),"✖ العدد يجب أن يكون صحيحًا ≥ 0",IF(AND($F3701="Baseline",$H3701&lt;&gt;""),"⚠ Baseline: Start لا يدخل في التقدم",IF($K3701="No Start (attainment only)","ℹ تحصيل فقط (بدون Start)",IF($K3701="U – needs rule","ℹ حالة U تحتاج قاعدة معتمدة",IF($K3701="No result","ℹ بدون نتيجة (يُستبعد من التحصيل)","OK")))))))))))</f>
        <v/>
      </c>
      <c r="M3701" s="64" t="n">
        <f aca="false">IF($A3701="",0,IFERROR(MATCH($A3701,Classes!$A$6:$A$420,0),0))</f>
        <v>0</v>
      </c>
      <c r="N3701" s="64" t="n">
        <f aca="false">IF($H3701="",0,IFERROR(MATCH($H3701,GradeList,0),0))</f>
        <v>0</v>
      </c>
      <c r="O3701" s="64" t="n">
        <f aca="false">IF(OR($I3701="",$I3701="NR"),0,IFERROR(MATCH($I3701,GradeList,0),0))</f>
        <v>0</v>
      </c>
      <c r="P3701" s="64" t="n">
        <f aca="false">IF(AND($M3701&gt;0,ISNUMBER(MATCH($F3701,Lists!$A$2:$A$5,0)),ISNUMBER(MATCH($G3701,Lists!$B$2:$B$7,0)),OR($H3701="",$N3701&gt;0),OR($I3701="",$I3701="NR",$O3701&gt;0),IF(ISNUMBER($J3701),AND($J3701&gt;=0,$J3701=INT($J3701)),FALSE())),$J3701,0)</f>
        <v>0</v>
      </c>
      <c r="Q3701" s="64" t="n">
        <f aca="false">IF(AND($P3701&gt;0,$O3701&gt;0),$P3701,0)</f>
        <v>0</v>
      </c>
      <c r="R3701" s="64" t="n">
        <f aca="false">IF(AND($Q3701&gt;0,$O3701&gt;=AtRank),$Q3701,0)</f>
        <v>0</v>
      </c>
      <c r="S3701" s="64" t="n">
        <f aca="false">IF(AND($Q3701&gt;0,$O3701&gt;=AboveRank),$Q3701,0)</f>
        <v>0</v>
      </c>
      <c r="T3701" s="64" t="n">
        <f aca="false">IF($K3701="Less",$P3701,0)</f>
        <v>0</v>
      </c>
      <c r="U3701" s="64" t="n">
        <f aca="false">IF($K3701="Expected",$P3701,0)</f>
        <v>0</v>
      </c>
      <c r="V3701" s="64" t="n">
        <f aca="false">IF($K3701="Better",$P3701,0)</f>
        <v>0</v>
      </c>
      <c r="W3701" s="64" t="n">
        <f aca="false">IF($K3701="U – needs rule",$P3701,0)</f>
        <v>0</v>
      </c>
      <c r="X3701" s="64" t="n">
        <f aca="false">IF($K3701="No Start (attainment only)",$P3701,0)</f>
        <v>0</v>
      </c>
    </row>
    <row r="3702" customFormat="false" ht="15" hidden="false" customHeight="false" outlineLevel="0" collapsed="false">
      <c r="A3702" s="60"/>
      <c r="B3702" s="61" t="str">
        <f aca="false">IF($M3702=0,"",INDEX(Classes!$E$6:$E$420,$M3702))</f>
        <v/>
      </c>
      <c r="C3702" s="62" t="str">
        <f aca="false">IF($M3702=0,"",INDEX(Classes!$H$6:$H$420,$M3702))</f>
        <v/>
      </c>
      <c r="D3702" s="61" t="str">
        <f aca="false">IF($M3702=0,"",INDEX(Classes!$B$6:$B$420,$M3702))</f>
        <v/>
      </c>
      <c r="E3702" s="61" t="str">
        <f aca="false">IF($M3702=0,"",INDEX(Classes!$C$6:$C$420,$M3702))</f>
        <v/>
      </c>
      <c r="F3702" s="63"/>
      <c r="G3702" s="63"/>
      <c r="H3702" s="60"/>
      <c r="I3702" s="60"/>
      <c r="J3702" s="63"/>
      <c r="K3702" s="61" t="str">
        <f aca="false">IF($P3702=0,"",IF($F3702="Baseline","— Baseline",IF($O3702=0,"No result",IF($N3702=0,"No Start (attainment only)",IF(OR($N3702=1,$O3702=1),"U – needs rule",INDEX(MxBody,MATCH($I3702,MxCurr,0),MATCH($H3702,MxStart,0)))))))</f>
        <v/>
      </c>
      <c r="L3702" s="62" t="str">
        <f aca="false">IF(COUNTA($A3702,$F3702,$G3702,$H3702,$I3702,$J3702)=0,"",IF($M3702=0,"✖ كود الصف غير موجود",IF(ISNA(MATCH($F3702,Lists!$A$2:$A$5,0)),"✖ الفترة غير صحيحة",IF(ISNA(MATCH($G3702,Lists!$B$2:$B$7,0)),"✖ المجموعة غير صحيحة",IF(NOT(OR($H3702="",$N3702&gt;0)),"✖ Start غير صحيح",IF(NOT(OR($I3702="",$I3702="NR",$O3702&gt;0)),"✖ Current غير صحيح",IF(NOT(IF(ISNUMBER($J3702),AND($J3702&gt;=0,$J3702=INT($J3702)),FALSE())),"✖ العدد يجب أن يكون صحيحًا ≥ 0",IF(AND($F3702="Baseline",$H3702&lt;&gt;""),"⚠ Baseline: Start لا يدخل في التقدم",IF($K3702="No Start (attainment only)","ℹ تحصيل فقط (بدون Start)",IF($K3702="U – needs rule","ℹ حالة U تحتاج قاعدة معتمدة",IF($K3702="No result","ℹ بدون نتيجة (يُستبعد من التحصيل)","OK")))))))))))</f>
        <v/>
      </c>
      <c r="M3702" s="64" t="n">
        <f aca="false">IF($A3702="",0,IFERROR(MATCH($A3702,Classes!$A$6:$A$420,0),0))</f>
        <v>0</v>
      </c>
      <c r="N3702" s="64" t="n">
        <f aca="false">IF($H3702="",0,IFERROR(MATCH($H3702,GradeList,0),0))</f>
        <v>0</v>
      </c>
      <c r="O3702" s="64" t="n">
        <f aca="false">IF(OR($I3702="",$I3702="NR"),0,IFERROR(MATCH($I3702,GradeList,0),0))</f>
        <v>0</v>
      </c>
      <c r="P3702" s="64" t="n">
        <f aca="false">IF(AND($M3702&gt;0,ISNUMBER(MATCH($F3702,Lists!$A$2:$A$5,0)),ISNUMBER(MATCH($G3702,Lists!$B$2:$B$7,0)),OR($H3702="",$N3702&gt;0),OR($I3702="",$I3702="NR",$O3702&gt;0),IF(ISNUMBER($J3702),AND($J3702&gt;=0,$J3702=INT($J3702)),FALSE())),$J3702,0)</f>
        <v>0</v>
      </c>
      <c r="Q3702" s="64" t="n">
        <f aca="false">IF(AND($P3702&gt;0,$O3702&gt;0),$P3702,0)</f>
        <v>0</v>
      </c>
      <c r="R3702" s="64" t="n">
        <f aca="false">IF(AND($Q3702&gt;0,$O3702&gt;=AtRank),$Q3702,0)</f>
        <v>0</v>
      </c>
      <c r="S3702" s="64" t="n">
        <f aca="false">IF(AND($Q3702&gt;0,$O3702&gt;=AboveRank),$Q3702,0)</f>
        <v>0</v>
      </c>
      <c r="T3702" s="64" t="n">
        <f aca="false">IF($K3702="Less",$P3702,0)</f>
        <v>0</v>
      </c>
      <c r="U3702" s="64" t="n">
        <f aca="false">IF($K3702="Expected",$P3702,0)</f>
        <v>0</v>
      </c>
      <c r="V3702" s="64" t="n">
        <f aca="false">IF($K3702="Better",$P3702,0)</f>
        <v>0</v>
      </c>
      <c r="W3702" s="64" t="n">
        <f aca="false">IF($K3702="U – needs rule",$P3702,0)</f>
        <v>0</v>
      </c>
      <c r="X3702" s="64" t="n">
        <f aca="false">IF($K3702="No Start (attainment only)",$P3702,0)</f>
        <v>0</v>
      </c>
    </row>
    <row r="3703" customFormat="false" ht="15" hidden="false" customHeight="false" outlineLevel="0" collapsed="false">
      <c r="A3703" s="60"/>
      <c r="B3703" s="61" t="str">
        <f aca="false">IF($M3703=0,"",INDEX(Classes!$E$6:$E$420,$M3703))</f>
        <v/>
      </c>
      <c r="C3703" s="62" t="str">
        <f aca="false">IF($M3703=0,"",INDEX(Classes!$H$6:$H$420,$M3703))</f>
        <v/>
      </c>
      <c r="D3703" s="61" t="str">
        <f aca="false">IF($M3703=0,"",INDEX(Classes!$B$6:$B$420,$M3703))</f>
        <v/>
      </c>
      <c r="E3703" s="61" t="str">
        <f aca="false">IF($M3703=0,"",INDEX(Classes!$C$6:$C$420,$M3703))</f>
        <v/>
      </c>
      <c r="F3703" s="63"/>
      <c r="G3703" s="63"/>
      <c r="H3703" s="60"/>
      <c r="I3703" s="60"/>
      <c r="J3703" s="63"/>
      <c r="K3703" s="61" t="str">
        <f aca="false">IF($P3703=0,"",IF($F3703="Baseline","— Baseline",IF($O3703=0,"No result",IF($N3703=0,"No Start (attainment only)",IF(OR($N3703=1,$O3703=1),"U – needs rule",INDEX(MxBody,MATCH($I3703,MxCurr,0),MATCH($H3703,MxStart,0)))))))</f>
        <v/>
      </c>
      <c r="L3703" s="62" t="str">
        <f aca="false">IF(COUNTA($A3703,$F3703,$G3703,$H3703,$I3703,$J3703)=0,"",IF($M3703=0,"✖ كود الصف غير موجود",IF(ISNA(MATCH($F3703,Lists!$A$2:$A$5,0)),"✖ الفترة غير صحيحة",IF(ISNA(MATCH($G3703,Lists!$B$2:$B$7,0)),"✖ المجموعة غير صحيحة",IF(NOT(OR($H3703="",$N3703&gt;0)),"✖ Start غير صحيح",IF(NOT(OR($I3703="",$I3703="NR",$O3703&gt;0)),"✖ Current غير صحيح",IF(NOT(IF(ISNUMBER($J3703),AND($J3703&gt;=0,$J3703=INT($J3703)),FALSE())),"✖ العدد يجب أن يكون صحيحًا ≥ 0",IF(AND($F3703="Baseline",$H3703&lt;&gt;""),"⚠ Baseline: Start لا يدخل في التقدم",IF($K3703="No Start (attainment only)","ℹ تحصيل فقط (بدون Start)",IF($K3703="U – needs rule","ℹ حالة U تحتاج قاعدة معتمدة",IF($K3703="No result","ℹ بدون نتيجة (يُستبعد من التحصيل)","OK")))))))))))</f>
        <v/>
      </c>
      <c r="M3703" s="64" t="n">
        <f aca="false">IF($A3703="",0,IFERROR(MATCH($A3703,Classes!$A$6:$A$420,0),0))</f>
        <v>0</v>
      </c>
      <c r="N3703" s="64" t="n">
        <f aca="false">IF($H3703="",0,IFERROR(MATCH($H3703,GradeList,0),0))</f>
        <v>0</v>
      </c>
      <c r="O3703" s="64" t="n">
        <f aca="false">IF(OR($I3703="",$I3703="NR"),0,IFERROR(MATCH($I3703,GradeList,0),0))</f>
        <v>0</v>
      </c>
      <c r="P3703" s="64" t="n">
        <f aca="false">IF(AND($M3703&gt;0,ISNUMBER(MATCH($F3703,Lists!$A$2:$A$5,0)),ISNUMBER(MATCH($G3703,Lists!$B$2:$B$7,0)),OR($H3703="",$N3703&gt;0),OR($I3703="",$I3703="NR",$O3703&gt;0),IF(ISNUMBER($J3703),AND($J3703&gt;=0,$J3703=INT($J3703)),FALSE())),$J3703,0)</f>
        <v>0</v>
      </c>
      <c r="Q3703" s="64" t="n">
        <f aca="false">IF(AND($P3703&gt;0,$O3703&gt;0),$P3703,0)</f>
        <v>0</v>
      </c>
      <c r="R3703" s="64" t="n">
        <f aca="false">IF(AND($Q3703&gt;0,$O3703&gt;=AtRank),$Q3703,0)</f>
        <v>0</v>
      </c>
      <c r="S3703" s="64" t="n">
        <f aca="false">IF(AND($Q3703&gt;0,$O3703&gt;=AboveRank),$Q3703,0)</f>
        <v>0</v>
      </c>
      <c r="T3703" s="64" t="n">
        <f aca="false">IF($K3703="Less",$P3703,0)</f>
        <v>0</v>
      </c>
      <c r="U3703" s="64" t="n">
        <f aca="false">IF($K3703="Expected",$P3703,0)</f>
        <v>0</v>
      </c>
      <c r="V3703" s="64" t="n">
        <f aca="false">IF($K3703="Better",$P3703,0)</f>
        <v>0</v>
      </c>
      <c r="W3703" s="64" t="n">
        <f aca="false">IF($K3703="U – needs rule",$P3703,0)</f>
        <v>0</v>
      </c>
      <c r="X3703" s="64" t="n">
        <f aca="false">IF($K3703="No Start (attainment only)",$P3703,0)</f>
        <v>0</v>
      </c>
    </row>
    <row r="3704" customFormat="false" ht="15" hidden="false" customHeight="false" outlineLevel="0" collapsed="false">
      <c r="A3704" s="60"/>
      <c r="B3704" s="61" t="str">
        <f aca="false">IF($M3704=0,"",INDEX(Classes!$E$6:$E$420,$M3704))</f>
        <v/>
      </c>
      <c r="C3704" s="62" t="str">
        <f aca="false">IF($M3704=0,"",INDEX(Classes!$H$6:$H$420,$M3704))</f>
        <v/>
      </c>
      <c r="D3704" s="61" t="str">
        <f aca="false">IF($M3704=0,"",INDEX(Classes!$B$6:$B$420,$M3704))</f>
        <v/>
      </c>
      <c r="E3704" s="61" t="str">
        <f aca="false">IF($M3704=0,"",INDEX(Classes!$C$6:$C$420,$M3704))</f>
        <v/>
      </c>
      <c r="F3704" s="63"/>
      <c r="G3704" s="63"/>
      <c r="H3704" s="60"/>
      <c r="I3704" s="60"/>
      <c r="J3704" s="63"/>
      <c r="K3704" s="61" t="str">
        <f aca="false">IF($P3704=0,"",IF($F3704="Baseline","— Baseline",IF($O3704=0,"No result",IF($N3704=0,"No Start (attainment only)",IF(OR($N3704=1,$O3704=1),"U – needs rule",INDEX(MxBody,MATCH($I3704,MxCurr,0),MATCH($H3704,MxStart,0)))))))</f>
        <v/>
      </c>
      <c r="L3704" s="62" t="str">
        <f aca="false">IF(COUNTA($A3704,$F3704,$G3704,$H3704,$I3704,$J3704)=0,"",IF($M3704=0,"✖ كود الصف غير موجود",IF(ISNA(MATCH($F3704,Lists!$A$2:$A$5,0)),"✖ الفترة غير صحيحة",IF(ISNA(MATCH($G3704,Lists!$B$2:$B$7,0)),"✖ المجموعة غير صحيحة",IF(NOT(OR($H3704="",$N3704&gt;0)),"✖ Start غير صحيح",IF(NOT(OR($I3704="",$I3704="NR",$O3704&gt;0)),"✖ Current غير صحيح",IF(NOT(IF(ISNUMBER($J3704),AND($J3704&gt;=0,$J3704=INT($J3704)),FALSE())),"✖ العدد يجب أن يكون صحيحًا ≥ 0",IF(AND($F3704="Baseline",$H3704&lt;&gt;""),"⚠ Baseline: Start لا يدخل في التقدم",IF($K3704="No Start (attainment only)","ℹ تحصيل فقط (بدون Start)",IF($K3704="U – needs rule","ℹ حالة U تحتاج قاعدة معتمدة",IF($K3704="No result","ℹ بدون نتيجة (يُستبعد من التحصيل)","OK")))))))))))</f>
        <v/>
      </c>
      <c r="M3704" s="64" t="n">
        <f aca="false">IF($A3704="",0,IFERROR(MATCH($A3704,Classes!$A$6:$A$420,0),0))</f>
        <v>0</v>
      </c>
      <c r="N3704" s="64" t="n">
        <f aca="false">IF($H3704="",0,IFERROR(MATCH($H3704,GradeList,0),0))</f>
        <v>0</v>
      </c>
      <c r="O3704" s="64" t="n">
        <f aca="false">IF(OR($I3704="",$I3704="NR"),0,IFERROR(MATCH($I3704,GradeList,0),0))</f>
        <v>0</v>
      </c>
      <c r="P3704" s="64" t="n">
        <f aca="false">IF(AND($M3704&gt;0,ISNUMBER(MATCH($F3704,Lists!$A$2:$A$5,0)),ISNUMBER(MATCH($G3704,Lists!$B$2:$B$7,0)),OR($H3704="",$N3704&gt;0),OR($I3704="",$I3704="NR",$O3704&gt;0),IF(ISNUMBER($J3704),AND($J3704&gt;=0,$J3704=INT($J3704)),FALSE())),$J3704,0)</f>
        <v>0</v>
      </c>
      <c r="Q3704" s="64" t="n">
        <f aca="false">IF(AND($P3704&gt;0,$O3704&gt;0),$P3704,0)</f>
        <v>0</v>
      </c>
      <c r="R3704" s="64" t="n">
        <f aca="false">IF(AND($Q3704&gt;0,$O3704&gt;=AtRank),$Q3704,0)</f>
        <v>0</v>
      </c>
      <c r="S3704" s="64" t="n">
        <f aca="false">IF(AND($Q3704&gt;0,$O3704&gt;=AboveRank),$Q3704,0)</f>
        <v>0</v>
      </c>
      <c r="T3704" s="64" t="n">
        <f aca="false">IF($K3704="Less",$P3704,0)</f>
        <v>0</v>
      </c>
      <c r="U3704" s="64" t="n">
        <f aca="false">IF($K3704="Expected",$P3704,0)</f>
        <v>0</v>
      </c>
      <c r="V3704" s="64" t="n">
        <f aca="false">IF($K3704="Better",$P3704,0)</f>
        <v>0</v>
      </c>
      <c r="W3704" s="64" t="n">
        <f aca="false">IF($K3704="U – needs rule",$P3704,0)</f>
        <v>0</v>
      </c>
      <c r="X3704" s="64" t="n">
        <f aca="false">IF($K3704="No Start (attainment only)",$P3704,0)</f>
        <v>0</v>
      </c>
    </row>
    <row r="3705" customFormat="false" ht="15" hidden="false" customHeight="false" outlineLevel="0" collapsed="false">
      <c r="A3705" s="60"/>
      <c r="B3705" s="61" t="str">
        <f aca="false">IF($M3705=0,"",INDEX(Classes!$E$6:$E$420,$M3705))</f>
        <v/>
      </c>
      <c r="C3705" s="62" t="str">
        <f aca="false">IF($M3705=0,"",INDEX(Classes!$H$6:$H$420,$M3705))</f>
        <v/>
      </c>
      <c r="D3705" s="61" t="str">
        <f aca="false">IF($M3705=0,"",INDEX(Classes!$B$6:$B$420,$M3705))</f>
        <v/>
      </c>
      <c r="E3705" s="61" t="str">
        <f aca="false">IF($M3705=0,"",INDEX(Classes!$C$6:$C$420,$M3705))</f>
        <v/>
      </c>
      <c r="F3705" s="63"/>
      <c r="G3705" s="63"/>
      <c r="H3705" s="60"/>
      <c r="I3705" s="60"/>
      <c r="J3705" s="63"/>
      <c r="K3705" s="61" t="str">
        <f aca="false">IF($P3705=0,"",IF($F3705="Baseline","— Baseline",IF($O3705=0,"No result",IF($N3705=0,"No Start (attainment only)",IF(OR($N3705=1,$O3705=1),"U – needs rule",INDEX(MxBody,MATCH($I3705,MxCurr,0),MATCH($H3705,MxStart,0)))))))</f>
        <v/>
      </c>
      <c r="L3705" s="62" t="str">
        <f aca="false">IF(COUNTA($A3705,$F3705,$G3705,$H3705,$I3705,$J3705)=0,"",IF($M3705=0,"✖ كود الصف غير موجود",IF(ISNA(MATCH($F3705,Lists!$A$2:$A$5,0)),"✖ الفترة غير صحيحة",IF(ISNA(MATCH($G3705,Lists!$B$2:$B$7,0)),"✖ المجموعة غير صحيحة",IF(NOT(OR($H3705="",$N3705&gt;0)),"✖ Start غير صحيح",IF(NOT(OR($I3705="",$I3705="NR",$O3705&gt;0)),"✖ Current غير صحيح",IF(NOT(IF(ISNUMBER($J3705),AND($J3705&gt;=0,$J3705=INT($J3705)),FALSE())),"✖ العدد يجب أن يكون صحيحًا ≥ 0",IF(AND($F3705="Baseline",$H3705&lt;&gt;""),"⚠ Baseline: Start لا يدخل في التقدم",IF($K3705="No Start (attainment only)","ℹ تحصيل فقط (بدون Start)",IF($K3705="U – needs rule","ℹ حالة U تحتاج قاعدة معتمدة",IF($K3705="No result","ℹ بدون نتيجة (يُستبعد من التحصيل)","OK")))))))))))</f>
        <v/>
      </c>
      <c r="M3705" s="64" t="n">
        <f aca="false">IF($A3705="",0,IFERROR(MATCH($A3705,Classes!$A$6:$A$420,0),0))</f>
        <v>0</v>
      </c>
      <c r="N3705" s="64" t="n">
        <f aca="false">IF($H3705="",0,IFERROR(MATCH($H3705,GradeList,0),0))</f>
        <v>0</v>
      </c>
      <c r="O3705" s="64" t="n">
        <f aca="false">IF(OR($I3705="",$I3705="NR"),0,IFERROR(MATCH($I3705,GradeList,0),0))</f>
        <v>0</v>
      </c>
      <c r="P3705" s="64" t="n">
        <f aca="false">IF(AND($M3705&gt;0,ISNUMBER(MATCH($F3705,Lists!$A$2:$A$5,0)),ISNUMBER(MATCH($G3705,Lists!$B$2:$B$7,0)),OR($H3705="",$N3705&gt;0),OR($I3705="",$I3705="NR",$O3705&gt;0),IF(ISNUMBER($J3705),AND($J3705&gt;=0,$J3705=INT($J3705)),FALSE())),$J3705,0)</f>
        <v>0</v>
      </c>
      <c r="Q3705" s="64" t="n">
        <f aca="false">IF(AND($P3705&gt;0,$O3705&gt;0),$P3705,0)</f>
        <v>0</v>
      </c>
      <c r="R3705" s="64" t="n">
        <f aca="false">IF(AND($Q3705&gt;0,$O3705&gt;=AtRank),$Q3705,0)</f>
        <v>0</v>
      </c>
      <c r="S3705" s="64" t="n">
        <f aca="false">IF(AND($Q3705&gt;0,$O3705&gt;=AboveRank),$Q3705,0)</f>
        <v>0</v>
      </c>
      <c r="T3705" s="64" t="n">
        <f aca="false">IF($K3705="Less",$P3705,0)</f>
        <v>0</v>
      </c>
      <c r="U3705" s="64" t="n">
        <f aca="false">IF($K3705="Expected",$P3705,0)</f>
        <v>0</v>
      </c>
      <c r="V3705" s="64" t="n">
        <f aca="false">IF($K3705="Better",$P3705,0)</f>
        <v>0</v>
      </c>
      <c r="W3705" s="64" t="n">
        <f aca="false">IF($K3705="U – needs rule",$P3705,0)</f>
        <v>0</v>
      </c>
      <c r="X3705" s="64" t="n">
        <f aca="false">IF($K3705="No Start (attainment only)",$P3705,0)</f>
        <v>0</v>
      </c>
    </row>
    <row r="3706" customFormat="false" ht="15" hidden="false" customHeight="false" outlineLevel="0" collapsed="false">
      <c r="A3706" s="60"/>
      <c r="B3706" s="61" t="str">
        <f aca="false">IF($M3706=0,"",INDEX(Classes!$E$6:$E$420,$M3706))</f>
        <v/>
      </c>
      <c r="C3706" s="62" t="str">
        <f aca="false">IF($M3706=0,"",INDEX(Classes!$H$6:$H$420,$M3706))</f>
        <v/>
      </c>
      <c r="D3706" s="61" t="str">
        <f aca="false">IF($M3706=0,"",INDEX(Classes!$B$6:$B$420,$M3706))</f>
        <v/>
      </c>
      <c r="E3706" s="61" t="str">
        <f aca="false">IF($M3706=0,"",INDEX(Classes!$C$6:$C$420,$M3706))</f>
        <v/>
      </c>
      <c r="F3706" s="63"/>
      <c r="G3706" s="63"/>
      <c r="H3706" s="60"/>
      <c r="I3706" s="60"/>
      <c r="J3706" s="63"/>
      <c r="K3706" s="61" t="str">
        <f aca="false">IF($P3706=0,"",IF($F3706="Baseline","— Baseline",IF($O3706=0,"No result",IF($N3706=0,"No Start (attainment only)",IF(OR($N3706=1,$O3706=1),"U – needs rule",INDEX(MxBody,MATCH($I3706,MxCurr,0),MATCH($H3706,MxStart,0)))))))</f>
        <v/>
      </c>
      <c r="L3706" s="62" t="str">
        <f aca="false">IF(COUNTA($A3706,$F3706,$G3706,$H3706,$I3706,$J3706)=0,"",IF($M3706=0,"✖ كود الصف غير موجود",IF(ISNA(MATCH($F3706,Lists!$A$2:$A$5,0)),"✖ الفترة غير صحيحة",IF(ISNA(MATCH($G3706,Lists!$B$2:$B$7,0)),"✖ المجموعة غير صحيحة",IF(NOT(OR($H3706="",$N3706&gt;0)),"✖ Start غير صحيح",IF(NOT(OR($I3706="",$I3706="NR",$O3706&gt;0)),"✖ Current غير صحيح",IF(NOT(IF(ISNUMBER($J3706),AND($J3706&gt;=0,$J3706=INT($J3706)),FALSE())),"✖ العدد يجب أن يكون صحيحًا ≥ 0",IF(AND($F3706="Baseline",$H3706&lt;&gt;""),"⚠ Baseline: Start لا يدخل في التقدم",IF($K3706="No Start (attainment only)","ℹ تحصيل فقط (بدون Start)",IF($K3706="U – needs rule","ℹ حالة U تحتاج قاعدة معتمدة",IF($K3706="No result","ℹ بدون نتيجة (يُستبعد من التحصيل)","OK")))))))))))</f>
        <v/>
      </c>
      <c r="M3706" s="64" t="n">
        <f aca="false">IF($A3706="",0,IFERROR(MATCH($A3706,Classes!$A$6:$A$420,0),0))</f>
        <v>0</v>
      </c>
      <c r="N3706" s="64" t="n">
        <f aca="false">IF($H3706="",0,IFERROR(MATCH($H3706,GradeList,0),0))</f>
        <v>0</v>
      </c>
      <c r="O3706" s="64" t="n">
        <f aca="false">IF(OR($I3706="",$I3706="NR"),0,IFERROR(MATCH($I3706,GradeList,0),0))</f>
        <v>0</v>
      </c>
      <c r="P3706" s="64" t="n">
        <f aca="false">IF(AND($M3706&gt;0,ISNUMBER(MATCH($F3706,Lists!$A$2:$A$5,0)),ISNUMBER(MATCH($G3706,Lists!$B$2:$B$7,0)),OR($H3706="",$N3706&gt;0),OR($I3706="",$I3706="NR",$O3706&gt;0),IF(ISNUMBER($J3706),AND($J3706&gt;=0,$J3706=INT($J3706)),FALSE())),$J3706,0)</f>
        <v>0</v>
      </c>
      <c r="Q3706" s="64" t="n">
        <f aca="false">IF(AND($P3706&gt;0,$O3706&gt;0),$P3706,0)</f>
        <v>0</v>
      </c>
      <c r="R3706" s="64" t="n">
        <f aca="false">IF(AND($Q3706&gt;0,$O3706&gt;=AtRank),$Q3706,0)</f>
        <v>0</v>
      </c>
      <c r="S3706" s="64" t="n">
        <f aca="false">IF(AND($Q3706&gt;0,$O3706&gt;=AboveRank),$Q3706,0)</f>
        <v>0</v>
      </c>
      <c r="T3706" s="64" t="n">
        <f aca="false">IF($K3706="Less",$P3706,0)</f>
        <v>0</v>
      </c>
      <c r="U3706" s="64" t="n">
        <f aca="false">IF($K3706="Expected",$P3706,0)</f>
        <v>0</v>
      </c>
      <c r="V3706" s="64" t="n">
        <f aca="false">IF($K3706="Better",$P3706,0)</f>
        <v>0</v>
      </c>
      <c r="W3706" s="64" t="n">
        <f aca="false">IF($K3706="U – needs rule",$P3706,0)</f>
        <v>0</v>
      </c>
      <c r="X3706" s="64" t="n">
        <f aca="false">IF($K3706="No Start (attainment only)",$P3706,0)</f>
        <v>0</v>
      </c>
    </row>
    <row r="3707" customFormat="false" ht="15" hidden="false" customHeight="false" outlineLevel="0" collapsed="false">
      <c r="A3707" s="60"/>
      <c r="B3707" s="61" t="str">
        <f aca="false">IF($M3707=0,"",INDEX(Classes!$E$6:$E$420,$M3707))</f>
        <v/>
      </c>
      <c r="C3707" s="62" t="str">
        <f aca="false">IF($M3707=0,"",INDEX(Classes!$H$6:$H$420,$M3707))</f>
        <v/>
      </c>
      <c r="D3707" s="61" t="str">
        <f aca="false">IF($M3707=0,"",INDEX(Classes!$B$6:$B$420,$M3707))</f>
        <v/>
      </c>
      <c r="E3707" s="61" t="str">
        <f aca="false">IF($M3707=0,"",INDEX(Classes!$C$6:$C$420,$M3707))</f>
        <v/>
      </c>
      <c r="F3707" s="63"/>
      <c r="G3707" s="63"/>
      <c r="H3707" s="60"/>
      <c r="I3707" s="60"/>
      <c r="J3707" s="63"/>
      <c r="K3707" s="61" t="str">
        <f aca="false">IF($P3707=0,"",IF($F3707="Baseline","— Baseline",IF($O3707=0,"No result",IF($N3707=0,"No Start (attainment only)",IF(OR($N3707=1,$O3707=1),"U – needs rule",INDEX(MxBody,MATCH($I3707,MxCurr,0),MATCH($H3707,MxStart,0)))))))</f>
        <v/>
      </c>
      <c r="L3707" s="62" t="str">
        <f aca="false">IF(COUNTA($A3707,$F3707,$G3707,$H3707,$I3707,$J3707)=0,"",IF($M3707=0,"✖ كود الصف غير موجود",IF(ISNA(MATCH($F3707,Lists!$A$2:$A$5,0)),"✖ الفترة غير صحيحة",IF(ISNA(MATCH($G3707,Lists!$B$2:$B$7,0)),"✖ المجموعة غير صحيحة",IF(NOT(OR($H3707="",$N3707&gt;0)),"✖ Start غير صحيح",IF(NOT(OR($I3707="",$I3707="NR",$O3707&gt;0)),"✖ Current غير صحيح",IF(NOT(IF(ISNUMBER($J3707),AND($J3707&gt;=0,$J3707=INT($J3707)),FALSE())),"✖ العدد يجب أن يكون صحيحًا ≥ 0",IF(AND($F3707="Baseline",$H3707&lt;&gt;""),"⚠ Baseline: Start لا يدخل في التقدم",IF($K3707="No Start (attainment only)","ℹ تحصيل فقط (بدون Start)",IF($K3707="U – needs rule","ℹ حالة U تحتاج قاعدة معتمدة",IF($K3707="No result","ℹ بدون نتيجة (يُستبعد من التحصيل)","OK")))))))))))</f>
        <v/>
      </c>
      <c r="M3707" s="64" t="n">
        <f aca="false">IF($A3707="",0,IFERROR(MATCH($A3707,Classes!$A$6:$A$420,0),0))</f>
        <v>0</v>
      </c>
      <c r="N3707" s="64" t="n">
        <f aca="false">IF($H3707="",0,IFERROR(MATCH($H3707,GradeList,0),0))</f>
        <v>0</v>
      </c>
      <c r="O3707" s="64" t="n">
        <f aca="false">IF(OR($I3707="",$I3707="NR"),0,IFERROR(MATCH($I3707,GradeList,0),0))</f>
        <v>0</v>
      </c>
      <c r="P3707" s="64" t="n">
        <f aca="false">IF(AND($M3707&gt;0,ISNUMBER(MATCH($F3707,Lists!$A$2:$A$5,0)),ISNUMBER(MATCH($G3707,Lists!$B$2:$B$7,0)),OR($H3707="",$N3707&gt;0),OR($I3707="",$I3707="NR",$O3707&gt;0),IF(ISNUMBER($J3707),AND($J3707&gt;=0,$J3707=INT($J3707)),FALSE())),$J3707,0)</f>
        <v>0</v>
      </c>
      <c r="Q3707" s="64" t="n">
        <f aca="false">IF(AND($P3707&gt;0,$O3707&gt;0),$P3707,0)</f>
        <v>0</v>
      </c>
      <c r="R3707" s="64" t="n">
        <f aca="false">IF(AND($Q3707&gt;0,$O3707&gt;=AtRank),$Q3707,0)</f>
        <v>0</v>
      </c>
      <c r="S3707" s="64" t="n">
        <f aca="false">IF(AND($Q3707&gt;0,$O3707&gt;=AboveRank),$Q3707,0)</f>
        <v>0</v>
      </c>
      <c r="T3707" s="64" t="n">
        <f aca="false">IF($K3707="Less",$P3707,0)</f>
        <v>0</v>
      </c>
      <c r="U3707" s="64" t="n">
        <f aca="false">IF($K3707="Expected",$P3707,0)</f>
        <v>0</v>
      </c>
      <c r="V3707" s="64" t="n">
        <f aca="false">IF($K3707="Better",$P3707,0)</f>
        <v>0</v>
      </c>
      <c r="W3707" s="64" t="n">
        <f aca="false">IF($K3707="U – needs rule",$P3707,0)</f>
        <v>0</v>
      </c>
      <c r="X3707" s="64" t="n">
        <f aca="false">IF($K3707="No Start (attainment only)",$P3707,0)</f>
        <v>0</v>
      </c>
    </row>
    <row r="3708" customFormat="false" ht="15" hidden="false" customHeight="false" outlineLevel="0" collapsed="false">
      <c r="A3708" s="60"/>
      <c r="B3708" s="61" t="str">
        <f aca="false">IF($M3708=0,"",INDEX(Classes!$E$6:$E$420,$M3708))</f>
        <v/>
      </c>
      <c r="C3708" s="62" t="str">
        <f aca="false">IF($M3708=0,"",INDEX(Classes!$H$6:$H$420,$M3708))</f>
        <v/>
      </c>
      <c r="D3708" s="61" t="str">
        <f aca="false">IF($M3708=0,"",INDEX(Classes!$B$6:$B$420,$M3708))</f>
        <v/>
      </c>
      <c r="E3708" s="61" t="str">
        <f aca="false">IF($M3708=0,"",INDEX(Classes!$C$6:$C$420,$M3708))</f>
        <v/>
      </c>
      <c r="F3708" s="63"/>
      <c r="G3708" s="63"/>
      <c r="H3708" s="60"/>
      <c r="I3708" s="60"/>
      <c r="J3708" s="63"/>
      <c r="K3708" s="61" t="str">
        <f aca="false">IF($P3708=0,"",IF($F3708="Baseline","— Baseline",IF($O3708=0,"No result",IF($N3708=0,"No Start (attainment only)",IF(OR($N3708=1,$O3708=1),"U – needs rule",INDEX(MxBody,MATCH($I3708,MxCurr,0),MATCH($H3708,MxStart,0)))))))</f>
        <v/>
      </c>
      <c r="L3708" s="62" t="str">
        <f aca="false">IF(COUNTA($A3708,$F3708,$G3708,$H3708,$I3708,$J3708)=0,"",IF($M3708=0,"✖ كود الصف غير موجود",IF(ISNA(MATCH($F3708,Lists!$A$2:$A$5,0)),"✖ الفترة غير صحيحة",IF(ISNA(MATCH($G3708,Lists!$B$2:$B$7,0)),"✖ المجموعة غير صحيحة",IF(NOT(OR($H3708="",$N3708&gt;0)),"✖ Start غير صحيح",IF(NOT(OR($I3708="",$I3708="NR",$O3708&gt;0)),"✖ Current غير صحيح",IF(NOT(IF(ISNUMBER($J3708),AND($J3708&gt;=0,$J3708=INT($J3708)),FALSE())),"✖ العدد يجب أن يكون صحيحًا ≥ 0",IF(AND($F3708="Baseline",$H3708&lt;&gt;""),"⚠ Baseline: Start لا يدخل في التقدم",IF($K3708="No Start (attainment only)","ℹ تحصيل فقط (بدون Start)",IF($K3708="U – needs rule","ℹ حالة U تحتاج قاعدة معتمدة",IF($K3708="No result","ℹ بدون نتيجة (يُستبعد من التحصيل)","OK")))))))))))</f>
        <v/>
      </c>
      <c r="M3708" s="64" t="n">
        <f aca="false">IF($A3708="",0,IFERROR(MATCH($A3708,Classes!$A$6:$A$420,0),0))</f>
        <v>0</v>
      </c>
      <c r="N3708" s="64" t="n">
        <f aca="false">IF($H3708="",0,IFERROR(MATCH($H3708,GradeList,0),0))</f>
        <v>0</v>
      </c>
      <c r="O3708" s="64" t="n">
        <f aca="false">IF(OR($I3708="",$I3708="NR"),0,IFERROR(MATCH($I3708,GradeList,0),0))</f>
        <v>0</v>
      </c>
      <c r="P3708" s="64" t="n">
        <f aca="false">IF(AND($M3708&gt;0,ISNUMBER(MATCH($F3708,Lists!$A$2:$A$5,0)),ISNUMBER(MATCH($G3708,Lists!$B$2:$B$7,0)),OR($H3708="",$N3708&gt;0),OR($I3708="",$I3708="NR",$O3708&gt;0),IF(ISNUMBER($J3708),AND($J3708&gt;=0,$J3708=INT($J3708)),FALSE())),$J3708,0)</f>
        <v>0</v>
      </c>
      <c r="Q3708" s="64" t="n">
        <f aca="false">IF(AND($P3708&gt;0,$O3708&gt;0),$P3708,0)</f>
        <v>0</v>
      </c>
      <c r="R3708" s="64" t="n">
        <f aca="false">IF(AND($Q3708&gt;0,$O3708&gt;=AtRank),$Q3708,0)</f>
        <v>0</v>
      </c>
      <c r="S3708" s="64" t="n">
        <f aca="false">IF(AND($Q3708&gt;0,$O3708&gt;=AboveRank),$Q3708,0)</f>
        <v>0</v>
      </c>
      <c r="T3708" s="64" t="n">
        <f aca="false">IF($K3708="Less",$P3708,0)</f>
        <v>0</v>
      </c>
      <c r="U3708" s="64" t="n">
        <f aca="false">IF($K3708="Expected",$P3708,0)</f>
        <v>0</v>
      </c>
      <c r="V3708" s="64" t="n">
        <f aca="false">IF($K3708="Better",$P3708,0)</f>
        <v>0</v>
      </c>
      <c r="W3708" s="64" t="n">
        <f aca="false">IF($K3708="U – needs rule",$P3708,0)</f>
        <v>0</v>
      </c>
      <c r="X3708" s="64" t="n">
        <f aca="false">IF($K3708="No Start (attainment only)",$P3708,0)</f>
        <v>0</v>
      </c>
    </row>
    <row r="3709" customFormat="false" ht="15" hidden="false" customHeight="false" outlineLevel="0" collapsed="false">
      <c r="A3709" s="60"/>
      <c r="B3709" s="61" t="str">
        <f aca="false">IF($M3709=0,"",INDEX(Classes!$E$6:$E$420,$M3709))</f>
        <v/>
      </c>
      <c r="C3709" s="62" t="str">
        <f aca="false">IF($M3709=0,"",INDEX(Classes!$H$6:$H$420,$M3709))</f>
        <v/>
      </c>
      <c r="D3709" s="61" t="str">
        <f aca="false">IF($M3709=0,"",INDEX(Classes!$B$6:$B$420,$M3709))</f>
        <v/>
      </c>
      <c r="E3709" s="61" t="str">
        <f aca="false">IF($M3709=0,"",INDEX(Classes!$C$6:$C$420,$M3709))</f>
        <v/>
      </c>
      <c r="F3709" s="63"/>
      <c r="G3709" s="63"/>
      <c r="H3709" s="60"/>
      <c r="I3709" s="60"/>
      <c r="J3709" s="63"/>
      <c r="K3709" s="61" t="str">
        <f aca="false">IF($P3709=0,"",IF($F3709="Baseline","— Baseline",IF($O3709=0,"No result",IF($N3709=0,"No Start (attainment only)",IF(OR($N3709=1,$O3709=1),"U – needs rule",INDEX(MxBody,MATCH($I3709,MxCurr,0),MATCH($H3709,MxStart,0)))))))</f>
        <v/>
      </c>
      <c r="L3709" s="62" t="str">
        <f aca="false">IF(COUNTA($A3709,$F3709,$G3709,$H3709,$I3709,$J3709)=0,"",IF($M3709=0,"✖ كود الصف غير موجود",IF(ISNA(MATCH($F3709,Lists!$A$2:$A$5,0)),"✖ الفترة غير صحيحة",IF(ISNA(MATCH($G3709,Lists!$B$2:$B$7,0)),"✖ المجموعة غير صحيحة",IF(NOT(OR($H3709="",$N3709&gt;0)),"✖ Start غير صحيح",IF(NOT(OR($I3709="",$I3709="NR",$O3709&gt;0)),"✖ Current غير صحيح",IF(NOT(IF(ISNUMBER($J3709),AND($J3709&gt;=0,$J3709=INT($J3709)),FALSE())),"✖ العدد يجب أن يكون صحيحًا ≥ 0",IF(AND($F3709="Baseline",$H3709&lt;&gt;""),"⚠ Baseline: Start لا يدخل في التقدم",IF($K3709="No Start (attainment only)","ℹ تحصيل فقط (بدون Start)",IF($K3709="U – needs rule","ℹ حالة U تحتاج قاعدة معتمدة",IF($K3709="No result","ℹ بدون نتيجة (يُستبعد من التحصيل)","OK")))))))))))</f>
        <v/>
      </c>
      <c r="M3709" s="64" t="n">
        <f aca="false">IF($A3709="",0,IFERROR(MATCH($A3709,Classes!$A$6:$A$420,0),0))</f>
        <v>0</v>
      </c>
      <c r="N3709" s="64" t="n">
        <f aca="false">IF($H3709="",0,IFERROR(MATCH($H3709,GradeList,0),0))</f>
        <v>0</v>
      </c>
      <c r="O3709" s="64" t="n">
        <f aca="false">IF(OR($I3709="",$I3709="NR"),0,IFERROR(MATCH($I3709,GradeList,0),0))</f>
        <v>0</v>
      </c>
      <c r="P3709" s="64" t="n">
        <f aca="false">IF(AND($M3709&gt;0,ISNUMBER(MATCH($F3709,Lists!$A$2:$A$5,0)),ISNUMBER(MATCH($G3709,Lists!$B$2:$B$7,0)),OR($H3709="",$N3709&gt;0),OR($I3709="",$I3709="NR",$O3709&gt;0),IF(ISNUMBER($J3709),AND($J3709&gt;=0,$J3709=INT($J3709)),FALSE())),$J3709,0)</f>
        <v>0</v>
      </c>
      <c r="Q3709" s="64" t="n">
        <f aca="false">IF(AND($P3709&gt;0,$O3709&gt;0),$P3709,0)</f>
        <v>0</v>
      </c>
      <c r="R3709" s="64" t="n">
        <f aca="false">IF(AND($Q3709&gt;0,$O3709&gt;=AtRank),$Q3709,0)</f>
        <v>0</v>
      </c>
      <c r="S3709" s="64" t="n">
        <f aca="false">IF(AND($Q3709&gt;0,$O3709&gt;=AboveRank),$Q3709,0)</f>
        <v>0</v>
      </c>
      <c r="T3709" s="64" t="n">
        <f aca="false">IF($K3709="Less",$P3709,0)</f>
        <v>0</v>
      </c>
      <c r="U3709" s="64" t="n">
        <f aca="false">IF($K3709="Expected",$P3709,0)</f>
        <v>0</v>
      </c>
      <c r="V3709" s="64" t="n">
        <f aca="false">IF($K3709="Better",$P3709,0)</f>
        <v>0</v>
      </c>
      <c r="W3709" s="64" t="n">
        <f aca="false">IF($K3709="U – needs rule",$P3709,0)</f>
        <v>0</v>
      </c>
      <c r="X3709" s="64" t="n">
        <f aca="false">IF($K3709="No Start (attainment only)",$P3709,0)</f>
        <v>0</v>
      </c>
    </row>
    <row r="3710" customFormat="false" ht="15" hidden="false" customHeight="false" outlineLevel="0" collapsed="false">
      <c r="A3710" s="60"/>
      <c r="B3710" s="61" t="str">
        <f aca="false">IF($M3710=0,"",INDEX(Classes!$E$6:$E$420,$M3710))</f>
        <v/>
      </c>
      <c r="C3710" s="62" t="str">
        <f aca="false">IF($M3710=0,"",INDEX(Classes!$H$6:$H$420,$M3710))</f>
        <v/>
      </c>
      <c r="D3710" s="61" t="str">
        <f aca="false">IF($M3710=0,"",INDEX(Classes!$B$6:$B$420,$M3710))</f>
        <v/>
      </c>
      <c r="E3710" s="61" t="str">
        <f aca="false">IF($M3710=0,"",INDEX(Classes!$C$6:$C$420,$M3710))</f>
        <v/>
      </c>
      <c r="F3710" s="63"/>
      <c r="G3710" s="63"/>
      <c r="H3710" s="60"/>
      <c r="I3710" s="60"/>
      <c r="J3710" s="63"/>
      <c r="K3710" s="61" t="str">
        <f aca="false">IF($P3710=0,"",IF($F3710="Baseline","— Baseline",IF($O3710=0,"No result",IF($N3710=0,"No Start (attainment only)",IF(OR($N3710=1,$O3710=1),"U – needs rule",INDEX(MxBody,MATCH($I3710,MxCurr,0),MATCH($H3710,MxStart,0)))))))</f>
        <v/>
      </c>
      <c r="L3710" s="62" t="str">
        <f aca="false">IF(COUNTA($A3710,$F3710,$G3710,$H3710,$I3710,$J3710)=0,"",IF($M3710=0,"✖ كود الصف غير موجود",IF(ISNA(MATCH($F3710,Lists!$A$2:$A$5,0)),"✖ الفترة غير صحيحة",IF(ISNA(MATCH($G3710,Lists!$B$2:$B$7,0)),"✖ المجموعة غير صحيحة",IF(NOT(OR($H3710="",$N3710&gt;0)),"✖ Start غير صحيح",IF(NOT(OR($I3710="",$I3710="NR",$O3710&gt;0)),"✖ Current غير صحيح",IF(NOT(IF(ISNUMBER($J3710),AND($J3710&gt;=0,$J3710=INT($J3710)),FALSE())),"✖ العدد يجب أن يكون صحيحًا ≥ 0",IF(AND($F3710="Baseline",$H3710&lt;&gt;""),"⚠ Baseline: Start لا يدخل في التقدم",IF($K3710="No Start (attainment only)","ℹ تحصيل فقط (بدون Start)",IF($K3710="U – needs rule","ℹ حالة U تحتاج قاعدة معتمدة",IF($K3710="No result","ℹ بدون نتيجة (يُستبعد من التحصيل)","OK")))))))))))</f>
        <v/>
      </c>
      <c r="M3710" s="64" t="n">
        <f aca="false">IF($A3710="",0,IFERROR(MATCH($A3710,Classes!$A$6:$A$420,0),0))</f>
        <v>0</v>
      </c>
      <c r="N3710" s="64" t="n">
        <f aca="false">IF($H3710="",0,IFERROR(MATCH($H3710,GradeList,0),0))</f>
        <v>0</v>
      </c>
      <c r="O3710" s="64" t="n">
        <f aca="false">IF(OR($I3710="",$I3710="NR"),0,IFERROR(MATCH($I3710,GradeList,0),0))</f>
        <v>0</v>
      </c>
      <c r="P3710" s="64" t="n">
        <f aca="false">IF(AND($M3710&gt;0,ISNUMBER(MATCH($F3710,Lists!$A$2:$A$5,0)),ISNUMBER(MATCH($G3710,Lists!$B$2:$B$7,0)),OR($H3710="",$N3710&gt;0),OR($I3710="",$I3710="NR",$O3710&gt;0),IF(ISNUMBER($J3710),AND($J3710&gt;=0,$J3710=INT($J3710)),FALSE())),$J3710,0)</f>
        <v>0</v>
      </c>
      <c r="Q3710" s="64" t="n">
        <f aca="false">IF(AND($P3710&gt;0,$O3710&gt;0),$P3710,0)</f>
        <v>0</v>
      </c>
      <c r="R3710" s="64" t="n">
        <f aca="false">IF(AND($Q3710&gt;0,$O3710&gt;=AtRank),$Q3710,0)</f>
        <v>0</v>
      </c>
      <c r="S3710" s="64" t="n">
        <f aca="false">IF(AND($Q3710&gt;0,$O3710&gt;=AboveRank),$Q3710,0)</f>
        <v>0</v>
      </c>
      <c r="T3710" s="64" t="n">
        <f aca="false">IF($K3710="Less",$P3710,0)</f>
        <v>0</v>
      </c>
      <c r="U3710" s="64" t="n">
        <f aca="false">IF($K3710="Expected",$P3710,0)</f>
        <v>0</v>
      </c>
      <c r="V3710" s="64" t="n">
        <f aca="false">IF($K3710="Better",$P3710,0)</f>
        <v>0</v>
      </c>
      <c r="W3710" s="64" t="n">
        <f aca="false">IF($K3710="U – needs rule",$P3710,0)</f>
        <v>0</v>
      </c>
      <c r="X3710" s="64" t="n">
        <f aca="false">IF($K3710="No Start (attainment only)",$P3710,0)</f>
        <v>0</v>
      </c>
    </row>
    <row r="3711" customFormat="false" ht="15" hidden="false" customHeight="false" outlineLevel="0" collapsed="false">
      <c r="A3711" s="60"/>
      <c r="B3711" s="61" t="str">
        <f aca="false">IF($M3711=0,"",INDEX(Classes!$E$6:$E$420,$M3711))</f>
        <v/>
      </c>
      <c r="C3711" s="62" t="str">
        <f aca="false">IF($M3711=0,"",INDEX(Classes!$H$6:$H$420,$M3711))</f>
        <v/>
      </c>
      <c r="D3711" s="61" t="str">
        <f aca="false">IF($M3711=0,"",INDEX(Classes!$B$6:$B$420,$M3711))</f>
        <v/>
      </c>
      <c r="E3711" s="61" t="str">
        <f aca="false">IF($M3711=0,"",INDEX(Classes!$C$6:$C$420,$M3711))</f>
        <v/>
      </c>
      <c r="F3711" s="63"/>
      <c r="G3711" s="63"/>
      <c r="H3711" s="60"/>
      <c r="I3711" s="60"/>
      <c r="J3711" s="63"/>
      <c r="K3711" s="61" t="str">
        <f aca="false">IF($P3711=0,"",IF($F3711="Baseline","— Baseline",IF($O3711=0,"No result",IF($N3711=0,"No Start (attainment only)",IF(OR($N3711=1,$O3711=1),"U – needs rule",INDEX(MxBody,MATCH($I3711,MxCurr,0),MATCH($H3711,MxStart,0)))))))</f>
        <v/>
      </c>
      <c r="L3711" s="62" t="str">
        <f aca="false">IF(COUNTA($A3711,$F3711,$G3711,$H3711,$I3711,$J3711)=0,"",IF($M3711=0,"✖ كود الصف غير موجود",IF(ISNA(MATCH($F3711,Lists!$A$2:$A$5,0)),"✖ الفترة غير صحيحة",IF(ISNA(MATCH($G3711,Lists!$B$2:$B$7,0)),"✖ المجموعة غير صحيحة",IF(NOT(OR($H3711="",$N3711&gt;0)),"✖ Start غير صحيح",IF(NOT(OR($I3711="",$I3711="NR",$O3711&gt;0)),"✖ Current غير صحيح",IF(NOT(IF(ISNUMBER($J3711),AND($J3711&gt;=0,$J3711=INT($J3711)),FALSE())),"✖ العدد يجب أن يكون صحيحًا ≥ 0",IF(AND($F3711="Baseline",$H3711&lt;&gt;""),"⚠ Baseline: Start لا يدخل في التقدم",IF($K3711="No Start (attainment only)","ℹ تحصيل فقط (بدون Start)",IF($K3711="U – needs rule","ℹ حالة U تحتاج قاعدة معتمدة",IF($K3711="No result","ℹ بدون نتيجة (يُستبعد من التحصيل)","OK")))))))))))</f>
        <v/>
      </c>
      <c r="M3711" s="64" t="n">
        <f aca="false">IF($A3711="",0,IFERROR(MATCH($A3711,Classes!$A$6:$A$420,0),0))</f>
        <v>0</v>
      </c>
      <c r="N3711" s="64" t="n">
        <f aca="false">IF($H3711="",0,IFERROR(MATCH($H3711,GradeList,0),0))</f>
        <v>0</v>
      </c>
      <c r="O3711" s="64" t="n">
        <f aca="false">IF(OR($I3711="",$I3711="NR"),0,IFERROR(MATCH($I3711,GradeList,0),0))</f>
        <v>0</v>
      </c>
      <c r="P3711" s="64" t="n">
        <f aca="false">IF(AND($M3711&gt;0,ISNUMBER(MATCH($F3711,Lists!$A$2:$A$5,0)),ISNUMBER(MATCH($G3711,Lists!$B$2:$B$7,0)),OR($H3711="",$N3711&gt;0),OR($I3711="",$I3711="NR",$O3711&gt;0),IF(ISNUMBER($J3711),AND($J3711&gt;=0,$J3711=INT($J3711)),FALSE())),$J3711,0)</f>
        <v>0</v>
      </c>
      <c r="Q3711" s="64" t="n">
        <f aca="false">IF(AND($P3711&gt;0,$O3711&gt;0),$P3711,0)</f>
        <v>0</v>
      </c>
      <c r="R3711" s="64" t="n">
        <f aca="false">IF(AND($Q3711&gt;0,$O3711&gt;=AtRank),$Q3711,0)</f>
        <v>0</v>
      </c>
      <c r="S3711" s="64" t="n">
        <f aca="false">IF(AND($Q3711&gt;0,$O3711&gt;=AboveRank),$Q3711,0)</f>
        <v>0</v>
      </c>
      <c r="T3711" s="64" t="n">
        <f aca="false">IF($K3711="Less",$P3711,0)</f>
        <v>0</v>
      </c>
      <c r="U3711" s="64" t="n">
        <f aca="false">IF($K3711="Expected",$P3711,0)</f>
        <v>0</v>
      </c>
      <c r="V3711" s="64" t="n">
        <f aca="false">IF($K3711="Better",$P3711,0)</f>
        <v>0</v>
      </c>
      <c r="W3711" s="64" t="n">
        <f aca="false">IF($K3711="U – needs rule",$P3711,0)</f>
        <v>0</v>
      </c>
      <c r="X3711" s="64" t="n">
        <f aca="false">IF($K3711="No Start (attainment only)",$P3711,0)</f>
        <v>0</v>
      </c>
    </row>
    <row r="3712" customFormat="false" ht="15" hidden="false" customHeight="false" outlineLevel="0" collapsed="false">
      <c r="A3712" s="60"/>
      <c r="B3712" s="61" t="str">
        <f aca="false">IF($M3712=0,"",INDEX(Classes!$E$6:$E$420,$M3712))</f>
        <v/>
      </c>
      <c r="C3712" s="62" t="str">
        <f aca="false">IF($M3712=0,"",INDEX(Classes!$H$6:$H$420,$M3712))</f>
        <v/>
      </c>
      <c r="D3712" s="61" t="str">
        <f aca="false">IF($M3712=0,"",INDEX(Classes!$B$6:$B$420,$M3712))</f>
        <v/>
      </c>
      <c r="E3712" s="61" t="str">
        <f aca="false">IF($M3712=0,"",INDEX(Classes!$C$6:$C$420,$M3712))</f>
        <v/>
      </c>
      <c r="F3712" s="63"/>
      <c r="G3712" s="63"/>
      <c r="H3712" s="60"/>
      <c r="I3712" s="60"/>
      <c r="J3712" s="63"/>
      <c r="K3712" s="61" t="str">
        <f aca="false">IF($P3712=0,"",IF($F3712="Baseline","— Baseline",IF($O3712=0,"No result",IF($N3712=0,"No Start (attainment only)",IF(OR($N3712=1,$O3712=1),"U – needs rule",INDEX(MxBody,MATCH($I3712,MxCurr,0),MATCH($H3712,MxStart,0)))))))</f>
        <v/>
      </c>
      <c r="L3712" s="62" t="str">
        <f aca="false">IF(COUNTA($A3712,$F3712,$G3712,$H3712,$I3712,$J3712)=0,"",IF($M3712=0,"✖ كود الصف غير موجود",IF(ISNA(MATCH($F3712,Lists!$A$2:$A$5,0)),"✖ الفترة غير صحيحة",IF(ISNA(MATCH($G3712,Lists!$B$2:$B$7,0)),"✖ المجموعة غير صحيحة",IF(NOT(OR($H3712="",$N3712&gt;0)),"✖ Start غير صحيح",IF(NOT(OR($I3712="",$I3712="NR",$O3712&gt;0)),"✖ Current غير صحيح",IF(NOT(IF(ISNUMBER($J3712),AND($J3712&gt;=0,$J3712=INT($J3712)),FALSE())),"✖ العدد يجب أن يكون صحيحًا ≥ 0",IF(AND($F3712="Baseline",$H3712&lt;&gt;""),"⚠ Baseline: Start لا يدخل في التقدم",IF($K3712="No Start (attainment only)","ℹ تحصيل فقط (بدون Start)",IF($K3712="U – needs rule","ℹ حالة U تحتاج قاعدة معتمدة",IF($K3712="No result","ℹ بدون نتيجة (يُستبعد من التحصيل)","OK")))))))))))</f>
        <v/>
      </c>
      <c r="M3712" s="64" t="n">
        <f aca="false">IF($A3712="",0,IFERROR(MATCH($A3712,Classes!$A$6:$A$420,0),0))</f>
        <v>0</v>
      </c>
      <c r="N3712" s="64" t="n">
        <f aca="false">IF($H3712="",0,IFERROR(MATCH($H3712,GradeList,0),0))</f>
        <v>0</v>
      </c>
      <c r="O3712" s="64" t="n">
        <f aca="false">IF(OR($I3712="",$I3712="NR"),0,IFERROR(MATCH($I3712,GradeList,0),0))</f>
        <v>0</v>
      </c>
      <c r="P3712" s="64" t="n">
        <f aca="false">IF(AND($M3712&gt;0,ISNUMBER(MATCH($F3712,Lists!$A$2:$A$5,0)),ISNUMBER(MATCH($G3712,Lists!$B$2:$B$7,0)),OR($H3712="",$N3712&gt;0),OR($I3712="",$I3712="NR",$O3712&gt;0),IF(ISNUMBER($J3712),AND($J3712&gt;=0,$J3712=INT($J3712)),FALSE())),$J3712,0)</f>
        <v>0</v>
      </c>
      <c r="Q3712" s="64" t="n">
        <f aca="false">IF(AND($P3712&gt;0,$O3712&gt;0),$P3712,0)</f>
        <v>0</v>
      </c>
      <c r="R3712" s="64" t="n">
        <f aca="false">IF(AND($Q3712&gt;0,$O3712&gt;=AtRank),$Q3712,0)</f>
        <v>0</v>
      </c>
      <c r="S3712" s="64" t="n">
        <f aca="false">IF(AND($Q3712&gt;0,$O3712&gt;=AboveRank),$Q3712,0)</f>
        <v>0</v>
      </c>
      <c r="T3712" s="64" t="n">
        <f aca="false">IF($K3712="Less",$P3712,0)</f>
        <v>0</v>
      </c>
      <c r="U3712" s="64" t="n">
        <f aca="false">IF($K3712="Expected",$P3712,0)</f>
        <v>0</v>
      </c>
      <c r="V3712" s="64" t="n">
        <f aca="false">IF($K3712="Better",$P3712,0)</f>
        <v>0</v>
      </c>
      <c r="W3712" s="64" t="n">
        <f aca="false">IF($K3712="U – needs rule",$P3712,0)</f>
        <v>0</v>
      </c>
      <c r="X3712" s="64" t="n">
        <f aca="false">IF($K3712="No Start (attainment only)",$P3712,0)</f>
        <v>0</v>
      </c>
    </row>
    <row r="3713" customFormat="false" ht="15" hidden="false" customHeight="false" outlineLevel="0" collapsed="false">
      <c r="A3713" s="60"/>
      <c r="B3713" s="61" t="str">
        <f aca="false">IF($M3713=0,"",INDEX(Classes!$E$6:$E$420,$M3713))</f>
        <v/>
      </c>
      <c r="C3713" s="62" t="str">
        <f aca="false">IF($M3713=0,"",INDEX(Classes!$H$6:$H$420,$M3713))</f>
        <v/>
      </c>
      <c r="D3713" s="61" t="str">
        <f aca="false">IF($M3713=0,"",INDEX(Classes!$B$6:$B$420,$M3713))</f>
        <v/>
      </c>
      <c r="E3713" s="61" t="str">
        <f aca="false">IF($M3713=0,"",INDEX(Classes!$C$6:$C$420,$M3713))</f>
        <v/>
      </c>
      <c r="F3713" s="63"/>
      <c r="G3713" s="63"/>
      <c r="H3713" s="60"/>
      <c r="I3713" s="60"/>
      <c r="J3713" s="63"/>
      <c r="K3713" s="61" t="str">
        <f aca="false">IF($P3713=0,"",IF($F3713="Baseline","— Baseline",IF($O3713=0,"No result",IF($N3713=0,"No Start (attainment only)",IF(OR($N3713=1,$O3713=1),"U – needs rule",INDEX(MxBody,MATCH($I3713,MxCurr,0),MATCH($H3713,MxStart,0)))))))</f>
        <v/>
      </c>
      <c r="L3713" s="62" t="str">
        <f aca="false">IF(COUNTA($A3713,$F3713,$G3713,$H3713,$I3713,$J3713)=0,"",IF($M3713=0,"✖ كود الصف غير موجود",IF(ISNA(MATCH($F3713,Lists!$A$2:$A$5,0)),"✖ الفترة غير صحيحة",IF(ISNA(MATCH($G3713,Lists!$B$2:$B$7,0)),"✖ المجموعة غير صحيحة",IF(NOT(OR($H3713="",$N3713&gt;0)),"✖ Start غير صحيح",IF(NOT(OR($I3713="",$I3713="NR",$O3713&gt;0)),"✖ Current غير صحيح",IF(NOT(IF(ISNUMBER($J3713),AND($J3713&gt;=0,$J3713=INT($J3713)),FALSE())),"✖ العدد يجب أن يكون صحيحًا ≥ 0",IF(AND($F3713="Baseline",$H3713&lt;&gt;""),"⚠ Baseline: Start لا يدخل في التقدم",IF($K3713="No Start (attainment only)","ℹ تحصيل فقط (بدون Start)",IF($K3713="U – needs rule","ℹ حالة U تحتاج قاعدة معتمدة",IF($K3713="No result","ℹ بدون نتيجة (يُستبعد من التحصيل)","OK")))))))))))</f>
        <v/>
      </c>
      <c r="M3713" s="64" t="n">
        <f aca="false">IF($A3713="",0,IFERROR(MATCH($A3713,Classes!$A$6:$A$420,0),0))</f>
        <v>0</v>
      </c>
      <c r="N3713" s="64" t="n">
        <f aca="false">IF($H3713="",0,IFERROR(MATCH($H3713,GradeList,0),0))</f>
        <v>0</v>
      </c>
      <c r="O3713" s="64" t="n">
        <f aca="false">IF(OR($I3713="",$I3713="NR"),0,IFERROR(MATCH($I3713,GradeList,0),0))</f>
        <v>0</v>
      </c>
      <c r="P3713" s="64" t="n">
        <f aca="false">IF(AND($M3713&gt;0,ISNUMBER(MATCH($F3713,Lists!$A$2:$A$5,0)),ISNUMBER(MATCH($G3713,Lists!$B$2:$B$7,0)),OR($H3713="",$N3713&gt;0),OR($I3713="",$I3713="NR",$O3713&gt;0),IF(ISNUMBER($J3713),AND($J3713&gt;=0,$J3713=INT($J3713)),FALSE())),$J3713,0)</f>
        <v>0</v>
      </c>
      <c r="Q3713" s="64" t="n">
        <f aca="false">IF(AND($P3713&gt;0,$O3713&gt;0),$P3713,0)</f>
        <v>0</v>
      </c>
      <c r="R3713" s="64" t="n">
        <f aca="false">IF(AND($Q3713&gt;0,$O3713&gt;=AtRank),$Q3713,0)</f>
        <v>0</v>
      </c>
      <c r="S3713" s="64" t="n">
        <f aca="false">IF(AND($Q3713&gt;0,$O3713&gt;=AboveRank),$Q3713,0)</f>
        <v>0</v>
      </c>
      <c r="T3713" s="64" t="n">
        <f aca="false">IF($K3713="Less",$P3713,0)</f>
        <v>0</v>
      </c>
      <c r="U3713" s="64" t="n">
        <f aca="false">IF($K3713="Expected",$P3713,0)</f>
        <v>0</v>
      </c>
      <c r="V3713" s="64" t="n">
        <f aca="false">IF($K3713="Better",$P3713,0)</f>
        <v>0</v>
      </c>
      <c r="W3713" s="64" t="n">
        <f aca="false">IF($K3713="U – needs rule",$P3713,0)</f>
        <v>0</v>
      </c>
      <c r="X3713" s="64" t="n">
        <f aca="false">IF($K3713="No Start (attainment only)",$P3713,0)</f>
        <v>0</v>
      </c>
    </row>
    <row r="3714" customFormat="false" ht="15" hidden="false" customHeight="false" outlineLevel="0" collapsed="false">
      <c r="A3714" s="60"/>
      <c r="B3714" s="61" t="str">
        <f aca="false">IF($M3714=0,"",INDEX(Classes!$E$6:$E$420,$M3714))</f>
        <v/>
      </c>
      <c r="C3714" s="62" t="str">
        <f aca="false">IF($M3714=0,"",INDEX(Classes!$H$6:$H$420,$M3714))</f>
        <v/>
      </c>
      <c r="D3714" s="61" t="str">
        <f aca="false">IF($M3714=0,"",INDEX(Classes!$B$6:$B$420,$M3714))</f>
        <v/>
      </c>
      <c r="E3714" s="61" t="str">
        <f aca="false">IF($M3714=0,"",INDEX(Classes!$C$6:$C$420,$M3714))</f>
        <v/>
      </c>
      <c r="F3714" s="63"/>
      <c r="G3714" s="63"/>
      <c r="H3714" s="60"/>
      <c r="I3714" s="60"/>
      <c r="J3714" s="63"/>
      <c r="K3714" s="61" t="str">
        <f aca="false">IF($P3714=0,"",IF($F3714="Baseline","— Baseline",IF($O3714=0,"No result",IF($N3714=0,"No Start (attainment only)",IF(OR($N3714=1,$O3714=1),"U – needs rule",INDEX(MxBody,MATCH($I3714,MxCurr,0),MATCH($H3714,MxStart,0)))))))</f>
        <v/>
      </c>
      <c r="L3714" s="62" t="str">
        <f aca="false">IF(COUNTA($A3714,$F3714,$G3714,$H3714,$I3714,$J3714)=0,"",IF($M3714=0,"✖ كود الصف غير موجود",IF(ISNA(MATCH($F3714,Lists!$A$2:$A$5,0)),"✖ الفترة غير صحيحة",IF(ISNA(MATCH($G3714,Lists!$B$2:$B$7,0)),"✖ المجموعة غير صحيحة",IF(NOT(OR($H3714="",$N3714&gt;0)),"✖ Start غير صحيح",IF(NOT(OR($I3714="",$I3714="NR",$O3714&gt;0)),"✖ Current غير صحيح",IF(NOT(IF(ISNUMBER($J3714),AND($J3714&gt;=0,$J3714=INT($J3714)),FALSE())),"✖ العدد يجب أن يكون صحيحًا ≥ 0",IF(AND($F3714="Baseline",$H3714&lt;&gt;""),"⚠ Baseline: Start لا يدخل في التقدم",IF($K3714="No Start (attainment only)","ℹ تحصيل فقط (بدون Start)",IF($K3714="U – needs rule","ℹ حالة U تحتاج قاعدة معتمدة",IF($K3714="No result","ℹ بدون نتيجة (يُستبعد من التحصيل)","OK")))))))))))</f>
        <v/>
      </c>
      <c r="M3714" s="64" t="n">
        <f aca="false">IF($A3714="",0,IFERROR(MATCH($A3714,Classes!$A$6:$A$420,0),0))</f>
        <v>0</v>
      </c>
      <c r="N3714" s="64" t="n">
        <f aca="false">IF($H3714="",0,IFERROR(MATCH($H3714,GradeList,0),0))</f>
        <v>0</v>
      </c>
      <c r="O3714" s="64" t="n">
        <f aca="false">IF(OR($I3714="",$I3714="NR"),0,IFERROR(MATCH($I3714,GradeList,0),0))</f>
        <v>0</v>
      </c>
      <c r="P3714" s="64" t="n">
        <f aca="false">IF(AND($M3714&gt;0,ISNUMBER(MATCH($F3714,Lists!$A$2:$A$5,0)),ISNUMBER(MATCH($G3714,Lists!$B$2:$B$7,0)),OR($H3714="",$N3714&gt;0),OR($I3714="",$I3714="NR",$O3714&gt;0),IF(ISNUMBER($J3714),AND($J3714&gt;=0,$J3714=INT($J3714)),FALSE())),$J3714,0)</f>
        <v>0</v>
      </c>
      <c r="Q3714" s="64" t="n">
        <f aca="false">IF(AND($P3714&gt;0,$O3714&gt;0),$P3714,0)</f>
        <v>0</v>
      </c>
      <c r="R3714" s="64" t="n">
        <f aca="false">IF(AND($Q3714&gt;0,$O3714&gt;=AtRank),$Q3714,0)</f>
        <v>0</v>
      </c>
      <c r="S3714" s="64" t="n">
        <f aca="false">IF(AND($Q3714&gt;0,$O3714&gt;=AboveRank),$Q3714,0)</f>
        <v>0</v>
      </c>
      <c r="T3714" s="64" t="n">
        <f aca="false">IF($K3714="Less",$P3714,0)</f>
        <v>0</v>
      </c>
      <c r="U3714" s="64" t="n">
        <f aca="false">IF($K3714="Expected",$P3714,0)</f>
        <v>0</v>
      </c>
      <c r="V3714" s="64" t="n">
        <f aca="false">IF($K3714="Better",$P3714,0)</f>
        <v>0</v>
      </c>
      <c r="W3714" s="64" t="n">
        <f aca="false">IF($K3714="U – needs rule",$P3714,0)</f>
        <v>0</v>
      </c>
      <c r="X3714" s="64" t="n">
        <f aca="false">IF($K3714="No Start (attainment only)",$P3714,0)</f>
        <v>0</v>
      </c>
    </row>
    <row r="3715" customFormat="false" ht="15" hidden="false" customHeight="false" outlineLevel="0" collapsed="false">
      <c r="A3715" s="60"/>
      <c r="B3715" s="61" t="str">
        <f aca="false">IF($M3715=0,"",INDEX(Classes!$E$6:$E$420,$M3715))</f>
        <v/>
      </c>
      <c r="C3715" s="62" t="str">
        <f aca="false">IF($M3715=0,"",INDEX(Classes!$H$6:$H$420,$M3715))</f>
        <v/>
      </c>
      <c r="D3715" s="61" t="str">
        <f aca="false">IF($M3715=0,"",INDEX(Classes!$B$6:$B$420,$M3715))</f>
        <v/>
      </c>
      <c r="E3715" s="61" t="str">
        <f aca="false">IF($M3715=0,"",INDEX(Classes!$C$6:$C$420,$M3715))</f>
        <v/>
      </c>
      <c r="F3715" s="63"/>
      <c r="G3715" s="63"/>
      <c r="H3715" s="60"/>
      <c r="I3715" s="60"/>
      <c r="J3715" s="63"/>
      <c r="K3715" s="61" t="str">
        <f aca="false">IF($P3715=0,"",IF($F3715="Baseline","— Baseline",IF($O3715=0,"No result",IF($N3715=0,"No Start (attainment only)",IF(OR($N3715=1,$O3715=1),"U – needs rule",INDEX(MxBody,MATCH($I3715,MxCurr,0),MATCH($H3715,MxStart,0)))))))</f>
        <v/>
      </c>
      <c r="L3715" s="62" t="str">
        <f aca="false">IF(COUNTA($A3715,$F3715,$G3715,$H3715,$I3715,$J3715)=0,"",IF($M3715=0,"✖ كود الصف غير موجود",IF(ISNA(MATCH($F3715,Lists!$A$2:$A$5,0)),"✖ الفترة غير صحيحة",IF(ISNA(MATCH($G3715,Lists!$B$2:$B$7,0)),"✖ المجموعة غير صحيحة",IF(NOT(OR($H3715="",$N3715&gt;0)),"✖ Start غير صحيح",IF(NOT(OR($I3715="",$I3715="NR",$O3715&gt;0)),"✖ Current غير صحيح",IF(NOT(IF(ISNUMBER($J3715),AND($J3715&gt;=0,$J3715=INT($J3715)),FALSE())),"✖ العدد يجب أن يكون صحيحًا ≥ 0",IF(AND($F3715="Baseline",$H3715&lt;&gt;""),"⚠ Baseline: Start لا يدخل في التقدم",IF($K3715="No Start (attainment only)","ℹ تحصيل فقط (بدون Start)",IF($K3715="U – needs rule","ℹ حالة U تحتاج قاعدة معتمدة",IF($K3715="No result","ℹ بدون نتيجة (يُستبعد من التحصيل)","OK")))))))))))</f>
        <v/>
      </c>
      <c r="M3715" s="64" t="n">
        <f aca="false">IF($A3715="",0,IFERROR(MATCH($A3715,Classes!$A$6:$A$420,0),0))</f>
        <v>0</v>
      </c>
      <c r="N3715" s="64" t="n">
        <f aca="false">IF($H3715="",0,IFERROR(MATCH($H3715,GradeList,0),0))</f>
        <v>0</v>
      </c>
      <c r="O3715" s="64" t="n">
        <f aca="false">IF(OR($I3715="",$I3715="NR"),0,IFERROR(MATCH($I3715,GradeList,0),0))</f>
        <v>0</v>
      </c>
      <c r="P3715" s="64" t="n">
        <f aca="false">IF(AND($M3715&gt;0,ISNUMBER(MATCH($F3715,Lists!$A$2:$A$5,0)),ISNUMBER(MATCH($G3715,Lists!$B$2:$B$7,0)),OR($H3715="",$N3715&gt;0),OR($I3715="",$I3715="NR",$O3715&gt;0),IF(ISNUMBER($J3715),AND($J3715&gt;=0,$J3715=INT($J3715)),FALSE())),$J3715,0)</f>
        <v>0</v>
      </c>
      <c r="Q3715" s="64" t="n">
        <f aca="false">IF(AND($P3715&gt;0,$O3715&gt;0),$P3715,0)</f>
        <v>0</v>
      </c>
      <c r="R3715" s="64" t="n">
        <f aca="false">IF(AND($Q3715&gt;0,$O3715&gt;=AtRank),$Q3715,0)</f>
        <v>0</v>
      </c>
      <c r="S3715" s="64" t="n">
        <f aca="false">IF(AND($Q3715&gt;0,$O3715&gt;=AboveRank),$Q3715,0)</f>
        <v>0</v>
      </c>
      <c r="T3715" s="64" t="n">
        <f aca="false">IF($K3715="Less",$P3715,0)</f>
        <v>0</v>
      </c>
      <c r="U3715" s="64" t="n">
        <f aca="false">IF($K3715="Expected",$P3715,0)</f>
        <v>0</v>
      </c>
      <c r="V3715" s="64" t="n">
        <f aca="false">IF($K3715="Better",$P3715,0)</f>
        <v>0</v>
      </c>
      <c r="W3715" s="64" t="n">
        <f aca="false">IF($K3715="U – needs rule",$P3715,0)</f>
        <v>0</v>
      </c>
      <c r="X3715" s="64" t="n">
        <f aca="false">IF($K3715="No Start (attainment only)",$P3715,0)</f>
        <v>0</v>
      </c>
    </row>
    <row r="3716" customFormat="false" ht="15" hidden="false" customHeight="false" outlineLevel="0" collapsed="false">
      <c r="A3716" s="60"/>
      <c r="B3716" s="61" t="str">
        <f aca="false">IF($M3716=0,"",INDEX(Classes!$E$6:$E$420,$M3716))</f>
        <v/>
      </c>
      <c r="C3716" s="62" t="str">
        <f aca="false">IF($M3716=0,"",INDEX(Classes!$H$6:$H$420,$M3716))</f>
        <v/>
      </c>
      <c r="D3716" s="61" t="str">
        <f aca="false">IF($M3716=0,"",INDEX(Classes!$B$6:$B$420,$M3716))</f>
        <v/>
      </c>
      <c r="E3716" s="61" t="str">
        <f aca="false">IF($M3716=0,"",INDEX(Classes!$C$6:$C$420,$M3716))</f>
        <v/>
      </c>
      <c r="F3716" s="63"/>
      <c r="G3716" s="63"/>
      <c r="H3716" s="60"/>
      <c r="I3716" s="60"/>
      <c r="J3716" s="63"/>
      <c r="K3716" s="61" t="str">
        <f aca="false">IF($P3716=0,"",IF($F3716="Baseline","— Baseline",IF($O3716=0,"No result",IF($N3716=0,"No Start (attainment only)",IF(OR($N3716=1,$O3716=1),"U – needs rule",INDEX(MxBody,MATCH($I3716,MxCurr,0),MATCH($H3716,MxStart,0)))))))</f>
        <v/>
      </c>
      <c r="L3716" s="62" t="str">
        <f aca="false">IF(COUNTA($A3716,$F3716,$G3716,$H3716,$I3716,$J3716)=0,"",IF($M3716=0,"✖ كود الصف غير موجود",IF(ISNA(MATCH($F3716,Lists!$A$2:$A$5,0)),"✖ الفترة غير صحيحة",IF(ISNA(MATCH($G3716,Lists!$B$2:$B$7,0)),"✖ المجموعة غير صحيحة",IF(NOT(OR($H3716="",$N3716&gt;0)),"✖ Start غير صحيح",IF(NOT(OR($I3716="",$I3716="NR",$O3716&gt;0)),"✖ Current غير صحيح",IF(NOT(IF(ISNUMBER($J3716),AND($J3716&gt;=0,$J3716=INT($J3716)),FALSE())),"✖ العدد يجب أن يكون صحيحًا ≥ 0",IF(AND($F3716="Baseline",$H3716&lt;&gt;""),"⚠ Baseline: Start لا يدخل في التقدم",IF($K3716="No Start (attainment only)","ℹ تحصيل فقط (بدون Start)",IF($K3716="U – needs rule","ℹ حالة U تحتاج قاعدة معتمدة",IF($K3716="No result","ℹ بدون نتيجة (يُستبعد من التحصيل)","OK")))))))))))</f>
        <v/>
      </c>
      <c r="M3716" s="64" t="n">
        <f aca="false">IF($A3716="",0,IFERROR(MATCH($A3716,Classes!$A$6:$A$420,0),0))</f>
        <v>0</v>
      </c>
      <c r="N3716" s="64" t="n">
        <f aca="false">IF($H3716="",0,IFERROR(MATCH($H3716,GradeList,0),0))</f>
        <v>0</v>
      </c>
      <c r="O3716" s="64" t="n">
        <f aca="false">IF(OR($I3716="",$I3716="NR"),0,IFERROR(MATCH($I3716,GradeList,0),0))</f>
        <v>0</v>
      </c>
      <c r="P3716" s="64" t="n">
        <f aca="false">IF(AND($M3716&gt;0,ISNUMBER(MATCH($F3716,Lists!$A$2:$A$5,0)),ISNUMBER(MATCH($G3716,Lists!$B$2:$B$7,0)),OR($H3716="",$N3716&gt;0),OR($I3716="",$I3716="NR",$O3716&gt;0),IF(ISNUMBER($J3716),AND($J3716&gt;=0,$J3716=INT($J3716)),FALSE())),$J3716,0)</f>
        <v>0</v>
      </c>
      <c r="Q3716" s="64" t="n">
        <f aca="false">IF(AND($P3716&gt;0,$O3716&gt;0),$P3716,0)</f>
        <v>0</v>
      </c>
      <c r="R3716" s="64" t="n">
        <f aca="false">IF(AND($Q3716&gt;0,$O3716&gt;=AtRank),$Q3716,0)</f>
        <v>0</v>
      </c>
      <c r="S3716" s="64" t="n">
        <f aca="false">IF(AND($Q3716&gt;0,$O3716&gt;=AboveRank),$Q3716,0)</f>
        <v>0</v>
      </c>
      <c r="T3716" s="64" t="n">
        <f aca="false">IF($K3716="Less",$P3716,0)</f>
        <v>0</v>
      </c>
      <c r="U3716" s="64" t="n">
        <f aca="false">IF($K3716="Expected",$P3716,0)</f>
        <v>0</v>
      </c>
      <c r="V3716" s="64" t="n">
        <f aca="false">IF($K3716="Better",$P3716,0)</f>
        <v>0</v>
      </c>
      <c r="W3716" s="64" t="n">
        <f aca="false">IF($K3716="U – needs rule",$P3716,0)</f>
        <v>0</v>
      </c>
      <c r="X3716" s="64" t="n">
        <f aca="false">IF($K3716="No Start (attainment only)",$P3716,0)</f>
        <v>0</v>
      </c>
    </row>
    <row r="3717" customFormat="false" ht="15" hidden="false" customHeight="false" outlineLevel="0" collapsed="false">
      <c r="A3717" s="60"/>
      <c r="B3717" s="61" t="str">
        <f aca="false">IF($M3717=0,"",INDEX(Classes!$E$6:$E$420,$M3717))</f>
        <v/>
      </c>
      <c r="C3717" s="62" t="str">
        <f aca="false">IF($M3717=0,"",INDEX(Classes!$H$6:$H$420,$M3717))</f>
        <v/>
      </c>
      <c r="D3717" s="61" t="str">
        <f aca="false">IF($M3717=0,"",INDEX(Classes!$B$6:$B$420,$M3717))</f>
        <v/>
      </c>
      <c r="E3717" s="61" t="str">
        <f aca="false">IF($M3717=0,"",INDEX(Classes!$C$6:$C$420,$M3717))</f>
        <v/>
      </c>
      <c r="F3717" s="63"/>
      <c r="G3717" s="63"/>
      <c r="H3717" s="60"/>
      <c r="I3717" s="60"/>
      <c r="J3717" s="63"/>
      <c r="K3717" s="61" t="str">
        <f aca="false">IF($P3717=0,"",IF($F3717="Baseline","— Baseline",IF($O3717=0,"No result",IF($N3717=0,"No Start (attainment only)",IF(OR($N3717=1,$O3717=1),"U – needs rule",INDEX(MxBody,MATCH($I3717,MxCurr,0),MATCH($H3717,MxStart,0)))))))</f>
        <v/>
      </c>
      <c r="L3717" s="62" t="str">
        <f aca="false">IF(COUNTA($A3717,$F3717,$G3717,$H3717,$I3717,$J3717)=0,"",IF($M3717=0,"✖ كود الصف غير موجود",IF(ISNA(MATCH($F3717,Lists!$A$2:$A$5,0)),"✖ الفترة غير صحيحة",IF(ISNA(MATCH($G3717,Lists!$B$2:$B$7,0)),"✖ المجموعة غير صحيحة",IF(NOT(OR($H3717="",$N3717&gt;0)),"✖ Start غير صحيح",IF(NOT(OR($I3717="",$I3717="NR",$O3717&gt;0)),"✖ Current غير صحيح",IF(NOT(IF(ISNUMBER($J3717),AND($J3717&gt;=0,$J3717=INT($J3717)),FALSE())),"✖ العدد يجب أن يكون صحيحًا ≥ 0",IF(AND($F3717="Baseline",$H3717&lt;&gt;""),"⚠ Baseline: Start لا يدخل في التقدم",IF($K3717="No Start (attainment only)","ℹ تحصيل فقط (بدون Start)",IF($K3717="U – needs rule","ℹ حالة U تحتاج قاعدة معتمدة",IF($K3717="No result","ℹ بدون نتيجة (يُستبعد من التحصيل)","OK")))))))))))</f>
        <v/>
      </c>
      <c r="M3717" s="64" t="n">
        <f aca="false">IF($A3717="",0,IFERROR(MATCH($A3717,Classes!$A$6:$A$420,0),0))</f>
        <v>0</v>
      </c>
      <c r="N3717" s="64" t="n">
        <f aca="false">IF($H3717="",0,IFERROR(MATCH($H3717,GradeList,0),0))</f>
        <v>0</v>
      </c>
      <c r="O3717" s="64" t="n">
        <f aca="false">IF(OR($I3717="",$I3717="NR"),0,IFERROR(MATCH($I3717,GradeList,0),0))</f>
        <v>0</v>
      </c>
      <c r="P3717" s="64" t="n">
        <f aca="false">IF(AND($M3717&gt;0,ISNUMBER(MATCH($F3717,Lists!$A$2:$A$5,0)),ISNUMBER(MATCH($G3717,Lists!$B$2:$B$7,0)),OR($H3717="",$N3717&gt;0),OR($I3717="",$I3717="NR",$O3717&gt;0),IF(ISNUMBER($J3717),AND($J3717&gt;=0,$J3717=INT($J3717)),FALSE())),$J3717,0)</f>
        <v>0</v>
      </c>
      <c r="Q3717" s="64" t="n">
        <f aca="false">IF(AND($P3717&gt;0,$O3717&gt;0),$P3717,0)</f>
        <v>0</v>
      </c>
      <c r="R3717" s="64" t="n">
        <f aca="false">IF(AND($Q3717&gt;0,$O3717&gt;=AtRank),$Q3717,0)</f>
        <v>0</v>
      </c>
      <c r="S3717" s="64" t="n">
        <f aca="false">IF(AND($Q3717&gt;0,$O3717&gt;=AboveRank),$Q3717,0)</f>
        <v>0</v>
      </c>
      <c r="T3717" s="64" t="n">
        <f aca="false">IF($K3717="Less",$P3717,0)</f>
        <v>0</v>
      </c>
      <c r="U3717" s="64" t="n">
        <f aca="false">IF($K3717="Expected",$P3717,0)</f>
        <v>0</v>
      </c>
      <c r="V3717" s="64" t="n">
        <f aca="false">IF($K3717="Better",$P3717,0)</f>
        <v>0</v>
      </c>
      <c r="W3717" s="64" t="n">
        <f aca="false">IF($K3717="U – needs rule",$P3717,0)</f>
        <v>0</v>
      </c>
      <c r="X3717" s="64" t="n">
        <f aca="false">IF($K3717="No Start (attainment only)",$P3717,0)</f>
        <v>0</v>
      </c>
    </row>
    <row r="3718" customFormat="false" ht="15" hidden="false" customHeight="false" outlineLevel="0" collapsed="false">
      <c r="A3718" s="60"/>
      <c r="B3718" s="61" t="str">
        <f aca="false">IF($M3718=0,"",INDEX(Classes!$E$6:$E$420,$M3718))</f>
        <v/>
      </c>
      <c r="C3718" s="62" t="str">
        <f aca="false">IF($M3718=0,"",INDEX(Classes!$H$6:$H$420,$M3718))</f>
        <v/>
      </c>
      <c r="D3718" s="61" t="str">
        <f aca="false">IF($M3718=0,"",INDEX(Classes!$B$6:$B$420,$M3718))</f>
        <v/>
      </c>
      <c r="E3718" s="61" t="str">
        <f aca="false">IF($M3718=0,"",INDEX(Classes!$C$6:$C$420,$M3718))</f>
        <v/>
      </c>
      <c r="F3718" s="63"/>
      <c r="G3718" s="63"/>
      <c r="H3718" s="60"/>
      <c r="I3718" s="60"/>
      <c r="J3718" s="63"/>
      <c r="K3718" s="61" t="str">
        <f aca="false">IF($P3718=0,"",IF($F3718="Baseline","— Baseline",IF($O3718=0,"No result",IF($N3718=0,"No Start (attainment only)",IF(OR($N3718=1,$O3718=1),"U – needs rule",INDEX(MxBody,MATCH($I3718,MxCurr,0),MATCH($H3718,MxStart,0)))))))</f>
        <v/>
      </c>
      <c r="L3718" s="62" t="str">
        <f aca="false">IF(COUNTA($A3718,$F3718,$G3718,$H3718,$I3718,$J3718)=0,"",IF($M3718=0,"✖ كود الصف غير موجود",IF(ISNA(MATCH($F3718,Lists!$A$2:$A$5,0)),"✖ الفترة غير صحيحة",IF(ISNA(MATCH($G3718,Lists!$B$2:$B$7,0)),"✖ المجموعة غير صحيحة",IF(NOT(OR($H3718="",$N3718&gt;0)),"✖ Start غير صحيح",IF(NOT(OR($I3718="",$I3718="NR",$O3718&gt;0)),"✖ Current غير صحيح",IF(NOT(IF(ISNUMBER($J3718),AND($J3718&gt;=0,$J3718=INT($J3718)),FALSE())),"✖ العدد يجب أن يكون صحيحًا ≥ 0",IF(AND($F3718="Baseline",$H3718&lt;&gt;""),"⚠ Baseline: Start لا يدخل في التقدم",IF($K3718="No Start (attainment only)","ℹ تحصيل فقط (بدون Start)",IF($K3718="U – needs rule","ℹ حالة U تحتاج قاعدة معتمدة",IF($K3718="No result","ℹ بدون نتيجة (يُستبعد من التحصيل)","OK")))))))))))</f>
        <v/>
      </c>
      <c r="M3718" s="64" t="n">
        <f aca="false">IF($A3718="",0,IFERROR(MATCH($A3718,Classes!$A$6:$A$420,0),0))</f>
        <v>0</v>
      </c>
      <c r="N3718" s="64" t="n">
        <f aca="false">IF($H3718="",0,IFERROR(MATCH($H3718,GradeList,0),0))</f>
        <v>0</v>
      </c>
      <c r="O3718" s="64" t="n">
        <f aca="false">IF(OR($I3718="",$I3718="NR"),0,IFERROR(MATCH($I3718,GradeList,0),0))</f>
        <v>0</v>
      </c>
      <c r="P3718" s="64" t="n">
        <f aca="false">IF(AND($M3718&gt;0,ISNUMBER(MATCH($F3718,Lists!$A$2:$A$5,0)),ISNUMBER(MATCH($G3718,Lists!$B$2:$B$7,0)),OR($H3718="",$N3718&gt;0),OR($I3718="",$I3718="NR",$O3718&gt;0),IF(ISNUMBER($J3718),AND($J3718&gt;=0,$J3718=INT($J3718)),FALSE())),$J3718,0)</f>
        <v>0</v>
      </c>
      <c r="Q3718" s="64" t="n">
        <f aca="false">IF(AND($P3718&gt;0,$O3718&gt;0),$P3718,0)</f>
        <v>0</v>
      </c>
      <c r="R3718" s="64" t="n">
        <f aca="false">IF(AND($Q3718&gt;0,$O3718&gt;=AtRank),$Q3718,0)</f>
        <v>0</v>
      </c>
      <c r="S3718" s="64" t="n">
        <f aca="false">IF(AND($Q3718&gt;0,$O3718&gt;=AboveRank),$Q3718,0)</f>
        <v>0</v>
      </c>
      <c r="T3718" s="64" t="n">
        <f aca="false">IF($K3718="Less",$P3718,0)</f>
        <v>0</v>
      </c>
      <c r="U3718" s="64" t="n">
        <f aca="false">IF($K3718="Expected",$P3718,0)</f>
        <v>0</v>
      </c>
      <c r="V3718" s="64" t="n">
        <f aca="false">IF($K3718="Better",$P3718,0)</f>
        <v>0</v>
      </c>
      <c r="W3718" s="64" t="n">
        <f aca="false">IF($K3718="U – needs rule",$P3718,0)</f>
        <v>0</v>
      </c>
      <c r="X3718" s="64" t="n">
        <f aca="false">IF($K3718="No Start (attainment only)",$P3718,0)</f>
        <v>0</v>
      </c>
    </row>
    <row r="3719" customFormat="false" ht="15" hidden="false" customHeight="false" outlineLevel="0" collapsed="false">
      <c r="A3719" s="60"/>
      <c r="B3719" s="61" t="str">
        <f aca="false">IF($M3719=0,"",INDEX(Classes!$E$6:$E$420,$M3719))</f>
        <v/>
      </c>
      <c r="C3719" s="62" t="str">
        <f aca="false">IF($M3719=0,"",INDEX(Classes!$H$6:$H$420,$M3719))</f>
        <v/>
      </c>
      <c r="D3719" s="61" t="str">
        <f aca="false">IF($M3719=0,"",INDEX(Classes!$B$6:$B$420,$M3719))</f>
        <v/>
      </c>
      <c r="E3719" s="61" t="str">
        <f aca="false">IF($M3719=0,"",INDEX(Classes!$C$6:$C$420,$M3719))</f>
        <v/>
      </c>
      <c r="F3719" s="63"/>
      <c r="G3719" s="63"/>
      <c r="H3719" s="60"/>
      <c r="I3719" s="60"/>
      <c r="J3719" s="63"/>
      <c r="K3719" s="61" t="str">
        <f aca="false">IF($P3719=0,"",IF($F3719="Baseline","— Baseline",IF($O3719=0,"No result",IF($N3719=0,"No Start (attainment only)",IF(OR($N3719=1,$O3719=1),"U – needs rule",INDEX(MxBody,MATCH($I3719,MxCurr,0),MATCH($H3719,MxStart,0)))))))</f>
        <v/>
      </c>
      <c r="L3719" s="62" t="str">
        <f aca="false">IF(COUNTA($A3719,$F3719,$G3719,$H3719,$I3719,$J3719)=0,"",IF($M3719=0,"✖ كود الصف غير موجود",IF(ISNA(MATCH($F3719,Lists!$A$2:$A$5,0)),"✖ الفترة غير صحيحة",IF(ISNA(MATCH($G3719,Lists!$B$2:$B$7,0)),"✖ المجموعة غير صحيحة",IF(NOT(OR($H3719="",$N3719&gt;0)),"✖ Start غير صحيح",IF(NOT(OR($I3719="",$I3719="NR",$O3719&gt;0)),"✖ Current غير صحيح",IF(NOT(IF(ISNUMBER($J3719),AND($J3719&gt;=0,$J3719=INT($J3719)),FALSE())),"✖ العدد يجب أن يكون صحيحًا ≥ 0",IF(AND($F3719="Baseline",$H3719&lt;&gt;""),"⚠ Baseline: Start لا يدخل في التقدم",IF($K3719="No Start (attainment only)","ℹ تحصيل فقط (بدون Start)",IF($K3719="U – needs rule","ℹ حالة U تحتاج قاعدة معتمدة",IF($K3719="No result","ℹ بدون نتيجة (يُستبعد من التحصيل)","OK")))))))))))</f>
        <v/>
      </c>
      <c r="M3719" s="64" t="n">
        <f aca="false">IF($A3719="",0,IFERROR(MATCH($A3719,Classes!$A$6:$A$420,0),0))</f>
        <v>0</v>
      </c>
      <c r="N3719" s="64" t="n">
        <f aca="false">IF($H3719="",0,IFERROR(MATCH($H3719,GradeList,0),0))</f>
        <v>0</v>
      </c>
      <c r="O3719" s="64" t="n">
        <f aca="false">IF(OR($I3719="",$I3719="NR"),0,IFERROR(MATCH($I3719,GradeList,0),0))</f>
        <v>0</v>
      </c>
      <c r="P3719" s="64" t="n">
        <f aca="false">IF(AND($M3719&gt;0,ISNUMBER(MATCH($F3719,Lists!$A$2:$A$5,0)),ISNUMBER(MATCH($G3719,Lists!$B$2:$B$7,0)),OR($H3719="",$N3719&gt;0),OR($I3719="",$I3719="NR",$O3719&gt;0),IF(ISNUMBER($J3719),AND($J3719&gt;=0,$J3719=INT($J3719)),FALSE())),$J3719,0)</f>
        <v>0</v>
      </c>
      <c r="Q3719" s="64" t="n">
        <f aca="false">IF(AND($P3719&gt;0,$O3719&gt;0),$P3719,0)</f>
        <v>0</v>
      </c>
      <c r="R3719" s="64" t="n">
        <f aca="false">IF(AND($Q3719&gt;0,$O3719&gt;=AtRank),$Q3719,0)</f>
        <v>0</v>
      </c>
      <c r="S3719" s="64" t="n">
        <f aca="false">IF(AND($Q3719&gt;0,$O3719&gt;=AboveRank),$Q3719,0)</f>
        <v>0</v>
      </c>
      <c r="T3719" s="64" t="n">
        <f aca="false">IF($K3719="Less",$P3719,0)</f>
        <v>0</v>
      </c>
      <c r="U3719" s="64" t="n">
        <f aca="false">IF($K3719="Expected",$P3719,0)</f>
        <v>0</v>
      </c>
      <c r="V3719" s="64" t="n">
        <f aca="false">IF($K3719="Better",$P3719,0)</f>
        <v>0</v>
      </c>
      <c r="W3719" s="64" t="n">
        <f aca="false">IF($K3719="U – needs rule",$P3719,0)</f>
        <v>0</v>
      </c>
      <c r="X3719" s="64" t="n">
        <f aca="false">IF($K3719="No Start (attainment only)",$P3719,0)</f>
        <v>0</v>
      </c>
    </row>
    <row r="3720" customFormat="false" ht="15" hidden="false" customHeight="false" outlineLevel="0" collapsed="false">
      <c r="A3720" s="60"/>
      <c r="B3720" s="61" t="str">
        <f aca="false">IF($M3720=0,"",INDEX(Classes!$E$6:$E$420,$M3720))</f>
        <v/>
      </c>
      <c r="C3720" s="62" t="str">
        <f aca="false">IF($M3720=0,"",INDEX(Classes!$H$6:$H$420,$M3720))</f>
        <v/>
      </c>
      <c r="D3720" s="61" t="str">
        <f aca="false">IF($M3720=0,"",INDEX(Classes!$B$6:$B$420,$M3720))</f>
        <v/>
      </c>
      <c r="E3720" s="61" t="str">
        <f aca="false">IF($M3720=0,"",INDEX(Classes!$C$6:$C$420,$M3720))</f>
        <v/>
      </c>
      <c r="F3720" s="63"/>
      <c r="G3720" s="63"/>
      <c r="H3720" s="60"/>
      <c r="I3720" s="60"/>
      <c r="J3720" s="63"/>
      <c r="K3720" s="61" t="str">
        <f aca="false">IF($P3720=0,"",IF($F3720="Baseline","— Baseline",IF($O3720=0,"No result",IF($N3720=0,"No Start (attainment only)",IF(OR($N3720=1,$O3720=1),"U – needs rule",INDEX(MxBody,MATCH($I3720,MxCurr,0),MATCH($H3720,MxStart,0)))))))</f>
        <v/>
      </c>
      <c r="L3720" s="62" t="str">
        <f aca="false">IF(COUNTA($A3720,$F3720,$G3720,$H3720,$I3720,$J3720)=0,"",IF($M3720=0,"✖ كود الصف غير موجود",IF(ISNA(MATCH($F3720,Lists!$A$2:$A$5,0)),"✖ الفترة غير صحيحة",IF(ISNA(MATCH($G3720,Lists!$B$2:$B$7,0)),"✖ المجموعة غير صحيحة",IF(NOT(OR($H3720="",$N3720&gt;0)),"✖ Start غير صحيح",IF(NOT(OR($I3720="",$I3720="NR",$O3720&gt;0)),"✖ Current غير صحيح",IF(NOT(IF(ISNUMBER($J3720),AND($J3720&gt;=0,$J3720=INT($J3720)),FALSE())),"✖ العدد يجب أن يكون صحيحًا ≥ 0",IF(AND($F3720="Baseline",$H3720&lt;&gt;""),"⚠ Baseline: Start لا يدخل في التقدم",IF($K3720="No Start (attainment only)","ℹ تحصيل فقط (بدون Start)",IF($K3720="U – needs rule","ℹ حالة U تحتاج قاعدة معتمدة",IF($K3720="No result","ℹ بدون نتيجة (يُستبعد من التحصيل)","OK")))))))))))</f>
        <v/>
      </c>
      <c r="M3720" s="64" t="n">
        <f aca="false">IF($A3720="",0,IFERROR(MATCH($A3720,Classes!$A$6:$A$420,0),0))</f>
        <v>0</v>
      </c>
      <c r="N3720" s="64" t="n">
        <f aca="false">IF($H3720="",0,IFERROR(MATCH($H3720,GradeList,0),0))</f>
        <v>0</v>
      </c>
      <c r="O3720" s="64" t="n">
        <f aca="false">IF(OR($I3720="",$I3720="NR"),0,IFERROR(MATCH($I3720,GradeList,0),0))</f>
        <v>0</v>
      </c>
      <c r="P3720" s="64" t="n">
        <f aca="false">IF(AND($M3720&gt;0,ISNUMBER(MATCH($F3720,Lists!$A$2:$A$5,0)),ISNUMBER(MATCH($G3720,Lists!$B$2:$B$7,0)),OR($H3720="",$N3720&gt;0),OR($I3720="",$I3720="NR",$O3720&gt;0),IF(ISNUMBER($J3720),AND($J3720&gt;=0,$J3720=INT($J3720)),FALSE())),$J3720,0)</f>
        <v>0</v>
      </c>
      <c r="Q3720" s="64" t="n">
        <f aca="false">IF(AND($P3720&gt;0,$O3720&gt;0),$P3720,0)</f>
        <v>0</v>
      </c>
      <c r="R3720" s="64" t="n">
        <f aca="false">IF(AND($Q3720&gt;0,$O3720&gt;=AtRank),$Q3720,0)</f>
        <v>0</v>
      </c>
      <c r="S3720" s="64" t="n">
        <f aca="false">IF(AND($Q3720&gt;0,$O3720&gt;=AboveRank),$Q3720,0)</f>
        <v>0</v>
      </c>
      <c r="T3720" s="64" t="n">
        <f aca="false">IF($K3720="Less",$P3720,0)</f>
        <v>0</v>
      </c>
      <c r="U3720" s="64" t="n">
        <f aca="false">IF($K3720="Expected",$P3720,0)</f>
        <v>0</v>
      </c>
      <c r="V3720" s="64" t="n">
        <f aca="false">IF($K3720="Better",$P3720,0)</f>
        <v>0</v>
      </c>
      <c r="W3720" s="64" t="n">
        <f aca="false">IF($K3720="U – needs rule",$P3720,0)</f>
        <v>0</v>
      </c>
      <c r="X3720" s="64" t="n">
        <f aca="false">IF($K3720="No Start (attainment only)",$P3720,0)</f>
        <v>0</v>
      </c>
    </row>
    <row r="3721" customFormat="false" ht="15" hidden="false" customHeight="false" outlineLevel="0" collapsed="false">
      <c r="A3721" s="60"/>
      <c r="B3721" s="61" t="str">
        <f aca="false">IF($M3721=0,"",INDEX(Classes!$E$6:$E$420,$M3721))</f>
        <v/>
      </c>
      <c r="C3721" s="62" t="str">
        <f aca="false">IF($M3721=0,"",INDEX(Classes!$H$6:$H$420,$M3721))</f>
        <v/>
      </c>
      <c r="D3721" s="61" t="str">
        <f aca="false">IF($M3721=0,"",INDEX(Classes!$B$6:$B$420,$M3721))</f>
        <v/>
      </c>
      <c r="E3721" s="61" t="str">
        <f aca="false">IF($M3721=0,"",INDEX(Classes!$C$6:$C$420,$M3721))</f>
        <v/>
      </c>
      <c r="F3721" s="63"/>
      <c r="G3721" s="63"/>
      <c r="H3721" s="60"/>
      <c r="I3721" s="60"/>
      <c r="J3721" s="63"/>
      <c r="K3721" s="61" t="str">
        <f aca="false">IF($P3721=0,"",IF($F3721="Baseline","— Baseline",IF($O3721=0,"No result",IF($N3721=0,"No Start (attainment only)",IF(OR($N3721=1,$O3721=1),"U – needs rule",INDEX(MxBody,MATCH($I3721,MxCurr,0),MATCH($H3721,MxStart,0)))))))</f>
        <v/>
      </c>
      <c r="L3721" s="62" t="str">
        <f aca="false">IF(COUNTA($A3721,$F3721,$G3721,$H3721,$I3721,$J3721)=0,"",IF($M3721=0,"✖ كود الصف غير موجود",IF(ISNA(MATCH($F3721,Lists!$A$2:$A$5,0)),"✖ الفترة غير صحيحة",IF(ISNA(MATCH($G3721,Lists!$B$2:$B$7,0)),"✖ المجموعة غير صحيحة",IF(NOT(OR($H3721="",$N3721&gt;0)),"✖ Start غير صحيح",IF(NOT(OR($I3721="",$I3721="NR",$O3721&gt;0)),"✖ Current غير صحيح",IF(NOT(IF(ISNUMBER($J3721),AND($J3721&gt;=0,$J3721=INT($J3721)),FALSE())),"✖ العدد يجب أن يكون صحيحًا ≥ 0",IF(AND($F3721="Baseline",$H3721&lt;&gt;""),"⚠ Baseline: Start لا يدخل في التقدم",IF($K3721="No Start (attainment only)","ℹ تحصيل فقط (بدون Start)",IF($K3721="U – needs rule","ℹ حالة U تحتاج قاعدة معتمدة",IF($K3721="No result","ℹ بدون نتيجة (يُستبعد من التحصيل)","OK")))))))))))</f>
        <v/>
      </c>
      <c r="M3721" s="64" t="n">
        <f aca="false">IF($A3721="",0,IFERROR(MATCH($A3721,Classes!$A$6:$A$420,0),0))</f>
        <v>0</v>
      </c>
      <c r="N3721" s="64" t="n">
        <f aca="false">IF($H3721="",0,IFERROR(MATCH($H3721,GradeList,0),0))</f>
        <v>0</v>
      </c>
      <c r="O3721" s="64" t="n">
        <f aca="false">IF(OR($I3721="",$I3721="NR"),0,IFERROR(MATCH($I3721,GradeList,0),0))</f>
        <v>0</v>
      </c>
      <c r="P3721" s="64" t="n">
        <f aca="false">IF(AND($M3721&gt;0,ISNUMBER(MATCH($F3721,Lists!$A$2:$A$5,0)),ISNUMBER(MATCH($G3721,Lists!$B$2:$B$7,0)),OR($H3721="",$N3721&gt;0),OR($I3721="",$I3721="NR",$O3721&gt;0),IF(ISNUMBER($J3721),AND($J3721&gt;=0,$J3721=INT($J3721)),FALSE())),$J3721,0)</f>
        <v>0</v>
      </c>
      <c r="Q3721" s="64" t="n">
        <f aca="false">IF(AND($P3721&gt;0,$O3721&gt;0),$P3721,0)</f>
        <v>0</v>
      </c>
      <c r="R3721" s="64" t="n">
        <f aca="false">IF(AND($Q3721&gt;0,$O3721&gt;=AtRank),$Q3721,0)</f>
        <v>0</v>
      </c>
      <c r="S3721" s="64" t="n">
        <f aca="false">IF(AND($Q3721&gt;0,$O3721&gt;=AboveRank),$Q3721,0)</f>
        <v>0</v>
      </c>
      <c r="T3721" s="64" t="n">
        <f aca="false">IF($K3721="Less",$P3721,0)</f>
        <v>0</v>
      </c>
      <c r="U3721" s="64" t="n">
        <f aca="false">IF($K3721="Expected",$P3721,0)</f>
        <v>0</v>
      </c>
      <c r="V3721" s="64" t="n">
        <f aca="false">IF($K3721="Better",$P3721,0)</f>
        <v>0</v>
      </c>
      <c r="W3721" s="64" t="n">
        <f aca="false">IF($K3721="U – needs rule",$P3721,0)</f>
        <v>0</v>
      </c>
      <c r="X3721" s="64" t="n">
        <f aca="false">IF($K3721="No Start (attainment only)",$P3721,0)</f>
        <v>0</v>
      </c>
    </row>
    <row r="3722" customFormat="false" ht="15" hidden="false" customHeight="false" outlineLevel="0" collapsed="false">
      <c r="A3722" s="60"/>
      <c r="B3722" s="61" t="str">
        <f aca="false">IF($M3722=0,"",INDEX(Classes!$E$6:$E$420,$M3722))</f>
        <v/>
      </c>
      <c r="C3722" s="62" t="str">
        <f aca="false">IF($M3722=0,"",INDEX(Classes!$H$6:$H$420,$M3722))</f>
        <v/>
      </c>
      <c r="D3722" s="61" t="str">
        <f aca="false">IF($M3722=0,"",INDEX(Classes!$B$6:$B$420,$M3722))</f>
        <v/>
      </c>
      <c r="E3722" s="61" t="str">
        <f aca="false">IF($M3722=0,"",INDEX(Classes!$C$6:$C$420,$M3722))</f>
        <v/>
      </c>
      <c r="F3722" s="63"/>
      <c r="G3722" s="63"/>
      <c r="H3722" s="60"/>
      <c r="I3722" s="60"/>
      <c r="J3722" s="63"/>
      <c r="K3722" s="61" t="str">
        <f aca="false">IF($P3722=0,"",IF($F3722="Baseline","— Baseline",IF($O3722=0,"No result",IF($N3722=0,"No Start (attainment only)",IF(OR($N3722=1,$O3722=1),"U – needs rule",INDEX(MxBody,MATCH($I3722,MxCurr,0),MATCH($H3722,MxStart,0)))))))</f>
        <v/>
      </c>
      <c r="L3722" s="62" t="str">
        <f aca="false">IF(COUNTA($A3722,$F3722,$G3722,$H3722,$I3722,$J3722)=0,"",IF($M3722=0,"✖ كود الصف غير موجود",IF(ISNA(MATCH($F3722,Lists!$A$2:$A$5,0)),"✖ الفترة غير صحيحة",IF(ISNA(MATCH($G3722,Lists!$B$2:$B$7,0)),"✖ المجموعة غير صحيحة",IF(NOT(OR($H3722="",$N3722&gt;0)),"✖ Start غير صحيح",IF(NOT(OR($I3722="",$I3722="NR",$O3722&gt;0)),"✖ Current غير صحيح",IF(NOT(IF(ISNUMBER($J3722),AND($J3722&gt;=0,$J3722=INT($J3722)),FALSE())),"✖ العدد يجب أن يكون صحيحًا ≥ 0",IF(AND($F3722="Baseline",$H3722&lt;&gt;""),"⚠ Baseline: Start لا يدخل في التقدم",IF($K3722="No Start (attainment only)","ℹ تحصيل فقط (بدون Start)",IF($K3722="U – needs rule","ℹ حالة U تحتاج قاعدة معتمدة",IF($K3722="No result","ℹ بدون نتيجة (يُستبعد من التحصيل)","OK")))))))))))</f>
        <v/>
      </c>
      <c r="M3722" s="64" t="n">
        <f aca="false">IF($A3722="",0,IFERROR(MATCH($A3722,Classes!$A$6:$A$420,0),0))</f>
        <v>0</v>
      </c>
      <c r="N3722" s="64" t="n">
        <f aca="false">IF($H3722="",0,IFERROR(MATCH($H3722,GradeList,0),0))</f>
        <v>0</v>
      </c>
      <c r="O3722" s="64" t="n">
        <f aca="false">IF(OR($I3722="",$I3722="NR"),0,IFERROR(MATCH($I3722,GradeList,0),0))</f>
        <v>0</v>
      </c>
      <c r="P3722" s="64" t="n">
        <f aca="false">IF(AND($M3722&gt;0,ISNUMBER(MATCH($F3722,Lists!$A$2:$A$5,0)),ISNUMBER(MATCH($G3722,Lists!$B$2:$B$7,0)),OR($H3722="",$N3722&gt;0),OR($I3722="",$I3722="NR",$O3722&gt;0),IF(ISNUMBER($J3722),AND($J3722&gt;=0,$J3722=INT($J3722)),FALSE())),$J3722,0)</f>
        <v>0</v>
      </c>
      <c r="Q3722" s="64" t="n">
        <f aca="false">IF(AND($P3722&gt;0,$O3722&gt;0),$P3722,0)</f>
        <v>0</v>
      </c>
      <c r="R3722" s="64" t="n">
        <f aca="false">IF(AND($Q3722&gt;0,$O3722&gt;=AtRank),$Q3722,0)</f>
        <v>0</v>
      </c>
      <c r="S3722" s="64" t="n">
        <f aca="false">IF(AND($Q3722&gt;0,$O3722&gt;=AboveRank),$Q3722,0)</f>
        <v>0</v>
      </c>
      <c r="T3722" s="64" t="n">
        <f aca="false">IF($K3722="Less",$P3722,0)</f>
        <v>0</v>
      </c>
      <c r="U3722" s="64" t="n">
        <f aca="false">IF($K3722="Expected",$P3722,0)</f>
        <v>0</v>
      </c>
      <c r="V3722" s="64" t="n">
        <f aca="false">IF($K3722="Better",$P3722,0)</f>
        <v>0</v>
      </c>
      <c r="W3722" s="64" t="n">
        <f aca="false">IF($K3722="U – needs rule",$P3722,0)</f>
        <v>0</v>
      </c>
      <c r="X3722" s="64" t="n">
        <f aca="false">IF($K3722="No Start (attainment only)",$P3722,0)</f>
        <v>0</v>
      </c>
    </row>
    <row r="3723" customFormat="false" ht="15" hidden="false" customHeight="false" outlineLevel="0" collapsed="false">
      <c r="A3723" s="60"/>
      <c r="B3723" s="61" t="str">
        <f aca="false">IF($M3723=0,"",INDEX(Classes!$E$6:$E$420,$M3723))</f>
        <v/>
      </c>
      <c r="C3723" s="62" t="str">
        <f aca="false">IF($M3723=0,"",INDEX(Classes!$H$6:$H$420,$M3723))</f>
        <v/>
      </c>
      <c r="D3723" s="61" t="str">
        <f aca="false">IF($M3723=0,"",INDEX(Classes!$B$6:$B$420,$M3723))</f>
        <v/>
      </c>
      <c r="E3723" s="61" t="str">
        <f aca="false">IF($M3723=0,"",INDEX(Classes!$C$6:$C$420,$M3723))</f>
        <v/>
      </c>
      <c r="F3723" s="63"/>
      <c r="G3723" s="63"/>
      <c r="H3723" s="60"/>
      <c r="I3723" s="60"/>
      <c r="J3723" s="63"/>
      <c r="K3723" s="61" t="str">
        <f aca="false">IF($P3723=0,"",IF($F3723="Baseline","— Baseline",IF($O3723=0,"No result",IF($N3723=0,"No Start (attainment only)",IF(OR($N3723=1,$O3723=1),"U – needs rule",INDEX(MxBody,MATCH($I3723,MxCurr,0),MATCH($H3723,MxStart,0)))))))</f>
        <v/>
      </c>
      <c r="L3723" s="62" t="str">
        <f aca="false">IF(COUNTA($A3723,$F3723,$G3723,$H3723,$I3723,$J3723)=0,"",IF($M3723=0,"✖ كود الصف غير موجود",IF(ISNA(MATCH($F3723,Lists!$A$2:$A$5,0)),"✖ الفترة غير صحيحة",IF(ISNA(MATCH($G3723,Lists!$B$2:$B$7,0)),"✖ المجموعة غير صحيحة",IF(NOT(OR($H3723="",$N3723&gt;0)),"✖ Start غير صحيح",IF(NOT(OR($I3723="",$I3723="NR",$O3723&gt;0)),"✖ Current غير صحيح",IF(NOT(IF(ISNUMBER($J3723),AND($J3723&gt;=0,$J3723=INT($J3723)),FALSE())),"✖ العدد يجب أن يكون صحيحًا ≥ 0",IF(AND($F3723="Baseline",$H3723&lt;&gt;""),"⚠ Baseline: Start لا يدخل في التقدم",IF($K3723="No Start (attainment only)","ℹ تحصيل فقط (بدون Start)",IF($K3723="U – needs rule","ℹ حالة U تحتاج قاعدة معتمدة",IF($K3723="No result","ℹ بدون نتيجة (يُستبعد من التحصيل)","OK")))))))))))</f>
        <v/>
      </c>
      <c r="M3723" s="64" t="n">
        <f aca="false">IF($A3723="",0,IFERROR(MATCH($A3723,Classes!$A$6:$A$420,0),0))</f>
        <v>0</v>
      </c>
      <c r="N3723" s="64" t="n">
        <f aca="false">IF($H3723="",0,IFERROR(MATCH($H3723,GradeList,0),0))</f>
        <v>0</v>
      </c>
      <c r="O3723" s="64" t="n">
        <f aca="false">IF(OR($I3723="",$I3723="NR"),0,IFERROR(MATCH($I3723,GradeList,0),0))</f>
        <v>0</v>
      </c>
      <c r="P3723" s="64" t="n">
        <f aca="false">IF(AND($M3723&gt;0,ISNUMBER(MATCH($F3723,Lists!$A$2:$A$5,0)),ISNUMBER(MATCH($G3723,Lists!$B$2:$B$7,0)),OR($H3723="",$N3723&gt;0),OR($I3723="",$I3723="NR",$O3723&gt;0),IF(ISNUMBER($J3723),AND($J3723&gt;=0,$J3723=INT($J3723)),FALSE())),$J3723,0)</f>
        <v>0</v>
      </c>
      <c r="Q3723" s="64" t="n">
        <f aca="false">IF(AND($P3723&gt;0,$O3723&gt;0),$P3723,0)</f>
        <v>0</v>
      </c>
      <c r="R3723" s="64" t="n">
        <f aca="false">IF(AND($Q3723&gt;0,$O3723&gt;=AtRank),$Q3723,0)</f>
        <v>0</v>
      </c>
      <c r="S3723" s="64" t="n">
        <f aca="false">IF(AND($Q3723&gt;0,$O3723&gt;=AboveRank),$Q3723,0)</f>
        <v>0</v>
      </c>
      <c r="T3723" s="64" t="n">
        <f aca="false">IF($K3723="Less",$P3723,0)</f>
        <v>0</v>
      </c>
      <c r="U3723" s="64" t="n">
        <f aca="false">IF($K3723="Expected",$P3723,0)</f>
        <v>0</v>
      </c>
      <c r="V3723" s="64" t="n">
        <f aca="false">IF($K3723="Better",$P3723,0)</f>
        <v>0</v>
      </c>
      <c r="W3723" s="64" t="n">
        <f aca="false">IF($K3723="U – needs rule",$P3723,0)</f>
        <v>0</v>
      </c>
      <c r="X3723" s="64" t="n">
        <f aca="false">IF($K3723="No Start (attainment only)",$P3723,0)</f>
        <v>0</v>
      </c>
    </row>
    <row r="3724" customFormat="false" ht="15" hidden="false" customHeight="false" outlineLevel="0" collapsed="false">
      <c r="A3724" s="60"/>
      <c r="B3724" s="61" t="str">
        <f aca="false">IF($M3724=0,"",INDEX(Classes!$E$6:$E$420,$M3724))</f>
        <v/>
      </c>
      <c r="C3724" s="62" t="str">
        <f aca="false">IF($M3724=0,"",INDEX(Classes!$H$6:$H$420,$M3724))</f>
        <v/>
      </c>
      <c r="D3724" s="61" t="str">
        <f aca="false">IF($M3724=0,"",INDEX(Classes!$B$6:$B$420,$M3724))</f>
        <v/>
      </c>
      <c r="E3724" s="61" t="str">
        <f aca="false">IF($M3724=0,"",INDEX(Classes!$C$6:$C$420,$M3724))</f>
        <v/>
      </c>
      <c r="F3724" s="63"/>
      <c r="G3724" s="63"/>
      <c r="H3724" s="60"/>
      <c r="I3724" s="60"/>
      <c r="J3724" s="63"/>
      <c r="K3724" s="61" t="str">
        <f aca="false">IF($P3724=0,"",IF($F3724="Baseline","— Baseline",IF($O3724=0,"No result",IF($N3724=0,"No Start (attainment only)",IF(OR($N3724=1,$O3724=1),"U – needs rule",INDEX(MxBody,MATCH($I3724,MxCurr,0),MATCH($H3724,MxStart,0)))))))</f>
        <v/>
      </c>
      <c r="L3724" s="62" t="str">
        <f aca="false">IF(COUNTA($A3724,$F3724,$G3724,$H3724,$I3724,$J3724)=0,"",IF($M3724=0,"✖ كود الصف غير موجود",IF(ISNA(MATCH($F3724,Lists!$A$2:$A$5,0)),"✖ الفترة غير صحيحة",IF(ISNA(MATCH($G3724,Lists!$B$2:$B$7,0)),"✖ المجموعة غير صحيحة",IF(NOT(OR($H3724="",$N3724&gt;0)),"✖ Start غير صحيح",IF(NOT(OR($I3724="",$I3724="NR",$O3724&gt;0)),"✖ Current غير صحيح",IF(NOT(IF(ISNUMBER($J3724),AND($J3724&gt;=0,$J3724=INT($J3724)),FALSE())),"✖ العدد يجب أن يكون صحيحًا ≥ 0",IF(AND($F3724="Baseline",$H3724&lt;&gt;""),"⚠ Baseline: Start لا يدخل في التقدم",IF($K3724="No Start (attainment only)","ℹ تحصيل فقط (بدون Start)",IF($K3724="U – needs rule","ℹ حالة U تحتاج قاعدة معتمدة",IF($K3724="No result","ℹ بدون نتيجة (يُستبعد من التحصيل)","OK")))))))))))</f>
        <v/>
      </c>
      <c r="M3724" s="64" t="n">
        <f aca="false">IF($A3724="",0,IFERROR(MATCH($A3724,Classes!$A$6:$A$420,0),0))</f>
        <v>0</v>
      </c>
      <c r="N3724" s="64" t="n">
        <f aca="false">IF($H3724="",0,IFERROR(MATCH($H3724,GradeList,0),0))</f>
        <v>0</v>
      </c>
      <c r="O3724" s="64" t="n">
        <f aca="false">IF(OR($I3724="",$I3724="NR"),0,IFERROR(MATCH($I3724,GradeList,0),0))</f>
        <v>0</v>
      </c>
      <c r="P3724" s="64" t="n">
        <f aca="false">IF(AND($M3724&gt;0,ISNUMBER(MATCH($F3724,Lists!$A$2:$A$5,0)),ISNUMBER(MATCH($G3724,Lists!$B$2:$B$7,0)),OR($H3724="",$N3724&gt;0),OR($I3724="",$I3724="NR",$O3724&gt;0),IF(ISNUMBER($J3724),AND($J3724&gt;=0,$J3724=INT($J3724)),FALSE())),$J3724,0)</f>
        <v>0</v>
      </c>
      <c r="Q3724" s="64" t="n">
        <f aca="false">IF(AND($P3724&gt;0,$O3724&gt;0),$P3724,0)</f>
        <v>0</v>
      </c>
      <c r="R3724" s="64" t="n">
        <f aca="false">IF(AND($Q3724&gt;0,$O3724&gt;=AtRank),$Q3724,0)</f>
        <v>0</v>
      </c>
      <c r="S3724" s="64" t="n">
        <f aca="false">IF(AND($Q3724&gt;0,$O3724&gt;=AboveRank),$Q3724,0)</f>
        <v>0</v>
      </c>
      <c r="T3724" s="64" t="n">
        <f aca="false">IF($K3724="Less",$P3724,0)</f>
        <v>0</v>
      </c>
      <c r="U3724" s="64" t="n">
        <f aca="false">IF($K3724="Expected",$P3724,0)</f>
        <v>0</v>
      </c>
      <c r="V3724" s="64" t="n">
        <f aca="false">IF($K3724="Better",$P3724,0)</f>
        <v>0</v>
      </c>
      <c r="W3724" s="64" t="n">
        <f aca="false">IF($K3724="U – needs rule",$P3724,0)</f>
        <v>0</v>
      </c>
      <c r="X3724" s="64" t="n">
        <f aca="false">IF($K3724="No Start (attainment only)",$P3724,0)</f>
        <v>0</v>
      </c>
    </row>
    <row r="3725" customFormat="false" ht="15" hidden="false" customHeight="false" outlineLevel="0" collapsed="false">
      <c r="A3725" s="60"/>
      <c r="B3725" s="61" t="str">
        <f aca="false">IF($M3725=0,"",INDEX(Classes!$E$6:$E$420,$M3725))</f>
        <v/>
      </c>
      <c r="C3725" s="62" t="str">
        <f aca="false">IF($M3725=0,"",INDEX(Classes!$H$6:$H$420,$M3725))</f>
        <v/>
      </c>
      <c r="D3725" s="61" t="str">
        <f aca="false">IF($M3725=0,"",INDEX(Classes!$B$6:$B$420,$M3725))</f>
        <v/>
      </c>
      <c r="E3725" s="61" t="str">
        <f aca="false">IF($M3725=0,"",INDEX(Classes!$C$6:$C$420,$M3725))</f>
        <v/>
      </c>
      <c r="F3725" s="63"/>
      <c r="G3725" s="63"/>
      <c r="H3725" s="60"/>
      <c r="I3725" s="60"/>
      <c r="J3725" s="63"/>
      <c r="K3725" s="61" t="str">
        <f aca="false">IF($P3725=0,"",IF($F3725="Baseline","— Baseline",IF($O3725=0,"No result",IF($N3725=0,"No Start (attainment only)",IF(OR($N3725=1,$O3725=1),"U – needs rule",INDEX(MxBody,MATCH($I3725,MxCurr,0),MATCH($H3725,MxStart,0)))))))</f>
        <v/>
      </c>
      <c r="L3725" s="62" t="str">
        <f aca="false">IF(COUNTA($A3725,$F3725,$G3725,$H3725,$I3725,$J3725)=0,"",IF($M3725=0,"✖ كود الصف غير موجود",IF(ISNA(MATCH($F3725,Lists!$A$2:$A$5,0)),"✖ الفترة غير صحيحة",IF(ISNA(MATCH($G3725,Lists!$B$2:$B$7,0)),"✖ المجموعة غير صحيحة",IF(NOT(OR($H3725="",$N3725&gt;0)),"✖ Start غير صحيح",IF(NOT(OR($I3725="",$I3725="NR",$O3725&gt;0)),"✖ Current غير صحيح",IF(NOT(IF(ISNUMBER($J3725),AND($J3725&gt;=0,$J3725=INT($J3725)),FALSE())),"✖ العدد يجب أن يكون صحيحًا ≥ 0",IF(AND($F3725="Baseline",$H3725&lt;&gt;""),"⚠ Baseline: Start لا يدخل في التقدم",IF($K3725="No Start (attainment only)","ℹ تحصيل فقط (بدون Start)",IF($K3725="U – needs rule","ℹ حالة U تحتاج قاعدة معتمدة",IF($K3725="No result","ℹ بدون نتيجة (يُستبعد من التحصيل)","OK")))))))))))</f>
        <v/>
      </c>
      <c r="M3725" s="64" t="n">
        <f aca="false">IF($A3725="",0,IFERROR(MATCH($A3725,Classes!$A$6:$A$420,0),0))</f>
        <v>0</v>
      </c>
      <c r="N3725" s="64" t="n">
        <f aca="false">IF($H3725="",0,IFERROR(MATCH($H3725,GradeList,0),0))</f>
        <v>0</v>
      </c>
      <c r="O3725" s="64" t="n">
        <f aca="false">IF(OR($I3725="",$I3725="NR"),0,IFERROR(MATCH($I3725,GradeList,0),0))</f>
        <v>0</v>
      </c>
      <c r="P3725" s="64" t="n">
        <f aca="false">IF(AND($M3725&gt;0,ISNUMBER(MATCH($F3725,Lists!$A$2:$A$5,0)),ISNUMBER(MATCH($G3725,Lists!$B$2:$B$7,0)),OR($H3725="",$N3725&gt;0),OR($I3725="",$I3725="NR",$O3725&gt;0),IF(ISNUMBER($J3725),AND($J3725&gt;=0,$J3725=INT($J3725)),FALSE())),$J3725,0)</f>
        <v>0</v>
      </c>
      <c r="Q3725" s="64" t="n">
        <f aca="false">IF(AND($P3725&gt;0,$O3725&gt;0),$P3725,0)</f>
        <v>0</v>
      </c>
      <c r="R3725" s="64" t="n">
        <f aca="false">IF(AND($Q3725&gt;0,$O3725&gt;=AtRank),$Q3725,0)</f>
        <v>0</v>
      </c>
      <c r="S3725" s="64" t="n">
        <f aca="false">IF(AND($Q3725&gt;0,$O3725&gt;=AboveRank),$Q3725,0)</f>
        <v>0</v>
      </c>
      <c r="T3725" s="64" t="n">
        <f aca="false">IF($K3725="Less",$P3725,0)</f>
        <v>0</v>
      </c>
      <c r="U3725" s="64" t="n">
        <f aca="false">IF($K3725="Expected",$P3725,0)</f>
        <v>0</v>
      </c>
      <c r="V3725" s="64" t="n">
        <f aca="false">IF($K3725="Better",$P3725,0)</f>
        <v>0</v>
      </c>
      <c r="W3725" s="64" t="n">
        <f aca="false">IF($K3725="U – needs rule",$P3725,0)</f>
        <v>0</v>
      </c>
      <c r="X3725" s="64" t="n">
        <f aca="false">IF($K3725="No Start (attainment only)",$P3725,0)</f>
        <v>0</v>
      </c>
    </row>
    <row r="3726" customFormat="false" ht="15" hidden="false" customHeight="false" outlineLevel="0" collapsed="false">
      <c r="A3726" s="60"/>
      <c r="B3726" s="61" t="str">
        <f aca="false">IF($M3726=0,"",INDEX(Classes!$E$6:$E$420,$M3726))</f>
        <v/>
      </c>
      <c r="C3726" s="62" t="str">
        <f aca="false">IF($M3726=0,"",INDEX(Classes!$H$6:$H$420,$M3726))</f>
        <v/>
      </c>
      <c r="D3726" s="61" t="str">
        <f aca="false">IF($M3726=0,"",INDEX(Classes!$B$6:$B$420,$M3726))</f>
        <v/>
      </c>
      <c r="E3726" s="61" t="str">
        <f aca="false">IF($M3726=0,"",INDEX(Classes!$C$6:$C$420,$M3726))</f>
        <v/>
      </c>
      <c r="F3726" s="63"/>
      <c r="G3726" s="63"/>
      <c r="H3726" s="60"/>
      <c r="I3726" s="60"/>
      <c r="J3726" s="63"/>
      <c r="K3726" s="61" t="str">
        <f aca="false">IF($P3726=0,"",IF($F3726="Baseline","— Baseline",IF($O3726=0,"No result",IF($N3726=0,"No Start (attainment only)",IF(OR($N3726=1,$O3726=1),"U – needs rule",INDEX(MxBody,MATCH($I3726,MxCurr,0),MATCH($H3726,MxStart,0)))))))</f>
        <v/>
      </c>
      <c r="L3726" s="62" t="str">
        <f aca="false">IF(COUNTA($A3726,$F3726,$G3726,$H3726,$I3726,$J3726)=0,"",IF($M3726=0,"✖ كود الصف غير موجود",IF(ISNA(MATCH($F3726,Lists!$A$2:$A$5,0)),"✖ الفترة غير صحيحة",IF(ISNA(MATCH($G3726,Lists!$B$2:$B$7,0)),"✖ المجموعة غير صحيحة",IF(NOT(OR($H3726="",$N3726&gt;0)),"✖ Start غير صحيح",IF(NOT(OR($I3726="",$I3726="NR",$O3726&gt;0)),"✖ Current غير صحيح",IF(NOT(IF(ISNUMBER($J3726),AND($J3726&gt;=0,$J3726=INT($J3726)),FALSE())),"✖ العدد يجب أن يكون صحيحًا ≥ 0",IF(AND($F3726="Baseline",$H3726&lt;&gt;""),"⚠ Baseline: Start لا يدخل في التقدم",IF($K3726="No Start (attainment only)","ℹ تحصيل فقط (بدون Start)",IF($K3726="U – needs rule","ℹ حالة U تحتاج قاعدة معتمدة",IF($K3726="No result","ℹ بدون نتيجة (يُستبعد من التحصيل)","OK")))))))))))</f>
        <v/>
      </c>
      <c r="M3726" s="64" t="n">
        <f aca="false">IF($A3726="",0,IFERROR(MATCH($A3726,Classes!$A$6:$A$420,0),0))</f>
        <v>0</v>
      </c>
      <c r="N3726" s="64" t="n">
        <f aca="false">IF($H3726="",0,IFERROR(MATCH($H3726,GradeList,0),0))</f>
        <v>0</v>
      </c>
      <c r="O3726" s="64" t="n">
        <f aca="false">IF(OR($I3726="",$I3726="NR"),0,IFERROR(MATCH($I3726,GradeList,0),0))</f>
        <v>0</v>
      </c>
      <c r="P3726" s="64" t="n">
        <f aca="false">IF(AND($M3726&gt;0,ISNUMBER(MATCH($F3726,Lists!$A$2:$A$5,0)),ISNUMBER(MATCH($G3726,Lists!$B$2:$B$7,0)),OR($H3726="",$N3726&gt;0),OR($I3726="",$I3726="NR",$O3726&gt;0),IF(ISNUMBER($J3726),AND($J3726&gt;=0,$J3726=INT($J3726)),FALSE())),$J3726,0)</f>
        <v>0</v>
      </c>
      <c r="Q3726" s="64" t="n">
        <f aca="false">IF(AND($P3726&gt;0,$O3726&gt;0),$P3726,0)</f>
        <v>0</v>
      </c>
      <c r="R3726" s="64" t="n">
        <f aca="false">IF(AND($Q3726&gt;0,$O3726&gt;=AtRank),$Q3726,0)</f>
        <v>0</v>
      </c>
      <c r="S3726" s="64" t="n">
        <f aca="false">IF(AND($Q3726&gt;0,$O3726&gt;=AboveRank),$Q3726,0)</f>
        <v>0</v>
      </c>
      <c r="T3726" s="64" t="n">
        <f aca="false">IF($K3726="Less",$P3726,0)</f>
        <v>0</v>
      </c>
      <c r="U3726" s="64" t="n">
        <f aca="false">IF($K3726="Expected",$P3726,0)</f>
        <v>0</v>
      </c>
      <c r="V3726" s="64" t="n">
        <f aca="false">IF($K3726="Better",$P3726,0)</f>
        <v>0</v>
      </c>
      <c r="W3726" s="64" t="n">
        <f aca="false">IF($K3726="U – needs rule",$P3726,0)</f>
        <v>0</v>
      </c>
      <c r="X3726" s="64" t="n">
        <f aca="false">IF($K3726="No Start (attainment only)",$P3726,0)</f>
        <v>0</v>
      </c>
    </row>
    <row r="3727" customFormat="false" ht="15" hidden="false" customHeight="false" outlineLevel="0" collapsed="false">
      <c r="A3727" s="60"/>
      <c r="B3727" s="61" t="str">
        <f aca="false">IF($M3727=0,"",INDEX(Classes!$E$6:$E$420,$M3727))</f>
        <v/>
      </c>
      <c r="C3727" s="62" t="str">
        <f aca="false">IF($M3727=0,"",INDEX(Classes!$H$6:$H$420,$M3727))</f>
        <v/>
      </c>
      <c r="D3727" s="61" t="str">
        <f aca="false">IF($M3727=0,"",INDEX(Classes!$B$6:$B$420,$M3727))</f>
        <v/>
      </c>
      <c r="E3727" s="61" t="str">
        <f aca="false">IF($M3727=0,"",INDEX(Classes!$C$6:$C$420,$M3727))</f>
        <v/>
      </c>
      <c r="F3727" s="63"/>
      <c r="G3727" s="63"/>
      <c r="H3727" s="60"/>
      <c r="I3727" s="60"/>
      <c r="J3727" s="63"/>
      <c r="K3727" s="61" t="str">
        <f aca="false">IF($P3727=0,"",IF($F3727="Baseline","— Baseline",IF($O3727=0,"No result",IF($N3727=0,"No Start (attainment only)",IF(OR($N3727=1,$O3727=1),"U – needs rule",INDEX(MxBody,MATCH($I3727,MxCurr,0),MATCH($H3727,MxStart,0)))))))</f>
        <v/>
      </c>
      <c r="L3727" s="62" t="str">
        <f aca="false">IF(COUNTA($A3727,$F3727,$G3727,$H3727,$I3727,$J3727)=0,"",IF($M3727=0,"✖ كود الصف غير موجود",IF(ISNA(MATCH($F3727,Lists!$A$2:$A$5,0)),"✖ الفترة غير صحيحة",IF(ISNA(MATCH($G3727,Lists!$B$2:$B$7,0)),"✖ المجموعة غير صحيحة",IF(NOT(OR($H3727="",$N3727&gt;0)),"✖ Start غير صحيح",IF(NOT(OR($I3727="",$I3727="NR",$O3727&gt;0)),"✖ Current غير صحيح",IF(NOT(IF(ISNUMBER($J3727),AND($J3727&gt;=0,$J3727=INT($J3727)),FALSE())),"✖ العدد يجب أن يكون صحيحًا ≥ 0",IF(AND($F3727="Baseline",$H3727&lt;&gt;""),"⚠ Baseline: Start لا يدخل في التقدم",IF($K3727="No Start (attainment only)","ℹ تحصيل فقط (بدون Start)",IF($K3727="U – needs rule","ℹ حالة U تحتاج قاعدة معتمدة",IF($K3727="No result","ℹ بدون نتيجة (يُستبعد من التحصيل)","OK")))))))))))</f>
        <v/>
      </c>
      <c r="M3727" s="64" t="n">
        <f aca="false">IF($A3727="",0,IFERROR(MATCH($A3727,Classes!$A$6:$A$420,0),0))</f>
        <v>0</v>
      </c>
      <c r="N3727" s="64" t="n">
        <f aca="false">IF($H3727="",0,IFERROR(MATCH($H3727,GradeList,0),0))</f>
        <v>0</v>
      </c>
      <c r="O3727" s="64" t="n">
        <f aca="false">IF(OR($I3727="",$I3727="NR"),0,IFERROR(MATCH($I3727,GradeList,0),0))</f>
        <v>0</v>
      </c>
      <c r="P3727" s="64" t="n">
        <f aca="false">IF(AND($M3727&gt;0,ISNUMBER(MATCH($F3727,Lists!$A$2:$A$5,0)),ISNUMBER(MATCH($G3727,Lists!$B$2:$B$7,0)),OR($H3727="",$N3727&gt;0),OR($I3727="",$I3727="NR",$O3727&gt;0),IF(ISNUMBER($J3727),AND($J3727&gt;=0,$J3727=INT($J3727)),FALSE())),$J3727,0)</f>
        <v>0</v>
      </c>
      <c r="Q3727" s="64" t="n">
        <f aca="false">IF(AND($P3727&gt;0,$O3727&gt;0),$P3727,0)</f>
        <v>0</v>
      </c>
      <c r="R3727" s="64" t="n">
        <f aca="false">IF(AND($Q3727&gt;0,$O3727&gt;=AtRank),$Q3727,0)</f>
        <v>0</v>
      </c>
      <c r="S3727" s="64" t="n">
        <f aca="false">IF(AND($Q3727&gt;0,$O3727&gt;=AboveRank),$Q3727,0)</f>
        <v>0</v>
      </c>
      <c r="T3727" s="64" t="n">
        <f aca="false">IF($K3727="Less",$P3727,0)</f>
        <v>0</v>
      </c>
      <c r="U3727" s="64" t="n">
        <f aca="false">IF($K3727="Expected",$P3727,0)</f>
        <v>0</v>
      </c>
      <c r="V3727" s="64" t="n">
        <f aca="false">IF($K3727="Better",$P3727,0)</f>
        <v>0</v>
      </c>
      <c r="W3727" s="64" t="n">
        <f aca="false">IF($K3727="U – needs rule",$P3727,0)</f>
        <v>0</v>
      </c>
      <c r="X3727" s="64" t="n">
        <f aca="false">IF($K3727="No Start (attainment only)",$P3727,0)</f>
        <v>0</v>
      </c>
    </row>
    <row r="3728" customFormat="false" ht="15" hidden="false" customHeight="false" outlineLevel="0" collapsed="false">
      <c r="A3728" s="60"/>
      <c r="B3728" s="61" t="str">
        <f aca="false">IF($M3728=0,"",INDEX(Classes!$E$6:$E$420,$M3728))</f>
        <v/>
      </c>
      <c r="C3728" s="62" t="str">
        <f aca="false">IF($M3728=0,"",INDEX(Classes!$H$6:$H$420,$M3728))</f>
        <v/>
      </c>
      <c r="D3728" s="61" t="str">
        <f aca="false">IF($M3728=0,"",INDEX(Classes!$B$6:$B$420,$M3728))</f>
        <v/>
      </c>
      <c r="E3728" s="61" t="str">
        <f aca="false">IF($M3728=0,"",INDEX(Classes!$C$6:$C$420,$M3728))</f>
        <v/>
      </c>
      <c r="F3728" s="63"/>
      <c r="G3728" s="63"/>
      <c r="H3728" s="60"/>
      <c r="I3728" s="60"/>
      <c r="J3728" s="63"/>
      <c r="K3728" s="61" t="str">
        <f aca="false">IF($P3728=0,"",IF($F3728="Baseline","— Baseline",IF($O3728=0,"No result",IF($N3728=0,"No Start (attainment only)",IF(OR($N3728=1,$O3728=1),"U – needs rule",INDEX(MxBody,MATCH($I3728,MxCurr,0),MATCH($H3728,MxStart,0)))))))</f>
        <v/>
      </c>
      <c r="L3728" s="62" t="str">
        <f aca="false">IF(COUNTA($A3728,$F3728,$G3728,$H3728,$I3728,$J3728)=0,"",IF($M3728=0,"✖ كود الصف غير موجود",IF(ISNA(MATCH($F3728,Lists!$A$2:$A$5,0)),"✖ الفترة غير صحيحة",IF(ISNA(MATCH($G3728,Lists!$B$2:$B$7,0)),"✖ المجموعة غير صحيحة",IF(NOT(OR($H3728="",$N3728&gt;0)),"✖ Start غير صحيح",IF(NOT(OR($I3728="",$I3728="NR",$O3728&gt;0)),"✖ Current غير صحيح",IF(NOT(IF(ISNUMBER($J3728),AND($J3728&gt;=0,$J3728=INT($J3728)),FALSE())),"✖ العدد يجب أن يكون صحيحًا ≥ 0",IF(AND($F3728="Baseline",$H3728&lt;&gt;""),"⚠ Baseline: Start لا يدخل في التقدم",IF($K3728="No Start (attainment only)","ℹ تحصيل فقط (بدون Start)",IF($K3728="U – needs rule","ℹ حالة U تحتاج قاعدة معتمدة",IF($K3728="No result","ℹ بدون نتيجة (يُستبعد من التحصيل)","OK")))))))))))</f>
        <v/>
      </c>
      <c r="M3728" s="64" t="n">
        <f aca="false">IF($A3728="",0,IFERROR(MATCH($A3728,Classes!$A$6:$A$420,0),0))</f>
        <v>0</v>
      </c>
      <c r="N3728" s="64" t="n">
        <f aca="false">IF($H3728="",0,IFERROR(MATCH($H3728,GradeList,0),0))</f>
        <v>0</v>
      </c>
      <c r="O3728" s="64" t="n">
        <f aca="false">IF(OR($I3728="",$I3728="NR"),0,IFERROR(MATCH($I3728,GradeList,0),0))</f>
        <v>0</v>
      </c>
      <c r="P3728" s="64" t="n">
        <f aca="false">IF(AND($M3728&gt;0,ISNUMBER(MATCH($F3728,Lists!$A$2:$A$5,0)),ISNUMBER(MATCH($G3728,Lists!$B$2:$B$7,0)),OR($H3728="",$N3728&gt;0),OR($I3728="",$I3728="NR",$O3728&gt;0),IF(ISNUMBER($J3728),AND($J3728&gt;=0,$J3728=INT($J3728)),FALSE())),$J3728,0)</f>
        <v>0</v>
      </c>
      <c r="Q3728" s="64" t="n">
        <f aca="false">IF(AND($P3728&gt;0,$O3728&gt;0),$P3728,0)</f>
        <v>0</v>
      </c>
      <c r="R3728" s="64" t="n">
        <f aca="false">IF(AND($Q3728&gt;0,$O3728&gt;=AtRank),$Q3728,0)</f>
        <v>0</v>
      </c>
      <c r="S3728" s="64" t="n">
        <f aca="false">IF(AND($Q3728&gt;0,$O3728&gt;=AboveRank),$Q3728,0)</f>
        <v>0</v>
      </c>
      <c r="T3728" s="64" t="n">
        <f aca="false">IF($K3728="Less",$P3728,0)</f>
        <v>0</v>
      </c>
      <c r="U3728" s="64" t="n">
        <f aca="false">IF($K3728="Expected",$P3728,0)</f>
        <v>0</v>
      </c>
      <c r="V3728" s="64" t="n">
        <f aca="false">IF($K3728="Better",$P3728,0)</f>
        <v>0</v>
      </c>
      <c r="W3728" s="64" t="n">
        <f aca="false">IF($K3728="U – needs rule",$P3728,0)</f>
        <v>0</v>
      </c>
      <c r="X3728" s="64" t="n">
        <f aca="false">IF($K3728="No Start (attainment only)",$P3728,0)</f>
        <v>0</v>
      </c>
    </row>
    <row r="3729" customFormat="false" ht="15" hidden="false" customHeight="false" outlineLevel="0" collapsed="false">
      <c r="A3729" s="60"/>
      <c r="B3729" s="61" t="str">
        <f aca="false">IF($M3729=0,"",INDEX(Classes!$E$6:$E$420,$M3729))</f>
        <v/>
      </c>
      <c r="C3729" s="62" t="str">
        <f aca="false">IF($M3729=0,"",INDEX(Classes!$H$6:$H$420,$M3729))</f>
        <v/>
      </c>
      <c r="D3729" s="61" t="str">
        <f aca="false">IF($M3729=0,"",INDEX(Classes!$B$6:$B$420,$M3729))</f>
        <v/>
      </c>
      <c r="E3729" s="61" t="str">
        <f aca="false">IF($M3729=0,"",INDEX(Classes!$C$6:$C$420,$M3729))</f>
        <v/>
      </c>
      <c r="F3729" s="63"/>
      <c r="G3729" s="63"/>
      <c r="H3729" s="60"/>
      <c r="I3729" s="60"/>
      <c r="J3729" s="63"/>
      <c r="K3729" s="61" t="str">
        <f aca="false">IF($P3729=0,"",IF($F3729="Baseline","— Baseline",IF($O3729=0,"No result",IF($N3729=0,"No Start (attainment only)",IF(OR($N3729=1,$O3729=1),"U – needs rule",INDEX(MxBody,MATCH($I3729,MxCurr,0),MATCH($H3729,MxStart,0)))))))</f>
        <v/>
      </c>
      <c r="L3729" s="62" t="str">
        <f aca="false">IF(COUNTA($A3729,$F3729,$G3729,$H3729,$I3729,$J3729)=0,"",IF($M3729=0,"✖ كود الصف غير موجود",IF(ISNA(MATCH($F3729,Lists!$A$2:$A$5,0)),"✖ الفترة غير صحيحة",IF(ISNA(MATCH($G3729,Lists!$B$2:$B$7,0)),"✖ المجموعة غير صحيحة",IF(NOT(OR($H3729="",$N3729&gt;0)),"✖ Start غير صحيح",IF(NOT(OR($I3729="",$I3729="NR",$O3729&gt;0)),"✖ Current غير صحيح",IF(NOT(IF(ISNUMBER($J3729),AND($J3729&gt;=0,$J3729=INT($J3729)),FALSE())),"✖ العدد يجب أن يكون صحيحًا ≥ 0",IF(AND($F3729="Baseline",$H3729&lt;&gt;""),"⚠ Baseline: Start لا يدخل في التقدم",IF($K3729="No Start (attainment only)","ℹ تحصيل فقط (بدون Start)",IF($K3729="U – needs rule","ℹ حالة U تحتاج قاعدة معتمدة",IF($K3729="No result","ℹ بدون نتيجة (يُستبعد من التحصيل)","OK")))))))))))</f>
        <v/>
      </c>
      <c r="M3729" s="64" t="n">
        <f aca="false">IF($A3729="",0,IFERROR(MATCH($A3729,Classes!$A$6:$A$420,0),0))</f>
        <v>0</v>
      </c>
      <c r="N3729" s="64" t="n">
        <f aca="false">IF($H3729="",0,IFERROR(MATCH($H3729,GradeList,0),0))</f>
        <v>0</v>
      </c>
      <c r="O3729" s="64" t="n">
        <f aca="false">IF(OR($I3729="",$I3729="NR"),0,IFERROR(MATCH($I3729,GradeList,0),0))</f>
        <v>0</v>
      </c>
      <c r="P3729" s="64" t="n">
        <f aca="false">IF(AND($M3729&gt;0,ISNUMBER(MATCH($F3729,Lists!$A$2:$A$5,0)),ISNUMBER(MATCH($G3729,Lists!$B$2:$B$7,0)),OR($H3729="",$N3729&gt;0),OR($I3729="",$I3729="NR",$O3729&gt;0),IF(ISNUMBER($J3729),AND($J3729&gt;=0,$J3729=INT($J3729)),FALSE())),$J3729,0)</f>
        <v>0</v>
      </c>
      <c r="Q3729" s="64" t="n">
        <f aca="false">IF(AND($P3729&gt;0,$O3729&gt;0),$P3729,0)</f>
        <v>0</v>
      </c>
      <c r="R3729" s="64" t="n">
        <f aca="false">IF(AND($Q3729&gt;0,$O3729&gt;=AtRank),$Q3729,0)</f>
        <v>0</v>
      </c>
      <c r="S3729" s="64" t="n">
        <f aca="false">IF(AND($Q3729&gt;0,$O3729&gt;=AboveRank),$Q3729,0)</f>
        <v>0</v>
      </c>
      <c r="T3729" s="64" t="n">
        <f aca="false">IF($K3729="Less",$P3729,0)</f>
        <v>0</v>
      </c>
      <c r="U3729" s="64" t="n">
        <f aca="false">IF($K3729="Expected",$P3729,0)</f>
        <v>0</v>
      </c>
      <c r="V3729" s="64" t="n">
        <f aca="false">IF($K3729="Better",$P3729,0)</f>
        <v>0</v>
      </c>
      <c r="W3729" s="64" t="n">
        <f aca="false">IF($K3729="U – needs rule",$P3729,0)</f>
        <v>0</v>
      </c>
      <c r="X3729" s="64" t="n">
        <f aca="false">IF($K3729="No Start (attainment only)",$P3729,0)</f>
        <v>0</v>
      </c>
    </row>
    <row r="3730" customFormat="false" ht="15" hidden="false" customHeight="false" outlineLevel="0" collapsed="false">
      <c r="A3730" s="60"/>
      <c r="B3730" s="61" t="str">
        <f aca="false">IF($M3730=0,"",INDEX(Classes!$E$6:$E$420,$M3730))</f>
        <v/>
      </c>
      <c r="C3730" s="62" t="str">
        <f aca="false">IF($M3730=0,"",INDEX(Classes!$H$6:$H$420,$M3730))</f>
        <v/>
      </c>
      <c r="D3730" s="61" t="str">
        <f aca="false">IF($M3730=0,"",INDEX(Classes!$B$6:$B$420,$M3730))</f>
        <v/>
      </c>
      <c r="E3730" s="61" t="str">
        <f aca="false">IF($M3730=0,"",INDEX(Classes!$C$6:$C$420,$M3730))</f>
        <v/>
      </c>
      <c r="F3730" s="63"/>
      <c r="G3730" s="63"/>
      <c r="H3730" s="60"/>
      <c r="I3730" s="60"/>
      <c r="J3730" s="63"/>
      <c r="K3730" s="61" t="str">
        <f aca="false">IF($P3730=0,"",IF($F3730="Baseline","— Baseline",IF($O3730=0,"No result",IF($N3730=0,"No Start (attainment only)",IF(OR($N3730=1,$O3730=1),"U – needs rule",INDEX(MxBody,MATCH($I3730,MxCurr,0),MATCH($H3730,MxStart,0)))))))</f>
        <v/>
      </c>
      <c r="L3730" s="62" t="str">
        <f aca="false">IF(COUNTA($A3730,$F3730,$G3730,$H3730,$I3730,$J3730)=0,"",IF($M3730=0,"✖ كود الصف غير موجود",IF(ISNA(MATCH($F3730,Lists!$A$2:$A$5,0)),"✖ الفترة غير صحيحة",IF(ISNA(MATCH($G3730,Lists!$B$2:$B$7,0)),"✖ المجموعة غير صحيحة",IF(NOT(OR($H3730="",$N3730&gt;0)),"✖ Start غير صحيح",IF(NOT(OR($I3730="",$I3730="NR",$O3730&gt;0)),"✖ Current غير صحيح",IF(NOT(IF(ISNUMBER($J3730),AND($J3730&gt;=0,$J3730=INT($J3730)),FALSE())),"✖ العدد يجب أن يكون صحيحًا ≥ 0",IF(AND($F3730="Baseline",$H3730&lt;&gt;""),"⚠ Baseline: Start لا يدخل في التقدم",IF($K3730="No Start (attainment only)","ℹ تحصيل فقط (بدون Start)",IF($K3730="U – needs rule","ℹ حالة U تحتاج قاعدة معتمدة",IF($K3730="No result","ℹ بدون نتيجة (يُستبعد من التحصيل)","OK")))))))))))</f>
        <v/>
      </c>
      <c r="M3730" s="64" t="n">
        <f aca="false">IF($A3730="",0,IFERROR(MATCH($A3730,Classes!$A$6:$A$420,0),0))</f>
        <v>0</v>
      </c>
      <c r="N3730" s="64" t="n">
        <f aca="false">IF($H3730="",0,IFERROR(MATCH($H3730,GradeList,0),0))</f>
        <v>0</v>
      </c>
      <c r="O3730" s="64" t="n">
        <f aca="false">IF(OR($I3730="",$I3730="NR"),0,IFERROR(MATCH($I3730,GradeList,0),0))</f>
        <v>0</v>
      </c>
      <c r="P3730" s="64" t="n">
        <f aca="false">IF(AND($M3730&gt;0,ISNUMBER(MATCH($F3730,Lists!$A$2:$A$5,0)),ISNUMBER(MATCH($G3730,Lists!$B$2:$B$7,0)),OR($H3730="",$N3730&gt;0),OR($I3730="",$I3730="NR",$O3730&gt;0),IF(ISNUMBER($J3730),AND($J3730&gt;=0,$J3730=INT($J3730)),FALSE())),$J3730,0)</f>
        <v>0</v>
      </c>
      <c r="Q3730" s="64" t="n">
        <f aca="false">IF(AND($P3730&gt;0,$O3730&gt;0),$P3730,0)</f>
        <v>0</v>
      </c>
      <c r="R3730" s="64" t="n">
        <f aca="false">IF(AND($Q3730&gt;0,$O3730&gt;=AtRank),$Q3730,0)</f>
        <v>0</v>
      </c>
      <c r="S3730" s="64" t="n">
        <f aca="false">IF(AND($Q3730&gt;0,$O3730&gt;=AboveRank),$Q3730,0)</f>
        <v>0</v>
      </c>
      <c r="T3730" s="64" t="n">
        <f aca="false">IF($K3730="Less",$P3730,0)</f>
        <v>0</v>
      </c>
      <c r="U3730" s="64" t="n">
        <f aca="false">IF($K3730="Expected",$P3730,0)</f>
        <v>0</v>
      </c>
      <c r="V3730" s="64" t="n">
        <f aca="false">IF($K3730="Better",$P3730,0)</f>
        <v>0</v>
      </c>
      <c r="W3730" s="64" t="n">
        <f aca="false">IF($K3730="U – needs rule",$P3730,0)</f>
        <v>0</v>
      </c>
      <c r="X3730" s="64" t="n">
        <f aca="false">IF($K3730="No Start (attainment only)",$P3730,0)</f>
        <v>0</v>
      </c>
    </row>
    <row r="3731" customFormat="false" ht="15" hidden="false" customHeight="false" outlineLevel="0" collapsed="false">
      <c r="A3731" s="60"/>
      <c r="B3731" s="61" t="str">
        <f aca="false">IF($M3731=0,"",INDEX(Classes!$E$6:$E$420,$M3731))</f>
        <v/>
      </c>
      <c r="C3731" s="62" t="str">
        <f aca="false">IF($M3731=0,"",INDEX(Classes!$H$6:$H$420,$M3731))</f>
        <v/>
      </c>
      <c r="D3731" s="61" t="str">
        <f aca="false">IF($M3731=0,"",INDEX(Classes!$B$6:$B$420,$M3731))</f>
        <v/>
      </c>
      <c r="E3731" s="61" t="str">
        <f aca="false">IF($M3731=0,"",INDEX(Classes!$C$6:$C$420,$M3731))</f>
        <v/>
      </c>
      <c r="F3731" s="63"/>
      <c r="G3731" s="63"/>
      <c r="H3731" s="60"/>
      <c r="I3731" s="60"/>
      <c r="J3731" s="63"/>
      <c r="K3731" s="61" t="str">
        <f aca="false">IF($P3731=0,"",IF($F3731="Baseline","— Baseline",IF($O3731=0,"No result",IF($N3731=0,"No Start (attainment only)",IF(OR($N3731=1,$O3731=1),"U – needs rule",INDEX(MxBody,MATCH($I3731,MxCurr,0),MATCH($H3731,MxStart,0)))))))</f>
        <v/>
      </c>
      <c r="L3731" s="62" t="str">
        <f aca="false">IF(COUNTA($A3731,$F3731,$G3731,$H3731,$I3731,$J3731)=0,"",IF($M3731=0,"✖ كود الصف غير موجود",IF(ISNA(MATCH($F3731,Lists!$A$2:$A$5,0)),"✖ الفترة غير صحيحة",IF(ISNA(MATCH($G3731,Lists!$B$2:$B$7,0)),"✖ المجموعة غير صحيحة",IF(NOT(OR($H3731="",$N3731&gt;0)),"✖ Start غير صحيح",IF(NOT(OR($I3731="",$I3731="NR",$O3731&gt;0)),"✖ Current غير صحيح",IF(NOT(IF(ISNUMBER($J3731),AND($J3731&gt;=0,$J3731=INT($J3731)),FALSE())),"✖ العدد يجب أن يكون صحيحًا ≥ 0",IF(AND($F3731="Baseline",$H3731&lt;&gt;""),"⚠ Baseline: Start لا يدخل في التقدم",IF($K3731="No Start (attainment only)","ℹ تحصيل فقط (بدون Start)",IF($K3731="U – needs rule","ℹ حالة U تحتاج قاعدة معتمدة",IF($K3731="No result","ℹ بدون نتيجة (يُستبعد من التحصيل)","OK")))))))))))</f>
        <v/>
      </c>
      <c r="M3731" s="64" t="n">
        <f aca="false">IF($A3731="",0,IFERROR(MATCH($A3731,Classes!$A$6:$A$420,0),0))</f>
        <v>0</v>
      </c>
      <c r="N3731" s="64" t="n">
        <f aca="false">IF($H3731="",0,IFERROR(MATCH($H3731,GradeList,0),0))</f>
        <v>0</v>
      </c>
      <c r="O3731" s="64" t="n">
        <f aca="false">IF(OR($I3731="",$I3731="NR"),0,IFERROR(MATCH($I3731,GradeList,0),0))</f>
        <v>0</v>
      </c>
      <c r="P3731" s="64" t="n">
        <f aca="false">IF(AND($M3731&gt;0,ISNUMBER(MATCH($F3731,Lists!$A$2:$A$5,0)),ISNUMBER(MATCH($G3731,Lists!$B$2:$B$7,0)),OR($H3731="",$N3731&gt;0),OR($I3731="",$I3731="NR",$O3731&gt;0),IF(ISNUMBER($J3731),AND($J3731&gt;=0,$J3731=INT($J3731)),FALSE())),$J3731,0)</f>
        <v>0</v>
      </c>
      <c r="Q3731" s="64" t="n">
        <f aca="false">IF(AND($P3731&gt;0,$O3731&gt;0),$P3731,0)</f>
        <v>0</v>
      </c>
      <c r="R3731" s="64" t="n">
        <f aca="false">IF(AND($Q3731&gt;0,$O3731&gt;=AtRank),$Q3731,0)</f>
        <v>0</v>
      </c>
      <c r="S3731" s="64" t="n">
        <f aca="false">IF(AND($Q3731&gt;0,$O3731&gt;=AboveRank),$Q3731,0)</f>
        <v>0</v>
      </c>
      <c r="T3731" s="64" t="n">
        <f aca="false">IF($K3731="Less",$P3731,0)</f>
        <v>0</v>
      </c>
      <c r="U3731" s="64" t="n">
        <f aca="false">IF($K3731="Expected",$P3731,0)</f>
        <v>0</v>
      </c>
      <c r="V3731" s="64" t="n">
        <f aca="false">IF($K3731="Better",$P3731,0)</f>
        <v>0</v>
      </c>
      <c r="W3731" s="64" t="n">
        <f aca="false">IF($K3731="U – needs rule",$P3731,0)</f>
        <v>0</v>
      </c>
      <c r="X3731" s="64" t="n">
        <f aca="false">IF($K3731="No Start (attainment only)",$P3731,0)</f>
        <v>0</v>
      </c>
    </row>
    <row r="3732" customFormat="false" ht="15" hidden="false" customHeight="false" outlineLevel="0" collapsed="false">
      <c r="A3732" s="60"/>
      <c r="B3732" s="61" t="str">
        <f aca="false">IF($M3732=0,"",INDEX(Classes!$E$6:$E$420,$M3732))</f>
        <v/>
      </c>
      <c r="C3732" s="62" t="str">
        <f aca="false">IF($M3732=0,"",INDEX(Classes!$H$6:$H$420,$M3732))</f>
        <v/>
      </c>
      <c r="D3732" s="61" t="str">
        <f aca="false">IF($M3732=0,"",INDEX(Classes!$B$6:$B$420,$M3732))</f>
        <v/>
      </c>
      <c r="E3732" s="61" t="str">
        <f aca="false">IF($M3732=0,"",INDEX(Classes!$C$6:$C$420,$M3732))</f>
        <v/>
      </c>
      <c r="F3732" s="63"/>
      <c r="G3732" s="63"/>
      <c r="H3732" s="60"/>
      <c r="I3732" s="60"/>
      <c r="J3732" s="63"/>
      <c r="K3732" s="61" t="str">
        <f aca="false">IF($P3732=0,"",IF($F3732="Baseline","— Baseline",IF($O3732=0,"No result",IF($N3732=0,"No Start (attainment only)",IF(OR($N3732=1,$O3732=1),"U – needs rule",INDEX(MxBody,MATCH($I3732,MxCurr,0),MATCH($H3732,MxStart,0)))))))</f>
        <v/>
      </c>
      <c r="L3732" s="62" t="str">
        <f aca="false">IF(COUNTA($A3732,$F3732,$G3732,$H3732,$I3732,$J3732)=0,"",IF($M3732=0,"✖ كود الصف غير موجود",IF(ISNA(MATCH($F3732,Lists!$A$2:$A$5,0)),"✖ الفترة غير صحيحة",IF(ISNA(MATCH($G3732,Lists!$B$2:$B$7,0)),"✖ المجموعة غير صحيحة",IF(NOT(OR($H3732="",$N3732&gt;0)),"✖ Start غير صحيح",IF(NOT(OR($I3732="",$I3732="NR",$O3732&gt;0)),"✖ Current غير صحيح",IF(NOT(IF(ISNUMBER($J3732),AND($J3732&gt;=0,$J3732=INT($J3732)),FALSE())),"✖ العدد يجب أن يكون صحيحًا ≥ 0",IF(AND($F3732="Baseline",$H3732&lt;&gt;""),"⚠ Baseline: Start لا يدخل في التقدم",IF($K3732="No Start (attainment only)","ℹ تحصيل فقط (بدون Start)",IF($K3732="U – needs rule","ℹ حالة U تحتاج قاعدة معتمدة",IF($K3732="No result","ℹ بدون نتيجة (يُستبعد من التحصيل)","OK")))))))))))</f>
        <v/>
      </c>
      <c r="M3732" s="64" t="n">
        <f aca="false">IF($A3732="",0,IFERROR(MATCH($A3732,Classes!$A$6:$A$420,0),0))</f>
        <v>0</v>
      </c>
      <c r="N3732" s="64" t="n">
        <f aca="false">IF($H3732="",0,IFERROR(MATCH($H3732,GradeList,0),0))</f>
        <v>0</v>
      </c>
      <c r="O3732" s="64" t="n">
        <f aca="false">IF(OR($I3732="",$I3732="NR"),0,IFERROR(MATCH($I3732,GradeList,0),0))</f>
        <v>0</v>
      </c>
      <c r="P3732" s="64" t="n">
        <f aca="false">IF(AND($M3732&gt;0,ISNUMBER(MATCH($F3732,Lists!$A$2:$A$5,0)),ISNUMBER(MATCH($G3732,Lists!$B$2:$B$7,0)),OR($H3732="",$N3732&gt;0),OR($I3732="",$I3732="NR",$O3732&gt;0),IF(ISNUMBER($J3732),AND($J3732&gt;=0,$J3732=INT($J3732)),FALSE())),$J3732,0)</f>
        <v>0</v>
      </c>
      <c r="Q3732" s="64" t="n">
        <f aca="false">IF(AND($P3732&gt;0,$O3732&gt;0),$P3732,0)</f>
        <v>0</v>
      </c>
      <c r="R3732" s="64" t="n">
        <f aca="false">IF(AND($Q3732&gt;0,$O3732&gt;=AtRank),$Q3732,0)</f>
        <v>0</v>
      </c>
      <c r="S3732" s="64" t="n">
        <f aca="false">IF(AND($Q3732&gt;0,$O3732&gt;=AboveRank),$Q3732,0)</f>
        <v>0</v>
      </c>
      <c r="T3732" s="64" t="n">
        <f aca="false">IF($K3732="Less",$P3732,0)</f>
        <v>0</v>
      </c>
      <c r="U3732" s="64" t="n">
        <f aca="false">IF($K3732="Expected",$P3732,0)</f>
        <v>0</v>
      </c>
      <c r="V3732" s="64" t="n">
        <f aca="false">IF($K3732="Better",$P3732,0)</f>
        <v>0</v>
      </c>
      <c r="W3732" s="64" t="n">
        <f aca="false">IF($K3732="U – needs rule",$P3732,0)</f>
        <v>0</v>
      </c>
      <c r="X3732" s="64" t="n">
        <f aca="false">IF($K3732="No Start (attainment only)",$P3732,0)</f>
        <v>0</v>
      </c>
    </row>
    <row r="3733" customFormat="false" ht="15" hidden="false" customHeight="false" outlineLevel="0" collapsed="false">
      <c r="A3733" s="60"/>
      <c r="B3733" s="61" t="str">
        <f aca="false">IF($M3733=0,"",INDEX(Classes!$E$6:$E$420,$M3733))</f>
        <v/>
      </c>
      <c r="C3733" s="62" t="str">
        <f aca="false">IF($M3733=0,"",INDEX(Classes!$H$6:$H$420,$M3733))</f>
        <v/>
      </c>
      <c r="D3733" s="61" t="str">
        <f aca="false">IF($M3733=0,"",INDEX(Classes!$B$6:$B$420,$M3733))</f>
        <v/>
      </c>
      <c r="E3733" s="61" t="str">
        <f aca="false">IF($M3733=0,"",INDEX(Classes!$C$6:$C$420,$M3733))</f>
        <v/>
      </c>
      <c r="F3733" s="63"/>
      <c r="G3733" s="63"/>
      <c r="H3733" s="60"/>
      <c r="I3733" s="60"/>
      <c r="J3733" s="63"/>
      <c r="K3733" s="61" t="str">
        <f aca="false">IF($P3733=0,"",IF($F3733="Baseline","— Baseline",IF($O3733=0,"No result",IF($N3733=0,"No Start (attainment only)",IF(OR($N3733=1,$O3733=1),"U – needs rule",INDEX(MxBody,MATCH($I3733,MxCurr,0),MATCH($H3733,MxStart,0)))))))</f>
        <v/>
      </c>
      <c r="L3733" s="62" t="str">
        <f aca="false">IF(COUNTA($A3733,$F3733,$G3733,$H3733,$I3733,$J3733)=0,"",IF($M3733=0,"✖ كود الصف غير موجود",IF(ISNA(MATCH($F3733,Lists!$A$2:$A$5,0)),"✖ الفترة غير صحيحة",IF(ISNA(MATCH($G3733,Lists!$B$2:$B$7,0)),"✖ المجموعة غير صحيحة",IF(NOT(OR($H3733="",$N3733&gt;0)),"✖ Start غير صحيح",IF(NOT(OR($I3733="",$I3733="NR",$O3733&gt;0)),"✖ Current غير صحيح",IF(NOT(IF(ISNUMBER($J3733),AND($J3733&gt;=0,$J3733=INT($J3733)),FALSE())),"✖ العدد يجب أن يكون صحيحًا ≥ 0",IF(AND($F3733="Baseline",$H3733&lt;&gt;""),"⚠ Baseline: Start لا يدخل في التقدم",IF($K3733="No Start (attainment only)","ℹ تحصيل فقط (بدون Start)",IF($K3733="U – needs rule","ℹ حالة U تحتاج قاعدة معتمدة",IF($K3733="No result","ℹ بدون نتيجة (يُستبعد من التحصيل)","OK")))))))))))</f>
        <v/>
      </c>
      <c r="M3733" s="64" t="n">
        <f aca="false">IF($A3733="",0,IFERROR(MATCH($A3733,Classes!$A$6:$A$420,0),0))</f>
        <v>0</v>
      </c>
      <c r="N3733" s="64" t="n">
        <f aca="false">IF($H3733="",0,IFERROR(MATCH($H3733,GradeList,0),0))</f>
        <v>0</v>
      </c>
      <c r="O3733" s="64" t="n">
        <f aca="false">IF(OR($I3733="",$I3733="NR"),0,IFERROR(MATCH($I3733,GradeList,0),0))</f>
        <v>0</v>
      </c>
      <c r="P3733" s="64" t="n">
        <f aca="false">IF(AND($M3733&gt;0,ISNUMBER(MATCH($F3733,Lists!$A$2:$A$5,0)),ISNUMBER(MATCH($G3733,Lists!$B$2:$B$7,0)),OR($H3733="",$N3733&gt;0),OR($I3733="",$I3733="NR",$O3733&gt;0),IF(ISNUMBER($J3733),AND($J3733&gt;=0,$J3733=INT($J3733)),FALSE())),$J3733,0)</f>
        <v>0</v>
      </c>
      <c r="Q3733" s="64" t="n">
        <f aca="false">IF(AND($P3733&gt;0,$O3733&gt;0),$P3733,0)</f>
        <v>0</v>
      </c>
      <c r="R3733" s="64" t="n">
        <f aca="false">IF(AND($Q3733&gt;0,$O3733&gt;=AtRank),$Q3733,0)</f>
        <v>0</v>
      </c>
      <c r="S3733" s="64" t="n">
        <f aca="false">IF(AND($Q3733&gt;0,$O3733&gt;=AboveRank),$Q3733,0)</f>
        <v>0</v>
      </c>
      <c r="T3733" s="64" t="n">
        <f aca="false">IF($K3733="Less",$P3733,0)</f>
        <v>0</v>
      </c>
      <c r="U3733" s="64" t="n">
        <f aca="false">IF($K3733="Expected",$P3733,0)</f>
        <v>0</v>
      </c>
      <c r="V3733" s="64" t="n">
        <f aca="false">IF($K3733="Better",$P3733,0)</f>
        <v>0</v>
      </c>
      <c r="W3733" s="64" t="n">
        <f aca="false">IF($K3733="U – needs rule",$P3733,0)</f>
        <v>0</v>
      </c>
      <c r="X3733" s="64" t="n">
        <f aca="false">IF($K3733="No Start (attainment only)",$P3733,0)</f>
        <v>0</v>
      </c>
    </row>
    <row r="3734" customFormat="false" ht="15" hidden="false" customHeight="false" outlineLevel="0" collapsed="false">
      <c r="A3734" s="60"/>
      <c r="B3734" s="61" t="str">
        <f aca="false">IF($M3734=0,"",INDEX(Classes!$E$6:$E$420,$M3734))</f>
        <v/>
      </c>
      <c r="C3734" s="62" t="str">
        <f aca="false">IF($M3734=0,"",INDEX(Classes!$H$6:$H$420,$M3734))</f>
        <v/>
      </c>
      <c r="D3734" s="61" t="str">
        <f aca="false">IF($M3734=0,"",INDEX(Classes!$B$6:$B$420,$M3734))</f>
        <v/>
      </c>
      <c r="E3734" s="61" t="str">
        <f aca="false">IF($M3734=0,"",INDEX(Classes!$C$6:$C$420,$M3734))</f>
        <v/>
      </c>
      <c r="F3734" s="63"/>
      <c r="G3734" s="63"/>
      <c r="H3734" s="60"/>
      <c r="I3734" s="60"/>
      <c r="J3734" s="63"/>
      <c r="K3734" s="61" t="str">
        <f aca="false">IF($P3734=0,"",IF($F3734="Baseline","— Baseline",IF($O3734=0,"No result",IF($N3734=0,"No Start (attainment only)",IF(OR($N3734=1,$O3734=1),"U – needs rule",INDEX(MxBody,MATCH($I3734,MxCurr,0),MATCH($H3734,MxStart,0)))))))</f>
        <v/>
      </c>
      <c r="L3734" s="62" t="str">
        <f aca="false">IF(COUNTA($A3734,$F3734,$G3734,$H3734,$I3734,$J3734)=0,"",IF($M3734=0,"✖ كود الصف غير موجود",IF(ISNA(MATCH($F3734,Lists!$A$2:$A$5,0)),"✖ الفترة غير صحيحة",IF(ISNA(MATCH($G3734,Lists!$B$2:$B$7,0)),"✖ المجموعة غير صحيحة",IF(NOT(OR($H3734="",$N3734&gt;0)),"✖ Start غير صحيح",IF(NOT(OR($I3734="",$I3734="NR",$O3734&gt;0)),"✖ Current غير صحيح",IF(NOT(IF(ISNUMBER($J3734),AND($J3734&gt;=0,$J3734=INT($J3734)),FALSE())),"✖ العدد يجب أن يكون صحيحًا ≥ 0",IF(AND($F3734="Baseline",$H3734&lt;&gt;""),"⚠ Baseline: Start لا يدخل في التقدم",IF($K3734="No Start (attainment only)","ℹ تحصيل فقط (بدون Start)",IF($K3734="U – needs rule","ℹ حالة U تحتاج قاعدة معتمدة",IF($K3734="No result","ℹ بدون نتيجة (يُستبعد من التحصيل)","OK")))))))))))</f>
        <v/>
      </c>
      <c r="M3734" s="64" t="n">
        <f aca="false">IF($A3734="",0,IFERROR(MATCH($A3734,Classes!$A$6:$A$420,0),0))</f>
        <v>0</v>
      </c>
      <c r="N3734" s="64" t="n">
        <f aca="false">IF($H3734="",0,IFERROR(MATCH($H3734,GradeList,0),0))</f>
        <v>0</v>
      </c>
      <c r="O3734" s="64" t="n">
        <f aca="false">IF(OR($I3734="",$I3734="NR"),0,IFERROR(MATCH($I3734,GradeList,0),0))</f>
        <v>0</v>
      </c>
      <c r="P3734" s="64" t="n">
        <f aca="false">IF(AND($M3734&gt;0,ISNUMBER(MATCH($F3734,Lists!$A$2:$A$5,0)),ISNUMBER(MATCH($G3734,Lists!$B$2:$B$7,0)),OR($H3734="",$N3734&gt;0),OR($I3734="",$I3734="NR",$O3734&gt;0),IF(ISNUMBER($J3734),AND($J3734&gt;=0,$J3734=INT($J3734)),FALSE())),$J3734,0)</f>
        <v>0</v>
      </c>
      <c r="Q3734" s="64" t="n">
        <f aca="false">IF(AND($P3734&gt;0,$O3734&gt;0),$P3734,0)</f>
        <v>0</v>
      </c>
      <c r="R3734" s="64" t="n">
        <f aca="false">IF(AND($Q3734&gt;0,$O3734&gt;=AtRank),$Q3734,0)</f>
        <v>0</v>
      </c>
      <c r="S3734" s="64" t="n">
        <f aca="false">IF(AND($Q3734&gt;0,$O3734&gt;=AboveRank),$Q3734,0)</f>
        <v>0</v>
      </c>
      <c r="T3734" s="64" t="n">
        <f aca="false">IF($K3734="Less",$P3734,0)</f>
        <v>0</v>
      </c>
      <c r="U3734" s="64" t="n">
        <f aca="false">IF($K3734="Expected",$P3734,0)</f>
        <v>0</v>
      </c>
      <c r="V3734" s="64" t="n">
        <f aca="false">IF($K3734="Better",$P3734,0)</f>
        <v>0</v>
      </c>
      <c r="W3734" s="64" t="n">
        <f aca="false">IF($K3734="U – needs rule",$P3734,0)</f>
        <v>0</v>
      </c>
      <c r="X3734" s="64" t="n">
        <f aca="false">IF($K3734="No Start (attainment only)",$P3734,0)</f>
        <v>0</v>
      </c>
    </row>
    <row r="3735" customFormat="false" ht="15" hidden="false" customHeight="false" outlineLevel="0" collapsed="false">
      <c r="A3735" s="60"/>
      <c r="B3735" s="61" t="str">
        <f aca="false">IF($M3735=0,"",INDEX(Classes!$E$6:$E$420,$M3735))</f>
        <v/>
      </c>
      <c r="C3735" s="62" t="str">
        <f aca="false">IF($M3735=0,"",INDEX(Classes!$H$6:$H$420,$M3735))</f>
        <v/>
      </c>
      <c r="D3735" s="61" t="str">
        <f aca="false">IF($M3735=0,"",INDEX(Classes!$B$6:$B$420,$M3735))</f>
        <v/>
      </c>
      <c r="E3735" s="61" t="str">
        <f aca="false">IF($M3735=0,"",INDEX(Classes!$C$6:$C$420,$M3735))</f>
        <v/>
      </c>
      <c r="F3735" s="63"/>
      <c r="G3735" s="63"/>
      <c r="H3735" s="60"/>
      <c r="I3735" s="60"/>
      <c r="J3735" s="63"/>
      <c r="K3735" s="61" t="str">
        <f aca="false">IF($P3735=0,"",IF($F3735="Baseline","— Baseline",IF($O3735=0,"No result",IF($N3735=0,"No Start (attainment only)",IF(OR($N3735=1,$O3735=1),"U – needs rule",INDEX(MxBody,MATCH($I3735,MxCurr,0),MATCH($H3735,MxStart,0)))))))</f>
        <v/>
      </c>
      <c r="L3735" s="62" t="str">
        <f aca="false">IF(COUNTA($A3735,$F3735,$G3735,$H3735,$I3735,$J3735)=0,"",IF($M3735=0,"✖ كود الصف غير موجود",IF(ISNA(MATCH($F3735,Lists!$A$2:$A$5,0)),"✖ الفترة غير صحيحة",IF(ISNA(MATCH($G3735,Lists!$B$2:$B$7,0)),"✖ المجموعة غير صحيحة",IF(NOT(OR($H3735="",$N3735&gt;0)),"✖ Start غير صحيح",IF(NOT(OR($I3735="",$I3735="NR",$O3735&gt;0)),"✖ Current غير صحيح",IF(NOT(IF(ISNUMBER($J3735),AND($J3735&gt;=0,$J3735=INT($J3735)),FALSE())),"✖ العدد يجب أن يكون صحيحًا ≥ 0",IF(AND($F3735="Baseline",$H3735&lt;&gt;""),"⚠ Baseline: Start لا يدخل في التقدم",IF($K3735="No Start (attainment only)","ℹ تحصيل فقط (بدون Start)",IF($K3735="U – needs rule","ℹ حالة U تحتاج قاعدة معتمدة",IF($K3735="No result","ℹ بدون نتيجة (يُستبعد من التحصيل)","OK")))))))))))</f>
        <v/>
      </c>
      <c r="M3735" s="64" t="n">
        <f aca="false">IF($A3735="",0,IFERROR(MATCH($A3735,Classes!$A$6:$A$420,0),0))</f>
        <v>0</v>
      </c>
      <c r="N3735" s="64" t="n">
        <f aca="false">IF($H3735="",0,IFERROR(MATCH($H3735,GradeList,0),0))</f>
        <v>0</v>
      </c>
      <c r="O3735" s="64" t="n">
        <f aca="false">IF(OR($I3735="",$I3735="NR"),0,IFERROR(MATCH($I3735,GradeList,0),0))</f>
        <v>0</v>
      </c>
      <c r="P3735" s="64" t="n">
        <f aca="false">IF(AND($M3735&gt;0,ISNUMBER(MATCH($F3735,Lists!$A$2:$A$5,0)),ISNUMBER(MATCH($G3735,Lists!$B$2:$B$7,0)),OR($H3735="",$N3735&gt;0),OR($I3735="",$I3735="NR",$O3735&gt;0),IF(ISNUMBER($J3735),AND($J3735&gt;=0,$J3735=INT($J3735)),FALSE())),$J3735,0)</f>
        <v>0</v>
      </c>
      <c r="Q3735" s="64" t="n">
        <f aca="false">IF(AND($P3735&gt;0,$O3735&gt;0),$P3735,0)</f>
        <v>0</v>
      </c>
      <c r="R3735" s="64" t="n">
        <f aca="false">IF(AND($Q3735&gt;0,$O3735&gt;=AtRank),$Q3735,0)</f>
        <v>0</v>
      </c>
      <c r="S3735" s="64" t="n">
        <f aca="false">IF(AND($Q3735&gt;0,$O3735&gt;=AboveRank),$Q3735,0)</f>
        <v>0</v>
      </c>
      <c r="T3735" s="64" t="n">
        <f aca="false">IF($K3735="Less",$P3735,0)</f>
        <v>0</v>
      </c>
      <c r="U3735" s="64" t="n">
        <f aca="false">IF($K3735="Expected",$P3735,0)</f>
        <v>0</v>
      </c>
      <c r="V3735" s="64" t="n">
        <f aca="false">IF($K3735="Better",$P3735,0)</f>
        <v>0</v>
      </c>
      <c r="W3735" s="64" t="n">
        <f aca="false">IF($K3735="U – needs rule",$P3735,0)</f>
        <v>0</v>
      </c>
      <c r="X3735" s="64" t="n">
        <f aca="false">IF($K3735="No Start (attainment only)",$P3735,0)</f>
        <v>0</v>
      </c>
    </row>
    <row r="3736" customFormat="false" ht="15" hidden="false" customHeight="false" outlineLevel="0" collapsed="false">
      <c r="A3736" s="60"/>
      <c r="B3736" s="61" t="str">
        <f aca="false">IF($M3736=0,"",INDEX(Classes!$E$6:$E$420,$M3736))</f>
        <v/>
      </c>
      <c r="C3736" s="62" t="str">
        <f aca="false">IF($M3736=0,"",INDEX(Classes!$H$6:$H$420,$M3736))</f>
        <v/>
      </c>
      <c r="D3736" s="61" t="str">
        <f aca="false">IF($M3736=0,"",INDEX(Classes!$B$6:$B$420,$M3736))</f>
        <v/>
      </c>
      <c r="E3736" s="61" t="str">
        <f aca="false">IF($M3736=0,"",INDEX(Classes!$C$6:$C$420,$M3736))</f>
        <v/>
      </c>
      <c r="F3736" s="63"/>
      <c r="G3736" s="63"/>
      <c r="H3736" s="60"/>
      <c r="I3736" s="60"/>
      <c r="J3736" s="63"/>
      <c r="K3736" s="61" t="str">
        <f aca="false">IF($P3736=0,"",IF($F3736="Baseline","— Baseline",IF($O3736=0,"No result",IF($N3736=0,"No Start (attainment only)",IF(OR($N3736=1,$O3736=1),"U – needs rule",INDEX(MxBody,MATCH($I3736,MxCurr,0),MATCH($H3736,MxStart,0)))))))</f>
        <v/>
      </c>
      <c r="L3736" s="62" t="str">
        <f aca="false">IF(COUNTA($A3736,$F3736,$G3736,$H3736,$I3736,$J3736)=0,"",IF($M3736=0,"✖ كود الصف غير موجود",IF(ISNA(MATCH($F3736,Lists!$A$2:$A$5,0)),"✖ الفترة غير صحيحة",IF(ISNA(MATCH($G3736,Lists!$B$2:$B$7,0)),"✖ المجموعة غير صحيحة",IF(NOT(OR($H3736="",$N3736&gt;0)),"✖ Start غير صحيح",IF(NOT(OR($I3736="",$I3736="NR",$O3736&gt;0)),"✖ Current غير صحيح",IF(NOT(IF(ISNUMBER($J3736),AND($J3736&gt;=0,$J3736=INT($J3736)),FALSE())),"✖ العدد يجب أن يكون صحيحًا ≥ 0",IF(AND($F3736="Baseline",$H3736&lt;&gt;""),"⚠ Baseline: Start لا يدخل في التقدم",IF($K3736="No Start (attainment only)","ℹ تحصيل فقط (بدون Start)",IF($K3736="U – needs rule","ℹ حالة U تحتاج قاعدة معتمدة",IF($K3736="No result","ℹ بدون نتيجة (يُستبعد من التحصيل)","OK")))))))))))</f>
        <v/>
      </c>
      <c r="M3736" s="64" t="n">
        <f aca="false">IF($A3736="",0,IFERROR(MATCH($A3736,Classes!$A$6:$A$420,0),0))</f>
        <v>0</v>
      </c>
      <c r="N3736" s="64" t="n">
        <f aca="false">IF($H3736="",0,IFERROR(MATCH($H3736,GradeList,0),0))</f>
        <v>0</v>
      </c>
      <c r="O3736" s="64" t="n">
        <f aca="false">IF(OR($I3736="",$I3736="NR"),0,IFERROR(MATCH($I3736,GradeList,0),0))</f>
        <v>0</v>
      </c>
      <c r="P3736" s="64" t="n">
        <f aca="false">IF(AND($M3736&gt;0,ISNUMBER(MATCH($F3736,Lists!$A$2:$A$5,0)),ISNUMBER(MATCH($G3736,Lists!$B$2:$B$7,0)),OR($H3736="",$N3736&gt;0),OR($I3736="",$I3736="NR",$O3736&gt;0),IF(ISNUMBER($J3736),AND($J3736&gt;=0,$J3736=INT($J3736)),FALSE())),$J3736,0)</f>
        <v>0</v>
      </c>
      <c r="Q3736" s="64" t="n">
        <f aca="false">IF(AND($P3736&gt;0,$O3736&gt;0),$P3736,0)</f>
        <v>0</v>
      </c>
      <c r="R3736" s="64" t="n">
        <f aca="false">IF(AND($Q3736&gt;0,$O3736&gt;=AtRank),$Q3736,0)</f>
        <v>0</v>
      </c>
      <c r="S3736" s="64" t="n">
        <f aca="false">IF(AND($Q3736&gt;0,$O3736&gt;=AboveRank),$Q3736,0)</f>
        <v>0</v>
      </c>
      <c r="T3736" s="64" t="n">
        <f aca="false">IF($K3736="Less",$P3736,0)</f>
        <v>0</v>
      </c>
      <c r="U3736" s="64" t="n">
        <f aca="false">IF($K3736="Expected",$P3736,0)</f>
        <v>0</v>
      </c>
      <c r="V3736" s="64" t="n">
        <f aca="false">IF($K3736="Better",$P3736,0)</f>
        <v>0</v>
      </c>
      <c r="W3736" s="64" t="n">
        <f aca="false">IF($K3736="U – needs rule",$P3736,0)</f>
        <v>0</v>
      </c>
      <c r="X3736" s="64" t="n">
        <f aca="false">IF($K3736="No Start (attainment only)",$P3736,0)</f>
        <v>0</v>
      </c>
    </row>
    <row r="3737" customFormat="false" ht="15" hidden="false" customHeight="false" outlineLevel="0" collapsed="false">
      <c r="A3737" s="60"/>
      <c r="B3737" s="61" t="str">
        <f aca="false">IF($M3737=0,"",INDEX(Classes!$E$6:$E$420,$M3737))</f>
        <v/>
      </c>
      <c r="C3737" s="62" t="str">
        <f aca="false">IF($M3737=0,"",INDEX(Classes!$H$6:$H$420,$M3737))</f>
        <v/>
      </c>
      <c r="D3737" s="61" t="str">
        <f aca="false">IF($M3737=0,"",INDEX(Classes!$B$6:$B$420,$M3737))</f>
        <v/>
      </c>
      <c r="E3737" s="61" t="str">
        <f aca="false">IF($M3737=0,"",INDEX(Classes!$C$6:$C$420,$M3737))</f>
        <v/>
      </c>
      <c r="F3737" s="63"/>
      <c r="G3737" s="63"/>
      <c r="H3737" s="60"/>
      <c r="I3737" s="60"/>
      <c r="J3737" s="63"/>
      <c r="K3737" s="61" t="str">
        <f aca="false">IF($P3737=0,"",IF($F3737="Baseline","— Baseline",IF($O3737=0,"No result",IF($N3737=0,"No Start (attainment only)",IF(OR($N3737=1,$O3737=1),"U – needs rule",INDEX(MxBody,MATCH($I3737,MxCurr,0),MATCH($H3737,MxStart,0)))))))</f>
        <v/>
      </c>
      <c r="L3737" s="62" t="str">
        <f aca="false">IF(COUNTA($A3737,$F3737,$G3737,$H3737,$I3737,$J3737)=0,"",IF($M3737=0,"✖ كود الصف غير موجود",IF(ISNA(MATCH($F3737,Lists!$A$2:$A$5,0)),"✖ الفترة غير صحيحة",IF(ISNA(MATCH($G3737,Lists!$B$2:$B$7,0)),"✖ المجموعة غير صحيحة",IF(NOT(OR($H3737="",$N3737&gt;0)),"✖ Start غير صحيح",IF(NOT(OR($I3737="",$I3737="NR",$O3737&gt;0)),"✖ Current غير صحيح",IF(NOT(IF(ISNUMBER($J3737),AND($J3737&gt;=0,$J3737=INT($J3737)),FALSE())),"✖ العدد يجب أن يكون صحيحًا ≥ 0",IF(AND($F3737="Baseline",$H3737&lt;&gt;""),"⚠ Baseline: Start لا يدخل في التقدم",IF($K3737="No Start (attainment only)","ℹ تحصيل فقط (بدون Start)",IF($K3737="U – needs rule","ℹ حالة U تحتاج قاعدة معتمدة",IF($K3737="No result","ℹ بدون نتيجة (يُستبعد من التحصيل)","OK")))))))))))</f>
        <v/>
      </c>
      <c r="M3737" s="64" t="n">
        <f aca="false">IF($A3737="",0,IFERROR(MATCH($A3737,Classes!$A$6:$A$420,0),0))</f>
        <v>0</v>
      </c>
      <c r="N3737" s="64" t="n">
        <f aca="false">IF($H3737="",0,IFERROR(MATCH($H3737,GradeList,0),0))</f>
        <v>0</v>
      </c>
      <c r="O3737" s="64" t="n">
        <f aca="false">IF(OR($I3737="",$I3737="NR"),0,IFERROR(MATCH($I3737,GradeList,0),0))</f>
        <v>0</v>
      </c>
      <c r="P3737" s="64" t="n">
        <f aca="false">IF(AND($M3737&gt;0,ISNUMBER(MATCH($F3737,Lists!$A$2:$A$5,0)),ISNUMBER(MATCH($G3737,Lists!$B$2:$B$7,0)),OR($H3737="",$N3737&gt;0),OR($I3737="",$I3737="NR",$O3737&gt;0),IF(ISNUMBER($J3737),AND($J3737&gt;=0,$J3737=INT($J3737)),FALSE())),$J3737,0)</f>
        <v>0</v>
      </c>
      <c r="Q3737" s="64" t="n">
        <f aca="false">IF(AND($P3737&gt;0,$O3737&gt;0),$P3737,0)</f>
        <v>0</v>
      </c>
      <c r="R3737" s="64" t="n">
        <f aca="false">IF(AND($Q3737&gt;0,$O3737&gt;=AtRank),$Q3737,0)</f>
        <v>0</v>
      </c>
      <c r="S3737" s="64" t="n">
        <f aca="false">IF(AND($Q3737&gt;0,$O3737&gt;=AboveRank),$Q3737,0)</f>
        <v>0</v>
      </c>
      <c r="T3737" s="64" t="n">
        <f aca="false">IF($K3737="Less",$P3737,0)</f>
        <v>0</v>
      </c>
      <c r="U3737" s="64" t="n">
        <f aca="false">IF($K3737="Expected",$P3737,0)</f>
        <v>0</v>
      </c>
      <c r="V3737" s="64" t="n">
        <f aca="false">IF($K3737="Better",$P3737,0)</f>
        <v>0</v>
      </c>
      <c r="W3737" s="64" t="n">
        <f aca="false">IF($K3737="U – needs rule",$P3737,0)</f>
        <v>0</v>
      </c>
      <c r="X3737" s="64" t="n">
        <f aca="false">IF($K3737="No Start (attainment only)",$P3737,0)</f>
        <v>0</v>
      </c>
    </row>
    <row r="3738" customFormat="false" ht="15" hidden="false" customHeight="false" outlineLevel="0" collapsed="false">
      <c r="A3738" s="60"/>
      <c r="B3738" s="61" t="str">
        <f aca="false">IF($M3738=0,"",INDEX(Classes!$E$6:$E$420,$M3738))</f>
        <v/>
      </c>
      <c r="C3738" s="62" t="str">
        <f aca="false">IF($M3738=0,"",INDEX(Classes!$H$6:$H$420,$M3738))</f>
        <v/>
      </c>
      <c r="D3738" s="61" t="str">
        <f aca="false">IF($M3738=0,"",INDEX(Classes!$B$6:$B$420,$M3738))</f>
        <v/>
      </c>
      <c r="E3738" s="61" t="str">
        <f aca="false">IF($M3738=0,"",INDEX(Classes!$C$6:$C$420,$M3738))</f>
        <v/>
      </c>
      <c r="F3738" s="63"/>
      <c r="G3738" s="63"/>
      <c r="H3738" s="60"/>
      <c r="I3738" s="60"/>
      <c r="J3738" s="63"/>
      <c r="K3738" s="61" t="str">
        <f aca="false">IF($P3738=0,"",IF($F3738="Baseline","— Baseline",IF($O3738=0,"No result",IF($N3738=0,"No Start (attainment only)",IF(OR($N3738=1,$O3738=1),"U – needs rule",INDEX(MxBody,MATCH($I3738,MxCurr,0),MATCH($H3738,MxStart,0)))))))</f>
        <v/>
      </c>
      <c r="L3738" s="62" t="str">
        <f aca="false">IF(COUNTA($A3738,$F3738,$G3738,$H3738,$I3738,$J3738)=0,"",IF($M3738=0,"✖ كود الصف غير موجود",IF(ISNA(MATCH($F3738,Lists!$A$2:$A$5,0)),"✖ الفترة غير صحيحة",IF(ISNA(MATCH($G3738,Lists!$B$2:$B$7,0)),"✖ المجموعة غير صحيحة",IF(NOT(OR($H3738="",$N3738&gt;0)),"✖ Start غير صحيح",IF(NOT(OR($I3738="",$I3738="NR",$O3738&gt;0)),"✖ Current غير صحيح",IF(NOT(IF(ISNUMBER($J3738),AND($J3738&gt;=0,$J3738=INT($J3738)),FALSE())),"✖ العدد يجب أن يكون صحيحًا ≥ 0",IF(AND($F3738="Baseline",$H3738&lt;&gt;""),"⚠ Baseline: Start لا يدخل في التقدم",IF($K3738="No Start (attainment only)","ℹ تحصيل فقط (بدون Start)",IF($K3738="U – needs rule","ℹ حالة U تحتاج قاعدة معتمدة",IF($K3738="No result","ℹ بدون نتيجة (يُستبعد من التحصيل)","OK")))))))))))</f>
        <v/>
      </c>
      <c r="M3738" s="64" t="n">
        <f aca="false">IF($A3738="",0,IFERROR(MATCH($A3738,Classes!$A$6:$A$420,0),0))</f>
        <v>0</v>
      </c>
      <c r="N3738" s="64" t="n">
        <f aca="false">IF($H3738="",0,IFERROR(MATCH($H3738,GradeList,0),0))</f>
        <v>0</v>
      </c>
      <c r="O3738" s="64" t="n">
        <f aca="false">IF(OR($I3738="",$I3738="NR"),0,IFERROR(MATCH($I3738,GradeList,0),0))</f>
        <v>0</v>
      </c>
      <c r="P3738" s="64" t="n">
        <f aca="false">IF(AND($M3738&gt;0,ISNUMBER(MATCH($F3738,Lists!$A$2:$A$5,0)),ISNUMBER(MATCH($G3738,Lists!$B$2:$B$7,0)),OR($H3738="",$N3738&gt;0),OR($I3738="",$I3738="NR",$O3738&gt;0),IF(ISNUMBER($J3738),AND($J3738&gt;=0,$J3738=INT($J3738)),FALSE())),$J3738,0)</f>
        <v>0</v>
      </c>
      <c r="Q3738" s="64" t="n">
        <f aca="false">IF(AND($P3738&gt;0,$O3738&gt;0),$P3738,0)</f>
        <v>0</v>
      </c>
      <c r="R3738" s="64" t="n">
        <f aca="false">IF(AND($Q3738&gt;0,$O3738&gt;=AtRank),$Q3738,0)</f>
        <v>0</v>
      </c>
      <c r="S3738" s="64" t="n">
        <f aca="false">IF(AND($Q3738&gt;0,$O3738&gt;=AboveRank),$Q3738,0)</f>
        <v>0</v>
      </c>
      <c r="T3738" s="64" t="n">
        <f aca="false">IF($K3738="Less",$P3738,0)</f>
        <v>0</v>
      </c>
      <c r="U3738" s="64" t="n">
        <f aca="false">IF($K3738="Expected",$P3738,0)</f>
        <v>0</v>
      </c>
      <c r="V3738" s="64" t="n">
        <f aca="false">IF($K3738="Better",$P3738,0)</f>
        <v>0</v>
      </c>
      <c r="W3738" s="64" t="n">
        <f aca="false">IF($K3738="U – needs rule",$P3738,0)</f>
        <v>0</v>
      </c>
      <c r="X3738" s="64" t="n">
        <f aca="false">IF($K3738="No Start (attainment only)",$P3738,0)</f>
        <v>0</v>
      </c>
    </row>
    <row r="3739" customFormat="false" ht="15" hidden="false" customHeight="false" outlineLevel="0" collapsed="false">
      <c r="A3739" s="60"/>
      <c r="B3739" s="61" t="str">
        <f aca="false">IF($M3739=0,"",INDEX(Classes!$E$6:$E$420,$M3739))</f>
        <v/>
      </c>
      <c r="C3739" s="62" t="str">
        <f aca="false">IF($M3739=0,"",INDEX(Classes!$H$6:$H$420,$M3739))</f>
        <v/>
      </c>
      <c r="D3739" s="61" t="str">
        <f aca="false">IF($M3739=0,"",INDEX(Classes!$B$6:$B$420,$M3739))</f>
        <v/>
      </c>
      <c r="E3739" s="61" t="str">
        <f aca="false">IF($M3739=0,"",INDEX(Classes!$C$6:$C$420,$M3739))</f>
        <v/>
      </c>
      <c r="F3739" s="63"/>
      <c r="G3739" s="63"/>
      <c r="H3739" s="60"/>
      <c r="I3739" s="60"/>
      <c r="J3739" s="63"/>
      <c r="K3739" s="61" t="str">
        <f aca="false">IF($P3739=0,"",IF($F3739="Baseline","— Baseline",IF($O3739=0,"No result",IF($N3739=0,"No Start (attainment only)",IF(OR($N3739=1,$O3739=1),"U – needs rule",INDEX(MxBody,MATCH($I3739,MxCurr,0),MATCH($H3739,MxStart,0)))))))</f>
        <v/>
      </c>
      <c r="L3739" s="62" t="str">
        <f aca="false">IF(COUNTA($A3739,$F3739,$G3739,$H3739,$I3739,$J3739)=0,"",IF($M3739=0,"✖ كود الصف غير موجود",IF(ISNA(MATCH($F3739,Lists!$A$2:$A$5,0)),"✖ الفترة غير صحيحة",IF(ISNA(MATCH($G3739,Lists!$B$2:$B$7,0)),"✖ المجموعة غير صحيحة",IF(NOT(OR($H3739="",$N3739&gt;0)),"✖ Start غير صحيح",IF(NOT(OR($I3739="",$I3739="NR",$O3739&gt;0)),"✖ Current غير صحيح",IF(NOT(IF(ISNUMBER($J3739),AND($J3739&gt;=0,$J3739=INT($J3739)),FALSE())),"✖ العدد يجب أن يكون صحيحًا ≥ 0",IF(AND($F3739="Baseline",$H3739&lt;&gt;""),"⚠ Baseline: Start لا يدخل في التقدم",IF($K3739="No Start (attainment only)","ℹ تحصيل فقط (بدون Start)",IF($K3739="U – needs rule","ℹ حالة U تحتاج قاعدة معتمدة",IF($K3739="No result","ℹ بدون نتيجة (يُستبعد من التحصيل)","OK")))))))))))</f>
        <v/>
      </c>
      <c r="M3739" s="64" t="n">
        <f aca="false">IF($A3739="",0,IFERROR(MATCH($A3739,Classes!$A$6:$A$420,0),0))</f>
        <v>0</v>
      </c>
      <c r="N3739" s="64" t="n">
        <f aca="false">IF($H3739="",0,IFERROR(MATCH($H3739,GradeList,0),0))</f>
        <v>0</v>
      </c>
      <c r="O3739" s="64" t="n">
        <f aca="false">IF(OR($I3739="",$I3739="NR"),0,IFERROR(MATCH($I3739,GradeList,0),0))</f>
        <v>0</v>
      </c>
      <c r="P3739" s="64" t="n">
        <f aca="false">IF(AND($M3739&gt;0,ISNUMBER(MATCH($F3739,Lists!$A$2:$A$5,0)),ISNUMBER(MATCH($G3739,Lists!$B$2:$B$7,0)),OR($H3739="",$N3739&gt;0),OR($I3739="",$I3739="NR",$O3739&gt;0),IF(ISNUMBER($J3739),AND($J3739&gt;=0,$J3739=INT($J3739)),FALSE())),$J3739,0)</f>
        <v>0</v>
      </c>
      <c r="Q3739" s="64" t="n">
        <f aca="false">IF(AND($P3739&gt;0,$O3739&gt;0),$P3739,0)</f>
        <v>0</v>
      </c>
      <c r="R3739" s="64" t="n">
        <f aca="false">IF(AND($Q3739&gt;0,$O3739&gt;=AtRank),$Q3739,0)</f>
        <v>0</v>
      </c>
      <c r="S3739" s="64" t="n">
        <f aca="false">IF(AND($Q3739&gt;0,$O3739&gt;=AboveRank),$Q3739,0)</f>
        <v>0</v>
      </c>
      <c r="T3739" s="64" t="n">
        <f aca="false">IF($K3739="Less",$P3739,0)</f>
        <v>0</v>
      </c>
      <c r="U3739" s="64" t="n">
        <f aca="false">IF($K3739="Expected",$P3739,0)</f>
        <v>0</v>
      </c>
      <c r="V3739" s="64" t="n">
        <f aca="false">IF($K3739="Better",$P3739,0)</f>
        <v>0</v>
      </c>
      <c r="W3739" s="64" t="n">
        <f aca="false">IF($K3739="U – needs rule",$P3739,0)</f>
        <v>0</v>
      </c>
      <c r="X3739" s="64" t="n">
        <f aca="false">IF($K3739="No Start (attainment only)",$P3739,0)</f>
        <v>0</v>
      </c>
    </row>
    <row r="3740" customFormat="false" ht="15" hidden="false" customHeight="false" outlineLevel="0" collapsed="false">
      <c r="A3740" s="60"/>
      <c r="B3740" s="61" t="str">
        <f aca="false">IF($M3740=0,"",INDEX(Classes!$E$6:$E$420,$M3740))</f>
        <v/>
      </c>
      <c r="C3740" s="62" t="str">
        <f aca="false">IF($M3740=0,"",INDEX(Classes!$H$6:$H$420,$M3740))</f>
        <v/>
      </c>
      <c r="D3740" s="61" t="str">
        <f aca="false">IF($M3740=0,"",INDEX(Classes!$B$6:$B$420,$M3740))</f>
        <v/>
      </c>
      <c r="E3740" s="61" t="str">
        <f aca="false">IF($M3740=0,"",INDEX(Classes!$C$6:$C$420,$M3740))</f>
        <v/>
      </c>
      <c r="F3740" s="63"/>
      <c r="G3740" s="63"/>
      <c r="H3740" s="60"/>
      <c r="I3740" s="60"/>
      <c r="J3740" s="63"/>
      <c r="K3740" s="61" t="str">
        <f aca="false">IF($P3740=0,"",IF($F3740="Baseline","— Baseline",IF($O3740=0,"No result",IF($N3740=0,"No Start (attainment only)",IF(OR($N3740=1,$O3740=1),"U – needs rule",INDEX(MxBody,MATCH($I3740,MxCurr,0),MATCH($H3740,MxStart,0)))))))</f>
        <v/>
      </c>
      <c r="L3740" s="62" t="str">
        <f aca="false">IF(COUNTA($A3740,$F3740,$G3740,$H3740,$I3740,$J3740)=0,"",IF($M3740=0,"✖ كود الصف غير موجود",IF(ISNA(MATCH($F3740,Lists!$A$2:$A$5,0)),"✖ الفترة غير صحيحة",IF(ISNA(MATCH($G3740,Lists!$B$2:$B$7,0)),"✖ المجموعة غير صحيحة",IF(NOT(OR($H3740="",$N3740&gt;0)),"✖ Start غير صحيح",IF(NOT(OR($I3740="",$I3740="NR",$O3740&gt;0)),"✖ Current غير صحيح",IF(NOT(IF(ISNUMBER($J3740),AND($J3740&gt;=0,$J3740=INT($J3740)),FALSE())),"✖ العدد يجب أن يكون صحيحًا ≥ 0",IF(AND($F3740="Baseline",$H3740&lt;&gt;""),"⚠ Baseline: Start لا يدخل في التقدم",IF($K3740="No Start (attainment only)","ℹ تحصيل فقط (بدون Start)",IF($K3740="U – needs rule","ℹ حالة U تحتاج قاعدة معتمدة",IF($K3740="No result","ℹ بدون نتيجة (يُستبعد من التحصيل)","OK")))))))))))</f>
        <v/>
      </c>
      <c r="M3740" s="64" t="n">
        <f aca="false">IF($A3740="",0,IFERROR(MATCH($A3740,Classes!$A$6:$A$420,0),0))</f>
        <v>0</v>
      </c>
      <c r="N3740" s="64" t="n">
        <f aca="false">IF($H3740="",0,IFERROR(MATCH($H3740,GradeList,0),0))</f>
        <v>0</v>
      </c>
      <c r="O3740" s="64" t="n">
        <f aca="false">IF(OR($I3740="",$I3740="NR"),0,IFERROR(MATCH($I3740,GradeList,0),0))</f>
        <v>0</v>
      </c>
      <c r="P3740" s="64" t="n">
        <f aca="false">IF(AND($M3740&gt;0,ISNUMBER(MATCH($F3740,Lists!$A$2:$A$5,0)),ISNUMBER(MATCH($G3740,Lists!$B$2:$B$7,0)),OR($H3740="",$N3740&gt;0),OR($I3740="",$I3740="NR",$O3740&gt;0),IF(ISNUMBER($J3740),AND($J3740&gt;=0,$J3740=INT($J3740)),FALSE())),$J3740,0)</f>
        <v>0</v>
      </c>
      <c r="Q3740" s="64" t="n">
        <f aca="false">IF(AND($P3740&gt;0,$O3740&gt;0),$P3740,0)</f>
        <v>0</v>
      </c>
      <c r="R3740" s="64" t="n">
        <f aca="false">IF(AND($Q3740&gt;0,$O3740&gt;=AtRank),$Q3740,0)</f>
        <v>0</v>
      </c>
      <c r="S3740" s="64" t="n">
        <f aca="false">IF(AND($Q3740&gt;0,$O3740&gt;=AboveRank),$Q3740,0)</f>
        <v>0</v>
      </c>
      <c r="T3740" s="64" t="n">
        <f aca="false">IF($K3740="Less",$P3740,0)</f>
        <v>0</v>
      </c>
      <c r="U3740" s="64" t="n">
        <f aca="false">IF($K3740="Expected",$P3740,0)</f>
        <v>0</v>
      </c>
      <c r="V3740" s="64" t="n">
        <f aca="false">IF($K3740="Better",$P3740,0)</f>
        <v>0</v>
      </c>
      <c r="W3740" s="64" t="n">
        <f aca="false">IF($K3740="U – needs rule",$P3740,0)</f>
        <v>0</v>
      </c>
      <c r="X3740" s="64" t="n">
        <f aca="false">IF($K3740="No Start (attainment only)",$P3740,0)</f>
        <v>0</v>
      </c>
    </row>
    <row r="3741" customFormat="false" ht="15" hidden="false" customHeight="false" outlineLevel="0" collapsed="false">
      <c r="A3741" s="60"/>
      <c r="B3741" s="61" t="str">
        <f aca="false">IF($M3741=0,"",INDEX(Classes!$E$6:$E$420,$M3741))</f>
        <v/>
      </c>
      <c r="C3741" s="62" t="str">
        <f aca="false">IF($M3741=0,"",INDEX(Classes!$H$6:$H$420,$M3741))</f>
        <v/>
      </c>
      <c r="D3741" s="61" t="str">
        <f aca="false">IF($M3741=0,"",INDEX(Classes!$B$6:$B$420,$M3741))</f>
        <v/>
      </c>
      <c r="E3741" s="61" t="str">
        <f aca="false">IF($M3741=0,"",INDEX(Classes!$C$6:$C$420,$M3741))</f>
        <v/>
      </c>
      <c r="F3741" s="63"/>
      <c r="G3741" s="63"/>
      <c r="H3741" s="60"/>
      <c r="I3741" s="60"/>
      <c r="J3741" s="63"/>
      <c r="K3741" s="61" t="str">
        <f aca="false">IF($P3741=0,"",IF($F3741="Baseline","— Baseline",IF($O3741=0,"No result",IF($N3741=0,"No Start (attainment only)",IF(OR($N3741=1,$O3741=1),"U – needs rule",INDEX(MxBody,MATCH($I3741,MxCurr,0),MATCH($H3741,MxStart,0)))))))</f>
        <v/>
      </c>
      <c r="L3741" s="62" t="str">
        <f aca="false">IF(COUNTA($A3741,$F3741,$G3741,$H3741,$I3741,$J3741)=0,"",IF($M3741=0,"✖ كود الصف غير موجود",IF(ISNA(MATCH($F3741,Lists!$A$2:$A$5,0)),"✖ الفترة غير صحيحة",IF(ISNA(MATCH($G3741,Lists!$B$2:$B$7,0)),"✖ المجموعة غير صحيحة",IF(NOT(OR($H3741="",$N3741&gt;0)),"✖ Start غير صحيح",IF(NOT(OR($I3741="",$I3741="NR",$O3741&gt;0)),"✖ Current غير صحيح",IF(NOT(IF(ISNUMBER($J3741),AND($J3741&gt;=0,$J3741=INT($J3741)),FALSE())),"✖ العدد يجب أن يكون صحيحًا ≥ 0",IF(AND($F3741="Baseline",$H3741&lt;&gt;""),"⚠ Baseline: Start لا يدخل في التقدم",IF($K3741="No Start (attainment only)","ℹ تحصيل فقط (بدون Start)",IF($K3741="U – needs rule","ℹ حالة U تحتاج قاعدة معتمدة",IF($K3741="No result","ℹ بدون نتيجة (يُستبعد من التحصيل)","OK")))))))))))</f>
        <v/>
      </c>
      <c r="M3741" s="64" t="n">
        <f aca="false">IF($A3741="",0,IFERROR(MATCH($A3741,Classes!$A$6:$A$420,0),0))</f>
        <v>0</v>
      </c>
      <c r="N3741" s="64" t="n">
        <f aca="false">IF($H3741="",0,IFERROR(MATCH($H3741,GradeList,0),0))</f>
        <v>0</v>
      </c>
      <c r="O3741" s="64" t="n">
        <f aca="false">IF(OR($I3741="",$I3741="NR"),0,IFERROR(MATCH($I3741,GradeList,0),0))</f>
        <v>0</v>
      </c>
      <c r="P3741" s="64" t="n">
        <f aca="false">IF(AND($M3741&gt;0,ISNUMBER(MATCH($F3741,Lists!$A$2:$A$5,0)),ISNUMBER(MATCH($G3741,Lists!$B$2:$B$7,0)),OR($H3741="",$N3741&gt;0),OR($I3741="",$I3741="NR",$O3741&gt;0),IF(ISNUMBER($J3741),AND($J3741&gt;=0,$J3741=INT($J3741)),FALSE())),$J3741,0)</f>
        <v>0</v>
      </c>
      <c r="Q3741" s="64" t="n">
        <f aca="false">IF(AND($P3741&gt;0,$O3741&gt;0),$P3741,0)</f>
        <v>0</v>
      </c>
      <c r="R3741" s="64" t="n">
        <f aca="false">IF(AND($Q3741&gt;0,$O3741&gt;=AtRank),$Q3741,0)</f>
        <v>0</v>
      </c>
      <c r="S3741" s="64" t="n">
        <f aca="false">IF(AND($Q3741&gt;0,$O3741&gt;=AboveRank),$Q3741,0)</f>
        <v>0</v>
      </c>
      <c r="T3741" s="64" t="n">
        <f aca="false">IF($K3741="Less",$P3741,0)</f>
        <v>0</v>
      </c>
      <c r="U3741" s="64" t="n">
        <f aca="false">IF($K3741="Expected",$P3741,0)</f>
        <v>0</v>
      </c>
      <c r="V3741" s="64" t="n">
        <f aca="false">IF($K3741="Better",$P3741,0)</f>
        <v>0</v>
      </c>
      <c r="W3741" s="64" t="n">
        <f aca="false">IF($K3741="U – needs rule",$P3741,0)</f>
        <v>0</v>
      </c>
      <c r="X3741" s="64" t="n">
        <f aca="false">IF($K3741="No Start (attainment only)",$P3741,0)</f>
        <v>0</v>
      </c>
    </row>
    <row r="3742" customFormat="false" ht="15" hidden="false" customHeight="false" outlineLevel="0" collapsed="false">
      <c r="A3742" s="60"/>
      <c r="B3742" s="61" t="str">
        <f aca="false">IF($M3742=0,"",INDEX(Classes!$E$6:$E$420,$M3742))</f>
        <v/>
      </c>
      <c r="C3742" s="62" t="str">
        <f aca="false">IF($M3742=0,"",INDEX(Classes!$H$6:$H$420,$M3742))</f>
        <v/>
      </c>
      <c r="D3742" s="61" t="str">
        <f aca="false">IF($M3742=0,"",INDEX(Classes!$B$6:$B$420,$M3742))</f>
        <v/>
      </c>
      <c r="E3742" s="61" t="str">
        <f aca="false">IF($M3742=0,"",INDEX(Classes!$C$6:$C$420,$M3742))</f>
        <v/>
      </c>
      <c r="F3742" s="63"/>
      <c r="G3742" s="63"/>
      <c r="H3742" s="60"/>
      <c r="I3742" s="60"/>
      <c r="J3742" s="63"/>
      <c r="K3742" s="61" t="str">
        <f aca="false">IF($P3742=0,"",IF($F3742="Baseline","— Baseline",IF($O3742=0,"No result",IF($N3742=0,"No Start (attainment only)",IF(OR($N3742=1,$O3742=1),"U – needs rule",INDEX(MxBody,MATCH($I3742,MxCurr,0),MATCH($H3742,MxStart,0)))))))</f>
        <v/>
      </c>
      <c r="L3742" s="62" t="str">
        <f aca="false">IF(COUNTA($A3742,$F3742,$G3742,$H3742,$I3742,$J3742)=0,"",IF($M3742=0,"✖ كود الصف غير موجود",IF(ISNA(MATCH($F3742,Lists!$A$2:$A$5,0)),"✖ الفترة غير صحيحة",IF(ISNA(MATCH($G3742,Lists!$B$2:$B$7,0)),"✖ المجموعة غير صحيحة",IF(NOT(OR($H3742="",$N3742&gt;0)),"✖ Start غير صحيح",IF(NOT(OR($I3742="",$I3742="NR",$O3742&gt;0)),"✖ Current غير صحيح",IF(NOT(IF(ISNUMBER($J3742),AND($J3742&gt;=0,$J3742=INT($J3742)),FALSE())),"✖ العدد يجب أن يكون صحيحًا ≥ 0",IF(AND($F3742="Baseline",$H3742&lt;&gt;""),"⚠ Baseline: Start لا يدخل في التقدم",IF($K3742="No Start (attainment only)","ℹ تحصيل فقط (بدون Start)",IF($K3742="U – needs rule","ℹ حالة U تحتاج قاعدة معتمدة",IF($K3742="No result","ℹ بدون نتيجة (يُستبعد من التحصيل)","OK")))))))))))</f>
        <v/>
      </c>
      <c r="M3742" s="64" t="n">
        <f aca="false">IF($A3742="",0,IFERROR(MATCH($A3742,Classes!$A$6:$A$420,0),0))</f>
        <v>0</v>
      </c>
      <c r="N3742" s="64" t="n">
        <f aca="false">IF($H3742="",0,IFERROR(MATCH($H3742,GradeList,0),0))</f>
        <v>0</v>
      </c>
      <c r="O3742" s="64" t="n">
        <f aca="false">IF(OR($I3742="",$I3742="NR"),0,IFERROR(MATCH($I3742,GradeList,0),0))</f>
        <v>0</v>
      </c>
      <c r="P3742" s="64" t="n">
        <f aca="false">IF(AND($M3742&gt;0,ISNUMBER(MATCH($F3742,Lists!$A$2:$A$5,0)),ISNUMBER(MATCH($G3742,Lists!$B$2:$B$7,0)),OR($H3742="",$N3742&gt;0),OR($I3742="",$I3742="NR",$O3742&gt;0),IF(ISNUMBER($J3742),AND($J3742&gt;=0,$J3742=INT($J3742)),FALSE())),$J3742,0)</f>
        <v>0</v>
      </c>
      <c r="Q3742" s="64" t="n">
        <f aca="false">IF(AND($P3742&gt;0,$O3742&gt;0),$P3742,0)</f>
        <v>0</v>
      </c>
      <c r="R3742" s="64" t="n">
        <f aca="false">IF(AND($Q3742&gt;0,$O3742&gt;=AtRank),$Q3742,0)</f>
        <v>0</v>
      </c>
      <c r="S3742" s="64" t="n">
        <f aca="false">IF(AND($Q3742&gt;0,$O3742&gt;=AboveRank),$Q3742,0)</f>
        <v>0</v>
      </c>
      <c r="T3742" s="64" t="n">
        <f aca="false">IF($K3742="Less",$P3742,0)</f>
        <v>0</v>
      </c>
      <c r="U3742" s="64" t="n">
        <f aca="false">IF($K3742="Expected",$P3742,0)</f>
        <v>0</v>
      </c>
      <c r="V3742" s="64" t="n">
        <f aca="false">IF($K3742="Better",$P3742,0)</f>
        <v>0</v>
      </c>
      <c r="W3742" s="64" t="n">
        <f aca="false">IF($K3742="U – needs rule",$P3742,0)</f>
        <v>0</v>
      </c>
      <c r="X3742" s="64" t="n">
        <f aca="false">IF($K3742="No Start (attainment only)",$P3742,0)</f>
        <v>0</v>
      </c>
    </row>
    <row r="3743" customFormat="false" ht="15" hidden="false" customHeight="false" outlineLevel="0" collapsed="false">
      <c r="A3743" s="60"/>
      <c r="B3743" s="61" t="str">
        <f aca="false">IF($M3743=0,"",INDEX(Classes!$E$6:$E$420,$M3743))</f>
        <v/>
      </c>
      <c r="C3743" s="62" t="str">
        <f aca="false">IF($M3743=0,"",INDEX(Classes!$H$6:$H$420,$M3743))</f>
        <v/>
      </c>
      <c r="D3743" s="61" t="str">
        <f aca="false">IF($M3743=0,"",INDEX(Classes!$B$6:$B$420,$M3743))</f>
        <v/>
      </c>
      <c r="E3743" s="61" t="str">
        <f aca="false">IF($M3743=0,"",INDEX(Classes!$C$6:$C$420,$M3743))</f>
        <v/>
      </c>
      <c r="F3743" s="63"/>
      <c r="G3743" s="63"/>
      <c r="H3743" s="60"/>
      <c r="I3743" s="60"/>
      <c r="J3743" s="63"/>
      <c r="K3743" s="61" t="str">
        <f aca="false">IF($P3743=0,"",IF($F3743="Baseline","— Baseline",IF($O3743=0,"No result",IF($N3743=0,"No Start (attainment only)",IF(OR($N3743=1,$O3743=1),"U – needs rule",INDEX(MxBody,MATCH($I3743,MxCurr,0),MATCH($H3743,MxStart,0)))))))</f>
        <v/>
      </c>
      <c r="L3743" s="62" t="str">
        <f aca="false">IF(COUNTA($A3743,$F3743,$G3743,$H3743,$I3743,$J3743)=0,"",IF($M3743=0,"✖ كود الصف غير موجود",IF(ISNA(MATCH($F3743,Lists!$A$2:$A$5,0)),"✖ الفترة غير صحيحة",IF(ISNA(MATCH($G3743,Lists!$B$2:$B$7,0)),"✖ المجموعة غير صحيحة",IF(NOT(OR($H3743="",$N3743&gt;0)),"✖ Start غير صحيح",IF(NOT(OR($I3743="",$I3743="NR",$O3743&gt;0)),"✖ Current غير صحيح",IF(NOT(IF(ISNUMBER($J3743),AND($J3743&gt;=0,$J3743=INT($J3743)),FALSE())),"✖ العدد يجب أن يكون صحيحًا ≥ 0",IF(AND($F3743="Baseline",$H3743&lt;&gt;""),"⚠ Baseline: Start لا يدخل في التقدم",IF($K3743="No Start (attainment only)","ℹ تحصيل فقط (بدون Start)",IF($K3743="U – needs rule","ℹ حالة U تحتاج قاعدة معتمدة",IF($K3743="No result","ℹ بدون نتيجة (يُستبعد من التحصيل)","OK")))))))))))</f>
        <v/>
      </c>
      <c r="M3743" s="64" t="n">
        <f aca="false">IF($A3743="",0,IFERROR(MATCH($A3743,Classes!$A$6:$A$420,0),0))</f>
        <v>0</v>
      </c>
      <c r="N3743" s="64" t="n">
        <f aca="false">IF($H3743="",0,IFERROR(MATCH($H3743,GradeList,0),0))</f>
        <v>0</v>
      </c>
      <c r="O3743" s="64" t="n">
        <f aca="false">IF(OR($I3743="",$I3743="NR"),0,IFERROR(MATCH($I3743,GradeList,0),0))</f>
        <v>0</v>
      </c>
      <c r="P3743" s="64" t="n">
        <f aca="false">IF(AND($M3743&gt;0,ISNUMBER(MATCH($F3743,Lists!$A$2:$A$5,0)),ISNUMBER(MATCH($G3743,Lists!$B$2:$B$7,0)),OR($H3743="",$N3743&gt;0),OR($I3743="",$I3743="NR",$O3743&gt;0),IF(ISNUMBER($J3743),AND($J3743&gt;=0,$J3743=INT($J3743)),FALSE())),$J3743,0)</f>
        <v>0</v>
      </c>
      <c r="Q3743" s="64" t="n">
        <f aca="false">IF(AND($P3743&gt;0,$O3743&gt;0),$P3743,0)</f>
        <v>0</v>
      </c>
      <c r="R3743" s="64" t="n">
        <f aca="false">IF(AND($Q3743&gt;0,$O3743&gt;=AtRank),$Q3743,0)</f>
        <v>0</v>
      </c>
      <c r="S3743" s="64" t="n">
        <f aca="false">IF(AND($Q3743&gt;0,$O3743&gt;=AboveRank),$Q3743,0)</f>
        <v>0</v>
      </c>
      <c r="T3743" s="64" t="n">
        <f aca="false">IF($K3743="Less",$P3743,0)</f>
        <v>0</v>
      </c>
      <c r="U3743" s="64" t="n">
        <f aca="false">IF($K3743="Expected",$P3743,0)</f>
        <v>0</v>
      </c>
      <c r="V3743" s="64" t="n">
        <f aca="false">IF($K3743="Better",$P3743,0)</f>
        <v>0</v>
      </c>
      <c r="W3743" s="64" t="n">
        <f aca="false">IF($K3743="U – needs rule",$P3743,0)</f>
        <v>0</v>
      </c>
      <c r="X3743" s="64" t="n">
        <f aca="false">IF($K3743="No Start (attainment only)",$P3743,0)</f>
        <v>0</v>
      </c>
    </row>
    <row r="3744" customFormat="false" ht="15" hidden="false" customHeight="false" outlineLevel="0" collapsed="false">
      <c r="A3744" s="60"/>
      <c r="B3744" s="61" t="str">
        <f aca="false">IF($M3744=0,"",INDEX(Classes!$E$6:$E$420,$M3744))</f>
        <v/>
      </c>
      <c r="C3744" s="62" t="str">
        <f aca="false">IF($M3744=0,"",INDEX(Classes!$H$6:$H$420,$M3744))</f>
        <v/>
      </c>
      <c r="D3744" s="61" t="str">
        <f aca="false">IF($M3744=0,"",INDEX(Classes!$B$6:$B$420,$M3744))</f>
        <v/>
      </c>
      <c r="E3744" s="61" t="str">
        <f aca="false">IF($M3744=0,"",INDEX(Classes!$C$6:$C$420,$M3744))</f>
        <v/>
      </c>
      <c r="F3744" s="63"/>
      <c r="G3744" s="63"/>
      <c r="H3744" s="60"/>
      <c r="I3744" s="60"/>
      <c r="J3744" s="63"/>
      <c r="K3744" s="61" t="str">
        <f aca="false">IF($P3744=0,"",IF($F3744="Baseline","— Baseline",IF($O3744=0,"No result",IF($N3744=0,"No Start (attainment only)",IF(OR($N3744=1,$O3744=1),"U – needs rule",INDEX(MxBody,MATCH($I3744,MxCurr,0),MATCH($H3744,MxStart,0)))))))</f>
        <v/>
      </c>
      <c r="L3744" s="62" t="str">
        <f aca="false">IF(COUNTA($A3744,$F3744,$G3744,$H3744,$I3744,$J3744)=0,"",IF($M3744=0,"✖ كود الصف غير موجود",IF(ISNA(MATCH($F3744,Lists!$A$2:$A$5,0)),"✖ الفترة غير صحيحة",IF(ISNA(MATCH($G3744,Lists!$B$2:$B$7,0)),"✖ المجموعة غير صحيحة",IF(NOT(OR($H3744="",$N3744&gt;0)),"✖ Start غير صحيح",IF(NOT(OR($I3744="",$I3744="NR",$O3744&gt;0)),"✖ Current غير صحيح",IF(NOT(IF(ISNUMBER($J3744),AND($J3744&gt;=0,$J3744=INT($J3744)),FALSE())),"✖ العدد يجب أن يكون صحيحًا ≥ 0",IF(AND($F3744="Baseline",$H3744&lt;&gt;""),"⚠ Baseline: Start لا يدخل في التقدم",IF($K3744="No Start (attainment only)","ℹ تحصيل فقط (بدون Start)",IF($K3744="U – needs rule","ℹ حالة U تحتاج قاعدة معتمدة",IF($K3744="No result","ℹ بدون نتيجة (يُستبعد من التحصيل)","OK")))))))))))</f>
        <v/>
      </c>
      <c r="M3744" s="64" t="n">
        <f aca="false">IF($A3744="",0,IFERROR(MATCH($A3744,Classes!$A$6:$A$420,0),0))</f>
        <v>0</v>
      </c>
      <c r="N3744" s="64" t="n">
        <f aca="false">IF($H3744="",0,IFERROR(MATCH($H3744,GradeList,0),0))</f>
        <v>0</v>
      </c>
      <c r="O3744" s="64" t="n">
        <f aca="false">IF(OR($I3744="",$I3744="NR"),0,IFERROR(MATCH($I3744,GradeList,0),0))</f>
        <v>0</v>
      </c>
      <c r="P3744" s="64" t="n">
        <f aca="false">IF(AND($M3744&gt;0,ISNUMBER(MATCH($F3744,Lists!$A$2:$A$5,0)),ISNUMBER(MATCH($G3744,Lists!$B$2:$B$7,0)),OR($H3744="",$N3744&gt;0),OR($I3744="",$I3744="NR",$O3744&gt;0),IF(ISNUMBER($J3744),AND($J3744&gt;=0,$J3744=INT($J3744)),FALSE())),$J3744,0)</f>
        <v>0</v>
      </c>
      <c r="Q3744" s="64" t="n">
        <f aca="false">IF(AND($P3744&gt;0,$O3744&gt;0),$P3744,0)</f>
        <v>0</v>
      </c>
      <c r="R3744" s="64" t="n">
        <f aca="false">IF(AND($Q3744&gt;0,$O3744&gt;=AtRank),$Q3744,0)</f>
        <v>0</v>
      </c>
      <c r="S3744" s="64" t="n">
        <f aca="false">IF(AND($Q3744&gt;0,$O3744&gt;=AboveRank),$Q3744,0)</f>
        <v>0</v>
      </c>
      <c r="T3744" s="64" t="n">
        <f aca="false">IF($K3744="Less",$P3744,0)</f>
        <v>0</v>
      </c>
      <c r="U3744" s="64" t="n">
        <f aca="false">IF($K3744="Expected",$P3744,0)</f>
        <v>0</v>
      </c>
      <c r="V3744" s="64" t="n">
        <f aca="false">IF($K3744="Better",$P3744,0)</f>
        <v>0</v>
      </c>
      <c r="W3744" s="64" t="n">
        <f aca="false">IF($K3744="U – needs rule",$P3744,0)</f>
        <v>0</v>
      </c>
      <c r="X3744" s="64" t="n">
        <f aca="false">IF($K3744="No Start (attainment only)",$P3744,0)</f>
        <v>0</v>
      </c>
    </row>
    <row r="3745" customFormat="false" ht="15" hidden="false" customHeight="false" outlineLevel="0" collapsed="false">
      <c r="A3745" s="60"/>
      <c r="B3745" s="61" t="str">
        <f aca="false">IF($M3745=0,"",INDEX(Classes!$E$6:$E$420,$M3745))</f>
        <v/>
      </c>
      <c r="C3745" s="62" t="str">
        <f aca="false">IF($M3745=0,"",INDEX(Classes!$H$6:$H$420,$M3745))</f>
        <v/>
      </c>
      <c r="D3745" s="61" t="str">
        <f aca="false">IF($M3745=0,"",INDEX(Classes!$B$6:$B$420,$M3745))</f>
        <v/>
      </c>
      <c r="E3745" s="61" t="str">
        <f aca="false">IF($M3745=0,"",INDEX(Classes!$C$6:$C$420,$M3745))</f>
        <v/>
      </c>
      <c r="F3745" s="63"/>
      <c r="G3745" s="63"/>
      <c r="H3745" s="60"/>
      <c r="I3745" s="60"/>
      <c r="J3745" s="63"/>
      <c r="K3745" s="61" t="str">
        <f aca="false">IF($P3745=0,"",IF($F3745="Baseline","— Baseline",IF($O3745=0,"No result",IF($N3745=0,"No Start (attainment only)",IF(OR($N3745=1,$O3745=1),"U – needs rule",INDEX(MxBody,MATCH($I3745,MxCurr,0),MATCH($H3745,MxStart,0)))))))</f>
        <v/>
      </c>
      <c r="L3745" s="62" t="str">
        <f aca="false">IF(COUNTA($A3745,$F3745,$G3745,$H3745,$I3745,$J3745)=0,"",IF($M3745=0,"✖ كود الصف غير موجود",IF(ISNA(MATCH($F3745,Lists!$A$2:$A$5,0)),"✖ الفترة غير صحيحة",IF(ISNA(MATCH($G3745,Lists!$B$2:$B$7,0)),"✖ المجموعة غير صحيحة",IF(NOT(OR($H3745="",$N3745&gt;0)),"✖ Start غير صحيح",IF(NOT(OR($I3745="",$I3745="NR",$O3745&gt;0)),"✖ Current غير صحيح",IF(NOT(IF(ISNUMBER($J3745),AND($J3745&gt;=0,$J3745=INT($J3745)),FALSE())),"✖ العدد يجب أن يكون صحيحًا ≥ 0",IF(AND($F3745="Baseline",$H3745&lt;&gt;""),"⚠ Baseline: Start لا يدخل في التقدم",IF($K3745="No Start (attainment only)","ℹ تحصيل فقط (بدون Start)",IF($K3745="U – needs rule","ℹ حالة U تحتاج قاعدة معتمدة",IF($K3745="No result","ℹ بدون نتيجة (يُستبعد من التحصيل)","OK")))))))))))</f>
        <v/>
      </c>
      <c r="M3745" s="64" t="n">
        <f aca="false">IF($A3745="",0,IFERROR(MATCH($A3745,Classes!$A$6:$A$420,0),0))</f>
        <v>0</v>
      </c>
      <c r="N3745" s="64" t="n">
        <f aca="false">IF($H3745="",0,IFERROR(MATCH($H3745,GradeList,0),0))</f>
        <v>0</v>
      </c>
      <c r="O3745" s="64" t="n">
        <f aca="false">IF(OR($I3745="",$I3745="NR"),0,IFERROR(MATCH($I3745,GradeList,0),0))</f>
        <v>0</v>
      </c>
      <c r="P3745" s="64" t="n">
        <f aca="false">IF(AND($M3745&gt;0,ISNUMBER(MATCH($F3745,Lists!$A$2:$A$5,0)),ISNUMBER(MATCH($G3745,Lists!$B$2:$B$7,0)),OR($H3745="",$N3745&gt;0),OR($I3745="",$I3745="NR",$O3745&gt;0),IF(ISNUMBER($J3745),AND($J3745&gt;=0,$J3745=INT($J3745)),FALSE())),$J3745,0)</f>
        <v>0</v>
      </c>
      <c r="Q3745" s="64" t="n">
        <f aca="false">IF(AND($P3745&gt;0,$O3745&gt;0),$P3745,0)</f>
        <v>0</v>
      </c>
      <c r="R3745" s="64" t="n">
        <f aca="false">IF(AND($Q3745&gt;0,$O3745&gt;=AtRank),$Q3745,0)</f>
        <v>0</v>
      </c>
      <c r="S3745" s="64" t="n">
        <f aca="false">IF(AND($Q3745&gt;0,$O3745&gt;=AboveRank),$Q3745,0)</f>
        <v>0</v>
      </c>
      <c r="T3745" s="64" t="n">
        <f aca="false">IF($K3745="Less",$P3745,0)</f>
        <v>0</v>
      </c>
      <c r="U3745" s="64" t="n">
        <f aca="false">IF($K3745="Expected",$P3745,0)</f>
        <v>0</v>
      </c>
      <c r="V3745" s="64" t="n">
        <f aca="false">IF($K3745="Better",$P3745,0)</f>
        <v>0</v>
      </c>
      <c r="W3745" s="64" t="n">
        <f aca="false">IF($K3745="U – needs rule",$P3745,0)</f>
        <v>0</v>
      </c>
      <c r="X3745" s="64" t="n">
        <f aca="false">IF($K3745="No Start (attainment only)",$P3745,0)</f>
        <v>0</v>
      </c>
    </row>
    <row r="3746" customFormat="false" ht="15" hidden="false" customHeight="false" outlineLevel="0" collapsed="false">
      <c r="A3746" s="60"/>
      <c r="B3746" s="61" t="str">
        <f aca="false">IF($M3746=0,"",INDEX(Classes!$E$6:$E$420,$M3746))</f>
        <v/>
      </c>
      <c r="C3746" s="62" t="str">
        <f aca="false">IF($M3746=0,"",INDEX(Classes!$H$6:$H$420,$M3746))</f>
        <v/>
      </c>
      <c r="D3746" s="61" t="str">
        <f aca="false">IF($M3746=0,"",INDEX(Classes!$B$6:$B$420,$M3746))</f>
        <v/>
      </c>
      <c r="E3746" s="61" t="str">
        <f aca="false">IF($M3746=0,"",INDEX(Classes!$C$6:$C$420,$M3746))</f>
        <v/>
      </c>
      <c r="F3746" s="63"/>
      <c r="G3746" s="63"/>
      <c r="H3746" s="60"/>
      <c r="I3746" s="60"/>
      <c r="J3746" s="63"/>
      <c r="K3746" s="61" t="str">
        <f aca="false">IF($P3746=0,"",IF($F3746="Baseline","— Baseline",IF($O3746=0,"No result",IF($N3746=0,"No Start (attainment only)",IF(OR($N3746=1,$O3746=1),"U – needs rule",INDEX(MxBody,MATCH($I3746,MxCurr,0),MATCH($H3746,MxStart,0)))))))</f>
        <v/>
      </c>
      <c r="L3746" s="62" t="str">
        <f aca="false">IF(COUNTA($A3746,$F3746,$G3746,$H3746,$I3746,$J3746)=0,"",IF($M3746=0,"✖ كود الصف غير موجود",IF(ISNA(MATCH($F3746,Lists!$A$2:$A$5,0)),"✖ الفترة غير صحيحة",IF(ISNA(MATCH($G3746,Lists!$B$2:$B$7,0)),"✖ المجموعة غير صحيحة",IF(NOT(OR($H3746="",$N3746&gt;0)),"✖ Start غير صحيح",IF(NOT(OR($I3746="",$I3746="NR",$O3746&gt;0)),"✖ Current غير صحيح",IF(NOT(IF(ISNUMBER($J3746),AND($J3746&gt;=0,$J3746=INT($J3746)),FALSE())),"✖ العدد يجب أن يكون صحيحًا ≥ 0",IF(AND($F3746="Baseline",$H3746&lt;&gt;""),"⚠ Baseline: Start لا يدخل في التقدم",IF($K3746="No Start (attainment only)","ℹ تحصيل فقط (بدون Start)",IF($K3746="U – needs rule","ℹ حالة U تحتاج قاعدة معتمدة",IF($K3746="No result","ℹ بدون نتيجة (يُستبعد من التحصيل)","OK")))))))))))</f>
        <v/>
      </c>
      <c r="M3746" s="64" t="n">
        <f aca="false">IF($A3746="",0,IFERROR(MATCH($A3746,Classes!$A$6:$A$420,0),0))</f>
        <v>0</v>
      </c>
      <c r="N3746" s="64" t="n">
        <f aca="false">IF($H3746="",0,IFERROR(MATCH($H3746,GradeList,0),0))</f>
        <v>0</v>
      </c>
      <c r="O3746" s="64" t="n">
        <f aca="false">IF(OR($I3746="",$I3746="NR"),0,IFERROR(MATCH($I3746,GradeList,0),0))</f>
        <v>0</v>
      </c>
      <c r="P3746" s="64" t="n">
        <f aca="false">IF(AND($M3746&gt;0,ISNUMBER(MATCH($F3746,Lists!$A$2:$A$5,0)),ISNUMBER(MATCH($G3746,Lists!$B$2:$B$7,0)),OR($H3746="",$N3746&gt;0),OR($I3746="",$I3746="NR",$O3746&gt;0),IF(ISNUMBER($J3746),AND($J3746&gt;=0,$J3746=INT($J3746)),FALSE())),$J3746,0)</f>
        <v>0</v>
      </c>
      <c r="Q3746" s="64" t="n">
        <f aca="false">IF(AND($P3746&gt;0,$O3746&gt;0),$P3746,0)</f>
        <v>0</v>
      </c>
      <c r="R3746" s="64" t="n">
        <f aca="false">IF(AND($Q3746&gt;0,$O3746&gt;=AtRank),$Q3746,0)</f>
        <v>0</v>
      </c>
      <c r="S3746" s="64" t="n">
        <f aca="false">IF(AND($Q3746&gt;0,$O3746&gt;=AboveRank),$Q3746,0)</f>
        <v>0</v>
      </c>
      <c r="T3746" s="64" t="n">
        <f aca="false">IF($K3746="Less",$P3746,0)</f>
        <v>0</v>
      </c>
      <c r="U3746" s="64" t="n">
        <f aca="false">IF($K3746="Expected",$P3746,0)</f>
        <v>0</v>
      </c>
      <c r="V3746" s="64" t="n">
        <f aca="false">IF($K3746="Better",$P3746,0)</f>
        <v>0</v>
      </c>
      <c r="W3746" s="64" t="n">
        <f aca="false">IF($K3746="U – needs rule",$P3746,0)</f>
        <v>0</v>
      </c>
      <c r="X3746" s="64" t="n">
        <f aca="false">IF($K3746="No Start (attainment only)",$P3746,0)</f>
        <v>0</v>
      </c>
    </row>
    <row r="3747" customFormat="false" ht="15" hidden="false" customHeight="false" outlineLevel="0" collapsed="false">
      <c r="A3747" s="60"/>
      <c r="B3747" s="61" t="str">
        <f aca="false">IF($M3747=0,"",INDEX(Classes!$E$6:$E$420,$M3747))</f>
        <v/>
      </c>
      <c r="C3747" s="62" t="str">
        <f aca="false">IF($M3747=0,"",INDEX(Classes!$H$6:$H$420,$M3747))</f>
        <v/>
      </c>
      <c r="D3747" s="61" t="str">
        <f aca="false">IF($M3747=0,"",INDEX(Classes!$B$6:$B$420,$M3747))</f>
        <v/>
      </c>
      <c r="E3747" s="61" t="str">
        <f aca="false">IF($M3747=0,"",INDEX(Classes!$C$6:$C$420,$M3747))</f>
        <v/>
      </c>
      <c r="F3747" s="63"/>
      <c r="G3747" s="63"/>
      <c r="H3747" s="60"/>
      <c r="I3747" s="60"/>
      <c r="J3747" s="63"/>
      <c r="K3747" s="61" t="str">
        <f aca="false">IF($P3747=0,"",IF($F3747="Baseline","— Baseline",IF($O3747=0,"No result",IF($N3747=0,"No Start (attainment only)",IF(OR($N3747=1,$O3747=1),"U – needs rule",INDEX(MxBody,MATCH($I3747,MxCurr,0),MATCH($H3747,MxStart,0)))))))</f>
        <v/>
      </c>
      <c r="L3747" s="62" t="str">
        <f aca="false">IF(COUNTA($A3747,$F3747,$G3747,$H3747,$I3747,$J3747)=0,"",IF($M3747=0,"✖ كود الصف غير موجود",IF(ISNA(MATCH($F3747,Lists!$A$2:$A$5,0)),"✖ الفترة غير صحيحة",IF(ISNA(MATCH($G3747,Lists!$B$2:$B$7,0)),"✖ المجموعة غير صحيحة",IF(NOT(OR($H3747="",$N3747&gt;0)),"✖ Start غير صحيح",IF(NOT(OR($I3747="",$I3747="NR",$O3747&gt;0)),"✖ Current غير صحيح",IF(NOT(IF(ISNUMBER($J3747),AND($J3747&gt;=0,$J3747=INT($J3747)),FALSE())),"✖ العدد يجب أن يكون صحيحًا ≥ 0",IF(AND($F3747="Baseline",$H3747&lt;&gt;""),"⚠ Baseline: Start لا يدخل في التقدم",IF($K3747="No Start (attainment only)","ℹ تحصيل فقط (بدون Start)",IF($K3747="U – needs rule","ℹ حالة U تحتاج قاعدة معتمدة",IF($K3747="No result","ℹ بدون نتيجة (يُستبعد من التحصيل)","OK")))))))))))</f>
        <v/>
      </c>
      <c r="M3747" s="64" t="n">
        <f aca="false">IF($A3747="",0,IFERROR(MATCH($A3747,Classes!$A$6:$A$420,0),0))</f>
        <v>0</v>
      </c>
      <c r="N3747" s="64" t="n">
        <f aca="false">IF($H3747="",0,IFERROR(MATCH($H3747,GradeList,0),0))</f>
        <v>0</v>
      </c>
      <c r="O3747" s="64" t="n">
        <f aca="false">IF(OR($I3747="",$I3747="NR"),0,IFERROR(MATCH($I3747,GradeList,0),0))</f>
        <v>0</v>
      </c>
      <c r="P3747" s="64" t="n">
        <f aca="false">IF(AND($M3747&gt;0,ISNUMBER(MATCH($F3747,Lists!$A$2:$A$5,0)),ISNUMBER(MATCH($G3747,Lists!$B$2:$B$7,0)),OR($H3747="",$N3747&gt;0),OR($I3747="",$I3747="NR",$O3747&gt;0),IF(ISNUMBER($J3747),AND($J3747&gt;=0,$J3747=INT($J3747)),FALSE())),$J3747,0)</f>
        <v>0</v>
      </c>
      <c r="Q3747" s="64" t="n">
        <f aca="false">IF(AND($P3747&gt;0,$O3747&gt;0),$P3747,0)</f>
        <v>0</v>
      </c>
      <c r="R3747" s="64" t="n">
        <f aca="false">IF(AND($Q3747&gt;0,$O3747&gt;=AtRank),$Q3747,0)</f>
        <v>0</v>
      </c>
      <c r="S3747" s="64" t="n">
        <f aca="false">IF(AND($Q3747&gt;0,$O3747&gt;=AboveRank),$Q3747,0)</f>
        <v>0</v>
      </c>
      <c r="T3747" s="64" t="n">
        <f aca="false">IF($K3747="Less",$P3747,0)</f>
        <v>0</v>
      </c>
      <c r="U3747" s="64" t="n">
        <f aca="false">IF($K3747="Expected",$P3747,0)</f>
        <v>0</v>
      </c>
      <c r="V3747" s="64" t="n">
        <f aca="false">IF($K3747="Better",$P3747,0)</f>
        <v>0</v>
      </c>
      <c r="W3747" s="64" t="n">
        <f aca="false">IF($K3747="U – needs rule",$P3747,0)</f>
        <v>0</v>
      </c>
      <c r="X3747" s="64" t="n">
        <f aca="false">IF($K3747="No Start (attainment only)",$P3747,0)</f>
        <v>0</v>
      </c>
    </row>
    <row r="3748" customFormat="false" ht="15" hidden="false" customHeight="false" outlineLevel="0" collapsed="false">
      <c r="A3748" s="60"/>
      <c r="B3748" s="61" t="str">
        <f aca="false">IF($M3748=0,"",INDEX(Classes!$E$6:$E$420,$M3748))</f>
        <v/>
      </c>
      <c r="C3748" s="62" t="str">
        <f aca="false">IF($M3748=0,"",INDEX(Classes!$H$6:$H$420,$M3748))</f>
        <v/>
      </c>
      <c r="D3748" s="61" t="str">
        <f aca="false">IF($M3748=0,"",INDEX(Classes!$B$6:$B$420,$M3748))</f>
        <v/>
      </c>
      <c r="E3748" s="61" t="str">
        <f aca="false">IF($M3748=0,"",INDEX(Classes!$C$6:$C$420,$M3748))</f>
        <v/>
      </c>
      <c r="F3748" s="63"/>
      <c r="G3748" s="63"/>
      <c r="H3748" s="60"/>
      <c r="I3748" s="60"/>
      <c r="J3748" s="63"/>
      <c r="K3748" s="61" t="str">
        <f aca="false">IF($P3748=0,"",IF($F3748="Baseline","— Baseline",IF($O3748=0,"No result",IF($N3748=0,"No Start (attainment only)",IF(OR($N3748=1,$O3748=1),"U – needs rule",INDEX(MxBody,MATCH($I3748,MxCurr,0),MATCH($H3748,MxStart,0)))))))</f>
        <v/>
      </c>
      <c r="L3748" s="62" t="str">
        <f aca="false">IF(COUNTA($A3748,$F3748,$G3748,$H3748,$I3748,$J3748)=0,"",IF($M3748=0,"✖ كود الصف غير موجود",IF(ISNA(MATCH($F3748,Lists!$A$2:$A$5,0)),"✖ الفترة غير صحيحة",IF(ISNA(MATCH($G3748,Lists!$B$2:$B$7,0)),"✖ المجموعة غير صحيحة",IF(NOT(OR($H3748="",$N3748&gt;0)),"✖ Start غير صحيح",IF(NOT(OR($I3748="",$I3748="NR",$O3748&gt;0)),"✖ Current غير صحيح",IF(NOT(IF(ISNUMBER($J3748),AND($J3748&gt;=0,$J3748=INT($J3748)),FALSE())),"✖ العدد يجب أن يكون صحيحًا ≥ 0",IF(AND($F3748="Baseline",$H3748&lt;&gt;""),"⚠ Baseline: Start لا يدخل في التقدم",IF($K3748="No Start (attainment only)","ℹ تحصيل فقط (بدون Start)",IF($K3748="U – needs rule","ℹ حالة U تحتاج قاعدة معتمدة",IF($K3748="No result","ℹ بدون نتيجة (يُستبعد من التحصيل)","OK")))))))))))</f>
        <v/>
      </c>
      <c r="M3748" s="64" t="n">
        <f aca="false">IF($A3748="",0,IFERROR(MATCH($A3748,Classes!$A$6:$A$420,0),0))</f>
        <v>0</v>
      </c>
      <c r="N3748" s="64" t="n">
        <f aca="false">IF($H3748="",0,IFERROR(MATCH($H3748,GradeList,0),0))</f>
        <v>0</v>
      </c>
      <c r="O3748" s="64" t="n">
        <f aca="false">IF(OR($I3748="",$I3748="NR"),0,IFERROR(MATCH($I3748,GradeList,0),0))</f>
        <v>0</v>
      </c>
      <c r="P3748" s="64" t="n">
        <f aca="false">IF(AND($M3748&gt;0,ISNUMBER(MATCH($F3748,Lists!$A$2:$A$5,0)),ISNUMBER(MATCH($G3748,Lists!$B$2:$B$7,0)),OR($H3748="",$N3748&gt;0),OR($I3748="",$I3748="NR",$O3748&gt;0),IF(ISNUMBER($J3748),AND($J3748&gt;=0,$J3748=INT($J3748)),FALSE())),$J3748,0)</f>
        <v>0</v>
      </c>
      <c r="Q3748" s="64" t="n">
        <f aca="false">IF(AND($P3748&gt;0,$O3748&gt;0),$P3748,0)</f>
        <v>0</v>
      </c>
      <c r="R3748" s="64" t="n">
        <f aca="false">IF(AND($Q3748&gt;0,$O3748&gt;=AtRank),$Q3748,0)</f>
        <v>0</v>
      </c>
      <c r="S3748" s="64" t="n">
        <f aca="false">IF(AND($Q3748&gt;0,$O3748&gt;=AboveRank),$Q3748,0)</f>
        <v>0</v>
      </c>
      <c r="T3748" s="64" t="n">
        <f aca="false">IF($K3748="Less",$P3748,0)</f>
        <v>0</v>
      </c>
      <c r="U3748" s="64" t="n">
        <f aca="false">IF($K3748="Expected",$P3748,0)</f>
        <v>0</v>
      </c>
      <c r="V3748" s="64" t="n">
        <f aca="false">IF($K3748="Better",$P3748,0)</f>
        <v>0</v>
      </c>
      <c r="W3748" s="64" t="n">
        <f aca="false">IF($K3748="U – needs rule",$P3748,0)</f>
        <v>0</v>
      </c>
      <c r="X3748" s="64" t="n">
        <f aca="false">IF($K3748="No Start (attainment only)",$P3748,0)</f>
        <v>0</v>
      </c>
    </row>
    <row r="3749" customFormat="false" ht="15" hidden="false" customHeight="false" outlineLevel="0" collapsed="false">
      <c r="A3749" s="60"/>
      <c r="B3749" s="61" t="str">
        <f aca="false">IF($M3749=0,"",INDEX(Classes!$E$6:$E$420,$M3749))</f>
        <v/>
      </c>
      <c r="C3749" s="62" t="str">
        <f aca="false">IF($M3749=0,"",INDEX(Classes!$H$6:$H$420,$M3749))</f>
        <v/>
      </c>
      <c r="D3749" s="61" t="str">
        <f aca="false">IF($M3749=0,"",INDEX(Classes!$B$6:$B$420,$M3749))</f>
        <v/>
      </c>
      <c r="E3749" s="61" t="str">
        <f aca="false">IF($M3749=0,"",INDEX(Classes!$C$6:$C$420,$M3749))</f>
        <v/>
      </c>
      <c r="F3749" s="63"/>
      <c r="G3749" s="63"/>
      <c r="H3749" s="60"/>
      <c r="I3749" s="60"/>
      <c r="J3749" s="63"/>
      <c r="K3749" s="61" t="str">
        <f aca="false">IF($P3749=0,"",IF($F3749="Baseline","— Baseline",IF($O3749=0,"No result",IF($N3749=0,"No Start (attainment only)",IF(OR($N3749=1,$O3749=1),"U – needs rule",INDEX(MxBody,MATCH($I3749,MxCurr,0),MATCH($H3749,MxStart,0)))))))</f>
        <v/>
      </c>
      <c r="L3749" s="62" t="str">
        <f aca="false">IF(COUNTA($A3749,$F3749,$G3749,$H3749,$I3749,$J3749)=0,"",IF($M3749=0,"✖ كود الصف غير موجود",IF(ISNA(MATCH($F3749,Lists!$A$2:$A$5,0)),"✖ الفترة غير صحيحة",IF(ISNA(MATCH($G3749,Lists!$B$2:$B$7,0)),"✖ المجموعة غير صحيحة",IF(NOT(OR($H3749="",$N3749&gt;0)),"✖ Start غير صحيح",IF(NOT(OR($I3749="",$I3749="NR",$O3749&gt;0)),"✖ Current غير صحيح",IF(NOT(IF(ISNUMBER($J3749),AND($J3749&gt;=0,$J3749=INT($J3749)),FALSE())),"✖ العدد يجب أن يكون صحيحًا ≥ 0",IF(AND($F3749="Baseline",$H3749&lt;&gt;""),"⚠ Baseline: Start لا يدخل في التقدم",IF($K3749="No Start (attainment only)","ℹ تحصيل فقط (بدون Start)",IF($K3749="U – needs rule","ℹ حالة U تحتاج قاعدة معتمدة",IF($K3749="No result","ℹ بدون نتيجة (يُستبعد من التحصيل)","OK")))))))))))</f>
        <v/>
      </c>
      <c r="M3749" s="64" t="n">
        <f aca="false">IF($A3749="",0,IFERROR(MATCH($A3749,Classes!$A$6:$A$420,0),0))</f>
        <v>0</v>
      </c>
      <c r="N3749" s="64" t="n">
        <f aca="false">IF($H3749="",0,IFERROR(MATCH($H3749,GradeList,0),0))</f>
        <v>0</v>
      </c>
      <c r="O3749" s="64" t="n">
        <f aca="false">IF(OR($I3749="",$I3749="NR"),0,IFERROR(MATCH($I3749,GradeList,0),0))</f>
        <v>0</v>
      </c>
      <c r="P3749" s="64" t="n">
        <f aca="false">IF(AND($M3749&gt;0,ISNUMBER(MATCH($F3749,Lists!$A$2:$A$5,0)),ISNUMBER(MATCH($G3749,Lists!$B$2:$B$7,0)),OR($H3749="",$N3749&gt;0),OR($I3749="",$I3749="NR",$O3749&gt;0),IF(ISNUMBER($J3749),AND($J3749&gt;=0,$J3749=INT($J3749)),FALSE())),$J3749,0)</f>
        <v>0</v>
      </c>
      <c r="Q3749" s="64" t="n">
        <f aca="false">IF(AND($P3749&gt;0,$O3749&gt;0),$P3749,0)</f>
        <v>0</v>
      </c>
      <c r="R3749" s="64" t="n">
        <f aca="false">IF(AND($Q3749&gt;0,$O3749&gt;=AtRank),$Q3749,0)</f>
        <v>0</v>
      </c>
      <c r="S3749" s="64" t="n">
        <f aca="false">IF(AND($Q3749&gt;0,$O3749&gt;=AboveRank),$Q3749,0)</f>
        <v>0</v>
      </c>
      <c r="T3749" s="64" t="n">
        <f aca="false">IF($K3749="Less",$P3749,0)</f>
        <v>0</v>
      </c>
      <c r="U3749" s="64" t="n">
        <f aca="false">IF($K3749="Expected",$P3749,0)</f>
        <v>0</v>
      </c>
      <c r="V3749" s="64" t="n">
        <f aca="false">IF($K3749="Better",$P3749,0)</f>
        <v>0</v>
      </c>
      <c r="W3749" s="64" t="n">
        <f aca="false">IF($K3749="U – needs rule",$P3749,0)</f>
        <v>0</v>
      </c>
      <c r="X3749" s="64" t="n">
        <f aca="false">IF($K3749="No Start (attainment only)",$P3749,0)</f>
        <v>0</v>
      </c>
    </row>
    <row r="3750" customFormat="false" ht="15" hidden="false" customHeight="false" outlineLevel="0" collapsed="false">
      <c r="A3750" s="60"/>
      <c r="B3750" s="61" t="str">
        <f aca="false">IF($M3750=0,"",INDEX(Classes!$E$6:$E$420,$M3750))</f>
        <v/>
      </c>
      <c r="C3750" s="62" t="str">
        <f aca="false">IF($M3750=0,"",INDEX(Classes!$H$6:$H$420,$M3750))</f>
        <v/>
      </c>
      <c r="D3750" s="61" t="str">
        <f aca="false">IF($M3750=0,"",INDEX(Classes!$B$6:$B$420,$M3750))</f>
        <v/>
      </c>
      <c r="E3750" s="61" t="str">
        <f aca="false">IF($M3750=0,"",INDEX(Classes!$C$6:$C$420,$M3750))</f>
        <v/>
      </c>
      <c r="F3750" s="63"/>
      <c r="G3750" s="63"/>
      <c r="H3750" s="60"/>
      <c r="I3750" s="60"/>
      <c r="J3750" s="63"/>
      <c r="K3750" s="61" t="str">
        <f aca="false">IF($P3750=0,"",IF($F3750="Baseline","— Baseline",IF($O3750=0,"No result",IF($N3750=0,"No Start (attainment only)",IF(OR($N3750=1,$O3750=1),"U – needs rule",INDEX(MxBody,MATCH($I3750,MxCurr,0),MATCH($H3750,MxStart,0)))))))</f>
        <v/>
      </c>
      <c r="L3750" s="62" t="str">
        <f aca="false">IF(COUNTA($A3750,$F3750,$G3750,$H3750,$I3750,$J3750)=0,"",IF($M3750=0,"✖ كود الصف غير موجود",IF(ISNA(MATCH($F3750,Lists!$A$2:$A$5,0)),"✖ الفترة غير صحيحة",IF(ISNA(MATCH($G3750,Lists!$B$2:$B$7,0)),"✖ المجموعة غير صحيحة",IF(NOT(OR($H3750="",$N3750&gt;0)),"✖ Start غير صحيح",IF(NOT(OR($I3750="",$I3750="NR",$O3750&gt;0)),"✖ Current غير صحيح",IF(NOT(IF(ISNUMBER($J3750),AND($J3750&gt;=0,$J3750=INT($J3750)),FALSE())),"✖ العدد يجب أن يكون صحيحًا ≥ 0",IF(AND($F3750="Baseline",$H3750&lt;&gt;""),"⚠ Baseline: Start لا يدخل في التقدم",IF($K3750="No Start (attainment only)","ℹ تحصيل فقط (بدون Start)",IF($K3750="U – needs rule","ℹ حالة U تحتاج قاعدة معتمدة",IF($K3750="No result","ℹ بدون نتيجة (يُستبعد من التحصيل)","OK")))))))))))</f>
        <v/>
      </c>
      <c r="M3750" s="64" t="n">
        <f aca="false">IF($A3750="",0,IFERROR(MATCH($A3750,Classes!$A$6:$A$420,0),0))</f>
        <v>0</v>
      </c>
      <c r="N3750" s="64" t="n">
        <f aca="false">IF($H3750="",0,IFERROR(MATCH($H3750,GradeList,0),0))</f>
        <v>0</v>
      </c>
      <c r="O3750" s="64" t="n">
        <f aca="false">IF(OR($I3750="",$I3750="NR"),0,IFERROR(MATCH($I3750,GradeList,0),0))</f>
        <v>0</v>
      </c>
      <c r="P3750" s="64" t="n">
        <f aca="false">IF(AND($M3750&gt;0,ISNUMBER(MATCH($F3750,Lists!$A$2:$A$5,0)),ISNUMBER(MATCH($G3750,Lists!$B$2:$B$7,0)),OR($H3750="",$N3750&gt;0),OR($I3750="",$I3750="NR",$O3750&gt;0),IF(ISNUMBER($J3750),AND($J3750&gt;=0,$J3750=INT($J3750)),FALSE())),$J3750,0)</f>
        <v>0</v>
      </c>
      <c r="Q3750" s="64" t="n">
        <f aca="false">IF(AND($P3750&gt;0,$O3750&gt;0),$P3750,0)</f>
        <v>0</v>
      </c>
      <c r="R3750" s="64" t="n">
        <f aca="false">IF(AND($Q3750&gt;0,$O3750&gt;=AtRank),$Q3750,0)</f>
        <v>0</v>
      </c>
      <c r="S3750" s="64" t="n">
        <f aca="false">IF(AND($Q3750&gt;0,$O3750&gt;=AboveRank),$Q3750,0)</f>
        <v>0</v>
      </c>
      <c r="T3750" s="64" t="n">
        <f aca="false">IF($K3750="Less",$P3750,0)</f>
        <v>0</v>
      </c>
      <c r="U3750" s="64" t="n">
        <f aca="false">IF($K3750="Expected",$P3750,0)</f>
        <v>0</v>
      </c>
      <c r="V3750" s="64" t="n">
        <f aca="false">IF($K3750="Better",$P3750,0)</f>
        <v>0</v>
      </c>
      <c r="W3750" s="64" t="n">
        <f aca="false">IF($K3750="U – needs rule",$P3750,0)</f>
        <v>0</v>
      </c>
      <c r="X3750" s="64" t="n">
        <f aca="false">IF($K3750="No Start (attainment only)",$P3750,0)</f>
        <v>0</v>
      </c>
    </row>
    <row r="3751" customFormat="false" ht="15" hidden="false" customHeight="false" outlineLevel="0" collapsed="false">
      <c r="A3751" s="60"/>
      <c r="B3751" s="61" t="str">
        <f aca="false">IF($M3751=0,"",INDEX(Classes!$E$6:$E$420,$M3751))</f>
        <v/>
      </c>
      <c r="C3751" s="62" t="str">
        <f aca="false">IF($M3751=0,"",INDEX(Classes!$H$6:$H$420,$M3751))</f>
        <v/>
      </c>
      <c r="D3751" s="61" t="str">
        <f aca="false">IF($M3751=0,"",INDEX(Classes!$B$6:$B$420,$M3751))</f>
        <v/>
      </c>
      <c r="E3751" s="61" t="str">
        <f aca="false">IF($M3751=0,"",INDEX(Classes!$C$6:$C$420,$M3751))</f>
        <v/>
      </c>
      <c r="F3751" s="63"/>
      <c r="G3751" s="63"/>
      <c r="H3751" s="60"/>
      <c r="I3751" s="60"/>
      <c r="J3751" s="63"/>
      <c r="K3751" s="61" t="str">
        <f aca="false">IF($P3751=0,"",IF($F3751="Baseline","— Baseline",IF($O3751=0,"No result",IF($N3751=0,"No Start (attainment only)",IF(OR($N3751=1,$O3751=1),"U – needs rule",INDEX(MxBody,MATCH($I3751,MxCurr,0),MATCH($H3751,MxStart,0)))))))</f>
        <v/>
      </c>
      <c r="L3751" s="62" t="str">
        <f aca="false">IF(COUNTA($A3751,$F3751,$G3751,$H3751,$I3751,$J3751)=0,"",IF($M3751=0,"✖ كود الصف غير موجود",IF(ISNA(MATCH($F3751,Lists!$A$2:$A$5,0)),"✖ الفترة غير صحيحة",IF(ISNA(MATCH($G3751,Lists!$B$2:$B$7,0)),"✖ المجموعة غير صحيحة",IF(NOT(OR($H3751="",$N3751&gt;0)),"✖ Start غير صحيح",IF(NOT(OR($I3751="",$I3751="NR",$O3751&gt;0)),"✖ Current غير صحيح",IF(NOT(IF(ISNUMBER($J3751),AND($J3751&gt;=0,$J3751=INT($J3751)),FALSE())),"✖ العدد يجب أن يكون صحيحًا ≥ 0",IF(AND($F3751="Baseline",$H3751&lt;&gt;""),"⚠ Baseline: Start لا يدخل في التقدم",IF($K3751="No Start (attainment only)","ℹ تحصيل فقط (بدون Start)",IF($K3751="U – needs rule","ℹ حالة U تحتاج قاعدة معتمدة",IF($K3751="No result","ℹ بدون نتيجة (يُستبعد من التحصيل)","OK")))))))))))</f>
        <v/>
      </c>
      <c r="M3751" s="64" t="n">
        <f aca="false">IF($A3751="",0,IFERROR(MATCH($A3751,Classes!$A$6:$A$420,0),0))</f>
        <v>0</v>
      </c>
      <c r="N3751" s="64" t="n">
        <f aca="false">IF($H3751="",0,IFERROR(MATCH($H3751,GradeList,0),0))</f>
        <v>0</v>
      </c>
      <c r="O3751" s="64" t="n">
        <f aca="false">IF(OR($I3751="",$I3751="NR"),0,IFERROR(MATCH($I3751,GradeList,0),0))</f>
        <v>0</v>
      </c>
      <c r="P3751" s="64" t="n">
        <f aca="false">IF(AND($M3751&gt;0,ISNUMBER(MATCH($F3751,Lists!$A$2:$A$5,0)),ISNUMBER(MATCH($G3751,Lists!$B$2:$B$7,0)),OR($H3751="",$N3751&gt;0),OR($I3751="",$I3751="NR",$O3751&gt;0),IF(ISNUMBER($J3751),AND($J3751&gt;=0,$J3751=INT($J3751)),FALSE())),$J3751,0)</f>
        <v>0</v>
      </c>
      <c r="Q3751" s="64" t="n">
        <f aca="false">IF(AND($P3751&gt;0,$O3751&gt;0),$P3751,0)</f>
        <v>0</v>
      </c>
      <c r="R3751" s="64" t="n">
        <f aca="false">IF(AND($Q3751&gt;0,$O3751&gt;=AtRank),$Q3751,0)</f>
        <v>0</v>
      </c>
      <c r="S3751" s="64" t="n">
        <f aca="false">IF(AND($Q3751&gt;0,$O3751&gt;=AboveRank),$Q3751,0)</f>
        <v>0</v>
      </c>
      <c r="T3751" s="64" t="n">
        <f aca="false">IF($K3751="Less",$P3751,0)</f>
        <v>0</v>
      </c>
      <c r="U3751" s="64" t="n">
        <f aca="false">IF($K3751="Expected",$P3751,0)</f>
        <v>0</v>
      </c>
      <c r="V3751" s="64" t="n">
        <f aca="false">IF($K3751="Better",$P3751,0)</f>
        <v>0</v>
      </c>
      <c r="W3751" s="64" t="n">
        <f aca="false">IF($K3751="U – needs rule",$P3751,0)</f>
        <v>0</v>
      </c>
      <c r="X3751" s="64" t="n">
        <f aca="false">IF($K3751="No Start (attainment only)",$P3751,0)</f>
        <v>0</v>
      </c>
    </row>
    <row r="3752" customFormat="false" ht="15" hidden="false" customHeight="false" outlineLevel="0" collapsed="false">
      <c r="A3752" s="60"/>
      <c r="B3752" s="61" t="str">
        <f aca="false">IF($M3752=0,"",INDEX(Classes!$E$6:$E$420,$M3752))</f>
        <v/>
      </c>
      <c r="C3752" s="62" t="str">
        <f aca="false">IF($M3752=0,"",INDEX(Classes!$H$6:$H$420,$M3752))</f>
        <v/>
      </c>
      <c r="D3752" s="61" t="str">
        <f aca="false">IF($M3752=0,"",INDEX(Classes!$B$6:$B$420,$M3752))</f>
        <v/>
      </c>
      <c r="E3752" s="61" t="str">
        <f aca="false">IF($M3752=0,"",INDEX(Classes!$C$6:$C$420,$M3752))</f>
        <v/>
      </c>
      <c r="F3752" s="63"/>
      <c r="G3752" s="63"/>
      <c r="H3752" s="60"/>
      <c r="I3752" s="60"/>
      <c r="J3752" s="63"/>
      <c r="K3752" s="61" t="str">
        <f aca="false">IF($P3752=0,"",IF($F3752="Baseline","— Baseline",IF($O3752=0,"No result",IF($N3752=0,"No Start (attainment only)",IF(OR($N3752=1,$O3752=1),"U – needs rule",INDEX(MxBody,MATCH($I3752,MxCurr,0),MATCH($H3752,MxStart,0)))))))</f>
        <v/>
      </c>
      <c r="L3752" s="62" t="str">
        <f aca="false">IF(COUNTA($A3752,$F3752,$G3752,$H3752,$I3752,$J3752)=0,"",IF($M3752=0,"✖ كود الصف غير موجود",IF(ISNA(MATCH($F3752,Lists!$A$2:$A$5,0)),"✖ الفترة غير صحيحة",IF(ISNA(MATCH($G3752,Lists!$B$2:$B$7,0)),"✖ المجموعة غير صحيحة",IF(NOT(OR($H3752="",$N3752&gt;0)),"✖ Start غير صحيح",IF(NOT(OR($I3752="",$I3752="NR",$O3752&gt;0)),"✖ Current غير صحيح",IF(NOT(IF(ISNUMBER($J3752),AND($J3752&gt;=0,$J3752=INT($J3752)),FALSE())),"✖ العدد يجب أن يكون صحيحًا ≥ 0",IF(AND($F3752="Baseline",$H3752&lt;&gt;""),"⚠ Baseline: Start لا يدخل في التقدم",IF($K3752="No Start (attainment only)","ℹ تحصيل فقط (بدون Start)",IF($K3752="U – needs rule","ℹ حالة U تحتاج قاعدة معتمدة",IF($K3752="No result","ℹ بدون نتيجة (يُستبعد من التحصيل)","OK")))))))))))</f>
        <v/>
      </c>
      <c r="M3752" s="64" t="n">
        <f aca="false">IF($A3752="",0,IFERROR(MATCH($A3752,Classes!$A$6:$A$420,0),0))</f>
        <v>0</v>
      </c>
      <c r="N3752" s="64" t="n">
        <f aca="false">IF($H3752="",0,IFERROR(MATCH($H3752,GradeList,0),0))</f>
        <v>0</v>
      </c>
      <c r="O3752" s="64" t="n">
        <f aca="false">IF(OR($I3752="",$I3752="NR"),0,IFERROR(MATCH($I3752,GradeList,0),0))</f>
        <v>0</v>
      </c>
      <c r="P3752" s="64" t="n">
        <f aca="false">IF(AND($M3752&gt;0,ISNUMBER(MATCH($F3752,Lists!$A$2:$A$5,0)),ISNUMBER(MATCH($G3752,Lists!$B$2:$B$7,0)),OR($H3752="",$N3752&gt;0),OR($I3752="",$I3752="NR",$O3752&gt;0),IF(ISNUMBER($J3752),AND($J3752&gt;=0,$J3752=INT($J3752)),FALSE())),$J3752,0)</f>
        <v>0</v>
      </c>
      <c r="Q3752" s="64" t="n">
        <f aca="false">IF(AND($P3752&gt;0,$O3752&gt;0),$P3752,0)</f>
        <v>0</v>
      </c>
      <c r="R3752" s="64" t="n">
        <f aca="false">IF(AND($Q3752&gt;0,$O3752&gt;=AtRank),$Q3752,0)</f>
        <v>0</v>
      </c>
      <c r="S3752" s="64" t="n">
        <f aca="false">IF(AND($Q3752&gt;0,$O3752&gt;=AboveRank),$Q3752,0)</f>
        <v>0</v>
      </c>
      <c r="T3752" s="64" t="n">
        <f aca="false">IF($K3752="Less",$P3752,0)</f>
        <v>0</v>
      </c>
      <c r="U3752" s="64" t="n">
        <f aca="false">IF($K3752="Expected",$P3752,0)</f>
        <v>0</v>
      </c>
      <c r="V3752" s="64" t="n">
        <f aca="false">IF($K3752="Better",$P3752,0)</f>
        <v>0</v>
      </c>
      <c r="W3752" s="64" t="n">
        <f aca="false">IF($K3752="U – needs rule",$P3752,0)</f>
        <v>0</v>
      </c>
      <c r="X3752" s="64" t="n">
        <f aca="false">IF($K3752="No Start (attainment only)",$P3752,0)</f>
        <v>0</v>
      </c>
    </row>
    <row r="3753" customFormat="false" ht="15" hidden="false" customHeight="false" outlineLevel="0" collapsed="false">
      <c r="A3753" s="60"/>
      <c r="B3753" s="61" t="str">
        <f aca="false">IF($M3753=0,"",INDEX(Classes!$E$6:$E$420,$M3753))</f>
        <v/>
      </c>
      <c r="C3753" s="62" t="str">
        <f aca="false">IF($M3753=0,"",INDEX(Classes!$H$6:$H$420,$M3753))</f>
        <v/>
      </c>
      <c r="D3753" s="61" t="str">
        <f aca="false">IF($M3753=0,"",INDEX(Classes!$B$6:$B$420,$M3753))</f>
        <v/>
      </c>
      <c r="E3753" s="61" t="str">
        <f aca="false">IF($M3753=0,"",INDEX(Classes!$C$6:$C$420,$M3753))</f>
        <v/>
      </c>
      <c r="F3753" s="63"/>
      <c r="G3753" s="63"/>
      <c r="H3753" s="60"/>
      <c r="I3753" s="60"/>
      <c r="J3753" s="63"/>
      <c r="K3753" s="61" t="str">
        <f aca="false">IF($P3753=0,"",IF($F3753="Baseline","— Baseline",IF($O3753=0,"No result",IF($N3753=0,"No Start (attainment only)",IF(OR($N3753=1,$O3753=1),"U – needs rule",INDEX(MxBody,MATCH($I3753,MxCurr,0),MATCH($H3753,MxStart,0)))))))</f>
        <v/>
      </c>
      <c r="L3753" s="62" t="str">
        <f aca="false">IF(COUNTA($A3753,$F3753,$G3753,$H3753,$I3753,$J3753)=0,"",IF($M3753=0,"✖ كود الصف غير موجود",IF(ISNA(MATCH($F3753,Lists!$A$2:$A$5,0)),"✖ الفترة غير صحيحة",IF(ISNA(MATCH($G3753,Lists!$B$2:$B$7,0)),"✖ المجموعة غير صحيحة",IF(NOT(OR($H3753="",$N3753&gt;0)),"✖ Start غير صحيح",IF(NOT(OR($I3753="",$I3753="NR",$O3753&gt;0)),"✖ Current غير صحيح",IF(NOT(IF(ISNUMBER($J3753),AND($J3753&gt;=0,$J3753=INT($J3753)),FALSE())),"✖ العدد يجب أن يكون صحيحًا ≥ 0",IF(AND($F3753="Baseline",$H3753&lt;&gt;""),"⚠ Baseline: Start لا يدخل في التقدم",IF($K3753="No Start (attainment only)","ℹ تحصيل فقط (بدون Start)",IF($K3753="U – needs rule","ℹ حالة U تحتاج قاعدة معتمدة",IF($K3753="No result","ℹ بدون نتيجة (يُستبعد من التحصيل)","OK")))))))))))</f>
        <v/>
      </c>
      <c r="M3753" s="64" t="n">
        <f aca="false">IF($A3753="",0,IFERROR(MATCH($A3753,Classes!$A$6:$A$420,0),0))</f>
        <v>0</v>
      </c>
      <c r="N3753" s="64" t="n">
        <f aca="false">IF($H3753="",0,IFERROR(MATCH($H3753,GradeList,0),0))</f>
        <v>0</v>
      </c>
      <c r="O3753" s="64" t="n">
        <f aca="false">IF(OR($I3753="",$I3753="NR"),0,IFERROR(MATCH($I3753,GradeList,0),0))</f>
        <v>0</v>
      </c>
      <c r="P3753" s="64" t="n">
        <f aca="false">IF(AND($M3753&gt;0,ISNUMBER(MATCH($F3753,Lists!$A$2:$A$5,0)),ISNUMBER(MATCH($G3753,Lists!$B$2:$B$7,0)),OR($H3753="",$N3753&gt;0),OR($I3753="",$I3753="NR",$O3753&gt;0),IF(ISNUMBER($J3753),AND($J3753&gt;=0,$J3753=INT($J3753)),FALSE())),$J3753,0)</f>
        <v>0</v>
      </c>
      <c r="Q3753" s="64" t="n">
        <f aca="false">IF(AND($P3753&gt;0,$O3753&gt;0),$P3753,0)</f>
        <v>0</v>
      </c>
      <c r="R3753" s="64" t="n">
        <f aca="false">IF(AND($Q3753&gt;0,$O3753&gt;=AtRank),$Q3753,0)</f>
        <v>0</v>
      </c>
      <c r="S3753" s="64" t="n">
        <f aca="false">IF(AND($Q3753&gt;0,$O3753&gt;=AboveRank),$Q3753,0)</f>
        <v>0</v>
      </c>
      <c r="T3753" s="64" t="n">
        <f aca="false">IF($K3753="Less",$P3753,0)</f>
        <v>0</v>
      </c>
      <c r="U3753" s="64" t="n">
        <f aca="false">IF($K3753="Expected",$P3753,0)</f>
        <v>0</v>
      </c>
      <c r="V3753" s="64" t="n">
        <f aca="false">IF($K3753="Better",$P3753,0)</f>
        <v>0</v>
      </c>
      <c r="W3753" s="64" t="n">
        <f aca="false">IF($K3753="U – needs rule",$P3753,0)</f>
        <v>0</v>
      </c>
      <c r="X3753" s="64" t="n">
        <f aca="false">IF($K3753="No Start (attainment only)",$P3753,0)</f>
        <v>0</v>
      </c>
    </row>
    <row r="3754" customFormat="false" ht="15" hidden="false" customHeight="false" outlineLevel="0" collapsed="false">
      <c r="A3754" s="60"/>
      <c r="B3754" s="61" t="str">
        <f aca="false">IF($M3754=0,"",INDEX(Classes!$E$6:$E$420,$M3754))</f>
        <v/>
      </c>
      <c r="C3754" s="62" t="str">
        <f aca="false">IF($M3754=0,"",INDEX(Classes!$H$6:$H$420,$M3754))</f>
        <v/>
      </c>
      <c r="D3754" s="61" t="str">
        <f aca="false">IF($M3754=0,"",INDEX(Classes!$B$6:$B$420,$M3754))</f>
        <v/>
      </c>
      <c r="E3754" s="61" t="str">
        <f aca="false">IF($M3754=0,"",INDEX(Classes!$C$6:$C$420,$M3754))</f>
        <v/>
      </c>
      <c r="F3754" s="63"/>
      <c r="G3754" s="63"/>
      <c r="H3754" s="60"/>
      <c r="I3754" s="60"/>
      <c r="J3754" s="63"/>
      <c r="K3754" s="61" t="str">
        <f aca="false">IF($P3754=0,"",IF($F3754="Baseline","— Baseline",IF($O3754=0,"No result",IF($N3754=0,"No Start (attainment only)",IF(OR($N3754=1,$O3754=1),"U – needs rule",INDEX(MxBody,MATCH($I3754,MxCurr,0),MATCH($H3754,MxStart,0)))))))</f>
        <v/>
      </c>
      <c r="L3754" s="62" t="str">
        <f aca="false">IF(COUNTA($A3754,$F3754,$G3754,$H3754,$I3754,$J3754)=0,"",IF($M3754=0,"✖ كود الصف غير موجود",IF(ISNA(MATCH($F3754,Lists!$A$2:$A$5,0)),"✖ الفترة غير صحيحة",IF(ISNA(MATCH($G3754,Lists!$B$2:$B$7,0)),"✖ المجموعة غير صحيحة",IF(NOT(OR($H3754="",$N3754&gt;0)),"✖ Start غير صحيح",IF(NOT(OR($I3754="",$I3754="NR",$O3754&gt;0)),"✖ Current غير صحيح",IF(NOT(IF(ISNUMBER($J3754),AND($J3754&gt;=0,$J3754=INT($J3754)),FALSE())),"✖ العدد يجب أن يكون صحيحًا ≥ 0",IF(AND($F3754="Baseline",$H3754&lt;&gt;""),"⚠ Baseline: Start لا يدخل في التقدم",IF($K3754="No Start (attainment only)","ℹ تحصيل فقط (بدون Start)",IF($K3754="U – needs rule","ℹ حالة U تحتاج قاعدة معتمدة",IF($K3754="No result","ℹ بدون نتيجة (يُستبعد من التحصيل)","OK")))))))))))</f>
        <v/>
      </c>
      <c r="M3754" s="64" t="n">
        <f aca="false">IF($A3754="",0,IFERROR(MATCH($A3754,Classes!$A$6:$A$420,0),0))</f>
        <v>0</v>
      </c>
      <c r="N3754" s="64" t="n">
        <f aca="false">IF($H3754="",0,IFERROR(MATCH($H3754,GradeList,0),0))</f>
        <v>0</v>
      </c>
      <c r="O3754" s="64" t="n">
        <f aca="false">IF(OR($I3754="",$I3754="NR"),0,IFERROR(MATCH($I3754,GradeList,0),0))</f>
        <v>0</v>
      </c>
      <c r="P3754" s="64" t="n">
        <f aca="false">IF(AND($M3754&gt;0,ISNUMBER(MATCH($F3754,Lists!$A$2:$A$5,0)),ISNUMBER(MATCH($G3754,Lists!$B$2:$B$7,0)),OR($H3754="",$N3754&gt;0),OR($I3754="",$I3754="NR",$O3754&gt;0),IF(ISNUMBER($J3754),AND($J3754&gt;=0,$J3754=INT($J3754)),FALSE())),$J3754,0)</f>
        <v>0</v>
      </c>
      <c r="Q3754" s="64" t="n">
        <f aca="false">IF(AND($P3754&gt;0,$O3754&gt;0),$P3754,0)</f>
        <v>0</v>
      </c>
      <c r="R3754" s="64" t="n">
        <f aca="false">IF(AND($Q3754&gt;0,$O3754&gt;=AtRank),$Q3754,0)</f>
        <v>0</v>
      </c>
      <c r="S3754" s="64" t="n">
        <f aca="false">IF(AND($Q3754&gt;0,$O3754&gt;=AboveRank),$Q3754,0)</f>
        <v>0</v>
      </c>
      <c r="T3754" s="64" t="n">
        <f aca="false">IF($K3754="Less",$P3754,0)</f>
        <v>0</v>
      </c>
      <c r="U3754" s="64" t="n">
        <f aca="false">IF($K3754="Expected",$P3754,0)</f>
        <v>0</v>
      </c>
      <c r="V3754" s="64" t="n">
        <f aca="false">IF($K3754="Better",$P3754,0)</f>
        <v>0</v>
      </c>
      <c r="W3754" s="64" t="n">
        <f aca="false">IF($K3754="U – needs rule",$P3754,0)</f>
        <v>0</v>
      </c>
      <c r="X3754" s="64" t="n">
        <f aca="false">IF($K3754="No Start (attainment only)",$P3754,0)</f>
        <v>0</v>
      </c>
    </row>
    <row r="3755" customFormat="false" ht="15" hidden="false" customHeight="false" outlineLevel="0" collapsed="false">
      <c r="A3755" s="60"/>
      <c r="B3755" s="61" t="str">
        <f aca="false">IF($M3755=0,"",INDEX(Classes!$E$6:$E$420,$M3755))</f>
        <v/>
      </c>
      <c r="C3755" s="62" t="str">
        <f aca="false">IF($M3755=0,"",INDEX(Classes!$H$6:$H$420,$M3755))</f>
        <v/>
      </c>
      <c r="D3755" s="61" t="str">
        <f aca="false">IF($M3755=0,"",INDEX(Classes!$B$6:$B$420,$M3755))</f>
        <v/>
      </c>
      <c r="E3755" s="61" t="str">
        <f aca="false">IF($M3755=0,"",INDEX(Classes!$C$6:$C$420,$M3755))</f>
        <v/>
      </c>
      <c r="F3755" s="63"/>
      <c r="G3755" s="63"/>
      <c r="H3755" s="60"/>
      <c r="I3755" s="60"/>
      <c r="J3755" s="63"/>
      <c r="K3755" s="61" t="str">
        <f aca="false">IF($P3755=0,"",IF($F3755="Baseline","— Baseline",IF($O3755=0,"No result",IF($N3755=0,"No Start (attainment only)",IF(OR($N3755=1,$O3755=1),"U – needs rule",INDEX(MxBody,MATCH($I3755,MxCurr,0),MATCH($H3755,MxStart,0)))))))</f>
        <v/>
      </c>
      <c r="L3755" s="62" t="str">
        <f aca="false">IF(COUNTA($A3755,$F3755,$G3755,$H3755,$I3755,$J3755)=0,"",IF($M3755=0,"✖ كود الصف غير موجود",IF(ISNA(MATCH($F3755,Lists!$A$2:$A$5,0)),"✖ الفترة غير صحيحة",IF(ISNA(MATCH($G3755,Lists!$B$2:$B$7,0)),"✖ المجموعة غير صحيحة",IF(NOT(OR($H3755="",$N3755&gt;0)),"✖ Start غير صحيح",IF(NOT(OR($I3755="",$I3755="NR",$O3755&gt;0)),"✖ Current غير صحيح",IF(NOT(IF(ISNUMBER($J3755),AND($J3755&gt;=0,$J3755=INT($J3755)),FALSE())),"✖ العدد يجب أن يكون صحيحًا ≥ 0",IF(AND($F3755="Baseline",$H3755&lt;&gt;""),"⚠ Baseline: Start لا يدخل في التقدم",IF($K3755="No Start (attainment only)","ℹ تحصيل فقط (بدون Start)",IF($K3755="U – needs rule","ℹ حالة U تحتاج قاعدة معتمدة",IF($K3755="No result","ℹ بدون نتيجة (يُستبعد من التحصيل)","OK")))))))))))</f>
        <v/>
      </c>
      <c r="M3755" s="64" t="n">
        <f aca="false">IF($A3755="",0,IFERROR(MATCH($A3755,Classes!$A$6:$A$420,0),0))</f>
        <v>0</v>
      </c>
      <c r="N3755" s="64" t="n">
        <f aca="false">IF($H3755="",0,IFERROR(MATCH($H3755,GradeList,0),0))</f>
        <v>0</v>
      </c>
      <c r="O3755" s="64" t="n">
        <f aca="false">IF(OR($I3755="",$I3755="NR"),0,IFERROR(MATCH($I3755,GradeList,0),0))</f>
        <v>0</v>
      </c>
      <c r="P3755" s="64" t="n">
        <f aca="false">IF(AND($M3755&gt;0,ISNUMBER(MATCH($F3755,Lists!$A$2:$A$5,0)),ISNUMBER(MATCH($G3755,Lists!$B$2:$B$7,0)),OR($H3755="",$N3755&gt;0),OR($I3755="",$I3755="NR",$O3755&gt;0),IF(ISNUMBER($J3755),AND($J3755&gt;=0,$J3755=INT($J3755)),FALSE())),$J3755,0)</f>
        <v>0</v>
      </c>
      <c r="Q3755" s="64" t="n">
        <f aca="false">IF(AND($P3755&gt;0,$O3755&gt;0),$P3755,0)</f>
        <v>0</v>
      </c>
      <c r="R3755" s="64" t="n">
        <f aca="false">IF(AND($Q3755&gt;0,$O3755&gt;=AtRank),$Q3755,0)</f>
        <v>0</v>
      </c>
      <c r="S3755" s="64" t="n">
        <f aca="false">IF(AND($Q3755&gt;0,$O3755&gt;=AboveRank),$Q3755,0)</f>
        <v>0</v>
      </c>
      <c r="T3755" s="64" t="n">
        <f aca="false">IF($K3755="Less",$P3755,0)</f>
        <v>0</v>
      </c>
      <c r="U3755" s="64" t="n">
        <f aca="false">IF($K3755="Expected",$P3755,0)</f>
        <v>0</v>
      </c>
      <c r="V3755" s="64" t="n">
        <f aca="false">IF($K3755="Better",$P3755,0)</f>
        <v>0</v>
      </c>
      <c r="W3755" s="64" t="n">
        <f aca="false">IF($K3755="U – needs rule",$P3755,0)</f>
        <v>0</v>
      </c>
      <c r="X3755" s="64" t="n">
        <f aca="false">IF($K3755="No Start (attainment only)",$P3755,0)</f>
        <v>0</v>
      </c>
    </row>
    <row r="3756" customFormat="false" ht="15" hidden="false" customHeight="false" outlineLevel="0" collapsed="false">
      <c r="A3756" s="60"/>
      <c r="B3756" s="61" t="str">
        <f aca="false">IF($M3756=0,"",INDEX(Classes!$E$6:$E$420,$M3756))</f>
        <v/>
      </c>
      <c r="C3756" s="62" t="str">
        <f aca="false">IF($M3756=0,"",INDEX(Classes!$H$6:$H$420,$M3756))</f>
        <v/>
      </c>
      <c r="D3756" s="61" t="str">
        <f aca="false">IF($M3756=0,"",INDEX(Classes!$B$6:$B$420,$M3756))</f>
        <v/>
      </c>
      <c r="E3756" s="61" t="str">
        <f aca="false">IF($M3756=0,"",INDEX(Classes!$C$6:$C$420,$M3756))</f>
        <v/>
      </c>
      <c r="F3756" s="63"/>
      <c r="G3756" s="63"/>
      <c r="H3756" s="60"/>
      <c r="I3756" s="60"/>
      <c r="J3756" s="63"/>
      <c r="K3756" s="61" t="str">
        <f aca="false">IF($P3756=0,"",IF($F3756="Baseline","— Baseline",IF($O3756=0,"No result",IF($N3756=0,"No Start (attainment only)",IF(OR($N3756=1,$O3756=1),"U – needs rule",INDEX(MxBody,MATCH($I3756,MxCurr,0),MATCH($H3756,MxStart,0)))))))</f>
        <v/>
      </c>
      <c r="L3756" s="62" t="str">
        <f aca="false">IF(COUNTA($A3756,$F3756,$G3756,$H3756,$I3756,$J3756)=0,"",IF($M3756=0,"✖ كود الصف غير موجود",IF(ISNA(MATCH($F3756,Lists!$A$2:$A$5,0)),"✖ الفترة غير صحيحة",IF(ISNA(MATCH($G3756,Lists!$B$2:$B$7,0)),"✖ المجموعة غير صحيحة",IF(NOT(OR($H3756="",$N3756&gt;0)),"✖ Start غير صحيح",IF(NOT(OR($I3756="",$I3756="NR",$O3756&gt;0)),"✖ Current غير صحيح",IF(NOT(IF(ISNUMBER($J3756),AND($J3756&gt;=0,$J3756=INT($J3756)),FALSE())),"✖ العدد يجب أن يكون صحيحًا ≥ 0",IF(AND($F3756="Baseline",$H3756&lt;&gt;""),"⚠ Baseline: Start لا يدخل في التقدم",IF($K3756="No Start (attainment only)","ℹ تحصيل فقط (بدون Start)",IF($K3756="U – needs rule","ℹ حالة U تحتاج قاعدة معتمدة",IF($K3756="No result","ℹ بدون نتيجة (يُستبعد من التحصيل)","OK")))))))))))</f>
        <v/>
      </c>
      <c r="M3756" s="64" t="n">
        <f aca="false">IF($A3756="",0,IFERROR(MATCH($A3756,Classes!$A$6:$A$420,0),0))</f>
        <v>0</v>
      </c>
      <c r="N3756" s="64" t="n">
        <f aca="false">IF($H3756="",0,IFERROR(MATCH($H3756,GradeList,0),0))</f>
        <v>0</v>
      </c>
      <c r="O3756" s="64" t="n">
        <f aca="false">IF(OR($I3756="",$I3756="NR"),0,IFERROR(MATCH($I3756,GradeList,0),0))</f>
        <v>0</v>
      </c>
      <c r="P3756" s="64" t="n">
        <f aca="false">IF(AND($M3756&gt;0,ISNUMBER(MATCH($F3756,Lists!$A$2:$A$5,0)),ISNUMBER(MATCH($G3756,Lists!$B$2:$B$7,0)),OR($H3756="",$N3756&gt;0),OR($I3756="",$I3756="NR",$O3756&gt;0),IF(ISNUMBER($J3756),AND($J3756&gt;=0,$J3756=INT($J3756)),FALSE())),$J3756,0)</f>
        <v>0</v>
      </c>
      <c r="Q3756" s="64" t="n">
        <f aca="false">IF(AND($P3756&gt;0,$O3756&gt;0),$P3756,0)</f>
        <v>0</v>
      </c>
      <c r="R3756" s="64" t="n">
        <f aca="false">IF(AND($Q3756&gt;0,$O3756&gt;=AtRank),$Q3756,0)</f>
        <v>0</v>
      </c>
      <c r="S3756" s="64" t="n">
        <f aca="false">IF(AND($Q3756&gt;0,$O3756&gt;=AboveRank),$Q3756,0)</f>
        <v>0</v>
      </c>
      <c r="T3756" s="64" t="n">
        <f aca="false">IF($K3756="Less",$P3756,0)</f>
        <v>0</v>
      </c>
      <c r="U3756" s="64" t="n">
        <f aca="false">IF($K3756="Expected",$P3756,0)</f>
        <v>0</v>
      </c>
      <c r="V3756" s="64" t="n">
        <f aca="false">IF($K3756="Better",$P3756,0)</f>
        <v>0</v>
      </c>
      <c r="W3756" s="64" t="n">
        <f aca="false">IF($K3756="U – needs rule",$P3756,0)</f>
        <v>0</v>
      </c>
      <c r="X3756" s="64" t="n">
        <f aca="false">IF($K3756="No Start (attainment only)",$P3756,0)</f>
        <v>0</v>
      </c>
    </row>
    <row r="3757" customFormat="false" ht="15" hidden="false" customHeight="false" outlineLevel="0" collapsed="false">
      <c r="A3757" s="60"/>
      <c r="B3757" s="61" t="str">
        <f aca="false">IF($M3757=0,"",INDEX(Classes!$E$6:$E$420,$M3757))</f>
        <v/>
      </c>
      <c r="C3757" s="62" t="str">
        <f aca="false">IF($M3757=0,"",INDEX(Classes!$H$6:$H$420,$M3757))</f>
        <v/>
      </c>
      <c r="D3757" s="61" t="str">
        <f aca="false">IF($M3757=0,"",INDEX(Classes!$B$6:$B$420,$M3757))</f>
        <v/>
      </c>
      <c r="E3757" s="61" t="str">
        <f aca="false">IF($M3757=0,"",INDEX(Classes!$C$6:$C$420,$M3757))</f>
        <v/>
      </c>
      <c r="F3757" s="63"/>
      <c r="G3757" s="63"/>
      <c r="H3757" s="60"/>
      <c r="I3757" s="60"/>
      <c r="J3757" s="63"/>
      <c r="K3757" s="61" t="str">
        <f aca="false">IF($P3757=0,"",IF($F3757="Baseline","— Baseline",IF($O3757=0,"No result",IF($N3757=0,"No Start (attainment only)",IF(OR($N3757=1,$O3757=1),"U – needs rule",INDEX(MxBody,MATCH($I3757,MxCurr,0),MATCH($H3757,MxStart,0)))))))</f>
        <v/>
      </c>
      <c r="L3757" s="62" t="str">
        <f aca="false">IF(COUNTA($A3757,$F3757,$G3757,$H3757,$I3757,$J3757)=0,"",IF($M3757=0,"✖ كود الصف غير موجود",IF(ISNA(MATCH($F3757,Lists!$A$2:$A$5,0)),"✖ الفترة غير صحيحة",IF(ISNA(MATCH($G3757,Lists!$B$2:$B$7,0)),"✖ المجموعة غير صحيحة",IF(NOT(OR($H3757="",$N3757&gt;0)),"✖ Start غير صحيح",IF(NOT(OR($I3757="",$I3757="NR",$O3757&gt;0)),"✖ Current غير صحيح",IF(NOT(IF(ISNUMBER($J3757),AND($J3757&gt;=0,$J3757=INT($J3757)),FALSE())),"✖ العدد يجب أن يكون صحيحًا ≥ 0",IF(AND($F3757="Baseline",$H3757&lt;&gt;""),"⚠ Baseline: Start لا يدخل في التقدم",IF($K3757="No Start (attainment only)","ℹ تحصيل فقط (بدون Start)",IF($K3757="U – needs rule","ℹ حالة U تحتاج قاعدة معتمدة",IF($K3757="No result","ℹ بدون نتيجة (يُستبعد من التحصيل)","OK")))))))))))</f>
        <v/>
      </c>
      <c r="M3757" s="64" t="n">
        <f aca="false">IF($A3757="",0,IFERROR(MATCH($A3757,Classes!$A$6:$A$420,0),0))</f>
        <v>0</v>
      </c>
      <c r="N3757" s="64" t="n">
        <f aca="false">IF($H3757="",0,IFERROR(MATCH($H3757,GradeList,0),0))</f>
        <v>0</v>
      </c>
      <c r="O3757" s="64" t="n">
        <f aca="false">IF(OR($I3757="",$I3757="NR"),0,IFERROR(MATCH($I3757,GradeList,0),0))</f>
        <v>0</v>
      </c>
      <c r="P3757" s="64" t="n">
        <f aca="false">IF(AND($M3757&gt;0,ISNUMBER(MATCH($F3757,Lists!$A$2:$A$5,0)),ISNUMBER(MATCH($G3757,Lists!$B$2:$B$7,0)),OR($H3757="",$N3757&gt;0),OR($I3757="",$I3757="NR",$O3757&gt;0),IF(ISNUMBER($J3757),AND($J3757&gt;=0,$J3757=INT($J3757)),FALSE())),$J3757,0)</f>
        <v>0</v>
      </c>
      <c r="Q3757" s="64" t="n">
        <f aca="false">IF(AND($P3757&gt;0,$O3757&gt;0),$P3757,0)</f>
        <v>0</v>
      </c>
      <c r="R3757" s="64" t="n">
        <f aca="false">IF(AND($Q3757&gt;0,$O3757&gt;=AtRank),$Q3757,0)</f>
        <v>0</v>
      </c>
      <c r="S3757" s="64" t="n">
        <f aca="false">IF(AND($Q3757&gt;0,$O3757&gt;=AboveRank),$Q3757,0)</f>
        <v>0</v>
      </c>
      <c r="T3757" s="64" t="n">
        <f aca="false">IF($K3757="Less",$P3757,0)</f>
        <v>0</v>
      </c>
      <c r="U3757" s="64" t="n">
        <f aca="false">IF($K3757="Expected",$P3757,0)</f>
        <v>0</v>
      </c>
      <c r="V3757" s="64" t="n">
        <f aca="false">IF($K3757="Better",$P3757,0)</f>
        <v>0</v>
      </c>
      <c r="W3757" s="64" t="n">
        <f aca="false">IF($K3757="U – needs rule",$P3757,0)</f>
        <v>0</v>
      </c>
      <c r="X3757" s="64" t="n">
        <f aca="false">IF($K3757="No Start (attainment only)",$P3757,0)</f>
        <v>0</v>
      </c>
    </row>
    <row r="3758" customFormat="false" ht="15" hidden="false" customHeight="false" outlineLevel="0" collapsed="false">
      <c r="A3758" s="60"/>
      <c r="B3758" s="61" t="str">
        <f aca="false">IF($M3758=0,"",INDEX(Classes!$E$6:$E$420,$M3758))</f>
        <v/>
      </c>
      <c r="C3758" s="62" t="str">
        <f aca="false">IF($M3758=0,"",INDEX(Classes!$H$6:$H$420,$M3758))</f>
        <v/>
      </c>
      <c r="D3758" s="61" t="str">
        <f aca="false">IF($M3758=0,"",INDEX(Classes!$B$6:$B$420,$M3758))</f>
        <v/>
      </c>
      <c r="E3758" s="61" t="str">
        <f aca="false">IF($M3758=0,"",INDEX(Classes!$C$6:$C$420,$M3758))</f>
        <v/>
      </c>
      <c r="F3758" s="63"/>
      <c r="G3758" s="63"/>
      <c r="H3758" s="60"/>
      <c r="I3758" s="60"/>
      <c r="J3758" s="63"/>
      <c r="K3758" s="61" t="str">
        <f aca="false">IF($P3758=0,"",IF($F3758="Baseline","— Baseline",IF($O3758=0,"No result",IF($N3758=0,"No Start (attainment only)",IF(OR($N3758=1,$O3758=1),"U – needs rule",INDEX(MxBody,MATCH($I3758,MxCurr,0),MATCH($H3758,MxStart,0)))))))</f>
        <v/>
      </c>
      <c r="L3758" s="62" t="str">
        <f aca="false">IF(COUNTA($A3758,$F3758,$G3758,$H3758,$I3758,$J3758)=0,"",IF($M3758=0,"✖ كود الصف غير موجود",IF(ISNA(MATCH($F3758,Lists!$A$2:$A$5,0)),"✖ الفترة غير صحيحة",IF(ISNA(MATCH($G3758,Lists!$B$2:$B$7,0)),"✖ المجموعة غير صحيحة",IF(NOT(OR($H3758="",$N3758&gt;0)),"✖ Start غير صحيح",IF(NOT(OR($I3758="",$I3758="NR",$O3758&gt;0)),"✖ Current غير صحيح",IF(NOT(IF(ISNUMBER($J3758),AND($J3758&gt;=0,$J3758=INT($J3758)),FALSE())),"✖ العدد يجب أن يكون صحيحًا ≥ 0",IF(AND($F3758="Baseline",$H3758&lt;&gt;""),"⚠ Baseline: Start لا يدخل في التقدم",IF($K3758="No Start (attainment only)","ℹ تحصيل فقط (بدون Start)",IF($K3758="U – needs rule","ℹ حالة U تحتاج قاعدة معتمدة",IF($K3758="No result","ℹ بدون نتيجة (يُستبعد من التحصيل)","OK")))))))))))</f>
        <v/>
      </c>
      <c r="M3758" s="64" t="n">
        <f aca="false">IF($A3758="",0,IFERROR(MATCH($A3758,Classes!$A$6:$A$420,0),0))</f>
        <v>0</v>
      </c>
      <c r="N3758" s="64" t="n">
        <f aca="false">IF($H3758="",0,IFERROR(MATCH($H3758,GradeList,0),0))</f>
        <v>0</v>
      </c>
      <c r="O3758" s="64" t="n">
        <f aca="false">IF(OR($I3758="",$I3758="NR"),0,IFERROR(MATCH($I3758,GradeList,0),0))</f>
        <v>0</v>
      </c>
      <c r="P3758" s="64" t="n">
        <f aca="false">IF(AND($M3758&gt;0,ISNUMBER(MATCH($F3758,Lists!$A$2:$A$5,0)),ISNUMBER(MATCH($G3758,Lists!$B$2:$B$7,0)),OR($H3758="",$N3758&gt;0),OR($I3758="",$I3758="NR",$O3758&gt;0),IF(ISNUMBER($J3758),AND($J3758&gt;=0,$J3758=INT($J3758)),FALSE())),$J3758,0)</f>
        <v>0</v>
      </c>
      <c r="Q3758" s="64" t="n">
        <f aca="false">IF(AND($P3758&gt;0,$O3758&gt;0),$P3758,0)</f>
        <v>0</v>
      </c>
      <c r="R3758" s="64" t="n">
        <f aca="false">IF(AND($Q3758&gt;0,$O3758&gt;=AtRank),$Q3758,0)</f>
        <v>0</v>
      </c>
      <c r="S3758" s="64" t="n">
        <f aca="false">IF(AND($Q3758&gt;0,$O3758&gt;=AboveRank),$Q3758,0)</f>
        <v>0</v>
      </c>
      <c r="T3758" s="64" t="n">
        <f aca="false">IF($K3758="Less",$P3758,0)</f>
        <v>0</v>
      </c>
      <c r="U3758" s="64" t="n">
        <f aca="false">IF($K3758="Expected",$P3758,0)</f>
        <v>0</v>
      </c>
      <c r="V3758" s="64" t="n">
        <f aca="false">IF($K3758="Better",$P3758,0)</f>
        <v>0</v>
      </c>
      <c r="W3758" s="64" t="n">
        <f aca="false">IF($K3758="U – needs rule",$P3758,0)</f>
        <v>0</v>
      </c>
      <c r="X3758" s="64" t="n">
        <f aca="false">IF($K3758="No Start (attainment only)",$P3758,0)</f>
        <v>0</v>
      </c>
    </row>
    <row r="3759" customFormat="false" ht="15" hidden="false" customHeight="false" outlineLevel="0" collapsed="false">
      <c r="A3759" s="60"/>
      <c r="B3759" s="61" t="str">
        <f aca="false">IF($M3759=0,"",INDEX(Classes!$E$6:$E$420,$M3759))</f>
        <v/>
      </c>
      <c r="C3759" s="62" t="str">
        <f aca="false">IF($M3759=0,"",INDEX(Classes!$H$6:$H$420,$M3759))</f>
        <v/>
      </c>
      <c r="D3759" s="61" t="str">
        <f aca="false">IF($M3759=0,"",INDEX(Classes!$B$6:$B$420,$M3759))</f>
        <v/>
      </c>
      <c r="E3759" s="61" t="str">
        <f aca="false">IF($M3759=0,"",INDEX(Classes!$C$6:$C$420,$M3759))</f>
        <v/>
      </c>
      <c r="F3759" s="63"/>
      <c r="G3759" s="63"/>
      <c r="H3759" s="60"/>
      <c r="I3759" s="60"/>
      <c r="J3759" s="63"/>
      <c r="K3759" s="61" t="str">
        <f aca="false">IF($P3759=0,"",IF($F3759="Baseline","— Baseline",IF($O3759=0,"No result",IF($N3759=0,"No Start (attainment only)",IF(OR($N3759=1,$O3759=1),"U – needs rule",INDEX(MxBody,MATCH($I3759,MxCurr,0),MATCH($H3759,MxStart,0)))))))</f>
        <v/>
      </c>
      <c r="L3759" s="62" t="str">
        <f aca="false">IF(COUNTA($A3759,$F3759,$G3759,$H3759,$I3759,$J3759)=0,"",IF($M3759=0,"✖ كود الصف غير موجود",IF(ISNA(MATCH($F3759,Lists!$A$2:$A$5,0)),"✖ الفترة غير صحيحة",IF(ISNA(MATCH($G3759,Lists!$B$2:$B$7,0)),"✖ المجموعة غير صحيحة",IF(NOT(OR($H3759="",$N3759&gt;0)),"✖ Start غير صحيح",IF(NOT(OR($I3759="",$I3759="NR",$O3759&gt;0)),"✖ Current غير صحيح",IF(NOT(IF(ISNUMBER($J3759),AND($J3759&gt;=0,$J3759=INT($J3759)),FALSE())),"✖ العدد يجب أن يكون صحيحًا ≥ 0",IF(AND($F3759="Baseline",$H3759&lt;&gt;""),"⚠ Baseline: Start لا يدخل في التقدم",IF($K3759="No Start (attainment only)","ℹ تحصيل فقط (بدون Start)",IF($K3759="U – needs rule","ℹ حالة U تحتاج قاعدة معتمدة",IF($K3759="No result","ℹ بدون نتيجة (يُستبعد من التحصيل)","OK")))))))))))</f>
        <v/>
      </c>
      <c r="M3759" s="64" t="n">
        <f aca="false">IF($A3759="",0,IFERROR(MATCH($A3759,Classes!$A$6:$A$420,0),0))</f>
        <v>0</v>
      </c>
      <c r="N3759" s="64" t="n">
        <f aca="false">IF($H3759="",0,IFERROR(MATCH($H3759,GradeList,0),0))</f>
        <v>0</v>
      </c>
      <c r="O3759" s="64" t="n">
        <f aca="false">IF(OR($I3759="",$I3759="NR"),0,IFERROR(MATCH($I3759,GradeList,0),0))</f>
        <v>0</v>
      </c>
      <c r="P3759" s="64" t="n">
        <f aca="false">IF(AND($M3759&gt;0,ISNUMBER(MATCH($F3759,Lists!$A$2:$A$5,0)),ISNUMBER(MATCH($G3759,Lists!$B$2:$B$7,0)),OR($H3759="",$N3759&gt;0),OR($I3759="",$I3759="NR",$O3759&gt;0),IF(ISNUMBER($J3759),AND($J3759&gt;=0,$J3759=INT($J3759)),FALSE())),$J3759,0)</f>
        <v>0</v>
      </c>
      <c r="Q3759" s="64" t="n">
        <f aca="false">IF(AND($P3759&gt;0,$O3759&gt;0),$P3759,0)</f>
        <v>0</v>
      </c>
      <c r="R3759" s="64" t="n">
        <f aca="false">IF(AND($Q3759&gt;0,$O3759&gt;=AtRank),$Q3759,0)</f>
        <v>0</v>
      </c>
      <c r="S3759" s="64" t="n">
        <f aca="false">IF(AND($Q3759&gt;0,$O3759&gt;=AboveRank),$Q3759,0)</f>
        <v>0</v>
      </c>
      <c r="T3759" s="64" t="n">
        <f aca="false">IF($K3759="Less",$P3759,0)</f>
        <v>0</v>
      </c>
      <c r="U3759" s="64" t="n">
        <f aca="false">IF($K3759="Expected",$P3759,0)</f>
        <v>0</v>
      </c>
      <c r="V3759" s="64" t="n">
        <f aca="false">IF($K3759="Better",$P3759,0)</f>
        <v>0</v>
      </c>
      <c r="W3759" s="64" t="n">
        <f aca="false">IF($K3759="U – needs rule",$P3759,0)</f>
        <v>0</v>
      </c>
      <c r="X3759" s="64" t="n">
        <f aca="false">IF($K3759="No Start (attainment only)",$P3759,0)</f>
        <v>0</v>
      </c>
    </row>
    <row r="3760" customFormat="false" ht="15" hidden="false" customHeight="false" outlineLevel="0" collapsed="false">
      <c r="A3760" s="60"/>
      <c r="B3760" s="61" t="str">
        <f aca="false">IF($M3760=0,"",INDEX(Classes!$E$6:$E$420,$M3760))</f>
        <v/>
      </c>
      <c r="C3760" s="62" t="str">
        <f aca="false">IF($M3760=0,"",INDEX(Classes!$H$6:$H$420,$M3760))</f>
        <v/>
      </c>
      <c r="D3760" s="61" t="str">
        <f aca="false">IF($M3760=0,"",INDEX(Classes!$B$6:$B$420,$M3760))</f>
        <v/>
      </c>
      <c r="E3760" s="61" t="str">
        <f aca="false">IF($M3760=0,"",INDEX(Classes!$C$6:$C$420,$M3760))</f>
        <v/>
      </c>
      <c r="F3760" s="63"/>
      <c r="G3760" s="63"/>
      <c r="H3760" s="60"/>
      <c r="I3760" s="60"/>
      <c r="J3760" s="63"/>
      <c r="K3760" s="61" t="str">
        <f aca="false">IF($P3760=0,"",IF($F3760="Baseline","— Baseline",IF($O3760=0,"No result",IF($N3760=0,"No Start (attainment only)",IF(OR($N3760=1,$O3760=1),"U – needs rule",INDEX(MxBody,MATCH($I3760,MxCurr,0),MATCH($H3760,MxStart,0)))))))</f>
        <v/>
      </c>
      <c r="L3760" s="62" t="str">
        <f aca="false">IF(COUNTA($A3760,$F3760,$G3760,$H3760,$I3760,$J3760)=0,"",IF($M3760=0,"✖ كود الصف غير موجود",IF(ISNA(MATCH($F3760,Lists!$A$2:$A$5,0)),"✖ الفترة غير صحيحة",IF(ISNA(MATCH($G3760,Lists!$B$2:$B$7,0)),"✖ المجموعة غير صحيحة",IF(NOT(OR($H3760="",$N3760&gt;0)),"✖ Start غير صحيح",IF(NOT(OR($I3760="",$I3760="NR",$O3760&gt;0)),"✖ Current غير صحيح",IF(NOT(IF(ISNUMBER($J3760),AND($J3760&gt;=0,$J3760=INT($J3760)),FALSE())),"✖ العدد يجب أن يكون صحيحًا ≥ 0",IF(AND($F3760="Baseline",$H3760&lt;&gt;""),"⚠ Baseline: Start لا يدخل في التقدم",IF($K3760="No Start (attainment only)","ℹ تحصيل فقط (بدون Start)",IF($K3760="U – needs rule","ℹ حالة U تحتاج قاعدة معتمدة",IF($K3760="No result","ℹ بدون نتيجة (يُستبعد من التحصيل)","OK")))))))))))</f>
        <v/>
      </c>
      <c r="M3760" s="64" t="n">
        <f aca="false">IF($A3760="",0,IFERROR(MATCH($A3760,Classes!$A$6:$A$420,0),0))</f>
        <v>0</v>
      </c>
      <c r="N3760" s="64" t="n">
        <f aca="false">IF($H3760="",0,IFERROR(MATCH($H3760,GradeList,0),0))</f>
        <v>0</v>
      </c>
      <c r="O3760" s="64" t="n">
        <f aca="false">IF(OR($I3760="",$I3760="NR"),0,IFERROR(MATCH($I3760,GradeList,0),0))</f>
        <v>0</v>
      </c>
      <c r="P3760" s="64" t="n">
        <f aca="false">IF(AND($M3760&gt;0,ISNUMBER(MATCH($F3760,Lists!$A$2:$A$5,0)),ISNUMBER(MATCH($G3760,Lists!$B$2:$B$7,0)),OR($H3760="",$N3760&gt;0),OR($I3760="",$I3760="NR",$O3760&gt;0),IF(ISNUMBER($J3760),AND($J3760&gt;=0,$J3760=INT($J3760)),FALSE())),$J3760,0)</f>
        <v>0</v>
      </c>
      <c r="Q3760" s="64" t="n">
        <f aca="false">IF(AND($P3760&gt;0,$O3760&gt;0),$P3760,0)</f>
        <v>0</v>
      </c>
      <c r="R3760" s="64" t="n">
        <f aca="false">IF(AND($Q3760&gt;0,$O3760&gt;=AtRank),$Q3760,0)</f>
        <v>0</v>
      </c>
      <c r="S3760" s="64" t="n">
        <f aca="false">IF(AND($Q3760&gt;0,$O3760&gt;=AboveRank),$Q3760,0)</f>
        <v>0</v>
      </c>
      <c r="T3760" s="64" t="n">
        <f aca="false">IF($K3760="Less",$P3760,0)</f>
        <v>0</v>
      </c>
      <c r="U3760" s="64" t="n">
        <f aca="false">IF($K3760="Expected",$P3760,0)</f>
        <v>0</v>
      </c>
      <c r="V3760" s="64" t="n">
        <f aca="false">IF($K3760="Better",$P3760,0)</f>
        <v>0</v>
      </c>
      <c r="W3760" s="64" t="n">
        <f aca="false">IF($K3760="U – needs rule",$P3760,0)</f>
        <v>0</v>
      </c>
      <c r="X3760" s="64" t="n">
        <f aca="false">IF($K3760="No Start (attainment only)",$P3760,0)</f>
        <v>0</v>
      </c>
    </row>
    <row r="3761" customFormat="false" ht="15" hidden="false" customHeight="false" outlineLevel="0" collapsed="false">
      <c r="A3761" s="60"/>
      <c r="B3761" s="61" t="str">
        <f aca="false">IF($M3761=0,"",INDEX(Classes!$E$6:$E$420,$M3761))</f>
        <v/>
      </c>
      <c r="C3761" s="62" t="str">
        <f aca="false">IF($M3761=0,"",INDEX(Classes!$H$6:$H$420,$M3761))</f>
        <v/>
      </c>
      <c r="D3761" s="61" t="str">
        <f aca="false">IF($M3761=0,"",INDEX(Classes!$B$6:$B$420,$M3761))</f>
        <v/>
      </c>
      <c r="E3761" s="61" t="str">
        <f aca="false">IF($M3761=0,"",INDEX(Classes!$C$6:$C$420,$M3761))</f>
        <v/>
      </c>
      <c r="F3761" s="63"/>
      <c r="G3761" s="63"/>
      <c r="H3761" s="60"/>
      <c r="I3761" s="60"/>
      <c r="J3761" s="63"/>
      <c r="K3761" s="61" t="str">
        <f aca="false">IF($P3761=0,"",IF($F3761="Baseline","— Baseline",IF($O3761=0,"No result",IF($N3761=0,"No Start (attainment only)",IF(OR($N3761=1,$O3761=1),"U – needs rule",INDEX(MxBody,MATCH($I3761,MxCurr,0),MATCH($H3761,MxStart,0)))))))</f>
        <v/>
      </c>
      <c r="L3761" s="62" t="str">
        <f aca="false">IF(COUNTA($A3761,$F3761,$G3761,$H3761,$I3761,$J3761)=0,"",IF($M3761=0,"✖ كود الصف غير موجود",IF(ISNA(MATCH($F3761,Lists!$A$2:$A$5,0)),"✖ الفترة غير صحيحة",IF(ISNA(MATCH($G3761,Lists!$B$2:$B$7,0)),"✖ المجموعة غير صحيحة",IF(NOT(OR($H3761="",$N3761&gt;0)),"✖ Start غير صحيح",IF(NOT(OR($I3761="",$I3761="NR",$O3761&gt;0)),"✖ Current غير صحيح",IF(NOT(IF(ISNUMBER($J3761),AND($J3761&gt;=0,$J3761=INT($J3761)),FALSE())),"✖ العدد يجب أن يكون صحيحًا ≥ 0",IF(AND($F3761="Baseline",$H3761&lt;&gt;""),"⚠ Baseline: Start لا يدخل في التقدم",IF($K3761="No Start (attainment only)","ℹ تحصيل فقط (بدون Start)",IF($K3761="U – needs rule","ℹ حالة U تحتاج قاعدة معتمدة",IF($K3761="No result","ℹ بدون نتيجة (يُستبعد من التحصيل)","OK")))))))))))</f>
        <v/>
      </c>
      <c r="M3761" s="64" t="n">
        <f aca="false">IF($A3761="",0,IFERROR(MATCH($A3761,Classes!$A$6:$A$420,0),0))</f>
        <v>0</v>
      </c>
      <c r="N3761" s="64" t="n">
        <f aca="false">IF($H3761="",0,IFERROR(MATCH($H3761,GradeList,0),0))</f>
        <v>0</v>
      </c>
      <c r="O3761" s="64" t="n">
        <f aca="false">IF(OR($I3761="",$I3761="NR"),0,IFERROR(MATCH($I3761,GradeList,0),0))</f>
        <v>0</v>
      </c>
      <c r="P3761" s="64" t="n">
        <f aca="false">IF(AND($M3761&gt;0,ISNUMBER(MATCH($F3761,Lists!$A$2:$A$5,0)),ISNUMBER(MATCH($G3761,Lists!$B$2:$B$7,0)),OR($H3761="",$N3761&gt;0),OR($I3761="",$I3761="NR",$O3761&gt;0),IF(ISNUMBER($J3761),AND($J3761&gt;=0,$J3761=INT($J3761)),FALSE())),$J3761,0)</f>
        <v>0</v>
      </c>
      <c r="Q3761" s="64" t="n">
        <f aca="false">IF(AND($P3761&gt;0,$O3761&gt;0),$P3761,0)</f>
        <v>0</v>
      </c>
      <c r="R3761" s="64" t="n">
        <f aca="false">IF(AND($Q3761&gt;0,$O3761&gt;=AtRank),$Q3761,0)</f>
        <v>0</v>
      </c>
      <c r="S3761" s="64" t="n">
        <f aca="false">IF(AND($Q3761&gt;0,$O3761&gt;=AboveRank),$Q3761,0)</f>
        <v>0</v>
      </c>
      <c r="T3761" s="64" t="n">
        <f aca="false">IF($K3761="Less",$P3761,0)</f>
        <v>0</v>
      </c>
      <c r="U3761" s="64" t="n">
        <f aca="false">IF($K3761="Expected",$P3761,0)</f>
        <v>0</v>
      </c>
      <c r="V3761" s="64" t="n">
        <f aca="false">IF($K3761="Better",$P3761,0)</f>
        <v>0</v>
      </c>
      <c r="W3761" s="64" t="n">
        <f aca="false">IF($K3761="U – needs rule",$P3761,0)</f>
        <v>0</v>
      </c>
      <c r="X3761" s="64" t="n">
        <f aca="false">IF($K3761="No Start (attainment only)",$P3761,0)</f>
        <v>0</v>
      </c>
    </row>
    <row r="3762" customFormat="false" ht="15" hidden="false" customHeight="false" outlineLevel="0" collapsed="false">
      <c r="A3762" s="60"/>
      <c r="B3762" s="61" t="str">
        <f aca="false">IF($M3762=0,"",INDEX(Classes!$E$6:$E$420,$M3762))</f>
        <v/>
      </c>
      <c r="C3762" s="62" t="str">
        <f aca="false">IF($M3762=0,"",INDEX(Classes!$H$6:$H$420,$M3762))</f>
        <v/>
      </c>
      <c r="D3762" s="61" t="str">
        <f aca="false">IF($M3762=0,"",INDEX(Classes!$B$6:$B$420,$M3762))</f>
        <v/>
      </c>
      <c r="E3762" s="61" t="str">
        <f aca="false">IF($M3762=0,"",INDEX(Classes!$C$6:$C$420,$M3762))</f>
        <v/>
      </c>
      <c r="F3762" s="63"/>
      <c r="G3762" s="63"/>
      <c r="H3762" s="60"/>
      <c r="I3762" s="60"/>
      <c r="J3762" s="63"/>
      <c r="K3762" s="61" t="str">
        <f aca="false">IF($P3762=0,"",IF($F3762="Baseline","— Baseline",IF($O3762=0,"No result",IF($N3762=0,"No Start (attainment only)",IF(OR($N3762=1,$O3762=1),"U – needs rule",INDEX(MxBody,MATCH($I3762,MxCurr,0),MATCH($H3762,MxStart,0)))))))</f>
        <v/>
      </c>
      <c r="L3762" s="62" t="str">
        <f aca="false">IF(COUNTA($A3762,$F3762,$G3762,$H3762,$I3762,$J3762)=0,"",IF($M3762=0,"✖ كود الصف غير موجود",IF(ISNA(MATCH($F3762,Lists!$A$2:$A$5,0)),"✖ الفترة غير صحيحة",IF(ISNA(MATCH($G3762,Lists!$B$2:$B$7,0)),"✖ المجموعة غير صحيحة",IF(NOT(OR($H3762="",$N3762&gt;0)),"✖ Start غير صحيح",IF(NOT(OR($I3762="",$I3762="NR",$O3762&gt;0)),"✖ Current غير صحيح",IF(NOT(IF(ISNUMBER($J3762),AND($J3762&gt;=0,$J3762=INT($J3762)),FALSE())),"✖ العدد يجب أن يكون صحيحًا ≥ 0",IF(AND($F3762="Baseline",$H3762&lt;&gt;""),"⚠ Baseline: Start لا يدخل في التقدم",IF($K3762="No Start (attainment only)","ℹ تحصيل فقط (بدون Start)",IF($K3762="U – needs rule","ℹ حالة U تحتاج قاعدة معتمدة",IF($K3762="No result","ℹ بدون نتيجة (يُستبعد من التحصيل)","OK")))))))))))</f>
        <v/>
      </c>
      <c r="M3762" s="64" t="n">
        <f aca="false">IF($A3762="",0,IFERROR(MATCH($A3762,Classes!$A$6:$A$420,0),0))</f>
        <v>0</v>
      </c>
      <c r="N3762" s="64" t="n">
        <f aca="false">IF($H3762="",0,IFERROR(MATCH($H3762,GradeList,0),0))</f>
        <v>0</v>
      </c>
      <c r="O3762" s="64" t="n">
        <f aca="false">IF(OR($I3762="",$I3762="NR"),0,IFERROR(MATCH($I3762,GradeList,0),0))</f>
        <v>0</v>
      </c>
      <c r="P3762" s="64" t="n">
        <f aca="false">IF(AND($M3762&gt;0,ISNUMBER(MATCH($F3762,Lists!$A$2:$A$5,0)),ISNUMBER(MATCH($G3762,Lists!$B$2:$B$7,0)),OR($H3762="",$N3762&gt;0),OR($I3762="",$I3762="NR",$O3762&gt;0),IF(ISNUMBER($J3762),AND($J3762&gt;=0,$J3762=INT($J3762)),FALSE())),$J3762,0)</f>
        <v>0</v>
      </c>
      <c r="Q3762" s="64" t="n">
        <f aca="false">IF(AND($P3762&gt;0,$O3762&gt;0),$P3762,0)</f>
        <v>0</v>
      </c>
      <c r="R3762" s="64" t="n">
        <f aca="false">IF(AND($Q3762&gt;0,$O3762&gt;=AtRank),$Q3762,0)</f>
        <v>0</v>
      </c>
      <c r="S3762" s="64" t="n">
        <f aca="false">IF(AND($Q3762&gt;0,$O3762&gt;=AboveRank),$Q3762,0)</f>
        <v>0</v>
      </c>
      <c r="T3762" s="64" t="n">
        <f aca="false">IF($K3762="Less",$P3762,0)</f>
        <v>0</v>
      </c>
      <c r="U3762" s="64" t="n">
        <f aca="false">IF($K3762="Expected",$P3762,0)</f>
        <v>0</v>
      </c>
      <c r="V3762" s="64" t="n">
        <f aca="false">IF($K3762="Better",$P3762,0)</f>
        <v>0</v>
      </c>
      <c r="W3762" s="64" t="n">
        <f aca="false">IF($K3762="U – needs rule",$P3762,0)</f>
        <v>0</v>
      </c>
      <c r="X3762" s="64" t="n">
        <f aca="false">IF($K3762="No Start (attainment only)",$P3762,0)</f>
        <v>0</v>
      </c>
    </row>
    <row r="3763" customFormat="false" ht="15" hidden="false" customHeight="false" outlineLevel="0" collapsed="false">
      <c r="A3763" s="60"/>
      <c r="B3763" s="61" t="str">
        <f aca="false">IF($M3763=0,"",INDEX(Classes!$E$6:$E$420,$M3763))</f>
        <v/>
      </c>
      <c r="C3763" s="62" t="str">
        <f aca="false">IF($M3763=0,"",INDEX(Classes!$H$6:$H$420,$M3763))</f>
        <v/>
      </c>
      <c r="D3763" s="61" t="str">
        <f aca="false">IF($M3763=0,"",INDEX(Classes!$B$6:$B$420,$M3763))</f>
        <v/>
      </c>
      <c r="E3763" s="61" t="str">
        <f aca="false">IF($M3763=0,"",INDEX(Classes!$C$6:$C$420,$M3763))</f>
        <v/>
      </c>
      <c r="F3763" s="63"/>
      <c r="G3763" s="63"/>
      <c r="H3763" s="60"/>
      <c r="I3763" s="60"/>
      <c r="J3763" s="63"/>
      <c r="K3763" s="61" t="str">
        <f aca="false">IF($P3763=0,"",IF($F3763="Baseline","— Baseline",IF($O3763=0,"No result",IF($N3763=0,"No Start (attainment only)",IF(OR($N3763=1,$O3763=1),"U – needs rule",INDEX(MxBody,MATCH($I3763,MxCurr,0),MATCH($H3763,MxStart,0)))))))</f>
        <v/>
      </c>
      <c r="L3763" s="62" t="str">
        <f aca="false">IF(COUNTA($A3763,$F3763,$G3763,$H3763,$I3763,$J3763)=0,"",IF($M3763=0,"✖ كود الصف غير موجود",IF(ISNA(MATCH($F3763,Lists!$A$2:$A$5,0)),"✖ الفترة غير صحيحة",IF(ISNA(MATCH($G3763,Lists!$B$2:$B$7,0)),"✖ المجموعة غير صحيحة",IF(NOT(OR($H3763="",$N3763&gt;0)),"✖ Start غير صحيح",IF(NOT(OR($I3763="",$I3763="NR",$O3763&gt;0)),"✖ Current غير صحيح",IF(NOT(IF(ISNUMBER($J3763),AND($J3763&gt;=0,$J3763=INT($J3763)),FALSE())),"✖ العدد يجب أن يكون صحيحًا ≥ 0",IF(AND($F3763="Baseline",$H3763&lt;&gt;""),"⚠ Baseline: Start لا يدخل في التقدم",IF($K3763="No Start (attainment only)","ℹ تحصيل فقط (بدون Start)",IF($K3763="U – needs rule","ℹ حالة U تحتاج قاعدة معتمدة",IF($K3763="No result","ℹ بدون نتيجة (يُستبعد من التحصيل)","OK")))))))))))</f>
        <v/>
      </c>
      <c r="M3763" s="64" t="n">
        <f aca="false">IF($A3763="",0,IFERROR(MATCH($A3763,Classes!$A$6:$A$420,0),0))</f>
        <v>0</v>
      </c>
      <c r="N3763" s="64" t="n">
        <f aca="false">IF($H3763="",0,IFERROR(MATCH($H3763,GradeList,0),0))</f>
        <v>0</v>
      </c>
      <c r="O3763" s="64" t="n">
        <f aca="false">IF(OR($I3763="",$I3763="NR"),0,IFERROR(MATCH($I3763,GradeList,0),0))</f>
        <v>0</v>
      </c>
      <c r="P3763" s="64" t="n">
        <f aca="false">IF(AND($M3763&gt;0,ISNUMBER(MATCH($F3763,Lists!$A$2:$A$5,0)),ISNUMBER(MATCH($G3763,Lists!$B$2:$B$7,0)),OR($H3763="",$N3763&gt;0),OR($I3763="",$I3763="NR",$O3763&gt;0),IF(ISNUMBER($J3763),AND($J3763&gt;=0,$J3763=INT($J3763)),FALSE())),$J3763,0)</f>
        <v>0</v>
      </c>
      <c r="Q3763" s="64" t="n">
        <f aca="false">IF(AND($P3763&gt;0,$O3763&gt;0),$P3763,0)</f>
        <v>0</v>
      </c>
      <c r="R3763" s="64" t="n">
        <f aca="false">IF(AND($Q3763&gt;0,$O3763&gt;=AtRank),$Q3763,0)</f>
        <v>0</v>
      </c>
      <c r="S3763" s="64" t="n">
        <f aca="false">IF(AND($Q3763&gt;0,$O3763&gt;=AboveRank),$Q3763,0)</f>
        <v>0</v>
      </c>
      <c r="T3763" s="64" t="n">
        <f aca="false">IF($K3763="Less",$P3763,0)</f>
        <v>0</v>
      </c>
      <c r="U3763" s="64" t="n">
        <f aca="false">IF($K3763="Expected",$P3763,0)</f>
        <v>0</v>
      </c>
      <c r="V3763" s="64" t="n">
        <f aca="false">IF($K3763="Better",$P3763,0)</f>
        <v>0</v>
      </c>
      <c r="W3763" s="64" t="n">
        <f aca="false">IF($K3763="U – needs rule",$P3763,0)</f>
        <v>0</v>
      </c>
      <c r="X3763" s="64" t="n">
        <f aca="false">IF($K3763="No Start (attainment only)",$P3763,0)</f>
        <v>0</v>
      </c>
    </row>
    <row r="3764" customFormat="false" ht="15" hidden="false" customHeight="false" outlineLevel="0" collapsed="false">
      <c r="A3764" s="60"/>
      <c r="B3764" s="61" t="str">
        <f aca="false">IF($M3764=0,"",INDEX(Classes!$E$6:$E$420,$M3764))</f>
        <v/>
      </c>
      <c r="C3764" s="62" t="str">
        <f aca="false">IF($M3764=0,"",INDEX(Classes!$H$6:$H$420,$M3764))</f>
        <v/>
      </c>
      <c r="D3764" s="61" t="str">
        <f aca="false">IF($M3764=0,"",INDEX(Classes!$B$6:$B$420,$M3764))</f>
        <v/>
      </c>
      <c r="E3764" s="61" t="str">
        <f aca="false">IF($M3764=0,"",INDEX(Classes!$C$6:$C$420,$M3764))</f>
        <v/>
      </c>
      <c r="F3764" s="63"/>
      <c r="G3764" s="63"/>
      <c r="H3764" s="60"/>
      <c r="I3764" s="60"/>
      <c r="J3764" s="63"/>
      <c r="K3764" s="61" t="str">
        <f aca="false">IF($P3764=0,"",IF($F3764="Baseline","— Baseline",IF($O3764=0,"No result",IF($N3764=0,"No Start (attainment only)",IF(OR($N3764=1,$O3764=1),"U – needs rule",INDEX(MxBody,MATCH($I3764,MxCurr,0),MATCH($H3764,MxStart,0)))))))</f>
        <v/>
      </c>
      <c r="L3764" s="62" t="str">
        <f aca="false">IF(COUNTA($A3764,$F3764,$G3764,$H3764,$I3764,$J3764)=0,"",IF($M3764=0,"✖ كود الصف غير موجود",IF(ISNA(MATCH($F3764,Lists!$A$2:$A$5,0)),"✖ الفترة غير صحيحة",IF(ISNA(MATCH($G3764,Lists!$B$2:$B$7,0)),"✖ المجموعة غير صحيحة",IF(NOT(OR($H3764="",$N3764&gt;0)),"✖ Start غير صحيح",IF(NOT(OR($I3764="",$I3764="NR",$O3764&gt;0)),"✖ Current غير صحيح",IF(NOT(IF(ISNUMBER($J3764),AND($J3764&gt;=0,$J3764=INT($J3764)),FALSE())),"✖ العدد يجب أن يكون صحيحًا ≥ 0",IF(AND($F3764="Baseline",$H3764&lt;&gt;""),"⚠ Baseline: Start لا يدخل في التقدم",IF($K3764="No Start (attainment only)","ℹ تحصيل فقط (بدون Start)",IF($K3764="U – needs rule","ℹ حالة U تحتاج قاعدة معتمدة",IF($K3764="No result","ℹ بدون نتيجة (يُستبعد من التحصيل)","OK")))))))))))</f>
        <v/>
      </c>
      <c r="M3764" s="64" t="n">
        <f aca="false">IF($A3764="",0,IFERROR(MATCH($A3764,Classes!$A$6:$A$420,0),0))</f>
        <v>0</v>
      </c>
      <c r="N3764" s="64" t="n">
        <f aca="false">IF($H3764="",0,IFERROR(MATCH($H3764,GradeList,0),0))</f>
        <v>0</v>
      </c>
      <c r="O3764" s="64" t="n">
        <f aca="false">IF(OR($I3764="",$I3764="NR"),0,IFERROR(MATCH($I3764,GradeList,0),0))</f>
        <v>0</v>
      </c>
      <c r="P3764" s="64" t="n">
        <f aca="false">IF(AND($M3764&gt;0,ISNUMBER(MATCH($F3764,Lists!$A$2:$A$5,0)),ISNUMBER(MATCH($G3764,Lists!$B$2:$B$7,0)),OR($H3764="",$N3764&gt;0),OR($I3764="",$I3764="NR",$O3764&gt;0),IF(ISNUMBER($J3764),AND($J3764&gt;=0,$J3764=INT($J3764)),FALSE())),$J3764,0)</f>
        <v>0</v>
      </c>
      <c r="Q3764" s="64" t="n">
        <f aca="false">IF(AND($P3764&gt;0,$O3764&gt;0),$P3764,0)</f>
        <v>0</v>
      </c>
      <c r="R3764" s="64" t="n">
        <f aca="false">IF(AND($Q3764&gt;0,$O3764&gt;=AtRank),$Q3764,0)</f>
        <v>0</v>
      </c>
      <c r="S3764" s="64" t="n">
        <f aca="false">IF(AND($Q3764&gt;0,$O3764&gt;=AboveRank),$Q3764,0)</f>
        <v>0</v>
      </c>
      <c r="T3764" s="64" t="n">
        <f aca="false">IF($K3764="Less",$P3764,0)</f>
        <v>0</v>
      </c>
      <c r="U3764" s="64" t="n">
        <f aca="false">IF($K3764="Expected",$P3764,0)</f>
        <v>0</v>
      </c>
      <c r="V3764" s="64" t="n">
        <f aca="false">IF($K3764="Better",$P3764,0)</f>
        <v>0</v>
      </c>
      <c r="W3764" s="64" t="n">
        <f aca="false">IF($K3764="U – needs rule",$P3764,0)</f>
        <v>0</v>
      </c>
      <c r="X3764" s="64" t="n">
        <f aca="false">IF($K3764="No Start (attainment only)",$P3764,0)</f>
        <v>0</v>
      </c>
    </row>
    <row r="3765" customFormat="false" ht="15" hidden="false" customHeight="false" outlineLevel="0" collapsed="false">
      <c r="A3765" s="60"/>
      <c r="B3765" s="61" t="str">
        <f aca="false">IF($M3765=0,"",INDEX(Classes!$E$6:$E$420,$M3765))</f>
        <v/>
      </c>
      <c r="C3765" s="62" t="str">
        <f aca="false">IF($M3765=0,"",INDEX(Classes!$H$6:$H$420,$M3765))</f>
        <v/>
      </c>
      <c r="D3765" s="61" t="str">
        <f aca="false">IF($M3765=0,"",INDEX(Classes!$B$6:$B$420,$M3765))</f>
        <v/>
      </c>
      <c r="E3765" s="61" t="str">
        <f aca="false">IF($M3765=0,"",INDEX(Classes!$C$6:$C$420,$M3765))</f>
        <v/>
      </c>
      <c r="F3765" s="63"/>
      <c r="G3765" s="63"/>
      <c r="H3765" s="60"/>
      <c r="I3765" s="60"/>
      <c r="J3765" s="63"/>
      <c r="K3765" s="61" t="str">
        <f aca="false">IF($P3765=0,"",IF($F3765="Baseline","— Baseline",IF($O3765=0,"No result",IF($N3765=0,"No Start (attainment only)",IF(OR($N3765=1,$O3765=1),"U – needs rule",INDEX(MxBody,MATCH($I3765,MxCurr,0),MATCH($H3765,MxStart,0)))))))</f>
        <v/>
      </c>
      <c r="L3765" s="62" t="str">
        <f aca="false">IF(COUNTA($A3765,$F3765,$G3765,$H3765,$I3765,$J3765)=0,"",IF($M3765=0,"✖ كود الصف غير موجود",IF(ISNA(MATCH($F3765,Lists!$A$2:$A$5,0)),"✖ الفترة غير صحيحة",IF(ISNA(MATCH($G3765,Lists!$B$2:$B$7,0)),"✖ المجموعة غير صحيحة",IF(NOT(OR($H3765="",$N3765&gt;0)),"✖ Start غير صحيح",IF(NOT(OR($I3765="",$I3765="NR",$O3765&gt;0)),"✖ Current غير صحيح",IF(NOT(IF(ISNUMBER($J3765),AND($J3765&gt;=0,$J3765=INT($J3765)),FALSE())),"✖ العدد يجب أن يكون صحيحًا ≥ 0",IF(AND($F3765="Baseline",$H3765&lt;&gt;""),"⚠ Baseline: Start لا يدخل في التقدم",IF($K3765="No Start (attainment only)","ℹ تحصيل فقط (بدون Start)",IF($K3765="U – needs rule","ℹ حالة U تحتاج قاعدة معتمدة",IF($K3765="No result","ℹ بدون نتيجة (يُستبعد من التحصيل)","OK")))))))))))</f>
        <v/>
      </c>
      <c r="M3765" s="64" t="n">
        <f aca="false">IF($A3765="",0,IFERROR(MATCH($A3765,Classes!$A$6:$A$420,0),0))</f>
        <v>0</v>
      </c>
      <c r="N3765" s="64" t="n">
        <f aca="false">IF($H3765="",0,IFERROR(MATCH($H3765,GradeList,0),0))</f>
        <v>0</v>
      </c>
      <c r="O3765" s="64" t="n">
        <f aca="false">IF(OR($I3765="",$I3765="NR"),0,IFERROR(MATCH($I3765,GradeList,0),0))</f>
        <v>0</v>
      </c>
      <c r="P3765" s="64" t="n">
        <f aca="false">IF(AND($M3765&gt;0,ISNUMBER(MATCH($F3765,Lists!$A$2:$A$5,0)),ISNUMBER(MATCH($G3765,Lists!$B$2:$B$7,0)),OR($H3765="",$N3765&gt;0),OR($I3765="",$I3765="NR",$O3765&gt;0),IF(ISNUMBER($J3765),AND($J3765&gt;=0,$J3765=INT($J3765)),FALSE())),$J3765,0)</f>
        <v>0</v>
      </c>
      <c r="Q3765" s="64" t="n">
        <f aca="false">IF(AND($P3765&gt;0,$O3765&gt;0),$P3765,0)</f>
        <v>0</v>
      </c>
      <c r="R3765" s="64" t="n">
        <f aca="false">IF(AND($Q3765&gt;0,$O3765&gt;=AtRank),$Q3765,0)</f>
        <v>0</v>
      </c>
      <c r="S3765" s="64" t="n">
        <f aca="false">IF(AND($Q3765&gt;0,$O3765&gt;=AboveRank),$Q3765,0)</f>
        <v>0</v>
      </c>
      <c r="T3765" s="64" t="n">
        <f aca="false">IF($K3765="Less",$P3765,0)</f>
        <v>0</v>
      </c>
      <c r="U3765" s="64" t="n">
        <f aca="false">IF($K3765="Expected",$P3765,0)</f>
        <v>0</v>
      </c>
      <c r="V3765" s="64" t="n">
        <f aca="false">IF($K3765="Better",$P3765,0)</f>
        <v>0</v>
      </c>
      <c r="W3765" s="64" t="n">
        <f aca="false">IF($K3765="U – needs rule",$P3765,0)</f>
        <v>0</v>
      </c>
      <c r="X3765" s="64" t="n">
        <f aca="false">IF($K3765="No Start (attainment only)",$P3765,0)</f>
        <v>0</v>
      </c>
    </row>
    <row r="3766" customFormat="false" ht="15" hidden="false" customHeight="false" outlineLevel="0" collapsed="false">
      <c r="A3766" s="60"/>
      <c r="B3766" s="61" t="str">
        <f aca="false">IF($M3766=0,"",INDEX(Classes!$E$6:$E$420,$M3766))</f>
        <v/>
      </c>
      <c r="C3766" s="62" t="str">
        <f aca="false">IF($M3766=0,"",INDEX(Classes!$H$6:$H$420,$M3766))</f>
        <v/>
      </c>
      <c r="D3766" s="61" t="str">
        <f aca="false">IF($M3766=0,"",INDEX(Classes!$B$6:$B$420,$M3766))</f>
        <v/>
      </c>
      <c r="E3766" s="61" t="str">
        <f aca="false">IF($M3766=0,"",INDEX(Classes!$C$6:$C$420,$M3766))</f>
        <v/>
      </c>
      <c r="F3766" s="63"/>
      <c r="G3766" s="63"/>
      <c r="H3766" s="60"/>
      <c r="I3766" s="60"/>
      <c r="J3766" s="63"/>
      <c r="K3766" s="61" t="str">
        <f aca="false">IF($P3766=0,"",IF($F3766="Baseline","— Baseline",IF($O3766=0,"No result",IF($N3766=0,"No Start (attainment only)",IF(OR($N3766=1,$O3766=1),"U – needs rule",INDEX(MxBody,MATCH($I3766,MxCurr,0),MATCH($H3766,MxStart,0)))))))</f>
        <v/>
      </c>
      <c r="L3766" s="62" t="str">
        <f aca="false">IF(COUNTA($A3766,$F3766,$G3766,$H3766,$I3766,$J3766)=0,"",IF($M3766=0,"✖ كود الصف غير موجود",IF(ISNA(MATCH($F3766,Lists!$A$2:$A$5,0)),"✖ الفترة غير صحيحة",IF(ISNA(MATCH($G3766,Lists!$B$2:$B$7,0)),"✖ المجموعة غير صحيحة",IF(NOT(OR($H3766="",$N3766&gt;0)),"✖ Start غير صحيح",IF(NOT(OR($I3766="",$I3766="NR",$O3766&gt;0)),"✖ Current غير صحيح",IF(NOT(IF(ISNUMBER($J3766),AND($J3766&gt;=0,$J3766=INT($J3766)),FALSE())),"✖ العدد يجب أن يكون صحيحًا ≥ 0",IF(AND($F3766="Baseline",$H3766&lt;&gt;""),"⚠ Baseline: Start لا يدخل في التقدم",IF($K3766="No Start (attainment only)","ℹ تحصيل فقط (بدون Start)",IF($K3766="U – needs rule","ℹ حالة U تحتاج قاعدة معتمدة",IF($K3766="No result","ℹ بدون نتيجة (يُستبعد من التحصيل)","OK")))))))))))</f>
        <v/>
      </c>
      <c r="M3766" s="64" t="n">
        <f aca="false">IF($A3766="",0,IFERROR(MATCH($A3766,Classes!$A$6:$A$420,0),0))</f>
        <v>0</v>
      </c>
      <c r="N3766" s="64" t="n">
        <f aca="false">IF($H3766="",0,IFERROR(MATCH($H3766,GradeList,0),0))</f>
        <v>0</v>
      </c>
      <c r="O3766" s="64" t="n">
        <f aca="false">IF(OR($I3766="",$I3766="NR"),0,IFERROR(MATCH($I3766,GradeList,0),0))</f>
        <v>0</v>
      </c>
      <c r="P3766" s="64" t="n">
        <f aca="false">IF(AND($M3766&gt;0,ISNUMBER(MATCH($F3766,Lists!$A$2:$A$5,0)),ISNUMBER(MATCH($G3766,Lists!$B$2:$B$7,0)),OR($H3766="",$N3766&gt;0),OR($I3766="",$I3766="NR",$O3766&gt;0),IF(ISNUMBER($J3766),AND($J3766&gt;=0,$J3766=INT($J3766)),FALSE())),$J3766,0)</f>
        <v>0</v>
      </c>
      <c r="Q3766" s="64" t="n">
        <f aca="false">IF(AND($P3766&gt;0,$O3766&gt;0),$P3766,0)</f>
        <v>0</v>
      </c>
      <c r="R3766" s="64" t="n">
        <f aca="false">IF(AND($Q3766&gt;0,$O3766&gt;=AtRank),$Q3766,0)</f>
        <v>0</v>
      </c>
      <c r="S3766" s="64" t="n">
        <f aca="false">IF(AND($Q3766&gt;0,$O3766&gt;=AboveRank),$Q3766,0)</f>
        <v>0</v>
      </c>
      <c r="T3766" s="64" t="n">
        <f aca="false">IF($K3766="Less",$P3766,0)</f>
        <v>0</v>
      </c>
      <c r="U3766" s="64" t="n">
        <f aca="false">IF($K3766="Expected",$P3766,0)</f>
        <v>0</v>
      </c>
      <c r="V3766" s="64" t="n">
        <f aca="false">IF($K3766="Better",$P3766,0)</f>
        <v>0</v>
      </c>
      <c r="W3766" s="64" t="n">
        <f aca="false">IF($K3766="U – needs rule",$P3766,0)</f>
        <v>0</v>
      </c>
      <c r="X3766" s="64" t="n">
        <f aca="false">IF($K3766="No Start (attainment only)",$P3766,0)</f>
        <v>0</v>
      </c>
    </row>
    <row r="3767" customFormat="false" ht="15" hidden="false" customHeight="false" outlineLevel="0" collapsed="false">
      <c r="A3767" s="60"/>
      <c r="B3767" s="61" t="str">
        <f aca="false">IF($M3767=0,"",INDEX(Classes!$E$6:$E$420,$M3767))</f>
        <v/>
      </c>
      <c r="C3767" s="62" t="str">
        <f aca="false">IF($M3767=0,"",INDEX(Classes!$H$6:$H$420,$M3767))</f>
        <v/>
      </c>
      <c r="D3767" s="61" t="str">
        <f aca="false">IF($M3767=0,"",INDEX(Classes!$B$6:$B$420,$M3767))</f>
        <v/>
      </c>
      <c r="E3767" s="61" t="str">
        <f aca="false">IF($M3767=0,"",INDEX(Classes!$C$6:$C$420,$M3767))</f>
        <v/>
      </c>
      <c r="F3767" s="63"/>
      <c r="G3767" s="63"/>
      <c r="H3767" s="60"/>
      <c r="I3767" s="60"/>
      <c r="J3767" s="63"/>
      <c r="K3767" s="61" t="str">
        <f aca="false">IF($P3767=0,"",IF($F3767="Baseline","— Baseline",IF($O3767=0,"No result",IF($N3767=0,"No Start (attainment only)",IF(OR($N3767=1,$O3767=1),"U – needs rule",INDEX(MxBody,MATCH($I3767,MxCurr,0),MATCH($H3767,MxStart,0)))))))</f>
        <v/>
      </c>
      <c r="L3767" s="62" t="str">
        <f aca="false">IF(COUNTA($A3767,$F3767,$G3767,$H3767,$I3767,$J3767)=0,"",IF($M3767=0,"✖ كود الصف غير موجود",IF(ISNA(MATCH($F3767,Lists!$A$2:$A$5,0)),"✖ الفترة غير صحيحة",IF(ISNA(MATCH($G3767,Lists!$B$2:$B$7,0)),"✖ المجموعة غير صحيحة",IF(NOT(OR($H3767="",$N3767&gt;0)),"✖ Start غير صحيح",IF(NOT(OR($I3767="",$I3767="NR",$O3767&gt;0)),"✖ Current غير صحيح",IF(NOT(IF(ISNUMBER($J3767),AND($J3767&gt;=0,$J3767=INT($J3767)),FALSE())),"✖ العدد يجب أن يكون صحيحًا ≥ 0",IF(AND($F3767="Baseline",$H3767&lt;&gt;""),"⚠ Baseline: Start لا يدخل في التقدم",IF($K3767="No Start (attainment only)","ℹ تحصيل فقط (بدون Start)",IF($K3767="U – needs rule","ℹ حالة U تحتاج قاعدة معتمدة",IF($K3767="No result","ℹ بدون نتيجة (يُستبعد من التحصيل)","OK")))))))))))</f>
        <v/>
      </c>
      <c r="M3767" s="64" t="n">
        <f aca="false">IF($A3767="",0,IFERROR(MATCH($A3767,Classes!$A$6:$A$420,0),0))</f>
        <v>0</v>
      </c>
      <c r="N3767" s="64" t="n">
        <f aca="false">IF($H3767="",0,IFERROR(MATCH($H3767,GradeList,0),0))</f>
        <v>0</v>
      </c>
      <c r="O3767" s="64" t="n">
        <f aca="false">IF(OR($I3767="",$I3767="NR"),0,IFERROR(MATCH($I3767,GradeList,0),0))</f>
        <v>0</v>
      </c>
      <c r="P3767" s="64" t="n">
        <f aca="false">IF(AND($M3767&gt;0,ISNUMBER(MATCH($F3767,Lists!$A$2:$A$5,0)),ISNUMBER(MATCH($G3767,Lists!$B$2:$B$7,0)),OR($H3767="",$N3767&gt;0),OR($I3767="",$I3767="NR",$O3767&gt;0),IF(ISNUMBER($J3767),AND($J3767&gt;=0,$J3767=INT($J3767)),FALSE())),$J3767,0)</f>
        <v>0</v>
      </c>
      <c r="Q3767" s="64" t="n">
        <f aca="false">IF(AND($P3767&gt;0,$O3767&gt;0),$P3767,0)</f>
        <v>0</v>
      </c>
      <c r="R3767" s="64" t="n">
        <f aca="false">IF(AND($Q3767&gt;0,$O3767&gt;=AtRank),$Q3767,0)</f>
        <v>0</v>
      </c>
      <c r="S3767" s="64" t="n">
        <f aca="false">IF(AND($Q3767&gt;0,$O3767&gt;=AboveRank),$Q3767,0)</f>
        <v>0</v>
      </c>
      <c r="T3767" s="64" t="n">
        <f aca="false">IF($K3767="Less",$P3767,0)</f>
        <v>0</v>
      </c>
      <c r="U3767" s="64" t="n">
        <f aca="false">IF($K3767="Expected",$P3767,0)</f>
        <v>0</v>
      </c>
      <c r="V3767" s="64" t="n">
        <f aca="false">IF($K3767="Better",$P3767,0)</f>
        <v>0</v>
      </c>
      <c r="W3767" s="64" t="n">
        <f aca="false">IF($K3767="U – needs rule",$P3767,0)</f>
        <v>0</v>
      </c>
      <c r="X3767" s="64" t="n">
        <f aca="false">IF($K3767="No Start (attainment only)",$P3767,0)</f>
        <v>0</v>
      </c>
    </row>
    <row r="3768" customFormat="false" ht="15" hidden="false" customHeight="false" outlineLevel="0" collapsed="false">
      <c r="A3768" s="60"/>
      <c r="B3768" s="61" t="str">
        <f aca="false">IF($M3768=0,"",INDEX(Classes!$E$6:$E$420,$M3768))</f>
        <v/>
      </c>
      <c r="C3768" s="62" t="str">
        <f aca="false">IF($M3768=0,"",INDEX(Classes!$H$6:$H$420,$M3768))</f>
        <v/>
      </c>
      <c r="D3768" s="61" t="str">
        <f aca="false">IF($M3768=0,"",INDEX(Classes!$B$6:$B$420,$M3768))</f>
        <v/>
      </c>
      <c r="E3768" s="61" t="str">
        <f aca="false">IF($M3768=0,"",INDEX(Classes!$C$6:$C$420,$M3768))</f>
        <v/>
      </c>
      <c r="F3768" s="63"/>
      <c r="G3768" s="63"/>
      <c r="H3768" s="60"/>
      <c r="I3768" s="60"/>
      <c r="J3768" s="63"/>
      <c r="K3768" s="61" t="str">
        <f aca="false">IF($P3768=0,"",IF($F3768="Baseline","— Baseline",IF($O3768=0,"No result",IF($N3768=0,"No Start (attainment only)",IF(OR($N3768=1,$O3768=1),"U – needs rule",INDEX(MxBody,MATCH($I3768,MxCurr,0),MATCH($H3768,MxStart,0)))))))</f>
        <v/>
      </c>
      <c r="L3768" s="62" t="str">
        <f aca="false">IF(COUNTA($A3768,$F3768,$G3768,$H3768,$I3768,$J3768)=0,"",IF($M3768=0,"✖ كود الصف غير موجود",IF(ISNA(MATCH($F3768,Lists!$A$2:$A$5,0)),"✖ الفترة غير صحيحة",IF(ISNA(MATCH($G3768,Lists!$B$2:$B$7,0)),"✖ المجموعة غير صحيحة",IF(NOT(OR($H3768="",$N3768&gt;0)),"✖ Start غير صحيح",IF(NOT(OR($I3768="",$I3768="NR",$O3768&gt;0)),"✖ Current غير صحيح",IF(NOT(IF(ISNUMBER($J3768),AND($J3768&gt;=0,$J3768=INT($J3768)),FALSE())),"✖ العدد يجب أن يكون صحيحًا ≥ 0",IF(AND($F3768="Baseline",$H3768&lt;&gt;""),"⚠ Baseline: Start لا يدخل في التقدم",IF($K3768="No Start (attainment only)","ℹ تحصيل فقط (بدون Start)",IF($K3768="U – needs rule","ℹ حالة U تحتاج قاعدة معتمدة",IF($K3768="No result","ℹ بدون نتيجة (يُستبعد من التحصيل)","OK")))))))))))</f>
        <v/>
      </c>
      <c r="M3768" s="64" t="n">
        <f aca="false">IF($A3768="",0,IFERROR(MATCH($A3768,Classes!$A$6:$A$420,0),0))</f>
        <v>0</v>
      </c>
      <c r="N3768" s="64" t="n">
        <f aca="false">IF($H3768="",0,IFERROR(MATCH($H3768,GradeList,0),0))</f>
        <v>0</v>
      </c>
      <c r="O3768" s="64" t="n">
        <f aca="false">IF(OR($I3768="",$I3768="NR"),0,IFERROR(MATCH($I3768,GradeList,0),0))</f>
        <v>0</v>
      </c>
      <c r="P3768" s="64" t="n">
        <f aca="false">IF(AND($M3768&gt;0,ISNUMBER(MATCH($F3768,Lists!$A$2:$A$5,0)),ISNUMBER(MATCH($G3768,Lists!$B$2:$B$7,0)),OR($H3768="",$N3768&gt;0),OR($I3768="",$I3768="NR",$O3768&gt;0),IF(ISNUMBER($J3768),AND($J3768&gt;=0,$J3768=INT($J3768)),FALSE())),$J3768,0)</f>
        <v>0</v>
      </c>
      <c r="Q3768" s="64" t="n">
        <f aca="false">IF(AND($P3768&gt;0,$O3768&gt;0),$P3768,0)</f>
        <v>0</v>
      </c>
      <c r="R3768" s="64" t="n">
        <f aca="false">IF(AND($Q3768&gt;0,$O3768&gt;=AtRank),$Q3768,0)</f>
        <v>0</v>
      </c>
      <c r="S3768" s="64" t="n">
        <f aca="false">IF(AND($Q3768&gt;0,$O3768&gt;=AboveRank),$Q3768,0)</f>
        <v>0</v>
      </c>
      <c r="T3768" s="64" t="n">
        <f aca="false">IF($K3768="Less",$P3768,0)</f>
        <v>0</v>
      </c>
      <c r="U3768" s="64" t="n">
        <f aca="false">IF($K3768="Expected",$P3768,0)</f>
        <v>0</v>
      </c>
      <c r="V3768" s="64" t="n">
        <f aca="false">IF($K3768="Better",$P3768,0)</f>
        <v>0</v>
      </c>
      <c r="W3768" s="64" t="n">
        <f aca="false">IF($K3768="U – needs rule",$P3768,0)</f>
        <v>0</v>
      </c>
      <c r="X3768" s="64" t="n">
        <f aca="false">IF($K3768="No Start (attainment only)",$P3768,0)</f>
        <v>0</v>
      </c>
    </row>
    <row r="3769" customFormat="false" ht="15" hidden="false" customHeight="false" outlineLevel="0" collapsed="false">
      <c r="A3769" s="60"/>
      <c r="B3769" s="61" t="str">
        <f aca="false">IF($M3769=0,"",INDEX(Classes!$E$6:$E$420,$M3769))</f>
        <v/>
      </c>
      <c r="C3769" s="62" t="str">
        <f aca="false">IF($M3769=0,"",INDEX(Classes!$H$6:$H$420,$M3769))</f>
        <v/>
      </c>
      <c r="D3769" s="61" t="str">
        <f aca="false">IF($M3769=0,"",INDEX(Classes!$B$6:$B$420,$M3769))</f>
        <v/>
      </c>
      <c r="E3769" s="61" t="str">
        <f aca="false">IF($M3769=0,"",INDEX(Classes!$C$6:$C$420,$M3769))</f>
        <v/>
      </c>
      <c r="F3769" s="63"/>
      <c r="G3769" s="63"/>
      <c r="H3769" s="60"/>
      <c r="I3769" s="60"/>
      <c r="J3769" s="63"/>
      <c r="K3769" s="61" t="str">
        <f aca="false">IF($P3769=0,"",IF($F3769="Baseline","— Baseline",IF($O3769=0,"No result",IF($N3769=0,"No Start (attainment only)",IF(OR($N3769=1,$O3769=1),"U – needs rule",INDEX(MxBody,MATCH($I3769,MxCurr,0),MATCH($H3769,MxStart,0)))))))</f>
        <v/>
      </c>
      <c r="L3769" s="62" t="str">
        <f aca="false">IF(COUNTA($A3769,$F3769,$G3769,$H3769,$I3769,$J3769)=0,"",IF($M3769=0,"✖ كود الصف غير موجود",IF(ISNA(MATCH($F3769,Lists!$A$2:$A$5,0)),"✖ الفترة غير صحيحة",IF(ISNA(MATCH($G3769,Lists!$B$2:$B$7,0)),"✖ المجموعة غير صحيحة",IF(NOT(OR($H3769="",$N3769&gt;0)),"✖ Start غير صحيح",IF(NOT(OR($I3769="",$I3769="NR",$O3769&gt;0)),"✖ Current غير صحيح",IF(NOT(IF(ISNUMBER($J3769),AND($J3769&gt;=0,$J3769=INT($J3769)),FALSE())),"✖ العدد يجب أن يكون صحيحًا ≥ 0",IF(AND($F3769="Baseline",$H3769&lt;&gt;""),"⚠ Baseline: Start لا يدخل في التقدم",IF($K3769="No Start (attainment only)","ℹ تحصيل فقط (بدون Start)",IF($K3769="U – needs rule","ℹ حالة U تحتاج قاعدة معتمدة",IF($K3769="No result","ℹ بدون نتيجة (يُستبعد من التحصيل)","OK")))))))))))</f>
        <v/>
      </c>
      <c r="M3769" s="64" t="n">
        <f aca="false">IF($A3769="",0,IFERROR(MATCH($A3769,Classes!$A$6:$A$420,0),0))</f>
        <v>0</v>
      </c>
      <c r="N3769" s="64" t="n">
        <f aca="false">IF($H3769="",0,IFERROR(MATCH($H3769,GradeList,0),0))</f>
        <v>0</v>
      </c>
      <c r="O3769" s="64" t="n">
        <f aca="false">IF(OR($I3769="",$I3769="NR"),0,IFERROR(MATCH($I3769,GradeList,0),0))</f>
        <v>0</v>
      </c>
      <c r="P3769" s="64" t="n">
        <f aca="false">IF(AND($M3769&gt;0,ISNUMBER(MATCH($F3769,Lists!$A$2:$A$5,0)),ISNUMBER(MATCH($G3769,Lists!$B$2:$B$7,0)),OR($H3769="",$N3769&gt;0),OR($I3769="",$I3769="NR",$O3769&gt;0),IF(ISNUMBER($J3769),AND($J3769&gt;=0,$J3769=INT($J3769)),FALSE())),$J3769,0)</f>
        <v>0</v>
      </c>
      <c r="Q3769" s="64" t="n">
        <f aca="false">IF(AND($P3769&gt;0,$O3769&gt;0),$P3769,0)</f>
        <v>0</v>
      </c>
      <c r="R3769" s="64" t="n">
        <f aca="false">IF(AND($Q3769&gt;0,$O3769&gt;=AtRank),$Q3769,0)</f>
        <v>0</v>
      </c>
      <c r="S3769" s="64" t="n">
        <f aca="false">IF(AND($Q3769&gt;0,$O3769&gt;=AboveRank),$Q3769,0)</f>
        <v>0</v>
      </c>
      <c r="T3769" s="64" t="n">
        <f aca="false">IF($K3769="Less",$P3769,0)</f>
        <v>0</v>
      </c>
      <c r="U3769" s="64" t="n">
        <f aca="false">IF($K3769="Expected",$P3769,0)</f>
        <v>0</v>
      </c>
      <c r="V3769" s="64" t="n">
        <f aca="false">IF($K3769="Better",$P3769,0)</f>
        <v>0</v>
      </c>
      <c r="W3769" s="64" t="n">
        <f aca="false">IF($K3769="U – needs rule",$P3769,0)</f>
        <v>0</v>
      </c>
      <c r="X3769" s="64" t="n">
        <f aca="false">IF($K3769="No Start (attainment only)",$P3769,0)</f>
        <v>0</v>
      </c>
    </row>
    <row r="3770" customFormat="false" ht="15" hidden="false" customHeight="false" outlineLevel="0" collapsed="false">
      <c r="A3770" s="60"/>
      <c r="B3770" s="61" t="str">
        <f aca="false">IF($M3770=0,"",INDEX(Classes!$E$6:$E$420,$M3770))</f>
        <v/>
      </c>
      <c r="C3770" s="62" t="str">
        <f aca="false">IF($M3770=0,"",INDEX(Classes!$H$6:$H$420,$M3770))</f>
        <v/>
      </c>
      <c r="D3770" s="61" t="str">
        <f aca="false">IF($M3770=0,"",INDEX(Classes!$B$6:$B$420,$M3770))</f>
        <v/>
      </c>
      <c r="E3770" s="61" t="str">
        <f aca="false">IF($M3770=0,"",INDEX(Classes!$C$6:$C$420,$M3770))</f>
        <v/>
      </c>
      <c r="F3770" s="63"/>
      <c r="G3770" s="63"/>
      <c r="H3770" s="60"/>
      <c r="I3770" s="60"/>
      <c r="J3770" s="63"/>
      <c r="K3770" s="61" t="str">
        <f aca="false">IF($P3770=0,"",IF($F3770="Baseline","— Baseline",IF($O3770=0,"No result",IF($N3770=0,"No Start (attainment only)",IF(OR($N3770=1,$O3770=1),"U – needs rule",INDEX(MxBody,MATCH($I3770,MxCurr,0),MATCH($H3770,MxStart,0)))))))</f>
        <v/>
      </c>
      <c r="L3770" s="62" t="str">
        <f aca="false">IF(COUNTA($A3770,$F3770,$G3770,$H3770,$I3770,$J3770)=0,"",IF($M3770=0,"✖ كود الصف غير موجود",IF(ISNA(MATCH($F3770,Lists!$A$2:$A$5,0)),"✖ الفترة غير صحيحة",IF(ISNA(MATCH($G3770,Lists!$B$2:$B$7,0)),"✖ المجموعة غير صحيحة",IF(NOT(OR($H3770="",$N3770&gt;0)),"✖ Start غير صحيح",IF(NOT(OR($I3770="",$I3770="NR",$O3770&gt;0)),"✖ Current غير صحيح",IF(NOT(IF(ISNUMBER($J3770),AND($J3770&gt;=0,$J3770=INT($J3770)),FALSE())),"✖ العدد يجب أن يكون صحيحًا ≥ 0",IF(AND($F3770="Baseline",$H3770&lt;&gt;""),"⚠ Baseline: Start لا يدخل في التقدم",IF($K3770="No Start (attainment only)","ℹ تحصيل فقط (بدون Start)",IF($K3770="U – needs rule","ℹ حالة U تحتاج قاعدة معتمدة",IF($K3770="No result","ℹ بدون نتيجة (يُستبعد من التحصيل)","OK")))))))))))</f>
        <v/>
      </c>
      <c r="M3770" s="64" t="n">
        <f aca="false">IF($A3770="",0,IFERROR(MATCH($A3770,Classes!$A$6:$A$420,0),0))</f>
        <v>0</v>
      </c>
      <c r="N3770" s="64" t="n">
        <f aca="false">IF($H3770="",0,IFERROR(MATCH($H3770,GradeList,0),0))</f>
        <v>0</v>
      </c>
      <c r="O3770" s="64" t="n">
        <f aca="false">IF(OR($I3770="",$I3770="NR"),0,IFERROR(MATCH($I3770,GradeList,0),0))</f>
        <v>0</v>
      </c>
      <c r="P3770" s="64" t="n">
        <f aca="false">IF(AND($M3770&gt;0,ISNUMBER(MATCH($F3770,Lists!$A$2:$A$5,0)),ISNUMBER(MATCH($G3770,Lists!$B$2:$B$7,0)),OR($H3770="",$N3770&gt;0),OR($I3770="",$I3770="NR",$O3770&gt;0),IF(ISNUMBER($J3770),AND($J3770&gt;=0,$J3770=INT($J3770)),FALSE())),$J3770,0)</f>
        <v>0</v>
      </c>
      <c r="Q3770" s="64" t="n">
        <f aca="false">IF(AND($P3770&gt;0,$O3770&gt;0),$P3770,0)</f>
        <v>0</v>
      </c>
      <c r="R3770" s="64" t="n">
        <f aca="false">IF(AND($Q3770&gt;0,$O3770&gt;=AtRank),$Q3770,0)</f>
        <v>0</v>
      </c>
      <c r="S3770" s="64" t="n">
        <f aca="false">IF(AND($Q3770&gt;0,$O3770&gt;=AboveRank),$Q3770,0)</f>
        <v>0</v>
      </c>
      <c r="T3770" s="64" t="n">
        <f aca="false">IF($K3770="Less",$P3770,0)</f>
        <v>0</v>
      </c>
      <c r="U3770" s="64" t="n">
        <f aca="false">IF($K3770="Expected",$P3770,0)</f>
        <v>0</v>
      </c>
      <c r="V3770" s="64" t="n">
        <f aca="false">IF($K3770="Better",$P3770,0)</f>
        <v>0</v>
      </c>
      <c r="W3770" s="64" t="n">
        <f aca="false">IF($K3770="U – needs rule",$P3770,0)</f>
        <v>0</v>
      </c>
      <c r="X3770" s="64" t="n">
        <f aca="false">IF($K3770="No Start (attainment only)",$P3770,0)</f>
        <v>0</v>
      </c>
    </row>
    <row r="3771" customFormat="false" ht="15" hidden="false" customHeight="false" outlineLevel="0" collapsed="false">
      <c r="A3771" s="60"/>
      <c r="B3771" s="61" t="str">
        <f aca="false">IF($M3771=0,"",INDEX(Classes!$E$6:$E$420,$M3771))</f>
        <v/>
      </c>
      <c r="C3771" s="62" t="str">
        <f aca="false">IF($M3771=0,"",INDEX(Classes!$H$6:$H$420,$M3771))</f>
        <v/>
      </c>
      <c r="D3771" s="61" t="str">
        <f aca="false">IF($M3771=0,"",INDEX(Classes!$B$6:$B$420,$M3771))</f>
        <v/>
      </c>
      <c r="E3771" s="61" t="str">
        <f aca="false">IF($M3771=0,"",INDEX(Classes!$C$6:$C$420,$M3771))</f>
        <v/>
      </c>
      <c r="F3771" s="63"/>
      <c r="G3771" s="63"/>
      <c r="H3771" s="60"/>
      <c r="I3771" s="60"/>
      <c r="J3771" s="63"/>
      <c r="K3771" s="61" t="str">
        <f aca="false">IF($P3771=0,"",IF($F3771="Baseline","— Baseline",IF($O3771=0,"No result",IF($N3771=0,"No Start (attainment only)",IF(OR($N3771=1,$O3771=1),"U – needs rule",INDEX(MxBody,MATCH($I3771,MxCurr,0),MATCH($H3771,MxStart,0)))))))</f>
        <v/>
      </c>
      <c r="L3771" s="62" t="str">
        <f aca="false">IF(COUNTA($A3771,$F3771,$G3771,$H3771,$I3771,$J3771)=0,"",IF($M3771=0,"✖ كود الصف غير موجود",IF(ISNA(MATCH($F3771,Lists!$A$2:$A$5,0)),"✖ الفترة غير صحيحة",IF(ISNA(MATCH($G3771,Lists!$B$2:$B$7,0)),"✖ المجموعة غير صحيحة",IF(NOT(OR($H3771="",$N3771&gt;0)),"✖ Start غير صحيح",IF(NOT(OR($I3771="",$I3771="NR",$O3771&gt;0)),"✖ Current غير صحيح",IF(NOT(IF(ISNUMBER($J3771),AND($J3771&gt;=0,$J3771=INT($J3771)),FALSE())),"✖ العدد يجب أن يكون صحيحًا ≥ 0",IF(AND($F3771="Baseline",$H3771&lt;&gt;""),"⚠ Baseline: Start لا يدخل في التقدم",IF($K3771="No Start (attainment only)","ℹ تحصيل فقط (بدون Start)",IF($K3771="U – needs rule","ℹ حالة U تحتاج قاعدة معتمدة",IF($K3771="No result","ℹ بدون نتيجة (يُستبعد من التحصيل)","OK")))))))))))</f>
        <v/>
      </c>
      <c r="M3771" s="64" t="n">
        <f aca="false">IF($A3771="",0,IFERROR(MATCH($A3771,Classes!$A$6:$A$420,0),0))</f>
        <v>0</v>
      </c>
      <c r="N3771" s="64" t="n">
        <f aca="false">IF($H3771="",0,IFERROR(MATCH($H3771,GradeList,0),0))</f>
        <v>0</v>
      </c>
      <c r="O3771" s="64" t="n">
        <f aca="false">IF(OR($I3771="",$I3771="NR"),0,IFERROR(MATCH($I3771,GradeList,0),0))</f>
        <v>0</v>
      </c>
      <c r="P3771" s="64" t="n">
        <f aca="false">IF(AND($M3771&gt;0,ISNUMBER(MATCH($F3771,Lists!$A$2:$A$5,0)),ISNUMBER(MATCH($G3771,Lists!$B$2:$B$7,0)),OR($H3771="",$N3771&gt;0),OR($I3771="",$I3771="NR",$O3771&gt;0),IF(ISNUMBER($J3771),AND($J3771&gt;=0,$J3771=INT($J3771)),FALSE())),$J3771,0)</f>
        <v>0</v>
      </c>
      <c r="Q3771" s="64" t="n">
        <f aca="false">IF(AND($P3771&gt;0,$O3771&gt;0),$P3771,0)</f>
        <v>0</v>
      </c>
      <c r="R3771" s="64" t="n">
        <f aca="false">IF(AND($Q3771&gt;0,$O3771&gt;=AtRank),$Q3771,0)</f>
        <v>0</v>
      </c>
      <c r="S3771" s="64" t="n">
        <f aca="false">IF(AND($Q3771&gt;0,$O3771&gt;=AboveRank),$Q3771,0)</f>
        <v>0</v>
      </c>
      <c r="T3771" s="64" t="n">
        <f aca="false">IF($K3771="Less",$P3771,0)</f>
        <v>0</v>
      </c>
      <c r="U3771" s="64" t="n">
        <f aca="false">IF($K3771="Expected",$P3771,0)</f>
        <v>0</v>
      </c>
      <c r="V3771" s="64" t="n">
        <f aca="false">IF($K3771="Better",$P3771,0)</f>
        <v>0</v>
      </c>
      <c r="W3771" s="64" t="n">
        <f aca="false">IF($K3771="U – needs rule",$P3771,0)</f>
        <v>0</v>
      </c>
      <c r="X3771" s="64" t="n">
        <f aca="false">IF($K3771="No Start (attainment only)",$P3771,0)</f>
        <v>0</v>
      </c>
    </row>
    <row r="3772" customFormat="false" ht="15" hidden="false" customHeight="false" outlineLevel="0" collapsed="false">
      <c r="A3772" s="60"/>
      <c r="B3772" s="61" t="str">
        <f aca="false">IF($M3772=0,"",INDEX(Classes!$E$6:$E$420,$M3772))</f>
        <v/>
      </c>
      <c r="C3772" s="62" t="str">
        <f aca="false">IF($M3772=0,"",INDEX(Classes!$H$6:$H$420,$M3772))</f>
        <v/>
      </c>
      <c r="D3772" s="61" t="str">
        <f aca="false">IF($M3772=0,"",INDEX(Classes!$B$6:$B$420,$M3772))</f>
        <v/>
      </c>
      <c r="E3772" s="61" t="str">
        <f aca="false">IF($M3772=0,"",INDEX(Classes!$C$6:$C$420,$M3772))</f>
        <v/>
      </c>
      <c r="F3772" s="63"/>
      <c r="G3772" s="63"/>
      <c r="H3772" s="60"/>
      <c r="I3772" s="60"/>
      <c r="J3772" s="63"/>
      <c r="K3772" s="61" t="str">
        <f aca="false">IF($P3772=0,"",IF($F3772="Baseline","— Baseline",IF($O3772=0,"No result",IF($N3772=0,"No Start (attainment only)",IF(OR($N3772=1,$O3772=1),"U – needs rule",INDEX(MxBody,MATCH($I3772,MxCurr,0),MATCH($H3772,MxStart,0)))))))</f>
        <v/>
      </c>
      <c r="L3772" s="62" t="str">
        <f aca="false">IF(COUNTA($A3772,$F3772,$G3772,$H3772,$I3772,$J3772)=0,"",IF($M3772=0,"✖ كود الصف غير موجود",IF(ISNA(MATCH($F3772,Lists!$A$2:$A$5,0)),"✖ الفترة غير صحيحة",IF(ISNA(MATCH($G3772,Lists!$B$2:$B$7,0)),"✖ المجموعة غير صحيحة",IF(NOT(OR($H3772="",$N3772&gt;0)),"✖ Start غير صحيح",IF(NOT(OR($I3772="",$I3772="NR",$O3772&gt;0)),"✖ Current غير صحيح",IF(NOT(IF(ISNUMBER($J3772),AND($J3772&gt;=0,$J3772=INT($J3772)),FALSE())),"✖ العدد يجب أن يكون صحيحًا ≥ 0",IF(AND($F3772="Baseline",$H3772&lt;&gt;""),"⚠ Baseline: Start لا يدخل في التقدم",IF($K3772="No Start (attainment only)","ℹ تحصيل فقط (بدون Start)",IF($K3772="U – needs rule","ℹ حالة U تحتاج قاعدة معتمدة",IF($K3772="No result","ℹ بدون نتيجة (يُستبعد من التحصيل)","OK")))))))))))</f>
        <v/>
      </c>
      <c r="M3772" s="64" t="n">
        <f aca="false">IF($A3772="",0,IFERROR(MATCH($A3772,Classes!$A$6:$A$420,0),0))</f>
        <v>0</v>
      </c>
      <c r="N3772" s="64" t="n">
        <f aca="false">IF($H3772="",0,IFERROR(MATCH($H3772,GradeList,0),0))</f>
        <v>0</v>
      </c>
      <c r="O3772" s="64" t="n">
        <f aca="false">IF(OR($I3772="",$I3772="NR"),0,IFERROR(MATCH($I3772,GradeList,0),0))</f>
        <v>0</v>
      </c>
      <c r="P3772" s="64" t="n">
        <f aca="false">IF(AND($M3772&gt;0,ISNUMBER(MATCH($F3772,Lists!$A$2:$A$5,0)),ISNUMBER(MATCH($G3772,Lists!$B$2:$B$7,0)),OR($H3772="",$N3772&gt;0),OR($I3772="",$I3772="NR",$O3772&gt;0),IF(ISNUMBER($J3772),AND($J3772&gt;=0,$J3772=INT($J3772)),FALSE())),$J3772,0)</f>
        <v>0</v>
      </c>
      <c r="Q3772" s="64" t="n">
        <f aca="false">IF(AND($P3772&gt;0,$O3772&gt;0),$P3772,0)</f>
        <v>0</v>
      </c>
      <c r="R3772" s="64" t="n">
        <f aca="false">IF(AND($Q3772&gt;0,$O3772&gt;=AtRank),$Q3772,0)</f>
        <v>0</v>
      </c>
      <c r="S3772" s="64" t="n">
        <f aca="false">IF(AND($Q3772&gt;0,$O3772&gt;=AboveRank),$Q3772,0)</f>
        <v>0</v>
      </c>
      <c r="T3772" s="64" t="n">
        <f aca="false">IF($K3772="Less",$P3772,0)</f>
        <v>0</v>
      </c>
      <c r="U3772" s="64" t="n">
        <f aca="false">IF($K3772="Expected",$P3772,0)</f>
        <v>0</v>
      </c>
      <c r="V3772" s="64" t="n">
        <f aca="false">IF($K3772="Better",$P3772,0)</f>
        <v>0</v>
      </c>
      <c r="W3772" s="64" t="n">
        <f aca="false">IF($K3772="U – needs rule",$P3772,0)</f>
        <v>0</v>
      </c>
      <c r="X3772" s="64" t="n">
        <f aca="false">IF($K3772="No Start (attainment only)",$P3772,0)</f>
        <v>0</v>
      </c>
    </row>
    <row r="3773" customFormat="false" ht="15" hidden="false" customHeight="false" outlineLevel="0" collapsed="false">
      <c r="A3773" s="60"/>
      <c r="B3773" s="61" t="str">
        <f aca="false">IF($M3773=0,"",INDEX(Classes!$E$6:$E$420,$M3773))</f>
        <v/>
      </c>
      <c r="C3773" s="62" t="str">
        <f aca="false">IF($M3773=0,"",INDEX(Classes!$H$6:$H$420,$M3773))</f>
        <v/>
      </c>
      <c r="D3773" s="61" t="str">
        <f aca="false">IF($M3773=0,"",INDEX(Classes!$B$6:$B$420,$M3773))</f>
        <v/>
      </c>
      <c r="E3773" s="61" t="str">
        <f aca="false">IF($M3773=0,"",INDEX(Classes!$C$6:$C$420,$M3773))</f>
        <v/>
      </c>
      <c r="F3773" s="63"/>
      <c r="G3773" s="63"/>
      <c r="H3773" s="60"/>
      <c r="I3773" s="60"/>
      <c r="J3773" s="63"/>
      <c r="K3773" s="61" t="str">
        <f aca="false">IF($P3773=0,"",IF($F3773="Baseline","— Baseline",IF($O3773=0,"No result",IF($N3773=0,"No Start (attainment only)",IF(OR($N3773=1,$O3773=1),"U – needs rule",INDEX(MxBody,MATCH($I3773,MxCurr,0),MATCH($H3773,MxStart,0)))))))</f>
        <v/>
      </c>
      <c r="L3773" s="62" t="str">
        <f aca="false">IF(COUNTA($A3773,$F3773,$G3773,$H3773,$I3773,$J3773)=0,"",IF($M3773=0,"✖ كود الصف غير موجود",IF(ISNA(MATCH($F3773,Lists!$A$2:$A$5,0)),"✖ الفترة غير صحيحة",IF(ISNA(MATCH($G3773,Lists!$B$2:$B$7,0)),"✖ المجموعة غير صحيحة",IF(NOT(OR($H3773="",$N3773&gt;0)),"✖ Start غير صحيح",IF(NOT(OR($I3773="",$I3773="NR",$O3773&gt;0)),"✖ Current غير صحيح",IF(NOT(IF(ISNUMBER($J3773),AND($J3773&gt;=0,$J3773=INT($J3773)),FALSE())),"✖ العدد يجب أن يكون صحيحًا ≥ 0",IF(AND($F3773="Baseline",$H3773&lt;&gt;""),"⚠ Baseline: Start لا يدخل في التقدم",IF($K3773="No Start (attainment only)","ℹ تحصيل فقط (بدون Start)",IF($K3773="U – needs rule","ℹ حالة U تحتاج قاعدة معتمدة",IF($K3773="No result","ℹ بدون نتيجة (يُستبعد من التحصيل)","OK")))))))))))</f>
        <v/>
      </c>
      <c r="M3773" s="64" t="n">
        <f aca="false">IF($A3773="",0,IFERROR(MATCH($A3773,Classes!$A$6:$A$420,0),0))</f>
        <v>0</v>
      </c>
      <c r="N3773" s="64" t="n">
        <f aca="false">IF($H3773="",0,IFERROR(MATCH($H3773,GradeList,0),0))</f>
        <v>0</v>
      </c>
      <c r="O3773" s="64" t="n">
        <f aca="false">IF(OR($I3773="",$I3773="NR"),0,IFERROR(MATCH($I3773,GradeList,0),0))</f>
        <v>0</v>
      </c>
      <c r="P3773" s="64" t="n">
        <f aca="false">IF(AND($M3773&gt;0,ISNUMBER(MATCH($F3773,Lists!$A$2:$A$5,0)),ISNUMBER(MATCH($G3773,Lists!$B$2:$B$7,0)),OR($H3773="",$N3773&gt;0),OR($I3773="",$I3773="NR",$O3773&gt;0),IF(ISNUMBER($J3773),AND($J3773&gt;=0,$J3773=INT($J3773)),FALSE())),$J3773,0)</f>
        <v>0</v>
      </c>
      <c r="Q3773" s="64" t="n">
        <f aca="false">IF(AND($P3773&gt;0,$O3773&gt;0),$P3773,0)</f>
        <v>0</v>
      </c>
      <c r="R3773" s="64" t="n">
        <f aca="false">IF(AND($Q3773&gt;0,$O3773&gt;=AtRank),$Q3773,0)</f>
        <v>0</v>
      </c>
      <c r="S3773" s="64" t="n">
        <f aca="false">IF(AND($Q3773&gt;0,$O3773&gt;=AboveRank),$Q3773,0)</f>
        <v>0</v>
      </c>
      <c r="T3773" s="64" t="n">
        <f aca="false">IF($K3773="Less",$P3773,0)</f>
        <v>0</v>
      </c>
      <c r="U3773" s="64" t="n">
        <f aca="false">IF($K3773="Expected",$P3773,0)</f>
        <v>0</v>
      </c>
      <c r="V3773" s="64" t="n">
        <f aca="false">IF($K3773="Better",$P3773,0)</f>
        <v>0</v>
      </c>
      <c r="W3773" s="64" t="n">
        <f aca="false">IF($K3773="U – needs rule",$P3773,0)</f>
        <v>0</v>
      </c>
      <c r="X3773" s="64" t="n">
        <f aca="false">IF($K3773="No Start (attainment only)",$P3773,0)</f>
        <v>0</v>
      </c>
    </row>
    <row r="3774" customFormat="false" ht="15" hidden="false" customHeight="false" outlineLevel="0" collapsed="false">
      <c r="A3774" s="60"/>
      <c r="B3774" s="61" t="str">
        <f aca="false">IF($M3774=0,"",INDEX(Classes!$E$6:$E$420,$M3774))</f>
        <v/>
      </c>
      <c r="C3774" s="62" t="str">
        <f aca="false">IF($M3774=0,"",INDEX(Classes!$H$6:$H$420,$M3774))</f>
        <v/>
      </c>
      <c r="D3774" s="61" t="str">
        <f aca="false">IF($M3774=0,"",INDEX(Classes!$B$6:$B$420,$M3774))</f>
        <v/>
      </c>
      <c r="E3774" s="61" t="str">
        <f aca="false">IF($M3774=0,"",INDEX(Classes!$C$6:$C$420,$M3774))</f>
        <v/>
      </c>
      <c r="F3774" s="63"/>
      <c r="G3774" s="63"/>
      <c r="H3774" s="60"/>
      <c r="I3774" s="60"/>
      <c r="J3774" s="63"/>
      <c r="K3774" s="61" t="str">
        <f aca="false">IF($P3774=0,"",IF($F3774="Baseline","— Baseline",IF($O3774=0,"No result",IF($N3774=0,"No Start (attainment only)",IF(OR($N3774=1,$O3774=1),"U – needs rule",INDEX(MxBody,MATCH($I3774,MxCurr,0),MATCH($H3774,MxStart,0)))))))</f>
        <v/>
      </c>
      <c r="L3774" s="62" t="str">
        <f aca="false">IF(COUNTA($A3774,$F3774,$G3774,$H3774,$I3774,$J3774)=0,"",IF($M3774=0,"✖ كود الصف غير موجود",IF(ISNA(MATCH($F3774,Lists!$A$2:$A$5,0)),"✖ الفترة غير صحيحة",IF(ISNA(MATCH($G3774,Lists!$B$2:$B$7,0)),"✖ المجموعة غير صحيحة",IF(NOT(OR($H3774="",$N3774&gt;0)),"✖ Start غير صحيح",IF(NOT(OR($I3774="",$I3774="NR",$O3774&gt;0)),"✖ Current غير صحيح",IF(NOT(IF(ISNUMBER($J3774),AND($J3774&gt;=0,$J3774=INT($J3774)),FALSE())),"✖ العدد يجب أن يكون صحيحًا ≥ 0",IF(AND($F3774="Baseline",$H3774&lt;&gt;""),"⚠ Baseline: Start لا يدخل في التقدم",IF($K3774="No Start (attainment only)","ℹ تحصيل فقط (بدون Start)",IF($K3774="U – needs rule","ℹ حالة U تحتاج قاعدة معتمدة",IF($K3774="No result","ℹ بدون نتيجة (يُستبعد من التحصيل)","OK")))))))))))</f>
        <v/>
      </c>
      <c r="M3774" s="64" t="n">
        <f aca="false">IF($A3774="",0,IFERROR(MATCH($A3774,Classes!$A$6:$A$420,0),0))</f>
        <v>0</v>
      </c>
      <c r="N3774" s="64" t="n">
        <f aca="false">IF($H3774="",0,IFERROR(MATCH($H3774,GradeList,0),0))</f>
        <v>0</v>
      </c>
      <c r="O3774" s="64" t="n">
        <f aca="false">IF(OR($I3774="",$I3774="NR"),0,IFERROR(MATCH($I3774,GradeList,0),0))</f>
        <v>0</v>
      </c>
      <c r="P3774" s="64" t="n">
        <f aca="false">IF(AND($M3774&gt;0,ISNUMBER(MATCH($F3774,Lists!$A$2:$A$5,0)),ISNUMBER(MATCH($G3774,Lists!$B$2:$B$7,0)),OR($H3774="",$N3774&gt;0),OR($I3774="",$I3774="NR",$O3774&gt;0),IF(ISNUMBER($J3774),AND($J3774&gt;=0,$J3774=INT($J3774)),FALSE())),$J3774,0)</f>
        <v>0</v>
      </c>
      <c r="Q3774" s="64" t="n">
        <f aca="false">IF(AND($P3774&gt;0,$O3774&gt;0),$P3774,0)</f>
        <v>0</v>
      </c>
      <c r="R3774" s="64" t="n">
        <f aca="false">IF(AND($Q3774&gt;0,$O3774&gt;=AtRank),$Q3774,0)</f>
        <v>0</v>
      </c>
      <c r="S3774" s="64" t="n">
        <f aca="false">IF(AND($Q3774&gt;0,$O3774&gt;=AboveRank),$Q3774,0)</f>
        <v>0</v>
      </c>
      <c r="T3774" s="64" t="n">
        <f aca="false">IF($K3774="Less",$P3774,0)</f>
        <v>0</v>
      </c>
      <c r="U3774" s="64" t="n">
        <f aca="false">IF($K3774="Expected",$P3774,0)</f>
        <v>0</v>
      </c>
      <c r="V3774" s="64" t="n">
        <f aca="false">IF($K3774="Better",$P3774,0)</f>
        <v>0</v>
      </c>
      <c r="W3774" s="64" t="n">
        <f aca="false">IF($K3774="U – needs rule",$P3774,0)</f>
        <v>0</v>
      </c>
      <c r="X3774" s="64" t="n">
        <f aca="false">IF($K3774="No Start (attainment only)",$P3774,0)</f>
        <v>0</v>
      </c>
    </row>
    <row r="3775" customFormat="false" ht="15" hidden="false" customHeight="false" outlineLevel="0" collapsed="false">
      <c r="A3775" s="60"/>
      <c r="B3775" s="61" t="str">
        <f aca="false">IF($M3775=0,"",INDEX(Classes!$E$6:$E$420,$M3775))</f>
        <v/>
      </c>
      <c r="C3775" s="62" t="str">
        <f aca="false">IF($M3775=0,"",INDEX(Classes!$H$6:$H$420,$M3775))</f>
        <v/>
      </c>
      <c r="D3775" s="61" t="str">
        <f aca="false">IF($M3775=0,"",INDEX(Classes!$B$6:$B$420,$M3775))</f>
        <v/>
      </c>
      <c r="E3775" s="61" t="str">
        <f aca="false">IF($M3775=0,"",INDEX(Classes!$C$6:$C$420,$M3775))</f>
        <v/>
      </c>
      <c r="F3775" s="63"/>
      <c r="G3775" s="63"/>
      <c r="H3775" s="60"/>
      <c r="I3775" s="60"/>
      <c r="J3775" s="63"/>
      <c r="K3775" s="61" t="str">
        <f aca="false">IF($P3775=0,"",IF($F3775="Baseline","— Baseline",IF($O3775=0,"No result",IF($N3775=0,"No Start (attainment only)",IF(OR($N3775=1,$O3775=1),"U – needs rule",INDEX(MxBody,MATCH($I3775,MxCurr,0),MATCH($H3775,MxStart,0)))))))</f>
        <v/>
      </c>
      <c r="L3775" s="62" t="str">
        <f aca="false">IF(COUNTA($A3775,$F3775,$G3775,$H3775,$I3775,$J3775)=0,"",IF($M3775=0,"✖ كود الصف غير موجود",IF(ISNA(MATCH($F3775,Lists!$A$2:$A$5,0)),"✖ الفترة غير صحيحة",IF(ISNA(MATCH($G3775,Lists!$B$2:$B$7,0)),"✖ المجموعة غير صحيحة",IF(NOT(OR($H3775="",$N3775&gt;0)),"✖ Start غير صحيح",IF(NOT(OR($I3775="",$I3775="NR",$O3775&gt;0)),"✖ Current غير صحيح",IF(NOT(IF(ISNUMBER($J3775),AND($J3775&gt;=0,$J3775=INT($J3775)),FALSE())),"✖ العدد يجب أن يكون صحيحًا ≥ 0",IF(AND($F3775="Baseline",$H3775&lt;&gt;""),"⚠ Baseline: Start لا يدخل في التقدم",IF($K3775="No Start (attainment only)","ℹ تحصيل فقط (بدون Start)",IF($K3775="U – needs rule","ℹ حالة U تحتاج قاعدة معتمدة",IF($K3775="No result","ℹ بدون نتيجة (يُستبعد من التحصيل)","OK")))))))))))</f>
        <v/>
      </c>
      <c r="M3775" s="64" t="n">
        <f aca="false">IF($A3775="",0,IFERROR(MATCH($A3775,Classes!$A$6:$A$420,0),0))</f>
        <v>0</v>
      </c>
      <c r="N3775" s="64" t="n">
        <f aca="false">IF($H3775="",0,IFERROR(MATCH($H3775,GradeList,0),0))</f>
        <v>0</v>
      </c>
      <c r="O3775" s="64" t="n">
        <f aca="false">IF(OR($I3775="",$I3775="NR"),0,IFERROR(MATCH($I3775,GradeList,0),0))</f>
        <v>0</v>
      </c>
      <c r="P3775" s="64" t="n">
        <f aca="false">IF(AND($M3775&gt;0,ISNUMBER(MATCH($F3775,Lists!$A$2:$A$5,0)),ISNUMBER(MATCH($G3775,Lists!$B$2:$B$7,0)),OR($H3775="",$N3775&gt;0),OR($I3775="",$I3775="NR",$O3775&gt;0),IF(ISNUMBER($J3775),AND($J3775&gt;=0,$J3775=INT($J3775)),FALSE())),$J3775,0)</f>
        <v>0</v>
      </c>
      <c r="Q3775" s="64" t="n">
        <f aca="false">IF(AND($P3775&gt;0,$O3775&gt;0),$P3775,0)</f>
        <v>0</v>
      </c>
      <c r="R3775" s="64" t="n">
        <f aca="false">IF(AND($Q3775&gt;0,$O3775&gt;=AtRank),$Q3775,0)</f>
        <v>0</v>
      </c>
      <c r="S3775" s="64" t="n">
        <f aca="false">IF(AND($Q3775&gt;0,$O3775&gt;=AboveRank),$Q3775,0)</f>
        <v>0</v>
      </c>
      <c r="T3775" s="64" t="n">
        <f aca="false">IF($K3775="Less",$P3775,0)</f>
        <v>0</v>
      </c>
      <c r="U3775" s="64" t="n">
        <f aca="false">IF($K3775="Expected",$P3775,0)</f>
        <v>0</v>
      </c>
      <c r="V3775" s="64" t="n">
        <f aca="false">IF($K3775="Better",$P3775,0)</f>
        <v>0</v>
      </c>
      <c r="W3775" s="64" t="n">
        <f aca="false">IF($K3775="U – needs rule",$P3775,0)</f>
        <v>0</v>
      </c>
      <c r="X3775" s="64" t="n">
        <f aca="false">IF($K3775="No Start (attainment only)",$P3775,0)</f>
        <v>0</v>
      </c>
    </row>
    <row r="3776" customFormat="false" ht="15" hidden="false" customHeight="false" outlineLevel="0" collapsed="false">
      <c r="A3776" s="60"/>
      <c r="B3776" s="61" t="str">
        <f aca="false">IF($M3776=0,"",INDEX(Classes!$E$6:$E$420,$M3776))</f>
        <v/>
      </c>
      <c r="C3776" s="62" t="str">
        <f aca="false">IF($M3776=0,"",INDEX(Classes!$H$6:$H$420,$M3776))</f>
        <v/>
      </c>
      <c r="D3776" s="61" t="str">
        <f aca="false">IF($M3776=0,"",INDEX(Classes!$B$6:$B$420,$M3776))</f>
        <v/>
      </c>
      <c r="E3776" s="61" t="str">
        <f aca="false">IF($M3776=0,"",INDEX(Classes!$C$6:$C$420,$M3776))</f>
        <v/>
      </c>
      <c r="F3776" s="63"/>
      <c r="G3776" s="63"/>
      <c r="H3776" s="60"/>
      <c r="I3776" s="60"/>
      <c r="J3776" s="63"/>
      <c r="K3776" s="61" t="str">
        <f aca="false">IF($P3776=0,"",IF($F3776="Baseline","— Baseline",IF($O3776=0,"No result",IF($N3776=0,"No Start (attainment only)",IF(OR($N3776=1,$O3776=1),"U – needs rule",INDEX(MxBody,MATCH($I3776,MxCurr,0),MATCH($H3776,MxStart,0)))))))</f>
        <v/>
      </c>
      <c r="L3776" s="62" t="str">
        <f aca="false">IF(COUNTA($A3776,$F3776,$G3776,$H3776,$I3776,$J3776)=0,"",IF($M3776=0,"✖ كود الصف غير موجود",IF(ISNA(MATCH($F3776,Lists!$A$2:$A$5,0)),"✖ الفترة غير صحيحة",IF(ISNA(MATCH($G3776,Lists!$B$2:$B$7,0)),"✖ المجموعة غير صحيحة",IF(NOT(OR($H3776="",$N3776&gt;0)),"✖ Start غير صحيح",IF(NOT(OR($I3776="",$I3776="NR",$O3776&gt;0)),"✖ Current غير صحيح",IF(NOT(IF(ISNUMBER($J3776),AND($J3776&gt;=0,$J3776=INT($J3776)),FALSE())),"✖ العدد يجب أن يكون صحيحًا ≥ 0",IF(AND($F3776="Baseline",$H3776&lt;&gt;""),"⚠ Baseline: Start لا يدخل في التقدم",IF($K3776="No Start (attainment only)","ℹ تحصيل فقط (بدون Start)",IF($K3776="U – needs rule","ℹ حالة U تحتاج قاعدة معتمدة",IF($K3776="No result","ℹ بدون نتيجة (يُستبعد من التحصيل)","OK")))))))))))</f>
        <v/>
      </c>
      <c r="M3776" s="64" t="n">
        <f aca="false">IF($A3776="",0,IFERROR(MATCH($A3776,Classes!$A$6:$A$420,0),0))</f>
        <v>0</v>
      </c>
      <c r="N3776" s="64" t="n">
        <f aca="false">IF($H3776="",0,IFERROR(MATCH($H3776,GradeList,0),0))</f>
        <v>0</v>
      </c>
      <c r="O3776" s="64" t="n">
        <f aca="false">IF(OR($I3776="",$I3776="NR"),0,IFERROR(MATCH($I3776,GradeList,0),0))</f>
        <v>0</v>
      </c>
      <c r="P3776" s="64" t="n">
        <f aca="false">IF(AND($M3776&gt;0,ISNUMBER(MATCH($F3776,Lists!$A$2:$A$5,0)),ISNUMBER(MATCH($G3776,Lists!$B$2:$B$7,0)),OR($H3776="",$N3776&gt;0),OR($I3776="",$I3776="NR",$O3776&gt;0),IF(ISNUMBER($J3776),AND($J3776&gt;=0,$J3776=INT($J3776)),FALSE())),$J3776,0)</f>
        <v>0</v>
      </c>
      <c r="Q3776" s="64" t="n">
        <f aca="false">IF(AND($P3776&gt;0,$O3776&gt;0),$P3776,0)</f>
        <v>0</v>
      </c>
      <c r="R3776" s="64" t="n">
        <f aca="false">IF(AND($Q3776&gt;0,$O3776&gt;=AtRank),$Q3776,0)</f>
        <v>0</v>
      </c>
      <c r="S3776" s="64" t="n">
        <f aca="false">IF(AND($Q3776&gt;0,$O3776&gt;=AboveRank),$Q3776,0)</f>
        <v>0</v>
      </c>
      <c r="T3776" s="64" t="n">
        <f aca="false">IF($K3776="Less",$P3776,0)</f>
        <v>0</v>
      </c>
      <c r="U3776" s="64" t="n">
        <f aca="false">IF($K3776="Expected",$P3776,0)</f>
        <v>0</v>
      </c>
      <c r="V3776" s="64" t="n">
        <f aca="false">IF($K3776="Better",$P3776,0)</f>
        <v>0</v>
      </c>
      <c r="W3776" s="64" t="n">
        <f aca="false">IF($K3776="U – needs rule",$P3776,0)</f>
        <v>0</v>
      </c>
      <c r="X3776" s="64" t="n">
        <f aca="false">IF($K3776="No Start (attainment only)",$P3776,0)</f>
        <v>0</v>
      </c>
    </row>
    <row r="3777" customFormat="false" ht="15" hidden="false" customHeight="false" outlineLevel="0" collapsed="false">
      <c r="A3777" s="60"/>
      <c r="B3777" s="61" t="str">
        <f aca="false">IF($M3777=0,"",INDEX(Classes!$E$6:$E$420,$M3777))</f>
        <v/>
      </c>
      <c r="C3777" s="62" t="str">
        <f aca="false">IF($M3777=0,"",INDEX(Classes!$H$6:$H$420,$M3777))</f>
        <v/>
      </c>
      <c r="D3777" s="61" t="str">
        <f aca="false">IF($M3777=0,"",INDEX(Classes!$B$6:$B$420,$M3777))</f>
        <v/>
      </c>
      <c r="E3777" s="61" t="str">
        <f aca="false">IF($M3777=0,"",INDEX(Classes!$C$6:$C$420,$M3777))</f>
        <v/>
      </c>
      <c r="F3777" s="63"/>
      <c r="G3777" s="63"/>
      <c r="H3777" s="60"/>
      <c r="I3777" s="60"/>
      <c r="J3777" s="63"/>
      <c r="K3777" s="61" t="str">
        <f aca="false">IF($P3777=0,"",IF($F3777="Baseline","— Baseline",IF($O3777=0,"No result",IF($N3777=0,"No Start (attainment only)",IF(OR($N3777=1,$O3777=1),"U – needs rule",INDEX(MxBody,MATCH($I3777,MxCurr,0),MATCH($H3777,MxStart,0)))))))</f>
        <v/>
      </c>
      <c r="L3777" s="62" t="str">
        <f aca="false">IF(COUNTA($A3777,$F3777,$G3777,$H3777,$I3777,$J3777)=0,"",IF($M3777=0,"✖ كود الصف غير موجود",IF(ISNA(MATCH($F3777,Lists!$A$2:$A$5,0)),"✖ الفترة غير صحيحة",IF(ISNA(MATCH($G3777,Lists!$B$2:$B$7,0)),"✖ المجموعة غير صحيحة",IF(NOT(OR($H3777="",$N3777&gt;0)),"✖ Start غير صحيح",IF(NOT(OR($I3777="",$I3777="NR",$O3777&gt;0)),"✖ Current غير صحيح",IF(NOT(IF(ISNUMBER($J3777),AND($J3777&gt;=0,$J3777=INT($J3777)),FALSE())),"✖ العدد يجب أن يكون صحيحًا ≥ 0",IF(AND($F3777="Baseline",$H3777&lt;&gt;""),"⚠ Baseline: Start لا يدخل في التقدم",IF($K3777="No Start (attainment only)","ℹ تحصيل فقط (بدون Start)",IF($K3777="U – needs rule","ℹ حالة U تحتاج قاعدة معتمدة",IF($K3777="No result","ℹ بدون نتيجة (يُستبعد من التحصيل)","OK")))))))))))</f>
        <v/>
      </c>
      <c r="M3777" s="64" t="n">
        <f aca="false">IF($A3777="",0,IFERROR(MATCH($A3777,Classes!$A$6:$A$420,0),0))</f>
        <v>0</v>
      </c>
      <c r="N3777" s="64" t="n">
        <f aca="false">IF($H3777="",0,IFERROR(MATCH($H3777,GradeList,0),0))</f>
        <v>0</v>
      </c>
      <c r="O3777" s="64" t="n">
        <f aca="false">IF(OR($I3777="",$I3777="NR"),0,IFERROR(MATCH($I3777,GradeList,0),0))</f>
        <v>0</v>
      </c>
      <c r="P3777" s="64" t="n">
        <f aca="false">IF(AND($M3777&gt;0,ISNUMBER(MATCH($F3777,Lists!$A$2:$A$5,0)),ISNUMBER(MATCH($G3777,Lists!$B$2:$B$7,0)),OR($H3777="",$N3777&gt;0),OR($I3777="",$I3777="NR",$O3777&gt;0),IF(ISNUMBER($J3777),AND($J3777&gt;=0,$J3777=INT($J3777)),FALSE())),$J3777,0)</f>
        <v>0</v>
      </c>
      <c r="Q3777" s="64" t="n">
        <f aca="false">IF(AND($P3777&gt;0,$O3777&gt;0),$P3777,0)</f>
        <v>0</v>
      </c>
      <c r="R3777" s="64" t="n">
        <f aca="false">IF(AND($Q3777&gt;0,$O3777&gt;=AtRank),$Q3777,0)</f>
        <v>0</v>
      </c>
      <c r="S3777" s="64" t="n">
        <f aca="false">IF(AND($Q3777&gt;0,$O3777&gt;=AboveRank),$Q3777,0)</f>
        <v>0</v>
      </c>
      <c r="T3777" s="64" t="n">
        <f aca="false">IF($K3777="Less",$P3777,0)</f>
        <v>0</v>
      </c>
      <c r="U3777" s="64" t="n">
        <f aca="false">IF($K3777="Expected",$P3777,0)</f>
        <v>0</v>
      </c>
      <c r="V3777" s="64" t="n">
        <f aca="false">IF($K3777="Better",$P3777,0)</f>
        <v>0</v>
      </c>
      <c r="W3777" s="64" t="n">
        <f aca="false">IF($K3777="U – needs rule",$P3777,0)</f>
        <v>0</v>
      </c>
      <c r="X3777" s="64" t="n">
        <f aca="false">IF($K3777="No Start (attainment only)",$P3777,0)</f>
        <v>0</v>
      </c>
    </row>
    <row r="3778" customFormat="false" ht="15" hidden="false" customHeight="false" outlineLevel="0" collapsed="false">
      <c r="A3778" s="60"/>
      <c r="B3778" s="61" t="str">
        <f aca="false">IF($M3778=0,"",INDEX(Classes!$E$6:$E$420,$M3778))</f>
        <v/>
      </c>
      <c r="C3778" s="62" t="str">
        <f aca="false">IF($M3778=0,"",INDEX(Classes!$H$6:$H$420,$M3778))</f>
        <v/>
      </c>
      <c r="D3778" s="61" t="str">
        <f aca="false">IF($M3778=0,"",INDEX(Classes!$B$6:$B$420,$M3778))</f>
        <v/>
      </c>
      <c r="E3778" s="61" t="str">
        <f aca="false">IF($M3778=0,"",INDEX(Classes!$C$6:$C$420,$M3778))</f>
        <v/>
      </c>
      <c r="F3778" s="63"/>
      <c r="G3778" s="63"/>
      <c r="H3778" s="60"/>
      <c r="I3778" s="60"/>
      <c r="J3778" s="63"/>
      <c r="K3778" s="61" t="str">
        <f aca="false">IF($P3778=0,"",IF($F3778="Baseline","— Baseline",IF($O3778=0,"No result",IF($N3778=0,"No Start (attainment only)",IF(OR($N3778=1,$O3778=1),"U – needs rule",INDEX(MxBody,MATCH($I3778,MxCurr,0),MATCH($H3778,MxStart,0)))))))</f>
        <v/>
      </c>
      <c r="L3778" s="62" t="str">
        <f aca="false">IF(COUNTA($A3778,$F3778,$G3778,$H3778,$I3778,$J3778)=0,"",IF($M3778=0,"✖ كود الصف غير موجود",IF(ISNA(MATCH($F3778,Lists!$A$2:$A$5,0)),"✖ الفترة غير صحيحة",IF(ISNA(MATCH($G3778,Lists!$B$2:$B$7,0)),"✖ المجموعة غير صحيحة",IF(NOT(OR($H3778="",$N3778&gt;0)),"✖ Start غير صحيح",IF(NOT(OR($I3778="",$I3778="NR",$O3778&gt;0)),"✖ Current غير صحيح",IF(NOT(IF(ISNUMBER($J3778),AND($J3778&gt;=0,$J3778=INT($J3778)),FALSE())),"✖ العدد يجب أن يكون صحيحًا ≥ 0",IF(AND($F3778="Baseline",$H3778&lt;&gt;""),"⚠ Baseline: Start لا يدخل في التقدم",IF($K3778="No Start (attainment only)","ℹ تحصيل فقط (بدون Start)",IF($K3778="U – needs rule","ℹ حالة U تحتاج قاعدة معتمدة",IF($K3778="No result","ℹ بدون نتيجة (يُستبعد من التحصيل)","OK")))))))))))</f>
        <v/>
      </c>
      <c r="M3778" s="64" t="n">
        <f aca="false">IF($A3778="",0,IFERROR(MATCH($A3778,Classes!$A$6:$A$420,0),0))</f>
        <v>0</v>
      </c>
      <c r="N3778" s="64" t="n">
        <f aca="false">IF($H3778="",0,IFERROR(MATCH($H3778,GradeList,0),0))</f>
        <v>0</v>
      </c>
      <c r="O3778" s="64" t="n">
        <f aca="false">IF(OR($I3778="",$I3778="NR"),0,IFERROR(MATCH($I3778,GradeList,0),0))</f>
        <v>0</v>
      </c>
      <c r="P3778" s="64" t="n">
        <f aca="false">IF(AND($M3778&gt;0,ISNUMBER(MATCH($F3778,Lists!$A$2:$A$5,0)),ISNUMBER(MATCH($G3778,Lists!$B$2:$B$7,0)),OR($H3778="",$N3778&gt;0),OR($I3778="",$I3778="NR",$O3778&gt;0),IF(ISNUMBER($J3778),AND($J3778&gt;=0,$J3778=INT($J3778)),FALSE())),$J3778,0)</f>
        <v>0</v>
      </c>
      <c r="Q3778" s="64" t="n">
        <f aca="false">IF(AND($P3778&gt;0,$O3778&gt;0),$P3778,0)</f>
        <v>0</v>
      </c>
      <c r="R3778" s="64" t="n">
        <f aca="false">IF(AND($Q3778&gt;0,$O3778&gt;=AtRank),$Q3778,0)</f>
        <v>0</v>
      </c>
      <c r="S3778" s="64" t="n">
        <f aca="false">IF(AND($Q3778&gt;0,$O3778&gt;=AboveRank),$Q3778,0)</f>
        <v>0</v>
      </c>
      <c r="T3778" s="64" t="n">
        <f aca="false">IF($K3778="Less",$P3778,0)</f>
        <v>0</v>
      </c>
      <c r="U3778" s="64" t="n">
        <f aca="false">IF($K3778="Expected",$P3778,0)</f>
        <v>0</v>
      </c>
      <c r="V3778" s="64" t="n">
        <f aca="false">IF($K3778="Better",$P3778,0)</f>
        <v>0</v>
      </c>
      <c r="W3778" s="64" t="n">
        <f aca="false">IF($K3778="U – needs rule",$P3778,0)</f>
        <v>0</v>
      </c>
      <c r="X3778" s="64" t="n">
        <f aca="false">IF($K3778="No Start (attainment only)",$P3778,0)</f>
        <v>0</v>
      </c>
    </row>
    <row r="3779" customFormat="false" ht="15" hidden="false" customHeight="false" outlineLevel="0" collapsed="false">
      <c r="A3779" s="60"/>
      <c r="B3779" s="61" t="str">
        <f aca="false">IF($M3779=0,"",INDEX(Classes!$E$6:$E$420,$M3779))</f>
        <v/>
      </c>
      <c r="C3779" s="62" t="str">
        <f aca="false">IF($M3779=0,"",INDEX(Classes!$H$6:$H$420,$M3779))</f>
        <v/>
      </c>
      <c r="D3779" s="61" t="str">
        <f aca="false">IF($M3779=0,"",INDEX(Classes!$B$6:$B$420,$M3779))</f>
        <v/>
      </c>
      <c r="E3779" s="61" t="str">
        <f aca="false">IF($M3779=0,"",INDEX(Classes!$C$6:$C$420,$M3779))</f>
        <v/>
      </c>
      <c r="F3779" s="63"/>
      <c r="G3779" s="63"/>
      <c r="H3779" s="60"/>
      <c r="I3779" s="60"/>
      <c r="J3779" s="63"/>
      <c r="K3779" s="61" t="str">
        <f aca="false">IF($P3779=0,"",IF($F3779="Baseline","— Baseline",IF($O3779=0,"No result",IF($N3779=0,"No Start (attainment only)",IF(OR($N3779=1,$O3779=1),"U – needs rule",INDEX(MxBody,MATCH($I3779,MxCurr,0),MATCH($H3779,MxStart,0)))))))</f>
        <v/>
      </c>
      <c r="L3779" s="62" t="str">
        <f aca="false">IF(COUNTA($A3779,$F3779,$G3779,$H3779,$I3779,$J3779)=0,"",IF($M3779=0,"✖ كود الصف غير موجود",IF(ISNA(MATCH($F3779,Lists!$A$2:$A$5,0)),"✖ الفترة غير صحيحة",IF(ISNA(MATCH($G3779,Lists!$B$2:$B$7,0)),"✖ المجموعة غير صحيحة",IF(NOT(OR($H3779="",$N3779&gt;0)),"✖ Start غير صحيح",IF(NOT(OR($I3779="",$I3779="NR",$O3779&gt;0)),"✖ Current غير صحيح",IF(NOT(IF(ISNUMBER($J3779),AND($J3779&gt;=0,$J3779=INT($J3779)),FALSE())),"✖ العدد يجب أن يكون صحيحًا ≥ 0",IF(AND($F3779="Baseline",$H3779&lt;&gt;""),"⚠ Baseline: Start لا يدخل في التقدم",IF($K3779="No Start (attainment only)","ℹ تحصيل فقط (بدون Start)",IF($K3779="U – needs rule","ℹ حالة U تحتاج قاعدة معتمدة",IF($K3779="No result","ℹ بدون نتيجة (يُستبعد من التحصيل)","OK")))))))))))</f>
        <v/>
      </c>
      <c r="M3779" s="64" t="n">
        <f aca="false">IF($A3779="",0,IFERROR(MATCH($A3779,Classes!$A$6:$A$420,0),0))</f>
        <v>0</v>
      </c>
      <c r="N3779" s="64" t="n">
        <f aca="false">IF($H3779="",0,IFERROR(MATCH($H3779,GradeList,0),0))</f>
        <v>0</v>
      </c>
      <c r="O3779" s="64" t="n">
        <f aca="false">IF(OR($I3779="",$I3779="NR"),0,IFERROR(MATCH($I3779,GradeList,0),0))</f>
        <v>0</v>
      </c>
      <c r="P3779" s="64" t="n">
        <f aca="false">IF(AND($M3779&gt;0,ISNUMBER(MATCH($F3779,Lists!$A$2:$A$5,0)),ISNUMBER(MATCH($G3779,Lists!$B$2:$B$7,0)),OR($H3779="",$N3779&gt;0),OR($I3779="",$I3779="NR",$O3779&gt;0),IF(ISNUMBER($J3779),AND($J3779&gt;=0,$J3779=INT($J3779)),FALSE())),$J3779,0)</f>
        <v>0</v>
      </c>
      <c r="Q3779" s="64" t="n">
        <f aca="false">IF(AND($P3779&gt;0,$O3779&gt;0),$P3779,0)</f>
        <v>0</v>
      </c>
      <c r="R3779" s="64" t="n">
        <f aca="false">IF(AND($Q3779&gt;0,$O3779&gt;=AtRank),$Q3779,0)</f>
        <v>0</v>
      </c>
      <c r="S3779" s="64" t="n">
        <f aca="false">IF(AND($Q3779&gt;0,$O3779&gt;=AboveRank),$Q3779,0)</f>
        <v>0</v>
      </c>
      <c r="T3779" s="64" t="n">
        <f aca="false">IF($K3779="Less",$P3779,0)</f>
        <v>0</v>
      </c>
      <c r="U3779" s="64" t="n">
        <f aca="false">IF($K3779="Expected",$P3779,0)</f>
        <v>0</v>
      </c>
      <c r="V3779" s="64" t="n">
        <f aca="false">IF($K3779="Better",$P3779,0)</f>
        <v>0</v>
      </c>
      <c r="W3779" s="64" t="n">
        <f aca="false">IF($K3779="U – needs rule",$P3779,0)</f>
        <v>0</v>
      </c>
      <c r="X3779" s="64" t="n">
        <f aca="false">IF($K3779="No Start (attainment only)",$P3779,0)</f>
        <v>0</v>
      </c>
    </row>
    <row r="3780" customFormat="false" ht="15" hidden="false" customHeight="false" outlineLevel="0" collapsed="false">
      <c r="A3780" s="60"/>
      <c r="B3780" s="61" t="str">
        <f aca="false">IF($M3780=0,"",INDEX(Classes!$E$6:$E$420,$M3780))</f>
        <v/>
      </c>
      <c r="C3780" s="62" t="str">
        <f aca="false">IF($M3780=0,"",INDEX(Classes!$H$6:$H$420,$M3780))</f>
        <v/>
      </c>
      <c r="D3780" s="61" t="str">
        <f aca="false">IF($M3780=0,"",INDEX(Classes!$B$6:$B$420,$M3780))</f>
        <v/>
      </c>
      <c r="E3780" s="61" t="str">
        <f aca="false">IF($M3780=0,"",INDEX(Classes!$C$6:$C$420,$M3780))</f>
        <v/>
      </c>
      <c r="F3780" s="63"/>
      <c r="G3780" s="63"/>
      <c r="H3780" s="60"/>
      <c r="I3780" s="60"/>
      <c r="J3780" s="63"/>
      <c r="K3780" s="61" t="str">
        <f aca="false">IF($P3780=0,"",IF($F3780="Baseline","— Baseline",IF($O3780=0,"No result",IF($N3780=0,"No Start (attainment only)",IF(OR($N3780=1,$O3780=1),"U – needs rule",INDEX(MxBody,MATCH($I3780,MxCurr,0),MATCH($H3780,MxStart,0)))))))</f>
        <v/>
      </c>
      <c r="L3780" s="62" t="str">
        <f aca="false">IF(COUNTA($A3780,$F3780,$G3780,$H3780,$I3780,$J3780)=0,"",IF($M3780=0,"✖ كود الصف غير موجود",IF(ISNA(MATCH($F3780,Lists!$A$2:$A$5,0)),"✖ الفترة غير صحيحة",IF(ISNA(MATCH($G3780,Lists!$B$2:$B$7,0)),"✖ المجموعة غير صحيحة",IF(NOT(OR($H3780="",$N3780&gt;0)),"✖ Start غير صحيح",IF(NOT(OR($I3780="",$I3780="NR",$O3780&gt;0)),"✖ Current غير صحيح",IF(NOT(IF(ISNUMBER($J3780),AND($J3780&gt;=0,$J3780=INT($J3780)),FALSE())),"✖ العدد يجب أن يكون صحيحًا ≥ 0",IF(AND($F3780="Baseline",$H3780&lt;&gt;""),"⚠ Baseline: Start لا يدخل في التقدم",IF($K3780="No Start (attainment only)","ℹ تحصيل فقط (بدون Start)",IF($K3780="U – needs rule","ℹ حالة U تحتاج قاعدة معتمدة",IF($K3780="No result","ℹ بدون نتيجة (يُستبعد من التحصيل)","OK")))))))))))</f>
        <v/>
      </c>
      <c r="M3780" s="64" t="n">
        <f aca="false">IF($A3780="",0,IFERROR(MATCH($A3780,Classes!$A$6:$A$420,0),0))</f>
        <v>0</v>
      </c>
      <c r="N3780" s="64" t="n">
        <f aca="false">IF($H3780="",0,IFERROR(MATCH($H3780,GradeList,0),0))</f>
        <v>0</v>
      </c>
      <c r="O3780" s="64" t="n">
        <f aca="false">IF(OR($I3780="",$I3780="NR"),0,IFERROR(MATCH($I3780,GradeList,0),0))</f>
        <v>0</v>
      </c>
      <c r="P3780" s="64" t="n">
        <f aca="false">IF(AND($M3780&gt;0,ISNUMBER(MATCH($F3780,Lists!$A$2:$A$5,0)),ISNUMBER(MATCH($G3780,Lists!$B$2:$B$7,0)),OR($H3780="",$N3780&gt;0),OR($I3780="",$I3780="NR",$O3780&gt;0),IF(ISNUMBER($J3780),AND($J3780&gt;=0,$J3780=INT($J3780)),FALSE())),$J3780,0)</f>
        <v>0</v>
      </c>
      <c r="Q3780" s="64" t="n">
        <f aca="false">IF(AND($P3780&gt;0,$O3780&gt;0),$P3780,0)</f>
        <v>0</v>
      </c>
      <c r="R3780" s="64" t="n">
        <f aca="false">IF(AND($Q3780&gt;0,$O3780&gt;=AtRank),$Q3780,0)</f>
        <v>0</v>
      </c>
      <c r="S3780" s="64" t="n">
        <f aca="false">IF(AND($Q3780&gt;0,$O3780&gt;=AboveRank),$Q3780,0)</f>
        <v>0</v>
      </c>
      <c r="T3780" s="64" t="n">
        <f aca="false">IF($K3780="Less",$P3780,0)</f>
        <v>0</v>
      </c>
      <c r="U3780" s="64" t="n">
        <f aca="false">IF($K3780="Expected",$P3780,0)</f>
        <v>0</v>
      </c>
      <c r="V3780" s="64" t="n">
        <f aca="false">IF($K3780="Better",$P3780,0)</f>
        <v>0</v>
      </c>
      <c r="W3780" s="64" t="n">
        <f aca="false">IF($K3780="U – needs rule",$P3780,0)</f>
        <v>0</v>
      </c>
      <c r="X3780" s="64" t="n">
        <f aca="false">IF($K3780="No Start (attainment only)",$P3780,0)</f>
        <v>0</v>
      </c>
    </row>
    <row r="3781" customFormat="false" ht="15" hidden="false" customHeight="false" outlineLevel="0" collapsed="false">
      <c r="A3781" s="60"/>
      <c r="B3781" s="61" t="str">
        <f aca="false">IF($M3781=0,"",INDEX(Classes!$E$6:$E$420,$M3781))</f>
        <v/>
      </c>
      <c r="C3781" s="62" t="str">
        <f aca="false">IF($M3781=0,"",INDEX(Classes!$H$6:$H$420,$M3781))</f>
        <v/>
      </c>
      <c r="D3781" s="61" t="str">
        <f aca="false">IF($M3781=0,"",INDEX(Classes!$B$6:$B$420,$M3781))</f>
        <v/>
      </c>
      <c r="E3781" s="61" t="str">
        <f aca="false">IF($M3781=0,"",INDEX(Classes!$C$6:$C$420,$M3781))</f>
        <v/>
      </c>
      <c r="F3781" s="63"/>
      <c r="G3781" s="63"/>
      <c r="H3781" s="60"/>
      <c r="I3781" s="60"/>
      <c r="J3781" s="63"/>
      <c r="K3781" s="61" t="str">
        <f aca="false">IF($P3781=0,"",IF($F3781="Baseline","— Baseline",IF($O3781=0,"No result",IF($N3781=0,"No Start (attainment only)",IF(OR($N3781=1,$O3781=1),"U – needs rule",INDEX(MxBody,MATCH($I3781,MxCurr,0),MATCH($H3781,MxStart,0)))))))</f>
        <v/>
      </c>
      <c r="L3781" s="62" t="str">
        <f aca="false">IF(COUNTA($A3781,$F3781,$G3781,$H3781,$I3781,$J3781)=0,"",IF($M3781=0,"✖ كود الصف غير موجود",IF(ISNA(MATCH($F3781,Lists!$A$2:$A$5,0)),"✖ الفترة غير صحيحة",IF(ISNA(MATCH($G3781,Lists!$B$2:$B$7,0)),"✖ المجموعة غير صحيحة",IF(NOT(OR($H3781="",$N3781&gt;0)),"✖ Start غير صحيح",IF(NOT(OR($I3781="",$I3781="NR",$O3781&gt;0)),"✖ Current غير صحيح",IF(NOT(IF(ISNUMBER($J3781),AND($J3781&gt;=0,$J3781=INT($J3781)),FALSE())),"✖ العدد يجب أن يكون صحيحًا ≥ 0",IF(AND($F3781="Baseline",$H3781&lt;&gt;""),"⚠ Baseline: Start لا يدخل في التقدم",IF($K3781="No Start (attainment only)","ℹ تحصيل فقط (بدون Start)",IF($K3781="U – needs rule","ℹ حالة U تحتاج قاعدة معتمدة",IF($K3781="No result","ℹ بدون نتيجة (يُستبعد من التحصيل)","OK")))))))))))</f>
        <v/>
      </c>
      <c r="M3781" s="64" t="n">
        <f aca="false">IF($A3781="",0,IFERROR(MATCH($A3781,Classes!$A$6:$A$420,0),0))</f>
        <v>0</v>
      </c>
      <c r="N3781" s="64" t="n">
        <f aca="false">IF($H3781="",0,IFERROR(MATCH($H3781,GradeList,0),0))</f>
        <v>0</v>
      </c>
      <c r="O3781" s="64" t="n">
        <f aca="false">IF(OR($I3781="",$I3781="NR"),0,IFERROR(MATCH($I3781,GradeList,0),0))</f>
        <v>0</v>
      </c>
      <c r="P3781" s="64" t="n">
        <f aca="false">IF(AND($M3781&gt;0,ISNUMBER(MATCH($F3781,Lists!$A$2:$A$5,0)),ISNUMBER(MATCH($G3781,Lists!$B$2:$B$7,0)),OR($H3781="",$N3781&gt;0),OR($I3781="",$I3781="NR",$O3781&gt;0),IF(ISNUMBER($J3781),AND($J3781&gt;=0,$J3781=INT($J3781)),FALSE())),$J3781,0)</f>
        <v>0</v>
      </c>
      <c r="Q3781" s="64" t="n">
        <f aca="false">IF(AND($P3781&gt;0,$O3781&gt;0),$P3781,0)</f>
        <v>0</v>
      </c>
      <c r="R3781" s="64" t="n">
        <f aca="false">IF(AND($Q3781&gt;0,$O3781&gt;=AtRank),$Q3781,0)</f>
        <v>0</v>
      </c>
      <c r="S3781" s="64" t="n">
        <f aca="false">IF(AND($Q3781&gt;0,$O3781&gt;=AboveRank),$Q3781,0)</f>
        <v>0</v>
      </c>
      <c r="T3781" s="64" t="n">
        <f aca="false">IF($K3781="Less",$P3781,0)</f>
        <v>0</v>
      </c>
      <c r="U3781" s="64" t="n">
        <f aca="false">IF($K3781="Expected",$P3781,0)</f>
        <v>0</v>
      </c>
      <c r="V3781" s="64" t="n">
        <f aca="false">IF($K3781="Better",$P3781,0)</f>
        <v>0</v>
      </c>
      <c r="W3781" s="64" t="n">
        <f aca="false">IF($K3781="U – needs rule",$P3781,0)</f>
        <v>0</v>
      </c>
      <c r="X3781" s="64" t="n">
        <f aca="false">IF($K3781="No Start (attainment only)",$P3781,0)</f>
        <v>0</v>
      </c>
    </row>
    <row r="3782" customFormat="false" ht="15" hidden="false" customHeight="false" outlineLevel="0" collapsed="false">
      <c r="A3782" s="60"/>
      <c r="B3782" s="61" t="str">
        <f aca="false">IF($M3782=0,"",INDEX(Classes!$E$6:$E$420,$M3782))</f>
        <v/>
      </c>
      <c r="C3782" s="62" t="str">
        <f aca="false">IF($M3782=0,"",INDEX(Classes!$H$6:$H$420,$M3782))</f>
        <v/>
      </c>
      <c r="D3782" s="61" t="str">
        <f aca="false">IF($M3782=0,"",INDEX(Classes!$B$6:$B$420,$M3782))</f>
        <v/>
      </c>
      <c r="E3782" s="61" t="str">
        <f aca="false">IF($M3782=0,"",INDEX(Classes!$C$6:$C$420,$M3782))</f>
        <v/>
      </c>
      <c r="F3782" s="63"/>
      <c r="G3782" s="63"/>
      <c r="H3782" s="60"/>
      <c r="I3782" s="60"/>
      <c r="J3782" s="63"/>
      <c r="K3782" s="61" t="str">
        <f aca="false">IF($P3782=0,"",IF($F3782="Baseline","— Baseline",IF($O3782=0,"No result",IF($N3782=0,"No Start (attainment only)",IF(OR($N3782=1,$O3782=1),"U – needs rule",INDEX(MxBody,MATCH($I3782,MxCurr,0),MATCH($H3782,MxStart,0)))))))</f>
        <v/>
      </c>
      <c r="L3782" s="62" t="str">
        <f aca="false">IF(COUNTA($A3782,$F3782,$G3782,$H3782,$I3782,$J3782)=0,"",IF($M3782=0,"✖ كود الصف غير موجود",IF(ISNA(MATCH($F3782,Lists!$A$2:$A$5,0)),"✖ الفترة غير صحيحة",IF(ISNA(MATCH($G3782,Lists!$B$2:$B$7,0)),"✖ المجموعة غير صحيحة",IF(NOT(OR($H3782="",$N3782&gt;0)),"✖ Start غير صحيح",IF(NOT(OR($I3782="",$I3782="NR",$O3782&gt;0)),"✖ Current غير صحيح",IF(NOT(IF(ISNUMBER($J3782),AND($J3782&gt;=0,$J3782=INT($J3782)),FALSE())),"✖ العدد يجب أن يكون صحيحًا ≥ 0",IF(AND($F3782="Baseline",$H3782&lt;&gt;""),"⚠ Baseline: Start لا يدخل في التقدم",IF($K3782="No Start (attainment only)","ℹ تحصيل فقط (بدون Start)",IF($K3782="U – needs rule","ℹ حالة U تحتاج قاعدة معتمدة",IF($K3782="No result","ℹ بدون نتيجة (يُستبعد من التحصيل)","OK")))))))))))</f>
        <v/>
      </c>
      <c r="M3782" s="64" t="n">
        <f aca="false">IF($A3782="",0,IFERROR(MATCH($A3782,Classes!$A$6:$A$420,0),0))</f>
        <v>0</v>
      </c>
      <c r="N3782" s="64" t="n">
        <f aca="false">IF($H3782="",0,IFERROR(MATCH($H3782,GradeList,0),0))</f>
        <v>0</v>
      </c>
      <c r="O3782" s="64" t="n">
        <f aca="false">IF(OR($I3782="",$I3782="NR"),0,IFERROR(MATCH($I3782,GradeList,0),0))</f>
        <v>0</v>
      </c>
      <c r="P3782" s="64" t="n">
        <f aca="false">IF(AND($M3782&gt;0,ISNUMBER(MATCH($F3782,Lists!$A$2:$A$5,0)),ISNUMBER(MATCH($G3782,Lists!$B$2:$B$7,0)),OR($H3782="",$N3782&gt;0),OR($I3782="",$I3782="NR",$O3782&gt;0),IF(ISNUMBER($J3782),AND($J3782&gt;=0,$J3782=INT($J3782)),FALSE())),$J3782,0)</f>
        <v>0</v>
      </c>
      <c r="Q3782" s="64" t="n">
        <f aca="false">IF(AND($P3782&gt;0,$O3782&gt;0),$P3782,0)</f>
        <v>0</v>
      </c>
      <c r="R3782" s="64" t="n">
        <f aca="false">IF(AND($Q3782&gt;0,$O3782&gt;=AtRank),$Q3782,0)</f>
        <v>0</v>
      </c>
      <c r="S3782" s="64" t="n">
        <f aca="false">IF(AND($Q3782&gt;0,$O3782&gt;=AboveRank),$Q3782,0)</f>
        <v>0</v>
      </c>
      <c r="T3782" s="64" t="n">
        <f aca="false">IF($K3782="Less",$P3782,0)</f>
        <v>0</v>
      </c>
      <c r="U3782" s="64" t="n">
        <f aca="false">IF($K3782="Expected",$P3782,0)</f>
        <v>0</v>
      </c>
      <c r="V3782" s="64" t="n">
        <f aca="false">IF($K3782="Better",$P3782,0)</f>
        <v>0</v>
      </c>
      <c r="W3782" s="64" t="n">
        <f aca="false">IF($K3782="U – needs rule",$P3782,0)</f>
        <v>0</v>
      </c>
      <c r="X3782" s="64" t="n">
        <f aca="false">IF($K3782="No Start (attainment only)",$P3782,0)</f>
        <v>0</v>
      </c>
    </row>
    <row r="3783" customFormat="false" ht="15" hidden="false" customHeight="false" outlineLevel="0" collapsed="false">
      <c r="A3783" s="60"/>
      <c r="B3783" s="61" t="str">
        <f aca="false">IF($M3783=0,"",INDEX(Classes!$E$6:$E$420,$M3783))</f>
        <v/>
      </c>
      <c r="C3783" s="62" t="str">
        <f aca="false">IF($M3783=0,"",INDEX(Classes!$H$6:$H$420,$M3783))</f>
        <v/>
      </c>
      <c r="D3783" s="61" t="str">
        <f aca="false">IF($M3783=0,"",INDEX(Classes!$B$6:$B$420,$M3783))</f>
        <v/>
      </c>
      <c r="E3783" s="61" t="str">
        <f aca="false">IF($M3783=0,"",INDEX(Classes!$C$6:$C$420,$M3783))</f>
        <v/>
      </c>
      <c r="F3783" s="63"/>
      <c r="G3783" s="63"/>
      <c r="H3783" s="60"/>
      <c r="I3783" s="60"/>
      <c r="J3783" s="63"/>
      <c r="K3783" s="61" t="str">
        <f aca="false">IF($P3783=0,"",IF($F3783="Baseline","— Baseline",IF($O3783=0,"No result",IF($N3783=0,"No Start (attainment only)",IF(OR($N3783=1,$O3783=1),"U – needs rule",INDEX(MxBody,MATCH($I3783,MxCurr,0),MATCH($H3783,MxStart,0)))))))</f>
        <v/>
      </c>
      <c r="L3783" s="62" t="str">
        <f aca="false">IF(COUNTA($A3783,$F3783,$G3783,$H3783,$I3783,$J3783)=0,"",IF($M3783=0,"✖ كود الصف غير موجود",IF(ISNA(MATCH($F3783,Lists!$A$2:$A$5,0)),"✖ الفترة غير صحيحة",IF(ISNA(MATCH($G3783,Lists!$B$2:$B$7,0)),"✖ المجموعة غير صحيحة",IF(NOT(OR($H3783="",$N3783&gt;0)),"✖ Start غير صحيح",IF(NOT(OR($I3783="",$I3783="NR",$O3783&gt;0)),"✖ Current غير صحيح",IF(NOT(IF(ISNUMBER($J3783),AND($J3783&gt;=0,$J3783=INT($J3783)),FALSE())),"✖ العدد يجب أن يكون صحيحًا ≥ 0",IF(AND($F3783="Baseline",$H3783&lt;&gt;""),"⚠ Baseline: Start لا يدخل في التقدم",IF($K3783="No Start (attainment only)","ℹ تحصيل فقط (بدون Start)",IF($K3783="U – needs rule","ℹ حالة U تحتاج قاعدة معتمدة",IF($K3783="No result","ℹ بدون نتيجة (يُستبعد من التحصيل)","OK")))))))))))</f>
        <v/>
      </c>
      <c r="M3783" s="64" t="n">
        <f aca="false">IF($A3783="",0,IFERROR(MATCH($A3783,Classes!$A$6:$A$420,0),0))</f>
        <v>0</v>
      </c>
      <c r="N3783" s="64" t="n">
        <f aca="false">IF($H3783="",0,IFERROR(MATCH($H3783,GradeList,0),0))</f>
        <v>0</v>
      </c>
      <c r="O3783" s="64" t="n">
        <f aca="false">IF(OR($I3783="",$I3783="NR"),0,IFERROR(MATCH($I3783,GradeList,0),0))</f>
        <v>0</v>
      </c>
      <c r="P3783" s="64" t="n">
        <f aca="false">IF(AND($M3783&gt;0,ISNUMBER(MATCH($F3783,Lists!$A$2:$A$5,0)),ISNUMBER(MATCH($G3783,Lists!$B$2:$B$7,0)),OR($H3783="",$N3783&gt;0),OR($I3783="",$I3783="NR",$O3783&gt;0),IF(ISNUMBER($J3783),AND($J3783&gt;=0,$J3783=INT($J3783)),FALSE())),$J3783,0)</f>
        <v>0</v>
      </c>
      <c r="Q3783" s="64" t="n">
        <f aca="false">IF(AND($P3783&gt;0,$O3783&gt;0),$P3783,0)</f>
        <v>0</v>
      </c>
      <c r="R3783" s="64" t="n">
        <f aca="false">IF(AND($Q3783&gt;0,$O3783&gt;=AtRank),$Q3783,0)</f>
        <v>0</v>
      </c>
      <c r="S3783" s="64" t="n">
        <f aca="false">IF(AND($Q3783&gt;0,$O3783&gt;=AboveRank),$Q3783,0)</f>
        <v>0</v>
      </c>
      <c r="T3783" s="64" t="n">
        <f aca="false">IF($K3783="Less",$P3783,0)</f>
        <v>0</v>
      </c>
      <c r="U3783" s="64" t="n">
        <f aca="false">IF($K3783="Expected",$P3783,0)</f>
        <v>0</v>
      </c>
      <c r="V3783" s="64" t="n">
        <f aca="false">IF($K3783="Better",$P3783,0)</f>
        <v>0</v>
      </c>
      <c r="W3783" s="64" t="n">
        <f aca="false">IF($K3783="U – needs rule",$P3783,0)</f>
        <v>0</v>
      </c>
      <c r="X3783" s="64" t="n">
        <f aca="false">IF($K3783="No Start (attainment only)",$P3783,0)</f>
        <v>0</v>
      </c>
    </row>
    <row r="3784" customFormat="false" ht="15" hidden="false" customHeight="false" outlineLevel="0" collapsed="false">
      <c r="A3784" s="60"/>
      <c r="B3784" s="61" t="str">
        <f aca="false">IF($M3784=0,"",INDEX(Classes!$E$6:$E$420,$M3784))</f>
        <v/>
      </c>
      <c r="C3784" s="62" t="str">
        <f aca="false">IF($M3784=0,"",INDEX(Classes!$H$6:$H$420,$M3784))</f>
        <v/>
      </c>
      <c r="D3784" s="61" t="str">
        <f aca="false">IF($M3784=0,"",INDEX(Classes!$B$6:$B$420,$M3784))</f>
        <v/>
      </c>
      <c r="E3784" s="61" t="str">
        <f aca="false">IF($M3784=0,"",INDEX(Classes!$C$6:$C$420,$M3784))</f>
        <v/>
      </c>
      <c r="F3784" s="63"/>
      <c r="G3784" s="63"/>
      <c r="H3784" s="60"/>
      <c r="I3784" s="60"/>
      <c r="J3784" s="63"/>
      <c r="K3784" s="61" t="str">
        <f aca="false">IF($P3784=0,"",IF($F3784="Baseline","— Baseline",IF($O3784=0,"No result",IF($N3784=0,"No Start (attainment only)",IF(OR($N3784=1,$O3784=1),"U – needs rule",INDEX(MxBody,MATCH($I3784,MxCurr,0),MATCH($H3784,MxStart,0)))))))</f>
        <v/>
      </c>
      <c r="L3784" s="62" t="str">
        <f aca="false">IF(COUNTA($A3784,$F3784,$G3784,$H3784,$I3784,$J3784)=0,"",IF($M3784=0,"✖ كود الصف غير موجود",IF(ISNA(MATCH($F3784,Lists!$A$2:$A$5,0)),"✖ الفترة غير صحيحة",IF(ISNA(MATCH($G3784,Lists!$B$2:$B$7,0)),"✖ المجموعة غير صحيحة",IF(NOT(OR($H3784="",$N3784&gt;0)),"✖ Start غير صحيح",IF(NOT(OR($I3784="",$I3784="NR",$O3784&gt;0)),"✖ Current غير صحيح",IF(NOT(IF(ISNUMBER($J3784),AND($J3784&gt;=0,$J3784=INT($J3784)),FALSE())),"✖ العدد يجب أن يكون صحيحًا ≥ 0",IF(AND($F3784="Baseline",$H3784&lt;&gt;""),"⚠ Baseline: Start لا يدخل في التقدم",IF($K3784="No Start (attainment only)","ℹ تحصيل فقط (بدون Start)",IF($K3784="U – needs rule","ℹ حالة U تحتاج قاعدة معتمدة",IF($K3784="No result","ℹ بدون نتيجة (يُستبعد من التحصيل)","OK")))))))))))</f>
        <v/>
      </c>
      <c r="M3784" s="64" t="n">
        <f aca="false">IF($A3784="",0,IFERROR(MATCH($A3784,Classes!$A$6:$A$420,0),0))</f>
        <v>0</v>
      </c>
      <c r="N3784" s="64" t="n">
        <f aca="false">IF($H3784="",0,IFERROR(MATCH($H3784,GradeList,0),0))</f>
        <v>0</v>
      </c>
      <c r="O3784" s="64" t="n">
        <f aca="false">IF(OR($I3784="",$I3784="NR"),0,IFERROR(MATCH($I3784,GradeList,0),0))</f>
        <v>0</v>
      </c>
      <c r="P3784" s="64" t="n">
        <f aca="false">IF(AND($M3784&gt;0,ISNUMBER(MATCH($F3784,Lists!$A$2:$A$5,0)),ISNUMBER(MATCH($G3784,Lists!$B$2:$B$7,0)),OR($H3784="",$N3784&gt;0),OR($I3784="",$I3784="NR",$O3784&gt;0),IF(ISNUMBER($J3784),AND($J3784&gt;=0,$J3784=INT($J3784)),FALSE())),$J3784,0)</f>
        <v>0</v>
      </c>
      <c r="Q3784" s="64" t="n">
        <f aca="false">IF(AND($P3784&gt;0,$O3784&gt;0),$P3784,0)</f>
        <v>0</v>
      </c>
      <c r="R3784" s="64" t="n">
        <f aca="false">IF(AND($Q3784&gt;0,$O3784&gt;=AtRank),$Q3784,0)</f>
        <v>0</v>
      </c>
      <c r="S3784" s="64" t="n">
        <f aca="false">IF(AND($Q3784&gt;0,$O3784&gt;=AboveRank),$Q3784,0)</f>
        <v>0</v>
      </c>
      <c r="T3784" s="64" t="n">
        <f aca="false">IF($K3784="Less",$P3784,0)</f>
        <v>0</v>
      </c>
      <c r="U3784" s="64" t="n">
        <f aca="false">IF($K3784="Expected",$P3784,0)</f>
        <v>0</v>
      </c>
      <c r="V3784" s="64" t="n">
        <f aca="false">IF($K3784="Better",$P3784,0)</f>
        <v>0</v>
      </c>
      <c r="W3784" s="64" t="n">
        <f aca="false">IF($K3784="U – needs rule",$P3784,0)</f>
        <v>0</v>
      </c>
      <c r="X3784" s="64" t="n">
        <f aca="false">IF($K3784="No Start (attainment only)",$P3784,0)</f>
        <v>0</v>
      </c>
    </row>
    <row r="3785" customFormat="false" ht="15" hidden="false" customHeight="false" outlineLevel="0" collapsed="false">
      <c r="A3785" s="60"/>
      <c r="B3785" s="61" t="str">
        <f aca="false">IF($M3785=0,"",INDEX(Classes!$E$6:$E$420,$M3785))</f>
        <v/>
      </c>
      <c r="C3785" s="62" t="str">
        <f aca="false">IF($M3785=0,"",INDEX(Classes!$H$6:$H$420,$M3785))</f>
        <v/>
      </c>
      <c r="D3785" s="61" t="str">
        <f aca="false">IF($M3785=0,"",INDEX(Classes!$B$6:$B$420,$M3785))</f>
        <v/>
      </c>
      <c r="E3785" s="61" t="str">
        <f aca="false">IF($M3785=0,"",INDEX(Classes!$C$6:$C$420,$M3785))</f>
        <v/>
      </c>
      <c r="F3785" s="63"/>
      <c r="G3785" s="63"/>
      <c r="H3785" s="60"/>
      <c r="I3785" s="60"/>
      <c r="J3785" s="63"/>
      <c r="K3785" s="61" t="str">
        <f aca="false">IF($P3785=0,"",IF($F3785="Baseline","— Baseline",IF($O3785=0,"No result",IF($N3785=0,"No Start (attainment only)",IF(OR($N3785=1,$O3785=1),"U – needs rule",INDEX(MxBody,MATCH($I3785,MxCurr,0),MATCH($H3785,MxStart,0)))))))</f>
        <v/>
      </c>
      <c r="L3785" s="62" t="str">
        <f aca="false">IF(COUNTA($A3785,$F3785,$G3785,$H3785,$I3785,$J3785)=0,"",IF($M3785=0,"✖ كود الصف غير موجود",IF(ISNA(MATCH($F3785,Lists!$A$2:$A$5,0)),"✖ الفترة غير صحيحة",IF(ISNA(MATCH($G3785,Lists!$B$2:$B$7,0)),"✖ المجموعة غير صحيحة",IF(NOT(OR($H3785="",$N3785&gt;0)),"✖ Start غير صحيح",IF(NOT(OR($I3785="",$I3785="NR",$O3785&gt;0)),"✖ Current غير صحيح",IF(NOT(IF(ISNUMBER($J3785),AND($J3785&gt;=0,$J3785=INT($J3785)),FALSE())),"✖ العدد يجب أن يكون صحيحًا ≥ 0",IF(AND($F3785="Baseline",$H3785&lt;&gt;""),"⚠ Baseline: Start لا يدخل في التقدم",IF($K3785="No Start (attainment only)","ℹ تحصيل فقط (بدون Start)",IF($K3785="U – needs rule","ℹ حالة U تحتاج قاعدة معتمدة",IF($K3785="No result","ℹ بدون نتيجة (يُستبعد من التحصيل)","OK")))))))))))</f>
        <v/>
      </c>
      <c r="M3785" s="64" t="n">
        <f aca="false">IF($A3785="",0,IFERROR(MATCH($A3785,Classes!$A$6:$A$420,0),0))</f>
        <v>0</v>
      </c>
      <c r="N3785" s="64" t="n">
        <f aca="false">IF($H3785="",0,IFERROR(MATCH($H3785,GradeList,0),0))</f>
        <v>0</v>
      </c>
      <c r="O3785" s="64" t="n">
        <f aca="false">IF(OR($I3785="",$I3785="NR"),0,IFERROR(MATCH($I3785,GradeList,0),0))</f>
        <v>0</v>
      </c>
      <c r="P3785" s="64" t="n">
        <f aca="false">IF(AND($M3785&gt;0,ISNUMBER(MATCH($F3785,Lists!$A$2:$A$5,0)),ISNUMBER(MATCH($G3785,Lists!$B$2:$B$7,0)),OR($H3785="",$N3785&gt;0),OR($I3785="",$I3785="NR",$O3785&gt;0),IF(ISNUMBER($J3785),AND($J3785&gt;=0,$J3785=INT($J3785)),FALSE())),$J3785,0)</f>
        <v>0</v>
      </c>
      <c r="Q3785" s="64" t="n">
        <f aca="false">IF(AND($P3785&gt;0,$O3785&gt;0),$P3785,0)</f>
        <v>0</v>
      </c>
      <c r="R3785" s="64" t="n">
        <f aca="false">IF(AND($Q3785&gt;0,$O3785&gt;=AtRank),$Q3785,0)</f>
        <v>0</v>
      </c>
      <c r="S3785" s="64" t="n">
        <f aca="false">IF(AND($Q3785&gt;0,$O3785&gt;=AboveRank),$Q3785,0)</f>
        <v>0</v>
      </c>
      <c r="T3785" s="64" t="n">
        <f aca="false">IF($K3785="Less",$P3785,0)</f>
        <v>0</v>
      </c>
      <c r="U3785" s="64" t="n">
        <f aca="false">IF($K3785="Expected",$P3785,0)</f>
        <v>0</v>
      </c>
      <c r="V3785" s="64" t="n">
        <f aca="false">IF($K3785="Better",$P3785,0)</f>
        <v>0</v>
      </c>
      <c r="W3785" s="64" t="n">
        <f aca="false">IF($K3785="U – needs rule",$P3785,0)</f>
        <v>0</v>
      </c>
      <c r="X3785" s="64" t="n">
        <f aca="false">IF($K3785="No Start (attainment only)",$P3785,0)</f>
        <v>0</v>
      </c>
    </row>
    <row r="3786" customFormat="false" ht="15" hidden="false" customHeight="false" outlineLevel="0" collapsed="false">
      <c r="A3786" s="60"/>
      <c r="B3786" s="61" t="str">
        <f aca="false">IF($M3786=0,"",INDEX(Classes!$E$6:$E$420,$M3786))</f>
        <v/>
      </c>
      <c r="C3786" s="62" t="str">
        <f aca="false">IF($M3786=0,"",INDEX(Classes!$H$6:$H$420,$M3786))</f>
        <v/>
      </c>
      <c r="D3786" s="61" t="str">
        <f aca="false">IF($M3786=0,"",INDEX(Classes!$B$6:$B$420,$M3786))</f>
        <v/>
      </c>
      <c r="E3786" s="61" t="str">
        <f aca="false">IF($M3786=0,"",INDEX(Classes!$C$6:$C$420,$M3786))</f>
        <v/>
      </c>
      <c r="F3786" s="63"/>
      <c r="G3786" s="63"/>
      <c r="H3786" s="60"/>
      <c r="I3786" s="60"/>
      <c r="J3786" s="63"/>
      <c r="K3786" s="61" t="str">
        <f aca="false">IF($P3786=0,"",IF($F3786="Baseline","— Baseline",IF($O3786=0,"No result",IF($N3786=0,"No Start (attainment only)",IF(OR($N3786=1,$O3786=1),"U – needs rule",INDEX(MxBody,MATCH($I3786,MxCurr,0),MATCH($H3786,MxStart,0)))))))</f>
        <v/>
      </c>
      <c r="L3786" s="62" t="str">
        <f aca="false">IF(COUNTA($A3786,$F3786,$G3786,$H3786,$I3786,$J3786)=0,"",IF($M3786=0,"✖ كود الصف غير موجود",IF(ISNA(MATCH($F3786,Lists!$A$2:$A$5,0)),"✖ الفترة غير صحيحة",IF(ISNA(MATCH($G3786,Lists!$B$2:$B$7,0)),"✖ المجموعة غير صحيحة",IF(NOT(OR($H3786="",$N3786&gt;0)),"✖ Start غير صحيح",IF(NOT(OR($I3786="",$I3786="NR",$O3786&gt;0)),"✖ Current غير صحيح",IF(NOT(IF(ISNUMBER($J3786),AND($J3786&gt;=0,$J3786=INT($J3786)),FALSE())),"✖ العدد يجب أن يكون صحيحًا ≥ 0",IF(AND($F3786="Baseline",$H3786&lt;&gt;""),"⚠ Baseline: Start لا يدخل في التقدم",IF($K3786="No Start (attainment only)","ℹ تحصيل فقط (بدون Start)",IF($K3786="U – needs rule","ℹ حالة U تحتاج قاعدة معتمدة",IF($K3786="No result","ℹ بدون نتيجة (يُستبعد من التحصيل)","OK")))))))))))</f>
        <v/>
      </c>
      <c r="M3786" s="64" t="n">
        <f aca="false">IF($A3786="",0,IFERROR(MATCH($A3786,Classes!$A$6:$A$420,0),0))</f>
        <v>0</v>
      </c>
      <c r="N3786" s="64" t="n">
        <f aca="false">IF($H3786="",0,IFERROR(MATCH($H3786,GradeList,0),0))</f>
        <v>0</v>
      </c>
      <c r="O3786" s="64" t="n">
        <f aca="false">IF(OR($I3786="",$I3786="NR"),0,IFERROR(MATCH($I3786,GradeList,0),0))</f>
        <v>0</v>
      </c>
      <c r="P3786" s="64" t="n">
        <f aca="false">IF(AND($M3786&gt;0,ISNUMBER(MATCH($F3786,Lists!$A$2:$A$5,0)),ISNUMBER(MATCH($G3786,Lists!$B$2:$B$7,0)),OR($H3786="",$N3786&gt;0),OR($I3786="",$I3786="NR",$O3786&gt;0),IF(ISNUMBER($J3786),AND($J3786&gt;=0,$J3786=INT($J3786)),FALSE())),$J3786,0)</f>
        <v>0</v>
      </c>
      <c r="Q3786" s="64" t="n">
        <f aca="false">IF(AND($P3786&gt;0,$O3786&gt;0),$P3786,0)</f>
        <v>0</v>
      </c>
      <c r="R3786" s="64" t="n">
        <f aca="false">IF(AND($Q3786&gt;0,$O3786&gt;=AtRank),$Q3786,0)</f>
        <v>0</v>
      </c>
      <c r="S3786" s="64" t="n">
        <f aca="false">IF(AND($Q3786&gt;0,$O3786&gt;=AboveRank),$Q3786,0)</f>
        <v>0</v>
      </c>
      <c r="T3786" s="64" t="n">
        <f aca="false">IF($K3786="Less",$P3786,0)</f>
        <v>0</v>
      </c>
      <c r="U3786" s="64" t="n">
        <f aca="false">IF($K3786="Expected",$P3786,0)</f>
        <v>0</v>
      </c>
      <c r="V3786" s="64" t="n">
        <f aca="false">IF($K3786="Better",$P3786,0)</f>
        <v>0</v>
      </c>
      <c r="W3786" s="64" t="n">
        <f aca="false">IF($K3786="U – needs rule",$P3786,0)</f>
        <v>0</v>
      </c>
      <c r="X3786" s="64" t="n">
        <f aca="false">IF($K3786="No Start (attainment only)",$P3786,0)</f>
        <v>0</v>
      </c>
    </row>
    <row r="3787" customFormat="false" ht="15" hidden="false" customHeight="false" outlineLevel="0" collapsed="false">
      <c r="A3787" s="60"/>
      <c r="B3787" s="61" t="str">
        <f aca="false">IF($M3787=0,"",INDEX(Classes!$E$6:$E$420,$M3787))</f>
        <v/>
      </c>
      <c r="C3787" s="62" t="str">
        <f aca="false">IF($M3787=0,"",INDEX(Classes!$H$6:$H$420,$M3787))</f>
        <v/>
      </c>
      <c r="D3787" s="61" t="str">
        <f aca="false">IF($M3787=0,"",INDEX(Classes!$B$6:$B$420,$M3787))</f>
        <v/>
      </c>
      <c r="E3787" s="61" t="str">
        <f aca="false">IF($M3787=0,"",INDEX(Classes!$C$6:$C$420,$M3787))</f>
        <v/>
      </c>
      <c r="F3787" s="63"/>
      <c r="G3787" s="63"/>
      <c r="H3787" s="60"/>
      <c r="I3787" s="60"/>
      <c r="J3787" s="63"/>
      <c r="K3787" s="61" t="str">
        <f aca="false">IF($P3787=0,"",IF($F3787="Baseline","— Baseline",IF($O3787=0,"No result",IF($N3787=0,"No Start (attainment only)",IF(OR($N3787=1,$O3787=1),"U – needs rule",INDEX(MxBody,MATCH($I3787,MxCurr,0),MATCH($H3787,MxStart,0)))))))</f>
        <v/>
      </c>
      <c r="L3787" s="62" t="str">
        <f aca="false">IF(COUNTA($A3787,$F3787,$G3787,$H3787,$I3787,$J3787)=0,"",IF($M3787=0,"✖ كود الصف غير موجود",IF(ISNA(MATCH($F3787,Lists!$A$2:$A$5,0)),"✖ الفترة غير صحيحة",IF(ISNA(MATCH($G3787,Lists!$B$2:$B$7,0)),"✖ المجموعة غير صحيحة",IF(NOT(OR($H3787="",$N3787&gt;0)),"✖ Start غير صحيح",IF(NOT(OR($I3787="",$I3787="NR",$O3787&gt;0)),"✖ Current غير صحيح",IF(NOT(IF(ISNUMBER($J3787),AND($J3787&gt;=0,$J3787=INT($J3787)),FALSE())),"✖ العدد يجب أن يكون صحيحًا ≥ 0",IF(AND($F3787="Baseline",$H3787&lt;&gt;""),"⚠ Baseline: Start لا يدخل في التقدم",IF($K3787="No Start (attainment only)","ℹ تحصيل فقط (بدون Start)",IF($K3787="U – needs rule","ℹ حالة U تحتاج قاعدة معتمدة",IF($K3787="No result","ℹ بدون نتيجة (يُستبعد من التحصيل)","OK")))))))))))</f>
        <v/>
      </c>
      <c r="M3787" s="64" t="n">
        <f aca="false">IF($A3787="",0,IFERROR(MATCH($A3787,Classes!$A$6:$A$420,0),0))</f>
        <v>0</v>
      </c>
      <c r="N3787" s="64" t="n">
        <f aca="false">IF($H3787="",0,IFERROR(MATCH($H3787,GradeList,0),0))</f>
        <v>0</v>
      </c>
      <c r="O3787" s="64" t="n">
        <f aca="false">IF(OR($I3787="",$I3787="NR"),0,IFERROR(MATCH($I3787,GradeList,0),0))</f>
        <v>0</v>
      </c>
      <c r="P3787" s="64" t="n">
        <f aca="false">IF(AND($M3787&gt;0,ISNUMBER(MATCH($F3787,Lists!$A$2:$A$5,0)),ISNUMBER(MATCH($G3787,Lists!$B$2:$B$7,0)),OR($H3787="",$N3787&gt;0),OR($I3787="",$I3787="NR",$O3787&gt;0),IF(ISNUMBER($J3787),AND($J3787&gt;=0,$J3787=INT($J3787)),FALSE())),$J3787,0)</f>
        <v>0</v>
      </c>
      <c r="Q3787" s="64" t="n">
        <f aca="false">IF(AND($P3787&gt;0,$O3787&gt;0),$P3787,0)</f>
        <v>0</v>
      </c>
      <c r="R3787" s="64" t="n">
        <f aca="false">IF(AND($Q3787&gt;0,$O3787&gt;=AtRank),$Q3787,0)</f>
        <v>0</v>
      </c>
      <c r="S3787" s="64" t="n">
        <f aca="false">IF(AND($Q3787&gt;0,$O3787&gt;=AboveRank),$Q3787,0)</f>
        <v>0</v>
      </c>
      <c r="T3787" s="64" t="n">
        <f aca="false">IF($K3787="Less",$P3787,0)</f>
        <v>0</v>
      </c>
      <c r="U3787" s="64" t="n">
        <f aca="false">IF($K3787="Expected",$P3787,0)</f>
        <v>0</v>
      </c>
      <c r="V3787" s="64" t="n">
        <f aca="false">IF($K3787="Better",$P3787,0)</f>
        <v>0</v>
      </c>
      <c r="W3787" s="64" t="n">
        <f aca="false">IF($K3787="U – needs rule",$P3787,0)</f>
        <v>0</v>
      </c>
      <c r="X3787" s="64" t="n">
        <f aca="false">IF($K3787="No Start (attainment only)",$P3787,0)</f>
        <v>0</v>
      </c>
    </row>
    <row r="3788" customFormat="false" ht="15" hidden="false" customHeight="false" outlineLevel="0" collapsed="false">
      <c r="A3788" s="60"/>
      <c r="B3788" s="61" t="str">
        <f aca="false">IF($M3788=0,"",INDEX(Classes!$E$6:$E$420,$M3788))</f>
        <v/>
      </c>
      <c r="C3788" s="62" t="str">
        <f aca="false">IF($M3788=0,"",INDEX(Classes!$H$6:$H$420,$M3788))</f>
        <v/>
      </c>
      <c r="D3788" s="61" t="str">
        <f aca="false">IF($M3788=0,"",INDEX(Classes!$B$6:$B$420,$M3788))</f>
        <v/>
      </c>
      <c r="E3788" s="61" t="str">
        <f aca="false">IF($M3788=0,"",INDEX(Classes!$C$6:$C$420,$M3788))</f>
        <v/>
      </c>
      <c r="F3788" s="63"/>
      <c r="G3788" s="63"/>
      <c r="H3788" s="60"/>
      <c r="I3788" s="60"/>
      <c r="J3788" s="63"/>
      <c r="K3788" s="61" t="str">
        <f aca="false">IF($P3788=0,"",IF($F3788="Baseline","— Baseline",IF($O3788=0,"No result",IF($N3788=0,"No Start (attainment only)",IF(OR($N3788=1,$O3788=1),"U – needs rule",INDEX(MxBody,MATCH($I3788,MxCurr,0),MATCH($H3788,MxStart,0)))))))</f>
        <v/>
      </c>
      <c r="L3788" s="62" t="str">
        <f aca="false">IF(COUNTA($A3788,$F3788,$G3788,$H3788,$I3788,$J3788)=0,"",IF($M3788=0,"✖ كود الصف غير موجود",IF(ISNA(MATCH($F3788,Lists!$A$2:$A$5,0)),"✖ الفترة غير صحيحة",IF(ISNA(MATCH($G3788,Lists!$B$2:$B$7,0)),"✖ المجموعة غير صحيحة",IF(NOT(OR($H3788="",$N3788&gt;0)),"✖ Start غير صحيح",IF(NOT(OR($I3788="",$I3788="NR",$O3788&gt;0)),"✖ Current غير صحيح",IF(NOT(IF(ISNUMBER($J3788),AND($J3788&gt;=0,$J3788=INT($J3788)),FALSE())),"✖ العدد يجب أن يكون صحيحًا ≥ 0",IF(AND($F3788="Baseline",$H3788&lt;&gt;""),"⚠ Baseline: Start لا يدخل في التقدم",IF($K3788="No Start (attainment only)","ℹ تحصيل فقط (بدون Start)",IF($K3788="U – needs rule","ℹ حالة U تحتاج قاعدة معتمدة",IF($K3788="No result","ℹ بدون نتيجة (يُستبعد من التحصيل)","OK")))))))))))</f>
        <v/>
      </c>
      <c r="M3788" s="64" t="n">
        <f aca="false">IF($A3788="",0,IFERROR(MATCH($A3788,Classes!$A$6:$A$420,0),0))</f>
        <v>0</v>
      </c>
      <c r="N3788" s="64" t="n">
        <f aca="false">IF($H3788="",0,IFERROR(MATCH($H3788,GradeList,0),0))</f>
        <v>0</v>
      </c>
      <c r="O3788" s="64" t="n">
        <f aca="false">IF(OR($I3788="",$I3788="NR"),0,IFERROR(MATCH($I3788,GradeList,0),0))</f>
        <v>0</v>
      </c>
      <c r="P3788" s="64" t="n">
        <f aca="false">IF(AND($M3788&gt;0,ISNUMBER(MATCH($F3788,Lists!$A$2:$A$5,0)),ISNUMBER(MATCH($G3788,Lists!$B$2:$B$7,0)),OR($H3788="",$N3788&gt;0),OR($I3788="",$I3788="NR",$O3788&gt;0),IF(ISNUMBER($J3788),AND($J3788&gt;=0,$J3788=INT($J3788)),FALSE())),$J3788,0)</f>
        <v>0</v>
      </c>
      <c r="Q3788" s="64" t="n">
        <f aca="false">IF(AND($P3788&gt;0,$O3788&gt;0),$P3788,0)</f>
        <v>0</v>
      </c>
      <c r="R3788" s="64" t="n">
        <f aca="false">IF(AND($Q3788&gt;0,$O3788&gt;=AtRank),$Q3788,0)</f>
        <v>0</v>
      </c>
      <c r="S3788" s="64" t="n">
        <f aca="false">IF(AND($Q3788&gt;0,$O3788&gt;=AboveRank),$Q3788,0)</f>
        <v>0</v>
      </c>
      <c r="T3788" s="64" t="n">
        <f aca="false">IF($K3788="Less",$P3788,0)</f>
        <v>0</v>
      </c>
      <c r="U3788" s="64" t="n">
        <f aca="false">IF($K3788="Expected",$P3788,0)</f>
        <v>0</v>
      </c>
      <c r="V3788" s="64" t="n">
        <f aca="false">IF($K3788="Better",$P3788,0)</f>
        <v>0</v>
      </c>
      <c r="W3788" s="64" t="n">
        <f aca="false">IF($K3788="U – needs rule",$P3788,0)</f>
        <v>0</v>
      </c>
      <c r="X3788" s="64" t="n">
        <f aca="false">IF($K3788="No Start (attainment only)",$P3788,0)</f>
        <v>0</v>
      </c>
    </row>
    <row r="3789" customFormat="false" ht="15" hidden="false" customHeight="false" outlineLevel="0" collapsed="false">
      <c r="A3789" s="60"/>
      <c r="B3789" s="61" t="str">
        <f aca="false">IF($M3789=0,"",INDEX(Classes!$E$6:$E$420,$M3789))</f>
        <v/>
      </c>
      <c r="C3789" s="62" t="str">
        <f aca="false">IF($M3789=0,"",INDEX(Classes!$H$6:$H$420,$M3789))</f>
        <v/>
      </c>
      <c r="D3789" s="61" t="str">
        <f aca="false">IF($M3789=0,"",INDEX(Classes!$B$6:$B$420,$M3789))</f>
        <v/>
      </c>
      <c r="E3789" s="61" t="str">
        <f aca="false">IF($M3789=0,"",INDEX(Classes!$C$6:$C$420,$M3789))</f>
        <v/>
      </c>
      <c r="F3789" s="63"/>
      <c r="G3789" s="63"/>
      <c r="H3789" s="60"/>
      <c r="I3789" s="60"/>
      <c r="J3789" s="63"/>
      <c r="K3789" s="61" t="str">
        <f aca="false">IF($P3789=0,"",IF($F3789="Baseline","— Baseline",IF($O3789=0,"No result",IF($N3789=0,"No Start (attainment only)",IF(OR($N3789=1,$O3789=1),"U – needs rule",INDEX(MxBody,MATCH($I3789,MxCurr,0),MATCH($H3789,MxStart,0)))))))</f>
        <v/>
      </c>
      <c r="L3789" s="62" t="str">
        <f aca="false">IF(COUNTA($A3789,$F3789,$G3789,$H3789,$I3789,$J3789)=0,"",IF($M3789=0,"✖ كود الصف غير موجود",IF(ISNA(MATCH($F3789,Lists!$A$2:$A$5,0)),"✖ الفترة غير صحيحة",IF(ISNA(MATCH($G3789,Lists!$B$2:$B$7,0)),"✖ المجموعة غير صحيحة",IF(NOT(OR($H3789="",$N3789&gt;0)),"✖ Start غير صحيح",IF(NOT(OR($I3789="",$I3789="NR",$O3789&gt;0)),"✖ Current غير صحيح",IF(NOT(IF(ISNUMBER($J3789),AND($J3789&gt;=0,$J3789=INT($J3789)),FALSE())),"✖ العدد يجب أن يكون صحيحًا ≥ 0",IF(AND($F3789="Baseline",$H3789&lt;&gt;""),"⚠ Baseline: Start لا يدخل في التقدم",IF($K3789="No Start (attainment only)","ℹ تحصيل فقط (بدون Start)",IF($K3789="U – needs rule","ℹ حالة U تحتاج قاعدة معتمدة",IF($K3789="No result","ℹ بدون نتيجة (يُستبعد من التحصيل)","OK")))))))))))</f>
        <v/>
      </c>
      <c r="M3789" s="64" t="n">
        <f aca="false">IF($A3789="",0,IFERROR(MATCH($A3789,Classes!$A$6:$A$420,0),0))</f>
        <v>0</v>
      </c>
      <c r="N3789" s="64" t="n">
        <f aca="false">IF($H3789="",0,IFERROR(MATCH($H3789,GradeList,0),0))</f>
        <v>0</v>
      </c>
      <c r="O3789" s="64" t="n">
        <f aca="false">IF(OR($I3789="",$I3789="NR"),0,IFERROR(MATCH($I3789,GradeList,0),0))</f>
        <v>0</v>
      </c>
      <c r="P3789" s="64" t="n">
        <f aca="false">IF(AND($M3789&gt;0,ISNUMBER(MATCH($F3789,Lists!$A$2:$A$5,0)),ISNUMBER(MATCH($G3789,Lists!$B$2:$B$7,0)),OR($H3789="",$N3789&gt;0),OR($I3789="",$I3789="NR",$O3789&gt;0),IF(ISNUMBER($J3789),AND($J3789&gt;=0,$J3789=INT($J3789)),FALSE())),$J3789,0)</f>
        <v>0</v>
      </c>
      <c r="Q3789" s="64" t="n">
        <f aca="false">IF(AND($P3789&gt;0,$O3789&gt;0),$P3789,0)</f>
        <v>0</v>
      </c>
      <c r="R3789" s="64" t="n">
        <f aca="false">IF(AND($Q3789&gt;0,$O3789&gt;=AtRank),$Q3789,0)</f>
        <v>0</v>
      </c>
      <c r="S3789" s="64" t="n">
        <f aca="false">IF(AND($Q3789&gt;0,$O3789&gt;=AboveRank),$Q3789,0)</f>
        <v>0</v>
      </c>
      <c r="T3789" s="64" t="n">
        <f aca="false">IF($K3789="Less",$P3789,0)</f>
        <v>0</v>
      </c>
      <c r="U3789" s="64" t="n">
        <f aca="false">IF($K3789="Expected",$P3789,0)</f>
        <v>0</v>
      </c>
      <c r="V3789" s="64" t="n">
        <f aca="false">IF($K3789="Better",$P3789,0)</f>
        <v>0</v>
      </c>
      <c r="W3789" s="64" t="n">
        <f aca="false">IF($K3789="U – needs rule",$P3789,0)</f>
        <v>0</v>
      </c>
      <c r="X3789" s="64" t="n">
        <f aca="false">IF($K3789="No Start (attainment only)",$P3789,0)</f>
        <v>0</v>
      </c>
    </row>
    <row r="3790" customFormat="false" ht="15" hidden="false" customHeight="false" outlineLevel="0" collapsed="false">
      <c r="A3790" s="60"/>
      <c r="B3790" s="61" t="str">
        <f aca="false">IF($M3790=0,"",INDEX(Classes!$E$6:$E$420,$M3790))</f>
        <v/>
      </c>
      <c r="C3790" s="62" t="str">
        <f aca="false">IF($M3790=0,"",INDEX(Classes!$H$6:$H$420,$M3790))</f>
        <v/>
      </c>
      <c r="D3790" s="61" t="str">
        <f aca="false">IF($M3790=0,"",INDEX(Classes!$B$6:$B$420,$M3790))</f>
        <v/>
      </c>
      <c r="E3790" s="61" t="str">
        <f aca="false">IF($M3790=0,"",INDEX(Classes!$C$6:$C$420,$M3790))</f>
        <v/>
      </c>
      <c r="F3790" s="63"/>
      <c r="G3790" s="63"/>
      <c r="H3790" s="60"/>
      <c r="I3790" s="60"/>
      <c r="J3790" s="63"/>
      <c r="K3790" s="61" t="str">
        <f aca="false">IF($P3790=0,"",IF($F3790="Baseline","— Baseline",IF($O3790=0,"No result",IF($N3790=0,"No Start (attainment only)",IF(OR($N3790=1,$O3790=1),"U – needs rule",INDEX(MxBody,MATCH($I3790,MxCurr,0),MATCH($H3790,MxStart,0)))))))</f>
        <v/>
      </c>
      <c r="L3790" s="62" t="str">
        <f aca="false">IF(COUNTA($A3790,$F3790,$G3790,$H3790,$I3790,$J3790)=0,"",IF($M3790=0,"✖ كود الصف غير موجود",IF(ISNA(MATCH($F3790,Lists!$A$2:$A$5,0)),"✖ الفترة غير صحيحة",IF(ISNA(MATCH($G3790,Lists!$B$2:$B$7,0)),"✖ المجموعة غير صحيحة",IF(NOT(OR($H3790="",$N3790&gt;0)),"✖ Start غير صحيح",IF(NOT(OR($I3790="",$I3790="NR",$O3790&gt;0)),"✖ Current غير صحيح",IF(NOT(IF(ISNUMBER($J3790),AND($J3790&gt;=0,$J3790=INT($J3790)),FALSE())),"✖ العدد يجب أن يكون صحيحًا ≥ 0",IF(AND($F3790="Baseline",$H3790&lt;&gt;""),"⚠ Baseline: Start لا يدخل في التقدم",IF($K3790="No Start (attainment only)","ℹ تحصيل فقط (بدون Start)",IF($K3790="U – needs rule","ℹ حالة U تحتاج قاعدة معتمدة",IF($K3790="No result","ℹ بدون نتيجة (يُستبعد من التحصيل)","OK")))))))))))</f>
        <v/>
      </c>
      <c r="M3790" s="64" t="n">
        <f aca="false">IF($A3790="",0,IFERROR(MATCH($A3790,Classes!$A$6:$A$420,0),0))</f>
        <v>0</v>
      </c>
      <c r="N3790" s="64" t="n">
        <f aca="false">IF($H3790="",0,IFERROR(MATCH($H3790,GradeList,0),0))</f>
        <v>0</v>
      </c>
      <c r="O3790" s="64" t="n">
        <f aca="false">IF(OR($I3790="",$I3790="NR"),0,IFERROR(MATCH($I3790,GradeList,0),0))</f>
        <v>0</v>
      </c>
      <c r="P3790" s="64" t="n">
        <f aca="false">IF(AND($M3790&gt;0,ISNUMBER(MATCH($F3790,Lists!$A$2:$A$5,0)),ISNUMBER(MATCH($G3790,Lists!$B$2:$B$7,0)),OR($H3790="",$N3790&gt;0),OR($I3790="",$I3790="NR",$O3790&gt;0),IF(ISNUMBER($J3790),AND($J3790&gt;=0,$J3790=INT($J3790)),FALSE())),$J3790,0)</f>
        <v>0</v>
      </c>
      <c r="Q3790" s="64" t="n">
        <f aca="false">IF(AND($P3790&gt;0,$O3790&gt;0),$P3790,0)</f>
        <v>0</v>
      </c>
      <c r="R3790" s="64" t="n">
        <f aca="false">IF(AND($Q3790&gt;0,$O3790&gt;=AtRank),$Q3790,0)</f>
        <v>0</v>
      </c>
      <c r="S3790" s="64" t="n">
        <f aca="false">IF(AND($Q3790&gt;0,$O3790&gt;=AboveRank),$Q3790,0)</f>
        <v>0</v>
      </c>
      <c r="T3790" s="64" t="n">
        <f aca="false">IF($K3790="Less",$P3790,0)</f>
        <v>0</v>
      </c>
      <c r="U3790" s="64" t="n">
        <f aca="false">IF($K3790="Expected",$P3790,0)</f>
        <v>0</v>
      </c>
      <c r="V3790" s="64" t="n">
        <f aca="false">IF($K3790="Better",$P3790,0)</f>
        <v>0</v>
      </c>
      <c r="W3790" s="64" t="n">
        <f aca="false">IF($K3790="U – needs rule",$P3790,0)</f>
        <v>0</v>
      </c>
      <c r="X3790" s="64" t="n">
        <f aca="false">IF($K3790="No Start (attainment only)",$P3790,0)</f>
        <v>0</v>
      </c>
    </row>
    <row r="3791" customFormat="false" ht="15" hidden="false" customHeight="false" outlineLevel="0" collapsed="false">
      <c r="A3791" s="60"/>
      <c r="B3791" s="61" t="str">
        <f aca="false">IF($M3791=0,"",INDEX(Classes!$E$6:$E$420,$M3791))</f>
        <v/>
      </c>
      <c r="C3791" s="62" t="str">
        <f aca="false">IF($M3791=0,"",INDEX(Classes!$H$6:$H$420,$M3791))</f>
        <v/>
      </c>
      <c r="D3791" s="61" t="str">
        <f aca="false">IF($M3791=0,"",INDEX(Classes!$B$6:$B$420,$M3791))</f>
        <v/>
      </c>
      <c r="E3791" s="61" t="str">
        <f aca="false">IF($M3791=0,"",INDEX(Classes!$C$6:$C$420,$M3791))</f>
        <v/>
      </c>
      <c r="F3791" s="63"/>
      <c r="G3791" s="63"/>
      <c r="H3791" s="60"/>
      <c r="I3791" s="60"/>
      <c r="J3791" s="63"/>
      <c r="K3791" s="61" t="str">
        <f aca="false">IF($P3791=0,"",IF($F3791="Baseline","— Baseline",IF($O3791=0,"No result",IF($N3791=0,"No Start (attainment only)",IF(OR($N3791=1,$O3791=1),"U – needs rule",INDEX(MxBody,MATCH($I3791,MxCurr,0),MATCH($H3791,MxStart,0)))))))</f>
        <v/>
      </c>
      <c r="L3791" s="62" t="str">
        <f aca="false">IF(COUNTA($A3791,$F3791,$G3791,$H3791,$I3791,$J3791)=0,"",IF($M3791=0,"✖ كود الصف غير موجود",IF(ISNA(MATCH($F3791,Lists!$A$2:$A$5,0)),"✖ الفترة غير صحيحة",IF(ISNA(MATCH($G3791,Lists!$B$2:$B$7,0)),"✖ المجموعة غير صحيحة",IF(NOT(OR($H3791="",$N3791&gt;0)),"✖ Start غير صحيح",IF(NOT(OR($I3791="",$I3791="NR",$O3791&gt;0)),"✖ Current غير صحيح",IF(NOT(IF(ISNUMBER($J3791),AND($J3791&gt;=0,$J3791=INT($J3791)),FALSE())),"✖ العدد يجب أن يكون صحيحًا ≥ 0",IF(AND($F3791="Baseline",$H3791&lt;&gt;""),"⚠ Baseline: Start لا يدخل في التقدم",IF($K3791="No Start (attainment only)","ℹ تحصيل فقط (بدون Start)",IF($K3791="U – needs rule","ℹ حالة U تحتاج قاعدة معتمدة",IF($K3791="No result","ℹ بدون نتيجة (يُستبعد من التحصيل)","OK")))))))))))</f>
        <v/>
      </c>
      <c r="M3791" s="64" t="n">
        <f aca="false">IF($A3791="",0,IFERROR(MATCH($A3791,Classes!$A$6:$A$420,0),0))</f>
        <v>0</v>
      </c>
      <c r="N3791" s="64" t="n">
        <f aca="false">IF($H3791="",0,IFERROR(MATCH($H3791,GradeList,0),0))</f>
        <v>0</v>
      </c>
      <c r="O3791" s="64" t="n">
        <f aca="false">IF(OR($I3791="",$I3791="NR"),0,IFERROR(MATCH($I3791,GradeList,0),0))</f>
        <v>0</v>
      </c>
      <c r="P3791" s="64" t="n">
        <f aca="false">IF(AND($M3791&gt;0,ISNUMBER(MATCH($F3791,Lists!$A$2:$A$5,0)),ISNUMBER(MATCH($G3791,Lists!$B$2:$B$7,0)),OR($H3791="",$N3791&gt;0),OR($I3791="",$I3791="NR",$O3791&gt;0),IF(ISNUMBER($J3791),AND($J3791&gt;=0,$J3791=INT($J3791)),FALSE())),$J3791,0)</f>
        <v>0</v>
      </c>
      <c r="Q3791" s="64" t="n">
        <f aca="false">IF(AND($P3791&gt;0,$O3791&gt;0),$P3791,0)</f>
        <v>0</v>
      </c>
      <c r="R3791" s="64" t="n">
        <f aca="false">IF(AND($Q3791&gt;0,$O3791&gt;=AtRank),$Q3791,0)</f>
        <v>0</v>
      </c>
      <c r="S3791" s="64" t="n">
        <f aca="false">IF(AND($Q3791&gt;0,$O3791&gt;=AboveRank),$Q3791,0)</f>
        <v>0</v>
      </c>
      <c r="T3791" s="64" t="n">
        <f aca="false">IF($K3791="Less",$P3791,0)</f>
        <v>0</v>
      </c>
      <c r="U3791" s="64" t="n">
        <f aca="false">IF($K3791="Expected",$P3791,0)</f>
        <v>0</v>
      </c>
      <c r="V3791" s="64" t="n">
        <f aca="false">IF($K3791="Better",$P3791,0)</f>
        <v>0</v>
      </c>
      <c r="W3791" s="64" t="n">
        <f aca="false">IF($K3791="U – needs rule",$P3791,0)</f>
        <v>0</v>
      </c>
      <c r="X3791" s="64" t="n">
        <f aca="false">IF($K3791="No Start (attainment only)",$P3791,0)</f>
        <v>0</v>
      </c>
    </row>
    <row r="3792" customFormat="false" ht="15" hidden="false" customHeight="false" outlineLevel="0" collapsed="false">
      <c r="A3792" s="60"/>
      <c r="B3792" s="61" t="str">
        <f aca="false">IF($M3792=0,"",INDEX(Classes!$E$6:$E$420,$M3792))</f>
        <v/>
      </c>
      <c r="C3792" s="62" t="str">
        <f aca="false">IF($M3792=0,"",INDEX(Classes!$H$6:$H$420,$M3792))</f>
        <v/>
      </c>
      <c r="D3792" s="61" t="str">
        <f aca="false">IF($M3792=0,"",INDEX(Classes!$B$6:$B$420,$M3792))</f>
        <v/>
      </c>
      <c r="E3792" s="61" t="str">
        <f aca="false">IF($M3792=0,"",INDEX(Classes!$C$6:$C$420,$M3792))</f>
        <v/>
      </c>
      <c r="F3792" s="63"/>
      <c r="G3792" s="63"/>
      <c r="H3792" s="60"/>
      <c r="I3792" s="60"/>
      <c r="J3792" s="63"/>
      <c r="K3792" s="61" t="str">
        <f aca="false">IF($P3792=0,"",IF($F3792="Baseline","— Baseline",IF($O3792=0,"No result",IF($N3792=0,"No Start (attainment only)",IF(OR($N3792=1,$O3792=1),"U – needs rule",INDEX(MxBody,MATCH($I3792,MxCurr,0),MATCH($H3792,MxStart,0)))))))</f>
        <v/>
      </c>
      <c r="L3792" s="62" t="str">
        <f aca="false">IF(COUNTA($A3792,$F3792,$G3792,$H3792,$I3792,$J3792)=0,"",IF($M3792=0,"✖ كود الصف غير موجود",IF(ISNA(MATCH($F3792,Lists!$A$2:$A$5,0)),"✖ الفترة غير صحيحة",IF(ISNA(MATCH($G3792,Lists!$B$2:$B$7,0)),"✖ المجموعة غير صحيحة",IF(NOT(OR($H3792="",$N3792&gt;0)),"✖ Start غير صحيح",IF(NOT(OR($I3792="",$I3792="NR",$O3792&gt;0)),"✖ Current غير صحيح",IF(NOT(IF(ISNUMBER($J3792),AND($J3792&gt;=0,$J3792=INT($J3792)),FALSE())),"✖ العدد يجب أن يكون صحيحًا ≥ 0",IF(AND($F3792="Baseline",$H3792&lt;&gt;""),"⚠ Baseline: Start لا يدخل في التقدم",IF($K3792="No Start (attainment only)","ℹ تحصيل فقط (بدون Start)",IF($K3792="U – needs rule","ℹ حالة U تحتاج قاعدة معتمدة",IF($K3792="No result","ℹ بدون نتيجة (يُستبعد من التحصيل)","OK")))))))))))</f>
        <v/>
      </c>
      <c r="M3792" s="64" t="n">
        <f aca="false">IF($A3792="",0,IFERROR(MATCH($A3792,Classes!$A$6:$A$420,0),0))</f>
        <v>0</v>
      </c>
      <c r="N3792" s="64" t="n">
        <f aca="false">IF($H3792="",0,IFERROR(MATCH($H3792,GradeList,0),0))</f>
        <v>0</v>
      </c>
      <c r="O3792" s="64" t="n">
        <f aca="false">IF(OR($I3792="",$I3792="NR"),0,IFERROR(MATCH($I3792,GradeList,0),0))</f>
        <v>0</v>
      </c>
      <c r="P3792" s="64" t="n">
        <f aca="false">IF(AND($M3792&gt;0,ISNUMBER(MATCH($F3792,Lists!$A$2:$A$5,0)),ISNUMBER(MATCH($G3792,Lists!$B$2:$B$7,0)),OR($H3792="",$N3792&gt;0),OR($I3792="",$I3792="NR",$O3792&gt;0),IF(ISNUMBER($J3792),AND($J3792&gt;=0,$J3792=INT($J3792)),FALSE())),$J3792,0)</f>
        <v>0</v>
      </c>
      <c r="Q3792" s="64" t="n">
        <f aca="false">IF(AND($P3792&gt;0,$O3792&gt;0),$P3792,0)</f>
        <v>0</v>
      </c>
      <c r="R3792" s="64" t="n">
        <f aca="false">IF(AND($Q3792&gt;0,$O3792&gt;=AtRank),$Q3792,0)</f>
        <v>0</v>
      </c>
      <c r="S3792" s="64" t="n">
        <f aca="false">IF(AND($Q3792&gt;0,$O3792&gt;=AboveRank),$Q3792,0)</f>
        <v>0</v>
      </c>
      <c r="T3792" s="64" t="n">
        <f aca="false">IF($K3792="Less",$P3792,0)</f>
        <v>0</v>
      </c>
      <c r="U3792" s="64" t="n">
        <f aca="false">IF($K3792="Expected",$P3792,0)</f>
        <v>0</v>
      </c>
      <c r="V3792" s="64" t="n">
        <f aca="false">IF($K3792="Better",$P3792,0)</f>
        <v>0</v>
      </c>
      <c r="W3792" s="64" t="n">
        <f aca="false">IF($K3792="U – needs rule",$P3792,0)</f>
        <v>0</v>
      </c>
      <c r="X3792" s="64" t="n">
        <f aca="false">IF($K3792="No Start (attainment only)",$P3792,0)</f>
        <v>0</v>
      </c>
    </row>
    <row r="3793" customFormat="false" ht="15" hidden="false" customHeight="false" outlineLevel="0" collapsed="false">
      <c r="A3793" s="60"/>
      <c r="B3793" s="61" t="str">
        <f aca="false">IF($M3793=0,"",INDEX(Classes!$E$6:$E$420,$M3793))</f>
        <v/>
      </c>
      <c r="C3793" s="62" t="str">
        <f aca="false">IF($M3793=0,"",INDEX(Classes!$H$6:$H$420,$M3793))</f>
        <v/>
      </c>
      <c r="D3793" s="61" t="str">
        <f aca="false">IF($M3793=0,"",INDEX(Classes!$B$6:$B$420,$M3793))</f>
        <v/>
      </c>
      <c r="E3793" s="61" t="str">
        <f aca="false">IF($M3793=0,"",INDEX(Classes!$C$6:$C$420,$M3793))</f>
        <v/>
      </c>
      <c r="F3793" s="63"/>
      <c r="G3793" s="63"/>
      <c r="H3793" s="60"/>
      <c r="I3793" s="60"/>
      <c r="J3793" s="63"/>
      <c r="K3793" s="61" t="str">
        <f aca="false">IF($P3793=0,"",IF($F3793="Baseline","— Baseline",IF($O3793=0,"No result",IF($N3793=0,"No Start (attainment only)",IF(OR($N3793=1,$O3793=1),"U – needs rule",INDEX(MxBody,MATCH($I3793,MxCurr,0),MATCH($H3793,MxStart,0)))))))</f>
        <v/>
      </c>
      <c r="L3793" s="62" t="str">
        <f aca="false">IF(COUNTA($A3793,$F3793,$G3793,$H3793,$I3793,$J3793)=0,"",IF($M3793=0,"✖ كود الصف غير موجود",IF(ISNA(MATCH($F3793,Lists!$A$2:$A$5,0)),"✖ الفترة غير صحيحة",IF(ISNA(MATCH($G3793,Lists!$B$2:$B$7,0)),"✖ المجموعة غير صحيحة",IF(NOT(OR($H3793="",$N3793&gt;0)),"✖ Start غير صحيح",IF(NOT(OR($I3793="",$I3793="NR",$O3793&gt;0)),"✖ Current غير صحيح",IF(NOT(IF(ISNUMBER($J3793),AND($J3793&gt;=0,$J3793=INT($J3793)),FALSE())),"✖ العدد يجب أن يكون صحيحًا ≥ 0",IF(AND($F3793="Baseline",$H3793&lt;&gt;""),"⚠ Baseline: Start لا يدخل في التقدم",IF($K3793="No Start (attainment only)","ℹ تحصيل فقط (بدون Start)",IF($K3793="U – needs rule","ℹ حالة U تحتاج قاعدة معتمدة",IF($K3793="No result","ℹ بدون نتيجة (يُستبعد من التحصيل)","OK")))))))))))</f>
        <v/>
      </c>
      <c r="M3793" s="64" t="n">
        <f aca="false">IF($A3793="",0,IFERROR(MATCH($A3793,Classes!$A$6:$A$420,0),0))</f>
        <v>0</v>
      </c>
      <c r="N3793" s="64" t="n">
        <f aca="false">IF($H3793="",0,IFERROR(MATCH($H3793,GradeList,0),0))</f>
        <v>0</v>
      </c>
      <c r="O3793" s="64" t="n">
        <f aca="false">IF(OR($I3793="",$I3793="NR"),0,IFERROR(MATCH($I3793,GradeList,0),0))</f>
        <v>0</v>
      </c>
      <c r="P3793" s="64" t="n">
        <f aca="false">IF(AND($M3793&gt;0,ISNUMBER(MATCH($F3793,Lists!$A$2:$A$5,0)),ISNUMBER(MATCH($G3793,Lists!$B$2:$B$7,0)),OR($H3793="",$N3793&gt;0),OR($I3793="",$I3793="NR",$O3793&gt;0),IF(ISNUMBER($J3793),AND($J3793&gt;=0,$J3793=INT($J3793)),FALSE())),$J3793,0)</f>
        <v>0</v>
      </c>
      <c r="Q3793" s="64" t="n">
        <f aca="false">IF(AND($P3793&gt;0,$O3793&gt;0),$P3793,0)</f>
        <v>0</v>
      </c>
      <c r="R3793" s="64" t="n">
        <f aca="false">IF(AND($Q3793&gt;0,$O3793&gt;=AtRank),$Q3793,0)</f>
        <v>0</v>
      </c>
      <c r="S3793" s="64" t="n">
        <f aca="false">IF(AND($Q3793&gt;0,$O3793&gt;=AboveRank),$Q3793,0)</f>
        <v>0</v>
      </c>
      <c r="T3793" s="64" t="n">
        <f aca="false">IF($K3793="Less",$P3793,0)</f>
        <v>0</v>
      </c>
      <c r="U3793" s="64" t="n">
        <f aca="false">IF($K3793="Expected",$P3793,0)</f>
        <v>0</v>
      </c>
      <c r="V3793" s="64" t="n">
        <f aca="false">IF($K3793="Better",$P3793,0)</f>
        <v>0</v>
      </c>
      <c r="W3793" s="64" t="n">
        <f aca="false">IF($K3793="U – needs rule",$P3793,0)</f>
        <v>0</v>
      </c>
      <c r="X3793" s="64" t="n">
        <f aca="false">IF($K3793="No Start (attainment only)",$P3793,0)</f>
        <v>0</v>
      </c>
    </row>
    <row r="3794" customFormat="false" ht="15" hidden="false" customHeight="false" outlineLevel="0" collapsed="false">
      <c r="A3794" s="60"/>
      <c r="B3794" s="61" t="str">
        <f aca="false">IF($M3794=0,"",INDEX(Classes!$E$6:$E$420,$M3794))</f>
        <v/>
      </c>
      <c r="C3794" s="62" t="str">
        <f aca="false">IF($M3794=0,"",INDEX(Classes!$H$6:$H$420,$M3794))</f>
        <v/>
      </c>
      <c r="D3794" s="61" t="str">
        <f aca="false">IF($M3794=0,"",INDEX(Classes!$B$6:$B$420,$M3794))</f>
        <v/>
      </c>
      <c r="E3794" s="61" t="str">
        <f aca="false">IF($M3794=0,"",INDEX(Classes!$C$6:$C$420,$M3794))</f>
        <v/>
      </c>
      <c r="F3794" s="63"/>
      <c r="G3794" s="63"/>
      <c r="H3794" s="60"/>
      <c r="I3794" s="60"/>
      <c r="J3794" s="63"/>
      <c r="K3794" s="61" t="str">
        <f aca="false">IF($P3794=0,"",IF($F3794="Baseline","— Baseline",IF($O3794=0,"No result",IF($N3794=0,"No Start (attainment only)",IF(OR($N3794=1,$O3794=1),"U – needs rule",INDEX(MxBody,MATCH($I3794,MxCurr,0),MATCH($H3794,MxStart,0)))))))</f>
        <v/>
      </c>
      <c r="L3794" s="62" t="str">
        <f aca="false">IF(COUNTA($A3794,$F3794,$G3794,$H3794,$I3794,$J3794)=0,"",IF($M3794=0,"✖ كود الصف غير موجود",IF(ISNA(MATCH($F3794,Lists!$A$2:$A$5,0)),"✖ الفترة غير صحيحة",IF(ISNA(MATCH($G3794,Lists!$B$2:$B$7,0)),"✖ المجموعة غير صحيحة",IF(NOT(OR($H3794="",$N3794&gt;0)),"✖ Start غير صحيح",IF(NOT(OR($I3794="",$I3794="NR",$O3794&gt;0)),"✖ Current غير صحيح",IF(NOT(IF(ISNUMBER($J3794),AND($J3794&gt;=0,$J3794=INT($J3794)),FALSE())),"✖ العدد يجب أن يكون صحيحًا ≥ 0",IF(AND($F3794="Baseline",$H3794&lt;&gt;""),"⚠ Baseline: Start لا يدخل في التقدم",IF($K3794="No Start (attainment only)","ℹ تحصيل فقط (بدون Start)",IF($K3794="U – needs rule","ℹ حالة U تحتاج قاعدة معتمدة",IF($K3794="No result","ℹ بدون نتيجة (يُستبعد من التحصيل)","OK")))))))))))</f>
        <v/>
      </c>
      <c r="M3794" s="64" t="n">
        <f aca="false">IF($A3794="",0,IFERROR(MATCH($A3794,Classes!$A$6:$A$420,0),0))</f>
        <v>0</v>
      </c>
      <c r="N3794" s="64" t="n">
        <f aca="false">IF($H3794="",0,IFERROR(MATCH($H3794,GradeList,0),0))</f>
        <v>0</v>
      </c>
      <c r="O3794" s="64" t="n">
        <f aca="false">IF(OR($I3794="",$I3794="NR"),0,IFERROR(MATCH($I3794,GradeList,0),0))</f>
        <v>0</v>
      </c>
      <c r="P3794" s="64" t="n">
        <f aca="false">IF(AND($M3794&gt;0,ISNUMBER(MATCH($F3794,Lists!$A$2:$A$5,0)),ISNUMBER(MATCH($G3794,Lists!$B$2:$B$7,0)),OR($H3794="",$N3794&gt;0),OR($I3794="",$I3794="NR",$O3794&gt;0),IF(ISNUMBER($J3794),AND($J3794&gt;=0,$J3794=INT($J3794)),FALSE())),$J3794,0)</f>
        <v>0</v>
      </c>
      <c r="Q3794" s="64" t="n">
        <f aca="false">IF(AND($P3794&gt;0,$O3794&gt;0),$P3794,0)</f>
        <v>0</v>
      </c>
      <c r="R3794" s="64" t="n">
        <f aca="false">IF(AND($Q3794&gt;0,$O3794&gt;=AtRank),$Q3794,0)</f>
        <v>0</v>
      </c>
      <c r="S3794" s="64" t="n">
        <f aca="false">IF(AND($Q3794&gt;0,$O3794&gt;=AboveRank),$Q3794,0)</f>
        <v>0</v>
      </c>
      <c r="T3794" s="64" t="n">
        <f aca="false">IF($K3794="Less",$P3794,0)</f>
        <v>0</v>
      </c>
      <c r="U3794" s="64" t="n">
        <f aca="false">IF($K3794="Expected",$P3794,0)</f>
        <v>0</v>
      </c>
      <c r="V3794" s="64" t="n">
        <f aca="false">IF($K3794="Better",$P3794,0)</f>
        <v>0</v>
      </c>
      <c r="W3794" s="64" t="n">
        <f aca="false">IF($K3794="U – needs rule",$P3794,0)</f>
        <v>0</v>
      </c>
      <c r="X3794" s="64" t="n">
        <f aca="false">IF($K3794="No Start (attainment only)",$P3794,0)</f>
        <v>0</v>
      </c>
    </row>
    <row r="3795" customFormat="false" ht="15" hidden="false" customHeight="false" outlineLevel="0" collapsed="false">
      <c r="A3795" s="60"/>
      <c r="B3795" s="61" t="str">
        <f aca="false">IF($M3795=0,"",INDEX(Classes!$E$6:$E$420,$M3795))</f>
        <v/>
      </c>
      <c r="C3795" s="62" t="str">
        <f aca="false">IF($M3795=0,"",INDEX(Classes!$H$6:$H$420,$M3795))</f>
        <v/>
      </c>
      <c r="D3795" s="61" t="str">
        <f aca="false">IF($M3795=0,"",INDEX(Classes!$B$6:$B$420,$M3795))</f>
        <v/>
      </c>
      <c r="E3795" s="61" t="str">
        <f aca="false">IF($M3795=0,"",INDEX(Classes!$C$6:$C$420,$M3795))</f>
        <v/>
      </c>
      <c r="F3795" s="63"/>
      <c r="G3795" s="63"/>
      <c r="H3795" s="60"/>
      <c r="I3795" s="60"/>
      <c r="J3795" s="63"/>
      <c r="K3795" s="61" t="str">
        <f aca="false">IF($P3795=0,"",IF($F3795="Baseline","— Baseline",IF($O3795=0,"No result",IF($N3795=0,"No Start (attainment only)",IF(OR($N3795=1,$O3795=1),"U – needs rule",INDEX(MxBody,MATCH($I3795,MxCurr,0),MATCH($H3795,MxStart,0)))))))</f>
        <v/>
      </c>
      <c r="L3795" s="62" t="str">
        <f aca="false">IF(COUNTA($A3795,$F3795,$G3795,$H3795,$I3795,$J3795)=0,"",IF($M3795=0,"✖ كود الصف غير موجود",IF(ISNA(MATCH($F3795,Lists!$A$2:$A$5,0)),"✖ الفترة غير صحيحة",IF(ISNA(MATCH($G3795,Lists!$B$2:$B$7,0)),"✖ المجموعة غير صحيحة",IF(NOT(OR($H3795="",$N3795&gt;0)),"✖ Start غير صحيح",IF(NOT(OR($I3795="",$I3795="NR",$O3795&gt;0)),"✖ Current غير صحيح",IF(NOT(IF(ISNUMBER($J3795),AND($J3795&gt;=0,$J3795=INT($J3795)),FALSE())),"✖ العدد يجب أن يكون صحيحًا ≥ 0",IF(AND($F3795="Baseline",$H3795&lt;&gt;""),"⚠ Baseline: Start لا يدخل في التقدم",IF($K3795="No Start (attainment only)","ℹ تحصيل فقط (بدون Start)",IF($K3795="U – needs rule","ℹ حالة U تحتاج قاعدة معتمدة",IF($K3795="No result","ℹ بدون نتيجة (يُستبعد من التحصيل)","OK")))))))))))</f>
        <v/>
      </c>
      <c r="M3795" s="64" t="n">
        <f aca="false">IF($A3795="",0,IFERROR(MATCH($A3795,Classes!$A$6:$A$420,0),0))</f>
        <v>0</v>
      </c>
      <c r="N3795" s="64" t="n">
        <f aca="false">IF($H3795="",0,IFERROR(MATCH($H3795,GradeList,0),0))</f>
        <v>0</v>
      </c>
      <c r="O3795" s="64" t="n">
        <f aca="false">IF(OR($I3795="",$I3795="NR"),0,IFERROR(MATCH($I3795,GradeList,0),0))</f>
        <v>0</v>
      </c>
      <c r="P3795" s="64" t="n">
        <f aca="false">IF(AND($M3795&gt;0,ISNUMBER(MATCH($F3795,Lists!$A$2:$A$5,0)),ISNUMBER(MATCH($G3795,Lists!$B$2:$B$7,0)),OR($H3795="",$N3795&gt;0),OR($I3795="",$I3795="NR",$O3795&gt;0),IF(ISNUMBER($J3795),AND($J3795&gt;=0,$J3795=INT($J3795)),FALSE())),$J3795,0)</f>
        <v>0</v>
      </c>
      <c r="Q3795" s="64" t="n">
        <f aca="false">IF(AND($P3795&gt;0,$O3795&gt;0),$P3795,0)</f>
        <v>0</v>
      </c>
      <c r="R3795" s="64" t="n">
        <f aca="false">IF(AND($Q3795&gt;0,$O3795&gt;=AtRank),$Q3795,0)</f>
        <v>0</v>
      </c>
      <c r="S3795" s="64" t="n">
        <f aca="false">IF(AND($Q3795&gt;0,$O3795&gt;=AboveRank),$Q3795,0)</f>
        <v>0</v>
      </c>
      <c r="T3795" s="64" t="n">
        <f aca="false">IF($K3795="Less",$P3795,0)</f>
        <v>0</v>
      </c>
      <c r="U3795" s="64" t="n">
        <f aca="false">IF($K3795="Expected",$P3795,0)</f>
        <v>0</v>
      </c>
      <c r="V3795" s="64" t="n">
        <f aca="false">IF($K3795="Better",$P3795,0)</f>
        <v>0</v>
      </c>
      <c r="W3795" s="64" t="n">
        <f aca="false">IF($K3795="U – needs rule",$P3795,0)</f>
        <v>0</v>
      </c>
      <c r="X3795" s="64" t="n">
        <f aca="false">IF($K3795="No Start (attainment only)",$P3795,0)</f>
        <v>0</v>
      </c>
    </row>
    <row r="3796" customFormat="false" ht="15" hidden="false" customHeight="false" outlineLevel="0" collapsed="false">
      <c r="A3796" s="60"/>
      <c r="B3796" s="61" t="str">
        <f aca="false">IF($M3796=0,"",INDEX(Classes!$E$6:$E$420,$M3796))</f>
        <v/>
      </c>
      <c r="C3796" s="62" t="str">
        <f aca="false">IF($M3796=0,"",INDEX(Classes!$H$6:$H$420,$M3796))</f>
        <v/>
      </c>
      <c r="D3796" s="61" t="str">
        <f aca="false">IF($M3796=0,"",INDEX(Classes!$B$6:$B$420,$M3796))</f>
        <v/>
      </c>
      <c r="E3796" s="61" t="str">
        <f aca="false">IF($M3796=0,"",INDEX(Classes!$C$6:$C$420,$M3796))</f>
        <v/>
      </c>
      <c r="F3796" s="63"/>
      <c r="G3796" s="63"/>
      <c r="H3796" s="60"/>
      <c r="I3796" s="60"/>
      <c r="J3796" s="63"/>
      <c r="K3796" s="61" t="str">
        <f aca="false">IF($P3796=0,"",IF($F3796="Baseline","— Baseline",IF($O3796=0,"No result",IF($N3796=0,"No Start (attainment only)",IF(OR($N3796=1,$O3796=1),"U – needs rule",INDEX(MxBody,MATCH($I3796,MxCurr,0),MATCH($H3796,MxStart,0)))))))</f>
        <v/>
      </c>
      <c r="L3796" s="62" t="str">
        <f aca="false">IF(COUNTA($A3796,$F3796,$G3796,$H3796,$I3796,$J3796)=0,"",IF($M3796=0,"✖ كود الصف غير موجود",IF(ISNA(MATCH($F3796,Lists!$A$2:$A$5,0)),"✖ الفترة غير صحيحة",IF(ISNA(MATCH($G3796,Lists!$B$2:$B$7,0)),"✖ المجموعة غير صحيحة",IF(NOT(OR($H3796="",$N3796&gt;0)),"✖ Start غير صحيح",IF(NOT(OR($I3796="",$I3796="NR",$O3796&gt;0)),"✖ Current غير صحيح",IF(NOT(IF(ISNUMBER($J3796),AND($J3796&gt;=0,$J3796=INT($J3796)),FALSE())),"✖ العدد يجب أن يكون صحيحًا ≥ 0",IF(AND($F3796="Baseline",$H3796&lt;&gt;""),"⚠ Baseline: Start لا يدخل في التقدم",IF($K3796="No Start (attainment only)","ℹ تحصيل فقط (بدون Start)",IF($K3796="U – needs rule","ℹ حالة U تحتاج قاعدة معتمدة",IF($K3796="No result","ℹ بدون نتيجة (يُستبعد من التحصيل)","OK")))))))))))</f>
        <v/>
      </c>
      <c r="M3796" s="64" t="n">
        <f aca="false">IF($A3796="",0,IFERROR(MATCH($A3796,Classes!$A$6:$A$420,0),0))</f>
        <v>0</v>
      </c>
      <c r="N3796" s="64" t="n">
        <f aca="false">IF($H3796="",0,IFERROR(MATCH($H3796,GradeList,0),0))</f>
        <v>0</v>
      </c>
      <c r="O3796" s="64" t="n">
        <f aca="false">IF(OR($I3796="",$I3796="NR"),0,IFERROR(MATCH($I3796,GradeList,0),0))</f>
        <v>0</v>
      </c>
      <c r="P3796" s="64" t="n">
        <f aca="false">IF(AND($M3796&gt;0,ISNUMBER(MATCH($F3796,Lists!$A$2:$A$5,0)),ISNUMBER(MATCH($G3796,Lists!$B$2:$B$7,0)),OR($H3796="",$N3796&gt;0),OR($I3796="",$I3796="NR",$O3796&gt;0),IF(ISNUMBER($J3796),AND($J3796&gt;=0,$J3796=INT($J3796)),FALSE())),$J3796,0)</f>
        <v>0</v>
      </c>
      <c r="Q3796" s="64" t="n">
        <f aca="false">IF(AND($P3796&gt;0,$O3796&gt;0),$P3796,0)</f>
        <v>0</v>
      </c>
      <c r="R3796" s="64" t="n">
        <f aca="false">IF(AND($Q3796&gt;0,$O3796&gt;=AtRank),$Q3796,0)</f>
        <v>0</v>
      </c>
      <c r="S3796" s="64" t="n">
        <f aca="false">IF(AND($Q3796&gt;0,$O3796&gt;=AboveRank),$Q3796,0)</f>
        <v>0</v>
      </c>
      <c r="T3796" s="64" t="n">
        <f aca="false">IF($K3796="Less",$P3796,0)</f>
        <v>0</v>
      </c>
      <c r="U3796" s="64" t="n">
        <f aca="false">IF($K3796="Expected",$P3796,0)</f>
        <v>0</v>
      </c>
      <c r="V3796" s="64" t="n">
        <f aca="false">IF($K3796="Better",$P3796,0)</f>
        <v>0</v>
      </c>
      <c r="W3796" s="64" t="n">
        <f aca="false">IF($K3796="U – needs rule",$P3796,0)</f>
        <v>0</v>
      </c>
      <c r="X3796" s="64" t="n">
        <f aca="false">IF($K3796="No Start (attainment only)",$P3796,0)</f>
        <v>0</v>
      </c>
    </row>
    <row r="3797" customFormat="false" ht="15" hidden="false" customHeight="false" outlineLevel="0" collapsed="false">
      <c r="A3797" s="60"/>
      <c r="B3797" s="61" t="str">
        <f aca="false">IF($M3797=0,"",INDEX(Classes!$E$6:$E$420,$M3797))</f>
        <v/>
      </c>
      <c r="C3797" s="62" t="str">
        <f aca="false">IF($M3797=0,"",INDEX(Classes!$H$6:$H$420,$M3797))</f>
        <v/>
      </c>
      <c r="D3797" s="61" t="str">
        <f aca="false">IF($M3797=0,"",INDEX(Classes!$B$6:$B$420,$M3797))</f>
        <v/>
      </c>
      <c r="E3797" s="61" t="str">
        <f aca="false">IF($M3797=0,"",INDEX(Classes!$C$6:$C$420,$M3797))</f>
        <v/>
      </c>
      <c r="F3797" s="63"/>
      <c r="G3797" s="63"/>
      <c r="H3797" s="60"/>
      <c r="I3797" s="60"/>
      <c r="J3797" s="63"/>
      <c r="K3797" s="61" t="str">
        <f aca="false">IF($P3797=0,"",IF($F3797="Baseline","— Baseline",IF($O3797=0,"No result",IF($N3797=0,"No Start (attainment only)",IF(OR($N3797=1,$O3797=1),"U – needs rule",INDEX(MxBody,MATCH($I3797,MxCurr,0),MATCH($H3797,MxStart,0)))))))</f>
        <v/>
      </c>
      <c r="L3797" s="62" t="str">
        <f aca="false">IF(COUNTA($A3797,$F3797,$G3797,$H3797,$I3797,$J3797)=0,"",IF($M3797=0,"✖ كود الصف غير موجود",IF(ISNA(MATCH($F3797,Lists!$A$2:$A$5,0)),"✖ الفترة غير صحيحة",IF(ISNA(MATCH($G3797,Lists!$B$2:$B$7,0)),"✖ المجموعة غير صحيحة",IF(NOT(OR($H3797="",$N3797&gt;0)),"✖ Start غير صحيح",IF(NOT(OR($I3797="",$I3797="NR",$O3797&gt;0)),"✖ Current غير صحيح",IF(NOT(IF(ISNUMBER($J3797),AND($J3797&gt;=0,$J3797=INT($J3797)),FALSE())),"✖ العدد يجب أن يكون صحيحًا ≥ 0",IF(AND($F3797="Baseline",$H3797&lt;&gt;""),"⚠ Baseline: Start لا يدخل في التقدم",IF($K3797="No Start (attainment only)","ℹ تحصيل فقط (بدون Start)",IF($K3797="U – needs rule","ℹ حالة U تحتاج قاعدة معتمدة",IF($K3797="No result","ℹ بدون نتيجة (يُستبعد من التحصيل)","OK")))))))))))</f>
        <v/>
      </c>
      <c r="M3797" s="64" t="n">
        <f aca="false">IF($A3797="",0,IFERROR(MATCH($A3797,Classes!$A$6:$A$420,0),0))</f>
        <v>0</v>
      </c>
      <c r="N3797" s="64" t="n">
        <f aca="false">IF($H3797="",0,IFERROR(MATCH($H3797,GradeList,0),0))</f>
        <v>0</v>
      </c>
      <c r="O3797" s="64" t="n">
        <f aca="false">IF(OR($I3797="",$I3797="NR"),0,IFERROR(MATCH($I3797,GradeList,0),0))</f>
        <v>0</v>
      </c>
      <c r="P3797" s="64" t="n">
        <f aca="false">IF(AND($M3797&gt;0,ISNUMBER(MATCH($F3797,Lists!$A$2:$A$5,0)),ISNUMBER(MATCH($G3797,Lists!$B$2:$B$7,0)),OR($H3797="",$N3797&gt;0),OR($I3797="",$I3797="NR",$O3797&gt;0),IF(ISNUMBER($J3797),AND($J3797&gt;=0,$J3797=INT($J3797)),FALSE())),$J3797,0)</f>
        <v>0</v>
      </c>
      <c r="Q3797" s="64" t="n">
        <f aca="false">IF(AND($P3797&gt;0,$O3797&gt;0),$P3797,0)</f>
        <v>0</v>
      </c>
      <c r="R3797" s="64" t="n">
        <f aca="false">IF(AND($Q3797&gt;0,$O3797&gt;=AtRank),$Q3797,0)</f>
        <v>0</v>
      </c>
      <c r="S3797" s="64" t="n">
        <f aca="false">IF(AND($Q3797&gt;0,$O3797&gt;=AboveRank),$Q3797,0)</f>
        <v>0</v>
      </c>
      <c r="T3797" s="64" t="n">
        <f aca="false">IF($K3797="Less",$P3797,0)</f>
        <v>0</v>
      </c>
      <c r="U3797" s="64" t="n">
        <f aca="false">IF($K3797="Expected",$P3797,0)</f>
        <v>0</v>
      </c>
      <c r="V3797" s="64" t="n">
        <f aca="false">IF($K3797="Better",$P3797,0)</f>
        <v>0</v>
      </c>
      <c r="W3797" s="64" t="n">
        <f aca="false">IF($K3797="U – needs rule",$P3797,0)</f>
        <v>0</v>
      </c>
      <c r="X3797" s="64" t="n">
        <f aca="false">IF($K3797="No Start (attainment only)",$P3797,0)</f>
        <v>0</v>
      </c>
    </row>
    <row r="3798" customFormat="false" ht="15" hidden="false" customHeight="false" outlineLevel="0" collapsed="false">
      <c r="A3798" s="60"/>
      <c r="B3798" s="61" t="str">
        <f aca="false">IF($M3798=0,"",INDEX(Classes!$E$6:$E$420,$M3798))</f>
        <v/>
      </c>
      <c r="C3798" s="62" t="str">
        <f aca="false">IF($M3798=0,"",INDEX(Classes!$H$6:$H$420,$M3798))</f>
        <v/>
      </c>
      <c r="D3798" s="61" t="str">
        <f aca="false">IF($M3798=0,"",INDEX(Classes!$B$6:$B$420,$M3798))</f>
        <v/>
      </c>
      <c r="E3798" s="61" t="str">
        <f aca="false">IF($M3798=0,"",INDEX(Classes!$C$6:$C$420,$M3798))</f>
        <v/>
      </c>
      <c r="F3798" s="63"/>
      <c r="G3798" s="63"/>
      <c r="H3798" s="60"/>
      <c r="I3798" s="60"/>
      <c r="J3798" s="63"/>
      <c r="K3798" s="61" t="str">
        <f aca="false">IF($P3798=0,"",IF($F3798="Baseline","— Baseline",IF($O3798=0,"No result",IF($N3798=0,"No Start (attainment only)",IF(OR($N3798=1,$O3798=1),"U – needs rule",INDEX(MxBody,MATCH($I3798,MxCurr,0),MATCH($H3798,MxStart,0)))))))</f>
        <v/>
      </c>
      <c r="L3798" s="62" t="str">
        <f aca="false">IF(COUNTA($A3798,$F3798,$G3798,$H3798,$I3798,$J3798)=0,"",IF($M3798=0,"✖ كود الصف غير موجود",IF(ISNA(MATCH($F3798,Lists!$A$2:$A$5,0)),"✖ الفترة غير صحيحة",IF(ISNA(MATCH($G3798,Lists!$B$2:$B$7,0)),"✖ المجموعة غير صحيحة",IF(NOT(OR($H3798="",$N3798&gt;0)),"✖ Start غير صحيح",IF(NOT(OR($I3798="",$I3798="NR",$O3798&gt;0)),"✖ Current غير صحيح",IF(NOT(IF(ISNUMBER($J3798),AND($J3798&gt;=0,$J3798=INT($J3798)),FALSE())),"✖ العدد يجب أن يكون صحيحًا ≥ 0",IF(AND($F3798="Baseline",$H3798&lt;&gt;""),"⚠ Baseline: Start لا يدخل في التقدم",IF($K3798="No Start (attainment only)","ℹ تحصيل فقط (بدون Start)",IF($K3798="U – needs rule","ℹ حالة U تحتاج قاعدة معتمدة",IF($K3798="No result","ℹ بدون نتيجة (يُستبعد من التحصيل)","OK")))))))))))</f>
        <v/>
      </c>
      <c r="M3798" s="64" t="n">
        <f aca="false">IF($A3798="",0,IFERROR(MATCH($A3798,Classes!$A$6:$A$420,0),0))</f>
        <v>0</v>
      </c>
      <c r="N3798" s="64" t="n">
        <f aca="false">IF($H3798="",0,IFERROR(MATCH($H3798,GradeList,0),0))</f>
        <v>0</v>
      </c>
      <c r="O3798" s="64" t="n">
        <f aca="false">IF(OR($I3798="",$I3798="NR"),0,IFERROR(MATCH($I3798,GradeList,0),0))</f>
        <v>0</v>
      </c>
      <c r="P3798" s="64" t="n">
        <f aca="false">IF(AND($M3798&gt;0,ISNUMBER(MATCH($F3798,Lists!$A$2:$A$5,0)),ISNUMBER(MATCH($G3798,Lists!$B$2:$B$7,0)),OR($H3798="",$N3798&gt;0),OR($I3798="",$I3798="NR",$O3798&gt;0),IF(ISNUMBER($J3798),AND($J3798&gt;=0,$J3798=INT($J3798)),FALSE())),$J3798,0)</f>
        <v>0</v>
      </c>
      <c r="Q3798" s="64" t="n">
        <f aca="false">IF(AND($P3798&gt;0,$O3798&gt;0),$P3798,0)</f>
        <v>0</v>
      </c>
      <c r="R3798" s="64" t="n">
        <f aca="false">IF(AND($Q3798&gt;0,$O3798&gt;=AtRank),$Q3798,0)</f>
        <v>0</v>
      </c>
      <c r="S3798" s="64" t="n">
        <f aca="false">IF(AND($Q3798&gt;0,$O3798&gt;=AboveRank),$Q3798,0)</f>
        <v>0</v>
      </c>
      <c r="T3798" s="64" t="n">
        <f aca="false">IF($K3798="Less",$P3798,0)</f>
        <v>0</v>
      </c>
      <c r="U3798" s="64" t="n">
        <f aca="false">IF($K3798="Expected",$P3798,0)</f>
        <v>0</v>
      </c>
      <c r="V3798" s="64" t="n">
        <f aca="false">IF($K3798="Better",$P3798,0)</f>
        <v>0</v>
      </c>
      <c r="W3798" s="64" t="n">
        <f aca="false">IF($K3798="U – needs rule",$P3798,0)</f>
        <v>0</v>
      </c>
      <c r="X3798" s="64" t="n">
        <f aca="false">IF($K3798="No Start (attainment only)",$P3798,0)</f>
        <v>0</v>
      </c>
    </row>
    <row r="3799" customFormat="false" ht="15" hidden="false" customHeight="false" outlineLevel="0" collapsed="false">
      <c r="A3799" s="60"/>
      <c r="B3799" s="61" t="str">
        <f aca="false">IF($M3799=0,"",INDEX(Classes!$E$6:$E$420,$M3799))</f>
        <v/>
      </c>
      <c r="C3799" s="62" t="str">
        <f aca="false">IF($M3799=0,"",INDEX(Classes!$H$6:$H$420,$M3799))</f>
        <v/>
      </c>
      <c r="D3799" s="61" t="str">
        <f aca="false">IF($M3799=0,"",INDEX(Classes!$B$6:$B$420,$M3799))</f>
        <v/>
      </c>
      <c r="E3799" s="61" t="str">
        <f aca="false">IF($M3799=0,"",INDEX(Classes!$C$6:$C$420,$M3799))</f>
        <v/>
      </c>
      <c r="F3799" s="63"/>
      <c r="G3799" s="63"/>
      <c r="H3799" s="60"/>
      <c r="I3799" s="60"/>
      <c r="J3799" s="63"/>
      <c r="K3799" s="61" t="str">
        <f aca="false">IF($P3799=0,"",IF($F3799="Baseline","— Baseline",IF($O3799=0,"No result",IF($N3799=0,"No Start (attainment only)",IF(OR($N3799=1,$O3799=1),"U – needs rule",INDEX(MxBody,MATCH($I3799,MxCurr,0),MATCH($H3799,MxStart,0)))))))</f>
        <v/>
      </c>
      <c r="L3799" s="62" t="str">
        <f aca="false">IF(COUNTA($A3799,$F3799,$G3799,$H3799,$I3799,$J3799)=0,"",IF($M3799=0,"✖ كود الصف غير موجود",IF(ISNA(MATCH($F3799,Lists!$A$2:$A$5,0)),"✖ الفترة غير صحيحة",IF(ISNA(MATCH($G3799,Lists!$B$2:$B$7,0)),"✖ المجموعة غير صحيحة",IF(NOT(OR($H3799="",$N3799&gt;0)),"✖ Start غير صحيح",IF(NOT(OR($I3799="",$I3799="NR",$O3799&gt;0)),"✖ Current غير صحيح",IF(NOT(IF(ISNUMBER($J3799),AND($J3799&gt;=0,$J3799=INT($J3799)),FALSE())),"✖ العدد يجب أن يكون صحيحًا ≥ 0",IF(AND($F3799="Baseline",$H3799&lt;&gt;""),"⚠ Baseline: Start لا يدخل في التقدم",IF($K3799="No Start (attainment only)","ℹ تحصيل فقط (بدون Start)",IF($K3799="U – needs rule","ℹ حالة U تحتاج قاعدة معتمدة",IF($K3799="No result","ℹ بدون نتيجة (يُستبعد من التحصيل)","OK")))))))))))</f>
        <v/>
      </c>
      <c r="M3799" s="64" t="n">
        <f aca="false">IF($A3799="",0,IFERROR(MATCH($A3799,Classes!$A$6:$A$420,0),0))</f>
        <v>0</v>
      </c>
      <c r="N3799" s="64" t="n">
        <f aca="false">IF($H3799="",0,IFERROR(MATCH($H3799,GradeList,0),0))</f>
        <v>0</v>
      </c>
      <c r="O3799" s="64" t="n">
        <f aca="false">IF(OR($I3799="",$I3799="NR"),0,IFERROR(MATCH($I3799,GradeList,0),0))</f>
        <v>0</v>
      </c>
      <c r="P3799" s="64" t="n">
        <f aca="false">IF(AND($M3799&gt;0,ISNUMBER(MATCH($F3799,Lists!$A$2:$A$5,0)),ISNUMBER(MATCH($G3799,Lists!$B$2:$B$7,0)),OR($H3799="",$N3799&gt;0),OR($I3799="",$I3799="NR",$O3799&gt;0),IF(ISNUMBER($J3799),AND($J3799&gt;=0,$J3799=INT($J3799)),FALSE())),$J3799,0)</f>
        <v>0</v>
      </c>
      <c r="Q3799" s="64" t="n">
        <f aca="false">IF(AND($P3799&gt;0,$O3799&gt;0),$P3799,0)</f>
        <v>0</v>
      </c>
      <c r="R3799" s="64" t="n">
        <f aca="false">IF(AND($Q3799&gt;0,$O3799&gt;=AtRank),$Q3799,0)</f>
        <v>0</v>
      </c>
      <c r="S3799" s="64" t="n">
        <f aca="false">IF(AND($Q3799&gt;0,$O3799&gt;=AboveRank),$Q3799,0)</f>
        <v>0</v>
      </c>
      <c r="T3799" s="64" t="n">
        <f aca="false">IF($K3799="Less",$P3799,0)</f>
        <v>0</v>
      </c>
      <c r="U3799" s="64" t="n">
        <f aca="false">IF($K3799="Expected",$P3799,0)</f>
        <v>0</v>
      </c>
      <c r="V3799" s="64" t="n">
        <f aca="false">IF($K3799="Better",$P3799,0)</f>
        <v>0</v>
      </c>
      <c r="W3799" s="64" t="n">
        <f aca="false">IF($K3799="U – needs rule",$P3799,0)</f>
        <v>0</v>
      </c>
      <c r="X3799" s="64" t="n">
        <f aca="false">IF($K3799="No Start (attainment only)",$P3799,0)</f>
        <v>0</v>
      </c>
    </row>
    <row r="3800" customFormat="false" ht="15" hidden="false" customHeight="false" outlineLevel="0" collapsed="false">
      <c r="A3800" s="60"/>
      <c r="B3800" s="61" t="str">
        <f aca="false">IF($M3800=0,"",INDEX(Classes!$E$6:$E$420,$M3800))</f>
        <v/>
      </c>
      <c r="C3800" s="62" t="str">
        <f aca="false">IF($M3800=0,"",INDEX(Classes!$H$6:$H$420,$M3800))</f>
        <v/>
      </c>
      <c r="D3800" s="61" t="str">
        <f aca="false">IF($M3800=0,"",INDEX(Classes!$B$6:$B$420,$M3800))</f>
        <v/>
      </c>
      <c r="E3800" s="61" t="str">
        <f aca="false">IF($M3800=0,"",INDEX(Classes!$C$6:$C$420,$M3800))</f>
        <v/>
      </c>
      <c r="F3800" s="63"/>
      <c r="G3800" s="63"/>
      <c r="H3800" s="60"/>
      <c r="I3800" s="60"/>
      <c r="J3800" s="63"/>
      <c r="K3800" s="61" t="str">
        <f aca="false">IF($P3800=0,"",IF($F3800="Baseline","— Baseline",IF($O3800=0,"No result",IF($N3800=0,"No Start (attainment only)",IF(OR($N3800=1,$O3800=1),"U – needs rule",INDEX(MxBody,MATCH($I3800,MxCurr,0),MATCH($H3800,MxStart,0)))))))</f>
        <v/>
      </c>
      <c r="L3800" s="62" t="str">
        <f aca="false">IF(COUNTA($A3800,$F3800,$G3800,$H3800,$I3800,$J3800)=0,"",IF($M3800=0,"✖ كود الصف غير موجود",IF(ISNA(MATCH($F3800,Lists!$A$2:$A$5,0)),"✖ الفترة غير صحيحة",IF(ISNA(MATCH($G3800,Lists!$B$2:$B$7,0)),"✖ المجموعة غير صحيحة",IF(NOT(OR($H3800="",$N3800&gt;0)),"✖ Start غير صحيح",IF(NOT(OR($I3800="",$I3800="NR",$O3800&gt;0)),"✖ Current غير صحيح",IF(NOT(IF(ISNUMBER($J3800),AND($J3800&gt;=0,$J3800=INT($J3800)),FALSE())),"✖ العدد يجب أن يكون صحيحًا ≥ 0",IF(AND($F3800="Baseline",$H3800&lt;&gt;""),"⚠ Baseline: Start لا يدخل في التقدم",IF($K3800="No Start (attainment only)","ℹ تحصيل فقط (بدون Start)",IF($K3800="U – needs rule","ℹ حالة U تحتاج قاعدة معتمدة",IF($K3800="No result","ℹ بدون نتيجة (يُستبعد من التحصيل)","OK")))))))))))</f>
        <v/>
      </c>
      <c r="M3800" s="64" t="n">
        <f aca="false">IF($A3800="",0,IFERROR(MATCH($A3800,Classes!$A$6:$A$420,0),0))</f>
        <v>0</v>
      </c>
      <c r="N3800" s="64" t="n">
        <f aca="false">IF($H3800="",0,IFERROR(MATCH($H3800,GradeList,0),0))</f>
        <v>0</v>
      </c>
      <c r="O3800" s="64" t="n">
        <f aca="false">IF(OR($I3800="",$I3800="NR"),0,IFERROR(MATCH($I3800,GradeList,0),0))</f>
        <v>0</v>
      </c>
      <c r="P3800" s="64" t="n">
        <f aca="false">IF(AND($M3800&gt;0,ISNUMBER(MATCH($F3800,Lists!$A$2:$A$5,0)),ISNUMBER(MATCH($G3800,Lists!$B$2:$B$7,0)),OR($H3800="",$N3800&gt;0),OR($I3800="",$I3800="NR",$O3800&gt;0),IF(ISNUMBER($J3800),AND($J3800&gt;=0,$J3800=INT($J3800)),FALSE())),$J3800,0)</f>
        <v>0</v>
      </c>
      <c r="Q3800" s="64" t="n">
        <f aca="false">IF(AND($P3800&gt;0,$O3800&gt;0),$P3800,0)</f>
        <v>0</v>
      </c>
      <c r="R3800" s="64" t="n">
        <f aca="false">IF(AND($Q3800&gt;0,$O3800&gt;=AtRank),$Q3800,0)</f>
        <v>0</v>
      </c>
      <c r="S3800" s="64" t="n">
        <f aca="false">IF(AND($Q3800&gt;0,$O3800&gt;=AboveRank),$Q3800,0)</f>
        <v>0</v>
      </c>
      <c r="T3800" s="64" t="n">
        <f aca="false">IF($K3800="Less",$P3800,0)</f>
        <v>0</v>
      </c>
      <c r="U3800" s="64" t="n">
        <f aca="false">IF($K3800="Expected",$P3800,0)</f>
        <v>0</v>
      </c>
      <c r="V3800" s="64" t="n">
        <f aca="false">IF($K3800="Better",$P3800,0)</f>
        <v>0</v>
      </c>
      <c r="W3800" s="64" t="n">
        <f aca="false">IF($K3800="U – needs rule",$P3800,0)</f>
        <v>0</v>
      </c>
      <c r="X3800" s="64" t="n">
        <f aca="false">IF($K3800="No Start (attainment only)",$P3800,0)</f>
        <v>0</v>
      </c>
    </row>
    <row r="3801" customFormat="false" ht="15" hidden="false" customHeight="false" outlineLevel="0" collapsed="false">
      <c r="A3801" s="60"/>
      <c r="B3801" s="61" t="str">
        <f aca="false">IF($M3801=0,"",INDEX(Classes!$E$6:$E$420,$M3801))</f>
        <v/>
      </c>
      <c r="C3801" s="62" t="str">
        <f aca="false">IF($M3801=0,"",INDEX(Classes!$H$6:$H$420,$M3801))</f>
        <v/>
      </c>
      <c r="D3801" s="61" t="str">
        <f aca="false">IF($M3801=0,"",INDEX(Classes!$B$6:$B$420,$M3801))</f>
        <v/>
      </c>
      <c r="E3801" s="61" t="str">
        <f aca="false">IF($M3801=0,"",INDEX(Classes!$C$6:$C$420,$M3801))</f>
        <v/>
      </c>
      <c r="F3801" s="63"/>
      <c r="G3801" s="63"/>
      <c r="H3801" s="60"/>
      <c r="I3801" s="60"/>
      <c r="J3801" s="63"/>
      <c r="K3801" s="61" t="str">
        <f aca="false">IF($P3801=0,"",IF($F3801="Baseline","— Baseline",IF($O3801=0,"No result",IF($N3801=0,"No Start (attainment only)",IF(OR($N3801=1,$O3801=1),"U – needs rule",INDEX(MxBody,MATCH($I3801,MxCurr,0),MATCH($H3801,MxStart,0)))))))</f>
        <v/>
      </c>
      <c r="L3801" s="62" t="str">
        <f aca="false">IF(COUNTA($A3801,$F3801,$G3801,$H3801,$I3801,$J3801)=0,"",IF($M3801=0,"✖ كود الصف غير موجود",IF(ISNA(MATCH($F3801,Lists!$A$2:$A$5,0)),"✖ الفترة غير صحيحة",IF(ISNA(MATCH($G3801,Lists!$B$2:$B$7,0)),"✖ المجموعة غير صحيحة",IF(NOT(OR($H3801="",$N3801&gt;0)),"✖ Start غير صحيح",IF(NOT(OR($I3801="",$I3801="NR",$O3801&gt;0)),"✖ Current غير صحيح",IF(NOT(IF(ISNUMBER($J3801),AND($J3801&gt;=0,$J3801=INT($J3801)),FALSE())),"✖ العدد يجب أن يكون صحيحًا ≥ 0",IF(AND($F3801="Baseline",$H3801&lt;&gt;""),"⚠ Baseline: Start لا يدخل في التقدم",IF($K3801="No Start (attainment only)","ℹ تحصيل فقط (بدون Start)",IF($K3801="U – needs rule","ℹ حالة U تحتاج قاعدة معتمدة",IF($K3801="No result","ℹ بدون نتيجة (يُستبعد من التحصيل)","OK")))))))))))</f>
        <v/>
      </c>
      <c r="M3801" s="64" t="n">
        <f aca="false">IF($A3801="",0,IFERROR(MATCH($A3801,Classes!$A$6:$A$420,0),0))</f>
        <v>0</v>
      </c>
      <c r="N3801" s="64" t="n">
        <f aca="false">IF($H3801="",0,IFERROR(MATCH($H3801,GradeList,0),0))</f>
        <v>0</v>
      </c>
      <c r="O3801" s="64" t="n">
        <f aca="false">IF(OR($I3801="",$I3801="NR"),0,IFERROR(MATCH($I3801,GradeList,0),0))</f>
        <v>0</v>
      </c>
      <c r="P3801" s="64" t="n">
        <f aca="false">IF(AND($M3801&gt;0,ISNUMBER(MATCH($F3801,Lists!$A$2:$A$5,0)),ISNUMBER(MATCH($G3801,Lists!$B$2:$B$7,0)),OR($H3801="",$N3801&gt;0),OR($I3801="",$I3801="NR",$O3801&gt;0),IF(ISNUMBER($J3801),AND($J3801&gt;=0,$J3801=INT($J3801)),FALSE())),$J3801,0)</f>
        <v>0</v>
      </c>
      <c r="Q3801" s="64" t="n">
        <f aca="false">IF(AND($P3801&gt;0,$O3801&gt;0),$P3801,0)</f>
        <v>0</v>
      </c>
      <c r="R3801" s="64" t="n">
        <f aca="false">IF(AND($Q3801&gt;0,$O3801&gt;=AtRank),$Q3801,0)</f>
        <v>0</v>
      </c>
      <c r="S3801" s="64" t="n">
        <f aca="false">IF(AND($Q3801&gt;0,$O3801&gt;=AboveRank),$Q3801,0)</f>
        <v>0</v>
      </c>
      <c r="T3801" s="64" t="n">
        <f aca="false">IF($K3801="Less",$P3801,0)</f>
        <v>0</v>
      </c>
      <c r="U3801" s="64" t="n">
        <f aca="false">IF($K3801="Expected",$P3801,0)</f>
        <v>0</v>
      </c>
      <c r="V3801" s="64" t="n">
        <f aca="false">IF($K3801="Better",$P3801,0)</f>
        <v>0</v>
      </c>
      <c r="W3801" s="64" t="n">
        <f aca="false">IF($K3801="U – needs rule",$P3801,0)</f>
        <v>0</v>
      </c>
      <c r="X3801" s="64" t="n">
        <f aca="false">IF($K3801="No Start (attainment only)",$P3801,0)</f>
        <v>0</v>
      </c>
    </row>
    <row r="3802" customFormat="false" ht="15" hidden="false" customHeight="false" outlineLevel="0" collapsed="false">
      <c r="A3802" s="60"/>
      <c r="B3802" s="61" t="str">
        <f aca="false">IF($M3802=0,"",INDEX(Classes!$E$6:$E$420,$M3802))</f>
        <v/>
      </c>
      <c r="C3802" s="62" t="str">
        <f aca="false">IF($M3802=0,"",INDEX(Classes!$H$6:$H$420,$M3802))</f>
        <v/>
      </c>
      <c r="D3802" s="61" t="str">
        <f aca="false">IF($M3802=0,"",INDEX(Classes!$B$6:$B$420,$M3802))</f>
        <v/>
      </c>
      <c r="E3802" s="61" t="str">
        <f aca="false">IF($M3802=0,"",INDEX(Classes!$C$6:$C$420,$M3802))</f>
        <v/>
      </c>
      <c r="F3802" s="63"/>
      <c r="G3802" s="63"/>
      <c r="H3802" s="60"/>
      <c r="I3802" s="60"/>
      <c r="J3802" s="63"/>
      <c r="K3802" s="61" t="str">
        <f aca="false">IF($P3802=0,"",IF($F3802="Baseline","— Baseline",IF($O3802=0,"No result",IF($N3802=0,"No Start (attainment only)",IF(OR($N3802=1,$O3802=1),"U – needs rule",INDEX(MxBody,MATCH($I3802,MxCurr,0),MATCH($H3802,MxStart,0)))))))</f>
        <v/>
      </c>
      <c r="L3802" s="62" t="str">
        <f aca="false">IF(COUNTA($A3802,$F3802,$G3802,$H3802,$I3802,$J3802)=0,"",IF($M3802=0,"✖ كود الصف غير موجود",IF(ISNA(MATCH($F3802,Lists!$A$2:$A$5,0)),"✖ الفترة غير صحيحة",IF(ISNA(MATCH($G3802,Lists!$B$2:$B$7,0)),"✖ المجموعة غير صحيحة",IF(NOT(OR($H3802="",$N3802&gt;0)),"✖ Start غير صحيح",IF(NOT(OR($I3802="",$I3802="NR",$O3802&gt;0)),"✖ Current غير صحيح",IF(NOT(IF(ISNUMBER($J3802),AND($J3802&gt;=0,$J3802=INT($J3802)),FALSE())),"✖ العدد يجب أن يكون صحيحًا ≥ 0",IF(AND($F3802="Baseline",$H3802&lt;&gt;""),"⚠ Baseline: Start لا يدخل في التقدم",IF($K3802="No Start (attainment only)","ℹ تحصيل فقط (بدون Start)",IF($K3802="U – needs rule","ℹ حالة U تحتاج قاعدة معتمدة",IF($K3802="No result","ℹ بدون نتيجة (يُستبعد من التحصيل)","OK")))))))))))</f>
        <v/>
      </c>
      <c r="M3802" s="64" t="n">
        <f aca="false">IF($A3802="",0,IFERROR(MATCH($A3802,Classes!$A$6:$A$420,0),0))</f>
        <v>0</v>
      </c>
      <c r="N3802" s="64" t="n">
        <f aca="false">IF($H3802="",0,IFERROR(MATCH($H3802,GradeList,0),0))</f>
        <v>0</v>
      </c>
      <c r="O3802" s="64" t="n">
        <f aca="false">IF(OR($I3802="",$I3802="NR"),0,IFERROR(MATCH($I3802,GradeList,0),0))</f>
        <v>0</v>
      </c>
      <c r="P3802" s="64" t="n">
        <f aca="false">IF(AND($M3802&gt;0,ISNUMBER(MATCH($F3802,Lists!$A$2:$A$5,0)),ISNUMBER(MATCH($G3802,Lists!$B$2:$B$7,0)),OR($H3802="",$N3802&gt;0),OR($I3802="",$I3802="NR",$O3802&gt;0),IF(ISNUMBER($J3802),AND($J3802&gt;=0,$J3802=INT($J3802)),FALSE())),$J3802,0)</f>
        <v>0</v>
      </c>
      <c r="Q3802" s="64" t="n">
        <f aca="false">IF(AND($P3802&gt;0,$O3802&gt;0),$P3802,0)</f>
        <v>0</v>
      </c>
      <c r="R3802" s="64" t="n">
        <f aca="false">IF(AND($Q3802&gt;0,$O3802&gt;=AtRank),$Q3802,0)</f>
        <v>0</v>
      </c>
      <c r="S3802" s="64" t="n">
        <f aca="false">IF(AND($Q3802&gt;0,$O3802&gt;=AboveRank),$Q3802,0)</f>
        <v>0</v>
      </c>
      <c r="T3802" s="64" t="n">
        <f aca="false">IF($K3802="Less",$P3802,0)</f>
        <v>0</v>
      </c>
      <c r="U3802" s="64" t="n">
        <f aca="false">IF($K3802="Expected",$P3802,0)</f>
        <v>0</v>
      </c>
      <c r="V3802" s="64" t="n">
        <f aca="false">IF($K3802="Better",$P3802,0)</f>
        <v>0</v>
      </c>
      <c r="W3802" s="64" t="n">
        <f aca="false">IF($K3802="U – needs rule",$P3802,0)</f>
        <v>0</v>
      </c>
      <c r="X3802" s="64" t="n">
        <f aca="false">IF($K3802="No Start (attainment only)",$P3802,0)</f>
        <v>0</v>
      </c>
    </row>
    <row r="3803" customFormat="false" ht="15" hidden="false" customHeight="false" outlineLevel="0" collapsed="false">
      <c r="A3803" s="60"/>
      <c r="B3803" s="61" t="str">
        <f aca="false">IF($M3803=0,"",INDEX(Classes!$E$6:$E$420,$M3803))</f>
        <v/>
      </c>
      <c r="C3803" s="62" t="str">
        <f aca="false">IF($M3803=0,"",INDEX(Classes!$H$6:$H$420,$M3803))</f>
        <v/>
      </c>
      <c r="D3803" s="61" t="str">
        <f aca="false">IF($M3803=0,"",INDEX(Classes!$B$6:$B$420,$M3803))</f>
        <v/>
      </c>
      <c r="E3803" s="61" t="str">
        <f aca="false">IF($M3803=0,"",INDEX(Classes!$C$6:$C$420,$M3803))</f>
        <v/>
      </c>
      <c r="F3803" s="63"/>
      <c r="G3803" s="63"/>
      <c r="H3803" s="60"/>
      <c r="I3803" s="60"/>
      <c r="J3803" s="63"/>
      <c r="K3803" s="61" t="str">
        <f aca="false">IF($P3803=0,"",IF($F3803="Baseline","— Baseline",IF($O3803=0,"No result",IF($N3803=0,"No Start (attainment only)",IF(OR($N3803=1,$O3803=1),"U – needs rule",INDEX(MxBody,MATCH($I3803,MxCurr,0),MATCH($H3803,MxStart,0)))))))</f>
        <v/>
      </c>
      <c r="L3803" s="62" t="str">
        <f aca="false">IF(COUNTA($A3803,$F3803,$G3803,$H3803,$I3803,$J3803)=0,"",IF($M3803=0,"✖ كود الصف غير موجود",IF(ISNA(MATCH($F3803,Lists!$A$2:$A$5,0)),"✖ الفترة غير صحيحة",IF(ISNA(MATCH($G3803,Lists!$B$2:$B$7,0)),"✖ المجموعة غير صحيحة",IF(NOT(OR($H3803="",$N3803&gt;0)),"✖ Start غير صحيح",IF(NOT(OR($I3803="",$I3803="NR",$O3803&gt;0)),"✖ Current غير صحيح",IF(NOT(IF(ISNUMBER($J3803),AND($J3803&gt;=0,$J3803=INT($J3803)),FALSE())),"✖ العدد يجب أن يكون صحيحًا ≥ 0",IF(AND($F3803="Baseline",$H3803&lt;&gt;""),"⚠ Baseline: Start لا يدخل في التقدم",IF($K3803="No Start (attainment only)","ℹ تحصيل فقط (بدون Start)",IF($K3803="U – needs rule","ℹ حالة U تحتاج قاعدة معتمدة",IF($K3803="No result","ℹ بدون نتيجة (يُستبعد من التحصيل)","OK")))))))))))</f>
        <v/>
      </c>
      <c r="M3803" s="64" t="n">
        <f aca="false">IF($A3803="",0,IFERROR(MATCH($A3803,Classes!$A$6:$A$420,0),0))</f>
        <v>0</v>
      </c>
      <c r="N3803" s="64" t="n">
        <f aca="false">IF($H3803="",0,IFERROR(MATCH($H3803,GradeList,0),0))</f>
        <v>0</v>
      </c>
      <c r="O3803" s="64" t="n">
        <f aca="false">IF(OR($I3803="",$I3803="NR"),0,IFERROR(MATCH($I3803,GradeList,0),0))</f>
        <v>0</v>
      </c>
      <c r="P3803" s="64" t="n">
        <f aca="false">IF(AND($M3803&gt;0,ISNUMBER(MATCH($F3803,Lists!$A$2:$A$5,0)),ISNUMBER(MATCH($G3803,Lists!$B$2:$B$7,0)),OR($H3803="",$N3803&gt;0),OR($I3803="",$I3803="NR",$O3803&gt;0),IF(ISNUMBER($J3803),AND($J3803&gt;=0,$J3803=INT($J3803)),FALSE())),$J3803,0)</f>
        <v>0</v>
      </c>
      <c r="Q3803" s="64" t="n">
        <f aca="false">IF(AND($P3803&gt;0,$O3803&gt;0),$P3803,0)</f>
        <v>0</v>
      </c>
      <c r="R3803" s="64" t="n">
        <f aca="false">IF(AND($Q3803&gt;0,$O3803&gt;=AtRank),$Q3803,0)</f>
        <v>0</v>
      </c>
      <c r="S3803" s="64" t="n">
        <f aca="false">IF(AND($Q3803&gt;0,$O3803&gt;=AboveRank),$Q3803,0)</f>
        <v>0</v>
      </c>
      <c r="T3803" s="64" t="n">
        <f aca="false">IF($K3803="Less",$P3803,0)</f>
        <v>0</v>
      </c>
      <c r="U3803" s="64" t="n">
        <f aca="false">IF($K3803="Expected",$P3803,0)</f>
        <v>0</v>
      </c>
      <c r="V3803" s="64" t="n">
        <f aca="false">IF($K3803="Better",$P3803,0)</f>
        <v>0</v>
      </c>
      <c r="W3803" s="64" t="n">
        <f aca="false">IF($K3803="U – needs rule",$P3803,0)</f>
        <v>0</v>
      </c>
      <c r="X3803" s="64" t="n">
        <f aca="false">IF($K3803="No Start (attainment only)",$P3803,0)</f>
        <v>0</v>
      </c>
    </row>
    <row r="3804" customFormat="false" ht="15" hidden="false" customHeight="false" outlineLevel="0" collapsed="false">
      <c r="A3804" s="60"/>
      <c r="B3804" s="61" t="str">
        <f aca="false">IF($M3804=0,"",INDEX(Classes!$E$6:$E$420,$M3804))</f>
        <v/>
      </c>
      <c r="C3804" s="62" t="str">
        <f aca="false">IF($M3804=0,"",INDEX(Classes!$H$6:$H$420,$M3804))</f>
        <v/>
      </c>
      <c r="D3804" s="61" t="str">
        <f aca="false">IF($M3804=0,"",INDEX(Classes!$B$6:$B$420,$M3804))</f>
        <v/>
      </c>
      <c r="E3804" s="61" t="str">
        <f aca="false">IF($M3804=0,"",INDEX(Classes!$C$6:$C$420,$M3804))</f>
        <v/>
      </c>
      <c r="F3804" s="63"/>
      <c r="G3804" s="63"/>
      <c r="H3804" s="60"/>
      <c r="I3804" s="60"/>
      <c r="J3804" s="63"/>
      <c r="K3804" s="61" t="str">
        <f aca="false">IF($P3804=0,"",IF($F3804="Baseline","— Baseline",IF($O3804=0,"No result",IF($N3804=0,"No Start (attainment only)",IF(OR($N3804=1,$O3804=1),"U – needs rule",INDEX(MxBody,MATCH($I3804,MxCurr,0),MATCH($H3804,MxStart,0)))))))</f>
        <v/>
      </c>
      <c r="L3804" s="62" t="str">
        <f aca="false">IF(COUNTA($A3804,$F3804,$G3804,$H3804,$I3804,$J3804)=0,"",IF($M3804=0,"✖ كود الصف غير موجود",IF(ISNA(MATCH($F3804,Lists!$A$2:$A$5,0)),"✖ الفترة غير صحيحة",IF(ISNA(MATCH($G3804,Lists!$B$2:$B$7,0)),"✖ المجموعة غير صحيحة",IF(NOT(OR($H3804="",$N3804&gt;0)),"✖ Start غير صحيح",IF(NOT(OR($I3804="",$I3804="NR",$O3804&gt;0)),"✖ Current غير صحيح",IF(NOT(IF(ISNUMBER($J3804),AND($J3804&gt;=0,$J3804=INT($J3804)),FALSE())),"✖ العدد يجب أن يكون صحيحًا ≥ 0",IF(AND($F3804="Baseline",$H3804&lt;&gt;""),"⚠ Baseline: Start لا يدخل في التقدم",IF($K3804="No Start (attainment only)","ℹ تحصيل فقط (بدون Start)",IF($K3804="U – needs rule","ℹ حالة U تحتاج قاعدة معتمدة",IF($K3804="No result","ℹ بدون نتيجة (يُستبعد من التحصيل)","OK")))))))))))</f>
        <v/>
      </c>
      <c r="M3804" s="64" t="n">
        <f aca="false">IF($A3804="",0,IFERROR(MATCH($A3804,Classes!$A$6:$A$420,0),0))</f>
        <v>0</v>
      </c>
      <c r="N3804" s="64" t="n">
        <f aca="false">IF($H3804="",0,IFERROR(MATCH($H3804,GradeList,0),0))</f>
        <v>0</v>
      </c>
      <c r="O3804" s="64" t="n">
        <f aca="false">IF(OR($I3804="",$I3804="NR"),0,IFERROR(MATCH($I3804,GradeList,0),0))</f>
        <v>0</v>
      </c>
      <c r="P3804" s="64" t="n">
        <f aca="false">IF(AND($M3804&gt;0,ISNUMBER(MATCH($F3804,Lists!$A$2:$A$5,0)),ISNUMBER(MATCH($G3804,Lists!$B$2:$B$7,0)),OR($H3804="",$N3804&gt;0),OR($I3804="",$I3804="NR",$O3804&gt;0),IF(ISNUMBER($J3804),AND($J3804&gt;=0,$J3804=INT($J3804)),FALSE())),$J3804,0)</f>
        <v>0</v>
      </c>
      <c r="Q3804" s="64" t="n">
        <f aca="false">IF(AND($P3804&gt;0,$O3804&gt;0),$P3804,0)</f>
        <v>0</v>
      </c>
      <c r="R3804" s="64" t="n">
        <f aca="false">IF(AND($Q3804&gt;0,$O3804&gt;=AtRank),$Q3804,0)</f>
        <v>0</v>
      </c>
      <c r="S3804" s="64" t="n">
        <f aca="false">IF(AND($Q3804&gt;0,$O3804&gt;=AboveRank),$Q3804,0)</f>
        <v>0</v>
      </c>
      <c r="T3804" s="64" t="n">
        <f aca="false">IF($K3804="Less",$P3804,0)</f>
        <v>0</v>
      </c>
      <c r="U3804" s="64" t="n">
        <f aca="false">IF($K3804="Expected",$P3804,0)</f>
        <v>0</v>
      </c>
      <c r="V3804" s="64" t="n">
        <f aca="false">IF($K3804="Better",$P3804,0)</f>
        <v>0</v>
      </c>
      <c r="W3804" s="64" t="n">
        <f aca="false">IF($K3804="U – needs rule",$P3804,0)</f>
        <v>0</v>
      </c>
      <c r="X3804" s="64" t="n">
        <f aca="false">IF($K3804="No Start (attainment only)",$P3804,0)</f>
        <v>0</v>
      </c>
    </row>
    <row r="3805" customFormat="false" ht="15" hidden="false" customHeight="false" outlineLevel="0" collapsed="false">
      <c r="A3805" s="60"/>
      <c r="B3805" s="61" t="str">
        <f aca="false">IF($M3805=0,"",INDEX(Classes!$E$6:$E$420,$M3805))</f>
        <v/>
      </c>
      <c r="C3805" s="62" t="str">
        <f aca="false">IF($M3805=0,"",INDEX(Classes!$H$6:$H$420,$M3805))</f>
        <v/>
      </c>
      <c r="D3805" s="61" t="str">
        <f aca="false">IF($M3805=0,"",INDEX(Classes!$B$6:$B$420,$M3805))</f>
        <v/>
      </c>
      <c r="E3805" s="61" t="str">
        <f aca="false">IF($M3805=0,"",INDEX(Classes!$C$6:$C$420,$M3805))</f>
        <v/>
      </c>
      <c r="F3805" s="63"/>
      <c r="G3805" s="63"/>
      <c r="H3805" s="60"/>
      <c r="I3805" s="60"/>
      <c r="J3805" s="63"/>
      <c r="K3805" s="61" t="str">
        <f aca="false">IF($P3805=0,"",IF($F3805="Baseline","— Baseline",IF($O3805=0,"No result",IF($N3805=0,"No Start (attainment only)",IF(OR($N3805=1,$O3805=1),"U – needs rule",INDEX(MxBody,MATCH($I3805,MxCurr,0),MATCH($H3805,MxStart,0)))))))</f>
        <v/>
      </c>
      <c r="L3805" s="62" t="str">
        <f aca="false">IF(COUNTA($A3805,$F3805,$G3805,$H3805,$I3805,$J3805)=0,"",IF($M3805=0,"✖ كود الصف غير موجود",IF(ISNA(MATCH($F3805,Lists!$A$2:$A$5,0)),"✖ الفترة غير صحيحة",IF(ISNA(MATCH($G3805,Lists!$B$2:$B$7,0)),"✖ المجموعة غير صحيحة",IF(NOT(OR($H3805="",$N3805&gt;0)),"✖ Start غير صحيح",IF(NOT(OR($I3805="",$I3805="NR",$O3805&gt;0)),"✖ Current غير صحيح",IF(NOT(IF(ISNUMBER($J3805),AND($J3805&gt;=0,$J3805=INT($J3805)),FALSE())),"✖ العدد يجب أن يكون صحيحًا ≥ 0",IF(AND($F3805="Baseline",$H3805&lt;&gt;""),"⚠ Baseline: Start لا يدخل في التقدم",IF($K3805="No Start (attainment only)","ℹ تحصيل فقط (بدون Start)",IF($K3805="U – needs rule","ℹ حالة U تحتاج قاعدة معتمدة",IF($K3805="No result","ℹ بدون نتيجة (يُستبعد من التحصيل)","OK")))))))))))</f>
        <v/>
      </c>
      <c r="M3805" s="64" t="n">
        <f aca="false">IF($A3805="",0,IFERROR(MATCH($A3805,Classes!$A$6:$A$420,0),0))</f>
        <v>0</v>
      </c>
      <c r="N3805" s="64" t="n">
        <f aca="false">IF($H3805="",0,IFERROR(MATCH($H3805,GradeList,0),0))</f>
        <v>0</v>
      </c>
      <c r="O3805" s="64" t="n">
        <f aca="false">IF(OR($I3805="",$I3805="NR"),0,IFERROR(MATCH($I3805,GradeList,0),0))</f>
        <v>0</v>
      </c>
      <c r="P3805" s="64" t="n">
        <f aca="false">IF(AND($M3805&gt;0,ISNUMBER(MATCH($F3805,Lists!$A$2:$A$5,0)),ISNUMBER(MATCH($G3805,Lists!$B$2:$B$7,0)),OR($H3805="",$N3805&gt;0),OR($I3805="",$I3805="NR",$O3805&gt;0),IF(ISNUMBER($J3805),AND($J3805&gt;=0,$J3805=INT($J3805)),FALSE())),$J3805,0)</f>
        <v>0</v>
      </c>
      <c r="Q3805" s="64" t="n">
        <f aca="false">IF(AND($P3805&gt;0,$O3805&gt;0),$P3805,0)</f>
        <v>0</v>
      </c>
      <c r="R3805" s="64" t="n">
        <f aca="false">IF(AND($Q3805&gt;0,$O3805&gt;=AtRank),$Q3805,0)</f>
        <v>0</v>
      </c>
      <c r="S3805" s="64" t="n">
        <f aca="false">IF(AND($Q3805&gt;0,$O3805&gt;=AboveRank),$Q3805,0)</f>
        <v>0</v>
      </c>
      <c r="T3805" s="64" t="n">
        <f aca="false">IF($K3805="Less",$P3805,0)</f>
        <v>0</v>
      </c>
      <c r="U3805" s="64" t="n">
        <f aca="false">IF($K3805="Expected",$P3805,0)</f>
        <v>0</v>
      </c>
      <c r="V3805" s="64" t="n">
        <f aca="false">IF($K3805="Better",$P3805,0)</f>
        <v>0</v>
      </c>
      <c r="W3805" s="64" t="n">
        <f aca="false">IF($K3805="U – needs rule",$P3805,0)</f>
        <v>0</v>
      </c>
      <c r="X3805" s="64" t="n">
        <f aca="false">IF($K3805="No Start (attainment only)",$P3805,0)</f>
        <v>0</v>
      </c>
    </row>
    <row r="3806" customFormat="false" ht="15" hidden="false" customHeight="false" outlineLevel="0" collapsed="false">
      <c r="A3806" s="60"/>
      <c r="B3806" s="61" t="str">
        <f aca="false">IF($M3806=0,"",INDEX(Classes!$E$6:$E$420,$M3806))</f>
        <v/>
      </c>
      <c r="C3806" s="62" t="str">
        <f aca="false">IF($M3806=0,"",INDEX(Classes!$H$6:$H$420,$M3806))</f>
        <v/>
      </c>
      <c r="D3806" s="61" t="str">
        <f aca="false">IF($M3806=0,"",INDEX(Classes!$B$6:$B$420,$M3806))</f>
        <v/>
      </c>
      <c r="E3806" s="61" t="str">
        <f aca="false">IF($M3806=0,"",INDEX(Classes!$C$6:$C$420,$M3806))</f>
        <v/>
      </c>
      <c r="F3806" s="63"/>
      <c r="G3806" s="63"/>
      <c r="H3806" s="60"/>
      <c r="I3806" s="60"/>
      <c r="J3806" s="63"/>
      <c r="K3806" s="61" t="str">
        <f aca="false">IF($P3806=0,"",IF($F3806="Baseline","— Baseline",IF($O3806=0,"No result",IF($N3806=0,"No Start (attainment only)",IF(OR($N3806=1,$O3806=1),"U – needs rule",INDEX(MxBody,MATCH($I3806,MxCurr,0),MATCH($H3806,MxStart,0)))))))</f>
        <v/>
      </c>
      <c r="L3806" s="62" t="str">
        <f aca="false">IF(COUNTA($A3806,$F3806,$G3806,$H3806,$I3806,$J3806)=0,"",IF($M3806=0,"✖ كود الصف غير موجود",IF(ISNA(MATCH($F3806,Lists!$A$2:$A$5,0)),"✖ الفترة غير صحيحة",IF(ISNA(MATCH($G3806,Lists!$B$2:$B$7,0)),"✖ المجموعة غير صحيحة",IF(NOT(OR($H3806="",$N3806&gt;0)),"✖ Start غير صحيح",IF(NOT(OR($I3806="",$I3806="NR",$O3806&gt;0)),"✖ Current غير صحيح",IF(NOT(IF(ISNUMBER($J3806),AND($J3806&gt;=0,$J3806=INT($J3806)),FALSE())),"✖ العدد يجب أن يكون صحيحًا ≥ 0",IF(AND($F3806="Baseline",$H3806&lt;&gt;""),"⚠ Baseline: Start لا يدخل في التقدم",IF($K3806="No Start (attainment only)","ℹ تحصيل فقط (بدون Start)",IF($K3806="U – needs rule","ℹ حالة U تحتاج قاعدة معتمدة",IF($K3806="No result","ℹ بدون نتيجة (يُستبعد من التحصيل)","OK")))))))))))</f>
        <v/>
      </c>
      <c r="M3806" s="64" t="n">
        <f aca="false">IF($A3806="",0,IFERROR(MATCH($A3806,Classes!$A$6:$A$420,0),0))</f>
        <v>0</v>
      </c>
      <c r="N3806" s="64" t="n">
        <f aca="false">IF($H3806="",0,IFERROR(MATCH($H3806,GradeList,0),0))</f>
        <v>0</v>
      </c>
      <c r="O3806" s="64" t="n">
        <f aca="false">IF(OR($I3806="",$I3806="NR"),0,IFERROR(MATCH($I3806,GradeList,0),0))</f>
        <v>0</v>
      </c>
      <c r="P3806" s="64" t="n">
        <f aca="false">IF(AND($M3806&gt;0,ISNUMBER(MATCH($F3806,Lists!$A$2:$A$5,0)),ISNUMBER(MATCH($G3806,Lists!$B$2:$B$7,0)),OR($H3806="",$N3806&gt;0),OR($I3806="",$I3806="NR",$O3806&gt;0),IF(ISNUMBER($J3806),AND($J3806&gt;=0,$J3806=INT($J3806)),FALSE())),$J3806,0)</f>
        <v>0</v>
      </c>
      <c r="Q3806" s="64" t="n">
        <f aca="false">IF(AND($P3806&gt;0,$O3806&gt;0),$P3806,0)</f>
        <v>0</v>
      </c>
      <c r="R3806" s="64" t="n">
        <f aca="false">IF(AND($Q3806&gt;0,$O3806&gt;=AtRank),$Q3806,0)</f>
        <v>0</v>
      </c>
      <c r="S3806" s="64" t="n">
        <f aca="false">IF(AND($Q3806&gt;0,$O3806&gt;=AboveRank),$Q3806,0)</f>
        <v>0</v>
      </c>
      <c r="T3806" s="64" t="n">
        <f aca="false">IF($K3806="Less",$P3806,0)</f>
        <v>0</v>
      </c>
      <c r="U3806" s="64" t="n">
        <f aca="false">IF($K3806="Expected",$P3806,0)</f>
        <v>0</v>
      </c>
      <c r="V3806" s="64" t="n">
        <f aca="false">IF($K3806="Better",$P3806,0)</f>
        <v>0</v>
      </c>
      <c r="W3806" s="64" t="n">
        <f aca="false">IF($K3806="U – needs rule",$P3806,0)</f>
        <v>0</v>
      </c>
      <c r="X3806" s="64" t="n">
        <f aca="false">IF($K3806="No Start (attainment only)",$P3806,0)</f>
        <v>0</v>
      </c>
    </row>
    <row r="3807" customFormat="false" ht="15" hidden="false" customHeight="false" outlineLevel="0" collapsed="false">
      <c r="A3807" s="60"/>
      <c r="B3807" s="61" t="str">
        <f aca="false">IF($M3807=0,"",INDEX(Classes!$E$6:$E$420,$M3807))</f>
        <v/>
      </c>
      <c r="C3807" s="62" t="str">
        <f aca="false">IF($M3807=0,"",INDEX(Classes!$H$6:$H$420,$M3807))</f>
        <v/>
      </c>
      <c r="D3807" s="61" t="str">
        <f aca="false">IF($M3807=0,"",INDEX(Classes!$B$6:$B$420,$M3807))</f>
        <v/>
      </c>
      <c r="E3807" s="61" t="str">
        <f aca="false">IF($M3807=0,"",INDEX(Classes!$C$6:$C$420,$M3807))</f>
        <v/>
      </c>
      <c r="F3807" s="63"/>
      <c r="G3807" s="63"/>
      <c r="H3807" s="60"/>
      <c r="I3807" s="60"/>
      <c r="J3807" s="63"/>
      <c r="K3807" s="61" t="str">
        <f aca="false">IF($P3807=0,"",IF($F3807="Baseline","— Baseline",IF($O3807=0,"No result",IF($N3807=0,"No Start (attainment only)",IF(OR($N3807=1,$O3807=1),"U – needs rule",INDEX(MxBody,MATCH($I3807,MxCurr,0),MATCH($H3807,MxStart,0)))))))</f>
        <v/>
      </c>
      <c r="L3807" s="62" t="str">
        <f aca="false">IF(COUNTA($A3807,$F3807,$G3807,$H3807,$I3807,$J3807)=0,"",IF($M3807=0,"✖ كود الصف غير موجود",IF(ISNA(MATCH($F3807,Lists!$A$2:$A$5,0)),"✖ الفترة غير صحيحة",IF(ISNA(MATCH($G3807,Lists!$B$2:$B$7,0)),"✖ المجموعة غير صحيحة",IF(NOT(OR($H3807="",$N3807&gt;0)),"✖ Start غير صحيح",IF(NOT(OR($I3807="",$I3807="NR",$O3807&gt;0)),"✖ Current غير صحيح",IF(NOT(IF(ISNUMBER($J3807),AND($J3807&gt;=0,$J3807=INT($J3807)),FALSE())),"✖ العدد يجب أن يكون صحيحًا ≥ 0",IF(AND($F3807="Baseline",$H3807&lt;&gt;""),"⚠ Baseline: Start لا يدخل في التقدم",IF($K3807="No Start (attainment only)","ℹ تحصيل فقط (بدون Start)",IF($K3807="U – needs rule","ℹ حالة U تحتاج قاعدة معتمدة",IF($K3807="No result","ℹ بدون نتيجة (يُستبعد من التحصيل)","OK")))))))))))</f>
        <v/>
      </c>
      <c r="M3807" s="64" t="n">
        <f aca="false">IF($A3807="",0,IFERROR(MATCH($A3807,Classes!$A$6:$A$420,0),0))</f>
        <v>0</v>
      </c>
      <c r="N3807" s="64" t="n">
        <f aca="false">IF($H3807="",0,IFERROR(MATCH($H3807,GradeList,0),0))</f>
        <v>0</v>
      </c>
      <c r="O3807" s="64" t="n">
        <f aca="false">IF(OR($I3807="",$I3807="NR"),0,IFERROR(MATCH($I3807,GradeList,0),0))</f>
        <v>0</v>
      </c>
      <c r="P3807" s="64" t="n">
        <f aca="false">IF(AND($M3807&gt;0,ISNUMBER(MATCH($F3807,Lists!$A$2:$A$5,0)),ISNUMBER(MATCH($G3807,Lists!$B$2:$B$7,0)),OR($H3807="",$N3807&gt;0),OR($I3807="",$I3807="NR",$O3807&gt;0),IF(ISNUMBER($J3807),AND($J3807&gt;=0,$J3807=INT($J3807)),FALSE())),$J3807,0)</f>
        <v>0</v>
      </c>
      <c r="Q3807" s="64" t="n">
        <f aca="false">IF(AND($P3807&gt;0,$O3807&gt;0),$P3807,0)</f>
        <v>0</v>
      </c>
      <c r="R3807" s="64" t="n">
        <f aca="false">IF(AND($Q3807&gt;0,$O3807&gt;=AtRank),$Q3807,0)</f>
        <v>0</v>
      </c>
      <c r="S3807" s="64" t="n">
        <f aca="false">IF(AND($Q3807&gt;0,$O3807&gt;=AboveRank),$Q3807,0)</f>
        <v>0</v>
      </c>
      <c r="T3807" s="64" t="n">
        <f aca="false">IF($K3807="Less",$P3807,0)</f>
        <v>0</v>
      </c>
      <c r="U3807" s="64" t="n">
        <f aca="false">IF($K3807="Expected",$P3807,0)</f>
        <v>0</v>
      </c>
      <c r="V3807" s="64" t="n">
        <f aca="false">IF($K3807="Better",$P3807,0)</f>
        <v>0</v>
      </c>
      <c r="W3807" s="64" t="n">
        <f aca="false">IF($K3807="U – needs rule",$P3807,0)</f>
        <v>0</v>
      </c>
      <c r="X3807" s="64" t="n">
        <f aca="false">IF($K3807="No Start (attainment only)",$P3807,0)</f>
        <v>0</v>
      </c>
    </row>
    <row r="3808" customFormat="false" ht="15" hidden="false" customHeight="false" outlineLevel="0" collapsed="false">
      <c r="A3808" s="60"/>
      <c r="B3808" s="61" t="str">
        <f aca="false">IF($M3808=0,"",INDEX(Classes!$E$6:$E$420,$M3808))</f>
        <v/>
      </c>
      <c r="C3808" s="62" t="str">
        <f aca="false">IF($M3808=0,"",INDEX(Classes!$H$6:$H$420,$M3808))</f>
        <v/>
      </c>
      <c r="D3808" s="61" t="str">
        <f aca="false">IF($M3808=0,"",INDEX(Classes!$B$6:$B$420,$M3808))</f>
        <v/>
      </c>
      <c r="E3808" s="61" t="str">
        <f aca="false">IF($M3808=0,"",INDEX(Classes!$C$6:$C$420,$M3808))</f>
        <v/>
      </c>
      <c r="F3808" s="63"/>
      <c r="G3808" s="63"/>
      <c r="H3808" s="60"/>
      <c r="I3808" s="60"/>
      <c r="J3808" s="63"/>
      <c r="K3808" s="61" t="str">
        <f aca="false">IF($P3808=0,"",IF($F3808="Baseline","— Baseline",IF($O3808=0,"No result",IF($N3808=0,"No Start (attainment only)",IF(OR($N3808=1,$O3808=1),"U – needs rule",INDEX(MxBody,MATCH($I3808,MxCurr,0),MATCH($H3808,MxStart,0)))))))</f>
        <v/>
      </c>
      <c r="L3808" s="62" t="str">
        <f aca="false">IF(COUNTA($A3808,$F3808,$G3808,$H3808,$I3808,$J3808)=0,"",IF($M3808=0,"✖ كود الصف غير موجود",IF(ISNA(MATCH($F3808,Lists!$A$2:$A$5,0)),"✖ الفترة غير صحيحة",IF(ISNA(MATCH($G3808,Lists!$B$2:$B$7,0)),"✖ المجموعة غير صحيحة",IF(NOT(OR($H3808="",$N3808&gt;0)),"✖ Start غير صحيح",IF(NOT(OR($I3808="",$I3808="NR",$O3808&gt;0)),"✖ Current غير صحيح",IF(NOT(IF(ISNUMBER($J3808),AND($J3808&gt;=0,$J3808=INT($J3808)),FALSE())),"✖ العدد يجب أن يكون صحيحًا ≥ 0",IF(AND($F3808="Baseline",$H3808&lt;&gt;""),"⚠ Baseline: Start لا يدخل في التقدم",IF($K3808="No Start (attainment only)","ℹ تحصيل فقط (بدون Start)",IF($K3808="U – needs rule","ℹ حالة U تحتاج قاعدة معتمدة",IF($K3808="No result","ℹ بدون نتيجة (يُستبعد من التحصيل)","OK")))))))))))</f>
        <v/>
      </c>
      <c r="M3808" s="64" t="n">
        <f aca="false">IF($A3808="",0,IFERROR(MATCH($A3808,Classes!$A$6:$A$420,0),0))</f>
        <v>0</v>
      </c>
      <c r="N3808" s="64" t="n">
        <f aca="false">IF($H3808="",0,IFERROR(MATCH($H3808,GradeList,0),0))</f>
        <v>0</v>
      </c>
      <c r="O3808" s="64" t="n">
        <f aca="false">IF(OR($I3808="",$I3808="NR"),0,IFERROR(MATCH($I3808,GradeList,0),0))</f>
        <v>0</v>
      </c>
      <c r="P3808" s="64" t="n">
        <f aca="false">IF(AND($M3808&gt;0,ISNUMBER(MATCH($F3808,Lists!$A$2:$A$5,0)),ISNUMBER(MATCH($G3808,Lists!$B$2:$B$7,0)),OR($H3808="",$N3808&gt;0),OR($I3808="",$I3808="NR",$O3808&gt;0),IF(ISNUMBER($J3808),AND($J3808&gt;=0,$J3808=INT($J3808)),FALSE())),$J3808,0)</f>
        <v>0</v>
      </c>
      <c r="Q3808" s="64" t="n">
        <f aca="false">IF(AND($P3808&gt;0,$O3808&gt;0),$P3808,0)</f>
        <v>0</v>
      </c>
      <c r="R3808" s="64" t="n">
        <f aca="false">IF(AND($Q3808&gt;0,$O3808&gt;=AtRank),$Q3808,0)</f>
        <v>0</v>
      </c>
      <c r="S3808" s="64" t="n">
        <f aca="false">IF(AND($Q3808&gt;0,$O3808&gt;=AboveRank),$Q3808,0)</f>
        <v>0</v>
      </c>
      <c r="T3808" s="64" t="n">
        <f aca="false">IF($K3808="Less",$P3808,0)</f>
        <v>0</v>
      </c>
      <c r="U3808" s="64" t="n">
        <f aca="false">IF($K3808="Expected",$P3808,0)</f>
        <v>0</v>
      </c>
      <c r="V3808" s="64" t="n">
        <f aca="false">IF($K3808="Better",$P3808,0)</f>
        <v>0</v>
      </c>
      <c r="W3808" s="64" t="n">
        <f aca="false">IF($K3808="U – needs rule",$P3808,0)</f>
        <v>0</v>
      </c>
      <c r="X3808" s="64" t="n">
        <f aca="false">IF($K3808="No Start (attainment only)",$P3808,0)</f>
        <v>0</v>
      </c>
    </row>
    <row r="3809" customFormat="false" ht="15" hidden="false" customHeight="false" outlineLevel="0" collapsed="false">
      <c r="A3809" s="60"/>
      <c r="B3809" s="61" t="str">
        <f aca="false">IF($M3809=0,"",INDEX(Classes!$E$6:$E$420,$M3809))</f>
        <v/>
      </c>
      <c r="C3809" s="62" t="str">
        <f aca="false">IF($M3809=0,"",INDEX(Classes!$H$6:$H$420,$M3809))</f>
        <v/>
      </c>
      <c r="D3809" s="61" t="str">
        <f aca="false">IF($M3809=0,"",INDEX(Classes!$B$6:$B$420,$M3809))</f>
        <v/>
      </c>
      <c r="E3809" s="61" t="str">
        <f aca="false">IF($M3809=0,"",INDEX(Classes!$C$6:$C$420,$M3809))</f>
        <v/>
      </c>
      <c r="F3809" s="63"/>
      <c r="G3809" s="63"/>
      <c r="H3809" s="60"/>
      <c r="I3809" s="60"/>
      <c r="J3809" s="63"/>
      <c r="K3809" s="61" t="str">
        <f aca="false">IF($P3809=0,"",IF($F3809="Baseline","— Baseline",IF($O3809=0,"No result",IF($N3809=0,"No Start (attainment only)",IF(OR($N3809=1,$O3809=1),"U – needs rule",INDEX(MxBody,MATCH($I3809,MxCurr,0),MATCH($H3809,MxStart,0)))))))</f>
        <v/>
      </c>
      <c r="L3809" s="62" t="str">
        <f aca="false">IF(COUNTA($A3809,$F3809,$G3809,$H3809,$I3809,$J3809)=0,"",IF($M3809=0,"✖ كود الصف غير موجود",IF(ISNA(MATCH($F3809,Lists!$A$2:$A$5,0)),"✖ الفترة غير صحيحة",IF(ISNA(MATCH($G3809,Lists!$B$2:$B$7,0)),"✖ المجموعة غير صحيحة",IF(NOT(OR($H3809="",$N3809&gt;0)),"✖ Start غير صحيح",IF(NOT(OR($I3809="",$I3809="NR",$O3809&gt;0)),"✖ Current غير صحيح",IF(NOT(IF(ISNUMBER($J3809),AND($J3809&gt;=0,$J3809=INT($J3809)),FALSE())),"✖ العدد يجب أن يكون صحيحًا ≥ 0",IF(AND($F3809="Baseline",$H3809&lt;&gt;""),"⚠ Baseline: Start لا يدخل في التقدم",IF($K3809="No Start (attainment only)","ℹ تحصيل فقط (بدون Start)",IF($K3809="U – needs rule","ℹ حالة U تحتاج قاعدة معتمدة",IF($K3809="No result","ℹ بدون نتيجة (يُستبعد من التحصيل)","OK")))))))))))</f>
        <v/>
      </c>
      <c r="M3809" s="64" t="n">
        <f aca="false">IF($A3809="",0,IFERROR(MATCH($A3809,Classes!$A$6:$A$420,0),0))</f>
        <v>0</v>
      </c>
      <c r="N3809" s="64" t="n">
        <f aca="false">IF($H3809="",0,IFERROR(MATCH($H3809,GradeList,0),0))</f>
        <v>0</v>
      </c>
      <c r="O3809" s="64" t="n">
        <f aca="false">IF(OR($I3809="",$I3809="NR"),0,IFERROR(MATCH($I3809,GradeList,0),0))</f>
        <v>0</v>
      </c>
      <c r="P3809" s="64" t="n">
        <f aca="false">IF(AND($M3809&gt;0,ISNUMBER(MATCH($F3809,Lists!$A$2:$A$5,0)),ISNUMBER(MATCH($G3809,Lists!$B$2:$B$7,0)),OR($H3809="",$N3809&gt;0),OR($I3809="",$I3809="NR",$O3809&gt;0),IF(ISNUMBER($J3809),AND($J3809&gt;=0,$J3809=INT($J3809)),FALSE())),$J3809,0)</f>
        <v>0</v>
      </c>
      <c r="Q3809" s="64" t="n">
        <f aca="false">IF(AND($P3809&gt;0,$O3809&gt;0),$P3809,0)</f>
        <v>0</v>
      </c>
      <c r="R3809" s="64" t="n">
        <f aca="false">IF(AND($Q3809&gt;0,$O3809&gt;=AtRank),$Q3809,0)</f>
        <v>0</v>
      </c>
      <c r="S3809" s="64" t="n">
        <f aca="false">IF(AND($Q3809&gt;0,$O3809&gt;=AboveRank),$Q3809,0)</f>
        <v>0</v>
      </c>
      <c r="T3809" s="64" t="n">
        <f aca="false">IF($K3809="Less",$P3809,0)</f>
        <v>0</v>
      </c>
      <c r="U3809" s="64" t="n">
        <f aca="false">IF($K3809="Expected",$P3809,0)</f>
        <v>0</v>
      </c>
      <c r="V3809" s="64" t="n">
        <f aca="false">IF($K3809="Better",$P3809,0)</f>
        <v>0</v>
      </c>
      <c r="W3809" s="64" t="n">
        <f aca="false">IF($K3809="U – needs rule",$P3809,0)</f>
        <v>0</v>
      </c>
      <c r="X3809" s="64" t="n">
        <f aca="false">IF($K3809="No Start (attainment only)",$P3809,0)</f>
        <v>0</v>
      </c>
    </row>
    <row r="3810" customFormat="false" ht="15" hidden="false" customHeight="false" outlineLevel="0" collapsed="false">
      <c r="A3810" s="60"/>
      <c r="B3810" s="61" t="str">
        <f aca="false">IF($M3810=0,"",INDEX(Classes!$E$6:$E$420,$M3810))</f>
        <v/>
      </c>
      <c r="C3810" s="62" t="str">
        <f aca="false">IF($M3810=0,"",INDEX(Classes!$H$6:$H$420,$M3810))</f>
        <v/>
      </c>
      <c r="D3810" s="61" t="str">
        <f aca="false">IF($M3810=0,"",INDEX(Classes!$B$6:$B$420,$M3810))</f>
        <v/>
      </c>
      <c r="E3810" s="61" t="str">
        <f aca="false">IF($M3810=0,"",INDEX(Classes!$C$6:$C$420,$M3810))</f>
        <v/>
      </c>
      <c r="F3810" s="63"/>
      <c r="G3810" s="63"/>
      <c r="H3810" s="60"/>
      <c r="I3810" s="60"/>
      <c r="J3810" s="63"/>
      <c r="K3810" s="61" t="str">
        <f aca="false">IF($P3810=0,"",IF($F3810="Baseline","— Baseline",IF($O3810=0,"No result",IF($N3810=0,"No Start (attainment only)",IF(OR($N3810=1,$O3810=1),"U – needs rule",INDEX(MxBody,MATCH($I3810,MxCurr,0),MATCH($H3810,MxStart,0)))))))</f>
        <v/>
      </c>
      <c r="L3810" s="62" t="str">
        <f aca="false">IF(COUNTA($A3810,$F3810,$G3810,$H3810,$I3810,$J3810)=0,"",IF($M3810=0,"✖ كود الصف غير موجود",IF(ISNA(MATCH($F3810,Lists!$A$2:$A$5,0)),"✖ الفترة غير صحيحة",IF(ISNA(MATCH($G3810,Lists!$B$2:$B$7,0)),"✖ المجموعة غير صحيحة",IF(NOT(OR($H3810="",$N3810&gt;0)),"✖ Start غير صحيح",IF(NOT(OR($I3810="",$I3810="NR",$O3810&gt;0)),"✖ Current غير صحيح",IF(NOT(IF(ISNUMBER($J3810),AND($J3810&gt;=0,$J3810=INT($J3810)),FALSE())),"✖ العدد يجب أن يكون صحيحًا ≥ 0",IF(AND($F3810="Baseline",$H3810&lt;&gt;""),"⚠ Baseline: Start لا يدخل في التقدم",IF($K3810="No Start (attainment only)","ℹ تحصيل فقط (بدون Start)",IF($K3810="U – needs rule","ℹ حالة U تحتاج قاعدة معتمدة",IF($K3810="No result","ℹ بدون نتيجة (يُستبعد من التحصيل)","OK")))))))))))</f>
        <v/>
      </c>
      <c r="M3810" s="64" t="n">
        <f aca="false">IF($A3810="",0,IFERROR(MATCH($A3810,Classes!$A$6:$A$420,0),0))</f>
        <v>0</v>
      </c>
      <c r="N3810" s="64" t="n">
        <f aca="false">IF($H3810="",0,IFERROR(MATCH($H3810,GradeList,0),0))</f>
        <v>0</v>
      </c>
      <c r="O3810" s="64" t="n">
        <f aca="false">IF(OR($I3810="",$I3810="NR"),0,IFERROR(MATCH($I3810,GradeList,0),0))</f>
        <v>0</v>
      </c>
      <c r="P3810" s="64" t="n">
        <f aca="false">IF(AND($M3810&gt;0,ISNUMBER(MATCH($F3810,Lists!$A$2:$A$5,0)),ISNUMBER(MATCH($G3810,Lists!$B$2:$B$7,0)),OR($H3810="",$N3810&gt;0),OR($I3810="",$I3810="NR",$O3810&gt;0),IF(ISNUMBER($J3810),AND($J3810&gt;=0,$J3810=INT($J3810)),FALSE())),$J3810,0)</f>
        <v>0</v>
      </c>
      <c r="Q3810" s="64" t="n">
        <f aca="false">IF(AND($P3810&gt;0,$O3810&gt;0),$P3810,0)</f>
        <v>0</v>
      </c>
      <c r="R3810" s="64" t="n">
        <f aca="false">IF(AND($Q3810&gt;0,$O3810&gt;=AtRank),$Q3810,0)</f>
        <v>0</v>
      </c>
      <c r="S3810" s="64" t="n">
        <f aca="false">IF(AND($Q3810&gt;0,$O3810&gt;=AboveRank),$Q3810,0)</f>
        <v>0</v>
      </c>
      <c r="T3810" s="64" t="n">
        <f aca="false">IF($K3810="Less",$P3810,0)</f>
        <v>0</v>
      </c>
      <c r="U3810" s="64" t="n">
        <f aca="false">IF($K3810="Expected",$P3810,0)</f>
        <v>0</v>
      </c>
      <c r="V3810" s="64" t="n">
        <f aca="false">IF($K3810="Better",$P3810,0)</f>
        <v>0</v>
      </c>
      <c r="W3810" s="64" t="n">
        <f aca="false">IF($K3810="U – needs rule",$P3810,0)</f>
        <v>0</v>
      </c>
      <c r="X3810" s="64" t="n">
        <f aca="false">IF($K3810="No Start (attainment only)",$P3810,0)</f>
        <v>0</v>
      </c>
    </row>
    <row r="3811" customFormat="false" ht="15" hidden="false" customHeight="false" outlineLevel="0" collapsed="false">
      <c r="A3811" s="60"/>
      <c r="B3811" s="61" t="str">
        <f aca="false">IF($M3811=0,"",INDEX(Classes!$E$6:$E$420,$M3811))</f>
        <v/>
      </c>
      <c r="C3811" s="62" t="str">
        <f aca="false">IF($M3811=0,"",INDEX(Classes!$H$6:$H$420,$M3811))</f>
        <v/>
      </c>
      <c r="D3811" s="61" t="str">
        <f aca="false">IF($M3811=0,"",INDEX(Classes!$B$6:$B$420,$M3811))</f>
        <v/>
      </c>
      <c r="E3811" s="61" t="str">
        <f aca="false">IF($M3811=0,"",INDEX(Classes!$C$6:$C$420,$M3811))</f>
        <v/>
      </c>
      <c r="F3811" s="63"/>
      <c r="G3811" s="63"/>
      <c r="H3811" s="60"/>
      <c r="I3811" s="60"/>
      <c r="J3811" s="63"/>
      <c r="K3811" s="61" t="str">
        <f aca="false">IF($P3811=0,"",IF($F3811="Baseline","— Baseline",IF($O3811=0,"No result",IF($N3811=0,"No Start (attainment only)",IF(OR($N3811=1,$O3811=1),"U – needs rule",INDEX(MxBody,MATCH($I3811,MxCurr,0),MATCH($H3811,MxStart,0)))))))</f>
        <v/>
      </c>
      <c r="L3811" s="62" t="str">
        <f aca="false">IF(COUNTA($A3811,$F3811,$G3811,$H3811,$I3811,$J3811)=0,"",IF($M3811=0,"✖ كود الصف غير موجود",IF(ISNA(MATCH($F3811,Lists!$A$2:$A$5,0)),"✖ الفترة غير صحيحة",IF(ISNA(MATCH($G3811,Lists!$B$2:$B$7,0)),"✖ المجموعة غير صحيحة",IF(NOT(OR($H3811="",$N3811&gt;0)),"✖ Start غير صحيح",IF(NOT(OR($I3811="",$I3811="NR",$O3811&gt;0)),"✖ Current غير صحيح",IF(NOT(IF(ISNUMBER($J3811),AND($J3811&gt;=0,$J3811=INT($J3811)),FALSE())),"✖ العدد يجب أن يكون صحيحًا ≥ 0",IF(AND($F3811="Baseline",$H3811&lt;&gt;""),"⚠ Baseline: Start لا يدخل في التقدم",IF($K3811="No Start (attainment only)","ℹ تحصيل فقط (بدون Start)",IF($K3811="U – needs rule","ℹ حالة U تحتاج قاعدة معتمدة",IF($K3811="No result","ℹ بدون نتيجة (يُستبعد من التحصيل)","OK")))))))))))</f>
        <v/>
      </c>
      <c r="M3811" s="64" t="n">
        <f aca="false">IF($A3811="",0,IFERROR(MATCH($A3811,Classes!$A$6:$A$420,0),0))</f>
        <v>0</v>
      </c>
      <c r="N3811" s="64" t="n">
        <f aca="false">IF($H3811="",0,IFERROR(MATCH($H3811,GradeList,0),0))</f>
        <v>0</v>
      </c>
      <c r="O3811" s="64" t="n">
        <f aca="false">IF(OR($I3811="",$I3811="NR"),0,IFERROR(MATCH($I3811,GradeList,0),0))</f>
        <v>0</v>
      </c>
      <c r="P3811" s="64" t="n">
        <f aca="false">IF(AND($M3811&gt;0,ISNUMBER(MATCH($F3811,Lists!$A$2:$A$5,0)),ISNUMBER(MATCH($G3811,Lists!$B$2:$B$7,0)),OR($H3811="",$N3811&gt;0),OR($I3811="",$I3811="NR",$O3811&gt;0),IF(ISNUMBER($J3811),AND($J3811&gt;=0,$J3811=INT($J3811)),FALSE())),$J3811,0)</f>
        <v>0</v>
      </c>
      <c r="Q3811" s="64" t="n">
        <f aca="false">IF(AND($P3811&gt;0,$O3811&gt;0),$P3811,0)</f>
        <v>0</v>
      </c>
      <c r="R3811" s="64" t="n">
        <f aca="false">IF(AND($Q3811&gt;0,$O3811&gt;=AtRank),$Q3811,0)</f>
        <v>0</v>
      </c>
      <c r="S3811" s="64" t="n">
        <f aca="false">IF(AND($Q3811&gt;0,$O3811&gt;=AboveRank),$Q3811,0)</f>
        <v>0</v>
      </c>
      <c r="T3811" s="64" t="n">
        <f aca="false">IF($K3811="Less",$P3811,0)</f>
        <v>0</v>
      </c>
      <c r="U3811" s="64" t="n">
        <f aca="false">IF($K3811="Expected",$P3811,0)</f>
        <v>0</v>
      </c>
      <c r="V3811" s="64" t="n">
        <f aca="false">IF($K3811="Better",$P3811,0)</f>
        <v>0</v>
      </c>
      <c r="W3811" s="64" t="n">
        <f aca="false">IF($K3811="U – needs rule",$P3811,0)</f>
        <v>0</v>
      </c>
      <c r="X3811" s="64" t="n">
        <f aca="false">IF($K3811="No Start (attainment only)",$P3811,0)</f>
        <v>0</v>
      </c>
    </row>
    <row r="3812" customFormat="false" ht="15" hidden="false" customHeight="false" outlineLevel="0" collapsed="false">
      <c r="A3812" s="60"/>
      <c r="B3812" s="61" t="str">
        <f aca="false">IF($M3812=0,"",INDEX(Classes!$E$6:$E$420,$M3812))</f>
        <v/>
      </c>
      <c r="C3812" s="62" t="str">
        <f aca="false">IF($M3812=0,"",INDEX(Classes!$H$6:$H$420,$M3812))</f>
        <v/>
      </c>
      <c r="D3812" s="61" t="str">
        <f aca="false">IF($M3812=0,"",INDEX(Classes!$B$6:$B$420,$M3812))</f>
        <v/>
      </c>
      <c r="E3812" s="61" t="str">
        <f aca="false">IF($M3812=0,"",INDEX(Classes!$C$6:$C$420,$M3812))</f>
        <v/>
      </c>
      <c r="F3812" s="63"/>
      <c r="G3812" s="63"/>
      <c r="H3812" s="60"/>
      <c r="I3812" s="60"/>
      <c r="J3812" s="63"/>
      <c r="K3812" s="61" t="str">
        <f aca="false">IF($P3812=0,"",IF($F3812="Baseline","— Baseline",IF($O3812=0,"No result",IF($N3812=0,"No Start (attainment only)",IF(OR($N3812=1,$O3812=1),"U – needs rule",INDEX(MxBody,MATCH($I3812,MxCurr,0),MATCH($H3812,MxStart,0)))))))</f>
        <v/>
      </c>
      <c r="L3812" s="62" t="str">
        <f aca="false">IF(COUNTA($A3812,$F3812,$G3812,$H3812,$I3812,$J3812)=0,"",IF($M3812=0,"✖ كود الصف غير موجود",IF(ISNA(MATCH($F3812,Lists!$A$2:$A$5,0)),"✖ الفترة غير صحيحة",IF(ISNA(MATCH($G3812,Lists!$B$2:$B$7,0)),"✖ المجموعة غير صحيحة",IF(NOT(OR($H3812="",$N3812&gt;0)),"✖ Start غير صحيح",IF(NOT(OR($I3812="",$I3812="NR",$O3812&gt;0)),"✖ Current غير صحيح",IF(NOT(IF(ISNUMBER($J3812),AND($J3812&gt;=0,$J3812=INT($J3812)),FALSE())),"✖ العدد يجب أن يكون صحيحًا ≥ 0",IF(AND($F3812="Baseline",$H3812&lt;&gt;""),"⚠ Baseline: Start لا يدخل في التقدم",IF($K3812="No Start (attainment only)","ℹ تحصيل فقط (بدون Start)",IF($K3812="U – needs rule","ℹ حالة U تحتاج قاعدة معتمدة",IF($K3812="No result","ℹ بدون نتيجة (يُستبعد من التحصيل)","OK")))))))))))</f>
        <v/>
      </c>
      <c r="M3812" s="64" t="n">
        <f aca="false">IF($A3812="",0,IFERROR(MATCH($A3812,Classes!$A$6:$A$420,0),0))</f>
        <v>0</v>
      </c>
      <c r="N3812" s="64" t="n">
        <f aca="false">IF($H3812="",0,IFERROR(MATCH($H3812,GradeList,0),0))</f>
        <v>0</v>
      </c>
      <c r="O3812" s="64" t="n">
        <f aca="false">IF(OR($I3812="",$I3812="NR"),0,IFERROR(MATCH($I3812,GradeList,0),0))</f>
        <v>0</v>
      </c>
      <c r="P3812" s="64" t="n">
        <f aca="false">IF(AND($M3812&gt;0,ISNUMBER(MATCH($F3812,Lists!$A$2:$A$5,0)),ISNUMBER(MATCH($G3812,Lists!$B$2:$B$7,0)),OR($H3812="",$N3812&gt;0),OR($I3812="",$I3812="NR",$O3812&gt;0),IF(ISNUMBER($J3812),AND($J3812&gt;=0,$J3812=INT($J3812)),FALSE())),$J3812,0)</f>
        <v>0</v>
      </c>
      <c r="Q3812" s="64" t="n">
        <f aca="false">IF(AND($P3812&gt;0,$O3812&gt;0),$P3812,0)</f>
        <v>0</v>
      </c>
      <c r="R3812" s="64" t="n">
        <f aca="false">IF(AND($Q3812&gt;0,$O3812&gt;=AtRank),$Q3812,0)</f>
        <v>0</v>
      </c>
      <c r="S3812" s="64" t="n">
        <f aca="false">IF(AND($Q3812&gt;0,$O3812&gt;=AboveRank),$Q3812,0)</f>
        <v>0</v>
      </c>
      <c r="T3812" s="64" t="n">
        <f aca="false">IF($K3812="Less",$P3812,0)</f>
        <v>0</v>
      </c>
      <c r="U3812" s="64" t="n">
        <f aca="false">IF($K3812="Expected",$P3812,0)</f>
        <v>0</v>
      </c>
      <c r="V3812" s="64" t="n">
        <f aca="false">IF($K3812="Better",$P3812,0)</f>
        <v>0</v>
      </c>
      <c r="W3812" s="64" t="n">
        <f aca="false">IF($K3812="U – needs rule",$P3812,0)</f>
        <v>0</v>
      </c>
      <c r="X3812" s="64" t="n">
        <f aca="false">IF($K3812="No Start (attainment only)",$P3812,0)</f>
        <v>0</v>
      </c>
    </row>
    <row r="3813" customFormat="false" ht="15" hidden="false" customHeight="false" outlineLevel="0" collapsed="false">
      <c r="A3813" s="60"/>
      <c r="B3813" s="61" t="str">
        <f aca="false">IF($M3813=0,"",INDEX(Classes!$E$6:$E$420,$M3813))</f>
        <v/>
      </c>
      <c r="C3813" s="62" t="str">
        <f aca="false">IF($M3813=0,"",INDEX(Classes!$H$6:$H$420,$M3813))</f>
        <v/>
      </c>
      <c r="D3813" s="61" t="str">
        <f aca="false">IF($M3813=0,"",INDEX(Classes!$B$6:$B$420,$M3813))</f>
        <v/>
      </c>
      <c r="E3813" s="61" t="str">
        <f aca="false">IF($M3813=0,"",INDEX(Classes!$C$6:$C$420,$M3813))</f>
        <v/>
      </c>
      <c r="F3813" s="63"/>
      <c r="G3813" s="63"/>
      <c r="H3813" s="60"/>
      <c r="I3813" s="60"/>
      <c r="J3813" s="63"/>
      <c r="K3813" s="61" t="str">
        <f aca="false">IF($P3813=0,"",IF($F3813="Baseline","— Baseline",IF($O3813=0,"No result",IF($N3813=0,"No Start (attainment only)",IF(OR($N3813=1,$O3813=1),"U – needs rule",INDEX(MxBody,MATCH($I3813,MxCurr,0),MATCH($H3813,MxStart,0)))))))</f>
        <v/>
      </c>
      <c r="L3813" s="62" t="str">
        <f aca="false">IF(COUNTA($A3813,$F3813,$G3813,$H3813,$I3813,$J3813)=0,"",IF($M3813=0,"✖ كود الصف غير موجود",IF(ISNA(MATCH($F3813,Lists!$A$2:$A$5,0)),"✖ الفترة غير صحيحة",IF(ISNA(MATCH($G3813,Lists!$B$2:$B$7,0)),"✖ المجموعة غير صحيحة",IF(NOT(OR($H3813="",$N3813&gt;0)),"✖ Start غير صحيح",IF(NOT(OR($I3813="",$I3813="NR",$O3813&gt;0)),"✖ Current غير صحيح",IF(NOT(IF(ISNUMBER($J3813),AND($J3813&gt;=0,$J3813=INT($J3813)),FALSE())),"✖ العدد يجب أن يكون صحيحًا ≥ 0",IF(AND($F3813="Baseline",$H3813&lt;&gt;""),"⚠ Baseline: Start لا يدخل في التقدم",IF($K3813="No Start (attainment only)","ℹ تحصيل فقط (بدون Start)",IF($K3813="U – needs rule","ℹ حالة U تحتاج قاعدة معتمدة",IF($K3813="No result","ℹ بدون نتيجة (يُستبعد من التحصيل)","OK")))))))))))</f>
        <v/>
      </c>
      <c r="M3813" s="64" t="n">
        <f aca="false">IF($A3813="",0,IFERROR(MATCH($A3813,Classes!$A$6:$A$420,0),0))</f>
        <v>0</v>
      </c>
      <c r="N3813" s="64" t="n">
        <f aca="false">IF($H3813="",0,IFERROR(MATCH($H3813,GradeList,0),0))</f>
        <v>0</v>
      </c>
      <c r="O3813" s="64" t="n">
        <f aca="false">IF(OR($I3813="",$I3813="NR"),0,IFERROR(MATCH($I3813,GradeList,0),0))</f>
        <v>0</v>
      </c>
      <c r="P3813" s="64" t="n">
        <f aca="false">IF(AND($M3813&gt;0,ISNUMBER(MATCH($F3813,Lists!$A$2:$A$5,0)),ISNUMBER(MATCH($G3813,Lists!$B$2:$B$7,0)),OR($H3813="",$N3813&gt;0),OR($I3813="",$I3813="NR",$O3813&gt;0),IF(ISNUMBER($J3813),AND($J3813&gt;=0,$J3813=INT($J3813)),FALSE())),$J3813,0)</f>
        <v>0</v>
      </c>
      <c r="Q3813" s="64" t="n">
        <f aca="false">IF(AND($P3813&gt;0,$O3813&gt;0),$P3813,0)</f>
        <v>0</v>
      </c>
      <c r="R3813" s="64" t="n">
        <f aca="false">IF(AND($Q3813&gt;0,$O3813&gt;=AtRank),$Q3813,0)</f>
        <v>0</v>
      </c>
      <c r="S3813" s="64" t="n">
        <f aca="false">IF(AND($Q3813&gt;0,$O3813&gt;=AboveRank),$Q3813,0)</f>
        <v>0</v>
      </c>
      <c r="T3813" s="64" t="n">
        <f aca="false">IF($K3813="Less",$P3813,0)</f>
        <v>0</v>
      </c>
      <c r="U3813" s="64" t="n">
        <f aca="false">IF($K3813="Expected",$P3813,0)</f>
        <v>0</v>
      </c>
      <c r="V3813" s="64" t="n">
        <f aca="false">IF($K3813="Better",$P3813,0)</f>
        <v>0</v>
      </c>
      <c r="W3813" s="64" t="n">
        <f aca="false">IF($K3813="U – needs rule",$P3813,0)</f>
        <v>0</v>
      </c>
      <c r="X3813" s="64" t="n">
        <f aca="false">IF($K3813="No Start (attainment only)",$P3813,0)</f>
        <v>0</v>
      </c>
    </row>
    <row r="3814" customFormat="false" ht="15" hidden="false" customHeight="false" outlineLevel="0" collapsed="false">
      <c r="A3814" s="60"/>
      <c r="B3814" s="61" t="str">
        <f aca="false">IF($M3814=0,"",INDEX(Classes!$E$6:$E$420,$M3814))</f>
        <v/>
      </c>
      <c r="C3814" s="62" t="str">
        <f aca="false">IF($M3814=0,"",INDEX(Classes!$H$6:$H$420,$M3814))</f>
        <v/>
      </c>
      <c r="D3814" s="61" t="str">
        <f aca="false">IF($M3814=0,"",INDEX(Classes!$B$6:$B$420,$M3814))</f>
        <v/>
      </c>
      <c r="E3814" s="61" t="str">
        <f aca="false">IF($M3814=0,"",INDEX(Classes!$C$6:$C$420,$M3814))</f>
        <v/>
      </c>
      <c r="F3814" s="63"/>
      <c r="G3814" s="63"/>
      <c r="H3814" s="60"/>
      <c r="I3814" s="60"/>
      <c r="J3814" s="63"/>
      <c r="K3814" s="61" t="str">
        <f aca="false">IF($P3814=0,"",IF($F3814="Baseline","— Baseline",IF($O3814=0,"No result",IF($N3814=0,"No Start (attainment only)",IF(OR($N3814=1,$O3814=1),"U – needs rule",INDEX(MxBody,MATCH($I3814,MxCurr,0),MATCH($H3814,MxStart,0)))))))</f>
        <v/>
      </c>
      <c r="L3814" s="62" t="str">
        <f aca="false">IF(COUNTA($A3814,$F3814,$G3814,$H3814,$I3814,$J3814)=0,"",IF($M3814=0,"✖ كود الصف غير موجود",IF(ISNA(MATCH($F3814,Lists!$A$2:$A$5,0)),"✖ الفترة غير صحيحة",IF(ISNA(MATCH($G3814,Lists!$B$2:$B$7,0)),"✖ المجموعة غير صحيحة",IF(NOT(OR($H3814="",$N3814&gt;0)),"✖ Start غير صحيح",IF(NOT(OR($I3814="",$I3814="NR",$O3814&gt;0)),"✖ Current غير صحيح",IF(NOT(IF(ISNUMBER($J3814),AND($J3814&gt;=0,$J3814=INT($J3814)),FALSE())),"✖ العدد يجب أن يكون صحيحًا ≥ 0",IF(AND($F3814="Baseline",$H3814&lt;&gt;""),"⚠ Baseline: Start لا يدخل في التقدم",IF($K3814="No Start (attainment only)","ℹ تحصيل فقط (بدون Start)",IF($K3814="U – needs rule","ℹ حالة U تحتاج قاعدة معتمدة",IF($K3814="No result","ℹ بدون نتيجة (يُستبعد من التحصيل)","OK")))))))))))</f>
        <v/>
      </c>
      <c r="M3814" s="64" t="n">
        <f aca="false">IF($A3814="",0,IFERROR(MATCH($A3814,Classes!$A$6:$A$420,0),0))</f>
        <v>0</v>
      </c>
      <c r="N3814" s="64" t="n">
        <f aca="false">IF($H3814="",0,IFERROR(MATCH($H3814,GradeList,0),0))</f>
        <v>0</v>
      </c>
      <c r="O3814" s="64" t="n">
        <f aca="false">IF(OR($I3814="",$I3814="NR"),0,IFERROR(MATCH($I3814,GradeList,0),0))</f>
        <v>0</v>
      </c>
      <c r="P3814" s="64" t="n">
        <f aca="false">IF(AND($M3814&gt;0,ISNUMBER(MATCH($F3814,Lists!$A$2:$A$5,0)),ISNUMBER(MATCH($G3814,Lists!$B$2:$B$7,0)),OR($H3814="",$N3814&gt;0),OR($I3814="",$I3814="NR",$O3814&gt;0),IF(ISNUMBER($J3814),AND($J3814&gt;=0,$J3814=INT($J3814)),FALSE())),$J3814,0)</f>
        <v>0</v>
      </c>
      <c r="Q3814" s="64" t="n">
        <f aca="false">IF(AND($P3814&gt;0,$O3814&gt;0),$P3814,0)</f>
        <v>0</v>
      </c>
      <c r="R3814" s="64" t="n">
        <f aca="false">IF(AND($Q3814&gt;0,$O3814&gt;=AtRank),$Q3814,0)</f>
        <v>0</v>
      </c>
      <c r="S3814" s="64" t="n">
        <f aca="false">IF(AND($Q3814&gt;0,$O3814&gt;=AboveRank),$Q3814,0)</f>
        <v>0</v>
      </c>
      <c r="T3814" s="64" t="n">
        <f aca="false">IF($K3814="Less",$P3814,0)</f>
        <v>0</v>
      </c>
      <c r="U3814" s="64" t="n">
        <f aca="false">IF($K3814="Expected",$P3814,0)</f>
        <v>0</v>
      </c>
      <c r="V3814" s="64" t="n">
        <f aca="false">IF($K3814="Better",$P3814,0)</f>
        <v>0</v>
      </c>
      <c r="W3814" s="64" t="n">
        <f aca="false">IF($K3814="U – needs rule",$P3814,0)</f>
        <v>0</v>
      </c>
      <c r="X3814" s="64" t="n">
        <f aca="false">IF($K3814="No Start (attainment only)",$P3814,0)</f>
        <v>0</v>
      </c>
    </row>
    <row r="3815" customFormat="false" ht="15" hidden="false" customHeight="false" outlineLevel="0" collapsed="false">
      <c r="A3815" s="60"/>
      <c r="B3815" s="61" t="str">
        <f aca="false">IF($M3815=0,"",INDEX(Classes!$E$6:$E$420,$M3815))</f>
        <v/>
      </c>
      <c r="C3815" s="62" t="str">
        <f aca="false">IF($M3815=0,"",INDEX(Classes!$H$6:$H$420,$M3815))</f>
        <v/>
      </c>
      <c r="D3815" s="61" t="str">
        <f aca="false">IF($M3815=0,"",INDEX(Classes!$B$6:$B$420,$M3815))</f>
        <v/>
      </c>
      <c r="E3815" s="61" t="str">
        <f aca="false">IF($M3815=0,"",INDEX(Classes!$C$6:$C$420,$M3815))</f>
        <v/>
      </c>
      <c r="F3815" s="63"/>
      <c r="G3815" s="63"/>
      <c r="H3815" s="60"/>
      <c r="I3815" s="60"/>
      <c r="J3815" s="63"/>
      <c r="K3815" s="61" t="str">
        <f aca="false">IF($P3815=0,"",IF($F3815="Baseline","— Baseline",IF($O3815=0,"No result",IF($N3815=0,"No Start (attainment only)",IF(OR($N3815=1,$O3815=1),"U – needs rule",INDEX(MxBody,MATCH($I3815,MxCurr,0),MATCH($H3815,MxStart,0)))))))</f>
        <v/>
      </c>
      <c r="L3815" s="62" t="str">
        <f aca="false">IF(COUNTA($A3815,$F3815,$G3815,$H3815,$I3815,$J3815)=0,"",IF($M3815=0,"✖ كود الصف غير موجود",IF(ISNA(MATCH($F3815,Lists!$A$2:$A$5,0)),"✖ الفترة غير صحيحة",IF(ISNA(MATCH($G3815,Lists!$B$2:$B$7,0)),"✖ المجموعة غير صحيحة",IF(NOT(OR($H3815="",$N3815&gt;0)),"✖ Start غير صحيح",IF(NOT(OR($I3815="",$I3815="NR",$O3815&gt;0)),"✖ Current غير صحيح",IF(NOT(IF(ISNUMBER($J3815),AND($J3815&gt;=0,$J3815=INT($J3815)),FALSE())),"✖ العدد يجب أن يكون صحيحًا ≥ 0",IF(AND($F3815="Baseline",$H3815&lt;&gt;""),"⚠ Baseline: Start لا يدخل في التقدم",IF($K3815="No Start (attainment only)","ℹ تحصيل فقط (بدون Start)",IF($K3815="U – needs rule","ℹ حالة U تحتاج قاعدة معتمدة",IF($K3815="No result","ℹ بدون نتيجة (يُستبعد من التحصيل)","OK")))))))))))</f>
        <v/>
      </c>
      <c r="M3815" s="64" t="n">
        <f aca="false">IF($A3815="",0,IFERROR(MATCH($A3815,Classes!$A$6:$A$420,0),0))</f>
        <v>0</v>
      </c>
      <c r="N3815" s="64" t="n">
        <f aca="false">IF($H3815="",0,IFERROR(MATCH($H3815,GradeList,0),0))</f>
        <v>0</v>
      </c>
      <c r="O3815" s="64" t="n">
        <f aca="false">IF(OR($I3815="",$I3815="NR"),0,IFERROR(MATCH($I3815,GradeList,0),0))</f>
        <v>0</v>
      </c>
      <c r="P3815" s="64" t="n">
        <f aca="false">IF(AND($M3815&gt;0,ISNUMBER(MATCH($F3815,Lists!$A$2:$A$5,0)),ISNUMBER(MATCH($G3815,Lists!$B$2:$B$7,0)),OR($H3815="",$N3815&gt;0),OR($I3815="",$I3815="NR",$O3815&gt;0),IF(ISNUMBER($J3815),AND($J3815&gt;=0,$J3815=INT($J3815)),FALSE())),$J3815,0)</f>
        <v>0</v>
      </c>
      <c r="Q3815" s="64" t="n">
        <f aca="false">IF(AND($P3815&gt;0,$O3815&gt;0),$P3815,0)</f>
        <v>0</v>
      </c>
      <c r="R3815" s="64" t="n">
        <f aca="false">IF(AND($Q3815&gt;0,$O3815&gt;=AtRank),$Q3815,0)</f>
        <v>0</v>
      </c>
      <c r="S3815" s="64" t="n">
        <f aca="false">IF(AND($Q3815&gt;0,$O3815&gt;=AboveRank),$Q3815,0)</f>
        <v>0</v>
      </c>
      <c r="T3815" s="64" t="n">
        <f aca="false">IF($K3815="Less",$P3815,0)</f>
        <v>0</v>
      </c>
      <c r="U3815" s="64" t="n">
        <f aca="false">IF($K3815="Expected",$P3815,0)</f>
        <v>0</v>
      </c>
      <c r="V3815" s="64" t="n">
        <f aca="false">IF($K3815="Better",$P3815,0)</f>
        <v>0</v>
      </c>
      <c r="W3815" s="64" t="n">
        <f aca="false">IF($K3815="U – needs rule",$P3815,0)</f>
        <v>0</v>
      </c>
      <c r="X3815" s="64" t="n">
        <f aca="false">IF($K3815="No Start (attainment only)",$P3815,0)</f>
        <v>0</v>
      </c>
    </row>
    <row r="3816" customFormat="false" ht="15" hidden="false" customHeight="false" outlineLevel="0" collapsed="false">
      <c r="A3816" s="60"/>
      <c r="B3816" s="61" t="str">
        <f aca="false">IF($M3816=0,"",INDEX(Classes!$E$6:$E$420,$M3816))</f>
        <v/>
      </c>
      <c r="C3816" s="62" t="str">
        <f aca="false">IF($M3816=0,"",INDEX(Classes!$H$6:$H$420,$M3816))</f>
        <v/>
      </c>
      <c r="D3816" s="61" t="str">
        <f aca="false">IF($M3816=0,"",INDEX(Classes!$B$6:$B$420,$M3816))</f>
        <v/>
      </c>
      <c r="E3816" s="61" t="str">
        <f aca="false">IF($M3816=0,"",INDEX(Classes!$C$6:$C$420,$M3816))</f>
        <v/>
      </c>
      <c r="F3816" s="63"/>
      <c r="G3816" s="63"/>
      <c r="H3816" s="60"/>
      <c r="I3816" s="60"/>
      <c r="J3816" s="63"/>
      <c r="K3816" s="61" t="str">
        <f aca="false">IF($P3816=0,"",IF($F3816="Baseline","— Baseline",IF($O3816=0,"No result",IF($N3816=0,"No Start (attainment only)",IF(OR($N3816=1,$O3816=1),"U – needs rule",INDEX(MxBody,MATCH($I3816,MxCurr,0),MATCH($H3816,MxStart,0)))))))</f>
        <v/>
      </c>
      <c r="L3816" s="62" t="str">
        <f aca="false">IF(COUNTA($A3816,$F3816,$G3816,$H3816,$I3816,$J3816)=0,"",IF($M3816=0,"✖ كود الصف غير موجود",IF(ISNA(MATCH($F3816,Lists!$A$2:$A$5,0)),"✖ الفترة غير صحيحة",IF(ISNA(MATCH($G3816,Lists!$B$2:$B$7,0)),"✖ المجموعة غير صحيحة",IF(NOT(OR($H3816="",$N3816&gt;0)),"✖ Start غير صحيح",IF(NOT(OR($I3816="",$I3816="NR",$O3816&gt;0)),"✖ Current غير صحيح",IF(NOT(IF(ISNUMBER($J3816),AND($J3816&gt;=0,$J3816=INT($J3816)),FALSE())),"✖ العدد يجب أن يكون صحيحًا ≥ 0",IF(AND($F3816="Baseline",$H3816&lt;&gt;""),"⚠ Baseline: Start لا يدخل في التقدم",IF($K3816="No Start (attainment only)","ℹ تحصيل فقط (بدون Start)",IF($K3816="U – needs rule","ℹ حالة U تحتاج قاعدة معتمدة",IF($K3816="No result","ℹ بدون نتيجة (يُستبعد من التحصيل)","OK")))))))))))</f>
        <v/>
      </c>
      <c r="M3816" s="64" t="n">
        <f aca="false">IF($A3816="",0,IFERROR(MATCH($A3816,Classes!$A$6:$A$420,0),0))</f>
        <v>0</v>
      </c>
      <c r="N3816" s="64" t="n">
        <f aca="false">IF($H3816="",0,IFERROR(MATCH($H3816,GradeList,0),0))</f>
        <v>0</v>
      </c>
      <c r="O3816" s="64" t="n">
        <f aca="false">IF(OR($I3816="",$I3816="NR"),0,IFERROR(MATCH($I3816,GradeList,0),0))</f>
        <v>0</v>
      </c>
      <c r="P3816" s="64" t="n">
        <f aca="false">IF(AND($M3816&gt;0,ISNUMBER(MATCH($F3816,Lists!$A$2:$A$5,0)),ISNUMBER(MATCH($G3816,Lists!$B$2:$B$7,0)),OR($H3816="",$N3816&gt;0),OR($I3816="",$I3816="NR",$O3816&gt;0),IF(ISNUMBER($J3816),AND($J3816&gt;=0,$J3816=INT($J3816)),FALSE())),$J3816,0)</f>
        <v>0</v>
      </c>
      <c r="Q3816" s="64" t="n">
        <f aca="false">IF(AND($P3816&gt;0,$O3816&gt;0),$P3816,0)</f>
        <v>0</v>
      </c>
      <c r="R3816" s="64" t="n">
        <f aca="false">IF(AND($Q3816&gt;0,$O3816&gt;=AtRank),$Q3816,0)</f>
        <v>0</v>
      </c>
      <c r="S3816" s="64" t="n">
        <f aca="false">IF(AND($Q3816&gt;0,$O3816&gt;=AboveRank),$Q3816,0)</f>
        <v>0</v>
      </c>
      <c r="T3816" s="64" t="n">
        <f aca="false">IF($K3816="Less",$P3816,0)</f>
        <v>0</v>
      </c>
      <c r="U3816" s="64" t="n">
        <f aca="false">IF($K3816="Expected",$P3816,0)</f>
        <v>0</v>
      </c>
      <c r="V3816" s="64" t="n">
        <f aca="false">IF($K3816="Better",$P3816,0)</f>
        <v>0</v>
      </c>
      <c r="W3816" s="64" t="n">
        <f aca="false">IF($K3816="U – needs rule",$P3816,0)</f>
        <v>0</v>
      </c>
      <c r="X3816" s="64" t="n">
        <f aca="false">IF($K3816="No Start (attainment only)",$P3816,0)</f>
        <v>0</v>
      </c>
    </row>
    <row r="3817" customFormat="false" ht="15" hidden="false" customHeight="false" outlineLevel="0" collapsed="false">
      <c r="A3817" s="60"/>
      <c r="B3817" s="61" t="str">
        <f aca="false">IF($M3817=0,"",INDEX(Classes!$E$6:$E$420,$M3817))</f>
        <v/>
      </c>
      <c r="C3817" s="62" t="str">
        <f aca="false">IF($M3817=0,"",INDEX(Classes!$H$6:$H$420,$M3817))</f>
        <v/>
      </c>
      <c r="D3817" s="61" t="str">
        <f aca="false">IF($M3817=0,"",INDEX(Classes!$B$6:$B$420,$M3817))</f>
        <v/>
      </c>
      <c r="E3817" s="61" t="str">
        <f aca="false">IF($M3817=0,"",INDEX(Classes!$C$6:$C$420,$M3817))</f>
        <v/>
      </c>
      <c r="F3817" s="63"/>
      <c r="G3817" s="63"/>
      <c r="H3817" s="60"/>
      <c r="I3817" s="60"/>
      <c r="J3817" s="63"/>
      <c r="K3817" s="61" t="str">
        <f aca="false">IF($P3817=0,"",IF($F3817="Baseline","— Baseline",IF($O3817=0,"No result",IF($N3817=0,"No Start (attainment only)",IF(OR($N3817=1,$O3817=1),"U – needs rule",INDEX(MxBody,MATCH($I3817,MxCurr,0),MATCH($H3817,MxStart,0)))))))</f>
        <v/>
      </c>
      <c r="L3817" s="62" t="str">
        <f aca="false">IF(COUNTA($A3817,$F3817,$G3817,$H3817,$I3817,$J3817)=0,"",IF($M3817=0,"✖ كود الصف غير موجود",IF(ISNA(MATCH($F3817,Lists!$A$2:$A$5,0)),"✖ الفترة غير صحيحة",IF(ISNA(MATCH($G3817,Lists!$B$2:$B$7,0)),"✖ المجموعة غير صحيحة",IF(NOT(OR($H3817="",$N3817&gt;0)),"✖ Start غير صحيح",IF(NOT(OR($I3817="",$I3817="NR",$O3817&gt;0)),"✖ Current غير صحيح",IF(NOT(IF(ISNUMBER($J3817),AND($J3817&gt;=0,$J3817=INT($J3817)),FALSE())),"✖ العدد يجب أن يكون صحيحًا ≥ 0",IF(AND($F3817="Baseline",$H3817&lt;&gt;""),"⚠ Baseline: Start لا يدخل في التقدم",IF($K3817="No Start (attainment only)","ℹ تحصيل فقط (بدون Start)",IF($K3817="U – needs rule","ℹ حالة U تحتاج قاعدة معتمدة",IF($K3817="No result","ℹ بدون نتيجة (يُستبعد من التحصيل)","OK")))))))))))</f>
        <v/>
      </c>
      <c r="M3817" s="64" t="n">
        <f aca="false">IF($A3817="",0,IFERROR(MATCH($A3817,Classes!$A$6:$A$420,0),0))</f>
        <v>0</v>
      </c>
      <c r="N3817" s="64" t="n">
        <f aca="false">IF($H3817="",0,IFERROR(MATCH($H3817,GradeList,0),0))</f>
        <v>0</v>
      </c>
      <c r="O3817" s="64" t="n">
        <f aca="false">IF(OR($I3817="",$I3817="NR"),0,IFERROR(MATCH($I3817,GradeList,0),0))</f>
        <v>0</v>
      </c>
      <c r="P3817" s="64" t="n">
        <f aca="false">IF(AND($M3817&gt;0,ISNUMBER(MATCH($F3817,Lists!$A$2:$A$5,0)),ISNUMBER(MATCH($G3817,Lists!$B$2:$B$7,0)),OR($H3817="",$N3817&gt;0),OR($I3817="",$I3817="NR",$O3817&gt;0),IF(ISNUMBER($J3817),AND($J3817&gt;=0,$J3817=INT($J3817)),FALSE())),$J3817,0)</f>
        <v>0</v>
      </c>
      <c r="Q3817" s="64" t="n">
        <f aca="false">IF(AND($P3817&gt;0,$O3817&gt;0),$P3817,0)</f>
        <v>0</v>
      </c>
      <c r="R3817" s="64" t="n">
        <f aca="false">IF(AND($Q3817&gt;0,$O3817&gt;=AtRank),$Q3817,0)</f>
        <v>0</v>
      </c>
      <c r="S3817" s="64" t="n">
        <f aca="false">IF(AND($Q3817&gt;0,$O3817&gt;=AboveRank),$Q3817,0)</f>
        <v>0</v>
      </c>
      <c r="T3817" s="64" t="n">
        <f aca="false">IF($K3817="Less",$P3817,0)</f>
        <v>0</v>
      </c>
      <c r="U3817" s="64" t="n">
        <f aca="false">IF($K3817="Expected",$P3817,0)</f>
        <v>0</v>
      </c>
      <c r="V3817" s="64" t="n">
        <f aca="false">IF($K3817="Better",$P3817,0)</f>
        <v>0</v>
      </c>
      <c r="W3817" s="64" t="n">
        <f aca="false">IF($K3817="U – needs rule",$P3817,0)</f>
        <v>0</v>
      </c>
      <c r="X3817" s="64" t="n">
        <f aca="false">IF($K3817="No Start (attainment only)",$P3817,0)</f>
        <v>0</v>
      </c>
    </row>
    <row r="3818" customFormat="false" ht="15" hidden="false" customHeight="false" outlineLevel="0" collapsed="false">
      <c r="A3818" s="60"/>
      <c r="B3818" s="61" t="str">
        <f aca="false">IF($M3818=0,"",INDEX(Classes!$E$6:$E$420,$M3818))</f>
        <v/>
      </c>
      <c r="C3818" s="62" t="str">
        <f aca="false">IF($M3818=0,"",INDEX(Classes!$H$6:$H$420,$M3818))</f>
        <v/>
      </c>
      <c r="D3818" s="61" t="str">
        <f aca="false">IF($M3818=0,"",INDEX(Classes!$B$6:$B$420,$M3818))</f>
        <v/>
      </c>
      <c r="E3818" s="61" t="str">
        <f aca="false">IF($M3818=0,"",INDEX(Classes!$C$6:$C$420,$M3818))</f>
        <v/>
      </c>
      <c r="F3818" s="63"/>
      <c r="G3818" s="63"/>
      <c r="H3818" s="60"/>
      <c r="I3818" s="60"/>
      <c r="J3818" s="63"/>
      <c r="K3818" s="61" t="str">
        <f aca="false">IF($P3818=0,"",IF($F3818="Baseline","— Baseline",IF($O3818=0,"No result",IF($N3818=0,"No Start (attainment only)",IF(OR($N3818=1,$O3818=1),"U – needs rule",INDEX(MxBody,MATCH($I3818,MxCurr,0),MATCH($H3818,MxStart,0)))))))</f>
        <v/>
      </c>
      <c r="L3818" s="62" t="str">
        <f aca="false">IF(COUNTA($A3818,$F3818,$G3818,$H3818,$I3818,$J3818)=0,"",IF($M3818=0,"✖ كود الصف غير موجود",IF(ISNA(MATCH($F3818,Lists!$A$2:$A$5,0)),"✖ الفترة غير صحيحة",IF(ISNA(MATCH($G3818,Lists!$B$2:$B$7,0)),"✖ المجموعة غير صحيحة",IF(NOT(OR($H3818="",$N3818&gt;0)),"✖ Start غير صحيح",IF(NOT(OR($I3818="",$I3818="NR",$O3818&gt;0)),"✖ Current غير صحيح",IF(NOT(IF(ISNUMBER($J3818),AND($J3818&gt;=0,$J3818=INT($J3818)),FALSE())),"✖ العدد يجب أن يكون صحيحًا ≥ 0",IF(AND($F3818="Baseline",$H3818&lt;&gt;""),"⚠ Baseline: Start لا يدخل في التقدم",IF($K3818="No Start (attainment only)","ℹ تحصيل فقط (بدون Start)",IF($K3818="U – needs rule","ℹ حالة U تحتاج قاعدة معتمدة",IF($K3818="No result","ℹ بدون نتيجة (يُستبعد من التحصيل)","OK")))))))))))</f>
        <v/>
      </c>
      <c r="M3818" s="64" t="n">
        <f aca="false">IF($A3818="",0,IFERROR(MATCH($A3818,Classes!$A$6:$A$420,0),0))</f>
        <v>0</v>
      </c>
      <c r="N3818" s="64" t="n">
        <f aca="false">IF($H3818="",0,IFERROR(MATCH($H3818,GradeList,0),0))</f>
        <v>0</v>
      </c>
      <c r="O3818" s="64" t="n">
        <f aca="false">IF(OR($I3818="",$I3818="NR"),0,IFERROR(MATCH($I3818,GradeList,0),0))</f>
        <v>0</v>
      </c>
      <c r="P3818" s="64" t="n">
        <f aca="false">IF(AND($M3818&gt;0,ISNUMBER(MATCH($F3818,Lists!$A$2:$A$5,0)),ISNUMBER(MATCH($G3818,Lists!$B$2:$B$7,0)),OR($H3818="",$N3818&gt;0),OR($I3818="",$I3818="NR",$O3818&gt;0),IF(ISNUMBER($J3818),AND($J3818&gt;=0,$J3818=INT($J3818)),FALSE())),$J3818,0)</f>
        <v>0</v>
      </c>
      <c r="Q3818" s="64" t="n">
        <f aca="false">IF(AND($P3818&gt;0,$O3818&gt;0),$P3818,0)</f>
        <v>0</v>
      </c>
      <c r="R3818" s="64" t="n">
        <f aca="false">IF(AND($Q3818&gt;0,$O3818&gt;=AtRank),$Q3818,0)</f>
        <v>0</v>
      </c>
      <c r="S3818" s="64" t="n">
        <f aca="false">IF(AND($Q3818&gt;0,$O3818&gt;=AboveRank),$Q3818,0)</f>
        <v>0</v>
      </c>
      <c r="T3818" s="64" t="n">
        <f aca="false">IF($K3818="Less",$P3818,0)</f>
        <v>0</v>
      </c>
      <c r="U3818" s="64" t="n">
        <f aca="false">IF($K3818="Expected",$P3818,0)</f>
        <v>0</v>
      </c>
      <c r="V3818" s="64" t="n">
        <f aca="false">IF($K3818="Better",$P3818,0)</f>
        <v>0</v>
      </c>
      <c r="W3818" s="64" t="n">
        <f aca="false">IF($K3818="U – needs rule",$P3818,0)</f>
        <v>0</v>
      </c>
      <c r="X3818" s="64" t="n">
        <f aca="false">IF($K3818="No Start (attainment only)",$P3818,0)</f>
        <v>0</v>
      </c>
    </row>
    <row r="3819" customFormat="false" ht="15" hidden="false" customHeight="false" outlineLevel="0" collapsed="false">
      <c r="A3819" s="60"/>
      <c r="B3819" s="61" t="str">
        <f aca="false">IF($M3819=0,"",INDEX(Classes!$E$6:$E$420,$M3819))</f>
        <v/>
      </c>
      <c r="C3819" s="62" t="str">
        <f aca="false">IF($M3819=0,"",INDEX(Classes!$H$6:$H$420,$M3819))</f>
        <v/>
      </c>
      <c r="D3819" s="61" t="str">
        <f aca="false">IF($M3819=0,"",INDEX(Classes!$B$6:$B$420,$M3819))</f>
        <v/>
      </c>
      <c r="E3819" s="61" t="str">
        <f aca="false">IF($M3819=0,"",INDEX(Classes!$C$6:$C$420,$M3819))</f>
        <v/>
      </c>
      <c r="F3819" s="63"/>
      <c r="G3819" s="63"/>
      <c r="H3819" s="60"/>
      <c r="I3819" s="60"/>
      <c r="J3819" s="63"/>
      <c r="K3819" s="61" t="str">
        <f aca="false">IF($P3819=0,"",IF($F3819="Baseline","— Baseline",IF($O3819=0,"No result",IF($N3819=0,"No Start (attainment only)",IF(OR($N3819=1,$O3819=1),"U – needs rule",INDEX(MxBody,MATCH($I3819,MxCurr,0),MATCH($H3819,MxStart,0)))))))</f>
        <v/>
      </c>
      <c r="L3819" s="62" t="str">
        <f aca="false">IF(COUNTA($A3819,$F3819,$G3819,$H3819,$I3819,$J3819)=0,"",IF($M3819=0,"✖ كود الصف غير موجود",IF(ISNA(MATCH($F3819,Lists!$A$2:$A$5,0)),"✖ الفترة غير صحيحة",IF(ISNA(MATCH($G3819,Lists!$B$2:$B$7,0)),"✖ المجموعة غير صحيحة",IF(NOT(OR($H3819="",$N3819&gt;0)),"✖ Start غير صحيح",IF(NOT(OR($I3819="",$I3819="NR",$O3819&gt;0)),"✖ Current غير صحيح",IF(NOT(IF(ISNUMBER($J3819),AND($J3819&gt;=0,$J3819=INT($J3819)),FALSE())),"✖ العدد يجب أن يكون صحيحًا ≥ 0",IF(AND($F3819="Baseline",$H3819&lt;&gt;""),"⚠ Baseline: Start لا يدخل في التقدم",IF($K3819="No Start (attainment only)","ℹ تحصيل فقط (بدون Start)",IF($K3819="U – needs rule","ℹ حالة U تحتاج قاعدة معتمدة",IF($K3819="No result","ℹ بدون نتيجة (يُستبعد من التحصيل)","OK")))))))))))</f>
        <v/>
      </c>
      <c r="M3819" s="64" t="n">
        <f aca="false">IF($A3819="",0,IFERROR(MATCH($A3819,Classes!$A$6:$A$420,0),0))</f>
        <v>0</v>
      </c>
      <c r="N3819" s="64" t="n">
        <f aca="false">IF($H3819="",0,IFERROR(MATCH($H3819,GradeList,0),0))</f>
        <v>0</v>
      </c>
      <c r="O3819" s="64" t="n">
        <f aca="false">IF(OR($I3819="",$I3819="NR"),0,IFERROR(MATCH($I3819,GradeList,0),0))</f>
        <v>0</v>
      </c>
      <c r="P3819" s="64" t="n">
        <f aca="false">IF(AND($M3819&gt;0,ISNUMBER(MATCH($F3819,Lists!$A$2:$A$5,0)),ISNUMBER(MATCH($G3819,Lists!$B$2:$B$7,0)),OR($H3819="",$N3819&gt;0),OR($I3819="",$I3819="NR",$O3819&gt;0),IF(ISNUMBER($J3819),AND($J3819&gt;=0,$J3819=INT($J3819)),FALSE())),$J3819,0)</f>
        <v>0</v>
      </c>
      <c r="Q3819" s="64" t="n">
        <f aca="false">IF(AND($P3819&gt;0,$O3819&gt;0),$P3819,0)</f>
        <v>0</v>
      </c>
      <c r="R3819" s="64" t="n">
        <f aca="false">IF(AND($Q3819&gt;0,$O3819&gt;=AtRank),$Q3819,0)</f>
        <v>0</v>
      </c>
      <c r="S3819" s="64" t="n">
        <f aca="false">IF(AND($Q3819&gt;0,$O3819&gt;=AboveRank),$Q3819,0)</f>
        <v>0</v>
      </c>
      <c r="T3819" s="64" t="n">
        <f aca="false">IF($K3819="Less",$P3819,0)</f>
        <v>0</v>
      </c>
      <c r="U3819" s="64" t="n">
        <f aca="false">IF($K3819="Expected",$P3819,0)</f>
        <v>0</v>
      </c>
      <c r="V3819" s="64" t="n">
        <f aca="false">IF($K3819="Better",$P3819,0)</f>
        <v>0</v>
      </c>
      <c r="W3819" s="64" t="n">
        <f aca="false">IF($K3819="U – needs rule",$P3819,0)</f>
        <v>0</v>
      </c>
      <c r="X3819" s="64" t="n">
        <f aca="false">IF($K3819="No Start (attainment only)",$P3819,0)</f>
        <v>0</v>
      </c>
    </row>
    <row r="3820" customFormat="false" ht="15" hidden="false" customHeight="false" outlineLevel="0" collapsed="false">
      <c r="A3820" s="60"/>
      <c r="B3820" s="61" t="str">
        <f aca="false">IF($M3820=0,"",INDEX(Classes!$E$6:$E$420,$M3820))</f>
        <v/>
      </c>
      <c r="C3820" s="62" t="str">
        <f aca="false">IF($M3820=0,"",INDEX(Classes!$H$6:$H$420,$M3820))</f>
        <v/>
      </c>
      <c r="D3820" s="61" t="str">
        <f aca="false">IF($M3820=0,"",INDEX(Classes!$B$6:$B$420,$M3820))</f>
        <v/>
      </c>
      <c r="E3820" s="61" t="str">
        <f aca="false">IF($M3820=0,"",INDEX(Classes!$C$6:$C$420,$M3820))</f>
        <v/>
      </c>
      <c r="F3820" s="63"/>
      <c r="G3820" s="63"/>
      <c r="H3820" s="60"/>
      <c r="I3820" s="60"/>
      <c r="J3820" s="63"/>
      <c r="K3820" s="61" t="str">
        <f aca="false">IF($P3820=0,"",IF($F3820="Baseline","— Baseline",IF($O3820=0,"No result",IF($N3820=0,"No Start (attainment only)",IF(OR($N3820=1,$O3820=1),"U – needs rule",INDEX(MxBody,MATCH($I3820,MxCurr,0),MATCH($H3820,MxStart,0)))))))</f>
        <v/>
      </c>
      <c r="L3820" s="62" t="str">
        <f aca="false">IF(COUNTA($A3820,$F3820,$G3820,$H3820,$I3820,$J3820)=0,"",IF($M3820=0,"✖ كود الصف غير موجود",IF(ISNA(MATCH($F3820,Lists!$A$2:$A$5,0)),"✖ الفترة غير صحيحة",IF(ISNA(MATCH($G3820,Lists!$B$2:$B$7,0)),"✖ المجموعة غير صحيحة",IF(NOT(OR($H3820="",$N3820&gt;0)),"✖ Start غير صحيح",IF(NOT(OR($I3820="",$I3820="NR",$O3820&gt;0)),"✖ Current غير صحيح",IF(NOT(IF(ISNUMBER($J3820),AND($J3820&gt;=0,$J3820=INT($J3820)),FALSE())),"✖ العدد يجب أن يكون صحيحًا ≥ 0",IF(AND($F3820="Baseline",$H3820&lt;&gt;""),"⚠ Baseline: Start لا يدخل في التقدم",IF($K3820="No Start (attainment only)","ℹ تحصيل فقط (بدون Start)",IF($K3820="U – needs rule","ℹ حالة U تحتاج قاعدة معتمدة",IF($K3820="No result","ℹ بدون نتيجة (يُستبعد من التحصيل)","OK")))))))))))</f>
        <v/>
      </c>
      <c r="M3820" s="64" t="n">
        <f aca="false">IF($A3820="",0,IFERROR(MATCH($A3820,Classes!$A$6:$A$420,0),0))</f>
        <v>0</v>
      </c>
      <c r="N3820" s="64" t="n">
        <f aca="false">IF($H3820="",0,IFERROR(MATCH($H3820,GradeList,0),0))</f>
        <v>0</v>
      </c>
      <c r="O3820" s="64" t="n">
        <f aca="false">IF(OR($I3820="",$I3820="NR"),0,IFERROR(MATCH($I3820,GradeList,0),0))</f>
        <v>0</v>
      </c>
      <c r="P3820" s="64" t="n">
        <f aca="false">IF(AND($M3820&gt;0,ISNUMBER(MATCH($F3820,Lists!$A$2:$A$5,0)),ISNUMBER(MATCH($G3820,Lists!$B$2:$B$7,0)),OR($H3820="",$N3820&gt;0),OR($I3820="",$I3820="NR",$O3820&gt;0),IF(ISNUMBER($J3820),AND($J3820&gt;=0,$J3820=INT($J3820)),FALSE())),$J3820,0)</f>
        <v>0</v>
      </c>
      <c r="Q3820" s="64" t="n">
        <f aca="false">IF(AND($P3820&gt;0,$O3820&gt;0),$P3820,0)</f>
        <v>0</v>
      </c>
      <c r="R3820" s="64" t="n">
        <f aca="false">IF(AND($Q3820&gt;0,$O3820&gt;=AtRank),$Q3820,0)</f>
        <v>0</v>
      </c>
      <c r="S3820" s="64" t="n">
        <f aca="false">IF(AND($Q3820&gt;0,$O3820&gt;=AboveRank),$Q3820,0)</f>
        <v>0</v>
      </c>
      <c r="T3820" s="64" t="n">
        <f aca="false">IF($K3820="Less",$P3820,0)</f>
        <v>0</v>
      </c>
      <c r="U3820" s="64" t="n">
        <f aca="false">IF($K3820="Expected",$P3820,0)</f>
        <v>0</v>
      </c>
      <c r="V3820" s="64" t="n">
        <f aca="false">IF($K3820="Better",$P3820,0)</f>
        <v>0</v>
      </c>
      <c r="W3820" s="64" t="n">
        <f aca="false">IF($K3820="U – needs rule",$P3820,0)</f>
        <v>0</v>
      </c>
      <c r="X3820" s="64" t="n">
        <f aca="false">IF($K3820="No Start (attainment only)",$P3820,0)</f>
        <v>0</v>
      </c>
    </row>
    <row r="3821" customFormat="false" ht="15" hidden="false" customHeight="false" outlineLevel="0" collapsed="false">
      <c r="A3821" s="60"/>
      <c r="B3821" s="61" t="str">
        <f aca="false">IF($M3821=0,"",INDEX(Classes!$E$6:$E$420,$M3821))</f>
        <v/>
      </c>
      <c r="C3821" s="62" t="str">
        <f aca="false">IF($M3821=0,"",INDEX(Classes!$H$6:$H$420,$M3821))</f>
        <v/>
      </c>
      <c r="D3821" s="61" t="str">
        <f aca="false">IF($M3821=0,"",INDEX(Classes!$B$6:$B$420,$M3821))</f>
        <v/>
      </c>
      <c r="E3821" s="61" t="str">
        <f aca="false">IF($M3821=0,"",INDEX(Classes!$C$6:$C$420,$M3821))</f>
        <v/>
      </c>
      <c r="F3821" s="63"/>
      <c r="G3821" s="63"/>
      <c r="H3821" s="60"/>
      <c r="I3821" s="60"/>
      <c r="J3821" s="63"/>
      <c r="K3821" s="61" t="str">
        <f aca="false">IF($P3821=0,"",IF($F3821="Baseline","— Baseline",IF($O3821=0,"No result",IF($N3821=0,"No Start (attainment only)",IF(OR($N3821=1,$O3821=1),"U – needs rule",INDEX(MxBody,MATCH($I3821,MxCurr,0),MATCH($H3821,MxStart,0)))))))</f>
        <v/>
      </c>
      <c r="L3821" s="62" t="str">
        <f aca="false">IF(COUNTA($A3821,$F3821,$G3821,$H3821,$I3821,$J3821)=0,"",IF($M3821=0,"✖ كود الصف غير موجود",IF(ISNA(MATCH($F3821,Lists!$A$2:$A$5,0)),"✖ الفترة غير صحيحة",IF(ISNA(MATCH($G3821,Lists!$B$2:$B$7,0)),"✖ المجموعة غير صحيحة",IF(NOT(OR($H3821="",$N3821&gt;0)),"✖ Start غير صحيح",IF(NOT(OR($I3821="",$I3821="NR",$O3821&gt;0)),"✖ Current غير صحيح",IF(NOT(IF(ISNUMBER($J3821),AND($J3821&gt;=0,$J3821=INT($J3821)),FALSE())),"✖ العدد يجب أن يكون صحيحًا ≥ 0",IF(AND($F3821="Baseline",$H3821&lt;&gt;""),"⚠ Baseline: Start لا يدخل في التقدم",IF($K3821="No Start (attainment only)","ℹ تحصيل فقط (بدون Start)",IF($K3821="U – needs rule","ℹ حالة U تحتاج قاعدة معتمدة",IF($K3821="No result","ℹ بدون نتيجة (يُستبعد من التحصيل)","OK")))))))))))</f>
        <v/>
      </c>
      <c r="M3821" s="64" t="n">
        <f aca="false">IF($A3821="",0,IFERROR(MATCH($A3821,Classes!$A$6:$A$420,0),0))</f>
        <v>0</v>
      </c>
      <c r="N3821" s="64" t="n">
        <f aca="false">IF($H3821="",0,IFERROR(MATCH($H3821,GradeList,0),0))</f>
        <v>0</v>
      </c>
      <c r="O3821" s="64" t="n">
        <f aca="false">IF(OR($I3821="",$I3821="NR"),0,IFERROR(MATCH($I3821,GradeList,0),0))</f>
        <v>0</v>
      </c>
      <c r="P3821" s="64" t="n">
        <f aca="false">IF(AND($M3821&gt;0,ISNUMBER(MATCH($F3821,Lists!$A$2:$A$5,0)),ISNUMBER(MATCH($G3821,Lists!$B$2:$B$7,0)),OR($H3821="",$N3821&gt;0),OR($I3821="",$I3821="NR",$O3821&gt;0),IF(ISNUMBER($J3821),AND($J3821&gt;=0,$J3821=INT($J3821)),FALSE())),$J3821,0)</f>
        <v>0</v>
      </c>
      <c r="Q3821" s="64" t="n">
        <f aca="false">IF(AND($P3821&gt;0,$O3821&gt;0),$P3821,0)</f>
        <v>0</v>
      </c>
      <c r="R3821" s="64" t="n">
        <f aca="false">IF(AND($Q3821&gt;0,$O3821&gt;=AtRank),$Q3821,0)</f>
        <v>0</v>
      </c>
      <c r="S3821" s="64" t="n">
        <f aca="false">IF(AND($Q3821&gt;0,$O3821&gt;=AboveRank),$Q3821,0)</f>
        <v>0</v>
      </c>
      <c r="T3821" s="64" t="n">
        <f aca="false">IF($K3821="Less",$P3821,0)</f>
        <v>0</v>
      </c>
      <c r="U3821" s="64" t="n">
        <f aca="false">IF($K3821="Expected",$P3821,0)</f>
        <v>0</v>
      </c>
      <c r="V3821" s="64" t="n">
        <f aca="false">IF($K3821="Better",$P3821,0)</f>
        <v>0</v>
      </c>
      <c r="W3821" s="64" t="n">
        <f aca="false">IF($K3821="U – needs rule",$P3821,0)</f>
        <v>0</v>
      </c>
      <c r="X3821" s="64" t="n">
        <f aca="false">IF($K3821="No Start (attainment only)",$P3821,0)</f>
        <v>0</v>
      </c>
    </row>
    <row r="3822" customFormat="false" ht="15" hidden="false" customHeight="false" outlineLevel="0" collapsed="false">
      <c r="A3822" s="60"/>
      <c r="B3822" s="61" t="str">
        <f aca="false">IF($M3822=0,"",INDEX(Classes!$E$6:$E$420,$M3822))</f>
        <v/>
      </c>
      <c r="C3822" s="62" t="str">
        <f aca="false">IF($M3822=0,"",INDEX(Classes!$H$6:$H$420,$M3822))</f>
        <v/>
      </c>
      <c r="D3822" s="61" t="str">
        <f aca="false">IF($M3822=0,"",INDEX(Classes!$B$6:$B$420,$M3822))</f>
        <v/>
      </c>
      <c r="E3822" s="61" t="str">
        <f aca="false">IF($M3822=0,"",INDEX(Classes!$C$6:$C$420,$M3822))</f>
        <v/>
      </c>
      <c r="F3822" s="63"/>
      <c r="G3822" s="63"/>
      <c r="H3822" s="60"/>
      <c r="I3822" s="60"/>
      <c r="J3822" s="63"/>
      <c r="K3822" s="61" t="str">
        <f aca="false">IF($P3822=0,"",IF($F3822="Baseline","— Baseline",IF($O3822=0,"No result",IF($N3822=0,"No Start (attainment only)",IF(OR($N3822=1,$O3822=1),"U – needs rule",INDEX(MxBody,MATCH($I3822,MxCurr,0),MATCH($H3822,MxStart,0)))))))</f>
        <v/>
      </c>
      <c r="L3822" s="62" t="str">
        <f aca="false">IF(COUNTA($A3822,$F3822,$G3822,$H3822,$I3822,$J3822)=0,"",IF($M3822=0,"✖ كود الصف غير موجود",IF(ISNA(MATCH($F3822,Lists!$A$2:$A$5,0)),"✖ الفترة غير صحيحة",IF(ISNA(MATCH($G3822,Lists!$B$2:$B$7,0)),"✖ المجموعة غير صحيحة",IF(NOT(OR($H3822="",$N3822&gt;0)),"✖ Start غير صحيح",IF(NOT(OR($I3822="",$I3822="NR",$O3822&gt;0)),"✖ Current غير صحيح",IF(NOT(IF(ISNUMBER($J3822),AND($J3822&gt;=0,$J3822=INT($J3822)),FALSE())),"✖ العدد يجب أن يكون صحيحًا ≥ 0",IF(AND($F3822="Baseline",$H3822&lt;&gt;""),"⚠ Baseline: Start لا يدخل في التقدم",IF($K3822="No Start (attainment only)","ℹ تحصيل فقط (بدون Start)",IF($K3822="U – needs rule","ℹ حالة U تحتاج قاعدة معتمدة",IF($K3822="No result","ℹ بدون نتيجة (يُستبعد من التحصيل)","OK")))))))))))</f>
        <v/>
      </c>
      <c r="M3822" s="64" t="n">
        <f aca="false">IF($A3822="",0,IFERROR(MATCH($A3822,Classes!$A$6:$A$420,0),0))</f>
        <v>0</v>
      </c>
      <c r="N3822" s="64" t="n">
        <f aca="false">IF($H3822="",0,IFERROR(MATCH($H3822,GradeList,0),0))</f>
        <v>0</v>
      </c>
      <c r="O3822" s="64" t="n">
        <f aca="false">IF(OR($I3822="",$I3822="NR"),0,IFERROR(MATCH($I3822,GradeList,0),0))</f>
        <v>0</v>
      </c>
      <c r="P3822" s="64" t="n">
        <f aca="false">IF(AND($M3822&gt;0,ISNUMBER(MATCH($F3822,Lists!$A$2:$A$5,0)),ISNUMBER(MATCH($G3822,Lists!$B$2:$B$7,0)),OR($H3822="",$N3822&gt;0),OR($I3822="",$I3822="NR",$O3822&gt;0),IF(ISNUMBER($J3822),AND($J3822&gt;=0,$J3822=INT($J3822)),FALSE())),$J3822,0)</f>
        <v>0</v>
      </c>
      <c r="Q3822" s="64" t="n">
        <f aca="false">IF(AND($P3822&gt;0,$O3822&gt;0),$P3822,0)</f>
        <v>0</v>
      </c>
      <c r="R3822" s="64" t="n">
        <f aca="false">IF(AND($Q3822&gt;0,$O3822&gt;=AtRank),$Q3822,0)</f>
        <v>0</v>
      </c>
      <c r="S3822" s="64" t="n">
        <f aca="false">IF(AND($Q3822&gt;0,$O3822&gt;=AboveRank),$Q3822,0)</f>
        <v>0</v>
      </c>
      <c r="T3822" s="64" t="n">
        <f aca="false">IF($K3822="Less",$P3822,0)</f>
        <v>0</v>
      </c>
      <c r="U3822" s="64" t="n">
        <f aca="false">IF($K3822="Expected",$P3822,0)</f>
        <v>0</v>
      </c>
      <c r="V3822" s="64" t="n">
        <f aca="false">IF($K3822="Better",$P3822,0)</f>
        <v>0</v>
      </c>
      <c r="W3822" s="64" t="n">
        <f aca="false">IF($K3822="U – needs rule",$P3822,0)</f>
        <v>0</v>
      </c>
      <c r="X3822" s="64" t="n">
        <f aca="false">IF($K3822="No Start (attainment only)",$P3822,0)</f>
        <v>0</v>
      </c>
    </row>
    <row r="3823" customFormat="false" ht="15" hidden="false" customHeight="false" outlineLevel="0" collapsed="false">
      <c r="A3823" s="60"/>
      <c r="B3823" s="61" t="str">
        <f aca="false">IF($M3823=0,"",INDEX(Classes!$E$6:$E$420,$M3823))</f>
        <v/>
      </c>
      <c r="C3823" s="62" t="str">
        <f aca="false">IF($M3823=0,"",INDEX(Classes!$H$6:$H$420,$M3823))</f>
        <v/>
      </c>
      <c r="D3823" s="61" t="str">
        <f aca="false">IF($M3823=0,"",INDEX(Classes!$B$6:$B$420,$M3823))</f>
        <v/>
      </c>
      <c r="E3823" s="61" t="str">
        <f aca="false">IF($M3823=0,"",INDEX(Classes!$C$6:$C$420,$M3823))</f>
        <v/>
      </c>
      <c r="F3823" s="63"/>
      <c r="G3823" s="63"/>
      <c r="H3823" s="60"/>
      <c r="I3823" s="60"/>
      <c r="J3823" s="63"/>
      <c r="K3823" s="61" t="str">
        <f aca="false">IF($P3823=0,"",IF($F3823="Baseline","— Baseline",IF($O3823=0,"No result",IF($N3823=0,"No Start (attainment only)",IF(OR($N3823=1,$O3823=1),"U – needs rule",INDEX(MxBody,MATCH($I3823,MxCurr,0),MATCH($H3823,MxStart,0)))))))</f>
        <v/>
      </c>
      <c r="L3823" s="62" t="str">
        <f aca="false">IF(COUNTA($A3823,$F3823,$G3823,$H3823,$I3823,$J3823)=0,"",IF($M3823=0,"✖ كود الصف غير موجود",IF(ISNA(MATCH($F3823,Lists!$A$2:$A$5,0)),"✖ الفترة غير صحيحة",IF(ISNA(MATCH($G3823,Lists!$B$2:$B$7,0)),"✖ المجموعة غير صحيحة",IF(NOT(OR($H3823="",$N3823&gt;0)),"✖ Start غير صحيح",IF(NOT(OR($I3823="",$I3823="NR",$O3823&gt;0)),"✖ Current غير صحيح",IF(NOT(IF(ISNUMBER($J3823),AND($J3823&gt;=0,$J3823=INT($J3823)),FALSE())),"✖ العدد يجب أن يكون صحيحًا ≥ 0",IF(AND($F3823="Baseline",$H3823&lt;&gt;""),"⚠ Baseline: Start لا يدخل في التقدم",IF($K3823="No Start (attainment only)","ℹ تحصيل فقط (بدون Start)",IF($K3823="U – needs rule","ℹ حالة U تحتاج قاعدة معتمدة",IF($K3823="No result","ℹ بدون نتيجة (يُستبعد من التحصيل)","OK")))))))))))</f>
        <v/>
      </c>
      <c r="M3823" s="64" t="n">
        <f aca="false">IF($A3823="",0,IFERROR(MATCH($A3823,Classes!$A$6:$A$420,0),0))</f>
        <v>0</v>
      </c>
      <c r="N3823" s="64" t="n">
        <f aca="false">IF($H3823="",0,IFERROR(MATCH($H3823,GradeList,0),0))</f>
        <v>0</v>
      </c>
      <c r="O3823" s="64" t="n">
        <f aca="false">IF(OR($I3823="",$I3823="NR"),0,IFERROR(MATCH($I3823,GradeList,0),0))</f>
        <v>0</v>
      </c>
      <c r="P3823" s="64" t="n">
        <f aca="false">IF(AND($M3823&gt;0,ISNUMBER(MATCH($F3823,Lists!$A$2:$A$5,0)),ISNUMBER(MATCH($G3823,Lists!$B$2:$B$7,0)),OR($H3823="",$N3823&gt;0),OR($I3823="",$I3823="NR",$O3823&gt;0),IF(ISNUMBER($J3823),AND($J3823&gt;=0,$J3823=INT($J3823)),FALSE())),$J3823,0)</f>
        <v>0</v>
      </c>
      <c r="Q3823" s="64" t="n">
        <f aca="false">IF(AND($P3823&gt;0,$O3823&gt;0),$P3823,0)</f>
        <v>0</v>
      </c>
      <c r="R3823" s="64" t="n">
        <f aca="false">IF(AND($Q3823&gt;0,$O3823&gt;=AtRank),$Q3823,0)</f>
        <v>0</v>
      </c>
      <c r="S3823" s="64" t="n">
        <f aca="false">IF(AND($Q3823&gt;0,$O3823&gt;=AboveRank),$Q3823,0)</f>
        <v>0</v>
      </c>
      <c r="T3823" s="64" t="n">
        <f aca="false">IF($K3823="Less",$P3823,0)</f>
        <v>0</v>
      </c>
      <c r="U3823" s="64" t="n">
        <f aca="false">IF($K3823="Expected",$P3823,0)</f>
        <v>0</v>
      </c>
      <c r="V3823" s="64" t="n">
        <f aca="false">IF($K3823="Better",$P3823,0)</f>
        <v>0</v>
      </c>
      <c r="W3823" s="64" t="n">
        <f aca="false">IF($K3823="U – needs rule",$P3823,0)</f>
        <v>0</v>
      </c>
      <c r="X3823" s="64" t="n">
        <f aca="false">IF($K3823="No Start (attainment only)",$P3823,0)</f>
        <v>0</v>
      </c>
    </row>
    <row r="3824" customFormat="false" ht="15" hidden="false" customHeight="false" outlineLevel="0" collapsed="false">
      <c r="A3824" s="60"/>
      <c r="B3824" s="61" t="str">
        <f aca="false">IF($M3824=0,"",INDEX(Classes!$E$6:$E$420,$M3824))</f>
        <v/>
      </c>
      <c r="C3824" s="62" t="str">
        <f aca="false">IF($M3824=0,"",INDEX(Classes!$H$6:$H$420,$M3824))</f>
        <v/>
      </c>
      <c r="D3824" s="61" t="str">
        <f aca="false">IF($M3824=0,"",INDEX(Classes!$B$6:$B$420,$M3824))</f>
        <v/>
      </c>
      <c r="E3824" s="61" t="str">
        <f aca="false">IF($M3824=0,"",INDEX(Classes!$C$6:$C$420,$M3824))</f>
        <v/>
      </c>
      <c r="F3824" s="63"/>
      <c r="G3824" s="63"/>
      <c r="H3824" s="60"/>
      <c r="I3824" s="60"/>
      <c r="J3824" s="63"/>
      <c r="K3824" s="61" t="str">
        <f aca="false">IF($P3824=0,"",IF($F3824="Baseline","— Baseline",IF($O3824=0,"No result",IF($N3824=0,"No Start (attainment only)",IF(OR($N3824=1,$O3824=1),"U – needs rule",INDEX(MxBody,MATCH($I3824,MxCurr,0),MATCH($H3824,MxStart,0)))))))</f>
        <v/>
      </c>
      <c r="L3824" s="62" t="str">
        <f aca="false">IF(COUNTA($A3824,$F3824,$G3824,$H3824,$I3824,$J3824)=0,"",IF($M3824=0,"✖ كود الصف غير موجود",IF(ISNA(MATCH($F3824,Lists!$A$2:$A$5,0)),"✖ الفترة غير صحيحة",IF(ISNA(MATCH($G3824,Lists!$B$2:$B$7,0)),"✖ المجموعة غير صحيحة",IF(NOT(OR($H3824="",$N3824&gt;0)),"✖ Start غير صحيح",IF(NOT(OR($I3824="",$I3824="NR",$O3824&gt;0)),"✖ Current غير صحيح",IF(NOT(IF(ISNUMBER($J3824),AND($J3824&gt;=0,$J3824=INT($J3824)),FALSE())),"✖ العدد يجب أن يكون صحيحًا ≥ 0",IF(AND($F3824="Baseline",$H3824&lt;&gt;""),"⚠ Baseline: Start لا يدخل في التقدم",IF($K3824="No Start (attainment only)","ℹ تحصيل فقط (بدون Start)",IF($K3824="U – needs rule","ℹ حالة U تحتاج قاعدة معتمدة",IF($K3824="No result","ℹ بدون نتيجة (يُستبعد من التحصيل)","OK")))))))))))</f>
        <v/>
      </c>
      <c r="M3824" s="64" t="n">
        <f aca="false">IF($A3824="",0,IFERROR(MATCH($A3824,Classes!$A$6:$A$420,0),0))</f>
        <v>0</v>
      </c>
      <c r="N3824" s="64" t="n">
        <f aca="false">IF($H3824="",0,IFERROR(MATCH($H3824,GradeList,0),0))</f>
        <v>0</v>
      </c>
      <c r="O3824" s="64" t="n">
        <f aca="false">IF(OR($I3824="",$I3824="NR"),0,IFERROR(MATCH($I3824,GradeList,0),0))</f>
        <v>0</v>
      </c>
      <c r="P3824" s="64" t="n">
        <f aca="false">IF(AND($M3824&gt;0,ISNUMBER(MATCH($F3824,Lists!$A$2:$A$5,0)),ISNUMBER(MATCH($G3824,Lists!$B$2:$B$7,0)),OR($H3824="",$N3824&gt;0),OR($I3824="",$I3824="NR",$O3824&gt;0),IF(ISNUMBER($J3824),AND($J3824&gt;=0,$J3824=INT($J3824)),FALSE())),$J3824,0)</f>
        <v>0</v>
      </c>
      <c r="Q3824" s="64" t="n">
        <f aca="false">IF(AND($P3824&gt;0,$O3824&gt;0),$P3824,0)</f>
        <v>0</v>
      </c>
      <c r="R3824" s="64" t="n">
        <f aca="false">IF(AND($Q3824&gt;0,$O3824&gt;=AtRank),$Q3824,0)</f>
        <v>0</v>
      </c>
      <c r="S3824" s="64" t="n">
        <f aca="false">IF(AND($Q3824&gt;0,$O3824&gt;=AboveRank),$Q3824,0)</f>
        <v>0</v>
      </c>
      <c r="T3824" s="64" t="n">
        <f aca="false">IF($K3824="Less",$P3824,0)</f>
        <v>0</v>
      </c>
      <c r="U3824" s="64" t="n">
        <f aca="false">IF($K3824="Expected",$P3824,0)</f>
        <v>0</v>
      </c>
      <c r="V3824" s="64" t="n">
        <f aca="false">IF($K3824="Better",$P3824,0)</f>
        <v>0</v>
      </c>
      <c r="W3824" s="64" t="n">
        <f aca="false">IF($K3824="U – needs rule",$P3824,0)</f>
        <v>0</v>
      </c>
      <c r="X3824" s="64" t="n">
        <f aca="false">IF($K3824="No Start (attainment only)",$P3824,0)</f>
        <v>0</v>
      </c>
    </row>
    <row r="3825" customFormat="false" ht="15" hidden="false" customHeight="false" outlineLevel="0" collapsed="false">
      <c r="A3825" s="60"/>
      <c r="B3825" s="61" t="str">
        <f aca="false">IF($M3825=0,"",INDEX(Classes!$E$6:$E$420,$M3825))</f>
        <v/>
      </c>
      <c r="C3825" s="62" t="str">
        <f aca="false">IF($M3825=0,"",INDEX(Classes!$H$6:$H$420,$M3825))</f>
        <v/>
      </c>
      <c r="D3825" s="61" t="str">
        <f aca="false">IF($M3825=0,"",INDEX(Classes!$B$6:$B$420,$M3825))</f>
        <v/>
      </c>
      <c r="E3825" s="61" t="str">
        <f aca="false">IF($M3825=0,"",INDEX(Classes!$C$6:$C$420,$M3825))</f>
        <v/>
      </c>
      <c r="F3825" s="63"/>
      <c r="G3825" s="63"/>
      <c r="H3825" s="60"/>
      <c r="I3825" s="60"/>
      <c r="J3825" s="63"/>
      <c r="K3825" s="61" t="str">
        <f aca="false">IF($P3825=0,"",IF($F3825="Baseline","— Baseline",IF($O3825=0,"No result",IF($N3825=0,"No Start (attainment only)",IF(OR($N3825=1,$O3825=1),"U – needs rule",INDEX(MxBody,MATCH($I3825,MxCurr,0),MATCH($H3825,MxStart,0)))))))</f>
        <v/>
      </c>
      <c r="L3825" s="62" t="str">
        <f aca="false">IF(COUNTA($A3825,$F3825,$G3825,$H3825,$I3825,$J3825)=0,"",IF($M3825=0,"✖ كود الصف غير موجود",IF(ISNA(MATCH($F3825,Lists!$A$2:$A$5,0)),"✖ الفترة غير صحيحة",IF(ISNA(MATCH($G3825,Lists!$B$2:$B$7,0)),"✖ المجموعة غير صحيحة",IF(NOT(OR($H3825="",$N3825&gt;0)),"✖ Start غير صحيح",IF(NOT(OR($I3825="",$I3825="NR",$O3825&gt;0)),"✖ Current غير صحيح",IF(NOT(IF(ISNUMBER($J3825),AND($J3825&gt;=0,$J3825=INT($J3825)),FALSE())),"✖ العدد يجب أن يكون صحيحًا ≥ 0",IF(AND($F3825="Baseline",$H3825&lt;&gt;""),"⚠ Baseline: Start لا يدخل في التقدم",IF($K3825="No Start (attainment only)","ℹ تحصيل فقط (بدون Start)",IF($K3825="U – needs rule","ℹ حالة U تحتاج قاعدة معتمدة",IF($K3825="No result","ℹ بدون نتيجة (يُستبعد من التحصيل)","OK")))))))))))</f>
        <v/>
      </c>
      <c r="M3825" s="64" t="n">
        <f aca="false">IF($A3825="",0,IFERROR(MATCH($A3825,Classes!$A$6:$A$420,0),0))</f>
        <v>0</v>
      </c>
      <c r="N3825" s="64" t="n">
        <f aca="false">IF($H3825="",0,IFERROR(MATCH($H3825,GradeList,0),0))</f>
        <v>0</v>
      </c>
      <c r="O3825" s="64" t="n">
        <f aca="false">IF(OR($I3825="",$I3825="NR"),0,IFERROR(MATCH($I3825,GradeList,0),0))</f>
        <v>0</v>
      </c>
      <c r="P3825" s="64" t="n">
        <f aca="false">IF(AND($M3825&gt;0,ISNUMBER(MATCH($F3825,Lists!$A$2:$A$5,0)),ISNUMBER(MATCH($G3825,Lists!$B$2:$B$7,0)),OR($H3825="",$N3825&gt;0),OR($I3825="",$I3825="NR",$O3825&gt;0),IF(ISNUMBER($J3825),AND($J3825&gt;=0,$J3825=INT($J3825)),FALSE())),$J3825,0)</f>
        <v>0</v>
      </c>
      <c r="Q3825" s="64" t="n">
        <f aca="false">IF(AND($P3825&gt;0,$O3825&gt;0),$P3825,0)</f>
        <v>0</v>
      </c>
      <c r="R3825" s="64" t="n">
        <f aca="false">IF(AND($Q3825&gt;0,$O3825&gt;=AtRank),$Q3825,0)</f>
        <v>0</v>
      </c>
      <c r="S3825" s="64" t="n">
        <f aca="false">IF(AND($Q3825&gt;0,$O3825&gt;=AboveRank),$Q3825,0)</f>
        <v>0</v>
      </c>
      <c r="T3825" s="64" t="n">
        <f aca="false">IF($K3825="Less",$P3825,0)</f>
        <v>0</v>
      </c>
      <c r="U3825" s="64" t="n">
        <f aca="false">IF($K3825="Expected",$P3825,0)</f>
        <v>0</v>
      </c>
      <c r="V3825" s="64" t="n">
        <f aca="false">IF($K3825="Better",$P3825,0)</f>
        <v>0</v>
      </c>
      <c r="W3825" s="64" t="n">
        <f aca="false">IF($K3825="U – needs rule",$P3825,0)</f>
        <v>0</v>
      </c>
      <c r="X3825" s="64" t="n">
        <f aca="false">IF($K3825="No Start (attainment only)",$P3825,0)</f>
        <v>0</v>
      </c>
    </row>
    <row r="3826" customFormat="false" ht="15" hidden="false" customHeight="false" outlineLevel="0" collapsed="false">
      <c r="A3826" s="60"/>
      <c r="B3826" s="61" t="str">
        <f aca="false">IF($M3826=0,"",INDEX(Classes!$E$6:$E$420,$M3826))</f>
        <v/>
      </c>
      <c r="C3826" s="62" t="str">
        <f aca="false">IF($M3826=0,"",INDEX(Classes!$H$6:$H$420,$M3826))</f>
        <v/>
      </c>
      <c r="D3826" s="61" t="str">
        <f aca="false">IF($M3826=0,"",INDEX(Classes!$B$6:$B$420,$M3826))</f>
        <v/>
      </c>
      <c r="E3826" s="61" t="str">
        <f aca="false">IF($M3826=0,"",INDEX(Classes!$C$6:$C$420,$M3826))</f>
        <v/>
      </c>
      <c r="F3826" s="63"/>
      <c r="G3826" s="63"/>
      <c r="H3826" s="60"/>
      <c r="I3826" s="60"/>
      <c r="J3826" s="63"/>
      <c r="K3826" s="61" t="str">
        <f aca="false">IF($P3826=0,"",IF($F3826="Baseline","— Baseline",IF($O3826=0,"No result",IF($N3826=0,"No Start (attainment only)",IF(OR($N3826=1,$O3826=1),"U – needs rule",INDEX(MxBody,MATCH($I3826,MxCurr,0),MATCH($H3826,MxStart,0)))))))</f>
        <v/>
      </c>
      <c r="L3826" s="62" t="str">
        <f aca="false">IF(COUNTA($A3826,$F3826,$G3826,$H3826,$I3826,$J3826)=0,"",IF($M3826=0,"✖ كود الصف غير موجود",IF(ISNA(MATCH($F3826,Lists!$A$2:$A$5,0)),"✖ الفترة غير صحيحة",IF(ISNA(MATCH($G3826,Lists!$B$2:$B$7,0)),"✖ المجموعة غير صحيحة",IF(NOT(OR($H3826="",$N3826&gt;0)),"✖ Start غير صحيح",IF(NOT(OR($I3826="",$I3826="NR",$O3826&gt;0)),"✖ Current غير صحيح",IF(NOT(IF(ISNUMBER($J3826),AND($J3826&gt;=0,$J3826=INT($J3826)),FALSE())),"✖ العدد يجب أن يكون صحيحًا ≥ 0",IF(AND($F3826="Baseline",$H3826&lt;&gt;""),"⚠ Baseline: Start لا يدخل في التقدم",IF($K3826="No Start (attainment only)","ℹ تحصيل فقط (بدون Start)",IF($K3826="U – needs rule","ℹ حالة U تحتاج قاعدة معتمدة",IF($K3826="No result","ℹ بدون نتيجة (يُستبعد من التحصيل)","OK")))))))))))</f>
        <v/>
      </c>
      <c r="M3826" s="64" t="n">
        <f aca="false">IF($A3826="",0,IFERROR(MATCH($A3826,Classes!$A$6:$A$420,0),0))</f>
        <v>0</v>
      </c>
      <c r="N3826" s="64" t="n">
        <f aca="false">IF($H3826="",0,IFERROR(MATCH($H3826,GradeList,0),0))</f>
        <v>0</v>
      </c>
      <c r="O3826" s="64" t="n">
        <f aca="false">IF(OR($I3826="",$I3826="NR"),0,IFERROR(MATCH($I3826,GradeList,0),0))</f>
        <v>0</v>
      </c>
      <c r="P3826" s="64" t="n">
        <f aca="false">IF(AND($M3826&gt;0,ISNUMBER(MATCH($F3826,Lists!$A$2:$A$5,0)),ISNUMBER(MATCH($G3826,Lists!$B$2:$B$7,0)),OR($H3826="",$N3826&gt;0),OR($I3826="",$I3826="NR",$O3826&gt;0),IF(ISNUMBER($J3826),AND($J3826&gt;=0,$J3826=INT($J3826)),FALSE())),$J3826,0)</f>
        <v>0</v>
      </c>
      <c r="Q3826" s="64" t="n">
        <f aca="false">IF(AND($P3826&gt;0,$O3826&gt;0),$P3826,0)</f>
        <v>0</v>
      </c>
      <c r="R3826" s="64" t="n">
        <f aca="false">IF(AND($Q3826&gt;0,$O3826&gt;=AtRank),$Q3826,0)</f>
        <v>0</v>
      </c>
      <c r="S3826" s="64" t="n">
        <f aca="false">IF(AND($Q3826&gt;0,$O3826&gt;=AboveRank),$Q3826,0)</f>
        <v>0</v>
      </c>
      <c r="T3826" s="64" t="n">
        <f aca="false">IF($K3826="Less",$P3826,0)</f>
        <v>0</v>
      </c>
      <c r="U3826" s="64" t="n">
        <f aca="false">IF($K3826="Expected",$P3826,0)</f>
        <v>0</v>
      </c>
      <c r="V3826" s="64" t="n">
        <f aca="false">IF($K3826="Better",$P3826,0)</f>
        <v>0</v>
      </c>
      <c r="W3826" s="64" t="n">
        <f aca="false">IF($K3826="U – needs rule",$P3826,0)</f>
        <v>0</v>
      </c>
      <c r="X3826" s="64" t="n">
        <f aca="false">IF($K3826="No Start (attainment only)",$P3826,0)</f>
        <v>0</v>
      </c>
    </row>
    <row r="3827" customFormat="false" ht="15" hidden="false" customHeight="false" outlineLevel="0" collapsed="false">
      <c r="A3827" s="60"/>
      <c r="B3827" s="61" t="str">
        <f aca="false">IF($M3827=0,"",INDEX(Classes!$E$6:$E$420,$M3827))</f>
        <v/>
      </c>
      <c r="C3827" s="62" t="str">
        <f aca="false">IF($M3827=0,"",INDEX(Classes!$H$6:$H$420,$M3827))</f>
        <v/>
      </c>
      <c r="D3827" s="61" t="str">
        <f aca="false">IF($M3827=0,"",INDEX(Classes!$B$6:$B$420,$M3827))</f>
        <v/>
      </c>
      <c r="E3827" s="61" t="str">
        <f aca="false">IF($M3827=0,"",INDEX(Classes!$C$6:$C$420,$M3827))</f>
        <v/>
      </c>
      <c r="F3827" s="63"/>
      <c r="G3827" s="63"/>
      <c r="H3827" s="60"/>
      <c r="I3827" s="60"/>
      <c r="J3827" s="63"/>
      <c r="K3827" s="61" t="str">
        <f aca="false">IF($P3827=0,"",IF($F3827="Baseline","— Baseline",IF($O3827=0,"No result",IF($N3827=0,"No Start (attainment only)",IF(OR($N3827=1,$O3827=1),"U – needs rule",INDEX(MxBody,MATCH($I3827,MxCurr,0),MATCH($H3827,MxStart,0)))))))</f>
        <v/>
      </c>
      <c r="L3827" s="62" t="str">
        <f aca="false">IF(COUNTA($A3827,$F3827,$G3827,$H3827,$I3827,$J3827)=0,"",IF($M3827=0,"✖ كود الصف غير موجود",IF(ISNA(MATCH($F3827,Lists!$A$2:$A$5,0)),"✖ الفترة غير صحيحة",IF(ISNA(MATCH($G3827,Lists!$B$2:$B$7,0)),"✖ المجموعة غير صحيحة",IF(NOT(OR($H3827="",$N3827&gt;0)),"✖ Start غير صحيح",IF(NOT(OR($I3827="",$I3827="NR",$O3827&gt;0)),"✖ Current غير صحيح",IF(NOT(IF(ISNUMBER($J3827),AND($J3827&gt;=0,$J3827=INT($J3827)),FALSE())),"✖ العدد يجب أن يكون صحيحًا ≥ 0",IF(AND($F3827="Baseline",$H3827&lt;&gt;""),"⚠ Baseline: Start لا يدخل في التقدم",IF($K3827="No Start (attainment only)","ℹ تحصيل فقط (بدون Start)",IF($K3827="U – needs rule","ℹ حالة U تحتاج قاعدة معتمدة",IF($K3827="No result","ℹ بدون نتيجة (يُستبعد من التحصيل)","OK")))))))))))</f>
        <v/>
      </c>
      <c r="M3827" s="64" t="n">
        <f aca="false">IF($A3827="",0,IFERROR(MATCH($A3827,Classes!$A$6:$A$420,0),0))</f>
        <v>0</v>
      </c>
      <c r="N3827" s="64" t="n">
        <f aca="false">IF($H3827="",0,IFERROR(MATCH($H3827,GradeList,0),0))</f>
        <v>0</v>
      </c>
      <c r="O3827" s="64" t="n">
        <f aca="false">IF(OR($I3827="",$I3827="NR"),0,IFERROR(MATCH($I3827,GradeList,0),0))</f>
        <v>0</v>
      </c>
      <c r="P3827" s="64" t="n">
        <f aca="false">IF(AND($M3827&gt;0,ISNUMBER(MATCH($F3827,Lists!$A$2:$A$5,0)),ISNUMBER(MATCH($G3827,Lists!$B$2:$B$7,0)),OR($H3827="",$N3827&gt;0),OR($I3827="",$I3827="NR",$O3827&gt;0),IF(ISNUMBER($J3827),AND($J3827&gt;=0,$J3827=INT($J3827)),FALSE())),$J3827,0)</f>
        <v>0</v>
      </c>
      <c r="Q3827" s="64" t="n">
        <f aca="false">IF(AND($P3827&gt;0,$O3827&gt;0),$P3827,0)</f>
        <v>0</v>
      </c>
      <c r="R3827" s="64" t="n">
        <f aca="false">IF(AND($Q3827&gt;0,$O3827&gt;=AtRank),$Q3827,0)</f>
        <v>0</v>
      </c>
      <c r="S3827" s="64" t="n">
        <f aca="false">IF(AND($Q3827&gt;0,$O3827&gt;=AboveRank),$Q3827,0)</f>
        <v>0</v>
      </c>
      <c r="T3827" s="64" t="n">
        <f aca="false">IF($K3827="Less",$P3827,0)</f>
        <v>0</v>
      </c>
      <c r="U3827" s="64" t="n">
        <f aca="false">IF($K3827="Expected",$P3827,0)</f>
        <v>0</v>
      </c>
      <c r="V3827" s="64" t="n">
        <f aca="false">IF($K3827="Better",$P3827,0)</f>
        <v>0</v>
      </c>
      <c r="W3827" s="64" t="n">
        <f aca="false">IF($K3827="U – needs rule",$P3827,0)</f>
        <v>0</v>
      </c>
      <c r="X3827" s="64" t="n">
        <f aca="false">IF($K3827="No Start (attainment only)",$P3827,0)</f>
        <v>0</v>
      </c>
    </row>
    <row r="3828" customFormat="false" ht="15" hidden="false" customHeight="false" outlineLevel="0" collapsed="false">
      <c r="A3828" s="60"/>
      <c r="B3828" s="61" t="str">
        <f aca="false">IF($M3828=0,"",INDEX(Classes!$E$6:$E$420,$M3828))</f>
        <v/>
      </c>
      <c r="C3828" s="62" t="str">
        <f aca="false">IF($M3828=0,"",INDEX(Classes!$H$6:$H$420,$M3828))</f>
        <v/>
      </c>
      <c r="D3828" s="61" t="str">
        <f aca="false">IF($M3828=0,"",INDEX(Classes!$B$6:$B$420,$M3828))</f>
        <v/>
      </c>
      <c r="E3828" s="61" t="str">
        <f aca="false">IF($M3828=0,"",INDEX(Classes!$C$6:$C$420,$M3828))</f>
        <v/>
      </c>
      <c r="F3828" s="63"/>
      <c r="G3828" s="63"/>
      <c r="H3828" s="60"/>
      <c r="I3828" s="60"/>
      <c r="J3828" s="63"/>
      <c r="K3828" s="61" t="str">
        <f aca="false">IF($P3828=0,"",IF($F3828="Baseline","— Baseline",IF($O3828=0,"No result",IF($N3828=0,"No Start (attainment only)",IF(OR($N3828=1,$O3828=1),"U – needs rule",INDEX(MxBody,MATCH($I3828,MxCurr,0),MATCH($H3828,MxStart,0)))))))</f>
        <v/>
      </c>
      <c r="L3828" s="62" t="str">
        <f aca="false">IF(COUNTA($A3828,$F3828,$G3828,$H3828,$I3828,$J3828)=0,"",IF($M3828=0,"✖ كود الصف غير موجود",IF(ISNA(MATCH($F3828,Lists!$A$2:$A$5,0)),"✖ الفترة غير صحيحة",IF(ISNA(MATCH($G3828,Lists!$B$2:$B$7,0)),"✖ المجموعة غير صحيحة",IF(NOT(OR($H3828="",$N3828&gt;0)),"✖ Start غير صحيح",IF(NOT(OR($I3828="",$I3828="NR",$O3828&gt;0)),"✖ Current غير صحيح",IF(NOT(IF(ISNUMBER($J3828),AND($J3828&gt;=0,$J3828=INT($J3828)),FALSE())),"✖ العدد يجب أن يكون صحيحًا ≥ 0",IF(AND($F3828="Baseline",$H3828&lt;&gt;""),"⚠ Baseline: Start لا يدخل في التقدم",IF($K3828="No Start (attainment only)","ℹ تحصيل فقط (بدون Start)",IF($K3828="U – needs rule","ℹ حالة U تحتاج قاعدة معتمدة",IF($K3828="No result","ℹ بدون نتيجة (يُستبعد من التحصيل)","OK")))))))))))</f>
        <v/>
      </c>
      <c r="M3828" s="64" t="n">
        <f aca="false">IF($A3828="",0,IFERROR(MATCH($A3828,Classes!$A$6:$A$420,0),0))</f>
        <v>0</v>
      </c>
      <c r="N3828" s="64" t="n">
        <f aca="false">IF($H3828="",0,IFERROR(MATCH($H3828,GradeList,0),0))</f>
        <v>0</v>
      </c>
      <c r="O3828" s="64" t="n">
        <f aca="false">IF(OR($I3828="",$I3828="NR"),0,IFERROR(MATCH($I3828,GradeList,0),0))</f>
        <v>0</v>
      </c>
      <c r="P3828" s="64" t="n">
        <f aca="false">IF(AND($M3828&gt;0,ISNUMBER(MATCH($F3828,Lists!$A$2:$A$5,0)),ISNUMBER(MATCH($G3828,Lists!$B$2:$B$7,0)),OR($H3828="",$N3828&gt;0),OR($I3828="",$I3828="NR",$O3828&gt;0),IF(ISNUMBER($J3828),AND($J3828&gt;=0,$J3828=INT($J3828)),FALSE())),$J3828,0)</f>
        <v>0</v>
      </c>
      <c r="Q3828" s="64" t="n">
        <f aca="false">IF(AND($P3828&gt;0,$O3828&gt;0),$P3828,0)</f>
        <v>0</v>
      </c>
      <c r="R3828" s="64" t="n">
        <f aca="false">IF(AND($Q3828&gt;0,$O3828&gt;=AtRank),$Q3828,0)</f>
        <v>0</v>
      </c>
      <c r="S3828" s="64" t="n">
        <f aca="false">IF(AND($Q3828&gt;0,$O3828&gt;=AboveRank),$Q3828,0)</f>
        <v>0</v>
      </c>
      <c r="T3828" s="64" t="n">
        <f aca="false">IF($K3828="Less",$P3828,0)</f>
        <v>0</v>
      </c>
      <c r="U3828" s="64" t="n">
        <f aca="false">IF($K3828="Expected",$P3828,0)</f>
        <v>0</v>
      </c>
      <c r="V3828" s="64" t="n">
        <f aca="false">IF($K3828="Better",$P3828,0)</f>
        <v>0</v>
      </c>
      <c r="W3828" s="64" t="n">
        <f aca="false">IF($K3828="U – needs rule",$P3828,0)</f>
        <v>0</v>
      </c>
      <c r="X3828" s="64" t="n">
        <f aca="false">IF($K3828="No Start (attainment only)",$P3828,0)</f>
        <v>0</v>
      </c>
    </row>
    <row r="3829" customFormat="false" ht="15" hidden="false" customHeight="false" outlineLevel="0" collapsed="false">
      <c r="A3829" s="60"/>
      <c r="B3829" s="61" t="str">
        <f aca="false">IF($M3829=0,"",INDEX(Classes!$E$6:$E$420,$M3829))</f>
        <v/>
      </c>
      <c r="C3829" s="62" t="str">
        <f aca="false">IF($M3829=0,"",INDEX(Classes!$H$6:$H$420,$M3829))</f>
        <v/>
      </c>
      <c r="D3829" s="61" t="str">
        <f aca="false">IF($M3829=0,"",INDEX(Classes!$B$6:$B$420,$M3829))</f>
        <v/>
      </c>
      <c r="E3829" s="61" t="str">
        <f aca="false">IF($M3829=0,"",INDEX(Classes!$C$6:$C$420,$M3829))</f>
        <v/>
      </c>
      <c r="F3829" s="63"/>
      <c r="G3829" s="63"/>
      <c r="H3829" s="60"/>
      <c r="I3829" s="60"/>
      <c r="J3829" s="63"/>
      <c r="K3829" s="61" t="str">
        <f aca="false">IF($P3829=0,"",IF($F3829="Baseline","— Baseline",IF($O3829=0,"No result",IF($N3829=0,"No Start (attainment only)",IF(OR($N3829=1,$O3829=1),"U – needs rule",INDEX(MxBody,MATCH($I3829,MxCurr,0),MATCH($H3829,MxStart,0)))))))</f>
        <v/>
      </c>
      <c r="L3829" s="62" t="str">
        <f aca="false">IF(COUNTA($A3829,$F3829,$G3829,$H3829,$I3829,$J3829)=0,"",IF($M3829=0,"✖ كود الصف غير موجود",IF(ISNA(MATCH($F3829,Lists!$A$2:$A$5,0)),"✖ الفترة غير صحيحة",IF(ISNA(MATCH($G3829,Lists!$B$2:$B$7,0)),"✖ المجموعة غير صحيحة",IF(NOT(OR($H3829="",$N3829&gt;0)),"✖ Start غير صحيح",IF(NOT(OR($I3829="",$I3829="NR",$O3829&gt;0)),"✖ Current غير صحيح",IF(NOT(IF(ISNUMBER($J3829),AND($J3829&gt;=0,$J3829=INT($J3829)),FALSE())),"✖ العدد يجب أن يكون صحيحًا ≥ 0",IF(AND($F3829="Baseline",$H3829&lt;&gt;""),"⚠ Baseline: Start لا يدخل في التقدم",IF($K3829="No Start (attainment only)","ℹ تحصيل فقط (بدون Start)",IF($K3829="U – needs rule","ℹ حالة U تحتاج قاعدة معتمدة",IF($K3829="No result","ℹ بدون نتيجة (يُستبعد من التحصيل)","OK")))))))))))</f>
        <v/>
      </c>
      <c r="M3829" s="64" t="n">
        <f aca="false">IF($A3829="",0,IFERROR(MATCH($A3829,Classes!$A$6:$A$420,0),0))</f>
        <v>0</v>
      </c>
      <c r="N3829" s="64" t="n">
        <f aca="false">IF($H3829="",0,IFERROR(MATCH($H3829,GradeList,0),0))</f>
        <v>0</v>
      </c>
      <c r="O3829" s="64" t="n">
        <f aca="false">IF(OR($I3829="",$I3829="NR"),0,IFERROR(MATCH($I3829,GradeList,0),0))</f>
        <v>0</v>
      </c>
      <c r="P3829" s="64" t="n">
        <f aca="false">IF(AND($M3829&gt;0,ISNUMBER(MATCH($F3829,Lists!$A$2:$A$5,0)),ISNUMBER(MATCH($G3829,Lists!$B$2:$B$7,0)),OR($H3829="",$N3829&gt;0),OR($I3829="",$I3829="NR",$O3829&gt;0),IF(ISNUMBER($J3829),AND($J3829&gt;=0,$J3829=INT($J3829)),FALSE())),$J3829,0)</f>
        <v>0</v>
      </c>
      <c r="Q3829" s="64" t="n">
        <f aca="false">IF(AND($P3829&gt;0,$O3829&gt;0),$P3829,0)</f>
        <v>0</v>
      </c>
      <c r="R3829" s="64" t="n">
        <f aca="false">IF(AND($Q3829&gt;0,$O3829&gt;=AtRank),$Q3829,0)</f>
        <v>0</v>
      </c>
      <c r="S3829" s="64" t="n">
        <f aca="false">IF(AND($Q3829&gt;0,$O3829&gt;=AboveRank),$Q3829,0)</f>
        <v>0</v>
      </c>
      <c r="T3829" s="64" t="n">
        <f aca="false">IF($K3829="Less",$P3829,0)</f>
        <v>0</v>
      </c>
      <c r="U3829" s="64" t="n">
        <f aca="false">IF($K3829="Expected",$P3829,0)</f>
        <v>0</v>
      </c>
      <c r="V3829" s="64" t="n">
        <f aca="false">IF($K3829="Better",$P3829,0)</f>
        <v>0</v>
      </c>
      <c r="W3829" s="64" t="n">
        <f aca="false">IF($K3829="U – needs rule",$P3829,0)</f>
        <v>0</v>
      </c>
      <c r="X3829" s="64" t="n">
        <f aca="false">IF($K3829="No Start (attainment only)",$P3829,0)</f>
        <v>0</v>
      </c>
    </row>
    <row r="3830" customFormat="false" ht="15" hidden="false" customHeight="false" outlineLevel="0" collapsed="false">
      <c r="A3830" s="60"/>
      <c r="B3830" s="61" t="str">
        <f aca="false">IF($M3830=0,"",INDEX(Classes!$E$6:$E$420,$M3830))</f>
        <v/>
      </c>
      <c r="C3830" s="62" t="str">
        <f aca="false">IF($M3830=0,"",INDEX(Classes!$H$6:$H$420,$M3830))</f>
        <v/>
      </c>
      <c r="D3830" s="61" t="str">
        <f aca="false">IF($M3830=0,"",INDEX(Classes!$B$6:$B$420,$M3830))</f>
        <v/>
      </c>
      <c r="E3830" s="61" t="str">
        <f aca="false">IF($M3830=0,"",INDEX(Classes!$C$6:$C$420,$M3830))</f>
        <v/>
      </c>
      <c r="F3830" s="63"/>
      <c r="G3830" s="63"/>
      <c r="H3830" s="60"/>
      <c r="I3830" s="60"/>
      <c r="J3830" s="63"/>
      <c r="K3830" s="61" t="str">
        <f aca="false">IF($P3830=0,"",IF($F3830="Baseline","— Baseline",IF($O3830=0,"No result",IF($N3830=0,"No Start (attainment only)",IF(OR($N3830=1,$O3830=1),"U – needs rule",INDEX(MxBody,MATCH($I3830,MxCurr,0),MATCH($H3830,MxStart,0)))))))</f>
        <v/>
      </c>
      <c r="L3830" s="62" t="str">
        <f aca="false">IF(COUNTA($A3830,$F3830,$G3830,$H3830,$I3830,$J3830)=0,"",IF($M3830=0,"✖ كود الصف غير موجود",IF(ISNA(MATCH($F3830,Lists!$A$2:$A$5,0)),"✖ الفترة غير صحيحة",IF(ISNA(MATCH($G3830,Lists!$B$2:$B$7,0)),"✖ المجموعة غير صحيحة",IF(NOT(OR($H3830="",$N3830&gt;0)),"✖ Start غير صحيح",IF(NOT(OR($I3830="",$I3830="NR",$O3830&gt;0)),"✖ Current غير صحيح",IF(NOT(IF(ISNUMBER($J3830),AND($J3830&gt;=0,$J3830=INT($J3830)),FALSE())),"✖ العدد يجب أن يكون صحيحًا ≥ 0",IF(AND($F3830="Baseline",$H3830&lt;&gt;""),"⚠ Baseline: Start لا يدخل في التقدم",IF($K3830="No Start (attainment only)","ℹ تحصيل فقط (بدون Start)",IF($K3830="U – needs rule","ℹ حالة U تحتاج قاعدة معتمدة",IF($K3830="No result","ℹ بدون نتيجة (يُستبعد من التحصيل)","OK")))))))))))</f>
        <v/>
      </c>
      <c r="M3830" s="64" t="n">
        <f aca="false">IF($A3830="",0,IFERROR(MATCH($A3830,Classes!$A$6:$A$420,0),0))</f>
        <v>0</v>
      </c>
      <c r="N3830" s="64" t="n">
        <f aca="false">IF($H3830="",0,IFERROR(MATCH($H3830,GradeList,0),0))</f>
        <v>0</v>
      </c>
      <c r="O3830" s="64" t="n">
        <f aca="false">IF(OR($I3830="",$I3830="NR"),0,IFERROR(MATCH($I3830,GradeList,0),0))</f>
        <v>0</v>
      </c>
      <c r="P3830" s="64" t="n">
        <f aca="false">IF(AND($M3830&gt;0,ISNUMBER(MATCH($F3830,Lists!$A$2:$A$5,0)),ISNUMBER(MATCH($G3830,Lists!$B$2:$B$7,0)),OR($H3830="",$N3830&gt;0),OR($I3830="",$I3830="NR",$O3830&gt;0),IF(ISNUMBER($J3830),AND($J3830&gt;=0,$J3830=INT($J3830)),FALSE())),$J3830,0)</f>
        <v>0</v>
      </c>
      <c r="Q3830" s="64" t="n">
        <f aca="false">IF(AND($P3830&gt;0,$O3830&gt;0),$P3830,0)</f>
        <v>0</v>
      </c>
      <c r="R3830" s="64" t="n">
        <f aca="false">IF(AND($Q3830&gt;0,$O3830&gt;=AtRank),$Q3830,0)</f>
        <v>0</v>
      </c>
      <c r="S3830" s="64" t="n">
        <f aca="false">IF(AND($Q3830&gt;0,$O3830&gt;=AboveRank),$Q3830,0)</f>
        <v>0</v>
      </c>
      <c r="T3830" s="64" t="n">
        <f aca="false">IF($K3830="Less",$P3830,0)</f>
        <v>0</v>
      </c>
      <c r="U3830" s="64" t="n">
        <f aca="false">IF($K3830="Expected",$P3830,0)</f>
        <v>0</v>
      </c>
      <c r="V3830" s="64" t="n">
        <f aca="false">IF($K3830="Better",$P3830,0)</f>
        <v>0</v>
      </c>
      <c r="W3830" s="64" t="n">
        <f aca="false">IF($K3830="U – needs rule",$P3830,0)</f>
        <v>0</v>
      </c>
      <c r="X3830" s="64" t="n">
        <f aca="false">IF($K3830="No Start (attainment only)",$P3830,0)</f>
        <v>0</v>
      </c>
    </row>
    <row r="3831" customFormat="false" ht="15" hidden="false" customHeight="false" outlineLevel="0" collapsed="false">
      <c r="A3831" s="60"/>
      <c r="B3831" s="61" t="str">
        <f aca="false">IF($M3831=0,"",INDEX(Classes!$E$6:$E$420,$M3831))</f>
        <v/>
      </c>
      <c r="C3831" s="62" t="str">
        <f aca="false">IF($M3831=0,"",INDEX(Classes!$H$6:$H$420,$M3831))</f>
        <v/>
      </c>
      <c r="D3831" s="61" t="str">
        <f aca="false">IF($M3831=0,"",INDEX(Classes!$B$6:$B$420,$M3831))</f>
        <v/>
      </c>
      <c r="E3831" s="61" t="str">
        <f aca="false">IF($M3831=0,"",INDEX(Classes!$C$6:$C$420,$M3831))</f>
        <v/>
      </c>
      <c r="F3831" s="63"/>
      <c r="G3831" s="63"/>
      <c r="H3831" s="60"/>
      <c r="I3831" s="60"/>
      <c r="J3831" s="63"/>
      <c r="K3831" s="61" t="str">
        <f aca="false">IF($P3831=0,"",IF($F3831="Baseline","— Baseline",IF($O3831=0,"No result",IF($N3831=0,"No Start (attainment only)",IF(OR($N3831=1,$O3831=1),"U – needs rule",INDEX(MxBody,MATCH($I3831,MxCurr,0),MATCH($H3831,MxStart,0)))))))</f>
        <v/>
      </c>
      <c r="L3831" s="62" t="str">
        <f aca="false">IF(COUNTA($A3831,$F3831,$G3831,$H3831,$I3831,$J3831)=0,"",IF($M3831=0,"✖ كود الصف غير موجود",IF(ISNA(MATCH($F3831,Lists!$A$2:$A$5,0)),"✖ الفترة غير صحيحة",IF(ISNA(MATCH($G3831,Lists!$B$2:$B$7,0)),"✖ المجموعة غير صحيحة",IF(NOT(OR($H3831="",$N3831&gt;0)),"✖ Start غير صحيح",IF(NOT(OR($I3831="",$I3831="NR",$O3831&gt;0)),"✖ Current غير صحيح",IF(NOT(IF(ISNUMBER($J3831),AND($J3831&gt;=0,$J3831=INT($J3831)),FALSE())),"✖ العدد يجب أن يكون صحيحًا ≥ 0",IF(AND($F3831="Baseline",$H3831&lt;&gt;""),"⚠ Baseline: Start لا يدخل في التقدم",IF($K3831="No Start (attainment only)","ℹ تحصيل فقط (بدون Start)",IF($K3831="U – needs rule","ℹ حالة U تحتاج قاعدة معتمدة",IF($K3831="No result","ℹ بدون نتيجة (يُستبعد من التحصيل)","OK")))))))))))</f>
        <v/>
      </c>
      <c r="M3831" s="64" t="n">
        <f aca="false">IF($A3831="",0,IFERROR(MATCH($A3831,Classes!$A$6:$A$420,0),0))</f>
        <v>0</v>
      </c>
      <c r="N3831" s="64" t="n">
        <f aca="false">IF($H3831="",0,IFERROR(MATCH($H3831,GradeList,0),0))</f>
        <v>0</v>
      </c>
      <c r="O3831" s="64" t="n">
        <f aca="false">IF(OR($I3831="",$I3831="NR"),0,IFERROR(MATCH($I3831,GradeList,0),0))</f>
        <v>0</v>
      </c>
      <c r="P3831" s="64" t="n">
        <f aca="false">IF(AND($M3831&gt;0,ISNUMBER(MATCH($F3831,Lists!$A$2:$A$5,0)),ISNUMBER(MATCH($G3831,Lists!$B$2:$B$7,0)),OR($H3831="",$N3831&gt;0),OR($I3831="",$I3831="NR",$O3831&gt;0),IF(ISNUMBER($J3831),AND($J3831&gt;=0,$J3831=INT($J3831)),FALSE())),$J3831,0)</f>
        <v>0</v>
      </c>
      <c r="Q3831" s="64" t="n">
        <f aca="false">IF(AND($P3831&gt;0,$O3831&gt;0),$P3831,0)</f>
        <v>0</v>
      </c>
      <c r="R3831" s="64" t="n">
        <f aca="false">IF(AND($Q3831&gt;0,$O3831&gt;=AtRank),$Q3831,0)</f>
        <v>0</v>
      </c>
      <c r="S3831" s="64" t="n">
        <f aca="false">IF(AND($Q3831&gt;0,$O3831&gt;=AboveRank),$Q3831,0)</f>
        <v>0</v>
      </c>
      <c r="T3831" s="64" t="n">
        <f aca="false">IF($K3831="Less",$P3831,0)</f>
        <v>0</v>
      </c>
      <c r="U3831" s="64" t="n">
        <f aca="false">IF($K3831="Expected",$P3831,0)</f>
        <v>0</v>
      </c>
      <c r="V3831" s="64" t="n">
        <f aca="false">IF($K3831="Better",$P3831,0)</f>
        <v>0</v>
      </c>
      <c r="W3831" s="64" t="n">
        <f aca="false">IF($K3831="U – needs rule",$P3831,0)</f>
        <v>0</v>
      </c>
      <c r="X3831" s="64" t="n">
        <f aca="false">IF($K3831="No Start (attainment only)",$P3831,0)</f>
        <v>0</v>
      </c>
    </row>
    <row r="3832" customFormat="false" ht="15" hidden="false" customHeight="false" outlineLevel="0" collapsed="false">
      <c r="A3832" s="60"/>
      <c r="B3832" s="61" t="str">
        <f aca="false">IF($M3832=0,"",INDEX(Classes!$E$6:$E$420,$M3832))</f>
        <v/>
      </c>
      <c r="C3832" s="62" t="str">
        <f aca="false">IF($M3832=0,"",INDEX(Classes!$H$6:$H$420,$M3832))</f>
        <v/>
      </c>
      <c r="D3832" s="61" t="str">
        <f aca="false">IF($M3832=0,"",INDEX(Classes!$B$6:$B$420,$M3832))</f>
        <v/>
      </c>
      <c r="E3832" s="61" t="str">
        <f aca="false">IF($M3832=0,"",INDEX(Classes!$C$6:$C$420,$M3832))</f>
        <v/>
      </c>
      <c r="F3832" s="63"/>
      <c r="G3832" s="63"/>
      <c r="H3832" s="60"/>
      <c r="I3832" s="60"/>
      <c r="J3832" s="63"/>
      <c r="K3832" s="61" t="str">
        <f aca="false">IF($P3832=0,"",IF($F3832="Baseline","— Baseline",IF($O3832=0,"No result",IF($N3832=0,"No Start (attainment only)",IF(OR($N3832=1,$O3832=1),"U – needs rule",INDEX(MxBody,MATCH($I3832,MxCurr,0),MATCH($H3832,MxStart,0)))))))</f>
        <v/>
      </c>
      <c r="L3832" s="62" t="str">
        <f aca="false">IF(COUNTA($A3832,$F3832,$G3832,$H3832,$I3832,$J3832)=0,"",IF($M3832=0,"✖ كود الصف غير موجود",IF(ISNA(MATCH($F3832,Lists!$A$2:$A$5,0)),"✖ الفترة غير صحيحة",IF(ISNA(MATCH($G3832,Lists!$B$2:$B$7,0)),"✖ المجموعة غير صحيحة",IF(NOT(OR($H3832="",$N3832&gt;0)),"✖ Start غير صحيح",IF(NOT(OR($I3832="",$I3832="NR",$O3832&gt;0)),"✖ Current غير صحيح",IF(NOT(IF(ISNUMBER($J3832),AND($J3832&gt;=0,$J3832=INT($J3832)),FALSE())),"✖ العدد يجب أن يكون صحيحًا ≥ 0",IF(AND($F3832="Baseline",$H3832&lt;&gt;""),"⚠ Baseline: Start لا يدخل في التقدم",IF($K3832="No Start (attainment only)","ℹ تحصيل فقط (بدون Start)",IF($K3832="U – needs rule","ℹ حالة U تحتاج قاعدة معتمدة",IF($K3832="No result","ℹ بدون نتيجة (يُستبعد من التحصيل)","OK")))))))))))</f>
        <v/>
      </c>
      <c r="M3832" s="64" t="n">
        <f aca="false">IF($A3832="",0,IFERROR(MATCH($A3832,Classes!$A$6:$A$420,0),0))</f>
        <v>0</v>
      </c>
      <c r="N3832" s="64" t="n">
        <f aca="false">IF($H3832="",0,IFERROR(MATCH($H3832,GradeList,0),0))</f>
        <v>0</v>
      </c>
      <c r="O3832" s="64" t="n">
        <f aca="false">IF(OR($I3832="",$I3832="NR"),0,IFERROR(MATCH($I3832,GradeList,0),0))</f>
        <v>0</v>
      </c>
      <c r="P3832" s="64" t="n">
        <f aca="false">IF(AND($M3832&gt;0,ISNUMBER(MATCH($F3832,Lists!$A$2:$A$5,0)),ISNUMBER(MATCH($G3832,Lists!$B$2:$B$7,0)),OR($H3832="",$N3832&gt;0),OR($I3832="",$I3832="NR",$O3832&gt;0),IF(ISNUMBER($J3832),AND($J3832&gt;=0,$J3832=INT($J3832)),FALSE())),$J3832,0)</f>
        <v>0</v>
      </c>
      <c r="Q3832" s="64" t="n">
        <f aca="false">IF(AND($P3832&gt;0,$O3832&gt;0),$P3832,0)</f>
        <v>0</v>
      </c>
      <c r="R3832" s="64" t="n">
        <f aca="false">IF(AND($Q3832&gt;0,$O3832&gt;=AtRank),$Q3832,0)</f>
        <v>0</v>
      </c>
      <c r="S3832" s="64" t="n">
        <f aca="false">IF(AND($Q3832&gt;0,$O3832&gt;=AboveRank),$Q3832,0)</f>
        <v>0</v>
      </c>
      <c r="T3832" s="64" t="n">
        <f aca="false">IF($K3832="Less",$P3832,0)</f>
        <v>0</v>
      </c>
      <c r="U3832" s="64" t="n">
        <f aca="false">IF($K3832="Expected",$P3832,0)</f>
        <v>0</v>
      </c>
      <c r="V3832" s="64" t="n">
        <f aca="false">IF($K3832="Better",$P3832,0)</f>
        <v>0</v>
      </c>
      <c r="W3832" s="64" t="n">
        <f aca="false">IF($K3832="U – needs rule",$P3832,0)</f>
        <v>0</v>
      </c>
      <c r="X3832" s="64" t="n">
        <f aca="false">IF($K3832="No Start (attainment only)",$P3832,0)</f>
        <v>0</v>
      </c>
    </row>
    <row r="3833" customFormat="false" ht="15" hidden="false" customHeight="false" outlineLevel="0" collapsed="false">
      <c r="A3833" s="60"/>
      <c r="B3833" s="61" t="str">
        <f aca="false">IF($M3833=0,"",INDEX(Classes!$E$6:$E$420,$M3833))</f>
        <v/>
      </c>
      <c r="C3833" s="62" t="str">
        <f aca="false">IF($M3833=0,"",INDEX(Classes!$H$6:$H$420,$M3833))</f>
        <v/>
      </c>
      <c r="D3833" s="61" t="str">
        <f aca="false">IF($M3833=0,"",INDEX(Classes!$B$6:$B$420,$M3833))</f>
        <v/>
      </c>
      <c r="E3833" s="61" t="str">
        <f aca="false">IF($M3833=0,"",INDEX(Classes!$C$6:$C$420,$M3833))</f>
        <v/>
      </c>
      <c r="F3833" s="63"/>
      <c r="G3833" s="63"/>
      <c r="H3833" s="60"/>
      <c r="I3833" s="60"/>
      <c r="J3833" s="63"/>
      <c r="K3833" s="61" t="str">
        <f aca="false">IF($P3833=0,"",IF($F3833="Baseline","— Baseline",IF($O3833=0,"No result",IF($N3833=0,"No Start (attainment only)",IF(OR($N3833=1,$O3833=1),"U – needs rule",INDEX(MxBody,MATCH($I3833,MxCurr,0),MATCH($H3833,MxStart,0)))))))</f>
        <v/>
      </c>
      <c r="L3833" s="62" t="str">
        <f aca="false">IF(COUNTA($A3833,$F3833,$G3833,$H3833,$I3833,$J3833)=0,"",IF($M3833=0,"✖ كود الصف غير موجود",IF(ISNA(MATCH($F3833,Lists!$A$2:$A$5,0)),"✖ الفترة غير صحيحة",IF(ISNA(MATCH($G3833,Lists!$B$2:$B$7,0)),"✖ المجموعة غير صحيحة",IF(NOT(OR($H3833="",$N3833&gt;0)),"✖ Start غير صحيح",IF(NOT(OR($I3833="",$I3833="NR",$O3833&gt;0)),"✖ Current غير صحيح",IF(NOT(IF(ISNUMBER($J3833),AND($J3833&gt;=0,$J3833=INT($J3833)),FALSE())),"✖ العدد يجب أن يكون صحيحًا ≥ 0",IF(AND($F3833="Baseline",$H3833&lt;&gt;""),"⚠ Baseline: Start لا يدخل في التقدم",IF($K3833="No Start (attainment only)","ℹ تحصيل فقط (بدون Start)",IF($K3833="U – needs rule","ℹ حالة U تحتاج قاعدة معتمدة",IF($K3833="No result","ℹ بدون نتيجة (يُستبعد من التحصيل)","OK")))))))))))</f>
        <v/>
      </c>
      <c r="M3833" s="64" t="n">
        <f aca="false">IF($A3833="",0,IFERROR(MATCH($A3833,Classes!$A$6:$A$420,0),0))</f>
        <v>0</v>
      </c>
      <c r="N3833" s="64" t="n">
        <f aca="false">IF($H3833="",0,IFERROR(MATCH($H3833,GradeList,0),0))</f>
        <v>0</v>
      </c>
      <c r="O3833" s="64" t="n">
        <f aca="false">IF(OR($I3833="",$I3833="NR"),0,IFERROR(MATCH($I3833,GradeList,0),0))</f>
        <v>0</v>
      </c>
      <c r="P3833" s="64" t="n">
        <f aca="false">IF(AND($M3833&gt;0,ISNUMBER(MATCH($F3833,Lists!$A$2:$A$5,0)),ISNUMBER(MATCH($G3833,Lists!$B$2:$B$7,0)),OR($H3833="",$N3833&gt;0),OR($I3833="",$I3833="NR",$O3833&gt;0),IF(ISNUMBER($J3833),AND($J3833&gt;=0,$J3833=INT($J3833)),FALSE())),$J3833,0)</f>
        <v>0</v>
      </c>
      <c r="Q3833" s="64" t="n">
        <f aca="false">IF(AND($P3833&gt;0,$O3833&gt;0),$P3833,0)</f>
        <v>0</v>
      </c>
      <c r="R3833" s="64" t="n">
        <f aca="false">IF(AND($Q3833&gt;0,$O3833&gt;=AtRank),$Q3833,0)</f>
        <v>0</v>
      </c>
      <c r="S3833" s="64" t="n">
        <f aca="false">IF(AND($Q3833&gt;0,$O3833&gt;=AboveRank),$Q3833,0)</f>
        <v>0</v>
      </c>
      <c r="T3833" s="64" t="n">
        <f aca="false">IF($K3833="Less",$P3833,0)</f>
        <v>0</v>
      </c>
      <c r="U3833" s="64" t="n">
        <f aca="false">IF($K3833="Expected",$P3833,0)</f>
        <v>0</v>
      </c>
      <c r="V3833" s="64" t="n">
        <f aca="false">IF($K3833="Better",$P3833,0)</f>
        <v>0</v>
      </c>
      <c r="W3833" s="64" t="n">
        <f aca="false">IF($K3833="U – needs rule",$P3833,0)</f>
        <v>0</v>
      </c>
      <c r="X3833" s="64" t="n">
        <f aca="false">IF($K3833="No Start (attainment only)",$P3833,0)</f>
        <v>0</v>
      </c>
    </row>
    <row r="3834" customFormat="false" ht="15" hidden="false" customHeight="false" outlineLevel="0" collapsed="false">
      <c r="A3834" s="60"/>
      <c r="B3834" s="61" t="str">
        <f aca="false">IF($M3834=0,"",INDEX(Classes!$E$6:$E$420,$M3834))</f>
        <v/>
      </c>
      <c r="C3834" s="62" t="str">
        <f aca="false">IF($M3834=0,"",INDEX(Classes!$H$6:$H$420,$M3834))</f>
        <v/>
      </c>
      <c r="D3834" s="61" t="str">
        <f aca="false">IF($M3834=0,"",INDEX(Classes!$B$6:$B$420,$M3834))</f>
        <v/>
      </c>
      <c r="E3834" s="61" t="str">
        <f aca="false">IF($M3834=0,"",INDEX(Classes!$C$6:$C$420,$M3834))</f>
        <v/>
      </c>
      <c r="F3834" s="63"/>
      <c r="G3834" s="63"/>
      <c r="H3834" s="60"/>
      <c r="I3834" s="60"/>
      <c r="J3834" s="63"/>
      <c r="K3834" s="61" t="str">
        <f aca="false">IF($P3834=0,"",IF($F3834="Baseline","— Baseline",IF($O3834=0,"No result",IF($N3834=0,"No Start (attainment only)",IF(OR($N3834=1,$O3834=1),"U – needs rule",INDEX(MxBody,MATCH($I3834,MxCurr,0),MATCH($H3834,MxStart,0)))))))</f>
        <v/>
      </c>
      <c r="L3834" s="62" t="str">
        <f aca="false">IF(COUNTA($A3834,$F3834,$G3834,$H3834,$I3834,$J3834)=0,"",IF($M3834=0,"✖ كود الصف غير موجود",IF(ISNA(MATCH($F3834,Lists!$A$2:$A$5,0)),"✖ الفترة غير صحيحة",IF(ISNA(MATCH($G3834,Lists!$B$2:$B$7,0)),"✖ المجموعة غير صحيحة",IF(NOT(OR($H3834="",$N3834&gt;0)),"✖ Start غير صحيح",IF(NOT(OR($I3834="",$I3834="NR",$O3834&gt;0)),"✖ Current غير صحيح",IF(NOT(IF(ISNUMBER($J3834),AND($J3834&gt;=0,$J3834=INT($J3834)),FALSE())),"✖ العدد يجب أن يكون صحيحًا ≥ 0",IF(AND($F3834="Baseline",$H3834&lt;&gt;""),"⚠ Baseline: Start لا يدخل في التقدم",IF($K3834="No Start (attainment only)","ℹ تحصيل فقط (بدون Start)",IF($K3834="U – needs rule","ℹ حالة U تحتاج قاعدة معتمدة",IF($K3834="No result","ℹ بدون نتيجة (يُستبعد من التحصيل)","OK")))))))))))</f>
        <v/>
      </c>
      <c r="M3834" s="64" t="n">
        <f aca="false">IF($A3834="",0,IFERROR(MATCH($A3834,Classes!$A$6:$A$420,0),0))</f>
        <v>0</v>
      </c>
      <c r="N3834" s="64" t="n">
        <f aca="false">IF($H3834="",0,IFERROR(MATCH($H3834,GradeList,0),0))</f>
        <v>0</v>
      </c>
      <c r="O3834" s="64" t="n">
        <f aca="false">IF(OR($I3834="",$I3834="NR"),0,IFERROR(MATCH($I3834,GradeList,0),0))</f>
        <v>0</v>
      </c>
      <c r="P3834" s="64" t="n">
        <f aca="false">IF(AND($M3834&gt;0,ISNUMBER(MATCH($F3834,Lists!$A$2:$A$5,0)),ISNUMBER(MATCH($G3834,Lists!$B$2:$B$7,0)),OR($H3834="",$N3834&gt;0),OR($I3834="",$I3834="NR",$O3834&gt;0),IF(ISNUMBER($J3834),AND($J3834&gt;=0,$J3834=INT($J3834)),FALSE())),$J3834,0)</f>
        <v>0</v>
      </c>
      <c r="Q3834" s="64" t="n">
        <f aca="false">IF(AND($P3834&gt;0,$O3834&gt;0),$P3834,0)</f>
        <v>0</v>
      </c>
      <c r="R3834" s="64" t="n">
        <f aca="false">IF(AND($Q3834&gt;0,$O3834&gt;=AtRank),$Q3834,0)</f>
        <v>0</v>
      </c>
      <c r="S3834" s="64" t="n">
        <f aca="false">IF(AND($Q3834&gt;0,$O3834&gt;=AboveRank),$Q3834,0)</f>
        <v>0</v>
      </c>
      <c r="T3834" s="64" t="n">
        <f aca="false">IF($K3834="Less",$P3834,0)</f>
        <v>0</v>
      </c>
      <c r="U3834" s="64" t="n">
        <f aca="false">IF($K3834="Expected",$P3834,0)</f>
        <v>0</v>
      </c>
      <c r="V3834" s="64" t="n">
        <f aca="false">IF($K3834="Better",$P3834,0)</f>
        <v>0</v>
      </c>
      <c r="W3834" s="64" t="n">
        <f aca="false">IF($K3834="U – needs rule",$P3834,0)</f>
        <v>0</v>
      </c>
      <c r="X3834" s="64" t="n">
        <f aca="false">IF($K3834="No Start (attainment only)",$P3834,0)</f>
        <v>0</v>
      </c>
    </row>
    <row r="3835" customFormat="false" ht="15" hidden="false" customHeight="false" outlineLevel="0" collapsed="false">
      <c r="A3835" s="60"/>
      <c r="B3835" s="61" t="str">
        <f aca="false">IF($M3835=0,"",INDEX(Classes!$E$6:$E$420,$M3835))</f>
        <v/>
      </c>
      <c r="C3835" s="62" t="str">
        <f aca="false">IF($M3835=0,"",INDEX(Classes!$H$6:$H$420,$M3835))</f>
        <v/>
      </c>
      <c r="D3835" s="61" t="str">
        <f aca="false">IF($M3835=0,"",INDEX(Classes!$B$6:$B$420,$M3835))</f>
        <v/>
      </c>
      <c r="E3835" s="61" t="str">
        <f aca="false">IF($M3835=0,"",INDEX(Classes!$C$6:$C$420,$M3835))</f>
        <v/>
      </c>
      <c r="F3835" s="63"/>
      <c r="G3835" s="63"/>
      <c r="H3835" s="60"/>
      <c r="I3835" s="60"/>
      <c r="J3835" s="63"/>
      <c r="K3835" s="61" t="str">
        <f aca="false">IF($P3835=0,"",IF($F3835="Baseline","— Baseline",IF($O3835=0,"No result",IF($N3835=0,"No Start (attainment only)",IF(OR($N3835=1,$O3835=1),"U – needs rule",INDEX(MxBody,MATCH($I3835,MxCurr,0),MATCH($H3835,MxStart,0)))))))</f>
        <v/>
      </c>
      <c r="L3835" s="62" t="str">
        <f aca="false">IF(COUNTA($A3835,$F3835,$G3835,$H3835,$I3835,$J3835)=0,"",IF($M3835=0,"✖ كود الصف غير موجود",IF(ISNA(MATCH($F3835,Lists!$A$2:$A$5,0)),"✖ الفترة غير صحيحة",IF(ISNA(MATCH($G3835,Lists!$B$2:$B$7,0)),"✖ المجموعة غير صحيحة",IF(NOT(OR($H3835="",$N3835&gt;0)),"✖ Start غير صحيح",IF(NOT(OR($I3835="",$I3835="NR",$O3835&gt;0)),"✖ Current غير صحيح",IF(NOT(IF(ISNUMBER($J3835),AND($J3835&gt;=0,$J3835=INT($J3835)),FALSE())),"✖ العدد يجب أن يكون صحيحًا ≥ 0",IF(AND($F3835="Baseline",$H3835&lt;&gt;""),"⚠ Baseline: Start لا يدخل في التقدم",IF($K3835="No Start (attainment only)","ℹ تحصيل فقط (بدون Start)",IF($K3835="U – needs rule","ℹ حالة U تحتاج قاعدة معتمدة",IF($K3835="No result","ℹ بدون نتيجة (يُستبعد من التحصيل)","OK")))))))))))</f>
        <v/>
      </c>
      <c r="M3835" s="64" t="n">
        <f aca="false">IF($A3835="",0,IFERROR(MATCH($A3835,Classes!$A$6:$A$420,0),0))</f>
        <v>0</v>
      </c>
      <c r="N3835" s="64" t="n">
        <f aca="false">IF($H3835="",0,IFERROR(MATCH($H3835,GradeList,0),0))</f>
        <v>0</v>
      </c>
      <c r="O3835" s="64" t="n">
        <f aca="false">IF(OR($I3835="",$I3835="NR"),0,IFERROR(MATCH($I3835,GradeList,0),0))</f>
        <v>0</v>
      </c>
      <c r="P3835" s="64" t="n">
        <f aca="false">IF(AND($M3835&gt;0,ISNUMBER(MATCH($F3835,Lists!$A$2:$A$5,0)),ISNUMBER(MATCH($G3835,Lists!$B$2:$B$7,0)),OR($H3835="",$N3835&gt;0),OR($I3835="",$I3835="NR",$O3835&gt;0),IF(ISNUMBER($J3835),AND($J3835&gt;=0,$J3835=INT($J3835)),FALSE())),$J3835,0)</f>
        <v>0</v>
      </c>
      <c r="Q3835" s="64" t="n">
        <f aca="false">IF(AND($P3835&gt;0,$O3835&gt;0),$P3835,0)</f>
        <v>0</v>
      </c>
      <c r="R3835" s="64" t="n">
        <f aca="false">IF(AND($Q3835&gt;0,$O3835&gt;=AtRank),$Q3835,0)</f>
        <v>0</v>
      </c>
      <c r="S3835" s="64" t="n">
        <f aca="false">IF(AND($Q3835&gt;0,$O3835&gt;=AboveRank),$Q3835,0)</f>
        <v>0</v>
      </c>
      <c r="T3835" s="64" t="n">
        <f aca="false">IF($K3835="Less",$P3835,0)</f>
        <v>0</v>
      </c>
      <c r="U3835" s="64" t="n">
        <f aca="false">IF($K3835="Expected",$P3835,0)</f>
        <v>0</v>
      </c>
      <c r="V3835" s="64" t="n">
        <f aca="false">IF($K3835="Better",$P3835,0)</f>
        <v>0</v>
      </c>
      <c r="W3835" s="64" t="n">
        <f aca="false">IF($K3835="U – needs rule",$P3835,0)</f>
        <v>0</v>
      </c>
      <c r="X3835" s="64" t="n">
        <f aca="false">IF($K3835="No Start (attainment only)",$P3835,0)</f>
        <v>0</v>
      </c>
    </row>
    <row r="3836" customFormat="false" ht="15" hidden="false" customHeight="false" outlineLevel="0" collapsed="false">
      <c r="A3836" s="60"/>
      <c r="B3836" s="61" t="str">
        <f aca="false">IF($M3836=0,"",INDEX(Classes!$E$6:$E$420,$M3836))</f>
        <v/>
      </c>
      <c r="C3836" s="62" t="str">
        <f aca="false">IF($M3836=0,"",INDEX(Classes!$H$6:$H$420,$M3836))</f>
        <v/>
      </c>
      <c r="D3836" s="61" t="str">
        <f aca="false">IF($M3836=0,"",INDEX(Classes!$B$6:$B$420,$M3836))</f>
        <v/>
      </c>
      <c r="E3836" s="61" t="str">
        <f aca="false">IF($M3836=0,"",INDEX(Classes!$C$6:$C$420,$M3836))</f>
        <v/>
      </c>
      <c r="F3836" s="63"/>
      <c r="G3836" s="63"/>
      <c r="H3836" s="60"/>
      <c r="I3836" s="60"/>
      <c r="J3836" s="63"/>
      <c r="K3836" s="61" t="str">
        <f aca="false">IF($P3836=0,"",IF($F3836="Baseline","— Baseline",IF($O3836=0,"No result",IF($N3836=0,"No Start (attainment only)",IF(OR($N3836=1,$O3836=1),"U – needs rule",INDEX(MxBody,MATCH($I3836,MxCurr,0),MATCH($H3836,MxStart,0)))))))</f>
        <v/>
      </c>
      <c r="L3836" s="62" t="str">
        <f aca="false">IF(COUNTA($A3836,$F3836,$G3836,$H3836,$I3836,$J3836)=0,"",IF($M3836=0,"✖ كود الصف غير موجود",IF(ISNA(MATCH($F3836,Lists!$A$2:$A$5,0)),"✖ الفترة غير صحيحة",IF(ISNA(MATCH($G3836,Lists!$B$2:$B$7,0)),"✖ المجموعة غير صحيحة",IF(NOT(OR($H3836="",$N3836&gt;0)),"✖ Start غير صحيح",IF(NOT(OR($I3836="",$I3836="NR",$O3836&gt;0)),"✖ Current غير صحيح",IF(NOT(IF(ISNUMBER($J3836),AND($J3836&gt;=0,$J3836=INT($J3836)),FALSE())),"✖ العدد يجب أن يكون صحيحًا ≥ 0",IF(AND($F3836="Baseline",$H3836&lt;&gt;""),"⚠ Baseline: Start لا يدخل في التقدم",IF($K3836="No Start (attainment only)","ℹ تحصيل فقط (بدون Start)",IF($K3836="U – needs rule","ℹ حالة U تحتاج قاعدة معتمدة",IF($K3836="No result","ℹ بدون نتيجة (يُستبعد من التحصيل)","OK")))))))))))</f>
        <v/>
      </c>
      <c r="M3836" s="64" t="n">
        <f aca="false">IF($A3836="",0,IFERROR(MATCH($A3836,Classes!$A$6:$A$420,0),0))</f>
        <v>0</v>
      </c>
      <c r="N3836" s="64" t="n">
        <f aca="false">IF($H3836="",0,IFERROR(MATCH($H3836,GradeList,0),0))</f>
        <v>0</v>
      </c>
      <c r="O3836" s="64" t="n">
        <f aca="false">IF(OR($I3836="",$I3836="NR"),0,IFERROR(MATCH($I3836,GradeList,0),0))</f>
        <v>0</v>
      </c>
      <c r="P3836" s="64" t="n">
        <f aca="false">IF(AND($M3836&gt;0,ISNUMBER(MATCH($F3836,Lists!$A$2:$A$5,0)),ISNUMBER(MATCH($G3836,Lists!$B$2:$B$7,0)),OR($H3836="",$N3836&gt;0),OR($I3836="",$I3836="NR",$O3836&gt;0),IF(ISNUMBER($J3836),AND($J3836&gt;=0,$J3836=INT($J3836)),FALSE())),$J3836,0)</f>
        <v>0</v>
      </c>
      <c r="Q3836" s="64" t="n">
        <f aca="false">IF(AND($P3836&gt;0,$O3836&gt;0),$P3836,0)</f>
        <v>0</v>
      </c>
      <c r="R3836" s="64" t="n">
        <f aca="false">IF(AND($Q3836&gt;0,$O3836&gt;=AtRank),$Q3836,0)</f>
        <v>0</v>
      </c>
      <c r="S3836" s="64" t="n">
        <f aca="false">IF(AND($Q3836&gt;0,$O3836&gt;=AboveRank),$Q3836,0)</f>
        <v>0</v>
      </c>
      <c r="T3836" s="64" t="n">
        <f aca="false">IF($K3836="Less",$P3836,0)</f>
        <v>0</v>
      </c>
      <c r="U3836" s="64" t="n">
        <f aca="false">IF($K3836="Expected",$P3836,0)</f>
        <v>0</v>
      </c>
      <c r="V3836" s="64" t="n">
        <f aca="false">IF($K3836="Better",$P3836,0)</f>
        <v>0</v>
      </c>
      <c r="W3836" s="64" t="n">
        <f aca="false">IF($K3836="U – needs rule",$P3836,0)</f>
        <v>0</v>
      </c>
      <c r="X3836" s="64" t="n">
        <f aca="false">IF($K3836="No Start (attainment only)",$P3836,0)</f>
        <v>0</v>
      </c>
    </row>
    <row r="3837" customFormat="false" ht="15" hidden="false" customHeight="false" outlineLevel="0" collapsed="false">
      <c r="A3837" s="60"/>
      <c r="B3837" s="61" t="str">
        <f aca="false">IF($M3837=0,"",INDEX(Classes!$E$6:$E$420,$M3837))</f>
        <v/>
      </c>
      <c r="C3837" s="62" t="str">
        <f aca="false">IF($M3837=0,"",INDEX(Classes!$H$6:$H$420,$M3837))</f>
        <v/>
      </c>
      <c r="D3837" s="61" t="str">
        <f aca="false">IF($M3837=0,"",INDEX(Classes!$B$6:$B$420,$M3837))</f>
        <v/>
      </c>
      <c r="E3837" s="61" t="str">
        <f aca="false">IF($M3837=0,"",INDEX(Classes!$C$6:$C$420,$M3837))</f>
        <v/>
      </c>
      <c r="F3837" s="63"/>
      <c r="G3837" s="63"/>
      <c r="H3837" s="60"/>
      <c r="I3837" s="60"/>
      <c r="J3837" s="63"/>
      <c r="K3837" s="61" t="str">
        <f aca="false">IF($P3837=0,"",IF($F3837="Baseline","— Baseline",IF($O3837=0,"No result",IF($N3837=0,"No Start (attainment only)",IF(OR($N3837=1,$O3837=1),"U – needs rule",INDEX(MxBody,MATCH($I3837,MxCurr,0),MATCH($H3837,MxStart,0)))))))</f>
        <v/>
      </c>
      <c r="L3837" s="62" t="str">
        <f aca="false">IF(COUNTA($A3837,$F3837,$G3837,$H3837,$I3837,$J3837)=0,"",IF($M3837=0,"✖ كود الصف غير موجود",IF(ISNA(MATCH($F3837,Lists!$A$2:$A$5,0)),"✖ الفترة غير صحيحة",IF(ISNA(MATCH($G3837,Lists!$B$2:$B$7,0)),"✖ المجموعة غير صحيحة",IF(NOT(OR($H3837="",$N3837&gt;0)),"✖ Start غير صحيح",IF(NOT(OR($I3837="",$I3837="NR",$O3837&gt;0)),"✖ Current غير صحيح",IF(NOT(IF(ISNUMBER($J3837),AND($J3837&gt;=0,$J3837=INT($J3837)),FALSE())),"✖ العدد يجب أن يكون صحيحًا ≥ 0",IF(AND($F3837="Baseline",$H3837&lt;&gt;""),"⚠ Baseline: Start لا يدخل في التقدم",IF($K3837="No Start (attainment only)","ℹ تحصيل فقط (بدون Start)",IF($K3837="U – needs rule","ℹ حالة U تحتاج قاعدة معتمدة",IF($K3837="No result","ℹ بدون نتيجة (يُستبعد من التحصيل)","OK")))))))))))</f>
        <v/>
      </c>
      <c r="M3837" s="64" t="n">
        <f aca="false">IF($A3837="",0,IFERROR(MATCH($A3837,Classes!$A$6:$A$420,0),0))</f>
        <v>0</v>
      </c>
      <c r="N3837" s="64" t="n">
        <f aca="false">IF($H3837="",0,IFERROR(MATCH($H3837,GradeList,0),0))</f>
        <v>0</v>
      </c>
      <c r="O3837" s="64" t="n">
        <f aca="false">IF(OR($I3837="",$I3837="NR"),0,IFERROR(MATCH($I3837,GradeList,0),0))</f>
        <v>0</v>
      </c>
      <c r="P3837" s="64" t="n">
        <f aca="false">IF(AND($M3837&gt;0,ISNUMBER(MATCH($F3837,Lists!$A$2:$A$5,0)),ISNUMBER(MATCH($G3837,Lists!$B$2:$B$7,0)),OR($H3837="",$N3837&gt;0),OR($I3837="",$I3837="NR",$O3837&gt;0),IF(ISNUMBER($J3837),AND($J3837&gt;=0,$J3837=INT($J3837)),FALSE())),$J3837,0)</f>
        <v>0</v>
      </c>
      <c r="Q3837" s="64" t="n">
        <f aca="false">IF(AND($P3837&gt;0,$O3837&gt;0),$P3837,0)</f>
        <v>0</v>
      </c>
      <c r="R3837" s="64" t="n">
        <f aca="false">IF(AND($Q3837&gt;0,$O3837&gt;=AtRank),$Q3837,0)</f>
        <v>0</v>
      </c>
      <c r="S3837" s="64" t="n">
        <f aca="false">IF(AND($Q3837&gt;0,$O3837&gt;=AboveRank),$Q3837,0)</f>
        <v>0</v>
      </c>
      <c r="T3837" s="64" t="n">
        <f aca="false">IF($K3837="Less",$P3837,0)</f>
        <v>0</v>
      </c>
      <c r="U3837" s="64" t="n">
        <f aca="false">IF($K3837="Expected",$P3837,0)</f>
        <v>0</v>
      </c>
      <c r="V3837" s="64" t="n">
        <f aca="false">IF($K3837="Better",$P3837,0)</f>
        <v>0</v>
      </c>
      <c r="W3837" s="64" t="n">
        <f aca="false">IF($K3837="U – needs rule",$P3837,0)</f>
        <v>0</v>
      </c>
      <c r="X3837" s="64" t="n">
        <f aca="false">IF($K3837="No Start (attainment only)",$P3837,0)</f>
        <v>0</v>
      </c>
    </row>
    <row r="3838" customFormat="false" ht="15" hidden="false" customHeight="false" outlineLevel="0" collapsed="false">
      <c r="A3838" s="60"/>
      <c r="B3838" s="61" t="str">
        <f aca="false">IF($M3838=0,"",INDEX(Classes!$E$6:$E$420,$M3838))</f>
        <v/>
      </c>
      <c r="C3838" s="62" t="str">
        <f aca="false">IF($M3838=0,"",INDEX(Classes!$H$6:$H$420,$M3838))</f>
        <v/>
      </c>
      <c r="D3838" s="61" t="str">
        <f aca="false">IF($M3838=0,"",INDEX(Classes!$B$6:$B$420,$M3838))</f>
        <v/>
      </c>
      <c r="E3838" s="61" t="str">
        <f aca="false">IF($M3838=0,"",INDEX(Classes!$C$6:$C$420,$M3838))</f>
        <v/>
      </c>
      <c r="F3838" s="63"/>
      <c r="G3838" s="63"/>
      <c r="H3838" s="60"/>
      <c r="I3838" s="60"/>
      <c r="J3838" s="63"/>
      <c r="K3838" s="61" t="str">
        <f aca="false">IF($P3838=0,"",IF($F3838="Baseline","— Baseline",IF($O3838=0,"No result",IF($N3838=0,"No Start (attainment only)",IF(OR($N3838=1,$O3838=1),"U – needs rule",INDEX(MxBody,MATCH($I3838,MxCurr,0),MATCH($H3838,MxStart,0)))))))</f>
        <v/>
      </c>
      <c r="L3838" s="62" t="str">
        <f aca="false">IF(COUNTA($A3838,$F3838,$G3838,$H3838,$I3838,$J3838)=0,"",IF($M3838=0,"✖ كود الصف غير موجود",IF(ISNA(MATCH($F3838,Lists!$A$2:$A$5,0)),"✖ الفترة غير صحيحة",IF(ISNA(MATCH($G3838,Lists!$B$2:$B$7,0)),"✖ المجموعة غير صحيحة",IF(NOT(OR($H3838="",$N3838&gt;0)),"✖ Start غير صحيح",IF(NOT(OR($I3838="",$I3838="NR",$O3838&gt;0)),"✖ Current غير صحيح",IF(NOT(IF(ISNUMBER($J3838),AND($J3838&gt;=0,$J3838=INT($J3838)),FALSE())),"✖ العدد يجب أن يكون صحيحًا ≥ 0",IF(AND($F3838="Baseline",$H3838&lt;&gt;""),"⚠ Baseline: Start لا يدخل في التقدم",IF($K3838="No Start (attainment only)","ℹ تحصيل فقط (بدون Start)",IF($K3838="U – needs rule","ℹ حالة U تحتاج قاعدة معتمدة",IF($K3838="No result","ℹ بدون نتيجة (يُستبعد من التحصيل)","OK")))))))))))</f>
        <v/>
      </c>
      <c r="M3838" s="64" t="n">
        <f aca="false">IF($A3838="",0,IFERROR(MATCH($A3838,Classes!$A$6:$A$420,0),0))</f>
        <v>0</v>
      </c>
      <c r="N3838" s="64" t="n">
        <f aca="false">IF($H3838="",0,IFERROR(MATCH($H3838,GradeList,0),0))</f>
        <v>0</v>
      </c>
      <c r="O3838" s="64" t="n">
        <f aca="false">IF(OR($I3838="",$I3838="NR"),0,IFERROR(MATCH($I3838,GradeList,0),0))</f>
        <v>0</v>
      </c>
      <c r="P3838" s="64" t="n">
        <f aca="false">IF(AND($M3838&gt;0,ISNUMBER(MATCH($F3838,Lists!$A$2:$A$5,0)),ISNUMBER(MATCH($G3838,Lists!$B$2:$B$7,0)),OR($H3838="",$N3838&gt;0),OR($I3838="",$I3838="NR",$O3838&gt;0),IF(ISNUMBER($J3838),AND($J3838&gt;=0,$J3838=INT($J3838)),FALSE())),$J3838,0)</f>
        <v>0</v>
      </c>
      <c r="Q3838" s="64" t="n">
        <f aca="false">IF(AND($P3838&gt;0,$O3838&gt;0),$P3838,0)</f>
        <v>0</v>
      </c>
      <c r="R3838" s="64" t="n">
        <f aca="false">IF(AND($Q3838&gt;0,$O3838&gt;=AtRank),$Q3838,0)</f>
        <v>0</v>
      </c>
      <c r="S3838" s="64" t="n">
        <f aca="false">IF(AND($Q3838&gt;0,$O3838&gt;=AboveRank),$Q3838,0)</f>
        <v>0</v>
      </c>
      <c r="T3838" s="64" t="n">
        <f aca="false">IF($K3838="Less",$P3838,0)</f>
        <v>0</v>
      </c>
      <c r="U3838" s="64" t="n">
        <f aca="false">IF($K3838="Expected",$P3838,0)</f>
        <v>0</v>
      </c>
      <c r="V3838" s="64" t="n">
        <f aca="false">IF($K3838="Better",$P3838,0)</f>
        <v>0</v>
      </c>
      <c r="W3838" s="64" t="n">
        <f aca="false">IF($K3838="U – needs rule",$P3838,0)</f>
        <v>0</v>
      </c>
      <c r="X3838" s="64" t="n">
        <f aca="false">IF($K3838="No Start (attainment only)",$P3838,0)</f>
        <v>0</v>
      </c>
    </row>
    <row r="3839" customFormat="false" ht="15" hidden="false" customHeight="false" outlineLevel="0" collapsed="false">
      <c r="A3839" s="60"/>
      <c r="B3839" s="61" t="str">
        <f aca="false">IF($M3839=0,"",INDEX(Classes!$E$6:$E$420,$M3839))</f>
        <v/>
      </c>
      <c r="C3839" s="62" t="str">
        <f aca="false">IF($M3839=0,"",INDEX(Classes!$H$6:$H$420,$M3839))</f>
        <v/>
      </c>
      <c r="D3839" s="61" t="str">
        <f aca="false">IF($M3839=0,"",INDEX(Classes!$B$6:$B$420,$M3839))</f>
        <v/>
      </c>
      <c r="E3839" s="61" t="str">
        <f aca="false">IF($M3839=0,"",INDEX(Classes!$C$6:$C$420,$M3839))</f>
        <v/>
      </c>
      <c r="F3839" s="63"/>
      <c r="G3839" s="63"/>
      <c r="H3839" s="60"/>
      <c r="I3839" s="60"/>
      <c r="J3839" s="63"/>
      <c r="K3839" s="61" t="str">
        <f aca="false">IF($P3839=0,"",IF($F3839="Baseline","— Baseline",IF($O3839=0,"No result",IF($N3839=0,"No Start (attainment only)",IF(OR($N3839=1,$O3839=1),"U – needs rule",INDEX(MxBody,MATCH($I3839,MxCurr,0),MATCH($H3839,MxStart,0)))))))</f>
        <v/>
      </c>
      <c r="L3839" s="62" t="str">
        <f aca="false">IF(COUNTA($A3839,$F3839,$G3839,$H3839,$I3839,$J3839)=0,"",IF($M3839=0,"✖ كود الصف غير موجود",IF(ISNA(MATCH($F3839,Lists!$A$2:$A$5,0)),"✖ الفترة غير صحيحة",IF(ISNA(MATCH($G3839,Lists!$B$2:$B$7,0)),"✖ المجموعة غير صحيحة",IF(NOT(OR($H3839="",$N3839&gt;0)),"✖ Start غير صحيح",IF(NOT(OR($I3839="",$I3839="NR",$O3839&gt;0)),"✖ Current غير صحيح",IF(NOT(IF(ISNUMBER($J3839),AND($J3839&gt;=0,$J3839=INT($J3839)),FALSE())),"✖ العدد يجب أن يكون صحيحًا ≥ 0",IF(AND($F3839="Baseline",$H3839&lt;&gt;""),"⚠ Baseline: Start لا يدخل في التقدم",IF($K3839="No Start (attainment only)","ℹ تحصيل فقط (بدون Start)",IF($K3839="U – needs rule","ℹ حالة U تحتاج قاعدة معتمدة",IF($K3839="No result","ℹ بدون نتيجة (يُستبعد من التحصيل)","OK")))))))))))</f>
        <v/>
      </c>
      <c r="M3839" s="64" t="n">
        <f aca="false">IF($A3839="",0,IFERROR(MATCH($A3839,Classes!$A$6:$A$420,0),0))</f>
        <v>0</v>
      </c>
      <c r="N3839" s="64" t="n">
        <f aca="false">IF($H3839="",0,IFERROR(MATCH($H3839,GradeList,0),0))</f>
        <v>0</v>
      </c>
      <c r="O3839" s="64" t="n">
        <f aca="false">IF(OR($I3839="",$I3839="NR"),0,IFERROR(MATCH($I3839,GradeList,0),0))</f>
        <v>0</v>
      </c>
      <c r="P3839" s="64" t="n">
        <f aca="false">IF(AND($M3839&gt;0,ISNUMBER(MATCH($F3839,Lists!$A$2:$A$5,0)),ISNUMBER(MATCH($G3839,Lists!$B$2:$B$7,0)),OR($H3839="",$N3839&gt;0),OR($I3839="",$I3839="NR",$O3839&gt;0),IF(ISNUMBER($J3839),AND($J3839&gt;=0,$J3839=INT($J3839)),FALSE())),$J3839,0)</f>
        <v>0</v>
      </c>
      <c r="Q3839" s="64" t="n">
        <f aca="false">IF(AND($P3839&gt;0,$O3839&gt;0),$P3839,0)</f>
        <v>0</v>
      </c>
      <c r="R3839" s="64" t="n">
        <f aca="false">IF(AND($Q3839&gt;0,$O3839&gt;=AtRank),$Q3839,0)</f>
        <v>0</v>
      </c>
      <c r="S3839" s="64" t="n">
        <f aca="false">IF(AND($Q3839&gt;0,$O3839&gt;=AboveRank),$Q3839,0)</f>
        <v>0</v>
      </c>
      <c r="T3839" s="64" t="n">
        <f aca="false">IF($K3839="Less",$P3839,0)</f>
        <v>0</v>
      </c>
      <c r="U3839" s="64" t="n">
        <f aca="false">IF($K3839="Expected",$P3839,0)</f>
        <v>0</v>
      </c>
      <c r="V3839" s="64" t="n">
        <f aca="false">IF($K3839="Better",$P3839,0)</f>
        <v>0</v>
      </c>
      <c r="W3839" s="64" t="n">
        <f aca="false">IF($K3839="U – needs rule",$P3839,0)</f>
        <v>0</v>
      </c>
      <c r="X3839" s="64" t="n">
        <f aca="false">IF($K3839="No Start (attainment only)",$P3839,0)</f>
        <v>0</v>
      </c>
    </row>
    <row r="3840" customFormat="false" ht="15" hidden="false" customHeight="false" outlineLevel="0" collapsed="false">
      <c r="A3840" s="60"/>
      <c r="B3840" s="61" t="str">
        <f aca="false">IF($M3840=0,"",INDEX(Classes!$E$6:$E$420,$M3840))</f>
        <v/>
      </c>
      <c r="C3840" s="62" t="str">
        <f aca="false">IF($M3840=0,"",INDEX(Classes!$H$6:$H$420,$M3840))</f>
        <v/>
      </c>
      <c r="D3840" s="61" t="str">
        <f aca="false">IF($M3840=0,"",INDEX(Classes!$B$6:$B$420,$M3840))</f>
        <v/>
      </c>
      <c r="E3840" s="61" t="str">
        <f aca="false">IF($M3840=0,"",INDEX(Classes!$C$6:$C$420,$M3840))</f>
        <v/>
      </c>
      <c r="F3840" s="63"/>
      <c r="G3840" s="63"/>
      <c r="H3840" s="60"/>
      <c r="I3840" s="60"/>
      <c r="J3840" s="63"/>
      <c r="K3840" s="61" t="str">
        <f aca="false">IF($P3840=0,"",IF($F3840="Baseline","— Baseline",IF($O3840=0,"No result",IF($N3840=0,"No Start (attainment only)",IF(OR($N3840=1,$O3840=1),"U – needs rule",INDEX(MxBody,MATCH($I3840,MxCurr,0),MATCH($H3840,MxStart,0)))))))</f>
        <v/>
      </c>
      <c r="L3840" s="62" t="str">
        <f aca="false">IF(COUNTA($A3840,$F3840,$G3840,$H3840,$I3840,$J3840)=0,"",IF($M3840=0,"✖ كود الصف غير موجود",IF(ISNA(MATCH($F3840,Lists!$A$2:$A$5,0)),"✖ الفترة غير صحيحة",IF(ISNA(MATCH($G3840,Lists!$B$2:$B$7,0)),"✖ المجموعة غير صحيحة",IF(NOT(OR($H3840="",$N3840&gt;0)),"✖ Start غير صحيح",IF(NOT(OR($I3840="",$I3840="NR",$O3840&gt;0)),"✖ Current غير صحيح",IF(NOT(IF(ISNUMBER($J3840),AND($J3840&gt;=0,$J3840=INT($J3840)),FALSE())),"✖ العدد يجب أن يكون صحيحًا ≥ 0",IF(AND($F3840="Baseline",$H3840&lt;&gt;""),"⚠ Baseline: Start لا يدخل في التقدم",IF($K3840="No Start (attainment only)","ℹ تحصيل فقط (بدون Start)",IF($K3840="U – needs rule","ℹ حالة U تحتاج قاعدة معتمدة",IF($K3840="No result","ℹ بدون نتيجة (يُستبعد من التحصيل)","OK")))))))))))</f>
        <v/>
      </c>
      <c r="M3840" s="64" t="n">
        <f aca="false">IF($A3840="",0,IFERROR(MATCH($A3840,Classes!$A$6:$A$420,0),0))</f>
        <v>0</v>
      </c>
      <c r="N3840" s="64" t="n">
        <f aca="false">IF($H3840="",0,IFERROR(MATCH($H3840,GradeList,0),0))</f>
        <v>0</v>
      </c>
      <c r="O3840" s="64" t="n">
        <f aca="false">IF(OR($I3840="",$I3840="NR"),0,IFERROR(MATCH($I3840,GradeList,0),0))</f>
        <v>0</v>
      </c>
      <c r="P3840" s="64" t="n">
        <f aca="false">IF(AND($M3840&gt;0,ISNUMBER(MATCH($F3840,Lists!$A$2:$A$5,0)),ISNUMBER(MATCH($G3840,Lists!$B$2:$B$7,0)),OR($H3840="",$N3840&gt;0),OR($I3840="",$I3840="NR",$O3840&gt;0),IF(ISNUMBER($J3840),AND($J3840&gt;=0,$J3840=INT($J3840)),FALSE())),$J3840,0)</f>
        <v>0</v>
      </c>
      <c r="Q3840" s="64" t="n">
        <f aca="false">IF(AND($P3840&gt;0,$O3840&gt;0),$P3840,0)</f>
        <v>0</v>
      </c>
      <c r="R3840" s="64" t="n">
        <f aca="false">IF(AND($Q3840&gt;0,$O3840&gt;=AtRank),$Q3840,0)</f>
        <v>0</v>
      </c>
      <c r="S3840" s="64" t="n">
        <f aca="false">IF(AND($Q3840&gt;0,$O3840&gt;=AboveRank),$Q3840,0)</f>
        <v>0</v>
      </c>
      <c r="T3840" s="64" t="n">
        <f aca="false">IF($K3840="Less",$P3840,0)</f>
        <v>0</v>
      </c>
      <c r="U3840" s="64" t="n">
        <f aca="false">IF($K3840="Expected",$P3840,0)</f>
        <v>0</v>
      </c>
      <c r="V3840" s="64" t="n">
        <f aca="false">IF($K3840="Better",$P3840,0)</f>
        <v>0</v>
      </c>
      <c r="W3840" s="64" t="n">
        <f aca="false">IF($K3840="U – needs rule",$P3840,0)</f>
        <v>0</v>
      </c>
      <c r="X3840" s="64" t="n">
        <f aca="false">IF($K3840="No Start (attainment only)",$P3840,0)</f>
        <v>0</v>
      </c>
    </row>
    <row r="3841" customFormat="false" ht="15" hidden="false" customHeight="false" outlineLevel="0" collapsed="false">
      <c r="A3841" s="60"/>
      <c r="B3841" s="61" t="str">
        <f aca="false">IF($M3841=0,"",INDEX(Classes!$E$6:$E$420,$M3841))</f>
        <v/>
      </c>
      <c r="C3841" s="62" t="str">
        <f aca="false">IF($M3841=0,"",INDEX(Classes!$H$6:$H$420,$M3841))</f>
        <v/>
      </c>
      <c r="D3841" s="61" t="str">
        <f aca="false">IF($M3841=0,"",INDEX(Classes!$B$6:$B$420,$M3841))</f>
        <v/>
      </c>
      <c r="E3841" s="61" t="str">
        <f aca="false">IF($M3841=0,"",INDEX(Classes!$C$6:$C$420,$M3841))</f>
        <v/>
      </c>
      <c r="F3841" s="63"/>
      <c r="G3841" s="63"/>
      <c r="H3841" s="60"/>
      <c r="I3841" s="60"/>
      <c r="J3841" s="63"/>
      <c r="K3841" s="61" t="str">
        <f aca="false">IF($P3841=0,"",IF($F3841="Baseline","— Baseline",IF($O3841=0,"No result",IF($N3841=0,"No Start (attainment only)",IF(OR($N3841=1,$O3841=1),"U – needs rule",INDEX(MxBody,MATCH($I3841,MxCurr,0),MATCH($H3841,MxStart,0)))))))</f>
        <v/>
      </c>
      <c r="L3841" s="62" t="str">
        <f aca="false">IF(COUNTA($A3841,$F3841,$G3841,$H3841,$I3841,$J3841)=0,"",IF($M3841=0,"✖ كود الصف غير موجود",IF(ISNA(MATCH($F3841,Lists!$A$2:$A$5,0)),"✖ الفترة غير صحيحة",IF(ISNA(MATCH($G3841,Lists!$B$2:$B$7,0)),"✖ المجموعة غير صحيحة",IF(NOT(OR($H3841="",$N3841&gt;0)),"✖ Start غير صحيح",IF(NOT(OR($I3841="",$I3841="NR",$O3841&gt;0)),"✖ Current غير صحيح",IF(NOT(IF(ISNUMBER($J3841),AND($J3841&gt;=0,$J3841=INT($J3841)),FALSE())),"✖ العدد يجب أن يكون صحيحًا ≥ 0",IF(AND($F3841="Baseline",$H3841&lt;&gt;""),"⚠ Baseline: Start لا يدخل في التقدم",IF($K3841="No Start (attainment only)","ℹ تحصيل فقط (بدون Start)",IF($K3841="U – needs rule","ℹ حالة U تحتاج قاعدة معتمدة",IF($K3841="No result","ℹ بدون نتيجة (يُستبعد من التحصيل)","OK")))))))))))</f>
        <v/>
      </c>
      <c r="M3841" s="64" t="n">
        <f aca="false">IF($A3841="",0,IFERROR(MATCH($A3841,Classes!$A$6:$A$420,0),0))</f>
        <v>0</v>
      </c>
      <c r="N3841" s="64" t="n">
        <f aca="false">IF($H3841="",0,IFERROR(MATCH($H3841,GradeList,0),0))</f>
        <v>0</v>
      </c>
      <c r="O3841" s="64" t="n">
        <f aca="false">IF(OR($I3841="",$I3841="NR"),0,IFERROR(MATCH($I3841,GradeList,0),0))</f>
        <v>0</v>
      </c>
      <c r="P3841" s="64" t="n">
        <f aca="false">IF(AND($M3841&gt;0,ISNUMBER(MATCH($F3841,Lists!$A$2:$A$5,0)),ISNUMBER(MATCH($G3841,Lists!$B$2:$B$7,0)),OR($H3841="",$N3841&gt;0),OR($I3841="",$I3841="NR",$O3841&gt;0),IF(ISNUMBER($J3841),AND($J3841&gt;=0,$J3841=INT($J3841)),FALSE())),$J3841,0)</f>
        <v>0</v>
      </c>
      <c r="Q3841" s="64" t="n">
        <f aca="false">IF(AND($P3841&gt;0,$O3841&gt;0),$P3841,0)</f>
        <v>0</v>
      </c>
      <c r="R3841" s="64" t="n">
        <f aca="false">IF(AND($Q3841&gt;0,$O3841&gt;=AtRank),$Q3841,0)</f>
        <v>0</v>
      </c>
      <c r="S3841" s="64" t="n">
        <f aca="false">IF(AND($Q3841&gt;0,$O3841&gt;=AboveRank),$Q3841,0)</f>
        <v>0</v>
      </c>
      <c r="T3841" s="64" t="n">
        <f aca="false">IF($K3841="Less",$P3841,0)</f>
        <v>0</v>
      </c>
      <c r="U3841" s="64" t="n">
        <f aca="false">IF($K3841="Expected",$P3841,0)</f>
        <v>0</v>
      </c>
      <c r="V3841" s="64" t="n">
        <f aca="false">IF($K3841="Better",$P3841,0)</f>
        <v>0</v>
      </c>
      <c r="W3841" s="64" t="n">
        <f aca="false">IF($K3841="U – needs rule",$P3841,0)</f>
        <v>0</v>
      </c>
      <c r="X3841" s="64" t="n">
        <f aca="false">IF($K3841="No Start (attainment only)",$P3841,0)</f>
        <v>0</v>
      </c>
    </row>
    <row r="3842" customFormat="false" ht="15" hidden="false" customHeight="false" outlineLevel="0" collapsed="false">
      <c r="A3842" s="60"/>
      <c r="B3842" s="61" t="str">
        <f aca="false">IF($M3842=0,"",INDEX(Classes!$E$6:$E$420,$M3842))</f>
        <v/>
      </c>
      <c r="C3842" s="62" t="str">
        <f aca="false">IF($M3842=0,"",INDEX(Classes!$H$6:$H$420,$M3842))</f>
        <v/>
      </c>
      <c r="D3842" s="61" t="str">
        <f aca="false">IF($M3842=0,"",INDEX(Classes!$B$6:$B$420,$M3842))</f>
        <v/>
      </c>
      <c r="E3842" s="61" t="str">
        <f aca="false">IF($M3842=0,"",INDEX(Classes!$C$6:$C$420,$M3842))</f>
        <v/>
      </c>
      <c r="F3842" s="63"/>
      <c r="G3842" s="63"/>
      <c r="H3842" s="60"/>
      <c r="I3842" s="60"/>
      <c r="J3842" s="63"/>
      <c r="K3842" s="61" t="str">
        <f aca="false">IF($P3842=0,"",IF($F3842="Baseline","— Baseline",IF($O3842=0,"No result",IF($N3842=0,"No Start (attainment only)",IF(OR($N3842=1,$O3842=1),"U – needs rule",INDEX(MxBody,MATCH($I3842,MxCurr,0),MATCH($H3842,MxStart,0)))))))</f>
        <v/>
      </c>
      <c r="L3842" s="62" t="str">
        <f aca="false">IF(COUNTA($A3842,$F3842,$G3842,$H3842,$I3842,$J3842)=0,"",IF($M3842=0,"✖ كود الصف غير موجود",IF(ISNA(MATCH($F3842,Lists!$A$2:$A$5,0)),"✖ الفترة غير صحيحة",IF(ISNA(MATCH($G3842,Lists!$B$2:$B$7,0)),"✖ المجموعة غير صحيحة",IF(NOT(OR($H3842="",$N3842&gt;0)),"✖ Start غير صحيح",IF(NOT(OR($I3842="",$I3842="NR",$O3842&gt;0)),"✖ Current غير صحيح",IF(NOT(IF(ISNUMBER($J3842),AND($J3842&gt;=0,$J3842=INT($J3842)),FALSE())),"✖ العدد يجب أن يكون صحيحًا ≥ 0",IF(AND($F3842="Baseline",$H3842&lt;&gt;""),"⚠ Baseline: Start لا يدخل في التقدم",IF($K3842="No Start (attainment only)","ℹ تحصيل فقط (بدون Start)",IF($K3842="U – needs rule","ℹ حالة U تحتاج قاعدة معتمدة",IF($K3842="No result","ℹ بدون نتيجة (يُستبعد من التحصيل)","OK")))))))))))</f>
        <v/>
      </c>
      <c r="M3842" s="64" t="n">
        <f aca="false">IF($A3842="",0,IFERROR(MATCH($A3842,Classes!$A$6:$A$420,0),0))</f>
        <v>0</v>
      </c>
      <c r="N3842" s="64" t="n">
        <f aca="false">IF($H3842="",0,IFERROR(MATCH($H3842,GradeList,0),0))</f>
        <v>0</v>
      </c>
      <c r="O3842" s="64" t="n">
        <f aca="false">IF(OR($I3842="",$I3842="NR"),0,IFERROR(MATCH($I3842,GradeList,0),0))</f>
        <v>0</v>
      </c>
      <c r="P3842" s="64" t="n">
        <f aca="false">IF(AND($M3842&gt;0,ISNUMBER(MATCH($F3842,Lists!$A$2:$A$5,0)),ISNUMBER(MATCH($G3842,Lists!$B$2:$B$7,0)),OR($H3842="",$N3842&gt;0),OR($I3842="",$I3842="NR",$O3842&gt;0),IF(ISNUMBER($J3842),AND($J3842&gt;=0,$J3842=INT($J3842)),FALSE())),$J3842,0)</f>
        <v>0</v>
      </c>
      <c r="Q3842" s="64" t="n">
        <f aca="false">IF(AND($P3842&gt;0,$O3842&gt;0),$P3842,0)</f>
        <v>0</v>
      </c>
      <c r="R3842" s="64" t="n">
        <f aca="false">IF(AND($Q3842&gt;0,$O3842&gt;=AtRank),$Q3842,0)</f>
        <v>0</v>
      </c>
      <c r="S3842" s="64" t="n">
        <f aca="false">IF(AND($Q3842&gt;0,$O3842&gt;=AboveRank),$Q3842,0)</f>
        <v>0</v>
      </c>
      <c r="T3842" s="64" t="n">
        <f aca="false">IF($K3842="Less",$P3842,0)</f>
        <v>0</v>
      </c>
      <c r="U3842" s="64" t="n">
        <f aca="false">IF($K3842="Expected",$P3842,0)</f>
        <v>0</v>
      </c>
      <c r="V3842" s="64" t="n">
        <f aca="false">IF($K3842="Better",$P3842,0)</f>
        <v>0</v>
      </c>
      <c r="W3842" s="64" t="n">
        <f aca="false">IF($K3842="U – needs rule",$P3842,0)</f>
        <v>0</v>
      </c>
      <c r="X3842" s="64" t="n">
        <f aca="false">IF($K3842="No Start (attainment only)",$P3842,0)</f>
        <v>0</v>
      </c>
    </row>
    <row r="3843" customFormat="false" ht="15" hidden="false" customHeight="false" outlineLevel="0" collapsed="false">
      <c r="A3843" s="60"/>
      <c r="B3843" s="61" t="str">
        <f aca="false">IF($M3843=0,"",INDEX(Classes!$E$6:$E$420,$M3843))</f>
        <v/>
      </c>
      <c r="C3843" s="62" t="str">
        <f aca="false">IF($M3843=0,"",INDEX(Classes!$H$6:$H$420,$M3843))</f>
        <v/>
      </c>
      <c r="D3843" s="61" t="str">
        <f aca="false">IF($M3843=0,"",INDEX(Classes!$B$6:$B$420,$M3843))</f>
        <v/>
      </c>
      <c r="E3843" s="61" t="str">
        <f aca="false">IF($M3843=0,"",INDEX(Classes!$C$6:$C$420,$M3843))</f>
        <v/>
      </c>
      <c r="F3843" s="63"/>
      <c r="G3843" s="63"/>
      <c r="H3843" s="60"/>
      <c r="I3843" s="60"/>
      <c r="J3843" s="63"/>
      <c r="K3843" s="61" t="str">
        <f aca="false">IF($P3843=0,"",IF($F3843="Baseline","— Baseline",IF($O3843=0,"No result",IF($N3843=0,"No Start (attainment only)",IF(OR($N3843=1,$O3843=1),"U – needs rule",INDEX(MxBody,MATCH($I3843,MxCurr,0),MATCH($H3843,MxStart,0)))))))</f>
        <v/>
      </c>
      <c r="L3843" s="62" t="str">
        <f aca="false">IF(COUNTA($A3843,$F3843,$G3843,$H3843,$I3843,$J3843)=0,"",IF($M3843=0,"✖ كود الصف غير موجود",IF(ISNA(MATCH($F3843,Lists!$A$2:$A$5,0)),"✖ الفترة غير صحيحة",IF(ISNA(MATCH($G3843,Lists!$B$2:$B$7,0)),"✖ المجموعة غير صحيحة",IF(NOT(OR($H3843="",$N3843&gt;0)),"✖ Start غير صحيح",IF(NOT(OR($I3843="",$I3843="NR",$O3843&gt;0)),"✖ Current غير صحيح",IF(NOT(IF(ISNUMBER($J3843),AND($J3843&gt;=0,$J3843=INT($J3843)),FALSE())),"✖ العدد يجب أن يكون صحيحًا ≥ 0",IF(AND($F3843="Baseline",$H3843&lt;&gt;""),"⚠ Baseline: Start لا يدخل في التقدم",IF($K3843="No Start (attainment only)","ℹ تحصيل فقط (بدون Start)",IF($K3843="U – needs rule","ℹ حالة U تحتاج قاعدة معتمدة",IF($K3843="No result","ℹ بدون نتيجة (يُستبعد من التحصيل)","OK")))))))))))</f>
        <v/>
      </c>
      <c r="M3843" s="64" t="n">
        <f aca="false">IF($A3843="",0,IFERROR(MATCH($A3843,Classes!$A$6:$A$420,0),0))</f>
        <v>0</v>
      </c>
      <c r="N3843" s="64" t="n">
        <f aca="false">IF($H3843="",0,IFERROR(MATCH($H3843,GradeList,0),0))</f>
        <v>0</v>
      </c>
      <c r="O3843" s="64" t="n">
        <f aca="false">IF(OR($I3843="",$I3843="NR"),0,IFERROR(MATCH($I3843,GradeList,0),0))</f>
        <v>0</v>
      </c>
      <c r="P3843" s="64" t="n">
        <f aca="false">IF(AND($M3843&gt;0,ISNUMBER(MATCH($F3843,Lists!$A$2:$A$5,0)),ISNUMBER(MATCH($G3843,Lists!$B$2:$B$7,0)),OR($H3843="",$N3843&gt;0),OR($I3843="",$I3843="NR",$O3843&gt;0),IF(ISNUMBER($J3843),AND($J3843&gt;=0,$J3843=INT($J3843)),FALSE())),$J3843,0)</f>
        <v>0</v>
      </c>
      <c r="Q3843" s="64" t="n">
        <f aca="false">IF(AND($P3843&gt;0,$O3843&gt;0),$P3843,0)</f>
        <v>0</v>
      </c>
      <c r="R3843" s="64" t="n">
        <f aca="false">IF(AND($Q3843&gt;0,$O3843&gt;=AtRank),$Q3843,0)</f>
        <v>0</v>
      </c>
      <c r="S3843" s="64" t="n">
        <f aca="false">IF(AND($Q3843&gt;0,$O3843&gt;=AboveRank),$Q3843,0)</f>
        <v>0</v>
      </c>
      <c r="T3843" s="64" t="n">
        <f aca="false">IF($K3843="Less",$P3843,0)</f>
        <v>0</v>
      </c>
      <c r="U3843" s="64" t="n">
        <f aca="false">IF($K3843="Expected",$P3843,0)</f>
        <v>0</v>
      </c>
      <c r="V3843" s="64" t="n">
        <f aca="false">IF($K3843="Better",$P3843,0)</f>
        <v>0</v>
      </c>
      <c r="W3843" s="64" t="n">
        <f aca="false">IF($K3843="U – needs rule",$P3843,0)</f>
        <v>0</v>
      </c>
      <c r="X3843" s="64" t="n">
        <f aca="false">IF($K3843="No Start (attainment only)",$P3843,0)</f>
        <v>0</v>
      </c>
    </row>
    <row r="3844" customFormat="false" ht="15" hidden="false" customHeight="false" outlineLevel="0" collapsed="false">
      <c r="A3844" s="60"/>
      <c r="B3844" s="61" t="str">
        <f aca="false">IF($M3844=0,"",INDEX(Classes!$E$6:$E$420,$M3844))</f>
        <v/>
      </c>
      <c r="C3844" s="62" t="str">
        <f aca="false">IF($M3844=0,"",INDEX(Classes!$H$6:$H$420,$M3844))</f>
        <v/>
      </c>
      <c r="D3844" s="61" t="str">
        <f aca="false">IF($M3844=0,"",INDEX(Classes!$B$6:$B$420,$M3844))</f>
        <v/>
      </c>
      <c r="E3844" s="61" t="str">
        <f aca="false">IF($M3844=0,"",INDEX(Classes!$C$6:$C$420,$M3844))</f>
        <v/>
      </c>
      <c r="F3844" s="63"/>
      <c r="G3844" s="63"/>
      <c r="H3844" s="60"/>
      <c r="I3844" s="60"/>
      <c r="J3844" s="63"/>
      <c r="K3844" s="61" t="str">
        <f aca="false">IF($P3844=0,"",IF($F3844="Baseline","— Baseline",IF($O3844=0,"No result",IF($N3844=0,"No Start (attainment only)",IF(OR($N3844=1,$O3844=1),"U – needs rule",INDEX(MxBody,MATCH($I3844,MxCurr,0),MATCH($H3844,MxStart,0)))))))</f>
        <v/>
      </c>
      <c r="L3844" s="62" t="str">
        <f aca="false">IF(COUNTA($A3844,$F3844,$G3844,$H3844,$I3844,$J3844)=0,"",IF($M3844=0,"✖ كود الصف غير موجود",IF(ISNA(MATCH($F3844,Lists!$A$2:$A$5,0)),"✖ الفترة غير صحيحة",IF(ISNA(MATCH($G3844,Lists!$B$2:$B$7,0)),"✖ المجموعة غير صحيحة",IF(NOT(OR($H3844="",$N3844&gt;0)),"✖ Start غير صحيح",IF(NOT(OR($I3844="",$I3844="NR",$O3844&gt;0)),"✖ Current غير صحيح",IF(NOT(IF(ISNUMBER($J3844),AND($J3844&gt;=0,$J3844=INT($J3844)),FALSE())),"✖ العدد يجب أن يكون صحيحًا ≥ 0",IF(AND($F3844="Baseline",$H3844&lt;&gt;""),"⚠ Baseline: Start لا يدخل في التقدم",IF($K3844="No Start (attainment only)","ℹ تحصيل فقط (بدون Start)",IF($K3844="U – needs rule","ℹ حالة U تحتاج قاعدة معتمدة",IF($K3844="No result","ℹ بدون نتيجة (يُستبعد من التحصيل)","OK")))))))))))</f>
        <v/>
      </c>
      <c r="M3844" s="64" t="n">
        <f aca="false">IF($A3844="",0,IFERROR(MATCH($A3844,Classes!$A$6:$A$420,0),0))</f>
        <v>0</v>
      </c>
      <c r="N3844" s="64" t="n">
        <f aca="false">IF($H3844="",0,IFERROR(MATCH($H3844,GradeList,0),0))</f>
        <v>0</v>
      </c>
      <c r="O3844" s="64" t="n">
        <f aca="false">IF(OR($I3844="",$I3844="NR"),0,IFERROR(MATCH($I3844,GradeList,0),0))</f>
        <v>0</v>
      </c>
      <c r="P3844" s="64" t="n">
        <f aca="false">IF(AND($M3844&gt;0,ISNUMBER(MATCH($F3844,Lists!$A$2:$A$5,0)),ISNUMBER(MATCH($G3844,Lists!$B$2:$B$7,0)),OR($H3844="",$N3844&gt;0),OR($I3844="",$I3844="NR",$O3844&gt;0),IF(ISNUMBER($J3844),AND($J3844&gt;=0,$J3844=INT($J3844)),FALSE())),$J3844,0)</f>
        <v>0</v>
      </c>
      <c r="Q3844" s="64" t="n">
        <f aca="false">IF(AND($P3844&gt;0,$O3844&gt;0),$P3844,0)</f>
        <v>0</v>
      </c>
      <c r="R3844" s="64" t="n">
        <f aca="false">IF(AND($Q3844&gt;0,$O3844&gt;=AtRank),$Q3844,0)</f>
        <v>0</v>
      </c>
      <c r="S3844" s="64" t="n">
        <f aca="false">IF(AND($Q3844&gt;0,$O3844&gt;=AboveRank),$Q3844,0)</f>
        <v>0</v>
      </c>
      <c r="T3844" s="64" t="n">
        <f aca="false">IF($K3844="Less",$P3844,0)</f>
        <v>0</v>
      </c>
      <c r="U3844" s="64" t="n">
        <f aca="false">IF($K3844="Expected",$P3844,0)</f>
        <v>0</v>
      </c>
      <c r="V3844" s="64" t="n">
        <f aca="false">IF($K3844="Better",$P3844,0)</f>
        <v>0</v>
      </c>
      <c r="W3844" s="64" t="n">
        <f aca="false">IF($K3844="U – needs rule",$P3844,0)</f>
        <v>0</v>
      </c>
      <c r="X3844" s="64" t="n">
        <f aca="false">IF($K3844="No Start (attainment only)",$P3844,0)</f>
        <v>0</v>
      </c>
    </row>
    <row r="3845" customFormat="false" ht="15" hidden="false" customHeight="false" outlineLevel="0" collapsed="false">
      <c r="A3845" s="60"/>
      <c r="B3845" s="61" t="str">
        <f aca="false">IF($M3845=0,"",INDEX(Classes!$E$6:$E$420,$M3845))</f>
        <v/>
      </c>
      <c r="C3845" s="62" t="str">
        <f aca="false">IF($M3845=0,"",INDEX(Classes!$H$6:$H$420,$M3845))</f>
        <v/>
      </c>
      <c r="D3845" s="61" t="str">
        <f aca="false">IF($M3845=0,"",INDEX(Classes!$B$6:$B$420,$M3845))</f>
        <v/>
      </c>
      <c r="E3845" s="61" t="str">
        <f aca="false">IF($M3845=0,"",INDEX(Classes!$C$6:$C$420,$M3845))</f>
        <v/>
      </c>
      <c r="F3845" s="63"/>
      <c r="G3845" s="63"/>
      <c r="H3845" s="60"/>
      <c r="I3845" s="60"/>
      <c r="J3845" s="63"/>
      <c r="K3845" s="61" t="str">
        <f aca="false">IF($P3845=0,"",IF($F3845="Baseline","— Baseline",IF($O3845=0,"No result",IF($N3845=0,"No Start (attainment only)",IF(OR($N3845=1,$O3845=1),"U – needs rule",INDEX(MxBody,MATCH($I3845,MxCurr,0),MATCH($H3845,MxStart,0)))))))</f>
        <v/>
      </c>
      <c r="L3845" s="62" t="str">
        <f aca="false">IF(COUNTA($A3845,$F3845,$G3845,$H3845,$I3845,$J3845)=0,"",IF($M3845=0,"✖ كود الصف غير موجود",IF(ISNA(MATCH($F3845,Lists!$A$2:$A$5,0)),"✖ الفترة غير صحيحة",IF(ISNA(MATCH($G3845,Lists!$B$2:$B$7,0)),"✖ المجموعة غير صحيحة",IF(NOT(OR($H3845="",$N3845&gt;0)),"✖ Start غير صحيح",IF(NOT(OR($I3845="",$I3845="NR",$O3845&gt;0)),"✖ Current غير صحيح",IF(NOT(IF(ISNUMBER($J3845),AND($J3845&gt;=0,$J3845=INT($J3845)),FALSE())),"✖ العدد يجب أن يكون صحيحًا ≥ 0",IF(AND($F3845="Baseline",$H3845&lt;&gt;""),"⚠ Baseline: Start لا يدخل في التقدم",IF($K3845="No Start (attainment only)","ℹ تحصيل فقط (بدون Start)",IF($K3845="U – needs rule","ℹ حالة U تحتاج قاعدة معتمدة",IF($K3845="No result","ℹ بدون نتيجة (يُستبعد من التحصيل)","OK")))))))))))</f>
        <v/>
      </c>
      <c r="M3845" s="64" t="n">
        <f aca="false">IF($A3845="",0,IFERROR(MATCH($A3845,Classes!$A$6:$A$420,0),0))</f>
        <v>0</v>
      </c>
      <c r="N3845" s="64" t="n">
        <f aca="false">IF($H3845="",0,IFERROR(MATCH($H3845,GradeList,0),0))</f>
        <v>0</v>
      </c>
      <c r="O3845" s="64" t="n">
        <f aca="false">IF(OR($I3845="",$I3845="NR"),0,IFERROR(MATCH($I3845,GradeList,0),0))</f>
        <v>0</v>
      </c>
      <c r="P3845" s="64" t="n">
        <f aca="false">IF(AND($M3845&gt;0,ISNUMBER(MATCH($F3845,Lists!$A$2:$A$5,0)),ISNUMBER(MATCH($G3845,Lists!$B$2:$B$7,0)),OR($H3845="",$N3845&gt;0),OR($I3845="",$I3845="NR",$O3845&gt;0),IF(ISNUMBER($J3845),AND($J3845&gt;=0,$J3845=INT($J3845)),FALSE())),$J3845,0)</f>
        <v>0</v>
      </c>
      <c r="Q3845" s="64" t="n">
        <f aca="false">IF(AND($P3845&gt;0,$O3845&gt;0),$P3845,0)</f>
        <v>0</v>
      </c>
      <c r="R3845" s="64" t="n">
        <f aca="false">IF(AND($Q3845&gt;0,$O3845&gt;=AtRank),$Q3845,0)</f>
        <v>0</v>
      </c>
      <c r="S3845" s="64" t="n">
        <f aca="false">IF(AND($Q3845&gt;0,$O3845&gt;=AboveRank),$Q3845,0)</f>
        <v>0</v>
      </c>
      <c r="T3845" s="64" t="n">
        <f aca="false">IF($K3845="Less",$P3845,0)</f>
        <v>0</v>
      </c>
      <c r="U3845" s="64" t="n">
        <f aca="false">IF($K3845="Expected",$P3845,0)</f>
        <v>0</v>
      </c>
      <c r="V3845" s="64" t="n">
        <f aca="false">IF($K3845="Better",$P3845,0)</f>
        <v>0</v>
      </c>
      <c r="W3845" s="64" t="n">
        <f aca="false">IF($K3845="U – needs rule",$P3845,0)</f>
        <v>0</v>
      </c>
      <c r="X3845" s="64" t="n">
        <f aca="false">IF($K3845="No Start (attainment only)",$P3845,0)</f>
        <v>0</v>
      </c>
    </row>
    <row r="3846" customFormat="false" ht="15" hidden="false" customHeight="false" outlineLevel="0" collapsed="false">
      <c r="A3846" s="60"/>
      <c r="B3846" s="61" t="str">
        <f aca="false">IF($M3846=0,"",INDEX(Classes!$E$6:$E$420,$M3846))</f>
        <v/>
      </c>
      <c r="C3846" s="62" t="str">
        <f aca="false">IF($M3846=0,"",INDEX(Classes!$H$6:$H$420,$M3846))</f>
        <v/>
      </c>
      <c r="D3846" s="61" t="str">
        <f aca="false">IF($M3846=0,"",INDEX(Classes!$B$6:$B$420,$M3846))</f>
        <v/>
      </c>
      <c r="E3846" s="61" t="str">
        <f aca="false">IF($M3846=0,"",INDEX(Classes!$C$6:$C$420,$M3846))</f>
        <v/>
      </c>
      <c r="F3846" s="63"/>
      <c r="G3846" s="63"/>
      <c r="H3846" s="60"/>
      <c r="I3846" s="60"/>
      <c r="J3846" s="63"/>
      <c r="K3846" s="61" t="str">
        <f aca="false">IF($P3846=0,"",IF($F3846="Baseline","— Baseline",IF($O3846=0,"No result",IF($N3846=0,"No Start (attainment only)",IF(OR($N3846=1,$O3846=1),"U – needs rule",INDEX(MxBody,MATCH($I3846,MxCurr,0),MATCH($H3846,MxStart,0)))))))</f>
        <v/>
      </c>
      <c r="L3846" s="62" t="str">
        <f aca="false">IF(COUNTA($A3846,$F3846,$G3846,$H3846,$I3846,$J3846)=0,"",IF($M3846=0,"✖ كود الصف غير موجود",IF(ISNA(MATCH($F3846,Lists!$A$2:$A$5,0)),"✖ الفترة غير صحيحة",IF(ISNA(MATCH($G3846,Lists!$B$2:$B$7,0)),"✖ المجموعة غير صحيحة",IF(NOT(OR($H3846="",$N3846&gt;0)),"✖ Start غير صحيح",IF(NOT(OR($I3846="",$I3846="NR",$O3846&gt;0)),"✖ Current غير صحيح",IF(NOT(IF(ISNUMBER($J3846),AND($J3846&gt;=0,$J3846=INT($J3846)),FALSE())),"✖ العدد يجب أن يكون صحيحًا ≥ 0",IF(AND($F3846="Baseline",$H3846&lt;&gt;""),"⚠ Baseline: Start لا يدخل في التقدم",IF($K3846="No Start (attainment only)","ℹ تحصيل فقط (بدون Start)",IF($K3846="U – needs rule","ℹ حالة U تحتاج قاعدة معتمدة",IF($K3846="No result","ℹ بدون نتيجة (يُستبعد من التحصيل)","OK")))))))))))</f>
        <v/>
      </c>
      <c r="M3846" s="64" t="n">
        <f aca="false">IF($A3846="",0,IFERROR(MATCH($A3846,Classes!$A$6:$A$420,0),0))</f>
        <v>0</v>
      </c>
      <c r="N3846" s="64" t="n">
        <f aca="false">IF($H3846="",0,IFERROR(MATCH($H3846,GradeList,0),0))</f>
        <v>0</v>
      </c>
      <c r="O3846" s="64" t="n">
        <f aca="false">IF(OR($I3846="",$I3846="NR"),0,IFERROR(MATCH($I3846,GradeList,0),0))</f>
        <v>0</v>
      </c>
      <c r="P3846" s="64" t="n">
        <f aca="false">IF(AND($M3846&gt;0,ISNUMBER(MATCH($F3846,Lists!$A$2:$A$5,0)),ISNUMBER(MATCH($G3846,Lists!$B$2:$B$7,0)),OR($H3846="",$N3846&gt;0),OR($I3846="",$I3846="NR",$O3846&gt;0),IF(ISNUMBER($J3846),AND($J3846&gt;=0,$J3846=INT($J3846)),FALSE())),$J3846,0)</f>
        <v>0</v>
      </c>
      <c r="Q3846" s="64" t="n">
        <f aca="false">IF(AND($P3846&gt;0,$O3846&gt;0),$P3846,0)</f>
        <v>0</v>
      </c>
      <c r="R3846" s="64" t="n">
        <f aca="false">IF(AND($Q3846&gt;0,$O3846&gt;=AtRank),$Q3846,0)</f>
        <v>0</v>
      </c>
      <c r="S3846" s="64" t="n">
        <f aca="false">IF(AND($Q3846&gt;0,$O3846&gt;=AboveRank),$Q3846,0)</f>
        <v>0</v>
      </c>
      <c r="T3846" s="64" t="n">
        <f aca="false">IF($K3846="Less",$P3846,0)</f>
        <v>0</v>
      </c>
      <c r="U3846" s="64" t="n">
        <f aca="false">IF($K3846="Expected",$P3846,0)</f>
        <v>0</v>
      </c>
      <c r="V3846" s="64" t="n">
        <f aca="false">IF($K3846="Better",$P3846,0)</f>
        <v>0</v>
      </c>
      <c r="W3846" s="64" t="n">
        <f aca="false">IF($K3846="U – needs rule",$P3846,0)</f>
        <v>0</v>
      </c>
      <c r="X3846" s="64" t="n">
        <f aca="false">IF($K3846="No Start (attainment only)",$P3846,0)</f>
        <v>0</v>
      </c>
    </row>
    <row r="3847" customFormat="false" ht="15" hidden="false" customHeight="false" outlineLevel="0" collapsed="false">
      <c r="A3847" s="60"/>
      <c r="B3847" s="61" t="str">
        <f aca="false">IF($M3847=0,"",INDEX(Classes!$E$6:$E$420,$M3847))</f>
        <v/>
      </c>
      <c r="C3847" s="62" t="str">
        <f aca="false">IF($M3847=0,"",INDEX(Classes!$H$6:$H$420,$M3847))</f>
        <v/>
      </c>
      <c r="D3847" s="61" t="str">
        <f aca="false">IF($M3847=0,"",INDEX(Classes!$B$6:$B$420,$M3847))</f>
        <v/>
      </c>
      <c r="E3847" s="61" t="str">
        <f aca="false">IF($M3847=0,"",INDEX(Classes!$C$6:$C$420,$M3847))</f>
        <v/>
      </c>
      <c r="F3847" s="63"/>
      <c r="G3847" s="63"/>
      <c r="H3847" s="60"/>
      <c r="I3847" s="60"/>
      <c r="J3847" s="63"/>
      <c r="K3847" s="61" t="str">
        <f aca="false">IF($P3847=0,"",IF($F3847="Baseline","— Baseline",IF($O3847=0,"No result",IF($N3847=0,"No Start (attainment only)",IF(OR($N3847=1,$O3847=1),"U – needs rule",INDEX(MxBody,MATCH($I3847,MxCurr,0),MATCH($H3847,MxStart,0)))))))</f>
        <v/>
      </c>
      <c r="L3847" s="62" t="str">
        <f aca="false">IF(COUNTA($A3847,$F3847,$G3847,$H3847,$I3847,$J3847)=0,"",IF($M3847=0,"✖ كود الصف غير موجود",IF(ISNA(MATCH($F3847,Lists!$A$2:$A$5,0)),"✖ الفترة غير صحيحة",IF(ISNA(MATCH($G3847,Lists!$B$2:$B$7,0)),"✖ المجموعة غير صحيحة",IF(NOT(OR($H3847="",$N3847&gt;0)),"✖ Start غير صحيح",IF(NOT(OR($I3847="",$I3847="NR",$O3847&gt;0)),"✖ Current غير صحيح",IF(NOT(IF(ISNUMBER($J3847),AND($J3847&gt;=0,$J3847=INT($J3847)),FALSE())),"✖ العدد يجب أن يكون صحيحًا ≥ 0",IF(AND($F3847="Baseline",$H3847&lt;&gt;""),"⚠ Baseline: Start لا يدخل في التقدم",IF($K3847="No Start (attainment only)","ℹ تحصيل فقط (بدون Start)",IF($K3847="U – needs rule","ℹ حالة U تحتاج قاعدة معتمدة",IF($K3847="No result","ℹ بدون نتيجة (يُستبعد من التحصيل)","OK")))))))))))</f>
        <v/>
      </c>
      <c r="M3847" s="64" t="n">
        <f aca="false">IF($A3847="",0,IFERROR(MATCH($A3847,Classes!$A$6:$A$420,0),0))</f>
        <v>0</v>
      </c>
      <c r="N3847" s="64" t="n">
        <f aca="false">IF($H3847="",0,IFERROR(MATCH($H3847,GradeList,0),0))</f>
        <v>0</v>
      </c>
      <c r="O3847" s="64" t="n">
        <f aca="false">IF(OR($I3847="",$I3847="NR"),0,IFERROR(MATCH($I3847,GradeList,0),0))</f>
        <v>0</v>
      </c>
      <c r="P3847" s="64" t="n">
        <f aca="false">IF(AND($M3847&gt;0,ISNUMBER(MATCH($F3847,Lists!$A$2:$A$5,0)),ISNUMBER(MATCH($G3847,Lists!$B$2:$B$7,0)),OR($H3847="",$N3847&gt;0),OR($I3847="",$I3847="NR",$O3847&gt;0),IF(ISNUMBER($J3847),AND($J3847&gt;=0,$J3847=INT($J3847)),FALSE())),$J3847,0)</f>
        <v>0</v>
      </c>
      <c r="Q3847" s="64" t="n">
        <f aca="false">IF(AND($P3847&gt;0,$O3847&gt;0),$P3847,0)</f>
        <v>0</v>
      </c>
      <c r="R3847" s="64" t="n">
        <f aca="false">IF(AND($Q3847&gt;0,$O3847&gt;=AtRank),$Q3847,0)</f>
        <v>0</v>
      </c>
      <c r="S3847" s="64" t="n">
        <f aca="false">IF(AND($Q3847&gt;0,$O3847&gt;=AboveRank),$Q3847,0)</f>
        <v>0</v>
      </c>
      <c r="T3847" s="64" t="n">
        <f aca="false">IF($K3847="Less",$P3847,0)</f>
        <v>0</v>
      </c>
      <c r="U3847" s="64" t="n">
        <f aca="false">IF($K3847="Expected",$P3847,0)</f>
        <v>0</v>
      </c>
      <c r="V3847" s="64" t="n">
        <f aca="false">IF($K3847="Better",$P3847,0)</f>
        <v>0</v>
      </c>
      <c r="W3847" s="64" t="n">
        <f aca="false">IF($K3847="U – needs rule",$P3847,0)</f>
        <v>0</v>
      </c>
      <c r="X3847" s="64" t="n">
        <f aca="false">IF($K3847="No Start (attainment only)",$P3847,0)</f>
        <v>0</v>
      </c>
    </row>
    <row r="3848" customFormat="false" ht="15" hidden="false" customHeight="false" outlineLevel="0" collapsed="false">
      <c r="A3848" s="60"/>
      <c r="B3848" s="61" t="str">
        <f aca="false">IF($M3848=0,"",INDEX(Classes!$E$6:$E$420,$M3848))</f>
        <v/>
      </c>
      <c r="C3848" s="62" t="str">
        <f aca="false">IF($M3848=0,"",INDEX(Classes!$H$6:$H$420,$M3848))</f>
        <v/>
      </c>
      <c r="D3848" s="61" t="str">
        <f aca="false">IF($M3848=0,"",INDEX(Classes!$B$6:$B$420,$M3848))</f>
        <v/>
      </c>
      <c r="E3848" s="61" t="str">
        <f aca="false">IF($M3848=0,"",INDEX(Classes!$C$6:$C$420,$M3848))</f>
        <v/>
      </c>
      <c r="F3848" s="63"/>
      <c r="G3848" s="63"/>
      <c r="H3848" s="60"/>
      <c r="I3848" s="60"/>
      <c r="J3848" s="63"/>
      <c r="K3848" s="61" t="str">
        <f aca="false">IF($P3848=0,"",IF($F3848="Baseline","— Baseline",IF($O3848=0,"No result",IF($N3848=0,"No Start (attainment only)",IF(OR($N3848=1,$O3848=1),"U – needs rule",INDEX(MxBody,MATCH($I3848,MxCurr,0),MATCH($H3848,MxStart,0)))))))</f>
        <v/>
      </c>
      <c r="L3848" s="62" t="str">
        <f aca="false">IF(COUNTA($A3848,$F3848,$G3848,$H3848,$I3848,$J3848)=0,"",IF($M3848=0,"✖ كود الصف غير موجود",IF(ISNA(MATCH($F3848,Lists!$A$2:$A$5,0)),"✖ الفترة غير صحيحة",IF(ISNA(MATCH($G3848,Lists!$B$2:$B$7,0)),"✖ المجموعة غير صحيحة",IF(NOT(OR($H3848="",$N3848&gt;0)),"✖ Start غير صحيح",IF(NOT(OR($I3848="",$I3848="NR",$O3848&gt;0)),"✖ Current غير صحيح",IF(NOT(IF(ISNUMBER($J3848),AND($J3848&gt;=0,$J3848=INT($J3848)),FALSE())),"✖ العدد يجب أن يكون صحيحًا ≥ 0",IF(AND($F3848="Baseline",$H3848&lt;&gt;""),"⚠ Baseline: Start لا يدخل في التقدم",IF($K3848="No Start (attainment only)","ℹ تحصيل فقط (بدون Start)",IF($K3848="U – needs rule","ℹ حالة U تحتاج قاعدة معتمدة",IF($K3848="No result","ℹ بدون نتيجة (يُستبعد من التحصيل)","OK")))))))))))</f>
        <v/>
      </c>
      <c r="M3848" s="64" t="n">
        <f aca="false">IF($A3848="",0,IFERROR(MATCH($A3848,Classes!$A$6:$A$420,0),0))</f>
        <v>0</v>
      </c>
      <c r="N3848" s="64" t="n">
        <f aca="false">IF($H3848="",0,IFERROR(MATCH($H3848,GradeList,0),0))</f>
        <v>0</v>
      </c>
      <c r="O3848" s="64" t="n">
        <f aca="false">IF(OR($I3848="",$I3848="NR"),0,IFERROR(MATCH($I3848,GradeList,0),0))</f>
        <v>0</v>
      </c>
      <c r="P3848" s="64" t="n">
        <f aca="false">IF(AND($M3848&gt;0,ISNUMBER(MATCH($F3848,Lists!$A$2:$A$5,0)),ISNUMBER(MATCH($G3848,Lists!$B$2:$B$7,0)),OR($H3848="",$N3848&gt;0),OR($I3848="",$I3848="NR",$O3848&gt;0),IF(ISNUMBER($J3848),AND($J3848&gt;=0,$J3848=INT($J3848)),FALSE())),$J3848,0)</f>
        <v>0</v>
      </c>
      <c r="Q3848" s="64" t="n">
        <f aca="false">IF(AND($P3848&gt;0,$O3848&gt;0),$P3848,0)</f>
        <v>0</v>
      </c>
      <c r="R3848" s="64" t="n">
        <f aca="false">IF(AND($Q3848&gt;0,$O3848&gt;=AtRank),$Q3848,0)</f>
        <v>0</v>
      </c>
      <c r="S3848" s="64" t="n">
        <f aca="false">IF(AND($Q3848&gt;0,$O3848&gt;=AboveRank),$Q3848,0)</f>
        <v>0</v>
      </c>
      <c r="T3848" s="64" t="n">
        <f aca="false">IF($K3848="Less",$P3848,0)</f>
        <v>0</v>
      </c>
      <c r="U3848" s="64" t="n">
        <f aca="false">IF($K3848="Expected",$P3848,0)</f>
        <v>0</v>
      </c>
      <c r="V3848" s="64" t="n">
        <f aca="false">IF($K3848="Better",$P3848,0)</f>
        <v>0</v>
      </c>
      <c r="W3848" s="64" t="n">
        <f aca="false">IF($K3848="U – needs rule",$P3848,0)</f>
        <v>0</v>
      </c>
      <c r="X3848" s="64" t="n">
        <f aca="false">IF($K3848="No Start (attainment only)",$P3848,0)</f>
        <v>0</v>
      </c>
    </row>
    <row r="3849" customFormat="false" ht="15" hidden="false" customHeight="false" outlineLevel="0" collapsed="false">
      <c r="A3849" s="60"/>
      <c r="B3849" s="61" t="str">
        <f aca="false">IF($M3849=0,"",INDEX(Classes!$E$6:$E$420,$M3849))</f>
        <v/>
      </c>
      <c r="C3849" s="62" t="str">
        <f aca="false">IF($M3849=0,"",INDEX(Classes!$H$6:$H$420,$M3849))</f>
        <v/>
      </c>
      <c r="D3849" s="61" t="str">
        <f aca="false">IF($M3849=0,"",INDEX(Classes!$B$6:$B$420,$M3849))</f>
        <v/>
      </c>
      <c r="E3849" s="61" t="str">
        <f aca="false">IF($M3849=0,"",INDEX(Classes!$C$6:$C$420,$M3849))</f>
        <v/>
      </c>
      <c r="F3849" s="63"/>
      <c r="G3849" s="63"/>
      <c r="H3849" s="60"/>
      <c r="I3849" s="60"/>
      <c r="J3849" s="63"/>
      <c r="K3849" s="61" t="str">
        <f aca="false">IF($P3849=0,"",IF($F3849="Baseline","— Baseline",IF($O3849=0,"No result",IF($N3849=0,"No Start (attainment only)",IF(OR($N3849=1,$O3849=1),"U – needs rule",INDEX(MxBody,MATCH($I3849,MxCurr,0),MATCH($H3849,MxStart,0)))))))</f>
        <v/>
      </c>
      <c r="L3849" s="62" t="str">
        <f aca="false">IF(COUNTA($A3849,$F3849,$G3849,$H3849,$I3849,$J3849)=0,"",IF($M3849=0,"✖ كود الصف غير موجود",IF(ISNA(MATCH($F3849,Lists!$A$2:$A$5,0)),"✖ الفترة غير صحيحة",IF(ISNA(MATCH($G3849,Lists!$B$2:$B$7,0)),"✖ المجموعة غير صحيحة",IF(NOT(OR($H3849="",$N3849&gt;0)),"✖ Start غير صحيح",IF(NOT(OR($I3849="",$I3849="NR",$O3849&gt;0)),"✖ Current غير صحيح",IF(NOT(IF(ISNUMBER($J3849),AND($J3849&gt;=0,$J3849=INT($J3849)),FALSE())),"✖ العدد يجب أن يكون صحيحًا ≥ 0",IF(AND($F3849="Baseline",$H3849&lt;&gt;""),"⚠ Baseline: Start لا يدخل في التقدم",IF($K3849="No Start (attainment only)","ℹ تحصيل فقط (بدون Start)",IF($K3849="U – needs rule","ℹ حالة U تحتاج قاعدة معتمدة",IF($K3849="No result","ℹ بدون نتيجة (يُستبعد من التحصيل)","OK")))))))))))</f>
        <v/>
      </c>
      <c r="M3849" s="64" t="n">
        <f aca="false">IF($A3849="",0,IFERROR(MATCH($A3849,Classes!$A$6:$A$420,0),0))</f>
        <v>0</v>
      </c>
      <c r="N3849" s="64" t="n">
        <f aca="false">IF($H3849="",0,IFERROR(MATCH($H3849,GradeList,0),0))</f>
        <v>0</v>
      </c>
      <c r="O3849" s="64" t="n">
        <f aca="false">IF(OR($I3849="",$I3849="NR"),0,IFERROR(MATCH($I3849,GradeList,0),0))</f>
        <v>0</v>
      </c>
      <c r="P3849" s="64" t="n">
        <f aca="false">IF(AND($M3849&gt;0,ISNUMBER(MATCH($F3849,Lists!$A$2:$A$5,0)),ISNUMBER(MATCH($G3849,Lists!$B$2:$B$7,0)),OR($H3849="",$N3849&gt;0),OR($I3849="",$I3849="NR",$O3849&gt;0),IF(ISNUMBER($J3849),AND($J3849&gt;=0,$J3849=INT($J3849)),FALSE())),$J3849,0)</f>
        <v>0</v>
      </c>
      <c r="Q3849" s="64" t="n">
        <f aca="false">IF(AND($P3849&gt;0,$O3849&gt;0),$P3849,0)</f>
        <v>0</v>
      </c>
      <c r="R3849" s="64" t="n">
        <f aca="false">IF(AND($Q3849&gt;0,$O3849&gt;=AtRank),$Q3849,0)</f>
        <v>0</v>
      </c>
      <c r="S3849" s="64" t="n">
        <f aca="false">IF(AND($Q3849&gt;0,$O3849&gt;=AboveRank),$Q3849,0)</f>
        <v>0</v>
      </c>
      <c r="T3849" s="64" t="n">
        <f aca="false">IF($K3849="Less",$P3849,0)</f>
        <v>0</v>
      </c>
      <c r="U3849" s="64" t="n">
        <f aca="false">IF($K3849="Expected",$P3849,0)</f>
        <v>0</v>
      </c>
      <c r="V3849" s="64" t="n">
        <f aca="false">IF($K3849="Better",$P3849,0)</f>
        <v>0</v>
      </c>
      <c r="W3849" s="64" t="n">
        <f aca="false">IF($K3849="U – needs rule",$P3849,0)</f>
        <v>0</v>
      </c>
      <c r="X3849" s="64" t="n">
        <f aca="false">IF($K3849="No Start (attainment only)",$P3849,0)</f>
        <v>0</v>
      </c>
    </row>
    <row r="3850" customFormat="false" ht="15" hidden="false" customHeight="false" outlineLevel="0" collapsed="false">
      <c r="A3850" s="60"/>
      <c r="B3850" s="61" t="str">
        <f aca="false">IF($M3850=0,"",INDEX(Classes!$E$6:$E$420,$M3850))</f>
        <v/>
      </c>
      <c r="C3850" s="62" t="str">
        <f aca="false">IF($M3850=0,"",INDEX(Classes!$H$6:$H$420,$M3850))</f>
        <v/>
      </c>
      <c r="D3850" s="61" t="str">
        <f aca="false">IF($M3850=0,"",INDEX(Classes!$B$6:$B$420,$M3850))</f>
        <v/>
      </c>
      <c r="E3850" s="61" t="str">
        <f aca="false">IF($M3850=0,"",INDEX(Classes!$C$6:$C$420,$M3850))</f>
        <v/>
      </c>
      <c r="F3850" s="63"/>
      <c r="G3850" s="63"/>
      <c r="H3850" s="60"/>
      <c r="I3850" s="60"/>
      <c r="J3850" s="63"/>
      <c r="K3850" s="61" t="str">
        <f aca="false">IF($P3850=0,"",IF($F3850="Baseline","— Baseline",IF($O3850=0,"No result",IF($N3850=0,"No Start (attainment only)",IF(OR($N3850=1,$O3850=1),"U – needs rule",INDEX(MxBody,MATCH($I3850,MxCurr,0),MATCH($H3850,MxStart,0)))))))</f>
        <v/>
      </c>
      <c r="L3850" s="62" t="str">
        <f aca="false">IF(COUNTA($A3850,$F3850,$G3850,$H3850,$I3850,$J3850)=0,"",IF($M3850=0,"✖ كود الصف غير موجود",IF(ISNA(MATCH($F3850,Lists!$A$2:$A$5,0)),"✖ الفترة غير صحيحة",IF(ISNA(MATCH($G3850,Lists!$B$2:$B$7,0)),"✖ المجموعة غير صحيحة",IF(NOT(OR($H3850="",$N3850&gt;0)),"✖ Start غير صحيح",IF(NOT(OR($I3850="",$I3850="NR",$O3850&gt;0)),"✖ Current غير صحيح",IF(NOT(IF(ISNUMBER($J3850),AND($J3850&gt;=0,$J3850=INT($J3850)),FALSE())),"✖ العدد يجب أن يكون صحيحًا ≥ 0",IF(AND($F3850="Baseline",$H3850&lt;&gt;""),"⚠ Baseline: Start لا يدخل في التقدم",IF($K3850="No Start (attainment only)","ℹ تحصيل فقط (بدون Start)",IF($K3850="U – needs rule","ℹ حالة U تحتاج قاعدة معتمدة",IF($K3850="No result","ℹ بدون نتيجة (يُستبعد من التحصيل)","OK")))))))))))</f>
        <v/>
      </c>
      <c r="M3850" s="64" t="n">
        <f aca="false">IF($A3850="",0,IFERROR(MATCH($A3850,Classes!$A$6:$A$420,0),0))</f>
        <v>0</v>
      </c>
      <c r="N3850" s="64" t="n">
        <f aca="false">IF($H3850="",0,IFERROR(MATCH($H3850,GradeList,0),0))</f>
        <v>0</v>
      </c>
      <c r="O3850" s="64" t="n">
        <f aca="false">IF(OR($I3850="",$I3850="NR"),0,IFERROR(MATCH($I3850,GradeList,0),0))</f>
        <v>0</v>
      </c>
      <c r="P3850" s="64" t="n">
        <f aca="false">IF(AND($M3850&gt;0,ISNUMBER(MATCH($F3850,Lists!$A$2:$A$5,0)),ISNUMBER(MATCH($G3850,Lists!$B$2:$B$7,0)),OR($H3850="",$N3850&gt;0),OR($I3850="",$I3850="NR",$O3850&gt;0),IF(ISNUMBER($J3850),AND($J3850&gt;=0,$J3850=INT($J3850)),FALSE())),$J3850,0)</f>
        <v>0</v>
      </c>
      <c r="Q3850" s="64" t="n">
        <f aca="false">IF(AND($P3850&gt;0,$O3850&gt;0),$P3850,0)</f>
        <v>0</v>
      </c>
      <c r="R3850" s="64" t="n">
        <f aca="false">IF(AND($Q3850&gt;0,$O3850&gt;=AtRank),$Q3850,0)</f>
        <v>0</v>
      </c>
      <c r="S3850" s="64" t="n">
        <f aca="false">IF(AND($Q3850&gt;0,$O3850&gt;=AboveRank),$Q3850,0)</f>
        <v>0</v>
      </c>
      <c r="T3850" s="64" t="n">
        <f aca="false">IF($K3850="Less",$P3850,0)</f>
        <v>0</v>
      </c>
      <c r="U3850" s="64" t="n">
        <f aca="false">IF($K3850="Expected",$P3850,0)</f>
        <v>0</v>
      </c>
      <c r="V3850" s="64" t="n">
        <f aca="false">IF($K3850="Better",$P3850,0)</f>
        <v>0</v>
      </c>
      <c r="W3850" s="64" t="n">
        <f aca="false">IF($K3850="U – needs rule",$P3850,0)</f>
        <v>0</v>
      </c>
      <c r="X3850" s="64" t="n">
        <f aca="false">IF($K3850="No Start (attainment only)",$P3850,0)</f>
        <v>0</v>
      </c>
    </row>
    <row r="3851" customFormat="false" ht="15" hidden="false" customHeight="false" outlineLevel="0" collapsed="false">
      <c r="A3851" s="60"/>
      <c r="B3851" s="61" t="str">
        <f aca="false">IF($M3851=0,"",INDEX(Classes!$E$6:$E$420,$M3851))</f>
        <v/>
      </c>
      <c r="C3851" s="62" t="str">
        <f aca="false">IF($M3851=0,"",INDEX(Classes!$H$6:$H$420,$M3851))</f>
        <v/>
      </c>
      <c r="D3851" s="61" t="str">
        <f aca="false">IF($M3851=0,"",INDEX(Classes!$B$6:$B$420,$M3851))</f>
        <v/>
      </c>
      <c r="E3851" s="61" t="str">
        <f aca="false">IF($M3851=0,"",INDEX(Classes!$C$6:$C$420,$M3851))</f>
        <v/>
      </c>
      <c r="F3851" s="63"/>
      <c r="G3851" s="63"/>
      <c r="H3851" s="60"/>
      <c r="I3851" s="60"/>
      <c r="J3851" s="63"/>
      <c r="K3851" s="61" t="str">
        <f aca="false">IF($P3851=0,"",IF($F3851="Baseline","— Baseline",IF($O3851=0,"No result",IF($N3851=0,"No Start (attainment only)",IF(OR($N3851=1,$O3851=1),"U – needs rule",INDEX(MxBody,MATCH($I3851,MxCurr,0),MATCH($H3851,MxStart,0)))))))</f>
        <v/>
      </c>
      <c r="L3851" s="62" t="str">
        <f aca="false">IF(COUNTA($A3851,$F3851,$G3851,$H3851,$I3851,$J3851)=0,"",IF($M3851=0,"✖ كود الصف غير موجود",IF(ISNA(MATCH($F3851,Lists!$A$2:$A$5,0)),"✖ الفترة غير صحيحة",IF(ISNA(MATCH($G3851,Lists!$B$2:$B$7,0)),"✖ المجموعة غير صحيحة",IF(NOT(OR($H3851="",$N3851&gt;0)),"✖ Start غير صحيح",IF(NOT(OR($I3851="",$I3851="NR",$O3851&gt;0)),"✖ Current غير صحيح",IF(NOT(IF(ISNUMBER($J3851),AND($J3851&gt;=0,$J3851=INT($J3851)),FALSE())),"✖ العدد يجب أن يكون صحيحًا ≥ 0",IF(AND($F3851="Baseline",$H3851&lt;&gt;""),"⚠ Baseline: Start لا يدخل في التقدم",IF($K3851="No Start (attainment only)","ℹ تحصيل فقط (بدون Start)",IF($K3851="U – needs rule","ℹ حالة U تحتاج قاعدة معتمدة",IF($K3851="No result","ℹ بدون نتيجة (يُستبعد من التحصيل)","OK")))))))))))</f>
        <v/>
      </c>
      <c r="M3851" s="64" t="n">
        <f aca="false">IF($A3851="",0,IFERROR(MATCH($A3851,Classes!$A$6:$A$420,0),0))</f>
        <v>0</v>
      </c>
      <c r="N3851" s="64" t="n">
        <f aca="false">IF($H3851="",0,IFERROR(MATCH($H3851,GradeList,0),0))</f>
        <v>0</v>
      </c>
      <c r="O3851" s="64" t="n">
        <f aca="false">IF(OR($I3851="",$I3851="NR"),0,IFERROR(MATCH($I3851,GradeList,0),0))</f>
        <v>0</v>
      </c>
      <c r="P3851" s="64" t="n">
        <f aca="false">IF(AND($M3851&gt;0,ISNUMBER(MATCH($F3851,Lists!$A$2:$A$5,0)),ISNUMBER(MATCH($G3851,Lists!$B$2:$B$7,0)),OR($H3851="",$N3851&gt;0),OR($I3851="",$I3851="NR",$O3851&gt;0),IF(ISNUMBER($J3851),AND($J3851&gt;=0,$J3851=INT($J3851)),FALSE())),$J3851,0)</f>
        <v>0</v>
      </c>
      <c r="Q3851" s="64" t="n">
        <f aca="false">IF(AND($P3851&gt;0,$O3851&gt;0),$P3851,0)</f>
        <v>0</v>
      </c>
      <c r="R3851" s="64" t="n">
        <f aca="false">IF(AND($Q3851&gt;0,$O3851&gt;=AtRank),$Q3851,0)</f>
        <v>0</v>
      </c>
      <c r="S3851" s="64" t="n">
        <f aca="false">IF(AND($Q3851&gt;0,$O3851&gt;=AboveRank),$Q3851,0)</f>
        <v>0</v>
      </c>
      <c r="T3851" s="64" t="n">
        <f aca="false">IF($K3851="Less",$P3851,0)</f>
        <v>0</v>
      </c>
      <c r="U3851" s="64" t="n">
        <f aca="false">IF($K3851="Expected",$P3851,0)</f>
        <v>0</v>
      </c>
      <c r="V3851" s="64" t="n">
        <f aca="false">IF($K3851="Better",$P3851,0)</f>
        <v>0</v>
      </c>
      <c r="W3851" s="64" t="n">
        <f aca="false">IF($K3851="U – needs rule",$P3851,0)</f>
        <v>0</v>
      </c>
      <c r="X3851" s="64" t="n">
        <f aca="false">IF($K3851="No Start (attainment only)",$P3851,0)</f>
        <v>0</v>
      </c>
    </row>
    <row r="3852" customFormat="false" ht="15" hidden="false" customHeight="false" outlineLevel="0" collapsed="false">
      <c r="A3852" s="60"/>
      <c r="B3852" s="61" t="str">
        <f aca="false">IF($M3852=0,"",INDEX(Classes!$E$6:$E$420,$M3852))</f>
        <v/>
      </c>
      <c r="C3852" s="62" t="str">
        <f aca="false">IF($M3852=0,"",INDEX(Classes!$H$6:$H$420,$M3852))</f>
        <v/>
      </c>
      <c r="D3852" s="61" t="str">
        <f aca="false">IF($M3852=0,"",INDEX(Classes!$B$6:$B$420,$M3852))</f>
        <v/>
      </c>
      <c r="E3852" s="61" t="str">
        <f aca="false">IF($M3852=0,"",INDEX(Classes!$C$6:$C$420,$M3852))</f>
        <v/>
      </c>
      <c r="F3852" s="63"/>
      <c r="G3852" s="63"/>
      <c r="H3852" s="60"/>
      <c r="I3852" s="60"/>
      <c r="J3852" s="63"/>
      <c r="K3852" s="61" t="str">
        <f aca="false">IF($P3852=0,"",IF($F3852="Baseline","— Baseline",IF($O3852=0,"No result",IF($N3852=0,"No Start (attainment only)",IF(OR($N3852=1,$O3852=1),"U – needs rule",INDEX(MxBody,MATCH($I3852,MxCurr,0),MATCH($H3852,MxStart,0)))))))</f>
        <v/>
      </c>
      <c r="L3852" s="62" t="str">
        <f aca="false">IF(COUNTA($A3852,$F3852,$G3852,$H3852,$I3852,$J3852)=0,"",IF($M3852=0,"✖ كود الصف غير موجود",IF(ISNA(MATCH($F3852,Lists!$A$2:$A$5,0)),"✖ الفترة غير صحيحة",IF(ISNA(MATCH($G3852,Lists!$B$2:$B$7,0)),"✖ المجموعة غير صحيحة",IF(NOT(OR($H3852="",$N3852&gt;0)),"✖ Start غير صحيح",IF(NOT(OR($I3852="",$I3852="NR",$O3852&gt;0)),"✖ Current غير صحيح",IF(NOT(IF(ISNUMBER($J3852),AND($J3852&gt;=0,$J3852=INT($J3852)),FALSE())),"✖ العدد يجب أن يكون صحيحًا ≥ 0",IF(AND($F3852="Baseline",$H3852&lt;&gt;""),"⚠ Baseline: Start لا يدخل في التقدم",IF($K3852="No Start (attainment only)","ℹ تحصيل فقط (بدون Start)",IF($K3852="U – needs rule","ℹ حالة U تحتاج قاعدة معتمدة",IF($K3852="No result","ℹ بدون نتيجة (يُستبعد من التحصيل)","OK")))))))))))</f>
        <v/>
      </c>
      <c r="M3852" s="64" t="n">
        <f aca="false">IF($A3852="",0,IFERROR(MATCH($A3852,Classes!$A$6:$A$420,0),0))</f>
        <v>0</v>
      </c>
      <c r="N3852" s="64" t="n">
        <f aca="false">IF($H3852="",0,IFERROR(MATCH($H3852,GradeList,0),0))</f>
        <v>0</v>
      </c>
      <c r="O3852" s="64" t="n">
        <f aca="false">IF(OR($I3852="",$I3852="NR"),0,IFERROR(MATCH($I3852,GradeList,0),0))</f>
        <v>0</v>
      </c>
      <c r="P3852" s="64" t="n">
        <f aca="false">IF(AND($M3852&gt;0,ISNUMBER(MATCH($F3852,Lists!$A$2:$A$5,0)),ISNUMBER(MATCH($G3852,Lists!$B$2:$B$7,0)),OR($H3852="",$N3852&gt;0),OR($I3852="",$I3852="NR",$O3852&gt;0),IF(ISNUMBER($J3852),AND($J3852&gt;=0,$J3852=INT($J3852)),FALSE())),$J3852,0)</f>
        <v>0</v>
      </c>
      <c r="Q3852" s="64" t="n">
        <f aca="false">IF(AND($P3852&gt;0,$O3852&gt;0),$P3852,0)</f>
        <v>0</v>
      </c>
      <c r="R3852" s="64" t="n">
        <f aca="false">IF(AND($Q3852&gt;0,$O3852&gt;=AtRank),$Q3852,0)</f>
        <v>0</v>
      </c>
      <c r="S3852" s="64" t="n">
        <f aca="false">IF(AND($Q3852&gt;0,$O3852&gt;=AboveRank),$Q3852,0)</f>
        <v>0</v>
      </c>
      <c r="T3852" s="64" t="n">
        <f aca="false">IF($K3852="Less",$P3852,0)</f>
        <v>0</v>
      </c>
      <c r="U3852" s="64" t="n">
        <f aca="false">IF($K3852="Expected",$P3852,0)</f>
        <v>0</v>
      </c>
      <c r="V3852" s="64" t="n">
        <f aca="false">IF($K3852="Better",$P3852,0)</f>
        <v>0</v>
      </c>
      <c r="W3852" s="64" t="n">
        <f aca="false">IF($K3852="U – needs rule",$P3852,0)</f>
        <v>0</v>
      </c>
      <c r="X3852" s="64" t="n">
        <f aca="false">IF($K3852="No Start (attainment only)",$P3852,0)</f>
        <v>0</v>
      </c>
    </row>
    <row r="3853" customFormat="false" ht="15" hidden="false" customHeight="false" outlineLevel="0" collapsed="false">
      <c r="A3853" s="60"/>
      <c r="B3853" s="61" t="str">
        <f aca="false">IF($M3853=0,"",INDEX(Classes!$E$6:$E$420,$M3853))</f>
        <v/>
      </c>
      <c r="C3853" s="62" t="str">
        <f aca="false">IF($M3853=0,"",INDEX(Classes!$H$6:$H$420,$M3853))</f>
        <v/>
      </c>
      <c r="D3853" s="61" t="str">
        <f aca="false">IF($M3853=0,"",INDEX(Classes!$B$6:$B$420,$M3853))</f>
        <v/>
      </c>
      <c r="E3853" s="61" t="str">
        <f aca="false">IF($M3853=0,"",INDEX(Classes!$C$6:$C$420,$M3853))</f>
        <v/>
      </c>
      <c r="F3853" s="63"/>
      <c r="G3853" s="63"/>
      <c r="H3853" s="60"/>
      <c r="I3853" s="60"/>
      <c r="J3853" s="63"/>
      <c r="K3853" s="61" t="str">
        <f aca="false">IF($P3853=0,"",IF($F3853="Baseline","— Baseline",IF($O3853=0,"No result",IF($N3853=0,"No Start (attainment only)",IF(OR($N3853=1,$O3853=1),"U – needs rule",INDEX(MxBody,MATCH($I3853,MxCurr,0),MATCH($H3853,MxStart,0)))))))</f>
        <v/>
      </c>
      <c r="L3853" s="62" t="str">
        <f aca="false">IF(COUNTA($A3853,$F3853,$G3853,$H3853,$I3853,$J3853)=0,"",IF($M3853=0,"✖ كود الصف غير موجود",IF(ISNA(MATCH($F3853,Lists!$A$2:$A$5,0)),"✖ الفترة غير صحيحة",IF(ISNA(MATCH($G3853,Lists!$B$2:$B$7,0)),"✖ المجموعة غير صحيحة",IF(NOT(OR($H3853="",$N3853&gt;0)),"✖ Start غير صحيح",IF(NOT(OR($I3853="",$I3853="NR",$O3853&gt;0)),"✖ Current غير صحيح",IF(NOT(IF(ISNUMBER($J3853),AND($J3853&gt;=0,$J3853=INT($J3853)),FALSE())),"✖ العدد يجب أن يكون صحيحًا ≥ 0",IF(AND($F3853="Baseline",$H3853&lt;&gt;""),"⚠ Baseline: Start لا يدخل في التقدم",IF($K3853="No Start (attainment only)","ℹ تحصيل فقط (بدون Start)",IF($K3853="U – needs rule","ℹ حالة U تحتاج قاعدة معتمدة",IF($K3853="No result","ℹ بدون نتيجة (يُستبعد من التحصيل)","OK")))))))))))</f>
        <v/>
      </c>
      <c r="M3853" s="64" t="n">
        <f aca="false">IF($A3853="",0,IFERROR(MATCH($A3853,Classes!$A$6:$A$420,0),0))</f>
        <v>0</v>
      </c>
      <c r="N3853" s="64" t="n">
        <f aca="false">IF($H3853="",0,IFERROR(MATCH($H3853,GradeList,0),0))</f>
        <v>0</v>
      </c>
      <c r="O3853" s="64" t="n">
        <f aca="false">IF(OR($I3853="",$I3853="NR"),0,IFERROR(MATCH($I3853,GradeList,0),0))</f>
        <v>0</v>
      </c>
      <c r="P3853" s="64" t="n">
        <f aca="false">IF(AND($M3853&gt;0,ISNUMBER(MATCH($F3853,Lists!$A$2:$A$5,0)),ISNUMBER(MATCH($G3853,Lists!$B$2:$B$7,0)),OR($H3853="",$N3853&gt;0),OR($I3853="",$I3853="NR",$O3853&gt;0),IF(ISNUMBER($J3853),AND($J3853&gt;=0,$J3853=INT($J3853)),FALSE())),$J3853,0)</f>
        <v>0</v>
      </c>
      <c r="Q3853" s="64" t="n">
        <f aca="false">IF(AND($P3853&gt;0,$O3853&gt;0),$P3853,0)</f>
        <v>0</v>
      </c>
      <c r="R3853" s="64" t="n">
        <f aca="false">IF(AND($Q3853&gt;0,$O3853&gt;=AtRank),$Q3853,0)</f>
        <v>0</v>
      </c>
      <c r="S3853" s="64" t="n">
        <f aca="false">IF(AND($Q3853&gt;0,$O3853&gt;=AboveRank),$Q3853,0)</f>
        <v>0</v>
      </c>
      <c r="T3853" s="64" t="n">
        <f aca="false">IF($K3853="Less",$P3853,0)</f>
        <v>0</v>
      </c>
      <c r="U3853" s="64" t="n">
        <f aca="false">IF($K3853="Expected",$P3853,0)</f>
        <v>0</v>
      </c>
      <c r="V3853" s="64" t="n">
        <f aca="false">IF($K3853="Better",$P3853,0)</f>
        <v>0</v>
      </c>
      <c r="W3853" s="64" t="n">
        <f aca="false">IF($K3853="U – needs rule",$P3853,0)</f>
        <v>0</v>
      </c>
      <c r="X3853" s="64" t="n">
        <f aca="false">IF($K3853="No Start (attainment only)",$P3853,0)</f>
        <v>0</v>
      </c>
    </row>
    <row r="3854" customFormat="false" ht="15" hidden="false" customHeight="false" outlineLevel="0" collapsed="false">
      <c r="A3854" s="60"/>
      <c r="B3854" s="61" t="str">
        <f aca="false">IF($M3854=0,"",INDEX(Classes!$E$6:$E$420,$M3854))</f>
        <v/>
      </c>
      <c r="C3854" s="62" t="str">
        <f aca="false">IF($M3854=0,"",INDEX(Classes!$H$6:$H$420,$M3854))</f>
        <v/>
      </c>
      <c r="D3854" s="61" t="str">
        <f aca="false">IF($M3854=0,"",INDEX(Classes!$B$6:$B$420,$M3854))</f>
        <v/>
      </c>
      <c r="E3854" s="61" t="str">
        <f aca="false">IF($M3854=0,"",INDEX(Classes!$C$6:$C$420,$M3854))</f>
        <v/>
      </c>
      <c r="F3854" s="63"/>
      <c r="G3854" s="63"/>
      <c r="H3854" s="60"/>
      <c r="I3854" s="60"/>
      <c r="J3854" s="63"/>
      <c r="K3854" s="61" t="str">
        <f aca="false">IF($P3854=0,"",IF($F3854="Baseline","— Baseline",IF($O3854=0,"No result",IF($N3854=0,"No Start (attainment only)",IF(OR($N3854=1,$O3854=1),"U – needs rule",INDEX(MxBody,MATCH($I3854,MxCurr,0),MATCH($H3854,MxStart,0)))))))</f>
        <v/>
      </c>
      <c r="L3854" s="62" t="str">
        <f aca="false">IF(COUNTA($A3854,$F3854,$G3854,$H3854,$I3854,$J3854)=0,"",IF($M3854=0,"✖ كود الصف غير موجود",IF(ISNA(MATCH($F3854,Lists!$A$2:$A$5,0)),"✖ الفترة غير صحيحة",IF(ISNA(MATCH($G3854,Lists!$B$2:$B$7,0)),"✖ المجموعة غير صحيحة",IF(NOT(OR($H3854="",$N3854&gt;0)),"✖ Start غير صحيح",IF(NOT(OR($I3854="",$I3854="NR",$O3854&gt;0)),"✖ Current غير صحيح",IF(NOT(IF(ISNUMBER($J3854),AND($J3854&gt;=0,$J3854=INT($J3854)),FALSE())),"✖ العدد يجب أن يكون صحيحًا ≥ 0",IF(AND($F3854="Baseline",$H3854&lt;&gt;""),"⚠ Baseline: Start لا يدخل في التقدم",IF($K3854="No Start (attainment only)","ℹ تحصيل فقط (بدون Start)",IF($K3854="U – needs rule","ℹ حالة U تحتاج قاعدة معتمدة",IF($K3854="No result","ℹ بدون نتيجة (يُستبعد من التحصيل)","OK")))))))))))</f>
        <v/>
      </c>
      <c r="M3854" s="64" t="n">
        <f aca="false">IF($A3854="",0,IFERROR(MATCH($A3854,Classes!$A$6:$A$420,0),0))</f>
        <v>0</v>
      </c>
      <c r="N3854" s="64" t="n">
        <f aca="false">IF($H3854="",0,IFERROR(MATCH($H3854,GradeList,0),0))</f>
        <v>0</v>
      </c>
      <c r="O3854" s="64" t="n">
        <f aca="false">IF(OR($I3854="",$I3854="NR"),0,IFERROR(MATCH($I3854,GradeList,0),0))</f>
        <v>0</v>
      </c>
      <c r="P3854" s="64" t="n">
        <f aca="false">IF(AND($M3854&gt;0,ISNUMBER(MATCH($F3854,Lists!$A$2:$A$5,0)),ISNUMBER(MATCH($G3854,Lists!$B$2:$B$7,0)),OR($H3854="",$N3854&gt;0),OR($I3854="",$I3854="NR",$O3854&gt;0),IF(ISNUMBER($J3854),AND($J3854&gt;=0,$J3854=INT($J3854)),FALSE())),$J3854,0)</f>
        <v>0</v>
      </c>
      <c r="Q3854" s="64" t="n">
        <f aca="false">IF(AND($P3854&gt;0,$O3854&gt;0),$P3854,0)</f>
        <v>0</v>
      </c>
      <c r="R3854" s="64" t="n">
        <f aca="false">IF(AND($Q3854&gt;0,$O3854&gt;=AtRank),$Q3854,0)</f>
        <v>0</v>
      </c>
      <c r="S3854" s="64" t="n">
        <f aca="false">IF(AND($Q3854&gt;0,$O3854&gt;=AboveRank),$Q3854,0)</f>
        <v>0</v>
      </c>
      <c r="T3854" s="64" t="n">
        <f aca="false">IF($K3854="Less",$P3854,0)</f>
        <v>0</v>
      </c>
      <c r="U3854" s="64" t="n">
        <f aca="false">IF($K3854="Expected",$P3854,0)</f>
        <v>0</v>
      </c>
      <c r="V3854" s="64" t="n">
        <f aca="false">IF($K3854="Better",$P3854,0)</f>
        <v>0</v>
      </c>
      <c r="W3854" s="64" t="n">
        <f aca="false">IF($K3854="U – needs rule",$P3854,0)</f>
        <v>0</v>
      </c>
      <c r="X3854" s="64" t="n">
        <f aca="false">IF($K3854="No Start (attainment only)",$P3854,0)</f>
        <v>0</v>
      </c>
    </row>
    <row r="3855" customFormat="false" ht="15" hidden="false" customHeight="false" outlineLevel="0" collapsed="false">
      <c r="A3855" s="60"/>
      <c r="B3855" s="61" t="str">
        <f aca="false">IF($M3855=0,"",INDEX(Classes!$E$6:$E$420,$M3855))</f>
        <v/>
      </c>
      <c r="C3855" s="62" t="str">
        <f aca="false">IF($M3855=0,"",INDEX(Classes!$H$6:$H$420,$M3855))</f>
        <v/>
      </c>
      <c r="D3855" s="61" t="str">
        <f aca="false">IF($M3855=0,"",INDEX(Classes!$B$6:$B$420,$M3855))</f>
        <v/>
      </c>
      <c r="E3855" s="61" t="str">
        <f aca="false">IF($M3855=0,"",INDEX(Classes!$C$6:$C$420,$M3855))</f>
        <v/>
      </c>
      <c r="F3855" s="63"/>
      <c r="G3855" s="63"/>
      <c r="H3855" s="60"/>
      <c r="I3855" s="60"/>
      <c r="J3855" s="63"/>
      <c r="K3855" s="61" t="str">
        <f aca="false">IF($P3855=0,"",IF($F3855="Baseline","— Baseline",IF($O3855=0,"No result",IF($N3855=0,"No Start (attainment only)",IF(OR($N3855=1,$O3855=1),"U – needs rule",INDEX(MxBody,MATCH($I3855,MxCurr,0),MATCH($H3855,MxStart,0)))))))</f>
        <v/>
      </c>
      <c r="L3855" s="62" t="str">
        <f aca="false">IF(COUNTA($A3855,$F3855,$G3855,$H3855,$I3855,$J3855)=0,"",IF($M3855=0,"✖ كود الصف غير موجود",IF(ISNA(MATCH($F3855,Lists!$A$2:$A$5,0)),"✖ الفترة غير صحيحة",IF(ISNA(MATCH($G3855,Lists!$B$2:$B$7,0)),"✖ المجموعة غير صحيحة",IF(NOT(OR($H3855="",$N3855&gt;0)),"✖ Start غير صحيح",IF(NOT(OR($I3855="",$I3855="NR",$O3855&gt;0)),"✖ Current غير صحيح",IF(NOT(IF(ISNUMBER($J3855),AND($J3855&gt;=0,$J3855=INT($J3855)),FALSE())),"✖ العدد يجب أن يكون صحيحًا ≥ 0",IF(AND($F3855="Baseline",$H3855&lt;&gt;""),"⚠ Baseline: Start لا يدخل في التقدم",IF($K3855="No Start (attainment only)","ℹ تحصيل فقط (بدون Start)",IF($K3855="U – needs rule","ℹ حالة U تحتاج قاعدة معتمدة",IF($K3855="No result","ℹ بدون نتيجة (يُستبعد من التحصيل)","OK")))))))))))</f>
        <v/>
      </c>
      <c r="M3855" s="64" t="n">
        <f aca="false">IF($A3855="",0,IFERROR(MATCH($A3855,Classes!$A$6:$A$420,0),0))</f>
        <v>0</v>
      </c>
      <c r="N3855" s="64" t="n">
        <f aca="false">IF($H3855="",0,IFERROR(MATCH($H3855,GradeList,0),0))</f>
        <v>0</v>
      </c>
      <c r="O3855" s="64" t="n">
        <f aca="false">IF(OR($I3855="",$I3855="NR"),0,IFERROR(MATCH($I3855,GradeList,0),0))</f>
        <v>0</v>
      </c>
      <c r="P3855" s="64" t="n">
        <f aca="false">IF(AND($M3855&gt;0,ISNUMBER(MATCH($F3855,Lists!$A$2:$A$5,0)),ISNUMBER(MATCH($G3855,Lists!$B$2:$B$7,0)),OR($H3855="",$N3855&gt;0),OR($I3855="",$I3855="NR",$O3855&gt;0),IF(ISNUMBER($J3855),AND($J3855&gt;=0,$J3855=INT($J3855)),FALSE())),$J3855,0)</f>
        <v>0</v>
      </c>
      <c r="Q3855" s="64" t="n">
        <f aca="false">IF(AND($P3855&gt;0,$O3855&gt;0),$P3855,0)</f>
        <v>0</v>
      </c>
      <c r="R3855" s="64" t="n">
        <f aca="false">IF(AND($Q3855&gt;0,$O3855&gt;=AtRank),$Q3855,0)</f>
        <v>0</v>
      </c>
      <c r="S3855" s="64" t="n">
        <f aca="false">IF(AND($Q3855&gt;0,$O3855&gt;=AboveRank),$Q3855,0)</f>
        <v>0</v>
      </c>
      <c r="T3855" s="64" t="n">
        <f aca="false">IF($K3855="Less",$P3855,0)</f>
        <v>0</v>
      </c>
      <c r="U3855" s="64" t="n">
        <f aca="false">IF($K3855="Expected",$P3855,0)</f>
        <v>0</v>
      </c>
      <c r="V3855" s="64" t="n">
        <f aca="false">IF($K3855="Better",$P3855,0)</f>
        <v>0</v>
      </c>
      <c r="W3855" s="64" t="n">
        <f aca="false">IF($K3855="U – needs rule",$P3855,0)</f>
        <v>0</v>
      </c>
      <c r="X3855" s="64" t="n">
        <f aca="false">IF($K3855="No Start (attainment only)",$P3855,0)</f>
        <v>0</v>
      </c>
    </row>
    <row r="3856" customFormat="false" ht="15" hidden="false" customHeight="false" outlineLevel="0" collapsed="false">
      <c r="A3856" s="60"/>
      <c r="B3856" s="61" t="str">
        <f aca="false">IF($M3856=0,"",INDEX(Classes!$E$6:$E$420,$M3856))</f>
        <v/>
      </c>
      <c r="C3856" s="62" t="str">
        <f aca="false">IF($M3856=0,"",INDEX(Classes!$H$6:$H$420,$M3856))</f>
        <v/>
      </c>
      <c r="D3856" s="61" t="str">
        <f aca="false">IF($M3856=0,"",INDEX(Classes!$B$6:$B$420,$M3856))</f>
        <v/>
      </c>
      <c r="E3856" s="61" t="str">
        <f aca="false">IF($M3856=0,"",INDEX(Classes!$C$6:$C$420,$M3856))</f>
        <v/>
      </c>
      <c r="F3856" s="63"/>
      <c r="G3856" s="63"/>
      <c r="H3856" s="60"/>
      <c r="I3856" s="60"/>
      <c r="J3856" s="63"/>
      <c r="K3856" s="61" t="str">
        <f aca="false">IF($P3856=0,"",IF($F3856="Baseline","— Baseline",IF($O3856=0,"No result",IF($N3856=0,"No Start (attainment only)",IF(OR($N3856=1,$O3856=1),"U – needs rule",INDEX(MxBody,MATCH($I3856,MxCurr,0),MATCH($H3856,MxStart,0)))))))</f>
        <v/>
      </c>
      <c r="L3856" s="62" t="str">
        <f aca="false">IF(COUNTA($A3856,$F3856,$G3856,$H3856,$I3856,$J3856)=0,"",IF($M3856=0,"✖ كود الصف غير موجود",IF(ISNA(MATCH($F3856,Lists!$A$2:$A$5,0)),"✖ الفترة غير صحيحة",IF(ISNA(MATCH($G3856,Lists!$B$2:$B$7,0)),"✖ المجموعة غير صحيحة",IF(NOT(OR($H3856="",$N3856&gt;0)),"✖ Start غير صحيح",IF(NOT(OR($I3856="",$I3856="NR",$O3856&gt;0)),"✖ Current غير صحيح",IF(NOT(IF(ISNUMBER($J3856),AND($J3856&gt;=0,$J3856=INT($J3856)),FALSE())),"✖ العدد يجب أن يكون صحيحًا ≥ 0",IF(AND($F3856="Baseline",$H3856&lt;&gt;""),"⚠ Baseline: Start لا يدخل في التقدم",IF($K3856="No Start (attainment only)","ℹ تحصيل فقط (بدون Start)",IF($K3856="U – needs rule","ℹ حالة U تحتاج قاعدة معتمدة",IF($K3856="No result","ℹ بدون نتيجة (يُستبعد من التحصيل)","OK")))))))))))</f>
        <v/>
      </c>
      <c r="M3856" s="64" t="n">
        <f aca="false">IF($A3856="",0,IFERROR(MATCH($A3856,Classes!$A$6:$A$420,0),0))</f>
        <v>0</v>
      </c>
      <c r="N3856" s="64" t="n">
        <f aca="false">IF($H3856="",0,IFERROR(MATCH($H3856,GradeList,0),0))</f>
        <v>0</v>
      </c>
      <c r="O3856" s="64" t="n">
        <f aca="false">IF(OR($I3856="",$I3856="NR"),0,IFERROR(MATCH($I3856,GradeList,0),0))</f>
        <v>0</v>
      </c>
      <c r="P3856" s="64" t="n">
        <f aca="false">IF(AND($M3856&gt;0,ISNUMBER(MATCH($F3856,Lists!$A$2:$A$5,0)),ISNUMBER(MATCH($G3856,Lists!$B$2:$B$7,0)),OR($H3856="",$N3856&gt;0),OR($I3856="",$I3856="NR",$O3856&gt;0),IF(ISNUMBER($J3856),AND($J3856&gt;=0,$J3856=INT($J3856)),FALSE())),$J3856,0)</f>
        <v>0</v>
      </c>
      <c r="Q3856" s="64" t="n">
        <f aca="false">IF(AND($P3856&gt;0,$O3856&gt;0),$P3856,0)</f>
        <v>0</v>
      </c>
      <c r="R3856" s="64" t="n">
        <f aca="false">IF(AND($Q3856&gt;0,$O3856&gt;=AtRank),$Q3856,0)</f>
        <v>0</v>
      </c>
      <c r="S3856" s="64" t="n">
        <f aca="false">IF(AND($Q3856&gt;0,$O3856&gt;=AboveRank),$Q3856,0)</f>
        <v>0</v>
      </c>
      <c r="T3856" s="64" t="n">
        <f aca="false">IF($K3856="Less",$P3856,0)</f>
        <v>0</v>
      </c>
      <c r="U3856" s="64" t="n">
        <f aca="false">IF($K3856="Expected",$P3856,0)</f>
        <v>0</v>
      </c>
      <c r="V3856" s="64" t="n">
        <f aca="false">IF($K3856="Better",$P3856,0)</f>
        <v>0</v>
      </c>
      <c r="W3856" s="64" t="n">
        <f aca="false">IF($K3856="U – needs rule",$P3856,0)</f>
        <v>0</v>
      </c>
      <c r="X3856" s="64" t="n">
        <f aca="false">IF($K3856="No Start (attainment only)",$P3856,0)</f>
        <v>0</v>
      </c>
    </row>
    <row r="3857" customFormat="false" ht="15" hidden="false" customHeight="false" outlineLevel="0" collapsed="false">
      <c r="A3857" s="60"/>
      <c r="B3857" s="61" t="str">
        <f aca="false">IF($M3857=0,"",INDEX(Classes!$E$6:$E$420,$M3857))</f>
        <v/>
      </c>
      <c r="C3857" s="62" t="str">
        <f aca="false">IF($M3857=0,"",INDEX(Classes!$H$6:$H$420,$M3857))</f>
        <v/>
      </c>
      <c r="D3857" s="61" t="str">
        <f aca="false">IF($M3857=0,"",INDEX(Classes!$B$6:$B$420,$M3857))</f>
        <v/>
      </c>
      <c r="E3857" s="61" t="str">
        <f aca="false">IF($M3857=0,"",INDEX(Classes!$C$6:$C$420,$M3857))</f>
        <v/>
      </c>
      <c r="F3857" s="63"/>
      <c r="G3857" s="63"/>
      <c r="H3857" s="60"/>
      <c r="I3857" s="60"/>
      <c r="J3857" s="63"/>
      <c r="K3857" s="61" t="str">
        <f aca="false">IF($P3857=0,"",IF($F3857="Baseline","— Baseline",IF($O3857=0,"No result",IF($N3857=0,"No Start (attainment only)",IF(OR($N3857=1,$O3857=1),"U – needs rule",INDEX(MxBody,MATCH($I3857,MxCurr,0),MATCH($H3857,MxStart,0)))))))</f>
        <v/>
      </c>
      <c r="L3857" s="62" t="str">
        <f aca="false">IF(COUNTA($A3857,$F3857,$G3857,$H3857,$I3857,$J3857)=0,"",IF($M3857=0,"✖ كود الصف غير موجود",IF(ISNA(MATCH($F3857,Lists!$A$2:$A$5,0)),"✖ الفترة غير صحيحة",IF(ISNA(MATCH($G3857,Lists!$B$2:$B$7,0)),"✖ المجموعة غير صحيحة",IF(NOT(OR($H3857="",$N3857&gt;0)),"✖ Start غير صحيح",IF(NOT(OR($I3857="",$I3857="NR",$O3857&gt;0)),"✖ Current غير صحيح",IF(NOT(IF(ISNUMBER($J3857),AND($J3857&gt;=0,$J3857=INT($J3857)),FALSE())),"✖ العدد يجب أن يكون صحيحًا ≥ 0",IF(AND($F3857="Baseline",$H3857&lt;&gt;""),"⚠ Baseline: Start لا يدخل في التقدم",IF($K3857="No Start (attainment only)","ℹ تحصيل فقط (بدون Start)",IF($K3857="U – needs rule","ℹ حالة U تحتاج قاعدة معتمدة",IF($K3857="No result","ℹ بدون نتيجة (يُستبعد من التحصيل)","OK")))))))))))</f>
        <v/>
      </c>
      <c r="M3857" s="64" t="n">
        <f aca="false">IF($A3857="",0,IFERROR(MATCH($A3857,Classes!$A$6:$A$420,0),0))</f>
        <v>0</v>
      </c>
      <c r="N3857" s="64" t="n">
        <f aca="false">IF($H3857="",0,IFERROR(MATCH($H3857,GradeList,0),0))</f>
        <v>0</v>
      </c>
      <c r="O3857" s="64" t="n">
        <f aca="false">IF(OR($I3857="",$I3857="NR"),0,IFERROR(MATCH($I3857,GradeList,0),0))</f>
        <v>0</v>
      </c>
      <c r="P3857" s="64" t="n">
        <f aca="false">IF(AND($M3857&gt;0,ISNUMBER(MATCH($F3857,Lists!$A$2:$A$5,0)),ISNUMBER(MATCH($G3857,Lists!$B$2:$B$7,0)),OR($H3857="",$N3857&gt;0),OR($I3857="",$I3857="NR",$O3857&gt;0),IF(ISNUMBER($J3857),AND($J3857&gt;=0,$J3857=INT($J3857)),FALSE())),$J3857,0)</f>
        <v>0</v>
      </c>
      <c r="Q3857" s="64" t="n">
        <f aca="false">IF(AND($P3857&gt;0,$O3857&gt;0),$P3857,0)</f>
        <v>0</v>
      </c>
      <c r="R3857" s="64" t="n">
        <f aca="false">IF(AND($Q3857&gt;0,$O3857&gt;=AtRank),$Q3857,0)</f>
        <v>0</v>
      </c>
      <c r="S3857" s="64" t="n">
        <f aca="false">IF(AND($Q3857&gt;0,$O3857&gt;=AboveRank),$Q3857,0)</f>
        <v>0</v>
      </c>
      <c r="T3857" s="64" t="n">
        <f aca="false">IF($K3857="Less",$P3857,0)</f>
        <v>0</v>
      </c>
      <c r="U3857" s="64" t="n">
        <f aca="false">IF($K3857="Expected",$P3857,0)</f>
        <v>0</v>
      </c>
      <c r="V3857" s="64" t="n">
        <f aca="false">IF($K3857="Better",$P3857,0)</f>
        <v>0</v>
      </c>
      <c r="W3857" s="64" t="n">
        <f aca="false">IF($K3857="U – needs rule",$P3857,0)</f>
        <v>0</v>
      </c>
      <c r="X3857" s="64" t="n">
        <f aca="false">IF($K3857="No Start (attainment only)",$P3857,0)</f>
        <v>0</v>
      </c>
    </row>
    <row r="3858" customFormat="false" ht="15" hidden="false" customHeight="false" outlineLevel="0" collapsed="false">
      <c r="A3858" s="60"/>
      <c r="B3858" s="61" t="str">
        <f aca="false">IF($M3858=0,"",INDEX(Classes!$E$6:$E$420,$M3858))</f>
        <v/>
      </c>
      <c r="C3858" s="62" t="str">
        <f aca="false">IF($M3858=0,"",INDEX(Classes!$H$6:$H$420,$M3858))</f>
        <v/>
      </c>
      <c r="D3858" s="61" t="str">
        <f aca="false">IF($M3858=0,"",INDEX(Classes!$B$6:$B$420,$M3858))</f>
        <v/>
      </c>
      <c r="E3858" s="61" t="str">
        <f aca="false">IF($M3858=0,"",INDEX(Classes!$C$6:$C$420,$M3858))</f>
        <v/>
      </c>
      <c r="F3858" s="63"/>
      <c r="G3858" s="63"/>
      <c r="H3858" s="60"/>
      <c r="I3858" s="60"/>
      <c r="J3858" s="63"/>
      <c r="K3858" s="61" t="str">
        <f aca="false">IF($P3858=0,"",IF($F3858="Baseline","— Baseline",IF($O3858=0,"No result",IF($N3858=0,"No Start (attainment only)",IF(OR($N3858=1,$O3858=1),"U – needs rule",INDEX(MxBody,MATCH($I3858,MxCurr,0),MATCH($H3858,MxStart,0)))))))</f>
        <v/>
      </c>
      <c r="L3858" s="62" t="str">
        <f aca="false">IF(COUNTA($A3858,$F3858,$G3858,$H3858,$I3858,$J3858)=0,"",IF($M3858=0,"✖ كود الصف غير موجود",IF(ISNA(MATCH($F3858,Lists!$A$2:$A$5,0)),"✖ الفترة غير صحيحة",IF(ISNA(MATCH($G3858,Lists!$B$2:$B$7,0)),"✖ المجموعة غير صحيحة",IF(NOT(OR($H3858="",$N3858&gt;0)),"✖ Start غير صحيح",IF(NOT(OR($I3858="",$I3858="NR",$O3858&gt;0)),"✖ Current غير صحيح",IF(NOT(IF(ISNUMBER($J3858),AND($J3858&gt;=0,$J3858=INT($J3858)),FALSE())),"✖ العدد يجب أن يكون صحيحًا ≥ 0",IF(AND($F3858="Baseline",$H3858&lt;&gt;""),"⚠ Baseline: Start لا يدخل في التقدم",IF($K3858="No Start (attainment only)","ℹ تحصيل فقط (بدون Start)",IF($K3858="U – needs rule","ℹ حالة U تحتاج قاعدة معتمدة",IF($K3858="No result","ℹ بدون نتيجة (يُستبعد من التحصيل)","OK")))))))))))</f>
        <v/>
      </c>
      <c r="M3858" s="64" t="n">
        <f aca="false">IF($A3858="",0,IFERROR(MATCH($A3858,Classes!$A$6:$A$420,0),0))</f>
        <v>0</v>
      </c>
      <c r="N3858" s="64" t="n">
        <f aca="false">IF($H3858="",0,IFERROR(MATCH($H3858,GradeList,0),0))</f>
        <v>0</v>
      </c>
      <c r="O3858" s="64" t="n">
        <f aca="false">IF(OR($I3858="",$I3858="NR"),0,IFERROR(MATCH($I3858,GradeList,0),0))</f>
        <v>0</v>
      </c>
      <c r="P3858" s="64" t="n">
        <f aca="false">IF(AND($M3858&gt;0,ISNUMBER(MATCH($F3858,Lists!$A$2:$A$5,0)),ISNUMBER(MATCH($G3858,Lists!$B$2:$B$7,0)),OR($H3858="",$N3858&gt;0),OR($I3858="",$I3858="NR",$O3858&gt;0),IF(ISNUMBER($J3858),AND($J3858&gt;=0,$J3858=INT($J3858)),FALSE())),$J3858,0)</f>
        <v>0</v>
      </c>
      <c r="Q3858" s="64" t="n">
        <f aca="false">IF(AND($P3858&gt;0,$O3858&gt;0),$P3858,0)</f>
        <v>0</v>
      </c>
      <c r="R3858" s="64" t="n">
        <f aca="false">IF(AND($Q3858&gt;0,$O3858&gt;=AtRank),$Q3858,0)</f>
        <v>0</v>
      </c>
      <c r="S3858" s="64" t="n">
        <f aca="false">IF(AND($Q3858&gt;0,$O3858&gt;=AboveRank),$Q3858,0)</f>
        <v>0</v>
      </c>
      <c r="T3858" s="64" t="n">
        <f aca="false">IF($K3858="Less",$P3858,0)</f>
        <v>0</v>
      </c>
      <c r="U3858" s="64" t="n">
        <f aca="false">IF($K3858="Expected",$P3858,0)</f>
        <v>0</v>
      </c>
      <c r="V3858" s="64" t="n">
        <f aca="false">IF($K3858="Better",$P3858,0)</f>
        <v>0</v>
      </c>
      <c r="W3858" s="64" t="n">
        <f aca="false">IF($K3858="U – needs rule",$P3858,0)</f>
        <v>0</v>
      </c>
      <c r="X3858" s="64" t="n">
        <f aca="false">IF($K3858="No Start (attainment only)",$P3858,0)</f>
        <v>0</v>
      </c>
    </row>
    <row r="3859" customFormat="false" ht="15" hidden="false" customHeight="false" outlineLevel="0" collapsed="false">
      <c r="A3859" s="60"/>
      <c r="B3859" s="61" t="str">
        <f aca="false">IF($M3859=0,"",INDEX(Classes!$E$6:$E$420,$M3859))</f>
        <v/>
      </c>
      <c r="C3859" s="62" t="str">
        <f aca="false">IF($M3859=0,"",INDEX(Classes!$H$6:$H$420,$M3859))</f>
        <v/>
      </c>
      <c r="D3859" s="61" t="str">
        <f aca="false">IF($M3859=0,"",INDEX(Classes!$B$6:$B$420,$M3859))</f>
        <v/>
      </c>
      <c r="E3859" s="61" t="str">
        <f aca="false">IF($M3859=0,"",INDEX(Classes!$C$6:$C$420,$M3859))</f>
        <v/>
      </c>
      <c r="F3859" s="63"/>
      <c r="G3859" s="63"/>
      <c r="H3859" s="60"/>
      <c r="I3859" s="60"/>
      <c r="J3859" s="63"/>
      <c r="K3859" s="61" t="str">
        <f aca="false">IF($P3859=0,"",IF($F3859="Baseline","— Baseline",IF($O3859=0,"No result",IF($N3859=0,"No Start (attainment only)",IF(OR($N3859=1,$O3859=1),"U – needs rule",INDEX(MxBody,MATCH($I3859,MxCurr,0),MATCH($H3859,MxStart,0)))))))</f>
        <v/>
      </c>
      <c r="L3859" s="62" t="str">
        <f aca="false">IF(COUNTA($A3859,$F3859,$G3859,$H3859,$I3859,$J3859)=0,"",IF($M3859=0,"✖ كود الصف غير موجود",IF(ISNA(MATCH($F3859,Lists!$A$2:$A$5,0)),"✖ الفترة غير صحيحة",IF(ISNA(MATCH($G3859,Lists!$B$2:$B$7,0)),"✖ المجموعة غير صحيحة",IF(NOT(OR($H3859="",$N3859&gt;0)),"✖ Start غير صحيح",IF(NOT(OR($I3859="",$I3859="NR",$O3859&gt;0)),"✖ Current غير صحيح",IF(NOT(IF(ISNUMBER($J3859),AND($J3859&gt;=0,$J3859=INT($J3859)),FALSE())),"✖ العدد يجب أن يكون صحيحًا ≥ 0",IF(AND($F3859="Baseline",$H3859&lt;&gt;""),"⚠ Baseline: Start لا يدخل في التقدم",IF($K3859="No Start (attainment only)","ℹ تحصيل فقط (بدون Start)",IF($K3859="U – needs rule","ℹ حالة U تحتاج قاعدة معتمدة",IF($K3859="No result","ℹ بدون نتيجة (يُستبعد من التحصيل)","OK")))))))))))</f>
        <v/>
      </c>
      <c r="M3859" s="64" t="n">
        <f aca="false">IF($A3859="",0,IFERROR(MATCH($A3859,Classes!$A$6:$A$420,0),0))</f>
        <v>0</v>
      </c>
      <c r="N3859" s="64" t="n">
        <f aca="false">IF($H3859="",0,IFERROR(MATCH($H3859,GradeList,0),0))</f>
        <v>0</v>
      </c>
      <c r="O3859" s="64" t="n">
        <f aca="false">IF(OR($I3859="",$I3859="NR"),0,IFERROR(MATCH($I3859,GradeList,0),0))</f>
        <v>0</v>
      </c>
      <c r="P3859" s="64" t="n">
        <f aca="false">IF(AND($M3859&gt;0,ISNUMBER(MATCH($F3859,Lists!$A$2:$A$5,0)),ISNUMBER(MATCH($G3859,Lists!$B$2:$B$7,0)),OR($H3859="",$N3859&gt;0),OR($I3859="",$I3859="NR",$O3859&gt;0),IF(ISNUMBER($J3859),AND($J3859&gt;=0,$J3859=INT($J3859)),FALSE())),$J3859,0)</f>
        <v>0</v>
      </c>
      <c r="Q3859" s="64" t="n">
        <f aca="false">IF(AND($P3859&gt;0,$O3859&gt;0),$P3859,0)</f>
        <v>0</v>
      </c>
      <c r="R3859" s="64" t="n">
        <f aca="false">IF(AND($Q3859&gt;0,$O3859&gt;=AtRank),$Q3859,0)</f>
        <v>0</v>
      </c>
      <c r="S3859" s="64" t="n">
        <f aca="false">IF(AND($Q3859&gt;0,$O3859&gt;=AboveRank),$Q3859,0)</f>
        <v>0</v>
      </c>
      <c r="T3859" s="64" t="n">
        <f aca="false">IF($K3859="Less",$P3859,0)</f>
        <v>0</v>
      </c>
      <c r="U3859" s="64" t="n">
        <f aca="false">IF($K3859="Expected",$P3859,0)</f>
        <v>0</v>
      </c>
      <c r="V3859" s="64" t="n">
        <f aca="false">IF($K3859="Better",$P3859,0)</f>
        <v>0</v>
      </c>
      <c r="W3859" s="64" t="n">
        <f aca="false">IF($K3859="U – needs rule",$P3859,0)</f>
        <v>0</v>
      </c>
      <c r="X3859" s="64" t="n">
        <f aca="false">IF($K3859="No Start (attainment only)",$P3859,0)</f>
        <v>0</v>
      </c>
    </row>
    <row r="3860" customFormat="false" ht="15" hidden="false" customHeight="false" outlineLevel="0" collapsed="false">
      <c r="A3860" s="60"/>
      <c r="B3860" s="61" t="str">
        <f aca="false">IF($M3860=0,"",INDEX(Classes!$E$6:$E$420,$M3860))</f>
        <v/>
      </c>
      <c r="C3860" s="62" t="str">
        <f aca="false">IF($M3860=0,"",INDEX(Classes!$H$6:$H$420,$M3860))</f>
        <v/>
      </c>
      <c r="D3860" s="61" t="str">
        <f aca="false">IF($M3860=0,"",INDEX(Classes!$B$6:$B$420,$M3860))</f>
        <v/>
      </c>
      <c r="E3860" s="61" t="str">
        <f aca="false">IF($M3860=0,"",INDEX(Classes!$C$6:$C$420,$M3860))</f>
        <v/>
      </c>
      <c r="F3860" s="63"/>
      <c r="G3860" s="63"/>
      <c r="H3860" s="60"/>
      <c r="I3860" s="60"/>
      <c r="J3860" s="63"/>
      <c r="K3860" s="61" t="str">
        <f aca="false">IF($P3860=0,"",IF($F3860="Baseline","— Baseline",IF($O3860=0,"No result",IF($N3860=0,"No Start (attainment only)",IF(OR($N3860=1,$O3860=1),"U – needs rule",INDEX(MxBody,MATCH($I3860,MxCurr,0),MATCH($H3860,MxStart,0)))))))</f>
        <v/>
      </c>
      <c r="L3860" s="62" t="str">
        <f aca="false">IF(COUNTA($A3860,$F3860,$G3860,$H3860,$I3860,$J3860)=0,"",IF($M3860=0,"✖ كود الصف غير موجود",IF(ISNA(MATCH($F3860,Lists!$A$2:$A$5,0)),"✖ الفترة غير صحيحة",IF(ISNA(MATCH($G3860,Lists!$B$2:$B$7,0)),"✖ المجموعة غير صحيحة",IF(NOT(OR($H3860="",$N3860&gt;0)),"✖ Start غير صحيح",IF(NOT(OR($I3860="",$I3860="NR",$O3860&gt;0)),"✖ Current غير صحيح",IF(NOT(IF(ISNUMBER($J3860),AND($J3860&gt;=0,$J3860=INT($J3860)),FALSE())),"✖ العدد يجب أن يكون صحيحًا ≥ 0",IF(AND($F3860="Baseline",$H3860&lt;&gt;""),"⚠ Baseline: Start لا يدخل في التقدم",IF($K3860="No Start (attainment only)","ℹ تحصيل فقط (بدون Start)",IF($K3860="U – needs rule","ℹ حالة U تحتاج قاعدة معتمدة",IF($K3860="No result","ℹ بدون نتيجة (يُستبعد من التحصيل)","OK")))))))))))</f>
        <v/>
      </c>
      <c r="M3860" s="64" t="n">
        <f aca="false">IF($A3860="",0,IFERROR(MATCH($A3860,Classes!$A$6:$A$420,0),0))</f>
        <v>0</v>
      </c>
      <c r="N3860" s="64" t="n">
        <f aca="false">IF($H3860="",0,IFERROR(MATCH($H3860,GradeList,0),0))</f>
        <v>0</v>
      </c>
      <c r="O3860" s="64" t="n">
        <f aca="false">IF(OR($I3860="",$I3860="NR"),0,IFERROR(MATCH($I3860,GradeList,0),0))</f>
        <v>0</v>
      </c>
      <c r="P3860" s="64" t="n">
        <f aca="false">IF(AND($M3860&gt;0,ISNUMBER(MATCH($F3860,Lists!$A$2:$A$5,0)),ISNUMBER(MATCH($G3860,Lists!$B$2:$B$7,0)),OR($H3860="",$N3860&gt;0),OR($I3860="",$I3860="NR",$O3860&gt;0),IF(ISNUMBER($J3860),AND($J3860&gt;=0,$J3860=INT($J3860)),FALSE())),$J3860,0)</f>
        <v>0</v>
      </c>
      <c r="Q3860" s="64" t="n">
        <f aca="false">IF(AND($P3860&gt;0,$O3860&gt;0),$P3860,0)</f>
        <v>0</v>
      </c>
      <c r="R3860" s="64" t="n">
        <f aca="false">IF(AND($Q3860&gt;0,$O3860&gt;=AtRank),$Q3860,0)</f>
        <v>0</v>
      </c>
      <c r="S3860" s="64" t="n">
        <f aca="false">IF(AND($Q3860&gt;0,$O3860&gt;=AboveRank),$Q3860,0)</f>
        <v>0</v>
      </c>
      <c r="T3860" s="64" t="n">
        <f aca="false">IF($K3860="Less",$P3860,0)</f>
        <v>0</v>
      </c>
      <c r="U3860" s="64" t="n">
        <f aca="false">IF($K3860="Expected",$P3860,0)</f>
        <v>0</v>
      </c>
      <c r="V3860" s="64" t="n">
        <f aca="false">IF($K3860="Better",$P3860,0)</f>
        <v>0</v>
      </c>
      <c r="W3860" s="64" t="n">
        <f aca="false">IF($K3860="U – needs rule",$P3860,0)</f>
        <v>0</v>
      </c>
      <c r="X3860" s="64" t="n">
        <f aca="false">IF($K3860="No Start (attainment only)",$P3860,0)</f>
        <v>0</v>
      </c>
    </row>
    <row r="3861" customFormat="false" ht="15" hidden="false" customHeight="false" outlineLevel="0" collapsed="false">
      <c r="A3861" s="60"/>
      <c r="B3861" s="61" t="str">
        <f aca="false">IF($M3861=0,"",INDEX(Classes!$E$6:$E$420,$M3861))</f>
        <v/>
      </c>
      <c r="C3861" s="62" t="str">
        <f aca="false">IF($M3861=0,"",INDEX(Classes!$H$6:$H$420,$M3861))</f>
        <v/>
      </c>
      <c r="D3861" s="61" t="str">
        <f aca="false">IF($M3861=0,"",INDEX(Classes!$B$6:$B$420,$M3861))</f>
        <v/>
      </c>
      <c r="E3861" s="61" t="str">
        <f aca="false">IF($M3861=0,"",INDEX(Classes!$C$6:$C$420,$M3861))</f>
        <v/>
      </c>
      <c r="F3861" s="63"/>
      <c r="G3861" s="63"/>
      <c r="H3861" s="60"/>
      <c r="I3861" s="60"/>
      <c r="J3861" s="63"/>
      <c r="K3861" s="61" t="str">
        <f aca="false">IF($P3861=0,"",IF($F3861="Baseline","— Baseline",IF($O3861=0,"No result",IF($N3861=0,"No Start (attainment only)",IF(OR($N3861=1,$O3861=1),"U – needs rule",INDEX(MxBody,MATCH($I3861,MxCurr,0),MATCH($H3861,MxStart,0)))))))</f>
        <v/>
      </c>
      <c r="L3861" s="62" t="str">
        <f aca="false">IF(COUNTA($A3861,$F3861,$G3861,$H3861,$I3861,$J3861)=0,"",IF($M3861=0,"✖ كود الصف غير موجود",IF(ISNA(MATCH($F3861,Lists!$A$2:$A$5,0)),"✖ الفترة غير صحيحة",IF(ISNA(MATCH($G3861,Lists!$B$2:$B$7,0)),"✖ المجموعة غير صحيحة",IF(NOT(OR($H3861="",$N3861&gt;0)),"✖ Start غير صحيح",IF(NOT(OR($I3861="",$I3861="NR",$O3861&gt;0)),"✖ Current غير صحيح",IF(NOT(IF(ISNUMBER($J3861),AND($J3861&gt;=0,$J3861=INT($J3861)),FALSE())),"✖ العدد يجب أن يكون صحيحًا ≥ 0",IF(AND($F3861="Baseline",$H3861&lt;&gt;""),"⚠ Baseline: Start لا يدخل في التقدم",IF($K3861="No Start (attainment only)","ℹ تحصيل فقط (بدون Start)",IF($K3861="U – needs rule","ℹ حالة U تحتاج قاعدة معتمدة",IF($K3861="No result","ℹ بدون نتيجة (يُستبعد من التحصيل)","OK")))))))))))</f>
        <v/>
      </c>
      <c r="M3861" s="64" t="n">
        <f aca="false">IF($A3861="",0,IFERROR(MATCH($A3861,Classes!$A$6:$A$420,0),0))</f>
        <v>0</v>
      </c>
      <c r="N3861" s="64" t="n">
        <f aca="false">IF($H3861="",0,IFERROR(MATCH($H3861,GradeList,0),0))</f>
        <v>0</v>
      </c>
      <c r="O3861" s="64" t="n">
        <f aca="false">IF(OR($I3861="",$I3861="NR"),0,IFERROR(MATCH($I3861,GradeList,0),0))</f>
        <v>0</v>
      </c>
      <c r="P3861" s="64" t="n">
        <f aca="false">IF(AND($M3861&gt;0,ISNUMBER(MATCH($F3861,Lists!$A$2:$A$5,0)),ISNUMBER(MATCH($G3861,Lists!$B$2:$B$7,0)),OR($H3861="",$N3861&gt;0),OR($I3861="",$I3861="NR",$O3861&gt;0),IF(ISNUMBER($J3861),AND($J3861&gt;=0,$J3861=INT($J3861)),FALSE())),$J3861,0)</f>
        <v>0</v>
      </c>
      <c r="Q3861" s="64" t="n">
        <f aca="false">IF(AND($P3861&gt;0,$O3861&gt;0),$P3861,0)</f>
        <v>0</v>
      </c>
      <c r="R3861" s="64" t="n">
        <f aca="false">IF(AND($Q3861&gt;0,$O3861&gt;=AtRank),$Q3861,0)</f>
        <v>0</v>
      </c>
      <c r="S3861" s="64" t="n">
        <f aca="false">IF(AND($Q3861&gt;0,$O3861&gt;=AboveRank),$Q3861,0)</f>
        <v>0</v>
      </c>
      <c r="T3861" s="64" t="n">
        <f aca="false">IF($K3861="Less",$P3861,0)</f>
        <v>0</v>
      </c>
      <c r="U3861" s="64" t="n">
        <f aca="false">IF($K3861="Expected",$P3861,0)</f>
        <v>0</v>
      </c>
      <c r="V3861" s="64" t="n">
        <f aca="false">IF($K3861="Better",$P3861,0)</f>
        <v>0</v>
      </c>
      <c r="W3861" s="64" t="n">
        <f aca="false">IF($K3861="U – needs rule",$P3861,0)</f>
        <v>0</v>
      </c>
      <c r="X3861" s="64" t="n">
        <f aca="false">IF($K3861="No Start (attainment only)",$P3861,0)</f>
        <v>0</v>
      </c>
    </row>
    <row r="3862" customFormat="false" ht="15" hidden="false" customHeight="false" outlineLevel="0" collapsed="false">
      <c r="A3862" s="60"/>
      <c r="B3862" s="61" t="str">
        <f aca="false">IF($M3862=0,"",INDEX(Classes!$E$6:$E$420,$M3862))</f>
        <v/>
      </c>
      <c r="C3862" s="62" t="str">
        <f aca="false">IF($M3862=0,"",INDEX(Classes!$H$6:$H$420,$M3862))</f>
        <v/>
      </c>
      <c r="D3862" s="61" t="str">
        <f aca="false">IF($M3862=0,"",INDEX(Classes!$B$6:$B$420,$M3862))</f>
        <v/>
      </c>
      <c r="E3862" s="61" t="str">
        <f aca="false">IF($M3862=0,"",INDEX(Classes!$C$6:$C$420,$M3862))</f>
        <v/>
      </c>
      <c r="F3862" s="63"/>
      <c r="G3862" s="63"/>
      <c r="H3862" s="60"/>
      <c r="I3862" s="60"/>
      <c r="J3862" s="63"/>
      <c r="K3862" s="61" t="str">
        <f aca="false">IF($P3862=0,"",IF($F3862="Baseline","— Baseline",IF($O3862=0,"No result",IF($N3862=0,"No Start (attainment only)",IF(OR($N3862=1,$O3862=1),"U – needs rule",INDEX(MxBody,MATCH($I3862,MxCurr,0),MATCH($H3862,MxStart,0)))))))</f>
        <v/>
      </c>
      <c r="L3862" s="62" t="str">
        <f aca="false">IF(COUNTA($A3862,$F3862,$G3862,$H3862,$I3862,$J3862)=0,"",IF($M3862=0,"✖ كود الصف غير موجود",IF(ISNA(MATCH($F3862,Lists!$A$2:$A$5,0)),"✖ الفترة غير صحيحة",IF(ISNA(MATCH($G3862,Lists!$B$2:$B$7,0)),"✖ المجموعة غير صحيحة",IF(NOT(OR($H3862="",$N3862&gt;0)),"✖ Start غير صحيح",IF(NOT(OR($I3862="",$I3862="NR",$O3862&gt;0)),"✖ Current غير صحيح",IF(NOT(IF(ISNUMBER($J3862),AND($J3862&gt;=0,$J3862=INT($J3862)),FALSE())),"✖ العدد يجب أن يكون صحيحًا ≥ 0",IF(AND($F3862="Baseline",$H3862&lt;&gt;""),"⚠ Baseline: Start لا يدخل في التقدم",IF($K3862="No Start (attainment only)","ℹ تحصيل فقط (بدون Start)",IF($K3862="U – needs rule","ℹ حالة U تحتاج قاعدة معتمدة",IF($K3862="No result","ℹ بدون نتيجة (يُستبعد من التحصيل)","OK")))))))))))</f>
        <v/>
      </c>
      <c r="M3862" s="64" t="n">
        <f aca="false">IF($A3862="",0,IFERROR(MATCH($A3862,Classes!$A$6:$A$420,0),0))</f>
        <v>0</v>
      </c>
      <c r="N3862" s="64" t="n">
        <f aca="false">IF($H3862="",0,IFERROR(MATCH($H3862,GradeList,0),0))</f>
        <v>0</v>
      </c>
      <c r="O3862" s="64" t="n">
        <f aca="false">IF(OR($I3862="",$I3862="NR"),0,IFERROR(MATCH($I3862,GradeList,0),0))</f>
        <v>0</v>
      </c>
      <c r="P3862" s="64" t="n">
        <f aca="false">IF(AND($M3862&gt;0,ISNUMBER(MATCH($F3862,Lists!$A$2:$A$5,0)),ISNUMBER(MATCH($G3862,Lists!$B$2:$B$7,0)),OR($H3862="",$N3862&gt;0),OR($I3862="",$I3862="NR",$O3862&gt;0),IF(ISNUMBER($J3862),AND($J3862&gt;=0,$J3862=INT($J3862)),FALSE())),$J3862,0)</f>
        <v>0</v>
      </c>
      <c r="Q3862" s="64" t="n">
        <f aca="false">IF(AND($P3862&gt;0,$O3862&gt;0),$P3862,0)</f>
        <v>0</v>
      </c>
      <c r="R3862" s="64" t="n">
        <f aca="false">IF(AND($Q3862&gt;0,$O3862&gt;=AtRank),$Q3862,0)</f>
        <v>0</v>
      </c>
      <c r="S3862" s="64" t="n">
        <f aca="false">IF(AND($Q3862&gt;0,$O3862&gt;=AboveRank),$Q3862,0)</f>
        <v>0</v>
      </c>
      <c r="T3862" s="64" t="n">
        <f aca="false">IF($K3862="Less",$P3862,0)</f>
        <v>0</v>
      </c>
      <c r="U3862" s="64" t="n">
        <f aca="false">IF($K3862="Expected",$P3862,0)</f>
        <v>0</v>
      </c>
      <c r="V3862" s="64" t="n">
        <f aca="false">IF($K3862="Better",$P3862,0)</f>
        <v>0</v>
      </c>
      <c r="W3862" s="64" t="n">
        <f aca="false">IF($K3862="U – needs rule",$P3862,0)</f>
        <v>0</v>
      </c>
      <c r="X3862" s="64" t="n">
        <f aca="false">IF($K3862="No Start (attainment only)",$P3862,0)</f>
        <v>0</v>
      </c>
    </row>
    <row r="3863" customFormat="false" ht="15" hidden="false" customHeight="false" outlineLevel="0" collapsed="false">
      <c r="A3863" s="60"/>
      <c r="B3863" s="61" t="str">
        <f aca="false">IF($M3863=0,"",INDEX(Classes!$E$6:$E$420,$M3863))</f>
        <v/>
      </c>
      <c r="C3863" s="62" t="str">
        <f aca="false">IF($M3863=0,"",INDEX(Classes!$H$6:$H$420,$M3863))</f>
        <v/>
      </c>
      <c r="D3863" s="61" t="str">
        <f aca="false">IF($M3863=0,"",INDEX(Classes!$B$6:$B$420,$M3863))</f>
        <v/>
      </c>
      <c r="E3863" s="61" t="str">
        <f aca="false">IF($M3863=0,"",INDEX(Classes!$C$6:$C$420,$M3863))</f>
        <v/>
      </c>
      <c r="F3863" s="63"/>
      <c r="G3863" s="63"/>
      <c r="H3863" s="60"/>
      <c r="I3863" s="60"/>
      <c r="J3863" s="63"/>
      <c r="K3863" s="61" t="str">
        <f aca="false">IF($P3863=0,"",IF($F3863="Baseline","— Baseline",IF($O3863=0,"No result",IF($N3863=0,"No Start (attainment only)",IF(OR($N3863=1,$O3863=1),"U – needs rule",INDEX(MxBody,MATCH($I3863,MxCurr,0),MATCH($H3863,MxStart,0)))))))</f>
        <v/>
      </c>
      <c r="L3863" s="62" t="str">
        <f aca="false">IF(COUNTA($A3863,$F3863,$G3863,$H3863,$I3863,$J3863)=0,"",IF($M3863=0,"✖ كود الصف غير موجود",IF(ISNA(MATCH($F3863,Lists!$A$2:$A$5,0)),"✖ الفترة غير صحيحة",IF(ISNA(MATCH($G3863,Lists!$B$2:$B$7,0)),"✖ المجموعة غير صحيحة",IF(NOT(OR($H3863="",$N3863&gt;0)),"✖ Start غير صحيح",IF(NOT(OR($I3863="",$I3863="NR",$O3863&gt;0)),"✖ Current غير صحيح",IF(NOT(IF(ISNUMBER($J3863),AND($J3863&gt;=0,$J3863=INT($J3863)),FALSE())),"✖ العدد يجب أن يكون صحيحًا ≥ 0",IF(AND($F3863="Baseline",$H3863&lt;&gt;""),"⚠ Baseline: Start لا يدخل في التقدم",IF($K3863="No Start (attainment only)","ℹ تحصيل فقط (بدون Start)",IF($K3863="U – needs rule","ℹ حالة U تحتاج قاعدة معتمدة",IF($K3863="No result","ℹ بدون نتيجة (يُستبعد من التحصيل)","OK")))))))))))</f>
        <v/>
      </c>
      <c r="M3863" s="64" t="n">
        <f aca="false">IF($A3863="",0,IFERROR(MATCH($A3863,Classes!$A$6:$A$420,0),0))</f>
        <v>0</v>
      </c>
      <c r="N3863" s="64" t="n">
        <f aca="false">IF($H3863="",0,IFERROR(MATCH($H3863,GradeList,0),0))</f>
        <v>0</v>
      </c>
      <c r="O3863" s="64" t="n">
        <f aca="false">IF(OR($I3863="",$I3863="NR"),0,IFERROR(MATCH($I3863,GradeList,0),0))</f>
        <v>0</v>
      </c>
      <c r="P3863" s="64" t="n">
        <f aca="false">IF(AND($M3863&gt;0,ISNUMBER(MATCH($F3863,Lists!$A$2:$A$5,0)),ISNUMBER(MATCH($G3863,Lists!$B$2:$B$7,0)),OR($H3863="",$N3863&gt;0),OR($I3863="",$I3863="NR",$O3863&gt;0),IF(ISNUMBER($J3863),AND($J3863&gt;=0,$J3863=INT($J3863)),FALSE())),$J3863,0)</f>
        <v>0</v>
      </c>
      <c r="Q3863" s="64" t="n">
        <f aca="false">IF(AND($P3863&gt;0,$O3863&gt;0),$P3863,0)</f>
        <v>0</v>
      </c>
      <c r="R3863" s="64" t="n">
        <f aca="false">IF(AND($Q3863&gt;0,$O3863&gt;=AtRank),$Q3863,0)</f>
        <v>0</v>
      </c>
      <c r="S3863" s="64" t="n">
        <f aca="false">IF(AND($Q3863&gt;0,$O3863&gt;=AboveRank),$Q3863,0)</f>
        <v>0</v>
      </c>
      <c r="T3863" s="64" t="n">
        <f aca="false">IF($K3863="Less",$P3863,0)</f>
        <v>0</v>
      </c>
      <c r="U3863" s="64" t="n">
        <f aca="false">IF($K3863="Expected",$P3863,0)</f>
        <v>0</v>
      </c>
      <c r="V3863" s="64" t="n">
        <f aca="false">IF($K3863="Better",$P3863,0)</f>
        <v>0</v>
      </c>
      <c r="W3863" s="64" t="n">
        <f aca="false">IF($K3863="U – needs rule",$P3863,0)</f>
        <v>0</v>
      </c>
      <c r="X3863" s="64" t="n">
        <f aca="false">IF($K3863="No Start (attainment only)",$P3863,0)</f>
        <v>0</v>
      </c>
    </row>
    <row r="3864" customFormat="false" ht="15" hidden="false" customHeight="false" outlineLevel="0" collapsed="false">
      <c r="A3864" s="60"/>
      <c r="B3864" s="61" t="str">
        <f aca="false">IF($M3864=0,"",INDEX(Classes!$E$6:$E$420,$M3864))</f>
        <v/>
      </c>
      <c r="C3864" s="62" t="str">
        <f aca="false">IF($M3864=0,"",INDEX(Classes!$H$6:$H$420,$M3864))</f>
        <v/>
      </c>
      <c r="D3864" s="61" t="str">
        <f aca="false">IF($M3864=0,"",INDEX(Classes!$B$6:$B$420,$M3864))</f>
        <v/>
      </c>
      <c r="E3864" s="61" t="str">
        <f aca="false">IF($M3864=0,"",INDEX(Classes!$C$6:$C$420,$M3864))</f>
        <v/>
      </c>
      <c r="F3864" s="63"/>
      <c r="G3864" s="63"/>
      <c r="H3864" s="60"/>
      <c r="I3864" s="60"/>
      <c r="J3864" s="63"/>
      <c r="K3864" s="61" t="str">
        <f aca="false">IF($P3864=0,"",IF($F3864="Baseline","— Baseline",IF($O3864=0,"No result",IF($N3864=0,"No Start (attainment only)",IF(OR($N3864=1,$O3864=1),"U – needs rule",INDEX(MxBody,MATCH($I3864,MxCurr,0),MATCH($H3864,MxStart,0)))))))</f>
        <v/>
      </c>
      <c r="L3864" s="62" t="str">
        <f aca="false">IF(COUNTA($A3864,$F3864,$G3864,$H3864,$I3864,$J3864)=0,"",IF($M3864=0,"✖ كود الصف غير موجود",IF(ISNA(MATCH($F3864,Lists!$A$2:$A$5,0)),"✖ الفترة غير صحيحة",IF(ISNA(MATCH($G3864,Lists!$B$2:$B$7,0)),"✖ المجموعة غير صحيحة",IF(NOT(OR($H3864="",$N3864&gt;0)),"✖ Start غير صحيح",IF(NOT(OR($I3864="",$I3864="NR",$O3864&gt;0)),"✖ Current غير صحيح",IF(NOT(IF(ISNUMBER($J3864),AND($J3864&gt;=0,$J3864=INT($J3864)),FALSE())),"✖ العدد يجب أن يكون صحيحًا ≥ 0",IF(AND($F3864="Baseline",$H3864&lt;&gt;""),"⚠ Baseline: Start لا يدخل في التقدم",IF($K3864="No Start (attainment only)","ℹ تحصيل فقط (بدون Start)",IF($K3864="U – needs rule","ℹ حالة U تحتاج قاعدة معتمدة",IF($K3864="No result","ℹ بدون نتيجة (يُستبعد من التحصيل)","OK")))))))))))</f>
        <v/>
      </c>
      <c r="M3864" s="64" t="n">
        <f aca="false">IF($A3864="",0,IFERROR(MATCH($A3864,Classes!$A$6:$A$420,0),0))</f>
        <v>0</v>
      </c>
      <c r="N3864" s="64" t="n">
        <f aca="false">IF($H3864="",0,IFERROR(MATCH($H3864,GradeList,0),0))</f>
        <v>0</v>
      </c>
      <c r="O3864" s="64" t="n">
        <f aca="false">IF(OR($I3864="",$I3864="NR"),0,IFERROR(MATCH($I3864,GradeList,0),0))</f>
        <v>0</v>
      </c>
      <c r="P3864" s="64" t="n">
        <f aca="false">IF(AND($M3864&gt;0,ISNUMBER(MATCH($F3864,Lists!$A$2:$A$5,0)),ISNUMBER(MATCH($G3864,Lists!$B$2:$B$7,0)),OR($H3864="",$N3864&gt;0),OR($I3864="",$I3864="NR",$O3864&gt;0),IF(ISNUMBER($J3864),AND($J3864&gt;=0,$J3864=INT($J3864)),FALSE())),$J3864,0)</f>
        <v>0</v>
      </c>
      <c r="Q3864" s="64" t="n">
        <f aca="false">IF(AND($P3864&gt;0,$O3864&gt;0),$P3864,0)</f>
        <v>0</v>
      </c>
      <c r="R3864" s="64" t="n">
        <f aca="false">IF(AND($Q3864&gt;0,$O3864&gt;=AtRank),$Q3864,0)</f>
        <v>0</v>
      </c>
      <c r="S3864" s="64" t="n">
        <f aca="false">IF(AND($Q3864&gt;0,$O3864&gt;=AboveRank),$Q3864,0)</f>
        <v>0</v>
      </c>
      <c r="T3864" s="64" t="n">
        <f aca="false">IF($K3864="Less",$P3864,0)</f>
        <v>0</v>
      </c>
      <c r="U3864" s="64" t="n">
        <f aca="false">IF($K3864="Expected",$P3864,0)</f>
        <v>0</v>
      </c>
      <c r="V3864" s="64" t="n">
        <f aca="false">IF($K3864="Better",$P3864,0)</f>
        <v>0</v>
      </c>
      <c r="W3864" s="64" t="n">
        <f aca="false">IF($K3864="U – needs rule",$P3864,0)</f>
        <v>0</v>
      </c>
      <c r="X3864" s="64" t="n">
        <f aca="false">IF($K3864="No Start (attainment only)",$P3864,0)</f>
        <v>0</v>
      </c>
    </row>
    <row r="3865" customFormat="false" ht="15" hidden="false" customHeight="false" outlineLevel="0" collapsed="false">
      <c r="A3865" s="60"/>
      <c r="B3865" s="61" t="str">
        <f aca="false">IF($M3865=0,"",INDEX(Classes!$E$6:$E$420,$M3865))</f>
        <v/>
      </c>
      <c r="C3865" s="62" t="str">
        <f aca="false">IF($M3865=0,"",INDEX(Classes!$H$6:$H$420,$M3865))</f>
        <v/>
      </c>
      <c r="D3865" s="61" t="str">
        <f aca="false">IF($M3865=0,"",INDEX(Classes!$B$6:$B$420,$M3865))</f>
        <v/>
      </c>
      <c r="E3865" s="61" t="str">
        <f aca="false">IF($M3865=0,"",INDEX(Classes!$C$6:$C$420,$M3865))</f>
        <v/>
      </c>
      <c r="F3865" s="63"/>
      <c r="G3865" s="63"/>
      <c r="H3865" s="60"/>
      <c r="I3865" s="60"/>
      <c r="J3865" s="63"/>
      <c r="K3865" s="61" t="str">
        <f aca="false">IF($P3865=0,"",IF($F3865="Baseline","— Baseline",IF($O3865=0,"No result",IF($N3865=0,"No Start (attainment only)",IF(OR($N3865=1,$O3865=1),"U – needs rule",INDEX(MxBody,MATCH($I3865,MxCurr,0),MATCH($H3865,MxStart,0)))))))</f>
        <v/>
      </c>
      <c r="L3865" s="62" t="str">
        <f aca="false">IF(COUNTA($A3865,$F3865,$G3865,$H3865,$I3865,$J3865)=0,"",IF($M3865=0,"✖ كود الصف غير موجود",IF(ISNA(MATCH($F3865,Lists!$A$2:$A$5,0)),"✖ الفترة غير صحيحة",IF(ISNA(MATCH($G3865,Lists!$B$2:$B$7,0)),"✖ المجموعة غير صحيحة",IF(NOT(OR($H3865="",$N3865&gt;0)),"✖ Start غير صحيح",IF(NOT(OR($I3865="",$I3865="NR",$O3865&gt;0)),"✖ Current غير صحيح",IF(NOT(IF(ISNUMBER($J3865),AND($J3865&gt;=0,$J3865=INT($J3865)),FALSE())),"✖ العدد يجب أن يكون صحيحًا ≥ 0",IF(AND($F3865="Baseline",$H3865&lt;&gt;""),"⚠ Baseline: Start لا يدخل في التقدم",IF($K3865="No Start (attainment only)","ℹ تحصيل فقط (بدون Start)",IF($K3865="U – needs rule","ℹ حالة U تحتاج قاعدة معتمدة",IF($K3865="No result","ℹ بدون نتيجة (يُستبعد من التحصيل)","OK")))))))))))</f>
        <v/>
      </c>
      <c r="M3865" s="64" t="n">
        <f aca="false">IF($A3865="",0,IFERROR(MATCH($A3865,Classes!$A$6:$A$420,0),0))</f>
        <v>0</v>
      </c>
      <c r="N3865" s="64" t="n">
        <f aca="false">IF($H3865="",0,IFERROR(MATCH($H3865,GradeList,0),0))</f>
        <v>0</v>
      </c>
      <c r="O3865" s="64" t="n">
        <f aca="false">IF(OR($I3865="",$I3865="NR"),0,IFERROR(MATCH($I3865,GradeList,0),0))</f>
        <v>0</v>
      </c>
      <c r="P3865" s="64" t="n">
        <f aca="false">IF(AND($M3865&gt;0,ISNUMBER(MATCH($F3865,Lists!$A$2:$A$5,0)),ISNUMBER(MATCH($G3865,Lists!$B$2:$B$7,0)),OR($H3865="",$N3865&gt;0),OR($I3865="",$I3865="NR",$O3865&gt;0),IF(ISNUMBER($J3865),AND($J3865&gt;=0,$J3865=INT($J3865)),FALSE())),$J3865,0)</f>
        <v>0</v>
      </c>
      <c r="Q3865" s="64" t="n">
        <f aca="false">IF(AND($P3865&gt;0,$O3865&gt;0),$P3865,0)</f>
        <v>0</v>
      </c>
      <c r="R3865" s="64" t="n">
        <f aca="false">IF(AND($Q3865&gt;0,$O3865&gt;=AtRank),$Q3865,0)</f>
        <v>0</v>
      </c>
      <c r="S3865" s="64" t="n">
        <f aca="false">IF(AND($Q3865&gt;0,$O3865&gt;=AboveRank),$Q3865,0)</f>
        <v>0</v>
      </c>
      <c r="T3865" s="64" t="n">
        <f aca="false">IF($K3865="Less",$P3865,0)</f>
        <v>0</v>
      </c>
      <c r="U3865" s="64" t="n">
        <f aca="false">IF($K3865="Expected",$P3865,0)</f>
        <v>0</v>
      </c>
      <c r="V3865" s="64" t="n">
        <f aca="false">IF($K3865="Better",$P3865,0)</f>
        <v>0</v>
      </c>
      <c r="W3865" s="64" t="n">
        <f aca="false">IF($K3865="U – needs rule",$P3865,0)</f>
        <v>0</v>
      </c>
      <c r="X3865" s="64" t="n">
        <f aca="false">IF($K3865="No Start (attainment only)",$P3865,0)</f>
        <v>0</v>
      </c>
    </row>
    <row r="3866" customFormat="false" ht="15" hidden="false" customHeight="false" outlineLevel="0" collapsed="false">
      <c r="A3866" s="60"/>
      <c r="B3866" s="61" t="str">
        <f aca="false">IF($M3866=0,"",INDEX(Classes!$E$6:$E$420,$M3866))</f>
        <v/>
      </c>
      <c r="C3866" s="62" t="str">
        <f aca="false">IF($M3866=0,"",INDEX(Classes!$H$6:$H$420,$M3866))</f>
        <v/>
      </c>
      <c r="D3866" s="61" t="str">
        <f aca="false">IF($M3866=0,"",INDEX(Classes!$B$6:$B$420,$M3866))</f>
        <v/>
      </c>
      <c r="E3866" s="61" t="str">
        <f aca="false">IF($M3866=0,"",INDEX(Classes!$C$6:$C$420,$M3866))</f>
        <v/>
      </c>
      <c r="F3866" s="63"/>
      <c r="G3866" s="63"/>
      <c r="H3866" s="60"/>
      <c r="I3866" s="60"/>
      <c r="J3866" s="63"/>
      <c r="K3866" s="61" t="str">
        <f aca="false">IF($P3866=0,"",IF($F3866="Baseline","— Baseline",IF($O3866=0,"No result",IF($N3866=0,"No Start (attainment only)",IF(OR($N3866=1,$O3866=1),"U – needs rule",INDEX(MxBody,MATCH($I3866,MxCurr,0),MATCH($H3866,MxStart,0)))))))</f>
        <v/>
      </c>
      <c r="L3866" s="62" t="str">
        <f aca="false">IF(COUNTA($A3866,$F3866,$G3866,$H3866,$I3866,$J3866)=0,"",IF($M3866=0,"✖ كود الصف غير موجود",IF(ISNA(MATCH($F3866,Lists!$A$2:$A$5,0)),"✖ الفترة غير صحيحة",IF(ISNA(MATCH($G3866,Lists!$B$2:$B$7,0)),"✖ المجموعة غير صحيحة",IF(NOT(OR($H3866="",$N3866&gt;0)),"✖ Start غير صحيح",IF(NOT(OR($I3866="",$I3866="NR",$O3866&gt;0)),"✖ Current غير صحيح",IF(NOT(IF(ISNUMBER($J3866),AND($J3866&gt;=0,$J3866=INT($J3866)),FALSE())),"✖ العدد يجب أن يكون صحيحًا ≥ 0",IF(AND($F3866="Baseline",$H3866&lt;&gt;""),"⚠ Baseline: Start لا يدخل في التقدم",IF($K3866="No Start (attainment only)","ℹ تحصيل فقط (بدون Start)",IF($K3866="U – needs rule","ℹ حالة U تحتاج قاعدة معتمدة",IF($K3866="No result","ℹ بدون نتيجة (يُستبعد من التحصيل)","OK")))))))))))</f>
        <v/>
      </c>
      <c r="M3866" s="64" t="n">
        <f aca="false">IF($A3866="",0,IFERROR(MATCH($A3866,Classes!$A$6:$A$420,0),0))</f>
        <v>0</v>
      </c>
      <c r="N3866" s="64" t="n">
        <f aca="false">IF($H3866="",0,IFERROR(MATCH($H3866,GradeList,0),0))</f>
        <v>0</v>
      </c>
      <c r="O3866" s="64" t="n">
        <f aca="false">IF(OR($I3866="",$I3866="NR"),0,IFERROR(MATCH($I3866,GradeList,0),0))</f>
        <v>0</v>
      </c>
      <c r="P3866" s="64" t="n">
        <f aca="false">IF(AND($M3866&gt;0,ISNUMBER(MATCH($F3866,Lists!$A$2:$A$5,0)),ISNUMBER(MATCH($G3866,Lists!$B$2:$B$7,0)),OR($H3866="",$N3866&gt;0),OR($I3866="",$I3866="NR",$O3866&gt;0),IF(ISNUMBER($J3866),AND($J3866&gt;=0,$J3866=INT($J3866)),FALSE())),$J3866,0)</f>
        <v>0</v>
      </c>
      <c r="Q3866" s="64" t="n">
        <f aca="false">IF(AND($P3866&gt;0,$O3866&gt;0),$P3866,0)</f>
        <v>0</v>
      </c>
      <c r="R3866" s="64" t="n">
        <f aca="false">IF(AND($Q3866&gt;0,$O3866&gt;=AtRank),$Q3866,0)</f>
        <v>0</v>
      </c>
      <c r="S3866" s="64" t="n">
        <f aca="false">IF(AND($Q3866&gt;0,$O3866&gt;=AboveRank),$Q3866,0)</f>
        <v>0</v>
      </c>
      <c r="T3866" s="64" t="n">
        <f aca="false">IF($K3866="Less",$P3866,0)</f>
        <v>0</v>
      </c>
      <c r="U3866" s="64" t="n">
        <f aca="false">IF($K3866="Expected",$P3866,0)</f>
        <v>0</v>
      </c>
      <c r="V3866" s="64" t="n">
        <f aca="false">IF($K3866="Better",$P3866,0)</f>
        <v>0</v>
      </c>
      <c r="W3866" s="64" t="n">
        <f aca="false">IF($K3866="U – needs rule",$P3866,0)</f>
        <v>0</v>
      </c>
      <c r="X3866" s="64" t="n">
        <f aca="false">IF($K3866="No Start (attainment only)",$P3866,0)</f>
        <v>0</v>
      </c>
    </row>
    <row r="3867" customFormat="false" ht="15" hidden="false" customHeight="false" outlineLevel="0" collapsed="false">
      <c r="A3867" s="60"/>
      <c r="B3867" s="61" t="str">
        <f aca="false">IF($M3867=0,"",INDEX(Classes!$E$6:$E$420,$M3867))</f>
        <v/>
      </c>
      <c r="C3867" s="62" t="str">
        <f aca="false">IF($M3867=0,"",INDEX(Classes!$H$6:$H$420,$M3867))</f>
        <v/>
      </c>
      <c r="D3867" s="61" t="str">
        <f aca="false">IF($M3867=0,"",INDEX(Classes!$B$6:$B$420,$M3867))</f>
        <v/>
      </c>
      <c r="E3867" s="61" t="str">
        <f aca="false">IF($M3867=0,"",INDEX(Classes!$C$6:$C$420,$M3867))</f>
        <v/>
      </c>
      <c r="F3867" s="63"/>
      <c r="G3867" s="63"/>
      <c r="H3867" s="60"/>
      <c r="I3867" s="60"/>
      <c r="J3867" s="63"/>
      <c r="K3867" s="61" t="str">
        <f aca="false">IF($P3867=0,"",IF($F3867="Baseline","— Baseline",IF($O3867=0,"No result",IF($N3867=0,"No Start (attainment only)",IF(OR($N3867=1,$O3867=1),"U – needs rule",INDEX(MxBody,MATCH($I3867,MxCurr,0),MATCH($H3867,MxStart,0)))))))</f>
        <v/>
      </c>
      <c r="L3867" s="62" t="str">
        <f aca="false">IF(COUNTA($A3867,$F3867,$G3867,$H3867,$I3867,$J3867)=0,"",IF($M3867=0,"✖ كود الصف غير موجود",IF(ISNA(MATCH($F3867,Lists!$A$2:$A$5,0)),"✖ الفترة غير صحيحة",IF(ISNA(MATCH($G3867,Lists!$B$2:$B$7,0)),"✖ المجموعة غير صحيحة",IF(NOT(OR($H3867="",$N3867&gt;0)),"✖ Start غير صحيح",IF(NOT(OR($I3867="",$I3867="NR",$O3867&gt;0)),"✖ Current غير صحيح",IF(NOT(IF(ISNUMBER($J3867),AND($J3867&gt;=0,$J3867=INT($J3867)),FALSE())),"✖ العدد يجب أن يكون صحيحًا ≥ 0",IF(AND($F3867="Baseline",$H3867&lt;&gt;""),"⚠ Baseline: Start لا يدخل في التقدم",IF($K3867="No Start (attainment only)","ℹ تحصيل فقط (بدون Start)",IF($K3867="U – needs rule","ℹ حالة U تحتاج قاعدة معتمدة",IF($K3867="No result","ℹ بدون نتيجة (يُستبعد من التحصيل)","OK")))))))))))</f>
        <v/>
      </c>
      <c r="M3867" s="64" t="n">
        <f aca="false">IF($A3867="",0,IFERROR(MATCH($A3867,Classes!$A$6:$A$420,0),0))</f>
        <v>0</v>
      </c>
      <c r="N3867" s="64" t="n">
        <f aca="false">IF($H3867="",0,IFERROR(MATCH($H3867,GradeList,0),0))</f>
        <v>0</v>
      </c>
      <c r="O3867" s="64" t="n">
        <f aca="false">IF(OR($I3867="",$I3867="NR"),0,IFERROR(MATCH($I3867,GradeList,0),0))</f>
        <v>0</v>
      </c>
      <c r="P3867" s="64" t="n">
        <f aca="false">IF(AND($M3867&gt;0,ISNUMBER(MATCH($F3867,Lists!$A$2:$A$5,0)),ISNUMBER(MATCH($G3867,Lists!$B$2:$B$7,0)),OR($H3867="",$N3867&gt;0),OR($I3867="",$I3867="NR",$O3867&gt;0),IF(ISNUMBER($J3867),AND($J3867&gt;=0,$J3867=INT($J3867)),FALSE())),$J3867,0)</f>
        <v>0</v>
      </c>
      <c r="Q3867" s="64" t="n">
        <f aca="false">IF(AND($P3867&gt;0,$O3867&gt;0),$P3867,0)</f>
        <v>0</v>
      </c>
      <c r="R3867" s="64" t="n">
        <f aca="false">IF(AND($Q3867&gt;0,$O3867&gt;=AtRank),$Q3867,0)</f>
        <v>0</v>
      </c>
      <c r="S3867" s="64" t="n">
        <f aca="false">IF(AND($Q3867&gt;0,$O3867&gt;=AboveRank),$Q3867,0)</f>
        <v>0</v>
      </c>
      <c r="T3867" s="64" t="n">
        <f aca="false">IF($K3867="Less",$P3867,0)</f>
        <v>0</v>
      </c>
      <c r="U3867" s="64" t="n">
        <f aca="false">IF($K3867="Expected",$P3867,0)</f>
        <v>0</v>
      </c>
      <c r="V3867" s="64" t="n">
        <f aca="false">IF($K3867="Better",$P3867,0)</f>
        <v>0</v>
      </c>
      <c r="W3867" s="64" t="n">
        <f aca="false">IF($K3867="U – needs rule",$P3867,0)</f>
        <v>0</v>
      </c>
      <c r="X3867" s="64" t="n">
        <f aca="false">IF($K3867="No Start (attainment only)",$P3867,0)</f>
        <v>0</v>
      </c>
    </row>
    <row r="3868" customFormat="false" ht="15" hidden="false" customHeight="false" outlineLevel="0" collapsed="false">
      <c r="A3868" s="60"/>
      <c r="B3868" s="61" t="str">
        <f aca="false">IF($M3868=0,"",INDEX(Classes!$E$6:$E$420,$M3868))</f>
        <v/>
      </c>
      <c r="C3868" s="62" t="str">
        <f aca="false">IF($M3868=0,"",INDEX(Classes!$H$6:$H$420,$M3868))</f>
        <v/>
      </c>
      <c r="D3868" s="61" t="str">
        <f aca="false">IF($M3868=0,"",INDEX(Classes!$B$6:$B$420,$M3868))</f>
        <v/>
      </c>
      <c r="E3868" s="61" t="str">
        <f aca="false">IF($M3868=0,"",INDEX(Classes!$C$6:$C$420,$M3868))</f>
        <v/>
      </c>
      <c r="F3868" s="63"/>
      <c r="G3868" s="63"/>
      <c r="H3868" s="60"/>
      <c r="I3868" s="60"/>
      <c r="J3868" s="63"/>
      <c r="K3868" s="61" t="str">
        <f aca="false">IF($P3868=0,"",IF($F3868="Baseline","— Baseline",IF($O3868=0,"No result",IF($N3868=0,"No Start (attainment only)",IF(OR($N3868=1,$O3868=1),"U – needs rule",INDEX(MxBody,MATCH($I3868,MxCurr,0),MATCH($H3868,MxStart,0)))))))</f>
        <v/>
      </c>
      <c r="L3868" s="62" t="str">
        <f aca="false">IF(COUNTA($A3868,$F3868,$G3868,$H3868,$I3868,$J3868)=0,"",IF($M3868=0,"✖ كود الصف غير موجود",IF(ISNA(MATCH($F3868,Lists!$A$2:$A$5,0)),"✖ الفترة غير صحيحة",IF(ISNA(MATCH($G3868,Lists!$B$2:$B$7,0)),"✖ المجموعة غير صحيحة",IF(NOT(OR($H3868="",$N3868&gt;0)),"✖ Start غير صحيح",IF(NOT(OR($I3868="",$I3868="NR",$O3868&gt;0)),"✖ Current غير صحيح",IF(NOT(IF(ISNUMBER($J3868),AND($J3868&gt;=0,$J3868=INT($J3868)),FALSE())),"✖ العدد يجب أن يكون صحيحًا ≥ 0",IF(AND($F3868="Baseline",$H3868&lt;&gt;""),"⚠ Baseline: Start لا يدخل في التقدم",IF($K3868="No Start (attainment only)","ℹ تحصيل فقط (بدون Start)",IF($K3868="U – needs rule","ℹ حالة U تحتاج قاعدة معتمدة",IF($K3868="No result","ℹ بدون نتيجة (يُستبعد من التحصيل)","OK")))))))))))</f>
        <v/>
      </c>
      <c r="M3868" s="64" t="n">
        <f aca="false">IF($A3868="",0,IFERROR(MATCH($A3868,Classes!$A$6:$A$420,0),0))</f>
        <v>0</v>
      </c>
      <c r="N3868" s="64" t="n">
        <f aca="false">IF($H3868="",0,IFERROR(MATCH($H3868,GradeList,0),0))</f>
        <v>0</v>
      </c>
      <c r="O3868" s="64" t="n">
        <f aca="false">IF(OR($I3868="",$I3868="NR"),0,IFERROR(MATCH($I3868,GradeList,0),0))</f>
        <v>0</v>
      </c>
      <c r="P3868" s="64" t="n">
        <f aca="false">IF(AND($M3868&gt;0,ISNUMBER(MATCH($F3868,Lists!$A$2:$A$5,0)),ISNUMBER(MATCH($G3868,Lists!$B$2:$B$7,0)),OR($H3868="",$N3868&gt;0),OR($I3868="",$I3868="NR",$O3868&gt;0),IF(ISNUMBER($J3868),AND($J3868&gt;=0,$J3868=INT($J3868)),FALSE())),$J3868,0)</f>
        <v>0</v>
      </c>
      <c r="Q3868" s="64" t="n">
        <f aca="false">IF(AND($P3868&gt;0,$O3868&gt;0),$P3868,0)</f>
        <v>0</v>
      </c>
      <c r="R3868" s="64" t="n">
        <f aca="false">IF(AND($Q3868&gt;0,$O3868&gt;=AtRank),$Q3868,0)</f>
        <v>0</v>
      </c>
      <c r="S3868" s="64" t="n">
        <f aca="false">IF(AND($Q3868&gt;0,$O3868&gt;=AboveRank),$Q3868,0)</f>
        <v>0</v>
      </c>
      <c r="T3868" s="64" t="n">
        <f aca="false">IF($K3868="Less",$P3868,0)</f>
        <v>0</v>
      </c>
      <c r="U3868" s="64" t="n">
        <f aca="false">IF($K3868="Expected",$P3868,0)</f>
        <v>0</v>
      </c>
      <c r="V3868" s="64" t="n">
        <f aca="false">IF($K3868="Better",$P3868,0)</f>
        <v>0</v>
      </c>
      <c r="W3868" s="64" t="n">
        <f aca="false">IF($K3868="U – needs rule",$P3868,0)</f>
        <v>0</v>
      </c>
      <c r="X3868" s="64" t="n">
        <f aca="false">IF($K3868="No Start (attainment only)",$P3868,0)</f>
        <v>0</v>
      </c>
    </row>
    <row r="3869" customFormat="false" ht="15" hidden="false" customHeight="false" outlineLevel="0" collapsed="false">
      <c r="A3869" s="60"/>
      <c r="B3869" s="61" t="str">
        <f aca="false">IF($M3869=0,"",INDEX(Classes!$E$6:$E$420,$M3869))</f>
        <v/>
      </c>
      <c r="C3869" s="62" t="str">
        <f aca="false">IF($M3869=0,"",INDEX(Classes!$H$6:$H$420,$M3869))</f>
        <v/>
      </c>
      <c r="D3869" s="61" t="str">
        <f aca="false">IF($M3869=0,"",INDEX(Classes!$B$6:$B$420,$M3869))</f>
        <v/>
      </c>
      <c r="E3869" s="61" t="str">
        <f aca="false">IF($M3869=0,"",INDEX(Classes!$C$6:$C$420,$M3869))</f>
        <v/>
      </c>
      <c r="F3869" s="63"/>
      <c r="G3869" s="63"/>
      <c r="H3869" s="60"/>
      <c r="I3869" s="60"/>
      <c r="J3869" s="63"/>
      <c r="K3869" s="61" t="str">
        <f aca="false">IF($P3869=0,"",IF($F3869="Baseline","— Baseline",IF($O3869=0,"No result",IF($N3869=0,"No Start (attainment only)",IF(OR($N3869=1,$O3869=1),"U – needs rule",INDEX(MxBody,MATCH($I3869,MxCurr,0),MATCH($H3869,MxStart,0)))))))</f>
        <v/>
      </c>
      <c r="L3869" s="62" t="str">
        <f aca="false">IF(COUNTA($A3869,$F3869,$G3869,$H3869,$I3869,$J3869)=0,"",IF($M3869=0,"✖ كود الصف غير موجود",IF(ISNA(MATCH($F3869,Lists!$A$2:$A$5,0)),"✖ الفترة غير صحيحة",IF(ISNA(MATCH($G3869,Lists!$B$2:$B$7,0)),"✖ المجموعة غير صحيحة",IF(NOT(OR($H3869="",$N3869&gt;0)),"✖ Start غير صحيح",IF(NOT(OR($I3869="",$I3869="NR",$O3869&gt;0)),"✖ Current غير صحيح",IF(NOT(IF(ISNUMBER($J3869),AND($J3869&gt;=0,$J3869=INT($J3869)),FALSE())),"✖ العدد يجب أن يكون صحيحًا ≥ 0",IF(AND($F3869="Baseline",$H3869&lt;&gt;""),"⚠ Baseline: Start لا يدخل في التقدم",IF($K3869="No Start (attainment only)","ℹ تحصيل فقط (بدون Start)",IF($K3869="U – needs rule","ℹ حالة U تحتاج قاعدة معتمدة",IF($K3869="No result","ℹ بدون نتيجة (يُستبعد من التحصيل)","OK")))))))))))</f>
        <v/>
      </c>
      <c r="M3869" s="64" t="n">
        <f aca="false">IF($A3869="",0,IFERROR(MATCH($A3869,Classes!$A$6:$A$420,0),0))</f>
        <v>0</v>
      </c>
      <c r="N3869" s="64" t="n">
        <f aca="false">IF($H3869="",0,IFERROR(MATCH($H3869,GradeList,0),0))</f>
        <v>0</v>
      </c>
      <c r="O3869" s="64" t="n">
        <f aca="false">IF(OR($I3869="",$I3869="NR"),0,IFERROR(MATCH($I3869,GradeList,0),0))</f>
        <v>0</v>
      </c>
      <c r="P3869" s="64" t="n">
        <f aca="false">IF(AND($M3869&gt;0,ISNUMBER(MATCH($F3869,Lists!$A$2:$A$5,0)),ISNUMBER(MATCH($G3869,Lists!$B$2:$B$7,0)),OR($H3869="",$N3869&gt;0),OR($I3869="",$I3869="NR",$O3869&gt;0),IF(ISNUMBER($J3869),AND($J3869&gt;=0,$J3869=INT($J3869)),FALSE())),$J3869,0)</f>
        <v>0</v>
      </c>
      <c r="Q3869" s="64" t="n">
        <f aca="false">IF(AND($P3869&gt;0,$O3869&gt;0),$P3869,0)</f>
        <v>0</v>
      </c>
      <c r="R3869" s="64" t="n">
        <f aca="false">IF(AND($Q3869&gt;0,$O3869&gt;=AtRank),$Q3869,0)</f>
        <v>0</v>
      </c>
      <c r="S3869" s="64" t="n">
        <f aca="false">IF(AND($Q3869&gt;0,$O3869&gt;=AboveRank),$Q3869,0)</f>
        <v>0</v>
      </c>
      <c r="T3869" s="64" t="n">
        <f aca="false">IF($K3869="Less",$P3869,0)</f>
        <v>0</v>
      </c>
      <c r="U3869" s="64" t="n">
        <f aca="false">IF($K3869="Expected",$P3869,0)</f>
        <v>0</v>
      </c>
      <c r="V3869" s="64" t="n">
        <f aca="false">IF($K3869="Better",$P3869,0)</f>
        <v>0</v>
      </c>
      <c r="W3869" s="64" t="n">
        <f aca="false">IF($K3869="U – needs rule",$P3869,0)</f>
        <v>0</v>
      </c>
      <c r="X3869" s="64" t="n">
        <f aca="false">IF($K3869="No Start (attainment only)",$P3869,0)</f>
        <v>0</v>
      </c>
    </row>
    <row r="3870" customFormat="false" ht="15" hidden="false" customHeight="false" outlineLevel="0" collapsed="false">
      <c r="A3870" s="60"/>
      <c r="B3870" s="61" t="str">
        <f aca="false">IF($M3870=0,"",INDEX(Classes!$E$6:$E$420,$M3870))</f>
        <v/>
      </c>
      <c r="C3870" s="62" t="str">
        <f aca="false">IF($M3870=0,"",INDEX(Classes!$H$6:$H$420,$M3870))</f>
        <v/>
      </c>
      <c r="D3870" s="61" t="str">
        <f aca="false">IF($M3870=0,"",INDEX(Classes!$B$6:$B$420,$M3870))</f>
        <v/>
      </c>
      <c r="E3870" s="61" t="str">
        <f aca="false">IF($M3870=0,"",INDEX(Classes!$C$6:$C$420,$M3870))</f>
        <v/>
      </c>
      <c r="F3870" s="63"/>
      <c r="G3870" s="63"/>
      <c r="H3870" s="60"/>
      <c r="I3870" s="60"/>
      <c r="J3870" s="63"/>
      <c r="K3870" s="61" t="str">
        <f aca="false">IF($P3870=0,"",IF($F3870="Baseline","— Baseline",IF($O3870=0,"No result",IF($N3870=0,"No Start (attainment only)",IF(OR($N3870=1,$O3870=1),"U – needs rule",INDEX(MxBody,MATCH($I3870,MxCurr,0),MATCH($H3870,MxStart,0)))))))</f>
        <v/>
      </c>
      <c r="L3870" s="62" t="str">
        <f aca="false">IF(COUNTA($A3870,$F3870,$G3870,$H3870,$I3870,$J3870)=0,"",IF($M3870=0,"✖ كود الصف غير موجود",IF(ISNA(MATCH($F3870,Lists!$A$2:$A$5,0)),"✖ الفترة غير صحيحة",IF(ISNA(MATCH($G3870,Lists!$B$2:$B$7,0)),"✖ المجموعة غير صحيحة",IF(NOT(OR($H3870="",$N3870&gt;0)),"✖ Start غير صحيح",IF(NOT(OR($I3870="",$I3870="NR",$O3870&gt;0)),"✖ Current غير صحيح",IF(NOT(IF(ISNUMBER($J3870),AND($J3870&gt;=0,$J3870=INT($J3870)),FALSE())),"✖ العدد يجب أن يكون صحيحًا ≥ 0",IF(AND($F3870="Baseline",$H3870&lt;&gt;""),"⚠ Baseline: Start لا يدخل في التقدم",IF($K3870="No Start (attainment only)","ℹ تحصيل فقط (بدون Start)",IF($K3870="U – needs rule","ℹ حالة U تحتاج قاعدة معتمدة",IF($K3870="No result","ℹ بدون نتيجة (يُستبعد من التحصيل)","OK")))))))))))</f>
        <v/>
      </c>
      <c r="M3870" s="64" t="n">
        <f aca="false">IF($A3870="",0,IFERROR(MATCH($A3870,Classes!$A$6:$A$420,0),0))</f>
        <v>0</v>
      </c>
      <c r="N3870" s="64" t="n">
        <f aca="false">IF($H3870="",0,IFERROR(MATCH($H3870,GradeList,0),0))</f>
        <v>0</v>
      </c>
      <c r="O3870" s="64" t="n">
        <f aca="false">IF(OR($I3870="",$I3870="NR"),0,IFERROR(MATCH($I3870,GradeList,0),0))</f>
        <v>0</v>
      </c>
      <c r="P3870" s="64" t="n">
        <f aca="false">IF(AND($M3870&gt;0,ISNUMBER(MATCH($F3870,Lists!$A$2:$A$5,0)),ISNUMBER(MATCH($G3870,Lists!$B$2:$B$7,0)),OR($H3870="",$N3870&gt;0),OR($I3870="",$I3870="NR",$O3870&gt;0),IF(ISNUMBER($J3870),AND($J3870&gt;=0,$J3870=INT($J3870)),FALSE())),$J3870,0)</f>
        <v>0</v>
      </c>
      <c r="Q3870" s="64" t="n">
        <f aca="false">IF(AND($P3870&gt;0,$O3870&gt;0),$P3870,0)</f>
        <v>0</v>
      </c>
      <c r="R3870" s="64" t="n">
        <f aca="false">IF(AND($Q3870&gt;0,$O3870&gt;=AtRank),$Q3870,0)</f>
        <v>0</v>
      </c>
      <c r="S3870" s="64" t="n">
        <f aca="false">IF(AND($Q3870&gt;0,$O3870&gt;=AboveRank),$Q3870,0)</f>
        <v>0</v>
      </c>
      <c r="T3870" s="64" t="n">
        <f aca="false">IF($K3870="Less",$P3870,0)</f>
        <v>0</v>
      </c>
      <c r="U3870" s="64" t="n">
        <f aca="false">IF($K3870="Expected",$P3870,0)</f>
        <v>0</v>
      </c>
      <c r="V3870" s="64" t="n">
        <f aca="false">IF($K3870="Better",$P3870,0)</f>
        <v>0</v>
      </c>
      <c r="W3870" s="64" t="n">
        <f aca="false">IF($K3870="U – needs rule",$P3870,0)</f>
        <v>0</v>
      </c>
      <c r="X3870" s="64" t="n">
        <f aca="false">IF($K3870="No Start (attainment only)",$P3870,0)</f>
        <v>0</v>
      </c>
    </row>
    <row r="3871" customFormat="false" ht="15" hidden="false" customHeight="false" outlineLevel="0" collapsed="false">
      <c r="A3871" s="60"/>
      <c r="B3871" s="61" t="str">
        <f aca="false">IF($M3871=0,"",INDEX(Classes!$E$6:$E$420,$M3871))</f>
        <v/>
      </c>
      <c r="C3871" s="62" t="str">
        <f aca="false">IF($M3871=0,"",INDEX(Classes!$H$6:$H$420,$M3871))</f>
        <v/>
      </c>
      <c r="D3871" s="61" t="str">
        <f aca="false">IF($M3871=0,"",INDEX(Classes!$B$6:$B$420,$M3871))</f>
        <v/>
      </c>
      <c r="E3871" s="61" t="str">
        <f aca="false">IF($M3871=0,"",INDEX(Classes!$C$6:$C$420,$M3871))</f>
        <v/>
      </c>
      <c r="F3871" s="63"/>
      <c r="G3871" s="63"/>
      <c r="H3871" s="60"/>
      <c r="I3871" s="60"/>
      <c r="J3871" s="63"/>
      <c r="K3871" s="61" t="str">
        <f aca="false">IF($P3871=0,"",IF($F3871="Baseline","— Baseline",IF($O3871=0,"No result",IF($N3871=0,"No Start (attainment only)",IF(OR($N3871=1,$O3871=1),"U – needs rule",INDEX(MxBody,MATCH($I3871,MxCurr,0),MATCH($H3871,MxStart,0)))))))</f>
        <v/>
      </c>
      <c r="L3871" s="62" t="str">
        <f aca="false">IF(COUNTA($A3871,$F3871,$G3871,$H3871,$I3871,$J3871)=0,"",IF($M3871=0,"✖ كود الصف غير موجود",IF(ISNA(MATCH($F3871,Lists!$A$2:$A$5,0)),"✖ الفترة غير صحيحة",IF(ISNA(MATCH($G3871,Lists!$B$2:$B$7,0)),"✖ المجموعة غير صحيحة",IF(NOT(OR($H3871="",$N3871&gt;0)),"✖ Start غير صحيح",IF(NOT(OR($I3871="",$I3871="NR",$O3871&gt;0)),"✖ Current غير صحيح",IF(NOT(IF(ISNUMBER($J3871),AND($J3871&gt;=0,$J3871=INT($J3871)),FALSE())),"✖ العدد يجب أن يكون صحيحًا ≥ 0",IF(AND($F3871="Baseline",$H3871&lt;&gt;""),"⚠ Baseline: Start لا يدخل في التقدم",IF($K3871="No Start (attainment only)","ℹ تحصيل فقط (بدون Start)",IF($K3871="U – needs rule","ℹ حالة U تحتاج قاعدة معتمدة",IF($K3871="No result","ℹ بدون نتيجة (يُستبعد من التحصيل)","OK")))))))))))</f>
        <v/>
      </c>
      <c r="M3871" s="64" t="n">
        <f aca="false">IF($A3871="",0,IFERROR(MATCH($A3871,Classes!$A$6:$A$420,0),0))</f>
        <v>0</v>
      </c>
      <c r="N3871" s="64" t="n">
        <f aca="false">IF($H3871="",0,IFERROR(MATCH($H3871,GradeList,0),0))</f>
        <v>0</v>
      </c>
      <c r="O3871" s="64" t="n">
        <f aca="false">IF(OR($I3871="",$I3871="NR"),0,IFERROR(MATCH($I3871,GradeList,0),0))</f>
        <v>0</v>
      </c>
      <c r="P3871" s="64" t="n">
        <f aca="false">IF(AND($M3871&gt;0,ISNUMBER(MATCH($F3871,Lists!$A$2:$A$5,0)),ISNUMBER(MATCH($G3871,Lists!$B$2:$B$7,0)),OR($H3871="",$N3871&gt;0),OR($I3871="",$I3871="NR",$O3871&gt;0),IF(ISNUMBER($J3871),AND($J3871&gt;=0,$J3871=INT($J3871)),FALSE())),$J3871,0)</f>
        <v>0</v>
      </c>
      <c r="Q3871" s="64" t="n">
        <f aca="false">IF(AND($P3871&gt;0,$O3871&gt;0),$P3871,0)</f>
        <v>0</v>
      </c>
      <c r="R3871" s="64" t="n">
        <f aca="false">IF(AND($Q3871&gt;0,$O3871&gt;=AtRank),$Q3871,0)</f>
        <v>0</v>
      </c>
      <c r="S3871" s="64" t="n">
        <f aca="false">IF(AND($Q3871&gt;0,$O3871&gt;=AboveRank),$Q3871,0)</f>
        <v>0</v>
      </c>
      <c r="T3871" s="64" t="n">
        <f aca="false">IF($K3871="Less",$P3871,0)</f>
        <v>0</v>
      </c>
      <c r="U3871" s="64" t="n">
        <f aca="false">IF($K3871="Expected",$P3871,0)</f>
        <v>0</v>
      </c>
      <c r="V3871" s="64" t="n">
        <f aca="false">IF($K3871="Better",$P3871,0)</f>
        <v>0</v>
      </c>
      <c r="W3871" s="64" t="n">
        <f aca="false">IF($K3871="U – needs rule",$P3871,0)</f>
        <v>0</v>
      </c>
      <c r="X3871" s="64" t="n">
        <f aca="false">IF($K3871="No Start (attainment only)",$P3871,0)</f>
        <v>0</v>
      </c>
    </row>
    <row r="3872" customFormat="false" ht="15" hidden="false" customHeight="false" outlineLevel="0" collapsed="false">
      <c r="A3872" s="60"/>
      <c r="B3872" s="61" t="str">
        <f aca="false">IF($M3872=0,"",INDEX(Classes!$E$6:$E$420,$M3872))</f>
        <v/>
      </c>
      <c r="C3872" s="62" t="str">
        <f aca="false">IF($M3872=0,"",INDEX(Classes!$H$6:$H$420,$M3872))</f>
        <v/>
      </c>
      <c r="D3872" s="61" t="str">
        <f aca="false">IF($M3872=0,"",INDEX(Classes!$B$6:$B$420,$M3872))</f>
        <v/>
      </c>
      <c r="E3872" s="61" t="str">
        <f aca="false">IF($M3872=0,"",INDEX(Classes!$C$6:$C$420,$M3872))</f>
        <v/>
      </c>
      <c r="F3872" s="63"/>
      <c r="G3872" s="63"/>
      <c r="H3872" s="60"/>
      <c r="I3872" s="60"/>
      <c r="J3872" s="63"/>
      <c r="K3872" s="61" t="str">
        <f aca="false">IF($P3872=0,"",IF($F3872="Baseline","— Baseline",IF($O3872=0,"No result",IF($N3872=0,"No Start (attainment only)",IF(OR($N3872=1,$O3872=1),"U – needs rule",INDEX(MxBody,MATCH($I3872,MxCurr,0),MATCH($H3872,MxStart,0)))))))</f>
        <v/>
      </c>
      <c r="L3872" s="62" t="str">
        <f aca="false">IF(COUNTA($A3872,$F3872,$G3872,$H3872,$I3872,$J3872)=0,"",IF($M3872=0,"✖ كود الصف غير موجود",IF(ISNA(MATCH($F3872,Lists!$A$2:$A$5,0)),"✖ الفترة غير صحيحة",IF(ISNA(MATCH($G3872,Lists!$B$2:$B$7,0)),"✖ المجموعة غير صحيحة",IF(NOT(OR($H3872="",$N3872&gt;0)),"✖ Start غير صحيح",IF(NOT(OR($I3872="",$I3872="NR",$O3872&gt;0)),"✖ Current غير صحيح",IF(NOT(IF(ISNUMBER($J3872),AND($J3872&gt;=0,$J3872=INT($J3872)),FALSE())),"✖ العدد يجب أن يكون صحيحًا ≥ 0",IF(AND($F3872="Baseline",$H3872&lt;&gt;""),"⚠ Baseline: Start لا يدخل في التقدم",IF($K3872="No Start (attainment only)","ℹ تحصيل فقط (بدون Start)",IF($K3872="U – needs rule","ℹ حالة U تحتاج قاعدة معتمدة",IF($K3872="No result","ℹ بدون نتيجة (يُستبعد من التحصيل)","OK")))))))))))</f>
        <v/>
      </c>
      <c r="M3872" s="64" t="n">
        <f aca="false">IF($A3872="",0,IFERROR(MATCH($A3872,Classes!$A$6:$A$420,0),0))</f>
        <v>0</v>
      </c>
      <c r="N3872" s="64" t="n">
        <f aca="false">IF($H3872="",0,IFERROR(MATCH($H3872,GradeList,0),0))</f>
        <v>0</v>
      </c>
      <c r="O3872" s="64" t="n">
        <f aca="false">IF(OR($I3872="",$I3872="NR"),0,IFERROR(MATCH($I3872,GradeList,0),0))</f>
        <v>0</v>
      </c>
      <c r="P3872" s="64" t="n">
        <f aca="false">IF(AND($M3872&gt;0,ISNUMBER(MATCH($F3872,Lists!$A$2:$A$5,0)),ISNUMBER(MATCH($G3872,Lists!$B$2:$B$7,0)),OR($H3872="",$N3872&gt;0),OR($I3872="",$I3872="NR",$O3872&gt;0),IF(ISNUMBER($J3872),AND($J3872&gt;=0,$J3872=INT($J3872)),FALSE())),$J3872,0)</f>
        <v>0</v>
      </c>
      <c r="Q3872" s="64" t="n">
        <f aca="false">IF(AND($P3872&gt;0,$O3872&gt;0),$P3872,0)</f>
        <v>0</v>
      </c>
      <c r="R3872" s="64" t="n">
        <f aca="false">IF(AND($Q3872&gt;0,$O3872&gt;=AtRank),$Q3872,0)</f>
        <v>0</v>
      </c>
      <c r="S3872" s="64" t="n">
        <f aca="false">IF(AND($Q3872&gt;0,$O3872&gt;=AboveRank),$Q3872,0)</f>
        <v>0</v>
      </c>
      <c r="T3872" s="64" t="n">
        <f aca="false">IF($K3872="Less",$P3872,0)</f>
        <v>0</v>
      </c>
      <c r="U3872" s="64" t="n">
        <f aca="false">IF($K3872="Expected",$P3872,0)</f>
        <v>0</v>
      </c>
      <c r="V3872" s="64" t="n">
        <f aca="false">IF($K3872="Better",$P3872,0)</f>
        <v>0</v>
      </c>
      <c r="W3872" s="64" t="n">
        <f aca="false">IF($K3872="U – needs rule",$P3872,0)</f>
        <v>0</v>
      </c>
      <c r="X3872" s="64" t="n">
        <f aca="false">IF($K3872="No Start (attainment only)",$P3872,0)</f>
        <v>0</v>
      </c>
    </row>
    <row r="3873" customFormat="false" ht="15" hidden="false" customHeight="false" outlineLevel="0" collapsed="false">
      <c r="A3873" s="60"/>
      <c r="B3873" s="61" t="str">
        <f aca="false">IF($M3873=0,"",INDEX(Classes!$E$6:$E$420,$M3873))</f>
        <v/>
      </c>
      <c r="C3873" s="62" t="str">
        <f aca="false">IF($M3873=0,"",INDEX(Classes!$H$6:$H$420,$M3873))</f>
        <v/>
      </c>
      <c r="D3873" s="61" t="str">
        <f aca="false">IF($M3873=0,"",INDEX(Classes!$B$6:$B$420,$M3873))</f>
        <v/>
      </c>
      <c r="E3873" s="61" t="str">
        <f aca="false">IF($M3873=0,"",INDEX(Classes!$C$6:$C$420,$M3873))</f>
        <v/>
      </c>
      <c r="F3873" s="63"/>
      <c r="G3873" s="63"/>
      <c r="H3873" s="60"/>
      <c r="I3873" s="60"/>
      <c r="J3873" s="63"/>
      <c r="K3873" s="61" t="str">
        <f aca="false">IF($P3873=0,"",IF($F3873="Baseline","— Baseline",IF($O3873=0,"No result",IF($N3873=0,"No Start (attainment only)",IF(OR($N3873=1,$O3873=1),"U – needs rule",INDEX(MxBody,MATCH($I3873,MxCurr,0),MATCH($H3873,MxStart,0)))))))</f>
        <v/>
      </c>
      <c r="L3873" s="62" t="str">
        <f aca="false">IF(COUNTA($A3873,$F3873,$G3873,$H3873,$I3873,$J3873)=0,"",IF($M3873=0,"✖ كود الصف غير موجود",IF(ISNA(MATCH($F3873,Lists!$A$2:$A$5,0)),"✖ الفترة غير صحيحة",IF(ISNA(MATCH($G3873,Lists!$B$2:$B$7,0)),"✖ المجموعة غير صحيحة",IF(NOT(OR($H3873="",$N3873&gt;0)),"✖ Start غير صحيح",IF(NOT(OR($I3873="",$I3873="NR",$O3873&gt;0)),"✖ Current غير صحيح",IF(NOT(IF(ISNUMBER($J3873),AND($J3873&gt;=0,$J3873=INT($J3873)),FALSE())),"✖ العدد يجب أن يكون صحيحًا ≥ 0",IF(AND($F3873="Baseline",$H3873&lt;&gt;""),"⚠ Baseline: Start لا يدخل في التقدم",IF($K3873="No Start (attainment only)","ℹ تحصيل فقط (بدون Start)",IF($K3873="U – needs rule","ℹ حالة U تحتاج قاعدة معتمدة",IF($K3873="No result","ℹ بدون نتيجة (يُستبعد من التحصيل)","OK")))))))))))</f>
        <v/>
      </c>
      <c r="M3873" s="64" t="n">
        <f aca="false">IF($A3873="",0,IFERROR(MATCH($A3873,Classes!$A$6:$A$420,0),0))</f>
        <v>0</v>
      </c>
      <c r="N3873" s="64" t="n">
        <f aca="false">IF($H3873="",0,IFERROR(MATCH($H3873,GradeList,0),0))</f>
        <v>0</v>
      </c>
      <c r="O3873" s="64" t="n">
        <f aca="false">IF(OR($I3873="",$I3873="NR"),0,IFERROR(MATCH($I3873,GradeList,0),0))</f>
        <v>0</v>
      </c>
      <c r="P3873" s="64" t="n">
        <f aca="false">IF(AND($M3873&gt;0,ISNUMBER(MATCH($F3873,Lists!$A$2:$A$5,0)),ISNUMBER(MATCH($G3873,Lists!$B$2:$B$7,0)),OR($H3873="",$N3873&gt;0),OR($I3873="",$I3873="NR",$O3873&gt;0),IF(ISNUMBER($J3873),AND($J3873&gt;=0,$J3873=INT($J3873)),FALSE())),$J3873,0)</f>
        <v>0</v>
      </c>
      <c r="Q3873" s="64" t="n">
        <f aca="false">IF(AND($P3873&gt;0,$O3873&gt;0),$P3873,0)</f>
        <v>0</v>
      </c>
      <c r="R3873" s="64" t="n">
        <f aca="false">IF(AND($Q3873&gt;0,$O3873&gt;=AtRank),$Q3873,0)</f>
        <v>0</v>
      </c>
      <c r="S3873" s="64" t="n">
        <f aca="false">IF(AND($Q3873&gt;0,$O3873&gt;=AboveRank),$Q3873,0)</f>
        <v>0</v>
      </c>
      <c r="T3873" s="64" t="n">
        <f aca="false">IF($K3873="Less",$P3873,0)</f>
        <v>0</v>
      </c>
      <c r="U3873" s="64" t="n">
        <f aca="false">IF($K3873="Expected",$P3873,0)</f>
        <v>0</v>
      </c>
      <c r="V3873" s="64" t="n">
        <f aca="false">IF($K3873="Better",$P3873,0)</f>
        <v>0</v>
      </c>
      <c r="W3873" s="64" t="n">
        <f aca="false">IF($K3873="U – needs rule",$P3873,0)</f>
        <v>0</v>
      </c>
      <c r="X3873" s="64" t="n">
        <f aca="false">IF($K3873="No Start (attainment only)",$P3873,0)</f>
        <v>0</v>
      </c>
    </row>
    <row r="3874" customFormat="false" ht="15" hidden="false" customHeight="false" outlineLevel="0" collapsed="false">
      <c r="A3874" s="60"/>
      <c r="B3874" s="61" t="str">
        <f aca="false">IF($M3874=0,"",INDEX(Classes!$E$6:$E$420,$M3874))</f>
        <v/>
      </c>
      <c r="C3874" s="62" t="str">
        <f aca="false">IF($M3874=0,"",INDEX(Classes!$H$6:$H$420,$M3874))</f>
        <v/>
      </c>
      <c r="D3874" s="61" t="str">
        <f aca="false">IF($M3874=0,"",INDEX(Classes!$B$6:$B$420,$M3874))</f>
        <v/>
      </c>
      <c r="E3874" s="61" t="str">
        <f aca="false">IF($M3874=0,"",INDEX(Classes!$C$6:$C$420,$M3874))</f>
        <v/>
      </c>
      <c r="F3874" s="63"/>
      <c r="G3874" s="63"/>
      <c r="H3874" s="60"/>
      <c r="I3874" s="60"/>
      <c r="J3874" s="63"/>
      <c r="K3874" s="61" t="str">
        <f aca="false">IF($P3874=0,"",IF($F3874="Baseline","— Baseline",IF($O3874=0,"No result",IF($N3874=0,"No Start (attainment only)",IF(OR($N3874=1,$O3874=1),"U – needs rule",INDEX(MxBody,MATCH($I3874,MxCurr,0),MATCH($H3874,MxStart,0)))))))</f>
        <v/>
      </c>
      <c r="L3874" s="62" t="str">
        <f aca="false">IF(COUNTA($A3874,$F3874,$G3874,$H3874,$I3874,$J3874)=0,"",IF($M3874=0,"✖ كود الصف غير موجود",IF(ISNA(MATCH($F3874,Lists!$A$2:$A$5,0)),"✖ الفترة غير صحيحة",IF(ISNA(MATCH($G3874,Lists!$B$2:$B$7,0)),"✖ المجموعة غير صحيحة",IF(NOT(OR($H3874="",$N3874&gt;0)),"✖ Start غير صحيح",IF(NOT(OR($I3874="",$I3874="NR",$O3874&gt;0)),"✖ Current غير صحيح",IF(NOT(IF(ISNUMBER($J3874),AND($J3874&gt;=0,$J3874=INT($J3874)),FALSE())),"✖ العدد يجب أن يكون صحيحًا ≥ 0",IF(AND($F3874="Baseline",$H3874&lt;&gt;""),"⚠ Baseline: Start لا يدخل في التقدم",IF($K3874="No Start (attainment only)","ℹ تحصيل فقط (بدون Start)",IF($K3874="U – needs rule","ℹ حالة U تحتاج قاعدة معتمدة",IF($K3874="No result","ℹ بدون نتيجة (يُستبعد من التحصيل)","OK")))))))))))</f>
        <v/>
      </c>
      <c r="M3874" s="64" t="n">
        <f aca="false">IF($A3874="",0,IFERROR(MATCH($A3874,Classes!$A$6:$A$420,0),0))</f>
        <v>0</v>
      </c>
      <c r="N3874" s="64" t="n">
        <f aca="false">IF($H3874="",0,IFERROR(MATCH($H3874,GradeList,0),0))</f>
        <v>0</v>
      </c>
      <c r="O3874" s="64" t="n">
        <f aca="false">IF(OR($I3874="",$I3874="NR"),0,IFERROR(MATCH($I3874,GradeList,0),0))</f>
        <v>0</v>
      </c>
      <c r="P3874" s="64" t="n">
        <f aca="false">IF(AND($M3874&gt;0,ISNUMBER(MATCH($F3874,Lists!$A$2:$A$5,0)),ISNUMBER(MATCH($G3874,Lists!$B$2:$B$7,0)),OR($H3874="",$N3874&gt;0),OR($I3874="",$I3874="NR",$O3874&gt;0),IF(ISNUMBER($J3874),AND($J3874&gt;=0,$J3874=INT($J3874)),FALSE())),$J3874,0)</f>
        <v>0</v>
      </c>
      <c r="Q3874" s="64" t="n">
        <f aca="false">IF(AND($P3874&gt;0,$O3874&gt;0),$P3874,0)</f>
        <v>0</v>
      </c>
      <c r="R3874" s="64" t="n">
        <f aca="false">IF(AND($Q3874&gt;0,$O3874&gt;=AtRank),$Q3874,0)</f>
        <v>0</v>
      </c>
      <c r="S3874" s="64" t="n">
        <f aca="false">IF(AND($Q3874&gt;0,$O3874&gt;=AboveRank),$Q3874,0)</f>
        <v>0</v>
      </c>
      <c r="T3874" s="64" t="n">
        <f aca="false">IF($K3874="Less",$P3874,0)</f>
        <v>0</v>
      </c>
      <c r="U3874" s="64" t="n">
        <f aca="false">IF($K3874="Expected",$P3874,0)</f>
        <v>0</v>
      </c>
      <c r="V3874" s="64" t="n">
        <f aca="false">IF($K3874="Better",$P3874,0)</f>
        <v>0</v>
      </c>
      <c r="W3874" s="64" t="n">
        <f aca="false">IF($K3874="U – needs rule",$P3874,0)</f>
        <v>0</v>
      </c>
      <c r="X3874" s="64" t="n">
        <f aca="false">IF($K3874="No Start (attainment only)",$P3874,0)</f>
        <v>0</v>
      </c>
    </row>
    <row r="3875" customFormat="false" ht="15" hidden="false" customHeight="false" outlineLevel="0" collapsed="false">
      <c r="A3875" s="60"/>
      <c r="B3875" s="61" t="str">
        <f aca="false">IF($M3875=0,"",INDEX(Classes!$E$6:$E$420,$M3875))</f>
        <v/>
      </c>
      <c r="C3875" s="62" t="str">
        <f aca="false">IF($M3875=0,"",INDEX(Classes!$H$6:$H$420,$M3875))</f>
        <v/>
      </c>
      <c r="D3875" s="61" t="str">
        <f aca="false">IF($M3875=0,"",INDEX(Classes!$B$6:$B$420,$M3875))</f>
        <v/>
      </c>
      <c r="E3875" s="61" t="str">
        <f aca="false">IF($M3875=0,"",INDEX(Classes!$C$6:$C$420,$M3875))</f>
        <v/>
      </c>
      <c r="F3875" s="63"/>
      <c r="G3875" s="63"/>
      <c r="H3875" s="60"/>
      <c r="I3875" s="60"/>
      <c r="J3875" s="63"/>
      <c r="K3875" s="61" t="str">
        <f aca="false">IF($P3875=0,"",IF($F3875="Baseline","— Baseline",IF($O3875=0,"No result",IF($N3875=0,"No Start (attainment only)",IF(OR($N3875=1,$O3875=1),"U – needs rule",INDEX(MxBody,MATCH($I3875,MxCurr,0),MATCH($H3875,MxStart,0)))))))</f>
        <v/>
      </c>
      <c r="L3875" s="62" t="str">
        <f aca="false">IF(COUNTA($A3875,$F3875,$G3875,$H3875,$I3875,$J3875)=0,"",IF($M3875=0,"✖ كود الصف غير موجود",IF(ISNA(MATCH($F3875,Lists!$A$2:$A$5,0)),"✖ الفترة غير صحيحة",IF(ISNA(MATCH($G3875,Lists!$B$2:$B$7,0)),"✖ المجموعة غير صحيحة",IF(NOT(OR($H3875="",$N3875&gt;0)),"✖ Start غير صحيح",IF(NOT(OR($I3875="",$I3875="NR",$O3875&gt;0)),"✖ Current غير صحيح",IF(NOT(IF(ISNUMBER($J3875),AND($J3875&gt;=0,$J3875=INT($J3875)),FALSE())),"✖ العدد يجب أن يكون صحيحًا ≥ 0",IF(AND($F3875="Baseline",$H3875&lt;&gt;""),"⚠ Baseline: Start لا يدخل في التقدم",IF($K3875="No Start (attainment only)","ℹ تحصيل فقط (بدون Start)",IF($K3875="U – needs rule","ℹ حالة U تحتاج قاعدة معتمدة",IF($K3875="No result","ℹ بدون نتيجة (يُستبعد من التحصيل)","OK")))))))))))</f>
        <v/>
      </c>
      <c r="M3875" s="64" t="n">
        <f aca="false">IF($A3875="",0,IFERROR(MATCH($A3875,Classes!$A$6:$A$420,0),0))</f>
        <v>0</v>
      </c>
      <c r="N3875" s="64" t="n">
        <f aca="false">IF($H3875="",0,IFERROR(MATCH($H3875,GradeList,0),0))</f>
        <v>0</v>
      </c>
      <c r="O3875" s="64" t="n">
        <f aca="false">IF(OR($I3875="",$I3875="NR"),0,IFERROR(MATCH($I3875,GradeList,0),0))</f>
        <v>0</v>
      </c>
      <c r="P3875" s="64" t="n">
        <f aca="false">IF(AND($M3875&gt;0,ISNUMBER(MATCH($F3875,Lists!$A$2:$A$5,0)),ISNUMBER(MATCH($G3875,Lists!$B$2:$B$7,0)),OR($H3875="",$N3875&gt;0),OR($I3875="",$I3875="NR",$O3875&gt;0),IF(ISNUMBER($J3875),AND($J3875&gt;=0,$J3875=INT($J3875)),FALSE())),$J3875,0)</f>
        <v>0</v>
      </c>
      <c r="Q3875" s="64" t="n">
        <f aca="false">IF(AND($P3875&gt;0,$O3875&gt;0),$P3875,0)</f>
        <v>0</v>
      </c>
      <c r="R3875" s="64" t="n">
        <f aca="false">IF(AND($Q3875&gt;0,$O3875&gt;=AtRank),$Q3875,0)</f>
        <v>0</v>
      </c>
      <c r="S3875" s="64" t="n">
        <f aca="false">IF(AND($Q3875&gt;0,$O3875&gt;=AboveRank),$Q3875,0)</f>
        <v>0</v>
      </c>
      <c r="T3875" s="64" t="n">
        <f aca="false">IF($K3875="Less",$P3875,0)</f>
        <v>0</v>
      </c>
      <c r="U3875" s="64" t="n">
        <f aca="false">IF($K3875="Expected",$P3875,0)</f>
        <v>0</v>
      </c>
      <c r="V3875" s="64" t="n">
        <f aca="false">IF($K3875="Better",$P3875,0)</f>
        <v>0</v>
      </c>
      <c r="W3875" s="64" t="n">
        <f aca="false">IF($K3875="U – needs rule",$P3875,0)</f>
        <v>0</v>
      </c>
      <c r="X3875" s="64" t="n">
        <f aca="false">IF($K3875="No Start (attainment only)",$P3875,0)</f>
        <v>0</v>
      </c>
    </row>
    <row r="3876" customFormat="false" ht="15" hidden="false" customHeight="false" outlineLevel="0" collapsed="false">
      <c r="A3876" s="60"/>
      <c r="B3876" s="61" t="str">
        <f aca="false">IF($M3876=0,"",INDEX(Classes!$E$6:$E$420,$M3876))</f>
        <v/>
      </c>
      <c r="C3876" s="62" t="str">
        <f aca="false">IF($M3876=0,"",INDEX(Classes!$H$6:$H$420,$M3876))</f>
        <v/>
      </c>
      <c r="D3876" s="61" t="str">
        <f aca="false">IF($M3876=0,"",INDEX(Classes!$B$6:$B$420,$M3876))</f>
        <v/>
      </c>
      <c r="E3876" s="61" t="str">
        <f aca="false">IF($M3876=0,"",INDEX(Classes!$C$6:$C$420,$M3876))</f>
        <v/>
      </c>
      <c r="F3876" s="63"/>
      <c r="G3876" s="63"/>
      <c r="H3876" s="60"/>
      <c r="I3876" s="60"/>
      <c r="J3876" s="63"/>
      <c r="K3876" s="61" t="str">
        <f aca="false">IF($P3876=0,"",IF($F3876="Baseline","— Baseline",IF($O3876=0,"No result",IF($N3876=0,"No Start (attainment only)",IF(OR($N3876=1,$O3876=1),"U – needs rule",INDEX(MxBody,MATCH($I3876,MxCurr,0),MATCH($H3876,MxStart,0)))))))</f>
        <v/>
      </c>
      <c r="L3876" s="62" t="str">
        <f aca="false">IF(COUNTA($A3876,$F3876,$G3876,$H3876,$I3876,$J3876)=0,"",IF($M3876=0,"✖ كود الصف غير موجود",IF(ISNA(MATCH($F3876,Lists!$A$2:$A$5,0)),"✖ الفترة غير صحيحة",IF(ISNA(MATCH($G3876,Lists!$B$2:$B$7,0)),"✖ المجموعة غير صحيحة",IF(NOT(OR($H3876="",$N3876&gt;0)),"✖ Start غير صحيح",IF(NOT(OR($I3876="",$I3876="NR",$O3876&gt;0)),"✖ Current غير صحيح",IF(NOT(IF(ISNUMBER($J3876),AND($J3876&gt;=0,$J3876=INT($J3876)),FALSE())),"✖ العدد يجب أن يكون صحيحًا ≥ 0",IF(AND($F3876="Baseline",$H3876&lt;&gt;""),"⚠ Baseline: Start لا يدخل في التقدم",IF($K3876="No Start (attainment only)","ℹ تحصيل فقط (بدون Start)",IF($K3876="U – needs rule","ℹ حالة U تحتاج قاعدة معتمدة",IF($K3876="No result","ℹ بدون نتيجة (يُستبعد من التحصيل)","OK")))))))))))</f>
        <v/>
      </c>
      <c r="M3876" s="64" t="n">
        <f aca="false">IF($A3876="",0,IFERROR(MATCH($A3876,Classes!$A$6:$A$420,0),0))</f>
        <v>0</v>
      </c>
      <c r="N3876" s="64" t="n">
        <f aca="false">IF($H3876="",0,IFERROR(MATCH($H3876,GradeList,0),0))</f>
        <v>0</v>
      </c>
      <c r="O3876" s="64" t="n">
        <f aca="false">IF(OR($I3876="",$I3876="NR"),0,IFERROR(MATCH($I3876,GradeList,0),0))</f>
        <v>0</v>
      </c>
      <c r="P3876" s="64" t="n">
        <f aca="false">IF(AND($M3876&gt;0,ISNUMBER(MATCH($F3876,Lists!$A$2:$A$5,0)),ISNUMBER(MATCH($G3876,Lists!$B$2:$B$7,0)),OR($H3876="",$N3876&gt;0),OR($I3876="",$I3876="NR",$O3876&gt;0),IF(ISNUMBER($J3876),AND($J3876&gt;=0,$J3876=INT($J3876)),FALSE())),$J3876,0)</f>
        <v>0</v>
      </c>
      <c r="Q3876" s="64" t="n">
        <f aca="false">IF(AND($P3876&gt;0,$O3876&gt;0),$P3876,0)</f>
        <v>0</v>
      </c>
      <c r="R3876" s="64" t="n">
        <f aca="false">IF(AND($Q3876&gt;0,$O3876&gt;=AtRank),$Q3876,0)</f>
        <v>0</v>
      </c>
      <c r="S3876" s="64" t="n">
        <f aca="false">IF(AND($Q3876&gt;0,$O3876&gt;=AboveRank),$Q3876,0)</f>
        <v>0</v>
      </c>
      <c r="T3876" s="64" t="n">
        <f aca="false">IF($K3876="Less",$P3876,0)</f>
        <v>0</v>
      </c>
      <c r="U3876" s="64" t="n">
        <f aca="false">IF($K3876="Expected",$P3876,0)</f>
        <v>0</v>
      </c>
      <c r="V3876" s="64" t="n">
        <f aca="false">IF($K3876="Better",$P3876,0)</f>
        <v>0</v>
      </c>
      <c r="W3876" s="64" t="n">
        <f aca="false">IF($K3876="U – needs rule",$P3876,0)</f>
        <v>0</v>
      </c>
      <c r="X3876" s="64" t="n">
        <f aca="false">IF($K3876="No Start (attainment only)",$P3876,0)</f>
        <v>0</v>
      </c>
    </row>
    <row r="3877" customFormat="false" ht="15" hidden="false" customHeight="false" outlineLevel="0" collapsed="false">
      <c r="A3877" s="60"/>
      <c r="B3877" s="61" t="str">
        <f aca="false">IF($M3877=0,"",INDEX(Classes!$E$6:$E$420,$M3877))</f>
        <v/>
      </c>
      <c r="C3877" s="62" t="str">
        <f aca="false">IF($M3877=0,"",INDEX(Classes!$H$6:$H$420,$M3877))</f>
        <v/>
      </c>
      <c r="D3877" s="61" t="str">
        <f aca="false">IF($M3877=0,"",INDEX(Classes!$B$6:$B$420,$M3877))</f>
        <v/>
      </c>
      <c r="E3877" s="61" t="str">
        <f aca="false">IF($M3877=0,"",INDEX(Classes!$C$6:$C$420,$M3877))</f>
        <v/>
      </c>
      <c r="F3877" s="63"/>
      <c r="G3877" s="63"/>
      <c r="H3877" s="60"/>
      <c r="I3877" s="60"/>
      <c r="J3877" s="63"/>
      <c r="K3877" s="61" t="str">
        <f aca="false">IF($P3877=0,"",IF($F3877="Baseline","— Baseline",IF($O3877=0,"No result",IF($N3877=0,"No Start (attainment only)",IF(OR($N3877=1,$O3877=1),"U – needs rule",INDEX(MxBody,MATCH($I3877,MxCurr,0),MATCH($H3877,MxStart,0)))))))</f>
        <v/>
      </c>
      <c r="L3877" s="62" t="str">
        <f aca="false">IF(COUNTA($A3877,$F3877,$G3877,$H3877,$I3877,$J3877)=0,"",IF($M3877=0,"✖ كود الصف غير موجود",IF(ISNA(MATCH($F3877,Lists!$A$2:$A$5,0)),"✖ الفترة غير صحيحة",IF(ISNA(MATCH($G3877,Lists!$B$2:$B$7,0)),"✖ المجموعة غير صحيحة",IF(NOT(OR($H3877="",$N3877&gt;0)),"✖ Start غير صحيح",IF(NOT(OR($I3877="",$I3877="NR",$O3877&gt;0)),"✖ Current غير صحيح",IF(NOT(IF(ISNUMBER($J3877),AND($J3877&gt;=0,$J3877=INT($J3877)),FALSE())),"✖ العدد يجب أن يكون صحيحًا ≥ 0",IF(AND($F3877="Baseline",$H3877&lt;&gt;""),"⚠ Baseline: Start لا يدخل في التقدم",IF($K3877="No Start (attainment only)","ℹ تحصيل فقط (بدون Start)",IF($K3877="U – needs rule","ℹ حالة U تحتاج قاعدة معتمدة",IF($K3877="No result","ℹ بدون نتيجة (يُستبعد من التحصيل)","OK")))))))))))</f>
        <v/>
      </c>
      <c r="M3877" s="64" t="n">
        <f aca="false">IF($A3877="",0,IFERROR(MATCH($A3877,Classes!$A$6:$A$420,0),0))</f>
        <v>0</v>
      </c>
      <c r="N3877" s="64" t="n">
        <f aca="false">IF($H3877="",0,IFERROR(MATCH($H3877,GradeList,0),0))</f>
        <v>0</v>
      </c>
      <c r="O3877" s="64" t="n">
        <f aca="false">IF(OR($I3877="",$I3877="NR"),0,IFERROR(MATCH($I3877,GradeList,0),0))</f>
        <v>0</v>
      </c>
      <c r="P3877" s="64" t="n">
        <f aca="false">IF(AND($M3877&gt;0,ISNUMBER(MATCH($F3877,Lists!$A$2:$A$5,0)),ISNUMBER(MATCH($G3877,Lists!$B$2:$B$7,0)),OR($H3877="",$N3877&gt;0),OR($I3877="",$I3877="NR",$O3877&gt;0),IF(ISNUMBER($J3877),AND($J3877&gt;=0,$J3877=INT($J3877)),FALSE())),$J3877,0)</f>
        <v>0</v>
      </c>
      <c r="Q3877" s="64" t="n">
        <f aca="false">IF(AND($P3877&gt;0,$O3877&gt;0),$P3877,0)</f>
        <v>0</v>
      </c>
      <c r="R3877" s="64" t="n">
        <f aca="false">IF(AND($Q3877&gt;0,$O3877&gt;=AtRank),$Q3877,0)</f>
        <v>0</v>
      </c>
      <c r="S3877" s="64" t="n">
        <f aca="false">IF(AND($Q3877&gt;0,$O3877&gt;=AboveRank),$Q3877,0)</f>
        <v>0</v>
      </c>
      <c r="T3877" s="64" t="n">
        <f aca="false">IF($K3877="Less",$P3877,0)</f>
        <v>0</v>
      </c>
      <c r="U3877" s="64" t="n">
        <f aca="false">IF($K3877="Expected",$P3877,0)</f>
        <v>0</v>
      </c>
      <c r="V3877" s="64" t="n">
        <f aca="false">IF($K3877="Better",$P3877,0)</f>
        <v>0</v>
      </c>
      <c r="W3877" s="64" t="n">
        <f aca="false">IF($K3877="U – needs rule",$P3877,0)</f>
        <v>0</v>
      </c>
      <c r="X3877" s="64" t="n">
        <f aca="false">IF($K3877="No Start (attainment only)",$P3877,0)</f>
        <v>0</v>
      </c>
    </row>
    <row r="3878" customFormat="false" ht="15" hidden="false" customHeight="false" outlineLevel="0" collapsed="false">
      <c r="A3878" s="60"/>
      <c r="B3878" s="61" t="str">
        <f aca="false">IF($M3878=0,"",INDEX(Classes!$E$6:$E$420,$M3878))</f>
        <v/>
      </c>
      <c r="C3878" s="62" t="str">
        <f aca="false">IF($M3878=0,"",INDEX(Classes!$H$6:$H$420,$M3878))</f>
        <v/>
      </c>
      <c r="D3878" s="61" t="str">
        <f aca="false">IF($M3878=0,"",INDEX(Classes!$B$6:$B$420,$M3878))</f>
        <v/>
      </c>
      <c r="E3878" s="61" t="str">
        <f aca="false">IF($M3878=0,"",INDEX(Classes!$C$6:$C$420,$M3878))</f>
        <v/>
      </c>
      <c r="F3878" s="63"/>
      <c r="G3878" s="63"/>
      <c r="H3878" s="60"/>
      <c r="I3878" s="60"/>
      <c r="J3878" s="63"/>
      <c r="K3878" s="61" t="str">
        <f aca="false">IF($P3878=0,"",IF($F3878="Baseline","— Baseline",IF($O3878=0,"No result",IF($N3878=0,"No Start (attainment only)",IF(OR($N3878=1,$O3878=1),"U – needs rule",INDEX(MxBody,MATCH($I3878,MxCurr,0),MATCH($H3878,MxStart,0)))))))</f>
        <v/>
      </c>
      <c r="L3878" s="62" t="str">
        <f aca="false">IF(COUNTA($A3878,$F3878,$G3878,$H3878,$I3878,$J3878)=0,"",IF($M3878=0,"✖ كود الصف غير موجود",IF(ISNA(MATCH($F3878,Lists!$A$2:$A$5,0)),"✖ الفترة غير صحيحة",IF(ISNA(MATCH($G3878,Lists!$B$2:$B$7,0)),"✖ المجموعة غير صحيحة",IF(NOT(OR($H3878="",$N3878&gt;0)),"✖ Start غير صحيح",IF(NOT(OR($I3878="",$I3878="NR",$O3878&gt;0)),"✖ Current غير صحيح",IF(NOT(IF(ISNUMBER($J3878),AND($J3878&gt;=0,$J3878=INT($J3878)),FALSE())),"✖ العدد يجب أن يكون صحيحًا ≥ 0",IF(AND($F3878="Baseline",$H3878&lt;&gt;""),"⚠ Baseline: Start لا يدخل في التقدم",IF($K3878="No Start (attainment only)","ℹ تحصيل فقط (بدون Start)",IF($K3878="U – needs rule","ℹ حالة U تحتاج قاعدة معتمدة",IF($K3878="No result","ℹ بدون نتيجة (يُستبعد من التحصيل)","OK")))))))))))</f>
        <v/>
      </c>
      <c r="M3878" s="64" t="n">
        <f aca="false">IF($A3878="",0,IFERROR(MATCH($A3878,Classes!$A$6:$A$420,0),0))</f>
        <v>0</v>
      </c>
      <c r="N3878" s="64" t="n">
        <f aca="false">IF($H3878="",0,IFERROR(MATCH($H3878,GradeList,0),0))</f>
        <v>0</v>
      </c>
      <c r="O3878" s="64" t="n">
        <f aca="false">IF(OR($I3878="",$I3878="NR"),0,IFERROR(MATCH($I3878,GradeList,0),0))</f>
        <v>0</v>
      </c>
      <c r="P3878" s="64" t="n">
        <f aca="false">IF(AND($M3878&gt;0,ISNUMBER(MATCH($F3878,Lists!$A$2:$A$5,0)),ISNUMBER(MATCH($G3878,Lists!$B$2:$B$7,0)),OR($H3878="",$N3878&gt;0),OR($I3878="",$I3878="NR",$O3878&gt;0),IF(ISNUMBER($J3878),AND($J3878&gt;=0,$J3878=INT($J3878)),FALSE())),$J3878,0)</f>
        <v>0</v>
      </c>
      <c r="Q3878" s="64" t="n">
        <f aca="false">IF(AND($P3878&gt;0,$O3878&gt;0),$P3878,0)</f>
        <v>0</v>
      </c>
      <c r="R3878" s="64" t="n">
        <f aca="false">IF(AND($Q3878&gt;0,$O3878&gt;=AtRank),$Q3878,0)</f>
        <v>0</v>
      </c>
      <c r="S3878" s="64" t="n">
        <f aca="false">IF(AND($Q3878&gt;0,$O3878&gt;=AboveRank),$Q3878,0)</f>
        <v>0</v>
      </c>
      <c r="T3878" s="64" t="n">
        <f aca="false">IF($K3878="Less",$P3878,0)</f>
        <v>0</v>
      </c>
      <c r="U3878" s="64" t="n">
        <f aca="false">IF($K3878="Expected",$P3878,0)</f>
        <v>0</v>
      </c>
      <c r="V3878" s="64" t="n">
        <f aca="false">IF($K3878="Better",$P3878,0)</f>
        <v>0</v>
      </c>
      <c r="W3878" s="64" t="n">
        <f aca="false">IF($K3878="U – needs rule",$P3878,0)</f>
        <v>0</v>
      </c>
      <c r="X3878" s="64" t="n">
        <f aca="false">IF($K3878="No Start (attainment only)",$P3878,0)</f>
        <v>0</v>
      </c>
    </row>
    <row r="3879" customFormat="false" ht="15" hidden="false" customHeight="false" outlineLevel="0" collapsed="false">
      <c r="A3879" s="60"/>
      <c r="B3879" s="61" t="str">
        <f aca="false">IF($M3879=0,"",INDEX(Classes!$E$6:$E$420,$M3879))</f>
        <v/>
      </c>
      <c r="C3879" s="62" t="str">
        <f aca="false">IF($M3879=0,"",INDEX(Classes!$H$6:$H$420,$M3879))</f>
        <v/>
      </c>
      <c r="D3879" s="61" t="str">
        <f aca="false">IF($M3879=0,"",INDEX(Classes!$B$6:$B$420,$M3879))</f>
        <v/>
      </c>
      <c r="E3879" s="61" t="str">
        <f aca="false">IF($M3879=0,"",INDEX(Classes!$C$6:$C$420,$M3879))</f>
        <v/>
      </c>
      <c r="F3879" s="63"/>
      <c r="G3879" s="63"/>
      <c r="H3879" s="60"/>
      <c r="I3879" s="60"/>
      <c r="J3879" s="63"/>
      <c r="K3879" s="61" t="str">
        <f aca="false">IF($P3879=0,"",IF($F3879="Baseline","— Baseline",IF($O3879=0,"No result",IF($N3879=0,"No Start (attainment only)",IF(OR($N3879=1,$O3879=1),"U – needs rule",INDEX(MxBody,MATCH($I3879,MxCurr,0),MATCH($H3879,MxStart,0)))))))</f>
        <v/>
      </c>
      <c r="L3879" s="62" t="str">
        <f aca="false">IF(COUNTA($A3879,$F3879,$G3879,$H3879,$I3879,$J3879)=0,"",IF($M3879=0,"✖ كود الصف غير موجود",IF(ISNA(MATCH($F3879,Lists!$A$2:$A$5,0)),"✖ الفترة غير صحيحة",IF(ISNA(MATCH($G3879,Lists!$B$2:$B$7,0)),"✖ المجموعة غير صحيحة",IF(NOT(OR($H3879="",$N3879&gt;0)),"✖ Start غير صحيح",IF(NOT(OR($I3879="",$I3879="NR",$O3879&gt;0)),"✖ Current غير صحيح",IF(NOT(IF(ISNUMBER($J3879),AND($J3879&gt;=0,$J3879=INT($J3879)),FALSE())),"✖ العدد يجب أن يكون صحيحًا ≥ 0",IF(AND($F3879="Baseline",$H3879&lt;&gt;""),"⚠ Baseline: Start لا يدخل في التقدم",IF($K3879="No Start (attainment only)","ℹ تحصيل فقط (بدون Start)",IF($K3879="U – needs rule","ℹ حالة U تحتاج قاعدة معتمدة",IF($K3879="No result","ℹ بدون نتيجة (يُستبعد من التحصيل)","OK")))))))))))</f>
        <v/>
      </c>
      <c r="M3879" s="64" t="n">
        <f aca="false">IF($A3879="",0,IFERROR(MATCH($A3879,Classes!$A$6:$A$420,0),0))</f>
        <v>0</v>
      </c>
      <c r="N3879" s="64" t="n">
        <f aca="false">IF($H3879="",0,IFERROR(MATCH($H3879,GradeList,0),0))</f>
        <v>0</v>
      </c>
      <c r="O3879" s="64" t="n">
        <f aca="false">IF(OR($I3879="",$I3879="NR"),0,IFERROR(MATCH($I3879,GradeList,0),0))</f>
        <v>0</v>
      </c>
      <c r="P3879" s="64" t="n">
        <f aca="false">IF(AND($M3879&gt;0,ISNUMBER(MATCH($F3879,Lists!$A$2:$A$5,0)),ISNUMBER(MATCH($G3879,Lists!$B$2:$B$7,0)),OR($H3879="",$N3879&gt;0),OR($I3879="",$I3879="NR",$O3879&gt;0),IF(ISNUMBER($J3879),AND($J3879&gt;=0,$J3879=INT($J3879)),FALSE())),$J3879,0)</f>
        <v>0</v>
      </c>
      <c r="Q3879" s="64" t="n">
        <f aca="false">IF(AND($P3879&gt;0,$O3879&gt;0),$P3879,0)</f>
        <v>0</v>
      </c>
      <c r="R3879" s="64" t="n">
        <f aca="false">IF(AND($Q3879&gt;0,$O3879&gt;=AtRank),$Q3879,0)</f>
        <v>0</v>
      </c>
      <c r="S3879" s="64" t="n">
        <f aca="false">IF(AND($Q3879&gt;0,$O3879&gt;=AboveRank),$Q3879,0)</f>
        <v>0</v>
      </c>
      <c r="T3879" s="64" t="n">
        <f aca="false">IF($K3879="Less",$P3879,0)</f>
        <v>0</v>
      </c>
      <c r="U3879" s="64" t="n">
        <f aca="false">IF($K3879="Expected",$P3879,0)</f>
        <v>0</v>
      </c>
      <c r="V3879" s="64" t="n">
        <f aca="false">IF($K3879="Better",$P3879,0)</f>
        <v>0</v>
      </c>
      <c r="W3879" s="64" t="n">
        <f aca="false">IF($K3879="U – needs rule",$P3879,0)</f>
        <v>0</v>
      </c>
      <c r="X3879" s="64" t="n">
        <f aca="false">IF($K3879="No Start (attainment only)",$P3879,0)</f>
        <v>0</v>
      </c>
    </row>
    <row r="3880" customFormat="false" ht="15" hidden="false" customHeight="false" outlineLevel="0" collapsed="false">
      <c r="A3880" s="60"/>
      <c r="B3880" s="61" t="str">
        <f aca="false">IF($M3880=0,"",INDEX(Classes!$E$6:$E$420,$M3880))</f>
        <v/>
      </c>
      <c r="C3880" s="62" t="str">
        <f aca="false">IF($M3880=0,"",INDEX(Classes!$H$6:$H$420,$M3880))</f>
        <v/>
      </c>
      <c r="D3880" s="61" t="str">
        <f aca="false">IF($M3880=0,"",INDEX(Classes!$B$6:$B$420,$M3880))</f>
        <v/>
      </c>
      <c r="E3880" s="61" t="str">
        <f aca="false">IF($M3880=0,"",INDEX(Classes!$C$6:$C$420,$M3880))</f>
        <v/>
      </c>
      <c r="F3880" s="63"/>
      <c r="G3880" s="63"/>
      <c r="H3880" s="60"/>
      <c r="I3880" s="60"/>
      <c r="J3880" s="63"/>
      <c r="K3880" s="61" t="str">
        <f aca="false">IF($P3880=0,"",IF($F3880="Baseline","— Baseline",IF($O3880=0,"No result",IF($N3880=0,"No Start (attainment only)",IF(OR($N3880=1,$O3880=1),"U – needs rule",INDEX(MxBody,MATCH($I3880,MxCurr,0),MATCH($H3880,MxStart,0)))))))</f>
        <v/>
      </c>
      <c r="L3880" s="62" t="str">
        <f aca="false">IF(COUNTA($A3880,$F3880,$G3880,$H3880,$I3880,$J3880)=0,"",IF($M3880=0,"✖ كود الصف غير موجود",IF(ISNA(MATCH($F3880,Lists!$A$2:$A$5,0)),"✖ الفترة غير صحيحة",IF(ISNA(MATCH($G3880,Lists!$B$2:$B$7,0)),"✖ المجموعة غير صحيحة",IF(NOT(OR($H3880="",$N3880&gt;0)),"✖ Start غير صحيح",IF(NOT(OR($I3880="",$I3880="NR",$O3880&gt;0)),"✖ Current غير صحيح",IF(NOT(IF(ISNUMBER($J3880),AND($J3880&gt;=0,$J3880=INT($J3880)),FALSE())),"✖ العدد يجب أن يكون صحيحًا ≥ 0",IF(AND($F3880="Baseline",$H3880&lt;&gt;""),"⚠ Baseline: Start لا يدخل في التقدم",IF($K3880="No Start (attainment only)","ℹ تحصيل فقط (بدون Start)",IF($K3880="U – needs rule","ℹ حالة U تحتاج قاعدة معتمدة",IF($K3880="No result","ℹ بدون نتيجة (يُستبعد من التحصيل)","OK")))))))))))</f>
        <v/>
      </c>
      <c r="M3880" s="64" t="n">
        <f aca="false">IF($A3880="",0,IFERROR(MATCH($A3880,Classes!$A$6:$A$420,0),0))</f>
        <v>0</v>
      </c>
      <c r="N3880" s="64" t="n">
        <f aca="false">IF($H3880="",0,IFERROR(MATCH($H3880,GradeList,0),0))</f>
        <v>0</v>
      </c>
      <c r="O3880" s="64" t="n">
        <f aca="false">IF(OR($I3880="",$I3880="NR"),0,IFERROR(MATCH($I3880,GradeList,0),0))</f>
        <v>0</v>
      </c>
      <c r="P3880" s="64" t="n">
        <f aca="false">IF(AND($M3880&gt;0,ISNUMBER(MATCH($F3880,Lists!$A$2:$A$5,0)),ISNUMBER(MATCH($G3880,Lists!$B$2:$B$7,0)),OR($H3880="",$N3880&gt;0),OR($I3880="",$I3880="NR",$O3880&gt;0),IF(ISNUMBER($J3880),AND($J3880&gt;=0,$J3880=INT($J3880)),FALSE())),$J3880,0)</f>
        <v>0</v>
      </c>
      <c r="Q3880" s="64" t="n">
        <f aca="false">IF(AND($P3880&gt;0,$O3880&gt;0),$P3880,0)</f>
        <v>0</v>
      </c>
      <c r="R3880" s="64" t="n">
        <f aca="false">IF(AND($Q3880&gt;0,$O3880&gt;=AtRank),$Q3880,0)</f>
        <v>0</v>
      </c>
      <c r="S3880" s="64" t="n">
        <f aca="false">IF(AND($Q3880&gt;0,$O3880&gt;=AboveRank),$Q3880,0)</f>
        <v>0</v>
      </c>
      <c r="T3880" s="64" t="n">
        <f aca="false">IF($K3880="Less",$P3880,0)</f>
        <v>0</v>
      </c>
      <c r="U3880" s="64" t="n">
        <f aca="false">IF($K3880="Expected",$P3880,0)</f>
        <v>0</v>
      </c>
      <c r="V3880" s="64" t="n">
        <f aca="false">IF($K3880="Better",$P3880,0)</f>
        <v>0</v>
      </c>
      <c r="W3880" s="64" t="n">
        <f aca="false">IF($K3880="U – needs rule",$P3880,0)</f>
        <v>0</v>
      </c>
      <c r="X3880" s="64" t="n">
        <f aca="false">IF($K3880="No Start (attainment only)",$P3880,0)</f>
        <v>0</v>
      </c>
    </row>
    <row r="3881" customFormat="false" ht="15" hidden="false" customHeight="false" outlineLevel="0" collapsed="false">
      <c r="A3881" s="60"/>
      <c r="B3881" s="61" t="str">
        <f aca="false">IF($M3881=0,"",INDEX(Classes!$E$6:$E$420,$M3881))</f>
        <v/>
      </c>
      <c r="C3881" s="62" t="str">
        <f aca="false">IF($M3881=0,"",INDEX(Classes!$H$6:$H$420,$M3881))</f>
        <v/>
      </c>
      <c r="D3881" s="61" t="str">
        <f aca="false">IF($M3881=0,"",INDEX(Classes!$B$6:$B$420,$M3881))</f>
        <v/>
      </c>
      <c r="E3881" s="61" t="str">
        <f aca="false">IF($M3881=0,"",INDEX(Classes!$C$6:$C$420,$M3881))</f>
        <v/>
      </c>
      <c r="F3881" s="63"/>
      <c r="G3881" s="63"/>
      <c r="H3881" s="60"/>
      <c r="I3881" s="60"/>
      <c r="J3881" s="63"/>
      <c r="K3881" s="61" t="str">
        <f aca="false">IF($P3881=0,"",IF($F3881="Baseline","— Baseline",IF($O3881=0,"No result",IF($N3881=0,"No Start (attainment only)",IF(OR($N3881=1,$O3881=1),"U – needs rule",INDEX(MxBody,MATCH($I3881,MxCurr,0),MATCH($H3881,MxStart,0)))))))</f>
        <v/>
      </c>
      <c r="L3881" s="62" t="str">
        <f aca="false">IF(COUNTA($A3881,$F3881,$G3881,$H3881,$I3881,$J3881)=0,"",IF($M3881=0,"✖ كود الصف غير موجود",IF(ISNA(MATCH($F3881,Lists!$A$2:$A$5,0)),"✖ الفترة غير صحيحة",IF(ISNA(MATCH($G3881,Lists!$B$2:$B$7,0)),"✖ المجموعة غير صحيحة",IF(NOT(OR($H3881="",$N3881&gt;0)),"✖ Start غير صحيح",IF(NOT(OR($I3881="",$I3881="NR",$O3881&gt;0)),"✖ Current غير صحيح",IF(NOT(IF(ISNUMBER($J3881),AND($J3881&gt;=0,$J3881=INT($J3881)),FALSE())),"✖ العدد يجب أن يكون صحيحًا ≥ 0",IF(AND($F3881="Baseline",$H3881&lt;&gt;""),"⚠ Baseline: Start لا يدخل في التقدم",IF($K3881="No Start (attainment only)","ℹ تحصيل فقط (بدون Start)",IF($K3881="U – needs rule","ℹ حالة U تحتاج قاعدة معتمدة",IF($K3881="No result","ℹ بدون نتيجة (يُستبعد من التحصيل)","OK")))))))))))</f>
        <v/>
      </c>
      <c r="M3881" s="64" t="n">
        <f aca="false">IF($A3881="",0,IFERROR(MATCH($A3881,Classes!$A$6:$A$420,0),0))</f>
        <v>0</v>
      </c>
      <c r="N3881" s="64" t="n">
        <f aca="false">IF($H3881="",0,IFERROR(MATCH($H3881,GradeList,0),0))</f>
        <v>0</v>
      </c>
      <c r="O3881" s="64" t="n">
        <f aca="false">IF(OR($I3881="",$I3881="NR"),0,IFERROR(MATCH($I3881,GradeList,0),0))</f>
        <v>0</v>
      </c>
      <c r="P3881" s="64" t="n">
        <f aca="false">IF(AND($M3881&gt;0,ISNUMBER(MATCH($F3881,Lists!$A$2:$A$5,0)),ISNUMBER(MATCH($G3881,Lists!$B$2:$B$7,0)),OR($H3881="",$N3881&gt;0),OR($I3881="",$I3881="NR",$O3881&gt;0),IF(ISNUMBER($J3881),AND($J3881&gt;=0,$J3881=INT($J3881)),FALSE())),$J3881,0)</f>
        <v>0</v>
      </c>
      <c r="Q3881" s="64" t="n">
        <f aca="false">IF(AND($P3881&gt;0,$O3881&gt;0),$P3881,0)</f>
        <v>0</v>
      </c>
      <c r="R3881" s="64" t="n">
        <f aca="false">IF(AND($Q3881&gt;0,$O3881&gt;=AtRank),$Q3881,0)</f>
        <v>0</v>
      </c>
      <c r="S3881" s="64" t="n">
        <f aca="false">IF(AND($Q3881&gt;0,$O3881&gt;=AboveRank),$Q3881,0)</f>
        <v>0</v>
      </c>
      <c r="T3881" s="64" t="n">
        <f aca="false">IF($K3881="Less",$P3881,0)</f>
        <v>0</v>
      </c>
      <c r="U3881" s="64" t="n">
        <f aca="false">IF($K3881="Expected",$P3881,0)</f>
        <v>0</v>
      </c>
      <c r="V3881" s="64" t="n">
        <f aca="false">IF($K3881="Better",$P3881,0)</f>
        <v>0</v>
      </c>
      <c r="W3881" s="64" t="n">
        <f aca="false">IF($K3881="U – needs rule",$P3881,0)</f>
        <v>0</v>
      </c>
      <c r="X3881" s="64" t="n">
        <f aca="false">IF($K3881="No Start (attainment only)",$P3881,0)</f>
        <v>0</v>
      </c>
    </row>
    <row r="3882" customFormat="false" ht="15" hidden="false" customHeight="false" outlineLevel="0" collapsed="false">
      <c r="A3882" s="60"/>
      <c r="B3882" s="61" t="str">
        <f aca="false">IF($M3882=0,"",INDEX(Classes!$E$6:$E$420,$M3882))</f>
        <v/>
      </c>
      <c r="C3882" s="62" t="str">
        <f aca="false">IF($M3882=0,"",INDEX(Classes!$H$6:$H$420,$M3882))</f>
        <v/>
      </c>
      <c r="D3882" s="61" t="str">
        <f aca="false">IF($M3882=0,"",INDEX(Classes!$B$6:$B$420,$M3882))</f>
        <v/>
      </c>
      <c r="E3882" s="61" t="str">
        <f aca="false">IF($M3882=0,"",INDEX(Classes!$C$6:$C$420,$M3882))</f>
        <v/>
      </c>
      <c r="F3882" s="63"/>
      <c r="G3882" s="63"/>
      <c r="H3882" s="60"/>
      <c r="I3882" s="60"/>
      <c r="J3882" s="63"/>
      <c r="K3882" s="61" t="str">
        <f aca="false">IF($P3882=0,"",IF($F3882="Baseline","— Baseline",IF($O3882=0,"No result",IF($N3882=0,"No Start (attainment only)",IF(OR($N3882=1,$O3882=1),"U – needs rule",INDEX(MxBody,MATCH($I3882,MxCurr,0),MATCH($H3882,MxStart,0)))))))</f>
        <v/>
      </c>
      <c r="L3882" s="62" t="str">
        <f aca="false">IF(COUNTA($A3882,$F3882,$G3882,$H3882,$I3882,$J3882)=0,"",IF($M3882=0,"✖ كود الصف غير موجود",IF(ISNA(MATCH($F3882,Lists!$A$2:$A$5,0)),"✖ الفترة غير صحيحة",IF(ISNA(MATCH($G3882,Lists!$B$2:$B$7,0)),"✖ المجموعة غير صحيحة",IF(NOT(OR($H3882="",$N3882&gt;0)),"✖ Start غير صحيح",IF(NOT(OR($I3882="",$I3882="NR",$O3882&gt;0)),"✖ Current غير صحيح",IF(NOT(IF(ISNUMBER($J3882),AND($J3882&gt;=0,$J3882=INT($J3882)),FALSE())),"✖ العدد يجب أن يكون صحيحًا ≥ 0",IF(AND($F3882="Baseline",$H3882&lt;&gt;""),"⚠ Baseline: Start لا يدخل في التقدم",IF($K3882="No Start (attainment only)","ℹ تحصيل فقط (بدون Start)",IF($K3882="U – needs rule","ℹ حالة U تحتاج قاعدة معتمدة",IF($K3882="No result","ℹ بدون نتيجة (يُستبعد من التحصيل)","OK")))))))))))</f>
        <v/>
      </c>
      <c r="M3882" s="64" t="n">
        <f aca="false">IF($A3882="",0,IFERROR(MATCH($A3882,Classes!$A$6:$A$420,0),0))</f>
        <v>0</v>
      </c>
      <c r="N3882" s="64" t="n">
        <f aca="false">IF($H3882="",0,IFERROR(MATCH($H3882,GradeList,0),0))</f>
        <v>0</v>
      </c>
      <c r="O3882" s="64" t="n">
        <f aca="false">IF(OR($I3882="",$I3882="NR"),0,IFERROR(MATCH($I3882,GradeList,0),0))</f>
        <v>0</v>
      </c>
      <c r="P3882" s="64" t="n">
        <f aca="false">IF(AND($M3882&gt;0,ISNUMBER(MATCH($F3882,Lists!$A$2:$A$5,0)),ISNUMBER(MATCH($G3882,Lists!$B$2:$B$7,0)),OR($H3882="",$N3882&gt;0),OR($I3882="",$I3882="NR",$O3882&gt;0),IF(ISNUMBER($J3882),AND($J3882&gt;=0,$J3882=INT($J3882)),FALSE())),$J3882,0)</f>
        <v>0</v>
      </c>
      <c r="Q3882" s="64" t="n">
        <f aca="false">IF(AND($P3882&gt;0,$O3882&gt;0),$P3882,0)</f>
        <v>0</v>
      </c>
      <c r="R3882" s="64" t="n">
        <f aca="false">IF(AND($Q3882&gt;0,$O3882&gt;=AtRank),$Q3882,0)</f>
        <v>0</v>
      </c>
      <c r="S3882" s="64" t="n">
        <f aca="false">IF(AND($Q3882&gt;0,$O3882&gt;=AboveRank),$Q3882,0)</f>
        <v>0</v>
      </c>
      <c r="T3882" s="64" t="n">
        <f aca="false">IF($K3882="Less",$P3882,0)</f>
        <v>0</v>
      </c>
      <c r="U3882" s="64" t="n">
        <f aca="false">IF($K3882="Expected",$P3882,0)</f>
        <v>0</v>
      </c>
      <c r="V3882" s="64" t="n">
        <f aca="false">IF($K3882="Better",$P3882,0)</f>
        <v>0</v>
      </c>
      <c r="W3882" s="64" t="n">
        <f aca="false">IF($K3882="U – needs rule",$P3882,0)</f>
        <v>0</v>
      </c>
      <c r="X3882" s="64" t="n">
        <f aca="false">IF($K3882="No Start (attainment only)",$P3882,0)</f>
        <v>0</v>
      </c>
    </row>
    <row r="3883" customFormat="false" ht="15" hidden="false" customHeight="false" outlineLevel="0" collapsed="false">
      <c r="A3883" s="60"/>
      <c r="B3883" s="61" t="str">
        <f aca="false">IF($M3883=0,"",INDEX(Classes!$E$6:$E$420,$M3883))</f>
        <v/>
      </c>
      <c r="C3883" s="62" t="str">
        <f aca="false">IF($M3883=0,"",INDEX(Classes!$H$6:$H$420,$M3883))</f>
        <v/>
      </c>
      <c r="D3883" s="61" t="str">
        <f aca="false">IF($M3883=0,"",INDEX(Classes!$B$6:$B$420,$M3883))</f>
        <v/>
      </c>
      <c r="E3883" s="61" t="str">
        <f aca="false">IF($M3883=0,"",INDEX(Classes!$C$6:$C$420,$M3883))</f>
        <v/>
      </c>
      <c r="F3883" s="63"/>
      <c r="G3883" s="63"/>
      <c r="H3883" s="60"/>
      <c r="I3883" s="60"/>
      <c r="J3883" s="63"/>
      <c r="K3883" s="61" t="str">
        <f aca="false">IF($P3883=0,"",IF($F3883="Baseline","— Baseline",IF($O3883=0,"No result",IF($N3883=0,"No Start (attainment only)",IF(OR($N3883=1,$O3883=1),"U – needs rule",INDEX(MxBody,MATCH($I3883,MxCurr,0),MATCH($H3883,MxStart,0)))))))</f>
        <v/>
      </c>
      <c r="L3883" s="62" t="str">
        <f aca="false">IF(COUNTA($A3883,$F3883,$G3883,$H3883,$I3883,$J3883)=0,"",IF($M3883=0,"✖ كود الصف غير موجود",IF(ISNA(MATCH($F3883,Lists!$A$2:$A$5,0)),"✖ الفترة غير صحيحة",IF(ISNA(MATCH($G3883,Lists!$B$2:$B$7,0)),"✖ المجموعة غير صحيحة",IF(NOT(OR($H3883="",$N3883&gt;0)),"✖ Start غير صحيح",IF(NOT(OR($I3883="",$I3883="NR",$O3883&gt;0)),"✖ Current غير صحيح",IF(NOT(IF(ISNUMBER($J3883),AND($J3883&gt;=0,$J3883=INT($J3883)),FALSE())),"✖ العدد يجب أن يكون صحيحًا ≥ 0",IF(AND($F3883="Baseline",$H3883&lt;&gt;""),"⚠ Baseline: Start لا يدخل في التقدم",IF($K3883="No Start (attainment only)","ℹ تحصيل فقط (بدون Start)",IF($K3883="U – needs rule","ℹ حالة U تحتاج قاعدة معتمدة",IF($K3883="No result","ℹ بدون نتيجة (يُستبعد من التحصيل)","OK")))))))))))</f>
        <v/>
      </c>
      <c r="M3883" s="64" t="n">
        <f aca="false">IF($A3883="",0,IFERROR(MATCH($A3883,Classes!$A$6:$A$420,0),0))</f>
        <v>0</v>
      </c>
      <c r="N3883" s="64" t="n">
        <f aca="false">IF($H3883="",0,IFERROR(MATCH($H3883,GradeList,0),0))</f>
        <v>0</v>
      </c>
      <c r="O3883" s="64" t="n">
        <f aca="false">IF(OR($I3883="",$I3883="NR"),0,IFERROR(MATCH($I3883,GradeList,0),0))</f>
        <v>0</v>
      </c>
      <c r="P3883" s="64" t="n">
        <f aca="false">IF(AND($M3883&gt;0,ISNUMBER(MATCH($F3883,Lists!$A$2:$A$5,0)),ISNUMBER(MATCH($G3883,Lists!$B$2:$B$7,0)),OR($H3883="",$N3883&gt;0),OR($I3883="",$I3883="NR",$O3883&gt;0),IF(ISNUMBER($J3883),AND($J3883&gt;=0,$J3883=INT($J3883)),FALSE())),$J3883,0)</f>
        <v>0</v>
      </c>
      <c r="Q3883" s="64" t="n">
        <f aca="false">IF(AND($P3883&gt;0,$O3883&gt;0),$P3883,0)</f>
        <v>0</v>
      </c>
      <c r="R3883" s="64" t="n">
        <f aca="false">IF(AND($Q3883&gt;0,$O3883&gt;=AtRank),$Q3883,0)</f>
        <v>0</v>
      </c>
      <c r="S3883" s="64" t="n">
        <f aca="false">IF(AND($Q3883&gt;0,$O3883&gt;=AboveRank),$Q3883,0)</f>
        <v>0</v>
      </c>
      <c r="T3883" s="64" t="n">
        <f aca="false">IF($K3883="Less",$P3883,0)</f>
        <v>0</v>
      </c>
      <c r="U3883" s="64" t="n">
        <f aca="false">IF($K3883="Expected",$P3883,0)</f>
        <v>0</v>
      </c>
      <c r="V3883" s="64" t="n">
        <f aca="false">IF($K3883="Better",$P3883,0)</f>
        <v>0</v>
      </c>
      <c r="W3883" s="64" t="n">
        <f aca="false">IF($K3883="U – needs rule",$P3883,0)</f>
        <v>0</v>
      </c>
      <c r="X3883" s="64" t="n">
        <f aca="false">IF($K3883="No Start (attainment only)",$P3883,0)</f>
        <v>0</v>
      </c>
    </row>
    <row r="3884" customFormat="false" ht="15" hidden="false" customHeight="false" outlineLevel="0" collapsed="false">
      <c r="A3884" s="60"/>
      <c r="B3884" s="61" t="str">
        <f aca="false">IF($M3884=0,"",INDEX(Classes!$E$6:$E$420,$M3884))</f>
        <v/>
      </c>
      <c r="C3884" s="62" t="str">
        <f aca="false">IF($M3884=0,"",INDEX(Classes!$H$6:$H$420,$M3884))</f>
        <v/>
      </c>
      <c r="D3884" s="61" t="str">
        <f aca="false">IF($M3884=0,"",INDEX(Classes!$B$6:$B$420,$M3884))</f>
        <v/>
      </c>
      <c r="E3884" s="61" t="str">
        <f aca="false">IF($M3884=0,"",INDEX(Classes!$C$6:$C$420,$M3884))</f>
        <v/>
      </c>
      <c r="F3884" s="63"/>
      <c r="G3884" s="63"/>
      <c r="H3884" s="60"/>
      <c r="I3884" s="60"/>
      <c r="J3884" s="63"/>
      <c r="K3884" s="61" t="str">
        <f aca="false">IF($P3884=0,"",IF($F3884="Baseline","— Baseline",IF($O3884=0,"No result",IF($N3884=0,"No Start (attainment only)",IF(OR($N3884=1,$O3884=1),"U – needs rule",INDEX(MxBody,MATCH($I3884,MxCurr,0),MATCH($H3884,MxStart,0)))))))</f>
        <v/>
      </c>
      <c r="L3884" s="62" t="str">
        <f aca="false">IF(COUNTA($A3884,$F3884,$G3884,$H3884,$I3884,$J3884)=0,"",IF($M3884=0,"✖ كود الصف غير موجود",IF(ISNA(MATCH($F3884,Lists!$A$2:$A$5,0)),"✖ الفترة غير صحيحة",IF(ISNA(MATCH($G3884,Lists!$B$2:$B$7,0)),"✖ المجموعة غير صحيحة",IF(NOT(OR($H3884="",$N3884&gt;0)),"✖ Start غير صحيح",IF(NOT(OR($I3884="",$I3884="NR",$O3884&gt;0)),"✖ Current غير صحيح",IF(NOT(IF(ISNUMBER($J3884),AND($J3884&gt;=0,$J3884=INT($J3884)),FALSE())),"✖ العدد يجب أن يكون صحيحًا ≥ 0",IF(AND($F3884="Baseline",$H3884&lt;&gt;""),"⚠ Baseline: Start لا يدخل في التقدم",IF($K3884="No Start (attainment only)","ℹ تحصيل فقط (بدون Start)",IF($K3884="U – needs rule","ℹ حالة U تحتاج قاعدة معتمدة",IF($K3884="No result","ℹ بدون نتيجة (يُستبعد من التحصيل)","OK")))))))))))</f>
        <v/>
      </c>
      <c r="M3884" s="64" t="n">
        <f aca="false">IF($A3884="",0,IFERROR(MATCH($A3884,Classes!$A$6:$A$420,0),0))</f>
        <v>0</v>
      </c>
      <c r="N3884" s="64" t="n">
        <f aca="false">IF($H3884="",0,IFERROR(MATCH($H3884,GradeList,0),0))</f>
        <v>0</v>
      </c>
      <c r="O3884" s="64" t="n">
        <f aca="false">IF(OR($I3884="",$I3884="NR"),0,IFERROR(MATCH($I3884,GradeList,0),0))</f>
        <v>0</v>
      </c>
      <c r="P3884" s="64" t="n">
        <f aca="false">IF(AND($M3884&gt;0,ISNUMBER(MATCH($F3884,Lists!$A$2:$A$5,0)),ISNUMBER(MATCH($G3884,Lists!$B$2:$B$7,0)),OR($H3884="",$N3884&gt;0),OR($I3884="",$I3884="NR",$O3884&gt;0),IF(ISNUMBER($J3884),AND($J3884&gt;=0,$J3884=INT($J3884)),FALSE())),$J3884,0)</f>
        <v>0</v>
      </c>
      <c r="Q3884" s="64" t="n">
        <f aca="false">IF(AND($P3884&gt;0,$O3884&gt;0),$P3884,0)</f>
        <v>0</v>
      </c>
      <c r="R3884" s="64" t="n">
        <f aca="false">IF(AND($Q3884&gt;0,$O3884&gt;=AtRank),$Q3884,0)</f>
        <v>0</v>
      </c>
      <c r="S3884" s="64" t="n">
        <f aca="false">IF(AND($Q3884&gt;0,$O3884&gt;=AboveRank),$Q3884,0)</f>
        <v>0</v>
      </c>
      <c r="T3884" s="64" t="n">
        <f aca="false">IF($K3884="Less",$P3884,0)</f>
        <v>0</v>
      </c>
      <c r="U3884" s="64" t="n">
        <f aca="false">IF($K3884="Expected",$P3884,0)</f>
        <v>0</v>
      </c>
      <c r="V3884" s="64" t="n">
        <f aca="false">IF($K3884="Better",$P3884,0)</f>
        <v>0</v>
      </c>
      <c r="W3884" s="64" t="n">
        <f aca="false">IF($K3884="U – needs rule",$P3884,0)</f>
        <v>0</v>
      </c>
      <c r="X3884" s="64" t="n">
        <f aca="false">IF($K3884="No Start (attainment only)",$P3884,0)</f>
        <v>0</v>
      </c>
    </row>
    <row r="3885" customFormat="false" ht="15" hidden="false" customHeight="false" outlineLevel="0" collapsed="false">
      <c r="A3885" s="60"/>
      <c r="B3885" s="61" t="str">
        <f aca="false">IF($M3885=0,"",INDEX(Classes!$E$6:$E$420,$M3885))</f>
        <v/>
      </c>
      <c r="C3885" s="62" t="str">
        <f aca="false">IF($M3885=0,"",INDEX(Classes!$H$6:$H$420,$M3885))</f>
        <v/>
      </c>
      <c r="D3885" s="61" t="str">
        <f aca="false">IF($M3885=0,"",INDEX(Classes!$B$6:$B$420,$M3885))</f>
        <v/>
      </c>
      <c r="E3885" s="61" t="str">
        <f aca="false">IF($M3885=0,"",INDEX(Classes!$C$6:$C$420,$M3885))</f>
        <v/>
      </c>
      <c r="F3885" s="63"/>
      <c r="G3885" s="63"/>
      <c r="H3885" s="60"/>
      <c r="I3885" s="60"/>
      <c r="J3885" s="63"/>
      <c r="K3885" s="61" t="str">
        <f aca="false">IF($P3885=0,"",IF($F3885="Baseline","— Baseline",IF($O3885=0,"No result",IF($N3885=0,"No Start (attainment only)",IF(OR($N3885=1,$O3885=1),"U – needs rule",INDEX(MxBody,MATCH($I3885,MxCurr,0),MATCH($H3885,MxStart,0)))))))</f>
        <v/>
      </c>
      <c r="L3885" s="62" t="str">
        <f aca="false">IF(COUNTA($A3885,$F3885,$G3885,$H3885,$I3885,$J3885)=0,"",IF($M3885=0,"✖ كود الصف غير موجود",IF(ISNA(MATCH($F3885,Lists!$A$2:$A$5,0)),"✖ الفترة غير صحيحة",IF(ISNA(MATCH($G3885,Lists!$B$2:$B$7,0)),"✖ المجموعة غير صحيحة",IF(NOT(OR($H3885="",$N3885&gt;0)),"✖ Start غير صحيح",IF(NOT(OR($I3885="",$I3885="NR",$O3885&gt;0)),"✖ Current غير صحيح",IF(NOT(IF(ISNUMBER($J3885),AND($J3885&gt;=0,$J3885=INT($J3885)),FALSE())),"✖ العدد يجب أن يكون صحيحًا ≥ 0",IF(AND($F3885="Baseline",$H3885&lt;&gt;""),"⚠ Baseline: Start لا يدخل في التقدم",IF($K3885="No Start (attainment only)","ℹ تحصيل فقط (بدون Start)",IF($K3885="U – needs rule","ℹ حالة U تحتاج قاعدة معتمدة",IF($K3885="No result","ℹ بدون نتيجة (يُستبعد من التحصيل)","OK")))))))))))</f>
        <v/>
      </c>
      <c r="M3885" s="64" t="n">
        <f aca="false">IF($A3885="",0,IFERROR(MATCH($A3885,Classes!$A$6:$A$420,0),0))</f>
        <v>0</v>
      </c>
      <c r="N3885" s="64" t="n">
        <f aca="false">IF($H3885="",0,IFERROR(MATCH($H3885,GradeList,0),0))</f>
        <v>0</v>
      </c>
      <c r="O3885" s="64" t="n">
        <f aca="false">IF(OR($I3885="",$I3885="NR"),0,IFERROR(MATCH($I3885,GradeList,0),0))</f>
        <v>0</v>
      </c>
      <c r="P3885" s="64" t="n">
        <f aca="false">IF(AND($M3885&gt;0,ISNUMBER(MATCH($F3885,Lists!$A$2:$A$5,0)),ISNUMBER(MATCH($G3885,Lists!$B$2:$B$7,0)),OR($H3885="",$N3885&gt;0),OR($I3885="",$I3885="NR",$O3885&gt;0),IF(ISNUMBER($J3885),AND($J3885&gt;=0,$J3885=INT($J3885)),FALSE())),$J3885,0)</f>
        <v>0</v>
      </c>
      <c r="Q3885" s="64" t="n">
        <f aca="false">IF(AND($P3885&gt;0,$O3885&gt;0),$P3885,0)</f>
        <v>0</v>
      </c>
      <c r="R3885" s="64" t="n">
        <f aca="false">IF(AND($Q3885&gt;0,$O3885&gt;=AtRank),$Q3885,0)</f>
        <v>0</v>
      </c>
      <c r="S3885" s="64" t="n">
        <f aca="false">IF(AND($Q3885&gt;0,$O3885&gt;=AboveRank),$Q3885,0)</f>
        <v>0</v>
      </c>
      <c r="T3885" s="64" t="n">
        <f aca="false">IF($K3885="Less",$P3885,0)</f>
        <v>0</v>
      </c>
      <c r="U3885" s="64" t="n">
        <f aca="false">IF($K3885="Expected",$P3885,0)</f>
        <v>0</v>
      </c>
      <c r="V3885" s="64" t="n">
        <f aca="false">IF($K3885="Better",$P3885,0)</f>
        <v>0</v>
      </c>
      <c r="W3885" s="64" t="n">
        <f aca="false">IF($K3885="U – needs rule",$P3885,0)</f>
        <v>0</v>
      </c>
      <c r="X3885" s="64" t="n">
        <f aca="false">IF($K3885="No Start (attainment only)",$P3885,0)</f>
        <v>0</v>
      </c>
    </row>
    <row r="3886" customFormat="false" ht="15" hidden="false" customHeight="false" outlineLevel="0" collapsed="false">
      <c r="A3886" s="60"/>
      <c r="B3886" s="61" t="str">
        <f aca="false">IF($M3886=0,"",INDEX(Classes!$E$6:$E$420,$M3886))</f>
        <v/>
      </c>
      <c r="C3886" s="62" t="str">
        <f aca="false">IF($M3886=0,"",INDEX(Classes!$H$6:$H$420,$M3886))</f>
        <v/>
      </c>
      <c r="D3886" s="61" t="str">
        <f aca="false">IF($M3886=0,"",INDEX(Classes!$B$6:$B$420,$M3886))</f>
        <v/>
      </c>
      <c r="E3886" s="61" t="str">
        <f aca="false">IF($M3886=0,"",INDEX(Classes!$C$6:$C$420,$M3886))</f>
        <v/>
      </c>
      <c r="F3886" s="63"/>
      <c r="G3886" s="63"/>
      <c r="H3886" s="60"/>
      <c r="I3886" s="60"/>
      <c r="J3886" s="63"/>
      <c r="K3886" s="61" t="str">
        <f aca="false">IF($P3886=0,"",IF($F3886="Baseline","— Baseline",IF($O3886=0,"No result",IF($N3886=0,"No Start (attainment only)",IF(OR($N3886=1,$O3886=1),"U – needs rule",INDEX(MxBody,MATCH($I3886,MxCurr,0),MATCH($H3886,MxStart,0)))))))</f>
        <v/>
      </c>
      <c r="L3886" s="62" t="str">
        <f aca="false">IF(COUNTA($A3886,$F3886,$G3886,$H3886,$I3886,$J3886)=0,"",IF($M3886=0,"✖ كود الصف غير موجود",IF(ISNA(MATCH($F3886,Lists!$A$2:$A$5,0)),"✖ الفترة غير صحيحة",IF(ISNA(MATCH($G3886,Lists!$B$2:$B$7,0)),"✖ المجموعة غير صحيحة",IF(NOT(OR($H3886="",$N3886&gt;0)),"✖ Start غير صحيح",IF(NOT(OR($I3886="",$I3886="NR",$O3886&gt;0)),"✖ Current غير صحيح",IF(NOT(IF(ISNUMBER($J3886),AND($J3886&gt;=0,$J3886=INT($J3886)),FALSE())),"✖ العدد يجب أن يكون صحيحًا ≥ 0",IF(AND($F3886="Baseline",$H3886&lt;&gt;""),"⚠ Baseline: Start لا يدخل في التقدم",IF($K3886="No Start (attainment only)","ℹ تحصيل فقط (بدون Start)",IF($K3886="U – needs rule","ℹ حالة U تحتاج قاعدة معتمدة",IF($K3886="No result","ℹ بدون نتيجة (يُستبعد من التحصيل)","OK")))))))))))</f>
        <v/>
      </c>
      <c r="M3886" s="64" t="n">
        <f aca="false">IF($A3886="",0,IFERROR(MATCH($A3886,Classes!$A$6:$A$420,0),0))</f>
        <v>0</v>
      </c>
      <c r="N3886" s="64" t="n">
        <f aca="false">IF($H3886="",0,IFERROR(MATCH($H3886,GradeList,0),0))</f>
        <v>0</v>
      </c>
      <c r="O3886" s="64" t="n">
        <f aca="false">IF(OR($I3886="",$I3886="NR"),0,IFERROR(MATCH($I3886,GradeList,0),0))</f>
        <v>0</v>
      </c>
      <c r="P3886" s="64" t="n">
        <f aca="false">IF(AND($M3886&gt;0,ISNUMBER(MATCH($F3886,Lists!$A$2:$A$5,0)),ISNUMBER(MATCH($G3886,Lists!$B$2:$B$7,0)),OR($H3886="",$N3886&gt;0),OR($I3886="",$I3886="NR",$O3886&gt;0),IF(ISNUMBER($J3886),AND($J3886&gt;=0,$J3886=INT($J3886)),FALSE())),$J3886,0)</f>
        <v>0</v>
      </c>
      <c r="Q3886" s="64" t="n">
        <f aca="false">IF(AND($P3886&gt;0,$O3886&gt;0),$P3886,0)</f>
        <v>0</v>
      </c>
      <c r="R3886" s="64" t="n">
        <f aca="false">IF(AND($Q3886&gt;0,$O3886&gt;=AtRank),$Q3886,0)</f>
        <v>0</v>
      </c>
      <c r="S3886" s="64" t="n">
        <f aca="false">IF(AND($Q3886&gt;0,$O3886&gt;=AboveRank),$Q3886,0)</f>
        <v>0</v>
      </c>
      <c r="T3886" s="64" t="n">
        <f aca="false">IF($K3886="Less",$P3886,0)</f>
        <v>0</v>
      </c>
      <c r="U3886" s="64" t="n">
        <f aca="false">IF($K3886="Expected",$P3886,0)</f>
        <v>0</v>
      </c>
      <c r="V3886" s="64" t="n">
        <f aca="false">IF($K3886="Better",$P3886,0)</f>
        <v>0</v>
      </c>
      <c r="W3886" s="64" t="n">
        <f aca="false">IF($K3886="U – needs rule",$P3886,0)</f>
        <v>0</v>
      </c>
      <c r="X3886" s="64" t="n">
        <f aca="false">IF($K3886="No Start (attainment only)",$P3886,0)</f>
        <v>0</v>
      </c>
    </row>
    <row r="3887" customFormat="false" ht="15" hidden="false" customHeight="false" outlineLevel="0" collapsed="false">
      <c r="A3887" s="60"/>
      <c r="B3887" s="61" t="str">
        <f aca="false">IF($M3887=0,"",INDEX(Classes!$E$6:$E$420,$M3887))</f>
        <v/>
      </c>
      <c r="C3887" s="62" t="str">
        <f aca="false">IF($M3887=0,"",INDEX(Classes!$H$6:$H$420,$M3887))</f>
        <v/>
      </c>
      <c r="D3887" s="61" t="str">
        <f aca="false">IF($M3887=0,"",INDEX(Classes!$B$6:$B$420,$M3887))</f>
        <v/>
      </c>
      <c r="E3887" s="61" t="str">
        <f aca="false">IF($M3887=0,"",INDEX(Classes!$C$6:$C$420,$M3887))</f>
        <v/>
      </c>
      <c r="F3887" s="63"/>
      <c r="G3887" s="63"/>
      <c r="H3887" s="60"/>
      <c r="I3887" s="60"/>
      <c r="J3887" s="63"/>
      <c r="K3887" s="61" t="str">
        <f aca="false">IF($P3887=0,"",IF($F3887="Baseline","— Baseline",IF($O3887=0,"No result",IF($N3887=0,"No Start (attainment only)",IF(OR($N3887=1,$O3887=1),"U – needs rule",INDEX(MxBody,MATCH($I3887,MxCurr,0),MATCH($H3887,MxStart,0)))))))</f>
        <v/>
      </c>
      <c r="L3887" s="62" t="str">
        <f aca="false">IF(COUNTA($A3887,$F3887,$G3887,$H3887,$I3887,$J3887)=0,"",IF($M3887=0,"✖ كود الصف غير موجود",IF(ISNA(MATCH($F3887,Lists!$A$2:$A$5,0)),"✖ الفترة غير صحيحة",IF(ISNA(MATCH($G3887,Lists!$B$2:$B$7,0)),"✖ المجموعة غير صحيحة",IF(NOT(OR($H3887="",$N3887&gt;0)),"✖ Start غير صحيح",IF(NOT(OR($I3887="",$I3887="NR",$O3887&gt;0)),"✖ Current غير صحيح",IF(NOT(IF(ISNUMBER($J3887),AND($J3887&gt;=0,$J3887=INT($J3887)),FALSE())),"✖ العدد يجب أن يكون صحيحًا ≥ 0",IF(AND($F3887="Baseline",$H3887&lt;&gt;""),"⚠ Baseline: Start لا يدخل في التقدم",IF($K3887="No Start (attainment only)","ℹ تحصيل فقط (بدون Start)",IF($K3887="U – needs rule","ℹ حالة U تحتاج قاعدة معتمدة",IF($K3887="No result","ℹ بدون نتيجة (يُستبعد من التحصيل)","OK")))))))))))</f>
        <v/>
      </c>
      <c r="M3887" s="64" t="n">
        <f aca="false">IF($A3887="",0,IFERROR(MATCH($A3887,Classes!$A$6:$A$420,0),0))</f>
        <v>0</v>
      </c>
      <c r="N3887" s="64" t="n">
        <f aca="false">IF($H3887="",0,IFERROR(MATCH($H3887,GradeList,0),0))</f>
        <v>0</v>
      </c>
      <c r="O3887" s="64" t="n">
        <f aca="false">IF(OR($I3887="",$I3887="NR"),0,IFERROR(MATCH($I3887,GradeList,0),0))</f>
        <v>0</v>
      </c>
      <c r="P3887" s="64" t="n">
        <f aca="false">IF(AND($M3887&gt;0,ISNUMBER(MATCH($F3887,Lists!$A$2:$A$5,0)),ISNUMBER(MATCH($G3887,Lists!$B$2:$B$7,0)),OR($H3887="",$N3887&gt;0),OR($I3887="",$I3887="NR",$O3887&gt;0),IF(ISNUMBER($J3887),AND($J3887&gt;=0,$J3887=INT($J3887)),FALSE())),$J3887,0)</f>
        <v>0</v>
      </c>
      <c r="Q3887" s="64" t="n">
        <f aca="false">IF(AND($P3887&gt;0,$O3887&gt;0),$P3887,0)</f>
        <v>0</v>
      </c>
      <c r="R3887" s="64" t="n">
        <f aca="false">IF(AND($Q3887&gt;0,$O3887&gt;=AtRank),$Q3887,0)</f>
        <v>0</v>
      </c>
      <c r="S3887" s="64" t="n">
        <f aca="false">IF(AND($Q3887&gt;0,$O3887&gt;=AboveRank),$Q3887,0)</f>
        <v>0</v>
      </c>
      <c r="T3887" s="64" t="n">
        <f aca="false">IF($K3887="Less",$P3887,0)</f>
        <v>0</v>
      </c>
      <c r="U3887" s="64" t="n">
        <f aca="false">IF($K3887="Expected",$P3887,0)</f>
        <v>0</v>
      </c>
      <c r="V3887" s="64" t="n">
        <f aca="false">IF($K3887="Better",$P3887,0)</f>
        <v>0</v>
      </c>
      <c r="W3887" s="64" t="n">
        <f aca="false">IF($K3887="U – needs rule",$P3887,0)</f>
        <v>0</v>
      </c>
      <c r="X3887" s="64" t="n">
        <f aca="false">IF($K3887="No Start (attainment only)",$P3887,0)</f>
        <v>0</v>
      </c>
    </row>
    <row r="3888" customFormat="false" ht="15" hidden="false" customHeight="false" outlineLevel="0" collapsed="false">
      <c r="A3888" s="60"/>
      <c r="B3888" s="61" t="str">
        <f aca="false">IF($M3888=0,"",INDEX(Classes!$E$6:$E$420,$M3888))</f>
        <v/>
      </c>
      <c r="C3888" s="62" t="str">
        <f aca="false">IF($M3888=0,"",INDEX(Classes!$H$6:$H$420,$M3888))</f>
        <v/>
      </c>
      <c r="D3888" s="61" t="str">
        <f aca="false">IF($M3888=0,"",INDEX(Classes!$B$6:$B$420,$M3888))</f>
        <v/>
      </c>
      <c r="E3888" s="61" t="str">
        <f aca="false">IF($M3888=0,"",INDEX(Classes!$C$6:$C$420,$M3888))</f>
        <v/>
      </c>
      <c r="F3888" s="63"/>
      <c r="G3888" s="63"/>
      <c r="H3888" s="60"/>
      <c r="I3888" s="60"/>
      <c r="J3888" s="63"/>
      <c r="K3888" s="61" t="str">
        <f aca="false">IF($P3888=0,"",IF($F3888="Baseline","— Baseline",IF($O3888=0,"No result",IF($N3888=0,"No Start (attainment only)",IF(OR($N3888=1,$O3888=1),"U – needs rule",INDEX(MxBody,MATCH($I3888,MxCurr,0),MATCH($H3888,MxStart,0)))))))</f>
        <v/>
      </c>
      <c r="L3888" s="62" t="str">
        <f aca="false">IF(COUNTA($A3888,$F3888,$G3888,$H3888,$I3888,$J3888)=0,"",IF($M3888=0,"✖ كود الصف غير موجود",IF(ISNA(MATCH($F3888,Lists!$A$2:$A$5,0)),"✖ الفترة غير صحيحة",IF(ISNA(MATCH($G3888,Lists!$B$2:$B$7,0)),"✖ المجموعة غير صحيحة",IF(NOT(OR($H3888="",$N3888&gt;0)),"✖ Start غير صحيح",IF(NOT(OR($I3888="",$I3888="NR",$O3888&gt;0)),"✖ Current غير صحيح",IF(NOT(IF(ISNUMBER($J3888),AND($J3888&gt;=0,$J3888=INT($J3888)),FALSE())),"✖ العدد يجب أن يكون صحيحًا ≥ 0",IF(AND($F3888="Baseline",$H3888&lt;&gt;""),"⚠ Baseline: Start لا يدخل في التقدم",IF($K3888="No Start (attainment only)","ℹ تحصيل فقط (بدون Start)",IF($K3888="U – needs rule","ℹ حالة U تحتاج قاعدة معتمدة",IF($K3888="No result","ℹ بدون نتيجة (يُستبعد من التحصيل)","OK")))))))))))</f>
        <v/>
      </c>
      <c r="M3888" s="64" t="n">
        <f aca="false">IF($A3888="",0,IFERROR(MATCH($A3888,Classes!$A$6:$A$420,0),0))</f>
        <v>0</v>
      </c>
      <c r="N3888" s="64" t="n">
        <f aca="false">IF($H3888="",0,IFERROR(MATCH($H3888,GradeList,0),0))</f>
        <v>0</v>
      </c>
      <c r="O3888" s="64" t="n">
        <f aca="false">IF(OR($I3888="",$I3888="NR"),0,IFERROR(MATCH($I3888,GradeList,0),0))</f>
        <v>0</v>
      </c>
      <c r="P3888" s="64" t="n">
        <f aca="false">IF(AND($M3888&gt;0,ISNUMBER(MATCH($F3888,Lists!$A$2:$A$5,0)),ISNUMBER(MATCH($G3888,Lists!$B$2:$B$7,0)),OR($H3888="",$N3888&gt;0),OR($I3888="",$I3888="NR",$O3888&gt;0),IF(ISNUMBER($J3888),AND($J3888&gt;=0,$J3888=INT($J3888)),FALSE())),$J3888,0)</f>
        <v>0</v>
      </c>
      <c r="Q3888" s="64" t="n">
        <f aca="false">IF(AND($P3888&gt;0,$O3888&gt;0),$P3888,0)</f>
        <v>0</v>
      </c>
      <c r="R3888" s="64" t="n">
        <f aca="false">IF(AND($Q3888&gt;0,$O3888&gt;=AtRank),$Q3888,0)</f>
        <v>0</v>
      </c>
      <c r="S3888" s="64" t="n">
        <f aca="false">IF(AND($Q3888&gt;0,$O3888&gt;=AboveRank),$Q3888,0)</f>
        <v>0</v>
      </c>
      <c r="T3888" s="64" t="n">
        <f aca="false">IF($K3888="Less",$P3888,0)</f>
        <v>0</v>
      </c>
      <c r="U3888" s="64" t="n">
        <f aca="false">IF($K3888="Expected",$P3888,0)</f>
        <v>0</v>
      </c>
      <c r="V3888" s="64" t="n">
        <f aca="false">IF($K3888="Better",$P3888,0)</f>
        <v>0</v>
      </c>
      <c r="W3888" s="64" t="n">
        <f aca="false">IF($K3888="U – needs rule",$P3888,0)</f>
        <v>0</v>
      </c>
      <c r="X3888" s="64" t="n">
        <f aca="false">IF($K3888="No Start (attainment only)",$P3888,0)</f>
        <v>0</v>
      </c>
    </row>
    <row r="3889" customFormat="false" ht="15" hidden="false" customHeight="false" outlineLevel="0" collapsed="false">
      <c r="A3889" s="60"/>
      <c r="B3889" s="61" t="str">
        <f aca="false">IF($M3889=0,"",INDEX(Classes!$E$6:$E$420,$M3889))</f>
        <v/>
      </c>
      <c r="C3889" s="62" t="str">
        <f aca="false">IF($M3889=0,"",INDEX(Classes!$H$6:$H$420,$M3889))</f>
        <v/>
      </c>
      <c r="D3889" s="61" t="str">
        <f aca="false">IF($M3889=0,"",INDEX(Classes!$B$6:$B$420,$M3889))</f>
        <v/>
      </c>
      <c r="E3889" s="61" t="str">
        <f aca="false">IF($M3889=0,"",INDEX(Classes!$C$6:$C$420,$M3889))</f>
        <v/>
      </c>
      <c r="F3889" s="63"/>
      <c r="G3889" s="63"/>
      <c r="H3889" s="60"/>
      <c r="I3889" s="60"/>
      <c r="J3889" s="63"/>
      <c r="K3889" s="61" t="str">
        <f aca="false">IF($P3889=0,"",IF($F3889="Baseline","— Baseline",IF($O3889=0,"No result",IF($N3889=0,"No Start (attainment only)",IF(OR($N3889=1,$O3889=1),"U – needs rule",INDEX(MxBody,MATCH($I3889,MxCurr,0),MATCH($H3889,MxStart,0)))))))</f>
        <v/>
      </c>
      <c r="L3889" s="62" t="str">
        <f aca="false">IF(COUNTA($A3889,$F3889,$G3889,$H3889,$I3889,$J3889)=0,"",IF($M3889=0,"✖ كود الصف غير موجود",IF(ISNA(MATCH($F3889,Lists!$A$2:$A$5,0)),"✖ الفترة غير صحيحة",IF(ISNA(MATCH($G3889,Lists!$B$2:$B$7,0)),"✖ المجموعة غير صحيحة",IF(NOT(OR($H3889="",$N3889&gt;0)),"✖ Start غير صحيح",IF(NOT(OR($I3889="",$I3889="NR",$O3889&gt;0)),"✖ Current غير صحيح",IF(NOT(IF(ISNUMBER($J3889),AND($J3889&gt;=0,$J3889=INT($J3889)),FALSE())),"✖ العدد يجب أن يكون صحيحًا ≥ 0",IF(AND($F3889="Baseline",$H3889&lt;&gt;""),"⚠ Baseline: Start لا يدخل في التقدم",IF($K3889="No Start (attainment only)","ℹ تحصيل فقط (بدون Start)",IF($K3889="U – needs rule","ℹ حالة U تحتاج قاعدة معتمدة",IF($K3889="No result","ℹ بدون نتيجة (يُستبعد من التحصيل)","OK")))))))))))</f>
        <v/>
      </c>
      <c r="M3889" s="64" t="n">
        <f aca="false">IF($A3889="",0,IFERROR(MATCH($A3889,Classes!$A$6:$A$420,0),0))</f>
        <v>0</v>
      </c>
      <c r="N3889" s="64" t="n">
        <f aca="false">IF($H3889="",0,IFERROR(MATCH($H3889,GradeList,0),0))</f>
        <v>0</v>
      </c>
      <c r="O3889" s="64" t="n">
        <f aca="false">IF(OR($I3889="",$I3889="NR"),0,IFERROR(MATCH($I3889,GradeList,0),0))</f>
        <v>0</v>
      </c>
      <c r="P3889" s="64" t="n">
        <f aca="false">IF(AND($M3889&gt;0,ISNUMBER(MATCH($F3889,Lists!$A$2:$A$5,0)),ISNUMBER(MATCH($G3889,Lists!$B$2:$B$7,0)),OR($H3889="",$N3889&gt;0),OR($I3889="",$I3889="NR",$O3889&gt;0),IF(ISNUMBER($J3889),AND($J3889&gt;=0,$J3889=INT($J3889)),FALSE())),$J3889,0)</f>
        <v>0</v>
      </c>
      <c r="Q3889" s="64" t="n">
        <f aca="false">IF(AND($P3889&gt;0,$O3889&gt;0),$P3889,0)</f>
        <v>0</v>
      </c>
      <c r="R3889" s="64" t="n">
        <f aca="false">IF(AND($Q3889&gt;0,$O3889&gt;=AtRank),$Q3889,0)</f>
        <v>0</v>
      </c>
      <c r="S3889" s="64" t="n">
        <f aca="false">IF(AND($Q3889&gt;0,$O3889&gt;=AboveRank),$Q3889,0)</f>
        <v>0</v>
      </c>
      <c r="T3889" s="64" t="n">
        <f aca="false">IF($K3889="Less",$P3889,0)</f>
        <v>0</v>
      </c>
      <c r="U3889" s="64" t="n">
        <f aca="false">IF($K3889="Expected",$P3889,0)</f>
        <v>0</v>
      </c>
      <c r="V3889" s="64" t="n">
        <f aca="false">IF($K3889="Better",$P3889,0)</f>
        <v>0</v>
      </c>
      <c r="W3889" s="64" t="n">
        <f aca="false">IF($K3889="U – needs rule",$P3889,0)</f>
        <v>0</v>
      </c>
      <c r="X3889" s="64" t="n">
        <f aca="false">IF($K3889="No Start (attainment only)",$P3889,0)</f>
        <v>0</v>
      </c>
    </row>
    <row r="3890" customFormat="false" ht="15" hidden="false" customHeight="false" outlineLevel="0" collapsed="false">
      <c r="A3890" s="60"/>
      <c r="B3890" s="61" t="str">
        <f aca="false">IF($M3890=0,"",INDEX(Classes!$E$6:$E$420,$M3890))</f>
        <v/>
      </c>
      <c r="C3890" s="62" t="str">
        <f aca="false">IF($M3890=0,"",INDEX(Classes!$H$6:$H$420,$M3890))</f>
        <v/>
      </c>
      <c r="D3890" s="61" t="str">
        <f aca="false">IF($M3890=0,"",INDEX(Classes!$B$6:$B$420,$M3890))</f>
        <v/>
      </c>
      <c r="E3890" s="61" t="str">
        <f aca="false">IF($M3890=0,"",INDEX(Classes!$C$6:$C$420,$M3890))</f>
        <v/>
      </c>
      <c r="F3890" s="63"/>
      <c r="G3890" s="63"/>
      <c r="H3890" s="60"/>
      <c r="I3890" s="60"/>
      <c r="J3890" s="63"/>
      <c r="K3890" s="61" t="str">
        <f aca="false">IF($P3890=0,"",IF($F3890="Baseline","— Baseline",IF($O3890=0,"No result",IF($N3890=0,"No Start (attainment only)",IF(OR($N3890=1,$O3890=1),"U – needs rule",INDEX(MxBody,MATCH($I3890,MxCurr,0),MATCH($H3890,MxStart,0)))))))</f>
        <v/>
      </c>
      <c r="L3890" s="62" t="str">
        <f aca="false">IF(COUNTA($A3890,$F3890,$G3890,$H3890,$I3890,$J3890)=0,"",IF($M3890=0,"✖ كود الصف غير موجود",IF(ISNA(MATCH($F3890,Lists!$A$2:$A$5,0)),"✖ الفترة غير صحيحة",IF(ISNA(MATCH($G3890,Lists!$B$2:$B$7,0)),"✖ المجموعة غير صحيحة",IF(NOT(OR($H3890="",$N3890&gt;0)),"✖ Start غير صحيح",IF(NOT(OR($I3890="",$I3890="NR",$O3890&gt;0)),"✖ Current غير صحيح",IF(NOT(IF(ISNUMBER($J3890),AND($J3890&gt;=0,$J3890=INT($J3890)),FALSE())),"✖ العدد يجب أن يكون صحيحًا ≥ 0",IF(AND($F3890="Baseline",$H3890&lt;&gt;""),"⚠ Baseline: Start لا يدخل في التقدم",IF($K3890="No Start (attainment only)","ℹ تحصيل فقط (بدون Start)",IF($K3890="U – needs rule","ℹ حالة U تحتاج قاعدة معتمدة",IF($K3890="No result","ℹ بدون نتيجة (يُستبعد من التحصيل)","OK")))))))))))</f>
        <v/>
      </c>
      <c r="M3890" s="64" t="n">
        <f aca="false">IF($A3890="",0,IFERROR(MATCH($A3890,Classes!$A$6:$A$420,0),0))</f>
        <v>0</v>
      </c>
      <c r="N3890" s="64" t="n">
        <f aca="false">IF($H3890="",0,IFERROR(MATCH($H3890,GradeList,0),0))</f>
        <v>0</v>
      </c>
      <c r="O3890" s="64" t="n">
        <f aca="false">IF(OR($I3890="",$I3890="NR"),0,IFERROR(MATCH($I3890,GradeList,0),0))</f>
        <v>0</v>
      </c>
      <c r="P3890" s="64" t="n">
        <f aca="false">IF(AND($M3890&gt;0,ISNUMBER(MATCH($F3890,Lists!$A$2:$A$5,0)),ISNUMBER(MATCH($G3890,Lists!$B$2:$B$7,0)),OR($H3890="",$N3890&gt;0),OR($I3890="",$I3890="NR",$O3890&gt;0),IF(ISNUMBER($J3890),AND($J3890&gt;=0,$J3890=INT($J3890)),FALSE())),$J3890,0)</f>
        <v>0</v>
      </c>
      <c r="Q3890" s="64" t="n">
        <f aca="false">IF(AND($P3890&gt;0,$O3890&gt;0),$P3890,0)</f>
        <v>0</v>
      </c>
      <c r="R3890" s="64" t="n">
        <f aca="false">IF(AND($Q3890&gt;0,$O3890&gt;=AtRank),$Q3890,0)</f>
        <v>0</v>
      </c>
      <c r="S3890" s="64" t="n">
        <f aca="false">IF(AND($Q3890&gt;0,$O3890&gt;=AboveRank),$Q3890,0)</f>
        <v>0</v>
      </c>
      <c r="T3890" s="64" t="n">
        <f aca="false">IF($K3890="Less",$P3890,0)</f>
        <v>0</v>
      </c>
      <c r="U3890" s="64" t="n">
        <f aca="false">IF($K3890="Expected",$P3890,0)</f>
        <v>0</v>
      </c>
      <c r="V3890" s="64" t="n">
        <f aca="false">IF($K3890="Better",$P3890,0)</f>
        <v>0</v>
      </c>
      <c r="W3890" s="64" t="n">
        <f aca="false">IF($K3890="U – needs rule",$P3890,0)</f>
        <v>0</v>
      </c>
      <c r="X3890" s="64" t="n">
        <f aca="false">IF($K3890="No Start (attainment only)",$P3890,0)</f>
        <v>0</v>
      </c>
    </row>
    <row r="3891" customFormat="false" ht="15" hidden="false" customHeight="false" outlineLevel="0" collapsed="false">
      <c r="A3891" s="60"/>
      <c r="B3891" s="61" t="str">
        <f aca="false">IF($M3891=0,"",INDEX(Classes!$E$6:$E$420,$M3891))</f>
        <v/>
      </c>
      <c r="C3891" s="62" t="str">
        <f aca="false">IF($M3891=0,"",INDEX(Classes!$H$6:$H$420,$M3891))</f>
        <v/>
      </c>
      <c r="D3891" s="61" t="str">
        <f aca="false">IF($M3891=0,"",INDEX(Classes!$B$6:$B$420,$M3891))</f>
        <v/>
      </c>
      <c r="E3891" s="61" t="str">
        <f aca="false">IF($M3891=0,"",INDEX(Classes!$C$6:$C$420,$M3891))</f>
        <v/>
      </c>
      <c r="F3891" s="63"/>
      <c r="G3891" s="63"/>
      <c r="H3891" s="60"/>
      <c r="I3891" s="60"/>
      <c r="J3891" s="63"/>
      <c r="K3891" s="61" t="str">
        <f aca="false">IF($P3891=0,"",IF($F3891="Baseline","— Baseline",IF($O3891=0,"No result",IF($N3891=0,"No Start (attainment only)",IF(OR($N3891=1,$O3891=1),"U – needs rule",INDEX(MxBody,MATCH($I3891,MxCurr,0),MATCH($H3891,MxStart,0)))))))</f>
        <v/>
      </c>
      <c r="L3891" s="62" t="str">
        <f aca="false">IF(COUNTA($A3891,$F3891,$G3891,$H3891,$I3891,$J3891)=0,"",IF($M3891=0,"✖ كود الصف غير موجود",IF(ISNA(MATCH($F3891,Lists!$A$2:$A$5,0)),"✖ الفترة غير صحيحة",IF(ISNA(MATCH($G3891,Lists!$B$2:$B$7,0)),"✖ المجموعة غير صحيحة",IF(NOT(OR($H3891="",$N3891&gt;0)),"✖ Start غير صحيح",IF(NOT(OR($I3891="",$I3891="NR",$O3891&gt;0)),"✖ Current غير صحيح",IF(NOT(IF(ISNUMBER($J3891),AND($J3891&gt;=0,$J3891=INT($J3891)),FALSE())),"✖ العدد يجب أن يكون صحيحًا ≥ 0",IF(AND($F3891="Baseline",$H3891&lt;&gt;""),"⚠ Baseline: Start لا يدخل في التقدم",IF($K3891="No Start (attainment only)","ℹ تحصيل فقط (بدون Start)",IF($K3891="U – needs rule","ℹ حالة U تحتاج قاعدة معتمدة",IF($K3891="No result","ℹ بدون نتيجة (يُستبعد من التحصيل)","OK")))))))))))</f>
        <v/>
      </c>
      <c r="M3891" s="64" t="n">
        <f aca="false">IF($A3891="",0,IFERROR(MATCH($A3891,Classes!$A$6:$A$420,0),0))</f>
        <v>0</v>
      </c>
      <c r="N3891" s="64" t="n">
        <f aca="false">IF($H3891="",0,IFERROR(MATCH($H3891,GradeList,0),0))</f>
        <v>0</v>
      </c>
      <c r="O3891" s="64" t="n">
        <f aca="false">IF(OR($I3891="",$I3891="NR"),0,IFERROR(MATCH($I3891,GradeList,0),0))</f>
        <v>0</v>
      </c>
      <c r="P3891" s="64" t="n">
        <f aca="false">IF(AND($M3891&gt;0,ISNUMBER(MATCH($F3891,Lists!$A$2:$A$5,0)),ISNUMBER(MATCH($G3891,Lists!$B$2:$B$7,0)),OR($H3891="",$N3891&gt;0),OR($I3891="",$I3891="NR",$O3891&gt;0),IF(ISNUMBER($J3891),AND($J3891&gt;=0,$J3891=INT($J3891)),FALSE())),$J3891,0)</f>
        <v>0</v>
      </c>
      <c r="Q3891" s="64" t="n">
        <f aca="false">IF(AND($P3891&gt;0,$O3891&gt;0),$P3891,0)</f>
        <v>0</v>
      </c>
      <c r="R3891" s="64" t="n">
        <f aca="false">IF(AND($Q3891&gt;0,$O3891&gt;=AtRank),$Q3891,0)</f>
        <v>0</v>
      </c>
      <c r="S3891" s="64" t="n">
        <f aca="false">IF(AND($Q3891&gt;0,$O3891&gt;=AboveRank),$Q3891,0)</f>
        <v>0</v>
      </c>
      <c r="T3891" s="64" t="n">
        <f aca="false">IF($K3891="Less",$P3891,0)</f>
        <v>0</v>
      </c>
      <c r="U3891" s="64" t="n">
        <f aca="false">IF($K3891="Expected",$P3891,0)</f>
        <v>0</v>
      </c>
      <c r="V3891" s="64" t="n">
        <f aca="false">IF($K3891="Better",$P3891,0)</f>
        <v>0</v>
      </c>
      <c r="W3891" s="64" t="n">
        <f aca="false">IF($K3891="U – needs rule",$P3891,0)</f>
        <v>0</v>
      </c>
      <c r="X3891" s="64" t="n">
        <f aca="false">IF($K3891="No Start (attainment only)",$P3891,0)</f>
        <v>0</v>
      </c>
    </row>
    <row r="3892" customFormat="false" ht="15" hidden="false" customHeight="false" outlineLevel="0" collapsed="false">
      <c r="A3892" s="60"/>
      <c r="B3892" s="61" t="str">
        <f aca="false">IF($M3892=0,"",INDEX(Classes!$E$6:$E$420,$M3892))</f>
        <v/>
      </c>
      <c r="C3892" s="62" t="str">
        <f aca="false">IF($M3892=0,"",INDEX(Classes!$H$6:$H$420,$M3892))</f>
        <v/>
      </c>
      <c r="D3892" s="61" t="str">
        <f aca="false">IF($M3892=0,"",INDEX(Classes!$B$6:$B$420,$M3892))</f>
        <v/>
      </c>
      <c r="E3892" s="61" t="str">
        <f aca="false">IF($M3892=0,"",INDEX(Classes!$C$6:$C$420,$M3892))</f>
        <v/>
      </c>
      <c r="F3892" s="63"/>
      <c r="G3892" s="63"/>
      <c r="H3892" s="60"/>
      <c r="I3892" s="60"/>
      <c r="J3892" s="63"/>
      <c r="K3892" s="61" t="str">
        <f aca="false">IF($P3892=0,"",IF($F3892="Baseline","— Baseline",IF($O3892=0,"No result",IF($N3892=0,"No Start (attainment only)",IF(OR($N3892=1,$O3892=1),"U – needs rule",INDEX(MxBody,MATCH($I3892,MxCurr,0),MATCH($H3892,MxStart,0)))))))</f>
        <v/>
      </c>
      <c r="L3892" s="62" t="str">
        <f aca="false">IF(COUNTA($A3892,$F3892,$G3892,$H3892,$I3892,$J3892)=0,"",IF($M3892=0,"✖ كود الصف غير موجود",IF(ISNA(MATCH($F3892,Lists!$A$2:$A$5,0)),"✖ الفترة غير صحيحة",IF(ISNA(MATCH($G3892,Lists!$B$2:$B$7,0)),"✖ المجموعة غير صحيحة",IF(NOT(OR($H3892="",$N3892&gt;0)),"✖ Start غير صحيح",IF(NOT(OR($I3892="",$I3892="NR",$O3892&gt;0)),"✖ Current غير صحيح",IF(NOT(IF(ISNUMBER($J3892),AND($J3892&gt;=0,$J3892=INT($J3892)),FALSE())),"✖ العدد يجب أن يكون صحيحًا ≥ 0",IF(AND($F3892="Baseline",$H3892&lt;&gt;""),"⚠ Baseline: Start لا يدخل في التقدم",IF($K3892="No Start (attainment only)","ℹ تحصيل فقط (بدون Start)",IF($K3892="U – needs rule","ℹ حالة U تحتاج قاعدة معتمدة",IF($K3892="No result","ℹ بدون نتيجة (يُستبعد من التحصيل)","OK")))))))))))</f>
        <v/>
      </c>
      <c r="M3892" s="64" t="n">
        <f aca="false">IF($A3892="",0,IFERROR(MATCH($A3892,Classes!$A$6:$A$420,0),0))</f>
        <v>0</v>
      </c>
      <c r="N3892" s="64" t="n">
        <f aca="false">IF($H3892="",0,IFERROR(MATCH($H3892,GradeList,0),0))</f>
        <v>0</v>
      </c>
      <c r="O3892" s="64" t="n">
        <f aca="false">IF(OR($I3892="",$I3892="NR"),0,IFERROR(MATCH($I3892,GradeList,0),0))</f>
        <v>0</v>
      </c>
      <c r="P3892" s="64" t="n">
        <f aca="false">IF(AND($M3892&gt;0,ISNUMBER(MATCH($F3892,Lists!$A$2:$A$5,0)),ISNUMBER(MATCH($G3892,Lists!$B$2:$B$7,0)),OR($H3892="",$N3892&gt;0),OR($I3892="",$I3892="NR",$O3892&gt;0),IF(ISNUMBER($J3892),AND($J3892&gt;=0,$J3892=INT($J3892)),FALSE())),$J3892,0)</f>
        <v>0</v>
      </c>
      <c r="Q3892" s="64" t="n">
        <f aca="false">IF(AND($P3892&gt;0,$O3892&gt;0),$P3892,0)</f>
        <v>0</v>
      </c>
      <c r="R3892" s="64" t="n">
        <f aca="false">IF(AND($Q3892&gt;0,$O3892&gt;=AtRank),$Q3892,0)</f>
        <v>0</v>
      </c>
      <c r="S3892" s="64" t="n">
        <f aca="false">IF(AND($Q3892&gt;0,$O3892&gt;=AboveRank),$Q3892,0)</f>
        <v>0</v>
      </c>
      <c r="T3892" s="64" t="n">
        <f aca="false">IF($K3892="Less",$P3892,0)</f>
        <v>0</v>
      </c>
      <c r="U3892" s="64" t="n">
        <f aca="false">IF($K3892="Expected",$P3892,0)</f>
        <v>0</v>
      </c>
      <c r="V3892" s="64" t="n">
        <f aca="false">IF($K3892="Better",$P3892,0)</f>
        <v>0</v>
      </c>
      <c r="W3892" s="64" t="n">
        <f aca="false">IF($K3892="U – needs rule",$P3892,0)</f>
        <v>0</v>
      </c>
      <c r="X3892" s="64" t="n">
        <f aca="false">IF($K3892="No Start (attainment only)",$P3892,0)</f>
        <v>0</v>
      </c>
    </row>
    <row r="3893" customFormat="false" ht="15" hidden="false" customHeight="false" outlineLevel="0" collapsed="false">
      <c r="A3893" s="60"/>
      <c r="B3893" s="61" t="str">
        <f aca="false">IF($M3893=0,"",INDEX(Classes!$E$6:$E$420,$M3893))</f>
        <v/>
      </c>
      <c r="C3893" s="62" t="str">
        <f aca="false">IF($M3893=0,"",INDEX(Classes!$H$6:$H$420,$M3893))</f>
        <v/>
      </c>
      <c r="D3893" s="61" t="str">
        <f aca="false">IF($M3893=0,"",INDEX(Classes!$B$6:$B$420,$M3893))</f>
        <v/>
      </c>
      <c r="E3893" s="61" t="str">
        <f aca="false">IF($M3893=0,"",INDEX(Classes!$C$6:$C$420,$M3893))</f>
        <v/>
      </c>
      <c r="F3893" s="63"/>
      <c r="G3893" s="63"/>
      <c r="H3893" s="60"/>
      <c r="I3893" s="60"/>
      <c r="J3893" s="63"/>
      <c r="K3893" s="61" t="str">
        <f aca="false">IF($P3893=0,"",IF($F3893="Baseline","— Baseline",IF($O3893=0,"No result",IF($N3893=0,"No Start (attainment only)",IF(OR($N3893=1,$O3893=1),"U – needs rule",INDEX(MxBody,MATCH($I3893,MxCurr,0),MATCH($H3893,MxStart,0)))))))</f>
        <v/>
      </c>
      <c r="L3893" s="62" t="str">
        <f aca="false">IF(COUNTA($A3893,$F3893,$G3893,$H3893,$I3893,$J3893)=0,"",IF($M3893=0,"✖ كود الصف غير موجود",IF(ISNA(MATCH($F3893,Lists!$A$2:$A$5,0)),"✖ الفترة غير صحيحة",IF(ISNA(MATCH($G3893,Lists!$B$2:$B$7,0)),"✖ المجموعة غير صحيحة",IF(NOT(OR($H3893="",$N3893&gt;0)),"✖ Start غير صحيح",IF(NOT(OR($I3893="",$I3893="NR",$O3893&gt;0)),"✖ Current غير صحيح",IF(NOT(IF(ISNUMBER($J3893),AND($J3893&gt;=0,$J3893=INT($J3893)),FALSE())),"✖ العدد يجب أن يكون صحيحًا ≥ 0",IF(AND($F3893="Baseline",$H3893&lt;&gt;""),"⚠ Baseline: Start لا يدخل في التقدم",IF($K3893="No Start (attainment only)","ℹ تحصيل فقط (بدون Start)",IF($K3893="U – needs rule","ℹ حالة U تحتاج قاعدة معتمدة",IF($K3893="No result","ℹ بدون نتيجة (يُستبعد من التحصيل)","OK")))))))))))</f>
        <v/>
      </c>
      <c r="M3893" s="64" t="n">
        <f aca="false">IF($A3893="",0,IFERROR(MATCH($A3893,Classes!$A$6:$A$420,0),0))</f>
        <v>0</v>
      </c>
      <c r="N3893" s="64" t="n">
        <f aca="false">IF($H3893="",0,IFERROR(MATCH($H3893,GradeList,0),0))</f>
        <v>0</v>
      </c>
      <c r="O3893" s="64" t="n">
        <f aca="false">IF(OR($I3893="",$I3893="NR"),0,IFERROR(MATCH($I3893,GradeList,0),0))</f>
        <v>0</v>
      </c>
      <c r="P3893" s="64" t="n">
        <f aca="false">IF(AND($M3893&gt;0,ISNUMBER(MATCH($F3893,Lists!$A$2:$A$5,0)),ISNUMBER(MATCH($G3893,Lists!$B$2:$B$7,0)),OR($H3893="",$N3893&gt;0),OR($I3893="",$I3893="NR",$O3893&gt;0),IF(ISNUMBER($J3893),AND($J3893&gt;=0,$J3893=INT($J3893)),FALSE())),$J3893,0)</f>
        <v>0</v>
      </c>
      <c r="Q3893" s="64" t="n">
        <f aca="false">IF(AND($P3893&gt;0,$O3893&gt;0),$P3893,0)</f>
        <v>0</v>
      </c>
      <c r="R3893" s="64" t="n">
        <f aca="false">IF(AND($Q3893&gt;0,$O3893&gt;=AtRank),$Q3893,0)</f>
        <v>0</v>
      </c>
      <c r="S3893" s="64" t="n">
        <f aca="false">IF(AND($Q3893&gt;0,$O3893&gt;=AboveRank),$Q3893,0)</f>
        <v>0</v>
      </c>
      <c r="T3893" s="64" t="n">
        <f aca="false">IF($K3893="Less",$P3893,0)</f>
        <v>0</v>
      </c>
      <c r="U3893" s="64" t="n">
        <f aca="false">IF($K3893="Expected",$P3893,0)</f>
        <v>0</v>
      </c>
      <c r="V3893" s="64" t="n">
        <f aca="false">IF($K3893="Better",$P3893,0)</f>
        <v>0</v>
      </c>
      <c r="W3893" s="64" t="n">
        <f aca="false">IF($K3893="U – needs rule",$P3893,0)</f>
        <v>0</v>
      </c>
      <c r="X3893" s="64" t="n">
        <f aca="false">IF($K3893="No Start (attainment only)",$P3893,0)</f>
        <v>0</v>
      </c>
    </row>
    <row r="3894" customFormat="false" ht="15" hidden="false" customHeight="false" outlineLevel="0" collapsed="false">
      <c r="A3894" s="60"/>
      <c r="B3894" s="61" t="str">
        <f aca="false">IF($M3894=0,"",INDEX(Classes!$E$6:$E$420,$M3894))</f>
        <v/>
      </c>
      <c r="C3894" s="62" t="str">
        <f aca="false">IF($M3894=0,"",INDEX(Classes!$H$6:$H$420,$M3894))</f>
        <v/>
      </c>
      <c r="D3894" s="61" t="str">
        <f aca="false">IF($M3894=0,"",INDEX(Classes!$B$6:$B$420,$M3894))</f>
        <v/>
      </c>
      <c r="E3894" s="61" t="str">
        <f aca="false">IF($M3894=0,"",INDEX(Classes!$C$6:$C$420,$M3894))</f>
        <v/>
      </c>
      <c r="F3894" s="63"/>
      <c r="G3894" s="63"/>
      <c r="H3894" s="60"/>
      <c r="I3894" s="60"/>
      <c r="J3894" s="63"/>
      <c r="K3894" s="61" t="str">
        <f aca="false">IF($P3894=0,"",IF($F3894="Baseline","— Baseline",IF($O3894=0,"No result",IF($N3894=0,"No Start (attainment only)",IF(OR($N3894=1,$O3894=1),"U – needs rule",INDEX(MxBody,MATCH($I3894,MxCurr,0),MATCH($H3894,MxStart,0)))))))</f>
        <v/>
      </c>
      <c r="L3894" s="62" t="str">
        <f aca="false">IF(COUNTA($A3894,$F3894,$G3894,$H3894,$I3894,$J3894)=0,"",IF($M3894=0,"✖ كود الصف غير موجود",IF(ISNA(MATCH($F3894,Lists!$A$2:$A$5,0)),"✖ الفترة غير صحيحة",IF(ISNA(MATCH($G3894,Lists!$B$2:$B$7,0)),"✖ المجموعة غير صحيحة",IF(NOT(OR($H3894="",$N3894&gt;0)),"✖ Start غير صحيح",IF(NOT(OR($I3894="",$I3894="NR",$O3894&gt;0)),"✖ Current غير صحيح",IF(NOT(IF(ISNUMBER($J3894),AND($J3894&gt;=0,$J3894=INT($J3894)),FALSE())),"✖ العدد يجب أن يكون صحيحًا ≥ 0",IF(AND($F3894="Baseline",$H3894&lt;&gt;""),"⚠ Baseline: Start لا يدخل في التقدم",IF($K3894="No Start (attainment only)","ℹ تحصيل فقط (بدون Start)",IF($K3894="U – needs rule","ℹ حالة U تحتاج قاعدة معتمدة",IF($K3894="No result","ℹ بدون نتيجة (يُستبعد من التحصيل)","OK")))))))))))</f>
        <v/>
      </c>
      <c r="M3894" s="64" t="n">
        <f aca="false">IF($A3894="",0,IFERROR(MATCH($A3894,Classes!$A$6:$A$420,0),0))</f>
        <v>0</v>
      </c>
      <c r="N3894" s="64" t="n">
        <f aca="false">IF($H3894="",0,IFERROR(MATCH($H3894,GradeList,0),0))</f>
        <v>0</v>
      </c>
      <c r="O3894" s="64" t="n">
        <f aca="false">IF(OR($I3894="",$I3894="NR"),0,IFERROR(MATCH($I3894,GradeList,0),0))</f>
        <v>0</v>
      </c>
      <c r="P3894" s="64" t="n">
        <f aca="false">IF(AND($M3894&gt;0,ISNUMBER(MATCH($F3894,Lists!$A$2:$A$5,0)),ISNUMBER(MATCH($G3894,Lists!$B$2:$B$7,0)),OR($H3894="",$N3894&gt;0),OR($I3894="",$I3894="NR",$O3894&gt;0),IF(ISNUMBER($J3894),AND($J3894&gt;=0,$J3894=INT($J3894)),FALSE())),$J3894,0)</f>
        <v>0</v>
      </c>
      <c r="Q3894" s="64" t="n">
        <f aca="false">IF(AND($P3894&gt;0,$O3894&gt;0),$P3894,0)</f>
        <v>0</v>
      </c>
      <c r="R3894" s="64" t="n">
        <f aca="false">IF(AND($Q3894&gt;0,$O3894&gt;=AtRank),$Q3894,0)</f>
        <v>0</v>
      </c>
      <c r="S3894" s="64" t="n">
        <f aca="false">IF(AND($Q3894&gt;0,$O3894&gt;=AboveRank),$Q3894,0)</f>
        <v>0</v>
      </c>
      <c r="T3894" s="64" t="n">
        <f aca="false">IF($K3894="Less",$P3894,0)</f>
        <v>0</v>
      </c>
      <c r="U3894" s="64" t="n">
        <f aca="false">IF($K3894="Expected",$P3894,0)</f>
        <v>0</v>
      </c>
      <c r="V3894" s="64" t="n">
        <f aca="false">IF($K3894="Better",$P3894,0)</f>
        <v>0</v>
      </c>
      <c r="W3894" s="64" t="n">
        <f aca="false">IF($K3894="U – needs rule",$P3894,0)</f>
        <v>0</v>
      </c>
      <c r="X3894" s="64" t="n">
        <f aca="false">IF($K3894="No Start (attainment only)",$P3894,0)</f>
        <v>0</v>
      </c>
    </row>
    <row r="3895" customFormat="false" ht="15" hidden="false" customHeight="false" outlineLevel="0" collapsed="false">
      <c r="A3895" s="60"/>
      <c r="B3895" s="61" t="str">
        <f aca="false">IF($M3895=0,"",INDEX(Classes!$E$6:$E$420,$M3895))</f>
        <v/>
      </c>
      <c r="C3895" s="62" t="str">
        <f aca="false">IF($M3895=0,"",INDEX(Classes!$H$6:$H$420,$M3895))</f>
        <v/>
      </c>
      <c r="D3895" s="61" t="str">
        <f aca="false">IF($M3895=0,"",INDEX(Classes!$B$6:$B$420,$M3895))</f>
        <v/>
      </c>
      <c r="E3895" s="61" t="str">
        <f aca="false">IF($M3895=0,"",INDEX(Classes!$C$6:$C$420,$M3895))</f>
        <v/>
      </c>
      <c r="F3895" s="63"/>
      <c r="G3895" s="63"/>
      <c r="H3895" s="60"/>
      <c r="I3895" s="60"/>
      <c r="J3895" s="63"/>
      <c r="K3895" s="61" t="str">
        <f aca="false">IF($P3895=0,"",IF($F3895="Baseline","— Baseline",IF($O3895=0,"No result",IF($N3895=0,"No Start (attainment only)",IF(OR($N3895=1,$O3895=1),"U – needs rule",INDEX(MxBody,MATCH($I3895,MxCurr,0),MATCH($H3895,MxStart,0)))))))</f>
        <v/>
      </c>
      <c r="L3895" s="62" t="str">
        <f aca="false">IF(COUNTA($A3895,$F3895,$G3895,$H3895,$I3895,$J3895)=0,"",IF($M3895=0,"✖ كود الصف غير موجود",IF(ISNA(MATCH($F3895,Lists!$A$2:$A$5,0)),"✖ الفترة غير صحيحة",IF(ISNA(MATCH($G3895,Lists!$B$2:$B$7,0)),"✖ المجموعة غير صحيحة",IF(NOT(OR($H3895="",$N3895&gt;0)),"✖ Start غير صحيح",IF(NOT(OR($I3895="",$I3895="NR",$O3895&gt;0)),"✖ Current غير صحيح",IF(NOT(IF(ISNUMBER($J3895),AND($J3895&gt;=0,$J3895=INT($J3895)),FALSE())),"✖ العدد يجب أن يكون صحيحًا ≥ 0",IF(AND($F3895="Baseline",$H3895&lt;&gt;""),"⚠ Baseline: Start لا يدخل في التقدم",IF($K3895="No Start (attainment only)","ℹ تحصيل فقط (بدون Start)",IF($K3895="U – needs rule","ℹ حالة U تحتاج قاعدة معتمدة",IF($K3895="No result","ℹ بدون نتيجة (يُستبعد من التحصيل)","OK")))))))))))</f>
        <v/>
      </c>
      <c r="M3895" s="64" t="n">
        <f aca="false">IF($A3895="",0,IFERROR(MATCH($A3895,Classes!$A$6:$A$420,0),0))</f>
        <v>0</v>
      </c>
      <c r="N3895" s="64" t="n">
        <f aca="false">IF($H3895="",0,IFERROR(MATCH($H3895,GradeList,0),0))</f>
        <v>0</v>
      </c>
      <c r="O3895" s="64" t="n">
        <f aca="false">IF(OR($I3895="",$I3895="NR"),0,IFERROR(MATCH($I3895,GradeList,0),0))</f>
        <v>0</v>
      </c>
      <c r="P3895" s="64" t="n">
        <f aca="false">IF(AND($M3895&gt;0,ISNUMBER(MATCH($F3895,Lists!$A$2:$A$5,0)),ISNUMBER(MATCH($G3895,Lists!$B$2:$B$7,0)),OR($H3895="",$N3895&gt;0),OR($I3895="",$I3895="NR",$O3895&gt;0),IF(ISNUMBER($J3895),AND($J3895&gt;=0,$J3895=INT($J3895)),FALSE())),$J3895,0)</f>
        <v>0</v>
      </c>
      <c r="Q3895" s="64" t="n">
        <f aca="false">IF(AND($P3895&gt;0,$O3895&gt;0),$P3895,0)</f>
        <v>0</v>
      </c>
      <c r="R3895" s="64" t="n">
        <f aca="false">IF(AND($Q3895&gt;0,$O3895&gt;=AtRank),$Q3895,0)</f>
        <v>0</v>
      </c>
      <c r="S3895" s="64" t="n">
        <f aca="false">IF(AND($Q3895&gt;0,$O3895&gt;=AboveRank),$Q3895,0)</f>
        <v>0</v>
      </c>
      <c r="T3895" s="64" t="n">
        <f aca="false">IF($K3895="Less",$P3895,0)</f>
        <v>0</v>
      </c>
      <c r="U3895" s="64" t="n">
        <f aca="false">IF($K3895="Expected",$P3895,0)</f>
        <v>0</v>
      </c>
      <c r="V3895" s="64" t="n">
        <f aca="false">IF($K3895="Better",$P3895,0)</f>
        <v>0</v>
      </c>
      <c r="W3895" s="64" t="n">
        <f aca="false">IF($K3895="U – needs rule",$P3895,0)</f>
        <v>0</v>
      </c>
      <c r="X3895" s="64" t="n">
        <f aca="false">IF($K3895="No Start (attainment only)",$P3895,0)</f>
        <v>0</v>
      </c>
    </row>
    <row r="3896" customFormat="false" ht="15" hidden="false" customHeight="false" outlineLevel="0" collapsed="false">
      <c r="A3896" s="60"/>
      <c r="B3896" s="61" t="str">
        <f aca="false">IF($M3896=0,"",INDEX(Classes!$E$6:$E$420,$M3896))</f>
        <v/>
      </c>
      <c r="C3896" s="62" t="str">
        <f aca="false">IF($M3896=0,"",INDEX(Classes!$H$6:$H$420,$M3896))</f>
        <v/>
      </c>
      <c r="D3896" s="61" t="str">
        <f aca="false">IF($M3896=0,"",INDEX(Classes!$B$6:$B$420,$M3896))</f>
        <v/>
      </c>
      <c r="E3896" s="61" t="str">
        <f aca="false">IF($M3896=0,"",INDEX(Classes!$C$6:$C$420,$M3896))</f>
        <v/>
      </c>
      <c r="F3896" s="63"/>
      <c r="G3896" s="63"/>
      <c r="H3896" s="60"/>
      <c r="I3896" s="60"/>
      <c r="J3896" s="63"/>
      <c r="K3896" s="61" t="str">
        <f aca="false">IF($P3896=0,"",IF($F3896="Baseline","— Baseline",IF($O3896=0,"No result",IF($N3896=0,"No Start (attainment only)",IF(OR($N3896=1,$O3896=1),"U – needs rule",INDEX(MxBody,MATCH($I3896,MxCurr,0),MATCH($H3896,MxStart,0)))))))</f>
        <v/>
      </c>
      <c r="L3896" s="62" t="str">
        <f aca="false">IF(COUNTA($A3896,$F3896,$G3896,$H3896,$I3896,$J3896)=0,"",IF($M3896=0,"✖ كود الصف غير موجود",IF(ISNA(MATCH($F3896,Lists!$A$2:$A$5,0)),"✖ الفترة غير صحيحة",IF(ISNA(MATCH($G3896,Lists!$B$2:$B$7,0)),"✖ المجموعة غير صحيحة",IF(NOT(OR($H3896="",$N3896&gt;0)),"✖ Start غير صحيح",IF(NOT(OR($I3896="",$I3896="NR",$O3896&gt;0)),"✖ Current غير صحيح",IF(NOT(IF(ISNUMBER($J3896),AND($J3896&gt;=0,$J3896=INT($J3896)),FALSE())),"✖ العدد يجب أن يكون صحيحًا ≥ 0",IF(AND($F3896="Baseline",$H3896&lt;&gt;""),"⚠ Baseline: Start لا يدخل في التقدم",IF($K3896="No Start (attainment only)","ℹ تحصيل فقط (بدون Start)",IF($K3896="U – needs rule","ℹ حالة U تحتاج قاعدة معتمدة",IF($K3896="No result","ℹ بدون نتيجة (يُستبعد من التحصيل)","OK")))))))))))</f>
        <v/>
      </c>
      <c r="M3896" s="64" t="n">
        <f aca="false">IF($A3896="",0,IFERROR(MATCH($A3896,Classes!$A$6:$A$420,0),0))</f>
        <v>0</v>
      </c>
      <c r="N3896" s="64" t="n">
        <f aca="false">IF($H3896="",0,IFERROR(MATCH($H3896,GradeList,0),0))</f>
        <v>0</v>
      </c>
      <c r="O3896" s="64" t="n">
        <f aca="false">IF(OR($I3896="",$I3896="NR"),0,IFERROR(MATCH($I3896,GradeList,0),0))</f>
        <v>0</v>
      </c>
      <c r="P3896" s="64" t="n">
        <f aca="false">IF(AND($M3896&gt;0,ISNUMBER(MATCH($F3896,Lists!$A$2:$A$5,0)),ISNUMBER(MATCH($G3896,Lists!$B$2:$B$7,0)),OR($H3896="",$N3896&gt;0),OR($I3896="",$I3896="NR",$O3896&gt;0),IF(ISNUMBER($J3896),AND($J3896&gt;=0,$J3896=INT($J3896)),FALSE())),$J3896,0)</f>
        <v>0</v>
      </c>
      <c r="Q3896" s="64" t="n">
        <f aca="false">IF(AND($P3896&gt;0,$O3896&gt;0),$P3896,0)</f>
        <v>0</v>
      </c>
      <c r="R3896" s="64" t="n">
        <f aca="false">IF(AND($Q3896&gt;0,$O3896&gt;=AtRank),$Q3896,0)</f>
        <v>0</v>
      </c>
      <c r="S3896" s="64" t="n">
        <f aca="false">IF(AND($Q3896&gt;0,$O3896&gt;=AboveRank),$Q3896,0)</f>
        <v>0</v>
      </c>
      <c r="T3896" s="64" t="n">
        <f aca="false">IF($K3896="Less",$P3896,0)</f>
        <v>0</v>
      </c>
      <c r="U3896" s="64" t="n">
        <f aca="false">IF($K3896="Expected",$P3896,0)</f>
        <v>0</v>
      </c>
      <c r="V3896" s="64" t="n">
        <f aca="false">IF($K3896="Better",$P3896,0)</f>
        <v>0</v>
      </c>
      <c r="W3896" s="64" t="n">
        <f aca="false">IF($K3896="U – needs rule",$P3896,0)</f>
        <v>0</v>
      </c>
      <c r="X3896" s="64" t="n">
        <f aca="false">IF($K3896="No Start (attainment only)",$P3896,0)</f>
        <v>0</v>
      </c>
    </row>
    <row r="3897" customFormat="false" ht="15" hidden="false" customHeight="false" outlineLevel="0" collapsed="false">
      <c r="A3897" s="60"/>
      <c r="B3897" s="61" t="str">
        <f aca="false">IF($M3897=0,"",INDEX(Classes!$E$6:$E$420,$M3897))</f>
        <v/>
      </c>
      <c r="C3897" s="62" t="str">
        <f aca="false">IF($M3897=0,"",INDEX(Classes!$H$6:$H$420,$M3897))</f>
        <v/>
      </c>
      <c r="D3897" s="61" t="str">
        <f aca="false">IF($M3897=0,"",INDEX(Classes!$B$6:$B$420,$M3897))</f>
        <v/>
      </c>
      <c r="E3897" s="61" t="str">
        <f aca="false">IF($M3897=0,"",INDEX(Classes!$C$6:$C$420,$M3897))</f>
        <v/>
      </c>
      <c r="F3897" s="63"/>
      <c r="G3897" s="63"/>
      <c r="H3897" s="60"/>
      <c r="I3897" s="60"/>
      <c r="J3897" s="63"/>
      <c r="K3897" s="61" t="str">
        <f aca="false">IF($P3897=0,"",IF($F3897="Baseline","— Baseline",IF($O3897=0,"No result",IF($N3897=0,"No Start (attainment only)",IF(OR($N3897=1,$O3897=1),"U – needs rule",INDEX(MxBody,MATCH($I3897,MxCurr,0),MATCH($H3897,MxStart,0)))))))</f>
        <v/>
      </c>
      <c r="L3897" s="62" t="str">
        <f aca="false">IF(COUNTA($A3897,$F3897,$G3897,$H3897,$I3897,$J3897)=0,"",IF($M3897=0,"✖ كود الصف غير موجود",IF(ISNA(MATCH($F3897,Lists!$A$2:$A$5,0)),"✖ الفترة غير صحيحة",IF(ISNA(MATCH($G3897,Lists!$B$2:$B$7,0)),"✖ المجموعة غير صحيحة",IF(NOT(OR($H3897="",$N3897&gt;0)),"✖ Start غير صحيح",IF(NOT(OR($I3897="",$I3897="NR",$O3897&gt;0)),"✖ Current غير صحيح",IF(NOT(IF(ISNUMBER($J3897),AND($J3897&gt;=0,$J3897=INT($J3897)),FALSE())),"✖ العدد يجب أن يكون صحيحًا ≥ 0",IF(AND($F3897="Baseline",$H3897&lt;&gt;""),"⚠ Baseline: Start لا يدخل في التقدم",IF($K3897="No Start (attainment only)","ℹ تحصيل فقط (بدون Start)",IF($K3897="U – needs rule","ℹ حالة U تحتاج قاعدة معتمدة",IF($K3897="No result","ℹ بدون نتيجة (يُستبعد من التحصيل)","OK")))))))))))</f>
        <v/>
      </c>
      <c r="M3897" s="64" t="n">
        <f aca="false">IF($A3897="",0,IFERROR(MATCH($A3897,Classes!$A$6:$A$420,0),0))</f>
        <v>0</v>
      </c>
      <c r="N3897" s="64" t="n">
        <f aca="false">IF($H3897="",0,IFERROR(MATCH($H3897,GradeList,0),0))</f>
        <v>0</v>
      </c>
      <c r="O3897" s="64" t="n">
        <f aca="false">IF(OR($I3897="",$I3897="NR"),0,IFERROR(MATCH($I3897,GradeList,0),0))</f>
        <v>0</v>
      </c>
      <c r="P3897" s="64" t="n">
        <f aca="false">IF(AND($M3897&gt;0,ISNUMBER(MATCH($F3897,Lists!$A$2:$A$5,0)),ISNUMBER(MATCH($G3897,Lists!$B$2:$B$7,0)),OR($H3897="",$N3897&gt;0),OR($I3897="",$I3897="NR",$O3897&gt;0),IF(ISNUMBER($J3897),AND($J3897&gt;=0,$J3897=INT($J3897)),FALSE())),$J3897,0)</f>
        <v>0</v>
      </c>
      <c r="Q3897" s="64" t="n">
        <f aca="false">IF(AND($P3897&gt;0,$O3897&gt;0),$P3897,0)</f>
        <v>0</v>
      </c>
      <c r="R3897" s="64" t="n">
        <f aca="false">IF(AND($Q3897&gt;0,$O3897&gt;=AtRank),$Q3897,0)</f>
        <v>0</v>
      </c>
      <c r="S3897" s="64" t="n">
        <f aca="false">IF(AND($Q3897&gt;0,$O3897&gt;=AboveRank),$Q3897,0)</f>
        <v>0</v>
      </c>
      <c r="T3897" s="64" t="n">
        <f aca="false">IF($K3897="Less",$P3897,0)</f>
        <v>0</v>
      </c>
      <c r="U3897" s="64" t="n">
        <f aca="false">IF($K3897="Expected",$P3897,0)</f>
        <v>0</v>
      </c>
      <c r="V3897" s="64" t="n">
        <f aca="false">IF($K3897="Better",$P3897,0)</f>
        <v>0</v>
      </c>
      <c r="W3897" s="64" t="n">
        <f aca="false">IF($K3897="U – needs rule",$P3897,0)</f>
        <v>0</v>
      </c>
      <c r="X3897" s="64" t="n">
        <f aca="false">IF($K3897="No Start (attainment only)",$P3897,0)</f>
        <v>0</v>
      </c>
    </row>
    <row r="3898" customFormat="false" ht="15" hidden="false" customHeight="false" outlineLevel="0" collapsed="false">
      <c r="A3898" s="60"/>
      <c r="B3898" s="61" t="str">
        <f aca="false">IF($M3898=0,"",INDEX(Classes!$E$6:$E$420,$M3898))</f>
        <v/>
      </c>
      <c r="C3898" s="62" t="str">
        <f aca="false">IF($M3898=0,"",INDEX(Classes!$H$6:$H$420,$M3898))</f>
        <v/>
      </c>
      <c r="D3898" s="61" t="str">
        <f aca="false">IF($M3898=0,"",INDEX(Classes!$B$6:$B$420,$M3898))</f>
        <v/>
      </c>
      <c r="E3898" s="61" t="str">
        <f aca="false">IF($M3898=0,"",INDEX(Classes!$C$6:$C$420,$M3898))</f>
        <v/>
      </c>
      <c r="F3898" s="63"/>
      <c r="G3898" s="63"/>
      <c r="H3898" s="60"/>
      <c r="I3898" s="60"/>
      <c r="J3898" s="63"/>
      <c r="K3898" s="61" t="str">
        <f aca="false">IF($P3898=0,"",IF($F3898="Baseline","— Baseline",IF($O3898=0,"No result",IF($N3898=0,"No Start (attainment only)",IF(OR($N3898=1,$O3898=1),"U – needs rule",INDEX(MxBody,MATCH($I3898,MxCurr,0),MATCH($H3898,MxStart,0)))))))</f>
        <v/>
      </c>
      <c r="L3898" s="62" t="str">
        <f aca="false">IF(COUNTA($A3898,$F3898,$G3898,$H3898,$I3898,$J3898)=0,"",IF($M3898=0,"✖ كود الصف غير موجود",IF(ISNA(MATCH($F3898,Lists!$A$2:$A$5,0)),"✖ الفترة غير صحيحة",IF(ISNA(MATCH($G3898,Lists!$B$2:$B$7,0)),"✖ المجموعة غير صحيحة",IF(NOT(OR($H3898="",$N3898&gt;0)),"✖ Start غير صحيح",IF(NOT(OR($I3898="",$I3898="NR",$O3898&gt;0)),"✖ Current غير صحيح",IF(NOT(IF(ISNUMBER($J3898),AND($J3898&gt;=0,$J3898=INT($J3898)),FALSE())),"✖ العدد يجب أن يكون صحيحًا ≥ 0",IF(AND($F3898="Baseline",$H3898&lt;&gt;""),"⚠ Baseline: Start لا يدخل في التقدم",IF($K3898="No Start (attainment only)","ℹ تحصيل فقط (بدون Start)",IF($K3898="U – needs rule","ℹ حالة U تحتاج قاعدة معتمدة",IF($K3898="No result","ℹ بدون نتيجة (يُستبعد من التحصيل)","OK")))))))))))</f>
        <v/>
      </c>
      <c r="M3898" s="64" t="n">
        <f aca="false">IF($A3898="",0,IFERROR(MATCH($A3898,Classes!$A$6:$A$420,0),0))</f>
        <v>0</v>
      </c>
      <c r="N3898" s="64" t="n">
        <f aca="false">IF($H3898="",0,IFERROR(MATCH($H3898,GradeList,0),0))</f>
        <v>0</v>
      </c>
      <c r="O3898" s="64" t="n">
        <f aca="false">IF(OR($I3898="",$I3898="NR"),0,IFERROR(MATCH($I3898,GradeList,0),0))</f>
        <v>0</v>
      </c>
      <c r="P3898" s="64" t="n">
        <f aca="false">IF(AND($M3898&gt;0,ISNUMBER(MATCH($F3898,Lists!$A$2:$A$5,0)),ISNUMBER(MATCH($G3898,Lists!$B$2:$B$7,0)),OR($H3898="",$N3898&gt;0),OR($I3898="",$I3898="NR",$O3898&gt;0),IF(ISNUMBER($J3898),AND($J3898&gt;=0,$J3898=INT($J3898)),FALSE())),$J3898,0)</f>
        <v>0</v>
      </c>
      <c r="Q3898" s="64" t="n">
        <f aca="false">IF(AND($P3898&gt;0,$O3898&gt;0),$P3898,0)</f>
        <v>0</v>
      </c>
      <c r="R3898" s="64" t="n">
        <f aca="false">IF(AND($Q3898&gt;0,$O3898&gt;=AtRank),$Q3898,0)</f>
        <v>0</v>
      </c>
      <c r="S3898" s="64" t="n">
        <f aca="false">IF(AND($Q3898&gt;0,$O3898&gt;=AboveRank),$Q3898,0)</f>
        <v>0</v>
      </c>
      <c r="T3898" s="64" t="n">
        <f aca="false">IF($K3898="Less",$P3898,0)</f>
        <v>0</v>
      </c>
      <c r="U3898" s="64" t="n">
        <f aca="false">IF($K3898="Expected",$P3898,0)</f>
        <v>0</v>
      </c>
      <c r="V3898" s="64" t="n">
        <f aca="false">IF($K3898="Better",$P3898,0)</f>
        <v>0</v>
      </c>
      <c r="W3898" s="64" t="n">
        <f aca="false">IF($K3898="U – needs rule",$P3898,0)</f>
        <v>0</v>
      </c>
      <c r="X3898" s="64" t="n">
        <f aca="false">IF($K3898="No Start (attainment only)",$P3898,0)</f>
        <v>0</v>
      </c>
    </row>
    <row r="3899" customFormat="false" ht="15" hidden="false" customHeight="false" outlineLevel="0" collapsed="false">
      <c r="A3899" s="60"/>
      <c r="B3899" s="61" t="str">
        <f aca="false">IF($M3899=0,"",INDEX(Classes!$E$6:$E$420,$M3899))</f>
        <v/>
      </c>
      <c r="C3899" s="62" t="str">
        <f aca="false">IF($M3899=0,"",INDEX(Classes!$H$6:$H$420,$M3899))</f>
        <v/>
      </c>
      <c r="D3899" s="61" t="str">
        <f aca="false">IF($M3899=0,"",INDEX(Classes!$B$6:$B$420,$M3899))</f>
        <v/>
      </c>
      <c r="E3899" s="61" t="str">
        <f aca="false">IF($M3899=0,"",INDEX(Classes!$C$6:$C$420,$M3899))</f>
        <v/>
      </c>
      <c r="F3899" s="63"/>
      <c r="G3899" s="63"/>
      <c r="H3899" s="60"/>
      <c r="I3899" s="60"/>
      <c r="J3899" s="63"/>
      <c r="K3899" s="61" t="str">
        <f aca="false">IF($P3899=0,"",IF($F3899="Baseline","— Baseline",IF($O3899=0,"No result",IF($N3899=0,"No Start (attainment only)",IF(OR($N3899=1,$O3899=1),"U – needs rule",INDEX(MxBody,MATCH($I3899,MxCurr,0),MATCH($H3899,MxStart,0)))))))</f>
        <v/>
      </c>
      <c r="L3899" s="62" t="str">
        <f aca="false">IF(COUNTA($A3899,$F3899,$G3899,$H3899,$I3899,$J3899)=0,"",IF($M3899=0,"✖ كود الصف غير موجود",IF(ISNA(MATCH($F3899,Lists!$A$2:$A$5,0)),"✖ الفترة غير صحيحة",IF(ISNA(MATCH($G3899,Lists!$B$2:$B$7,0)),"✖ المجموعة غير صحيحة",IF(NOT(OR($H3899="",$N3899&gt;0)),"✖ Start غير صحيح",IF(NOT(OR($I3899="",$I3899="NR",$O3899&gt;0)),"✖ Current غير صحيح",IF(NOT(IF(ISNUMBER($J3899),AND($J3899&gt;=0,$J3899=INT($J3899)),FALSE())),"✖ العدد يجب أن يكون صحيحًا ≥ 0",IF(AND($F3899="Baseline",$H3899&lt;&gt;""),"⚠ Baseline: Start لا يدخل في التقدم",IF($K3899="No Start (attainment only)","ℹ تحصيل فقط (بدون Start)",IF($K3899="U – needs rule","ℹ حالة U تحتاج قاعدة معتمدة",IF($K3899="No result","ℹ بدون نتيجة (يُستبعد من التحصيل)","OK")))))))))))</f>
        <v/>
      </c>
      <c r="M3899" s="64" t="n">
        <f aca="false">IF($A3899="",0,IFERROR(MATCH($A3899,Classes!$A$6:$A$420,0),0))</f>
        <v>0</v>
      </c>
      <c r="N3899" s="64" t="n">
        <f aca="false">IF($H3899="",0,IFERROR(MATCH($H3899,GradeList,0),0))</f>
        <v>0</v>
      </c>
      <c r="O3899" s="64" t="n">
        <f aca="false">IF(OR($I3899="",$I3899="NR"),0,IFERROR(MATCH($I3899,GradeList,0),0))</f>
        <v>0</v>
      </c>
      <c r="P3899" s="64" t="n">
        <f aca="false">IF(AND($M3899&gt;0,ISNUMBER(MATCH($F3899,Lists!$A$2:$A$5,0)),ISNUMBER(MATCH($G3899,Lists!$B$2:$B$7,0)),OR($H3899="",$N3899&gt;0),OR($I3899="",$I3899="NR",$O3899&gt;0),IF(ISNUMBER($J3899),AND($J3899&gt;=0,$J3899=INT($J3899)),FALSE())),$J3899,0)</f>
        <v>0</v>
      </c>
      <c r="Q3899" s="64" t="n">
        <f aca="false">IF(AND($P3899&gt;0,$O3899&gt;0),$P3899,0)</f>
        <v>0</v>
      </c>
      <c r="R3899" s="64" t="n">
        <f aca="false">IF(AND($Q3899&gt;0,$O3899&gt;=AtRank),$Q3899,0)</f>
        <v>0</v>
      </c>
      <c r="S3899" s="64" t="n">
        <f aca="false">IF(AND($Q3899&gt;0,$O3899&gt;=AboveRank),$Q3899,0)</f>
        <v>0</v>
      </c>
      <c r="T3899" s="64" t="n">
        <f aca="false">IF($K3899="Less",$P3899,0)</f>
        <v>0</v>
      </c>
      <c r="U3899" s="64" t="n">
        <f aca="false">IF($K3899="Expected",$P3899,0)</f>
        <v>0</v>
      </c>
      <c r="V3899" s="64" t="n">
        <f aca="false">IF($K3899="Better",$P3899,0)</f>
        <v>0</v>
      </c>
      <c r="W3899" s="64" t="n">
        <f aca="false">IF($K3899="U – needs rule",$P3899,0)</f>
        <v>0</v>
      </c>
      <c r="X3899" s="64" t="n">
        <f aca="false">IF($K3899="No Start (attainment only)",$P3899,0)</f>
        <v>0</v>
      </c>
    </row>
    <row r="3900" customFormat="false" ht="15" hidden="false" customHeight="false" outlineLevel="0" collapsed="false">
      <c r="A3900" s="60"/>
      <c r="B3900" s="61" t="str">
        <f aca="false">IF($M3900=0,"",INDEX(Classes!$E$6:$E$420,$M3900))</f>
        <v/>
      </c>
      <c r="C3900" s="62" t="str">
        <f aca="false">IF($M3900=0,"",INDEX(Classes!$H$6:$H$420,$M3900))</f>
        <v/>
      </c>
      <c r="D3900" s="61" t="str">
        <f aca="false">IF($M3900=0,"",INDEX(Classes!$B$6:$B$420,$M3900))</f>
        <v/>
      </c>
      <c r="E3900" s="61" t="str">
        <f aca="false">IF($M3900=0,"",INDEX(Classes!$C$6:$C$420,$M3900))</f>
        <v/>
      </c>
      <c r="F3900" s="63"/>
      <c r="G3900" s="63"/>
      <c r="H3900" s="60"/>
      <c r="I3900" s="60"/>
      <c r="J3900" s="63"/>
      <c r="K3900" s="61" t="str">
        <f aca="false">IF($P3900=0,"",IF($F3900="Baseline","— Baseline",IF($O3900=0,"No result",IF($N3900=0,"No Start (attainment only)",IF(OR($N3900=1,$O3900=1),"U – needs rule",INDEX(MxBody,MATCH($I3900,MxCurr,0),MATCH($H3900,MxStart,0)))))))</f>
        <v/>
      </c>
      <c r="L3900" s="62" t="str">
        <f aca="false">IF(COUNTA($A3900,$F3900,$G3900,$H3900,$I3900,$J3900)=0,"",IF($M3900=0,"✖ كود الصف غير موجود",IF(ISNA(MATCH($F3900,Lists!$A$2:$A$5,0)),"✖ الفترة غير صحيحة",IF(ISNA(MATCH($G3900,Lists!$B$2:$B$7,0)),"✖ المجموعة غير صحيحة",IF(NOT(OR($H3900="",$N3900&gt;0)),"✖ Start غير صحيح",IF(NOT(OR($I3900="",$I3900="NR",$O3900&gt;0)),"✖ Current غير صحيح",IF(NOT(IF(ISNUMBER($J3900),AND($J3900&gt;=0,$J3900=INT($J3900)),FALSE())),"✖ العدد يجب أن يكون صحيحًا ≥ 0",IF(AND($F3900="Baseline",$H3900&lt;&gt;""),"⚠ Baseline: Start لا يدخل في التقدم",IF($K3900="No Start (attainment only)","ℹ تحصيل فقط (بدون Start)",IF($K3900="U – needs rule","ℹ حالة U تحتاج قاعدة معتمدة",IF($K3900="No result","ℹ بدون نتيجة (يُستبعد من التحصيل)","OK")))))))))))</f>
        <v/>
      </c>
      <c r="M3900" s="64" t="n">
        <f aca="false">IF($A3900="",0,IFERROR(MATCH($A3900,Classes!$A$6:$A$420,0),0))</f>
        <v>0</v>
      </c>
      <c r="N3900" s="64" t="n">
        <f aca="false">IF($H3900="",0,IFERROR(MATCH($H3900,GradeList,0),0))</f>
        <v>0</v>
      </c>
      <c r="O3900" s="64" t="n">
        <f aca="false">IF(OR($I3900="",$I3900="NR"),0,IFERROR(MATCH($I3900,GradeList,0),0))</f>
        <v>0</v>
      </c>
      <c r="P3900" s="64" t="n">
        <f aca="false">IF(AND($M3900&gt;0,ISNUMBER(MATCH($F3900,Lists!$A$2:$A$5,0)),ISNUMBER(MATCH($G3900,Lists!$B$2:$B$7,0)),OR($H3900="",$N3900&gt;0),OR($I3900="",$I3900="NR",$O3900&gt;0),IF(ISNUMBER($J3900),AND($J3900&gt;=0,$J3900=INT($J3900)),FALSE())),$J3900,0)</f>
        <v>0</v>
      </c>
      <c r="Q3900" s="64" t="n">
        <f aca="false">IF(AND($P3900&gt;0,$O3900&gt;0),$P3900,0)</f>
        <v>0</v>
      </c>
      <c r="R3900" s="64" t="n">
        <f aca="false">IF(AND($Q3900&gt;0,$O3900&gt;=AtRank),$Q3900,0)</f>
        <v>0</v>
      </c>
      <c r="S3900" s="64" t="n">
        <f aca="false">IF(AND($Q3900&gt;0,$O3900&gt;=AboveRank),$Q3900,0)</f>
        <v>0</v>
      </c>
      <c r="T3900" s="64" t="n">
        <f aca="false">IF($K3900="Less",$P3900,0)</f>
        <v>0</v>
      </c>
      <c r="U3900" s="64" t="n">
        <f aca="false">IF($K3900="Expected",$P3900,0)</f>
        <v>0</v>
      </c>
      <c r="V3900" s="64" t="n">
        <f aca="false">IF($K3900="Better",$P3900,0)</f>
        <v>0</v>
      </c>
      <c r="W3900" s="64" t="n">
        <f aca="false">IF($K3900="U – needs rule",$P3900,0)</f>
        <v>0</v>
      </c>
      <c r="X3900" s="64" t="n">
        <f aca="false">IF($K3900="No Start (attainment only)",$P3900,0)</f>
        <v>0</v>
      </c>
    </row>
    <row r="3901" customFormat="false" ht="15" hidden="false" customHeight="false" outlineLevel="0" collapsed="false">
      <c r="A3901" s="60"/>
      <c r="B3901" s="61" t="str">
        <f aca="false">IF($M3901=0,"",INDEX(Classes!$E$6:$E$420,$M3901))</f>
        <v/>
      </c>
      <c r="C3901" s="62" t="str">
        <f aca="false">IF($M3901=0,"",INDEX(Classes!$H$6:$H$420,$M3901))</f>
        <v/>
      </c>
      <c r="D3901" s="61" t="str">
        <f aca="false">IF($M3901=0,"",INDEX(Classes!$B$6:$B$420,$M3901))</f>
        <v/>
      </c>
      <c r="E3901" s="61" t="str">
        <f aca="false">IF($M3901=0,"",INDEX(Classes!$C$6:$C$420,$M3901))</f>
        <v/>
      </c>
      <c r="F3901" s="63"/>
      <c r="G3901" s="63"/>
      <c r="H3901" s="60"/>
      <c r="I3901" s="60"/>
      <c r="J3901" s="63"/>
      <c r="K3901" s="61" t="str">
        <f aca="false">IF($P3901=0,"",IF($F3901="Baseline","— Baseline",IF($O3901=0,"No result",IF($N3901=0,"No Start (attainment only)",IF(OR($N3901=1,$O3901=1),"U – needs rule",INDEX(MxBody,MATCH($I3901,MxCurr,0),MATCH($H3901,MxStart,0)))))))</f>
        <v/>
      </c>
      <c r="L3901" s="62" t="str">
        <f aca="false">IF(COUNTA($A3901,$F3901,$G3901,$H3901,$I3901,$J3901)=0,"",IF($M3901=0,"✖ كود الصف غير موجود",IF(ISNA(MATCH($F3901,Lists!$A$2:$A$5,0)),"✖ الفترة غير صحيحة",IF(ISNA(MATCH($G3901,Lists!$B$2:$B$7,0)),"✖ المجموعة غير صحيحة",IF(NOT(OR($H3901="",$N3901&gt;0)),"✖ Start غير صحيح",IF(NOT(OR($I3901="",$I3901="NR",$O3901&gt;0)),"✖ Current غير صحيح",IF(NOT(IF(ISNUMBER($J3901),AND($J3901&gt;=0,$J3901=INT($J3901)),FALSE())),"✖ العدد يجب أن يكون صحيحًا ≥ 0",IF(AND($F3901="Baseline",$H3901&lt;&gt;""),"⚠ Baseline: Start لا يدخل في التقدم",IF($K3901="No Start (attainment only)","ℹ تحصيل فقط (بدون Start)",IF($K3901="U – needs rule","ℹ حالة U تحتاج قاعدة معتمدة",IF($K3901="No result","ℹ بدون نتيجة (يُستبعد من التحصيل)","OK")))))))))))</f>
        <v/>
      </c>
      <c r="M3901" s="64" t="n">
        <f aca="false">IF($A3901="",0,IFERROR(MATCH($A3901,Classes!$A$6:$A$420,0),0))</f>
        <v>0</v>
      </c>
      <c r="N3901" s="64" t="n">
        <f aca="false">IF($H3901="",0,IFERROR(MATCH($H3901,GradeList,0),0))</f>
        <v>0</v>
      </c>
      <c r="O3901" s="64" t="n">
        <f aca="false">IF(OR($I3901="",$I3901="NR"),0,IFERROR(MATCH($I3901,GradeList,0),0))</f>
        <v>0</v>
      </c>
      <c r="P3901" s="64" t="n">
        <f aca="false">IF(AND($M3901&gt;0,ISNUMBER(MATCH($F3901,Lists!$A$2:$A$5,0)),ISNUMBER(MATCH($G3901,Lists!$B$2:$B$7,0)),OR($H3901="",$N3901&gt;0),OR($I3901="",$I3901="NR",$O3901&gt;0),IF(ISNUMBER($J3901),AND($J3901&gt;=0,$J3901=INT($J3901)),FALSE())),$J3901,0)</f>
        <v>0</v>
      </c>
      <c r="Q3901" s="64" t="n">
        <f aca="false">IF(AND($P3901&gt;0,$O3901&gt;0),$P3901,0)</f>
        <v>0</v>
      </c>
      <c r="R3901" s="64" t="n">
        <f aca="false">IF(AND($Q3901&gt;0,$O3901&gt;=AtRank),$Q3901,0)</f>
        <v>0</v>
      </c>
      <c r="S3901" s="64" t="n">
        <f aca="false">IF(AND($Q3901&gt;0,$O3901&gt;=AboveRank),$Q3901,0)</f>
        <v>0</v>
      </c>
      <c r="T3901" s="64" t="n">
        <f aca="false">IF($K3901="Less",$P3901,0)</f>
        <v>0</v>
      </c>
      <c r="U3901" s="64" t="n">
        <f aca="false">IF($K3901="Expected",$P3901,0)</f>
        <v>0</v>
      </c>
      <c r="V3901" s="64" t="n">
        <f aca="false">IF($K3901="Better",$P3901,0)</f>
        <v>0</v>
      </c>
      <c r="W3901" s="64" t="n">
        <f aca="false">IF($K3901="U – needs rule",$P3901,0)</f>
        <v>0</v>
      </c>
      <c r="X3901" s="64" t="n">
        <f aca="false">IF($K3901="No Start (attainment only)",$P3901,0)</f>
        <v>0</v>
      </c>
    </row>
    <row r="3902" customFormat="false" ht="15" hidden="false" customHeight="false" outlineLevel="0" collapsed="false">
      <c r="A3902" s="60"/>
      <c r="B3902" s="61" t="str">
        <f aca="false">IF($M3902=0,"",INDEX(Classes!$E$6:$E$420,$M3902))</f>
        <v/>
      </c>
      <c r="C3902" s="62" t="str">
        <f aca="false">IF($M3902=0,"",INDEX(Classes!$H$6:$H$420,$M3902))</f>
        <v/>
      </c>
      <c r="D3902" s="61" t="str">
        <f aca="false">IF($M3902=0,"",INDEX(Classes!$B$6:$B$420,$M3902))</f>
        <v/>
      </c>
      <c r="E3902" s="61" t="str">
        <f aca="false">IF($M3902=0,"",INDEX(Classes!$C$6:$C$420,$M3902))</f>
        <v/>
      </c>
      <c r="F3902" s="63"/>
      <c r="G3902" s="63"/>
      <c r="H3902" s="60"/>
      <c r="I3902" s="60"/>
      <c r="J3902" s="63"/>
      <c r="K3902" s="61" t="str">
        <f aca="false">IF($P3902=0,"",IF($F3902="Baseline","— Baseline",IF($O3902=0,"No result",IF($N3902=0,"No Start (attainment only)",IF(OR($N3902=1,$O3902=1),"U – needs rule",INDEX(MxBody,MATCH($I3902,MxCurr,0),MATCH($H3902,MxStart,0)))))))</f>
        <v/>
      </c>
      <c r="L3902" s="62" t="str">
        <f aca="false">IF(COUNTA($A3902,$F3902,$G3902,$H3902,$I3902,$J3902)=0,"",IF($M3902=0,"✖ كود الصف غير موجود",IF(ISNA(MATCH($F3902,Lists!$A$2:$A$5,0)),"✖ الفترة غير صحيحة",IF(ISNA(MATCH($G3902,Lists!$B$2:$B$7,0)),"✖ المجموعة غير صحيحة",IF(NOT(OR($H3902="",$N3902&gt;0)),"✖ Start غير صحيح",IF(NOT(OR($I3902="",$I3902="NR",$O3902&gt;0)),"✖ Current غير صحيح",IF(NOT(IF(ISNUMBER($J3902),AND($J3902&gt;=0,$J3902=INT($J3902)),FALSE())),"✖ العدد يجب أن يكون صحيحًا ≥ 0",IF(AND($F3902="Baseline",$H3902&lt;&gt;""),"⚠ Baseline: Start لا يدخل في التقدم",IF($K3902="No Start (attainment only)","ℹ تحصيل فقط (بدون Start)",IF($K3902="U – needs rule","ℹ حالة U تحتاج قاعدة معتمدة",IF($K3902="No result","ℹ بدون نتيجة (يُستبعد من التحصيل)","OK")))))))))))</f>
        <v/>
      </c>
      <c r="M3902" s="64" t="n">
        <f aca="false">IF($A3902="",0,IFERROR(MATCH($A3902,Classes!$A$6:$A$420,0),0))</f>
        <v>0</v>
      </c>
      <c r="N3902" s="64" t="n">
        <f aca="false">IF($H3902="",0,IFERROR(MATCH($H3902,GradeList,0),0))</f>
        <v>0</v>
      </c>
      <c r="O3902" s="64" t="n">
        <f aca="false">IF(OR($I3902="",$I3902="NR"),0,IFERROR(MATCH($I3902,GradeList,0),0))</f>
        <v>0</v>
      </c>
      <c r="P3902" s="64" t="n">
        <f aca="false">IF(AND($M3902&gt;0,ISNUMBER(MATCH($F3902,Lists!$A$2:$A$5,0)),ISNUMBER(MATCH($G3902,Lists!$B$2:$B$7,0)),OR($H3902="",$N3902&gt;0),OR($I3902="",$I3902="NR",$O3902&gt;0),IF(ISNUMBER($J3902),AND($J3902&gt;=0,$J3902=INT($J3902)),FALSE())),$J3902,0)</f>
        <v>0</v>
      </c>
      <c r="Q3902" s="64" t="n">
        <f aca="false">IF(AND($P3902&gt;0,$O3902&gt;0),$P3902,0)</f>
        <v>0</v>
      </c>
      <c r="R3902" s="64" t="n">
        <f aca="false">IF(AND($Q3902&gt;0,$O3902&gt;=AtRank),$Q3902,0)</f>
        <v>0</v>
      </c>
      <c r="S3902" s="64" t="n">
        <f aca="false">IF(AND($Q3902&gt;0,$O3902&gt;=AboveRank),$Q3902,0)</f>
        <v>0</v>
      </c>
      <c r="T3902" s="64" t="n">
        <f aca="false">IF($K3902="Less",$P3902,0)</f>
        <v>0</v>
      </c>
      <c r="U3902" s="64" t="n">
        <f aca="false">IF($K3902="Expected",$P3902,0)</f>
        <v>0</v>
      </c>
      <c r="V3902" s="64" t="n">
        <f aca="false">IF($K3902="Better",$P3902,0)</f>
        <v>0</v>
      </c>
      <c r="W3902" s="64" t="n">
        <f aca="false">IF($K3902="U – needs rule",$P3902,0)</f>
        <v>0</v>
      </c>
      <c r="X3902" s="64" t="n">
        <f aca="false">IF($K3902="No Start (attainment only)",$P3902,0)</f>
        <v>0</v>
      </c>
    </row>
    <row r="3903" customFormat="false" ht="15" hidden="false" customHeight="false" outlineLevel="0" collapsed="false">
      <c r="A3903" s="60"/>
      <c r="B3903" s="61" t="str">
        <f aca="false">IF($M3903=0,"",INDEX(Classes!$E$6:$E$420,$M3903))</f>
        <v/>
      </c>
      <c r="C3903" s="62" t="str">
        <f aca="false">IF($M3903=0,"",INDEX(Classes!$H$6:$H$420,$M3903))</f>
        <v/>
      </c>
      <c r="D3903" s="61" t="str">
        <f aca="false">IF($M3903=0,"",INDEX(Classes!$B$6:$B$420,$M3903))</f>
        <v/>
      </c>
      <c r="E3903" s="61" t="str">
        <f aca="false">IF($M3903=0,"",INDEX(Classes!$C$6:$C$420,$M3903))</f>
        <v/>
      </c>
      <c r="F3903" s="63"/>
      <c r="G3903" s="63"/>
      <c r="H3903" s="60"/>
      <c r="I3903" s="60"/>
      <c r="J3903" s="63"/>
      <c r="K3903" s="61" t="str">
        <f aca="false">IF($P3903=0,"",IF($F3903="Baseline","— Baseline",IF($O3903=0,"No result",IF($N3903=0,"No Start (attainment only)",IF(OR($N3903=1,$O3903=1),"U – needs rule",INDEX(MxBody,MATCH($I3903,MxCurr,0),MATCH($H3903,MxStart,0)))))))</f>
        <v/>
      </c>
      <c r="L3903" s="62" t="str">
        <f aca="false">IF(COUNTA($A3903,$F3903,$G3903,$H3903,$I3903,$J3903)=0,"",IF($M3903=0,"✖ كود الصف غير موجود",IF(ISNA(MATCH($F3903,Lists!$A$2:$A$5,0)),"✖ الفترة غير صحيحة",IF(ISNA(MATCH($G3903,Lists!$B$2:$B$7,0)),"✖ المجموعة غير صحيحة",IF(NOT(OR($H3903="",$N3903&gt;0)),"✖ Start غير صحيح",IF(NOT(OR($I3903="",$I3903="NR",$O3903&gt;0)),"✖ Current غير صحيح",IF(NOT(IF(ISNUMBER($J3903),AND($J3903&gt;=0,$J3903=INT($J3903)),FALSE())),"✖ العدد يجب أن يكون صحيحًا ≥ 0",IF(AND($F3903="Baseline",$H3903&lt;&gt;""),"⚠ Baseline: Start لا يدخل في التقدم",IF($K3903="No Start (attainment only)","ℹ تحصيل فقط (بدون Start)",IF($K3903="U – needs rule","ℹ حالة U تحتاج قاعدة معتمدة",IF($K3903="No result","ℹ بدون نتيجة (يُستبعد من التحصيل)","OK")))))))))))</f>
        <v/>
      </c>
      <c r="M3903" s="64" t="n">
        <f aca="false">IF($A3903="",0,IFERROR(MATCH($A3903,Classes!$A$6:$A$420,0),0))</f>
        <v>0</v>
      </c>
      <c r="N3903" s="64" t="n">
        <f aca="false">IF($H3903="",0,IFERROR(MATCH($H3903,GradeList,0),0))</f>
        <v>0</v>
      </c>
      <c r="O3903" s="64" t="n">
        <f aca="false">IF(OR($I3903="",$I3903="NR"),0,IFERROR(MATCH($I3903,GradeList,0),0))</f>
        <v>0</v>
      </c>
      <c r="P3903" s="64" t="n">
        <f aca="false">IF(AND($M3903&gt;0,ISNUMBER(MATCH($F3903,Lists!$A$2:$A$5,0)),ISNUMBER(MATCH($G3903,Lists!$B$2:$B$7,0)),OR($H3903="",$N3903&gt;0),OR($I3903="",$I3903="NR",$O3903&gt;0),IF(ISNUMBER($J3903),AND($J3903&gt;=0,$J3903=INT($J3903)),FALSE())),$J3903,0)</f>
        <v>0</v>
      </c>
      <c r="Q3903" s="64" t="n">
        <f aca="false">IF(AND($P3903&gt;0,$O3903&gt;0),$P3903,0)</f>
        <v>0</v>
      </c>
      <c r="R3903" s="64" t="n">
        <f aca="false">IF(AND($Q3903&gt;0,$O3903&gt;=AtRank),$Q3903,0)</f>
        <v>0</v>
      </c>
      <c r="S3903" s="64" t="n">
        <f aca="false">IF(AND($Q3903&gt;0,$O3903&gt;=AboveRank),$Q3903,0)</f>
        <v>0</v>
      </c>
      <c r="T3903" s="64" t="n">
        <f aca="false">IF($K3903="Less",$P3903,0)</f>
        <v>0</v>
      </c>
      <c r="U3903" s="64" t="n">
        <f aca="false">IF($K3903="Expected",$P3903,0)</f>
        <v>0</v>
      </c>
      <c r="V3903" s="64" t="n">
        <f aca="false">IF($K3903="Better",$P3903,0)</f>
        <v>0</v>
      </c>
      <c r="W3903" s="64" t="n">
        <f aca="false">IF($K3903="U – needs rule",$P3903,0)</f>
        <v>0</v>
      </c>
      <c r="X3903" s="64" t="n">
        <f aca="false">IF($K3903="No Start (attainment only)",$P3903,0)</f>
        <v>0</v>
      </c>
    </row>
    <row r="3904" customFormat="false" ht="15" hidden="false" customHeight="false" outlineLevel="0" collapsed="false">
      <c r="A3904" s="60"/>
      <c r="B3904" s="61" t="str">
        <f aca="false">IF($M3904=0,"",INDEX(Classes!$E$6:$E$420,$M3904))</f>
        <v/>
      </c>
      <c r="C3904" s="62" t="str">
        <f aca="false">IF($M3904=0,"",INDEX(Classes!$H$6:$H$420,$M3904))</f>
        <v/>
      </c>
      <c r="D3904" s="61" t="str">
        <f aca="false">IF($M3904=0,"",INDEX(Classes!$B$6:$B$420,$M3904))</f>
        <v/>
      </c>
      <c r="E3904" s="61" t="str">
        <f aca="false">IF($M3904=0,"",INDEX(Classes!$C$6:$C$420,$M3904))</f>
        <v/>
      </c>
      <c r="F3904" s="63"/>
      <c r="G3904" s="63"/>
      <c r="H3904" s="60"/>
      <c r="I3904" s="60"/>
      <c r="J3904" s="63"/>
      <c r="K3904" s="61" t="str">
        <f aca="false">IF($P3904=0,"",IF($F3904="Baseline","— Baseline",IF($O3904=0,"No result",IF($N3904=0,"No Start (attainment only)",IF(OR($N3904=1,$O3904=1),"U – needs rule",INDEX(MxBody,MATCH($I3904,MxCurr,0),MATCH($H3904,MxStart,0)))))))</f>
        <v/>
      </c>
      <c r="L3904" s="62" t="str">
        <f aca="false">IF(COUNTA($A3904,$F3904,$G3904,$H3904,$I3904,$J3904)=0,"",IF($M3904=0,"✖ كود الصف غير موجود",IF(ISNA(MATCH($F3904,Lists!$A$2:$A$5,0)),"✖ الفترة غير صحيحة",IF(ISNA(MATCH($G3904,Lists!$B$2:$B$7,0)),"✖ المجموعة غير صحيحة",IF(NOT(OR($H3904="",$N3904&gt;0)),"✖ Start غير صحيح",IF(NOT(OR($I3904="",$I3904="NR",$O3904&gt;0)),"✖ Current غير صحيح",IF(NOT(IF(ISNUMBER($J3904),AND($J3904&gt;=0,$J3904=INT($J3904)),FALSE())),"✖ العدد يجب أن يكون صحيحًا ≥ 0",IF(AND($F3904="Baseline",$H3904&lt;&gt;""),"⚠ Baseline: Start لا يدخل في التقدم",IF($K3904="No Start (attainment only)","ℹ تحصيل فقط (بدون Start)",IF($K3904="U – needs rule","ℹ حالة U تحتاج قاعدة معتمدة",IF($K3904="No result","ℹ بدون نتيجة (يُستبعد من التحصيل)","OK")))))))))))</f>
        <v/>
      </c>
      <c r="M3904" s="64" t="n">
        <f aca="false">IF($A3904="",0,IFERROR(MATCH($A3904,Classes!$A$6:$A$420,0),0))</f>
        <v>0</v>
      </c>
      <c r="N3904" s="64" t="n">
        <f aca="false">IF($H3904="",0,IFERROR(MATCH($H3904,GradeList,0),0))</f>
        <v>0</v>
      </c>
      <c r="O3904" s="64" t="n">
        <f aca="false">IF(OR($I3904="",$I3904="NR"),0,IFERROR(MATCH($I3904,GradeList,0),0))</f>
        <v>0</v>
      </c>
      <c r="P3904" s="64" t="n">
        <f aca="false">IF(AND($M3904&gt;0,ISNUMBER(MATCH($F3904,Lists!$A$2:$A$5,0)),ISNUMBER(MATCH($G3904,Lists!$B$2:$B$7,0)),OR($H3904="",$N3904&gt;0),OR($I3904="",$I3904="NR",$O3904&gt;0),IF(ISNUMBER($J3904),AND($J3904&gt;=0,$J3904=INT($J3904)),FALSE())),$J3904,0)</f>
        <v>0</v>
      </c>
      <c r="Q3904" s="64" t="n">
        <f aca="false">IF(AND($P3904&gt;0,$O3904&gt;0),$P3904,0)</f>
        <v>0</v>
      </c>
      <c r="R3904" s="64" t="n">
        <f aca="false">IF(AND($Q3904&gt;0,$O3904&gt;=AtRank),$Q3904,0)</f>
        <v>0</v>
      </c>
      <c r="S3904" s="64" t="n">
        <f aca="false">IF(AND($Q3904&gt;0,$O3904&gt;=AboveRank),$Q3904,0)</f>
        <v>0</v>
      </c>
      <c r="T3904" s="64" t="n">
        <f aca="false">IF($K3904="Less",$P3904,0)</f>
        <v>0</v>
      </c>
      <c r="U3904" s="64" t="n">
        <f aca="false">IF($K3904="Expected",$P3904,0)</f>
        <v>0</v>
      </c>
      <c r="V3904" s="64" t="n">
        <f aca="false">IF($K3904="Better",$P3904,0)</f>
        <v>0</v>
      </c>
      <c r="W3904" s="64" t="n">
        <f aca="false">IF($K3904="U – needs rule",$P3904,0)</f>
        <v>0</v>
      </c>
      <c r="X3904" s="64" t="n">
        <f aca="false">IF($K3904="No Start (attainment only)",$P3904,0)</f>
        <v>0</v>
      </c>
    </row>
    <row r="3905" customFormat="false" ht="15" hidden="false" customHeight="false" outlineLevel="0" collapsed="false">
      <c r="A3905" s="60"/>
      <c r="B3905" s="61" t="str">
        <f aca="false">IF($M3905=0,"",INDEX(Classes!$E$6:$E$420,$M3905))</f>
        <v/>
      </c>
      <c r="C3905" s="62" t="str">
        <f aca="false">IF($M3905=0,"",INDEX(Classes!$H$6:$H$420,$M3905))</f>
        <v/>
      </c>
      <c r="D3905" s="61" t="str">
        <f aca="false">IF($M3905=0,"",INDEX(Classes!$B$6:$B$420,$M3905))</f>
        <v/>
      </c>
      <c r="E3905" s="61" t="str">
        <f aca="false">IF($M3905=0,"",INDEX(Classes!$C$6:$C$420,$M3905))</f>
        <v/>
      </c>
      <c r="F3905" s="63"/>
      <c r="G3905" s="63"/>
      <c r="H3905" s="60"/>
      <c r="I3905" s="60"/>
      <c r="J3905" s="63"/>
      <c r="K3905" s="61" t="str">
        <f aca="false">IF($P3905=0,"",IF($F3905="Baseline","— Baseline",IF($O3905=0,"No result",IF($N3905=0,"No Start (attainment only)",IF(OR($N3905=1,$O3905=1),"U – needs rule",INDEX(MxBody,MATCH($I3905,MxCurr,0),MATCH($H3905,MxStart,0)))))))</f>
        <v/>
      </c>
      <c r="L3905" s="62" t="str">
        <f aca="false">IF(COUNTA($A3905,$F3905,$G3905,$H3905,$I3905,$J3905)=0,"",IF($M3905=0,"✖ كود الصف غير موجود",IF(ISNA(MATCH($F3905,Lists!$A$2:$A$5,0)),"✖ الفترة غير صحيحة",IF(ISNA(MATCH($G3905,Lists!$B$2:$B$7,0)),"✖ المجموعة غير صحيحة",IF(NOT(OR($H3905="",$N3905&gt;0)),"✖ Start غير صحيح",IF(NOT(OR($I3905="",$I3905="NR",$O3905&gt;0)),"✖ Current غير صحيح",IF(NOT(IF(ISNUMBER($J3905),AND($J3905&gt;=0,$J3905=INT($J3905)),FALSE())),"✖ العدد يجب أن يكون صحيحًا ≥ 0",IF(AND($F3905="Baseline",$H3905&lt;&gt;""),"⚠ Baseline: Start لا يدخل في التقدم",IF($K3905="No Start (attainment only)","ℹ تحصيل فقط (بدون Start)",IF($K3905="U – needs rule","ℹ حالة U تحتاج قاعدة معتمدة",IF($K3905="No result","ℹ بدون نتيجة (يُستبعد من التحصيل)","OK")))))))))))</f>
        <v/>
      </c>
      <c r="M3905" s="64" t="n">
        <f aca="false">IF($A3905="",0,IFERROR(MATCH($A3905,Classes!$A$6:$A$420,0),0))</f>
        <v>0</v>
      </c>
      <c r="N3905" s="64" t="n">
        <f aca="false">IF($H3905="",0,IFERROR(MATCH($H3905,GradeList,0),0))</f>
        <v>0</v>
      </c>
      <c r="O3905" s="64" t="n">
        <f aca="false">IF(OR($I3905="",$I3905="NR"),0,IFERROR(MATCH($I3905,GradeList,0),0))</f>
        <v>0</v>
      </c>
      <c r="P3905" s="64" t="n">
        <f aca="false">IF(AND($M3905&gt;0,ISNUMBER(MATCH($F3905,Lists!$A$2:$A$5,0)),ISNUMBER(MATCH($G3905,Lists!$B$2:$B$7,0)),OR($H3905="",$N3905&gt;0),OR($I3905="",$I3905="NR",$O3905&gt;0),IF(ISNUMBER($J3905),AND($J3905&gt;=0,$J3905=INT($J3905)),FALSE())),$J3905,0)</f>
        <v>0</v>
      </c>
      <c r="Q3905" s="64" t="n">
        <f aca="false">IF(AND($P3905&gt;0,$O3905&gt;0),$P3905,0)</f>
        <v>0</v>
      </c>
      <c r="R3905" s="64" t="n">
        <f aca="false">IF(AND($Q3905&gt;0,$O3905&gt;=AtRank),$Q3905,0)</f>
        <v>0</v>
      </c>
      <c r="S3905" s="64" t="n">
        <f aca="false">IF(AND($Q3905&gt;0,$O3905&gt;=AboveRank),$Q3905,0)</f>
        <v>0</v>
      </c>
      <c r="T3905" s="64" t="n">
        <f aca="false">IF($K3905="Less",$P3905,0)</f>
        <v>0</v>
      </c>
      <c r="U3905" s="64" t="n">
        <f aca="false">IF($K3905="Expected",$P3905,0)</f>
        <v>0</v>
      </c>
      <c r="V3905" s="64" t="n">
        <f aca="false">IF($K3905="Better",$P3905,0)</f>
        <v>0</v>
      </c>
      <c r="W3905" s="64" t="n">
        <f aca="false">IF($K3905="U – needs rule",$P3905,0)</f>
        <v>0</v>
      </c>
      <c r="X3905" s="64" t="n">
        <f aca="false">IF($K3905="No Start (attainment only)",$P3905,0)</f>
        <v>0</v>
      </c>
    </row>
    <row r="3906" customFormat="false" ht="15" hidden="false" customHeight="false" outlineLevel="0" collapsed="false">
      <c r="A3906" s="60"/>
      <c r="B3906" s="61" t="str">
        <f aca="false">IF($M3906=0,"",INDEX(Classes!$E$6:$E$420,$M3906))</f>
        <v/>
      </c>
      <c r="C3906" s="62" t="str">
        <f aca="false">IF($M3906=0,"",INDEX(Classes!$H$6:$H$420,$M3906))</f>
        <v/>
      </c>
      <c r="D3906" s="61" t="str">
        <f aca="false">IF($M3906=0,"",INDEX(Classes!$B$6:$B$420,$M3906))</f>
        <v/>
      </c>
      <c r="E3906" s="61" t="str">
        <f aca="false">IF($M3906=0,"",INDEX(Classes!$C$6:$C$420,$M3906))</f>
        <v/>
      </c>
      <c r="F3906" s="63"/>
      <c r="G3906" s="63"/>
      <c r="H3906" s="60"/>
      <c r="I3906" s="60"/>
      <c r="J3906" s="63"/>
      <c r="K3906" s="61" t="str">
        <f aca="false">IF($P3906=0,"",IF($F3906="Baseline","— Baseline",IF($O3906=0,"No result",IF($N3906=0,"No Start (attainment only)",IF(OR($N3906=1,$O3906=1),"U – needs rule",INDEX(MxBody,MATCH($I3906,MxCurr,0),MATCH($H3906,MxStart,0)))))))</f>
        <v/>
      </c>
      <c r="L3906" s="62" t="str">
        <f aca="false">IF(COUNTA($A3906,$F3906,$G3906,$H3906,$I3906,$J3906)=0,"",IF($M3906=0,"✖ كود الصف غير موجود",IF(ISNA(MATCH($F3906,Lists!$A$2:$A$5,0)),"✖ الفترة غير صحيحة",IF(ISNA(MATCH($G3906,Lists!$B$2:$B$7,0)),"✖ المجموعة غير صحيحة",IF(NOT(OR($H3906="",$N3906&gt;0)),"✖ Start غير صحيح",IF(NOT(OR($I3906="",$I3906="NR",$O3906&gt;0)),"✖ Current غير صحيح",IF(NOT(IF(ISNUMBER($J3906),AND($J3906&gt;=0,$J3906=INT($J3906)),FALSE())),"✖ العدد يجب أن يكون صحيحًا ≥ 0",IF(AND($F3906="Baseline",$H3906&lt;&gt;""),"⚠ Baseline: Start لا يدخل في التقدم",IF($K3906="No Start (attainment only)","ℹ تحصيل فقط (بدون Start)",IF($K3906="U – needs rule","ℹ حالة U تحتاج قاعدة معتمدة",IF($K3906="No result","ℹ بدون نتيجة (يُستبعد من التحصيل)","OK")))))))))))</f>
        <v/>
      </c>
      <c r="M3906" s="64" t="n">
        <f aca="false">IF($A3906="",0,IFERROR(MATCH($A3906,Classes!$A$6:$A$420,0),0))</f>
        <v>0</v>
      </c>
      <c r="N3906" s="64" t="n">
        <f aca="false">IF($H3906="",0,IFERROR(MATCH($H3906,GradeList,0),0))</f>
        <v>0</v>
      </c>
      <c r="O3906" s="64" t="n">
        <f aca="false">IF(OR($I3906="",$I3906="NR"),0,IFERROR(MATCH($I3906,GradeList,0),0))</f>
        <v>0</v>
      </c>
      <c r="P3906" s="64" t="n">
        <f aca="false">IF(AND($M3906&gt;0,ISNUMBER(MATCH($F3906,Lists!$A$2:$A$5,0)),ISNUMBER(MATCH($G3906,Lists!$B$2:$B$7,0)),OR($H3906="",$N3906&gt;0),OR($I3906="",$I3906="NR",$O3906&gt;0),IF(ISNUMBER($J3906),AND($J3906&gt;=0,$J3906=INT($J3906)),FALSE())),$J3906,0)</f>
        <v>0</v>
      </c>
      <c r="Q3906" s="64" t="n">
        <f aca="false">IF(AND($P3906&gt;0,$O3906&gt;0),$P3906,0)</f>
        <v>0</v>
      </c>
      <c r="R3906" s="64" t="n">
        <f aca="false">IF(AND($Q3906&gt;0,$O3906&gt;=AtRank),$Q3906,0)</f>
        <v>0</v>
      </c>
      <c r="S3906" s="64" t="n">
        <f aca="false">IF(AND($Q3906&gt;0,$O3906&gt;=AboveRank),$Q3906,0)</f>
        <v>0</v>
      </c>
      <c r="T3906" s="64" t="n">
        <f aca="false">IF($K3906="Less",$P3906,0)</f>
        <v>0</v>
      </c>
      <c r="U3906" s="64" t="n">
        <f aca="false">IF($K3906="Expected",$P3906,0)</f>
        <v>0</v>
      </c>
      <c r="V3906" s="64" t="n">
        <f aca="false">IF($K3906="Better",$P3906,0)</f>
        <v>0</v>
      </c>
      <c r="W3906" s="64" t="n">
        <f aca="false">IF($K3906="U – needs rule",$P3906,0)</f>
        <v>0</v>
      </c>
      <c r="X3906" s="64" t="n">
        <f aca="false">IF($K3906="No Start (attainment only)",$P3906,0)</f>
        <v>0</v>
      </c>
    </row>
    <row r="3907" customFormat="false" ht="15" hidden="false" customHeight="false" outlineLevel="0" collapsed="false">
      <c r="A3907" s="60"/>
      <c r="B3907" s="61" t="str">
        <f aca="false">IF($M3907=0,"",INDEX(Classes!$E$6:$E$420,$M3907))</f>
        <v/>
      </c>
      <c r="C3907" s="62" t="str">
        <f aca="false">IF($M3907=0,"",INDEX(Classes!$H$6:$H$420,$M3907))</f>
        <v/>
      </c>
      <c r="D3907" s="61" t="str">
        <f aca="false">IF($M3907=0,"",INDEX(Classes!$B$6:$B$420,$M3907))</f>
        <v/>
      </c>
      <c r="E3907" s="61" t="str">
        <f aca="false">IF($M3907=0,"",INDEX(Classes!$C$6:$C$420,$M3907))</f>
        <v/>
      </c>
      <c r="F3907" s="63"/>
      <c r="G3907" s="63"/>
      <c r="H3907" s="60"/>
      <c r="I3907" s="60"/>
      <c r="J3907" s="63"/>
      <c r="K3907" s="61" t="str">
        <f aca="false">IF($P3907=0,"",IF($F3907="Baseline","— Baseline",IF($O3907=0,"No result",IF($N3907=0,"No Start (attainment only)",IF(OR($N3907=1,$O3907=1),"U – needs rule",INDEX(MxBody,MATCH($I3907,MxCurr,0),MATCH($H3907,MxStart,0)))))))</f>
        <v/>
      </c>
      <c r="L3907" s="62" t="str">
        <f aca="false">IF(COUNTA($A3907,$F3907,$G3907,$H3907,$I3907,$J3907)=0,"",IF($M3907=0,"✖ كود الصف غير موجود",IF(ISNA(MATCH($F3907,Lists!$A$2:$A$5,0)),"✖ الفترة غير صحيحة",IF(ISNA(MATCH($G3907,Lists!$B$2:$B$7,0)),"✖ المجموعة غير صحيحة",IF(NOT(OR($H3907="",$N3907&gt;0)),"✖ Start غير صحيح",IF(NOT(OR($I3907="",$I3907="NR",$O3907&gt;0)),"✖ Current غير صحيح",IF(NOT(IF(ISNUMBER($J3907),AND($J3907&gt;=0,$J3907=INT($J3907)),FALSE())),"✖ العدد يجب أن يكون صحيحًا ≥ 0",IF(AND($F3907="Baseline",$H3907&lt;&gt;""),"⚠ Baseline: Start لا يدخل في التقدم",IF($K3907="No Start (attainment only)","ℹ تحصيل فقط (بدون Start)",IF($K3907="U – needs rule","ℹ حالة U تحتاج قاعدة معتمدة",IF($K3907="No result","ℹ بدون نتيجة (يُستبعد من التحصيل)","OK")))))))))))</f>
        <v/>
      </c>
      <c r="M3907" s="64" t="n">
        <f aca="false">IF($A3907="",0,IFERROR(MATCH($A3907,Classes!$A$6:$A$420,0),0))</f>
        <v>0</v>
      </c>
      <c r="N3907" s="64" t="n">
        <f aca="false">IF($H3907="",0,IFERROR(MATCH($H3907,GradeList,0),0))</f>
        <v>0</v>
      </c>
      <c r="O3907" s="64" t="n">
        <f aca="false">IF(OR($I3907="",$I3907="NR"),0,IFERROR(MATCH($I3907,GradeList,0),0))</f>
        <v>0</v>
      </c>
      <c r="P3907" s="64" t="n">
        <f aca="false">IF(AND($M3907&gt;0,ISNUMBER(MATCH($F3907,Lists!$A$2:$A$5,0)),ISNUMBER(MATCH($G3907,Lists!$B$2:$B$7,0)),OR($H3907="",$N3907&gt;0),OR($I3907="",$I3907="NR",$O3907&gt;0),IF(ISNUMBER($J3907),AND($J3907&gt;=0,$J3907=INT($J3907)),FALSE())),$J3907,0)</f>
        <v>0</v>
      </c>
      <c r="Q3907" s="64" t="n">
        <f aca="false">IF(AND($P3907&gt;0,$O3907&gt;0),$P3907,0)</f>
        <v>0</v>
      </c>
      <c r="R3907" s="64" t="n">
        <f aca="false">IF(AND($Q3907&gt;0,$O3907&gt;=AtRank),$Q3907,0)</f>
        <v>0</v>
      </c>
      <c r="S3907" s="64" t="n">
        <f aca="false">IF(AND($Q3907&gt;0,$O3907&gt;=AboveRank),$Q3907,0)</f>
        <v>0</v>
      </c>
      <c r="T3907" s="64" t="n">
        <f aca="false">IF($K3907="Less",$P3907,0)</f>
        <v>0</v>
      </c>
      <c r="U3907" s="64" t="n">
        <f aca="false">IF($K3907="Expected",$P3907,0)</f>
        <v>0</v>
      </c>
      <c r="V3907" s="64" t="n">
        <f aca="false">IF($K3907="Better",$P3907,0)</f>
        <v>0</v>
      </c>
      <c r="W3907" s="64" t="n">
        <f aca="false">IF($K3907="U – needs rule",$P3907,0)</f>
        <v>0</v>
      </c>
      <c r="X3907" s="64" t="n">
        <f aca="false">IF($K3907="No Start (attainment only)",$P3907,0)</f>
        <v>0</v>
      </c>
    </row>
    <row r="3908" customFormat="false" ht="15" hidden="false" customHeight="false" outlineLevel="0" collapsed="false">
      <c r="A3908" s="60"/>
      <c r="B3908" s="61" t="str">
        <f aca="false">IF($M3908=0,"",INDEX(Classes!$E$6:$E$420,$M3908))</f>
        <v/>
      </c>
      <c r="C3908" s="62" t="str">
        <f aca="false">IF($M3908=0,"",INDEX(Classes!$H$6:$H$420,$M3908))</f>
        <v/>
      </c>
      <c r="D3908" s="61" t="str">
        <f aca="false">IF($M3908=0,"",INDEX(Classes!$B$6:$B$420,$M3908))</f>
        <v/>
      </c>
      <c r="E3908" s="61" t="str">
        <f aca="false">IF($M3908=0,"",INDEX(Classes!$C$6:$C$420,$M3908))</f>
        <v/>
      </c>
      <c r="F3908" s="63"/>
      <c r="G3908" s="63"/>
      <c r="H3908" s="60"/>
      <c r="I3908" s="60"/>
      <c r="J3908" s="63"/>
      <c r="K3908" s="61" t="str">
        <f aca="false">IF($P3908=0,"",IF($F3908="Baseline","— Baseline",IF($O3908=0,"No result",IF($N3908=0,"No Start (attainment only)",IF(OR($N3908=1,$O3908=1),"U – needs rule",INDEX(MxBody,MATCH($I3908,MxCurr,0),MATCH($H3908,MxStart,0)))))))</f>
        <v/>
      </c>
      <c r="L3908" s="62" t="str">
        <f aca="false">IF(COUNTA($A3908,$F3908,$G3908,$H3908,$I3908,$J3908)=0,"",IF($M3908=0,"✖ كود الصف غير موجود",IF(ISNA(MATCH($F3908,Lists!$A$2:$A$5,0)),"✖ الفترة غير صحيحة",IF(ISNA(MATCH($G3908,Lists!$B$2:$B$7,0)),"✖ المجموعة غير صحيحة",IF(NOT(OR($H3908="",$N3908&gt;0)),"✖ Start غير صحيح",IF(NOT(OR($I3908="",$I3908="NR",$O3908&gt;0)),"✖ Current غير صحيح",IF(NOT(IF(ISNUMBER($J3908),AND($J3908&gt;=0,$J3908=INT($J3908)),FALSE())),"✖ العدد يجب أن يكون صحيحًا ≥ 0",IF(AND($F3908="Baseline",$H3908&lt;&gt;""),"⚠ Baseline: Start لا يدخل في التقدم",IF($K3908="No Start (attainment only)","ℹ تحصيل فقط (بدون Start)",IF($K3908="U – needs rule","ℹ حالة U تحتاج قاعدة معتمدة",IF($K3908="No result","ℹ بدون نتيجة (يُستبعد من التحصيل)","OK")))))))))))</f>
        <v/>
      </c>
      <c r="M3908" s="64" t="n">
        <f aca="false">IF($A3908="",0,IFERROR(MATCH($A3908,Classes!$A$6:$A$420,0),0))</f>
        <v>0</v>
      </c>
      <c r="N3908" s="64" t="n">
        <f aca="false">IF($H3908="",0,IFERROR(MATCH($H3908,GradeList,0),0))</f>
        <v>0</v>
      </c>
      <c r="O3908" s="64" t="n">
        <f aca="false">IF(OR($I3908="",$I3908="NR"),0,IFERROR(MATCH($I3908,GradeList,0),0))</f>
        <v>0</v>
      </c>
      <c r="P3908" s="64" t="n">
        <f aca="false">IF(AND($M3908&gt;0,ISNUMBER(MATCH($F3908,Lists!$A$2:$A$5,0)),ISNUMBER(MATCH($G3908,Lists!$B$2:$B$7,0)),OR($H3908="",$N3908&gt;0),OR($I3908="",$I3908="NR",$O3908&gt;0),IF(ISNUMBER($J3908),AND($J3908&gt;=0,$J3908=INT($J3908)),FALSE())),$J3908,0)</f>
        <v>0</v>
      </c>
      <c r="Q3908" s="64" t="n">
        <f aca="false">IF(AND($P3908&gt;0,$O3908&gt;0),$P3908,0)</f>
        <v>0</v>
      </c>
      <c r="R3908" s="64" t="n">
        <f aca="false">IF(AND($Q3908&gt;0,$O3908&gt;=AtRank),$Q3908,0)</f>
        <v>0</v>
      </c>
      <c r="S3908" s="64" t="n">
        <f aca="false">IF(AND($Q3908&gt;0,$O3908&gt;=AboveRank),$Q3908,0)</f>
        <v>0</v>
      </c>
      <c r="T3908" s="64" t="n">
        <f aca="false">IF($K3908="Less",$P3908,0)</f>
        <v>0</v>
      </c>
      <c r="U3908" s="64" t="n">
        <f aca="false">IF($K3908="Expected",$P3908,0)</f>
        <v>0</v>
      </c>
      <c r="V3908" s="64" t="n">
        <f aca="false">IF($K3908="Better",$P3908,0)</f>
        <v>0</v>
      </c>
      <c r="W3908" s="64" t="n">
        <f aca="false">IF($K3908="U – needs rule",$P3908,0)</f>
        <v>0</v>
      </c>
      <c r="X3908" s="64" t="n">
        <f aca="false">IF($K3908="No Start (attainment only)",$P3908,0)</f>
        <v>0</v>
      </c>
    </row>
    <row r="3909" customFormat="false" ht="15" hidden="false" customHeight="false" outlineLevel="0" collapsed="false">
      <c r="A3909" s="60"/>
      <c r="B3909" s="61" t="str">
        <f aca="false">IF($M3909=0,"",INDEX(Classes!$E$6:$E$420,$M3909))</f>
        <v/>
      </c>
      <c r="C3909" s="62" t="str">
        <f aca="false">IF($M3909=0,"",INDEX(Classes!$H$6:$H$420,$M3909))</f>
        <v/>
      </c>
      <c r="D3909" s="61" t="str">
        <f aca="false">IF($M3909=0,"",INDEX(Classes!$B$6:$B$420,$M3909))</f>
        <v/>
      </c>
      <c r="E3909" s="61" t="str">
        <f aca="false">IF($M3909=0,"",INDEX(Classes!$C$6:$C$420,$M3909))</f>
        <v/>
      </c>
      <c r="F3909" s="63"/>
      <c r="G3909" s="63"/>
      <c r="H3909" s="60"/>
      <c r="I3909" s="60"/>
      <c r="J3909" s="63"/>
      <c r="K3909" s="61" t="str">
        <f aca="false">IF($P3909=0,"",IF($F3909="Baseline","— Baseline",IF($O3909=0,"No result",IF($N3909=0,"No Start (attainment only)",IF(OR($N3909=1,$O3909=1),"U – needs rule",INDEX(MxBody,MATCH($I3909,MxCurr,0),MATCH($H3909,MxStart,0)))))))</f>
        <v/>
      </c>
      <c r="L3909" s="62" t="str">
        <f aca="false">IF(COUNTA($A3909,$F3909,$G3909,$H3909,$I3909,$J3909)=0,"",IF($M3909=0,"✖ كود الصف غير موجود",IF(ISNA(MATCH($F3909,Lists!$A$2:$A$5,0)),"✖ الفترة غير صحيحة",IF(ISNA(MATCH($G3909,Lists!$B$2:$B$7,0)),"✖ المجموعة غير صحيحة",IF(NOT(OR($H3909="",$N3909&gt;0)),"✖ Start غير صحيح",IF(NOT(OR($I3909="",$I3909="NR",$O3909&gt;0)),"✖ Current غير صحيح",IF(NOT(IF(ISNUMBER($J3909),AND($J3909&gt;=0,$J3909=INT($J3909)),FALSE())),"✖ العدد يجب أن يكون صحيحًا ≥ 0",IF(AND($F3909="Baseline",$H3909&lt;&gt;""),"⚠ Baseline: Start لا يدخل في التقدم",IF($K3909="No Start (attainment only)","ℹ تحصيل فقط (بدون Start)",IF($K3909="U – needs rule","ℹ حالة U تحتاج قاعدة معتمدة",IF($K3909="No result","ℹ بدون نتيجة (يُستبعد من التحصيل)","OK")))))))))))</f>
        <v/>
      </c>
      <c r="M3909" s="64" t="n">
        <f aca="false">IF($A3909="",0,IFERROR(MATCH($A3909,Classes!$A$6:$A$420,0),0))</f>
        <v>0</v>
      </c>
      <c r="N3909" s="64" t="n">
        <f aca="false">IF($H3909="",0,IFERROR(MATCH($H3909,GradeList,0),0))</f>
        <v>0</v>
      </c>
      <c r="O3909" s="64" t="n">
        <f aca="false">IF(OR($I3909="",$I3909="NR"),0,IFERROR(MATCH($I3909,GradeList,0),0))</f>
        <v>0</v>
      </c>
      <c r="P3909" s="64" t="n">
        <f aca="false">IF(AND($M3909&gt;0,ISNUMBER(MATCH($F3909,Lists!$A$2:$A$5,0)),ISNUMBER(MATCH($G3909,Lists!$B$2:$B$7,0)),OR($H3909="",$N3909&gt;0),OR($I3909="",$I3909="NR",$O3909&gt;0),IF(ISNUMBER($J3909),AND($J3909&gt;=0,$J3909=INT($J3909)),FALSE())),$J3909,0)</f>
        <v>0</v>
      </c>
      <c r="Q3909" s="64" t="n">
        <f aca="false">IF(AND($P3909&gt;0,$O3909&gt;0),$P3909,0)</f>
        <v>0</v>
      </c>
      <c r="R3909" s="64" t="n">
        <f aca="false">IF(AND($Q3909&gt;0,$O3909&gt;=AtRank),$Q3909,0)</f>
        <v>0</v>
      </c>
      <c r="S3909" s="64" t="n">
        <f aca="false">IF(AND($Q3909&gt;0,$O3909&gt;=AboveRank),$Q3909,0)</f>
        <v>0</v>
      </c>
      <c r="T3909" s="64" t="n">
        <f aca="false">IF($K3909="Less",$P3909,0)</f>
        <v>0</v>
      </c>
      <c r="U3909" s="64" t="n">
        <f aca="false">IF($K3909="Expected",$P3909,0)</f>
        <v>0</v>
      </c>
      <c r="V3909" s="64" t="n">
        <f aca="false">IF($K3909="Better",$P3909,0)</f>
        <v>0</v>
      </c>
      <c r="W3909" s="64" t="n">
        <f aca="false">IF($K3909="U – needs rule",$P3909,0)</f>
        <v>0</v>
      </c>
      <c r="X3909" s="64" t="n">
        <f aca="false">IF($K3909="No Start (attainment only)",$P3909,0)</f>
        <v>0</v>
      </c>
    </row>
    <row r="3910" customFormat="false" ht="15" hidden="false" customHeight="false" outlineLevel="0" collapsed="false">
      <c r="A3910" s="60"/>
      <c r="B3910" s="61" t="str">
        <f aca="false">IF($M3910=0,"",INDEX(Classes!$E$6:$E$420,$M3910))</f>
        <v/>
      </c>
      <c r="C3910" s="62" t="str">
        <f aca="false">IF($M3910=0,"",INDEX(Classes!$H$6:$H$420,$M3910))</f>
        <v/>
      </c>
      <c r="D3910" s="61" t="str">
        <f aca="false">IF($M3910=0,"",INDEX(Classes!$B$6:$B$420,$M3910))</f>
        <v/>
      </c>
      <c r="E3910" s="61" t="str">
        <f aca="false">IF($M3910=0,"",INDEX(Classes!$C$6:$C$420,$M3910))</f>
        <v/>
      </c>
      <c r="F3910" s="63"/>
      <c r="G3910" s="63"/>
      <c r="H3910" s="60"/>
      <c r="I3910" s="60"/>
      <c r="J3910" s="63"/>
      <c r="K3910" s="61" t="str">
        <f aca="false">IF($P3910=0,"",IF($F3910="Baseline","— Baseline",IF($O3910=0,"No result",IF($N3910=0,"No Start (attainment only)",IF(OR($N3910=1,$O3910=1),"U – needs rule",INDEX(MxBody,MATCH($I3910,MxCurr,0),MATCH($H3910,MxStart,0)))))))</f>
        <v/>
      </c>
      <c r="L3910" s="62" t="str">
        <f aca="false">IF(COUNTA($A3910,$F3910,$G3910,$H3910,$I3910,$J3910)=0,"",IF($M3910=0,"✖ كود الصف غير موجود",IF(ISNA(MATCH($F3910,Lists!$A$2:$A$5,0)),"✖ الفترة غير صحيحة",IF(ISNA(MATCH($G3910,Lists!$B$2:$B$7,0)),"✖ المجموعة غير صحيحة",IF(NOT(OR($H3910="",$N3910&gt;0)),"✖ Start غير صحيح",IF(NOT(OR($I3910="",$I3910="NR",$O3910&gt;0)),"✖ Current غير صحيح",IF(NOT(IF(ISNUMBER($J3910),AND($J3910&gt;=0,$J3910=INT($J3910)),FALSE())),"✖ العدد يجب أن يكون صحيحًا ≥ 0",IF(AND($F3910="Baseline",$H3910&lt;&gt;""),"⚠ Baseline: Start لا يدخل في التقدم",IF($K3910="No Start (attainment only)","ℹ تحصيل فقط (بدون Start)",IF($K3910="U – needs rule","ℹ حالة U تحتاج قاعدة معتمدة",IF($K3910="No result","ℹ بدون نتيجة (يُستبعد من التحصيل)","OK")))))))))))</f>
        <v/>
      </c>
      <c r="M3910" s="64" t="n">
        <f aca="false">IF($A3910="",0,IFERROR(MATCH($A3910,Classes!$A$6:$A$420,0),0))</f>
        <v>0</v>
      </c>
      <c r="N3910" s="64" t="n">
        <f aca="false">IF($H3910="",0,IFERROR(MATCH($H3910,GradeList,0),0))</f>
        <v>0</v>
      </c>
      <c r="O3910" s="64" t="n">
        <f aca="false">IF(OR($I3910="",$I3910="NR"),0,IFERROR(MATCH($I3910,GradeList,0),0))</f>
        <v>0</v>
      </c>
      <c r="P3910" s="64" t="n">
        <f aca="false">IF(AND($M3910&gt;0,ISNUMBER(MATCH($F3910,Lists!$A$2:$A$5,0)),ISNUMBER(MATCH($G3910,Lists!$B$2:$B$7,0)),OR($H3910="",$N3910&gt;0),OR($I3910="",$I3910="NR",$O3910&gt;0),IF(ISNUMBER($J3910),AND($J3910&gt;=0,$J3910=INT($J3910)),FALSE())),$J3910,0)</f>
        <v>0</v>
      </c>
      <c r="Q3910" s="64" t="n">
        <f aca="false">IF(AND($P3910&gt;0,$O3910&gt;0),$P3910,0)</f>
        <v>0</v>
      </c>
      <c r="R3910" s="64" t="n">
        <f aca="false">IF(AND($Q3910&gt;0,$O3910&gt;=AtRank),$Q3910,0)</f>
        <v>0</v>
      </c>
      <c r="S3910" s="64" t="n">
        <f aca="false">IF(AND($Q3910&gt;0,$O3910&gt;=AboveRank),$Q3910,0)</f>
        <v>0</v>
      </c>
      <c r="T3910" s="64" t="n">
        <f aca="false">IF($K3910="Less",$P3910,0)</f>
        <v>0</v>
      </c>
      <c r="U3910" s="64" t="n">
        <f aca="false">IF($K3910="Expected",$P3910,0)</f>
        <v>0</v>
      </c>
      <c r="V3910" s="64" t="n">
        <f aca="false">IF($K3910="Better",$P3910,0)</f>
        <v>0</v>
      </c>
      <c r="W3910" s="64" t="n">
        <f aca="false">IF($K3910="U – needs rule",$P3910,0)</f>
        <v>0</v>
      </c>
      <c r="X3910" s="64" t="n">
        <f aca="false">IF($K3910="No Start (attainment only)",$P3910,0)</f>
        <v>0</v>
      </c>
    </row>
    <row r="3911" customFormat="false" ht="15" hidden="false" customHeight="false" outlineLevel="0" collapsed="false">
      <c r="A3911" s="60"/>
      <c r="B3911" s="61" t="str">
        <f aca="false">IF($M3911=0,"",INDEX(Classes!$E$6:$E$420,$M3911))</f>
        <v/>
      </c>
      <c r="C3911" s="62" t="str">
        <f aca="false">IF($M3911=0,"",INDEX(Classes!$H$6:$H$420,$M3911))</f>
        <v/>
      </c>
      <c r="D3911" s="61" t="str">
        <f aca="false">IF($M3911=0,"",INDEX(Classes!$B$6:$B$420,$M3911))</f>
        <v/>
      </c>
      <c r="E3911" s="61" t="str">
        <f aca="false">IF($M3911=0,"",INDEX(Classes!$C$6:$C$420,$M3911))</f>
        <v/>
      </c>
      <c r="F3911" s="63"/>
      <c r="G3911" s="63"/>
      <c r="H3911" s="60"/>
      <c r="I3911" s="60"/>
      <c r="J3911" s="63"/>
      <c r="K3911" s="61" t="str">
        <f aca="false">IF($P3911=0,"",IF($F3911="Baseline","— Baseline",IF($O3911=0,"No result",IF($N3911=0,"No Start (attainment only)",IF(OR($N3911=1,$O3911=1),"U – needs rule",INDEX(MxBody,MATCH($I3911,MxCurr,0),MATCH($H3911,MxStart,0)))))))</f>
        <v/>
      </c>
      <c r="L3911" s="62" t="str">
        <f aca="false">IF(COUNTA($A3911,$F3911,$G3911,$H3911,$I3911,$J3911)=0,"",IF($M3911=0,"✖ كود الصف غير موجود",IF(ISNA(MATCH($F3911,Lists!$A$2:$A$5,0)),"✖ الفترة غير صحيحة",IF(ISNA(MATCH($G3911,Lists!$B$2:$B$7,0)),"✖ المجموعة غير صحيحة",IF(NOT(OR($H3911="",$N3911&gt;0)),"✖ Start غير صحيح",IF(NOT(OR($I3911="",$I3911="NR",$O3911&gt;0)),"✖ Current غير صحيح",IF(NOT(IF(ISNUMBER($J3911),AND($J3911&gt;=0,$J3911=INT($J3911)),FALSE())),"✖ العدد يجب أن يكون صحيحًا ≥ 0",IF(AND($F3911="Baseline",$H3911&lt;&gt;""),"⚠ Baseline: Start لا يدخل في التقدم",IF($K3911="No Start (attainment only)","ℹ تحصيل فقط (بدون Start)",IF($K3911="U – needs rule","ℹ حالة U تحتاج قاعدة معتمدة",IF($K3911="No result","ℹ بدون نتيجة (يُستبعد من التحصيل)","OK")))))))))))</f>
        <v/>
      </c>
      <c r="M3911" s="64" t="n">
        <f aca="false">IF($A3911="",0,IFERROR(MATCH($A3911,Classes!$A$6:$A$420,0),0))</f>
        <v>0</v>
      </c>
      <c r="N3911" s="64" t="n">
        <f aca="false">IF($H3911="",0,IFERROR(MATCH($H3911,GradeList,0),0))</f>
        <v>0</v>
      </c>
      <c r="O3911" s="64" t="n">
        <f aca="false">IF(OR($I3911="",$I3911="NR"),0,IFERROR(MATCH($I3911,GradeList,0),0))</f>
        <v>0</v>
      </c>
      <c r="P3911" s="64" t="n">
        <f aca="false">IF(AND($M3911&gt;0,ISNUMBER(MATCH($F3911,Lists!$A$2:$A$5,0)),ISNUMBER(MATCH($G3911,Lists!$B$2:$B$7,0)),OR($H3911="",$N3911&gt;0),OR($I3911="",$I3911="NR",$O3911&gt;0),IF(ISNUMBER($J3911),AND($J3911&gt;=0,$J3911=INT($J3911)),FALSE())),$J3911,0)</f>
        <v>0</v>
      </c>
      <c r="Q3911" s="64" t="n">
        <f aca="false">IF(AND($P3911&gt;0,$O3911&gt;0),$P3911,0)</f>
        <v>0</v>
      </c>
      <c r="R3911" s="64" t="n">
        <f aca="false">IF(AND($Q3911&gt;0,$O3911&gt;=AtRank),$Q3911,0)</f>
        <v>0</v>
      </c>
      <c r="S3911" s="64" t="n">
        <f aca="false">IF(AND($Q3911&gt;0,$O3911&gt;=AboveRank),$Q3911,0)</f>
        <v>0</v>
      </c>
      <c r="T3911" s="64" t="n">
        <f aca="false">IF($K3911="Less",$P3911,0)</f>
        <v>0</v>
      </c>
      <c r="U3911" s="64" t="n">
        <f aca="false">IF($K3911="Expected",$P3911,0)</f>
        <v>0</v>
      </c>
      <c r="V3911" s="64" t="n">
        <f aca="false">IF($K3911="Better",$P3911,0)</f>
        <v>0</v>
      </c>
      <c r="W3911" s="64" t="n">
        <f aca="false">IF($K3911="U – needs rule",$P3911,0)</f>
        <v>0</v>
      </c>
      <c r="X3911" s="64" t="n">
        <f aca="false">IF($K3911="No Start (attainment only)",$P3911,0)</f>
        <v>0</v>
      </c>
    </row>
    <row r="3912" customFormat="false" ht="15" hidden="false" customHeight="false" outlineLevel="0" collapsed="false">
      <c r="A3912" s="60"/>
      <c r="B3912" s="61" t="str">
        <f aca="false">IF($M3912=0,"",INDEX(Classes!$E$6:$E$420,$M3912))</f>
        <v/>
      </c>
      <c r="C3912" s="62" t="str">
        <f aca="false">IF($M3912=0,"",INDEX(Classes!$H$6:$H$420,$M3912))</f>
        <v/>
      </c>
      <c r="D3912" s="61" t="str">
        <f aca="false">IF($M3912=0,"",INDEX(Classes!$B$6:$B$420,$M3912))</f>
        <v/>
      </c>
      <c r="E3912" s="61" t="str">
        <f aca="false">IF($M3912=0,"",INDEX(Classes!$C$6:$C$420,$M3912))</f>
        <v/>
      </c>
      <c r="F3912" s="63"/>
      <c r="G3912" s="63"/>
      <c r="H3912" s="60"/>
      <c r="I3912" s="60"/>
      <c r="J3912" s="63"/>
      <c r="K3912" s="61" t="str">
        <f aca="false">IF($P3912=0,"",IF($F3912="Baseline","— Baseline",IF($O3912=0,"No result",IF($N3912=0,"No Start (attainment only)",IF(OR($N3912=1,$O3912=1),"U – needs rule",INDEX(MxBody,MATCH($I3912,MxCurr,0),MATCH($H3912,MxStart,0)))))))</f>
        <v/>
      </c>
      <c r="L3912" s="62" t="str">
        <f aca="false">IF(COUNTA($A3912,$F3912,$G3912,$H3912,$I3912,$J3912)=0,"",IF($M3912=0,"✖ كود الصف غير موجود",IF(ISNA(MATCH($F3912,Lists!$A$2:$A$5,0)),"✖ الفترة غير صحيحة",IF(ISNA(MATCH($G3912,Lists!$B$2:$B$7,0)),"✖ المجموعة غير صحيحة",IF(NOT(OR($H3912="",$N3912&gt;0)),"✖ Start غير صحيح",IF(NOT(OR($I3912="",$I3912="NR",$O3912&gt;0)),"✖ Current غير صحيح",IF(NOT(IF(ISNUMBER($J3912),AND($J3912&gt;=0,$J3912=INT($J3912)),FALSE())),"✖ العدد يجب أن يكون صحيحًا ≥ 0",IF(AND($F3912="Baseline",$H3912&lt;&gt;""),"⚠ Baseline: Start لا يدخل في التقدم",IF($K3912="No Start (attainment only)","ℹ تحصيل فقط (بدون Start)",IF($K3912="U – needs rule","ℹ حالة U تحتاج قاعدة معتمدة",IF($K3912="No result","ℹ بدون نتيجة (يُستبعد من التحصيل)","OK")))))))))))</f>
        <v/>
      </c>
      <c r="M3912" s="64" t="n">
        <f aca="false">IF($A3912="",0,IFERROR(MATCH($A3912,Classes!$A$6:$A$420,0),0))</f>
        <v>0</v>
      </c>
      <c r="N3912" s="64" t="n">
        <f aca="false">IF($H3912="",0,IFERROR(MATCH($H3912,GradeList,0),0))</f>
        <v>0</v>
      </c>
      <c r="O3912" s="64" t="n">
        <f aca="false">IF(OR($I3912="",$I3912="NR"),0,IFERROR(MATCH($I3912,GradeList,0),0))</f>
        <v>0</v>
      </c>
      <c r="P3912" s="64" t="n">
        <f aca="false">IF(AND($M3912&gt;0,ISNUMBER(MATCH($F3912,Lists!$A$2:$A$5,0)),ISNUMBER(MATCH($G3912,Lists!$B$2:$B$7,0)),OR($H3912="",$N3912&gt;0),OR($I3912="",$I3912="NR",$O3912&gt;0),IF(ISNUMBER($J3912),AND($J3912&gt;=0,$J3912=INT($J3912)),FALSE())),$J3912,0)</f>
        <v>0</v>
      </c>
      <c r="Q3912" s="64" t="n">
        <f aca="false">IF(AND($P3912&gt;0,$O3912&gt;0),$P3912,0)</f>
        <v>0</v>
      </c>
      <c r="R3912" s="64" t="n">
        <f aca="false">IF(AND($Q3912&gt;0,$O3912&gt;=AtRank),$Q3912,0)</f>
        <v>0</v>
      </c>
      <c r="S3912" s="64" t="n">
        <f aca="false">IF(AND($Q3912&gt;0,$O3912&gt;=AboveRank),$Q3912,0)</f>
        <v>0</v>
      </c>
      <c r="T3912" s="64" t="n">
        <f aca="false">IF($K3912="Less",$P3912,0)</f>
        <v>0</v>
      </c>
      <c r="U3912" s="64" t="n">
        <f aca="false">IF($K3912="Expected",$P3912,0)</f>
        <v>0</v>
      </c>
      <c r="V3912" s="64" t="n">
        <f aca="false">IF($K3912="Better",$P3912,0)</f>
        <v>0</v>
      </c>
      <c r="W3912" s="64" t="n">
        <f aca="false">IF($K3912="U – needs rule",$P3912,0)</f>
        <v>0</v>
      </c>
      <c r="X3912" s="64" t="n">
        <f aca="false">IF($K3912="No Start (attainment only)",$P3912,0)</f>
        <v>0</v>
      </c>
    </row>
    <row r="3913" customFormat="false" ht="15" hidden="false" customHeight="false" outlineLevel="0" collapsed="false">
      <c r="A3913" s="60"/>
      <c r="B3913" s="61" t="str">
        <f aca="false">IF($M3913=0,"",INDEX(Classes!$E$6:$E$420,$M3913))</f>
        <v/>
      </c>
      <c r="C3913" s="62" t="str">
        <f aca="false">IF($M3913=0,"",INDEX(Classes!$H$6:$H$420,$M3913))</f>
        <v/>
      </c>
      <c r="D3913" s="61" t="str">
        <f aca="false">IF($M3913=0,"",INDEX(Classes!$B$6:$B$420,$M3913))</f>
        <v/>
      </c>
      <c r="E3913" s="61" t="str">
        <f aca="false">IF($M3913=0,"",INDEX(Classes!$C$6:$C$420,$M3913))</f>
        <v/>
      </c>
      <c r="F3913" s="63"/>
      <c r="G3913" s="63"/>
      <c r="H3913" s="60"/>
      <c r="I3913" s="60"/>
      <c r="J3913" s="63"/>
      <c r="K3913" s="61" t="str">
        <f aca="false">IF($P3913=0,"",IF($F3913="Baseline","— Baseline",IF($O3913=0,"No result",IF($N3913=0,"No Start (attainment only)",IF(OR($N3913=1,$O3913=1),"U – needs rule",INDEX(MxBody,MATCH($I3913,MxCurr,0),MATCH($H3913,MxStart,0)))))))</f>
        <v/>
      </c>
      <c r="L3913" s="62" t="str">
        <f aca="false">IF(COUNTA($A3913,$F3913,$G3913,$H3913,$I3913,$J3913)=0,"",IF($M3913=0,"✖ كود الصف غير موجود",IF(ISNA(MATCH($F3913,Lists!$A$2:$A$5,0)),"✖ الفترة غير صحيحة",IF(ISNA(MATCH($G3913,Lists!$B$2:$B$7,0)),"✖ المجموعة غير صحيحة",IF(NOT(OR($H3913="",$N3913&gt;0)),"✖ Start غير صحيح",IF(NOT(OR($I3913="",$I3913="NR",$O3913&gt;0)),"✖ Current غير صحيح",IF(NOT(IF(ISNUMBER($J3913),AND($J3913&gt;=0,$J3913=INT($J3913)),FALSE())),"✖ العدد يجب أن يكون صحيحًا ≥ 0",IF(AND($F3913="Baseline",$H3913&lt;&gt;""),"⚠ Baseline: Start لا يدخل في التقدم",IF($K3913="No Start (attainment only)","ℹ تحصيل فقط (بدون Start)",IF($K3913="U – needs rule","ℹ حالة U تحتاج قاعدة معتمدة",IF($K3913="No result","ℹ بدون نتيجة (يُستبعد من التحصيل)","OK")))))))))))</f>
        <v/>
      </c>
      <c r="M3913" s="64" t="n">
        <f aca="false">IF($A3913="",0,IFERROR(MATCH($A3913,Classes!$A$6:$A$420,0),0))</f>
        <v>0</v>
      </c>
      <c r="N3913" s="64" t="n">
        <f aca="false">IF($H3913="",0,IFERROR(MATCH($H3913,GradeList,0),0))</f>
        <v>0</v>
      </c>
      <c r="O3913" s="64" t="n">
        <f aca="false">IF(OR($I3913="",$I3913="NR"),0,IFERROR(MATCH($I3913,GradeList,0),0))</f>
        <v>0</v>
      </c>
      <c r="P3913" s="64" t="n">
        <f aca="false">IF(AND($M3913&gt;0,ISNUMBER(MATCH($F3913,Lists!$A$2:$A$5,0)),ISNUMBER(MATCH($G3913,Lists!$B$2:$B$7,0)),OR($H3913="",$N3913&gt;0),OR($I3913="",$I3913="NR",$O3913&gt;0),IF(ISNUMBER($J3913),AND($J3913&gt;=0,$J3913=INT($J3913)),FALSE())),$J3913,0)</f>
        <v>0</v>
      </c>
      <c r="Q3913" s="64" t="n">
        <f aca="false">IF(AND($P3913&gt;0,$O3913&gt;0),$P3913,0)</f>
        <v>0</v>
      </c>
      <c r="R3913" s="64" t="n">
        <f aca="false">IF(AND($Q3913&gt;0,$O3913&gt;=AtRank),$Q3913,0)</f>
        <v>0</v>
      </c>
      <c r="S3913" s="64" t="n">
        <f aca="false">IF(AND($Q3913&gt;0,$O3913&gt;=AboveRank),$Q3913,0)</f>
        <v>0</v>
      </c>
      <c r="T3913" s="64" t="n">
        <f aca="false">IF($K3913="Less",$P3913,0)</f>
        <v>0</v>
      </c>
      <c r="U3913" s="64" t="n">
        <f aca="false">IF($K3913="Expected",$P3913,0)</f>
        <v>0</v>
      </c>
      <c r="V3913" s="64" t="n">
        <f aca="false">IF($K3913="Better",$P3913,0)</f>
        <v>0</v>
      </c>
      <c r="W3913" s="64" t="n">
        <f aca="false">IF($K3913="U – needs rule",$P3913,0)</f>
        <v>0</v>
      </c>
      <c r="X3913" s="64" t="n">
        <f aca="false">IF($K3913="No Start (attainment only)",$P3913,0)</f>
        <v>0</v>
      </c>
    </row>
    <row r="3914" customFormat="false" ht="15" hidden="false" customHeight="false" outlineLevel="0" collapsed="false">
      <c r="A3914" s="60"/>
      <c r="B3914" s="61" t="str">
        <f aca="false">IF($M3914=0,"",INDEX(Classes!$E$6:$E$420,$M3914))</f>
        <v/>
      </c>
      <c r="C3914" s="62" t="str">
        <f aca="false">IF($M3914=0,"",INDEX(Classes!$H$6:$H$420,$M3914))</f>
        <v/>
      </c>
      <c r="D3914" s="61" t="str">
        <f aca="false">IF($M3914=0,"",INDEX(Classes!$B$6:$B$420,$M3914))</f>
        <v/>
      </c>
      <c r="E3914" s="61" t="str">
        <f aca="false">IF($M3914=0,"",INDEX(Classes!$C$6:$C$420,$M3914))</f>
        <v/>
      </c>
      <c r="F3914" s="63"/>
      <c r="G3914" s="63"/>
      <c r="H3914" s="60"/>
      <c r="I3914" s="60"/>
      <c r="J3914" s="63"/>
      <c r="K3914" s="61" t="str">
        <f aca="false">IF($P3914=0,"",IF($F3914="Baseline","— Baseline",IF($O3914=0,"No result",IF($N3914=0,"No Start (attainment only)",IF(OR($N3914=1,$O3914=1),"U – needs rule",INDEX(MxBody,MATCH($I3914,MxCurr,0),MATCH($H3914,MxStart,0)))))))</f>
        <v/>
      </c>
      <c r="L3914" s="62" t="str">
        <f aca="false">IF(COUNTA($A3914,$F3914,$G3914,$H3914,$I3914,$J3914)=0,"",IF($M3914=0,"✖ كود الصف غير موجود",IF(ISNA(MATCH($F3914,Lists!$A$2:$A$5,0)),"✖ الفترة غير صحيحة",IF(ISNA(MATCH($G3914,Lists!$B$2:$B$7,0)),"✖ المجموعة غير صحيحة",IF(NOT(OR($H3914="",$N3914&gt;0)),"✖ Start غير صحيح",IF(NOT(OR($I3914="",$I3914="NR",$O3914&gt;0)),"✖ Current غير صحيح",IF(NOT(IF(ISNUMBER($J3914),AND($J3914&gt;=0,$J3914=INT($J3914)),FALSE())),"✖ العدد يجب أن يكون صحيحًا ≥ 0",IF(AND($F3914="Baseline",$H3914&lt;&gt;""),"⚠ Baseline: Start لا يدخل في التقدم",IF($K3914="No Start (attainment only)","ℹ تحصيل فقط (بدون Start)",IF($K3914="U – needs rule","ℹ حالة U تحتاج قاعدة معتمدة",IF($K3914="No result","ℹ بدون نتيجة (يُستبعد من التحصيل)","OK")))))))))))</f>
        <v/>
      </c>
      <c r="M3914" s="64" t="n">
        <f aca="false">IF($A3914="",0,IFERROR(MATCH($A3914,Classes!$A$6:$A$420,0),0))</f>
        <v>0</v>
      </c>
      <c r="N3914" s="64" t="n">
        <f aca="false">IF($H3914="",0,IFERROR(MATCH($H3914,GradeList,0),0))</f>
        <v>0</v>
      </c>
      <c r="O3914" s="64" t="n">
        <f aca="false">IF(OR($I3914="",$I3914="NR"),0,IFERROR(MATCH($I3914,GradeList,0),0))</f>
        <v>0</v>
      </c>
      <c r="P3914" s="64" t="n">
        <f aca="false">IF(AND($M3914&gt;0,ISNUMBER(MATCH($F3914,Lists!$A$2:$A$5,0)),ISNUMBER(MATCH($G3914,Lists!$B$2:$B$7,0)),OR($H3914="",$N3914&gt;0),OR($I3914="",$I3914="NR",$O3914&gt;0),IF(ISNUMBER($J3914),AND($J3914&gt;=0,$J3914=INT($J3914)),FALSE())),$J3914,0)</f>
        <v>0</v>
      </c>
      <c r="Q3914" s="64" t="n">
        <f aca="false">IF(AND($P3914&gt;0,$O3914&gt;0),$P3914,0)</f>
        <v>0</v>
      </c>
      <c r="R3914" s="64" t="n">
        <f aca="false">IF(AND($Q3914&gt;0,$O3914&gt;=AtRank),$Q3914,0)</f>
        <v>0</v>
      </c>
      <c r="S3914" s="64" t="n">
        <f aca="false">IF(AND($Q3914&gt;0,$O3914&gt;=AboveRank),$Q3914,0)</f>
        <v>0</v>
      </c>
      <c r="T3914" s="64" t="n">
        <f aca="false">IF($K3914="Less",$P3914,0)</f>
        <v>0</v>
      </c>
      <c r="U3914" s="64" t="n">
        <f aca="false">IF($K3914="Expected",$P3914,0)</f>
        <v>0</v>
      </c>
      <c r="V3914" s="64" t="n">
        <f aca="false">IF($K3914="Better",$P3914,0)</f>
        <v>0</v>
      </c>
      <c r="W3914" s="64" t="n">
        <f aca="false">IF($K3914="U – needs rule",$P3914,0)</f>
        <v>0</v>
      </c>
      <c r="X3914" s="64" t="n">
        <f aca="false">IF($K3914="No Start (attainment only)",$P3914,0)</f>
        <v>0</v>
      </c>
    </row>
    <row r="3915" customFormat="false" ht="15" hidden="false" customHeight="false" outlineLevel="0" collapsed="false">
      <c r="A3915" s="60"/>
      <c r="B3915" s="61" t="str">
        <f aca="false">IF($M3915=0,"",INDEX(Classes!$E$6:$E$420,$M3915))</f>
        <v/>
      </c>
      <c r="C3915" s="62" t="str">
        <f aca="false">IF($M3915=0,"",INDEX(Classes!$H$6:$H$420,$M3915))</f>
        <v/>
      </c>
      <c r="D3915" s="61" t="str">
        <f aca="false">IF($M3915=0,"",INDEX(Classes!$B$6:$B$420,$M3915))</f>
        <v/>
      </c>
      <c r="E3915" s="61" t="str">
        <f aca="false">IF($M3915=0,"",INDEX(Classes!$C$6:$C$420,$M3915))</f>
        <v/>
      </c>
      <c r="F3915" s="63"/>
      <c r="G3915" s="63"/>
      <c r="H3915" s="60"/>
      <c r="I3915" s="60"/>
      <c r="J3915" s="63"/>
      <c r="K3915" s="61" t="str">
        <f aca="false">IF($P3915=0,"",IF($F3915="Baseline","— Baseline",IF($O3915=0,"No result",IF($N3915=0,"No Start (attainment only)",IF(OR($N3915=1,$O3915=1),"U – needs rule",INDEX(MxBody,MATCH($I3915,MxCurr,0),MATCH($H3915,MxStart,0)))))))</f>
        <v/>
      </c>
      <c r="L3915" s="62" t="str">
        <f aca="false">IF(COUNTA($A3915,$F3915,$G3915,$H3915,$I3915,$J3915)=0,"",IF($M3915=0,"✖ كود الصف غير موجود",IF(ISNA(MATCH($F3915,Lists!$A$2:$A$5,0)),"✖ الفترة غير صحيحة",IF(ISNA(MATCH($G3915,Lists!$B$2:$B$7,0)),"✖ المجموعة غير صحيحة",IF(NOT(OR($H3915="",$N3915&gt;0)),"✖ Start غير صحيح",IF(NOT(OR($I3915="",$I3915="NR",$O3915&gt;0)),"✖ Current غير صحيح",IF(NOT(IF(ISNUMBER($J3915),AND($J3915&gt;=0,$J3915=INT($J3915)),FALSE())),"✖ العدد يجب أن يكون صحيحًا ≥ 0",IF(AND($F3915="Baseline",$H3915&lt;&gt;""),"⚠ Baseline: Start لا يدخل في التقدم",IF($K3915="No Start (attainment only)","ℹ تحصيل فقط (بدون Start)",IF($K3915="U – needs rule","ℹ حالة U تحتاج قاعدة معتمدة",IF($K3915="No result","ℹ بدون نتيجة (يُستبعد من التحصيل)","OK")))))))))))</f>
        <v/>
      </c>
      <c r="M3915" s="64" t="n">
        <f aca="false">IF($A3915="",0,IFERROR(MATCH($A3915,Classes!$A$6:$A$420,0),0))</f>
        <v>0</v>
      </c>
      <c r="N3915" s="64" t="n">
        <f aca="false">IF($H3915="",0,IFERROR(MATCH($H3915,GradeList,0),0))</f>
        <v>0</v>
      </c>
      <c r="O3915" s="64" t="n">
        <f aca="false">IF(OR($I3915="",$I3915="NR"),0,IFERROR(MATCH($I3915,GradeList,0),0))</f>
        <v>0</v>
      </c>
      <c r="P3915" s="64" t="n">
        <f aca="false">IF(AND($M3915&gt;0,ISNUMBER(MATCH($F3915,Lists!$A$2:$A$5,0)),ISNUMBER(MATCH($G3915,Lists!$B$2:$B$7,0)),OR($H3915="",$N3915&gt;0),OR($I3915="",$I3915="NR",$O3915&gt;0),IF(ISNUMBER($J3915),AND($J3915&gt;=0,$J3915=INT($J3915)),FALSE())),$J3915,0)</f>
        <v>0</v>
      </c>
      <c r="Q3915" s="64" t="n">
        <f aca="false">IF(AND($P3915&gt;0,$O3915&gt;0),$P3915,0)</f>
        <v>0</v>
      </c>
      <c r="R3915" s="64" t="n">
        <f aca="false">IF(AND($Q3915&gt;0,$O3915&gt;=AtRank),$Q3915,0)</f>
        <v>0</v>
      </c>
      <c r="S3915" s="64" t="n">
        <f aca="false">IF(AND($Q3915&gt;0,$O3915&gt;=AboveRank),$Q3915,0)</f>
        <v>0</v>
      </c>
      <c r="T3915" s="64" t="n">
        <f aca="false">IF($K3915="Less",$P3915,0)</f>
        <v>0</v>
      </c>
      <c r="U3915" s="64" t="n">
        <f aca="false">IF($K3915="Expected",$P3915,0)</f>
        <v>0</v>
      </c>
      <c r="V3915" s="64" t="n">
        <f aca="false">IF($K3915="Better",$P3915,0)</f>
        <v>0</v>
      </c>
      <c r="W3915" s="64" t="n">
        <f aca="false">IF($K3915="U – needs rule",$P3915,0)</f>
        <v>0</v>
      </c>
      <c r="X3915" s="64" t="n">
        <f aca="false">IF($K3915="No Start (attainment only)",$P3915,0)</f>
        <v>0</v>
      </c>
    </row>
    <row r="3916" customFormat="false" ht="15" hidden="false" customHeight="false" outlineLevel="0" collapsed="false">
      <c r="A3916" s="60"/>
      <c r="B3916" s="61" t="str">
        <f aca="false">IF($M3916=0,"",INDEX(Classes!$E$6:$E$420,$M3916))</f>
        <v/>
      </c>
      <c r="C3916" s="62" t="str">
        <f aca="false">IF($M3916=0,"",INDEX(Classes!$H$6:$H$420,$M3916))</f>
        <v/>
      </c>
      <c r="D3916" s="61" t="str">
        <f aca="false">IF($M3916=0,"",INDEX(Classes!$B$6:$B$420,$M3916))</f>
        <v/>
      </c>
      <c r="E3916" s="61" t="str">
        <f aca="false">IF($M3916=0,"",INDEX(Classes!$C$6:$C$420,$M3916))</f>
        <v/>
      </c>
      <c r="F3916" s="63"/>
      <c r="G3916" s="63"/>
      <c r="H3916" s="60"/>
      <c r="I3916" s="60"/>
      <c r="J3916" s="63"/>
      <c r="K3916" s="61" t="str">
        <f aca="false">IF($P3916=0,"",IF($F3916="Baseline","— Baseline",IF($O3916=0,"No result",IF($N3916=0,"No Start (attainment only)",IF(OR($N3916=1,$O3916=1),"U – needs rule",INDEX(MxBody,MATCH($I3916,MxCurr,0),MATCH($H3916,MxStart,0)))))))</f>
        <v/>
      </c>
      <c r="L3916" s="62" t="str">
        <f aca="false">IF(COUNTA($A3916,$F3916,$G3916,$H3916,$I3916,$J3916)=0,"",IF($M3916=0,"✖ كود الصف غير موجود",IF(ISNA(MATCH($F3916,Lists!$A$2:$A$5,0)),"✖ الفترة غير صحيحة",IF(ISNA(MATCH($G3916,Lists!$B$2:$B$7,0)),"✖ المجموعة غير صحيحة",IF(NOT(OR($H3916="",$N3916&gt;0)),"✖ Start غير صحيح",IF(NOT(OR($I3916="",$I3916="NR",$O3916&gt;0)),"✖ Current غير صحيح",IF(NOT(IF(ISNUMBER($J3916),AND($J3916&gt;=0,$J3916=INT($J3916)),FALSE())),"✖ العدد يجب أن يكون صحيحًا ≥ 0",IF(AND($F3916="Baseline",$H3916&lt;&gt;""),"⚠ Baseline: Start لا يدخل في التقدم",IF($K3916="No Start (attainment only)","ℹ تحصيل فقط (بدون Start)",IF($K3916="U – needs rule","ℹ حالة U تحتاج قاعدة معتمدة",IF($K3916="No result","ℹ بدون نتيجة (يُستبعد من التحصيل)","OK")))))))))))</f>
        <v/>
      </c>
      <c r="M3916" s="64" t="n">
        <f aca="false">IF($A3916="",0,IFERROR(MATCH($A3916,Classes!$A$6:$A$420,0),0))</f>
        <v>0</v>
      </c>
      <c r="N3916" s="64" t="n">
        <f aca="false">IF($H3916="",0,IFERROR(MATCH($H3916,GradeList,0),0))</f>
        <v>0</v>
      </c>
      <c r="O3916" s="64" t="n">
        <f aca="false">IF(OR($I3916="",$I3916="NR"),0,IFERROR(MATCH($I3916,GradeList,0),0))</f>
        <v>0</v>
      </c>
      <c r="P3916" s="64" t="n">
        <f aca="false">IF(AND($M3916&gt;0,ISNUMBER(MATCH($F3916,Lists!$A$2:$A$5,0)),ISNUMBER(MATCH($G3916,Lists!$B$2:$B$7,0)),OR($H3916="",$N3916&gt;0),OR($I3916="",$I3916="NR",$O3916&gt;0),IF(ISNUMBER($J3916),AND($J3916&gt;=0,$J3916=INT($J3916)),FALSE())),$J3916,0)</f>
        <v>0</v>
      </c>
      <c r="Q3916" s="64" t="n">
        <f aca="false">IF(AND($P3916&gt;0,$O3916&gt;0),$P3916,0)</f>
        <v>0</v>
      </c>
      <c r="R3916" s="64" t="n">
        <f aca="false">IF(AND($Q3916&gt;0,$O3916&gt;=AtRank),$Q3916,0)</f>
        <v>0</v>
      </c>
      <c r="S3916" s="64" t="n">
        <f aca="false">IF(AND($Q3916&gt;0,$O3916&gt;=AboveRank),$Q3916,0)</f>
        <v>0</v>
      </c>
      <c r="T3916" s="64" t="n">
        <f aca="false">IF($K3916="Less",$P3916,0)</f>
        <v>0</v>
      </c>
      <c r="U3916" s="64" t="n">
        <f aca="false">IF($K3916="Expected",$P3916,0)</f>
        <v>0</v>
      </c>
      <c r="V3916" s="64" t="n">
        <f aca="false">IF($K3916="Better",$P3916,0)</f>
        <v>0</v>
      </c>
      <c r="W3916" s="64" t="n">
        <f aca="false">IF($K3916="U – needs rule",$P3916,0)</f>
        <v>0</v>
      </c>
      <c r="X3916" s="64" t="n">
        <f aca="false">IF($K3916="No Start (attainment only)",$P3916,0)</f>
        <v>0</v>
      </c>
    </row>
    <row r="3917" customFormat="false" ht="15" hidden="false" customHeight="false" outlineLevel="0" collapsed="false">
      <c r="A3917" s="60"/>
      <c r="B3917" s="61" t="str">
        <f aca="false">IF($M3917=0,"",INDEX(Classes!$E$6:$E$420,$M3917))</f>
        <v/>
      </c>
      <c r="C3917" s="62" t="str">
        <f aca="false">IF($M3917=0,"",INDEX(Classes!$H$6:$H$420,$M3917))</f>
        <v/>
      </c>
      <c r="D3917" s="61" t="str">
        <f aca="false">IF($M3917=0,"",INDEX(Classes!$B$6:$B$420,$M3917))</f>
        <v/>
      </c>
      <c r="E3917" s="61" t="str">
        <f aca="false">IF($M3917=0,"",INDEX(Classes!$C$6:$C$420,$M3917))</f>
        <v/>
      </c>
      <c r="F3917" s="63"/>
      <c r="G3917" s="63"/>
      <c r="H3917" s="60"/>
      <c r="I3917" s="60"/>
      <c r="J3917" s="63"/>
      <c r="K3917" s="61" t="str">
        <f aca="false">IF($P3917=0,"",IF($F3917="Baseline","— Baseline",IF($O3917=0,"No result",IF($N3917=0,"No Start (attainment only)",IF(OR($N3917=1,$O3917=1),"U – needs rule",INDEX(MxBody,MATCH($I3917,MxCurr,0),MATCH($H3917,MxStart,0)))))))</f>
        <v/>
      </c>
      <c r="L3917" s="62" t="str">
        <f aca="false">IF(COUNTA($A3917,$F3917,$G3917,$H3917,$I3917,$J3917)=0,"",IF($M3917=0,"✖ كود الصف غير موجود",IF(ISNA(MATCH($F3917,Lists!$A$2:$A$5,0)),"✖ الفترة غير صحيحة",IF(ISNA(MATCH($G3917,Lists!$B$2:$B$7,0)),"✖ المجموعة غير صحيحة",IF(NOT(OR($H3917="",$N3917&gt;0)),"✖ Start غير صحيح",IF(NOT(OR($I3917="",$I3917="NR",$O3917&gt;0)),"✖ Current غير صحيح",IF(NOT(IF(ISNUMBER($J3917),AND($J3917&gt;=0,$J3917=INT($J3917)),FALSE())),"✖ العدد يجب أن يكون صحيحًا ≥ 0",IF(AND($F3917="Baseline",$H3917&lt;&gt;""),"⚠ Baseline: Start لا يدخل في التقدم",IF($K3917="No Start (attainment only)","ℹ تحصيل فقط (بدون Start)",IF($K3917="U – needs rule","ℹ حالة U تحتاج قاعدة معتمدة",IF($K3917="No result","ℹ بدون نتيجة (يُستبعد من التحصيل)","OK")))))))))))</f>
        <v/>
      </c>
      <c r="M3917" s="64" t="n">
        <f aca="false">IF($A3917="",0,IFERROR(MATCH($A3917,Classes!$A$6:$A$420,0),0))</f>
        <v>0</v>
      </c>
      <c r="N3917" s="64" t="n">
        <f aca="false">IF($H3917="",0,IFERROR(MATCH($H3917,GradeList,0),0))</f>
        <v>0</v>
      </c>
      <c r="O3917" s="64" t="n">
        <f aca="false">IF(OR($I3917="",$I3917="NR"),0,IFERROR(MATCH($I3917,GradeList,0),0))</f>
        <v>0</v>
      </c>
      <c r="P3917" s="64" t="n">
        <f aca="false">IF(AND($M3917&gt;0,ISNUMBER(MATCH($F3917,Lists!$A$2:$A$5,0)),ISNUMBER(MATCH($G3917,Lists!$B$2:$B$7,0)),OR($H3917="",$N3917&gt;0),OR($I3917="",$I3917="NR",$O3917&gt;0),IF(ISNUMBER($J3917),AND($J3917&gt;=0,$J3917=INT($J3917)),FALSE())),$J3917,0)</f>
        <v>0</v>
      </c>
      <c r="Q3917" s="64" t="n">
        <f aca="false">IF(AND($P3917&gt;0,$O3917&gt;0),$P3917,0)</f>
        <v>0</v>
      </c>
      <c r="R3917" s="64" t="n">
        <f aca="false">IF(AND($Q3917&gt;0,$O3917&gt;=AtRank),$Q3917,0)</f>
        <v>0</v>
      </c>
      <c r="S3917" s="64" t="n">
        <f aca="false">IF(AND($Q3917&gt;0,$O3917&gt;=AboveRank),$Q3917,0)</f>
        <v>0</v>
      </c>
      <c r="T3917" s="64" t="n">
        <f aca="false">IF($K3917="Less",$P3917,0)</f>
        <v>0</v>
      </c>
      <c r="U3917" s="64" t="n">
        <f aca="false">IF($K3917="Expected",$P3917,0)</f>
        <v>0</v>
      </c>
      <c r="V3917" s="64" t="n">
        <f aca="false">IF($K3917="Better",$P3917,0)</f>
        <v>0</v>
      </c>
      <c r="W3917" s="64" t="n">
        <f aca="false">IF($K3917="U – needs rule",$P3917,0)</f>
        <v>0</v>
      </c>
      <c r="X3917" s="64" t="n">
        <f aca="false">IF($K3917="No Start (attainment only)",$P3917,0)</f>
        <v>0</v>
      </c>
    </row>
    <row r="3918" customFormat="false" ht="15" hidden="false" customHeight="false" outlineLevel="0" collapsed="false">
      <c r="A3918" s="60"/>
      <c r="B3918" s="61" t="str">
        <f aca="false">IF($M3918=0,"",INDEX(Classes!$E$6:$E$420,$M3918))</f>
        <v/>
      </c>
      <c r="C3918" s="62" t="str">
        <f aca="false">IF($M3918=0,"",INDEX(Classes!$H$6:$H$420,$M3918))</f>
        <v/>
      </c>
      <c r="D3918" s="61" t="str">
        <f aca="false">IF($M3918=0,"",INDEX(Classes!$B$6:$B$420,$M3918))</f>
        <v/>
      </c>
      <c r="E3918" s="61" t="str">
        <f aca="false">IF($M3918=0,"",INDEX(Classes!$C$6:$C$420,$M3918))</f>
        <v/>
      </c>
      <c r="F3918" s="63"/>
      <c r="G3918" s="63"/>
      <c r="H3918" s="60"/>
      <c r="I3918" s="60"/>
      <c r="J3918" s="63"/>
      <c r="K3918" s="61" t="str">
        <f aca="false">IF($P3918=0,"",IF($F3918="Baseline","— Baseline",IF($O3918=0,"No result",IF($N3918=0,"No Start (attainment only)",IF(OR($N3918=1,$O3918=1),"U – needs rule",INDEX(MxBody,MATCH($I3918,MxCurr,0),MATCH($H3918,MxStart,0)))))))</f>
        <v/>
      </c>
      <c r="L3918" s="62" t="str">
        <f aca="false">IF(COUNTA($A3918,$F3918,$G3918,$H3918,$I3918,$J3918)=0,"",IF($M3918=0,"✖ كود الصف غير موجود",IF(ISNA(MATCH($F3918,Lists!$A$2:$A$5,0)),"✖ الفترة غير صحيحة",IF(ISNA(MATCH($G3918,Lists!$B$2:$B$7,0)),"✖ المجموعة غير صحيحة",IF(NOT(OR($H3918="",$N3918&gt;0)),"✖ Start غير صحيح",IF(NOT(OR($I3918="",$I3918="NR",$O3918&gt;0)),"✖ Current غير صحيح",IF(NOT(IF(ISNUMBER($J3918),AND($J3918&gt;=0,$J3918=INT($J3918)),FALSE())),"✖ العدد يجب أن يكون صحيحًا ≥ 0",IF(AND($F3918="Baseline",$H3918&lt;&gt;""),"⚠ Baseline: Start لا يدخل في التقدم",IF($K3918="No Start (attainment only)","ℹ تحصيل فقط (بدون Start)",IF($K3918="U – needs rule","ℹ حالة U تحتاج قاعدة معتمدة",IF($K3918="No result","ℹ بدون نتيجة (يُستبعد من التحصيل)","OK")))))))))))</f>
        <v/>
      </c>
      <c r="M3918" s="64" t="n">
        <f aca="false">IF($A3918="",0,IFERROR(MATCH($A3918,Classes!$A$6:$A$420,0),0))</f>
        <v>0</v>
      </c>
      <c r="N3918" s="64" t="n">
        <f aca="false">IF($H3918="",0,IFERROR(MATCH($H3918,GradeList,0),0))</f>
        <v>0</v>
      </c>
      <c r="O3918" s="64" t="n">
        <f aca="false">IF(OR($I3918="",$I3918="NR"),0,IFERROR(MATCH($I3918,GradeList,0),0))</f>
        <v>0</v>
      </c>
      <c r="P3918" s="64" t="n">
        <f aca="false">IF(AND($M3918&gt;0,ISNUMBER(MATCH($F3918,Lists!$A$2:$A$5,0)),ISNUMBER(MATCH($G3918,Lists!$B$2:$B$7,0)),OR($H3918="",$N3918&gt;0),OR($I3918="",$I3918="NR",$O3918&gt;0),IF(ISNUMBER($J3918),AND($J3918&gt;=0,$J3918=INT($J3918)),FALSE())),$J3918,0)</f>
        <v>0</v>
      </c>
      <c r="Q3918" s="64" t="n">
        <f aca="false">IF(AND($P3918&gt;0,$O3918&gt;0),$P3918,0)</f>
        <v>0</v>
      </c>
      <c r="R3918" s="64" t="n">
        <f aca="false">IF(AND($Q3918&gt;0,$O3918&gt;=AtRank),$Q3918,0)</f>
        <v>0</v>
      </c>
      <c r="S3918" s="64" t="n">
        <f aca="false">IF(AND($Q3918&gt;0,$O3918&gt;=AboveRank),$Q3918,0)</f>
        <v>0</v>
      </c>
      <c r="T3918" s="64" t="n">
        <f aca="false">IF($K3918="Less",$P3918,0)</f>
        <v>0</v>
      </c>
      <c r="U3918" s="64" t="n">
        <f aca="false">IF($K3918="Expected",$P3918,0)</f>
        <v>0</v>
      </c>
      <c r="V3918" s="64" t="n">
        <f aca="false">IF($K3918="Better",$P3918,0)</f>
        <v>0</v>
      </c>
      <c r="W3918" s="64" t="n">
        <f aca="false">IF($K3918="U – needs rule",$P3918,0)</f>
        <v>0</v>
      </c>
      <c r="X3918" s="64" t="n">
        <f aca="false">IF($K3918="No Start (attainment only)",$P3918,0)</f>
        <v>0</v>
      </c>
    </row>
    <row r="3919" customFormat="false" ht="15" hidden="false" customHeight="false" outlineLevel="0" collapsed="false">
      <c r="A3919" s="60"/>
      <c r="B3919" s="61" t="str">
        <f aca="false">IF($M3919=0,"",INDEX(Classes!$E$6:$E$420,$M3919))</f>
        <v/>
      </c>
      <c r="C3919" s="62" t="str">
        <f aca="false">IF($M3919=0,"",INDEX(Classes!$H$6:$H$420,$M3919))</f>
        <v/>
      </c>
      <c r="D3919" s="61" t="str">
        <f aca="false">IF($M3919=0,"",INDEX(Classes!$B$6:$B$420,$M3919))</f>
        <v/>
      </c>
      <c r="E3919" s="61" t="str">
        <f aca="false">IF($M3919=0,"",INDEX(Classes!$C$6:$C$420,$M3919))</f>
        <v/>
      </c>
      <c r="F3919" s="63"/>
      <c r="G3919" s="63"/>
      <c r="H3919" s="60"/>
      <c r="I3919" s="60"/>
      <c r="J3919" s="63"/>
      <c r="K3919" s="61" t="str">
        <f aca="false">IF($P3919=0,"",IF($F3919="Baseline","— Baseline",IF($O3919=0,"No result",IF($N3919=0,"No Start (attainment only)",IF(OR($N3919=1,$O3919=1),"U – needs rule",INDEX(MxBody,MATCH($I3919,MxCurr,0),MATCH($H3919,MxStart,0)))))))</f>
        <v/>
      </c>
      <c r="L3919" s="62" t="str">
        <f aca="false">IF(COUNTA($A3919,$F3919,$G3919,$H3919,$I3919,$J3919)=0,"",IF($M3919=0,"✖ كود الصف غير موجود",IF(ISNA(MATCH($F3919,Lists!$A$2:$A$5,0)),"✖ الفترة غير صحيحة",IF(ISNA(MATCH($G3919,Lists!$B$2:$B$7,0)),"✖ المجموعة غير صحيحة",IF(NOT(OR($H3919="",$N3919&gt;0)),"✖ Start غير صحيح",IF(NOT(OR($I3919="",$I3919="NR",$O3919&gt;0)),"✖ Current غير صحيح",IF(NOT(IF(ISNUMBER($J3919),AND($J3919&gt;=0,$J3919=INT($J3919)),FALSE())),"✖ العدد يجب أن يكون صحيحًا ≥ 0",IF(AND($F3919="Baseline",$H3919&lt;&gt;""),"⚠ Baseline: Start لا يدخل في التقدم",IF($K3919="No Start (attainment only)","ℹ تحصيل فقط (بدون Start)",IF($K3919="U – needs rule","ℹ حالة U تحتاج قاعدة معتمدة",IF($K3919="No result","ℹ بدون نتيجة (يُستبعد من التحصيل)","OK")))))))))))</f>
        <v/>
      </c>
      <c r="M3919" s="64" t="n">
        <f aca="false">IF($A3919="",0,IFERROR(MATCH($A3919,Classes!$A$6:$A$420,0),0))</f>
        <v>0</v>
      </c>
      <c r="N3919" s="64" t="n">
        <f aca="false">IF($H3919="",0,IFERROR(MATCH($H3919,GradeList,0),0))</f>
        <v>0</v>
      </c>
      <c r="O3919" s="64" t="n">
        <f aca="false">IF(OR($I3919="",$I3919="NR"),0,IFERROR(MATCH($I3919,GradeList,0),0))</f>
        <v>0</v>
      </c>
      <c r="P3919" s="64" t="n">
        <f aca="false">IF(AND($M3919&gt;0,ISNUMBER(MATCH($F3919,Lists!$A$2:$A$5,0)),ISNUMBER(MATCH($G3919,Lists!$B$2:$B$7,0)),OR($H3919="",$N3919&gt;0),OR($I3919="",$I3919="NR",$O3919&gt;0),IF(ISNUMBER($J3919),AND($J3919&gt;=0,$J3919=INT($J3919)),FALSE())),$J3919,0)</f>
        <v>0</v>
      </c>
      <c r="Q3919" s="64" t="n">
        <f aca="false">IF(AND($P3919&gt;0,$O3919&gt;0),$P3919,0)</f>
        <v>0</v>
      </c>
      <c r="R3919" s="64" t="n">
        <f aca="false">IF(AND($Q3919&gt;0,$O3919&gt;=AtRank),$Q3919,0)</f>
        <v>0</v>
      </c>
      <c r="S3919" s="64" t="n">
        <f aca="false">IF(AND($Q3919&gt;0,$O3919&gt;=AboveRank),$Q3919,0)</f>
        <v>0</v>
      </c>
      <c r="T3919" s="64" t="n">
        <f aca="false">IF($K3919="Less",$P3919,0)</f>
        <v>0</v>
      </c>
      <c r="U3919" s="64" t="n">
        <f aca="false">IF($K3919="Expected",$P3919,0)</f>
        <v>0</v>
      </c>
      <c r="V3919" s="64" t="n">
        <f aca="false">IF($K3919="Better",$P3919,0)</f>
        <v>0</v>
      </c>
      <c r="W3919" s="64" t="n">
        <f aca="false">IF($K3919="U – needs rule",$P3919,0)</f>
        <v>0</v>
      </c>
      <c r="X3919" s="64" t="n">
        <f aca="false">IF($K3919="No Start (attainment only)",$P3919,0)</f>
        <v>0</v>
      </c>
    </row>
    <row r="3920" customFormat="false" ht="15" hidden="false" customHeight="false" outlineLevel="0" collapsed="false">
      <c r="A3920" s="60"/>
      <c r="B3920" s="61" t="str">
        <f aca="false">IF($M3920=0,"",INDEX(Classes!$E$6:$E$420,$M3920))</f>
        <v/>
      </c>
      <c r="C3920" s="62" t="str">
        <f aca="false">IF($M3920=0,"",INDEX(Classes!$H$6:$H$420,$M3920))</f>
        <v/>
      </c>
      <c r="D3920" s="61" t="str">
        <f aca="false">IF($M3920=0,"",INDEX(Classes!$B$6:$B$420,$M3920))</f>
        <v/>
      </c>
      <c r="E3920" s="61" t="str">
        <f aca="false">IF($M3920=0,"",INDEX(Classes!$C$6:$C$420,$M3920))</f>
        <v/>
      </c>
      <c r="F3920" s="63"/>
      <c r="G3920" s="63"/>
      <c r="H3920" s="60"/>
      <c r="I3920" s="60"/>
      <c r="J3920" s="63"/>
      <c r="K3920" s="61" t="str">
        <f aca="false">IF($P3920=0,"",IF($F3920="Baseline","— Baseline",IF($O3920=0,"No result",IF($N3920=0,"No Start (attainment only)",IF(OR($N3920=1,$O3920=1),"U – needs rule",INDEX(MxBody,MATCH($I3920,MxCurr,0),MATCH($H3920,MxStart,0)))))))</f>
        <v/>
      </c>
      <c r="L3920" s="62" t="str">
        <f aca="false">IF(COUNTA($A3920,$F3920,$G3920,$H3920,$I3920,$J3920)=0,"",IF($M3920=0,"✖ كود الصف غير موجود",IF(ISNA(MATCH($F3920,Lists!$A$2:$A$5,0)),"✖ الفترة غير صحيحة",IF(ISNA(MATCH($G3920,Lists!$B$2:$B$7,0)),"✖ المجموعة غير صحيحة",IF(NOT(OR($H3920="",$N3920&gt;0)),"✖ Start غير صحيح",IF(NOT(OR($I3920="",$I3920="NR",$O3920&gt;0)),"✖ Current غير صحيح",IF(NOT(IF(ISNUMBER($J3920),AND($J3920&gt;=0,$J3920=INT($J3920)),FALSE())),"✖ العدد يجب أن يكون صحيحًا ≥ 0",IF(AND($F3920="Baseline",$H3920&lt;&gt;""),"⚠ Baseline: Start لا يدخل في التقدم",IF($K3920="No Start (attainment only)","ℹ تحصيل فقط (بدون Start)",IF($K3920="U – needs rule","ℹ حالة U تحتاج قاعدة معتمدة",IF($K3920="No result","ℹ بدون نتيجة (يُستبعد من التحصيل)","OK")))))))))))</f>
        <v/>
      </c>
      <c r="M3920" s="64" t="n">
        <f aca="false">IF($A3920="",0,IFERROR(MATCH($A3920,Classes!$A$6:$A$420,0),0))</f>
        <v>0</v>
      </c>
      <c r="N3920" s="64" t="n">
        <f aca="false">IF($H3920="",0,IFERROR(MATCH($H3920,GradeList,0),0))</f>
        <v>0</v>
      </c>
      <c r="O3920" s="64" t="n">
        <f aca="false">IF(OR($I3920="",$I3920="NR"),0,IFERROR(MATCH($I3920,GradeList,0),0))</f>
        <v>0</v>
      </c>
      <c r="P3920" s="64" t="n">
        <f aca="false">IF(AND($M3920&gt;0,ISNUMBER(MATCH($F3920,Lists!$A$2:$A$5,0)),ISNUMBER(MATCH($G3920,Lists!$B$2:$B$7,0)),OR($H3920="",$N3920&gt;0),OR($I3920="",$I3920="NR",$O3920&gt;0),IF(ISNUMBER($J3920),AND($J3920&gt;=0,$J3920=INT($J3920)),FALSE())),$J3920,0)</f>
        <v>0</v>
      </c>
      <c r="Q3920" s="64" t="n">
        <f aca="false">IF(AND($P3920&gt;0,$O3920&gt;0),$P3920,0)</f>
        <v>0</v>
      </c>
      <c r="R3920" s="64" t="n">
        <f aca="false">IF(AND($Q3920&gt;0,$O3920&gt;=AtRank),$Q3920,0)</f>
        <v>0</v>
      </c>
      <c r="S3920" s="64" t="n">
        <f aca="false">IF(AND($Q3920&gt;0,$O3920&gt;=AboveRank),$Q3920,0)</f>
        <v>0</v>
      </c>
      <c r="T3920" s="64" t="n">
        <f aca="false">IF($K3920="Less",$P3920,0)</f>
        <v>0</v>
      </c>
      <c r="U3920" s="64" t="n">
        <f aca="false">IF($K3920="Expected",$P3920,0)</f>
        <v>0</v>
      </c>
      <c r="V3920" s="64" t="n">
        <f aca="false">IF($K3920="Better",$P3920,0)</f>
        <v>0</v>
      </c>
      <c r="W3920" s="64" t="n">
        <f aca="false">IF($K3920="U – needs rule",$P3920,0)</f>
        <v>0</v>
      </c>
      <c r="X3920" s="64" t="n">
        <f aca="false">IF($K3920="No Start (attainment only)",$P3920,0)</f>
        <v>0</v>
      </c>
    </row>
    <row r="3921" customFormat="false" ht="15" hidden="false" customHeight="false" outlineLevel="0" collapsed="false">
      <c r="A3921" s="60"/>
      <c r="B3921" s="61" t="str">
        <f aca="false">IF($M3921=0,"",INDEX(Classes!$E$6:$E$420,$M3921))</f>
        <v/>
      </c>
      <c r="C3921" s="62" t="str">
        <f aca="false">IF($M3921=0,"",INDEX(Classes!$H$6:$H$420,$M3921))</f>
        <v/>
      </c>
      <c r="D3921" s="61" t="str">
        <f aca="false">IF($M3921=0,"",INDEX(Classes!$B$6:$B$420,$M3921))</f>
        <v/>
      </c>
      <c r="E3921" s="61" t="str">
        <f aca="false">IF($M3921=0,"",INDEX(Classes!$C$6:$C$420,$M3921))</f>
        <v/>
      </c>
      <c r="F3921" s="63"/>
      <c r="G3921" s="63"/>
      <c r="H3921" s="60"/>
      <c r="I3921" s="60"/>
      <c r="J3921" s="63"/>
      <c r="K3921" s="61" t="str">
        <f aca="false">IF($P3921=0,"",IF($F3921="Baseline","— Baseline",IF($O3921=0,"No result",IF($N3921=0,"No Start (attainment only)",IF(OR($N3921=1,$O3921=1),"U – needs rule",INDEX(MxBody,MATCH($I3921,MxCurr,0),MATCH($H3921,MxStart,0)))))))</f>
        <v/>
      </c>
      <c r="L3921" s="62" t="str">
        <f aca="false">IF(COUNTA($A3921,$F3921,$G3921,$H3921,$I3921,$J3921)=0,"",IF($M3921=0,"✖ كود الصف غير موجود",IF(ISNA(MATCH($F3921,Lists!$A$2:$A$5,0)),"✖ الفترة غير صحيحة",IF(ISNA(MATCH($G3921,Lists!$B$2:$B$7,0)),"✖ المجموعة غير صحيحة",IF(NOT(OR($H3921="",$N3921&gt;0)),"✖ Start غير صحيح",IF(NOT(OR($I3921="",$I3921="NR",$O3921&gt;0)),"✖ Current غير صحيح",IF(NOT(IF(ISNUMBER($J3921),AND($J3921&gt;=0,$J3921=INT($J3921)),FALSE())),"✖ العدد يجب أن يكون صحيحًا ≥ 0",IF(AND($F3921="Baseline",$H3921&lt;&gt;""),"⚠ Baseline: Start لا يدخل في التقدم",IF($K3921="No Start (attainment only)","ℹ تحصيل فقط (بدون Start)",IF($K3921="U – needs rule","ℹ حالة U تحتاج قاعدة معتمدة",IF($K3921="No result","ℹ بدون نتيجة (يُستبعد من التحصيل)","OK")))))))))))</f>
        <v/>
      </c>
      <c r="M3921" s="64" t="n">
        <f aca="false">IF($A3921="",0,IFERROR(MATCH($A3921,Classes!$A$6:$A$420,0),0))</f>
        <v>0</v>
      </c>
      <c r="N3921" s="64" t="n">
        <f aca="false">IF($H3921="",0,IFERROR(MATCH($H3921,GradeList,0),0))</f>
        <v>0</v>
      </c>
      <c r="O3921" s="64" t="n">
        <f aca="false">IF(OR($I3921="",$I3921="NR"),0,IFERROR(MATCH($I3921,GradeList,0),0))</f>
        <v>0</v>
      </c>
      <c r="P3921" s="64" t="n">
        <f aca="false">IF(AND($M3921&gt;0,ISNUMBER(MATCH($F3921,Lists!$A$2:$A$5,0)),ISNUMBER(MATCH($G3921,Lists!$B$2:$B$7,0)),OR($H3921="",$N3921&gt;0),OR($I3921="",$I3921="NR",$O3921&gt;0),IF(ISNUMBER($J3921),AND($J3921&gt;=0,$J3921=INT($J3921)),FALSE())),$J3921,0)</f>
        <v>0</v>
      </c>
      <c r="Q3921" s="64" t="n">
        <f aca="false">IF(AND($P3921&gt;0,$O3921&gt;0),$P3921,0)</f>
        <v>0</v>
      </c>
      <c r="R3921" s="64" t="n">
        <f aca="false">IF(AND($Q3921&gt;0,$O3921&gt;=AtRank),$Q3921,0)</f>
        <v>0</v>
      </c>
      <c r="S3921" s="64" t="n">
        <f aca="false">IF(AND($Q3921&gt;0,$O3921&gt;=AboveRank),$Q3921,0)</f>
        <v>0</v>
      </c>
      <c r="T3921" s="64" t="n">
        <f aca="false">IF($K3921="Less",$P3921,0)</f>
        <v>0</v>
      </c>
      <c r="U3921" s="64" t="n">
        <f aca="false">IF($K3921="Expected",$P3921,0)</f>
        <v>0</v>
      </c>
      <c r="V3921" s="64" t="n">
        <f aca="false">IF($K3921="Better",$P3921,0)</f>
        <v>0</v>
      </c>
      <c r="W3921" s="64" t="n">
        <f aca="false">IF($K3921="U – needs rule",$P3921,0)</f>
        <v>0</v>
      </c>
      <c r="X3921" s="64" t="n">
        <f aca="false">IF($K3921="No Start (attainment only)",$P3921,0)</f>
        <v>0</v>
      </c>
    </row>
    <row r="3922" customFormat="false" ht="15" hidden="false" customHeight="false" outlineLevel="0" collapsed="false">
      <c r="A3922" s="60"/>
      <c r="B3922" s="61" t="str">
        <f aca="false">IF($M3922=0,"",INDEX(Classes!$E$6:$E$420,$M3922))</f>
        <v/>
      </c>
      <c r="C3922" s="62" t="str">
        <f aca="false">IF($M3922=0,"",INDEX(Classes!$H$6:$H$420,$M3922))</f>
        <v/>
      </c>
      <c r="D3922" s="61" t="str">
        <f aca="false">IF($M3922=0,"",INDEX(Classes!$B$6:$B$420,$M3922))</f>
        <v/>
      </c>
      <c r="E3922" s="61" t="str">
        <f aca="false">IF($M3922=0,"",INDEX(Classes!$C$6:$C$420,$M3922))</f>
        <v/>
      </c>
      <c r="F3922" s="63"/>
      <c r="G3922" s="63"/>
      <c r="H3922" s="60"/>
      <c r="I3922" s="60"/>
      <c r="J3922" s="63"/>
      <c r="K3922" s="61" t="str">
        <f aca="false">IF($P3922=0,"",IF($F3922="Baseline","— Baseline",IF($O3922=0,"No result",IF($N3922=0,"No Start (attainment only)",IF(OR($N3922=1,$O3922=1),"U – needs rule",INDEX(MxBody,MATCH($I3922,MxCurr,0),MATCH($H3922,MxStart,0)))))))</f>
        <v/>
      </c>
      <c r="L3922" s="62" t="str">
        <f aca="false">IF(COUNTA($A3922,$F3922,$G3922,$H3922,$I3922,$J3922)=0,"",IF($M3922=0,"✖ كود الصف غير موجود",IF(ISNA(MATCH($F3922,Lists!$A$2:$A$5,0)),"✖ الفترة غير صحيحة",IF(ISNA(MATCH($G3922,Lists!$B$2:$B$7,0)),"✖ المجموعة غير صحيحة",IF(NOT(OR($H3922="",$N3922&gt;0)),"✖ Start غير صحيح",IF(NOT(OR($I3922="",$I3922="NR",$O3922&gt;0)),"✖ Current غير صحيح",IF(NOT(IF(ISNUMBER($J3922),AND($J3922&gt;=0,$J3922=INT($J3922)),FALSE())),"✖ العدد يجب أن يكون صحيحًا ≥ 0",IF(AND($F3922="Baseline",$H3922&lt;&gt;""),"⚠ Baseline: Start لا يدخل في التقدم",IF($K3922="No Start (attainment only)","ℹ تحصيل فقط (بدون Start)",IF($K3922="U – needs rule","ℹ حالة U تحتاج قاعدة معتمدة",IF($K3922="No result","ℹ بدون نتيجة (يُستبعد من التحصيل)","OK")))))))))))</f>
        <v/>
      </c>
      <c r="M3922" s="64" t="n">
        <f aca="false">IF($A3922="",0,IFERROR(MATCH($A3922,Classes!$A$6:$A$420,0),0))</f>
        <v>0</v>
      </c>
      <c r="N3922" s="64" t="n">
        <f aca="false">IF($H3922="",0,IFERROR(MATCH($H3922,GradeList,0),0))</f>
        <v>0</v>
      </c>
      <c r="O3922" s="64" t="n">
        <f aca="false">IF(OR($I3922="",$I3922="NR"),0,IFERROR(MATCH($I3922,GradeList,0),0))</f>
        <v>0</v>
      </c>
      <c r="P3922" s="64" t="n">
        <f aca="false">IF(AND($M3922&gt;0,ISNUMBER(MATCH($F3922,Lists!$A$2:$A$5,0)),ISNUMBER(MATCH($G3922,Lists!$B$2:$B$7,0)),OR($H3922="",$N3922&gt;0),OR($I3922="",$I3922="NR",$O3922&gt;0),IF(ISNUMBER($J3922),AND($J3922&gt;=0,$J3922=INT($J3922)),FALSE())),$J3922,0)</f>
        <v>0</v>
      </c>
      <c r="Q3922" s="64" t="n">
        <f aca="false">IF(AND($P3922&gt;0,$O3922&gt;0),$P3922,0)</f>
        <v>0</v>
      </c>
      <c r="R3922" s="64" t="n">
        <f aca="false">IF(AND($Q3922&gt;0,$O3922&gt;=AtRank),$Q3922,0)</f>
        <v>0</v>
      </c>
      <c r="S3922" s="64" t="n">
        <f aca="false">IF(AND($Q3922&gt;0,$O3922&gt;=AboveRank),$Q3922,0)</f>
        <v>0</v>
      </c>
      <c r="T3922" s="64" t="n">
        <f aca="false">IF($K3922="Less",$P3922,0)</f>
        <v>0</v>
      </c>
      <c r="U3922" s="64" t="n">
        <f aca="false">IF($K3922="Expected",$P3922,0)</f>
        <v>0</v>
      </c>
      <c r="V3922" s="64" t="n">
        <f aca="false">IF($K3922="Better",$P3922,0)</f>
        <v>0</v>
      </c>
      <c r="W3922" s="64" t="n">
        <f aca="false">IF($K3922="U – needs rule",$P3922,0)</f>
        <v>0</v>
      </c>
      <c r="X3922" s="64" t="n">
        <f aca="false">IF($K3922="No Start (attainment only)",$P3922,0)</f>
        <v>0</v>
      </c>
    </row>
    <row r="3923" customFormat="false" ht="15" hidden="false" customHeight="false" outlineLevel="0" collapsed="false">
      <c r="A3923" s="60"/>
      <c r="B3923" s="61" t="str">
        <f aca="false">IF($M3923=0,"",INDEX(Classes!$E$6:$E$420,$M3923))</f>
        <v/>
      </c>
      <c r="C3923" s="62" t="str">
        <f aca="false">IF($M3923=0,"",INDEX(Classes!$H$6:$H$420,$M3923))</f>
        <v/>
      </c>
      <c r="D3923" s="61" t="str">
        <f aca="false">IF($M3923=0,"",INDEX(Classes!$B$6:$B$420,$M3923))</f>
        <v/>
      </c>
      <c r="E3923" s="61" t="str">
        <f aca="false">IF($M3923=0,"",INDEX(Classes!$C$6:$C$420,$M3923))</f>
        <v/>
      </c>
      <c r="F3923" s="63"/>
      <c r="G3923" s="63"/>
      <c r="H3923" s="60"/>
      <c r="I3923" s="60"/>
      <c r="J3923" s="63"/>
      <c r="K3923" s="61" t="str">
        <f aca="false">IF($P3923=0,"",IF($F3923="Baseline","— Baseline",IF($O3923=0,"No result",IF($N3923=0,"No Start (attainment only)",IF(OR($N3923=1,$O3923=1),"U – needs rule",INDEX(MxBody,MATCH($I3923,MxCurr,0),MATCH($H3923,MxStart,0)))))))</f>
        <v/>
      </c>
      <c r="L3923" s="62" t="str">
        <f aca="false">IF(COUNTA($A3923,$F3923,$G3923,$H3923,$I3923,$J3923)=0,"",IF($M3923=0,"✖ كود الصف غير موجود",IF(ISNA(MATCH($F3923,Lists!$A$2:$A$5,0)),"✖ الفترة غير صحيحة",IF(ISNA(MATCH($G3923,Lists!$B$2:$B$7,0)),"✖ المجموعة غير صحيحة",IF(NOT(OR($H3923="",$N3923&gt;0)),"✖ Start غير صحيح",IF(NOT(OR($I3923="",$I3923="NR",$O3923&gt;0)),"✖ Current غير صحيح",IF(NOT(IF(ISNUMBER($J3923),AND($J3923&gt;=0,$J3923=INT($J3923)),FALSE())),"✖ العدد يجب أن يكون صحيحًا ≥ 0",IF(AND($F3923="Baseline",$H3923&lt;&gt;""),"⚠ Baseline: Start لا يدخل في التقدم",IF($K3923="No Start (attainment only)","ℹ تحصيل فقط (بدون Start)",IF($K3923="U – needs rule","ℹ حالة U تحتاج قاعدة معتمدة",IF($K3923="No result","ℹ بدون نتيجة (يُستبعد من التحصيل)","OK")))))))))))</f>
        <v/>
      </c>
      <c r="M3923" s="64" t="n">
        <f aca="false">IF($A3923="",0,IFERROR(MATCH($A3923,Classes!$A$6:$A$420,0),0))</f>
        <v>0</v>
      </c>
      <c r="N3923" s="64" t="n">
        <f aca="false">IF($H3923="",0,IFERROR(MATCH($H3923,GradeList,0),0))</f>
        <v>0</v>
      </c>
      <c r="O3923" s="64" t="n">
        <f aca="false">IF(OR($I3923="",$I3923="NR"),0,IFERROR(MATCH($I3923,GradeList,0),0))</f>
        <v>0</v>
      </c>
      <c r="P3923" s="64" t="n">
        <f aca="false">IF(AND($M3923&gt;0,ISNUMBER(MATCH($F3923,Lists!$A$2:$A$5,0)),ISNUMBER(MATCH($G3923,Lists!$B$2:$B$7,0)),OR($H3923="",$N3923&gt;0),OR($I3923="",$I3923="NR",$O3923&gt;0),IF(ISNUMBER($J3923),AND($J3923&gt;=0,$J3923=INT($J3923)),FALSE())),$J3923,0)</f>
        <v>0</v>
      </c>
      <c r="Q3923" s="64" t="n">
        <f aca="false">IF(AND($P3923&gt;0,$O3923&gt;0),$P3923,0)</f>
        <v>0</v>
      </c>
      <c r="R3923" s="64" t="n">
        <f aca="false">IF(AND($Q3923&gt;0,$O3923&gt;=AtRank),$Q3923,0)</f>
        <v>0</v>
      </c>
      <c r="S3923" s="64" t="n">
        <f aca="false">IF(AND($Q3923&gt;0,$O3923&gt;=AboveRank),$Q3923,0)</f>
        <v>0</v>
      </c>
      <c r="T3923" s="64" t="n">
        <f aca="false">IF($K3923="Less",$P3923,0)</f>
        <v>0</v>
      </c>
      <c r="U3923" s="64" t="n">
        <f aca="false">IF($K3923="Expected",$P3923,0)</f>
        <v>0</v>
      </c>
      <c r="V3923" s="64" t="n">
        <f aca="false">IF($K3923="Better",$P3923,0)</f>
        <v>0</v>
      </c>
      <c r="W3923" s="64" t="n">
        <f aca="false">IF($K3923="U – needs rule",$P3923,0)</f>
        <v>0</v>
      </c>
      <c r="X3923" s="64" t="n">
        <f aca="false">IF($K3923="No Start (attainment only)",$P3923,0)</f>
        <v>0</v>
      </c>
    </row>
    <row r="3924" customFormat="false" ht="15" hidden="false" customHeight="false" outlineLevel="0" collapsed="false">
      <c r="A3924" s="60"/>
      <c r="B3924" s="61" t="str">
        <f aca="false">IF($M3924=0,"",INDEX(Classes!$E$6:$E$420,$M3924))</f>
        <v/>
      </c>
      <c r="C3924" s="62" t="str">
        <f aca="false">IF($M3924=0,"",INDEX(Classes!$H$6:$H$420,$M3924))</f>
        <v/>
      </c>
      <c r="D3924" s="61" t="str">
        <f aca="false">IF($M3924=0,"",INDEX(Classes!$B$6:$B$420,$M3924))</f>
        <v/>
      </c>
      <c r="E3924" s="61" t="str">
        <f aca="false">IF($M3924=0,"",INDEX(Classes!$C$6:$C$420,$M3924))</f>
        <v/>
      </c>
      <c r="F3924" s="63"/>
      <c r="G3924" s="63"/>
      <c r="H3924" s="60"/>
      <c r="I3924" s="60"/>
      <c r="J3924" s="63"/>
      <c r="K3924" s="61" t="str">
        <f aca="false">IF($P3924=0,"",IF($F3924="Baseline","— Baseline",IF($O3924=0,"No result",IF($N3924=0,"No Start (attainment only)",IF(OR($N3924=1,$O3924=1),"U – needs rule",INDEX(MxBody,MATCH($I3924,MxCurr,0),MATCH($H3924,MxStart,0)))))))</f>
        <v/>
      </c>
      <c r="L3924" s="62" t="str">
        <f aca="false">IF(COUNTA($A3924,$F3924,$G3924,$H3924,$I3924,$J3924)=0,"",IF($M3924=0,"✖ كود الصف غير موجود",IF(ISNA(MATCH($F3924,Lists!$A$2:$A$5,0)),"✖ الفترة غير صحيحة",IF(ISNA(MATCH($G3924,Lists!$B$2:$B$7,0)),"✖ المجموعة غير صحيحة",IF(NOT(OR($H3924="",$N3924&gt;0)),"✖ Start غير صحيح",IF(NOT(OR($I3924="",$I3924="NR",$O3924&gt;0)),"✖ Current غير صحيح",IF(NOT(IF(ISNUMBER($J3924),AND($J3924&gt;=0,$J3924=INT($J3924)),FALSE())),"✖ العدد يجب أن يكون صحيحًا ≥ 0",IF(AND($F3924="Baseline",$H3924&lt;&gt;""),"⚠ Baseline: Start لا يدخل في التقدم",IF($K3924="No Start (attainment only)","ℹ تحصيل فقط (بدون Start)",IF($K3924="U – needs rule","ℹ حالة U تحتاج قاعدة معتمدة",IF($K3924="No result","ℹ بدون نتيجة (يُستبعد من التحصيل)","OK")))))))))))</f>
        <v/>
      </c>
      <c r="M3924" s="64" t="n">
        <f aca="false">IF($A3924="",0,IFERROR(MATCH($A3924,Classes!$A$6:$A$420,0),0))</f>
        <v>0</v>
      </c>
      <c r="N3924" s="64" t="n">
        <f aca="false">IF($H3924="",0,IFERROR(MATCH($H3924,GradeList,0),0))</f>
        <v>0</v>
      </c>
      <c r="O3924" s="64" t="n">
        <f aca="false">IF(OR($I3924="",$I3924="NR"),0,IFERROR(MATCH($I3924,GradeList,0),0))</f>
        <v>0</v>
      </c>
      <c r="P3924" s="64" t="n">
        <f aca="false">IF(AND($M3924&gt;0,ISNUMBER(MATCH($F3924,Lists!$A$2:$A$5,0)),ISNUMBER(MATCH($G3924,Lists!$B$2:$B$7,0)),OR($H3924="",$N3924&gt;0),OR($I3924="",$I3924="NR",$O3924&gt;0),IF(ISNUMBER($J3924),AND($J3924&gt;=0,$J3924=INT($J3924)),FALSE())),$J3924,0)</f>
        <v>0</v>
      </c>
      <c r="Q3924" s="64" t="n">
        <f aca="false">IF(AND($P3924&gt;0,$O3924&gt;0),$P3924,0)</f>
        <v>0</v>
      </c>
      <c r="R3924" s="64" t="n">
        <f aca="false">IF(AND($Q3924&gt;0,$O3924&gt;=AtRank),$Q3924,0)</f>
        <v>0</v>
      </c>
      <c r="S3924" s="64" t="n">
        <f aca="false">IF(AND($Q3924&gt;0,$O3924&gt;=AboveRank),$Q3924,0)</f>
        <v>0</v>
      </c>
      <c r="T3924" s="64" t="n">
        <f aca="false">IF($K3924="Less",$P3924,0)</f>
        <v>0</v>
      </c>
      <c r="U3924" s="64" t="n">
        <f aca="false">IF($K3924="Expected",$P3924,0)</f>
        <v>0</v>
      </c>
      <c r="V3924" s="64" t="n">
        <f aca="false">IF($K3924="Better",$P3924,0)</f>
        <v>0</v>
      </c>
      <c r="W3924" s="64" t="n">
        <f aca="false">IF($K3924="U – needs rule",$P3924,0)</f>
        <v>0</v>
      </c>
      <c r="X3924" s="64" t="n">
        <f aca="false">IF($K3924="No Start (attainment only)",$P3924,0)</f>
        <v>0</v>
      </c>
    </row>
    <row r="3925" customFormat="false" ht="15" hidden="false" customHeight="false" outlineLevel="0" collapsed="false">
      <c r="A3925" s="60"/>
      <c r="B3925" s="61" t="str">
        <f aca="false">IF($M3925=0,"",INDEX(Classes!$E$6:$E$420,$M3925))</f>
        <v/>
      </c>
      <c r="C3925" s="62" t="str">
        <f aca="false">IF($M3925=0,"",INDEX(Classes!$H$6:$H$420,$M3925))</f>
        <v/>
      </c>
      <c r="D3925" s="61" t="str">
        <f aca="false">IF($M3925=0,"",INDEX(Classes!$B$6:$B$420,$M3925))</f>
        <v/>
      </c>
      <c r="E3925" s="61" t="str">
        <f aca="false">IF($M3925=0,"",INDEX(Classes!$C$6:$C$420,$M3925))</f>
        <v/>
      </c>
      <c r="F3925" s="63"/>
      <c r="G3925" s="63"/>
      <c r="H3925" s="60"/>
      <c r="I3925" s="60"/>
      <c r="J3925" s="63"/>
      <c r="K3925" s="61" t="str">
        <f aca="false">IF($P3925=0,"",IF($F3925="Baseline","— Baseline",IF($O3925=0,"No result",IF($N3925=0,"No Start (attainment only)",IF(OR($N3925=1,$O3925=1),"U – needs rule",INDEX(MxBody,MATCH($I3925,MxCurr,0),MATCH($H3925,MxStart,0)))))))</f>
        <v/>
      </c>
      <c r="L3925" s="62" t="str">
        <f aca="false">IF(COUNTA($A3925,$F3925,$G3925,$H3925,$I3925,$J3925)=0,"",IF($M3925=0,"✖ كود الصف غير موجود",IF(ISNA(MATCH($F3925,Lists!$A$2:$A$5,0)),"✖ الفترة غير صحيحة",IF(ISNA(MATCH($G3925,Lists!$B$2:$B$7,0)),"✖ المجموعة غير صحيحة",IF(NOT(OR($H3925="",$N3925&gt;0)),"✖ Start غير صحيح",IF(NOT(OR($I3925="",$I3925="NR",$O3925&gt;0)),"✖ Current غير صحيح",IF(NOT(IF(ISNUMBER($J3925),AND($J3925&gt;=0,$J3925=INT($J3925)),FALSE())),"✖ العدد يجب أن يكون صحيحًا ≥ 0",IF(AND($F3925="Baseline",$H3925&lt;&gt;""),"⚠ Baseline: Start لا يدخل في التقدم",IF($K3925="No Start (attainment only)","ℹ تحصيل فقط (بدون Start)",IF($K3925="U – needs rule","ℹ حالة U تحتاج قاعدة معتمدة",IF($K3925="No result","ℹ بدون نتيجة (يُستبعد من التحصيل)","OK")))))))))))</f>
        <v/>
      </c>
      <c r="M3925" s="64" t="n">
        <f aca="false">IF($A3925="",0,IFERROR(MATCH($A3925,Classes!$A$6:$A$420,0),0))</f>
        <v>0</v>
      </c>
      <c r="N3925" s="64" t="n">
        <f aca="false">IF($H3925="",0,IFERROR(MATCH($H3925,GradeList,0),0))</f>
        <v>0</v>
      </c>
      <c r="O3925" s="64" t="n">
        <f aca="false">IF(OR($I3925="",$I3925="NR"),0,IFERROR(MATCH($I3925,GradeList,0),0))</f>
        <v>0</v>
      </c>
      <c r="P3925" s="64" t="n">
        <f aca="false">IF(AND($M3925&gt;0,ISNUMBER(MATCH($F3925,Lists!$A$2:$A$5,0)),ISNUMBER(MATCH($G3925,Lists!$B$2:$B$7,0)),OR($H3925="",$N3925&gt;0),OR($I3925="",$I3925="NR",$O3925&gt;0),IF(ISNUMBER($J3925),AND($J3925&gt;=0,$J3925=INT($J3925)),FALSE())),$J3925,0)</f>
        <v>0</v>
      </c>
      <c r="Q3925" s="64" t="n">
        <f aca="false">IF(AND($P3925&gt;0,$O3925&gt;0),$P3925,0)</f>
        <v>0</v>
      </c>
      <c r="R3925" s="64" t="n">
        <f aca="false">IF(AND($Q3925&gt;0,$O3925&gt;=AtRank),$Q3925,0)</f>
        <v>0</v>
      </c>
      <c r="S3925" s="64" t="n">
        <f aca="false">IF(AND($Q3925&gt;0,$O3925&gt;=AboveRank),$Q3925,0)</f>
        <v>0</v>
      </c>
      <c r="T3925" s="64" t="n">
        <f aca="false">IF($K3925="Less",$P3925,0)</f>
        <v>0</v>
      </c>
      <c r="U3925" s="64" t="n">
        <f aca="false">IF($K3925="Expected",$P3925,0)</f>
        <v>0</v>
      </c>
      <c r="V3925" s="64" t="n">
        <f aca="false">IF($K3925="Better",$P3925,0)</f>
        <v>0</v>
      </c>
      <c r="W3925" s="64" t="n">
        <f aca="false">IF($K3925="U – needs rule",$P3925,0)</f>
        <v>0</v>
      </c>
      <c r="X3925" s="64" t="n">
        <f aca="false">IF($K3925="No Start (attainment only)",$P3925,0)</f>
        <v>0</v>
      </c>
    </row>
    <row r="3926" customFormat="false" ht="15" hidden="false" customHeight="false" outlineLevel="0" collapsed="false">
      <c r="A3926" s="60"/>
      <c r="B3926" s="61" t="str">
        <f aca="false">IF($M3926=0,"",INDEX(Classes!$E$6:$E$420,$M3926))</f>
        <v/>
      </c>
      <c r="C3926" s="62" t="str">
        <f aca="false">IF($M3926=0,"",INDEX(Classes!$H$6:$H$420,$M3926))</f>
        <v/>
      </c>
      <c r="D3926" s="61" t="str">
        <f aca="false">IF($M3926=0,"",INDEX(Classes!$B$6:$B$420,$M3926))</f>
        <v/>
      </c>
      <c r="E3926" s="61" t="str">
        <f aca="false">IF($M3926=0,"",INDEX(Classes!$C$6:$C$420,$M3926))</f>
        <v/>
      </c>
      <c r="F3926" s="63"/>
      <c r="G3926" s="63"/>
      <c r="H3926" s="60"/>
      <c r="I3926" s="60"/>
      <c r="J3926" s="63"/>
      <c r="K3926" s="61" t="str">
        <f aca="false">IF($P3926=0,"",IF($F3926="Baseline","— Baseline",IF($O3926=0,"No result",IF($N3926=0,"No Start (attainment only)",IF(OR($N3926=1,$O3926=1),"U – needs rule",INDEX(MxBody,MATCH($I3926,MxCurr,0),MATCH($H3926,MxStart,0)))))))</f>
        <v/>
      </c>
      <c r="L3926" s="62" t="str">
        <f aca="false">IF(COUNTA($A3926,$F3926,$G3926,$H3926,$I3926,$J3926)=0,"",IF($M3926=0,"✖ كود الصف غير موجود",IF(ISNA(MATCH($F3926,Lists!$A$2:$A$5,0)),"✖ الفترة غير صحيحة",IF(ISNA(MATCH($G3926,Lists!$B$2:$B$7,0)),"✖ المجموعة غير صحيحة",IF(NOT(OR($H3926="",$N3926&gt;0)),"✖ Start غير صحيح",IF(NOT(OR($I3926="",$I3926="NR",$O3926&gt;0)),"✖ Current غير صحيح",IF(NOT(IF(ISNUMBER($J3926),AND($J3926&gt;=0,$J3926=INT($J3926)),FALSE())),"✖ العدد يجب أن يكون صحيحًا ≥ 0",IF(AND($F3926="Baseline",$H3926&lt;&gt;""),"⚠ Baseline: Start لا يدخل في التقدم",IF($K3926="No Start (attainment only)","ℹ تحصيل فقط (بدون Start)",IF($K3926="U – needs rule","ℹ حالة U تحتاج قاعدة معتمدة",IF($K3926="No result","ℹ بدون نتيجة (يُستبعد من التحصيل)","OK")))))))))))</f>
        <v/>
      </c>
      <c r="M3926" s="64" t="n">
        <f aca="false">IF($A3926="",0,IFERROR(MATCH($A3926,Classes!$A$6:$A$420,0),0))</f>
        <v>0</v>
      </c>
      <c r="N3926" s="64" t="n">
        <f aca="false">IF($H3926="",0,IFERROR(MATCH($H3926,GradeList,0),0))</f>
        <v>0</v>
      </c>
      <c r="O3926" s="64" t="n">
        <f aca="false">IF(OR($I3926="",$I3926="NR"),0,IFERROR(MATCH($I3926,GradeList,0),0))</f>
        <v>0</v>
      </c>
      <c r="P3926" s="64" t="n">
        <f aca="false">IF(AND($M3926&gt;0,ISNUMBER(MATCH($F3926,Lists!$A$2:$A$5,0)),ISNUMBER(MATCH($G3926,Lists!$B$2:$B$7,0)),OR($H3926="",$N3926&gt;0),OR($I3926="",$I3926="NR",$O3926&gt;0),IF(ISNUMBER($J3926),AND($J3926&gt;=0,$J3926=INT($J3926)),FALSE())),$J3926,0)</f>
        <v>0</v>
      </c>
      <c r="Q3926" s="64" t="n">
        <f aca="false">IF(AND($P3926&gt;0,$O3926&gt;0),$P3926,0)</f>
        <v>0</v>
      </c>
      <c r="R3926" s="64" t="n">
        <f aca="false">IF(AND($Q3926&gt;0,$O3926&gt;=AtRank),$Q3926,0)</f>
        <v>0</v>
      </c>
      <c r="S3926" s="64" t="n">
        <f aca="false">IF(AND($Q3926&gt;0,$O3926&gt;=AboveRank),$Q3926,0)</f>
        <v>0</v>
      </c>
      <c r="T3926" s="64" t="n">
        <f aca="false">IF($K3926="Less",$P3926,0)</f>
        <v>0</v>
      </c>
      <c r="U3926" s="64" t="n">
        <f aca="false">IF($K3926="Expected",$P3926,0)</f>
        <v>0</v>
      </c>
      <c r="V3926" s="64" t="n">
        <f aca="false">IF($K3926="Better",$P3926,0)</f>
        <v>0</v>
      </c>
      <c r="W3926" s="64" t="n">
        <f aca="false">IF($K3926="U – needs rule",$P3926,0)</f>
        <v>0</v>
      </c>
      <c r="X3926" s="64" t="n">
        <f aca="false">IF($K3926="No Start (attainment only)",$P3926,0)</f>
        <v>0</v>
      </c>
    </row>
    <row r="3927" customFormat="false" ht="15" hidden="false" customHeight="false" outlineLevel="0" collapsed="false">
      <c r="A3927" s="60"/>
      <c r="B3927" s="61" t="str">
        <f aca="false">IF($M3927=0,"",INDEX(Classes!$E$6:$E$420,$M3927))</f>
        <v/>
      </c>
      <c r="C3927" s="62" t="str">
        <f aca="false">IF($M3927=0,"",INDEX(Classes!$H$6:$H$420,$M3927))</f>
        <v/>
      </c>
      <c r="D3927" s="61" t="str">
        <f aca="false">IF($M3927=0,"",INDEX(Classes!$B$6:$B$420,$M3927))</f>
        <v/>
      </c>
      <c r="E3927" s="61" t="str">
        <f aca="false">IF($M3927=0,"",INDEX(Classes!$C$6:$C$420,$M3927))</f>
        <v/>
      </c>
      <c r="F3927" s="63"/>
      <c r="G3927" s="63"/>
      <c r="H3927" s="60"/>
      <c r="I3927" s="60"/>
      <c r="J3927" s="63"/>
      <c r="K3927" s="61" t="str">
        <f aca="false">IF($P3927=0,"",IF($F3927="Baseline","— Baseline",IF($O3927=0,"No result",IF($N3927=0,"No Start (attainment only)",IF(OR($N3927=1,$O3927=1),"U – needs rule",INDEX(MxBody,MATCH($I3927,MxCurr,0),MATCH($H3927,MxStart,0)))))))</f>
        <v/>
      </c>
      <c r="L3927" s="62" t="str">
        <f aca="false">IF(COUNTA($A3927,$F3927,$G3927,$H3927,$I3927,$J3927)=0,"",IF($M3927=0,"✖ كود الصف غير موجود",IF(ISNA(MATCH($F3927,Lists!$A$2:$A$5,0)),"✖ الفترة غير صحيحة",IF(ISNA(MATCH($G3927,Lists!$B$2:$B$7,0)),"✖ المجموعة غير صحيحة",IF(NOT(OR($H3927="",$N3927&gt;0)),"✖ Start غير صحيح",IF(NOT(OR($I3927="",$I3927="NR",$O3927&gt;0)),"✖ Current غير صحيح",IF(NOT(IF(ISNUMBER($J3927),AND($J3927&gt;=0,$J3927=INT($J3927)),FALSE())),"✖ العدد يجب أن يكون صحيحًا ≥ 0",IF(AND($F3927="Baseline",$H3927&lt;&gt;""),"⚠ Baseline: Start لا يدخل في التقدم",IF($K3927="No Start (attainment only)","ℹ تحصيل فقط (بدون Start)",IF($K3927="U – needs rule","ℹ حالة U تحتاج قاعدة معتمدة",IF($K3927="No result","ℹ بدون نتيجة (يُستبعد من التحصيل)","OK")))))))))))</f>
        <v/>
      </c>
      <c r="M3927" s="64" t="n">
        <f aca="false">IF($A3927="",0,IFERROR(MATCH($A3927,Classes!$A$6:$A$420,0),0))</f>
        <v>0</v>
      </c>
      <c r="N3927" s="64" t="n">
        <f aca="false">IF($H3927="",0,IFERROR(MATCH($H3927,GradeList,0),0))</f>
        <v>0</v>
      </c>
      <c r="O3927" s="64" t="n">
        <f aca="false">IF(OR($I3927="",$I3927="NR"),0,IFERROR(MATCH($I3927,GradeList,0),0))</f>
        <v>0</v>
      </c>
      <c r="P3927" s="64" t="n">
        <f aca="false">IF(AND($M3927&gt;0,ISNUMBER(MATCH($F3927,Lists!$A$2:$A$5,0)),ISNUMBER(MATCH($G3927,Lists!$B$2:$B$7,0)),OR($H3927="",$N3927&gt;0),OR($I3927="",$I3927="NR",$O3927&gt;0),IF(ISNUMBER($J3927),AND($J3927&gt;=0,$J3927=INT($J3927)),FALSE())),$J3927,0)</f>
        <v>0</v>
      </c>
      <c r="Q3927" s="64" t="n">
        <f aca="false">IF(AND($P3927&gt;0,$O3927&gt;0),$P3927,0)</f>
        <v>0</v>
      </c>
      <c r="R3927" s="64" t="n">
        <f aca="false">IF(AND($Q3927&gt;0,$O3927&gt;=AtRank),$Q3927,0)</f>
        <v>0</v>
      </c>
      <c r="S3927" s="64" t="n">
        <f aca="false">IF(AND($Q3927&gt;0,$O3927&gt;=AboveRank),$Q3927,0)</f>
        <v>0</v>
      </c>
      <c r="T3927" s="64" t="n">
        <f aca="false">IF($K3927="Less",$P3927,0)</f>
        <v>0</v>
      </c>
      <c r="U3927" s="64" t="n">
        <f aca="false">IF($K3927="Expected",$P3927,0)</f>
        <v>0</v>
      </c>
      <c r="V3927" s="64" t="n">
        <f aca="false">IF($K3927="Better",$P3927,0)</f>
        <v>0</v>
      </c>
      <c r="W3927" s="64" t="n">
        <f aca="false">IF($K3927="U – needs rule",$P3927,0)</f>
        <v>0</v>
      </c>
      <c r="X3927" s="64" t="n">
        <f aca="false">IF($K3927="No Start (attainment only)",$P3927,0)</f>
        <v>0</v>
      </c>
    </row>
    <row r="3928" customFormat="false" ht="15" hidden="false" customHeight="false" outlineLevel="0" collapsed="false">
      <c r="A3928" s="60"/>
      <c r="B3928" s="61" t="str">
        <f aca="false">IF($M3928=0,"",INDEX(Classes!$E$6:$E$420,$M3928))</f>
        <v/>
      </c>
      <c r="C3928" s="62" t="str">
        <f aca="false">IF($M3928=0,"",INDEX(Classes!$H$6:$H$420,$M3928))</f>
        <v/>
      </c>
      <c r="D3928" s="61" t="str">
        <f aca="false">IF($M3928=0,"",INDEX(Classes!$B$6:$B$420,$M3928))</f>
        <v/>
      </c>
      <c r="E3928" s="61" t="str">
        <f aca="false">IF($M3928=0,"",INDEX(Classes!$C$6:$C$420,$M3928))</f>
        <v/>
      </c>
      <c r="F3928" s="63"/>
      <c r="G3928" s="63"/>
      <c r="H3928" s="60"/>
      <c r="I3928" s="60"/>
      <c r="J3928" s="63"/>
      <c r="K3928" s="61" t="str">
        <f aca="false">IF($P3928=0,"",IF($F3928="Baseline","— Baseline",IF($O3928=0,"No result",IF($N3928=0,"No Start (attainment only)",IF(OR($N3928=1,$O3928=1),"U – needs rule",INDEX(MxBody,MATCH($I3928,MxCurr,0),MATCH($H3928,MxStart,0)))))))</f>
        <v/>
      </c>
      <c r="L3928" s="62" t="str">
        <f aca="false">IF(COUNTA($A3928,$F3928,$G3928,$H3928,$I3928,$J3928)=0,"",IF($M3928=0,"✖ كود الصف غير موجود",IF(ISNA(MATCH($F3928,Lists!$A$2:$A$5,0)),"✖ الفترة غير صحيحة",IF(ISNA(MATCH($G3928,Lists!$B$2:$B$7,0)),"✖ المجموعة غير صحيحة",IF(NOT(OR($H3928="",$N3928&gt;0)),"✖ Start غير صحيح",IF(NOT(OR($I3928="",$I3928="NR",$O3928&gt;0)),"✖ Current غير صحيح",IF(NOT(IF(ISNUMBER($J3928),AND($J3928&gt;=0,$J3928=INT($J3928)),FALSE())),"✖ العدد يجب أن يكون صحيحًا ≥ 0",IF(AND($F3928="Baseline",$H3928&lt;&gt;""),"⚠ Baseline: Start لا يدخل في التقدم",IF($K3928="No Start (attainment only)","ℹ تحصيل فقط (بدون Start)",IF($K3928="U – needs rule","ℹ حالة U تحتاج قاعدة معتمدة",IF($K3928="No result","ℹ بدون نتيجة (يُستبعد من التحصيل)","OK")))))))))))</f>
        <v/>
      </c>
      <c r="M3928" s="64" t="n">
        <f aca="false">IF($A3928="",0,IFERROR(MATCH($A3928,Classes!$A$6:$A$420,0),0))</f>
        <v>0</v>
      </c>
      <c r="N3928" s="64" t="n">
        <f aca="false">IF($H3928="",0,IFERROR(MATCH($H3928,GradeList,0),0))</f>
        <v>0</v>
      </c>
      <c r="O3928" s="64" t="n">
        <f aca="false">IF(OR($I3928="",$I3928="NR"),0,IFERROR(MATCH($I3928,GradeList,0),0))</f>
        <v>0</v>
      </c>
      <c r="P3928" s="64" t="n">
        <f aca="false">IF(AND($M3928&gt;0,ISNUMBER(MATCH($F3928,Lists!$A$2:$A$5,0)),ISNUMBER(MATCH($G3928,Lists!$B$2:$B$7,0)),OR($H3928="",$N3928&gt;0),OR($I3928="",$I3928="NR",$O3928&gt;0),IF(ISNUMBER($J3928),AND($J3928&gt;=0,$J3928=INT($J3928)),FALSE())),$J3928,0)</f>
        <v>0</v>
      </c>
      <c r="Q3928" s="64" t="n">
        <f aca="false">IF(AND($P3928&gt;0,$O3928&gt;0),$P3928,0)</f>
        <v>0</v>
      </c>
      <c r="R3928" s="64" t="n">
        <f aca="false">IF(AND($Q3928&gt;0,$O3928&gt;=AtRank),$Q3928,0)</f>
        <v>0</v>
      </c>
      <c r="S3928" s="64" t="n">
        <f aca="false">IF(AND($Q3928&gt;0,$O3928&gt;=AboveRank),$Q3928,0)</f>
        <v>0</v>
      </c>
      <c r="T3928" s="64" t="n">
        <f aca="false">IF($K3928="Less",$P3928,0)</f>
        <v>0</v>
      </c>
      <c r="U3928" s="64" t="n">
        <f aca="false">IF($K3928="Expected",$P3928,0)</f>
        <v>0</v>
      </c>
      <c r="V3928" s="64" t="n">
        <f aca="false">IF($K3928="Better",$P3928,0)</f>
        <v>0</v>
      </c>
      <c r="W3928" s="64" t="n">
        <f aca="false">IF($K3928="U – needs rule",$P3928,0)</f>
        <v>0</v>
      </c>
      <c r="X3928" s="64" t="n">
        <f aca="false">IF($K3928="No Start (attainment only)",$P3928,0)</f>
        <v>0</v>
      </c>
    </row>
    <row r="3929" customFormat="false" ht="15" hidden="false" customHeight="false" outlineLevel="0" collapsed="false">
      <c r="A3929" s="60"/>
      <c r="B3929" s="61" t="str">
        <f aca="false">IF($M3929=0,"",INDEX(Classes!$E$6:$E$420,$M3929))</f>
        <v/>
      </c>
      <c r="C3929" s="62" t="str">
        <f aca="false">IF($M3929=0,"",INDEX(Classes!$H$6:$H$420,$M3929))</f>
        <v/>
      </c>
      <c r="D3929" s="61" t="str">
        <f aca="false">IF($M3929=0,"",INDEX(Classes!$B$6:$B$420,$M3929))</f>
        <v/>
      </c>
      <c r="E3929" s="61" t="str">
        <f aca="false">IF($M3929=0,"",INDEX(Classes!$C$6:$C$420,$M3929))</f>
        <v/>
      </c>
      <c r="F3929" s="63"/>
      <c r="G3929" s="63"/>
      <c r="H3929" s="60"/>
      <c r="I3929" s="60"/>
      <c r="J3929" s="63"/>
      <c r="K3929" s="61" t="str">
        <f aca="false">IF($P3929=0,"",IF($F3929="Baseline","— Baseline",IF($O3929=0,"No result",IF($N3929=0,"No Start (attainment only)",IF(OR($N3929=1,$O3929=1),"U – needs rule",INDEX(MxBody,MATCH($I3929,MxCurr,0),MATCH($H3929,MxStart,0)))))))</f>
        <v/>
      </c>
      <c r="L3929" s="62" t="str">
        <f aca="false">IF(COUNTA($A3929,$F3929,$G3929,$H3929,$I3929,$J3929)=0,"",IF($M3929=0,"✖ كود الصف غير موجود",IF(ISNA(MATCH($F3929,Lists!$A$2:$A$5,0)),"✖ الفترة غير صحيحة",IF(ISNA(MATCH($G3929,Lists!$B$2:$B$7,0)),"✖ المجموعة غير صحيحة",IF(NOT(OR($H3929="",$N3929&gt;0)),"✖ Start غير صحيح",IF(NOT(OR($I3929="",$I3929="NR",$O3929&gt;0)),"✖ Current غير صحيح",IF(NOT(IF(ISNUMBER($J3929),AND($J3929&gt;=0,$J3929=INT($J3929)),FALSE())),"✖ العدد يجب أن يكون صحيحًا ≥ 0",IF(AND($F3929="Baseline",$H3929&lt;&gt;""),"⚠ Baseline: Start لا يدخل في التقدم",IF($K3929="No Start (attainment only)","ℹ تحصيل فقط (بدون Start)",IF($K3929="U – needs rule","ℹ حالة U تحتاج قاعدة معتمدة",IF($K3929="No result","ℹ بدون نتيجة (يُستبعد من التحصيل)","OK")))))))))))</f>
        <v/>
      </c>
      <c r="M3929" s="64" t="n">
        <f aca="false">IF($A3929="",0,IFERROR(MATCH($A3929,Classes!$A$6:$A$420,0),0))</f>
        <v>0</v>
      </c>
      <c r="N3929" s="64" t="n">
        <f aca="false">IF($H3929="",0,IFERROR(MATCH($H3929,GradeList,0),0))</f>
        <v>0</v>
      </c>
      <c r="O3929" s="64" t="n">
        <f aca="false">IF(OR($I3929="",$I3929="NR"),0,IFERROR(MATCH($I3929,GradeList,0),0))</f>
        <v>0</v>
      </c>
      <c r="P3929" s="64" t="n">
        <f aca="false">IF(AND($M3929&gt;0,ISNUMBER(MATCH($F3929,Lists!$A$2:$A$5,0)),ISNUMBER(MATCH($G3929,Lists!$B$2:$B$7,0)),OR($H3929="",$N3929&gt;0),OR($I3929="",$I3929="NR",$O3929&gt;0),IF(ISNUMBER($J3929),AND($J3929&gt;=0,$J3929=INT($J3929)),FALSE())),$J3929,0)</f>
        <v>0</v>
      </c>
      <c r="Q3929" s="64" t="n">
        <f aca="false">IF(AND($P3929&gt;0,$O3929&gt;0),$P3929,0)</f>
        <v>0</v>
      </c>
      <c r="R3929" s="64" t="n">
        <f aca="false">IF(AND($Q3929&gt;0,$O3929&gt;=AtRank),$Q3929,0)</f>
        <v>0</v>
      </c>
      <c r="S3929" s="64" t="n">
        <f aca="false">IF(AND($Q3929&gt;0,$O3929&gt;=AboveRank),$Q3929,0)</f>
        <v>0</v>
      </c>
      <c r="T3929" s="64" t="n">
        <f aca="false">IF($K3929="Less",$P3929,0)</f>
        <v>0</v>
      </c>
      <c r="U3929" s="64" t="n">
        <f aca="false">IF($K3929="Expected",$P3929,0)</f>
        <v>0</v>
      </c>
      <c r="V3929" s="64" t="n">
        <f aca="false">IF($K3929="Better",$P3929,0)</f>
        <v>0</v>
      </c>
      <c r="W3929" s="64" t="n">
        <f aca="false">IF($K3929="U – needs rule",$P3929,0)</f>
        <v>0</v>
      </c>
      <c r="X3929" s="64" t="n">
        <f aca="false">IF($K3929="No Start (attainment only)",$P3929,0)</f>
        <v>0</v>
      </c>
    </row>
    <row r="3930" customFormat="false" ht="15" hidden="false" customHeight="false" outlineLevel="0" collapsed="false">
      <c r="A3930" s="60"/>
      <c r="B3930" s="61" t="str">
        <f aca="false">IF($M3930=0,"",INDEX(Classes!$E$6:$E$420,$M3930))</f>
        <v/>
      </c>
      <c r="C3930" s="62" t="str">
        <f aca="false">IF($M3930=0,"",INDEX(Classes!$H$6:$H$420,$M3930))</f>
        <v/>
      </c>
      <c r="D3930" s="61" t="str">
        <f aca="false">IF($M3930=0,"",INDEX(Classes!$B$6:$B$420,$M3930))</f>
        <v/>
      </c>
      <c r="E3930" s="61" t="str">
        <f aca="false">IF($M3930=0,"",INDEX(Classes!$C$6:$C$420,$M3930))</f>
        <v/>
      </c>
      <c r="F3930" s="63"/>
      <c r="G3930" s="63"/>
      <c r="H3930" s="60"/>
      <c r="I3930" s="60"/>
      <c r="J3930" s="63"/>
      <c r="K3930" s="61" t="str">
        <f aca="false">IF($P3930=0,"",IF($F3930="Baseline","— Baseline",IF($O3930=0,"No result",IF($N3930=0,"No Start (attainment only)",IF(OR($N3930=1,$O3930=1),"U – needs rule",INDEX(MxBody,MATCH($I3930,MxCurr,0),MATCH($H3930,MxStart,0)))))))</f>
        <v/>
      </c>
      <c r="L3930" s="62" t="str">
        <f aca="false">IF(COUNTA($A3930,$F3930,$G3930,$H3930,$I3930,$J3930)=0,"",IF($M3930=0,"✖ كود الصف غير موجود",IF(ISNA(MATCH($F3930,Lists!$A$2:$A$5,0)),"✖ الفترة غير صحيحة",IF(ISNA(MATCH($G3930,Lists!$B$2:$B$7,0)),"✖ المجموعة غير صحيحة",IF(NOT(OR($H3930="",$N3930&gt;0)),"✖ Start غير صحيح",IF(NOT(OR($I3930="",$I3930="NR",$O3930&gt;0)),"✖ Current غير صحيح",IF(NOT(IF(ISNUMBER($J3930),AND($J3930&gt;=0,$J3930=INT($J3930)),FALSE())),"✖ العدد يجب أن يكون صحيحًا ≥ 0",IF(AND($F3930="Baseline",$H3930&lt;&gt;""),"⚠ Baseline: Start لا يدخل في التقدم",IF($K3930="No Start (attainment only)","ℹ تحصيل فقط (بدون Start)",IF($K3930="U – needs rule","ℹ حالة U تحتاج قاعدة معتمدة",IF($K3930="No result","ℹ بدون نتيجة (يُستبعد من التحصيل)","OK")))))))))))</f>
        <v/>
      </c>
      <c r="M3930" s="64" t="n">
        <f aca="false">IF($A3930="",0,IFERROR(MATCH($A3930,Classes!$A$6:$A$420,0),0))</f>
        <v>0</v>
      </c>
      <c r="N3930" s="64" t="n">
        <f aca="false">IF($H3930="",0,IFERROR(MATCH($H3930,GradeList,0),0))</f>
        <v>0</v>
      </c>
      <c r="O3930" s="64" t="n">
        <f aca="false">IF(OR($I3930="",$I3930="NR"),0,IFERROR(MATCH($I3930,GradeList,0),0))</f>
        <v>0</v>
      </c>
      <c r="P3930" s="64" t="n">
        <f aca="false">IF(AND($M3930&gt;0,ISNUMBER(MATCH($F3930,Lists!$A$2:$A$5,0)),ISNUMBER(MATCH($G3930,Lists!$B$2:$B$7,0)),OR($H3930="",$N3930&gt;0),OR($I3930="",$I3930="NR",$O3930&gt;0),IF(ISNUMBER($J3930),AND($J3930&gt;=0,$J3930=INT($J3930)),FALSE())),$J3930,0)</f>
        <v>0</v>
      </c>
      <c r="Q3930" s="64" t="n">
        <f aca="false">IF(AND($P3930&gt;0,$O3930&gt;0),$P3930,0)</f>
        <v>0</v>
      </c>
      <c r="R3930" s="64" t="n">
        <f aca="false">IF(AND($Q3930&gt;0,$O3930&gt;=AtRank),$Q3930,0)</f>
        <v>0</v>
      </c>
      <c r="S3930" s="64" t="n">
        <f aca="false">IF(AND($Q3930&gt;0,$O3930&gt;=AboveRank),$Q3930,0)</f>
        <v>0</v>
      </c>
      <c r="T3930" s="64" t="n">
        <f aca="false">IF($K3930="Less",$P3930,0)</f>
        <v>0</v>
      </c>
      <c r="U3930" s="64" t="n">
        <f aca="false">IF($K3930="Expected",$P3930,0)</f>
        <v>0</v>
      </c>
      <c r="V3930" s="64" t="n">
        <f aca="false">IF($K3930="Better",$P3930,0)</f>
        <v>0</v>
      </c>
      <c r="W3930" s="64" t="n">
        <f aca="false">IF($K3930="U – needs rule",$P3930,0)</f>
        <v>0</v>
      </c>
      <c r="X3930" s="64" t="n">
        <f aca="false">IF($K3930="No Start (attainment only)",$P3930,0)</f>
        <v>0</v>
      </c>
    </row>
    <row r="3931" customFormat="false" ht="15" hidden="false" customHeight="false" outlineLevel="0" collapsed="false">
      <c r="A3931" s="60"/>
      <c r="B3931" s="61" t="str">
        <f aca="false">IF($M3931=0,"",INDEX(Classes!$E$6:$E$420,$M3931))</f>
        <v/>
      </c>
      <c r="C3931" s="62" t="str">
        <f aca="false">IF($M3931=0,"",INDEX(Classes!$H$6:$H$420,$M3931))</f>
        <v/>
      </c>
      <c r="D3931" s="61" t="str">
        <f aca="false">IF($M3931=0,"",INDEX(Classes!$B$6:$B$420,$M3931))</f>
        <v/>
      </c>
      <c r="E3931" s="61" t="str">
        <f aca="false">IF($M3931=0,"",INDEX(Classes!$C$6:$C$420,$M3931))</f>
        <v/>
      </c>
      <c r="F3931" s="63"/>
      <c r="G3931" s="63"/>
      <c r="H3931" s="60"/>
      <c r="I3931" s="60"/>
      <c r="J3931" s="63"/>
      <c r="K3931" s="61" t="str">
        <f aca="false">IF($P3931=0,"",IF($F3931="Baseline","— Baseline",IF($O3931=0,"No result",IF($N3931=0,"No Start (attainment only)",IF(OR($N3931=1,$O3931=1),"U – needs rule",INDEX(MxBody,MATCH($I3931,MxCurr,0),MATCH($H3931,MxStart,0)))))))</f>
        <v/>
      </c>
      <c r="L3931" s="62" t="str">
        <f aca="false">IF(COUNTA($A3931,$F3931,$G3931,$H3931,$I3931,$J3931)=0,"",IF($M3931=0,"✖ كود الصف غير موجود",IF(ISNA(MATCH($F3931,Lists!$A$2:$A$5,0)),"✖ الفترة غير صحيحة",IF(ISNA(MATCH($G3931,Lists!$B$2:$B$7,0)),"✖ المجموعة غير صحيحة",IF(NOT(OR($H3931="",$N3931&gt;0)),"✖ Start غير صحيح",IF(NOT(OR($I3931="",$I3931="NR",$O3931&gt;0)),"✖ Current غير صحيح",IF(NOT(IF(ISNUMBER($J3931),AND($J3931&gt;=0,$J3931=INT($J3931)),FALSE())),"✖ العدد يجب أن يكون صحيحًا ≥ 0",IF(AND($F3931="Baseline",$H3931&lt;&gt;""),"⚠ Baseline: Start لا يدخل في التقدم",IF($K3931="No Start (attainment only)","ℹ تحصيل فقط (بدون Start)",IF($K3931="U – needs rule","ℹ حالة U تحتاج قاعدة معتمدة",IF($K3931="No result","ℹ بدون نتيجة (يُستبعد من التحصيل)","OK")))))))))))</f>
        <v/>
      </c>
      <c r="M3931" s="64" t="n">
        <f aca="false">IF($A3931="",0,IFERROR(MATCH($A3931,Classes!$A$6:$A$420,0),0))</f>
        <v>0</v>
      </c>
      <c r="N3931" s="64" t="n">
        <f aca="false">IF($H3931="",0,IFERROR(MATCH($H3931,GradeList,0),0))</f>
        <v>0</v>
      </c>
      <c r="O3931" s="64" t="n">
        <f aca="false">IF(OR($I3931="",$I3931="NR"),0,IFERROR(MATCH($I3931,GradeList,0),0))</f>
        <v>0</v>
      </c>
      <c r="P3931" s="64" t="n">
        <f aca="false">IF(AND($M3931&gt;0,ISNUMBER(MATCH($F3931,Lists!$A$2:$A$5,0)),ISNUMBER(MATCH($G3931,Lists!$B$2:$B$7,0)),OR($H3931="",$N3931&gt;0),OR($I3931="",$I3931="NR",$O3931&gt;0),IF(ISNUMBER($J3931),AND($J3931&gt;=0,$J3931=INT($J3931)),FALSE())),$J3931,0)</f>
        <v>0</v>
      </c>
      <c r="Q3931" s="64" t="n">
        <f aca="false">IF(AND($P3931&gt;0,$O3931&gt;0),$P3931,0)</f>
        <v>0</v>
      </c>
      <c r="R3931" s="64" t="n">
        <f aca="false">IF(AND($Q3931&gt;0,$O3931&gt;=AtRank),$Q3931,0)</f>
        <v>0</v>
      </c>
      <c r="S3931" s="64" t="n">
        <f aca="false">IF(AND($Q3931&gt;0,$O3931&gt;=AboveRank),$Q3931,0)</f>
        <v>0</v>
      </c>
      <c r="T3931" s="64" t="n">
        <f aca="false">IF($K3931="Less",$P3931,0)</f>
        <v>0</v>
      </c>
      <c r="U3931" s="64" t="n">
        <f aca="false">IF($K3931="Expected",$P3931,0)</f>
        <v>0</v>
      </c>
      <c r="V3931" s="64" t="n">
        <f aca="false">IF($K3931="Better",$P3931,0)</f>
        <v>0</v>
      </c>
      <c r="W3931" s="64" t="n">
        <f aca="false">IF($K3931="U – needs rule",$P3931,0)</f>
        <v>0</v>
      </c>
      <c r="X3931" s="64" t="n">
        <f aca="false">IF($K3931="No Start (attainment only)",$P3931,0)</f>
        <v>0</v>
      </c>
    </row>
    <row r="3932" customFormat="false" ht="15" hidden="false" customHeight="false" outlineLevel="0" collapsed="false">
      <c r="A3932" s="60"/>
      <c r="B3932" s="61" t="str">
        <f aca="false">IF($M3932=0,"",INDEX(Classes!$E$6:$E$420,$M3932))</f>
        <v/>
      </c>
      <c r="C3932" s="62" t="str">
        <f aca="false">IF($M3932=0,"",INDEX(Classes!$H$6:$H$420,$M3932))</f>
        <v/>
      </c>
      <c r="D3932" s="61" t="str">
        <f aca="false">IF($M3932=0,"",INDEX(Classes!$B$6:$B$420,$M3932))</f>
        <v/>
      </c>
      <c r="E3932" s="61" t="str">
        <f aca="false">IF($M3932=0,"",INDEX(Classes!$C$6:$C$420,$M3932))</f>
        <v/>
      </c>
      <c r="F3932" s="63"/>
      <c r="G3932" s="63"/>
      <c r="H3932" s="60"/>
      <c r="I3932" s="60"/>
      <c r="J3932" s="63"/>
      <c r="K3932" s="61" t="str">
        <f aca="false">IF($P3932=0,"",IF($F3932="Baseline","— Baseline",IF($O3932=0,"No result",IF($N3932=0,"No Start (attainment only)",IF(OR($N3932=1,$O3932=1),"U – needs rule",INDEX(MxBody,MATCH($I3932,MxCurr,0),MATCH($H3932,MxStart,0)))))))</f>
        <v/>
      </c>
      <c r="L3932" s="62" t="str">
        <f aca="false">IF(COUNTA($A3932,$F3932,$G3932,$H3932,$I3932,$J3932)=0,"",IF($M3932=0,"✖ كود الصف غير موجود",IF(ISNA(MATCH($F3932,Lists!$A$2:$A$5,0)),"✖ الفترة غير صحيحة",IF(ISNA(MATCH($G3932,Lists!$B$2:$B$7,0)),"✖ المجموعة غير صحيحة",IF(NOT(OR($H3932="",$N3932&gt;0)),"✖ Start غير صحيح",IF(NOT(OR($I3932="",$I3932="NR",$O3932&gt;0)),"✖ Current غير صحيح",IF(NOT(IF(ISNUMBER($J3932),AND($J3932&gt;=0,$J3932=INT($J3932)),FALSE())),"✖ العدد يجب أن يكون صحيحًا ≥ 0",IF(AND($F3932="Baseline",$H3932&lt;&gt;""),"⚠ Baseline: Start لا يدخل في التقدم",IF($K3932="No Start (attainment only)","ℹ تحصيل فقط (بدون Start)",IF($K3932="U – needs rule","ℹ حالة U تحتاج قاعدة معتمدة",IF($K3932="No result","ℹ بدون نتيجة (يُستبعد من التحصيل)","OK")))))))))))</f>
        <v/>
      </c>
      <c r="M3932" s="64" t="n">
        <f aca="false">IF($A3932="",0,IFERROR(MATCH($A3932,Classes!$A$6:$A$420,0),0))</f>
        <v>0</v>
      </c>
      <c r="N3932" s="64" t="n">
        <f aca="false">IF($H3932="",0,IFERROR(MATCH($H3932,GradeList,0),0))</f>
        <v>0</v>
      </c>
      <c r="O3932" s="64" t="n">
        <f aca="false">IF(OR($I3932="",$I3932="NR"),0,IFERROR(MATCH($I3932,GradeList,0),0))</f>
        <v>0</v>
      </c>
      <c r="P3932" s="64" t="n">
        <f aca="false">IF(AND($M3932&gt;0,ISNUMBER(MATCH($F3932,Lists!$A$2:$A$5,0)),ISNUMBER(MATCH($G3932,Lists!$B$2:$B$7,0)),OR($H3932="",$N3932&gt;0),OR($I3932="",$I3932="NR",$O3932&gt;0),IF(ISNUMBER($J3932),AND($J3932&gt;=0,$J3932=INT($J3932)),FALSE())),$J3932,0)</f>
        <v>0</v>
      </c>
      <c r="Q3932" s="64" t="n">
        <f aca="false">IF(AND($P3932&gt;0,$O3932&gt;0),$P3932,0)</f>
        <v>0</v>
      </c>
      <c r="R3932" s="64" t="n">
        <f aca="false">IF(AND($Q3932&gt;0,$O3932&gt;=AtRank),$Q3932,0)</f>
        <v>0</v>
      </c>
      <c r="S3932" s="64" t="n">
        <f aca="false">IF(AND($Q3932&gt;0,$O3932&gt;=AboveRank),$Q3932,0)</f>
        <v>0</v>
      </c>
      <c r="T3932" s="64" t="n">
        <f aca="false">IF($K3932="Less",$P3932,0)</f>
        <v>0</v>
      </c>
      <c r="U3932" s="64" t="n">
        <f aca="false">IF($K3932="Expected",$P3932,0)</f>
        <v>0</v>
      </c>
      <c r="V3932" s="64" t="n">
        <f aca="false">IF($K3932="Better",$P3932,0)</f>
        <v>0</v>
      </c>
      <c r="W3932" s="64" t="n">
        <f aca="false">IF($K3932="U – needs rule",$P3932,0)</f>
        <v>0</v>
      </c>
      <c r="X3932" s="64" t="n">
        <f aca="false">IF($K3932="No Start (attainment only)",$P3932,0)</f>
        <v>0</v>
      </c>
    </row>
    <row r="3933" customFormat="false" ht="15" hidden="false" customHeight="false" outlineLevel="0" collapsed="false">
      <c r="A3933" s="60"/>
      <c r="B3933" s="61" t="str">
        <f aca="false">IF($M3933=0,"",INDEX(Classes!$E$6:$E$420,$M3933))</f>
        <v/>
      </c>
      <c r="C3933" s="62" t="str">
        <f aca="false">IF($M3933=0,"",INDEX(Classes!$H$6:$H$420,$M3933))</f>
        <v/>
      </c>
      <c r="D3933" s="61" t="str">
        <f aca="false">IF($M3933=0,"",INDEX(Classes!$B$6:$B$420,$M3933))</f>
        <v/>
      </c>
      <c r="E3933" s="61" t="str">
        <f aca="false">IF($M3933=0,"",INDEX(Classes!$C$6:$C$420,$M3933))</f>
        <v/>
      </c>
      <c r="F3933" s="63"/>
      <c r="G3933" s="63"/>
      <c r="H3933" s="60"/>
      <c r="I3933" s="60"/>
      <c r="J3933" s="63"/>
      <c r="K3933" s="61" t="str">
        <f aca="false">IF($P3933=0,"",IF($F3933="Baseline","— Baseline",IF($O3933=0,"No result",IF($N3933=0,"No Start (attainment only)",IF(OR($N3933=1,$O3933=1),"U – needs rule",INDEX(MxBody,MATCH($I3933,MxCurr,0),MATCH($H3933,MxStart,0)))))))</f>
        <v/>
      </c>
      <c r="L3933" s="62" t="str">
        <f aca="false">IF(COUNTA($A3933,$F3933,$G3933,$H3933,$I3933,$J3933)=0,"",IF($M3933=0,"✖ كود الصف غير موجود",IF(ISNA(MATCH($F3933,Lists!$A$2:$A$5,0)),"✖ الفترة غير صحيحة",IF(ISNA(MATCH($G3933,Lists!$B$2:$B$7,0)),"✖ المجموعة غير صحيحة",IF(NOT(OR($H3933="",$N3933&gt;0)),"✖ Start غير صحيح",IF(NOT(OR($I3933="",$I3933="NR",$O3933&gt;0)),"✖ Current غير صحيح",IF(NOT(IF(ISNUMBER($J3933),AND($J3933&gt;=0,$J3933=INT($J3933)),FALSE())),"✖ العدد يجب أن يكون صحيحًا ≥ 0",IF(AND($F3933="Baseline",$H3933&lt;&gt;""),"⚠ Baseline: Start لا يدخل في التقدم",IF($K3933="No Start (attainment only)","ℹ تحصيل فقط (بدون Start)",IF($K3933="U – needs rule","ℹ حالة U تحتاج قاعدة معتمدة",IF($K3933="No result","ℹ بدون نتيجة (يُستبعد من التحصيل)","OK")))))))))))</f>
        <v/>
      </c>
      <c r="M3933" s="64" t="n">
        <f aca="false">IF($A3933="",0,IFERROR(MATCH($A3933,Classes!$A$6:$A$420,0),0))</f>
        <v>0</v>
      </c>
      <c r="N3933" s="64" t="n">
        <f aca="false">IF($H3933="",0,IFERROR(MATCH($H3933,GradeList,0),0))</f>
        <v>0</v>
      </c>
      <c r="O3933" s="64" t="n">
        <f aca="false">IF(OR($I3933="",$I3933="NR"),0,IFERROR(MATCH($I3933,GradeList,0),0))</f>
        <v>0</v>
      </c>
      <c r="P3933" s="64" t="n">
        <f aca="false">IF(AND($M3933&gt;0,ISNUMBER(MATCH($F3933,Lists!$A$2:$A$5,0)),ISNUMBER(MATCH($G3933,Lists!$B$2:$B$7,0)),OR($H3933="",$N3933&gt;0),OR($I3933="",$I3933="NR",$O3933&gt;0),IF(ISNUMBER($J3933),AND($J3933&gt;=0,$J3933=INT($J3933)),FALSE())),$J3933,0)</f>
        <v>0</v>
      </c>
      <c r="Q3933" s="64" t="n">
        <f aca="false">IF(AND($P3933&gt;0,$O3933&gt;0),$P3933,0)</f>
        <v>0</v>
      </c>
      <c r="R3933" s="64" t="n">
        <f aca="false">IF(AND($Q3933&gt;0,$O3933&gt;=AtRank),$Q3933,0)</f>
        <v>0</v>
      </c>
      <c r="S3933" s="64" t="n">
        <f aca="false">IF(AND($Q3933&gt;0,$O3933&gt;=AboveRank),$Q3933,0)</f>
        <v>0</v>
      </c>
      <c r="T3933" s="64" t="n">
        <f aca="false">IF($K3933="Less",$P3933,0)</f>
        <v>0</v>
      </c>
      <c r="U3933" s="64" t="n">
        <f aca="false">IF($K3933="Expected",$P3933,0)</f>
        <v>0</v>
      </c>
      <c r="V3933" s="64" t="n">
        <f aca="false">IF($K3933="Better",$P3933,0)</f>
        <v>0</v>
      </c>
      <c r="W3933" s="64" t="n">
        <f aca="false">IF($K3933="U – needs rule",$P3933,0)</f>
        <v>0</v>
      </c>
      <c r="X3933" s="64" t="n">
        <f aca="false">IF($K3933="No Start (attainment only)",$P3933,0)</f>
        <v>0</v>
      </c>
    </row>
    <row r="3934" customFormat="false" ht="15" hidden="false" customHeight="false" outlineLevel="0" collapsed="false">
      <c r="A3934" s="60"/>
      <c r="B3934" s="61" t="str">
        <f aca="false">IF($M3934=0,"",INDEX(Classes!$E$6:$E$420,$M3934))</f>
        <v/>
      </c>
      <c r="C3934" s="62" t="str">
        <f aca="false">IF($M3934=0,"",INDEX(Classes!$H$6:$H$420,$M3934))</f>
        <v/>
      </c>
      <c r="D3934" s="61" t="str">
        <f aca="false">IF($M3934=0,"",INDEX(Classes!$B$6:$B$420,$M3934))</f>
        <v/>
      </c>
      <c r="E3934" s="61" t="str">
        <f aca="false">IF($M3934=0,"",INDEX(Classes!$C$6:$C$420,$M3934))</f>
        <v/>
      </c>
      <c r="F3934" s="63"/>
      <c r="G3934" s="63"/>
      <c r="H3934" s="60"/>
      <c r="I3934" s="60"/>
      <c r="J3934" s="63"/>
      <c r="K3934" s="61" t="str">
        <f aca="false">IF($P3934=0,"",IF($F3934="Baseline","— Baseline",IF($O3934=0,"No result",IF($N3934=0,"No Start (attainment only)",IF(OR($N3934=1,$O3934=1),"U – needs rule",INDEX(MxBody,MATCH($I3934,MxCurr,0),MATCH($H3934,MxStart,0)))))))</f>
        <v/>
      </c>
      <c r="L3934" s="62" t="str">
        <f aca="false">IF(COUNTA($A3934,$F3934,$G3934,$H3934,$I3934,$J3934)=0,"",IF($M3934=0,"✖ كود الصف غير موجود",IF(ISNA(MATCH($F3934,Lists!$A$2:$A$5,0)),"✖ الفترة غير صحيحة",IF(ISNA(MATCH($G3934,Lists!$B$2:$B$7,0)),"✖ المجموعة غير صحيحة",IF(NOT(OR($H3934="",$N3934&gt;0)),"✖ Start غير صحيح",IF(NOT(OR($I3934="",$I3934="NR",$O3934&gt;0)),"✖ Current غير صحيح",IF(NOT(IF(ISNUMBER($J3934),AND($J3934&gt;=0,$J3934=INT($J3934)),FALSE())),"✖ العدد يجب أن يكون صحيحًا ≥ 0",IF(AND($F3934="Baseline",$H3934&lt;&gt;""),"⚠ Baseline: Start لا يدخل في التقدم",IF($K3934="No Start (attainment only)","ℹ تحصيل فقط (بدون Start)",IF($K3934="U – needs rule","ℹ حالة U تحتاج قاعدة معتمدة",IF($K3934="No result","ℹ بدون نتيجة (يُستبعد من التحصيل)","OK")))))))))))</f>
        <v/>
      </c>
      <c r="M3934" s="64" t="n">
        <f aca="false">IF($A3934="",0,IFERROR(MATCH($A3934,Classes!$A$6:$A$420,0),0))</f>
        <v>0</v>
      </c>
      <c r="N3934" s="64" t="n">
        <f aca="false">IF($H3934="",0,IFERROR(MATCH($H3934,GradeList,0),0))</f>
        <v>0</v>
      </c>
      <c r="O3934" s="64" t="n">
        <f aca="false">IF(OR($I3934="",$I3934="NR"),0,IFERROR(MATCH($I3934,GradeList,0),0))</f>
        <v>0</v>
      </c>
      <c r="P3934" s="64" t="n">
        <f aca="false">IF(AND($M3934&gt;0,ISNUMBER(MATCH($F3934,Lists!$A$2:$A$5,0)),ISNUMBER(MATCH($G3934,Lists!$B$2:$B$7,0)),OR($H3934="",$N3934&gt;0),OR($I3934="",$I3934="NR",$O3934&gt;0),IF(ISNUMBER($J3934),AND($J3934&gt;=0,$J3934=INT($J3934)),FALSE())),$J3934,0)</f>
        <v>0</v>
      </c>
      <c r="Q3934" s="64" t="n">
        <f aca="false">IF(AND($P3934&gt;0,$O3934&gt;0),$P3934,0)</f>
        <v>0</v>
      </c>
      <c r="R3934" s="64" t="n">
        <f aca="false">IF(AND($Q3934&gt;0,$O3934&gt;=AtRank),$Q3934,0)</f>
        <v>0</v>
      </c>
      <c r="S3934" s="64" t="n">
        <f aca="false">IF(AND($Q3934&gt;0,$O3934&gt;=AboveRank),$Q3934,0)</f>
        <v>0</v>
      </c>
      <c r="T3934" s="64" t="n">
        <f aca="false">IF($K3934="Less",$P3934,0)</f>
        <v>0</v>
      </c>
      <c r="U3934" s="64" t="n">
        <f aca="false">IF($K3934="Expected",$P3934,0)</f>
        <v>0</v>
      </c>
      <c r="V3934" s="64" t="n">
        <f aca="false">IF($K3934="Better",$P3934,0)</f>
        <v>0</v>
      </c>
      <c r="W3934" s="64" t="n">
        <f aca="false">IF($K3934="U – needs rule",$P3934,0)</f>
        <v>0</v>
      </c>
      <c r="X3934" s="64" t="n">
        <f aca="false">IF($K3934="No Start (attainment only)",$P3934,0)</f>
        <v>0</v>
      </c>
    </row>
    <row r="3935" customFormat="false" ht="15" hidden="false" customHeight="false" outlineLevel="0" collapsed="false">
      <c r="A3935" s="60"/>
      <c r="B3935" s="61" t="str">
        <f aca="false">IF($M3935=0,"",INDEX(Classes!$E$6:$E$420,$M3935))</f>
        <v/>
      </c>
      <c r="C3935" s="62" t="str">
        <f aca="false">IF($M3935=0,"",INDEX(Classes!$H$6:$H$420,$M3935))</f>
        <v/>
      </c>
      <c r="D3935" s="61" t="str">
        <f aca="false">IF($M3935=0,"",INDEX(Classes!$B$6:$B$420,$M3935))</f>
        <v/>
      </c>
      <c r="E3935" s="61" t="str">
        <f aca="false">IF($M3935=0,"",INDEX(Classes!$C$6:$C$420,$M3935))</f>
        <v/>
      </c>
      <c r="F3935" s="63"/>
      <c r="G3935" s="63"/>
      <c r="H3935" s="60"/>
      <c r="I3935" s="60"/>
      <c r="J3935" s="63"/>
      <c r="K3935" s="61" t="str">
        <f aca="false">IF($P3935=0,"",IF($F3935="Baseline","— Baseline",IF($O3935=0,"No result",IF($N3935=0,"No Start (attainment only)",IF(OR($N3935=1,$O3935=1),"U – needs rule",INDEX(MxBody,MATCH($I3935,MxCurr,0),MATCH($H3935,MxStart,0)))))))</f>
        <v/>
      </c>
      <c r="L3935" s="62" t="str">
        <f aca="false">IF(COUNTA($A3935,$F3935,$G3935,$H3935,$I3935,$J3935)=0,"",IF($M3935=0,"✖ كود الصف غير موجود",IF(ISNA(MATCH($F3935,Lists!$A$2:$A$5,0)),"✖ الفترة غير صحيحة",IF(ISNA(MATCH($G3935,Lists!$B$2:$B$7,0)),"✖ المجموعة غير صحيحة",IF(NOT(OR($H3935="",$N3935&gt;0)),"✖ Start غير صحيح",IF(NOT(OR($I3935="",$I3935="NR",$O3935&gt;0)),"✖ Current غير صحيح",IF(NOT(IF(ISNUMBER($J3935),AND($J3935&gt;=0,$J3935=INT($J3935)),FALSE())),"✖ العدد يجب أن يكون صحيحًا ≥ 0",IF(AND($F3935="Baseline",$H3935&lt;&gt;""),"⚠ Baseline: Start لا يدخل في التقدم",IF($K3935="No Start (attainment only)","ℹ تحصيل فقط (بدون Start)",IF($K3935="U – needs rule","ℹ حالة U تحتاج قاعدة معتمدة",IF($K3935="No result","ℹ بدون نتيجة (يُستبعد من التحصيل)","OK")))))))))))</f>
        <v/>
      </c>
      <c r="M3935" s="64" t="n">
        <f aca="false">IF($A3935="",0,IFERROR(MATCH($A3935,Classes!$A$6:$A$420,0),0))</f>
        <v>0</v>
      </c>
      <c r="N3935" s="64" t="n">
        <f aca="false">IF($H3935="",0,IFERROR(MATCH($H3935,GradeList,0),0))</f>
        <v>0</v>
      </c>
      <c r="O3935" s="64" t="n">
        <f aca="false">IF(OR($I3935="",$I3935="NR"),0,IFERROR(MATCH($I3935,GradeList,0),0))</f>
        <v>0</v>
      </c>
      <c r="P3935" s="64" t="n">
        <f aca="false">IF(AND($M3935&gt;0,ISNUMBER(MATCH($F3935,Lists!$A$2:$A$5,0)),ISNUMBER(MATCH($G3935,Lists!$B$2:$B$7,0)),OR($H3935="",$N3935&gt;0),OR($I3935="",$I3935="NR",$O3935&gt;0),IF(ISNUMBER($J3935),AND($J3935&gt;=0,$J3935=INT($J3935)),FALSE())),$J3935,0)</f>
        <v>0</v>
      </c>
      <c r="Q3935" s="64" t="n">
        <f aca="false">IF(AND($P3935&gt;0,$O3935&gt;0),$P3935,0)</f>
        <v>0</v>
      </c>
      <c r="R3935" s="64" t="n">
        <f aca="false">IF(AND($Q3935&gt;0,$O3935&gt;=AtRank),$Q3935,0)</f>
        <v>0</v>
      </c>
      <c r="S3935" s="64" t="n">
        <f aca="false">IF(AND($Q3935&gt;0,$O3935&gt;=AboveRank),$Q3935,0)</f>
        <v>0</v>
      </c>
      <c r="T3935" s="64" t="n">
        <f aca="false">IF($K3935="Less",$P3935,0)</f>
        <v>0</v>
      </c>
      <c r="U3935" s="64" t="n">
        <f aca="false">IF($K3935="Expected",$P3935,0)</f>
        <v>0</v>
      </c>
      <c r="V3935" s="64" t="n">
        <f aca="false">IF($K3935="Better",$P3935,0)</f>
        <v>0</v>
      </c>
      <c r="W3935" s="64" t="n">
        <f aca="false">IF($K3935="U – needs rule",$P3935,0)</f>
        <v>0</v>
      </c>
      <c r="X3935" s="64" t="n">
        <f aca="false">IF($K3935="No Start (attainment only)",$P3935,0)</f>
        <v>0</v>
      </c>
    </row>
    <row r="3936" customFormat="false" ht="15" hidden="false" customHeight="false" outlineLevel="0" collapsed="false">
      <c r="A3936" s="60"/>
      <c r="B3936" s="61" t="str">
        <f aca="false">IF($M3936=0,"",INDEX(Classes!$E$6:$E$420,$M3936))</f>
        <v/>
      </c>
      <c r="C3936" s="62" t="str">
        <f aca="false">IF($M3936=0,"",INDEX(Classes!$H$6:$H$420,$M3936))</f>
        <v/>
      </c>
      <c r="D3936" s="61" t="str">
        <f aca="false">IF($M3936=0,"",INDEX(Classes!$B$6:$B$420,$M3936))</f>
        <v/>
      </c>
      <c r="E3936" s="61" t="str">
        <f aca="false">IF($M3936=0,"",INDEX(Classes!$C$6:$C$420,$M3936))</f>
        <v/>
      </c>
      <c r="F3936" s="63"/>
      <c r="G3936" s="63"/>
      <c r="H3936" s="60"/>
      <c r="I3936" s="60"/>
      <c r="J3936" s="63"/>
      <c r="K3936" s="61" t="str">
        <f aca="false">IF($P3936=0,"",IF($F3936="Baseline","— Baseline",IF($O3936=0,"No result",IF($N3936=0,"No Start (attainment only)",IF(OR($N3936=1,$O3936=1),"U – needs rule",INDEX(MxBody,MATCH($I3936,MxCurr,0),MATCH($H3936,MxStart,0)))))))</f>
        <v/>
      </c>
      <c r="L3936" s="62" t="str">
        <f aca="false">IF(COUNTA($A3936,$F3936,$G3936,$H3936,$I3936,$J3936)=0,"",IF($M3936=0,"✖ كود الصف غير موجود",IF(ISNA(MATCH($F3936,Lists!$A$2:$A$5,0)),"✖ الفترة غير صحيحة",IF(ISNA(MATCH($G3936,Lists!$B$2:$B$7,0)),"✖ المجموعة غير صحيحة",IF(NOT(OR($H3936="",$N3936&gt;0)),"✖ Start غير صحيح",IF(NOT(OR($I3936="",$I3936="NR",$O3936&gt;0)),"✖ Current غير صحيح",IF(NOT(IF(ISNUMBER($J3936),AND($J3936&gt;=0,$J3936=INT($J3936)),FALSE())),"✖ العدد يجب أن يكون صحيحًا ≥ 0",IF(AND($F3936="Baseline",$H3936&lt;&gt;""),"⚠ Baseline: Start لا يدخل في التقدم",IF($K3936="No Start (attainment only)","ℹ تحصيل فقط (بدون Start)",IF($K3936="U – needs rule","ℹ حالة U تحتاج قاعدة معتمدة",IF($K3936="No result","ℹ بدون نتيجة (يُستبعد من التحصيل)","OK")))))))))))</f>
        <v/>
      </c>
      <c r="M3936" s="64" t="n">
        <f aca="false">IF($A3936="",0,IFERROR(MATCH($A3936,Classes!$A$6:$A$420,0),0))</f>
        <v>0</v>
      </c>
      <c r="N3936" s="64" t="n">
        <f aca="false">IF($H3936="",0,IFERROR(MATCH($H3936,GradeList,0),0))</f>
        <v>0</v>
      </c>
      <c r="O3936" s="64" t="n">
        <f aca="false">IF(OR($I3936="",$I3936="NR"),0,IFERROR(MATCH($I3936,GradeList,0),0))</f>
        <v>0</v>
      </c>
      <c r="P3936" s="64" t="n">
        <f aca="false">IF(AND($M3936&gt;0,ISNUMBER(MATCH($F3936,Lists!$A$2:$A$5,0)),ISNUMBER(MATCH($G3936,Lists!$B$2:$B$7,0)),OR($H3936="",$N3936&gt;0),OR($I3936="",$I3936="NR",$O3936&gt;0),IF(ISNUMBER($J3936),AND($J3936&gt;=0,$J3936=INT($J3936)),FALSE())),$J3936,0)</f>
        <v>0</v>
      </c>
      <c r="Q3936" s="64" t="n">
        <f aca="false">IF(AND($P3936&gt;0,$O3936&gt;0),$P3936,0)</f>
        <v>0</v>
      </c>
      <c r="R3936" s="64" t="n">
        <f aca="false">IF(AND($Q3936&gt;0,$O3936&gt;=AtRank),$Q3936,0)</f>
        <v>0</v>
      </c>
      <c r="S3936" s="64" t="n">
        <f aca="false">IF(AND($Q3936&gt;0,$O3936&gt;=AboveRank),$Q3936,0)</f>
        <v>0</v>
      </c>
      <c r="T3936" s="64" t="n">
        <f aca="false">IF($K3936="Less",$P3936,0)</f>
        <v>0</v>
      </c>
      <c r="U3936" s="64" t="n">
        <f aca="false">IF($K3936="Expected",$P3936,0)</f>
        <v>0</v>
      </c>
      <c r="V3936" s="64" t="n">
        <f aca="false">IF($K3936="Better",$P3936,0)</f>
        <v>0</v>
      </c>
      <c r="W3936" s="64" t="n">
        <f aca="false">IF($K3936="U – needs rule",$P3936,0)</f>
        <v>0</v>
      </c>
      <c r="X3936" s="64" t="n">
        <f aca="false">IF($K3936="No Start (attainment only)",$P3936,0)</f>
        <v>0</v>
      </c>
    </row>
    <row r="3937" customFormat="false" ht="15" hidden="false" customHeight="false" outlineLevel="0" collapsed="false">
      <c r="A3937" s="60"/>
      <c r="B3937" s="61" t="str">
        <f aca="false">IF($M3937=0,"",INDEX(Classes!$E$6:$E$420,$M3937))</f>
        <v/>
      </c>
      <c r="C3937" s="62" t="str">
        <f aca="false">IF($M3937=0,"",INDEX(Classes!$H$6:$H$420,$M3937))</f>
        <v/>
      </c>
      <c r="D3937" s="61" t="str">
        <f aca="false">IF($M3937=0,"",INDEX(Classes!$B$6:$B$420,$M3937))</f>
        <v/>
      </c>
      <c r="E3937" s="61" t="str">
        <f aca="false">IF($M3937=0,"",INDEX(Classes!$C$6:$C$420,$M3937))</f>
        <v/>
      </c>
      <c r="F3937" s="63"/>
      <c r="G3937" s="63"/>
      <c r="H3937" s="60"/>
      <c r="I3937" s="60"/>
      <c r="J3937" s="63"/>
      <c r="K3937" s="61" t="str">
        <f aca="false">IF($P3937=0,"",IF($F3937="Baseline","— Baseline",IF($O3937=0,"No result",IF($N3937=0,"No Start (attainment only)",IF(OR($N3937=1,$O3937=1),"U – needs rule",INDEX(MxBody,MATCH($I3937,MxCurr,0),MATCH($H3937,MxStart,0)))))))</f>
        <v/>
      </c>
      <c r="L3937" s="62" t="str">
        <f aca="false">IF(COUNTA($A3937,$F3937,$G3937,$H3937,$I3937,$J3937)=0,"",IF($M3937=0,"✖ كود الصف غير موجود",IF(ISNA(MATCH($F3937,Lists!$A$2:$A$5,0)),"✖ الفترة غير صحيحة",IF(ISNA(MATCH($G3937,Lists!$B$2:$B$7,0)),"✖ المجموعة غير صحيحة",IF(NOT(OR($H3937="",$N3937&gt;0)),"✖ Start غير صحيح",IF(NOT(OR($I3937="",$I3937="NR",$O3937&gt;0)),"✖ Current غير صحيح",IF(NOT(IF(ISNUMBER($J3937),AND($J3937&gt;=0,$J3937=INT($J3937)),FALSE())),"✖ العدد يجب أن يكون صحيحًا ≥ 0",IF(AND($F3937="Baseline",$H3937&lt;&gt;""),"⚠ Baseline: Start لا يدخل في التقدم",IF($K3937="No Start (attainment only)","ℹ تحصيل فقط (بدون Start)",IF($K3937="U – needs rule","ℹ حالة U تحتاج قاعدة معتمدة",IF($K3937="No result","ℹ بدون نتيجة (يُستبعد من التحصيل)","OK")))))))))))</f>
        <v/>
      </c>
      <c r="M3937" s="64" t="n">
        <f aca="false">IF($A3937="",0,IFERROR(MATCH($A3937,Classes!$A$6:$A$420,0),0))</f>
        <v>0</v>
      </c>
      <c r="N3937" s="64" t="n">
        <f aca="false">IF($H3937="",0,IFERROR(MATCH($H3937,GradeList,0),0))</f>
        <v>0</v>
      </c>
      <c r="O3937" s="64" t="n">
        <f aca="false">IF(OR($I3937="",$I3937="NR"),0,IFERROR(MATCH($I3937,GradeList,0),0))</f>
        <v>0</v>
      </c>
      <c r="P3937" s="64" t="n">
        <f aca="false">IF(AND($M3937&gt;0,ISNUMBER(MATCH($F3937,Lists!$A$2:$A$5,0)),ISNUMBER(MATCH($G3937,Lists!$B$2:$B$7,0)),OR($H3937="",$N3937&gt;0),OR($I3937="",$I3937="NR",$O3937&gt;0),IF(ISNUMBER($J3937),AND($J3937&gt;=0,$J3937=INT($J3937)),FALSE())),$J3937,0)</f>
        <v>0</v>
      </c>
      <c r="Q3937" s="64" t="n">
        <f aca="false">IF(AND($P3937&gt;0,$O3937&gt;0),$P3937,0)</f>
        <v>0</v>
      </c>
      <c r="R3937" s="64" t="n">
        <f aca="false">IF(AND($Q3937&gt;0,$O3937&gt;=AtRank),$Q3937,0)</f>
        <v>0</v>
      </c>
      <c r="S3937" s="64" t="n">
        <f aca="false">IF(AND($Q3937&gt;0,$O3937&gt;=AboveRank),$Q3937,0)</f>
        <v>0</v>
      </c>
      <c r="T3937" s="64" t="n">
        <f aca="false">IF($K3937="Less",$P3937,0)</f>
        <v>0</v>
      </c>
      <c r="U3937" s="64" t="n">
        <f aca="false">IF($K3937="Expected",$P3937,0)</f>
        <v>0</v>
      </c>
      <c r="V3937" s="64" t="n">
        <f aca="false">IF($K3937="Better",$P3937,0)</f>
        <v>0</v>
      </c>
      <c r="W3937" s="64" t="n">
        <f aca="false">IF($K3937="U – needs rule",$P3937,0)</f>
        <v>0</v>
      </c>
      <c r="X3937" s="64" t="n">
        <f aca="false">IF($K3937="No Start (attainment only)",$P3937,0)</f>
        <v>0</v>
      </c>
    </row>
    <row r="3938" customFormat="false" ht="15" hidden="false" customHeight="false" outlineLevel="0" collapsed="false">
      <c r="A3938" s="60"/>
      <c r="B3938" s="61" t="str">
        <f aca="false">IF($M3938=0,"",INDEX(Classes!$E$6:$E$420,$M3938))</f>
        <v/>
      </c>
      <c r="C3938" s="62" t="str">
        <f aca="false">IF($M3938=0,"",INDEX(Classes!$H$6:$H$420,$M3938))</f>
        <v/>
      </c>
      <c r="D3938" s="61" t="str">
        <f aca="false">IF($M3938=0,"",INDEX(Classes!$B$6:$B$420,$M3938))</f>
        <v/>
      </c>
      <c r="E3938" s="61" t="str">
        <f aca="false">IF($M3938=0,"",INDEX(Classes!$C$6:$C$420,$M3938))</f>
        <v/>
      </c>
      <c r="F3938" s="63"/>
      <c r="G3938" s="63"/>
      <c r="H3938" s="60"/>
      <c r="I3938" s="60"/>
      <c r="J3938" s="63"/>
      <c r="K3938" s="61" t="str">
        <f aca="false">IF($P3938=0,"",IF($F3938="Baseline","— Baseline",IF($O3938=0,"No result",IF($N3938=0,"No Start (attainment only)",IF(OR($N3938=1,$O3938=1),"U – needs rule",INDEX(MxBody,MATCH($I3938,MxCurr,0),MATCH($H3938,MxStart,0)))))))</f>
        <v/>
      </c>
      <c r="L3938" s="62" t="str">
        <f aca="false">IF(COUNTA($A3938,$F3938,$G3938,$H3938,$I3938,$J3938)=0,"",IF($M3938=0,"✖ كود الصف غير موجود",IF(ISNA(MATCH($F3938,Lists!$A$2:$A$5,0)),"✖ الفترة غير صحيحة",IF(ISNA(MATCH($G3938,Lists!$B$2:$B$7,0)),"✖ المجموعة غير صحيحة",IF(NOT(OR($H3938="",$N3938&gt;0)),"✖ Start غير صحيح",IF(NOT(OR($I3938="",$I3938="NR",$O3938&gt;0)),"✖ Current غير صحيح",IF(NOT(IF(ISNUMBER($J3938),AND($J3938&gt;=0,$J3938=INT($J3938)),FALSE())),"✖ العدد يجب أن يكون صحيحًا ≥ 0",IF(AND($F3938="Baseline",$H3938&lt;&gt;""),"⚠ Baseline: Start لا يدخل في التقدم",IF($K3938="No Start (attainment only)","ℹ تحصيل فقط (بدون Start)",IF($K3938="U – needs rule","ℹ حالة U تحتاج قاعدة معتمدة",IF($K3938="No result","ℹ بدون نتيجة (يُستبعد من التحصيل)","OK")))))))))))</f>
        <v/>
      </c>
      <c r="M3938" s="64" t="n">
        <f aca="false">IF($A3938="",0,IFERROR(MATCH($A3938,Classes!$A$6:$A$420,0),0))</f>
        <v>0</v>
      </c>
      <c r="N3938" s="64" t="n">
        <f aca="false">IF($H3938="",0,IFERROR(MATCH($H3938,GradeList,0),0))</f>
        <v>0</v>
      </c>
      <c r="O3938" s="64" t="n">
        <f aca="false">IF(OR($I3938="",$I3938="NR"),0,IFERROR(MATCH($I3938,GradeList,0),0))</f>
        <v>0</v>
      </c>
      <c r="P3938" s="64" t="n">
        <f aca="false">IF(AND($M3938&gt;0,ISNUMBER(MATCH($F3938,Lists!$A$2:$A$5,0)),ISNUMBER(MATCH($G3938,Lists!$B$2:$B$7,0)),OR($H3938="",$N3938&gt;0),OR($I3938="",$I3938="NR",$O3938&gt;0),IF(ISNUMBER($J3938),AND($J3938&gt;=0,$J3938=INT($J3938)),FALSE())),$J3938,0)</f>
        <v>0</v>
      </c>
      <c r="Q3938" s="64" t="n">
        <f aca="false">IF(AND($P3938&gt;0,$O3938&gt;0),$P3938,0)</f>
        <v>0</v>
      </c>
      <c r="R3938" s="64" t="n">
        <f aca="false">IF(AND($Q3938&gt;0,$O3938&gt;=AtRank),$Q3938,0)</f>
        <v>0</v>
      </c>
      <c r="S3938" s="64" t="n">
        <f aca="false">IF(AND($Q3938&gt;0,$O3938&gt;=AboveRank),$Q3938,0)</f>
        <v>0</v>
      </c>
      <c r="T3938" s="64" t="n">
        <f aca="false">IF($K3938="Less",$P3938,0)</f>
        <v>0</v>
      </c>
      <c r="U3938" s="64" t="n">
        <f aca="false">IF($K3938="Expected",$P3938,0)</f>
        <v>0</v>
      </c>
      <c r="V3938" s="64" t="n">
        <f aca="false">IF($K3938="Better",$P3938,0)</f>
        <v>0</v>
      </c>
      <c r="W3938" s="64" t="n">
        <f aca="false">IF($K3938="U – needs rule",$P3938,0)</f>
        <v>0</v>
      </c>
      <c r="X3938" s="64" t="n">
        <f aca="false">IF($K3938="No Start (attainment only)",$P3938,0)</f>
        <v>0</v>
      </c>
    </row>
    <row r="3939" customFormat="false" ht="15" hidden="false" customHeight="false" outlineLevel="0" collapsed="false">
      <c r="A3939" s="60"/>
      <c r="B3939" s="61" t="str">
        <f aca="false">IF($M3939=0,"",INDEX(Classes!$E$6:$E$420,$M3939))</f>
        <v/>
      </c>
      <c r="C3939" s="62" t="str">
        <f aca="false">IF($M3939=0,"",INDEX(Classes!$H$6:$H$420,$M3939))</f>
        <v/>
      </c>
      <c r="D3939" s="61" t="str">
        <f aca="false">IF($M3939=0,"",INDEX(Classes!$B$6:$B$420,$M3939))</f>
        <v/>
      </c>
      <c r="E3939" s="61" t="str">
        <f aca="false">IF($M3939=0,"",INDEX(Classes!$C$6:$C$420,$M3939))</f>
        <v/>
      </c>
      <c r="F3939" s="63"/>
      <c r="G3939" s="63"/>
      <c r="H3939" s="60"/>
      <c r="I3939" s="60"/>
      <c r="J3939" s="63"/>
      <c r="K3939" s="61" t="str">
        <f aca="false">IF($P3939=0,"",IF($F3939="Baseline","— Baseline",IF($O3939=0,"No result",IF($N3939=0,"No Start (attainment only)",IF(OR($N3939=1,$O3939=1),"U – needs rule",INDEX(MxBody,MATCH($I3939,MxCurr,0),MATCH($H3939,MxStart,0)))))))</f>
        <v/>
      </c>
      <c r="L3939" s="62" t="str">
        <f aca="false">IF(COUNTA($A3939,$F3939,$G3939,$H3939,$I3939,$J3939)=0,"",IF($M3939=0,"✖ كود الصف غير موجود",IF(ISNA(MATCH($F3939,Lists!$A$2:$A$5,0)),"✖ الفترة غير صحيحة",IF(ISNA(MATCH($G3939,Lists!$B$2:$B$7,0)),"✖ المجموعة غير صحيحة",IF(NOT(OR($H3939="",$N3939&gt;0)),"✖ Start غير صحيح",IF(NOT(OR($I3939="",$I3939="NR",$O3939&gt;0)),"✖ Current غير صحيح",IF(NOT(IF(ISNUMBER($J3939),AND($J3939&gt;=0,$J3939=INT($J3939)),FALSE())),"✖ العدد يجب أن يكون صحيحًا ≥ 0",IF(AND($F3939="Baseline",$H3939&lt;&gt;""),"⚠ Baseline: Start لا يدخل في التقدم",IF($K3939="No Start (attainment only)","ℹ تحصيل فقط (بدون Start)",IF($K3939="U – needs rule","ℹ حالة U تحتاج قاعدة معتمدة",IF($K3939="No result","ℹ بدون نتيجة (يُستبعد من التحصيل)","OK")))))))))))</f>
        <v/>
      </c>
      <c r="M3939" s="64" t="n">
        <f aca="false">IF($A3939="",0,IFERROR(MATCH($A3939,Classes!$A$6:$A$420,0),0))</f>
        <v>0</v>
      </c>
      <c r="N3939" s="64" t="n">
        <f aca="false">IF($H3939="",0,IFERROR(MATCH($H3939,GradeList,0),0))</f>
        <v>0</v>
      </c>
      <c r="O3939" s="64" t="n">
        <f aca="false">IF(OR($I3939="",$I3939="NR"),0,IFERROR(MATCH($I3939,GradeList,0),0))</f>
        <v>0</v>
      </c>
      <c r="P3939" s="64" t="n">
        <f aca="false">IF(AND($M3939&gt;0,ISNUMBER(MATCH($F3939,Lists!$A$2:$A$5,0)),ISNUMBER(MATCH($G3939,Lists!$B$2:$B$7,0)),OR($H3939="",$N3939&gt;0),OR($I3939="",$I3939="NR",$O3939&gt;0),IF(ISNUMBER($J3939),AND($J3939&gt;=0,$J3939=INT($J3939)),FALSE())),$J3939,0)</f>
        <v>0</v>
      </c>
      <c r="Q3939" s="64" t="n">
        <f aca="false">IF(AND($P3939&gt;0,$O3939&gt;0),$P3939,0)</f>
        <v>0</v>
      </c>
      <c r="R3939" s="64" t="n">
        <f aca="false">IF(AND($Q3939&gt;0,$O3939&gt;=AtRank),$Q3939,0)</f>
        <v>0</v>
      </c>
      <c r="S3939" s="64" t="n">
        <f aca="false">IF(AND($Q3939&gt;0,$O3939&gt;=AboveRank),$Q3939,0)</f>
        <v>0</v>
      </c>
      <c r="T3939" s="64" t="n">
        <f aca="false">IF($K3939="Less",$P3939,0)</f>
        <v>0</v>
      </c>
      <c r="U3939" s="64" t="n">
        <f aca="false">IF($K3939="Expected",$P3939,0)</f>
        <v>0</v>
      </c>
      <c r="V3939" s="64" t="n">
        <f aca="false">IF($K3939="Better",$P3939,0)</f>
        <v>0</v>
      </c>
      <c r="W3939" s="64" t="n">
        <f aca="false">IF($K3939="U – needs rule",$P3939,0)</f>
        <v>0</v>
      </c>
      <c r="X3939" s="64" t="n">
        <f aca="false">IF($K3939="No Start (attainment only)",$P3939,0)</f>
        <v>0</v>
      </c>
    </row>
    <row r="3940" customFormat="false" ht="15" hidden="false" customHeight="false" outlineLevel="0" collapsed="false">
      <c r="A3940" s="60"/>
      <c r="B3940" s="61" t="str">
        <f aca="false">IF($M3940=0,"",INDEX(Classes!$E$6:$E$420,$M3940))</f>
        <v/>
      </c>
      <c r="C3940" s="62" t="str">
        <f aca="false">IF($M3940=0,"",INDEX(Classes!$H$6:$H$420,$M3940))</f>
        <v/>
      </c>
      <c r="D3940" s="61" t="str">
        <f aca="false">IF($M3940=0,"",INDEX(Classes!$B$6:$B$420,$M3940))</f>
        <v/>
      </c>
      <c r="E3940" s="61" t="str">
        <f aca="false">IF($M3940=0,"",INDEX(Classes!$C$6:$C$420,$M3940))</f>
        <v/>
      </c>
      <c r="F3940" s="63"/>
      <c r="G3940" s="63"/>
      <c r="H3940" s="60"/>
      <c r="I3940" s="60"/>
      <c r="J3940" s="63"/>
      <c r="K3940" s="61" t="str">
        <f aca="false">IF($P3940=0,"",IF($F3940="Baseline","— Baseline",IF($O3940=0,"No result",IF($N3940=0,"No Start (attainment only)",IF(OR($N3940=1,$O3940=1),"U – needs rule",INDEX(MxBody,MATCH($I3940,MxCurr,0),MATCH($H3940,MxStart,0)))))))</f>
        <v/>
      </c>
      <c r="L3940" s="62" t="str">
        <f aca="false">IF(COUNTA($A3940,$F3940,$G3940,$H3940,$I3940,$J3940)=0,"",IF($M3940=0,"✖ كود الصف غير موجود",IF(ISNA(MATCH($F3940,Lists!$A$2:$A$5,0)),"✖ الفترة غير صحيحة",IF(ISNA(MATCH($G3940,Lists!$B$2:$B$7,0)),"✖ المجموعة غير صحيحة",IF(NOT(OR($H3940="",$N3940&gt;0)),"✖ Start غير صحيح",IF(NOT(OR($I3940="",$I3940="NR",$O3940&gt;0)),"✖ Current غير صحيح",IF(NOT(IF(ISNUMBER($J3940),AND($J3940&gt;=0,$J3940=INT($J3940)),FALSE())),"✖ العدد يجب أن يكون صحيحًا ≥ 0",IF(AND($F3940="Baseline",$H3940&lt;&gt;""),"⚠ Baseline: Start لا يدخل في التقدم",IF($K3940="No Start (attainment only)","ℹ تحصيل فقط (بدون Start)",IF($K3940="U – needs rule","ℹ حالة U تحتاج قاعدة معتمدة",IF($K3940="No result","ℹ بدون نتيجة (يُستبعد من التحصيل)","OK")))))))))))</f>
        <v/>
      </c>
      <c r="M3940" s="64" t="n">
        <f aca="false">IF($A3940="",0,IFERROR(MATCH($A3940,Classes!$A$6:$A$420,0),0))</f>
        <v>0</v>
      </c>
      <c r="N3940" s="64" t="n">
        <f aca="false">IF($H3940="",0,IFERROR(MATCH($H3940,GradeList,0),0))</f>
        <v>0</v>
      </c>
      <c r="O3940" s="64" t="n">
        <f aca="false">IF(OR($I3940="",$I3940="NR"),0,IFERROR(MATCH($I3940,GradeList,0),0))</f>
        <v>0</v>
      </c>
      <c r="P3940" s="64" t="n">
        <f aca="false">IF(AND($M3940&gt;0,ISNUMBER(MATCH($F3940,Lists!$A$2:$A$5,0)),ISNUMBER(MATCH($G3940,Lists!$B$2:$B$7,0)),OR($H3940="",$N3940&gt;0),OR($I3940="",$I3940="NR",$O3940&gt;0),IF(ISNUMBER($J3940),AND($J3940&gt;=0,$J3940=INT($J3940)),FALSE())),$J3940,0)</f>
        <v>0</v>
      </c>
      <c r="Q3940" s="64" t="n">
        <f aca="false">IF(AND($P3940&gt;0,$O3940&gt;0),$P3940,0)</f>
        <v>0</v>
      </c>
      <c r="R3940" s="64" t="n">
        <f aca="false">IF(AND($Q3940&gt;0,$O3940&gt;=AtRank),$Q3940,0)</f>
        <v>0</v>
      </c>
      <c r="S3940" s="64" t="n">
        <f aca="false">IF(AND($Q3940&gt;0,$O3940&gt;=AboveRank),$Q3940,0)</f>
        <v>0</v>
      </c>
      <c r="T3940" s="64" t="n">
        <f aca="false">IF($K3940="Less",$P3940,0)</f>
        <v>0</v>
      </c>
      <c r="U3940" s="64" t="n">
        <f aca="false">IF($K3940="Expected",$P3940,0)</f>
        <v>0</v>
      </c>
      <c r="V3940" s="64" t="n">
        <f aca="false">IF($K3940="Better",$P3940,0)</f>
        <v>0</v>
      </c>
      <c r="W3940" s="64" t="n">
        <f aca="false">IF($K3940="U – needs rule",$P3940,0)</f>
        <v>0</v>
      </c>
      <c r="X3940" s="64" t="n">
        <f aca="false">IF($K3940="No Start (attainment only)",$P3940,0)</f>
        <v>0</v>
      </c>
    </row>
    <row r="3941" customFormat="false" ht="15" hidden="false" customHeight="false" outlineLevel="0" collapsed="false">
      <c r="A3941" s="60"/>
      <c r="B3941" s="61" t="str">
        <f aca="false">IF($M3941=0,"",INDEX(Classes!$E$6:$E$420,$M3941))</f>
        <v/>
      </c>
      <c r="C3941" s="62" t="str">
        <f aca="false">IF($M3941=0,"",INDEX(Classes!$H$6:$H$420,$M3941))</f>
        <v/>
      </c>
      <c r="D3941" s="61" t="str">
        <f aca="false">IF($M3941=0,"",INDEX(Classes!$B$6:$B$420,$M3941))</f>
        <v/>
      </c>
      <c r="E3941" s="61" t="str">
        <f aca="false">IF($M3941=0,"",INDEX(Classes!$C$6:$C$420,$M3941))</f>
        <v/>
      </c>
      <c r="F3941" s="63"/>
      <c r="G3941" s="63"/>
      <c r="H3941" s="60"/>
      <c r="I3941" s="60"/>
      <c r="J3941" s="63"/>
      <c r="K3941" s="61" t="str">
        <f aca="false">IF($P3941=0,"",IF($F3941="Baseline","— Baseline",IF($O3941=0,"No result",IF($N3941=0,"No Start (attainment only)",IF(OR($N3941=1,$O3941=1),"U – needs rule",INDEX(MxBody,MATCH($I3941,MxCurr,0),MATCH($H3941,MxStart,0)))))))</f>
        <v/>
      </c>
      <c r="L3941" s="62" t="str">
        <f aca="false">IF(COUNTA($A3941,$F3941,$G3941,$H3941,$I3941,$J3941)=0,"",IF($M3941=0,"✖ كود الصف غير موجود",IF(ISNA(MATCH($F3941,Lists!$A$2:$A$5,0)),"✖ الفترة غير صحيحة",IF(ISNA(MATCH($G3941,Lists!$B$2:$B$7,0)),"✖ المجموعة غير صحيحة",IF(NOT(OR($H3941="",$N3941&gt;0)),"✖ Start غير صحيح",IF(NOT(OR($I3941="",$I3941="NR",$O3941&gt;0)),"✖ Current غير صحيح",IF(NOT(IF(ISNUMBER($J3941),AND($J3941&gt;=0,$J3941=INT($J3941)),FALSE())),"✖ العدد يجب أن يكون صحيحًا ≥ 0",IF(AND($F3941="Baseline",$H3941&lt;&gt;""),"⚠ Baseline: Start لا يدخل في التقدم",IF($K3941="No Start (attainment only)","ℹ تحصيل فقط (بدون Start)",IF($K3941="U – needs rule","ℹ حالة U تحتاج قاعدة معتمدة",IF($K3941="No result","ℹ بدون نتيجة (يُستبعد من التحصيل)","OK")))))))))))</f>
        <v/>
      </c>
      <c r="M3941" s="64" t="n">
        <f aca="false">IF($A3941="",0,IFERROR(MATCH($A3941,Classes!$A$6:$A$420,0),0))</f>
        <v>0</v>
      </c>
      <c r="N3941" s="64" t="n">
        <f aca="false">IF($H3941="",0,IFERROR(MATCH($H3941,GradeList,0),0))</f>
        <v>0</v>
      </c>
      <c r="O3941" s="64" t="n">
        <f aca="false">IF(OR($I3941="",$I3941="NR"),0,IFERROR(MATCH($I3941,GradeList,0),0))</f>
        <v>0</v>
      </c>
      <c r="P3941" s="64" t="n">
        <f aca="false">IF(AND($M3941&gt;0,ISNUMBER(MATCH($F3941,Lists!$A$2:$A$5,0)),ISNUMBER(MATCH($G3941,Lists!$B$2:$B$7,0)),OR($H3941="",$N3941&gt;0),OR($I3941="",$I3941="NR",$O3941&gt;0),IF(ISNUMBER($J3941),AND($J3941&gt;=0,$J3941=INT($J3941)),FALSE())),$J3941,0)</f>
        <v>0</v>
      </c>
      <c r="Q3941" s="64" t="n">
        <f aca="false">IF(AND($P3941&gt;0,$O3941&gt;0),$P3941,0)</f>
        <v>0</v>
      </c>
      <c r="R3941" s="64" t="n">
        <f aca="false">IF(AND($Q3941&gt;0,$O3941&gt;=AtRank),$Q3941,0)</f>
        <v>0</v>
      </c>
      <c r="S3941" s="64" t="n">
        <f aca="false">IF(AND($Q3941&gt;0,$O3941&gt;=AboveRank),$Q3941,0)</f>
        <v>0</v>
      </c>
      <c r="T3941" s="64" t="n">
        <f aca="false">IF($K3941="Less",$P3941,0)</f>
        <v>0</v>
      </c>
      <c r="U3941" s="64" t="n">
        <f aca="false">IF($K3941="Expected",$P3941,0)</f>
        <v>0</v>
      </c>
      <c r="V3941" s="64" t="n">
        <f aca="false">IF($K3941="Better",$P3941,0)</f>
        <v>0</v>
      </c>
      <c r="W3941" s="64" t="n">
        <f aca="false">IF($K3941="U – needs rule",$P3941,0)</f>
        <v>0</v>
      </c>
      <c r="X3941" s="64" t="n">
        <f aca="false">IF($K3941="No Start (attainment only)",$P3941,0)</f>
        <v>0</v>
      </c>
    </row>
    <row r="3942" customFormat="false" ht="15" hidden="false" customHeight="false" outlineLevel="0" collapsed="false">
      <c r="A3942" s="60"/>
      <c r="B3942" s="61" t="str">
        <f aca="false">IF($M3942=0,"",INDEX(Classes!$E$6:$E$420,$M3942))</f>
        <v/>
      </c>
      <c r="C3942" s="62" t="str">
        <f aca="false">IF($M3942=0,"",INDEX(Classes!$H$6:$H$420,$M3942))</f>
        <v/>
      </c>
      <c r="D3942" s="61" t="str">
        <f aca="false">IF($M3942=0,"",INDEX(Classes!$B$6:$B$420,$M3942))</f>
        <v/>
      </c>
      <c r="E3942" s="61" t="str">
        <f aca="false">IF($M3942=0,"",INDEX(Classes!$C$6:$C$420,$M3942))</f>
        <v/>
      </c>
      <c r="F3942" s="63"/>
      <c r="G3942" s="63"/>
      <c r="H3942" s="60"/>
      <c r="I3942" s="60"/>
      <c r="J3942" s="63"/>
      <c r="K3942" s="61" t="str">
        <f aca="false">IF($P3942=0,"",IF($F3942="Baseline","— Baseline",IF($O3942=0,"No result",IF($N3942=0,"No Start (attainment only)",IF(OR($N3942=1,$O3942=1),"U – needs rule",INDEX(MxBody,MATCH($I3942,MxCurr,0),MATCH($H3942,MxStart,0)))))))</f>
        <v/>
      </c>
      <c r="L3942" s="62" t="str">
        <f aca="false">IF(COUNTA($A3942,$F3942,$G3942,$H3942,$I3942,$J3942)=0,"",IF($M3942=0,"✖ كود الصف غير موجود",IF(ISNA(MATCH($F3942,Lists!$A$2:$A$5,0)),"✖ الفترة غير صحيحة",IF(ISNA(MATCH($G3942,Lists!$B$2:$B$7,0)),"✖ المجموعة غير صحيحة",IF(NOT(OR($H3942="",$N3942&gt;0)),"✖ Start غير صحيح",IF(NOT(OR($I3942="",$I3942="NR",$O3942&gt;0)),"✖ Current غير صحيح",IF(NOT(IF(ISNUMBER($J3942),AND($J3942&gt;=0,$J3942=INT($J3942)),FALSE())),"✖ العدد يجب أن يكون صحيحًا ≥ 0",IF(AND($F3942="Baseline",$H3942&lt;&gt;""),"⚠ Baseline: Start لا يدخل في التقدم",IF($K3942="No Start (attainment only)","ℹ تحصيل فقط (بدون Start)",IF($K3942="U – needs rule","ℹ حالة U تحتاج قاعدة معتمدة",IF($K3942="No result","ℹ بدون نتيجة (يُستبعد من التحصيل)","OK")))))))))))</f>
        <v/>
      </c>
      <c r="M3942" s="64" t="n">
        <f aca="false">IF($A3942="",0,IFERROR(MATCH($A3942,Classes!$A$6:$A$420,0),0))</f>
        <v>0</v>
      </c>
      <c r="N3942" s="64" t="n">
        <f aca="false">IF($H3942="",0,IFERROR(MATCH($H3942,GradeList,0),0))</f>
        <v>0</v>
      </c>
      <c r="O3942" s="64" t="n">
        <f aca="false">IF(OR($I3942="",$I3942="NR"),0,IFERROR(MATCH($I3942,GradeList,0),0))</f>
        <v>0</v>
      </c>
      <c r="P3942" s="64" t="n">
        <f aca="false">IF(AND($M3942&gt;0,ISNUMBER(MATCH($F3942,Lists!$A$2:$A$5,0)),ISNUMBER(MATCH($G3942,Lists!$B$2:$B$7,0)),OR($H3942="",$N3942&gt;0),OR($I3942="",$I3942="NR",$O3942&gt;0),IF(ISNUMBER($J3942),AND($J3942&gt;=0,$J3942=INT($J3942)),FALSE())),$J3942,0)</f>
        <v>0</v>
      </c>
      <c r="Q3942" s="64" t="n">
        <f aca="false">IF(AND($P3942&gt;0,$O3942&gt;0),$P3942,0)</f>
        <v>0</v>
      </c>
      <c r="R3942" s="64" t="n">
        <f aca="false">IF(AND($Q3942&gt;0,$O3942&gt;=AtRank),$Q3942,0)</f>
        <v>0</v>
      </c>
      <c r="S3942" s="64" t="n">
        <f aca="false">IF(AND($Q3942&gt;0,$O3942&gt;=AboveRank),$Q3942,0)</f>
        <v>0</v>
      </c>
      <c r="T3942" s="64" t="n">
        <f aca="false">IF($K3942="Less",$P3942,0)</f>
        <v>0</v>
      </c>
      <c r="U3942" s="64" t="n">
        <f aca="false">IF($K3942="Expected",$P3942,0)</f>
        <v>0</v>
      </c>
      <c r="V3942" s="64" t="n">
        <f aca="false">IF($K3942="Better",$P3942,0)</f>
        <v>0</v>
      </c>
      <c r="W3942" s="64" t="n">
        <f aca="false">IF($K3942="U – needs rule",$P3942,0)</f>
        <v>0</v>
      </c>
      <c r="X3942" s="64" t="n">
        <f aca="false">IF($K3942="No Start (attainment only)",$P3942,0)</f>
        <v>0</v>
      </c>
    </row>
    <row r="3943" customFormat="false" ht="15" hidden="false" customHeight="false" outlineLevel="0" collapsed="false">
      <c r="A3943" s="60"/>
      <c r="B3943" s="61" t="str">
        <f aca="false">IF($M3943=0,"",INDEX(Classes!$E$6:$E$420,$M3943))</f>
        <v/>
      </c>
      <c r="C3943" s="62" t="str">
        <f aca="false">IF($M3943=0,"",INDEX(Classes!$H$6:$H$420,$M3943))</f>
        <v/>
      </c>
      <c r="D3943" s="61" t="str">
        <f aca="false">IF($M3943=0,"",INDEX(Classes!$B$6:$B$420,$M3943))</f>
        <v/>
      </c>
      <c r="E3943" s="61" t="str">
        <f aca="false">IF($M3943=0,"",INDEX(Classes!$C$6:$C$420,$M3943))</f>
        <v/>
      </c>
      <c r="F3943" s="63"/>
      <c r="G3943" s="63"/>
      <c r="H3943" s="60"/>
      <c r="I3943" s="60"/>
      <c r="J3943" s="63"/>
      <c r="K3943" s="61" t="str">
        <f aca="false">IF($P3943=0,"",IF($F3943="Baseline","— Baseline",IF($O3943=0,"No result",IF($N3943=0,"No Start (attainment only)",IF(OR($N3943=1,$O3943=1),"U – needs rule",INDEX(MxBody,MATCH($I3943,MxCurr,0),MATCH($H3943,MxStart,0)))))))</f>
        <v/>
      </c>
      <c r="L3943" s="62" t="str">
        <f aca="false">IF(COUNTA($A3943,$F3943,$G3943,$H3943,$I3943,$J3943)=0,"",IF($M3943=0,"✖ كود الصف غير موجود",IF(ISNA(MATCH($F3943,Lists!$A$2:$A$5,0)),"✖ الفترة غير صحيحة",IF(ISNA(MATCH($G3943,Lists!$B$2:$B$7,0)),"✖ المجموعة غير صحيحة",IF(NOT(OR($H3943="",$N3943&gt;0)),"✖ Start غير صحيح",IF(NOT(OR($I3943="",$I3943="NR",$O3943&gt;0)),"✖ Current غير صحيح",IF(NOT(IF(ISNUMBER($J3943),AND($J3943&gt;=0,$J3943=INT($J3943)),FALSE())),"✖ العدد يجب أن يكون صحيحًا ≥ 0",IF(AND($F3943="Baseline",$H3943&lt;&gt;""),"⚠ Baseline: Start لا يدخل في التقدم",IF($K3943="No Start (attainment only)","ℹ تحصيل فقط (بدون Start)",IF($K3943="U – needs rule","ℹ حالة U تحتاج قاعدة معتمدة",IF($K3943="No result","ℹ بدون نتيجة (يُستبعد من التحصيل)","OK")))))))))))</f>
        <v/>
      </c>
      <c r="M3943" s="64" t="n">
        <f aca="false">IF($A3943="",0,IFERROR(MATCH($A3943,Classes!$A$6:$A$420,0),0))</f>
        <v>0</v>
      </c>
      <c r="N3943" s="64" t="n">
        <f aca="false">IF($H3943="",0,IFERROR(MATCH($H3943,GradeList,0),0))</f>
        <v>0</v>
      </c>
      <c r="O3943" s="64" t="n">
        <f aca="false">IF(OR($I3943="",$I3943="NR"),0,IFERROR(MATCH($I3943,GradeList,0),0))</f>
        <v>0</v>
      </c>
      <c r="P3943" s="64" t="n">
        <f aca="false">IF(AND($M3943&gt;0,ISNUMBER(MATCH($F3943,Lists!$A$2:$A$5,0)),ISNUMBER(MATCH($G3943,Lists!$B$2:$B$7,0)),OR($H3943="",$N3943&gt;0),OR($I3943="",$I3943="NR",$O3943&gt;0),IF(ISNUMBER($J3943),AND($J3943&gt;=0,$J3943=INT($J3943)),FALSE())),$J3943,0)</f>
        <v>0</v>
      </c>
      <c r="Q3943" s="64" t="n">
        <f aca="false">IF(AND($P3943&gt;0,$O3943&gt;0),$P3943,0)</f>
        <v>0</v>
      </c>
      <c r="R3943" s="64" t="n">
        <f aca="false">IF(AND($Q3943&gt;0,$O3943&gt;=AtRank),$Q3943,0)</f>
        <v>0</v>
      </c>
      <c r="S3943" s="64" t="n">
        <f aca="false">IF(AND($Q3943&gt;0,$O3943&gt;=AboveRank),$Q3943,0)</f>
        <v>0</v>
      </c>
      <c r="T3943" s="64" t="n">
        <f aca="false">IF($K3943="Less",$P3943,0)</f>
        <v>0</v>
      </c>
      <c r="U3943" s="64" t="n">
        <f aca="false">IF($K3943="Expected",$P3943,0)</f>
        <v>0</v>
      </c>
      <c r="V3943" s="64" t="n">
        <f aca="false">IF($K3943="Better",$P3943,0)</f>
        <v>0</v>
      </c>
      <c r="W3943" s="64" t="n">
        <f aca="false">IF($K3943="U – needs rule",$P3943,0)</f>
        <v>0</v>
      </c>
      <c r="X3943" s="64" t="n">
        <f aca="false">IF($K3943="No Start (attainment only)",$P3943,0)</f>
        <v>0</v>
      </c>
    </row>
    <row r="3944" customFormat="false" ht="15" hidden="false" customHeight="false" outlineLevel="0" collapsed="false">
      <c r="A3944" s="60"/>
      <c r="B3944" s="61" t="str">
        <f aca="false">IF($M3944=0,"",INDEX(Classes!$E$6:$E$420,$M3944))</f>
        <v/>
      </c>
      <c r="C3944" s="62" t="str">
        <f aca="false">IF($M3944=0,"",INDEX(Classes!$H$6:$H$420,$M3944))</f>
        <v/>
      </c>
      <c r="D3944" s="61" t="str">
        <f aca="false">IF($M3944=0,"",INDEX(Classes!$B$6:$B$420,$M3944))</f>
        <v/>
      </c>
      <c r="E3944" s="61" t="str">
        <f aca="false">IF($M3944=0,"",INDEX(Classes!$C$6:$C$420,$M3944))</f>
        <v/>
      </c>
      <c r="F3944" s="63"/>
      <c r="G3944" s="63"/>
      <c r="H3944" s="60"/>
      <c r="I3944" s="60"/>
      <c r="J3944" s="63"/>
      <c r="K3944" s="61" t="str">
        <f aca="false">IF($P3944=0,"",IF($F3944="Baseline","— Baseline",IF($O3944=0,"No result",IF($N3944=0,"No Start (attainment only)",IF(OR($N3944=1,$O3944=1),"U – needs rule",INDEX(MxBody,MATCH($I3944,MxCurr,0),MATCH($H3944,MxStart,0)))))))</f>
        <v/>
      </c>
      <c r="L3944" s="62" t="str">
        <f aca="false">IF(COUNTA($A3944,$F3944,$G3944,$H3944,$I3944,$J3944)=0,"",IF($M3944=0,"✖ كود الصف غير موجود",IF(ISNA(MATCH($F3944,Lists!$A$2:$A$5,0)),"✖ الفترة غير صحيحة",IF(ISNA(MATCH($G3944,Lists!$B$2:$B$7,0)),"✖ المجموعة غير صحيحة",IF(NOT(OR($H3944="",$N3944&gt;0)),"✖ Start غير صحيح",IF(NOT(OR($I3944="",$I3944="NR",$O3944&gt;0)),"✖ Current غير صحيح",IF(NOT(IF(ISNUMBER($J3944),AND($J3944&gt;=0,$J3944=INT($J3944)),FALSE())),"✖ العدد يجب أن يكون صحيحًا ≥ 0",IF(AND($F3944="Baseline",$H3944&lt;&gt;""),"⚠ Baseline: Start لا يدخل في التقدم",IF($K3944="No Start (attainment only)","ℹ تحصيل فقط (بدون Start)",IF($K3944="U – needs rule","ℹ حالة U تحتاج قاعدة معتمدة",IF($K3944="No result","ℹ بدون نتيجة (يُستبعد من التحصيل)","OK")))))))))))</f>
        <v/>
      </c>
      <c r="M3944" s="64" t="n">
        <f aca="false">IF($A3944="",0,IFERROR(MATCH($A3944,Classes!$A$6:$A$420,0),0))</f>
        <v>0</v>
      </c>
      <c r="N3944" s="64" t="n">
        <f aca="false">IF($H3944="",0,IFERROR(MATCH($H3944,GradeList,0),0))</f>
        <v>0</v>
      </c>
      <c r="O3944" s="64" t="n">
        <f aca="false">IF(OR($I3944="",$I3944="NR"),0,IFERROR(MATCH($I3944,GradeList,0),0))</f>
        <v>0</v>
      </c>
      <c r="P3944" s="64" t="n">
        <f aca="false">IF(AND($M3944&gt;0,ISNUMBER(MATCH($F3944,Lists!$A$2:$A$5,0)),ISNUMBER(MATCH($G3944,Lists!$B$2:$B$7,0)),OR($H3944="",$N3944&gt;0),OR($I3944="",$I3944="NR",$O3944&gt;0),IF(ISNUMBER($J3944),AND($J3944&gt;=0,$J3944=INT($J3944)),FALSE())),$J3944,0)</f>
        <v>0</v>
      </c>
      <c r="Q3944" s="64" t="n">
        <f aca="false">IF(AND($P3944&gt;0,$O3944&gt;0),$P3944,0)</f>
        <v>0</v>
      </c>
      <c r="R3944" s="64" t="n">
        <f aca="false">IF(AND($Q3944&gt;0,$O3944&gt;=AtRank),$Q3944,0)</f>
        <v>0</v>
      </c>
      <c r="S3944" s="64" t="n">
        <f aca="false">IF(AND($Q3944&gt;0,$O3944&gt;=AboveRank),$Q3944,0)</f>
        <v>0</v>
      </c>
      <c r="T3944" s="64" t="n">
        <f aca="false">IF($K3944="Less",$P3944,0)</f>
        <v>0</v>
      </c>
      <c r="U3944" s="64" t="n">
        <f aca="false">IF($K3944="Expected",$P3944,0)</f>
        <v>0</v>
      </c>
      <c r="V3944" s="64" t="n">
        <f aca="false">IF($K3944="Better",$P3944,0)</f>
        <v>0</v>
      </c>
      <c r="W3944" s="64" t="n">
        <f aca="false">IF($K3944="U – needs rule",$P3944,0)</f>
        <v>0</v>
      </c>
      <c r="X3944" s="64" t="n">
        <f aca="false">IF($K3944="No Start (attainment only)",$P3944,0)</f>
        <v>0</v>
      </c>
    </row>
    <row r="3945" customFormat="false" ht="15" hidden="false" customHeight="false" outlineLevel="0" collapsed="false">
      <c r="A3945" s="60"/>
      <c r="B3945" s="61" t="str">
        <f aca="false">IF($M3945=0,"",INDEX(Classes!$E$6:$E$420,$M3945))</f>
        <v/>
      </c>
      <c r="C3945" s="62" t="str">
        <f aca="false">IF($M3945=0,"",INDEX(Classes!$H$6:$H$420,$M3945))</f>
        <v/>
      </c>
      <c r="D3945" s="61" t="str">
        <f aca="false">IF($M3945=0,"",INDEX(Classes!$B$6:$B$420,$M3945))</f>
        <v/>
      </c>
      <c r="E3945" s="61" t="str">
        <f aca="false">IF($M3945=0,"",INDEX(Classes!$C$6:$C$420,$M3945))</f>
        <v/>
      </c>
      <c r="F3945" s="63"/>
      <c r="G3945" s="63"/>
      <c r="H3945" s="60"/>
      <c r="I3945" s="60"/>
      <c r="J3945" s="63"/>
      <c r="K3945" s="61" t="str">
        <f aca="false">IF($P3945=0,"",IF($F3945="Baseline","— Baseline",IF($O3945=0,"No result",IF($N3945=0,"No Start (attainment only)",IF(OR($N3945=1,$O3945=1),"U – needs rule",INDEX(MxBody,MATCH($I3945,MxCurr,0),MATCH($H3945,MxStart,0)))))))</f>
        <v/>
      </c>
      <c r="L3945" s="62" t="str">
        <f aca="false">IF(COUNTA($A3945,$F3945,$G3945,$H3945,$I3945,$J3945)=0,"",IF($M3945=0,"✖ كود الصف غير موجود",IF(ISNA(MATCH($F3945,Lists!$A$2:$A$5,0)),"✖ الفترة غير صحيحة",IF(ISNA(MATCH($G3945,Lists!$B$2:$B$7,0)),"✖ المجموعة غير صحيحة",IF(NOT(OR($H3945="",$N3945&gt;0)),"✖ Start غير صحيح",IF(NOT(OR($I3945="",$I3945="NR",$O3945&gt;0)),"✖ Current غير صحيح",IF(NOT(IF(ISNUMBER($J3945),AND($J3945&gt;=0,$J3945=INT($J3945)),FALSE())),"✖ العدد يجب أن يكون صحيحًا ≥ 0",IF(AND($F3945="Baseline",$H3945&lt;&gt;""),"⚠ Baseline: Start لا يدخل في التقدم",IF($K3945="No Start (attainment only)","ℹ تحصيل فقط (بدون Start)",IF($K3945="U – needs rule","ℹ حالة U تحتاج قاعدة معتمدة",IF($K3945="No result","ℹ بدون نتيجة (يُستبعد من التحصيل)","OK")))))))))))</f>
        <v/>
      </c>
      <c r="M3945" s="64" t="n">
        <f aca="false">IF($A3945="",0,IFERROR(MATCH($A3945,Classes!$A$6:$A$420,0),0))</f>
        <v>0</v>
      </c>
      <c r="N3945" s="64" t="n">
        <f aca="false">IF($H3945="",0,IFERROR(MATCH($H3945,GradeList,0),0))</f>
        <v>0</v>
      </c>
      <c r="O3945" s="64" t="n">
        <f aca="false">IF(OR($I3945="",$I3945="NR"),0,IFERROR(MATCH($I3945,GradeList,0),0))</f>
        <v>0</v>
      </c>
      <c r="P3945" s="64" t="n">
        <f aca="false">IF(AND($M3945&gt;0,ISNUMBER(MATCH($F3945,Lists!$A$2:$A$5,0)),ISNUMBER(MATCH($G3945,Lists!$B$2:$B$7,0)),OR($H3945="",$N3945&gt;0),OR($I3945="",$I3945="NR",$O3945&gt;0),IF(ISNUMBER($J3945),AND($J3945&gt;=0,$J3945=INT($J3945)),FALSE())),$J3945,0)</f>
        <v>0</v>
      </c>
      <c r="Q3945" s="64" t="n">
        <f aca="false">IF(AND($P3945&gt;0,$O3945&gt;0),$P3945,0)</f>
        <v>0</v>
      </c>
      <c r="R3945" s="64" t="n">
        <f aca="false">IF(AND($Q3945&gt;0,$O3945&gt;=AtRank),$Q3945,0)</f>
        <v>0</v>
      </c>
      <c r="S3945" s="64" t="n">
        <f aca="false">IF(AND($Q3945&gt;0,$O3945&gt;=AboveRank),$Q3945,0)</f>
        <v>0</v>
      </c>
      <c r="T3945" s="64" t="n">
        <f aca="false">IF($K3945="Less",$P3945,0)</f>
        <v>0</v>
      </c>
      <c r="U3945" s="64" t="n">
        <f aca="false">IF($K3945="Expected",$P3945,0)</f>
        <v>0</v>
      </c>
      <c r="V3945" s="64" t="n">
        <f aca="false">IF($K3945="Better",$P3945,0)</f>
        <v>0</v>
      </c>
      <c r="W3945" s="64" t="n">
        <f aca="false">IF($K3945="U – needs rule",$P3945,0)</f>
        <v>0</v>
      </c>
      <c r="X3945" s="64" t="n">
        <f aca="false">IF($K3945="No Start (attainment only)",$P3945,0)</f>
        <v>0</v>
      </c>
    </row>
    <row r="3946" customFormat="false" ht="15" hidden="false" customHeight="false" outlineLevel="0" collapsed="false">
      <c r="A3946" s="60"/>
      <c r="B3946" s="61" t="str">
        <f aca="false">IF($M3946=0,"",INDEX(Classes!$E$6:$E$420,$M3946))</f>
        <v/>
      </c>
      <c r="C3946" s="62" t="str">
        <f aca="false">IF($M3946=0,"",INDEX(Classes!$H$6:$H$420,$M3946))</f>
        <v/>
      </c>
      <c r="D3946" s="61" t="str">
        <f aca="false">IF($M3946=0,"",INDEX(Classes!$B$6:$B$420,$M3946))</f>
        <v/>
      </c>
      <c r="E3946" s="61" t="str">
        <f aca="false">IF($M3946=0,"",INDEX(Classes!$C$6:$C$420,$M3946))</f>
        <v/>
      </c>
      <c r="F3946" s="63"/>
      <c r="G3946" s="63"/>
      <c r="H3946" s="60"/>
      <c r="I3946" s="60"/>
      <c r="J3946" s="63"/>
      <c r="K3946" s="61" t="str">
        <f aca="false">IF($P3946=0,"",IF($F3946="Baseline","— Baseline",IF($O3946=0,"No result",IF($N3946=0,"No Start (attainment only)",IF(OR($N3946=1,$O3946=1),"U – needs rule",INDEX(MxBody,MATCH($I3946,MxCurr,0),MATCH($H3946,MxStart,0)))))))</f>
        <v/>
      </c>
      <c r="L3946" s="62" t="str">
        <f aca="false">IF(COUNTA($A3946,$F3946,$G3946,$H3946,$I3946,$J3946)=0,"",IF($M3946=0,"✖ كود الصف غير موجود",IF(ISNA(MATCH($F3946,Lists!$A$2:$A$5,0)),"✖ الفترة غير صحيحة",IF(ISNA(MATCH($G3946,Lists!$B$2:$B$7,0)),"✖ المجموعة غير صحيحة",IF(NOT(OR($H3946="",$N3946&gt;0)),"✖ Start غير صحيح",IF(NOT(OR($I3946="",$I3946="NR",$O3946&gt;0)),"✖ Current غير صحيح",IF(NOT(IF(ISNUMBER($J3946),AND($J3946&gt;=0,$J3946=INT($J3946)),FALSE())),"✖ العدد يجب أن يكون صحيحًا ≥ 0",IF(AND($F3946="Baseline",$H3946&lt;&gt;""),"⚠ Baseline: Start لا يدخل في التقدم",IF($K3946="No Start (attainment only)","ℹ تحصيل فقط (بدون Start)",IF($K3946="U – needs rule","ℹ حالة U تحتاج قاعدة معتمدة",IF($K3946="No result","ℹ بدون نتيجة (يُستبعد من التحصيل)","OK")))))))))))</f>
        <v/>
      </c>
      <c r="M3946" s="64" t="n">
        <f aca="false">IF($A3946="",0,IFERROR(MATCH($A3946,Classes!$A$6:$A$420,0),0))</f>
        <v>0</v>
      </c>
      <c r="N3946" s="64" t="n">
        <f aca="false">IF($H3946="",0,IFERROR(MATCH($H3946,GradeList,0),0))</f>
        <v>0</v>
      </c>
      <c r="O3946" s="64" t="n">
        <f aca="false">IF(OR($I3946="",$I3946="NR"),0,IFERROR(MATCH($I3946,GradeList,0),0))</f>
        <v>0</v>
      </c>
      <c r="P3946" s="64" t="n">
        <f aca="false">IF(AND($M3946&gt;0,ISNUMBER(MATCH($F3946,Lists!$A$2:$A$5,0)),ISNUMBER(MATCH($G3946,Lists!$B$2:$B$7,0)),OR($H3946="",$N3946&gt;0),OR($I3946="",$I3946="NR",$O3946&gt;0),IF(ISNUMBER($J3946),AND($J3946&gt;=0,$J3946=INT($J3946)),FALSE())),$J3946,0)</f>
        <v>0</v>
      </c>
      <c r="Q3946" s="64" t="n">
        <f aca="false">IF(AND($P3946&gt;0,$O3946&gt;0),$P3946,0)</f>
        <v>0</v>
      </c>
      <c r="R3946" s="64" t="n">
        <f aca="false">IF(AND($Q3946&gt;0,$O3946&gt;=AtRank),$Q3946,0)</f>
        <v>0</v>
      </c>
      <c r="S3946" s="64" t="n">
        <f aca="false">IF(AND($Q3946&gt;0,$O3946&gt;=AboveRank),$Q3946,0)</f>
        <v>0</v>
      </c>
      <c r="T3946" s="64" t="n">
        <f aca="false">IF($K3946="Less",$P3946,0)</f>
        <v>0</v>
      </c>
      <c r="U3946" s="64" t="n">
        <f aca="false">IF($K3946="Expected",$P3946,0)</f>
        <v>0</v>
      </c>
      <c r="V3946" s="64" t="n">
        <f aca="false">IF($K3946="Better",$P3946,0)</f>
        <v>0</v>
      </c>
      <c r="W3946" s="64" t="n">
        <f aca="false">IF($K3946="U – needs rule",$P3946,0)</f>
        <v>0</v>
      </c>
      <c r="X3946" s="64" t="n">
        <f aca="false">IF($K3946="No Start (attainment only)",$P3946,0)</f>
        <v>0</v>
      </c>
    </row>
    <row r="3947" customFormat="false" ht="15" hidden="false" customHeight="false" outlineLevel="0" collapsed="false">
      <c r="A3947" s="60"/>
      <c r="B3947" s="61" t="str">
        <f aca="false">IF($M3947=0,"",INDEX(Classes!$E$6:$E$420,$M3947))</f>
        <v/>
      </c>
      <c r="C3947" s="62" t="str">
        <f aca="false">IF($M3947=0,"",INDEX(Classes!$H$6:$H$420,$M3947))</f>
        <v/>
      </c>
      <c r="D3947" s="61" t="str">
        <f aca="false">IF($M3947=0,"",INDEX(Classes!$B$6:$B$420,$M3947))</f>
        <v/>
      </c>
      <c r="E3947" s="61" t="str">
        <f aca="false">IF($M3947=0,"",INDEX(Classes!$C$6:$C$420,$M3947))</f>
        <v/>
      </c>
      <c r="F3947" s="63"/>
      <c r="G3947" s="63"/>
      <c r="H3947" s="60"/>
      <c r="I3947" s="60"/>
      <c r="J3947" s="63"/>
      <c r="K3947" s="61" t="str">
        <f aca="false">IF($P3947=0,"",IF($F3947="Baseline","— Baseline",IF($O3947=0,"No result",IF($N3947=0,"No Start (attainment only)",IF(OR($N3947=1,$O3947=1),"U – needs rule",INDEX(MxBody,MATCH($I3947,MxCurr,0),MATCH($H3947,MxStart,0)))))))</f>
        <v/>
      </c>
      <c r="L3947" s="62" t="str">
        <f aca="false">IF(COUNTA($A3947,$F3947,$G3947,$H3947,$I3947,$J3947)=0,"",IF($M3947=0,"✖ كود الصف غير موجود",IF(ISNA(MATCH($F3947,Lists!$A$2:$A$5,0)),"✖ الفترة غير صحيحة",IF(ISNA(MATCH($G3947,Lists!$B$2:$B$7,0)),"✖ المجموعة غير صحيحة",IF(NOT(OR($H3947="",$N3947&gt;0)),"✖ Start غير صحيح",IF(NOT(OR($I3947="",$I3947="NR",$O3947&gt;0)),"✖ Current غير صحيح",IF(NOT(IF(ISNUMBER($J3947),AND($J3947&gt;=0,$J3947=INT($J3947)),FALSE())),"✖ العدد يجب أن يكون صحيحًا ≥ 0",IF(AND($F3947="Baseline",$H3947&lt;&gt;""),"⚠ Baseline: Start لا يدخل في التقدم",IF($K3947="No Start (attainment only)","ℹ تحصيل فقط (بدون Start)",IF($K3947="U – needs rule","ℹ حالة U تحتاج قاعدة معتمدة",IF($K3947="No result","ℹ بدون نتيجة (يُستبعد من التحصيل)","OK")))))))))))</f>
        <v/>
      </c>
      <c r="M3947" s="64" t="n">
        <f aca="false">IF($A3947="",0,IFERROR(MATCH($A3947,Classes!$A$6:$A$420,0),0))</f>
        <v>0</v>
      </c>
      <c r="N3947" s="64" t="n">
        <f aca="false">IF($H3947="",0,IFERROR(MATCH($H3947,GradeList,0),0))</f>
        <v>0</v>
      </c>
      <c r="O3947" s="64" t="n">
        <f aca="false">IF(OR($I3947="",$I3947="NR"),0,IFERROR(MATCH($I3947,GradeList,0),0))</f>
        <v>0</v>
      </c>
      <c r="P3947" s="64" t="n">
        <f aca="false">IF(AND($M3947&gt;0,ISNUMBER(MATCH($F3947,Lists!$A$2:$A$5,0)),ISNUMBER(MATCH($G3947,Lists!$B$2:$B$7,0)),OR($H3947="",$N3947&gt;0),OR($I3947="",$I3947="NR",$O3947&gt;0),IF(ISNUMBER($J3947),AND($J3947&gt;=0,$J3947=INT($J3947)),FALSE())),$J3947,0)</f>
        <v>0</v>
      </c>
      <c r="Q3947" s="64" t="n">
        <f aca="false">IF(AND($P3947&gt;0,$O3947&gt;0),$P3947,0)</f>
        <v>0</v>
      </c>
      <c r="R3947" s="64" t="n">
        <f aca="false">IF(AND($Q3947&gt;0,$O3947&gt;=AtRank),$Q3947,0)</f>
        <v>0</v>
      </c>
      <c r="S3947" s="64" t="n">
        <f aca="false">IF(AND($Q3947&gt;0,$O3947&gt;=AboveRank),$Q3947,0)</f>
        <v>0</v>
      </c>
      <c r="T3947" s="64" t="n">
        <f aca="false">IF($K3947="Less",$P3947,0)</f>
        <v>0</v>
      </c>
      <c r="U3947" s="64" t="n">
        <f aca="false">IF($K3947="Expected",$P3947,0)</f>
        <v>0</v>
      </c>
      <c r="V3947" s="64" t="n">
        <f aca="false">IF($K3947="Better",$P3947,0)</f>
        <v>0</v>
      </c>
      <c r="W3947" s="64" t="n">
        <f aca="false">IF($K3947="U – needs rule",$P3947,0)</f>
        <v>0</v>
      </c>
      <c r="X3947" s="64" t="n">
        <f aca="false">IF($K3947="No Start (attainment only)",$P3947,0)</f>
        <v>0</v>
      </c>
    </row>
    <row r="3948" customFormat="false" ht="15" hidden="false" customHeight="false" outlineLevel="0" collapsed="false">
      <c r="A3948" s="60"/>
      <c r="B3948" s="61" t="str">
        <f aca="false">IF($M3948=0,"",INDEX(Classes!$E$6:$E$420,$M3948))</f>
        <v/>
      </c>
      <c r="C3948" s="62" t="str">
        <f aca="false">IF($M3948=0,"",INDEX(Classes!$H$6:$H$420,$M3948))</f>
        <v/>
      </c>
      <c r="D3948" s="61" t="str">
        <f aca="false">IF($M3948=0,"",INDEX(Classes!$B$6:$B$420,$M3948))</f>
        <v/>
      </c>
      <c r="E3948" s="61" t="str">
        <f aca="false">IF($M3948=0,"",INDEX(Classes!$C$6:$C$420,$M3948))</f>
        <v/>
      </c>
      <c r="F3948" s="63"/>
      <c r="G3948" s="63"/>
      <c r="H3948" s="60"/>
      <c r="I3948" s="60"/>
      <c r="J3948" s="63"/>
      <c r="K3948" s="61" t="str">
        <f aca="false">IF($P3948=0,"",IF($F3948="Baseline","— Baseline",IF($O3948=0,"No result",IF($N3948=0,"No Start (attainment only)",IF(OR($N3948=1,$O3948=1),"U – needs rule",INDEX(MxBody,MATCH($I3948,MxCurr,0),MATCH($H3948,MxStart,0)))))))</f>
        <v/>
      </c>
      <c r="L3948" s="62" t="str">
        <f aca="false">IF(COUNTA($A3948,$F3948,$G3948,$H3948,$I3948,$J3948)=0,"",IF($M3948=0,"✖ كود الصف غير موجود",IF(ISNA(MATCH($F3948,Lists!$A$2:$A$5,0)),"✖ الفترة غير صحيحة",IF(ISNA(MATCH($G3948,Lists!$B$2:$B$7,0)),"✖ المجموعة غير صحيحة",IF(NOT(OR($H3948="",$N3948&gt;0)),"✖ Start غير صحيح",IF(NOT(OR($I3948="",$I3948="NR",$O3948&gt;0)),"✖ Current غير صحيح",IF(NOT(IF(ISNUMBER($J3948),AND($J3948&gt;=0,$J3948=INT($J3948)),FALSE())),"✖ العدد يجب أن يكون صحيحًا ≥ 0",IF(AND($F3948="Baseline",$H3948&lt;&gt;""),"⚠ Baseline: Start لا يدخل في التقدم",IF($K3948="No Start (attainment only)","ℹ تحصيل فقط (بدون Start)",IF($K3948="U – needs rule","ℹ حالة U تحتاج قاعدة معتمدة",IF($K3948="No result","ℹ بدون نتيجة (يُستبعد من التحصيل)","OK")))))))))))</f>
        <v/>
      </c>
      <c r="M3948" s="64" t="n">
        <f aca="false">IF($A3948="",0,IFERROR(MATCH($A3948,Classes!$A$6:$A$420,0),0))</f>
        <v>0</v>
      </c>
      <c r="N3948" s="64" t="n">
        <f aca="false">IF($H3948="",0,IFERROR(MATCH($H3948,GradeList,0),0))</f>
        <v>0</v>
      </c>
      <c r="O3948" s="64" t="n">
        <f aca="false">IF(OR($I3948="",$I3948="NR"),0,IFERROR(MATCH($I3948,GradeList,0),0))</f>
        <v>0</v>
      </c>
      <c r="P3948" s="64" t="n">
        <f aca="false">IF(AND($M3948&gt;0,ISNUMBER(MATCH($F3948,Lists!$A$2:$A$5,0)),ISNUMBER(MATCH($G3948,Lists!$B$2:$B$7,0)),OR($H3948="",$N3948&gt;0),OR($I3948="",$I3948="NR",$O3948&gt;0),IF(ISNUMBER($J3948),AND($J3948&gt;=0,$J3948=INT($J3948)),FALSE())),$J3948,0)</f>
        <v>0</v>
      </c>
      <c r="Q3948" s="64" t="n">
        <f aca="false">IF(AND($P3948&gt;0,$O3948&gt;0),$P3948,0)</f>
        <v>0</v>
      </c>
      <c r="R3948" s="64" t="n">
        <f aca="false">IF(AND($Q3948&gt;0,$O3948&gt;=AtRank),$Q3948,0)</f>
        <v>0</v>
      </c>
      <c r="S3948" s="64" t="n">
        <f aca="false">IF(AND($Q3948&gt;0,$O3948&gt;=AboveRank),$Q3948,0)</f>
        <v>0</v>
      </c>
      <c r="T3948" s="64" t="n">
        <f aca="false">IF($K3948="Less",$P3948,0)</f>
        <v>0</v>
      </c>
      <c r="U3948" s="64" t="n">
        <f aca="false">IF($K3948="Expected",$P3948,0)</f>
        <v>0</v>
      </c>
      <c r="V3948" s="64" t="n">
        <f aca="false">IF($K3948="Better",$P3948,0)</f>
        <v>0</v>
      </c>
      <c r="W3948" s="64" t="n">
        <f aca="false">IF($K3948="U – needs rule",$P3948,0)</f>
        <v>0</v>
      </c>
      <c r="X3948" s="64" t="n">
        <f aca="false">IF($K3948="No Start (attainment only)",$P3948,0)</f>
        <v>0</v>
      </c>
    </row>
    <row r="3949" customFormat="false" ht="15" hidden="false" customHeight="false" outlineLevel="0" collapsed="false">
      <c r="A3949" s="60"/>
      <c r="B3949" s="61" t="str">
        <f aca="false">IF($M3949=0,"",INDEX(Classes!$E$6:$E$420,$M3949))</f>
        <v/>
      </c>
      <c r="C3949" s="62" t="str">
        <f aca="false">IF($M3949=0,"",INDEX(Classes!$H$6:$H$420,$M3949))</f>
        <v/>
      </c>
      <c r="D3949" s="61" t="str">
        <f aca="false">IF($M3949=0,"",INDEX(Classes!$B$6:$B$420,$M3949))</f>
        <v/>
      </c>
      <c r="E3949" s="61" t="str">
        <f aca="false">IF($M3949=0,"",INDEX(Classes!$C$6:$C$420,$M3949))</f>
        <v/>
      </c>
      <c r="F3949" s="63"/>
      <c r="G3949" s="63"/>
      <c r="H3949" s="60"/>
      <c r="I3949" s="60"/>
      <c r="J3949" s="63"/>
      <c r="K3949" s="61" t="str">
        <f aca="false">IF($P3949=0,"",IF($F3949="Baseline","— Baseline",IF($O3949=0,"No result",IF($N3949=0,"No Start (attainment only)",IF(OR($N3949=1,$O3949=1),"U – needs rule",INDEX(MxBody,MATCH($I3949,MxCurr,0),MATCH($H3949,MxStart,0)))))))</f>
        <v/>
      </c>
      <c r="L3949" s="62" t="str">
        <f aca="false">IF(COUNTA($A3949,$F3949,$G3949,$H3949,$I3949,$J3949)=0,"",IF($M3949=0,"✖ كود الصف غير موجود",IF(ISNA(MATCH($F3949,Lists!$A$2:$A$5,0)),"✖ الفترة غير صحيحة",IF(ISNA(MATCH($G3949,Lists!$B$2:$B$7,0)),"✖ المجموعة غير صحيحة",IF(NOT(OR($H3949="",$N3949&gt;0)),"✖ Start غير صحيح",IF(NOT(OR($I3949="",$I3949="NR",$O3949&gt;0)),"✖ Current غير صحيح",IF(NOT(IF(ISNUMBER($J3949),AND($J3949&gt;=0,$J3949=INT($J3949)),FALSE())),"✖ العدد يجب أن يكون صحيحًا ≥ 0",IF(AND($F3949="Baseline",$H3949&lt;&gt;""),"⚠ Baseline: Start لا يدخل في التقدم",IF($K3949="No Start (attainment only)","ℹ تحصيل فقط (بدون Start)",IF($K3949="U – needs rule","ℹ حالة U تحتاج قاعدة معتمدة",IF($K3949="No result","ℹ بدون نتيجة (يُستبعد من التحصيل)","OK")))))))))))</f>
        <v/>
      </c>
      <c r="M3949" s="64" t="n">
        <f aca="false">IF($A3949="",0,IFERROR(MATCH($A3949,Classes!$A$6:$A$420,0),0))</f>
        <v>0</v>
      </c>
      <c r="N3949" s="64" t="n">
        <f aca="false">IF($H3949="",0,IFERROR(MATCH($H3949,GradeList,0),0))</f>
        <v>0</v>
      </c>
      <c r="O3949" s="64" t="n">
        <f aca="false">IF(OR($I3949="",$I3949="NR"),0,IFERROR(MATCH($I3949,GradeList,0),0))</f>
        <v>0</v>
      </c>
      <c r="P3949" s="64" t="n">
        <f aca="false">IF(AND($M3949&gt;0,ISNUMBER(MATCH($F3949,Lists!$A$2:$A$5,0)),ISNUMBER(MATCH($G3949,Lists!$B$2:$B$7,0)),OR($H3949="",$N3949&gt;0),OR($I3949="",$I3949="NR",$O3949&gt;0),IF(ISNUMBER($J3949),AND($J3949&gt;=0,$J3949=INT($J3949)),FALSE())),$J3949,0)</f>
        <v>0</v>
      </c>
      <c r="Q3949" s="64" t="n">
        <f aca="false">IF(AND($P3949&gt;0,$O3949&gt;0),$P3949,0)</f>
        <v>0</v>
      </c>
      <c r="R3949" s="64" t="n">
        <f aca="false">IF(AND($Q3949&gt;0,$O3949&gt;=AtRank),$Q3949,0)</f>
        <v>0</v>
      </c>
      <c r="S3949" s="64" t="n">
        <f aca="false">IF(AND($Q3949&gt;0,$O3949&gt;=AboveRank),$Q3949,0)</f>
        <v>0</v>
      </c>
      <c r="T3949" s="64" t="n">
        <f aca="false">IF($K3949="Less",$P3949,0)</f>
        <v>0</v>
      </c>
      <c r="U3949" s="64" t="n">
        <f aca="false">IF($K3949="Expected",$P3949,0)</f>
        <v>0</v>
      </c>
      <c r="V3949" s="64" t="n">
        <f aca="false">IF($K3949="Better",$P3949,0)</f>
        <v>0</v>
      </c>
      <c r="W3949" s="64" t="n">
        <f aca="false">IF($K3949="U – needs rule",$P3949,0)</f>
        <v>0</v>
      </c>
      <c r="X3949" s="64" t="n">
        <f aca="false">IF($K3949="No Start (attainment only)",$P3949,0)</f>
        <v>0</v>
      </c>
    </row>
    <row r="3950" customFormat="false" ht="15" hidden="false" customHeight="false" outlineLevel="0" collapsed="false">
      <c r="A3950" s="60"/>
      <c r="B3950" s="61" t="str">
        <f aca="false">IF($M3950=0,"",INDEX(Classes!$E$6:$E$420,$M3950))</f>
        <v/>
      </c>
      <c r="C3950" s="62" t="str">
        <f aca="false">IF($M3950=0,"",INDEX(Classes!$H$6:$H$420,$M3950))</f>
        <v/>
      </c>
      <c r="D3950" s="61" t="str">
        <f aca="false">IF($M3950=0,"",INDEX(Classes!$B$6:$B$420,$M3950))</f>
        <v/>
      </c>
      <c r="E3950" s="61" t="str">
        <f aca="false">IF($M3950=0,"",INDEX(Classes!$C$6:$C$420,$M3950))</f>
        <v/>
      </c>
      <c r="F3950" s="63"/>
      <c r="G3950" s="63"/>
      <c r="H3950" s="60"/>
      <c r="I3950" s="60"/>
      <c r="J3950" s="63"/>
      <c r="K3950" s="61" t="str">
        <f aca="false">IF($P3950=0,"",IF($F3950="Baseline","— Baseline",IF($O3950=0,"No result",IF($N3950=0,"No Start (attainment only)",IF(OR($N3950=1,$O3950=1),"U – needs rule",INDEX(MxBody,MATCH($I3950,MxCurr,0),MATCH($H3950,MxStart,0)))))))</f>
        <v/>
      </c>
      <c r="L3950" s="62" t="str">
        <f aca="false">IF(COUNTA($A3950,$F3950,$G3950,$H3950,$I3950,$J3950)=0,"",IF($M3950=0,"✖ كود الصف غير موجود",IF(ISNA(MATCH($F3950,Lists!$A$2:$A$5,0)),"✖ الفترة غير صحيحة",IF(ISNA(MATCH($G3950,Lists!$B$2:$B$7,0)),"✖ المجموعة غير صحيحة",IF(NOT(OR($H3950="",$N3950&gt;0)),"✖ Start غير صحيح",IF(NOT(OR($I3950="",$I3950="NR",$O3950&gt;0)),"✖ Current غير صحيح",IF(NOT(IF(ISNUMBER($J3950),AND($J3950&gt;=0,$J3950=INT($J3950)),FALSE())),"✖ العدد يجب أن يكون صحيحًا ≥ 0",IF(AND($F3950="Baseline",$H3950&lt;&gt;""),"⚠ Baseline: Start لا يدخل في التقدم",IF($K3950="No Start (attainment only)","ℹ تحصيل فقط (بدون Start)",IF($K3950="U – needs rule","ℹ حالة U تحتاج قاعدة معتمدة",IF($K3950="No result","ℹ بدون نتيجة (يُستبعد من التحصيل)","OK")))))))))))</f>
        <v/>
      </c>
      <c r="M3950" s="64" t="n">
        <f aca="false">IF($A3950="",0,IFERROR(MATCH($A3950,Classes!$A$6:$A$420,0),0))</f>
        <v>0</v>
      </c>
      <c r="N3950" s="64" t="n">
        <f aca="false">IF($H3950="",0,IFERROR(MATCH($H3950,GradeList,0),0))</f>
        <v>0</v>
      </c>
      <c r="O3950" s="64" t="n">
        <f aca="false">IF(OR($I3950="",$I3950="NR"),0,IFERROR(MATCH($I3950,GradeList,0),0))</f>
        <v>0</v>
      </c>
      <c r="P3950" s="64" t="n">
        <f aca="false">IF(AND($M3950&gt;0,ISNUMBER(MATCH($F3950,Lists!$A$2:$A$5,0)),ISNUMBER(MATCH($G3950,Lists!$B$2:$B$7,0)),OR($H3950="",$N3950&gt;0),OR($I3950="",$I3950="NR",$O3950&gt;0),IF(ISNUMBER($J3950),AND($J3950&gt;=0,$J3950=INT($J3950)),FALSE())),$J3950,0)</f>
        <v>0</v>
      </c>
      <c r="Q3950" s="64" t="n">
        <f aca="false">IF(AND($P3950&gt;0,$O3950&gt;0),$P3950,0)</f>
        <v>0</v>
      </c>
      <c r="R3950" s="64" t="n">
        <f aca="false">IF(AND($Q3950&gt;0,$O3950&gt;=AtRank),$Q3950,0)</f>
        <v>0</v>
      </c>
      <c r="S3950" s="64" t="n">
        <f aca="false">IF(AND($Q3950&gt;0,$O3950&gt;=AboveRank),$Q3950,0)</f>
        <v>0</v>
      </c>
      <c r="T3950" s="64" t="n">
        <f aca="false">IF($K3950="Less",$P3950,0)</f>
        <v>0</v>
      </c>
      <c r="U3950" s="64" t="n">
        <f aca="false">IF($K3950="Expected",$P3950,0)</f>
        <v>0</v>
      </c>
      <c r="V3950" s="64" t="n">
        <f aca="false">IF($K3950="Better",$P3950,0)</f>
        <v>0</v>
      </c>
      <c r="W3950" s="64" t="n">
        <f aca="false">IF($K3950="U – needs rule",$P3950,0)</f>
        <v>0</v>
      </c>
      <c r="X3950" s="64" t="n">
        <f aca="false">IF($K3950="No Start (attainment only)",$P3950,0)</f>
        <v>0</v>
      </c>
    </row>
    <row r="3951" customFormat="false" ht="15" hidden="false" customHeight="false" outlineLevel="0" collapsed="false">
      <c r="A3951" s="60"/>
      <c r="B3951" s="61" t="str">
        <f aca="false">IF($M3951=0,"",INDEX(Classes!$E$6:$E$420,$M3951))</f>
        <v/>
      </c>
      <c r="C3951" s="62" t="str">
        <f aca="false">IF($M3951=0,"",INDEX(Classes!$H$6:$H$420,$M3951))</f>
        <v/>
      </c>
      <c r="D3951" s="61" t="str">
        <f aca="false">IF($M3951=0,"",INDEX(Classes!$B$6:$B$420,$M3951))</f>
        <v/>
      </c>
      <c r="E3951" s="61" t="str">
        <f aca="false">IF($M3951=0,"",INDEX(Classes!$C$6:$C$420,$M3951))</f>
        <v/>
      </c>
      <c r="F3951" s="63"/>
      <c r="G3951" s="63"/>
      <c r="H3951" s="60"/>
      <c r="I3951" s="60"/>
      <c r="J3951" s="63"/>
      <c r="K3951" s="61" t="str">
        <f aca="false">IF($P3951=0,"",IF($F3951="Baseline","— Baseline",IF($O3951=0,"No result",IF($N3951=0,"No Start (attainment only)",IF(OR($N3951=1,$O3951=1),"U – needs rule",INDEX(MxBody,MATCH($I3951,MxCurr,0),MATCH($H3951,MxStart,0)))))))</f>
        <v/>
      </c>
      <c r="L3951" s="62" t="str">
        <f aca="false">IF(COUNTA($A3951,$F3951,$G3951,$H3951,$I3951,$J3951)=0,"",IF($M3951=0,"✖ كود الصف غير موجود",IF(ISNA(MATCH($F3951,Lists!$A$2:$A$5,0)),"✖ الفترة غير صحيحة",IF(ISNA(MATCH($G3951,Lists!$B$2:$B$7,0)),"✖ المجموعة غير صحيحة",IF(NOT(OR($H3951="",$N3951&gt;0)),"✖ Start غير صحيح",IF(NOT(OR($I3951="",$I3951="NR",$O3951&gt;0)),"✖ Current غير صحيح",IF(NOT(IF(ISNUMBER($J3951),AND($J3951&gt;=0,$J3951=INT($J3951)),FALSE())),"✖ العدد يجب أن يكون صحيحًا ≥ 0",IF(AND($F3951="Baseline",$H3951&lt;&gt;""),"⚠ Baseline: Start لا يدخل في التقدم",IF($K3951="No Start (attainment only)","ℹ تحصيل فقط (بدون Start)",IF($K3951="U – needs rule","ℹ حالة U تحتاج قاعدة معتمدة",IF($K3951="No result","ℹ بدون نتيجة (يُستبعد من التحصيل)","OK")))))))))))</f>
        <v/>
      </c>
      <c r="M3951" s="64" t="n">
        <f aca="false">IF($A3951="",0,IFERROR(MATCH($A3951,Classes!$A$6:$A$420,0),0))</f>
        <v>0</v>
      </c>
      <c r="N3951" s="64" t="n">
        <f aca="false">IF($H3951="",0,IFERROR(MATCH($H3951,GradeList,0),0))</f>
        <v>0</v>
      </c>
      <c r="O3951" s="64" t="n">
        <f aca="false">IF(OR($I3951="",$I3951="NR"),0,IFERROR(MATCH($I3951,GradeList,0),0))</f>
        <v>0</v>
      </c>
      <c r="P3951" s="64" t="n">
        <f aca="false">IF(AND($M3951&gt;0,ISNUMBER(MATCH($F3951,Lists!$A$2:$A$5,0)),ISNUMBER(MATCH($G3951,Lists!$B$2:$B$7,0)),OR($H3951="",$N3951&gt;0),OR($I3951="",$I3951="NR",$O3951&gt;0),IF(ISNUMBER($J3951),AND($J3951&gt;=0,$J3951=INT($J3951)),FALSE())),$J3951,0)</f>
        <v>0</v>
      </c>
      <c r="Q3951" s="64" t="n">
        <f aca="false">IF(AND($P3951&gt;0,$O3951&gt;0),$P3951,0)</f>
        <v>0</v>
      </c>
      <c r="R3951" s="64" t="n">
        <f aca="false">IF(AND($Q3951&gt;0,$O3951&gt;=AtRank),$Q3951,0)</f>
        <v>0</v>
      </c>
      <c r="S3951" s="64" t="n">
        <f aca="false">IF(AND($Q3951&gt;0,$O3951&gt;=AboveRank),$Q3951,0)</f>
        <v>0</v>
      </c>
      <c r="T3951" s="64" t="n">
        <f aca="false">IF($K3951="Less",$P3951,0)</f>
        <v>0</v>
      </c>
      <c r="U3951" s="64" t="n">
        <f aca="false">IF($K3951="Expected",$P3951,0)</f>
        <v>0</v>
      </c>
      <c r="V3951" s="64" t="n">
        <f aca="false">IF($K3951="Better",$P3951,0)</f>
        <v>0</v>
      </c>
      <c r="W3951" s="64" t="n">
        <f aca="false">IF($K3951="U – needs rule",$P3951,0)</f>
        <v>0</v>
      </c>
      <c r="X3951" s="64" t="n">
        <f aca="false">IF($K3951="No Start (attainment only)",$P3951,0)</f>
        <v>0</v>
      </c>
    </row>
    <row r="3952" customFormat="false" ht="15" hidden="false" customHeight="false" outlineLevel="0" collapsed="false">
      <c r="A3952" s="60"/>
      <c r="B3952" s="61" t="str">
        <f aca="false">IF($M3952=0,"",INDEX(Classes!$E$6:$E$420,$M3952))</f>
        <v/>
      </c>
      <c r="C3952" s="62" t="str">
        <f aca="false">IF($M3952=0,"",INDEX(Classes!$H$6:$H$420,$M3952))</f>
        <v/>
      </c>
      <c r="D3952" s="61" t="str">
        <f aca="false">IF($M3952=0,"",INDEX(Classes!$B$6:$B$420,$M3952))</f>
        <v/>
      </c>
      <c r="E3952" s="61" t="str">
        <f aca="false">IF($M3952=0,"",INDEX(Classes!$C$6:$C$420,$M3952))</f>
        <v/>
      </c>
      <c r="F3952" s="63"/>
      <c r="G3952" s="63"/>
      <c r="H3952" s="60"/>
      <c r="I3952" s="60"/>
      <c r="J3952" s="63"/>
      <c r="K3952" s="61" t="str">
        <f aca="false">IF($P3952=0,"",IF($F3952="Baseline","— Baseline",IF($O3952=0,"No result",IF($N3952=0,"No Start (attainment only)",IF(OR($N3952=1,$O3952=1),"U – needs rule",INDEX(MxBody,MATCH($I3952,MxCurr,0),MATCH($H3952,MxStart,0)))))))</f>
        <v/>
      </c>
      <c r="L3952" s="62" t="str">
        <f aca="false">IF(COUNTA($A3952,$F3952,$G3952,$H3952,$I3952,$J3952)=0,"",IF($M3952=0,"✖ كود الصف غير موجود",IF(ISNA(MATCH($F3952,Lists!$A$2:$A$5,0)),"✖ الفترة غير صحيحة",IF(ISNA(MATCH($G3952,Lists!$B$2:$B$7,0)),"✖ المجموعة غير صحيحة",IF(NOT(OR($H3952="",$N3952&gt;0)),"✖ Start غير صحيح",IF(NOT(OR($I3952="",$I3952="NR",$O3952&gt;0)),"✖ Current غير صحيح",IF(NOT(IF(ISNUMBER($J3952),AND($J3952&gt;=0,$J3952=INT($J3952)),FALSE())),"✖ العدد يجب أن يكون صحيحًا ≥ 0",IF(AND($F3952="Baseline",$H3952&lt;&gt;""),"⚠ Baseline: Start لا يدخل في التقدم",IF($K3952="No Start (attainment only)","ℹ تحصيل فقط (بدون Start)",IF($K3952="U – needs rule","ℹ حالة U تحتاج قاعدة معتمدة",IF($K3952="No result","ℹ بدون نتيجة (يُستبعد من التحصيل)","OK")))))))))))</f>
        <v/>
      </c>
      <c r="M3952" s="64" t="n">
        <f aca="false">IF($A3952="",0,IFERROR(MATCH($A3952,Classes!$A$6:$A$420,0),0))</f>
        <v>0</v>
      </c>
      <c r="N3952" s="64" t="n">
        <f aca="false">IF($H3952="",0,IFERROR(MATCH($H3952,GradeList,0),0))</f>
        <v>0</v>
      </c>
      <c r="O3952" s="64" t="n">
        <f aca="false">IF(OR($I3952="",$I3952="NR"),0,IFERROR(MATCH($I3952,GradeList,0),0))</f>
        <v>0</v>
      </c>
      <c r="P3952" s="64" t="n">
        <f aca="false">IF(AND($M3952&gt;0,ISNUMBER(MATCH($F3952,Lists!$A$2:$A$5,0)),ISNUMBER(MATCH($G3952,Lists!$B$2:$B$7,0)),OR($H3952="",$N3952&gt;0),OR($I3952="",$I3952="NR",$O3952&gt;0),IF(ISNUMBER($J3952),AND($J3952&gt;=0,$J3952=INT($J3952)),FALSE())),$J3952,0)</f>
        <v>0</v>
      </c>
      <c r="Q3952" s="64" t="n">
        <f aca="false">IF(AND($P3952&gt;0,$O3952&gt;0),$P3952,0)</f>
        <v>0</v>
      </c>
      <c r="R3952" s="64" t="n">
        <f aca="false">IF(AND($Q3952&gt;0,$O3952&gt;=AtRank),$Q3952,0)</f>
        <v>0</v>
      </c>
      <c r="S3952" s="64" t="n">
        <f aca="false">IF(AND($Q3952&gt;0,$O3952&gt;=AboveRank),$Q3952,0)</f>
        <v>0</v>
      </c>
      <c r="T3952" s="64" t="n">
        <f aca="false">IF($K3952="Less",$P3952,0)</f>
        <v>0</v>
      </c>
      <c r="U3952" s="64" t="n">
        <f aca="false">IF($K3952="Expected",$P3952,0)</f>
        <v>0</v>
      </c>
      <c r="V3952" s="64" t="n">
        <f aca="false">IF($K3952="Better",$P3952,0)</f>
        <v>0</v>
      </c>
      <c r="W3952" s="64" t="n">
        <f aca="false">IF($K3952="U – needs rule",$P3952,0)</f>
        <v>0</v>
      </c>
      <c r="X3952" s="64" t="n">
        <f aca="false">IF($K3952="No Start (attainment only)",$P3952,0)</f>
        <v>0</v>
      </c>
    </row>
    <row r="3953" customFormat="false" ht="15" hidden="false" customHeight="false" outlineLevel="0" collapsed="false">
      <c r="A3953" s="60"/>
      <c r="B3953" s="61" t="str">
        <f aca="false">IF($M3953=0,"",INDEX(Classes!$E$6:$E$420,$M3953))</f>
        <v/>
      </c>
      <c r="C3953" s="62" t="str">
        <f aca="false">IF($M3953=0,"",INDEX(Classes!$H$6:$H$420,$M3953))</f>
        <v/>
      </c>
      <c r="D3953" s="61" t="str">
        <f aca="false">IF($M3953=0,"",INDEX(Classes!$B$6:$B$420,$M3953))</f>
        <v/>
      </c>
      <c r="E3953" s="61" t="str">
        <f aca="false">IF($M3953=0,"",INDEX(Classes!$C$6:$C$420,$M3953))</f>
        <v/>
      </c>
      <c r="F3953" s="63"/>
      <c r="G3953" s="63"/>
      <c r="H3953" s="60"/>
      <c r="I3953" s="60"/>
      <c r="J3953" s="63"/>
      <c r="K3953" s="61" t="str">
        <f aca="false">IF($P3953=0,"",IF($F3953="Baseline","— Baseline",IF($O3953=0,"No result",IF($N3953=0,"No Start (attainment only)",IF(OR($N3953=1,$O3953=1),"U – needs rule",INDEX(MxBody,MATCH($I3953,MxCurr,0),MATCH($H3953,MxStart,0)))))))</f>
        <v/>
      </c>
      <c r="L3953" s="62" t="str">
        <f aca="false">IF(COUNTA($A3953,$F3953,$G3953,$H3953,$I3953,$J3953)=0,"",IF($M3953=0,"✖ كود الصف غير موجود",IF(ISNA(MATCH($F3953,Lists!$A$2:$A$5,0)),"✖ الفترة غير صحيحة",IF(ISNA(MATCH($G3953,Lists!$B$2:$B$7,0)),"✖ المجموعة غير صحيحة",IF(NOT(OR($H3953="",$N3953&gt;0)),"✖ Start غير صحيح",IF(NOT(OR($I3953="",$I3953="NR",$O3953&gt;0)),"✖ Current غير صحيح",IF(NOT(IF(ISNUMBER($J3953),AND($J3953&gt;=0,$J3953=INT($J3953)),FALSE())),"✖ العدد يجب أن يكون صحيحًا ≥ 0",IF(AND($F3953="Baseline",$H3953&lt;&gt;""),"⚠ Baseline: Start لا يدخل في التقدم",IF($K3953="No Start (attainment only)","ℹ تحصيل فقط (بدون Start)",IF($K3953="U – needs rule","ℹ حالة U تحتاج قاعدة معتمدة",IF($K3953="No result","ℹ بدون نتيجة (يُستبعد من التحصيل)","OK")))))))))))</f>
        <v/>
      </c>
      <c r="M3953" s="64" t="n">
        <f aca="false">IF($A3953="",0,IFERROR(MATCH($A3953,Classes!$A$6:$A$420,0),0))</f>
        <v>0</v>
      </c>
      <c r="N3953" s="64" t="n">
        <f aca="false">IF($H3953="",0,IFERROR(MATCH($H3953,GradeList,0),0))</f>
        <v>0</v>
      </c>
      <c r="O3953" s="64" t="n">
        <f aca="false">IF(OR($I3953="",$I3953="NR"),0,IFERROR(MATCH($I3953,GradeList,0),0))</f>
        <v>0</v>
      </c>
      <c r="P3953" s="64" t="n">
        <f aca="false">IF(AND($M3953&gt;0,ISNUMBER(MATCH($F3953,Lists!$A$2:$A$5,0)),ISNUMBER(MATCH($G3953,Lists!$B$2:$B$7,0)),OR($H3953="",$N3953&gt;0),OR($I3953="",$I3953="NR",$O3953&gt;0),IF(ISNUMBER($J3953),AND($J3953&gt;=0,$J3953=INT($J3953)),FALSE())),$J3953,0)</f>
        <v>0</v>
      </c>
      <c r="Q3953" s="64" t="n">
        <f aca="false">IF(AND($P3953&gt;0,$O3953&gt;0),$P3953,0)</f>
        <v>0</v>
      </c>
      <c r="R3953" s="64" t="n">
        <f aca="false">IF(AND($Q3953&gt;0,$O3953&gt;=AtRank),$Q3953,0)</f>
        <v>0</v>
      </c>
      <c r="S3953" s="64" t="n">
        <f aca="false">IF(AND($Q3953&gt;0,$O3953&gt;=AboveRank),$Q3953,0)</f>
        <v>0</v>
      </c>
      <c r="T3953" s="64" t="n">
        <f aca="false">IF($K3953="Less",$P3953,0)</f>
        <v>0</v>
      </c>
      <c r="U3953" s="64" t="n">
        <f aca="false">IF($K3953="Expected",$P3953,0)</f>
        <v>0</v>
      </c>
      <c r="V3953" s="64" t="n">
        <f aca="false">IF($K3953="Better",$P3953,0)</f>
        <v>0</v>
      </c>
      <c r="W3953" s="64" t="n">
        <f aca="false">IF($K3953="U – needs rule",$P3953,0)</f>
        <v>0</v>
      </c>
      <c r="X3953" s="64" t="n">
        <f aca="false">IF($K3953="No Start (attainment only)",$P3953,0)</f>
        <v>0</v>
      </c>
    </row>
    <row r="3954" customFormat="false" ht="15" hidden="false" customHeight="false" outlineLevel="0" collapsed="false">
      <c r="A3954" s="60"/>
      <c r="B3954" s="61" t="str">
        <f aca="false">IF($M3954=0,"",INDEX(Classes!$E$6:$E$420,$M3954))</f>
        <v/>
      </c>
      <c r="C3954" s="62" t="str">
        <f aca="false">IF($M3954=0,"",INDEX(Classes!$H$6:$H$420,$M3954))</f>
        <v/>
      </c>
      <c r="D3954" s="61" t="str">
        <f aca="false">IF($M3954=0,"",INDEX(Classes!$B$6:$B$420,$M3954))</f>
        <v/>
      </c>
      <c r="E3954" s="61" t="str">
        <f aca="false">IF($M3954=0,"",INDEX(Classes!$C$6:$C$420,$M3954))</f>
        <v/>
      </c>
      <c r="F3954" s="63"/>
      <c r="G3954" s="63"/>
      <c r="H3954" s="60"/>
      <c r="I3954" s="60"/>
      <c r="J3954" s="63"/>
      <c r="K3954" s="61" t="str">
        <f aca="false">IF($P3954=0,"",IF($F3954="Baseline","— Baseline",IF($O3954=0,"No result",IF($N3954=0,"No Start (attainment only)",IF(OR($N3954=1,$O3954=1),"U – needs rule",INDEX(MxBody,MATCH($I3954,MxCurr,0),MATCH($H3954,MxStart,0)))))))</f>
        <v/>
      </c>
      <c r="L3954" s="62" t="str">
        <f aca="false">IF(COUNTA($A3954,$F3954,$G3954,$H3954,$I3954,$J3954)=0,"",IF($M3954=0,"✖ كود الصف غير موجود",IF(ISNA(MATCH($F3954,Lists!$A$2:$A$5,0)),"✖ الفترة غير صحيحة",IF(ISNA(MATCH($G3954,Lists!$B$2:$B$7,0)),"✖ المجموعة غير صحيحة",IF(NOT(OR($H3954="",$N3954&gt;0)),"✖ Start غير صحيح",IF(NOT(OR($I3954="",$I3954="NR",$O3954&gt;0)),"✖ Current غير صحيح",IF(NOT(IF(ISNUMBER($J3954),AND($J3954&gt;=0,$J3954=INT($J3954)),FALSE())),"✖ العدد يجب أن يكون صحيحًا ≥ 0",IF(AND($F3954="Baseline",$H3954&lt;&gt;""),"⚠ Baseline: Start لا يدخل في التقدم",IF($K3954="No Start (attainment only)","ℹ تحصيل فقط (بدون Start)",IF($K3954="U – needs rule","ℹ حالة U تحتاج قاعدة معتمدة",IF($K3954="No result","ℹ بدون نتيجة (يُستبعد من التحصيل)","OK")))))))))))</f>
        <v/>
      </c>
      <c r="M3954" s="64" t="n">
        <f aca="false">IF($A3954="",0,IFERROR(MATCH($A3954,Classes!$A$6:$A$420,0),0))</f>
        <v>0</v>
      </c>
      <c r="N3954" s="64" t="n">
        <f aca="false">IF($H3954="",0,IFERROR(MATCH($H3954,GradeList,0),0))</f>
        <v>0</v>
      </c>
      <c r="O3954" s="64" t="n">
        <f aca="false">IF(OR($I3954="",$I3954="NR"),0,IFERROR(MATCH($I3954,GradeList,0),0))</f>
        <v>0</v>
      </c>
      <c r="P3954" s="64" t="n">
        <f aca="false">IF(AND($M3954&gt;0,ISNUMBER(MATCH($F3954,Lists!$A$2:$A$5,0)),ISNUMBER(MATCH($G3954,Lists!$B$2:$B$7,0)),OR($H3954="",$N3954&gt;0),OR($I3954="",$I3954="NR",$O3954&gt;0),IF(ISNUMBER($J3954),AND($J3954&gt;=0,$J3954=INT($J3954)),FALSE())),$J3954,0)</f>
        <v>0</v>
      </c>
      <c r="Q3954" s="64" t="n">
        <f aca="false">IF(AND($P3954&gt;0,$O3954&gt;0),$P3954,0)</f>
        <v>0</v>
      </c>
      <c r="R3954" s="64" t="n">
        <f aca="false">IF(AND($Q3954&gt;0,$O3954&gt;=AtRank),$Q3954,0)</f>
        <v>0</v>
      </c>
      <c r="S3954" s="64" t="n">
        <f aca="false">IF(AND($Q3954&gt;0,$O3954&gt;=AboveRank),$Q3954,0)</f>
        <v>0</v>
      </c>
      <c r="T3954" s="64" t="n">
        <f aca="false">IF($K3954="Less",$P3954,0)</f>
        <v>0</v>
      </c>
      <c r="U3954" s="64" t="n">
        <f aca="false">IF($K3954="Expected",$P3954,0)</f>
        <v>0</v>
      </c>
      <c r="V3954" s="64" t="n">
        <f aca="false">IF($K3954="Better",$P3954,0)</f>
        <v>0</v>
      </c>
      <c r="W3954" s="64" t="n">
        <f aca="false">IF($K3954="U – needs rule",$P3954,0)</f>
        <v>0</v>
      </c>
      <c r="X3954" s="64" t="n">
        <f aca="false">IF($K3954="No Start (attainment only)",$P3954,0)</f>
        <v>0</v>
      </c>
    </row>
    <row r="3955" customFormat="false" ht="15" hidden="false" customHeight="false" outlineLevel="0" collapsed="false">
      <c r="A3955" s="60"/>
      <c r="B3955" s="61" t="str">
        <f aca="false">IF($M3955=0,"",INDEX(Classes!$E$6:$E$420,$M3955))</f>
        <v/>
      </c>
      <c r="C3955" s="62" t="str">
        <f aca="false">IF($M3955=0,"",INDEX(Classes!$H$6:$H$420,$M3955))</f>
        <v/>
      </c>
      <c r="D3955" s="61" t="str">
        <f aca="false">IF($M3955=0,"",INDEX(Classes!$B$6:$B$420,$M3955))</f>
        <v/>
      </c>
      <c r="E3955" s="61" t="str">
        <f aca="false">IF($M3955=0,"",INDEX(Classes!$C$6:$C$420,$M3955))</f>
        <v/>
      </c>
      <c r="F3955" s="63"/>
      <c r="G3955" s="63"/>
      <c r="H3955" s="60"/>
      <c r="I3955" s="60"/>
      <c r="J3955" s="63"/>
      <c r="K3955" s="61" t="str">
        <f aca="false">IF($P3955=0,"",IF($F3955="Baseline","— Baseline",IF($O3955=0,"No result",IF($N3955=0,"No Start (attainment only)",IF(OR($N3955=1,$O3955=1),"U – needs rule",INDEX(MxBody,MATCH($I3955,MxCurr,0),MATCH($H3955,MxStart,0)))))))</f>
        <v/>
      </c>
      <c r="L3955" s="62" t="str">
        <f aca="false">IF(COUNTA($A3955,$F3955,$G3955,$H3955,$I3955,$J3955)=0,"",IF($M3955=0,"✖ كود الصف غير موجود",IF(ISNA(MATCH($F3955,Lists!$A$2:$A$5,0)),"✖ الفترة غير صحيحة",IF(ISNA(MATCH($G3955,Lists!$B$2:$B$7,0)),"✖ المجموعة غير صحيحة",IF(NOT(OR($H3955="",$N3955&gt;0)),"✖ Start غير صحيح",IF(NOT(OR($I3955="",$I3955="NR",$O3955&gt;0)),"✖ Current غير صحيح",IF(NOT(IF(ISNUMBER($J3955),AND($J3955&gt;=0,$J3955=INT($J3955)),FALSE())),"✖ العدد يجب أن يكون صحيحًا ≥ 0",IF(AND($F3955="Baseline",$H3955&lt;&gt;""),"⚠ Baseline: Start لا يدخل في التقدم",IF($K3955="No Start (attainment only)","ℹ تحصيل فقط (بدون Start)",IF($K3955="U – needs rule","ℹ حالة U تحتاج قاعدة معتمدة",IF($K3955="No result","ℹ بدون نتيجة (يُستبعد من التحصيل)","OK")))))))))))</f>
        <v/>
      </c>
      <c r="M3955" s="64" t="n">
        <f aca="false">IF($A3955="",0,IFERROR(MATCH($A3955,Classes!$A$6:$A$420,0),0))</f>
        <v>0</v>
      </c>
      <c r="N3955" s="64" t="n">
        <f aca="false">IF($H3955="",0,IFERROR(MATCH($H3955,GradeList,0),0))</f>
        <v>0</v>
      </c>
      <c r="O3955" s="64" t="n">
        <f aca="false">IF(OR($I3955="",$I3955="NR"),0,IFERROR(MATCH($I3955,GradeList,0),0))</f>
        <v>0</v>
      </c>
      <c r="P3955" s="64" t="n">
        <f aca="false">IF(AND($M3955&gt;0,ISNUMBER(MATCH($F3955,Lists!$A$2:$A$5,0)),ISNUMBER(MATCH($G3955,Lists!$B$2:$B$7,0)),OR($H3955="",$N3955&gt;0),OR($I3955="",$I3955="NR",$O3955&gt;0),IF(ISNUMBER($J3955),AND($J3955&gt;=0,$J3955=INT($J3955)),FALSE())),$J3955,0)</f>
        <v>0</v>
      </c>
      <c r="Q3955" s="64" t="n">
        <f aca="false">IF(AND($P3955&gt;0,$O3955&gt;0),$P3955,0)</f>
        <v>0</v>
      </c>
      <c r="R3955" s="64" t="n">
        <f aca="false">IF(AND($Q3955&gt;0,$O3955&gt;=AtRank),$Q3955,0)</f>
        <v>0</v>
      </c>
      <c r="S3955" s="64" t="n">
        <f aca="false">IF(AND($Q3955&gt;0,$O3955&gt;=AboveRank),$Q3955,0)</f>
        <v>0</v>
      </c>
      <c r="T3955" s="64" t="n">
        <f aca="false">IF($K3955="Less",$P3955,0)</f>
        <v>0</v>
      </c>
      <c r="U3955" s="64" t="n">
        <f aca="false">IF($K3955="Expected",$P3955,0)</f>
        <v>0</v>
      </c>
      <c r="V3955" s="64" t="n">
        <f aca="false">IF($K3955="Better",$P3955,0)</f>
        <v>0</v>
      </c>
      <c r="W3955" s="64" t="n">
        <f aca="false">IF($K3955="U – needs rule",$P3955,0)</f>
        <v>0</v>
      </c>
      <c r="X3955" s="64" t="n">
        <f aca="false">IF($K3955="No Start (attainment only)",$P3955,0)</f>
        <v>0</v>
      </c>
    </row>
    <row r="3956" customFormat="false" ht="15" hidden="false" customHeight="false" outlineLevel="0" collapsed="false">
      <c r="A3956" s="60"/>
      <c r="B3956" s="61" t="str">
        <f aca="false">IF($M3956=0,"",INDEX(Classes!$E$6:$E$420,$M3956))</f>
        <v/>
      </c>
      <c r="C3956" s="62" t="str">
        <f aca="false">IF($M3956=0,"",INDEX(Classes!$H$6:$H$420,$M3956))</f>
        <v/>
      </c>
      <c r="D3956" s="61" t="str">
        <f aca="false">IF($M3956=0,"",INDEX(Classes!$B$6:$B$420,$M3956))</f>
        <v/>
      </c>
      <c r="E3956" s="61" t="str">
        <f aca="false">IF($M3956=0,"",INDEX(Classes!$C$6:$C$420,$M3956))</f>
        <v/>
      </c>
      <c r="F3956" s="63"/>
      <c r="G3956" s="63"/>
      <c r="H3956" s="60"/>
      <c r="I3956" s="60"/>
      <c r="J3956" s="63"/>
      <c r="K3956" s="61" t="str">
        <f aca="false">IF($P3956=0,"",IF($F3956="Baseline","— Baseline",IF($O3956=0,"No result",IF($N3956=0,"No Start (attainment only)",IF(OR($N3956=1,$O3956=1),"U – needs rule",INDEX(MxBody,MATCH($I3956,MxCurr,0),MATCH($H3956,MxStart,0)))))))</f>
        <v/>
      </c>
      <c r="L3956" s="62" t="str">
        <f aca="false">IF(COUNTA($A3956,$F3956,$G3956,$H3956,$I3956,$J3956)=0,"",IF($M3956=0,"✖ كود الصف غير موجود",IF(ISNA(MATCH($F3956,Lists!$A$2:$A$5,0)),"✖ الفترة غير صحيحة",IF(ISNA(MATCH($G3956,Lists!$B$2:$B$7,0)),"✖ المجموعة غير صحيحة",IF(NOT(OR($H3956="",$N3956&gt;0)),"✖ Start غير صحيح",IF(NOT(OR($I3956="",$I3956="NR",$O3956&gt;0)),"✖ Current غير صحيح",IF(NOT(IF(ISNUMBER($J3956),AND($J3956&gt;=0,$J3956=INT($J3956)),FALSE())),"✖ العدد يجب أن يكون صحيحًا ≥ 0",IF(AND($F3956="Baseline",$H3956&lt;&gt;""),"⚠ Baseline: Start لا يدخل في التقدم",IF($K3956="No Start (attainment only)","ℹ تحصيل فقط (بدون Start)",IF($K3956="U – needs rule","ℹ حالة U تحتاج قاعدة معتمدة",IF($K3956="No result","ℹ بدون نتيجة (يُستبعد من التحصيل)","OK")))))))))))</f>
        <v/>
      </c>
      <c r="M3956" s="64" t="n">
        <f aca="false">IF($A3956="",0,IFERROR(MATCH($A3956,Classes!$A$6:$A$420,0),0))</f>
        <v>0</v>
      </c>
      <c r="N3956" s="64" t="n">
        <f aca="false">IF($H3956="",0,IFERROR(MATCH($H3956,GradeList,0),0))</f>
        <v>0</v>
      </c>
      <c r="O3956" s="64" t="n">
        <f aca="false">IF(OR($I3956="",$I3956="NR"),0,IFERROR(MATCH($I3956,GradeList,0),0))</f>
        <v>0</v>
      </c>
      <c r="P3956" s="64" t="n">
        <f aca="false">IF(AND($M3956&gt;0,ISNUMBER(MATCH($F3956,Lists!$A$2:$A$5,0)),ISNUMBER(MATCH($G3956,Lists!$B$2:$B$7,0)),OR($H3956="",$N3956&gt;0),OR($I3956="",$I3956="NR",$O3956&gt;0),IF(ISNUMBER($J3956),AND($J3956&gt;=0,$J3956=INT($J3956)),FALSE())),$J3956,0)</f>
        <v>0</v>
      </c>
      <c r="Q3956" s="64" t="n">
        <f aca="false">IF(AND($P3956&gt;0,$O3956&gt;0),$P3956,0)</f>
        <v>0</v>
      </c>
      <c r="R3956" s="64" t="n">
        <f aca="false">IF(AND($Q3956&gt;0,$O3956&gt;=AtRank),$Q3956,0)</f>
        <v>0</v>
      </c>
      <c r="S3956" s="64" t="n">
        <f aca="false">IF(AND($Q3956&gt;0,$O3956&gt;=AboveRank),$Q3956,0)</f>
        <v>0</v>
      </c>
      <c r="T3956" s="64" t="n">
        <f aca="false">IF($K3956="Less",$P3956,0)</f>
        <v>0</v>
      </c>
      <c r="U3956" s="64" t="n">
        <f aca="false">IF($K3956="Expected",$P3956,0)</f>
        <v>0</v>
      </c>
      <c r="V3956" s="64" t="n">
        <f aca="false">IF($K3956="Better",$P3956,0)</f>
        <v>0</v>
      </c>
      <c r="W3956" s="64" t="n">
        <f aca="false">IF($K3956="U – needs rule",$P3956,0)</f>
        <v>0</v>
      </c>
      <c r="X3956" s="64" t="n">
        <f aca="false">IF($K3956="No Start (attainment only)",$P3956,0)</f>
        <v>0</v>
      </c>
    </row>
    <row r="3957" customFormat="false" ht="15" hidden="false" customHeight="false" outlineLevel="0" collapsed="false">
      <c r="A3957" s="60"/>
      <c r="B3957" s="61" t="str">
        <f aca="false">IF($M3957=0,"",INDEX(Classes!$E$6:$E$420,$M3957))</f>
        <v/>
      </c>
      <c r="C3957" s="62" t="str">
        <f aca="false">IF($M3957=0,"",INDEX(Classes!$H$6:$H$420,$M3957))</f>
        <v/>
      </c>
      <c r="D3957" s="61" t="str">
        <f aca="false">IF($M3957=0,"",INDEX(Classes!$B$6:$B$420,$M3957))</f>
        <v/>
      </c>
      <c r="E3957" s="61" t="str">
        <f aca="false">IF($M3957=0,"",INDEX(Classes!$C$6:$C$420,$M3957))</f>
        <v/>
      </c>
      <c r="F3957" s="63"/>
      <c r="G3957" s="63"/>
      <c r="H3957" s="60"/>
      <c r="I3957" s="60"/>
      <c r="J3957" s="63"/>
      <c r="K3957" s="61" t="str">
        <f aca="false">IF($P3957=0,"",IF($F3957="Baseline","— Baseline",IF($O3957=0,"No result",IF($N3957=0,"No Start (attainment only)",IF(OR($N3957=1,$O3957=1),"U – needs rule",INDEX(MxBody,MATCH($I3957,MxCurr,0),MATCH($H3957,MxStart,0)))))))</f>
        <v/>
      </c>
      <c r="L3957" s="62" t="str">
        <f aca="false">IF(COUNTA($A3957,$F3957,$G3957,$H3957,$I3957,$J3957)=0,"",IF($M3957=0,"✖ كود الصف غير موجود",IF(ISNA(MATCH($F3957,Lists!$A$2:$A$5,0)),"✖ الفترة غير صحيحة",IF(ISNA(MATCH($G3957,Lists!$B$2:$B$7,0)),"✖ المجموعة غير صحيحة",IF(NOT(OR($H3957="",$N3957&gt;0)),"✖ Start غير صحيح",IF(NOT(OR($I3957="",$I3957="NR",$O3957&gt;0)),"✖ Current غير صحيح",IF(NOT(IF(ISNUMBER($J3957),AND($J3957&gt;=0,$J3957=INT($J3957)),FALSE())),"✖ العدد يجب أن يكون صحيحًا ≥ 0",IF(AND($F3957="Baseline",$H3957&lt;&gt;""),"⚠ Baseline: Start لا يدخل في التقدم",IF($K3957="No Start (attainment only)","ℹ تحصيل فقط (بدون Start)",IF($K3957="U – needs rule","ℹ حالة U تحتاج قاعدة معتمدة",IF($K3957="No result","ℹ بدون نتيجة (يُستبعد من التحصيل)","OK")))))))))))</f>
        <v/>
      </c>
      <c r="M3957" s="64" t="n">
        <f aca="false">IF($A3957="",0,IFERROR(MATCH($A3957,Classes!$A$6:$A$420,0),0))</f>
        <v>0</v>
      </c>
      <c r="N3957" s="64" t="n">
        <f aca="false">IF($H3957="",0,IFERROR(MATCH($H3957,GradeList,0),0))</f>
        <v>0</v>
      </c>
      <c r="O3957" s="64" t="n">
        <f aca="false">IF(OR($I3957="",$I3957="NR"),0,IFERROR(MATCH($I3957,GradeList,0),0))</f>
        <v>0</v>
      </c>
      <c r="P3957" s="64" t="n">
        <f aca="false">IF(AND($M3957&gt;0,ISNUMBER(MATCH($F3957,Lists!$A$2:$A$5,0)),ISNUMBER(MATCH($G3957,Lists!$B$2:$B$7,0)),OR($H3957="",$N3957&gt;0),OR($I3957="",$I3957="NR",$O3957&gt;0),IF(ISNUMBER($J3957),AND($J3957&gt;=0,$J3957=INT($J3957)),FALSE())),$J3957,0)</f>
        <v>0</v>
      </c>
      <c r="Q3957" s="64" t="n">
        <f aca="false">IF(AND($P3957&gt;0,$O3957&gt;0),$P3957,0)</f>
        <v>0</v>
      </c>
      <c r="R3957" s="64" t="n">
        <f aca="false">IF(AND($Q3957&gt;0,$O3957&gt;=AtRank),$Q3957,0)</f>
        <v>0</v>
      </c>
      <c r="S3957" s="64" t="n">
        <f aca="false">IF(AND($Q3957&gt;0,$O3957&gt;=AboveRank),$Q3957,0)</f>
        <v>0</v>
      </c>
      <c r="T3957" s="64" t="n">
        <f aca="false">IF($K3957="Less",$P3957,0)</f>
        <v>0</v>
      </c>
      <c r="U3957" s="64" t="n">
        <f aca="false">IF($K3957="Expected",$P3957,0)</f>
        <v>0</v>
      </c>
      <c r="V3957" s="64" t="n">
        <f aca="false">IF($K3957="Better",$P3957,0)</f>
        <v>0</v>
      </c>
      <c r="W3957" s="64" t="n">
        <f aca="false">IF($K3957="U – needs rule",$P3957,0)</f>
        <v>0</v>
      </c>
      <c r="X3957" s="64" t="n">
        <f aca="false">IF($K3957="No Start (attainment only)",$P3957,0)</f>
        <v>0</v>
      </c>
    </row>
    <row r="3958" customFormat="false" ht="15" hidden="false" customHeight="false" outlineLevel="0" collapsed="false">
      <c r="A3958" s="60"/>
      <c r="B3958" s="61" t="str">
        <f aca="false">IF($M3958=0,"",INDEX(Classes!$E$6:$E$420,$M3958))</f>
        <v/>
      </c>
      <c r="C3958" s="62" t="str">
        <f aca="false">IF($M3958=0,"",INDEX(Classes!$H$6:$H$420,$M3958))</f>
        <v/>
      </c>
      <c r="D3958" s="61" t="str">
        <f aca="false">IF($M3958=0,"",INDEX(Classes!$B$6:$B$420,$M3958))</f>
        <v/>
      </c>
      <c r="E3958" s="61" t="str">
        <f aca="false">IF($M3958=0,"",INDEX(Classes!$C$6:$C$420,$M3958))</f>
        <v/>
      </c>
      <c r="F3958" s="63"/>
      <c r="G3958" s="63"/>
      <c r="H3958" s="60"/>
      <c r="I3958" s="60"/>
      <c r="J3958" s="63"/>
      <c r="K3958" s="61" t="str">
        <f aca="false">IF($P3958=0,"",IF($F3958="Baseline","— Baseline",IF($O3958=0,"No result",IF($N3958=0,"No Start (attainment only)",IF(OR($N3958=1,$O3958=1),"U – needs rule",INDEX(MxBody,MATCH($I3958,MxCurr,0),MATCH($H3958,MxStart,0)))))))</f>
        <v/>
      </c>
      <c r="L3958" s="62" t="str">
        <f aca="false">IF(COUNTA($A3958,$F3958,$G3958,$H3958,$I3958,$J3958)=0,"",IF($M3958=0,"✖ كود الصف غير موجود",IF(ISNA(MATCH($F3958,Lists!$A$2:$A$5,0)),"✖ الفترة غير صحيحة",IF(ISNA(MATCH($G3958,Lists!$B$2:$B$7,0)),"✖ المجموعة غير صحيحة",IF(NOT(OR($H3958="",$N3958&gt;0)),"✖ Start غير صحيح",IF(NOT(OR($I3958="",$I3958="NR",$O3958&gt;0)),"✖ Current غير صحيح",IF(NOT(IF(ISNUMBER($J3958),AND($J3958&gt;=0,$J3958=INT($J3958)),FALSE())),"✖ العدد يجب أن يكون صحيحًا ≥ 0",IF(AND($F3958="Baseline",$H3958&lt;&gt;""),"⚠ Baseline: Start لا يدخل في التقدم",IF($K3958="No Start (attainment only)","ℹ تحصيل فقط (بدون Start)",IF($K3958="U – needs rule","ℹ حالة U تحتاج قاعدة معتمدة",IF($K3958="No result","ℹ بدون نتيجة (يُستبعد من التحصيل)","OK")))))))))))</f>
        <v/>
      </c>
      <c r="M3958" s="64" t="n">
        <f aca="false">IF($A3958="",0,IFERROR(MATCH($A3958,Classes!$A$6:$A$420,0),0))</f>
        <v>0</v>
      </c>
      <c r="N3958" s="64" t="n">
        <f aca="false">IF($H3958="",0,IFERROR(MATCH($H3958,GradeList,0),0))</f>
        <v>0</v>
      </c>
      <c r="O3958" s="64" t="n">
        <f aca="false">IF(OR($I3958="",$I3958="NR"),0,IFERROR(MATCH($I3958,GradeList,0),0))</f>
        <v>0</v>
      </c>
      <c r="P3958" s="64" t="n">
        <f aca="false">IF(AND($M3958&gt;0,ISNUMBER(MATCH($F3958,Lists!$A$2:$A$5,0)),ISNUMBER(MATCH($G3958,Lists!$B$2:$B$7,0)),OR($H3958="",$N3958&gt;0),OR($I3958="",$I3958="NR",$O3958&gt;0),IF(ISNUMBER($J3958),AND($J3958&gt;=0,$J3958=INT($J3958)),FALSE())),$J3958,0)</f>
        <v>0</v>
      </c>
      <c r="Q3958" s="64" t="n">
        <f aca="false">IF(AND($P3958&gt;0,$O3958&gt;0),$P3958,0)</f>
        <v>0</v>
      </c>
      <c r="R3958" s="64" t="n">
        <f aca="false">IF(AND($Q3958&gt;0,$O3958&gt;=AtRank),$Q3958,0)</f>
        <v>0</v>
      </c>
      <c r="S3958" s="64" t="n">
        <f aca="false">IF(AND($Q3958&gt;0,$O3958&gt;=AboveRank),$Q3958,0)</f>
        <v>0</v>
      </c>
      <c r="T3958" s="64" t="n">
        <f aca="false">IF($K3958="Less",$P3958,0)</f>
        <v>0</v>
      </c>
      <c r="U3958" s="64" t="n">
        <f aca="false">IF($K3958="Expected",$P3958,0)</f>
        <v>0</v>
      </c>
      <c r="V3958" s="64" t="n">
        <f aca="false">IF($K3958="Better",$P3958,0)</f>
        <v>0</v>
      </c>
      <c r="W3958" s="64" t="n">
        <f aca="false">IF($K3958="U – needs rule",$P3958,0)</f>
        <v>0</v>
      </c>
      <c r="X3958" s="64" t="n">
        <f aca="false">IF($K3958="No Start (attainment only)",$P3958,0)</f>
        <v>0</v>
      </c>
    </row>
    <row r="3959" customFormat="false" ht="15" hidden="false" customHeight="false" outlineLevel="0" collapsed="false">
      <c r="A3959" s="60"/>
      <c r="B3959" s="61" t="str">
        <f aca="false">IF($M3959=0,"",INDEX(Classes!$E$6:$E$420,$M3959))</f>
        <v/>
      </c>
      <c r="C3959" s="62" t="str">
        <f aca="false">IF($M3959=0,"",INDEX(Classes!$H$6:$H$420,$M3959))</f>
        <v/>
      </c>
      <c r="D3959" s="61" t="str">
        <f aca="false">IF($M3959=0,"",INDEX(Classes!$B$6:$B$420,$M3959))</f>
        <v/>
      </c>
      <c r="E3959" s="61" t="str">
        <f aca="false">IF($M3959=0,"",INDEX(Classes!$C$6:$C$420,$M3959))</f>
        <v/>
      </c>
      <c r="F3959" s="63"/>
      <c r="G3959" s="63"/>
      <c r="H3959" s="60"/>
      <c r="I3959" s="60"/>
      <c r="J3959" s="63"/>
      <c r="K3959" s="61" t="str">
        <f aca="false">IF($P3959=0,"",IF($F3959="Baseline","— Baseline",IF($O3959=0,"No result",IF($N3959=0,"No Start (attainment only)",IF(OR($N3959=1,$O3959=1),"U – needs rule",INDEX(MxBody,MATCH($I3959,MxCurr,0),MATCH($H3959,MxStart,0)))))))</f>
        <v/>
      </c>
      <c r="L3959" s="62" t="str">
        <f aca="false">IF(COUNTA($A3959,$F3959,$G3959,$H3959,$I3959,$J3959)=0,"",IF($M3959=0,"✖ كود الصف غير موجود",IF(ISNA(MATCH($F3959,Lists!$A$2:$A$5,0)),"✖ الفترة غير صحيحة",IF(ISNA(MATCH($G3959,Lists!$B$2:$B$7,0)),"✖ المجموعة غير صحيحة",IF(NOT(OR($H3959="",$N3959&gt;0)),"✖ Start غير صحيح",IF(NOT(OR($I3959="",$I3959="NR",$O3959&gt;0)),"✖ Current غير صحيح",IF(NOT(IF(ISNUMBER($J3959),AND($J3959&gt;=0,$J3959=INT($J3959)),FALSE())),"✖ العدد يجب أن يكون صحيحًا ≥ 0",IF(AND($F3959="Baseline",$H3959&lt;&gt;""),"⚠ Baseline: Start لا يدخل في التقدم",IF($K3959="No Start (attainment only)","ℹ تحصيل فقط (بدون Start)",IF($K3959="U – needs rule","ℹ حالة U تحتاج قاعدة معتمدة",IF($K3959="No result","ℹ بدون نتيجة (يُستبعد من التحصيل)","OK")))))))))))</f>
        <v/>
      </c>
      <c r="M3959" s="64" t="n">
        <f aca="false">IF($A3959="",0,IFERROR(MATCH($A3959,Classes!$A$6:$A$420,0),0))</f>
        <v>0</v>
      </c>
      <c r="N3959" s="64" t="n">
        <f aca="false">IF($H3959="",0,IFERROR(MATCH($H3959,GradeList,0),0))</f>
        <v>0</v>
      </c>
      <c r="O3959" s="64" t="n">
        <f aca="false">IF(OR($I3959="",$I3959="NR"),0,IFERROR(MATCH($I3959,GradeList,0),0))</f>
        <v>0</v>
      </c>
      <c r="P3959" s="64" t="n">
        <f aca="false">IF(AND($M3959&gt;0,ISNUMBER(MATCH($F3959,Lists!$A$2:$A$5,0)),ISNUMBER(MATCH($G3959,Lists!$B$2:$B$7,0)),OR($H3959="",$N3959&gt;0),OR($I3959="",$I3959="NR",$O3959&gt;0),IF(ISNUMBER($J3959),AND($J3959&gt;=0,$J3959=INT($J3959)),FALSE())),$J3959,0)</f>
        <v>0</v>
      </c>
      <c r="Q3959" s="64" t="n">
        <f aca="false">IF(AND($P3959&gt;0,$O3959&gt;0),$P3959,0)</f>
        <v>0</v>
      </c>
      <c r="R3959" s="64" t="n">
        <f aca="false">IF(AND($Q3959&gt;0,$O3959&gt;=AtRank),$Q3959,0)</f>
        <v>0</v>
      </c>
      <c r="S3959" s="64" t="n">
        <f aca="false">IF(AND($Q3959&gt;0,$O3959&gt;=AboveRank),$Q3959,0)</f>
        <v>0</v>
      </c>
      <c r="T3959" s="64" t="n">
        <f aca="false">IF($K3959="Less",$P3959,0)</f>
        <v>0</v>
      </c>
      <c r="U3959" s="64" t="n">
        <f aca="false">IF($K3959="Expected",$P3959,0)</f>
        <v>0</v>
      </c>
      <c r="V3959" s="64" t="n">
        <f aca="false">IF($K3959="Better",$P3959,0)</f>
        <v>0</v>
      </c>
      <c r="W3959" s="64" t="n">
        <f aca="false">IF($K3959="U – needs rule",$P3959,0)</f>
        <v>0</v>
      </c>
      <c r="X3959" s="64" t="n">
        <f aca="false">IF($K3959="No Start (attainment only)",$P3959,0)</f>
        <v>0</v>
      </c>
    </row>
    <row r="3960" customFormat="false" ht="15" hidden="false" customHeight="false" outlineLevel="0" collapsed="false">
      <c r="A3960" s="60"/>
      <c r="B3960" s="61" t="str">
        <f aca="false">IF($M3960=0,"",INDEX(Classes!$E$6:$E$420,$M3960))</f>
        <v/>
      </c>
      <c r="C3960" s="62" t="str">
        <f aca="false">IF($M3960=0,"",INDEX(Classes!$H$6:$H$420,$M3960))</f>
        <v/>
      </c>
      <c r="D3960" s="61" t="str">
        <f aca="false">IF($M3960=0,"",INDEX(Classes!$B$6:$B$420,$M3960))</f>
        <v/>
      </c>
      <c r="E3960" s="61" t="str">
        <f aca="false">IF($M3960=0,"",INDEX(Classes!$C$6:$C$420,$M3960))</f>
        <v/>
      </c>
      <c r="F3960" s="63"/>
      <c r="G3960" s="63"/>
      <c r="H3960" s="60"/>
      <c r="I3960" s="60"/>
      <c r="J3960" s="63"/>
      <c r="K3960" s="61" t="str">
        <f aca="false">IF($P3960=0,"",IF($F3960="Baseline","— Baseline",IF($O3960=0,"No result",IF($N3960=0,"No Start (attainment only)",IF(OR($N3960=1,$O3960=1),"U – needs rule",INDEX(MxBody,MATCH($I3960,MxCurr,0),MATCH($H3960,MxStart,0)))))))</f>
        <v/>
      </c>
      <c r="L3960" s="62" t="str">
        <f aca="false">IF(COUNTA($A3960,$F3960,$G3960,$H3960,$I3960,$J3960)=0,"",IF($M3960=0,"✖ كود الصف غير موجود",IF(ISNA(MATCH($F3960,Lists!$A$2:$A$5,0)),"✖ الفترة غير صحيحة",IF(ISNA(MATCH($G3960,Lists!$B$2:$B$7,0)),"✖ المجموعة غير صحيحة",IF(NOT(OR($H3960="",$N3960&gt;0)),"✖ Start غير صحيح",IF(NOT(OR($I3960="",$I3960="NR",$O3960&gt;0)),"✖ Current غير صحيح",IF(NOT(IF(ISNUMBER($J3960),AND($J3960&gt;=0,$J3960=INT($J3960)),FALSE())),"✖ العدد يجب أن يكون صحيحًا ≥ 0",IF(AND($F3960="Baseline",$H3960&lt;&gt;""),"⚠ Baseline: Start لا يدخل في التقدم",IF($K3960="No Start (attainment only)","ℹ تحصيل فقط (بدون Start)",IF($K3960="U – needs rule","ℹ حالة U تحتاج قاعدة معتمدة",IF($K3960="No result","ℹ بدون نتيجة (يُستبعد من التحصيل)","OK")))))))))))</f>
        <v/>
      </c>
      <c r="M3960" s="64" t="n">
        <f aca="false">IF($A3960="",0,IFERROR(MATCH($A3960,Classes!$A$6:$A$420,0),0))</f>
        <v>0</v>
      </c>
      <c r="N3960" s="64" t="n">
        <f aca="false">IF($H3960="",0,IFERROR(MATCH($H3960,GradeList,0),0))</f>
        <v>0</v>
      </c>
      <c r="O3960" s="64" t="n">
        <f aca="false">IF(OR($I3960="",$I3960="NR"),0,IFERROR(MATCH($I3960,GradeList,0),0))</f>
        <v>0</v>
      </c>
      <c r="P3960" s="64" t="n">
        <f aca="false">IF(AND($M3960&gt;0,ISNUMBER(MATCH($F3960,Lists!$A$2:$A$5,0)),ISNUMBER(MATCH($G3960,Lists!$B$2:$B$7,0)),OR($H3960="",$N3960&gt;0),OR($I3960="",$I3960="NR",$O3960&gt;0),IF(ISNUMBER($J3960),AND($J3960&gt;=0,$J3960=INT($J3960)),FALSE())),$J3960,0)</f>
        <v>0</v>
      </c>
      <c r="Q3960" s="64" t="n">
        <f aca="false">IF(AND($P3960&gt;0,$O3960&gt;0),$P3960,0)</f>
        <v>0</v>
      </c>
      <c r="R3960" s="64" t="n">
        <f aca="false">IF(AND($Q3960&gt;0,$O3960&gt;=AtRank),$Q3960,0)</f>
        <v>0</v>
      </c>
      <c r="S3960" s="64" t="n">
        <f aca="false">IF(AND($Q3960&gt;0,$O3960&gt;=AboveRank),$Q3960,0)</f>
        <v>0</v>
      </c>
      <c r="T3960" s="64" t="n">
        <f aca="false">IF($K3960="Less",$P3960,0)</f>
        <v>0</v>
      </c>
      <c r="U3960" s="64" t="n">
        <f aca="false">IF($K3960="Expected",$P3960,0)</f>
        <v>0</v>
      </c>
      <c r="V3960" s="64" t="n">
        <f aca="false">IF($K3960="Better",$P3960,0)</f>
        <v>0</v>
      </c>
      <c r="W3960" s="64" t="n">
        <f aca="false">IF($K3960="U – needs rule",$P3960,0)</f>
        <v>0</v>
      </c>
      <c r="X3960" s="64" t="n">
        <f aca="false">IF($K3960="No Start (attainment only)",$P3960,0)</f>
        <v>0</v>
      </c>
    </row>
    <row r="3961" customFormat="false" ht="15" hidden="false" customHeight="false" outlineLevel="0" collapsed="false">
      <c r="A3961" s="60"/>
      <c r="B3961" s="61" t="str">
        <f aca="false">IF($M3961=0,"",INDEX(Classes!$E$6:$E$420,$M3961))</f>
        <v/>
      </c>
      <c r="C3961" s="62" t="str">
        <f aca="false">IF($M3961=0,"",INDEX(Classes!$H$6:$H$420,$M3961))</f>
        <v/>
      </c>
      <c r="D3961" s="61" t="str">
        <f aca="false">IF($M3961=0,"",INDEX(Classes!$B$6:$B$420,$M3961))</f>
        <v/>
      </c>
      <c r="E3961" s="61" t="str">
        <f aca="false">IF($M3961=0,"",INDEX(Classes!$C$6:$C$420,$M3961))</f>
        <v/>
      </c>
      <c r="F3961" s="63"/>
      <c r="G3961" s="63"/>
      <c r="H3961" s="60"/>
      <c r="I3961" s="60"/>
      <c r="J3961" s="63"/>
      <c r="K3961" s="61" t="str">
        <f aca="false">IF($P3961=0,"",IF($F3961="Baseline","— Baseline",IF($O3961=0,"No result",IF($N3961=0,"No Start (attainment only)",IF(OR($N3961=1,$O3961=1),"U – needs rule",INDEX(MxBody,MATCH($I3961,MxCurr,0),MATCH($H3961,MxStart,0)))))))</f>
        <v/>
      </c>
      <c r="L3961" s="62" t="str">
        <f aca="false">IF(COUNTA($A3961,$F3961,$G3961,$H3961,$I3961,$J3961)=0,"",IF($M3961=0,"✖ كود الصف غير موجود",IF(ISNA(MATCH($F3961,Lists!$A$2:$A$5,0)),"✖ الفترة غير صحيحة",IF(ISNA(MATCH($G3961,Lists!$B$2:$B$7,0)),"✖ المجموعة غير صحيحة",IF(NOT(OR($H3961="",$N3961&gt;0)),"✖ Start غير صحيح",IF(NOT(OR($I3961="",$I3961="NR",$O3961&gt;0)),"✖ Current غير صحيح",IF(NOT(IF(ISNUMBER($J3961),AND($J3961&gt;=0,$J3961=INT($J3961)),FALSE())),"✖ العدد يجب أن يكون صحيحًا ≥ 0",IF(AND($F3961="Baseline",$H3961&lt;&gt;""),"⚠ Baseline: Start لا يدخل في التقدم",IF($K3961="No Start (attainment only)","ℹ تحصيل فقط (بدون Start)",IF($K3961="U – needs rule","ℹ حالة U تحتاج قاعدة معتمدة",IF($K3961="No result","ℹ بدون نتيجة (يُستبعد من التحصيل)","OK")))))))))))</f>
        <v/>
      </c>
      <c r="M3961" s="64" t="n">
        <f aca="false">IF($A3961="",0,IFERROR(MATCH($A3961,Classes!$A$6:$A$420,0),0))</f>
        <v>0</v>
      </c>
      <c r="N3961" s="64" t="n">
        <f aca="false">IF($H3961="",0,IFERROR(MATCH($H3961,GradeList,0),0))</f>
        <v>0</v>
      </c>
      <c r="O3961" s="64" t="n">
        <f aca="false">IF(OR($I3961="",$I3961="NR"),0,IFERROR(MATCH($I3961,GradeList,0),0))</f>
        <v>0</v>
      </c>
      <c r="P3961" s="64" t="n">
        <f aca="false">IF(AND($M3961&gt;0,ISNUMBER(MATCH($F3961,Lists!$A$2:$A$5,0)),ISNUMBER(MATCH($G3961,Lists!$B$2:$B$7,0)),OR($H3961="",$N3961&gt;0),OR($I3961="",$I3961="NR",$O3961&gt;0),IF(ISNUMBER($J3961),AND($J3961&gt;=0,$J3961=INT($J3961)),FALSE())),$J3961,0)</f>
        <v>0</v>
      </c>
      <c r="Q3961" s="64" t="n">
        <f aca="false">IF(AND($P3961&gt;0,$O3961&gt;0),$P3961,0)</f>
        <v>0</v>
      </c>
      <c r="R3961" s="64" t="n">
        <f aca="false">IF(AND($Q3961&gt;0,$O3961&gt;=AtRank),$Q3961,0)</f>
        <v>0</v>
      </c>
      <c r="S3961" s="64" t="n">
        <f aca="false">IF(AND($Q3961&gt;0,$O3961&gt;=AboveRank),$Q3961,0)</f>
        <v>0</v>
      </c>
      <c r="T3961" s="64" t="n">
        <f aca="false">IF($K3961="Less",$P3961,0)</f>
        <v>0</v>
      </c>
      <c r="U3961" s="64" t="n">
        <f aca="false">IF($K3961="Expected",$P3961,0)</f>
        <v>0</v>
      </c>
      <c r="V3961" s="64" t="n">
        <f aca="false">IF($K3961="Better",$P3961,0)</f>
        <v>0</v>
      </c>
      <c r="W3961" s="64" t="n">
        <f aca="false">IF($K3961="U – needs rule",$P3961,0)</f>
        <v>0</v>
      </c>
      <c r="X3961" s="64" t="n">
        <f aca="false">IF($K3961="No Start (attainment only)",$P3961,0)</f>
        <v>0</v>
      </c>
    </row>
    <row r="3962" customFormat="false" ht="15" hidden="false" customHeight="false" outlineLevel="0" collapsed="false">
      <c r="A3962" s="60"/>
      <c r="B3962" s="61" t="str">
        <f aca="false">IF($M3962=0,"",INDEX(Classes!$E$6:$E$420,$M3962))</f>
        <v/>
      </c>
      <c r="C3962" s="62" t="str">
        <f aca="false">IF($M3962=0,"",INDEX(Classes!$H$6:$H$420,$M3962))</f>
        <v/>
      </c>
      <c r="D3962" s="61" t="str">
        <f aca="false">IF($M3962=0,"",INDEX(Classes!$B$6:$B$420,$M3962))</f>
        <v/>
      </c>
      <c r="E3962" s="61" t="str">
        <f aca="false">IF($M3962=0,"",INDEX(Classes!$C$6:$C$420,$M3962))</f>
        <v/>
      </c>
      <c r="F3962" s="63"/>
      <c r="G3962" s="63"/>
      <c r="H3962" s="60"/>
      <c r="I3962" s="60"/>
      <c r="J3962" s="63"/>
      <c r="K3962" s="61" t="str">
        <f aca="false">IF($P3962=0,"",IF($F3962="Baseline","— Baseline",IF($O3962=0,"No result",IF($N3962=0,"No Start (attainment only)",IF(OR($N3962=1,$O3962=1),"U – needs rule",INDEX(MxBody,MATCH($I3962,MxCurr,0),MATCH($H3962,MxStart,0)))))))</f>
        <v/>
      </c>
      <c r="L3962" s="62" t="str">
        <f aca="false">IF(COUNTA($A3962,$F3962,$G3962,$H3962,$I3962,$J3962)=0,"",IF($M3962=0,"✖ كود الصف غير موجود",IF(ISNA(MATCH($F3962,Lists!$A$2:$A$5,0)),"✖ الفترة غير صحيحة",IF(ISNA(MATCH($G3962,Lists!$B$2:$B$7,0)),"✖ المجموعة غير صحيحة",IF(NOT(OR($H3962="",$N3962&gt;0)),"✖ Start غير صحيح",IF(NOT(OR($I3962="",$I3962="NR",$O3962&gt;0)),"✖ Current غير صحيح",IF(NOT(IF(ISNUMBER($J3962),AND($J3962&gt;=0,$J3962=INT($J3962)),FALSE())),"✖ العدد يجب أن يكون صحيحًا ≥ 0",IF(AND($F3962="Baseline",$H3962&lt;&gt;""),"⚠ Baseline: Start لا يدخل في التقدم",IF($K3962="No Start (attainment only)","ℹ تحصيل فقط (بدون Start)",IF($K3962="U – needs rule","ℹ حالة U تحتاج قاعدة معتمدة",IF($K3962="No result","ℹ بدون نتيجة (يُستبعد من التحصيل)","OK")))))))))))</f>
        <v/>
      </c>
      <c r="M3962" s="64" t="n">
        <f aca="false">IF($A3962="",0,IFERROR(MATCH($A3962,Classes!$A$6:$A$420,0),0))</f>
        <v>0</v>
      </c>
      <c r="N3962" s="64" t="n">
        <f aca="false">IF($H3962="",0,IFERROR(MATCH($H3962,GradeList,0),0))</f>
        <v>0</v>
      </c>
      <c r="O3962" s="64" t="n">
        <f aca="false">IF(OR($I3962="",$I3962="NR"),0,IFERROR(MATCH($I3962,GradeList,0),0))</f>
        <v>0</v>
      </c>
      <c r="P3962" s="64" t="n">
        <f aca="false">IF(AND($M3962&gt;0,ISNUMBER(MATCH($F3962,Lists!$A$2:$A$5,0)),ISNUMBER(MATCH($G3962,Lists!$B$2:$B$7,0)),OR($H3962="",$N3962&gt;0),OR($I3962="",$I3962="NR",$O3962&gt;0),IF(ISNUMBER($J3962),AND($J3962&gt;=0,$J3962=INT($J3962)),FALSE())),$J3962,0)</f>
        <v>0</v>
      </c>
      <c r="Q3962" s="64" t="n">
        <f aca="false">IF(AND($P3962&gt;0,$O3962&gt;0),$P3962,0)</f>
        <v>0</v>
      </c>
      <c r="R3962" s="64" t="n">
        <f aca="false">IF(AND($Q3962&gt;0,$O3962&gt;=AtRank),$Q3962,0)</f>
        <v>0</v>
      </c>
      <c r="S3962" s="64" t="n">
        <f aca="false">IF(AND($Q3962&gt;0,$O3962&gt;=AboveRank),$Q3962,0)</f>
        <v>0</v>
      </c>
      <c r="T3962" s="64" t="n">
        <f aca="false">IF($K3962="Less",$P3962,0)</f>
        <v>0</v>
      </c>
      <c r="U3962" s="64" t="n">
        <f aca="false">IF($K3962="Expected",$P3962,0)</f>
        <v>0</v>
      </c>
      <c r="V3962" s="64" t="n">
        <f aca="false">IF($K3962="Better",$P3962,0)</f>
        <v>0</v>
      </c>
      <c r="W3962" s="64" t="n">
        <f aca="false">IF($K3962="U – needs rule",$P3962,0)</f>
        <v>0</v>
      </c>
      <c r="X3962" s="64" t="n">
        <f aca="false">IF($K3962="No Start (attainment only)",$P3962,0)</f>
        <v>0</v>
      </c>
    </row>
    <row r="3963" customFormat="false" ht="15" hidden="false" customHeight="false" outlineLevel="0" collapsed="false">
      <c r="A3963" s="60"/>
      <c r="B3963" s="61" t="str">
        <f aca="false">IF($M3963=0,"",INDEX(Classes!$E$6:$E$420,$M3963))</f>
        <v/>
      </c>
      <c r="C3963" s="62" t="str">
        <f aca="false">IF($M3963=0,"",INDEX(Classes!$H$6:$H$420,$M3963))</f>
        <v/>
      </c>
      <c r="D3963" s="61" t="str">
        <f aca="false">IF($M3963=0,"",INDEX(Classes!$B$6:$B$420,$M3963))</f>
        <v/>
      </c>
      <c r="E3963" s="61" t="str">
        <f aca="false">IF($M3963=0,"",INDEX(Classes!$C$6:$C$420,$M3963))</f>
        <v/>
      </c>
      <c r="F3963" s="63"/>
      <c r="G3963" s="63"/>
      <c r="H3963" s="60"/>
      <c r="I3963" s="60"/>
      <c r="J3963" s="63"/>
      <c r="K3963" s="61" t="str">
        <f aca="false">IF($P3963=0,"",IF($F3963="Baseline","— Baseline",IF($O3963=0,"No result",IF($N3963=0,"No Start (attainment only)",IF(OR($N3963=1,$O3963=1),"U – needs rule",INDEX(MxBody,MATCH($I3963,MxCurr,0),MATCH($H3963,MxStart,0)))))))</f>
        <v/>
      </c>
      <c r="L3963" s="62" t="str">
        <f aca="false">IF(COUNTA($A3963,$F3963,$G3963,$H3963,$I3963,$J3963)=0,"",IF($M3963=0,"✖ كود الصف غير موجود",IF(ISNA(MATCH($F3963,Lists!$A$2:$A$5,0)),"✖ الفترة غير صحيحة",IF(ISNA(MATCH($G3963,Lists!$B$2:$B$7,0)),"✖ المجموعة غير صحيحة",IF(NOT(OR($H3963="",$N3963&gt;0)),"✖ Start غير صحيح",IF(NOT(OR($I3963="",$I3963="NR",$O3963&gt;0)),"✖ Current غير صحيح",IF(NOT(IF(ISNUMBER($J3963),AND($J3963&gt;=0,$J3963=INT($J3963)),FALSE())),"✖ العدد يجب أن يكون صحيحًا ≥ 0",IF(AND($F3963="Baseline",$H3963&lt;&gt;""),"⚠ Baseline: Start لا يدخل في التقدم",IF($K3963="No Start (attainment only)","ℹ تحصيل فقط (بدون Start)",IF($K3963="U – needs rule","ℹ حالة U تحتاج قاعدة معتمدة",IF($K3963="No result","ℹ بدون نتيجة (يُستبعد من التحصيل)","OK")))))))))))</f>
        <v/>
      </c>
      <c r="M3963" s="64" t="n">
        <f aca="false">IF($A3963="",0,IFERROR(MATCH($A3963,Classes!$A$6:$A$420,0),0))</f>
        <v>0</v>
      </c>
      <c r="N3963" s="64" t="n">
        <f aca="false">IF($H3963="",0,IFERROR(MATCH($H3963,GradeList,0),0))</f>
        <v>0</v>
      </c>
      <c r="O3963" s="64" t="n">
        <f aca="false">IF(OR($I3963="",$I3963="NR"),0,IFERROR(MATCH($I3963,GradeList,0),0))</f>
        <v>0</v>
      </c>
      <c r="P3963" s="64" t="n">
        <f aca="false">IF(AND($M3963&gt;0,ISNUMBER(MATCH($F3963,Lists!$A$2:$A$5,0)),ISNUMBER(MATCH($G3963,Lists!$B$2:$B$7,0)),OR($H3963="",$N3963&gt;0),OR($I3963="",$I3963="NR",$O3963&gt;0),IF(ISNUMBER($J3963),AND($J3963&gt;=0,$J3963=INT($J3963)),FALSE())),$J3963,0)</f>
        <v>0</v>
      </c>
      <c r="Q3963" s="64" t="n">
        <f aca="false">IF(AND($P3963&gt;0,$O3963&gt;0),$P3963,0)</f>
        <v>0</v>
      </c>
      <c r="R3963" s="64" t="n">
        <f aca="false">IF(AND($Q3963&gt;0,$O3963&gt;=AtRank),$Q3963,0)</f>
        <v>0</v>
      </c>
      <c r="S3963" s="64" t="n">
        <f aca="false">IF(AND($Q3963&gt;0,$O3963&gt;=AboveRank),$Q3963,0)</f>
        <v>0</v>
      </c>
      <c r="T3963" s="64" t="n">
        <f aca="false">IF($K3963="Less",$P3963,0)</f>
        <v>0</v>
      </c>
      <c r="U3963" s="64" t="n">
        <f aca="false">IF($K3963="Expected",$P3963,0)</f>
        <v>0</v>
      </c>
      <c r="V3963" s="64" t="n">
        <f aca="false">IF($K3963="Better",$P3963,0)</f>
        <v>0</v>
      </c>
      <c r="W3963" s="64" t="n">
        <f aca="false">IF($K3963="U – needs rule",$P3963,0)</f>
        <v>0</v>
      </c>
      <c r="X3963" s="64" t="n">
        <f aca="false">IF($K3963="No Start (attainment only)",$P3963,0)</f>
        <v>0</v>
      </c>
    </row>
    <row r="3964" customFormat="false" ht="15" hidden="false" customHeight="false" outlineLevel="0" collapsed="false">
      <c r="A3964" s="60"/>
      <c r="B3964" s="61" t="str">
        <f aca="false">IF($M3964=0,"",INDEX(Classes!$E$6:$E$420,$M3964))</f>
        <v/>
      </c>
      <c r="C3964" s="62" t="str">
        <f aca="false">IF($M3964=0,"",INDEX(Classes!$H$6:$H$420,$M3964))</f>
        <v/>
      </c>
      <c r="D3964" s="61" t="str">
        <f aca="false">IF($M3964=0,"",INDEX(Classes!$B$6:$B$420,$M3964))</f>
        <v/>
      </c>
      <c r="E3964" s="61" t="str">
        <f aca="false">IF($M3964=0,"",INDEX(Classes!$C$6:$C$420,$M3964))</f>
        <v/>
      </c>
      <c r="F3964" s="63"/>
      <c r="G3964" s="63"/>
      <c r="H3964" s="60"/>
      <c r="I3964" s="60"/>
      <c r="J3964" s="63"/>
      <c r="K3964" s="61" t="str">
        <f aca="false">IF($P3964=0,"",IF($F3964="Baseline","— Baseline",IF($O3964=0,"No result",IF($N3964=0,"No Start (attainment only)",IF(OR($N3964=1,$O3964=1),"U – needs rule",INDEX(MxBody,MATCH($I3964,MxCurr,0),MATCH($H3964,MxStart,0)))))))</f>
        <v/>
      </c>
      <c r="L3964" s="62" t="str">
        <f aca="false">IF(COUNTA($A3964,$F3964,$G3964,$H3964,$I3964,$J3964)=0,"",IF($M3964=0,"✖ كود الصف غير موجود",IF(ISNA(MATCH($F3964,Lists!$A$2:$A$5,0)),"✖ الفترة غير صحيحة",IF(ISNA(MATCH($G3964,Lists!$B$2:$B$7,0)),"✖ المجموعة غير صحيحة",IF(NOT(OR($H3964="",$N3964&gt;0)),"✖ Start غير صحيح",IF(NOT(OR($I3964="",$I3964="NR",$O3964&gt;0)),"✖ Current غير صحيح",IF(NOT(IF(ISNUMBER($J3964),AND($J3964&gt;=0,$J3964=INT($J3964)),FALSE())),"✖ العدد يجب أن يكون صحيحًا ≥ 0",IF(AND($F3964="Baseline",$H3964&lt;&gt;""),"⚠ Baseline: Start لا يدخل في التقدم",IF($K3964="No Start (attainment only)","ℹ تحصيل فقط (بدون Start)",IF($K3964="U – needs rule","ℹ حالة U تحتاج قاعدة معتمدة",IF($K3964="No result","ℹ بدون نتيجة (يُستبعد من التحصيل)","OK")))))))))))</f>
        <v/>
      </c>
      <c r="M3964" s="64" t="n">
        <f aca="false">IF($A3964="",0,IFERROR(MATCH($A3964,Classes!$A$6:$A$420,0),0))</f>
        <v>0</v>
      </c>
      <c r="N3964" s="64" t="n">
        <f aca="false">IF($H3964="",0,IFERROR(MATCH($H3964,GradeList,0),0))</f>
        <v>0</v>
      </c>
      <c r="O3964" s="64" t="n">
        <f aca="false">IF(OR($I3964="",$I3964="NR"),0,IFERROR(MATCH($I3964,GradeList,0),0))</f>
        <v>0</v>
      </c>
      <c r="P3964" s="64" t="n">
        <f aca="false">IF(AND($M3964&gt;0,ISNUMBER(MATCH($F3964,Lists!$A$2:$A$5,0)),ISNUMBER(MATCH($G3964,Lists!$B$2:$B$7,0)),OR($H3964="",$N3964&gt;0),OR($I3964="",$I3964="NR",$O3964&gt;0),IF(ISNUMBER($J3964),AND($J3964&gt;=0,$J3964=INT($J3964)),FALSE())),$J3964,0)</f>
        <v>0</v>
      </c>
      <c r="Q3964" s="64" t="n">
        <f aca="false">IF(AND($P3964&gt;0,$O3964&gt;0),$P3964,0)</f>
        <v>0</v>
      </c>
      <c r="R3964" s="64" t="n">
        <f aca="false">IF(AND($Q3964&gt;0,$O3964&gt;=AtRank),$Q3964,0)</f>
        <v>0</v>
      </c>
      <c r="S3964" s="64" t="n">
        <f aca="false">IF(AND($Q3964&gt;0,$O3964&gt;=AboveRank),$Q3964,0)</f>
        <v>0</v>
      </c>
      <c r="T3964" s="64" t="n">
        <f aca="false">IF($K3964="Less",$P3964,0)</f>
        <v>0</v>
      </c>
      <c r="U3964" s="64" t="n">
        <f aca="false">IF($K3964="Expected",$P3964,0)</f>
        <v>0</v>
      </c>
      <c r="V3964" s="64" t="n">
        <f aca="false">IF($K3964="Better",$P3964,0)</f>
        <v>0</v>
      </c>
      <c r="W3964" s="64" t="n">
        <f aca="false">IF($K3964="U – needs rule",$P3964,0)</f>
        <v>0</v>
      </c>
      <c r="X3964" s="64" t="n">
        <f aca="false">IF($K3964="No Start (attainment only)",$P3964,0)</f>
        <v>0</v>
      </c>
    </row>
    <row r="3965" customFormat="false" ht="15" hidden="false" customHeight="false" outlineLevel="0" collapsed="false">
      <c r="A3965" s="60"/>
      <c r="B3965" s="61" t="str">
        <f aca="false">IF($M3965=0,"",INDEX(Classes!$E$6:$E$420,$M3965))</f>
        <v/>
      </c>
      <c r="C3965" s="62" t="str">
        <f aca="false">IF($M3965=0,"",INDEX(Classes!$H$6:$H$420,$M3965))</f>
        <v/>
      </c>
      <c r="D3965" s="61" t="str">
        <f aca="false">IF($M3965=0,"",INDEX(Classes!$B$6:$B$420,$M3965))</f>
        <v/>
      </c>
      <c r="E3965" s="61" t="str">
        <f aca="false">IF($M3965=0,"",INDEX(Classes!$C$6:$C$420,$M3965))</f>
        <v/>
      </c>
      <c r="F3965" s="63"/>
      <c r="G3965" s="63"/>
      <c r="H3965" s="60"/>
      <c r="I3965" s="60"/>
      <c r="J3965" s="63"/>
      <c r="K3965" s="61" t="str">
        <f aca="false">IF($P3965=0,"",IF($F3965="Baseline","— Baseline",IF($O3965=0,"No result",IF($N3965=0,"No Start (attainment only)",IF(OR($N3965=1,$O3965=1),"U – needs rule",INDEX(MxBody,MATCH($I3965,MxCurr,0),MATCH($H3965,MxStart,0)))))))</f>
        <v/>
      </c>
      <c r="L3965" s="62" t="str">
        <f aca="false">IF(COUNTA($A3965,$F3965,$G3965,$H3965,$I3965,$J3965)=0,"",IF($M3965=0,"✖ كود الصف غير موجود",IF(ISNA(MATCH($F3965,Lists!$A$2:$A$5,0)),"✖ الفترة غير صحيحة",IF(ISNA(MATCH($G3965,Lists!$B$2:$B$7,0)),"✖ المجموعة غير صحيحة",IF(NOT(OR($H3965="",$N3965&gt;0)),"✖ Start غير صحيح",IF(NOT(OR($I3965="",$I3965="NR",$O3965&gt;0)),"✖ Current غير صحيح",IF(NOT(IF(ISNUMBER($J3965),AND($J3965&gt;=0,$J3965=INT($J3965)),FALSE())),"✖ العدد يجب أن يكون صحيحًا ≥ 0",IF(AND($F3965="Baseline",$H3965&lt;&gt;""),"⚠ Baseline: Start لا يدخل في التقدم",IF($K3965="No Start (attainment only)","ℹ تحصيل فقط (بدون Start)",IF($K3965="U – needs rule","ℹ حالة U تحتاج قاعدة معتمدة",IF($K3965="No result","ℹ بدون نتيجة (يُستبعد من التحصيل)","OK")))))))))))</f>
        <v/>
      </c>
      <c r="M3965" s="64" t="n">
        <f aca="false">IF($A3965="",0,IFERROR(MATCH($A3965,Classes!$A$6:$A$420,0),0))</f>
        <v>0</v>
      </c>
      <c r="N3965" s="64" t="n">
        <f aca="false">IF($H3965="",0,IFERROR(MATCH($H3965,GradeList,0),0))</f>
        <v>0</v>
      </c>
      <c r="O3965" s="64" t="n">
        <f aca="false">IF(OR($I3965="",$I3965="NR"),0,IFERROR(MATCH($I3965,GradeList,0),0))</f>
        <v>0</v>
      </c>
      <c r="P3965" s="64" t="n">
        <f aca="false">IF(AND($M3965&gt;0,ISNUMBER(MATCH($F3965,Lists!$A$2:$A$5,0)),ISNUMBER(MATCH($G3965,Lists!$B$2:$B$7,0)),OR($H3965="",$N3965&gt;0),OR($I3965="",$I3965="NR",$O3965&gt;0),IF(ISNUMBER($J3965),AND($J3965&gt;=0,$J3965=INT($J3965)),FALSE())),$J3965,0)</f>
        <v>0</v>
      </c>
      <c r="Q3965" s="64" t="n">
        <f aca="false">IF(AND($P3965&gt;0,$O3965&gt;0),$P3965,0)</f>
        <v>0</v>
      </c>
      <c r="R3965" s="64" t="n">
        <f aca="false">IF(AND($Q3965&gt;0,$O3965&gt;=AtRank),$Q3965,0)</f>
        <v>0</v>
      </c>
      <c r="S3965" s="64" t="n">
        <f aca="false">IF(AND($Q3965&gt;0,$O3965&gt;=AboveRank),$Q3965,0)</f>
        <v>0</v>
      </c>
      <c r="T3965" s="64" t="n">
        <f aca="false">IF($K3965="Less",$P3965,0)</f>
        <v>0</v>
      </c>
      <c r="U3965" s="64" t="n">
        <f aca="false">IF($K3965="Expected",$P3965,0)</f>
        <v>0</v>
      </c>
      <c r="V3965" s="64" t="n">
        <f aca="false">IF($K3965="Better",$P3965,0)</f>
        <v>0</v>
      </c>
      <c r="W3965" s="64" t="n">
        <f aca="false">IF($K3965="U – needs rule",$P3965,0)</f>
        <v>0</v>
      </c>
      <c r="X3965" s="64" t="n">
        <f aca="false">IF($K3965="No Start (attainment only)",$P3965,0)</f>
        <v>0</v>
      </c>
    </row>
    <row r="3966" customFormat="false" ht="15" hidden="false" customHeight="false" outlineLevel="0" collapsed="false">
      <c r="A3966" s="60"/>
      <c r="B3966" s="61" t="str">
        <f aca="false">IF($M3966=0,"",INDEX(Classes!$E$6:$E$420,$M3966))</f>
        <v/>
      </c>
      <c r="C3966" s="62" t="str">
        <f aca="false">IF($M3966=0,"",INDEX(Classes!$H$6:$H$420,$M3966))</f>
        <v/>
      </c>
      <c r="D3966" s="61" t="str">
        <f aca="false">IF($M3966=0,"",INDEX(Classes!$B$6:$B$420,$M3966))</f>
        <v/>
      </c>
      <c r="E3966" s="61" t="str">
        <f aca="false">IF($M3966=0,"",INDEX(Classes!$C$6:$C$420,$M3966))</f>
        <v/>
      </c>
      <c r="F3966" s="63"/>
      <c r="G3966" s="63"/>
      <c r="H3966" s="60"/>
      <c r="I3966" s="60"/>
      <c r="J3966" s="63"/>
      <c r="K3966" s="61" t="str">
        <f aca="false">IF($P3966=0,"",IF($F3966="Baseline","— Baseline",IF($O3966=0,"No result",IF($N3966=0,"No Start (attainment only)",IF(OR($N3966=1,$O3966=1),"U – needs rule",INDEX(MxBody,MATCH($I3966,MxCurr,0),MATCH($H3966,MxStart,0)))))))</f>
        <v/>
      </c>
      <c r="L3966" s="62" t="str">
        <f aca="false">IF(COUNTA($A3966,$F3966,$G3966,$H3966,$I3966,$J3966)=0,"",IF($M3966=0,"✖ كود الصف غير موجود",IF(ISNA(MATCH($F3966,Lists!$A$2:$A$5,0)),"✖ الفترة غير صحيحة",IF(ISNA(MATCH($G3966,Lists!$B$2:$B$7,0)),"✖ المجموعة غير صحيحة",IF(NOT(OR($H3966="",$N3966&gt;0)),"✖ Start غير صحيح",IF(NOT(OR($I3966="",$I3966="NR",$O3966&gt;0)),"✖ Current غير صحيح",IF(NOT(IF(ISNUMBER($J3966),AND($J3966&gt;=0,$J3966=INT($J3966)),FALSE())),"✖ العدد يجب أن يكون صحيحًا ≥ 0",IF(AND($F3966="Baseline",$H3966&lt;&gt;""),"⚠ Baseline: Start لا يدخل في التقدم",IF($K3966="No Start (attainment only)","ℹ تحصيل فقط (بدون Start)",IF($K3966="U – needs rule","ℹ حالة U تحتاج قاعدة معتمدة",IF($K3966="No result","ℹ بدون نتيجة (يُستبعد من التحصيل)","OK")))))))))))</f>
        <v/>
      </c>
      <c r="M3966" s="64" t="n">
        <f aca="false">IF($A3966="",0,IFERROR(MATCH($A3966,Classes!$A$6:$A$420,0),0))</f>
        <v>0</v>
      </c>
      <c r="N3966" s="64" t="n">
        <f aca="false">IF($H3966="",0,IFERROR(MATCH($H3966,GradeList,0),0))</f>
        <v>0</v>
      </c>
      <c r="O3966" s="64" t="n">
        <f aca="false">IF(OR($I3966="",$I3966="NR"),0,IFERROR(MATCH($I3966,GradeList,0),0))</f>
        <v>0</v>
      </c>
      <c r="P3966" s="64" t="n">
        <f aca="false">IF(AND($M3966&gt;0,ISNUMBER(MATCH($F3966,Lists!$A$2:$A$5,0)),ISNUMBER(MATCH($G3966,Lists!$B$2:$B$7,0)),OR($H3966="",$N3966&gt;0),OR($I3966="",$I3966="NR",$O3966&gt;0),IF(ISNUMBER($J3966),AND($J3966&gt;=0,$J3966=INT($J3966)),FALSE())),$J3966,0)</f>
        <v>0</v>
      </c>
      <c r="Q3966" s="64" t="n">
        <f aca="false">IF(AND($P3966&gt;0,$O3966&gt;0),$P3966,0)</f>
        <v>0</v>
      </c>
      <c r="R3966" s="64" t="n">
        <f aca="false">IF(AND($Q3966&gt;0,$O3966&gt;=AtRank),$Q3966,0)</f>
        <v>0</v>
      </c>
      <c r="S3966" s="64" t="n">
        <f aca="false">IF(AND($Q3966&gt;0,$O3966&gt;=AboveRank),$Q3966,0)</f>
        <v>0</v>
      </c>
      <c r="T3966" s="64" t="n">
        <f aca="false">IF($K3966="Less",$P3966,0)</f>
        <v>0</v>
      </c>
      <c r="U3966" s="64" t="n">
        <f aca="false">IF($K3966="Expected",$P3966,0)</f>
        <v>0</v>
      </c>
      <c r="V3966" s="64" t="n">
        <f aca="false">IF($K3966="Better",$P3966,0)</f>
        <v>0</v>
      </c>
      <c r="W3966" s="64" t="n">
        <f aca="false">IF($K3966="U – needs rule",$P3966,0)</f>
        <v>0</v>
      </c>
      <c r="X3966" s="64" t="n">
        <f aca="false">IF($K3966="No Start (attainment only)",$P3966,0)</f>
        <v>0</v>
      </c>
    </row>
    <row r="3967" customFormat="false" ht="15" hidden="false" customHeight="false" outlineLevel="0" collapsed="false">
      <c r="A3967" s="60"/>
      <c r="B3967" s="61" t="str">
        <f aca="false">IF($M3967=0,"",INDEX(Classes!$E$6:$E$420,$M3967))</f>
        <v/>
      </c>
      <c r="C3967" s="62" t="str">
        <f aca="false">IF($M3967=0,"",INDEX(Classes!$H$6:$H$420,$M3967))</f>
        <v/>
      </c>
      <c r="D3967" s="61" t="str">
        <f aca="false">IF($M3967=0,"",INDEX(Classes!$B$6:$B$420,$M3967))</f>
        <v/>
      </c>
      <c r="E3967" s="61" t="str">
        <f aca="false">IF($M3967=0,"",INDEX(Classes!$C$6:$C$420,$M3967))</f>
        <v/>
      </c>
      <c r="F3967" s="63"/>
      <c r="G3967" s="63"/>
      <c r="H3967" s="60"/>
      <c r="I3967" s="60"/>
      <c r="J3967" s="63"/>
      <c r="K3967" s="61" t="str">
        <f aca="false">IF($P3967=0,"",IF($F3967="Baseline","— Baseline",IF($O3967=0,"No result",IF($N3967=0,"No Start (attainment only)",IF(OR($N3967=1,$O3967=1),"U – needs rule",INDEX(MxBody,MATCH($I3967,MxCurr,0),MATCH($H3967,MxStart,0)))))))</f>
        <v/>
      </c>
      <c r="L3967" s="62" t="str">
        <f aca="false">IF(COUNTA($A3967,$F3967,$G3967,$H3967,$I3967,$J3967)=0,"",IF($M3967=0,"✖ كود الصف غير موجود",IF(ISNA(MATCH($F3967,Lists!$A$2:$A$5,0)),"✖ الفترة غير صحيحة",IF(ISNA(MATCH($G3967,Lists!$B$2:$B$7,0)),"✖ المجموعة غير صحيحة",IF(NOT(OR($H3967="",$N3967&gt;0)),"✖ Start غير صحيح",IF(NOT(OR($I3967="",$I3967="NR",$O3967&gt;0)),"✖ Current غير صحيح",IF(NOT(IF(ISNUMBER($J3967),AND($J3967&gt;=0,$J3967=INT($J3967)),FALSE())),"✖ العدد يجب أن يكون صحيحًا ≥ 0",IF(AND($F3967="Baseline",$H3967&lt;&gt;""),"⚠ Baseline: Start لا يدخل في التقدم",IF($K3967="No Start (attainment only)","ℹ تحصيل فقط (بدون Start)",IF($K3967="U – needs rule","ℹ حالة U تحتاج قاعدة معتمدة",IF($K3967="No result","ℹ بدون نتيجة (يُستبعد من التحصيل)","OK")))))))))))</f>
        <v/>
      </c>
      <c r="M3967" s="64" t="n">
        <f aca="false">IF($A3967="",0,IFERROR(MATCH($A3967,Classes!$A$6:$A$420,0),0))</f>
        <v>0</v>
      </c>
      <c r="N3967" s="64" t="n">
        <f aca="false">IF($H3967="",0,IFERROR(MATCH($H3967,GradeList,0),0))</f>
        <v>0</v>
      </c>
      <c r="O3967" s="64" t="n">
        <f aca="false">IF(OR($I3967="",$I3967="NR"),0,IFERROR(MATCH($I3967,GradeList,0),0))</f>
        <v>0</v>
      </c>
      <c r="P3967" s="64" t="n">
        <f aca="false">IF(AND($M3967&gt;0,ISNUMBER(MATCH($F3967,Lists!$A$2:$A$5,0)),ISNUMBER(MATCH($G3967,Lists!$B$2:$B$7,0)),OR($H3967="",$N3967&gt;0),OR($I3967="",$I3967="NR",$O3967&gt;0),IF(ISNUMBER($J3967),AND($J3967&gt;=0,$J3967=INT($J3967)),FALSE())),$J3967,0)</f>
        <v>0</v>
      </c>
      <c r="Q3967" s="64" t="n">
        <f aca="false">IF(AND($P3967&gt;0,$O3967&gt;0),$P3967,0)</f>
        <v>0</v>
      </c>
      <c r="R3967" s="64" t="n">
        <f aca="false">IF(AND($Q3967&gt;0,$O3967&gt;=AtRank),$Q3967,0)</f>
        <v>0</v>
      </c>
      <c r="S3967" s="64" t="n">
        <f aca="false">IF(AND($Q3967&gt;0,$O3967&gt;=AboveRank),$Q3967,0)</f>
        <v>0</v>
      </c>
      <c r="T3967" s="64" t="n">
        <f aca="false">IF($K3967="Less",$P3967,0)</f>
        <v>0</v>
      </c>
      <c r="U3967" s="64" t="n">
        <f aca="false">IF($K3967="Expected",$P3967,0)</f>
        <v>0</v>
      </c>
      <c r="V3967" s="64" t="n">
        <f aca="false">IF($K3967="Better",$P3967,0)</f>
        <v>0</v>
      </c>
      <c r="W3967" s="64" t="n">
        <f aca="false">IF($K3967="U – needs rule",$P3967,0)</f>
        <v>0</v>
      </c>
      <c r="X3967" s="64" t="n">
        <f aca="false">IF($K3967="No Start (attainment only)",$P3967,0)</f>
        <v>0</v>
      </c>
    </row>
    <row r="3968" customFormat="false" ht="15" hidden="false" customHeight="false" outlineLevel="0" collapsed="false">
      <c r="A3968" s="60"/>
      <c r="B3968" s="61" t="str">
        <f aca="false">IF($M3968=0,"",INDEX(Classes!$E$6:$E$420,$M3968))</f>
        <v/>
      </c>
      <c r="C3968" s="62" t="str">
        <f aca="false">IF($M3968=0,"",INDEX(Classes!$H$6:$H$420,$M3968))</f>
        <v/>
      </c>
      <c r="D3968" s="61" t="str">
        <f aca="false">IF($M3968=0,"",INDEX(Classes!$B$6:$B$420,$M3968))</f>
        <v/>
      </c>
      <c r="E3968" s="61" t="str">
        <f aca="false">IF($M3968=0,"",INDEX(Classes!$C$6:$C$420,$M3968))</f>
        <v/>
      </c>
      <c r="F3968" s="63"/>
      <c r="G3968" s="63"/>
      <c r="H3968" s="60"/>
      <c r="I3968" s="60"/>
      <c r="J3968" s="63"/>
      <c r="K3968" s="61" t="str">
        <f aca="false">IF($P3968=0,"",IF($F3968="Baseline","— Baseline",IF($O3968=0,"No result",IF($N3968=0,"No Start (attainment only)",IF(OR($N3968=1,$O3968=1),"U – needs rule",INDEX(MxBody,MATCH($I3968,MxCurr,0),MATCH($H3968,MxStart,0)))))))</f>
        <v/>
      </c>
      <c r="L3968" s="62" t="str">
        <f aca="false">IF(COUNTA($A3968,$F3968,$G3968,$H3968,$I3968,$J3968)=0,"",IF($M3968=0,"✖ كود الصف غير موجود",IF(ISNA(MATCH($F3968,Lists!$A$2:$A$5,0)),"✖ الفترة غير صحيحة",IF(ISNA(MATCH($G3968,Lists!$B$2:$B$7,0)),"✖ المجموعة غير صحيحة",IF(NOT(OR($H3968="",$N3968&gt;0)),"✖ Start غير صحيح",IF(NOT(OR($I3968="",$I3968="NR",$O3968&gt;0)),"✖ Current غير صحيح",IF(NOT(IF(ISNUMBER($J3968),AND($J3968&gt;=0,$J3968=INT($J3968)),FALSE())),"✖ العدد يجب أن يكون صحيحًا ≥ 0",IF(AND($F3968="Baseline",$H3968&lt;&gt;""),"⚠ Baseline: Start لا يدخل في التقدم",IF($K3968="No Start (attainment only)","ℹ تحصيل فقط (بدون Start)",IF($K3968="U – needs rule","ℹ حالة U تحتاج قاعدة معتمدة",IF($K3968="No result","ℹ بدون نتيجة (يُستبعد من التحصيل)","OK")))))))))))</f>
        <v/>
      </c>
      <c r="M3968" s="64" t="n">
        <f aca="false">IF($A3968="",0,IFERROR(MATCH($A3968,Classes!$A$6:$A$420,0),0))</f>
        <v>0</v>
      </c>
      <c r="N3968" s="64" t="n">
        <f aca="false">IF($H3968="",0,IFERROR(MATCH($H3968,GradeList,0),0))</f>
        <v>0</v>
      </c>
      <c r="O3968" s="64" t="n">
        <f aca="false">IF(OR($I3968="",$I3968="NR"),0,IFERROR(MATCH($I3968,GradeList,0),0))</f>
        <v>0</v>
      </c>
      <c r="P3968" s="64" t="n">
        <f aca="false">IF(AND($M3968&gt;0,ISNUMBER(MATCH($F3968,Lists!$A$2:$A$5,0)),ISNUMBER(MATCH($G3968,Lists!$B$2:$B$7,0)),OR($H3968="",$N3968&gt;0),OR($I3968="",$I3968="NR",$O3968&gt;0),IF(ISNUMBER($J3968),AND($J3968&gt;=0,$J3968=INT($J3968)),FALSE())),$J3968,0)</f>
        <v>0</v>
      </c>
      <c r="Q3968" s="64" t="n">
        <f aca="false">IF(AND($P3968&gt;0,$O3968&gt;0),$P3968,0)</f>
        <v>0</v>
      </c>
      <c r="R3968" s="64" t="n">
        <f aca="false">IF(AND($Q3968&gt;0,$O3968&gt;=AtRank),$Q3968,0)</f>
        <v>0</v>
      </c>
      <c r="S3968" s="64" t="n">
        <f aca="false">IF(AND($Q3968&gt;0,$O3968&gt;=AboveRank),$Q3968,0)</f>
        <v>0</v>
      </c>
      <c r="T3968" s="64" t="n">
        <f aca="false">IF($K3968="Less",$P3968,0)</f>
        <v>0</v>
      </c>
      <c r="U3968" s="64" t="n">
        <f aca="false">IF($K3968="Expected",$P3968,0)</f>
        <v>0</v>
      </c>
      <c r="V3968" s="64" t="n">
        <f aca="false">IF($K3968="Better",$P3968,0)</f>
        <v>0</v>
      </c>
      <c r="W3968" s="64" t="n">
        <f aca="false">IF($K3968="U – needs rule",$P3968,0)</f>
        <v>0</v>
      </c>
      <c r="X3968" s="64" t="n">
        <f aca="false">IF($K3968="No Start (attainment only)",$P3968,0)</f>
        <v>0</v>
      </c>
    </row>
    <row r="3969" customFormat="false" ht="15" hidden="false" customHeight="false" outlineLevel="0" collapsed="false">
      <c r="A3969" s="60"/>
      <c r="B3969" s="61" t="str">
        <f aca="false">IF($M3969=0,"",INDEX(Classes!$E$6:$E$420,$M3969))</f>
        <v/>
      </c>
      <c r="C3969" s="62" t="str">
        <f aca="false">IF($M3969=0,"",INDEX(Classes!$H$6:$H$420,$M3969))</f>
        <v/>
      </c>
      <c r="D3969" s="61" t="str">
        <f aca="false">IF($M3969=0,"",INDEX(Classes!$B$6:$B$420,$M3969))</f>
        <v/>
      </c>
      <c r="E3969" s="61" t="str">
        <f aca="false">IF($M3969=0,"",INDEX(Classes!$C$6:$C$420,$M3969))</f>
        <v/>
      </c>
      <c r="F3969" s="63"/>
      <c r="G3969" s="63"/>
      <c r="H3969" s="60"/>
      <c r="I3969" s="60"/>
      <c r="J3969" s="63"/>
      <c r="K3969" s="61" t="str">
        <f aca="false">IF($P3969=0,"",IF($F3969="Baseline","— Baseline",IF($O3969=0,"No result",IF($N3969=0,"No Start (attainment only)",IF(OR($N3969=1,$O3969=1),"U – needs rule",INDEX(MxBody,MATCH($I3969,MxCurr,0),MATCH($H3969,MxStart,0)))))))</f>
        <v/>
      </c>
      <c r="L3969" s="62" t="str">
        <f aca="false">IF(COUNTA($A3969,$F3969,$G3969,$H3969,$I3969,$J3969)=0,"",IF($M3969=0,"✖ كود الصف غير موجود",IF(ISNA(MATCH($F3969,Lists!$A$2:$A$5,0)),"✖ الفترة غير صحيحة",IF(ISNA(MATCH($G3969,Lists!$B$2:$B$7,0)),"✖ المجموعة غير صحيحة",IF(NOT(OR($H3969="",$N3969&gt;0)),"✖ Start غير صحيح",IF(NOT(OR($I3969="",$I3969="NR",$O3969&gt;0)),"✖ Current غير صحيح",IF(NOT(IF(ISNUMBER($J3969),AND($J3969&gt;=0,$J3969=INT($J3969)),FALSE())),"✖ العدد يجب أن يكون صحيحًا ≥ 0",IF(AND($F3969="Baseline",$H3969&lt;&gt;""),"⚠ Baseline: Start لا يدخل في التقدم",IF($K3969="No Start (attainment only)","ℹ تحصيل فقط (بدون Start)",IF($K3969="U – needs rule","ℹ حالة U تحتاج قاعدة معتمدة",IF($K3969="No result","ℹ بدون نتيجة (يُستبعد من التحصيل)","OK")))))))))))</f>
        <v/>
      </c>
      <c r="M3969" s="64" t="n">
        <f aca="false">IF($A3969="",0,IFERROR(MATCH($A3969,Classes!$A$6:$A$420,0),0))</f>
        <v>0</v>
      </c>
      <c r="N3969" s="64" t="n">
        <f aca="false">IF($H3969="",0,IFERROR(MATCH($H3969,GradeList,0),0))</f>
        <v>0</v>
      </c>
      <c r="O3969" s="64" t="n">
        <f aca="false">IF(OR($I3969="",$I3969="NR"),0,IFERROR(MATCH($I3969,GradeList,0),0))</f>
        <v>0</v>
      </c>
      <c r="P3969" s="64" t="n">
        <f aca="false">IF(AND($M3969&gt;0,ISNUMBER(MATCH($F3969,Lists!$A$2:$A$5,0)),ISNUMBER(MATCH($G3969,Lists!$B$2:$B$7,0)),OR($H3969="",$N3969&gt;0),OR($I3969="",$I3969="NR",$O3969&gt;0),IF(ISNUMBER($J3969),AND($J3969&gt;=0,$J3969=INT($J3969)),FALSE())),$J3969,0)</f>
        <v>0</v>
      </c>
      <c r="Q3969" s="64" t="n">
        <f aca="false">IF(AND($P3969&gt;0,$O3969&gt;0),$P3969,0)</f>
        <v>0</v>
      </c>
      <c r="R3969" s="64" t="n">
        <f aca="false">IF(AND($Q3969&gt;0,$O3969&gt;=AtRank),$Q3969,0)</f>
        <v>0</v>
      </c>
      <c r="S3969" s="64" t="n">
        <f aca="false">IF(AND($Q3969&gt;0,$O3969&gt;=AboveRank),$Q3969,0)</f>
        <v>0</v>
      </c>
      <c r="T3969" s="64" t="n">
        <f aca="false">IF($K3969="Less",$P3969,0)</f>
        <v>0</v>
      </c>
      <c r="U3969" s="64" t="n">
        <f aca="false">IF($K3969="Expected",$P3969,0)</f>
        <v>0</v>
      </c>
      <c r="V3969" s="64" t="n">
        <f aca="false">IF($K3969="Better",$P3969,0)</f>
        <v>0</v>
      </c>
      <c r="W3969" s="64" t="n">
        <f aca="false">IF($K3969="U – needs rule",$P3969,0)</f>
        <v>0</v>
      </c>
      <c r="X3969" s="64" t="n">
        <f aca="false">IF($K3969="No Start (attainment only)",$P3969,0)</f>
        <v>0</v>
      </c>
    </row>
    <row r="3970" customFormat="false" ht="15" hidden="false" customHeight="false" outlineLevel="0" collapsed="false">
      <c r="A3970" s="60"/>
      <c r="B3970" s="61" t="str">
        <f aca="false">IF($M3970=0,"",INDEX(Classes!$E$6:$E$420,$M3970))</f>
        <v/>
      </c>
      <c r="C3970" s="62" t="str">
        <f aca="false">IF($M3970=0,"",INDEX(Classes!$H$6:$H$420,$M3970))</f>
        <v/>
      </c>
      <c r="D3970" s="61" t="str">
        <f aca="false">IF($M3970=0,"",INDEX(Classes!$B$6:$B$420,$M3970))</f>
        <v/>
      </c>
      <c r="E3970" s="61" t="str">
        <f aca="false">IF($M3970=0,"",INDEX(Classes!$C$6:$C$420,$M3970))</f>
        <v/>
      </c>
      <c r="F3970" s="63"/>
      <c r="G3970" s="63"/>
      <c r="H3970" s="60"/>
      <c r="I3970" s="60"/>
      <c r="J3970" s="63"/>
      <c r="K3970" s="61" t="str">
        <f aca="false">IF($P3970=0,"",IF($F3970="Baseline","— Baseline",IF($O3970=0,"No result",IF($N3970=0,"No Start (attainment only)",IF(OR($N3970=1,$O3970=1),"U – needs rule",INDEX(MxBody,MATCH($I3970,MxCurr,0),MATCH($H3970,MxStart,0)))))))</f>
        <v/>
      </c>
      <c r="L3970" s="62" t="str">
        <f aca="false">IF(COUNTA($A3970,$F3970,$G3970,$H3970,$I3970,$J3970)=0,"",IF($M3970=0,"✖ كود الصف غير موجود",IF(ISNA(MATCH($F3970,Lists!$A$2:$A$5,0)),"✖ الفترة غير صحيحة",IF(ISNA(MATCH($G3970,Lists!$B$2:$B$7,0)),"✖ المجموعة غير صحيحة",IF(NOT(OR($H3970="",$N3970&gt;0)),"✖ Start غير صحيح",IF(NOT(OR($I3970="",$I3970="NR",$O3970&gt;0)),"✖ Current غير صحيح",IF(NOT(IF(ISNUMBER($J3970),AND($J3970&gt;=0,$J3970=INT($J3970)),FALSE())),"✖ العدد يجب أن يكون صحيحًا ≥ 0",IF(AND($F3970="Baseline",$H3970&lt;&gt;""),"⚠ Baseline: Start لا يدخل في التقدم",IF($K3970="No Start (attainment only)","ℹ تحصيل فقط (بدون Start)",IF($K3970="U – needs rule","ℹ حالة U تحتاج قاعدة معتمدة",IF($K3970="No result","ℹ بدون نتيجة (يُستبعد من التحصيل)","OK")))))))))))</f>
        <v/>
      </c>
      <c r="M3970" s="64" t="n">
        <f aca="false">IF($A3970="",0,IFERROR(MATCH($A3970,Classes!$A$6:$A$420,0),0))</f>
        <v>0</v>
      </c>
      <c r="N3970" s="64" t="n">
        <f aca="false">IF($H3970="",0,IFERROR(MATCH($H3970,GradeList,0),0))</f>
        <v>0</v>
      </c>
      <c r="O3970" s="64" t="n">
        <f aca="false">IF(OR($I3970="",$I3970="NR"),0,IFERROR(MATCH($I3970,GradeList,0),0))</f>
        <v>0</v>
      </c>
      <c r="P3970" s="64" t="n">
        <f aca="false">IF(AND($M3970&gt;0,ISNUMBER(MATCH($F3970,Lists!$A$2:$A$5,0)),ISNUMBER(MATCH($G3970,Lists!$B$2:$B$7,0)),OR($H3970="",$N3970&gt;0),OR($I3970="",$I3970="NR",$O3970&gt;0),IF(ISNUMBER($J3970),AND($J3970&gt;=0,$J3970=INT($J3970)),FALSE())),$J3970,0)</f>
        <v>0</v>
      </c>
      <c r="Q3970" s="64" t="n">
        <f aca="false">IF(AND($P3970&gt;0,$O3970&gt;0),$P3970,0)</f>
        <v>0</v>
      </c>
      <c r="R3970" s="64" t="n">
        <f aca="false">IF(AND($Q3970&gt;0,$O3970&gt;=AtRank),$Q3970,0)</f>
        <v>0</v>
      </c>
      <c r="S3970" s="64" t="n">
        <f aca="false">IF(AND($Q3970&gt;0,$O3970&gt;=AboveRank),$Q3970,0)</f>
        <v>0</v>
      </c>
      <c r="T3970" s="64" t="n">
        <f aca="false">IF($K3970="Less",$P3970,0)</f>
        <v>0</v>
      </c>
      <c r="U3970" s="64" t="n">
        <f aca="false">IF($K3970="Expected",$P3970,0)</f>
        <v>0</v>
      </c>
      <c r="V3970" s="64" t="n">
        <f aca="false">IF($K3970="Better",$P3970,0)</f>
        <v>0</v>
      </c>
      <c r="W3970" s="64" t="n">
        <f aca="false">IF($K3970="U – needs rule",$P3970,0)</f>
        <v>0</v>
      </c>
      <c r="X3970" s="64" t="n">
        <f aca="false">IF($K3970="No Start (attainment only)",$P3970,0)</f>
        <v>0</v>
      </c>
    </row>
    <row r="3971" customFormat="false" ht="15" hidden="false" customHeight="false" outlineLevel="0" collapsed="false">
      <c r="A3971" s="60"/>
      <c r="B3971" s="61" t="str">
        <f aca="false">IF($M3971=0,"",INDEX(Classes!$E$6:$E$420,$M3971))</f>
        <v/>
      </c>
      <c r="C3971" s="62" t="str">
        <f aca="false">IF($M3971=0,"",INDEX(Classes!$H$6:$H$420,$M3971))</f>
        <v/>
      </c>
      <c r="D3971" s="61" t="str">
        <f aca="false">IF($M3971=0,"",INDEX(Classes!$B$6:$B$420,$M3971))</f>
        <v/>
      </c>
      <c r="E3971" s="61" t="str">
        <f aca="false">IF($M3971=0,"",INDEX(Classes!$C$6:$C$420,$M3971))</f>
        <v/>
      </c>
      <c r="F3971" s="63"/>
      <c r="G3971" s="63"/>
      <c r="H3971" s="60"/>
      <c r="I3971" s="60"/>
      <c r="J3971" s="63"/>
      <c r="K3971" s="61" t="str">
        <f aca="false">IF($P3971=0,"",IF($F3971="Baseline","— Baseline",IF($O3971=0,"No result",IF($N3971=0,"No Start (attainment only)",IF(OR($N3971=1,$O3971=1),"U – needs rule",INDEX(MxBody,MATCH($I3971,MxCurr,0),MATCH($H3971,MxStart,0)))))))</f>
        <v/>
      </c>
      <c r="L3971" s="62" t="str">
        <f aca="false">IF(COUNTA($A3971,$F3971,$G3971,$H3971,$I3971,$J3971)=0,"",IF($M3971=0,"✖ كود الصف غير موجود",IF(ISNA(MATCH($F3971,Lists!$A$2:$A$5,0)),"✖ الفترة غير صحيحة",IF(ISNA(MATCH($G3971,Lists!$B$2:$B$7,0)),"✖ المجموعة غير صحيحة",IF(NOT(OR($H3971="",$N3971&gt;0)),"✖ Start غير صحيح",IF(NOT(OR($I3971="",$I3971="NR",$O3971&gt;0)),"✖ Current غير صحيح",IF(NOT(IF(ISNUMBER($J3971),AND($J3971&gt;=0,$J3971=INT($J3971)),FALSE())),"✖ العدد يجب أن يكون صحيحًا ≥ 0",IF(AND($F3971="Baseline",$H3971&lt;&gt;""),"⚠ Baseline: Start لا يدخل في التقدم",IF($K3971="No Start (attainment only)","ℹ تحصيل فقط (بدون Start)",IF($K3971="U – needs rule","ℹ حالة U تحتاج قاعدة معتمدة",IF($K3971="No result","ℹ بدون نتيجة (يُستبعد من التحصيل)","OK")))))))))))</f>
        <v/>
      </c>
      <c r="M3971" s="64" t="n">
        <f aca="false">IF($A3971="",0,IFERROR(MATCH($A3971,Classes!$A$6:$A$420,0),0))</f>
        <v>0</v>
      </c>
      <c r="N3971" s="64" t="n">
        <f aca="false">IF($H3971="",0,IFERROR(MATCH($H3971,GradeList,0),0))</f>
        <v>0</v>
      </c>
      <c r="O3971" s="64" t="n">
        <f aca="false">IF(OR($I3971="",$I3971="NR"),0,IFERROR(MATCH($I3971,GradeList,0),0))</f>
        <v>0</v>
      </c>
      <c r="P3971" s="64" t="n">
        <f aca="false">IF(AND($M3971&gt;0,ISNUMBER(MATCH($F3971,Lists!$A$2:$A$5,0)),ISNUMBER(MATCH($G3971,Lists!$B$2:$B$7,0)),OR($H3971="",$N3971&gt;0),OR($I3971="",$I3971="NR",$O3971&gt;0),IF(ISNUMBER($J3971),AND($J3971&gt;=0,$J3971=INT($J3971)),FALSE())),$J3971,0)</f>
        <v>0</v>
      </c>
      <c r="Q3971" s="64" t="n">
        <f aca="false">IF(AND($P3971&gt;0,$O3971&gt;0),$P3971,0)</f>
        <v>0</v>
      </c>
      <c r="R3971" s="64" t="n">
        <f aca="false">IF(AND($Q3971&gt;0,$O3971&gt;=AtRank),$Q3971,0)</f>
        <v>0</v>
      </c>
      <c r="S3971" s="64" t="n">
        <f aca="false">IF(AND($Q3971&gt;0,$O3971&gt;=AboveRank),$Q3971,0)</f>
        <v>0</v>
      </c>
      <c r="T3971" s="64" t="n">
        <f aca="false">IF($K3971="Less",$P3971,0)</f>
        <v>0</v>
      </c>
      <c r="U3971" s="64" t="n">
        <f aca="false">IF($K3971="Expected",$P3971,0)</f>
        <v>0</v>
      </c>
      <c r="V3971" s="64" t="n">
        <f aca="false">IF($K3971="Better",$P3971,0)</f>
        <v>0</v>
      </c>
      <c r="W3971" s="64" t="n">
        <f aca="false">IF($K3971="U – needs rule",$P3971,0)</f>
        <v>0</v>
      </c>
      <c r="X3971" s="64" t="n">
        <f aca="false">IF($K3971="No Start (attainment only)",$P3971,0)</f>
        <v>0</v>
      </c>
    </row>
    <row r="3972" customFormat="false" ht="15" hidden="false" customHeight="false" outlineLevel="0" collapsed="false">
      <c r="A3972" s="60"/>
      <c r="B3972" s="61" t="str">
        <f aca="false">IF($M3972=0,"",INDEX(Classes!$E$6:$E$420,$M3972))</f>
        <v/>
      </c>
      <c r="C3972" s="62" t="str">
        <f aca="false">IF($M3972=0,"",INDEX(Classes!$H$6:$H$420,$M3972))</f>
        <v/>
      </c>
      <c r="D3972" s="61" t="str">
        <f aca="false">IF($M3972=0,"",INDEX(Classes!$B$6:$B$420,$M3972))</f>
        <v/>
      </c>
      <c r="E3972" s="61" t="str">
        <f aca="false">IF($M3972=0,"",INDEX(Classes!$C$6:$C$420,$M3972))</f>
        <v/>
      </c>
      <c r="F3972" s="63"/>
      <c r="G3972" s="63"/>
      <c r="H3972" s="60"/>
      <c r="I3972" s="60"/>
      <c r="J3972" s="63"/>
      <c r="K3972" s="61" t="str">
        <f aca="false">IF($P3972=0,"",IF($F3972="Baseline","— Baseline",IF($O3972=0,"No result",IF($N3972=0,"No Start (attainment only)",IF(OR($N3972=1,$O3972=1),"U – needs rule",INDEX(MxBody,MATCH($I3972,MxCurr,0),MATCH($H3972,MxStart,0)))))))</f>
        <v/>
      </c>
      <c r="L3972" s="62" t="str">
        <f aca="false">IF(COUNTA($A3972,$F3972,$G3972,$H3972,$I3972,$J3972)=0,"",IF($M3972=0,"✖ كود الصف غير موجود",IF(ISNA(MATCH($F3972,Lists!$A$2:$A$5,0)),"✖ الفترة غير صحيحة",IF(ISNA(MATCH($G3972,Lists!$B$2:$B$7,0)),"✖ المجموعة غير صحيحة",IF(NOT(OR($H3972="",$N3972&gt;0)),"✖ Start غير صحيح",IF(NOT(OR($I3972="",$I3972="NR",$O3972&gt;0)),"✖ Current غير صحيح",IF(NOT(IF(ISNUMBER($J3972),AND($J3972&gt;=0,$J3972=INT($J3972)),FALSE())),"✖ العدد يجب أن يكون صحيحًا ≥ 0",IF(AND($F3972="Baseline",$H3972&lt;&gt;""),"⚠ Baseline: Start لا يدخل في التقدم",IF($K3972="No Start (attainment only)","ℹ تحصيل فقط (بدون Start)",IF($K3972="U – needs rule","ℹ حالة U تحتاج قاعدة معتمدة",IF($K3972="No result","ℹ بدون نتيجة (يُستبعد من التحصيل)","OK")))))))))))</f>
        <v/>
      </c>
      <c r="M3972" s="64" t="n">
        <f aca="false">IF($A3972="",0,IFERROR(MATCH($A3972,Classes!$A$6:$A$420,0),0))</f>
        <v>0</v>
      </c>
      <c r="N3972" s="64" t="n">
        <f aca="false">IF($H3972="",0,IFERROR(MATCH($H3972,GradeList,0),0))</f>
        <v>0</v>
      </c>
      <c r="O3972" s="64" t="n">
        <f aca="false">IF(OR($I3972="",$I3972="NR"),0,IFERROR(MATCH($I3972,GradeList,0),0))</f>
        <v>0</v>
      </c>
      <c r="P3972" s="64" t="n">
        <f aca="false">IF(AND($M3972&gt;0,ISNUMBER(MATCH($F3972,Lists!$A$2:$A$5,0)),ISNUMBER(MATCH($G3972,Lists!$B$2:$B$7,0)),OR($H3972="",$N3972&gt;0),OR($I3972="",$I3972="NR",$O3972&gt;0),IF(ISNUMBER($J3972),AND($J3972&gt;=0,$J3972=INT($J3972)),FALSE())),$J3972,0)</f>
        <v>0</v>
      </c>
      <c r="Q3972" s="64" t="n">
        <f aca="false">IF(AND($P3972&gt;0,$O3972&gt;0),$P3972,0)</f>
        <v>0</v>
      </c>
      <c r="R3972" s="64" t="n">
        <f aca="false">IF(AND($Q3972&gt;0,$O3972&gt;=AtRank),$Q3972,0)</f>
        <v>0</v>
      </c>
      <c r="S3972" s="64" t="n">
        <f aca="false">IF(AND($Q3972&gt;0,$O3972&gt;=AboveRank),$Q3972,0)</f>
        <v>0</v>
      </c>
      <c r="T3972" s="64" t="n">
        <f aca="false">IF($K3972="Less",$P3972,0)</f>
        <v>0</v>
      </c>
      <c r="U3972" s="64" t="n">
        <f aca="false">IF($K3972="Expected",$P3972,0)</f>
        <v>0</v>
      </c>
      <c r="V3972" s="64" t="n">
        <f aca="false">IF($K3972="Better",$P3972,0)</f>
        <v>0</v>
      </c>
      <c r="W3972" s="64" t="n">
        <f aca="false">IF($K3972="U – needs rule",$P3972,0)</f>
        <v>0</v>
      </c>
      <c r="X3972" s="64" t="n">
        <f aca="false">IF($K3972="No Start (attainment only)",$P3972,0)</f>
        <v>0</v>
      </c>
    </row>
    <row r="3973" customFormat="false" ht="15" hidden="false" customHeight="false" outlineLevel="0" collapsed="false">
      <c r="A3973" s="60"/>
      <c r="B3973" s="61" t="str">
        <f aca="false">IF($M3973=0,"",INDEX(Classes!$E$6:$E$420,$M3973))</f>
        <v/>
      </c>
      <c r="C3973" s="62" t="str">
        <f aca="false">IF($M3973=0,"",INDEX(Classes!$H$6:$H$420,$M3973))</f>
        <v/>
      </c>
      <c r="D3973" s="61" t="str">
        <f aca="false">IF($M3973=0,"",INDEX(Classes!$B$6:$B$420,$M3973))</f>
        <v/>
      </c>
      <c r="E3973" s="61" t="str">
        <f aca="false">IF($M3973=0,"",INDEX(Classes!$C$6:$C$420,$M3973))</f>
        <v/>
      </c>
      <c r="F3973" s="63"/>
      <c r="G3973" s="63"/>
      <c r="H3973" s="60"/>
      <c r="I3973" s="60"/>
      <c r="J3973" s="63"/>
      <c r="K3973" s="61" t="str">
        <f aca="false">IF($P3973=0,"",IF($F3973="Baseline","— Baseline",IF($O3973=0,"No result",IF($N3973=0,"No Start (attainment only)",IF(OR($N3973=1,$O3973=1),"U – needs rule",INDEX(MxBody,MATCH($I3973,MxCurr,0),MATCH($H3973,MxStart,0)))))))</f>
        <v/>
      </c>
      <c r="L3973" s="62" t="str">
        <f aca="false">IF(COUNTA($A3973,$F3973,$G3973,$H3973,$I3973,$J3973)=0,"",IF($M3973=0,"✖ كود الصف غير موجود",IF(ISNA(MATCH($F3973,Lists!$A$2:$A$5,0)),"✖ الفترة غير صحيحة",IF(ISNA(MATCH($G3973,Lists!$B$2:$B$7,0)),"✖ المجموعة غير صحيحة",IF(NOT(OR($H3973="",$N3973&gt;0)),"✖ Start غير صحيح",IF(NOT(OR($I3973="",$I3973="NR",$O3973&gt;0)),"✖ Current غير صحيح",IF(NOT(IF(ISNUMBER($J3973),AND($J3973&gt;=0,$J3973=INT($J3973)),FALSE())),"✖ العدد يجب أن يكون صحيحًا ≥ 0",IF(AND($F3973="Baseline",$H3973&lt;&gt;""),"⚠ Baseline: Start لا يدخل في التقدم",IF($K3973="No Start (attainment only)","ℹ تحصيل فقط (بدون Start)",IF($K3973="U – needs rule","ℹ حالة U تحتاج قاعدة معتمدة",IF($K3973="No result","ℹ بدون نتيجة (يُستبعد من التحصيل)","OK")))))))))))</f>
        <v/>
      </c>
      <c r="M3973" s="64" t="n">
        <f aca="false">IF($A3973="",0,IFERROR(MATCH($A3973,Classes!$A$6:$A$420,0),0))</f>
        <v>0</v>
      </c>
      <c r="N3973" s="64" t="n">
        <f aca="false">IF($H3973="",0,IFERROR(MATCH($H3973,GradeList,0),0))</f>
        <v>0</v>
      </c>
      <c r="O3973" s="64" t="n">
        <f aca="false">IF(OR($I3973="",$I3973="NR"),0,IFERROR(MATCH($I3973,GradeList,0),0))</f>
        <v>0</v>
      </c>
      <c r="P3973" s="64" t="n">
        <f aca="false">IF(AND($M3973&gt;0,ISNUMBER(MATCH($F3973,Lists!$A$2:$A$5,0)),ISNUMBER(MATCH($G3973,Lists!$B$2:$B$7,0)),OR($H3973="",$N3973&gt;0),OR($I3973="",$I3973="NR",$O3973&gt;0),IF(ISNUMBER($J3973),AND($J3973&gt;=0,$J3973=INT($J3973)),FALSE())),$J3973,0)</f>
        <v>0</v>
      </c>
      <c r="Q3973" s="64" t="n">
        <f aca="false">IF(AND($P3973&gt;0,$O3973&gt;0),$P3973,0)</f>
        <v>0</v>
      </c>
      <c r="R3973" s="64" t="n">
        <f aca="false">IF(AND($Q3973&gt;0,$O3973&gt;=AtRank),$Q3973,0)</f>
        <v>0</v>
      </c>
      <c r="S3973" s="64" t="n">
        <f aca="false">IF(AND($Q3973&gt;0,$O3973&gt;=AboveRank),$Q3973,0)</f>
        <v>0</v>
      </c>
      <c r="T3973" s="64" t="n">
        <f aca="false">IF($K3973="Less",$P3973,0)</f>
        <v>0</v>
      </c>
      <c r="U3973" s="64" t="n">
        <f aca="false">IF($K3973="Expected",$P3973,0)</f>
        <v>0</v>
      </c>
      <c r="V3973" s="64" t="n">
        <f aca="false">IF($K3973="Better",$P3973,0)</f>
        <v>0</v>
      </c>
      <c r="W3973" s="64" t="n">
        <f aca="false">IF($K3973="U – needs rule",$P3973,0)</f>
        <v>0</v>
      </c>
      <c r="X3973" s="64" t="n">
        <f aca="false">IF($K3973="No Start (attainment only)",$P3973,0)</f>
        <v>0</v>
      </c>
    </row>
    <row r="3974" customFormat="false" ht="15" hidden="false" customHeight="false" outlineLevel="0" collapsed="false">
      <c r="A3974" s="60"/>
      <c r="B3974" s="61" t="str">
        <f aca="false">IF($M3974=0,"",INDEX(Classes!$E$6:$E$420,$M3974))</f>
        <v/>
      </c>
      <c r="C3974" s="62" t="str">
        <f aca="false">IF($M3974=0,"",INDEX(Classes!$H$6:$H$420,$M3974))</f>
        <v/>
      </c>
      <c r="D3974" s="61" t="str">
        <f aca="false">IF($M3974=0,"",INDEX(Classes!$B$6:$B$420,$M3974))</f>
        <v/>
      </c>
      <c r="E3974" s="61" t="str">
        <f aca="false">IF($M3974=0,"",INDEX(Classes!$C$6:$C$420,$M3974))</f>
        <v/>
      </c>
      <c r="F3974" s="63"/>
      <c r="G3974" s="63"/>
      <c r="H3974" s="60"/>
      <c r="I3974" s="60"/>
      <c r="J3974" s="63"/>
      <c r="K3974" s="61" t="str">
        <f aca="false">IF($P3974=0,"",IF($F3974="Baseline","— Baseline",IF($O3974=0,"No result",IF($N3974=0,"No Start (attainment only)",IF(OR($N3974=1,$O3974=1),"U – needs rule",INDEX(MxBody,MATCH($I3974,MxCurr,0),MATCH($H3974,MxStart,0)))))))</f>
        <v/>
      </c>
      <c r="L3974" s="62" t="str">
        <f aca="false">IF(COUNTA($A3974,$F3974,$G3974,$H3974,$I3974,$J3974)=0,"",IF($M3974=0,"✖ كود الصف غير موجود",IF(ISNA(MATCH($F3974,Lists!$A$2:$A$5,0)),"✖ الفترة غير صحيحة",IF(ISNA(MATCH($G3974,Lists!$B$2:$B$7,0)),"✖ المجموعة غير صحيحة",IF(NOT(OR($H3974="",$N3974&gt;0)),"✖ Start غير صحيح",IF(NOT(OR($I3974="",$I3974="NR",$O3974&gt;0)),"✖ Current غير صحيح",IF(NOT(IF(ISNUMBER($J3974),AND($J3974&gt;=0,$J3974=INT($J3974)),FALSE())),"✖ العدد يجب أن يكون صحيحًا ≥ 0",IF(AND($F3974="Baseline",$H3974&lt;&gt;""),"⚠ Baseline: Start لا يدخل في التقدم",IF($K3974="No Start (attainment only)","ℹ تحصيل فقط (بدون Start)",IF($K3974="U – needs rule","ℹ حالة U تحتاج قاعدة معتمدة",IF($K3974="No result","ℹ بدون نتيجة (يُستبعد من التحصيل)","OK")))))))))))</f>
        <v/>
      </c>
      <c r="M3974" s="64" t="n">
        <f aca="false">IF($A3974="",0,IFERROR(MATCH($A3974,Classes!$A$6:$A$420,0),0))</f>
        <v>0</v>
      </c>
      <c r="N3974" s="64" t="n">
        <f aca="false">IF($H3974="",0,IFERROR(MATCH($H3974,GradeList,0),0))</f>
        <v>0</v>
      </c>
      <c r="O3974" s="64" t="n">
        <f aca="false">IF(OR($I3974="",$I3974="NR"),0,IFERROR(MATCH($I3974,GradeList,0),0))</f>
        <v>0</v>
      </c>
      <c r="P3974" s="64" t="n">
        <f aca="false">IF(AND($M3974&gt;0,ISNUMBER(MATCH($F3974,Lists!$A$2:$A$5,0)),ISNUMBER(MATCH($G3974,Lists!$B$2:$B$7,0)),OR($H3974="",$N3974&gt;0),OR($I3974="",$I3974="NR",$O3974&gt;0),IF(ISNUMBER($J3974),AND($J3974&gt;=0,$J3974=INT($J3974)),FALSE())),$J3974,0)</f>
        <v>0</v>
      </c>
      <c r="Q3974" s="64" t="n">
        <f aca="false">IF(AND($P3974&gt;0,$O3974&gt;0),$P3974,0)</f>
        <v>0</v>
      </c>
      <c r="R3974" s="64" t="n">
        <f aca="false">IF(AND($Q3974&gt;0,$O3974&gt;=AtRank),$Q3974,0)</f>
        <v>0</v>
      </c>
      <c r="S3974" s="64" t="n">
        <f aca="false">IF(AND($Q3974&gt;0,$O3974&gt;=AboveRank),$Q3974,0)</f>
        <v>0</v>
      </c>
      <c r="T3974" s="64" t="n">
        <f aca="false">IF($K3974="Less",$P3974,0)</f>
        <v>0</v>
      </c>
      <c r="U3974" s="64" t="n">
        <f aca="false">IF($K3974="Expected",$P3974,0)</f>
        <v>0</v>
      </c>
      <c r="V3974" s="64" t="n">
        <f aca="false">IF($K3974="Better",$P3974,0)</f>
        <v>0</v>
      </c>
      <c r="W3974" s="64" t="n">
        <f aca="false">IF($K3974="U – needs rule",$P3974,0)</f>
        <v>0</v>
      </c>
      <c r="X3974" s="64" t="n">
        <f aca="false">IF($K3974="No Start (attainment only)",$P3974,0)</f>
        <v>0</v>
      </c>
    </row>
    <row r="3975" customFormat="false" ht="15" hidden="false" customHeight="false" outlineLevel="0" collapsed="false">
      <c r="A3975" s="60"/>
      <c r="B3975" s="61" t="str">
        <f aca="false">IF($M3975=0,"",INDEX(Classes!$E$6:$E$420,$M3975))</f>
        <v/>
      </c>
      <c r="C3975" s="62" t="str">
        <f aca="false">IF($M3975=0,"",INDEX(Classes!$H$6:$H$420,$M3975))</f>
        <v/>
      </c>
      <c r="D3975" s="61" t="str">
        <f aca="false">IF($M3975=0,"",INDEX(Classes!$B$6:$B$420,$M3975))</f>
        <v/>
      </c>
      <c r="E3975" s="61" t="str">
        <f aca="false">IF($M3975=0,"",INDEX(Classes!$C$6:$C$420,$M3975))</f>
        <v/>
      </c>
      <c r="F3975" s="63"/>
      <c r="G3975" s="63"/>
      <c r="H3975" s="60"/>
      <c r="I3975" s="60"/>
      <c r="J3975" s="63"/>
      <c r="K3975" s="61" t="str">
        <f aca="false">IF($P3975=0,"",IF($F3975="Baseline","— Baseline",IF($O3975=0,"No result",IF($N3975=0,"No Start (attainment only)",IF(OR($N3975=1,$O3975=1),"U – needs rule",INDEX(MxBody,MATCH($I3975,MxCurr,0),MATCH($H3975,MxStart,0)))))))</f>
        <v/>
      </c>
      <c r="L3975" s="62" t="str">
        <f aca="false">IF(COUNTA($A3975,$F3975,$G3975,$H3975,$I3975,$J3975)=0,"",IF($M3975=0,"✖ كود الصف غير موجود",IF(ISNA(MATCH($F3975,Lists!$A$2:$A$5,0)),"✖ الفترة غير صحيحة",IF(ISNA(MATCH($G3975,Lists!$B$2:$B$7,0)),"✖ المجموعة غير صحيحة",IF(NOT(OR($H3975="",$N3975&gt;0)),"✖ Start غير صحيح",IF(NOT(OR($I3975="",$I3975="NR",$O3975&gt;0)),"✖ Current غير صحيح",IF(NOT(IF(ISNUMBER($J3975),AND($J3975&gt;=0,$J3975=INT($J3975)),FALSE())),"✖ العدد يجب أن يكون صحيحًا ≥ 0",IF(AND($F3975="Baseline",$H3975&lt;&gt;""),"⚠ Baseline: Start لا يدخل في التقدم",IF($K3975="No Start (attainment only)","ℹ تحصيل فقط (بدون Start)",IF($K3975="U – needs rule","ℹ حالة U تحتاج قاعدة معتمدة",IF($K3975="No result","ℹ بدون نتيجة (يُستبعد من التحصيل)","OK")))))))))))</f>
        <v/>
      </c>
      <c r="M3975" s="64" t="n">
        <f aca="false">IF($A3975="",0,IFERROR(MATCH($A3975,Classes!$A$6:$A$420,0),0))</f>
        <v>0</v>
      </c>
      <c r="N3975" s="64" t="n">
        <f aca="false">IF($H3975="",0,IFERROR(MATCH($H3975,GradeList,0),0))</f>
        <v>0</v>
      </c>
      <c r="O3975" s="64" t="n">
        <f aca="false">IF(OR($I3975="",$I3975="NR"),0,IFERROR(MATCH($I3975,GradeList,0),0))</f>
        <v>0</v>
      </c>
      <c r="P3975" s="64" t="n">
        <f aca="false">IF(AND($M3975&gt;0,ISNUMBER(MATCH($F3975,Lists!$A$2:$A$5,0)),ISNUMBER(MATCH($G3975,Lists!$B$2:$B$7,0)),OR($H3975="",$N3975&gt;0),OR($I3975="",$I3975="NR",$O3975&gt;0),IF(ISNUMBER($J3975),AND($J3975&gt;=0,$J3975=INT($J3975)),FALSE())),$J3975,0)</f>
        <v>0</v>
      </c>
      <c r="Q3975" s="64" t="n">
        <f aca="false">IF(AND($P3975&gt;0,$O3975&gt;0),$P3975,0)</f>
        <v>0</v>
      </c>
      <c r="R3975" s="64" t="n">
        <f aca="false">IF(AND($Q3975&gt;0,$O3975&gt;=AtRank),$Q3975,0)</f>
        <v>0</v>
      </c>
      <c r="S3975" s="64" t="n">
        <f aca="false">IF(AND($Q3975&gt;0,$O3975&gt;=AboveRank),$Q3975,0)</f>
        <v>0</v>
      </c>
      <c r="T3975" s="64" t="n">
        <f aca="false">IF($K3975="Less",$P3975,0)</f>
        <v>0</v>
      </c>
      <c r="U3975" s="64" t="n">
        <f aca="false">IF($K3975="Expected",$P3975,0)</f>
        <v>0</v>
      </c>
      <c r="V3975" s="64" t="n">
        <f aca="false">IF($K3975="Better",$P3975,0)</f>
        <v>0</v>
      </c>
      <c r="W3975" s="64" t="n">
        <f aca="false">IF($K3975="U – needs rule",$P3975,0)</f>
        <v>0</v>
      </c>
      <c r="X3975" s="64" t="n">
        <f aca="false">IF($K3975="No Start (attainment only)",$P3975,0)</f>
        <v>0</v>
      </c>
    </row>
    <row r="3976" customFormat="false" ht="15" hidden="false" customHeight="false" outlineLevel="0" collapsed="false">
      <c r="A3976" s="60"/>
      <c r="B3976" s="61" t="str">
        <f aca="false">IF($M3976=0,"",INDEX(Classes!$E$6:$E$420,$M3976))</f>
        <v/>
      </c>
      <c r="C3976" s="62" t="str">
        <f aca="false">IF($M3976=0,"",INDEX(Classes!$H$6:$H$420,$M3976))</f>
        <v/>
      </c>
      <c r="D3976" s="61" t="str">
        <f aca="false">IF($M3976=0,"",INDEX(Classes!$B$6:$B$420,$M3976))</f>
        <v/>
      </c>
      <c r="E3976" s="61" t="str">
        <f aca="false">IF($M3976=0,"",INDEX(Classes!$C$6:$C$420,$M3976))</f>
        <v/>
      </c>
      <c r="F3976" s="63"/>
      <c r="G3976" s="63"/>
      <c r="H3976" s="60"/>
      <c r="I3976" s="60"/>
      <c r="J3976" s="63"/>
      <c r="K3976" s="61" t="str">
        <f aca="false">IF($P3976=0,"",IF($F3976="Baseline","— Baseline",IF($O3976=0,"No result",IF($N3976=0,"No Start (attainment only)",IF(OR($N3976=1,$O3976=1),"U – needs rule",INDEX(MxBody,MATCH($I3976,MxCurr,0),MATCH($H3976,MxStart,0)))))))</f>
        <v/>
      </c>
      <c r="L3976" s="62" t="str">
        <f aca="false">IF(COUNTA($A3976,$F3976,$G3976,$H3976,$I3976,$J3976)=0,"",IF($M3976=0,"✖ كود الصف غير موجود",IF(ISNA(MATCH($F3976,Lists!$A$2:$A$5,0)),"✖ الفترة غير صحيحة",IF(ISNA(MATCH($G3976,Lists!$B$2:$B$7,0)),"✖ المجموعة غير صحيحة",IF(NOT(OR($H3976="",$N3976&gt;0)),"✖ Start غير صحيح",IF(NOT(OR($I3976="",$I3976="NR",$O3976&gt;0)),"✖ Current غير صحيح",IF(NOT(IF(ISNUMBER($J3976),AND($J3976&gt;=0,$J3976=INT($J3976)),FALSE())),"✖ العدد يجب أن يكون صحيحًا ≥ 0",IF(AND($F3976="Baseline",$H3976&lt;&gt;""),"⚠ Baseline: Start لا يدخل في التقدم",IF($K3976="No Start (attainment only)","ℹ تحصيل فقط (بدون Start)",IF($K3976="U – needs rule","ℹ حالة U تحتاج قاعدة معتمدة",IF($K3976="No result","ℹ بدون نتيجة (يُستبعد من التحصيل)","OK")))))))))))</f>
        <v/>
      </c>
      <c r="M3976" s="64" t="n">
        <f aca="false">IF($A3976="",0,IFERROR(MATCH($A3976,Classes!$A$6:$A$420,0),0))</f>
        <v>0</v>
      </c>
      <c r="N3976" s="64" t="n">
        <f aca="false">IF($H3976="",0,IFERROR(MATCH($H3976,GradeList,0),0))</f>
        <v>0</v>
      </c>
      <c r="O3976" s="64" t="n">
        <f aca="false">IF(OR($I3976="",$I3976="NR"),0,IFERROR(MATCH($I3976,GradeList,0),0))</f>
        <v>0</v>
      </c>
      <c r="P3976" s="64" t="n">
        <f aca="false">IF(AND($M3976&gt;0,ISNUMBER(MATCH($F3976,Lists!$A$2:$A$5,0)),ISNUMBER(MATCH($G3976,Lists!$B$2:$B$7,0)),OR($H3976="",$N3976&gt;0),OR($I3976="",$I3976="NR",$O3976&gt;0),IF(ISNUMBER($J3976),AND($J3976&gt;=0,$J3976=INT($J3976)),FALSE())),$J3976,0)</f>
        <v>0</v>
      </c>
      <c r="Q3976" s="64" t="n">
        <f aca="false">IF(AND($P3976&gt;0,$O3976&gt;0),$P3976,0)</f>
        <v>0</v>
      </c>
      <c r="R3976" s="64" t="n">
        <f aca="false">IF(AND($Q3976&gt;0,$O3976&gt;=AtRank),$Q3976,0)</f>
        <v>0</v>
      </c>
      <c r="S3976" s="64" t="n">
        <f aca="false">IF(AND($Q3976&gt;0,$O3976&gt;=AboveRank),$Q3976,0)</f>
        <v>0</v>
      </c>
      <c r="T3976" s="64" t="n">
        <f aca="false">IF($K3976="Less",$P3976,0)</f>
        <v>0</v>
      </c>
      <c r="U3976" s="64" t="n">
        <f aca="false">IF($K3976="Expected",$P3976,0)</f>
        <v>0</v>
      </c>
      <c r="V3976" s="64" t="n">
        <f aca="false">IF($K3976="Better",$P3976,0)</f>
        <v>0</v>
      </c>
      <c r="W3976" s="64" t="n">
        <f aca="false">IF($K3976="U – needs rule",$P3976,0)</f>
        <v>0</v>
      </c>
      <c r="X3976" s="64" t="n">
        <f aca="false">IF($K3976="No Start (attainment only)",$P3976,0)</f>
        <v>0</v>
      </c>
    </row>
    <row r="3977" customFormat="false" ht="15" hidden="false" customHeight="false" outlineLevel="0" collapsed="false">
      <c r="A3977" s="60"/>
      <c r="B3977" s="61" t="str">
        <f aca="false">IF($M3977=0,"",INDEX(Classes!$E$6:$E$420,$M3977))</f>
        <v/>
      </c>
      <c r="C3977" s="62" t="str">
        <f aca="false">IF($M3977=0,"",INDEX(Classes!$H$6:$H$420,$M3977))</f>
        <v/>
      </c>
      <c r="D3977" s="61" t="str">
        <f aca="false">IF($M3977=0,"",INDEX(Classes!$B$6:$B$420,$M3977))</f>
        <v/>
      </c>
      <c r="E3977" s="61" t="str">
        <f aca="false">IF($M3977=0,"",INDEX(Classes!$C$6:$C$420,$M3977))</f>
        <v/>
      </c>
      <c r="F3977" s="63"/>
      <c r="G3977" s="63"/>
      <c r="H3977" s="60"/>
      <c r="I3977" s="60"/>
      <c r="J3977" s="63"/>
      <c r="K3977" s="61" t="str">
        <f aca="false">IF($P3977=0,"",IF($F3977="Baseline","— Baseline",IF($O3977=0,"No result",IF($N3977=0,"No Start (attainment only)",IF(OR($N3977=1,$O3977=1),"U – needs rule",INDEX(MxBody,MATCH($I3977,MxCurr,0),MATCH($H3977,MxStart,0)))))))</f>
        <v/>
      </c>
      <c r="L3977" s="62" t="str">
        <f aca="false">IF(COUNTA($A3977,$F3977,$G3977,$H3977,$I3977,$J3977)=0,"",IF($M3977=0,"✖ كود الصف غير موجود",IF(ISNA(MATCH($F3977,Lists!$A$2:$A$5,0)),"✖ الفترة غير صحيحة",IF(ISNA(MATCH($G3977,Lists!$B$2:$B$7,0)),"✖ المجموعة غير صحيحة",IF(NOT(OR($H3977="",$N3977&gt;0)),"✖ Start غير صحيح",IF(NOT(OR($I3977="",$I3977="NR",$O3977&gt;0)),"✖ Current غير صحيح",IF(NOT(IF(ISNUMBER($J3977),AND($J3977&gt;=0,$J3977=INT($J3977)),FALSE())),"✖ العدد يجب أن يكون صحيحًا ≥ 0",IF(AND($F3977="Baseline",$H3977&lt;&gt;""),"⚠ Baseline: Start لا يدخل في التقدم",IF($K3977="No Start (attainment only)","ℹ تحصيل فقط (بدون Start)",IF($K3977="U – needs rule","ℹ حالة U تحتاج قاعدة معتمدة",IF($K3977="No result","ℹ بدون نتيجة (يُستبعد من التحصيل)","OK")))))))))))</f>
        <v/>
      </c>
      <c r="M3977" s="64" t="n">
        <f aca="false">IF($A3977="",0,IFERROR(MATCH($A3977,Classes!$A$6:$A$420,0),0))</f>
        <v>0</v>
      </c>
      <c r="N3977" s="64" t="n">
        <f aca="false">IF($H3977="",0,IFERROR(MATCH($H3977,GradeList,0),0))</f>
        <v>0</v>
      </c>
      <c r="O3977" s="64" t="n">
        <f aca="false">IF(OR($I3977="",$I3977="NR"),0,IFERROR(MATCH($I3977,GradeList,0),0))</f>
        <v>0</v>
      </c>
      <c r="P3977" s="64" t="n">
        <f aca="false">IF(AND($M3977&gt;0,ISNUMBER(MATCH($F3977,Lists!$A$2:$A$5,0)),ISNUMBER(MATCH($G3977,Lists!$B$2:$B$7,0)),OR($H3977="",$N3977&gt;0),OR($I3977="",$I3977="NR",$O3977&gt;0),IF(ISNUMBER($J3977),AND($J3977&gt;=0,$J3977=INT($J3977)),FALSE())),$J3977,0)</f>
        <v>0</v>
      </c>
      <c r="Q3977" s="64" t="n">
        <f aca="false">IF(AND($P3977&gt;0,$O3977&gt;0),$P3977,0)</f>
        <v>0</v>
      </c>
      <c r="R3977" s="64" t="n">
        <f aca="false">IF(AND($Q3977&gt;0,$O3977&gt;=AtRank),$Q3977,0)</f>
        <v>0</v>
      </c>
      <c r="S3977" s="64" t="n">
        <f aca="false">IF(AND($Q3977&gt;0,$O3977&gt;=AboveRank),$Q3977,0)</f>
        <v>0</v>
      </c>
      <c r="T3977" s="64" t="n">
        <f aca="false">IF($K3977="Less",$P3977,0)</f>
        <v>0</v>
      </c>
      <c r="U3977" s="64" t="n">
        <f aca="false">IF($K3977="Expected",$P3977,0)</f>
        <v>0</v>
      </c>
      <c r="V3977" s="64" t="n">
        <f aca="false">IF($K3977="Better",$P3977,0)</f>
        <v>0</v>
      </c>
      <c r="W3977" s="64" t="n">
        <f aca="false">IF($K3977="U – needs rule",$P3977,0)</f>
        <v>0</v>
      </c>
      <c r="X3977" s="64" t="n">
        <f aca="false">IF($K3977="No Start (attainment only)",$P3977,0)</f>
        <v>0</v>
      </c>
    </row>
    <row r="3978" customFormat="false" ht="15" hidden="false" customHeight="false" outlineLevel="0" collapsed="false">
      <c r="A3978" s="60"/>
      <c r="B3978" s="61" t="str">
        <f aca="false">IF($M3978=0,"",INDEX(Classes!$E$6:$E$420,$M3978))</f>
        <v/>
      </c>
      <c r="C3978" s="62" t="str">
        <f aca="false">IF($M3978=0,"",INDEX(Classes!$H$6:$H$420,$M3978))</f>
        <v/>
      </c>
      <c r="D3978" s="61" t="str">
        <f aca="false">IF($M3978=0,"",INDEX(Classes!$B$6:$B$420,$M3978))</f>
        <v/>
      </c>
      <c r="E3978" s="61" t="str">
        <f aca="false">IF($M3978=0,"",INDEX(Classes!$C$6:$C$420,$M3978))</f>
        <v/>
      </c>
      <c r="F3978" s="63"/>
      <c r="G3978" s="63"/>
      <c r="H3978" s="60"/>
      <c r="I3978" s="60"/>
      <c r="J3978" s="63"/>
      <c r="K3978" s="61" t="str">
        <f aca="false">IF($P3978=0,"",IF($F3978="Baseline","— Baseline",IF($O3978=0,"No result",IF($N3978=0,"No Start (attainment only)",IF(OR($N3978=1,$O3978=1),"U – needs rule",INDEX(MxBody,MATCH($I3978,MxCurr,0),MATCH($H3978,MxStart,0)))))))</f>
        <v/>
      </c>
      <c r="L3978" s="62" t="str">
        <f aca="false">IF(COUNTA($A3978,$F3978,$G3978,$H3978,$I3978,$J3978)=0,"",IF($M3978=0,"✖ كود الصف غير موجود",IF(ISNA(MATCH($F3978,Lists!$A$2:$A$5,0)),"✖ الفترة غير صحيحة",IF(ISNA(MATCH($G3978,Lists!$B$2:$B$7,0)),"✖ المجموعة غير صحيحة",IF(NOT(OR($H3978="",$N3978&gt;0)),"✖ Start غير صحيح",IF(NOT(OR($I3978="",$I3978="NR",$O3978&gt;0)),"✖ Current غير صحيح",IF(NOT(IF(ISNUMBER($J3978),AND($J3978&gt;=0,$J3978=INT($J3978)),FALSE())),"✖ العدد يجب أن يكون صحيحًا ≥ 0",IF(AND($F3978="Baseline",$H3978&lt;&gt;""),"⚠ Baseline: Start لا يدخل في التقدم",IF($K3978="No Start (attainment only)","ℹ تحصيل فقط (بدون Start)",IF($K3978="U – needs rule","ℹ حالة U تحتاج قاعدة معتمدة",IF($K3978="No result","ℹ بدون نتيجة (يُستبعد من التحصيل)","OK")))))))))))</f>
        <v/>
      </c>
      <c r="M3978" s="64" t="n">
        <f aca="false">IF($A3978="",0,IFERROR(MATCH($A3978,Classes!$A$6:$A$420,0),0))</f>
        <v>0</v>
      </c>
      <c r="N3978" s="64" t="n">
        <f aca="false">IF($H3978="",0,IFERROR(MATCH($H3978,GradeList,0),0))</f>
        <v>0</v>
      </c>
      <c r="O3978" s="64" t="n">
        <f aca="false">IF(OR($I3978="",$I3978="NR"),0,IFERROR(MATCH($I3978,GradeList,0),0))</f>
        <v>0</v>
      </c>
      <c r="P3978" s="64" t="n">
        <f aca="false">IF(AND($M3978&gt;0,ISNUMBER(MATCH($F3978,Lists!$A$2:$A$5,0)),ISNUMBER(MATCH($G3978,Lists!$B$2:$B$7,0)),OR($H3978="",$N3978&gt;0),OR($I3978="",$I3978="NR",$O3978&gt;0),IF(ISNUMBER($J3978),AND($J3978&gt;=0,$J3978=INT($J3978)),FALSE())),$J3978,0)</f>
        <v>0</v>
      </c>
      <c r="Q3978" s="64" t="n">
        <f aca="false">IF(AND($P3978&gt;0,$O3978&gt;0),$P3978,0)</f>
        <v>0</v>
      </c>
      <c r="R3978" s="64" t="n">
        <f aca="false">IF(AND($Q3978&gt;0,$O3978&gt;=AtRank),$Q3978,0)</f>
        <v>0</v>
      </c>
      <c r="S3978" s="64" t="n">
        <f aca="false">IF(AND($Q3978&gt;0,$O3978&gt;=AboveRank),$Q3978,0)</f>
        <v>0</v>
      </c>
      <c r="T3978" s="64" t="n">
        <f aca="false">IF($K3978="Less",$P3978,0)</f>
        <v>0</v>
      </c>
      <c r="U3978" s="64" t="n">
        <f aca="false">IF($K3978="Expected",$P3978,0)</f>
        <v>0</v>
      </c>
      <c r="V3978" s="64" t="n">
        <f aca="false">IF($K3978="Better",$P3978,0)</f>
        <v>0</v>
      </c>
      <c r="W3978" s="64" t="n">
        <f aca="false">IF($K3978="U – needs rule",$P3978,0)</f>
        <v>0</v>
      </c>
      <c r="X3978" s="64" t="n">
        <f aca="false">IF($K3978="No Start (attainment only)",$P3978,0)</f>
        <v>0</v>
      </c>
    </row>
    <row r="3979" customFormat="false" ht="15" hidden="false" customHeight="false" outlineLevel="0" collapsed="false">
      <c r="A3979" s="60"/>
      <c r="B3979" s="61" t="str">
        <f aca="false">IF($M3979=0,"",INDEX(Classes!$E$6:$E$420,$M3979))</f>
        <v/>
      </c>
      <c r="C3979" s="62" t="str">
        <f aca="false">IF($M3979=0,"",INDEX(Classes!$H$6:$H$420,$M3979))</f>
        <v/>
      </c>
      <c r="D3979" s="61" t="str">
        <f aca="false">IF($M3979=0,"",INDEX(Classes!$B$6:$B$420,$M3979))</f>
        <v/>
      </c>
      <c r="E3979" s="61" t="str">
        <f aca="false">IF($M3979=0,"",INDEX(Classes!$C$6:$C$420,$M3979))</f>
        <v/>
      </c>
      <c r="F3979" s="63"/>
      <c r="G3979" s="63"/>
      <c r="H3979" s="60"/>
      <c r="I3979" s="60"/>
      <c r="J3979" s="63"/>
      <c r="K3979" s="61" t="str">
        <f aca="false">IF($P3979=0,"",IF($F3979="Baseline","— Baseline",IF($O3979=0,"No result",IF($N3979=0,"No Start (attainment only)",IF(OR($N3979=1,$O3979=1),"U – needs rule",INDEX(MxBody,MATCH($I3979,MxCurr,0),MATCH($H3979,MxStart,0)))))))</f>
        <v/>
      </c>
      <c r="L3979" s="62" t="str">
        <f aca="false">IF(COUNTA($A3979,$F3979,$G3979,$H3979,$I3979,$J3979)=0,"",IF($M3979=0,"✖ كود الصف غير موجود",IF(ISNA(MATCH($F3979,Lists!$A$2:$A$5,0)),"✖ الفترة غير صحيحة",IF(ISNA(MATCH($G3979,Lists!$B$2:$B$7,0)),"✖ المجموعة غير صحيحة",IF(NOT(OR($H3979="",$N3979&gt;0)),"✖ Start غير صحيح",IF(NOT(OR($I3979="",$I3979="NR",$O3979&gt;0)),"✖ Current غير صحيح",IF(NOT(IF(ISNUMBER($J3979),AND($J3979&gt;=0,$J3979=INT($J3979)),FALSE())),"✖ العدد يجب أن يكون صحيحًا ≥ 0",IF(AND($F3979="Baseline",$H3979&lt;&gt;""),"⚠ Baseline: Start لا يدخل في التقدم",IF($K3979="No Start (attainment only)","ℹ تحصيل فقط (بدون Start)",IF($K3979="U – needs rule","ℹ حالة U تحتاج قاعدة معتمدة",IF($K3979="No result","ℹ بدون نتيجة (يُستبعد من التحصيل)","OK")))))))))))</f>
        <v/>
      </c>
      <c r="M3979" s="64" t="n">
        <f aca="false">IF($A3979="",0,IFERROR(MATCH($A3979,Classes!$A$6:$A$420,0),0))</f>
        <v>0</v>
      </c>
      <c r="N3979" s="64" t="n">
        <f aca="false">IF($H3979="",0,IFERROR(MATCH($H3979,GradeList,0),0))</f>
        <v>0</v>
      </c>
      <c r="O3979" s="64" t="n">
        <f aca="false">IF(OR($I3979="",$I3979="NR"),0,IFERROR(MATCH($I3979,GradeList,0),0))</f>
        <v>0</v>
      </c>
      <c r="P3979" s="64" t="n">
        <f aca="false">IF(AND($M3979&gt;0,ISNUMBER(MATCH($F3979,Lists!$A$2:$A$5,0)),ISNUMBER(MATCH($G3979,Lists!$B$2:$B$7,0)),OR($H3979="",$N3979&gt;0),OR($I3979="",$I3979="NR",$O3979&gt;0),IF(ISNUMBER($J3979),AND($J3979&gt;=0,$J3979=INT($J3979)),FALSE())),$J3979,0)</f>
        <v>0</v>
      </c>
      <c r="Q3979" s="64" t="n">
        <f aca="false">IF(AND($P3979&gt;0,$O3979&gt;0),$P3979,0)</f>
        <v>0</v>
      </c>
      <c r="R3979" s="64" t="n">
        <f aca="false">IF(AND($Q3979&gt;0,$O3979&gt;=AtRank),$Q3979,0)</f>
        <v>0</v>
      </c>
      <c r="S3979" s="64" t="n">
        <f aca="false">IF(AND($Q3979&gt;0,$O3979&gt;=AboveRank),$Q3979,0)</f>
        <v>0</v>
      </c>
      <c r="T3979" s="64" t="n">
        <f aca="false">IF($K3979="Less",$P3979,0)</f>
        <v>0</v>
      </c>
      <c r="U3979" s="64" t="n">
        <f aca="false">IF($K3979="Expected",$P3979,0)</f>
        <v>0</v>
      </c>
      <c r="V3979" s="64" t="n">
        <f aca="false">IF($K3979="Better",$P3979,0)</f>
        <v>0</v>
      </c>
      <c r="W3979" s="64" t="n">
        <f aca="false">IF($K3979="U – needs rule",$P3979,0)</f>
        <v>0</v>
      </c>
      <c r="X3979" s="64" t="n">
        <f aca="false">IF($K3979="No Start (attainment only)",$P3979,0)</f>
        <v>0</v>
      </c>
    </row>
    <row r="3980" customFormat="false" ht="15" hidden="false" customHeight="false" outlineLevel="0" collapsed="false">
      <c r="A3980" s="60"/>
      <c r="B3980" s="61" t="str">
        <f aca="false">IF($M3980=0,"",INDEX(Classes!$E$6:$E$420,$M3980))</f>
        <v/>
      </c>
      <c r="C3980" s="62" t="str">
        <f aca="false">IF($M3980=0,"",INDEX(Classes!$H$6:$H$420,$M3980))</f>
        <v/>
      </c>
      <c r="D3980" s="61" t="str">
        <f aca="false">IF($M3980=0,"",INDEX(Classes!$B$6:$B$420,$M3980))</f>
        <v/>
      </c>
      <c r="E3980" s="61" t="str">
        <f aca="false">IF($M3980=0,"",INDEX(Classes!$C$6:$C$420,$M3980))</f>
        <v/>
      </c>
      <c r="F3980" s="63"/>
      <c r="G3980" s="63"/>
      <c r="H3980" s="60"/>
      <c r="I3980" s="60"/>
      <c r="J3980" s="63"/>
      <c r="K3980" s="61" t="str">
        <f aca="false">IF($P3980=0,"",IF($F3980="Baseline","— Baseline",IF($O3980=0,"No result",IF($N3980=0,"No Start (attainment only)",IF(OR($N3980=1,$O3980=1),"U – needs rule",INDEX(MxBody,MATCH($I3980,MxCurr,0),MATCH($H3980,MxStart,0)))))))</f>
        <v/>
      </c>
      <c r="L3980" s="62" t="str">
        <f aca="false">IF(COUNTA($A3980,$F3980,$G3980,$H3980,$I3980,$J3980)=0,"",IF($M3980=0,"✖ كود الصف غير موجود",IF(ISNA(MATCH($F3980,Lists!$A$2:$A$5,0)),"✖ الفترة غير صحيحة",IF(ISNA(MATCH($G3980,Lists!$B$2:$B$7,0)),"✖ المجموعة غير صحيحة",IF(NOT(OR($H3980="",$N3980&gt;0)),"✖ Start غير صحيح",IF(NOT(OR($I3980="",$I3980="NR",$O3980&gt;0)),"✖ Current غير صحيح",IF(NOT(IF(ISNUMBER($J3980),AND($J3980&gt;=0,$J3980=INT($J3980)),FALSE())),"✖ العدد يجب أن يكون صحيحًا ≥ 0",IF(AND($F3980="Baseline",$H3980&lt;&gt;""),"⚠ Baseline: Start لا يدخل في التقدم",IF($K3980="No Start (attainment only)","ℹ تحصيل فقط (بدون Start)",IF($K3980="U – needs rule","ℹ حالة U تحتاج قاعدة معتمدة",IF($K3980="No result","ℹ بدون نتيجة (يُستبعد من التحصيل)","OK")))))))))))</f>
        <v/>
      </c>
      <c r="M3980" s="64" t="n">
        <f aca="false">IF($A3980="",0,IFERROR(MATCH($A3980,Classes!$A$6:$A$420,0),0))</f>
        <v>0</v>
      </c>
      <c r="N3980" s="64" t="n">
        <f aca="false">IF($H3980="",0,IFERROR(MATCH($H3980,GradeList,0),0))</f>
        <v>0</v>
      </c>
      <c r="O3980" s="64" t="n">
        <f aca="false">IF(OR($I3980="",$I3980="NR"),0,IFERROR(MATCH($I3980,GradeList,0),0))</f>
        <v>0</v>
      </c>
      <c r="P3980" s="64" t="n">
        <f aca="false">IF(AND($M3980&gt;0,ISNUMBER(MATCH($F3980,Lists!$A$2:$A$5,0)),ISNUMBER(MATCH($G3980,Lists!$B$2:$B$7,0)),OR($H3980="",$N3980&gt;0),OR($I3980="",$I3980="NR",$O3980&gt;0),IF(ISNUMBER($J3980),AND($J3980&gt;=0,$J3980=INT($J3980)),FALSE())),$J3980,0)</f>
        <v>0</v>
      </c>
      <c r="Q3980" s="64" t="n">
        <f aca="false">IF(AND($P3980&gt;0,$O3980&gt;0),$P3980,0)</f>
        <v>0</v>
      </c>
      <c r="R3980" s="64" t="n">
        <f aca="false">IF(AND($Q3980&gt;0,$O3980&gt;=AtRank),$Q3980,0)</f>
        <v>0</v>
      </c>
      <c r="S3980" s="64" t="n">
        <f aca="false">IF(AND($Q3980&gt;0,$O3980&gt;=AboveRank),$Q3980,0)</f>
        <v>0</v>
      </c>
      <c r="T3980" s="64" t="n">
        <f aca="false">IF($K3980="Less",$P3980,0)</f>
        <v>0</v>
      </c>
      <c r="U3980" s="64" t="n">
        <f aca="false">IF($K3980="Expected",$P3980,0)</f>
        <v>0</v>
      </c>
      <c r="V3980" s="64" t="n">
        <f aca="false">IF($K3980="Better",$P3980,0)</f>
        <v>0</v>
      </c>
      <c r="W3980" s="64" t="n">
        <f aca="false">IF($K3980="U – needs rule",$P3980,0)</f>
        <v>0</v>
      </c>
      <c r="X3980" s="64" t="n">
        <f aca="false">IF($K3980="No Start (attainment only)",$P3980,0)</f>
        <v>0</v>
      </c>
    </row>
    <row r="3981" customFormat="false" ht="15" hidden="false" customHeight="false" outlineLevel="0" collapsed="false">
      <c r="A3981" s="60"/>
      <c r="B3981" s="61" t="str">
        <f aca="false">IF($M3981=0,"",INDEX(Classes!$E$6:$E$420,$M3981))</f>
        <v/>
      </c>
      <c r="C3981" s="62" t="str">
        <f aca="false">IF($M3981=0,"",INDEX(Classes!$H$6:$H$420,$M3981))</f>
        <v/>
      </c>
      <c r="D3981" s="61" t="str">
        <f aca="false">IF($M3981=0,"",INDEX(Classes!$B$6:$B$420,$M3981))</f>
        <v/>
      </c>
      <c r="E3981" s="61" t="str">
        <f aca="false">IF($M3981=0,"",INDEX(Classes!$C$6:$C$420,$M3981))</f>
        <v/>
      </c>
      <c r="F3981" s="63"/>
      <c r="G3981" s="63"/>
      <c r="H3981" s="60"/>
      <c r="I3981" s="60"/>
      <c r="J3981" s="63"/>
      <c r="K3981" s="61" t="str">
        <f aca="false">IF($P3981=0,"",IF($F3981="Baseline","— Baseline",IF($O3981=0,"No result",IF($N3981=0,"No Start (attainment only)",IF(OR($N3981=1,$O3981=1),"U – needs rule",INDEX(MxBody,MATCH($I3981,MxCurr,0),MATCH($H3981,MxStart,0)))))))</f>
        <v/>
      </c>
      <c r="L3981" s="62" t="str">
        <f aca="false">IF(COUNTA($A3981,$F3981,$G3981,$H3981,$I3981,$J3981)=0,"",IF($M3981=0,"✖ كود الصف غير موجود",IF(ISNA(MATCH($F3981,Lists!$A$2:$A$5,0)),"✖ الفترة غير صحيحة",IF(ISNA(MATCH($G3981,Lists!$B$2:$B$7,0)),"✖ المجموعة غير صحيحة",IF(NOT(OR($H3981="",$N3981&gt;0)),"✖ Start غير صحيح",IF(NOT(OR($I3981="",$I3981="NR",$O3981&gt;0)),"✖ Current غير صحيح",IF(NOT(IF(ISNUMBER($J3981),AND($J3981&gt;=0,$J3981=INT($J3981)),FALSE())),"✖ العدد يجب أن يكون صحيحًا ≥ 0",IF(AND($F3981="Baseline",$H3981&lt;&gt;""),"⚠ Baseline: Start لا يدخل في التقدم",IF($K3981="No Start (attainment only)","ℹ تحصيل فقط (بدون Start)",IF($K3981="U – needs rule","ℹ حالة U تحتاج قاعدة معتمدة",IF($K3981="No result","ℹ بدون نتيجة (يُستبعد من التحصيل)","OK")))))))))))</f>
        <v/>
      </c>
      <c r="M3981" s="64" t="n">
        <f aca="false">IF($A3981="",0,IFERROR(MATCH($A3981,Classes!$A$6:$A$420,0),0))</f>
        <v>0</v>
      </c>
      <c r="N3981" s="64" t="n">
        <f aca="false">IF($H3981="",0,IFERROR(MATCH($H3981,GradeList,0),0))</f>
        <v>0</v>
      </c>
      <c r="O3981" s="64" t="n">
        <f aca="false">IF(OR($I3981="",$I3981="NR"),0,IFERROR(MATCH($I3981,GradeList,0),0))</f>
        <v>0</v>
      </c>
      <c r="P3981" s="64" t="n">
        <f aca="false">IF(AND($M3981&gt;0,ISNUMBER(MATCH($F3981,Lists!$A$2:$A$5,0)),ISNUMBER(MATCH($G3981,Lists!$B$2:$B$7,0)),OR($H3981="",$N3981&gt;0),OR($I3981="",$I3981="NR",$O3981&gt;0),IF(ISNUMBER($J3981),AND($J3981&gt;=0,$J3981=INT($J3981)),FALSE())),$J3981,0)</f>
        <v>0</v>
      </c>
      <c r="Q3981" s="64" t="n">
        <f aca="false">IF(AND($P3981&gt;0,$O3981&gt;0),$P3981,0)</f>
        <v>0</v>
      </c>
      <c r="R3981" s="64" t="n">
        <f aca="false">IF(AND($Q3981&gt;0,$O3981&gt;=AtRank),$Q3981,0)</f>
        <v>0</v>
      </c>
      <c r="S3981" s="64" t="n">
        <f aca="false">IF(AND($Q3981&gt;0,$O3981&gt;=AboveRank),$Q3981,0)</f>
        <v>0</v>
      </c>
      <c r="T3981" s="64" t="n">
        <f aca="false">IF($K3981="Less",$P3981,0)</f>
        <v>0</v>
      </c>
      <c r="U3981" s="64" t="n">
        <f aca="false">IF($K3981="Expected",$P3981,0)</f>
        <v>0</v>
      </c>
      <c r="V3981" s="64" t="n">
        <f aca="false">IF($K3981="Better",$P3981,0)</f>
        <v>0</v>
      </c>
      <c r="W3981" s="64" t="n">
        <f aca="false">IF($K3981="U – needs rule",$P3981,0)</f>
        <v>0</v>
      </c>
      <c r="X3981" s="64" t="n">
        <f aca="false">IF($K3981="No Start (attainment only)",$P3981,0)</f>
        <v>0</v>
      </c>
    </row>
    <row r="3982" customFormat="false" ht="15" hidden="false" customHeight="false" outlineLevel="0" collapsed="false">
      <c r="A3982" s="60"/>
      <c r="B3982" s="61" t="str">
        <f aca="false">IF($M3982=0,"",INDEX(Classes!$E$6:$E$420,$M3982))</f>
        <v/>
      </c>
      <c r="C3982" s="62" t="str">
        <f aca="false">IF($M3982=0,"",INDEX(Classes!$H$6:$H$420,$M3982))</f>
        <v/>
      </c>
      <c r="D3982" s="61" t="str">
        <f aca="false">IF($M3982=0,"",INDEX(Classes!$B$6:$B$420,$M3982))</f>
        <v/>
      </c>
      <c r="E3982" s="61" t="str">
        <f aca="false">IF($M3982=0,"",INDEX(Classes!$C$6:$C$420,$M3982))</f>
        <v/>
      </c>
      <c r="F3982" s="63"/>
      <c r="G3982" s="63"/>
      <c r="H3982" s="60"/>
      <c r="I3982" s="60"/>
      <c r="J3982" s="63"/>
      <c r="K3982" s="61" t="str">
        <f aca="false">IF($P3982=0,"",IF($F3982="Baseline","— Baseline",IF($O3982=0,"No result",IF($N3982=0,"No Start (attainment only)",IF(OR($N3982=1,$O3982=1),"U – needs rule",INDEX(MxBody,MATCH($I3982,MxCurr,0),MATCH($H3982,MxStart,0)))))))</f>
        <v/>
      </c>
      <c r="L3982" s="62" t="str">
        <f aca="false">IF(COUNTA($A3982,$F3982,$G3982,$H3982,$I3982,$J3982)=0,"",IF($M3982=0,"✖ كود الصف غير موجود",IF(ISNA(MATCH($F3982,Lists!$A$2:$A$5,0)),"✖ الفترة غير صحيحة",IF(ISNA(MATCH($G3982,Lists!$B$2:$B$7,0)),"✖ المجموعة غير صحيحة",IF(NOT(OR($H3982="",$N3982&gt;0)),"✖ Start غير صحيح",IF(NOT(OR($I3982="",$I3982="NR",$O3982&gt;0)),"✖ Current غير صحيح",IF(NOT(IF(ISNUMBER($J3982),AND($J3982&gt;=0,$J3982=INT($J3982)),FALSE())),"✖ العدد يجب أن يكون صحيحًا ≥ 0",IF(AND($F3982="Baseline",$H3982&lt;&gt;""),"⚠ Baseline: Start لا يدخل في التقدم",IF($K3982="No Start (attainment only)","ℹ تحصيل فقط (بدون Start)",IF($K3982="U – needs rule","ℹ حالة U تحتاج قاعدة معتمدة",IF($K3982="No result","ℹ بدون نتيجة (يُستبعد من التحصيل)","OK")))))))))))</f>
        <v/>
      </c>
      <c r="M3982" s="64" t="n">
        <f aca="false">IF($A3982="",0,IFERROR(MATCH($A3982,Classes!$A$6:$A$420,0),0))</f>
        <v>0</v>
      </c>
      <c r="N3982" s="64" t="n">
        <f aca="false">IF($H3982="",0,IFERROR(MATCH($H3982,GradeList,0),0))</f>
        <v>0</v>
      </c>
      <c r="O3982" s="64" t="n">
        <f aca="false">IF(OR($I3982="",$I3982="NR"),0,IFERROR(MATCH($I3982,GradeList,0),0))</f>
        <v>0</v>
      </c>
      <c r="P3982" s="64" t="n">
        <f aca="false">IF(AND($M3982&gt;0,ISNUMBER(MATCH($F3982,Lists!$A$2:$A$5,0)),ISNUMBER(MATCH($G3982,Lists!$B$2:$B$7,0)),OR($H3982="",$N3982&gt;0),OR($I3982="",$I3982="NR",$O3982&gt;0),IF(ISNUMBER($J3982),AND($J3982&gt;=0,$J3982=INT($J3982)),FALSE())),$J3982,0)</f>
        <v>0</v>
      </c>
      <c r="Q3982" s="64" t="n">
        <f aca="false">IF(AND($P3982&gt;0,$O3982&gt;0),$P3982,0)</f>
        <v>0</v>
      </c>
      <c r="R3982" s="64" t="n">
        <f aca="false">IF(AND($Q3982&gt;0,$O3982&gt;=AtRank),$Q3982,0)</f>
        <v>0</v>
      </c>
      <c r="S3982" s="64" t="n">
        <f aca="false">IF(AND($Q3982&gt;0,$O3982&gt;=AboveRank),$Q3982,0)</f>
        <v>0</v>
      </c>
      <c r="T3982" s="64" t="n">
        <f aca="false">IF($K3982="Less",$P3982,0)</f>
        <v>0</v>
      </c>
      <c r="U3982" s="64" t="n">
        <f aca="false">IF($K3982="Expected",$P3982,0)</f>
        <v>0</v>
      </c>
      <c r="V3982" s="64" t="n">
        <f aca="false">IF($K3982="Better",$P3982,0)</f>
        <v>0</v>
      </c>
      <c r="W3982" s="64" t="n">
        <f aca="false">IF($K3982="U – needs rule",$P3982,0)</f>
        <v>0</v>
      </c>
      <c r="X3982" s="64" t="n">
        <f aca="false">IF($K3982="No Start (attainment only)",$P3982,0)</f>
        <v>0</v>
      </c>
    </row>
    <row r="3983" customFormat="false" ht="15" hidden="false" customHeight="false" outlineLevel="0" collapsed="false">
      <c r="A3983" s="60"/>
      <c r="B3983" s="61" t="str">
        <f aca="false">IF($M3983=0,"",INDEX(Classes!$E$6:$E$420,$M3983))</f>
        <v/>
      </c>
      <c r="C3983" s="62" t="str">
        <f aca="false">IF($M3983=0,"",INDEX(Classes!$H$6:$H$420,$M3983))</f>
        <v/>
      </c>
      <c r="D3983" s="61" t="str">
        <f aca="false">IF($M3983=0,"",INDEX(Classes!$B$6:$B$420,$M3983))</f>
        <v/>
      </c>
      <c r="E3983" s="61" t="str">
        <f aca="false">IF($M3983=0,"",INDEX(Classes!$C$6:$C$420,$M3983))</f>
        <v/>
      </c>
      <c r="F3983" s="63"/>
      <c r="G3983" s="63"/>
      <c r="H3983" s="60"/>
      <c r="I3983" s="60"/>
      <c r="J3983" s="63"/>
      <c r="K3983" s="61" t="str">
        <f aca="false">IF($P3983=0,"",IF($F3983="Baseline","— Baseline",IF($O3983=0,"No result",IF($N3983=0,"No Start (attainment only)",IF(OR($N3983=1,$O3983=1),"U – needs rule",INDEX(MxBody,MATCH($I3983,MxCurr,0),MATCH($H3983,MxStart,0)))))))</f>
        <v/>
      </c>
      <c r="L3983" s="62" t="str">
        <f aca="false">IF(COUNTA($A3983,$F3983,$G3983,$H3983,$I3983,$J3983)=0,"",IF($M3983=0,"✖ كود الصف غير موجود",IF(ISNA(MATCH($F3983,Lists!$A$2:$A$5,0)),"✖ الفترة غير صحيحة",IF(ISNA(MATCH($G3983,Lists!$B$2:$B$7,0)),"✖ المجموعة غير صحيحة",IF(NOT(OR($H3983="",$N3983&gt;0)),"✖ Start غير صحيح",IF(NOT(OR($I3983="",$I3983="NR",$O3983&gt;0)),"✖ Current غير صحيح",IF(NOT(IF(ISNUMBER($J3983),AND($J3983&gt;=0,$J3983=INT($J3983)),FALSE())),"✖ العدد يجب أن يكون صحيحًا ≥ 0",IF(AND($F3983="Baseline",$H3983&lt;&gt;""),"⚠ Baseline: Start لا يدخل في التقدم",IF($K3983="No Start (attainment only)","ℹ تحصيل فقط (بدون Start)",IF($K3983="U – needs rule","ℹ حالة U تحتاج قاعدة معتمدة",IF($K3983="No result","ℹ بدون نتيجة (يُستبعد من التحصيل)","OK")))))))))))</f>
        <v/>
      </c>
      <c r="M3983" s="64" t="n">
        <f aca="false">IF($A3983="",0,IFERROR(MATCH($A3983,Classes!$A$6:$A$420,0),0))</f>
        <v>0</v>
      </c>
      <c r="N3983" s="64" t="n">
        <f aca="false">IF($H3983="",0,IFERROR(MATCH($H3983,GradeList,0),0))</f>
        <v>0</v>
      </c>
      <c r="O3983" s="64" t="n">
        <f aca="false">IF(OR($I3983="",$I3983="NR"),0,IFERROR(MATCH($I3983,GradeList,0),0))</f>
        <v>0</v>
      </c>
      <c r="P3983" s="64" t="n">
        <f aca="false">IF(AND($M3983&gt;0,ISNUMBER(MATCH($F3983,Lists!$A$2:$A$5,0)),ISNUMBER(MATCH($G3983,Lists!$B$2:$B$7,0)),OR($H3983="",$N3983&gt;0),OR($I3983="",$I3983="NR",$O3983&gt;0),IF(ISNUMBER($J3983),AND($J3983&gt;=0,$J3983=INT($J3983)),FALSE())),$J3983,0)</f>
        <v>0</v>
      </c>
      <c r="Q3983" s="64" t="n">
        <f aca="false">IF(AND($P3983&gt;0,$O3983&gt;0),$P3983,0)</f>
        <v>0</v>
      </c>
      <c r="R3983" s="64" t="n">
        <f aca="false">IF(AND($Q3983&gt;0,$O3983&gt;=AtRank),$Q3983,0)</f>
        <v>0</v>
      </c>
      <c r="S3983" s="64" t="n">
        <f aca="false">IF(AND($Q3983&gt;0,$O3983&gt;=AboveRank),$Q3983,0)</f>
        <v>0</v>
      </c>
      <c r="T3983" s="64" t="n">
        <f aca="false">IF($K3983="Less",$P3983,0)</f>
        <v>0</v>
      </c>
      <c r="U3983" s="64" t="n">
        <f aca="false">IF($K3983="Expected",$P3983,0)</f>
        <v>0</v>
      </c>
      <c r="V3983" s="64" t="n">
        <f aca="false">IF($K3983="Better",$P3983,0)</f>
        <v>0</v>
      </c>
      <c r="W3983" s="64" t="n">
        <f aca="false">IF($K3983="U – needs rule",$P3983,0)</f>
        <v>0</v>
      </c>
      <c r="X3983" s="64" t="n">
        <f aca="false">IF($K3983="No Start (attainment only)",$P3983,0)</f>
        <v>0</v>
      </c>
    </row>
    <row r="3984" customFormat="false" ht="15" hidden="false" customHeight="false" outlineLevel="0" collapsed="false">
      <c r="A3984" s="60"/>
      <c r="B3984" s="61" t="str">
        <f aca="false">IF($M3984=0,"",INDEX(Classes!$E$6:$E$420,$M3984))</f>
        <v/>
      </c>
      <c r="C3984" s="62" t="str">
        <f aca="false">IF($M3984=0,"",INDEX(Classes!$H$6:$H$420,$M3984))</f>
        <v/>
      </c>
      <c r="D3984" s="61" t="str">
        <f aca="false">IF($M3984=0,"",INDEX(Classes!$B$6:$B$420,$M3984))</f>
        <v/>
      </c>
      <c r="E3984" s="61" t="str">
        <f aca="false">IF($M3984=0,"",INDEX(Classes!$C$6:$C$420,$M3984))</f>
        <v/>
      </c>
      <c r="F3984" s="63"/>
      <c r="G3984" s="63"/>
      <c r="H3984" s="60"/>
      <c r="I3984" s="60"/>
      <c r="J3984" s="63"/>
      <c r="K3984" s="61" t="str">
        <f aca="false">IF($P3984=0,"",IF($F3984="Baseline","— Baseline",IF($O3984=0,"No result",IF($N3984=0,"No Start (attainment only)",IF(OR($N3984=1,$O3984=1),"U – needs rule",INDEX(MxBody,MATCH($I3984,MxCurr,0),MATCH($H3984,MxStart,0)))))))</f>
        <v/>
      </c>
      <c r="L3984" s="62" t="str">
        <f aca="false">IF(COUNTA($A3984,$F3984,$G3984,$H3984,$I3984,$J3984)=0,"",IF($M3984=0,"✖ كود الصف غير موجود",IF(ISNA(MATCH($F3984,Lists!$A$2:$A$5,0)),"✖ الفترة غير صحيحة",IF(ISNA(MATCH($G3984,Lists!$B$2:$B$7,0)),"✖ المجموعة غير صحيحة",IF(NOT(OR($H3984="",$N3984&gt;0)),"✖ Start غير صحيح",IF(NOT(OR($I3984="",$I3984="NR",$O3984&gt;0)),"✖ Current غير صحيح",IF(NOT(IF(ISNUMBER($J3984),AND($J3984&gt;=0,$J3984=INT($J3984)),FALSE())),"✖ العدد يجب أن يكون صحيحًا ≥ 0",IF(AND($F3984="Baseline",$H3984&lt;&gt;""),"⚠ Baseline: Start لا يدخل في التقدم",IF($K3984="No Start (attainment only)","ℹ تحصيل فقط (بدون Start)",IF($K3984="U – needs rule","ℹ حالة U تحتاج قاعدة معتمدة",IF($K3984="No result","ℹ بدون نتيجة (يُستبعد من التحصيل)","OK")))))))))))</f>
        <v/>
      </c>
      <c r="M3984" s="64" t="n">
        <f aca="false">IF($A3984="",0,IFERROR(MATCH($A3984,Classes!$A$6:$A$420,0),0))</f>
        <v>0</v>
      </c>
      <c r="N3984" s="64" t="n">
        <f aca="false">IF($H3984="",0,IFERROR(MATCH($H3984,GradeList,0),0))</f>
        <v>0</v>
      </c>
      <c r="O3984" s="64" t="n">
        <f aca="false">IF(OR($I3984="",$I3984="NR"),0,IFERROR(MATCH($I3984,GradeList,0),0))</f>
        <v>0</v>
      </c>
      <c r="P3984" s="64" t="n">
        <f aca="false">IF(AND($M3984&gt;0,ISNUMBER(MATCH($F3984,Lists!$A$2:$A$5,0)),ISNUMBER(MATCH($G3984,Lists!$B$2:$B$7,0)),OR($H3984="",$N3984&gt;0),OR($I3984="",$I3984="NR",$O3984&gt;0),IF(ISNUMBER($J3984),AND($J3984&gt;=0,$J3984=INT($J3984)),FALSE())),$J3984,0)</f>
        <v>0</v>
      </c>
      <c r="Q3984" s="64" t="n">
        <f aca="false">IF(AND($P3984&gt;0,$O3984&gt;0),$P3984,0)</f>
        <v>0</v>
      </c>
      <c r="R3984" s="64" t="n">
        <f aca="false">IF(AND($Q3984&gt;0,$O3984&gt;=AtRank),$Q3984,0)</f>
        <v>0</v>
      </c>
      <c r="S3984" s="64" t="n">
        <f aca="false">IF(AND($Q3984&gt;0,$O3984&gt;=AboveRank),$Q3984,0)</f>
        <v>0</v>
      </c>
      <c r="T3984" s="64" t="n">
        <f aca="false">IF($K3984="Less",$P3984,0)</f>
        <v>0</v>
      </c>
      <c r="U3984" s="64" t="n">
        <f aca="false">IF($K3984="Expected",$P3984,0)</f>
        <v>0</v>
      </c>
      <c r="V3984" s="64" t="n">
        <f aca="false">IF($K3984="Better",$P3984,0)</f>
        <v>0</v>
      </c>
      <c r="W3984" s="64" t="n">
        <f aca="false">IF($K3984="U – needs rule",$P3984,0)</f>
        <v>0</v>
      </c>
      <c r="X3984" s="64" t="n">
        <f aca="false">IF($K3984="No Start (attainment only)",$P3984,0)</f>
        <v>0</v>
      </c>
    </row>
    <row r="3985" customFormat="false" ht="15" hidden="false" customHeight="false" outlineLevel="0" collapsed="false">
      <c r="A3985" s="60"/>
      <c r="B3985" s="61" t="str">
        <f aca="false">IF($M3985=0,"",INDEX(Classes!$E$6:$E$420,$M3985))</f>
        <v/>
      </c>
      <c r="C3985" s="62" t="str">
        <f aca="false">IF($M3985=0,"",INDEX(Classes!$H$6:$H$420,$M3985))</f>
        <v/>
      </c>
      <c r="D3985" s="61" t="str">
        <f aca="false">IF($M3985=0,"",INDEX(Classes!$B$6:$B$420,$M3985))</f>
        <v/>
      </c>
      <c r="E3985" s="61" t="str">
        <f aca="false">IF($M3985=0,"",INDEX(Classes!$C$6:$C$420,$M3985))</f>
        <v/>
      </c>
      <c r="F3985" s="63"/>
      <c r="G3985" s="63"/>
      <c r="H3985" s="60"/>
      <c r="I3985" s="60"/>
      <c r="J3985" s="63"/>
      <c r="K3985" s="61" t="str">
        <f aca="false">IF($P3985=0,"",IF($F3985="Baseline","— Baseline",IF($O3985=0,"No result",IF($N3985=0,"No Start (attainment only)",IF(OR($N3985=1,$O3985=1),"U – needs rule",INDEX(MxBody,MATCH($I3985,MxCurr,0),MATCH($H3985,MxStart,0)))))))</f>
        <v/>
      </c>
      <c r="L3985" s="62" t="str">
        <f aca="false">IF(COUNTA($A3985,$F3985,$G3985,$H3985,$I3985,$J3985)=0,"",IF($M3985=0,"✖ كود الصف غير موجود",IF(ISNA(MATCH($F3985,Lists!$A$2:$A$5,0)),"✖ الفترة غير صحيحة",IF(ISNA(MATCH($G3985,Lists!$B$2:$B$7,0)),"✖ المجموعة غير صحيحة",IF(NOT(OR($H3985="",$N3985&gt;0)),"✖ Start غير صحيح",IF(NOT(OR($I3985="",$I3985="NR",$O3985&gt;0)),"✖ Current غير صحيح",IF(NOT(IF(ISNUMBER($J3985),AND($J3985&gt;=0,$J3985=INT($J3985)),FALSE())),"✖ العدد يجب أن يكون صحيحًا ≥ 0",IF(AND($F3985="Baseline",$H3985&lt;&gt;""),"⚠ Baseline: Start لا يدخل في التقدم",IF($K3985="No Start (attainment only)","ℹ تحصيل فقط (بدون Start)",IF($K3985="U – needs rule","ℹ حالة U تحتاج قاعدة معتمدة",IF($K3985="No result","ℹ بدون نتيجة (يُستبعد من التحصيل)","OK")))))))))))</f>
        <v/>
      </c>
      <c r="M3985" s="64" t="n">
        <f aca="false">IF($A3985="",0,IFERROR(MATCH($A3985,Classes!$A$6:$A$420,0),0))</f>
        <v>0</v>
      </c>
      <c r="N3985" s="64" t="n">
        <f aca="false">IF($H3985="",0,IFERROR(MATCH($H3985,GradeList,0),0))</f>
        <v>0</v>
      </c>
      <c r="O3985" s="64" t="n">
        <f aca="false">IF(OR($I3985="",$I3985="NR"),0,IFERROR(MATCH($I3985,GradeList,0),0))</f>
        <v>0</v>
      </c>
      <c r="P3985" s="64" t="n">
        <f aca="false">IF(AND($M3985&gt;0,ISNUMBER(MATCH($F3985,Lists!$A$2:$A$5,0)),ISNUMBER(MATCH($G3985,Lists!$B$2:$B$7,0)),OR($H3985="",$N3985&gt;0),OR($I3985="",$I3985="NR",$O3985&gt;0),IF(ISNUMBER($J3985),AND($J3985&gt;=0,$J3985=INT($J3985)),FALSE())),$J3985,0)</f>
        <v>0</v>
      </c>
      <c r="Q3985" s="64" t="n">
        <f aca="false">IF(AND($P3985&gt;0,$O3985&gt;0),$P3985,0)</f>
        <v>0</v>
      </c>
      <c r="R3985" s="64" t="n">
        <f aca="false">IF(AND($Q3985&gt;0,$O3985&gt;=AtRank),$Q3985,0)</f>
        <v>0</v>
      </c>
      <c r="S3985" s="64" t="n">
        <f aca="false">IF(AND($Q3985&gt;0,$O3985&gt;=AboveRank),$Q3985,0)</f>
        <v>0</v>
      </c>
      <c r="T3985" s="64" t="n">
        <f aca="false">IF($K3985="Less",$P3985,0)</f>
        <v>0</v>
      </c>
      <c r="U3985" s="64" t="n">
        <f aca="false">IF($K3985="Expected",$P3985,0)</f>
        <v>0</v>
      </c>
      <c r="V3985" s="64" t="n">
        <f aca="false">IF($K3985="Better",$P3985,0)</f>
        <v>0</v>
      </c>
      <c r="W3985" s="64" t="n">
        <f aca="false">IF($K3985="U – needs rule",$P3985,0)</f>
        <v>0</v>
      </c>
      <c r="X3985" s="64" t="n">
        <f aca="false">IF($K3985="No Start (attainment only)",$P3985,0)</f>
        <v>0</v>
      </c>
    </row>
    <row r="3986" customFormat="false" ht="15" hidden="false" customHeight="false" outlineLevel="0" collapsed="false">
      <c r="A3986" s="60"/>
      <c r="B3986" s="61" t="str">
        <f aca="false">IF($M3986=0,"",INDEX(Classes!$E$6:$E$420,$M3986))</f>
        <v/>
      </c>
      <c r="C3986" s="62" t="str">
        <f aca="false">IF($M3986=0,"",INDEX(Classes!$H$6:$H$420,$M3986))</f>
        <v/>
      </c>
      <c r="D3986" s="61" t="str">
        <f aca="false">IF($M3986=0,"",INDEX(Classes!$B$6:$B$420,$M3986))</f>
        <v/>
      </c>
      <c r="E3986" s="61" t="str">
        <f aca="false">IF($M3986=0,"",INDEX(Classes!$C$6:$C$420,$M3986))</f>
        <v/>
      </c>
      <c r="F3986" s="63"/>
      <c r="G3986" s="63"/>
      <c r="H3986" s="60"/>
      <c r="I3986" s="60"/>
      <c r="J3986" s="63"/>
      <c r="K3986" s="61" t="str">
        <f aca="false">IF($P3986=0,"",IF($F3986="Baseline","— Baseline",IF($O3986=0,"No result",IF($N3986=0,"No Start (attainment only)",IF(OR($N3986=1,$O3986=1),"U – needs rule",INDEX(MxBody,MATCH($I3986,MxCurr,0),MATCH($H3986,MxStart,0)))))))</f>
        <v/>
      </c>
      <c r="L3986" s="62" t="str">
        <f aca="false">IF(COUNTA($A3986,$F3986,$G3986,$H3986,$I3986,$J3986)=0,"",IF($M3986=0,"✖ كود الصف غير موجود",IF(ISNA(MATCH($F3986,Lists!$A$2:$A$5,0)),"✖ الفترة غير صحيحة",IF(ISNA(MATCH($G3986,Lists!$B$2:$B$7,0)),"✖ المجموعة غير صحيحة",IF(NOT(OR($H3986="",$N3986&gt;0)),"✖ Start غير صحيح",IF(NOT(OR($I3986="",$I3986="NR",$O3986&gt;0)),"✖ Current غير صحيح",IF(NOT(IF(ISNUMBER($J3986),AND($J3986&gt;=0,$J3986=INT($J3986)),FALSE())),"✖ العدد يجب أن يكون صحيحًا ≥ 0",IF(AND($F3986="Baseline",$H3986&lt;&gt;""),"⚠ Baseline: Start لا يدخل في التقدم",IF($K3986="No Start (attainment only)","ℹ تحصيل فقط (بدون Start)",IF($K3986="U – needs rule","ℹ حالة U تحتاج قاعدة معتمدة",IF($K3986="No result","ℹ بدون نتيجة (يُستبعد من التحصيل)","OK")))))))))))</f>
        <v/>
      </c>
      <c r="M3986" s="64" t="n">
        <f aca="false">IF($A3986="",0,IFERROR(MATCH($A3986,Classes!$A$6:$A$420,0),0))</f>
        <v>0</v>
      </c>
      <c r="N3986" s="64" t="n">
        <f aca="false">IF($H3986="",0,IFERROR(MATCH($H3986,GradeList,0),0))</f>
        <v>0</v>
      </c>
      <c r="O3986" s="64" t="n">
        <f aca="false">IF(OR($I3986="",$I3986="NR"),0,IFERROR(MATCH($I3986,GradeList,0),0))</f>
        <v>0</v>
      </c>
      <c r="P3986" s="64" t="n">
        <f aca="false">IF(AND($M3986&gt;0,ISNUMBER(MATCH($F3986,Lists!$A$2:$A$5,0)),ISNUMBER(MATCH($G3986,Lists!$B$2:$B$7,0)),OR($H3986="",$N3986&gt;0),OR($I3986="",$I3986="NR",$O3986&gt;0),IF(ISNUMBER($J3986),AND($J3986&gt;=0,$J3986=INT($J3986)),FALSE())),$J3986,0)</f>
        <v>0</v>
      </c>
      <c r="Q3986" s="64" t="n">
        <f aca="false">IF(AND($P3986&gt;0,$O3986&gt;0),$P3986,0)</f>
        <v>0</v>
      </c>
      <c r="R3986" s="64" t="n">
        <f aca="false">IF(AND($Q3986&gt;0,$O3986&gt;=AtRank),$Q3986,0)</f>
        <v>0</v>
      </c>
      <c r="S3986" s="64" t="n">
        <f aca="false">IF(AND($Q3986&gt;0,$O3986&gt;=AboveRank),$Q3986,0)</f>
        <v>0</v>
      </c>
      <c r="T3986" s="64" t="n">
        <f aca="false">IF($K3986="Less",$P3986,0)</f>
        <v>0</v>
      </c>
      <c r="U3986" s="64" t="n">
        <f aca="false">IF($K3986="Expected",$P3986,0)</f>
        <v>0</v>
      </c>
      <c r="V3986" s="64" t="n">
        <f aca="false">IF($K3986="Better",$P3986,0)</f>
        <v>0</v>
      </c>
      <c r="W3986" s="64" t="n">
        <f aca="false">IF($K3986="U – needs rule",$P3986,0)</f>
        <v>0</v>
      </c>
      <c r="X3986" s="64" t="n">
        <f aca="false">IF($K3986="No Start (attainment only)",$P3986,0)</f>
        <v>0</v>
      </c>
    </row>
    <row r="3987" customFormat="false" ht="15" hidden="false" customHeight="false" outlineLevel="0" collapsed="false">
      <c r="A3987" s="60"/>
      <c r="B3987" s="61" t="str">
        <f aca="false">IF($M3987=0,"",INDEX(Classes!$E$6:$E$420,$M3987))</f>
        <v/>
      </c>
      <c r="C3987" s="62" t="str">
        <f aca="false">IF($M3987=0,"",INDEX(Classes!$H$6:$H$420,$M3987))</f>
        <v/>
      </c>
      <c r="D3987" s="61" t="str">
        <f aca="false">IF($M3987=0,"",INDEX(Classes!$B$6:$B$420,$M3987))</f>
        <v/>
      </c>
      <c r="E3987" s="61" t="str">
        <f aca="false">IF($M3987=0,"",INDEX(Classes!$C$6:$C$420,$M3987))</f>
        <v/>
      </c>
      <c r="F3987" s="63"/>
      <c r="G3987" s="63"/>
      <c r="H3987" s="60"/>
      <c r="I3987" s="60"/>
      <c r="J3987" s="63"/>
      <c r="K3987" s="61" t="str">
        <f aca="false">IF($P3987=0,"",IF($F3987="Baseline","— Baseline",IF($O3987=0,"No result",IF($N3987=0,"No Start (attainment only)",IF(OR($N3987=1,$O3987=1),"U – needs rule",INDEX(MxBody,MATCH($I3987,MxCurr,0),MATCH($H3987,MxStart,0)))))))</f>
        <v/>
      </c>
      <c r="L3987" s="62" t="str">
        <f aca="false">IF(COUNTA($A3987,$F3987,$G3987,$H3987,$I3987,$J3987)=0,"",IF($M3987=0,"✖ كود الصف غير موجود",IF(ISNA(MATCH($F3987,Lists!$A$2:$A$5,0)),"✖ الفترة غير صحيحة",IF(ISNA(MATCH($G3987,Lists!$B$2:$B$7,0)),"✖ المجموعة غير صحيحة",IF(NOT(OR($H3987="",$N3987&gt;0)),"✖ Start غير صحيح",IF(NOT(OR($I3987="",$I3987="NR",$O3987&gt;0)),"✖ Current غير صحيح",IF(NOT(IF(ISNUMBER($J3987),AND($J3987&gt;=0,$J3987=INT($J3987)),FALSE())),"✖ العدد يجب أن يكون صحيحًا ≥ 0",IF(AND($F3987="Baseline",$H3987&lt;&gt;""),"⚠ Baseline: Start لا يدخل في التقدم",IF($K3987="No Start (attainment only)","ℹ تحصيل فقط (بدون Start)",IF($K3987="U – needs rule","ℹ حالة U تحتاج قاعدة معتمدة",IF($K3987="No result","ℹ بدون نتيجة (يُستبعد من التحصيل)","OK")))))))))))</f>
        <v/>
      </c>
      <c r="M3987" s="64" t="n">
        <f aca="false">IF($A3987="",0,IFERROR(MATCH($A3987,Classes!$A$6:$A$420,0),0))</f>
        <v>0</v>
      </c>
      <c r="N3987" s="64" t="n">
        <f aca="false">IF($H3987="",0,IFERROR(MATCH($H3987,GradeList,0),0))</f>
        <v>0</v>
      </c>
      <c r="O3987" s="64" t="n">
        <f aca="false">IF(OR($I3987="",$I3987="NR"),0,IFERROR(MATCH($I3987,GradeList,0),0))</f>
        <v>0</v>
      </c>
      <c r="P3987" s="64" t="n">
        <f aca="false">IF(AND($M3987&gt;0,ISNUMBER(MATCH($F3987,Lists!$A$2:$A$5,0)),ISNUMBER(MATCH($G3987,Lists!$B$2:$B$7,0)),OR($H3987="",$N3987&gt;0),OR($I3987="",$I3987="NR",$O3987&gt;0),IF(ISNUMBER($J3987),AND($J3987&gt;=0,$J3987=INT($J3987)),FALSE())),$J3987,0)</f>
        <v>0</v>
      </c>
      <c r="Q3987" s="64" t="n">
        <f aca="false">IF(AND($P3987&gt;0,$O3987&gt;0),$P3987,0)</f>
        <v>0</v>
      </c>
      <c r="R3987" s="64" t="n">
        <f aca="false">IF(AND($Q3987&gt;0,$O3987&gt;=AtRank),$Q3987,0)</f>
        <v>0</v>
      </c>
      <c r="S3987" s="64" t="n">
        <f aca="false">IF(AND($Q3987&gt;0,$O3987&gt;=AboveRank),$Q3987,0)</f>
        <v>0</v>
      </c>
      <c r="T3987" s="64" t="n">
        <f aca="false">IF($K3987="Less",$P3987,0)</f>
        <v>0</v>
      </c>
      <c r="U3987" s="64" t="n">
        <f aca="false">IF($K3987="Expected",$P3987,0)</f>
        <v>0</v>
      </c>
      <c r="V3987" s="64" t="n">
        <f aca="false">IF($K3987="Better",$P3987,0)</f>
        <v>0</v>
      </c>
      <c r="W3987" s="64" t="n">
        <f aca="false">IF($K3987="U – needs rule",$P3987,0)</f>
        <v>0</v>
      </c>
      <c r="X3987" s="64" t="n">
        <f aca="false">IF($K3987="No Start (attainment only)",$P3987,0)</f>
        <v>0</v>
      </c>
    </row>
    <row r="3988" customFormat="false" ht="15" hidden="false" customHeight="false" outlineLevel="0" collapsed="false">
      <c r="A3988" s="60"/>
      <c r="B3988" s="61" t="str">
        <f aca="false">IF($M3988=0,"",INDEX(Classes!$E$6:$E$420,$M3988))</f>
        <v/>
      </c>
      <c r="C3988" s="62" t="str">
        <f aca="false">IF($M3988=0,"",INDEX(Classes!$H$6:$H$420,$M3988))</f>
        <v/>
      </c>
      <c r="D3988" s="61" t="str">
        <f aca="false">IF($M3988=0,"",INDEX(Classes!$B$6:$B$420,$M3988))</f>
        <v/>
      </c>
      <c r="E3988" s="61" t="str">
        <f aca="false">IF($M3988=0,"",INDEX(Classes!$C$6:$C$420,$M3988))</f>
        <v/>
      </c>
      <c r="F3988" s="63"/>
      <c r="G3988" s="63"/>
      <c r="H3988" s="60"/>
      <c r="I3988" s="60"/>
      <c r="J3988" s="63"/>
      <c r="K3988" s="61" t="str">
        <f aca="false">IF($P3988=0,"",IF($F3988="Baseline","— Baseline",IF($O3988=0,"No result",IF($N3988=0,"No Start (attainment only)",IF(OR($N3988=1,$O3988=1),"U – needs rule",INDEX(MxBody,MATCH($I3988,MxCurr,0),MATCH($H3988,MxStart,0)))))))</f>
        <v/>
      </c>
      <c r="L3988" s="62" t="str">
        <f aca="false">IF(COUNTA($A3988,$F3988,$G3988,$H3988,$I3988,$J3988)=0,"",IF($M3988=0,"✖ كود الصف غير موجود",IF(ISNA(MATCH($F3988,Lists!$A$2:$A$5,0)),"✖ الفترة غير صحيحة",IF(ISNA(MATCH($G3988,Lists!$B$2:$B$7,0)),"✖ المجموعة غير صحيحة",IF(NOT(OR($H3988="",$N3988&gt;0)),"✖ Start غير صحيح",IF(NOT(OR($I3988="",$I3988="NR",$O3988&gt;0)),"✖ Current غير صحيح",IF(NOT(IF(ISNUMBER($J3988),AND($J3988&gt;=0,$J3988=INT($J3988)),FALSE())),"✖ العدد يجب أن يكون صحيحًا ≥ 0",IF(AND($F3988="Baseline",$H3988&lt;&gt;""),"⚠ Baseline: Start لا يدخل في التقدم",IF($K3988="No Start (attainment only)","ℹ تحصيل فقط (بدون Start)",IF($K3988="U – needs rule","ℹ حالة U تحتاج قاعدة معتمدة",IF($K3988="No result","ℹ بدون نتيجة (يُستبعد من التحصيل)","OK")))))))))))</f>
        <v/>
      </c>
      <c r="M3988" s="64" t="n">
        <f aca="false">IF($A3988="",0,IFERROR(MATCH($A3988,Classes!$A$6:$A$420,0),0))</f>
        <v>0</v>
      </c>
      <c r="N3988" s="64" t="n">
        <f aca="false">IF($H3988="",0,IFERROR(MATCH($H3988,GradeList,0),0))</f>
        <v>0</v>
      </c>
      <c r="O3988" s="64" t="n">
        <f aca="false">IF(OR($I3988="",$I3988="NR"),0,IFERROR(MATCH($I3988,GradeList,0),0))</f>
        <v>0</v>
      </c>
      <c r="P3988" s="64" t="n">
        <f aca="false">IF(AND($M3988&gt;0,ISNUMBER(MATCH($F3988,Lists!$A$2:$A$5,0)),ISNUMBER(MATCH($G3988,Lists!$B$2:$B$7,0)),OR($H3988="",$N3988&gt;0),OR($I3988="",$I3988="NR",$O3988&gt;0),IF(ISNUMBER($J3988),AND($J3988&gt;=0,$J3988=INT($J3988)),FALSE())),$J3988,0)</f>
        <v>0</v>
      </c>
      <c r="Q3988" s="64" t="n">
        <f aca="false">IF(AND($P3988&gt;0,$O3988&gt;0),$P3988,0)</f>
        <v>0</v>
      </c>
      <c r="R3988" s="64" t="n">
        <f aca="false">IF(AND($Q3988&gt;0,$O3988&gt;=AtRank),$Q3988,0)</f>
        <v>0</v>
      </c>
      <c r="S3988" s="64" t="n">
        <f aca="false">IF(AND($Q3988&gt;0,$O3988&gt;=AboveRank),$Q3988,0)</f>
        <v>0</v>
      </c>
      <c r="T3988" s="64" t="n">
        <f aca="false">IF($K3988="Less",$P3988,0)</f>
        <v>0</v>
      </c>
      <c r="U3988" s="64" t="n">
        <f aca="false">IF($K3988="Expected",$P3988,0)</f>
        <v>0</v>
      </c>
      <c r="V3988" s="64" t="n">
        <f aca="false">IF($K3988="Better",$P3988,0)</f>
        <v>0</v>
      </c>
      <c r="W3988" s="64" t="n">
        <f aca="false">IF($K3988="U – needs rule",$P3988,0)</f>
        <v>0</v>
      </c>
      <c r="X3988" s="64" t="n">
        <f aca="false">IF($K3988="No Start (attainment only)",$P3988,0)</f>
        <v>0</v>
      </c>
    </row>
    <row r="3989" customFormat="false" ht="15" hidden="false" customHeight="false" outlineLevel="0" collapsed="false">
      <c r="A3989" s="60"/>
      <c r="B3989" s="61" t="str">
        <f aca="false">IF($M3989=0,"",INDEX(Classes!$E$6:$E$420,$M3989))</f>
        <v/>
      </c>
      <c r="C3989" s="62" t="str">
        <f aca="false">IF($M3989=0,"",INDEX(Classes!$H$6:$H$420,$M3989))</f>
        <v/>
      </c>
      <c r="D3989" s="61" t="str">
        <f aca="false">IF($M3989=0,"",INDEX(Classes!$B$6:$B$420,$M3989))</f>
        <v/>
      </c>
      <c r="E3989" s="61" t="str">
        <f aca="false">IF($M3989=0,"",INDEX(Classes!$C$6:$C$420,$M3989))</f>
        <v/>
      </c>
      <c r="F3989" s="63"/>
      <c r="G3989" s="63"/>
      <c r="H3989" s="60"/>
      <c r="I3989" s="60"/>
      <c r="J3989" s="63"/>
      <c r="K3989" s="61" t="str">
        <f aca="false">IF($P3989=0,"",IF($F3989="Baseline","— Baseline",IF($O3989=0,"No result",IF($N3989=0,"No Start (attainment only)",IF(OR($N3989=1,$O3989=1),"U – needs rule",INDEX(MxBody,MATCH($I3989,MxCurr,0),MATCH($H3989,MxStart,0)))))))</f>
        <v/>
      </c>
      <c r="L3989" s="62" t="str">
        <f aca="false">IF(COUNTA($A3989,$F3989,$G3989,$H3989,$I3989,$J3989)=0,"",IF($M3989=0,"✖ كود الصف غير موجود",IF(ISNA(MATCH($F3989,Lists!$A$2:$A$5,0)),"✖ الفترة غير صحيحة",IF(ISNA(MATCH($G3989,Lists!$B$2:$B$7,0)),"✖ المجموعة غير صحيحة",IF(NOT(OR($H3989="",$N3989&gt;0)),"✖ Start غير صحيح",IF(NOT(OR($I3989="",$I3989="NR",$O3989&gt;0)),"✖ Current غير صحيح",IF(NOT(IF(ISNUMBER($J3989),AND($J3989&gt;=0,$J3989=INT($J3989)),FALSE())),"✖ العدد يجب أن يكون صحيحًا ≥ 0",IF(AND($F3989="Baseline",$H3989&lt;&gt;""),"⚠ Baseline: Start لا يدخل في التقدم",IF($K3989="No Start (attainment only)","ℹ تحصيل فقط (بدون Start)",IF($K3989="U – needs rule","ℹ حالة U تحتاج قاعدة معتمدة",IF($K3989="No result","ℹ بدون نتيجة (يُستبعد من التحصيل)","OK")))))))))))</f>
        <v/>
      </c>
      <c r="M3989" s="64" t="n">
        <f aca="false">IF($A3989="",0,IFERROR(MATCH($A3989,Classes!$A$6:$A$420,0),0))</f>
        <v>0</v>
      </c>
      <c r="N3989" s="64" t="n">
        <f aca="false">IF($H3989="",0,IFERROR(MATCH($H3989,GradeList,0),0))</f>
        <v>0</v>
      </c>
      <c r="O3989" s="64" t="n">
        <f aca="false">IF(OR($I3989="",$I3989="NR"),0,IFERROR(MATCH($I3989,GradeList,0),0))</f>
        <v>0</v>
      </c>
      <c r="P3989" s="64" t="n">
        <f aca="false">IF(AND($M3989&gt;0,ISNUMBER(MATCH($F3989,Lists!$A$2:$A$5,0)),ISNUMBER(MATCH($G3989,Lists!$B$2:$B$7,0)),OR($H3989="",$N3989&gt;0),OR($I3989="",$I3989="NR",$O3989&gt;0),IF(ISNUMBER($J3989),AND($J3989&gt;=0,$J3989=INT($J3989)),FALSE())),$J3989,0)</f>
        <v>0</v>
      </c>
      <c r="Q3989" s="64" t="n">
        <f aca="false">IF(AND($P3989&gt;0,$O3989&gt;0),$P3989,0)</f>
        <v>0</v>
      </c>
      <c r="R3989" s="64" t="n">
        <f aca="false">IF(AND($Q3989&gt;0,$O3989&gt;=AtRank),$Q3989,0)</f>
        <v>0</v>
      </c>
      <c r="S3989" s="64" t="n">
        <f aca="false">IF(AND($Q3989&gt;0,$O3989&gt;=AboveRank),$Q3989,0)</f>
        <v>0</v>
      </c>
      <c r="T3989" s="64" t="n">
        <f aca="false">IF($K3989="Less",$P3989,0)</f>
        <v>0</v>
      </c>
      <c r="U3989" s="64" t="n">
        <f aca="false">IF($K3989="Expected",$P3989,0)</f>
        <v>0</v>
      </c>
      <c r="V3989" s="64" t="n">
        <f aca="false">IF($K3989="Better",$P3989,0)</f>
        <v>0</v>
      </c>
      <c r="W3989" s="64" t="n">
        <f aca="false">IF($K3989="U – needs rule",$P3989,0)</f>
        <v>0</v>
      </c>
      <c r="X3989" s="64" t="n">
        <f aca="false">IF($K3989="No Start (attainment only)",$P3989,0)</f>
        <v>0</v>
      </c>
    </row>
    <row r="3990" customFormat="false" ht="15" hidden="false" customHeight="false" outlineLevel="0" collapsed="false">
      <c r="A3990" s="60"/>
      <c r="B3990" s="61" t="str">
        <f aca="false">IF($M3990=0,"",INDEX(Classes!$E$6:$E$420,$M3990))</f>
        <v/>
      </c>
      <c r="C3990" s="62" t="str">
        <f aca="false">IF($M3990=0,"",INDEX(Classes!$H$6:$H$420,$M3990))</f>
        <v/>
      </c>
      <c r="D3990" s="61" t="str">
        <f aca="false">IF($M3990=0,"",INDEX(Classes!$B$6:$B$420,$M3990))</f>
        <v/>
      </c>
      <c r="E3990" s="61" t="str">
        <f aca="false">IF($M3990=0,"",INDEX(Classes!$C$6:$C$420,$M3990))</f>
        <v/>
      </c>
      <c r="F3990" s="63"/>
      <c r="G3990" s="63"/>
      <c r="H3990" s="60"/>
      <c r="I3990" s="60"/>
      <c r="J3990" s="63"/>
      <c r="K3990" s="61" t="str">
        <f aca="false">IF($P3990=0,"",IF($F3990="Baseline","— Baseline",IF($O3990=0,"No result",IF($N3990=0,"No Start (attainment only)",IF(OR($N3990=1,$O3990=1),"U – needs rule",INDEX(MxBody,MATCH($I3990,MxCurr,0),MATCH($H3990,MxStart,0)))))))</f>
        <v/>
      </c>
      <c r="L3990" s="62" t="str">
        <f aca="false">IF(COUNTA($A3990,$F3990,$G3990,$H3990,$I3990,$J3990)=0,"",IF($M3990=0,"✖ كود الصف غير موجود",IF(ISNA(MATCH($F3990,Lists!$A$2:$A$5,0)),"✖ الفترة غير صحيحة",IF(ISNA(MATCH($G3990,Lists!$B$2:$B$7,0)),"✖ المجموعة غير صحيحة",IF(NOT(OR($H3990="",$N3990&gt;0)),"✖ Start غير صحيح",IF(NOT(OR($I3990="",$I3990="NR",$O3990&gt;0)),"✖ Current غير صحيح",IF(NOT(IF(ISNUMBER($J3990),AND($J3990&gt;=0,$J3990=INT($J3990)),FALSE())),"✖ العدد يجب أن يكون صحيحًا ≥ 0",IF(AND($F3990="Baseline",$H3990&lt;&gt;""),"⚠ Baseline: Start لا يدخل في التقدم",IF($K3990="No Start (attainment only)","ℹ تحصيل فقط (بدون Start)",IF($K3990="U – needs rule","ℹ حالة U تحتاج قاعدة معتمدة",IF($K3990="No result","ℹ بدون نتيجة (يُستبعد من التحصيل)","OK")))))))))))</f>
        <v/>
      </c>
      <c r="M3990" s="64" t="n">
        <f aca="false">IF($A3990="",0,IFERROR(MATCH($A3990,Classes!$A$6:$A$420,0),0))</f>
        <v>0</v>
      </c>
      <c r="N3990" s="64" t="n">
        <f aca="false">IF($H3990="",0,IFERROR(MATCH($H3990,GradeList,0),0))</f>
        <v>0</v>
      </c>
      <c r="O3990" s="64" t="n">
        <f aca="false">IF(OR($I3990="",$I3990="NR"),0,IFERROR(MATCH($I3990,GradeList,0),0))</f>
        <v>0</v>
      </c>
      <c r="P3990" s="64" t="n">
        <f aca="false">IF(AND($M3990&gt;0,ISNUMBER(MATCH($F3990,Lists!$A$2:$A$5,0)),ISNUMBER(MATCH($G3990,Lists!$B$2:$B$7,0)),OR($H3990="",$N3990&gt;0),OR($I3990="",$I3990="NR",$O3990&gt;0),IF(ISNUMBER($J3990),AND($J3990&gt;=0,$J3990=INT($J3990)),FALSE())),$J3990,0)</f>
        <v>0</v>
      </c>
      <c r="Q3990" s="64" t="n">
        <f aca="false">IF(AND($P3990&gt;0,$O3990&gt;0),$P3990,0)</f>
        <v>0</v>
      </c>
      <c r="R3990" s="64" t="n">
        <f aca="false">IF(AND($Q3990&gt;0,$O3990&gt;=AtRank),$Q3990,0)</f>
        <v>0</v>
      </c>
      <c r="S3990" s="64" t="n">
        <f aca="false">IF(AND($Q3990&gt;0,$O3990&gt;=AboveRank),$Q3990,0)</f>
        <v>0</v>
      </c>
      <c r="T3990" s="64" t="n">
        <f aca="false">IF($K3990="Less",$P3990,0)</f>
        <v>0</v>
      </c>
      <c r="U3990" s="64" t="n">
        <f aca="false">IF($K3990="Expected",$P3990,0)</f>
        <v>0</v>
      </c>
      <c r="V3990" s="64" t="n">
        <f aca="false">IF($K3990="Better",$P3990,0)</f>
        <v>0</v>
      </c>
      <c r="W3990" s="64" t="n">
        <f aca="false">IF($K3990="U – needs rule",$P3990,0)</f>
        <v>0</v>
      </c>
      <c r="X3990" s="64" t="n">
        <f aca="false">IF($K3990="No Start (attainment only)",$P3990,0)</f>
        <v>0</v>
      </c>
    </row>
    <row r="3991" customFormat="false" ht="15" hidden="false" customHeight="false" outlineLevel="0" collapsed="false">
      <c r="A3991" s="60"/>
      <c r="B3991" s="61" t="str">
        <f aca="false">IF($M3991=0,"",INDEX(Classes!$E$6:$E$420,$M3991))</f>
        <v/>
      </c>
      <c r="C3991" s="62" t="str">
        <f aca="false">IF($M3991=0,"",INDEX(Classes!$H$6:$H$420,$M3991))</f>
        <v/>
      </c>
      <c r="D3991" s="61" t="str">
        <f aca="false">IF($M3991=0,"",INDEX(Classes!$B$6:$B$420,$M3991))</f>
        <v/>
      </c>
      <c r="E3991" s="61" t="str">
        <f aca="false">IF($M3991=0,"",INDEX(Classes!$C$6:$C$420,$M3991))</f>
        <v/>
      </c>
      <c r="F3991" s="63"/>
      <c r="G3991" s="63"/>
      <c r="H3991" s="60"/>
      <c r="I3991" s="60"/>
      <c r="J3991" s="63"/>
      <c r="K3991" s="61" t="str">
        <f aca="false">IF($P3991=0,"",IF($F3991="Baseline","— Baseline",IF($O3991=0,"No result",IF($N3991=0,"No Start (attainment only)",IF(OR($N3991=1,$O3991=1),"U – needs rule",INDEX(MxBody,MATCH($I3991,MxCurr,0),MATCH($H3991,MxStart,0)))))))</f>
        <v/>
      </c>
      <c r="L3991" s="62" t="str">
        <f aca="false">IF(COUNTA($A3991,$F3991,$G3991,$H3991,$I3991,$J3991)=0,"",IF($M3991=0,"✖ كود الصف غير موجود",IF(ISNA(MATCH($F3991,Lists!$A$2:$A$5,0)),"✖ الفترة غير صحيحة",IF(ISNA(MATCH($G3991,Lists!$B$2:$B$7,0)),"✖ المجموعة غير صحيحة",IF(NOT(OR($H3991="",$N3991&gt;0)),"✖ Start غير صحيح",IF(NOT(OR($I3991="",$I3991="NR",$O3991&gt;0)),"✖ Current غير صحيح",IF(NOT(IF(ISNUMBER($J3991),AND($J3991&gt;=0,$J3991=INT($J3991)),FALSE())),"✖ العدد يجب أن يكون صحيحًا ≥ 0",IF(AND($F3991="Baseline",$H3991&lt;&gt;""),"⚠ Baseline: Start لا يدخل في التقدم",IF($K3991="No Start (attainment only)","ℹ تحصيل فقط (بدون Start)",IF($K3991="U – needs rule","ℹ حالة U تحتاج قاعدة معتمدة",IF($K3991="No result","ℹ بدون نتيجة (يُستبعد من التحصيل)","OK")))))))))))</f>
        <v/>
      </c>
      <c r="M3991" s="64" t="n">
        <f aca="false">IF($A3991="",0,IFERROR(MATCH($A3991,Classes!$A$6:$A$420,0),0))</f>
        <v>0</v>
      </c>
      <c r="N3991" s="64" t="n">
        <f aca="false">IF($H3991="",0,IFERROR(MATCH($H3991,GradeList,0),0))</f>
        <v>0</v>
      </c>
      <c r="O3991" s="64" t="n">
        <f aca="false">IF(OR($I3991="",$I3991="NR"),0,IFERROR(MATCH($I3991,GradeList,0),0))</f>
        <v>0</v>
      </c>
      <c r="P3991" s="64" t="n">
        <f aca="false">IF(AND($M3991&gt;0,ISNUMBER(MATCH($F3991,Lists!$A$2:$A$5,0)),ISNUMBER(MATCH($G3991,Lists!$B$2:$B$7,0)),OR($H3991="",$N3991&gt;0),OR($I3991="",$I3991="NR",$O3991&gt;0),IF(ISNUMBER($J3991),AND($J3991&gt;=0,$J3991=INT($J3991)),FALSE())),$J3991,0)</f>
        <v>0</v>
      </c>
      <c r="Q3991" s="64" t="n">
        <f aca="false">IF(AND($P3991&gt;0,$O3991&gt;0),$P3991,0)</f>
        <v>0</v>
      </c>
      <c r="R3991" s="64" t="n">
        <f aca="false">IF(AND($Q3991&gt;0,$O3991&gt;=AtRank),$Q3991,0)</f>
        <v>0</v>
      </c>
      <c r="S3991" s="64" t="n">
        <f aca="false">IF(AND($Q3991&gt;0,$O3991&gt;=AboveRank),$Q3991,0)</f>
        <v>0</v>
      </c>
      <c r="T3991" s="64" t="n">
        <f aca="false">IF($K3991="Less",$P3991,0)</f>
        <v>0</v>
      </c>
      <c r="U3991" s="64" t="n">
        <f aca="false">IF($K3991="Expected",$P3991,0)</f>
        <v>0</v>
      </c>
      <c r="V3991" s="64" t="n">
        <f aca="false">IF($K3991="Better",$P3991,0)</f>
        <v>0</v>
      </c>
      <c r="W3991" s="64" t="n">
        <f aca="false">IF($K3991="U – needs rule",$P3991,0)</f>
        <v>0</v>
      </c>
      <c r="X3991" s="64" t="n">
        <f aca="false">IF($K3991="No Start (attainment only)",$P3991,0)</f>
        <v>0</v>
      </c>
    </row>
    <row r="3992" customFormat="false" ht="15" hidden="false" customHeight="false" outlineLevel="0" collapsed="false">
      <c r="A3992" s="60"/>
      <c r="B3992" s="61" t="str">
        <f aca="false">IF($M3992=0,"",INDEX(Classes!$E$6:$E$420,$M3992))</f>
        <v/>
      </c>
      <c r="C3992" s="62" t="str">
        <f aca="false">IF($M3992=0,"",INDEX(Classes!$H$6:$H$420,$M3992))</f>
        <v/>
      </c>
      <c r="D3992" s="61" t="str">
        <f aca="false">IF($M3992=0,"",INDEX(Classes!$B$6:$B$420,$M3992))</f>
        <v/>
      </c>
      <c r="E3992" s="61" t="str">
        <f aca="false">IF($M3992=0,"",INDEX(Classes!$C$6:$C$420,$M3992))</f>
        <v/>
      </c>
      <c r="F3992" s="63"/>
      <c r="G3992" s="63"/>
      <c r="H3992" s="60"/>
      <c r="I3992" s="60"/>
      <c r="J3992" s="63"/>
      <c r="K3992" s="61" t="str">
        <f aca="false">IF($P3992=0,"",IF($F3992="Baseline","— Baseline",IF($O3992=0,"No result",IF($N3992=0,"No Start (attainment only)",IF(OR($N3992=1,$O3992=1),"U – needs rule",INDEX(MxBody,MATCH($I3992,MxCurr,0),MATCH($H3992,MxStart,0)))))))</f>
        <v/>
      </c>
      <c r="L3992" s="62" t="str">
        <f aca="false">IF(COUNTA($A3992,$F3992,$G3992,$H3992,$I3992,$J3992)=0,"",IF($M3992=0,"✖ كود الصف غير موجود",IF(ISNA(MATCH($F3992,Lists!$A$2:$A$5,0)),"✖ الفترة غير صحيحة",IF(ISNA(MATCH($G3992,Lists!$B$2:$B$7,0)),"✖ المجموعة غير صحيحة",IF(NOT(OR($H3992="",$N3992&gt;0)),"✖ Start غير صحيح",IF(NOT(OR($I3992="",$I3992="NR",$O3992&gt;0)),"✖ Current غير صحيح",IF(NOT(IF(ISNUMBER($J3992),AND($J3992&gt;=0,$J3992=INT($J3992)),FALSE())),"✖ العدد يجب أن يكون صحيحًا ≥ 0",IF(AND($F3992="Baseline",$H3992&lt;&gt;""),"⚠ Baseline: Start لا يدخل في التقدم",IF($K3992="No Start (attainment only)","ℹ تحصيل فقط (بدون Start)",IF($K3992="U – needs rule","ℹ حالة U تحتاج قاعدة معتمدة",IF($K3992="No result","ℹ بدون نتيجة (يُستبعد من التحصيل)","OK")))))))))))</f>
        <v/>
      </c>
      <c r="M3992" s="64" t="n">
        <f aca="false">IF($A3992="",0,IFERROR(MATCH($A3992,Classes!$A$6:$A$420,0),0))</f>
        <v>0</v>
      </c>
      <c r="N3992" s="64" t="n">
        <f aca="false">IF($H3992="",0,IFERROR(MATCH($H3992,GradeList,0),0))</f>
        <v>0</v>
      </c>
      <c r="O3992" s="64" t="n">
        <f aca="false">IF(OR($I3992="",$I3992="NR"),0,IFERROR(MATCH($I3992,GradeList,0),0))</f>
        <v>0</v>
      </c>
      <c r="P3992" s="64" t="n">
        <f aca="false">IF(AND($M3992&gt;0,ISNUMBER(MATCH($F3992,Lists!$A$2:$A$5,0)),ISNUMBER(MATCH($G3992,Lists!$B$2:$B$7,0)),OR($H3992="",$N3992&gt;0),OR($I3992="",$I3992="NR",$O3992&gt;0),IF(ISNUMBER($J3992),AND($J3992&gt;=0,$J3992=INT($J3992)),FALSE())),$J3992,0)</f>
        <v>0</v>
      </c>
      <c r="Q3992" s="64" t="n">
        <f aca="false">IF(AND($P3992&gt;0,$O3992&gt;0),$P3992,0)</f>
        <v>0</v>
      </c>
      <c r="R3992" s="64" t="n">
        <f aca="false">IF(AND($Q3992&gt;0,$O3992&gt;=AtRank),$Q3992,0)</f>
        <v>0</v>
      </c>
      <c r="S3992" s="64" t="n">
        <f aca="false">IF(AND($Q3992&gt;0,$O3992&gt;=AboveRank),$Q3992,0)</f>
        <v>0</v>
      </c>
      <c r="T3992" s="64" t="n">
        <f aca="false">IF($K3992="Less",$P3992,0)</f>
        <v>0</v>
      </c>
      <c r="U3992" s="64" t="n">
        <f aca="false">IF($K3992="Expected",$P3992,0)</f>
        <v>0</v>
      </c>
      <c r="V3992" s="64" t="n">
        <f aca="false">IF($K3992="Better",$P3992,0)</f>
        <v>0</v>
      </c>
      <c r="W3992" s="64" t="n">
        <f aca="false">IF($K3992="U – needs rule",$P3992,0)</f>
        <v>0</v>
      </c>
      <c r="X3992" s="64" t="n">
        <f aca="false">IF($K3992="No Start (attainment only)",$P3992,0)</f>
        <v>0</v>
      </c>
    </row>
    <row r="3993" customFormat="false" ht="15" hidden="false" customHeight="false" outlineLevel="0" collapsed="false">
      <c r="A3993" s="60"/>
      <c r="B3993" s="61" t="str">
        <f aca="false">IF($M3993=0,"",INDEX(Classes!$E$6:$E$420,$M3993))</f>
        <v/>
      </c>
      <c r="C3993" s="62" t="str">
        <f aca="false">IF($M3993=0,"",INDEX(Classes!$H$6:$H$420,$M3993))</f>
        <v/>
      </c>
      <c r="D3993" s="61" t="str">
        <f aca="false">IF($M3993=0,"",INDEX(Classes!$B$6:$B$420,$M3993))</f>
        <v/>
      </c>
      <c r="E3993" s="61" t="str">
        <f aca="false">IF($M3993=0,"",INDEX(Classes!$C$6:$C$420,$M3993))</f>
        <v/>
      </c>
      <c r="F3993" s="63"/>
      <c r="G3993" s="63"/>
      <c r="H3993" s="60"/>
      <c r="I3993" s="60"/>
      <c r="J3993" s="63"/>
      <c r="K3993" s="61" t="str">
        <f aca="false">IF($P3993=0,"",IF($F3993="Baseline","— Baseline",IF($O3993=0,"No result",IF($N3993=0,"No Start (attainment only)",IF(OR($N3993=1,$O3993=1),"U – needs rule",INDEX(MxBody,MATCH($I3993,MxCurr,0),MATCH($H3993,MxStart,0)))))))</f>
        <v/>
      </c>
      <c r="L3993" s="62" t="str">
        <f aca="false">IF(COUNTA($A3993,$F3993,$G3993,$H3993,$I3993,$J3993)=0,"",IF($M3993=0,"✖ كود الصف غير موجود",IF(ISNA(MATCH($F3993,Lists!$A$2:$A$5,0)),"✖ الفترة غير صحيحة",IF(ISNA(MATCH($G3993,Lists!$B$2:$B$7,0)),"✖ المجموعة غير صحيحة",IF(NOT(OR($H3993="",$N3993&gt;0)),"✖ Start غير صحيح",IF(NOT(OR($I3993="",$I3993="NR",$O3993&gt;0)),"✖ Current غير صحيح",IF(NOT(IF(ISNUMBER($J3993),AND($J3993&gt;=0,$J3993=INT($J3993)),FALSE())),"✖ العدد يجب أن يكون صحيحًا ≥ 0",IF(AND($F3993="Baseline",$H3993&lt;&gt;""),"⚠ Baseline: Start لا يدخل في التقدم",IF($K3993="No Start (attainment only)","ℹ تحصيل فقط (بدون Start)",IF($K3993="U – needs rule","ℹ حالة U تحتاج قاعدة معتمدة",IF($K3993="No result","ℹ بدون نتيجة (يُستبعد من التحصيل)","OK")))))))))))</f>
        <v/>
      </c>
      <c r="M3993" s="64" t="n">
        <f aca="false">IF($A3993="",0,IFERROR(MATCH($A3993,Classes!$A$6:$A$420,0),0))</f>
        <v>0</v>
      </c>
      <c r="N3993" s="64" t="n">
        <f aca="false">IF($H3993="",0,IFERROR(MATCH($H3993,GradeList,0),0))</f>
        <v>0</v>
      </c>
      <c r="O3993" s="64" t="n">
        <f aca="false">IF(OR($I3993="",$I3993="NR"),0,IFERROR(MATCH($I3993,GradeList,0),0))</f>
        <v>0</v>
      </c>
      <c r="P3993" s="64" t="n">
        <f aca="false">IF(AND($M3993&gt;0,ISNUMBER(MATCH($F3993,Lists!$A$2:$A$5,0)),ISNUMBER(MATCH($G3993,Lists!$B$2:$B$7,0)),OR($H3993="",$N3993&gt;0),OR($I3993="",$I3993="NR",$O3993&gt;0),IF(ISNUMBER($J3993),AND($J3993&gt;=0,$J3993=INT($J3993)),FALSE())),$J3993,0)</f>
        <v>0</v>
      </c>
      <c r="Q3993" s="64" t="n">
        <f aca="false">IF(AND($P3993&gt;0,$O3993&gt;0),$P3993,0)</f>
        <v>0</v>
      </c>
      <c r="R3993" s="64" t="n">
        <f aca="false">IF(AND($Q3993&gt;0,$O3993&gt;=AtRank),$Q3993,0)</f>
        <v>0</v>
      </c>
      <c r="S3993" s="64" t="n">
        <f aca="false">IF(AND($Q3993&gt;0,$O3993&gt;=AboveRank),$Q3993,0)</f>
        <v>0</v>
      </c>
      <c r="T3993" s="64" t="n">
        <f aca="false">IF($K3993="Less",$P3993,0)</f>
        <v>0</v>
      </c>
      <c r="U3993" s="64" t="n">
        <f aca="false">IF($K3993="Expected",$P3993,0)</f>
        <v>0</v>
      </c>
      <c r="V3993" s="64" t="n">
        <f aca="false">IF($K3993="Better",$P3993,0)</f>
        <v>0</v>
      </c>
      <c r="W3993" s="64" t="n">
        <f aca="false">IF($K3993="U – needs rule",$P3993,0)</f>
        <v>0</v>
      </c>
      <c r="X3993" s="64" t="n">
        <f aca="false">IF($K3993="No Start (attainment only)",$P3993,0)</f>
        <v>0</v>
      </c>
    </row>
    <row r="3994" customFormat="false" ht="15" hidden="false" customHeight="false" outlineLevel="0" collapsed="false">
      <c r="A3994" s="60"/>
      <c r="B3994" s="61" t="str">
        <f aca="false">IF($M3994=0,"",INDEX(Classes!$E$6:$E$420,$M3994))</f>
        <v/>
      </c>
      <c r="C3994" s="62" t="str">
        <f aca="false">IF($M3994=0,"",INDEX(Classes!$H$6:$H$420,$M3994))</f>
        <v/>
      </c>
      <c r="D3994" s="61" t="str">
        <f aca="false">IF($M3994=0,"",INDEX(Classes!$B$6:$B$420,$M3994))</f>
        <v/>
      </c>
      <c r="E3994" s="61" t="str">
        <f aca="false">IF($M3994=0,"",INDEX(Classes!$C$6:$C$420,$M3994))</f>
        <v/>
      </c>
      <c r="F3994" s="63"/>
      <c r="G3994" s="63"/>
      <c r="H3994" s="60"/>
      <c r="I3994" s="60"/>
      <c r="J3994" s="63"/>
      <c r="K3994" s="61" t="str">
        <f aca="false">IF($P3994=0,"",IF($F3994="Baseline","— Baseline",IF($O3994=0,"No result",IF($N3994=0,"No Start (attainment only)",IF(OR($N3994=1,$O3994=1),"U – needs rule",INDEX(MxBody,MATCH($I3994,MxCurr,0),MATCH($H3994,MxStart,0)))))))</f>
        <v/>
      </c>
      <c r="L3994" s="62" t="str">
        <f aca="false">IF(COUNTA($A3994,$F3994,$G3994,$H3994,$I3994,$J3994)=0,"",IF($M3994=0,"✖ كود الصف غير موجود",IF(ISNA(MATCH($F3994,Lists!$A$2:$A$5,0)),"✖ الفترة غير صحيحة",IF(ISNA(MATCH($G3994,Lists!$B$2:$B$7,0)),"✖ المجموعة غير صحيحة",IF(NOT(OR($H3994="",$N3994&gt;0)),"✖ Start غير صحيح",IF(NOT(OR($I3994="",$I3994="NR",$O3994&gt;0)),"✖ Current غير صحيح",IF(NOT(IF(ISNUMBER($J3994),AND($J3994&gt;=0,$J3994=INT($J3994)),FALSE())),"✖ العدد يجب أن يكون صحيحًا ≥ 0",IF(AND($F3994="Baseline",$H3994&lt;&gt;""),"⚠ Baseline: Start لا يدخل في التقدم",IF($K3994="No Start (attainment only)","ℹ تحصيل فقط (بدون Start)",IF($K3994="U – needs rule","ℹ حالة U تحتاج قاعدة معتمدة",IF($K3994="No result","ℹ بدون نتيجة (يُستبعد من التحصيل)","OK")))))))))))</f>
        <v/>
      </c>
      <c r="M3994" s="64" t="n">
        <f aca="false">IF($A3994="",0,IFERROR(MATCH($A3994,Classes!$A$6:$A$420,0),0))</f>
        <v>0</v>
      </c>
      <c r="N3994" s="64" t="n">
        <f aca="false">IF($H3994="",0,IFERROR(MATCH($H3994,GradeList,0),0))</f>
        <v>0</v>
      </c>
      <c r="O3994" s="64" t="n">
        <f aca="false">IF(OR($I3994="",$I3994="NR"),0,IFERROR(MATCH($I3994,GradeList,0),0))</f>
        <v>0</v>
      </c>
      <c r="P3994" s="64" t="n">
        <f aca="false">IF(AND($M3994&gt;0,ISNUMBER(MATCH($F3994,Lists!$A$2:$A$5,0)),ISNUMBER(MATCH($G3994,Lists!$B$2:$B$7,0)),OR($H3994="",$N3994&gt;0),OR($I3994="",$I3994="NR",$O3994&gt;0),IF(ISNUMBER($J3994),AND($J3994&gt;=0,$J3994=INT($J3994)),FALSE())),$J3994,0)</f>
        <v>0</v>
      </c>
      <c r="Q3994" s="64" t="n">
        <f aca="false">IF(AND($P3994&gt;0,$O3994&gt;0),$P3994,0)</f>
        <v>0</v>
      </c>
      <c r="R3994" s="64" t="n">
        <f aca="false">IF(AND($Q3994&gt;0,$O3994&gt;=AtRank),$Q3994,0)</f>
        <v>0</v>
      </c>
      <c r="S3994" s="64" t="n">
        <f aca="false">IF(AND($Q3994&gt;0,$O3994&gt;=AboveRank),$Q3994,0)</f>
        <v>0</v>
      </c>
      <c r="T3994" s="64" t="n">
        <f aca="false">IF($K3994="Less",$P3994,0)</f>
        <v>0</v>
      </c>
      <c r="U3994" s="64" t="n">
        <f aca="false">IF($K3994="Expected",$P3994,0)</f>
        <v>0</v>
      </c>
      <c r="V3994" s="64" t="n">
        <f aca="false">IF($K3994="Better",$P3994,0)</f>
        <v>0</v>
      </c>
      <c r="W3994" s="64" t="n">
        <f aca="false">IF($K3994="U – needs rule",$P3994,0)</f>
        <v>0</v>
      </c>
      <c r="X3994" s="64" t="n">
        <f aca="false">IF($K3994="No Start (attainment only)",$P3994,0)</f>
        <v>0</v>
      </c>
    </row>
    <row r="3995" customFormat="false" ht="15" hidden="false" customHeight="false" outlineLevel="0" collapsed="false">
      <c r="A3995" s="60"/>
      <c r="B3995" s="61" t="str">
        <f aca="false">IF($M3995=0,"",INDEX(Classes!$E$6:$E$420,$M3995))</f>
        <v/>
      </c>
      <c r="C3995" s="62" t="str">
        <f aca="false">IF($M3995=0,"",INDEX(Classes!$H$6:$H$420,$M3995))</f>
        <v/>
      </c>
      <c r="D3995" s="61" t="str">
        <f aca="false">IF($M3995=0,"",INDEX(Classes!$B$6:$B$420,$M3995))</f>
        <v/>
      </c>
      <c r="E3995" s="61" t="str">
        <f aca="false">IF($M3995=0,"",INDEX(Classes!$C$6:$C$420,$M3995))</f>
        <v/>
      </c>
      <c r="F3995" s="63"/>
      <c r="G3995" s="63"/>
      <c r="H3995" s="60"/>
      <c r="I3995" s="60"/>
      <c r="J3995" s="63"/>
      <c r="K3995" s="61" t="str">
        <f aca="false">IF($P3995=0,"",IF($F3995="Baseline","— Baseline",IF($O3995=0,"No result",IF($N3995=0,"No Start (attainment only)",IF(OR($N3995=1,$O3995=1),"U – needs rule",INDEX(MxBody,MATCH($I3995,MxCurr,0),MATCH($H3995,MxStart,0)))))))</f>
        <v/>
      </c>
      <c r="L3995" s="62" t="str">
        <f aca="false">IF(COUNTA($A3995,$F3995,$G3995,$H3995,$I3995,$J3995)=0,"",IF($M3995=0,"✖ كود الصف غير موجود",IF(ISNA(MATCH($F3995,Lists!$A$2:$A$5,0)),"✖ الفترة غير صحيحة",IF(ISNA(MATCH($G3995,Lists!$B$2:$B$7,0)),"✖ المجموعة غير صحيحة",IF(NOT(OR($H3995="",$N3995&gt;0)),"✖ Start غير صحيح",IF(NOT(OR($I3995="",$I3995="NR",$O3995&gt;0)),"✖ Current غير صحيح",IF(NOT(IF(ISNUMBER($J3995),AND($J3995&gt;=0,$J3995=INT($J3995)),FALSE())),"✖ العدد يجب أن يكون صحيحًا ≥ 0",IF(AND($F3995="Baseline",$H3995&lt;&gt;""),"⚠ Baseline: Start لا يدخل في التقدم",IF($K3995="No Start (attainment only)","ℹ تحصيل فقط (بدون Start)",IF($K3995="U – needs rule","ℹ حالة U تحتاج قاعدة معتمدة",IF($K3995="No result","ℹ بدون نتيجة (يُستبعد من التحصيل)","OK")))))))))))</f>
        <v/>
      </c>
      <c r="M3995" s="64" t="n">
        <f aca="false">IF($A3995="",0,IFERROR(MATCH($A3995,Classes!$A$6:$A$420,0),0))</f>
        <v>0</v>
      </c>
      <c r="N3995" s="64" t="n">
        <f aca="false">IF($H3995="",0,IFERROR(MATCH($H3995,GradeList,0),0))</f>
        <v>0</v>
      </c>
      <c r="O3995" s="64" t="n">
        <f aca="false">IF(OR($I3995="",$I3995="NR"),0,IFERROR(MATCH($I3995,GradeList,0),0))</f>
        <v>0</v>
      </c>
      <c r="P3995" s="64" t="n">
        <f aca="false">IF(AND($M3995&gt;0,ISNUMBER(MATCH($F3995,Lists!$A$2:$A$5,0)),ISNUMBER(MATCH($G3995,Lists!$B$2:$B$7,0)),OR($H3995="",$N3995&gt;0),OR($I3995="",$I3995="NR",$O3995&gt;0),IF(ISNUMBER($J3995),AND($J3995&gt;=0,$J3995=INT($J3995)),FALSE())),$J3995,0)</f>
        <v>0</v>
      </c>
      <c r="Q3995" s="64" t="n">
        <f aca="false">IF(AND($P3995&gt;0,$O3995&gt;0),$P3995,0)</f>
        <v>0</v>
      </c>
      <c r="R3995" s="64" t="n">
        <f aca="false">IF(AND($Q3995&gt;0,$O3995&gt;=AtRank),$Q3995,0)</f>
        <v>0</v>
      </c>
      <c r="S3995" s="64" t="n">
        <f aca="false">IF(AND($Q3995&gt;0,$O3995&gt;=AboveRank),$Q3995,0)</f>
        <v>0</v>
      </c>
      <c r="T3995" s="64" t="n">
        <f aca="false">IF($K3995="Less",$P3995,0)</f>
        <v>0</v>
      </c>
      <c r="U3995" s="64" t="n">
        <f aca="false">IF($K3995="Expected",$P3995,0)</f>
        <v>0</v>
      </c>
      <c r="V3995" s="64" t="n">
        <f aca="false">IF($K3995="Better",$P3995,0)</f>
        <v>0</v>
      </c>
      <c r="W3995" s="64" t="n">
        <f aca="false">IF($K3995="U – needs rule",$P3995,0)</f>
        <v>0</v>
      </c>
      <c r="X3995" s="64" t="n">
        <f aca="false">IF($K3995="No Start (attainment only)",$P3995,0)</f>
        <v>0</v>
      </c>
    </row>
    <row r="3996" customFormat="false" ht="15" hidden="false" customHeight="false" outlineLevel="0" collapsed="false">
      <c r="A3996" s="60"/>
      <c r="B3996" s="61" t="str">
        <f aca="false">IF($M3996=0,"",INDEX(Classes!$E$6:$E$420,$M3996))</f>
        <v/>
      </c>
      <c r="C3996" s="62" t="str">
        <f aca="false">IF($M3996=0,"",INDEX(Classes!$H$6:$H$420,$M3996))</f>
        <v/>
      </c>
      <c r="D3996" s="61" t="str">
        <f aca="false">IF($M3996=0,"",INDEX(Classes!$B$6:$B$420,$M3996))</f>
        <v/>
      </c>
      <c r="E3996" s="61" t="str">
        <f aca="false">IF($M3996=0,"",INDEX(Classes!$C$6:$C$420,$M3996))</f>
        <v/>
      </c>
      <c r="F3996" s="63"/>
      <c r="G3996" s="63"/>
      <c r="H3996" s="60"/>
      <c r="I3996" s="60"/>
      <c r="J3996" s="63"/>
      <c r="K3996" s="61" t="str">
        <f aca="false">IF($P3996=0,"",IF($F3996="Baseline","— Baseline",IF($O3996=0,"No result",IF($N3996=0,"No Start (attainment only)",IF(OR($N3996=1,$O3996=1),"U – needs rule",INDEX(MxBody,MATCH($I3996,MxCurr,0),MATCH($H3996,MxStart,0)))))))</f>
        <v/>
      </c>
      <c r="L3996" s="62" t="str">
        <f aca="false">IF(COUNTA($A3996,$F3996,$G3996,$H3996,$I3996,$J3996)=0,"",IF($M3996=0,"✖ كود الصف غير موجود",IF(ISNA(MATCH($F3996,Lists!$A$2:$A$5,0)),"✖ الفترة غير صحيحة",IF(ISNA(MATCH($G3996,Lists!$B$2:$B$7,0)),"✖ المجموعة غير صحيحة",IF(NOT(OR($H3996="",$N3996&gt;0)),"✖ Start غير صحيح",IF(NOT(OR($I3996="",$I3996="NR",$O3996&gt;0)),"✖ Current غير صحيح",IF(NOT(IF(ISNUMBER($J3996),AND($J3996&gt;=0,$J3996=INT($J3996)),FALSE())),"✖ العدد يجب أن يكون صحيحًا ≥ 0",IF(AND($F3996="Baseline",$H3996&lt;&gt;""),"⚠ Baseline: Start لا يدخل في التقدم",IF($K3996="No Start (attainment only)","ℹ تحصيل فقط (بدون Start)",IF($K3996="U – needs rule","ℹ حالة U تحتاج قاعدة معتمدة",IF($K3996="No result","ℹ بدون نتيجة (يُستبعد من التحصيل)","OK")))))))))))</f>
        <v/>
      </c>
      <c r="M3996" s="64" t="n">
        <f aca="false">IF($A3996="",0,IFERROR(MATCH($A3996,Classes!$A$6:$A$420,0),0))</f>
        <v>0</v>
      </c>
      <c r="N3996" s="64" t="n">
        <f aca="false">IF($H3996="",0,IFERROR(MATCH($H3996,GradeList,0),0))</f>
        <v>0</v>
      </c>
      <c r="O3996" s="64" t="n">
        <f aca="false">IF(OR($I3996="",$I3996="NR"),0,IFERROR(MATCH($I3996,GradeList,0),0))</f>
        <v>0</v>
      </c>
      <c r="P3996" s="64" t="n">
        <f aca="false">IF(AND($M3996&gt;0,ISNUMBER(MATCH($F3996,Lists!$A$2:$A$5,0)),ISNUMBER(MATCH($G3996,Lists!$B$2:$B$7,0)),OR($H3996="",$N3996&gt;0),OR($I3996="",$I3996="NR",$O3996&gt;0),IF(ISNUMBER($J3996),AND($J3996&gt;=0,$J3996=INT($J3996)),FALSE())),$J3996,0)</f>
        <v>0</v>
      </c>
      <c r="Q3996" s="64" t="n">
        <f aca="false">IF(AND($P3996&gt;0,$O3996&gt;0),$P3996,0)</f>
        <v>0</v>
      </c>
      <c r="R3996" s="64" t="n">
        <f aca="false">IF(AND($Q3996&gt;0,$O3996&gt;=AtRank),$Q3996,0)</f>
        <v>0</v>
      </c>
      <c r="S3996" s="64" t="n">
        <f aca="false">IF(AND($Q3996&gt;0,$O3996&gt;=AboveRank),$Q3996,0)</f>
        <v>0</v>
      </c>
      <c r="T3996" s="64" t="n">
        <f aca="false">IF($K3996="Less",$P3996,0)</f>
        <v>0</v>
      </c>
      <c r="U3996" s="64" t="n">
        <f aca="false">IF($K3996="Expected",$P3996,0)</f>
        <v>0</v>
      </c>
      <c r="V3996" s="64" t="n">
        <f aca="false">IF($K3996="Better",$P3996,0)</f>
        <v>0</v>
      </c>
      <c r="W3996" s="64" t="n">
        <f aca="false">IF($K3996="U – needs rule",$P3996,0)</f>
        <v>0</v>
      </c>
      <c r="X3996" s="64" t="n">
        <f aca="false">IF($K3996="No Start (attainment only)",$P3996,0)</f>
        <v>0</v>
      </c>
    </row>
    <row r="3997" customFormat="false" ht="15" hidden="false" customHeight="false" outlineLevel="0" collapsed="false">
      <c r="A3997" s="60"/>
      <c r="B3997" s="61" t="str">
        <f aca="false">IF($M3997=0,"",INDEX(Classes!$E$6:$E$420,$M3997))</f>
        <v/>
      </c>
      <c r="C3997" s="62" t="str">
        <f aca="false">IF($M3997=0,"",INDEX(Classes!$H$6:$H$420,$M3997))</f>
        <v/>
      </c>
      <c r="D3997" s="61" t="str">
        <f aca="false">IF($M3997=0,"",INDEX(Classes!$B$6:$B$420,$M3997))</f>
        <v/>
      </c>
      <c r="E3997" s="61" t="str">
        <f aca="false">IF($M3997=0,"",INDEX(Classes!$C$6:$C$420,$M3997))</f>
        <v/>
      </c>
      <c r="F3997" s="63"/>
      <c r="G3997" s="63"/>
      <c r="H3997" s="60"/>
      <c r="I3997" s="60"/>
      <c r="J3997" s="63"/>
      <c r="K3997" s="61" t="str">
        <f aca="false">IF($P3997=0,"",IF($F3997="Baseline","— Baseline",IF($O3997=0,"No result",IF($N3997=0,"No Start (attainment only)",IF(OR($N3997=1,$O3997=1),"U – needs rule",INDEX(MxBody,MATCH($I3997,MxCurr,0),MATCH($H3997,MxStart,0)))))))</f>
        <v/>
      </c>
      <c r="L3997" s="62" t="str">
        <f aca="false">IF(COUNTA($A3997,$F3997,$G3997,$H3997,$I3997,$J3997)=0,"",IF($M3997=0,"✖ كود الصف غير موجود",IF(ISNA(MATCH($F3997,Lists!$A$2:$A$5,0)),"✖ الفترة غير صحيحة",IF(ISNA(MATCH($G3997,Lists!$B$2:$B$7,0)),"✖ المجموعة غير صحيحة",IF(NOT(OR($H3997="",$N3997&gt;0)),"✖ Start غير صحيح",IF(NOT(OR($I3997="",$I3997="NR",$O3997&gt;0)),"✖ Current غير صحيح",IF(NOT(IF(ISNUMBER($J3997),AND($J3997&gt;=0,$J3997=INT($J3997)),FALSE())),"✖ العدد يجب أن يكون صحيحًا ≥ 0",IF(AND($F3997="Baseline",$H3997&lt;&gt;""),"⚠ Baseline: Start لا يدخل في التقدم",IF($K3997="No Start (attainment only)","ℹ تحصيل فقط (بدون Start)",IF($K3997="U – needs rule","ℹ حالة U تحتاج قاعدة معتمدة",IF($K3997="No result","ℹ بدون نتيجة (يُستبعد من التحصيل)","OK")))))))))))</f>
        <v/>
      </c>
      <c r="M3997" s="64" t="n">
        <f aca="false">IF($A3997="",0,IFERROR(MATCH($A3997,Classes!$A$6:$A$420,0),0))</f>
        <v>0</v>
      </c>
      <c r="N3997" s="64" t="n">
        <f aca="false">IF($H3997="",0,IFERROR(MATCH($H3997,GradeList,0),0))</f>
        <v>0</v>
      </c>
      <c r="O3997" s="64" t="n">
        <f aca="false">IF(OR($I3997="",$I3997="NR"),0,IFERROR(MATCH($I3997,GradeList,0),0))</f>
        <v>0</v>
      </c>
      <c r="P3997" s="64" t="n">
        <f aca="false">IF(AND($M3997&gt;0,ISNUMBER(MATCH($F3997,Lists!$A$2:$A$5,0)),ISNUMBER(MATCH($G3997,Lists!$B$2:$B$7,0)),OR($H3997="",$N3997&gt;0),OR($I3997="",$I3997="NR",$O3997&gt;0),IF(ISNUMBER($J3997),AND($J3997&gt;=0,$J3997=INT($J3997)),FALSE())),$J3997,0)</f>
        <v>0</v>
      </c>
      <c r="Q3997" s="64" t="n">
        <f aca="false">IF(AND($P3997&gt;0,$O3997&gt;0),$P3997,0)</f>
        <v>0</v>
      </c>
      <c r="R3997" s="64" t="n">
        <f aca="false">IF(AND($Q3997&gt;0,$O3997&gt;=AtRank),$Q3997,0)</f>
        <v>0</v>
      </c>
      <c r="S3997" s="64" t="n">
        <f aca="false">IF(AND($Q3997&gt;0,$O3997&gt;=AboveRank),$Q3997,0)</f>
        <v>0</v>
      </c>
      <c r="T3997" s="64" t="n">
        <f aca="false">IF($K3997="Less",$P3997,0)</f>
        <v>0</v>
      </c>
      <c r="U3997" s="64" t="n">
        <f aca="false">IF($K3997="Expected",$P3997,0)</f>
        <v>0</v>
      </c>
      <c r="V3997" s="64" t="n">
        <f aca="false">IF($K3997="Better",$P3997,0)</f>
        <v>0</v>
      </c>
      <c r="W3997" s="64" t="n">
        <f aca="false">IF($K3997="U – needs rule",$P3997,0)</f>
        <v>0</v>
      </c>
      <c r="X3997" s="64" t="n">
        <f aca="false">IF($K3997="No Start (attainment only)",$P3997,0)</f>
        <v>0</v>
      </c>
    </row>
    <row r="3998" customFormat="false" ht="15" hidden="false" customHeight="false" outlineLevel="0" collapsed="false">
      <c r="A3998" s="60"/>
      <c r="B3998" s="61" t="str">
        <f aca="false">IF($M3998=0,"",INDEX(Classes!$E$6:$E$420,$M3998))</f>
        <v/>
      </c>
      <c r="C3998" s="62" t="str">
        <f aca="false">IF($M3998=0,"",INDEX(Classes!$H$6:$H$420,$M3998))</f>
        <v/>
      </c>
      <c r="D3998" s="61" t="str">
        <f aca="false">IF($M3998=0,"",INDEX(Classes!$B$6:$B$420,$M3998))</f>
        <v/>
      </c>
      <c r="E3998" s="61" t="str">
        <f aca="false">IF($M3998=0,"",INDEX(Classes!$C$6:$C$420,$M3998))</f>
        <v/>
      </c>
      <c r="F3998" s="63"/>
      <c r="G3998" s="63"/>
      <c r="H3998" s="60"/>
      <c r="I3998" s="60"/>
      <c r="J3998" s="63"/>
      <c r="K3998" s="61" t="str">
        <f aca="false">IF($P3998=0,"",IF($F3998="Baseline","— Baseline",IF($O3998=0,"No result",IF($N3998=0,"No Start (attainment only)",IF(OR($N3998=1,$O3998=1),"U – needs rule",INDEX(MxBody,MATCH($I3998,MxCurr,0),MATCH($H3998,MxStart,0)))))))</f>
        <v/>
      </c>
      <c r="L3998" s="62" t="str">
        <f aca="false">IF(COUNTA($A3998,$F3998,$G3998,$H3998,$I3998,$J3998)=0,"",IF($M3998=0,"✖ كود الصف غير موجود",IF(ISNA(MATCH($F3998,Lists!$A$2:$A$5,0)),"✖ الفترة غير صحيحة",IF(ISNA(MATCH($G3998,Lists!$B$2:$B$7,0)),"✖ المجموعة غير صحيحة",IF(NOT(OR($H3998="",$N3998&gt;0)),"✖ Start غير صحيح",IF(NOT(OR($I3998="",$I3998="NR",$O3998&gt;0)),"✖ Current غير صحيح",IF(NOT(IF(ISNUMBER($J3998),AND($J3998&gt;=0,$J3998=INT($J3998)),FALSE())),"✖ العدد يجب أن يكون صحيحًا ≥ 0",IF(AND($F3998="Baseline",$H3998&lt;&gt;""),"⚠ Baseline: Start لا يدخل في التقدم",IF($K3998="No Start (attainment only)","ℹ تحصيل فقط (بدون Start)",IF($K3998="U – needs rule","ℹ حالة U تحتاج قاعدة معتمدة",IF($K3998="No result","ℹ بدون نتيجة (يُستبعد من التحصيل)","OK")))))))))))</f>
        <v/>
      </c>
      <c r="M3998" s="64" t="n">
        <f aca="false">IF($A3998="",0,IFERROR(MATCH($A3998,Classes!$A$6:$A$420,0),0))</f>
        <v>0</v>
      </c>
      <c r="N3998" s="64" t="n">
        <f aca="false">IF($H3998="",0,IFERROR(MATCH($H3998,GradeList,0),0))</f>
        <v>0</v>
      </c>
      <c r="O3998" s="64" t="n">
        <f aca="false">IF(OR($I3998="",$I3998="NR"),0,IFERROR(MATCH($I3998,GradeList,0),0))</f>
        <v>0</v>
      </c>
      <c r="P3998" s="64" t="n">
        <f aca="false">IF(AND($M3998&gt;0,ISNUMBER(MATCH($F3998,Lists!$A$2:$A$5,0)),ISNUMBER(MATCH($G3998,Lists!$B$2:$B$7,0)),OR($H3998="",$N3998&gt;0),OR($I3998="",$I3998="NR",$O3998&gt;0),IF(ISNUMBER($J3998),AND($J3998&gt;=0,$J3998=INT($J3998)),FALSE())),$J3998,0)</f>
        <v>0</v>
      </c>
      <c r="Q3998" s="64" t="n">
        <f aca="false">IF(AND($P3998&gt;0,$O3998&gt;0),$P3998,0)</f>
        <v>0</v>
      </c>
      <c r="R3998" s="64" t="n">
        <f aca="false">IF(AND($Q3998&gt;0,$O3998&gt;=AtRank),$Q3998,0)</f>
        <v>0</v>
      </c>
      <c r="S3998" s="64" t="n">
        <f aca="false">IF(AND($Q3998&gt;0,$O3998&gt;=AboveRank),$Q3998,0)</f>
        <v>0</v>
      </c>
      <c r="T3998" s="64" t="n">
        <f aca="false">IF($K3998="Less",$P3998,0)</f>
        <v>0</v>
      </c>
      <c r="U3998" s="64" t="n">
        <f aca="false">IF($K3998="Expected",$P3998,0)</f>
        <v>0</v>
      </c>
      <c r="V3998" s="64" t="n">
        <f aca="false">IF($K3998="Better",$P3998,0)</f>
        <v>0</v>
      </c>
      <c r="W3998" s="64" t="n">
        <f aca="false">IF($K3998="U – needs rule",$P3998,0)</f>
        <v>0</v>
      </c>
      <c r="X3998" s="64" t="n">
        <f aca="false">IF($K3998="No Start (attainment only)",$P3998,0)</f>
        <v>0</v>
      </c>
    </row>
    <row r="3999" customFormat="false" ht="15" hidden="false" customHeight="false" outlineLevel="0" collapsed="false">
      <c r="A3999" s="60"/>
      <c r="B3999" s="61" t="str">
        <f aca="false">IF($M3999=0,"",INDEX(Classes!$E$6:$E$420,$M3999))</f>
        <v/>
      </c>
      <c r="C3999" s="62" t="str">
        <f aca="false">IF($M3999=0,"",INDEX(Classes!$H$6:$H$420,$M3999))</f>
        <v/>
      </c>
      <c r="D3999" s="61" t="str">
        <f aca="false">IF($M3999=0,"",INDEX(Classes!$B$6:$B$420,$M3999))</f>
        <v/>
      </c>
      <c r="E3999" s="61" t="str">
        <f aca="false">IF($M3999=0,"",INDEX(Classes!$C$6:$C$420,$M3999))</f>
        <v/>
      </c>
      <c r="F3999" s="63"/>
      <c r="G3999" s="63"/>
      <c r="H3999" s="60"/>
      <c r="I3999" s="60"/>
      <c r="J3999" s="63"/>
      <c r="K3999" s="61" t="str">
        <f aca="false">IF($P3999=0,"",IF($F3999="Baseline","— Baseline",IF($O3999=0,"No result",IF($N3999=0,"No Start (attainment only)",IF(OR($N3999=1,$O3999=1),"U – needs rule",INDEX(MxBody,MATCH($I3999,MxCurr,0),MATCH($H3999,MxStart,0)))))))</f>
        <v/>
      </c>
      <c r="L3999" s="62" t="str">
        <f aca="false">IF(COUNTA($A3999,$F3999,$G3999,$H3999,$I3999,$J3999)=0,"",IF($M3999=0,"✖ كود الصف غير موجود",IF(ISNA(MATCH($F3999,Lists!$A$2:$A$5,0)),"✖ الفترة غير صحيحة",IF(ISNA(MATCH($G3999,Lists!$B$2:$B$7,0)),"✖ المجموعة غير صحيحة",IF(NOT(OR($H3999="",$N3999&gt;0)),"✖ Start غير صحيح",IF(NOT(OR($I3999="",$I3999="NR",$O3999&gt;0)),"✖ Current غير صحيح",IF(NOT(IF(ISNUMBER($J3999),AND($J3999&gt;=0,$J3999=INT($J3999)),FALSE())),"✖ العدد يجب أن يكون صحيحًا ≥ 0",IF(AND($F3999="Baseline",$H3999&lt;&gt;""),"⚠ Baseline: Start لا يدخل في التقدم",IF($K3999="No Start (attainment only)","ℹ تحصيل فقط (بدون Start)",IF($K3999="U – needs rule","ℹ حالة U تحتاج قاعدة معتمدة",IF($K3999="No result","ℹ بدون نتيجة (يُستبعد من التحصيل)","OK")))))))))))</f>
        <v/>
      </c>
      <c r="M3999" s="64" t="n">
        <f aca="false">IF($A3999="",0,IFERROR(MATCH($A3999,Classes!$A$6:$A$420,0),0))</f>
        <v>0</v>
      </c>
      <c r="N3999" s="64" t="n">
        <f aca="false">IF($H3999="",0,IFERROR(MATCH($H3999,GradeList,0),0))</f>
        <v>0</v>
      </c>
      <c r="O3999" s="64" t="n">
        <f aca="false">IF(OR($I3999="",$I3999="NR"),0,IFERROR(MATCH($I3999,GradeList,0),0))</f>
        <v>0</v>
      </c>
      <c r="P3999" s="64" t="n">
        <f aca="false">IF(AND($M3999&gt;0,ISNUMBER(MATCH($F3999,Lists!$A$2:$A$5,0)),ISNUMBER(MATCH($G3999,Lists!$B$2:$B$7,0)),OR($H3999="",$N3999&gt;0),OR($I3999="",$I3999="NR",$O3999&gt;0),IF(ISNUMBER($J3999),AND($J3999&gt;=0,$J3999=INT($J3999)),FALSE())),$J3999,0)</f>
        <v>0</v>
      </c>
      <c r="Q3999" s="64" t="n">
        <f aca="false">IF(AND($P3999&gt;0,$O3999&gt;0),$P3999,0)</f>
        <v>0</v>
      </c>
      <c r="R3999" s="64" t="n">
        <f aca="false">IF(AND($Q3999&gt;0,$O3999&gt;=AtRank),$Q3999,0)</f>
        <v>0</v>
      </c>
      <c r="S3999" s="64" t="n">
        <f aca="false">IF(AND($Q3999&gt;0,$O3999&gt;=AboveRank),$Q3999,0)</f>
        <v>0</v>
      </c>
      <c r="T3999" s="64" t="n">
        <f aca="false">IF($K3999="Less",$P3999,0)</f>
        <v>0</v>
      </c>
      <c r="U3999" s="64" t="n">
        <f aca="false">IF($K3999="Expected",$P3999,0)</f>
        <v>0</v>
      </c>
      <c r="V3999" s="64" t="n">
        <f aca="false">IF($K3999="Better",$P3999,0)</f>
        <v>0</v>
      </c>
      <c r="W3999" s="64" t="n">
        <f aca="false">IF($K3999="U – needs rule",$P3999,0)</f>
        <v>0</v>
      </c>
      <c r="X3999" s="64" t="n">
        <f aca="false">IF($K3999="No Start (attainment only)",$P3999,0)</f>
        <v>0</v>
      </c>
    </row>
    <row r="4000" customFormat="false" ht="15" hidden="false" customHeight="false" outlineLevel="0" collapsed="false">
      <c r="A4000" s="60"/>
      <c r="B4000" s="61" t="str">
        <f aca="false">IF($M4000=0,"",INDEX(Classes!$E$6:$E$420,$M4000))</f>
        <v/>
      </c>
      <c r="C4000" s="62" t="str">
        <f aca="false">IF($M4000=0,"",INDEX(Classes!$H$6:$H$420,$M4000))</f>
        <v/>
      </c>
      <c r="D4000" s="61" t="str">
        <f aca="false">IF($M4000=0,"",INDEX(Classes!$B$6:$B$420,$M4000))</f>
        <v/>
      </c>
      <c r="E4000" s="61" t="str">
        <f aca="false">IF($M4000=0,"",INDEX(Classes!$C$6:$C$420,$M4000))</f>
        <v/>
      </c>
      <c r="F4000" s="63"/>
      <c r="G4000" s="63"/>
      <c r="H4000" s="60"/>
      <c r="I4000" s="60"/>
      <c r="J4000" s="63"/>
      <c r="K4000" s="61" t="str">
        <f aca="false">IF($P4000=0,"",IF($F4000="Baseline","— Baseline",IF($O4000=0,"No result",IF($N4000=0,"No Start (attainment only)",IF(OR($N4000=1,$O4000=1),"U – needs rule",INDEX(MxBody,MATCH($I4000,MxCurr,0),MATCH($H4000,MxStart,0)))))))</f>
        <v/>
      </c>
      <c r="L4000" s="62" t="str">
        <f aca="false">IF(COUNTA($A4000,$F4000,$G4000,$H4000,$I4000,$J4000)=0,"",IF($M4000=0,"✖ كود الصف غير موجود",IF(ISNA(MATCH($F4000,Lists!$A$2:$A$5,0)),"✖ الفترة غير صحيحة",IF(ISNA(MATCH($G4000,Lists!$B$2:$B$7,0)),"✖ المجموعة غير صحيحة",IF(NOT(OR($H4000="",$N4000&gt;0)),"✖ Start غير صحيح",IF(NOT(OR($I4000="",$I4000="NR",$O4000&gt;0)),"✖ Current غير صحيح",IF(NOT(IF(ISNUMBER($J4000),AND($J4000&gt;=0,$J4000=INT($J4000)),FALSE())),"✖ العدد يجب أن يكون صحيحًا ≥ 0",IF(AND($F4000="Baseline",$H4000&lt;&gt;""),"⚠ Baseline: Start لا يدخل في التقدم",IF($K4000="No Start (attainment only)","ℹ تحصيل فقط (بدون Start)",IF($K4000="U – needs rule","ℹ حالة U تحتاج قاعدة معتمدة",IF($K4000="No result","ℹ بدون نتيجة (يُستبعد من التحصيل)","OK")))))))))))</f>
        <v/>
      </c>
      <c r="M4000" s="64" t="n">
        <f aca="false">IF($A4000="",0,IFERROR(MATCH($A4000,Classes!$A$6:$A$420,0),0))</f>
        <v>0</v>
      </c>
      <c r="N4000" s="64" t="n">
        <f aca="false">IF($H4000="",0,IFERROR(MATCH($H4000,GradeList,0),0))</f>
        <v>0</v>
      </c>
      <c r="O4000" s="64" t="n">
        <f aca="false">IF(OR($I4000="",$I4000="NR"),0,IFERROR(MATCH($I4000,GradeList,0),0))</f>
        <v>0</v>
      </c>
      <c r="P4000" s="64" t="n">
        <f aca="false">IF(AND($M4000&gt;0,ISNUMBER(MATCH($F4000,Lists!$A$2:$A$5,0)),ISNUMBER(MATCH($G4000,Lists!$B$2:$B$7,0)),OR($H4000="",$N4000&gt;0),OR($I4000="",$I4000="NR",$O4000&gt;0),IF(ISNUMBER($J4000),AND($J4000&gt;=0,$J4000=INT($J4000)),FALSE())),$J4000,0)</f>
        <v>0</v>
      </c>
      <c r="Q4000" s="64" t="n">
        <f aca="false">IF(AND($P4000&gt;0,$O4000&gt;0),$P4000,0)</f>
        <v>0</v>
      </c>
      <c r="R4000" s="64" t="n">
        <f aca="false">IF(AND($Q4000&gt;0,$O4000&gt;=AtRank),$Q4000,0)</f>
        <v>0</v>
      </c>
      <c r="S4000" s="64" t="n">
        <f aca="false">IF(AND($Q4000&gt;0,$O4000&gt;=AboveRank),$Q4000,0)</f>
        <v>0</v>
      </c>
      <c r="T4000" s="64" t="n">
        <f aca="false">IF($K4000="Less",$P4000,0)</f>
        <v>0</v>
      </c>
      <c r="U4000" s="64" t="n">
        <f aca="false">IF($K4000="Expected",$P4000,0)</f>
        <v>0</v>
      </c>
      <c r="V4000" s="64" t="n">
        <f aca="false">IF($K4000="Better",$P4000,0)</f>
        <v>0</v>
      </c>
      <c r="W4000" s="64" t="n">
        <f aca="false">IF($K4000="U – needs rule",$P4000,0)</f>
        <v>0</v>
      </c>
      <c r="X4000" s="64" t="n">
        <f aca="false">IF($K4000="No Start (attainment only)",$P4000,0)</f>
        <v>0</v>
      </c>
    </row>
    <row r="4001" customFormat="false" ht="15" hidden="false" customHeight="false" outlineLevel="0" collapsed="false">
      <c r="A4001" s="60"/>
      <c r="B4001" s="61" t="str">
        <f aca="false">IF($M4001=0,"",INDEX(Classes!$E$6:$E$420,$M4001))</f>
        <v/>
      </c>
      <c r="C4001" s="62" t="str">
        <f aca="false">IF($M4001=0,"",INDEX(Classes!$H$6:$H$420,$M4001))</f>
        <v/>
      </c>
      <c r="D4001" s="61" t="str">
        <f aca="false">IF($M4001=0,"",INDEX(Classes!$B$6:$B$420,$M4001))</f>
        <v/>
      </c>
      <c r="E4001" s="61" t="str">
        <f aca="false">IF($M4001=0,"",INDEX(Classes!$C$6:$C$420,$M4001))</f>
        <v/>
      </c>
      <c r="F4001" s="63"/>
      <c r="G4001" s="63"/>
      <c r="H4001" s="60"/>
      <c r="I4001" s="60"/>
      <c r="J4001" s="63"/>
      <c r="K4001" s="61" t="str">
        <f aca="false">IF($P4001=0,"",IF($F4001="Baseline","— Baseline",IF($O4001=0,"No result",IF($N4001=0,"No Start (attainment only)",IF(OR($N4001=1,$O4001=1),"U – needs rule",INDEX(MxBody,MATCH($I4001,MxCurr,0),MATCH($H4001,MxStart,0)))))))</f>
        <v/>
      </c>
      <c r="L4001" s="62" t="str">
        <f aca="false">IF(COUNTA($A4001,$F4001,$G4001,$H4001,$I4001,$J4001)=0,"",IF($M4001=0,"✖ كود الصف غير موجود",IF(ISNA(MATCH($F4001,Lists!$A$2:$A$5,0)),"✖ الفترة غير صحيحة",IF(ISNA(MATCH($G4001,Lists!$B$2:$B$7,0)),"✖ المجموعة غير صحيحة",IF(NOT(OR($H4001="",$N4001&gt;0)),"✖ Start غير صحيح",IF(NOT(OR($I4001="",$I4001="NR",$O4001&gt;0)),"✖ Current غير صحيح",IF(NOT(IF(ISNUMBER($J4001),AND($J4001&gt;=0,$J4001=INT($J4001)),FALSE())),"✖ العدد يجب أن يكون صحيحًا ≥ 0",IF(AND($F4001="Baseline",$H4001&lt;&gt;""),"⚠ Baseline: Start لا يدخل في التقدم",IF($K4001="No Start (attainment only)","ℹ تحصيل فقط (بدون Start)",IF($K4001="U – needs rule","ℹ حالة U تحتاج قاعدة معتمدة",IF($K4001="No result","ℹ بدون نتيجة (يُستبعد من التحصيل)","OK")))))))))))</f>
        <v/>
      </c>
      <c r="M4001" s="64" t="n">
        <f aca="false">IF($A4001="",0,IFERROR(MATCH($A4001,Classes!$A$6:$A$420,0),0))</f>
        <v>0</v>
      </c>
      <c r="N4001" s="64" t="n">
        <f aca="false">IF($H4001="",0,IFERROR(MATCH($H4001,GradeList,0),0))</f>
        <v>0</v>
      </c>
      <c r="O4001" s="64" t="n">
        <f aca="false">IF(OR($I4001="",$I4001="NR"),0,IFERROR(MATCH($I4001,GradeList,0),0))</f>
        <v>0</v>
      </c>
      <c r="P4001" s="64" t="n">
        <f aca="false">IF(AND($M4001&gt;0,ISNUMBER(MATCH($F4001,Lists!$A$2:$A$5,0)),ISNUMBER(MATCH($G4001,Lists!$B$2:$B$7,0)),OR($H4001="",$N4001&gt;0),OR($I4001="",$I4001="NR",$O4001&gt;0),IF(ISNUMBER($J4001),AND($J4001&gt;=0,$J4001=INT($J4001)),FALSE())),$J4001,0)</f>
        <v>0</v>
      </c>
      <c r="Q4001" s="64" t="n">
        <f aca="false">IF(AND($P4001&gt;0,$O4001&gt;0),$P4001,0)</f>
        <v>0</v>
      </c>
      <c r="R4001" s="64" t="n">
        <f aca="false">IF(AND($Q4001&gt;0,$O4001&gt;=AtRank),$Q4001,0)</f>
        <v>0</v>
      </c>
      <c r="S4001" s="64" t="n">
        <f aca="false">IF(AND($Q4001&gt;0,$O4001&gt;=AboveRank),$Q4001,0)</f>
        <v>0</v>
      </c>
      <c r="T4001" s="64" t="n">
        <f aca="false">IF($K4001="Less",$P4001,0)</f>
        <v>0</v>
      </c>
      <c r="U4001" s="64" t="n">
        <f aca="false">IF($K4001="Expected",$P4001,0)</f>
        <v>0</v>
      </c>
      <c r="V4001" s="64" t="n">
        <f aca="false">IF($K4001="Better",$P4001,0)</f>
        <v>0</v>
      </c>
      <c r="W4001" s="64" t="n">
        <f aca="false">IF($K4001="U – needs rule",$P4001,0)</f>
        <v>0</v>
      </c>
      <c r="X4001" s="64" t="n">
        <f aca="false">IF($K4001="No Start (attainment only)",$P4001,0)</f>
        <v>0</v>
      </c>
    </row>
    <row r="4002" customFormat="false" ht="15" hidden="false" customHeight="false" outlineLevel="0" collapsed="false">
      <c r="A4002" s="60"/>
      <c r="B4002" s="61" t="str">
        <f aca="false">IF($M4002=0,"",INDEX(Classes!$E$6:$E$420,$M4002))</f>
        <v/>
      </c>
      <c r="C4002" s="62" t="str">
        <f aca="false">IF($M4002=0,"",INDEX(Classes!$H$6:$H$420,$M4002))</f>
        <v/>
      </c>
      <c r="D4002" s="61" t="str">
        <f aca="false">IF($M4002=0,"",INDEX(Classes!$B$6:$B$420,$M4002))</f>
        <v/>
      </c>
      <c r="E4002" s="61" t="str">
        <f aca="false">IF($M4002=0,"",INDEX(Classes!$C$6:$C$420,$M4002))</f>
        <v/>
      </c>
      <c r="F4002" s="63"/>
      <c r="G4002" s="63"/>
      <c r="H4002" s="60"/>
      <c r="I4002" s="60"/>
      <c r="J4002" s="63"/>
      <c r="K4002" s="61" t="str">
        <f aca="false">IF($P4002=0,"",IF($F4002="Baseline","— Baseline",IF($O4002=0,"No result",IF($N4002=0,"No Start (attainment only)",IF(OR($N4002=1,$O4002=1),"U – needs rule",INDEX(MxBody,MATCH($I4002,MxCurr,0),MATCH($H4002,MxStart,0)))))))</f>
        <v/>
      </c>
      <c r="L4002" s="62" t="str">
        <f aca="false">IF(COUNTA($A4002,$F4002,$G4002,$H4002,$I4002,$J4002)=0,"",IF($M4002=0,"✖ كود الصف غير موجود",IF(ISNA(MATCH($F4002,Lists!$A$2:$A$5,0)),"✖ الفترة غير صحيحة",IF(ISNA(MATCH($G4002,Lists!$B$2:$B$7,0)),"✖ المجموعة غير صحيحة",IF(NOT(OR($H4002="",$N4002&gt;0)),"✖ Start غير صحيح",IF(NOT(OR($I4002="",$I4002="NR",$O4002&gt;0)),"✖ Current غير صحيح",IF(NOT(IF(ISNUMBER($J4002),AND($J4002&gt;=0,$J4002=INT($J4002)),FALSE())),"✖ العدد يجب أن يكون صحيحًا ≥ 0",IF(AND($F4002="Baseline",$H4002&lt;&gt;""),"⚠ Baseline: Start لا يدخل في التقدم",IF($K4002="No Start (attainment only)","ℹ تحصيل فقط (بدون Start)",IF($K4002="U – needs rule","ℹ حالة U تحتاج قاعدة معتمدة",IF($K4002="No result","ℹ بدون نتيجة (يُستبعد من التحصيل)","OK")))))))))))</f>
        <v/>
      </c>
      <c r="M4002" s="64" t="n">
        <f aca="false">IF($A4002="",0,IFERROR(MATCH($A4002,Classes!$A$6:$A$420,0),0))</f>
        <v>0</v>
      </c>
      <c r="N4002" s="64" t="n">
        <f aca="false">IF($H4002="",0,IFERROR(MATCH($H4002,GradeList,0),0))</f>
        <v>0</v>
      </c>
      <c r="O4002" s="64" t="n">
        <f aca="false">IF(OR($I4002="",$I4002="NR"),0,IFERROR(MATCH($I4002,GradeList,0),0))</f>
        <v>0</v>
      </c>
      <c r="P4002" s="64" t="n">
        <f aca="false">IF(AND($M4002&gt;0,ISNUMBER(MATCH($F4002,Lists!$A$2:$A$5,0)),ISNUMBER(MATCH($G4002,Lists!$B$2:$B$7,0)),OR($H4002="",$N4002&gt;0),OR($I4002="",$I4002="NR",$O4002&gt;0),IF(ISNUMBER($J4002),AND($J4002&gt;=0,$J4002=INT($J4002)),FALSE())),$J4002,0)</f>
        <v>0</v>
      </c>
      <c r="Q4002" s="64" t="n">
        <f aca="false">IF(AND($P4002&gt;0,$O4002&gt;0),$P4002,0)</f>
        <v>0</v>
      </c>
      <c r="R4002" s="64" t="n">
        <f aca="false">IF(AND($Q4002&gt;0,$O4002&gt;=AtRank),$Q4002,0)</f>
        <v>0</v>
      </c>
      <c r="S4002" s="64" t="n">
        <f aca="false">IF(AND($Q4002&gt;0,$O4002&gt;=AboveRank),$Q4002,0)</f>
        <v>0</v>
      </c>
      <c r="T4002" s="64" t="n">
        <f aca="false">IF($K4002="Less",$P4002,0)</f>
        <v>0</v>
      </c>
      <c r="U4002" s="64" t="n">
        <f aca="false">IF($K4002="Expected",$P4002,0)</f>
        <v>0</v>
      </c>
      <c r="V4002" s="64" t="n">
        <f aca="false">IF($K4002="Better",$P4002,0)</f>
        <v>0</v>
      </c>
      <c r="W4002" s="64" t="n">
        <f aca="false">IF($K4002="U – needs rule",$P4002,0)</f>
        <v>0</v>
      </c>
      <c r="X4002" s="64" t="n">
        <f aca="false">IF($K4002="No Start (attainment only)",$P4002,0)</f>
        <v>0</v>
      </c>
    </row>
    <row r="4003" customFormat="false" ht="15" hidden="false" customHeight="false" outlineLevel="0" collapsed="false">
      <c r="A4003" s="60"/>
      <c r="B4003" s="61" t="str">
        <f aca="false">IF($M4003=0,"",INDEX(Classes!$E$6:$E$420,$M4003))</f>
        <v/>
      </c>
      <c r="C4003" s="62" t="str">
        <f aca="false">IF($M4003=0,"",INDEX(Classes!$H$6:$H$420,$M4003))</f>
        <v/>
      </c>
      <c r="D4003" s="61" t="str">
        <f aca="false">IF($M4003=0,"",INDEX(Classes!$B$6:$B$420,$M4003))</f>
        <v/>
      </c>
      <c r="E4003" s="61" t="str">
        <f aca="false">IF($M4003=0,"",INDEX(Classes!$C$6:$C$420,$M4003))</f>
        <v/>
      </c>
      <c r="F4003" s="63"/>
      <c r="G4003" s="63"/>
      <c r="H4003" s="60"/>
      <c r="I4003" s="60"/>
      <c r="J4003" s="63"/>
      <c r="K4003" s="61" t="str">
        <f aca="false">IF($P4003=0,"",IF($F4003="Baseline","— Baseline",IF($O4003=0,"No result",IF($N4003=0,"No Start (attainment only)",IF(OR($N4003=1,$O4003=1),"U – needs rule",INDEX(MxBody,MATCH($I4003,MxCurr,0),MATCH($H4003,MxStart,0)))))))</f>
        <v/>
      </c>
      <c r="L4003" s="62" t="str">
        <f aca="false">IF(COUNTA($A4003,$F4003,$G4003,$H4003,$I4003,$J4003)=0,"",IF($M4003=0,"✖ كود الصف غير موجود",IF(ISNA(MATCH($F4003,Lists!$A$2:$A$5,0)),"✖ الفترة غير صحيحة",IF(ISNA(MATCH($G4003,Lists!$B$2:$B$7,0)),"✖ المجموعة غير صحيحة",IF(NOT(OR($H4003="",$N4003&gt;0)),"✖ Start غير صحيح",IF(NOT(OR($I4003="",$I4003="NR",$O4003&gt;0)),"✖ Current غير صحيح",IF(NOT(IF(ISNUMBER($J4003),AND($J4003&gt;=0,$J4003=INT($J4003)),FALSE())),"✖ العدد يجب أن يكون صحيحًا ≥ 0",IF(AND($F4003="Baseline",$H4003&lt;&gt;""),"⚠ Baseline: Start لا يدخل في التقدم",IF($K4003="No Start (attainment only)","ℹ تحصيل فقط (بدون Start)",IF($K4003="U – needs rule","ℹ حالة U تحتاج قاعدة معتمدة",IF($K4003="No result","ℹ بدون نتيجة (يُستبعد من التحصيل)","OK")))))))))))</f>
        <v/>
      </c>
      <c r="M4003" s="64" t="n">
        <f aca="false">IF($A4003="",0,IFERROR(MATCH($A4003,Classes!$A$6:$A$420,0),0))</f>
        <v>0</v>
      </c>
      <c r="N4003" s="64" t="n">
        <f aca="false">IF($H4003="",0,IFERROR(MATCH($H4003,GradeList,0),0))</f>
        <v>0</v>
      </c>
      <c r="O4003" s="64" t="n">
        <f aca="false">IF(OR($I4003="",$I4003="NR"),0,IFERROR(MATCH($I4003,GradeList,0),0))</f>
        <v>0</v>
      </c>
      <c r="P4003" s="64" t="n">
        <f aca="false">IF(AND($M4003&gt;0,ISNUMBER(MATCH($F4003,Lists!$A$2:$A$5,0)),ISNUMBER(MATCH($G4003,Lists!$B$2:$B$7,0)),OR($H4003="",$N4003&gt;0),OR($I4003="",$I4003="NR",$O4003&gt;0),IF(ISNUMBER($J4003),AND($J4003&gt;=0,$J4003=INT($J4003)),FALSE())),$J4003,0)</f>
        <v>0</v>
      </c>
      <c r="Q4003" s="64" t="n">
        <f aca="false">IF(AND($P4003&gt;0,$O4003&gt;0),$P4003,0)</f>
        <v>0</v>
      </c>
      <c r="R4003" s="64" t="n">
        <f aca="false">IF(AND($Q4003&gt;0,$O4003&gt;=AtRank),$Q4003,0)</f>
        <v>0</v>
      </c>
      <c r="S4003" s="64" t="n">
        <f aca="false">IF(AND($Q4003&gt;0,$O4003&gt;=AboveRank),$Q4003,0)</f>
        <v>0</v>
      </c>
      <c r="T4003" s="64" t="n">
        <f aca="false">IF($K4003="Less",$P4003,0)</f>
        <v>0</v>
      </c>
      <c r="U4003" s="64" t="n">
        <f aca="false">IF($K4003="Expected",$P4003,0)</f>
        <v>0</v>
      </c>
      <c r="V4003" s="64" t="n">
        <f aca="false">IF($K4003="Better",$P4003,0)</f>
        <v>0</v>
      </c>
      <c r="W4003" s="64" t="n">
        <f aca="false">IF($K4003="U – needs rule",$P4003,0)</f>
        <v>0</v>
      </c>
      <c r="X4003" s="64" t="n">
        <f aca="false">IF($K4003="No Start (attainment only)",$P4003,0)</f>
        <v>0</v>
      </c>
    </row>
    <row r="4004" customFormat="false" ht="15" hidden="false" customHeight="false" outlineLevel="0" collapsed="false">
      <c r="A4004" s="60"/>
      <c r="B4004" s="61" t="str">
        <f aca="false">IF($M4004=0,"",INDEX(Classes!$E$6:$E$420,$M4004))</f>
        <v/>
      </c>
      <c r="C4004" s="62" t="str">
        <f aca="false">IF($M4004=0,"",INDEX(Classes!$H$6:$H$420,$M4004))</f>
        <v/>
      </c>
      <c r="D4004" s="61" t="str">
        <f aca="false">IF($M4004=0,"",INDEX(Classes!$B$6:$B$420,$M4004))</f>
        <v/>
      </c>
      <c r="E4004" s="61" t="str">
        <f aca="false">IF($M4004=0,"",INDEX(Classes!$C$6:$C$420,$M4004))</f>
        <v/>
      </c>
      <c r="F4004" s="63"/>
      <c r="G4004" s="63"/>
      <c r="H4004" s="60"/>
      <c r="I4004" s="60"/>
      <c r="J4004" s="63"/>
      <c r="K4004" s="61" t="str">
        <f aca="false">IF($P4004=0,"",IF($F4004="Baseline","— Baseline",IF($O4004=0,"No result",IF($N4004=0,"No Start (attainment only)",IF(OR($N4004=1,$O4004=1),"U – needs rule",INDEX(MxBody,MATCH($I4004,MxCurr,0),MATCH($H4004,MxStart,0)))))))</f>
        <v/>
      </c>
      <c r="L4004" s="62" t="str">
        <f aca="false">IF(COUNTA($A4004,$F4004,$G4004,$H4004,$I4004,$J4004)=0,"",IF($M4004=0,"✖ كود الصف غير موجود",IF(ISNA(MATCH($F4004,Lists!$A$2:$A$5,0)),"✖ الفترة غير صحيحة",IF(ISNA(MATCH($G4004,Lists!$B$2:$B$7,0)),"✖ المجموعة غير صحيحة",IF(NOT(OR($H4004="",$N4004&gt;0)),"✖ Start غير صحيح",IF(NOT(OR($I4004="",$I4004="NR",$O4004&gt;0)),"✖ Current غير صحيح",IF(NOT(IF(ISNUMBER($J4004),AND($J4004&gt;=0,$J4004=INT($J4004)),FALSE())),"✖ العدد يجب أن يكون صحيحًا ≥ 0",IF(AND($F4004="Baseline",$H4004&lt;&gt;""),"⚠ Baseline: Start لا يدخل في التقدم",IF($K4004="No Start (attainment only)","ℹ تحصيل فقط (بدون Start)",IF($K4004="U – needs rule","ℹ حالة U تحتاج قاعدة معتمدة",IF($K4004="No result","ℹ بدون نتيجة (يُستبعد من التحصيل)","OK")))))))))))</f>
        <v/>
      </c>
      <c r="M4004" s="64" t="n">
        <f aca="false">IF($A4004="",0,IFERROR(MATCH($A4004,Classes!$A$6:$A$420,0),0))</f>
        <v>0</v>
      </c>
      <c r="N4004" s="64" t="n">
        <f aca="false">IF($H4004="",0,IFERROR(MATCH($H4004,GradeList,0),0))</f>
        <v>0</v>
      </c>
      <c r="O4004" s="64" t="n">
        <f aca="false">IF(OR($I4004="",$I4004="NR"),0,IFERROR(MATCH($I4004,GradeList,0),0))</f>
        <v>0</v>
      </c>
      <c r="P4004" s="64" t="n">
        <f aca="false">IF(AND($M4004&gt;0,ISNUMBER(MATCH($F4004,Lists!$A$2:$A$5,0)),ISNUMBER(MATCH($G4004,Lists!$B$2:$B$7,0)),OR($H4004="",$N4004&gt;0),OR($I4004="",$I4004="NR",$O4004&gt;0),IF(ISNUMBER($J4004),AND($J4004&gt;=0,$J4004=INT($J4004)),FALSE())),$J4004,0)</f>
        <v>0</v>
      </c>
      <c r="Q4004" s="64" t="n">
        <f aca="false">IF(AND($P4004&gt;0,$O4004&gt;0),$P4004,0)</f>
        <v>0</v>
      </c>
      <c r="R4004" s="64" t="n">
        <f aca="false">IF(AND($Q4004&gt;0,$O4004&gt;=AtRank),$Q4004,0)</f>
        <v>0</v>
      </c>
      <c r="S4004" s="64" t="n">
        <f aca="false">IF(AND($Q4004&gt;0,$O4004&gt;=AboveRank),$Q4004,0)</f>
        <v>0</v>
      </c>
      <c r="T4004" s="64" t="n">
        <f aca="false">IF($K4004="Less",$P4004,0)</f>
        <v>0</v>
      </c>
      <c r="U4004" s="64" t="n">
        <f aca="false">IF($K4004="Expected",$P4004,0)</f>
        <v>0</v>
      </c>
      <c r="V4004" s="64" t="n">
        <f aca="false">IF($K4004="Better",$P4004,0)</f>
        <v>0</v>
      </c>
      <c r="W4004" s="64" t="n">
        <f aca="false">IF($K4004="U – needs rule",$P4004,0)</f>
        <v>0</v>
      </c>
      <c r="X4004" s="64" t="n">
        <f aca="false">IF($K4004="No Start (attainment only)",$P4004,0)</f>
        <v>0</v>
      </c>
    </row>
    <row r="4005" customFormat="false" ht="15" hidden="false" customHeight="false" outlineLevel="0" collapsed="false">
      <c r="A4005" s="60"/>
      <c r="B4005" s="61" t="str">
        <f aca="false">IF($M4005=0,"",INDEX(Classes!$E$6:$E$420,$M4005))</f>
        <v/>
      </c>
      <c r="C4005" s="62" t="str">
        <f aca="false">IF($M4005=0,"",INDEX(Classes!$H$6:$H$420,$M4005))</f>
        <v/>
      </c>
      <c r="D4005" s="61" t="str">
        <f aca="false">IF($M4005=0,"",INDEX(Classes!$B$6:$B$420,$M4005))</f>
        <v/>
      </c>
      <c r="E4005" s="61" t="str">
        <f aca="false">IF($M4005=0,"",INDEX(Classes!$C$6:$C$420,$M4005))</f>
        <v/>
      </c>
      <c r="F4005" s="63"/>
      <c r="G4005" s="63"/>
      <c r="H4005" s="60"/>
      <c r="I4005" s="60"/>
      <c r="J4005" s="63"/>
      <c r="K4005" s="61" t="str">
        <f aca="false">IF($P4005=0,"",IF($F4005="Baseline","— Baseline",IF($O4005=0,"No result",IF($N4005=0,"No Start (attainment only)",IF(OR($N4005=1,$O4005=1),"U – needs rule",INDEX(MxBody,MATCH($I4005,MxCurr,0),MATCH($H4005,MxStart,0)))))))</f>
        <v/>
      </c>
      <c r="L4005" s="62" t="str">
        <f aca="false">IF(COUNTA($A4005,$F4005,$G4005,$H4005,$I4005,$J4005)=0,"",IF($M4005=0,"✖ كود الصف غير موجود",IF(ISNA(MATCH($F4005,Lists!$A$2:$A$5,0)),"✖ الفترة غير صحيحة",IF(ISNA(MATCH($G4005,Lists!$B$2:$B$7,0)),"✖ المجموعة غير صحيحة",IF(NOT(OR($H4005="",$N4005&gt;0)),"✖ Start غير صحيح",IF(NOT(OR($I4005="",$I4005="NR",$O4005&gt;0)),"✖ Current غير صحيح",IF(NOT(IF(ISNUMBER($J4005),AND($J4005&gt;=0,$J4005=INT($J4005)),FALSE())),"✖ العدد يجب أن يكون صحيحًا ≥ 0",IF(AND($F4005="Baseline",$H4005&lt;&gt;""),"⚠ Baseline: Start لا يدخل في التقدم",IF($K4005="No Start (attainment only)","ℹ تحصيل فقط (بدون Start)",IF($K4005="U – needs rule","ℹ حالة U تحتاج قاعدة معتمدة",IF($K4005="No result","ℹ بدون نتيجة (يُستبعد من التحصيل)","OK")))))))))))</f>
        <v/>
      </c>
      <c r="M4005" s="64" t="n">
        <f aca="false">IF($A4005="",0,IFERROR(MATCH($A4005,Classes!$A$6:$A$420,0),0))</f>
        <v>0</v>
      </c>
      <c r="N4005" s="64" t="n">
        <f aca="false">IF($H4005="",0,IFERROR(MATCH($H4005,GradeList,0),0))</f>
        <v>0</v>
      </c>
      <c r="O4005" s="64" t="n">
        <f aca="false">IF(OR($I4005="",$I4005="NR"),0,IFERROR(MATCH($I4005,GradeList,0),0))</f>
        <v>0</v>
      </c>
      <c r="P4005" s="64" t="n">
        <f aca="false">IF(AND($M4005&gt;0,ISNUMBER(MATCH($F4005,Lists!$A$2:$A$5,0)),ISNUMBER(MATCH($G4005,Lists!$B$2:$B$7,0)),OR($H4005="",$N4005&gt;0),OR($I4005="",$I4005="NR",$O4005&gt;0),IF(ISNUMBER($J4005),AND($J4005&gt;=0,$J4005=INT($J4005)),FALSE())),$J4005,0)</f>
        <v>0</v>
      </c>
      <c r="Q4005" s="64" t="n">
        <f aca="false">IF(AND($P4005&gt;0,$O4005&gt;0),$P4005,0)</f>
        <v>0</v>
      </c>
      <c r="R4005" s="64" t="n">
        <f aca="false">IF(AND($Q4005&gt;0,$O4005&gt;=AtRank),$Q4005,0)</f>
        <v>0</v>
      </c>
      <c r="S4005" s="64" t="n">
        <f aca="false">IF(AND($Q4005&gt;0,$O4005&gt;=AboveRank),$Q4005,0)</f>
        <v>0</v>
      </c>
      <c r="T4005" s="64" t="n">
        <f aca="false">IF($K4005="Less",$P4005,0)</f>
        <v>0</v>
      </c>
      <c r="U4005" s="64" t="n">
        <f aca="false">IF($K4005="Expected",$P4005,0)</f>
        <v>0</v>
      </c>
      <c r="V4005" s="64" t="n">
        <f aca="false">IF($K4005="Better",$P4005,0)</f>
        <v>0</v>
      </c>
      <c r="W4005" s="64" t="n">
        <f aca="false">IF($K4005="U – needs rule",$P4005,0)</f>
        <v>0</v>
      </c>
      <c r="X4005" s="64" t="n">
        <f aca="false">IF($K4005="No Start (attainment only)",$P4005,0)</f>
        <v>0</v>
      </c>
    </row>
    <row r="4006" customFormat="false" ht="15" hidden="false" customHeight="false" outlineLevel="0" collapsed="false">
      <c r="A4006" s="60"/>
      <c r="B4006" s="61" t="str">
        <f aca="false">IF($M4006=0,"",INDEX(Classes!$E$6:$E$420,$M4006))</f>
        <v/>
      </c>
      <c r="C4006" s="62" t="str">
        <f aca="false">IF($M4006=0,"",INDEX(Classes!$H$6:$H$420,$M4006))</f>
        <v/>
      </c>
      <c r="D4006" s="61" t="str">
        <f aca="false">IF($M4006=0,"",INDEX(Classes!$B$6:$B$420,$M4006))</f>
        <v/>
      </c>
      <c r="E4006" s="61" t="str">
        <f aca="false">IF($M4006=0,"",INDEX(Classes!$C$6:$C$420,$M4006))</f>
        <v/>
      </c>
      <c r="F4006" s="63"/>
      <c r="G4006" s="63"/>
      <c r="H4006" s="60"/>
      <c r="I4006" s="60"/>
      <c r="J4006" s="63"/>
      <c r="K4006" s="61" t="str">
        <f aca="false">IF($P4006=0,"",IF($F4006="Baseline","— Baseline",IF($O4006=0,"No result",IF($N4006=0,"No Start (attainment only)",IF(OR($N4006=1,$O4006=1),"U – needs rule",INDEX(MxBody,MATCH($I4006,MxCurr,0),MATCH($H4006,MxStart,0)))))))</f>
        <v/>
      </c>
      <c r="L4006" s="62" t="str">
        <f aca="false">IF(COUNTA($A4006,$F4006,$G4006,$H4006,$I4006,$J4006)=0,"",IF($M4006=0,"✖ كود الصف غير موجود",IF(ISNA(MATCH($F4006,Lists!$A$2:$A$5,0)),"✖ الفترة غير صحيحة",IF(ISNA(MATCH($G4006,Lists!$B$2:$B$7,0)),"✖ المجموعة غير صحيحة",IF(NOT(OR($H4006="",$N4006&gt;0)),"✖ Start غير صحيح",IF(NOT(OR($I4006="",$I4006="NR",$O4006&gt;0)),"✖ Current غير صحيح",IF(NOT(IF(ISNUMBER($J4006),AND($J4006&gt;=0,$J4006=INT($J4006)),FALSE())),"✖ العدد يجب أن يكون صحيحًا ≥ 0",IF(AND($F4006="Baseline",$H4006&lt;&gt;""),"⚠ Baseline: Start لا يدخل في التقدم",IF($K4006="No Start (attainment only)","ℹ تحصيل فقط (بدون Start)",IF($K4006="U – needs rule","ℹ حالة U تحتاج قاعدة معتمدة",IF($K4006="No result","ℹ بدون نتيجة (يُستبعد من التحصيل)","OK")))))))))))</f>
        <v/>
      </c>
      <c r="M4006" s="64" t="n">
        <f aca="false">IF($A4006="",0,IFERROR(MATCH($A4006,Classes!$A$6:$A$420,0),0))</f>
        <v>0</v>
      </c>
      <c r="N4006" s="64" t="n">
        <f aca="false">IF($H4006="",0,IFERROR(MATCH($H4006,GradeList,0),0))</f>
        <v>0</v>
      </c>
      <c r="O4006" s="64" t="n">
        <f aca="false">IF(OR($I4006="",$I4006="NR"),0,IFERROR(MATCH($I4006,GradeList,0),0))</f>
        <v>0</v>
      </c>
      <c r="P4006" s="64" t="n">
        <f aca="false">IF(AND($M4006&gt;0,ISNUMBER(MATCH($F4006,Lists!$A$2:$A$5,0)),ISNUMBER(MATCH($G4006,Lists!$B$2:$B$7,0)),OR($H4006="",$N4006&gt;0),OR($I4006="",$I4006="NR",$O4006&gt;0),IF(ISNUMBER($J4006),AND($J4006&gt;=0,$J4006=INT($J4006)),FALSE())),$J4006,0)</f>
        <v>0</v>
      </c>
      <c r="Q4006" s="64" t="n">
        <f aca="false">IF(AND($P4006&gt;0,$O4006&gt;0),$P4006,0)</f>
        <v>0</v>
      </c>
      <c r="R4006" s="64" t="n">
        <f aca="false">IF(AND($Q4006&gt;0,$O4006&gt;=AtRank),$Q4006,0)</f>
        <v>0</v>
      </c>
      <c r="S4006" s="64" t="n">
        <f aca="false">IF(AND($Q4006&gt;0,$O4006&gt;=AboveRank),$Q4006,0)</f>
        <v>0</v>
      </c>
      <c r="T4006" s="64" t="n">
        <f aca="false">IF($K4006="Less",$P4006,0)</f>
        <v>0</v>
      </c>
      <c r="U4006" s="64" t="n">
        <f aca="false">IF($K4006="Expected",$P4006,0)</f>
        <v>0</v>
      </c>
      <c r="V4006" s="64" t="n">
        <f aca="false">IF($K4006="Better",$P4006,0)</f>
        <v>0</v>
      </c>
      <c r="W4006" s="64" t="n">
        <f aca="false">IF($K4006="U – needs rule",$P4006,0)</f>
        <v>0</v>
      </c>
      <c r="X4006" s="64" t="n">
        <f aca="false">IF($K4006="No Start (attainment only)",$P4006,0)</f>
        <v>0</v>
      </c>
    </row>
    <row r="4007" customFormat="false" ht="15" hidden="false" customHeight="false" outlineLevel="0" collapsed="false">
      <c r="A4007" s="60"/>
      <c r="B4007" s="61" t="str">
        <f aca="false">IF($M4007=0,"",INDEX(Classes!$E$6:$E$420,$M4007))</f>
        <v/>
      </c>
      <c r="C4007" s="62" t="str">
        <f aca="false">IF($M4007=0,"",INDEX(Classes!$H$6:$H$420,$M4007))</f>
        <v/>
      </c>
      <c r="D4007" s="61" t="str">
        <f aca="false">IF($M4007=0,"",INDEX(Classes!$B$6:$B$420,$M4007))</f>
        <v/>
      </c>
      <c r="E4007" s="61" t="str">
        <f aca="false">IF($M4007=0,"",INDEX(Classes!$C$6:$C$420,$M4007))</f>
        <v/>
      </c>
      <c r="F4007" s="63"/>
      <c r="G4007" s="63"/>
      <c r="H4007" s="60"/>
      <c r="I4007" s="60"/>
      <c r="J4007" s="63"/>
      <c r="K4007" s="61" t="str">
        <f aca="false">IF($P4007=0,"",IF($F4007="Baseline","— Baseline",IF($O4007=0,"No result",IF($N4007=0,"No Start (attainment only)",IF(OR($N4007=1,$O4007=1),"U – needs rule",INDEX(MxBody,MATCH($I4007,MxCurr,0),MATCH($H4007,MxStart,0)))))))</f>
        <v/>
      </c>
      <c r="L4007" s="62" t="str">
        <f aca="false">IF(COUNTA($A4007,$F4007,$G4007,$H4007,$I4007,$J4007)=0,"",IF($M4007=0,"✖ كود الصف غير موجود",IF(ISNA(MATCH($F4007,Lists!$A$2:$A$5,0)),"✖ الفترة غير صحيحة",IF(ISNA(MATCH($G4007,Lists!$B$2:$B$7,0)),"✖ المجموعة غير صحيحة",IF(NOT(OR($H4007="",$N4007&gt;0)),"✖ Start غير صحيح",IF(NOT(OR($I4007="",$I4007="NR",$O4007&gt;0)),"✖ Current غير صحيح",IF(NOT(IF(ISNUMBER($J4007),AND($J4007&gt;=0,$J4007=INT($J4007)),FALSE())),"✖ العدد يجب أن يكون صحيحًا ≥ 0",IF(AND($F4007="Baseline",$H4007&lt;&gt;""),"⚠ Baseline: Start لا يدخل في التقدم",IF($K4007="No Start (attainment only)","ℹ تحصيل فقط (بدون Start)",IF($K4007="U – needs rule","ℹ حالة U تحتاج قاعدة معتمدة",IF($K4007="No result","ℹ بدون نتيجة (يُستبعد من التحصيل)","OK")))))))))))</f>
        <v/>
      </c>
      <c r="M4007" s="64" t="n">
        <f aca="false">IF($A4007="",0,IFERROR(MATCH($A4007,Classes!$A$6:$A$420,0),0))</f>
        <v>0</v>
      </c>
      <c r="N4007" s="64" t="n">
        <f aca="false">IF($H4007="",0,IFERROR(MATCH($H4007,GradeList,0),0))</f>
        <v>0</v>
      </c>
      <c r="O4007" s="64" t="n">
        <f aca="false">IF(OR($I4007="",$I4007="NR"),0,IFERROR(MATCH($I4007,GradeList,0),0))</f>
        <v>0</v>
      </c>
      <c r="P4007" s="64" t="n">
        <f aca="false">IF(AND($M4007&gt;0,ISNUMBER(MATCH($F4007,Lists!$A$2:$A$5,0)),ISNUMBER(MATCH($G4007,Lists!$B$2:$B$7,0)),OR($H4007="",$N4007&gt;0),OR($I4007="",$I4007="NR",$O4007&gt;0),IF(ISNUMBER($J4007),AND($J4007&gt;=0,$J4007=INT($J4007)),FALSE())),$J4007,0)</f>
        <v>0</v>
      </c>
      <c r="Q4007" s="64" t="n">
        <f aca="false">IF(AND($P4007&gt;0,$O4007&gt;0),$P4007,0)</f>
        <v>0</v>
      </c>
      <c r="R4007" s="64" t="n">
        <f aca="false">IF(AND($Q4007&gt;0,$O4007&gt;=AtRank),$Q4007,0)</f>
        <v>0</v>
      </c>
      <c r="S4007" s="64" t="n">
        <f aca="false">IF(AND($Q4007&gt;0,$O4007&gt;=AboveRank),$Q4007,0)</f>
        <v>0</v>
      </c>
      <c r="T4007" s="64" t="n">
        <f aca="false">IF($K4007="Less",$P4007,0)</f>
        <v>0</v>
      </c>
      <c r="U4007" s="64" t="n">
        <f aca="false">IF($K4007="Expected",$P4007,0)</f>
        <v>0</v>
      </c>
      <c r="V4007" s="64" t="n">
        <f aca="false">IF($K4007="Better",$P4007,0)</f>
        <v>0</v>
      </c>
      <c r="W4007" s="64" t="n">
        <f aca="false">IF($K4007="U – needs rule",$P4007,0)</f>
        <v>0</v>
      </c>
      <c r="X4007" s="64" t="n">
        <f aca="false">IF($K4007="No Start (attainment only)",$P4007,0)</f>
        <v>0</v>
      </c>
    </row>
    <row r="4008" customFormat="false" ht="15" hidden="false" customHeight="false" outlineLevel="0" collapsed="false">
      <c r="A4008" s="60"/>
      <c r="B4008" s="61" t="str">
        <f aca="false">IF($M4008=0,"",INDEX(Classes!$E$6:$E$420,$M4008))</f>
        <v/>
      </c>
      <c r="C4008" s="62" t="str">
        <f aca="false">IF($M4008=0,"",INDEX(Classes!$H$6:$H$420,$M4008))</f>
        <v/>
      </c>
      <c r="D4008" s="61" t="str">
        <f aca="false">IF($M4008=0,"",INDEX(Classes!$B$6:$B$420,$M4008))</f>
        <v/>
      </c>
      <c r="E4008" s="61" t="str">
        <f aca="false">IF($M4008=0,"",INDEX(Classes!$C$6:$C$420,$M4008))</f>
        <v/>
      </c>
      <c r="F4008" s="63"/>
      <c r="G4008" s="63"/>
      <c r="H4008" s="60"/>
      <c r="I4008" s="60"/>
      <c r="J4008" s="63"/>
      <c r="K4008" s="61" t="str">
        <f aca="false">IF($P4008=0,"",IF($F4008="Baseline","— Baseline",IF($O4008=0,"No result",IF($N4008=0,"No Start (attainment only)",IF(OR($N4008=1,$O4008=1),"U – needs rule",INDEX(MxBody,MATCH($I4008,MxCurr,0),MATCH($H4008,MxStart,0)))))))</f>
        <v/>
      </c>
      <c r="L4008" s="62" t="str">
        <f aca="false">IF(COUNTA($A4008,$F4008,$G4008,$H4008,$I4008,$J4008)=0,"",IF($M4008=0,"✖ كود الصف غير موجود",IF(ISNA(MATCH($F4008,Lists!$A$2:$A$5,0)),"✖ الفترة غير صحيحة",IF(ISNA(MATCH($G4008,Lists!$B$2:$B$7,0)),"✖ المجموعة غير صحيحة",IF(NOT(OR($H4008="",$N4008&gt;0)),"✖ Start غير صحيح",IF(NOT(OR($I4008="",$I4008="NR",$O4008&gt;0)),"✖ Current غير صحيح",IF(NOT(IF(ISNUMBER($J4008),AND($J4008&gt;=0,$J4008=INT($J4008)),FALSE())),"✖ العدد يجب أن يكون صحيحًا ≥ 0",IF(AND($F4008="Baseline",$H4008&lt;&gt;""),"⚠ Baseline: Start لا يدخل في التقدم",IF($K4008="No Start (attainment only)","ℹ تحصيل فقط (بدون Start)",IF($K4008="U – needs rule","ℹ حالة U تحتاج قاعدة معتمدة",IF($K4008="No result","ℹ بدون نتيجة (يُستبعد من التحصيل)","OK")))))))))))</f>
        <v/>
      </c>
      <c r="M4008" s="64" t="n">
        <f aca="false">IF($A4008="",0,IFERROR(MATCH($A4008,Classes!$A$6:$A$420,0),0))</f>
        <v>0</v>
      </c>
      <c r="N4008" s="64" t="n">
        <f aca="false">IF($H4008="",0,IFERROR(MATCH($H4008,GradeList,0),0))</f>
        <v>0</v>
      </c>
      <c r="O4008" s="64" t="n">
        <f aca="false">IF(OR($I4008="",$I4008="NR"),0,IFERROR(MATCH($I4008,GradeList,0),0))</f>
        <v>0</v>
      </c>
      <c r="P4008" s="64" t="n">
        <f aca="false">IF(AND($M4008&gt;0,ISNUMBER(MATCH($F4008,Lists!$A$2:$A$5,0)),ISNUMBER(MATCH($G4008,Lists!$B$2:$B$7,0)),OR($H4008="",$N4008&gt;0),OR($I4008="",$I4008="NR",$O4008&gt;0),IF(ISNUMBER($J4008),AND($J4008&gt;=0,$J4008=INT($J4008)),FALSE())),$J4008,0)</f>
        <v>0</v>
      </c>
      <c r="Q4008" s="64" t="n">
        <f aca="false">IF(AND($P4008&gt;0,$O4008&gt;0),$P4008,0)</f>
        <v>0</v>
      </c>
      <c r="R4008" s="64" t="n">
        <f aca="false">IF(AND($Q4008&gt;0,$O4008&gt;=AtRank),$Q4008,0)</f>
        <v>0</v>
      </c>
      <c r="S4008" s="64" t="n">
        <f aca="false">IF(AND($Q4008&gt;0,$O4008&gt;=AboveRank),$Q4008,0)</f>
        <v>0</v>
      </c>
      <c r="T4008" s="64" t="n">
        <f aca="false">IF($K4008="Less",$P4008,0)</f>
        <v>0</v>
      </c>
      <c r="U4008" s="64" t="n">
        <f aca="false">IF($K4008="Expected",$P4008,0)</f>
        <v>0</v>
      </c>
      <c r="V4008" s="64" t="n">
        <f aca="false">IF($K4008="Better",$P4008,0)</f>
        <v>0</v>
      </c>
      <c r="W4008" s="64" t="n">
        <f aca="false">IF($K4008="U – needs rule",$P4008,0)</f>
        <v>0</v>
      </c>
      <c r="X4008" s="64" t="n">
        <f aca="false">IF($K4008="No Start (attainment only)",$P4008,0)</f>
        <v>0</v>
      </c>
    </row>
    <row r="4009" customFormat="false" ht="15" hidden="false" customHeight="false" outlineLevel="0" collapsed="false">
      <c r="A4009" s="60"/>
      <c r="B4009" s="61" t="str">
        <f aca="false">IF($M4009=0,"",INDEX(Classes!$E$6:$E$420,$M4009))</f>
        <v/>
      </c>
      <c r="C4009" s="62" t="str">
        <f aca="false">IF($M4009=0,"",INDEX(Classes!$H$6:$H$420,$M4009))</f>
        <v/>
      </c>
      <c r="D4009" s="61" t="str">
        <f aca="false">IF($M4009=0,"",INDEX(Classes!$B$6:$B$420,$M4009))</f>
        <v/>
      </c>
      <c r="E4009" s="61" t="str">
        <f aca="false">IF($M4009=0,"",INDEX(Classes!$C$6:$C$420,$M4009))</f>
        <v/>
      </c>
      <c r="F4009" s="63"/>
      <c r="G4009" s="63"/>
      <c r="H4009" s="60"/>
      <c r="I4009" s="60"/>
      <c r="J4009" s="63"/>
      <c r="K4009" s="61" t="str">
        <f aca="false">IF($P4009=0,"",IF($F4009="Baseline","— Baseline",IF($O4009=0,"No result",IF($N4009=0,"No Start (attainment only)",IF(OR($N4009=1,$O4009=1),"U – needs rule",INDEX(MxBody,MATCH($I4009,MxCurr,0),MATCH($H4009,MxStart,0)))))))</f>
        <v/>
      </c>
      <c r="L4009" s="62" t="str">
        <f aca="false">IF(COUNTA($A4009,$F4009,$G4009,$H4009,$I4009,$J4009)=0,"",IF($M4009=0,"✖ كود الصف غير موجود",IF(ISNA(MATCH($F4009,Lists!$A$2:$A$5,0)),"✖ الفترة غير صحيحة",IF(ISNA(MATCH($G4009,Lists!$B$2:$B$7,0)),"✖ المجموعة غير صحيحة",IF(NOT(OR($H4009="",$N4009&gt;0)),"✖ Start غير صحيح",IF(NOT(OR($I4009="",$I4009="NR",$O4009&gt;0)),"✖ Current غير صحيح",IF(NOT(IF(ISNUMBER($J4009),AND($J4009&gt;=0,$J4009=INT($J4009)),FALSE())),"✖ العدد يجب أن يكون صحيحًا ≥ 0",IF(AND($F4009="Baseline",$H4009&lt;&gt;""),"⚠ Baseline: Start لا يدخل في التقدم",IF($K4009="No Start (attainment only)","ℹ تحصيل فقط (بدون Start)",IF($K4009="U – needs rule","ℹ حالة U تحتاج قاعدة معتمدة",IF($K4009="No result","ℹ بدون نتيجة (يُستبعد من التحصيل)","OK")))))))))))</f>
        <v/>
      </c>
      <c r="M4009" s="64" t="n">
        <f aca="false">IF($A4009="",0,IFERROR(MATCH($A4009,Classes!$A$6:$A$420,0),0))</f>
        <v>0</v>
      </c>
      <c r="N4009" s="64" t="n">
        <f aca="false">IF($H4009="",0,IFERROR(MATCH($H4009,GradeList,0),0))</f>
        <v>0</v>
      </c>
      <c r="O4009" s="64" t="n">
        <f aca="false">IF(OR($I4009="",$I4009="NR"),0,IFERROR(MATCH($I4009,GradeList,0),0))</f>
        <v>0</v>
      </c>
      <c r="P4009" s="64" t="n">
        <f aca="false">IF(AND($M4009&gt;0,ISNUMBER(MATCH($F4009,Lists!$A$2:$A$5,0)),ISNUMBER(MATCH($G4009,Lists!$B$2:$B$7,0)),OR($H4009="",$N4009&gt;0),OR($I4009="",$I4009="NR",$O4009&gt;0),IF(ISNUMBER($J4009),AND($J4009&gt;=0,$J4009=INT($J4009)),FALSE())),$J4009,0)</f>
        <v>0</v>
      </c>
      <c r="Q4009" s="64" t="n">
        <f aca="false">IF(AND($P4009&gt;0,$O4009&gt;0),$P4009,0)</f>
        <v>0</v>
      </c>
      <c r="R4009" s="64" t="n">
        <f aca="false">IF(AND($Q4009&gt;0,$O4009&gt;=AtRank),$Q4009,0)</f>
        <v>0</v>
      </c>
      <c r="S4009" s="64" t="n">
        <f aca="false">IF(AND($Q4009&gt;0,$O4009&gt;=AboveRank),$Q4009,0)</f>
        <v>0</v>
      </c>
      <c r="T4009" s="64" t="n">
        <f aca="false">IF($K4009="Less",$P4009,0)</f>
        <v>0</v>
      </c>
      <c r="U4009" s="64" t="n">
        <f aca="false">IF($K4009="Expected",$P4009,0)</f>
        <v>0</v>
      </c>
      <c r="V4009" s="64" t="n">
        <f aca="false">IF($K4009="Better",$P4009,0)</f>
        <v>0</v>
      </c>
      <c r="W4009" s="64" t="n">
        <f aca="false">IF($K4009="U – needs rule",$P4009,0)</f>
        <v>0</v>
      </c>
      <c r="X4009" s="64" t="n">
        <f aca="false">IF($K4009="No Start (attainment only)",$P4009,0)</f>
        <v>0</v>
      </c>
    </row>
    <row r="4010" customFormat="false" ht="15" hidden="false" customHeight="false" outlineLevel="0" collapsed="false">
      <c r="A4010" s="60"/>
      <c r="B4010" s="61" t="str">
        <f aca="false">IF($M4010=0,"",INDEX(Classes!$E$6:$E$420,$M4010))</f>
        <v/>
      </c>
      <c r="C4010" s="62" t="str">
        <f aca="false">IF($M4010=0,"",INDEX(Classes!$H$6:$H$420,$M4010))</f>
        <v/>
      </c>
      <c r="D4010" s="61" t="str">
        <f aca="false">IF($M4010=0,"",INDEX(Classes!$B$6:$B$420,$M4010))</f>
        <v/>
      </c>
      <c r="E4010" s="61" t="str">
        <f aca="false">IF($M4010=0,"",INDEX(Classes!$C$6:$C$420,$M4010))</f>
        <v/>
      </c>
      <c r="F4010" s="63"/>
      <c r="G4010" s="63"/>
      <c r="H4010" s="60"/>
      <c r="I4010" s="60"/>
      <c r="J4010" s="63"/>
      <c r="K4010" s="61" t="str">
        <f aca="false">IF($P4010=0,"",IF($F4010="Baseline","— Baseline",IF($O4010=0,"No result",IF($N4010=0,"No Start (attainment only)",IF(OR($N4010=1,$O4010=1),"U – needs rule",INDEX(MxBody,MATCH($I4010,MxCurr,0),MATCH($H4010,MxStart,0)))))))</f>
        <v/>
      </c>
      <c r="L4010" s="62" t="str">
        <f aca="false">IF(COUNTA($A4010,$F4010,$G4010,$H4010,$I4010,$J4010)=0,"",IF($M4010=0,"✖ كود الصف غير موجود",IF(ISNA(MATCH($F4010,Lists!$A$2:$A$5,0)),"✖ الفترة غير صحيحة",IF(ISNA(MATCH($G4010,Lists!$B$2:$B$7,0)),"✖ المجموعة غير صحيحة",IF(NOT(OR($H4010="",$N4010&gt;0)),"✖ Start غير صحيح",IF(NOT(OR($I4010="",$I4010="NR",$O4010&gt;0)),"✖ Current غير صحيح",IF(NOT(IF(ISNUMBER($J4010),AND($J4010&gt;=0,$J4010=INT($J4010)),FALSE())),"✖ العدد يجب أن يكون صحيحًا ≥ 0",IF(AND($F4010="Baseline",$H4010&lt;&gt;""),"⚠ Baseline: Start لا يدخل في التقدم",IF($K4010="No Start (attainment only)","ℹ تحصيل فقط (بدون Start)",IF($K4010="U – needs rule","ℹ حالة U تحتاج قاعدة معتمدة",IF($K4010="No result","ℹ بدون نتيجة (يُستبعد من التحصيل)","OK")))))))))))</f>
        <v/>
      </c>
      <c r="M4010" s="64" t="n">
        <f aca="false">IF($A4010="",0,IFERROR(MATCH($A4010,Classes!$A$6:$A$420,0),0))</f>
        <v>0</v>
      </c>
      <c r="N4010" s="64" t="n">
        <f aca="false">IF($H4010="",0,IFERROR(MATCH($H4010,GradeList,0),0))</f>
        <v>0</v>
      </c>
      <c r="O4010" s="64" t="n">
        <f aca="false">IF(OR($I4010="",$I4010="NR"),0,IFERROR(MATCH($I4010,GradeList,0),0))</f>
        <v>0</v>
      </c>
      <c r="P4010" s="64" t="n">
        <f aca="false">IF(AND($M4010&gt;0,ISNUMBER(MATCH($F4010,Lists!$A$2:$A$5,0)),ISNUMBER(MATCH($G4010,Lists!$B$2:$B$7,0)),OR($H4010="",$N4010&gt;0),OR($I4010="",$I4010="NR",$O4010&gt;0),IF(ISNUMBER($J4010),AND($J4010&gt;=0,$J4010=INT($J4010)),FALSE())),$J4010,0)</f>
        <v>0</v>
      </c>
      <c r="Q4010" s="64" t="n">
        <f aca="false">IF(AND($P4010&gt;0,$O4010&gt;0),$P4010,0)</f>
        <v>0</v>
      </c>
      <c r="R4010" s="64" t="n">
        <f aca="false">IF(AND($Q4010&gt;0,$O4010&gt;=AtRank),$Q4010,0)</f>
        <v>0</v>
      </c>
      <c r="S4010" s="64" t="n">
        <f aca="false">IF(AND($Q4010&gt;0,$O4010&gt;=AboveRank),$Q4010,0)</f>
        <v>0</v>
      </c>
      <c r="T4010" s="64" t="n">
        <f aca="false">IF($K4010="Less",$P4010,0)</f>
        <v>0</v>
      </c>
      <c r="U4010" s="64" t="n">
        <f aca="false">IF($K4010="Expected",$P4010,0)</f>
        <v>0</v>
      </c>
      <c r="V4010" s="64" t="n">
        <f aca="false">IF($K4010="Better",$P4010,0)</f>
        <v>0</v>
      </c>
      <c r="W4010" s="64" t="n">
        <f aca="false">IF($K4010="U – needs rule",$P4010,0)</f>
        <v>0</v>
      </c>
      <c r="X4010" s="64" t="n">
        <f aca="false">IF($K4010="No Start (attainment only)",$P4010,0)</f>
        <v>0</v>
      </c>
    </row>
    <row r="4011" customFormat="false" ht="15" hidden="false" customHeight="false" outlineLevel="0" collapsed="false">
      <c r="A4011" s="60"/>
      <c r="B4011" s="61" t="str">
        <f aca="false">IF($M4011=0,"",INDEX(Classes!$E$6:$E$420,$M4011))</f>
        <v/>
      </c>
      <c r="C4011" s="62" t="str">
        <f aca="false">IF($M4011=0,"",INDEX(Classes!$H$6:$H$420,$M4011))</f>
        <v/>
      </c>
      <c r="D4011" s="61" t="str">
        <f aca="false">IF($M4011=0,"",INDEX(Classes!$B$6:$B$420,$M4011))</f>
        <v/>
      </c>
      <c r="E4011" s="61" t="str">
        <f aca="false">IF($M4011=0,"",INDEX(Classes!$C$6:$C$420,$M4011))</f>
        <v/>
      </c>
      <c r="F4011" s="63"/>
      <c r="G4011" s="63"/>
      <c r="H4011" s="60"/>
      <c r="I4011" s="60"/>
      <c r="J4011" s="63"/>
      <c r="K4011" s="61" t="str">
        <f aca="false">IF($P4011=0,"",IF($F4011="Baseline","— Baseline",IF($O4011=0,"No result",IF($N4011=0,"No Start (attainment only)",IF(OR($N4011=1,$O4011=1),"U – needs rule",INDEX(MxBody,MATCH($I4011,MxCurr,0),MATCH($H4011,MxStart,0)))))))</f>
        <v/>
      </c>
      <c r="L4011" s="62" t="str">
        <f aca="false">IF(COUNTA($A4011,$F4011,$G4011,$H4011,$I4011,$J4011)=0,"",IF($M4011=0,"✖ كود الصف غير موجود",IF(ISNA(MATCH($F4011,Lists!$A$2:$A$5,0)),"✖ الفترة غير صحيحة",IF(ISNA(MATCH($G4011,Lists!$B$2:$B$7,0)),"✖ المجموعة غير صحيحة",IF(NOT(OR($H4011="",$N4011&gt;0)),"✖ Start غير صحيح",IF(NOT(OR($I4011="",$I4011="NR",$O4011&gt;0)),"✖ Current غير صحيح",IF(NOT(IF(ISNUMBER($J4011),AND($J4011&gt;=0,$J4011=INT($J4011)),FALSE())),"✖ العدد يجب أن يكون صحيحًا ≥ 0",IF(AND($F4011="Baseline",$H4011&lt;&gt;""),"⚠ Baseline: Start لا يدخل في التقدم",IF($K4011="No Start (attainment only)","ℹ تحصيل فقط (بدون Start)",IF($K4011="U – needs rule","ℹ حالة U تحتاج قاعدة معتمدة",IF($K4011="No result","ℹ بدون نتيجة (يُستبعد من التحصيل)","OK")))))))))))</f>
        <v/>
      </c>
      <c r="M4011" s="64" t="n">
        <f aca="false">IF($A4011="",0,IFERROR(MATCH($A4011,Classes!$A$6:$A$420,0),0))</f>
        <v>0</v>
      </c>
      <c r="N4011" s="64" t="n">
        <f aca="false">IF($H4011="",0,IFERROR(MATCH($H4011,GradeList,0),0))</f>
        <v>0</v>
      </c>
      <c r="O4011" s="64" t="n">
        <f aca="false">IF(OR($I4011="",$I4011="NR"),0,IFERROR(MATCH($I4011,GradeList,0),0))</f>
        <v>0</v>
      </c>
      <c r="P4011" s="64" t="n">
        <f aca="false">IF(AND($M4011&gt;0,ISNUMBER(MATCH($F4011,Lists!$A$2:$A$5,0)),ISNUMBER(MATCH($G4011,Lists!$B$2:$B$7,0)),OR($H4011="",$N4011&gt;0),OR($I4011="",$I4011="NR",$O4011&gt;0),IF(ISNUMBER($J4011),AND($J4011&gt;=0,$J4011=INT($J4011)),FALSE())),$J4011,0)</f>
        <v>0</v>
      </c>
      <c r="Q4011" s="64" t="n">
        <f aca="false">IF(AND($P4011&gt;0,$O4011&gt;0),$P4011,0)</f>
        <v>0</v>
      </c>
      <c r="R4011" s="64" t="n">
        <f aca="false">IF(AND($Q4011&gt;0,$O4011&gt;=AtRank),$Q4011,0)</f>
        <v>0</v>
      </c>
      <c r="S4011" s="64" t="n">
        <f aca="false">IF(AND($Q4011&gt;0,$O4011&gt;=AboveRank),$Q4011,0)</f>
        <v>0</v>
      </c>
      <c r="T4011" s="64" t="n">
        <f aca="false">IF($K4011="Less",$P4011,0)</f>
        <v>0</v>
      </c>
      <c r="U4011" s="64" t="n">
        <f aca="false">IF($K4011="Expected",$P4011,0)</f>
        <v>0</v>
      </c>
      <c r="V4011" s="64" t="n">
        <f aca="false">IF($K4011="Better",$P4011,0)</f>
        <v>0</v>
      </c>
      <c r="W4011" s="64" t="n">
        <f aca="false">IF($K4011="U – needs rule",$P4011,0)</f>
        <v>0</v>
      </c>
      <c r="X4011" s="64" t="n">
        <f aca="false">IF($K4011="No Start (attainment only)",$P4011,0)</f>
        <v>0</v>
      </c>
    </row>
    <row r="4012" customFormat="false" ht="15" hidden="false" customHeight="false" outlineLevel="0" collapsed="false">
      <c r="A4012" s="60"/>
      <c r="B4012" s="61" t="str">
        <f aca="false">IF($M4012=0,"",INDEX(Classes!$E$6:$E$420,$M4012))</f>
        <v/>
      </c>
      <c r="C4012" s="62" t="str">
        <f aca="false">IF($M4012=0,"",INDEX(Classes!$H$6:$H$420,$M4012))</f>
        <v/>
      </c>
      <c r="D4012" s="61" t="str">
        <f aca="false">IF($M4012=0,"",INDEX(Classes!$B$6:$B$420,$M4012))</f>
        <v/>
      </c>
      <c r="E4012" s="61" t="str">
        <f aca="false">IF($M4012=0,"",INDEX(Classes!$C$6:$C$420,$M4012))</f>
        <v/>
      </c>
      <c r="F4012" s="63"/>
      <c r="G4012" s="63"/>
      <c r="H4012" s="60"/>
      <c r="I4012" s="60"/>
      <c r="J4012" s="63"/>
      <c r="K4012" s="61" t="str">
        <f aca="false">IF($P4012=0,"",IF($F4012="Baseline","— Baseline",IF($O4012=0,"No result",IF($N4012=0,"No Start (attainment only)",IF(OR($N4012=1,$O4012=1),"U – needs rule",INDEX(MxBody,MATCH($I4012,MxCurr,0),MATCH($H4012,MxStart,0)))))))</f>
        <v/>
      </c>
      <c r="L4012" s="62" t="str">
        <f aca="false">IF(COUNTA($A4012,$F4012,$G4012,$H4012,$I4012,$J4012)=0,"",IF($M4012=0,"✖ كود الصف غير موجود",IF(ISNA(MATCH($F4012,Lists!$A$2:$A$5,0)),"✖ الفترة غير صحيحة",IF(ISNA(MATCH($G4012,Lists!$B$2:$B$7,0)),"✖ المجموعة غير صحيحة",IF(NOT(OR($H4012="",$N4012&gt;0)),"✖ Start غير صحيح",IF(NOT(OR($I4012="",$I4012="NR",$O4012&gt;0)),"✖ Current غير صحيح",IF(NOT(IF(ISNUMBER($J4012),AND($J4012&gt;=0,$J4012=INT($J4012)),FALSE())),"✖ العدد يجب أن يكون صحيحًا ≥ 0",IF(AND($F4012="Baseline",$H4012&lt;&gt;""),"⚠ Baseline: Start لا يدخل في التقدم",IF($K4012="No Start (attainment only)","ℹ تحصيل فقط (بدون Start)",IF($K4012="U – needs rule","ℹ حالة U تحتاج قاعدة معتمدة",IF($K4012="No result","ℹ بدون نتيجة (يُستبعد من التحصيل)","OK")))))))))))</f>
        <v/>
      </c>
      <c r="M4012" s="64" t="n">
        <f aca="false">IF($A4012="",0,IFERROR(MATCH($A4012,Classes!$A$6:$A$420,0),0))</f>
        <v>0</v>
      </c>
      <c r="N4012" s="64" t="n">
        <f aca="false">IF($H4012="",0,IFERROR(MATCH($H4012,GradeList,0),0))</f>
        <v>0</v>
      </c>
      <c r="O4012" s="64" t="n">
        <f aca="false">IF(OR($I4012="",$I4012="NR"),0,IFERROR(MATCH($I4012,GradeList,0),0))</f>
        <v>0</v>
      </c>
      <c r="P4012" s="64" t="n">
        <f aca="false">IF(AND($M4012&gt;0,ISNUMBER(MATCH($F4012,Lists!$A$2:$A$5,0)),ISNUMBER(MATCH($G4012,Lists!$B$2:$B$7,0)),OR($H4012="",$N4012&gt;0),OR($I4012="",$I4012="NR",$O4012&gt;0),IF(ISNUMBER($J4012),AND($J4012&gt;=0,$J4012=INT($J4012)),FALSE())),$J4012,0)</f>
        <v>0</v>
      </c>
      <c r="Q4012" s="64" t="n">
        <f aca="false">IF(AND($P4012&gt;0,$O4012&gt;0),$P4012,0)</f>
        <v>0</v>
      </c>
      <c r="R4012" s="64" t="n">
        <f aca="false">IF(AND($Q4012&gt;0,$O4012&gt;=AtRank),$Q4012,0)</f>
        <v>0</v>
      </c>
      <c r="S4012" s="64" t="n">
        <f aca="false">IF(AND($Q4012&gt;0,$O4012&gt;=AboveRank),$Q4012,0)</f>
        <v>0</v>
      </c>
      <c r="T4012" s="64" t="n">
        <f aca="false">IF($K4012="Less",$P4012,0)</f>
        <v>0</v>
      </c>
      <c r="U4012" s="64" t="n">
        <f aca="false">IF($K4012="Expected",$P4012,0)</f>
        <v>0</v>
      </c>
      <c r="V4012" s="64" t="n">
        <f aca="false">IF($K4012="Better",$P4012,0)</f>
        <v>0</v>
      </c>
      <c r="W4012" s="64" t="n">
        <f aca="false">IF($K4012="U – needs rule",$P4012,0)</f>
        <v>0</v>
      </c>
      <c r="X4012" s="64" t="n">
        <f aca="false">IF($K4012="No Start (attainment only)",$P4012,0)</f>
        <v>0</v>
      </c>
    </row>
    <row r="4013" customFormat="false" ht="15" hidden="false" customHeight="false" outlineLevel="0" collapsed="false">
      <c r="A4013" s="60"/>
      <c r="B4013" s="61" t="str">
        <f aca="false">IF($M4013=0,"",INDEX(Classes!$E$6:$E$420,$M4013))</f>
        <v/>
      </c>
      <c r="C4013" s="62" t="str">
        <f aca="false">IF($M4013=0,"",INDEX(Classes!$H$6:$H$420,$M4013))</f>
        <v/>
      </c>
      <c r="D4013" s="61" t="str">
        <f aca="false">IF($M4013=0,"",INDEX(Classes!$B$6:$B$420,$M4013))</f>
        <v/>
      </c>
      <c r="E4013" s="61" t="str">
        <f aca="false">IF($M4013=0,"",INDEX(Classes!$C$6:$C$420,$M4013))</f>
        <v/>
      </c>
      <c r="F4013" s="63"/>
      <c r="G4013" s="63"/>
      <c r="H4013" s="60"/>
      <c r="I4013" s="60"/>
      <c r="J4013" s="63"/>
      <c r="K4013" s="61" t="str">
        <f aca="false">IF($P4013=0,"",IF($F4013="Baseline","— Baseline",IF($O4013=0,"No result",IF($N4013=0,"No Start (attainment only)",IF(OR($N4013=1,$O4013=1),"U – needs rule",INDEX(MxBody,MATCH($I4013,MxCurr,0),MATCH($H4013,MxStart,0)))))))</f>
        <v/>
      </c>
      <c r="L4013" s="62" t="str">
        <f aca="false">IF(COUNTA($A4013,$F4013,$G4013,$H4013,$I4013,$J4013)=0,"",IF($M4013=0,"✖ كود الصف غير موجود",IF(ISNA(MATCH($F4013,Lists!$A$2:$A$5,0)),"✖ الفترة غير صحيحة",IF(ISNA(MATCH($G4013,Lists!$B$2:$B$7,0)),"✖ المجموعة غير صحيحة",IF(NOT(OR($H4013="",$N4013&gt;0)),"✖ Start غير صحيح",IF(NOT(OR($I4013="",$I4013="NR",$O4013&gt;0)),"✖ Current غير صحيح",IF(NOT(IF(ISNUMBER($J4013),AND($J4013&gt;=0,$J4013=INT($J4013)),FALSE())),"✖ العدد يجب أن يكون صحيحًا ≥ 0",IF(AND($F4013="Baseline",$H4013&lt;&gt;""),"⚠ Baseline: Start لا يدخل في التقدم",IF($K4013="No Start (attainment only)","ℹ تحصيل فقط (بدون Start)",IF($K4013="U – needs rule","ℹ حالة U تحتاج قاعدة معتمدة",IF($K4013="No result","ℹ بدون نتيجة (يُستبعد من التحصيل)","OK")))))))))))</f>
        <v/>
      </c>
      <c r="M4013" s="64" t="n">
        <f aca="false">IF($A4013="",0,IFERROR(MATCH($A4013,Classes!$A$6:$A$420,0),0))</f>
        <v>0</v>
      </c>
      <c r="N4013" s="64" t="n">
        <f aca="false">IF($H4013="",0,IFERROR(MATCH($H4013,GradeList,0),0))</f>
        <v>0</v>
      </c>
      <c r="O4013" s="64" t="n">
        <f aca="false">IF(OR($I4013="",$I4013="NR"),0,IFERROR(MATCH($I4013,GradeList,0),0))</f>
        <v>0</v>
      </c>
      <c r="P4013" s="64" t="n">
        <f aca="false">IF(AND($M4013&gt;0,ISNUMBER(MATCH($F4013,Lists!$A$2:$A$5,0)),ISNUMBER(MATCH($G4013,Lists!$B$2:$B$7,0)),OR($H4013="",$N4013&gt;0),OR($I4013="",$I4013="NR",$O4013&gt;0),IF(ISNUMBER($J4013),AND($J4013&gt;=0,$J4013=INT($J4013)),FALSE())),$J4013,0)</f>
        <v>0</v>
      </c>
      <c r="Q4013" s="64" t="n">
        <f aca="false">IF(AND($P4013&gt;0,$O4013&gt;0),$P4013,0)</f>
        <v>0</v>
      </c>
      <c r="R4013" s="64" t="n">
        <f aca="false">IF(AND($Q4013&gt;0,$O4013&gt;=AtRank),$Q4013,0)</f>
        <v>0</v>
      </c>
      <c r="S4013" s="64" t="n">
        <f aca="false">IF(AND($Q4013&gt;0,$O4013&gt;=AboveRank),$Q4013,0)</f>
        <v>0</v>
      </c>
      <c r="T4013" s="64" t="n">
        <f aca="false">IF($K4013="Less",$P4013,0)</f>
        <v>0</v>
      </c>
      <c r="U4013" s="64" t="n">
        <f aca="false">IF($K4013="Expected",$P4013,0)</f>
        <v>0</v>
      </c>
      <c r="V4013" s="64" t="n">
        <f aca="false">IF($K4013="Better",$P4013,0)</f>
        <v>0</v>
      </c>
      <c r="W4013" s="64" t="n">
        <f aca="false">IF($K4013="U – needs rule",$P4013,0)</f>
        <v>0</v>
      </c>
      <c r="X4013" s="64" t="n">
        <f aca="false">IF($K4013="No Start (attainment only)",$P4013,0)</f>
        <v>0</v>
      </c>
    </row>
    <row r="4014" customFormat="false" ht="15" hidden="false" customHeight="false" outlineLevel="0" collapsed="false">
      <c r="A4014" s="60"/>
      <c r="B4014" s="61" t="str">
        <f aca="false">IF($M4014=0,"",INDEX(Classes!$E$6:$E$420,$M4014))</f>
        <v/>
      </c>
      <c r="C4014" s="62" t="str">
        <f aca="false">IF($M4014=0,"",INDEX(Classes!$H$6:$H$420,$M4014))</f>
        <v/>
      </c>
      <c r="D4014" s="61" t="str">
        <f aca="false">IF($M4014=0,"",INDEX(Classes!$B$6:$B$420,$M4014))</f>
        <v/>
      </c>
      <c r="E4014" s="61" t="str">
        <f aca="false">IF($M4014=0,"",INDEX(Classes!$C$6:$C$420,$M4014))</f>
        <v/>
      </c>
      <c r="F4014" s="63"/>
      <c r="G4014" s="63"/>
      <c r="H4014" s="60"/>
      <c r="I4014" s="60"/>
      <c r="J4014" s="63"/>
      <c r="K4014" s="61" t="str">
        <f aca="false">IF($P4014=0,"",IF($F4014="Baseline","— Baseline",IF($O4014=0,"No result",IF($N4014=0,"No Start (attainment only)",IF(OR($N4014=1,$O4014=1),"U – needs rule",INDEX(MxBody,MATCH($I4014,MxCurr,0),MATCH($H4014,MxStart,0)))))))</f>
        <v/>
      </c>
      <c r="L4014" s="62" t="str">
        <f aca="false">IF(COUNTA($A4014,$F4014,$G4014,$H4014,$I4014,$J4014)=0,"",IF($M4014=0,"✖ كود الصف غير موجود",IF(ISNA(MATCH($F4014,Lists!$A$2:$A$5,0)),"✖ الفترة غير صحيحة",IF(ISNA(MATCH($G4014,Lists!$B$2:$B$7,0)),"✖ المجموعة غير صحيحة",IF(NOT(OR($H4014="",$N4014&gt;0)),"✖ Start غير صحيح",IF(NOT(OR($I4014="",$I4014="NR",$O4014&gt;0)),"✖ Current غير صحيح",IF(NOT(IF(ISNUMBER($J4014),AND($J4014&gt;=0,$J4014=INT($J4014)),FALSE())),"✖ العدد يجب أن يكون صحيحًا ≥ 0",IF(AND($F4014="Baseline",$H4014&lt;&gt;""),"⚠ Baseline: Start لا يدخل في التقدم",IF($K4014="No Start (attainment only)","ℹ تحصيل فقط (بدون Start)",IF($K4014="U – needs rule","ℹ حالة U تحتاج قاعدة معتمدة",IF($K4014="No result","ℹ بدون نتيجة (يُستبعد من التحصيل)","OK")))))))))))</f>
        <v/>
      </c>
      <c r="M4014" s="64" t="n">
        <f aca="false">IF($A4014="",0,IFERROR(MATCH($A4014,Classes!$A$6:$A$420,0),0))</f>
        <v>0</v>
      </c>
      <c r="N4014" s="64" t="n">
        <f aca="false">IF($H4014="",0,IFERROR(MATCH($H4014,GradeList,0),0))</f>
        <v>0</v>
      </c>
      <c r="O4014" s="64" t="n">
        <f aca="false">IF(OR($I4014="",$I4014="NR"),0,IFERROR(MATCH($I4014,GradeList,0),0))</f>
        <v>0</v>
      </c>
      <c r="P4014" s="64" t="n">
        <f aca="false">IF(AND($M4014&gt;0,ISNUMBER(MATCH($F4014,Lists!$A$2:$A$5,0)),ISNUMBER(MATCH($G4014,Lists!$B$2:$B$7,0)),OR($H4014="",$N4014&gt;0),OR($I4014="",$I4014="NR",$O4014&gt;0),IF(ISNUMBER($J4014),AND($J4014&gt;=0,$J4014=INT($J4014)),FALSE())),$J4014,0)</f>
        <v>0</v>
      </c>
      <c r="Q4014" s="64" t="n">
        <f aca="false">IF(AND($P4014&gt;0,$O4014&gt;0),$P4014,0)</f>
        <v>0</v>
      </c>
      <c r="R4014" s="64" t="n">
        <f aca="false">IF(AND($Q4014&gt;0,$O4014&gt;=AtRank),$Q4014,0)</f>
        <v>0</v>
      </c>
      <c r="S4014" s="64" t="n">
        <f aca="false">IF(AND($Q4014&gt;0,$O4014&gt;=AboveRank),$Q4014,0)</f>
        <v>0</v>
      </c>
      <c r="T4014" s="64" t="n">
        <f aca="false">IF($K4014="Less",$P4014,0)</f>
        <v>0</v>
      </c>
      <c r="U4014" s="64" t="n">
        <f aca="false">IF($K4014="Expected",$P4014,0)</f>
        <v>0</v>
      </c>
      <c r="V4014" s="64" t="n">
        <f aca="false">IF($K4014="Better",$P4014,0)</f>
        <v>0</v>
      </c>
      <c r="W4014" s="64" t="n">
        <f aca="false">IF($K4014="U – needs rule",$P4014,0)</f>
        <v>0</v>
      </c>
      <c r="X4014" s="64" t="n">
        <f aca="false">IF($K4014="No Start (attainment only)",$P4014,0)</f>
        <v>0</v>
      </c>
    </row>
    <row r="4015" customFormat="false" ht="15" hidden="false" customHeight="false" outlineLevel="0" collapsed="false">
      <c r="A4015" s="60"/>
      <c r="B4015" s="61" t="str">
        <f aca="false">IF($M4015=0,"",INDEX(Classes!$E$6:$E$420,$M4015))</f>
        <v/>
      </c>
      <c r="C4015" s="62" t="str">
        <f aca="false">IF($M4015=0,"",INDEX(Classes!$H$6:$H$420,$M4015))</f>
        <v/>
      </c>
      <c r="D4015" s="61" t="str">
        <f aca="false">IF($M4015=0,"",INDEX(Classes!$B$6:$B$420,$M4015))</f>
        <v/>
      </c>
      <c r="E4015" s="61" t="str">
        <f aca="false">IF($M4015=0,"",INDEX(Classes!$C$6:$C$420,$M4015))</f>
        <v/>
      </c>
      <c r="F4015" s="63"/>
      <c r="G4015" s="63"/>
      <c r="H4015" s="60"/>
      <c r="I4015" s="60"/>
      <c r="J4015" s="63"/>
      <c r="K4015" s="61" t="str">
        <f aca="false">IF($P4015=0,"",IF($F4015="Baseline","— Baseline",IF($O4015=0,"No result",IF($N4015=0,"No Start (attainment only)",IF(OR($N4015=1,$O4015=1),"U – needs rule",INDEX(MxBody,MATCH($I4015,MxCurr,0),MATCH($H4015,MxStart,0)))))))</f>
        <v/>
      </c>
      <c r="L4015" s="62" t="str">
        <f aca="false">IF(COUNTA($A4015,$F4015,$G4015,$H4015,$I4015,$J4015)=0,"",IF($M4015=0,"✖ كود الصف غير موجود",IF(ISNA(MATCH($F4015,Lists!$A$2:$A$5,0)),"✖ الفترة غير صحيحة",IF(ISNA(MATCH($G4015,Lists!$B$2:$B$7,0)),"✖ المجموعة غير صحيحة",IF(NOT(OR($H4015="",$N4015&gt;0)),"✖ Start غير صحيح",IF(NOT(OR($I4015="",$I4015="NR",$O4015&gt;0)),"✖ Current غير صحيح",IF(NOT(IF(ISNUMBER($J4015),AND($J4015&gt;=0,$J4015=INT($J4015)),FALSE())),"✖ العدد يجب أن يكون صحيحًا ≥ 0",IF(AND($F4015="Baseline",$H4015&lt;&gt;""),"⚠ Baseline: Start لا يدخل في التقدم",IF($K4015="No Start (attainment only)","ℹ تحصيل فقط (بدون Start)",IF($K4015="U – needs rule","ℹ حالة U تحتاج قاعدة معتمدة",IF($K4015="No result","ℹ بدون نتيجة (يُستبعد من التحصيل)","OK")))))))))))</f>
        <v/>
      </c>
      <c r="M4015" s="64" t="n">
        <f aca="false">IF($A4015="",0,IFERROR(MATCH($A4015,Classes!$A$6:$A$420,0),0))</f>
        <v>0</v>
      </c>
      <c r="N4015" s="64" t="n">
        <f aca="false">IF($H4015="",0,IFERROR(MATCH($H4015,GradeList,0),0))</f>
        <v>0</v>
      </c>
      <c r="O4015" s="64" t="n">
        <f aca="false">IF(OR($I4015="",$I4015="NR"),0,IFERROR(MATCH($I4015,GradeList,0),0))</f>
        <v>0</v>
      </c>
      <c r="P4015" s="64" t="n">
        <f aca="false">IF(AND($M4015&gt;0,ISNUMBER(MATCH($F4015,Lists!$A$2:$A$5,0)),ISNUMBER(MATCH($G4015,Lists!$B$2:$B$7,0)),OR($H4015="",$N4015&gt;0),OR($I4015="",$I4015="NR",$O4015&gt;0),IF(ISNUMBER($J4015),AND($J4015&gt;=0,$J4015=INT($J4015)),FALSE())),$J4015,0)</f>
        <v>0</v>
      </c>
      <c r="Q4015" s="64" t="n">
        <f aca="false">IF(AND($P4015&gt;0,$O4015&gt;0),$P4015,0)</f>
        <v>0</v>
      </c>
      <c r="R4015" s="64" t="n">
        <f aca="false">IF(AND($Q4015&gt;0,$O4015&gt;=AtRank),$Q4015,0)</f>
        <v>0</v>
      </c>
      <c r="S4015" s="64" t="n">
        <f aca="false">IF(AND($Q4015&gt;0,$O4015&gt;=AboveRank),$Q4015,0)</f>
        <v>0</v>
      </c>
      <c r="T4015" s="64" t="n">
        <f aca="false">IF($K4015="Less",$P4015,0)</f>
        <v>0</v>
      </c>
      <c r="U4015" s="64" t="n">
        <f aca="false">IF($K4015="Expected",$P4015,0)</f>
        <v>0</v>
      </c>
      <c r="V4015" s="64" t="n">
        <f aca="false">IF($K4015="Better",$P4015,0)</f>
        <v>0</v>
      </c>
      <c r="W4015" s="64" t="n">
        <f aca="false">IF($K4015="U – needs rule",$P4015,0)</f>
        <v>0</v>
      </c>
      <c r="X4015" s="64" t="n">
        <f aca="false">IF($K4015="No Start (attainment only)",$P4015,0)</f>
        <v>0</v>
      </c>
    </row>
    <row r="4016" customFormat="false" ht="15" hidden="false" customHeight="false" outlineLevel="0" collapsed="false">
      <c r="A4016" s="60"/>
      <c r="B4016" s="61" t="str">
        <f aca="false">IF($M4016=0,"",INDEX(Classes!$E$6:$E$420,$M4016))</f>
        <v/>
      </c>
      <c r="C4016" s="62" t="str">
        <f aca="false">IF($M4016=0,"",INDEX(Classes!$H$6:$H$420,$M4016))</f>
        <v/>
      </c>
      <c r="D4016" s="61" t="str">
        <f aca="false">IF($M4016=0,"",INDEX(Classes!$B$6:$B$420,$M4016))</f>
        <v/>
      </c>
      <c r="E4016" s="61" t="str">
        <f aca="false">IF($M4016=0,"",INDEX(Classes!$C$6:$C$420,$M4016))</f>
        <v/>
      </c>
      <c r="F4016" s="63"/>
      <c r="G4016" s="63"/>
      <c r="H4016" s="60"/>
      <c r="I4016" s="60"/>
      <c r="J4016" s="63"/>
      <c r="K4016" s="61" t="str">
        <f aca="false">IF($P4016=0,"",IF($F4016="Baseline","— Baseline",IF($O4016=0,"No result",IF($N4016=0,"No Start (attainment only)",IF(OR($N4016=1,$O4016=1),"U – needs rule",INDEX(MxBody,MATCH($I4016,MxCurr,0),MATCH($H4016,MxStart,0)))))))</f>
        <v/>
      </c>
      <c r="L4016" s="62" t="str">
        <f aca="false">IF(COUNTA($A4016,$F4016,$G4016,$H4016,$I4016,$J4016)=0,"",IF($M4016=0,"✖ كود الصف غير موجود",IF(ISNA(MATCH($F4016,Lists!$A$2:$A$5,0)),"✖ الفترة غير صحيحة",IF(ISNA(MATCH($G4016,Lists!$B$2:$B$7,0)),"✖ المجموعة غير صحيحة",IF(NOT(OR($H4016="",$N4016&gt;0)),"✖ Start غير صحيح",IF(NOT(OR($I4016="",$I4016="NR",$O4016&gt;0)),"✖ Current غير صحيح",IF(NOT(IF(ISNUMBER($J4016),AND($J4016&gt;=0,$J4016=INT($J4016)),FALSE())),"✖ العدد يجب أن يكون صحيحًا ≥ 0",IF(AND($F4016="Baseline",$H4016&lt;&gt;""),"⚠ Baseline: Start لا يدخل في التقدم",IF($K4016="No Start (attainment only)","ℹ تحصيل فقط (بدون Start)",IF($K4016="U – needs rule","ℹ حالة U تحتاج قاعدة معتمدة",IF($K4016="No result","ℹ بدون نتيجة (يُستبعد من التحصيل)","OK")))))))))))</f>
        <v/>
      </c>
      <c r="M4016" s="64" t="n">
        <f aca="false">IF($A4016="",0,IFERROR(MATCH($A4016,Classes!$A$6:$A$420,0),0))</f>
        <v>0</v>
      </c>
      <c r="N4016" s="64" t="n">
        <f aca="false">IF($H4016="",0,IFERROR(MATCH($H4016,GradeList,0),0))</f>
        <v>0</v>
      </c>
      <c r="O4016" s="64" t="n">
        <f aca="false">IF(OR($I4016="",$I4016="NR"),0,IFERROR(MATCH($I4016,GradeList,0),0))</f>
        <v>0</v>
      </c>
      <c r="P4016" s="64" t="n">
        <f aca="false">IF(AND($M4016&gt;0,ISNUMBER(MATCH($F4016,Lists!$A$2:$A$5,0)),ISNUMBER(MATCH($G4016,Lists!$B$2:$B$7,0)),OR($H4016="",$N4016&gt;0),OR($I4016="",$I4016="NR",$O4016&gt;0),IF(ISNUMBER($J4016),AND($J4016&gt;=0,$J4016=INT($J4016)),FALSE())),$J4016,0)</f>
        <v>0</v>
      </c>
      <c r="Q4016" s="64" t="n">
        <f aca="false">IF(AND($P4016&gt;0,$O4016&gt;0),$P4016,0)</f>
        <v>0</v>
      </c>
      <c r="R4016" s="64" t="n">
        <f aca="false">IF(AND($Q4016&gt;0,$O4016&gt;=AtRank),$Q4016,0)</f>
        <v>0</v>
      </c>
      <c r="S4016" s="64" t="n">
        <f aca="false">IF(AND($Q4016&gt;0,$O4016&gt;=AboveRank),$Q4016,0)</f>
        <v>0</v>
      </c>
      <c r="T4016" s="64" t="n">
        <f aca="false">IF($K4016="Less",$P4016,0)</f>
        <v>0</v>
      </c>
      <c r="U4016" s="64" t="n">
        <f aca="false">IF($K4016="Expected",$P4016,0)</f>
        <v>0</v>
      </c>
      <c r="V4016" s="64" t="n">
        <f aca="false">IF($K4016="Better",$P4016,0)</f>
        <v>0</v>
      </c>
      <c r="W4016" s="64" t="n">
        <f aca="false">IF($K4016="U – needs rule",$P4016,0)</f>
        <v>0</v>
      </c>
      <c r="X4016" s="64" t="n">
        <f aca="false">IF($K4016="No Start (attainment only)",$P4016,0)</f>
        <v>0</v>
      </c>
    </row>
    <row r="4017" customFormat="false" ht="15" hidden="false" customHeight="false" outlineLevel="0" collapsed="false">
      <c r="A4017" s="60"/>
      <c r="B4017" s="61" t="str">
        <f aca="false">IF($M4017=0,"",INDEX(Classes!$E$6:$E$420,$M4017))</f>
        <v/>
      </c>
      <c r="C4017" s="62" t="str">
        <f aca="false">IF($M4017=0,"",INDEX(Classes!$H$6:$H$420,$M4017))</f>
        <v/>
      </c>
      <c r="D4017" s="61" t="str">
        <f aca="false">IF($M4017=0,"",INDEX(Classes!$B$6:$B$420,$M4017))</f>
        <v/>
      </c>
      <c r="E4017" s="61" t="str">
        <f aca="false">IF($M4017=0,"",INDEX(Classes!$C$6:$C$420,$M4017))</f>
        <v/>
      </c>
      <c r="F4017" s="63"/>
      <c r="G4017" s="63"/>
      <c r="H4017" s="60"/>
      <c r="I4017" s="60"/>
      <c r="J4017" s="63"/>
      <c r="K4017" s="61" t="str">
        <f aca="false">IF($P4017=0,"",IF($F4017="Baseline","— Baseline",IF($O4017=0,"No result",IF($N4017=0,"No Start (attainment only)",IF(OR($N4017=1,$O4017=1),"U – needs rule",INDEX(MxBody,MATCH($I4017,MxCurr,0),MATCH($H4017,MxStart,0)))))))</f>
        <v/>
      </c>
      <c r="L4017" s="62" t="str">
        <f aca="false">IF(COUNTA($A4017,$F4017,$G4017,$H4017,$I4017,$J4017)=0,"",IF($M4017=0,"✖ كود الصف غير موجود",IF(ISNA(MATCH($F4017,Lists!$A$2:$A$5,0)),"✖ الفترة غير صحيحة",IF(ISNA(MATCH($G4017,Lists!$B$2:$B$7,0)),"✖ المجموعة غير صحيحة",IF(NOT(OR($H4017="",$N4017&gt;0)),"✖ Start غير صحيح",IF(NOT(OR($I4017="",$I4017="NR",$O4017&gt;0)),"✖ Current غير صحيح",IF(NOT(IF(ISNUMBER($J4017),AND($J4017&gt;=0,$J4017=INT($J4017)),FALSE())),"✖ العدد يجب أن يكون صحيحًا ≥ 0",IF(AND($F4017="Baseline",$H4017&lt;&gt;""),"⚠ Baseline: Start لا يدخل في التقدم",IF($K4017="No Start (attainment only)","ℹ تحصيل فقط (بدون Start)",IF($K4017="U – needs rule","ℹ حالة U تحتاج قاعدة معتمدة",IF($K4017="No result","ℹ بدون نتيجة (يُستبعد من التحصيل)","OK")))))))))))</f>
        <v/>
      </c>
      <c r="M4017" s="64" t="n">
        <f aca="false">IF($A4017="",0,IFERROR(MATCH($A4017,Classes!$A$6:$A$420,0),0))</f>
        <v>0</v>
      </c>
      <c r="N4017" s="64" t="n">
        <f aca="false">IF($H4017="",0,IFERROR(MATCH($H4017,GradeList,0),0))</f>
        <v>0</v>
      </c>
      <c r="O4017" s="64" t="n">
        <f aca="false">IF(OR($I4017="",$I4017="NR"),0,IFERROR(MATCH($I4017,GradeList,0),0))</f>
        <v>0</v>
      </c>
      <c r="P4017" s="64" t="n">
        <f aca="false">IF(AND($M4017&gt;0,ISNUMBER(MATCH($F4017,Lists!$A$2:$A$5,0)),ISNUMBER(MATCH($G4017,Lists!$B$2:$B$7,0)),OR($H4017="",$N4017&gt;0),OR($I4017="",$I4017="NR",$O4017&gt;0),IF(ISNUMBER($J4017),AND($J4017&gt;=0,$J4017=INT($J4017)),FALSE())),$J4017,0)</f>
        <v>0</v>
      </c>
      <c r="Q4017" s="64" t="n">
        <f aca="false">IF(AND($P4017&gt;0,$O4017&gt;0),$P4017,0)</f>
        <v>0</v>
      </c>
      <c r="R4017" s="64" t="n">
        <f aca="false">IF(AND($Q4017&gt;0,$O4017&gt;=AtRank),$Q4017,0)</f>
        <v>0</v>
      </c>
      <c r="S4017" s="64" t="n">
        <f aca="false">IF(AND($Q4017&gt;0,$O4017&gt;=AboveRank),$Q4017,0)</f>
        <v>0</v>
      </c>
      <c r="T4017" s="64" t="n">
        <f aca="false">IF($K4017="Less",$P4017,0)</f>
        <v>0</v>
      </c>
      <c r="U4017" s="64" t="n">
        <f aca="false">IF($K4017="Expected",$P4017,0)</f>
        <v>0</v>
      </c>
      <c r="V4017" s="64" t="n">
        <f aca="false">IF($K4017="Better",$P4017,0)</f>
        <v>0</v>
      </c>
      <c r="W4017" s="64" t="n">
        <f aca="false">IF($K4017="U – needs rule",$P4017,0)</f>
        <v>0</v>
      </c>
      <c r="X4017" s="64" t="n">
        <f aca="false">IF($K4017="No Start (attainment only)",$P4017,0)</f>
        <v>0</v>
      </c>
    </row>
    <row r="4018" customFormat="false" ht="15" hidden="false" customHeight="false" outlineLevel="0" collapsed="false">
      <c r="A4018" s="60"/>
      <c r="B4018" s="61" t="str">
        <f aca="false">IF($M4018=0,"",INDEX(Classes!$E$6:$E$420,$M4018))</f>
        <v/>
      </c>
      <c r="C4018" s="62" t="str">
        <f aca="false">IF($M4018=0,"",INDEX(Classes!$H$6:$H$420,$M4018))</f>
        <v/>
      </c>
      <c r="D4018" s="61" t="str">
        <f aca="false">IF($M4018=0,"",INDEX(Classes!$B$6:$B$420,$M4018))</f>
        <v/>
      </c>
      <c r="E4018" s="61" t="str">
        <f aca="false">IF($M4018=0,"",INDEX(Classes!$C$6:$C$420,$M4018))</f>
        <v/>
      </c>
      <c r="F4018" s="63"/>
      <c r="G4018" s="63"/>
      <c r="H4018" s="60"/>
      <c r="I4018" s="60"/>
      <c r="J4018" s="63"/>
      <c r="K4018" s="61" t="str">
        <f aca="false">IF($P4018=0,"",IF($F4018="Baseline","— Baseline",IF($O4018=0,"No result",IF($N4018=0,"No Start (attainment only)",IF(OR($N4018=1,$O4018=1),"U – needs rule",INDEX(MxBody,MATCH($I4018,MxCurr,0),MATCH($H4018,MxStart,0)))))))</f>
        <v/>
      </c>
      <c r="L4018" s="62" t="str">
        <f aca="false">IF(COUNTA($A4018,$F4018,$G4018,$H4018,$I4018,$J4018)=0,"",IF($M4018=0,"✖ كود الصف غير موجود",IF(ISNA(MATCH($F4018,Lists!$A$2:$A$5,0)),"✖ الفترة غير صحيحة",IF(ISNA(MATCH($G4018,Lists!$B$2:$B$7,0)),"✖ المجموعة غير صحيحة",IF(NOT(OR($H4018="",$N4018&gt;0)),"✖ Start غير صحيح",IF(NOT(OR($I4018="",$I4018="NR",$O4018&gt;0)),"✖ Current غير صحيح",IF(NOT(IF(ISNUMBER($J4018),AND($J4018&gt;=0,$J4018=INT($J4018)),FALSE())),"✖ العدد يجب أن يكون صحيحًا ≥ 0",IF(AND($F4018="Baseline",$H4018&lt;&gt;""),"⚠ Baseline: Start لا يدخل في التقدم",IF($K4018="No Start (attainment only)","ℹ تحصيل فقط (بدون Start)",IF($K4018="U – needs rule","ℹ حالة U تحتاج قاعدة معتمدة",IF($K4018="No result","ℹ بدون نتيجة (يُستبعد من التحصيل)","OK")))))))))))</f>
        <v/>
      </c>
      <c r="M4018" s="64" t="n">
        <f aca="false">IF($A4018="",0,IFERROR(MATCH($A4018,Classes!$A$6:$A$420,0),0))</f>
        <v>0</v>
      </c>
      <c r="N4018" s="64" t="n">
        <f aca="false">IF($H4018="",0,IFERROR(MATCH($H4018,GradeList,0),0))</f>
        <v>0</v>
      </c>
      <c r="O4018" s="64" t="n">
        <f aca="false">IF(OR($I4018="",$I4018="NR"),0,IFERROR(MATCH($I4018,GradeList,0),0))</f>
        <v>0</v>
      </c>
      <c r="P4018" s="64" t="n">
        <f aca="false">IF(AND($M4018&gt;0,ISNUMBER(MATCH($F4018,Lists!$A$2:$A$5,0)),ISNUMBER(MATCH($G4018,Lists!$B$2:$B$7,0)),OR($H4018="",$N4018&gt;0),OR($I4018="",$I4018="NR",$O4018&gt;0),IF(ISNUMBER($J4018),AND($J4018&gt;=0,$J4018=INT($J4018)),FALSE())),$J4018,0)</f>
        <v>0</v>
      </c>
      <c r="Q4018" s="64" t="n">
        <f aca="false">IF(AND($P4018&gt;0,$O4018&gt;0),$P4018,0)</f>
        <v>0</v>
      </c>
      <c r="R4018" s="64" t="n">
        <f aca="false">IF(AND($Q4018&gt;0,$O4018&gt;=AtRank),$Q4018,0)</f>
        <v>0</v>
      </c>
      <c r="S4018" s="64" t="n">
        <f aca="false">IF(AND($Q4018&gt;0,$O4018&gt;=AboveRank),$Q4018,0)</f>
        <v>0</v>
      </c>
      <c r="T4018" s="64" t="n">
        <f aca="false">IF($K4018="Less",$P4018,0)</f>
        <v>0</v>
      </c>
      <c r="U4018" s="64" t="n">
        <f aca="false">IF($K4018="Expected",$P4018,0)</f>
        <v>0</v>
      </c>
      <c r="V4018" s="64" t="n">
        <f aca="false">IF($K4018="Better",$P4018,0)</f>
        <v>0</v>
      </c>
      <c r="W4018" s="64" t="n">
        <f aca="false">IF($K4018="U – needs rule",$P4018,0)</f>
        <v>0</v>
      </c>
      <c r="X4018" s="64" t="n">
        <f aca="false">IF($K4018="No Start (attainment only)",$P4018,0)</f>
        <v>0</v>
      </c>
    </row>
    <row r="4019" customFormat="false" ht="15" hidden="false" customHeight="false" outlineLevel="0" collapsed="false">
      <c r="A4019" s="60"/>
      <c r="B4019" s="61" t="str">
        <f aca="false">IF($M4019=0,"",INDEX(Classes!$E$6:$E$420,$M4019))</f>
        <v/>
      </c>
      <c r="C4019" s="62" t="str">
        <f aca="false">IF($M4019=0,"",INDEX(Classes!$H$6:$H$420,$M4019))</f>
        <v/>
      </c>
      <c r="D4019" s="61" t="str">
        <f aca="false">IF($M4019=0,"",INDEX(Classes!$B$6:$B$420,$M4019))</f>
        <v/>
      </c>
      <c r="E4019" s="61" t="str">
        <f aca="false">IF($M4019=0,"",INDEX(Classes!$C$6:$C$420,$M4019))</f>
        <v/>
      </c>
      <c r="F4019" s="63"/>
      <c r="G4019" s="63"/>
      <c r="H4019" s="60"/>
      <c r="I4019" s="60"/>
      <c r="J4019" s="63"/>
      <c r="K4019" s="61" t="str">
        <f aca="false">IF($P4019=0,"",IF($F4019="Baseline","— Baseline",IF($O4019=0,"No result",IF($N4019=0,"No Start (attainment only)",IF(OR($N4019=1,$O4019=1),"U – needs rule",INDEX(MxBody,MATCH($I4019,MxCurr,0),MATCH($H4019,MxStart,0)))))))</f>
        <v/>
      </c>
      <c r="L4019" s="62" t="str">
        <f aca="false">IF(COUNTA($A4019,$F4019,$G4019,$H4019,$I4019,$J4019)=0,"",IF($M4019=0,"✖ كود الصف غير موجود",IF(ISNA(MATCH($F4019,Lists!$A$2:$A$5,0)),"✖ الفترة غير صحيحة",IF(ISNA(MATCH($G4019,Lists!$B$2:$B$7,0)),"✖ المجموعة غير صحيحة",IF(NOT(OR($H4019="",$N4019&gt;0)),"✖ Start غير صحيح",IF(NOT(OR($I4019="",$I4019="NR",$O4019&gt;0)),"✖ Current غير صحيح",IF(NOT(IF(ISNUMBER($J4019),AND($J4019&gt;=0,$J4019=INT($J4019)),FALSE())),"✖ العدد يجب أن يكون صحيحًا ≥ 0",IF(AND($F4019="Baseline",$H4019&lt;&gt;""),"⚠ Baseline: Start لا يدخل في التقدم",IF($K4019="No Start (attainment only)","ℹ تحصيل فقط (بدون Start)",IF($K4019="U – needs rule","ℹ حالة U تحتاج قاعدة معتمدة",IF($K4019="No result","ℹ بدون نتيجة (يُستبعد من التحصيل)","OK")))))))))))</f>
        <v/>
      </c>
      <c r="M4019" s="64" t="n">
        <f aca="false">IF($A4019="",0,IFERROR(MATCH($A4019,Classes!$A$6:$A$420,0),0))</f>
        <v>0</v>
      </c>
      <c r="N4019" s="64" t="n">
        <f aca="false">IF($H4019="",0,IFERROR(MATCH($H4019,GradeList,0),0))</f>
        <v>0</v>
      </c>
      <c r="O4019" s="64" t="n">
        <f aca="false">IF(OR($I4019="",$I4019="NR"),0,IFERROR(MATCH($I4019,GradeList,0),0))</f>
        <v>0</v>
      </c>
      <c r="P4019" s="64" t="n">
        <f aca="false">IF(AND($M4019&gt;0,ISNUMBER(MATCH($F4019,Lists!$A$2:$A$5,0)),ISNUMBER(MATCH($G4019,Lists!$B$2:$B$7,0)),OR($H4019="",$N4019&gt;0),OR($I4019="",$I4019="NR",$O4019&gt;0),IF(ISNUMBER($J4019),AND($J4019&gt;=0,$J4019=INT($J4019)),FALSE())),$J4019,0)</f>
        <v>0</v>
      </c>
      <c r="Q4019" s="64" t="n">
        <f aca="false">IF(AND($P4019&gt;0,$O4019&gt;0),$P4019,0)</f>
        <v>0</v>
      </c>
      <c r="R4019" s="64" t="n">
        <f aca="false">IF(AND($Q4019&gt;0,$O4019&gt;=AtRank),$Q4019,0)</f>
        <v>0</v>
      </c>
      <c r="S4019" s="64" t="n">
        <f aca="false">IF(AND($Q4019&gt;0,$O4019&gt;=AboveRank),$Q4019,0)</f>
        <v>0</v>
      </c>
      <c r="T4019" s="64" t="n">
        <f aca="false">IF($K4019="Less",$P4019,0)</f>
        <v>0</v>
      </c>
      <c r="U4019" s="64" t="n">
        <f aca="false">IF($K4019="Expected",$P4019,0)</f>
        <v>0</v>
      </c>
      <c r="V4019" s="64" t="n">
        <f aca="false">IF($K4019="Better",$P4019,0)</f>
        <v>0</v>
      </c>
      <c r="W4019" s="64" t="n">
        <f aca="false">IF($K4019="U – needs rule",$P4019,0)</f>
        <v>0</v>
      </c>
      <c r="X4019" s="64" t="n">
        <f aca="false">IF($K4019="No Start (attainment only)",$P4019,0)</f>
        <v>0</v>
      </c>
    </row>
    <row r="4020" customFormat="false" ht="15" hidden="false" customHeight="false" outlineLevel="0" collapsed="false">
      <c r="A4020" s="60"/>
      <c r="B4020" s="61" t="str">
        <f aca="false">IF($M4020=0,"",INDEX(Classes!$E$6:$E$420,$M4020))</f>
        <v/>
      </c>
      <c r="C4020" s="62" t="str">
        <f aca="false">IF($M4020=0,"",INDEX(Classes!$H$6:$H$420,$M4020))</f>
        <v/>
      </c>
      <c r="D4020" s="61" t="str">
        <f aca="false">IF($M4020=0,"",INDEX(Classes!$B$6:$B$420,$M4020))</f>
        <v/>
      </c>
      <c r="E4020" s="61" t="str">
        <f aca="false">IF($M4020=0,"",INDEX(Classes!$C$6:$C$420,$M4020))</f>
        <v/>
      </c>
      <c r="F4020" s="63"/>
      <c r="G4020" s="63"/>
      <c r="H4020" s="60"/>
      <c r="I4020" s="60"/>
      <c r="J4020" s="63"/>
      <c r="K4020" s="61" t="str">
        <f aca="false">IF($P4020=0,"",IF($F4020="Baseline","— Baseline",IF($O4020=0,"No result",IF($N4020=0,"No Start (attainment only)",IF(OR($N4020=1,$O4020=1),"U – needs rule",INDEX(MxBody,MATCH($I4020,MxCurr,0),MATCH($H4020,MxStart,0)))))))</f>
        <v/>
      </c>
      <c r="L4020" s="62" t="str">
        <f aca="false">IF(COUNTA($A4020,$F4020,$G4020,$H4020,$I4020,$J4020)=0,"",IF($M4020=0,"✖ كود الصف غير موجود",IF(ISNA(MATCH($F4020,Lists!$A$2:$A$5,0)),"✖ الفترة غير صحيحة",IF(ISNA(MATCH($G4020,Lists!$B$2:$B$7,0)),"✖ المجموعة غير صحيحة",IF(NOT(OR($H4020="",$N4020&gt;0)),"✖ Start غير صحيح",IF(NOT(OR($I4020="",$I4020="NR",$O4020&gt;0)),"✖ Current غير صحيح",IF(NOT(IF(ISNUMBER($J4020),AND($J4020&gt;=0,$J4020=INT($J4020)),FALSE())),"✖ العدد يجب أن يكون صحيحًا ≥ 0",IF(AND($F4020="Baseline",$H4020&lt;&gt;""),"⚠ Baseline: Start لا يدخل في التقدم",IF($K4020="No Start (attainment only)","ℹ تحصيل فقط (بدون Start)",IF($K4020="U – needs rule","ℹ حالة U تحتاج قاعدة معتمدة",IF($K4020="No result","ℹ بدون نتيجة (يُستبعد من التحصيل)","OK")))))))))))</f>
        <v/>
      </c>
      <c r="M4020" s="64" t="n">
        <f aca="false">IF($A4020="",0,IFERROR(MATCH($A4020,Classes!$A$6:$A$420,0),0))</f>
        <v>0</v>
      </c>
      <c r="N4020" s="64" t="n">
        <f aca="false">IF($H4020="",0,IFERROR(MATCH($H4020,GradeList,0),0))</f>
        <v>0</v>
      </c>
      <c r="O4020" s="64" t="n">
        <f aca="false">IF(OR($I4020="",$I4020="NR"),0,IFERROR(MATCH($I4020,GradeList,0),0))</f>
        <v>0</v>
      </c>
      <c r="P4020" s="64" t="n">
        <f aca="false">IF(AND($M4020&gt;0,ISNUMBER(MATCH($F4020,Lists!$A$2:$A$5,0)),ISNUMBER(MATCH($G4020,Lists!$B$2:$B$7,0)),OR($H4020="",$N4020&gt;0),OR($I4020="",$I4020="NR",$O4020&gt;0),IF(ISNUMBER($J4020),AND($J4020&gt;=0,$J4020=INT($J4020)),FALSE())),$J4020,0)</f>
        <v>0</v>
      </c>
      <c r="Q4020" s="64" t="n">
        <f aca="false">IF(AND($P4020&gt;0,$O4020&gt;0),$P4020,0)</f>
        <v>0</v>
      </c>
      <c r="R4020" s="64" t="n">
        <f aca="false">IF(AND($Q4020&gt;0,$O4020&gt;=AtRank),$Q4020,0)</f>
        <v>0</v>
      </c>
      <c r="S4020" s="64" t="n">
        <f aca="false">IF(AND($Q4020&gt;0,$O4020&gt;=AboveRank),$Q4020,0)</f>
        <v>0</v>
      </c>
      <c r="T4020" s="64" t="n">
        <f aca="false">IF($K4020="Less",$P4020,0)</f>
        <v>0</v>
      </c>
      <c r="U4020" s="64" t="n">
        <f aca="false">IF($K4020="Expected",$P4020,0)</f>
        <v>0</v>
      </c>
      <c r="V4020" s="64" t="n">
        <f aca="false">IF($K4020="Better",$P4020,0)</f>
        <v>0</v>
      </c>
      <c r="W4020" s="64" t="n">
        <f aca="false">IF($K4020="U – needs rule",$P4020,0)</f>
        <v>0</v>
      </c>
      <c r="X4020" s="64" t="n">
        <f aca="false">IF($K4020="No Start (attainment only)",$P4020,0)</f>
        <v>0</v>
      </c>
    </row>
    <row r="4021" customFormat="false" ht="15" hidden="false" customHeight="false" outlineLevel="0" collapsed="false">
      <c r="A4021" s="60"/>
      <c r="B4021" s="61" t="str">
        <f aca="false">IF($M4021=0,"",INDEX(Classes!$E$6:$E$420,$M4021))</f>
        <v/>
      </c>
      <c r="C4021" s="62" t="str">
        <f aca="false">IF($M4021=0,"",INDEX(Classes!$H$6:$H$420,$M4021))</f>
        <v/>
      </c>
      <c r="D4021" s="61" t="str">
        <f aca="false">IF($M4021=0,"",INDEX(Classes!$B$6:$B$420,$M4021))</f>
        <v/>
      </c>
      <c r="E4021" s="61" t="str">
        <f aca="false">IF($M4021=0,"",INDEX(Classes!$C$6:$C$420,$M4021))</f>
        <v/>
      </c>
      <c r="F4021" s="63"/>
      <c r="G4021" s="63"/>
      <c r="H4021" s="60"/>
      <c r="I4021" s="60"/>
      <c r="J4021" s="63"/>
      <c r="K4021" s="61" t="str">
        <f aca="false">IF($P4021=0,"",IF($F4021="Baseline","— Baseline",IF($O4021=0,"No result",IF($N4021=0,"No Start (attainment only)",IF(OR($N4021=1,$O4021=1),"U – needs rule",INDEX(MxBody,MATCH($I4021,MxCurr,0),MATCH($H4021,MxStart,0)))))))</f>
        <v/>
      </c>
      <c r="L4021" s="62" t="str">
        <f aca="false">IF(COUNTA($A4021,$F4021,$G4021,$H4021,$I4021,$J4021)=0,"",IF($M4021=0,"✖ كود الصف غير موجود",IF(ISNA(MATCH($F4021,Lists!$A$2:$A$5,0)),"✖ الفترة غير صحيحة",IF(ISNA(MATCH($G4021,Lists!$B$2:$B$7,0)),"✖ المجموعة غير صحيحة",IF(NOT(OR($H4021="",$N4021&gt;0)),"✖ Start غير صحيح",IF(NOT(OR($I4021="",$I4021="NR",$O4021&gt;0)),"✖ Current غير صحيح",IF(NOT(IF(ISNUMBER($J4021),AND($J4021&gt;=0,$J4021=INT($J4021)),FALSE())),"✖ العدد يجب أن يكون صحيحًا ≥ 0",IF(AND($F4021="Baseline",$H4021&lt;&gt;""),"⚠ Baseline: Start لا يدخل في التقدم",IF($K4021="No Start (attainment only)","ℹ تحصيل فقط (بدون Start)",IF($K4021="U – needs rule","ℹ حالة U تحتاج قاعدة معتمدة",IF($K4021="No result","ℹ بدون نتيجة (يُستبعد من التحصيل)","OK")))))))))))</f>
        <v/>
      </c>
      <c r="M4021" s="64" t="n">
        <f aca="false">IF($A4021="",0,IFERROR(MATCH($A4021,Classes!$A$6:$A$420,0),0))</f>
        <v>0</v>
      </c>
      <c r="N4021" s="64" t="n">
        <f aca="false">IF($H4021="",0,IFERROR(MATCH($H4021,GradeList,0),0))</f>
        <v>0</v>
      </c>
      <c r="O4021" s="64" t="n">
        <f aca="false">IF(OR($I4021="",$I4021="NR"),0,IFERROR(MATCH($I4021,GradeList,0),0))</f>
        <v>0</v>
      </c>
      <c r="P4021" s="64" t="n">
        <f aca="false">IF(AND($M4021&gt;0,ISNUMBER(MATCH($F4021,Lists!$A$2:$A$5,0)),ISNUMBER(MATCH($G4021,Lists!$B$2:$B$7,0)),OR($H4021="",$N4021&gt;0),OR($I4021="",$I4021="NR",$O4021&gt;0),IF(ISNUMBER($J4021),AND($J4021&gt;=0,$J4021=INT($J4021)),FALSE())),$J4021,0)</f>
        <v>0</v>
      </c>
      <c r="Q4021" s="64" t="n">
        <f aca="false">IF(AND($P4021&gt;0,$O4021&gt;0),$P4021,0)</f>
        <v>0</v>
      </c>
      <c r="R4021" s="64" t="n">
        <f aca="false">IF(AND($Q4021&gt;0,$O4021&gt;=AtRank),$Q4021,0)</f>
        <v>0</v>
      </c>
      <c r="S4021" s="64" t="n">
        <f aca="false">IF(AND($Q4021&gt;0,$O4021&gt;=AboveRank),$Q4021,0)</f>
        <v>0</v>
      </c>
      <c r="T4021" s="64" t="n">
        <f aca="false">IF($K4021="Less",$P4021,0)</f>
        <v>0</v>
      </c>
      <c r="U4021" s="64" t="n">
        <f aca="false">IF($K4021="Expected",$P4021,0)</f>
        <v>0</v>
      </c>
      <c r="V4021" s="64" t="n">
        <f aca="false">IF($K4021="Better",$P4021,0)</f>
        <v>0</v>
      </c>
      <c r="W4021" s="64" t="n">
        <f aca="false">IF($K4021="U – needs rule",$P4021,0)</f>
        <v>0</v>
      </c>
      <c r="X4021" s="64" t="n">
        <f aca="false">IF($K4021="No Start (attainment only)",$P4021,0)</f>
        <v>0</v>
      </c>
    </row>
    <row r="4022" customFormat="false" ht="15" hidden="false" customHeight="false" outlineLevel="0" collapsed="false">
      <c r="A4022" s="60"/>
      <c r="B4022" s="61" t="str">
        <f aca="false">IF($M4022=0,"",INDEX(Classes!$E$6:$E$420,$M4022))</f>
        <v/>
      </c>
      <c r="C4022" s="62" t="str">
        <f aca="false">IF($M4022=0,"",INDEX(Classes!$H$6:$H$420,$M4022))</f>
        <v/>
      </c>
      <c r="D4022" s="61" t="str">
        <f aca="false">IF($M4022=0,"",INDEX(Classes!$B$6:$B$420,$M4022))</f>
        <v/>
      </c>
      <c r="E4022" s="61" t="str">
        <f aca="false">IF($M4022=0,"",INDEX(Classes!$C$6:$C$420,$M4022))</f>
        <v/>
      </c>
      <c r="F4022" s="63"/>
      <c r="G4022" s="63"/>
      <c r="H4022" s="60"/>
      <c r="I4022" s="60"/>
      <c r="J4022" s="63"/>
      <c r="K4022" s="61" t="str">
        <f aca="false">IF($P4022=0,"",IF($F4022="Baseline","— Baseline",IF($O4022=0,"No result",IF($N4022=0,"No Start (attainment only)",IF(OR($N4022=1,$O4022=1),"U – needs rule",INDEX(MxBody,MATCH($I4022,MxCurr,0),MATCH($H4022,MxStart,0)))))))</f>
        <v/>
      </c>
      <c r="L4022" s="62" t="str">
        <f aca="false">IF(COUNTA($A4022,$F4022,$G4022,$H4022,$I4022,$J4022)=0,"",IF($M4022=0,"✖ كود الصف غير موجود",IF(ISNA(MATCH($F4022,Lists!$A$2:$A$5,0)),"✖ الفترة غير صحيحة",IF(ISNA(MATCH($G4022,Lists!$B$2:$B$7,0)),"✖ المجموعة غير صحيحة",IF(NOT(OR($H4022="",$N4022&gt;0)),"✖ Start غير صحيح",IF(NOT(OR($I4022="",$I4022="NR",$O4022&gt;0)),"✖ Current غير صحيح",IF(NOT(IF(ISNUMBER($J4022),AND($J4022&gt;=0,$J4022=INT($J4022)),FALSE())),"✖ العدد يجب أن يكون صحيحًا ≥ 0",IF(AND($F4022="Baseline",$H4022&lt;&gt;""),"⚠ Baseline: Start لا يدخل في التقدم",IF($K4022="No Start (attainment only)","ℹ تحصيل فقط (بدون Start)",IF($K4022="U – needs rule","ℹ حالة U تحتاج قاعدة معتمدة",IF($K4022="No result","ℹ بدون نتيجة (يُستبعد من التحصيل)","OK")))))))))))</f>
        <v/>
      </c>
      <c r="M4022" s="64" t="n">
        <f aca="false">IF($A4022="",0,IFERROR(MATCH($A4022,Classes!$A$6:$A$420,0),0))</f>
        <v>0</v>
      </c>
      <c r="N4022" s="64" t="n">
        <f aca="false">IF($H4022="",0,IFERROR(MATCH($H4022,GradeList,0),0))</f>
        <v>0</v>
      </c>
      <c r="O4022" s="64" t="n">
        <f aca="false">IF(OR($I4022="",$I4022="NR"),0,IFERROR(MATCH($I4022,GradeList,0),0))</f>
        <v>0</v>
      </c>
      <c r="P4022" s="64" t="n">
        <f aca="false">IF(AND($M4022&gt;0,ISNUMBER(MATCH($F4022,Lists!$A$2:$A$5,0)),ISNUMBER(MATCH($G4022,Lists!$B$2:$B$7,0)),OR($H4022="",$N4022&gt;0),OR($I4022="",$I4022="NR",$O4022&gt;0),IF(ISNUMBER($J4022),AND($J4022&gt;=0,$J4022=INT($J4022)),FALSE())),$J4022,0)</f>
        <v>0</v>
      </c>
      <c r="Q4022" s="64" t="n">
        <f aca="false">IF(AND($P4022&gt;0,$O4022&gt;0),$P4022,0)</f>
        <v>0</v>
      </c>
      <c r="R4022" s="64" t="n">
        <f aca="false">IF(AND($Q4022&gt;0,$O4022&gt;=AtRank),$Q4022,0)</f>
        <v>0</v>
      </c>
      <c r="S4022" s="64" t="n">
        <f aca="false">IF(AND($Q4022&gt;0,$O4022&gt;=AboveRank),$Q4022,0)</f>
        <v>0</v>
      </c>
      <c r="T4022" s="64" t="n">
        <f aca="false">IF($K4022="Less",$P4022,0)</f>
        <v>0</v>
      </c>
      <c r="U4022" s="64" t="n">
        <f aca="false">IF($K4022="Expected",$P4022,0)</f>
        <v>0</v>
      </c>
      <c r="V4022" s="64" t="n">
        <f aca="false">IF($K4022="Better",$P4022,0)</f>
        <v>0</v>
      </c>
      <c r="W4022" s="64" t="n">
        <f aca="false">IF($K4022="U – needs rule",$P4022,0)</f>
        <v>0</v>
      </c>
      <c r="X4022" s="64" t="n">
        <f aca="false">IF($K4022="No Start (attainment only)",$P4022,0)</f>
        <v>0</v>
      </c>
    </row>
    <row r="4023" customFormat="false" ht="15" hidden="false" customHeight="false" outlineLevel="0" collapsed="false">
      <c r="A4023" s="60"/>
      <c r="B4023" s="61" t="str">
        <f aca="false">IF($M4023=0,"",INDEX(Classes!$E$6:$E$420,$M4023))</f>
        <v/>
      </c>
      <c r="C4023" s="62" t="str">
        <f aca="false">IF($M4023=0,"",INDEX(Classes!$H$6:$H$420,$M4023))</f>
        <v/>
      </c>
      <c r="D4023" s="61" t="str">
        <f aca="false">IF($M4023=0,"",INDEX(Classes!$B$6:$B$420,$M4023))</f>
        <v/>
      </c>
      <c r="E4023" s="61" t="str">
        <f aca="false">IF($M4023=0,"",INDEX(Classes!$C$6:$C$420,$M4023))</f>
        <v/>
      </c>
      <c r="F4023" s="63"/>
      <c r="G4023" s="63"/>
      <c r="H4023" s="60"/>
      <c r="I4023" s="60"/>
      <c r="J4023" s="63"/>
      <c r="K4023" s="61" t="str">
        <f aca="false">IF($P4023=0,"",IF($F4023="Baseline","— Baseline",IF($O4023=0,"No result",IF($N4023=0,"No Start (attainment only)",IF(OR($N4023=1,$O4023=1),"U – needs rule",INDEX(MxBody,MATCH($I4023,MxCurr,0),MATCH($H4023,MxStart,0)))))))</f>
        <v/>
      </c>
      <c r="L4023" s="62" t="str">
        <f aca="false">IF(COUNTA($A4023,$F4023,$G4023,$H4023,$I4023,$J4023)=0,"",IF($M4023=0,"✖ كود الصف غير موجود",IF(ISNA(MATCH($F4023,Lists!$A$2:$A$5,0)),"✖ الفترة غير صحيحة",IF(ISNA(MATCH($G4023,Lists!$B$2:$B$7,0)),"✖ المجموعة غير صحيحة",IF(NOT(OR($H4023="",$N4023&gt;0)),"✖ Start غير صحيح",IF(NOT(OR($I4023="",$I4023="NR",$O4023&gt;0)),"✖ Current غير صحيح",IF(NOT(IF(ISNUMBER($J4023),AND($J4023&gt;=0,$J4023=INT($J4023)),FALSE())),"✖ العدد يجب أن يكون صحيحًا ≥ 0",IF(AND($F4023="Baseline",$H4023&lt;&gt;""),"⚠ Baseline: Start لا يدخل في التقدم",IF($K4023="No Start (attainment only)","ℹ تحصيل فقط (بدون Start)",IF($K4023="U – needs rule","ℹ حالة U تحتاج قاعدة معتمدة",IF($K4023="No result","ℹ بدون نتيجة (يُستبعد من التحصيل)","OK")))))))))))</f>
        <v/>
      </c>
      <c r="M4023" s="64" t="n">
        <f aca="false">IF($A4023="",0,IFERROR(MATCH($A4023,Classes!$A$6:$A$420,0),0))</f>
        <v>0</v>
      </c>
      <c r="N4023" s="64" t="n">
        <f aca="false">IF($H4023="",0,IFERROR(MATCH($H4023,GradeList,0),0))</f>
        <v>0</v>
      </c>
      <c r="O4023" s="64" t="n">
        <f aca="false">IF(OR($I4023="",$I4023="NR"),0,IFERROR(MATCH($I4023,GradeList,0),0))</f>
        <v>0</v>
      </c>
      <c r="P4023" s="64" t="n">
        <f aca="false">IF(AND($M4023&gt;0,ISNUMBER(MATCH($F4023,Lists!$A$2:$A$5,0)),ISNUMBER(MATCH($G4023,Lists!$B$2:$B$7,0)),OR($H4023="",$N4023&gt;0),OR($I4023="",$I4023="NR",$O4023&gt;0),IF(ISNUMBER($J4023),AND($J4023&gt;=0,$J4023=INT($J4023)),FALSE())),$J4023,0)</f>
        <v>0</v>
      </c>
      <c r="Q4023" s="64" t="n">
        <f aca="false">IF(AND($P4023&gt;0,$O4023&gt;0),$P4023,0)</f>
        <v>0</v>
      </c>
      <c r="R4023" s="64" t="n">
        <f aca="false">IF(AND($Q4023&gt;0,$O4023&gt;=AtRank),$Q4023,0)</f>
        <v>0</v>
      </c>
      <c r="S4023" s="64" t="n">
        <f aca="false">IF(AND($Q4023&gt;0,$O4023&gt;=AboveRank),$Q4023,0)</f>
        <v>0</v>
      </c>
      <c r="T4023" s="64" t="n">
        <f aca="false">IF($K4023="Less",$P4023,0)</f>
        <v>0</v>
      </c>
      <c r="U4023" s="64" t="n">
        <f aca="false">IF($K4023="Expected",$P4023,0)</f>
        <v>0</v>
      </c>
      <c r="V4023" s="64" t="n">
        <f aca="false">IF($K4023="Better",$P4023,0)</f>
        <v>0</v>
      </c>
      <c r="W4023" s="64" t="n">
        <f aca="false">IF($K4023="U – needs rule",$P4023,0)</f>
        <v>0</v>
      </c>
      <c r="X4023" s="64" t="n">
        <f aca="false">IF($K4023="No Start (attainment only)",$P4023,0)</f>
        <v>0</v>
      </c>
    </row>
    <row r="4024" customFormat="false" ht="15" hidden="false" customHeight="false" outlineLevel="0" collapsed="false">
      <c r="A4024" s="60"/>
      <c r="B4024" s="61" t="str">
        <f aca="false">IF($M4024=0,"",INDEX(Classes!$E$6:$E$420,$M4024))</f>
        <v/>
      </c>
      <c r="C4024" s="62" t="str">
        <f aca="false">IF($M4024=0,"",INDEX(Classes!$H$6:$H$420,$M4024))</f>
        <v/>
      </c>
      <c r="D4024" s="61" t="str">
        <f aca="false">IF($M4024=0,"",INDEX(Classes!$B$6:$B$420,$M4024))</f>
        <v/>
      </c>
      <c r="E4024" s="61" t="str">
        <f aca="false">IF($M4024=0,"",INDEX(Classes!$C$6:$C$420,$M4024))</f>
        <v/>
      </c>
      <c r="F4024" s="63"/>
      <c r="G4024" s="63"/>
      <c r="H4024" s="60"/>
      <c r="I4024" s="60"/>
      <c r="J4024" s="63"/>
      <c r="K4024" s="61" t="str">
        <f aca="false">IF($P4024=0,"",IF($F4024="Baseline","— Baseline",IF($O4024=0,"No result",IF($N4024=0,"No Start (attainment only)",IF(OR($N4024=1,$O4024=1),"U – needs rule",INDEX(MxBody,MATCH($I4024,MxCurr,0),MATCH($H4024,MxStart,0)))))))</f>
        <v/>
      </c>
      <c r="L4024" s="62" t="str">
        <f aca="false">IF(COUNTA($A4024,$F4024,$G4024,$H4024,$I4024,$J4024)=0,"",IF($M4024=0,"✖ كود الصف غير موجود",IF(ISNA(MATCH($F4024,Lists!$A$2:$A$5,0)),"✖ الفترة غير صحيحة",IF(ISNA(MATCH($G4024,Lists!$B$2:$B$7,0)),"✖ المجموعة غير صحيحة",IF(NOT(OR($H4024="",$N4024&gt;0)),"✖ Start غير صحيح",IF(NOT(OR($I4024="",$I4024="NR",$O4024&gt;0)),"✖ Current غير صحيح",IF(NOT(IF(ISNUMBER($J4024),AND($J4024&gt;=0,$J4024=INT($J4024)),FALSE())),"✖ العدد يجب أن يكون صحيحًا ≥ 0",IF(AND($F4024="Baseline",$H4024&lt;&gt;""),"⚠ Baseline: Start لا يدخل في التقدم",IF($K4024="No Start (attainment only)","ℹ تحصيل فقط (بدون Start)",IF($K4024="U – needs rule","ℹ حالة U تحتاج قاعدة معتمدة",IF($K4024="No result","ℹ بدون نتيجة (يُستبعد من التحصيل)","OK")))))))))))</f>
        <v/>
      </c>
      <c r="M4024" s="64" t="n">
        <f aca="false">IF($A4024="",0,IFERROR(MATCH($A4024,Classes!$A$6:$A$420,0),0))</f>
        <v>0</v>
      </c>
      <c r="N4024" s="64" t="n">
        <f aca="false">IF($H4024="",0,IFERROR(MATCH($H4024,GradeList,0),0))</f>
        <v>0</v>
      </c>
      <c r="O4024" s="64" t="n">
        <f aca="false">IF(OR($I4024="",$I4024="NR"),0,IFERROR(MATCH($I4024,GradeList,0),0))</f>
        <v>0</v>
      </c>
      <c r="P4024" s="64" t="n">
        <f aca="false">IF(AND($M4024&gt;0,ISNUMBER(MATCH($F4024,Lists!$A$2:$A$5,0)),ISNUMBER(MATCH($G4024,Lists!$B$2:$B$7,0)),OR($H4024="",$N4024&gt;0),OR($I4024="",$I4024="NR",$O4024&gt;0),IF(ISNUMBER($J4024),AND($J4024&gt;=0,$J4024=INT($J4024)),FALSE())),$J4024,0)</f>
        <v>0</v>
      </c>
      <c r="Q4024" s="64" t="n">
        <f aca="false">IF(AND($P4024&gt;0,$O4024&gt;0),$P4024,0)</f>
        <v>0</v>
      </c>
      <c r="R4024" s="64" t="n">
        <f aca="false">IF(AND($Q4024&gt;0,$O4024&gt;=AtRank),$Q4024,0)</f>
        <v>0</v>
      </c>
      <c r="S4024" s="64" t="n">
        <f aca="false">IF(AND($Q4024&gt;0,$O4024&gt;=AboveRank),$Q4024,0)</f>
        <v>0</v>
      </c>
      <c r="T4024" s="64" t="n">
        <f aca="false">IF($K4024="Less",$P4024,0)</f>
        <v>0</v>
      </c>
      <c r="U4024" s="64" t="n">
        <f aca="false">IF($K4024="Expected",$P4024,0)</f>
        <v>0</v>
      </c>
      <c r="V4024" s="64" t="n">
        <f aca="false">IF($K4024="Better",$P4024,0)</f>
        <v>0</v>
      </c>
      <c r="W4024" s="64" t="n">
        <f aca="false">IF($K4024="U – needs rule",$P4024,0)</f>
        <v>0</v>
      </c>
      <c r="X4024" s="64" t="n">
        <f aca="false">IF($K4024="No Start (attainment only)",$P4024,0)</f>
        <v>0</v>
      </c>
    </row>
    <row r="4025" customFormat="false" ht="15" hidden="false" customHeight="false" outlineLevel="0" collapsed="false">
      <c r="A4025" s="60"/>
      <c r="B4025" s="61" t="str">
        <f aca="false">IF($M4025=0,"",INDEX(Classes!$E$6:$E$420,$M4025))</f>
        <v/>
      </c>
      <c r="C4025" s="62" t="str">
        <f aca="false">IF($M4025=0,"",INDEX(Classes!$H$6:$H$420,$M4025))</f>
        <v/>
      </c>
      <c r="D4025" s="61" t="str">
        <f aca="false">IF($M4025=0,"",INDEX(Classes!$B$6:$B$420,$M4025))</f>
        <v/>
      </c>
      <c r="E4025" s="61" t="str">
        <f aca="false">IF($M4025=0,"",INDEX(Classes!$C$6:$C$420,$M4025))</f>
        <v/>
      </c>
      <c r="F4025" s="63"/>
      <c r="G4025" s="63"/>
      <c r="H4025" s="60"/>
      <c r="I4025" s="60"/>
      <c r="J4025" s="63"/>
      <c r="K4025" s="61" t="str">
        <f aca="false">IF($P4025=0,"",IF($F4025="Baseline","— Baseline",IF($O4025=0,"No result",IF($N4025=0,"No Start (attainment only)",IF(OR($N4025=1,$O4025=1),"U – needs rule",INDEX(MxBody,MATCH($I4025,MxCurr,0),MATCH($H4025,MxStart,0)))))))</f>
        <v/>
      </c>
      <c r="L4025" s="62" t="str">
        <f aca="false">IF(COUNTA($A4025,$F4025,$G4025,$H4025,$I4025,$J4025)=0,"",IF($M4025=0,"✖ كود الصف غير موجود",IF(ISNA(MATCH($F4025,Lists!$A$2:$A$5,0)),"✖ الفترة غير صحيحة",IF(ISNA(MATCH($G4025,Lists!$B$2:$B$7,0)),"✖ المجموعة غير صحيحة",IF(NOT(OR($H4025="",$N4025&gt;0)),"✖ Start غير صحيح",IF(NOT(OR($I4025="",$I4025="NR",$O4025&gt;0)),"✖ Current غير صحيح",IF(NOT(IF(ISNUMBER($J4025),AND($J4025&gt;=0,$J4025=INT($J4025)),FALSE())),"✖ العدد يجب أن يكون صحيحًا ≥ 0",IF(AND($F4025="Baseline",$H4025&lt;&gt;""),"⚠ Baseline: Start لا يدخل في التقدم",IF($K4025="No Start (attainment only)","ℹ تحصيل فقط (بدون Start)",IF($K4025="U – needs rule","ℹ حالة U تحتاج قاعدة معتمدة",IF($K4025="No result","ℹ بدون نتيجة (يُستبعد من التحصيل)","OK")))))))))))</f>
        <v/>
      </c>
      <c r="M4025" s="64" t="n">
        <f aca="false">IF($A4025="",0,IFERROR(MATCH($A4025,Classes!$A$6:$A$420,0),0))</f>
        <v>0</v>
      </c>
      <c r="N4025" s="64" t="n">
        <f aca="false">IF($H4025="",0,IFERROR(MATCH($H4025,GradeList,0),0))</f>
        <v>0</v>
      </c>
      <c r="O4025" s="64" t="n">
        <f aca="false">IF(OR($I4025="",$I4025="NR"),0,IFERROR(MATCH($I4025,GradeList,0),0))</f>
        <v>0</v>
      </c>
      <c r="P4025" s="64" t="n">
        <f aca="false">IF(AND($M4025&gt;0,ISNUMBER(MATCH($F4025,Lists!$A$2:$A$5,0)),ISNUMBER(MATCH($G4025,Lists!$B$2:$B$7,0)),OR($H4025="",$N4025&gt;0),OR($I4025="",$I4025="NR",$O4025&gt;0),IF(ISNUMBER($J4025),AND($J4025&gt;=0,$J4025=INT($J4025)),FALSE())),$J4025,0)</f>
        <v>0</v>
      </c>
      <c r="Q4025" s="64" t="n">
        <f aca="false">IF(AND($P4025&gt;0,$O4025&gt;0),$P4025,0)</f>
        <v>0</v>
      </c>
      <c r="R4025" s="64" t="n">
        <f aca="false">IF(AND($Q4025&gt;0,$O4025&gt;=AtRank),$Q4025,0)</f>
        <v>0</v>
      </c>
      <c r="S4025" s="64" t="n">
        <f aca="false">IF(AND($Q4025&gt;0,$O4025&gt;=AboveRank),$Q4025,0)</f>
        <v>0</v>
      </c>
      <c r="T4025" s="64" t="n">
        <f aca="false">IF($K4025="Less",$P4025,0)</f>
        <v>0</v>
      </c>
      <c r="U4025" s="64" t="n">
        <f aca="false">IF($K4025="Expected",$P4025,0)</f>
        <v>0</v>
      </c>
      <c r="V4025" s="64" t="n">
        <f aca="false">IF($K4025="Better",$P4025,0)</f>
        <v>0</v>
      </c>
      <c r="W4025" s="64" t="n">
        <f aca="false">IF($K4025="U – needs rule",$P4025,0)</f>
        <v>0</v>
      </c>
      <c r="X4025" s="64" t="n">
        <f aca="false">IF($K4025="No Start (attainment only)",$P4025,0)</f>
        <v>0</v>
      </c>
    </row>
    <row r="4026" customFormat="false" ht="15" hidden="false" customHeight="false" outlineLevel="0" collapsed="false">
      <c r="A4026" s="60"/>
      <c r="B4026" s="61" t="str">
        <f aca="false">IF($M4026=0,"",INDEX(Classes!$E$6:$E$420,$M4026))</f>
        <v/>
      </c>
      <c r="C4026" s="62" t="str">
        <f aca="false">IF($M4026=0,"",INDEX(Classes!$H$6:$H$420,$M4026))</f>
        <v/>
      </c>
      <c r="D4026" s="61" t="str">
        <f aca="false">IF($M4026=0,"",INDEX(Classes!$B$6:$B$420,$M4026))</f>
        <v/>
      </c>
      <c r="E4026" s="61" t="str">
        <f aca="false">IF($M4026=0,"",INDEX(Classes!$C$6:$C$420,$M4026))</f>
        <v/>
      </c>
      <c r="F4026" s="63"/>
      <c r="G4026" s="63"/>
      <c r="H4026" s="60"/>
      <c r="I4026" s="60"/>
      <c r="J4026" s="63"/>
      <c r="K4026" s="61" t="str">
        <f aca="false">IF($P4026=0,"",IF($F4026="Baseline","— Baseline",IF($O4026=0,"No result",IF($N4026=0,"No Start (attainment only)",IF(OR($N4026=1,$O4026=1),"U – needs rule",INDEX(MxBody,MATCH($I4026,MxCurr,0),MATCH($H4026,MxStart,0)))))))</f>
        <v/>
      </c>
      <c r="L4026" s="62" t="str">
        <f aca="false">IF(COUNTA($A4026,$F4026,$G4026,$H4026,$I4026,$J4026)=0,"",IF($M4026=0,"✖ كود الصف غير موجود",IF(ISNA(MATCH($F4026,Lists!$A$2:$A$5,0)),"✖ الفترة غير صحيحة",IF(ISNA(MATCH($G4026,Lists!$B$2:$B$7,0)),"✖ المجموعة غير صحيحة",IF(NOT(OR($H4026="",$N4026&gt;0)),"✖ Start غير صحيح",IF(NOT(OR($I4026="",$I4026="NR",$O4026&gt;0)),"✖ Current غير صحيح",IF(NOT(IF(ISNUMBER($J4026),AND($J4026&gt;=0,$J4026=INT($J4026)),FALSE())),"✖ العدد يجب أن يكون صحيحًا ≥ 0",IF(AND($F4026="Baseline",$H4026&lt;&gt;""),"⚠ Baseline: Start لا يدخل في التقدم",IF($K4026="No Start (attainment only)","ℹ تحصيل فقط (بدون Start)",IF($K4026="U – needs rule","ℹ حالة U تحتاج قاعدة معتمدة",IF($K4026="No result","ℹ بدون نتيجة (يُستبعد من التحصيل)","OK")))))))))))</f>
        <v/>
      </c>
      <c r="M4026" s="64" t="n">
        <f aca="false">IF($A4026="",0,IFERROR(MATCH($A4026,Classes!$A$6:$A$420,0),0))</f>
        <v>0</v>
      </c>
      <c r="N4026" s="64" t="n">
        <f aca="false">IF($H4026="",0,IFERROR(MATCH($H4026,GradeList,0),0))</f>
        <v>0</v>
      </c>
      <c r="O4026" s="64" t="n">
        <f aca="false">IF(OR($I4026="",$I4026="NR"),0,IFERROR(MATCH($I4026,GradeList,0),0))</f>
        <v>0</v>
      </c>
      <c r="P4026" s="64" t="n">
        <f aca="false">IF(AND($M4026&gt;0,ISNUMBER(MATCH($F4026,Lists!$A$2:$A$5,0)),ISNUMBER(MATCH($G4026,Lists!$B$2:$B$7,0)),OR($H4026="",$N4026&gt;0),OR($I4026="",$I4026="NR",$O4026&gt;0),IF(ISNUMBER($J4026),AND($J4026&gt;=0,$J4026=INT($J4026)),FALSE())),$J4026,0)</f>
        <v>0</v>
      </c>
      <c r="Q4026" s="64" t="n">
        <f aca="false">IF(AND($P4026&gt;0,$O4026&gt;0),$P4026,0)</f>
        <v>0</v>
      </c>
      <c r="R4026" s="64" t="n">
        <f aca="false">IF(AND($Q4026&gt;0,$O4026&gt;=AtRank),$Q4026,0)</f>
        <v>0</v>
      </c>
      <c r="S4026" s="64" t="n">
        <f aca="false">IF(AND($Q4026&gt;0,$O4026&gt;=AboveRank),$Q4026,0)</f>
        <v>0</v>
      </c>
      <c r="T4026" s="64" t="n">
        <f aca="false">IF($K4026="Less",$P4026,0)</f>
        <v>0</v>
      </c>
      <c r="U4026" s="64" t="n">
        <f aca="false">IF($K4026="Expected",$P4026,0)</f>
        <v>0</v>
      </c>
      <c r="V4026" s="64" t="n">
        <f aca="false">IF($K4026="Better",$P4026,0)</f>
        <v>0</v>
      </c>
      <c r="W4026" s="64" t="n">
        <f aca="false">IF($K4026="U – needs rule",$P4026,0)</f>
        <v>0</v>
      </c>
      <c r="X4026" s="64" t="n">
        <f aca="false">IF($K4026="No Start (attainment only)",$P4026,0)</f>
        <v>0</v>
      </c>
    </row>
    <row r="4027" customFormat="false" ht="15" hidden="false" customHeight="false" outlineLevel="0" collapsed="false">
      <c r="A4027" s="60"/>
      <c r="B4027" s="61" t="str">
        <f aca="false">IF($M4027=0,"",INDEX(Classes!$E$6:$E$420,$M4027))</f>
        <v/>
      </c>
      <c r="C4027" s="62" t="str">
        <f aca="false">IF($M4027=0,"",INDEX(Classes!$H$6:$H$420,$M4027))</f>
        <v/>
      </c>
      <c r="D4027" s="61" t="str">
        <f aca="false">IF($M4027=0,"",INDEX(Classes!$B$6:$B$420,$M4027))</f>
        <v/>
      </c>
      <c r="E4027" s="61" t="str">
        <f aca="false">IF($M4027=0,"",INDEX(Classes!$C$6:$C$420,$M4027))</f>
        <v/>
      </c>
      <c r="F4027" s="63"/>
      <c r="G4027" s="63"/>
      <c r="H4027" s="60"/>
      <c r="I4027" s="60"/>
      <c r="J4027" s="63"/>
      <c r="K4027" s="61" t="str">
        <f aca="false">IF($P4027=0,"",IF($F4027="Baseline","— Baseline",IF($O4027=0,"No result",IF($N4027=0,"No Start (attainment only)",IF(OR($N4027=1,$O4027=1),"U – needs rule",INDEX(MxBody,MATCH($I4027,MxCurr,0),MATCH($H4027,MxStart,0)))))))</f>
        <v/>
      </c>
      <c r="L4027" s="62" t="str">
        <f aca="false">IF(COUNTA($A4027,$F4027,$G4027,$H4027,$I4027,$J4027)=0,"",IF($M4027=0,"✖ كود الصف غير موجود",IF(ISNA(MATCH($F4027,Lists!$A$2:$A$5,0)),"✖ الفترة غير صحيحة",IF(ISNA(MATCH($G4027,Lists!$B$2:$B$7,0)),"✖ المجموعة غير صحيحة",IF(NOT(OR($H4027="",$N4027&gt;0)),"✖ Start غير صحيح",IF(NOT(OR($I4027="",$I4027="NR",$O4027&gt;0)),"✖ Current غير صحيح",IF(NOT(IF(ISNUMBER($J4027),AND($J4027&gt;=0,$J4027=INT($J4027)),FALSE())),"✖ العدد يجب أن يكون صحيحًا ≥ 0",IF(AND($F4027="Baseline",$H4027&lt;&gt;""),"⚠ Baseline: Start لا يدخل في التقدم",IF($K4027="No Start (attainment only)","ℹ تحصيل فقط (بدون Start)",IF($K4027="U – needs rule","ℹ حالة U تحتاج قاعدة معتمدة",IF($K4027="No result","ℹ بدون نتيجة (يُستبعد من التحصيل)","OK")))))))))))</f>
        <v/>
      </c>
      <c r="M4027" s="64" t="n">
        <f aca="false">IF($A4027="",0,IFERROR(MATCH($A4027,Classes!$A$6:$A$420,0),0))</f>
        <v>0</v>
      </c>
      <c r="N4027" s="64" t="n">
        <f aca="false">IF($H4027="",0,IFERROR(MATCH($H4027,GradeList,0),0))</f>
        <v>0</v>
      </c>
      <c r="O4027" s="64" t="n">
        <f aca="false">IF(OR($I4027="",$I4027="NR"),0,IFERROR(MATCH($I4027,GradeList,0),0))</f>
        <v>0</v>
      </c>
      <c r="P4027" s="64" t="n">
        <f aca="false">IF(AND($M4027&gt;0,ISNUMBER(MATCH($F4027,Lists!$A$2:$A$5,0)),ISNUMBER(MATCH($G4027,Lists!$B$2:$B$7,0)),OR($H4027="",$N4027&gt;0),OR($I4027="",$I4027="NR",$O4027&gt;0),IF(ISNUMBER($J4027),AND($J4027&gt;=0,$J4027=INT($J4027)),FALSE())),$J4027,0)</f>
        <v>0</v>
      </c>
      <c r="Q4027" s="64" t="n">
        <f aca="false">IF(AND($P4027&gt;0,$O4027&gt;0),$P4027,0)</f>
        <v>0</v>
      </c>
      <c r="R4027" s="64" t="n">
        <f aca="false">IF(AND($Q4027&gt;0,$O4027&gt;=AtRank),$Q4027,0)</f>
        <v>0</v>
      </c>
      <c r="S4027" s="64" t="n">
        <f aca="false">IF(AND($Q4027&gt;0,$O4027&gt;=AboveRank),$Q4027,0)</f>
        <v>0</v>
      </c>
      <c r="T4027" s="64" t="n">
        <f aca="false">IF($K4027="Less",$P4027,0)</f>
        <v>0</v>
      </c>
      <c r="U4027" s="64" t="n">
        <f aca="false">IF($K4027="Expected",$P4027,0)</f>
        <v>0</v>
      </c>
      <c r="V4027" s="64" t="n">
        <f aca="false">IF($K4027="Better",$P4027,0)</f>
        <v>0</v>
      </c>
      <c r="W4027" s="64" t="n">
        <f aca="false">IF($K4027="U – needs rule",$P4027,0)</f>
        <v>0</v>
      </c>
      <c r="X4027" s="64" t="n">
        <f aca="false">IF($K4027="No Start (attainment only)",$P4027,0)</f>
        <v>0</v>
      </c>
    </row>
    <row r="4028" customFormat="false" ht="15" hidden="false" customHeight="false" outlineLevel="0" collapsed="false">
      <c r="A4028" s="60"/>
      <c r="B4028" s="61" t="str">
        <f aca="false">IF($M4028=0,"",INDEX(Classes!$E$6:$E$420,$M4028))</f>
        <v/>
      </c>
      <c r="C4028" s="62" t="str">
        <f aca="false">IF($M4028=0,"",INDEX(Classes!$H$6:$H$420,$M4028))</f>
        <v/>
      </c>
      <c r="D4028" s="61" t="str">
        <f aca="false">IF($M4028=0,"",INDEX(Classes!$B$6:$B$420,$M4028))</f>
        <v/>
      </c>
      <c r="E4028" s="61" t="str">
        <f aca="false">IF($M4028=0,"",INDEX(Classes!$C$6:$C$420,$M4028))</f>
        <v/>
      </c>
      <c r="F4028" s="63"/>
      <c r="G4028" s="63"/>
      <c r="H4028" s="60"/>
      <c r="I4028" s="60"/>
      <c r="J4028" s="63"/>
      <c r="K4028" s="61" t="str">
        <f aca="false">IF($P4028=0,"",IF($F4028="Baseline","— Baseline",IF($O4028=0,"No result",IF($N4028=0,"No Start (attainment only)",IF(OR($N4028=1,$O4028=1),"U – needs rule",INDEX(MxBody,MATCH($I4028,MxCurr,0),MATCH($H4028,MxStart,0)))))))</f>
        <v/>
      </c>
      <c r="L4028" s="62" t="str">
        <f aca="false">IF(COUNTA($A4028,$F4028,$G4028,$H4028,$I4028,$J4028)=0,"",IF($M4028=0,"✖ كود الصف غير موجود",IF(ISNA(MATCH($F4028,Lists!$A$2:$A$5,0)),"✖ الفترة غير صحيحة",IF(ISNA(MATCH($G4028,Lists!$B$2:$B$7,0)),"✖ المجموعة غير صحيحة",IF(NOT(OR($H4028="",$N4028&gt;0)),"✖ Start غير صحيح",IF(NOT(OR($I4028="",$I4028="NR",$O4028&gt;0)),"✖ Current غير صحيح",IF(NOT(IF(ISNUMBER($J4028),AND($J4028&gt;=0,$J4028=INT($J4028)),FALSE())),"✖ العدد يجب أن يكون صحيحًا ≥ 0",IF(AND($F4028="Baseline",$H4028&lt;&gt;""),"⚠ Baseline: Start لا يدخل في التقدم",IF($K4028="No Start (attainment only)","ℹ تحصيل فقط (بدون Start)",IF($K4028="U – needs rule","ℹ حالة U تحتاج قاعدة معتمدة",IF($K4028="No result","ℹ بدون نتيجة (يُستبعد من التحصيل)","OK")))))))))))</f>
        <v/>
      </c>
      <c r="M4028" s="64" t="n">
        <f aca="false">IF($A4028="",0,IFERROR(MATCH($A4028,Classes!$A$6:$A$420,0),0))</f>
        <v>0</v>
      </c>
      <c r="N4028" s="64" t="n">
        <f aca="false">IF($H4028="",0,IFERROR(MATCH($H4028,GradeList,0),0))</f>
        <v>0</v>
      </c>
      <c r="O4028" s="64" t="n">
        <f aca="false">IF(OR($I4028="",$I4028="NR"),0,IFERROR(MATCH($I4028,GradeList,0),0))</f>
        <v>0</v>
      </c>
      <c r="P4028" s="64" t="n">
        <f aca="false">IF(AND($M4028&gt;0,ISNUMBER(MATCH($F4028,Lists!$A$2:$A$5,0)),ISNUMBER(MATCH($G4028,Lists!$B$2:$B$7,0)),OR($H4028="",$N4028&gt;0),OR($I4028="",$I4028="NR",$O4028&gt;0),IF(ISNUMBER($J4028),AND($J4028&gt;=0,$J4028=INT($J4028)),FALSE())),$J4028,0)</f>
        <v>0</v>
      </c>
      <c r="Q4028" s="64" t="n">
        <f aca="false">IF(AND($P4028&gt;0,$O4028&gt;0),$P4028,0)</f>
        <v>0</v>
      </c>
      <c r="R4028" s="64" t="n">
        <f aca="false">IF(AND($Q4028&gt;0,$O4028&gt;=AtRank),$Q4028,0)</f>
        <v>0</v>
      </c>
      <c r="S4028" s="64" t="n">
        <f aca="false">IF(AND($Q4028&gt;0,$O4028&gt;=AboveRank),$Q4028,0)</f>
        <v>0</v>
      </c>
      <c r="T4028" s="64" t="n">
        <f aca="false">IF($K4028="Less",$P4028,0)</f>
        <v>0</v>
      </c>
      <c r="U4028" s="64" t="n">
        <f aca="false">IF($K4028="Expected",$P4028,0)</f>
        <v>0</v>
      </c>
      <c r="V4028" s="64" t="n">
        <f aca="false">IF($K4028="Better",$P4028,0)</f>
        <v>0</v>
      </c>
      <c r="W4028" s="64" t="n">
        <f aca="false">IF($K4028="U – needs rule",$P4028,0)</f>
        <v>0</v>
      </c>
      <c r="X4028" s="64" t="n">
        <f aca="false">IF($K4028="No Start (attainment only)",$P4028,0)</f>
        <v>0</v>
      </c>
    </row>
    <row r="4029" customFormat="false" ht="15" hidden="false" customHeight="false" outlineLevel="0" collapsed="false">
      <c r="A4029" s="60"/>
      <c r="B4029" s="61" t="str">
        <f aca="false">IF($M4029=0,"",INDEX(Classes!$E$6:$E$420,$M4029))</f>
        <v/>
      </c>
      <c r="C4029" s="62" t="str">
        <f aca="false">IF($M4029=0,"",INDEX(Classes!$H$6:$H$420,$M4029))</f>
        <v/>
      </c>
      <c r="D4029" s="61" t="str">
        <f aca="false">IF($M4029=0,"",INDEX(Classes!$B$6:$B$420,$M4029))</f>
        <v/>
      </c>
      <c r="E4029" s="61" t="str">
        <f aca="false">IF($M4029=0,"",INDEX(Classes!$C$6:$C$420,$M4029))</f>
        <v/>
      </c>
      <c r="F4029" s="63"/>
      <c r="G4029" s="63"/>
      <c r="H4029" s="60"/>
      <c r="I4029" s="60"/>
      <c r="J4029" s="63"/>
      <c r="K4029" s="61" t="str">
        <f aca="false">IF($P4029=0,"",IF($F4029="Baseline","— Baseline",IF($O4029=0,"No result",IF($N4029=0,"No Start (attainment only)",IF(OR($N4029=1,$O4029=1),"U – needs rule",INDEX(MxBody,MATCH($I4029,MxCurr,0),MATCH($H4029,MxStart,0)))))))</f>
        <v/>
      </c>
      <c r="L4029" s="62" t="str">
        <f aca="false">IF(COUNTA($A4029,$F4029,$G4029,$H4029,$I4029,$J4029)=0,"",IF($M4029=0,"✖ كود الصف غير موجود",IF(ISNA(MATCH($F4029,Lists!$A$2:$A$5,0)),"✖ الفترة غير صحيحة",IF(ISNA(MATCH($G4029,Lists!$B$2:$B$7,0)),"✖ المجموعة غير صحيحة",IF(NOT(OR($H4029="",$N4029&gt;0)),"✖ Start غير صحيح",IF(NOT(OR($I4029="",$I4029="NR",$O4029&gt;0)),"✖ Current غير صحيح",IF(NOT(IF(ISNUMBER($J4029),AND($J4029&gt;=0,$J4029=INT($J4029)),FALSE())),"✖ العدد يجب أن يكون صحيحًا ≥ 0",IF(AND($F4029="Baseline",$H4029&lt;&gt;""),"⚠ Baseline: Start لا يدخل في التقدم",IF($K4029="No Start (attainment only)","ℹ تحصيل فقط (بدون Start)",IF($K4029="U – needs rule","ℹ حالة U تحتاج قاعدة معتمدة",IF($K4029="No result","ℹ بدون نتيجة (يُستبعد من التحصيل)","OK")))))))))))</f>
        <v/>
      </c>
      <c r="M4029" s="64" t="n">
        <f aca="false">IF($A4029="",0,IFERROR(MATCH($A4029,Classes!$A$6:$A$420,0),0))</f>
        <v>0</v>
      </c>
      <c r="N4029" s="64" t="n">
        <f aca="false">IF($H4029="",0,IFERROR(MATCH($H4029,GradeList,0),0))</f>
        <v>0</v>
      </c>
      <c r="O4029" s="64" t="n">
        <f aca="false">IF(OR($I4029="",$I4029="NR"),0,IFERROR(MATCH($I4029,GradeList,0),0))</f>
        <v>0</v>
      </c>
      <c r="P4029" s="64" t="n">
        <f aca="false">IF(AND($M4029&gt;0,ISNUMBER(MATCH($F4029,Lists!$A$2:$A$5,0)),ISNUMBER(MATCH($G4029,Lists!$B$2:$B$7,0)),OR($H4029="",$N4029&gt;0),OR($I4029="",$I4029="NR",$O4029&gt;0),IF(ISNUMBER($J4029),AND($J4029&gt;=0,$J4029=INT($J4029)),FALSE())),$J4029,0)</f>
        <v>0</v>
      </c>
      <c r="Q4029" s="64" t="n">
        <f aca="false">IF(AND($P4029&gt;0,$O4029&gt;0),$P4029,0)</f>
        <v>0</v>
      </c>
      <c r="R4029" s="64" t="n">
        <f aca="false">IF(AND($Q4029&gt;0,$O4029&gt;=AtRank),$Q4029,0)</f>
        <v>0</v>
      </c>
      <c r="S4029" s="64" t="n">
        <f aca="false">IF(AND($Q4029&gt;0,$O4029&gt;=AboveRank),$Q4029,0)</f>
        <v>0</v>
      </c>
      <c r="T4029" s="64" t="n">
        <f aca="false">IF($K4029="Less",$P4029,0)</f>
        <v>0</v>
      </c>
      <c r="U4029" s="64" t="n">
        <f aca="false">IF($K4029="Expected",$P4029,0)</f>
        <v>0</v>
      </c>
      <c r="V4029" s="64" t="n">
        <f aca="false">IF($K4029="Better",$P4029,0)</f>
        <v>0</v>
      </c>
      <c r="W4029" s="64" t="n">
        <f aca="false">IF($K4029="U – needs rule",$P4029,0)</f>
        <v>0</v>
      </c>
      <c r="X4029" s="64" t="n">
        <f aca="false">IF($K4029="No Start (attainment only)",$P4029,0)</f>
        <v>0</v>
      </c>
    </row>
    <row r="4030" customFormat="false" ht="15" hidden="false" customHeight="false" outlineLevel="0" collapsed="false">
      <c r="A4030" s="60"/>
      <c r="B4030" s="61" t="str">
        <f aca="false">IF($M4030=0,"",INDEX(Classes!$E$6:$E$420,$M4030))</f>
        <v/>
      </c>
      <c r="C4030" s="62" t="str">
        <f aca="false">IF($M4030=0,"",INDEX(Classes!$H$6:$H$420,$M4030))</f>
        <v/>
      </c>
      <c r="D4030" s="61" t="str">
        <f aca="false">IF($M4030=0,"",INDEX(Classes!$B$6:$B$420,$M4030))</f>
        <v/>
      </c>
      <c r="E4030" s="61" t="str">
        <f aca="false">IF($M4030=0,"",INDEX(Classes!$C$6:$C$420,$M4030))</f>
        <v/>
      </c>
      <c r="F4030" s="63"/>
      <c r="G4030" s="63"/>
      <c r="H4030" s="60"/>
      <c r="I4030" s="60"/>
      <c r="J4030" s="63"/>
      <c r="K4030" s="61" t="str">
        <f aca="false">IF($P4030=0,"",IF($F4030="Baseline","— Baseline",IF($O4030=0,"No result",IF($N4030=0,"No Start (attainment only)",IF(OR($N4030=1,$O4030=1),"U – needs rule",INDEX(MxBody,MATCH($I4030,MxCurr,0),MATCH($H4030,MxStart,0)))))))</f>
        <v/>
      </c>
      <c r="L4030" s="62" t="str">
        <f aca="false">IF(COUNTA($A4030,$F4030,$G4030,$H4030,$I4030,$J4030)=0,"",IF($M4030=0,"✖ كود الصف غير موجود",IF(ISNA(MATCH($F4030,Lists!$A$2:$A$5,0)),"✖ الفترة غير صحيحة",IF(ISNA(MATCH($G4030,Lists!$B$2:$B$7,0)),"✖ المجموعة غير صحيحة",IF(NOT(OR($H4030="",$N4030&gt;0)),"✖ Start غير صحيح",IF(NOT(OR($I4030="",$I4030="NR",$O4030&gt;0)),"✖ Current غير صحيح",IF(NOT(IF(ISNUMBER($J4030),AND($J4030&gt;=0,$J4030=INT($J4030)),FALSE())),"✖ العدد يجب أن يكون صحيحًا ≥ 0",IF(AND($F4030="Baseline",$H4030&lt;&gt;""),"⚠ Baseline: Start لا يدخل في التقدم",IF($K4030="No Start (attainment only)","ℹ تحصيل فقط (بدون Start)",IF($K4030="U – needs rule","ℹ حالة U تحتاج قاعدة معتمدة",IF($K4030="No result","ℹ بدون نتيجة (يُستبعد من التحصيل)","OK")))))))))))</f>
        <v/>
      </c>
      <c r="M4030" s="64" t="n">
        <f aca="false">IF($A4030="",0,IFERROR(MATCH($A4030,Classes!$A$6:$A$420,0),0))</f>
        <v>0</v>
      </c>
      <c r="N4030" s="64" t="n">
        <f aca="false">IF($H4030="",0,IFERROR(MATCH($H4030,GradeList,0),0))</f>
        <v>0</v>
      </c>
      <c r="O4030" s="64" t="n">
        <f aca="false">IF(OR($I4030="",$I4030="NR"),0,IFERROR(MATCH($I4030,GradeList,0),0))</f>
        <v>0</v>
      </c>
      <c r="P4030" s="64" t="n">
        <f aca="false">IF(AND($M4030&gt;0,ISNUMBER(MATCH($F4030,Lists!$A$2:$A$5,0)),ISNUMBER(MATCH($G4030,Lists!$B$2:$B$7,0)),OR($H4030="",$N4030&gt;0),OR($I4030="",$I4030="NR",$O4030&gt;0),IF(ISNUMBER($J4030),AND($J4030&gt;=0,$J4030=INT($J4030)),FALSE())),$J4030,0)</f>
        <v>0</v>
      </c>
      <c r="Q4030" s="64" t="n">
        <f aca="false">IF(AND($P4030&gt;0,$O4030&gt;0),$P4030,0)</f>
        <v>0</v>
      </c>
      <c r="R4030" s="64" t="n">
        <f aca="false">IF(AND($Q4030&gt;0,$O4030&gt;=AtRank),$Q4030,0)</f>
        <v>0</v>
      </c>
      <c r="S4030" s="64" t="n">
        <f aca="false">IF(AND($Q4030&gt;0,$O4030&gt;=AboveRank),$Q4030,0)</f>
        <v>0</v>
      </c>
      <c r="T4030" s="64" t="n">
        <f aca="false">IF($K4030="Less",$P4030,0)</f>
        <v>0</v>
      </c>
      <c r="U4030" s="64" t="n">
        <f aca="false">IF($K4030="Expected",$P4030,0)</f>
        <v>0</v>
      </c>
      <c r="V4030" s="64" t="n">
        <f aca="false">IF($K4030="Better",$P4030,0)</f>
        <v>0</v>
      </c>
      <c r="W4030" s="64" t="n">
        <f aca="false">IF($K4030="U – needs rule",$P4030,0)</f>
        <v>0</v>
      </c>
      <c r="X4030" s="64" t="n">
        <f aca="false">IF($K4030="No Start (attainment only)",$P4030,0)</f>
        <v>0</v>
      </c>
    </row>
    <row r="4031" customFormat="false" ht="15" hidden="false" customHeight="false" outlineLevel="0" collapsed="false">
      <c r="A4031" s="60"/>
      <c r="B4031" s="61" t="str">
        <f aca="false">IF($M4031=0,"",INDEX(Classes!$E$6:$E$420,$M4031))</f>
        <v/>
      </c>
      <c r="C4031" s="62" t="str">
        <f aca="false">IF($M4031=0,"",INDEX(Classes!$H$6:$H$420,$M4031))</f>
        <v/>
      </c>
      <c r="D4031" s="61" t="str">
        <f aca="false">IF($M4031=0,"",INDEX(Classes!$B$6:$B$420,$M4031))</f>
        <v/>
      </c>
      <c r="E4031" s="61" t="str">
        <f aca="false">IF($M4031=0,"",INDEX(Classes!$C$6:$C$420,$M4031))</f>
        <v/>
      </c>
      <c r="F4031" s="63"/>
      <c r="G4031" s="63"/>
      <c r="H4031" s="60"/>
      <c r="I4031" s="60"/>
      <c r="J4031" s="63"/>
      <c r="K4031" s="61" t="str">
        <f aca="false">IF($P4031=0,"",IF($F4031="Baseline","— Baseline",IF($O4031=0,"No result",IF($N4031=0,"No Start (attainment only)",IF(OR($N4031=1,$O4031=1),"U – needs rule",INDEX(MxBody,MATCH($I4031,MxCurr,0),MATCH($H4031,MxStart,0)))))))</f>
        <v/>
      </c>
      <c r="L4031" s="62" t="str">
        <f aca="false">IF(COUNTA($A4031,$F4031,$G4031,$H4031,$I4031,$J4031)=0,"",IF($M4031=0,"✖ كود الصف غير موجود",IF(ISNA(MATCH($F4031,Lists!$A$2:$A$5,0)),"✖ الفترة غير صحيحة",IF(ISNA(MATCH($G4031,Lists!$B$2:$B$7,0)),"✖ المجموعة غير صحيحة",IF(NOT(OR($H4031="",$N4031&gt;0)),"✖ Start غير صحيح",IF(NOT(OR($I4031="",$I4031="NR",$O4031&gt;0)),"✖ Current غير صحيح",IF(NOT(IF(ISNUMBER($J4031),AND($J4031&gt;=0,$J4031=INT($J4031)),FALSE())),"✖ العدد يجب أن يكون صحيحًا ≥ 0",IF(AND($F4031="Baseline",$H4031&lt;&gt;""),"⚠ Baseline: Start لا يدخل في التقدم",IF($K4031="No Start (attainment only)","ℹ تحصيل فقط (بدون Start)",IF($K4031="U – needs rule","ℹ حالة U تحتاج قاعدة معتمدة",IF($K4031="No result","ℹ بدون نتيجة (يُستبعد من التحصيل)","OK")))))))))))</f>
        <v/>
      </c>
      <c r="M4031" s="64" t="n">
        <f aca="false">IF($A4031="",0,IFERROR(MATCH($A4031,Classes!$A$6:$A$420,0),0))</f>
        <v>0</v>
      </c>
      <c r="N4031" s="64" t="n">
        <f aca="false">IF($H4031="",0,IFERROR(MATCH($H4031,GradeList,0),0))</f>
        <v>0</v>
      </c>
      <c r="O4031" s="64" t="n">
        <f aca="false">IF(OR($I4031="",$I4031="NR"),0,IFERROR(MATCH($I4031,GradeList,0),0))</f>
        <v>0</v>
      </c>
      <c r="P4031" s="64" t="n">
        <f aca="false">IF(AND($M4031&gt;0,ISNUMBER(MATCH($F4031,Lists!$A$2:$A$5,0)),ISNUMBER(MATCH($G4031,Lists!$B$2:$B$7,0)),OR($H4031="",$N4031&gt;0),OR($I4031="",$I4031="NR",$O4031&gt;0),IF(ISNUMBER($J4031),AND($J4031&gt;=0,$J4031=INT($J4031)),FALSE())),$J4031,0)</f>
        <v>0</v>
      </c>
      <c r="Q4031" s="64" t="n">
        <f aca="false">IF(AND($P4031&gt;0,$O4031&gt;0),$P4031,0)</f>
        <v>0</v>
      </c>
      <c r="R4031" s="64" t="n">
        <f aca="false">IF(AND($Q4031&gt;0,$O4031&gt;=AtRank),$Q4031,0)</f>
        <v>0</v>
      </c>
      <c r="S4031" s="64" t="n">
        <f aca="false">IF(AND($Q4031&gt;0,$O4031&gt;=AboveRank),$Q4031,0)</f>
        <v>0</v>
      </c>
      <c r="T4031" s="64" t="n">
        <f aca="false">IF($K4031="Less",$P4031,0)</f>
        <v>0</v>
      </c>
      <c r="U4031" s="64" t="n">
        <f aca="false">IF($K4031="Expected",$P4031,0)</f>
        <v>0</v>
      </c>
      <c r="V4031" s="64" t="n">
        <f aca="false">IF($K4031="Better",$P4031,0)</f>
        <v>0</v>
      </c>
      <c r="W4031" s="64" t="n">
        <f aca="false">IF($K4031="U – needs rule",$P4031,0)</f>
        <v>0</v>
      </c>
      <c r="X4031" s="64" t="n">
        <f aca="false">IF($K4031="No Start (attainment only)",$P4031,0)</f>
        <v>0</v>
      </c>
    </row>
    <row r="4032" customFormat="false" ht="15" hidden="false" customHeight="false" outlineLevel="0" collapsed="false">
      <c r="A4032" s="60"/>
      <c r="B4032" s="61" t="str">
        <f aca="false">IF($M4032=0,"",INDEX(Classes!$E$6:$E$420,$M4032))</f>
        <v/>
      </c>
      <c r="C4032" s="62" t="str">
        <f aca="false">IF($M4032=0,"",INDEX(Classes!$H$6:$H$420,$M4032))</f>
        <v/>
      </c>
      <c r="D4032" s="61" t="str">
        <f aca="false">IF($M4032=0,"",INDEX(Classes!$B$6:$B$420,$M4032))</f>
        <v/>
      </c>
      <c r="E4032" s="61" t="str">
        <f aca="false">IF($M4032=0,"",INDEX(Classes!$C$6:$C$420,$M4032))</f>
        <v/>
      </c>
      <c r="F4032" s="63"/>
      <c r="G4032" s="63"/>
      <c r="H4032" s="60"/>
      <c r="I4032" s="60"/>
      <c r="J4032" s="63"/>
      <c r="K4032" s="61" t="str">
        <f aca="false">IF($P4032=0,"",IF($F4032="Baseline","— Baseline",IF($O4032=0,"No result",IF($N4032=0,"No Start (attainment only)",IF(OR($N4032=1,$O4032=1),"U – needs rule",INDEX(MxBody,MATCH($I4032,MxCurr,0),MATCH($H4032,MxStart,0)))))))</f>
        <v/>
      </c>
      <c r="L4032" s="62" t="str">
        <f aca="false">IF(COUNTA($A4032,$F4032,$G4032,$H4032,$I4032,$J4032)=0,"",IF($M4032=0,"✖ كود الصف غير موجود",IF(ISNA(MATCH($F4032,Lists!$A$2:$A$5,0)),"✖ الفترة غير صحيحة",IF(ISNA(MATCH($G4032,Lists!$B$2:$B$7,0)),"✖ المجموعة غير صحيحة",IF(NOT(OR($H4032="",$N4032&gt;0)),"✖ Start غير صحيح",IF(NOT(OR($I4032="",$I4032="NR",$O4032&gt;0)),"✖ Current غير صحيح",IF(NOT(IF(ISNUMBER($J4032),AND($J4032&gt;=0,$J4032=INT($J4032)),FALSE())),"✖ العدد يجب أن يكون صحيحًا ≥ 0",IF(AND($F4032="Baseline",$H4032&lt;&gt;""),"⚠ Baseline: Start لا يدخل في التقدم",IF($K4032="No Start (attainment only)","ℹ تحصيل فقط (بدون Start)",IF($K4032="U – needs rule","ℹ حالة U تحتاج قاعدة معتمدة",IF($K4032="No result","ℹ بدون نتيجة (يُستبعد من التحصيل)","OK")))))))))))</f>
        <v/>
      </c>
      <c r="M4032" s="64" t="n">
        <f aca="false">IF($A4032="",0,IFERROR(MATCH($A4032,Classes!$A$6:$A$420,0),0))</f>
        <v>0</v>
      </c>
      <c r="N4032" s="64" t="n">
        <f aca="false">IF($H4032="",0,IFERROR(MATCH($H4032,GradeList,0),0))</f>
        <v>0</v>
      </c>
      <c r="O4032" s="64" t="n">
        <f aca="false">IF(OR($I4032="",$I4032="NR"),0,IFERROR(MATCH($I4032,GradeList,0),0))</f>
        <v>0</v>
      </c>
      <c r="P4032" s="64" t="n">
        <f aca="false">IF(AND($M4032&gt;0,ISNUMBER(MATCH($F4032,Lists!$A$2:$A$5,0)),ISNUMBER(MATCH($G4032,Lists!$B$2:$B$7,0)),OR($H4032="",$N4032&gt;0),OR($I4032="",$I4032="NR",$O4032&gt;0),IF(ISNUMBER($J4032),AND($J4032&gt;=0,$J4032=INT($J4032)),FALSE())),$J4032,0)</f>
        <v>0</v>
      </c>
      <c r="Q4032" s="64" t="n">
        <f aca="false">IF(AND($P4032&gt;0,$O4032&gt;0),$P4032,0)</f>
        <v>0</v>
      </c>
      <c r="R4032" s="64" t="n">
        <f aca="false">IF(AND($Q4032&gt;0,$O4032&gt;=AtRank),$Q4032,0)</f>
        <v>0</v>
      </c>
      <c r="S4032" s="64" t="n">
        <f aca="false">IF(AND($Q4032&gt;0,$O4032&gt;=AboveRank),$Q4032,0)</f>
        <v>0</v>
      </c>
      <c r="T4032" s="64" t="n">
        <f aca="false">IF($K4032="Less",$P4032,0)</f>
        <v>0</v>
      </c>
      <c r="U4032" s="64" t="n">
        <f aca="false">IF($K4032="Expected",$P4032,0)</f>
        <v>0</v>
      </c>
      <c r="V4032" s="64" t="n">
        <f aca="false">IF($K4032="Better",$P4032,0)</f>
        <v>0</v>
      </c>
      <c r="W4032" s="64" t="n">
        <f aca="false">IF($K4032="U – needs rule",$P4032,0)</f>
        <v>0</v>
      </c>
      <c r="X4032" s="64" t="n">
        <f aca="false">IF($K4032="No Start (attainment only)",$P4032,0)</f>
        <v>0</v>
      </c>
    </row>
    <row r="4033" customFormat="false" ht="15" hidden="false" customHeight="false" outlineLevel="0" collapsed="false">
      <c r="A4033" s="60"/>
      <c r="B4033" s="61" t="str">
        <f aca="false">IF($M4033=0,"",INDEX(Classes!$E$6:$E$420,$M4033))</f>
        <v/>
      </c>
      <c r="C4033" s="62" t="str">
        <f aca="false">IF($M4033=0,"",INDEX(Classes!$H$6:$H$420,$M4033))</f>
        <v/>
      </c>
      <c r="D4033" s="61" t="str">
        <f aca="false">IF($M4033=0,"",INDEX(Classes!$B$6:$B$420,$M4033))</f>
        <v/>
      </c>
      <c r="E4033" s="61" t="str">
        <f aca="false">IF($M4033=0,"",INDEX(Classes!$C$6:$C$420,$M4033))</f>
        <v/>
      </c>
      <c r="F4033" s="63"/>
      <c r="G4033" s="63"/>
      <c r="H4033" s="60"/>
      <c r="I4033" s="60"/>
      <c r="J4033" s="63"/>
      <c r="K4033" s="61" t="str">
        <f aca="false">IF($P4033=0,"",IF($F4033="Baseline","— Baseline",IF($O4033=0,"No result",IF($N4033=0,"No Start (attainment only)",IF(OR($N4033=1,$O4033=1),"U – needs rule",INDEX(MxBody,MATCH($I4033,MxCurr,0),MATCH($H4033,MxStart,0)))))))</f>
        <v/>
      </c>
      <c r="L4033" s="62" t="str">
        <f aca="false">IF(COUNTA($A4033,$F4033,$G4033,$H4033,$I4033,$J4033)=0,"",IF($M4033=0,"✖ كود الصف غير موجود",IF(ISNA(MATCH($F4033,Lists!$A$2:$A$5,0)),"✖ الفترة غير صحيحة",IF(ISNA(MATCH($G4033,Lists!$B$2:$B$7,0)),"✖ المجموعة غير صحيحة",IF(NOT(OR($H4033="",$N4033&gt;0)),"✖ Start غير صحيح",IF(NOT(OR($I4033="",$I4033="NR",$O4033&gt;0)),"✖ Current غير صحيح",IF(NOT(IF(ISNUMBER($J4033),AND($J4033&gt;=0,$J4033=INT($J4033)),FALSE())),"✖ العدد يجب أن يكون صحيحًا ≥ 0",IF(AND($F4033="Baseline",$H4033&lt;&gt;""),"⚠ Baseline: Start لا يدخل في التقدم",IF($K4033="No Start (attainment only)","ℹ تحصيل فقط (بدون Start)",IF($K4033="U – needs rule","ℹ حالة U تحتاج قاعدة معتمدة",IF($K4033="No result","ℹ بدون نتيجة (يُستبعد من التحصيل)","OK")))))))))))</f>
        <v/>
      </c>
      <c r="M4033" s="64" t="n">
        <f aca="false">IF($A4033="",0,IFERROR(MATCH($A4033,Classes!$A$6:$A$420,0),0))</f>
        <v>0</v>
      </c>
      <c r="N4033" s="64" t="n">
        <f aca="false">IF($H4033="",0,IFERROR(MATCH($H4033,GradeList,0),0))</f>
        <v>0</v>
      </c>
      <c r="O4033" s="64" t="n">
        <f aca="false">IF(OR($I4033="",$I4033="NR"),0,IFERROR(MATCH($I4033,GradeList,0),0))</f>
        <v>0</v>
      </c>
      <c r="P4033" s="64" t="n">
        <f aca="false">IF(AND($M4033&gt;0,ISNUMBER(MATCH($F4033,Lists!$A$2:$A$5,0)),ISNUMBER(MATCH($G4033,Lists!$B$2:$B$7,0)),OR($H4033="",$N4033&gt;0),OR($I4033="",$I4033="NR",$O4033&gt;0),IF(ISNUMBER($J4033),AND($J4033&gt;=0,$J4033=INT($J4033)),FALSE())),$J4033,0)</f>
        <v>0</v>
      </c>
      <c r="Q4033" s="64" t="n">
        <f aca="false">IF(AND($P4033&gt;0,$O4033&gt;0),$P4033,0)</f>
        <v>0</v>
      </c>
      <c r="R4033" s="64" t="n">
        <f aca="false">IF(AND($Q4033&gt;0,$O4033&gt;=AtRank),$Q4033,0)</f>
        <v>0</v>
      </c>
      <c r="S4033" s="64" t="n">
        <f aca="false">IF(AND($Q4033&gt;0,$O4033&gt;=AboveRank),$Q4033,0)</f>
        <v>0</v>
      </c>
      <c r="T4033" s="64" t="n">
        <f aca="false">IF($K4033="Less",$P4033,0)</f>
        <v>0</v>
      </c>
      <c r="U4033" s="64" t="n">
        <f aca="false">IF($K4033="Expected",$P4033,0)</f>
        <v>0</v>
      </c>
      <c r="V4033" s="64" t="n">
        <f aca="false">IF($K4033="Better",$P4033,0)</f>
        <v>0</v>
      </c>
      <c r="W4033" s="64" t="n">
        <f aca="false">IF($K4033="U – needs rule",$P4033,0)</f>
        <v>0</v>
      </c>
      <c r="X4033" s="64" t="n">
        <f aca="false">IF($K4033="No Start (attainment only)",$P4033,0)</f>
        <v>0</v>
      </c>
    </row>
    <row r="4034" customFormat="false" ht="15" hidden="false" customHeight="false" outlineLevel="0" collapsed="false">
      <c r="A4034" s="60"/>
      <c r="B4034" s="61" t="str">
        <f aca="false">IF($M4034=0,"",INDEX(Classes!$E$6:$E$420,$M4034))</f>
        <v/>
      </c>
      <c r="C4034" s="62" t="str">
        <f aca="false">IF($M4034=0,"",INDEX(Classes!$H$6:$H$420,$M4034))</f>
        <v/>
      </c>
      <c r="D4034" s="61" t="str">
        <f aca="false">IF($M4034=0,"",INDEX(Classes!$B$6:$B$420,$M4034))</f>
        <v/>
      </c>
      <c r="E4034" s="61" t="str">
        <f aca="false">IF($M4034=0,"",INDEX(Classes!$C$6:$C$420,$M4034))</f>
        <v/>
      </c>
      <c r="F4034" s="63"/>
      <c r="G4034" s="63"/>
      <c r="H4034" s="60"/>
      <c r="I4034" s="60"/>
      <c r="J4034" s="63"/>
      <c r="K4034" s="61" t="str">
        <f aca="false">IF($P4034=0,"",IF($F4034="Baseline","— Baseline",IF($O4034=0,"No result",IF($N4034=0,"No Start (attainment only)",IF(OR($N4034=1,$O4034=1),"U – needs rule",INDEX(MxBody,MATCH($I4034,MxCurr,0),MATCH($H4034,MxStart,0)))))))</f>
        <v/>
      </c>
      <c r="L4034" s="62" t="str">
        <f aca="false">IF(COUNTA($A4034,$F4034,$G4034,$H4034,$I4034,$J4034)=0,"",IF($M4034=0,"✖ كود الصف غير موجود",IF(ISNA(MATCH($F4034,Lists!$A$2:$A$5,0)),"✖ الفترة غير صحيحة",IF(ISNA(MATCH($G4034,Lists!$B$2:$B$7,0)),"✖ المجموعة غير صحيحة",IF(NOT(OR($H4034="",$N4034&gt;0)),"✖ Start غير صحيح",IF(NOT(OR($I4034="",$I4034="NR",$O4034&gt;0)),"✖ Current غير صحيح",IF(NOT(IF(ISNUMBER($J4034),AND($J4034&gt;=0,$J4034=INT($J4034)),FALSE())),"✖ العدد يجب أن يكون صحيحًا ≥ 0",IF(AND($F4034="Baseline",$H4034&lt;&gt;""),"⚠ Baseline: Start لا يدخل في التقدم",IF($K4034="No Start (attainment only)","ℹ تحصيل فقط (بدون Start)",IF($K4034="U – needs rule","ℹ حالة U تحتاج قاعدة معتمدة",IF($K4034="No result","ℹ بدون نتيجة (يُستبعد من التحصيل)","OK")))))))))))</f>
        <v/>
      </c>
      <c r="M4034" s="64" t="n">
        <f aca="false">IF($A4034="",0,IFERROR(MATCH($A4034,Classes!$A$6:$A$420,0),0))</f>
        <v>0</v>
      </c>
      <c r="N4034" s="64" t="n">
        <f aca="false">IF($H4034="",0,IFERROR(MATCH($H4034,GradeList,0),0))</f>
        <v>0</v>
      </c>
      <c r="O4034" s="64" t="n">
        <f aca="false">IF(OR($I4034="",$I4034="NR"),0,IFERROR(MATCH($I4034,GradeList,0),0))</f>
        <v>0</v>
      </c>
      <c r="P4034" s="64" t="n">
        <f aca="false">IF(AND($M4034&gt;0,ISNUMBER(MATCH($F4034,Lists!$A$2:$A$5,0)),ISNUMBER(MATCH($G4034,Lists!$B$2:$B$7,0)),OR($H4034="",$N4034&gt;0),OR($I4034="",$I4034="NR",$O4034&gt;0),IF(ISNUMBER($J4034),AND($J4034&gt;=0,$J4034=INT($J4034)),FALSE())),$J4034,0)</f>
        <v>0</v>
      </c>
      <c r="Q4034" s="64" t="n">
        <f aca="false">IF(AND($P4034&gt;0,$O4034&gt;0),$P4034,0)</f>
        <v>0</v>
      </c>
      <c r="R4034" s="64" t="n">
        <f aca="false">IF(AND($Q4034&gt;0,$O4034&gt;=AtRank),$Q4034,0)</f>
        <v>0</v>
      </c>
      <c r="S4034" s="64" t="n">
        <f aca="false">IF(AND($Q4034&gt;0,$O4034&gt;=AboveRank),$Q4034,0)</f>
        <v>0</v>
      </c>
      <c r="T4034" s="64" t="n">
        <f aca="false">IF($K4034="Less",$P4034,0)</f>
        <v>0</v>
      </c>
      <c r="U4034" s="64" t="n">
        <f aca="false">IF($K4034="Expected",$P4034,0)</f>
        <v>0</v>
      </c>
      <c r="V4034" s="64" t="n">
        <f aca="false">IF($K4034="Better",$P4034,0)</f>
        <v>0</v>
      </c>
      <c r="W4034" s="64" t="n">
        <f aca="false">IF($K4034="U – needs rule",$P4034,0)</f>
        <v>0</v>
      </c>
      <c r="X4034" s="64" t="n">
        <f aca="false">IF($K4034="No Start (attainment only)",$P4034,0)</f>
        <v>0</v>
      </c>
    </row>
    <row r="4035" customFormat="false" ht="15" hidden="false" customHeight="false" outlineLevel="0" collapsed="false">
      <c r="A4035" s="60"/>
      <c r="B4035" s="61" t="str">
        <f aca="false">IF($M4035=0,"",INDEX(Classes!$E$6:$E$420,$M4035))</f>
        <v/>
      </c>
      <c r="C4035" s="62" t="str">
        <f aca="false">IF($M4035=0,"",INDEX(Classes!$H$6:$H$420,$M4035))</f>
        <v/>
      </c>
      <c r="D4035" s="61" t="str">
        <f aca="false">IF($M4035=0,"",INDEX(Classes!$B$6:$B$420,$M4035))</f>
        <v/>
      </c>
      <c r="E4035" s="61" t="str">
        <f aca="false">IF($M4035=0,"",INDEX(Classes!$C$6:$C$420,$M4035))</f>
        <v/>
      </c>
      <c r="F4035" s="63"/>
      <c r="G4035" s="63"/>
      <c r="H4035" s="60"/>
      <c r="I4035" s="60"/>
      <c r="J4035" s="63"/>
      <c r="K4035" s="61" t="str">
        <f aca="false">IF($P4035=0,"",IF($F4035="Baseline","— Baseline",IF($O4035=0,"No result",IF($N4035=0,"No Start (attainment only)",IF(OR($N4035=1,$O4035=1),"U – needs rule",INDEX(MxBody,MATCH($I4035,MxCurr,0),MATCH($H4035,MxStart,0)))))))</f>
        <v/>
      </c>
      <c r="L4035" s="62" t="str">
        <f aca="false">IF(COUNTA($A4035,$F4035,$G4035,$H4035,$I4035,$J4035)=0,"",IF($M4035=0,"✖ كود الصف غير موجود",IF(ISNA(MATCH($F4035,Lists!$A$2:$A$5,0)),"✖ الفترة غير صحيحة",IF(ISNA(MATCH($G4035,Lists!$B$2:$B$7,0)),"✖ المجموعة غير صحيحة",IF(NOT(OR($H4035="",$N4035&gt;0)),"✖ Start غير صحيح",IF(NOT(OR($I4035="",$I4035="NR",$O4035&gt;0)),"✖ Current غير صحيح",IF(NOT(IF(ISNUMBER($J4035),AND($J4035&gt;=0,$J4035=INT($J4035)),FALSE())),"✖ العدد يجب أن يكون صحيحًا ≥ 0",IF(AND($F4035="Baseline",$H4035&lt;&gt;""),"⚠ Baseline: Start لا يدخل في التقدم",IF($K4035="No Start (attainment only)","ℹ تحصيل فقط (بدون Start)",IF($K4035="U – needs rule","ℹ حالة U تحتاج قاعدة معتمدة",IF($K4035="No result","ℹ بدون نتيجة (يُستبعد من التحصيل)","OK")))))))))))</f>
        <v/>
      </c>
      <c r="M4035" s="64" t="n">
        <f aca="false">IF($A4035="",0,IFERROR(MATCH($A4035,Classes!$A$6:$A$420,0),0))</f>
        <v>0</v>
      </c>
      <c r="N4035" s="64" t="n">
        <f aca="false">IF($H4035="",0,IFERROR(MATCH($H4035,GradeList,0),0))</f>
        <v>0</v>
      </c>
      <c r="O4035" s="64" t="n">
        <f aca="false">IF(OR($I4035="",$I4035="NR"),0,IFERROR(MATCH($I4035,GradeList,0),0))</f>
        <v>0</v>
      </c>
      <c r="P4035" s="64" t="n">
        <f aca="false">IF(AND($M4035&gt;0,ISNUMBER(MATCH($F4035,Lists!$A$2:$A$5,0)),ISNUMBER(MATCH($G4035,Lists!$B$2:$B$7,0)),OR($H4035="",$N4035&gt;0),OR($I4035="",$I4035="NR",$O4035&gt;0),IF(ISNUMBER($J4035),AND($J4035&gt;=0,$J4035=INT($J4035)),FALSE())),$J4035,0)</f>
        <v>0</v>
      </c>
      <c r="Q4035" s="64" t="n">
        <f aca="false">IF(AND($P4035&gt;0,$O4035&gt;0),$P4035,0)</f>
        <v>0</v>
      </c>
      <c r="R4035" s="64" t="n">
        <f aca="false">IF(AND($Q4035&gt;0,$O4035&gt;=AtRank),$Q4035,0)</f>
        <v>0</v>
      </c>
      <c r="S4035" s="64" t="n">
        <f aca="false">IF(AND($Q4035&gt;0,$O4035&gt;=AboveRank),$Q4035,0)</f>
        <v>0</v>
      </c>
      <c r="T4035" s="64" t="n">
        <f aca="false">IF($K4035="Less",$P4035,0)</f>
        <v>0</v>
      </c>
      <c r="U4035" s="64" t="n">
        <f aca="false">IF($K4035="Expected",$P4035,0)</f>
        <v>0</v>
      </c>
      <c r="V4035" s="64" t="n">
        <f aca="false">IF($K4035="Better",$P4035,0)</f>
        <v>0</v>
      </c>
      <c r="W4035" s="64" t="n">
        <f aca="false">IF($K4035="U – needs rule",$P4035,0)</f>
        <v>0</v>
      </c>
      <c r="X4035" s="64" t="n">
        <f aca="false">IF($K4035="No Start (attainment only)",$P4035,0)</f>
        <v>0</v>
      </c>
    </row>
    <row r="4036" customFormat="false" ht="15" hidden="false" customHeight="false" outlineLevel="0" collapsed="false">
      <c r="A4036" s="60"/>
      <c r="B4036" s="61" t="str">
        <f aca="false">IF($M4036=0,"",INDEX(Classes!$E$6:$E$420,$M4036))</f>
        <v/>
      </c>
      <c r="C4036" s="62" t="str">
        <f aca="false">IF($M4036=0,"",INDEX(Classes!$H$6:$H$420,$M4036))</f>
        <v/>
      </c>
      <c r="D4036" s="61" t="str">
        <f aca="false">IF($M4036=0,"",INDEX(Classes!$B$6:$B$420,$M4036))</f>
        <v/>
      </c>
      <c r="E4036" s="61" t="str">
        <f aca="false">IF($M4036=0,"",INDEX(Classes!$C$6:$C$420,$M4036))</f>
        <v/>
      </c>
      <c r="F4036" s="63"/>
      <c r="G4036" s="63"/>
      <c r="H4036" s="60"/>
      <c r="I4036" s="60"/>
      <c r="J4036" s="63"/>
      <c r="K4036" s="61" t="str">
        <f aca="false">IF($P4036=0,"",IF($F4036="Baseline","— Baseline",IF($O4036=0,"No result",IF($N4036=0,"No Start (attainment only)",IF(OR($N4036=1,$O4036=1),"U – needs rule",INDEX(MxBody,MATCH($I4036,MxCurr,0),MATCH($H4036,MxStart,0)))))))</f>
        <v/>
      </c>
      <c r="L4036" s="62" t="str">
        <f aca="false">IF(COUNTA($A4036,$F4036,$G4036,$H4036,$I4036,$J4036)=0,"",IF($M4036=0,"✖ كود الصف غير موجود",IF(ISNA(MATCH($F4036,Lists!$A$2:$A$5,0)),"✖ الفترة غير صحيحة",IF(ISNA(MATCH($G4036,Lists!$B$2:$B$7,0)),"✖ المجموعة غير صحيحة",IF(NOT(OR($H4036="",$N4036&gt;0)),"✖ Start غير صحيح",IF(NOT(OR($I4036="",$I4036="NR",$O4036&gt;0)),"✖ Current غير صحيح",IF(NOT(IF(ISNUMBER($J4036),AND($J4036&gt;=0,$J4036=INT($J4036)),FALSE())),"✖ العدد يجب أن يكون صحيحًا ≥ 0",IF(AND($F4036="Baseline",$H4036&lt;&gt;""),"⚠ Baseline: Start لا يدخل في التقدم",IF($K4036="No Start (attainment only)","ℹ تحصيل فقط (بدون Start)",IF($K4036="U – needs rule","ℹ حالة U تحتاج قاعدة معتمدة",IF($K4036="No result","ℹ بدون نتيجة (يُستبعد من التحصيل)","OK")))))))))))</f>
        <v/>
      </c>
      <c r="M4036" s="64" t="n">
        <f aca="false">IF($A4036="",0,IFERROR(MATCH($A4036,Classes!$A$6:$A$420,0),0))</f>
        <v>0</v>
      </c>
      <c r="N4036" s="64" t="n">
        <f aca="false">IF($H4036="",0,IFERROR(MATCH($H4036,GradeList,0),0))</f>
        <v>0</v>
      </c>
      <c r="O4036" s="64" t="n">
        <f aca="false">IF(OR($I4036="",$I4036="NR"),0,IFERROR(MATCH($I4036,GradeList,0),0))</f>
        <v>0</v>
      </c>
      <c r="P4036" s="64" t="n">
        <f aca="false">IF(AND($M4036&gt;0,ISNUMBER(MATCH($F4036,Lists!$A$2:$A$5,0)),ISNUMBER(MATCH($G4036,Lists!$B$2:$B$7,0)),OR($H4036="",$N4036&gt;0),OR($I4036="",$I4036="NR",$O4036&gt;0),IF(ISNUMBER($J4036),AND($J4036&gt;=0,$J4036=INT($J4036)),FALSE())),$J4036,0)</f>
        <v>0</v>
      </c>
      <c r="Q4036" s="64" t="n">
        <f aca="false">IF(AND($P4036&gt;0,$O4036&gt;0),$P4036,0)</f>
        <v>0</v>
      </c>
      <c r="R4036" s="64" t="n">
        <f aca="false">IF(AND($Q4036&gt;0,$O4036&gt;=AtRank),$Q4036,0)</f>
        <v>0</v>
      </c>
      <c r="S4036" s="64" t="n">
        <f aca="false">IF(AND($Q4036&gt;0,$O4036&gt;=AboveRank),$Q4036,0)</f>
        <v>0</v>
      </c>
      <c r="T4036" s="64" t="n">
        <f aca="false">IF($K4036="Less",$P4036,0)</f>
        <v>0</v>
      </c>
      <c r="U4036" s="64" t="n">
        <f aca="false">IF($K4036="Expected",$P4036,0)</f>
        <v>0</v>
      </c>
      <c r="V4036" s="64" t="n">
        <f aca="false">IF($K4036="Better",$P4036,0)</f>
        <v>0</v>
      </c>
      <c r="W4036" s="64" t="n">
        <f aca="false">IF($K4036="U – needs rule",$P4036,0)</f>
        <v>0</v>
      </c>
      <c r="X4036" s="64" t="n">
        <f aca="false">IF($K4036="No Start (attainment only)",$P4036,0)</f>
        <v>0</v>
      </c>
    </row>
    <row r="4037" customFormat="false" ht="15" hidden="false" customHeight="false" outlineLevel="0" collapsed="false">
      <c r="A4037" s="60"/>
      <c r="B4037" s="61" t="str">
        <f aca="false">IF($M4037=0,"",INDEX(Classes!$E$6:$E$420,$M4037))</f>
        <v/>
      </c>
      <c r="C4037" s="62" t="str">
        <f aca="false">IF($M4037=0,"",INDEX(Classes!$H$6:$H$420,$M4037))</f>
        <v/>
      </c>
      <c r="D4037" s="61" t="str">
        <f aca="false">IF($M4037=0,"",INDEX(Classes!$B$6:$B$420,$M4037))</f>
        <v/>
      </c>
      <c r="E4037" s="61" t="str">
        <f aca="false">IF($M4037=0,"",INDEX(Classes!$C$6:$C$420,$M4037))</f>
        <v/>
      </c>
      <c r="F4037" s="63"/>
      <c r="G4037" s="63"/>
      <c r="H4037" s="60"/>
      <c r="I4037" s="60"/>
      <c r="J4037" s="63"/>
      <c r="K4037" s="61" t="str">
        <f aca="false">IF($P4037=0,"",IF($F4037="Baseline","— Baseline",IF($O4037=0,"No result",IF($N4037=0,"No Start (attainment only)",IF(OR($N4037=1,$O4037=1),"U – needs rule",INDEX(MxBody,MATCH($I4037,MxCurr,0),MATCH($H4037,MxStart,0)))))))</f>
        <v/>
      </c>
      <c r="L4037" s="62" t="str">
        <f aca="false">IF(COUNTA($A4037,$F4037,$G4037,$H4037,$I4037,$J4037)=0,"",IF($M4037=0,"✖ كود الصف غير موجود",IF(ISNA(MATCH($F4037,Lists!$A$2:$A$5,0)),"✖ الفترة غير صحيحة",IF(ISNA(MATCH($G4037,Lists!$B$2:$B$7,0)),"✖ المجموعة غير صحيحة",IF(NOT(OR($H4037="",$N4037&gt;0)),"✖ Start غير صحيح",IF(NOT(OR($I4037="",$I4037="NR",$O4037&gt;0)),"✖ Current غير صحيح",IF(NOT(IF(ISNUMBER($J4037),AND($J4037&gt;=0,$J4037=INT($J4037)),FALSE())),"✖ العدد يجب أن يكون صحيحًا ≥ 0",IF(AND($F4037="Baseline",$H4037&lt;&gt;""),"⚠ Baseline: Start لا يدخل في التقدم",IF($K4037="No Start (attainment only)","ℹ تحصيل فقط (بدون Start)",IF($K4037="U – needs rule","ℹ حالة U تحتاج قاعدة معتمدة",IF($K4037="No result","ℹ بدون نتيجة (يُستبعد من التحصيل)","OK")))))))))))</f>
        <v/>
      </c>
      <c r="M4037" s="64" t="n">
        <f aca="false">IF($A4037="",0,IFERROR(MATCH($A4037,Classes!$A$6:$A$420,0),0))</f>
        <v>0</v>
      </c>
      <c r="N4037" s="64" t="n">
        <f aca="false">IF($H4037="",0,IFERROR(MATCH($H4037,GradeList,0),0))</f>
        <v>0</v>
      </c>
      <c r="O4037" s="64" t="n">
        <f aca="false">IF(OR($I4037="",$I4037="NR"),0,IFERROR(MATCH($I4037,GradeList,0),0))</f>
        <v>0</v>
      </c>
      <c r="P4037" s="64" t="n">
        <f aca="false">IF(AND($M4037&gt;0,ISNUMBER(MATCH($F4037,Lists!$A$2:$A$5,0)),ISNUMBER(MATCH($G4037,Lists!$B$2:$B$7,0)),OR($H4037="",$N4037&gt;0),OR($I4037="",$I4037="NR",$O4037&gt;0),IF(ISNUMBER($J4037),AND($J4037&gt;=0,$J4037=INT($J4037)),FALSE())),$J4037,0)</f>
        <v>0</v>
      </c>
      <c r="Q4037" s="64" t="n">
        <f aca="false">IF(AND($P4037&gt;0,$O4037&gt;0),$P4037,0)</f>
        <v>0</v>
      </c>
      <c r="R4037" s="64" t="n">
        <f aca="false">IF(AND($Q4037&gt;0,$O4037&gt;=AtRank),$Q4037,0)</f>
        <v>0</v>
      </c>
      <c r="S4037" s="64" t="n">
        <f aca="false">IF(AND($Q4037&gt;0,$O4037&gt;=AboveRank),$Q4037,0)</f>
        <v>0</v>
      </c>
      <c r="T4037" s="64" t="n">
        <f aca="false">IF($K4037="Less",$P4037,0)</f>
        <v>0</v>
      </c>
      <c r="U4037" s="64" t="n">
        <f aca="false">IF($K4037="Expected",$P4037,0)</f>
        <v>0</v>
      </c>
      <c r="V4037" s="64" t="n">
        <f aca="false">IF($K4037="Better",$P4037,0)</f>
        <v>0</v>
      </c>
      <c r="W4037" s="64" t="n">
        <f aca="false">IF($K4037="U – needs rule",$P4037,0)</f>
        <v>0</v>
      </c>
      <c r="X4037" s="64" t="n">
        <f aca="false">IF($K4037="No Start (attainment only)",$P4037,0)</f>
        <v>0</v>
      </c>
    </row>
    <row r="4038" customFormat="false" ht="15" hidden="false" customHeight="false" outlineLevel="0" collapsed="false">
      <c r="A4038" s="60"/>
      <c r="B4038" s="61" t="str">
        <f aca="false">IF($M4038=0,"",INDEX(Classes!$E$6:$E$420,$M4038))</f>
        <v/>
      </c>
      <c r="C4038" s="62" t="str">
        <f aca="false">IF($M4038=0,"",INDEX(Classes!$H$6:$H$420,$M4038))</f>
        <v/>
      </c>
      <c r="D4038" s="61" t="str">
        <f aca="false">IF($M4038=0,"",INDEX(Classes!$B$6:$B$420,$M4038))</f>
        <v/>
      </c>
      <c r="E4038" s="61" t="str">
        <f aca="false">IF($M4038=0,"",INDEX(Classes!$C$6:$C$420,$M4038))</f>
        <v/>
      </c>
      <c r="F4038" s="63"/>
      <c r="G4038" s="63"/>
      <c r="H4038" s="60"/>
      <c r="I4038" s="60"/>
      <c r="J4038" s="63"/>
      <c r="K4038" s="61" t="str">
        <f aca="false">IF($P4038=0,"",IF($F4038="Baseline","— Baseline",IF($O4038=0,"No result",IF($N4038=0,"No Start (attainment only)",IF(OR($N4038=1,$O4038=1),"U – needs rule",INDEX(MxBody,MATCH($I4038,MxCurr,0),MATCH($H4038,MxStart,0)))))))</f>
        <v/>
      </c>
      <c r="L4038" s="62" t="str">
        <f aca="false">IF(COUNTA($A4038,$F4038,$G4038,$H4038,$I4038,$J4038)=0,"",IF($M4038=0,"✖ كود الصف غير موجود",IF(ISNA(MATCH($F4038,Lists!$A$2:$A$5,0)),"✖ الفترة غير صحيحة",IF(ISNA(MATCH($G4038,Lists!$B$2:$B$7,0)),"✖ المجموعة غير صحيحة",IF(NOT(OR($H4038="",$N4038&gt;0)),"✖ Start غير صحيح",IF(NOT(OR($I4038="",$I4038="NR",$O4038&gt;0)),"✖ Current غير صحيح",IF(NOT(IF(ISNUMBER($J4038),AND($J4038&gt;=0,$J4038=INT($J4038)),FALSE())),"✖ العدد يجب أن يكون صحيحًا ≥ 0",IF(AND($F4038="Baseline",$H4038&lt;&gt;""),"⚠ Baseline: Start لا يدخل في التقدم",IF($K4038="No Start (attainment only)","ℹ تحصيل فقط (بدون Start)",IF($K4038="U – needs rule","ℹ حالة U تحتاج قاعدة معتمدة",IF($K4038="No result","ℹ بدون نتيجة (يُستبعد من التحصيل)","OK")))))))))))</f>
        <v/>
      </c>
      <c r="M4038" s="64" t="n">
        <f aca="false">IF($A4038="",0,IFERROR(MATCH($A4038,Classes!$A$6:$A$420,0),0))</f>
        <v>0</v>
      </c>
      <c r="N4038" s="64" t="n">
        <f aca="false">IF($H4038="",0,IFERROR(MATCH($H4038,GradeList,0),0))</f>
        <v>0</v>
      </c>
      <c r="O4038" s="64" t="n">
        <f aca="false">IF(OR($I4038="",$I4038="NR"),0,IFERROR(MATCH($I4038,GradeList,0),0))</f>
        <v>0</v>
      </c>
      <c r="P4038" s="64" t="n">
        <f aca="false">IF(AND($M4038&gt;0,ISNUMBER(MATCH($F4038,Lists!$A$2:$A$5,0)),ISNUMBER(MATCH($G4038,Lists!$B$2:$B$7,0)),OR($H4038="",$N4038&gt;0),OR($I4038="",$I4038="NR",$O4038&gt;0),IF(ISNUMBER($J4038),AND($J4038&gt;=0,$J4038=INT($J4038)),FALSE())),$J4038,0)</f>
        <v>0</v>
      </c>
      <c r="Q4038" s="64" t="n">
        <f aca="false">IF(AND($P4038&gt;0,$O4038&gt;0),$P4038,0)</f>
        <v>0</v>
      </c>
      <c r="R4038" s="64" t="n">
        <f aca="false">IF(AND($Q4038&gt;0,$O4038&gt;=AtRank),$Q4038,0)</f>
        <v>0</v>
      </c>
      <c r="S4038" s="64" t="n">
        <f aca="false">IF(AND($Q4038&gt;0,$O4038&gt;=AboveRank),$Q4038,0)</f>
        <v>0</v>
      </c>
      <c r="T4038" s="64" t="n">
        <f aca="false">IF($K4038="Less",$P4038,0)</f>
        <v>0</v>
      </c>
      <c r="U4038" s="64" t="n">
        <f aca="false">IF($K4038="Expected",$P4038,0)</f>
        <v>0</v>
      </c>
      <c r="V4038" s="64" t="n">
        <f aca="false">IF($K4038="Better",$P4038,0)</f>
        <v>0</v>
      </c>
      <c r="W4038" s="64" t="n">
        <f aca="false">IF($K4038="U – needs rule",$P4038,0)</f>
        <v>0</v>
      </c>
      <c r="X4038" s="64" t="n">
        <f aca="false">IF($K4038="No Start (attainment only)",$P4038,0)</f>
        <v>0</v>
      </c>
    </row>
    <row r="4039" customFormat="false" ht="15" hidden="false" customHeight="false" outlineLevel="0" collapsed="false">
      <c r="A4039" s="60"/>
      <c r="B4039" s="61" t="str">
        <f aca="false">IF($M4039=0,"",INDEX(Classes!$E$6:$E$420,$M4039))</f>
        <v/>
      </c>
      <c r="C4039" s="62" t="str">
        <f aca="false">IF($M4039=0,"",INDEX(Classes!$H$6:$H$420,$M4039))</f>
        <v/>
      </c>
      <c r="D4039" s="61" t="str">
        <f aca="false">IF($M4039=0,"",INDEX(Classes!$B$6:$B$420,$M4039))</f>
        <v/>
      </c>
      <c r="E4039" s="61" t="str">
        <f aca="false">IF($M4039=0,"",INDEX(Classes!$C$6:$C$420,$M4039))</f>
        <v/>
      </c>
      <c r="F4039" s="63"/>
      <c r="G4039" s="63"/>
      <c r="H4039" s="60"/>
      <c r="I4039" s="60"/>
      <c r="J4039" s="63"/>
      <c r="K4039" s="61" t="str">
        <f aca="false">IF($P4039=0,"",IF($F4039="Baseline","— Baseline",IF($O4039=0,"No result",IF($N4039=0,"No Start (attainment only)",IF(OR($N4039=1,$O4039=1),"U – needs rule",INDEX(MxBody,MATCH($I4039,MxCurr,0),MATCH($H4039,MxStart,0)))))))</f>
        <v/>
      </c>
      <c r="L4039" s="62" t="str">
        <f aca="false">IF(COUNTA($A4039,$F4039,$G4039,$H4039,$I4039,$J4039)=0,"",IF($M4039=0,"✖ كود الصف غير موجود",IF(ISNA(MATCH($F4039,Lists!$A$2:$A$5,0)),"✖ الفترة غير صحيحة",IF(ISNA(MATCH($G4039,Lists!$B$2:$B$7,0)),"✖ المجموعة غير صحيحة",IF(NOT(OR($H4039="",$N4039&gt;0)),"✖ Start غير صحيح",IF(NOT(OR($I4039="",$I4039="NR",$O4039&gt;0)),"✖ Current غير صحيح",IF(NOT(IF(ISNUMBER($J4039),AND($J4039&gt;=0,$J4039=INT($J4039)),FALSE())),"✖ العدد يجب أن يكون صحيحًا ≥ 0",IF(AND($F4039="Baseline",$H4039&lt;&gt;""),"⚠ Baseline: Start لا يدخل في التقدم",IF($K4039="No Start (attainment only)","ℹ تحصيل فقط (بدون Start)",IF($K4039="U – needs rule","ℹ حالة U تحتاج قاعدة معتمدة",IF($K4039="No result","ℹ بدون نتيجة (يُستبعد من التحصيل)","OK")))))))))))</f>
        <v/>
      </c>
      <c r="M4039" s="64" t="n">
        <f aca="false">IF($A4039="",0,IFERROR(MATCH($A4039,Classes!$A$6:$A$420,0),0))</f>
        <v>0</v>
      </c>
      <c r="N4039" s="64" t="n">
        <f aca="false">IF($H4039="",0,IFERROR(MATCH($H4039,GradeList,0),0))</f>
        <v>0</v>
      </c>
      <c r="O4039" s="64" t="n">
        <f aca="false">IF(OR($I4039="",$I4039="NR"),0,IFERROR(MATCH($I4039,GradeList,0),0))</f>
        <v>0</v>
      </c>
      <c r="P4039" s="64" t="n">
        <f aca="false">IF(AND($M4039&gt;0,ISNUMBER(MATCH($F4039,Lists!$A$2:$A$5,0)),ISNUMBER(MATCH($G4039,Lists!$B$2:$B$7,0)),OR($H4039="",$N4039&gt;0),OR($I4039="",$I4039="NR",$O4039&gt;0),IF(ISNUMBER($J4039),AND($J4039&gt;=0,$J4039=INT($J4039)),FALSE())),$J4039,0)</f>
        <v>0</v>
      </c>
      <c r="Q4039" s="64" t="n">
        <f aca="false">IF(AND($P4039&gt;0,$O4039&gt;0),$P4039,0)</f>
        <v>0</v>
      </c>
      <c r="R4039" s="64" t="n">
        <f aca="false">IF(AND($Q4039&gt;0,$O4039&gt;=AtRank),$Q4039,0)</f>
        <v>0</v>
      </c>
      <c r="S4039" s="64" t="n">
        <f aca="false">IF(AND($Q4039&gt;0,$O4039&gt;=AboveRank),$Q4039,0)</f>
        <v>0</v>
      </c>
      <c r="T4039" s="64" t="n">
        <f aca="false">IF($K4039="Less",$P4039,0)</f>
        <v>0</v>
      </c>
      <c r="U4039" s="64" t="n">
        <f aca="false">IF($K4039="Expected",$P4039,0)</f>
        <v>0</v>
      </c>
      <c r="V4039" s="64" t="n">
        <f aca="false">IF($K4039="Better",$P4039,0)</f>
        <v>0</v>
      </c>
      <c r="W4039" s="64" t="n">
        <f aca="false">IF($K4039="U – needs rule",$P4039,0)</f>
        <v>0</v>
      </c>
      <c r="X4039" s="64" t="n">
        <f aca="false">IF($K4039="No Start (attainment only)",$P4039,0)</f>
        <v>0</v>
      </c>
    </row>
    <row r="4040" customFormat="false" ht="15" hidden="false" customHeight="false" outlineLevel="0" collapsed="false">
      <c r="A4040" s="60"/>
      <c r="B4040" s="61" t="str">
        <f aca="false">IF($M4040=0,"",INDEX(Classes!$E$6:$E$420,$M4040))</f>
        <v/>
      </c>
      <c r="C4040" s="62" t="str">
        <f aca="false">IF($M4040=0,"",INDEX(Classes!$H$6:$H$420,$M4040))</f>
        <v/>
      </c>
      <c r="D4040" s="61" t="str">
        <f aca="false">IF($M4040=0,"",INDEX(Classes!$B$6:$B$420,$M4040))</f>
        <v/>
      </c>
      <c r="E4040" s="61" t="str">
        <f aca="false">IF($M4040=0,"",INDEX(Classes!$C$6:$C$420,$M4040))</f>
        <v/>
      </c>
      <c r="F4040" s="63"/>
      <c r="G4040" s="63"/>
      <c r="H4040" s="60"/>
      <c r="I4040" s="60"/>
      <c r="J4040" s="63"/>
      <c r="K4040" s="61" t="str">
        <f aca="false">IF($P4040=0,"",IF($F4040="Baseline","— Baseline",IF($O4040=0,"No result",IF($N4040=0,"No Start (attainment only)",IF(OR($N4040=1,$O4040=1),"U – needs rule",INDEX(MxBody,MATCH($I4040,MxCurr,0),MATCH($H4040,MxStart,0)))))))</f>
        <v/>
      </c>
      <c r="L4040" s="62" t="str">
        <f aca="false">IF(COUNTA($A4040,$F4040,$G4040,$H4040,$I4040,$J4040)=0,"",IF($M4040=0,"✖ كود الصف غير موجود",IF(ISNA(MATCH($F4040,Lists!$A$2:$A$5,0)),"✖ الفترة غير صحيحة",IF(ISNA(MATCH($G4040,Lists!$B$2:$B$7,0)),"✖ المجموعة غير صحيحة",IF(NOT(OR($H4040="",$N4040&gt;0)),"✖ Start غير صحيح",IF(NOT(OR($I4040="",$I4040="NR",$O4040&gt;0)),"✖ Current غير صحيح",IF(NOT(IF(ISNUMBER($J4040),AND($J4040&gt;=0,$J4040=INT($J4040)),FALSE())),"✖ العدد يجب أن يكون صحيحًا ≥ 0",IF(AND($F4040="Baseline",$H4040&lt;&gt;""),"⚠ Baseline: Start لا يدخل في التقدم",IF($K4040="No Start (attainment only)","ℹ تحصيل فقط (بدون Start)",IF($K4040="U – needs rule","ℹ حالة U تحتاج قاعدة معتمدة",IF($K4040="No result","ℹ بدون نتيجة (يُستبعد من التحصيل)","OK")))))))))))</f>
        <v/>
      </c>
      <c r="M4040" s="64" t="n">
        <f aca="false">IF($A4040="",0,IFERROR(MATCH($A4040,Classes!$A$6:$A$420,0),0))</f>
        <v>0</v>
      </c>
      <c r="N4040" s="64" t="n">
        <f aca="false">IF($H4040="",0,IFERROR(MATCH($H4040,GradeList,0),0))</f>
        <v>0</v>
      </c>
      <c r="O4040" s="64" t="n">
        <f aca="false">IF(OR($I4040="",$I4040="NR"),0,IFERROR(MATCH($I4040,GradeList,0),0))</f>
        <v>0</v>
      </c>
      <c r="P4040" s="64" t="n">
        <f aca="false">IF(AND($M4040&gt;0,ISNUMBER(MATCH($F4040,Lists!$A$2:$A$5,0)),ISNUMBER(MATCH($G4040,Lists!$B$2:$B$7,0)),OR($H4040="",$N4040&gt;0),OR($I4040="",$I4040="NR",$O4040&gt;0),IF(ISNUMBER($J4040),AND($J4040&gt;=0,$J4040=INT($J4040)),FALSE())),$J4040,0)</f>
        <v>0</v>
      </c>
      <c r="Q4040" s="64" t="n">
        <f aca="false">IF(AND($P4040&gt;0,$O4040&gt;0),$P4040,0)</f>
        <v>0</v>
      </c>
      <c r="R4040" s="64" t="n">
        <f aca="false">IF(AND($Q4040&gt;0,$O4040&gt;=AtRank),$Q4040,0)</f>
        <v>0</v>
      </c>
      <c r="S4040" s="64" t="n">
        <f aca="false">IF(AND($Q4040&gt;0,$O4040&gt;=AboveRank),$Q4040,0)</f>
        <v>0</v>
      </c>
      <c r="T4040" s="64" t="n">
        <f aca="false">IF($K4040="Less",$P4040,0)</f>
        <v>0</v>
      </c>
      <c r="U4040" s="64" t="n">
        <f aca="false">IF($K4040="Expected",$P4040,0)</f>
        <v>0</v>
      </c>
      <c r="V4040" s="64" t="n">
        <f aca="false">IF($K4040="Better",$P4040,0)</f>
        <v>0</v>
      </c>
      <c r="W4040" s="64" t="n">
        <f aca="false">IF($K4040="U – needs rule",$P4040,0)</f>
        <v>0</v>
      </c>
      <c r="X4040" s="64" t="n">
        <f aca="false">IF($K4040="No Start (attainment only)",$P4040,0)</f>
        <v>0</v>
      </c>
    </row>
    <row r="4041" customFormat="false" ht="15" hidden="false" customHeight="false" outlineLevel="0" collapsed="false">
      <c r="A4041" s="60"/>
      <c r="B4041" s="61" t="str">
        <f aca="false">IF($M4041=0,"",INDEX(Classes!$E$6:$E$420,$M4041))</f>
        <v/>
      </c>
      <c r="C4041" s="62" t="str">
        <f aca="false">IF($M4041=0,"",INDEX(Classes!$H$6:$H$420,$M4041))</f>
        <v/>
      </c>
      <c r="D4041" s="61" t="str">
        <f aca="false">IF($M4041=0,"",INDEX(Classes!$B$6:$B$420,$M4041))</f>
        <v/>
      </c>
      <c r="E4041" s="61" t="str">
        <f aca="false">IF($M4041=0,"",INDEX(Classes!$C$6:$C$420,$M4041))</f>
        <v/>
      </c>
      <c r="F4041" s="63"/>
      <c r="G4041" s="63"/>
      <c r="H4041" s="60"/>
      <c r="I4041" s="60"/>
      <c r="J4041" s="63"/>
      <c r="K4041" s="61" t="str">
        <f aca="false">IF($P4041=0,"",IF($F4041="Baseline","— Baseline",IF($O4041=0,"No result",IF($N4041=0,"No Start (attainment only)",IF(OR($N4041=1,$O4041=1),"U – needs rule",INDEX(MxBody,MATCH($I4041,MxCurr,0),MATCH($H4041,MxStart,0)))))))</f>
        <v/>
      </c>
      <c r="L4041" s="62" t="str">
        <f aca="false">IF(COUNTA($A4041,$F4041,$G4041,$H4041,$I4041,$J4041)=0,"",IF($M4041=0,"✖ كود الصف غير موجود",IF(ISNA(MATCH($F4041,Lists!$A$2:$A$5,0)),"✖ الفترة غير صحيحة",IF(ISNA(MATCH($G4041,Lists!$B$2:$B$7,0)),"✖ المجموعة غير صحيحة",IF(NOT(OR($H4041="",$N4041&gt;0)),"✖ Start غير صحيح",IF(NOT(OR($I4041="",$I4041="NR",$O4041&gt;0)),"✖ Current غير صحيح",IF(NOT(IF(ISNUMBER($J4041),AND($J4041&gt;=0,$J4041=INT($J4041)),FALSE())),"✖ العدد يجب أن يكون صحيحًا ≥ 0",IF(AND($F4041="Baseline",$H4041&lt;&gt;""),"⚠ Baseline: Start لا يدخل في التقدم",IF($K4041="No Start (attainment only)","ℹ تحصيل فقط (بدون Start)",IF($K4041="U – needs rule","ℹ حالة U تحتاج قاعدة معتمدة",IF($K4041="No result","ℹ بدون نتيجة (يُستبعد من التحصيل)","OK")))))))))))</f>
        <v/>
      </c>
      <c r="M4041" s="64" t="n">
        <f aca="false">IF($A4041="",0,IFERROR(MATCH($A4041,Classes!$A$6:$A$420,0),0))</f>
        <v>0</v>
      </c>
      <c r="N4041" s="64" t="n">
        <f aca="false">IF($H4041="",0,IFERROR(MATCH($H4041,GradeList,0),0))</f>
        <v>0</v>
      </c>
      <c r="O4041" s="64" t="n">
        <f aca="false">IF(OR($I4041="",$I4041="NR"),0,IFERROR(MATCH($I4041,GradeList,0),0))</f>
        <v>0</v>
      </c>
      <c r="P4041" s="64" t="n">
        <f aca="false">IF(AND($M4041&gt;0,ISNUMBER(MATCH($F4041,Lists!$A$2:$A$5,0)),ISNUMBER(MATCH($G4041,Lists!$B$2:$B$7,0)),OR($H4041="",$N4041&gt;0),OR($I4041="",$I4041="NR",$O4041&gt;0),IF(ISNUMBER($J4041),AND($J4041&gt;=0,$J4041=INT($J4041)),FALSE())),$J4041,0)</f>
        <v>0</v>
      </c>
      <c r="Q4041" s="64" t="n">
        <f aca="false">IF(AND($P4041&gt;0,$O4041&gt;0),$P4041,0)</f>
        <v>0</v>
      </c>
      <c r="R4041" s="64" t="n">
        <f aca="false">IF(AND($Q4041&gt;0,$O4041&gt;=AtRank),$Q4041,0)</f>
        <v>0</v>
      </c>
      <c r="S4041" s="64" t="n">
        <f aca="false">IF(AND($Q4041&gt;0,$O4041&gt;=AboveRank),$Q4041,0)</f>
        <v>0</v>
      </c>
      <c r="T4041" s="64" t="n">
        <f aca="false">IF($K4041="Less",$P4041,0)</f>
        <v>0</v>
      </c>
      <c r="U4041" s="64" t="n">
        <f aca="false">IF($K4041="Expected",$P4041,0)</f>
        <v>0</v>
      </c>
      <c r="V4041" s="64" t="n">
        <f aca="false">IF($K4041="Better",$P4041,0)</f>
        <v>0</v>
      </c>
      <c r="W4041" s="64" t="n">
        <f aca="false">IF($K4041="U – needs rule",$P4041,0)</f>
        <v>0</v>
      </c>
      <c r="X4041" s="64" t="n">
        <f aca="false">IF($K4041="No Start (attainment only)",$P4041,0)</f>
        <v>0</v>
      </c>
    </row>
    <row r="4042" customFormat="false" ht="15" hidden="false" customHeight="false" outlineLevel="0" collapsed="false">
      <c r="A4042" s="60"/>
      <c r="B4042" s="61" t="str">
        <f aca="false">IF($M4042=0,"",INDEX(Classes!$E$6:$E$420,$M4042))</f>
        <v/>
      </c>
      <c r="C4042" s="62" t="str">
        <f aca="false">IF($M4042=0,"",INDEX(Classes!$H$6:$H$420,$M4042))</f>
        <v/>
      </c>
      <c r="D4042" s="61" t="str">
        <f aca="false">IF($M4042=0,"",INDEX(Classes!$B$6:$B$420,$M4042))</f>
        <v/>
      </c>
      <c r="E4042" s="61" t="str">
        <f aca="false">IF($M4042=0,"",INDEX(Classes!$C$6:$C$420,$M4042))</f>
        <v/>
      </c>
      <c r="F4042" s="63"/>
      <c r="G4042" s="63"/>
      <c r="H4042" s="60"/>
      <c r="I4042" s="60"/>
      <c r="J4042" s="63"/>
      <c r="K4042" s="61" t="str">
        <f aca="false">IF($P4042=0,"",IF($F4042="Baseline","— Baseline",IF($O4042=0,"No result",IF($N4042=0,"No Start (attainment only)",IF(OR($N4042=1,$O4042=1),"U – needs rule",INDEX(MxBody,MATCH($I4042,MxCurr,0),MATCH($H4042,MxStart,0)))))))</f>
        <v/>
      </c>
      <c r="L4042" s="62" t="str">
        <f aca="false">IF(COUNTA($A4042,$F4042,$G4042,$H4042,$I4042,$J4042)=0,"",IF($M4042=0,"✖ كود الصف غير موجود",IF(ISNA(MATCH($F4042,Lists!$A$2:$A$5,0)),"✖ الفترة غير صحيحة",IF(ISNA(MATCH($G4042,Lists!$B$2:$B$7,0)),"✖ المجموعة غير صحيحة",IF(NOT(OR($H4042="",$N4042&gt;0)),"✖ Start غير صحيح",IF(NOT(OR($I4042="",$I4042="NR",$O4042&gt;0)),"✖ Current غير صحيح",IF(NOT(IF(ISNUMBER($J4042),AND($J4042&gt;=0,$J4042=INT($J4042)),FALSE())),"✖ العدد يجب أن يكون صحيحًا ≥ 0",IF(AND($F4042="Baseline",$H4042&lt;&gt;""),"⚠ Baseline: Start لا يدخل في التقدم",IF($K4042="No Start (attainment only)","ℹ تحصيل فقط (بدون Start)",IF($K4042="U – needs rule","ℹ حالة U تحتاج قاعدة معتمدة",IF($K4042="No result","ℹ بدون نتيجة (يُستبعد من التحصيل)","OK")))))))))))</f>
        <v/>
      </c>
      <c r="M4042" s="64" t="n">
        <f aca="false">IF($A4042="",0,IFERROR(MATCH($A4042,Classes!$A$6:$A$420,0),0))</f>
        <v>0</v>
      </c>
      <c r="N4042" s="64" t="n">
        <f aca="false">IF($H4042="",0,IFERROR(MATCH($H4042,GradeList,0),0))</f>
        <v>0</v>
      </c>
      <c r="O4042" s="64" t="n">
        <f aca="false">IF(OR($I4042="",$I4042="NR"),0,IFERROR(MATCH($I4042,GradeList,0),0))</f>
        <v>0</v>
      </c>
      <c r="P4042" s="64" t="n">
        <f aca="false">IF(AND($M4042&gt;0,ISNUMBER(MATCH($F4042,Lists!$A$2:$A$5,0)),ISNUMBER(MATCH($G4042,Lists!$B$2:$B$7,0)),OR($H4042="",$N4042&gt;0),OR($I4042="",$I4042="NR",$O4042&gt;0),IF(ISNUMBER($J4042),AND($J4042&gt;=0,$J4042=INT($J4042)),FALSE())),$J4042,0)</f>
        <v>0</v>
      </c>
      <c r="Q4042" s="64" t="n">
        <f aca="false">IF(AND($P4042&gt;0,$O4042&gt;0),$P4042,0)</f>
        <v>0</v>
      </c>
      <c r="R4042" s="64" t="n">
        <f aca="false">IF(AND($Q4042&gt;0,$O4042&gt;=AtRank),$Q4042,0)</f>
        <v>0</v>
      </c>
      <c r="S4042" s="64" t="n">
        <f aca="false">IF(AND($Q4042&gt;0,$O4042&gt;=AboveRank),$Q4042,0)</f>
        <v>0</v>
      </c>
      <c r="T4042" s="64" t="n">
        <f aca="false">IF($K4042="Less",$P4042,0)</f>
        <v>0</v>
      </c>
      <c r="U4042" s="64" t="n">
        <f aca="false">IF($K4042="Expected",$P4042,0)</f>
        <v>0</v>
      </c>
      <c r="V4042" s="64" t="n">
        <f aca="false">IF($K4042="Better",$P4042,0)</f>
        <v>0</v>
      </c>
      <c r="W4042" s="64" t="n">
        <f aca="false">IF($K4042="U – needs rule",$P4042,0)</f>
        <v>0</v>
      </c>
      <c r="X4042" s="64" t="n">
        <f aca="false">IF($K4042="No Start (attainment only)",$P4042,0)</f>
        <v>0</v>
      </c>
    </row>
    <row r="4043" customFormat="false" ht="15" hidden="false" customHeight="false" outlineLevel="0" collapsed="false">
      <c r="A4043" s="60"/>
      <c r="B4043" s="61" t="str">
        <f aca="false">IF($M4043=0,"",INDEX(Classes!$E$6:$E$420,$M4043))</f>
        <v/>
      </c>
      <c r="C4043" s="62" t="str">
        <f aca="false">IF($M4043=0,"",INDEX(Classes!$H$6:$H$420,$M4043))</f>
        <v/>
      </c>
      <c r="D4043" s="61" t="str">
        <f aca="false">IF($M4043=0,"",INDEX(Classes!$B$6:$B$420,$M4043))</f>
        <v/>
      </c>
      <c r="E4043" s="61" t="str">
        <f aca="false">IF($M4043=0,"",INDEX(Classes!$C$6:$C$420,$M4043))</f>
        <v/>
      </c>
      <c r="F4043" s="63"/>
      <c r="G4043" s="63"/>
      <c r="H4043" s="60"/>
      <c r="I4043" s="60"/>
      <c r="J4043" s="63"/>
      <c r="K4043" s="61" t="str">
        <f aca="false">IF($P4043=0,"",IF($F4043="Baseline","— Baseline",IF($O4043=0,"No result",IF($N4043=0,"No Start (attainment only)",IF(OR($N4043=1,$O4043=1),"U – needs rule",INDEX(MxBody,MATCH($I4043,MxCurr,0),MATCH($H4043,MxStart,0)))))))</f>
        <v/>
      </c>
      <c r="L4043" s="62" t="str">
        <f aca="false">IF(COUNTA($A4043,$F4043,$G4043,$H4043,$I4043,$J4043)=0,"",IF($M4043=0,"✖ كود الصف غير موجود",IF(ISNA(MATCH($F4043,Lists!$A$2:$A$5,0)),"✖ الفترة غير صحيحة",IF(ISNA(MATCH($G4043,Lists!$B$2:$B$7,0)),"✖ المجموعة غير صحيحة",IF(NOT(OR($H4043="",$N4043&gt;0)),"✖ Start غير صحيح",IF(NOT(OR($I4043="",$I4043="NR",$O4043&gt;0)),"✖ Current غير صحيح",IF(NOT(IF(ISNUMBER($J4043),AND($J4043&gt;=0,$J4043=INT($J4043)),FALSE())),"✖ العدد يجب أن يكون صحيحًا ≥ 0",IF(AND($F4043="Baseline",$H4043&lt;&gt;""),"⚠ Baseline: Start لا يدخل في التقدم",IF($K4043="No Start (attainment only)","ℹ تحصيل فقط (بدون Start)",IF($K4043="U – needs rule","ℹ حالة U تحتاج قاعدة معتمدة",IF($K4043="No result","ℹ بدون نتيجة (يُستبعد من التحصيل)","OK")))))))))))</f>
        <v/>
      </c>
      <c r="M4043" s="64" t="n">
        <f aca="false">IF($A4043="",0,IFERROR(MATCH($A4043,Classes!$A$6:$A$420,0),0))</f>
        <v>0</v>
      </c>
      <c r="N4043" s="64" t="n">
        <f aca="false">IF($H4043="",0,IFERROR(MATCH($H4043,GradeList,0),0))</f>
        <v>0</v>
      </c>
      <c r="O4043" s="64" t="n">
        <f aca="false">IF(OR($I4043="",$I4043="NR"),0,IFERROR(MATCH($I4043,GradeList,0),0))</f>
        <v>0</v>
      </c>
      <c r="P4043" s="64" t="n">
        <f aca="false">IF(AND($M4043&gt;0,ISNUMBER(MATCH($F4043,Lists!$A$2:$A$5,0)),ISNUMBER(MATCH($G4043,Lists!$B$2:$B$7,0)),OR($H4043="",$N4043&gt;0),OR($I4043="",$I4043="NR",$O4043&gt;0),IF(ISNUMBER($J4043),AND($J4043&gt;=0,$J4043=INT($J4043)),FALSE())),$J4043,0)</f>
        <v>0</v>
      </c>
      <c r="Q4043" s="64" t="n">
        <f aca="false">IF(AND($P4043&gt;0,$O4043&gt;0),$P4043,0)</f>
        <v>0</v>
      </c>
      <c r="R4043" s="64" t="n">
        <f aca="false">IF(AND($Q4043&gt;0,$O4043&gt;=AtRank),$Q4043,0)</f>
        <v>0</v>
      </c>
      <c r="S4043" s="64" t="n">
        <f aca="false">IF(AND($Q4043&gt;0,$O4043&gt;=AboveRank),$Q4043,0)</f>
        <v>0</v>
      </c>
      <c r="T4043" s="64" t="n">
        <f aca="false">IF($K4043="Less",$P4043,0)</f>
        <v>0</v>
      </c>
      <c r="U4043" s="64" t="n">
        <f aca="false">IF($K4043="Expected",$P4043,0)</f>
        <v>0</v>
      </c>
      <c r="V4043" s="64" t="n">
        <f aca="false">IF($K4043="Better",$P4043,0)</f>
        <v>0</v>
      </c>
      <c r="W4043" s="64" t="n">
        <f aca="false">IF($K4043="U – needs rule",$P4043,0)</f>
        <v>0</v>
      </c>
      <c r="X4043" s="64" t="n">
        <f aca="false">IF($K4043="No Start (attainment only)",$P4043,0)</f>
        <v>0</v>
      </c>
    </row>
    <row r="4044" customFormat="false" ht="15" hidden="false" customHeight="false" outlineLevel="0" collapsed="false">
      <c r="A4044" s="60"/>
      <c r="B4044" s="61" t="str">
        <f aca="false">IF($M4044=0,"",INDEX(Classes!$E$6:$E$420,$M4044))</f>
        <v/>
      </c>
      <c r="C4044" s="62" t="str">
        <f aca="false">IF($M4044=0,"",INDEX(Classes!$H$6:$H$420,$M4044))</f>
        <v/>
      </c>
      <c r="D4044" s="61" t="str">
        <f aca="false">IF($M4044=0,"",INDEX(Classes!$B$6:$B$420,$M4044))</f>
        <v/>
      </c>
      <c r="E4044" s="61" t="str">
        <f aca="false">IF($M4044=0,"",INDEX(Classes!$C$6:$C$420,$M4044))</f>
        <v/>
      </c>
      <c r="F4044" s="63"/>
      <c r="G4044" s="63"/>
      <c r="H4044" s="60"/>
      <c r="I4044" s="60"/>
      <c r="J4044" s="63"/>
      <c r="K4044" s="61" t="str">
        <f aca="false">IF($P4044=0,"",IF($F4044="Baseline","— Baseline",IF($O4044=0,"No result",IF($N4044=0,"No Start (attainment only)",IF(OR($N4044=1,$O4044=1),"U – needs rule",INDEX(MxBody,MATCH($I4044,MxCurr,0),MATCH($H4044,MxStart,0)))))))</f>
        <v/>
      </c>
      <c r="L4044" s="62" t="str">
        <f aca="false">IF(COUNTA($A4044,$F4044,$G4044,$H4044,$I4044,$J4044)=0,"",IF($M4044=0,"✖ كود الصف غير موجود",IF(ISNA(MATCH($F4044,Lists!$A$2:$A$5,0)),"✖ الفترة غير صحيحة",IF(ISNA(MATCH($G4044,Lists!$B$2:$B$7,0)),"✖ المجموعة غير صحيحة",IF(NOT(OR($H4044="",$N4044&gt;0)),"✖ Start غير صحيح",IF(NOT(OR($I4044="",$I4044="NR",$O4044&gt;0)),"✖ Current غير صحيح",IF(NOT(IF(ISNUMBER($J4044),AND($J4044&gt;=0,$J4044=INT($J4044)),FALSE())),"✖ العدد يجب أن يكون صحيحًا ≥ 0",IF(AND($F4044="Baseline",$H4044&lt;&gt;""),"⚠ Baseline: Start لا يدخل في التقدم",IF($K4044="No Start (attainment only)","ℹ تحصيل فقط (بدون Start)",IF($K4044="U – needs rule","ℹ حالة U تحتاج قاعدة معتمدة",IF($K4044="No result","ℹ بدون نتيجة (يُستبعد من التحصيل)","OK")))))))))))</f>
        <v/>
      </c>
      <c r="M4044" s="64" t="n">
        <f aca="false">IF($A4044="",0,IFERROR(MATCH($A4044,Classes!$A$6:$A$420,0),0))</f>
        <v>0</v>
      </c>
      <c r="N4044" s="64" t="n">
        <f aca="false">IF($H4044="",0,IFERROR(MATCH($H4044,GradeList,0),0))</f>
        <v>0</v>
      </c>
      <c r="O4044" s="64" t="n">
        <f aca="false">IF(OR($I4044="",$I4044="NR"),0,IFERROR(MATCH($I4044,GradeList,0),0))</f>
        <v>0</v>
      </c>
      <c r="P4044" s="64" t="n">
        <f aca="false">IF(AND($M4044&gt;0,ISNUMBER(MATCH($F4044,Lists!$A$2:$A$5,0)),ISNUMBER(MATCH($G4044,Lists!$B$2:$B$7,0)),OR($H4044="",$N4044&gt;0),OR($I4044="",$I4044="NR",$O4044&gt;0),IF(ISNUMBER($J4044),AND($J4044&gt;=0,$J4044=INT($J4044)),FALSE())),$J4044,0)</f>
        <v>0</v>
      </c>
      <c r="Q4044" s="64" t="n">
        <f aca="false">IF(AND($P4044&gt;0,$O4044&gt;0),$P4044,0)</f>
        <v>0</v>
      </c>
      <c r="R4044" s="64" t="n">
        <f aca="false">IF(AND($Q4044&gt;0,$O4044&gt;=AtRank),$Q4044,0)</f>
        <v>0</v>
      </c>
      <c r="S4044" s="64" t="n">
        <f aca="false">IF(AND($Q4044&gt;0,$O4044&gt;=AboveRank),$Q4044,0)</f>
        <v>0</v>
      </c>
      <c r="T4044" s="64" t="n">
        <f aca="false">IF($K4044="Less",$P4044,0)</f>
        <v>0</v>
      </c>
      <c r="U4044" s="64" t="n">
        <f aca="false">IF($K4044="Expected",$P4044,0)</f>
        <v>0</v>
      </c>
      <c r="V4044" s="64" t="n">
        <f aca="false">IF($K4044="Better",$P4044,0)</f>
        <v>0</v>
      </c>
      <c r="W4044" s="64" t="n">
        <f aca="false">IF($K4044="U – needs rule",$P4044,0)</f>
        <v>0</v>
      </c>
      <c r="X4044" s="64" t="n">
        <f aca="false">IF($K4044="No Start (attainment only)",$P4044,0)</f>
        <v>0</v>
      </c>
    </row>
    <row r="4045" customFormat="false" ht="15" hidden="false" customHeight="false" outlineLevel="0" collapsed="false">
      <c r="A4045" s="60"/>
      <c r="B4045" s="61" t="str">
        <f aca="false">IF($M4045=0,"",INDEX(Classes!$E$6:$E$420,$M4045))</f>
        <v/>
      </c>
      <c r="C4045" s="62" t="str">
        <f aca="false">IF($M4045=0,"",INDEX(Classes!$H$6:$H$420,$M4045))</f>
        <v/>
      </c>
      <c r="D4045" s="61" t="str">
        <f aca="false">IF($M4045=0,"",INDEX(Classes!$B$6:$B$420,$M4045))</f>
        <v/>
      </c>
      <c r="E4045" s="61" t="str">
        <f aca="false">IF($M4045=0,"",INDEX(Classes!$C$6:$C$420,$M4045))</f>
        <v/>
      </c>
      <c r="F4045" s="63"/>
      <c r="G4045" s="63"/>
      <c r="H4045" s="60"/>
      <c r="I4045" s="60"/>
      <c r="J4045" s="63"/>
      <c r="K4045" s="61" t="str">
        <f aca="false">IF($P4045=0,"",IF($F4045="Baseline","— Baseline",IF($O4045=0,"No result",IF($N4045=0,"No Start (attainment only)",IF(OR($N4045=1,$O4045=1),"U – needs rule",INDEX(MxBody,MATCH($I4045,MxCurr,0),MATCH($H4045,MxStart,0)))))))</f>
        <v/>
      </c>
      <c r="L4045" s="62" t="str">
        <f aca="false">IF(COUNTA($A4045,$F4045,$G4045,$H4045,$I4045,$J4045)=0,"",IF($M4045=0,"✖ كود الصف غير موجود",IF(ISNA(MATCH($F4045,Lists!$A$2:$A$5,0)),"✖ الفترة غير صحيحة",IF(ISNA(MATCH($G4045,Lists!$B$2:$B$7,0)),"✖ المجموعة غير صحيحة",IF(NOT(OR($H4045="",$N4045&gt;0)),"✖ Start غير صحيح",IF(NOT(OR($I4045="",$I4045="NR",$O4045&gt;0)),"✖ Current غير صحيح",IF(NOT(IF(ISNUMBER($J4045),AND($J4045&gt;=0,$J4045=INT($J4045)),FALSE())),"✖ العدد يجب أن يكون صحيحًا ≥ 0",IF(AND($F4045="Baseline",$H4045&lt;&gt;""),"⚠ Baseline: Start لا يدخل في التقدم",IF($K4045="No Start (attainment only)","ℹ تحصيل فقط (بدون Start)",IF($K4045="U – needs rule","ℹ حالة U تحتاج قاعدة معتمدة",IF($K4045="No result","ℹ بدون نتيجة (يُستبعد من التحصيل)","OK")))))))))))</f>
        <v/>
      </c>
      <c r="M4045" s="64" t="n">
        <f aca="false">IF($A4045="",0,IFERROR(MATCH($A4045,Classes!$A$6:$A$420,0),0))</f>
        <v>0</v>
      </c>
      <c r="N4045" s="64" t="n">
        <f aca="false">IF($H4045="",0,IFERROR(MATCH($H4045,GradeList,0),0))</f>
        <v>0</v>
      </c>
      <c r="O4045" s="64" t="n">
        <f aca="false">IF(OR($I4045="",$I4045="NR"),0,IFERROR(MATCH($I4045,GradeList,0),0))</f>
        <v>0</v>
      </c>
      <c r="P4045" s="64" t="n">
        <f aca="false">IF(AND($M4045&gt;0,ISNUMBER(MATCH($F4045,Lists!$A$2:$A$5,0)),ISNUMBER(MATCH($G4045,Lists!$B$2:$B$7,0)),OR($H4045="",$N4045&gt;0),OR($I4045="",$I4045="NR",$O4045&gt;0),IF(ISNUMBER($J4045),AND($J4045&gt;=0,$J4045=INT($J4045)),FALSE())),$J4045,0)</f>
        <v>0</v>
      </c>
      <c r="Q4045" s="64" t="n">
        <f aca="false">IF(AND($P4045&gt;0,$O4045&gt;0),$P4045,0)</f>
        <v>0</v>
      </c>
      <c r="R4045" s="64" t="n">
        <f aca="false">IF(AND($Q4045&gt;0,$O4045&gt;=AtRank),$Q4045,0)</f>
        <v>0</v>
      </c>
      <c r="S4045" s="64" t="n">
        <f aca="false">IF(AND($Q4045&gt;0,$O4045&gt;=AboveRank),$Q4045,0)</f>
        <v>0</v>
      </c>
      <c r="T4045" s="64" t="n">
        <f aca="false">IF($K4045="Less",$P4045,0)</f>
        <v>0</v>
      </c>
      <c r="U4045" s="64" t="n">
        <f aca="false">IF($K4045="Expected",$P4045,0)</f>
        <v>0</v>
      </c>
      <c r="V4045" s="64" t="n">
        <f aca="false">IF($K4045="Better",$P4045,0)</f>
        <v>0</v>
      </c>
      <c r="W4045" s="64" t="n">
        <f aca="false">IF($K4045="U – needs rule",$P4045,0)</f>
        <v>0</v>
      </c>
      <c r="X4045" s="64" t="n">
        <f aca="false">IF($K4045="No Start (attainment only)",$P4045,0)</f>
        <v>0</v>
      </c>
    </row>
    <row r="4046" customFormat="false" ht="15" hidden="false" customHeight="false" outlineLevel="0" collapsed="false">
      <c r="A4046" s="60"/>
      <c r="B4046" s="61" t="str">
        <f aca="false">IF($M4046=0,"",INDEX(Classes!$E$6:$E$420,$M4046))</f>
        <v/>
      </c>
      <c r="C4046" s="62" t="str">
        <f aca="false">IF($M4046=0,"",INDEX(Classes!$H$6:$H$420,$M4046))</f>
        <v/>
      </c>
      <c r="D4046" s="61" t="str">
        <f aca="false">IF($M4046=0,"",INDEX(Classes!$B$6:$B$420,$M4046))</f>
        <v/>
      </c>
      <c r="E4046" s="61" t="str">
        <f aca="false">IF($M4046=0,"",INDEX(Classes!$C$6:$C$420,$M4046))</f>
        <v/>
      </c>
      <c r="F4046" s="63"/>
      <c r="G4046" s="63"/>
      <c r="H4046" s="60"/>
      <c r="I4046" s="60"/>
      <c r="J4046" s="63"/>
      <c r="K4046" s="61" t="str">
        <f aca="false">IF($P4046=0,"",IF($F4046="Baseline","— Baseline",IF($O4046=0,"No result",IF($N4046=0,"No Start (attainment only)",IF(OR($N4046=1,$O4046=1),"U – needs rule",INDEX(MxBody,MATCH($I4046,MxCurr,0),MATCH($H4046,MxStart,0)))))))</f>
        <v/>
      </c>
      <c r="L4046" s="62" t="str">
        <f aca="false">IF(COUNTA($A4046,$F4046,$G4046,$H4046,$I4046,$J4046)=0,"",IF($M4046=0,"✖ كود الصف غير موجود",IF(ISNA(MATCH($F4046,Lists!$A$2:$A$5,0)),"✖ الفترة غير صحيحة",IF(ISNA(MATCH($G4046,Lists!$B$2:$B$7,0)),"✖ المجموعة غير صحيحة",IF(NOT(OR($H4046="",$N4046&gt;0)),"✖ Start غير صحيح",IF(NOT(OR($I4046="",$I4046="NR",$O4046&gt;0)),"✖ Current غير صحيح",IF(NOT(IF(ISNUMBER($J4046),AND($J4046&gt;=0,$J4046=INT($J4046)),FALSE())),"✖ العدد يجب أن يكون صحيحًا ≥ 0",IF(AND($F4046="Baseline",$H4046&lt;&gt;""),"⚠ Baseline: Start لا يدخل في التقدم",IF($K4046="No Start (attainment only)","ℹ تحصيل فقط (بدون Start)",IF($K4046="U – needs rule","ℹ حالة U تحتاج قاعدة معتمدة",IF($K4046="No result","ℹ بدون نتيجة (يُستبعد من التحصيل)","OK")))))))))))</f>
        <v/>
      </c>
      <c r="M4046" s="64" t="n">
        <f aca="false">IF($A4046="",0,IFERROR(MATCH($A4046,Classes!$A$6:$A$420,0),0))</f>
        <v>0</v>
      </c>
      <c r="N4046" s="64" t="n">
        <f aca="false">IF($H4046="",0,IFERROR(MATCH($H4046,GradeList,0),0))</f>
        <v>0</v>
      </c>
      <c r="O4046" s="64" t="n">
        <f aca="false">IF(OR($I4046="",$I4046="NR"),0,IFERROR(MATCH($I4046,GradeList,0),0))</f>
        <v>0</v>
      </c>
      <c r="P4046" s="64" t="n">
        <f aca="false">IF(AND($M4046&gt;0,ISNUMBER(MATCH($F4046,Lists!$A$2:$A$5,0)),ISNUMBER(MATCH($G4046,Lists!$B$2:$B$7,0)),OR($H4046="",$N4046&gt;0),OR($I4046="",$I4046="NR",$O4046&gt;0),IF(ISNUMBER($J4046),AND($J4046&gt;=0,$J4046=INT($J4046)),FALSE())),$J4046,0)</f>
        <v>0</v>
      </c>
      <c r="Q4046" s="64" t="n">
        <f aca="false">IF(AND($P4046&gt;0,$O4046&gt;0),$P4046,0)</f>
        <v>0</v>
      </c>
      <c r="R4046" s="64" t="n">
        <f aca="false">IF(AND($Q4046&gt;0,$O4046&gt;=AtRank),$Q4046,0)</f>
        <v>0</v>
      </c>
      <c r="S4046" s="64" t="n">
        <f aca="false">IF(AND($Q4046&gt;0,$O4046&gt;=AboveRank),$Q4046,0)</f>
        <v>0</v>
      </c>
      <c r="T4046" s="64" t="n">
        <f aca="false">IF($K4046="Less",$P4046,0)</f>
        <v>0</v>
      </c>
      <c r="U4046" s="64" t="n">
        <f aca="false">IF($K4046="Expected",$P4046,0)</f>
        <v>0</v>
      </c>
      <c r="V4046" s="64" t="n">
        <f aca="false">IF($K4046="Better",$P4046,0)</f>
        <v>0</v>
      </c>
      <c r="W4046" s="64" t="n">
        <f aca="false">IF($K4046="U – needs rule",$P4046,0)</f>
        <v>0</v>
      </c>
      <c r="X4046" s="64" t="n">
        <f aca="false">IF($K4046="No Start (attainment only)",$P4046,0)</f>
        <v>0</v>
      </c>
    </row>
    <row r="4047" customFormat="false" ht="15" hidden="false" customHeight="false" outlineLevel="0" collapsed="false">
      <c r="A4047" s="60"/>
      <c r="B4047" s="61" t="str">
        <f aca="false">IF($M4047=0,"",INDEX(Classes!$E$6:$E$420,$M4047))</f>
        <v/>
      </c>
      <c r="C4047" s="62" t="str">
        <f aca="false">IF($M4047=0,"",INDEX(Classes!$H$6:$H$420,$M4047))</f>
        <v/>
      </c>
      <c r="D4047" s="61" t="str">
        <f aca="false">IF($M4047=0,"",INDEX(Classes!$B$6:$B$420,$M4047))</f>
        <v/>
      </c>
      <c r="E4047" s="61" t="str">
        <f aca="false">IF($M4047=0,"",INDEX(Classes!$C$6:$C$420,$M4047))</f>
        <v/>
      </c>
      <c r="F4047" s="63"/>
      <c r="G4047" s="63"/>
      <c r="H4047" s="60"/>
      <c r="I4047" s="60"/>
      <c r="J4047" s="63"/>
      <c r="K4047" s="61" t="str">
        <f aca="false">IF($P4047=0,"",IF($F4047="Baseline","— Baseline",IF($O4047=0,"No result",IF($N4047=0,"No Start (attainment only)",IF(OR($N4047=1,$O4047=1),"U – needs rule",INDEX(MxBody,MATCH($I4047,MxCurr,0),MATCH($H4047,MxStart,0)))))))</f>
        <v/>
      </c>
      <c r="L4047" s="62" t="str">
        <f aca="false">IF(COUNTA($A4047,$F4047,$G4047,$H4047,$I4047,$J4047)=0,"",IF($M4047=0,"✖ كود الصف غير موجود",IF(ISNA(MATCH($F4047,Lists!$A$2:$A$5,0)),"✖ الفترة غير صحيحة",IF(ISNA(MATCH($G4047,Lists!$B$2:$B$7,0)),"✖ المجموعة غير صحيحة",IF(NOT(OR($H4047="",$N4047&gt;0)),"✖ Start غير صحيح",IF(NOT(OR($I4047="",$I4047="NR",$O4047&gt;0)),"✖ Current غير صحيح",IF(NOT(IF(ISNUMBER($J4047),AND($J4047&gt;=0,$J4047=INT($J4047)),FALSE())),"✖ العدد يجب أن يكون صحيحًا ≥ 0",IF(AND($F4047="Baseline",$H4047&lt;&gt;""),"⚠ Baseline: Start لا يدخل في التقدم",IF($K4047="No Start (attainment only)","ℹ تحصيل فقط (بدون Start)",IF($K4047="U – needs rule","ℹ حالة U تحتاج قاعدة معتمدة",IF($K4047="No result","ℹ بدون نتيجة (يُستبعد من التحصيل)","OK")))))))))))</f>
        <v/>
      </c>
      <c r="M4047" s="64" t="n">
        <f aca="false">IF($A4047="",0,IFERROR(MATCH($A4047,Classes!$A$6:$A$420,0),0))</f>
        <v>0</v>
      </c>
      <c r="N4047" s="64" t="n">
        <f aca="false">IF($H4047="",0,IFERROR(MATCH($H4047,GradeList,0),0))</f>
        <v>0</v>
      </c>
      <c r="O4047" s="64" t="n">
        <f aca="false">IF(OR($I4047="",$I4047="NR"),0,IFERROR(MATCH($I4047,GradeList,0),0))</f>
        <v>0</v>
      </c>
      <c r="P4047" s="64" t="n">
        <f aca="false">IF(AND($M4047&gt;0,ISNUMBER(MATCH($F4047,Lists!$A$2:$A$5,0)),ISNUMBER(MATCH($G4047,Lists!$B$2:$B$7,0)),OR($H4047="",$N4047&gt;0),OR($I4047="",$I4047="NR",$O4047&gt;0),IF(ISNUMBER($J4047),AND($J4047&gt;=0,$J4047=INT($J4047)),FALSE())),$J4047,0)</f>
        <v>0</v>
      </c>
      <c r="Q4047" s="64" t="n">
        <f aca="false">IF(AND($P4047&gt;0,$O4047&gt;0),$P4047,0)</f>
        <v>0</v>
      </c>
      <c r="R4047" s="64" t="n">
        <f aca="false">IF(AND($Q4047&gt;0,$O4047&gt;=AtRank),$Q4047,0)</f>
        <v>0</v>
      </c>
      <c r="S4047" s="64" t="n">
        <f aca="false">IF(AND($Q4047&gt;0,$O4047&gt;=AboveRank),$Q4047,0)</f>
        <v>0</v>
      </c>
      <c r="T4047" s="64" t="n">
        <f aca="false">IF($K4047="Less",$P4047,0)</f>
        <v>0</v>
      </c>
      <c r="U4047" s="64" t="n">
        <f aca="false">IF($K4047="Expected",$P4047,0)</f>
        <v>0</v>
      </c>
      <c r="V4047" s="64" t="n">
        <f aca="false">IF($K4047="Better",$P4047,0)</f>
        <v>0</v>
      </c>
      <c r="W4047" s="64" t="n">
        <f aca="false">IF($K4047="U – needs rule",$P4047,0)</f>
        <v>0</v>
      </c>
      <c r="X4047" s="64" t="n">
        <f aca="false">IF($K4047="No Start (attainment only)",$P4047,0)</f>
        <v>0</v>
      </c>
    </row>
    <row r="4048" customFormat="false" ht="15" hidden="false" customHeight="false" outlineLevel="0" collapsed="false">
      <c r="A4048" s="60"/>
      <c r="B4048" s="61" t="str">
        <f aca="false">IF($M4048=0,"",INDEX(Classes!$E$6:$E$420,$M4048))</f>
        <v/>
      </c>
      <c r="C4048" s="62" t="str">
        <f aca="false">IF($M4048=0,"",INDEX(Classes!$H$6:$H$420,$M4048))</f>
        <v/>
      </c>
      <c r="D4048" s="61" t="str">
        <f aca="false">IF($M4048=0,"",INDEX(Classes!$B$6:$B$420,$M4048))</f>
        <v/>
      </c>
      <c r="E4048" s="61" t="str">
        <f aca="false">IF($M4048=0,"",INDEX(Classes!$C$6:$C$420,$M4048))</f>
        <v/>
      </c>
      <c r="F4048" s="63"/>
      <c r="G4048" s="63"/>
      <c r="H4048" s="60"/>
      <c r="I4048" s="60"/>
      <c r="J4048" s="63"/>
      <c r="K4048" s="61" t="str">
        <f aca="false">IF($P4048=0,"",IF($F4048="Baseline","— Baseline",IF($O4048=0,"No result",IF($N4048=0,"No Start (attainment only)",IF(OR($N4048=1,$O4048=1),"U – needs rule",INDEX(MxBody,MATCH($I4048,MxCurr,0),MATCH($H4048,MxStart,0)))))))</f>
        <v/>
      </c>
      <c r="L4048" s="62" t="str">
        <f aca="false">IF(COUNTA($A4048,$F4048,$G4048,$H4048,$I4048,$J4048)=0,"",IF($M4048=0,"✖ كود الصف غير موجود",IF(ISNA(MATCH($F4048,Lists!$A$2:$A$5,0)),"✖ الفترة غير صحيحة",IF(ISNA(MATCH($G4048,Lists!$B$2:$B$7,0)),"✖ المجموعة غير صحيحة",IF(NOT(OR($H4048="",$N4048&gt;0)),"✖ Start غير صحيح",IF(NOT(OR($I4048="",$I4048="NR",$O4048&gt;0)),"✖ Current غير صحيح",IF(NOT(IF(ISNUMBER($J4048),AND($J4048&gt;=0,$J4048=INT($J4048)),FALSE())),"✖ العدد يجب أن يكون صحيحًا ≥ 0",IF(AND($F4048="Baseline",$H4048&lt;&gt;""),"⚠ Baseline: Start لا يدخل في التقدم",IF($K4048="No Start (attainment only)","ℹ تحصيل فقط (بدون Start)",IF($K4048="U – needs rule","ℹ حالة U تحتاج قاعدة معتمدة",IF($K4048="No result","ℹ بدون نتيجة (يُستبعد من التحصيل)","OK")))))))))))</f>
        <v/>
      </c>
      <c r="M4048" s="64" t="n">
        <f aca="false">IF($A4048="",0,IFERROR(MATCH($A4048,Classes!$A$6:$A$420,0),0))</f>
        <v>0</v>
      </c>
      <c r="N4048" s="64" t="n">
        <f aca="false">IF($H4048="",0,IFERROR(MATCH($H4048,GradeList,0),0))</f>
        <v>0</v>
      </c>
      <c r="O4048" s="64" t="n">
        <f aca="false">IF(OR($I4048="",$I4048="NR"),0,IFERROR(MATCH($I4048,GradeList,0),0))</f>
        <v>0</v>
      </c>
      <c r="P4048" s="64" t="n">
        <f aca="false">IF(AND($M4048&gt;0,ISNUMBER(MATCH($F4048,Lists!$A$2:$A$5,0)),ISNUMBER(MATCH($G4048,Lists!$B$2:$B$7,0)),OR($H4048="",$N4048&gt;0),OR($I4048="",$I4048="NR",$O4048&gt;0),IF(ISNUMBER($J4048),AND($J4048&gt;=0,$J4048=INT($J4048)),FALSE())),$J4048,0)</f>
        <v>0</v>
      </c>
      <c r="Q4048" s="64" t="n">
        <f aca="false">IF(AND($P4048&gt;0,$O4048&gt;0),$P4048,0)</f>
        <v>0</v>
      </c>
      <c r="R4048" s="64" t="n">
        <f aca="false">IF(AND($Q4048&gt;0,$O4048&gt;=AtRank),$Q4048,0)</f>
        <v>0</v>
      </c>
      <c r="S4048" s="64" t="n">
        <f aca="false">IF(AND($Q4048&gt;0,$O4048&gt;=AboveRank),$Q4048,0)</f>
        <v>0</v>
      </c>
      <c r="T4048" s="64" t="n">
        <f aca="false">IF($K4048="Less",$P4048,0)</f>
        <v>0</v>
      </c>
      <c r="U4048" s="64" t="n">
        <f aca="false">IF($K4048="Expected",$P4048,0)</f>
        <v>0</v>
      </c>
      <c r="V4048" s="64" t="n">
        <f aca="false">IF($K4048="Better",$P4048,0)</f>
        <v>0</v>
      </c>
      <c r="W4048" s="64" t="n">
        <f aca="false">IF($K4048="U – needs rule",$P4048,0)</f>
        <v>0</v>
      </c>
      <c r="X4048" s="64" t="n">
        <f aca="false">IF($K4048="No Start (attainment only)",$P4048,0)</f>
        <v>0</v>
      </c>
    </row>
    <row r="4049" customFormat="false" ht="15" hidden="false" customHeight="false" outlineLevel="0" collapsed="false">
      <c r="A4049" s="60"/>
      <c r="B4049" s="61" t="str">
        <f aca="false">IF($M4049=0,"",INDEX(Classes!$E$6:$E$420,$M4049))</f>
        <v/>
      </c>
      <c r="C4049" s="62" t="str">
        <f aca="false">IF($M4049=0,"",INDEX(Classes!$H$6:$H$420,$M4049))</f>
        <v/>
      </c>
      <c r="D4049" s="61" t="str">
        <f aca="false">IF($M4049=0,"",INDEX(Classes!$B$6:$B$420,$M4049))</f>
        <v/>
      </c>
      <c r="E4049" s="61" t="str">
        <f aca="false">IF($M4049=0,"",INDEX(Classes!$C$6:$C$420,$M4049))</f>
        <v/>
      </c>
      <c r="F4049" s="63"/>
      <c r="G4049" s="63"/>
      <c r="H4049" s="60"/>
      <c r="I4049" s="60"/>
      <c r="J4049" s="63"/>
      <c r="K4049" s="61" t="str">
        <f aca="false">IF($P4049=0,"",IF($F4049="Baseline","— Baseline",IF($O4049=0,"No result",IF($N4049=0,"No Start (attainment only)",IF(OR($N4049=1,$O4049=1),"U – needs rule",INDEX(MxBody,MATCH($I4049,MxCurr,0),MATCH($H4049,MxStart,0)))))))</f>
        <v/>
      </c>
      <c r="L4049" s="62" t="str">
        <f aca="false">IF(COUNTA($A4049,$F4049,$G4049,$H4049,$I4049,$J4049)=0,"",IF($M4049=0,"✖ كود الصف غير موجود",IF(ISNA(MATCH($F4049,Lists!$A$2:$A$5,0)),"✖ الفترة غير صحيحة",IF(ISNA(MATCH($G4049,Lists!$B$2:$B$7,0)),"✖ المجموعة غير صحيحة",IF(NOT(OR($H4049="",$N4049&gt;0)),"✖ Start غير صحيح",IF(NOT(OR($I4049="",$I4049="NR",$O4049&gt;0)),"✖ Current غير صحيح",IF(NOT(IF(ISNUMBER($J4049),AND($J4049&gt;=0,$J4049=INT($J4049)),FALSE())),"✖ العدد يجب أن يكون صحيحًا ≥ 0",IF(AND($F4049="Baseline",$H4049&lt;&gt;""),"⚠ Baseline: Start لا يدخل في التقدم",IF($K4049="No Start (attainment only)","ℹ تحصيل فقط (بدون Start)",IF($K4049="U – needs rule","ℹ حالة U تحتاج قاعدة معتمدة",IF($K4049="No result","ℹ بدون نتيجة (يُستبعد من التحصيل)","OK")))))))))))</f>
        <v/>
      </c>
      <c r="M4049" s="64" t="n">
        <f aca="false">IF($A4049="",0,IFERROR(MATCH($A4049,Classes!$A$6:$A$420,0),0))</f>
        <v>0</v>
      </c>
      <c r="N4049" s="64" t="n">
        <f aca="false">IF($H4049="",0,IFERROR(MATCH($H4049,GradeList,0),0))</f>
        <v>0</v>
      </c>
      <c r="O4049" s="64" t="n">
        <f aca="false">IF(OR($I4049="",$I4049="NR"),0,IFERROR(MATCH($I4049,GradeList,0),0))</f>
        <v>0</v>
      </c>
      <c r="P4049" s="64" t="n">
        <f aca="false">IF(AND($M4049&gt;0,ISNUMBER(MATCH($F4049,Lists!$A$2:$A$5,0)),ISNUMBER(MATCH($G4049,Lists!$B$2:$B$7,0)),OR($H4049="",$N4049&gt;0),OR($I4049="",$I4049="NR",$O4049&gt;0),IF(ISNUMBER($J4049),AND($J4049&gt;=0,$J4049=INT($J4049)),FALSE())),$J4049,0)</f>
        <v>0</v>
      </c>
      <c r="Q4049" s="64" t="n">
        <f aca="false">IF(AND($P4049&gt;0,$O4049&gt;0),$P4049,0)</f>
        <v>0</v>
      </c>
      <c r="R4049" s="64" t="n">
        <f aca="false">IF(AND($Q4049&gt;0,$O4049&gt;=AtRank),$Q4049,0)</f>
        <v>0</v>
      </c>
      <c r="S4049" s="64" t="n">
        <f aca="false">IF(AND($Q4049&gt;0,$O4049&gt;=AboveRank),$Q4049,0)</f>
        <v>0</v>
      </c>
      <c r="T4049" s="64" t="n">
        <f aca="false">IF($K4049="Less",$P4049,0)</f>
        <v>0</v>
      </c>
      <c r="U4049" s="64" t="n">
        <f aca="false">IF($K4049="Expected",$P4049,0)</f>
        <v>0</v>
      </c>
      <c r="V4049" s="64" t="n">
        <f aca="false">IF($K4049="Better",$P4049,0)</f>
        <v>0</v>
      </c>
      <c r="W4049" s="64" t="n">
        <f aca="false">IF($K4049="U – needs rule",$P4049,0)</f>
        <v>0</v>
      </c>
      <c r="X4049" s="64" t="n">
        <f aca="false">IF($K4049="No Start (attainment only)",$P4049,0)</f>
        <v>0</v>
      </c>
    </row>
    <row r="4050" customFormat="false" ht="15" hidden="false" customHeight="false" outlineLevel="0" collapsed="false">
      <c r="A4050" s="60"/>
      <c r="B4050" s="61" t="str">
        <f aca="false">IF($M4050=0,"",INDEX(Classes!$E$6:$E$420,$M4050))</f>
        <v/>
      </c>
      <c r="C4050" s="62" t="str">
        <f aca="false">IF($M4050=0,"",INDEX(Classes!$H$6:$H$420,$M4050))</f>
        <v/>
      </c>
      <c r="D4050" s="61" t="str">
        <f aca="false">IF($M4050=0,"",INDEX(Classes!$B$6:$B$420,$M4050))</f>
        <v/>
      </c>
      <c r="E4050" s="61" t="str">
        <f aca="false">IF($M4050=0,"",INDEX(Classes!$C$6:$C$420,$M4050))</f>
        <v/>
      </c>
      <c r="F4050" s="63"/>
      <c r="G4050" s="63"/>
      <c r="H4050" s="60"/>
      <c r="I4050" s="60"/>
      <c r="J4050" s="63"/>
      <c r="K4050" s="61" t="str">
        <f aca="false">IF($P4050=0,"",IF($F4050="Baseline","— Baseline",IF($O4050=0,"No result",IF($N4050=0,"No Start (attainment only)",IF(OR($N4050=1,$O4050=1),"U – needs rule",INDEX(MxBody,MATCH($I4050,MxCurr,0),MATCH($H4050,MxStart,0)))))))</f>
        <v/>
      </c>
      <c r="L4050" s="62" t="str">
        <f aca="false">IF(COUNTA($A4050,$F4050,$G4050,$H4050,$I4050,$J4050)=0,"",IF($M4050=0,"✖ كود الصف غير موجود",IF(ISNA(MATCH($F4050,Lists!$A$2:$A$5,0)),"✖ الفترة غير صحيحة",IF(ISNA(MATCH($G4050,Lists!$B$2:$B$7,0)),"✖ المجموعة غير صحيحة",IF(NOT(OR($H4050="",$N4050&gt;0)),"✖ Start غير صحيح",IF(NOT(OR($I4050="",$I4050="NR",$O4050&gt;0)),"✖ Current غير صحيح",IF(NOT(IF(ISNUMBER($J4050),AND($J4050&gt;=0,$J4050=INT($J4050)),FALSE())),"✖ العدد يجب أن يكون صحيحًا ≥ 0",IF(AND($F4050="Baseline",$H4050&lt;&gt;""),"⚠ Baseline: Start لا يدخل في التقدم",IF($K4050="No Start (attainment only)","ℹ تحصيل فقط (بدون Start)",IF($K4050="U – needs rule","ℹ حالة U تحتاج قاعدة معتمدة",IF($K4050="No result","ℹ بدون نتيجة (يُستبعد من التحصيل)","OK")))))))))))</f>
        <v/>
      </c>
      <c r="M4050" s="64" t="n">
        <f aca="false">IF($A4050="",0,IFERROR(MATCH($A4050,Classes!$A$6:$A$420,0),0))</f>
        <v>0</v>
      </c>
      <c r="N4050" s="64" t="n">
        <f aca="false">IF($H4050="",0,IFERROR(MATCH($H4050,GradeList,0),0))</f>
        <v>0</v>
      </c>
      <c r="O4050" s="64" t="n">
        <f aca="false">IF(OR($I4050="",$I4050="NR"),0,IFERROR(MATCH($I4050,GradeList,0),0))</f>
        <v>0</v>
      </c>
      <c r="P4050" s="64" t="n">
        <f aca="false">IF(AND($M4050&gt;0,ISNUMBER(MATCH($F4050,Lists!$A$2:$A$5,0)),ISNUMBER(MATCH($G4050,Lists!$B$2:$B$7,0)),OR($H4050="",$N4050&gt;0),OR($I4050="",$I4050="NR",$O4050&gt;0),IF(ISNUMBER($J4050),AND($J4050&gt;=0,$J4050=INT($J4050)),FALSE())),$J4050,0)</f>
        <v>0</v>
      </c>
      <c r="Q4050" s="64" t="n">
        <f aca="false">IF(AND($P4050&gt;0,$O4050&gt;0),$P4050,0)</f>
        <v>0</v>
      </c>
      <c r="R4050" s="64" t="n">
        <f aca="false">IF(AND($Q4050&gt;0,$O4050&gt;=AtRank),$Q4050,0)</f>
        <v>0</v>
      </c>
      <c r="S4050" s="64" t="n">
        <f aca="false">IF(AND($Q4050&gt;0,$O4050&gt;=AboveRank),$Q4050,0)</f>
        <v>0</v>
      </c>
      <c r="T4050" s="64" t="n">
        <f aca="false">IF($K4050="Less",$P4050,0)</f>
        <v>0</v>
      </c>
      <c r="U4050" s="64" t="n">
        <f aca="false">IF($K4050="Expected",$P4050,0)</f>
        <v>0</v>
      </c>
      <c r="V4050" s="64" t="n">
        <f aca="false">IF($K4050="Better",$P4050,0)</f>
        <v>0</v>
      </c>
      <c r="W4050" s="64" t="n">
        <f aca="false">IF($K4050="U – needs rule",$P4050,0)</f>
        <v>0</v>
      </c>
      <c r="X4050" s="64" t="n">
        <f aca="false">IF($K4050="No Start (attainment only)",$P4050,0)</f>
        <v>0</v>
      </c>
    </row>
    <row r="4051" customFormat="false" ht="15" hidden="false" customHeight="false" outlineLevel="0" collapsed="false">
      <c r="A4051" s="60"/>
      <c r="B4051" s="61" t="str">
        <f aca="false">IF($M4051=0,"",INDEX(Classes!$E$6:$E$420,$M4051))</f>
        <v/>
      </c>
      <c r="C4051" s="62" t="str">
        <f aca="false">IF($M4051=0,"",INDEX(Classes!$H$6:$H$420,$M4051))</f>
        <v/>
      </c>
      <c r="D4051" s="61" t="str">
        <f aca="false">IF($M4051=0,"",INDEX(Classes!$B$6:$B$420,$M4051))</f>
        <v/>
      </c>
      <c r="E4051" s="61" t="str">
        <f aca="false">IF($M4051=0,"",INDEX(Classes!$C$6:$C$420,$M4051))</f>
        <v/>
      </c>
      <c r="F4051" s="63"/>
      <c r="G4051" s="63"/>
      <c r="H4051" s="60"/>
      <c r="I4051" s="60"/>
      <c r="J4051" s="63"/>
      <c r="K4051" s="61" t="str">
        <f aca="false">IF($P4051=0,"",IF($F4051="Baseline","— Baseline",IF($O4051=0,"No result",IF($N4051=0,"No Start (attainment only)",IF(OR($N4051=1,$O4051=1),"U – needs rule",INDEX(MxBody,MATCH($I4051,MxCurr,0),MATCH($H4051,MxStart,0)))))))</f>
        <v/>
      </c>
      <c r="L4051" s="62" t="str">
        <f aca="false">IF(COUNTA($A4051,$F4051,$G4051,$H4051,$I4051,$J4051)=0,"",IF($M4051=0,"✖ كود الصف غير موجود",IF(ISNA(MATCH($F4051,Lists!$A$2:$A$5,0)),"✖ الفترة غير صحيحة",IF(ISNA(MATCH($G4051,Lists!$B$2:$B$7,0)),"✖ المجموعة غير صحيحة",IF(NOT(OR($H4051="",$N4051&gt;0)),"✖ Start غير صحيح",IF(NOT(OR($I4051="",$I4051="NR",$O4051&gt;0)),"✖ Current غير صحيح",IF(NOT(IF(ISNUMBER($J4051),AND($J4051&gt;=0,$J4051=INT($J4051)),FALSE())),"✖ العدد يجب أن يكون صحيحًا ≥ 0",IF(AND($F4051="Baseline",$H4051&lt;&gt;""),"⚠ Baseline: Start لا يدخل في التقدم",IF($K4051="No Start (attainment only)","ℹ تحصيل فقط (بدون Start)",IF($K4051="U – needs rule","ℹ حالة U تحتاج قاعدة معتمدة",IF($K4051="No result","ℹ بدون نتيجة (يُستبعد من التحصيل)","OK")))))))))))</f>
        <v/>
      </c>
      <c r="M4051" s="64" t="n">
        <f aca="false">IF($A4051="",0,IFERROR(MATCH($A4051,Classes!$A$6:$A$420,0),0))</f>
        <v>0</v>
      </c>
      <c r="N4051" s="64" t="n">
        <f aca="false">IF($H4051="",0,IFERROR(MATCH($H4051,GradeList,0),0))</f>
        <v>0</v>
      </c>
      <c r="O4051" s="64" t="n">
        <f aca="false">IF(OR($I4051="",$I4051="NR"),0,IFERROR(MATCH($I4051,GradeList,0),0))</f>
        <v>0</v>
      </c>
      <c r="P4051" s="64" t="n">
        <f aca="false">IF(AND($M4051&gt;0,ISNUMBER(MATCH($F4051,Lists!$A$2:$A$5,0)),ISNUMBER(MATCH($G4051,Lists!$B$2:$B$7,0)),OR($H4051="",$N4051&gt;0),OR($I4051="",$I4051="NR",$O4051&gt;0),IF(ISNUMBER($J4051),AND($J4051&gt;=0,$J4051=INT($J4051)),FALSE())),$J4051,0)</f>
        <v>0</v>
      </c>
      <c r="Q4051" s="64" t="n">
        <f aca="false">IF(AND($P4051&gt;0,$O4051&gt;0),$P4051,0)</f>
        <v>0</v>
      </c>
      <c r="R4051" s="64" t="n">
        <f aca="false">IF(AND($Q4051&gt;0,$O4051&gt;=AtRank),$Q4051,0)</f>
        <v>0</v>
      </c>
      <c r="S4051" s="64" t="n">
        <f aca="false">IF(AND($Q4051&gt;0,$O4051&gt;=AboveRank),$Q4051,0)</f>
        <v>0</v>
      </c>
      <c r="T4051" s="64" t="n">
        <f aca="false">IF($K4051="Less",$P4051,0)</f>
        <v>0</v>
      </c>
      <c r="U4051" s="64" t="n">
        <f aca="false">IF($K4051="Expected",$P4051,0)</f>
        <v>0</v>
      </c>
      <c r="V4051" s="64" t="n">
        <f aca="false">IF($K4051="Better",$P4051,0)</f>
        <v>0</v>
      </c>
      <c r="W4051" s="64" t="n">
        <f aca="false">IF($K4051="U – needs rule",$P4051,0)</f>
        <v>0</v>
      </c>
      <c r="X4051" s="64" t="n">
        <f aca="false">IF($K4051="No Start (attainment only)",$P4051,0)</f>
        <v>0</v>
      </c>
    </row>
    <row r="4052" customFormat="false" ht="15" hidden="false" customHeight="false" outlineLevel="0" collapsed="false">
      <c r="A4052" s="60"/>
      <c r="B4052" s="61" t="str">
        <f aca="false">IF($M4052=0,"",INDEX(Classes!$E$6:$E$420,$M4052))</f>
        <v/>
      </c>
      <c r="C4052" s="62" t="str">
        <f aca="false">IF($M4052=0,"",INDEX(Classes!$H$6:$H$420,$M4052))</f>
        <v/>
      </c>
      <c r="D4052" s="61" t="str">
        <f aca="false">IF($M4052=0,"",INDEX(Classes!$B$6:$B$420,$M4052))</f>
        <v/>
      </c>
      <c r="E4052" s="61" t="str">
        <f aca="false">IF($M4052=0,"",INDEX(Classes!$C$6:$C$420,$M4052))</f>
        <v/>
      </c>
      <c r="F4052" s="63"/>
      <c r="G4052" s="63"/>
      <c r="H4052" s="60"/>
      <c r="I4052" s="60"/>
      <c r="J4052" s="63"/>
      <c r="K4052" s="61" t="str">
        <f aca="false">IF($P4052=0,"",IF($F4052="Baseline","— Baseline",IF($O4052=0,"No result",IF($N4052=0,"No Start (attainment only)",IF(OR($N4052=1,$O4052=1),"U – needs rule",INDEX(MxBody,MATCH($I4052,MxCurr,0),MATCH($H4052,MxStart,0)))))))</f>
        <v/>
      </c>
      <c r="L4052" s="62" t="str">
        <f aca="false">IF(COUNTA($A4052,$F4052,$G4052,$H4052,$I4052,$J4052)=0,"",IF($M4052=0,"✖ كود الصف غير موجود",IF(ISNA(MATCH($F4052,Lists!$A$2:$A$5,0)),"✖ الفترة غير صحيحة",IF(ISNA(MATCH($G4052,Lists!$B$2:$B$7,0)),"✖ المجموعة غير صحيحة",IF(NOT(OR($H4052="",$N4052&gt;0)),"✖ Start غير صحيح",IF(NOT(OR($I4052="",$I4052="NR",$O4052&gt;0)),"✖ Current غير صحيح",IF(NOT(IF(ISNUMBER($J4052),AND($J4052&gt;=0,$J4052=INT($J4052)),FALSE())),"✖ العدد يجب أن يكون صحيحًا ≥ 0",IF(AND($F4052="Baseline",$H4052&lt;&gt;""),"⚠ Baseline: Start لا يدخل في التقدم",IF($K4052="No Start (attainment only)","ℹ تحصيل فقط (بدون Start)",IF($K4052="U – needs rule","ℹ حالة U تحتاج قاعدة معتمدة",IF($K4052="No result","ℹ بدون نتيجة (يُستبعد من التحصيل)","OK")))))))))))</f>
        <v/>
      </c>
      <c r="M4052" s="64" t="n">
        <f aca="false">IF($A4052="",0,IFERROR(MATCH($A4052,Classes!$A$6:$A$420,0),0))</f>
        <v>0</v>
      </c>
      <c r="N4052" s="64" t="n">
        <f aca="false">IF($H4052="",0,IFERROR(MATCH($H4052,GradeList,0),0))</f>
        <v>0</v>
      </c>
      <c r="O4052" s="64" t="n">
        <f aca="false">IF(OR($I4052="",$I4052="NR"),0,IFERROR(MATCH($I4052,GradeList,0),0))</f>
        <v>0</v>
      </c>
      <c r="P4052" s="64" t="n">
        <f aca="false">IF(AND($M4052&gt;0,ISNUMBER(MATCH($F4052,Lists!$A$2:$A$5,0)),ISNUMBER(MATCH($G4052,Lists!$B$2:$B$7,0)),OR($H4052="",$N4052&gt;0),OR($I4052="",$I4052="NR",$O4052&gt;0),IF(ISNUMBER($J4052),AND($J4052&gt;=0,$J4052=INT($J4052)),FALSE())),$J4052,0)</f>
        <v>0</v>
      </c>
      <c r="Q4052" s="64" t="n">
        <f aca="false">IF(AND($P4052&gt;0,$O4052&gt;0),$P4052,0)</f>
        <v>0</v>
      </c>
      <c r="R4052" s="64" t="n">
        <f aca="false">IF(AND($Q4052&gt;0,$O4052&gt;=AtRank),$Q4052,0)</f>
        <v>0</v>
      </c>
      <c r="S4052" s="64" t="n">
        <f aca="false">IF(AND($Q4052&gt;0,$O4052&gt;=AboveRank),$Q4052,0)</f>
        <v>0</v>
      </c>
      <c r="T4052" s="64" t="n">
        <f aca="false">IF($K4052="Less",$P4052,0)</f>
        <v>0</v>
      </c>
      <c r="U4052" s="64" t="n">
        <f aca="false">IF($K4052="Expected",$P4052,0)</f>
        <v>0</v>
      </c>
      <c r="V4052" s="64" t="n">
        <f aca="false">IF($K4052="Better",$P4052,0)</f>
        <v>0</v>
      </c>
      <c r="W4052" s="64" t="n">
        <f aca="false">IF($K4052="U – needs rule",$P4052,0)</f>
        <v>0</v>
      </c>
      <c r="X4052" s="64" t="n">
        <f aca="false">IF($K4052="No Start (attainment only)",$P4052,0)</f>
        <v>0</v>
      </c>
    </row>
    <row r="4053" customFormat="false" ht="15" hidden="false" customHeight="false" outlineLevel="0" collapsed="false">
      <c r="A4053" s="60"/>
      <c r="B4053" s="61" t="str">
        <f aca="false">IF($M4053=0,"",INDEX(Classes!$E$6:$E$420,$M4053))</f>
        <v/>
      </c>
      <c r="C4053" s="62" t="str">
        <f aca="false">IF($M4053=0,"",INDEX(Classes!$H$6:$H$420,$M4053))</f>
        <v/>
      </c>
      <c r="D4053" s="61" t="str">
        <f aca="false">IF($M4053=0,"",INDEX(Classes!$B$6:$B$420,$M4053))</f>
        <v/>
      </c>
      <c r="E4053" s="61" t="str">
        <f aca="false">IF($M4053=0,"",INDEX(Classes!$C$6:$C$420,$M4053))</f>
        <v/>
      </c>
      <c r="F4053" s="63"/>
      <c r="G4053" s="63"/>
      <c r="H4053" s="60"/>
      <c r="I4053" s="60"/>
      <c r="J4053" s="63"/>
      <c r="K4053" s="61" t="str">
        <f aca="false">IF($P4053=0,"",IF($F4053="Baseline","— Baseline",IF($O4053=0,"No result",IF($N4053=0,"No Start (attainment only)",IF(OR($N4053=1,$O4053=1),"U – needs rule",INDEX(MxBody,MATCH($I4053,MxCurr,0),MATCH($H4053,MxStart,0)))))))</f>
        <v/>
      </c>
      <c r="L4053" s="62" t="str">
        <f aca="false">IF(COUNTA($A4053,$F4053,$G4053,$H4053,$I4053,$J4053)=0,"",IF($M4053=0,"✖ كود الصف غير موجود",IF(ISNA(MATCH($F4053,Lists!$A$2:$A$5,0)),"✖ الفترة غير صحيحة",IF(ISNA(MATCH($G4053,Lists!$B$2:$B$7,0)),"✖ المجموعة غير صحيحة",IF(NOT(OR($H4053="",$N4053&gt;0)),"✖ Start غير صحيح",IF(NOT(OR($I4053="",$I4053="NR",$O4053&gt;0)),"✖ Current غير صحيح",IF(NOT(IF(ISNUMBER($J4053),AND($J4053&gt;=0,$J4053=INT($J4053)),FALSE())),"✖ العدد يجب أن يكون صحيحًا ≥ 0",IF(AND($F4053="Baseline",$H4053&lt;&gt;""),"⚠ Baseline: Start لا يدخل في التقدم",IF($K4053="No Start (attainment only)","ℹ تحصيل فقط (بدون Start)",IF($K4053="U – needs rule","ℹ حالة U تحتاج قاعدة معتمدة",IF($K4053="No result","ℹ بدون نتيجة (يُستبعد من التحصيل)","OK")))))))))))</f>
        <v/>
      </c>
      <c r="M4053" s="64" t="n">
        <f aca="false">IF($A4053="",0,IFERROR(MATCH($A4053,Classes!$A$6:$A$420,0),0))</f>
        <v>0</v>
      </c>
      <c r="N4053" s="64" t="n">
        <f aca="false">IF($H4053="",0,IFERROR(MATCH($H4053,GradeList,0),0))</f>
        <v>0</v>
      </c>
      <c r="O4053" s="64" t="n">
        <f aca="false">IF(OR($I4053="",$I4053="NR"),0,IFERROR(MATCH($I4053,GradeList,0),0))</f>
        <v>0</v>
      </c>
      <c r="P4053" s="64" t="n">
        <f aca="false">IF(AND($M4053&gt;0,ISNUMBER(MATCH($F4053,Lists!$A$2:$A$5,0)),ISNUMBER(MATCH($G4053,Lists!$B$2:$B$7,0)),OR($H4053="",$N4053&gt;0),OR($I4053="",$I4053="NR",$O4053&gt;0),IF(ISNUMBER($J4053),AND($J4053&gt;=0,$J4053=INT($J4053)),FALSE())),$J4053,0)</f>
        <v>0</v>
      </c>
      <c r="Q4053" s="64" t="n">
        <f aca="false">IF(AND($P4053&gt;0,$O4053&gt;0),$P4053,0)</f>
        <v>0</v>
      </c>
      <c r="R4053" s="64" t="n">
        <f aca="false">IF(AND($Q4053&gt;0,$O4053&gt;=AtRank),$Q4053,0)</f>
        <v>0</v>
      </c>
      <c r="S4053" s="64" t="n">
        <f aca="false">IF(AND($Q4053&gt;0,$O4053&gt;=AboveRank),$Q4053,0)</f>
        <v>0</v>
      </c>
      <c r="T4053" s="64" t="n">
        <f aca="false">IF($K4053="Less",$P4053,0)</f>
        <v>0</v>
      </c>
      <c r="U4053" s="64" t="n">
        <f aca="false">IF($K4053="Expected",$P4053,0)</f>
        <v>0</v>
      </c>
      <c r="V4053" s="64" t="n">
        <f aca="false">IF($K4053="Better",$P4053,0)</f>
        <v>0</v>
      </c>
      <c r="W4053" s="64" t="n">
        <f aca="false">IF($K4053="U – needs rule",$P4053,0)</f>
        <v>0</v>
      </c>
      <c r="X4053" s="64" t="n">
        <f aca="false">IF($K4053="No Start (attainment only)",$P4053,0)</f>
        <v>0</v>
      </c>
    </row>
    <row r="4054" customFormat="false" ht="15" hidden="false" customHeight="false" outlineLevel="0" collapsed="false">
      <c r="A4054" s="60"/>
      <c r="B4054" s="61" t="str">
        <f aca="false">IF($M4054=0,"",INDEX(Classes!$E$6:$E$420,$M4054))</f>
        <v/>
      </c>
      <c r="C4054" s="62" t="str">
        <f aca="false">IF($M4054=0,"",INDEX(Classes!$H$6:$H$420,$M4054))</f>
        <v/>
      </c>
      <c r="D4054" s="61" t="str">
        <f aca="false">IF($M4054=0,"",INDEX(Classes!$B$6:$B$420,$M4054))</f>
        <v/>
      </c>
      <c r="E4054" s="61" t="str">
        <f aca="false">IF($M4054=0,"",INDEX(Classes!$C$6:$C$420,$M4054))</f>
        <v/>
      </c>
      <c r="F4054" s="63"/>
      <c r="G4054" s="63"/>
      <c r="H4054" s="60"/>
      <c r="I4054" s="60"/>
      <c r="J4054" s="63"/>
      <c r="K4054" s="61" t="str">
        <f aca="false">IF($P4054=0,"",IF($F4054="Baseline","— Baseline",IF($O4054=0,"No result",IF($N4054=0,"No Start (attainment only)",IF(OR($N4054=1,$O4054=1),"U – needs rule",INDEX(MxBody,MATCH($I4054,MxCurr,0),MATCH($H4054,MxStart,0)))))))</f>
        <v/>
      </c>
      <c r="L4054" s="62" t="str">
        <f aca="false">IF(COUNTA($A4054,$F4054,$G4054,$H4054,$I4054,$J4054)=0,"",IF($M4054=0,"✖ كود الصف غير موجود",IF(ISNA(MATCH($F4054,Lists!$A$2:$A$5,0)),"✖ الفترة غير صحيحة",IF(ISNA(MATCH($G4054,Lists!$B$2:$B$7,0)),"✖ المجموعة غير صحيحة",IF(NOT(OR($H4054="",$N4054&gt;0)),"✖ Start غير صحيح",IF(NOT(OR($I4054="",$I4054="NR",$O4054&gt;0)),"✖ Current غير صحيح",IF(NOT(IF(ISNUMBER($J4054),AND($J4054&gt;=0,$J4054=INT($J4054)),FALSE())),"✖ العدد يجب أن يكون صحيحًا ≥ 0",IF(AND($F4054="Baseline",$H4054&lt;&gt;""),"⚠ Baseline: Start لا يدخل في التقدم",IF($K4054="No Start (attainment only)","ℹ تحصيل فقط (بدون Start)",IF($K4054="U – needs rule","ℹ حالة U تحتاج قاعدة معتمدة",IF($K4054="No result","ℹ بدون نتيجة (يُستبعد من التحصيل)","OK")))))))))))</f>
        <v/>
      </c>
      <c r="M4054" s="64" t="n">
        <f aca="false">IF($A4054="",0,IFERROR(MATCH($A4054,Classes!$A$6:$A$420,0),0))</f>
        <v>0</v>
      </c>
      <c r="N4054" s="64" t="n">
        <f aca="false">IF($H4054="",0,IFERROR(MATCH($H4054,GradeList,0),0))</f>
        <v>0</v>
      </c>
      <c r="O4054" s="64" t="n">
        <f aca="false">IF(OR($I4054="",$I4054="NR"),0,IFERROR(MATCH($I4054,GradeList,0),0))</f>
        <v>0</v>
      </c>
      <c r="P4054" s="64" t="n">
        <f aca="false">IF(AND($M4054&gt;0,ISNUMBER(MATCH($F4054,Lists!$A$2:$A$5,0)),ISNUMBER(MATCH($G4054,Lists!$B$2:$B$7,0)),OR($H4054="",$N4054&gt;0),OR($I4054="",$I4054="NR",$O4054&gt;0),IF(ISNUMBER($J4054),AND($J4054&gt;=0,$J4054=INT($J4054)),FALSE())),$J4054,0)</f>
        <v>0</v>
      </c>
      <c r="Q4054" s="64" t="n">
        <f aca="false">IF(AND($P4054&gt;0,$O4054&gt;0),$P4054,0)</f>
        <v>0</v>
      </c>
      <c r="R4054" s="64" t="n">
        <f aca="false">IF(AND($Q4054&gt;0,$O4054&gt;=AtRank),$Q4054,0)</f>
        <v>0</v>
      </c>
      <c r="S4054" s="64" t="n">
        <f aca="false">IF(AND($Q4054&gt;0,$O4054&gt;=AboveRank),$Q4054,0)</f>
        <v>0</v>
      </c>
      <c r="T4054" s="64" t="n">
        <f aca="false">IF($K4054="Less",$P4054,0)</f>
        <v>0</v>
      </c>
      <c r="U4054" s="64" t="n">
        <f aca="false">IF($K4054="Expected",$P4054,0)</f>
        <v>0</v>
      </c>
      <c r="V4054" s="64" t="n">
        <f aca="false">IF($K4054="Better",$P4054,0)</f>
        <v>0</v>
      </c>
      <c r="W4054" s="64" t="n">
        <f aca="false">IF($K4054="U – needs rule",$P4054,0)</f>
        <v>0</v>
      </c>
      <c r="X4054" s="64" t="n">
        <f aca="false">IF($K4054="No Start (attainment only)",$P4054,0)</f>
        <v>0</v>
      </c>
    </row>
    <row r="4055" customFormat="false" ht="15" hidden="false" customHeight="false" outlineLevel="0" collapsed="false">
      <c r="A4055" s="60"/>
      <c r="B4055" s="61" t="str">
        <f aca="false">IF($M4055=0,"",INDEX(Classes!$E$6:$E$420,$M4055))</f>
        <v/>
      </c>
      <c r="C4055" s="62" t="str">
        <f aca="false">IF($M4055=0,"",INDEX(Classes!$H$6:$H$420,$M4055))</f>
        <v/>
      </c>
      <c r="D4055" s="61" t="str">
        <f aca="false">IF($M4055=0,"",INDEX(Classes!$B$6:$B$420,$M4055))</f>
        <v/>
      </c>
      <c r="E4055" s="61" t="str">
        <f aca="false">IF($M4055=0,"",INDEX(Classes!$C$6:$C$420,$M4055))</f>
        <v/>
      </c>
      <c r="F4055" s="63"/>
      <c r="G4055" s="63"/>
      <c r="H4055" s="60"/>
      <c r="I4055" s="60"/>
      <c r="J4055" s="63"/>
      <c r="K4055" s="61" t="str">
        <f aca="false">IF($P4055=0,"",IF($F4055="Baseline","— Baseline",IF($O4055=0,"No result",IF($N4055=0,"No Start (attainment only)",IF(OR($N4055=1,$O4055=1),"U – needs rule",INDEX(MxBody,MATCH($I4055,MxCurr,0),MATCH($H4055,MxStart,0)))))))</f>
        <v/>
      </c>
      <c r="L4055" s="62" t="str">
        <f aca="false">IF(COUNTA($A4055,$F4055,$G4055,$H4055,$I4055,$J4055)=0,"",IF($M4055=0,"✖ كود الصف غير موجود",IF(ISNA(MATCH($F4055,Lists!$A$2:$A$5,0)),"✖ الفترة غير صحيحة",IF(ISNA(MATCH($G4055,Lists!$B$2:$B$7,0)),"✖ المجموعة غير صحيحة",IF(NOT(OR($H4055="",$N4055&gt;0)),"✖ Start غير صحيح",IF(NOT(OR($I4055="",$I4055="NR",$O4055&gt;0)),"✖ Current غير صحيح",IF(NOT(IF(ISNUMBER($J4055),AND($J4055&gt;=0,$J4055=INT($J4055)),FALSE())),"✖ العدد يجب أن يكون صحيحًا ≥ 0",IF(AND($F4055="Baseline",$H4055&lt;&gt;""),"⚠ Baseline: Start لا يدخل في التقدم",IF($K4055="No Start (attainment only)","ℹ تحصيل فقط (بدون Start)",IF($K4055="U – needs rule","ℹ حالة U تحتاج قاعدة معتمدة",IF($K4055="No result","ℹ بدون نتيجة (يُستبعد من التحصيل)","OK")))))))))))</f>
        <v/>
      </c>
      <c r="M4055" s="64" t="n">
        <f aca="false">IF($A4055="",0,IFERROR(MATCH($A4055,Classes!$A$6:$A$420,0),0))</f>
        <v>0</v>
      </c>
      <c r="N4055" s="64" t="n">
        <f aca="false">IF($H4055="",0,IFERROR(MATCH($H4055,GradeList,0),0))</f>
        <v>0</v>
      </c>
      <c r="O4055" s="64" t="n">
        <f aca="false">IF(OR($I4055="",$I4055="NR"),0,IFERROR(MATCH($I4055,GradeList,0),0))</f>
        <v>0</v>
      </c>
      <c r="P4055" s="64" t="n">
        <f aca="false">IF(AND($M4055&gt;0,ISNUMBER(MATCH($F4055,Lists!$A$2:$A$5,0)),ISNUMBER(MATCH($G4055,Lists!$B$2:$B$7,0)),OR($H4055="",$N4055&gt;0),OR($I4055="",$I4055="NR",$O4055&gt;0),IF(ISNUMBER($J4055),AND($J4055&gt;=0,$J4055=INT($J4055)),FALSE())),$J4055,0)</f>
        <v>0</v>
      </c>
      <c r="Q4055" s="64" t="n">
        <f aca="false">IF(AND($P4055&gt;0,$O4055&gt;0),$P4055,0)</f>
        <v>0</v>
      </c>
      <c r="R4055" s="64" t="n">
        <f aca="false">IF(AND($Q4055&gt;0,$O4055&gt;=AtRank),$Q4055,0)</f>
        <v>0</v>
      </c>
      <c r="S4055" s="64" t="n">
        <f aca="false">IF(AND($Q4055&gt;0,$O4055&gt;=AboveRank),$Q4055,0)</f>
        <v>0</v>
      </c>
      <c r="T4055" s="64" t="n">
        <f aca="false">IF($K4055="Less",$P4055,0)</f>
        <v>0</v>
      </c>
      <c r="U4055" s="64" t="n">
        <f aca="false">IF($K4055="Expected",$P4055,0)</f>
        <v>0</v>
      </c>
      <c r="V4055" s="64" t="n">
        <f aca="false">IF($K4055="Better",$P4055,0)</f>
        <v>0</v>
      </c>
      <c r="W4055" s="64" t="n">
        <f aca="false">IF($K4055="U – needs rule",$P4055,0)</f>
        <v>0</v>
      </c>
      <c r="X4055" s="64" t="n">
        <f aca="false">IF($K4055="No Start (attainment only)",$P4055,0)</f>
        <v>0</v>
      </c>
    </row>
    <row r="4056" customFormat="false" ht="15" hidden="false" customHeight="false" outlineLevel="0" collapsed="false">
      <c r="A4056" s="60"/>
      <c r="B4056" s="61" t="str">
        <f aca="false">IF($M4056=0,"",INDEX(Classes!$E$6:$E$420,$M4056))</f>
        <v/>
      </c>
      <c r="C4056" s="62" t="str">
        <f aca="false">IF($M4056=0,"",INDEX(Classes!$H$6:$H$420,$M4056))</f>
        <v/>
      </c>
      <c r="D4056" s="61" t="str">
        <f aca="false">IF($M4056=0,"",INDEX(Classes!$B$6:$B$420,$M4056))</f>
        <v/>
      </c>
      <c r="E4056" s="61" t="str">
        <f aca="false">IF($M4056=0,"",INDEX(Classes!$C$6:$C$420,$M4056))</f>
        <v/>
      </c>
      <c r="F4056" s="63"/>
      <c r="G4056" s="63"/>
      <c r="H4056" s="60"/>
      <c r="I4056" s="60"/>
      <c r="J4056" s="63"/>
      <c r="K4056" s="61" t="str">
        <f aca="false">IF($P4056=0,"",IF($F4056="Baseline","— Baseline",IF($O4056=0,"No result",IF($N4056=0,"No Start (attainment only)",IF(OR($N4056=1,$O4056=1),"U – needs rule",INDEX(MxBody,MATCH($I4056,MxCurr,0),MATCH($H4056,MxStart,0)))))))</f>
        <v/>
      </c>
      <c r="L4056" s="62" t="str">
        <f aca="false">IF(COUNTA($A4056,$F4056,$G4056,$H4056,$I4056,$J4056)=0,"",IF($M4056=0,"✖ كود الصف غير موجود",IF(ISNA(MATCH($F4056,Lists!$A$2:$A$5,0)),"✖ الفترة غير صحيحة",IF(ISNA(MATCH($G4056,Lists!$B$2:$B$7,0)),"✖ المجموعة غير صحيحة",IF(NOT(OR($H4056="",$N4056&gt;0)),"✖ Start غير صحيح",IF(NOT(OR($I4056="",$I4056="NR",$O4056&gt;0)),"✖ Current غير صحيح",IF(NOT(IF(ISNUMBER($J4056),AND($J4056&gt;=0,$J4056=INT($J4056)),FALSE())),"✖ العدد يجب أن يكون صحيحًا ≥ 0",IF(AND($F4056="Baseline",$H4056&lt;&gt;""),"⚠ Baseline: Start لا يدخل في التقدم",IF($K4056="No Start (attainment only)","ℹ تحصيل فقط (بدون Start)",IF($K4056="U – needs rule","ℹ حالة U تحتاج قاعدة معتمدة",IF($K4056="No result","ℹ بدون نتيجة (يُستبعد من التحصيل)","OK")))))))))))</f>
        <v/>
      </c>
      <c r="M4056" s="64" t="n">
        <f aca="false">IF($A4056="",0,IFERROR(MATCH($A4056,Classes!$A$6:$A$420,0),0))</f>
        <v>0</v>
      </c>
      <c r="N4056" s="64" t="n">
        <f aca="false">IF($H4056="",0,IFERROR(MATCH($H4056,GradeList,0),0))</f>
        <v>0</v>
      </c>
      <c r="O4056" s="64" t="n">
        <f aca="false">IF(OR($I4056="",$I4056="NR"),0,IFERROR(MATCH($I4056,GradeList,0),0))</f>
        <v>0</v>
      </c>
      <c r="P4056" s="64" t="n">
        <f aca="false">IF(AND($M4056&gt;0,ISNUMBER(MATCH($F4056,Lists!$A$2:$A$5,0)),ISNUMBER(MATCH($G4056,Lists!$B$2:$B$7,0)),OR($H4056="",$N4056&gt;0),OR($I4056="",$I4056="NR",$O4056&gt;0),IF(ISNUMBER($J4056),AND($J4056&gt;=0,$J4056=INT($J4056)),FALSE())),$J4056,0)</f>
        <v>0</v>
      </c>
      <c r="Q4056" s="64" t="n">
        <f aca="false">IF(AND($P4056&gt;0,$O4056&gt;0),$P4056,0)</f>
        <v>0</v>
      </c>
      <c r="R4056" s="64" t="n">
        <f aca="false">IF(AND($Q4056&gt;0,$O4056&gt;=AtRank),$Q4056,0)</f>
        <v>0</v>
      </c>
      <c r="S4056" s="64" t="n">
        <f aca="false">IF(AND($Q4056&gt;0,$O4056&gt;=AboveRank),$Q4056,0)</f>
        <v>0</v>
      </c>
      <c r="T4056" s="64" t="n">
        <f aca="false">IF($K4056="Less",$P4056,0)</f>
        <v>0</v>
      </c>
      <c r="U4056" s="64" t="n">
        <f aca="false">IF($K4056="Expected",$P4056,0)</f>
        <v>0</v>
      </c>
      <c r="V4056" s="64" t="n">
        <f aca="false">IF($K4056="Better",$P4056,0)</f>
        <v>0</v>
      </c>
      <c r="W4056" s="64" t="n">
        <f aca="false">IF($K4056="U – needs rule",$P4056,0)</f>
        <v>0</v>
      </c>
      <c r="X4056" s="64" t="n">
        <f aca="false">IF($K4056="No Start (attainment only)",$P4056,0)</f>
        <v>0</v>
      </c>
    </row>
    <row r="4057" customFormat="false" ht="15" hidden="false" customHeight="false" outlineLevel="0" collapsed="false">
      <c r="A4057" s="60"/>
      <c r="B4057" s="61" t="str">
        <f aca="false">IF($M4057=0,"",INDEX(Classes!$E$6:$E$420,$M4057))</f>
        <v/>
      </c>
      <c r="C4057" s="62" t="str">
        <f aca="false">IF($M4057=0,"",INDEX(Classes!$H$6:$H$420,$M4057))</f>
        <v/>
      </c>
      <c r="D4057" s="61" t="str">
        <f aca="false">IF($M4057=0,"",INDEX(Classes!$B$6:$B$420,$M4057))</f>
        <v/>
      </c>
      <c r="E4057" s="61" t="str">
        <f aca="false">IF($M4057=0,"",INDEX(Classes!$C$6:$C$420,$M4057))</f>
        <v/>
      </c>
      <c r="F4057" s="63"/>
      <c r="G4057" s="63"/>
      <c r="H4057" s="60"/>
      <c r="I4057" s="60"/>
      <c r="J4057" s="63"/>
      <c r="K4057" s="61" t="str">
        <f aca="false">IF($P4057=0,"",IF($F4057="Baseline","— Baseline",IF($O4057=0,"No result",IF($N4057=0,"No Start (attainment only)",IF(OR($N4057=1,$O4057=1),"U – needs rule",INDEX(MxBody,MATCH($I4057,MxCurr,0),MATCH($H4057,MxStart,0)))))))</f>
        <v/>
      </c>
      <c r="L4057" s="62" t="str">
        <f aca="false">IF(COUNTA($A4057,$F4057,$G4057,$H4057,$I4057,$J4057)=0,"",IF($M4057=0,"✖ كود الصف غير موجود",IF(ISNA(MATCH($F4057,Lists!$A$2:$A$5,0)),"✖ الفترة غير صحيحة",IF(ISNA(MATCH($G4057,Lists!$B$2:$B$7,0)),"✖ المجموعة غير صحيحة",IF(NOT(OR($H4057="",$N4057&gt;0)),"✖ Start غير صحيح",IF(NOT(OR($I4057="",$I4057="NR",$O4057&gt;0)),"✖ Current غير صحيح",IF(NOT(IF(ISNUMBER($J4057),AND($J4057&gt;=0,$J4057=INT($J4057)),FALSE())),"✖ العدد يجب أن يكون صحيحًا ≥ 0",IF(AND($F4057="Baseline",$H4057&lt;&gt;""),"⚠ Baseline: Start لا يدخل في التقدم",IF($K4057="No Start (attainment only)","ℹ تحصيل فقط (بدون Start)",IF($K4057="U – needs rule","ℹ حالة U تحتاج قاعدة معتمدة",IF($K4057="No result","ℹ بدون نتيجة (يُستبعد من التحصيل)","OK")))))))))))</f>
        <v/>
      </c>
      <c r="M4057" s="64" t="n">
        <f aca="false">IF($A4057="",0,IFERROR(MATCH($A4057,Classes!$A$6:$A$420,0),0))</f>
        <v>0</v>
      </c>
      <c r="N4057" s="64" t="n">
        <f aca="false">IF($H4057="",0,IFERROR(MATCH($H4057,GradeList,0),0))</f>
        <v>0</v>
      </c>
      <c r="O4057" s="64" t="n">
        <f aca="false">IF(OR($I4057="",$I4057="NR"),0,IFERROR(MATCH($I4057,GradeList,0),0))</f>
        <v>0</v>
      </c>
      <c r="P4057" s="64" t="n">
        <f aca="false">IF(AND($M4057&gt;0,ISNUMBER(MATCH($F4057,Lists!$A$2:$A$5,0)),ISNUMBER(MATCH($G4057,Lists!$B$2:$B$7,0)),OR($H4057="",$N4057&gt;0),OR($I4057="",$I4057="NR",$O4057&gt;0),IF(ISNUMBER($J4057),AND($J4057&gt;=0,$J4057=INT($J4057)),FALSE())),$J4057,0)</f>
        <v>0</v>
      </c>
      <c r="Q4057" s="64" t="n">
        <f aca="false">IF(AND($P4057&gt;0,$O4057&gt;0),$P4057,0)</f>
        <v>0</v>
      </c>
      <c r="R4057" s="64" t="n">
        <f aca="false">IF(AND($Q4057&gt;0,$O4057&gt;=AtRank),$Q4057,0)</f>
        <v>0</v>
      </c>
      <c r="S4057" s="64" t="n">
        <f aca="false">IF(AND($Q4057&gt;0,$O4057&gt;=AboveRank),$Q4057,0)</f>
        <v>0</v>
      </c>
      <c r="T4057" s="64" t="n">
        <f aca="false">IF($K4057="Less",$P4057,0)</f>
        <v>0</v>
      </c>
      <c r="U4057" s="64" t="n">
        <f aca="false">IF($K4057="Expected",$P4057,0)</f>
        <v>0</v>
      </c>
      <c r="V4057" s="64" t="n">
        <f aca="false">IF($K4057="Better",$P4057,0)</f>
        <v>0</v>
      </c>
      <c r="W4057" s="64" t="n">
        <f aca="false">IF($K4057="U – needs rule",$P4057,0)</f>
        <v>0</v>
      </c>
      <c r="X4057" s="64" t="n">
        <f aca="false">IF($K4057="No Start (attainment only)",$P4057,0)</f>
        <v>0</v>
      </c>
    </row>
    <row r="4058" customFormat="false" ht="15" hidden="false" customHeight="false" outlineLevel="0" collapsed="false">
      <c r="A4058" s="60"/>
      <c r="B4058" s="61" t="str">
        <f aca="false">IF($M4058=0,"",INDEX(Classes!$E$6:$E$420,$M4058))</f>
        <v/>
      </c>
      <c r="C4058" s="62" t="str">
        <f aca="false">IF($M4058=0,"",INDEX(Classes!$H$6:$H$420,$M4058))</f>
        <v/>
      </c>
      <c r="D4058" s="61" t="str">
        <f aca="false">IF($M4058=0,"",INDEX(Classes!$B$6:$B$420,$M4058))</f>
        <v/>
      </c>
      <c r="E4058" s="61" t="str">
        <f aca="false">IF($M4058=0,"",INDEX(Classes!$C$6:$C$420,$M4058))</f>
        <v/>
      </c>
      <c r="F4058" s="63"/>
      <c r="G4058" s="63"/>
      <c r="H4058" s="60"/>
      <c r="I4058" s="60"/>
      <c r="J4058" s="63"/>
      <c r="K4058" s="61" t="str">
        <f aca="false">IF($P4058=0,"",IF($F4058="Baseline","— Baseline",IF($O4058=0,"No result",IF($N4058=0,"No Start (attainment only)",IF(OR($N4058=1,$O4058=1),"U – needs rule",INDEX(MxBody,MATCH($I4058,MxCurr,0),MATCH($H4058,MxStart,0)))))))</f>
        <v/>
      </c>
      <c r="L4058" s="62" t="str">
        <f aca="false">IF(COUNTA($A4058,$F4058,$G4058,$H4058,$I4058,$J4058)=0,"",IF($M4058=0,"✖ كود الصف غير موجود",IF(ISNA(MATCH($F4058,Lists!$A$2:$A$5,0)),"✖ الفترة غير صحيحة",IF(ISNA(MATCH($G4058,Lists!$B$2:$B$7,0)),"✖ المجموعة غير صحيحة",IF(NOT(OR($H4058="",$N4058&gt;0)),"✖ Start غير صحيح",IF(NOT(OR($I4058="",$I4058="NR",$O4058&gt;0)),"✖ Current غير صحيح",IF(NOT(IF(ISNUMBER($J4058),AND($J4058&gt;=0,$J4058=INT($J4058)),FALSE())),"✖ العدد يجب أن يكون صحيحًا ≥ 0",IF(AND($F4058="Baseline",$H4058&lt;&gt;""),"⚠ Baseline: Start لا يدخل في التقدم",IF($K4058="No Start (attainment only)","ℹ تحصيل فقط (بدون Start)",IF($K4058="U – needs rule","ℹ حالة U تحتاج قاعدة معتمدة",IF($K4058="No result","ℹ بدون نتيجة (يُستبعد من التحصيل)","OK")))))))))))</f>
        <v/>
      </c>
      <c r="M4058" s="64" t="n">
        <f aca="false">IF($A4058="",0,IFERROR(MATCH($A4058,Classes!$A$6:$A$420,0),0))</f>
        <v>0</v>
      </c>
      <c r="N4058" s="64" t="n">
        <f aca="false">IF($H4058="",0,IFERROR(MATCH($H4058,GradeList,0),0))</f>
        <v>0</v>
      </c>
      <c r="O4058" s="64" t="n">
        <f aca="false">IF(OR($I4058="",$I4058="NR"),0,IFERROR(MATCH($I4058,GradeList,0),0))</f>
        <v>0</v>
      </c>
      <c r="P4058" s="64" t="n">
        <f aca="false">IF(AND($M4058&gt;0,ISNUMBER(MATCH($F4058,Lists!$A$2:$A$5,0)),ISNUMBER(MATCH($G4058,Lists!$B$2:$B$7,0)),OR($H4058="",$N4058&gt;0),OR($I4058="",$I4058="NR",$O4058&gt;0),IF(ISNUMBER($J4058),AND($J4058&gt;=0,$J4058=INT($J4058)),FALSE())),$J4058,0)</f>
        <v>0</v>
      </c>
      <c r="Q4058" s="64" t="n">
        <f aca="false">IF(AND($P4058&gt;0,$O4058&gt;0),$P4058,0)</f>
        <v>0</v>
      </c>
      <c r="R4058" s="64" t="n">
        <f aca="false">IF(AND($Q4058&gt;0,$O4058&gt;=AtRank),$Q4058,0)</f>
        <v>0</v>
      </c>
      <c r="S4058" s="64" t="n">
        <f aca="false">IF(AND($Q4058&gt;0,$O4058&gt;=AboveRank),$Q4058,0)</f>
        <v>0</v>
      </c>
      <c r="T4058" s="64" t="n">
        <f aca="false">IF($K4058="Less",$P4058,0)</f>
        <v>0</v>
      </c>
      <c r="U4058" s="64" t="n">
        <f aca="false">IF($K4058="Expected",$P4058,0)</f>
        <v>0</v>
      </c>
      <c r="V4058" s="64" t="n">
        <f aca="false">IF($K4058="Better",$P4058,0)</f>
        <v>0</v>
      </c>
      <c r="W4058" s="64" t="n">
        <f aca="false">IF($K4058="U – needs rule",$P4058,0)</f>
        <v>0</v>
      </c>
      <c r="X4058" s="64" t="n">
        <f aca="false">IF($K4058="No Start (attainment only)",$P4058,0)</f>
        <v>0</v>
      </c>
    </row>
    <row r="4059" customFormat="false" ht="15" hidden="false" customHeight="false" outlineLevel="0" collapsed="false">
      <c r="A4059" s="60"/>
      <c r="B4059" s="61" t="str">
        <f aca="false">IF($M4059=0,"",INDEX(Classes!$E$6:$E$420,$M4059))</f>
        <v/>
      </c>
      <c r="C4059" s="62" t="str">
        <f aca="false">IF($M4059=0,"",INDEX(Classes!$H$6:$H$420,$M4059))</f>
        <v/>
      </c>
      <c r="D4059" s="61" t="str">
        <f aca="false">IF($M4059=0,"",INDEX(Classes!$B$6:$B$420,$M4059))</f>
        <v/>
      </c>
      <c r="E4059" s="61" t="str">
        <f aca="false">IF($M4059=0,"",INDEX(Classes!$C$6:$C$420,$M4059))</f>
        <v/>
      </c>
      <c r="F4059" s="63"/>
      <c r="G4059" s="63"/>
      <c r="H4059" s="60"/>
      <c r="I4059" s="60"/>
      <c r="J4059" s="63"/>
      <c r="K4059" s="61" t="str">
        <f aca="false">IF($P4059=0,"",IF($F4059="Baseline","— Baseline",IF($O4059=0,"No result",IF($N4059=0,"No Start (attainment only)",IF(OR($N4059=1,$O4059=1),"U – needs rule",INDEX(MxBody,MATCH($I4059,MxCurr,0),MATCH($H4059,MxStart,0)))))))</f>
        <v/>
      </c>
      <c r="L4059" s="62" t="str">
        <f aca="false">IF(COUNTA($A4059,$F4059,$G4059,$H4059,$I4059,$J4059)=0,"",IF($M4059=0,"✖ كود الصف غير موجود",IF(ISNA(MATCH($F4059,Lists!$A$2:$A$5,0)),"✖ الفترة غير صحيحة",IF(ISNA(MATCH($G4059,Lists!$B$2:$B$7,0)),"✖ المجموعة غير صحيحة",IF(NOT(OR($H4059="",$N4059&gt;0)),"✖ Start غير صحيح",IF(NOT(OR($I4059="",$I4059="NR",$O4059&gt;0)),"✖ Current غير صحيح",IF(NOT(IF(ISNUMBER($J4059),AND($J4059&gt;=0,$J4059=INT($J4059)),FALSE())),"✖ العدد يجب أن يكون صحيحًا ≥ 0",IF(AND($F4059="Baseline",$H4059&lt;&gt;""),"⚠ Baseline: Start لا يدخل في التقدم",IF($K4059="No Start (attainment only)","ℹ تحصيل فقط (بدون Start)",IF($K4059="U – needs rule","ℹ حالة U تحتاج قاعدة معتمدة",IF($K4059="No result","ℹ بدون نتيجة (يُستبعد من التحصيل)","OK")))))))))))</f>
        <v/>
      </c>
      <c r="M4059" s="64" t="n">
        <f aca="false">IF($A4059="",0,IFERROR(MATCH($A4059,Classes!$A$6:$A$420,0),0))</f>
        <v>0</v>
      </c>
      <c r="N4059" s="64" t="n">
        <f aca="false">IF($H4059="",0,IFERROR(MATCH($H4059,GradeList,0),0))</f>
        <v>0</v>
      </c>
      <c r="O4059" s="64" t="n">
        <f aca="false">IF(OR($I4059="",$I4059="NR"),0,IFERROR(MATCH($I4059,GradeList,0),0))</f>
        <v>0</v>
      </c>
      <c r="P4059" s="64" t="n">
        <f aca="false">IF(AND($M4059&gt;0,ISNUMBER(MATCH($F4059,Lists!$A$2:$A$5,0)),ISNUMBER(MATCH($G4059,Lists!$B$2:$B$7,0)),OR($H4059="",$N4059&gt;0),OR($I4059="",$I4059="NR",$O4059&gt;0),IF(ISNUMBER($J4059),AND($J4059&gt;=0,$J4059=INT($J4059)),FALSE())),$J4059,0)</f>
        <v>0</v>
      </c>
      <c r="Q4059" s="64" t="n">
        <f aca="false">IF(AND($P4059&gt;0,$O4059&gt;0),$P4059,0)</f>
        <v>0</v>
      </c>
      <c r="R4059" s="64" t="n">
        <f aca="false">IF(AND($Q4059&gt;0,$O4059&gt;=AtRank),$Q4059,0)</f>
        <v>0</v>
      </c>
      <c r="S4059" s="64" t="n">
        <f aca="false">IF(AND($Q4059&gt;0,$O4059&gt;=AboveRank),$Q4059,0)</f>
        <v>0</v>
      </c>
      <c r="T4059" s="64" t="n">
        <f aca="false">IF($K4059="Less",$P4059,0)</f>
        <v>0</v>
      </c>
      <c r="U4059" s="64" t="n">
        <f aca="false">IF($K4059="Expected",$P4059,0)</f>
        <v>0</v>
      </c>
      <c r="V4059" s="64" t="n">
        <f aca="false">IF($K4059="Better",$P4059,0)</f>
        <v>0</v>
      </c>
      <c r="W4059" s="64" t="n">
        <f aca="false">IF($K4059="U – needs rule",$P4059,0)</f>
        <v>0</v>
      </c>
      <c r="X4059" s="64" t="n">
        <f aca="false">IF($K4059="No Start (attainment only)",$P4059,0)</f>
        <v>0</v>
      </c>
    </row>
    <row r="4060" customFormat="false" ht="15" hidden="false" customHeight="false" outlineLevel="0" collapsed="false">
      <c r="A4060" s="60"/>
      <c r="B4060" s="61" t="str">
        <f aca="false">IF($M4060=0,"",INDEX(Classes!$E$6:$E$420,$M4060))</f>
        <v/>
      </c>
      <c r="C4060" s="62" t="str">
        <f aca="false">IF($M4060=0,"",INDEX(Classes!$H$6:$H$420,$M4060))</f>
        <v/>
      </c>
      <c r="D4060" s="61" t="str">
        <f aca="false">IF($M4060=0,"",INDEX(Classes!$B$6:$B$420,$M4060))</f>
        <v/>
      </c>
      <c r="E4060" s="61" t="str">
        <f aca="false">IF($M4060=0,"",INDEX(Classes!$C$6:$C$420,$M4060))</f>
        <v/>
      </c>
      <c r="F4060" s="63"/>
      <c r="G4060" s="63"/>
      <c r="H4060" s="60"/>
      <c r="I4060" s="60"/>
      <c r="J4060" s="63"/>
      <c r="K4060" s="61" t="str">
        <f aca="false">IF($P4060=0,"",IF($F4060="Baseline","— Baseline",IF($O4060=0,"No result",IF($N4060=0,"No Start (attainment only)",IF(OR($N4060=1,$O4060=1),"U – needs rule",INDEX(MxBody,MATCH($I4060,MxCurr,0),MATCH($H4060,MxStart,0)))))))</f>
        <v/>
      </c>
      <c r="L4060" s="62" t="str">
        <f aca="false">IF(COUNTA($A4060,$F4060,$G4060,$H4060,$I4060,$J4060)=0,"",IF($M4060=0,"✖ كود الصف غير موجود",IF(ISNA(MATCH($F4060,Lists!$A$2:$A$5,0)),"✖ الفترة غير صحيحة",IF(ISNA(MATCH($G4060,Lists!$B$2:$B$7,0)),"✖ المجموعة غير صحيحة",IF(NOT(OR($H4060="",$N4060&gt;0)),"✖ Start غير صحيح",IF(NOT(OR($I4060="",$I4060="NR",$O4060&gt;0)),"✖ Current غير صحيح",IF(NOT(IF(ISNUMBER($J4060),AND($J4060&gt;=0,$J4060=INT($J4060)),FALSE())),"✖ العدد يجب أن يكون صحيحًا ≥ 0",IF(AND($F4060="Baseline",$H4060&lt;&gt;""),"⚠ Baseline: Start لا يدخل في التقدم",IF($K4060="No Start (attainment only)","ℹ تحصيل فقط (بدون Start)",IF($K4060="U – needs rule","ℹ حالة U تحتاج قاعدة معتمدة",IF($K4060="No result","ℹ بدون نتيجة (يُستبعد من التحصيل)","OK")))))))))))</f>
        <v/>
      </c>
      <c r="M4060" s="64" t="n">
        <f aca="false">IF($A4060="",0,IFERROR(MATCH($A4060,Classes!$A$6:$A$420,0),0))</f>
        <v>0</v>
      </c>
      <c r="N4060" s="64" t="n">
        <f aca="false">IF($H4060="",0,IFERROR(MATCH($H4060,GradeList,0),0))</f>
        <v>0</v>
      </c>
      <c r="O4060" s="64" t="n">
        <f aca="false">IF(OR($I4060="",$I4060="NR"),0,IFERROR(MATCH($I4060,GradeList,0),0))</f>
        <v>0</v>
      </c>
      <c r="P4060" s="64" t="n">
        <f aca="false">IF(AND($M4060&gt;0,ISNUMBER(MATCH($F4060,Lists!$A$2:$A$5,0)),ISNUMBER(MATCH($G4060,Lists!$B$2:$B$7,0)),OR($H4060="",$N4060&gt;0),OR($I4060="",$I4060="NR",$O4060&gt;0),IF(ISNUMBER($J4060),AND($J4060&gt;=0,$J4060=INT($J4060)),FALSE())),$J4060,0)</f>
        <v>0</v>
      </c>
      <c r="Q4060" s="64" t="n">
        <f aca="false">IF(AND($P4060&gt;0,$O4060&gt;0),$P4060,0)</f>
        <v>0</v>
      </c>
      <c r="R4060" s="64" t="n">
        <f aca="false">IF(AND($Q4060&gt;0,$O4060&gt;=AtRank),$Q4060,0)</f>
        <v>0</v>
      </c>
      <c r="S4060" s="64" t="n">
        <f aca="false">IF(AND($Q4060&gt;0,$O4060&gt;=AboveRank),$Q4060,0)</f>
        <v>0</v>
      </c>
      <c r="T4060" s="64" t="n">
        <f aca="false">IF($K4060="Less",$P4060,0)</f>
        <v>0</v>
      </c>
      <c r="U4060" s="64" t="n">
        <f aca="false">IF($K4060="Expected",$P4060,0)</f>
        <v>0</v>
      </c>
      <c r="V4060" s="64" t="n">
        <f aca="false">IF($K4060="Better",$P4060,0)</f>
        <v>0</v>
      </c>
      <c r="W4060" s="64" t="n">
        <f aca="false">IF($K4060="U – needs rule",$P4060,0)</f>
        <v>0</v>
      </c>
      <c r="X4060" s="64" t="n">
        <f aca="false">IF($K4060="No Start (attainment only)",$P4060,0)</f>
        <v>0</v>
      </c>
    </row>
    <row r="4061" customFormat="false" ht="15" hidden="false" customHeight="false" outlineLevel="0" collapsed="false">
      <c r="A4061" s="60"/>
      <c r="B4061" s="61" t="str">
        <f aca="false">IF($M4061=0,"",INDEX(Classes!$E$6:$E$420,$M4061))</f>
        <v/>
      </c>
      <c r="C4061" s="62" t="str">
        <f aca="false">IF($M4061=0,"",INDEX(Classes!$H$6:$H$420,$M4061))</f>
        <v/>
      </c>
      <c r="D4061" s="61" t="str">
        <f aca="false">IF($M4061=0,"",INDEX(Classes!$B$6:$B$420,$M4061))</f>
        <v/>
      </c>
      <c r="E4061" s="61" t="str">
        <f aca="false">IF($M4061=0,"",INDEX(Classes!$C$6:$C$420,$M4061))</f>
        <v/>
      </c>
      <c r="F4061" s="63"/>
      <c r="G4061" s="63"/>
      <c r="H4061" s="60"/>
      <c r="I4061" s="60"/>
      <c r="J4061" s="63"/>
      <c r="K4061" s="61" t="str">
        <f aca="false">IF($P4061=0,"",IF($F4061="Baseline","— Baseline",IF($O4061=0,"No result",IF($N4061=0,"No Start (attainment only)",IF(OR($N4061=1,$O4061=1),"U – needs rule",INDEX(MxBody,MATCH($I4061,MxCurr,0),MATCH($H4061,MxStart,0)))))))</f>
        <v/>
      </c>
      <c r="L4061" s="62" t="str">
        <f aca="false">IF(COUNTA($A4061,$F4061,$G4061,$H4061,$I4061,$J4061)=0,"",IF($M4061=0,"✖ كود الصف غير موجود",IF(ISNA(MATCH($F4061,Lists!$A$2:$A$5,0)),"✖ الفترة غير صحيحة",IF(ISNA(MATCH($G4061,Lists!$B$2:$B$7,0)),"✖ المجموعة غير صحيحة",IF(NOT(OR($H4061="",$N4061&gt;0)),"✖ Start غير صحيح",IF(NOT(OR($I4061="",$I4061="NR",$O4061&gt;0)),"✖ Current غير صحيح",IF(NOT(IF(ISNUMBER($J4061),AND($J4061&gt;=0,$J4061=INT($J4061)),FALSE())),"✖ العدد يجب أن يكون صحيحًا ≥ 0",IF(AND($F4061="Baseline",$H4061&lt;&gt;""),"⚠ Baseline: Start لا يدخل في التقدم",IF($K4061="No Start (attainment only)","ℹ تحصيل فقط (بدون Start)",IF($K4061="U – needs rule","ℹ حالة U تحتاج قاعدة معتمدة",IF($K4061="No result","ℹ بدون نتيجة (يُستبعد من التحصيل)","OK")))))))))))</f>
        <v/>
      </c>
      <c r="M4061" s="64" t="n">
        <f aca="false">IF($A4061="",0,IFERROR(MATCH($A4061,Classes!$A$6:$A$420,0),0))</f>
        <v>0</v>
      </c>
      <c r="N4061" s="64" t="n">
        <f aca="false">IF($H4061="",0,IFERROR(MATCH($H4061,GradeList,0),0))</f>
        <v>0</v>
      </c>
      <c r="O4061" s="64" t="n">
        <f aca="false">IF(OR($I4061="",$I4061="NR"),0,IFERROR(MATCH($I4061,GradeList,0),0))</f>
        <v>0</v>
      </c>
      <c r="P4061" s="64" t="n">
        <f aca="false">IF(AND($M4061&gt;0,ISNUMBER(MATCH($F4061,Lists!$A$2:$A$5,0)),ISNUMBER(MATCH($G4061,Lists!$B$2:$B$7,0)),OR($H4061="",$N4061&gt;0),OR($I4061="",$I4061="NR",$O4061&gt;0),IF(ISNUMBER($J4061),AND($J4061&gt;=0,$J4061=INT($J4061)),FALSE())),$J4061,0)</f>
        <v>0</v>
      </c>
      <c r="Q4061" s="64" t="n">
        <f aca="false">IF(AND($P4061&gt;0,$O4061&gt;0),$P4061,0)</f>
        <v>0</v>
      </c>
      <c r="R4061" s="64" t="n">
        <f aca="false">IF(AND($Q4061&gt;0,$O4061&gt;=AtRank),$Q4061,0)</f>
        <v>0</v>
      </c>
      <c r="S4061" s="64" t="n">
        <f aca="false">IF(AND($Q4061&gt;0,$O4061&gt;=AboveRank),$Q4061,0)</f>
        <v>0</v>
      </c>
      <c r="T4061" s="64" t="n">
        <f aca="false">IF($K4061="Less",$P4061,0)</f>
        <v>0</v>
      </c>
      <c r="U4061" s="64" t="n">
        <f aca="false">IF($K4061="Expected",$P4061,0)</f>
        <v>0</v>
      </c>
      <c r="V4061" s="64" t="n">
        <f aca="false">IF($K4061="Better",$P4061,0)</f>
        <v>0</v>
      </c>
      <c r="W4061" s="64" t="n">
        <f aca="false">IF($K4061="U – needs rule",$P4061,0)</f>
        <v>0</v>
      </c>
      <c r="X4061" s="64" t="n">
        <f aca="false">IF($K4061="No Start (attainment only)",$P4061,0)</f>
        <v>0</v>
      </c>
    </row>
    <row r="4062" customFormat="false" ht="15" hidden="false" customHeight="false" outlineLevel="0" collapsed="false">
      <c r="A4062" s="60"/>
      <c r="B4062" s="61" t="str">
        <f aca="false">IF($M4062=0,"",INDEX(Classes!$E$6:$E$420,$M4062))</f>
        <v/>
      </c>
      <c r="C4062" s="62" t="str">
        <f aca="false">IF($M4062=0,"",INDEX(Classes!$H$6:$H$420,$M4062))</f>
        <v/>
      </c>
      <c r="D4062" s="61" t="str">
        <f aca="false">IF($M4062=0,"",INDEX(Classes!$B$6:$B$420,$M4062))</f>
        <v/>
      </c>
      <c r="E4062" s="61" t="str">
        <f aca="false">IF($M4062=0,"",INDEX(Classes!$C$6:$C$420,$M4062))</f>
        <v/>
      </c>
      <c r="F4062" s="63"/>
      <c r="G4062" s="63"/>
      <c r="H4062" s="60"/>
      <c r="I4062" s="60"/>
      <c r="J4062" s="63"/>
      <c r="K4062" s="61" t="str">
        <f aca="false">IF($P4062=0,"",IF($F4062="Baseline","— Baseline",IF($O4062=0,"No result",IF($N4062=0,"No Start (attainment only)",IF(OR($N4062=1,$O4062=1),"U – needs rule",INDEX(MxBody,MATCH($I4062,MxCurr,0),MATCH($H4062,MxStart,0)))))))</f>
        <v/>
      </c>
      <c r="L4062" s="62" t="str">
        <f aca="false">IF(COUNTA($A4062,$F4062,$G4062,$H4062,$I4062,$J4062)=0,"",IF($M4062=0,"✖ كود الصف غير موجود",IF(ISNA(MATCH($F4062,Lists!$A$2:$A$5,0)),"✖ الفترة غير صحيحة",IF(ISNA(MATCH($G4062,Lists!$B$2:$B$7,0)),"✖ المجموعة غير صحيحة",IF(NOT(OR($H4062="",$N4062&gt;0)),"✖ Start غير صحيح",IF(NOT(OR($I4062="",$I4062="NR",$O4062&gt;0)),"✖ Current غير صحيح",IF(NOT(IF(ISNUMBER($J4062),AND($J4062&gt;=0,$J4062=INT($J4062)),FALSE())),"✖ العدد يجب أن يكون صحيحًا ≥ 0",IF(AND($F4062="Baseline",$H4062&lt;&gt;""),"⚠ Baseline: Start لا يدخل في التقدم",IF($K4062="No Start (attainment only)","ℹ تحصيل فقط (بدون Start)",IF($K4062="U – needs rule","ℹ حالة U تحتاج قاعدة معتمدة",IF($K4062="No result","ℹ بدون نتيجة (يُستبعد من التحصيل)","OK")))))))))))</f>
        <v/>
      </c>
      <c r="M4062" s="64" t="n">
        <f aca="false">IF($A4062="",0,IFERROR(MATCH($A4062,Classes!$A$6:$A$420,0),0))</f>
        <v>0</v>
      </c>
      <c r="N4062" s="64" t="n">
        <f aca="false">IF($H4062="",0,IFERROR(MATCH($H4062,GradeList,0),0))</f>
        <v>0</v>
      </c>
      <c r="O4062" s="64" t="n">
        <f aca="false">IF(OR($I4062="",$I4062="NR"),0,IFERROR(MATCH($I4062,GradeList,0),0))</f>
        <v>0</v>
      </c>
      <c r="P4062" s="64" t="n">
        <f aca="false">IF(AND($M4062&gt;0,ISNUMBER(MATCH($F4062,Lists!$A$2:$A$5,0)),ISNUMBER(MATCH($G4062,Lists!$B$2:$B$7,0)),OR($H4062="",$N4062&gt;0),OR($I4062="",$I4062="NR",$O4062&gt;0),IF(ISNUMBER($J4062),AND($J4062&gt;=0,$J4062=INT($J4062)),FALSE())),$J4062,0)</f>
        <v>0</v>
      </c>
      <c r="Q4062" s="64" t="n">
        <f aca="false">IF(AND($P4062&gt;0,$O4062&gt;0),$P4062,0)</f>
        <v>0</v>
      </c>
      <c r="R4062" s="64" t="n">
        <f aca="false">IF(AND($Q4062&gt;0,$O4062&gt;=AtRank),$Q4062,0)</f>
        <v>0</v>
      </c>
      <c r="S4062" s="64" t="n">
        <f aca="false">IF(AND($Q4062&gt;0,$O4062&gt;=AboveRank),$Q4062,0)</f>
        <v>0</v>
      </c>
      <c r="T4062" s="64" t="n">
        <f aca="false">IF($K4062="Less",$P4062,0)</f>
        <v>0</v>
      </c>
      <c r="U4062" s="64" t="n">
        <f aca="false">IF($K4062="Expected",$P4062,0)</f>
        <v>0</v>
      </c>
      <c r="V4062" s="64" t="n">
        <f aca="false">IF($K4062="Better",$P4062,0)</f>
        <v>0</v>
      </c>
      <c r="W4062" s="64" t="n">
        <f aca="false">IF($K4062="U – needs rule",$P4062,0)</f>
        <v>0</v>
      </c>
      <c r="X4062" s="64" t="n">
        <f aca="false">IF($K4062="No Start (attainment only)",$P4062,0)</f>
        <v>0</v>
      </c>
    </row>
    <row r="4063" customFormat="false" ht="15" hidden="false" customHeight="false" outlineLevel="0" collapsed="false">
      <c r="A4063" s="60"/>
      <c r="B4063" s="61" t="str">
        <f aca="false">IF($M4063=0,"",INDEX(Classes!$E$6:$E$420,$M4063))</f>
        <v/>
      </c>
      <c r="C4063" s="62" t="str">
        <f aca="false">IF($M4063=0,"",INDEX(Classes!$H$6:$H$420,$M4063))</f>
        <v/>
      </c>
      <c r="D4063" s="61" t="str">
        <f aca="false">IF($M4063=0,"",INDEX(Classes!$B$6:$B$420,$M4063))</f>
        <v/>
      </c>
      <c r="E4063" s="61" t="str">
        <f aca="false">IF($M4063=0,"",INDEX(Classes!$C$6:$C$420,$M4063))</f>
        <v/>
      </c>
      <c r="F4063" s="63"/>
      <c r="G4063" s="63"/>
      <c r="H4063" s="60"/>
      <c r="I4063" s="60"/>
      <c r="J4063" s="63"/>
      <c r="K4063" s="61" t="str">
        <f aca="false">IF($P4063=0,"",IF($F4063="Baseline","— Baseline",IF($O4063=0,"No result",IF($N4063=0,"No Start (attainment only)",IF(OR($N4063=1,$O4063=1),"U – needs rule",INDEX(MxBody,MATCH($I4063,MxCurr,0),MATCH($H4063,MxStart,0)))))))</f>
        <v/>
      </c>
      <c r="L4063" s="62" t="str">
        <f aca="false">IF(COUNTA($A4063,$F4063,$G4063,$H4063,$I4063,$J4063)=0,"",IF($M4063=0,"✖ كود الصف غير موجود",IF(ISNA(MATCH($F4063,Lists!$A$2:$A$5,0)),"✖ الفترة غير صحيحة",IF(ISNA(MATCH($G4063,Lists!$B$2:$B$7,0)),"✖ المجموعة غير صحيحة",IF(NOT(OR($H4063="",$N4063&gt;0)),"✖ Start غير صحيح",IF(NOT(OR($I4063="",$I4063="NR",$O4063&gt;0)),"✖ Current غير صحيح",IF(NOT(IF(ISNUMBER($J4063),AND($J4063&gt;=0,$J4063=INT($J4063)),FALSE())),"✖ العدد يجب أن يكون صحيحًا ≥ 0",IF(AND($F4063="Baseline",$H4063&lt;&gt;""),"⚠ Baseline: Start لا يدخل في التقدم",IF($K4063="No Start (attainment only)","ℹ تحصيل فقط (بدون Start)",IF($K4063="U – needs rule","ℹ حالة U تحتاج قاعدة معتمدة",IF($K4063="No result","ℹ بدون نتيجة (يُستبعد من التحصيل)","OK")))))))))))</f>
        <v/>
      </c>
      <c r="M4063" s="64" t="n">
        <f aca="false">IF($A4063="",0,IFERROR(MATCH($A4063,Classes!$A$6:$A$420,0),0))</f>
        <v>0</v>
      </c>
      <c r="N4063" s="64" t="n">
        <f aca="false">IF($H4063="",0,IFERROR(MATCH($H4063,GradeList,0),0))</f>
        <v>0</v>
      </c>
      <c r="O4063" s="64" t="n">
        <f aca="false">IF(OR($I4063="",$I4063="NR"),0,IFERROR(MATCH($I4063,GradeList,0),0))</f>
        <v>0</v>
      </c>
      <c r="P4063" s="64" t="n">
        <f aca="false">IF(AND($M4063&gt;0,ISNUMBER(MATCH($F4063,Lists!$A$2:$A$5,0)),ISNUMBER(MATCH($G4063,Lists!$B$2:$B$7,0)),OR($H4063="",$N4063&gt;0),OR($I4063="",$I4063="NR",$O4063&gt;0),IF(ISNUMBER($J4063),AND($J4063&gt;=0,$J4063=INT($J4063)),FALSE())),$J4063,0)</f>
        <v>0</v>
      </c>
      <c r="Q4063" s="64" t="n">
        <f aca="false">IF(AND($P4063&gt;0,$O4063&gt;0),$P4063,0)</f>
        <v>0</v>
      </c>
      <c r="R4063" s="64" t="n">
        <f aca="false">IF(AND($Q4063&gt;0,$O4063&gt;=AtRank),$Q4063,0)</f>
        <v>0</v>
      </c>
      <c r="S4063" s="64" t="n">
        <f aca="false">IF(AND($Q4063&gt;0,$O4063&gt;=AboveRank),$Q4063,0)</f>
        <v>0</v>
      </c>
      <c r="T4063" s="64" t="n">
        <f aca="false">IF($K4063="Less",$P4063,0)</f>
        <v>0</v>
      </c>
      <c r="U4063" s="64" t="n">
        <f aca="false">IF($K4063="Expected",$P4063,0)</f>
        <v>0</v>
      </c>
      <c r="V4063" s="64" t="n">
        <f aca="false">IF($K4063="Better",$P4063,0)</f>
        <v>0</v>
      </c>
      <c r="W4063" s="64" t="n">
        <f aca="false">IF($K4063="U – needs rule",$P4063,0)</f>
        <v>0</v>
      </c>
      <c r="X4063" s="64" t="n">
        <f aca="false">IF($K4063="No Start (attainment only)",$P4063,0)</f>
        <v>0</v>
      </c>
    </row>
    <row r="4064" customFormat="false" ht="15" hidden="false" customHeight="false" outlineLevel="0" collapsed="false">
      <c r="A4064" s="60"/>
      <c r="B4064" s="61" t="str">
        <f aca="false">IF($M4064=0,"",INDEX(Classes!$E$6:$E$420,$M4064))</f>
        <v/>
      </c>
      <c r="C4064" s="62" t="str">
        <f aca="false">IF($M4064=0,"",INDEX(Classes!$H$6:$H$420,$M4064))</f>
        <v/>
      </c>
      <c r="D4064" s="61" t="str">
        <f aca="false">IF($M4064=0,"",INDEX(Classes!$B$6:$B$420,$M4064))</f>
        <v/>
      </c>
      <c r="E4064" s="61" t="str">
        <f aca="false">IF($M4064=0,"",INDEX(Classes!$C$6:$C$420,$M4064))</f>
        <v/>
      </c>
      <c r="F4064" s="63"/>
      <c r="G4064" s="63"/>
      <c r="H4064" s="60"/>
      <c r="I4064" s="60"/>
      <c r="J4064" s="63"/>
      <c r="K4064" s="61" t="str">
        <f aca="false">IF($P4064=0,"",IF($F4064="Baseline","— Baseline",IF($O4064=0,"No result",IF($N4064=0,"No Start (attainment only)",IF(OR($N4064=1,$O4064=1),"U – needs rule",INDEX(MxBody,MATCH($I4064,MxCurr,0),MATCH($H4064,MxStart,0)))))))</f>
        <v/>
      </c>
      <c r="L4064" s="62" t="str">
        <f aca="false">IF(COUNTA($A4064,$F4064,$G4064,$H4064,$I4064,$J4064)=0,"",IF($M4064=0,"✖ كود الصف غير موجود",IF(ISNA(MATCH($F4064,Lists!$A$2:$A$5,0)),"✖ الفترة غير صحيحة",IF(ISNA(MATCH($G4064,Lists!$B$2:$B$7,0)),"✖ المجموعة غير صحيحة",IF(NOT(OR($H4064="",$N4064&gt;0)),"✖ Start غير صحيح",IF(NOT(OR($I4064="",$I4064="NR",$O4064&gt;0)),"✖ Current غير صحيح",IF(NOT(IF(ISNUMBER($J4064),AND($J4064&gt;=0,$J4064=INT($J4064)),FALSE())),"✖ العدد يجب أن يكون صحيحًا ≥ 0",IF(AND($F4064="Baseline",$H4064&lt;&gt;""),"⚠ Baseline: Start لا يدخل في التقدم",IF($K4064="No Start (attainment only)","ℹ تحصيل فقط (بدون Start)",IF($K4064="U – needs rule","ℹ حالة U تحتاج قاعدة معتمدة",IF($K4064="No result","ℹ بدون نتيجة (يُستبعد من التحصيل)","OK")))))))))))</f>
        <v/>
      </c>
      <c r="M4064" s="64" t="n">
        <f aca="false">IF($A4064="",0,IFERROR(MATCH($A4064,Classes!$A$6:$A$420,0),0))</f>
        <v>0</v>
      </c>
      <c r="N4064" s="64" t="n">
        <f aca="false">IF($H4064="",0,IFERROR(MATCH($H4064,GradeList,0),0))</f>
        <v>0</v>
      </c>
      <c r="O4064" s="64" t="n">
        <f aca="false">IF(OR($I4064="",$I4064="NR"),0,IFERROR(MATCH($I4064,GradeList,0),0))</f>
        <v>0</v>
      </c>
      <c r="P4064" s="64" t="n">
        <f aca="false">IF(AND($M4064&gt;0,ISNUMBER(MATCH($F4064,Lists!$A$2:$A$5,0)),ISNUMBER(MATCH($G4064,Lists!$B$2:$B$7,0)),OR($H4064="",$N4064&gt;0),OR($I4064="",$I4064="NR",$O4064&gt;0),IF(ISNUMBER($J4064),AND($J4064&gt;=0,$J4064=INT($J4064)),FALSE())),$J4064,0)</f>
        <v>0</v>
      </c>
      <c r="Q4064" s="64" t="n">
        <f aca="false">IF(AND($P4064&gt;0,$O4064&gt;0),$P4064,0)</f>
        <v>0</v>
      </c>
      <c r="R4064" s="64" t="n">
        <f aca="false">IF(AND($Q4064&gt;0,$O4064&gt;=AtRank),$Q4064,0)</f>
        <v>0</v>
      </c>
      <c r="S4064" s="64" t="n">
        <f aca="false">IF(AND($Q4064&gt;0,$O4064&gt;=AboveRank),$Q4064,0)</f>
        <v>0</v>
      </c>
      <c r="T4064" s="64" t="n">
        <f aca="false">IF($K4064="Less",$P4064,0)</f>
        <v>0</v>
      </c>
      <c r="U4064" s="64" t="n">
        <f aca="false">IF($K4064="Expected",$P4064,0)</f>
        <v>0</v>
      </c>
      <c r="V4064" s="64" t="n">
        <f aca="false">IF($K4064="Better",$P4064,0)</f>
        <v>0</v>
      </c>
      <c r="W4064" s="64" t="n">
        <f aca="false">IF($K4064="U – needs rule",$P4064,0)</f>
        <v>0</v>
      </c>
      <c r="X4064" s="64" t="n">
        <f aca="false">IF($K4064="No Start (attainment only)",$P4064,0)</f>
        <v>0</v>
      </c>
    </row>
    <row r="4065" customFormat="false" ht="15" hidden="false" customHeight="false" outlineLevel="0" collapsed="false">
      <c r="A4065" s="60"/>
      <c r="B4065" s="61" t="str">
        <f aca="false">IF($M4065=0,"",INDEX(Classes!$E$6:$E$420,$M4065))</f>
        <v/>
      </c>
      <c r="C4065" s="62" t="str">
        <f aca="false">IF($M4065=0,"",INDEX(Classes!$H$6:$H$420,$M4065))</f>
        <v/>
      </c>
      <c r="D4065" s="61" t="str">
        <f aca="false">IF($M4065=0,"",INDEX(Classes!$B$6:$B$420,$M4065))</f>
        <v/>
      </c>
      <c r="E4065" s="61" t="str">
        <f aca="false">IF($M4065=0,"",INDEX(Classes!$C$6:$C$420,$M4065))</f>
        <v/>
      </c>
      <c r="F4065" s="63"/>
      <c r="G4065" s="63"/>
      <c r="H4065" s="60"/>
      <c r="I4065" s="60"/>
      <c r="J4065" s="63"/>
      <c r="K4065" s="61" t="str">
        <f aca="false">IF($P4065=0,"",IF($F4065="Baseline","— Baseline",IF($O4065=0,"No result",IF($N4065=0,"No Start (attainment only)",IF(OR($N4065=1,$O4065=1),"U – needs rule",INDEX(MxBody,MATCH($I4065,MxCurr,0),MATCH($H4065,MxStart,0)))))))</f>
        <v/>
      </c>
      <c r="L4065" s="62" t="str">
        <f aca="false">IF(COUNTA($A4065,$F4065,$G4065,$H4065,$I4065,$J4065)=0,"",IF($M4065=0,"✖ كود الصف غير موجود",IF(ISNA(MATCH($F4065,Lists!$A$2:$A$5,0)),"✖ الفترة غير صحيحة",IF(ISNA(MATCH($G4065,Lists!$B$2:$B$7,0)),"✖ المجموعة غير صحيحة",IF(NOT(OR($H4065="",$N4065&gt;0)),"✖ Start غير صحيح",IF(NOT(OR($I4065="",$I4065="NR",$O4065&gt;0)),"✖ Current غير صحيح",IF(NOT(IF(ISNUMBER($J4065),AND($J4065&gt;=0,$J4065=INT($J4065)),FALSE())),"✖ العدد يجب أن يكون صحيحًا ≥ 0",IF(AND($F4065="Baseline",$H4065&lt;&gt;""),"⚠ Baseline: Start لا يدخل في التقدم",IF($K4065="No Start (attainment only)","ℹ تحصيل فقط (بدون Start)",IF($K4065="U – needs rule","ℹ حالة U تحتاج قاعدة معتمدة",IF($K4065="No result","ℹ بدون نتيجة (يُستبعد من التحصيل)","OK")))))))))))</f>
        <v/>
      </c>
      <c r="M4065" s="64" t="n">
        <f aca="false">IF($A4065="",0,IFERROR(MATCH($A4065,Classes!$A$6:$A$420,0),0))</f>
        <v>0</v>
      </c>
      <c r="N4065" s="64" t="n">
        <f aca="false">IF($H4065="",0,IFERROR(MATCH($H4065,GradeList,0),0))</f>
        <v>0</v>
      </c>
      <c r="O4065" s="64" t="n">
        <f aca="false">IF(OR($I4065="",$I4065="NR"),0,IFERROR(MATCH($I4065,GradeList,0),0))</f>
        <v>0</v>
      </c>
      <c r="P4065" s="64" t="n">
        <f aca="false">IF(AND($M4065&gt;0,ISNUMBER(MATCH($F4065,Lists!$A$2:$A$5,0)),ISNUMBER(MATCH($G4065,Lists!$B$2:$B$7,0)),OR($H4065="",$N4065&gt;0),OR($I4065="",$I4065="NR",$O4065&gt;0),IF(ISNUMBER($J4065),AND($J4065&gt;=0,$J4065=INT($J4065)),FALSE())),$J4065,0)</f>
        <v>0</v>
      </c>
      <c r="Q4065" s="64" t="n">
        <f aca="false">IF(AND($P4065&gt;0,$O4065&gt;0),$P4065,0)</f>
        <v>0</v>
      </c>
      <c r="R4065" s="64" t="n">
        <f aca="false">IF(AND($Q4065&gt;0,$O4065&gt;=AtRank),$Q4065,0)</f>
        <v>0</v>
      </c>
      <c r="S4065" s="64" t="n">
        <f aca="false">IF(AND($Q4065&gt;0,$O4065&gt;=AboveRank),$Q4065,0)</f>
        <v>0</v>
      </c>
      <c r="T4065" s="64" t="n">
        <f aca="false">IF($K4065="Less",$P4065,0)</f>
        <v>0</v>
      </c>
      <c r="U4065" s="64" t="n">
        <f aca="false">IF($K4065="Expected",$P4065,0)</f>
        <v>0</v>
      </c>
      <c r="V4065" s="64" t="n">
        <f aca="false">IF($K4065="Better",$P4065,0)</f>
        <v>0</v>
      </c>
      <c r="W4065" s="64" t="n">
        <f aca="false">IF($K4065="U – needs rule",$P4065,0)</f>
        <v>0</v>
      </c>
      <c r="X4065" s="64" t="n">
        <f aca="false">IF($K4065="No Start (attainment only)",$P4065,0)</f>
        <v>0</v>
      </c>
    </row>
    <row r="4066" customFormat="false" ht="15" hidden="false" customHeight="false" outlineLevel="0" collapsed="false">
      <c r="A4066" s="60"/>
      <c r="B4066" s="61" t="str">
        <f aca="false">IF($M4066=0,"",INDEX(Classes!$E$6:$E$420,$M4066))</f>
        <v/>
      </c>
      <c r="C4066" s="62" t="str">
        <f aca="false">IF($M4066=0,"",INDEX(Classes!$H$6:$H$420,$M4066))</f>
        <v/>
      </c>
      <c r="D4066" s="61" t="str">
        <f aca="false">IF($M4066=0,"",INDEX(Classes!$B$6:$B$420,$M4066))</f>
        <v/>
      </c>
      <c r="E4066" s="61" t="str">
        <f aca="false">IF($M4066=0,"",INDEX(Classes!$C$6:$C$420,$M4066))</f>
        <v/>
      </c>
      <c r="F4066" s="63"/>
      <c r="G4066" s="63"/>
      <c r="H4066" s="60"/>
      <c r="I4066" s="60"/>
      <c r="J4066" s="63"/>
      <c r="K4066" s="61" t="str">
        <f aca="false">IF($P4066=0,"",IF($F4066="Baseline","— Baseline",IF($O4066=0,"No result",IF($N4066=0,"No Start (attainment only)",IF(OR($N4066=1,$O4066=1),"U – needs rule",INDEX(MxBody,MATCH($I4066,MxCurr,0),MATCH($H4066,MxStart,0)))))))</f>
        <v/>
      </c>
      <c r="L4066" s="62" t="str">
        <f aca="false">IF(COUNTA($A4066,$F4066,$G4066,$H4066,$I4066,$J4066)=0,"",IF($M4066=0,"✖ كود الصف غير موجود",IF(ISNA(MATCH($F4066,Lists!$A$2:$A$5,0)),"✖ الفترة غير صحيحة",IF(ISNA(MATCH($G4066,Lists!$B$2:$B$7,0)),"✖ المجموعة غير صحيحة",IF(NOT(OR($H4066="",$N4066&gt;0)),"✖ Start غير صحيح",IF(NOT(OR($I4066="",$I4066="NR",$O4066&gt;0)),"✖ Current غير صحيح",IF(NOT(IF(ISNUMBER($J4066),AND($J4066&gt;=0,$J4066=INT($J4066)),FALSE())),"✖ العدد يجب أن يكون صحيحًا ≥ 0",IF(AND($F4066="Baseline",$H4066&lt;&gt;""),"⚠ Baseline: Start لا يدخل في التقدم",IF($K4066="No Start (attainment only)","ℹ تحصيل فقط (بدون Start)",IF($K4066="U – needs rule","ℹ حالة U تحتاج قاعدة معتمدة",IF($K4066="No result","ℹ بدون نتيجة (يُستبعد من التحصيل)","OK")))))))))))</f>
        <v/>
      </c>
      <c r="M4066" s="64" t="n">
        <f aca="false">IF($A4066="",0,IFERROR(MATCH($A4066,Classes!$A$6:$A$420,0),0))</f>
        <v>0</v>
      </c>
      <c r="N4066" s="64" t="n">
        <f aca="false">IF($H4066="",0,IFERROR(MATCH($H4066,GradeList,0),0))</f>
        <v>0</v>
      </c>
      <c r="O4066" s="64" t="n">
        <f aca="false">IF(OR($I4066="",$I4066="NR"),0,IFERROR(MATCH($I4066,GradeList,0),0))</f>
        <v>0</v>
      </c>
      <c r="P4066" s="64" t="n">
        <f aca="false">IF(AND($M4066&gt;0,ISNUMBER(MATCH($F4066,Lists!$A$2:$A$5,0)),ISNUMBER(MATCH($G4066,Lists!$B$2:$B$7,0)),OR($H4066="",$N4066&gt;0),OR($I4066="",$I4066="NR",$O4066&gt;0),IF(ISNUMBER($J4066),AND($J4066&gt;=0,$J4066=INT($J4066)),FALSE())),$J4066,0)</f>
        <v>0</v>
      </c>
      <c r="Q4066" s="64" t="n">
        <f aca="false">IF(AND($P4066&gt;0,$O4066&gt;0),$P4066,0)</f>
        <v>0</v>
      </c>
      <c r="R4066" s="64" t="n">
        <f aca="false">IF(AND($Q4066&gt;0,$O4066&gt;=AtRank),$Q4066,0)</f>
        <v>0</v>
      </c>
      <c r="S4066" s="64" t="n">
        <f aca="false">IF(AND($Q4066&gt;0,$O4066&gt;=AboveRank),$Q4066,0)</f>
        <v>0</v>
      </c>
      <c r="T4066" s="64" t="n">
        <f aca="false">IF($K4066="Less",$P4066,0)</f>
        <v>0</v>
      </c>
      <c r="U4066" s="64" t="n">
        <f aca="false">IF($K4066="Expected",$P4066,0)</f>
        <v>0</v>
      </c>
      <c r="V4066" s="64" t="n">
        <f aca="false">IF($K4066="Better",$P4066,0)</f>
        <v>0</v>
      </c>
      <c r="W4066" s="64" t="n">
        <f aca="false">IF($K4066="U – needs rule",$P4066,0)</f>
        <v>0</v>
      </c>
      <c r="X4066" s="64" t="n">
        <f aca="false">IF($K4066="No Start (attainment only)",$P4066,0)</f>
        <v>0</v>
      </c>
    </row>
    <row r="4067" customFormat="false" ht="15" hidden="false" customHeight="false" outlineLevel="0" collapsed="false">
      <c r="A4067" s="60"/>
      <c r="B4067" s="61" t="str">
        <f aca="false">IF($M4067=0,"",INDEX(Classes!$E$6:$E$420,$M4067))</f>
        <v/>
      </c>
      <c r="C4067" s="62" t="str">
        <f aca="false">IF($M4067=0,"",INDEX(Classes!$H$6:$H$420,$M4067))</f>
        <v/>
      </c>
      <c r="D4067" s="61" t="str">
        <f aca="false">IF($M4067=0,"",INDEX(Classes!$B$6:$B$420,$M4067))</f>
        <v/>
      </c>
      <c r="E4067" s="61" t="str">
        <f aca="false">IF($M4067=0,"",INDEX(Classes!$C$6:$C$420,$M4067))</f>
        <v/>
      </c>
      <c r="F4067" s="63"/>
      <c r="G4067" s="63"/>
      <c r="H4067" s="60"/>
      <c r="I4067" s="60"/>
      <c r="J4067" s="63"/>
      <c r="K4067" s="61" t="str">
        <f aca="false">IF($P4067=0,"",IF($F4067="Baseline","— Baseline",IF($O4067=0,"No result",IF($N4067=0,"No Start (attainment only)",IF(OR($N4067=1,$O4067=1),"U – needs rule",INDEX(MxBody,MATCH($I4067,MxCurr,0),MATCH($H4067,MxStart,0)))))))</f>
        <v/>
      </c>
      <c r="L4067" s="62" t="str">
        <f aca="false">IF(COUNTA($A4067,$F4067,$G4067,$H4067,$I4067,$J4067)=0,"",IF($M4067=0,"✖ كود الصف غير موجود",IF(ISNA(MATCH($F4067,Lists!$A$2:$A$5,0)),"✖ الفترة غير صحيحة",IF(ISNA(MATCH($G4067,Lists!$B$2:$B$7,0)),"✖ المجموعة غير صحيحة",IF(NOT(OR($H4067="",$N4067&gt;0)),"✖ Start غير صحيح",IF(NOT(OR($I4067="",$I4067="NR",$O4067&gt;0)),"✖ Current غير صحيح",IF(NOT(IF(ISNUMBER($J4067),AND($J4067&gt;=0,$J4067=INT($J4067)),FALSE())),"✖ العدد يجب أن يكون صحيحًا ≥ 0",IF(AND($F4067="Baseline",$H4067&lt;&gt;""),"⚠ Baseline: Start لا يدخل في التقدم",IF($K4067="No Start (attainment only)","ℹ تحصيل فقط (بدون Start)",IF($K4067="U – needs rule","ℹ حالة U تحتاج قاعدة معتمدة",IF($K4067="No result","ℹ بدون نتيجة (يُستبعد من التحصيل)","OK")))))))))))</f>
        <v/>
      </c>
      <c r="M4067" s="64" t="n">
        <f aca="false">IF($A4067="",0,IFERROR(MATCH($A4067,Classes!$A$6:$A$420,0),0))</f>
        <v>0</v>
      </c>
      <c r="N4067" s="64" t="n">
        <f aca="false">IF($H4067="",0,IFERROR(MATCH($H4067,GradeList,0),0))</f>
        <v>0</v>
      </c>
      <c r="O4067" s="64" t="n">
        <f aca="false">IF(OR($I4067="",$I4067="NR"),0,IFERROR(MATCH($I4067,GradeList,0),0))</f>
        <v>0</v>
      </c>
      <c r="P4067" s="64" t="n">
        <f aca="false">IF(AND($M4067&gt;0,ISNUMBER(MATCH($F4067,Lists!$A$2:$A$5,0)),ISNUMBER(MATCH($G4067,Lists!$B$2:$B$7,0)),OR($H4067="",$N4067&gt;0),OR($I4067="",$I4067="NR",$O4067&gt;0),IF(ISNUMBER($J4067),AND($J4067&gt;=0,$J4067=INT($J4067)),FALSE())),$J4067,0)</f>
        <v>0</v>
      </c>
      <c r="Q4067" s="64" t="n">
        <f aca="false">IF(AND($P4067&gt;0,$O4067&gt;0),$P4067,0)</f>
        <v>0</v>
      </c>
      <c r="R4067" s="64" t="n">
        <f aca="false">IF(AND($Q4067&gt;0,$O4067&gt;=AtRank),$Q4067,0)</f>
        <v>0</v>
      </c>
      <c r="S4067" s="64" t="n">
        <f aca="false">IF(AND($Q4067&gt;0,$O4067&gt;=AboveRank),$Q4067,0)</f>
        <v>0</v>
      </c>
      <c r="T4067" s="64" t="n">
        <f aca="false">IF($K4067="Less",$P4067,0)</f>
        <v>0</v>
      </c>
      <c r="U4067" s="64" t="n">
        <f aca="false">IF($K4067="Expected",$P4067,0)</f>
        <v>0</v>
      </c>
      <c r="V4067" s="64" t="n">
        <f aca="false">IF($K4067="Better",$P4067,0)</f>
        <v>0</v>
      </c>
      <c r="W4067" s="64" t="n">
        <f aca="false">IF($K4067="U – needs rule",$P4067,0)</f>
        <v>0</v>
      </c>
      <c r="X4067" s="64" t="n">
        <f aca="false">IF($K4067="No Start (attainment only)",$P4067,0)</f>
        <v>0</v>
      </c>
    </row>
    <row r="4068" customFormat="false" ht="15" hidden="false" customHeight="false" outlineLevel="0" collapsed="false">
      <c r="A4068" s="60"/>
      <c r="B4068" s="61" t="str">
        <f aca="false">IF($M4068=0,"",INDEX(Classes!$E$6:$E$420,$M4068))</f>
        <v/>
      </c>
      <c r="C4068" s="62" t="str">
        <f aca="false">IF($M4068=0,"",INDEX(Classes!$H$6:$H$420,$M4068))</f>
        <v/>
      </c>
      <c r="D4068" s="61" t="str">
        <f aca="false">IF($M4068=0,"",INDEX(Classes!$B$6:$B$420,$M4068))</f>
        <v/>
      </c>
      <c r="E4068" s="61" t="str">
        <f aca="false">IF($M4068=0,"",INDEX(Classes!$C$6:$C$420,$M4068))</f>
        <v/>
      </c>
      <c r="F4068" s="63"/>
      <c r="G4068" s="63"/>
      <c r="H4068" s="60"/>
      <c r="I4068" s="60"/>
      <c r="J4068" s="63"/>
      <c r="K4068" s="61" t="str">
        <f aca="false">IF($P4068=0,"",IF($F4068="Baseline","— Baseline",IF($O4068=0,"No result",IF($N4068=0,"No Start (attainment only)",IF(OR($N4068=1,$O4068=1),"U – needs rule",INDEX(MxBody,MATCH($I4068,MxCurr,0),MATCH($H4068,MxStart,0)))))))</f>
        <v/>
      </c>
      <c r="L4068" s="62" t="str">
        <f aca="false">IF(COUNTA($A4068,$F4068,$G4068,$H4068,$I4068,$J4068)=0,"",IF($M4068=0,"✖ كود الصف غير موجود",IF(ISNA(MATCH($F4068,Lists!$A$2:$A$5,0)),"✖ الفترة غير صحيحة",IF(ISNA(MATCH($G4068,Lists!$B$2:$B$7,0)),"✖ المجموعة غير صحيحة",IF(NOT(OR($H4068="",$N4068&gt;0)),"✖ Start غير صحيح",IF(NOT(OR($I4068="",$I4068="NR",$O4068&gt;0)),"✖ Current غير صحيح",IF(NOT(IF(ISNUMBER($J4068),AND($J4068&gt;=0,$J4068=INT($J4068)),FALSE())),"✖ العدد يجب أن يكون صحيحًا ≥ 0",IF(AND($F4068="Baseline",$H4068&lt;&gt;""),"⚠ Baseline: Start لا يدخل في التقدم",IF($K4068="No Start (attainment only)","ℹ تحصيل فقط (بدون Start)",IF($K4068="U – needs rule","ℹ حالة U تحتاج قاعدة معتمدة",IF($K4068="No result","ℹ بدون نتيجة (يُستبعد من التحصيل)","OK")))))))))))</f>
        <v/>
      </c>
      <c r="M4068" s="64" t="n">
        <f aca="false">IF($A4068="",0,IFERROR(MATCH($A4068,Classes!$A$6:$A$420,0),0))</f>
        <v>0</v>
      </c>
      <c r="N4068" s="64" t="n">
        <f aca="false">IF($H4068="",0,IFERROR(MATCH($H4068,GradeList,0),0))</f>
        <v>0</v>
      </c>
      <c r="O4068" s="64" t="n">
        <f aca="false">IF(OR($I4068="",$I4068="NR"),0,IFERROR(MATCH($I4068,GradeList,0),0))</f>
        <v>0</v>
      </c>
      <c r="P4068" s="64" t="n">
        <f aca="false">IF(AND($M4068&gt;0,ISNUMBER(MATCH($F4068,Lists!$A$2:$A$5,0)),ISNUMBER(MATCH($G4068,Lists!$B$2:$B$7,0)),OR($H4068="",$N4068&gt;0),OR($I4068="",$I4068="NR",$O4068&gt;0),IF(ISNUMBER($J4068),AND($J4068&gt;=0,$J4068=INT($J4068)),FALSE())),$J4068,0)</f>
        <v>0</v>
      </c>
      <c r="Q4068" s="64" t="n">
        <f aca="false">IF(AND($P4068&gt;0,$O4068&gt;0),$P4068,0)</f>
        <v>0</v>
      </c>
      <c r="R4068" s="64" t="n">
        <f aca="false">IF(AND($Q4068&gt;0,$O4068&gt;=AtRank),$Q4068,0)</f>
        <v>0</v>
      </c>
      <c r="S4068" s="64" t="n">
        <f aca="false">IF(AND($Q4068&gt;0,$O4068&gt;=AboveRank),$Q4068,0)</f>
        <v>0</v>
      </c>
      <c r="T4068" s="64" t="n">
        <f aca="false">IF($K4068="Less",$P4068,0)</f>
        <v>0</v>
      </c>
      <c r="U4068" s="64" t="n">
        <f aca="false">IF($K4068="Expected",$P4068,0)</f>
        <v>0</v>
      </c>
      <c r="V4068" s="64" t="n">
        <f aca="false">IF($K4068="Better",$P4068,0)</f>
        <v>0</v>
      </c>
      <c r="W4068" s="64" t="n">
        <f aca="false">IF($K4068="U – needs rule",$P4068,0)</f>
        <v>0</v>
      </c>
      <c r="X4068" s="64" t="n">
        <f aca="false">IF($K4068="No Start (attainment only)",$P4068,0)</f>
        <v>0</v>
      </c>
    </row>
    <row r="4069" customFormat="false" ht="15" hidden="false" customHeight="false" outlineLevel="0" collapsed="false">
      <c r="A4069" s="60"/>
      <c r="B4069" s="61" t="str">
        <f aca="false">IF($M4069=0,"",INDEX(Classes!$E$6:$E$420,$M4069))</f>
        <v/>
      </c>
      <c r="C4069" s="62" t="str">
        <f aca="false">IF($M4069=0,"",INDEX(Classes!$H$6:$H$420,$M4069))</f>
        <v/>
      </c>
      <c r="D4069" s="61" t="str">
        <f aca="false">IF($M4069=0,"",INDEX(Classes!$B$6:$B$420,$M4069))</f>
        <v/>
      </c>
      <c r="E4069" s="61" t="str">
        <f aca="false">IF($M4069=0,"",INDEX(Classes!$C$6:$C$420,$M4069))</f>
        <v/>
      </c>
      <c r="F4069" s="63"/>
      <c r="G4069" s="63"/>
      <c r="H4069" s="60"/>
      <c r="I4069" s="60"/>
      <c r="J4069" s="63"/>
      <c r="K4069" s="61" t="str">
        <f aca="false">IF($P4069=0,"",IF($F4069="Baseline","— Baseline",IF($O4069=0,"No result",IF($N4069=0,"No Start (attainment only)",IF(OR($N4069=1,$O4069=1),"U – needs rule",INDEX(MxBody,MATCH($I4069,MxCurr,0),MATCH($H4069,MxStart,0)))))))</f>
        <v/>
      </c>
      <c r="L4069" s="62" t="str">
        <f aca="false">IF(COUNTA($A4069,$F4069,$G4069,$H4069,$I4069,$J4069)=0,"",IF($M4069=0,"✖ كود الصف غير موجود",IF(ISNA(MATCH($F4069,Lists!$A$2:$A$5,0)),"✖ الفترة غير صحيحة",IF(ISNA(MATCH($G4069,Lists!$B$2:$B$7,0)),"✖ المجموعة غير صحيحة",IF(NOT(OR($H4069="",$N4069&gt;0)),"✖ Start غير صحيح",IF(NOT(OR($I4069="",$I4069="NR",$O4069&gt;0)),"✖ Current غير صحيح",IF(NOT(IF(ISNUMBER($J4069),AND($J4069&gt;=0,$J4069=INT($J4069)),FALSE())),"✖ العدد يجب أن يكون صحيحًا ≥ 0",IF(AND($F4069="Baseline",$H4069&lt;&gt;""),"⚠ Baseline: Start لا يدخل في التقدم",IF($K4069="No Start (attainment only)","ℹ تحصيل فقط (بدون Start)",IF($K4069="U – needs rule","ℹ حالة U تحتاج قاعدة معتمدة",IF($K4069="No result","ℹ بدون نتيجة (يُستبعد من التحصيل)","OK")))))))))))</f>
        <v/>
      </c>
      <c r="M4069" s="64" t="n">
        <f aca="false">IF($A4069="",0,IFERROR(MATCH($A4069,Classes!$A$6:$A$420,0),0))</f>
        <v>0</v>
      </c>
      <c r="N4069" s="64" t="n">
        <f aca="false">IF($H4069="",0,IFERROR(MATCH($H4069,GradeList,0),0))</f>
        <v>0</v>
      </c>
      <c r="O4069" s="64" t="n">
        <f aca="false">IF(OR($I4069="",$I4069="NR"),0,IFERROR(MATCH($I4069,GradeList,0),0))</f>
        <v>0</v>
      </c>
      <c r="P4069" s="64" t="n">
        <f aca="false">IF(AND($M4069&gt;0,ISNUMBER(MATCH($F4069,Lists!$A$2:$A$5,0)),ISNUMBER(MATCH($G4069,Lists!$B$2:$B$7,0)),OR($H4069="",$N4069&gt;0),OR($I4069="",$I4069="NR",$O4069&gt;0),IF(ISNUMBER($J4069),AND($J4069&gt;=0,$J4069=INT($J4069)),FALSE())),$J4069,0)</f>
        <v>0</v>
      </c>
      <c r="Q4069" s="64" t="n">
        <f aca="false">IF(AND($P4069&gt;0,$O4069&gt;0),$P4069,0)</f>
        <v>0</v>
      </c>
      <c r="R4069" s="64" t="n">
        <f aca="false">IF(AND($Q4069&gt;0,$O4069&gt;=AtRank),$Q4069,0)</f>
        <v>0</v>
      </c>
      <c r="S4069" s="64" t="n">
        <f aca="false">IF(AND($Q4069&gt;0,$O4069&gt;=AboveRank),$Q4069,0)</f>
        <v>0</v>
      </c>
      <c r="T4069" s="64" t="n">
        <f aca="false">IF($K4069="Less",$P4069,0)</f>
        <v>0</v>
      </c>
      <c r="U4069" s="64" t="n">
        <f aca="false">IF($K4069="Expected",$P4069,0)</f>
        <v>0</v>
      </c>
      <c r="V4069" s="64" t="n">
        <f aca="false">IF($K4069="Better",$P4069,0)</f>
        <v>0</v>
      </c>
      <c r="W4069" s="64" t="n">
        <f aca="false">IF($K4069="U – needs rule",$P4069,0)</f>
        <v>0</v>
      </c>
      <c r="X4069" s="64" t="n">
        <f aca="false">IF($K4069="No Start (attainment only)",$P4069,0)</f>
        <v>0</v>
      </c>
    </row>
    <row r="4070" customFormat="false" ht="15" hidden="false" customHeight="false" outlineLevel="0" collapsed="false">
      <c r="A4070" s="60"/>
      <c r="B4070" s="61" t="str">
        <f aca="false">IF($M4070=0,"",INDEX(Classes!$E$6:$E$420,$M4070))</f>
        <v/>
      </c>
      <c r="C4070" s="62" t="str">
        <f aca="false">IF($M4070=0,"",INDEX(Classes!$H$6:$H$420,$M4070))</f>
        <v/>
      </c>
      <c r="D4070" s="61" t="str">
        <f aca="false">IF($M4070=0,"",INDEX(Classes!$B$6:$B$420,$M4070))</f>
        <v/>
      </c>
      <c r="E4070" s="61" t="str">
        <f aca="false">IF($M4070=0,"",INDEX(Classes!$C$6:$C$420,$M4070))</f>
        <v/>
      </c>
      <c r="F4070" s="63"/>
      <c r="G4070" s="63"/>
      <c r="H4070" s="60"/>
      <c r="I4070" s="60"/>
      <c r="J4070" s="63"/>
      <c r="K4070" s="61" t="str">
        <f aca="false">IF($P4070=0,"",IF($F4070="Baseline","— Baseline",IF($O4070=0,"No result",IF($N4070=0,"No Start (attainment only)",IF(OR($N4070=1,$O4070=1),"U – needs rule",INDEX(MxBody,MATCH($I4070,MxCurr,0),MATCH($H4070,MxStart,0)))))))</f>
        <v/>
      </c>
      <c r="L4070" s="62" t="str">
        <f aca="false">IF(COUNTA($A4070,$F4070,$G4070,$H4070,$I4070,$J4070)=0,"",IF($M4070=0,"✖ كود الصف غير موجود",IF(ISNA(MATCH($F4070,Lists!$A$2:$A$5,0)),"✖ الفترة غير صحيحة",IF(ISNA(MATCH($G4070,Lists!$B$2:$B$7,0)),"✖ المجموعة غير صحيحة",IF(NOT(OR($H4070="",$N4070&gt;0)),"✖ Start غير صحيح",IF(NOT(OR($I4070="",$I4070="NR",$O4070&gt;0)),"✖ Current غير صحيح",IF(NOT(IF(ISNUMBER($J4070),AND($J4070&gt;=0,$J4070=INT($J4070)),FALSE())),"✖ العدد يجب أن يكون صحيحًا ≥ 0",IF(AND($F4070="Baseline",$H4070&lt;&gt;""),"⚠ Baseline: Start لا يدخل في التقدم",IF($K4070="No Start (attainment only)","ℹ تحصيل فقط (بدون Start)",IF($K4070="U – needs rule","ℹ حالة U تحتاج قاعدة معتمدة",IF($K4070="No result","ℹ بدون نتيجة (يُستبعد من التحصيل)","OK")))))))))))</f>
        <v/>
      </c>
      <c r="M4070" s="64" t="n">
        <f aca="false">IF($A4070="",0,IFERROR(MATCH($A4070,Classes!$A$6:$A$420,0),0))</f>
        <v>0</v>
      </c>
      <c r="N4070" s="64" t="n">
        <f aca="false">IF($H4070="",0,IFERROR(MATCH($H4070,GradeList,0),0))</f>
        <v>0</v>
      </c>
      <c r="O4070" s="64" t="n">
        <f aca="false">IF(OR($I4070="",$I4070="NR"),0,IFERROR(MATCH($I4070,GradeList,0),0))</f>
        <v>0</v>
      </c>
      <c r="P4070" s="64" t="n">
        <f aca="false">IF(AND($M4070&gt;0,ISNUMBER(MATCH($F4070,Lists!$A$2:$A$5,0)),ISNUMBER(MATCH($G4070,Lists!$B$2:$B$7,0)),OR($H4070="",$N4070&gt;0),OR($I4070="",$I4070="NR",$O4070&gt;0),IF(ISNUMBER($J4070),AND($J4070&gt;=0,$J4070=INT($J4070)),FALSE())),$J4070,0)</f>
        <v>0</v>
      </c>
      <c r="Q4070" s="64" t="n">
        <f aca="false">IF(AND($P4070&gt;0,$O4070&gt;0),$P4070,0)</f>
        <v>0</v>
      </c>
      <c r="R4070" s="64" t="n">
        <f aca="false">IF(AND($Q4070&gt;0,$O4070&gt;=AtRank),$Q4070,0)</f>
        <v>0</v>
      </c>
      <c r="S4070" s="64" t="n">
        <f aca="false">IF(AND($Q4070&gt;0,$O4070&gt;=AboveRank),$Q4070,0)</f>
        <v>0</v>
      </c>
      <c r="T4070" s="64" t="n">
        <f aca="false">IF($K4070="Less",$P4070,0)</f>
        <v>0</v>
      </c>
      <c r="U4070" s="64" t="n">
        <f aca="false">IF($K4070="Expected",$P4070,0)</f>
        <v>0</v>
      </c>
      <c r="V4070" s="64" t="n">
        <f aca="false">IF($K4070="Better",$P4070,0)</f>
        <v>0</v>
      </c>
      <c r="W4070" s="64" t="n">
        <f aca="false">IF($K4070="U – needs rule",$P4070,0)</f>
        <v>0</v>
      </c>
      <c r="X4070" s="64" t="n">
        <f aca="false">IF($K4070="No Start (attainment only)",$P4070,0)</f>
        <v>0</v>
      </c>
    </row>
    <row r="4071" customFormat="false" ht="15" hidden="false" customHeight="false" outlineLevel="0" collapsed="false">
      <c r="A4071" s="60"/>
      <c r="B4071" s="61" t="str">
        <f aca="false">IF($M4071=0,"",INDEX(Classes!$E$6:$E$420,$M4071))</f>
        <v/>
      </c>
      <c r="C4071" s="62" t="str">
        <f aca="false">IF($M4071=0,"",INDEX(Classes!$H$6:$H$420,$M4071))</f>
        <v/>
      </c>
      <c r="D4071" s="61" t="str">
        <f aca="false">IF($M4071=0,"",INDEX(Classes!$B$6:$B$420,$M4071))</f>
        <v/>
      </c>
      <c r="E4071" s="61" t="str">
        <f aca="false">IF($M4071=0,"",INDEX(Classes!$C$6:$C$420,$M4071))</f>
        <v/>
      </c>
      <c r="F4071" s="63"/>
      <c r="G4071" s="63"/>
      <c r="H4071" s="60"/>
      <c r="I4071" s="60"/>
      <c r="J4071" s="63"/>
      <c r="K4071" s="61" t="str">
        <f aca="false">IF($P4071=0,"",IF($F4071="Baseline","— Baseline",IF($O4071=0,"No result",IF($N4071=0,"No Start (attainment only)",IF(OR($N4071=1,$O4071=1),"U – needs rule",INDEX(MxBody,MATCH($I4071,MxCurr,0),MATCH($H4071,MxStart,0)))))))</f>
        <v/>
      </c>
      <c r="L4071" s="62" t="str">
        <f aca="false">IF(COUNTA($A4071,$F4071,$G4071,$H4071,$I4071,$J4071)=0,"",IF($M4071=0,"✖ كود الصف غير موجود",IF(ISNA(MATCH($F4071,Lists!$A$2:$A$5,0)),"✖ الفترة غير صحيحة",IF(ISNA(MATCH($G4071,Lists!$B$2:$B$7,0)),"✖ المجموعة غير صحيحة",IF(NOT(OR($H4071="",$N4071&gt;0)),"✖ Start غير صحيح",IF(NOT(OR($I4071="",$I4071="NR",$O4071&gt;0)),"✖ Current غير صحيح",IF(NOT(IF(ISNUMBER($J4071),AND($J4071&gt;=0,$J4071=INT($J4071)),FALSE())),"✖ العدد يجب أن يكون صحيحًا ≥ 0",IF(AND($F4071="Baseline",$H4071&lt;&gt;""),"⚠ Baseline: Start لا يدخل في التقدم",IF($K4071="No Start (attainment only)","ℹ تحصيل فقط (بدون Start)",IF($K4071="U – needs rule","ℹ حالة U تحتاج قاعدة معتمدة",IF($K4071="No result","ℹ بدون نتيجة (يُستبعد من التحصيل)","OK")))))))))))</f>
        <v/>
      </c>
      <c r="M4071" s="64" t="n">
        <f aca="false">IF($A4071="",0,IFERROR(MATCH($A4071,Classes!$A$6:$A$420,0),0))</f>
        <v>0</v>
      </c>
      <c r="N4071" s="64" t="n">
        <f aca="false">IF($H4071="",0,IFERROR(MATCH($H4071,GradeList,0),0))</f>
        <v>0</v>
      </c>
      <c r="O4071" s="64" t="n">
        <f aca="false">IF(OR($I4071="",$I4071="NR"),0,IFERROR(MATCH($I4071,GradeList,0),0))</f>
        <v>0</v>
      </c>
      <c r="P4071" s="64" t="n">
        <f aca="false">IF(AND($M4071&gt;0,ISNUMBER(MATCH($F4071,Lists!$A$2:$A$5,0)),ISNUMBER(MATCH($G4071,Lists!$B$2:$B$7,0)),OR($H4071="",$N4071&gt;0),OR($I4071="",$I4071="NR",$O4071&gt;0),IF(ISNUMBER($J4071),AND($J4071&gt;=0,$J4071=INT($J4071)),FALSE())),$J4071,0)</f>
        <v>0</v>
      </c>
      <c r="Q4071" s="64" t="n">
        <f aca="false">IF(AND($P4071&gt;0,$O4071&gt;0),$P4071,0)</f>
        <v>0</v>
      </c>
      <c r="R4071" s="64" t="n">
        <f aca="false">IF(AND($Q4071&gt;0,$O4071&gt;=AtRank),$Q4071,0)</f>
        <v>0</v>
      </c>
      <c r="S4071" s="64" t="n">
        <f aca="false">IF(AND($Q4071&gt;0,$O4071&gt;=AboveRank),$Q4071,0)</f>
        <v>0</v>
      </c>
      <c r="T4071" s="64" t="n">
        <f aca="false">IF($K4071="Less",$P4071,0)</f>
        <v>0</v>
      </c>
      <c r="U4071" s="64" t="n">
        <f aca="false">IF($K4071="Expected",$P4071,0)</f>
        <v>0</v>
      </c>
      <c r="V4071" s="64" t="n">
        <f aca="false">IF($K4071="Better",$P4071,0)</f>
        <v>0</v>
      </c>
      <c r="W4071" s="64" t="n">
        <f aca="false">IF($K4071="U – needs rule",$P4071,0)</f>
        <v>0</v>
      </c>
      <c r="X4071" s="64" t="n">
        <f aca="false">IF($K4071="No Start (attainment only)",$P4071,0)</f>
        <v>0</v>
      </c>
    </row>
    <row r="4072" customFormat="false" ht="15" hidden="false" customHeight="false" outlineLevel="0" collapsed="false">
      <c r="A4072" s="60"/>
      <c r="B4072" s="61" t="str">
        <f aca="false">IF($M4072=0,"",INDEX(Classes!$E$6:$E$420,$M4072))</f>
        <v/>
      </c>
      <c r="C4072" s="62" t="str">
        <f aca="false">IF($M4072=0,"",INDEX(Classes!$H$6:$H$420,$M4072))</f>
        <v/>
      </c>
      <c r="D4072" s="61" t="str">
        <f aca="false">IF($M4072=0,"",INDEX(Classes!$B$6:$B$420,$M4072))</f>
        <v/>
      </c>
      <c r="E4072" s="61" t="str">
        <f aca="false">IF($M4072=0,"",INDEX(Classes!$C$6:$C$420,$M4072))</f>
        <v/>
      </c>
      <c r="F4072" s="63"/>
      <c r="G4072" s="63"/>
      <c r="H4072" s="60"/>
      <c r="I4072" s="60"/>
      <c r="J4072" s="63"/>
      <c r="K4072" s="61" t="str">
        <f aca="false">IF($P4072=0,"",IF($F4072="Baseline","— Baseline",IF($O4072=0,"No result",IF($N4072=0,"No Start (attainment only)",IF(OR($N4072=1,$O4072=1),"U – needs rule",INDEX(MxBody,MATCH($I4072,MxCurr,0),MATCH($H4072,MxStart,0)))))))</f>
        <v/>
      </c>
      <c r="L4072" s="62" t="str">
        <f aca="false">IF(COUNTA($A4072,$F4072,$G4072,$H4072,$I4072,$J4072)=0,"",IF($M4072=0,"✖ كود الصف غير موجود",IF(ISNA(MATCH($F4072,Lists!$A$2:$A$5,0)),"✖ الفترة غير صحيحة",IF(ISNA(MATCH($G4072,Lists!$B$2:$B$7,0)),"✖ المجموعة غير صحيحة",IF(NOT(OR($H4072="",$N4072&gt;0)),"✖ Start غير صحيح",IF(NOT(OR($I4072="",$I4072="NR",$O4072&gt;0)),"✖ Current غير صحيح",IF(NOT(IF(ISNUMBER($J4072),AND($J4072&gt;=0,$J4072=INT($J4072)),FALSE())),"✖ العدد يجب أن يكون صحيحًا ≥ 0",IF(AND($F4072="Baseline",$H4072&lt;&gt;""),"⚠ Baseline: Start لا يدخل في التقدم",IF($K4072="No Start (attainment only)","ℹ تحصيل فقط (بدون Start)",IF($K4072="U – needs rule","ℹ حالة U تحتاج قاعدة معتمدة",IF($K4072="No result","ℹ بدون نتيجة (يُستبعد من التحصيل)","OK")))))))))))</f>
        <v/>
      </c>
      <c r="M4072" s="64" t="n">
        <f aca="false">IF($A4072="",0,IFERROR(MATCH($A4072,Classes!$A$6:$A$420,0),0))</f>
        <v>0</v>
      </c>
      <c r="N4072" s="64" t="n">
        <f aca="false">IF($H4072="",0,IFERROR(MATCH($H4072,GradeList,0),0))</f>
        <v>0</v>
      </c>
      <c r="O4072" s="64" t="n">
        <f aca="false">IF(OR($I4072="",$I4072="NR"),0,IFERROR(MATCH($I4072,GradeList,0),0))</f>
        <v>0</v>
      </c>
      <c r="P4072" s="64" t="n">
        <f aca="false">IF(AND($M4072&gt;0,ISNUMBER(MATCH($F4072,Lists!$A$2:$A$5,0)),ISNUMBER(MATCH($G4072,Lists!$B$2:$B$7,0)),OR($H4072="",$N4072&gt;0),OR($I4072="",$I4072="NR",$O4072&gt;0),IF(ISNUMBER($J4072),AND($J4072&gt;=0,$J4072=INT($J4072)),FALSE())),$J4072,0)</f>
        <v>0</v>
      </c>
      <c r="Q4072" s="64" t="n">
        <f aca="false">IF(AND($P4072&gt;0,$O4072&gt;0),$P4072,0)</f>
        <v>0</v>
      </c>
      <c r="R4072" s="64" t="n">
        <f aca="false">IF(AND($Q4072&gt;0,$O4072&gt;=AtRank),$Q4072,0)</f>
        <v>0</v>
      </c>
      <c r="S4072" s="64" t="n">
        <f aca="false">IF(AND($Q4072&gt;0,$O4072&gt;=AboveRank),$Q4072,0)</f>
        <v>0</v>
      </c>
      <c r="T4072" s="64" t="n">
        <f aca="false">IF($K4072="Less",$P4072,0)</f>
        <v>0</v>
      </c>
      <c r="U4072" s="64" t="n">
        <f aca="false">IF($K4072="Expected",$P4072,0)</f>
        <v>0</v>
      </c>
      <c r="V4072" s="64" t="n">
        <f aca="false">IF($K4072="Better",$P4072,0)</f>
        <v>0</v>
      </c>
      <c r="W4072" s="64" t="n">
        <f aca="false">IF($K4072="U – needs rule",$P4072,0)</f>
        <v>0</v>
      </c>
      <c r="X4072" s="64" t="n">
        <f aca="false">IF($K4072="No Start (attainment only)",$P4072,0)</f>
        <v>0</v>
      </c>
    </row>
    <row r="4073" customFormat="false" ht="15" hidden="false" customHeight="false" outlineLevel="0" collapsed="false">
      <c r="A4073" s="60"/>
      <c r="B4073" s="61" t="str">
        <f aca="false">IF($M4073=0,"",INDEX(Classes!$E$6:$E$420,$M4073))</f>
        <v/>
      </c>
      <c r="C4073" s="62" t="str">
        <f aca="false">IF($M4073=0,"",INDEX(Classes!$H$6:$H$420,$M4073))</f>
        <v/>
      </c>
      <c r="D4073" s="61" t="str">
        <f aca="false">IF($M4073=0,"",INDEX(Classes!$B$6:$B$420,$M4073))</f>
        <v/>
      </c>
      <c r="E4073" s="61" t="str">
        <f aca="false">IF($M4073=0,"",INDEX(Classes!$C$6:$C$420,$M4073))</f>
        <v/>
      </c>
      <c r="F4073" s="63"/>
      <c r="G4073" s="63"/>
      <c r="H4073" s="60"/>
      <c r="I4073" s="60"/>
      <c r="J4073" s="63"/>
      <c r="K4073" s="61" t="str">
        <f aca="false">IF($P4073=0,"",IF($F4073="Baseline","— Baseline",IF($O4073=0,"No result",IF($N4073=0,"No Start (attainment only)",IF(OR($N4073=1,$O4073=1),"U – needs rule",INDEX(MxBody,MATCH($I4073,MxCurr,0),MATCH($H4073,MxStart,0)))))))</f>
        <v/>
      </c>
      <c r="L4073" s="62" t="str">
        <f aca="false">IF(COUNTA($A4073,$F4073,$G4073,$H4073,$I4073,$J4073)=0,"",IF($M4073=0,"✖ كود الصف غير موجود",IF(ISNA(MATCH($F4073,Lists!$A$2:$A$5,0)),"✖ الفترة غير صحيحة",IF(ISNA(MATCH($G4073,Lists!$B$2:$B$7,0)),"✖ المجموعة غير صحيحة",IF(NOT(OR($H4073="",$N4073&gt;0)),"✖ Start غير صحيح",IF(NOT(OR($I4073="",$I4073="NR",$O4073&gt;0)),"✖ Current غير صحيح",IF(NOT(IF(ISNUMBER($J4073),AND($J4073&gt;=0,$J4073=INT($J4073)),FALSE())),"✖ العدد يجب أن يكون صحيحًا ≥ 0",IF(AND($F4073="Baseline",$H4073&lt;&gt;""),"⚠ Baseline: Start لا يدخل في التقدم",IF($K4073="No Start (attainment only)","ℹ تحصيل فقط (بدون Start)",IF($K4073="U – needs rule","ℹ حالة U تحتاج قاعدة معتمدة",IF($K4073="No result","ℹ بدون نتيجة (يُستبعد من التحصيل)","OK")))))))))))</f>
        <v/>
      </c>
      <c r="M4073" s="64" t="n">
        <f aca="false">IF($A4073="",0,IFERROR(MATCH($A4073,Classes!$A$6:$A$420,0),0))</f>
        <v>0</v>
      </c>
      <c r="N4073" s="64" t="n">
        <f aca="false">IF($H4073="",0,IFERROR(MATCH($H4073,GradeList,0),0))</f>
        <v>0</v>
      </c>
      <c r="O4073" s="64" t="n">
        <f aca="false">IF(OR($I4073="",$I4073="NR"),0,IFERROR(MATCH($I4073,GradeList,0),0))</f>
        <v>0</v>
      </c>
      <c r="P4073" s="64" t="n">
        <f aca="false">IF(AND($M4073&gt;0,ISNUMBER(MATCH($F4073,Lists!$A$2:$A$5,0)),ISNUMBER(MATCH($G4073,Lists!$B$2:$B$7,0)),OR($H4073="",$N4073&gt;0),OR($I4073="",$I4073="NR",$O4073&gt;0),IF(ISNUMBER($J4073),AND($J4073&gt;=0,$J4073=INT($J4073)),FALSE())),$J4073,0)</f>
        <v>0</v>
      </c>
      <c r="Q4073" s="64" t="n">
        <f aca="false">IF(AND($P4073&gt;0,$O4073&gt;0),$P4073,0)</f>
        <v>0</v>
      </c>
      <c r="R4073" s="64" t="n">
        <f aca="false">IF(AND($Q4073&gt;0,$O4073&gt;=AtRank),$Q4073,0)</f>
        <v>0</v>
      </c>
      <c r="S4073" s="64" t="n">
        <f aca="false">IF(AND($Q4073&gt;0,$O4073&gt;=AboveRank),$Q4073,0)</f>
        <v>0</v>
      </c>
      <c r="T4073" s="64" t="n">
        <f aca="false">IF($K4073="Less",$P4073,0)</f>
        <v>0</v>
      </c>
      <c r="U4073" s="64" t="n">
        <f aca="false">IF($K4073="Expected",$P4073,0)</f>
        <v>0</v>
      </c>
      <c r="V4073" s="64" t="n">
        <f aca="false">IF($K4073="Better",$P4073,0)</f>
        <v>0</v>
      </c>
      <c r="W4073" s="64" t="n">
        <f aca="false">IF($K4073="U – needs rule",$P4073,0)</f>
        <v>0</v>
      </c>
      <c r="X4073" s="64" t="n">
        <f aca="false">IF($K4073="No Start (attainment only)",$P4073,0)</f>
        <v>0</v>
      </c>
    </row>
    <row r="4074" customFormat="false" ht="15" hidden="false" customHeight="false" outlineLevel="0" collapsed="false">
      <c r="A4074" s="60"/>
      <c r="B4074" s="61" t="str">
        <f aca="false">IF($M4074=0,"",INDEX(Classes!$E$6:$E$420,$M4074))</f>
        <v/>
      </c>
      <c r="C4074" s="62" t="str">
        <f aca="false">IF($M4074=0,"",INDEX(Classes!$H$6:$H$420,$M4074))</f>
        <v/>
      </c>
      <c r="D4074" s="61" t="str">
        <f aca="false">IF($M4074=0,"",INDEX(Classes!$B$6:$B$420,$M4074))</f>
        <v/>
      </c>
      <c r="E4074" s="61" t="str">
        <f aca="false">IF($M4074=0,"",INDEX(Classes!$C$6:$C$420,$M4074))</f>
        <v/>
      </c>
      <c r="F4074" s="63"/>
      <c r="G4074" s="63"/>
      <c r="H4074" s="60"/>
      <c r="I4074" s="60"/>
      <c r="J4074" s="63"/>
      <c r="K4074" s="61" t="str">
        <f aca="false">IF($P4074=0,"",IF($F4074="Baseline","— Baseline",IF($O4074=0,"No result",IF($N4074=0,"No Start (attainment only)",IF(OR($N4074=1,$O4074=1),"U – needs rule",INDEX(MxBody,MATCH($I4074,MxCurr,0),MATCH($H4074,MxStart,0)))))))</f>
        <v/>
      </c>
      <c r="L4074" s="62" t="str">
        <f aca="false">IF(COUNTA($A4074,$F4074,$G4074,$H4074,$I4074,$J4074)=0,"",IF($M4074=0,"✖ كود الصف غير موجود",IF(ISNA(MATCH($F4074,Lists!$A$2:$A$5,0)),"✖ الفترة غير صحيحة",IF(ISNA(MATCH($G4074,Lists!$B$2:$B$7,0)),"✖ المجموعة غير صحيحة",IF(NOT(OR($H4074="",$N4074&gt;0)),"✖ Start غير صحيح",IF(NOT(OR($I4074="",$I4074="NR",$O4074&gt;0)),"✖ Current غير صحيح",IF(NOT(IF(ISNUMBER($J4074),AND($J4074&gt;=0,$J4074=INT($J4074)),FALSE())),"✖ العدد يجب أن يكون صحيحًا ≥ 0",IF(AND($F4074="Baseline",$H4074&lt;&gt;""),"⚠ Baseline: Start لا يدخل في التقدم",IF($K4074="No Start (attainment only)","ℹ تحصيل فقط (بدون Start)",IF($K4074="U – needs rule","ℹ حالة U تحتاج قاعدة معتمدة",IF($K4074="No result","ℹ بدون نتيجة (يُستبعد من التحصيل)","OK")))))))))))</f>
        <v/>
      </c>
      <c r="M4074" s="64" t="n">
        <f aca="false">IF($A4074="",0,IFERROR(MATCH($A4074,Classes!$A$6:$A$420,0),0))</f>
        <v>0</v>
      </c>
      <c r="N4074" s="64" t="n">
        <f aca="false">IF($H4074="",0,IFERROR(MATCH($H4074,GradeList,0),0))</f>
        <v>0</v>
      </c>
      <c r="O4074" s="64" t="n">
        <f aca="false">IF(OR($I4074="",$I4074="NR"),0,IFERROR(MATCH($I4074,GradeList,0),0))</f>
        <v>0</v>
      </c>
      <c r="P4074" s="64" t="n">
        <f aca="false">IF(AND($M4074&gt;0,ISNUMBER(MATCH($F4074,Lists!$A$2:$A$5,0)),ISNUMBER(MATCH($G4074,Lists!$B$2:$B$7,0)),OR($H4074="",$N4074&gt;0),OR($I4074="",$I4074="NR",$O4074&gt;0),IF(ISNUMBER($J4074),AND($J4074&gt;=0,$J4074=INT($J4074)),FALSE())),$J4074,0)</f>
        <v>0</v>
      </c>
      <c r="Q4074" s="64" t="n">
        <f aca="false">IF(AND($P4074&gt;0,$O4074&gt;0),$P4074,0)</f>
        <v>0</v>
      </c>
      <c r="R4074" s="64" t="n">
        <f aca="false">IF(AND($Q4074&gt;0,$O4074&gt;=AtRank),$Q4074,0)</f>
        <v>0</v>
      </c>
      <c r="S4074" s="64" t="n">
        <f aca="false">IF(AND($Q4074&gt;0,$O4074&gt;=AboveRank),$Q4074,0)</f>
        <v>0</v>
      </c>
      <c r="T4074" s="64" t="n">
        <f aca="false">IF($K4074="Less",$P4074,0)</f>
        <v>0</v>
      </c>
      <c r="U4074" s="64" t="n">
        <f aca="false">IF($K4074="Expected",$P4074,0)</f>
        <v>0</v>
      </c>
      <c r="V4074" s="64" t="n">
        <f aca="false">IF($K4074="Better",$P4074,0)</f>
        <v>0</v>
      </c>
      <c r="W4074" s="64" t="n">
        <f aca="false">IF($K4074="U – needs rule",$P4074,0)</f>
        <v>0</v>
      </c>
      <c r="X4074" s="64" t="n">
        <f aca="false">IF($K4074="No Start (attainment only)",$P4074,0)</f>
        <v>0</v>
      </c>
    </row>
    <row r="4075" customFormat="false" ht="15" hidden="false" customHeight="false" outlineLevel="0" collapsed="false">
      <c r="A4075" s="60"/>
      <c r="B4075" s="61" t="str">
        <f aca="false">IF($M4075=0,"",INDEX(Classes!$E$6:$E$420,$M4075))</f>
        <v/>
      </c>
      <c r="C4075" s="62" t="str">
        <f aca="false">IF($M4075=0,"",INDEX(Classes!$H$6:$H$420,$M4075))</f>
        <v/>
      </c>
      <c r="D4075" s="61" t="str">
        <f aca="false">IF($M4075=0,"",INDEX(Classes!$B$6:$B$420,$M4075))</f>
        <v/>
      </c>
      <c r="E4075" s="61" t="str">
        <f aca="false">IF($M4075=0,"",INDEX(Classes!$C$6:$C$420,$M4075))</f>
        <v/>
      </c>
      <c r="F4075" s="63"/>
      <c r="G4075" s="63"/>
      <c r="H4075" s="60"/>
      <c r="I4075" s="60"/>
      <c r="J4075" s="63"/>
      <c r="K4075" s="61" t="str">
        <f aca="false">IF($P4075=0,"",IF($F4075="Baseline","— Baseline",IF($O4075=0,"No result",IF($N4075=0,"No Start (attainment only)",IF(OR($N4075=1,$O4075=1),"U – needs rule",INDEX(MxBody,MATCH($I4075,MxCurr,0),MATCH($H4075,MxStart,0)))))))</f>
        <v/>
      </c>
      <c r="L4075" s="62" t="str">
        <f aca="false">IF(COUNTA($A4075,$F4075,$G4075,$H4075,$I4075,$J4075)=0,"",IF($M4075=0,"✖ كود الصف غير موجود",IF(ISNA(MATCH($F4075,Lists!$A$2:$A$5,0)),"✖ الفترة غير صحيحة",IF(ISNA(MATCH($G4075,Lists!$B$2:$B$7,0)),"✖ المجموعة غير صحيحة",IF(NOT(OR($H4075="",$N4075&gt;0)),"✖ Start غير صحيح",IF(NOT(OR($I4075="",$I4075="NR",$O4075&gt;0)),"✖ Current غير صحيح",IF(NOT(IF(ISNUMBER($J4075),AND($J4075&gt;=0,$J4075=INT($J4075)),FALSE())),"✖ العدد يجب أن يكون صحيحًا ≥ 0",IF(AND($F4075="Baseline",$H4075&lt;&gt;""),"⚠ Baseline: Start لا يدخل في التقدم",IF($K4075="No Start (attainment only)","ℹ تحصيل فقط (بدون Start)",IF($K4075="U – needs rule","ℹ حالة U تحتاج قاعدة معتمدة",IF($K4075="No result","ℹ بدون نتيجة (يُستبعد من التحصيل)","OK")))))))))))</f>
        <v/>
      </c>
      <c r="M4075" s="64" t="n">
        <f aca="false">IF($A4075="",0,IFERROR(MATCH($A4075,Classes!$A$6:$A$420,0),0))</f>
        <v>0</v>
      </c>
      <c r="N4075" s="64" t="n">
        <f aca="false">IF($H4075="",0,IFERROR(MATCH($H4075,GradeList,0),0))</f>
        <v>0</v>
      </c>
      <c r="O4075" s="64" t="n">
        <f aca="false">IF(OR($I4075="",$I4075="NR"),0,IFERROR(MATCH($I4075,GradeList,0),0))</f>
        <v>0</v>
      </c>
      <c r="P4075" s="64" t="n">
        <f aca="false">IF(AND($M4075&gt;0,ISNUMBER(MATCH($F4075,Lists!$A$2:$A$5,0)),ISNUMBER(MATCH($G4075,Lists!$B$2:$B$7,0)),OR($H4075="",$N4075&gt;0),OR($I4075="",$I4075="NR",$O4075&gt;0),IF(ISNUMBER($J4075),AND($J4075&gt;=0,$J4075=INT($J4075)),FALSE())),$J4075,0)</f>
        <v>0</v>
      </c>
      <c r="Q4075" s="64" t="n">
        <f aca="false">IF(AND($P4075&gt;0,$O4075&gt;0),$P4075,0)</f>
        <v>0</v>
      </c>
      <c r="R4075" s="64" t="n">
        <f aca="false">IF(AND($Q4075&gt;0,$O4075&gt;=AtRank),$Q4075,0)</f>
        <v>0</v>
      </c>
      <c r="S4075" s="64" t="n">
        <f aca="false">IF(AND($Q4075&gt;0,$O4075&gt;=AboveRank),$Q4075,0)</f>
        <v>0</v>
      </c>
      <c r="T4075" s="64" t="n">
        <f aca="false">IF($K4075="Less",$P4075,0)</f>
        <v>0</v>
      </c>
      <c r="U4075" s="64" t="n">
        <f aca="false">IF($K4075="Expected",$P4075,0)</f>
        <v>0</v>
      </c>
      <c r="V4075" s="64" t="n">
        <f aca="false">IF($K4075="Better",$P4075,0)</f>
        <v>0</v>
      </c>
      <c r="W4075" s="64" t="n">
        <f aca="false">IF($K4075="U – needs rule",$P4075,0)</f>
        <v>0</v>
      </c>
      <c r="X4075" s="64" t="n">
        <f aca="false">IF($K4075="No Start (attainment only)",$P4075,0)</f>
        <v>0</v>
      </c>
    </row>
    <row r="4076" customFormat="false" ht="15" hidden="false" customHeight="false" outlineLevel="0" collapsed="false">
      <c r="A4076" s="60"/>
      <c r="B4076" s="61" t="str">
        <f aca="false">IF($M4076=0,"",INDEX(Classes!$E$6:$E$420,$M4076))</f>
        <v/>
      </c>
      <c r="C4076" s="62" t="str">
        <f aca="false">IF($M4076=0,"",INDEX(Classes!$H$6:$H$420,$M4076))</f>
        <v/>
      </c>
      <c r="D4076" s="61" t="str">
        <f aca="false">IF($M4076=0,"",INDEX(Classes!$B$6:$B$420,$M4076))</f>
        <v/>
      </c>
      <c r="E4076" s="61" t="str">
        <f aca="false">IF($M4076=0,"",INDEX(Classes!$C$6:$C$420,$M4076))</f>
        <v/>
      </c>
      <c r="F4076" s="63"/>
      <c r="G4076" s="63"/>
      <c r="H4076" s="60"/>
      <c r="I4076" s="60"/>
      <c r="J4076" s="63"/>
      <c r="K4076" s="61" t="str">
        <f aca="false">IF($P4076=0,"",IF($F4076="Baseline","— Baseline",IF($O4076=0,"No result",IF($N4076=0,"No Start (attainment only)",IF(OR($N4076=1,$O4076=1),"U – needs rule",INDEX(MxBody,MATCH($I4076,MxCurr,0),MATCH($H4076,MxStart,0)))))))</f>
        <v/>
      </c>
      <c r="L4076" s="62" t="str">
        <f aca="false">IF(COUNTA($A4076,$F4076,$G4076,$H4076,$I4076,$J4076)=0,"",IF($M4076=0,"✖ كود الصف غير موجود",IF(ISNA(MATCH($F4076,Lists!$A$2:$A$5,0)),"✖ الفترة غير صحيحة",IF(ISNA(MATCH($G4076,Lists!$B$2:$B$7,0)),"✖ المجموعة غير صحيحة",IF(NOT(OR($H4076="",$N4076&gt;0)),"✖ Start غير صحيح",IF(NOT(OR($I4076="",$I4076="NR",$O4076&gt;0)),"✖ Current غير صحيح",IF(NOT(IF(ISNUMBER($J4076),AND($J4076&gt;=0,$J4076=INT($J4076)),FALSE())),"✖ العدد يجب أن يكون صحيحًا ≥ 0",IF(AND($F4076="Baseline",$H4076&lt;&gt;""),"⚠ Baseline: Start لا يدخل في التقدم",IF($K4076="No Start (attainment only)","ℹ تحصيل فقط (بدون Start)",IF($K4076="U – needs rule","ℹ حالة U تحتاج قاعدة معتمدة",IF($K4076="No result","ℹ بدون نتيجة (يُستبعد من التحصيل)","OK")))))))))))</f>
        <v/>
      </c>
      <c r="M4076" s="64" t="n">
        <f aca="false">IF($A4076="",0,IFERROR(MATCH($A4076,Classes!$A$6:$A$420,0),0))</f>
        <v>0</v>
      </c>
      <c r="N4076" s="64" t="n">
        <f aca="false">IF($H4076="",0,IFERROR(MATCH($H4076,GradeList,0),0))</f>
        <v>0</v>
      </c>
      <c r="O4076" s="64" t="n">
        <f aca="false">IF(OR($I4076="",$I4076="NR"),0,IFERROR(MATCH($I4076,GradeList,0),0))</f>
        <v>0</v>
      </c>
      <c r="P4076" s="64" t="n">
        <f aca="false">IF(AND($M4076&gt;0,ISNUMBER(MATCH($F4076,Lists!$A$2:$A$5,0)),ISNUMBER(MATCH($G4076,Lists!$B$2:$B$7,0)),OR($H4076="",$N4076&gt;0),OR($I4076="",$I4076="NR",$O4076&gt;0),IF(ISNUMBER($J4076),AND($J4076&gt;=0,$J4076=INT($J4076)),FALSE())),$J4076,0)</f>
        <v>0</v>
      </c>
      <c r="Q4076" s="64" t="n">
        <f aca="false">IF(AND($P4076&gt;0,$O4076&gt;0),$P4076,0)</f>
        <v>0</v>
      </c>
      <c r="R4076" s="64" t="n">
        <f aca="false">IF(AND($Q4076&gt;0,$O4076&gt;=AtRank),$Q4076,0)</f>
        <v>0</v>
      </c>
      <c r="S4076" s="64" t="n">
        <f aca="false">IF(AND($Q4076&gt;0,$O4076&gt;=AboveRank),$Q4076,0)</f>
        <v>0</v>
      </c>
      <c r="T4076" s="64" t="n">
        <f aca="false">IF($K4076="Less",$P4076,0)</f>
        <v>0</v>
      </c>
      <c r="U4076" s="64" t="n">
        <f aca="false">IF($K4076="Expected",$P4076,0)</f>
        <v>0</v>
      </c>
      <c r="V4076" s="64" t="n">
        <f aca="false">IF($K4076="Better",$P4076,0)</f>
        <v>0</v>
      </c>
      <c r="W4076" s="64" t="n">
        <f aca="false">IF($K4076="U – needs rule",$P4076,0)</f>
        <v>0</v>
      </c>
      <c r="X4076" s="64" t="n">
        <f aca="false">IF($K4076="No Start (attainment only)",$P4076,0)</f>
        <v>0</v>
      </c>
    </row>
    <row r="4077" customFormat="false" ht="15" hidden="false" customHeight="false" outlineLevel="0" collapsed="false">
      <c r="A4077" s="60"/>
      <c r="B4077" s="61" t="str">
        <f aca="false">IF($M4077=0,"",INDEX(Classes!$E$6:$E$420,$M4077))</f>
        <v/>
      </c>
      <c r="C4077" s="62" t="str">
        <f aca="false">IF($M4077=0,"",INDEX(Classes!$H$6:$H$420,$M4077))</f>
        <v/>
      </c>
      <c r="D4077" s="61" t="str">
        <f aca="false">IF($M4077=0,"",INDEX(Classes!$B$6:$B$420,$M4077))</f>
        <v/>
      </c>
      <c r="E4077" s="61" t="str">
        <f aca="false">IF($M4077=0,"",INDEX(Classes!$C$6:$C$420,$M4077))</f>
        <v/>
      </c>
      <c r="F4077" s="63"/>
      <c r="G4077" s="63"/>
      <c r="H4077" s="60"/>
      <c r="I4077" s="60"/>
      <c r="J4077" s="63"/>
      <c r="K4077" s="61" t="str">
        <f aca="false">IF($P4077=0,"",IF($F4077="Baseline","— Baseline",IF($O4077=0,"No result",IF($N4077=0,"No Start (attainment only)",IF(OR($N4077=1,$O4077=1),"U – needs rule",INDEX(MxBody,MATCH($I4077,MxCurr,0),MATCH($H4077,MxStart,0)))))))</f>
        <v/>
      </c>
      <c r="L4077" s="62" t="str">
        <f aca="false">IF(COUNTA($A4077,$F4077,$G4077,$H4077,$I4077,$J4077)=0,"",IF($M4077=0,"✖ كود الصف غير موجود",IF(ISNA(MATCH($F4077,Lists!$A$2:$A$5,0)),"✖ الفترة غير صحيحة",IF(ISNA(MATCH($G4077,Lists!$B$2:$B$7,0)),"✖ المجموعة غير صحيحة",IF(NOT(OR($H4077="",$N4077&gt;0)),"✖ Start غير صحيح",IF(NOT(OR($I4077="",$I4077="NR",$O4077&gt;0)),"✖ Current غير صحيح",IF(NOT(IF(ISNUMBER($J4077),AND($J4077&gt;=0,$J4077=INT($J4077)),FALSE())),"✖ العدد يجب أن يكون صحيحًا ≥ 0",IF(AND($F4077="Baseline",$H4077&lt;&gt;""),"⚠ Baseline: Start لا يدخل في التقدم",IF($K4077="No Start (attainment only)","ℹ تحصيل فقط (بدون Start)",IF($K4077="U – needs rule","ℹ حالة U تحتاج قاعدة معتمدة",IF($K4077="No result","ℹ بدون نتيجة (يُستبعد من التحصيل)","OK")))))))))))</f>
        <v/>
      </c>
      <c r="M4077" s="64" t="n">
        <f aca="false">IF($A4077="",0,IFERROR(MATCH($A4077,Classes!$A$6:$A$420,0),0))</f>
        <v>0</v>
      </c>
      <c r="N4077" s="64" t="n">
        <f aca="false">IF($H4077="",0,IFERROR(MATCH($H4077,GradeList,0),0))</f>
        <v>0</v>
      </c>
      <c r="O4077" s="64" t="n">
        <f aca="false">IF(OR($I4077="",$I4077="NR"),0,IFERROR(MATCH($I4077,GradeList,0),0))</f>
        <v>0</v>
      </c>
      <c r="P4077" s="64" t="n">
        <f aca="false">IF(AND($M4077&gt;0,ISNUMBER(MATCH($F4077,Lists!$A$2:$A$5,0)),ISNUMBER(MATCH($G4077,Lists!$B$2:$B$7,0)),OR($H4077="",$N4077&gt;0),OR($I4077="",$I4077="NR",$O4077&gt;0),IF(ISNUMBER($J4077),AND($J4077&gt;=0,$J4077=INT($J4077)),FALSE())),$J4077,0)</f>
        <v>0</v>
      </c>
      <c r="Q4077" s="64" t="n">
        <f aca="false">IF(AND($P4077&gt;0,$O4077&gt;0),$P4077,0)</f>
        <v>0</v>
      </c>
      <c r="R4077" s="64" t="n">
        <f aca="false">IF(AND($Q4077&gt;0,$O4077&gt;=AtRank),$Q4077,0)</f>
        <v>0</v>
      </c>
      <c r="S4077" s="64" t="n">
        <f aca="false">IF(AND($Q4077&gt;0,$O4077&gt;=AboveRank),$Q4077,0)</f>
        <v>0</v>
      </c>
      <c r="T4077" s="64" t="n">
        <f aca="false">IF($K4077="Less",$P4077,0)</f>
        <v>0</v>
      </c>
      <c r="U4077" s="64" t="n">
        <f aca="false">IF($K4077="Expected",$P4077,0)</f>
        <v>0</v>
      </c>
      <c r="V4077" s="64" t="n">
        <f aca="false">IF($K4077="Better",$P4077,0)</f>
        <v>0</v>
      </c>
      <c r="W4077" s="64" t="n">
        <f aca="false">IF($K4077="U – needs rule",$P4077,0)</f>
        <v>0</v>
      </c>
      <c r="X4077" s="64" t="n">
        <f aca="false">IF($K4077="No Start (attainment only)",$P4077,0)</f>
        <v>0</v>
      </c>
    </row>
    <row r="4078" customFormat="false" ht="15" hidden="false" customHeight="false" outlineLevel="0" collapsed="false">
      <c r="A4078" s="60"/>
      <c r="B4078" s="61" t="str">
        <f aca="false">IF($M4078=0,"",INDEX(Classes!$E$6:$E$420,$M4078))</f>
        <v/>
      </c>
      <c r="C4078" s="62" t="str">
        <f aca="false">IF($M4078=0,"",INDEX(Classes!$H$6:$H$420,$M4078))</f>
        <v/>
      </c>
      <c r="D4078" s="61" t="str">
        <f aca="false">IF($M4078=0,"",INDEX(Classes!$B$6:$B$420,$M4078))</f>
        <v/>
      </c>
      <c r="E4078" s="61" t="str">
        <f aca="false">IF($M4078=0,"",INDEX(Classes!$C$6:$C$420,$M4078))</f>
        <v/>
      </c>
      <c r="F4078" s="63"/>
      <c r="G4078" s="63"/>
      <c r="H4078" s="60"/>
      <c r="I4078" s="60"/>
      <c r="J4078" s="63"/>
      <c r="K4078" s="61" t="str">
        <f aca="false">IF($P4078=0,"",IF($F4078="Baseline","— Baseline",IF($O4078=0,"No result",IF($N4078=0,"No Start (attainment only)",IF(OR($N4078=1,$O4078=1),"U – needs rule",INDEX(MxBody,MATCH($I4078,MxCurr,0),MATCH($H4078,MxStart,0)))))))</f>
        <v/>
      </c>
      <c r="L4078" s="62" t="str">
        <f aca="false">IF(COUNTA($A4078,$F4078,$G4078,$H4078,$I4078,$J4078)=0,"",IF($M4078=0,"✖ كود الصف غير موجود",IF(ISNA(MATCH($F4078,Lists!$A$2:$A$5,0)),"✖ الفترة غير صحيحة",IF(ISNA(MATCH($G4078,Lists!$B$2:$B$7,0)),"✖ المجموعة غير صحيحة",IF(NOT(OR($H4078="",$N4078&gt;0)),"✖ Start غير صحيح",IF(NOT(OR($I4078="",$I4078="NR",$O4078&gt;0)),"✖ Current غير صحيح",IF(NOT(IF(ISNUMBER($J4078),AND($J4078&gt;=0,$J4078=INT($J4078)),FALSE())),"✖ العدد يجب أن يكون صحيحًا ≥ 0",IF(AND($F4078="Baseline",$H4078&lt;&gt;""),"⚠ Baseline: Start لا يدخل في التقدم",IF($K4078="No Start (attainment only)","ℹ تحصيل فقط (بدون Start)",IF($K4078="U – needs rule","ℹ حالة U تحتاج قاعدة معتمدة",IF($K4078="No result","ℹ بدون نتيجة (يُستبعد من التحصيل)","OK")))))))))))</f>
        <v/>
      </c>
      <c r="M4078" s="64" t="n">
        <f aca="false">IF($A4078="",0,IFERROR(MATCH($A4078,Classes!$A$6:$A$420,0),0))</f>
        <v>0</v>
      </c>
      <c r="N4078" s="64" t="n">
        <f aca="false">IF($H4078="",0,IFERROR(MATCH($H4078,GradeList,0),0))</f>
        <v>0</v>
      </c>
      <c r="O4078" s="64" t="n">
        <f aca="false">IF(OR($I4078="",$I4078="NR"),0,IFERROR(MATCH($I4078,GradeList,0),0))</f>
        <v>0</v>
      </c>
      <c r="P4078" s="64" t="n">
        <f aca="false">IF(AND($M4078&gt;0,ISNUMBER(MATCH($F4078,Lists!$A$2:$A$5,0)),ISNUMBER(MATCH($G4078,Lists!$B$2:$B$7,0)),OR($H4078="",$N4078&gt;0),OR($I4078="",$I4078="NR",$O4078&gt;0),IF(ISNUMBER($J4078),AND($J4078&gt;=0,$J4078=INT($J4078)),FALSE())),$J4078,0)</f>
        <v>0</v>
      </c>
      <c r="Q4078" s="64" t="n">
        <f aca="false">IF(AND($P4078&gt;0,$O4078&gt;0),$P4078,0)</f>
        <v>0</v>
      </c>
      <c r="R4078" s="64" t="n">
        <f aca="false">IF(AND($Q4078&gt;0,$O4078&gt;=AtRank),$Q4078,0)</f>
        <v>0</v>
      </c>
      <c r="S4078" s="64" t="n">
        <f aca="false">IF(AND($Q4078&gt;0,$O4078&gt;=AboveRank),$Q4078,0)</f>
        <v>0</v>
      </c>
      <c r="T4078" s="64" t="n">
        <f aca="false">IF($K4078="Less",$P4078,0)</f>
        <v>0</v>
      </c>
      <c r="U4078" s="64" t="n">
        <f aca="false">IF($K4078="Expected",$P4078,0)</f>
        <v>0</v>
      </c>
      <c r="V4078" s="64" t="n">
        <f aca="false">IF($K4078="Better",$P4078,0)</f>
        <v>0</v>
      </c>
      <c r="W4078" s="64" t="n">
        <f aca="false">IF($K4078="U – needs rule",$P4078,0)</f>
        <v>0</v>
      </c>
      <c r="X4078" s="64" t="n">
        <f aca="false">IF($K4078="No Start (attainment only)",$P4078,0)</f>
        <v>0</v>
      </c>
    </row>
    <row r="4079" customFormat="false" ht="15" hidden="false" customHeight="false" outlineLevel="0" collapsed="false">
      <c r="A4079" s="60"/>
      <c r="B4079" s="61" t="str">
        <f aca="false">IF($M4079=0,"",INDEX(Classes!$E$6:$E$420,$M4079))</f>
        <v/>
      </c>
      <c r="C4079" s="62" t="str">
        <f aca="false">IF($M4079=0,"",INDEX(Classes!$H$6:$H$420,$M4079))</f>
        <v/>
      </c>
      <c r="D4079" s="61" t="str">
        <f aca="false">IF($M4079=0,"",INDEX(Classes!$B$6:$B$420,$M4079))</f>
        <v/>
      </c>
      <c r="E4079" s="61" t="str">
        <f aca="false">IF($M4079=0,"",INDEX(Classes!$C$6:$C$420,$M4079))</f>
        <v/>
      </c>
      <c r="F4079" s="63"/>
      <c r="G4079" s="63"/>
      <c r="H4079" s="60"/>
      <c r="I4079" s="60"/>
      <c r="J4079" s="63"/>
      <c r="K4079" s="61" t="str">
        <f aca="false">IF($P4079=0,"",IF($F4079="Baseline","— Baseline",IF($O4079=0,"No result",IF($N4079=0,"No Start (attainment only)",IF(OR($N4079=1,$O4079=1),"U – needs rule",INDEX(MxBody,MATCH($I4079,MxCurr,0),MATCH($H4079,MxStart,0)))))))</f>
        <v/>
      </c>
      <c r="L4079" s="62" t="str">
        <f aca="false">IF(COUNTA($A4079,$F4079,$G4079,$H4079,$I4079,$J4079)=0,"",IF($M4079=0,"✖ كود الصف غير موجود",IF(ISNA(MATCH($F4079,Lists!$A$2:$A$5,0)),"✖ الفترة غير صحيحة",IF(ISNA(MATCH($G4079,Lists!$B$2:$B$7,0)),"✖ المجموعة غير صحيحة",IF(NOT(OR($H4079="",$N4079&gt;0)),"✖ Start غير صحيح",IF(NOT(OR($I4079="",$I4079="NR",$O4079&gt;0)),"✖ Current غير صحيح",IF(NOT(IF(ISNUMBER($J4079),AND($J4079&gt;=0,$J4079=INT($J4079)),FALSE())),"✖ العدد يجب أن يكون صحيحًا ≥ 0",IF(AND($F4079="Baseline",$H4079&lt;&gt;""),"⚠ Baseline: Start لا يدخل في التقدم",IF($K4079="No Start (attainment only)","ℹ تحصيل فقط (بدون Start)",IF($K4079="U – needs rule","ℹ حالة U تحتاج قاعدة معتمدة",IF($K4079="No result","ℹ بدون نتيجة (يُستبعد من التحصيل)","OK")))))))))))</f>
        <v/>
      </c>
      <c r="M4079" s="64" t="n">
        <f aca="false">IF($A4079="",0,IFERROR(MATCH($A4079,Classes!$A$6:$A$420,0),0))</f>
        <v>0</v>
      </c>
      <c r="N4079" s="64" t="n">
        <f aca="false">IF($H4079="",0,IFERROR(MATCH($H4079,GradeList,0),0))</f>
        <v>0</v>
      </c>
      <c r="O4079" s="64" t="n">
        <f aca="false">IF(OR($I4079="",$I4079="NR"),0,IFERROR(MATCH($I4079,GradeList,0),0))</f>
        <v>0</v>
      </c>
      <c r="P4079" s="64" t="n">
        <f aca="false">IF(AND($M4079&gt;0,ISNUMBER(MATCH($F4079,Lists!$A$2:$A$5,0)),ISNUMBER(MATCH($G4079,Lists!$B$2:$B$7,0)),OR($H4079="",$N4079&gt;0),OR($I4079="",$I4079="NR",$O4079&gt;0),IF(ISNUMBER($J4079),AND($J4079&gt;=0,$J4079=INT($J4079)),FALSE())),$J4079,0)</f>
        <v>0</v>
      </c>
      <c r="Q4079" s="64" t="n">
        <f aca="false">IF(AND($P4079&gt;0,$O4079&gt;0),$P4079,0)</f>
        <v>0</v>
      </c>
      <c r="R4079" s="64" t="n">
        <f aca="false">IF(AND($Q4079&gt;0,$O4079&gt;=AtRank),$Q4079,0)</f>
        <v>0</v>
      </c>
      <c r="S4079" s="64" t="n">
        <f aca="false">IF(AND($Q4079&gt;0,$O4079&gt;=AboveRank),$Q4079,0)</f>
        <v>0</v>
      </c>
      <c r="T4079" s="64" t="n">
        <f aca="false">IF($K4079="Less",$P4079,0)</f>
        <v>0</v>
      </c>
      <c r="U4079" s="64" t="n">
        <f aca="false">IF($K4079="Expected",$P4079,0)</f>
        <v>0</v>
      </c>
      <c r="V4079" s="64" t="n">
        <f aca="false">IF($K4079="Better",$P4079,0)</f>
        <v>0</v>
      </c>
      <c r="W4079" s="64" t="n">
        <f aca="false">IF($K4079="U – needs rule",$P4079,0)</f>
        <v>0</v>
      </c>
      <c r="X4079" s="64" t="n">
        <f aca="false">IF($K4079="No Start (attainment only)",$P4079,0)</f>
        <v>0</v>
      </c>
    </row>
    <row r="4080" customFormat="false" ht="15" hidden="false" customHeight="false" outlineLevel="0" collapsed="false">
      <c r="A4080" s="60"/>
      <c r="B4080" s="61" t="str">
        <f aca="false">IF($M4080=0,"",INDEX(Classes!$E$6:$E$420,$M4080))</f>
        <v/>
      </c>
      <c r="C4080" s="62" t="str">
        <f aca="false">IF($M4080=0,"",INDEX(Classes!$H$6:$H$420,$M4080))</f>
        <v/>
      </c>
      <c r="D4080" s="61" t="str">
        <f aca="false">IF($M4080=0,"",INDEX(Classes!$B$6:$B$420,$M4080))</f>
        <v/>
      </c>
      <c r="E4080" s="61" t="str">
        <f aca="false">IF($M4080=0,"",INDEX(Classes!$C$6:$C$420,$M4080))</f>
        <v/>
      </c>
      <c r="F4080" s="63"/>
      <c r="G4080" s="63"/>
      <c r="H4080" s="60"/>
      <c r="I4080" s="60"/>
      <c r="J4080" s="63"/>
      <c r="K4080" s="61" t="str">
        <f aca="false">IF($P4080=0,"",IF($F4080="Baseline","— Baseline",IF($O4080=0,"No result",IF($N4080=0,"No Start (attainment only)",IF(OR($N4080=1,$O4080=1),"U – needs rule",INDEX(MxBody,MATCH($I4080,MxCurr,0),MATCH($H4080,MxStart,0)))))))</f>
        <v/>
      </c>
      <c r="L4080" s="62" t="str">
        <f aca="false">IF(COUNTA($A4080,$F4080,$G4080,$H4080,$I4080,$J4080)=0,"",IF($M4080=0,"✖ كود الصف غير موجود",IF(ISNA(MATCH($F4080,Lists!$A$2:$A$5,0)),"✖ الفترة غير صحيحة",IF(ISNA(MATCH($G4080,Lists!$B$2:$B$7,0)),"✖ المجموعة غير صحيحة",IF(NOT(OR($H4080="",$N4080&gt;0)),"✖ Start غير صحيح",IF(NOT(OR($I4080="",$I4080="NR",$O4080&gt;0)),"✖ Current غير صحيح",IF(NOT(IF(ISNUMBER($J4080),AND($J4080&gt;=0,$J4080=INT($J4080)),FALSE())),"✖ العدد يجب أن يكون صحيحًا ≥ 0",IF(AND($F4080="Baseline",$H4080&lt;&gt;""),"⚠ Baseline: Start لا يدخل في التقدم",IF($K4080="No Start (attainment only)","ℹ تحصيل فقط (بدون Start)",IF($K4080="U – needs rule","ℹ حالة U تحتاج قاعدة معتمدة",IF($K4080="No result","ℹ بدون نتيجة (يُستبعد من التحصيل)","OK")))))))))))</f>
        <v/>
      </c>
      <c r="M4080" s="64" t="n">
        <f aca="false">IF($A4080="",0,IFERROR(MATCH($A4080,Classes!$A$6:$A$420,0),0))</f>
        <v>0</v>
      </c>
      <c r="N4080" s="64" t="n">
        <f aca="false">IF($H4080="",0,IFERROR(MATCH($H4080,GradeList,0),0))</f>
        <v>0</v>
      </c>
      <c r="O4080" s="64" t="n">
        <f aca="false">IF(OR($I4080="",$I4080="NR"),0,IFERROR(MATCH($I4080,GradeList,0),0))</f>
        <v>0</v>
      </c>
      <c r="P4080" s="64" t="n">
        <f aca="false">IF(AND($M4080&gt;0,ISNUMBER(MATCH($F4080,Lists!$A$2:$A$5,0)),ISNUMBER(MATCH($G4080,Lists!$B$2:$B$7,0)),OR($H4080="",$N4080&gt;0),OR($I4080="",$I4080="NR",$O4080&gt;0),IF(ISNUMBER($J4080),AND($J4080&gt;=0,$J4080=INT($J4080)),FALSE())),$J4080,0)</f>
        <v>0</v>
      </c>
      <c r="Q4080" s="64" t="n">
        <f aca="false">IF(AND($P4080&gt;0,$O4080&gt;0),$P4080,0)</f>
        <v>0</v>
      </c>
      <c r="R4080" s="64" t="n">
        <f aca="false">IF(AND($Q4080&gt;0,$O4080&gt;=AtRank),$Q4080,0)</f>
        <v>0</v>
      </c>
      <c r="S4080" s="64" t="n">
        <f aca="false">IF(AND($Q4080&gt;0,$O4080&gt;=AboveRank),$Q4080,0)</f>
        <v>0</v>
      </c>
      <c r="T4080" s="64" t="n">
        <f aca="false">IF($K4080="Less",$P4080,0)</f>
        <v>0</v>
      </c>
      <c r="U4080" s="64" t="n">
        <f aca="false">IF($K4080="Expected",$P4080,0)</f>
        <v>0</v>
      </c>
      <c r="V4080" s="64" t="n">
        <f aca="false">IF($K4080="Better",$P4080,0)</f>
        <v>0</v>
      </c>
      <c r="W4080" s="64" t="n">
        <f aca="false">IF($K4080="U – needs rule",$P4080,0)</f>
        <v>0</v>
      </c>
      <c r="X4080" s="64" t="n">
        <f aca="false">IF($K4080="No Start (attainment only)",$P4080,0)</f>
        <v>0</v>
      </c>
    </row>
    <row r="4081" customFormat="false" ht="15" hidden="false" customHeight="false" outlineLevel="0" collapsed="false">
      <c r="A4081" s="60"/>
      <c r="B4081" s="61" t="str">
        <f aca="false">IF($M4081=0,"",INDEX(Classes!$E$6:$E$420,$M4081))</f>
        <v/>
      </c>
      <c r="C4081" s="62" t="str">
        <f aca="false">IF($M4081=0,"",INDEX(Classes!$H$6:$H$420,$M4081))</f>
        <v/>
      </c>
      <c r="D4081" s="61" t="str">
        <f aca="false">IF($M4081=0,"",INDEX(Classes!$B$6:$B$420,$M4081))</f>
        <v/>
      </c>
      <c r="E4081" s="61" t="str">
        <f aca="false">IF($M4081=0,"",INDEX(Classes!$C$6:$C$420,$M4081))</f>
        <v/>
      </c>
      <c r="F4081" s="63"/>
      <c r="G4081" s="63"/>
      <c r="H4081" s="60"/>
      <c r="I4081" s="60"/>
      <c r="J4081" s="63"/>
      <c r="K4081" s="61" t="str">
        <f aca="false">IF($P4081=0,"",IF($F4081="Baseline","— Baseline",IF($O4081=0,"No result",IF($N4081=0,"No Start (attainment only)",IF(OR($N4081=1,$O4081=1),"U – needs rule",INDEX(MxBody,MATCH($I4081,MxCurr,0),MATCH($H4081,MxStart,0)))))))</f>
        <v/>
      </c>
      <c r="L4081" s="62" t="str">
        <f aca="false">IF(COUNTA($A4081,$F4081,$G4081,$H4081,$I4081,$J4081)=0,"",IF($M4081=0,"✖ كود الصف غير موجود",IF(ISNA(MATCH($F4081,Lists!$A$2:$A$5,0)),"✖ الفترة غير صحيحة",IF(ISNA(MATCH($G4081,Lists!$B$2:$B$7,0)),"✖ المجموعة غير صحيحة",IF(NOT(OR($H4081="",$N4081&gt;0)),"✖ Start غير صحيح",IF(NOT(OR($I4081="",$I4081="NR",$O4081&gt;0)),"✖ Current غير صحيح",IF(NOT(IF(ISNUMBER($J4081),AND($J4081&gt;=0,$J4081=INT($J4081)),FALSE())),"✖ العدد يجب أن يكون صحيحًا ≥ 0",IF(AND($F4081="Baseline",$H4081&lt;&gt;""),"⚠ Baseline: Start لا يدخل في التقدم",IF($K4081="No Start (attainment only)","ℹ تحصيل فقط (بدون Start)",IF($K4081="U – needs rule","ℹ حالة U تحتاج قاعدة معتمدة",IF($K4081="No result","ℹ بدون نتيجة (يُستبعد من التحصيل)","OK")))))))))))</f>
        <v/>
      </c>
      <c r="M4081" s="64" t="n">
        <f aca="false">IF($A4081="",0,IFERROR(MATCH($A4081,Classes!$A$6:$A$420,0),0))</f>
        <v>0</v>
      </c>
      <c r="N4081" s="64" t="n">
        <f aca="false">IF($H4081="",0,IFERROR(MATCH($H4081,GradeList,0),0))</f>
        <v>0</v>
      </c>
      <c r="O4081" s="64" t="n">
        <f aca="false">IF(OR($I4081="",$I4081="NR"),0,IFERROR(MATCH($I4081,GradeList,0),0))</f>
        <v>0</v>
      </c>
      <c r="P4081" s="64" t="n">
        <f aca="false">IF(AND($M4081&gt;0,ISNUMBER(MATCH($F4081,Lists!$A$2:$A$5,0)),ISNUMBER(MATCH($G4081,Lists!$B$2:$B$7,0)),OR($H4081="",$N4081&gt;0),OR($I4081="",$I4081="NR",$O4081&gt;0),IF(ISNUMBER($J4081),AND($J4081&gt;=0,$J4081=INT($J4081)),FALSE())),$J4081,0)</f>
        <v>0</v>
      </c>
      <c r="Q4081" s="64" t="n">
        <f aca="false">IF(AND($P4081&gt;0,$O4081&gt;0),$P4081,0)</f>
        <v>0</v>
      </c>
      <c r="R4081" s="64" t="n">
        <f aca="false">IF(AND($Q4081&gt;0,$O4081&gt;=AtRank),$Q4081,0)</f>
        <v>0</v>
      </c>
      <c r="S4081" s="64" t="n">
        <f aca="false">IF(AND($Q4081&gt;0,$O4081&gt;=AboveRank),$Q4081,0)</f>
        <v>0</v>
      </c>
      <c r="T4081" s="64" t="n">
        <f aca="false">IF($K4081="Less",$P4081,0)</f>
        <v>0</v>
      </c>
      <c r="U4081" s="64" t="n">
        <f aca="false">IF($K4081="Expected",$P4081,0)</f>
        <v>0</v>
      </c>
      <c r="V4081" s="64" t="n">
        <f aca="false">IF($K4081="Better",$P4081,0)</f>
        <v>0</v>
      </c>
      <c r="W4081" s="64" t="n">
        <f aca="false">IF($K4081="U – needs rule",$P4081,0)</f>
        <v>0</v>
      </c>
      <c r="X4081" s="64" t="n">
        <f aca="false">IF($K4081="No Start (attainment only)",$P4081,0)</f>
        <v>0</v>
      </c>
    </row>
    <row r="4082" customFormat="false" ht="15" hidden="false" customHeight="false" outlineLevel="0" collapsed="false">
      <c r="A4082" s="60"/>
      <c r="B4082" s="61" t="str">
        <f aca="false">IF($M4082=0,"",INDEX(Classes!$E$6:$E$420,$M4082))</f>
        <v/>
      </c>
      <c r="C4082" s="62" t="str">
        <f aca="false">IF($M4082=0,"",INDEX(Classes!$H$6:$H$420,$M4082))</f>
        <v/>
      </c>
      <c r="D4082" s="61" t="str">
        <f aca="false">IF($M4082=0,"",INDEX(Classes!$B$6:$B$420,$M4082))</f>
        <v/>
      </c>
      <c r="E4082" s="61" t="str">
        <f aca="false">IF($M4082=0,"",INDEX(Classes!$C$6:$C$420,$M4082))</f>
        <v/>
      </c>
      <c r="F4082" s="63"/>
      <c r="G4082" s="63"/>
      <c r="H4082" s="60"/>
      <c r="I4082" s="60"/>
      <c r="J4082" s="63"/>
      <c r="K4082" s="61" t="str">
        <f aca="false">IF($P4082=0,"",IF($F4082="Baseline","— Baseline",IF($O4082=0,"No result",IF($N4082=0,"No Start (attainment only)",IF(OR($N4082=1,$O4082=1),"U – needs rule",INDEX(MxBody,MATCH($I4082,MxCurr,0),MATCH($H4082,MxStart,0)))))))</f>
        <v/>
      </c>
      <c r="L4082" s="62" t="str">
        <f aca="false">IF(COUNTA($A4082,$F4082,$G4082,$H4082,$I4082,$J4082)=0,"",IF($M4082=0,"✖ كود الصف غير موجود",IF(ISNA(MATCH($F4082,Lists!$A$2:$A$5,0)),"✖ الفترة غير صحيحة",IF(ISNA(MATCH($G4082,Lists!$B$2:$B$7,0)),"✖ المجموعة غير صحيحة",IF(NOT(OR($H4082="",$N4082&gt;0)),"✖ Start غير صحيح",IF(NOT(OR($I4082="",$I4082="NR",$O4082&gt;0)),"✖ Current غير صحيح",IF(NOT(IF(ISNUMBER($J4082),AND($J4082&gt;=0,$J4082=INT($J4082)),FALSE())),"✖ العدد يجب أن يكون صحيحًا ≥ 0",IF(AND($F4082="Baseline",$H4082&lt;&gt;""),"⚠ Baseline: Start لا يدخل في التقدم",IF($K4082="No Start (attainment only)","ℹ تحصيل فقط (بدون Start)",IF($K4082="U – needs rule","ℹ حالة U تحتاج قاعدة معتمدة",IF($K4082="No result","ℹ بدون نتيجة (يُستبعد من التحصيل)","OK")))))))))))</f>
        <v/>
      </c>
      <c r="M4082" s="64" t="n">
        <f aca="false">IF($A4082="",0,IFERROR(MATCH($A4082,Classes!$A$6:$A$420,0),0))</f>
        <v>0</v>
      </c>
      <c r="N4082" s="64" t="n">
        <f aca="false">IF($H4082="",0,IFERROR(MATCH($H4082,GradeList,0),0))</f>
        <v>0</v>
      </c>
      <c r="O4082" s="64" t="n">
        <f aca="false">IF(OR($I4082="",$I4082="NR"),0,IFERROR(MATCH($I4082,GradeList,0),0))</f>
        <v>0</v>
      </c>
      <c r="P4082" s="64" t="n">
        <f aca="false">IF(AND($M4082&gt;0,ISNUMBER(MATCH($F4082,Lists!$A$2:$A$5,0)),ISNUMBER(MATCH($G4082,Lists!$B$2:$B$7,0)),OR($H4082="",$N4082&gt;0),OR($I4082="",$I4082="NR",$O4082&gt;0),IF(ISNUMBER($J4082),AND($J4082&gt;=0,$J4082=INT($J4082)),FALSE())),$J4082,0)</f>
        <v>0</v>
      </c>
      <c r="Q4082" s="64" t="n">
        <f aca="false">IF(AND($P4082&gt;0,$O4082&gt;0),$P4082,0)</f>
        <v>0</v>
      </c>
      <c r="R4082" s="64" t="n">
        <f aca="false">IF(AND($Q4082&gt;0,$O4082&gt;=AtRank),$Q4082,0)</f>
        <v>0</v>
      </c>
      <c r="S4082" s="64" t="n">
        <f aca="false">IF(AND($Q4082&gt;0,$O4082&gt;=AboveRank),$Q4082,0)</f>
        <v>0</v>
      </c>
      <c r="T4082" s="64" t="n">
        <f aca="false">IF($K4082="Less",$P4082,0)</f>
        <v>0</v>
      </c>
      <c r="U4082" s="64" t="n">
        <f aca="false">IF($K4082="Expected",$P4082,0)</f>
        <v>0</v>
      </c>
      <c r="V4082" s="64" t="n">
        <f aca="false">IF($K4082="Better",$P4082,0)</f>
        <v>0</v>
      </c>
      <c r="W4082" s="64" t="n">
        <f aca="false">IF($K4082="U – needs rule",$P4082,0)</f>
        <v>0</v>
      </c>
      <c r="X4082" s="64" t="n">
        <f aca="false">IF($K4082="No Start (attainment only)",$P4082,0)</f>
        <v>0</v>
      </c>
    </row>
    <row r="4083" customFormat="false" ht="15" hidden="false" customHeight="false" outlineLevel="0" collapsed="false">
      <c r="A4083" s="60"/>
      <c r="B4083" s="61" t="str">
        <f aca="false">IF($M4083=0,"",INDEX(Classes!$E$6:$E$420,$M4083))</f>
        <v/>
      </c>
      <c r="C4083" s="62" t="str">
        <f aca="false">IF($M4083=0,"",INDEX(Classes!$H$6:$H$420,$M4083))</f>
        <v/>
      </c>
      <c r="D4083" s="61" t="str">
        <f aca="false">IF($M4083=0,"",INDEX(Classes!$B$6:$B$420,$M4083))</f>
        <v/>
      </c>
      <c r="E4083" s="61" t="str">
        <f aca="false">IF($M4083=0,"",INDEX(Classes!$C$6:$C$420,$M4083))</f>
        <v/>
      </c>
      <c r="F4083" s="63"/>
      <c r="G4083" s="63"/>
      <c r="H4083" s="60"/>
      <c r="I4083" s="60"/>
      <c r="J4083" s="63"/>
      <c r="K4083" s="61" t="str">
        <f aca="false">IF($P4083=0,"",IF($F4083="Baseline","— Baseline",IF($O4083=0,"No result",IF($N4083=0,"No Start (attainment only)",IF(OR($N4083=1,$O4083=1),"U – needs rule",INDEX(MxBody,MATCH($I4083,MxCurr,0),MATCH($H4083,MxStart,0)))))))</f>
        <v/>
      </c>
      <c r="L4083" s="62" t="str">
        <f aca="false">IF(COUNTA($A4083,$F4083,$G4083,$H4083,$I4083,$J4083)=0,"",IF($M4083=0,"✖ كود الصف غير موجود",IF(ISNA(MATCH($F4083,Lists!$A$2:$A$5,0)),"✖ الفترة غير صحيحة",IF(ISNA(MATCH($G4083,Lists!$B$2:$B$7,0)),"✖ المجموعة غير صحيحة",IF(NOT(OR($H4083="",$N4083&gt;0)),"✖ Start غير صحيح",IF(NOT(OR($I4083="",$I4083="NR",$O4083&gt;0)),"✖ Current غير صحيح",IF(NOT(IF(ISNUMBER($J4083),AND($J4083&gt;=0,$J4083=INT($J4083)),FALSE())),"✖ العدد يجب أن يكون صحيحًا ≥ 0",IF(AND($F4083="Baseline",$H4083&lt;&gt;""),"⚠ Baseline: Start لا يدخل في التقدم",IF($K4083="No Start (attainment only)","ℹ تحصيل فقط (بدون Start)",IF($K4083="U – needs rule","ℹ حالة U تحتاج قاعدة معتمدة",IF($K4083="No result","ℹ بدون نتيجة (يُستبعد من التحصيل)","OK")))))))))))</f>
        <v/>
      </c>
      <c r="M4083" s="64" t="n">
        <f aca="false">IF($A4083="",0,IFERROR(MATCH($A4083,Classes!$A$6:$A$420,0),0))</f>
        <v>0</v>
      </c>
      <c r="N4083" s="64" t="n">
        <f aca="false">IF($H4083="",0,IFERROR(MATCH($H4083,GradeList,0),0))</f>
        <v>0</v>
      </c>
      <c r="O4083" s="64" t="n">
        <f aca="false">IF(OR($I4083="",$I4083="NR"),0,IFERROR(MATCH($I4083,GradeList,0),0))</f>
        <v>0</v>
      </c>
      <c r="P4083" s="64" t="n">
        <f aca="false">IF(AND($M4083&gt;0,ISNUMBER(MATCH($F4083,Lists!$A$2:$A$5,0)),ISNUMBER(MATCH($G4083,Lists!$B$2:$B$7,0)),OR($H4083="",$N4083&gt;0),OR($I4083="",$I4083="NR",$O4083&gt;0),IF(ISNUMBER($J4083),AND($J4083&gt;=0,$J4083=INT($J4083)),FALSE())),$J4083,0)</f>
        <v>0</v>
      </c>
      <c r="Q4083" s="64" t="n">
        <f aca="false">IF(AND($P4083&gt;0,$O4083&gt;0),$P4083,0)</f>
        <v>0</v>
      </c>
      <c r="R4083" s="64" t="n">
        <f aca="false">IF(AND($Q4083&gt;0,$O4083&gt;=AtRank),$Q4083,0)</f>
        <v>0</v>
      </c>
      <c r="S4083" s="64" t="n">
        <f aca="false">IF(AND($Q4083&gt;0,$O4083&gt;=AboveRank),$Q4083,0)</f>
        <v>0</v>
      </c>
      <c r="T4083" s="64" t="n">
        <f aca="false">IF($K4083="Less",$P4083,0)</f>
        <v>0</v>
      </c>
      <c r="U4083" s="64" t="n">
        <f aca="false">IF($K4083="Expected",$P4083,0)</f>
        <v>0</v>
      </c>
      <c r="V4083" s="64" t="n">
        <f aca="false">IF($K4083="Better",$P4083,0)</f>
        <v>0</v>
      </c>
      <c r="W4083" s="64" t="n">
        <f aca="false">IF($K4083="U – needs rule",$P4083,0)</f>
        <v>0</v>
      </c>
      <c r="X4083" s="64" t="n">
        <f aca="false">IF($K4083="No Start (attainment only)",$P4083,0)</f>
        <v>0</v>
      </c>
    </row>
    <row r="4084" customFormat="false" ht="15" hidden="false" customHeight="false" outlineLevel="0" collapsed="false">
      <c r="A4084" s="60"/>
      <c r="B4084" s="61" t="str">
        <f aca="false">IF($M4084=0,"",INDEX(Classes!$E$6:$E$420,$M4084))</f>
        <v/>
      </c>
      <c r="C4084" s="62" t="str">
        <f aca="false">IF($M4084=0,"",INDEX(Classes!$H$6:$H$420,$M4084))</f>
        <v/>
      </c>
      <c r="D4084" s="61" t="str">
        <f aca="false">IF($M4084=0,"",INDEX(Classes!$B$6:$B$420,$M4084))</f>
        <v/>
      </c>
      <c r="E4084" s="61" t="str">
        <f aca="false">IF($M4084=0,"",INDEX(Classes!$C$6:$C$420,$M4084))</f>
        <v/>
      </c>
      <c r="F4084" s="63"/>
      <c r="G4084" s="63"/>
      <c r="H4084" s="60"/>
      <c r="I4084" s="60"/>
      <c r="J4084" s="63"/>
      <c r="K4084" s="61" t="str">
        <f aca="false">IF($P4084=0,"",IF($F4084="Baseline","— Baseline",IF($O4084=0,"No result",IF($N4084=0,"No Start (attainment only)",IF(OR($N4084=1,$O4084=1),"U – needs rule",INDEX(MxBody,MATCH($I4084,MxCurr,0),MATCH($H4084,MxStart,0)))))))</f>
        <v/>
      </c>
      <c r="L4084" s="62" t="str">
        <f aca="false">IF(COUNTA($A4084,$F4084,$G4084,$H4084,$I4084,$J4084)=0,"",IF($M4084=0,"✖ كود الصف غير موجود",IF(ISNA(MATCH($F4084,Lists!$A$2:$A$5,0)),"✖ الفترة غير صحيحة",IF(ISNA(MATCH($G4084,Lists!$B$2:$B$7,0)),"✖ المجموعة غير صحيحة",IF(NOT(OR($H4084="",$N4084&gt;0)),"✖ Start غير صحيح",IF(NOT(OR($I4084="",$I4084="NR",$O4084&gt;0)),"✖ Current غير صحيح",IF(NOT(IF(ISNUMBER($J4084),AND($J4084&gt;=0,$J4084=INT($J4084)),FALSE())),"✖ العدد يجب أن يكون صحيحًا ≥ 0",IF(AND($F4084="Baseline",$H4084&lt;&gt;""),"⚠ Baseline: Start لا يدخل في التقدم",IF($K4084="No Start (attainment only)","ℹ تحصيل فقط (بدون Start)",IF($K4084="U – needs rule","ℹ حالة U تحتاج قاعدة معتمدة",IF($K4084="No result","ℹ بدون نتيجة (يُستبعد من التحصيل)","OK")))))))))))</f>
        <v/>
      </c>
      <c r="M4084" s="64" t="n">
        <f aca="false">IF($A4084="",0,IFERROR(MATCH($A4084,Classes!$A$6:$A$420,0),0))</f>
        <v>0</v>
      </c>
      <c r="N4084" s="64" t="n">
        <f aca="false">IF($H4084="",0,IFERROR(MATCH($H4084,GradeList,0),0))</f>
        <v>0</v>
      </c>
      <c r="O4084" s="64" t="n">
        <f aca="false">IF(OR($I4084="",$I4084="NR"),0,IFERROR(MATCH($I4084,GradeList,0),0))</f>
        <v>0</v>
      </c>
      <c r="P4084" s="64" t="n">
        <f aca="false">IF(AND($M4084&gt;0,ISNUMBER(MATCH($F4084,Lists!$A$2:$A$5,0)),ISNUMBER(MATCH($G4084,Lists!$B$2:$B$7,0)),OR($H4084="",$N4084&gt;0),OR($I4084="",$I4084="NR",$O4084&gt;0),IF(ISNUMBER($J4084),AND($J4084&gt;=0,$J4084=INT($J4084)),FALSE())),$J4084,0)</f>
        <v>0</v>
      </c>
      <c r="Q4084" s="64" t="n">
        <f aca="false">IF(AND($P4084&gt;0,$O4084&gt;0),$P4084,0)</f>
        <v>0</v>
      </c>
      <c r="R4084" s="64" t="n">
        <f aca="false">IF(AND($Q4084&gt;0,$O4084&gt;=AtRank),$Q4084,0)</f>
        <v>0</v>
      </c>
      <c r="S4084" s="64" t="n">
        <f aca="false">IF(AND($Q4084&gt;0,$O4084&gt;=AboveRank),$Q4084,0)</f>
        <v>0</v>
      </c>
      <c r="T4084" s="64" t="n">
        <f aca="false">IF($K4084="Less",$P4084,0)</f>
        <v>0</v>
      </c>
      <c r="U4084" s="64" t="n">
        <f aca="false">IF($K4084="Expected",$P4084,0)</f>
        <v>0</v>
      </c>
      <c r="V4084" s="64" t="n">
        <f aca="false">IF($K4084="Better",$P4084,0)</f>
        <v>0</v>
      </c>
      <c r="W4084" s="64" t="n">
        <f aca="false">IF($K4084="U – needs rule",$P4084,0)</f>
        <v>0</v>
      </c>
      <c r="X4084" s="64" t="n">
        <f aca="false">IF($K4084="No Start (attainment only)",$P4084,0)</f>
        <v>0</v>
      </c>
    </row>
    <row r="4085" customFormat="false" ht="15" hidden="false" customHeight="false" outlineLevel="0" collapsed="false">
      <c r="A4085" s="60"/>
      <c r="B4085" s="61" t="str">
        <f aca="false">IF($M4085=0,"",INDEX(Classes!$E$6:$E$420,$M4085))</f>
        <v/>
      </c>
      <c r="C4085" s="62" t="str">
        <f aca="false">IF($M4085=0,"",INDEX(Classes!$H$6:$H$420,$M4085))</f>
        <v/>
      </c>
      <c r="D4085" s="61" t="str">
        <f aca="false">IF($M4085=0,"",INDEX(Classes!$B$6:$B$420,$M4085))</f>
        <v/>
      </c>
      <c r="E4085" s="61" t="str">
        <f aca="false">IF($M4085=0,"",INDEX(Classes!$C$6:$C$420,$M4085))</f>
        <v/>
      </c>
      <c r="F4085" s="63"/>
      <c r="G4085" s="63"/>
      <c r="H4085" s="60"/>
      <c r="I4085" s="60"/>
      <c r="J4085" s="63"/>
      <c r="K4085" s="61" t="str">
        <f aca="false">IF($P4085=0,"",IF($F4085="Baseline","— Baseline",IF($O4085=0,"No result",IF($N4085=0,"No Start (attainment only)",IF(OR($N4085=1,$O4085=1),"U – needs rule",INDEX(MxBody,MATCH($I4085,MxCurr,0),MATCH($H4085,MxStart,0)))))))</f>
        <v/>
      </c>
      <c r="L4085" s="62" t="str">
        <f aca="false">IF(COUNTA($A4085,$F4085,$G4085,$H4085,$I4085,$J4085)=0,"",IF($M4085=0,"✖ كود الصف غير موجود",IF(ISNA(MATCH($F4085,Lists!$A$2:$A$5,0)),"✖ الفترة غير صحيحة",IF(ISNA(MATCH($G4085,Lists!$B$2:$B$7,0)),"✖ المجموعة غير صحيحة",IF(NOT(OR($H4085="",$N4085&gt;0)),"✖ Start غير صحيح",IF(NOT(OR($I4085="",$I4085="NR",$O4085&gt;0)),"✖ Current غير صحيح",IF(NOT(IF(ISNUMBER($J4085),AND($J4085&gt;=0,$J4085=INT($J4085)),FALSE())),"✖ العدد يجب أن يكون صحيحًا ≥ 0",IF(AND($F4085="Baseline",$H4085&lt;&gt;""),"⚠ Baseline: Start لا يدخل في التقدم",IF($K4085="No Start (attainment only)","ℹ تحصيل فقط (بدون Start)",IF($K4085="U – needs rule","ℹ حالة U تحتاج قاعدة معتمدة",IF($K4085="No result","ℹ بدون نتيجة (يُستبعد من التحصيل)","OK")))))))))))</f>
        <v/>
      </c>
      <c r="M4085" s="64" t="n">
        <f aca="false">IF($A4085="",0,IFERROR(MATCH($A4085,Classes!$A$6:$A$420,0),0))</f>
        <v>0</v>
      </c>
      <c r="N4085" s="64" t="n">
        <f aca="false">IF($H4085="",0,IFERROR(MATCH($H4085,GradeList,0),0))</f>
        <v>0</v>
      </c>
      <c r="O4085" s="64" t="n">
        <f aca="false">IF(OR($I4085="",$I4085="NR"),0,IFERROR(MATCH($I4085,GradeList,0),0))</f>
        <v>0</v>
      </c>
      <c r="P4085" s="64" t="n">
        <f aca="false">IF(AND($M4085&gt;0,ISNUMBER(MATCH($F4085,Lists!$A$2:$A$5,0)),ISNUMBER(MATCH($G4085,Lists!$B$2:$B$7,0)),OR($H4085="",$N4085&gt;0),OR($I4085="",$I4085="NR",$O4085&gt;0),IF(ISNUMBER($J4085),AND($J4085&gt;=0,$J4085=INT($J4085)),FALSE())),$J4085,0)</f>
        <v>0</v>
      </c>
      <c r="Q4085" s="64" t="n">
        <f aca="false">IF(AND($P4085&gt;0,$O4085&gt;0),$P4085,0)</f>
        <v>0</v>
      </c>
      <c r="R4085" s="64" t="n">
        <f aca="false">IF(AND($Q4085&gt;0,$O4085&gt;=AtRank),$Q4085,0)</f>
        <v>0</v>
      </c>
      <c r="S4085" s="64" t="n">
        <f aca="false">IF(AND($Q4085&gt;0,$O4085&gt;=AboveRank),$Q4085,0)</f>
        <v>0</v>
      </c>
      <c r="T4085" s="64" t="n">
        <f aca="false">IF($K4085="Less",$P4085,0)</f>
        <v>0</v>
      </c>
      <c r="U4085" s="64" t="n">
        <f aca="false">IF($K4085="Expected",$P4085,0)</f>
        <v>0</v>
      </c>
      <c r="V4085" s="64" t="n">
        <f aca="false">IF($K4085="Better",$P4085,0)</f>
        <v>0</v>
      </c>
      <c r="W4085" s="64" t="n">
        <f aca="false">IF($K4085="U – needs rule",$P4085,0)</f>
        <v>0</v>
      </c>
      <c r="X4085" s="64" t="n">
        <f aca="false">IF($K4085="No Start (attainment only)",$P4085,0)</f>
        <v>0</v>
      </c>
    </row>
    <row r="4086" customFormat="false" ht="15" hidden="false" customHeight="false" outlineLevel="0" collapsed="false">
      <c r="A4086" s="60"/>
      <c r="B4086" s="61" t="str">
        <f aca="false">IF($M4086=0,"",INDEX(Classes!$E$6:$E$420,$M4086))</f>
        <v/>
      </c>
      <c r="C4086" s="62" t="str">
        <f aca="false">IF($M4086=0,"",INDEX(Classes!$H$6:$H$420,$M4086))</f>
        <v/>
      </c>
      <c r="D4086" s="61" t="str">
        <f aca="false">IF($M4086=0,"",INDEX(Classes!$B$6:$B$420,$M4086))</f>
        <v/>
      </c>
      <c r="E4086" s="61" t="str">
        <f aca="false">IF($M4086=0,"",INDEX(Classes!$C$6:$C$420,$M4086))</f>
        <v/>
      </c>
      <c r="F4086" s="63"/>
      <c r="G4086" s="63"/>
      <c r="H4086" s="60"/>
      <c r="I4086" s="60"/>
      <c r="J4086" s="63"/>
      <c r="K4086" s="61" t="str">
        <f aca="false">IF($P4086=0,"",IF($F4086="Baseline","— Baseline",IF($O4086=0,"No result",IF($N4086=0,"No Start (attainment only)",IF(OR($N4086=1,$O4086=1),"U – needs rule",INDEX(MxBody,MATCH($I4086,MxCurr,0),MATCH($H4086,MxStart,0)))))))</f>
        <v/>
      </c>
      <c r="L4086" s="62" t="str">
        <f aca="false">IF(COUNTA($A4086,$F4086,$G4086,$H4086,$I4086,$J4086)=0,"",IF($M4086=0,"✖ كود الصف غير موجود",IF(ISNA(MATCH($F4086,Lists!$A$2:$A$5,0)),"✖ الفترة غير صحيحة",IF(ISNA(MATCH($G4086,Lists!$B$2:$B$7,0)),"✖ المجموعة غير صحيحة",IF(NOT(OR($H4086="",$N4086&gt;0)),"✖ Start غير صحيح",IF(NOT(OR($I4086="",$I4086="NR",$O4086&gt;0)),"✖ Current غير صحيح",IF(NOT(IF(ISNUMBER($J4086),AND($J4086&gt;=0,$J4086=INT($J4086)),FALSE())),"✖ العدد يجب أن يكون صحيحًا ≥ 0",IF(AND($F4086="Baseline",$H4086&lt;&gt;""),"⚠ Baseline: Start لا يدخل في التقدم",IF($K4086="No Start (attainment only)","ℹ تحصيل فقط (بدون Start)",IF($K4086="U – needs rule","ℹ حالة U تحتاج قاعدة معتمدة",IF($K4086="No result","ℹ بدون نتيجة (يُستبعد من التحصيل)","OK")))))))))))</f>
        <v/>
      </c>
      <c r="M4086" s="64" t="n">
        <f aca="false">IF($A4086="",0,IFERROR(MATCH($A4086,Classes!$A$6:$A$420,0),0))</f>
        <v>0</v>
      </c>
      <c r="N4086" s="64" t="n">
        <f aca="false">IF($H4086="",0,IFERROR(MATCH($H4086,GradeList,0),0))</f>
        <v>0</v>
      </c>
      <c r="O4086" s="64" t="n">
        <f aca="false">IF(OR($I4086="",$I4086="NR"),0,IFERROR(MATCH($I4086,GradeList,0),0))</f>
        <v>0</v>
      </c>
      <c r="P4086" s="64" t="n">
        <f aca="false">IF(AND($M4086&gt;0,ISNUMBER(MATCH($F4086,Lists!$A$2:$A$5,0)),ISNUMBER(MATCH($G4086,Lists!$B$2:$B$7,0)),OR($H4086="",$N4086&gt;0),OR($I4086="",$I4086="NR",$O4086&gt;0),IF(ISNUMBER($J4086),AND($J4086&gt;=0,$J4086=INT($J4086)),FALSE())),$J4086,0)</f>
        <v>0</v>
      </c>
      <c r="Q4086" s="64" t="n">
        <f aca="false">IF(AND($P4086&gt;0,$O4086&gt;0),$P4086,0)</f>
        <v>0</v>
      </c>
      <c r="R4086" s="64" t="n">
        <f aca="false">IF(AND($Q4086&gt;0,$O4086&gt;=AtRank),$Q4086,0)</f>
        <v>0</v>
      </c>
      <c r="S4086" s="64" t="n">
        <f aca="false">IF(AND($Q4086&gt;0,$O4086&gt;=AboveRank),$Q4086,0)</f>
        <v>0</v>
      </c>
      <c r="T4086" s="64" t="n">
        <f aca="false">IF($K4086="Less",$P4086,0)</f>
        <v>0</v>
      </c>
      <c r="U4086" s="64" t="n">
        <f aca="false">IF($K4086="Expected",$P4086,0)</f>
        <v>0</v>
      </c>
      <c r="V4086" s="64" t="n">
        <f aca="false">IF($K4086="Better",$P4086,0)</f>
        <v>0</v>
      </c>
      <c r="W4086" s="64" t="n">
        <f aca="false">IF($K4086="U – needs rule",$P4086,0)</f>
        <v>0</v>
      </c>
      <c r="X4086" s="64" t="n">
        <f aca="false">IF($K4086="No Start (attainment only)",$P4086,0)</f>
        <v>0</v>
      </c>
    </row>
    <row r="4087" customFormat="false" ht="15" hidden="false" customHeight="false" outlineLevel="0" collapsed="false">
      <c r="A4087" s="60"/>
      <c r="B4087" s="61" t="str">
        <f aca="false">IF($M4087=0,"",INDEX(Classes!$E$6:$E$420,$M4087))</f>
        <v/>
      </c>
      <c r="C4087" s="62" t="str">
        <f aca="false">IF($M4087=0,"",INDEX(Classes!$H$6:$H$420,$M4087))</f>
        <v/>
      </c>
      <c r="D4087" s="61" t="str">
        <f aca="false">IF($M4087=0,"",INDEX(Classes!$B$6:$B$420,$M4087))</f>
        <v/>
      </c>
      <c r="E4087" s="61" t="str">
        <f aca="false">IF($M4087=0,"",INDEX(Classes!$C$6:$C$420,$M4087))</f>
        <v/>
      </c>
      <c r="F4087" s="63"/>
      <c r="G4087" s="63"/>
      <c r="H4087" s="60"/>
      <c r="I4087" s="60"/>
      <c r="J4087" s="63"/>
      <c r="K4087" s="61" t="str">
        <f aca="false">IF($P4087=0,"",IF($F4087="Baseline","— Baseline",IF($O4087=0,"No result",IF($N4087=0,"No Start (attainment only)",IF(OR($N4087=1,$O4087=1),"U – needs rule",INDEX(MxBody,MATCH($I4087,MxCurr,0),MATCH($H4087,MxStart,0)))))))</f>
        <v/>
      </c>
      <c r="L4087" s="62" t="str">
        <f aca="false">IF(COUNTA($A4087,$F4087,$G4087,$H4087,$I4087,$J4087)=0,"",IF($M4087=0,"✖ كود الصف غير موجود",IF(ISNA(MATCH($F4087,Lists!$A$2:$A$5,0)),"✖ الفترة غير صحيحة",IF(ISNA(MATCH($G4087,Lists!$B$2:$B$7,0)),"✖ المجموعة غير صحيحة",IF(NOT(OR($H4087="",$N4087&gt;0)),"✖ Start غير صحيح",IF(NOT(OR($I4087="",$I4087="NR",$O4087&gt;0)),"✖ Current غير صحيح",IF(NOT(IF(ISNUMBER($J4087),AND($J4087&gt;=0,$J4087=INT($J4087)),FALSE())),"✖ العدد يجب أن يكون صحيحًا ≥ 0",IF(AND($F4087="Baseline",$H4087&lt;&gt;""),"⚠ Baseline: Start لا يدخل في التقدم",IF($K4087="No Start (attainment only)","ℹ تحصيل فقط (بدون Start)",IF($K4087="U – needs rule","ℹ حالة U تحتاج قاعدة معتمدة",IF($K4087="No result","ℹ بدون نتيجة (يُستبعد من التحصيل)","OK")))))))))))</f>
        <v/>
      </c>
      <c r="M4087" s="64" t="n">
        <f aca="false">IF($A4087="",0,IFERROR(MATCH($A4087,Classes!$A$6:$A$420,0),0))</f>
        <v>0</v>
      </c>
      <c r="N4087" s="64" t="n">
        <f aca="false">IF($H4087="",0,IFERROR(MATCH($H4087,GradeList,0),0))</f>
        <v>0</v>
      </c>
      <c r="O4087" s="64" t="n">
        <f aca="false">IF(OR($I4087="",$I4087="NR"),0,IFERROR(MATCH($I4087,GradeList,0),0))</f>
        <v>0</v>
      </c>
      <c r="P4087" s="64" t="n">
        <f aca="false">IF(AND($M4087&gt;0,ISNUMBER(MATCH($F4087,Lists!$A$2:$A$5,0)),ISNUMBER(MATCH($G4087,Lists!$B$2:$B$7,0)),OR($H4087="",$N4087&gt;0),OR($I4087="",$I4087="NR",$O4087&gt;0),IF(ISNUMBER($J4087),AND($J4087&gt;=0,$J4087=INT($J4087)),FALSE())),$J4087,0)</f>
        <v>0</v>
      </c>
      <c r="Q4087" s="64" t="n">
        <f aca="false">IF(AND($P4087&gt;0,$O4087&gt;0),$P4087,0)</f>
        <v>0</v>
      </c>
      <c r="R4087" s="64" t="n">
        <f aca="false">IF(AND($Q4087&gt;0,$O4087&gt;=AtRank),$Q4087,0)</f>
        <v>0</v>
      </c>
      <c r="S4087" s="64" t="n">
        <f aca="false">IF(AND($Q4087&gt;0,$O4087&gt;=AboveRank),$Q4087,0)</f>
        <v>0</v>
      </c>
      <c r="T4087" s="64" t="n">
        <f aca="false">IF($K4087="Less",$P4087,0)</f>
        <v>0</v>
      </c>
      <c r="U4087" s="64" t="n">
        <f aca="false">IF($K4087="Expected",$P4087,0)</f>
        <v>0</v>
      </c>
      <c r="V4087" s="64" t="n">
        <f aca="false">IF($K4087="Better",$P4087,0)</f>
        <v>0</v>
      </c>
      <c r="W4087" s="64" t="n">
        <f aca="false">IF($K4087="U – needs rule",$P4087,0)</f>
        <v>0</v>
      </c>
      <c r="X4087" s="64" t="n">
        <f aca="false">IF($K4087="No Start (attainment only)",$P4087,0)</f>
        <v>0</v>
      </c>
    </row>
    <row r="4088" customFormat="false" ht="15" hidden="false" customHeight="false" outlineLevel="0" collapsed="false">
      <c r="A4088" s="60"/>
      <c r="B4088" s="61" t="str">
        <f aca="false">IF($M4088=0,"",INDEX(Classes!$E$6:$E$420,$M4088))</f>
        <v/>
      </c>
      <c r="C4088" s="62" t="str">
        <f aca="false">IF($M4088=0,"",INDEX(Classes!$H$6:$H$420,$M4088))</f>
        <v/>
      </c>
      <c r="D4088" s="61" t="str">
        <f aca="false">IF($M4088=0,"",INDEX(Classes!$B$6:$B$420,$M4088))</f>
        <v/>
      </c>
      <c r="E4088" s="61" t="str">
        <f aca="false">IF($M4088=0,"",INDEX(Classes!$C$6:$C$420,$M4088))</f>
        <v/>
      </c>
      <c r="F4088" s="63"/>
      <c r="G4088" s="63"/>
      <c r="H4088" s="60"/>
      <c r="I4088" s="60"/>
      <c r="J4088" s="63"/>
      <c r="K4088" s="61" t="str">
        <f aca="false">IF($P4088=0,"",IF($F4088="Baseline","— Baseline",IF($O4088=0,"No result",IF($N4088=0,"No Start (attainment only)",IF(OR($N4088=1,$O4088=1),"U – needs rule",INDEX(MxBody,MATCH($I4088,MxCurr,0),MATCH($H4088,MxStart,0)))))))</f>
        <v/>
      </c>
      <c r="L4088" s="62" t="str">
        <f aca="false">IF(COUNTA($A4088,$F4088,$G4088,$H4088,$I4088,$J4088)=0,"",IF($M4088=0,"✖ كود الصف غير موجود",IF(ISNA(MATCH($F4088,Lists!$A$2:$A$5,0)),"✖ الفترة غير صحيحة",IF(ISNA(MATCH($G4088,Lists!$B$2:$B$7,0)),"✖ المجموعة غير صحيحة",IF(NOT(OR($H4088="",$N4088&gt;0)),"✖ Start غير صحيح",IF(NOT(OR($I4088="",$I4088="NR",$O4088&gt;0)),"✖ Current غير صحيح",IF(NOT(IF(ISNUMBER($J4088),AND($J4088&gt;=0,$J4088=INT($J4088)),FALSE())),"✖ العدد يجب أن يكون صحيحًا ≥ 0",IF(AND($F4088="Baseline",$H4088&lt;&gt;""),"⚠ Baseline: Start لا يدخل في التقدم",IF($K4088="No Start (attainment only)","ℹ تحصيل فقط (بدون Start)",IF($K4088="U – needs rule","ℹ حالة U تحتاج قاعدة معتمدة",IF($K4088="No result","ℹ بدون نتيجة (يُستبعد من التحصيل)","OK")))))))))))</f>
        <v/>
      </c>
      <c r="M4088" s="64" t="n">
        <f aca="false">IF($A4088="",0,IFERROR(MATCH($A4088,Classes!$A$6:$A$420,0),0))</f>
        <v>0</v>
      </c>
      <c r="N4088" s="64" t="n">
        <f aca="false">IF($H4088="",0,IFERROR(MATCH($H4088,GradeList,0),0))</f>
        <v>0</v>
      </c>
      <c r="O4088" s="64" t="n">
        <f aca="false">IF(OR($I4088="",$I4088="NR"),0,IFERROR(MATCH($I4088,GradeList,0),0))</f>
        <v>0</v>
      </c>
      <c r="P4088" s="64" t="n">
        <f aca="false">IF(AND($M4088&gt;0,ISNUMBER(MATCH($F4088,Lists!$A$2:$A$5,0)),ISNUMBER(MATCH($G4088,Lists!$B$2:$B$7,0)),OR($H4088="",$N4088&gt;0),OR($I4088="",$I4088="NR",$O4088&gt;0),IF(ISNUMBER($J4088),AND($J4088&gt;=0,$J4088=INT($J4088)),FALSE())),$J4088,0)</f>
        <v>0</v>
      </c>
      <c r="Q4088" s="64" t="n">
        <f aca="false">IF(AND($P4088&gt;0,$O4088&gt;0),$P4088,0)</f>
        <v>0</v>
      </c>
      <c r="R4088" s="64" t="n">
        <f aca="false">IF(AND($Q4088&gt;0,$O4088&gt;=AtRank),$Q4088,0)</f>
        <v>0</v>
      </c>
      <c r="S4088" s="64" t="n">
        <f aca="false">IF(AND($Q4088&gt;0,$O4088&gt;=AboveRank),$Q4088,0)</f>
        <v>0</v>
      </c>
      <c r="T4088" s="64" t="n">
        <f aca="false">IF($K4088="Less",$P4088,0)</f>
        <v>0</v>
      </c>
      <c r="U4088" s="64" t="n">
        <f aca="false">IF($K4088="Expected",$P4088,0)</f>
        <v>0</v>
      </c>
      <c r="V4088" s="64" t="n">
        <f aca="false">IF($K4088="Better",$P4088,0)</f>
        <v>0</v>
      </c>
      <c r="W4088" s="64" t="n">
        <f aca="false">IF($K4088="U – needs rule",$P4088,0)</f>
        <v>0</v>
      </c>
      <c r="X4088" s="64" t="n">
        <f aca="false">IF($K4088="No Start (attainment only)",$P4088,0)</f>
        <v>0</v>
      </c>
    </row>
    <row r="4089" customFormat="false" ht="15" hidden="false" customHeight="false" outlineLevel="0" collapsed="false">
      <c r="A4089" s="60"/>
      <c r="B4089" s="61" t="str">
        <f aca="false">IF($M4089=0,"",INDEX(Classes!$E$6:$E$420,$M4089))</f>
        <v/>
      </c>
      <c r="C4089" s="62" t="str">
        <f aca="false">IF($M4089=0,"",INDEX(Classes!$H$6:$H$420,$M4089))</f>
        <v/>
      </c>
      <c r="D4089" s="61" t="str">
        <f aca="false">IF($M4089=0,"",INDEX(Classes!$B$6:$B$420,$M4089))</f>
        <v/>
      </c>
      <c r="E4089" s="61" t="str">
        <f aca="false">IF($M4089=0,"",INDEX(Classes!$C$6:$C$420,$M4089))</f>
        <v/>
      </c>
      <c r="F4089" s="63"/>
      <c r="G4089" s="63"/>
      <c r="H4089" s="60"/>
      <c r="I4089" s="60"/>
      <c r="J4089" s="63"/>
      <c r="K4089" s="61" t="str">
        <f aca="false">IF($P4089=0,"",IF($F4089="Baseline","— Baseline",IF($O4089=0,"No result",IF($N4089=0,"No Start (attainment only)",IF(OR($N4089=1,$O4089=1),"U – needs rule",INDEX(MxBody,MATCH($I4089,MxCurr,0),MATCH($H4089,MxStart,0)))))))</f>
        <v/>
      </c>
      <c r="L4089" s="62" t="str">
        <f aca="false">IF(COUNTA($A4089,$F4089,$G4089,$H4089,$I4089,$J4089)=0,"",IF($M4089=0,"✖ كود الصف غير موجود",IF(ISNA(MATCH($F4089,Lists!$A$2:$A$5,0)),"✖ الفترة غير صحيحة",IF(ISNA(MATCH($G4089,Lists!$B$2:$B$7,0)),"✖ المجموعة غير صحيحة",IF(NOT(OR($H4089="",$N4089&gt;0)),"✖ Start غير صحيح",IF(NOT(OR($I4089="",$I4089="NR",$O4089&gt;0)),"✖ Current غير صحيح",IF(NOT(IF(ISNUMBER($J4089),AND($J4089&gt;=0,$J4089=INT($J4089)),FALSE())),"✖ العدد يجب أن يكون صحيحًا ≥ 0",IF(AND($F4089="Baseline",$H4089&lt;&gt;""),"⚠ Baseline: Start لا يدخل في التقدم",IF($K4089="No Start (attainment only)","ℹ تحصيل فقط (بدون Start)",IF($K4089="U – needs rule","ℹ حالة U تحتاج قاعدة معتمدة",IF($K4089="No result","ℹ بدون نتيجة (يُستبعد من التحصيل)","OK")))))))))))</f>
        <v/>
      </c>
      <c r="M4089" s="64" t="n">
        <f aca="false">IF($A4089="",0,IFERROR(MATCH($A4089,Classes!$A$6:$A$420,0),0))</f>
        <v>0</v>
      </c>
      <c r="N4089" s="64" t="n">
        <f aca="false">IF($H4089="",0,IFERROR(MATCH($H4089,GradeList,0),0))</f>
        <v>0</v>
      </c>
      <c r="O4089" s="64" t="n">
        <f aca="false">IF(OR($I4089="",$I4089="NR"),0,IFERROR(MATCH($I4089,GradeList,0),0))</f>
        <v>0</v>
      </c>
      <c r="P4089" s="64" t="n">
        <f aca="false">IF(AND($M4089&gt;0,ISNUMBER(MATCH($F4089,Lists!$A$2:$A$5,0)),ISNUMBER(MATCH($G4089,Lists!$B$2:$B$7,0)),OR($H4089="",$N4089&gt;0),OR($I4089="",$I4089="NR",$O4089&gt;0),IF(ISNUMBER($J4089),AND($J4089&gt;=0,$J4089=INT($J4089)),FALSE())),$J4089,0)</f>
        <v>0</v>
      </c>
      <c r="Q4089" s="64" t="n">
        <f aca="false">IF(AND($P4089&gt;0,$O4089&gt;0),$P4089,0)</f>
        <v>0</v>
      </c>
      <c r="R4089" s="64" t="n">
        <f aca="false">IF(AND($Q4089&gt;0,$O4089&gt;=AtRank),$Q4089,0)</f>
        <v>0</v>
      </c>
      <c r="S4089" s="64" t="n">
        <f aca="false">IF(AND($Q4089&gt;0,$O4089&gt;=AboveRank),$Q4089,0)</f>
        <v>0</v>
      </c>
      <c r="T4089" s="64" t="n">
        <f aca="false">IF($K4089="Less",$P4089,0)</f>
        <v>0</v>
      </c>
      <c r="U4089" s="64" t="n">
        <f aca="false">IF($K4089="Expected",$P4089,0)</f>
        <v>0</v>
      </c>
      <c r="V4089" s="64" t="n">
        <f aca="false">IF($K4089="Better",$P4089,0)</f>
        <v>0</v>
      </c>
      <c r="W4089" s="64" t="n">
        <f aca="false">IF($K4089="U – needs rule",$P4089,0)</f>
        <v>0</v>
      </c>
      <c r="X4089" s="64" t="n">
        <f aca="false">IF($K4089="No Start (attainment only)",$P4089,0)</f>
        <v>0</v>
      </c>
    </row>
    <row r="4090" customFormat="false" ht="15" hidden="false" customHeight="false" outlineLevel="0" collapsed="false">
      <c r="A4090" s="60"/>
      <c r="B4090" s="61" t="str">
        <f aca="false">IF($M4090=0,"",INDEX(Classes!$E$6:$E$420,$M4090))</f>
        <v/>
      </c>
      <c r="C4090" s="62" t="str">
        <f aca="false">IF($M4090=0,"",INDEX(Classes!$H$6:$H$420,$M4090))</f>
        <v/>
      </c>
      <c r="D4090" s="61" t="str">
        <f aca="false">IF($M4090=0,"",INDEX(Classes!$B$6:$B$420,$M4090))</f>
        <v/>
      </c>
      <c r="E4090" s="61" t="str">
        <f aca="false">IF($M4090=0,"",INDEX(Classes!$C$6:$C$420,$M4090))</f>
        <v/>
      </c>
      <c r="F4090" s="63"/>
      <c r="G4090" s="63"/>
      <c r="H4090" s="60"/>
      <c r="I4090" s="60"/>
      <c r="J4090" s="63"/>
      <c r="K4090" s="61" t="str">
        <f aca="false">IF($P4090=0,"",IF($F4090="Baseline","— Baseline",IF($O4090=0,"No result",IF($N4090=0,"No Start (attainment only)",IF(OR($N4090=1,$O4090=1),"U – needs rule",INDEX(MxBody,MATCH($I4090,MxCurr,0),MATCH($H4090,MxStart,0)))))))</f>
        <v/>
      </c>
      <c r="L4090" s="62" t="str">
        <f aca="false">IF(COUNTA($A4090,$F4090,$G4090,$H4090,$I4090,$J4090)=0,"",IF($M4090=0,"✖ كود الصف غير موجود",IF(ISNA(MATCH($F4090,Lists!$A$2:$A$5,0)),"✖ الفترة غير صحيحة",IF(ISNA(MATCH($G4090,Lists!$B$2:$B$7,0)),"✖ المجموعة غير صحيحة",IF(NOT(OR($H4090="",$N4090&gt;0)),"✖ Start غير صحيح",IF(NOT(OR($I4090="",$I4090="NR",$O4090&gt;0)),"✖ Current غير صحيح",IF(NOT(IF(ISNUMBER($J4090),AND($J4090&gt;=0,$J4090=INT($J4090)),FALSE())),"✖ العدد يجب أن يكون صحيحًا ≥ 0",IF(AND($F4090="Baseline",$H4090&lt;&gt;""),"⚠ Baseline: Start لا يدخل في التقدم",IF($K4090="No Start (attainment only)","ℹ تحصيل فقط (بدون Start)",IF($K4090="U – needs rule","ℹ حالة U تحتاج قاعدة معتمدة",IF($K4090="No result","ℹ بدون نتيجة (يُستبعد من التحصيل)","OK")))))))))))</f>
        <v/>
      </c>
      <c r="M4090" s="64" t="n">
        <f aca="false">IF($A4090="",0,IFERROR(MATCH($A4090,Classes!$A$6:$A$420,0),0))</f>
        <v>0</v>
      </c>
      <c r="N4090" s="64" t="n">
        <f aca="false">IF($H4090="",0,IFERROR(MATCH($H4090,GradeList,0),0))</f>
        <v>0</v>
      </c>
      <c r="O4090" s="64" t="n">
        <f aca="false">IF(OR($I4090="",$I4090="NR"),0,IFERROR(MATCH($I4090,GradeList,0),0))</f>
        <v>0</v>
      </c>
      <c r="P4090" s="64" t="n">
        <f aca="false">IF(AND($M4090&gt;0,ISNUMBER(MATCH($F4090,Lists!$A$2:$A$5,0)),ISNUMBER(MATCH($G4090,Lists!$B$2:$B$7,0)),OR($H4090="",$N4090&gt;0),OR($I4090="",$I4090="NR",$O4090&gt;0),IF(ISNUMBER($J4090),AND($J4090&gt;=0,$J4090=INT($J4090)),FALSE())),$J4090,0)</f>
        <v>0</v>
      </c>
      <c r="Q4090" s="64" t="n">
        <f aca="false">IF(AND($P4090&gt;0,$O4090&gt;0),$P4090,0)</f>
        <v>0</v>
      </c>
      <c r="R4090" s="64" t="n">
        <f aca="false">IF(AND($Q4090&gt;0,$O4090&gt;=AtRank),$Q4090,0)</f>
        <v>0</v>
      </c>
      <c r="S4090" s="64" t="n">
        <f aca="false">IF(AND($Q4090&gt;0,$O4090&gt;=AboveRank),$Q4090,0)</f>
        <v>0</v>
      </c>
      <c r="T4090" s="64" t="n">
        <f aca="false">IF($K4090="Less",$P4090,0)</f>
        <v>0</v>
      </c>
      <c r="U4090" s="64" t="n">
        <f aca="false">IF($K4090="Expected",$P4090,0)</f>
        <v>0</v>
      </c>
      <c r="V4090" s="64" t="n">
        <f aca="false">IF($K4090="Better",$P4090,0)</f>
        <v>0</v>
      </c>
      <c r="W4090" s="64" t="n">
        <f aca="false">IF($K4090="U – needs rule",$P4090,0)</f>
        <v>0</v>
      </c>
      <c r="X4090" s="64" t="n">
        <f aca="false">IF($K4090="No Start (attainment only)",$P4090,0)</f>
        <v>0</v>
      </c>
    </row>
    <row r="4091" customFormat="false" ht="15" hidden="false" customHeight="false" outlineLevel="0" collapsed="false">
      <c r="A4091" s="60"/>
      <c r="B4091" s="61" t="str">
        <f aca="false">IF($M4091=0,"",INDEX(Classes!$E$6:$E$420,$M4091))</f>
        <v/>
      </c>
      <c r="C4091" s="62" t="str">
        <f aca="false">IF($M4091=0,"",INDEX(Classes!$H$6:$H$420,$M4091))</f>
        <v/>
      </c>
      <c r="D4091" s="61" t="str">
        <f aca="false">IF($M4091=0,"",INDEX(Classes!$B$6:$B$420,$M4091))</f>
        <v/>
      </c>
      <c r="E4091" s="61" t="str">
        <f aca="false">IF($M4091=0,"",INDEX(Classes!$C$6:$C$420,$M4091))</f>
        <v/>
      </c>
      <c r="F4091" s="63"/>
      <c r="G4091" s="63"/>
      <c r="H4091" s="60"/>
      <c r="I4091" s="60"/>
      <c r="J4091" s="63"/>
      <c r="K4091" s="61" t="str">
        <f aca="false">IF($P4091=0,"",IF($F4091="Baseline","— Baseline",IF($O4091=0,"No result",IF($N4091=0,"No Start (attainment only)",IF(OR($N4091=1,$O4091=1),"U – needs rule",INDEX(MxBody,MATCH($I4091,MxCurr,0),MATCH($H4091,MxStart,0)))))))</f>
        <v/>
      </c>
      <c r="L4091" s="62" t="str">
        <f aca="false">IF(COUNTA($A4091,$F4091,$G4091,$H4091,$I4091,$J4091)=0,"",IF($M4091=0,"✖ كود الصف غير موجود",IF(ISNA(MATCH($F4091,Lists!$A$2:$A$5,0)),"✖ الفترة غير صحيحة",IF(ISNA(MATCH($G4091,Lists!$B$2:$B$7,0)),"✖ المجموعة غير صحيحة",IF(NOT(OR($H4091="",$N4091&gt;0)),"✖ Start غير صحيح",IF(NOT(OR($I4091="",$I4091="NR",$O4091&gt;0)),"✖ Current غير صحيح",IF(NOT(IF(ISNUMBER($J4091),AND($J4091&gt;=0,$J4091=INT($J4091)),FALSE())),"✖ العدد يجب أن يكون صحيحًا ≥ 0",IF(AND($F4091="Baseline",$H4091&lt;&gt;""),"⚠ Baseline: Start لا يدخل في التقدم",IF($K4091="No Start (attainment only)","ℹ تحصيل فقط (بدون Start)",IF($K4091="U – needs rule","ℹ حالة U تحتاج قاعدة معتمدة",IF($K4091="No result","ℹ بدون نتيجة (يُستبعد من التحصيل)","OK")))))))))))</f>
        <v/>
      </c>
      <c r="M4091" s="64" t="n">
        <f aca="false">IF($A4091="",0,IFERROR(MATCH($A4091,Classes!$A$6:$A$420,0),0))</f>
        <v>0</v>
      </c>
      <c r="N4091" s="64" t="n">
        <f aca="false">IF($H4091="",0,IFERROR(MATCH($H4091,GradeList,0),0))</f>
        <v>0</v>
      </c>
      <c r="O4091" s="64" t="n">
        <f aca="false">IF(OR($I4091="",$I4091="NR"),0,IFERROR(MATCH($I4091,GradeList,0),0))</f>
        <v>0</v>
      </c>
      <c r="P4091" s="64" t="n">
        <f aca="false">IF(AND($M4091&gt;0,ISNUMBER(MATCH($F4091,Lists!$A$2:$A$5,0)),ISNUMBER(MATCH($G4091,Lists!$B$2:$B$7,0)),OR($H4091="",$N4091&gt;0),OR($I4091="",$I4091="NR",$O4091&gt;0),IF(ISNUMBER($J4091),AND($J4091&gt;=0,$J4091=INT($J4091)),FALSE())),$J4091,0)</f>
        <v>0</v>
      </c>
      <c r="Q4091" s="64" t="n">
        <f aca="false">IF(AND($P4091&gt;0,$O4091&gt;0),$P4091,0)</f>
        <v>0</v>
      </c>
      <c r="R4091" s="64" t="n">
        <f aca="false">IF(AND($Q4091&gt;0,$O4091&gt;=AtRank),$Q4091,0)</f>
        <v>0</v>
      </c>
      <c r="S4091" s="64" t="n">
        <f aca="false">IF(AND($Q4091&gt;0,$O4091&gt;=AboveRank),$Q4091,0)</f>
        <v>0</v>
      </c>
      <c r="T4091" s="64" t="n">
        <f aca="false">IF($K4091="Less",$P4091,0)</f>
        <v>0</v>
      </c>
      <c r="U4091" s="64" t="n">
        <f aca="false">IF($K4091="Expected",$P4091,0)</f>
        <v>0</v>
      </c>
      <c r="V4091" s="64" t="n">
        <f aca="false">IF($K4091="Better",$P4091,0)</f>
        <v>0</v>
      </c>
      <c r="W4091" s="64" t="n">
        <f aca="false">IF($K4091="U – needs rule",$P4091,0)</f>
        <v>0</v>
      </c>
      <c r="X4091" s="64" t="n">
        <f aca="false">IF($K4091="No Start (attainment only)",$P4091,0)</f>
        <v>0</v>
      </c>
    </row>
    <row r="4092" customFormat="false" ht="15" hidden="false" customHeight="false" outlineLevel="0" collapsed="false">
      <c r="A4092" s="60"/>
      <c r="B4092" s="61" t="str">
        <f aca="false">IF($M4092=0,"",INDEX(Classes!$E$6:$E$420,$M4092))</f>
        <v/>
      </c>
      <c r="C4092" s="62" t="str">
        <f aca="false">IF($M4092=0,"",INDEX(Classes!$H$6:$H$420,$M4092))</f>
        <v/>
      </c>
      <c r="D4092" s="61" t="str">
        <f aca="false">IF($M4092=0,"",INDEX(Classes!$B$6:$B$420,$M4092))</f>
        <v/>
      </c>
      <c r="E4092" s="61" t="str">
        <f aca="false">IF($M4092=0,"",INDEX(Classes!$C$6:$C$420,$M4092))</f>
        <v/>
      </c>
      <c r="F4092" s="63"/>
      <c r="G4092" s="63"/>
      <c r="H4092" s="60"/>
      <c r="I4092" s="60"/>
      <c r="J4092" s="63"/>
      <c r="K4092" s="61" t="str">
        <f aca="false">IF($P4092=0,"",IF($F4092="Baseline","— Baseline",IF($O4092=0,"No result",IF($N4092=0,"No Start (attainment only)",IF(OR($N4092=1,$O4092=1),"U – needs rule",INDEX(MxBody,MATCH($I4092,MxCurr,0),MATCH($H4092,MxStart,0)))))))</f>
        <v/>
      </c>
      <c r="L4092" s="62" t="str">
        <f aca="false">IF(COUNTA($A4092,$F4092,$G4092,$H4092,$I4092,$J4092)=0,"",IF($M4092=0,"✖ كود الصف غير موجود",IF(ISNA(MATCH($F4092,Lists!$A$2:$A$5,0)),"✖ الفترة غير صحيحة",IF(ISNA(MATCH($G4092,Lists!$B$2:$B$7,0)),"✖ المجموعة غير صحيحة",IF(NOT(OR($H4092="",$N4092&gt;0)),"✖ Start غير صحيح",IF(NOT(OR($I4092="",$I4092="NR",$O4092&gt;0)),"✖ Current غير صحيح",IF(NOT(IF(ISNUMBER($J4092),AND($J4092&gt;=0,$J4092=INT($J4092)),FALSE())),"✖ العدد يجب أن يكون صحيحًا ≥ 0",IF(AND($F4092="Baseline",$H4092&lt;&gt;""),"⚠ Baseline: Start لا يدخل في التقدم",IF($K4092="No Start (attainment only)","ℹ تحصيل فقط (بدون Start)",IF($K4092="U – needs rule","ℹ حالة U تحتاج قاعدة معتمدة",IF($K4092="No result","ℹ بدون نتيجة (يُستبعد من التحصيل)","OK")))))))))))</f>
        <v/>
      </c>
      <c r="M4092" s="64" t="n">
        <f aca="false">IF($A4092="",0,IFERROR(MATCH($A4092,Classes!$A$6:$A$420,0),0))</f>
        <v>0</v>
      </c>
      <c r="N4092" s="64" t="n">
        <f aca="false">IF($H4092="",0,IFERROR(MATCH($H4092,GradeList,0),0))</f>
        <v>0</v>
      </c>
      <c r="O4092" s="64" t="n">
        <f aca="false">IF(OR($I4092="",$I4092="NR"),0,IFERROR(MATCH($I4092,GradeList,0),0))</f>
        <v>0</v>
      </c>
      <c r="P4092" s="64" t="n">
        <f aca="false">IF(AND($M4092&gt;0,ISNUMBER(MATCH($F4092,Lists!$A$2:$A$5,0)),ISNUMBER(MATCH($G4092,Lists!$B$2:$B$7,0)),OR($H4092="",$N4092&gt;0),OR($I4092="",$I4092="NR",$O4092&gt;0),IF(ISNUMBER($J4092),AND($J4092&gt;=0,$J4092=INT($J4092)),FALSE())),$J4092,0)</f>
        <v>0</v>
      </c>
      <c r="Q4092" s="64" t="n">
        <f aca="false">IF(AND($P4092&gt;0,$O4092&gt;0),$P4092,0)</f>
        <v>0</v>
      </c>
      <c r="R4092" s="64" t="n">
        <f aca="false">IF(AND($Q4092&gt;0,$O4092&gt;=AtRank),$Q4092,0)</f>
        <v>0</v>
      </c>
      <c r="S4092" s="64" t="n">
        <f aca="false">IF(AND($Q4092&gt;0,$O4092&gt;=AboveRank),$Q4092,0)</f>
        <v>0</v>
      </c>
      <c r="T4092" s="64" t="n">
        <f aca="false">IF($K4092="Less",$P4092,0)</f>
        <v>0</v>
      </c>
      <c r="U4092" s="64" t="n">
        <f aca="false">IF($K4092="Expected",$P4092,0)</f>
        <v>0</v>
      </c>
      <c r="V4092" s="64" t="n">
        <f aca="false">IF($K4092="Better",$P4092,0)</f>
        <v>0</v>
      </c>
      <c r="W4092" s="64" t="n">
        <f aca="false">IF($K4092="U – needs rule",$P4092,0)</f>
        <v>0</v>
      </c>
      <c r="X4092" s="64" t="n">
        <f aca="false">IF($K4092="No Start (attainment only)",$P4092,0)</f>
        <v>0</v>
      </c>
    </row>
    <row r="4093" customFormat="false" ht="15" hidden="false" customHeight="false" outlineLevel="0" collapsed="false">
      <c r="A4093" s="60"/>
      <c r="B4093" s="61" t="str">
        <f aca="false">IF($M4093=0,"",INDEX(Classes!$E$6:$E$420,$M4093))</f>
        <v/>
      </c>
      <c r="C4093" s="62" t="str">
        <f aca="false">IF($M4093=0,"",INDEX(Classes!$H$6:$H$420,$M4093))</f>
        <v/>
      </c>
      <c r="D4093" s="61" t="str">
        <f aca="false">IF($M4093=0,"",INDEX(Classes!$B$6:$B$420,$M4093))</f>
        <v/>
      </c>
      <c r="E4093" s="61" t="str">
        <f aca="false">IF($M4093=0,"",INDEX(Classes!$C$6:$C$420,$M4093))</f>
        <v/>
      </c>
      <c r="F4093" s="63"/>
      <c r="G4093" s="63"/>
      <c r="H4093" s="60"/>
      <c r="I4093" s="60"/>
      <c r="J4093" s="63"/>
      <c r="K4093" s="61" t="str">
        <f aca="false">IF($P4093=0,"",IF($F4093="Baseline","— Baseline",IF($O4093=0,"No result",IF($N4093=0,"No Start (attainment only)",IF(OR($N4093=1,$O4093=1),"U – needs rule",INDEX(MxBody,MATCH($I4093,MxCurr,0),MATCH($H4093,MxStart,0)))))))</f>
        <v/>
      </c>
      <c r="L4093" s="62" t="str">
        <f aca="false">IF(COUNTA($A4093,$F4093,$G4093,$H4093,$I4093,$J4093)=0,"",IF($M4093=0,"✖ كود الصف غير موجود",IF(ISNA(MATCH($F4093,Lists!$A$2:$A$5,0)),"✖ الفترة غير صحيحة",IF(ISNA(MATCH($G4093,Lists!$B$2:$B$7,0)),"✖ المجموعة غير صحيحة",IF(NOT(OR($H4093="",$N4093&gt;0)),"✖ Start غير صحيح",IF(NOT(OR($I4093="",$I4093="NR",$O4093&gt;0)),"✖ Current غير صحيح",IF(NOT(IF(ISNUMBER($J4093),AND($J4093&gt;=0,$J4093=INT($J4093)),FALSE())),"✖ العدد يجب أن يكون صحيحًا ≥ 0",IF(AND($F4093="Baseline",$H4093&lt;&gt;""),"⚠ Baseline: Start لا يدخل في التقدم",IF($K4093="No Start (attainment only)","ℹ تحصيل فقط (بدون Start)",IF($K4093="U – needs rule","ℹ حالة U تحتاج قاعدة معتمدة",IF($K4093="No result","ℹ بدون نتيجة (يُستبعد من التحصيل)","OK")))))))))))</f>
        <v/>
      </c>
      <c r="M4093" s="64" t="n">
        <f aca="false">IF($A4093="",0,IFERROR(MATCH($A4093,Classes!$A$6:$A$420,0),0))</f>
        <v>0</v>
      </c>
      <c r="N4093" s="64" t="n">
        <f aca="false">IF($H4093="",0,IFERROR(MATCH($H4093,GradeList,0),0))</f>
        <v>0</v>
      </c>
      <c r="O4093" s="64" t="n">
        <f aca="false">IF(OR($I4093="",$I4093="NR"),0,IFERROR(MATCH($I4093,GradeList,0),0))</f>
        <v>0</v>
      </c>
      <c r="P4093" s="64" t="n">
        <f aca="false">IF(AND($M4093&gt;0,ISNUMBER(MATCH($F4093,Lists!$A$2:$A$5,0)),ISNUMBER(MATCH($G4093,Lists!$B$2:$B$7,0)),OR($H4093="",$N4093&gt;0),OR($I4093="",$I4093="NR",$O4093&gt;0),IF(ISNUMBER($J4093),AND($J4093&gt;=0,$J4093=INT($J4093)),FALSE())),$J4093,0)</f>
        <v>0</v>
      </c>
      <c r="Q4093" s="64" t="n">
        <f aca="false">IF(AND($P4093&gt;0,$O4093&gt;0),$P4093,0)</f>
        <v>0</v>
      </c>
      <c r="R4093" s="64" t="n">
        <f aca="false">IF(AND($Q4093&gt;0,$O4093&gt;=AtRank),$Q4093,0)</f>
        <v>0</v>
      </c>
      <c r="S4093" s="64" t="n">
        <f aca="false">IF(AND($Q4093&gt;0,$O4093&gt;=AboveRank),$Q4093,0)</f>
        <v>0</v>
      </c>
      <c r="T4093" s="64" t="n">
        <f aca="false">IF($K4093="Less",$P4093,0)</f>
        <v>0</v>
      </c>
      <c r="U4093" s="64" t="n">
        <f aca="false">IF($K4093="Expected",$P4093,0)</f>
        <v>0</v>
      </c>
      <c r="V4093" s="64" t="n">
        <f aca="false">IF($K4093="Better",$P4093,0)</f>
        <v>0</v>
      </c>
      <c r="W4093" s="64" t="n">
        <f aca="false">IF($K4093="U – needs rule",$P4093,0)</f>
        <v>0</v>
      </c>
      <c r="X4093" s="64" t="n">
        <f aca="false">IF($K4093="No Start (attainment only)",$P4093,0)</f>
        <v>0</v>
      </c>
    </row>
    <row r="4094" customFormat="false" ht="15" hidden="false" customHeight="false" outlineLevel="0" collapsed="false">
      <c r="A4094" s="60"/>
      <c r="B4094" s="61" t="str">
        <f aca="false">IF($M4094=0,"",INDEX(Classes!$E$6:$E$420,$M4094))</f>
        <v/>
      </c>
      <c r="C4094" s="62" t="str">
        <f aca="false">IF($M4094=0,"",INDEX(Classes!$H$6:$H$420,$M4094))</f>
        <v/>
      </c>
      <c r="D4094" s="61" t="str">
        <f aca="false">IF($M4094=0,"",INDEX(Classes!$B$6:$B$420,$M4094))</f>
        <v/>
      </c>
      <c r="E4094" s="61" t="str">
        <f aca="false">IF($M4094=0,"",INDEX(Classes!$C$6:$C$420,$M4094))</f>
        <v/>
      </c>
      <c r="F4094" s="63"/>
      <c r="G4094" s="63"/>
      <c r="H4094" s="60"/>
      <c r="I4094" s="60"/>
      <c r="J4094" s="63"/>
      <c r="K4094" s="61" t="str">
        <f aca="false">IF($P4094=0,"",IF($F4094="Baseline","— Baseline",IF($O4094=0,"No result",IF($N4094=0,"No Start (attainment only)",IF(OR($N4094=1,$O4094=1),"U – needs rule",INDEX(MxBody,MATCH($I4094,MxCurr,0),MATCH($H4094,MxStart,0)))))))</f>
        <v/>
      </c>
      <c r="L4094" s="62" t="str">
        <f aca="false">IF(COUNTA($A4094,$F4094,$G4094,$H4094,$I4094,$J4094)=0,"",IF($M4094=0,"✖ كود الصف غير موجود",IF(ISNA(MATCH($F4094,Lists!$A$2:$A$5,0)),"✖ الفترة غير صحيحة",IF(ISNA(MATCH($G4094,Lists!$B$2:$B$7,0)),"✖ المجموعة غير صحيحة",IF(NOT(OR($H4094="",$N4094&gt;0)),"✖ Start غير صحيح",IF(NOT(OR($I4094="",$I4094="NR",$O4094&gt;0)),"✖ Current غير صحيح",IF(NOT(IF(ISNUMBER($J4094),AND($J4094&gt;=0,$J4094=INT($J4094)),FALSE())),"✖ العدد يجب أن يكون صحيحًا ≥ 0",IF(AND($F4094="Baseline",$H4094&lt;&gt;""),"⚠ Baseline: Start لا يدخل في التقدم",IF($K4094="No Start (attainment only)","ℹ تحصيل فقط (بدون Start)",IF($K4094="U – needs rule","ℹ حالة U تحتاج قاعدة معتمدة",IF($K4094="No result","ℹ بدون نتيجة (يُستبعد من التحصيل)","OK")))))))))))</f>
        <v/>
      </c>
      <c r="M4094" s="64" t="n">
        <f aca="false">IF($A4094="",0,IFERROR(MATCH($A4094,Classes!$A$6:$A$420,0),0))</f>
        <v>0</v>
      </c>
      <c r="N4094" s="64" t="n">
        <f aca="false">IF($H4094="",0,IFERROR(MATCH($H4094,GradeList,0),0))</f>
        <v>0</v>
      </c>
      <c r="O4094" s="64" t="n">
        <f aca="false">IF(OR($I4094="",$I4094="NR"),0,IFERROR(MATCH($I4094,GradeList,0),0))</f>
        <v>0</v>
      </c>
      <c r="P4094" s="64" t="n">
        <f aca="false">IF(AND($M4094&gt;0,ISNUMBER(MATCH($F4094,Lists!$A$2:$A$5,0)),ISNUMBER(MATCH($G4094,Lists!$B$2:$B$7,0)),OR($H4094="",$N4094&gt;0),OR($I4094="",$I4094="NR",$O4094&gt;0),IF(ISNUMBER($J4094),AND($J4094&gt;=0,$J4094=INT($J4094)),FALSE())),$J4094,0)</f>
        <v>0</v>
      </c>
      <c r="Q4094" s="64" t="n">
        <f aca="false">IF(AND($P4094&gt;0,$O4094&gt;0),$P4094,0)</f>
        <v>0</v>
      </c>
      <c r="R4094" s="64" t="n">
        <f aca="false">IF(AND($Q4094&gt;0,$O4094&gt;=AtRank),$Q4094,0)</f>
        <v>0</v>
      </c>
      <c r="S4094" s="64" t="n">
        <f aca="false">IF(AND($Q4094&gt;0,$O4094&gt;=AboveRank),$Q4094,0)</f>
        <v>0</v>
      </c>
      <c r="T4094" s="64" t="n">
        <f aca="false">IF($K4094="Less",$P4094,0)</f>
        <v>0</v>
      </c>
      <c r="U4094" s="64" t="n">
        <f aca="false">IF($K4094="Expected",$P4094,0)</f>
        <v>0</v>
      </c>
      <c r="V4094" s="64" t="n">
        <f aca="false">IF($K4094="Better",$P4094,0)</f>
        <v>0</v>
      </c>
      <c r="W4094" s="64" t="n">
        <f aca="false">IF($K4094="U – needs rule",$P4094,0)</f>
        <v>0</v>
      </c>
      <c r="X4094" s="64" t="n">
        <f aca="false">IF($K4094="No Start (attainment only)",$P4094,0)</f>
        <v>0</v>
      </c>
    </row>
    <row r="4095" customFormat="false" ht="15" hidden="false" customHeight="false" outlineLevel="0" collapsed="false">
      <c r="A4095" s="60"/>
      <c r="B4095" s="61" t="str">
        <f aca="false">IF($M4095=0,"",INDEX(Classes!$E$6:$E$420,$M4095))</f>
        <v/>
      </c>
      <c r="C4095" s="62" t="str">
        <f aca="false">IF($M4095=0,"",INDEX(Classes!$H$6:$H$420,$M4095))</f>
        <v/>
      </c>
      <c r="D4095" s="61" t="str">
        <f aca="false">IF($M4095=0,"",INDEX(Classes!$B$6:$B$420,$M4095))</f>
        <v/>
      </c>
      <c r="E4095" s="61" t="str">
        <f aca="false">IF($M4095=0,"",INDEX(Classes!$C$6:$C$420,$M4095))</f>
        <v/>
      </c>
      <c r="F4095" s="63"/>
      <c r="G4095" s="63"/>
      <c r="H4095" s="60"/>
      <c r="I4095" s="60"/>
      <c r="J4095" s="63"/>
      <c r="K4095" s="61" t="str">
        <f aca="false">IF($P4095=0,"",IF($F4095="Baseline","— Baseline",IF($O4095=0,"No result",IF($N4095=0,"No Start (attainment only)",IF(OR($N4095=1,$O4095=1),"U – needs rule",INDEX(MxBody,MATCH($I4095,MxCurr,0),MATCH($H4095,MxStart,0)))))))</f>
        <v/>
      </c>
      <c r="L4095" s="62" t="str">
        <f aca="false">IF(COUNTA($A4095,$F4095,$G4095,$H4095,$I4095,$J4095)=0,"",IF($M4095=0,"✖ كود الصف غير موجود",IF(ISNA(MATCH($F4095,Lists!$A$2:$A$5,0)),"✖ الفترة غير صحيحة",IF(ISNA(MATCH($G4095,Lists!$B$2:$B$7,0)),"✖ المجموعة غير صحيحة",IF(NOT(OR($H4095="",$N4095&gt;0)),"✖ Start غير صحيح",IF(NOT(OR($I4095="",$I4095="NR",$O4095&gt;0)),"✖ Current غير صحيح",IF(NOT(IF(ISNUMBER($J4095),AND($J4095&gt;=0,$J4095=INT($J4095)),FALSE())),"✖ العدد يجب أن يكون صحيحًا ≥ 0",IF(AND($F4095="Baseline",$H4095&lt;&gt;""),"⚠ Baseline: Start لا يدخل في التقدم",IF($K4095="No Start (attainment only)","ℹ تحصيل فقط (بدون Start)",IF($K4095="U – needs rule","ℹ حالة U تحتاج قاعدة معتمدة",IF($K4095="No result","ℹ بدون نتيجة (يُستبعد من التحصيل)","OK")))))))))))</f>
        <v/>
      </c>
      <c r="M4095" s="64" t="n">
        <f aca="false">IF($A4095="",0,IFERROR(MATCH($A4095,Classes!$A$6:$A$420,0),0))</f>
        <v>0</v>
      </c>
      <c r="N4095" s="64" t="n">
        <f aca="false">IF($H4095="",0,IFERROR(MATCH($H4095,GradeList,0),0))</f>
        <v>0</v>
      </c>
      <c r="O4095" s="64" t="n">
        <f aca="false">IF(OR($I4095="",$I4095="NR"),0,IFERROR(MATCH($I4095,GradeList,0),0))</f>
        <v>0</v>
      </c>
      <c r="P4095" s="64" t="n">
        <f aca="false">IF(AND($M4095&gt;0,ISNUMBER(MATCH($F4095,Lists!$A$2:$A$5,0)),ISNUMBER(MATCH($G4095,Lists!$B$2:$B$7,0)),OR($H4095="",$N4095&gt;0),OR($I4095="",$I4095="NR",$O4095&gt;0),IF(ISNUMBER($J4095),AND($J4095&gt;=0,$J4095=INT($J4095)),FALSE())),$J4095,0)</f>
        <v>0</v>
      </c>
      <c r="Q4095" s="64" t="n">
        <f aca="false">IF(AND($P4095&gt;0,$O4095&gt;0),$P4095,0)</f>
        <v>0</v>
      </c>
      <c r="R4095" s="64" t="n">
        <f aca="false">IF(AND($Q4095&gt;0,$O4095&gt;=AtRank),$Q4095,0)</f>
        <v>0</v>
      </c>
      <c r="S4095" s="64" t="n">
        <f aca="false">IF(AND($Q4095&gt;0,$O4095&gt;=AboveRank),$Q4095,0)</f>
        <v>0</v>
      </c>
      <c r="T4095" s="64" t="n">
        <f aca="false">IF($K4095="Less",$P4095,0)</f>
        <v>0</v>
      </c>
      <c r="U4095" s="64" t="n">
        <f aca="false">IF($K4095="Expected",$P4095,0)</f>
        <v>0</v>
      </c>
      <c r="V4095" s="64" t="n">
        <f aca="false">IF($K4095="Better",$P4095,0)</f>
        <v>0</v>
      </c>
      <c r="W4095" s="64" t="n">
        <f aca="false">IF($K4095="U – needs rule",$P4095,0)</f>
        <v>0</v>
      </c>
      <c r="X4095" s="64" t="n">
        <f aca="false">IF($K4095="No Start (attainment only)",$P4095,0)</f>
        <v>0</v>
      </c>
    </row>
    <row r="4096" customFormat="false" ht="15" hidden="false" customHeight="false" outlineLevel="0" collapsed="false">
      <c r="A4096" s="60"/>
      <c r="B4096" s="61" t="str">
        <f aca="false">IF($M4096=0,"",INDEX(Classes!$E$6:$E$420,$M4096))</f>
        <v/>
      </c>
      <c r="C4096" s="62" t="str">
        <f aca="false">IF($M4096=0,"",INDEX(Classes!$H$6:$H$420,$M4096))</f>
        <v/>
      </c>
      <c r="D4096" s="61" t="str">
        <f aca="false">IF($M4096=0,"",INDEX(Classes!$B$6:$B$420,$M4096))</f>
        <v/>
      </c>
      <c r="E4096" s="61" t="str">
        <f aca="false">IF($M4096=0,"",INDEX(Classes!$C$6:$C$420,$M4096))</f>
        <v/>
      </c>
      <c r="F4096" s="63"/>
      <c r="G4096" s="63"/>
      <c r="H4096" s="60"/>
      <c r="I4096" s="60"/>
      <c r="J4096" s="63"/>
      <c r="K4096" s="61" t="str">
        <f aca="false">IF($P4096=0,"",IF($F4096="Baseline","— Baseline",IF($O4096=0,"No result",IF($N4096=0,"No Start (attainment only)",IF(OR($N4096=1,$O4096=1),"U – needs rule",INDEX(MxBody,MATCH($I4096,MxCurr,0),MATCH($H4096,MxStart,0)))))))</f>
        <v/>
      </c>
      <c r="L4096" s="62" t="str">
        <f aca="false">IF(COUNTA($A4096,$F4096,$G4096,$H4096,$I4096,$J4096)=0,"",IF($M4096=0,"✖ كود الصف غير موجود",IF(ISNA(MATCH($F4096,Lists!$A$2:$A$5,0)),"✖ الفترة غير صحيحة",IF(ISNA(MATCH($G4096,Lists!$B$2:$B$7,0)),"✖ المجموعة غير صحيحة",IF(NOT(OR($H4096="",$N4096&gt;0)),"✖ Start غير صحيح",IF(NOT(OR($I4096="",$I4096="NR",$O4096&gt;0)),"✖ Current غير صحيح",IF(NOT(IF(ISNUMBER($J4096),AND($J4096&gt;=0,$J4096=INT($J4096)),FALSE())),"✖ العدد يجب أن يكون صحيحًا ≥ 0",IF(AND($F4096="Baseline",$H4096&lt;&gt;""),"⚠ Baseline: Start لا يدخل في التقدم",IF($K4096="No Start (attainment only)","ℹ تحصيل فقط (بدون Start)",IF($K4096="U – needs rule","ℹ حالة U تحتاج قاعدة معتمدة",IF($K4096="No result","ℹ بدون نتيجة (يُستبعد من التحصيل)","OK")))))))))))</f>
        <v/>
      </c>
      <c r="M4096" s="64" t="n">
        <f aca="false">IF($A4096="",0,IFERROR(MATCH($A4096,Classes!$A$6:$A$420,0),0))</f>
        <v>0</v>
      </c>
      <c r="N4096" s="64" t="n">
        <f aca="false">IF($H4096="",0,IFERROR(MATCH($H4096,GradeList,0),0))</f>
        <v>0</v>
      </c>
      <c r="O4096" s="64" t="n">
        <f aca="false">IF(OR($I4096="",$I4096="NR"),0,IFERROR(MATCH($I4096,GradeList,0),0))</f>
        <v>0</v>
      </c>
      <c r="P4096" s="64" t="n">
        <f aca="false">IF(AND($M4096&gt;0,ISNUMBER(MATCH($F4096,Lists!$A$2:$A$5,0)),ISNUMBER(MATCH($G4096,Lists!$B$2:$B$7,0)),OR($H4096="",$N4096&gt;0),OR($I4096="",$I4096="NR",$O4096&gt;0),IF(ISNUMBER($J4096),AND($J4096&gt;=0,$J4096=INT($J4096)),FALSE())),$J4096,0)</f>
        <v>0</v>
      </c>
      <c r="Q4096" s="64" t="n">
        <f aca="false">IF(AND($P4096&gt;0,$O4096&gt;0),$P4096,0)</f>
        <v>0</v>
      </c>
      <c r="R4096" s="64" t="n">
        <f aca="false">IF(AND($Q4096&gt;0,$O4096&gt;=AtRank),$Q4096,0)</f>
        <v>0</v>
      </c>
      <c r="S4096" s="64" t="n">
        <f aca="false">IF(AND($Q4096&gt;0,$O4096&gt;=AboveRank),$Q4096,0)</f>
        <v>0</v>
      </c>
      <c r="T4096" s="64" t="n">
        <f aca="false">IF($K4096="Less",$P4096,0)</f>
        <v>0</v>
      </c>
      <c r="U4096" s="64" t="n">
        <f aca="false">IF($K4096="Expected",$P4096,0)</f>
        <v>0</v>
      </c>
      <c r="V4096" s="64" t="n">
        <f aca="false">IF($K4096="Better",$P4096,0)</f>
        <v>0</v>
      </c>
      <c r="W4096" s="64" t="n">
        <f aca="false">IF($K4096="U – needs rule",$P4096,0)</f>
        <v>0</v>
      </c>
      <c r="X4096" s="64" t="n">
        <f aca="false">IF($K4096="No Start (attainment only)",$P4096,0)</f>
        <v>0</v>
      </c>
    </row>
    <row r="4097" customFormat="false" ht="15" hidden="false" customHeight="false" outlineLevel="0" collapsed="false">
      <c r="A4097" s="60"/>
      <c r="B4097" s="61" t="str">
        <f aca="false">IF($M4097=0,"",INDEX(Classes!$E$6:$E$420,$M4097))</f>
        <v/>
      </c>
      <c r="C4097" s="62" t="str">
        <f aca="false">IF($M4097=0,"",INDEX(Classes!$H$6:$H$420,$M4097))</f>
        <v/>
      </c>
      <c r="D4097" s="61" t="str">
        <f aca="false">IF($M4097=0,"",INDEX(Classes!$B$6:$B$420,$M4097))</f>
        <v/>
      </c>
      <c r="E4097" s="61" t="str">
        <f aca="false">IF($M4097=0,"",INDEX(Classes!$C$6:$C$420,$M4097))</f>
        <v/>
      </c>
      <c r="F4097" s="63"/>
      <c r="G4097" s="63"/>
      <c r="H4097" s="60"/>
      <c r="I4097" s="60"/>
      <c r="J4097" s="63"/>
      <c r="K4097" s="61" t="str">
        <f aca="false">IF($P4097=0,"",IF($F4097="Baseline","— Baseline",IF($O4097=0,"No result",IF($N4097=0,"No Start (attainment only)",IF(OR($N4097=1,$O4097=1),"U – needs rule",INDEX(MxBody,MATCH($I4097,MxCurr,0),MATCH($H4097,MxStart,0)))))))</f>
        <v/>
      </c>
      <c r="L4097" s="62" t="str">
        <f aca="false">IF(COUNTA($A4097,$F4097,$G4097,$H4097,$I4097,$J4097)=0,"",IF($M4097=0,"✖ كود الصف غير موجود",IF(ISNA(MATCH($F4097,Lists!$A$2:$A$5,0)),"✖ الفترة غير صحيحة",IF(ISNA(MATCH($G4097,Lists!$B$2:$B$7,0)),"✖ المجموعة غير صحيحة",IF(NOT(OR($H4097="",$N4097&gt;0)),"✖ Start غير صحيح",IF(NOT(OR($I4097="",$I4097="NR",$O4097&gt;0)),"✖ Current غير صحيح",IF(NOT(IF(ISNUMBER($J4097),AND($J4097&gt;=0,$J4097=INT($J4097)),FALSE())),"✖ العدد يجب أن يكون صحيحًا ≥ 0",IF(AND($F4097="Baseline",$H4097&lt;&gt;""),"⚠ Baseline: Start لا يدخل في التقدم",IF($K4097="No Start (attainment only)","ℹ تحصيل فقط (بدون Start)",IF($K4097="U – needs rule","ℹ حالة U تحتاج قاعدة معتمدة",IF($K4097="No result","ℹ بدون نتيجة (يُستبعد من التحصيل)","OK")))))))))))</f>
        <v/>
      </c>
      <c r="M4097" s="64" t="n">
        <f aca="false">IF($A4097="",0,IFERROR(MATCH($A4097,Classes!$A$6:$A$420,0),0))</f>
        <v>0</v>
      </c>
      <c r="N4097" s="64" t="n">
        <f aca="false">IF($H4097="",0,IFERROR(MATCH($H4097,GradeList,0),0))</f>
        <v>0</v>
      </c>
      <c r="O4097" s="64" t="n">
        <f aca="false">IF(OR($I4097="",$I4097="NR"),0,IFERROR(MATCH($I4097,GradeList,0),0))</f>
        <v>0</v>
      </c>
      <c r="P4097" s="64" t="n">
        <f aca="false">IF(AND($M4097&gt;0,ISNUMBER(MATCH($F4097,Lists!$A$2:$A$5,0)),ISNUMBER(MATCH($G4097,Lists!$B$2:$B$7,0)),OR($H4097="",$N4097&gt;0),OR($I4097="",$I4097="NR",$O4097&gt;0),IF(ISNUMBER($J4097),AND($J4097&gt;=0,$J4097=INT($J4097)),FALSE())),$J4097,0)</f>
        <v>0</v>
      </c>
      <c r="Q4097" s="64" t="n">
        <f aca="false">IF(AND($P4097&gt;0,$O4097&gt;0),$P4097,0)</f>
        <v>0</v>
      </c>
      <c r="R4097" s="64" t="n">
        <f aca="false">IF(AND($Q4097&gt;0,$O4097&gt;=AtRank),$Q4097,0)</f>
        <v>0</v>
      </c>
      <c r="S4097" s="64" t="n">
        <f aca="false">IF(AND($Q4097&gt;0,$O4097&gt;=AboveRank),$Q4097,0)</f>
        <v>0</v>
      </c>
      <c r="T4097" s="64" t="n">
        <f aca="false">IF($K4097="Less",$P4097,0)</f>
        <v>0</v>
      </c>
      <c r="U4097" s="64" t="n">
        <f aca="false">IF($K4097="Expected",$P4097,0)</f>
        <v>0</v>
      </c>
      <c r="V4097" s="64" t="n">
        <f aca="false">IF($K4097="Better",$P4097,0)</f>
        <v>0</v>
      </c>
      <c r="W4097" s="64" t="n">
        <f aca="false">IF($K4097="U – needs rule",$P4097,0)</f>
        <v>0</v>
      </c>
      <c r="X4097" s="64" t="n">
        <f aca="false">IF($K4097="No Start (attainment only)",$P4097,0)</f>
        <v>0</v>
      </c>
    </row>
    <row r="4098" customFormat="false" ht="15" hidden="false" customHeight="false" outlineLevel="0" collapsed="false">
      <c r="A4098" s="60"/>
      <c r="B4098" s="61" t="str">
        <f aca="false">IF($M4098=0,"",INDEX(Classes!$E$6:$E$420,$M4098))</f>
        <v/>
      </c>
      <c r="C4098" s="62" t="str">
        <f aca="false">IF($M4098=0,"",INDEX(Classes!$H$6:$H$420,$M4098))</f>
        <v/>
      </c>
      <c r="D4098" s="61" t="str">
        <f aca="false">IF($M4098=0,"",INDEX(Classes!$B$6:$B$420,$M4098))</f>
        <v/>
      </c>
      <c r="E4098" s="61" t="str">
        <f aca="false">IF($M4098=0,"",INDEX(Classes!$C$6:$C$420,$M4098))</f>
        <v/>
      </c>
      <c r="F4098" s="63"/>
      <c r="G4098" s="63"/>
      <c r="H4098" s="60"/>
      <c r="I4098" s="60"/>
      <c r="J4098" s="63"/>
      <c r="K4098" s="61" t="str">
        <f aca="false">IF($P4098=0,"",IF($F4098="Baseline","— Baseline",IF($O4098=0,"No result",IF($N4098=0,"No Start (attainment only)",IF(OR($N4098=1,$O4098=1),"U – needs rule",INDEX(MxBody,MATCH($I4098,MxCurr,0),MATCH($H4098,MxStart,0)))))))</f>
        <v/>
      </c>
      <c r="L4098" s="62" t="str">
        <f aca="false">IF(COUNTA($A4098,$F4098,$G4098,$H4098,$I4098,$J4098)=0,"",IF($M4098=0,"✖ كود الصف غير موجود",IF(ISNA(MATCH($F4098,Lists!$A$2:$A$5,0)),"✖ الفترة غير صحيحة",IF(ISNA(MATCH($G4098,Lists!$B$2:$B$7,0)),"✖ المجموعة غير صحيحة",IF(NOT(OR($H4098="",$N4098&gt;0)),"✖ Start غير صحيح",IF(NOT(OR($I4098="",$I4098="NR",$O4098&gt;0)),"✖ Current غير صحيح",IF(NOT(IF(ISNUMBER($J4098),AND($J4098&gt;=0,$J4098=INT($J4098)),FALSE())),"✖ العدد يجب أن يكون صحيحًا ≥ 0",IF(AND($F4098="Baseline",$H4098&lt;&gt;""),"⚠ Baseline: Start لا يدخل في التقدم",IF($K4098="No Start (attainment only)","ℹ تحصيل فقط (بدون Start)",IF($K4098="U – needs rule","ℹ حالة U تحتاج قاعدة معتمدة",IF($K4098="No result","ℹ بدون نتيجة (يُستبعد من التحصيل)","OK")))))))))))</f>
        <v/>
      </c>
      <c r="M4098" s="64" t="n">
        <f aca="false">IF($A4098="",0,IFERROR(MATCH($A4098,Classes!$A$6:$A$420,0),0))</f>
        <v>0</v>
      </c>
      <c r="N4098" s="64" t="n">
        <f aca="false">IF($H4098="",0,IFERROR(MATCH($H4098,GradeList,0),0))</f>
        <v>0</v>
      </c>
      <c r="O4098" s="64" t="n">
        <f aca="false">IF(OR($I4098="",$I4098="NR"),0,IFERROR(MATCH($I4098,GradeList,0),0))</f>
        <v>0</v>
      </c>
      <c r="P4098" s="64" t="n">
        <f aca="false">IF(AND($M4098&gt;0,ISNUMBER(MATCH($F4098,Lists!$A$2:$A$5,0)),ISNUMBER(MATCH($G4098,Lists!$B$2:$B$7,0)),OR($H4098="",$N4098&gt;0),OR($I4098="",$I4098="NR",$O4098&gt;0),IF(ISNUMBER($J4098),AND($J4098&gt;=0,$J4098=INT($J4098)),FALSE())),$J4098,0)</f>
        <v>0</v>
      </c>
      <c r="Q4098" s="64" t="n">
        <f aca="false">IF(AND($P4098&gt;0,$O4098&gt;0),$P4098,0)</f>
        <v>0</v>
      </c>
      <c r="R4098" s="64" t="n">
        <f aca="false">IF(AND($Q4098&gt;0,$O4098&gt;=AtRank),$Q4098,0)</f>
        <v>0</v>
      </c>
      <c r="S4098" s="64" t="n">
        <f aca="false">IF(AND($Q4098&gt;0,$O4098&gt;=AboveRank),$Q4098,0)</f>
        <v>0</v>
      </c>
      <c r="T4098" s="64" t="n">
        <f aca="false">IF($K4098="Less",$P4098,0)</f>
        <v>0</v>
      </c>
      <c r="U4098" s="64" t="n">
        <f aca="false">IF($K4098="Expected",$P4098,0)</f>
        <v>0</v>
      </c>
      <c r="V4098" s="64" t="n">
        <f aca="false">IF($K4098="Better",$P4098,0)</f>
        <v>0</v>
      </c>
      <c r="W4098" s="64" t="n">
        <f aca="false">IF($K4098="U – needs rule",$P4098,0)</f>
        <v>0</v>
      </c>
      <c r="X4098" s="64" t="n">
        <f aca="false">IF($K4098="No Start (attainment only)",$P4098,0)</f>
        <v>0</v>
      </c>
    </row>
    <row r="4099" customFormat="false" ht="15" hidden="false" customHeight="false" outlineLevel="0" collapsed="false">
      <c r="A4099" s="60"/>
      <c r="B4099" s="61" t="str">
        <f aca="false">IF($M4099=0,"",INDEX(Classes!$E$6:$E$420,$M4099))</f>
        <v/>
      </c>
      <c r="C4099" s="62" t="str">
        <f aca="false">IF($M4099=0,"",INDEX(Classes!$H$6:$H$420,$M4099))</f>
        <v/>
      </c>
      <c r="D4099" s="61" t="str">
        <f aca="false">IF($M4099=0,"",INDEX(Classes!$B$6:$B$420,$M4099))</f>
        <v/>
      </c>
      <c r="E4099" s="61" t="str">
        <f aca="false">IF($M4099=0,"",INDEX(Classes!$C$6:$C$420,$M4099))</f>
        <v/>
      </c>
      <c r="F4099" s="63"/>
      <c r="G4099" s="63"/>
      <c r="H4099" s="60"/>
      <c r="I4099" s="60"/>
      <c r="J4099" s="63"/>
      <c r="K4099" s="61" t="str">
        <f aca="false">IF($P4099=0,"",IF($F4099="Baseline","— Baseline",IF($O4099=0,"No result",IF($N4099=0,"No Start (attainment only)",IF(OR($N4099=1,$O4099=1),"U – needs rule",INDEX(MxBody,MATCH($I4099,MxCurr,0),MATCH($H4099,MxStart,0)))))))</f>
        <v/>
      </c>
      <c r="L4099" s="62" t="str">
        <f aca="false">IF(COUNTA($A4099,$F4099,$G4099,$H4099,$I4099,$J4099)=0,"",IF($M4099=0,"✖ كود الصف غير موجود",IF(ISNA(MATCH($F4099,Lists!$A$2:$A$5,0)),"✖ الفترة غير صحيحة",IF(ISNA(MATCH($G4099,Lists!$B$2:$B$7,0)),"✖ المجموعة غير صحيحة",IF(NOT(OR($H4099="",$N4099&gt;0)),"✖ Start غير صحيح",IF(NOT(OR($I4099="",$I4099="NR",$O4099&gt;0)),"✖ Current غير صحيح",IF(NOT(IF(ISNUMBER($J4099),AND($J4099&gt;=0,$J4099=INT($J4099)),FALSE())),"✖ العدد يجب أن يكون صحيحًا ≥ 0",IF(AND($F4099="Baseline",$H4099&lt;&gt;""),"⚠ Baseline: Start لا يدخل في التقدم",IF($K4099="No Start (attainment only)","ℹ تحصيل فقط (بدون Start)",IF($K4099="U – needs rule","ℹ حالة U تحتاج قاعدة معتمدة",IF($K4099="No result","ℹ بدون نتيجة (يُستبعد من التحصيل)","OK")))))))))))</f>
        <v/>
      </c>
      <c r="M4099" s="64" t="n">
        <f aca="false">IF($A4099="",0,IFERROR(MATCH($A4099,Classes!$A$6:$A$420,0),0))</f>
        <v>0</v>
      </c>
      <c r="N4099" s="64" t="n">
        <f aca="false">IF($H4099="",0,IFERROR(MATCH($H4099,GradeList,0),0))</f>
        <v>0</v>
      </c>
      <c r="O4099" s="64" t="n">
        <f aca="false">IF(OR($I4099="",$I4099="NR"),0,IFERROR(MATCH($I4099,GradeList,0),0))</f>
        <v>0</v>
      </c>
      <c r="P4099" s="64" t="n">
        <f aca="false">IF(AND($M4099&gt;0,ISNUMBER(MATCH($F4099,Lists!$A$2:$A$5,0)),ISNUMBER(MATCH($G4099,Lists!$B$2:$B$7,0)),OR($H4099="",$N4099&gt;0),OR($I4099="",$I4099="NR",$O4099&gt;0),IF(ISNUMBER($J4099),AND($J4099&gt;=0,$J4099=INT($J4099)),FALSE())),$J4099,0)</f>
        <v>0</v>
      </c>
      <c r="Q4099" s="64" t="n">
        <f aca="false">IF(AND($P4099&gt;0,$O4099&gt;0),$P4099,0)</f>
        <v>0</v>
      </c>
      <c r="R4099" s="64" t="n">
        <f aca="false">IF(AND($Q4099&gt;0,$O4099&gt;=AtRank),$Q4099,0)</f>
        <v>0</v>
      </c>
      <c r="S4099" s="64" t="n">
        <f aca="false">IF(AND($Q4099&gt;0,$O4099&gt;=AboveRank),$Q4099,0)</f>
        <v>0</v>
      </c>
      <c r="T4099" s="64" t="n">
        <f aca="false">IF($K4099="Less",$P4099,0)</f>
        <v>0</v>
      </c>
      <c r="U4099" s="64" t="n">
        <f aca="false">IF($K4099="Expected",$P4099,0)</f>
        <v>0</v>
      </c>
      <c r="V4099" s="64" t="n">
        <f aca="false">IF($K4099="Better",$P4099,0)</f>
        <v>0</v>
      </c>
      <c r="W4099" s="64" t="n">
        <f aca="false">IF($K4099="U – needs rule",$P4099,0)</f>
        <v>0</v>
      </c>
      <c r="X4099" s="64" t="n">
        <f aca="false">IF($K4099="No Start (attainment only)",$P4099,0)</f>
        <v>0</v>
      </c>
    </row>
    <row r="4100" customFormat="false" ht="15" hidden="false" customHeight="false" outlineLevel="0" collapsed="false">
      <c r="A4100" s="60"/>
      <c r="B4100" s="61" t="str">
        <f aca="false">IF($M4100=0,"",INDEX(Classes!$E$6:$E$420,$M4100))</f>
        <v/>
      </c>
      <c r="C4100" s="62" t="str">
        <f aca="false">IF($M4100=0,"",INDEX(Classes!$H$6:$H$420,$M4100))</f>
        <v/>
      </c>
      <c r="D4100" s="61" t="str">
        <f aca="false">IF($M4100=0,"",INDEX(Classes!$B$6:$B$420,$M4100))</f>
        <v/>
      </c>
      <c r="E4100" s="61" t="str">
        <f aca="false">IF($M4100=0,"",INDEX(Classes!$C$6:$C$420,$M4100))</f>
        <v/>
      </c>
      <c r="F4100" s="63"/>
      <c r="G4100" s="63"/>
      <c r="H4100" s="60"/>
      <c r="I4100" s="60"/>
      <c r="J4100" s="63"/>
      <c r="K4100" s="61" t="str">
        <f aca="false">IF($P4100=0,"",IF($F4100="Baseline","— Baseline",IF($O4100=0,"No result",IF($N4100=0,"No Start (attainment only)",IF(OR($N4100=1,$O4100=1),"U – needs rule",INDEX(MxBody,MATCH($I4100,MxCurr,0),MATCH($H4100,MxStart,0)))))))</f>
        <v/>
      </c>
      <c r="L4100" s="62" t="str">
        <f aca="false">IF(COUNTA($A4100,$F4100,$G4100,$H4100,$I4100,$J4100)=0,"",IF($M4100=0,"✖ كود الصف غير موجود",IF(ISNA(MATCH($F4100,Lists!$A$2:$A$5,0)),"✖ الفترة غير صحيحة",IF(ISNA(MATCH($G4100,Lists!$B$2:$B$7,0)),"✖ المجموعة غير صحيحة",IF(NOT(OR($H4100="",$N4100&gt;0)),"✖ Start غير صحيح",IF(NOT(OR($I4100="",$I4100="NR",$O4100&gt;0)),"✖ Current غير صحيح",IF(NOT(IF(ISNUMBER($J4100),AND($J4100&gt;=0,$J4100=INT($J4100)),FALSE())),"✖ العدد يجب أن يكون صحيحًا ≥ 0",IF(AND($F4100="Baseline",$H4100&lt;&gt;""),"⚠ Baseline: Start لا يدخل في التقدم",IF($K4100="No Start (attainment only)","ℹ تحصيل فقط (بدون Start)",IF($K4100="U – needs rule","ℹ حالة U تحتاج قاعدة معتمدة",IF($K4100="No result","ℹ بدون نتيجة (يُستبعد من التحصيل)","OK")))))))))))</f>
        <v/>
      </c>
      <c r="M4100" s="64" t="n">
        <f aca="false">IF($A4100="",0,IFERROR(MATCH($A4100,Classes!$A$6:$A$420,0),0))</f>
        <v>0</v>
      </c>
      <c r="N4100" s="64" t="n">
        <f aca="false">IF($H4100="",0,IFERROR(MATCH($H4100,GradeList,0),0))</f>
        <v>0</v>
      </c>
      <c r="O4100" s="64" t="n">
        <f aca="false">IF(OR($I4100="",$I4100="NR"),0,IFERROR(MATCH($I4100,GradeList,0),0))</f>
        <v>0</v>
      </c>
      <c r="P4100" s="64" t="n">
        <f aca="false">IF(AND($M4100&gt;0,ISNUMBER(MATCH($F4100,Lists!$A$2:$A$5,0)),ISNUMBER(MATCH($G4100,Lists!$B$2:$B$7,0)),OR($H4100="",$N4100&gt;0),OR($I4100="",$I4100="NR",$O4100&gt;0),IF(ISNUMBER($J4100),AND($J4100&gt;=0,$J4100=INT($J4100)),FALSE())),$J4100,0)</f>
        <v>0</v>
      </c>
      <c r="Q4100" s="64" t="n">
        <f aca="false">IF(AND($P4100&gt;0,$O4100&gt;0),$P4100,0)</f>
        <v>0</v>
      </c>
      <c r="R4100" s="64" t="n">
        <f aca="false">IF(AND($Q4100&gt;0,$O4100&gt;=AtRank),$Q4100,0)</f>
        <v>0</v>
      </c>
      <c r="S4100" s="64" t="n">
        <f aca="false">IF(AND($Q4100&gt;0,$O4100&gt;=AboveRank),$Q4100,0)</f>
        <v>0</v>
      </c>
      <c r="T4100" s="64" t="n">
        <f aca="false">IF($K4100="Less",$P4100,0)</f>
        <v>0</v>
      </c>
      <c r="U4100" s="64" t="n">
        <f aca="false">IF($K4100="Expected",$P4100,0)</f>
        <v>0</v>
      </c>
      <c r="V4100" s="64" t="n">
        <f aca="false">IF($K4100="Better",$P4100,0)</f>
        <v>0</v>
      </c>
      <c r="W4100" s="64" t="n">
        <f aca="false">IF($K4100="U – needs rule",$P4100,0)</f>
        <v>0</v>
      </c>
      <c r="X4100" s="64" t="n">
        <f aca="false">IF($K4100="No Start (attainment only)",$P4100,0)</f>
        <v>0</v>
      </c>
    </row>
    <row r="4101" customFormat="false" ht="15" hidden="false" customHeight="false" outlineLevel="0" collapsed="false">
      <c r="A4101" s="60"/>
      <c r="B4101" s="61" t="str">
        <f aca="false">IF($M4101=0,"",INDEX(Classes!$E$6:$E$420,$M4101))</f>
        <v/>
      </c>
      <c r="C4101" s="62" t="str">
        <f aca="false">IF($M4101=0,"",INDEX(Classes!$H$6:$H$420,$M4101))</f>
        <v/>
      </c>
      <c r="D4101" s="61" t="str">
        <f aca="false">IF($M4101=0,"",INDEX(Classes!$B$6:$B$420,$M4101))</f>
        <v/>
      </c>
      <c r="E4101" s="61" t="str">
        <f aca="false">IF($M4101=0,"",INDEX(Classes!$C$6:$C$420,$M4101))</f>
        <v/>
      </c>
      <c r="F4101" s="63"/>
      <c r="G4101" s="63"/>
      <c r="H4101" s="60"/>
      <c r="I4101" s="60"/>
      <c r="J4101" s="63"/>
      <c r="K4101" s="61" t="str">
        <f aca="false">IF($P4101=0,"",IF($F4101="Baseline","— Baseline",IF($O4101=0,"No result",IF($N4101=0,"No Start (attainment only)",IF(OR($N4101=1,$O4101=1),"U – needs rule",INDEX(MxBody,MATCH($I4101,MxCurr,0),MATCH($H4101,MxStart,0)))))))</f>
        <v/>
      </c>
      <c r="L4101" s="62" t="str">
        <f aca="false">IF(COUNTA($A4101,$F4101,$G4101,$H4101,$I4101,$J4101)=0,"",IF($M4101=0,"✖ كود الصف غير موجود",IF(ISNA(MATCH($F4101,Lists!$A$2:$A$5,0)),"✖ الفترة غير صحيحة",IF(ISNA(MATCH($G4101,Lists!$B$2:$B$7,0)),"✖ المجموعة غير صحيحة",IF(NOT(OR($H4101="",$N4101&gt;0)),"✖ Start غير صحيح",IF(NOT(OR($I4101="",$I4101="NR",$O4101&gt;0)),"✖ Current غير صحيح",IF(NOT(IF(ISNUMBER($J4101),AND($J4101&gt;=0,$J4101=INT($J4101)),FALSE())),"✖ العدد يجب أن يكون صحيحًا ≥ 0",IF(AND($F4101="Baseline",$H4101&lt;&gt;""),"⚠ Baseline: Start لا يدخل في التقدم",IF($K4101="No Start (attainment only)","ℹ تحصيل فقط (بدون Start)",IF($K4101="U – needs rule","ℹ حالة U تحتاج قاعدة معتمدة",IF($K4101="No result","ℹ بدون نتيجة (يُستبعد من التحصيل)","OK")))))))))))</f>
        <v/>
      </c>
      <c r="M4101" s="64" t="n">
        <f aca="false">IF($A4101="",0,IFERROR(MATCH($A4101,Classes!$A$6:$A$420,0),0))</f>
        <v>0</v>
      </c>
      <c r="N4101" s="64" t="n">
        <f aca="false">IF($H4101="",0,IFERROR(MATCH($H4101,GradeList,0),0))</f>
        <v>0</v>
      </c>
      <c r="O4101" s="64" t="n">
        <f aca="false">IF(OR($I4101="",$I4101="NR"),0,IFERROR(MATCH($I4101,GradeList,0),0))</f>
        <v>0</v>
      </c>
      <c r="P4101" s="64" t="n">
        <f aca="false">IF(AND($M4101&gt;0,ISNUMBER(MATCH($F4101,Lists!$A$2:$A$5,0)),ISNUMBER(MATCH($G4101,Lists!$B$2:$B$7,0)),OR($H4101="",$N4101&gt;0),OR($I4101="",$I4101="NR",$O4101&gt;0),IF(ISNUMBER($J4101),AND($J4101&gt;=0,$J4101=INT($J4101)),FALSE())),$J4101,0)</f>
        <v>0</v>
      </c>
      <c r="Q4101" s="64" t="n">
        <f aca="false">IF(AND($P4101&gt;0,$O4101&gt;0),$P4101,0)</f>
        <v>0</v>
      </c>
      <c r="R4101" s="64" t="n">
        <f aca="false">IF(AND($Q4101&gt;0,$O4101&gt;=AtRank),$Q4101,0)</f>
        <v>0</v>
      </c>
      <c r="S4101" s="64" t="n">
        <f aca="false">IF(AND($Q4101&gt;0,$O4101&gt;=AboveRank),$Q4101,0)</f>
        <v>0</v>
      </c>
      <c r="T4101" s="64" t="n">
        <f aca="false">IF($K4101="Less",$P4101,0)</f>
        <v>0</v>
      </c>
      <c r="U4101" s="64" t="n">
        <f aca="false">IF($K4101="Expected",$P4101,0)</f>
        <v>0</v>
      </c>
      <c r="V4101" s="64" t="n">
        <f aca="false">IF($K4101="Better",$P4101,0)</f>
        <v>0</v>
      </c>
      <c r="W4101" s="64" t="n">
        <f aca="false">IF($K4101="U – needs rule",$P4101,0)</f>
        <v>0</v>
      </c>
      <c r="X4101" s="64" t="n">
        <f aca="false">IF($K4101="No Start (attainment only)",$P4101,0)</f>
        <v>0</v>
      </c>
    </row>
    <row r="4102" customFormat="false" ht="15" hidden="false" customHeight="false" outlineLevel="0" collapsed="false">
      <c r="A4102" s="60"/>
      <c r="B4102" s="61" t="str">
        <f aca="false">IF($M4102=0,"",INDEX(Classes!$E$6:$E$420,$M4102))</f>
        <v/>
      </c>
      <c r="C4102" s="62" t="str">
        <f aca="false">IF($M4102=0,"",INDEX(Classes!$H$6:$H$420,$M4102))</f>
        <v/>
      </c>
      <c r="D4102" s="61" t="str">
        <f aca="false">IF($M4102=0,"",INDEX(Classes!$B$6:$B$420,$M4102))</f>
        <v/>
      </c>
      <c r="E4102" s="61" t="str">
        <f aca="false">IF($M4102=0,"",INDEX(Classes!$C$6:$C$420,$M4102))</f>
        <v/>
      </c>
      <c r="F4102" s="63"/>
      <c r="G4102" s="63"/>
      <c r="H4102" s="60"/>
      <c r="I4102" s="60"/>
      <c r="J4102" s="63"/>
      <c r="K4102" s="61" t="str">
        <f aca="false">IF($P4102=0,"",IF($F4102="Baseline","— Baseline",IF($O4102=0,"No result",IF($N4102=0,"No Start (attainment only)",IF(OR($N4102=1,$O4102=1),"U – needs rule",INDEX(MxBody,MATCH($I4102,MxCurr,0),MATCH($H4102,MxStart,0)))))))</f>
        <v/>
      </c>
      <c r="L4102" s="62" t="str">
        <f aca="false">IF(COUNTA($A4102,$F4102,$G4102,$H4102,$I4102,$J4102)=0,"",IF($M4102=0,"✖ كود الصف غير موجود",IF(ISNA(MATCH($F4102,Lists!$A$2:$A$5,0)),"✖ الفترة غير صحيحة",IF(ISNA(MATCH($G4102,Lists!$B$2:$B$7,0)),"✖ المجموعة غير صحيحة",IF(NOT(OR($H4102="",$N4102&gt;0)),"✖ Start غير صحيح",IF(NOT(OR($I4102="",$I4102="NR",$O4102&gt;0)),"✖ Current غير صحيح",IF(NOT(IF(ISNUMBER($J4102),AND($J4102&gt;=0,$J4102=INT($J4102)),FALSE())),"✖ العدد يجب أن يكون صحيحًا ≥ 0",IF(AND($F4102="Baseline",$H4102&lt;&gt;""),"⚠ Baseline: Start لا يدخل في التقدم",IF($K4102="No Start (attainment only)","ℹ تحصيل فقط (بدون Start)",IF($K4102="U – needs rule","ℹ حالة U تحتاج قاعدة معتمدة",IF($K4102="No result","ℹ بدون نتيجة (يُستبعد من التحصيل)","OK")))))))))))</f>
        <v/>
      </c>
      <c r="M4102" s="64" t="n">
        <f aca="false">IF($A4102="",0,IFERROR(MATCH($A4102,Classes!$A$6:$A$420,0),0))</f>
        <v>0</v>
      </c>
      <c r="N4102" s="64" t="n">
        <f aca="false">IF($H4102="",0,IFERROR(MATCH($H4102,GradeList,0),0))</f>
        <v>0</v>
      </c>
      <c r="O4102" s="64" t="n">
        <f aca="false">IF(OR($I4102="",$I4102="NR"),0,IFERROR(MATCH($I4102,GradeList,0),0))</f>
        <v>0</v>
      </c>
      <c r="P4102" s="64" t="n">
        <f aca="false">IF(AND($M4102&gt;0,ISNUMBER(MATCH($F4102,Lists!$A$2:$A$5,0)),ISNUMBER(MATCH($G4102,Lists!$B$2:$B$7,0)),OR($H4102="",$N4102&gt;0),OR($I4102="",$I4102="NR",$O4102&gt;0),IF(ISNUMBER($J4102),AND($J4102&gt;=0,$J4102=INT($J4102)),FALSE())),$J4102,0)</f>
        <v>0</v>
      </c>
      <c r="Q4102" s="64" t="n">
        <f aca="false">IF(AND($P4102&gt;0,$O4102&gt;0),$P4102,0)</f>
        <v>0</v>
      </c>
      <c r="R4102" s="64" t="n">
        <f aca="false">IF(AND($Q4102&gt;0,$O4102&gt;=AtRank),$Q4102,0)</f>
        <v>0</v>
      </c>
      <c r="S4102" s="64" t="n">
        <f aca="false">IF(AND($Q4102&gt;0,$O4102&gt;=AboveRank),$Q4102,0)</f>
        <v>0</v>
      </c>
      <c r="T4102" s="64" t="n">
        <f aca="false">IF($K4102="Less",$P4102,0)</f>
        <v>0</v>
      </c>
      <c r="U4102" s="64" t="n">
        <f aca="false">IF($K4102="Expected",$P4102,0)</f>
        <v>0</v>
      </c>
      <c r="V4102" s="64" t="n">
        <f aca="false">IF($K4102="Better",$P4102,0)</f>
        <v>0</v>
      </c>
      <c r="W4102" s="64" t="n">
        <f aca="false">IF($K4102="U – needs rule",$P4102,0)</f>
        <v>0</v>
      </c>
      <c r="X4102" s="64" t="n">
        <f aca="false">IF($K4102="No Start (attainment only)",$P4102,0)</f>
        <v>0</v>
      </c>
    </row>
    <row r="4103" customFormat="false" ht="15" hidden="false" customHeight="false" outlineLevel="0" collapsed="false">
      <c r="A4103" s="60"/>
      <c r="B4103" s="61" t="str">
        <f aca="false">IF($M4103=0,"",INDEX(Classes!$E$6:$E$420,$M4103))</f>
        <v/>
      </c>
      <c r="C4103" s="62" t="str">
        <f aca="false">IF($M4103=0,"",INDEX(Classes!$H$6:$H$420,$M4103))</f>
        <v/>
      </c>
      <c r="D4103" s="61" t="str">
        <f aca="false">IF($M4103=0,"",INDEX(Classes!$B$6:$B$420,$M4103))</f>
        <v/>
      </c>
      <c r="E4103" s="61" t="str">
        <f aca="false">IF($M4103=0,"",INDEX(Classes!$C$6:$C$420,$M4103))</f>
        <v/>
      </c>
      <c r="F4103" s="63"/>
      <c r="G4103" s="63"/>
      <c r="H4103" s="60"/>
      <c r="I4103" s="60"/>
      <c r="J4103" s="63"/>
      <c r="K4103" s="61" t="str">
        <f aca="false">IF($P4103=0,"",IF($F4103="Baseline","— Baseline",IF($O4103=0,"No result",IF($N4103=0,"No Start (attainment only)",IF(OR($N4103=1,$O4103=1),"U – needs rule",INDEX(MxBody,MATCH($I4103,MxCurr,0),MATCH($H4103,MxStart,0)))))))</f>
        <v/>
      </c>
      <c r="L4103" s="62" t="str">
        <f aca="false">IF(COUNTA($A4103,$F4103,$G4103,$H4103,$I4103,$J4103)=0,"",IF($M4103=0,"✖ كود الصف غير موجود",IF(ISNA(MATCH($F4103,Lists!$A$2:$A$5,0)),"✖ الفترة غير صحيحة",IF(ISNA(MATCH($G4103,Lists!$B$2:$B$7,0)),"✖ المجموعة غير صحيحة",IF(NOT(OR($H4103="",$N4103&gt;0)),"✖ Start غير صحيح",IF(NOT(OR($I4103="",$I4103="NR",$O4103&gt;0)),"✖ Current غير صحيح",IF(NOT(IF(ISNUMBER($J4103),AND($J4103&gt;=0,$J4103=INT($J4103)),FALSE())),"✖ العدد يجب أن يكون صحيحًا ≥ 0",IF(AND($F4103="Baseline",$H4103&lt;&gt;""),"⚠ Baseline: Start لا يدخل في التقدم",IF($K4103="No Start (attainment only)","ℹ تحصيل فقط (بدون Start)",IF($K4103="U – needs rule","ℹ حالة U تحتاج قاعدة معتمدة",IF($K4103="No result","ℹ بدون نتيجة (يُستبعد من التحصيل)","OK")))))))))))</f>
        <v/>
      </c>
      <c r="M4103" s="64" t="n">
        <f aca="false">IF($A4103="",0,IFERROR(MATCH($A4103,Classes!$A$6:$A$420,0),0))</f>
        <v>0</v>
      </c>
      <c r="N4103" s="64" t="n">
        <f aca="false">IF($H4103="",0,IFERROR(MATCH($H4103,GradeList,0),0))</f>
        <v>0</v>
      </c>
      <c r="O4103" s="64" t="n">
        <f aca="false">IF(OR($I4103="",$I4103="NR"),0,IFERROR(MATCH($I4103,GradeList,0),0))</f>
        <v>0</v>
      </c>
      <c r="P4103" s="64" t="n">
        <f aca="false">IF(AND($M4103&gt;0,ISNUMBER(MATCH($F4103,Lists!$A$2:$A$5,0)),ISNUMBER(MATCH($G4103,Lists!$B$2:$B$7,0)),OR($H4103="",$N4103&gt;0),OR($I4103="",$I4103="NR",$O4103&gt;0),IF(ISNUMBER($J4103),AND($J4103&gt;=0,$J4103=INT($J4103)),FALSE())),$J4103,0)</f>
        <v>0</v>
      </c>
      <c r="Q4103" s="64" t="n">
        <f aca="false">IF(AND($P4103&gt;0,$O4103&gt;0),$P4103,0)</f>
        <v>0</v>
      </c>
      <c r="R4103" s="64" t="n">
        <f aca="false">IF(AND($Q4103&gt;0,$O4103&gt;=AtRank),$Q4103,0)</f>
        <v>0</v>
      </c>
      <c r="S4103" s="64" t="n">
        <f aca="false">IF(AND($Q4103&gt;0,$O4103&gt;=AboveRank),$Q4103,0)</f>
        <v>0</v>
      </c>
      <c r="T4103" s="64" t="n">
        <f aca="false">IF($K4103="Less",$P4103,0)</f>
        <v>0</v>
      </c>
      <c r="U4103" s="64" t="n">
        <f aca="false">IF($K4103="Expected",$P4103,0)</f>
        <v>0</v>
      </c>
      <c r="V4103" s="64" t="n">
        <f aca="false">IF($K4103="Better",$P4103,0)</f>
        <v>0</v>
      </c>
      <c r="W4103" s="64" t="n">
        <f aca="false">IF($K4103="U – needs rule",$P4103,0)</f>
        <v>0</v>
      </c>
      <c r="X4103" s="64" t="n">
        <f aca="false">IF($K4103="No Start (attainment only)",$P4103,0)</f>
        <v>0</v>
      </c>
    </row>
    <row r="4104" customFormat="false" ht="15" hidden="false" customHeight="false" outlineLevel="0" collapsed="false">
      <c r="A4104" s="60"/>
      <c r="B4104" s="61" t="str">
        <f aca="false">IF($M4104=0,"",INDEX(Classes!$E$6:$E$420,$M4104))</f>
        <v/>
      </c>
      <c r="C4104" s="62" t="str">
        <f aca="false">IF($M4104=0,"",INDEX(Classes!$H$6:$H$420,$M4104))</f>
        <v/>
      </c>
      <c r="D4104" s="61" t="str">
        <f aca="false">IF($M4104=0,"",INDEX(Classes!$B$6:$B$420,$M4104))</f>
        <v/>
      </c>
      <c r="E4104" s="61" t="str">
        <f aca="false">IF($M4104=0,"",INDEX(Classes!$C$6:$C$420,$M4104))</f>
        <v/>
      </c>
      <c r="F4104" s="63"/>
      <c r="G4104" s="63"/>
      <c r="H4104" s="60"/>
      <c r="I4104" s="60"/>
      <c r="J4104" s="63"/>
      <c r="K4104" s="61" t="str">
        <f aca="false">IF($P4104=0,"",IF($F4104="Baseline","— Baseline",IF($O4104=0,"No result",IF($N4104=0,"No Start (attainment only)",IF(OR($N4104=1,$O4104=1),"U – needs rule",INDEX(MxBody,MATCH($I4104,MxCurr,0),MATCH($H4104,MxStart,0)))))))</f>
        <v/>
      </c>
      <c r="L4104" s="62" t="str">
        <f aca="false">IF(COUNTA($A4104,$F4104,$G4104,$H4104,$I4104,$J4104)=0,"",IF($M4104=0,"✖ كود الصف غير موجود",IF(ISNA(MATCH($F4104,Lists!$A$2:$A$5,0)),"✖ الفترة غير صحيحة",IF(ISNA(MATCH($G4104,Lists!$B$2:$B$7,0)),"✖ المجموعة غير صحيحة",IF(NOT(OR($H4104="",$N4104&gt;0)),"✖ Start غير صحيح",IF(NOT(OR($I4104="",$I4104="NR",$O4104&gt;0)),"✖ Current غير صحيح",IF(NOT(IF(ISNUMBER($J4104),AND($J4104&gt;=0,$J4104=INT($J4104)),FALSE())),"✖ العدد يجب أن يكون صحيحًا ≥ 0",IF(AND($F4104="Baseline",$H4104&lt;&gt;""),"⚠ Baseline: Start لا يدخل في التقدم",IF($K4104="No Start (attainment only)","ℹ تحصيل فقط (بدون Start)",IF($K4104="U – needs rule","ℹ حالة U تحتاج قاعدة معتمدة",IF($K4104="No result","ℹ بدون نتيجة (يُستبعد من التحصيل)","OK")))))))))))</f>
        <v/>
      </c>
      <c r="M4104" s="64" t="n">
        <f aca="false">IF($A4104="",0,IFERROR(MATCH($A4104,Classes!$A$6:$A$420,0),0))</f>
        <v>0</v>
      </c>
      <c r="N4104" s="64" t="n">
        <f aca="false">IF($H4104="",0,IFERROR(MATCH($H4104,GradeList,0),0))</f>
        <v>0</v>
      </c>
      <c r="O4104" s="64" t="n">
        <f aca="false">IF(OR($I4104="",$I4104="NR"),0,IFERROR(MATCH($I4104,GradeList,0),0))</f>
        <v>0</v>
      </c>
      <c r="P4104" s="64" t="n">
        <f aca="false">IF(AND($M4104&gt;0,ISNUMBER(MATCH($F4104,Lists!$A$2:$A$5,0)),ISNUMBER(MATCH($G4104,Lists!$B$2:$B$7,0)),OR($H4104="",$N4104&gt;0),OR($I4104="",$I4104="NR",$O4104&gt;0),IF(ISNUMBER($J4104),AND($J4104&gt;=0,$J4104=INT($J4104)),FALSE())),$J4104,0)</f>
        <v>0</v>
      </c>
      <c r="Q4104" s="64" t="n">
        <f aca="false">IF(AND($P4104&gt;0,$O4104&gt;0),$P4104,0)</f>
        <v>0</v>
      </c>
      <c r="R4104" s="64" t="n">
        <f aca="false">IF(AND($Q4104&gt;0,$O4104&gt;=AtRank),$Q4104,0)</f>
        <v>0</v>
      </c>
      <c r="S4104" s="64" t="n">
        <f aca="false">IF(AND($Q4104&gt;0,$O4104&gt;=AboveRank),$Q4104,0)</f>
        <v>0</v>
      </c>
      <c r="T4104" s="64" t="n">
        <f aca="false">IF($K4104="Less",$P4104,0)</f>
        <v>0</v>
      </c>
      <c r="U4104" s="64" t="n">
        <f aca="false">IF($K4104="Expected",$P4104,0)</f>
        <v>0</v>
      </c>
      <c r="V4104" s="64" t="n">
        <f aca="false">IF($K4104="Better",$P4104,0)</f>
        <v>0</v>
      </c>
      <c r="W4104" s="64" t="n">
        <f aca="false">IF($K4104="U – needs rule",$P4104,0)</f>
        <v>0</v>
      </c>
      <c r="X4104" s="64" t="n">
        <f aca="false">IF($K4104="No Start (attainment only)",$P4104,0)</f>
        <v>0</v>
      </c>
    </row>
    <row r="4105" customFormat="false" ht="15" hidden="false" customHeight="false" outlineLevel="0" collapsed="false">
      <c r="A4105" s="60"/>
      <c r="B4105" s="61" t="str">
        <f aca="false">IF($M4105=0,"",INDEX(Classes!$E$6:$E$420,$M4105))</f>
        <v/>
      </c>
      <c r="C4105" s="62" t="str">
        <f aca="false">IF($M4105=0,"",INDEX(Classes!$H$6:$H$420,$M4105))</f>
        <v/>
      </c>
      <c r="D4105" s="61" t="str">
        <f aca="false">IF($M4105=0,"",INDEX(Classes!$B$6:$B$420,$M4105))</f>
        <v/>
      </c>
      <c r="E4105" s="61" t="str">
        <f aca="false">IF($M4105=0,"",INDEX(Classes!$C$6:$C$420,$M4105))</f>
        <v/>
      </c>
      <c r="F4105" s="63"/>
      <c r="G4105" s="63"/>
      <c r="H4105" s="60"/>
      <c r="I4105" s="60"/>
      <c r="J4105" s="63"/>
      <c r="K4105" s="61" t="str">
        <f aca="false">IF($P4105=0,"",IF($F4105="Baseline","— Baseline",IF($O4105=0,"No result",IF($N4105=0,"No Start (attainment only)",IF(OR($N4105=1,$O4105=1),"U – needs rule",INDEX(MxBody,MATCH($I4105,MxCurr,0),MATCH($H4105,MxStart,0)))))))</f>
        <v/>
      </c>
      <c r="L4105" s="62" t="str">
        <f aca="false">IF(COUNTA($A4105,$F4105,$G4105,$H4105,$I4105,$J4105)=0,"",IF($M4105=0,"✖ كود الصف غير موجود",IF(ISNA(MATCH($F4105,Lists!$A$2:$A$5,0)),"✖ الفترة غير صحيحة",IF(ISNA(MATCH($G4105,Lists!$B$2:$B$7,0)),"✖ المجموعة غير صحيحة",IF(NOT(OR($H4105="",$N4105&gt;0)),"✖ Start غير صحيح",IF(NOT(OR($I4105="",$I4105="NR",$O4105&gt;0)),"✖ Current غير صحيح",IF(NOT(IF(ISNUMBER($J4105),AND($J4105&gt;=0,$J4105=INT($J4105)),FALSE())),"✖ العدد يجب أن يكون صحيحًا ≥ 0",IF(AND($F4105="Baseline",$H4105&lt;&gt;""),"⚠ Baseline: Start لا يدخل في التقدم",IF($K4105="No Start (attainment only)","ℹ تحصيل فقط (بدون Start)",IF($K4105="U – needs rule","ℹ حالة U تحتاج قاعدة معتمدة",IF($K4105="No result","ℹ بدون نتيجة (يُستبعد من التحصيل)","OK")))))))))))</f>
        <v/>
      </c>
      <c r="M4105" s="64" t="n">
        <f aca="false">IF($A4105="",0,IFERROR(MATCH($A4105,Classes!$A$6:$A$420,0),0))</f>
        <v>0</v>
      </c>
      <c r="N4105" s="64" t="n">
        <f aca="false">IF($H4105="",0,IFERROR(MATCH($H4105,GradeList,0),0))</f>
        <v>0</v>
      </c>
      <c r="O4105" s="64" t="n">
        <f aca="false">IF(OR($I4105="",$I4105="NR"),0,IFERROR(MATCH($I4105,GradeList,0),0))</f>
        <v>0</v>
      </c>
      <c r="P4105" s="64" t="n">
        <f aca="false">IF(AND($M4105&gt;0,ISNUMBER(MATCH($F4105,Lists!$A$2:$A$5,0)),ISNUMBER(MATCH($G4105,Lists!$B$2:$B$7,0)),OR($H4105="",$N4105&gt;0),OR($I4105="",$I4105="NR",$O4105&gt;0),IF(ISNUMBER($J4105),AND($J4105&gt;=0,$J4105=INT($J4105)),FALSE())),$J4105,0)</f>
        <v>0</v>
      </c>
      <c r="Q4105" s="64" t="n">
        <f aca="false">IF(AND($P4105&gt;0,$O4105&gt;0),$P4105,0)</f>
        <v>0</v>
      </c>
      <c r="R4105" s="64" t="n">
        <f aca="false">IF(AND($Q4105&gt;0,$O4105&gt;=AtRank),$Q4105,0)</f>
        <v>0</v>
      </c>
      <c r="S4105" s="64" t="n">
        <f aca="false">IF(AND($Q4105&gt;0,$O4105&gt;=AboveRank),$Q4105,0)</f>
        <v>0</v>
      </c>
      <c r="T4105" s="64" t="n">
        <f aca="false">IF($K4105="Less",$P4105,0)</f>
        <v>0</v>
      </c>
      <c r="U4105" s="64" t="n">
        <f aca="false">IF($K4105="Expected",$P4105,0)</f>
        <v>0</v>
      </c>
      <c r="V4105" s="64" t="n">
        <f aca="false">IF($K4105="Better",$P4105,0)</f>
        <v>0</v>
      </c>
      <c r="W4105" s="64" t="n">
        <f aca="false">IF($K4105="U – needs rule",$P4105,0)</f>
        <v>0</v>
      </c>
      <c r="X4105" s="64" t="n">
        <f aca="false">IF($K4105="No Start (attainment only)",$P4105,0)</f>
        <v>0</v>
      </c>
    </row>
    <row r="4106" customFormat="false" ht="15" hidden="false" customHeight="false" outlineLevel="0" collapsed="false">
      <c r="A4106" s="60"/>
      <c r="B4106" s="61" t="str">
        <f aca="false">IF($M4106=0,"",INDEX(Classes!$E$6:$E$420,$M4106))</f>
        <v/>
      </c>
      <c r="C4106" s="62" t="str">
        <f aca="false">IF($M4106=0,"",INDEX(Classes!$H$6:$H$420,$M4106))</f>
        <v/>
      </c>
      <c r="D4106" s="61" t="str">
        <f aca="false">IF($M4106=0,"",INDEX(Classes!$B$6:$B$420,$M4106))</f>
        <v/>
      </c>
      <c r="E4106" s="61" t="str">
        <f aca="false">IF($M4106=0,"",INDEX(Classes!$C$6:$C$420,$M4106))</f>
        <v/>
      </c>
      <c r="F4106" s="63"/>
      <c r="G4106" s="63"/>
      <c r="H4106" s="60"/>
      <c r="I4106" s="60"/>
      <c r="J4106" s="63"/>
      <c r="K4106" s="61" t="str">
        <f aca="false">IF($P4106=0,"",IF($F4106="Baseline","— Baseline",IF($O4106=0,"No result",IF($N4106=0,"No Start (attainment only)",IF(OR($N4106=1,$O4106=1),"U – needs rule",INDEX(MxBody,MATCH($I4106,MxCurr,0),MATCH($H4106,MxStart,0)))))))</f>
        <v/>
      </c>
      <c r="L4106" s="62" t="str">
        <f aca="false">IF(COUNTA($A4106,$F4106,$G4106,$H4106,$I4106,$J4106)=0,"",IF($M4106=0,"✖ كود الصف غير موجود",IF(ISNA(MATCH($F4106,Lists!$A$2:$A$5,0)),"✖ الفترة غير صحيحة",IF(ISNA(MATCH($G4106,Lists!$B$2:$B$7,0)),"✖ المجموعة غير صحيحة",IF(NOT(OR($H4106="",$N4106&gt;0)),"✖ Start غير صحيح",IF(NOT(OR($I4106="",$I4106="NR",$O4106&gt;0)),"✖ Current غير صحيح",IF(NOT(IF(ISNUMBER($J4106),AND($J4106&gt;=0,$J4106=INT($J4106)),FALSE())),"✖ العدد يجب أن يكون صحيحًا ≥ 0",IF(AND($F4106="Baseline",$H4106&lt;&gt;""),"⚠ Baseline: Start لا يدخل في التقدم",IF($K4106="No Start (attainment only)","ℹ تحصيل فقط (بدون Start)",IF($K4106="U – needs rule","ℹ حالة U تحتاج قاعدة معتمدة",IF($K4106="No result","ℹ بدون نتيجة (يُستبعد من التحصيل)","OK")))))))))))</f>
        <v/>
      </c>
      <c r="M4106" s="64" t="n">
        <f aca="false">IF($A4106="",0,IFERROR(MATCH($A4106,Classes!$A$6:$A$420,0),0))</f>
        <v>0</v>
      </c>
      <c r="N4106" s="64" t="n">
        <f aca="false">IF($H4106="",0,IFERROR(MATCH($H4106,GradeList,0),0))</f>
        <v>0</v>
      </c>
      <c r="O4106" s="64" t="n">
        <f aca="false">IF(OR($I4106="",$I4106="NR"),0,IFERROR(MATCH($I4106,GradeList,0),0))</f>
        <v>0</v>
      </c>
      <c r="P4106" s="64" t="n">
        <f aca="false">IF(AND($M4106&gt;0,ISNUMBER(MATCH($F4106,Lists!$A$2:$A$5,0)),ISNUMBER(MATCH($G4106,Lists!$B$2:$B$7,0)),OR($H4106="",$N4106&gt;0),OR($I4106="",$I4106="NR",$O4106&gt;0),IF(ISNUMBER($J4106),AND($J4106&gt;=0,$J4106=INT($J4106)),FALSE())),$J4106,0)</f>
        <v>0</v>
      </c>
      <c r="Q4106" s="64" t="n">
        <f aca="false">IF(AND($P4106&gt;0,$O4106&gt;0),$P4106,0)</f>
        <v>0</v>
      </c>
      <c r="R4106" s="64" t="n">
        <f aca="false">IF(AND($Q4106&gt;0,$O4106&gt;=AtRank),$Q4106,0)</f>
        <v>0</v>
      </c>
      <c r="S4106" s="64" t="n">
        <f aca="false">IF(AND($Q4106&gt;0,$O4106&gt;=AboveRank),$Q4106,0)</f>
        <v>0</v>
      </c>
      <c r="T4106" s="64" t="n">
        <f aca="false">IF($K4106="Less",$P4106,0)</f>
        <v>0</v>
      </c>
      <c r="U4106" s="64" t="n">
        <f aca="false">IF($K4106="Expected",$P4106,0)</f>
        <v>0</v>
      </c>
      <c r="V4106" s="64" t="n">
        <f aca="false">IF($K4106="Better",$P4106,0)</f>
        <v>0</v>
      </c>
      <c r="W4106" s="64" t="n">
        <f aca="false">IF($K4106="U – needs rule",$P4106,0)</f>
        <v>0</v>
      </c>
      <c r="X4106" s="64" t="n">
        <f aca="false">IF($K4106="No Start (attainment only)",$P4106,0)</f>
        <v>0</v>
      </c>
    </row>
    <row r="4107" customFormat="false" ht="15" hidden="false" customHeight="false" outlineLevel="0" collapsed="false">
      <c r="A4107" s="60"/>
      <c r="B4107" s="61" t="str">
        <f aca="false">IF($M4107=0,"",INDEX(Classes!$E$6:$E$420,$M4107))</f>
        <v/>
      </c>
      <c r="C4107" s="62" t="str">
        <f aca="false">IF($M4107=0,"",INDEX(Classes!$H$6:$H$420,$M4107))</f>
        <v/>
      </c>
      <c r="D4107" s="61" t="str">
        <f aca="false">IF($M4107=0,"",INDEX(Classes!$B$6:$B$420,$M4107))</f>
        <v/>
      </c>
      <c r="E4107" s="61" t="str">
        <f aca="false">IF($M4107=0,"",INDEX(Classes!$C$6:$C$420,$M4107))</f>
        <v/>
      </c>
      <c r="F4107" s="63"/>
      <c r="G4107" s="63"/>
      <c r="H4107" s="60"/>
      <c r="I4107" s="60"/>
      <c r="J4107" s="63"/>
      <c r="K4107" s="61" t="str">
        <f aca="false">IF($P4107=0,"",IF($F4107="Baseline","— Baseline",IF($O4107=0,"No result",IF($N4107=0,"No Start (attainment only)",IF(OR($N4107=1,$O4107=1),"U – needs rule",INDEX(MxBody,MATCH($I4107,MxCurr,0),MATCH($H4107,MxStart,0)))))))</f>
        <v/>
      </c>
      <c r="L4107" s="62" t="str">
        <f aca="false">IF(COUNTA($A4107,$F4107,$G4107,$H4107,$I4107,$J4107)=0,"",IF($M4107=0,"✖ كود الصف غير موجود",IF(ISNA(MATCH($F4107,Lists!$A$2:$A$5,0)),"✖ الفترة غير صحيحة",IF(ISNA(MATCH($G4107,Lists!$B$2:$B$7,0)),"✖ المجموعة غير صحيحة",IF(NOT(OR($H4107="",$N4107&gt;0)),"✖ Start غير صحيح",IF(NOT(OR($I4107="",$I4107="NR",$O4107&gt;0)),"✖ Current غير صحيح",IF(NOT(IF(ISNUMBER($J4107),AND($J4107&gt;=0,$J4107=INT($J4107)),FALSE())),"✖ العدد يجب أن يكون صحيحًا ≥ 0",IF(AND($F4107="Baseline",$H4107&lt;&gt;""),"⚠ Baseline: Start لا يدخل في التقدم",IF($K4107="No Start (attainment only)","ℹ تحصيل فقط (بدون Start)",IF($K4107="U – needs rule","ℹ حالة U تحتاج قاعدة معتمدة",IF($K4107="No result","ℹ بدون نتيجة (يُستبعد من التحصيل)","OK")))))))))))</f>
        <v/>
      </c>
      <c r="M4107" s="64" t="n">
        <f aca="false">IF($A4107="",0,IFERROR(MATCH($A4107,Classes!$A$6:$A$420,0),0))</f>
        <v>0</v>
      </c>
      <c r="N4107" s="64" t="n">
        <f aca="false">IF($H4107="",0,IFERROR(MATCH($H4107,GradeList,0),0))</f>
        <v>0</v>
      </c>
      <c r="O4107" s="64" t="n">
        <f aca="false">IF(OR($I4107="",$I4107="NR"),0,IFERROR(MATCH($I4107,GradeList,0),0))</f>
        <v>0</v>
      </c>
      <c r="P4107" s="64" t="n">
        <f aca="false">IF(AND($M4107&gt;0,ISNUMBER(MATCH($F4107,Lists!$A$2:$A$5,0)),ISNUMBER(MATCH($G4107,Lists!$B$2:$B$7,0)),OR($H4107="",$N4107&gt;0),OR($I4107="",$I4107="NR",$O4107&gt;0),IF(ISNUMBER($J4107),AND($J4107&gt;=0,$J4107=INT($J4107)),FALSE())),$J4107,0)</f>
        <v>0</v>
      </c>
      <c r="Q4107" s="64" t="n">
        <f aca="false">IF(AND($P4107&gt;0,$O4107&gt;0),$P4107,0)</f>
        <v>0</v>
      </c>
      <c r="R4107" s="64" t="n">
        <f aca="false">IF(AND($Q4107&gt;0,$O4107&gt;=AtRank),$Q4107,0)</f>
        <v>0</v>
      </c>
      <c r="S4107" s="64" t="n">
        <f aca="false">IF(AND($Q4107&gt;0,$O4107&gt;=AboveRank),$Q4107,0)</f>
        <v>0</v>
      </c>
      <c r="T4107" s="64" t="n">
        <f aca="false">IF($K4107="Less",$P4107,0)</f>
        <v>0</v>
      </c>
      <c r="U4107" s="64" t="n">
        <f aca="false">IF($K4107="Expected",$P4107,0)</f>
        <v>0</v>
      </c>
      <c r="V4107" s="64" t="n">
        <f aca="false">IF($K4107="Better",$P4107,0)</f>
        <v>0</v>
      </c>
      <c r="W4107" s="64" t="n">
        <f aca="false">IF($K4107="U – needs rule",$P4107,0)</f>
        <v>0</v>
      </c>
      <c r="X4107" s="64" t="n">
        <f aca="false">IF($K4107="No Start (attainment only)",$P4107,0)</f>
        <v>0</v>
      </c>
    </row>
    <row r="4108" customFormat="false" ht="15" hidden="false" customHeight="false" outlineLevel="0" collapsed="false">
      <c r="A4108" s="60"/>
      <c r="B4108" s="61" t="str">
        <f aca="false">IF($M4108=0,"",INDEX(Classes!$E$6:$E$420,$M4108))</f>
        <v/>
      </c>
      <c r="C4108" s="62" t="str">
        <f aca="false">IF($M4108=0,"",INDEX(Classes!$H$6:$H$420,$M4108))</f>
        <v/>
      </c>
      <c r="D4108" s="61" t="str">
        <f aca="false">IF($M4108=0,"",INDEX(Classes!$B$6:$B$420,$M4108))</f>
        <v/>
      </c>
      <c r="E4108" s="61" t="str">
        <f aca="false">IF($M4108=0,"",INDEX(Classes!$C$6:$C$420,$M4108))</f>
        <v/>
      </c>
      <c r="F4108" s="63"/>
      <c r="G4108" s="63"/>
      <c r="H4108" s="60"/>
      <c r="I4108" s="60"/>
      <c r="J4108" s="63"/>
      <c r="K4108" s="61" t="str">
        <f aca="false">IF($P4108=0,"",IF($F4108="Baseline","— Baseline",IF($O4108=0,"No result",IF($N4108=0,"No Start (attainment only)",IF(OR($N4108=1,$O4108=1),"U – needs rule",INDEX(MxBody,MATCH($I4108,MxCurr,0),MATCH($H4108,MxStart,0)))))))</f>
        <v/>
      </c>
      <c r="L4108" s="62" t="str">
        <f aca="false">IF(COUNTA($A4108,$F4108,$G4108,$H4108,$I4108,$J4108)=0,"",IF($M4108=0,"✖ كود الصف غير موجود",IF(ISNA(MATCH($F4108,Lists!$A$2:$A$5,0)),"✖ الفترة غير صحيحة",IF(ISNA(MATCH($G4108,Lists!$B$2:$B$7,0)),"✖ المجموعة غير صحيحة",IF(NOT(OR($H4108="",$N4108&gt;0)),"✖ Start غير صحيح",IF(NOT(OR($I4108="",$I4108="NR",$O4108&gt;0)),"✖ Current غير صحيح",IF(NOT(IF(ISNUMBER($J4108),AND($J4108&gt;=0,$J4108=INT($J4108)),FALSE())),"✖ العدد يجب أن يكون صحيحًا ≥ 0",IF(AND($F4108="Baseline",$H4108&lt;&gt;""),"⚠ Baseline: Start لا يدخل في التقدم",IF($K4108="No Start (attainment only)","ℹ تحصيل فقط (بدون Start)",IF($K4108="U – needs rule","ℹ حالة U تحتاج قاعدة معتمدة",IF($K4108="No result","ℹ بدون نتيجة (يُستبعد من التحصيل)","OK")))))))))))</f>
        <v/>
      </c>
      <c r="M4108" s="64" t="n">
        <f aca="false">IF($A4108="",0,IFERROR(MATCH($A4108,Classes!$A$6:$A$420,0),0))</f>
        <v>0</v>
      </c>
      <c r="N4108" s="64" t="n">
        <f aca="false">IF($H4108="",0,IFERROR(MATCH($H4108,GradeList,0),0))</f>
        <v>0</v>
      </c>
      <c r="O4108" s="64" t="n">
        <f aca="false">IF(OR($I4108="",$I4108="NR"),0,IFERROR(MATCH($I4108,GradeList,0),0))</f>
        <v>0</v>
      </c>
      <c r="P4108" s="64" t="n">
        <f aca="false">IF(AND($M4108&gt;0,ISNUMBER(MATCH($F4108,Lists!$A$2:$A$5,0)),ISNUMBER(MATCH($G4108,Lists!$B$2:$B$7,0)),OR($H4108="",$N4108&gt;0),OR($I4108="",$I4108="NR",$O4108&gt;0),IF(ISNUMBER($J4108),AND($J4108&gt;=0,$J4108=INT($J4108)),FALSE())),$J4108,0)</f>
        <v>0</v>
      </c>
      <c r="Q4108" s="64" t="n">
        <f aca="false">IF(AND($P4108&gt;0,$O4108&gt;0),$P4108,0)</f>
        <v>0</v>
      </c>
      <c r="R4108" s="64" t="n">
        <f aca="false">IF(AND($Q4108&gt;0,$O4108&gt;=AtRank),$Q4108,0)</f>
        <v>0</v>
      </c>
      <c r="S4108" s="64" t="n">
        <f aca="false">IF(AND($Q4108&gt;0,$O4108&gt;=AboveRank),$Q4108,0)</f>
        <v>0</v>
      </c>
      <c r="T4108" s="64" t="n">
        <f aca="false">IF($K4108="Less",$P4108,0)</f>
        <v>0</v>
      </c>
      <c r="U4108" s="64" t="n">
        <f aca="false">IF($K4108="Expected",$P4108,0)</f>
        <v>0</v>
      </c>
      <c r="V4108" s="64" t="n">
        <f aca="false">IF($K4108="Better",$P4108,0)</f>
        <v>0</v>
      </c>
      <c r="W4108" s="64" t="n">
        <f aca="false">IF($K4108="U – needs rule",$P4108,0)</f>
        <v>0</v>
      </c>
      <c r="X4108" s="64" t="n">
        <f aca="false">IF($K4108="No Start (attainment only)",$P4108,0)</f>
        <v>0</v>
      </c>
    </row>
    <row r="4109" customFormat="false" ht="15" hidden="false" customHeight="false" outlineLevel="0" collapsed="false">
      <c r="A4109" s="60"/>
      <c r="B4109" s="61" t="str">
        <f aca="false">IF($M4109=0,"",INDEX(Classes!$E$6:$E$420,$M4109))</f>
        <v/>
      </c>
      <c r="C4109" s="62" t="str">
        <f aca="false">IF($M4109=0,"",INDEX(Classes!$H$6:$H$420,$M4109))</f>
        <v/>
      </c>
      <c r="D4109" s="61" t="str">
        <f aca="false">IF($M4109=0,"",INDEX(Classes!$B$6:$B$420,$M4109))</f>
        <v/>
      </c>
      <c r="E4109" s="61" t="str">
        <f aca="false">IF($M4109=0,"",INDEX(Classes!$C$6:$C$420,$M4109))</f>
        <v/>
      </c>
      <c r="F4109" s="63"/>
      <c r="G4109" s="63"/>
      <c r="H4109" s="60"/>
      <c r="I4109" s="60"/>
      <c r="J4109" s="63"/>
      <c r="K4109" s="61" t="str">
        <f aca="false">IF($P4109=0,"",IF($F4109="Baseline","— Baseline",IF($O4109=0,"No result",IF($N4109=0,"No Start (attainment only)",IF(OR($N4109=1,$O4109=1),"U – needs rule",INDEX(MxBody,MATCH($I4109,MxCurr,0),MATCH($H4109,MxStart,0)))))))</f>
        <v/>
      </c>
      <c r="L4109" s="62" t="str">
        <f aca="false">IF(COUNTA($A4109,$F4109,$G4109,$H4109,$I4109,$J4109)=0,"",IF($M4109=0,"✖ كود الصف غير موجود",IF(ISNA(MATCH($F4109,Lists!$A$2:$A$5,0)),"✖ الفترة غير صحيحة",IF(ISNA(MATCH($G4109,Lists!$B$2:$B$7,0)),"✖ المجموعة غير صحيحة",IF(NOT(OR($H4109="",$N4109&gt;0)),"✖ Start غير صحيح",IF(NOT(OR($I4109="",$I4109="NR",$O4109&gt;0)),"✖ Current غير صحيح",IF(NOT(IF(ISNUMBER($J4109),AND($J4109&gt;=0,$J4109=INT($J4109)),FALSE())),"✖ العدد يجب أن يكون صحيحًا ≥ 0",IF(AND($F4109="Baseline",$H4109&lt;&gt;""),"⚠ Baseline: Start لا يدخل في التقدم",IF($K4109="No Start (attainment only)","ℹ تحصيل فقط (بدون Start)",IF($K4109="U – needs rule","ℹ حالة U تحتاج قاعدة معتمدة",IF($K4109="No result","ℹ بدون نتيجة (يُستبعد من التحصيل)","OK")))))))))))</f>
        <v/>
      </c>
      <c r="M4109" s="64" t="n">
        <f aca="false">IF($A4109="",0,IFERROR(MATCH($A4109,Classes!$A$6:$A$420,0),0))</f>
        <v>0</v>
      </c>
      <c r="N4109" s="64" t="n">
        <f aca="false">IF($H4109="",0,IFERROR(MATCH($H4109,GradeList,0),0))</f>
        <v>0</v>
      </c>
      <c r="O4109" s="64" t="n">
        <f aca="false">IF(OR($I4109="",$I4109="NR"),0,IFERROR(MATCH($I4109,GradeList,0),0))</f>
        <v>0</v>
      </c>
      <c r="P4109" s="64" t="n">
        <f aca="false">IF(AND($M4109&gt;0,ISNUMBER(MATCH($F4109,Lists!$A$2:$A$5,0)),ISNUMBER(MATCH($G4109,Lists!$B$2:$B$7,0)),OR($H4109="",$N4109&gt;0),OR($I4109="",$I4109="NR",$O4109&gt;0),IF(ISNUMBER($J4109),AND($J4109&gt;=0,$J4109=INT($J4109)),FALSE())),$J4109,0)</f>
        <v>0</v>
      </c>
      <c r="Q4109" s="64" t="n">
        <f aca="false">IF(AND($P4109&gt;0,$O4109&gt;0),$P4109,0)</f>
        <v>0</v>
      </c>
      <c r="R4109" s="64" t="n">
        <f aca="false">IF(AND($Q4109&gt;0,$O4109&gt;=AtRank),$Q4109,0)</f>
        <v>0</v>
      </c>
      <c r="S4109" s="64" t="n">
        <f aca="false">IF(AND($Q4109&gt;0,$O4109&gt;=AboveRank),$Q4109,0)</f>
        <v>0</v>
      </c>
      <c r="T4109" s="64" t="n">
        <f aca="false">IF($K4109="Less",$P4109,0)</f>
        <v>0</v>
      </c>
      <c r="U4109" s="64" t="n">
        <f aca="false">IF($K4109="Expected",$P4109,0)</f>
        <v>0</v>
      </c>
      <c r="V4109" s="64" t="n">
        <f aca="false">IF($K4109="Better",$P4109,0)</f>
        <v>0</v>
      </c>
      <c r="W4109" s="64" t="n">
        <f aca="false">IF($K4109="U – needs rule",$P4109,0)</f>
        <v>0</v>
      </c>
      <c r="X4109" s="64" t="n">
        <f aca="false">IF($K4109="No Start (attainment only)",$P4109,0)</f>
        <v>0</v>
      </c>
    </row>
    <row r="4110" customFormat="false" ht="15" hidden="false" customHeight="false" outlineLevel="0" collapsed="false">
      <c r="A4110" s="60"/>
      <c r="B4110" s="61" t="str">
        <f aca="false">IF($M4110=0,"",INDEX(Classes!$E$6:$E$420,$M4110))</f>
        <v/>
      </c>
      <c r="C4110" s="62" t="str">
        <f aca="false">IF($M4110=0,"",INDEX(Classes!$H$6:$H$420,$M4110))</f>
        <v/>
      </c>
      <c r="D4110" s="61" t="str">
        <f aca="false">IF($M4110=0,"",INDEX(Classes!$B$6:$B$420,$M4110))</f>
        <v/>
      </c>
      <c r="E4110" s="61" t="str">
        <f aca="false">IF($M4110=0,"",INDEX(Classes!$C$6:$C$420,$M4110))</f>
        <v/>
      </c>
      <c r="F4110" s="63"/>
      <c r="G4110" s="63"/>
      <c r="H4110" s="60"/>
      <c r="I4110" s="60"/>
      <c r="J4110" s="63"/>
      <c r="K4110" s="61" t="str">
        <f aca="false">IF($P4110=0,"",IF($F4110="Baseline","— Baseline",IF($O4110=0,"No result",IF($N4110=0,"No Start (attainment only)",IF(OR($N4110=1,$O4110=1),"U – needs rule",INDEX(MxBody,MATCH($I4110,MxCurr,0),MATCH($H4110,MxStart,0)))))))</f>
        <v/>
      </c>
      <c r="L4110" s="62" t="str">
        <f aca="false">IF(COUNTA($A4110,$F4110,$G4110,$H4110,$I4110,$J4110)=0,"",IF($M4110=0,"✖ كود الصف غير موجود",IF(ISNA(MATCH($F4110,Lists!$A$2:$A$5,0)),"✖ الفترة غير صحيحة",IF(ISNA(MATCH($G4110,Lists!$B$2:$B$7,0)),"✖ المجموعة غير صحيحة",IF(NOT(OR($H4110="",$N4110&gt;0)),"✖ Start غير صحيح",IF(NOT(OR($I4110="",$I4110="NR",$O4110&gt;0)),"✖ Current غير صحيح",IF(NOT(IF(ISNUMBER($J4110),AND($J4110&gt;=0,$J4110=INT($J4110)),FALSE())),"✖ العدد يجب أن يكون صحيحًا ≥ 0",IF(AND($F4110="Baseline",$H4110&lt;&gt;""),"⚠ Baseline: Start لا يدخل في التقدم",IF($K4110="No Start (attainment only)","ℹ تحصيل فقط (بدون Start)",IF($K4110="U – needs rule","ℹ حالة U تحتاج قاعدة معتمدة",IF($K4110="No result","ℹ بدون نتيجة (يُستبعد من التحصيل)","OK")))))))))))</f>
        <v/>
      </c>
      <c r="M4110" s="64" t="n">
        <f aca="false">IF($A4110="",0,IFERROR(MATCH($A4110,Classes!$A$6:$A$420,0),0))</f>
        <v>0</v>
      </c>
      <c r="N4110" s="64" t="n">
        <f aca="false">IF($H4110="",0,IFERROR(MATCH($H4110,GradeList,0),0))</f>
        <v>0</v>
      </c>
      <c r="O4110" s="64" t="n">
        <f aca="false">IF(OR($I4110="",$I4110="NR"),0,IFERROR(MATCH($I4110,GradeList,0),0))</f>
        <v>0</v>
      </c>
      <c r="P4110" s="64" t="n">
        <f aca="false">IF(AND($M4110&gt;0,ISNUMBER(MATCH($F4110,Lists!$A$2:$A$5,0)),ISNUMBER(MATCH($G4110,Lists!$B$2:$B$7,0)),OR($H4110="",$N4110&gt;0),OR($I4110="",$I4110="NR",$O4110&gt;0),IF(ISNUMBER($J4110),AND($J4110&gt;=0,$J4110=INT($J4110)),FALSE())),$J4110,0)</f>
        <v>0</v>
      </c>
      <c r="Q4110" s="64" t="n">
        <f aca="false">IF(AND($P4110&gt;0,$O4110&gt;0),$P4110,0)</f>
        <v>0</v>
      </c>
      <c r="R4110" s="64" t="n">
        <f aca="false">IF(AND($Q4110&gt;0,$O4110&gt;=AtRank),$Q4110,0)</f>
        <v>0</v>
      </c>
      <c r="S4110" s="64" t="n">
        <f aca="false">IF(AND($Q4110&gt;0,$O4110&gt;=AboveRank),$Q4110,0)</f>
        <v>0</v>
      </c>
      <c r="T4110" s="64" t="n">
        <f aca="false">IF($K4110="Less",$P4110,0)</f>
        <v>0</v>
      </c>
      <c r="U4110" s="64" t="n">
        <f aca="false">IF($K4110="Expected",$P4110,0)</f>
        <v>0</v>
      </c>
      <c r="V4110" s="64" t="n">
        <f aca="false">IF($K4110="Better",$P4110,0)</f>
        <v>0</v>
      </c>
      <c r="W4110" s="64" t="n">
        <f aca="false">IF($K4110="U – needs rule",$P4110,0)</f>
        <v>0</v>
      </c>
      <c r="X4110" s="64" t="n">
        <f aca="false">IF($K4110="No Start (attainment only)",$P4110,0)</f>
        <v>0</v>
      </c>
    </row>
    <row r="4111" customFormat="false" ht="15" hidden="false" customHeight="false" outlineLevel="0" collapsed="false">
      <c r="A4111" s="60"/>
      <c r="B4111" s="61" t="str">
        <f aca="false">IF($M4111=0,"",INDEX(Classes!$E$6:$E$420,$M4111))</f>
        <v/>
      </c>
      <c r="C4111" s="62" t="str">
        <f aca="false">IF($M4111=0,"",INDEX(Classes!$H$6:$H$420,$M4111))</f>
        <v/>
      </c>
      <c r="D4111" s="61" t="str">
        <f aca="false">IF($M4111=0,"",INDEX(Classes!$B$6:$B$420,$M4111))</f>
        <v/>
      </c>
      <c r="E4111" s="61" t="str">
        <f aca="false">IF($M4111=0,"",INDEX(Classes!$C$6:$C$420,$M4111))</f>
        <v/>
      </c>
      <c r="F4111" s="63"/>
      <c r="G4111" s="63"/>
      <c r="H4111" s="60"/>
      <c r="I4111" s="60"/>
      <c r="J4111" s="63"/>
      <c r="K4111" s="61" t="str">
        <f aca="false">IF($P4111=0,"",IF($F4111="Baseline","— Baseline",IF($O4111=0,"No result",IF($N4111=0,"No Start (attainment only)",IF(OR($N4111=1,$O4111=1),"U – needs rule",INDEX(MxBody,MATCH($I4111,MxCurr,0),MATCH($H4111,MxStart,0)))))))</f>
        <v/>
      </c>
      <c r="L4111" s="62" t="str">
        <f aca="false">IF(COUNTA($A4111,$F4111,$G4111,$H4111,$I4111,$J4111)=0,"",IF($M4111=0,"✖ كود الصف غير موجود",IF(ISNA(MATCH($F4111,Lists!$A$2:$A$5,0)),"✖ الفترة غير صحيحة",IF(ISNA(MATCH($G4111,Lists!$B$2:$B$7,0)),"✖ المجموعة غير صحيحة",IF(NOT(OR($H4111="",$N4111&gt;0)),"✖ Start غير صحيح",IF(NOT(OR($I4111="",$I4111="NR",$O4111&gt;0)),"✖ Current غير صحيح",IF(NOT(IF(ISNUMBER($J4111),AND($J4111&gt;=0,$J4111=INT($J4111)),FALSE())),"✖ العدد يجب أن يكون صحيحًا ≥ 0",IF(AND($F4111="Baseline",$H4111&lt;&gt;""),"⚠ Baseline: Start لا يدخل في التقدم",IF($K4111="No Start (attainment only)","ℹ تحصيل فقط (بدون Start)",IF($K4111="U – needs rule","ℹ حالة U تحتاج قاعدة معتمدة",IF($K4111="No result","ℹ بدون نتيجة (يُستبعد من التحصيل)","OK")))))))))))</f>
        <v/>
      </c>
      <c r="M4111" s="64" t="n">
        <f aca="false">IF($A4111="",0,IFERROR(MATCH($A4111,Classes!$A$6:$A$420,0),0))</f>
        <v>0</v>
      </c>
      <c r="N4111" s="64" t="n">
        <f aca="false">IF($H4111="",0,IFERROR(MATCH($H4111,GradeList,0),0))</f>
        <v>0</v>
      </c>
      <c r="O4111" s="64" t="n">
        <f aca="false">IF(OR($I4111="",$I4111="NR"),0,IFERROR(MATCH($I4111,GradeList,0),0))</f>
        <v>0</v>
      </c>
      <c r="P4111" s="64" t="n">
        <f aca="false">IF(AND($M4111&gt;0,ISNUMBER(MATCH($F4111,Lists!$A$2:$A$5,0)),ISNUMBER(MATCH($G4111,Lists!$B$2:$B$7,0)),OR($H4111="",$N4111&gt;0),OR($I4111="",$I4111="NR",$O4111&gt;0),IF(ISNUMBER($J4111),AND($J4111&gt;=0,$J4111=INT($J4111)),FALSE())),$J4111,0)</f>
        <v>0</v>
      </c>
      <c r="Q4111" s="64" t="n">
        <f aca="false">IF(AND($P4111&gt;0,$O4111&gt;0),$P4111,0)</f>
        <v>0</v>
      </c>
      <c r="R4111" s="64" t="n">
        <f aca="false">IF(AND($Q4111&gt;0,$O4111&gt;=AtRank),$Q4111,0)</f>
        <v>0</v>
      </c>
      <c r="S4111" s="64" t="n">
        <f aca="false">IF(AND($Q4111&gt;0,$O4111&gt;=AboveRank),$Q4111,0)</f>
        <v>0</v>
      </c>
      <c r="T4111" s="64" t="n">
        <f aca="false">IF($K4111="Less",$P4111,0)</f>
        <v>0</v>
      </c>
      <c r="U4111" s="64" t="n">
        <f aca="false">IF($K4111="Expected",$P4111,0)</f>
        <v>0</v>
      </c>
      <c r="V4111" s="64" t="n">
        <f aca="false">IF($K4111="Better",$P4111,0)</f>
        <v>0</v>
      </c>
      <c r="W4111" s="64" t="n">
        <f aca="false">IF($K4111="U – needs rule",$P4111,0)</f>
        <v>0</v>
      </c>
      <c r="X4111" s="64" t="n">
        <f aca="false">IF($K4111="No Start (attainment only)",$P4111,0)</f>
        <v>0</v>
      </c>
    </row>
    <row r="4112" customFormat="false" ht="15" hidden="false" customHeight="false" outlineLevel="0" collapsed="false">
      <c r="A4112" s="60"/>
      <c r="B4112" s="61" t="str">
        <f aca="false">IF($M4112=0,"",INDEX(Classes!$E$6:$E$420,$M4112))</f>
        <v/>
      </c>
      <c r="C4112" s="62" t="str">
        <f aca="false">IF($M4112=0,"",INDEX(Classes!$H$6:$H$420,$M4112))</f>
        <v/>
      </c>
      <c r="D4112" s="61" t="str">
        <f aca="false">IF($M4112=0,"",INDEX(Classes!$B$6:$B$420,$M4112))</f>
        <v/>
      </c>
      <c r="E4112" s="61" t="str">
        <f aca="false">IF($M4112=0,"",INDEX(Classes!$C$6:$C$420,$M4112))</f>
        <v/>
      </c>
      <c r="F4112" s="63"/>
      <c r="G4112" s="63"/>
      <c r="H4112" s="60"/>
      <c r="I4112" s="60"/>
      <c r="J4112" s="63"/>
      <c r="K4112" s="61" t="str">
        <f aca="false">IF($P4112=0,"",IF($F4112="Baseline","— Baseline",IF($O4112=0,"No result",IF($N4112=0,"No Start (attainment only)",IF(OR($N4112=1,$O4112=1),"U – needs rule",INDEX(MxBody,MATCH($I4112,MxCurr,0),MATCH($H4112,MxStart,0)))))))</f>
        <v/>
      </c>
      <c r="L4112" s="62" t="str">
        <f aca="false">IF(COUNTA($A4112,$F4112,$G4112,$H4112,$I4112,$J4112)=0,"",IF($M4112=0,"✖ كود الصف غير موجود",IF(ISNA(MATCH($F4112,Lists!$A$2:$A$5,0)),"✖ الفترة غير صحيحة",IF(ISNA(MATCH($G4112,Lists!$B$2:$B$7,0)),"✖ المجموعة غير صحيحة",IF(NOT(OR($H4112="",$N4112&gt;0)),"✖ Start غير صحيح",IF(NOT(OR($I4112="",$I4112="NR",$O4112&gt;0)),"✖ Current غير صحيح",IF(NOT(IF(ISNUMBER($J4112),AND($J4112&gt;=0,$J4112=INT($J4112)),FALSE())),"✖ العدد يجب أن يكون صحيحًا ≥ 0",IF(AND($F4112="Baseline",$H4112&lt;&gt;""),"⚠ Baseline: Start لا يدخل في التقدم",IF($K4112="No Start (attainment only)","ℹ تحصيل فقط (بدون Start)",IF($K4112="U – needs rule","ℹ حالة U تحتاج قاعدة معتمدة",IF($K4112="No result","ℹ بدون نتيجة (يُستبعد من التحصيل)","OK")))))))))))</f>
        <v/>
      </c>
      <c r="M4112" s="64" t="n">
        <f aca="false">IF($A4112="",0,IFERROR(MATCH($A4112,Classes!$A$6:$A$420,0),0))</f>
        <v>0</v>
      </c>
      <c r="N4112" s="64" t="n">
        <f aca="false">IF($H4112="",0,IFERROR(MATCH($H4112,GradeList,0),0))</f>
        <v>0</v>
      </c>
      <c r="O4112" s="64" t="n">
        <f aca="false">IF(OR($I4112="",$I4112="NR"),0,IFERROR(MATCH($I4112,GradeList,0),0))</f>
        <v>0</v>
      </c>
      <c r="P4112" s="64" t="n">
        <f aca="false">IF(AND($M4112&gt;0,ISNUMBER(MATCH($F4112,Lists!$A$2:$A$5,0)),ISNUMBER(MATCH($G4112,Lists!$B$2:$B$7,0)),OR($H4112="",$N4112&gt;0),OR($I4112="",$I4112="NR",$O4112&gt;0),IF(ISNUMBER($J4112),AND($J4112&gt;=0,$J4112=INT($J4112)),FALSE())),$J4112,0)</f>
        <v>0</v>
      </c>
      <c r="Q4112" s="64" t="n">
        <f aca="false">IF(AND($P4112&gt;0,$O4112&gt;0),$P4112,0)</f>
        <v>0</v>
      </c>
      <c r="R4112" s="64" t="n">
        <f aca="false">IF(AND($Q4112&gt;0,$O4112&gt;=AtRank),$Q4112,0)</f>
        <v>0</v>
      </c>
      <c r="S4112" s="64" t="n">
        <f aca="false">IF(AND($Q4112&gt;0,$O4112&gt;=AboveRank),$Q4112,0)</f>
        <v>0</v>
      </c>
      <c r="T4112" s="64" t="n">
        <f aca="false">IF($K4112="Less",$P4112,0)</f>
        <v>0</v>
      </c>
      <c r="U4112" s="64" t="n">
        <f aca="false">IF($K4112="Expected",$P4112,0)</f>
        <v>0</v>
      </c>
      <c r="V4112" s="64" t="n">
        <f aca="false">IF($K4112="Better",$P4112,0)</f>
        <v>0</v>
      </c>
      <c r="W4112" s="64" t="n">
        <f aca="false">IF($K4112="U – needs rule",$P4112,0)</f>
        <v>0</v>
      </c>
      <c r="X4112" s="64" t="n">
        <f aca="false">IF($K4112="No Start (attainment only)",$P4112,0)</f>
        <v>0</v>
      </c>
    </row>
    <row r="4113" customFormat="false" ht="15" hidden="false" customHeight="false" outlineLevel="0" collapsed="false">
      <c r="A4113" s="60"/>
      <c r="B4113" s="61" t="str">
        <f aca="false">IF($M4113=0,"",INDEX(Classes!$E$6:$E$420,$M4113))</f>
        <v/>
      </c>
      <c r="C4113" s="62" t="str">
        <f aca="false">IF($M4113=0,"",INDEX(Classes!$H$6:$H$420,$M4113))</f>
        <v/>
      </c>
      <c r="D4113" s="61" t="str">
        <f aca="false">IF($M4113=0,"",INDEX(Classes!$B$6:$B$420,$M4113))</f>
        <v/>
      </c>
      <c r="E4113" s="61" t="str">
        <f aca="false">IF($M4113=0,"",INDEX(Classes!$C$6:$C$420,$M4113))</f>
        <v/>
      </c>
      <c r="F4113" s="63"/>
      <c r="G4113" s="63"/>
      <c r="H4113" s="60"/>
      <c r="I4113" s="60"/>
      <c r="J4113" s="63"/>
      <c r="K4113" s="61" t="str">
        <f aca="false">IF($P4113=0,"",IF($F4113="Baseline","— Baseline",IF($O4113=0,"No result",IF($N4113=0,"No Start (attainment only)",IF(OR($N4113=1,$O4113=1),"U – needs rule",INDEX(MxBody,MATCH($I4113,MxCurr,0),MATCH($H4113,MxStart,0)))))))</f>
        <v/>
      </c>
      <c r="L4113" s="62" t="str">
        <f aca="false">IF(COUNTA($A4113,$F4113,$G4113,$H4113,$I4113,$J4113)=0,"",IF($M4113=0,"✖ كود الصف غير موجود",IF(ISNA(MATCH($F4113,Lists!$A$2:$A$5,0)),"✖ الفترة غير صحيحة",IF(ISNA(MATCH($G4113,Lists!$B$2:$B$7,0)),"✖ المجموعة غير صحيحة",IF(NOT(OR($H4113="",$N4113&gt;0)),"✖ Start غير صحيح",IF(NOT(OR($I4113="",$I4113="NR",$O4113&gt;0)),"✖ Current غير صحيح",IF(NOT(IF(ISNUMBER($J4113),AND($J4113&gt;=0,$J4113=INT($J4113)),FALSE())),"✖ العدد يجب أن يكون صحيحًا ≥ 0",IF(AND($F4113="Baseline",$H4113&lt;&gt;""),"⚠ Baseline: Start لا يدخل في التقدم",IF($K4113="No Start (attainment only)","ℹ تحصيل فقط (بدون Start)",IF($K4113="U – needs rule","ℹ حالة U تحتاج قاعدة معتمدة",IF($K4113="No result","ℹ بدون نتيجة (يُستبعد من التحصيل)","OK")))))))))))</f>
        <v/>
      </c>
      <c r="M4113" s="64" t="n">
        <f aca="false">IF($A4113="",0,IFERROR(MATCH($A4113,Classes!$A$6:$A$420,0),0))</f>
        <v>0</v>
      </c>
      <c r="N4113" s="64" t="n">
        <f aca="false">IF($H4113="",0,IFERROR(MATCH($H4113,GradeList,0),0))</f>
        <v>0</v>
      </c>
      <c r="O4113" s="64" t="n">
        <f aca="false">IF(OR($I4113="",$I4113="NR"),0,IFERROR(MATCH($I4113,GradeList,0),0))</f>
        <v>0</v>
      </c>
      <c r="P4113" s="64" t="n">
        <f aca="false">IF(AND($M4113&gt;0,ISNUMBER(MATCH($F4113,Lists!$A$2:$A$5,0)),ISNUMBER(MATCH($G4113,Lists!$B$2:$B$7,0)),OR($H4113="",$N4113&gt;0),OR($I4113="",$I4113="NR",$O4113&gt;0),IF(ISNUMBER($J4113),AND($J4113&gt;=0,$J4113=INT($J4113)),FALSE())),$J4113,0)</f>
        <v>0</v>
      </c>
      <c r="Q4113" s="64" t="n">
        <f aca="false">IF(AND($P4113&gt;0,$O4113&gt;0),$P4113,0)</f>
        <v>0</v>
      </c>
      <c r="R4113" s="64" t="n">
        <f aca="false">IF(AND($Q4113&gt;0,$O4113&gt;=AtRank),$Q4113,0)</f>
        <v>0</v>
      </c>
      <c r="S4113" s="64" t="n">
        <f aca="false">IF(AND($Q4113&gt;0,$O4113&gt;=AboveRank),$Q4113,0)</f>
        <v>0</v>
      </c>
      <c r="T4113" s="64" t="n">
        <f aca="false">IF($K4113="Less",$P4113,0)</f>
        <v>0</v>
      </c>
      <c r="U4113" s="64" t="n">
        <f aca="false">IF($K4113="Expected",$P4113,0)</f>
        <v>0</v>
      </c>
      <c r="V4113" s="64" t="n">
        <f aca="false">IF($K4113="Better",$P4113,0)</f>
        <v>0</v>
      </c>
      <c r="W4113" s="64" t="n">
        <f aca="false">IF($K4113="U – needs rule",$P4113,0)</f>
        <v>0</v>
      </c>
      <c r="X4113" s="64" t="n">
        <f aca="false">IF($K4113="No Start (attainment only)",$P4113,0)</f>
        <v>0</v>
      </c>
    </row>
    <row r="4114" customFormat="false" ht="15" hidden="false" customHeight="false" outlineLevel="0" collapsed="false">
      <c r="A4114" s="60"/>
      <c r="B4114" s="61" t="str">
        <f aca="false">IF($M4114=0,"",INDEX(Classes!$E$6:$E$420,$M4114))</f>
        <v/>
      </c>
      <c r="C4114" s="62" t="str">
        <f aca="false">IF($M4114=0,"",INDEX(Classes!$H$6:$H$420,$M4114))</f>
        <v/>
      </c>
      <c r="D4114" s="61" t="str">
        <f aca="false">IF($M4114=0,"",INDEX(Classes!$B$6:$B$420,$M4114))</f>
        <v/>
      </c>
      <c r="E4114" s="61" t="str">
        <f aca="false">IF($M4114=0,"",INDEX(Classes!$C$6:$C$420,$M4114))</f>
        <v/>
      </c>
      <c r="F4114" s="63"/>
      <c r="G4114" s="63"/>
      <c r="H4114" s="60"/>
      <c r="I4114" s="60"/>
      <c r="J4114" s="63"/>
      <c r="K4114" s="61" t="str">
        <f aca="false">IF($P4114=0,"",IF($F4114="Baseline","— Baseline",IF($O4114=0,"No result",IF($N4114=0,"No Start (attainment only)",IF(OR($N4114=1,$O4114=1),"U – needs rule",INDEX(MxBody,MATCH($I4114,MxCurr,0),MATCH($H4114,MxStart,0)))))))</f>
        <v/>
      </c>
      <c r="L4114" s="62" t="str">
        <f aca="false">IF(COUNTA($A4114,$F4114,$G4114,$H4114,$I4114,$J4114)=0,"",IF($M4114=0,"✖ كود الصف غير موجود",IF(ISNA(MATCH($F4114,Lists!$A$2:$A$5,0)),"✖ الفترة غير صحيحة",IF(ISNA(MATCH($G4114,Lists!$B$2:$B$7,0)),"✖ المجموعة غير صحيحة",IF(NOT(OR($H4114="",$N4114&gt;0)),"✖ Start غير صحيح",IF(NOT(OR($I4114="",$I4114="NR",$O4114&gt;0)),"✖ Current غير صحيح",IF(NOT(IF(ISNUMBER($J4114),AND($J4114&gt;=0,$J4114=INT($J4114)),FALSE())),"✖ العدد يجب أن يكون صحيحًا ≥ 0",IF(AND($F4114="Baseline",$H4114&lt;&gt;""),"⚠ Baseline: Start لا يدخل في التقدم",IF($K4114="No Start (attainment only)","ℹ تحصيل فقط (بدون Start)",IF($K4114="U – needs rule","ℹ حالة U تحتاج قاعدة معتمدة",IF($K4114="No result","ℹ بدون نتيجة (يُستبعد من التحصيل)","OK")))))))))))</f>
        <v/>
      </c>
      <c r="M4114" s="64" t="n">
        <f aca="false">IF($A4114="",0,IFERROR(MATCH($A4114,Classes!$A$6:$A$420,0),0))</f>
        <v>0</v>
      </c>
      <c r="N4114" s="64" t="n">
        <f aca="false">IF($H4114="",0,IFERROR(MATCH($H4114,GradeList,0),0))</f>
        <v>0</v>
      </c>
      <c r="O4114" s="64" t="n">
        <f aca="false">IF(OR($I4114="",$I4114="NR"),0,IFERROR(MATCH($I4114,GradeList,0),0))</f>
        <v>0</v>
      </c>
      <c r="P4114" s="64" t="n">
        <f aca="false">IF(AND($M4114&gt;0,ISNUMBER(MATCH($F4114,Lists!$A$2:$A$5,0)),ISNUMBER(MATCH($G4114,Lists!$B$2:$B$7,0)),OR($H4114="",$N4114&gt;0),OR($I4114="",$I4114="NR",$O4114&gt;0),IF(ISNUMBER($J4114),AND($J4114&gt;=0,$J4114=INT($J4114)),FALSE())),$J4114,0)</f>
        <v>0</v>
      </c>
      <c r="Q4114" s="64" t="n">
        <f aca="false">IF(AND($P4114&gt;0,$O4114&gt;0),$P4114,0)</f>
        <v>0</v>
      </c>
      <c r="R4114" s="64" t="n">
        <f aca="false">IF(AND($Q4114&gt;0,$O4114&gt;=AtRank),$Q4114,0)</f>
        <v>0</v>
      </c>
      <c r="S4114" s="64" t="n">
        <f aca="false">IF(AND($Q4114&gt;0,$O4114&gt;=AboveRank),$Q4114,0)</f>
        <v>0</v>
      </c>
      <c r="T4114" s="64" t="n">
        <f aca="false">IF($K4114="Less",$P4114,0)</f>
        <v>0</v>
      </c>
      <c r="U4114" s="64" t="n">
        <f aca="false">IF($K4114="Expected",$P4114,0)</f>
        <v>0</v>
      </c>
      <c r="V4114" s="64" t="n">
        <f aca="false">IF($K4114="Better",$P4114,0)</f>
        <v>0</v>
      </c>
      <c r="W4114" s="64" t="n">
        <f aca="false">IF($K4114="U – needs rule",$P4114,0)</f>
        <v>0</v>
      </c>
      <c r="X4114" s="64" t="n">
        <f aca="false">IF($K4114="No Start (attainment only)",$P4114,0)</f>
        <v>0</v>
      </c>
    </row>
    <row r="4115" customFormat="false" ht="15" hidden="false" customHeight="false" outlineLevel="0" collapsed="false">
      <c r="A4115" s="60"/>
      <c r="B4115" s="61" t="str">
        <f aca="false">IF($M4115=0,"",INDEX(Classes!$E$6:$E$420,$M4115))</f>
        <v/>
      </c>
      <c r="C4115" s="62" t="str">
        <f aca="false">IF($M4115=0,"",INDEX(Classes!$H$6:$H$420,$M4115))</f>
        <v/>
      </c>
      <c r="D4115" s="61" t="str">
        <f aca="false">IF($M4115=0,"",INDEX(Classes!$B$6:$B$420,$M4115))</f>
        <v/>
      </c>
      <c r="E4115" s="61" t="str">
        <f aca="false">IF($M4115=0,"",INDEX(Classes!$C$6:$C$420,$M4115))</f>
        <v/>
      </c>
      <c r="F4115" s="63"/>
      <c r="G4115" s="63"/>
      <c r="H4115" s="60"/>
      <c r="I4115" s="60"/>
      <c r="J4115" s="63"/>
      <c r="K4115" s="61" t="str">
        <f aca="false">IF($P4115=0,"",IF($F4115="Baseline","— Baseline",IF($O4115=0,"No result",IF($N4115=0,"No Start (attainment only)",IF(OR($N4115=1,$O4115=1),"U – needs rule",INDEX(MxBody,MATCH($I4115,MxCurr,0),MATCH($H4115,MxStart,0)))))))</f>
        <v/>
      </c>
      <c r="L4115" s="62" t="str">
        <f aca="false">IF(COUNTA($A4115,$F4115,$G4115,$H4115,$I4115,$J4115)=0,"",IF($M4115=0,"✖ كود الصف غير موجود",IF(ISNA(MATCH($F4115,Lists!$A$2:$A$5,0)),"✖ الفترة غير صحيحة",IF(ISNA(MATCH($G4115,Lists!$B$2:$B$7,0)),"✖ المجموعة غير صحيحة",IF(NOT(OR($H4115="",$N4115&gt;0)),"✖ Start غير صحيح",IF(NOT(OR($I4115="",$I4115="NR",$O4115&gt;0)),"✖ Current غير صحيح",IF(NOT(IF(ISNUMBER($J4115),AND($J4115&gt;=0,$J4115=INT($J4115)),FALSE())),"✖ العدد يجب أن يكون صحيحًا ≥ 0",IF(AND($F4115="Baseline",$H4115&lt;&gt;""),"⚠ Baseline: Start لا يدخل في التقدم",IF($K4115="No Start (attainment only)","ℹ تحصيل فقط (بدون Start)",IF($K4115="U – needs rule","ℹ حالة U تحتاج قاعدة معتمدة",IF($K4115="No result","ℹ بدون نتيجة (يُستبعد من التحصيل)","OK")))))))))))</f>
        <v/>
      </c>
      <c r="M4115" s="64" t="n">
        <f aca="false">IF($A4115="",0,IFERROR(MATCH($A4115,Classes!$A$6:$A$420,0),0))</f>
        <v>0</v>
      </c>
      <c r="N4115" s="64" t="n">
        <f aca="false">IF($H4115="",0,IFERROR(MATCH($H4115,GradeList,0),0))</f>
        <v>0</v>
      </c>
      <c r="O4115" s="64" t="n">
        <f aca="false">IF(OR($I4115="",$I4115="NR"),0,IFERROR(MATCH($I4115,GradeList,0),0))</f>
        <v>0</v>
      </c>
      <c r="P4115" s="64" t="n">
        <f aca="false">IF(AND($M4115&gt;0,ISNUMBER(MATCH($F4115,Lists!$A$2:$A$5,0)),ISNUMBER(MATCH($G4115,Lists!$B$2:$B$7,0)),OR($H4115="",$N4115&gt;0),OR($I4115="",$I4115="NR",$O4115&gt;0),IF(ISNUMBER($J4115),AND($J4115&gt;=0,$J4115=INT($J4115)),FALSE())),$J4115,0)</f>
        <v>0</v>
      </c>
      <c r="Q4115" s="64" t="n">
        <f aca="false">IF(AND($P4115&gt;0,$O4115&gt;0),$P4115,0)</f>
        <v>0</v>
      </c>
      <c r="R4115" s="64" t="n">
        <f aca="false">IF(AND($Q4115&gt;0,$O4115&gt;=AtRank),$Q4115,0)</f>
        <v>0</v>
      </c>
      <c r="S4115" s="64" t="n">
        <f aca="false">IF(AND($Q4115&gt;0,$O4115&gt;=AboveRank),$Q4115,0)</f>
        <v>0</v>
      </c>
      <c r="T4115" s="64" t="n">
        <f aca="false">IF($K4115="Less",$P4115,0)</f>
        <v>0</v>
      </c>
      <c r="U4115" s="64" t="n">
        <f aca="false">IF($K4115="Expected",$P4115,0)</f>
        <v>0</v>
      </c>
      <c r="V4115" s="64" t="n">
        <f aca="false">IF($K4115="Better",$P4115,0)</f>
        <v>0</v>
      </c>
      <c r="W4115" s="64" t="n">
        <f aca="false">IF($K4115="U – needs rule",$P4115,0)</f>
        <v>0</v>
      </c>
      <c r="X4115" s="64" t="n">
        <f aca="false">IF($K4115="No Start (attainment only)",$P4115,0)</f>
        <v>0</v>
      </c>
    </row>
    <row r="4116" customFormat="false" ht="15" hidden="false" customHeight="false" outlineLevel="0" collapsed="false">
      <c r="A4116" s="60"/>
      <c r="B4116" s="61" t="str">
        <f aca="false">IF($M4116=0,"",INDEX(Classes!$E$6:$E$420,$M4116))</f>
        <v/>
      </c>
      <c r="C4116" s="62" t="str">
        <f aca="false">IF($M4116=0,"",INDEX(Classes!$H$6:$H$420,$M4116))</f>
        <v/>
      </c>
      <c r="D4116" s="61" t="str">
        <f aca="false">IF($M4116=0,"",INDEX(Classes!$B$6:$B$420,$M4116))</f>
        <v/>
      </c>
      <c r="E4116" s="61" t="str">
        <f aca="false">IF($M4116=0,"",INDEX(Classes!$C$6:$C$420,$M4116))</f>
        <v/>
      </c>
      <c r="F4116" s="63"/>
      <c r="G4116" s="63"/>
      <c r="H4116" s="60"/>
      <c r="I4116" s="60"/>
      <c r="J4116" s="63"/>
      <c r="K4116" s="61" t="str">
        <f aca="false">IF($P4116=0,"",IF($F4116="Baseline","— Baseline",IF($O4116=0,"No result",IF($N4116=0,"No Start (attainment only)",IF(OR($N4116=1,$O4116=1),"U – needs rule",INDEX(MxBody,MATCH($I4116,MxCurr,0),MATCH($H4116,MxStart,0)))))))</f>
        <v/>
      </c>
      <c r="L4116" s="62" t="str">
        <f aca="false">IF(COUNTA($A4116,$F4116,$G4116,$H4116,$I4116,$J4116)=0,"",IF($M4116=0,"✖ كود الصف غير موجود",IF(ISNA(MATCH($F4116,Lists!$A$2:$A$5,0)),"✖ الفترة غير صحيحة",IF(ISNA(MATCH($G4116,Lists!$B$2:$B$7,0)),"✖ المجموعة غير صحيحة",IF(NOT(OR($H4116="",$N4116&gt;0)),"✖ Start غير صحيح",IF(NOT(OR($I4116="",$I4116="NR",$O4116&gt;0)),"✖ Current غير صحيح",IF(NOT(IF(ISNUMBER($J4116),AND($J4116&gt;=0,$J4116=INT($J4116)),FALSE())),"✖ العدد يجب أن يكون صحيحًا ≥ 0",IF(AND($F4116="Baseline",$H4116&lt;&gt;""),"⚠ Baseline: Start لا يدخل في التقدم",IF($K4116="No Start (attainment only)","ℹ تحصيل فقط (بدون Start)",IF($K4116="U – needs rule","ℹ حالة U تحتاج قاعدة معتمدة",IF($K4116="No result","ℹ بدون نتيجة (يُستبعد من التحصيل)","OK")))))))))))</f>
        <v/>
      </c>
      <c r="M4116" s="64" t="n">
        <f aca="false">IF($A4116="",0,IFERROR(MATCH($A4116,Classes!$A$6:$A$420,0),0))</f>
        <v>0</v>
      </c>
      <c r="N4116" s="64" t="n">
        <f aca="false">IF($H4116="",0,IFERROR(MATCH($H4116,GradeList,0),0))</f>
        <v>0</v>
      </c>
      <c r="O4116" s="64" t="n">
        <f aca="false">IF(OR($I4116="",$I4116="NR"),0,IFERROR(MATCH($I4116,GradeList,0),0))</f>
        <v>0</v>
      </c>
      <c r="P4116" s="64" t="n">
        <f aca="false">IF(AND($M4116&gt;0,ISNUMBER(MATCH($F4116,Lists!$A$2:$A$5,0)),ISNUMBER(MATCH($G4116,Lists!$B$2:$B$7,0)),OR($H4116="",$N4116&gt;0),OR($I4116="",$I4116="NR",$O4116&gt;0),IF(ISNUMBER($J4116),AND($J4116&gt;=0,$J4116=INT($J4116)),FALSE())),$J4116,0)</f>
        <v>0</v>
      </c>
      <c r="Q4116" s="64" t="n">
        <f aca="false">IF(AND($P4116&gt;0,$O4116&gt;0),$P4116,0)</f>
        <v>0</v>
      </c>
      <c r="R4116" s="64" t="n">
        <f aca="false">IF(AND($Q4116&gt;0,$O4116&gt;=AtRank),$Q4116,0)</f>
        <v>0</v>
      </c>
      <c r="S4116" s="64" t="n">
        <f aca="false">IF(AND($Q4116&gt;0,$O4116&gt;=AboveRank),$Q4116,0)</f>
        <v>0</v>
      </c>
      <c r="T4116" s="64" t="n">
        <f aca="false">IF($K4116="Less",$P4116,0)</f>
        <v>0</v>
      </c>
      <c r="U4116" s="64" t="n">
        <f aca="false">IF($K4116="Expected",$P4116,0)</f>
        <v>0</v>
      </c>
      <c r="V4116" s="64" t="n">
        <f aca="false">IF($K4116="Better",$P4116,0)</f>
        <v>0</v>
      </c>
      <c r="W4116" s="64" t="n">
        <f aca="false">IF($K4116="U – needs rule",$P4116,0)</f>
        <v>0</v>
      </c>
      <c r="X4116" s="64" t="n">
        <f aca="false">IF($K4116="No Start (attainment only)",$P4116,0)</f>
        <v>0</v>
      </c>
    </row>
    <row r="4117" customFormat="false" ht="15" hidden="false" customHeight="false" outlineLevel="0" collapsed="false">
      <c r="A4117" s="60"/>
      <c r="B4117" s="61" t="str">
        <f aca="false">IF($M4117=0,"",INDEX(Classes!$E$6:$E$420,$M4117))</f>
        <v/>
      </c>
      <c r="C4117" s="62" t="str">
        <f aca="false">IF($M4117=0,"",INDEX(Classes!$H$6:$H$420,$M4117))</f>
        <v/>
      </c>
      <c r="D4117" s="61" t="str">
        <f aca="false">IF($M4117=0,"",INDEX(Classes!$B$6:$B$420,$M4117))</f>
        <v/>
      </c>
      <c r="E4117" s="61" t="str">
        <f aca="false">IF($M4117=0,"",INDEX(Classes!$C$6:$C$420,$M4117))</f>
        <v/>
      </c>
      <c r="F4117" s="63"/>
      <c r="G4117" s="63"/>
      <c r="H4117" s="60"/>
      <c r="I4117" s="60"/>
      <c r="J4117" s="63"/>
      <c r="K4117" s="61" t="str">
        <f aca="false">IF($P4117=0,"",IF($F4117="Baseline","— Baseline",IF($O4117=0,"No result",IF($N4117=0,"No Start (attainment only)",IF(OR($N4117=1,$O4117=1),"U – needs rule",INDEX(MxBody,MATCH($I4117,MxCurr,0),MATCH($H4117,MxStart,0)))))))</f>
        <v/>
      </c>
      <c r="L4117" s="62" t="str">
        <f aca="false">IF(COUNTA($A4117,$F4117,$G4117,$H4117,$I4117,$J4117)=0,"",IF($M4117=0,"✖ كود الصف غير موجود",IF(ISNA(MATCH($F4117,Lists!$A$2:$A$5,0)),"✖ الفترة غير صحيحة",IF(ISNA(MATCH($G4117,Lists!$B$2:$B$7,0)),"✖ المجموعة غير صحيحة",IF(NOT(OR($H4117="",$N4117&gt;0)),"✖ Start غير صحيح",IF(NOT(OR($I4117="",$I4117="NR",$O4117&gt;0)),"✖ Current غير صحيح",IF(NOT(IF(ISNUMBER($J4117),AND($J4117&gt;=0,$J4117=INT($J4117)),FALSE())),"✖ العدد يجب أن يكون صحيحًا ≥ 0",IF(AND($F4117="Baseline",$H4117&lt;&gt;""),"⚠ Baseline: Start لا يدخل في التقدم",IF($K4117="No Start (attainment only)","ℹ تحصيل فقط (بدون Start)",IF($K4117="U – needs rule","ℹ حالة U تحتاج قاعدة معتمدة",IF($K4117="No result","ℹ بدون نتيجة (يُستبعد من التحصيل)","OK")))))))))))</f>
        <v/>
      </c>
      <c r="M4117" s="64" t="n">
        <f aca="false">IF($A4117="",0,IFERROR(MATCH($A4117,Classes!$A$6:$A$420,0),0))</f>
        <v>0</v>
      </c>
      <c r="N4117" s="64" t="n">
        <f aca="false">IF($H4117="",0,IFERROR(MATCH($H4117,GradeList,0),0))</f>
        <v>0</v>
      </c>
      <c r="O4117" s="64" t="n">
        <f aca="false">IF(OR($I4117="",$I4117="NR"),0,IFERROR(MATCH($I4117,GradeList,0),0))</f>
        <v>0</v>
      </c>
      <c r="P4117" s="64" t="n">
        <f aca="false">IF(AND($M4117&gt;0,ISNUMBER(MATCH($F4117,Lists!$A$2:$A$5,0)),ISNUMBER(MATCH($G4117,Lists!$B$2:$B$7,0)),OR($H4117="",$N4117&gt;0),OR($I4117="",$I4117="NR",$O4117&gt;0),IF(ISNUMBER($J4117),AND($J4117&gt;=0,$J4117=INT($J4117)),FALSE())),$J4117,0)</f>
        <v>0</v>
      </c>
      <c r="Q4117" s="64" t="n">
        <f aca="false">IF(AND($P4117&gt;0,$O4117&gt;0),$P4117,0)</f>
        <v>0</v>
      </c>
      <c r="R4117" s="64" t="n">
        <f aca="false">IF(AND($Q4117&gt;0,$O4117&gt;=AtRank),$Q4117,0)</f>
        <v>0</v>
      </c>
      <c r="S4117" s="64" t="n">
        <f aca="false">IF(AND($Q4117&gt;0,$O4117&gt;=AboveRank),$Q4117,0)</f>
        <v>0</v>
      </c>
      <c r="T4117" s="64" t="n">
        <f aca="false">IF($K4117="Less",$P4117,0)</f>
        <v>0</v>
      </c>
      <c r="U4117" s="64" t="n">
        <f aca="false">IF($K4117="Expected",$P4117,0)</f>
        <v>0</v>
      </c>
      <c r="V4117" s="64" t="n">
        <f aca="false">IF($K4117="Better",$P4117,0)</f>
        <v>0</v>
      </c>
      <c r="W4117" s="64" t="n">
        <f aca="false">IF($K4117="U – needs rule",$P4117,0)</f>
        <v>0</v>
      </c>
      <c r="X4117" s="64" t="n">
        <f aca="false">IF($K4117="No Start (attainment only)",$P4117,0)</f>
        <v>0</v>
      </c>
    </row>
    <row r="4118" customFormat="false" ht="15" hidden="false" customHeight="false" outlineLevel="0" collapsed="false">
      <c r="A4118" s="60"/>
      <c r="B4118" s="61" t="str">
        <f aca="false">IF($M4118=0,"",INDEX(Classes!$E$6:$E$420,$M4118))</f>
        <v/>
      </c>
      <c r="C4118" s="62" t="str">
        <f aca="false">IF($M4118=0,"",INDEX(Classes!$H$6:$H$420,$M4118))</f>
        <v/>
      </c>
      <c r="D4118" s="61" t="str">
        <f aca="false">IF($M4118=0,"",INDEX(Classes!$B$6:$B$420,$M4118))</f>
        <v/>
      </c>
      <c r="E4118" s="61" t="str">
        <f aca="false">IF($M4118=0,"",INDEX(Classes!$C$6:$C$420,$M4118))</f>
        <v/>
      </c>
      <c r="F4118" s="63"/>
      <c r="G4118" s="63"/>
      <c r="H4118" s="60"/>
      <c r="I4118" s="60"/>
      <c r="J4118" s="63"/>
      <c r="K4118" s="61" t="str">
        <f aca="false">IF($P4118=0,"",IF($F4118="Baseline","— Baseline",IF($O4118=0,"No result",IF($N4118=0,"No Start (attainment only)",IF(OR($N4118=1,$O4118=1),"U – needs rule",INDEX(MxBody,MATCH($I4118,MxCurr,0),MATCH($H4118,MxStart,0)))))))</f>
        <v/>
      </c>
      <c r="L4118" s="62" t="str">
        <f aca="false">IF(COUNTA($A4118,$F4118,$G4118,$H4118,$I4118,$J4118)=0,"",IF($M4118=0,"✖ كود الصف غير موجود",IF(ISNA(MATCH($F4118,Lists!$A$2:$A$5,0)),"✖ الفترة غير صحيحة",IF(ISNA(MATCH($G4118,Lists!$B$2:$B$7,0)),"✖ المجموعة غير صحيحة",IF(NOT(OR($H4118="",$N4118&gt;0)),"✖ Start غير صحيح",IF(NOT(OR($I4118="",$I4118="NR",$O4118&gt;0)),"✖ Current غير صحيح",IF(NOT(IF(ISNUMBER($J4118),AND($J4118&gt;=0,$J4118=INT($J4118)),FALSE())),"✖ العدد يجب أن يكون صحيحًا ≥ 0",IF(AND($F4118="Baseline",$H4118&lt;&gt;""),"⚠ Baseline: Start لا يدخل في التقدم",IF($K4118="No Start (attainment only)","ℹ تحصيل فقط (بدون Start)",IF($K4118="U – needs rule","ℹ حالة U تحتاج قاعدة معتمدة",IF($K4118="No result","ℹ بدون نتيجة (يُستبعد من التحصيل)","OK")))))))))))</f>
        <v/>
      </c>
      <c r="M4118" s="64" t="n">
        <f aca="false">IF($A4118="",0,IFERROR(MATCH($A4118,Classes!$A$6:$A$420,0),0))</f>
        <v>0</v>
      </c>
      <c r="N4118" s="64" t="n">
        <f aca="false">IF($H4118="",0,IFERROR(MATCH($H4118,GradeList,0),0))</f>
        <v>0</v>
      </c>
      <c r="O4118" s="64" t="n">
        <f aca="false">IF(OR($I4118="",$I4118="NR"),0,IFERROR(MATCH($I4118,GradeList,0),0))</f>
        <v>0</v>
      </c>
      <c r="P4118" s="64" t="n">
        <f aca="false">IF(AND($M4118&gt;0,ISNUMBER(MATCH($F4118,Lists!$A$2:$A$5,0)),ISNUMBER(MATCH($G4118,Lists!$B$2:$B$7,0)),OR($H4118="",$N4118&gt;0),OR($I4118="",$I4118="NR",$O4118&gt;0),IF(ISNUMBER($J4118),AND($J4118&gt;=0,$J4118=INT($J4118)),FALSE())),$J4118,0)</f>
        <v>0</v>
      </c>
      <c r="Q4118" s="64" t="n">
        <f aca="false">IF(AND($P4118&gt;0,$O4118&gt;0),$P4118,0)</f>
        <v>0</v>
      </c>
      <c r="R4118" s="64" t="n">
        <f aca="false">IF(AND($Q4118&gt;0,$O4118&gt;=AtRank),$Q4118,0)</f>
        <v>0</v>
      </c>
      <c r="S4118" s="64" t="n">
        <f aca="false">IF(AND($Q4118&gt;0,$O4118&gt;=AboveRank),$Q4118,0)</f>
        <v>0</v>
      </c>
      <c r="T4118" s="64" t="n">
        <f aca="false">IF($K4118="Less",$P4118,0)</f>
        <v>0</v>
      </c>
      <c r="U4118" s="64" t="n">
        <f aca="false">IF($K4118="Expected",$P4118,0)</f>
        <v>0</v>
      </c>
      <c r="V4118" s="64" t="n">
        <f aca="false">IF($K4118="Better",$P4118,0)</f>
        <v>0</v>
      </c>
      <c r="W4118" s="64" t="n">
        <f aca="false">IF($K4118="U – needs rule",$P4118,0)</f>
        <v>0</v>
      </c>
      <c r="X4118" s="64" t="n">
        <f aca="false">IF($K4118="No Start (attainment only)",$P4118,0)</f>
        <v>0</v>
      </c>
    </row>
    <row r="4119" customFormat="false" ht="15" hidden="false" customHeight="false" outlineLevel="0" collapsed="false">
      <c r="A4119" s="60"/>
      <c r="B4119" s="61" t="str">
        <f aca="false">IF($M4119=0,"",INDEX(Classes!$E$6:$E$420,$M4119))</f>
        <v/>
      </c>
      <c r="C4119" s="62" t="str">
        <f aca="false">IF($M4119=0,"",INDEX(Classes!$H$6:$H$420,$M4119))</f>
        <v/>
      </c>
      <c r="D4119" s="61" t="str">
        <f aca="false">IF($M4119=0,"",INDEX(Classes!$B$6:$B$420,$M4119))</f>
        <v/>
      </c>
      <c r="E4119" s="61" t="str">
        <f aca="false">IF($M4119=0,"",INDEX(Classes!$C$6:$C$420,$M4119))</f>
        <v/>
      </c>
      <c r="F4119" s="63"/>
      <c r="G4119" s="63"/>
      <c r="H4119" s="60"/>
      <c r="I4119" s="60"/>
      <c r="J4119" s="63"/>
      <c r="K4119" s="61" t="str">
        <f aca="false">IF($P4119=0,"",IF($F4119="Baseline","— Baseline",IF($O4119=0,"No result",IF($N4119=0,"No Start (attainment only)",IF(OR($N4119=1,$O4119=1),"U – needs rule",INDEX(MxBody,MATCH($I4119,MxCurr,0),MATCH($H4119,MxStart,0)))))))</f>
        <v/>
      </c>
      <c r="L4119" s="62" t="str">
        <f aca="false">IF(COUNTA($A4119,$F4119,$G4119,$H4119,$I4119,$J4119)=0,"",IF($M4119=0,"✖ كود الصف غير موجود",IF(ISNA(MATCH($F4119,Lists!$A$2:$A$5,0)),"✖ الفترة غير صحيحة",IF(ISNA(MATCH($G4119,Lists!$B$2:$B$7,0)),"✖ المجموعة غير صحيحة",IF(NOT(OR($H4119="",$N4119&gt;0)),"✖ Start غير صحيح",IF(NOT(OR($I4119="",$I4119="NR",$O4119&gt;0)),"✖ Current غير صحيح",IF(NOT(IF(ISNUMBER($J4119),AND($J4119&gt;=0,$J4119=INT($J4119)),FALSE())),"✖ العدد يجب أن يكون صحيحًا ≥ 0",IF(AND($F4119="Baseline",$H4119&lt;&gt;""),"⚠ Baseline: Start لا يدخل في التقدم",IF($K4119="No Start (attainment only)","ℹ تحصيل فقط (بدون Start)",IF($K4119="U – needs rule","ℹ حالة U تحتاج قاعدة معتمدة",IF($K4119="No result","ℹ بدون نتيجة (يُستبعد من التحصيل)","OK")))))))))))</f>
        <v/>
      </c>
      <c r="M4119" s="64" t="n">
        <f aca="false">IF($A4119="",0,IFERROR(MATCH($A4119,Classes!$A$6:$A$420,0),0))</f>
        <v>0</v>
      </c>
      <c r="N4119" s="64" t="n">
        <f aca="false">IF($H4119="",0,IFERROR(MATCH($H4119,GradeList,0),0))</f>
        <v>0</v>
      </c>
      <c r="O4119" s="64" t="n">
        <f aca="false">IF(OR($I4119="",$I4119="NR"),0,IFERROR(MATCH($I4119,GradeList,0),0))</f>
        <v>0</v>
      </c>
      <c r="P4119" s="64" t="n">
        <f aca="false">IF(AND($M4119&gt;0,ISNUMBER(MATCH($F4119,Lists!$A$2:$A$5,0)),ISNUMBER(MATCH($G4119,Lists!$B$2:$B$7,0)),OR($H4119="",$N4119&gt;0),OR($I4119="",$I4119="NR",$O4119&gt;0),IF(ISNUMBER($J4119),AND($J4119&gt;=0,$J4119=INT($J4119)),FALSE())),$J4119,0)</f>
        <v>0</v>
      </c>
      <c r="Q4119" s="64" t="n">
        <f aca="false">IF(AND($P4119&gt;0,$O4119&gt;0),$P4119,0)</f>
        <v>0</v>
      </c>
      <c r="R4119" s="64" t="n">
        <f aca="false">IF(AND($Q4119&gt;0,$O4119&gt;=AtRank),$Q4119,0)</f>
        <v>0</v>
      </c>
      <c r="S4119" s="64" t="n">
        <f aca="false">IF(AND($Q4119&gt;0,$O4119&gt;=AboveRank),$Q4119,0)</f>
        <v>0</v>
      </c>
      <c r="T4119" s="64" t="n">
        <f aca="false">IF($K4119="Less",$P4119,0)</f>
        <v>0</v>
      </c>
      <c r="U4119" s="64" t="n">
        <f aca="false">IF($K4119="Expected",$P4119,0)</f>
        <v>0</v>
      </c>
      <c r="V4119" s="64" t="n">
        <f aca="false">IF($K4119="Better",$P4119,0)</f>
        <v>0</v>
      </c>
      <c r="W4119" s="64" t="n">
        <f aca="false">IF($K4119="U – needs rule",$P4119,0)</f>
        <v>0</v>
      </c>
      <c r="X4119" s="64" t="n">
        <f aca="false">IF($K4119="No Start (attainment only)",$P4119,0)</f>
        <v>0</v>
      </c>
    </row>
    <row r="4120" customFormat="false" ht="15" hidden="false" customHeight="false" outlineLevel="0" collapsed="false">
      <c r="A4120" s="60"/>
      <c r="B4120" s="61" t="str">
        <f aca="false">IF($M4120=0,"",INDEX(Classes!$E$6:$E$420,$M4120))</f>
        <v/>
      </c>
      <c r="C4120" s="62" t="str">
        <f aca="false">IF($M4120=0,"",INDEX(Classes!$H$6:$H$420,$M4120))</f>
        <v/>
      </c>
      <c r="D4120" s="61" t="str">
        <f aca="false">IF($M4120=0,"",INDEX(Classes!$B$6:$B$420,$M4120))</f>
        <v/>
      </c>
      <c r="E4120" s="61" t="str">
        <f aca="false">IF($M4120=0,"",INDEX(Classes!$C$6:$C$420,$M4120))</f>
        <v/>
      </c>
      <c r="F4120" s="63"/>
      <c r="G4120" s="63"/>
      <c r="H4120" s="60"/>
      <c r="I4120" s="60"/>
      <c r="J4120" s="63"/>
      <c r="K4120" s="61" t="str">
        <f aca="false">IF($P4120=0,"",IF($F4120="Baseline","— Baseline",IF($O4120=0,"No result",IF($N4120=0,"No Start (attainment only)",IF(OR($N4120=1,$O4120=1),"U – needs rule",INDEX(MxBody,MATCH($I4120,MxCurr,0),MATCH($H4120,MxStart,0)))))))</f>
        <v/>
      </c>
      <c r="L4120" s="62" t="str">
        <f aca="false">IF(COUNTA($A4120,$F4120,$G4120,$H4120,$I4120,$J4120)=0,"",IF($M4120=0,"✖ كود الصف غير موجود",IF(ISNA(MATCH($F4120,Lists!$A$2:$A$5,0)),"✖ الفترة غير صحيحة",IF(ISNA(MATCH($G4120,Lists!$B$2:$B$7,0)),"✖ المجموعة غير صحيحة",IF(NOT(OR($H4120="",$N4120&gt;0)),"✖ Start غير صحيح",IF(NOT(OR($I4120="",$I4120="NR",$O4120&gt;0)),"✖ Current غير صحيح",IF(NOT(IF(ISNUMBER($J4120),AND($J4120&gt;=0,$J4120=INT($J4120)),FALSE())),"✖ العدد يجب أن يكون صحيحًا ≥ 0",IF(AND($F4120="Baseline",$H4120&lt;&gt;""),"⚠ Baseline: Start لا يدخل في التقدم",IF($K4120="No Start (attainment only)","ℹ تحصيل فقط (بدون Start)",IF($K4120="U – needs rule","ℹ حالة U تحتاج قاعدة معتمدة",IF($K4120="No result","ℹ بدون نتيجة (يُستبعد من التحصيل)","OK")))))))))))</f>
        <v/>
      </c>
      <c r="M4120" s="64" t="n">
        <f aca="false">IF($A4120="",0,IFERROR(MATCH($A4120,Classes!$A$6:$A$420,0),0))</f>
        <v>0</v>
      </c>
      <c r="N4120" s="64" t="n">
        <f aca="false">IF($H4120="",0,IFERROR(MATCH($H4120,GradeList,0),0))</f>
        <v>0</v>
      </c>
      <c r="O4120" s="64" t="n">
        <f aca="false">IF(OR($I4120="",$I4120="NR"),0,IFERROR(MATCH($I4120,GradeList,0),0))</f>
        <v>0</v>
      </c>
      <c r="P4120" s="64" t="n">
        <f aca="false">IF(AND($M4120&gt;0,ISNUMBER(MATCH($F4120,Lists!$A$2:$A$5,0)),ISNUMBER(MATCH($G4120,Lists!$B$2:$B$7,0)),OR($H4120="",$N4120&gt;0),OR($I4120="",$I4120="NR",$O4120&gt;0),IF(ISNUMBER($J4120),AND($J4120&gt;=0,$J4120=INT($J4120)),FALSE())),$J4120,0)</f>
        <v>0</v>
      </c>
      <c r="Q4120" s="64" t="n">
        <f aca="false">IF(AND($P4120&gt;0,$O4120&gt;0),$P4120,0)</f>
        <v>0</v>
      </c>
      <c r="R4120" s="64" t="n">
        <f aca="false">IF(AND($Q4120&gt;0,$O4120&gt;=AtRank),$Q4120,0)</f>
        <v>0</v>
      </c>
      <c r="S4120" s="64" t="n">
        <f aca="false">IF(AND($Q4120&gt;0,$O4120&gt;=AboveRank),$Q4120,0)</f>
        <v>0</v>
      </c>
      <c r="T4120" s="64" t="n">
        <f aca="false">IF($K4120="Less",$P4120,0)</f>
        <v>0</v>
      </c>
      <c r="U4120" s="64" t="n">
        <f aca="false">IF($K4120="Expected",$P4120,0)</f>
        <v>0</v>
      </c>
      <c r="V4120" s="64" t="n">
        <f aca="false">IF($K4120="Better",$P4120,0)</f>
        <v>0</v>
      </c>
      <c r="W4120" s="64" t="n">
        <f aca="false">IF($K4120="U – needs rule",$P4120,0)</f>
        <v>0</v>
      </c>
      <c r="X4120" s="64" t="n">
        <f aca="false">IF($K4120="No Start (attainment only)",$P4120,0)</f>
        <v>0</v>
      </c>
    </row>
    <row r="4121" customFormat="false" ht="15" hidden="false" customHeight="false" outlineLevel="0" collapsed="false">
      <c r="A4121" s="60"/>
      <c r="B4121" s="61" t="str">
        <f aca="false">IF($M4121=0,"",INDEX(Classes!$E$6:$E$420,$M4121))</f>
        <v/>
      </c>
      <c r="C4121" s="62" t="str">
        <f aca="false">IF($M4121=0,"",INDEX(Classes!$H$6:$H$420,$M4121))</f>
        <v/>
      </c>
      <c r="D4121" s="61" t="str">
        <f aca="false">IF($M4121=0,"",INDEX(Classes!$B$6:$B$420,$M4121))</f>
        <v/>
      </c>
      <c r="E4121" s="61" t="str">
        <f aca="false">IF($M4121=0,"",INDEX(Classes!$C$6:$C$420,$M4121))</f>
        <v/>
      </c>
      <c r="F4121" s="63"/>
      <c r="G4121" s="63"/>
      <c r="H4121" s="60"/>
      <c r="I4121" s="60"/>
      <c r="J4121" s="63"/>
      <c r="K4121" s="61" t="str">
        <f aca="false">IF($P4121=0,"",IF($F4121="Baseline","— Baseline",IF($O4121=0,"No result",IF($N4121=0,"No Start (attainment only)",IF(OR($N4121=1,$O4121=1),"U – needs rule",INDEX(MxBody,MATCH($I4121,MxCurr,0),MATCH($H4121,MxStart,0)))))))</f>
        <v/>
      </c>
      <c r="L4121" s="62" t="str">
        <f aca="false">IF(COUNTA($A4121,$F4121,$G4121,$H4121,$I4121,$J4121)=0,"",IF($M4121=0,"✖ كود الصف غير موجود",IF(ISNA(MATCH($F4121,Lists!$A$2:$A$5,0)),"✖ الفترة غير صحيحة",IF(ISNA(MATCH($G4121,Lists!$B$2:$B$7,0)),"✖ المجموعة غير صحيحة",IF(NOT(OR($H4121="",$N4121&gt;0)),"✖ Start غير صحيح",IF(NOT(OR($I4121="",$I4121="NR",$O4121&gt;0)),"✖ Current غير صحيح",IF(NOT(IF(ISNUMBER($J4121),AND($J4121&gt;=0,$J4121=INT($J4121)),FALSE())),"✖ العدد يجب أن يكون صحيحًا ≥ 0",IF(AND($F4121="Baseline",$H4121&lt;&gt;""),"⚠ Baseline: Start لا يدخل في التقدم",IF($K4121="No Start (attainment only)","ℹ تحصيل فقط (بدون Start)",IF($K4121="U – needs rule","ℹ حالة U تحتاج قاعدة معتمدة",IF($K4121="No result","ℹ بدون نتيجة (يُستبعد من التحصيل)","OK")))))))))))</f>
        <v/>
      </c>
      <c r="M4121" s="64" t="n">
        <f aca="false">IF($A4121="",0,IFERROR(MATCH($A4121,Classes!$A$6:$A$420,0),0))</f>
        <v>0</v>
      </c>
      <c r="N4121" s="64" t="n">
        <f aca="false">IF($H4121="",0,IFERROR(MATCH($H4121,GradeList,0),0))</f>
        <v>0</v>
      </c>
      <c r="O4121" s="64" t="n">
        <f aca="false">IF(OR($I4121="",$I4121="NR"),0,IFERROR(MATCH($I4121,GradeList,0),0))</f>
        <v>0</v>
      </c>
      <c r="P4121" s="64" t="n">
        <f aca="false">IF(AND($M4121&gt;0,ISNUMBER(MATCH($F4121,Lists!$A$2:$A$5,0)),ISNUMBER(MATCH($G4121,Lists!$B$2:$B$7,0)),OR($H4121="",$N4121&gt;0),OR($I4121="",$I4121="NR",$O4121&gt;0),IF(ISNUMBER($J4121),AND($J4121&gt;=0,$J4121=INT($J4121)),FALSE())),$J4121,0)</f>
        <v>0</v>
      </c>
      <c r="Q4121" s="64" t="n">
        <f aca="false">IF(AND($P4121&gt;0,$O4121&gt;0),$P4121,0)</f>
        <v>0</v>
      </c>
      <c r="R4121" s="64" t="n">
        <f aca="false">IF(AND($Q4121&gt;0,$O4121&gt;=AtRank),$Q4121,0)</f>
        <v>0</v>
      </c>
      <c r="S4121" s="64" t="n">
        <f aca="false">IF(AND($Q4121&gt;0,$O4121&gt;=AboveRank),$Q4121,0)</f>
        <v>0</v>
      </c>
      <c r="T4121" s="64" t="n">
        <f aca="false">IF($K4121="Less",$P4121,0)</f>
        <v>0</v>
      </c>
      <c r="U4121" s="64" t="n">
        <f aca="false">IF($K4121="Expected",$P4121,0)</f>
        <v>0</v>
      </c>
      <c r="V4121" s="64" t="n">
        <f aca="false">IF($K4121="Better",$P4121,0)</f>
        <v>0</v>
      </c>
      <c r="W4121" s="64" t="n">
        <f aca="false">IF($K4121="U – needs rule",$P4121,0)</f>
        <v>0</v>
      </c>
      <c r="X4121" s="64" t="n">
        <f aca="false">IF($K4121="No Start (attainment only)",$P4121,0)</f>
        <v>0</v>
      </c>
    </row>
    <row r="4122" customFormat="false" ht="15" hidden="false" customHeight="false" outlineLevel="0" collapsed="false">
      <c r="A4122" s="60"/>
      <c r="B4122" s="61" t="str">
        <f aca="false">IF($M4122=0,"",INDEX(Classes!$E$6:$E$420,$M4122))</f>
        <v/>
      </c>
      <c r="C4122" s="62" t="str">
        <f aca="false">IF($M4122=0,"",INDEX(Classes!$H$6:$H$420,$M4122))</f>
        <v/>
      </c>
      <c r="D4122" s="61" t="str">
        <f aca="false">IF($M4122=0,"",INDEX(Classes!$B$6:$B$420,$M4122))</f>
        <v/>
      </c>
      <c r="E4122" s="61" t="str">
        <f aca="false">IF($M4122=0,"",INDEX(Classes!$C$6:$C$420,$M4122))</f>
        <v/>
      </c>
      <c r="F4122" s="63"/>
      <c r="G4122" s="63"/>
      <c r="H4122" s="60"/>
      <c r="I4122" s="60"/>
      <c r="J4122" s="63"/>
      <c r="K4122" s="61" t="str">
        <f aca="false">IF($P4122=0,"",IF($F4122="Baseline","— Baseline",IF($O4122=0,"No result",IF($N4122=0,"No Start (attainment only)",IF(OR($N4122=1,$O4122=1),"U – needs rule",INDEX(MxBody,MATCH($I4122,MxCurr,0),MATCH($H4122,MxStart,0)))))))</f>
        <v/>
      </c>
      <c r="L4122" s="62" t="str">
        <f aca="false">IF(COUNTA($A4122,$F4122,$G4122,$H4122,$I4122,$J4122)=0,"",IF($M4122=0,"✖ كود الصف غير موجود",IF(ISNA(MATCH($F4122,Lists!$A$2:$A$5,0)),"✖ الفترة غير صحيحة",IF(ISNA(MATCH($G4122,Lists!$B$2:$B$7,0)),"✖ المجموعة غير صحيحة",IF(NOT(OR($H4122="",$N4122&gt;0)),"✖ Start غير صحيح",IF(NOT(OR($I4122="",$I4122="NR",$O4122&gt;0)),"✖ Current غير صحيح",IF(NOT(IF(ISNUMBER($J4122),AND($J4122&gt;=0,$J4122=INT($J4122)),FALSE())),"✖ العدد يجب أن يكون صحيحًا ≥ 0",IF(AND($F4122="Baseline",$H4122&lt;&gt;""),"⚠ Baseline: Start لا يدخل في التقدم",IF($K4122="No Start (attainment only)","ℹ تحصيل فقط (بدون Start)",IF($K4122="U – needs rule","ℹ حالة U تحتاج قاعدة معتمدة",IF($K4122="No result","ℹ بدون نتيجة (يُستبعد من التحصيل)","OK")))))))))))</f>
        <v/>
      </c>
      <c r="M4122" s="64" t="n">
        <f aca="false">IF($A4122="",0,IFERROR(MATCH($A4122,Classes!$A$6:$A$420,0),0))</f>
        <v>0</v>
      </c>
      <c r="N4122" s="64" t="n">
        <f aca="false">IF($H4122="",0,IFERROR(MATCH($H4122,GradeList,0),0))</f>
        <v>0</v>
      </c>
      <c r="O4122" s="64" t="n">
        <f aca="false">IF(OR($I4122="",$I4122="NR"),0,IFERROR(MATCH($I4122,GradeList,0),0))</f>
        <v>0</v>
      </c>
      <c r="P4122" s="64" t="n">
        <f aca="false">IF(AND($M4122&gt;0,ISNUMBER(MATCH($F4122,Lists!$A$2:$A$5,0)),ISNUMBER(MATCH($G4122,Lists!$B$2:$B$7,0)),OR($H4122="",$N4122&gt;0),OR($I4122="",$I4122="NR",$O4122&gt;0),IF(ISNUMBER($J4122),AND($J4122&gt;=0,$J4122=INT($J4122)),FALSE())),$J4122,0)</f>
        <v>0</v>
      </c>
      <c r="Q4122" s="64" t="n">
        <f aca="false">IF(AND($P4122&gt;0,$O4122&gt;0),$P4122,0)</f>
        <v>0</v>
      </c>
      <c r="R4122" s="64" t="n">
        <f aca="false">IF(AND($Q4122&gt;0,$O4122&gt;=AtRank),$Q4122,0)</f>
        <v>0</v>
      </c>
      <c r="S4122" s="64" t="n">
        <f aca="false">IF(AND($Q4122&gt;0,$O4122&gt;=AboveRank),$Q4122,0)</f>
        <v>0</v>
      </c>
      <c r="T4122" s="64" t="n">
        <f aca="false">IF($K4122="Less",$P4122,0)</f>
        <v>0</v>
      </c>
      <c r="U4122" s="64" t="n">
        <f aca="false">IF($K4122="Expected",$P4122,0)</f>
        <v>0</v>
      </c>
      <c r="V4122" s="64" t="n">
        <f aca="false">IF($K4122="Better",$P4122,0)</f>
        <v>0</v>
      </c>
      <c r="W4122" s="64" t="n">
        <f aca="false">IF($K4122="U – needs rule",$P4122,0)</f>
        <v>0</v>
      </c>
      <c r="X4122" s="64" t="n">
        <f aca="false">IF($K4122="No Start (attainment only)",$P4122,0)</f>
        <v>0</v>
      </c>
    </row>
    <row r="4123" customFormat="false" ht="15" hidden="false" customHeight="false" outlineLevel="0" collapsed="false">
      <c r="A4123" s="60"/>
      <c r="B4123" s="61" t="str">
        <f aca="false">IF($M4123=0,"",INDEX(Classes!$E$6:$E$420,$M4123))</f>
        <v/>
      </c>
      <c r="C4123" s="62" t="str">
        <f aca="false">IF($M4123=0,"",INDEX(Classes!$H$6:$H$420,$M4123))</f>
        <v/>
      </c>
      <c r="D4123" s="61" t="str">
        <f aca="false">IF($M4123=0,"",INDEX(Classes!$B$6:$B$420,$M4123))</f>
        <v/>
      </c>
      <c r="E4123" s="61" t="str">
        <f aca="false">IF($M4123=0,"",INDEX(Classes!$C$6:$C$420,$M4123))</f>
        <v/>
      </c>
      <c r="F4123" s="63"/>
      <c r="G4123" s="63"/>
      <c r="H4123" s="60"/>
      <c r="I4123" s="60"/>
      <c r="J4123" s="63"/>
      <c r="K4123" s="61" t="str">
        <f aca="false">IF($P4123=0,"",IF($F4123="Baseline","— Baseline",IF($O4123=0,"No result",IF($N4123=0,"No Start (attainment only)",IF(OR($N4123=1,$O4123=1),"U – needs rule",INDEX(MxBody,MATCH($I4123,MxCurr,0),MATCH($H4123,MxStart,0)))))))</f>
        <v/>
      </c>
      <c r="L4123" s="62" t="str">
        <f aca="false">IF(COUNTA($A4123,$F4123,$G4123,$H4123,$I4123,$J4123)=0,"",IF($M4123=0,"✖ كود الصف غير موجود",IF(ISNA(MATCH($F4123,Lists!$A$2:$A$5,0)),"✖ الفترة غير صحيحة",IF(ISNA(MATCH($G4123,Lists!$B$2:$B$7,0)),"✖ المجموعة غير صحيحة",IF(NOT(OR($H4123="",$N4123&gt;0)),"✖ Start غير صحيح",IF(NOT(OR($I4123="",$I4123="NR",$O4123&gt;0)),"✖ Current غير صحيح",IF(NOT(IF(ISNUMBER($J4123),AND($J4123&gt;=0,$J4123=INT($J4123)),FALSE())),"✖ العدد يجب أن يكون صحيحًا ≥ 0",IF(AND($F4123="Baseline",$H4123&lt;&gt;""),"⚠ Baseline: Start لا يدخل في التقدم",IF($K4123="No Start (attainment only)","ℹ تحصيل فقط (بدون Start)",IF($K4123="U – needs rule","ℹ حالة U تحتاج قاعدة معتمدة",IF($K4123="No result","ℹ بدون نتيجة (يُستبعد من التحصيل)","OK")))))))))))</f>
        <v/>
      </c>
      <c r="M4123" s="64" t="n">
        <f aca="false">IF($A4123="",0,IFERROR(MATCH($A4123,Classes!$A$6:$A$420,0),0))</f>
        <v>0</v>
      </c>
      <c r="N4123" s="64" t="n">
        <f aca="false">IF($H4123="",0,IFERROR(MATCH($H4123,GradeList,0),0))</f>
        <v>0</v>
      </c>
      <c r="O4123" s="64" t="n">
        <f aca="false">IF(OR($I4123="",$I4123="NR"),0,IFERROR(MATCH($I4123,GradeList,0),0))</f>
        <v>0</v>
      </c>
      <c r="P4123" s="64" t="n">
        <f aca="false">IF(AND($M4123&gt;0,ISNUMBER(MATCH($F4123,Lists!$A$2:$A$5,0)),ISNUMBER(MATCH($G4123,Lists!$B$2:$B$7,0)),OR($H4123="",$N4123&gt;0),OR($I4123="",$I4123="NR",$O4123&gt;0),IF(ISNUMBER($J4123),AND($J4123&gt;=0,$J4123=INT($J4123)),FALSE())),$J4123,0)</f>
        <v>0</v>
      </c>
      <c r="Q4123" s="64" t="n">
        <f aca="false">IF(AND($P4123&gt;0,$O4123&gt;0),$P4123,0)</f>
        <v>0</v>
      </c>
      <c r="R4123" s="64" t="n">
        <f aca="false">IF(AND($Q4123&gt;0,$O4123&gt;=AtRank),$Q4123,0)</f>
        <v>0</v>
      </c>
      <c r="S4123" s="64" t="n">
        <f aca="false">IF(AND($Q4123&gt;0,$O4123&gt;=AboveRank),$Q4123,0)</f>
        <v>0</v>
      </c>
      <c r="T4123" s="64" t="n">
        <f aca="false">IF($K4123="Less",$P4123,0)</f>
        <v>0</v>
      </c>
      <c r="U4123" s="64" t="n">
        <f aca="false">IF($K4123="Expected",$P4123,0)</f>
        <v>0</v>
      </c>
      <c r="V4123" s="64" t="n">
        <f aca="false">IF($K4123="Better",$P4123,0)</f>
        <v>0</v>
      </c>
      <c r="W4123" s="64" t="n">
        <f aca="false">IF($K4123="U – needs rule",$P4123,0)</f>
        <v>0</v>
      </c>
      <c r="X4123" s="64" t="n">
        <f aca="false">IF($K4123="No Start (attainment only)",$P4123,0)</f>
        <v>0</v>
      </c>
    </row>
    <row r="4124" customFormat="false" ht="15" hidden="false" customHeight="false" outlineLevel="0" collapsed="false">
      <c r="A4124" s="60"/>
      <c r="B4124" s="61" t="str">
        <f aca="false">IF($M4124=0,"",INDEX(Classes!$E$6:$E$420,$M4124))</f>
        <v/>
      </c>
      <c r="C4124" s="62" t="str">
        <f aca="false">IF($M4124=0,"",INDEX(Classes!$H$6:$H$420,$M4124))</f>
        <v/>
      </c>
      <c r="D4124" s="61" t="str">
        <f aca="false">IF($M4124=0,"",INDEX(Classes!$B$6:$B$420,$M4124))</f>
        <v/>
      </c>
      <c r="E4124" s="61" t="str">
        <f aca="false">IF($M4124=0,"",INDEX(Classes!$C$6:$C$420,$M4124))</f>
        <v/>
      </c>
      <c r="F4124" s="63"/>
      <c r="G4124" s="63"/>
      <c r="H4124" s="60"/>
      <c r="I4124" s="60"/>
      <c r="J4124" s="63"/>
      <c r="K4124" s="61" t="str">
        <f aca="false">IF($P4124=0,"",IF($F4124="Baseline","— Baseline",IF($O4124=0,"No result",IF($N4124=0,"No Start (attainment only)",IF(OR($N4124=1,$O4124=1),"U – needs rule",INDEX(MxBody,MATCH($I4124,MxCurr,0),MATCH($H4124,MxStart,0)))))))</f>
        <v/>
      </c>
      <c r="L4124" s="62" t="str">
        <f aca="false">IF(COUNTA($A4124,$F4124,$G4124,$H4124,$I4124,$J4124)=0,"",IF($M4124=0,"✖ كود الصف غير موجود",IF(ISNA(MATCH($F4124,Lists!$A$2:$A$5,0)),"✖ الفترة غير صحيحة",IF(ISNA(MATCH($G4124,Lists!$B$2:$B$7,0)),"✖ المجموعة غير صحيحة",IF(NOT(OR($H4124="",$N4124&gt;0)),"✖ Start غير صحيح",IF(NOT(OR($I4124="",$I4124="NR",$O4124&gt;0)),"✖ Current غير صحيح",IF(NOT(IF(ISNUMBER($J4124),AND($J4124&gt;=0,$J4124=INT($J4124)),FALSE())),"✖ العدد يجب أن يكون صحيحًا ≥ 0",IF(AND($F4124="Baseline",$H4124&lt;&gt;""),"⚠ Baseline: Start لا يدخل في التقدم",IF($K4124="No Start (attainment only)","ℹ تحصيل فقط (بدون Start)",IF($K4124="U – needs rule","ℹ حالة U تحتاج قاعدة معتمدة",IF($K4124="No result","ℹ بدون نتيجة (يُستبعد من التحصيل)","OK")))))))))))</f>
        <v/>
      </c>
      <c r="M4124" s="64" t="n">
        <f aca="false">IF($A4124="",0,IFERROR(MATCH($A4124,Classes!$A$6:$A$420,0),0))</f>
        <v>0</v>
      </c>
      <c r="N4124" s="64" t="n">
        <f aca="false">IF($H4124="",0,IFERROR(MATCH($H4124,GradeList,0),0))</f>
        <v>0</v>
      </c>
      <c r="O4124" s="64" t="n">
        <f aca="false">IF(OR($I4124="",$I4124="NR"),0,IFERROR(MATCH($I4124,GradeList,0),0))</f>
        <v>0</v>
      </c>
      <c r="P4124" s="64" t="n">
        <f aca="false">IF(AND($M4124&gt;0,ISNUMBER(MATCH($F4124,Lists!$A$2:$A$5,0)),ISNUMBER(MATCH($G4124,Lists!$B$2:$B$7,0)),OR($H4124="",$N4124&gt;0),OR($I4124="",$I4124="NR",$O4124&gt;0),IF(ISNUMBER($J4124),AND($J4124&gt;=0,$J4124=INT($J4124)),FALSE())),$J4124,0)</f>
        <v>0</v>
      </c>
      <c r="Q4124" s="64" t="n">
        <f aca="false">IF(AND($P4124&gt;0,$O4124&gt;0),$P4124,0)</f>
        <v>0</v>
      </c>
      <c r="R4124" s="64" t="n">
        <f aca="false">IF(AND($Q4124&gt;0,$O4124&gt;=AtRank),$Q4124,0)</f>
        <v>0</v>
      </c>
      <c r="S4124" s="64" t="n">
        <f aca="false">IF(AND($Q4124&gt;0,$O4124&gt;=AboveRank),$Q4124,0)</f>
        <v>0</v>
      </c>
      <c r="T4124" s="64" t="n">
        <f aca="false">IF($K4124="Less",$P4124,0)</f>
        <v>0</v>
      </c>
      <c r="U4124" s="64" t="n">
        <f aca="false">IF($K4124="Expected",$P4124,0)</f>
        <v>0</v>
      </c>
      <c r="V4124" s="64" t="n">
        <f aca="false">IF($K4124="Better",$P4124,0)</f>
        <v>0</v>
      </c>
      <c r="W4124" s="64" t="n">
        <f aca="false">IF($K4124="U – needs rule",$P4124,0)</f>
        <v>0</v>
      </c>
      <c r="X4124" s="64" t="n">
        <f aca="false">IF($K4124="No Start (attainment only)",$P4124,0)</f>
        <v>0</v>
      </c>
    </row>
    <row r="4125" customFormat="false" ht="15" hidden="false" customHeight="false" outlineLevel="0" collapsed="false">
      <c r="A4125" s="60"/>
      <c r="B4125" s="61" t="str">
        <f aca="false">IF($M4125=0,"",INDEX(Classes!$E$6:$E$420,$M4125))</f>
        <v/>
      </c>
      <c r="C4125" s="62" t="str">
        <f aca="false">IF($M4125=0,"",INDEX(Classes!$H$6:$H$420,$M4125))</f>
        <v/>
      </c>
      <c r="D4125" s="61" t="str">
        <f aca="false">IF($M4125=0,"",INDEX(Classes!$B$6:$B$420,$M4125))</f>
        <v/>
      </c>
      <c r="E4125" s="61" t="str">
        <f aca="false">IF($M4125=0,"",INDEX(Classes!$C$6:$C$420,$M4125))</f>
        <v/>
      </c>
      <c r="F4125" s="63"/>
      <c r="G4125" s="63"/>
      <c r="H4125" s="60"/>
      <c r="I4125" s="60"/>
      <c r="J4125" s="63"/>
      <c r="K4125" s="61" t="str">
        <f aca="false">IF($P4125=0,"",IF($F4125="Baseline","— Baseline",IF($O4125=0,"No result",IF($N4125=0,"No Start (attainment only)",IF(OR($N4125=1,$O4125=1),"U – needs rule",INDEX(MxBody,MATCH($I4125,MxCurr,0),MATCH($H4125,MxStart,0)))))))</f>
        <v/>
      </c>
      <c r="L4125" s="62" t="str">
        <f aca="false">IF(COUNTA($A4125,$F4125,$G4125,$H4125,$I4125,$J4125)=0,"",IF($M4125=0,"✖ كود الصف غير موجود",IF(ISNA(MATCH($F4125,Lists!$A$2:$A$5,0)),"✖ الفترة غير صحيحة",IF(ISNA(MATCH($G4125,Lists!$B$2:$B$7,0)),"✖ المجموعة غير صحيحة",IF(NOT(OR($H4125="",$N4125&gt;0)),"✖ Start غير صحيح",IF(NOT(OR($I4125="",$I4125="NR",$O4125&gt;0)),"✖ Current غير صحيح",IF(NOT(IF(ISNUMBER($J4125),AND($J4125&gt;=0,$J4125=INT($J4125)),FALSE())),"✖ العدد يجب أن يكون صحيحًا ≥ 0",IF(AND($F4125="Baseline",$H4125&lt;&gt;""),"⚠ Baseline: Start لا يدخل في التقدم",IF($K4125="No Start (attainment only)","ℹ تحصيل فقط (بدون Start)",IF($K4125="U – needs rule","ℹ حالة U تحتاج قاعدة معتمدة",IF($K4125="No result","ℹ بدون نتيجة (يُستبعد من التحصيل)","OK")))))))))))</f>
        <v/>
      </c>
      <c r="M4125" s="64" t="n">
        <f aca="false">IF($A4125="",0,IFERROR(MATCH($A4125,Classes!$A$6:$A$420,0),0))</f>
        <v>0</v>
      </c>
      <c r="N4125" s="64" t="n">
        <f aca="false">IF($H4125="",0,IFERROR(MATCH($H4125,GradeList,0),0))</f>
        <v>0</v>
      </c>
      <c r="O4125" s="64" t="n">
        <f aca="false">IF(OR($I4125="",$I4125="NR"),0,IFERROR(MATCH($I4125,GradeList,0),0))</f>
        <v>0</v>
      </c>
      <c r="P4125" s="64" t="n">
        <f aca="false">IF(AND($M4125&gt;0,ISNUMBER(MATCH($F4125,Lists!$A$2:$A$5,0)),ISNUMBER(MATCH($G4125,Lists!$B$2:$B$7,0)),OR($H4125="",$N4125&gt;0),OR($I4125="",$I4125="NR",$O4125&gt;0),IF(ISNUMBER($J4125),AND($J4125&gt;=0,$J4125=INT($J4125)),FALSE())),$J4125,0)</f>
        <v>0</v>
      </c>
      <c r="Q4125" s="64" t="n">
        <f aca="false">IF(AND($P4125&gt;0,$O4125&gt;0),$P4125,0)</f>
        <v>0</v>
      </c>
      <c r="R4125" s="64" t="n">
        <f aca="false">IF(AND($Q4125&gt;0,$O4125&gt;=AtRank),$Q4125,0)</f>
        <v>0</v>
      </c>
      <c r="S4125" s="64" t="n">
        <f aca="false">IF(AND($Q4125&gt;0,$O4125&gt;=AboveRank),$Q4125,0)</f>
        <v>0</v>
      </c>
      <c r="T4125" s="64" t="n">
        <f aca="false">IF($K4125="Less",$P4125,0)</f>
        <v>0</v>
      </c>
      <c r="U4125" s="64" t="n">
        <f aca="false">IF($K4125="Expected",$P4125,0)</f>
        <v>0</v>
      </c>
      <c r="V4125" s="64" t="n">
        <f aca="false">IF($K4125="Better",$P4125,0)</f>
        <v>0</v>
      </c>
      <c r="W4125" s="64" t="n">
        <f aca="false">IF($K4125="U – needs rule",$P4125,0)</f>
        <v>0</v>
      </c>
      <c r="X4125" s="64" t="n">
        <f aca="false">IF($K4125="No Start (attainment only)",$P4125,0)</f>
        <v>0</v>
      </c>
    </row>
    <row r="4126" customFormat="false" ht="15" hidden="false" customHeight="false" outlineLevel="0" collapsed="false">
      <c r="A4126" s="60"/>
      <c r="B4126" s="61" t="str">
        <f aca="false">IF($M4126=0,"",INDEX(Classes!$E$6:$E$420,$M4126))</f>
        <v/>
      </c>
      <c r="C4126" s="62" t="str">
        <f aca="false">IF($M4126=0,"",INDEX(Classes!$H$6:$H$420,$M4126))</f>
        <v/>
      </c>
      <c r="D4126" s="61" t="str">
        <f aca="false">IF($M4126=0,"",INDEX(Classes!$B$6:$B$420,$M4126))</f>
        <v/>
      </c>
      <c r="E4126" s="61" t="str">
        <f aca="false">IF($M4126=0,"",INDEX(Classes!$C$6:$C$420,$M4126))</f>
        <v/>
      </c>
      <c r="F4126" s="63"/>
      <c r="G4126" s="63"/>
      <c r="H4126" s="60"/>
      <c r="I4126" s="60"/>
      <c r="J4126" s="63"/>
      <c r="K4126" s="61" t="str">
        <f aca="false">IF($P4126=0,"",IF($F4126="Baseline","— Baseline",IF($O4126=0,"No result",IF($N4126=0,"No Start (attainment only)",IF(OR($N4126=1,$O4126=1),"U – needs rule",INDEX(MxBody,MATCH($I4126,MxCurr,0),MATCH($H4126,MxStart,0)))))))</f>
        <v/>
      </c>
      <c r="L4126" s="62" t="str">
        <f aca="false">IF(COUNTA($A4126,$F4126,$G4126,$H4126,$I4126,$J4126)=0,"",IF($M4126=0,"✖ كود الصف غير موجود",IF(ISNA(MATCH($F4126,Lists!$A$2:$A$5,0)),"✖ الفترة غير صحيحة",IF(ISNA(MATCH($G4126,Lists!$B$2:$B$7,0)),"✖ المجموعة غير صحيحة",IF(NOT(OR($H4126="",$N4126&gt;0)),"✖ Start غير صحيح",IF(NOT(OR($I4126="",$I4126="NR",$O4126&gt;0)),"✖ Current غير صحيح",IF(NOT(IF(ISNUMBER($J4126),AND($J4126&gt;=0,$J4126=INT($J4126)),FALSE())),"✖ العدد يجب أن يكون صحيحًا ≥ 0",IF(AND($F4126="Baseline",$H4126&lt;&gt;""),"⚠ Baseline: Start لا يدخل في التقدم",IF($K4126="No Start (attainment only)","ℹ تحصيل فقط (بدون Start)",IF($K4126="U – needs rule","ℹ حالة U تحتاج قاعدة معتمدة",IF($K4126="No result","ℹ بدون نتيجة (يُستبعد من التحصيل)","OK")))))))))))</f>
        <v/>
      </c>
      <c r="M4126" s="64" t="n">
        <f aca="false">IF($A4126="",0,IFERROR(MATCH($A4126,Classes!$A$6:$A$420,0),0))</f>
        <v>0</v>
      </c>
      <c r="N4126" s="64" t="n">
        <f aca="false">IF($H4126="",0,IFERROR(MATCH($H4126,GradeList,0),0))</f>
        <v>0</v>
      </c>
      <c r="O4126" s="64" t="n">
        <f aca="false">IF(OR($I4126="",$I4126="NR"),0,IFERROR(MATCH($I4126,GradeList,0),0))</f>
        <v>0</v>
      </c>
      <c r="P4126" s="64" t="n">
        <f aca="false">IF(AND($M4126&gt;0,ISNUMBER(MATCH($F4126,Lists!$A$2:$A$5,0)),ISNUMBER(MATCH($G4126,Lists!$B$2:$B$7,0)),OR($H4126="",$N4126&gt;0),OR($I4126="",$I4126="NR",$O4126&gt;0),IF(ISNUMBER($J4126),AND($J4126&gt;=0,$J4126=INT($J4126)),FALSE())),$J4126,0)</f>
        <v>0</v>
      </c>
      <c r="Q4126" s="64" t="n">
        <f aca="false">IF(AND($P4126&gt;0,$O4126&gt;0),$P4126,0)</f>
        <v>0</v>
      </c>
      <c r="R4126" s="64" t="n">
        <f aca="false">IF(AND($Q4126&gt;0,$O4126&gt;=AtRank),$Q4126,0)</f>
        <v>0</v>
      </c>
      <c r="S4126" s="64" t="n">
        <f aca="false">IF(AND($Q4126&gt;0,$O4126&gt;=AboveRank),$Q4126,0)</f>
        <v>0</v>
      </c>
      <c r="T4126" s="64" t="n">
        <f aca="false">IF($K4126="Less",$P4126,0)</f>
        <v>0</v>
      </c>
      <c r="U4126" s="64" t="n">
        <f aca="false">IF($K4126="Expected",$P4126,0)</f>
        <v>0</v>
      </c>
      <c r="V4126" s="64" t="n">
        <f aca="false">IF($K4126="Better",$P4126,0)</f>
        <v>0</v>
      </c>
      <c r="W4126" s="64" t="n">
        <f aca="false">IF($K4126="U – needs rule",$P4126,0)</f>
        <v>0</v>
      </c>
      <c r="X4126" s="64" t="n">
        <f aca="false">IF($K4126="No Start (attainment only)",$P4126,0)</f>
        <v>0</v>
      </c>
    </row>
    <row r="4127" customFormat="false" ht="15" hidden="false" customHeight="false" outlineLevel="0" collapsed="false">
      <c r="A4127" s="60"/>
      <c r="B4127" s="61" t="str">
        <f aca="false">IF($M4127=0,"",INDEX(Classes!$E$6:$E$420,$M4127))</f>
        <v/>
      </c>
      <c r="C4127" s="62" t="str">
        <f aca="false">IF($M4127=0,"",INDEX(Classes!$H$6:$H$420,$M4127))</f>
        <v/>
      </c>
      <c r="D4127" s="61" t="str">
        <f aca="false">IF($M4127=0,"",INDEX(Classes!$B$6:$B$420,$M4127))</f>
        <v/>
      </c>
      <c r="E4127" s="61" t="str">
        <f aca="false">IF($M4127=0,"",INDEX(Classes!$C$6:$C$420,$M4127))</f>
        <v/>
      </c>
      <c r="F4127" s="63"/>
      <c r="G4127" s="63"/>
      <c r="H4127" s="60"/>
      <c r="I4127" s="60"/>
      <c r="J4127" s="63"/>
      <c r="K4127" s="61" t="str">
        <f aca="false">IF($P4127=0,"",IF($F4127="Baseline","— Baseline",IF($O4127=0,"No result",IF($N4127=0,"No Start (attainment only)",IF(OR($N4127=1,$O4127=1),"U – needs rule",INDEX(MxBody,MATCH($I4127,MxCurr,0),MATCH($H4127,MxStart,0)))))))</f>
        <v/>
      </c>
      <c r="L4127" s="62" t="str">
        <f aca="false">IF(COUNTA($A4127,$F4127,$G4127,$H4127,$I4127,$J4127)=0,"",IF($M4127=0,"✖ كود الصف غير موجود",IF(ISNA(MATCH($F4127,Lists!$A$2:$A$5,0)),"✖ الفترة غير صحيحة",IF(ISNA(MATCH($G4127,Lists!$B$2:$B$7,0)),"✖ المجموعة غير صحيحة",IF(NOT(OR($H4127="",$N4127&gt;0)),"✖ Start غير صحيح",IF(NOT(OR($I4127="",$I4127="NR",$O4127&gt;0)),"✖ Current غير صحيح",IF(NOT(IF(ISNUMBER($J4127),AND($J4127&gt;=0,$J4127=INT($J4127)),FALSE())),"✖ العدد يجب أن يكون صحيحًا ≥ 0",IF(AND($F4127="Baseline",$H4127&lt;&gt;""),"⚠ Baseline: Start لا يدخل في التقدم",IF($K4127="No Start (attainment only)","ℹ تحصيل فقط (بدون Start)",IF($K4127="U – needs rule","ℹ حالة U تحتاج قاعدة معتمدة",IF($K4127="No result","ℹ بدون نتيجة (يُستبعد من التحصيل)","OK")))))))))))</f>
        <v/>
      </c>
      <c r="M4127" s="64" t="n">
        <f aca="false">IF($A4127="",0,IFERROR(MATCH($A4127,Classes!$A$6:$A$420,0),0))</f>
        <v>0</v>
      </c>
      <c r="N4127" s="64" t="n">
        <f aca="false">IF($H4127="",0,IFERROR(MATCH($H4127,GradeList,0),0))</f>
        <v>0</v>
      </c>
      <c r="O4127" s="64" t="n">
        <f aca="false">IF(OR($I4127="",$I4127="NR"),0,IFERROR(MATCH($I4127,GradeList,0),0))</f>
        <v>0</v>
      </c>
      <c r="P4127" s="64" t="n">
        <f aca="false">IF(AND($M4127&gt;0,ISNUMBER(MATCH($F4127,Lists!$A$2:$A$5,0)),ISNUMBER(MATCH($G4127,Lists!$B$2:$B$7,0)),OR($H4127="",$N4127&gt;0),OR($I4127="",$I4127="NR",$O4127&gt;0),IF(ISNUMBER($J4127),AND($J4127&gt;=0,$J4127=INT($J4127)),FALSE())),$J4127,0)</f>
        <v>0</v>
      </c>
      <c r="Q4127" s="64" t="n">
        <f aca="false">IF(AND($P4127&gt;0,$O4127&gt;0),$P4127,0)</f>
        <v>0</v>
      </c>
      <c r="R4127" s="64" t="n">
        <f aca="false">IF(AND($Q4127&gt;0,$O4127&gt;=AtRank),$Q4127,0)</f>
        <v>0</v>
      </c>
      <c r="S4127" s="64" t="n">
        <f aca="false">IF(AND($Q4127&gt;0,$O4127&gt;=AboveRank),$Q4127,0)</f>
        <v>0</v>
      </c>
      <c r="T4127" s="64" t="n">
        <f aca="false">IF($K4127="Less",$P4127,0)</f>
        <v>0</v>
      </c>
      <c r="U4127" s="64" t="n">
        <f aca="false">IF($K4127="Expected",$P4127,0)</f>
        <v>0</v>
      </c>
      <c r="V4127" s="64" t="n">
        <f aca="false">IF($K4127="Better",$P4127,0)</f>
        <v>0</v>
      </c>
      <c r="W4127" s="64" t="n">
        <f aca="false">IF($K4127="U – needs rule",$P4127,0)</f>
        <v>0</v>
      </c>
      <c r="X4127" s="64" t="n">
        <f aca="false">IF($K4127="No Start (attainment only)",$P4127,0)</f>
        <v>0</v>
      </c>
    </row>
    <row r="4128" customFormat="false" ht="15" hidden="false" customHeight="false" outlineLevel="0" collapsed="false">
      <c r="A4128" s="60"/>
      <c r="B4128" s="61" t="str">
        <f aca="false">IF($M4128=0,"",INDEX(Classes!$E$6:$E$420,$M4128))</f>
        <v/>
      </c>
      <c r="C4128" s="62" t="str">
        <f aca="false">IF($M4128=0,"",INDEX(Classes!$H$6:$H$420,$M4128))</f>
        <v/>
      </c>
      <c r="D4128" s="61" t="str">
        <f aca="false">IF($M4128=0,"",INDEX(Classes!$B$6:$B$420,$M4128))</f>
        <v/>
      </c>
      <c r="E4128" s="61" t="str">
        <f aca="false">IF($M4128=0,"",INDEX(Classes!$C$6:$C$420,$M4128))</f>
        <v/>
      </c>
      <c r="F4128" s="63"/>
      <c r="G4128" s="63"/>
      <c r="H4128" s="60"/>
      <c r="I4128" s="60"/>
      <c r="J4128" s="63"/>
      <c r="K4128" s="61" t="str">
        <f aca="false">IF($P4128=0,"",IF($F4128="Baseline","— Baseline",IF($O4128=0,"No result",IF($N4128=0,"No Start (attainment only)",IF(OR($N4128=1,$O4128=1),"U – needs rule",INDEX(MxBody,MATCH($I4128,MxCurr,0),MATCH($H4128,MxStart,0)))))))</f>
        <v/>
      </c>
      <c r="L4128" s="62" t="str">
        <f aca="false">IF(COUNTA($A4128,$F4128,$G4128,$H4128,$I4128,$J4128)=0,"",IF($M4128=0,"✖ كود الصف غير موجود",IF(ISNA(MATCH($F4128,Lists!$A$2:$A$5,0)),"✖ الفترة غير صحيحة",IF(ISNA(MATCH($G4128,Lists!$B$2:$B$7,0)),"✖ المجموعة غير صحيحة",IF(NOT(OR($H4128="",$N4128&gt;0)),"✖ Start غير صحيح",IF(NOT(OR($I4128="",$I4128="NR",$O4128&gt;0)),"✖ Current غير صحيح",IF(NOT(IF(ISNUMBER($J4128),AND($J4128&gt;=0,$J4128=INT($J4128)),FALSE())),"✖ العدد يجب أن يكون صحيحًا ≥ 0",IF(AND($F4128="Baseline",$H4128&lt;&gt;""),"⚠ Baseline: Start لا يدخل في التقدم",IF($K4128="No Start (attainment only)","ℹ تحصيل فقط (بدون Start)",IF($K4128="U – needs rule","ℹ حالة U تحتاج قاعدة معتمدة",IF($K4128="No result","ℹ بدون نتيجة (يُستبعد من التحصيل)","OK")))))))))))</f>
        <v/>
      </c>
      <c r="M4128" s="64" t="n">
        <f aca="false">IF($A4128="",0,IFERROR(MATCH($A4128,Classes!$A$6:$A$420,0),0))</f>
        <v>0</v>
      </c>
      <c r="N4128" s="64" t="n">
        <f aca="false">IF($H4128="",0,IFERROR(MATCH($H4128,GradeList,0),0))</f>
        <v>0</v>
      </c>
      <c r="O4128" s="64" t="n">
        <f aca="false">IF(OR($I4128="",$I4128="NR"),0,IFERROR(MATCH($I4128,GradeList,0),0))</f>
        <v>0</v>
      </c>
      <c r="P4128" s="64" t="n">
        <f aca="false">IF(AND($M4128&gt;0,ISNUMBER(MATCH($F4128,Lists!$A$2:$A$5,0)),ISNUMBER(MATCH($G4128,Lists!$B$2:$B$7,0)),OR($H4128="",$N4128&gt;0),OR($I4128="",$I4128="NR",$O4128&gt;0),IF(ISNUMBER($J4128),AND($J4128&gt;=0,$J4128=INT($J4128)),FALSE())),$J4128,0)</f>
        <v>0</v>
      </c>
      <c r="Q4128" s="64" t="n">
        <f aca="false">IF(AND($P4128&gt;0,$O4128&gt;0),$P4128,0)</f>
        <v>0</v>
      </c>
      <c r="R4128" s="64" t="n">
        <f aca="false">IF(AND($Q4128&gt;0,$O4128&gt;=AtRank),$Q4128,0)</f>
        <v>0</v>
      </c>
      <c r="S4128" s="64" t="n">
        <f aca="false">IF(AND($Q4128&gt;0,$O4128&gt;=AboveRank),$Q4128,0)</f>
        <v>0</v>
      </c>
      <c r="T4128" s="64" t="n">
        <f aca="false">IF($K4128="Less",$P4128,0)</f>
        <v>0</v>
      </c>
      <c r="U4128" s="64" t="n">
        <f aca="false">IF($K4128="Expected",$P4128,0)</f>
        <v>0</v>
      </c>
      <c r="V4128" s="64" t="n">
        <f aca="false">IF($K4128="Better",$P4128,0)</f>
        <v>0</v>
      </c>
      <c r="W4128" s="64" t="n">
        <f aca="false">IF($K4128="U – needs rule",$P4128,0)</f>
        <v>0</v>
      </c>
      <c r="X4128" s="64" t="n">
        <f aca="false">IF($K4128="No Start (attainment only)",$P4128,0)</f>
        <v>0</v>
      </c>
    </row>
    <row r="4129" customFormat="false" ht="15" hidden="false" customHeight="false" outlineLevel="0" collapsed="false">
      <c r="A4129" s="60"/>
      <c r="B4129" s="61" t="str">
        <f aca="false">IF($M4129=0,"",INDEX(Classes!$E$6:$E$420,$M4129))</f>
        <v/>
      </c>
      <c r="C4129" s="62" t="str">
        <f aca="false">IF($M4129=0,"",INDEX(Classes!$H$6:$H$420,$M4129))</f>
        <v/>
      </c>
      <c r="D4129" s="61" t="str">
        <f aca="false">IF($M4129=0,"",INDEX(Classes!$B$6:$B$420,$M4129))</f>
        <v/>
      </c>
      <c r="E4129" s="61" t="str">
        <f aca="false">IF($M4129=0,"",INDEX(Classes!$C$6:$C$420,$M4129))</f>
        <v/>
      </c>
      <c r="F4129" s="63"/>
      <c r="G4129" s="63"/>
      <c r="H4129" s="60"/>
      <c r="I4129" s="60"/>
      <c r="J4129" s="63"/>
      <c r="K4129" s="61" t="str">
        <f aca="false">IF($P4129=0,"",IF($F4129="Baseline","— Baseline",IF($O4129=0,"No result",IF($N4129=0,"No Start (attainment only)",IF(OR($N4129=1,$O4129=1),"U – needs rule",INDEX(MxBody,MATCH($I4129,MxCurr,0),MATCH($H4129,MxStart,0)))))))</f>
        <v/>
      </c>
      <c r="L4129" s="62" t="str">
        <f aca="false">IF(COUNTA($A4129,$F4129,$G4129,$H4129,$I4129,$J4129)=0,"",IF($M4129=0,"✖ كود الصف غير موجود",IF(ISNA(MATCH($F4129,Lists!$A$2:$A$5,0)),"✖ الفترة غير صحيحة",IF(ISNA(MATCH($G4129,Lists!$B$2:$B$7,0)),"✖ المجموعة غير صحيحة",IF(NOT(OR($H4129="",$N4129&gt;0)),"✖ Start غير صحيح",IF(NOT(OR($I4129="",$I4129="NR",$O4129&gt;0)),"✖ Current غير صحيح",IF(NOT(IF(ISNUMBER($J4129),AND($J4129&gt;=0,$J4129=INT($J4129)),FALSE())),"✖ العدد يجب أن يكون صحيحًا ≥ 0",IF(AND($F4129="Baseline",$H4129&lt;&gt;""),"⚠ Baseline: Start لا يدخل في التقدم",IF($K4129="No Start (attainment only)","ℹ تحصيل فقط (بدون Start)",IF($K4129="U – needs rule","ℹ حالة U تحتاج قاعدة معتمدة",IF($K4129="No result","ℹ بدون نتيجة (يُستبعد من التحصيل)","OK")))))))))))</f>
        <v/>
      </c>
      <c r="M4129" s="64" t="n">
        <f aca="false">IF($A4129="",0,IFERROR(MATCH($A4129,Classes!$A$6:$A$420,0),0))</f>
        <v>0</v>
      </c>
      <c r="N4129" s="64" t="n">
        <f aca="false">IF($H4129="",0,IFERROR(MATCH($H4129,GradeList,0),0))</f>
        <v>0</v>
      </c>
      <c r="O4129" s="64" t="n">
        <f aca="false">IF(OR($I4129="",$I4129="NR"),0,IFERROR(MATCH($I4129,GradeList,0),0))</f>
        <v>0</v>
      </c>
      <c r="P4129" s="64" t="n">
        <f aca="false">IF(AND($M4129&gt;0,ISNUMBER(MATCH($F4129,Lists!$A$2:$A$5,0)),ISNUMBER(MATCH($G4129,Lists!$B$2:$B$7,0)),OR($H4129="",$N4129&gt;0),OR($I4129="",$I4129="NR",$O4129&gt;0),IF(ISNUMBER($J4129),AND($J4129&gt;=0,$J4129=INT($J4129)),FALSE())),$J4129,0)</f>
        <v>0</v>
      </c>
      <c r="Q4129" s="64" t="n">
        <f aca="false">IF(AND($P4129&gt;0,$O4129&gt;0),$P4129,0)</f>
        <v>0</v>
      </c>
      <c r="R4129" s="64" t="n">
        <f aca="false">IF(AND($Q4129&gt;0,$O4129&gt;=AtRank),$Q4129,0)</f>
        <v>0</v>
      </c>
      <c r="S4129" s="64" t="n">
        <f aca="false">IF(AND($Q4129&gt;0,$O4129&gt;=AboveRank),$Q4129,0)</f>
        <v>0</v>
      </c>
      <c r="T4129" s="64" t="n">
        <f aca="false">IF($K4129="Less",$P4129,0)</f>
        <v>0</v>
      </c>
      <c r="U4129" s="64" t="n">
        <f aca="false">IF($K4129="Expected",$P4129,0)</f>
        <v>0</v>
      </c>
      <c r="V4129" s="64" t="n">
        <f aca="false">IF($K4129="Better",$P4129,0)</f>
        <v>0</v>
      </c>
      <c r="W4129" s="64" t="n">
        <f aca="false">IF($K4129="U – needs rule",$P4129,0)</f>
        <v>0</v>
      </c>
      <c r="X4129" s="64" t="n">
        <f aca="false">IF($K4129="No Start (attainment only)",$P4129,0)</f>
        <v>0</v>
      </c>
    </row>
    <row r="4130" customFormat="false" ht="15" hidden="false" customHeight="false" outlineLevel="0" collapsed="false">
      <c r="A4130" s="60"/>
      <c r="B4130" s="61" t="str">
        <f aca="false">IF($M4130=0,"",INDEX(Classes!$E$6:$E$420,$M4130))</f>
        <v/>
      </c>
      <c r="C4130" s="62" t="str">
        <f aca="false">IF($M4130=0,"",INDEX(Classes!$H$6:$H$420,$M4130))</f>
        <v/>
      </c>
      <c r="D4130" s="61" t="str">
        <f aca="false">IF($M4130=0,"",INDEX(Classes!$B$6:$B$420,$M4130))</f>
        <v/>
      </c>
      <c r="E4130" s="61" t="str">
        <f aca="false">IF($M4130=0,"",INDEX(Classes!$C$6:$C$420,$M4130))</f>
        <v/>
      </c>
      <c r="F4130" s="63"/>
      <c r="G4130" s="63"/>
      <c r="H4130" s="60"/>
      <c r="I4130" s="60"/>
      <c r="J4130" s="63"/>
      <c r="K4130" s="61" t="str">
        <f aca="false">IF($P4130=0,"",IF($F4130="Baseline","— Baseline",IF($O4130=0,"No result",IF($N4130=0,"No Start (attainment only)",IF(OR($N4130=1,$O4130=1),"U – needs rule",INDEX(MxBody,MATCH($I4130,MxCurr,0),MATCH($H4130,MxStart,0)))))))</f>
        <v/>
      </c>
      <c r="L4130" s="62" t="str">
        <f aca="false">IF(COUNTA($A4130,$F4130,$G4130,$H4130,$I4130,$J4130)=0,"",IF($M4130=0,"✖ كود الصف غير موجود",IF(ISNA(MATCH($F4130,Lists!$A$2:$A$5,0)),"✖ الفترة غير صحيحة",IF(ISNA(MATCH($G4130,Lists!$B$2:$B$7,0)),"✖ المجموعة غير صحيحة",IF(NOT(OR($H4130="",$N4130&gt;0)),"✖ Start غير صحيح",IF(NOT(OR($I4130="",$I4130="NR",$O4130&gt;0)),"✖ Current غير صحيح",IF(NOT(IF(ISNUMBER($J4130),AND($J4130&gt;=0,$J4130=INT($J4130)),FALSE())),"✖ العدد يجب أن يكون صحيحًا ≥ 0",IF(AND($F4130="Baseline",$H4130&lt;&gt;""),"⚠ Baseline: Start لا يدخل في التقدم",IF($K4130="No Start (attainment only)","ℹ تحصيل فقط (بدون Start)",IF($K4130="U – needs rule","ℹ حالة U تحتاج قاعدة معتمدة",IF($K4130="No result","ℹ بدون نتيجة (يُستبعد من التحصيل)","OK")))))))))))</f>
        <v/>
      </c>
      <c r="M4130" s="64" t="n">
        <f aca="false">IF($A4130="",0,IFERROR(MATCH($A4130,Classes!$A$6:$A$420,0),0))</f>
        <v>0</v>
      </c>
      <c r="N4130" s="64" t="n">
        <f aca="false">IF($H4130="",0,IFERROR(MATCH($H4130,GradeList,0),0))</f>
        <v>0</v>
      </c>
      <c r="O4130" s="64" t="n">
        <f aca="false">IF(OR($I4130="",$I4130="NR"),0,IFERROR(MATCH($I4130,GradeList,0),0))</f>
        <v>0</v>
      </c>
      <c r="P4130" s="64" t="n">
        <f aca="false">IF(AND($M4130&gt;0,ISNUMBER(MATCH($F4130,Lists!$A$2:$A$5,0)),ISNUMBER(MATCH($G4130,Lists!$B$2:$B$7,0)),OR($H4130="",$N4130&gt;0),OR($I4130="",$I4130="NR",$O4130&gt;0),IF(ISNUMBER($J4130),AND($J4130&gt;=0,$J4130=INT($J4130)),FALSE())),$J4130,0)</f>
        <v>0</v>
      </c>
      <c r="Q4130" s="64" t="n">
        <f aca="false">IF(AND($P4130&gt;0,$O4130&gt;0),$P4130,0)</f>
        <v>0</v>
      </c>
      <c r="R4130" s="64" t="n">
        <f aca="false">IF(AND($Q4130&gt;0,$O4130&gt;=AtRank),$Q4130,0)</f>
        <v>0</v>
      </c>
      <c r="S4130" s="64" t="n">
        <f aca="false">IF(AND($Q4130&gt;0,$O4130&gt;=AboveRank),$Q4130,0)</f>
        <v>0</v>
      </c>
      <c r="T4130" s="64" t="n">
        <f aca="false">IF($K4130="Less",$P4130,0)</f>
        <v>0</v>
      </c>
      <c r="U4130" s="64" t="n">
        <f aca="false">IF($K4130="Expected",$P4130,0)</f>
        <v>0</v>
      </c>
      <c r="V4130" s="64" t="n">
        <f aca="false">IF($K4130="Better",$P4130,0)</f>
        <v>0</v>
      </c>
      <c r="W4130" s="64" t="n">
        <f aca="false">IF($K4130="U – needs rule",$P4130,0)</f>
        <v>0</v>
      </c>
      <c r="X4130" s="64" t="n">
        <f aca="false">IF($K4130="No Start (attainment only)",$P4130,0)</f>
        <v>0</v>
      </c>
    </row>
    <row r="4131" customFormat="false" ht="15" hidden="false" customHeight="false" outlineLevel="0" collapsed="false">
      <c r="A4131" s="60"/>
      <c r="B4131" s="61" t="str">
        <f aca="false">IF($M4131=0,"",INDEX(Classes!$E$6:$E$420,$M4131))</f>
        <v/>
      </c>
      <c r="C4131" s="62" t="str">
        <f aca="false">IF($M4131=0,"",INDEX(Classes!$H$6:$H$420,$M4131))</f>
        <v/>
      </c>
      <c r="D4131" s="61" t="str">
        <f aca="false">IF($M4131=0,"",INDEX(Classes!$B$6:$B$420,$M4131))</f>
        <v/>
      </c>
      <c r="E4131" s="61" t="str">
        <f aca="false">IF($M4131=0,"",INDEX(Classes!$C$6:$C$420,$M4131))</f>
        <v/>
      </c>
      <c r="F4131" s="63"/>
      <c r="G4131" s="63"/>
      <c r="H4131" s="60"/>
      <c r="I4131" s="60"/>
      <c r="J4131" s="63"/>
      <c r="K4131" s="61" t="str">
        <f aca="false">IF($P4131=0,"",IF($F4131="Baseline","— Baseline",IF($O4131=0,"No result",IF($N4131=0,"No Start (attainment only)",IF(OR($N4131=1,$O4131=1),"U – needs rule",INDEX(MxBody,MATCH($I4131,MxCurr,0),MATCH($H4131,MxStart,0)))))))</f>
        <v/>
      </c>
      <c r="L4131" s="62" t="str">
        <f aca="false">IF(COUNTA($A4131,$F4131,$G4131,$H4131,$I4131,$J4131)=0,"",IF($M4131=0,"✖ كود الصف غير موجود",IF(ISNA(MATCH($F4131,Lists!$A$2:$A$5,0)),"✖ الفترة غير صحيحة",IF(ISNA(MATCH($G4131,Lists!$B$2:$B$7,0)),"✖ المجموعة غير صحيحة",IF(NOT(OR($H4131="",$N4131&gt;0)),"✖ Start غير صحيح",IF(NOT(OR($I4131="",$I4131="NR",$O4131&gt;0)),"✖ Current غير صحيح",IF(NOT(IF(ISNUMBER($J4131),AND($J4131&gt;=0,$J4131=INT($J4131)),FALSE())),"✖ العدد يجب أن يكون صحيحًا ≥ 0",IF(AND($F4131="Baseline",$H4131&lt;&gt;""),"⚠ Baseline: Start لا يدخل في التقدم",IF($K4131="No Start (attainment only)","ℹ تحصيل فقط (بدون Start)",IF($K4131="U – needs rule","ℹ حالة U تحتاج قاعدة معتمدة",IF($K4131="No result","ℹ بدون نتيجة (يُستبعد من التحصيل)","OK")))))))))))</f>
        <v/>
      </c>
      <c r="M4131" s="64" t="n">
        <f aca="false">IF($A4131="",0,IFERROR(MATCH($A4131,Classes!$A$6:$A$420,0),0))</f>
        <v>0</v>
      </c>
      <c r="N4131" s="64" t="n">
        <f aca="false">IF($H4131="",0,IFERROR(MATCH($H4131,GradeList,0),0))</f>
        <v>0</v>
      </c>
      <c r="O4131" s="64" t="n">
        <f aca="false">IF(OR($I4131="",$I4131="NR"),0,IFERROR(MATCH($I4131,GradeList,0),0))</f>
        <v>0</v>
      </c>
      <c r="P4131" s="64" t="n">
        <f aca="false">IF(AND($M4131&gt;0,ISNUMBER(MATCH($F4131,Lists!$A$2:$A$5,0)),ISNUMBER(MATCH($G4131,Lists!$B$2:$B$7,0)),OR($H4131="",$N4131&gt;0),OR($I4131="",$I4131="NR",$O4131&gt;0),IF(ISNUMBER($J4131),AND($J4131&gt;=0,$J4131=INT($J4131)),FALSE())),$J4131,0)</f>
        <v>0</v>
      </c>
      <c r="Q4131" s="64" t="n">
        <f aca="false">IF(AND($P4131&gt;0,$O4131&gt;0),$P4131,0)</f>
        <v>0</v>
      </c>
      <c r="R4131" s="64" t="n">
        <f aca="false">IF(AND($Q4131&gt;0,$O4131&gt;=AtRank),$Q4131,0)</f>
        <v>0</v>
      </c>
      <c r="S4131" s="64" t="n">
        <f aca="false">IF(AND($Q4131&gt;0,$O4131&gt;=AboveRank),$Q4131,0)</f>
        <v>0</v>
      </c>
      <c r="T4131" s="64" t="n">
        <f aca="false">IF($K4131="Less",$P4131,0)</f>
        <v>0</v>
      </c>
      <c r="U4131" s="64" t="n">
        <f aca="false">IF($K4131="Expected",$P4131,0)</f>
        <v>0</v>
      </c>
      <c r="V4131" s="64" t="n">
        <f aca="false">IF($K4131="Better",$P4131,0)</f>
        <v>0</v>
      </c>
      <c r="W4131" s="64" t="n">
        <f aca="false">IF($K4131="U – needs rule",$P4131,0)</f>
        <v>0</v>
      </c>
      <c r="X4131" s="64" t="n">
        <f aca="false">IF($K4131="No Start (attainment only)",$P4131,0)</f>
        <v>0</v>
      </c>
    </row>
    <row r="4132" customFormat="false" ht="15" hidden="false" customHeight="false" outlineLevel="0" collapsed="false">
      <c r="A4132" s="60"/>
      <c r="B4132" s="61" t="str">
        <f aca="false">IF($M4132=0,"",INDEX(Classes!$E$6:$E$420,$M4132))</f>
        <v/>
      </c>
      <c r="C4132" s="62" t="str">
        <f aca="false">IF($M4132=0,"",INDEX(Classes!$H$6:$H$420,$M4132))</f>
        <v/>
      </c>
      <c r="D4132" s="61" t="str">
        <f aca="false">IF($M4132=0,"",INDEX(Classes!$B$6:$B$420,$M4132))</f>
        <v/>
      </c>
      <c r="E4132" s="61" t="str">
        <f aca="false">IF($M4132=0,"",INDEX(Classes!$C$6:$C$420,$M4132))</f>
        <v/>
      </c>
      <c r="F4132" s="63"/>
      <c r="G4132" s="63"/>
      <c r="H4132" s="60"/>
      <c r="I4132" s="60"/>
      <c r="J4132" s="63"/>
      <c r="K4132" s="61" t="str">
        <f aca="false">IF($P4132=0,"",IF($F4132="Baseline","— Baseline",IF($O4132=0,"No result",IF($N4132=0,"No Start (attainment only)",IF(OR($N4132=1,$O4132=1),"U – needs rule",INDEX(MxBody,MATCH($I4132,MxCurr,0),MATCH($H4132,MxStart,0)))))))</f>
        <v/>
      </c>
      <c r="L4132" s="62" t="str">
        <f aca="false">IF(COUNTA($A4132,$F4132,$G4132,$H4132,$I4132,$J4132)=0,"",IF($M4132=0,"✖ كود الصف غير موجود",IF(ISNA(MATCH($F4132,Lists!$A$2:$A$5,0)),"✖ الفترة غير صحيحة",IF(ISNA(MATCH($G4132,Lists!$B$2:$B$7,0)),"✖ المجموعة غير صحيحة",IF(NOT(OR($H4132="",$N4132&gt;0)),"✖ Start غير صحيح",IF(NOT(OR($I4132="",$I4132="NR",$O4132&gt;0)),"✖ Current غير صحيح",IF(NOT(IF(ISNUMBER($J4132),AND($J4132&gt;=0,$J4132=INT($J4132)),FALSE())),"✖ العدد يجب أن يكون صحيحًا ≥ 0",IF(AND($F4132="Baseline",$H4132&lt;&gt;""),"⚠ Baseline: Start لا يدخل في التقدم",IF($K4132="No Start (attainment only)","ℹ تحصيل فقط (بدون Start)",IF($K4132="U – needs rule","ℹ حالة U تحتاج قاعدة معتمدة",IF($K4132="No result","ℹ بدون نتيجة (يُستبعد من التحصيل)","OK")))))))))))</f>
        <v/>
      </c>
      <c r="M4132" s="64" t="n">
        <f aca="false">IF($A4132="",0,IFERROR(MATCH($A4132,Classes!$A$6:$A$420,0),0))</f>
        <v>0</v>
      </c>
      <c r="N4132" s="64" t="n">
        <f aca="false">IF($H4132="",0,IFERROR(MATCH($H4132,GradeList,0),0))</f>
        <v>0</v>
      </c>
      <c r="O4132" s="64" t="n">
        <f aca="false">IF(OR($I4132="",$I4132="NR"),0,IFERROR(MATCH($I4132,GradeList,0),0))</f>
        <v>0</v>
      </c>
      <c r="P4132" s="64" t="n">
        <f aca="false">IF(AND($M4132&gt;0,ISNUMBER(MATCH($F4132,Lists!$A$2:$A$5,0)),ISNUMBER(MATCH($G4132,Lists!$B$2:$B$7,0)),OR($H4132="",$N4132&gt;0),OR($I4132="",$I4132="NR",$O4132&gt;0),IF(ISNUMBER($J4132),AND($J4132&gt;=0,$J4132=INT($J4132)),FALSE())),$J4132,0)</f>
        <v>0</v>
      </c>
      <c r="Q4132" s="64" t="n">
        <f aca="false">IF(AND($P4132&gt;0,$O4132&gt;0),$P4132,0)</f>
        <v>0</v>
      </c>
      <c r="R4132" s="64" t="n">
        <f aca="false">IF(AND($Q4132&gt;0,$O4132&gt;=AtRank),$Q4132,0)</f>
        <v>0</v>
      </c>
      <c r="S4132" s="64" t="n">
        <f aca="false">IF(AND($Q4132&gt;0,$O4132&gt;=AboveRank),$Q4132,0)</f>
        <v>0</v>
      </c>
      <c r="T4132" s="64" t="n">
        <f aca="false">IF($K4132="Less",$P4132,0)</f>
        <v>0</v>
      </c>
      <c r="U4132" s="64" t="n">
        <f aca="false">IF($K4132="Expected",$P4132,0)</f>
        <v>0</v>
      </c>
      <c r="V4132" s="64" t="n">
        <f aca="false">IF($K4132="Better",$P4132,0)</f>
        <v>0</v>
      </c>
      <c r="W4132" s="64" t="n">
        <f aca="false">IF($K4132="U – needs rule",$P4132,0)</f>
        <v>0</v>
      </c>
      <c r="X4132" s="64" t="n">
        <f aca="false">IF($K4132="No Start (attainment only)",$P4132,0)</f>
        <v>0</v>
      </c>
    </row>
    <row r="4133" customFormat="false" ht="15" hidden="false" customHeight="false" outlineLevel="0" collapsed="false">
      <c r="A4133" s="60"/>
      <c r="B4133" s="61" t="str">
        <f aca="false">IF($M4133=0,"",INDEX(Classes!$E$6:$E$420,$M4133))</f>
        <v/>
      </c>
      <c r="C4133" s="62" t="str">
        <f aca="false">IF($M4133=0,"",INDEX(Classes!$H$6:$H$420,$M4133))</f>
        <v/>
      </c>
      <c r="D4133" s="61" t="str">
        <f aca="false">IF($M4133=0,"",INDEX(Classes!$B$6:$B$420,$M4133))</f>
        <v/>
      </c>
      <c r="E4133" s="61" t="str">
        <f aca="false">IF($M4133=0,"",INDEX(Classes!$C$6:$C$420,$M4133))</f>
        <v/>
      </c>
      <c r="F4133" s="63"/>
      <c r="G4133" s="63"/>
      <c r="H4133" s="60"/>
      <c r="I4133" s="60"/>
      <c r="J4133" s="63"/>
      <c r="K4133" s="61" t="str">
        <f aca="false">IF($P4133=0,"",IF($F4133="Baseline","— Baseline",IF($O4133=0,"No result",IF($N4133=0,"No Start (attainment only)",IF(OR($N4133=1,$O4133=1),"U – needs rule",INDEX(MxBody,MATCH($I4133,MxCurr,0),MATCH($H4133,MxStart,0)))))))</f>
        <v/>
      </c>
      <c r="L4133" s="62" t="str">
        <f aca="false">IF(COUNTA($A4133,$F4133,$G4133,$H4133,$I4133,$J4133)=0,"",IF($M4133=0,"✖ كود الصف غير موجود",IF(ISNA(MATCH($F4133,Lists!$A$2:$A$5,0)),"✖ الفترة غير صحيحة",IF(ISNA(MATCH($G4133,Lists!$B$2:$B$7,0)),"✖ المجموعة غير صحيحة",IF(NOT(OR($H4133="",$N4133&gt;0)),"✖ Start غير صحيح",IF(NOT(OR($I4133="",$I4133="NR",$O4133&gt;0)),"✖ Current غير صحيح",IF(NOT(IF(ISNUMBER($J4133),AND($J4133&gt;=0,$J4133=INT($J4133)),FALSE())),"✖ العدد يجب أن يكون صحيحًا ≥ 0",IF(AND($F4133="Baseline",$H4133&lt;&gt;""),"⚠ Baseline: Start لا يدخل في التقدم",IF($K4133="No Start (attainment only)","ℹ تحصيل فقط (بدون Start)",IF($K4133="U – needs rule","ℹ حالة U تحتاج قاعدة معتمدة",IF($K4133="No result","ℹ بدون نتيجة (يُستبعد من التحصيل)","OK")))))))))))</f>
        <v/>
      </c>
      <c r="M4133" s="64" t="n">
        <f aca="false">IF($A4133="",0,IFERROR(MATCH($A4133,Classes!$A$6:$A$420,0),0))</f>
        <v>0</v>
      </c>
      <c r="N4133" s="64" t="n">
        <f aca="false">IF($H4133="",0,IFERROR(MATCH($H4133,GradeList,0),0))</f>
        <v>0</v>
      </c>
      <c r="O4133" s="64" t="n">
        <f aca="false">IF(OR($I4133="",$I4133="NR"),0,IFERROR(MATCH($I4133,GradeList,0),0))</f>
        <v>0</v>
      </c>
      <c r="P4133" s="64" t="n">
        <f aca="false">IF(AND($M4133&gt;0,ISNUMBER(MATCH($F4133,Lists!$A$2:$A$5,0)),ISNUMBER(MATCH($G4133,Lists!$B$2:$B$7,0)),OR($H4133="",$N4133&gt;0),OR($I4133="",$I4133="NR",$O4133&gt;0),IF(ISNUMBER($J4133),AND($J4133&gt;=0,$J4133=INT($J4133)),FALSE())),$J4133,0)</f>
        <v>0</v>
      </c>
      <c r="Q4133" s="64" t="n">
        <f aca="false">IF(AND($P4133&gt;0,$O4133&gt;0),$P4133,0)</f>
        <v>0</v>
      </c>
      <c r="R4133" s="64" t="n">
        <f aca="false">IF(AND($Q4133&gt;0,$O4133&gt;=AtRank),$Q4133,0)</f>
        <v>0</v>
      </c>
      <c r="S4133" s="64" t="n">
        <f aca="false">IF(AND($Q4133&gt;0,$O4133&gt;=AboveRank),$Q4133,0)</f>
        <v>0</v>
      </c>
      <c r="T4133" s="64" t="n">
        <f aca="false">IF($K4133="Less",$P4133,0)</f>
        <v>0</v>
      </c>
      <c r="U4133" s="64" t="n">
        <f aca="false">IF($K4133="Expected",$P4133,0)</f>
        <v>0</v>
      </c>
      <c r="V4133" s="64" t="n">
        <f aca="false">IF($K4133="Better",$P4133,0)</f>
        <v>0</v>
      </c>
      <c r="W4133" s="64" t="n">
        <f aca="false">IF($K4133="U – needs rule",$P4133,0)</f>
        <v>0</v>
      </c>
      <c r="X4133" s="64" t="n">
        <f aca="false">IF($K4133="No Start (attainment only)",$P4133,0)</f>
        <v>0</v>
      </c>
    </row>
    <row r="4134" customFormat="false" ht="15" hidden="false" customHeight="false" outlineLevel="0" collapsed="false">
      <c r="A4134" s="60"/>
      <c r="B4134" s="61" t="str">
        <f aca="false">IF($M4134=0,"",INDEX(Classes!$E$6:$E$420,$M4134))</f>
        <v/>
      </c>
      <c r="C4134" s="62" t="str">
        <f aca="false">IF($M4134=0,"",INDEX(Classes!$H$6:$H$420,$M4134))</f>
        <v/>
      </c>
      <c r="D4134" s="61" t="str">
        <f aca="false">IF($M4134=0,"",INDEX(Classes!$B$6:$B$420,$M4134))</f>
        <v/>
      </c>
      <c r="E4134" s="61" t="str">
        <f aca="false">IF($M4134=0,"",INDEX(Classes!$C$6:$C$420,$M4134))</f>
        <v/>
      </c>
      <c r="F4134" s="63"/>
      <c r="G4134" s="63"/>
      <c r="H4134" s="60"/>
      <c r="I4134" s="60"/>
      <c r="J4134" s="63"/>
      <c r="K4134" s="61" t="str">
        <f aca="false">IF($P4134=0,"",IF($F4134="Baseline","— Baseline",IF($O4134=0,"No result",IF($N4134=0,"No Start (attainment only)",IF(OR($N4134=1,$O4134=1),"U – needs rule",INDEX(MxBody,MATCH($I4134,MxCurr,0),MATCH($H4134,MxStart,0)))))))</f>
        <v/>
      </c>
      <c r="L4134" s="62" t="str">
        <f aca="false">IF(COUNTA($A4134,$F4134,$G4134,$H4134,$I4134,$J4134)=0,"",IF($M4134=0,"✖ كود الصف غير موجود",IF(ISNA(MATCH($F4134,Lists!$A$2:$A$5,0)),"✖ الفترة غير صحيحة",IF(ISNA(MATCH($G4134,Lists!$B$2:$B$7,0)),"✖ المجموعة غير صحيحة",IF(NOT(OR($H4134="",$N4134&gt;0)),"✖ Start غير صحيح",IF(NOT(OR($I4134="",$I4134="NR",$O4134&gt;0)),"✖ Current غير صحيح",IF(NOT(IF(ISNUMBER($J4134),AND($J4134&gt;=0,$J4134=INT($J4134)),FALSE())),"✖ العدد يجب أن يكون صحيحًا ≥ 0",IF(AND($F4134="Baseline",$H4134&lt;&gt;""),"⚠ Baseline: Start لا يدخل في التقدم",IF($K4134="No Start (attainment only)","ℹ تحصيل فقط (بدون Start)",IF($K4134="U – needs rule","ℹ حالة U تحتاج قاعدة معتمدة",IF($K4134="No result","ℹ بدون نتيجة (يُستبعد من التحصيل)","OK")))))))))))</f>
        <v/>
      </c>
      <c r="M4134" s="64" t="n">
        <f aca="false">IF($A4134="",0,IFERROR(MATCH($A4134,Classes!$A$6:$A$420,0),0))</f>
        <v>0</v>
      </c>
      <c r="N4134" s="64" t="n">
        <f aca="false">IF($H4134="",0,IFERROR(MATCH($H4134,GradeList,0),0))</f>
        <v>0</v>
      </c>
      <c r="O4134" s="64" t="n">
        <f aca="false">IF(OR($I4134="",$I4134="NR"),0,IFERROR(MATCH($I4134,GradeList,0),0))</f>
        <v>0</v>
      </c>
      <c r="P4134" s="64" t="n">
        <f aca="false">IF(AND($M4134&gt;0,ISNUMBER(MATCH($F4134,Lists!$A$2:$A$5,0)),ISNUMBER(MATCH($G4134,Lists!$B$2:$B$7,0)),OR($H4134="",$N4134&gt;0),OR($I4134="",$I4134="NR",$O4134&gt;0),IF(ISNUMBER($J4134),AND($J4134&gt;=0,$J4134=INT($J4134)),FALSE())),$J4134,0)</f>
        <v>0</v>
      </c>
      <c r="Q4134" s="64" t="n">
        <f aca="false">IF(AND($P4134&gt;0,$O4134&gt;0),$P4134,0)</f>
        <v>0</v>
      </c>
      <c r="R4134" s="64" t="n">
        <f aca="false">IF(AND($Q4134&gt;0,$O4134&gt;=AtRank),$Q4134,0)</f>
        <v>0</v>
      </c>
      <c r="S4134" s="64" t="n">
        <f aca="false">IF(AND($Q4134&gt;0,$O4134&gt;=AboveRank),$Q4134,0)</f>
        <v>0</v>
      </c>
      <c r="T4134" s="64" t="n">
        <f aca="false">IF($K4134="Less",$P4134,0)</f>
        <v>0</v>
      </c>
      <c r="U4134" s="64" t="n">
        <f aca="false">IF($K4134="Expected",$P4134,0)</f>
        <v>0</v>
      </c>
      <c r="V4134" s="64" t="n">
        <f aca="false">IF($K4134="Better",$P4134,0)</f>
        <v>0</v>
      </c>
      <c r="W4134" s="64" t="n">
        <f aca="false">IF($K4134="U – needs rule",$P4134,0)</f>
        <v>0</v>
      </c>
      <c r="X4134" s="64" t="n">
        <f aca="false">IF($K4134="No Start (attainment only)",$P4134,0)</f>
        <v>0</v>
      </c>
    </row>
    <row r="4135" customFormat="false" ht="15" hidden="false" customHeight="false" outlineLevel="0" collapsed="false">
      <c r="A4135" s="60"/>
      <c r="B4135" s="61" t="str">
        <f aca="false">IF($M4135=0,"",INDEX(Classes!$E$6:$E$420,$M4135))</f>
        <v/>
      </c>
      <c r="C4135" s="62" t="str">
        <f aca="false">IF($M4135=0,"",INDEX(Classes!$H$6:$H$420,$M4135))</f>
        <v/>
      </c>
      <c r="D4135" s="61" t="str">
        <f aca="false">IF($M4135=0,"",INDEX(Classes!$B$6:$B$420,$M4135))</f>
        <v/>
      </c>
      <c r="E4135" s="61" t="str">
        <f aca="false">IF($M4135=0,"",INDEX(Classes!$C$6:$C$420,$M4135))</f>
        <v/>
      </c>
      <c r="F4135" s="63"/>
      <c r="G4135" s="63"/>
      <c r="H4135" s="60"/>
      <c r="I4135" s="60"/>
      <c r="J4135" s="63"/>
      <c r="K4135" s="61" t="str">
        <f aca="false">IF($P4135=0,"",IF($F4135="Baseline","— Baseline",IF($O4135=0,"No result",IF($N4135=0,"No Start (attainment only)",IF(OR($N4135=1,$O4135=1),"U – needs rule",INDEX(MxBody,MATCH($I4135,MxCurr,0),MATCH($H4135,MxStart,0)))))))</f>
        <v/>
      </c>
      <c r="L4135" s="62" t="str">
        <f aca="false">IF(COUNTA($A4135,$F4135,$G4135,$H4135,$I4135,$J4135)=0,"",IF($M4135=0,"✖ كود الصف غير موجود",IF(ISNA(MATCH($F4135,Lists!$A$2:$A$5,0)),"✖ الفترة غير صحيحة",IF(ISNA(MATCH($G4135,Lists!$B$2:$B$7,0)),"✖ المجموعة غير صحيحة",IF(NOT(OR($H4135="",$N4135&gt;0)),"✖ Start غير صحيح",IF(NOT(OR($I4135="",$I4135="NR",$O4135&gt;0)),"✖ Current غير صحيح",IF(NOT(IF(ISNUMBER($J4135),AND($J4135&gt;=0,$J4135=INT($J4135)),FALSE())),"✖ العدد يجب أن يكون صحيحًا ≥ 0",IF(AND($F4135="Baseline",$H4135&lt;&gt;""),"⚠ Baseline: Start لا يدخل في التقدم",IF($K4135="No Start (attainment only)","ℹ تحصيل فقط (بدون Start)",IF($K4135="U – needs rule","ℹ حالة U تحتاج قاعدة معتمدة",IF($K4135="No result","ℹ بدون نتيجة (يُستبعد من التحصيل)","OK")))))))))))</f>
        <v/>
      </c>
      <c r="M4135" s="64" t="n">
        <f aca="false">IF($A4135="",0,IFERROR(MATCH($A4135,Classes!$A$6:$A$420,0),0))</f>
        <v>0</v>
      </c>
      <c r="N4135" s="64" t="n">
        <f aca="false">IF($H4135="",0,IFERROR(MATCH($H4135,GradeList,0),0))</f>
        <v>0</v>
      </c>
      <c r="O4135" s="64" t="n">
        <f aca="false">IF(OR($I4135="",$I4135="NR"),0,IFERROR(MATCH($I4135,GradeList,0),0))</f>
        <v>0</v>
      </c>
      <c r="P4135" s="64" t="n">
        <f aca="false">IF(AND($M4135&gt;0,ISNUMBER(MATCH($F4135,Lists!$A$2:$A$5,0)),ISNUMBER(MATCH($G4135,Lists!$B$2:$B$7,0)),OR($H4135="",$N4135&gt;0),OR($I4135="",$I4135="NR",$O4135&gt;0),IF(ISNUMBER($J4135),AND($J4135&gt;=0,$J4135=INT($J4135)),FALSE())),$J4135,0)</f>
        <v>0</v>
      </c>
      <c r="Q4135" s="64" t="n">
        <f aca="false">IF(AND($P4135&gt;0,$O4135&gt;0),$P4135,0)</f>
        <v>0</v>
      </c>
      <c r="R4135" s="64" t="n">
        <f aca="false">IF(AND($Q4135&gt;0,$O4135&gt;=AtRank),$Q4135,0)</f>
        <v>0</v>
      </c>
      <c r="S4135" s="64" t="n">
        <f aca="false">IF(AND($Q4135&gt;0,$O4135&gt;=AboveRank),$Q4135,0)</f>
        <v>0</v>
      </c>
      <c r="T4135" s="64" t="n">
        <f aca="false">IF($K4135="Less",$P4135,0)</f>
        <v>0</v>
      </c>
      <c r="U4135" s="64" t="n">
        <f aca="false">IF($K4135="Expected",$P4135,0)</f>
        <v>0</v>
      </c>
      <c r="V4135" s="64" t="n">
        <f aca="false">IF($K4135="Better",$P4135,0)</f>
        <v>0</v>
      </c>
      <c r="W4135" s="64" t="n">
        <f aca="false">IF($K4135="U – needs rule",$P4135,0)</f>
        <v>0</v>
      </c>
      <c r="X4135" s="64" t="n">
        <f aca="false">IF($K4135="No Start (attainment only)",$P4135,0)</f>
        <v>0</v>
      </c>
    </row>
    <row r="4136" customFormat="false" ht="15" hidden="false" customHeight="false" outlineLevel="0" collapsed="false">
      <c r="A4136" s="60"/>
      <c r="B4136" s="61" t="str">
        <f aca="false">IF($M4136=0,"",INDEX(Classes!$E$6:$E$420,$M4136))</f>
        <v/>
      </c>
      <c r="C4136" s="62" t="str">
        <f aca="false">IF($M4136=0,"",INDEX(Classes!$H$6:$H$420,$M4136))</f>
        <v/>
      </c>
      <c r="D4136" s="61" t="str">
        <f aca="false">IF($M4136=0,"",INDEX(Classes!$B$6:$B$420,$M4136))</f>
        <v/>
      </c>
      <c r="E4136" s="61" t="str">
        <f aca="false">IF($M4136=0,"",INDEX(Classes!$C$6:$C$420,$M4136))</f>
        <v/>
      </c>
      <c r="F4136" s="63"/>
      <c r="G4136" s="63"/>
      <c r="H4136" s="60"/>
      <c r="I4136" s="60"/>
      <c r="J4136" s="63"/>
      <c r="K4136" s="61" t="str">
        <f aca="false">IF($P4136=0,"",IF($F4136="Baseline","— Baseline",IF($O4136=0,"No result",IF($N4136=0,"No Start (attainment only)",IF(OR($N4136=1,$O4136=1),"U – needs rule",INDEX(MxBody,MATCH($I4136,MxCurr,0),MATCH($H4136,MxStart,0)))))))</f>
        <v/>
      </c>
      <c r="L4136" s="62" t="str">
        <f aca="false">IF(COUNTA($A4136,$F4136,$G4136,$H4136,$I4136,$J4136)=0,"",IF($M4136=0,"✖ كود الصف غير موجود",IF(ISNA(MATCH($F4136,Lists!$A$2:$A$5,0)),"✖ الفترة غير صحيحة",IF(ISNA(MATCH($G4136,Lists!$B$2:$B$7,0)),"✖ المجموعة غير صحيحة",IF(NOT(OR($H4136="",$N4136&gt;0)),"✖ Start غير صحيح",IF(NOT(OR($I4136="",$I4136="NR",$O4136&gt;0)),"✖ Current غير صحيح",IF(NOT(IF(ISNUMBER($J4136),AND($J4136&gt;=0,$J4136=INT($J4136)),FALSE())),"✖ العدد يجب أن يكون صحيحًا ≥ 0",IF(AND($F4136="Baseline",$H4136&lt;&gt;""),"⚠ Baseline: Start لا يدخل في التقدم",IF($K4136="No Start (attainment only)","ℹ تحصيل فقط (بدون Start)",IF($K4136="U – needs rule","ℹ حالة U تحتاج قاعدة معتمدة",IF($K4136="No result","ℹ بدون نتيجة (يُستبعد من التحصيل)","OK")))))))))))</f>
        <v/>
      </c>
      <c r="M4136" s="64" t="n">
        <f aca="false">IF($A4136="",0,IFERROR(MATCH($A4136,Classes!$A$6:$A$420,0),0))</f>
        <v>0</v>
      </c>
      <c r="N4136" s="64" t="n">
        <f aca="false">IF($H4136="",0,IFERROR(MATCH($H4136,GradeList,0),0))</f>
        <v>0</v>
      </c>
      <c r="O4136" s="64" t="n">
        <f aca="false">IF(OR($I4136="",$I4136="NR"),0,IFERROR(MATCH($I4136,GradeList,0),0))</f>
        <v>0</v>
      </c>
      <c r="P4136" s="64" t="n">
        <f aca="false">IF(AND($M4136&gt;0,ISNUMBER(MATCH($F4136,Lists!$A$2:$A$5,0)),ISNUMBER(MATCH($G4136,Lists!$B$2:$B$7,0)),OR($H4136="",$N4136&gt;0),OR($I4136="",$I4136="NR",$O4136&gt;0),IF(ISNUMBER($J4136),AND($J4136&gt;=0,$J4136=INT($J4136)),FALSE())),$J4136,0)</f>
        <v>0</v>
      </c>
      <c r="Q4136" s="64" t="n">
        <f aca="false">IF(AND($P4136&gt;0,$O4136&gt;0),$P4136,0)</f>
        <v>0</v>
      </c>
      <c r="R4136" s="64" t="n">
        <f aca="false">IF(AND($Q4136&gt;0,$O4136&gt;=AtRank),$Q4136,0)</f>
        <v>0</v>
      </c>
      <c r="S4136" s="64" t="n">
        <f aca="false">IF(AND($Q4136&gt;0,$O4136&gt;=AboveRank),$Q4136,0)</f>
        <v>0</v>
      </c>
      <c r="T4136" s="64" t="n">
        <f aca="false">IF($K4136="Less",$P4136,0)</f>
        <v>0</v>
      </c>
      <c r="U4136" s="64" t="n">
        <f aca="false">IF($K4136="Expected",$P4136,0)</f>
        <v>0</v>
      </c>
      <c r="V4136" s="64" t="n">
        <f aca="false">IF($K4136="Better",$P4136,0)</f>
        <v>0</v>
      </c>
      <c r="W4136" s="64" t="n">
        <f aca="false">IF($K4136="U – needs rule",$P4136,0)</f>
        <v>0</v>
      </c>
      <c r="X4136" s="64" t="n">
        <f aca="false">IF($K4136="No Start (attainment only)",$P4136,0)</f>
        <v>0</v>
      </c>
    </row>
    <row r="4137" customFormat="false" ht="15" hidden="false" customHeight="false" outlineLevel="0" collapsed="false">
      <c r="A4137" s="60"/>
      <c r="B4137" s="61" t="str">
        <f aca="false">IF($M4137=0,"",INDEX(Classes!$E$6:$E$420,$M4137))</f>
        <v/>
      </c>
      <c r="C4137" s="62" t="str">
        <f aca="false">IF($M4137=0,"",INDEX(Classes!$H$6:$H$420,$M4137))</f>
        <v/>
      </c>
      <c r="D4137" s="61" t="str">
        <f aca="false">IF($M4137=0,"",INDEX(Classes!$B$6:$B$420,$M4137))</f>
        <v/>
      </c>
      <c r="E4137" s="61" t="str">
        <f aca="false">IF($M4137=0,"",INDEX(Classes!$C$6:$C$420,$M4137))</f>
        <v/>
      </c>
      <c r="F4137" s="63"/>
      <c r="G4137" s="63"/>
      <c r="H4137" s="60"/>
      <c r="I4137" s="60"/>
      <c r="J4137" s="63"/>
      <c r="K4137" s="61" t="str">
        <f aca="false">IF($P4137=0,"",IF($F4137="Baseline","— Baseline",IF($O4137=0,"No result",IF($N4137=0,"No Start (attainment only)",IF(OR($N4137=1,$O4137=1),"U – needs rule",INDEX(MxBody,MATCH($I4137,MxCurr,0),MATCH($H4137,MxStart,0)))))))</f>
        <v/>
      </c>
      <c r="L4137" s="62" t="str">
        <f aca="false">IF(COUNTA($A4137,$F4137,$G4137,$H4137,$I4137,$J4137)=0,"",IF($M4137=0,"✖ كود الصف غير موجود",IF(ISNA(MATCH($F4137,Lists!$A$2:$A$5,0)),"✖ الفترة غير صحيحة",IF(ISNA(MATCH($G4137,Lists!$B$2:$B$7,0)),"✖ المجموعة غير صحيحة",IF(NOT(OR($H4137="",$N4137&gt;0)),"✖ Start غير صحيح",IF(NOT(OR($I4137="",$I4137="NR",$O4137&gt;0)),"✖ Current غير صحيح",IF(NOT(IF(ISNUMBER($J4137),AND($J4137&gt;=0,$J4137=INT($J4137)),FALSE())),"✖ العدد يجب أن يكون صحيحًا ≥ 0",IF(AND($F4137="Baseline",$H4137&lt;&gt;""),"⚠ Baseline: Start لا يدخل في التقدم",IF($K4137="No Start (attainment only)","ℹ تحصيل فقط (بدون Start)",IF($K4137="U – needs rule","ℹ حالة U تحتاج قاعدة معتمدة",IF($K4137="No result","ℹ بدون نتيجة (يُستبعد من التحصيل)","OK")))))))))))</f>
        <v/>
      </c>
      <c r="M4137" s="64" t="n">
        <f aca="false">IF($A4137="",0,IFERROR(MATCH($A4137,Classes!$A$6:$A$420,0),0))</f>
        <v>0</v>
      </c>
      <c r="N4137" s="64" t="n">
        <f aca="false">IF($H4137="",0,IFERROR(MATCH($H4137,GradeList,0),0))</f>
        <v>0</v>
      </c>
      <c r="O4137" s="64" t="n">
        <f aca="false">IF(OR($I4137="",$I4137="NR"),0,IFERROR(MATCH($I4137,GradeList,0),0))</f>
        <v>0</v>
      </c>
      <c r="P4137" s="64" t="n">
        <f aca="false">IF(AND($M4137&gt;0,ISNUMBER(MATCH($F4137,Lists!$A$2:$A$5,0)),ISNUMBER(MATCH($G4137,Lists!$B$2:$B$7,0)),OR($H4137="",$N4137&gt;0),OR($I4137="",$I4137="NR",$O4137&gt;0),IF(ISNUMBER($J4137),AND($J4137&gt;=0,$J4137=INT($J4137)),FALSE())),$J4137,0)</f>
        <v>0</v>
      </c>
      <c r="Q4137" s="64" t="n">
        <f aca="false">IF(AND($P4137&gt;0,$O4137&gt;0),$P4137,0)</f>
        <v>0</v>
      </c>
      <c r="R4137" s="64" t="n">
        <f aca="false">IF(AND($Q4137&gt;0,$O4137&gt;=AtRank),$Q4137,0)</f>
        <v>0</v>
      </c>
      <c r="S4137" s="64" t="n">
        <f aca="false">IF(AND($Q4137&gt;0,$O4137&gt;=AboveRank),$Q4137,0)</f>
        <v>0</v>
      </c>
      <c r="T4137" s="64" t="n">
        <f aca="false">IF($K4137="Less",$P4137,0)</f>
        <v>0</v>
      </c>
      <c r="U4137" s="64" t="n">
        <f aca="false">IF($K4137="Expected",$P4137,0)</f>
        <v>0</v>
      </c>
      <c r="V4137" s="64" t="n">
        <f aca="false">IF($K4137="Better",$P4137,0)</f>
        <v>0</v>
      </c>
      <c r="W4137" s="64" t="n">
        <f aca="false">IF($K4137="U – needs rule",$P4137,0)</f>
        <v>0</v>
      </c>
      <c r="X4137" s="64" t="n">
        <f aca="false">IF($K4137="No Start (attainment only)",$P4137,0)</f>
        <v>0</v>
      </c>
    </row>
    <row r="4138" customFormat="false" ht="15" hidden="false" customHeight="false" outlineLevel="0" collapsed="false">
      <c r="A4138" s="60"/>
      <c r="B4138" s="61" t="str">
        <f aca="false">IF($M4138=0,"",INDEX(Classes!$E$6:$E$420,$M4138))</f>
        <v/>
      </c>
      <c r="C4138" s="62" t="str">
        <f aca="false">IF($M4138=0,"",INDEX(Classes!$H$6:$H$420,$M4138))</f>
        <v/>
      </c>
      <c r="D4138" s="61" t="str">
        <f aca="false">IF($M4138=0,"",INDEX(Classes!$B$6:$B$420,$M4138))</f>
        <v/>
      </c>
      <c r="E4138" s="61" t="str">
        <f aca="false">IF($M4138=0,"",INDEX(Classes!$C$6:$C$420,$M4138))</f>
        <v/>
      </c>
      <c r="F4138" s="63"/>
      <c r="G4138" s="63"/>
      <c r="H4138" s="60"/>
      <c r="I4138" s="60"/>
      <c r="J4138" s="63"/>
      <c r="K4138" s="61" t="str">
        <f aca="false">IF($P4138=0,"",IF($F4138="Baseline","— Baseline",IF($O4138=0,"No result",IF($N4138=0,"No Start (attainment only)",IF(OR($N4138=1,$O4138=1),"U – needs rule",INDEX(MxBody,MATCH($I4138,MxCurr,0),MATCH($H4138,MxStart,0)))))))</f>
        <v/>
      </c>
      <c r="L4138" s="62" t="str">
        <f aca="false">IF(COUNTA($A4138,$F4138,$G4138,$H4138,$I4138,$J4138)=0,"",IF($M4138=0,"✖ كود الصف غير موجود",IF(ISNA(MATCH($F4138,Lists!$A$2:$A$5,0)),"✖ الفترة غير صحيحة",IF(ISNA(MATCH($G4138,Lists!$B$2:$B$7,0)),"✖ المجموعة غير صحيحة",IF(NOT(OR($H4138="",$N4138&gt;0)),"✖ Start غير صحيح",IF(NOT(OR($I4138="",$I4138="NR",$O4138&gt;0)),"✖ Current غير صحيح",IF(NOT(IF(ISNUMBER($J4138),AND($J4138&gt;=0,$J4138=INT($J4138)),FALSE())),"✖ العدد يجب أن يكون صحيحًا ≥ 0",IF(AND($F4138="Baseline",$H4138&lt;&gt;""),"⚠ Baseline: Start لا يدخل في التقدم",IF($K4138="No Start (attainment only)","ℹ تحصيل فقط (بدون Start)",IF($K4138="U – needs rule","ℹ حالة U تحتاج قاعدة معتمدة",IF($K4138="No result","ℹ بدون نتيجة (يُستبعد من التحصيل)","OK")))))))))))</f>
        <v/>
      </c>
      <c r="M4138" s="64" t="n">
        <f aca="false">IF($A4138="",0,IFERROR(MATCH($A4138,Classes!$A$6:$A$420,0),0))</f>
        <v>0</v>
      </c>
      <c r="N4138" s="64" t="n">
        <f aca="false">IF($H4138="",0,IFERROR(MATCH($H4138,GradeList,0),0))</f>
        <v>0</v>
      </c>
      <c r="O4138" s="64" t="n">
        <f aca="false">IF(OR($I4138="",$I4138="NR"),0,IFERROR(MATCH($I4138,GradeList,0),0))</f>
        <v>0</v>
      </c>
      <c r="P4138" s="64" t="n">
        <f aca="false">IF(AND($M4138&gt;0,ISNUMBER(MATCH($F4138,Lists!$A$2:$A$5,0)),ISNUMBER(MATCH($G4138,Lists!$B$2:$B$7,0)),OR($H4138="",$N4138&gt;0),OR($I4138="",$I4138="NR",$O4138&gt;0),IF(ISNUMBER($J4138),AND($J4138&gt;=0,$J4138=INT($J4138)),FALSE())),$J4138,0)</f>
        <v>0</v>
      </c>
      <c r="Q4138" s="64" t="n">
        <f aca="false">IF(AND($P4138&gt;0,$O4138&gt;0),$P4138,0)</f>
        <v>0</v>
      </c>
      <c r="R4138" s="64" t="n">
        <f aca="false">IF(AND($Q4138&gt;0,$O4138&gt;=AtRank),$Q4138,0)</f>
        <v>0</v>
      </c>
      <c r="S4138" s="64" t="n">
        <f aca="false">IF(AND($Q4138&gt;0,$O4138&gt;=AboveRank),$Q4138,0)</f>
        <v>0</v>
      </c>
      <c r="T4138" s="64" t="n">
        <f aca="false">IF($K4138="Less",$P4138,0)</f>
        <v>0</v>
      </c>
      <c r="U4138" s="64" t="n">
        <f aca="false">IF($K4138="Expected",$P4138,0)</f>
        <v>0</v>
      </c>
      <c r="V4138" s="64" t="n">
        <f aca="false">IF($K4138="Better",$P4138,0)</f>
        <v>0</v>
      </c>
      <c r="W4138" s="64" t="n">
        <f aca="false">IF($K4138="U – needs rule",$P4138,0)</f>
        <v>0</v>
      </c>
      <c r="X4138" s="64" t="n">
        <f aca="false">IF($K4138="No Start (attainment only)",$P4138,0)</f>
        <v>0</v>
      </c>
    </row>
    <row r="4139" customFormat="false" ht="15" hidden="false" customHeight="false" outlineLevel="0" collapsed="false">
      <c r="A4139" s="60"/>
      <c r="B4139" s="61" t="str">
        <f aca="false">IF($M4139=0,"",INDEX(Classes!$E$6:$E$420,$M4139))</f>
        <v/>
      </c>
      <c r="C4139" s="62" t="str">
        <f aca="false">IF($M4139=0,"",INDEX(Classes!$H$6:$H$420,$M4139))</f>
        <v/>
      </c>
      <c r="D4139" s="61" t="str">
        <f aca="false">IF($M4139=0,"",INDEX(Classes!$B$6:$B$420,$M4139))</f>
        <v/>
      </c>
      <c r="E4139" s="61" t="str">
        <f aca="false">IF($M4139=0,"",INDEX(Classes!$C$6:$C$420,$M4139))</f>
        <v/>
      </c>
      <c r="F4139" s="63"/>
      <c r="G4139" s="63"/>
      <c r="H4139" s="60"/>
      <c r="I4139" s="60"/>
      <c r="J4139" s="63"/>
      <c r="K4139" s="61" t="str">
        <f aca="false">IF($P4139=0,"",IF($F4139="Baseline","— Baseline",IF($O4139=0,"No result",IF($N4139=0,"No Start (attainment only)",IF(OR($N4139=1,$O4139=1),"U – needs rule",INDEX(MxBody,MATCH($I4139,MxCurr,0),MATCH($H4139,MxStart,0)))))))</f>
        <v/>
      </c>
      <c r="L4139" s="62" t="str">
        <f aca="false">IF(COUNTA($A4139,$F4139,$G4139,$H4139,$I4139,$J4139)=0,"",IF($M4139=0,"✖ كود الصف غير موجود",IF(ISNA(MATCH($F4139,Lists!$A$2:$A$5,0)),"✖ الفترة غير صحيحة",IF(ISNA(MATCH($G4139,Lists!$B$2:$B$7,0)),"✖ المجموعة غير صحيحة",IF(NOT(OR($H4139="",$N4139&gt;0)),"✖ Start غير صحيح",IF(NOT(OR($I4139="",$I4139="NR",$O4139&gt;0)),"✖ Current غير صحيح",IF(NOT(IF(ISNUMBER($J4139),AND($J4139&gt;=0,$J4139=INT($J4139)),FALSE())),"✖ العدد يجب أن يكون صحيحًا ≥ 0",IF(AND($F4139="Baseline",$H4139&lt;&gt;""),"⚠ Baseline: Start لا يدخل في التقدم",IF($K4139="No Start (attainment only)","ℹ تحصيل فقط (بدون Start)",IF($K4139="U – needs rule","ℹ حالة U تحتاج قاعدة معتمدة",IF($K4139="No result","ℹ بدون نتيجة (يُستبعد من التحصيل)","OK")))))))))))</f>
        <v/>
      </c>
      <c r="M4139" s="64" t="n">
        <f aca="false">IF($A4139="",0,IFERROR(MATCH($A4139,Classes!$A$6:$A$420,0),0))</f>
        <v>0</v>
      </c>
      <c r="N4139" s="64" t="n">
        <f aca="false">IF($H4139="",0,IFERROR(MATCH($H4139,GradeList,0),0))</f>
        <v>0</v>
      </c>
      <c r="O4139" s="64" t="n">
        <f aca="false">IF(OR($I4139="",$I4139="NR"),0,IFERROR(MATCH($I4139,GradeList,0),0))</f>
        <v>0</v>
      </c>
      <c r="P4139" s="64" t="n">
        <f aca="false">IF(AND($M4139&gt;0,ISNUMBER(MATCH($F4139,Lists!$A$2:$A$5,0)),ISNUMBER(MATCH($G4139,Lists!$B$2:$B$7,0)),OR($H4139="",$N4139&gt;0),OR($I4139="",$I4139="NR",$O4139&gt;0),IF(ISNUMBER($J4139),AND($J4139&gt;=0,$J4139=INT($J4139)),FALSE())),$J4139,0)</f>
        <v>0</v>
      </c>
      <c r="Q4139" s="64" t="n">
        <f aca="false">IF(AND($P4139&gt;0,$O4139&gt;0),$P4139,0)</f>
        <v>0</v>
      </c>
      <c r="R4139" s="64" t="n">
        <f aca="false">IF(AND($Q4139&gt;0,$O4139&gt;=AtRank),$Q4139,0)</f>
        <v>0</v>
      </c>
      <c r="S4139" s="64" t="n">
        <f aca="false">IF(AND($Q4139&gt;0,$O4139&gt;=AboveRank),$Q4139,0)</f>
        <v>0</v>
      </c>
      <c r="T4139" s="64" t="n">
        <f aca="false">IF($K4139="Less",$P4139,0)</f>
        <v>0</v>
      </c>
      <c r="U4139" s="64" t="n">
        <f aca="false">IF($K4139="Expected",$P4139,0)</f>
        <v>0</v>
      </c>
      <c r="V4139" s="64" t="n">
        <f aca="false">IF($K4139="Better",$P4139,0)</f>
        <v>0</v>
      </c>
      <c r="W4139" s="64" t="n">
        <f aca="false">IF($K4139="U – needs rule",$P4139,0)</f>
        <v>0</v>
      </c>
      <c r="X4139" s="64" t="n">
        <f aca="false">IF($K4139="No Start (attainment only)",$P4139,0)</f>
        <v>0</v>
      </c>
    </row>
    <row r="4140" customFormat="false" ht="15" hidden="false" customHeight="false" outlineLevel="0" collapsed="false">
      <c r="A4140" s="60"/>
      <c r="B4140" s="61" t="str">
        <f aca="false">IF($M4140=0,"",INDEX(Classes!$E$6:$E$420,$M4140))</f>
        <v/>
      </c>
      <c r="C4140" s="62" t="str">
        <f aca="false">IF($M4140=0,"",INDEX(Classes!$H$6:$H$420,$M4140))</f>
        <v/>
      </c>
      <c r="D4140" s="61" t="str">
        <f aca="false">IF($M4140=0,"",INDEX(Classes!$B$6:$B$420,$M4140))</f>
        <v/>
      </c>
      <c r="E4140" s="61" t="str">
        <f aca="false">IF($M4140=0,"",INDEX(Classes!$C$6:$C$420,$M4140))</f>
        <v/>
      </c>
      <c r="F4140" s="63"/>
      <c r="G4140" s="63"/>
      <c r="H4140" s="60"/>
      <c r="I4140" s="60"/>
      <c r="J4140" s="63"/>
      <c r="K4140" s="61" t="str">
        <f aca="false">IF($P4140=0,"",IF($F4140="Baseline","— Baseline",IF($O4140=0,"No result",IF($N4140=0,"No Start (attainment only)",IF(OR($N4140=1,$O4140=1),"U – needs rule",INDEX(MxBody,MATCH($I4140,MxCurr,0),MATCH($H4140,MxStart,0)))))))</f>
        <v/>
      </c>
      <c r="L4140" s="62" t="str">
        <f aca="false">IF(COUNTA($A4140,$F4140,$G4140,$H4140,$I4140,$J4140)=0,"",IF($M4140=0,"✖ كود الصف غير موجود",IF(ISNA(MATCH($F4140,Lists!$A$2:$A$5,0)),"✖ الفترة غير صحيحة",IF(ISNA(MATCH($G4140,Lists!$B$2:$B$7,0)),"✖ المجموعة غير صحيحة",IF(NOT(OR($H4140="",$N4140&gt;0)),"✖ Start غير صحيح",IF(NOT(OR($I4140="",$I4140="NR",$O4140&gt;0)),"✖ Current غير صحيح",IF(NOT(IF(ISNUMBER($J4140),AND($J4140&gt;=0,$J4140=INT($J4140)),FALSE())),"✖ العدد يجب أن يكون صحيحًا ≥ 0",IF(AND($F4140="Baseline",$H4140&lt;&gt;""),"⚠ Baseline: Start لا يدخل في التقدم",IF($K4140="No Start (attainment only)","ℹ تحصيل فقط (بدون Start)",IF($K4140="U – needs rule","ℹ حالة U تحتاج قاعدة معتمدة",IF($K4140="No result","ℹ بدون نتيجة (يُستبعد من التحصيل)","OK")))))))))))</f>
        <v/>
      </c>
      <c r="M4140" s="64" t="n">
        <f aca="false">IF($A4140="",0,IFERROR(MATCH($A4140,Classes!$A$6:$A$420,0),0))</f>
        <v>0</v>
      </c>
      <c r="N4140" s="64" t="n">
        <f aca="false">IF($H4140="",0,IFERROR(MATCH($H4140,GradeList,0),0))</f>
        <v>0</v>
      </c>
      <c r="O4140" s="64" t="n">
        <f aca="false">IF(OR($I4140="",$I4140="NR"),0,IFERROR(MATCH($I4140,GradeList,0),0))</f>
        <v>0</v>
      </c>
      <c r="P4140" s="64" t="n">
        <f aca="false">IF(AND($M4140&gt;0,ISNUMBER(MATCH($F4140,Lists!$A$2:$A$5,0)),ISNUMBER(MATCH($G4140,Lists!$B$2:$B$7,0)),OR($H4140="",$N4140&gt;0),OR($I4140="",$I4140="NR",$O4140&gt;0),IF(ISNUMBER($J4140),AND($J4140&gt;=0,$J4140=INT($J4140)),FALSE())),$J4140,0)</f>
        <v>0</v>
      </c>
      <c r="Q4140" s="64" t="n">
        <f aca="false">IF(AND($P4140&gt;0,$O4140&gt;0),$P4140,0)</f>
        <v>0</v>
      </c>
      <c r="R4140" s="64" t="n">
        <f aca="false">IF(AND($Q4140&gt;0,$O4140&gt;=AtRank),$Q4140,0)</f>
        <v>0</v>
      </c>
      <c r="S4140" s="64" t="n">
        <f aca="false">IF(AND($Q4140&gt;0,$O4140&gt;=AboveRank),$Q4140,0)</f>
        <v>0</v>
      </c>
      <c r="T4140" s="64" t="n">
        <f aca="false">IF($K4140="Less",$P4140,0)</f>
        <v>0</v>
      </c>
      <c r="U4140" s="64" t="n">
        <f aca="false">IF($K4140="Expected",$P4140,0)</f>
        <v>0</v>
      </c>
      <c r="V4140" s="64" t="n">
        <f aca="false">IF($K4140="Better",$P4140,0)</f>
        <v>0</v>
      </c>
      <c r="W4140" s="64" t="n">
        <f aca="false">IF($K4140="U – needs rule",$P4140,0)</f>
        <v>0</v>
      </c>
      <c r="X4140" s="64" t="n">
        <f aca="false">IF($K4140="No Start (attainment only)",$P4140,0)</f>
        <v>0</v>
      </c>
    </row>
    <row r="4141" customFormat="false" ht="15" hidden="false" customHeight="false" outlineLevel="0" collapsed="false">
      <c r="A4141" s="60"/>
      <c r="B4141" s="61" t="str">
        <f aca="false">IF($M4141=0,"",INDEX(Classes!$E$6:$E$420,$M4141))</f>
        <v/>
      </c>
      <c r="C4141" s="62" t="str">
        <f aca="false">IF($M4141=0,"",INDEX(Classes!$H$6:$H$420,$M4141))</f>
        <v/>
      </c>
      <c r="D4141" s="61" t="str">
        <f aca="false">IF($M4141=0,"",INDEX(Classes!$B$6:$B$420,$M4141))</f>
        <v/>
      </c>
      <c r="E4141" s="61" t="str">
        <f aca="false">IF($M4141=0,"",INDEX(Classes!$C$6:$C$420,$M4141))</f>
        <v/>
      </c>
      <c r="F4141" s="63"/>
      <c r="G4141" s="63"/>
      <c r="H4141" s="60"/>
      <c r="I4141" s="60"/>
      <c r="J4141" s="63"/>
      <c r="K4141" s="61" t="str">
        <f aca="false">IF($P4141=0,"",IF($F4141="Baseline","— Baseline",IF($O4141=0,"No result",IF($N4141=0,"No Start (attainment only)",IF(OR($N4141=1,$O4141=1),"U – needs rule",INDEX(MxBody,MATCH($I4141,MxCurr,0),MATCH($H4141,MxStart,0)))))))</f>
        <v/>
      </c>
      <c r="L4141" s="62" t="str">
        <f aca="false">IF(COUNTA($A4141,$F4141,$G4141,$H4141,$I4141,$J4141)=0,"",IF($M4141=0,"✖ كود الصف غير موجود",IF(ISNA(MATCH($F4141,Lists!$A$2:$A$5,0)),"✖ الفترة غير صحيحة",IF(ISNA(MATCH($G4141,Lists!$B$2:$B$7,0)),"✖ المجموعة غير صحيحة",IF(NOT(OR($H4141="",$N4141&gt;0)),"✖ Start غير صحيح",IF(NOT(OR($I4141="",$I4141="NR",$O4141&gt;0)),"✖ Current غير صحيح",IF(NOT(IF(ISNUMBER($J4141),AND($J4141&gt;=0,$J4141=INT($J4141)),FALSE())),"✖ العدد يجب أن يكون صحيحًا ≥ 0",IF(AND($F4141="Baseline",$H4141&lt;&gt;""),"⚠ Baseline: Start لا يدخل في التقدم",IF($K4141="No Start (attainment only)","ℹ تحصيل فقط (بدون Start)",IF($K4141="U – needs rule","ℹ حالة U تحتاج قاعدة معتمدة",IF($K4141="No result","ℹ بدون نتيجة (يُستبعد من التحصيل)","OK")))))))))))</f>
        <v/>
      </c>
      <c r="M4141" s="64" t="n">
        <f aca="false">IF($A4141="",0,IFERROR(MATCH($A4141,Classes!$A$6:$A$420,0),0))</f>
        <v>0</v>
      </c>
      <c r="N4141" s="64" t="n">
        <f aca="false">IF($H4141="",0,IFERROR(MATCH($H4141,GradeList,0),0))</f>
        <v>0</v>
      </c>
      <c r="O4141" s="64" t="n">
        <f aca="false">IF(OR($I4141="",$I4141="NR"),0,IFERROR(MATCH($I4141,GradeList,0),0))</f>
        <v>0</v>
      </c>
      <c r="P4141" s="64" t="n">
        <f aca="false">IF(AND($M4141&gt;0,ISNUMBER(MATCH($F4141,Lists!$A$2:$A$5,0)),ISNUMBER(MATCH($G4141,Lists!$B$2:$B$7,0)),OR($H4141="",$N4141&gt;0),OR($I4141="",$I4141="NR",$O4141&gt;0),IF(ISNUMBER($J4141),AND($J4141&gt;=0,$J4141=INT($J4141)),FALSE())),$J4141,0)</f>
        <v>0</v>
      </c>
      <c r="Q4141" s="64" t="n">
        <f aca="false">IF(AND($P4141&gt;0,$O4141&gt;0),$P4141,0)</f>
        <v>0</v>
      </c>
      <c r="R4141" s="64" t="n">
        <f aca="false">IF(AND($Q4141&gt;0,$O4141&gt;=AtRank),$Q4141,0)</f>
        <v>0</v>
      </c>
      <c r="S4141" s="64" t="n">
        <f aca="false">IF(AND($Q4141&gt;0,$O4141&gt;=AboveRank),$Q4141,0)</f>
        <v>0</v>
      </c>
      <c r="T4141" s="64" t="n">
        <f aca="false">IF($K4141="Less",$P4141,0)</f>
        <v>0</v>
      </c>
      <c r="U4141" s="64" t="n">
        <f aca="false">IF($K4141="Expected",$P4141,0)</f>
        <v>0</v>
      </c>
      <c r="V4141" s="64" t="n">
        <f aca="false">IF($K4141="Better",$P4141,0)</f>
        <v>0</v>
      </c>
      <c r="W4141" s="64" t="n">
        <f aca="false">IF($K4141="U – needs rule",$P4141,0)</f>
        <v>0</v>
      </c>
      <c r="X4141" s="64" t="n">
        <f aca="false">IF($K4141="No Start (attainment only)",$P4141,0)</f>
        <v>0</v>
      </c>
    </row>
    <row r="4142" customFormat="false" ht="15" hidden="false" customHeight="false" outlineLevel="0" collapsed="false">
      <c r="A4142" s="60"/>
      <c r="B4142" s="61" t="str">
        <f aca="false">IF($M4142=0,"",INDEX(Classes!$E$6:$E$420,$M4142))</f>
        <v/>
      </c>
      <c r="C4142" s="62" t="str">
        <f aca="false">IF($M4142=0,"",INDEX(Classes!$H$6:$H$420,$M4142))</f>
        <v/>
      </c>
      <c r="D4142" s="61" t="str">
        <f aca="false">IF($M4142=0,"",INDEX(Classes!$B$6:$B$420,$M4142))</f>
        <v/>
      </c>
      <c r="E4142" s="61" t="str">
        <f aca="false">IF($M4142=0,"",INDEX(Classes!$C$6:$C$420,$M4142))</f>
        <v/>
      </c>
      <c r="F4142" s="63"/>
      <c r="G4142" s="63"/>
      <c r="H4142" s="60"/>
      <c r="I4142" s="60"/>
      <c r="J4142" s="63"/>
      <c r="K4142" s="61" t="str">
        <f aca="false">IF($P4142=0,"",IF($F4142="Baseline","— Baseline",IF($O4142=0,"No result",IF($N4142=0,"No Start (attainment only)",IF(OR($N4142=1,$O4142=1),"U – needs rule",INDEX(MxBody,MATCH($I4142,MxCurr,0),MATCH($H4142,MxStart,0)))))))</f>
        <v/>
      </c>
      <c r="L4142" s="62" t="str">
        <f aca="false">IF(COUNTA($A4142,$F4142,$G4142,$H4142,$I4142,$J4142)=0,"",IF($M4142=0,"✖ كود الصف غير موجود",IF(ISNA(MATCH($F4142,Lists!$A$2:$A$5,0)),"✖ الفترة غير صحيحة",IF(ISNA(MATCH($G4142,Lists!$B$2:$B$7,0)),"✖ المجموعة غير صحيحة",IF(NOT(OR($H4142="",$N4142&gt;0)),"✖ Start غير صحيح",IF(NOT(OR($I4142="",$I4142="NR",$O4142&gt;0)),"✖ Current غير صحيح",IF(NOT(IF(ISNUMBER($J4142),AND($J4142&gt;=0,$J4142=INT($J4142)),FALSE())),"✖ العدد يجب أن يكون صحيحًا ≥ 0",IF(AND($F4142="Baseline",$H4142&lt;&gt;""),"⚠ Baseline: Start لا يدخل في التقدم",IF($K4142="No Start (attainment only)","ℹ تحصيل فقط (بدون Start)",IF($K4142="U – needs rule","ℹ حالة U تحتاج قاعدة معتمدة",IF($K4142="No result","ℹ بدون نتيجة (يُستبعد من التحصيل)","OK")))))))))))</f>
        <v/>
      </c>
      <c r="M4142" s="64" t="n">
        <f aca="false">IF($A4142="",0,IFERROR(MATCH($A4142,Classes!$A$6:$A$420,0),0))</f>
        <v>0</v>
      </c>
      <c r="N4142" s="64" t="n">
        <f aca="false">IF($H4142="",0,IFERROR(MATCH($H4142,GradeList,0),0))</f>
        <v>0</v>
      </c>
      <c r="O4142" s="64" t="n">
        <f aca="false">IF(OR($I4142="",$I4142="NR"),0,IFERROR(MATCH($I4142,GradeList,0),0))</f>
        <v>0</v>
      </c>
      <c r="P4142" s="64" t="n">
        <f aca="false">IF(AND($M4142&gt;0,ISNUMBER(MATCH($F4142,Lists!$A$2:$A$5,0)),ISNUMBER(MATCH($G4142,Lists!$B$2:$B$7,0)),OR($H4142="",$N4142&gt;0),OR($I4142="",$I4142="NR",$O4142&gt;0),IF(ISNUMBER($J4142),AND($J4142&gt;=0,$J4142=INT($J4142)),FALSE())),$J4142,0)</f>
        <v>0</v>
      </c>
      <c r="Q4142" s="64" t="n">
        <f aca="false">IF(AND($P4142&gt;0,$O4142&gt;0),$P4142,0)</f>
        <v>0</v>
      </c>
      <c r="R4142" s="64" t="n">
        <f aca="false">IF(AND($Q4142&gt;0,$O4142&gt;=AtRank),$Q4142,0)</f>
        <v>0</v>
      </c>
      <c r="S4142" s="64" t="n">
        <f aca="false">IF(AND($Q4142&gt;0,$O4142&gt;=AboveRank),$Q4142,0)</f>
        <v>0</v>
      </c>
      <c r="T4142" s="64" t="n">
        <f aca="false">IF($K4142="Less",$P4142,0)</f>
        <v>0</v>
      </c>
      <c r="U4142" s="64" t="n">
        <f aca="false">IF($K4142="Expected",$P4142,0)</f>
        <v>0</v>
      </c>
      <c r="V4142" s="64" t="n">
        <f aca="false">IF($K4142="Better",$P4142,0)</f>
        <v>0</v>
      </c>
      <c r="W4142" s="64" t="n">
        <f aca="false">IF($K4142="U – needs rule",$P4142,0)</f>
        <v>0</v>
      </c>
      <c r="X4142" s="64" t="n">
        <f aca="false">IF($K4142="No Start (attainment only)",$P4142,0)</f>
        <v>0</v>
      </c>
    </row>
    <row r="4143" customFormat="false" ht="15" hidden="false" customHeight="false" outlineLevel="0" collapsed="false">
      <c r="A4143" s="60"/>
      <c r="B4143" s="61" t="str">
        <f aca="false">IF($M4143=0,"",INDEX(Classes!$E$6:$E$420,$M4143))</f>
        <v/>
      </c>
      <c r="C4143" s="62" t="str">
        <f aca="false">IF($M4143=0,"",INDEX(Classes!$H$6:$H$420,$M4143))</f>
        <v/>
      </c>
      <c r="D4143" s="61" t="str">
        <f aca="false">IF($M4143=0,"",INDEX(Classes!$B$6:$B$420,$M4143))</f>
        <v/>
      </c>
      <c r="E4143" s="61" t="str">
        <f aca="false">IF($M4143=0,"",INDEX(Classes!$C$6:$C$420,$M4143))</f>
        <v/>
      </c>
      <c r="F4143" s="63"/>
      <c r="G4143" s="63"/>
      <c r="H4143" s="60"/>
      <c r="I4143" s="60"/>
      <c r="J4143" s="63"/>
      <c r="K4143" s="61" t="str">
        <f aca="false">IF($P4143=0,"",IF($F4143="Baseline","— Baseline",IF($O4143=0,"No result",IF($N4143=0,"No Start (attainment only)",IF(OR($N4143=1,$O4143=1),"U – needs rule",INDEX(MxBody,MATCH($I4143,MxCurr,0),MATCH($H4143,MxStart,0)))))))</f>
        <v/>
      </c>
      <c r="L4143" s="62" t="str">
        <f aca="false">IF(COUNTA($A4143,$F4143,$G4143,$H4143,$I4143,$J4143)=0,"",IF($M4143=0,"✖ كود الصف غير موجود",IF(ISNA(MATCH($F4143,Lists!$A$2:$A$5,0)),"✖ الفترة غير صحيحة",IF(ISNA(MATCH($G4143,Lists!$B$2:$B$7,0)),"✖ المجموعة غير صحيحة",IF(NOT(OR($H4143="",$N4143&gt;0)),"✖ Start غير صحيح",IF(NOT(OR($I4143="",$I4143="NR",$O4143&gt;0)),"✖ Current غير صحيح",IF(NOT(IF(ISNUMBER($J4143),AND($J4143&gt;=0,$J4143=INT($J4143)),FALSE())),"✖ العدد يجب أن يكون صحيحًا ≥ 0",IF(AND($F4143="Baseline",$H4143&lt;&gt;""),"⚠ Baseline: Start لا يدخل في التقدم",IF($K4143="No Start (attainment only)","ℹ تحصيل فقط (بدون Start)",IF($K4143="U – needs rule","ℹ حالة U تحتاج قاعدة معتمدة",IF($K4143="No result","ℹ بدون نتيجة (يُستبعد من التحصيل)","OK")))))))))))</f>
        <v/>
      </c>
      <c r="M4143" s="64" t="n">
        <f aca="false">IF($A4143="",0,IFERROR(MATCH($A4143,Classes!$A$6:$A$420,0),0))</f>
        <v>0</v>
      </c>
      <c r="N4143" s="64" t="n">
        <f aca="false">IF($H4143="",0,IFERROR(MATCH($H4143,GradeList,0),0))</f>
        <v>0</v>
      </c>
      <c r="O4143" s="64" t="n">
        <f aca="false">IF(OR($I4143="",$I4143="NR"),0,IFERROR(MATCH($I4143,GradeList,0),0))</f>
        <v>0</v>
      </c>
      <c r="P4143" s="64" t="n">
        <f aca="false">IF(AND($M4143&gt;0,ISNUMBER(MATCH($F4143,Lists!$A$2:$A$5,0)),ISNUMBER(MATCH($G4143,Lists!$B$2:$B$7,0)),OR($H4143="",$N4143&gt;0),OR($I4143="",$I4143="NR",$O4143&gt;0),IF(ISNUMBER($J4143),AND($J4143&gt;=0,$J4143=INT($J4143)),FALSE())),$J4143,0)</f>
        <v>0</v>
      </c>
      <c r="Q4143" s="64" t="n">
        <f aca="false">IF(AND($P4143&gt;0,$O4143&gt;0),$P4143,0)</f>
        <v>0</v>
      </c>
      <c r="R4143" s="64" t="n">
        <f aca="false">IF(AND($Q4143&gt;0,$O4143&gt;=AtRank),$Q4143,0)</f>
        <v>0</v>
      </c>
      <c r="S4143" s="64" t="n">
        <f aca="false">IF(AND($Q4143&gt;0,$O4143&gt;=AboveRank),$Q4143,0)</f>
        <v>0</v>
      </c>
      <c r="T4143" s="64" t="n">
        <f aca="false">IF($K4143="Less",$P4143,0)</f>
        <v>0</v>
      </c>
      <c r="U4143" s="64" t="n">
        <f aca="false">IF($K4143="Expected",$P4143,0)</f>
        <v>0</v>
      </c>
      <c r="V4143" s="64" t="n">
        <f aca="false">IF($K4143="Better",$P4143,0)</f>
        <v>0</v>
      </c>
      <c r="W4143" s="64" t="n">
        <f aca="false">IF($K4143="U – needs rule",$P4143,0)</f>
        <v>0</v>
      </c>
      <c r="X4143" s="64" t="n">
        <f aca="false">IF($K4143="No Start (attainment only)",$P4143,0)</f>
        <v>0</v>
      </c>
    </row>
    <row r="4144" customFormat="false" ht="15" hidden="false" customHeight="false" outlineLevel="0" collapsed="false">
      <c r="A4144" s="60"/>
      <c r="B4144" s="61" t="str">
        <f aca="false">IF($M4144=0,"",INDEX(Classes!$E$6:$E$420,$M4144))</f>
        <v/>
      </c>
      <c r="C4144" s="62" t="str">
        <f aca="false">IF($M4144=0,"",INDEX(Classes!$H$6:$H$420,$M4144))</f>
        <v/>
      </c>
      <c r="D4144" s="61" t="str">
        <f aca="false">IF($M4144=0,"",INDEX(Classes!$B$6:$B$420,$M4144))</f>
        <v/>
      </c>
      <c r="E4144" s="61" t="str">
        <f aca="false">IF($M4144=0,"",INDEX(Classes!$C$6:$C$420,$M4144))</f>
        <v/>
      </c>
      <c r="F4144" s="63"/>
      <c r="G4144" s="63"/>
      <c r="H4144" s="60"/>
      <c r="I4144" s="60"/>
      <c r="J4144" s="63"/>
      <c r="K4144" s="61" t="str">
        <f aca="false">IF($P4144=0,"",IF($F4144="Baseline","— Baseline",IF($O4144=0,"No result",IF($N4144=0,"No Start (attainment only)",IF(OR($N4144=1,$O4144=1),"U – needs rule",INDEX(MxBody,MATCH($I4144,MxCurr,0),MATCH($H4144,MxStart,0)))))))</f>
        <v/>
      </c>
      <c r="L4144" s="62" t="str">
        <f aca="false">IF(COUNTA($A4144,$F4144,$G4144,$H4144,$I4144,$J4144)=0,"",IF($M4144=0,"✖ كود الصف غير موجود",IF(ISNA(MATCH($F4144,Lists!$A$2:$A$5,0)),"✖ الفترة غير صحيحة",IF(ISNA(MATCH($G4144,Lists!$B$2:$B$7,0)),"✖ المجموعة غير صحيحة",IF(NOT(OR($H4144="",$N4144&gt;0)),"✖ Start غير صحيح",IF(NOT(OR($I4144="",$I4144="NR",$O4144&gt;0)),"✖ Current غير صحيح",IF(NOT(IF(ISNUMBER($J4144),AND($J4144&gt;=0,$J4144=INT($J4144)),FALSE())),"✖ العدد يجب أن يكون صحيحًا ≥ 0",IF(AND($F4144="Baseline",$H4144&lt;&gt;""),"⚠ Baseline: Start لا يدخل في التقدم",IF($K4144="No Start (attainment only)","ℹ تحصيل فقط (بدون Start)",IF($K4144="U – needs rule","ℹ حالة U تحتاج قاعدة معتمدة",IF($K4144="No result","ℹ بدون نتيجة (يُستبعد من التحصيل)","OK")))))))))))</f>
        <v/>
      </c>
      <c r="M4144" s="64" t="n">
        <f aca="false">IF($A4144="",0,IFERROR(MATCH($A4144,Classes!$A$6:$A$420,0),0))</f>
        <v>0</v>
      </c>
      <c r="N4144" s="64" t="n">
        <f aca="false">IF($H4144="",0,IFERROR(MATCH($H4144,GradeList,0),0))</f>
        <v>0</v>
      </c>
      <c r="O4144" s="64" t="n">
        <f aca="false">IF(OR($I4144="",$I4144="NR"),0,IFERROR(MATCH($I4144,GradeList,0),0))</f>
        <v>0</v>
      </c>
      <c r="P4144" s="64" t="n">
        <f aca="false">IF(AND($M4144&gt;0,ISNUMBER(MATCH($F4144,Lists!$A$2:$A$5,0)),ISNUMBER(MATCH($G4144,Lists!$B$2:$B$7,0)),OR($H4144="",$N4144&gt;0),OR($I4144="",$I4144="NR",$O4144&gt;0),IF(ISNUMBER($J4144),AND($J4144&gt;=0,$J4144=INT($J4144)),FALSE())),$J4144,0)</f>
        <v>0</v>
      </c>
      <c r="Q4144" s="64" t="n">
        <f aca="false">IF(AND($P4144&gt;0,$O4144&gt;0),$P4144,0)</f>
        <v>0</v>
      </c>
      <c r="R4144" s="64" t="n">
        <f aca="false">IF(AND($Q4144&gt;0,$O4144&gt;=AtRank),$Q4144,0)</f>
        <v>0</v>
      </c>
      <c r="S4144" s="64" t="n">
        <f aca="false">IF(AND($Q4144&gt;0,$O4144&gt;=AboveRank),$Q4144,0)</f>
        <v>0</v>
      </c>
      <c r="T4144" s="64" t="n">
        <f aca="false">IF($K4144="Less",$P4144,0)</f>
        <v>0</v>
      </c>
      <c r="U4144" s="64" t="n">
        <f aca="false">IF($K4144="Expected",$P4144,0)</f>
        <v>0</v>
      </c>
      <c r="V4144" s="64" t="n">
        <f aca="false">IF($K4144="Better",$P4144,0)</f>
        <v>0</v>
      </c>
      <c r="W4144" s="64" t="n">
        <f aca="false">IF($K4144="U – needs rule",$P4144,0)</f>
        <v>0</v>
      </c>
      <c r="X4144" s="64" t="n">
        <f aca="false">IF($K4144="No Start (attainment only)",$P4144,0)</f>
        <v>0</v>
      </c>
    </row>
    <row r="4145" customFormat="false" ht="15" hidden="false" customHeight="false" outlineLevel="0" collapsed="false">
      <c r="A4145" s="60"/>
      <c r="B4145" s="61" t="str">
        <f aca="false">IF($M4145=0,"",INDEX(Classes!$E$6:$E$420,$M4145))</f>
        <v/>
      </c>
      <c r="C4145" s="62" t="str">
        <f aca="false">IF($M4145=0,"",INDEX(Classes!$H$6:$H$420,$M4145))</f>
        <v/>
      </c>
      <c r="D4145" s="61" t="str">
        <f aca="false">IF($M4145=0,"",INDEX(Classes!$B$6:$B$420,$M4145))</f>
        <v/>
      </c>
      <c r="E4145" s="61" t="str">
        <f aca="false">IF($M4145=0,"",INDEX(Classes!$C$6:$C$420,$M4145))</f>
        <v/>
      </c>
      <c r="F4145" s="63"/>
      <c r="G4145" s="63"/>
      <c r="H4145" s="60"/>
      <c r="I4145" s="60"/>
      <c r="J4145" s="63"/>
      <c r="K4145" s="61" t="str">
        <f aca="false">IF($P4145=0,"",IF($F4145="Baseline","— Baseline",IF($O4145=0,"No result",IF($N4145=0,"No Start (attainment only)",IF(OR($N4145=1,$O4145=1),"U – needs rule",INDEX(MxBody,MATCH($I4145,MxCurr,0),MATCH($H4145,MxStart,0)))))))</f>
        <v/>
      </c>
      <c r="L4145" s="62" t="str">
        <f aca="false">IF(COUNTA($A4145,$F4145,$G4145,$H4145,$I4145,$J4145)=0,"",IF($M4145=0,"✖ كود الصف غير موجود",IF(ISNA(MATCH($F4145,Lists!$A$2:$A$5,0)),"✖ الفترة غير صحيحة",IF(ISNA(MATCH($G4145,Lists!$B$2:$B$7,0)),"✖ المجموعة غير صحيحة",IF(NOT(OR($H4145="",$N4145&gt;0)),"✖ Start غير صحيح",IF(NOT(OR($I4145="",$I4145="NR",$O4145&gt;0)),"✖ Current غير صحيح",IF(NOT(IF(ISNUMBER($J4145),AND($J4145&gt;=0,$J4145=INT($J4145)),FALSE())),"✖ العدد يجب أن يكون صحيحًا ≥ 0",IF(AND($F4145="Baseline",$H4145&lt;&gt;""),"⚠ Baseline: Start لا يدخل في التقدم",IF($K4145="No Start (attainment only)","ℹ تحصيل فقط (بدون Start)",IF($K4145="U – needs rule","ℹ حالة U تحتاج قاعدة معتمدة",IF($K4145="No result","ℹ بدون نتيجة (يُستبعد من التحصيل)","OK")))))))))))</f>
        <v/>
      </c>
      <c r="M4145" s="64" t="n">
        <f aca="false">IF($A4145="",0,IFERROR(MATCH($A4145,Classes!$A$6:$A$420,0),0))</f>
        <v>0</v>
      </c>
      <c r="N4145" s="64" t="n">
        <f aca="false">IF($H4145="",0,IFERROR(MATCH($H4145,GradeList,0),0))</f>
        <v>0</v>
      </c>
      <c r="O4145" s="64" t="n">
        <f aca="false">IF(OR($I4145="",$I4145="NR"),0,IFERROR(MATCH($I4145,GradeList,0),0))</f>
        <v>0</v>
      </c>
      <c r="P4145" s="64" t="n">
        <f aca="false">IF(AND($M4145&gt;0,ISNUMBER(MATCH($F4145,Lists!$A$2:$A$5,0)),ISNUMBER(MATCH($G4145,Lists!$B$2:$B$7,0)),OR($H4145="",$N4145&gt;0),OR($I4145="",$I4145="NR",$O4145&gt;0),IF(ISNUMBER($J4145),AND($J4145&gt;=0,$J4145=INT($J4145)),FALSE())),$J4145,0)</f>
        <v>0</v>
      </c>
      <c r="Q4145" s="64" t="n">
        <f aca="false">IF(AND($P4145&gt;0,$O4145&gt;0),$P4145,0)</f>
        <v>0</v>
      </c>
      <c r="R4145" s="64" t="n">
        <f aca="false">IF(AND($Q4145&gt;0,$O4145&gt;=AtRank),$Q4145,0)</f>
        <v>0</v>
      </c>
      <c r="S4145" s="64" t="n">
        <f aca="false">IF(AND($Q4145&gt;0,$O4145&gt;=AboveRank),$Q4145,0)</f>
        <v>0</v>
      </c>
      <c r="T4145" s="64" t="n">
        <f aca="false">IF($K4145="Less",$P4145,0)</f>
        <v>0</v>
      </c>
      <c r="U4145" s="64" t="n">
        <f aca="false">IF($K4145="Expected",$P4145,0)</f>
        <v>0</v>
      </c>
      <c r="V4145" s="64" t="n">
        <f aca="false">IF($K4145="Better",$P4145,0)</f>
        <v>0</v>
      </c>
      <c r="W4145" s="64" t="n">
        <f aca="false">IF($K4145="U – needs rule",$P4145,0)</f>
        <v>0</v>
      </c>
      <c r="X4145" s="64" t="n">
        <f aca="false">IF($K4145="No Start (attainment only)",$P4145,0)</f>
        <v>0</v>
      </c>
    </row>
    <row r="4146" customFormat="false" ht="15" hidden="false" customHeight="false" outlineLevel="0" collapsed="false">
      <c r="A4146" s="60"/>
      <c r="B4146" s="61" t="str">
        <f aca="false">IF($M4146=0,"",INDEX(Classes!$E$6:$E$420,$M4146))</f>
        <v/>
      </c>
      <c r="C4146" s="62" t="str">
        <f aca="false">IF($M4146=0,"",INDEX(Classes!$H$6:$H$420,$M4146))</f>
        <v/>
      </c>
      <c r="D4146" s="61" t="str">
        <f aca="false">IF($M4146=0,"",INDEX(Classes!$B$6:$B$420,$M4146))</f>
        <v/>
      </c>
      <c r="E4146" s="61" t="str">
        <f aca="false">IF($M4146=0,"",INDEX(Classes!$C$6:$C$420,$M4146))</f>
        <v/>
      </c>
      <c r="F4146" s="63"/>
      <c r="G4146" s="63"/>
      <c r="H4146" s="60"/>
      <c r="I4146" s="60"/>
      <c r="J4146" s="63"/>
      <c r="K4146" s="61" t="str">
        <f aca="false">IF($P4146=0,"",IF($F4146="Baseline","— Baseline",IF($O4146=0,"No result",IF($N4146=0,"No Start (attainment only)",IF(OR($N4146=1,$O4146=1),"U – needs rule",INDEX(MxBody,MATCH($I4146,MxCurr,0),MATCH($H4146,MxStart,0)))))))</f>
        <v/>
      </c>
      <c r="L4146" s="62" t="str">
        <f aca="false">IF(COUNTA($A4146,$F4146,$G4146,$H4146,$I4146,$J4146)=0,"",IF($M4146=0,"✖ كود الصف غير موجود",IF(ISNA(MATCH($F4146,Lists!$A$2:$A$5,0)),"✖ الفترة غير صحيحة",IF(ISNA(MATCH($G4146,Lists!$B$2:$B$7,0)),"✖ المجموعة غير صحيحة",IF(NOT(OR($H4146="",$N4146&gt;0)),"✖ Start غير صحيح",IF(NOT(OR($I4146="",$I4146="NR",$O4146&gt;0)),"✖ Current غير صحيح",IF(NOT(IF(ISNUMBER($J4146),AND($J4146&gt;=0,$J4146=INT($J4146)),FALSE())),"✖ العدد يجب أن يكون صحيحًا ≥ 0",IF(AND($F4146="Baseline",$H4146&lt;&gt;""),"⚠ Baseline: Start لا يدخل في التقدم",IF($K4146="No Start (attainment only)","ℹ تحصيل فقط (بدون Start)",IF($K4146="U – needs rule","ℹ حالة U تحتاج قاعدة معتمدة",IF($K4146="No result","ℹ بدون نتيجة (يُستبعد من التحصيل)","OK")))))))))))</f>
        <v/>
      </c>
      <c r="M4146" s="64" t="n">
        <f aca="false">IF($A4146="",0,IFERROR(MATCH($A4146,Classes!$A$6:$A$420,0),0))</f>
        <v>0</v>
      </c>
      <c r="N4146" s="64" t="n">
        <f aca="false">IF($H4146="",0,IFERROR(MATCH($H4146,GradeList,0),0))</f>
        <v>0</v>
      </c>
      <c r="O4146" s="64" t="n">
        <f aca="false">IF(OR($I4146="",$I4146="NR"),0,IFERROR(MATCH($I4146,GradeList,0),0))</f>
        <v>0</v>
      </c>
      <c r="P4146" s="64" t="n">
        <f aca="false">IF(AND($M4146&gt;0,ISNUMBER(MATCH($F4146,Lists!$A$2:$A$5,0)),ISNUMBER(MATCH($G4146,Lists!$B$2:$B$7,0)),OR($H4146="",$N4146&gt;0),OR($I4146="",$I4146="NR",$O4146&gt;0),IF(ISNUMBER($J4146),AND($J4146&gt;=0,$J4146=INT($J4146)),FALSE())),$J4146,0)</f>
        <v>0</v>
      </c>
      <c r="Q4146" s="64" t="n">
        <f aca="false">IF(AND($P4146&gt;0,$O4146&gt;0),$P4146,0)</f>
        <v>0</v>
      </c>
      <c r="R4146" s="64" t="n">
        <f aca="false">IF(AND($Q4146&gt;0,$O4146&gt;=AtRank),$Q4146,0)</f>
        <v>0</v>
      </c>
      <c r="S4146" s="64" t="n">
        <f aca="false">IF(AND($Q4146&gt;0,$O4146&gt;=AboveRank),$Q4146,0)</f>
        <v>0</v>
      </c>
      <c r="T4146" s="64" t="n">
        <f aca="false">IF($K4146="Less",$P4146,0)</f>
        <v>0</v>
      </c>
      <c r="U4146" s="64" t="n">
        <f aca="false">IF($K4146="Expected",$P4146,0)</f>
        <v>0</v>
      </c>
      <c r="V4146" s="64" t="n">
        <f aca="false">IF($K4146="Better",$P4146,0)</f>
        <v>0</v>
      </c>
      <c r="W4146" s="64" t="n">
        <f aca="false">IF($K4146="U – needs rule",$P4146,0)</f>
        <v>0</v>
      </c>
      <c r="X4146" s="64" t="n">
        <f aca="false">IF($K4146="No Start (attainment only)",$P4146,0)</f>
        <v>0</v>
      </c>
    </row>
    <row r="4147" customFormat="false" ht="15" hidden="false" customHeight="false" outlineLevel="0" collapsed="false">
      <c r="A4147" s="60"/>
      <c r="B4147" s="61" t="str">
        <f aca="false">IF($M4147=0,"",INDEX(Classes!$E$6:$E$420,$M4147))</f>
        <v/>
      </c>
      <c r="C4147" s="62" t="str">
        <f aca="false">IF($M4147=0,"",INDEX(Classes!$H$6:$H$420,$M4147))</f>
        <v/>
      </c>
      <c r="D4147" s="61" t="str">
        <f aca="false">IF($M4147=0,"",INDEX(Classes!$B$6:$B$420,$M4147))</f>
        <v/>
      </c>
      <c r="E4147" s="61" t="str">
        <f aca="false">IF($M4147=0,"",INDEX(Classes!$C$6:$C$420,$M4147))</f>
        <v/>
      </c>
      <c r="F4147" s="63"/>
      <c r="G4147" s="63"/>
      <c r="H4147" s="60"/>
      <c r="I4147" s="60"/>
      <c r="J4147" s="63"/>
      <c r="K4147" s="61" t="str">
        <f aca="false">IF($P4147=0,"",IF($F4147="Baseline","— Baseline",IF($O4147=0,"No result",IF($N4147=0,"No Start (attainment only)",IF(OR($N4147=1,$O4147=1),"U – needs rule",INDEX(MxBody,MATCH($I4147,MxCurr,0),MATCH($H4147,MxStart,0)))))))</f>
        <v/>
      </c>
      <c r="L4147" s="62" t="str">
        <f aca="false">IF(COUNTA($A4147,$F4147,$G4147,$H4147,$I4147,$J4147)=0,"",IF($M4147=0,"✖ كود الصف غير موجود",IF(ISNA(MATCH($F4147,Lists!$A$2:$A$5,0)),"✖ الفترة غير صحيحة",IF(ISNA(MATCH($G4147,Lists!$B$2:$B$7,0)),"✖ المجموعة غير صحيحة",IF(NOT(OR($H4147="",$N4147&gt;0)),"✖ Start غير صحيح",IF(NOT(OR($I4147="",$I4147="NR",$O4147&gt;0)),"✖ Current غير صحيح",IF(NOT(IF(ISNUMBER($J4147),AND($J4147&gt;=0,$J4147=INT($J4147)),FALSE())),"✖ العدد يجب أن يكون صحيحًا ≥ 0",IF(AND($F4147="Baseline",$H4147&lt;&gt;""),"⚠ Baseline: Start لا يدخل في التقدم",IF($K4147="No Start (attainment only)","ℹ تحصيل فقط (بدون Start)",IF($K4147="U – needs rule","ℹ حالة U تحتاج قاعدة معتمدة",IF($K4147="No result","ℹ بدون نتيجة (يُستبعد من التحصيل)","OK")))))))))))</f>
        <v/>
      </c>
      <c r="M4147" s="64" t="n">
        <f aca="false">IF($A4147="",0,IFERROR(MATCH($A4147,Classes!$A$6:$A$420,0),0))</f>
        <v>0</v>
      </c>
      <c r="N4147" s="64" t="n">
        <f aca="false">IF($H4147="",0,IFERROR(MATCH($H4147,GradeList,0),0))</f>
        <v>0</v>
      </c>
      <c r="O4147" s="64" t="n">
        <f aca="false">IF(OR($I4147="",$I4147="NR"),0,IFERROR(MATCH($I4147,GradeList,0),0))</f>
        <v>0</v>
      </c>
      <c r="P4147" s="64" t="n">
        <f aca="false">IF(AND($M4147&gt;0,ISNUMBER(MATCH($F4147,Lists!$A$2:$A$5,0)),ISNUMBER(MATCH($G4147,Lists!$B$2:$B$7,0)),OR($H4147="",$N4147&gt;0),OR($I4147="",$I4147="NR",$O4147&gt;0),IF(ISNUMBER($J4147),AND($J4147&gt;=0,$J4147=INT($J4147)),FALSE())),$J4147,0)</f>
        <v>0</v>
      </c>
      <c r="Q4147" s="64" t="n">
        <f aca="false">IF(AND($P4147&gt;0,$O4147&gt;0),$P4147,0)</f>
        <v>0</v>
      </c>
      <c r="R4147" s="64" t="n">
        <f aca="false">IF(AND($Q4147&gt;0,$O4147&gt;=AtRank),$Q4147,0)</f>
        <v>0</v>
      </c>
      <c r="S4147" s="64" t="n">
        <f aca="false">IF(AND($Q4147&gt;0,$O4147&gt;=AboveRank),$Q4147,0)</f>
        <v>0</v>
      </c>
      <c r="T4147" s="64" t="n">
        <f aca="false">IF($K4147="Less",$P4147,0)</f>
        <v>0</v>
      </c>
      <c r="U4147" s="64" t="n">
        <f aca="false">IF($K4147="Expected",$P4147,0)</f>
        <v>0</v>
      </c>
      <c r="V4147" s="64" t="n">
        <f aca="false">IF($K4147="Better",$P4147,0)</f>
        <v>0</v>
      </c>
      <c r="W4147" s="64" t="n">
        <f aca="false">IF($K4147="U – needs rule",$P4147,0)</f>
        <v>0</v>
      </c>
      <c r="X4147" s="64" t="n">
        <f aca="false">IF($K4147="No Start (attainment only)",$P4147,0)</f>
        <v>0</v>
      </c>
    </row>
    <row r="4148" customFormat="false" ht="15" hidden="false" customHeight="false" outlineLevel="0" collapsed="false">
      <c r="A4148" s="60"/>
      <c r="B4148" s="61" t="str">
        <f aca="false">IF($M4148=0,"",INDEX(Classes!$E$6:$E$420,$M4148))</f>
        <v/>
      </c>
      <c r="C4148" s="62" t="str">
        <f aca="false">IF($M4148=0,"",INDEX(Classes!$H$6:$H$420,$M4148))</f>
        <v/>
      </c>
      <c r="D4148" s="61" t="str">
        <f aca="false">IF($M4148=0,"",INDEX(Classes!$B$6:$B$420,$M4148))</f>
        <v/>
      </c>
      <c r="E4148" s="61" t="str">
        <f aca="false">IF($M4148=0,"",INDEX(Classes!$C$6:$C$420,$M4148))</f>
        <v/>
      </c>
      <c r="F4148" s="63"/>
      <c r="G4148" s="63"/>
      <c r="H4148" s="60"/>
      <c r="I4148" s="60"/>
      <c r="J4148" s="63"/>
      <c r="K4148" s="61" t="str">
        <f aca="false">IF($P4148=0,"",IF($F4148="Baseline","— Baseline",IF($O4148=0,"No result",IF($N4148=0,"No Start (attainment only)",IF(OR($N4148=1,$O4148=1),"U – needs rule",INDEX(MxBody,MATCH($I4148,MxCurr,0),MATCH($H4148,MxStart,0)))))))</f>
        <v/>
      </c>
      <c r="L4148" s="62" t="str">
        <f aca="false">IF(COUNTA($A4148,$F4148,$G4148,$H4148,$I4148,$J4148)=0,"",IF($M4148=0,"✖ كود الصف غير موجود",IF(ISNA(MATCH($F4148,Lists!$A$2:$A$5,0)),"✖ الفترة غير صحيحة",IF(ISNA(MATCH($G4148,Lists!$B$2:$B$7,0)),"✖ المجموعة غير صحيحة",IF(NOT(OR($H4148="",$N4148&gt;0)),"✖ Start غير صحيح",IF(NOT(OR($I4148="",$I4148="NR",$O4148&gt;0)),"✖ Current غير صحيح",IF(NOT(IF(ISNUMBER($J4148),AND($J4148&gt;=0,$J4148=INT($J4148)),FALSE())),"✖ العدد يجب أن يكون صحيحًا ≥ 0",IF(AND($F4148="Baseline",$H4148&lt;&gt;""),"⚠ Baseline: Start لا يدخل في التقدم",IF($K4148="No Start (attainment only)","ℹ تحصيل فقط (بدون Start)",IF($K4148="U – needs rule","ℹ حالة U تحتاج قاعدة معتمدة",IF($K4148="No result","ℹ بدون نتيجة (يُستبعد من التحصيل)","OK")))))))))))</f>
        <v/>
      </c>
      <c r="M4148" s="64" t="n">
        <f aca="false">IF($A4148="",0,IFERROR(MATCH($A4148,Classes!$A$6:$A$420,0),0))</f>
        <v>0</v>
      </c>
      <c r="N4148" s="64" t="n">
        <f aca="false">IF($H4148="",0,IFERROR(MATCH($H4148,GradeList,0),0))</f>
        <v>0</v>
      </c>
      <c r="O4148" s="64" t="n">
        <f aca="false">IF(OR($I4148="",$I4148="NR"),0,IFERROR(MATCH($I4148,GradeList,0),0))</f>
        <v>0</v>
      </c>
      <c r="P4148" s="64" t="n">
        <f aca="false">IF(AND($M4148&gt;0,ISNUMBER(MATCH($F4148,Lists!$A$2:$A$5,0)),ISNUMBER(MATCH($G4148,Lists!$B$2:$B$7,0)),OR($H4148="",$N4148&gt;0),OR($I4148="",$I4148="NR",$O4148&gt;0),IF(ISNUMBER($J4148),AND($J4148&gt;=0,$J4148=INT($J4148)),FALSE())),$J4148,0)</f>
        <v>0</v>
      </c>
      <c r="Q4148" s="64" t="n">
        <f aca="false">IF(AND($P4148&gt;0,$O4148&gt;0),$P4148,0)</f>
        <v>0</v>
      </c>
      <c r="R4148" s="64" t="n">
        <f aca="false">IF(AND($Q4148&gt;0,$O4148&gt;=AtRank),$Q4148,0)</f>
        <v>0</v>
      </c>
      <c r="S4148" s="64" t="n">
        <f aca="false">IF(AND($Q4148&gt;0,$O4148&gt;=AboveRank),$Q4148,0)</f>
        <v>0</v>
      </c>
      <c r="T4148" s="64" t="n">
        <f aca="false">IF($K4148="Less",$P4148,0)</f>
        <v>0</v>
      </c>
      <c r="U4148" s="64" t="n">
        <f aca="false">IF($K4148="Expected",$P4148,0)</f>
        <v>0</v>
      </c>
      <c r="V4148" s="64" t="n">
        <f aca="false">IF($K4148="Better",$P4148,0)</f>
        <v>0</v>
      </c>
      <c r="W4148" s="64" t="n">
        <f aca="false">IF($K4148="U – needs rule",$P4148,0)</f>
        <v>0</v>
      </c>
      <c r="X4148" s="64" t="n">
        <f aca="false">IF($K4148="No Start (attainment only)",$P4148,0)</f>
        <v>0</v>
      </c>
    </row>
    <row r="4149" customFormat="false" ht="15" hidden="false" customHeight="false" outlineLevel="0" collapsed="false">
      <c r="A4149" s="60"/>
      <c r="B4149" s="61" t="str">
        <f aca="false">IF($M4149=0,"",INDEX(Classes!$E$6:$E$420,$M4149))</f>
        <v/>
      </c>
      <c r="C4149" s="62" t="str">
        <f aca="false">IF($M4149=0,"",INDEX(Classes!$H$6:$H$420,$M4149))</f>
        <v/>
      </c>
      <c r="D4149" s="61" t="str">
        <f aca="false">IF($M4149=0,"",INDEX(Classes!$B$6:$B$420,$M4149))</f>
        <v/>
      </c>
      <c r="E4149" s="61" t="str">
        <f aca="false">IF($M4149=0,"",INDEX(Classes!$C$6:$C$420,$M4149))</f>
        <v/>
      </c>
      <c r="F4149" s="63"/>
      <c r="G4149" s="63"/>
      <c r="H4149" s="60"/>
      <c r="I4149" s="60"/>
      <c r="J4149" s="63"/>
      <c r="K4149" s="61" t="str">
        <f aca="false">IF($P4149=0,"",IF($F4149="Baseline","— Baseline",IF($O4149=0,"No result",IF($N4149=0,"No Start (attainment only)",IF(OR($N4149=1,$O4149=1),"U – needs rule",INDEX(MxBody,MATCH($I4149,MxCurr,0),MATCH($H4149,MxStart,0)))))))</f>
        <v/>
      </c>
      <c r="L4149" s="62" t="str">
        <f aca="false">IF(COUNTA($A4149,$F4149,$G4149,$H4149,$I4149,$J4149)=0,"",IF($M4149=0,"✖ كود الصف غير موجود",IF(ISNA(MATCH($F4149,Lists!$A$2:$A$5,0)),"✖ الفترة غير صحيحة",IF(ISNA(MATCH($G4149,Lists!$B$2:$B$7,0)),"✖ المجموعة غير صحيحة",IF(NOT(OR($H4149="",$N4149&gt;0)),"✖ Start غير صحيح",IF(NOT(OR($I4149="",$I4149="NR",$O4149&gt;0)),"✖ Current غير صحيح",IF(NOT(IF(ISNUMBER($J4149),AND($J4149&gt;=0,$J4149=INT($J4149)),FALSE())),"✖ العدد يجب أن يكون صحيحًا ≥ 0",IF(AND($F4149="Baseline",$H4149&lt;&gt;""),"⚠ Baseline: Start لا يدخل في التقدم",IF($K4149="No Start (attainment only)","ℹ تحصيل فقط (بدون Start)",IF($K4149="U – needs rule","ℹ حالة U تحتاج قاعدة معتمدة",IF($K4149="No result","ℹ بدون نتيجة (يُستبعد من التحصيل)","OK")))))))))))</f>
        <v/>
      </c>
      <c r="M4149" s="64" t="n">
        <f aca="false">IF($A4149="",0,IFERROR(MATCH($A4149,Classes!$A$6:$A$420,0),0))</f>
        <v>0</v>
      </c>
      <c r="N4149" s="64" t="n">
        <f aca="false">IF($H4149="",0,IFERROR(MATCH($H4149,GradeList,0),0))</f>
        <v>0</v>
      </c>
      <c r="O4149" s="64" t="n">
        <f aca="false">IF(OR($I4149="",$I4149="NR"),0,IFERROR(MATCH($I4149,GradeList,0),0))</f>
        <v>0</v>
      </c>
      <c r="P4149" s="64" t="n">
        <f aca="false">IF(AND($M4149&gt;0,ISNUMBER(MATCH($F4149,Lists!$A$2:$A$5,0)),ISNUMBER(MATCH($G4149,Lists!$B$2:$B$7,0)),OR($H4149="",$N4149&gt;0),OR($I4149="",$I4149="NR",$O4149&gt;0),IF(ISNUMBER($J4149),AND($J4149&gt;=0,$J4149=INT($J4149)),FALSE())),$J4149,0)</f>
        <v>0</v>
      </c>
      <c r="Q4149" s="64" t="n">
        <f aca="false">IF(AND($P4149&gt;0,$O4149&gt;0),$P4149,0)</f>
        <v>0</v>
      </c>
      <c r="R4149" s="64" t="n">
        <f aca="false">IF(AND($Q4149&gt;0,$O4149&gt;=AtRank),$Q4149,0)</f>
        <v>0</v>
      </c>
      <c r="S4149" s="64" t="n">
        <f aca="false">IF(AND($Q4149&gt;0,$O4149&gt;=AboveRank),$Q4149,0)</f>
        <v>0</v>
      </c>
      <c r="T4149" s="64" t="n">
        <f aca="false">IF($K4149="Less",$P4149,0)</f>
        <v>0</v>
      </c>
      <c r="U4149" s="64" t="n">
        <f aca="false">IF($K4149="Expected",$P4149,0)</f>
        <v>0</v>
      </c>
      <c r="V4149" s="64" t="n">
        <f aca="false">IF($K4149="Better",$P4149,0)</f>
        <v>0</v>
      </c>
      <c r="W4149" s="64" t="n">
        <f aca="false">IF($K4149="U – needs rule",$P4149,0)</f>
        <v>0</v>
      </c>
      <c r="X4149" s="64" t="n">
        <f aca="false">IF($K4149="No Start (attainment only)",$P4149,0)</f>
        <v>0</v>
      </c>
    </row>
    <row r="4150" customFormat="false" ht="15" hidden="false" customHeight="false" outlineLevel="0" collapsed="false">
      <c r="A4150" s="60"/>
      <c r="B4150" s="61" t="str">
        <f aca="false">IF($M4150=0,"",INDEX(Classes!$E$6:$E$420,$M4150))</f>
        <v/>
      </c>
      <c r="C4150" s="62" t="str">
        <f aca="false">IF($M4150=0,"",INDEX(Classes!$H$6:$H$420,$M4150))</f>
        <v/>
      </c>
      <c r="D4150" s="61" t="str">
        <f aca="false">IF($M4150=0,"",INDEX(Classes!$B$6:$B$420,$M4150))</f>
        <v/>
      </c>
      <c r="E4150" s="61" t="str">
        <f aca="false">IF($M4150=0,"",INDEX(Classes!$C$6:$C$420,$M4150))</f>
        <v/>
      </c>
      <c r="F4150" s="63"/>
      <c r="G4150" s="63"/>
      <c r="H4150" s="60"/>
      <c r="I4150" s="60"/>
      <c r="J4150" s="63"/>
      <c r="K4150" s="61" t="str">
        <f aca="false">IF($P4150=0,"",IF($F4150="Baseline","— Baseline",IF($O4150=0,"No result",IF($N4150=0,"No Start (attainment only)",IF(OR($N4150=1,$O4150=1),"U – needs rule",INDEX(MxBody,MATCH($I4150,MxCurr,0),MATCH($H4150,MxStart,0)))))))</f>
        <v/>
      </c>
      <c r="L4150" s="62" t="str">
        <f aca="false">IF(COUNTA($A4150,$F4150,$G4150,$H4150,$I4150,$J4150)=0,"",IF($M4150=0,"✖ كود الصف غير موجود",IF(ISNA(MATCH($F4150,Lists!$A$2:$A$5,0)),"✖ الفترة غير صحيحة",IF(ISNA(MATCH($G4150,Lists!$B$2:$B$7,0)),"✖ المجموعة غير صحيحة",IF(NOT(OR($H4150="",$N4150&gt;0)),"✖ Start غير صحيح",IF(NOT(OR($I4150="",$I4150="NR",$O4150&gt;0)),"✖ Current غير صحيح",IF(NOT(IF(ISNUMBER($J4150),AND($J4150&gt;=0,$J4150=INT($J4150)),FALSE())),"✖ العدد يجب أن يكون صحيحًا ≥ 0",IF(AND($F4150="Baseline",$H4150&lt;&gt;""),"⚠ Baseline: Start لا يدخل في التقدم",IF($K4150="No Start (attainment only)","ℹ تحصيل فقط (بدون Start)",IF($K4150="U – needs rule","ℹ حالة U تحتاج قاعدة معتمدة",IF($K4150="No result","ℹ بدون نتيجة (يُستبعد من التحصيل)","OK")))))))))))</f>
        <v/>
      </c>
      <c r="M4150" s="64" t="n">
        <f aca="false">IF($A4150="",0,IFERROR(MATCH($A4150,Classes!$A$6:$A$420,0),0))</f>
        <v>0</v>
      </c>
      <c r="N4150" s="64" t="n">
        <f aca="false">IF($H4150="",0,IFERROR(MATCH($H4150,GradeList,0),0))</f>
        <v>0</v>
      </c>
      <c r="O4150" s="64" t="n">
        <f aca="false">IF(OR($I4150="",$I4150="NR"),0,IFERROR(MATCH($I4150,GradeList,0),0))</f>
        <v>0</v>
      </c>
      <c r="P4150" s="64" t="n">
        <f aca="false">IF(AND($M4150&gt;0,ISNUMBER(MATCH($F4150,Lists!$A$2:$A$5,0)),ISNUMBER(MATCH($G4150,Lists!$B$2:$B$7,0)),OR($H4150="",$N4150&gt;0),OR($I4150="",$I4150="NR",$O4150&gt;0),IF(ISNUMBER($J4150),AND($J4150&gt;=0,$J4150=INT($J4150)),FALSE())),$J4150,0)</f>
        <v>0</v>
      </c>
      <c r="Q4150" s="64" t="n">
        <f aca="false">IF(AND($P4150&gt;0,$O4150&gt;0),$P4150,0)</f>
        <v>0</v>
      </c>
      <c r="R4150" s="64" t="n">
        <f aca="false">IF(AND($Q4150&gt;0,$O4150&gt;=AtRank),$Q4150,0)</f>
        <v>0</v>
      </c>
      <c r="S4150" s="64" t="n">
        <f aca="false">IF(AND($Q4150&gt;0,$O4150&gt;=AboveRank),$Q4150,0)</f>
        <v>0</v>
      </c>
      <c r="T4150" s="64" t="n">
        <f aca="false">IF($K4150="Less",$P4150,0)</f>
        <v>0</v>
      </c>
      <c r="U4150" s="64" t="n">
        <f aca="false">IF($K4150="Expected",$P4150,0)</f>
        <v>0</v>
      </c>
      <c r="V4150" s="64" t="n">
        <f aca="false">IF($K4150="Better",$P4150,0)</f>
        <v>0</v>
      </c>
      <c r="W4150" s="64" t="n">
        <f aca="false">IF($K4150="U – needs rule",$P4150,0)</f>
        <v>0</v>
      </c>
      <c r="X4150" s="64" t="n">
        <f aca="false">IF($K4150="No Start (attainment only)",$P4150,0)</f>
        <v>0</v>
      </c>
    </row>
    <row r="4151" customFormat="false" ht="15" hidden="false" customHeight="false" outlineLevel="0" collapsed="false">
      <c r="A4151" s="60"/>
      <c r="B4151" s="61" t="str">
        <f aca="false">IF($M4151=0,"",INDEX(Classes!$E$6:$E$420,$M4151))</f>
        <v/>
      </c>
      <c r="C4151" s="62" t="str">
        <f aca="false">IF($M4151=0,"",INDEX(Classes!$H$6:$H$420,$M4151))</f>
        <v/>
      </c>
      <c r="D4151" s="61" t="str">
        <f aca="false">IF($M4151=0,"",INDEX(Classes!$B$6:$B$420,$M4151))</f>
        <v/>
      </c>
      <c r="E4151" s="61" t="str">
        <f aca="false">IF($M4151=0,"",INDEX(Classes!$C$6:$C$420,$M4151))</f>
        <v/>
      </c>
      <c r="F4151" s="63"/>
      <c r="G4151" s="63"/>
      <c r="H4151" s="60"/>
      <c r="I4151" s="60"/>
      <c r="J4151" s="63"/>
      <c r="K4151" s="61" t="str">
        <f aca="false">IF($P4151=0,"",IF($F4151="Baseline","— Baseline",IF($O4151=0,"No result",IF($N4151=0,"No Start (attainment only)",IF(OR($N4151=1,$O4151=1),"U – needs rule",INDEX(MxBody,MATCH($I4151,MxCurr,0),MATCH($H4151,MxStart,0)))))))</f>
        <v/>
      </c>
      <c r="L4151" s="62" t="str">
        <f aca="false">IF(COUNTA($A4151,$F4151,$G4151,$H4151,$I4151,$J4151)=0,"",IF($M4151=0,"✖ كود الصف غير موجود",IF(ISNA(MATCH($F4151,Lists!$A$2:$A$5,0)),"✖ الفترة غير صحيحة",IF(ISNA(MATCH($G4151,Lists!$B$2:$B$7,0)),"✖ المجموعة غير صحيحة",IF(NOT(OR($H4151="",$N4151&gt;0)),"✖ Start غير صحيح",IF(NOT(OR($I4151="",$I4151="NR",$O4151&gt;0)),"✖ Current غير صحيح",IF(NOT(IF(ISNUMBER($J4151),AND($J4151&gt;=0,$J4151=INT($J4151)),FALSE())),"✖ العدد يجب أن يكون صحيحًا ≥ 0",IF(AND($F4151="Baseline",$H4151&lt;&gt;""),"⚠ Baseline: Start لا يدخل في التقدم",IF($K4151="No Start (attainment only)","ℹ تحصيل فقط (بدون Start)",IF($K4151="U – needs rule","ℹ حالة U تحتاج قاعدة معتمدة",IF($K4151="No result","ℹ بدون نتيجة (يُستبعد من التحصيل)","OK")))))))))))</f>
        <v/>
      </c>
      <c r="M4151" s="64" t="n">
        <f aca="false">IF($A4151="",0,IFERROR(MATCH($A4151,Classes!$A$6:$A$420,0),0))</f>
        <v>0</v>
      </c>
      <c r="N4151" s="64" t="n">
        <f aca="false">IF($H4151="",0,IFERROR(MATCH($H4151,GradeList,0),0))</f>
        <v>0</v>
      </c>
      <c r="O4151" s="64" t="n">
        <f aca="false">IF(OR($I4151="",$I4151="NR"),0,IFERROR(MATCH($I4151,GradeList,0),0))</f>
        <v>0</v>
      </c>
      <c r="P4151" s="64" t="n">
        <f aca="false">IF(AND($M4151&gt;0,ISNUMBER(MATCH($F4151,Lists!$A$2:$A$5,0)),ISNUMBER(MATCH($G4151,Lists!$B$2:$B$7,0)),OR($H4151="",$N4151&gt;0),OR($I4151="",$I4151="NR",$O4151&gt;0),IF(ISNUMBER($J4151),AND($J4151&gt;=0,$J4151=INT($J4151)),FALSE())),$J4151,0)</f>
        <v>0</v>
      </c>
      <c r="Q4151" s="64" t="n">
        <f aca="false">IF(AND($P4151&gt;0,$O4151&gt;0),$P4151,0)</f>
        <v>0</v>
      </c>
      <c r="R4151" s="64" t="n">
        <f aca="false">IF(AND($Q4151&gt;0,$O4151&gt;=AtRank),$Q4151,0)</f>
        <v>0</v>
      </c>
      <c r="S4151" s="64" t="n">
        <f aca="false">IF(AND($Q4151&gt;0,$O4151&gt;=AboveRank),$Q4151,0)</f>
        <v>0</v>
      </c>
      <c r="T4151" s="64" t="n">
        <f aca="false">IF($K4151="Less",$P4151,0)</f>
        <v>0</v>
      </c>
      <c r="U4151" s="64" t="n">
        <f aca="false">IF($K4151="Expected",$P4151,0)</f>
        <v>0</v>
      </c>
      <c r="V4151" s="64" t="n">
        <f aca="false">IF($K4151="Better",$P4151,0)</f>
        <v>0</v>
      </c>
      <c r="W4151" s="64" t="n">
        <f aca="false">IF($K4151="U – needs rule",$P4151,0)</f>
        <v>0</v>
      </c>
      <c r="X4151" s="64" t="n">
        <f aca="false">IF($K4151="No Start (attainment only)",$P4151,0)</f>
        <v>0</v>
      </c>
    </row>
    <row r="4152" customFormat="false" ht="15" hidden="false" customHeight="false" outlineLevel="0" collapsed="false">
      <c r="A4152" s="60"/>
      <c r="B4152" s="61" t="str">
        <f aca="false">IF($M4152=0,"",INDEX(Classes!$E$6:$E$420,$M4152))</f>
        <v/>
      </c>
      <c r="C4152" s="62" t="str">
        <f aca="false">IF($M4152=0,"",INDEX(Classes!$H$6:$H$420,$M4152))</f>
        <v/>
      </c>
      <c r="D4152" s="61" t="str">
        <f aca="false">IF($M4152=0,"",INDEX(Classes!$B$6:$B$420,$M4152))</f>
        <v/>
      </c>
      <c r="E4152" s="61" t="str">
        <f aca="false">IF($M4152=0,"",INDEX(Classes!$C$6:$C$420,$M4152))</f>
        <v/>
      </c>
      <c r="F4152" s="63"/>
      <c r="G4152" s="63"/>
      <c r="H4152" s="60"/>
      <c r="I4152" s="60"/>
      <c r="J4152" s="63"/>
      <c r="K4152" s="61" t="str">
        <f aca="false">IF($P4152=0,"",IF($F4152="Baseline","— Baseline",IF($O4152=0,"No result",IF($N4152=0,"No Start (attainment only)",IF(OR($N4152=1,$O4152=1),"U – needs rule",INDEX(MxBody,MATCH($I4152,MxCurr,0),MATCH($H4152,MxStart,0)))))))</f>
        <v/>
      </c>
      <c r="L4152" s="62" t="str">
        <f aca="false">IF(COUNTA($A4152,$F4152,$G4152,$H4152,$I4152,$J4152)=0,"",IF($M4152=0,"✖ كود الصف غير موجود",IF(ISNA(MATCH($F4152,Lists!$A$2:$A$5,0)),"✖ الفترة غير صحيحة",IF(ISNA(MATCH($G4152,Lists!$B$2:$B$7,0)),"✖ المجموعة غير صحيحة",IF(NOT(OR($H4152="",$N4152&gt;0)),"✖ Start غير صحيح",IF(NOT(OR($I4152="",$I4152="NR",$O4152&gt;0)),"✖ Current غير صحيح",IF(NOT(IF(ISNUMBER($J4152),AND($J4152&gt;=0,$J4152=INT($J4152)),FALSE())),"✖ العدد يجب أن يكون صحيحًا ≥ 0",IF(AND($F4152="Baseline",$H4152&lt;&gt;""),"⚠ Baseline: Start لا يدخل في التقدم",IF($K4152="No Start (attainment only)","ℹ تحصيل فقط (بدون Start)",IF($K4152="U – needs rule","ℹ حالة U تحتاج قاعدة معتمدة",IF($K4152="No result","ℹ بدون نتيجة (يُستبعد من التحصيل)","OK")))))))))))</f>
        <v/>
      </c>
      <c r="M4152" s="64" t="n">
        <f aca="false">IF($A4152="",0,IFERROR(MATCH($A4152,Classes!$A$6:$A$420,0),0))</f>
        <v>0</v>
      </c>
      <c r="N4152" s="64" t="n">
        <f aca="false">IF($H4152="",0,IFERROR(MATCH($H4152,GradeList,0),0))</f>
        <v>0</v>
      </c>
      <c r="O4152" s="64" t="n">
        <f aca="false">IF(OR($I4152="",$I4152="NR"),0,IFERROR(MATCH($I4152,GradeList,0),0))</f>
        <v>0</v>
      </c>
      <c r="P4152" s="64" t="n">
        <f aca="false">IF(AND($M4152&gt;0,ISNUMBER(MATCH($F4152,Lists!$A$2:$A$5,0)),ISNUMBER(MATCH($G4152,Lists!$B$2:$B$7,0)),OR($H4152="",$N4152&gt;0),OR($I4152="",$I4152="NR",$O4152&gt;0),IF(ISNUMBER($J4152),AND($J4152&gt;=0,$J4152=INT($J4152)),FALSE())),$J4152,0)</f>
        <v>0</v>
      </c>
      <c r="Q4152" s="64" t="n">
        <f aca="false">IF(AND($P4152&gt;0,$O4152&gt;0),$P4152,0)</f>
        <v>0</v>
      </c>
      <c r="R4152" s="64" t="n">
        <f aca="false">IF(AND($Q4152&gt;0,$O4152&gt;=AtRank),$Q4152,0)</f>
        <v>0</v>
      </c>
      <c r="S4152" s="64" t="n">
        <f aca="false">IF(AND($Q4152&gt;0,$O4152&gt;=AboveRank),$Q4152,0)</f>
        <v>0</v>
      </c>
      <c r="T4152" s="64" t="n">
        <f aca="false">IF($K4152="Less",$P4152,0)</f>
        <v>0</v>
      </c>
      <c r="U4152" s="64" t="n">
        <f aca="false">IF($K4152="Expected",$P4152,0)</f>
        <v>0</v>
      </c>
      <c r="V4152" s="64" t="n">
        <f aca="false">IF($K4152="Better",$P4152,0)</f>
        <v>0</v>
      </c>
      <c r="W4152" s="64" t="n">
        <f aca="false">IF($K4152="U – needs rule",$P4152,0)</f>
        <v>0</v>
      </c>
      <c r="X4152" s="64" t="n">
        <f aca="false">IF($K4152="No Start (attainment only)",$P4152,0)</f>
        <v>0</v>
      </c>
    </row>
    <row r="4153" customFormat="false" ht="15" hidden="false" customHeight="false" outlineLevel="0" collapsed="false">
      <c r="A4153" s="60"/>
      <c r="B4153" s="61" t="str">
        <f aca="false">IF($M4153=0,"",INDEX(Classes!$E$6:$E$420,$M4153))</f>
        <v/>
      </c>
      <c r="C4153" s="62" t="str">
        <f aca="false">IF($M4153=0,"",INDEX(Classes!$H$6:$H$420,$M4153))</f>
        <v/>
      </c>
      <c r="D4153" s="61" t="str">
        <f aca="false">IF($M4153=0,"",INDEX(Classes!$B$6:$B$420,$M4153))</f>
        <v/>
      </c>
      <c r="E4153" s="61" t="str">
        <f aca="false">IF($M4153=0,"",INDEX(Classes!$C$6:$C$420,$M4153))</f>
        <v/>
      </c>
      <c r="F4153" s="63"/>
      <c r="G4153" s="63"/>
      <c r="H4153" s="60"/>
      <c r="I4153" s="60"/>
      <c r="J4153" s="63"/>
      <c r="K4153" s="61" t="str">
        <f aca="false">IF($P4153=0,"",IF($F4153="Baseline","— Baseline",IF($O4153=0,"No result",IF($N4153=0,"No Start (attainment only)",IF(OR($N4153=1,$O4153=1),"U – needs rule",INDEX(MxBody,MATCH($I4153,MxCurr,0),MATCH($H4153,MxStart,0)))))))</f>
        <v/>
      </c>
      <c r="L4153" s="62" t="str">
        <f aca="false">IF(COUNTA($A4153,$F4153,$G4153,$H4153,$I4153,$J4153)=0,"",IF($M4153=0,"✖ كود الصف غير موجود",IF(ISNA(MATCH($F4153,Lists!$A$2:$A$5,0)),"✖ الفترة غير صحيحة",IF(ISNA(MATCH($G4153,Lists!$B$2:$B$7,0)),"✖ المجموعة غير صحيحة",IF(NOT(OR($H4153="",$N4153&gt;0)),"✖ Start غير صحيح",IF(NOT(OR($I4153="",$I4153="NR",$O4153&gt;0)),"✖ Current غير صحيح",IF(NOT(IF(ISNUMBER($J4153),AND($J4153&gt;=0,$J4153=INT($J4153)),FALSE())),"✖ العدد يجب أن يكون صحيحًا ≥ 0",IF(AND($F4153="Baseline",$H4153&lt;&gt;""),"⚠ Baseline: Start لا يدخل في التقدم",IF($K4153="No Start (attainment only)","ℹ تحصيل فقط (بدون Start)",IF($K4153="U – needs rule","ℹ حالة U تحتاج قاعدة معتمدة",IF($K4153="No result","ℹ بدون نتيجة (يُستبعد من التحصيل)","OK")))))))))))</f>
        <v/>
      </c>
      <c r="M4153" s="64" t="n">
        <f aca="false">IF($A4153="",0,IFERROR(MATCH($A4153,Classes!$A$6:$A$420,0),0))</f>
        <v>0</v>
      </c>
      <c r="N4153" s="64" t="n">
        <f aca="false">IF($H4153="",0,IFERROR(MATCH($H4153,GradeList,0),0))</f>
        <v>0</v>
      </c>
      <c r="O4153" s="64" t="n">
        <f aca="false">IF(OR($I4153="",$I4153="NR"),0,IFERROR(MATCH($I4153,GradeList,0),0))</f>
        <v>0</v>
      </c>
      <c r="P4153" s="64" t="n">
        <f aca="false">IF(AND($M4153&gt;0,ISNUMBER(MATCH($F4153,Lists!$A$2:$A$5,0)),ISNUMBER(MATCH($G4153,Lists!$B$2:$B$7,0)),OR($H4153="",$N4153&gt;0),OR($I4153="",$I4153="NR",$O4153&gt;0),IF(ISNUMBER($J4153),AND($J4153&gt;=0,$J4153=INT($J4153)),FALSE())),$J4153,0)</f>
        <v>0</v>
      </c>
      <c r="Q4153" s="64" t="n">
        <f aca="false">IF(AND($P4153&gt;0,$O4153&gt;0),$P4153,0)</f>
        <v>0</v>
      </c>
      <c r="R4153" s="64" t="n">
        <f aca="false">IF(AND($Q4153&gt;0,$O4153&gt;=AtRank),$Q4153,0)</f>
        <v>0</v>
      </c>
      <c r="S4153" s="64" t="n">
        <f aca="false">IF(AND($Q4153&gt;0,$O4153&gt;=AboveRank),$Q4153,0)</f>
        <v>0</v>
      </c>
      <c r="T4153" s="64" t="n">
        <f aca="false">IF($K4153="Less",$P4153,0)</f>
        <v>0</v>
      </c>
      <c r="U4153" s="64" t="n">
        <f aca="false">IF($K4153="Expected",$P4153,0)</f>
        <v>0</v>
      </c>
      <c r="V4153" s="64" t="n">
        <f aca="false">IF($K4153="Better",$P4153,0)</f>
        <v>0</v>
      </c>
      <c r="W4153" s="64" t="n">
        <f aca="false">IF($K4153="U – needs rule",$P4153,0)</f>
        <v>0</v>
      </c>
      <c r="X4153" s="64" t="n">
        <f aca="false">IF($K4153="No Start (attainment only)",$P4153,0)</f>
        <v>0</v>
      </c>
    </row>
    <row r="4154" customFormat="false" ht="15" hidden="false" customHeight="false" outlineLevel="0" collapsed="false">
      <c r="A4154" s="60"/>
      <c r="B4154" s="61" t="str">
        <f aca="false">IF($M4154=0,"",INDEX(Classes!$E$6:$E$420,$M4154))</f>
        <v/>
      </c>
      <c r="C4154" s="62" t="str">
        <f aca="false">IF($M4154=0,"",INDEX(Classes!$H$6:$H$420,$M4154))</f>
        <v/>
      </c>
      <c r="D4154" s="61" t="str">
        <f aca="false">IF($M4154=0,"",INDEX(Classes!$B$6:$B$420,$M4154))</f>
        <v/>
      </c>
      <c r="E4154" s="61" t="str">
        <f aca="false">IF($M4154=0,"",INDEX(Classes!$C$6:$C$420,$M4154))</f>
        <v/>
      </c>
      <c r="F4154" s="63"/>
      <c r="G4154" s="63"/>
      <c r="H4154" s="60"/>
      <c r="I4154" s="60"/>
      <c r="J4154" s="63"/>
      <c r="K4154" s="61" t="str">
        <f aca="false">IF($P4154=0,"",IF($F4154="Baseline","— Baseline",IF($O4154=0,"No result",IF($N4154=0,"No Start (attainment only)",IF(OR($N4154=1,$O4154=1),"U – needs rule",INDEX(MxBody,MATCH($I4154,MxCurr,0),MATCH($H4154,MxStart,0)))))))</f>
        <v/>
      </c>
      <c r="L4154" s="62" t="str">
        <f aca="false">IF(COUNTA($A4154,$F4154,$G4154,$H4154,$I4154,$J4154)=0,"",IF($M4154=0,"✖ كود الصف غير موجود",IF(ISNA(MATCH($F4154,Lists!$A$2:$A$5,0)),"✖ الفترة غير صحيحة",IF(ISNA(MATCH($G4154,Lists!$B$2:$B$7,0)),"✖ المجموعة غير صحيحة",IF(NOT(OR($H4154="",$N4154&gt;0)),"✖ Start غير صحيح",IF(NOT(OR($I4154="",$I4154="NR",$O4154&gt;0)),"✖ Current غير صحيح",IF(NOT(IF(ISNUMBER($J4154),AND($J4154&gt;=0,$J4154=INT($J4154)),FALSE())),"✖ العدد يجب أن يكون صحيحًا ≥ 0",IF(AND($F4154="Baseline",$H4154&lt;&gt;""),"⚠ Baseline: Start لا يدخل في التقدم",IF($K4154="No Start (attainment only)","ℹ تحصيل فقط (بدون Start)",IF($K4154="U – needs rule","ℹ حالة U تحتاج قاعدة معتمدة",IF($K4154="No result","ℹ بدون نتيجة (يُستبعد من التحصيل)","OK")))))))))))</f>
        <v/>
      </c>
      <c r="M4154" s="64" t="n">
        <f aca="false">IF($A4154="",0,IFERROR(MATCH($A4154,Classes!$A$6:$A$420,0),0))</f>
        <v>0</v>
      </c>
      <c r="N4154" s="64" t="n">
        <f aca="false">IF($H4154="",0,IFERROR(MATCH($H4154,GradeList,0),0))</f>
        <v>0</v>
      </c>
      <c r="O4154" s="64" t="n">
        <f aca="false">IF(OR($I4154="",$I4154="NR"),0,IFERROR(MATCH($I4154,GradeList,0),0))</f>
        <v>0</v>
      </c>
      <c r="P4154" s="64" t="n">
        <f aca="false">IF(AND($M4154&gt;0,ISNUMBER(MATCH($F4154,Lists!$A$2:$A$5,0)),ISNUMBER(MATCH($G4154,Lists!$B$2:$B$7,0)),OR($H4154="",$N4154&gt;0),OR($I4154="",$I4154="NR",$O4154&gt;0),IF(ISNUMBER($J4154),AND($J4154&gt;=0,$J4154=INT($J4154)),FALSE())),$J4154,0)</f>
        <v>0</v>
      </c>
      <c r="Q4154" s="64" t="n">
        <f aca="false">IF(AND($P4154&gt;0,$O4154&gt;0),$P4154,0)</f>
        <v>0</v>
      </c>
      <c r="R4154" s="64" t="n">
        <f aca="false">IF(AND($Q4154&gt;0,$O4154&gt;=AtRank),$Q4154,0)</f>
        <v>0</v>
      </c>
      <c r="S4154" s="64" t="n">
        <f aca="false">IF(AND($Q4154&gt;0,$O4154&gt;=AboveRank),$Q4154,0)</f>
        <v>0</v>
      </c>
      <c r="T4154" s="64" t="n">
        <f aca="false">IF($K4154="Less",$P4154,0)</f>
        <v>0</v>
      </c>
      <c r="U4154" s="64" t="n">
        <f aca="false">IF($K4154="Expected",$P4154,0)</f>
        <v>0</v>
      </c>
      <c r="V4154" s="64" t="n">
        <f aca="false">IF($K4154="Better",$P4154,0)</f>
        <v>0</v>
      </c>
      <c r="W4154" s="64" t="n">
        <f aca="false">IF($K4154="U – needs rule",$P4154,0)</f>
        <v>0</v>
      </c>
      <c r="X4154" s="64" t="n">
        <f aca="false">IF($K4154="No Start (attainment only)",$P4154,0)</f>
        <v>0</v>
      </c>
    </row>
    <row r="4155" customFormat="false" ht="15" hidden="false" customHeight="false" outlineLevel="0" collapsed="false">
      <c r="A4155" s="60"/>
      <c r="B4155" s="61" t="str">
        <f aca="false">IF($M4155=0,"",INDEX(Classes!$E$6:$E$420,$M4155))</f>
        <v/>
      </c>
      <c r="C4155" s="62" t="str">
        <f aca="false">IF($M4155=0,"",INDEX(Classes!$H$6:$H$420,$M4155))</f>
        <v/>
      </c>
      <c r="D4155" s="61" t="str">
        <f aca="false">IF($M4155=0,"",INDEX(Classes!$B$6:$B$420,$M4155))</f>
        <v/>
      </c>
      <c r="E4155" s="61" t="str">
        <f aca="false">IF($M4155=0,"",INDEX(Classes!$C$6:$C$420,$M4155))</f>
        <v/>
      </c>
      <c r="F4155" s="63"/>
      <c r="G4155" s="63"/>
      <c r="H4155" s="60"/>
      <c r="I4155" s="60"/>
      <c r="J4155" s="63"/>
      <c r="K4155" s="61" t="str">
        <f aca="false">IF($P4155=0,"",IF($F4155="Baseline","— Baseline",IF($O4155=0,"No result",IF($N4155=0,"No Start (attainment only)",IF(OR($N4155=1,$O4155=1),"U – needs rule",INDEX(MxBody,MATCH($I4155,MxCurr,0),MATCH($H4155,MxStart,0)))))))</f>
        <v/>
      </c>
      <c r="L4155" s="62" t="str">
        <f aca="false">IF(COUNTA($A4155,$F4155,$G4155,$H4155,$I4155,$J4155)=0,"",IF($M4155=0,"✖ كود الصف غير موجود",IF(ISNA(MATCH($F4155,Lists!$A$2:$A$5,0)),"✖ الفترة غير صحيحة",IF(ISNA(MATCH($G4155,Lists!$B$2:$B$7,0)),"✖ المجموعة غير صحيحة",IF(NOT(OR($H4155="",$N4155&gt;0)),"✖ Start غير صحيح",IF(NOT(OR($I4155="",$I4155="NR",$O4155&gt;0)),"✖ Current غير صحيح",IF(NOT(IF(ISNUMBER($J4155),AND($J4155&gt;=0,$J4155=INT($J4155)),FALSE())),"✖ العدد يجب أن يكون صحيحًا ≥ 0",IF(AND($F4155="Baseline",$H4155&lt;&gt;""),"⚠ Baseline: Start لا يدخل في التقدم",IF($K4155="No Start (attainment only)","ℹ تحصيل فقط (بدون Start)",IF($K4155="U – needs rule","ℹ حالة U تحتاج قاعدة معتمدة",IF($K4155="No result","ℹ بدون نتيجة (يُستبعد من التحصيل)","OK")))))))))))</f>
        <v/>
      </c>
      <c r="M4155" s="64" t="n">
        <f aca="false">IF($A4155="",0,IFERROR(MATCH($A4155,Classes!$A$6:$A$420,0),0))</f>
        <v>0</v>
      </c>
      <c r="N4155" s="64" t="n">
        <f aca="false">IF($H4155="",0,IFERROR(MATCH($H4155,GradeList,0),0))</f>
        <v>0</v>
      </c>
      <c r="O4155" s="64" t="n">
        <f aca="false">IF(OR($I4155="",$I4155="NR"),0,IFERROR(MATCH($I4155,GradeList,0),0))</f>
        <v>0</v>
      </c>
      <c r="P4155" s="64" t="n">
        <f aca="false">IF(AND($M4155&gt;0,ISNUMBER(MATCH($F4155,Lists!$A$2:$A$5,0)),ISNUMBER(MATCH($G4155,Lists!$B$2:$B$7,0)),OR($H4155="",$N4155&gt;0),OR($I4155="",$I4155="NR",$O4155&gt;0),IF(ISNUMBER($J4155),AND($J4155&gt;=0,$J4155=INT($J4155)),FALSE())),$J4155,0)</f>
        <v>0</v>
      </c>
      <c r="Q4155" s="64" t="n">
        <f aca="false">IF(AND($P4155&gt;0,$O4155&gt;0),$P4155,0)</f>
        <v>0</v>
      </c>
      <c r="R4155" s="64" t="n">
        <f aca="false">IF(AND($Q4155&gt;0,$O4155&gt;=AtRank),$Q4155,0)</f>
        <v>0</v>
      </c>
      <c r="S4155" s="64" t="n">
        <f aca="false">IF(AND($Q4155&gt;0,$O4155&gt;=AboveRank),$Q4155,0)</f>
        <v>0</v>
      </c>
      <c r="T4155" s="64" t="n">
        <f aca="false">IF($K4155="Less",$P4155,0)</f>
        <v>0</v>
      </c>
      <c r="U4155" s="64" t="n">
        <f aca="false">IF($K4155="Expected",$P4155,0)</f>
        <v>0</v>
      </c>
      <c r="V4155" s="64" t="n">
        <f aca="false">IF($K4155="Better",$P4155,0)</f>
        <v>0</v>
      </c>
      <c r="W4155" s="64" t="n">
        <f aca="false">IF($K4155="U – needs rule",$P4155,0)</f>
        <v>0</v>
      </c>
      <c r="X4155" s="64" t="n">
        <f aca="false">IF($K4155="No Start (attainment only)",$P4155,0)</f>
        <v>0</v>
      </c>
    </row>
    <row r="4156" customFormat="false" ht="15" hidden="false" customHeight="false" outlineLevel="0" collapsed="false">
      <c r="A4156" s="60"/>
      <c r="B4156" s="61" t="str">
        <f aca="false">IF($M4156=0,"",INDEX(Classes!$E$6:$E$420,$M4156))</f>
        <v/>
      </c>
      <c r="C4156" s="62" t="str">
        <f aca="false">IF($M4156=0,"",INDEX(Classes!$H$6:$H$420,$M4156))</f>
        <v/>
      </c>
      <c r="D4156" s="61" t="str">
        <f aca="false">IF($M4156=0,"",INDEX(Classes!$B$6:$B$420,$M4156))</f>
        <v/>
      </c>
      <c r="E4156" s="61" t="str">
        <f aca="false">IF($M4156=0,"",INDEX(Classes!$C$6:$C$420,$M4156))</f>
        <v/>
      </c>
      <c r="F4156" s="63"/>
      <c r="G4156" s="63"/>
      <c r="H4156" s="60"/>
      <c r="I4156" s="60"/>
      <c r="J4156" s="63"/>
      <c r="K4156" s="61" t="str">
        <f aca="false">IF($P4156=0,"",IF($F4156="Baseline","— Baseline",IF($O4156=0,"No result",IF($N4156=0,"No Start (attainment only)",IF(OR($N4156=1,$O4156=1),"U – needs rule",INDEX(MxBody,MATCH($I4156,MxCurr,0),MATCH($H4156,MxStart,0)))))))</f>
        <v/>
      </c>
      <c r="L4156" s="62" t="str">
        <f aca="false">IF(COUNTA($A4156,$F4156,$G4156,$H4156,$I4156,$J4156)=0,"",IF($M4156=0,"✖ كود الصف غير موجود",IF(ISNA(MATCH($F4156,Lists!$A$2:$A$5,0)),"✖ الفترة غير صحيحة",IF(ISNA(MATCH($G4156,Lists!$B$2:$B$7,0)),"✖ المجموعة غير صحيحة",IF(NOT(OR($H4156="",$N4156&gt;0)),"✖ Start غير صحيح",IF(NOT(OR($I4156="",$I4156="NR",$O4156&gt;0)),"✖ Current غير صحيح",IF(NOT(IF(ISNUMBER($J4156),AND($J4156&gt;=0,$J4156=INT($J4156)),FALSE())),"✖ العدد يجب أن يكون صحيحًا ≥ 0",IF(AND($F4156="Baseline",$H4156&lt;&gt;""),"⚠ Baseline: Start لا يدخل في التقدم",IF($K4156="No Start (attainment only)","ℹ تحصيل فقط (بدون Start)",IF($K4156="U – needs rule","ℹ حالة U تحتاج قاعدة معتمدة",IF($K4156="No result","ℹ بدون نتيجة (يُستبعد من التحصيل)","OK")))))))))))</f>
        <v/>
      </c>
      <c r="M4156" s="64" t="n">
        <f aca="false">IF($A4156="",0,IFERROR(MATCH($A4156,Classes!$A$6:$A$420,0),0))</f>
        <v>0</v>
      </c>
      <c r="N4156" s="64" t="n">
        <f aca="false">IF($H4156="",0,IFERROR(MATCH($H4156,GradeList,0),0))</f>
        <v>0</v>
      </c>
      <c r="O4156" s="64" t="n">
        <f aca="false">IF(OR($I4156="",$I4156="NR"),0,IFERROR(MATCH($I4156,GradeList,0),0))</f>
        <v>0</v>
      </c>
      <c r="P4156" s="64" t="n">
        <f aca="false">IF(AND($M4156&gt;0,ISNUMBER(MATCH($F4156,Lists!$A$2:$A$5,0)),ISNUMBER(MATCH($G4156,Lists!$B$2:$B$7,0)),OR($H4156="",$N4156&gt;0),OR($I4156="",$I4156="NR",$O4156&gt;0),IF(ISNUMBER($J4156),AND($J4156&gt;=0,$J4156=INT($J4156)),FALSE())),$J4156,0)</f>
        <v>0</v>
      </c>
      <c r="Q4156" s="64" t="n">
        <f aca="false">IF(AND($P4156&gt;0,$O4156&gt;0),$P4156,0)</f>
        <v>0</v>
      </c>
      <c r="R4156" s="64" t="n">
        <f aca="false">IF(AND($Q4156&gt;0,$O4156&gt;=AtRank),$Q4156,0)</f>
        <v>0</v>
      </c>
      <c r="S4156" s="64" t="n">
        <f aca="false">IF(AND($Q4156&gt;0,$O4156&gt;=AboveRank),$Q4156,0)</f>
        <v>0</v>
      </c>
      <c r="T4156" s="64" t="n">
        <f aca="false">IF($K4156="Less",$P4156,0)</f>
        <v>0</v>
      </c>
      <c r="U4156" s="64" t="n">
        <f aca="false">IF($K4156="Expected",$P4156,0)</f>
        <v>0</v>
      </c>
      <c r="V4156" s="64" t="n">
        <f aca="false">IF($K4156="Better",$P4156,0)</f>
        <v>0</v>
      </c>
      <c r="W4156" s="64" t="n">
        <f aca="false">IF($K4156="U – needs rule",$P4156,0)</f>
        <v>0</v>
      </c>
      <c r="X4156" s="64" t="n">
        <f aca="false">IF($K4156="No Start (attainment only)",$P4156,0)</f>
        <v>0</v>
      </c>
    </row>
    <row r="4157" customFormat="false" ht="15" hidden="false" customHeight="false" outlineLevel="0" collapsed="false">
      <c r="A4157" s="60"/>
      <c r="B4157" s="61" t="str">
        <f aca="false">IF($M4157=0,"",INDEX(Classes!$E$6:$E$420,$M4157))</f>
        <v/>
      </c>
      <c r="C4157" s="62" t="str">
        <f aca="false">IF($M4157=0,"",INDEX(Classes!$H$6:$H$420,$M4157))</f>
        <v/>
      </c>
      <c r="D4157" s="61" t="str">
        <f aca="false">IF($M4157=0,"",INDEX(Classes!$B$6:$B$420,$M4157))</f>
        <v/>
      </c>
      <c r="E4157" s="61" t="str">
        <f aca="false">IF($M4157=0,"",INDEX(Classes!$C$6:$C$420,$M4157))</f>
        <v/>
      </c>
      <c r="F4157" s="63"/>
      <c r="G4157" s="63"/>
      <c r="H4157" s="60"/>
      <c r="I4157" s="60"/>
      <c r="J4157" s="63"/>
      <c r="K4157" s="61" t="str">
        <f aca="false">IF($P4157=0,"",IF($F4157="Baseline","— Baseline",IF($O4157=0,"No result",IF($N4157=0,"No Start (attainment only)",IF(OR($N4157=1,$O4157=1),"U – needs rule",INDEX(MxBody,MATCH($I4157,MxCurr,0),MATCH($H4157,MxStart,0)))))))</f>
        <v/>
      </c>
      <c r="L4157" s="62" t="str">
        <f aca="false">IF(COUNTA($A4157,$F4157,$G4157,$H4157,$I4157,$J4157)=0,"",IF($M4157=0,"✖ كود الصف غير موجود",IF(ISNA(MATCH($F4157,Lists!$A$2:$A$5,0)),"✖ الفترة غير صحيحة",IF(ISNA(MATCH($G4157,Lists!$B$2:$B$7,0)),"✖ المجموعة غير صحيحة",IF(NOT(OR($H4157="",$N4157&gt;0)),"✖ Start غير صحيح",IF(NOT(OR($I4157="",$I4157="NR",$O4157&gt;0)),"✖ Current غير صحيح",IF(NOT(IF(ISNUMBER($J4157),AND($J4157&gt;=0,$J4157=INT($J4157)),FALSE())),"✖ العدد يجب أن يكون صحيحًا ≥ 0",IF(AND($F4157="Baseline",$H4157&lt;&gt;""),"⚠ Baseline: Start لا يدخل في التقدم",IF($K4157="No Start (attainment only)","ℹ تحصيل فقط (بدون Start)",IF($K4157="U – needs rule","ℹ حالة U تحتاج قاعدة معتمدة",IF($K4157="No result","ℹ بدون نتيجة (يُستبعد من التحصيل)","OK")))))))))))</f>
        <v/>
      </c>
      <c r="M4157" s="64" t="n">
        <f aca="false">IF($A4157="",0,IFERROR(MATCH($A4157,Classes!$A$6:$A$420,0),0))</f>
        <v>0</v>
      </c>
      <c r="N4157" s="64" t="n">
        <f aca="false">IF($H4157="",0,IFERROR(MATCH($H4157,GradeList,0),0))</f>
        <v>0</v>
      </c>
      <c r="O4157" s="64" t="n">
        <f aca="false">IF(OR($I4157="",$I4157="NR"),0,IFERROR(MATCH($I4157,GradeList,0),0))</f>
        <v>0</v>
      </c>
      <c r="P4157" s="64" t="n">
        <f aca="false">IF(AND($M4157&gt;0,ISNUMBER(MATCH($F4157,Lists!$A$2:$A$5,0)),ISNUMBER(MATCH($G4157,Lists!$B$2:$B$7,0)),OR($H4157="",$N4157&gt;0),OR($I4157="",$I4157="NR",$O4157&gt;0),IF(ISNUMBER($J4157),AND($J4157&gt;=0,$J4157=INT($J4157)),FALSE())),$J4157,0)</f>
        <v>0</v>
      </c>
      <c r="Q4157" s="64" t="n">
        <f aca="false">IF(AND($P4157&gt;0,$O4157&gt;0),$P4157,0)</f>
        <v>0</v>
      </c>
      <c r="R4157" s="64" t="n">
        <f aca="false">IF(AND($Q4157&gt;0,$O4157&gt;=AtRank),$Q4157,0)</f>
        <v>0</v>
      </c>
      <c r="S4157" s="64" t="n">
        <f aca="false">IF(AND($Q4157&gt;0,$O4157&gt;=AboveRank),$Q4157,0)</f>
        <v>0</v>
      </c>
      <c r="T4157" s="64" t="n">
        <f aca="false">IF($K4157="Less",$P4157,0)</f>
        <v>0</v>
      </c>
      <c r="U4157" s="64" t="n">
        <f aca="false">IF($K4157="Expected",$P4157,0)</f>
        <v>0</v>
      </c>
      <c r="V4157" s="64" t="n">
        <f aca="false">IF($K4157="Better",$P4157,0)</f>
        <v>0</v>
      </c>
      <c r="W4157" s="64" t="n">
        <f aca="false">IF($K4157="U – needs rule",$P4157,0)</f>
        <v>0</v>
      </c>
      <c r="X4157" s="64" t="n">
        <f aca="false">IF($K4157="No Start (attainment only)",$P4157,0)</f>
        <v>0</v>
      </c>
    </row>
    <row r="4158" customFormat="false" ht="15" hidden="false" customHeight="false" outlineLevel="0" collapsed="false">
      <c r="A4158" s="60"/>
      <c r="B4158" s="61" t="str">
        <f aca="false">IF($M4158=0,"",INDEX(Classes!$E$6:$E$420,$M4158))</f>
        <v/>
      </c>
      <c r="C4158" s="62" t="str">
        <f aca="false">IF($M4158=0,"",INDEX(Classes!$H$6:$H$420,$M4158))</f>
        <v/>
      </c>
      <c r="D4158" s="61" t="str">
        <f aca="false">IF($M4158=0,"",INDEX(Classes!$B$6:$B$420,$M4158))</f>
        <v/>
      </c>
      <c r="E4158" s="61" t="str">
        <f aca="false">IF($M4158=0,"",INDEX(Classes!$C$6:$C$420,$M4158))</f>
        <v/>
      </c>
      <c r="F4158" s="63"/>
      <c r="G4158" s="63"/>
      <c r="H4158" s="60"/>
      <c r="I4158" s="60"/>
      <c r="J4158" s="63"/>
      <c r="K4158" s="61" t="str">
        <f aca="false">IF($P4158=0,"",IF($F4158="Baseline","— Baseline",IF($O4158=0,"No result",IF($N4158=0,"No Start (attainment only)",IF(OR($N4158=1,$O4158=1),"U – needs rule",INDEX(MxBody,MATCH($I4158,MxCurr,0),MATCH($H4158,MxStart,0)))))))</f>
        <v/>
      </c>
      <c r="L4158" s="62" t="str">
        <f aca="false">IF(COUNTA($A4158,$F4158,$G4158,$H4158,$I4158,$J4158)=0,"",IF($M4158=0,"✖ كود الصف غير موجود",IF(ISNA(MATCH($F4158,Lists!$A$2:$A$5,0)),"✖ الفترة غير صحيحة",IF(ISNA(MATCH($G4158,Lists!$B$2:$B$7,0)),"✖ المجموعة غير صحيحة",IF(NOT(OR($H4158="",$N4158&gt;0)),"✖ Start غير صحيح",IF(NOT(OR($I4158="",$I4158="NR",$O4158&gt;0)),"✖ Current غير صحيح",IF(NOT(IF(ISNUMBER($J4158),AND($J4158&gt;=0,$J4158=INT($J4158)),FALSE())),"✖ العدد يجب أن يكون صحيحًا ≥ 0",IF(AND($F4158="Baseline",$H4158&lt;&gt;""),"⚠ Baseline: Start لا يدخل في التقدم",IF($K4158="No Start (attainment only)","ℹ تحصيل فقط (بدون Start)",IF($K4158="U – needs rule","ℹ حالة U تحتاج قاعدة معتمدة",IF($K4158="No result","ℹ بدون نتيجة (يُستبعد من التحصيل)","OK")))))))))))</f>
        <v/>
      </c>
      <c r="M4158" s="64" t="n">
        <f aca="false">IF($A4158="",0,IFERROR(MATCH($A4158,Classes!$A$6:$A$420,0),0))</f>
        <v>0</v>
      </c>
      <c r="N4158" s="64" t="n">
        <f aca="false">IF($H4158="",0,IFERROR(MATCH($H4158,GradeList,0),0))</f>
        <v>0</v>
      </c>
      <c r="O4158" s="64" t="n">
        <f aca="false">IF(OR($I4158="",$I4158="NR"),0,IFERROR(MATCH($I4158,GradeList,0),0))</f>
        <v>0</v>
      </c>
      <c r="P4158" s="64" t="n">
        <f aca="false">IF(AND($M4158&gt;0,ISNUMBER(MATCH($F4158,Lists!$A$2:$A$5,0)),ISNUMBER(MATCH($G4158,Lists!$B$2:$B$7,0)),OR($H4158="",$N4158&gt;0),OR($I4158="",$I4158="NR",$O4158&gt;0),IF(ISNUMBER($J4158),AND($J4158&gt;=0,$J4158=INT($J4158)),FALSE())),$J4158,0)</f>
        <v>0</v>
      </c>
      <c r="Q4158" s="64" t="n">
        <f aca="false">IF(AND($P4158&gt;0,$O4158&gt;0),$P4158,0)</f>
        <v>0</v>
      </c>
      <c r="R4158" s="64" t="n">
        <f aca="false">IF(AND($Q4158&gt;0,$O4158&gt;=AtRank),$Q4158,0)</f>
        <v>0</v>
      </c>
      <c r="S4158" s="64" t="n">
        <f aca="false">IF(AND($Q4158&gt;0,$O4158&gt;=AboveRank),$Q4158,0)</f>
        <v>0</v>
      </c>
      <c r="T4158" s="64" t="n">
        <f aca="false">IF($K4158="Less",$P4158,0)</f>
        <v>0</v>
      </c>
      <c r="U4158" s="64" t="n">
        <f aca="false">IF($K4158="Expected",$P4158,0)</f>
        <v>0</v>
      </c>
      <c r="V4158" s="64" t="n">
        <f aca="false">IF($K4158="Better",$P4158,0)</f>
        <v>0</v>
      </c>
      <c r="W4158" s="64" t="n">
        <f aca="false">IF($K4158="U – needs rule",$P4158,0)</f>
        <v>0</v>
      </c>
      <c r="X4158" s="64" t="n">
        <f aca="false">IF($K4158="No Start (attainment only)",$P4158,0)</f>
        <v>0</v>
      </c>
    </row>
    <row r="4159" customFormat="false" ht="15" hidden="false" customHeight="false" outlineLevel="0" collapsed="false">
      <c r="A4159" s="60"/>
      <c r="B4159" s="61" t="str">
        <f aca="false">IF($M4159=0,"",INDEX(Classes!$E$6:$E$420,$M4159))</f>
        <v/>
      </c>
      <c r="C4159" s="62" t="str">
        <f aca="false">IF($M4159=0,"",INDEX(Classes!$H$6:$H$420,$M4159))</f>
        <v/>
      </c>
      <c r="D4159" s="61" t="str">
        <f aca="false">IF($M4159=0,"",INDEX(Classes!$B$6:$B$420,$M4159))</f>
        <v/>
      </c>
      <c r="E4159" s="61" t="str">
        <f aca="false">IF($M4159=0,"",INDEX(Classes!$C$6:$C$420,$M4159))</f>
        <v/>
      </c>
      <c r="F4159" s="63"/>
      <c r="G4159" s="63"/>
      <c r="H4159" s="60"/>
      <c r="I4159" s="60"/>
      <c r="J4159" s="63"/>
      <c r="K4159" s="61" t="str">
        <f aca="false">IF($P4159=0,"",IF($F4159="Baseline","— Baseline",IF($O4159=0,"No result",IF($N4159=0,"No Start (attainment only)",IF(OR($N4159=1,$O4159=1),"U – needs rule",INDEX(MxBody,MATCH($I4159,MxCurr,0),MATCH($H4159,MxStart,0)))))))</f>
        <v/>
      </c>
      <c r="L4159" s="62" t="str">
        <f aca="false">IF(COUNTA($A4159,$F4159,$G4159,$H4159,$I4159,$J4159)=0,"",IF($M4159=0,"✖ كود الصف غير موجود",IF(ISNA(MATCH($F4159,Lists!$A$2:$A$5,0)),"✖ الفترة غير صحيحة",IF(ISNA(MATCH($G4159,Lists!$B$2:$B$7,0)),"✖ المجموعة غير صحيحة",IF(NOT(OR($H4159="",$N4159&gt;0)),"✖ Start غير صحيح",IF(NOT(OR($I4159="",$I4159="NR",$O4159&gt;0)),"✖ Current غير صحيح",IF(NOT(IF(ISNUMBER($J4159),AND($J4159&gt;=0,$J4159=INT($J4159)),FALSE())),"✖ العدد يجب أن يكون صحيحًا ≥ 0",IF(AND($F4159="Baseline",$H4159&lt;&gt;""),"⚠ Baseline: Start لا يدخل في التقدم",IF($K4159="No Start (attainment only)","ℹ تحصيل فقط (بدون Start)",IF($K4159="U – needs rule","ℹ حالة U تحتاج قاعدة معتمدة",IF($K4159="No result","ℹ بدون نتيجة (يُستبعد من التحصيل)","OK")))))))))))</f>
        <v/>
      </c>
      <c r="M4159" s="64" t="n">
        <f aca="false">IF($A4159="",0,IFERROR(MATCH($A4159,Classes!$A$6:$A$420,0),0))</f>
        <v>0</v>
      </c>
      <c r="N4159" s="64" t="n">
        <f aca="false">IF($H4159="",0,IFERROR(MATCH($H4159,GradeList,0),0))</f>
        <v>0</v>
      </c>
      <c r="O4159" s="64" t="n">
        <f aca="false">IF(OR($I4159="",$I4159="NR"),0,IFERROR(MATCH($I4159,GradeList,0),0))</f>
        <v>0</v>
      </c>
      <c r="P4159" s="64" t="n">
        <f aca="false">IF(AND($M4159&gt;0,ISNUMBER(MATCH($F4159,Lists!$A$2:$A$5,0)),ISNUMBER(MATCH($G4159,Lists!$B$2:$B$7,0)),OR($H4159="",$N4159&gt;0),OR($I4159="",$I4159="NR",$O4159&gt;0),IF(ISNUMBER($J4159),AND($J4159&gt;=0,$J4159=INT($J4159)),FALSE())),$J4159,0)</f>
        <v>0</v>
      </c>
      <c r="Q4159" s="64" t="n">
        <f aca="false">IF(AND($P4159&gt;0,$O4159&gt;0),$P4159,0)</f>
        <v>0</v>
      </c>
      <c r="R4159" s="64" t="n">
        <f aca="false">IF(AND($Q4159&gt;0,$O4159&gt;=AtRank),$Q4159,0)</f>
        <v>0</v>
      </c>
      <c r="S4159" s="64" t="n">
        <f aca="false">IF(AND($Q4159&gt;0,$O4159&gt;=AboveRank),$Q4159,0)</f>
        <v>0</v>
      </c>
      <c r="T4159" s="64" t="n">
        <f aca="false">IF($K4159="Less",$P4159,0)</f>
        <v>0</v>
      </c>
      <c r="U4159" s="64" t="n">
        <f aca="false">IF($K4159="Expected",$P4159,0)</f>
        <v>0</v>
      </c>
      <c r="V4159" s="64" t="n">
        <f aca="false">IF($K4159="Better",$P4159,0)</f>
        <v>0</v>
      </c>
      <c r="W4159" s="64" t="n">
        <f aca="false">IF($K4159="U – needs rule",$P4159,0)</f>
        <v>0</v>
      </c>
      <c r="X4159" s="64" t="n">
        <f aca="false">IF($K4159="No Start (attainment only)",$P4159,0)</f>
        <v>0</v>
      </c>
    </row>
    <row r="4160" customFormat="false" ht="15" hidden="false" customHeight="false" outlineLevel="0" collapsed="false">
      <c r="A4160" s="60"/>
      <c r="B4160" s="61" t="str">
        <f aca="false">IF($M4160=0,"",INDEX(Classes!$E$6:$E$420,$M4160))</f>
        <v/>
      </c>
      <c r="C4160" s="62" t="str">
        <f aca="false">IF($M4160=0,"",INDEX(Classes!$H$6:$H$420,$M4160))</f>
        <v/>
      </c>
      <c r="D4160" s="61" t="str">
        <f aca="false">IF($M4160=0,"",INDEX(Classes!$B$6:$B$420,$M4160))</f>
        <v/>
      </c>
      <c r="E4160" s="61" t="str">
        <f aca="false">IF($M4160=0,"",INDEX(Classes!$C$6:$C$420,$M4160))</f>
        <v/>
      </c>
      <c r="F4160" s="63"/>
      <c r="G4160" s="63"/>
      <c r="H4160" s="60"/>
      <c r="I4160" s="60"/>
      <c r="J4160" s="63"/>
      <c r="K4160" s="61" t="str">
        <f aca="false">IF($P4160=0,"",IF($F4160="Baseline","— Baseline",IF($O4160=0,"No result",IF($N4160=0,"No Start (attainment only)",IF(OR($N4160=1,$O4160=1),"U – needs rule",INDEX(MxBody,MATCH($I4160,MxCurr,0),MATCH($H4160,MxStart,0)))))))</f>
        <v/>
      </c>
      <c r="L4160" s="62" t="str">
        <f aca="false">IF(COUNTA($A4160,$F4160,$G4160,$H4160,$I4160,$J4160)=0,"",IF($M4160=0,"✖ كود الصف غير موجود",IF(ISNA(MATCH($F4160,Lists!$A$2:$A$5,0)),"✖ الفترة غير صحيحة",IF(ISNA(MATCH($G4160,Lists!$B$2:$B$7,0)),"✖ المجموعة غير صحيحة",IF(NOT(OR($H4160="",$N4160&gt;0)),"✖ Start غير صحيح",IF(NOT(OR($I4160="",$I4160="NR",$O4160&gt;0)),"✖ Current غير صحيح",IF(NOT(IF(ISNUMBER($J4160),AND($J4160&gt;=0,$J4160=INT($J4160)),FALSE())),"✖ العدد يجب أن يكون صحيحًا ≥ 0",IF(AND($F4160="Baseline",$H4160&lt;&gt;""),"⚠ Baseline: Start لا يدخل في التقدم",IF($K4160="No Start (attainment only)","ℹ تحصيل فقط (بدون Start)",IF($K4160="U – needs rule","ℹ حالة U تحتاج قاعدة معتمدة",IF($K4160="No result","ℹ بدون نتيجة (يُستبعد من التحصيل)","OK")))))))))))</f>
        <v/>
      </c>
      <c r="M4160" s="64" t="n">
        <f aca="false">IF($A4160="",0,IFERROR(MATCH($A4160,Classes!$A$6:$A$420,0),0))</f>
        <v>0</v>
      </c>
      <c r="N4160" s="64" t="n">
        <f aca="false">IF($H4160="",0,IFERROR(MATCH($H4160,GradeList,0),0))</f>
        <v>0</v>
      </c>
      <c r="O4160" s="64" t="n">
        <f aca="false">IF(OR($I4160="",$I4160="NR"),0,IFERROR(MATCH($I4160,GradeList,0),0))</f>
        <v>0</v>
      </c>
      <c r="P4160" s="64" t="n">
        <f aca="false">IF(AND($M4160&gt;0,ISNUMBER(MATCH($F4160,Lists!$A$2:$A$5,0)),ISNUMBER(MATCH($G4160,Lists!$B$2:$B$7,0)),OR($H4160="",$N4160&gt;0),OR($I4160="",$I4160="NR",$O4160&gt;0),IF(ISNUMBER($J4160),AND($J4160&gt;=0,$J4160=INT($J4160)),FALSE())),$J4160,0)</f>
        <v>0</v>
      </c>
      <c r="Q4160" s="64" t="n">
        <f aca="false">IF(AND($P4160&gt;0,$O4160&gt;0),$P4160,0)</f>
        <v>0</v>
      </c>
      <c r="R4160" s="64" t="n">
        <f aca="false">IF(AND($Q4160&gt;0,$O4160&gt;=AtRank),$Q4160,0)</f>
        <v>0</v>
      </c>
      <c r="S4160" s="64" t="n">
        <f aca="false">IF(AND($Q4160&gt;0,$O4160&gt;=AboveRank),$Q4160,0)</f>
        <v>0</v>
      </c>
      <c r="T4160" s="64" t="n">
        <f aca="false">IF($K4160="Less",$P4160,0)</f>
        <v>0</v>
      </c>
      <c r="U4160" s="64" t="n">
        <f aca="false">IF($K4160="Expected",$P4160,0)</f>
        <v>0</v>
      </c>
      <c r="V4160" s="64" t="n">
        <f aca="false">IF($K4160="Better",$P4160,0)</f>
        <v>0</v>
      </c>
      <c r="W4160" s="64" t="n">
        <f aca="false">IF($K4160="U – needs rule",$P4160,0)</f>
        <v>0</v>
      </c>
      <c r="X4160" s="64" t="n">
        <f aca="false">IF($K4160="No Start (attainment only)",$P4160,0)</f>
        <v>0</v>
      </c>
    </row>
    <row r="4161" customFormat="false" ht="15" hidden="false" customHeight="false" outlineLevel="0" collapsed="false">
      <c r="A4161" s="60"/>
      <c r="B4161" s="61" t="str">
        <f aca="false">IF($M4161=0,"",INDEX(Classes!$E$6:$E$420,$M4161))</f>
        <v/>
      </c>
      <c r="C4161" s="62" t="str">
        <f aca="false">IF($M4161=0,"",INDEX(Classes!$H$6:$H$420,$M4161))</f>
        <v/>
      </c>
      <c r="D4161" s="61" t="str">
        <f aca="false">IF($M4161=0,"",INDEX(Classes!$B$6:$B$420,$M4161))</f>
        <v/>
      </c>
      <c r="E4161" s="61" t="str">
        <f aca="false">IF($M4161=0,"",INDEX(Classes!$C$6:$C$420,$M4161))</f>
        <v/>
      </c>
      <c r="F4161" s="63"/>
      <c r="G4161" s="63"/>
      <c r="H4161" s="60"/>
      <c r="I4161" s="60"/>
      <c r="J4161" s="63"/>
      <c r="K4161" s="61" t="str">
        <f aca="false">IF($P4161=0,"",IF($F4161="Baseline","— Baseline",IF($O4161=0,"No result",IF($N4161=0,"No Start (attainment only)",IF(OR($N4161=1,$O4161=1),"U – needs rule",INDEX(MxBody,MATCH($I4161,MxCurr,0),MATCH($H4161,MxStart,0)))))))</f>
        <v/>
      </c>
      <c r="L4161" s="62" t="str">
        <f aca="false">IF(COUNTA($A4161,$F4161,$G4161,$H4161,$I4161,$J4161)=0,"",IF($M4161=0,"✖ كود الصف غير موجود",IF(ISNA(MATCH($F4161,Lists!$A$2:$A$5,0)),"✖ الفترة غير صحيحة",IF(ISNA(MATCH($G4161,Lists!$B$2:$B$7,0)),"✖ المجموعة غير صحيحة",IF(NOT(OR($H4161="",$N4161&gt;0)),"✖ Start غير صحيح",IF(NOT(OR($I4161="",$I4161="NR",$O4161&gt;0)),"✖ Current غير صحيح",IF(NOT(IF(ISNUMBER($J4161),AND($J4161&gt;=0,$J4161=INT($J4161)),FALSE())),"✖ العدد يجب أن يكون صحيحًا ≥ 0",IF(AND($F4161="Baseline",$H4161&lt;&gt;""),"⚠ Baseline: Start لا يدخل في التقدم",IF($K4161="No Start (attainment only)","ℹ تحصيل فقط (بدون Start)",IF($K4161="U – needs rule","ℹ حالة U تحتاج قاعدة معتمدة",IF($K4161="No result","ℹ بدون نتيجة (يُستبعد من التحصيل)","OK")))))))))))</f>
        <v/>
      </c>
      <c r="M4161" s="64" t="n">
        <f aca="false">IF($A4161="",0,IFERROR(MATCH($A4161,Classes!$A$6:$A$420,0),0))</f>
        <v>0</v>
      </c>
      <c r="N4161" s="64" t="n">
        <f aca="false">IF($H4161="",0,IFERROR(MATCH($H4161,GradeList,0),0))</f>
        <v>0</v>
      </c>
      <c r="O4161" s="64" t="n">
        <f aca="false">IF(OR($I4161="",$I4161="NR"),0,IFERROR(MATCH($I4161,GradeList,0),0))</f>
        <v>0</v>
      </c>
      <c r="P4161" s="64" t="n">
        <f aca="false">IF(AND($M4161&gt;0,ISNUMBER(MATCH($F4161,Lists!$A$2:$A$5,0)),ISNUMBER(MATCH($G4161,Lists!$B$2:$B$7,0)),OR($H4161="",$N4161&gt;0),OR($I4161="",$I4161="NR",$O4161&gt;0),IF(ISNUMBER($J4161),AND($J4161&gt;=0,$J4161=INT($J4161)),FALSE())),$J4161,0)</f>
        <v>0</v>
      </c>
      <c r="Q4161" s="64" t="n">
        <f aca="false">IF(AND($P4161&gt;0,$O4161&gt;0),$P4161,0)</f>
        <v>0</v>
      </c>
      <c r="R4161" s="64" t="n">
        <f aca="false">IF(AND($Q4161&gt;0,$O4161&gt;=AtRank),$Q4161,0)</f>
        <v>0</v>
      </c>
      <c r="S4161" s="64" t="n">
        <f aca="false">IF(AND($Q4161&gt;0,$O4161&gt;=AboveRank),$Q4161,0)</f>
        <v>0</v>
      </c>
      <c r="T4161" s="64" t="n">
        <f aca="false">IF($K4161="Less",$P4161,0)</f>
        <v>0</v>
      </c>
      <c r="U4161" s="64" t="n">
        <f aca="false">IF($K4161="Expected",$P4161,0)</f>
        <v>0</v>
      </c>
      <c r="V4161" s="64" t="n">
        <f aca="false">IF($K4161="Better",$P4161,0)</f>
        <v>0</v>
      </c>
      <c r="W4161" s="64" t="n">
        <f aca="false">IF($K4161="U – needs rule",$P4161,0)</f>
        <v>0</v>
      </c>
      <c r="X4161" s="64" t="n">
        <f aca="false">IF($K4161="No Start (attainment only)",$P4161,0)</f>
        <v>0</v>
      </c>
    </row>
    <row r="4162" customFormat="false" ht="15" hidden="false" customHeight="false" outlineLevel="0" collapsed="false">
      <c r="A4162" s="60"/>
      <c r="B4162" s="61" t="str">
        <f aca="false">IF($M4162=0,"",INDEX(Classes!$E$6:$E$420,$M4162))</f>
        <v/>
      </c>
      <c r="C4162" s="62" t="str">
        <f aca="false">IF($M4162=0,"",INDEX(Classes!$H$6:$H$420,$M4162))</f>
        <v/>
      </c>
      <c r="D4162" s="61" t="str">
        <f aca="false">IF($M4162=0,"",INDEX(Classes!$B$6:$B$420,$M4162))</f>
        <v/>
      </c>
      <c r="E4162" s="61" t="str">
        <f aca="false">IF($M4162=0,"",INDEX(Classes!$C$6:$C$420,$M4162))</f>
        <v/>
      </c>
      <c r="F4162" s="63"/>
      <c r="G4162" s="63"/>
      <c r="H4162" s="60"/>
      <c r="I4162" s="60"/>
      <c r="J4162" s="63"/>
      <c r="K4162" s="61" t="str">
        <f aca="false">IF($P4162=0,"",IF($F4162="Baseline","— Baseline",IF($O4162=0,"No result",IF($N4162=0,"No Start (attainment only)",IF(OR($N4162=1,$O4162=1),"U – needs rule",INDEX(MxBody,MATCH($I4162,MxCurr,0),MATCH($H4162,MxStart,0)))))))</f>
        <v/>
      </c>
      <c r="L4162" s="62" t="str">
        <f aca="false">IF(COUNTA($A4162,$F4162,$G4162,$H4162,$I4162,$J4162)=0,"",IF($M4162=0,"✖ كود الصف غير موجود",IF(ISNA(MATCH($F4162,Lists!$A$2:$A$5,0)),"✖ الفترة غير صحيحة",IF(ISNA(MATCH($G4162,Lists!$B$2:$B$7,0)),"✖ المجموعة غير صحيحة",IF(NOT(OR($H4162="",$N4162&gt;0)),"✖ Start غير صحيح",IF(NOT(OR($I4162="",$I4162="NR",$O4162&gt;0)),"✖ Current غير صحيح",IF(NOT(IF(ISNUMBER($J4162),AND($J4162&gt;=0,$J4162=INT($J4162)),FALSE())),"✖ العدد يجب أن يكون صحيحًا ≥ 0",IF(AND($F4162="Baseline",$H4162&lt;&gt;""),"⚠ Baseline: Start لا يدخل في التقدم",IF($K4162="No Start (attainment only)","ℹ تحصيل فقط (بدون Start)",IF($K4162="U – needs rule","ℹ حالة U تحتاج قاعدة معتمدة",IF($K4162="No result","ℹ بدون نتيجة (يُستبعد من التحصيل)","OK")))))))))))</f>
        <v/>
      </c>
      <c r="M4162" s="64" t="n">
        <f aca="false">IF($A4162="",0,IFERROR(MATCH($A4162,Classes!$A$6:$A$420,0),0))</f>
        <v>0</v>
      </c>
      <c r="N4162" s="64" t="n">
        <f aca="false">IF($H4162="",0,IFERROR(MATCH($H4162,GradeList,0),0))</f>
        <v>0</v>
      </c>
      <c r="O4162" s="64" t="n">
        <f aca="false">IF(OR($I4162="",$I4162="NR"),0,IFERROR(MATCH($I4162,GradeList,0),0))</f>
        <v>0</v>
      </c>
      <c r="P4162" s="64" t="n">
        <f aca="false">IF(AND($M4162&gt;0,ISNUMBER(MATCH($F4162,Lists!$A$2:$A$5,0)),ISNUMBER(MATCH($G4162,Lists!$B$2:$B$7,0)),OR($H4162="",$N4162&gt;0),OR($I4162="",$I4162="NR",$O4162&gt;0),IF(ISNUMBER($J4162),AND($J4162&gt;=0,$J4162=INT($J4162)),FALSE())),$J4162,0)</f>
        <v>0</v>
      </c>
      <c r="Q4162" s="64" t="n">
        <f aca="false">IF(AND($P4162&gt;0,$O4162&gt;0),$P4162,0)</f>
        <v>0</v>
      </c>
      <c r="R4162" s="64" t="n">
        <f aca="false">IF(AND($Q4162&gt;0,$O4162&gt;=AtRank),$Q4162,0)</f>
        <v>0</v>
      </c>
      <c r="S4162" s="64" t="n">
        <f aca="false">IF(AND($Q4162&gt;0,$O4162&gt;=AboveRank),$Q4162,0)</f>
        <v>0</v>
      </c>
      <c r="T4162" s="64" t="n">
        <f aca="false">IF($K4162="Less",$P4162,0)</f>
        <v>0</v>
      </c>
      <c r="U4162" s="64" t="n">
        <f aca="false">IF($K4162="Expected",$P4162,0)</f>
        <v>0</v>
      </c>
      <c r="V4162" s="64" t="n">
        <f aca="false">IF($K4162="Better",$P4162,0)</f>
        <v>0</v>
      </c>
      <c r="W4162" s="64" t="n">
        <f aca="false">IF($K4162="U – needs rule",$P4162,0)</f>
        <v>0</v>
      </c>
      <c r="X4162" s="64" t="n">
        <f aca="false">IF($K4162="No Start (attainment only)",$P4162,0)</f>
        <v>0</v>
      </c>
    </row>
    <row r="4163" customFormat="false" ht="15" hidden="false" customHeight="false" outlineLevel="0" collapsed="false">
      <c r="A4163" s="60"/>
      <c r="B4163" s="61" t="str">
        <f aca="false">IF($M4163=0,"",INDEX(Classes!$E$6:$E$420,$M4163))</f>
        <v/>
      </c>
      <c r="C4163" s="62" t="str">
        <f aca="false">IF($M4163=0,"",INDEX(Classes!$H$6:$H$420,$M4163))</f>
        <v/>
      </c>
      <c r="D4163" s="61" t="str">
        <f aca="false">IF($M4163=0,"",INDEX(Classes!$B$6:$B$420,$M4163))</f>
        <v/>
      </c>
      <c r="E4163" s="61" t="str">
        <f aca="false">IF($M4163=0,"",INDEX(Classes!$C$6:$C$420,$M4163))</f>
        <v/>
      </c>
      <c r="F4163" s="63"/>
      <c r="G4163" s="63"/>
      <c r="H4163" s="60"/>
      <c r="I4163" s="60"/>
      <c r="J4163" s="63"/>
      <c r="K4163" s="61" t="str">
        <f aca="false">IF($P4163=0,"",IF($F4163="Baseline","— Baseline",IF($O4163=0,"No result",IF($N4163=0,"No Start (attainment only)",IF(OR($N4163=1,$O4163=1),"U – needs rule",INDEX(MxBody,MATCH($I4163,MxCurr,0),MATCH($H4163,MxStart,0)))))))</f>
        <v/>
      </c>
      <c r="L4163" s="62" t="str">
        <f aca="false">IF(COUNTA($A4163,$F4163,$G4163,$H4163,$I4163,$J4163)=0,"",IF($M4163=0,"✖ كود الصف غير موجود",IF(ISNA(MATCH($F4163,Lists!$A$2:$A$5,0)),"✖ الفترة غير صحيحة",IF(ISNA(MATCH($G4163,Lists!$B$2:$B$7,0)),"✖ المجموعة غير صحيحة",IF(NOT(OR($H4163="",$N4163&gt;0)),"✖ Start غير صحيح",IF(NOT(OR($I4163="",$I4163="NR",$O4163&gt;0)),"✖ Current غير صحيح",IF(NOT(IF(ISNUMBER($J4163),AND($J4163&gt;=0,$J4163=INT($J4163)),FALSE())),"✖ العدد يجب أن يكون صحيحًا ≥ 0",IF(AND($F4163="Baseline",$H4163&lt;&gt;""),"⚠ Baseline: Start لا يدخل في التقدم",IF($K4163="No Start (attainment only)","ℹ تحصيل فقط (بدون Start)",IF($K4163="U – needs rule","ℹ حالة U تحتاج قاعدة معتمدة",IF($K4163="No result","ℹ بدون نتيجة (يُستبعد من التحصيل)","OK")))))))))))</f>
        <v/>
      </c>
      <c r="M4163" s="64" t="n">
        <f aca="false">IF($A4163="",0,IFERROR(MATCH($A4163,Classes!$A$6:$A$420,0),0))</f>
        <v>0</v>
      </c>
      <c r="N4163" s="64" t="n">
        <f aca="false">IF($H4163="",0,IFERROR(MATCH($H4163,GradeList,0),0))</f>
        <v>0</v>
      </c>
      <c r="O4163" s="64" t="n">
        <f aca="false">IF(OR($I4163="",$I4163="NR"),0,IFERROR(MATCH($I4163,GradeList,0),0))</f>
        <v>0</v>
      </c>
      <c r="P4163" s="64" t="n">
        <f aca="false">IF(AND($M4163&gt;0,ISNUMBER(MATCH($F4163,Lists!$A$2:$A$5,0)),ISNUMBER(MATCH($G4163,Lists!$B$2:$B$7,0)),OR($H4163="",$N4163&gt;0),OR($I4163="",$I4163="NR",$O4163&gt;0),IF(ISNUMBER($J4163),AND($J4163&gt;=0,$J4163=INT($J4163)),FALSE())),$J4163,0)</f>
        <v>0</v>
      </c>
      <c r="Q4163" s="64" t="n">
        <f aca="false">IF(AND($P4163&gt;0,$O4163&gt;0),$P4163,0)</f>
        <v>0</v>
      </c>
      <c r="R4163" s="64" t="n">
        <f aca="false">IF(AND($Q4163&gt;0,$O4163&gt;=AtRank),$Q4163,0)</f>
        <v>0</v>
      </c>
      <c r="S4163" s="64" t="n">
        <f aca="false">IF(AND($Q4163&gt;0,$O4163&gt;=AboveRank),$Q4163,0)</f>
        <v>0</v>
      </c>
      <c r="T4163" s="64" t="n">
        <f aca="false">IF($K4163="Less",$P4163,0)</f>
        <v>0</v>
      </c>
      <c r="U4163" s="64" t="n">
        <f aca="false">IF($K4163="Expected",$P4163,0)</f>
        <v>0</v>
      </c>
      <c r="V4163" s="64" t="n">
        <f aca="false">IF($K4163="Better",$P4163,0)</f>
        <v>0</v>
      </c>
      <c r="W4163" s="64" t="n">
        <f aca="false">IF($K4163="U – needs rule",$P4163,0)</f>
        <v>0</v>
      </c>
      <c r="X4163" s="64" t="n">
        <f aca="false">IF($K4163="No Start (attainment only)",$P4163,0)</f>
        <v>0</v>
      </c>
    </row>
    <row r="4164" customFormat="false" ht="15" hidden="false" customHeight="false" outlineLevel="0" collapsed="false">
      <c r="A4164" s="60"/>
      <c r="B4164" s="61" t="str">
        <f aca="false">IF($M4164=0,"",INDEX(Classes!$E$6:$E$420,$M4164))</f>
        <v/>
      </c>
      <c r="C4164" s="62" t="str">
        <f aca="false">IF($M4164=0,"",INDEX(Classes!$H$6:$H$420,$M4164))</f>
        <v/>
      </c>
      <c r="D4164" s="61" t="str">
        <f aca="false">IF($M4164=0,"",INDEX(Classes!$B$6:$B$420,$M4164))</f>
        <v/>
      </c>
      <c r="E4164" s="61" t="str">
        <f aca="false">IF($M4164=0,"",INDEX(Classes!$C$6:$C$420,$M4164))</f>
        <v/>
      </c>
      <c r="F4164" s="63"/>
      <c r="G4164" s="63"/>
      <c r="H4164" s="60"/>
      <c r="I4164" s="60"/>
      <c r="J4164" s="63"/>
      <c r="K4164" s="61" t="str">
        <f aca="false">IF($P4164=0,"",IF($F4164="Baseline","— Baseline",IF($O4164=0,"No result",IF($N4164=0,"No Start (attainment only)",IF(OR($N4164=1,$O4164=1),"U – needs rule",INDEX(MxBody,MATCH($I4164,MxCurr,0),MATCH($H4164,MxStart,0)))))))</f>
        <v/>
      </c>
      <c r="L4164" s="62" t="str">
        <f aca="false">IF(COUNTA($A4164,$F4164,$G4164,$H4164,$I4164,$J4164)=0,"",IF($M4164=0,"✖ كود الصف غير موجود",IF(ISNA(MATCH($F4164,Lists!$A$2:$A$5,0)),"✖ الفترة غير صحيحة",IF(ISNA(MATCH($G4164,Lists!$B$2:$B$7,0)),"✖ المجموعة غير صحيحة",IF(NOT(OR($H4164="",$N4164&gt;0)),"✖ Start غير صحيح",IF(NOT(OR($I4164="",$I4164="NR",$O4164&gt;0)),"✖ Current غير صحيح",IF(NOT(IF(ISNUMBER($J4164),AND($J4164&gt;=0,$J4164=INT($J4164)),FALSE())),"✖ العدد يجب أن يكون صحيحًا ≥ 0",IF(AND($F4164="Baseline",$H4164&lt;&gt;""),"⚠ Baseline: Start لا يدخل في التقدم",IF($K4164="No Start (attainment only)","ℹ تحصيل فقط (بدون Start)",IF($K4164="U – needs rule","ℹ حالة U تحتاج قاعدة معتمدة",IF($K4164="No result","ℹ بدون نتيجة (يُستبعد من التحصيل)","OK")))))))))))</f>
        <v/>
      </c>
      <c r="M4164" s="64" t="n">
        <f aca="false">IF($A4164="",0,IFERROR(MATCH($A4164,Classes!$A$6:$A$420,0),0))</f>
        <v>0</v>
      </c>
      <c r="N4164" s="64" t="n">
        <f aca="false">IF($H4164="",0,IFERROR(MATCH($H4164,GradeList,0),0))</f>
        <v>0</v>
      </c>
      <c r="O4164" s="64" t="n">
        <f aca="false">IF(OR($I4164="",$I4164="NR"),0,IFERROR(MATCH($I4164,GradeList,0),0))</f>
        <v>0</v>
      </c>
      <c r="P4164" s="64" t="n">
        <f aca="false">IF(AND($M4164&gt;0,ISNUMBER(MATCH($F4164,Lists!$A$2:$A$5,0)),ISNUMBER(MATCH($G4164,Lists!$B$2:$B$7,0)),OR($H4164="",$N4164&gt;0),OR($I4164="",$I4164="NR",$O4164&gt;0),IF(ISNUMBER($J4164),AND($J4164&gt;=0,$J4164=INT($J4164)),FALSE())),$J4164,0)</f>
        <v>0</v>
      </c>
      <c r="Q4164" s="64" t="n">
        <f aca="false">IF(AND($P4164&gt;0,$O4164&gt;0),$P4164,0)</f>
        <v>0</v>
      </c>
      <c r="R4164" s="64" t="n">
        <f aca="false">IF(AND($Q4164&gt;0,$O4164&gt;=AtRank),$Q4164,0)</f>
        <v>0</v>
      </c>
      <c r="S4164" s="64" t="n">
        <f aca="false">IF(AND($Q4164&gt;0,$O4164&gt;=AboveRank),$Q4164,0)</f>
        <v>0</v>
      </c>
      <c r="T4164" s="64" t="n">
        <f aca="false">IF($K4164="Less",$P4164,0)</f>
        <v>0</v>
      </c>
      <c r="U4164" s="64" t="n">
        <f aca="false">IF($K4164="Expected",$P4164,0)</f>
        <v>0</v>
      </c>
      <c r="V4164" s="64" t="n">
        <f aca="false">IF($K4164="Better",$P4164,0)</f>
        <v>0</v>
      </c>
      <c r="W4164" s="64" t="n">
        <f aca="false">IF($K4164="U – needs rule",$P4164,0)</f>
        <v>0</v>
      </c>
      <c r="X4164" s="64" t="n">
        <f aca="false">IF($K4164="No Start (attainment only)",$P4164,0)</f>
        <v>0</v>
      </c>
    </row>
    <row r="4165" customFormat="false" ht="15" hidden="false" customHeight="false" outlineLevel="0" collapsed="false">
      <c r="A4165" s="60"/>
      <c r="B4165" s="61" t="str">
        <f aca="false">IF($M4165=0,"",INDEX(Classes!$E$6:$E$420,$M4165))</f>
        <v/>
      </c>
      <c r="C4165" s="62" t="str">
        <f aca="false">IF($M4165=0,"",INDEX(Classes!$H$6:$H$420,$M4165))</f>
        <v/>
      </c>
      <c r="D4165" s="61" t="str">
        <f aca="false">IF($M4165=0,"",INDEX(Classes!$B$6:$B$420,$M4165))</f>
        <v/>
      </c>
      <c r="E4165" s="61" t="str">
        <f aca="false">IF($M4165=0,"",INDEX(Classes!$C$6:$C$420,$M4165))</f>
        <v/>
      </c>
      <c r="F4165" s="63"/>
      <c r="G4165" s="63"/>
      <c r="H4165" s="60"/>
      <c r="I4165" s="60"/>
      <c r="J4165" s="63"/>
      <c r="K4165" s="61" t="str">
        <f aca="false">IF($P4165=0,"",IF($F4165="Baseline","— Baseline",IF($O4165=0,"No result",IF($N4165=0,"No Start (attainment only)",IF(OR($N4165=1,$O4165=1),"U – needs rule",INDEX(MxBody,MATCH($I4165,MxCurr,0),MATCH($H4165,MxStart,0)))))))</f>
        <v/>
      </c>
      <c r="L4165" s="62" t="str">
        <f aca="false">IF(COUNTA($A4165,$F4165,$G4165,$H4165,$I4165,$J4165)=0,"",IF($M4165=0,"✖ كود الصف غير موجود",IF(ISNA(MATCH($F4165,Lists!$A$2:$A$5,0)),"✖ الفترة غير صحيحة",IF(ISNA(MATCH($G4165,Lists!$B$2:$B$7,0)),"✖ المجموعة غير صحيحة",IF(NOT(OR($H4165="",$N4165&gt;0)),"✖ Start غير صحيح",IF(NOT(OR($I4165="",$I4165="NR",$O4165&gt;0)),"✖ Current غير صحيح",IF(NOT(IF(ISNUMBER($J4165),AND($J4165&gt;=0,$J4165=INT($J4165)),FALSE())),"✖ العدد يجب أن يكون صحيحًا ≥ 0",IF(AND($F4165="Baseline",$H4165&lt;&gt;""),"⚠ Baseline: Start لا يدخل في التقدم",IF($K4165="No Start (attainment only)","ℹ تحصيل فقط (بدون Start)",IF($K4165="U – needs rule","ℹ حالة U تحتاج قاعدة معتمدة",IF($K4165="No result","ℹ بدون نتيجة (يُستبعد من التحصيل)","OK")))))))))))</f>
        <v/>
      </c>
      <c r="M4165" s="64" t="n">
        <f aca="false">IF($A4165="",0,IFERROR(MATCH($A4165,Classes!$A$6:$A$420,0),0))</f>
        <v>0</v>
      </c>
      <c r="N4165" s="64" t="n">
        <f aca="false">IF($H4165="",0,IFERROR(MATCH($H4165,GradeList,0),0))</f>
        <v>0</v>
      </c>
      <c r="O4165" s="64" t="n">
        <f aca="false">IF(OR($I4165="",$I4165="NR"),0,IFERROR(MATCH($I4165,GradeList,0),0))</f>
        <v>0</v>
      </c>
      <c r="P4165" s="64" t="n">
        <f aca="false">IF(AND($M4165&gt;0,ISNUMBER(MATCH($F4165,Lists!$A$2:$A$5,0)),ISNUMBER(MATCH($G4165,Lists!$B$2:$B$7,0)),OR($H4165="",$N4165&gt;0),OR($I4165="",$I4165="NR",$O4165&gt;0),IF(ISNUMBER($J4165),AND($J4165&gt;=0,$J4165=INT($J4165)),FALSE())),$J4165,0)</f>
        <v>0</v>
      </c>
      <c r="Q4165" s="64" t="n">
        <f aca="false">IF(AND($P4165&gt;0,$O4165&gt;0),$P4165,0)</f>
        <v>0</v>
      </c>
      <c r="R4165" s="64" t="n">
        <f aca="false">IF(AND($Q4165&gt;0,$O4165&gt;=AtRank),$Q4165,0)</f>
        <v>0</v>
      </c>
      <c r="S4165" s="64" t="n">
        <f aca="false">IF(AND($Q4165&gt;0,$O4165&gt;=AboveRank),$Q4165,0)</f>
        <v>0</v>
      </c>
      <c r="T4165" s="64" t="n">
        <f aca="false">IF($K4165="Less",$P4165,0)</f>
        <v>0</v>
      </c>
      <c r="U4165" s="64" t="n">
        <f aca="false">IF($K4165="Expected",$P4165,0)</f>
        <v>0</v>
      </c>
      <c r="V4165" s="64" t="n">
        <f aca="false">IF($K4165="Better",$P4165,0)</f>
        <v>0</v>
      </c>
      <c r="W4165" s="64" t="n">
        <f aca="false">IF($K4165="U – needs rule",$P4165,0)</f>
        <v>0</v>
      </c>
      <c r="X4165" s="64" t="n">
        <f aca="false">IF($K4165="No Start (attainment only)",$P4165,0)</f>
        <v>0</v>
      </c>
    </row>
    <row r="4166" customFormat="false" ht="15" hidden="false" customHeight="false" outlineLevel="0" collapsed="false">
      <c r="A4166" s="60"/>
      <c r="B4166" s="61" t="str">
        <f aca="false">IF($M4166=0,"",INDEX(Classes!$E$6:$E$420,$M4166))</f>
        <v/>
      </c>
      <c r="C4166" s="62" t="str">
        <f aca="false">IF($M4166=0,"",INDEX(Classes!$H$6:$H$420,$M4166))</f>
        <v/>
      </c>
      <c r="D4166" s="61" t="str">
        <f aca="false">IF($M4166=0,"",INDEX(Classes!$B$6:$B$420,$M4166))</f>
        <v/>
      </c>
      <c r="E4166" s="61" t="str">
        <f aca="false">IF($M4166=0,"",INDEX(Classes!$C$6:$C$420,$M4166))</f>
        <v/>
      </c>
      <c r="F4166" s="63"/>
      <c r="G4166" s="63"/>
      <c r="H4166" s="60"/>
      <c r="I4166" s="60"/>
      <c r="J4166" s="63"/>
      <c r="K4166" s="61" t="str">
        <f aca="false">IF($P4166=0,"",IF($F4166="Baseline","— Baseline",IF($O4166=0,"No result",IF($N4166=0,"No Start (attainment only)",IF(OR($N4166=1,$O4166=1),"U – needs rule",INDEX(MxBody,MATCH($I4166,MxCurr,0),MATCH($H4166,MxStart,0)))))))</f>
        <v/>
      </c>
      <c r="L4166" s="62" t="str">
        <f aca="false">IF(COUNTA($A4166,$F4166,$G4166,$H4166,$I4166,$J4166)=0,"",IF($M4166=0,"✖ كود الصف غير موجود",IF(ISNA(MATCH($F4166,Lists!$A$2:$A$5,0)),"✖ الفترة غير صحيحة",IF(ISNA(MATCH($G4166,Lists!$B$2:$B$7,0)),"✖ المجموعة غير صحيحة",IF(NOT(OR($H4166="",$N4166&gt;0)),"✖ Start غير صحيح",IF(NOT(OR($I4166="",$I4166="NR",$O4166&gt;0)),"✖ Current غير صحيح",IF(NOT(IF(ISNUMBER($J4166),AND($J4166&gt;=0,$J4166=INT($J4166)),FALSE())),"✖ العدد يجب أن يكون صحيحًا ≥ 0",IF(AND($F4166="Baseline",$H4166&lt;&gt;""),"⚠ Baseline: Start لا يدخل في التقدم",IF($K4166="No Start (attainment only)","ℹ تحصيل فقط (بدون Start)",IF($K4166="U – needs rule","ℹ حالة U تحتاج قاعدة معتمدة",IF($K4166="No result","ℹ بدون نتيجة (يُستبعد من التحصيل)","OK")))))))))))</f>
        <v/>
      </c>
      <c r="M4166" s="64" t="n">
        <f aca="false">IF($A4166="",0,IFERROR(MATCH($A4166,Classes!$A$6:$A$420,0),0))</f>
        <v>0</v>
      </c>
      <c r="N4166" s="64" t="n">
        <f aca="false">IF($H4166="",0,IFERROR(MATCH($H4166,GradeList,0),0))</f>
        <v>0</v>
      </c>
      <c r="O4166" s="64" t="n">
        <f aca="false">IF(OR($I4166="",$I4166="NR"),0,IFERROR(MATCH($I4166,GradeList,0),0))</f>
        <v>0</v>
      </c>
      <c r="P4166" s="64" t="n">
        <f aca="false">IF(AND($M4166&gt;0,ISNUMBER(MATCH($F4166,Lists!$A$2:$A$5,0)),ISNUMBER(MATCH($G4166,Lists!$B$2:$B$7,0)),OR($H4166="",$N4166&gt;0),OR($I4166="",$I4166="NR",$O4166&gt;0),IF(ISNUMBER($J4166),AND($J4166&gt;=0,$J4166=INT($J4166)),FALSE())),$J4166,0)</f>
        <v>0</v>
      </c>
      <c r="Q4166" s="64" t="n">
        <f aca="false">IF(AND($P4166&gt;0,$O4166&gt;0),$P4166,0)</f>
        <v>0</v>
      </c>
      <c r="R4166" s="64" t="n">
        <f aca="false">IF(AND($Q4166&gt;0,$O4166&gt;=AtRank),$Q4166,0)</f>
        <v>0</v>
      </c>
      <c r="S4166" s="64" t="n">
        <f aca="false">IF(AND($Q4166&gt;0,$O4166&gt;=AboveRank),$Q4166,0)</f>
        <v>0</v>
      </c>
      <c r="T4166" s="64" t="n">
        <f aca="false">IF($K4166="Less",$P4166,0)</f>
        <v>0</v>
      </c>
      <c r="U4166" s="64" t="n">
        <f aca="false">IF($K4166="Expected",$P4166,0)</f>
        <v>0</v>
      </c>
      <c r="V4166" s="64" t="n">
        <f aca="false">IF($K4166="Better",$P4166,0)</f>
        <v>0</v>
      </c>
      <c r="W4166" s="64" t="n">
        <f aca="false">IF($K4166="U – needs rule",$P4166,0)</f>
        <v>0</v>
      </c>
      <c r="X4166" s="64" t="n">
        <f aca="false">IF($K4166="No Start (attainment only)",$P4166,0)</f>
        <v>0</v>
      </c>
    </row>
    <row r="4167" customFormat="false" ht="15" hidden="false" customHeight="false" outlineLevel="0" collapsed="false">
      <c r="A4167" s="60"/>
      <c r="B4167" s="61" t="str">
        <f aca="false">IF($M4167=0,"",INDEX(Classes!$E$6:$E$420,$M4167))</f>
        <v/>
      </c>
      <c r="C4167" s="62" t="str">
        <f aca="false">IF($M4167=0,"",INDEX(Classes!$H$6:$H$420,$M4167))</f>
        <v/>
      </c>
      <c r="D4167" s="61" t="str">
        <f aca="false">IF($M4167=0,"",INDEX(Classes!$B$6:$B$420,$M4167))</f>
        <v/>
      </c>
      <c r="E4167" s="61" t="str">
        <f aca="false">IF($M4167=0,"",INDEX(Classes!$C$6:$C$420,$M4167))</f>
        <v/>
      </c>
      <c r="F4167" s="63"/>
      <c r="G4167" s="63"/>
      <c r="H4167" s="60"/>
      <c r="I4167" s="60"/>
      <c r="J4167" s="63"/>
      <c r="K4167" s="61" t="str">
        <f aca="false">IF($P4167=0,"",IF($F4167="Baseline","— Baseline",IF($O4167=0,"No result",IF($N4167=0,"No Start (attainment only)",IF(OR($N4167=1,$O4167=1),"U – needs rule",INDEX(MxBody,MATCH($I4167,MxCurr,0),MATCH($H4167,MxStart,0)))))))</f>
        <v/>
      </c>
      <c r="L4167" s="62" t="str">
        <f aca="false">IF(COUNTA($A4167,$F4167,$G4167,$H4167,$I4167,$J4167)=0,"",IF($M4167=0,"✖ كود الصف غير موجود",IF(ISNA(MATCH($F4167,Lists!$A$2:$A$5,0)),"✖ الفترة غير صحيحة",IF(ISNA(MATCH($G4167,Lists!$B$2:$B$7,0)),"✖ المجموعة غير صحيحة",IF(NOT(OR($H4167="",$N4167&gt;0)),"✖ Start غير صحيح",IF(NOT(OR($I4167="",$I4167="NR",$O4167&gt;0)),"✖ Current غير صحيح",IF(NOT(IF(ISNUMBER($J4167),AND($J4167&gt;=0,$J4167=INT($J4167)),FALSE())),"✖ العدد يجب أن يكون صحيحًا ≥ 0",IF(AND($F4167="Baseline",$H4167&lt;&gt;""),"⚠ Baseline: Start لا يدخل في التقدم",IF($K4167="No Start (attainment only)","ℹ تحصيل فقط (بدون Start)",IF($K4167="U – needs rule","ℹ حالة U تحتاج قاعدة معتمدة",IF($K4167="No result","ℹ بدون نتيجة (يُستبعد من التحصيل)","OK")))))))))))</f>
        <v/>
      </c>
      <c r="M4167" s="64" t="n">
        <f aca="false">IF($A4167="",0,IFERROR(MATCH($A4167,Classes!$A$6:$A$420,0),0))</f>
        <v>0</v>
      </c>
      <c r="N4167" s="64" t="n">
        <f aca="false">IF($H4167="",0,IFERROR(MATCH($H4167,GradeList,0),0))</f>
        <v>0</v>
      </c>
      <c r="O4167" s="64" t="n">
        <f aca="false">IF(OR($I4167="",$I4167="NR"),0,IFERROR(MATCH($I4167,GradeList,0),0))</f>
        <v>0</v>
      </c>
      <c r="P4167" s="64" t="n">
        <f aca="false">IF(AND($M4167&gt;0,ISNUMBER(MATCH($F4167,Lists!$A$2:$A$5,0)),ISNUMBER(MATCH($G4167,Lists!$B$2:$B$7,0)),OR($H4167="",$N4167&gt;0),OR($I4167="",$I4167="NR",$O4167&gt;0),IF(ISNUMBER($J4167),AND($J4167&gt;=0,$J4167=INT($J4167)),FALSE())),$J4167,0)</f>
        <v>0</v>
      </c>
      <c r="Q4167" s="64" t="n">
        <f aca="false">IF(AND($P4167&gt;0,$O4167&gt;0),$P4167,0)</f>
        <v>0</v>
      </c>
      <c r="R4167" s="64" t="n">
        <f aca="false">IF(AND($Q4167&gt;0,$O4167&gt;=AtRank),$Q4167,0)</f>
        <v>0</v>
      </c>
      <c r="S4167" s="64" t="n">
        <f aca="false">IF(AND($Q4167&gt;0,$O4167&gt;=AboveRank),$Q4167,0)</f>
        <v>0</v>
      </c>
      <c r="T4167" s="64" t="n">
        <f aca="false">IF($K4167="Less",$P4167,0)</f>
        <v>0</v>
      </c>
      <c r="U4167" s="64" t="n">
        <f aca="false">IF($K4167="Expected",$P4167,0)</f>
        <v>0</v>
      </c>
      <c r="V4167" s="64" t="n">
        <f aca="false">IF($K4167="Better",$P4167,0)</f>
        <v>0</v>
      </c>
      <c r="W4167" s="64" t="n">
        <f aca="false">IF($K4167="U – needs rule",$P4167,0)</f>
        <v>0</v>
      </c>
      <c r="X4167" s="64" t="n">
        <f aca="false">IF($K4167="No Start (attainment only)",$P4167,0)</f>
        <v>0</v>
      </c>
    </row>
    <row r="4168" customFormat="false" ht="15" hidden="false" customHeight="false" outlineLevel="0" collapsed="false">
      <c r="A4168" s="60"/>
      <c r="B4168" s="61" t="str">
        <f aca="false">IF($M4168=0,"",INDEX(Classes!$E$6:$E$420,$M4168))</f>
        <v/>
      </c>
      <c r="C4168" s="62" t="str">
        <f aca="false">IF($M4168=0,"",INDEX(Classes!$H$6:$H$420,$M4168))</f>
        <v/>
      </c>
      <c r="D4168" s="61" t="str">
        <f aca="false">IF($M4168=0,"",INDEX(Classes!$B$6:$B$420,$M4168))</f>
        <v/>
      </c>
      <c r="E4168" s="61" t="str">
        <f aca="false">IF($M4168=0,"",INDEX(Classes!$C$6:$C$420,$M4168))</f>
        <v/>
      </c>
      <c r="F4168" s="63"/>
      <c r="G4168" s="63"/>
      <c r="H4168" s="60"/>
      <c r="I4168" s="60"/>
      <c r="J4168" s="63"/>
      <c r="K4168" s="61" t="str">
        <f aca="false">IF($P4168=0,"",IF($F4168="Baseline","— Baseline",IF($O4168=0,"No result",IF($N4168=0,"No Start (attainment only)",IF(OR($N4168=1,$O4168=1),"U – needs rule",INDEX(MxBody,MATCH($I4168,MxCurr,0),MATCH($H4168,MxStart,0)))))))</f>
        <v/>
      </c>
      <c r="L4168" s="62" t="str">
        <f aca="false">IF(COUNTA($A4168,$F4168,$G4168,$H4168,$I4168,$J4168)=0,"",IF($M4168=0,"✖ كود الصف غير موجود",IF(ISNA(MATCH($F4168,Lists!$A$2:$A$5,0)),"✖ الفترة غير صحيحة",IF(ISNA(MATCH($G4168,Lists!$B$2:$B$7,0)),"✖ المجموعة غير صحيحة",IF(NOT(OR($H4168="",$N4168&gt;0)),"✖ Start غير صحيح",IF(NOT(OR($I4168="",$I4168="NR",$O4168&gt;0)),"✖ Current غير صحيح",IF(NOT(IF(ISNUMBER($J4168),AND($J4168&gt;=0,$J4168=INT($J4168)),FALSE())),"✖ العدد يجب أن يكون صحيحًا ≥ 0",IF(AND($F4168="Baseline",$H4168&lt;&gt;""),"⚠ Baseline: Start لا يدخل في التقدم",IF($K4168="No Start (attainment only)","ℹ تحصيل فقط (بدون Start)",IF($K4168="U – needs rule","ℹ حالة U تحتاج قاعدة معتمدة",IF($K4168="No result","ℹ بدون نتيجة (يُستبعد من التحصيل)","OK")))))))))))</f>
        <v/>
      </c>
      <c r="M4168" s="64" t="n">
        <f aca="false">IF($A4168="",0,IFERROR(MATCH($A4168,Classes!$A$6:$A$420,0),0))</f>
        <v>0</v>
      </c>
      <c r="N4168" s="64" t="n">
        <f aca="false">IF($H4168="",0,IFERROR(MATCH($H4168,GradeList,0),0))</f>
        <v>0</v>
      </c>
      <c r="O4168" s="64" t="n">
        <f aca="false">IF(OR($I4168="",$I4168="NR"),0,IFERROR(MATCH($I4168,GradeList,0),0))</f>
        <v>0</v>
      </c>
      <c r="P4168" s="64" t="n">
        <f aca="false">IF(AND($M4168&gt;0,ISNUMBER(MATCH($F4168,Lists!$A$2:$A$5,0)),ISNUMBER(MATCH($G4168,Lists!$B$2:$B$7,0)),OR($H4168="",$N4168&gt;0),OR($I4168="",$I4168="NR",$O4168&gt;0),IF(ISNUMBER($J4168),AND($J4168&gt;=0,$J4168=INT($J4168)),FALSE())),$J4168,0)</f>
        <v>0</v>
      </c>
      <c r="Q4168" s="64" t="n">
        <f aca="false">IF(AND($P4168&gt;0,$O4168&gt;0),$P4168,0)</f>
        <v>0</v>
      </c>
      <c r="R4168" s="64" t="n">
        <f aca="false">IF(AND($Q4168&gt;0,$O4168&gt;=AtRank),$Q4168,0)</f>
        <v>0</v>
      </c>
      <c r="S4168" s="64" t="n">
        <f aca="false">IF(AND($Q4168&gt;0,$O4168&gt;=AboveRank),$Q4168,0)</f>
        <v>0</v>
      </c>
      <c r="T4168" s="64" t="n">
        <f aca="false">IF($K4168="Less",$P4168,0)</f>
        <v>0</v>
      </c>
      <c r="U4168" s="64" t="n">
        <f aca="false">IF($K4168="Expected",$P4168,0)</f>
        <v>0</v>
      </c>
      <c r="V4168" s="64" t="n">
        <f aca="false">IF($K4168="Better",$P4168,0)</f>
        <v>0</v>
      </c>
      <c r="W4168" s="64" t="n">
        <f aca="false">IF($K4168="U – needs rule",$P4168,0)</f>
        <v>0</v>
      </c>
      <c r="X4168" s="64" t="n">
        <f aca="false">IF($K4168="No Start (attainment only)",$P4168,0)</f>
        <v>0</v>
      </c>
    </row>
    <row r="4169" customFormat="false" ht="15" hidden="false" customHeight="false" outlineLevel="0" collapsed="false">
      <c r="A4169" s="60"/>
      <c r="B4169" s="61" t="str">
        <f aca="false">IF($M4169=0,"",INDEX(Classes!$E$6:$E$420,$M4169))</f>
        <v/>
      </c>
      <c r="C4169" s="62" t="str">
        <f aca="false">IF($M4169=0,"",INDEX(Classes!$H$6:$H$420,$M4169))</f>
        <v/>
      </c>
      <c r="D4169" s="61" t="str">
        <f aca="false">IF($M4169=0,"",INDEX(Classes!$B$6:$B$420,$M4169))</f>
        <v/>
      </c>
      <c r="E4169" s="61" t="str">
        <f aca="false">IF($M4169=0,"",INDEX(Classes!$C$6:$C$420,$M4169))</f>
        <v/>
      </c>
      <c r="F4169" s="63"/>
      <c r="G4169" s="63"/>
      <c r="H4169" s="60"/>
      <c r="I4169" s="60"/>
      <c r="J4169" s="63"/>
      <c r="K4169" s="61" t="str">
        <f aca="false">IF($P4169=0,"",IF($F4169="Baseline","— Baseline",IF($O4169=0,"No result",IF($N4169=0,"No Start (attainment only)",IF(OR($N4169=1,$O4169=1),"U – needs rule",INDEX(MxBody,MATCH($I4169,MxCurr,0),MATCH($H4169,MxStart,0)))))))</f>
        <v/>
      </c>
      <c r="L4169" s="62" t="str">
        <f aca="false">IF(COUNTA($A4169,$F4169,$G4169,$H4169,$I4169,$J4169)=0,"",IF($M4169=0,"✖ كود الصف غير موجود",IF(ISNA(MATCH($F4169,Lists!$A$2:$A$5,0)),"✖ الفترة غير صحيحة",IF(ISNA(MATCH($G4169,Lists!$B$2:$B$7,0)),"✖ المجموعة غير صحيحة",IF(NOT(OR($H4169="",$N4169&gt;0)),"✖ Start غير صحيح",IF(NOT(OR($I4169="",$I4169="NR",$O4169&gt;0)),"✖ Current غير صحيح",IF(NOT(IF(ISNUMBER($J4169),AND($J4169&gt;=0,$J4169=INT($J4169)),FALSE())),"✖ العدد يجب أن يكون صحيحًا ≥ 0",IF(AND($F4169="Baseline",$H4169&lt;&gt;""),"⚠ Baseline: Start لا يدخل في التقدم",IF($K4169="No Start (attainment only)","ℹ تحصيل فقط (بدون Start)",IF($K4169="U – needs rule","ℹ حالة U تحتاج قاعدة معتمدة",IF($K4169="No result","ℹ بدون نتيجة (يُستبعد من التحصيل)","OK")))))))))))</f>
        <v/>
      </c>
      <c r="M4169" s="64" t="n">
        <f aca="false">IF($A4169="",0,IFERROR(MATCH($A4169,Classes!$A$6:$A$420,0),0))</f>
        <v>0</v>
      </c>
      <c r="N4169" s="64" t="n">
        <f aca="false">IF($H4169="",0,IFERROR(MATCH($H4169,GradeList,0),0))</f>
        <v>0</v>
      </c>
      <c r="O4169" s="64" t="n">
        <f aca="false">IF(OR($I4169="",$I4169="NR"),0,IFERROR(MATCH($I4169,GradeList,0),0))</f>
        <v>0</v>
      </c>
      <c r="P4169" s="64" t="n">
        <f aca="false">IF(AND($M4169&gt;0,ISNUMBER(MATCH($F4169,Lists!$A$2:$A$5,0)),ISNUMBER(MATCH($G4169,Lists!$B$2:$B$7,0)),OR($H4169="",$N4169&gt;0),OR($I4169="",$I4169="NR",$O4169&gt;0),IF(ISNUMBER($J4169),AND($J4169&gt;=0,$J4169=INT($J4169)),FALSE())),$J4169,0)</f>
        <v>0</v>
      </c>
      <c r="Q4169" s="64" t="n">
        <f aca="false">IF(AND($P4169&gt;0,$O4169&gt;0),$P4169,0)</f>
        <v>0</v>
      </c>
      <c r="R4169" s="64" t="n">
        <f aca="false">IF(AND($Q4169&gt;0,$O4169&gt;=AtRank),$Q4169,0)</f>
        <v>0</v>
      </c>
      <c r="S4169" s="64" t="n">
        <f aca="false">IF(AND($Q4169&gt;0,$O4169&gt;=AboveRank),$Q4169,0)</f>
        <v>0</v>
      </c>
      <c r="T4169" s="64" t="n">
        <f aca="false">IF($K4169="Less",$P4169,0)</f>
        <v>0</v>
      </c>
      <c r="U4169" s="64" t="n">
        <f aca="false">IF($K4169="Expected",$P4169,0)</f>
        <v>0</v>
      </c>
      <c r="V4169" s="64" t="n">
        <f aca="false">IF($K4169="Better",$P4169,0)</f>
        <v>0</v>
      </c>
      <c r="W4169" s="64" t="n">
        <f aca="false">IF($K4169="U – needs rule",$P4169,0)</f>
        <v>0</v>
      </c>
      <c r="X4169" s="64" t="n">
        <f aca="false">IF($K4169="No Start (attainment only)",$P4169,0)</f>
        <v>0</v>
      </c>
    </row>
    <row r="4170" customFormat="false" ht="15" hidden="false" customHeight="false" outlineLevel="0" collapsed="false">
      <c r="A4170" s="60"/>
      <c r="B4170" s="61" t="str">
        <f aca="false">IF($M4170=0,"",INDEX(Classes!$E$6:$E$420,$M4170))</f>
        <v/>
      </c>
      <c r="C4170" s="62" t="str">
        <f aca="false">IF($M4170=0,"",INDEX(Classes!$H$6:$H$420,$M4170))</f>
        <v/>
      </c>
      <c r="D4170" s="61" t="str">
        <f aca="false">IF($M4170=0,"",INDEX(Classes!$B$6:$B$420,$M4170))</f>
        <v/>
      </c>
      <c r="E4170" s="61" t="str">
        <f aca="false">IF($M4170=0,"",INDEX(Classes!$C$6:$C$420,$M4170))</f>
        <v/>
      </c>
      <c r="F4170" s="63"/>
      <c r="G4170" s="63"/>
      <c r="H4170" s="60"/>
      <c r="I4170" s="60"/>
      <c r="J4170" s="63"/>
      <c r="K4170" s="61" t="str">
        <f aca="false">IF($P4170=0,"",IF($F4170="Baseline","— Baseline",IF($O4170=0,"No result",IF($N4170=0,"No Start (attainment only)",IF(OR($N4170=1,$O4170=1),"U – needs rule",INDEX(MxBody,MATCH($I4170,MxCurr,0),MATCH($H4170,MxStart,0)))))))</f>
        <v/>
      </c>
      <c r="L4170" s="62" t="str">
        <f aca="false">IF(COUNTA($A4170,$F4170,$G4170,$H4170,$I4170,$J4170)=0,"",IF($M4170=0,"✖ كود الصف غير موجود",IF(ISNA(MATCH($F4170,Lists!$A$2:$A$5,0)),"✖ الفترة غير صحيحة",IF(ISNA(MATCH($G4170,Lists!$B$2:$B$7,0)),"✖ المجموعة غير صحيحة",IF(NOT(OR($H4170="",$N4170&gt;0)),"✖ Start غير صحيح",IF(NOT(OR($I4170="",$I4170="NR",$O4170&gt;0)),"✖ Current غير صحيح",IF(NOT(IF(ISNUMBER($J4170),AND($J4170&gt;=0,$J4170=INT($J4170)),FALSE())),"✖ العدد يجب أن يكون صحيحًا ≥ 0",IF(AND($F4170="Baseline",$H4170&lt;&gt;""),"⚠ Baseline: Start لا يدخل في التقدم",IF($K4170="No Start (attainment only)","ℹ تحصيل فقط (بدون Start)",IF($K4170="U – needs rule","ℹ حالة U تحتاج قاعدة معتمدة",IF($K4170="No result","ℹ بدون نتيجة (يُستبعد من التحصيل)","OK")))))))))))</f>
        <v/>
      </c>
      <c r="M4170" s="64" t="n">
        <f aca="false">IF($A4170="",0,IFERROR(MATCH($A4170,Classes!$A$6:$A$420,0),0))</f>
        <v>0</v>
      </c>
      <c r="N4170" s="64" t="n">
        <f aca="false">IF($H4170="",0,IFERROR(MATCH($H4170,GradeList,0),0))</f>
        <v>0</v>
      </c>
      <c r="O4170" s="64" t="n">
        <f aca="false">IF(OR($I4170="",$I4170="NR"),0,IFERROR(MATCH($I4170,GradeList,0),0))</f>
        <v>0</v>
      </c>
      <c r="P4170" s="64" t="n">
        <f aca="false">IF(AND($M4170&gt;0,ISNUMBER(MATCH($F4170,Lists!$A$2:$A$5,0)),ISNUMBER(MATCH($G4170,Lists!$B$2:$B$7,0)),OR($H4170="",$N4170&gt;0),OR($I4170="",$I4170="NR",$O4170&gt;0),IF(ISNUMBER($J4170),AND($J4170&gt;=0,$J4170=INT($J4170)),FALSE())),$J4170,0)</f>
        <v>0</v>
      </c>
      <c r="Q4170" s="64" t="n">
        <f aca="false">IF(AND($P4170&gt;0,$O4170&gt;0),$P4170,0)</f>
        <v>0</v>
      </c>
      <c r="R4170" s="64" t="n">
        <f aca="false">IF(AND($Q4170&gt;0,$O4170&gt;=AtRank),$Q4170,0)</f>
        <v>0</v>
      </c>
      <c r="S4170" s="64" t="n">
        <f aca="false">IF(AND($Q4170&gt;0,$O4170&gt;=AboveRank),$Q4170,0)</f>
        <v>0</v>
      </c>
      <c r="T4170" s="64" t="n">
        <f aca="false">IF($K4170="Less",$P4170,0)</f>
        <v>0</v>
      </c>
      <c r="U4170" s="64" t="n">
        <f aca="false">IF($K4170="Expected",$P4170,0)</f>
        <v>0</v>
      </c>
      <c r="V4170" s="64" t="n">
        <f aca="false">IF($K4170="Better",$P4170,0)</f>
        <v>0</v>
      </c>
      <c r="W4170" s="64" t="n">
        <f aca="false">IF($K4170="U – needs rule",$P4170,0)</f>
        <v>0</v>
      </c>
      <c r="X4170" s="64" t="n">
        <f aca="false">IF($K4170="No Start (attainment only)",$P4170,0)</f>
        <v>0</v>
      </c>
    </row>
    <row r="4171" customFormat="false" ht="15" hidden="false" customHeight="false" outlineLevel="0" collapsed="false">
      <c r="A4171" s="60"/>
      <c r="B4171" s="61" t="str">
        <f aca="false">IF($M4171=0,"",INDEX(Classes!$E$6:$E$420,$M4171))</f>
        <v/>
      </c>
      <c r="C4171" s="62" t="str">
        <f aca="false">IF($M4171=0,"",INDEX(Classes!$H$6:$H$420,$M4171))</f>
        <v/>
      </c>
      <c r="D4171" s="61" t="str">
        <f aca="false">IF($M4171=0,"",INDEX(Classes!$B$6:$B$420,$M4171))</f>
        <v/>
      </c>
      <c r="E4171" s="61" t="str">
        <f aca="false">IF($M4171=0,"",INDEX(Classes!$C$6:$C$420,$M4171))</f>
        <v/>
      </c>
      <c r="F4171" s="63"/>
      <c r="G4171" s="63"/>
      <c r="H4171" s="60"/>
      <c r="I4171" s="60"/>
      <c r="J4171" s="63"/>
      <c r="K4171" s="61" t="str">
        <f aca="false">IF($P4171=0,"",IF($F4171="Baseline","— Baseline",IF($O4171=0,"No result",IF($N4171=0,"No Start (attainment only)",IF(OR($N4171=1,$O4171=1),"U – needs rule",INDEX(MxBody,MATCH($I4171,MxCurr,0),MATCH($H4171,MxStart,0)))))))</f>
        <v/>
      </c>
      <c r="L4171" s="62" t="str">
        <f aca="false">IF(COUNTA($A4171,$F4171,$G4171,$H4171,$I4171,$J4171)=0,"",IF($M4171=0,"✖ كود الصف غير موجود",IF(ISNA(MATCH($F4171,Lists!$A$2:$A$5,0)),"✖ الفترة غير صحيحة",IF(ISNA(MATCH($G4171,Lists!$B$2:$B$7,0)),"✖ المجموعة غير صحيحة",IF(NOT(OR($H4171="",$N4171&gt;0)),"✖ Start غير صحيح",IF(NOT(OR($I4171="",$I4171="NR",$O4171&gt;0)),"✖ Current غير صحيح",IF(NOT(IF(ISNUMBER($J4171),AND($J4171&gt;=0,$J4171=INT($J4171)),FALSE())),"✖ العدد يجب أن يكون صحيحًا ≥ 0",IF(AND($F4171="Baseline",$H4171&lt;&gt;""),"⚠ Baseline: Start لا يدخل في التقدم",IF($K4171="No Start (attainment only)","ℹ تحصيل فقط (بدون Start)",IF($K4171="U – needs rule","ℹ حالة U تحتاج قاعدة معتمدة",IF($K4171="No result","ℹ بدون نتيجة (يُستبعد من التحصيل)","OK")))))))))))</f>
        <v/>
      </c>
      <c r="M4171" s="64" t="n">
        <f aca="false">IF($A4171="",0,IFERROR(MATCH($A4171,Classes!$A$6:$A$420,0),0))</f>
        <v>0</v>
      </c>
      <c r="N4171" s="64" t="n">
        <f aca="false">IF($H4171="",0,IFERROR(MATCH($H4171,GradeList,0),0))</f>
        <v>0</v>
      </c>
      <c r="O4171" s="64" t="n">
        <f aca="false">IF(OR($I4171="",$I4171="NR"),0,IFERROR(MATCH($I4171,GradeList,0),0))</f>
        <v>0</v>
      </c>
      <c r="P4171" s="64" t="n">
        <f aca="false">IF(AND($M4171&gt;0,ISNUMBER(MATCH($F4171,Lists!$A$2:$A$5,0)),ISNUMBER(MATCH($G4171,Lists!$B$2:$B$7,0)),OR($H4171="",$N4171&gt;0),OR($I4171="",$I4171="NR",$O4171&gt;0),IF(ISNUMBER($J4171),AND($J4171&gt;=0,$J4171=INT($J4171)),FALSE())),$J4171,0)</f>
        <v>0</v>
      </c>
      <c r="Q4171" s="64" t="n">
        <f aca="false">IF(AND($P4171&gt;0,$O4171&gt;0),$P4171,0)</f>
        <v>0</v>
      </c>
      <c r="R4171" s="64" t="n">
        <f aca="false">IF(AND($Q4171&gt;0,$O4171&gt;=AtRank),$Q4171,0)</f>
        <v>0</v>
      </c>
      <c r="S4171" s="64" t="n">
        <f aca="false">IF(AND($Q4171&gt;0,$O4171&gt;=AboveRank),$Q4171,0)</f>
        <v>0</v>
      </c>
      <c r="T4171" s="64" t="n">
        <f aca="false">IF($K4171="Less",$P4171,0)</f>
        <v>0</v>
      </c>
      <c r="U4171" s="64" t="n">
        <f aca="false">IF($K4171="Expected",$P4171,0)</f>
        <v>0</v>
      </c>
      <c r="V4171" s="64" t="n">
        <f aca="false">IF($K4171="Better",$P4171,0)</f>
        <v>0</v>
      </c>
      <c r="W4171" s="64" t="n">
        <f aca="false">IF($K4171="U – needs rule",$P4171,0)</f>
        <v>0</v>
      </c>
      <c r="X4171" s="64" t="n">
        <f aca="false">IF($K4171="No Start (attainment only)",$P4171,0)</f>
        <v>0</v>
      </c>
    </row>
    <row r="4172" customFormat="false" ht="15" hidden="false" customHeight="false" outlineLevel="0" collapsed="false">
      <c r="A4172" s="60"/>
      <c r="B4172" s="61" t="str">
        <f aca="false">IF($M4172=0,"",INDEX(Classes!$E$6:$E$420,$M4172))</f>
        <v/>
      </c>
      <c r="C4172" s="62" t="str">
        <f aca="false">IF($M4172=0,"",INDEX(Classes!$H$6:$H$420,$M4172))</f>
        <v/>
      </c>
      <c r="D4172" s="61" t="str">
        <f aca="false">IF($M4172=0,"",INDEX(Classes!$B$6:$B$420,$M4172))</f>
        <v/>
      </c>
      <c r="E4172" s="61" t="str">
        <f aca="false">IF($M4172=0,"",INDEX(Classes!$C$6:$C$420,$M4172))</f>
        <v/>
      </c>
      <c r="F4172" s="63"/>
      <c r="G4172" s="63"/>
      <c r="H4172" s="60"/>
      <c r="I4172" s="60"/>
      <c r="J4172" s="63"/>
      <c r="K4172" s="61" t="str">
        <f aca="false">IF($P4172=0,"",IF($F4172="Baseline","— Baseline",IF($O4172=0,"No result",IF($N4172=0,"No Start (attainment only)",IF(OR($N4172=1,$O4172=1),"U – needs rule",INDEX(MxBody,MATCH($I4172,MxCurr,0),MATCH($H4172,MxStart,0)))))))</f>
        <v/>
      </c>
      <c r="L4172" s="62" t="str">
        <f aca="false">IF(COUNTA($A4172,$F4172,$G4172,$H4172,$I4172,$J4172)=0,"",IF($M4172=0,"✖ كود الصف غير موجود",IF(ISNA(MATCH($F4172,Lists!$A$2:$A$5,0)),"✖ الفترة غير صحيحة",IF(ISNA(MATCH($G4172,Lists!$B$2:$B$7,0)),"✖ المجموعة غير صحيحة",IF(NOT(OR($H4172="",$N4172&gt;0)),"✖ Start غير صحيح",IF(NOT(OR($I4172="",$I4172="NR",$O4172&gt;0)),"✖ Current غير صحيح",IF(NOT(IF(ISNUMBER($J4172),AND($J4172&gt;=0,$J4172=INT($J4172)),FALSE())),"✖ العدد يجب أن يكون صحيحًا ≥ 0",IF(AND($F4172="Baseline",$H4172&lt;&gt;""),"⚠ Baseline: Start لا يدخل في التقدم",IF($K4172="No Start (attainment only)","ℹ تحصيل فقط (بدون Start)",IF($K4172="U – needs rule","ℹ حالة U تحتاج قاعدة معتمدة",IF($K4172="No result","ℹ بدون نتيجة (يُستبعد من التحصيل)","OK")))))))))))</f>
        <v/>
      </c>
      <c r="M4172" s="64" t="n">
        <f aca="false">IF($A4172="",0,IFERROR(MATCH($A4172,Classes!$A$6:$A$420,0),0))</f>
        <v>0</v>
      </c>
      <c r="N4172" s="64" t="n">
        <f aca="false">IF($H4172="",0,IFERROR(MATCH($H4172,GradeList,0),0))</f>
        <v>0</v>
      </c>
      <c r="O4172" s="64" t="n">
        <f aca="false">IF(OR($I4172="",$I4172="NR"),0,IFERROR(MATCH($I4172,GradeList,0),0))</f>
        <v>0</v>
      </c>
      <c r="P4172" s="64" t="n">
        <f aca="false">IF(AND($M4172&gt;0,ISNUMBER(MATCH($F4172,Lists!$A$2:$A$5,0)),ISNUMBER(MATCH($G4172,Lists!$B$2:$B$7,0)),OR($H4172="",$N4172&gt;0),OR($I4172="",$I4172="NR",$O4172&gt;0),IF(ISNUMBER($J4172),AND($J4172&gt;=0,$J4172=INT($J4172)),FALSE())),$J4172,0)</f>
        <v>0</v>
      </c>
      <c r="Q4172" s="64" t="n">
        <f aca="false">IF(AND($P4172&gt;0,$O4172&gt;0),$P4172,0)</f>
        <v>0</v>
      </c>
      <c r="R4172" s="64" t="n">
        <f aca="false">IF(AND($Q4172&gt;0,$O4172&gt;=AtRank),$Q4172,0)</f>
        <v>0</v>
      </c>
      <c r="S4172" s="64" t="n">
        <f aca="false">IF(AND($Q4172&gt;0,$O4172&gt;=AboveRank),$Q4172,0)</f>
        <v>0</v>
      </c>
      <c r="T4172" s="64" t="n">
        <f aca="false">IF($K4172="Less",$P4172,0)</f>
        <v>0</v>
      </c>
      <c r="U4172" s="64" t="n">
        <f aca="false">IF($K4172="Expected",$P4172,0)</f>
        <v>0</v>
      </c>
      <c r="V4172" s="64" t="n">
        <f aca="false">IF($K4172="Better",$P4172,0)</f>
        <v>0</v>
      </c>
      <c r="W4172" s="64" t="n">
        <f aca="false">IF($K4172="U – needs rule",$P4172,0)</f>
        <v>0</v>
      </c>
      <c r="X4172" s="64" t="n">
        <f aca="false">IF($K4172="No Start (attainment only)",$P4172,0)</f>
        <v>0</v>
      </c>
    </row>
    <row r="4173" customFormat="false" ht="15" hidden="false" customHeight="false" outlineLevel="0" collapsed="false">
      <c r="A4173" s="60"/>
      <c r="B4173" s="61" t="str">
        <f aca="false">IF($M4173=0,"",INDEX(Classes!$E$6:$E$420,$M4173))</f>
        <v/>
      </c>
      <c r="C4173" s="62" t="str">
        <f aca="false">IF($M4173=0,"",INDEX(Classes!$H$6:$H$420,$M4173))</f>
        <v/>
      </c>
      <c r="D4173" s="61" t="str">
        <f aca="false">IF($M4173=0,"",INDEX(Classes!$B$6:$B$420,$M4173))</f>
        <v/>
      </c>
      <c r="E4173" s="61" t="str">
        <f aca="false">IF($M4173=0,"",INDEX(Classes!$C$6:$C$420,$M4173))</f>
        <v/>
      </c>
      <c r="F4173" s="63"/>
      <c r="G4173" s="63"/>
      <c r="H4173" s="60"/>
      <c r="I4173" s="60"/>
      <c r="J4173" s="63"/>
      <c r="K4173" s="61" t="str">
        <f aca="false">IF($P4173=0,"",IF($F4173="Baseline","— Baseline",IF($O4173=0,"No result",IF($N4173=0,"No Start (attainment only)",IF(OR($N4173=1,$O4173=1),"U – needs rule",INDEX(MxBody,MATCH($I4173,MxCurr,0),MATCH($H4173,MxStart,0)))))))</f>
        <v/>
      </c>
      <c r="L4173" s="62" t="str">
        <f aca="false">IF(COUNTA($A4173,$F4173,$G4173,$H4173,$I4173,$J4173)=0,"",IF($M4173=0,"✖ كود الصف غير موجود",IF(ISNA(MATCH($F4173,Lists!$A$2:$A$5,0)),"✖ الفترة غير صحيحة",IF(ISNA(MATCH($G4173,Lists!$B$2:$B$7,0)),"✖ المجموعة غير صحيحة",IF(NOT(OR($H4173="",$N4173&gt;0)),"✖ Start غير صحيح",IF(NOT(OR($I4173="",$I4173="NR",$O4173&gt;0)),"✖ Current غير صحيح",IF(NOT(IF(ISNUMBER($J4173),AND($J4173&gt;=0,$J4173=INT($J4173)),FALSE())),"✖ العدد يجب أن يكون صحيحًا ≥ 0",IF(AND($F4173="Baseline",$H4173&lt;&gt;""),"⚠ Baseline: Start لا يدخل في التقدم",IF($K4173="No Start (attainment only)","ℹ تحصيل فقط (بدون Start)",IF($K4173="U – needs rule","ℹ حالة U تحتاج قاعدة معتمدة",IF($K4173="No result","ℹ بدون نتيجة (يُستبعد من التحصيل)","OK")))))))))))</f>
        <v/>
      </c>
      <c r="M4173" s="64" t="n">
        <f aca="false">IF($A4173="",0,IFERROR(MATCH($A4173,Classes!$A$6:$A$420,0),0))</f>
        <v>0</v>
      </c>
      <c r="N4173" s="64" t="n">
        <f aca="false">IF($H4173="",0,IFERROR(MATCH($H4173,GradeList,0),0))</f>
        <v>0</v>
      </c>
      <c r="O4173" s="64" t="n">
        <f aca="false">IF(OR($I4173="",$I4173="NR"),0,IFERROR(MATCH($I4173,GradeList,0),0))</f>
        <v>0</v>
      </c>
      <c r="P4173" s="64" t="n">
        <f aca="false">IF(AND($M4173&gt;0,ISNUMBER(MATCH($F4173,Lists!$A$2:$A$5,0)),ISNUMBER(MATCH($G4173,Lists!$B$2:$B$7,0)),OR($H4173="",$N4173&gt;0),OR($I4173="",$I4173="NR",$O4173&gt;0),IF(ISNUMBER($J4173),AND($J4173&gt;=0,$J4173=INT($J4173)),FALSE())),$J4173,0)</f>
        <v>0</v>
      </c>
      <c r="Q4173" s="64" t="n">
        <f aca="false">IF(AND($P4173&gt;0,$O4173&gt;0),$P4173,0)</f>
        <v>0</v>
      </c>
      <c r="R4173" s="64" t="n">
        <f aca="false">IF(AND($Q4173&gt;0,$O4173&gt;=AtRank),$Q4173,0)</f>
        <v>0</v>
      </c>
      <c r="S4173" s="64" t="n">
        <f aca="false">IF(AND($Q4173&gt;0,$O4173&gt;=AboveRank),$Q4173,0)</f>
        <v>0</v>
      </c>
      <c r="T4173" s="64" t="n">
        <f aca="false">IF($K4173="Less",$P4173,0)</f>
        <v>0</v>
      </c>
      <c r="U4173" s="64" t="n">
        <f aca="false">IF($K4173="Expected",$P4173,0)</f>
        <v>0</v>
      </c>
      <c r="V4173" s="64" t="n">
        <f aca="false">IF($K4173="Better",$P4173,0)</f>
        <v>0</v>
      </c>
      <c r="W4173" s="64" t="n">
        <f aca="false">IF($K4173="U – needs rule",$P4173,0)</f>
        <v>0</v>
      </c>
      <c r="X4173" s="64" t="n">
        <f aca="false">IF($K4173="No Start (attainment only)",$P4173,0)</f>
        <v>0</v>
      </c>
    </row>
    <row r="4174" customFormat="false" ht="15" hidden="false" customHeight="false" outlineLevel="0" collapsed="false">
      <c r="A4174" s="60"/>
      <c r="B4174" s="61" t="str">
        <f aca="false">IF($M4174=0,"",INDEX(Classes!$E$6:$E$420,$M4174))</f>
        <v/>
      </c>
      <c r="C4174" s="62" t="str">
        <f aca="false">IF($M4174=0,"",INDEX(Classes!$H$6:$H$420,$M4174))</f>
        <v/>
      </c>
      <c r="D4174" s="61" t="str">
        <f aca="false">IF($M4174=0,"",INDEX(Classes!$B$6:$B$420,$M4174))</f>
        <v/>
      </c>
      <c r="E4174" s="61" t="str">
        <f aca="false">IF($M4174=0,"",INDEX(Classes!$C$6:$C$420,$M4174))</f>
        <v/>
      </c>
      <c r="F4174" s="63"/>
      <c r="G4174" s="63"/>
      <c r="H4174" s="60"/>
      <c r="I4174" s="60"/>
      <c r="J4174" s="63"/>
      <c r="K4174" s="61" t="str">
        <f aca="false">IF($P4174=0,"",IF($F4174="Baseline","— Baseline",IF($O4174=0,"No result",IF($N4174=0,"No Start (attainment only)",IF(OR($N4174=1,$O4174=1),"U – needs rule",INDEX(MxBody,MATCH($I4174,MxCurr,0),MATCH($H4174,MxStart,0)))))))</f>
        <v/>
      </c>
      <c r="L4174" s="62" t="str">
        <f aca="false">IF(COUNTA($A4174,$F4174,$G4174,$H4174,$I4174,$J4174)=0,"",IF($M4174=0,"✖ كود الصف غير موجود",IF(ISNA(MATCH($F4174,Lists!$A$2:$A$5,0)),"✖ الفترة غير صحيحة",IF(ISNA(MATCH($G4174,Lists!$B$2:$B$7,0)),"✖ المجموعة غير صحيحة",IF(NOT(OR($H4174="",$N4174&gt;0)),"✖ Start غير صحيح",IF(NOT(OR($I4174="",$I4174="NR",$O4174&gt;0)),"✖ Current غير صحيح",IF(NOT(IF(ISNUMBER($J4174),AND($J4174&gt;=0,$J4174=INT($J4174)),FALSE())),"✖ العدد يجب أن يكون صحيحًا ≥ 0",IF(AND($F4174="Baseline",$H4174&lt;&gt;""),"⚠ Baseline: Start لا يدخل في التقدم",IF($K4174="No Start (attainment only)","ℹ تحصيل فقط (بدون Start)",IF($K4174="U – needs rule","ℹ حالة U تحتاج قاعدة معتمدة",IF($K4174="No result","ℹ بدون نتيجة (يُستبعد من التحصيل)","OK")))))))))))</f>
        <v/>
      </c>
      <c r="M4174" s="64" t="n">
        <f aca="false">IF($A4174="",0,IFERROR(MATCH($A4174,Classes!$A$6:$A$420,0),0))</f>
        <v>0</v>
      </c>
      <c r="N4174" s="64" t="n">
        <f aca="false">IF($H4174="",0,IFERROR(MATCH($H4174,GradeList,0),0))</f>
        <v>0</v>
      </c>
      <c r="O4174" s="64" t="n">
        <f aca="false">IF(OR($I4174="",$I4174="NR"),0,IFERROR(MATCH($I4174,GradeList,0),0))</f>
        <v>0</v>
      </c>
      <c r="P4174" s="64" t="n">
        <f aca="false">IF(AND($M4174&gt;0,ISNUMBER(MATCH($F4174,Lists!$A$2:$A$5,0)),ISNUMBER(MATCH($G4174,Lists!$B$2:$B$7,0)),OR($H4174="",$N4174&gt;0),OR($I4174="",$I4174="NR",$O4174&gt;0),IF(ISNUMBER($J4174),AND($J4174&gt;=0,$J4174=INT($J4174)),FALSE())),$J4174,0)</f>
        <v>0</v>
      </c>
      <c r="Q4174" s="64" t="n">
        <f aca="false">IF(AND($P4174&gt;0,$O4174&gt;0),$P4174,0)</f>
        <v>0</v>
      </c>
      <c r="R4174" s="64" t="n">
        <f aca="false">IF(AND($Q4174&gt;0,$O4174&gt;=AtRank),$Q4174,0)</f>
        <v>0</v>
      </c>
      <c r="S4174" s="64" t="n">
        <f aca="false">IF(AND($Q4174&gt;0,$O4174&gt;=AboveRank),$Q4174,0)</f>
        <v>0</v>
      </c>
      <c r="T4174" s="64" t="n">
        <f aca="false">IF($K4174="Less",$P4174,0)</f>
        <v>0</v>
      </c>
      <c r="U4174" s="64" t="n">
        <f aca="false">IF($K4174="Expected",$P4174,0)</f>
        <v>0</v>
      </c>
      <c r="V4174" s="64" t="n">
        <f aca="false">IF($K4174="Better",$P4174,0)</f>
        <v>0</v>
      </c>
      <c r="W4174" s="64" t="n">
        <f aca="false">IF($K4174="U – needs rule",$P4174,0)</f>
        <v>0</v>
      </c>
      <c r="X4174" s="64" t="n">
        <f aca="false">IF($K4174="No Start (attainment only)",$P4174,0)</f>
        <v>0</v>
      </c>
    </row>
    <row r="4175" customFormat="false" ht="15" hidden="false" customHeight="false" outlineLevel="0" collapsed="false">
      <c r="A4175" s="60"/>
      <c r="B4175" s="61" t="str">
        <f aca="false">IF($M4175=0,"",INDEX(Classes!$E$6:$E$420,$M4175))</f>
        <v/>
      </c>
      <c r="C4175" s="62" t="str">
        <f aca="false">IF($M4175=0,"",INDEX(Classes!$H$6:$H$420,$M4175))</f>
        <v/>
      </c>
      <c r="D4175" s="61" t="str">
        <f aca="false">IF($M4175=0,"",INDEX(Classes!$B$6:$B$420,$M4175))</f>
        <v/>
      </c>
      <c r="E4175" s="61" t="str">
        <f aca="false">IF($M4175=0,"",INDEX(Classes!$C$6:$C$420,$M4175))</f>
        <v/>
      </c>
      <c r="F4175" s="63"/>
      <c r="G4175" s="63"/>
      <c r="H4175" s="60"/>
      <c r="I4175" s="60"/>
      <c r="J4175" s="63"/>
      <c r="K4175" s="61" t="str">
        <f aca="false">IF($P4175=0,"",IF($F4175="Baseline","— Baseline",IF($O4175=0,"No result",IF($N4175=0,"No Start (attainment only)",IF(OR($N4175=1,$O4175=1),"U – needs rule",INDEX(MxBody,MATCH($I4175,MxCurr,0),MATCH($H4175,MxStart,0)))))))</f>
        <v/>
      </c>
      <c r="L4175" s="62" t="str">
        <f aca="false">IF(COUNTA($A4175,$F4175,$G4175,$H4175,$I4175,$J4175)=0,"",IF($M4175=0,"✖ كود الصف غير موجود",IF(ISNA(MATCH($F4175,Lists!$A$2:$A$5,0)),"✖ الفترة غير صحيحة",IF(ISNA(MATCH($G4175,Lists!$B$2:$B$7,0)),"✖ المجموعة غير صحيحة",IF(NOT(OR($H4175="",$N4175&gt;0)),"✖ Start غير صحيح",IF(NOT(OR($I4175="",$I4175="NR",$O4175&gt;0)),"✖ Current غير صحيح",IF(NOT(IF(ISNUMBER($J4175),AND($J4175&gt;=0,$J4175=INT($J4175)),FALSE())),"✖ العدد يجب أن يكون صحيحًا ≥ 0",IF(AND($F4175="Baseline",$H4175&lt;&gt;""),"⚠ Baseline: Start لا يدخل في التقدم",IF($K4175="No Start (attainment only)","ℹ تحصيل فقط (بدون Start)",IF($K4175="U – needs rule","ℹ حالة U تحتاج قاعدة معتمدة",IF($K4175="No result","ℹ بدون نتيجة (يُستبعد من التحصيل)","OK")))))))))))</f>
        <v/>
      </c>
      <c r="M4175" s="64" t="n">
        <f aca="false">IF($A4175="",0,IFERROR(MATCH($A4175,Classes!$A$6:$A$420,0),0))</f>
        <v>0</v>
      </c>
      <c r="N4175" s="64" t="n">
        <f aca="false">IF($H4175="",0,IFERROR(MATCH($H4175,GradeList,0),0))</f>
        <v>0</v>
      </c>
      <c r="O4175" s="64" t="n">
        <f aca="false">IF(OR($I4175="",$I4175="NR"),0,IFERROR(MATCH($I4175,GradeList,0),0))</f>
        <v>0</v>
      </c>
      <c r="P4175" s="64" t="n">
        <f aca="false">IF(AND($M4175&gt;0,ISNUMBER(MATCH($F4175,Lists!$A$2:$A$5,0)),ISNUMBER(MATCH($G4175,Lists!$B$2:$B$7,0)),OR($H4175="",$N4175&gt;0),OR($I4175="",$I4175="NR",$O4175&gt;0),IF(ISNUMBER($J4175),AND($J4175&gt;=0,$J4175=INT($J4175)),FALSE())),$J4175,0)</f>
        <v>0</v>
      </c>
      <c r="Q4175" s="64" t="n">
        <f aca="false">IF(AND($P4175&gt;0,$O4175&gt;0),$P4175,0)</f>
        <v>0</v>
      </c>
      <c r="R4175" s="64" t="n">
        <f aca="false">IF(AND($Q4175&gt;0,$O4175&gt;=AtRank),$Q4175,0)</f>
        <v>0</v>
      </c>
      <c r="S4175" s="64" t="n">
        <f aca="false">IF(AND($Q4175&gt;0,$O4175&gt;=AboveRank),$Q4175,0)</f>
        <v>0</v>
      </c>
      <c r="T4175" s="64" t="n">
        <f aca="false">IF($K4175="Less",$P4175,0)</f>
        <v>0</v>
      </c>
      <c r="U4175" s="64" t="n">
        <f aca="false">IF($K4175="Expected",$P4175,0)</f>
        <v>0</v>
      </c>
      <c r="V4175" s="64" t="n">
        <f aca="false">IF($K4175="Better",$P4175,0)</f>
        <v>0</v>
      </c>
      <c r="W4175" s="64" t="n">
        <f aca="false">IF($K4175="U – needs rule",$P4175,0)</f>
        <v>0</v>
      </c>
      <c r="X4175" s="64" t="n">
        <f aca="false">IF($K4175="No Start (attainment only)",$P4175,0)</f>
        <v>0</v>
      </c>
    </row>
    <row r="4176" customFormat="false" ht="15" hidden="false" customHeight="false" outlineLevel="0" collapsed="false">
      <c r="A4176" s="60"/>
      <c r="B4176" s="61" t="str">
        <f aca="false">IF($M4176=0,"",INDEX(Classes!$E$6:$E$420,$M4176))</f>
        <v/>
      </c>
      <c r="C4176" s="62" t="str">
        <f aca="false">IF($M4176=0,"",INDEX(Classes!$H$6:$H$420,$M4176))</f>
        <v/>
      </c>
      <c r="D4176" s="61" t="str">
        <f aca="false">IF($M4176=0,"",INDEX(Classes!$B$6:$B$420,$M4176))</f>
        <v/>
      </c>
      <c r="E4176" s="61" t="str">
        <f aca="false">IF($M4176=0,"",INDEX(Classes!$C$6:$C$420,$M4176))</f>
        <v/>
      </c>
      <c r="F4176" s="63"/>
      <c r="G4176" s="63"/>
      <c r="H4176" s="60"/>
      <c r="I4176" s="60"/>
      <c r="J4176" s="63"/>
      <c r="K4176" s="61" t="str">
        <f aca="false">IF($P4176=0,"",IF($F4176="Baseline","— Baseline",IF($O4176=0,"No result",IF($N4176=0,"No Start (attainment only)",IF(OR($N4176=1,$O4176=1),"U – needs rule",INDEX(MxBody,MATCH($I4176,MxCurr,0),MATCH($H4176,MxStart,0)))))))</f>
        <v/>
      </c>
      <c r="L4176" s="62" t="str">
        <f aca="false">IF(COUNTA($A4176,$F4176,$G4176,$H4176,$I4176,$J4176)=0,"",IF($M4176=0,"✖ كود الصف غير موجود",IF(ISNA(MATCH($F4176,Lists!$A$2:$A$5,0)),"✖ الفترة غير صحيحة",IF(ISNA(MATCH($G4176,Lists!$B$2:$B$7,0)),"✖ المجموعة غير صحيحة",IF(NOT(OR($H4176="",$N4176&gt;0)),"✖ Start غير صحيح",IF(NOT(OR($I4176="",$I4176="NR",$O4176&gt;0)),"✖ Current غير صحيح",IF(NOT(IF(ISNUMBER($J4176),AND($J4176&gt;=0,$J4176=INT($J4176)),FALSE())),"✖ العدد يجب أن يكون صحيحًا ≥ 0",IF(AND($F4176="Baseline",$H4176&lt;&gt;""),"⚠ Baseline: Start لا يدخل في التقدم",IF($K4176="No Start (attainment only)","ℹ تحصيل فقط (بدون Start)",IF($K4176="U – needs rule","ℹ حالة U تحتاج قاعدة معتمدة",IF($K4176="No result","ℹ بدون نتيجة (يُستبعد من التحصيل)","OK")))))))))))</f>
        <v/>
      </c>
      <c r="M4176" s="64" t="n">
        <f aca="false">IF($A4176="",0,IFERROR(MATCH($A4176,Classes!$A$6:$A$420,0),0))</f>
        <v>0</v>
      </c>
      <c r="N4176" s="64" t="n">
        <f aca="false">IF($H4176="",0,IFERROR(MATCH($H4176,GradeList,0),0))</f>
        <v>0</v>
      </c>
      <c r="O4176" s="64" t="n">
        <f aca="false">IF(OR($I4176="",$I4176="NR"),0,IFERROR(MATCH($I4176,GradeList,0),0))</f>
        <v>0</v>
      </c>
      <c r="P4176" s="64" t="n">
        <f aca="false">IF(AND($M4176&gt;0,ISNUMBER(MATCH($F4176,Lists!$A$2:$A$5,0)),ISNUMBER(MATCH($G4176,Lists!$B$2:$B$7,0)),OR($H4176="",$N4176&gt;0),OR($I4176="",$I4176="NR",$O4176&gt;0),IF(ISNUMBER($J4176),AND($J4176&gt;=0,$J4176=INT($J4176)),FALSE())),$J4176,0)</f>
        <v>0</v>
      </c>
      <c r="Q4176" s="64" t="n">
        <f aca="false">IF(AND($P4176&gt;0,$O4176&gt;0),$P4176,0)</f>
        <v>0</v>
      </c>
      <c r="R4176" s="64" t="n">
        <f aca="false">IF(AND($Q4176&gt;0,$O4176&gt;=AtRank),$Q4176,0)</f>
        <v>0</v>
      </c>
      <c r="S4176" s="64" t="n">
        <f aca="false">IF(AND($Q4176&gt;0,$O4176&gt;=AboveRank),$Q4176,0)</f>
        <v>0</v>
      </c>
      <c r="T4176" s="64" t="n">
        <f aca="false">IF($K4176="Less",$P4176,0)</f>
        <v>0</v>
      </c>
      <c r="U4176" s="64" t="n">
        <f aca="false">IF($K4176="Expected",$P4176,0)</f>
        <v>0</v>
      </c>
      <c r="V4176" s="64" t="n">
        <f aca="false">IF($K4176="Better",$P4176,0)</f>
        <v>0</v>
      </c>
      <c r="W4176" s="64" t="n">
        <f aca="false">IF($K4176="U – needs rule",$P4176,0)</f>
        <v>0</v>
      </c>
      <c r="X4176" s="64" t="n">
        <f aca="false">IF($K4176="No Start (attainment only)",$P4176,0)</f>
        <v>0</v>
      </c>
    </row>
    <row r="4177" customFormat="false" ht="15" hidden="false" customHeight="false" outlineLevel="0" collapsed="false">
      <c r="A4177" s="60"/>
      <c r="B4177" s="61" t="str">
        <f aca="false">IF($M4177=0,"",INDEX(Classes!$E$6:$E$420,$M4177))</f>
        <v/>
      </c>
      <c r="C4177" s="62" t="str">
        <f aca="false">IF($M4177=0,"",INDEX(Classes!$H$6:$H$420,$M4177))</f>
        <v/>
      </c>
      <c r="D4177" s="61" t="str">
        <f aca="false">IF($M4177=0,"",INDEX(Classes!$B$6:$B$420,$M4177))</f>
        <v/>
      </c>
      <c r="E4177" s="61" t="str">
        <f aca="false">IF($M4177=0,"",INDEX(Classes!$C$6:$C$420,$M4177))</f>
        <v/>
      </c>
      <c r="F4177" s="63"/>
      <c r="G4177" s="63"/>
      <c r="H4177" s="60"/>
      <c r="I4177" s="60"/>
      <c r="J4177" s="63"/>
      <c r="K4177" s="61" t="str">
        <f aca="false">IF($P4177=0,"",IF($F4177="Baseline","— Baseline",IF($O4177=0,"No result",IF($N4177=0,"No Start (attainment only)",IF(OR($N4177=1,$O4177=1),"U – needs rule",INDEX(MxBody,MATCH($I4177,MxCurr,0),MATCH($H4177,MxStart,0)))))))</f>
        <v/>
      </c>
      <c r="L4177" s="62" t="str">
        <f aca="false">IF(COUNTA($A4177,$F4177,$G4177,$H4177,$I4177,$J4177)=0,"",IF($M4177=0,"✖ كود الصف غير موجود",IF(ISNA(MATCH($F4177,Lists!$A$2:$A$5,0)),"✖ الفترة غير صحيحة",IF(ISNA(MATCH($G4177,Lists!$B$2:$B$7,0)),"✖ المجموعة غير صحيحة",IF(NOT(OR($H4177="",$N4177&gt;0)),"✖ Start غير صحيح",IF(NOT(OR($I4177="",$I4177="NR",$O4177&gt;0)),"✖ Current غير صحيح",IF(NOT(IF(ISNUMBER($J4177),AND($J4177&gt;=0,$J4177=INT($J4177)),FALSE())),"✖ العدد يجب أن يكون صحيحًا ≥ 0",IF(AND($F4177="Baseline",$H4177&lt;&gt;""),"⚠ Baseline: Start لا يدخل في التقدم",IF($K4177="No Start (attainment only)","ℹ تحصيل فقط (بدون Start)",IF($K4177="U – needs rule","ℹ حالة U تحتاج قاعدة معتمدة",IF($K4177="No result","ℹ بدون نتيجة (يُستبعد من التحصيل)","OK")))))))))))</f>
        <v/>
      </c>
      <c r="M4177" s="64" t="n">
        <f aca="false">IF($A4177="",0,IFERROR(MATCH($A4177,Classes!$A$6:$A$420,0),0))</f>
        <v>0</v>
      </c>
      <c r="N4177" s="64" t="n">
        <f aca="false">IF($H4177="",0,IFERROR(MATCH($H4177,GradeList,0),0))</f>
        <v>0</v>
      </c>
      <c r="O4177" s="64" t="n">
        <f aca="false">IF(OR($I4177="",$I4177="NR"),0,IFERROR(MATCH($I4177,GradeList,0),0))</f>
        <v>0</v>
      </c>
      <c r="P4177" s="64" t="n">
        <f aca="false">IF(AND($M4177&gt;0,ISNUMBER(MATCH($F4177,Lists!$A$2:$A$5,0)),ISNUMBER(MATCH($G4177,Lists!$B$2:$B$7,0)),OR($H4177="",$N4177&gt;0),OR($I4177="",$I4177="NR",$O4177&gt;0),IF(ISNUMBER($J4177),AND($J4177&gt;=0,$J4177=INT($J4177)),FALSE())),$J4177,0)</f>
        <v>0</v>
      </c>
      <c r="Q4177" s="64" t="n">
        <f aca="false">IF(AND($P4177&gt;0,$O4177&gt;0),$P4177,0)</f>
        <v>0</v>
      </c>
      <c r="R4177" s="64" t="n">
        <f aca="false">IF(AND($Q4177&gt;0,$O4177&gt;=AtRank),$Q4177,0)</f>
        <v>0</v>
      </c>
      <c r="S4177" s="64" t="n">
        <f aca="false">IF(AND($Q4177&gt;0,$O4177&gt;=AboveRank),$Q4177,0)</f>
        <v>0</v>
      </c>
      <c r="T4177" s="64" t="n">
        <f aca="false">IF($K4177="Less",$P4177,0)</f>
        <v>0</v>
      </c>
      <c r="U4177" s="64" t="n">
        <f aca="false">IF($K4177="Expected",$P4177,0)</f>
        <v>0</v>
      </c>
      <c r="V4177" s="64" t="n">
        <f aca="false">IF($K4177="Better",$P4177,0)</f>
        <v>0</v>
      </c>
      <c r="W4177" s="64" t="n">
        <f aca="false">IF($K4177="U – needs rule",$P4177,0)</f>
        <v>0</v>
      </c>
      <c r="X4177" s="64" t="n">
        <f aca="false">IF($K4177="No Start (attainment only)",$P4177,0)</f>
        <v>0</v>
      </c>
    </row>
    <row r="4178" customFormat="false" ht="15" hidden="false" customHeight="false" outlineLevel="0" collapsed="false">
      <c r="A4178" s="60"/>
      <c r="B4178" s="61" t="str">
        <f aca="false">IF($M4178=0,"",INDEX(Classes!$E$6:$E$420,$M4178))</f>
        <v/>
      </c>
      <c r="C4178" s="62" t="str">
        <f aca="false">IF($M4178=0,"",INDEX(Classes!$H$6:$H$420,$M4178))</f>
        <v/>
      </c>
      <c r="D4178" s="61" t="str">
        <f aca="false">IF($M4178=0,"",INDEX(Classes!$B$6:$B$420,$M4178))</f>
        <v/>
      </c>
      <c r="E4178" s="61" t="str">
        <f aca="false">IF($M4178=0,"",INDEX(Classes!$C$6:$C$420,$M4178))</f>
        <v/>
      </c>
      <c r="F4178" s="63"/>
      <c r="G4178" s="63"/>
      <c r="H4178" s="60"/>
      <c r="I4178" s="60"/>
      <c r="J4178" s="63"/>
      <c r="K4178" s="61" t="str">
        <f aca="false">IF($P4178=0,"",IF($F4178="Baseline","— Baseline",IF($O4178=0,"No result",IF($N4178=0,"No Start (attainment only)",IF(OR($N4178=1,$O4178=1),"U – needs rule",INDEX(MxBody,MATCH($I4178,MxCurr,0),MATCH($H4178,MxStart,0)))))))</f>
        <v/>
      </c>
      <c r="L4178" s="62" t="str">
        <f aca="false">IF(COUNTA($A4178,$F4178,$G4178,$H4178,$I4178,$J4178)=0,"",IF($M4178=0,"✖ كود الصف غير موجود",IF(ISNA(MATCH($F4178,Lists!$A$2:$A$5,0)),"✖ الفترة غير صحيحة",IF(ISNA(MATCH($G4178,Lists!$B$2:$B$7,0)),"✖ المجموعة غير صحيحة",IF(NOT(OR($H4178="",$N4178&gt;0)),"✖ Start غير صحيح",IF(NOT(OR($I4178="",$I4178="NR",$O4178&gt;0)),"✖ Current غير صحيح",IF(NOT(IF(ISNUMBER($J4178),AND($J4178&gt;=0,$J4178=INT($J4178)),FALSE())),"✖ العدد يجب أن يكون صحيحًا ≥ 0",IF(AND($F4178="Baseline",$H4178&lt;&gt;""),"⚠ Baseline: Start لا يدخل في التقدم",IF($K4178="No Start (attainment only)","ℹ تحصيل فقط (بدون Start)",IF($K4178="U – needs rule","ℹ حالة U تحتاج قاعدة معتمدة",IF($K4178="No result","ℹ بدون نتيجة (يُستبعد من التحصيل)","OK")))))))))))</f>
        <v/>
      </c>
      <c r="M4178" s="64" t="n">
        <f aca="false">IF($A4178="",0,IFERROR(MATCH($A4178,Classes!$A$6:$A$420,0),0))</f>
        <v>0</v>
      </c>
      <c r="N4178" s="64" t="n">
        <f aca="false">IF($H4178="",0,IFERROR(MATCH($H4178,GradeList,0),0))</f>
        <v>0</v>
      </c>
      <c r="O4178" s="64" t="n">
        <f aca="false">IF(OR($I4178="",$I4178="NR"),0,IFERROR(MATCH($I4178,GradeList,0),0))</f>
        <v>0</v>
      </c>
      <c r="P4178" s="64" t="n">
        <f aca="false">IF(AND($M4178&gt;0,ISNUMBER(MATCH($F4178,Lists!$A$2:$A$5,0)),ISNUMBER(MATCH($G4178,Lists!$B$2:$B$7,0)),OR($H4178="",$N4178&gt;0),OR($I4178="",$I4178="NR",$O4178&gt;0),IF(ISNUMBER($J4178),AND($J4178&gt;=0,$J4178=INT($J4178)),FALSE())),$J4178,0)</f>
        <v>0</v>
      </c>
      <c r="Q4178" s="64" t="n">
        <f aca="false">IF(AND($P4178&gt;0,$O4178&gt;0),$P4178,0)</f>
        <v>0</v>
      </c>
      <c r="R4178" s="64" t="n">
        <f aca="false">IF(AND($Q4178&gt;0,$O4178&gt;=AtRank),$Q4178,0)</f>
        <v>0</v>
      </c>
      <c r="S4178" s="64" t="n">
        <f aca="false">IF(AND($Q4178&gt;0,$O4178&gt;=AboveRank),$Q4178,0)</f>
        <v>0</v>
      </c>
      <c r="T4178" s="64" t="n">
        <f aca="false">IF($K4178="Less",$P4178,0)</f>
        <v>0</v>
      </c>
      <c r="U4178" s="64" t="n">
        <f aca="false">IF($K4178="Expected",$P4178,0)</f>
        <v>0</v>
      </c>
      <c r="V4178" s="64" t="n">
        <f aca="false">IF($K4178="Better",$P4178,0)</f>
        <v>0</v>
      </c>
      <c r="W4178" s="64" t="n">
        <f aca="false">IF($K4178="U – needs rule",$P4178,0)</f>
        <v>0</v>
      </c>
      <c r="X4178" s="64" t="n">
        <f aca="false">IF($K4178="No Start (attainment only)",$P4178,0)</f>
        <v>0</v>
      </c>
    </row>
    <row r="4179" customFormat="false" ht="15" hidden="false" customHeight="false" outlineLevel="0" collapsed="false">
      <c r="A4179" s="60"/>
      <c r="B4179" s="61" t="str">
        <f aca="false">IF($M4179=0,"",INDEX(Classes!$E$6:$E$420,$M4179))</f>
        <v/>
      </c>
      <c r="C4179" s="62" t="str">
        <f aca="false">IF($M4179=0,"",INDEX(Classes!$H$6:$H$420,$M4179))</f>
        <v/>
      </c>
      <c r="D4179" s="61" t="str">
        <f aca="false">IF($M4179=0,"",INDEX(Classes!$B$6:$B$420,$M4179))</f>
        <v/>
      </c>
      <c r="E4179" s="61" t="str">
        <f aca="false">IF($M4179=0,"",INDEX(Classes!$C$6:$C$420,$M4179))</f>
        <v/>
      </c>
      <c r="F4179" s="63"/>
      <c r="G4179" s="63"/>
      <c r="H4179" s="60"/>
      <c r="I4179" s="60"/>
      <c r="J4179" s="63"/>
      <c r="K4179" s="61" t="str">
        <f aca="false">IF($P4179=0,"",IF($F4179="Baseline","— Baseline",IF($O4179=0,"No result",IF($N4179=0,"No Start (attainment only)",IF(OR($N4179=1,$O4179=1),"U – needs rule",INDEX(MxBody,MATCH($I4179,MxCurr,0),MATCH($H4179,MxStart,0)))))))</f>
        <v/>
      </c>
      <c r="L4179" s="62" t="str">
        <f aca="false">IF(COUNTA($A4179,$F4179,$G4179,$H4179,$I4179,$J4179)=0,"",IF($M4179=0,"✖ كود الصف غير موجود",IF(ISNA(MATCH($F4179,Lists!$A$2:$A$5,0)),"✖ الفترة غير صحيحة",IF(ISNA(MATCH($G4179,Lists!$B$2:$B$7,0)),"✖ المجموعة غير صحيحة",IF(NOT(OR($H4179="",$N4179&gt;0)),"✖ Start غير صحيح",IF(NOT(OR($I4179="",$I4179="NR",$O4179&gt;0)),"✖ Current غير صحيح",IF(NOT(IF(ISNUMBER($J4179),AND($J4179&gt;=0,$J4179=INT($J4179)),FALSE())),"✖ العدد يجب أن يكون صحيحًا ≥ 0",IF(AND($F4179="Baseline",$H4179&lt;&gt;""),"⚠ Baseline: Start لا يدخل في التقدم",IF($K4179="No Start (attainment only)","ℹ تحصيل فقط (بدون Start)",IF($K4179="U – needs rule","ℹ حالة U تحتاج قاعدة معتمدة",IF($K4179="No result","ℹ بدون نتيجة (يُستبعد من التحصيل)","OK")))))))))))</f>
        <v/>
      </c>
      <c r="M4179" s="64" t="n">
        <f aca="false">IF($A4179="",0,IFERROR(MATCH($A4179,Classes!$A$6:$A$420,0),0))</f>
        <v>0</v>
      </c>
      <c r="N4179" s="64" t="n">
        <f aca="false">IF($H4179="",0,IFERROR(MATCH($H4179,GradeList,0),0))</f>
        <v>0</v>
      </c>
      <c r="O4179" s="64" t="n">
        <f aca="false">IF(OR($I4179="",$I4179="NR"),0,IFERROR(MATCH($I4179,GradeList,0),0))</f>
        <v>0</v>
      </c>
      <c r="P4179" s="64" t="n">
        <f aca="false">IF(AND($M4179&gt;0,ISNUMBER(MATCH($F4179,Lists!$A$2:$A$5,0)),ISNUMBER(MATCH($G4179,Lists!$B$2:$B$7,0)),OR($H4179="",$N4179&gt;0),OR($I4179="",$I4179="NR",$O4179&gt;0),IF(ISNUMBER($J4179),AND($J4179&gt;=0,$J4179=INT($J4179)),FALSE())),$J4179,0)</f>
        <v>0</v>
      </c>
      <c r="Q4179" s="64" t="n">
        <f aca="false">IF(AND($P4179&gt;0,$O4179&gt;0),$P4179,0)</f>
        <v>0</v>
      </c>
      <c r="R4179" s="64" t="n">
        <f aca="false">IF(AND($Q4179&gt;0,$O4179&gt;=AtRank),$Q4179,0)</f>
        <v>0</v>
      </c>
      <c r="S4179" s="64" t="n">
        <f aca="false">IF(AND($Q4179&gt;0,$O4179&gt;=AboveRank),$Q4179,0)</f>
        <v>0</v>
      </c>
      <c r="T4179" s="64" t="n">
        <f aca="false">IF($K4179="Less",$P4179,0)</f>
        <v>0</v>
      </c>
      <c r="U4179" s="64" t="n">
        <f aca="false">IF($K4179="Expected",$P4179,0)</f>
        <v>0</v>
      </c>
      <c r="V4179" s="64" t="n">
        <f aca="false">IF($K4179="Better",$P4179,0)</f>
        <v>0</v>
      </c>
      <c r="W4179" s="64" t="n">
        <f aca="false">IF($K4179="U – needs rule",$P4179,0)</f>
        <v>0</v>
      </c>
      <c r="X4179" s="64" t="n">
        <f aca="false">IF($K4179="No Start (attainment only)",$P4179,0)</f>
        <v>0</v>
      </c>
    </row>
    <row r="4180" customFormat="false" ht="15" hidden="false" customHeight="false" outlineLevel="0" collapsed="false">
      <c r="A4180" s="60"/>
      <c r="B4180" s="61" t="str">
        <f aca="false">IF($M4180=0,"",INDEX(Classes!$E$6:$E$420,$M4180))</f>
        <v/>
      </c>
      <c r="C4180" s="62" t="str">
        <f aca="false">IF($M4180=0,"",INDEX(Classes!$H$6:$H$420,$M4180))</f>
        <v/>
      </c>
      <c r="D4180" s="61" t="str">
        <f aca="false">IF($M4180=0,"",INDEX(Classes!$B$6:$B$420,$M4180))</f>
        <v/>
      </c>
      <c r="E4180" s="61" t="str">
        <f aca="false">IF($M4180=0,"",INDEX(Classes!$C$6:$C$420,$M4180))</f>
        <v/>
      </c>
      <c r="F4180" s="63"/>
      <c r="G4180" s="63"/>
      <c r="H4180" s="60"/>
      <c r="I4180" s="60"/>
      <c r="J4180" s="63"/>
      <c r="K4180" s="61" t="str">
        <f aca="false">IF($P4180=0,"",IF($F4180="Baseline","— Baseline",IF($O4180=0,"No result",IF($N4180=0,"No Start (attainment only)",IF(OR($N4180=1,$O4180=1),"U – needs rule",INDEX(MxBody,MATCH($I4180,MxCurr,0),MATCH($H4180,MxStart,0)))))))</f>
        <v/>
      </c>
      <c r="L4180" s="62" t="str">
        <f aca="false">IF(COUNTA($A4180,$F4180,$G4180,$H4180,$I4180,$J4180)=0,"",IF($M4180=0,"✖ كود الصف غير موجود",IF(ISNA(MATCH($F4180,Lists!$A$2:$A$5,0)),"✖ الفترة غير صحيحة",IF(ISNA(MATCH($G4180,Lists!$B$2:$B$7,0)),"✖ المجموعة غير صحيحة",IF(NOT(OR($H4180="",$N4180&gt;0)),"✖ Start غير صحيح",IF(NOT(OR($I4180="",$I4180="NR",$O4180&gt;0)),"✖ Current غير صحيح",IF(NOT(IF(ISNUMBER($J4180),AND($J4180&gt;=0,$J4180=INT($J4180)),FALSE())),"✖ العدد يجب أن يكون صحيحًا ≥ 0",IF(AND($F4180="Baseline",$H4180&lt;&gt;""),"⚠ Baseline: Start لا يدخل في التقدم",IF($K4180="No Start (attainment only)","ℹ تحصيل فقط (بدون Start)",IF($K4180="U – needs rule","ℹ حالة U تحتاج قاعدة معتمدة",IF($K4180="No result","ℹ بدون نتيجة (يُستبعد من التحصيل)","OK")))))))))))</f>
        <v/>
      </c>
      <c r="M4180" s="64" t="n">
        <f aca="false">IF($A4180="",0,IFERROR(MATCH($A4180,Classes!$A$6:$A$420,0),0))</f>
        <v>0</v>
      </c>
      <c r="N4180" s="64" t="n">
        <f aca="false">IF($H4180="",0,IFERROR(MATCH($H4180,GradeList,0),0))</f>
        <v>0</v>
      </c>
      <c r="O4180" s="64" t="n">
        <f aca="false">IF(OR($I4180="",$I4180="NR"),0,IFERROR(MATCH($I4180,GradeList,0),0))</f>
        <v>0</v>
      </c>
      <c r="P4180" s="64" t="n">
        <f aca="false">IF(AND($M4180&gt;0,ISNUMBER(MATCH($F4180,Lists!$A$2:$A$5,0)),ISNUMBER(MATCH($G4180,Lists!$B$2:$B$7,0)),OR($H4180="",$N4180&gt;0),OR($I4180="",$I4180="NR",$O4180&gt;0),IF(ISNUMBER($J4180),AND($J4180&gt;=0,$J4180=INT($J4180)),FALSE())),$J4180,0)</f>
        <v>0</v>
      </c>
      <c r="Q4180" s="64" t="n">
        <f aca="false">IF(AND($P4180&gt;0,$O4180&gt;0),$P4180,0)</f>
        <v>0</v>
      </c>
      <c r="R4180" s="64" t="n">
        <f aca="false">IF(AND($Q4180&gt;0,$O4180&gt;=AtRank),$Q4180,0)</f>
        <v>0</v>
      </c>
      <c r="S4180" s="64" t="n">
        <f aca="false">IF(AND($Q4180&gt;0,$O4180&gt;=AboveRank),$Q4180,0)</f>
        <v>0</v>
      </c>
      <c r="T4180" s="64" t="n">
        <f aca="false">IF($K4180="Less",$P4180,0)</f>
        <v>0</v>
      </c>
      <c r="U4180" s="64" t="n">
        <f aca="false">IF($K4180="Expected",$P4180,0)</f>
        <v>0</v>
      </c>
      <c r="V4180" s="64" t="n">
        <f aca="false">IF($K4180="Better",$P4180,0)</f>
        <v>0</v>
      </c>
      <c r="W4180" s="64" t="n">
        <f aca="false">IF($K4180="U – needs rule",$P4180,0)</f>
        <v>0</v>
      </c>
      <c r="X4180" s="64" t="n">
        <f aca="false">IF($K4180="No Start (attainment only)",$P4180,0)</f>
        <v>0</v>
      </c>
    </row>
    <row r="4181" customFormat="false" ht="15" hidden="false" customHeight="false" outlineLevel="0" collapsed="false">
      <c r="A4181" s="60"/>
      <c r="B4181" s="61" t="str">
        <f aca="false">IF($M4181=0,"",INDEX(Classes!$E$6:$E$420,$M4181))</f>
        <v/>
      </c>
      <c r="C4181" s="62" t="str">
        <f aca="false">IF($M4181=0,"",INDEX(Classes!$H$6:$H$420,$M4181))</f>
        <v/>
      </c>
      <c r="D4181" s="61" t="str">
        <f aca="false">IF($M4181=0,"",INDEX(Classes!$B$6:$B$420,$M4181))</f>
        <v/>
      </c>
      <c r="E4181" s="61" t="str">
        <f aca="false">IF($M4181=0,"",INDEX(Classes!$C$6:$C$420,$M4181))</f>
        <v/>
      </c>
      <c r="F4181" s="63"/>
      <c r="G4181" s="63"/>
      <c r="H4181" s="60"/>
      <c r="I4181" s="60"/>
      <c r="J4181" s="63"/>
      <c r="K4181" s="61" t="str">
        <f aca="false">IF($P4181=0,"",IF($F4181="Baseline","— Baseline",IF($O4181=0,"No result",IF($N4181=0,"No Start (attainment only)",IF(OR($N4181=1,$O4181=1),"U – needs rule",INDEX(MxBody,MATCH($I4181,MxCurr,0),MATCH($H4181,MxStart,0)))))))</f>
        <v/>
      </c>
      <c r="L4181" s="62" t="str">
        <f aca="false">IF(COUNTA($A4181,$F4181,$G4181,$H4181,$I4181,$J4181)=0,"",IF($M4181=0,"✖ كود الصف غير موجود",IF(ISNA(MATCH($F4181,Lists!$A$2:$A$5,0)),"✖ الفترة غير صحيحة",IF(ISNA(MATCH($G4181,Lists!$B$2:$B$7,0)),"✖ المجموعة غير صحيحة",IF(NOT(OR($H4181="",$N4181&gt;0)),"✖ Start غير صحيح",IF(NOT(OR($I4181="",$I4181="NR",$O4181&gt;0)),"✖ Current غير صحيح",IF(NOT(IF(ISNUMBER($J4181),AND($J4181&gt;=0,$J4181=INT($J4181)),FALSE())),"✖ العدد يجب أن يكون صحيحًا ≥ 0",IF(AND($F4181="Baseline",$H4181&lt;&gt;""),"⚠ Baseline: Start لا يدخل في التقدم",IF($K4181="No Start (attainment only)","ℹ تحصيل فقط (بدون Start)",IF($K4181="U – needs rule","ℹ حالة U تحتاج قاعدة معتمدة",IF($K4181="No result","ℹ بدون نتيجة (يُستبعد من التحصيل)","OK")))))))))))</f>
        <v/>
      </c>
      <c r="M4181" s="64" t="n">
        <f aca="false">IF($A4181="",0,IFERROR(MATCH($A4181,Classes!$A$6:$A$420,0),0))</f>
        <v>0</v>
      </c>
      <c r="N4181" s="64" t="n">
        <f aca="false">IF($H4181="",0,IFERROR(MATCH($H4181,GradeList,0),0))</f>
        <v>0</v>
      </c>
      <c r="O4181" s="64" t="n">
        <f aca="false">IF(OR($I4181="",$I4181="NR"),0,IFERROR(MATCH($I4181,GradeList,0),0))</f>
        <v>0</v>
      </c>
      <c r="P4181" s="64" t="n">
        <f aca="false">IF(AND($M4181&gt;0,ISNUMBER(MATCH($F4181,Lists!$A$2:$A$5,0)),ISNUMBER(MATCH($G4181,Lists!$B$2:$B$7,0)),OR($H4181="",$N4181&gt;0),OR($I4181="",$I4181="NR",$O4181&gt;0),IF(ISNUMBER($J4181),AND($J4181&gt;=0,$J4181=INT($J4181)),FALSE())),$J4181,0)</f>
        <v>0</v>
      </c>
      <c r="Q4181" s="64" t="n">
        <f aca="false">IF(AND($P4181&gt;0,$O4181&gt;0),$P4181,0)</f>
        <v>0</v>
      </c>
      <c r="R4181" s="64" t="n">
        <f aca="false">IF(AND($Q4181&gt;0,$O4181&gt;=AtRank),$Q4181,0)</f>
        <v>0</v>
      </c>
      <c r="S4181" s="64" t="n">
        <f aca="false">IF(AND($Q4181&gt;0,$O4181&gt;=AboveRank),$Q4181,0)</f>
        <v>0</v>
      </c>
      <c r="T4181" s="64" t="n">
        <f aca="false">IF($K4181="Less",$P4181,0)</f>
        <v>0</v>
      </c>
      <c r="U4181" s="64" t="n">
        <f aca="false">IF($K4181="Expected",$P4181,0)</f>
        <v>0</v>
      </c>
      <c r="V4181" s="64" t="n">
        <f aca="false">IF($K4181="Better",$P4181,0)</f>
        <v>0</v>
      </c>
      <c r="W4181" s="64" t="n">
        <f aca="false">IF($K4181="U – needs rule",$P4181,0)</f>
        <v>0</v>
      </c>
      <c r="X4181" s="64" t="n">
        <f aca="false">IF($K4181="No Start (attainment only)",$P4181,0)</f>
        <v>0</v>
      </c>
    </row>
    <row r="4182" customFormat="false" ht="15" hidden="false" customHeight="false" outlineLevel="0" collapsed="false">
      <c r="A4182" s="60"/>
      <c r="B4182" s="61" t="str">
        <f aca="false">IF($M4182=0,"",INDEX(Classes!$E$6:$E$420,$M4182))</f>
        <v/>
      </c>
      <c r="C4182" s="62" t="str">
        <f aca="false">IF($M4182=0,"",INDEX(Classes!$H$6:$H$420,$M4182))</f>
        <v/>
      </c>
      <c r="D4182" s="61" t="str">
        <f aca="false">IF($M4182=0,"",INDEX(Classes!$B$6:$B$420,$M4182))</f>
        <v/>
      </c>
      <c r="E4182" s="61" t="str">
        <f aca="false">IF($M4182=0,"",INDEX(Classes!$C$6:$C$420,$M4182))</f>
        <v/>
      </c>
      <c r="F4182" s="63"/>
      <c r="G4182" s="63"/>
      <c r="H4182" s="60"/>
      <c r="I4182" s="60"/>
      <c r="J4182" s="63"/>
      <c r="K4182" s="61" t="str">
        <f aca="false">IF($P4182=0,"",IF($F4182="Baseline","— Baseline",IF($O4182=0,"No result",IF($N4182=0,"No Start (attainment only)",IF(OR($N4182=1,$O4182=1),"U – needs rule",INDEX(MxBody,MATCH($I4182,MxCurr,0),MATCH($H4182,MxStart,0)))))))</f>
        <v/>
      </c>
      <c r="L4182" s="62" t="str">
        <f aca="false">IF(COUNTA($A4182,$F4182,$G4182,$H4182,$I4182,$J4182)=0,"",IF($M4182=0,"✖ كود الصف غير موجود",IF(ISNA(MATCH($F4182,Lists!$A$2:$A$5,0)),"✖ الفترة غير صحيحة",IF(ISNA(MATCH($G4182,Lists!$B$2:$B$7,0)),"✖ المجموعة غير صحيحة",IF(NOT(OR($H4182="",$N4182&gt;0)),"✖ Start غير صحيح",IF(NOT(OR($I4182="",$I4182="NR",$O4182&gt;0)),"✖ Current غير صحيح",IF(NOT(IF(ISNUMBER($J4182),AND($J4182&gt;=0,$J4182=INT($J4182)),FALSE())),"✖ العدد يجب أن يكون صحيحًا ≥ 0",IF(AND($F4182="Baseline",$H4182&lt;&gt;""),"⚠ Baseline: Start لا يدخل في التقدم",IF($K4182="No Start (attainment only)","ℹ تحصيل فقط (بدون Start)",IF($K4182="U – needs rule","ℹ حالة U تحتاج قاعدة معتمدة",IF($K4182="No result","ℹ بدون نتيجة (يُستبعد من التحصيل)","OK")))))))))))</f>
        <v/>
      </c>
      <c r="M4182" s="64" t="n">
        <f aca="false">IF($A4182="",0,IFERROR(MATCH($A4182,Classes!$A$6:$A$420,0),0))</f>
        <v>0</v>
      </c>
      <c r="N4182" s="64" t="n">
        <f aca="false">IF($H4182="",0,IFERROR(MATCH($H4182,GradeList,0),0))</f>
        <v>0</v>
      </c>
      <c r="O4182" s="64" t="n">
        <f aca="false">IF(OR($I4182="",$I4182="NR"),0,IFERROR(MATCH($I4182,GradeList,0),0))</f>
        <v>0</v>
      </c>
      <c r="P4182" s="64" t="n">
        <f aca="false">IF(AND($M4182&gt;0,ISNUMBER(MATCH($F4182,Lists!$A$2:$A$5,0)),ISNUMBER(MATCH($G4182,Lists!$B$2:$B$7,0)),OR($H4182="",$N4182&gt;0),OR($I4182="",$I4182="NR",$O4182&gt;0),IF(ISNUMBER($J4182),AND($J4182&gt;=0,$J4182=INT($J4182)),FALSE())),$J4182,0)</f>
        <v>0</v>
      </c>
      <c r="Q4182" s="64" t="n">
        <f aca="false">IF(AND($P4182&gt;0,$O4182&gt;0),$P4182,0)</f>
        <v>0</v>
      </c>
      <c r="R4182" s="64" t="n">
        <f aca="false">IF(AND($Q4182&gt;0,$O4182&gt;=AtRank),$Q4182,0)</f>
        <v>0</v>
      </c>
      <c r="S4182" s="64" t="n">
        <f aca="false">IF(AND($Q4182&gt;0,$O4182&gt;=AboveRank),$Q4182,0)</f>
        <v>0</v>
      </c>
      <c r="T4182" s="64" t="n">
        <f aca="false">IF($K4182="Less",$P4182,0)</f>
        <v>0</v>
      </c>
      <c r="U4182" s="64" t="n">
        <f aca="false">IF($K4182="Expected",$P4182,0)</f>
        <v>0</v>
      </c>
      <c r="V4182" s="64" t="n">
        <f aca="false">IF($K4182="Better",$P4182,0)</f>
        <v>0</v>
      </c>
      <c r="W4182" s="64" t="n">
        <f aca="false">IF($K4182="U – needs rule",$P4182,0)</f>
        <v>0</v>
      </c>
      <c r="X4182" s="64" t="n">
        <f aca="false">IF($K4182="No Start (attainment only)",$P4182,0)</f>
        <v>0</v>
      </c>
    </row>
    <row r="4183" customFormat="false" ht="15" hidden="false" customHeight="false" outlineLevel="0" collapsed="false">
      <c r="A4183" s="60"/>
      <c r="B4183" s="61" t="str">
        <f aca="false">IF($M4183=0,"",INDEX(Classes!$E$6:$E$420,$M4183))</f>
        <v/>
      </c>
      <c r="C4183" s="62" t="str">
        <f aca="false">IF($M4183=0,"",INDEX(Classes!$H$6:$H$420,$M4183))</f>
        <v/>
      </c>
      <c r="D4183" s="61" t="str">
        <f aca="false">IF($M4183=0,"",INDEX(Classes!$B$6:$B$420,$M4183))</f>
        <v/>
      </c>
      <c r="E4183" s="61" t="str">
        <f aca="false">IF($M4183=0,"",INDEX(Classes!$C$6:$C$420,$M4183))</f>
        <v/>
      </c>
      <c r="F4183" s="63"/>
      <c r="G4183" s="63"/>
      <c r="H4183" s="60"/>
      <c r="I4183" s="60"/>
      <c r="J4183" s="63"/>
      <c r="K4183" s="61" t="str">
        <f aca="false">IF($P4183=0,"",IF($F4183="Baseline","— Baseline",IF($O4183=0,"No result",IF($N4183=0,"No Start (attainment only)",IF(OR($N4183=1,$O4183=1),"U – needs rule",INDEX(MxBody,MATCH($I4183,MxCurr,0),MATCH($H4183,MxStart,0)))))))</f>
        <v/>
      </c>
      <c r="L4183" s="62" t="str">
        <f aca="false">IF(COUNTA($A4183,$F4183,$G4183,$H4183,$I4183,$J4183)=0,"",IF($M4183=0,"✖ كود الصف غير موجود",IF(ISNA(MATCH($F4183,Lists!$A$2:$A$5,0)),"✖ الفترة غير صحيحة",IF(ISNA(MATCH($G4183,Lists!$B$2:$B$7,0)),"✖ المجموعة غير صحيحة",IF(NOT(OR($H4183="",$N4183&gt;0)),"✖ Start غير صحيح",IF(NOT(OR($I4183="",$I4183="NR",$O4183&gt;0)),"✖ Current غير صحيح",IF(NOT(IF(ISNUMBER($J4183),AND($J4183&gt;=0,$J4183=INT($J4183)),FALSE())),"✖ العدد يجب أن يكون صحيحًا ≥ 0",IF(AND($F4183="Baseline",$H4183&lt;&gt;""),"⚠ Baseline: Start لا يدخل في التقدم",IF($K4183="No Start (attainment only)","ℹ تحصيل فقط (بدون Start)",IF($K4183="U – needs rule","ℹ حالة U تحتاج قاعدة معتمدة",IF($K4183="No result","ℹ بدون نتيجة (يُستبعد من التحصيل)","OK")))))))))))</f>
        <v/>
      </c>
      <c r="M4183" s="64" t="n">
        <f aca="false">IF($A4183="",0,IFERROR(MATCH($A4183,Classes!$A$6:$A$420,0),0))</f>
        <v>0</v>
      </c>
      <c r="N4183" s="64" t="n">
        <f aca="false">IF($H4183="",0,IFERROR(MATCH($H4183,GradeList,0),0))</f>
        <v>0</v>
      </c>
      <c r="O4183" s="64" t="n">
        <f aca="false">IF(OR($I4183="",$I4183="NR"),0,IFERROR(MATCH($I4183,GradeList,0),0))</f>
        <v>0</v>
      </c>
      <c r="P4183" s="64" t="n">
        <f aca="false">IF(AND($M4183&gt;0,ISNUMBER(MATCH($F4183,Lists!$A$2:$A$5,0)),ISNUMBER(MATCH($G4183,Lists!$B$2:$B$7,0)),OR($H4183="",$N4183&gt;0),OR($I4183="",$I4183="NR",$O4183&gt;0),IF(ISNUMBER($J4183),AND($J4183&gt;=0,$J4183=INT($J4183)),FALSE())),$J4183,0)</f>
        <v>0</v>
      </c>
      <c r="Q4183" s="64" t="n">
        <f aca="false">IF(AND($P4183&gt;0,$O4183&gt;0),$P4183,0)</f>
        <v>0</v>
      </c>
      <c r="R4183" s="64" t="n">
        <f aca="false">IF(AND($Q4183&gt;0,$O4183&gt;=AtRank),$Q4183,0)</f>
        <v>0</v>
      </c>
      <c r="S4183" s="64" t="n">
        <f aca="false">IF(AND($Q4183&gt;0,$O4183&gt;=AboveRank),$Q4183,0)</f>
        <v>0</v>
      </c>
      <c r="T4183" s="64" t="n">
        <f aca="false">IF($K4183="Less",$P4183,0)</f>
        <v>0</v>
      </c>
      <c r="U4183" s="64" t="n">
        <f aca="false">IF($K4183="Expected",$P4183,0)</f>
        <v>0</v>
      </c>
      <c r="V4183" s="64" t="n">
        <f aca="false">IF($K4183="Better",$P4183,0)</f>
        <v>0</v>
      </c>
      <c r="W4183" s="64" t="n">
        <f aca="false">IF($K4183="U – needs rule",$P4183,0)</f>
        <v>0</v>
      </c>
      <c r="X4183" s="64" t="n">
        <f aca="false">IF($K4183="No Start (attainment only)",$P4183,0)</f>
        <v>0</v>
      </c>
    </row>
    <row r="4184" customFormat="false" ht="15" hidden="false" customHeight="false" outlineLevel="0" collapsed="false">
      <c r="A4184" s="60"/>
      <c r="B4184" s="61" t="str">
        <f aca="false">IF($M4184=0,"",INDEX(Classes!$E$6:$E$420,$M4184))</f>
        <v/>
      </c>
      <c r="C4184" s="62" t="str">
        <f aca="false">IF($M4184=0,"",INDEX(Classes!$H$6:$H$420,$M4184))</f>
        <v/>
      </c>
      <c r="D4184" s="61" t="str">
        <f aca="false">IF($M4184=0,"",INDEX(Classes!$B$6:$B$420,$M4184))</f>
        <v/>
      </c>
      <c r="E4184" s="61" t="str">
        <f aca="false">IF($M4184=0,"",INDEX(Classes!$C$6:$C$420,$M4184))</f>
        <v/>
      </c>
      <c r="F4184" s="63"/>
      <c r="G4184" s="63"/>
      <c r="H4184" s="60"/>
      <c r="I4184" s="60"/>
      <c r="J4184" s="63"/>
      <c r="K4184" s="61" t="str">
        <f aca="false">IF($P4184=0,"",IF($F4184="Baseline","— Baseline",IF($O4184=0,"No result",IF($N4184=0,"No Start (attainment only)",IF(OR($N4184=1,$O4184=1),"U – needs rule",INDEX(MxBody,MATCH($I4184,MxCurr,0),MATCH($H4184,MxStart,0)))))))</f>
        <v/>
      </c>
      <c r="L4184" s="62" t="str">
        <f aca="false">IF(COUNTA($A4184,$F4184,$G4184,$H4184,$I4184,$J4184)=0,"",IF($M4184=0,"✖ كود الصف غير موجود",IF(ISNA(MATCH($F4184,Lists!$A$2:$A$5,0)),"✖ الفترة غير صحيحة",IF(ISNA(MATCH($G4184,Lists!$B$2:$B$7,0)),"✖ المجموعة غير صحيحة",IF(NOT(OR($H4184="",$N4184&gt;0)),"✖ Start غير صحيح",IF(NOT(OR($I4184="",$I4184="NR",$O4184&gt;0)),"✖ Current غير صحيح",IF(NOT(IF(ISNUMBER($J4184),AND($J4184&gt;=0,$J4184=INT($J4184)),FALSE())),"✖ العدد يجب أن يكون صحيحًا ≥ 0",IF(AND($F4184="Baseline",$H4184&lt;&gt;""),"⚠ Baseline: Start لا يدخل في التقدم",IF($K4184="No Start (attainment only)","ℹ تحصيل فقط (بدون Start)",IF($K4184="U – needs rule","ℹ حالة U تحتاج قاعدة معتمدة",IF($K4184="No result","ℹ بدون نتيجة (يُستبعد من التحصيل)","OK")))))))))))</f>
        <v/>
      </c>
      <c r="M4184" s="64" t="n">
        <f aca="false">IF($A4184="",0,IFERROR(MATCH($A4184,Classes!$A$6:$A$420,0),0))</f>
        <v>0</v>
      </c>
      <c r="N4184" s="64" t="n">
        <f aca="false">IF($H4184="",0,IFERROR(MATCH($H4184,GradeList,0),0))</f>
        <v>0</v>
      </c>
      <c r="O4184" s="64" t="n">
        <f aca="false">IF(OR($I4184="",$I4184="NR"),0,IFERROR(MATCH($I4184,GradeList,0),0))</f>
        <v>0</v>
      </c>
      <c r="P4184" s="64" t="n">
        <f aca="false">IF(AND($M4184&gt;0,ISNUMBER(MATCH($F4184,Lists!$A$2:$A$5,0)),ISNUMBER(MATCH($G4184,Lists!$B$2:$B$7,0)),OR($H4184="",$N4184&gt;0),OR($I4184="",$I4184="NR",$O4184&gt;0),IF(ISNUMBER($J4184),AND($J4184&gt;=0,$J4184=INT($J4184)),FALSE())),$J4184,0)</f>
        <v>0</v>
      </c>
      <c r="Q4184" s="64" t="n">
        <f aca="false">IF(AND($P4184&gt;0,$O4184&gt;0),$P4184,0)</f>
        <v>0</v>
      </c>
      <c r="R4184" s="64" t="n">
        <f aca="false">IF(AND($Q4184&gt;0,$O4184&gt;=AtRank),$Q4184,0)</f>
        <v>0</v>
      </c>
      <c r="S4184" s="64" t="n">
        <f aca="false">IF(AND($Q4184&gt;0,$O4184&gt;=AboveRank),$Q4184,0)</f>
        <v>0</v>
      </c>
      <c r="T4184" s="64" t="n">
        <f aca="false">IF($K4184="Less",$P4184,0)</f>
        <v>0</v>
      </c>
      <c r="U4184" s="64" t="n">
        <f aca="false">IF($K4184="Expected",$P4184,0)</f>
        <v>0</v>
      </c>
      <c r="V4184" s="64" t="n">
        <f aca="false">IF($K4184="Better",$P4184,0)</f>
        <v>0</v>
      </c>
      <c r="W4184" s="64" t="n">
        <f aca="false">IF($K4184="U – needs rule",$P4184,0)</f>
        <v>0</v>
      </c>
      <c r="X4184" s="64" t="n">
        <f aca="false">IF($K4184="No Start (attainment only)",$P4184,0)</f>
        <v>0</v>
      </c>
    </row>
    <row r="4185" customFormat="false" ht="15" hidden="false" customHeight="false" outlineLevel="0" collapsed="false">
      <c r="A4185" s="60"/>
      <c r="B4185" s="61" t="str">
        <f aca="false">IF($M4185=0,"",INDEX(Classes!$E$6:$E$420,$M4185))</f>
        <v/>
      </c>
      <c r="C4185" s="62" t="str">
        <f aca="false">IF($M4185=0,"",INDEX(Classes!$H$6:$H$420,$M4185))</f>
        <v/>
      </c>
      <c r="D4185" s="61" t="str">
        <f aca="false">IF($M4185=0,"",INDEX(Classes!$B$6:$B$420,$M4185))</f>
        <v/>
      </c>
      <c r="E4185" s="61" t="str">
        <f aca="false">IF($M4185=0,"",INDEX(Classes!$C$6:$C$420,$M4185))</f>
        <v/>
      </c>
      <c r="F4185" s="63"/>
      <c r="G4185" s="63"/>
      <c r="H4185" s="60"/>
      <c r="I4185" s="60"/>
      <c r="J4185" s="63"/>
      <c r="K4185" s="61" t="str">
        <f aca="false">IF($P4185=0,"",IF($F4185="Baseline","— Baseline",IF($O4185=0,"No result",IF($N4185=0,"No Start (attainment only)",IF(OR($N4185=1,$O4185=1),"U – needs rule",INDEX(MxBody,MATCH($I4185,MxCurr,0),MATCH($H4185,MxStart,0)))))))</f>
        <v/>
      </c>
      <c r="L4185" s="62" t="str">
        <f aca="false">IF(COUNTA($A4185,$F4185,$G4185,$H4185,$I4185,$J4185)=0,"",IF($M4185=0,"✖ كود الصف غير موجود",IF(ISNA(MATCH($F4185,Lists!$A$2:$A$5,0)),"✖ الفترة غير صحيحة",IF(ISNA(MATCH($G4185,Lists!$B$2:$B$7,0)),"✖ المجموعة غير صحيحة",IF(NOT(OR($H4185="",$N4185&gt;0)),"✖ Start غير صحيح",IF(NOT(OR($I4185="",$I4185="NR",$O4185&gt;0)),"✖ Current غير صحيح",IF(NOT(IF(ISNUMBER($J4185),AND($J4185&gt;=0,$J4185=INT($J4185)),FALSE())),"✖ العدد يجب أن يكون صحيحًا ≥ 0",IF(AND($F4185="Baseline",$H4185&lt;&gt;""),"⚠ Baseline: Start لا يدخل في التقدم",IF($K4185="No Start (attainment only)","ℹ تحصيل فقط (بدون Start)",IF($K4185="U – needs rule","ℹ حالة U تحتاج قاعدة معتمدة",IF($K4185="No result","ℹ بدون نتيجة (يُستبعد من التحصيل)","OK")))))))))))</f>
        <v/>
      </c>
      <c r="M4185" s="64" t="n">
        <f aca="false">IF($A4185="",0,IFERROR(MATCH($A4185,Classes!$A$6:$A$420,0),0))</f>
        <v>0</v>
      </c>
      <c r="N4185" s="64" t="n">
        <f aca="false">IF($H4185="",0,IFERROR(MATCH($H4185,GradeList,0),0))</f>
        <v>0</v>
      </c>
      <c r="O4185" s="64" t="n">
        <f aca="false">IF(OR($I4185="",$I4185="NR"),0,IFERROR(MATCH($I4185,GradeList,0),0))</f>
        <v>0</v>
      </c>
      <c r="P4185" s="64" t="n">
        <f aca="false">IF(AND($M4185&gt;0,ISNUMBER(MATCH($F4185,Lists!$A$2:$A$5,0)),ISNUMBER(MATCH($G4185,Lists!$B$2:$B$7,0)),OR($H4185="",$N4185&gt;0),OR($I4185="",$I4185="NR",$O4185&gt;0),IF(ISNUMBER($J4185),AND($J4185&gt;=0,$J4185=INT($J4185)),FALSE())),$J4185,0)</f>
        <v>0</v>
      </c>
      <c r="Q4185" s="64" t="n">
        <f aca="false">IF(AND($P4185&gt;0,$O4185&gt;0),$P4185,0)</f>
        <v>0</v>
      </c>
      <c r="R4185" s="64" t="n">
        <f aca="false">IF(AND($Q4185&gt;0,$O4185&gt;=AtRank),$Q4185,0)</f>
        <v>0</v>
      </c>
      <c r="S4185" s="64" t="n">
        <f aca="false">IF(AND($Q4185&gt;0,$O4185&gt;=AboveRank),$Q4185,0)</f>
        <v>0</v>
      </c>
      <c r="T4185" s="64" t="n">
        <f aca="false">IF($K4185="Less",$P4185,0)</f>
        <v>0</v>
      </c>
      <c r="U4185" s="64" t="n">
        <f aca="false">IF($K4185="Expected",$P4185,0)</f>
        <v>0</v>
      </c>
      <c r="V4185" s="64" t="n">
        <f aca="false">IF($K4185="Better",$P4185,0)</f>
        <v>0</v>
      </c>
      <c r="W4185" s="64" t="n">
        <f aca="false">IF($K4185="U – needs rule",$P4185,0)</f>
        <v>0</v>
      </c>
      <c r="X4185" s="64" t="n">
        <f aca="false">IF($K4185="No Start (attainment only)",$P4185,0)</f>
        <v>0</v>
      </c>
    </row>
    <row r="4186" customFormat="false" ht="15" hidden="false" customHeight="false" outlineLevel="0" collapsed="false">
      <c r="A4186" s="60"/>
      <c r="B4186" s="61" t="str">
        <f aca="false">IF($M4186=0,"",INDEX(Classes!$E$6:$E$420,$M4186))</f>
        <v/>
      </c>
      <c r="C4186" s="62" t="str">
        <f aca="false">IF($M4186=0,"",INDEX(Classes!$H$6:$H$420,$M4186))</f>
        <v/>
      </c>
      <c r="D4186" s="61" t="str">
        <f aca="false">IF($M4186=0,"",INDEX(Classes!$B$6:$B$420,$M4186))</f>
        <v/>
      </c>
      <c r="E4186" s="61" t="str">
        <f aca="false">IF($M4186=0,"",INDEX(Classes!$C$6:$C$420,$M4186))</f>
        <v/>
      </c>
      <c r="F4186" s="63"/>
      <c r="G4186" s="63"/>
      <c r="H4186" s="60"/>
      <c r="I4186" s="60"/>
      <c r="J4186" s="63"/>
      <c r="K4186" s="61" t="str">
        <f aca="false">IF($P4186=0,"",IF($F4186="Baseline","— Baseline",IF($O4186=0,"No result",IF($N4186=0,"No Start (attainment only)",IF(OR($N4186=1,$O4186=1),"U – needs rule",INDEX(MxBody,MATCH($I4186,MxCurr,0),MATCH($H4186,MxStart,0)))))))</f>
        <v/>
      </c>
      <c r="L4186" s="62" t="str">
        <f aca="false">IF(COUNTA($A4186,$F4186,$G4186,$H4186,$I4186,$J4186)=0,"",IF($M4186=0,"✖ كود الصف غير موجود",IF(ISNA(MATCH($F4186,Lists!$A$2:$A$5,0)),"✖ الفترة غير صحيحة",IF(ISNA(MATCH($G4186,Lists!$B$2:$B$7,0)),"✖ المجموعة غير صحيحة",IF(NOT(OR($H4186="",$N4186&gt;0)),"✖ Start غير صحيح",IF(NOT(OR($I4186="",$I4186="NR",$O4186&gt;0)),"✖ Current غير صحيح",IF(NOT(IF(ISNUMBER($J4186),AND($J4186&gt;=0,$J4186=INT($J4186)),FALSE())),"✖ العدد يجب أن يكون صحيحًا ≥ 0",IF(AND($F4186="Baseline",$H4186&lt;&gt;""),"⚠ Baseline: Start لا يدخل في التقدم",IF($K4186="No Start (attainment only)","ℹ تحصيل فقط (بدون Start)",IF($K4186="U – needs rule","ℹ حالة U تحتاج قاعدة معتمدة",IF($K4186="No result","ℹ بدون نتيجة (يُستبعد من التحصيل)","OK")))))))))))</f>
        <v/>
      </c>
      <c r="M4186" s="64" t="n">
        <f aca="false">IF($A4186="",0,IFERROR(MATCH($A4186,Classes!$A$6:$A$420,0),0))</f>
        <v>0</v>
      </c>
      <c r="N4186" s="64" t="n">
        <f aca="false">IF($H4186="",0,IFERROR(MATCH($H4186,GradeList,0),0))</f>
        <v>0</v>
      </c>
      <c r="O4186" s="64" t="n">
        <f aca="false">IF(OR($I4186="",$I4186="NR"),0,IFERROR(MATCH($I4186,GradeList,0),0))</f>
        <v>0</v>
      </c>
      <c r="P4186" s="64" t="n">
        <f aca="false">IF(AND($M4186&gt;0,ISNUMBER(MATCH($F4186,Lists!$A$2:$A$5,0)),ISNUMBER(MATCH($G4186,Lists!$B$2:$B$7,0)),OR($H4186="",$N4186&gt;0),OR($I4186="",$I4186="NR",$O4186&gt;0),IF(ISNUMBER($J4186),AND($J4186&gt;=0,$J4186=INT($J4186)),FALSE())),$J4186,0)</f>
        <v>0</v>
      </c>
      <c r="Q4186" s="64" t="n">
        <f aca="false">IF(AND($P4186&gt;0,$O4186&gt;0),$P4186,0)</f>
        <v>0</v>
      </c>
      <c r="R4186" s="64" t="n">
        <f aca="false">IF(AND($Q4186&gt;0,$O4186&gt;=AtRank),$Q4186,0)</f>
        <v>0</v>
      </c>
      <c r="S4186" s="64" t="n">
        <f aca="false">IF(AND($Q4186&gt;0,$O4186&gt;=AboveRank),$Q4186,0)</f>
        <v>0</v>
      </c>
      <c r="T4186" s="64" t="n">
        <f aca="false">IF($K4186="Less",$P4186,0)</f>
        <v>0</v>
      </c>
      <c r="U4186" s="64" t="n">
        <f aca="false">IF($K4186="Expected",$P4186,0)</f>
        <v>0</v>
      </c>
      <c r="V4186" s="64" t="n">
        <f aca="false">IF($K4186="Better",$P4186,0)</f>
        <v>0</v>
      </c>
      <c r="W4186" s="64" t="n">
        <f aca="false">IF($K4186="U – needs rule",$P4186,0)</f>
        <v>0</v>
      </c>
      <c r="X4186" s="64" t="n">
        <f aca="false">IF($K4186="No Start (attainment only)",$P4186,0)</f>
        <v>0</v>
      </c>
    </row>
    <row r="4187" customFormat="false" ht="15" hidden="false" customHeight="false" outlineLevel="0" collapsed="false">
      <c r="A4187" s="60"/>
      <c r="B4187" s="61" t="str">
        <f aca="false">IF($M4187=0,"",INDEX(Classes!$E$6:$E$420,$M4187))</f>
        <v/>
      </c>
      <c r="C4187" s="62" t="str">
        <f aca="false">IF($M4187=0,"",INDEX(Classes!$H$6:$H$420,$M4187))</f>
        <v/>
      </c>
      <c r="D4187" s="61" t="str">
        <f aca="false">IF($M4187=0,"",INDEX(Classes!$B$6:$B$420,$M4187))</f>
        <v/>
      </c>
      <c r="E4187" s="61" t="str">
        <f aca="false">IF($M4187=0,"",INDEX(Classes!$C$6:$C$420,$M4187))</f>
        <v/>
      </c>
      <c r="F4187" s="63"/>
      <c r="G4187" s="63"/>
      <c r="H4187" s="60"/>
      <c r="I4187" s="60"/>
      <c r="J4187" s="63"/>
      <c r="K4187" s="61" t="str">
        <f aca="false">IF($P4187=0,"",IF($F4187="Baseline","— Baseline",IF($O4187=0,"No result",IF($N4187=0,"No Start (attainment only)",IF(OR($N4187=1,$O4187=1),"U – needs rule",INDEX(MxBody,MATCH($I4187,MxCurr,0),MATCH($H4187,MxStart,0)))))))</f>
        <v/>
      </c>
      <c r="L4187" s="62" t="str">
        <f aca="false">IF(COUNTA($A4187,$F4187,$G4187,$H4187,$I4187,$J4187)=0,"",IF($M4187=0,"✖ كود الصف غير موجود",IF(ISNA(MATCH($F4187,Lists!$A$2:$A$5,0)),"✖ الفترة غير صحيحة",IF(ISNA(MATCH($G4187,Lists!$B$2:$B$7,0)),"✖ المجموعة غير صحيحة",IF(NOT(OR($H4187="",$N4187&gt;0)),"✖ Start غير صحيح",IF(NOT(OR($I4187="",$I4187="NR",$O4187&gt;0)),"✖ Current غير صحيح",IF(NOT(IF(ISNUMBER($J4187),AND($J4187&gt;=0,$J4187=INT($J4187)),FALSE())),"✖ العدد يجب أن يكون صحيحًا ≥ 0",IF(AND($F4187="Baseline",$H4187&lt;&gt;""),"⚠ Baseline: Start لا يدخل في التقدم",IF($K4187="No Start (attainment only)","ℹ تحصيل فقط (بدون Start)",IF($K4187="U – needs rule","ℹ حالة U تحتاج قاعدة معتمدة",IF($K4187="No result","ℹ بدون نتيجة (يُستبعد من التحصيل)","OK")))))))))))</f>
        <v/>
      </c>
      <c r="M4187" s="64" t="n">
        <f aca="false">IF($A4187="",0,IFERROR(MATCH($A4187,Classes!$A$6:$A$420,0),0))</f>
        <v>0</v>
      </c>
      <c r="N4187" s="64" t="n">
        <f aca="false">IF($H4187="",0,IFERROR(MATCH($H4187,GradeList,0),0))</f>
        <v>0</v>
      </c>
      <c r="O4187" s="64" t="n">
        <f aca="false">IF(OR($I4187="",$I4187="NR"),0,IFERROR(MATCH($I4187,GradeList,0),0))</f>
        <v>0</v>
      </c>
      <c r="P4187" s="64" t="n">
        <f aca="false">IF(AND($M4187&gt;0,ISNUMBER(MATCH($F4187,Lists!$A$2:$A$5,0)),ISNUMBER(MATCH($G4187,Lists!$B$2:$B$7,0)),OR($H4187="",$N4187&gt;0),OR($I4187="",$I4187="NR",$O4187&gt;0),IF(ISNUMBER($J4187),AND($J4187&gt;=0,$J4187=INT($J4187)),FALSE())),$J4187,0)</f>
        <v>0</v>
      </c>
      <c r="Q4187" s="64" t="n">
        <f aca="false">IF(AND($P4187&gt;0,$O4187&gt;0),$P4187,0)</f>
        <v>0</v>
      </c>
      <c r="R4187" s="64" t="n">
        <f aca="false">IF(AND($Q4187&gt;0,$O4187&gt;=AtRank),$Q4187,0)</f>
        <v>0</v>
      </c>
      <c r="S4187" s="64" t="n">
        <f aca="false">IF(AND($Q4187&gt;0,$O4187&gt;=AboveRank),$Q4187,0)</f>
        <v>0</v>
      </c>
      <c r="T4187" s="64" t="n">
        <f aca="false">IF($K4187="Less",$P4187,0)</f>
        <v>0</v>
      </c>
      <c r="U4187" s="64" t="n">
        <f aca="false">IF($K4187="Expected",$P4187,0)</f>
        <v>0</v>
      </c>
      <c r="V4187" s="64" t="n">
        <f aca="false">IF($K4187="Better",$P4187,0)</f>
        <v>0</v>
      </c>
      <c r="W4187" s="64" t="n">
        <f aca="false">IF($K4187="U – needs rule",$P4187,0)</f>
        <v>0</v>
      </c>
      <c r="X4187" s="64" t="n">
        <f aca="false">IF($K4187="No Start (attainment only)",$P4187,0)</f>
        <v>0</v>
      </c>
    </row>
    <row r="4188" customFormat="false" ht="15" hidden="false" customHeight="false" outlineLevel="0" collapsed="false">
      <c r="A4188" s="60"/>
      <c r="B4188" s="61" t="str">
        <f aca="false">IF($M4188=0,"",INDEX(Classes!$E$6:$E$420,$M4188))</f>
        <v/>
      </c>
      <c r="C4188" s="62" t="str">
        <f aca="false">IF($M4188=0,"",INDEX(Classes!$H$6:$H$420,$M4188))</f>
        <v/>
      </c>
      <c r="D4188" s="61" t="str">
        <f aca="false">IF($M4188=0,"",INDEX(Classes!$B$6:$B$420,$M4188))</f>
        <v/>
      </c>
      <c r="E4188" s="61" t="str">
        <f aca="false">IF($M4188=0,"",INDEX(Classes!$C$6:$C$420,$M4188))</f>
        <v/>
      </c>
      <c r="F4188" s="63"/>
      <c r="G4188" s="63"/>
      <c r="H4188" s="60"/>
      <c r="I4188" s="60"/>
      <c r="J4188" s="63"/>
      <c r="K4188" s="61" t="str">
        <f aca="false">IF($P4188=0,"",IF($F4188="Baseline","— Baseline",IF($O4188=0,"No result",IF($N4188=0,"No Start (attainment only)",IF(OR($N4188=1,$O4188=1),"U – needs rule",INDEX(MxBody,MATCH($I4188,MxCurr,0),MATCH($H4188,MxStart,0)))))))</f>
        <v/>
      </c>
      <c r="L4188" s="62" t="str">
        <f aca="false">IF(COUNTA($A4188,$F4188,$G4188,$H4188,$I4188,$J4188)=0,"",IF($M4188=0,"✖ كود الصف غير موجود",IF(ISNA(MATCH($F4188,Lists!$A$2:$A$5,0)),"✖ الفترة غير صحيحة",IF(ISNA(MATCH($G4188,Lists!$B$2:$B$7,0)),"✖ المجموعة غير صحيحة",IF(NOT(OR($H4188="",$N4188&gt;0)),"✖ Start غير صحيح",IF(NOT(OR($I4188="",$I4188="NR",$O4188&gt;0)),"✖ Current غير صحيح",IF(NOT(IF(ISNUMBER($J4188),AND($J4188&gt;=0,$J4188=INT($J4188)),FALSE())),"✖ العدد يجب أن يكون صحيحًا ≥ 0",IF(AND($F4188="Baseline",$H4188&lt;&gt;""),"⚠ Baseline: Start لا يدخل في التقدم",IF($K4188="No Start (attainment only)","ℹ تحصيل فقط (بدون Start)",IF($K4188="U – needs rule","ℹ حالة U تحتاج قاعدة معتمدة",IF($K4188="No result","ℹ بدون نتيجة (يُستبعد من التحصيل)","OK")))))))))))</f>
        <v/>
      </c>
      <c r="M4188" s="64" t="n">
        <f aca="false">IF($A4188="",0,IFERROR(MATCH($A4188,Classes!$A$6:$A$420,0),0))</f>
        <v>0</v>
      </c>
      <c r="N4188" s="64" t="n">
        <f aca="false">IF($H4188="",0,IFERROR(MATCH($H4188,GradeList,0),0))</f>
        <v>0</v>
      </c>
      <c r="O4188" s="64" t="n">
        <f aca="false">IF(OR($I4188="",$I4188="NR"),0,IFERROR(MATCH($I4188,GradeList,0),0))</f>
        <v>0</v>
      </c>
      <c r="P4188" s="64" t="n">
        <f aca="false">IF(AND($M4188&gt;0,ISNUMBER(MATCH($F4188,Lists!$A$2:$A$5,0)),ISNUMBER(MATCH($G4188,Lists!$B$2:$B$7,0)),OR($H4188="",$N4188&gt;0),OR($I4188="",$I4188="NR",$O4188&gt;0),IF(ISNUMBER($J4188),AND($J4188&gt;=0,$J4188=INT($J4188)),FALSE())),$J4188,0)</f>
        <v>0</v>
      </c>
      <c r="Q4188" s="64" t="n">
        <f aca="false">IF(AND($P4188&gt;0,$O4188&gt;0),$P4188,0)</f>
        <v>0</v>
      </c>
      <c r="R4188" s="64" t="n">
        <f aca="false">IF(AND($Q4188&gt;0,$O4188&gt;=AtRank),$Q4188,0)</f>
        <v>0</v>
      </c>
      <c r="S4188" s="64" t="n">
        <f aca="false">IF(AND($Q4188&gt;0,$O4188&gt;=AboveRank),$Q4188,0)</f>
        <v>0</v>
      </c>
      <c r="T4188" s="64" t="n">
        <f aca="false">IF($K4188="Less",$P4188,0)</f>
        <v>0</v>
      </c>
      <c r="U4188" s="64" t="n">
        <f aca="false">IF($K4188="Expected",$P4188,0)</f>
        <v>0</v>
      </c>
      <c r="V4188" s="64" t="n">
        <f aca="false">IF($K4188="Better",$P4188,0)</f>
        <v>0</v>
      </c>
      <c r="W4188" s="64" t="n">
        <f aca="false">IF($K4188="U – needs rule",$P4188,0)</f>
        <v>0</v>
      </c>
      <c r="X4188" s="64" t="n">
        <f aca="false">IF($K4188="No Start (attainment only)",$P4188,0)</f>
        <v>0</v>
      </c>
    </row>
    <row r="4189" customFormat="false" ht="15" hidden="false" customHeight="false" outlineLevel="0" collapsed="false">
      <c r="A4189" s="60"/>
      <c r="B4189" s="61" t="str">
        <f aca="false">IF($M4189=0,"",INDEX(Classes!$E$6:$E$420,$M4189))</f>
        <v/>
      </c>
      <c r="C4189" s="62" t="str">
        <f aca="false">IF($M4189=0,"",INDEX(Classes!$H$6:$H$420,$M4189))</f>
        <v/>
      </c>
      <c r="D4189" s="61" t="str">
        <f aca="false">IF($M4189=0,"",INDEX(Classes!$B$6:$B$420,$M4189))</f>
        <v/>
      </c>
      <c r="E4189" s="61" t="str">
        <f aca="false">IF($M4189=0,"",INDEX(Classes!$C$6:$C$420,$M4189))</f>
        <v/>
      </c>
      <c r="F4189" s="63"/>
      <c r="G4189" s="63"/>
      <c r="H4189" s="60"/>
      <c r="I4189" s="60"/>
      <c r="J4189" s="63"/>
      <c r="K4189" s="61" t="str">
        <f aca="false">IF($P4189=0,"",IF($F4189="Baseline","— Baseline",IF($O4189=0,"No result",IF($N4189=0,"No Start (attainment only)",IF(OR($N4189=1,$O4189=1),"U – needs rule",INDEX(MxBody,MATCH($I4189,MxCurr,0),MATCH($H4189,MxStart,0)))))))</f>
        <v/>
      </c>
      <c r="L4189" s="62" t="str">
        <f aca="false">IF(COUNTA($A4189,$F4189,$G4189,$H4189,$I4189,$J4189)=0,"",IF($M4189=0,"✖ كود الصف غير موجود",IF(ISNA(MATCH($F4189,Lists!$A$2:$A$5,0)),"✖ الفترة غير صحيحة",IF(ISNA(MATCH($G4189,Lists!$B$2:$B$7,0)),"✖ المجموعة غير صحيحة",IF(NOT(OR($H4189="",$N4189&gt;0)),"✖ Start غير صحيح",IF(NOT(OR($I4189="",$I4189="NR",$O4189&gt;0)),"✖ Current غير صحيح",IF(NOT(IF(ISNUMBER($J4189),AND($J4189&gt;=0,$J4189=INT($J4189)),FALSE())),"✖ العدد يجب أن يكون صحيحًا ≥ 0",IF(AND($F4189="Baseline",$H4189&lt;&gt;""),"⚠ Baseline: Start لا يدخل في التقدم",IF($K4189="No Start (attainment only)","ℹ تحصيل فقط (بدون Start)",IF($K4189="U – needs rule","ℹ حالة U تحتاج قاعدة معتمدة",IF($K4189="No result","ℹ بدون نتيجة (يُستبعد من التحصيل)","OK")))))))))))</f>
        <v/>
      </c>
      <c r="M4189" s="64" t="n">
        <f aca="false">IF($A4189="",0,IFERROR(MATCH($A4189,Classes!$A$6:$A$420,0),0))</f>
        <v>0</v>
      </c>
      <c r="N4189" s="64" t="n">
        <f aca="false">IF($H4189="",0,IFERROR(MATCH($H4189,GradeList,0),0))</f>
        <v>0</v>
      </c>
      <c r="O4189" s="64" t="n">
        <f aca="false">IF(OR($I4189="",$I4189="NR"),0,IFERROR(MATCH($I4189,GradeList,0),0))</f>
        <v>0</v>
      </c>
      <c r="P4189" s="64" t="n">
        <f aca="false">IF(AND($M4189&gt;0,ISNUMBER(MATCH($F4189,Lists!$A$2:$A$5,0)),ISNUMBER(MATCH($G4189,Lists!$B$2:$B$7,0)),OR($H4189="",$N4189&gt;0),OR($I4189="",$I4189="NR",$O4189&gt;0),IF(ISNUMBER($J4189),AND($J4189&gt;=0,$J4189=INT($J4189)),FALSE())),$J4189,0)</f>
        <v>0</v>
      </c>
      <c r="Q4189" s="64" t="n">
        <f aca="false">IF(AND($P4189&gt;0,$O4189&gt;0),$P4189,0)</f>
        <v>0</v>
      </c>
      <c r="R4189" s="64" t="n">
        <f aca="false">IF(AND($Q4189&gt;0,$O4189&gt;=AtRank),$Q4189,0)</f>
        <v>0</v>
      </c>
      <c r="S4189" s="64" t="n">
        <f aca="false">IF(AND($Q4189&gt;0,$O4189&gt;=AboveRank),$Q4189,0)</f>
        <v>0</v>
      </c>
      <c r="T4189" s="64" t="n">
        <f aca="false">IF($K4189="Less",$P4189,0)</f>
        <v>0</v>
      </c>
      <c r="U4189" s="64" t="n">
        <f aca="false">IF($K4189="Expected",$P4189,0)</f>
        <v>0</v>
      </c>
      <c r="V4189" s="64" t="n">
        <f aca="false">IF($K4189="Better",$P4189,0)</f>
        <v>0</v>
      </c>
      <c r="W4189" s="64" t="n">
        <f aca="false">IF($K4189="U – needs rule",$P4189,0)</f>
        <v>0</v>
      </c>
      <c r="X4189" s="64" t="n">
        <f aca="false">IF($K4189="No Start (attainment only)",$P4189,0)</f>
        <v>0</v>
      </c>
    </row>
    <row r="4190" customFormat="false" ht="15" hidden="false" customHeight="false" outlineLevel="0" collapsed="false">
      <c r="A4190" s="60"/>
      <c r="B4190" s="61" t="str">
        <f aca="false">IF($M4190=0,"",INDEX(Classes!$E$6:$E$420,$M4190))</f>
        <v/>
      </c>
      <c r="C4190" s="62" t="str">
        <f aca="false">IF($M4190=0,"",INDEX(Classes!$H$6:$H$420,$M4190))</f>
        <v/>
      </c>
      <c r="D4190" s="61" t="str">
        <f aca="false">IF($M4190=0,"",INDEX(Classes!$B$6:$B$420,$M4190))</f>
        <v/>
      </c>
      <c r="E4190" s="61" t="str">
        <f aca="false">IF($M4190=0,"",INDEX(Classes!$C$6:$C$420,$M4190))</f>
        <v/>
      </c>
      <c r="F4190" s="63"/>
      <c r="G4190" s="63"/>
      <c r="H4190" s="60"/>
      <c r="I4190" s="60"/>
      <c r="J4190" s="63"/>
      <c r="K4190" s="61" t="str">
        <f aca="false">IF($P4190=0,"",IF($F4190="Baseline","— Baseline",IF($O4190=0,"No result",IF($N4190=0,"No Start (attainment only)",IF(OR($N4190=1,$O4190=1),"U – needs rule",INDEX(MxBody,MATCH($I4190,MxCurr,0),MATCH($H4190,MxStart,0)))))))</f>
        <v/>
      </c>
      <c r="L4190" s="62" t="str">
        <f aca="false">IF(COUNTA($A4190,$F4190,$G4190,$H4190,$I4190,$J4190)=0,"",IF($M4190=0,"✖ كود الصف غير موجود",IF(ISNA(MATCH($F4190,Lists!$A$2:$A$5,0)),"✖ الفترة غير صحيحة",IF(ISNA(MATCH($G4190,Lists!$B$2:$B$7,0)),"✖ المجموعة غير صحيحة",IF(NOT(OR($H4190="",$N4190&gt;0)),"✖ Start غير صحيح",IF(NOT(OR($I4190="",$I4190="NR",$O4190&gt;0)),"✖ Current غير صحيح",IF(NOT(IF(ISNUMBER($J4190),AND($J4190&gt;=0,$J4190=INT($J4190)),FALSE())),"✖ العدد يجب أن يكون صحيحًا ≥ 0",IF(AND($F4190="Baseline",$H4190&lt;&gt;""),"⚠ Baseline: Start لا يدخل في التقدم",IF($K4190="No Start (attainment only)","ℹ تحصيل فقط (بدون Start)",IF($K4190="U – needs rule","ℹ حالة U تحتاج قاعدة معتمدة",IF($K4190="No result","ℹ بدون نتيجة (يُستبعد من التحصيل)","OK")))))))))))</f>
        <v/>
      </c>
      <c r="M4190" s="64" t="n">
        <f aca="false">IF($A4190="",0,IFERROR(MATCH($A4190,Classes!$A$6:$A$420,0),0))</f>
        <v>0</v>
      </c>
      <c r="N4190" s="64" t="n">
        <f aca="false">IF($H4190="",0,IFERROR(MATCH($H4190,GradeList,0),0))</f>
        <v>0</v>
      </c>
      <c r="O4190" s="64" t="n">
        <f aca="false">IF(OR($I4190="",$I4190="NR"),0,IFERROR(MATCH($I4190,GradeList,0),0))</f>
        <v>0</v>
      </c>
      <c r="P4190" s="64" t="n">
        <f aca="false">IF(AND($M4190&gt;0,ISNUMBER(MATCH($F4190,Lists!$A$2:$A$5,0)),ISNUMBER(MATCH($G4190,Lists!$B$2:$B$7,0)),OR($H4190="",$N4190&gt;0),OR($I4190="",$I4190="NR",$O4190&gt;0),IF(ISNUMBER($J4190),AND($J4190&gt;=0,$J4190=INT($J4190)),FALSE())),$J4190,0)</f>
        <v>0</v>
      </c>
      <c r="Q4190" s="64" t="n">
        <f aca="false">IF(AND($P4190&gt;0,$O4190&gt;0),$P4190,0)</f>
        <v>0</v>
      </c>
      <c r="R4190" s="64" t="n">
        <f aca="false">IF(AND($Q4190&gt;0,$O4190&gt;=AtRank),$Q4190,0)</f>
        <v>0</v>
      </c>
      <c r="S4190" s="64" t="n">
        <f aca="false">IF(AND($Q4190&gt;0,$O4190&gt;=AboveRank),$Q4190,0)</f>
        <v>0</v>
      </c>
      <c r="T4190" s="64" t="n">
        <f aca="false">IF($K4190="Less",$P4190,0)</f>
        <v>0</v>
      </c>
      <c r="U4190" s="64" t="n">
        <f aca="false">IF($K4190="Expected",$P4190,0)</f>
        <v>0</v>
      </c>
      <c r="V4190" s="64" t="n">
        <f aca="false">IF($K4190="Better",$P4190,0)</f>
        <v>0</v>
      </c>
      <c r="W4190" s="64" t="n">
        <f aca="false">IF($K4190="U – needs rule",$P4190,0)</f>
        <v>0</v>
      </c>
      <c r="X4190" s="64" t="n">
        <f aca="false">IF($K4190="No Start (attainment only)",$P4190,0)</f>
        <v>0</v>
      </c>
    </row>
    <row r="4191" customFormat="false" ht="15" hidden="false" customHeight="false" outlineLevel="0" collapsed="false">
      <c r="A4191" s="60"/>
      <c r="B4191" s="61" t="str">
        <f aca="false">IF($M4191=0,"",INDEX(Classes!$E$6:$E$420,$M4191))</f>
        <v/>
      </c>
      <c r="C4191" s="62" t="str">
        <f aca="false">IF($M4191=0,"",INDEX(Classes!$H$6:$H$420,$M4191))</f>
        <v/>
      </c>
      <c r="D4191" s="61" t="str">
        <f aca="false">IF($M4191=0,"",INDEX(Classes!$B$6:$B$420,$M4191))</f>
        <v/>
      </c>
      <c r="E4191" s="61" t="str">
        <f aca="false">IF($M4191=0,"",INDEX(Classes!$C$6:$C$420,$M4191))</f>
        <v/>
      </c>
      <c r="F4191" s="63"/>
      <c r="G4191" s="63"/>
      <c r="H4191" s="60"/>
      <c r="I4191" s="60"/>
      <c r="J4191" s="63"/>
      <c r="K4191" s="61" t="str">
        <f aca="false">IF($P4191=0,"",IF($F4191="Baseline","— Baseline",IF($O4191=0,"No result",IF($N4191=0,"No Start (attainment only)",IF(OR($N4191=1,$O4191=1),"U – needs rule",INDEX(MxBody,MATCH($I4191,MxCurr,0),MATCH($H4191,MxStart,0)))))))</f>
        <v/>
      </c>
      <c r="L4191" s="62" t="str">
        <f aca="false">IF(COUNTA($A4191,$F4191,$G4191,$H4191,$I4191,$J4191)=0,"",IF($M4191=0,"✖ كود الصف غير موجود",IF(ISNA(MATCH($F4191,Lists!$A$2:$A$5,0)),"✖ الفترة غير صحيحة",IF(ISNA(MATCH($G4191,Lists!$B$2:$B$7,0)),"✖ المجموعة غير صحيحة",IF(NOT(OR($H4191="",$N4191&gt;0)),"✖ Start غير صحيح",IF(NOT(OR($I4191="",$I4191="NR",$O4191&gt;0)),"✖ Current غير صحيح",IF(NOT(IF(ISNUMBER($J4191),AND($J4191&gt;=0,$J4191=INT($J4191)),FALSE())),"✖ العدد يجب أن يكون صحيحًا ≥ 0",IF(AND($F4191="Baseline",$H4191&lt;&gt;""),"⚠ Baseline: Start لا يدخل في التقدم",IF($K4191="No Start (attainment only)","ℹ تحصيل فقط (بدون Start)",IF($K4191="U – needs rule","ℹ حالة U تحتاج قاعدة معتمدة",IF($K4191="No result","ℹ بدون نتيجة (يُستبعد من التحصيل)","OK")))))))))))</f>
        <v/>
      </c>
      <c r="M4191" s="64" t="n">
        <f aca="false">IF($A4191="",0,IFERROR(MATCH($A4191,Classes!$A$6:$A$420,0),0))</f>
        <v>0</v>
      </c>
      <c r="N4191" s="64" t="n">
        <f aca="false">IF($H4191="",0,IFERROR(MATCH($H4191,GradeList,0),0))</f>
        <v>0</v>
      </c>
      <c r="O4191" s="64" t="n">
        <f aca="false">IF(OR($I4191="",$I4191="NR"),0,IFERROR(MATCH($I4191,GradeList,0),0))</f>
        <v>0</v>
      </c>
      <c r="P4191" s="64" t="n">
        <f aca="false">IF(AND($M4191&gt;0,ISNUMBER(MATCH($F4191,Lists!$A$2:$A$5,0)),ISNUMBER(MATCH($G4191,Lists!$B$2:$B$7,0)),OR($H4191="",$N4191&gt;0),OR($I4191="",$I4191="NR",$O4191&gt;0),IF(ISNUMBER($J4191),AND($J4191&gt;=0,$J4191=INT($J4191)),FALSE())),$J4191,0)</f>
        <v>0</v>
      </c>
      <c r="Q4191" s="64" t="n">
        <f aca="false">IF(AND($P4191&gt;0,$O4191&gt;0),$P4191,0)</f>
        <v>0</v>
      </c>
      <c r="R4191" s="64" t="n">
        <f aca="false">IF(AND($Q4191&gt;0,$O4191&gt;=AtRank),$Q4191,0)</f>
        <v>0</v>
      </c>
      <c r="S4191" s="64" t="n">
        <f aca="false">IF(AND($Q4191&gt;0,$O4191&gt;=AboveRank),$Q4191,0)</f>
        <v>0</v>
      </c>
      <c r="T4191" s="64" t="n">
        <f aca="false">IF($K4191="Less",$P4191,0)</f>
        <v>0</v>
      </c>
      <c r="U4191" s="64" t="n">
        <f aca="false">IF($K4191="Expected",$P4191,0)</f>
        <v>0</v>
      </c>
      <c r="V4191" s="64" t="n">
        <f aca="false">IF($K4191="Better",$P4191,0)</f>
        <v>0</v>
      </c>
      <c r="W4191" s="64" t="n">
        <f aca="false">IF($K4191="U – needs rule",$P4191,0)</f>
        <v>0</v>
      </c>
      <c r="X4191" s="64" t="n">
        <f aca="false">IF($K4191="No Start (attainment only)",$P4191,0)</f>
        <v>0</v>
      </c>
    </row>
    <row r="4192" customFormat="false" ht="15" hidden="false" customHeight="false" outlineLevel="0" collapsed="false">
      <c r="A4192" s="60"/>
      <c r="B4192" s="61" t="str">
        <f aca="false">IF($M4192=0,"",INDEX(Classes!$E$6:$E$420,$M4192))</f>
        <v/>
      </c>
      <c r="C4192" s="62" t="str">
        <f aca="false">IF($M4192=0,"",INDEX(Classes!$H$6:$H$420,$M4192))</f>
        <v/>
      </c>
      <c r="D4192" s="61" t="str">
        <f aca="false">IF($M4192=0,"",INDEX(Classes!$B$6:$B$420,$M4192))</f>
        <v/>
      </c>
      <c r="E4192" s="61" t="str">
        <f aca="false">IF($M4192=0,"",INDEX(Classes!$C$6:$C$420,$M4192))</f>
        <v/>
      </c>
      <c r="F4192" s="63"/>
      <c r="G4192" s="63"/>
      <c r="H4192" s="60"/>
      <c r="I4192" s="60"/>
      <c r="J4192" s="63"/>
      <c r="K4192" s="61" t="str">
        <f aca="false">IF($P4192=0,"",IF($F4192="Baseline","— Baseline",IF($O4192=0,"No result",IF($N4192=0,"No Start (attainment only)",IF(OR($N4192=1,$O4192=1),"U – needs rule",INDEX(MxBody,MATCH($I4192,MxCurr,0),MATCH($H4192,MxStart,0)))))))</f>
        <v/>
      </c>
      <c r="L4192" s="62" t="str">
        <f aca="false">IF(COUNTA($A4192,$F4192,$G4192,$H4192,$I4192,$J4192)=0,"",IF($M4192=0,"✖ كود الصف غير موجود",IF(ISNA(MATCH($F4192,Lists!$A$2:$A$5,0)),"✖ الفترة غير صحيحة",IF(ISNA(MATCH($G4192,Lists!$B$2:$B$7,0)),"✖ المجموعة غير صحيحة",IF(NOT(OR($H4192="",$N4192&gt;0)),"✖ Start غير صحيح",IF(NOT(OR($I4192="",$I4192="NR",$O4192&gt;0)),"✖ Current غير صحيح",IF(NOT(IF(ISNUMBER($J4192),AND($J4192&gt;=0,$J4192=INT($J4192)),FALSE())),"✖ العدد يجب أن يكون صحيحًا ≥ 0",IF(AND($F4192="Baseline",$H4192&lt;&gt;""),"⚠ Baseline: Start لا يدخل في التقدم",IF($K4192="No Start (attainment only)","ℹ تحصيل فقط (بدون Start)",IF($K4192="U – needs rule","ℹ حالة U تحتاج قاعدة معتمدة",IF($K4192="No result","ℹ بدون نتيجة (يُستبعد من التحصيل)","OK")))))))))))</f>
        <v/>
      </c>
      <c r="M4192" s="64" t="n">
        <f aca="false">IF($A4192="",0,IFERROR(MATCH($A4192,Classes!$A$6:$A$420,0),0))</f>
        <v>0</v>
      </c>
      <c r="N4192" s="64" t="n">
        <f aca="false">IF($H4192="",0,IFERROR(MATCH($H4192,GradeList,0),0))</f>
        <v>0</v>
      </c>
      <c r="O4192" s="64" t="n">
        <f aca="false">IF(OR($I4192="",$I4192="NR"),0,IFERROR(MATCH($I4192,GradeList,0),0))</f>
        <v>0</v>
      </c>
      <c r="P4192" s="64" t="n">
        <f aca="false">IF(AND($M4192&gt;0,ISNUMBER(MATCH($F4192,Lists!$A$2:$A$5,0)),ISNUMBER(MATCH($G4192,Lists!$B$2:$B$7,0)),OR($H4192="",$N4192&gt;0),OR($I4192="",$I4192="NR",$O4192&gt;0),IF(ISNUMBER($J4192),AND($J4192&gt;=0,$J4192=INT($J4192)),FALSE())),$J4192,0)</f>
        <v>0</v>
      </c>
      <c r="Q4192" s="64" t="n">
        <f aca="false">IF(AND($P4192&gt;0,$O4192&gt;0),$P4192,0)</f>
        <v>0</v>
      </c>
      <c r="R4192" s="64" t="n">
        <f aca="false">IF(AND($Q4192&gt;0,$O4192&gt;=AtRank),$Q4192,0)</f>
        <v>0</v>
      </c>
      <c r="S4192" s="64" t="n">
        <f aca="false">IF(AND($Q4192&gt;0,$O4192&gt;=AboveRank),$Q4192,0)</f>
        <v>0</v>
      </c>
      <c r="T4192" s="64" t="n">
        <f aca="false">IF($K4192="Less",$P4192,0)</f>
        <v>0</v>
      </c>
      <c r="U4192" s="64" t="n">
        <f aca="false">IF($K4192="Expected",$P4192,0)</f>
        <v>0</v>
      </c>
      <c r="V4192" s="64" t="n">
        <f aca="false">IF($K4192="Better",$P4192,0)</f>
        <v>0</v>
      </c>
      <c r="W4192" s="64" t="n">
        <f aca="false">IF($K4192="U – needs rule",$P4192,0)</f>
        <v>0</v>
      </c>
      <c r="X4192" s="64" t="n">
        <f aca="false">IF($K4192="No Start (attainment only)",$P4192,0)</f>
        <v>0</v>
      </c>
    </row>
    <row r="4193" customFormat="false" ht="15" hidden="false" customHeight="false" outlineLevel="0" collapsed="false">
      <c r="A4193" s="60"/>
      <c r="B4193" s="61" t="str">
        <f aca="false">IF($M4193=0,"",INDEX(Classes!$E$6:$E$420,$M4193))</f>
        <v/>
      </c>
      <c r="C4193" s="62" t="str">
        <f aca="false">IF($M4193=0,"",INDEX(Classes!$H$6:$H$420,$M4193))</f>
        <v/>
      </c>
      <c r="D4193" s="61" t="str">
        <f aca="false">IF($M4193=0,"",INDEX(Classes!$B$6:$B$420,$M4193))</f>
        <v/>
      </c>
      <c r="E4193" s="61" t="str">
        <f aca="false">IF($M4193=0,"",INDEX(Classes!$C$6:$C$420,$M4193))</f>
        <v/>
      </c>
      <c r="F4193" s="63"/>
      <c r="G4193" s="63"/>
      <c r="H4193" s="60"/>
      <c r="I4193" s="60"/>
      <c r="J4193" s="63"/>
      <c r="K4193" s="61" t="str">
        <f aca="false">IF($P4193=0,"",IF($F4193="Baseline","— Baseline",IF($O4193=0,"No result",IF($N4193=0,"No Start (attainment only)",IF(OR($N4193=1,$O4193=1),"U – needs rule",INDEX(MxBody,MATCH($I4193,MxCurr,0),MATCH($H4193,MxStart,0)))))))</f>
        <v/>
      </c>
      <c r="L4193" s="62" t="str">
        <f aca="false">IF(COUNTA($A4193,$F4193,$G4193,$H4193,$I4193,$J4193)=0,"",IF($M4193=0,"✖ كود الصف غير موجود",IF(ISNA(MATCH($F4193,Lists!$A$2:$A$5,0)),"✖ الفترة غير صحيحة",IF(ISNA(MATCH($G4193,Lists!$B$2:$B$7,0)),"✖ المجموعة غير صحيحة",IF(NOT(OR($H4193="",$N4193&gt;0)),"✖ Start غير صحيح",IF(NOT(OR($I4193="",$I4193="NR",$O4193&gt;0)),"✖ Current غير صحيح",IF(NOT(IF(ISNUMBER($J4193),AND($J4193&gt;=0,$J4193=INT($J4193)),FALSE())),"✖ العدد يجب أن يكون صحيحًا ≥ 0",IF(AND($F4193="Baseline",$H4193&lt;&gt;""),"⚠ Baseline: Start لا يدخل في التقدم",IF($K4193="No Start (attainment only)","ℹ تحصيل فقط (بدون Start)",IF($K4193="U – needs rule","ℹ حالة U تحتاج قاعدة معتمدة",IF($K4193="No result","ℹ بدون نتيجة (يُستبعد من التحصيل)","OK")))))))))))</f>
        <v/>
      </c>
      <c r="M4193" s="64" t="n">
        <f aca="false">IF($A4193="",0,IFERROR(MATCH($A4193,Classes!$A$6:$A$420,0),0))</f>
        <v>0</v>
      </c>
      <c r="N4193" s="64" t="n">
        <f aca="false">IF($H4193="",0,IFERROR(MATCH($H4193,GradeList,0),0))</f>
        <v>0</v>
      </c>
      <c r="O4193" s="64" t="n">
        <f aca="false">IF(OR($I4193="",$I4193="NR"),0,IFERROR(MATCH($I4193,GradeList,0),0))</f>
        <v>0</v>
      </c>
      <c r="P4193" s="64" t="n">
        <f aca="false">IF(AND($M4193&gt;0,ISNUMBER(MATCH($F4193,Lists!$A$2:$A$5,0)),ISNUMBER(MATCH($G4193,Lists!$B$2:$B$7,0)),OR($H4193="",$N4193&gt;0),OR($I4193="",$I4193="NR",$O4193&gt;0),IF(ISNUMBER($J4193),AND($J4193&gt;=0,$J4193=INT($J4193)),FALSE())),$J4193,0)</f>
        <v>0</v>
      </c>
      <c r="Q4193" s="64" t="n">
        <f aca="false">IF(AND($P4193&gt;0,$O4193&gt;0),$P4193,0)</f>
        <v>0</v>
      </c>
      <c r="R4193" s="64" t="n">
        <f aca="false">IF(AND($Q4193&gt;0,$O4193&gt;=AtRank),$Q4193,0)</f>
        <v>0</v>
      </c>
      <c r="S4193" s="64" t="n">
        <f aca="false">IF(AND($Q4193&gt;0,$O4193&gt;=AboveRank),$Q4193,0)</f>
        <v>0</v>
      </c>
      <c r="T4193" s="64" t="n">
        <f aca="false">IF($K4193="Less",$P4193,0)</f>
        <v>0</v>
      </c>
      <c r="U4193" s="64" t="n">
        <f aca="false">IF($K4193="Expected",$P4193,0)</f>
        <v>0</v>
      </c>
      <c r="V4193" s="64" t="n">
        <f aca="false">IF($K4193="Better",$P4193,0)</f>
        <v>0</v>
      </c>
      <c r="W4193" s="64" t="n">
        <f aca="false">IF($K4193="U – needs rule",$P4193,0)</f>
        <v>0</v>
      </c>
      <c r="X4193" s="64" t="n">
        <f aca="false">IF($K4193="No Start (attainment only)",$P4193,0)</f>
        <v>0</v>
      </c>
    </row>
    <row r="4194" customFormat="false" ht="15" hidden="false" customHeight="false" outlineLevel="0" collapsed="false">
      <c r="A4194" s="60"/>
      <c r="B4194" s="61" t="str">
        <f aca="false">IF($M4194=0,"",INDEX(Classes!$E$6:$E$420,$M4194))</f>
        <v/>
      </c>
      <c r="C4194" s="62" t="str">
        <f aca="false">IF($M4194=0,"",INDEX(Classes!$H$6:$H$420,$M4194))</f>
        <v/>
      </c>
      <c r="D4194" s="61" t="str">
        <f aca="false">IF($M4194=0,"",INDEX(Classes!$B$6:$B$420,$M4194))</f>
        <v/>
      </c>
      <c r="E4194" s="61" t="str">
        <f aca="false">IF($M4194=0,"",INDEX(Classes!$C$6:$C$420,$M4194))</f>
        <v/>
      </c>
      <c r="F4194" s="63"/>
      <c r="G4194" s="63"/>
      <c r="H4194" s="60"/>
      <c r="I4194" s="60"/>
      <c r="J4194" s="63"/>
      <c r="K4194" s="61" t="str">
        <f aca="false">IF($P4194=0,"",IF($F4194="Baseline","— Baseline",IF($O4194=0,"No result",IF($N4194=0,"No Start (attainment only)",IF(OR($N4194=1,$O4194=1),"U – needs rule",INDEX(MxBody,MATCH($I4194,MxCurr,0),MATCH($H4194,MxStart,0)))))))</f>
        <v/>
      </c>
      <c r="L4194" s="62" t="str">
        <f aca="false">IF(COUNTA($A4194,$F4194,$G4194,$H4194,$I4194,$J4194)=0,"",IF($M4194=0,"✖ كود الصف غير موجود",IF(ISNA(MATCH($F4194,Lists!$A$2:$A$5,0)),"✖ الفترة غير صحيحة",IF(ISNA(MATCH($G4194,Lists!$B$2:$B$7,0)),"✖ المجموعة غير صحيحة",IF(NOT(OR($H4194="",$N4194&gt;0)),"✖ Start غير صحيح",IF(NOT(OR($I4194="",$I4194="NR",$O4194&gt;0)),"✖ Current غير صحيح",IF(NOT(IF(ISNUMBER($J4194),AND($J4194&gt;=0,$J4194=INT($J4194)),FALSE())),"✖ العدد يجب أن يكون صحيحًا ≥ 0",IF(AND($F4194="Baseline",$H4194&lt;&gt;""),"⚠ Baseline: Start لا يدخل في التقدم",IF($K4194="No Start (attainment only)","ℹ تحصيل فقط (بدون Start)",IF($K4194="U – needs rule","ℹ حالة U تحتاج قاعدة معتمدة",IF($K4194="No result","ℹ بدون نتيجة (يُستبعد من التحصيل)","OK")))))))))))</f>
        <v/>
      </c>
      <c r="M4194" s="64" t="n">
        <f aca="false">IF($A4194="",0,IFERROR(MATCH($A4194,Classes!$A$6:$A$420,0),0))</f>
        <v>0</v>
      </c>
      <c r="N4194" s="64" t="n">
        <f aca="false">IF($H4194="",0,IFERROR(MATCH($H4194,GradeList,0),0))</f>
        <v>0</v>
      </c>
      <c r="O4194" s="64" t="n">
        <f aca="false">IF(OR($I4194="",$I4194="NR"),0,IFERROR(MATCH($I4194,GradeList,0),0))</f>
        <v>0</v>
      </c>
      <c r="P4194" s="64" t="n">
        <f aca="false">IF(AND($M4194&gt;0,ISNUMBER(MATCH($F4194,Lists!$A$2:$A$5,0)),ISNUMBER(MATCH($G4194,Lists!$B$2:$B$7,0)),OR($H4194="",$N4194&gt;0),OR($I4194="",$I4194="NR",$O4194&gt;0),IF(ISNUMBER($J4194),AND($J4194&gt;=0,$J4194=INT($J4194)),FALSE())),$J4194,0)</f>
        <v>0</v>
      </c>
      <c r="Q4194" s="64" t="n">
        <f aca="false">IF(AND($P4194&gt;0,$O4194&gt;0),$P4194,0)</f>
        <v>0</v>
      </c>
      <c r="R4194" s="64" t="n">
        <f aca="false">IF(AND($Q4194&gt;0,$O4194&gt;=AtRank),$Q4194,0)</f>
        <v>0</v>
      </c>
      <c r="S4194" s="64" t="n">
        <f aca="false">IF(AND($Q4194&gt;0,$O4194&gt;=AboveRank),$Q4194,0)</f>
        <v>0</v>
      </c>
      <c r="T4194" s="64" t="n">
        <f aca="false">IF($K4194="Less",$P4194,0)</f>
        <v>0</v>
      </c>
      <c r="U4194" s="64" t="n">
        <f aca="false">IF($K4194="Expected",$P4194,0)</f>
        <v>0</v>
      </c>
      <c r="V4194" s="64" t="n">
        <f aca="false">IF($K4194="Better",$P4194,0)</f>
        <v>0</v>
      </c>
      <c r="W4194" s="64" t="n">
        <f aca="false">IF($K4194="U – needs rule",$P4194,0)</f>
        <v>0</v>
      </c>
      <c r="X4194" s="64" t="n">
        <f aca="false">IF($K4194="No Start (attainment only)",$P4194,0)</f>
        <v>0</v>
      </c>
    </row>
    <row r="4195" customFormat="false" ht="15" hidden="false" customHeight="false" outlineLevel="0" collapsed="false">
      <c r="A4195" s="60"/>
      <c r="B4195" s="61" t="str">
        <f aca="false">IF($M4195=0,"",INDEX(Classes!$E$6:$E$420,$M4195))</f>
        <v/>
      </c>
      <c r="C4195" s="62" t="str">
        <f aca="false">IF($M4195=0,"",INDEX(Classes!$H$6:$H$420,$M4195))</f>
        <v/>
      </c>
      <c r="D4195" s="61" t="str">
        <f aca="false">IF($M4195=0,"",INDEX(Classes!$B$6:$B$420,$M4195))</f>
        <v/>
      </c>
      <c r="E4195" s="61" t="str">
        <f aca="false">IF($M4195=0,"",INDEX(Classes!$C$6:$C$420,$M4195))</f>
        <v/>
      </c>
      <c r="F4195" s="63"/>
      <c r="G4195" s="63"/>
      <c r="H4195" s="60"/>
      <c r="I4195" s="60"/>
      <c r="J4195" s="63"/>
      <c r="K4195" s="61" t="str">
        <f aca="false">IF($P4195=0,"",IF($F4195="Baseline","— Baseline",IF($O4195=0,"No result",IF($N4195=0,"No Start (attainment only)",IF(OR($N4195=1,$O4195=1),"U – needs rule",INDEX(MxBody,MATCH($I4195,MxCurr,0),MATCH($H4195,MxStart,0)))))))</f>
        <v/>
      </c>
      <c r="L4195" s="62" t="str">
        <f aca="false">IF(COUNTA($A4195,$F4195,$G4195,$H4195,$I4195,$J4195)=0,"",IF($M4195=0,"✖ كود الصف غير موجود",IF(ISNA(MATCH($F4195,Lists!$A$2:$A$5,0)),"✖ الفترة غير صحيحة",IF(ISNA(MATCH($G4195,Lists!$B$2:$B$7,0)),"✖ المجموعة غير صحيحة",IF(NOT(OR($H4195="",$N4195&gt;0)),"✖ Start غير صحيح",IF(NOT(OR($I4195="",$I4195="NR",$O4195&gt;0)),"✖ Current غير صحيح",IF(NOT(IF(ISNUMBER($J4195),AND($J4195&gt;=0,$J4195=INT($J4195)),FALSE())),"✖ العدد يجب أن يكون صحيحًا ≥ 0",IF(AND($F4195="Baseline",$H4195&lt;&gt;""),"⚠ Baseline: Start لا يدخل في التقدم",IF($K4195="No Start (attainment only)","ℹ تحصيل فقط (بدون Start)",IF($K4195="U – needs rule","ℹ حالة U تحتاج قاعدة معتمدة",IF($K4195="No result","ℹ بدون نتيجة (يُستبعد من التحصيل)","OK")))))))))))</f>
        <v/>
      </c>
      <c r="M4195" s="64" t="n">
        <f aca="false">IF($A4195="",0,IFERROR(MATCH($A4195,Classes!$A$6:$A$420,0),0))</f>
        <v>0</v>
      </c>
      <c r="N4195" s="64" t="n">
        <f aca="false">IF($H4195="",0,IFERROR(MATCH($H4195,GradeList,0),0))</f>
        <v>0</v>
      </c>
      <c r="O4195" s="64" t="n">
        <f aca="false">IF(OR($I4195="",$I4195="NR"),0,IFERROR(MATCH($I4195,GradeList,0),0))</f>
        <v>0</v>
      </c>
      <c r="P4195" s="64" t="n">
        <f aca="false">IF(AND($M4195&gt;0,ISNUMBER(MATCH($F4195,Lists!$A$2:$A$5,0)),ISNUMBER(MATCH($G4195,Lists!$B$2:$B$7,0)),OR($H4195="",$N4195&gt;0),OR($I4195="",$I4195="NR",$O4195&gt;0),IF(ISNUMBER($J4195),AND($J4195&gt;=0,$J4195=INT($J4195)),FALSE())),$J4195,0)</f>
        <v>0</v>
      </c>
      <c r="Q4195" s="64" t="n">
        <f aca="false">IF(AND($P4195&gt;0,$O4195&gt;0),$P4195,0)</f>
        <v>0</v>
      </c>
      <c r="R4195" s="64" t="n">
        <f aca="false">IF(AND($Q4195&gt;0,$O4195&gt;=AtRank),$Q4195,0)</f>
        <v>0</v>
      </c>
      <c r="S4195" s="64" t="n">
        <f aca="false">IF(AND($Q4195&gt;0,$O4195&gt;=AboveRank),$Q4195,0)</f>
        <v>0</v>
      </c>
      <c r="T4195" s="64" t="n">
        <f aca="false">IF($K4195="Less",$P4195,0)</f>
        <v>0</v>
      </c>
      <c r="U4195" s="64" t="n">
        <f aca="false">IF($K4195="Expected",$P4195,0)</f>
        <v>0</v>
      </c>
      <c r="V4195" s="64" t="n">
        <f aca="false">IF($K4195="Better",$P4195,0)</f>
        <v>0</v>
      </c>
      <c r="W4195" s="64" t="n">
        <f aca="false">IF($K4195="U – needs rule",$P4195,0)</f>
        <v>0</v>
      </c>
      <c r="X4195" s="64" t="n">
        <f aca="false">IF($K4195="No Start (attainment only)",$P4195,0)</f>
        <v>0</v>
      </c>
    </row>
    <row r="4196" customFormat="false" ht="15" hidden="false" customHeight="false" outlineLevel="0" collapsed="false">
      <c r="A4196" s="60"/>
      <c r="B4196" s="61" t="str">
        <f aca="false">IF($M4196=0,"",INDEX(Classes!$E$6:$E$420,$M4196))</f>
        <v/>
      </c>
      <c r="C4196" s="62" t="str">
        <f aca="false">IF($M4196=0,"",INDEX(Classes!$H$6:$H$420,$M4196))</f>
        <v/>
      </c>
      <c r="D4196" s="61" t="str">
        <f aca="false">IF($M4196=0,"",INDEX(Classes!$B$6:$B$420,$M4196))</f>
        <v/>
      </c>
      <c r="E4196" s="61" t="str">
        <f aca="false">IF($M4196=0,"",INDEX(Classes!$C$6:$C$420,$M4196))</f>
        <v/>
      </c>
      <c r="F4196" s="63"/>
      <c r="G4196" s="63"/>
      <c r="H4196" s="60"/>
      <c r="I4196" s="60"/>
      <c r="J4196" s="63"/>
      <c r="K4196" s="61" t="str">
        <f aca="false">IF($P4196=0,"",IF($F4196="Baseline","— Baseline",IF($O4196=0,"No result",IF($N4196=0,"No Start (attainment only)",IF(OR($N4196=1,$O4196=1),"U – needs rule",INDEX(MxBody,MATCH($I4196,MxCurr,0),MATCH($H4196,MxStart,0)))))))</f>
        <v/>
      </c>
      <c r="L4196" s="62" t="str">
        <f aca="false">IF(COUNTA($A4196,$F4196,$G4196,$H4196,$I4196,$J4196)=0,"",IF($M4196=0,"✖ كود الصف غير موجود",IF(ISNA(MATCH($F4196,Lists!$A$2:$A$5,0)),"✖ الفترة غير صحيحة",IF(ISNA(MATCH($G4196,Lists!$B$2:$B$7,0)),"✖ المجموعة غير صحيحة",IF(NOT(OR($H4196="",$N4196&gt;0)),"✖ Start غير صحيح",IF(NOT(OR($I4196="",$I4196="NR",$O4196&gt;0)),"✖ Current غير صحيح",IF(NOT(IF(ISNUMBER($J4196),AND($J4196&gt;=0,$J4196=INT($J4196)),FALSE())),"✖ العدد يجب أن يكون صحيحًا ≥ 0",IF(AND($F4196="Baseline",$H4196&lt;&gt;""),"⚠ Baseline: Start لا يدخل في التقدم",IF($K4196="No Start (attainment only)","ℹ تحصيل فقط (بدون Start)",IF($K4196="U – needs rule","ℹ حالة U تحتاج قاعدة معتمدة",IF($K4196="No result","ℹ بدون نتيجة (يُستبعد من التحصيل)","OK")))))))))))</f>
        <v/>
      </c>
      <c r="M4196" s="64" t="n">
        <f aca="false">IF($A4196="",0,IFERROR(MATCH($A4196,Classes!$A$6:$A$420,0),0))</f>
        <v>0</v>
      </c>
      <c r="N4196" s="64" t="n">
        <f aca="false">IF($H4196="",0,IFERROR(MATCH($H4196,GradeList,0),0))</f>
        <v>0</v>
      </c>
      <c r="O4196" s="64" t="n">
        <f aca="false">IF(OR($I4196="",$I4196="NR"),0,IFERROR(MATCH($I4196,GradeList,0),0))</f>
        <v>0</v>
      </c>
      <c r="P4196" s="64" t="n">
        <f aca="false">IF(AND($M4196&gt;0,ISNUMBER(MATCH($F4196,Lists!$A$2:$A$5,0)),ISNUMBER(MATCH($G4196,Lists!$B$2:$B$7,0)),OR($H4196="",$N4196&gt;0),OR($I4196="",$I4196="NR",$O4196&gt;0),IF(ISNUMBER($J4196),AND($J4196&gt;=0,$J4196=INT($J4196)),FALSE())),$J4196,0)</f>
        <v>0</v>
      </c>
      <c r="Q4196" s="64" t="n">
        <f aca="false">IF(AND($P4196&gt;0,$O4196&gt;0),$P4196,0)</f>
        <v>0</v>
      </c>
      <c r="R4196" s="64" t="n">
        <f aca="false">IF(AND($Q4196&gt;0,$O4196&gt;=AtRank),$Q4196,0)</f>
        <v>0</v>
      </c>
      <c r="S4196" s="64" t="n">
        <f aca="false">IF(AND($Q4196&gt;0,$O4196&gt;=AboveRank),$Q4196,0)</f>
        <v>0</v>
      </c>
      <c r="T4196" s="64" t="n">
        <f aca="false">IF($K4196="Less",$P4196,0)</f>
        <v>0</v>
      </c>
      <c r="U4196" s="64" t="n">
        <f aca="false">IF($K4196="Expected",$P4196,0)</f>
        <v>0</v>
      </c>
      <c r="V4196" s="64" t="n">
        <f aca="false">IF($K4196="Better",$P4196,0)</f>
        <v>0</v>
      </c>
      <c r="W4196" s="64" t="n">
        <f aca="false">IF($K4196="U – needs rule",$P4196,0)</f>
        <v>0</v>
      </c>
      <c r="X4196" s="64" t="n">
        <f aca="false">IF($K4196="No Start (attainment only)",$P4196,0)</f>
        <v>0</v>
      </c>
    </row>
    <row r="4197" customFormat="false" ht="15" hidden="false" customHeight="false" outlineLevel="0" collapsed="false">
      <c r="A4197" s="60"/>
      <c r="B4197" s="61" t="str">
        <f aca="false">IF($M4197=0,"",INDEX(Classes!$E$6:$E$420,$M4197))</f>
        <v/>
      </c>
      <c r="C4197" s="62" t="str">
        <f aca="false">IF($M4197=0,"",INDEX(Classes!$H$6:$H$420,$M4197))</f>
        <v/>
      </c>
      <c r="D4197" s="61" t="str">
        <f aca="false">IF($M4197=0,"",INDEX(Classes!$B$6:$B$420,$M4197))</f>
        <v/>
      </c>
      <c r="E4197" s="61" t="str">
        <f aca="false">IF($M4197=0,"",INDEX(Classes!$C$6:$C$420,$M4197))</f>
        <v/>
      </c>
      <c r="F4197" s="63"/>
      <c r="G4197" s="63"/>
      <c r="H4197" s="60"/>
      <c r="I4197" s="60"/>
      <c r="J4197" s="63"/>
      <c r="K4197" s="61" t="str">
        <f aca="false">IF($P4197=0,"",IF($F4197="Baseline","— Baseline",IF($O4197=0,"No result",IF($N4197=0,"No Start (attainment only)",IF(OR($N4197=1,$O4197=1),"U – needs rule",INDEX(MxBody,MATCH($I4197,MxCurr,0),MATCH($H4197,MxStart,0)))))))</f>
        <v/>
      </c>
      <c r="L4197" s="62" t="str">
        <f aca="false">IF(COUNTA($A4197,$F4197,$G4197,$H4197,$I4197,$J4197)=0,"",IF($M4197=0,"✖ كود الصف غير موجود",IF(ISNA(MATCH($F4197,Lists!$A$2:$A$5,0)),"✖ الفترة غير صحيحة",IF(ISNA(MATCH($G4197,Lists!$B$2:$B$7,0)),"✖ المجموعة غير صحيحة",IF(NOT(OR($H4197="",$N4197&gt;0)),"✖ Start غير صحيح",IF(NOT(OR($I4197="",$I4197="NR",$O4197&gt;0)),"✖ Current غير صحيح",IF(NOT(IF(ISNUMBER($J4197),AND($J4197&gt;=0,$J4197=INT($J4197)),FALSE())),"✖ العدد يجب أن يكون صحيحًا ≥ 0",IF(AND($F4197="Baseline",$H4197&lt;&gt;""),"⚠ Baseline: Start لا يدخل في التقدم",IF($K4197="No Start (attainment only)","ℹ تحصيل فقط (بدون Start)",IF($K4197="U – needs rule","ℹ حالة U تحتاج قاعدة معتمدة",IF($K4197="No result","ℹ بدون نتيجة (يُستبعد من التحصيل)","OK")))))))))))</f>
        <v/>
      </c>
      <c r="M4197" s="64" t="n">
        <f aca="false">IF($A4197="",0,IFERROR(MATCH($A4197,Classes!$A$6:$A$420,0),0))</f>
        <v>0</v>
      </c>
      <c r="N4197" s="64" t="n">
        <f aca="false">IF($H4197="",0,IFERROR(MATCH($H4197,GradeList,0),0))</f>
        <v>0</v>
      </c>
      <c r="O4197" s="64" t="n">
        <f aca="false">IF(OR($I4197="",$I4197="NR"),0,IFERROR(MATCH($I4197,GradeList,0),0))</f>
        <v>0</v>
      </c>
      <c r="P4197" s="64" t="n">
        <f aca="false">IF(AND($M4197&gt;0,ISNUMBER(MATCH($F4197,Lists!$A$2:$A$5,0)),ISNUMBER(MATCH($G4197,Lists!$B$2:$B$7,0)),OR($H4197="",$N4197&gt;0),OR($I4197="",$I4197="NR",$O4197&gt;0),IF(ISNUMBER($J4197),AND($J4197&gt;=0,$J4197=INT($J4197)),FALSE())),$J4197,0)</f>
        <v>0</v>
      </c>
      <c r="Q4197" s="64" t="n">
        <f aca="false">IF(AND($P4197&gt;0,$O4197&gt;0),$P4197,0)</f>
        <v>0</v>
      </c>
      <c r="R4197" s="64" t="n">
        <f aca="false">IF(AND($Q4197&gt;0,$O4197&gt;=AtRank),$Q4197,0)</f>
        <v>0</v>
      </c>
      <c r="S4197" s="64" t="n">
        <f aca="false">IF(AND($Q4197&gt;0,$O4197&gt;=AboveRank),$Q4197,0)</f>
        <v>0</v>
      </c>
      <c r="T4197" s="64" t="n">
        <f aca="false">IF($K4197="Less",$P4197,0)</f>
        <v>0</v>
      </c>
      <c r="U4197" s="64" t="n">
        <f aca="false">IF($K4197="Expected",$P4197,0)</f>
        <v>0</v>
      </c>
      <c r="V4197" s="64" t="n">
        <f aca="false">IF($K4197="Better",$P4197,0)</f>
        <v>0</v>
      </c>
      <c r="W4197" s="64" t="n">
        <f aca="false">IF($K4197="U – needs rule",$P4197,0)</f>
        <v>0</v>
      </c>
      <c r="X4197" s="64" t="n">
        <f aca="false">IF($K4197="No Start (attainment only)",$P4197,0)</f>
        <v>0</v>
      </c>
    </row>
    <row r="4198" customFormat="false" ht="15" hidden="false" customHeight="false" outlineLevel="0" collapsed="false">
      <c r="A4198" s="60"/>
      <c r="B4198" s="61" t="str">
        <f aca="false">IF($M4198=0,"",INDEX(Classes!$E$6:$E$420,$M4198))</f>
        <v/>
      </c>
      <c r="C4198" s="62" t="str">
        <f aca="false">IF($M4198=0,"",INDEX(Classes!$H$6:$H$420,$M4198))</f>
        <v/>
      </c>
      <c r="D4198" s="61" t="str">
        <f aca="false">IF($M4198=0,"",INDEX(Classes!$B$6:$B$420,$M4198))</f>
        <v/>
      </c>
      <c r="E4198" s="61" t="str">
        <f aca="false">IF($M4198=0,"",INDEX(Classes!$C$6:$C$420,$M4198))</f>
        <v/>
      </c>
      <c r="F4198" s="63"/>
      <c r="G4198" s="63"/>
      <c r="H4198" s="60"/>
      <c r="I4198" s="60"/>
      <c r="J4198" s="63"/>
      <c r="K4198" s="61" t="str">
        <f aca="false">IF($P4198=0,"",IF($F4198="Baseline","— Baseline",IF($O4198=0,"No result",IF($N4198=0,"No Start (attainment only)",IF(OR($N4198=1,$O4198=1),"U – needs rule",INDEX(MxBody,MATCH($I4198,MxCurr,0),MATCH($H4198,MxStart,0)))))))</f>
        <v/>
      </c>
      <c r="L4198" s="62" t="str">
        <f aca="false">IF(COUNTA($A4198,$F4198,$G4198,$H4198,$I4198,$J4198)=0,"",IF($M4198=0,"✖ كود الصف غير موجود",IF(ISNA(MATCH($F4198,Lists!$A$2:$A$5,0)),"✖ الفترة غير صحيحة",IF(ISNA(MATCH($G4198,Lists!$B$2:$B$7,0)),"✖ المجموعة غير صحيحة",IF(NOT(OR($H4198="",$N4198&gt;0)),"✖ Start غير صحيح",IF(NOT(OR($I4198="",$I4198="NR",$O4198&gt;0)),"✖ Current غير صحيح",IF(NOT(IF(ISNUMBER($J4198),AND($J4198&gt;=0,$J4198=INT($J4198)),FALSE())),"✖ العدد يجب أن يكون صحيحًا ≥ 0",IF(AND($F4198="Baseline",$H4198&lt;&gt;""),"⚠ Baseline: Start لا يدخل في التقدم",IF($K4198="No Start (attainment only)","ℹ تحصيل فقط (بدون Start)",IF($K4198="U – needs rule","ℹ حالة U تحتاج قاعدة معتمدة",IF($K4198="No result","ℹ بدون نتيجة (يُستبعد من التحصيل)","OK")))))))))))</f>
        <v/>
      </c>
      <c r="M4198" s="64" t="n">
        <f aca="false">IF($A4198="",0,IFERROR(MATCH($A4198,Classes!$A$6:$A$420,0),0))</f>
        <v>0</v>
      </c>
      <c r="N4198" s="64" t="n">
        <f aca="false">IF($H4198="",0,IFERROR(MATCH($H4198,GradeList,0),0))</f>
        <v>0</v>
      </c>
      <c r="O4198" s="64" t="n">
        <f aca="false">IF(OR($I4198="",$I4198="NR"),0,IFERROR(MATCH($I4198,GradeList,0),0))</f>
        <v>0</v>
      </c>
      <c r="P4198" s="64" t="n">
        <f aca="false">IF(AND($M4198&gt;0,ISNUMBER(MATCH($F4198,Lists!$A$2:$A$5,0)),ISNUMBER(MATCH($G4198,Lists!$B$2:$B$7,0)),OR($H4198="",$N4198&gt;0),OR($I4198="",$I4198="NR",$O4198&gt;0),IF(ISNUMBER($J4198),AND($J4198&gt;=0,$J4198=INT($J4198)),FALSE())),$J4198,0)</f>
        <v>0</v>
      </c>
      <c r="Q4198" s="64" t="n">
        <f aca="false">IF(AND($P4198&gt;0,$O4198&gt;0),$P4198,0)</f>
        <v>0</v>
      </c>
      <c r="R4198" s="64" t="n">
        <f aca="false">IF(AND($Q4198&gt;0,$O4198&gt;=AtRank),$Q4198,0)</f>
        <v>0</v>
      </c>
      <c r="S4198" s="64" t="n">
        <f aca="false">IF(AND($Q4198&gt;0,$O4198&gt;=AboveRank),$Q4198,0)</f>
        <v>0</v>
      </c>
      <c r="T4198" s="64" t="n">
        <f aca="false">IF($K4198="Less",$P4198,0)</f>
        <v>0</v>
      </c>
      <c r="U4198" s="64" t="n">
        <f aca="false">IF($K4198="Expected",$P4198,0)</f>
        <v>0</v>
      </c>
      <c r="V4198" s="64" t="n">
        <f aca="false">IF($K4198="Better",$P4198,0)</f>
        <v>0</v>
      </c>
      <c r="W4198" s="64" t="n">
        <f aca="false">IF($K4198="U – needs rule",$P4198,0)</f>
        <v>0</v>
      </c>
      <c r="X4198" s="64" t="n">
        <f aca="false">IF($K4198="No Start (attainment only)",$P4198,0)</f>
        <v>0</v>
      </c>
    </row>
    <row r="4199" customFormat="false" ht="15" hidden="false" customHeight="false" outlineLevel="0" collapsed="false">
      <c r="A4199" s="60"/>
      <c r="B4199" s="61" t="str">
        <f aca="false">IF($M4199=0,"",INDEX(Classes!$E$6:$E$420,$M4199))</f>
        <v/>
      </c>
      <c r="C4199" s="62" t="str">
        <f aca="false">IF($M4199=0,"",INDEX(Classes!$H$6:$H$420,$M4199))</f>
        <v/>
      </c>
      <c r="D4199" s="61" t="str">
        <f aca="false">IF($M4199=0,"",INDEX(Classes!$B$6:$B$420,$M4199))</f>
        <v/>
      </c>
      <c r="E4199" s="61" t="str">
        <f aca="false">IF($M4199=0,"",INDEX(Classes!$C$6:$C$420,$M4199))</f>
        <v/>
      </c>
      <c r="F4199" s="63"/>
      <c r="G4199" s="63"/>
      <c r="H4199" s="60"/>
      <c r="I4199" s="60"/>
      <c r="J4199" s="63"/>
      <c r="K4199" s="61" t="str">
        <f aca="false">IF($P4199=0,"",IF($F4199="Baseline","— Baseline",IF($O4199=0,"No result",IF($N4199=0,"No Start (attainment only)",IF(OR($N4199=1,$O4199=1),"U – needs rule",INDEX(MxBody,MATCH($I4199,MxCurr,0),MATCH($H4199,MxStart,0)))))))</f>
        <v/>
      </c>
      <c r="L4199" s="62" t="str">
        <f aca="false">IF(COUNTA($A4199,$F4199,$G4199,$H4199,$I4199,$J4199)=0,"",IF($M4199=0,"✖ كود الصف غير موجود",IF(ISNA(MATCH($F4199,Lists!$A$2:$A$5,0)),"✖ الفترة غير صحيحة",IF(ISNA(MATCH($G4199,Lists!$B$2:$B$7,0)),"✖ المجموعة غير صحيحة",IF(NOT(OR($H4199="",$N4199&gt;0)),"✖ Start غير صحيح",IF(NOT(OR($I4199="",$I4199="NR",$O4199&gt;0)),"✖ Current غير صحيح",IF(NOT(IF(ISNUMBER($J4199),AND($J4199&gt;=0,$J4199=INT($J4199)),FALSE())),"✖ العدد يجب أن يكون صحيحًا ≥ 0",IF(AND($F4199="Baseline",$H4199&lt;&gt;""),"⚠ Baseline: Start لا يدخل في التقدم",IF($K4199="No Start (attainment only)","ℹ تحصيل فقط (بدون Start)",IF($K4199="U – needs rule","ℹ حالة U تحتاج قاعدة معتمدة",IF($K4199="No result","ℹ بدون نتيجة (يُستبعد من التحصيل)","OK")))))))))))</f>
        <v/>
      </c>
      <c r="M4199" s="64" t="n">
        <f aca="false">IF($A4199="",0,IFERROR(MATCH($A4199,Classes!$A$6:$A$420,0),0))</f>
        <v>0</v>
      </c>
      <c r="N4199" s="64" t="n">
        <f aca="false">IF($H4199="",0,IFERROR(MATCH($H4199,GradeList,0),0))</f>
        <v>0</v>
      </c>
      <c r="O4199" s="64" t="n">
        <f aca="false">IF(OR($I4199="",$I4199="NR"),0,IFERROR(MATCH($I4199,GradeList,0),0))</f>
        <v>0</v>
      </c>
      <c r="P4199" s="64" t="n">
        <f aca="false">IF(AND($M4199&gt;0,ISNUMBER(MATCH($F4199,Lists!$A$2:$A$5,0)),ISNUMBER(MATCH($G4199,Lists!$B$2:$B$7,0)),OR($H4199="",$N4199&gt;0),OR($I4199="",$I4199="NR",$O4199&gt;0),IF(ISNUMBER($J4199),AND($J4199&gt;=0,$J4199=INT($J4199)),FALSE())),$J4199,0)</f>
        <v>0</v>
      </c>
      <c r="Q4199" s="64" t="n">
        <f aca="false">IF(AND($P4199&gt;0,$O4199&gt;0),$P4199,0)</f>
        <v>0</v>
      </c>
      <c r="R4199" s="64" t="n">
        <f aca="false">IF(AND($Q4199&gt;0,$O4199&gt;=AtRank),$Q4199,0)</f>
        <v>0</v>
      </c>
      <c r="S4199" s="64" t="n">
        <f aca="false">IF(AND($Q4199&gt;0,$O4199&gt;=AboveRank),$Q4199,0)</f>
        <v>0</v>
      </c>
      <c r="T4199" s="64" t="n">
        <f aca="false">IF($K4199="Less",$P4199,0)</f>
        <v>0</v>
      </c>
      <c r="U4199" s="64" t="n">
        <f aca="false">IF($K4199="Expected",$P4199,0)</f>
        <v>0</v>
      </c>
      <c r="V4199" s="64" t="n">
        <f aca="false">IF($K4199="Better",$P4199,0)</f>
        <v>0</v>
      </c>
      <c r="W4199" s="64" t="n">
        <f aca="false">IF($K4199="U – needs rule",$P4199,0)</f>
        <v>0</v>
      </c>
      <c r="X4199" s="64" t="n">
        <f aca="false">IF($K4199="No Start (attainment only)",$P4199,0)</f>
        <v>0</v>
      </c>
    </row>
    <row r="4200" customFormat="false" ht="15" hidden="false" customHeight="false" outlineLevel="0" collapsed="false">
      <c r="A4200" s="60"/>
      <c r="B4200" s="61" t="str">
        <f aca="false">IF($M4200=0,"",INDEX(Classes!$E$6:$E$420,$M4200))</f>
        <v/>
      </c>
      <c r="C4200" s="62" t="str">
        <f aca="false">IF($M4200=0,"",INDEX(Classes!$H$6:$H$420,$M4200))</f>
        <v/>
      </c>
      <c r="D4200" s="61" t="str">
        <f aca="false">IF($M4200=0,"",INDEX(Classes!$B$6:$B$420,$M4200))</f>
        <v/>
      </c>
      <c r="E4200" s="61" t="str">
        <f aca="false">IF($M4200=0,"",INDEX(Classes!$C$6:$C$420,$M4200))</f>
        <v/>
      </c>
      <c r="F4200" s="63"/>
      <c r="G4200" s="63"/>
      <c r="H4200" s="60"/>
      <c r="I4200" s="60"/>
      <c r="J4200" s="63"/>
      <c r="K4200" s="61" t="str">
        <f aca="false">IF($P4200=0,"",IF($F4200="Baseline","— Baseline",IF($O4200=0,"No result",IF($N4200=0,"No Start (attainment only)",IF(OR($N4200=1,$O4200=1),"U – needs rule",INDEX(MxBody,MATCH($I4200,MxCurr,0),MATCH($H4200,MxStart,0)))))))</f>
        <v/>
      </c>
      <c r="L4200" s="62" t="str">
        <f aca="false">IF(COUNTA($A4200,$F4200,$G4200,$H4200,$I4200,$J4200)=0,"",IF($M4200=0,"✖ كود الصف غير موجود",IF(ISNA(MATCH($F4200,Lists!$A$2:$A$5,0)),"✖ الفترة غير صحيحة",IF(ISNA(MATCH($G4200,Lists!$B$2:$B$7,0)),"✖ المجموعة غير صحيحة",IF(NOT(OR($H4200="",$N4200&gt;0)),"✖ Start غير صحيح",IF(NOT(OR($I4200="",$I4200="NR",$O4200&gt;0)),"✖ Current غير صحيح",IF(NOT(IF(ISNUMBER($J4200),AND($J4200&gt;=0,$J4200=INT($J4200)),FALSE())),"✖ العدد يجب أن يكون صحيحًا ≥ 0",IF(AND($F4200="Baseline",$H4200&lt;&gt;""),"⚠ Baseline: Start لا يدخل في التقدم",IF($K4200="No Start (attainment only)","ℹ تحصيل فقط (بدون Start)",IF($K4200="U – needs rule","ℹ حالة U تحتاج قاعدة معتمدة",IF($K4200="No result","ℹ بدون نتيجة (يُستبعد من التحصيل)","OK")))))))))))</f>
        <v/>
      </c>
      <c r="M4200" s="64" t="n">
        <f aca="false">IF($A4200="",0,IFERROR(MATCH($A4200,Classes!$A$6:$A$420,0),0))</f>
        <v>0</v>
      </c>
      <c r="N4200" s="64" t="n">
        <f aca="false">IF($H4200="",0,IFERROR(MATCH($H4200,GradeList,0),0))</f>
        <v>0</v>
      </c>
      <c r="O4200" s="64" t="n">
        <f aca="false">IF(OR($I4200="",$I4200="NR"),0,IFERROR(MATCH($I4200,GradeList,0),0))</f>
        <v>0</v>
      </c>
      <c r="P4200" s="64" t="n">
        <f aca="false">IF(AND($M4200&gt;0,ISNUMBER(MATCH($F4200,Lists!$A$2:$A$5,0)),ISNUMBER(MATCH($G4200,Lists!$B$2:$B$7,0)),OR($H4200="",$N4200&gt;0),OR($I4200="",$I4200="NR",$O4200&gt;0),IF(ISNUMBER($J4200),AND($J4200&gt;=0,$J4200=INT($J4200)),FALSE())),$J4200,0)</f>
        <v>0</v>
      </c>
      <c r="Q4200" s="64" t="n">
        <f aca="false">IF(AND($P4200&gt;0,$O4200&gt;0),$P4200,0)</f>
        <v>0</v>
      </c>
      <c r="R4200" s="64" t="n">
        <f aca="false">IF(AND($Q4200&gt;0,$O4200&gt;=AtRank),$Q4200,0)</f>
        <v>0</v>
      </c>
      <c r="S4200" s="64" t="n">
        <f aca="false">IF(AND($Q4200&gt;0,$O4200&gt;=AboveRank),$Q4200,0)</f>
        <v>0</v>
      </c>
      <c r="T4200" s="64" t="n">
        <f aca="false">IF($K4200="Less",$P4200,0)</f>
        <v>0</v>
      </c>
      <c r="U4200" s="64" t="n">
        <f aca="false">IF($K4200="Expected",$P4200,0)</f>
        <v>0</v>
      </c>
      <c r="V4200" s="64" t="n">
        <f aca="false">IF($K4200="Better",$P4200,0)</f>
        <v>0</v>
      </c>
      <c r="W4200" s="64" t="n">
        <f aca="false">IF($K4200="U – needs rule",$P4200,0)</f>
        <v>0</v>
      </c>
      <c r="X4200" s="64" t="n">
        <f aca="false">IF($K4200="No Start (attainment only)",$P4200,0)</f>
        <v>0</v>
      </c>
    </row>
    <row r="4201" customFormat="false" ht="15" hidden="false" customHeight="false" outlineLevel="0" collapsed="false">
      <c r="A4201" s="60"/>
      <c r="B4201" s="61" t="str">
        <f aca="false">IF($M4201=0,"",INDEX(Classes!$E$6:$E$420,$M4201))</f>
        <v/>
      </c>
      <c r="C4201" s="62" t="str">
        <f aca="false">IF($M4201=0,"",INDEX(Classes!$H$6:$H$420,$M4201))</f>
        <v/>
      </c>
      <c r="D4201" s="61" t="str">
        <f aca="false">IF($M4201=0,"",INDEX(Classes!$B$6:$B$420,$M4201))</f>
        <v/>
      </c>
      <c r="E4201" s="61" t="str">
        <f aca="false">IF($M4201=0,"",INDEX(Classes!$C$6:$C$420,$M4201))</f>
        <v/>
      </c>
      <c r="F4201" s="63"/>
      <c r="G4201" s="63"/>
      <c r="H4201" s="60"/>
      <c r="I4201" s="60"/>
      <c r="J4201" s="63"/>
      <c r="K4201" s="61" t="str">
        <f aca="false">IF($P4201=0,"",IF($F4201="Baseline","— Baseline",IF($O4201=0,"No result",IF($N4201=0,"No Start (attainment only)",IF(OR($N4201=1,$O4201=1),"U – needs rule",INDEX(MxBody,MATCH($I4201,MxCurr,0),MATCH($H4201,MxStart,0)))))))</f>
        <v/>
      </c>
      <c r="L4201" s="62" t="str">
        <f aca="false">IF(COUNTA($A4201,$F4201,$G4201,$H4201,$I4201,$J4201)=0,"",IF($M4201=0,"✖ كود الصف غير موجود",IF(ISNA(MATCH($F4201,Lists!$A$2:$A$5,0)),"✖ الفترة غير صحيحة",IF(ISNA(MATCH($G4201,Lists!$B$2:$B$7,0)),"✖ المجموعة غير صحيحة",IF(NOT(OR($H4201="",$N4201&gt;0)),"✖ Start غير صحيح",IF(NOT(OR($I4201="",$I4201="NR",$O4201&gt;0)),"✖ Current غير صحيح",IF(NOT(IF(ISNUMBER($J4201),AND($J4201&gt;=0,$J4201=INT($J4201)),FALSE())),"✖ العدد يجب أن يكون صحيحًا ≥ 0",IF(AND($F4201="Baseline",$H4201&lt;&gt;""),"⚠ Baseline: Start لا يدخل في التقدم",IF($K4201="No Start (attainment only)","ℹ تحصيل فقط (بدون Start)",IF($K4201="U – needs rule","ℹ حالة U تحتاج قاعدة معتمدة",IF($K4201="No result","ℹ بدون نتيجة (يُستبعد من التحصيل)","OK")))))))))))</f>
        <v/>
      </c>
      <c r="M4201" s="64" t="n">
        <f aca="false">IF($A4201="",0,IFERROR(MATCH($A4201,Classes!$A$6:$A$420,0),0))</f>
        <v>0</v>
      </c>
      <c r="N4201" s="64" t="n">
        <f aca="false">IF($H4201="",0,IFERROR(MATCH($H4201,GradeList,0),0))</f>
        <v>0</v>
      </c>
      <c r="O4201" s="64" t="n">
        <f aca="false">IF(OR($I4201="",$I4201="NR"),0,IFERROR(MATCH($I4201,GradeList,0),0))</f>
        <v>0</v>
      </c>
      <c r="P4201" s="64" t="n">
        <f aca="false">IF(AND($M4201&gt;0,ISNUMBER(MATCH($F4201,Lists!$A$2:$A$5,0)),ISNUMBER(MATCH($G4201,Lists!$B$2:$B$7,0)),OR($H4201="",$N4201&gt;0),OR($I4201="",$I4201="NR",$O4201&gt;0),IF(ISNUMBER($J4201),AND($J4201&gt;=0,$J4201=INT($J4201)),FALSE())),$J4201,0)</f>
        <v>0</v>
      </c>
      <c r="Q4201" s="64" t="n">
        <f aca="false">IF(AND($P4201&gt;0,$O4201&gt;0),$P4201,0)</f>
        <v>0</v>
      </c>
      <c r="R4201" s="64" t="n">
        <f aca="false">IF(AND($Q4201&gt;0,$O4201&gt;=AtRank),$Q4201,0)</f>
        <v>0</v>
      </c>
      <c r="S4201" s="64" t="n">
        <f aca="false">IF(AND($Q4201&gt;0,$O4201&gt;=AboveRank),$Q4201,0)</f>
        <v>0</v>
      </c>
      <c r="T4201" s="64" t="n">
        <f aca="false">IF($K4201="Less",$P4201,0)</f>
        <v>0</v>
      </c>
      <c r="U4201" s="64" t="n">
        <f aca="false">IF($K4201="Expected",$P4201,0)</f>
        <v>0</v>
      </c>
      <c r="V4201" s="64" t="n">
        <f aca="false">IF($K4201="Better",$P4201,0)</f>
        <v>0</v>
      </c>
      <c r="W4201" s="64" t="n">
        <f aca="false">IF($K4201="U – needs rule",$P4201,0)</f>
        <v>0</v>
      </c>
      <c r="X4201" s="64" t="n">
        <f aca="false">IF($K4201="No Start (attainment only)",$P4201,0)</f>
        <v>0</v>
      </c>
    </row>
    <row r="4202" customFormat="false" ht="15" hidden="false" customHeight="false" outlineLevel="0" collapsed="false">
      <c r="A4202" s="60"/>
      <c r="B4202" s="61" t="str">
        <f aca="false">IF($M4202=0,"",INDEX(Classes!$E$6:$E$420,$M4202))</f>
        <v/>
      </c>
      <c r="C4202" s="62" t="str">
        <f aca="false">IF($M4202=0,"",INDEX(Classes!$H$6:$H$420,$M4202))</f>
        <v/>
      </c>
      <c r="D4202" s="61" t="str">
        <f aca="false">IF($M4202=0,"",INDEX(Classes!$B$6:$B$420,$M4202))</f>
        <v/>
      </c>
      <c r="E4202" s="61" t="str">
        <f aca="false">IF($M4202=0,"",INDEX(Classes!$C$6:$C$420,$M4202))</f>
        <v/>
      </c>
      <c r="F4202" s="63"/>
      <c r="G4202" s="63"/>
      <c r="H4202" s="60"/>
      <c r="I4202" s="60"/>
      <c r="J4202" s="63"/>
      <c r="K4202" s="61" t="str">
        <f aca="false">IF($P4202=0,"",IF($F4202="Baseline","— Baseline",IF($O4202=0,"No result",IF($N4202=0,"No Start (attainment only)",IF(OR($N4202=1,$O4202=1),"U – needs rule",INDEX(MxBody,MATCH($I4202,MxCurr,0),MATCH($H4202,MxStart,0)))))))</f>
        <v/>
      </c>
      <c r="L4202" s="62" t="str">
        <f aca="false">IF(COUNTA($A4202,$F4202,$G4202,$H4202,$I4202,$J4202)=0,"",IF($M4202=0,"✖ كود الصف غير موجود",IF(ISNA(MATCH($F4202,Lists!$A$2:$A$5,0)),"✖ الفترة غير صحيحة",IF(ISNA(MATCH($G4202,Lists!$B$2:$B$7,0)),"✖ المجموعة غير صحيحة",IF(NOT(OR($H4202="",$N4202&gt;0)),"✖ Start غير صحيح",IF(NOT(OR($I4202="",$I4202="NR",$O4202&gt;0)),"✖ Current غير صحيح",IF(NOT(IF(ISNUMBER($J4202),AND($J4202&gt;=0,$J4202=INT($J4202)),FALSE())),"✖ العدد يجب أن يكون صحيحًا ≥ 0",IF(AND($F4202="Baseline",$H4202&lt;&gt;""),"⚠ Baseline: Start لا يدخل في التقدم",IF($K4202="No Start (attainment only)","ℹ تحصيل فقط (بدون Start)",IF($K4202="U – needs rule","ℹ حالة U تحتاج قاعدة معتمدة",IF($K4202="No result","ℹ بدون نتيجة (يُستبعد من التحصيل)","OK")))))))))))</f>
        <v/>
      </c>
      <c r="M4202" s="64" t="n">
        <f aca="false">IF($A4202="",0,IFERROR(MATCH($A4202,Classes!$A$6:$A$420,0),0))</f>
        <v>0</v>
      </c>
      <c r="N4202" s="64" t="n">
        <f aca="false">IF($H4202="",0,IFERROR(MATCH($H4202,GradeList,0),0))</f>
        <v>0</v>
      </c>
      <c r="O4202" s="64" t="n">
        <f aca="false">IF(OR($I4202="",$I4202="NR"),0,IFERROR(MATCH($I4202,GradeList,0),0))</f>
        <v>0</v>
      </c>
      <c r="P4202" s="64" t="n">
        <f aca="false">IF(AND($M4202&gt;0,ISNUMBER(MATCH($F4202,Lists!$A$2:$A$5,0)),ISNUMBER(MATCH($G4202,Lists!$B$2:$B$7,0)),OR($H4202="",$N4202&gt;0),OR($I4202="",$I4202="NR",$O4202&gt;0),IF(ISNUMBER($J4202),AND($J4202&gt;=0,$J4202=INT($J4202)),FALSE())),$J4202,0)</f>
        <v>0</v>
      </c>
      <c r="Q4202" s="64" t="n">
        <f aca="false">IF(AND($P4202&gt;0,$O4202&gt;0),$P4202,0)</f>
        <v>0</v>
      </c>
      <c r="R4202" s="64" t="n">
        <f aca="false">IF(AND($Q4202&gt;0,$O4202&gt;=AtRank),$Q4202,0)</f>
        <v>0</v>
      </c>
      <c r="S4202" s="64" t="n">
        <f aca="false">IF(AND($Q4202&gt;0,$O4202&gt;=AboveRank),$Q4202,0)</f>
        <v>0</v>
      </c>
      <c r="T4202" s="64" t="n">
        <f aca="false">IF($K4202="Less",$P4202,0)</f>
        <v>0</v>
      </c>
      <c r="U4202" s="64" t="n">
        <f aca="false">IF($K4202="Expected",$P4202,0)</f>
        <v>0</v>
      </c>
      <c r="V4202" s="64" t="n">
        <f aca="false">IF($K4202="Better",$P4202,0)</f>
        <v>0</v>
      </c>
      <c r="W4202" s="64" t="n">
        <f aca="false">IF($K4202="U – needs rule",$P4202,0)</f>
        <v>0</v>
      </c>
      <c r="X4202" s="64" t="n">
        <f aca="false">IF($K4202="No Start (attainment only)",$P4202,0)</f>
        <v>0</v>
      </c>
    </row>
    <row r="4203" customFormat="false" ht="15" hidden="false" customHeight="false" outlineLevel="0" collapsed="false">
      <c r="A4203" s="60"/>
      <c r="B4203" s="61" t="str">
        <f aca="false">IF($M4203=0,"",INDEX(Classes!$E$6:$E$420,$M4203))</f>
        <v/>
      </c>
      <c r="C4203" s="62" t="str">
        <f aca="false">IF($M4203=0,"",INDEX(Classes!$H$6:$H$420,$M4203))</f>
        <v/>
      </c>
      <c r="D4203" s="61" t="str">
        <f aca="false">IF($M4203=0,"",INDEX(Classes!$B$6:$B$420,$M4203))</f>
        <v/>
      </c>
      <c r="E4203" s="61" t="str">
        <f aca="false">IF($M4203=0,"",INDEX(Classes!$C$6:$C$420,$M4203))</f>
        <v/>
      </c>
      <c r="F4203" s="63"/>
      <c r="G4203" s="63"/>
      <c r="H4203" s="60"/>
      <c r="I4203" s="60"/>
      <c r="J4203" s="63"/>
      <c r="K4203" s="61" t="str">
        <f aca="false">IF($P4203=0,"",IF($F4203="Baseline","— Baseline",IF($O4203=0,"No result",IF($N4203=0,"No Start (attainment only)",IF(OR($N4203=1,$O4203=1),"U – needs rule",INDEX(MxBody,MATCH($I4203,MxCurr,0),MATCH($H4203,MxStart,0)))))))</f>
        <v/>
      </c>
      <c r="L4203" s="62" t="str">
        <f aca="false">IF(COUNTA($A4203,$F4203,$G4203,$H4203,$I4203,$J4203)=0,"",IF($M4203=0,"✖ كود الصف غير موجود",IF(ISNA(MATCH($F4203,Lists!$A$2:$A$5,0)),"✖ الفترة غير صحيحة",IF(ISNA(MATCH($G4203,Lists!$B$2:$B$7,0)),"✖ المجموعة غير صحيحة",IF(NOT(OR($H4203="",$N4203&gt;0)),"✖ Start غير صحيح",IF(NOT(OR($I4203="",$I4203="NR",$O4203&gt;0)),"✖ Current غير صحيح",IF(NOT(IF(ISNUMBER($J4203),AND($J4203&gt;=0,$J4203=INT($J4203)),FALSE())),"✖ العدد يجب أن يكون صحيحًا ≥ 0",IF(AND($F4203="Baseline",$H4203&lt;&gt;""),"⚠ Baseline: Start لا يدخل في التقدم",IF($K4203="No Start (attainment only)","ℹ تحصيل فقط (بدون Start)",IF($K4203="U – needs rule","ℹ حالة U تحتاج قاعدة معتمدة",IF($K4203="No result","ℹ بدون نتيجة (يُستبعد من التحصيل)","OK")))))))))))</f>
        <v/>
      </c>
      <c r="M4203" s="64" t="n">
        <f aca="false">IF($A4203="",0,IFERROR(MATCH($A4203,Classes!$A$6:$A$420,0),0))</f>
        <v>0</v>
      </c>
      <c r="N4203" s="64" t="n">
        <f aca="false">IF($H4203="",0,IFERROR(MATCH($H4203,GradeList,0),0))</f>
        <v>0</v>
      </c>
      <c r="O4203" s="64" t="n">
        <f aca="false">IF(OR($I4203="",$I4203="NR"),0,IFERROR(MATCH($I4203,GradeList,0),0))</f>
        <v>0</v>
      </c>
      <c r="P4203" s="64" t="n">
        <f aca="false">IF(AND($M4203&gt;0,ISNUMBER(MATCH($F4203,Lists!$A$2:$A$5,0)),ISNUMBER(MATCH($G4203,Lists!$B$2:$B$7,0)),OR($H4203="",$N4203&gt;0),OR($I4203="",$I4203="NR",$O4203&gt;0),IF(ISNUMBER($J4203),AND($J4203&gt;=0,$J4203=INT($J4203)),FALSE())),$J4203,0)</f>
        <v>0</v>
      </c>
      <c r="Q4203" s="64" t="n">
        <f aca="false">IF(AND($P4203&gt;0,$O4203&gt;0),$P4203,0)</f>
        <v>0</v>
      </c>
      <c r="R4203" s="64" t="n">
        <f aca="false">IF(AND($Q4203&gt;0,$O4203&gt;=AtRank),$Q4203,0)</f>
        <v>0</v>
      </c>
      <c r="S4203" s="64" t="n">
        <f aca="false">IF(AND($Q4203&gt;0,$O4203&gt;=AboveRank),$Q4203,0)</f>
        <v>0</v>
      </c>
      <c r="T4203" s="64" t="n">
        <f aca="false">IF($K4203="Less",$P4203,0)</f>
        <v>0</v>
      </c>
      <c r="U4203" s="64" t="n">
        <f aca="false">IF($K4203="Expected",$P4203,0)</f>
        <v>0</v>
      </c>
      <c r="V4203" s="64" t="n">
        <f aca="false">IF($K4203="Better",$P4203,0)</f>
        <v>0</v>
      </c>
      <c r="W4203" s="64" t="n">
        <f aca="false">IF($K4203="U – needs rule",$P4203,0)</f>
        <v>0</v>
      </c>
      <c r="X4203" s="64" t="n">
        <f aca="false">IF($K4203="No Start (attainment only)",$P4203,0)</f>
        <v>0</v>
      </c>
    </row>
    <row r="4204" customFormat="false" ht="15" hidden="false" customHeight="false" outlineLevel="0" collapsed="false">
      <c r="A4204" s="60"/>
      <c r="B4204" s="61" t="str">
        <f aca="false">IF($M4204=0,"",INDEX(Classes!$E$6:$E$420,$M4204))</f>
        <v/>
      </c>
      <c r="C4204" s="62" t="str">
        <f aca="false">IF($M4204=0,"",INDEX(Classes!$H$6:$H$420,$M4204))</f>
        <v/>
      </c>
      <c r="D4204" s="61" t="str">
        <f aca="false">IF($M4204=0,"",INDEX(Classes!$B$6:$B$420,$M4204))</f>
        <v/>
      </c>
      <c r="E4204" s="61" t="str">
        <f aca="false">IF($M4204=0,"",INDEX(Classes!$C$6:$C$420,$M4204))</f>
        <v/>
      </c>
      <c r="F4204" s="63"/>
      <c r="G4204" s="63"/>
      <c r="H4204" s="60"/>
      <c r="I4204" s="60"/>
      <c r="J4204" s="63"/>
      <c r="K4204" s="61" t="str">
        <f aca="false">IF($P4204=0,"",IF($F4204="Baseline","— Baseline",IF($O4204=0,"No result",IF($N4204=0,"No Start (attainment only)",IF(OR($N4204=1,$O4204=1),"U – needs rule",INDEX(MxBody,MATCH($I4204,MxCurr,0),MATCH($H4204,MxStart,0)))))))</f>
        <v/>
      </c>
      <c r="L4204" s="62" t="str">
        <f aca="false">IF(COUNTA($A4204,$F4204,$G4204,$H4204,$I4204,$J4204)=0,"",IF($M4204=0,"✖ كود الصف غير موجود",IF(ISNA(MATCH($F4204,Lists!$A$2:$A$5,0)),"✖ الفترة غير صحيحة",IF(ISNA(MATCH($G4204,Lists!$B$2:$B$7,0)),"✖ المجموعة غير صحيحة",IF(NOT(OR($H4204="",$N4204&gt;0)),"✖ Start غير صحيح",IF(NOT(OR($I4204="",$I4204="NR",$O4204&gt;0)),"✖ Current غير صحيح",IF(NOT(IF(ISNUMBER($J4204),AND($J4204&gt;=0,$J4204=INT($J4204)),FALSE())),"✖ العدد يجب أن يكون صحيحًا ≥ 0",IF(AND($F4204="Baseline",$H4204&lt;&gt;""),"⚠ Baseline: Start لا يدخل في التقدم",IF($K4204="No Start (attainment only)","ℹ تحصيل فقط (بدون Start)",IF($K4204="U – needs rule","ℹ حالة U تحتاج قاعدة معتمدة",IF($K4204="No result","ℹ بدون نتيجة (يُستبعد من التحصيل)","OK")))))))))))</f>
        <v/>
      </c>
      <c r="M4204" s="64" t="n">
        <f aca="false">IF($A4204="",0,IFERROR(MATCH($A4204,Classes!$A$6:$A$420,0),0))</f>
        <v>0</v>
      </c>
      <c r="N4204" s="64" t="n">
        <f aca="false">IF($H4204="",0,IFERROR(MATCH($H4204,GradeList,0),0))</f>
        <v>0</v>
      </c>
      <c r="O4204" s="64" t="n">
        <f aca="false">IF(OR($I4204="",$I4204="NR"),0,IFERROR(MATCH($I4204,GradeList,0),0))</f>
        <v>0</v>
      </c>
      <c r="P4204" s="64" t="n">
        <f aca="false">IF(AND($M4204&gt;0,ISNUMBER(MATCH($F4204,Lists!$A$2:$A$5,0)),ISNUMBER(MATCH($G4204,Lists!$B$2:$B$7,0)),OR($H4204="",$N4204&gt;0),OR($I4204="",$I4204="NR",$O4204&gt;0),IF(ISNUMBER($J4204),AND($J4204&gt;=0,$J4204=INT($J4204)),FALSE())),$J4204,0)</f>
        <v>0</v>
      </c>
      <c r="Q4204" s="64" t="n">
        <f aca="false">IF(AND($P4204&gt;0,$O4204&gt;0),$P4204,0)</f>
        <v>0</v>
      </c>
      <c r="R4204" s="64" t="n">
        <f aca="false">IF(AND($Q4204&gt;0,$O4204&gt;=AtRank),$Q4204,0)</f>
        <v>0</v>
      </c>
      <c r="S4204" s="64" t="n">
        <f aca="false">IF(AND($Q4204&gt;0,$O4204&gt;=AboveRank),$Q4204,0)</f>
        <v>0</v>
      </c>
      <c r="T4204" s="64" t="n">
        <f aca="false">IF($K4204="Less",$P4204,0)</f>
        <v>0</v>
      </c>
      <c r="U4204" s="64" t="n">
        <f aca="false">IF($K4204="Expected",$P4204,0)</f>
        <v>0</v>
      </c>
      <c r="V4204" s="64" t="n">
        <f aca="false">IF($K4204="Better",$P4204,0)</f>
        <v>0</v>
      </c>
      <c r="W4204" s="64" t="n">
        <f aca="false">IF($K4204="U – needs rule",$P4204,0)</f>
        <v>0</v>
      </c>
      <c r="X4204" s="64" t="n">
        <f aca="false">IF($K4204="No Start (attainment only)",$P4204,0)</f>
        <v>0</v>
      </c>
    </row>
    <row r="4205" customFormat="false" ht="15" hidden="false" customHeight="false" outlineLevel="0" collapsed="false">
      <c r="A4205" s="60"/>
      <c r="B4205" s="61" t="str">
        <f aca="false">IF($M4205=0,"",INDEX(Classes!$E$6:$E$420,$M4205))</f>
        <v/>
      </c>
      <c r="C4205" s="62" t="str">
        <f aca="false">IF($M4205=0,"",INDEX(Classes!$H$6:$H$420,$M4205))</f>
        <v/>
      </c>
      <c r="D4205" s="61" t="str">
        <f aca="false">IF($M4205=0,"",INDEX(Classes!$B$6:$B$420,$M4205))</f>
        <v/>
      </c>
      <c r="E4205" s="61" t="str">
        <f aca="false">IF($M4205=0,"",INDEX(Classes!$C$6:$C$420,$M4205))</f>
        <v/>
      </c>
      <c r="F4205" s="63"/>
      <c r="G4205" s="63"/>
      <c r="H4205" s="60"/>
      <c r="I4205" s="60"/>
      <c r="J4205" s="63"/>
      <c r="K4205" s="61" t="str">
        <f aca="false">IF($P4205=0,"",IF($F4205="Baseline","— Baseline",IF($O4205=0,"No result",IF($N4205=0,"No Start (attainment only)",IF(OR($N4205=1,$O4205=1),"U – needs rule",INDEX(MxBody,MATCH($I4205,MxCurr,0),MATCH($H4205,MxStart,0)))))))</f>
        <v/>
      </c>
      <c r="L4205" s="62" t="str">
        <f aca="false">IF(COUNTA($A4205,$F4205,$G4205,$H4205,$I4205,$J4205)=0,"",IF($M4205=0,"✖ كود الصف غير موجود",IF(ISNA(MATCH($F4205,Lists!$A$2:$A$5,0)),"✖ الفترة غير صحيحة",IF(ISNA(MATCH($G4205,Lists!$B$2:$B$7,0)),"✖ المجموعة غير صحيحة",IF(NOT(OR($H4205="",$N4205&gt;0)),"✖ Start غير صحيح",IF(NOT(OR($I4205="",$I4205="NR",$O4205&gt;0)),"✖ Current غير صحيح",IF(NOT(IF(ISNUMBER($J4205),AND($J4205&gt;=0,$J4205=INT($J4205)),FALSE())),"✖ العدد يجب أن يكون صحيحًا ≥ 0",IF(AND($F4205="Baseline",$H4205&lt;&gt;""),"⚠ Baseline: Start لا يدخل في التقدم",IF($K4205="No Start (attainment only)","ℹ تحصيل فقط (بدون Start)",IF($K4205="U – needs rule","ℹ حالة U تحتاج قاعدة معتمدة",IF($K4205="No result","ℹ بدون نتيجة (يُستبعد من التحصيل)","OK")))))))))))</f>
        <v/>
      </c>
      <c r="M4205" s="64" t="n">
        <f aca="false">IF($A4205="",0,IFERROR(MATCH($A4205,Classes!$A$6:$A$420,0),0))</f>
        <v>0</v>
      </c>
      <c r="N4205" s="64" t="n">
        <f aca="false">IF($H4205="",0,IFERROR(MATCH($H4205,GradeList,0),0))</f>
        <v>0</v>
      </c>
      <c r="O4205" s="64" t="n">
        <f aca="false">IF(OR($I4205="",$I4205="NR"),0,IFERROR(MATCH($I4205,GradeList,0),0))</f>
        <v>0</v>
      </c>
      <c r="P4205" s="64" t="n">
        <f aca="false">IF(AND($M4205&gt;0,ISNUMBER(MATCH($F4205,Lists!$A$2:$A$5,0)),ISNUMBER(MATCH($G4205,Lists!$B$2:$B$7,0)),OR($H4205="",$N4205&gt;0),OR($I4205="",$I4205="NR",$O4205&gt;0),IF(ISNUMBER($J4205),AND($J4205&gt;=0,$J4205=INT($J4205)),FALSE())),$J4205,0)</f>
        <v>0</v>
      </c>
      <c r="Q4205" s="64" t="n">
        <f aca="false">IF(AND($P4205&gt;0,$O4205&gt;0),$P4205,0)</f>
        <v>0</v>
      </c>
      <c r="R4205" s="64" t="n">
        <f aca="false">IF(AND($Q4205&gt;0,$O4205&gt;=AtRank),$Q4205,0)</f>
        <v>0</v>
      </c>
      <c r="S4205" s="64" t="n">
        <f aca="false">IF(AND($Q4205&gt;0,$O4205&gt;=AboveRank),$Q4205,0)</f>
        <v>0</v>
      </c>
      <c r="T4205" s="64" t="n">
        <f aca="false">IF($K4205="Less",$P4205,0)</f>
        <v>0</v>
      </c>
      <c r="U4205" s="64" t="n">
        <f aca="false">IF($K4205="Expected",$P4205,0)</f>
        <v>0</v>
      </c>
      <c r="V4205" s="64" t="n">
        <f aca="false">IF($K4205="Better",$P4205,0)</f>
        <v>0</v>
      </c>
      <c r="W4205" s="64" t="n">
        <f aca="false">IF($K4205="U – needs rule",$P4205,0)</f>
        <v>0</v>
      </c>
      <c r="X4205" s="64" t="n">
        <f aca="false">IF($K4205="No Start (attainment only)",$P4205,0)</f>
        <v>0</v>
      </c>
    </row>
    <row r="4206" customFormat="false" ht="15" hidden="false" customHeight="false" outlineLevel="0" collapsed="false">
      <c r="A4206" s="60"/>
      <c r="B4206" s="61" t="str">
        <f aca="false">IF($M4206=0,"",INDEX(Classes!$E$6:$E$420,$M4206))</f>
        <v/>
      </c>
      <c r="C4206" s="62" t="str">
        <f aca="false">IF($M4206=0,"",INDEX(Classes!$H$6:$H$420,$M4206))</f>
        <v/>
      </c>
      <c r="D4206" s="61" t="str">
        <f aca="false">IF($M4206=0,"",INDEX(Classes!$B$6:$B$420,$M4206))</f>
        <v/>
      </c>
      <c r="E4206" s="61" t="str">
        <f aca="false">IF($M4206=0,"",INDEX(Classes!$C$6:$C$420,$M4206))</f>
        <v/>
      </c>
      <c r="F4206" s="63"/>
      <c r="G4206" s="63"/>
      <c r="H4206" s="60"/>
      <c r="I4206" s="60"/>
      <c r="J4206" s="63"/>
      <c r="K4206" s="61" t="str">
        <f aca="false">IF($P4206=0,"",IF($F4206="Baseline","— Baseline",IF($O4206=0,"No result",IF($N4206=0,"No Start (attainment only)",IF(OR($N4206=1,$O4206=1),"U – needs rule",INDEX(MxBody,MATCH($I4206,MxCurr,0),MATCH($H4206,MxStart,0)))))))</f>
        <v/>
      </c>
      <c r="L4206" s="62" t="str">
        <f aca="false">IF(COUNTA($A4206,$F4206,$G4206,$H4206,$I4206,$J4206)=0,"",IF($M4206=0,"✖ كود الصف غير موجود",IF(ISNA(MATCH($F4206,Lists!$A$2:$A$5,0)),"✖ الفترة غير صحيحة",IF(ISNA(MATCH($G4206,Lists!$B$2:$B$7,0)),"✖ المجموعة غير صحيحة",IF(NOT(OR($H4206="",$N4206&gt;0)),"✖ Start غير صحيح",IF(NOT(OR($I4206="",$I4206="NR",$O4206&gt;0)),"✖ Current غير صحيح",IF(NOT(IF(ISNUMBER($J4206),AND($J4206&gt;=0,$J4206=INT($J4206)),FALSE())),"✖ العدد يجب أن يكون صحيحًا ≥ 0",IF(AND($F4206="Baseline",$H4206&lt;&gt;""),"⚠ Baseline: Start لا يدخل في التقدم",IF($K4206="No Start (attainment only)","ℹ تحصيل فقط (بدون Start)",IF($K4206="U – needs rule","ℹ حالة U تحتاج قاعدة معتمدة",IF($K4206="No result","ℹ بدون نتيجة (يُستبعد من التحصيل)","OK")))))))))))</f>
        <v/>
      </c>
      <c r="M4206" s="64" t="n">
        <f aca="false">IF($A4206="",0,IFERROR(MATCH($A4206,Classes!$A$6:$A$420,0),0))</f>
        <v>0</v>
      </c>
      <c r="N4206" s="64" t="n">
        <f aca="false">IF($H4206="",0,IFERROR(MATCH($H4206,GradeList,0),0))</f>
        <v>0</v>
      </c>
      <c r="O4206" s="64" t="n">
        <f aca="false">IF(OR($I4206="",$I4206="NR"),0,IFERROR(MATCH($I4206,GradeList,0),0))</f>
        <v>0</v>
      </c>
      <c r="P4206" s="64" t="n">
        <f aca="false">IF(AND($M4206&gt;0,ISNUMBER(MATCH($F4206,Lists!$A$2:$A$5,0)),ISNUMBER(MATCH($G4206,Lists!$B$2:$B$7,0)),OR($H4206="",$N4206&gt;0),OR($I4206="",$I4206="NR",$O4206&gt;0),IF(ISNUMBER($J4206),AND($J4206&gt;=0,$J4206=INT($J4206)),FALSE())),$J4206,0)</f>
        <v>0</v>
      </c>
      <c r="Q4206" s="64" t="n">
        <f aca="false">IF(AND($P4206&gt;0,$O4206&gt;0),$P4206,0)</f>
        <v>0</v>
      </c>
      <c r="R4206" s="64" t="n">
        <f aca="false">IF(AND($Q4206&gt;0,$O4206&gt;=AtRank),$Q4206,0)</f>
        <v>0</v>
      </c>
      <c r="S4206" s="64" t="n">
        <f aca="false">IF(AND($Q4206&gt;0,$O4206&gt;=AboveRank),$Q4206,0)</f>
        <v>0</v>
      </c>
      <c r="T4206" s="64" t="n">
        <f aca="false">IF($K4206="Less",$P4206,0)</f>
        <v>0</v>
      </c>
      <c r="U4206" s="64" t="n">
        <f aca="false">IF($K4206="Expected",$P4206,0)</f>
        <v>0</v>
      </c>
      <c r="V4206" s="64" t="n">
        <f aca="false">IF($K4206="Better",$P4206,0)</f>
        <v>0</v>
      </c>
      <c r="W4206" s="64" t="n">
        <f aca="false">IF($K4206="U – needs rule",$P4206,0)</f>
        <v>0</v>
      </c>
      <c r="X4206" s="64" t="n">
        <f aca="false">IF($K4206="No Start (attainment only)",$P4206,0)</f>
        <v>0</v>
      </c>
    </row>
    <row r="4207" customFormat="false" ht="15" hidden="false" customHeight="false" outlineLevel="0" collapsed="false">
      <c r="A4207" s="60"/>
      <c r="B4207" s="61" t="str">
        <f aca="false">IF($M4207=0,"",INDEX(Classes!$E$6:$E$420,$M4207))</f>
        <v/>
      </c>
      <c r="C4207" s="62" t="str">
        <f aca="false">IF($M4207=0,"",INDEX(Classes!$H$6:$H$420,$M4207))</f>
        <v/>
      </c>
      <c r="D4207" s="61" t="str">
        <f aca="false">IF($M4207=0,"",INDEX(Classes!$B$6:$B$420,$M4207))</f>
        <v/>
      </c>
      <c r="E4207" s="61" t="str">
        <f aca="false">IF($M4207=0,"",INDEX(Classes!$C$6:$C$420,$M4207))</f>
        <v/>
      </c>
      <c r="F4207" s="63"/>
      <c r="G4207" s="63"/>
      <c r="H4207" s="60"/>
      <c r="I4207" s="60"/>
      <c r="J4207" s="63"/>
      <c r="K4207" s="61" t="str">
        <f aca="false">IF($P4207=0,"",IF($F4207="Baseline","— Baseline",IF($O4207=0,"No result",IF($N4207=0,"No Start (attainment only)",IF(OR($N4207=1,$O4207=1),"U – needs rule",INDEX(MxBody,MATCH($I4207,MxCurr,0),MATCH($H4207,MxStart,0)))))))</f>
        <v/>
      </c>
      <c r="L4207" s="62" t="str">
        <f aca="false">IF(COUNTA($A4207,$F4207,$G4207,$H4207,$I4207,$J4207)=0,"",IF($M4207=0,"✖ كود الصف غير موجود",IF(ISNA(MATCH($F4207,Lists!$A$2:$A$5,0)),"✖ الفترة غير صحيحة",IF(ISNA(MATCH($G4207,Lists!$B$2:$B$7,0)),"✖ المجموعة غير صحيحة",IF(NOT(OR($H4207="",$N4207&gt;0)),"✖ Start غير صحيح",IF(NOT(OR($I4207="",$I4207="NR",$O4207&gt;0)),"✖ Current غير صحيح",IF(NOT(IF(ISNUMBER($J4207),AND($J4207&gt;=0,$J4207=INT($J4207)),FALSE())),"✖ العدد يجب أن يكون صحيحًا ≥ 0",IF(AND($F4207="Baseline",$H4207&lt;&gt;""),"⚠ Baseline: Start لا يدخل في التقدم",IF($K4207="No Start (attainment only)","ℹ تحصيل فقط (بدون Start)",IF($K4207="U – needs rule","ℹ حالة U تحتاج قاعدة معتمدة",IF($K4207="No result","ℹ بدون نتيجة (يُستبعد من التحصيل)","OK")))))))))))</f>
        <v/>
      </c>
      <c r="M4207" s="64" t="n">
        <f aca="false">IF($A4207="",0,IFERROR(MATCH($A4207,Classes!$A$6:$A$420,0),0))</f>
        <v>0</v>
      </c>
      <c r="N4207" s="64" t="n">
        <f aca="false">IF($H4207="",0,IFERROR(MATCH($H4207,GradeList,0),0))</f>
        <v>0</v>
      </c>
      <c r="O4207" s="64" t="n">
        <f aca="false">IF(OR($I4207="",$I4207="NR"),0,IFERROR(MATCH($I4207,GradeList,0),0))</f>
        <v>0</v>
      </c>
      <c r="P4207" s="64" t="n">
        <f aca="false">IF(AND($M4207&gt;0,ISNUMBER(MATCH($F4207,Lists!$A$2:$A$5,0)),ISNUMBER(MATCH($G4207,Lists!$B$2:$B$7,0)),OR($H4207="",$N4207&gt;0),OR($I4207="",$I4207="NR",$O4207&gt;0),IF(ISNUMBER($J4207),AND($J4207&gt;=0,$J4207=INT($J4207)),FALSE())),$J4207,0)</f>
        <v>0</v>
      </c>
      <c r="Q4207" s="64" t="n">
        <f aca="false">IF(AND($P4207&gt;0,$O4207&gt;0),$P4207,0)</f>
        <v>0</v>
      </c>
      <c r="R4207" s="64" t="n">
        <f aca="false">IF(AND($Q4207&gt;0,$O4207&gt;=AtRank),$Q4207,0)</f>
        <v>0</v>
      </c>
      <c r="S4207" s="64" t="n">
        <f aca="false">IF(AND($Q4207&gt;0,$O4207&gt;=AboveRank),$Q4207,0)</f>
        <v>0</v>
      </c>
      <c r="T4207" s="64" t="n">
        <f aca="false">IF($K4207="Less",$P4207,0)</f>
        <v>0</v>
      </c>
      <c r="U4207" s="64" t="n">
        <f aca="false">IF($K4207="Expected",$P4207,0)</f>
        <v>0</v>
      </c>
      <c r="V4207" s="64" t="n">
        <f aca="false">IF($K4207="Better",$P4207,0)</f>
        <v>0</v>
      </c>
      <c r="W4207" s="64" t="n">
        <f aca="false">IF($K4207="U – needs rule",$P4207,0)</f>
        <v>0</v>
      </c>
      <c r="X4207" s="64" t="n">
        <f aca="false">IF($K4207="No Start (attainment only)",$P4207,0)</f>
        <v>0</v>
      </c>
    </row>
    <row r="4208" customFormat="false" ht="15" hidden="false" customHeight="false" outlineLevel="0" collapsed="false">
      <c r="A4208" s="60"/>
      <c r="B4208" s="61" t="str">
        <f aca="false">IF($M4208=0,"",INDEX(Classes!$E$6:$E$420,$M4208))</f>
        <v/>
      </c>
      <c r="C4208" s="62" t="str">
        <f aca="false">IF($M4208=0,"",INDEX(Classes!$H$6:$H$420,$M4208))</f>
        <v/>
      </c>
      <c r="D4208" s="61" t="str">
        <f aca="false">IF($M4208=0,"",INDEX(Classes!$B$6:$B$420,$M4208))</f>
        <v/>
      </c>
      <c r="E4208" s="61" t="str">
        <f aca="false">IF($M4208=0,"",INDEX(Classes!$C$6:$C$420,$M4208))</f>
        <v/>
      </c>
      <c r="F4208" s="63"/>
      <c r="G4208" s="63"/>
      <c r="H4208" s="60"/>
      <c r="I4208" s="60"/>
      <c r="J4208" s="63"/>
      <c r="K4208" s="61" t="str">
        <f aca="false">IF($P4208=0,"",IF($F4208="Baseline","— Baseline",IF($O4208=0,"No result",IF($N4208=0,"No Start (attainment only)",IF(OR($N4208=1,$O4208=1),"U – needs rule",INDEX(MxBody,MATCH($I4208,MxCurr,0),MATCH($H4208,MxStart,0)))))))</f>
        <v/>
      </c>
      <c r="L4208" s="62" t="str">
        <f aca="false">IF(COUNTA($A4208,$F4208,$G4208,$H4208,$I4208,$J4208)=0,"",IF($M4208=0,"✖ كود الصف غير موجود",IF(ISNA(MATCH($F4208,Lists!$A$2:$A$5,0)),"✖ الفترة غير صحيحة",IF(ISNA(MATCH($G4208,Lists!$B$2:$B$7,0)),"✖ المجموعة غير صحيحة",IF(NOT(OR($H4208="",$N4208&gt;0)),"✖ Start غير صحيح",IF(NOT(OR($I4208="",$I4208="NR",$O4208&gt;0)),"✖ Current غير صحيح",IF(NOT(IF(ISNUMBER($J4208),AND($J4208&gt;=0,$J4208=INT($J4208)),FALSE())),"✖ العدد يجب أن يكون صحيحًا ≥ 0",IF(AND($F4208="Baseline",$H4208&lt;&gt;""),"⚠ Baseline: Start لا يدخل في التقدم",IF($K4208="No Start (attainment only)","ℹ تحصيل فقط (بدون Start)",IF($K4208="U – needs rule","ℹ حالة U تحتاج قاعدة معتمدة",IF($K4208="No result","ℹ بدون نتيجة (يُستبعد من التحصيل)","OK")))))))))))</f>
        <v/>
      </c>
      <c r="M4208" s="64" t="n">
        <f aca="false">IF($A4208="",0,IFERROR(MATCH($A4208,Classes!$A$6:$A$420,0),0))</f>
        <v>0</v>
      </c>
      <c r="N4208" s="64" t="n">
        <f aca="false">IF($H4208="",0,IFERROR(MATCH($H4208,GradeList,0),0))</f>
        <v>0</v>
      </c>
      <c r="O4208" s="64" t="n">
        <f aca="false">IF(OR($I4208="",$I4208="NR"),0,IFERROR(MATCH($I4208,GradeList,0),0))</f>
        <v>0</v>
      </c>
      <c r="P4208" s="64" t="n">
        <f aca="false">IF(AND($M4208&gt;0,ISNUMBER(MATCH($F4208,Lists!$A$2:$A$5,0)),ISNUMBER(MATCH($G4208,Lists!$B$2:$B$7,0)),OR($H4208="",$N4208&gt;0),OR($I4208="",$I4208="NR",$O4208&gt;0),IF(ISNUMBER($J4208),AND($J4208&gt;=0,$J4208=INT($J4208)),FALSE())),$J4208,0)</f>
        <v>0</v>
      </c>
      <c r="Q4208" s="64" t="n">
        <f aca="false">IF(AND($P4208&gt;0,$O4208&gt;0),$P4208,0)</f>
        <v>0</v>
      </c>
      <c r="R4208" s="64" t="n">
        <f aca="false">IF(AND($Q4208&gt;0,$O4208&gt;=AtRank),$Q4208,0)</f>
        <v>0</v>
      </c>
      <c r="S4208" s="64" t="n">
        <f aca="false">IF(AND($Q4208&gt;0,$O4208&gt;=AboveRank),$Q4208,0)</f>
        <v>0</v>
      </c>
      <c r="T4208" s="64" t="n">
        <f aca="false">IF($K4208="Less",$P4208,0)</f>
        <v>0</v>
      </c>
      <c r="U4208" s="64" t="n">
        <f aca="false">IF($K4208="Expected",$P4208,0)</f>
        <v>0</v>
      </c>
      <c r="V4208" s="64" t="n">
        <f aca="false">IF($K4208="Better",$P4208,0)</f>
        <v>0</v>
      </c>
      <c r="W4208" s="64" t="n">
        <f aca="false">IF($K4208="U – needs rule",$P4208,0)</f>
        <v>0</v>
      </c>
      <c r="X4208" s="64" t="n">
        <f aca="false">IF($K4208="No Start (attainment only)",$P4208,0)</f>
        <v>0</v>
      </c>
    </row>
    <row r="4209" customFormat="false" ht="15" hidden="false" customHeight="false" outlineLevel="0" collapsed="false">
      <c r="A4209" s="60"/>
      <c r="B4209" s="61" t="str">
        <f aca="false">IF($M4209=0,"",INDEX(Classes!$E$6:$E$420,$M4209))</f>
        <v/>
      </c>
      <c r="C4209" s="62" t="str">
        <f aca="false">IF($M4209=0,"",INDEX(Classes!$H$6:$H$420,$M4209))</f>
        <v/>
      </c>
      <c r="D4209" s="61" t="str">
        <f aca="false">IF($M4209=0,"",INDEX(Classes!$B$6:$B$420,$M4209))</f>
        <v/>
      </c>
      <c r="E4209" s="61" t="str">
        <f aca="false">IF($M4209=0,"",INDEX(Classes!$C$6:$C$420,$M4209))</f>
        <v/>
      </c>
      <c r="F4209" s="63"/>
      <c r="G4209" s="63"/>
      <c r="H4209" s="60"/>
      <c r="I4209" s="60"/>
      <c r="J4209" s="63"/>
      <c r="K4209" s="61" t="str">
        <f aca="false">IF($P4209=0,"",IF($F4209="Baseline","— Baseline",IF($O4209=0,"No result",IF($N4209=0,"No Start (attainment only)",IF(OR($N4209=1,$O4209=1),"U – needs rule",INDEX(MxBody,MATCH($I4209,MxCurr,0),MATCH($H4209,MxStart,0)))))))</f>
        <v/>
      </c>
      <c r="L4209" s="62" t="str">
        <f aca="false">IF(COUNTA($A4209,$F4209,$G4209,$H4209,$I4209,$J4209)=0,"",IF($M4209=0,"✖ كود الصف غير موجود",IF(ISNA(MATCH($F4209,Lists!$A$2:$A$5,0)),"✖ الفترة غير صحيحة",IF(ISNA(MATCH($G4209,Lists!$B$2:$B$7,0)),"✖ المجموعة غير صحيحة",IF(NOT(OR($H4209="",$N4209&gt;0)),"✖ Start غير صحيح",IF(NOT(OR($I4209="",$I4209="NR",$O4209&gt;0)),"✖ Current غير صحيح",IF(NOT(IF(ISNUMBER($J4209),AND($J4209&gt;=0,$J4209=INT($J4209)),FALSE())),"✖ العدد يجب أن يكون صحيحًا ≥ 0",IF(AND($F4209="Baseline",$H4209&lt;&gt;""),"⚠ Baseline: Start لا يدخل في التقدم",IF($K4209="No Start (attainment only)","ℹ تحصيل فقط (بدون Start)",IF($K4209="U – needs rule","ℹ حالة U تحتاج قاعدة معتمدة",IF($K4209="No result","ℹ بدون نتيجة (يُستبعد من التحصيل)","OK")))))))))))</f>
        <v/>
      </c>
      <c r="M4209" s="64" t="n">
        <f aca="false">IF($A4209="",0,IFERROR(MATCH($A4209,Classes!$A$6:$A$420,0),0))</f>
        <v>0</v>
      </c>
      <c r="N4209" s="64" t="n">
        <f aca="false">IF($H4209="",0,IFERROR(MATCH($H4209,GradeList,0),0))</f>
        <v>0</v>
      </c>
      <c r="O4209" s="64" t="n">
        <f aca="false">IF(OR($I4209="",$I4209="NR"),0,IFERROR(MATCH($I4209,GradeList,0),0))</f>
        <v>0</v>
      </c>
      <c r="P4209" s="64" t="n">
        <f aca="false">IF(AND($M4209&gt;0,ISNUMBER(MATCH($F4209,Lists!$A$2:$A$5,0)),ISNUMBER(MATCH($G4209,Lists!$B$2:$B$7,0)),OR($H4209="",$N4209&gt;0),OR($I4209="",$I4209="NR",$O4209&gt;0),IF(ISNUMBER($J4209),AND($J4209&gt;=0,$J4209=INT($J4209)),FALSE())),$J4209,0)</f>
        <v>0</v>
      </c>
      <c r="Q4209" s="64" t="n">
        <f aca="false">IF(AND($P4209&gt;0,$O4209&gt;0),$P4209,0)</f>
        <v>0</v>
      </c>
      <c r="R4209" s="64" t="n">
        <f aca="false">IF(AND($Q4209&gt;0,$O4209&gt;=AtRank),$Q4209,0)</f>
        <v>0</v>
      </c>
      <c r="S4209" s="64" t="n">
        <f aca="false">IF(AND($Q4209&gt;0,$O4209&gt;=AboveRank),$Q4209,0)</f>
        <v>0</v>
      </c>
      <c r="T4209" s="64" t="n">
        <f aca="false">IF($K4209="Less",$P4209,0)</f>
        <v>0</v>
      </c>
      <c r="U4209" s="64" t="n">
        <f aca="false">IF($K4209="Expected",$P4209,0)</f>
        <v>0</v>
      </c>
      <c r="V4209" s="64" t="n">
        <f aca="false">IF($K4209="Better",$P4209,0)</f>
        <v>0</v>
      </c>
      <c r="W4209" s="64" t="n">
        <f aca="false">IF($K4209="U – needs rule",$P4209,0)</f>
        <v>0</v>
      </c>
      <c r="X4209" s="64" t="n">
        <f aca="false">IF($K4209="No Start (attainment only)",$P4209,0)</f>
        <v>0</v>
      </c>
    </row>
    <row r="4210" customFormat="false" ht="15" hidden="false" customHeight="false" outlineLevel="0" collapsed="false">
      <c r="A4210" s="60"/>
      <c r="B4210" s="61" t="str">
        <f aca="false">IF($M4210=0,"",INDEX(Classes!$E$6:$E$420,$M4210))</f>
        <v/>
      </c>
      <c r="C4210" s="62" t="str">
        <f aca="false">IF($M4210=0,"",INDEX(Classes!$H$6:$H$420,$M4210))</f>
        <v/>
      </c>
      <c r="D4210" s="61" t="str">
        <f aca="false">IF($M4210=0,"",INDEX(Classes!$B$6:$B$420,$M4210))</f>
        <v/>
      </c>
      <c r="E4210" s="61" t="str">
        <f aca="false">IF($M4210=0,"",INDEX(Classes!$C$6:$C$420,$M4210))</f>
        <v/>
      </c>
      <c r="F4210" s="63"/>
      <c r="G4210" s="63"/>
      <c r="H4210" s="60"/>
      <c r="I4210" s="60"/>
      <c r="J4210" s="63"/>
      <c r="K4210" s="61" t="str">
        <f aca="false">IF($P4210=0,"",IF($F4210="Baseline","— Baseline",IF($O4210=0,"No result",IF($N4210=0,"No Start (attainment only)",IF(OR($N4210=1,$O4210=1),"U – needs rule",INDEX(MxBody,MATCH($I4210,MxCurr,0),MATCH($H4210,MxStart,0)))))))</f>
        <v/>
      </c>
      <c r="L4210" s="62" t="str">
        <f aca="false">IF(COUNTA($A4210,$F4210,$G4210,$H4210,$I4210,$J4210)=0,"",IF($M4210=0,"✖ كود الصف غير موجود",IF(ISNA(MATCH($F4210,Lists!$A$2:$A$5,0)),"✖ الفترة غير صحيحة",IF(ISNA(MATCH($G4210,Lists!$B$2:$B$7,0)),"✖ المجموعة غير صحيحة",IF(NOT(OR($H4210="",$N4210&gt;0)),"✖ Start غير صحيح",IF(NOT(OR($I4210="",$I4210="NR",$O4210&gt;0)),"✖ Current غير صحيح",IF(NOT(IF(ISNUMBER($J4210),AND($J4210&gt;=0,$J4210=INT($J4210)),FALSE())),"✖ العدد يجب أن يكون صحيحًا ≥ 0",IF(AND($F4210="Baseline",$H4210&lt;&gt;""),"⚠ Baseline: Start لا يدخل في التقدم",IF($K4210="No Start (attainment only)","ℹ تحصيل فقط (بدون Start)",IF($K4210="U – needs rule","ℹ حالة U تحتاج قاعدة معتمدة",IF($K4210="No result","ℹ بدون نتيجة (يُستبعد من التحصيل)","OK")))))))))))</f>
        <v/>
      </c>
      <c r="M4210" s="64" t="n">
        <f aca="false">IF($A4210="",0,IFERROR(MATCH($A4210,Classes!$A$6:$A$420,0),0))</f>
        <v>0</v>
      </c>
      <c r="N4210" s="64" t="n">
        <f aca="false">IF($H4210="",0,IFERROR(MATCH($H4210,GradeList,0),0))</f>
        <v>0</v>
      </c>
      <c r="O4210" s="64" t="n">
        <f aca="false">IF(OR($I4210="",$I4210="NR"),0,IFERROR(MATCH($I4210,GradeList,0),0))</f>
        <v>0</v>
      </c>
      <c r="P4210" s="64" t="n">
        <f aca="false">IF(AND($M4210&gt;0,ISNUMBER(MATCH($F4210,Lists!$A$2:$A$5,0)),ISNUMBER(MATCH($G4210,Lists!$B$2:$B$7,0)),OR($H4210="",$N4210&gt;0),OR($I4210="",$I4210="NR",$O4210&gt;0),IF(ISNUMBER($J4210),AND($J4210&gt;=0,$J4210=INT($J4210)),FALSE())),$J4210,0)</f>
        <v>0</v>
      </c>
      <c r="Q4210" s="64" t="n">
        <f aca="false">IF(AND($P4210&gt;0,$O4210&gt;0),$P4210,0)</f>
        <v>0</v>
      </c>
      <c r="R4210" s="64" t="n">
        <f aca="false">IF(AND($Q4210&gt;0,$O4210&gt;=AtRank),$Q4210,0)</f>
        <v>0</v>
      </c>
      <c r="S4210" s="64" t="n">
        <f aca="false">IF(AND($Q4210&gt;0,$O4210&gt;=AboveRank),$Q4210,0)</f>
        <v>0</v>
      </c>
      <c r="T4210" s="64" t="n">
        <f aca="false">IF($K4210="Less",$P4210,0)</f>
        <v>0</v>
      </c>
      <c r="U4210" s="64" t="n">
        <f aca="false">IF($K4210="Expected",$P4210,0)</f>
        <v>0</v>
      </c>
      <c r="V4210" s="64" t="n">
        <f aca="false">IF($K4210="Better",$P4210,0)</f>
        <v>0</v>
      </c>
      <c r="W4210" s="64" t="n">
        <f aca="false">IF($K4210="U – needs rule",$P4210,0)</f>
        <v>0</v>
      </c>
      <c r="X4210" s="64" t="n">
        <f aca="false">IF($K4210="No Start (attainment only)",$P4210,0)</f>
        <v>0</v>
      </c>
    </row>
    <row r="4211" customFormat="false" ht="15" hidden="false" customHeight="false" outlineLevel="0" collapsed="false">
      <c r="A4211" s="60"/>
      <c r="B4211" s="61" t="str">
        <f aca="false">IF($M4211=0,"",INDEX(Classes!$E$6:$E$420,$M4211))</f>
        <v/>
      </c>
      <c r="C4211" s="62" t="str">
        <f aca="false">IF($M4211=0,"",INDEX(Classes!$H$6:$H$420,$M4211))</f>
        <v/>
      </c>
      <c r="D4211" s="61" t="str">
        <f aca="false">IF($M4211=0,"",INDEX(Classes!$B$6:$B$420,$M4211))</f>
        <v/>
      </c>
      <c r="E4211" s="61" t="str">
        <f aca="false">IF($M4211=0,"",INDEX(Classes!$C$6:$C$420,$M4211))</f>
        <v/>
      </c>
      <c r="F4211" s="63"/>
      <c r="G4211" s="63"/>
      <c r="H4211" s="60"/>
      <c r="I4211" s="60"/>
      <c r="J4211" s="63"/>
      <c r="K4211" s="61" t="str">
        <f aca="false">IF($P4211=0,"",IF($F4211="Baseline","— Baseline",IF($O4211=0,"No result",IF($N4211=0,"No Start (attainment only)",IF(OR($N4211=1,$O4211=1),"U – needs rule",INDEX(MxBody,MATCH($I4211,MxCurr,0),MATCH($H4211,MxStart,0)))))))</f>
        <v/>
      </c>
      <c r="L4211" s="62" t="str">
        <f aca="false">IF(COUNTA($A4211,$F4211,$G4211,$H4211,$I4211,$J4211)=0,"",IF($M4211=0,"✖ كود الصف غير موجود",IF(ISNA(MATCH($F4211,Lists!$A$2:$A$5,0)),"✖ الفترة غير صحيحة",IF(ISNA(MATCH($G4211,Lists!$B$2:$B$7,0)),"✖ المجموعة غير صحيحة",IF(NOT(OR($H4211="",$N4211&gt;0)),"✖ Start غير صحيح",IF(NOT(OR($I4211="",$I4211="NR",$O4211&gt;0)),"✖ Current غير صحيح",IF(NOT(IF(ISNUMBER($J4211),AND($J4211&gt;=0,$J4211=INT($J4211)),FALSE())),"✖ العدد يجب أن يكون صحيحًا ≥ 0",IF(AND($F4211="Baseline",$H4211&lt;&gt;""),"⚠ Baseline: Start لا يدخل في التقدم",IF($K4211="No Start (attainment only)","ℹ تحصيل فقط (بدون Start)",IF($K4211="U – needs rule","ℹ حالة U تحتاج قاعدة معتمدة",IF($K4211="No result","ℹ بدون نتيجة (يُستبعد من التحصيل)","OK")))))))))))</f>
        <v/>
      </c>
      <c r="M4211" s="64" t="n">
        <f aca="false">IF($A4211="",0,IFERROR(MATCH($A4211,Classes!$A$6:$A$420,0),0))</f>
        <v>0</v>
      </c>
      <c r="N4211" s="64" t="n">
        <f aca="false">IF($H4211="",0,IFERROR(MATCH($H4211,GradeList,0),0))</f>
        <v>0</v>
      </c>
      <c r="O4211" s="64" t="n">
        <f aca="false">IF(OR($I4211="",$I4211="NR"),0,IFERROR(MATCH($I4211,GradeList,0),0))</f>
        <v>0</v>
      </c>
      <c r="P4211" s="64" t="n">
        <f aca="false">IF(AND($M4211&gt;0,ISNUMBER(MATCH($F4211,Lists!$A$2:$A$5,0)),ISNUMBER(MATCH($G4211,Lists!$B$2:$B$7,0)),OR($H4211="",$N4211&gt;0),OR($I4211="",$I4211="NR",$O4211&gt;0),IF(ISNUMBER($J4211),AND($J4211&gt;=0,$J4211=INT($J4211)),FALSE())),$J4211,0)</f>
        <v>0</v>
      </c>
      <c r="Q4211" s="64" t="n">
        <f aca="false">IF(AND($P4211&gt;0,$O4211&gt;0),$P4211,0)</f>
        <v>0</v>
      </c>
      <c r="R4211" s="64" t="n">
        <f aca="false">IF(AND($Q4211&gt;0,$O4211&gt;=AtRank),$Q4211,0)</f>
        <v>0</v>
      </c>
      <c r="S4211" s="64" t="n">
        <f aca="false">IF(AND($Q4211&gt;0,$O4211&gt;=AboveRank),$Q4211,0)</f>
        <v>0</v>
      </c>
      <c r="T4211" s="64" t="n">
        <f aca="false">IF($K4211="Less",$P4211,0)</f>
        <v>0</v>
      </c>
      <c r="U4211" s="64" t="n">
        <f aca="false">IF($K4211="Expected",$P4211,0)</f>
        <v>0</v>
      </c>
      <c r="V4211" s="64" t="n">
        <f aca="false">IF($K4211="Better",$P4211,0)</f>
        <v>0</v>
      </c>
      <c r="W4211" s="64" t="n">
        <f aca="false">IF($K4211="U – needs rule",$P4211,0)</f>
        <v>0</v>
      </c>
      <c r="X4211" s="64" t="n">
        <f aca="false">IF($K4211="No Start (attainment only)",$P4211,0)</f>
        <v>0</v>
      </c>
    </row>
    <row r="4212" customFormat="false" ht="15" hidden="false" customHeight="false" outlineLevel="0" collapsed="false">
      <c r="A4212" s="60"/>
      <c r="B4212" s="61" t="str">
        <f aca="false">IF($M4212=0,"",INDEX(Classes!$E$6:$E$420,$M4212))</f>
        <v/>
      </c>
      <c r="C4212" s="62" t="str">
        <f aca="false">IF($M4212=0,"",INDEX(Classes!$H$6:$H$420,$M4212))</f>
        <v/>
      </c>
      <c r="D4212" s="61" t="str">
        <f aca="false">IF($M4212=0,"",INDEX(Classes!$B$6:$B$420,$M4212))</f>
        <v/>
      </c>
      <c r="E4212" s="61" t="str">
        <f aca="false">IF($M4212=0,"",INDEX(Classes!$C$6:$C$420,$M4212))</f>
        <v/>
      </c>
      <c r="F4212" s="63"/>
      <c r="G4212" s="63"/>
      <c r="H4212" s="60"/>
      <c r="I4212" s="60"/>
      <c r="J4212" s="63"/>
      <c r="K4212" s="61" t="str">
        <f aca="false">IF($P4212=0,"",IF($F4212="Baseline","— Baseline",IF($O4212=0,"No result",IF($N4212=0,"No Start (attainment only)",IF(OR($N4212=1,$O4212=1),"U – needs rule",INDEX(MxBody,MATCH($I4212,MxCurr,0),MATCH($H4212,MxStart,0)))))))</f>
        <v/>
      </c>
      <c r="L4212" s="62" t="str">
        <f aca="false">IF(COUNTA($A4212,$F4212,$G4212,$H4212,$I4212,$J4212)=0,"",IF($M4212=0,"✖ كود الصف غير موجود",IF(ISNA(MATCH($F4212,Lists!$A$2:$A$5,0)),"✖ الفترة غير صحيحة",IF(ISNA(MATCH($G4212,Lists!$B$2:$B$7,0)),"✖ المجموعة غير صحيحة",IF(NOT(OR($H4212="",$N4212&gt;0)),"✖ Start غير صحيح",IF(NOT(OR($I4212="",$I4212="NR",$O4212&gt;0)),"✖ Current غير صحيح",IF(NOT(IF(ISNUMBER($J4212),AND($J4212&gt;=0,$J4212=INT($J4212)),FALSE())),"✖ العدد يجب أن يكون صحيحًا ≥ 0",IF(AND($F4212="Baseline",$H4212&lt;&gt;""),"⚠ Baseline: Start لا يدخل في التقدم",IF($K4212="No Start (attainment only)","ℹ تحصيل فقط (بدون Start)",IF($K4212="U – needs rule","ℹ حالة U تحتاج قاعدة معتمدة",IF($K4212="No result","ℹ بدون نتيجة (يُستبعد من التحصيل)","OK")))))))))))</f>
        <v/>
      </c>
      <c r="M4212" s="64" t="n">
        <f aca="false">IF($A4212="",0,IFERROR(MATCH($A4212,Classes!$A$6:$A$420,0),0))</f>
        <v>0</v>
      </c>
      <c r="N4212" s="64" t="n">
        <f aca="false">IF($H4212="",0,IFERROR(MATCH($H4212,GradeList,0),0))</f>
        <v>0</v>
      </c>
      <c r="O4212" s="64" t="n">
        <f aca="false">IF(OR($I4212="",$I4212="NR"),0,IFERROR(MATCH($I4212,GradeList,0),0))</f>
        <v>0</v>
      </c>
      <c r="P4212" s="64" t="n">
        <f aca="false">IF(AND($M4212&gt;0,ISNUMBER(MATCH($F4212,Lists!$A$2:$A$5,0)),ISNUMBER(MATCH($G4212,Lists!$B$2:$B$7,0)),OR($H4212="",$N4212&gt;0),OR($I4212="",$I4212="NR",$O4212&gt;0),IF(ISNUMBER($J4212),AND($J4212&gt;=0,$J4212=INT($J4212)),FALSE())),$J4212,0)</f>
        <v>0</v>
      </c>
      <c r="Q4212" s="64" t="n">
        <f aca="false">IF(AND($P4212&gt;0,$O4212&gt;0),$P4212,0)</f>
        <v>0</v>
      </c>
      <c r="R4212" s="64" t="n">
        <f aca="false">IF(AND($Q4212&gt;0,$O4212&gt;=AtRank),$Q4212,0)</f>
        <v>0</v>
      </c>
      <c r="S4212" s="64" t="n">
        <f aca="false">IF(AND($Q4212&gt;0,$O4212&gt;=AboveRank),$Q4212,0)</f>
        <v>0</v>
      </c>
      <c r="T4212" s="64" t="n">
        <f aca="false">IF($K4212="Less",$P4212,0)</f>
        <v>0</v>
      </c>
      <c r="U4212" s="64" t="n">
        <f aca="false">IF($K4212="Expected",$P4212,0)</f>
        <v>0</v>
      </c>
      <c r="V4212" s="64" t="n">
        <f aca="false">IF($K4212="Better",$P4212,0)</f>
        <v>0</v>
      </c>
      <c r="W4212" s="64" t="n">
        <f aca="false">IF($K4212="U – needs rule",$P4212,0)</f>
        <v>0</v>
      </c>
      <c r="X4212" s="64" t="n">
        <f aca="false">IF($K4212="No Start (attainment only)",$P4212,0)</f>
        <v>0</v>
      </c>
    </row>
    <row r="4213" customFormat="false" ht="15" hidden="false" customHeight="false" outlineLevel="0" collapsed="false">
      <c r="A4213" s="60"/>
      <c r="B4213" s="61" t="str">
        <f aca="false">IF($M4213=0,"",INDEX(Classes!$E$6:$E$420,$M4213))</f>
        <v/>
      </c>
      <c r="C4213" s="62" t="str">
        <f aca="false">IF($M4213=0,"",INDEX(Classes!$H$6:$H$420,$M4213))</f>
        <v/>
      </c>
      <c r="D4213" s="61" t="str">
        <f aca="false">IF($M4213=0,"",INDEX(Classes!$B$6:$B$420,$M4213))</f>
        <v/>
      </c>
      <c r="E4213" s="61" t="str">
        <f aca="false">IF($M4213=0,"",INDEX(Classes!$C$6:$C$420,$M4213))</f>
        <v/>
      </c>
      <c r="F4213" s="63"/>
      <c r="G4213" s="63"/>
      <c r="H4213" s="60"/>
      <c r="I4213" s="60"/>
      <c r="J4213" s="63"/>
      <c r="K4213" s="61" t="str">
        <f aca="false">IF($P4213=0,"",IF($F4213="Baseline","— Baseline",IF($O4213=0,"No result",IF($N4213=0,"No Start (attainment only)",IF(OR($N4213=1,$O4213=1),"U – needs rule",INDEX(MxBody,MATCH($I4213,MxCurr,0),MATCH($H4213,MxStart,0)))))))</f>
        <v/>
      </c>
      <c r="L4213" s="62" t="str">
        <f aca="false">IF(COUNTA($A4213,$F4213,$G4213,$H4213,$I4213,$J4213)=0,"",IF($M4213=0,"✖ كود الصف غير موجود",IF(ISNA(MATCH($F4213,Lists!$A$2:$A$5,0)),"✖ الفترة غير صحيحة",IF(ISNA(MATCH($G4213,Lists!$B$2:$B$7,0)),"✖ المجموعة غير صحيحة",IF(NOT(OR($H4213="",$N4213&gt;0)),"✖ Start غير صحيح",IF(NOT(OR($I4213="",$I4213="NR",$O4213&gt;0)),"✖ Current غير صحيح",IF(NOT(IF(ISNUMBER($J4213),AND($J4213&gt;=0,$J4213=INT($J4213)),FALSE())),"✖ العدد يجب أن يكون صحيحًا ≥ 0",IF(AND($F4213="Baseline",$H4213&lt;&gt;""),"⚠ Baseline: Start لا يدخل في التقدم",IF($K4213="No Start (attainment only)","ℹ تحصيل فقط (بدون Start)",IF($K4213="U – needs rule","ℹ حالة U تحتاج قاعدة معتمدة",IF($K4213="No result","ℹ بدون نتيجة (يُستبعد من التحصيل)","OK")))))))))))</f>
        <v/>
      </c>
      <c r="M4213" s="64" t="n">
        <f aca="false">IF($A4213="",0,IFERROR(MATCH($A4213,Classes!$A$6:$A$420,0),0))</f>
        <v>0</v>
      </c>
      <c r="N4213" s="64" t="n">
        <f aca="false">IF($H4213="",0,IFERROR(MATCH($H4213,GradeList,0),0))</f>
        <v>0</v>
      </c>
      <c r="O4213" s="64" t="n">
        <f aca="false">IF(OR($I4213="",$I4213="NR"),0,IFERROR(MATCH($I4213,GradeList,0),0))</f>
        <v>0</v>
      </c>
      <c r="P4213" s="64" t="n">
        <f aca="false">IF(AND($M4213&gt;0,ISNUMBER(MATCH($F4213,Lists!$A$2:$A$5,0)),ISNUMBER(MATCH($G4213,Lists!$B$2:$B$7,0)),OR($H4213="",$N4213&gt;0),OR($I4213="",$I4213="NR",$O4213&gt;0),IF(ISNUMBER($J4213),AND($J4213&gt;=0,$J4213=INT($J4213)),FALSE())),$J4213,0)</f>
        <v>0</v>
      </c>
      <c r="Q4213" s="64" t="n">
        <f aca="false">IF(AND($P4213&gt;0,$O4213&gt;0),$P4213,0)</f>
        <v>0</v>
      </c>
      <c r="R4213" s="64" t="n">
        <f aca="false">IF(AND($Q4213&gt;0,$O4213&gt;=AtRank),$Q4213,0)</f>
        <v>0</v>
      </c>
      <c r="S4213" s="64" t="n">
        <f aca="false">IF(AND($Q4213&gt;0,$O4213&gt;=AboveRank),$Q4213,0)</f>
        <v>0</v>
      </c>
      <c r="T4213" s="64" t="n">
        <f aca="false">IF($K4213="Less",$P4213,0)</f>
        <v>0</v>
      </c>
      <c r="U4213" s="64" t="n">
        <f aca="false">IF($K4213="Expected",$P4213,0)</f>
        <v>0</v>
      </c>
      <c r="V4213" s="64" t="n">
        <f aca="false">IF($K4213="Better",$P4213,0)</f>
        <v>0</v>
      </c>
      <c r="W4213" s="64" t="n">
        <f aca="false">IF($K4213="U – needs rule",$P4213,0)</f>
        <v>0</v>
      </c>
      <c r="X4213" s="64" t="n">
        <f aca="false">IF($K4213="No Start (attainment only)",$P4213,0)</f>
        <v>0</v>
      </c>
    </row>
    <row r="4214" customFormat="false" ht="15" hidden="false" customHeight="false" outlineLevel="0" collapsed="false">
      <c r="A4214" s="60"/>
      <c r="B4214" s="61" t="str">
        <f aca="false">IF($M4214=0,"",INDEX(Classes!$E$6:$E$420,$M4214))</f>
        <v/>
      </c>
      <c r="C4214" s="62" t="str">
        <f aca="false">IF($M4214=0,"",INDEX(Classes!$H$6:$H$420,$M4214))</f>
        <v/>
      </c>
      <c r="D4214" s="61" t="str">
        <f aca="false">IF($M4214=0,"",INDEX(Classes!$B$6:$B$420,$M4214))</f>
        <v/>
      </c>
      <c r="E4214" s="61" t="str">
        <f aca="false">IF($M4214=0,"",INDEX(Classes!$C$6:$C$420,$M4214))</f>
        <v/>
      </c>
      <c r="F4214" s="63"/>
      <c r="G4214" s="63"/>
      <c r="H4214" s="60"/>
      <c r="I4214" s="60"/>
      <c r="J4214" s="63"/>
      <c r="K4214" s="61" t="str">
        <f aca="false">IF($P4214=0,"",IF($F4214="Baseline","— Baseline",IF($O4214=0,"No result",IF($N4214=0,"No Start (attainment only)",IF(OR($N4214=1,$O4214=1),"U – needs rule",INDEX(MxBody,MATCH($I4214,MxCurr,0),MATCH($H4214,MxStart,0)))))))</f>
        <v/>
      </c>
      <c r="L4214" s="62" t="str">
        <f aca="false">IF(COUNTA($A4214,$F4214,$G4214,$H4214,$I4214,$J4214)=0,"",IF($M4214=0,"✖ كود الصف غير موجود",IF(ISNA(MATCH($F4214,Lists!$A$2:$A$5,0)),"✖ الفترة غير صحيحة",IF(ISNA(MATCH($G4214,Lists!$B$2:$B$7,0)),"✖ المجموعة غير صحيحة",IF(NOT(OR($H4214="",$N4214&gt;0)),"✖ Start غير صحيح",IF(NOT(OR($I4214="",$I4214="NR",$O4214&gt;0)),"✖ Current غير صحيح",IF(NOT(IF(ISNUMBER($J4214),AND($J4214&gt;=0,$J4214=INT($J4214)),FALSE())),"✖ العدد يجب أن يكون صحيحًا ≥ 0",IF(AND($F4214="Baseline",$H4214&lt;&gt;""),"⚠ Baseline: Start لا يدخل في التقدم",IF($K4214="No Start (attainment only)","ℹ تحصيل فقط (بدون Start)",IF($K4214="U – needs rule","ℹ حالة U تحتاج قاعدة معتمدة",IF($K4214="No result","ℹ بدون نتيجة (يُستبعد من التحصيل)","OK")))))))))))</f>
        <v/>
      </c>
      <c r="M4214" s="64" t="n">
        <f aca="false">IF($A4214="",0,IFERROR(MATCH($A4214,Classes!$A$6:$A$420,0),0))</f>
        <v>0</v>
      </c>
      <c r="N4214" s="64" t="n">
        <f aca="false">IF($H4214="",0,IFERROR(MATCH($H4214,GradeList,0),0))</f>
        <v>0</v>
      </c>
      <c r="O4214" s="64" t="n">
        <f aca="false">IF(OR($I4214="",$I4214="NR"),0,IFERROR(MATCH($I4214,GradeList,0),0))</f>
        <v>0</v>
      </c>
      <c r="P4214" s="64" t="n">
        <f aca="false">IF(AND($M4214&gt;0,ISNUMBER(MATCH($F4214,Lists!$A$2:$A$5,0)),ISNUMBER(MATCH($G4214,Lists!$B$2:$B$7,0)),OR($H4214="",$N4214&gt;0),OR($I4214="",$I4214="NR",$O4214&gt;0),IF(ISNUMBER($J4214),AND($J4214&gt;=0,$J4214=INT($J4214)),FALSE())),$J4214,0)</f>
        <v>0</v>
      </c>
      <c r="Q4214" s="64" t="n">
        <f aca="false">IF(AND($P4214&gt;0,$O4214&gt;0),$P4214,0)</f>
        <v>0</v>
      </c>
      <c r="R4214" s="64" t="n">
        <f aca="false">IF(AND($Q4214&gt;0,$O4214&gt;=AtRank),$Q4214,0)</f>
        <v>0</v>
      </c>
      <c r="S4214" s="64" t="n">
        <f aca="false">IF(AND($Q4214&gt;0,$O4214&gt;=AboveRank),$Q4214,0)</f>
        <v>0</v>
      </c>
      <c r="T4214" s="64" t="n">
        <f aca="false">IF($K4214="Less",$P4214,0)</f>
        <v>0</v>
      </c>
      <c r="U4214" s="64" t="n">
        <f aca="false">IF($K4214="Expected",$P4214,0)</f>
        <v>0</v>
      </c>
      <c r="V4214" s="64" t="n">
        <f aca="false">IF($K4214="Better",$P4214,0)</f>
        <v>0</v>
      </c>
      <c r="W4214" s="64" t="n">
        <f aca="false">IF($K4214="U – needs rule",$P4214,0)</f>
        <v>0</v>
      </c>
      <c r="X4214" s="64" t="n">
        <f aca="false">IF($K4214="No Start (attainment only)",$P4214,0)</f>
        <v>0</v>
      </c>
    </row>
    <row r="4215" customFormat="false" ht="15" hidden="false" customHeight="false" outlineLevel="0" collapsed="false">
      <c r="A4215" s="60"/>
      <c r="B4215" s="61" t="str">
        <f aca="false">IF($M4215=0,"",INDEX(Classes!$E$6:$E$420,$M4215))</f>
        <v/>
      </c>
      <c r="C4215" s="62" t="str">
        <f aca="false">IF($M4215=0,"",INDEX(Classes!$H$6:$H$420,$M4215))</f>
        <v/>
      </c>
      <c r="D4215" s="61" t="str">
        <f aca="false">IF($M4215=0,"",INDEX(Classes!$B$6:$B$420,$M4215))</f>
        <v/>
      </c>
      <c r="E4215" s="61" t="str">
        <f aca="false">IF($M4215=0,"",INDEX(Classes!$C$6:$C$420,$M4215))</f>
        <v/>
      </c>
      <c r="F4215" s="63"/>
      <c r="G4215" s="63"/>
      <c r="H4215" s="60"/>
      <c r="I4215" s="60"/>
      <c r="J4215" s="63"/>
      <c r="K4215" s="61" t="str">
        <f aca="false">IF($P4215=0,"",IF($F4215="Baseline","— Baseline",IF($O4215=0,"No result",IF($N4215=0,"No Start (attainment only)",IF(OR($N4215=1,$O4215=1),"U – needs rule",INDEX(MxBody,MATCH($I4215,MxCurr,0),MATCH($H4215,MxStart,0)))))))</f>
        <v/>
      </c>
      <c r="L4215" s="62" t="str">
        <f aca="false">IF(COUNTA($A4215,$F4215,$G4215,$H4215,$I4215,$J4215)=0,"",IF($M4215=0,"✖ كود الصف غير موجود",IF(ISNA(MATCH($F4215,Lists!$A$2:$A$5,0)),"✖ الفترة غير صحيحة",IF(ISNA(MATCH($G4215,Lists!$B$2:$B$7,0)),"✖ المجموعة غير صحيحة",IF(NOT(OR($H4215="",$N4215&gt;0)),"✖ Start غير صحيح",IF(NOT(OR($I4215="",$I4215="NR",$O4215&gt;0)),"✖ Current غير صحيح",IF(NOT(IF(ISNUMBER($J4215),AND($J4215&gt;=0,$J4215=INT($J4215)),FALSE())),"✖ العدد يجب أن يكون صحيحًا ≥ 0",IF(AND($F4215="Baseline",$H4215&lt;&gt;""),"⚠ Baseline: Start لا يدخل في التقدم",IF($K4215="No Start (attainment only)","ℹ تحصيل فقط (بدون Start)",IF($K4215="U – needs rule","ℹ حالة U تحتاج قاعدة معتمدة",IF($K4215="No result","ℹ بدون نتيجة (يُستبعد من التحصيل)","OK")))))))))))</f>
        <v/>
      </c>
      <c r="M4215" s="64" t="n">
        <f aca="false">IF($A4215="",0,IFERROR(MATCH($A4215,Classes!$A$6:$A$420,0),0))</f>
        <v>0</v>
      </c>
      <c r="N4215" s="64" t="n">
        <f aca="false">IF($H4215="",0,IFERROR(MATCH($H4215,GradeList,0),0))</f>
        <v>0</v>
      </c>
      <c r="O4215" s="64" t="n">
        <f aca="false">IF(OR($I4215="",$I4215="NR"),0,IFERROR(MATCH($I4215,GradeList,0),0))</f>
        <v>0</v>
      </c>
      <c r="P4215" s="64" t="n">
        <f aca="false">IF(AND($M4215&gt;0,ISNUMBER(MATCH($F4215,Lists!$A$2:$A$5,0)),ISNUMBER(MATCH($G4215,Lists!$B$2:$B$7,0)),OR($H4215="",$N4215&gt;0),OR($I4215="",$I4215="NR",$O4215&gt;0),IF(ISNUMBER($J4215),AND($J4215&gt;=0,$J4215=INT($J4215)),FALSE())),$J4215,0)</f>
        <v>0</v>
      </c>
      <c r="Q4215" s="64" t="n">
        <f aca="false">IF(AND($P4215&gt;0,$O4215&gt;0),$P4215,0)</f>
        <v>0</v>
      </c>
      <c r="R4215" s="64" t="n">
        <f aca="false">IF(AND($Q4215&gt;0,$O4215&gt;=AtRank),$Q4215,0)</f>
        <v>0</v>
      </c>
      <c r="S4215" s="64" t="n">
        <f aca="false">IF(AND($Q4215&gt;0,$O4215&gt;=AboveRank),$Q4215,0)</f>
        <v>0</v>
      </c>
      <c r="T4215" s="64" t="n">
        <f aca="false">IF($K4215="Less",$P4215,0)</f>
        <v>0</v>
      </c>
      <c r="U4215" s="64" t="n">
        <f aca="false">IF($K4215="Expected",$P4215,0)</f>
        <v>0</v>
      </c>
      <c r="V4215" s="64" t="n">
        <f aca="false">IF($K4215="Better",$P4215,0)</f>
        <v>0</v>
      </c>
      <c r="W4215" s="64" t="n">
        <f aca="false">IF($K4215="U – needs rule",$P4215,0)</f>
        <v>0</v>
      </c>
      <c r="X4215" s="64" t="n">
        <f aca="false">IF($K4215="No Start (attainment only)",$P4215,0)</f>
        <v>0</v>
      </c>
    </row>
    <row r="4216" customFormat="false" ht="15" hidden="false" customHeight="false" outlineLevel="0" collapsed="false">
      <c r="A4216" s="60"/>
      <c r="B4216" s="61" t="str">
        <f aca="false">IF($M4216=0,"",INDEX(Classes!$E$6:$E$420,$M4216))</f>
        <v/>
      </c>
      <c r="C4216" s="62" t="str">
        <f aca="false">IF($M4216=0,"",INDEX(Classes!$H$6:$H$420,$M4216))</f>
        <v/>
      </c>
      <c r="D4216" s="61" t="str">
        <f aca="false">IF($M4216=0,"",INDEX(Classes!$B$6:$B$420,$M4216))</f>
        <v/>
      </c>
      <c r="E4216" s="61" t="str">
        <f aca="false">IF($M4216=0,"",INDEX(Classes!$C$6:$C$420,$M4216))</f>
        <v/>
      </c>
      <c r="F4216" s="63"/>
      <c r="G4216" s="63"/>
      <c r="H4216" s="60"/>
      <c r="I4216" s="60"/>
      <c r="J4216" s="63"/>
      <c r="K4216" s="61" t="str">
        <f aca="false">IF($P4216=0,"",IF($F4216="Baseline","— Baseline",IF($O4216=0,"No result",IF($N4216=0,"No Start (attainment only)",IF(OR($N4216=1,$O4216=1),"U – needs rule",INDEX(MxBody,MATCH($I4216,MxCurr,0),MATCH($H4216,MxStart,0)))))))</f>
        <v/>
      </c>
      <c r="L4216" s="62" t="str">
        <f aca="false">IF(COUNTA($A4216,$F4216,$G4216,$H4216,$I4216,$J4216)=0,"",IF($M4216=0,"✖ كود الصف غير موجود",IF(ISNA(MATCH($F4216,Lists!$A$2:$A$5,0)),"✖ الفترة غير صحيحة",IF(ISNA(MATCH($G4216,Lists!$B$2:$B$7,0)),"✖ المجموعة غير صحيحة",IF(NOT(OR($H4216="",$N4216&gt;0)),"✖ Start غير صحيح",IF(NOT(OR($I4216="",$I4216="NR",$O4216&gt;0)),"✖ Current غير صحيح",IF(NOT(IF(ISNUMBER($J4216),AND($J4216&gt;=0,$J4216=INT($J4216)),FALSE())),"✖ العدد يجب أن يكون صحيحًا ≥ 0",IF(AND($F4216="Baseline",$H4216&lt;&gt;""),"⚠ Baseline: Start لا يدخل في التقدم",IF($K4216="No Start (attainment only)","ℹ تحصيل فقط (بدون Start)",IF($K4216="U – needs rule","ℹ حالة U تحتاج قاعدة معتمدة",IF($K4216="No result","ℹ بدون نتيجة (يُستبعد من التحصيل)","OK")))))))))))</f>
        <v/>
      </c>
      <c r="M4216" s="64" t="n">
        <f aca="false">IF($A4216="",0,IFERROR(MATCH($A4216,Classes!$A$6:$A$420,0),0))</f>
        <v>0</v>
      </c>
      <c r="N4216" s="64" t="n">
        <f aca="false">IF($H4216="",0,IFERROR(MATCH($H4216,GradeList,0),0))</f>
        <v>0</v>
      </c>
      <c r="O4216" s="64" t="n">
        <f aca="false">IF(OR($I4216="",$I4216="NR"),0,IFERROR(MATCH($I4216,GradeList,0),0))</f>
        <v>0</v>
      </c>
      <c r="P4216" s="64" t="n">
        <f aca="false">IF(AND($M4216&gt;0,ISNUMBER(MATCH($F4216,Lists!$A$2:$A$5,0)),ISNUMBER(MATCH($G4216,Lists!$B$2:$B$7,0)),OR($H4216="",$N4216&gt;0),OR($I4216="",$I4216="NR",$O4216&gt;0),IF(ISNUMBER($J4216),AND($J4216&gt;=0,$J4216=INT($J4216)),FALSE())),$J4216,0)</f>
        <v>0</v>
      </c>
      <c r="Q4216" s="64" t="n">
        <f aca="false">IF(AND($P4216&gt;0,$O4216&gt;0),$P4216,0)</f>
        <v>0</v>
      </c>
      <c r="R4216" s="64" t="n">
        <f aca="false">IF(AND($Q4216&gt;0,$O4216&gt;=AtRank),$Q4216,0)</f>
        <v>0</v>
      </c>
      <c r="S4216" s="64" t="n">
        <f aca="false">IF(AND($Q4216&gt;0,$O4216&gt;=AboveRank),$Q4216,0)</f>
        <v>0</v>
      </c>
      <c r="T4216" s="64" t="n">
        <f aca="false">IF($K4216="Less",$P4216,0)</f>
        <v>0</v>
      </c>
      <c r="U4216" s="64" t="n">
        <f aca="false">IF($K4216="Expected",$P4216,0)</f>
        <v>0</v>
      </c>
      <c r="V4216" s="64" t="n">
        <f aca="false">IF($K4216="Better",$P4216,0)</f>
        <v>0</v>
      </c>
      <c r="W4216" s="64" t="n">
        <f aca="false">IF($K4216="U – needs rule",$P4216,0)</f>
        <v>0</v>
      </c>
      <c r="X4216" s="64" t="n">
        <f aca="false">IF($K4216="No Start (attainment only)",$P4216,0)</f>
        <v>0</v>
      </c>
    </row>
    <row r="4217" customFormat="false" ht="15" hidden="false" customHeight="false" outlineLevel="0" collapsed="false">
      <c r="A4217" s="60"/>
      <c r="B4217" s="61" t="str">
        <f aca="false">IF($M4217=0,"",INDEX(Classes!$E$6:$E$420,$M4217))</f>
        <v/>
      </c>
      <c r="C4217" s="62" t="str">
        <f aca="false">IF($M4217=0,"",INDEX(Classes!$H$6:$H$420,$M4217))</f>
        <v/>
      </c>
      <c r="D4217" s="61" t="str">
        <f aca="false">IF($M4217=0,"",INDEX(Classes!$B$6:$B$420,$M4217))</f>
        <v/>
      </c>
      <c r="E4217" s="61" t="str">
        <f aca="false">IF($M4217=0,"",INDEX(Classes!$C$6:$C$420,$M4217))</f>
        <v/>
      </c>
      <c r="F4217" s="63"/>
      <c r="G4217" s="63"/>
      <c r="H4217" s="60"/>
      <c r="I4217" s="60"/>
      <c r="J4217" s="63"/>
      <c r="K4217" s="61" t="str">
        <f aca="false">IF($P4217=0,"",IF($F4217="Baseline","— Baseline",IF($O4217=0,"No result",IF($N4217=0,"No Start (attainment only)",IF(OR($N4217=1,$O4217=1),"U – needs rule",INDEX(MxBody,MATCH($I4217,MxCurr,0),MATCH($H4217,MxStart,0)))))))</f>
        <v/>
      </c>
      <c r="L4217" s="62" t="str">
        <f aca="false">IF(COUNTA($A4217,$F4217,$G4217,$H4217,$I4217,$J4217)=0,"",IF($M4217=0,"✖ كود الصف غير موجود",IF(ISNA(MATCH($F4217,Lists!$A$2:$A$5,0)),"✖ الفترة غير صحيحة",IF(ISNA(MATCH($G4217,Lists!$B$2:$B$7,0)),"✖ المجموعة غير صحيحة",IF(NOT(OR($H4217="",$N4217&gt;0)),"✖ Start غير صحيح",IF(NOT(OR($I4217="",$I4217="NR",$O4217&gt;0)),"✖ Current غير صحيح",IF(NOT(IF(ISNUMBER($J4217),AND($J4217&gt;=0,$J4217=INT($J4217)),FALSE())),"✖ العدد يجب أن يكون صحيحًا ≥ 0",IF(AND($F4217="Baseline",$H4217&lt;&gt;""),"⚠ Baseline: Start لا يدخل في التقدم",IF($K4217="No Start (attainment only)","ℹ تحصيل فقط (بدون Start)",IF($K4217="U – needs rule","ℹ حالة U تحتاج قاعدة معتمدة",IF($K4217="No result","ℹ بدون نتيجة (يُستبعد من التحصيل)","OK")))))))))))</f>
        <v/>
      </c>
      <c r="M4217" s="64" t="n">
        <f aca="false">IF($A4217="",0,IFERROR(MATCH($A4217,Classes!$A$6:$A$420,0),0))</f>
        <v>0</v>
      </c>
      <c r="N4217" s="64" t="n">
        <f aca="false">IF($H4217="",0,IFERROR(MATCH($H4217,GradeList,0),0))</f>
        <v>0</v>
      </c>
      <c r="O4217" s="64" t="n">
        <f aca="false">IF(OR($I4217="",$I4217="NR"),0,IFERROR(MATCH($I4217,GradeList,0),0))</f>
        <v>0</v>
      </c>
      <c r="P4217" s="64" t="n">
        <f aca="false">IF(AND($M4217&gt;0,ISNUMBER(MATCH($F4217,Lists!$A$2:$A$5,0)),ISNUMBER(MATCH($G4217,Lists!$B$2:$B$7,0)),OR($H4217="",$N4217&gt;0),OR($I4217="",$I4217="NR",$O4217&gt;0),IF(ISNUMBER($J4217),AND($J4217&gt;=0,$J4217=INT($J4217)),FALSE())),$J4217,0)</f>
        <v>0</v>
      </c>
      <c r="Q4217" s="64" t="n">
        <f aca="false">IF(AND($P4217&gt;0,$O4217&gt;0),$P4217,0)</f>
        <v>0</v>
      </c>
      <c r="R4217" s="64" t="n">
        <f aca="false">IF(AND($Q4217&gt;0,$O4217&gt;=AtRank),$Q4217,0)</f>
        <v>0</v>
      </c>
      <c r="S4217" s="64" t="n">
        <f aca="false">IF(AND($Q4217&gt;0,$O4217&gt;=AboveRank),$Q4217,0)</f>
        <v>0</v>
      </c>
      <c r="T4217" s="64" t="n">
        <f aca="false">IF($K4217="Less",$P4217,0)</f>
        <v>0</v>
      </c>
      <c r="U4217" s="64" t="n">
        <f aca="false">IF($K4217="Expected",$P4217,0)</f>
        <v>0</v>
      </c>
      <c r="V4217" s="64" t="n">
        <f aca="false">IF($K4217="Better",$P4217,0)</f>
        <v>0</v>
      </c>
      <c r="W4217" s="64" t="n">
        <f aca="false">IF($K4217="U – needs rule",$P4217,0)</f>
        <v>0</v>
      </c>
      <c r="X4217" s="64" t="n">
        <f aca="false">IF($K4217="No Start (attainment only)",$P4217,0)</f>
        <v>0</v>
      </c>
    </row>
    <row r="4218" customFormat="false" ht="15" hidden="false" customHeight="false" outlineLevel="0" collapsed="false">
      <c r="A4218" s="60"/>
      <c r="B4218" s="61" t="str">
        <f aca="false">IF($M4218=0,"",INDEX(Classes!$E$6:$E$420,$M4218))</f>
        <v/>
      </c>
      <c r="C4218" s="62" t="str">
        <f aca="false">IF($M4218=0,"",INDEX(Classes!$H$6:$H$420,$M4218))</f>
        <v/>
      </c>
      <c r="D4218" s="61" t="str">
        <f aca="false">IF($M4218=0,"",INDEX(Classes!$B$6:$B$420,$M4218))</f>
        <v/>
      </c>
      <c r="E4218" s="61" t="str">
        <f aca="false">IF($M4218=0,"",INDEX(Classes!$C$6:$C$420,$M4218))</f>
        <v/>
      </c>
      <c r="F4218" s="63"/>
      <c r="G4218" s="63"/>
      <c r="H4218" s="60"/>
      <c r="I4218" s="60"/>
      <c r="J4218" s="63"/>
      <c r="K4218" s="61" t="str">
        <f aca="false">IF($P4218=0,"",IF($F4218="Baseline","— Baseline",IF($O4218=0,"No result",IF($N4218=0,"No Start (attainment only)",IF(OR($N4218=1,$O4218=1),"U – needs rule",INDEX(MxBody,MATCH($I4218,MxCurr,0),MATCH($H4218,MxStart,0)))))))</f>
        <v/>
      </c>
      <c r="L4218" s="62" t="str">
        <f aca="false">IF(COUNTA($A4218,$F4218,$G4218,$H4218,$I4218,$J4218)=0,"",IF($M4218=0,"✖ كود الصف غير موجود",IF(ISNA(MATCH($F4218,Lists!$A$2:$A$5,0)),"✖ الفترة غير صحيحة",IF(ISNA(MATCH($G4218,Lists!$B$2:$B$7,0)),"✖ المجموعة غير صحيحة",IF(NOT(OR($H4218="",$N4218&gt;0)),"✖ Start غير صحيح",IF(NOT(OR($I4218="",$I4218="NR",$O4218&gt;0)),"✖ Current غير صحيح",IF(NOT(IF(ISNUMBER($J4218),AND($J4218&gt;=0,$J4218=INT($J4218)),FALSE())),"✖ العدد يجب أن يكون صحيحًا ≥ 0",IF(AND($F4218="Baseline",$H4218&lt;&gt;""),"⚠ Baseline: Start لا يدخل في التقدم",IF($K4218="No Start (attainment only)","ℹ تحصيل فقط (بدون Start)",IF($K4218="U – needs rule","ℹ حالة U تحتاج قاعدة معتمدة",IF($K4218="No result","ℹ بدون نتيجة (يُستبعد من التحصيل)","OK")))))))))))</f>
        <v/>
      </c>
      <c r="M4218" s="64" t="n">
        <f aca="false">IF($A4218="",0,IFERROR(MATCH($A4218,Classes!$A$6:$A$420,0),0))</f>
        <v>0</v>
      </c>
      <c r="N4218" s="64" t="n">
        <f aca="false">IF($H4218="",0,IFERROR(MATCH($H4218,GradeList,0),0))</f>
        <v>0</v>
      </c>
      <c r="O4218" s="64" t="n">
        <f aca="false">IF(OR($I4218="",$I4218="NR"),0,IFERROR(MATCH($I4218,GradeList,0),0))</f>
        <v>0</v>
      </c>
      <c r="P4218" s="64" t="n">
        <f aca="false">IF(AND($M4218&gt;0,ISNUMBER(MATCH($F4218,Lists!$A$2:$A$5,0)),ISNUMBER(MATCH($G4218,Lists!$B$2:$B$7,0)),OR($H4218="",$N4218&gt;0),OR($I4218="",$I4218="NR",$O4218&gt;0),IF(ISNUMBER($J4218),AND($J4218&gt;=0,$J4218=INT($J4218)),FALSE())),$J4218,0)</f>
        <v>0</v>
      </c>
      <c r="Q4218" s="64" t="n">
        <f aca="false">IF(AND($P4218&gt;0,$O4218&gt;0),$P4218,0)</f>
        <v>0</v>
      </c>
      <c r="R4218" s="64" t="n">
        <f aca="false">IF(AND($Q4218&gt;0,$O4218&gt;=AtRank),$Q4218,0)</f>
        <v>0</v>
      </c>
      <c r="S4218" s="64" t="n">
        <f aca="false">IF(AND($Q4218&gt;0,$O4218&gt;=AboveRank),$Q4218,0)</f>
        <v>0</v>
      </c>
      <c r="T4218" s="64" t="n">
        <f aca="false">IF($K4218="Less",$P4218,0)</f>
        <v>0</v>
      </c>
      <c r="U4218" s="64" t="n">
        <f aca="false">IF($K4218="Expected",$P4218,0)</f>
        <v>0</v>
      </c>
      <c r="V4218" s="64" t="n">
        <f aca="false">IF($K4218="Better",$P4218,0)</f>
        <v>0</v>
      </c>
      <c r="W4218" s="64" t="n">
        <f aca="false">IF($K4218="U – needs rule",$P4218,0)</f>
        <v>0</v>
      </c>
      <c r="X4218" s="64" t="n">
        <f aca="false">IF($K4218="No Start (attainment only)",$P4218,0)</f>
        <v>0</v>
      </c>
    </row>
    <row r="4219" customFormat="false" ht="15" hidden="false" customHeight="false" outlineLevel="0" collapsed="false">
      <c r="A4219" s="60"/>
      <c r="B4219" s="61" t="str">
        <f aca="false">IF($M4219=0,"",INDEX(Classes!$E$6:$E$420,$M4219))</f>
        <v/>
      </c>
      <c r="C4219" s="62" t="str">
        <f aca="false">IF($M4219=0,"",INDEX(Classes!$H$6:$H$420,$M4219))</f>
        <v/>
      </c>
      <c r="D4219" s="61" t="str">
        <f aca="false">IF($M4219=0,"",INDEX(Classes!$B$6:$B$420,$M4219))</f>
        <v/>
      </c>
      <c r="E4219" s="61" t="str">
        <f aca="false">IF($M4219=0,"",INDEX(Classes!$C$6:$C$420,$M4219))</f>
        <v/>
      </c>
      <c r="F4219" s="63"/>
      <c r="G4219" s="63"/>
      <c r="H4219" s="60"/>
      <c r="I4219" s="60"/>
      <c r="J4219" s="63"/>
      <c r="K4219" s="61" t="str">
        <f aca="false">IF($P4219=0,"",IF($F4219="Baseline","— Baseline",IF($O4219=0,"No result",IF($N4219=0,"No Start (attainment only)",IF(OR($N4219=1,$O4219=1),"U – needs rule",INDEX(MxBody,MATCH($I4219,MxCurr,0),MATCH($H4219,MxStart,0)))))))</f>
        <v/>
      </c>
      <c r="L4219" s="62" t="str">
        <f aca="false">IF(COUNTA($A4219,$F4219,$G4219,$H4219,$I4219,$J4219)=0,"",IF($M4219=0,"✖ كود الصف غير موجود",IF(ISNA(MATCH($F4219,Lists!$A$2:$A$5,0)),"✖ الفترة غير صحيحة",IF(ISNA(MATCH($G4219,Lists!$B$2:$B$7,0)),"✖ المجموعة غير صحيحة",IF(NOT(OR($H4219="",$N4219&gt;0)),"✖ Start غير صحيح",IF(NOT(OR($I4219="",$I4219="NR",$O4219&gt;0)),"✖ Current غير صحيح",IF(NOT(IF(ISNUMBER($J4219),AND($J4219&gt;=0,$J4219=INT($J4219)),FALSE())),"✖ العدد يجب أن يكون صحيحًا ≥ 0",IF(AND($F4219="Baseline",$H4219&lt;&gt;""),"⚠ Baseline: Start لا يدخل في التقدم",IF($K4219="No Start (attainment only)","ℹ تحصيل فقط (بدون Start)",IF($K4219="U – needs rule","ℹ حالة U تحتاج قاعدة معتمدة",IF($K4219="No result","ℹ بدون نتيجة (يُستبعد من التحصيل)","OK")))))))))))</f>
        <v/>
      </c>
      <c r="M4219" s="64" t="n">
        <f aca="false">IF($A4219="",0,IFERROR(MATCH($A4219,Classes!$A$6:$A$420,0),0))</f>
        <v>0</v>
      </c>
      <c r="N4219" s="64" t="n">
        <f aca="false">IF($H4219="",0,IFERROR(MATCH($H4219,GradeList,0),0))</f>
        <v>0</v>
      </c>
      <c r="O4219" s="64" t="n">
        <f aca="false">IF(OR($I4219="",$I4219="NR"),0,IFERROR(MATCH($I4219,GradeList,0),0))</f>
        <v>0</v>
      </c>
      <c r="P4219" s="64" t="n">
        <f aca="false">IF(AND($M4219&gt;0,ISNUMBER(MATCH($F4219,Lists!$A$2:$A$5,0)),ISNUMBER(MATCH($G4219,Lists!$B$2:$B$7,0)),OR($H4219="",$N4219&gt;0),OR($I4219="",$I4219="NR",$O4219&gt;0),IF(ISNUMBER($J4219),AND($J4219&gt;=0,$J4219=INT($J4219)),FALSE())),$J4219,0)</f>
        <v>0</v>
      </c>
      <c r="Q4219" s="64" t="n">
        <f aca="false">IF(AND($P4219&gt;0,$O4219&gt;0),$P4219,0)</f>
        <v>0</v>
      </c>
      <c r="R4219" s="64" t="n">
        <f aca="false">IF(AND($Q4219&gt;0,$O4219&gt;=AtRank),$Q4219,0)</f>
        <v>0</v>
      </c>
      <c r="S4219" s="64" t="n">
        <f aca="false">IF(AND($Q4219&gt;0,$O4219&gt;=AboveRank),$Q4219,0)</f>
        <v>0</v>
      </c>
      <c r="T4219" s="64" t="n">
        <f aca="false">IF($K4219="Less",$P4219,0)</f>
        <v>0</v>
      </c>
      <c r="U4219" s="64" t="n">
        <f aca="false">IF($K4219="Expected",$P4219,0)</f>
        <v>0</v>
      </c>
      <c r="V4219" s="64" t="n">
        <f aca="false">IF($K4219="Better",$P4219,0)</f>
        <v>0</v>
      </c>
      <c r="W4219" s="64" t="n">
        <f aca="false">IF($K4219="U – needs rule",$P4219,0)</f>
        <v>0</v>
      </c>
      <c r="X4219" s="64" t="n">
        <f aca="false">IF($K4219="No Start (attainment only)",$P4219,0)</f>
        <v>0</v>
      </c>
    </row>
    <row r="4220" customFormat="false" ht="15" hidden="false" customHeight="false" outlineLevel="0" collapsed="false">
      <c r="A4220" s="60"/>
      <c r="B4220" s="61" t="str">
        <f aca="false">IF($M4220=0,"",INDEX(Classes!$E$6:$E$420,$M4220))</f>
        <v/>
      </c>
      <c r="C4220" s="62" t="str">
        <f aca="false">IF($M4220=0,"",INDEX(Classes!$H$6:$H$420,$M4220))</f>
        <v/>
      </c>
      <c r="D4220" s="61" t="str">
        <f aca="false">IF($M4220=0,"",INDEX(Classes!$B$6:$B$420,$M4220))</f>
        <v/>
      </c>
      <c r="E4220" s="61" t="str">
        <f aca="false">IF($M4220=0,"",INDEX(Classes!$C$6:$C$420,$M4220))</f>
        <v/>
      </c>
      <c r="F4220" s="63"/>
      <c r="G4220" s="63"/>
      <c r="H4220" s="60"/>
      <c r="I4220" s="60"/>
      <c r="J4220" s="63"/>
      <c r="K4220" s="61" t="str">
        <f aca="false">IF($P4220=0,"",IF($F4220="Baseline","— Baseline",IF($O4220=0,"No result",IF($N4220=0,"No Start (attainment only)",IF(OR($N4220=1,$O4220=1),"U – needs rule",INDEX(MxBody,MATCH($I4220,MxCurr,0),MATCH($H4220,MxStart,0)))))))</f>
        <v/>
      </c>
      <c r="L4220" s="62" t="str">
        <f aca="false">IF(COUNTA($A4220,$F4220,$G4220,$H4220,$I4220,$J4220)=0,"",IF($M4220=0,"✖ كود الصف غير موجود",IF(ISNA(MATCH($F4220,Lists!$A$2:$A$5,0)),"✖ الفترة غير صحيحة",IF(ISNA(MATCH($G4220,Lists!$B$2:$B$7,0)),"✖ المجموعة غير صحيحة",IF(NOT(OR($H4220="",$N4220&gt;0)),"✖ Start غير صحيح",IF(NOT(OR($I4220="",$I4220="NR",$O4220&gt;0)),"✖ Current غير صحيح",IF(NOT(IF(ISNUMBER($J4220),AND($J4220&gt;=0,$J4220=INT($J4220)),FALSE())),"✖ العدد يجب أن يكون صحيحًا ≥ 0",IF(AND($F4220="Baseline",$H4220&lt;&gt;""),"⚠ Baseline: Start لا يدخل في التقدم",IF($K4220="No Start (attainment only)","ℹ تحصيل فقط (بدون Start)",IF($K4220="U – needs rule","ℹ حالة U تحتاج قاعدة معتمدة",IF($K4220="No result","ℹ بدون نتيجة (يُستبعد من التحصيل)","OK")))))))))))</f>
        <v/>
      </c>
      <c r="M4220" s="64" t="n">
        <f aca="false">IF($A4220="",0,IFERROR(MATCH($A4220,Classes!$A$6:$A$420,0),0))</f>
        <v>0</v>
      </c>
      <c r="N4220" s="64" t="n">
        <f aca="false">IF($H4220="",0,IFERROR(MATCH($H4220,GradeList,0),0))</f>
        <v>0</v>
      </c>
      <c r="O4220" s="64" t="n">
        <f aca="false">IF(OR($I4220="",$I4220="NR"),0,IFERROR(MATCH($I4220,GradeList,0),0))</f>
        <v>0</v>
      </c>
      <c r="P4220" s="64" t="n">
        <f aca="false">IF(AND($M4220&gt;0,ISNUMBER(MATCH($F4220,Lists!$A$2:$A$5,0)),ISNUMBER(MATCH($G4220,Lists!$B$2:$B$7,0)),OR($H4220="",$N4220&gt;0),OR($I4220="",$I4220="NR",$O4220&gt;0),IF(ISNUMBER($J4220),AND($J4220&gt;=0,$J4220=INT($J4220)),FALSE())),$J4220,0)</f>
        <v>0</v>
      </c>
      <c r="Q4220" s="64" t="n">
        <f aca="false">IF(AND($P4220&gt;0,$O4220&gt;0),$P4220,0)</f>
        <v>0</v>
      </c>
      <c r="R4220" s="64" t="n">
        <f aca="false">IF(AND($Q4220&gt;0,$O4220&gt;=AtRank),$Q4220,0)</f>
        <v>0</v>
      </c>
      <c r="S4220" s="64" t="n">
        <f aca="false">IF(AND($Q4220&gt;0,$O4220&gt;=AboveRank),$Q4220,0)</f>
        <v>0</v>
      </c>
      <c r="T4220" s="64" t="n">
        <f aca="false">IF($K4220="Less",$P4220,0)</f>
        <v>0</v>
      </c>
      <c r="U4220" s="64" t="n">
        <f aca="false">IF($K4220="Expected",$P4220,0)</f>
        <v>0</v>
      </c>
      <c r="V4220" s="64" t="n">
        <f aca="false">IF($K4220="Better",$P4220,0)</f>
        <v>0</v>
      </c>
      <c r="W4220" s="64" t="n">
        <f aca="false">IF($K4220="U – needs rule",$P4220,0)</f>
        <v>0</v>
      </c>
      <c r="X4220" s="64" t="n">
        <f aca="false">IF($K4220="No Start (attainment only)",$P4220,0)</f>
        <v>0</v>
      </c>
    </row>
    <row r="4221" customFormat="false" ht="15" hidden="false" customHeight="false" outlineLevel="0" collapsed="false">
      <c r="A4221" s="60"/>
      <c r="B4221" s="61" t="str">
        <f aca="false">IF($M4221=0,"",INDEX(Classes!$E$6:$E$420,$M4221))</f>
        <v/>
      </c>
      <c r="C4221" s="62" t="str">
        <f aca="false">IF($M4221=0,"",INDEX(Classes!$H$6:$H$420,$M4221))</f>
        <v/>
      </c>
      <c r="D4221" s="61" t="str">
        <f aca="false">IF($M4221=0,"",INDEX(Classes!$B$6:$B$420,$M4221))</f>
        <v/>
      </c>
      <c r="E4221" s="61" t="str">
        <f aca="false">IF($M4221=0,"",INDEX(Classes!$C$6:$C$420,$M4221))</f>
        <v/>
      </c>
      <c r="F4221" s="63"/>
      <c r="G4221" s="63"/>
      <c r="H4221" s="60"/>
      <c r="I4221" s="60"/>
      <c r="J4221" s="63"/>
      <c r="K4221" s="61" t="str">
        <f aca="false">IF($P4221=0,"",IF($F4221="Baseline","— Baseline",IF($O4221=0,"No result",IF($N4221=0,"No Start (attainment only)",IF(OR($N4221=1,$O4221=1),"U – needs rule",INDEX(MxBody,MATCH($I4221,MxCurr,0),MATCH($H4221,MxStart,0)))))))</f>
        <v/>
      </c>
      <c r="L4221" s="62" t="str">
        <f aca="false">IF(COUNTA($A4221,$F4221,$G4221,$H4221,$I4221,$J4221)=0,"",IF($M4221=0,"✖ كود الصف غير موجود",IF(ISNA(MATCH($F4221,Lists!$A$2:$A$5,0)),"✖ الفترة غير صحيحة",IF(ISNA(MATCH($G4221,Lists!$B$2:$B$7,0)),"✖ المجموعة غير صحيحة",IF(NOT(OR($H4221="",$N4221&gt;0)),"✖ Start غير صحيح",IF(NOT(OR($I4221="",$I4221="NR",$O4221&gt;0)),"✖ Current غير صحيح",IF(NOT(IF(ISNUMBER($J4221),AND($J4221&gt;=0,$J4221=INT($J4221)),FALSE())),"✖ العدد يجب أن يكون صحيحًا ≥ 0",IF(AND($F4221="Baseline",$H4221&lt;&gt;""),"⚠ Baseline: Start لا يدخل في التقدم",IF($K4221="No Start (attainment only)","ℹ تحصيل فقط (بدون Start)",IF($K4221="U – needs rule","ℹ حالة U تحتاج قاعدة معتمدة",IF($K4221="No result","ℹ بدون نتيجة (يُستبعد من التحصيل)","OK")))))))))))</f>
        <v/>
      </c>
      <c r="M4221" s="64" t="n">
        <f aca="false">IF($A4221="",0,IFERROR(MATCH($A4221,Classes!$A$6:$A$420,0),0))</f>
        <v>0</v>
      </c>
      <c r="N4221" s="64" t="n">
        <f aca="false">IF($H4221="",0,IFERROR(MATCH($H4221,GradeList,0),0))</f>
        <v>0</v>
      </c>
      <c r="O4221" s="64" t="n">
        <f aca="false">IF(OR($I4221="",$I4221="NR"),0,IFERROR(MATCH($I4221,GradeList,0),0))</f>
        <v>0</v>
      </c>
      <c r="P4221" s="64" t="n">
        <f aca="false">IF(AND($M4221&gt;0,ISNUMBER(MATCH($F4221,Lists!$A$2:$A$5,0)),ISNUMBER(MATCH($G4221,Lists!$B$2:$B$7,0)),OR($H4221="",$N4221&gt;0),OR($I4221="",$I4221="NR",$O4221&gt;0),IF(ISNUMBER($J4221),AND($J4221&gt;=0,$J4221=INT($J4221)),FALSE())),$J4221,0)</f>
        <v>0</v>
      </c>
      <c r="Q4221" s="64" t="n">
        <f aca="false">IF(AND($P4221&gt;0,$O4221&gt;0),$P4221,0)</f>
        <v>0</v>
      </c>
      <c r="R4221" s="64" t="n">
        <f aca="false">IF(AND($Q4221&gt;0,$O4221&gt;=AtRank),$Q4221,0)</f>
        <v>0</v>
      </c>
      <c r="S4221" s="64" t="n">
        <f aca="false">IF(AND($Q4221&gt;0,$O4221&gt;=AboveRank),$Q4221,0)</f>
        <v>0</v>
      </c>
      <c r="T4221" s="64" t="n">
        <f aca="false">IF($K4221="Less",$P4221,0)</f>
        <v>0</v>
      </c>
      <c r="U4221" s="64" t="n">
        <f aca="false">IF($K4221="Expected",$P4221,0)</f>
        <v>0</v>
      </c>
      <c r="V4221" s="64" t="n">
        <f aca="false">IF($K4221="Better",$P4221,0)</f>
        <v>0</v>
      </c>
      <c r="W4221" s="64" t="n">
        <f aca="false">IF($K4221="U – needs rule",$P4221,0)</f>
        <v>0</v>
      </c>
      <c r="X4221" s="64" t="n">
        <f aca="false">IF($K4221="No Start (attainment only)",$P4221,0)</f>
        <v>0</v>
      </c>
    </row>
    <row r="4222" customFormat="false" ht="15" hidden="false" customHeight="false" outlineLevel="0" collapsed="false">
      <c r="A4222" s="60"/>
      <c r="B4222" s="61" t="str">
        <f aca="false">IF($M4222=0,"",INDEX(Classes!$E$6:$E$420,$M4222))</f>
        <v/>
      </c>
      <c r="C4222" s="62" t="str">
        <f aca="false">IF($M4222=0,"",INDEX(Classes!$H$6:$H$420,$M4222))</f>
        <v/>
      </c>
      <c r="D4222" s="61" t="str">
        <f aca="false">IF($M4222=0,"",INDEX(Classes!$B$6:$B$420,$M4222))</f>
        <v/>
      </c>
      <c r="E4222" s="61" t="str">
        <f aca="false">IF($M4222=0,"",INDEX(Classes!$C$6:$C$420,$M4222))</f>
        <v/>
      </c>
      <c r="F4222" s="63"/>
      <c r="G4222" s="63"/>
      <c r="H4222" s="60"/>
      <c r="I4222" s="60"/>
      <c r="J4222" s="63"/>
      <c r="K4222" s="61" t="str">
        <f aca="false">IF($P4222=0,"",IF($F4222="Baseline","— Baseline",IF($O4222=0,"No result",IF($N4222=0,"No Start (attainment only)",IF(OR($N4222=1,$O4222=1),"U – needs rule",INDEX(MxBody,MATCH($I4222,MxCurr,0),MATCH($H4222,MxStart,0)))))))</f>
        <v/>
      </c>
      <c r="L4222" s="62" t="str">
        <f aca="false">IF(COUNTA($A4222,$F4222,$G4222,$H4222,$I4222,$J4222)=0,"",IF($M4222=0,"✖ كود الصف غير موجود",IF(ISNA(MATCH($F4222,Lists!$A$2:$A$5,0)),"✖ الفترة غير صحيحة",IF(ISNA(MATCH($G4222,Lists!$B$2:$B$7,0)),"✖ المجموعة غير صحيحة",IF(NOT(OR($H4222="",$N4222&gt;0)),"✖ Start غير صحيح",IF(NOT(OR($I4222="",$I4222="NR",$O4222&gt;0)),"✖ Current غير صحيح",IF(NOT(IF(ISNUMBER($J4222),AND($J4222&gt;=0,$J4222=INT($J4222)),FALSE())),"✖ العدد يجب أن يكون صحيحًا ≥ 0",IF(AND($F4222="Baseline",$H4222&lt;&gt;""),"⚠ Baseline: Start لا يدخل في التقدم",IF($K4222="No Start (attainment only)","ℹ تحصيل فقط (بدون Start)",IF($K4222="U – needs rule","ℹ حالة U تحتاج قاعدة معتمدة",IF($K4222="No result","ℹ بدون نتيجة (يُستبعد من التحصيل)","OK")))))))))))</f>
        <v/>
      </c>
      <c r="M4222" s="64" t="n">
        <f aca="false">IF($A4222="",0,IFERROR(MATCH($A4222,Classes!$A$6:$A$420,0),0))</f>
        <v>0</v>
      </c>
      <c r="N4222" s="64" t="n">
        <f aca="false">IF($H4222="",0,IFERROR(MATCH($H4222,GradeList,0),0))</f>
        <v>0</v>
      </c>
      <c r="O4222" s="64" t="n">
        <f aca="false">IF(OR($I4222="",$I4222="NR"),0,IFERROR(MATCH($I4222,GradeList,0),0))</f>
        <v>0</v>
      </c>
      <c r="P4222" s="64" t="n">
        <f aca="false">IF(AND($M4222&gt;0,ISNUMBER(MATCH($F4222,Lists!$A$2:$A$5,0)),ISNUMBER(MATCH($G4222,Lists!$B$2:$B$7,0)),OR($H4222="",$N4222&gt;0),OR($I4222="",$I4222="NR",$O4222&gt;0),IF(ISNUMBER($J4222),AND($J4222&gt;=0,$J4222=INT($J4222)),FALSE())),$J4222,0)</f>
        <v>0</v>
      </c>
      <c r="Q4222" s="64" t="n">
        <f aca="false">IF(AND($P4222&gt;0,$O4222&gt;0),$P4222,0)</f>
        <v>0</v>
      </c>
      <c r="R4222" s="64" t="n">
        <f aca="false">IF(AND($Q4222&gt;0,$O4222&gt;=AtRank),$Q4222,0)</f>
        <v>0</v>
      </c>
      <c r="S4222" s="64" t="n">
        <f aca="false">IF(AND($Q4222&gt;0,$O4222&gt;=AboveRank),$Q4222,0)</f>
        <v>0</v>
      </c>
      <c r="T4222" s="64" t="n">
        <f aca="false">IF($K4222="Less",$P4222,0)</f>
        <v>0</v>
      </c>
      <c r="U4222" s="64" t="n">
        <f aca="false">IF($K4222="Expected",$P4222,0)</f>
        <v>0</v>
      </c>
      <c r="V4222" s="64" t="n">
        <f aca="false">IF($K4222="Better",$P4222,0)</f>
        <v>0</v>
      </c>
      <c r="W4222" s="64" t="n">
        <f aca="false">IF($K4222="U – needs rule",$P4222,0)</f>
        <v>0</v>
      </c>
      <c r="X4222" s="64" t="n">
        <f aca="false">IF($K4222="No Start (attainment only)",$P4222,0)</f>
        <v>0</v>
      </c>
    </row>
    <row r="4223" customFormat="false" ht="15" hidden="false" customHeight="false" outlineLevel="0" collapsed="false">
      <c r="A4223" s="60"/>
      <c r="B4223" s="61" t="str">
        <f aca="false">IF($M4223=0,"",INDEX(Classes!$E$6:$E$420,$M4223))</f>
        <v/>
      </c>
      <c r="C4223" s="62" t="str">
        <f aca="false">IF($M4223=0,"",INDEX(Classes!$H$6:$H$420,$M4223))</f>
        <v/>
      </c>
      <c r="D4223" s="61" t="str">
        <f aca="false">IF($M4223=0,"",INDEX(Classes!$B$6:$B$420,$M4223))</f>
        <v/>
      </c>
      <c r="E4223" s="61" t="str">
        <f aca="false">IF($M4223=0,"",INDEX(Classes!$C$6:$C$420,$M4223))</f>
        <v/>
      </c>
      <c r="F4223" s="63"/>
      <c r="G4223" s="63"/>
      <c r="H4223" s="60"/>
      <c r="I4223" s="60"/>
      <c r="J4223" s="63"/>
      <c r="K4223" s="61" t="str">
        <f aca="false">IF($P4223=0,"",IF($F4223="Baseline","— Baseline",IF($O4223=0,"No result",IF($N4223=0,"No Start (attainment only)",IF(OR($N4223=1,$O4223=1),"U – needs rule",INDEX(MxBody,MATCH($I4223,MxCurr,0),MATCH($H4223,MxStart,0)))))))</f>
        <v/>
      </c>
      <c r="L4223" s="62" t="str">
        <f aca="false">IF(COUNTA($A4223,$F4223,$G4223,$H4223,$I4223,$J4223)=0,"",IF($M4223=0,"✖ كود الصف غير موجود",IF(ISNA(MATCH($F4223,Lists!$A$2:$A$5,0)),"✖ الفترة غير صحيحة",IF(ISNA(MATCH($G4223,Lists!$B$2:$B$7,0)),"✖ المجموعة غير صحيحة",IF(NOT(OR($H4223="",$N4223&gt;0)),"✖ Start غير صحيح",IF(NOT(OR($I4223="",$I4223="NR",$O4223&gt;0)),"✖ Current غير صحيح",IF(NOT(IF(ISNUMBER($J4223),AND($J4223&gt;=0,$J4223=INT($J4223)),FALSE())),"✖ العدد يجب أن يكون صحيحًا ≥ 0",IF(AND($F4223="Baseline",$H4223&lt;&gt;""),"⚠ Baseline: Start لا يدخل في التقدم",IF($K4223="No Start (attainment only)","ℹ تحصيل فقط (بدون Start)",IF($K4223="U – needs rule","ℹ حالة U تحتاج قاعدة معتمدة",IF($K4223="No result","ℹ بدون نتيجة (يُستبعد من التحصيل)","OK")))))))))))</f>
        <v/>
      </c>
      <c r="M4223" s="64" t="n">
        <f aca="false">IF($A4223="",0,IFERROR(MATCH($A4223,Classes!$A$6:$A$420,0),0))</f>
        <v>0</v>
      </c>
      <c r="N4223" s="64" t="n">
        <f aca="false">IF($H4223="",0,IFERROR(MATCH($H4223,GradeList,0),0))</f>
        <v>0</v>
      </c>
      <c r="O4223" s="64" t="n">
        <f aca="false">IF(OR($I4223="",$I4223="NR"),0,IFERROR(MATCH($I4223,GradeList,0),0))</f>
        <v>0</v>
      </c>
      <c r="P4223" s="64" t="n">
        <f aca="false">IF(AND($M4223&gt;0,ISNUMBER(MATCH($F4223,Lists!$A$2:$A$5,0)),ISNUMBER(MATCH($G4223,Lists!$B$2:$B$7,0)),OR($H4223="",$N4223&gt;0),OR($I4223="",$I4223="NR",$O4223&gt;0),IF(ISNUMBER($J4223),AND($J4223&gt;=0,$J4223=INT($J4223)),FALSE())),$J4223,0)</f>
        <v>0</v>
      </c>
      <c r="Q4223" s="64" t="n">
        <f aca="false">IF(AND($P4223&gt;0,$O4223&gt;0),$P4223,0)</f>
        <v>0</v>
      </c>
      <c r="R4223" s="64" t="n">
        <f aca="false">IF(AND($Q4223&gt;0,$O4223&gt;=AtRank),$Q4223,0)</f>
        <v>0</v>
      </c>
      <c r="S4223" s="64" t="n">
        <f aca="false">IF(AND($Q4223&gt;0,$O4223&gt;=AboveRank),$Q4223,0)</f>
        <v>0</v>
      </c>
      <c r="T4223" s="64" t="n">
        <f aca="false">IF($K4223="Less",$P4223,0)</f>
        <v>0</v>
      </c>
      <c r="U4223" s="64" t="n">
        <f aca="false">IF($K4223="Expected",$P4223,0)</f>
        <v>0</v>
      </c>
      <c r="V4223" s="64" t="n">
        <f aca="false">IF($K4223="Better",$P4223,0)</f>
        <v>0</v>
      </c>
      <c r="W4223" s="64" t="n">
        <f aca="false">IF($K4223="U – needs rule",$P4223,0)</f>
        <v>0</v>
      </c>
      <c r="X4223" s="64" t="n">
        <f aca="false">IF($K4223="No Start (attainment only)",$P4223,0)</f>
        <v>0</v>
      </c>
    </row>
    <row r="4224" customFormat="false" ht="15" hidden="false" customHeight="false" outlineLevel="0" collapsed="false">
      <c r="A4224" s="60"/>
      <c r="B4224" s="61" t="str">
        <f aca="false">IF($M4224=0,"",INDEX(Classes!$E$6:$E$420,$M4224))</f>
        <v/>
      </c>
      <c r="C4224" s="62" t="str">
        <f aca="false">IF($M4224=0,"",INDEX(Classes!$H$6:$H$420,$M4224))</f>
        <v/>
      </c>
      <c r="D4224" s="61" t="str">
        <f aca="false">IF($M4224=0,"",INDEX(Classes!$B$6:$B$420,$M4224))</f>
        <v/>
      </c>
      <c r="E4224" s="61" t="str">
        <f aca="false">IF($M4224=0,"",INDEX(Classes!$C$6:$C$420,$M4224))</f>
        <v/>
      </c>
      <c r="F4224" s="63"/>
      <c r="G4224" s="63"/>
      <c r="H4224" s="60"/>
      <c r="I4224" s="60"/>
      <c r="J4224" s="63"/>
      <c r="K4224" s="61" t="str">
        <f aca="false">IF($P4224=0,"",IF($F4224="Baseline","— Baseline",IF($O4224=0,"No result",IF($N4224=0,"No Start (attainment only)",IF(OR($N4224=1,$O4224=1),"U – needs rule",INDEX(MxBody,MATCH($I4224,MxCurr,0),MATCH($H4224,MxStart,0)))))))</f>
        <v/>
      </c>
      <c r="L4224" s="62" t="str">
        <f aca="false">IF(COUNTA($A4224,$F4224,$G4224,$H4224,$I4224,$J4224)=0,"",IF($M4224=0,"✖ كود الصف غير موجود",IF(ISNA(MATCH($F4224,Lists!$A$2:$A$5,0)),"✖ الفترة غير صحيحة",IF(ISNA(MATCH($G4224,Lists!$B$2:$B$7,0)),"✖ المجموعة غير صحيحة",IF(NOT(OR($H4224="",$N4224&gt;0)),"✖ Start غير صحيح",IF(NOT(OR($I4224="",$I4224="NR",$O4224&gt;0)),"✖ Current غير صحيح",IF(NOT(IF(ISNUMBER($J4224),AND($J4224&gt;=0,$J4224=INT($J4224)),FALSE())),"✖ العدد يجب أن يكون صحيحًا ≥ 0",IF(AND($F4224="Baseline",$H4224&lt;&gt;""),"⚠ Baseline: Start لا يدخل في التقدم",IF($K4224="No Start (attainment only)","ℹ تحصيل فقط (بدون Start)",IF($K4224="U – needs rule","ℹ حالة U تحتاج قاعدة معتمدة",IF($K4224="No result","ℹ بدون نتيجة (يُستبعد من التحصيل)","OK")))))))))))</f>
        <v/>
      </c>
      <c r="M4224" s="64" t="n">
        <f aca="false">IF($A4224="",0,IFERROR(MATCH($A4224,Classes!$A$6:$A$420,0),0))</f>
        <v>0</v>
      </c>
      <c r="N4224" s="64" t="n">
        <f aca="false">IF($H4224="",0,IFERROR(MATCH($H4224,GradeList,0),0))</f>
        <v>0</v>
      </c>
      <c r="O4224" s="64" t="n">
        <f aca="false">IF(OR($I4224="",$I4224="NR"),0,IFERROR(MATCH($I4224,GradeList,0),0))</f>
        <v>0</v>
      </c>
      <c r="P4224" s="64" t="n">
        <f aca="false">IF(AND($M4224&gt;0,ISNUMBER(MATCH($F4224,Lists!$A$2:$A$5,0)),ISNUMBER(MATCH($G4224,Lists!$B$2:$B$7,0)),OR($H4224="",$N4224&gt;0),OR($I4224="",$I4224="NR",$O4224&gt;0),IF(ISNUMBER($J4224),AND($J4224&gt;=0,$J4224=INT($J4224)),FALSE())),$J4224,0)</f>
        <v>0</v>
      </c>
      <c r="Q4224" s="64" t="n">
        <f aca="false">IF(AND($P4224&gt;0,$O4224&gt;0),$P4224,0)</f>
        <v>0</v>
      </c>
      <c r="R4224" s="64" t="n">
        <f aca="false">IF(AND($Q4224&gt;0,$O4224&gt;=AtRank),$Q4224,0)</f>
        <v>0</v>
      </c>
      <c r="S4224" s="64" t="n">
        <f aca="false">IF(AND($Q4224&gt;0,$O4224&gt;=AboveRank),$Q4224,0)</f>
        <v>0</v>
      </c>
      <c r="T4224" s="64" t="n">
        <f aca="false">IF($K4224="Less",$P4224,0)</f>
        <v>0</v>
      </c>
      <c r="U4224" s="64" t="n">
        <f aca="false">IF($K4224="Expected",$P4224,0)</f>
        <v>0</v>
      </c>
      <c r="V4224" s="64" t="n">
        <f aca="false">IF($K4224="Better",$P4224,0)</f>
        <v>0</v>
      </c>
      <c r="W4224" s="64" t="n">
        <f aca="false">IF($K4224="U – needs rule",$P4224,0)</f>
        <v>0</v>
      </c>
      <c r="X4224" s="64" t="n">
        <f aca="false">IF($K4224="No Start (attainment only)",$P4224,0)</f>
        <v>0</v>
      </c>
    </row>
    <row r="4225" customFormat="false" ht="15" hidden="false" customHeight="false" outlineLevel="0" collapsed="false">
      <c r="A4225" s="60"/>
      <c r="B4225" s="61" t="str">
        <f aca="false">IF($M4225=0,"",INDEX(Classes!$E$6:$E$420,$M4225))</f>
        <v/>
      </c>
      <c r="C4225" s="62" t="str">
        <f aca="false">IF($M4225=0,"",INDEX(Classes!$H$6:$H$420,$M4225))</f>
        <v/>
      </c>
      <c r="D4225" s="61" t="str">
        <f aca="false">IF($M4225=0,"",INDEX(Classes!$B$6:$B$420,$M4225))</f>
        <v/>
      </c>
      <c r="E4225" s="61" t="str">
        <f aca="false">IF($M4225=0,"",INDEX(Classes!$C$6:$C$420,$M4225))</f>
        <v/>
      </c>
      <c r="F4225" s="63"/>
      <c r="G4225" s="63"/>
      <c r="H4225" s="60"/>
      <c r="I4225" s="60"/>
      <c r="J4225" s="63"/>
      <c r="K4225" s="61" t="str">
        <f aca="false">IF($P4225=0,"",IF($F4225="Baseline","— Baseline",IF($O4225=0,"No result",IF($N4225=0,"No Start (attainment only)",IF(OR($N4225=1,$O4225=1),"U – needs rule",INDEX(MxBody,MATCH($I4225,MxCurr,0),MATCH($H4225,MxStart,0)))))))</f>
        <v/>
      </c>
      <c r="L4225" s="62" t="str">
        <f aca="false">IF(COUNTA($A4225,$F4225,$G4225,$H4225,$I4225,$J4225)=0,"",IF($M4225=0,"✖ كود الصف غير موجود",IF(ISNA(MATCH($F4225,Lists!$A$2:$A$5,0)),"✖ الفترة غير صحيحة",IF(ISNA(MATCH($G4225,Lists!$B$2:$B$7,0)),"✖ المجموعة غير صحيحة",IF(NOT(OR($H4225="",$N4225&gt;0)),"✖ Start غير صحيح",IF(NOT(OR($I4225="",$I4225="NR",$O4225&gt;0)),"✖ Current غير صحيح",IF(NOT(IF(ISNUMBER($J4225),AND($J4225&gt;=0,$J4225=INT($J4225)),FALSE())),"✖ العدد يجب أن يكون صحيحًا ≥ 0",IF(AND($F4225="Baseline",$H4225&lt;&gt;""),"⚠ Baseline: Start لا يدخل في التقدم",IF($K4225="No Start (attainment only)","ℹ تحصيل فقط (بدون Start)",IF($K4225="U – needs rule","ℹ حالة U تحتاج قاعدة معتمدة",IF($K4225="No result","ℹ بدون نتيجة (يُستبعد من التحصيل)","OK")))))))))))</f>
        <v/>
      </c>
      <c r="M4225" s="64" t="n">
        <f aca="false">IF($A4225="",0,IFERROR(MATCH($A4225,Classes!$A$6:$A$420,0),0))</f>
        <v>0</v>
      </c>
      <c r="N4225" s="64" t="n">
        <f aca="false">IF($H4225="",0,IFERROR(MATCH($H4225,GradeList,0),0))</f>
        <v>0</v>
      </c>
      <c r="O4225" s="64" t="n">
        <f aca="false">IF(OR($I4225="",$I4225="NR"),0,IFERROR(MATCH($I4225,GradeList,0),0))</f>
        <v>0</v>
      </c>
      <c r="P4225" s="64" t="n">
        <f aca="false">IF(AND($M4225&gt;0,ISNUMBER(MATCH($F4225,Lists!$A$2:$A$5,0)),ISNUMBER(MATCH($G4225,Lists!$B$2:$B$7,0)),OR($H4225="",$N4225&gt;0),OR($I4225="",$I4225="NR",$O4225&gt;0),IF(ISNUMBER($J4225),AND($J4225&gt;=0,$J4225=INT($J4225)),FALSE())),$J4225,0)</f>
        <v>0</v>
      </c>
      <c r="Q4225" s="64" t="n">
        <f aca="false">IF(AND($P4225&gt;0,$O4225&gt;0),$P4225,0)</f>
        <v>0</v>
      </c>
      <c r="R4225" s="64" t="n">
        <f aca="false">IF(AND($Q4225&gt;0,$O4225&gt;=AtRank),$Q4225,0)</f>
        <v>0</v>
      </c>
      <c r="S4225" s="64" t="n">
        <f aca="false">IF(AND($Q4225&gt;0,$O4225&gt;=AboveRank),$Q4225,0)</f>
        <v>0</v>
      </c>
      <c r="T4225" s="64" t="n">
        <f aca="false">IF($K4225="Less",$P4225,0)</f>
        <v>0</v>
      </c>
      <c r="U4225" s="64" t="n">
        <f aca="false">IF($K4225="Expected",$P4225,0)</f>
        <v>0</v>
      </c>
      <c r="V4225" s="64" t="n">
        <f aca="false">IF($K4225="Better",$P4225,0)</f>
        <v>0</v>
      </c>
      <c r="W4225" s="64" t="n">
        <f aca="false">IF($K4225="U – needs rule",$P4225,0)</f>
        <v>0</v>
      </c>
      <c r="X4225" s="64" t="n">
        <f aca="false">IF($K4225="No Start (attainment only)",$P4225,0)</f>
        <v>0</v>
      </c>
    </row>
    <row r="4226" customFormat="false" ht="15" hidden="false" customHeight="false" outlineLevel="0" collapsed="false">
      <c r="A4226" s="60"/>
      <c r="B4226" s="61" t="str">
        <f aca="false">IF($M4226=0,"",INDEX(Classes!$E$6:$E$420,$M4226))</f>
        <v/>
      </c>
      <c r="C4226" s="62" t="str">
        <f aca="false">IF($M4226=0,"",INDEX(Classes!$H$6:$H$420,$M4226))</f>
        <v/>
      </c>
      <c r="D4226" s="61" t="str">
        <f aca="false">IF($M4226=0,"",INDEX(Classes!$B$6:$B$420,$M4226))</f>
        <v/>
      </c>
      <c r="E4226" s="61" t="str">
        <f aca="false">IF($M4226=0,"",INDEX(Classes!$C$6:$C$420,$M4226))</f>
        <v/>
      </c>
      <c r="F4226" s="63"/>
      <c r="G4226" s="63"/>
      <c r="H4226" s="60"/>
      <c r="I4226" s="60"/>
      <c r="J4226" s="63"/>
      <c r="K4226" s="61" t="str">
        <f aca="false">IF($P4226=0,"",IF($F4226="Baseline","— Baseline",IF($O4226=0,"No result",IF($N4226=0,"No Start (attainment only)",IF(OR($N4226=1,$O4226=1),"U – needs rule",INDEX(MxBody,MATCH($I4226,MxCurr,0),MATCH($H4226,MxStart,0)))))))</f>
        <v/>
      </c>
      <c r="L4226" s="62" t="str">
        <f aca="false">IF(COUNTA($A4226,$F4226,$G4226,$H4226,$I4226,$J4226)=0,"",IF($M4226=0,"✖ كود الصف غير موجود",IF(ISNA(MATCH($F4226,Lists!$A$2:$A$5,0)),"✖ الفترة غير صحيحة",IF(ISNA(MATCH($G4226,Lists!$B$2:$B$7,0)),"✖ المجموعة غير صحيحة",IF(NOT(OR($H4226="",$N4226&gt;0)),"✖ Start غير صحيح",IF(NOT(OR($I4226="",$I4226="NR",$O4226&gt;0)),"✖ Current غير صحيح",IF(NOT(IF(ISNUMBER($J4226),AND($J4226&gt;=0,$J4226=INT($J4226)),FALSE())),"✖ العدد يجب أن يكون صحيحًا ≥ 0",IF(AND($F4226="Baseline",$H4226&lt;&gt;""),"⚠ Baseline: Start لا يدخل في التقدم",IF($K4226="No Start (attainment only)","ℹ تحصيل فقط (بدون Start)",IF($K4226="U – needs rule","ℹ حالة U تحتاج قاعدة معتمدة",IF($K4226="No result","ℹ بدون نتيجة (يُستبعد من التحصيل)","OK")))))))))))</f>
        <v/>
      </c>
      <c r="M4226" s="64" t="n">
        <f aca="false">IF($A4226="",0,IFERROR(MATCH($A4226,Classes!$A$6:$A$420,0),0))</f>
        <v>0</v>
      </c>
      <c r="N4226" s="64" t="n">
        <f aca="false">IF($H4226="",0,IFERROR(MATCH($H4226,GradeList,0),0))</f>
        <v>0</v>
      </c>
      <c r="O4226" s="64" t="n">
        <f aca="false">IF(OR($I4226="",$I4226="NR"),0,IFERROR(MATCH($I4226,GradeList,0),0))</f>
        <v>0</v>
      </c>
      <c r="P4226" s="64" t="n">
        <f aca="false">IF(AND($M4226&gt;0,ISNUMBER(MATCH($F4226,Lists!$A$2:$A$5,0)),ISNUMBER(MATCH($G4226,Lists!$B$2:$B$7,0)),OR($H4226="",$N4226&gt;0),OR($I4226="",$I4226="NR",$O4226&gt;0),IF(ISNUMBER($J4226),AND($J4226&gt;=0,$J4226=INT($J4226)),FALSE())),$J4226,0)</f>
        <v>0</v>
      </c>
      <c r="Q4226" s="64" t="n">
        <f aca="false">IF(AND($P4226&gt;0,$O4226&gt;0),$P4226,0)</f>
        <v>0</v>
      </c>
      <c r="R4226" s="64" t="n">
        <f aca="false">IF(AND($Q4226&gt;0,$O4226&gt;=AtRank),$Q4226,0)</f>
        <v>0</v>
      </c>
      <c r="S4226" s="64" t="n">
        <f aca="false">IF(AND($Q4226&gt;0,$O4226&gt;=AboveRank),$Q4226,0)</f>
        <v>0</v>
      </c>
      <c r="T4226" s="64" t="n">
        <f aca="false">IF($K4226="Less",$P4226,0)</f>
        <v>0</v>
      </c>
      <c r="U4226" s="64" t="n">
        <f aca="false">IF($K4226="Expected",$P4226,0)</f>
        <v>0</v>
      </c>
      <c r="V4226" s="64" t="n">
        <f aca="false">IF($K4226="Better",$P4226,0)</f>
        <v>0</v>
      </c>
      <c r="W4226" s="64" t="n">
        <f aca="false">IF($K4226="U – needs rule",$P4226,0)</f>
        <v>0</v>
      </c>
      <c r="X4226" s="64" t="n">
        <f aca="false">IF($K4226="No Start (attainment only)",$P4226,0)</f>
        <v>0</v>
      </c>
    </row>
    <row r="4227" customFormat="false" ht="15" hidden="false" customHeight="false" outlineLevel="0" collapsed="false">
      <c r="A4227" s="60"/>
      <c r="B4227" s="61" t="str">
        <f aca="false">IF($M4227=0,"",INDEX(Classes!$E$6:$E$420,$M4227))</f>
        <v/>
      </c>
      <c r="C4227" s="62" t="str">
        <f aca="false">IF($M4227=0,"",INDEX(Classes!$H$6:$H$420,$M4227))</f>
        <v/>
      </c>
      <c r="D4227" s="61" t="str">
        <f aca="false">IF($M4227=0,"",INDEX(Classes!$B$6:$B$420,$M4227))</f>
        <v/>
      </c>
      <c r="E4227" s="61" t="str">
        <f aca="false">IF($M4227=0,"",INDEX(Classes!$C$6:$C$420,$M4227))</f>
        <v/>
      </c>
      <c r="F4227" s="63"/>
      <c r="G4227" s="63"/>
      <c r="H4227" s="60"/>
      <c r="I4227" s="60"/>
      <c r="J4227" s="63"/>
      <c r="K4227" s="61" t="str">
        <f aca="false">IF($P4227=0,"",IF($F4227="Baseline","— Baseline",IF($O4227=0,"No result",IF($N4227=0,"No Start (attainment only)",IF(OR($N4227=1,$O4227=1),"U – needs rule",INDEX(MxBody,MATCH($I4227,MxCurr,0),MATCH($H4227,MxStart,0)))))))</f>
        <v/>
      </c>
      <c r="L4227" s="62" t="str">
        <f aca="false">IF(COUNTA($A4227,$F4227,$G4227,$H4227,$I4227,$J4227)=0,"",IF($M4227=0,"✖ كود الصف غير موجود",IF(ISNA(MATCH($F4227,Lists!$A$2:$A$5,0)),"✖ الفترة غير صحيحة",IF(ISNA(MATCH($G4227,Lists!$B$2:$B$7,0)),"✖ المجموعة غير صحيحة",IF(NOT(OR($H4227="",$N4227&gt;0)),"✖ Start غير صحيح",IF(NOT(OR($I4227="",$I4227="NR",$O4227&gt;0)),"✖ Current غير صحيح",IF(NOT(IF(ISNUMBER($J4227),AND($J4227&gt;=0,$J4227=INT($J4227)),FALSE())),"✖ العدد يجب أن يكون صحيحًا ≥ 0",IF(AND($F4227="Baseline",$H4227&lt;&gt;""),"⚠ Baseline: Start لا يدخل في التقدم",IF($K4227="No Start (attainment only)","ℹ تحصيل فقط (بدون Start)",IF($K4227="U – needs rule","ℹ حالة U تحتاج قاعدة معتمدة",IF($K4227="No result","ℹ بدون نتيجة (يُستبعد من التحصيل)","OK")))))))))))</f>
        <v/>
      </c>
      <c r="M4227" s="64" t="n">
        <f aca="false">IF($A4227="",0,IFERROR(MATCH($A4227,Classes!$A$6:$A$420,0),0))</f>
        <v>0</v>
      </c>
      <c r="N4227" s="64" t="n">
        <f aca="false">IF($H4227="",0,IFERROR(MATCH($H4227,GradeList,0),0))</f>
        <v>0</v>
      </c>
      <c r="O4227" s="64" t="n">
        <f aca="false">IF(OR($I4227="",$I4227="NR"),0,IFERROR(MATCH($I4227,GradeList,0),0))</f>
        <v>0</v>
      </c>
      <c r="P4227" s="64" t="n">
        <f aca="false">IF(AND($M4227&gt;0,ISNUMBER(MATCH($F4227,Lists!$A$2:$A$5,0)),ISNUMBER(MATCH($G4227,Lists!$B$2:$B$7,0)),OR($H4227="",$N4227&gt;0),OR($I4227="",$I4227="NR",$O4227&gt;0),IF(ISNUMBER($J4227),AND($J4227&gt;=0,$J4227=INT($J4227)),FALSE())),$J4227,0)</f>
        <v>0</v>
      </c>
      <c r="Q4227" s="64" t="n">
        <f aca="false">IF(AND($P4227&gt;0,$O4227&gt;0),$P4227,0)</f>
        <v>0</v>
      </c>
      <c r="R4227" s="64" t="n">
        <f aca="false">IF(AND($Q4227&gt;0,$O4227&gt;=AtRank),$Q4227,0)</f>
        <v>0</v>
      </c>
      <c r="S4227" s="64" t="n">
        <f aca="false">IF(AND($Q4227&gt;0,$O4227&gt;=AboveRank),$Q4227,0)</f>
        <v>0</v>
      </c>
      <c r="T4227" s="64" t="n">
        <f aca="false">IF($K4227="Less",$P4227,0)</f>
        <v>0</v>
      </c>
      <c r="U4227" s="64" t="n">
        <f aca="false">IF($K4227="Expected",$P4227,0)</f>
        <v>0</v>
      </c>
      <c r="V4227" s="64" t="n">
        <f aca="false">IF($K4227="Better",$P4227,0)</f>
        <v>0</v>
      </c>
      <c r="W4227" s="64" t="n">
        <f aca="false">IF($K4227="U – needs rule",$P4227,0)</f>
        <v>0</v>
      </c>
      <c r="X4227" s="64" t="n">
        <f aca="false">IF($K4227="No Start (attainment only)",$P4227,0)</f>
        <v>0</v>
      </c>
    </row>
    <row r="4228" customFormat="false" ht="15" hidden="false" customHeight="false" outlineLevel="0" collapsed="false">
      <c r="A4228" s="60"/>
      <c r="B4228" s="61" t="str">
        <f aca="false">IF($M4228=0,"",INDEX(Classes!$E$6:$E$420,$M4228))</f>
        <v/>
      </c>
      <c r="C4228" s="62" t="str">
        <f aca="false">IF($M4228=0,"",INDEX(Classes!$H$6:$H$420,$M4228))</f>
        <v/>
      </c>
      <c r="D4228" s="61" t="str">
        <f aca="false">IF($M4228=0,"",INDEX(Classes!$B$6:$B$420,$M4228))</f>
        <v/>
      </c>
      <c r="E4228" s="61" t="str">
        <f aca="false">IF($M4228=0,"",INDEX(Classes!$C$6:$C$420,$M4228))</f>
        <v/>
      </c>
      <c r="F4228" s="63"/>
      <c r="G4228" s="63"/>
      <c r="H4228" s="60"/>
      <c r="I4228" s="60"/>
      <c r="J4228" s="63"/>
      <c r="K4228" s="61" t="str">
        <f aca="false">IF($P4228=0,"",IF($F4228="Baseline","— Baseline",IF($O4228=0,"No result",IF($N4228=0,"No Start (attainment only)",IF(OR($N4228=1,$O4228=1),"U – needs rule",INDEX(MxBody,MATCH($I4228,MxCurr,0),MATCH($H4228,MxStart,0)))))))</f>
        <v/>
      </c>
      <c r="L4228" s="62" t="str">
        <f aca="false">IF(COUNTA($A4228,$F4228,$G4228,$H4228,$I4228,$J4228)=0,"",IF($M4228=0,"✖ كود الصف غير موجود",IF(ISNA(MATCH($F4228,Lists!$A$2:$A$5,0)),"✖ الفترة غير صحيحة",IF(ISNA(MATCH($G4228,Lists!$B$2:$B$7,0)),"✖ المجموعة غير صحيحة",IF(NOT(OR($H4228="",$N4228&gt;0)),"✖ Start غير صحيح",IF(NOT(OR($I4228="",$I4228="NR",$O4228&gt;0)),"✖ Current غير صحيح",IF(NOT(IF(ISNUMBER($J4228),AND($J4228&gt;=0,$J4228=INT($J4228)),FALSE())),"✖ العدد يجب أن يكون صحيحًا ≥ 0",IF(AND($F4228="Baseline",$H4228&lt;&gt;""),"⚠ Baseline: Start لا يدخل في التقدم",IF($K4228="No Start (attainment only)","ℹ تحصيل فقط (بدون Start)",IF($K4228="U – needs rule","ℹ حالة U تحتاج قاعدة معتمدة",IF($K4228="No result","ℹ بدون نتيجة (يُستبعد من التحصيل)","OK")))))))))))</f>
        <v/>
      </c>
      <c r="M4228" s="64" t="n">
        <f aca="false">IF($A4228="",0,IFERROR(MATCH($A4228,Classes!$A$6:$A$420,0),0))</f>
        <v>0</v>
      </c>
      <c r="N4228" s="64" t="n">
        <f aca="false">IF($H4228="",0,IFERROR(MATCH($H4228,GradeList,0),0))</f>
        <v>0</v>
      </c>
      <c r="O4228" s="64" t="n">
        <f aca="false">IF(OR($I4228="",$I4228="NR"),0,IFERROR(MATCH($I4228,GradeList,0),0))</f>
        <v>0</v>
      </c>
      <c r="P4228" s="64" t="n">
        <f aca="false">IF(AND($M4228&gt;0,ISNUMBER(MATCH($F4228,Lists!$A$2:$A$5,0)),ISNUMBER(MATCH($G4228,Lists!$B$2:$B$7,0)),OR($H4228="",$N4228&gt;0),OR($I4228="",$I4228="NR",$O4228&gt;0),IF(ISNUMBER($J4228),AND($J4228&gt;=0,$J4228=INT($J4228)),FALSE())),$J4228,0)</f>
        <v>0</v>
      </c>
      <c r="Q4228" s="64" t="n">
        <f aca="false">IF(AND($P4228&gt;0,$O4228&gt;0),$P4228,0)</f>
        <v>0</v>
      </c>
      <c r="R4228" s="64" t="n">
        <f aca="false">IF(AND($Q4228&gt;0,$O4228&gt;=AtRank),$Q4228,0)</f>
        <v>0</v>
      </c>
      <c r="S4228" s="64" t="n">
        <f aca="false">IF(AND($Q4228&gt;0,$O4228&gt;=AboveRank),$Q4228,0)</f>
        <v>0</v>
      </c>
      <c r="T4228" s="64" t="n">
        <f aca="false">IF($K4228="Less",$P4228,0)</f>
        <v>0</v>
      </c>
      <c r="U4228" s="64" t="n">
        <f aca="false">IF($K4228="Expected",$P4228,0)</f>
        <v>0</v>
      </c>
      <c r="V4228" s="64" t="n">
        <f aca="false">IF($K4228="Better",$P4228,0)</f>
        <v>0</v>
      </c>
      <c r="W4228" s="64" t="n">
        <f aca="false">IF($K4228="U – needs rule",$P4228,0)</f>
        <v>0</v>
      </c>
      <c r="X4228" s="64" t="n">
        <f aca="false">IF($K4228="No Start (attainment only)",$P4228,0)</f>
        <v>0</v>
      </c>
    </row>
    <row r="4229" customFormat="false" ht="15" hidden="false" customHeight="false" outlineLevel="0" collapsed="false">
      <c r="A4229" s="60"/>
      <c r="B4229" s="61" t="str">
        <f aca="false">IF($M4229=0,"",INDEX(Classes!$E$6:$E$420,$M4229))</f>
        <v/>
      </c>
      <c r="C4229" s="62" t="str">
        <f aca="false">IF($M4229=0,"",INDEX(Classes!$H$6:$H$420,$M4229))</f>
        <v/>
      </c>
      <c r="D4229" s="61" t="str">
        <f aca="false">IF($M4229=0,"",INDEX(Classes!$B$6:$B$420,$M4229))</f>
        <v/>
      </c>
      <c r="E4229" s="61" t="str">
        <f aca="false">IF($M4229=0,"",INDEX(Classes!$C$6:$C$420,$M4229))</f>
        <v/>
      </c>
      <c r="F4229" s="63"/>
      <c r="G4229" s="63"/>
      <c r="H4229" s="60"/>
      <c r="I4229" s="60"/>
      <c r="J4229" s="63"/>
      <c r="K4229" s="61" t="str">
        <f aca="false">IF($P4229=0,"",IF($F4229="Baseline","— Baseline",IF($O4229=0,"No result",IF($N4229=0,"No Start (attainment only)",IF(OR($N4229=1,$O4229=1),"U – needs rule",INDEX(MxBody,MATCH($I4229,MxCurr,0),MATCH($H4229,MxStart,0)))))))</f>
        <v/>
      </c>
      <c r="L4229" s="62" t="str">
        <f aca="false">IF(COUNTA($A4229,$F4229,$G4229,$H4229,$I4229,$J4229)=0,"",IF($M4229=0,"✖ كود الصف غير موجود",IF(ISNA(MATCH($F4229,Lists!$A$2:$A$5,0)),"✖ الفترة غير صحيحة",IF(ISNA(MATCH($G4229,Lists!$B$2:$B$7,0)),"✖ المجموعة غير صحيحة",IF(NOT(OR($H4229="",$N4229&gt;0)),"✖ Start غير صحيح",IF(NOT(OR($I4229="",$I4229="NR",$O4229&gt;0)),"✖ Current غير صحيح",IF(NOT(IF(ISNUMBER($J4229),AND($J4229&gt;=0,$J4229=INT($J4229)),FALSE())),"✖ العدد يجب أن يكون صحيحًا ≥ 0",IF(AND($F4229="Baseline",$H4229&lt;&gt;""),"⚠ Baseline: Start لا يدخل في التقدم",IF($K4229="No Start (attainment only)","ℹ تحصيل فقط (بدون Start)",IF($K4229="U – needs rule","ℹ حالة U تحتاج قاعدة معتمدة",IF($K4229="No result","ℹ بدون نتيجة (يُستبعد من التحصيل)","OK")))))))))))</f>
        <v/>
      </c>
      <c r="M4229" s="64" t="n">
        <f aca="false">IF($A4229="",0,IFERROR(MATCH($A4229,Classes!$A$6:$A$420,0),0))</f>
        <v>0</v>
      </c>
      <c r="N4229" s="64" t="n">
        <f aca="false">IF($H4229="",0,IFERROR(MATCH($H4229,GradeList,0),0))</f>
        <v>0</v>
      </c>
      <c r="O4229" s="64" t="n">
        <f aca="false">IF(OR($I4229="",$I4229="NR"),0,IFERROR(MATCH($I4229,GradeList,0),0))</f>
        <v>0</v>
      </c>
      <c r="P4229" s="64" t="n">
        <f aca="false">IF(AND($M4229&gt;0,ISNUMBER(MATCH($F4229,Lists!$A$2:$A$5,0)),ISNUMBER(MATCH($G4229,Lists!$B$2:$B$7,0)),OR($H4229="",$N4229&gt;0),OR($I4229="",$I4229="NR",$O4229&gt;0),IF(ISNUMBER($J4229),AND($J4229&gt;=0,$J4229=INT($J4229)),FALSE())),$J4229,0)</f>
        <v>0</v>
      </c>
      <c r="Q4229" s="64" t="n">
        <f aca="false">IF(AND($P4229&gt;0,$O4229&gt;0),$P4229,0)</f>
        <v>0</v>
      </c>
      <c r="R4229" s="64" t="n">
        <f aca="false">IF(AND($Q4229&gt;0,$O4229&gt;=AtRank),$Q4229,0)</f>
        <v>0</v>
      </c>
      <c r="S4229" s="64" t="n">
        <f aca="false">IF(AND($Q4229&gt;0,$O4229&gt;=AboveRank),$Q4229,0)</f>
        <v>0</v>
      </c>
      <c r="T4229" s="64" t="n">
        <f aca="false">IF($K4229="Less",$P4229,0)</f>
        <v>0</v>
      </c>
      <c r="U4229" s="64" t="n">
        <f aca="false">IF($K4229="Expected",$P4229,0)</f>
        <v>0</v>
      </c>
      <c r="V4229" s="64" t="n">
        <f aca="false">IF($K4229="Better",$P4229,0)</f>
        <v>0</v>
      </c>
      <c r="W4229" s="64" t="n">
        <f aca="false">IF($K4229="U – needs rule",$P4229,0)</f>
        <v>0</v>
      </c>
      <c r="X4229" s="64" t="n">
        <f aca="false">IF($K4229="No Start (attainment only)",$P4229,0)</f>
        <v>0</v>
      </c>
    </row>
    <row r="4230" customFormat="false" ht="15" hidden="false" customHeight="false" outlineLevel="0" collapsed="false">
      <c r="A4230" s="60"/>
      <c r="B4230" s="61" t="str">
        <f aca="false">IF($M4230=0,"",INDEX(Classes!$E$6:$E$420,$M4230))</f>
        <v/>
      </c>
      <c r="C4230" s="62" t="str">
        <f aca="false">IF($M4230=0,"",INDEX(Classes!$H$6:$H$420,$M4230))</f>
        <v/>
      </c>
      <c r="D4230" s="61" t="str">
        <f aca="false">IF($M4230=0,"",INDEX(Classes!$B$6:$B$420,$M4230))</f>
        <v/>
      </c>
      <c r="E4230" s="61" t="str">
        <f aca="false">IF($M4230=0,"",INDEX(Classes!$C$6:$C$420,$M4230))</f>
        <v/>
      </c>
      <c r="F4230" s="63"/>
      <c r="G4230" s="63"/>
      <c r="H4230" s="60"/>
      <c r="I4230" s="60"/>
      <c r="J4230" s="63"/>
      <c r="K4230" s="61" t="str">
        <f aca="false">IF($P4230=0,"",IF($F4230="Baseline","— Baseline",IF($O4230=0,"No result",IF($N4230=0,"No Start (attainment only)",IF(OR($N4230=1,$O4230=1),"U – needs rule",INDEX(MxBody,MATCH($I4230,MxCurr,0),MATCH($H4230,MxStart,0)))))))</f>
        <v/>
      </c>
      <c r="L4230" s="62" t="str">
        <f aca="false">IF(COUNTA($A4230,$F4230,$G4230,$H4230,$I4230,$J4230)=0,"",IF($M4230=0,"✖ كود الصف غير موجود",IF(ISNA(MATCH($F4230,Lists!$A$2:$A$5,0)),"✖ الفترة غير صحيحة",IF(ISNA(MATCH($G4230,Lists!$B$2:$B$7,0)),"✖ المجموعة غير صحيحة",IF(NOT(OR($H4230="",$N4230&gt;0)),"✖ Start غير صحيح",IF(NOT(OR($I4230="",$I4230="NR",$O4230&gt;0)),"✖ Current غير صحيح",IF(NOT(IF(ISNUMBER($J4230),AND($J4230&gt;=0,$J4230=INT($J4230)),FALSE())),"✖ العدد يجب أن يكون صحيحًا ≥ 0",IF(AND($F4230="Baseline",$H4230&lt;&gt;""),"⚠ Baseline: Start لا يدخل في التقدم",IF($K4230="No Start (attainment only)","ℹ تحصيل فقط (بدون Start)",IF($K4230="U – needs rule","ℹ حالة U تحتاج قاعدة معتمدة",IF($K4230="No result","ℹ بدون نتيجة (يُستبعد من التحصيل)","OK")))))))))))</f>
        <v/>
      </c>
      <c r="M4230" s="64" t="n">
        <f aca="false">IF($A4230="",0,IFERROR(MATCH($A4230,Classes!$A$6:$A$420,0),0))</f>
        <v>0</v>
      </c>
      <c r="N4230" s="64" t="n">
        <f aca="false">IF($H4230="",0,IFERROR(MATCH($H4230,GradeList,0),0))</f>
        <v>0</v>
      </c>
      <c r="O4230" s="64" t="n">
        <f aca="false">IF(OR($I4230="",$I4230="NR"),0,IFERROR(MATCH($I4230,GradeList,0),0))</f>
        <v>0</v>
      </c>
      <c r="P4230" s="64" t="n">
        <f aca="false">IF(AND($M4230&gt;0,ISNUMBER(MATCH($F4230,Lists!$A$2:$A$5,0)),ISNUMBER(MATCH($G4230,Lists!$B$2:$B$7,0)),OR($H4230="",$N4230&gt;0),OR($I4230="",$I4230="NR",$O4230&gt;0),IF(ISNUMBER($J4230),AND($J4230&gt;=0,$J4230=INT($J4230)),FALSE())),$J4230,0)</f>
        <v>0</v>
      </c>
      <c r="Q4230" s="64" t="n">
        <f aca="false">IF(AND($P4230&gt;0,$O4230&gt;0),$P4230,0)</f>
        <v>0</v>
      </c>
      <c r="R4230" s="64" t="n">
        <f aca="false">IF(AND($Q4230&gt;0,$O4230&gt;=AtRank),$Q4230,0)</f>
        <v>0</v>
      </c>
      <c r="S4230" s="64" t="n">
        <f aca="false">IF(AND($Q4230&gt;0,$O4230&gt;=AboveRank),$Q4230,0)</f>
        <v>0</v>
      </c>
      <c r="T4230" s="64" t="n">
        <f aca="false">IF($K4230="Less",$P4230,0)</f>
        <v>0</v>
      </c>
      <c r="U4230" s="64" t="n">
        <f aca="false">IF($K4230="Expected",$P4230,0)</f>
        <v>0</v>
      </c>
      <c r="V4230" s="64" t="n">
        <f aca="false">IF($K4230="Better",$P4230,0)</f>
        <v>0</v>
      </c>
      <c r="W4230" s="64" t="n">
        <f aca="false">IF($K4230="U – needs rule",$P4230,0)</f>
        <v>0</v>
      </c>
      <c r="X4230" s="64" t="n">
        <f aca="false">IF($K4230="No Start (attainment only)",$P4230,0)</f>
        <v>0</v>
      </c>
    </row>
    <row r="4231" customFormat="false" ht="15" hidden="false" customHeight="false" outlineLevel="0" collapsed="false">
      <c r="A4231" s="60"/>
      <c r="B4231" s="61" t="str">
        <f aca="false">IF($M4231=0,"",INDEX(Classes!$E$6:$E$420,$M4231))</f>
        <v/>
      </c>
      <c r="C4231" s="62" t="str">
        <f aca="false">IF($M4231=0,"",INDEX(Classes!$H$6:$H$420,$M4231))</f>
        <v/>
      </c>
      <c r="D4231" s="61" t="str">
        <f aca="false">IF($M4231=0,"",INDEX(Classes!$B$6:$B$420,$M4231))</f>
        <v/>
      </c>
      <c r="E4231" s="61" t="str">
        <f aca="false">IF($M4231=0,"",INDEX(Classes!$C$6:$C$420,$M4231))</f>
        <v/>
      </c>
      <c r="F4231" s="63"/>
      <c r="G4231" s="63"/>
      <c r="H4231" s="60"/>
      <c r="I4231" s="60"/>
      <c r="J4231" s="63"/>
      <c r="K4231" s="61" t="str">
        <f aca="false">IF($P4231=0,"",IF($F4231="Baseline","— Baseline",IF($O4231=0,"No result",IF($N4231=0,"No Start (attainment only)",IF(OR($N4231=1,$O4231=1),"U – needs rule",INDEX(MxBody,MATCH($I4231,MxCurr,0),MATCH($H4231,MxStart,0)))))))</f>
        <v/>
      </c>
      <c r="L4231" s="62" t="str">
        <f aca="false">IF(COUNTA($A4231,$F4231,$G4231,$H4231,$I4231,$J4231)=0,"",IF($M4231=0,"✖ كود الصف غير موجود",IF(ISNA(MATCH($F4231,Lists!$A$2:$A$5,0)),"✖ الفترة غير صحيحة",IF(ISNA(MATCH($G4231,Lists!$B$2:$B$7,0)),"✖ المجموعة غير صحيحة",IF(NOT(OR($H4231="",$N4231&gt;0)),"✖ Start غير صحيح",IF(NOT(OR($I4231="",$I4231="NR",$O4231&gt;0)),"✖ Current غير صحيح",IF(NOT(IF(ISNUMBER($J4231),AND($J4231&gt;=0,$J4231=INT($J4231)),FALSE())),"✖ العدد يجب أن يكون صحيحًا ≥ 0",IF(AND($F4231="Baseline",$H4231&lt;&gt;""),"⚠ Baseline: Start لا يدخل في التقدم",IF($K4231="No Start (attainment only)","ℹ تحصيل فقط (بدون Start)",IF($K4231="U – needs rule","ℹ حالة U تحتاج قاعدة معتمدة",IF($K4231="No result","ℹ بدون نتيجة (يُستبعد من التحصيل)","OK")))))))))))</f>
        <v/>
      </c>
      <c r="M4231" s="64" t="n">
        <f aca="false">IF($A4231="",0,IFERROR(MATCH($A4231,Classes!$A$6:$A$420,0),0))</f>
        <v>0</v>
      </c>
      <c r="N4231" s="64" t="n">
        <f aca="false">IF($H4231="",0,IFERROR(MATCH($H4231,GradeList,0),0))</f>
        <v>0</v>
      </c>
      <c r="O4231" s="64" t="n">
        <f aca="false">IF(OR($I4231="",$I4231="NR"),0,IFERROR(MATCH($I4231,GradeList,0),0))</f>
        <v>0</v>
      </c>
      <c r="P4231" s="64" t="n">
        <f aca="false">IF(AND($M4231&gt;0,ISNUMBER(MATCH($F4231,Lists!$A$2:$A$5,0)),ISNUMBER(MATCH($G4231,Lists!$B$2:$B$7,0)),OR($H4231="",$N4231&gt;0),OR($I4231="",$I4231="NR",$O4231&gt;0),IF(ISNUMBER($J4231),AND($J4231&gt;=0,$J4231=INT($J4231)),FALSE())),$J4231,0)</f>
        <v>0</v>
      </c>
      <c r="Q4231" s="64" t="n">
        <f aca="false">IF(AND($P4231&gt;0,$O4231&gt;0),$P4231,0)</f>
        <v>0</v>
      </c>
      <c r="R4231" s="64" t="n">
        <f aca="false">IF(AND($Q4231&gt;0,$O4231&gt;=AtRank),$Q4231,0)</f>
        <v>0</v>
      </c>
      <c r="S4231" s="64" t="n">
        <f aca="false">IF(AND($Q4231&gt;0,$O4231&gt;=AboveRank),$Q4231,0)</f>
        <v>0</v>
      </c>
      <c r="T4231" s="64" t="n">
        <f aca="false">IF($K4231="Less",$P4231,0)</f>
        <v>0</v>
      </c>
      <c r="U4231" s="64" t="n">
        <f aca="false">IF($K4231="Expected",$P4231,0)</f>
        <v>0</v>
      </c>
      <c r="V4231" s="64" t="n">
        <f aca="false">IF($K4231="Better",$P4231,0)</f>
        <v>0</v>
      </c>
      <c r="W4231" s="64" t="n">
        <f aca="false">IF($K4231="U – needs rule",$P4231,0)</f>
        <v>0</v>
      </c>
      <c r="X4231" s="64" t="n">
        <f aca="false">IF($K4231="No Start (attainment only)",$P4231,0)</f>
        <v>0</v>
      </c>
    </row>
    <row r="4232" customFormat="false" ht="15" hidden="false" customHeight="false" outlineLevel="0" collapsed="false">
      <c r="A4232" s="60"/>
      <c r="B4232" s="61" t="str">
        <f aca="false">IF($M4232=0,"",INDEX(Classes!$E$6:$E$420,$M4232))</f>
        <v/>
      </c>
      <c r="C4232" s="62" t="str">
        <f aca="false">IF($M4232=0,"",INDEX(Classes!$H$6:$H$420,$M4232))</f>
        <v/>
      </c>
      <c r="D4232" s="61" t="str">
        <f aca="false">IF($M4232=0,"",INDEX(Classes!$B$6:$B$420,$M4232))</f>
        <v/>
      </c>
      <c r="E4232" s="61" t="str">
        <f aca="false">IF($M4232=0,"",INDEX(Classes!$C$6:$C$420,$M4232))</f>
        <v/>
      </c>
      <c r="F4232" s="63"/>
      <c r="G4232" s="63"/>
      <c r="H4232" s="60"/>
      <c r="I4232" s="60"/>
      <c r="J4232" s="63"/>
      <c r="K4232" s="61" t="str">
        <f aca="false">IF($P4232=0,"",IF($F4232="Baseline","— Baseline",IF($O4232=0,"No result",IF($N4232=0,"No Start (attainment only)",IF(OR($N4232=1,$O4232=1),"U – needs rule",INDEX(MxBody,MATCH($I4232,MxCurr,0),MATCH($H4232,MxStart,0)))))))</f>
        <v/>
      </c>
      <c r="L4232" s="62" t="str">
        <f aca="false">IF(COUNTA($A4232,$F4232,$G4232,$H4232,$I4232,$J4232)=0,"",IF($M4232=0,"✖ كود الصف غير موجود",IF(ISNA(MATCH($F4232,Lists!$A$2:$A$5,0)),"✖ الفترة غير صحيحة",IF(ISNA(MATCH($G4232,Lists!$B$2:$B$7,0)),"✖ المجموعة غير صحيحة",IF(NOT(OR($H4232="",$N4232&gt;0)),"✖ Start غير صحيح",IF(NOT(OR($I4232="",$I4232="NR",$O4232&gt;0)),"✖ Current غير صحيح",IF(NOT(IF(ISNUMBER($J4232),AND($J4232&gt;=0,$J4232=INT($J4232)),FALSE())),"✖ العدد يجب أن يكون صحيحًا ≥ 0",IF(AND($F4232="Baseline",$H4232&lt;&gt;""),"⚠ Baseline: Start لا يدخل في التقدم",IF($K4232="No Start (attainment only)","ℹ تحصيل فقط (بدون Start)",IF($K4232="U – needs rule","ℹ حالة U تحتاج قاعدة معتمدة",IF($K4232="No result","ℹ بدون نتيجة (يُستبعد من التحصيل)","OK")))))))))))</f>
        <v/>
      </c>
      <c r="M4232" s="64" t="n">
        <f aca="false">IF($A4232="",0,IFERROR(MATCH($A4232,Classes!$A$6:$A$420,0),0))</f>
        <v>0</v>
      </c>
      <c r="N4232" s="64" t="n">
        <f aca="false">IF($H4232="",0,IFERROR(MATCH($H4232,GradeList,0),0))</f>
        <v>0</v>
      </c>
      <c r="O4232" s="64" t="n">
        <f aca="false">IF(OR($I4232="",$I4232="NR"),0,IFERROR(MATCH($I4232,GradeList,0),0))</f>
        <v>0</v>
      </c>
      <c r="P4232" s="64" t="n">
        <f aca="false">IF(AND($M4232&gt;0,ISNUMBER(MATCH($F4232,Lists!$A$2:$A$5,0)),ISNUMBER(MATCH($G4232,Lists!$B$2:$B$7,0)),OR($H4232="",$N4232&gt;0),OR($I4232="",$I4232="NR",$O4232&gt;0),IF(ISNUMBER($J4232),AND($J4232&gt;=0,$J4232=INT($J4232)),FALSE())),$J4232,0)</f>
        <v>0</v>
      </c>
      <c r="Q4232" s="64" t="n">
        <f aca="false">IF(AND($P4232&gt;0,$O4232&gt;0),$P4232,0)</f>
        <v>0</v>
      </c>
      <c r="R4232" s="64" t="n">
        <f aca="false">IF(AND($Q4232&gt;0,$O4232&gt;=AtRank),$Q4232,0)</f>
        <v>0</v>
      </c>
      <c r="S4232" s="64" t="n">
        <f aca="false">IF(AND($Q4232&gt;0,$O4232&gt;=AboveRank),$Q4232,0)</f>
        <v>0</v>
      </c>
      <c r="T4232" s="64" t="n">
        <f aca="false">IF($K4232="Less",$P4232,0)</f>
        <v>0</v>
      </c>
      <c r="U4232" s="64" t="n">
        <f aca="false">IF($K4232="Expected",$P4232,0)</f>
        <v>0</v>
      </c>
      <c r="V4232" s="64" t="n">
        <f aca="false">IF($K4232="Better",$P4232,0)</f>
        <v>0</v>
      </c>
      <c r="W4232" s="64" t="n">
        <f aca="false">IF($K4232="U – needs rule",$P4232,0)</f>
        <v>0</v>
      </c>
      <c r="X4232" s="64" t="n">
        <f aca="false">IF($K4232="No Start (attainment only)",$P4232,0)</f>
        <v>0</v>
      </c>
    </row>
    <row r="4233" customFormat="false" ht="15" hidden="false" customHeight="false" outlineLevel="0" collapsed="false">
      <c r="A4233" s="60"/>
      <c r="B4233" s="61" t="str">
        <f aca="false">IF($M4233=0,"",INDEX(Classes!$E$6:$E$420,$M4233))</f>
        <v/>
      </c>
      <c r="C4233" s="62" t="str">
        <f aca="false">IF($M4233=0,"",INDEX(Classes!$H$6:$H$420,$M4233))</f>
        <v/>
      </c>
      <c r="D4233" s="61" t="str">
        <f aca="false">IF($M4233=0,"",INDEX(Classes!$B$6:$B$420,$M4233))</f>
        <v/>
      </c>
      <c r="E4233" s="61" t="str">
        <f aca="false">IF($M4233=0,"",INDEX(Classes!$C$6:$C$420,$M4233))</f>
        <v/>
      </c>
      <c r="F4233" s="63"/>
      <c r="G4233" s="63"/>
      <c r="H4233" s="60"/>
      <c r="I4233" s="60"/>
      <c r="J4233" s="63"/>
      <c r="K4233" s="61" t="str">
        <f aca="false">IF($P4233=0,"",IF($F4233="Baseline","— Baseline",IF($O4233=0,"No result",IF($N4233=0,"No Start (attainment only)",IF(OR($N4233=1,$O4233=1),"U – needs rule",INDEX(MxBody,MATCH($I4233,MxCurr,0),MATCH($H4233,MxStart,0)))))))</f>
        <v/>
      </c>
      <c r="L4233" s="62" t="str">
        <f aca="false">IF(COUNTA($A4233,$F4233,$G4233,$H4233,$I4233,$J4233)=0,"",IF($M4233=0,"✖ كود الصف غير موجود",IF(ISNA(MATCH($F4233,Lists!$A$2:$A$5,0)),"✖ الفترة غير صحيحة",IF(ISNA(MATCH($G4233,Lists!$B$2:$B$7,0)),"✖ المجموعة غير صحيحة",IF(NOT(OR($H4233="",$N4233&gt;0)),"✖ Start غير صحيح",IF(NOT(OR($I4233="",$I4233="NR",$O4233&gt;0)),"✖ Current غير صحيح",IF(NOT(IF(ISNUMBER($J4233),AND($J4233&gt;=0,$J4233=INT($J4233)),FALSE())),"✖ العدد يجب أن يكون صحيحًا ≥ 0",IF(AND($F4233="Baseline",$H4233&lt;&gt;""),"⚠ Baseline: Start لا يدخل في التقدم",IF($K4233="No Start (attainment only)","ℹ تحصيل فقط (بدون Start)",IF($K4233="U – needs rule","ℹ حالة U تحتاج قاعدة معتمدة",IF($K4233="No result","ℹ بدون نتيجة (يُستبعد من التحصيل)","OK")))))))))))</f>
        <v/>
      </c>
      <c r="M4233" s="64" t="n">
        <f aca="false">IF($A4233="",0,IFERROR(MATCH($A4233,Classes!$A$6:$A$420,0),0))</f>
        <v>0</v>
      </c>
      <c r="N4233" s="64" t="n">
        <f aca="false">IF($H4233="",0,IFERROR(MATCH($H4233,GradeList,0),0))</f>
        <v>0</v>
      </c>
      <c r="O4233" s="64" t="n">
        <f aca="false">IF(OR($I4233="",$I4233="NR"),0,IFERROR(MATCH($I4233,GradeList,0),0))</f>
        <v>0</v>
      </c>
      <c r="P4233" s="64" t="n">
        <f aca="false">IF(AND($M4233&gt;0,ISNUMBER(MATCH($F4233,Lists!$A$2:$A$5,0)),ISNUMBER(MATCH($G4233,Lists!$B$2:$B$7,0)),OR($H4233="",$N4233&gt;0),OR($I4233="",$I4233="NR",$O4233&gt;0),IF(ISNUMBER($J4233),AND($J4233&gt;=0,$J4233=INT($J4233)),FALSE())),$J4233,0)</f>
        <v>0</v>
      </c>
      <c r="Q4233" s="64" t="n">
        <f aca="false">IF(AND($P4233&gt;0,$O4233&gt;0),$P4233,0)</f>
        <v>0</v>
      </c>
      <c r="R4233" s="64" t="n">
        <f aca="false">IF(AND($Q4233&gt;0,$O4233&gt;=AtRank),$Q4233,0)</f>
        <v>0</v>
      </c>
      <c r="S4233" s="64" t="n">
        <f aca="false">IF(AND($Q4233&gt;0,$O4233&gt;=AboveRank),$Q4233,0)</f>
        <v>0</v>
      </c>
      <c r="T4233" s="64" t="n">
        <f aca="false">IF($K4233="Less",$P4233,0)</f>
        <v>0</v>
      </c>
      <c r="U4233" s="64" t="n">
        <f aca="false">IF($K4233="Expected",$P4233,0)</f>
        <v>0</v>
      </c>
      <c r="V4233" s="64" t="n">
        <f aca="false">IF($K4233="Better",$P4233,0)</f>
        <v>0</v>
      </c>
      <c r="W4233" s="64" t="n">
        <f aca="false">IF($K4233="U – needs rule",$P4233,0)</f>
        <v>0</v>
      </c>
      <c r="X4233" s="64" t="n">
        <f aca="false">IF($K4233="No Start (attainment only)",$P4233,0)</f>
        <v>0</v>
      </c>
    </row>
    <row r="4234" customFormat="false" ht="15" hidden="false" customHeight="false" outlineLevel="0" collapsed="false">
      <c r="A4234" s="60"/>
      <c r="B4234" s="61" t="str">
        <f aca="false">IF($M4234=0,"",INDEX(Classes!$E$6:$E$420,$M4234))</f>
        <v/>
      </c>
      <c r="C4234" s="62" t="str">
        <f aca="false">IF($M4234=0,"",INDEX(Classes!$H$6:$H$420,$M4234))</f>
        <v/>
      </c>
      <c r="D4234" s="61" t="str">
        <f aca="false">IF($M4234=0,"",INDEX(Classes!$B$6:$B$420,$M4234))</f>
        <v/>
      </c>
      <c r="E4234" s="61" t="str">
        <f aca="false">IF($M4234=0,"",INDEX(Classes!$C$6:$C$420,$M4234))</f>
        <v/>
      </c>
      <c r="F4234" s="63"/>
      <c r="G4234" s="63"/>
      <c r="H4234" s="60"/>
      <c r="I4234" s="60"/>
      <c r="J4234" s="63"/>
      <c r="K4234" s="61" t="str">
        <f aca="false">IF($P4234=0,"",IF($F4234="Baseline","— Baseline",IF($O4234=0,"No result",IF($N4234=0,"No Start (attainment only)",IF(OR($N4234=1,$O4234=1),"U – needs rule",INDEX(MxBody,MATCH($I4234,MxCurr,0),MATCH($H4234,MxStart,0)))))))</f>
        <v/>
      </c>
      <c r="L4234" s="62" t="str">
        <f aca="false">IF(COUNTA($A4234,$F4234,$G4234,$H4234,$I4234,$J4234)=0,"",IF($M4234=0,"✖ كود الصف غير موجود",IF(ISNA(MATCH($F4234,Lists!$A$2:$A$5,0)),"✖ الفترة غير صحيحة",IF(ISNA(MATCH($G4234,Lists!$B$2:$B$7,0)),"✖ المجموعة غير صحيحة",IF(NOT(OR($H4234="",$N4234&gt;0)),"✖ Start غير صحيح",IF(NOT(OR($I4234="",$I4234="NR",$O4234&gt;0)),"✖ Current غير صحيح",IF(NOT(IF(ISNUMBER($J4234),AND($J4234&gt;=0,$J4234=INT($J4234)),FALSE())),"✖ العدد يجب أن يكون صحيحًا ≥ 0",IF(AND($F4234="Baseline",$H4234&lt;&gt;""),"⚠ Baseline: Start لا يدخل في التقدم",IF($K4234="No Start (attainment only)","ℹ تحصيل فقط (بدون Start)",IF($K4234="U – needs rule","ℹ حالة U تحتاج قاعدة معتمدة",IF($K4234="No result","ℹ بدون نتيجة (يُستبعد من التحصيل)","OK")))))))))))</f>
        <v/>
      </c>
      <c r="M4234" s="64" t="n">
        <f aca="false">IF($A4234="",0,IFERROR(MATCH($A4234,Classes!$A$6:$A$420,0),0))</f>
        <v>0</v>
      </c>
      <c r="N4234" s="64" t="n">
        <f aca="false">IF($H4234="",0,IFERROR(MATCH($H4234,GradeList,0),0))</f>
        <v>0</v>
      </c>
      <c r="O4234" s="64" t="n">
        <f aca="false">IF(OR($I4234="",$I4234="NR"),0,IFERROR(MATCH($I4234,GradeList,0),0))</f>
        <v>0</v>
      </c>
      <c r="P4234" s="64" t="n">
        <f aca="false">IF(AND($M4234&gt;0,ISNUMBER(MATCH($F4234,Lists!$A$2:$A$5,0)),ISNUMBER(MATCH($G4234,Lists!$B$2:$B$7,0)),OR($H4234="",$N4234&gt;0),OR($I4234="",$I4234="NR",$O4234&gt;0),IF(ISNUMBER($J4234),AND($J4234&gt;=0,$J4234=INT($J4234)),FALSE())),$J4234,0)</f>
        <v>0</v>
      </c>
      <c r="Q4234" s="64" t="n">
        <f aca="false">IF(AND($P4234&gt;0,$O4234&gt;0),$P4234,0)</f>
        <v>0</v>
      </c>
      <c r="R4234" s="64" t="n">
        <f aca="false">IF(AND($Q4234&gt;0,$O4234&gt;=AtRank),$Q4234,0)</f>
        <v>0</v>
      </c>
      <c r="S4234" s="64" t="n">
        <f aca="false">IF(AND($Q4234&gt;0,$O4234&gt;=AboveRank),$Q4234,0)</f>
        <v>0</v>
      </c>
      <c r="T4234" s="64" t="n">
        <f aca="false">IF($K4234="Less",$P4234,0)</f>
        <v>0</v>
      </c>
      <c r="U4234" s="64" t="n">
        <f aca="false">IF($K4234="Expected",$P4234,0)</f>
        <v>0</v>
      </c>
      <c r="V4234" s="64" t="n">
        <f aca="false">IF($K4234="Better",$P4234,0)</f>
        <v>0</v>
      </c>
      <c r="W4234" s="64" t="n">
        <f aca="false">IF($K4234="U – needs rule",$P4234,0)</f>
        <v>0</v>
      </c>
      <c r="X4234" s="64" t="n">
        <f aca="false">IF($K4234="No Start (attainment only)",$P4234,0)</f>
        <v>0</v>
      </c>
    </row>
    <row r="4235" customFormat="false" ht="15" hidden="false" customHeight="false" outlineLevel="0" collapsed="false">
      <c r="A4235" s="60"/>
      <c r="B4235" s="61" t="str">
        <f aca="false">IF($M4235=0,"",INDEX(Classes!$E$6:$E$420,$M4235))</f>
        <v/>
      </c>
      <c r="C4235" s="62" t="str">
        <f aca="false">IF($M4235=0,"",INDEX(Classes!$H$6:$H$420,$M4235))</f>
        <v/>
      </c>
      <c r="D4235" s="61" t="str">
        <f aca="false">IF($M4235=0,"",INDEX(Classes!$B$6:$B$420,$M4235))</f>
        <v/>
      </c>
      <c r="E4235" s="61" t="str">
        <f aca="false">IF($M4235=0,"",INDEX(Classes!$C$6:$C$420,$M4235))</f>
        <v/>
      </c>
      <c r="F4235" s="63"/>
      <c r="G4235" s="63"/>
      <c r="H4235" s="60"/>
      <c r="I4235" s="60"/>
      <c r="J4235" s="63"/>
      <c r="K4235" s="61" t="str">
        <f aca="false">IF($P4235=0,"",IF($F4235="Baseline","— Baseline",IF($O4235=0,"No result",IF($N4235=0,"No Start (attainment only)",IF(OR($N4235=1,$O4235=1),"U – needs rule",INDEX(MxBody,MATCH($I4235,MxCurr,0),MATCH($H4235,MxStart,0)))))))</f>
        <v/>
      </c>
      <c r="L4235" s="62" t="str">
        <f aca="false">IF(COUNTA($A4235,$F4235,$G4235,$H4235,$I4235,$J4235)=0,"",IF($M4235=0,"✖ كود الصف غير موجود",IF(ISNA(MATCH($F4235,Lists!$A$2:$A$5,0)),"✖ الفترة غير صحيحة",IF(ISNA(MATCH($G4235,Lists!$B$2:$B$7,0)),"✖ المجموعة غير صحيحة",IF(NOT(OR($H4235="",$N4235&gt;0)),"✖ Start غير صحيح",IF(NOT(OR($I4235="",$I4235="NR",$O4235&gt;0)),"✖ Current غير صحيح",IF(NOT(IF(ISNUMBER($J4235),AND($J4235&gt;=0,$J4235=INT($J4235)),FALSE())),"✖ العدد يجب أن يكون صحيحًا ≥ 0",IF(AND($F4235="Baseline",$H4235&lt;&gt;""),"⚠ Baseline: Start لا يدخل في التقدم",IF($K4235="No Start (attainment only)","ℹ تحصيل فقط (بدون Start)",IF($K4235="U – needs rule","ℹ حالة U تحتاج قاعدة معتمدة",IF($K4235="No result","ℹ بدون نتيجة (يُستبعد من التحصيل)","OK")))))))))))</f>
        <v/>
      </c>
      <c r="M4235" s="64" t="n">
        <f aca="false">IF($A4235="",0,IFERROR(MATCH($A4235,Classes!$A$6:$A$420,0),0))</f>
        <v>0</v>
      </c>
      <c r="N4235" s="64" t="n">
        <f aca="false">IF($H4235="",0,IFERROR(MATCH($H4235,GradeList,0),0))</f>
        <v>0</v>
      </c>
      <c r="O4235" s="64" t="n">
        <f aca="false">IF(OR($I4235="",$I4235="NR"),0,IFERROR(MATCH($I4235,GradeList,0),0))</f>
        <v>0</v>
      </c>
      <c r="P4235" s="64" t="n">
        <f aca="false">IF(AND($M4235&gt;0,ISNUMBER(MATCH($F4235,Lists!$A$2:$A$5,0)),ISNUMBER(MATCH($G4235,Lists!$B$2:$B$7,0)),OR($H4235="",$N4235&gt;0),OR($I4235="",$I4235="NR",$O4235&gt;0),IF(ISNUMBER($J4235),AND($J4235&gt;=0,$J4235=INT($J4235)),FALSE())),$J4235,0)</f>
        <v>0</v>
      </c>
      <c r="Q4235" s="64" t="n">
        <f aca="false">IF(AND($P4235&gt;0,$O4235&gt;0),$P4235,0)</f>
        <v>0</v>
      </c>
      <c r="R4235" s="64" t="n">
        <f aca="false">IF(AND($Q4235&gt;0,$O4235&gt;=AtRank),$Q4235,0)</f>
        <v>0</v>
      </c>
      <c r="S4235" s="64" t="n">
        <f aca="false">IF(AND($Q4235&gt;0,$O4235&gt;=AboveRank),$Q4235,0)</f>
        <v>0</v>
      </c>
      <c r="T4235" s="64" t="n">
        <f aca="false">IF($K4235="Less",$P4235,0)</f>
        <v>0</v>
      </c>
      <c r="U4235" s="64" t="n">
        <f aca="false">IF($K4235="Expected",$P4235,0)</f>
        <v>0</v>
      </c>
      <c r="V4235" s="64" t="n">
        <f aca="false">IF($K4235="Better",$P4235,0)</f>
        <v>0</v>
      </c>
      <c r="W4235" s="64" t="n">
        <f aca="false">IF($K4235="U – needs rule",$P4235,0)</f>
        <v>0</v>
      </c>
      <c r="X4235" s="64" t="n">
        <f aca="false">IF($K4235="No Start (attainment only)",$P4235,0)</f>
        <v>0</v>
      </c>
    </row>
    <row r="4236" customFormat="false" ht="15" hidden="false" customHeight="false" outlineLevel="0" collapsed="false">
      <c r="A4236" s="60"/>
      <c r="B4236" s="61" t="str">
        <f aca="false">IF($M4236=0,"",INDEX(Classes!$E$6:$E$420,$M4236))</f>
        <v/>
      </c>
      <c r="C4236" s="62" t="str">
        <f aca="false">IF($M4236=0,"",INDEX(Classes!$H$6:$H$420,$M4236))</f>
        <v/>
      </c>
      <c r="D4236" s="61" t="str">
        <f aca="false">IF($M4236=0,"",INDEX(Classes!$B$6:$B$420,$M4236))</f>
        <v/>
      </c>
      <c r="E4236" s="61" t="str">
        <f aca="false">IF($M4236=0,"",INDEX(Classes!$C$6:$C$420,$M4236))</f>
        <v/>
      </c>
      <c r="F4236" s="63"/>
      <c r="G4236" s="63"/>
      <c r="H4236" s="60"/>
      <c r="I4236" s="60"/>
      <c r="J4236" s="63"/>
      <c r="K4236" s="61" t="str">
        <f aca="false">IF($P4236=0,"",IF($F4236="Baseline","— Baseline",IF($O4236=0,"No result",IF($N4236=0,"No Start (attainment only)",IF(OR($N4236=1,$O4236=1),"U – needs rule",INDEX(MxBody,MATCH($I4236,MxCurr,0),MATCH($H4236,MxStart,0)))))))</f>
        <v/>
      </c>
      <c r="L4236" s="62" t="str">
        <f aca="false">IF(COUNTA($A4236,$F4236,$G4236,$H4236,$I4236,$J4236)=0,"",IF($M4236=0,"✖ كود الصف غير موجود",IF(ISNA(MATCH($F4236,Lists!$A$2:$A$5,0)),"✖ الفترة غير صحيحة",IF(ISNA(MATCH($G4236,Lists!$B$2:$B$7,0)),"✖ المجموعة غير صحيحة",IF(NOT(OR($H4236="",$N4236&gt;0)),"✖ Start غير صحيح",IF(NOT(OR($I4236="",$I4236="NR",$O4236&gt;0)),"✖ Current غير صحيح",IF(NOT(IF(ISNUMBER($J4236),AND($J4236&gt;=0,$J4236=INT($J4236)),FALSE())),"✖ العدد يجب أن يكون صحيحًا ≥ 0",IF(AND($F4236="Baseline",$H4236&lt;&gt;""),"⚠ Baseline: Start لا يدخل في التقدم",IF($K4236="No Start (attainment only)","ℹ تحصيل فقط (بدون Start)",IF($K4236="U – needs rule","ℹ حالة U تحتاج قاعدة معتمدة",IF($K4236="No result","ℹ بدون نتيجة (يُستبعد من التحصيل)","OK")))))))))))</f>
        <v/>
      </c>
      <c r="M4236" s="64" t="n">
        <f aca="false">IF($A4236="",0,IFERROR(MATCH($A4236,Classes!$A$6:$A$420,0),0))</f>
        <v>0</v>
      </c>
      <c r="N4236" s="64" t="n">
        <f aca="false">IF($H4236="",0,IFERROR(MATCH($H4236,GradeList,0),0))</f>
        <v>0</v>
      </c>
      <c r="O4236" s="64" t="n">
        <f aca="false">IF(OR($I4236="",$I4236="NR"),0,IFERROR(MATCH($I4236,GradeList,0),0))</f>
        <v>0</v>
      </c>
      <c r="P4236" s="64" t="n">
        <f aca="false">IF(AND($M4236&gt;0,ISNUMBER(MATCH($F4236,Lists!$A$2:$A$5,0)),ISNUMBER(MATCH($G4236,Lists!$B$2:$B$7,0)),OR($H4236="",$N4236&gt;0),OR($I4236="",$I4236="NR",$O4236&gt;0),IF(ISNUMBER($J4236),AND($J4236&gt;=0,$J4236=INT($J4236)),FALSE())),$J4236,0)</f>
        <v>0</v>
      </c>
      <c r="Q4236" s="64" t="n">
        <f aca="false">IF(AND($P4236&gt;0,$O4236&gt;0),$P4236,0)</f>
        <v>0</v>
      </c>
      <c r="R4236" s="64" t="n">
        <f aca="false">IF(AND($Q4236&gt;0,$O4236&gt;=AtRank),$Q4236,0)</f>
        <v>0</v>
      </c>
      <c r="S4236" s="64" t="n">
        <f aca="false">IF(AND($Q4236&gt;0,$O4236&gt;=AboveRank),$Q4236,0)</f>
        <v>0</v>
      </c>
      <c r="T4236" s="64" t="n">
        <f aca="false">IF($K4236="Less",$P4236,0)</f>
        <v>0</v>
      </c>
      <c r="U4236" s="64" t="n">
        <f aca="false">IF($K4236="Expected",$P4236,0)</f>
        <v>0</v>
      </c>
      <c r="V4236" s="64" t="n">
        <f aca="false">IF($K4236="Better",$P4236,0)</f>
        <v>0</v>
      </c>
      <c r="W4236" s="64" t="n">
        <f aca="false">IF($K4236="U – needs rule",$P4236,0)</f>
        <v>0</v>
      </c>
      <c r="X4236" s="64" t="n">
        <f aca="false">IF($K4236="No Start (attainment only)",$P4236,0)</f>
        <v>0</v>
      </c>
    </row>
    <row r="4237" customFormat="false" ht="15" hidden="false" customHeight="false" outlineLevel="0" collapsed="false">
      <c r="A4237" s="60"/>
      <c r="B4237" s="61" t="str">
        <f aca="false">IF($M4237=0,"",INDEX(Classes!$E$6:$E$420,$M4237))</f>
        <v/>
      </c>
      <c r="C4237" s="62" t="str">
        <f aca="false">IF($M4237=0,"",INDEX(Classes!$H$6:$H$420,$M4237))</f>
        <v/>
      </c>
      <c r="D4237" s="61" t="str">
        <f aca="false">IF($M4237=0,"",INDEX(Classes!$B$6:$B$420,$M4237))</f>
        <v/>
      </c>
      <c r="E4237" s="61" t="str">
        <f aca="false">IF($M4237=0,"",INDEX(Classes!$C$6:$C$420,$M4237))</f>
        <v/>
      </c>
      <c r="F4237" s="63"/>
      <c r="G4237" s="63"/>
      <c r="H4237" s="60"/>
      <c r="I4237" s="60"/>
      <c r="J4237" s="63"/>
      <c r="K4237" s="61" t="str">
        <f aca="false">IF($P4237=0,"",IF($F4237="Baseline","— Baseline",IF($O4237=0,"No result",IF($N4237=0,"No Start (attainment only)",IF(OR($N4237=1,$O4237=1),"U – needs rule",INDEX(MxBody,MATCH($I4237,MxCurr,0),MATCH($H4237,MxStart,0)))))))</f>
        <v/>
      </c>
      <c r="L4237" s="62" t="str">
        <f aca="false">IF(COUNTA($A4237,$F4237,$G4237,$H4237,$I4237,$J4237)=0,"",IF($M4237=0,"✖ كود الصف غير موجود",IF(ISNA(MATCH($F4237,Lists!$A$2:$A$5,0)),"✖ الفترة غير صحيحة",IF(ISNA(MATCH($G4237,Lists!$B$2:$B$7,0)),"✖ المجموعة غير صحيحة",IF(NOT(OR($H4237="",$N4237&gt;0)),"✖ Start غير صحيح",IF(NOT(OR($I4237="",$I4237="NR",$O4237&gt;0)),"✖ Current غير صحيح",IF(NOT(IF(ISNUMBER($J4237),AND($J4237&gt;=0,$J4237=INT($J4237)),FALSE())),"✖ العدد يجب أن يكون صحيحًا ≥ 0",IF(AND($F4237="Baseline",$H4237&lt;&gt;""),"⚠ Baseline: Start لا يدخل في التقدم",IF($K4237="No Start (attainment only)","ℹ تحصيل فقط (بدون Start)",IF($K4237="U – needs rule","ℹ حالة U تحتاج قاعدة معتمدة",IF($K4237="No result","ℹ بدون نتيجة (يُستبعد من التحصيل)","OK")))))))))))</f>
        <v/>
      </c>
      <c r="M4237" s="64" t="n">
        <f aca="false">IF($A4237="",0,IFERROR(MATCH($A4237,Classes!$A$6:$A$420,0),0))</f>
        <v>0</v>
      </c>
      <c r="N4237" s="64" t="n">
        <f aca="false">IF($H4237="",0,IFERROR(MATCH($H4237,GradeList,0),0))</f>
        <v>0</v>
      </c>
      <c r="O4237" s="64" t="n">
        <f aca="false">IF(OR($I4237="",$I4237="NR"),0,IFERROR(MATCH($I4237,GradeList,0),0))</f>
        <v>0</v>
      </c>
      <c r="P4237" s="64" t="n">
        <f aca="false">IF(AND($M4237&gt;0,ISNUMBER(MATCH($F4237,Lists!$A$2:$A$5,0)),ISNUMBER(MATCH($G4237,Lists!$B$2:$B$7,0)),OR($H4237="",$N4237&gt;0),OR($I4237="",$I4237="NR",$O4237&gt;0),IF(ISNUMBER($J4237),AND($J4237&gt;=0,$J4237=INT($J4237)),FALSE())),$J4237,0)</f>
        <v>0</v>
      </c>
      <c r="Q4237" s="64" t="n">
        <f aca="false">IF(AND($P4237&gt;0,$O4237&gt;0),$P4237,0)</f>
        <v>0</v>
      </c>
      <c r="R4237" s="64" t="n">
        <f aca="false">IF(AND($Q4237&gt;0,$O4237&gt;=AtRank),$Q4237,0)</f>
        <v>0</v>
      </c>
      <c r="S4237" s="64" t="n">
        <f aca="false">IF(AND($Q4237&gt;0,$O4237&gt;=AboveRank),$Q4237,0)</f>
        <v>0</v>
      </c>
      <c r="T4237" s="64" t="n">
        <f aca="false">IF($K4237="Less",$P4237,0)</f>
        <v>0</v>
      </c>
      <c r="U4237" s="64" t="n">
        <f aca="false">IF($K4237="Expected",$P4237,0)</f>
        <v>0</v>
      </c>
      <c r="V4237" s="64" t="n">
        <f aca="false">IF($K4237="Better",$P4237,0)</f>
        <v>0</v>
      </c>
      <c r="W4237" s="64" t="n">
        <f aca="false">IF($K4237="U – needs rule",$P4237,0)</f>
        <v>0</v>
      </c>
      <c r="X4237" s="64" t="n">
        <f aca="false">IF($K4237="No Start (attainment only)",$P4237,0)</f>
        <v>0</v>
      </c>
    </row>
    <row r="4238" customFormat="false" ht="15" hidden="false" customHeight="false" outlineLevel="0" collapsed="false">
      <c r="A4238" s="60"/>
      <c r="B4238" s="61" t="str">
        <f aca="false">IF($M4238=0,"",INDEX(Classes!$E$6:$E$420,$M4238))</f>
        <v/>
      </c>
      <c r="C4238" s="62" t="str">
        <f aca="false">IF($M4238=0,"",INDEX(Classes!$H$6:$H$420,$M4238))</f>
        <v/>
      </c>
      <c r="D4238" s="61" t="str">
        <f aca="false">IF($M4238=0,"",INDEX(Classes!$B$6:$B$420,$M4238))</f>
        <v/>
      </c>
      <c r="E4238" s="61" t="str">
        <f aca="false">IF($M4238=0,"",INDEX(Classes!$C$6:$C$420,$M4238))</f>
        <v/>
      </c>
      <c r="F4238" s="63"/>
      <c r="G4238" s="63"/>
      <c r="H4238" s="60"/>
      <c r="I4238" s="60"/>
      <c r="J4238" s="63"/>
      <c r="K4238" s="61" t="str">
        <f aca="false">IF($P4238=0,"",IF($F4238="Baseline","— Baseline",IF($O4238=0,"No result",IF($N4238=0,"No Start (attainment only)",IF(OR($N4238=1,$O4238=1),"U – needs rule",INDEX(MxBody,MATCH($I4238,MxCurr,0),MATCH($H4238,MxStart,0)))))))</f>
        <v/>
      </c>
      <c r="L4238" s="62" t="str">
        <f aca="false">IF(COUNTA($A4238,$F4238,$G4238,$H4238,$I4238,$J4238)=0,"",IF($M4238=0,"✖ كود الصف غير موجود",IF(ISNA(MATCH($F4238,Lists!$A$2:$A$5,0)),"✖ الفترة غير صحيحة",IF(ISNA(MATCH($G4238,Lists!$B$2:$B$7,0)),"✖ المجموعة غير صحيحة",IF(NOT(OR($H4238="",$N4238&gt;0)),"✖ Start غير صحيح",IF(NOT(OR($I4238="",$I4238="NR",$O4238&gt;0)),"✖ Current غير صحيح",IF(NOT(IF(ISNUMBER($J4238),AND($J4238&gt;=0,$J4238=INT($J4238)),FALSE())),"✖ العدد يجب أن يكون صحيحًا ≥ 0",IF(AND($F4238="Baseline",$H4238&lt;&gt;""),"⚠ Baseline: Start لا يدخل في التقدم",IF($K4238="No Start (attainment only)","ℹ تحصيل فقط (بدون Start)",IF($K4238="U – needs rule","ℹ حالة U تحتاج قاعدة معتمدة",IF($K4238="No result","ℹ بدون نتيجة (يُستبعد من التحصيل)","OK")))))))))))</f>
        <v/>
      </c>
      <c r="M4238" s="64" t="n">
        <f aca="false">IF($A4238="",0,IFERROR(MATCH($A4238,Classes!$A$6:$A$420,0),0))</f>
        <v>0</v>
      </c>
      <c r="N4238" s="64" t="n">
        <f aca="false">IF($H4238="",0,IFERROR(MATCH($H4238,GradeList,0),0))</f>
        <v>0</v>
      </c>
      <c r="O4238" s="64" t="n">
        <f aca="false">IF(OR($I4238="",$I4238="NR"),0,IFERROR(MATCH($I4238,GradeList,0),0))</f>
        <v>0</v>
      </c>
      <c r="P4238" s="64" t="n">
        <f aca="false">IF(AND($M4238&gt;0,ISNUMBER(MATCH($F4238,Lists!$A$2:$A$5,0)),ISNUMBER(MATCH($G4238,Lists!$B$2:$B$7,0)),OR($H4238="",$N4238&gt;0),OR($I4238="",$I4238="NR",$O4238&gt;0),IF(ISNUMBER($J4238),AND($J4238&gt;=0,$J4238=INT($J4238)),FALSE())),$J4238,0)</f>
        <v>0</v>
      </c>
      <c r="Q4238" s="64" t="n">
        <f aca="false">IF(AND($P4238&gt;0,$O4238&gt;0),$P4238,0)</f>
        <v>0</v>
      </c>
      <c r="R4238" s="64" t="n">
        <f aca="false">IF(AND($Q4238&gt;0,$O4238&gt;=AtRank),$Q4238,0)</f>
        <v>0</v>
      </c>
      <c r="S4238" s="64" t="n">
        <f aca="false">IF(AND($Q4238&gt;0,$O4238&gt;=AboveRank),$Q4238,0)</f>
        <v>0</v>
      </c>
      <c r="T4238" s="64" t="n">
        <f aca="false">IF($K4238="Less",$P4238,0)</f>
        <v>0</v>
      </c>
      <c r="U4238" s="64" t="n">
        <f aca="false">IF($K4238="Expected",$P4238,0)</f>
        <v>0</v>
      </c>
      <c r="V4238" s="64" t="n">
        <f aca="false">IF($K4238="Better",$P4238,0)</f>
        <v>0</v>
      </c>
      <c r="W4238" s="64" t="n">
        <f aca="false">IF($K4238="U – needs rule",$P4238,0)</f>
        <v>0</v>
      </c>
      <c r="X4238" s="64" t="n">
        <f aca="false">IF($K4238="No Start (attainment only)",$P4238,0)</f>
        <v>0</v>
      </c>
    </row>
    <row r="4239" customFormat="false" ht="15" hidden="false" customHeight="false" outlineLevel="0" collapsed="false">
      <c r="A4239" s="60"/>
      <c r="B4239" s="61" t="str">
        <f aca="false">IF($M4239=0,"",INDEX(Classes!$E$6:$E$420,$M4239))</f>
        <v/>
      </c>
      <c r="C4239" s="62" t="str">
        <f aca="false">IF($M4239=0,"",INDEX(Classes!$H$6:$H$420,$M4239))</f>
        <v/>
      </c>
      <c r="D4239" s="61" t="str">
        <f aca="false">IF($M4239=0,"",INDEX(Classes!$B$6:$B$420,$M4239))</f>
        <v/>
      </c>
      <c r="E4239" s="61" t="str">
        <f aca="false">IF($M4239=0,"",INDEX(Classes!$C$6:$C$420,$M4239))</f>
        <v/>
      </c>
      <c r="F4239" s="63"/>
      <c r="G4239" s="63"/>
      <c r="H4239" s="60"/>
      <c r="I4239" s="60"/>
      <c r="J4239" s="63"/>
      <c r="K4239" s="61" t="str">
        <f aca="false">IF($P4239=0,"",IF($F4239="Baseline","— Baseline",IF($O4239=0,"No result",IF($N4239=0,"No Start (attainment only)",IF(OR($N4239=1,$O4239=1),"U – needs rule",INDEX(MxBody,MATCH($I4239,MxCurr,0),MATCH($H4239,MxStart,0)))))))</f>
        <v/>
      </c>
      <c r="L4239" s="62" t="str">
        <f aca="false">IF(COUNTA($A4239,$F4239,$G4239,$H4239,$I4239,$J4239)=0,"",IF($M4239=0,"✖ كود الصف غير موجود",IF(ISNA(MATCH($F4239,Lists!$A$2:$A$5,0)),"✖ الفترة غير صحيحة",IF(ISNA(MATCH($G4239,Lists!$B$2:$B$7,0)),"✖ المجموعة غير صحيحة",IF(NOT(OR($H4239="",$N4239&gt;0)),"✖ Start غير صحيح",IF(NOT(OR($I4239="",$I4239="NR",$O4239&gt;0)),"✖ Current غير صحيح",IF(NOT(IF(ISNUMBER($J4239),AND($J4239&gt;=0,$J4239=INT($J4239)),FALSE())),"✖ العدد يجب أن يكون صحيحًا ≥ 0",IF(AND($F4239="Baseline",$H4239&lt;&gt;""),"⚠ Baseline: Start لا يدخل في التقدم",IF($K4239="No Start (attainment only)","ℹ تحصيل فقط (بدون Start)",IF($K4239="U – needs rule","ℹ حالة U تحتاج قاعدة معتمدة",IF($K4239="No result","ℹ بدون نتيجة (يُستبعد من التحصيل)","OK")))))))))))</f>
        <v/>
      </c>
      <c r="M4239" s="64" t="n">
        <f aca="false">IF($A4239="",0,IFERROR(MATCH($A4239,Classes!$A$6:$A$420,0),0))</f>
        <v>0</v>
      </c>
      <c r="N4239" s="64" t="n">
        <f aca="false">IF($H4239="",0,IFERROR(MATCH($H4239,GradeList,0),0))</f>
        <v>0</v>
      </c>
      <c r="O4239" s="64" t="n">
        <f aca="false">IF(OR($I4239="",$I4239="NR"),0,IFERROR(MATCH($I4239,GradeList,0),0))</f>
        <v>0</v>
      </c>
      <c r="P4239" s="64" t="n">
        <f aca="false">IF(AND($M4239&gt;0,ISNUMBER(MATCH($F4239,Lists!$A$2:$A$5,0)),ISNUMBER(MATCH($G4239,Lists!$B$2:$B$7,0)),OR($H4239="",$N4239&gt;0),OR($I4239="",$I4239="NR",$O4239&gt;0),IF(ISNUMBER($J4239),AND($J4239&gt;=0,$J4239=INT($J4239)),FALSE())),$J4239,0)</f>
        <v>0</v>
      </c>
      <c r="Q4239" s="64" t="n">
        <f aca="false">IF(AND($P4239&gt;0,$O4239&gt;0),$P4239,0)</f>
        <v>0</v>
      </c>
      <c r="R4239" s="64" t="n">
        <f aca="false">IF(AND($Q4239&gt;0,$O4239&gt;=AtRank),$Q4239,0)</f>
        <v>0</v>
      </c>
      <c r="S4239" s="64" t="n">
        <f aca="false">IF(AND($Q4239&gt;0,$O4239&gt;=AboveRank),$Q4239,0)</f>
        <v>0</v>
      </c>
      <c r="T4239" s="64" t="n">
        <f aca="false">IF($K4239="Less",$P4239,0)</f>
        <v>0</v>
      </c>
      <c r="U4239" s="64" t="n">
        <f aca="false">IF($K4239="Expected",$P4239,0)</f>
        <v>0</v>
      </c>
      <c r="V4239" s="64" t="n">
        <f aca="false">IF($K4239="Better",$P4239,0)</f>
        <v>0</v>
      </c>
      <c r="W4239" s="64" t="n">
        <f aca="false">IF($K4239="U – needs rule",$P4239,0)</f>
        <v>0</v>
      </c>
      <c r="X4239" s="64" t="n">
        <f aca="false">IF($K4239="No Start (attainment only)",$P4239,0)</f>
        <v>0</v>
      </c>
    </row>
    <row r="4240" customFormat="false" ht="15" hidden="false" customHeight="false" outlineLevel="0" collapsed="false">
      <c r="A4240" s="60"/>
      <c r="B4240" s="61" t="str">
        <f aca="false">IF($M4240=0,"",INDEX(Classes!$E$6:$E$420,$M4240))</f>
        <v/>
      </c>
      <c r="C4240" s="62" t="str">
        <f aca="false">IF($M4240=0,"",INDEX(Classes!$H$6:$H$420,$M4240))</f>
        <v/>
      </c>
      <c r="D4240" s="61" t="str">
        <f aca="false">IF($M4240=0,"",INDEX(Classes!$B$6:$B$420,$M4240))</f>
        <v/>
      </c>
      <c r="E4240" s="61" t="str">
        <f aca="false">IF($M4240=0,"",INDEX(Classes!$C$6:$C$420,$M4240))</f>
        <v/>
      </c>
      <c r="F4240" s="63"/>
      <c r="G4240" s="63"/>
      <c r="H4240" s="60"/>
      <c r="I4240" s="60"/>
      <c r="J4240" s="63"/>
      <c r="K4240" s="61" t="str">
        <f aca="false">IF($P4240=0,"",IF($F4240="Baseline","— Baseline",IF($O4240=0,"No result",IF($N4240=0,"No Start (attainment only)",IF(OR($N4240=1,$O4240=1),"U – needs rule",INDEX(MxBody,MATCH($I4240,MxCurr,0),MATCH($H4240,MxStart,0)))))))</f>
        <v/>
      </c>
      <c r="L4240" s="62" t="str">
        <f aca="false">IF(COUNTA($A4240,$F4240,$G4240,$H4240,$I4240,$J4240)=0,"",IF($M4240=0,"✖ كود الصف غير موجود",IF(ISNA(MATCH($F4240,Lists!$A$2:$A$5,0)),"✖ الفترة غير صحيحة",IF(ISNA(MATCH($G4240,Lists!$B$2:$B$7,0)),"✖ المجموعة غير صحيحة",IF(NOT(OR($H4240="",$N4240&gt;0)),"✖ Start غير صحيح",IF(NOT(OR($I4240="",$I4240="NR",$O4240&gt;0)),"✖ Current غير صحيح",IF(NOT(IF(ISNUMBER($J4240),AND($J4240&gt;=0,$J4240=INT($J4240)),FALSE())),"✖ العدد يجب أن يكون صحيحًا ≥ 0",IF(AND($F4240="Baseline",$H4240&lt;&gt;""),"⚠ Baseline: Start لا يدخل في التقدم",IF($K4240="No Start (attainment only)","ℹ تحصيل فقط (بدون Start)",IF($K4240="U – needs rule","ℹ حالة U تحتاج قاعدة معتمدة",IF($K4240="No result","ℹ بدون نتيجة (يُستبعد من التحصيل)","OK")))))))))))</f>
        <v/>
      </c>
      <c r="M4240" s="64" t="n">
        <f aca="false">IF($A4240="",0,IFERROR(MATCH($A4240,Classes!$A$6:$A$420,0),0))</f>
        <v>0</v>
      </c>
      <c r="N4240" s="64" t="n">
        <f aca="false">IF($H4240="",0,IFERROR(MATCH($H4240,GradeList,0),0))</f>
        <v>0</v>
      </c>
      <c r="O4240" s="64" t="n">
        <f aca="false">IF(OR($I4240="",$I4240="NR"),0,IFERROR(MATCH($I4240,GradeList,0),0))</f>
        <v>0</v>
      </c>
      <c r="P4240" s="64" t="n">
        <f aca="false">IF(AND($M4240&gt;0,ISNUMBER(MATCH($F4240,Lists!$A$2:$A$5,0)),ISNUMBER(MATCH($G4240,Lists!$B$2:$B$7,0)),OR($H4240="",$N4240&gt;0),OR($I4240="",$I4240="NR",$O4240&gt;0),IF(ISNUMBER($J4240),AND($J4240&gt;=0,$J4240=INT($J4240)),FALSE())),$J4240,0)</f>
        <v>0</v>
      </c>
      <c r="Q4240" s="64" t="n">
        <f aca="false">IF(AND($P4240&gt;0,$O4240&gt;0),$P4240,0)</f>
        <v>0</v>
      </c>
      <c r="R4240" s="64" t="n">
        <f aca="false">IF(AND($Q4240&gt;0,$O4240&gt;=AtRank),$Q4240,0)</f>
        <v>0</v>
      </c>
      <c r="S4240" s="64" t="n">
        <f aca="false">IF(AND($Q4240&gt;0,$O4240&gt;=AboveRank),$Q4240,0)</f>
        <v>0</v>
      </c>
      <c r="T4240" s="64" t="n">
        <f aca="false">IF($K4240="Less",$P4240,0)</f>
        <v>0</v>
      </c>
      <c r="U4240" s="64" t="n">
        <f aca="false">IF($K4240="Expected",$P4240,0)</f>
        <v>0</v>
      </c>
      <c r="V4240" s="64" t="n">
        <f aca="false">IF($K4240="Better",$P4240,0)</f>
        <v>0</v>
      </c>
      <c r="W4240" s="64" t="n">
        <f aca="false">IF($K4240="U – needs rule",$P4240,0)</f>
        <v>0</v>
      </c>
      <c r="X4240" s="64" t="n">
        <f aca="false">IF($K4240="No Start (attainment only)",$P4240,0)</f>
        <v>0</v>
      </c>
    </row>
    <row r="4241" customFormat="false" ht="15" hidden="false" customHeight="false" outlineLevel="0" collapsed="false">
      <c r="A4241" s="60"/>
      <c r="B4241" s="61" t="str">
        <f aca="false">IF($M4241=0,"",INDEX(Classes!$E$6:$E$420,$M4241))</f>
        <v/>
      </c>
      <c r="C4241" s="62" t="str">
        <f aca="false">IF($M4241=0,"",INDEX(Classes!$H$6:$H$420,$M4241))</f>
        <v/>
      </c>
      <c r="D4241" s="61" t="str">
        <f aca="false">IF($M4241=0,"",INDEX(Classes!$B$6:$B$420,$M4241))</f>
        <v/>
      </c>
      <c r="E4241" s="61" t="str">
        <f aca="false">IF($M4241=0,"",INDEX(Classes!$C$6:$C$420,$M4241))</f>
        <v/>
      </c>
      <c r="F4241" s="63"/>
      <c r="G4241" s="63"/>
      <c r="H4241" s="60"/>
      <c r="I4241" s="60"/>
      <c r="J4241" s="63"/>
      <c r="K4241" s="61" t="str">
        <f aca="false">IF($P4241=0,"",IF($F4241="Baseline","— Baseline",IF($O4241=0,"No result",IF($N4241=0,"No Start (attainment only)",IF(OR($N4241=1,$O4241=1),"U – needs rule",INDEX(MxBody,MATCH($I4241,MxCurr,0),MATCH($H4241,MxStart,0)))))))</f>
        <v/>
      </c>
      <c r="L4241" s="62" t="str">
        <f aca="false">IF(COUNTA($A4241,$F4241,$G4241,$H4241,$I4241,$J4241)=0,"",IF($M4241=0,"✖ كود الصف غير موجود",IF(ISNA(MATCH($F4241,Lists!$A$2:$A$5,0)),"✖ الفترة غير صحيحة",IF(ISNA(MATCH($G4241,Lists!$B$2:$B$7,0)),"✖ المجموعة غير صحيحة",IF(NOT(OR($H4241="",$N4241&gt;0)),"✖ Start غير صحيح",IF(NOT(OR($I4241="",$I4241="NR",$O4241&gt;0)),"✖ Current غير صحيح",IF(NOT(IF(ISNUMBER($J4241),AND($J4241&gt;=0,$J4241=INT($J4241)),FALSE())),"✖ العدد يجب أن يكون صحيحًا ≥ 0",IF(AND($F4241="Baseline",$H4241&lt;&gt;""),"⚠ Baseline: Start لا يدخل في التقدم",IF($K4241="No Start (attainment only)","ℹ تحصيل فقط (بدون Start)",IF($K4241="U – needs rule","ℹ حالة U تحتاج قاعدة معتمدة",IF($K4241="No result","ℹ بدون نتيجة (يُستبعد من التحصيل)","OK")))))))))))</f>
        <v/>
      </c>
      <c r="M4241" s="64" t="n">
        <f aca="false">IF($A4241="",0,IFERROR(MATCH($A4241,Classes!$A$6:$A$420,0),0))</f>
        <v>0</v>
      </c>
      <c r="N4241" s="64" t="n">
        <f aca="false">IF($H4241="",0,IFERROR(MATCH($H4241,GradeList,0),0))</f>
        <v>0</v>
      </c>
      <c r="O4241" s="64" t="n">
        <f aca="false">IF(OR($I4241="",$I4241="NR"),0,IFERROR(MATCH($I4241,GradeList,0),0))</f>
        <v>0</v>
      </c>
      <c r="P4241" s="64" t="n">
        <f aca="false">IF(AND($M4241&gt;0,ISNUMBER(MATCH($F4241,Lists!$A$2:$A$5,0)),ISNUMBER(MATCH($G4241,Lists!$B$2:$B$7,0)),OR($H4241="",$N4241&gt;0),OR($I4241="",$I4241="NR",$O4241&gt;0),IF(ISNUMBER($J4241),AND($J4241&gt;=0,$J4241=INT($J4241)),FALSE())),$J4241,0)</f>
        <v>0</v>
      </c>
      <c r="Q4241" s="64" t="n">
        <f aca="false">IF(AND($P4241&gt;0,$O4241&gt;0),$P4241,0)</f>
        <v>0</v>
      </c>
      <c r="R4241" s="64" t="n">
        <f aca="false">IF(AND($Q4241&gt;0,$O4241&gt;=AtRank),$Q4241,0)</f>
        <v>0</v>
      </c>
      <c r="S4241" s="64" t="n">
        <f aca="false">IF(AND($Q4241&gt;0,$O4241&gt;=AboveRank),$Q4241,0)</f>
        <v>0</v>
      </c>
      <c r="T4241" s="64" t="n">
        <f aca="false">IF($K4241="Less",$P4241,0)</f>
        <v>0</v>
      </c>
      <c r="U4241" s="64" t="n">
        <f aca="false">IF($K4241="Expected",$P4241,0)</f>
        <v>0</v>
      </c>
      <c r="V4241" s="64" t="n">
        <f aca="false">IF($K4241="Better",$P4241,0)</f>
        <v>0</v>
      </c>
      <c r="W4241" s="64" t="n">
        <f aca="false">IF($K4241="U – needs rule",$P4241,0)</f>
        <v>0</v>
      </c>
      <c r="X4241" s="64" t="n">
        <f aca="false">IF($K4241="No Start (attainment only)",$P4241,0)</f>
        <v>0</v>
      </c>
    </row>
    <row r="4242" customFormat="false" ht="15" hidden="false" customHeight="false" outlineLevel="0" collapsed="false">
      <c r="A4242" s="60"/>
      <c r="B4242" s="61" t="str">
        <f aca="false">IF($M4242=0,"",INDEX(Classes!$E$6:$E$420,$M4242))</f>
        <v/>
      </c>
      <c r="C4242" s="62" t="str">
        <f aca="false">IF($M4242=0,"",INDEX(Classes!$H$6:$H$420,$M4242))</f>
        <v/>
      </c>
      <c r="D4242" s="61" t="str">
        <f aca="false">IF($M4242=0,"",INDEX(Classes!$B$6:$B$420,$M4242))</f>
        <v/>
      </c>
      <c r="E4242" s="61" t="str">
        <f aca="false">IF($M4242=0,"",INDEX(Classes!$C$6:$C$420,$M4242))</f>
        <v/>
      </c>
      <c r="F4242" s="63"/>
      <c r="G4242" s="63"/>
      <c r="H4242" s="60"/>
      <c r="I4242" s="60"/>
      <c r="J4242" s="63"/>
      <c r="K4242" s="61" t="str">
        <f aca="false">IF($P4242=0,"",IF($F4242="Baseline","— Baseline",IF($O4242=0,"No result",IF($N4242=0,"No Start (attainment only)",IF(OR($N4242=1,$O4242=1),"U – needs rule",INDEX(MxBody,MATCH($I4242,MxCurr,0),MATCH($H4242,MxStart,0)))))))</f>
        <v/>
      </c>
      <c r="L4242" s="62" t="str">
        <f aca="false">IF(COUNTA($A4242,$F4242,$G4242,$H4242,$I4242,$J4242)=0,"",IF($M4242=0,"✖ كود الصف غير موجود",IF(ISNA(MATCH($F4242,Lists!$A$2:$A$5,0)),"✖ الفترة غير صحيحة",IF(ISNA(MATCH($G4242,Lists!$B$2:$B$7,0)),"✖ المجموعة غير صحيحة",IF(NOT(OR($H4242="",$N4242&gt;0)),"✖ Start غير صحيح",IF(NOT(OR($I4242="",$I4242="NR",$O4242&gt;0)),"✖ Current غير صحيح",IF(NOT(IF(ISNUMBER($J4242),AND($J4242&gt;=0,$J4242=INT($J4242)),FALSE())),"✖ العدد يجب أن يكون صحيحًا ≥ 0",IF(AND($F4242="Baseline",$H4242&lt;&gt;""),"⚠ Baseline: Start لا يدخل في التقدم",IF($K4242="No Start (attainment only)","ℹ تحصيل فقط (بدون Start)",IF($K4242="U – needs rule","ℹ حالة U تحتاج قاعدة معتمدة",IF($K4242="No result","ℹ بدون نتيجة (يُستبعد من التحصيل)","OK")))))))))))</f>
        <v/>
      </c>
      <c r="M4242" s="64" t="n">
        <f aca="false">IF($A4242="",0,IFERROR(MATCH($A4242,Classes!$A$6:$A$420,0),0))</f>
        <v>0</v>
      </c>
      <c r="N4242" s="64" t="n">
        <f aca="false">IF($H4242="",0,IFERROR(MATCH($H4242,GradeList,0),0))</f>
        <v>0</v>
      </c>
      <c r="O4242" s="64" t="n">
        <f aca="false">IF(OR($I4242="",$I4242="NR"),0,IFERROR(MATCH($I4242,GradeList,0),0))</f>
        <v>0</v>
      </c>
      <c r="P4242" s="64" t="n">
        <f aca="false">IF(AND($M4242&gt;0,ISNUMBER(MATCH($F4242,Lists!$A$2:$A$5,0)),ISNUMBER(MATCH($G4242,Lists!$B$2:$B$7,0)),OR($H4242="",$N4242&gt;0),OR($I4242="",$I4242="NR",$O4242&gt;0),IF(ISNUMBER($J4242),AND($J4242&gt;=0,$J4242=INT($J4242)),FALSE())),$J4242,0)</f>
        <v>0</v>
      </c>
      <c r="Q4242" s="64" t="n">
        <f aca="false">IF(AND($P4242&gt;0,$O4242&gt;0),$P4242,0)</f>
        <v>0</v>
      </c>
      <c r="R4242" s="64" t="n">
        <f aca="false">IF(AND($Q4242&gt;0,$O4242&gt;=AtRank),$Q4242,0)</f>
        <v>0</v>
      </c>
      <c r="S4242" s="64" t="n">
        <f aca="false">IF(AND($Q4242&gt;0,$O4242&gt;=AboveRank),$Q4242,0)</f>
        <v>0</v>
      </c>
      <c r="T4242" s="64" t="n">
        <f aca="false">IF($K4242="Less",$P4242,0)</f>
        <v>0</v>
      </c>
      <c r="U4242" s="64" t="n">
        <f aca="false">IF($K4242="Expected",$P4242,0)</f>
        <v>0</v>
      </c>
      <c r="V4242" s="64" t="n">
        <f aca="false">IF($K4242="Better",$P4242,0)</f>
        <v>0</v>
      </c>
      <c r="W4242" s="64" t="n">
        <f aca="false">IF($K4242="U – needs rule",$P4242,0)</f>
        <v>0</v>
      </c>
      <c r="X4242" s="64" t="n">
        <f aca="false">IF($K4242="No Start (attainment only)",$P4242,0)</f>
        <v>0</v>
      </c>
    </row>
    <row r="4243" customFormat="false" ht="15" hidden="false" customHeight="false" outlineLevel="0" collapsed="false">
      <c r="A4243" s="60"/>
      <c r="B4243" s="61" t="str">
        <f aca="false">IF($M4243=0,"",INDEX(Classes!$E$6:$E$420,$M4243))</f>
        <v/>
      </c>
      <c r="C4243" s="62" t="str">
        <f aca="false">IF($M4243=0,"",INDEX(Classes!$H$6:$H$420,$M4243))</f>
        <v/>
      </c>
      <c r="D4243" s="61" t="str">
        <f aca="false">IF($M4243=0,"",INDEX(Classes!$B$6:$B$420,$M4243))</f>
        <v/>
      </c>
      <c r="E4243" s="61" t="str">
        <f aca="false">IF($M4243=0,"",INDEX(Classes!$C$6:$C$420,$M4243))</f>
        <v/>
      </c>
      <c r="F4243" s="63"/>
      <c r="G4243" s="63"/>
      <c r="H4243" s="60"/>
      <c r="I4243" s="60"/>
      <c r="J4243" s="63"/>
      <c r="K4243" s="61" t="str">
        <f aca="false">IF($P4243=0,"",IF($F4243="Baseline","— Baseline",IF($O4243=0,"No result",IF($N4243=0,"No Start (attainment only)",IF(OR($N4243=1,$O4243=1),"U – needs rule",INDEX(MxBody,MATCH($I4243,MxCurr,0),MATCH($H4243,MxStart,0)))))))</f>
        <v/>
      </c>
      <c r="L4243" s="62" t="str">
        <f aca="false">IF(COUNTA($A4243,$F4243,$G4243,$H4243,$I4243,$J4243)=0,"",IF($M4243=0,"✖ كود الصف غير موجود",IF(ISNA(MATCH($F4243,Lists!$A$2:$A$5,0)),"✖ الفترة غير صحيحة",IF(ISNA(MATCH($G4243,Lists!$B$2:$B$7,0)),"✖ المجموعة غير صحيحة",IF(NOT(OR($H4243="",$N4243&gt;0)),"✖ Start غير صحيح",IF(NOT(OR($I4243="",$I4243="NR",$O4243&gt;0)),"✖ Current غير صحيح",IF(NOT(IF(ISNUMBER($J4243),AND($J4243&gt;=0,$J4243=INT($J4243)),FALSE())),"✖ العدد يجب أن يكون صحيحًا ≥ 0",IF(AND($F4243="Baseline",$H4243&lt;&gt;""),"⚠ Baseline: Start لا يدخل في التقدم",IF($K4243="No Start (attainment only)","ℹ تحصيل فقط (بدون Start)",IF($K4243="U – needs rule","ℹ حالة U تحتاج قاعدة معتمدة",IF($K4243="No result","ℹ بدون نتيجة (يُستبعد من التحصيل)","OK")))))))))))</f>
        <v/>
      </c>
      <c r="M4243" s="64" t="n">
        <f aca="false">IF($A4243="",0,IFERROR(MATCH($A4243,Classes!$A$6:$A$420,0),0))</f>
        <v>0</v>
      </c>
      <c r="N4243" s="64" t="n">
        <f aca="false">IF($H4243="",0,IFERROR(MATCH($H4243,GradeList,0),0))</f>
        <v>0</v>
      </c>
      <c r="O4243" s="64" t="n">
        <f aca="false">IF(OR($I4243="",$I4243="NR"),0,IFERROR(MATCH($I4243,GradeList,0),0))</f>
        <v>0</v>
      </c>
      <c r="P4243" s="64" t="n">
        <f aca="false">IF(AND($M4243&gt;0,ISNUMBER(MATCH($F4243,Lists!$A$2:$A$5,0)),ISNUMBER(MATCH($G4243,Lists!$B$2:$B$7,0)),OR($H4243="",$N4243&gt;0),OR($I4243="",$I4243="NR",$O4243&gt;0),IF(ISNUMBER($J4243),AND($J4243&gt;=0,$J4243=INT($J4243)),FALSE())),$J4243,0)</f>
        <v>0</v>
      </c>
      <c r="Q4243" s="64" t="n">
        <f aca="false">IF(AND($P4243&gt;0,$O4243&gt;0),$P4243,0)</f>
        <v>0</v>
      </c>
      <c r="R4243" s="64" t="n">
        <f aca="false">IF(AND($Q4243&gt;0,$O4243&gt;=AtRank),$Q4243,0)</f>
        <v>0</v>
      </c>
      <c r="S4243" s="64" t="n">
        <f aca="false">IF(AND($Q4243&gt;0,$O4243&gt;=AboveRank),$Q4243,0)</f>
        <v>0</v>
      </c>
      <c r="T4243" s="64" t="n">
        <f aca="false">IF($K4243="Less",$P4243,0)</f>
        <v>0</v>
      </c>
      <c r="U4243" s="64" t="n">
        <f aca="false">IF($K4243="Expected",$P4243,0)</f>
        <v>0</v>
      </c>
      <c r="V4243" s="64" t="n">
        <f aca="false">IF($K4243="Better",$P4243,0)</f>
        <v>0</v>
      </c>
      <c r="W4243" s="64" t="n">
        <f aca="false">IF($K4243="U – needs rule",$P4243,0)</f>
        <v>0</v>
      </c>
      <c r="X4243" s="64" t="n">
        <f aca="false">IF($K4243="No Start (attainment only)",$P4243,0)</f>
        <v>0</v>
      </c>
    </row>
    <row r="4244" customFormat="false" ht="15" hidden="false" customHeight="false" outlineLevel="0" collapsed="false">
      <c r="A4244" s="60"/>
      <c r="B4244" s="61" t="str">
        <f aca="false">IF($M4244=0,"",INDEX(Classes!$E$6:$E$420,$M4244))</f>
        <v/>
      </c>
      <c r="C4244" s="62" t="str">
        <f aca="false">IF($M4244=0,"",INDEX(Classes!$H$6:$H$420,$M4244))</f>
        <v/>
      </c>
      <c r="D4244" s="61" t="str">
        <f aca="false">IF($M4244=0,"",INDEX(Classes!$B$6:$B$420,$M4244))</f>
        <v/>
      </c>
      <c r="E4244" s="61" t="str">
        <f aca="false">IF($M4244=0,"",INDEX(Classes!$C$6:$C$420,$M4244))</f>
        <v/>
      </c>
      <c r="F4244" s="63"/>
      <c r="G4244" s="63"/>
      <c r="H4244" s="60"/>
      <c r="I4244" s="60"/>
      <c r="J4244" s="63"/>
      <c r="K4244" s="61" t="str">
        <f aca="false">IF($P4244=0,"",IF($F4244="Baseline","— Baseline",IF($O4244=0,"No result",IF($N4244=0,"No Start (attainment only)",IF(OR($N4244=1,$O4244=1),"U – needs rule",INDEX(MxBody,MATCH($I4244,MxCurr,0),MATCH($H4244,MxStart,0)))))))</f>
        <v/>
      </c>
      <c r="L4244" s="62" t="str">
        <f aca="false">IF(COUNTA($A4244,$F4244,$G4244,$H4244,$I4244,$J4244)=0,"",IF($M4244=0,"✖ كود الصف غير موجود",IF(ISNA(MATCH($F4244,Lists!$A$2:$A$5,0)),"✖ الفترة غير صحيحة",IF(ISNA(MATCH($G4244,Lists!$B$2:$B$7,0)),"✖ المجموعة غير صحيحة",IF(NOT(OR($H4244="",$N4244&gt;0)),"✖ Start غير صحيح",IF(NOT(OR($I4244="",$I4244="NR",$O4244&gt;0)),"✖ Current غير صحيح",IF(NOT(IF(ISNUMBER($J4244),AND($J4244&gt;=0,$J4244=INT($J4244)),FALSE())),"✖ العدد يجب أن يكون صحيحًا ≥ 0",IF(AND($F4244="Baseline",$H4244&lt;&gt;""),"⚠ Baseline: Start لا يدخل في التقدم",IF($K4244="No Start (attainment only)","ℹ تحصيل فقط (بدون Start)",IF($K4244="U – needs rule","ℹ حالة U تحتاج قاعدة معتمدة",IF($K4244="No result","ℹ بدون نتيجة (يُستبعد من التحصيل)","OK")))))))))))</f>
        <v/>
      </c>
      <c r="M4244" s="64" t="n">
        <f aca="false">IF($A4244="",0,IFERROR(MATCH($A4244,Classes!$A$6:$A$420,0),0))</f>
        <v>0</v>
      </c>
      <c r="N4244" s="64" t="n">
        <f aca="false">IF($H4244="",0,IFERROR(MATCH($H4244,GradeList,0),0))</f>
        <v>0</v>
      </c>
      <c r="O4244" s="64" t="n">
        <f aca="false">IF(OR($I4244="",$I4244="NR"),0,IFERROR(MATCH($I4244,GradeList,0),0))</f>
        <v>0</v>
      </c>
      <c r="P4244" s="64" t="n">
        <f aca="false">IF(AND($M4244&gt;0,ISNUMBER(MATCH($F4244,Lists!$A$2:$A$5,0)),ISNUMBER(MATCH($G4244,Lists!$B$2:$B$7,0)),OR($H4244="",$N4244&gt;0),OR($I4244="",$I4244="NR",$O4244&gt;0),IF(ISNUMBER($J4244),AND($J4244&gt;=0,$J4244=INT($J4244)),FALSE())),$J4244,0)</f>
        <v>0</v>
      </c>
      <c r="Q4244" s="64" t="n">
        <f aca="false">IF(AND($P4244&gt;0,$O4244&gt;0),$P4244,0)</f>
        <v>0</v>
      </c>
      <c r="R4244" s="64" t="n">
        <f aca="false">IF(AND($Q4244&gt;0,$O4244&gt;=AtRank),$Q4244,0)</f>
        <v>0</v>
      </c>
      <c r="S4244" s="64" t="n">
        <f aca="false">IF(AND($Q4244&gt;0,$O4244&gt;=AboveRank),$Q4244,0)</f>
        <v>0</v>
      </c>
      <c r="T4244" s="64" t="n">
        <f aca="false">IF($K4244="Less",$P4244,0)</f>
        <v>0</v>
      </c>
      <c r="U4244" s="64" t="n">
        <f aca="false">IF($K4244="Expected",$P4244,0)</f>
        <v>0</v>
      </c>
      <c r="V4244" s="64" t="n">
        <f aca="false">IF($K4244="Better",$P4244,0)</f>
        <v>0</v>
      </c>
      <c r="W4244" s="64" t="n">
        <f aca="false">IF($K4244="U – needs rule",$P4244,0)</f>
        <v>0</v>
      </c>
      <c r="X4244" s="64" t="n">
        <f aca="false">IF($K4244="No Start (attainment only)",$P4244,0)</f>
        <v>0</v>
      </c>
    </row>
    <row r="4245" customFormat="false" ht="15" hidden="false" customHeight="false" outlineLevel="0" collapsed="false">
      <c r="A4245" s="60"/>
      <c r="B4245" s="61" t="str">
        <f aca="false">IF($M4245=0,"",INDEX(Classes!$E$6:$E$420,$M4245))</f>
        <v/>
      </c>
      <c r="C4245" s="62" t="str">
        <f aca="false">IF($M4245=0,"",INDEX(Classes!$H$6:$H$420,$M4245))</f>
        <v/>
      </c>
      <c r="D4245" s="61" t="str">
        <f aca="false">IF($M4245=0,"",INDEX(Classes!$B$6:$B$420,$M4245))</f>
        <v/>
      </c>
      <c r="E4245" s="61" t="str">
        <f aca="false">IF($M4245=0,"",INDEX(Classes!$C$6:$C$420,$M4245))</f>
        <v/>
      </c>
      <c r="F4245" s="63"/>
      <c r="G4245" s="63"/>
      <c r="H4245" s="60"/>
      <c r="I4245" s="60"/>
      <c r="J4245" s="63"/>
      <c r="K4245" s="61" t="str">
        <f aca="false">IF($P4245=0,"",IF($F4245="Baseline","— Baseline",IF($O4245=0,"No result",IF($N4245=0,"No Start (attainment only)",IF(OR($N4245=1,$O4245=1),"U – needs rule",INDEX(MxBody,MATCH($I4245,MxCurr,0),MATCH($H4245,MxStart,0)))))))</f>
        <v/>
      </c>
      <c r="L4245" s="62" t="str">
        <f aca="false">IF(COUNTA($A4245,$F4245,$G4245,$H4245,$I4245,$J4245)=0,"",IF($M4245=0,"✖ كود الصف غير موجود",IF(ISNA(MATCH($F4245,Lists!$A$2:$A$5,0)),"✖ الفترة غير صحيحة",IF(ISNA(MATCH($G4245,Lists!$B$2:$B$7,0)),"✖ المجموعة غير صحيحة",IF(NOT(OR($H4245="",$N4245&gt;0)),"✖ Start غير صحيح",IF(NOT(OR($I4245="",$I4245="NR",$O4245&gt;0)),"✖ Current غير صحيح",IF(NOT(IF(ISNUMBER($J4245),AND($J4245&gt;=0,$J4245=INT($J4245)),FALSE())),"✖ العدد يجب أن يكون صحيحًا ≥ 0",IF(AND($F4245="Baseline",$H4245&lt;&gt;""),"⚠ Baseline: Start لا يدخل في التقدم",IF($K4245="No Start (attainment only)","ℹ تحصيل فقط (بدون Start)",IF($K4245="U – needs rule","ℹ حالة U تحتاج قاعدة معتمدة",IF($K4245="No result","ℹ بدون نتيجة (يُستبعد من التحصيل)","OK")))))))))))</f>
        <v/>
      </c>
      <c r="M4245" s="64" t="n">
        <f aca="false">IF($A4245="",0,IFERROR(MATCH($A4245,Classes!$A$6:$A$420,0),0))</f>
        <v>0</v>
      </c>
      <c r="N4245" s="64" t="n">
        <f aca="false">IF($H4245="",0,IFERROR(MATCH($H4245,GradeList,0),0))</f>
        <v>0</v>
      </c>
      <c r="O4245" s="64" t="n">
        <f aca="false">IF(OR($I4245="",$I4245="NR"),0,IFERROR(MATCH($I4245,GradeList,0),0))</f>
        <v>0</v>
      </c>
      <c r="P4245" s="64" t="n">
        <f aca="false">IF(AND($M4245&gt;0,ISNUMBER(MATCH($F4245,Lists!$A$2:$A$5,0)),ISNUMBER(MATCH($G4245,Lists!$B$2:$B$7,0)),OR($H4245="",$N4245&gt;0),OR($I4245="",$I4245="NR",$O4245&gt;0),IF(ISNUMBER($J4245),AND($J4245&gt;=0,$J4245=INT($J4245)),FALSE())),$J4245,0)</f>
        <v>0</v>
      </c>
      <c r="Q4245" s="64" t="n">
        <f aca="false">IF(AND($P4245&gt;0,$O4245&gt;0),$P4245,0)</f>
        <v>0</v>
      </c>
      <c r="R4245" s="64" t="n">
        <f aca="false">IF(AND($Q4245&gt;0,$O4245&gt;=AtRank),$Q4245,0)</f>
        <v>0</v>
      </c>
      <c r="S4245" s="64" t="n">
        <f aca="false">IF(AND($Q4245&gt;0,$O4245&gt;=AboveRank),$Q4245,0)</f>
        <v>0</v>
      </c>
      <c r="T4245" s="64" t="n">
        <f aca="false">IF($K4245="Less",$P4245,0)</f>
        <v>0</v>
      </c>
      <c r="U4245" s="64" t="n">
        <f aca="false">IF($K4245="Expected",$P4245,0)</f>
        <v>0</v>
      </c>
      <c r="V4245" s="64" t="n">
        <f aca="false">IF($K4245="Better",$P4245,0)</f>
        <v>0</v>
      </c>
      <c r="W4245" s="64" t="n">
        <f aca="false">IF($K4245="U – needs rule",$P4245,0)</f>
        <v>0</v>
      </c>
      <c r="X4245" s="64" t="n">
        <f aca="false">IF($K4245="No Start (attainment only)",$P4245,0)</f>
        <v>0</v>
      </c>
    </row>
    <row r="4246" customFormat="false" ht="15" hidden="false" customHeight="false" outlineLevel="0" collapsed="false">
      <c r="A4246" s="60"/>
      <c r="B4246" s="61" t="str">
        <f aca="false">IF($M4246=0,"",INDEX(Classes!$E$6:$E$420,$M4246))</f>
        <v/>
      </c>
      <c r="C4246" s="62" t="str">
        <f aca="false">IF($M4246=0,"",INDEX(Classes!$H$6:$H$420,$M4246))</f>
        <v/>
      </c>
      <c r="D4246" s="61" t="str">
        <f aca="false">IF($M4246=0,"",INDEX(Classes!$B$6:$B$420,$M4246))</f>
        <v/>
      </c>
      <c r="E4246" s="61" t="str">
        <f aca="false">IF($M4246=0,"",INDEX(Classes!$C$6:$C$420,$M4246))</f>
        <v/>
      </c>
      <c r="F4246" s="63"/>
      <c r="G4246" s="63"/>
      <c r="H4246" s="60"/>
      <c r="I4246" s="60"/>
      <c r="J4246" s="63"/>
      <c r="K4246" s="61" t="str">
        <f aca="false">IF($P4246=0,"",IF($F4246="Baseline","— Baseline",IF($O4246=0,"No result",IF($N4246=0,"No Start (attainment only)",IF(OR($N4246=1,$O4246=1),"U – needs rule",INDEX(MxBody,MATCH($I4246,MxCurr,0),MATCH($H4246,MxStart,0)))))))</f>
        <v/>
      </c>
      <c r="L4246" s="62" t="str">
        <f aca="false">IF(COUNTA($A4246,$F4246,$G4246,$H4246,$I4246,$J4246)=0,"",IF($M4246=0,"✖ كود الصف غير موجود",IF(ISNA(MATCH($F4246,Lists!$A$2:$A$5,0)),"✖ الفترة غير صحيحة",IF(ISNA(MATCH($G4246,Lists!$B$2:$B$7,0)),"✖ المجموعة غير صحيحة",IF(NOT(OR($H4246="",$N4246&gt;0)),"✖ Start غير صحيح",IF(NOT(OR($I4246="",$I4246="NR",$O4246&gt;0)),"✖ Current غير صحيح",IF(NOT(IF(ISNUMBER($J4246),AND($J4246&gt;=0,$J4246=INT($J4246)),FALSE())),"✖ العدد يجب أن يكون صحيحًا ≥ 0",IF(AND($F4246="Baseline",$H4246&lt;&gt;""),"⚠ Baseline: Start لا يدخل في التقدم",IF($K4246="No Start (attainment only)","ℹ تحصيل فقط (بدون Start)",IF($K4246="U – needs rule","ℹ حالة U تحتاج قاعدة معتمدة",IF($K4246="No result","ℹ بدون نتيجة (يُستبعد من التحصيل)","OK")))))))))))</f>
        <v/>
      </c>
      <c r="M4246" s="64" t="n">
        <f aca="false">IF($A4246="",0,IFERROR(MATCH($A4246,Classes!$A$6:$A$420,0),0))</f>
        <v>0</v>
      </c>
      <c r="N4246" s="64" t="n">
        <f aca="false">IF($H4246="",0,IFERROR(MATCH($H4246,GradeList,0),0))</f>
        <v>0</v>
      </c>
      <c r="O4246" s="64" t="n">
        <f aca="false">IF(OR($I4246="",$I4246="NR"),0,IFERROR(MATCH($I4246,GradeList,0),0))</f>
        <v>0</v>
      </c>
      <c r="P4246" s="64" t="n">
        <f aca="false">IF(AND($M4246&gt;0,ISNUMBER(MATCH($F4246,Lists!$A$2:$A$5,0)),ISNUMBER(MATCH($G4246,Lists!$B$2:$B$7,0)),OR($H4246="",$N4246&gt;0),OR($I4246="",$I4246="NR",$O4246&gt;0),IF(ISNUMBER($J4246),AND($J4246&gt;=0,$J4246=INT($J4246)),FALSE())),$J4246,0)</f>
        <v>0</v>
      </c>
      <c r="Q4246" s="64" t="n">
        <f aca="false">IF(AND($P4246&gt;0,$O4246&gt;0),$P4246,0)</f>
        <v>0</v>
      </c>
      <c r="R4246" s="64" t="n">
        <f aca="false">IF(AND($Q4246&gt;0,$O4246&gt;=AtRank),$Q4246,0)</f>
        <v>0</v>
      </c>
      <c r="S4246" s="64" t="n">
        <f aca="false">IF(AND($Q4246&gt;0,$O4246&gt;=AboveRank),$Q4246,0)</f>
        <v>0</v>
      </c>
      <c r="T4246" s="64" t="n">
        <f aca="false">IF($K4246="Less",$P4246,0)</f>
        <v>0</v>
      </c>
      <c r="U4246" s="64" t="n">
        <f aca="false">IF($K4246="Expected",$P4246,0)</f>
        <v>0</v>
      </c>
      <c r="V4246" s="64" t="n">
        <f aca="false">IF($K4246="Better",$P4246,0)</f>
        <v>0</v>
      </c>
      <c r="W4246" s="64" t="n">
        <f aca="false">IF($K4246="U – needs rule",$P4246,0)</f>
        <v>0</v>
      </c>
      <c r="X4246" s="64" t="n">
        <f aca="false">IF($K4246="No Start (attainment only)",$P4246,0)</f>
        <v>0</v>
      </c>
    </row>
    <row r="4247" customFormat="false" ht="15" hidden="false" customHeight="false" outlineLevel="0" collapsed="false">
      <c r="A4247" s="60"/>
      <c r="B4247" s="61" t="str">
        <f aca="false">IF($M4247=0,"",INDEX(Classes!$E$6:$E$420,$M4247))</f>
        <v/>
      </c>
      <c r="C4247" s="62" t="str">
        <f aca="false">IF($M4247=0,"",INDEX(Classes!$H$6:$H$420,$M4247))</f>
        <v/>
      </c>
      <c r="D4247" s="61" t="str">
        <f aca="false">IF($M4247=0,"",INDEX(Classes!$B$6:$B$420,$M4247))</f>
        <v/>
      </c>
      <c r="E4247" s="61" t="str">
        <f aca="false">IF($M4247=0,"",INDEX(Classes!$C$6:$C$420,$M4247))</f>
        <v/>
      </c>
      <c r="F4247" s="63"/>
      <c r="G4247" s="63"/>
      <c r="H4247" s="60"/>
      <c r="I4247" s="60"/>
      <c r="J4247" s="63"/>
      <c r="K4247" s="61" t="str">
        <f aca="false">IF($P4247=0,"",IF($F4247="Baseline","— Baseline",IF($O4247=0,"No result",IF($N4247=0,"No Start (attainment only)",IF(OR($N4247=1,$O4247=1),"U – needs rule",INDEX(MxBody,MATCH($I4247,MxCurr,0),MATCH($H4247,MxStart,0)))))))</f>
        <v/>
      </c>
      <c r="L4247" s="62" t="str">
        <f aca="false">IF(COUNTA($A4247,$F4247,$G4247,$H4247,$I4247,$J4247)=0,"",IF($M4247=0,"✖ كود الصف غير موجود",IF(ISNA(MATCH($F4247,Lists!$A$2:$A$5,0)),"✖ الفترة غير صحيحة",IF(ISNA(MATCH($G4247,Lists!$B$2:$B$7,0)),"✖ المجموعة غير صحيحة",IF(NOT(OR($H4247="",$N4247&gt;0)),"✖ Start غير صحيح",IF(NOT(OR($I4247="",$I4247="NR",$O4247&gt;0)),"✖ Current غير صحيح",IF(NOT(IF(ISNUMBER($J4247),AND($J4247&gt;=0,$J4247=INT($J4247)),FALSE())),"✖ العدد يجب أن يكون صحيحًا ≥ 0",IF(AND($F4247="Baseline",$H4247&lt;&gt;""),"⚠ Baseline: Start لا يدخل في التقدم",IF($K4247="No Start (attainment only)","ℹ تحصيل فقط (بدون Start)",IF($K4247="U – needs rule","ℹ حالة U تحتاج قاعدة معتمدة",IF($K4247="No result","ℹ بدون نتيجة (يُستبعد من التحصيل)","OK")))))))))))</f>
        <v/>
      </c>
      <c r="M4247" s="64" t="n">
        <f aca="false">IF($A4247="",0,IFERROR(MATCH($A4247,Classes!$A$6:$A$420,0),0))</f>
        <v>0</v>
      </c>
      <c r="N4247" s="64" t="n">
        <f aca="false">IF($H4247="",0,IFERROR(MATCH($H4247,GradeList,0),0))</f>
        <v>0</v>
      </c>
      <c r="O4247" s="64" t="n">
        <f aca="false">IF(OR($I4247="",$I4247="NR"),0,IFERROR(MATCH($I4247,GradeList,0),0))</f>
        <v>0</v>
      </c>
      <c r="P4247" s="64" t="n">
        <f aca="false">IF(AND($M4247&gt;0,ISNUMBER(MATCH($F4247,Lists!$A$2:$A$5,0)),ISNUMBER(MATCH($G4247,Lists!$B$2:$B$7,0)),OR($H4247="",$N4247&gt;0),OR($I4247="",$I4247="NR",$O4247&gt;0),IF(ISNUMBER($J4247),AND($J4247&gt;=0,$J4247=INT($J4247)),FALSE())),$J4247,0)</f>
        <v>0</v>
      </c>
      <c r="Q4247" s="64" t="n">
        <f aca="false">IF(AND($P4247&gt;0,$O4247&gt;0),$P4247,0)</f>
        <v>0</v>
      </c>
      <c r="R4247" s="64" t="n">
        <f aca="false">IF(AND($Q4247&gt;0,$O4247&gt;=AtRank),$Q4247,0)</f>
        <v>0</v>
      </c>
      <c r="S4247" s="64" t="n">
        <f aca="false">IF(AND($Q4247&gt;0,$O4247&gt;=AboveRank),$Q4247,0)</f>
        <v>0</v>
      </c>
      <c r="T4247" s="64" t="n">
        <f aca="false">IF($K4247="Less",$P4247,0)</f>
        <v>0</v>
      </c>
      <c r="U4247" s="64" t="n">
        <f aca="false">IF($K4247="Expected",$P4247,0)</f>
        <v>0</v>
      </c>
      <c r="V4247" s="64" t="n">
        <f aca="false">IF($K4247="Better",$P4247,0)</f>
        <v>0</v>
      </c>
      <c r="W4247" s="64" t="n">
        <f aca="false">IF($K4247="U – needs rule",$P4247,0)</f>
        <v>0</v>
      </c>
      <c r="X4247" s="64" t="n">
        <f aca="false">IF($K4247="No Start (attainment only)",$P4247,0)</f>
        <v>0</v>
      </c>
    </row>
    <row r="4248" customFormat="false" ht="15" hidden="false" customHeight="false" outlineLevel="0" collapsed="false">
      <c r="A4248" s="60"/>
      <c r="B4248" s="61" t="str">
        <f aca="false">IF($M4248=0,"",INDEX(Classes!$E$6:$E$420,$M4248))</f>
        <v/>
      </c>
      <c r="C4248" s="62" t="str">
        <f aca="false">IF($M4248=0,"",INDEX(Classes!$H$6:$H$420,$M4248))</f>
        <v/>
      </c>
      <c r="D4248" s="61" t="str">
        <f aca="false">IF($M4248=0,"",INDEX(Classes!$B$6:$B$420,$M4248))</f>
        <v/>
      </c>
      <c r="E4248" s="61" t="str">
        <f aca="false">IF($M4248=0,"",INDEX(Classes!$C$6:$C$420,$M4248))</f>
        <v/>
      </c>
      <c r="F4248" s="63"/>
      <c r="G4248" s="63"/>
      <c r="H4248" s="60"/>
      <c r="I4248" s="60"/>
      <c r="J4248" s="63"/>
      <c r="K4248" s="61" t="str">
        <f aca="false">IF($P4248=0,"",IF($F4248="Baseline","— Baseline",IF($O4248=0,"No result",IF($N4248=0,"No Start (attainment only)",IF(OR($N4248=1,$O4248=1),"U – needs rule",INDEX(MxBody,MATCH($I4248,MxCurr,0),MATCH($H4248,MxStart,0)))))))</f>
        <v/>
      </c>
      <c r="L4248" s="62" t="str">
        <f aca="false">IF(COUNTA($A4248,$F4248,$G4248,$H4248,$I4248,$J4248)=0,"",IF($M4248=0,"✖ كود الصف غير موجود",IF(ISNA(MATCH($F4248,Lists!$A$2:$A$5,0)),"✖ الفترة غير صحيحة",IF(ISNA(MATCH($G4248,Lists!$B$2:$B$7,0)),"✖ المجموعة غير صحيحة",IF(NOT(OR($H4248="",$N4248&gt;0)),"✖ Start غير صحيح",IF(NOT(OR($I4248="",$I4248="NR",$O4248&gt;0)),"✖ Current غير صحيح",IF(NOT(IF(ISNUMBER($J4248),AND($J4248&gt;=0,$J4248=INT($J4248)),FALSE())),"✖ العدد يجب أن يكون صحيحًا ≥ 0",IF(AND($F4248="Baseline",$H4248&lt;&gt;""),"⚠ Baseline: Start لا يدخل في التقدم",IF($K4248="No Start (attainment only)","ℹ تحصيل فقط (بدون Start)",IF($K4248="U – needs rule","ℹ حالة U تحتاج قاعدة معتمدة",IF($K4248="No result","ℹ بدون نتيجة (يُستبعد من التحصيل)","OK")))))))))))</f>
        <v/>
      </c>
      <c r="M4248" s="64" t="n">
        <f aca="false">IF($A4248="",0,IFERROR(MATCH($A4248,Classes!$A$6:$A$420,0),0))</f>
        <v>0</v>
      </c>
      <c r="N4248" s="64" t="n">
        <f aca="false">IF($H4248="",0,IFERROR(MATCH($H4248,GradeList,0),0))</f>
        <v>0</v>
      </c>
      <c r="O4248" s="64" t="n">
        <f aca="false">IF(OR($I4248="",$I4248="NR"),0,IFERROR(MATCH($I4248,GradeList,0),0))</f>
        <v>0</v>
      </c>
      <c r="P4248" s="64" t="n">
        <f aca="false">IF(AND($M4248&gt;0,ISNUMBER(MATCH($F4248,Lists!$A$2:$A$5,0)),ISNUMBER(MATCH($G4248,Lists!$B$2:$B$7,0)),OR($H4248="",$N4248&gt;0),OR($I4248="",$I4248="NR",$O4248&gt;0),IF(ISNUMBER($J4248),AND($J4248&gt;=0,$J4248=INT($J4248)),FALSE())),$J4248,0)</f>
        <v>0</v>
      </c>
      <c r="Q4248" s="64" t="n">
        <f aca="false">IF(AND($P4248&gt;0,$O4248&gt;0),$P4248,0)</f>
        <v>0</v>
      </c>
      <c r="R4248" s="64" t="n">
        <f aca="false">IF(AND($Q4248&gt;0,$O4248&gt;=AtRank),$Q4248,0)</f>
        <v>0</v>
      </c>
      <c r="S4248" s="64" t="n">
        <f aca="false">IF(AND($Q4248&gt;0,$O4248&gt;=AboveRank),$Q4248,0)</f>
        <v>0</v>
      </c>
      <c r="T4248" s="64" t="n">
        <f aca="false">IF($K4248="Less",$P4248,0)</f>
        <v>0</v>
      </c>
      <c r="U4248" s="64" t="n">
        <f aca="false">IF($K4248="Expected",$P4248,0)</f>
        <v>0</v>
      </c>
      <c r="V4248" s="64" t="n">
        <f aca="false">IF($K4248="Better",$P4248,0)</f>
        <v>0</v>
      </c>
      <c r="W4248" s="64" t="n">
        <f aca="false">IF($K4248="U – needs rule",$P4248,0)</f>
        <v>0</v>
      </c>
      <c r="X4248" s="64" t="n">
        <f aca="false">IF($K4248="No Start (attainment only)",$P4248,0)</f>
        <v>0</v>
      </c>
    </row>
    <row r="4249" customFormat="false" ht="15" hidden="false" customHeight="false" outlineLevel="0" collapsed="false">
      <c r="A4249" s="60"/>
      <c r="B4249" s="61" t="str">
        <f aca="false">IF($M4249=0,"",INDEX(Classes!$E$6:$E$420,$M4249))</f>
        <v/>
      </c>
      <c r="C4249" s="62" t="str">
        <f aca="false">IF($M4249=0,"",INDEX(Classes!$H$6:$H$420,$M4249))</f>
        <v/>
      </c>
      <c r="D4249" s="61" t="str">
        <f aca="false">IF($M4249=0,"",INDEX(Classes!$B$6:$B$420,$M4249))</f>
        <v/>
      </c>
      <c r="E4249" s="61" t="str">
        <f aca="false">IF($M4249=0,"",INDEX(Classes!$C$6:$C$420,$M4249))</f>
        <v/>
      </c>
      <c r="F4249" s="63"/>
      <c r="G4249" s="63"/>
      <c r="H4249" s="60"/>
      <c r="I4249" s="60"/>
      <c r="J4249" s="63"/>
      <c r="K4249" s="61" t="str">
        <f aca="false">IF($P4249=0,"",IF($F4249="Baseline","— Baseline",IF($O4249=0,"No result",IF($N4249=0,"No Start (attainment only)",IF(OR($N4249=1,$O4249=1),"U – needs rule",INDEX(MxBody,MATCH($I4249,MxCurr,0),MATCH($H4249,MxStart,0)))))))</f>
        <v/>
      </c>
      <c r="L4249" s="62" t="str">
        <f aca="false">IF(COUNTA($A4249,$F4249,$G4249,$H4249,$I4249,$J4249)=0,"",IF($M4249=0,"✖ كود الصف غير موجود",IF(ISNA(MATCH($F4249,Lists!$A$2:$A$5,0)),"✖ الفترة غير صحيحة",IF(ISNA(MATCH($G4249,Lists!$B$2:$B$7,0)),"✖ المجموعة غير صحيحة",IF(NOT(OR($H4249="",$N4249&gt;0)),"✖ Start غير صحيح",IF(NOT(OR($I4249="",$I4249="NR",$O4249&gt;0)),"✖ Current غير صحيح",IF(NOT(IF(ISNUMBER($J4249),AND($J4249&gt;=0,$J4249=INT($J4249)),FALSE())),"✖ العدد يجب أن يكون صحيحًا ≥ 0",IF(AND($F4249="Baseline",$H4249&lt;&gt;""),"⚠ Baseline: Start لا يدخل في التقدم",IF($K4249="No Start (attainment only)","ℹ تحصيل فقط (بدون Start)",IF($K4249="U – needs rule","ℹ حالة U تحتاج قاعدة معتمدة",IF($K4249="No result","ℹ بدون نتيجة (يُستبعد من التحصيل)","OK")))))))))))</f>
        <v/>
      </c>
      <c r="M4249" s="64" t="n">
        <f aca="false">IF($A4249="",0,IFERROR(MATCH($A4249,Classes!$A$6:$A$420,0),0))</f>
        <v>0</v>
      </c>
      <c r="N4249" s="64" t="n">
        <f aca="false">IF($H4249="",0,IFERROR(MATCH($H4249,GradeList,0),0))</f>
        <v>0</v>
      </c>
      <c r="O4249" s="64" t="n">
        <f aca="false">IF(OR($I4249="",$I4249="NR"),0,IFERROR(MATCH($I4249,GradeList,0),0))</f>
        <v>0</v>
      </c>
      <c r="P4249" s="64" t="n">
        <f aca="false">IF(AND($M4249&gt;0,ISNUMBER(MATCH($F4249,Lists!$A$2:$A$5,0)),ISNUMBER(MATCH($G4249,Lists!$B$2:$B$7,0)),OR($H4249="",$N4249&gt;0),OR($I4249="",$I4249="NR",$O4249&gt;0),IF(ISNUMBER($J4249),AND($J4249&gt;=0,$J4249=INT($J4249)),FALSE())),$J4249,0)</f>
        <v>0</v>
      </c>
      <c r="Q4249" s="64" t="n">
        <f aca="false">IF(AND($P4249&gt;0,$O4249&gt;0),$P4249,0)</f>
        <v>0</v>
      </c>
      <c r="R4249" s="64" t="n">
        <f aca="false">IF(AND($Q4249&gt;0,$O4249&gt;=AtRank),$Q4249,0)</f>
        <v>0</v>
      </c>
      <c r="S4249" s="64" t="n">
        <f aca="false">IF(AND($Q4249&gt;0,$O4249&gt;=AboveRank),$Q4249,0)</f>
        <v>0</v>
      </c>
      <c r="T4249" s="64" t="n">
        <f aca="false">IF($K4249="Less",$P4249,0)</f>
        <v>0</v>
      </c>
      <c r="U4249" s="64" t="n">
        <f aca="false">IF($K4249="Expected",$P4249,0)</f>
        <v>0</v>
      </c>
      <c r="V4249" s="64" t="n">
        <f aca="false">IF($K4249="Better",$P4249,0)</f>
        <v>0</v>
      </c>
      <c r="W4249" s="64" t="n">
        <f aca="false">IF($K4249="U – needs rule",$P4249,0)</f>
        <v>0</v>
      </c>
      <c r="X4249" s="64" t="n">
        <f aca="false">IF($K4249="No Start (attainment only)",$P4249,0)</f>
        <v>0</v>
      </c>
    </row>
    <row r="4250" customFormat="false" ht="15" hidden="false" customHeight="false" outlineLevel="0" collapsed="false">
      <c r="A4250" s="60"/>
      <c r="B4250" s="61" t="str">
        <f aca="false">IF($M4250=0,"",INDEX(Classes!$E$6:$E$420,$M4250))</f>
        <v/>
      </c>
      <c r="C4250" s="62" t="str">
        <f aca="false">IF($M4250=0,"",INDEX(Classes!$H$6:$H$420,$M4250))</f>
        <v/>
      </c>
      <c r="D4250" s="61" t="str">
        <f aca="false">IF($M4250=0,"",INDEX(Classes!$B$6:$B$420,$M4250))</f>
        <v/>
      </c>
      <c r="E4250" s="61" t="str">
        <f aca="false">IF($M4250=0,"",INDEX(Classes!$C$6:$C$420,$M4250))</f>
        <v/>
      </c>
      <c r="F4250" s="63"/>
      <c r="G4250" s="63"/>
      <c r="H4250" s="60"/>
      <c r="I4250" s="60"/>
      <c r="J4250" s="63"/>
      <c r="K4250" s="61" t="str">
        <f aca="false">IF($P4250=0,"",IF($F4250="Baseline","— Baseline",IF($O4250=0,"No result",IF($N4250=0,"No Start (attainment only)",IF(OR($N4250=1,$O4250=1),"U – needs rule",INDEX(MxBody,MATCH($I4250,MxCurr,0),MATCH($H4250,MxStart,0)))))))</f>
        <v/>
      </c>
      <c r="L4250" s="62" t="str">
        <f aca="false">IF(COUNTA($A4250,$F4250,$G4250,$H4250,$I4250,$J4250)=0,"",IF($M4250=0,"✖ كود الصف غير موجود",IF(ISNA(MATCH($F4250,Lists!$A$2:$A$5,0)),"✖ الفترة غير صحيحة",IF(ISNA(MATCH($G4250,Lists!$B$2:$B$7,0)),"✖ المجموعة غير صحيحة",IF(NOT(OR($H4250="",$N4250&gt;0)),"✖ Start غير صحيح",IF(NOT(OR($I4250="",$I4250="NR",$O4250&gt;0)),"✖ Current غير صحيح",IF(NOT(IF(ISNUMBER($J4250),AND($J4250&gt;=0,$J4250=INT($J4250)),FALSE())),"✖ العدد يجب أن يكون صحيحًا ≥ 0",IF(AND($F4250="Baseline",$H4250&lt;&gt;""),"⚠ Baseline: Start لا يدخل في التقدم",IF($K4250="No Start (attainment only)","ℹ تحصيل فقط (بدون Start)",IF($K4250="U – needs rule","ℹ حالة U تحتاج قاعدة معتمدة",IF($K4250="No result","ℹ بدون نتيجة (يُستبعد من التحصيل)","OK")))))))))))</f>
        <v/>
      </c>
      <c r="M4250" s="64" t="n">
        <f aca="false">IF($A4250="",0,IFERROR(MATCH($A4250,Classes!$A$6:$A$420,0),0))</f>
        <v>0</v>
      </c>
      <c r="N4250" s="64" t="n">
        <f aca="false">IF($H4250="",0,IFERROR(MATCH($H4250,GradeList,0),0))</f>
        <v>0</v>
      </c>
      <c r="O4250" s="64" t="n">
        <f aca="false">IF(OR($I4250="",$I4250="NR"),0,IFERROR(MATCH($I4250,GradeList,0),0))</f>
        <v>0</v>
      </c>
      <c r="P4250" s="64" t="n">
        <f aca="false">IF(AND($M4250&gt;0,ISNUMBER(MATCH($F4250,Lists!$A$2:$A$5,0)),ISNUMBER(MATCH($G4250,Lists!$B$2:$B$7,0)),OR($H4250="",$N4250&gt;0),OR($I4250="",$I4250="NR",$O4250&gt;0),IF(ISNUMBER($J4250),AND($J4250&gt;=0,$J4250=INT($J4250)),FALSE())),$J4250,0)</f>
        <v>0</v>
      </c>
      <c r="Q4250" s="64" t="n">
        <f aca="false">IF(AND($P4250&gt;0,$O4250&gt;0),$P4250,0)</f>
        <v>0</v>
      </c>
      <c r="R4250" s="64" t="n">
        <f aca="false">IF(AND($Q4250&gt;0,$O4250&gt;=AtRank),$Q4250,0)</f>
        <v>0</v>
      </c>
      <c r="S4250" s="64" t="n">
        <f aca="false">IF(AND($Q4250&gt;0,$O4250&gt;=AboveRank),$Q4250,0)</f>
        <v>0</v>
      </c>
      <c r="T4250" s="64" t="n">
        <f aca="false">IF($K4250="Less",$P4250,0)</f>
        <v>0</v>
      </c>
      <c r="U4250" s="64" t="n">
        <f aca="false">IF($K4250="Expected",$P4250,0)</f>
        <v>0</v>
      </c>
      <c r="V4250" s="64" t="n">
        <f aca="false">IF($K4250="Better",$P4250,0)</f>
        <v>0</v>
      </c>
      <c r="W4250" s="64" t="n">
        <f aca="false">IF($K4250="U – needs rule",$P4250,0)</f>
        <v>0</v>
      </c>
      <c r="X4250" s="64" t="n">
        <f aca="false">IF($K4250="No Start (attainment only)",$P4250,0)</f>
        <v>0</v>
      </c>
    </row>
    <row r="4251" customFormat="false" ht="15" hidden="false" customHeight="false" outlineLevel="0" collapsed="false">
      <c r="A4251" s="60"/>
      <c r="B4251" s="61" t="str">
        <f aca="false">IF($M4251=0,"",INDEX(Classes!$E$6:$E$420,$M4251))</f>
        <v/>
      </c>
      <c r="C4251" s="62" t="str">
        <f aca="false">IF($M4251=0,"",INDEX(Classes!$H$6:$H$420,$M4251))</f>
        <v/>
      </c>
      <c r="D4251" s="61" t="str">
        <f aca="false">IF($M4251=0,"",INDEX(Classes!$B$6:$B$420,$M4251))</f>
        <v/>
      </c>
      <c r="E4251" s="61" t="str">
        <f aca="false">IF($M4251=0,"",INDEX(Classes!$C$6:$C$420,$M4251))</f>
        <v/>
      </c>
      <c r="F4251" s="63"/>
      <c r="G4251" s="63"/>
      <c r="H4251" s="60"/>
      <c r="I4251" s="60"/>
      <c r="J4251" s="63"/>
      <c r="K4251" s="61" t="str">
        <f aca="false">IF($P4251=0,"",IF($F4251="Baseline","— Baseline",IF($O4251=0,"No result",IF($N4251=0,"No Start (attainment only)",IF(OR($N4251=1,$O4251=1),"U – needs rule",INDEX(MxBody,MATCH($I4251,MxCurr,0),MATCH($H4251,MxStart,0)))))))</f>
        <v/>
      </c>
      <c r="L4251" s="62" t="str">
        <f aca="false">IF(COUNTA($A4251,$F4251,$G4251,$H4251,$I4251,$J4251)=0,"",IF($M4251=0,"✖ كود الصف غير موجود",IF(ISNA(MATCH($F4251,Lists!$A$2:$A$5,0)),"✖ الفترة غير صحيحة",IF(ISNA(MATCH($G4251,Lists!$B$2:$B$7,0)),"✖ المجموعة غير صحيحة",IF(NOT(OR($H4251="",$N4251&gt;0)),"✖ Start غير صحيح",IF(NOT(OR($I4251="",$I4251="NR",$O4251&gt;0)),"✖ Current غير صحيح",IF(NOT(IF(ISNUMBER($J4251),AND($J4251&gt;=0,$J4251=INT($J4251)),FALSE())),"✖ العدد يجب أن يكون صحيحًا ≥ 0",IF(AND($F4251="Baseline",$H4251&lt;&gt;""),"⚠ Baseline: Start لا يدخل في التقدم",IF($K4251="No Start (attainment only)","ℹ تحصيل فقط (بدون Start)",IF($K4251="U – needs rule","ℹ حالة U تحتاج قاعدة معتمدة",IF($K4251="No result","ℹ بدون نتيجة (يُستبعد من التحصيل)","OK")))))))))))</f>
        <v/>
      </c>
      <c r="M4251" s="64" t="n">
        <f aca="false">IF($A4251="",0,IFERROR(MATCH($A4251,Classes!$A$6:$A$420,0),0))</f>
        <v>0</v>
      </c>
      <c r="N4251" s="64" t="n">
        <f aca="false">IF($H4251="",0,IFERROR(MATCH($H4251,GradeList,0),0))</f>
        <v>0</v>
      </c>
      <c r="O4251" s="64" t="n">
        <f aca="false">IF(OR($I4251="",$I4251="NR"),0,IFERROR(MATCH($I4251,GradeList,0),0))</f>
        <v>0</v>
      </c>
      <c r="P4251" s="64" t="n">
        <f aca="false">IF(AND($M4251&gt;0,ISNUMBER(MATCH($F4251,Lists!$A$2:$A$5,0)),ISNUMBER(MATCH($G4251,Lists!$B$2:$B$7,0)),OR($H4251="",$N4251&gt;0),OR($I4251="",$I4251="NR",$O4251&gt;0),IF(ISNUMBER($J4251),AND($J4251&gt;=0,$J4251=INT($J4251)),FALSE())),$J4251,0)</f>
        <v>0</v>
      </c>
      <c r="Q4251" s="64" t="n">
        <f aca="false">IF(AND($P4251&gt;0,$O4251&gt;0),$P4251,0)</f>
        <v>0</v>
      </c>
      <c r="R4251" s="64" t="n">
        <f aca="false">IF(AND($Q4251&gt;0,$O4251&gt;=AtRank),$Q4251,0)</f>
        <v>0</v>
      </c>
      <c r="S4251" s="64" t="n">
        <f aca="false">IF(AND($Q4251&gt;0,$O4251&gt;=AboveRank),$Q4251,0)</f>
        <v>0</v>
      </c>
      <c r="T4251" s="64" t="n">
        <f aca="false">IF($K4251="Less",$P4251,0)</f>
        <v>0</v>
      </c>
      <c r="U4251" s="64" t="n">
        <f aca="false">IF($K4251="Expected",$P4251,0)</f>
        <v>0</v>
      </c>
      <c r="V4251" s="64" t="n">
        <f aca="false">IF($K4251="Better",$P4251,0)</f>
        <v>0</v>
      </c>
      <c r="W4251" s="64" t="n">
        <f aca="false">IF($K4251="U – needs rule",$P4251,0)</f>
        <v>0</v>
      </c>
      <c r="X4251" s="64" t="n">
        <f aca="false">IF($K4251="No Start (attainment only)",$P4251,0)</f>
        <v>0</v>
      </c>
    </row>
    <row r="4252" customFormat="false" ht="15" hidden="false" customHeight="false" outlineLevel="0" collapsed="false">
      <c r="A4252" s="60"/>
      <c r="B4252" s="61" t="str">
        <f aca="false">IF($M4252=0,"",INDEX(Classes!$E$6:$E$420,$M4252))</f>
        <v/>
      </c>
      <c r="C4252" s="62" t="str">
        <f aca="false">IF($M4252=0,"",INDEX(Classes!$H$6:$H$420,$M4252))</f>
        <v/>
      </c>
      <c r="D4252" s="61" t="str">
        <f aca="false">IF($M4252=0,"",INDEX(Classes!$B$6:$B$420,$M4252))</f>
        <v/>
      </c>
      <c r="E4252" s="61" t="str">
        <f aca="false">IF($M4252=0,"",INDEX(Classes!$C$6:$C$420,$M4252))</f>
        <v/>
      </c>
      <c r="F4252" s="63"/>
      <c r="G4252" s="63"/>
      <c r="H4252" s="60"/>
      <c r="I4252" s="60"/>
      <c r="J4252" s="63"/>
      <c r="K4252" s="61" t="str">
        <f aca="false">IF($P4252=0,"",IF($F4252="Baseline","— Baseline",IF($O4252=0,"No result",IF($N4252=0,"No Start (attainment only)",IF(OR($N4252=1,$O4252=1),"U – needs rule",INDEX(MxBody,MATCH($I4252,MxCurr,0),MATCH($H4252,MxStart,0)))))))</f>
        <v/>
      </c>
      <c r="L4252" s="62" t="str">
        <f aca="false">IF(COUNTA($A4252,$F4252,$G4252,$H4252,$I4252,$J4252)=0,"",IF($M4252=0,"✖ كود الصف غير موجود",IF(ISNA(MATCH($F4252,Lists!$A$2:$A$5,0)),"✖ الفترة غير صحيحة",IF(ISNA(MATCH($G4252,Lists!$B$2:$B$7,0)),"✖ المجموعة غير صحيحة",IF(NOT(OR($H4252="",$N4252&gt;0)),"✖ Start غير صحيح",IF(NOT(OR($I4252="",$I4252="NR",$O4252&gt;0)),"✖ Current غير صحيح",IF(NOT(IF(ISNUMBER($J4252),AND($J4252&gt;=0,$J4252=INT($J4252)),FALSE())),"✖ العدد يجب أن يكون صحيحًا ≥ 0",IF(AND($F4252="Baseline",$H4252&lt;&gt;""),"⚠ Baseline: Start لا يدخل في التقدم",IF($K4252="No Start (attainment only)","ℹ تحصيل فقط (بدون Start)",IF($K4252="U – needs rule","ℹ حالة U تحتاج قاعدة معتمدة",IF($K4252="No result","ℹ بدون نتيجة (يُستبعد من التحصيل)","OK")))))))))))</f>
        <v/>
      </c>
      <c r="M4252" s="64" t="n">
        <f aca="false">IF($A4252="",0,IFERROR(MATCH($A4252,Classes!$A$6:$A$420,0),0))</f>
        <v>0</v>
      </c>
      <c r="N4252" s="64" t="n">
        <f aca="false">IF($H4252="",0,IFERROR(MATCH($H4252,GradeList,0),0))</f>
        <v>0</v>
      </c>
      <c r="O4252" s="64" t="n">
        <f aca="false">IF(OR($I4252="",$I4252="NR"),0,IFERROR(MATCH($I4252,GradeList,0),0))</f>
        <v>0</v>
      </c>
      <c r="P4252" s="64" t="n">
        <f aca="false">IF(AND($M4252&gt;0,ISNUMBER(MATCH($F4252,Lists!$A$2:$A$5,0)),ISNUMBER(MATCH($G4252,Lists!$B$2:$B$7,0)),OR($H4252="",$N4252&gt;0),OR($I4252="",$I4252="NR",$O4252&gt;0),IF(ISNUMBER($J4252),AND($J4252&gt;=0,$J4252=INT($J4252)),FALSE())),$J4252,0)</f>
        <v>0</v>
      </c>
      <c r="Q4252" s="64" t="n">
        <f aca="false">IF(AND($P4252&gt;0,$O4252&gt;0),$P4252,0)</f>
        <v>0</v>
      </c>
      <c r="R4252" s="64" t="n">
        <f aca="false">IF(AND($Q4252&gt;0,$O4252&gt;=AtRank),$Q4252,0)</f>
        <v>0</v>
      </c>
      <c r="S4252" s="64" t="n">
        <f aca="false">IF(AND($Q4252&gt;0,$O4252&gt;=AboveRank),$Q4252,0)</f>
        <v>0</v>
      </c>
      <c r="T4252" s="64" t="n">
        <f aca="false">IF($K4252="Less",$P4252,0)</f>
        <v>0</v>
      </c>
      <c r="U4252" s="64" t="n">
        <f aca="false">IF($K4252="Expected",$P4252,0)</f>
        <v>0</v>
      </c>
      <c r="V4252" s="64" t="n">
        <f aca="false">IF($K4252="Better",$P4252,0)</f>
        <v>0</v>
      </c>
      <c r="W4252" s="64" t="n">
        <f aca="false">IF($K4252="U – needs rule",$P4252,0)</f>
        <v>0</v>
      </c>
      <c r="X4252" s="64" t="n">
        <f aca="false">IF($K4252="No Start (attainment only)",$P4252,0)</f>
        <v>0</v>
      </c>
    </row>
    <row r="4253" customFormat="false" ht="15" hidden="false" customHeight="false" outlineLevel="0" collapsed="false">
      <c r="A4253" s="60"/>
      <c r="B4253" s="61" t="str">
        <f aca="false">IF($M4253=0,"",INDEX(Classes!$E$6:$E$420,$M4253))</f>
        <v/>
      </c>
      <c r="C4253" s="62" t="str">
        <f aca="false">IF($M4253=0,"",INDEX(Classes!$H$6:$H$420,$M4253))</f>
        <v/>
      </c>
      <c r="D4253" s="61" t="str">
        <f aca="false">IF($M4253=0,"",INDEX(Classes!$B$6:$B$420,$M4253))</f>
        <v/>
      </c>
      <c r="E4253" s="61" t="str">
        <f aca="false">IF($M4253=0,"",INDEX(Classes!$C$6:$C$420,$M4253))</f>
        <v/>
      </c>
      <c r="F4253" s="63"/>
      <c r="G4253" s="63"/>
      <c r="H4253" s="60"/>
      <c r="I4253" s="60"/>
      <c r="J4253" s="63"/>
      <c r="K4253" s="61" t="str">
        <f aca="false">IF($P4253=0,"",IF($F4253="Baseline","— Baseline",IF($O4253=0,"No result",IF($N4253=0,"No Start (attainment only)",IF(OR($N4253=1,$O4253=1),"U – needs rule",INDEX(MxBody,MATCH($I4253,MxCurr,0),MATCH($H4253,MxStart,0)))))))</f>
        <v/>
      </c>
      <c r="L4253" s="62" t="str">
        <f aca="false">IF(COUNTA($A4253,$F4253,$G4253,$H4253,$I4253,$J4253)=0,"",IF($M4253=0,"✖ كود الصف غير موجود",IF(ISNA(MATCH($F4253,Lists!$A$2:$A$5,0)),"✖ الفترة غير صحيحة",IF(ISNA(MATCH($G4253,Lists!$B$2:$B$7,0)),"✖ المجموعة غير صحيحة",IF(NOT(OR($H4253="",$N4253&gt;0)),"✖ Start غير صحيح",IF(NOT(OR($I4253="",$I4253="NR",$O4253&gt;0)),"✖ Current غير صحيح",IF(NOT(IF(ISNUMBER($J4253),AND($J4253&gt;=0,$J4253=INT($J4253)),FALSE())),"✖ العدد يجب أن يكون صحيحًا ≥ 0",IF(AND($F4253="Baseline",$H4253&lt;&gt;""),"⚠ Baseline: Start لا يدخل في التقدم",IF($K4253="No Start (attainment only)","ℹ تحصيل فقط (بدون Start)",IF($K4253="U – needs rule","ℹ حالة U تحتاج قاعدة معتمدة",IF($K4253="No result","ℹ بدون نتيجة (يُستبعد من التحصيل)","OK")))))))))))</f>
        <v/>
      </c>
      <c r="M4253" s="64" t="n">
        <f aca="false">IF($A4253="",0,IFERROR(MATCH($A4253,Classes!$A$6:$A$420,0),0))</f>
        <v>0</v>
      </c>
      <c r="N4253" s="64" t="n">
        <f aca="false">IF($H4253="",0,IFERROR(MATCH($H4253,GradeList,0),0))</f>
        <v>0</v>
      </c>
      <c r="O4253" s="64" t="n">
        <f aca="false">IF(OR($I4253="",$I4253="NR"),0,IFERROR(MATCH($I4253,GradeList,0),0))</f>
        <v>0</v>
      </c>
      <c r="P4253" s="64" t="n">
        <f aca="false">IF(AND($M4253&gt;0,ISNUMBER(MATCH($F4253,Lists!$A$2:$A$5,0)),ISNUMBER(MATCH($G4253,Lists!$B$2:$B$7,0)),OR($H4253="",$N4253&gt;0),OR($I4253="",$I4253="NR",$O4253&gt;0),IF(ISNUMBER($J4253),AND($J4253&gt;=0,$J4253=INT($J4253)),FALSE())),$J4253,0)</f>
        <v>0</v>
      </c>
      <c r="Q4253" s="64" t="n">
        <f aca="false">IF(AND($P4253&gt;0,$O4253&gt;0),$P4253,0)</f>
        <v>0</v>
      </c>
      <c r="R4253" s="64" t="n">
        <f aca="false">IF(AND($Q4253&gt;0,$O4253&gt;=AtRank),$Q4253,0)</f>
        <v>0</v>
      </c>
      <c r="S4253" s="64" t="n">
        <f aca="false">IF(AND($Q4253&gt;0,$O4253&gt;=AboveRank),$Q4253,0)</f>
        <v>0</v>
      </c>
      <c r="T4253" s="64" t="n">
        <f aca="false">IF($K4253="Less",$P4253,0)</f>
        <v>0</v>
      </c>
      <c r="U4253" s="64" t="n">
        <f aca="false">IF($K4253="Expected",$P4253,0)</f>
        <v>0</v>
      </c>
      <c r="V4253" s="64" t="n">
        <f aca="false">IF($K4253="Better",$P4253,0)</f>
        <v>0</v>
      </c>
      <c r="W4253" s="64" t="n">
        <f aca="false">IF($K4253="U – needs rule",$P4253,0)</f>
        <v>0</v>
      </c>
      <c r="X4253" s="64" t="n">
        <f aca="false">IF($K4253="No Start (attainment only)",$P4253,0)</f>
        <v>0</v>
      </c>
    </row>
    <row r="4254" customFormat="false" ht="15" hidden="false" customHeight="false" outlineLevel="0" collapsed="false">
      <c r="A4254" s="60"/>
      <c r="B4254" s="61" t="str">
        <f aca="false">IF($M4254=0,"",INDEX(Classes!$E$6:$E$420,$M4254))</f>
        <v/>
      </c>
      <c r="C4254" s="62" t="str">
        <f aca="false">IF($M4254=0,"",INDEX(Classes!$H$6:$H$420,$M4254))</f>
        <v/>
      </c>
      <c r="D4254" s="61" t="str">
        <f aca="false">IF($M4254=0,"",INDEX(Classes!$B$6:$B$420,$M4254))</f>
        <v/>
      </c>
      <c r="E4254" s="61" t="str">
        <f aca="false">IF($M4254=0,"",INDEX(Classes!$C$6:$C$420,$M4254))</f>
        <v/>
      </c>
      <c r="F4254" s="63"/>
      <c r="G4254" s="63"/>
      <c r="H4254" s="60"/>
      <c r="I4254" s="60"/>
      <c r="J4254" s="63"/>
      <c r="K4254" s="61" t="str">
        <f aca="false">IF($P4254=0,"",IF($F4254="Baseline","— Baseline",IF($O4254=0,"No result",IF($N4254=0,"No Start (attainment only)",IF(OR($N4254=1,$O4254=1),"U – needs rule",INDEX(MxBody,MATCH($I4254,MxCurr,0),MATCH($H4254,MxStart,0)))))))</f>
        <v/>
      </c>
      <c r="L4254" s="62" t="str">
        <f aca="false">IF(COUNTA($A4254,$F4254,$G4254,$H4254,$I4254,$J4254)=0,"",IF($M4254=0,"✖ كود الصف غير موجود",IF(ISNA(MATCH($F4254,Lists!$A$2:$A$5,0)),"✖ الفترة غير صحيحة",IF(ISNA(MATCH($G4254,Lists!$B$2:$B$7,0)),"✖ المجموعة غير صحيحة",IF(NOT(OR($H4254="",$N4254&gt;0)),"✖ Start غير صحيح",IF(NOT(OR($I4254="",$I4254="NR",$O4254&gt;0)),"✖ Current غير صحيح",IF(NOT(IF(ISNUMBER($J4254),AND($J4254&gt;=0,$J4254=INT($J4254)),FALSE())),"✖ العدد يجب أن يكون صحيحًا ≥ 0",IF(AND($F4254="Baseline",$H4254&lt;&gt;""),"⚠ Baseline: Start لا يدخل في التقدم",IF($K4254="No Start (attainment only)","ℹ تحصيل فقط (بدون Start)",IF($K4254="U – needs rule","ℹ حالة U تحتاج قاعدة معتمدة",IF($K4254="No result","ℹ بدون نتيجة (يُستبعد من التحصيل)","OK")))))))))))</f>
        <v/>
      </c>
      <c r="M4254" s="64" t="n">
        <f aca="false">IF($A4254="",0,IFERROR(MATCH($A4254,Classes!$A$6:$A$420,0),0))</f>
        <v>0</v>
      </c>
      <c r="N4254" s="64" t="n">
        <f aca="false">IF($H4254="",0,IFERROR(MATCH($H4254,GradeList,0),0))</f>
        <v>0</v>
      </c>
      <c r="O4254" s="64" t="n">
        <f aca="false">IF(OR($I4254="",$I4254="NR"),0,IFERROR(MATCH($I4254,GradeList,0),0))</f>
        <v>0</v>
      </c>
      <c r="P4254" s="64" t="n">
        <f aca="false">IF(AND($M4254&gt;0,ISNUMBER(MATCH($F4254,Lists!$A$2:$A$5,0)),ISNUMBER(MATCH($G4254,Lists!$B$2:$B$7,0)),OR($H4254="",$N4254&gt;0),OR($I4254="",$I4254="NR",$O4254&gt;0),IF(ISNUMBER($J4254),AND($J4254&gt;=0,$J4254=INT($J4254)),FALSE())),$J4254,0)</f>
        <v>0</v>
      </c>
      <c r="Q4254" s="64" t="n">
        <f aca="false">IF(AND($P4254&gt;0,$O4254&gt;0),$P4254,0)</f>
        <v>0</v>
      </c>
      <c r="R4254" s="64" t="n">
        <f aca="false">IF(AND($Q4254&gt;0,$O4254&gt;=AtRank),$Q4254,0)</f>
        <v>0</v>
      </c>
      <c r="S4254" s="64" t="n">
        <f aca="false">IF(AND($Q4254&gt;0,$O4254&gt;=AboveRank),$Q4254,0)</f>
        <v>0</v>
      </c>
      <c r="T4254" s="64" t="n">
        <f aca="false">IF($K4254="Less",$P4254,0)</f>
        <v>0</v>
      </c>
      <c r="U4254" s="64" t="n">
        <f aca="false">IF($K4254="Expected",$P4254,0)</f>
        <v>0</v>
      </c>
      <c r="V4254" s="64" t="n">
        <f aca="false">IF($K4254="Better",$P4254,0)</f>
        <v>0</v>
      </c>
      <c r="W4254" s="64" t="n">
        <f aca="false">IF($K4254="U – needs rule",$P4254,0)</f>
        <v>0</v>
      </c>
      <c r="X4254" s="64" t="n">
        <f aca="false">IF($K4254="No Start (attainment only)",$P4254,0)</f>
        <v>0</v>
      </c>
    </row>
    <row r="4255" customFormat="false" ht="15" hidden="false" customHeight="false" outlineLevel="0" collapsed="false">
      <c r="A4255" s="60"/>
      <c r="B4255" s="61" t="str">
        <f aca="false">IF($M4255=0,"",INDEX(Classes!$E$6:$E$420,$M4255))</f>
        <v/>
      </c>
      <c r="C4255" s="62" t="str">
        <f aca="false">IF($M4255=0,"",INDEX(Classes!$H$6:$H$420,$M4255))</f>
        <v/>
      </c>
      <c r="D4255" s="61" t="str">
        <f aca="false">IF($M4255=0,"",INDEX(Classes!$B$6:$B$420,$M4255))</f>
        <v/>
      </c>
      <c r="E4255" s="61" t="str">
        <f aca="false">IF($M4255=0,"",INDEX(Classes!$C$6:$C$420,$M4255))</f>
        <v/>
      </c>
      <c r="F4255" s="63"/>
      <c r="G4255" s="63"/>
      <c r="H4255" s="60"/>
      <c r="I4255" s="60"/>
      <c r="J4255" s="63"/>
      <c r="K4255" s="61" t="str">
        <f aca="false">IF($P4255=0,"",IF($F4255="Baseline","— Baseline",IF($O4255=0,"No result",IF($N4255=0,"No Start (attainment only)",IF(OR($N4255=1,$O4255=1),"U – needs rule",INDEX(MxBody,MATCH($I4255,MxCurr,0),MATCH($H4255,MxStart,0)))))))</f>
        <v/>
      </c>
      <c r="L4255" s="62" t="str">
        <f aca="false">IF(COUNTA($A4255,$F4255,$G4255,$H4255,$I4255,$J4255)=0,"",IF($M4255=0,"✖ كود الصف غير موجود",IF(ISNA(MATCH($F4255,Lists!$A$2:$A$5,0)),"✖ الفترة غير صحيحة",IF(ISNA(MATCH($G4255,Lists!$B$2:$B$7,0)),"✖ المجموعة غير صحيحة",IF(NOT(OR($H4255="",$N4255&gt;0)),"✖ Start غير صحيح",IF(NOT(OR($I4255="",$I4255="NR",$O4255&gt;0)),"✖ Current غير صحيح",IF(NOT(IF(ISNUMBER($J4255),AND($J4255&gt;=0,$J4255=INT($J4255)),FALSE())),"✖ العدد يجب أن يكون صحيحًا ≥ 0",IF(AND($F4255="Baseline",$H4255&lt;&gt;""),"⚠ Baseline: Start لا يدخل في التقدم",IF($K4255="No Start (attainment only)","ℹ تحصيل فقط (بدون Start)",IF($K4255="U – needs rule","ℹ حالة U تحتاج قاعدة معتمدة",IF($K4255="No result","ℹ بدون نتيجة (يُستبعد من التحصيل)","OK")))))))))))</f>
        <v/>
      </c>
      <c r="M4255" s="64" t="n">
        <f aca="false">IF($A4255="",0,IFERROR(MATCH($A4255,Classes!$A$6:$A$420,0),0))</f>
        <v>0</v>
      </c>
      <c r="N4255" s="64" t="n">
        <f aca="false">IF($H4255="",0,IFERROR(MATCH($H4255,GradeList,0),0))</f>
        <v>0</v>
      </c>
      <c r="O4255" s="64" t="n">
        <f aca="false">IF(OR($I4255="",$I4255="NR"),0,IFERROR(MATCH($I4255,GradeList,0),0))</f>
        <v>0</v>
      </c>
      <c r="P4255" s="64" t="n">
        <f aca="false">IF(AND($M4255&gt;0,ISNUMBER(MATCH($F4255,Lists!$A$2:$A$5,0)),ISNUMBER(MATCH($G4255,Lists!$B$2:$B$7,0)),OR($H4255="",$N4255&gt;0),OR($I4255="",$I4255="NR",$O4255&gt;0),IF(ISNUMBER($J4255),AND($J4255&gt;=0,$J4255=INT($J4255)),FALSE())),$J4255,0)</f>
        <v>0</v>
      </c>
      <c r="Q4255" s="64" t="n">
        <f aca="false">IF(AND($P4255&gt;0,$O4255&gt;0),$P4255,0)</f>
        <v>0</v>
      </c>
      <c r="R4255" s="64" t="n">
        <f aca="false">IF(AND($Q4255&gt;0,$O4255&gt;=AtRank),$Q4255,0)</f>
        <v>0</v>
      </c>
      <c r="S4255" s="64" t="n">
        <f aca="false">IF(AND($Q4255&gt;0,$O4255&gt;=AboveRank),$Q4255,0)</f>
        <v>0</v>
      </c>
      <c r="T4255" s="64" t="n">
        <f aca="false">IF($K4255="Less",$P4255,0)</f>
        <v>0</v>
      </c>
      <c r="U4255" s="64" t="n">
        <f aca="false">IF($K4255="Expected",$P4255,0)</f>
        <v>0</v>
      </c>
      <c r="V4255" s="64" t="n">
        <f aca="false">IF($K4255="Better",$P4255,0)</f>
        <v>0</v>
      </c>
      <c r="W4255" s="64" t="n">
        <f aca="false">IF($K4255="U – needs rule",$P4255,0)</f>
        <v>0</v>
      </c>
      <c r="X4255" s="64" t="n">
        <f aca="false">IF($K4255="No Start (attainment only)",$P4255,0)</f>
        <v>0</v>
      </c>
    </row>
    <row r="4256" customFormat="false" ht="15" hidden="false" customHeight="false" outlineLevel="0" collapsed="false">
      <c r="A4256" s="60"/>
      <c r="B4256" s="61" t="str">
        <f aca="false">IF($M4256=0,"",INDEX(Classes!$E$6:$E$420,$M4256))</f>
        <v/>
      </c>
      <c r="C4256" s="62" t="str">
        <f aca="false">IF($M4256=0,"",INDEX(Classes!$H$6:$H$420,$M4256))</f>
        <v/>
      </c>
      <c r="D4256" s="61" t="str">
        <f aca="false">IF($M4256=0,"",INDEX(Classes!$B$6:$B$420,$M4256))</f>
        <v/>
      </c>
      <c r="E4256" s="61" t="str">
        <f aca="false">IF($M4256=0,"",INDEX(Classes!$C$6:$C$420,$M4256))</f>
        <v/>
      </c>
      <c r="F4256" s="63"/>
      <c r="G4256" s="63"/>
      <c r="H4256" s="60"/>
      <c r="I4256" s="60"/>
      <c r="J4256" s="63"/>
      <c r="K4256" s="61" t="str">
        <f aca="false">IF($P4256=0,"",IF($F4256="Baseline","— Baseline",IF($O4256=0,"No result",IF($N4256=0,"No Start (attainment only)",IF(OR($N4256=1,$O4256=1),"U – needs rule",INDEX(MxBody,MATCH($I4256,MxCurr,0),MATCH($H4256,MxStart,0)))))))</f>
        <v/>
      </c>
      <c r="L4256" s="62" t="str">
        <f aca="false">IF(COUNTA($A4256,$F4256,$G4256,$H4256,$I4256,$J4256)=0,"",IF($M4256=0,"✖ كود الصف غير موجود",IF(ISNA(MATCH($F4256,Lists!$A$2:$A$5,0)),"✖ الفترة غير صحيحة",IF(ISNA(MATCH($G4256,Lists!$B$2:$B$7,0)),"✖ المجموعة غير صحيحة",IF(NOT(OR($H4256="",$N4256&gt;0)),"✖ Start غير صحيح",IF(NOT(OR($I4256="",$I4256="NR",$O4256&gt;0)),"✖ Current غير صحيح",IF(NOT(IF(ISNUMBER($J4256),AND($J4256&gt;=0,$J4256=INT($J4256)),FALSE())),"✖ العدد يجب أن يكون صحيحًا ≥ 0",IF(AND($F4256="Baseline",$H4256&lt;&gt;""),"⚠ Baseline: Start لا يدخل في التقدم",IF($K4256="No Start (attainment only)","ℹ تحصيل فقط (بدون Start)",IF($K4256="U – needs rule","ℹ حالة U تحتاج قاعدة معتمدة",IF($K4256="No result","ℹ بدون نتيجة (يُستبعد من التحصيل)","OK")))))))))))</f>
        <v/>
      </c>
      <c r="M4256" s="64" t="n">
        <f aca="false">IF($A4256="",0,IFERROR(MATCH($A4256,Classes!$A$6:$A$420,0),0))</f>
        <v>0</v>
      </c>
      <c r="N4256" s="64" t="n">
        <f aca="false">IF($H4256="",0,IFERROR(MATCH($H4256,GradeList,0),0))</f>
        <v>0</v>
      </c>
      <c r="O4256" s="64" t="n">
        <f aca="false">IF(OR($I4256="",$I4256="NR"),0,IFERROR(MATCH($I4256,GradeList,0),0))</f>
        <v>0</v>
      </c>
      <c r="P4256" s="64" t="n">
        <f aca="false">IF(AND($M4256&gt;0,ISNUMBER(MATCH($F4256,Lists!$A$2:$A$5,0)),ISNUMBER(MATCH($G4256,Lists!$B$2:$B$7,0)),OR($H4256="",$N4256&gt;0),OR($I4256="",$I4256="NR",$O4256&gt;0),IF(ISNUMBER($J4256),AND($J4256&gt;=0,$J4256=INT($J4256)),FALSE())),$J4256,0)</f>
        <v>0</v>
      </c>
      <c r="Q4256" s="64" t="n">
        <f aca="false">IF(AND($P4256&gt;0,$O4256&gt;0),$P4256,0)</f>
        <v>0</v>
      </c>
      <c r="R4256" s="64" t="n">
        <f aca="false">IF(AND($Q4256&gt;0,$O4256&gt;=AtRank),$Q4256,0)</f>
        <v>0</v>
      </c>
      <c r="S4256" s="64" t="n">
        <f aca="false">IF(AND($Q4256&gt;0,$O4256&gt;=AboveRank),$Q4256,0)</f>
        <v>0</v>
      </c>
      <c r="T4256" s="64" t="n">
        <f aca="false">IF($K4256="Less",$P4256,0)</f>
        <v>0</v>
      </c>
      <c r="U4256" s="64" t="n">
        <f aca="false">IF($K4256="Expected",$P4256,0)</f>
        <v>0</v>
      </c>
      <c r="V4256" s="64" t="n">
        <f aca="false">IF($K4256="Better",$P4256,0)</f>
        <v>0</v>
      </c>
      <c r="W4256" s="64" t="n">
        <f aca="false">IF($K4256="U – needs rule",$P4256,0)</f>
        <v>0</v>
      </c>
      <c r="X4256" s="64" t="n">
        <f aca="false">IF($K4256="No Start (attainment only)",$P4256,0)</f>
        <v>0</v>
      </c>
    </row>
    <row r="4257" customFormat="false" ht="15" hidden="false" customHeight="false" outlineLevel="0" collapsed="false">
      <c r="A4257" s="60"/>
      <c r="B4257" s="61" t="str">
        <f aca="false">IF($M4257=0,"",INDEX(Classes!$E$6:$E$420,$M4257))</f>
        <v/>
      </c>
      <c r="C4257" s="62" t="str">
        <f aca="false">IF($M4257=0,"",INDEX(Classes!$H$6:$H$420,$M4257))</f>
        <v/>
      </c>
      <c r="D4257" s="61" t="str">
        <f aca="false">IF($M4257=0,"",INDEX(Classes!$B$6:$B$420,$M4257))</f>
        <v/>
      </c>
      <c r="E4257" s="61" t="str">
        <f aca="false">IF($M4257=0,"",INDEX(Classes!$C$6:$C$420,$M4257))</f>
        <v/>
      </c>
      <c r="F4257" s="63"/>
      <c r="G4257" s="63"/>
      <c r="H4257" s="60"/>
      <c r="I4257" s="60"/>
      <c r="J4257" s="63"/>
      <c r="K4257" s="61" t="str">
        <f aca="false">IF($P4257=0,"",IF($F4257="Baseline","— Baseline",IF($O4257=0,"No result",IF($N4257=0,"No Start (attainment only)",IF(OR($N4257=1,$O4257=1),"U – needs rule",INDEX(MxBody,MATCH($I4257,MxCurr,0),MATCH($H4257,MxStart,0)))))))</f>
        <v/>
      </c>
      <c r="L4257" s="62" t="str">
        <f aca="false">IF(COUNTA($A4257,$F4257,$G4257,$H4257,$I4257,$J4257)=0,"",IF($M4257=0,"✖ كود الصف غير موجود",IF(ISNA(MATCH($F4257,Lists!$A$2:$A$5,0)),"✖ الفترة غير صحيحة",IF(ISNA(MATCH($G4257,Lists!$B$2:$B$7,0)),"✖ المجموعة غير صحيحة",IF(NOT(OR($H4257="",$N4257&gt;0)),"✖ Start غير صحيح",IF(NOT(OR($I4257="",$I4257="NR",$O4257&gt;0)),"✖ Current غير صحيح",IF(NOT(IF(ISNUMBER($J4257),AND($J4257&gt;=0,$J4257=INT($J4257)),FALSE())),"✖ العدد يجب أن يكون صحيحًا ≥ 0",IF(AND($F4257="Baseline",$H4257&lt;&gt;""),"⚠ Baseline: Start لا يدخل في التقدم",IF($K4257="No Start (attainment only)","ℹ تحصيل فقط (بدون Start)",IF($K4257="U – needs rule","ℹ حالة U تحتاج قاعدة معتمدة",IF($K4257="No result","ℹ بدون نتيجة (يُستبعد من التحصيل)","OK")))))))))))</f>
        <v/>
      </c>
      <c r="M4257" s="64" t="n">
        <f aca="false">IF($A4257="",0,IFERROR(MATCH($A4257,Classes!$A$6:$A$420,0),0))</f>
        <v>0</v>
      </c>
      <c r="N4257" s="64" t="n">
        <f aca="false">IF($H4257="",0,IFERROR(MATCH($H4257,GradeList,0),0))</f>
        <v>0</v>
      </c>
      <c r="O4257" s="64" t="n">
        <f aca="false">IF(OR($I4257="",$I4257="NR"),0,IFERROR(MATCH($I4257,GradeList,0),0))</f>
        <v>0</v>
      </c>
      <c r="P4257" s="64" t="n">
        <f aca="false">IF(AND($M4257&gt;0,ISNUMBER(MATCH($F4257,Lists!$A$2:$A$5,0)),ISNUMBER(MATCH($G4257,Lists!$B$2:$B$7,0)),OR($H4257="",$N4257&gt;0),OR($I4257="",$I4257="NR",$O4257&gt;0),IF(ISNUMBER($J4257),AND($J4257&gt;=0,$J4257=INT($J4257)),FALSE())),$J4257,0)</f>
        <v>0</v>
      </c>
      <c r="Q4257" s="64" t="n">
        <f aca="false">IF(AND($P4257&gt;0,$O4257&gt;0),$P4257,0)</f>
        <v>0</v>
      </c>
      <c r="R4257" s="64" t="n">
        <f aca="false">IF(AND($Q4257&gt;0,$O4257&gt;=AtRank),$Q4257,0)</f>
        <v>0</v>
      </c>
      <c r="S4257" s="64" t="n">
        <f aca="false">IF(AND($Q4257&gt;0,$O4257&gt;=AboveRank),$Q4257,0)</f>
        <v>0</v>
      </c>
      <c r="T4257" s="64" t="n">
        <f aca="false">IF($K4257="Less",$P4257,0)</f>
        <v>0</v>
      </c>
      <c r="U4257" s="64" t="n">
        <f aca="false">IF($K4257="Expected",$P4257,0)</f>
        <v>0</v>
      </c>
      <c r="V4257" s="64" t="n">
        <f aca="false">IF($K4257="Better",$P4257,0)</f>
        <v>0</v>
      </c>
      <c r="W4257" s="64" t="n">
        <f aca="false">IF($K4257="U – needs rule",$P4257,0)</f>
        <v>0</v>
      </c>
      <c r="X4257" s="64" t="n">
        <f aca="false">IF($K4257="No Start (attainment only)",$P4257,0)</f>
        <v>0</v>
      </c>
    </row>
    <row r="4258" customFormat="false" ht="15" hidden="false" customHeight="false" outlineLevel="0" collapsed="false">
      <c r="A4258" s="60"/>
      <c r="B4258" s="61" t="str">
        <f aca="false">IF($M4258=0,"",INDEX(Classes!$E$6:$E$420,$M4258))</f>
        <v/>
      </c>
      <c r="C4258" s="62" t="str">
        <f aca="false">IF($M4258=0,"",INDEX(Classes!$H$6:$H$420,$M4258))</f>
        <v/>
      </c>
      <c r="D4258" s="61" t="str">
        <f aca="false">IF($M4258=0,"",INDEX(Classes!$B$6:$B$420,$M4258))</f>
        <v/>
      </c>
      <c r="E4258" s="61" t="str">
        <f aca="false">IF($M4258=0,"",INDEX(Classes!$C$6:$C$420,$M4258))</f>
        <v/>
      </c>
      <c r="F4258" s="63"/>
      <c r="G4258" s="63"/>
      <c r="H4258" s="60"/>
      <c r="I4258" s="60"/>
      <c r="J4258" s="63"/>
      <c r="K4258" s="61" t="str">
        <f aca="false">IF($P4258=0,"",IF($F4258="Baseline","— Baseline",IF($O4258=0,"No result",IF($N4258=0,"No Start (attainment only)",IF(OR($N4258=1,$O4258=1),"U – needs rule",INDEX(MxBody,MATCH($I4258,MxCurr,0),MATCH($H4258,MxStart,0)))))))</f>
        <v/>
      </c>
      <c r="L4258" s="62" t="str">
        <f aca="false">IF(COUNTA($A4258,$F4258,$G4258,$H4258,$I4258,$J4258)=0,"",IF($M4258=0,"✖ كود الصف غير موجود",IF(ISNA(MATCH($F4258,Lists!$A$2:$A$5,0)),"✖ الفترة غير صحيحة",IF(ISNA(MATCH($G4258,Lists!$B$2:$B$7,0)),"✖ المجموعة غير صحيحة",IF(NOT(OR($H4258="",$N4258&gt;0)),"✖ Start غير صحيح",IF(NOT(OR($I4258="",$I4258="NR",$O4258&gt;0)),"✖ Current غير صحيح",IF(NOT(IF(ISNUMBER($J4258),AND($J4258&gt;=0,$J4258=INT($J4258)),FALSE())),"✖ العدد يجب أن يكون صحيحًا ≥ 0",IF(AND($F4258="Baseline",$H4258&lt;&gt;""),"⚠ Baseline: Start لا يدخل في التقدم",IF($K4258="No Start (attainment only)","ℹ تحصيل فقط (بدون Start)",IF($K4258="U – needs rule","ℹ حالة U تحتاج قاعدة معتمدة",IF($K4258="No result","ℹ بدون نتيجة (يُستبعد من التحصيل)","OK")))))))))))</f>
        <v/>
      </c>
      <c r="M4258" s="64" t="n">
        <f aca="false">IF($A4258="",0,IFERROR(MATCH($A4258,Classes!$A$6:$A$420,0),0))</f>
        <v>0</v>
      </c>
      <c r="N4258" s="64" t="n">
        <f aca="false">IF($H4258="",0,IFERROR(MATCH($H4258,GradeList,0),0))</f>
        <v>0</v>
      </c>
      <c r="O4258" s="64" t="n">
        <f aca="false">IF(OR($I4258="",$I4258="NR"),0,IFERROR(MATCH($I4258,GradeList,0),0))</f>
        <v>0</v>
      </c>
      <c r="P4258" s="64" t="n">
        <f aca="false">IF(AND($M4258&gt;0,ISNUMBER(MATCH($F4258,Lists!$A$2:$A$5,0)),ISNUMBER(MATCH($G4258,Lists!$B$2:$B$7,0)),OR($H4258="",$N4258&gt;0),OR($I4258="",$I4258="NR",$O4258&gt;0),IF(ISNUMBER($J4258),AND($J4258&gt;=0,$J4258=INT($J4258)),FALSE())),$J4258,0)</f>
        <v>0</v>
      </c>
      <c r="Q4258" s="64" t="n">
        <f aca="false">IF(AND($P4258&gt;0,$O4258&gt;0),$P4258,0)</f>
        <v>0</v>
      </c>
      <c r="R4258" s="64" t="n">
        <f aca="false">IF(AND($Q4258&gt;0,$O4258&gt;=AtRank),$Q4258,0)</f>
        <v>0</v>
      </c>
      <c r="S4258" s="64" t="n">
        <f aca="false">IF(AND($Q4258&gt;0,$O4258&gt;=AboveRank),$Q4258,0)</f>
        <v>0</v>
      </c>
      <c r="T4258" s="64" t="n">
        <f aca="false">IF($K4258="Less",$P4258,0)</f>
        <v>0</v>
      </c>
      <c r="U4258" s="64" t="n">
        <f aca="false">IF($K4258="Expected",$P4258,0)</f>
        <v>0</v>
      </c>
      <c r="V4258" s="64" t="n">
        <f aca="false">IF($K4258="Better",$P4258,0)</f>
        <v>0</v>
      </c>
      <c r="W4258" s="64" t="n">
        <f aca="false">IF($K4258="U – needs rule",$P4258,0)</f>
        <v>0</v>
      </c>
      <c r="X4258" s="64" t="n">
        <f aca="false">IF($K4258="No Start (attainment only)",$P4258,0)</f>
        <v>0</v>
      </c>
    </row>
    <row r="4259" customFormat="false" ht="15" hidden="false" customHeight="false" outlineLevel="0" collapsed="false">
      <c r="A4259" s="60"/>
      <c r="B4259" s="61" t="str">
        <f aca="false">IF($M4259=0,"",INDEX(Classes!$E$6:$E$420,$M4259))</f>
        <v/>
      </c>
      <c r="C4259" s="62" t="str">
        <f aca="false">IF($M4259=0,"",INDEX(Classes!$H$6:$H$420,$M4259))</f>
        <v/>
      </c>
      <c r="D4259" s="61" t="str">
        <f aca="false">IF($M4259=0,"",INDEX(Classes!$B$6:$B$420,$M4259))</f>
        <v/>
      </c>
      <c r="E4259" s="61" t="str">
        <f aca="false">IF($M4259=0,"",INDEX(Classes!$C$6:$C$420,$M4259))</f>
        <v/>
      </c>
      <c r="F4259" s="63"/>
      <c r="G4259" s="63"/>
      <c r="H4259" s="60"/>
      <c r="I4259" s="60"/>
      <c r="J4259" s="63"/>
      <c r="K4259" s="61" t="str">
        <f aca="false">IF($P4259=0,"",IF($F4259="Baseline","— Baseline",IF($O4259=0,"No result",IF($N4259=0,"No Start (attainment only)",IF(OR($N4259=1,$O4259=1),"U – needs rule",INDEX(MxBody,MATCH($I4259,MxCurr,0),MATCH($H4259,MxStart,0)))))))</f>
        <v/>
      </c>
      <c r="L4259" s="62" t="str">
        <f aca="false">IF(COUNTA($A4259,$F4259,$G4259,$H4259,$I4259,$J4259)=0,"",IF($M4259=0,"✖ كود الصف غير موجود",IF(ISNA(MATCH($F4259,Lists!$A$2:$A$5,0)),"✖ الفترة غير صحيحة",IF(ISNA(MATCH($G4259,Lists!$B$2:$B$7,0)),"✖ المجموعة غير صحيحة",IF(NOT(OR($H4259="",$N4259&gt;0)),"✖ Start غير صحيح",IF(NOT(OR($I4259="",$I4259="NR",$O4259&gt;0)),"✖ Current غير صحيح",IF(NOT(IF(ISNUMBER($J4259),AND($J4259&gt;=0,$J4259=INT($J4259)),FALSE())),"✖ العدد يجب أن يكون صحيحًا ≥ 0",IF(AND($F4259="Baseline",$H4259&lt;&gt;""),"⚠ Baseline: Start لا يدخل في التقدم",IF($K4259="No Start (attainment only)","ℹ تحصيل فقط (بدون Start)",IF($K4259="U – needs rule","ℹ حالة U تحتاج قاعدة معتمدة",IF($K4259="No result","ℹ بدون نتيجة (يُستبعد من التحصيل)","OK")))))))))))</f>
        <v/>
      </c>
      <c r="M4259" s="64" t="n">
        <f aca="false">IF($A4259="",0,IFERROR(MATCH($A4259,Classes!$A$6:$A$420,0),0))</f>
        <v>0</v>
      </c>
      <c r="N4259" s="64" t="n">
        <f aca="false">IF($H4259="",0,IFERROR(MATCH($H4259,GradeList,0),0))</f>
        <v>0</v>
      </c>
      <c r="O4259" s="64" t="n">
        <f aca="false">IF(OR($I4259="",$I4259="NR"),0,IFERROR(MATCH($I4259,GradeList,0),0))</f>
        <v>0</v>
      </c>
      <c r="P4259" s="64" t="n">
        <f aca="false">IF(AND($M4259&gt;0,ISNUMBER(MATCH($F4259,Lists!$A$2:$A$5,0)),ISNUMBER(MATCH($G4259,Lists!$B$2:$B$7,0)),OR($H4259="",$N4259&gt;0),OR($I4259="",$I4259="NR",$O4259&gt;0),IF(ISNUMBER($J4259),AND($J4259&gt;=0,$J4259=INT($J4259)),FALSE())),$J4259,0)</f>
        <v>0</v>
      </c>
      <c r="Q4259" s="64" t="n">
        <f aca="false">IF(AND($P4259&gt;0,$O4259&gt;0),$P4259,0)</f>
        <v>0</v>
      </c>
      <c r="R4259" s="64" t="n">
        <f aca="false">IF(AND($Q4259&gt;0,$O4259&gt;=AtRank),$Q4259,0)</f>
        <v>0</v>
      </c>
      <c r="S4259" s="64" t="n">
        <f aca="false">IF(AND($Q4259&gt;0,$O4259&gt;=AboveRank),$Q4259,0)</f>
        <v>0</v>
      </c>
      <c r="T4259" s="64" t="n">
        <f aca="false">IF($K4259="Less",$P4259,0)</f>
        <v>0</v>
      </c>
      <c r="U4259" s="64" t="n">
        <f aca="false">IF($K4259="Expected",$P4259,0)</f>
        <v>0</v>
      </c>
      <c r="V4259" s="64" t="n">
        <f aca="false">IF($K4259="Better",$P4259,0)</f>
        <v>0</v>
      </c>
      <c r="W4259" s="64" t="n">
        <f aca="false">IF($K4259="U – needs rule",$P4259,0)</f>
        <v>0</v>
      </c>
      <c r="X4259" s="64" t="n">
        <f aca="false">IF($K4259="No Start (attainment only)",$P4259,0)</f>
        <v>0</v>
      </c>
    </row>
    <row r="4260" customFormat="false" ht="15" hidden="false" customHeight="false" outlineLevel="0" collapsed="false">
      <c r="A4260" s="60"/>
      <c r="B4260" s="61" t="str">
        <f aca="false">IF($M4260=0,"",INDEX(Classes!$E$6:$E$420,$M4260))</f>
        <v/>
      </c>
      <c r="C4260" s="62" t="str">
        <f aca="false">IF($M4260=0,"",INDEX(Classes!$H$6:$H$420,$M4260))</f>
        <v/>
      </c>
      <c r="D4260" s="61" t="str">
        <f aca="false">IF($M4260=0,"",INDEX(Classes!$B$6:$B$420,$M4260))</f>
        <v/>
      </c>
      <c r="E4260" s="61" t="str">
        <f aca="false">IF($M4260=0,"",INDEX(Classes!$C$6:$C$420,$M4260))</f>
        <v/>
      </c>
      <c r="F4260" s="63"/>
      <c r="G4260" s="63"/>
      <c r="H4260" s="60"/>
      <c r="I4260" s="60"/>
      <c r="J4260" s="63"/>
      <c r="K4260" s="61" t="str">
        <f aca="false">IF($P4260=0,"",IF($F4260="Baseline","— Baseline",IF($O4260=0,"No result",IF($N4260=0,"No Start (attainment only)",IF(OR($N4260=1,$O4260=1),"U – needs rule",INDEX(MxBody,MATCH($I4260,MxCurr,0),MATCH($H4260,MxStart,0)))))))</f>
        <v/>
      </c>
      <c r="L4260" s="62" t="str">
        <f aca="false">IF(COUNTA($A4260,$F4260,$G4260,$H4260,$I4260,$J4260)=0,"",IF($M4260=0,"✖ كود الصف غير موجود",IF(ISNA(MATCH($F4260,Lists!$A$2:$A$5,0)),"✖ الفترة غير صحيحة",IF(ISNA(MATCH($G4260,Lists!$B$2:$B$7,0)),"✖ المجموعة غير صحيحة",IF(NOT(OR($H4260="",$N4260&gt;0)),"✖ Start غير صحيح",IF(NOT(OR($I4260="",$I4260="NR",$O4260&gt;0)),"✖ Current غير صحيح",IF(NOT(IF(ISNUMBER($J4260),AND($J4260&gt;=0,$J4260=INT($J4260)),FALSE())),"✖ العدد يجب أن يكون صحيحًا ≥ 0",IF(AND($F4260="Baseline",$H4260&lt;&gt;""),"⚠ Baseline: Start لا يدخل في التقدم",IF($K4260="No Start (attainment only)","ℹ تحصيل فقط (بدون Start)",IF($K4260="U – needs rule","ℹ حالة U تحتاج قاعدة معتمدة",IF($K4260="No result","ℹ بدون نتيجة (يُستبعد من التحصيل)","OK")))))))))))</f>
        <v/>
      </c>
      <c r="M4260" s="64" t="n">
        <f aca="false">IF($A4260="",0,IFERROR(MATCH($A4260,Classes!$A$6:$A$420,0),0))</f>
        <v>0</v>
      </c>
      <c r="N4260" s="64" t="n">
        <f aca="false">IF($H4260="",0,IFERROR(MATCH($H4260,GradeList,0),0))</f>
        <v>0</v>
      </c>
      <c r="O4260" s="64" t="n">
        <f aca="false">IF(OR($I4260="",$I4260="NR"),0,IFERROR(MATCH($I4260,GradeList,0),0))</f>
        <v>0</v>
      </c>
      <c r="P4260" s="64" t="n">
        <f aca="false">IF(AND($M4260&gt;0,ISNUMBER(MATCH($F4260,Lists!$A$2:$A$5,0)),ISNUMBER(MATCH($G4260,Lists!$B$2:$B$7,0)),OR($H4260="",$N4260&gt;0),OR($I4260="",$I4260="NR",$O4260&gt;0),IF(ISNUMBER($J4260),AND($J4260&gt;=0,$J4260=INT($J4260)),FALSE())),$J4260,0)</f>
        <v>0</v>
      </c>
      <c r="Q4260" s="64" t="n">
        <f aca="false">IF(AND($P4260&gt;0,$O4260&gt;0),$P4260,0)</f>
        <v>0</v>
      </c>
      <c r="R4260" s="64" t="n">
        <f aca="false">IF(AND($Q4260&gt;0,$O4260&gt;=AtRank),$Q4260,0)</f>
        <v>0</v>
      </c>
      <c r="S4260" s="64" t="n">
        <f aca="false">IF(AND($Q4260&gt;0,$O4260&gt;=AboveRank),$Q4260,0)</f>
        <v>0</v>
      </c>
      <c r="T4260" s="64" t="n">
        <f aca="false">IF($K4260="Less",$P4260,0)</f>
        <v>0</v>
      </c>
      <c r="U4260" s="64" t="n">
        <f aca="false">IF($K4260="Expected",$P4260,0)</f>
        <v>0</v>
      </c>
      <c r="V4260" s="64" t="n">
        <f aca="false">IF($K4260="Better",$P4260,0)</f>
        <v>0</v>
      </c>
      <c r="W4260" s="64" t="n">
        <f aca="false">IF($K4260="U – needs rule",$P4260,0)</f>
        <v>0</v>
      </c>
      <c r="X4260" s="64" t="n">
        <f aca="false">IF($K4260="No Start (attainment only)",$P4260,0)</f>
        <v>0</v>
      </c>
    </row>
    <row r="4261" customFormat="false" ht="15" hidden="false" customHeight="false" outlineLevel="0" collapsed="false">
      <c r="A4261" s="60"/>
      <c r="B4261" s="61" t="str">
        <f aca="false">IF($M4261=0,"",INDEX(Classes!$E$6:$E$420,$M4261))</f>
        <v/>
      </c>
      <c r="C4261" s="62" t="str">
        <f aca="false">IF($M4261=0,"",INDEX(Classes!$H$6:$H$420,$M4261))</f>
        <v/>
      </c>
      <c r="D4261" s="61" t="str">
        <f aca="false">IF($M4261=0,"",INDEX(Classes!$B$6:$B$420,$M4261))</f>
        <v/>
      </c>
      <c r="E4261" s="61" t="str">
        <f aca="false">IF($M4261=0,"",INDEX(Classes!$C$6:$C$420,$M4261))</f>
        <v/>
      </c>
      <c r="F4261" s="63"/>
      <c r="G4261" s="63"/>
      <c r="H4261" s="60"/>
      <c r="I4261" s="60"/>
      <c r="J4261" s="63"/>
      <c r="K4261" s="61" t="str">
        <f aca="false">IF($P4261=0,"",IF($F4261="Baseline","— Baseline",IF($O4261=0,"No result",IF($N4261=0,"No Start (attainment only)",IF(OR($N4261=1,$O4261=1),"U – needs rule",INDEX(MxBody,MATCH($I4261,MxCurr,0),MATCH($H4261,MxStart,0)))))))</f>
        <v/>
      </c>
      <c r="L4261" s="62" t="str">
        <f aca="false">IF(COUNTA($A4261,$F4261,$G4261,$H4261,$I4261,$J4261)=0,"",IF($M4261=0,"✖ كود الصف غير موجود",IF(ISNA(MATCH($F4261,Lists!$A$2:$A$5,0)),"✖ الفترة غير صحيحة",IF(ISNA(MATCH($G4261,Lists!$B$2:$B$7,0)),"✖ المجموعة غير صحيحة",IF(NOT(OR($H4261="",$N4261&gt;0)),"✖ Start غير صحيح",IF(NOT(OR($I4261="",$I4261="NR",$O4261&gt;0)),"✖ Current غير صحيح",IF(NOT(IF(ISNUMBER($J4261),AND($J4261&gt;=0,$J4261=INT($J4261)),FALSE())),"✖ العدد يجب أن يكون صحيحًا ≥ 0",IF(AND($F4261="Baseline",$H4261&lt;&gt;""),"⚠ Baseline: Start لا يدخل في التقدم",IF($K4261="No Start (attainment only)","ℹ تحصيل فقط (بدون Start)",IF($K4261="U – needs rule","ℹ حالة U تحتاج قاعدة معتمدة",IF($K4261="No result","ℹ بدون نتيجة (يُستبعد من التحصيل)","OK")))))))))))</f>
        <v/>
      </c>
      <c r="M4261" s="64" t="n">
        <f aca="false">IF($A4261="",0,IFERROR(MATCH($A4261,Classes!$A$6:$A$420,0),0))</f>
        <v>0</v>
      </c>
      <c r="N4261" s="64" t="n">
        <f aca="false">IF($H4261="",0,IFERROR(MATCH($H4261,GradeList,0),0))</f>
        <v>0</v>
      </c>
      <c r="O4261" s="64" t="n">
        <f aca="false">IF(OR($I4261="",$I4261="NR"),0,IFERROR(MATCH($I4261,GradeList,0),0))</f>
        <v>0</v>
      </c>
      <c r="P4261" s="64" t="n">
        <f aca="false">IF(AND($M4261&gt;0,ISNUMBER(MATCH($F4261,Lists!$A$2:$A$5,0)),ISNUMBER(MATCH($G4261,Lists!$B$2:$B$7,0)),OR($H4261="",$N4261&gt;0),OR($I4261="",$I4261="NR",$O4261&gt;0),IF(ISNUMBER($J4261),AND($J4261&gt;=0,$J4261=INT($J4261)),FALSE())),$J4261,0)</f>
        <v>0</v>
      </c>
      <c r="Q4261" s="64" t="n">
        <f aca="false">IF(AND($P4261&gt;0,$O4261&gt;0),$P4261,0)</f>
        <v>0</v>
      </c>
      <c r="R4261" s="64" t="n">
        <f aca="false">IF(AND($Q4261&gt;0,$O4261&gt;=AtRank),$Q4261,0)</f>
        <v>0</v>
      </c>
      <c r="S4261" s="64" t="n">
        <f aca="false">IF(AND($Q4261&gt;0,$O4261&gt;=AboveRank),$Q4261,0)</f>
        <v>0</v>
      </c>
      <c r="T4261" s="64" t="n">
        <f aca="false">IF($K4261="Less",$P4261,0)</f>
        <v>0</v>
      </c>
      <c r="U4261" s="64" t="n">
        <f aca="false">IF($K4261="Expected",$P4261,0)</f>
        <v>0</v>
      </c>
      <c r="V4261" s="64" t="n">
        <f aca="false">IF($K4261="Better",$P4261,0)</f>
        <v>0</v>
      </c>
      <c r="W4261" s="64" t="n">
        <f aca="false">IF($K4261="U – needs rule",$P4261,0)</f>
        <v>0</v>
      </c>
      <c r="X4261" s="64" t="n">
        <f aca="false">IF($K4261="No Start (attainment only)",$P4261,0)</f>
        <v>0</v>
      </c>
    </row>
    <row r="4262" customFormat="false" ht="15" hidden="false" customHeight="false" outlineLevel="0" collapsed="false">
      <c r="A4262" s="60"/>
      <c r="B4262" s="61" t="str">
        <f aca="false">IF($M4262=0,"",INDEX(Classes!$E$6:$E$420,$M4262))</f>
        <v/>
      </c>
      <c r="C4262" s="62" t="str">
        <f aca="false">IF($M4262=0,"",INDEX(Classes!$H$6:$H$420,$M4262))</f>
        <v/>
      </c>
      <c r="D4262" s="61" t="str">
        <f aca="false">IF($M4262=0,"",INDEX(Classes!$B$6:$B$420,$M4262))</f>
        <v/>
      </c>
      <c r="E4262" s="61" t="str">
        <f aca="false">IF($M4262=0,"",INDEX(Classes!$C$6:$C$420,$M4262))</f>
        <v/>
      </c>
      <c r="F4262" s="63"/>
      <c r="G4262" s="63"/>
      <c r="H4262" s="60"/>
      <c r="I4262" s="60"/>
      <c r="J4262" s="63"/>
      <c r="K4262" s="61" t="str">
        <f aca="false">IF($P4262=0,"",IF($F4262="Baseline","— Baseline",IF($O4262=0,"No result",IF($N4262=0,"No Start (attainment only)",IF(OR($N4262=1,$O4262=1),"U – needs rule",INDEX(MxBody,MATCH($I4262,MxCurr,0),MATCH($H4262,MxStart,0)))))))</f>
        <v/>
      </c>
      <c r="L4262" s="62" t="str">
        <f aca="false">IF(COUNTA($A4262,$F4262,$G4262,$H4262,$I4262,$J4262)=0,"",IF($M4262=0,"✖ كود الصف غير موجود",IF(ISNA(MATCH($F4262,Lists!$A$2:$A$5,0)),"✖ الفترة غير صحيحة",IF(ISNA(MATCH($G4262,Lists!$B$2:$B$7,0)),"✖ المجموعة غير صحيحة",IF(NOT(OR($H4262="",$N4262&gt;0)),"✖ Start غير صحيح",IF(NOT(OR($I4262="",$I4262="NR",$O4262&gt;0)),"✖ Current غير صحيح",IF(NOT(IF(ISNUMBER($J4262),AND($J4262&gt;=0,$J4262=INT($J4262)),FALSE())),"✖ العدد يجب أن يكون صحيحًا ≥ 0",IF(AND($F4262="Baseline",$H4262&lt;&gt;""),"⚠ Baseline: Start لا يدخل في التقدم",IF($K4262="No Start (attainment only)","ℹ تحصيل فقط (بدون Start)",IF($K4262="U – needs rule","ℹ حالة U تحتاج قاعدة معتمدة",IF($K4262="No result","ℹ بدون نتيجة (يُستبعد من التحصيل)","OK")))))))))))</f>
        <v/>
      </c>
      <c r="M4262" s="64" t="n">
        <f aca="false">IF($A4262="",0,IFERROR(MATCH($A4262,Classes!$A$6:$A$420,0),0))</f>
        <v>0</v>
      </c>
      <c r="N4262" s="64" t="n">
        <f aca="false">IF($H4262="",0,IFERROR(MATCH($H4262,GradeList,0),0))</f>
        <v>0</v>
      </c>
      <c r="O4262" s="64" t="n">
        <f aca="false">IF(OR($I4262="",$I4262="NR"),0,IFERROR(MATCH($I4262,GradeList,0),0))</f>
        <v>0</v>
      </c>
      <c r="P4262" s="64" t="n">
        <f aca="false">IF(AND($M4262&gt;0,ISNUMBER(MATCH($F4262,Lists!$A$2:$A$5,0)),ISNUMBER(MATCH($G4262,Lists!$B$2:$B$7,0)),OR($H4262="",$N4262&gt;0),OR($I4262="",$I4262="NR",$O4262&gt;0),IF(ISNUMBER($J4262),AND($J4262&gt;=0,$J4262=INT($J4262)),FALSE())),$J4262,0)</f>
        <v>0</v>
      </c>
      <c r="Q4262" s="64" t="n">
        <f aca="false">IF(AND($P4262&gt;0,$O4262&gt;0),$P4262,0)</f>
        <v>0</v>
      </c>
      <c r="R4262" s="64" t="n">
        <f aca="false">IF(AND($Q4262&gt;0,$O4262&gt;=AtRank),$Q4262,0)</f>
        <v>0</v>
      </c>
      <c r="S4262" s="64" t="n">
        <f aca="false">IF(AND($Q4262&gt;0,$O4262&gt;=AboveRank),$Q4262,0)</f>
        <v>0</v>
      </c>
      <c r="T4262" s="64" t="n">
        <f aca="false">IF($K4262="Less",$P4262,0)</f>
        <v>0</v>
      </c>
      <c r="U4262" s="64" t="n">
        <f aca="false">IF($K4262="Expected",$P4262,0)</f>
        <v>0</v>
      </c>
      <c r="V4262" s="64" t="n">
        <f aca="false">IF($K4262="Better",$P4262,0)</f>
        <v>0</v>
      </c>
      <c r="W4262" s="64" t="n">
        <f aca="false">IF($K4262="U – needs rule",$P4262,0)</f>
        <v>0</v>
      </c>
      <c r="X4262" s="64" t="n">
        <f aca="false">IF($K4262="No Start (attainment only)",$P4262,0)</f>
        <v>0</v>
      </c>
    </row>
    <row r="4263" customFormat="false" ht="15" hidden="false" customHeight="false" outlineLevel="0" collapsed="false">
      <c r="A4263" s="60"/>
      <c r="B4263" s="61" t="str">
        <f aca="false">IF($M4263=0,"",INDEX(Classes!$E$6:$E$420,$M4263))</f>
        <v/>
      </c>
      <c r="C4263" s="62" t="str">
        <f aca="false">IF($M4263=0,"",INDEX(Classes!$H$6:$H$420,$M4263))</f>
        <v/>
      </c>
      <c r="D4263" s="61" t="str">
        <f aca="false">IF($M4263=0,"",INDEX(Classes!$B$6:$B$420,$M4263))</f>
        <v/>
      </c>
      <c r="E4263" s="61" t="str">
        <f aca="false">IF($M4263=0,"",INDEX(Classes!$C$6:$C$420,$M4263))</f>
        <v/>
      </c>
      <c r="F4263" s="63"/>
      <c r="G4263" s="63"/>
      <c r="H4263" s="60"/>
      <c r="I4263" s="60"/>
      <c r="J4263" s="63"/>
      <c r="K4263" s="61" t="str">
        <f aca="false">IF($P4263=0,"",IF($F4263="Baseline","— Baseline",IF($O4263=0,"No result",IF($N4263=0,"No Start (attainment only)",IF(OR($N4263=1,$O4263=1),"U – needs rule",INDEX(MxBody,MATCH($I4263,MxCurr,0),MATCH($H4263,MxStart,0)))))))</f>
        <v/>
      </c>
      <c r="L4263" s="62" t="str">
        <f aca="false">IF(COUNTA($A4263,$F4263,$G4263,$H4263,$I4263,$J4263)=0,"",IF($M4263=0,"✖ كود الصف غير موجود",IF(ISNA(MATCH($F4263,Lists!$A$2:$A$5,0)),"✖ الفترة غير صحيحة",IF(ISNA(MATCH($G4263,Lists!$B$2:$B$7,0)),"✖ المجموعة غير صحيحة",IF(NOT(OR($H4263="",$N4263&gt;0)),"✖ Start غير صحيح",IF(NOT(OR($I4263="",$I4263="NR",$O4263&gt;0)),"✖ Current غير صحيح",IF(NOT(IF(ISNUMBER($J4263),AND($J4263&gt;=0,$J4263=INT($J4263)),FALSE())),"✖ العدد يجب أن يكون صحيحًا ≥ 0",IF(AND($F4263="Baseline",$H4263&lt;&gt;""),"⚠ Baseline: Start لا يدخل في التقدم",IF($K4263="No Start (attainment only)","ℹ تحصيل فقط (بدون Start)",IF($K4263="U – needs rule","ℹ حالة U تحتاج قاعدة معتمدة",IF($K4263="No result","ℹ بدون نتيجة (يُستبعد من التحصيل)","OK")))))))))))</f>
        <v/>
      </c>
      <c r="M4263" s="64" t="n">
        <f aca="false">IF($A4263="",0,IFERROR(MATCH($A4263,Classes!$A$6:$A$420,0),0))</f>
        <v>0</v>
      </c>
      <c r="N4263" s="64" t="n">
        <f aca="false">IF($H4263="",0,IFERROR(MATCH($H4263,GradeList,0),0))</f>
        <v>0</v>
      </c>
      <c r="O4263" s="64" t="n">
        <f aca="false">IF(OR($I4263="",$I4263="NR"),0,IFERROR(MATCH($I4263,GradeList,0),0))</f>
        <v>0</v>
      </c>
      <c r="P4263" s="64" t="n">
        <f aca="false">IF(AND($M4263&gt;0,ISNUMBER(MATCH($F4263,Lists!$A$2:$A$5,0)),ISNUMBER(MATCH($G4263,Lists!$B$2:$B$7,0)),OR($H4263="",$N4263&gt;0),OR($I4263="",$I4263="NR",$O4263&gt;0),IF(ISNUMBER($J4263),AND($J4263&gt;=0,$J4263=INT($J4263)),FALSE())),$J4263,0)</f>
        <v>0</v>
      </c>
      <c r="Q4263" s="64" t="n">
        <f aca="false">IF(AND($P4263&gt;0,$O4263&gt;0),$P4263,0)</f>
        <v>0</v>
      </c>
      <c r="R4263" s="64" t="n">
        <f aca="false">IF(AND($Q4263&gt;0,$O4263&gt;=AtRank),$Q4263,0)</f>
        <v>0</v>
      </c>
      <c r="S4263" s="64" t="n">
        <f aca="false">IF(AND($Q4263&gt;0,$O4263&gt;=AboveRank),$Q4263,0)</f>
        <v>0</v>
      </c>
      <c r="T4263" s="64" t="n">
        <f aca="false">IF($K4263="Less",$P4263,0)</f>
        <v>0</v>
      </c>
      <c r="U4263" s="64" t="n">
        <f aca="false">IF($K4263="Expected",$P4263,0)</f>
        <v>0</v>
      </c>
      <c r="V4263" s="64" t="n">
        <f aca="false">IF($K4263="Better",$P4263,0)</f>
        <v>0</v>
      </c>
      <c r="W4263" s="64" t="n">
        <f aca="false">IF($K4263="U – needs rule",$P4263,0)</f>
        <v>0</v>
      </c>
      <c r="X4263" s="64" t="n">
        <f aca="false">IF($K4263="No Start (attainment only)",$P4263,0)</f>
        <v>0</v>
      </c>
    </row>
    <row r="4264" customFormat="false" ht="15" hidden="false" customHeight="false" outlineLevel="0" collapsed="false">
      <c r="A4264" s="60"/>
      <c r="B4264" s="61" t="str">
        <f aca="false">IF($M4264=0,"",INDEX(Classes!$E$6:$E$420,$M4264))</f>
        <v/>
      </c>
      <c r="C4264" s="62" t="str">
        <f aca="false">IF($M4264=0,"",INDEX(Classes!$H$6:$H$420,$M4264))</f>
        <v/>
      </c>
      <c r="D4264" s="61" t="str">
        <f aca="false">IF($M4264=0,"",INDEX(Classes!$B$6:$B$420,$M4264))</f>
        <v/>
      </c>
      <c r="E4264" s="61" t="str">
        <f aca="false">IF($M4264=0,"",INDEX(Classes!$C$6:$C$420,$M4264))</f>
        <v/>
      </c>
      <c r="F4264" s="63"/>
      <c r="G4264" s="63"/>
      <c r="H4264" s="60"/>
      <c r="I4264" s="60"/>
      <c r="J4264" s="63"/>
      <c r="K4264" s="61" t="str">
        <f aca="false">IF($P4264=0,"",IF($F4264="Baseline","— Baseline",IF($O4264=0,"No result",IF($N4264=0,"No Start (attainment only)",IF(OR($N4264=1,$O4264=1),"U – needs rule",INDEX(MxBody,MATCH($I4264,MxCurr,0),MATCH($H4264,MxStart,0)))))))</f>
        <v/>
      </c>
      <c r="L4264" s="62" t="str">
        <f aca="false">IF(COUNTA($A4264,$F4264,$G4264,$H4264,$I4264,$J4264)=0,"",IF($M4264=0,"✖ كود الصف غير موجود",IF(ISNA(MATCH($F4264,Lists!$A$2:$A$5,0)),"✖ الفترة غير صحيحة",IF(ISNA(MATCH($G4264,Lists!$B$2:$B$7,0)),"✖ المجموعة غير صحيحة",IF(NOT(OR($H4264="",$N4264&gt;0)),"✖ Start غير صحيح",IF(NOT(OR($I4264="",$I4264="NR",$O4264&gt;0)),"✖ Current غير صحيح",IF(NOT(IF(ISNUMBER($J4264),AND($J4264&gt;=0,$J4264=INT($J4264)),FALSE())),"✖ العدد يجب أن يكون صحيحًا ≥ 0",IF(AND($F4264="Baseline",$H4264&lt;&gt;""),"⚠ Baseline: Start لا يدخل في التقدم",IF($K4264="No Start (attainment only)","ℹ تحصيل فقط (بدون Start)",IF($K4264="U – needs rule","ℹ حالة U تحتاج قاعدة معتمدة",IF($K4264="No result","ℹ بدون نتيجة (يُستبعد من التحصيل)","OK")))))))))))</f>
        <v/>
      </c>
      <c r="M4264" s="64" t="n">
        <f aca="false">IF($A4264="",0,IFERROR(MATCH($A4264,Classes!$A$6:$A$420,0),0))</f>
        <v>0</v>
      </c>
      <c r="N4264" s="64" t="n">
        <f aca="false">IF($H4264="",0,IFERROR(MATCH($H4264,GradeList,0),0))</f>
        <v>0</v>
      </c>
      <c r="O4264" s="64" t="n">
        <f aca="false">IF(OR($I4264="",$I4264="NR"),0,IFERROR(MATCH($I4264,GradeList,0),0))</f>
        <v>0</v>
      </c>
      <c r="P4264" s="64" t="n">
        <f aca="false">IF(AND($M4264&gt;0,ISNUMBER(MATCH($F4264,Lists!$A$2:$A$5,0)),ISNUMBER(MATCH($G4264,Lists!$B$2:$B$7,0)),OR($H4264="",$N4264&gt;0),OR($I4264="",$I4264="NR",$O4264&gt;0),IF(ISNUMBER($J4264),AND($J4264&gt;=0,$J4264=INT($J4264)),FALSE())),$J4264,0)</f>
        <v>0</v>
      </c>
      <c r="Q4264" s="64" t="n">
        <f aca="false">IF(AND($P4264&gt;0,$O4264&gt;0),$P4264,0)</f>
        <v>0</v>
      </c>
      <c r="R4264" s="64" t="n">
        <f aca="false">IF(AND($Q4264&gt;0,$O4264&gt;=AtRank),$Q4264,0)</f>
        <v>0</v>
      </c>
      <c r="S4264" s="64" t="n">
        <f aca="false">IF(AND($Q4264&gt;0,$O4264&gt;=AboveRank),$Q4264,0)</f>
        <v>0</v>
      </c>
      <c r="T4264" s="64" t="n">
        <f aca="false">IF($K4264="Less",$P4264,0)</f>
        <v>0</v>
      </c>
      <c r="U4264" s="64" t="n">
        <f aca="false">IF($K4264="Expected",$P4264,0)</f>
        <v>0</v>
      </c>
      <c r="V4264" s="64" t="n">
        <f aca="false">IF($K4264="Better",$P4264,0)</f>
        <v>0</v>
      </c>
      <c r="W4264" s="64" t="n">
        <f aca="false">IF($K4264="U – needs rule",$P4264,0)</f>
        <v>0</v>
      </c>
      <c r="X4264" s="64" t="n">
        <f aca="false">IF($K4264="No Start (attainment only)",$P4264,0)</f>
        <v>0</v>
      </c>
    </row>
    <row r="4265" customFormat="false" ht="15" hidden="false" customHeight="false" outlineLevel="0" collapsed="false">
      <c r="A4265" s="60"/>
      <c r="B4265" s="61" t="str">
        <f aca="false">IF($M4265=0,"",INDEX(Classes!$E$6:$E$420,$M4265))</f>
        <v/>
      </c>
      <c r="C4265" s="62" t="str">
        <f aca="false">IF($M4265=0,"",INDEX(Classes!$H$6:$H$420,$M4265))</f>
        <v/>
      </c>
      <c r="D4265" s="61" t="str">
        <f aca="false">IF($M4265=0,"",INDEX(Classes!$B$6:$B$420,$M4265))</f>
        <v/>
      </c>
      <c r="E4265" s="61" t="str">
        <f aca="false">IF($M4265=0,"",INDEX(Classes!$C$6:$C$420,$M4265))</f>
        <v/>
      </c>
      <c r="F4265" s="63"/>
      <c r="G4265" s="63"/>
      <c r="H4265" s="60"/>
      <c r="I4265" s="60"/>
      <c r="J4265" s="63"/>
      <c r="K4265" s="61" t="str">
        <f aca="false">IF($P4265=0,"",IF($F4265="Baseline","— Baseline",IF($O4265=0,"No result",IF($N4265=0,"No Start (attainment only)",IF(OR($N4265=1,$O4265=1),"U – needs rule",INDEX(MxBody,MATCH($I4265,MxCurr,0),MATCH($H4265,MxStart,0)))))))</f>
        <v/>
      </c>
      <c r="L4265" s="62" t="str">
        <f aca="false">IF(COUNTA($A4265,$F4265,$G4265,$H4265,$I4265,$J4265)=0,"",IF($M4265=0,"✖ كود الصف غير موجود",IF(ISNA(MATCH($F4265,Lists!$A$2:$A$5,0)),"✖ الفترة غير صحيحة",IF(ISNA(MATCH($G4265,Lists!$B$2:$B$7,0)),"✖ المجموعة غير صحيحة",IF(NOT(OR($H4265="",$N4265&gt;0)),"✖ Start غير صحيح",IF(NOT(OR($I4265="",$I4265="NR",$O4265&gt;0)),"✖ Current غير صحيح",IF(NOT(IF(ISNUMBER($J4265),AND($J4265&gt;=0,$J4265=INT($J4265)),FALSE())),"✖ العدد يجب أن يكون صحيحًا ≥ 0",IF(AND($F4265="Baseline",$H4265&lt;&gt;""),"⚠ Baseline: Start لا يدخل في التقدم",IF($K4265="No Start (attainment only)","ℹ تحصيل فقط (بدون Start)",IF($K4265="U – needs rule","ℹ حالة U تحتاج قاعدة معتمدة",IF($K4265="No result","ℹ بدون نتيجة (يُستبعد من التحصيل)","OK")))))))))))</f>
        <v/>
      </c>
      <c r="M4265" s="64" t="n">
        <f aca="false">IF($A4265="",0,IFERROR(MATCH($A4265,Classes!$A$6:$A$420,0),0))</f>
        <v>0</v>
      </c>
      <c r="N4265" s="64" t="n">
        <f aca="false">IF($H4265="",0,IFERROR(MATCH($H4265,GradeList,0),0))</f>
        <v>0</v>
      </c>
      <c r="O4265" s="64" t="n">
        <f aca="false">IF(OR($I4265="",$I4265="NR"),0,IFERROR(MATCH($I4265,GradeList,0),0))</f>
        <v>0</v>
      </c>
      <c r="P4265" s="64" t="n">
        <f aca="false">IF(AND($M4265&gt;0,ISNUMBER(MATCH($F4265,Lists!$A$2:$A$5,0)),ISNUMBER(MATCH($G4265,Lists!$B$2:$B$7,0)),OR($H4265="",$N4265&gt;0),OR($I4265="",$I4265="NR",$O4265&gt;0),IF(ISNUMBER($J4265),AND($J4265&gt;=0,$J4265=INT($J4265)),FALSE())),$J4265,0)</f>
        <v>0</v>
      </c>
      <c r="Q4265" s="64" t="n">
        <f aca="false">IF(AND($P4265&gt;0,$O4265&gt;0),$P4265,0)</f>
        <v>0</v>
      </c>
      <c r="R4265" s="64" t="n">
        <f aca="false">IF(AND($Q4265&gt;0,$O4265&gt;=AtRank),$Q4265,0)</f>
        <v>0</v>
      </c>
      <c r="S4265" s="64" t="n">
        <f aca="false">IF(AND($Q4265&gt;0,$O4265&gt;=AboveRank),$Q4265,0)</f>
        <v>0</v>
      </c>
      <c r="T4265" s="64" t="n">
        <f aca="false">IF($K4265="Less",$P4265,0)</f>
        <v>0</v>
      </c>
      <c r="U4265" s="64" t="n">
        <f aca="false">IF($K4265="Expected",$P4265,0)</f>
        <v>0</v>
      </c>
      <c r="V4265" s="64" t="n">
        <f aca="false">IF($K4265="Better",$P4265,0)</f>
        <v>0</v>
      </c>
      <c r="W4265" s="64" t="n">
        <f aca="false">IF($K4265="U – needs rule",$P4265,0)</f>
        <v>0</v>
      </c>
      <c r="X4265" s="64" t="n">
        <f aca="false">IF($K4265="No Start (attainment only)",$P4265,0)</f>
        <v>0</v>
      </c>
    </row>
    <row r="4266" customFormat="false" ht="15" hidden="false" customHeight="false" outlineLevel="0" collapsed="false">
      <c r="A4266" s="60"/>
      <c r="B4266" s="61" t="str">
        <f aca="false">IF($M4266=0,"",INDEX(Classes!$E$6:$E$420,$M4266))</f>
        <v/>
      </c>
      <c r="C4266" s="62" t="str">
        <f aca="false">IF($M4266=0,"",INDEX(Classes!$H$6:$H$420,$M4266))</f>
        <v/>
      </c>
      <c r="D4266" s="61" t="str">
        <f aca="false">IF($M4266=0,"",INDEX(Classes!$B$6:$B$420,$M4266))</f>
        <v/>
      </c>
      <c r="E4266" s="61" t="str">
        <f aca="false">IF($M4266=0,"",INDEX(Classes!$C$6:$C$420,$M4266))</f>
        <v/>
      </c>
      <c r="F4266" s="63"/>
      <c r="G4266" s="63"/>
      <c r="H4266" s="60"/>
      <c r="I4266" s="60"/>
      <c r="J4266" s="63"/>
      <c r="K4266" s="61" t="str">
        <f aca="false">IF($P4266=0,"",IF($F4266="Baseline","— Baseline",IF($O4266=0,"No result",IF($N4266=0,"No Start (attainment only)",IF(OR($N4266=1,$O4266=1),"U – needs rule",INDEX(MxBody,MATCH($I4266,MxCurr,0),MATCH($H4266,MxStart,0)))))))</f>
        <v/>
      </c>
      <c r="L4266" s="62" t="str">
        <f aca="false">IF(COUNTA($A4266,$F4266,$G4266,$H4266,$I4266,$J4266)=0,"",IF($M4266=0,"✖ كود الصف غير موجود",IF(ISNA(MATCH($F4266,Lists!$A$2:$A$5,0)),"✖ الفترة غير صحيحة",IF(ISNA(MATCH($G4266,Lists!$B$2:$B$7,0)),"✖ المجموعة غير صحيحة",IF(NOT(OR($H4266="",$N4266&gt;0)),"✖ Start غير صحيح",IF(NOT(OR($I4266="",$I4266="NR",$O4266&gt;0)),"✖ Current غير صحيح",IF(NOT(IF(ISNUMBER($J4266),AND($J4266&gt;=0,$J4266=INT($J4266)),FALSE())),"✖ العدد يجب أن يكون صحيحًا ≥ 0",IF(AND($F4266="Baseline",$H4266&lt;&gt;""),"⚠ Baseline: Start لا يدخل في التقدم",IF($K4266="No Start (attainment only)","ℹ تحصيل فقط (بدون Start)",IF($K4266="U – needs rule","ℹ حالة U تحتاج قاعدة معتمدة",IF($K4266="No result","ℹ بدون نتيجة (يُستبعد من التحصيل)","OK")))))))))))</f>
        <v/>
      </c>
      <c r="M4266" s="64" t="n">
        <f aca="false">IF($A4266="",0,IFERROR(MATCH($A4266,Classes!$A$6:$A$420,0),0))</f>
        <v>0</v>
      </c>
      <c r="N4266" s="64" t="n">
        <f aca="false">IF($H4266="",0,IFERROR(MATCH($H4266,GradeList,0),0))</f>
        <v>0</v>
      </c>
      <c r="O4266" s="64" t="n">
        <f aca="false">IF(OR($I4266="",$I4266="NR"),0,IFERROR(MATCH($I4266,GradeList,0),0))</f>
        <v>0</v>
      </c>
      <c r="P4266" s="64" t="n">
        <f aca="false">IF(AND($M4266&gt;0,ISNUMBER(MATCH($F4266,Lists!$A$2:$A$5,0)),ISNUMBER(MATCH($G4266,Lists!$B$2:$B$7,0)),OR($H4266="",$N4266&gt;0),OR($I4266="",$I4266="NR",$O4266&gt;0),IF(ISNUMBER($J4266),AND($J4266&gt;=0,$J4266=INT($J4266)),FALSE())),$J4266,0)</f>
        <v>0</v>
      </c>
      <c r="Q4266" s="64" t="n">
        <f aca="false">IF(AND($P4266&gt;0,$O4266&gt;0),$P4266,0)</f>
        <v>0</v>
      </c>
      <c r="R4266" s="64" t="n">
        <f aca="false">IF(AND($Q4266&gt;0,$O4266&gt;=AtRank),$Q4266,0)</f>
        <v>0</v>
      </c>
      <c r="S4266" s="64" t="n">
        <f aca="false">IF(AND($Q4266&gt;0,$O4266&gt;=AboveRank),$Q4266,0)</f>
        <v>0</v>
      </c>
      <c r="T4266" s="64" t="n">
        <f aca="false">IF($K4266="Less",$P4266,0)</f>
        <v>0</v>
      </c>
      <c r="U4266" s="64" t="n">
        <f aca="false">IF($K4266="Expected",$P4266,0)</f>
        <v>0</v>
      </c>
      <c r="V4266" s="64" t="n">
        <f aca="false">IF($K4266="Better",$P4266,0)</f>
        <v>0</v>
      </c>
      <c r="W4266" s="64" t="n">
        <f aca="false">IF($K4266="U – needs rule",$P4266,0)</f>
        <v>0</v>
      </c>
      <c r="X4266" s="64" t="n">
        <f aca="false">IF($K4266="No Start (attainment only)",$P4266,0)</f>
        <v>0</v>
      </c>
    </row>
    <row r="4267" customFormat="false" ht="15" hidden="false" customHeight="false" outlineLevel="0" collapsed="false">
      <c r="A4267" s="60"/>
      <c r="B4267" s="61" t="str">
        <f aca="false">IF($M4267=0,"",INDEX(Classes!$E$6:$E$420,$M4267))</f>
        <v/>
      </c>
      <c r="C4267" s="62" t="str">
        <f aca="false">IF($M4267=0,"",INDEX(Classes!$H$6:$H$420,$M4267))</f>
        <v/>
      </c>
      <c r="D4267" s="61" t="str">
        <f aca="false">IF($M4267=0,"",INDEX(Classes!$B$6:$B$420,$M4267))</f>
        <v/>
      </c>
      <c r="E4267" s="61" t="str">
        <f aca="false">IF($M4267=0,"",INDEX(Classes!$C$6:$C$420,$M4267))</f>
        <v/>
      </c>
      <c r="F4267" s="63"/>
      <c r="G4267" s="63"/>
      <c r="H4267" s="60"/>
      <c r="I4267" s="60"/>
      <c r="J4267" s="63"/>
      <c r="K4267" s="61" t="str">
        <f aca="false">IF($P4267=0,"",IF($F4267="Baseline","— Baseline",IF($O4267=0,"No result",IF($N4267=0,"No Start (attainment only)",IF(OR($N4267=1,$O4267=1),"U – needs rule",INDEX(MxBody,MATCH($I4267,MxCurr,0),MATCH($H4267,MxStart,0)))))))</f>
        <v/>
      </c>
      <c r="L4267" s="62" t="str">
        <f aca="false">IF(COUNTA($A4267,$F4267,$G4267,$H4267,$I4267,$J4267)=0,"",IF($M4267=0,"✖ كود الصف غير موجود",IF(ISNA(MATCH($F4267,Lists!$A$2:$A$5,0)),"✖ الفترة غير صحيحة",IF(ISNA(MATCH($G4267,Lists!$B$2:$B$7,0)),"✖ المجموعة غير صحيحة",IF(NOT(OR($H4267="",$N4267&gt;0)),"✖ Start غير صحيح",IF(NOT(OR($I4267="",$I4267="NR",$O4267&gt;0)),"✖ Current غير صحيح",IF(NOT(IF(ISNUMBER($J4267),AND($J4267&gt;=0,$J4267=INT($J4267)),FALSE())),"✖ العدد يجب أن يكون صحيحًا ≥ 0",IF(AND($F4267="Baseline",$H4267&lt;&gt;""),"⚠ Baseline: Start لا يدخل في التقدم",IF($K4267="No Start (attainment only)","ℹ تحصيل فقط (بدون Start)",IF($K4267="U – needs rule","ℹ حالة U تحتاج قاعدة معتمدة",IF($K4267="No result","ℹ بدون نتيجة (يُستبعد من التحصيل)","OK")))))))))))</f>
        <v/>
      </c>
      <c r="M4267" s="64" t="n">
        <f aca="false">IF($A4267="",0,IFERROR(MATCH($A4267,Classes!$A$6:$A$420,0),0))</f>
        <v>0</v>
      </c>
      <c r="N4267" s="64" t="n">
        <f aca="false">IF($H4267="",0,IFERROR(MATCH($H4267,GradeList,0),0))</f>
        <v>0</v>
      </c>
      <c r="O4267" s="64" t="n">
        <f aca="false">IF(OR($I4267="",$I4267="NR"),0,IFERROR(MATCH($I4267,GradeList,0),0))</f>
        <v>0</v>
      </c>
      <c r="P4267" s="64" t="n">
        <f aca="false">IF(AND($M4267&gt;0,ISNUMBER(MATCH($F4267,Lists!$A$2:$A$5,0)),ISNUMBER(MATCH($G4267,Lists!$B$2:$B$7,0)),OR($H4267="",$N4267&gt;0),OR($I4267="",$I4267="NR",$O4267&gt;0),IF(ISNUMBER($J4267),AND($J4267&gt;=0,$J4267=INT($J4267)),FALSE())),$J4267,0)</f>
        <v>0</v>
      </c>
      <c r="Q4267" s="64" t="n">
        <f aca="false">IF(AND($P4267&gt;0,$O4267&gt;0),$P4267,0)</f>
        <v>0</v>
      </c>
      <c r="R4267" s="64" t="n">
        <f aca="false">IF(AND($Q4267&gt;0,$O4267&gt;=AtRank),$Q4267,0)</f>
        <v>0</v>
      </c>
      <c r="S4267" s="64" t="n">
        <f aca="false">IF(AND($Q4267&gt;0,$O4267&gt;=AboveRank),$Q4267,0)</f>
        <v>0</v>
      </c>
      <c r="T4267" s="64" t="n">
        <f aca="false">IF($K4267="Less",$P4267,0)</f>
        <v>0</v>
      </c>
      <c r="U4267" s="64" t="n">
        <f aca="false">IF($K4267="Expected",$P4267,0)</f>
        <v>0</v>
      </c>
      <c r="V4267" s="64" t="n">
        <f aca="false">IF($K4267="Better",$P4267,0)</f>
        <v>0</v>
      </c>
      <c r="W4267" s="64" t="n">
        <f aca="false">IF($K4267="U – needs rule",$P4267,0)</f>
        <v>0</v>
      </c>
      <c r="X4267" s="64" t="n">
        <f aca="false">IF($K4267="No Start (attainment only)",$P4267,0)</f>
        <v>0</v>
      </c>
    </row>
    <row r="4268" customFormat="false" ht="15" hidden="false" customHeight="false" outlineLevel="0" collapsed="false">
      <c r="A4268" s="60"/>
      <c r="B4268" s="61" t="str">
        <f aca="false">IF($M4268=0,"",INDEX(Classes!$E$6:$E$420,$M4268))</f>
        <v/>
      </c>
      <c r="C4268" s="62" t="str">
        <f aca="false">IF($M4268=0,"",INDEX(Classes!$H$6:$H$420,$M4268))</f>
        <v/>
      </c>
      <c r="D4268" s="61" t="str">
        <f aca="false">IF($M4268=0,"",INDEX(Classes!$B$6:$B$420,$M4268))</f>
        <v/>
      </c>
      <c r="E4268" s="61" t="str">
        <f aca="false">IF($M4268=0,"",INDEX(Classes!$C$6:$C$420,$M4268))</f>
        <v/>
      </c>
      <c r="F4268" s="63"/>
      <c r="G4268" s="63"/>
      <c r="H4268" s="60"/>
      <c r="I4268" s="60"/>
      <c r="J4268" s="63"/>
      <c r="K4268" s="61" t="str">
        <f aca="false">IF($P4268=0,"",IF($F4268="Baseline","— Baseline",IF($O4268=0,"No result",IF($N4268=0,"No Start (attainment only)",IF(OR($N4268=1,$O4268=1),"U – needs rule",INDEX(MxBody,MATCH($I4268,MxCurr,0),MATCH($H4268,MxStart,0)))))))</f>
        <v/>
      </c>
      <c r="L4268" s="62" t="str">
        <f aca="false">IF(COUNTA($A4268,$F4268,$G4268,$H4268,$I4268,$J4268)=0,"",IF($M4268=0,"✖ كود الصف غير موجود",IF(ISNA(MATCH($F4268,Lists!$A$2:$A$5,0)),"✖ الفترة غير صحيحة",IF(ISNA(MATCH($G4268,Lists!$B$2:$B$7,0)),"✖ المجموعة غير صحيحة",IF(NOT(OR($H4268="",$N4268&gt;0)),"✖ Start غير صحيح",IF(NOT(OR($I4268="",$I4268="NR",$O4268&gt;0)),"✖ Current غير صحيح",IF(NOT(IF(ISNUMBER($J4268),AND($J4268&gt;=0,$J4268=INT($J4268)),FALSE())),"✖ العدد يجب أن يكون صحيحًا ≥ 0",IF(AND($F4268="Baseline",$H4268&lt;&gt;""),"⚠ Baseline: Start لا يدخل في التقدم",IF($K4268="No Start (attainment only)","ℹ تحصيل فقط (بدون Start)",IF($K4268="U – needs rule","ℹ حالة U تحتاج قاعدة معتمدة",IF($K4268="No result","ℹ بدون نتيجة (يُستبعد من التحصيل)","OK")))))))))))</f>
        <v/>
      </c>
      <c r="M4268" s="64" t="n">
        <f aca="false">IF($A4268="",0,IFERROR(MATCH($A4268,Classes!$A$6:$A$420,0),0))</f>
        <v>0</v>
      </c>
      <c r="N4268" s="64" t="n">
        <f aca="false">IF($H4268="",0,IFERROR(MATCH($H4268,GradeList,0),0))</f>
        <v>0</v>
      </c>
      <c r="O4268" s="64" t="n">
        <f aca="false">IF(OR($I4268="",$I4268="NR"),0,IFERROR(MATCH($I4268,GradeList,0),0))</f>
        <v>0</v>
      </c>
      <c r="P4268" s="64" t="n">
        <f aca="false">IF(AND($M4268&gt;0,ISNUMBER(MATCH($F4268,Lists!$A$2:$A$5,0)),ISNUMBER(MATCH($G4268,Lists!$B$2:$B$7,0)),OR($H4268="",$N4268&gt;0),OR($I4268="",$I4268="NR",$O4268&gt;0),IF(ISNUMBER($J4268),AND($J4268&gt;=0,$J4268=INT($J4268)),FALSE())),$J4268,0)</f>
        <v>0</v>
      </c>
      <c r="Q4268" s="64" t="n">
        <f aca="false">IF(AND($P4268&gt;0,$O4268&gt;0),$P4268,0)</f>
        <v>0</v>
      </c>
      <c r="R4268" s="64" t="n">
        <f aca="false">IF(AND($Q4268&gt;0,$O4268&gt;=AtRank),$Q4268,0)</f>
        <v>0</v>
      </c>
      <c r="S4268" s="64" t="n">
        <f aca="false">IF(AND($Q4268&gt;0,$O4268&gt;=AboveRank),$Q4268,0)</f>
        <v>0</v>
      </c>
      <c r="T4268" s="64" t="n">
        <f aca="false">IF($K4268="Less",$P4268,0)</f>
        <v>0</v>
      </c>
      <c r="U4268" s="64" t="n">
        <f aca="false">IF($K4268="Expected",$P4268,0)</f>
        <v>0</v>
      </c>
      <c r="V4268" s="64" t="n">
        <f aca="false">IF($K4268="Better",$P4268,0)</f>
        <v>0</v>
      </c>
      <c r="W4268" s="64" t="n">
        <f aca="false">IF($K4268="U – needs rule",$P4268,0)</f>
        <v>0</v>
      </c>
      <c r="X4268" s="64" t="n">
        <f aca="false">IF($K4268="No Start (attainment only)",$P4268,0)</f>
        <v>0</v>
      </c>
    </row>
    <row r="4269" customFormat="false" ht="15" hidden="false" customHeight="false" outlineLevel="0" collapsed="false">
      <c r="A4269" s="60"/>
      <c r="B4269" s="61" t="str">
        <f aca="false">IF($M4269=0,"",INDEX(Classes!$E$6:$E$420,$M4269))</f>
        <v/>
      </c>
      <c r="C4269" s="62" t="str">
        <f aca="false">IF($M4269=0,"",INDEX(Classes!$H$6:$H$420,$M4269))</f>
        <v/>
      </c>
      <c r="D4269" s="61" t="str">
        <f aca="false">IF($M4269=0,"",INDEX(Classes!$B$6:$B$420,$M4269))</f>
        <v/>
      </c>
      <c r="E4269" s="61" t="str">
        <f aca="false">IF($M4269=0,"",INDEX(Classes!$C$6:$C$420,$M4269))</f>
        <v/>
      </c>
      <c r="F4269" s="63"/>
      <c r="G4269" s="63"/>
      <c r="H4269" s="60"/>
      <c r="I4269" s="60"/>
      <c r="J4269" s="63"/>
      <c r="K4269" s="61" t="str">
        <f aca="false">IF($P4269=0,"",IF($F4269="Baseline","— Baseline",IF($O4269=0,"No result",IF($N4269=0,"No Start (attainment only)",IF(OR($N4269=1,$O4269=1),"U – needs rule",INDEX(MxBody,MATCH($I4269,MxCurr,0),MATCH($H4269,MxStart,0)))))))</f>
        <v/>
      </c>
      <c r="L4269" s="62" t="str">
        <f aca="false">IF(COUNTA($A4269,$F4269,$G4269,$H4269,$I4269,$J4269)=0,"",IF($M4269=0,"✖ كود الصف غير موجود",IF(ISNA(MATCH($F4269,Lists!$A$2:$A$5,0)),"✖ الفترة غير صحيحة",IF(ISNA(MATCH($G4269,Lists!$B$2:$B$7,0)),"✖ المجموعة غير صحيحة",IF(NOT(OR($H4269="",$N4269&gt;0)),"✖ Start غير صحيح",IF(NOT(OR($I4269="",$I4269="NR",$O4269&gt;0)),"✖ Current غير صحيح",IF(NOT(IF(ISNUMBER($J4269),AND($J4269&gt;=0,$J4269=INT($J4269)),FALSE())),"✖ العدد يجب أن يكون صحيحًا ≥ 0",IF(AND($F4269="Baseline",$H4269&lt;&gt;""),"⚠ Baseline: Start لا يدخل في التقدم",IF($K4269="No Start (attainment only)","ℹ تحصيل فقط (بدون Start)",IF($K4269="U – needs rule","ℹ حالة U تحتاج قاعدة معتمدة",IF($K4269="No result","ℹ بدون نتيجة (يُستبعد من التحصيل)","OK")))))))))))</f>
        <v/>
      </c>
      <c r="M4269" s="64" t="n">
        <f aca="false">IF($A4269="",0,IFERROR(MATCH($A4269,Classes!$A$6:$A$420,0),0))</f>
        <v>0</v>
      </c>
      <c r="N4269" s="64" t="n">
        <f aca="false">IF($H4269="",0,IFERROR(MATCH($H4269,GradeList,0),0))</f>
        <v>0</v>
      </c>
      <c r="O4269" s="64" t="n">
        <f aca="false">IF(OR($I4269="",$I4269="NR"),0,IFERROR(MATCH($I4269,GradeList,0),0))</f>
        <v>0</v>
      </c>
      <c r="P4269" s="64" t="n">
        <f aca="false">IF(AND($M4269&gt;0,ISNUMBER(MATCH($F4269,Lists!$A$2:$A$5,0)),ISNUMBER(MATCH($G4269,Lists!$B$2:$B$7,0)),OR($H4269="",$N4269&gt;0),OR($I4269="",$I4269="NR",$O4269&gt;0),IF(ISNUMBER($J4269),AND($J4269&gt;=0,$J4269=INT($J4269)),FALSE())),$J4269,0)</f>
        <v>0</v>
      </c>
      <c r="Q4269" s="64" t="n">
        <f aca="false">IF(AND($P4269&gt;0,$O4269&gt;0),$P4269,0)</f>
        <v>0</v>
      </c>
      <c r="R4269" s="64" t="n">
        <f aca="false">IF(AND($Q4269&gt;0,$O4269&gt;=AtRank),$Q4269,0)</f>
        <v>0</v>
      </c>
      <c r="S4269" s="64" t="n">
        <f aca="false">IF(AND($Q4269&gt;0,$O4269&gt;=AboveRank),$Q4269,0)</f>
        <v>0</v>
      </c>
      <c r="T4269" s="64" t="n">
        <f aca="false">IF($K4269="Less",$P4269,0)</f>
        <v>0</v>
      </c>
      <c r="U4269" s="64" t="n">
        <f aca="false">IF($K4269="Expected",$P4269,0)</f>
        <v>0</v>
      </c>
      <c r="V4269" s="64" t="n">
        <f aca="false">IF($K4269="Better",$P4269,0)</f>
        <v>0</v>
      </c>
      <c r="W4269" s="64" t="n">
        <f aca="false">IF($K4269="U – needs rule",$P4269,0)</f>
        <v>0</v>
      </c>
      <c r="X4269" s="64" t="n">
        <f aca="false">IF($K4269="No Start (attainment only)",$P4269,0)</f>
        <v>0</v>
      </c>
    </row>
    <row r="4270" customFormat="false" ht="15" hidden="false" customHeight="false" outlineLevel="0" collapsed="false">
      <c r="A4270" s="60"/>
      <c r="B4270" s="61" t="str">
        <f aca="false">IF($M4270=0,"",INDEX(Classes!$E$6:$E$420,$M4270))</f>
        <v/>
      </c>
      <c r="C4270" s="62" t="str">
        <f aca="false">IF($M4270=0,"",INDEX(Classes!$H$6:$H$420,$M4270))</f>
        <v/>
      </c>
      <c r="D4270" s="61" t="str">
        <f aca="false">IF($M4270=0,"",INDEX(Classes!$B$6:$B$420,$M4270))</f>
        <v/>
      </c>
      <c r="E4270" s="61" t="str">
        <f aca="false">IF($M4270=0,"",INDEX(Classes!$C$6:$C$420,$M4270))</f>
        <v/>
      </c>
      <c r="F4270" s="63"/>
      <c r="G4270" s="63"/>
      <c r="H4270" s="60"/>
      <c r="I4270" s="60"/>
      <c r="J4270" s="63"/>
      <c r="K4270" s="61" t="str">
        <f aca="false">IF($P4270=0,"",IF($F4270="Baseline","— Baseline",IF($O4270=0,"No result",IF($N4270=0,"No Start (attainment only)",IF(OR($N4270=1,$O4270=1),"U – needs rule",INDEX(MxBody,MATCH($I4270,MxCurr,0),MATCH($H4270,MxStart,0)))))))</f>
        <v/>
      </c>
      <c r="L4270" s="62" t="str">
        <f aca="false">IF(COUNTA($A4270,$F4270,$G4270,$H4270,$I4270,$J4270)=0,"",IF($M4270=0,"✖ كود الصف غير موجود",IF(ISNA(MATCH($F4270,Lists!$A$2:$A$5,0)),"✖ الفترة غير صحيحة",IF(ISNA(MATCH($G4270,Lists!$B$2:$B$7,0)),"✖ المجموعة غير صحيحة",IF(NOT(OR($H4270="",$N4270&gt;0)),"✖ Start غير صحيح",IF(NOT(OR($I4270="",$I4270="NR",$O4270&gt;0)),"✖ Current غير صحيح",IF(NOT(IF(ISNUMBER($J4270),AND($J4270&gt;=0,$J4270=INT($J4270)),FALSE())),"✖ العدد يجب أن يكون صحيحًا ≥ 0",IF(AND($F4270="Baseline",$H4270&lt;&gt;""),"⚠ Baseline: Start لا يدخل في التقدم",IF($K4270="No Start (attainment only)","ℹ تحصيل فقط (بدون Start)",IF($K4270="U – needs rule","ℹ حالة U تحتاج قاعدة معتمدة",IF($K4270="No result","ℹ بدون نتيجة (يُستبعد من التحصيل)","OK")))))))))))</f>
        <v/>
      </c>
      <c r="M4270" s="64" t="n">
        <f aca="false">IF($A4270="",0,IFERROR(MATCH($A4270,Classes!$A$6:$A$420,0),0))</f>
        <v>0</v>
      </c>
      <c r="N4270" s="64" t="n">
        <f aca="false">IF($H4270="",0,IFERROR(MATCH($H4270,GradeList,0),0))</f>
        <v>0</v>
      </c>
      <c r="O4270" s="64" t="n">
        <f aca="false">IF(OR($I4270="",$I4270="NR"),0,IFERROR(MATCH($I4270,GradeList,0),0))</f>
        <v>0</v>
      </c>
      <c r="P4270" s="64" t="n">
        <f aca="false">IF(AND($M4270&gt;0,ISNUMBER(MATCH($F4270,Lists!$A$2:$A$5,0)),ISNUMBER(MATCH($G4270,Lists!$B$2:$B$7,0)),OR($H4270="",$N4270&gt;0),OR($I4270="",$I4270="NR",$O4270&gt;0),IF(ISNUMBER($J4270),AND($J4270&gt;=0,$J4270=INT($J4270)),FALSE())),$J4270,0)</f>
        <v>0</v>
      </c>
      <c r="Q4270" s="64" t="n">
        <f aca="false">IF(AND($P4270&gt;0,$O4270&gt;0),$P4270,0)</f>
        <v>0</v>
      </c>
      <c r="R4270" s="64" t="n">
        <f aca="false">IF(AND($Q4270&gt;0,$O4270&gt;=AtRank),$Q4270,0)</f>
        <v>0</v>
      </c>
      <c r="S4270" s="64" t="n">
        <f aca="false">IF(AND($Q4270&gt;0,$O4270&gt;=AboveRank),$Q4270,0)</f>
        <v>0</v>
      </c>
      <c r="T4270" s="64" t="n">
        <f aca="false">IF($K4270="Less",$P4270,0)</f>
        <v>0</v>
      </c>
      <c r="U4270" s="64" t="n">
        <f aca="false">IF($K4270="Expected",$P4270,0)</f>
        <v>0</v>
      </c>
      <c r="V4270" s="64" t="n">
        <f aca="false">IF($K4270="Better",$P4270,0)</f>
        <v>0</v>
      </c>
      <c r="W4270" s="64" t="n">
        <f aca="false">IF($K4270="U – needs rule",$P4270,0)</f>
        <v>0</v>
      </c>
      <c r="X4270" s="64" t="n">
        <f aca="false">IF($K4270="No Start (attainment only)",$P4270,0)</f>
        <v>0</v>
      </c>
    </row>
    <row r="4271" customFormat="false" ht="15" hidden="false" customHeight="false" outlineLevel="0" collapsed="false">
      <c r="A4271" s="60"/>
      <c r="B4271" s="61" t="str">
        <f aca="false">IF($M4271=0,"",INDEX(Classes!$E$6:$E$420,$M4271))</f>
        <v/>
      </c>
      <c r="C4271" s="62" t="str">
        <f aca="false">IF($M4271=0,"",INDEX(Classes!$H$6:$H$420,$M4271))</f>
        <v/>
      </c>
      <c r="D4271" s="61" t="str">
        <f aca="false">IF($M4271=0,"",INDEX(Classes!$B$6:$B$420,$M4271))</f>
        <v/>
      </c>
      <c r="E4271" s="61" t="str">
        <f aca="false">IF($M4271=0,"",INDEX(Classes!$C$6:$C$420,$M4271))</f>
        <v/>
      </c>
      <c r="F4271" s="63"/>
      <c r="G4271" s="63"/>
      <c r="H4271" s="60"/>
      <c r="I4271" s="60"/>
      <c r="J4271" s="63"/>
      <c r="K4271" s="61" t="str">
        <f aca="false">IF($P4271=0,"",IF($F4271="Baseline","— Baseline",IF($O4271=0,"No result",IF($N4271=0,"No Start (attainment only)",IF(OR($N4271=1,$O4271=1),"U – needs rule",INDEX(MxBody,MATCH($I4271,MxCurr,0),MATCH($H4271,MxStart,0)))))))</f>
        <v/>
      </c>
      <c r="L4271" s="62" t="str">
        <f aca="false">IF(COUNTA($A4271,$F4271,$G4271,$H4271,$I4271,$J4271)=0,"",IF($M4271=0,"✖ كود الصف غير موجود",IF(ISNA(MATCH($F4271,Lists!$A$2:$A$5,0)),"✖ الفترة غير صحيحة",IF(ISNA(MATCH($G4271,Lists!$B$2:$B$7,0)),"✖ المجموعة غير صحيحة",IF(NOT(OR($H4271="",$N4271&gt;0)),"✖ Start غير صحيح",IF(NOT(OR($I4271="",$I4271="NR",$O4271&gt;0)),"✖ Current غير صحيح",IF(NOT(IF(ISNUMBER($J4271),AND($J4271&gt;=0,$J4271=INT($J4271)),FALSE())),"✖ العدد يجب أن يكون صحيحًا ≥ 0",IF(AND($F4271="Baseline",$H4271&lt;&gt;""),"⚠ Baseline: Start لا يدخل في التقدم",IF($K4271="No Start (attainment only)","ℹ تحصيل فقط (بدون Start)",IF($K4271="U – needs rule","ℹ حالة U تحتاج قاعدة معتمدة",IF($K4271="No result","ℹ بدون نتيجة (يُستبعد من التحصيل)","OK")))))))))))</f>
        <v/>
      </c>
      <c r="M4271" s="64" t="n">
        <f aca="false">IF($A4271="",0,IFERROR(MATCH($A4271,Classes!$A$6:$A$420,0),0))</f>
        <v>0</v>
      </c>
      <c r="N4271" s="64" t="n">
        <f aca="false">IF($H4271="",0,IFERROR(MATCH($H4271,GradeList,0),0))</f>
        <v>0</v>
      </c>
      <c r="O4271" s="64" t="n">
        <f aca="false">IF(OR($I4271="",$I4271="NR"),0,IFERROR(MATCH($I4271,GradeList,0),0))</f>
        <v>0</v>
      </c>
      <c r="P4271" s="64" t="n">
        <f aca="false">IF(AND($M4271&gt;0,ISNUMBER(MATCH($F4271,Lists!$A$2:$A$5,0)),ISNUMBER(MATCH($G4271,Lists!$B$2:$B$7,0)),OR($H4271="",$N4271&gt;0),OR($I4271="",$I4271="NR",$O4271&gt;0),IF(ISNUMBER($J4271),AND($J4271&gt;=0,$J4271=INT($J4271)),FALSE())),$J4271,0)</f>
        <v>0</v>
      </c>
      <c r="Q4271" s="64" t="n">
        <f aca="false">IF(AND($P4271&gt;0,$O4271&gt;0),$P4271,0)</f>
        <v>0</v>
      </c>
      <c r="R4271" s="64" t="n">
        <f aca="false">IF(AND($Q4271&gt;0,$O4271&gt;=AtRank),$Q4271,0)</f>
        <v>0</v>
      </c>
      <c r="S4271" s="64" t="n">
        <f aca="false">IF(AND($Q4271&gt;0,$O4271&gt;=AboveRank),$Q4271,0)</f>
        <v>0</v>
      </c>
      <c r="T4271" s="64" t="n">
        <f aca="false">IF($K4271="Less",$P4271,0)</f>
        <v>0</v>
      </c>
      <c r="U4271" s="64" t="n">
        <f aca="false">IF($K4271="Expected",$P4271,0)</f>
        <v>0</v>
      </c>
      <c r="V4271" s="64" t="n">
        <f aca="false">IF($K4271="Better",$P4271,0)</f>
        <v>0</v>
      </c>
      <c r="W4271" s="64" t="n">
        <f aca="false">IF($K4271="U – needs rule",$P4271,0)</f>
        <v>0</v>
      </c>
      <c r="X4271" s="64" t="n">
        <f aca="false">IF($K4271="No Start (attainment only)",$P4271,0)</f>
        <v>0</v>
      </c>
    </row>
    <row r="4272" customFormat="false" ht="15" hidden="false" customHeight="false" outlineLevel="0" collapsed="false">
      <c r="A4272" s="60"/>
      <c r="B4272" s="61" t="str">
        <f aca="false">IF($M4272=0,"",INDEX(Classes!$E$6:$E$420,$M4272))</f>
        <v/>
      </c>
      <c r="C4272" s="62" t="str">
        <f aca="false">IF($M4272=0,"",INDEX(Classes!$H$6:$H$420,$M4272))</f>
        <v/>
      </c>
      <c r="D4272" s="61" t="str">
        <f aca="false">IF($M4272=0,"",INDEX(Classes!$B$6:$B$420,$M4272))</f>
        <v/>
      </c>
      <c r="E4272" s="61" t="str">
        <f aca="false">IF($M4272=0,"",INDEX(Classes!$C$6:$C$420,$M4272))</f>
        <v/>
      </c>
      <c r="F4272" s="63"/>
      <c r="G4272" s="63"/>
      <c r="H4272" s="60"/>
      <c r="I4272" s="60"/>
      <c r="J4272" s="63"/>
      <c r="K4272" s="61" t="str">
        <f aca="false">IF($P4272=0,"",IF($F4272="Baseline","— Baseline",IF($O4272=0,"No result",IF($N4272=0,"No Start (attainment only)",IF(OR($N4272=1,$O4272=1),"U – needs rule",INDEX(MxBody,MATCH($I4272,MxCurr,0),MATCH($H4272,MxStart,0)))))))</f>
        <v/>
      </c>
      <c r="L4272" s="62" t="str">
        <f aca="false">IF(COUNTA($A4272,$F4272,$G4272,$H4272,$I4272,$J4272)=0,"",IF($M4272=0,"✖ كود الصف غير موجود",IF(ISNA(MATCH($F4272,Lists!$A$2:$A$5,0)),"✖ الفترة غير صحيحة",IF(ISNA(MATCH($G4272,Lists!$B$2:$B$7,0)),"✖ المجموعة غير صحيحة",IF(NOT(OR($H4272="",$N4272&gt;0)),"✖ Start غير صحيح",IF(NOT(OR($I4272="",$I4272="NR",$O4272&gt;0)),"✖ Current غير صحيح",IF(NOT(IF(ISNUMBER($J4272),AND($J4272&gt;=0,$J4272=INT($J4272)),FALSE())),"✖ العدد يجب أن يكون صحيحًا ≥ 0",IF(AND($F4272="Baseline",$H4272&lt;&gt;""),"⚠ Baseline: Start لا يدخل في التقدم",IF($K4272="No Start (attainment only)","ℹ تحصيل فقط (بدون Start)",IF($K4272="U – needs rule","ℹ حالة U تحتاج قاعدة معتمدة",IF($K4272="No result","ℹ بدون نتيجة (يُستبعد من التحصيل)","OK")))))))))))</f>
        <v/>
      </c>
      <c r="M4272" s="64" t="n">
        <f aca="false">IF($A4272="",0,IFERROR(MATCH($A4272,Classes!$A$6:$A$420,0),0))</f>
        <v>0</v>
      </c>
      <c r="N4272" s="64" t="n">
        <f aca="false">IF($H4272="",0,IFERROR(MATCH($H4272,GradeList,0),0))</f>
        <v>0</v>
      </c>
      <c r="O4272" s="64" t="n">
        <f aca="false">IF(OR($I4272="",$I4272="NR"),0,IFERROR(MATCH($I4272,GradeList,0),0))</f>
        <v>0</v>
      </c>
      <c r="P4272" s="64" t="n">
        <f aca="false">IF(AND($M4272&gt;0,ISNUMBER(MATCH($F4272,Lists!$A$2:$A$5,0)),ISNUMBER(MATCH($G4272,Lists!$B$2:$B$7,0)),OR($H4272="",$N4272&gt;0),OR($I4272="",$I4272="NR",$O4272&gt;0),IF(ISNUMBER($J4272),AND($J4272&gt;=0,$J4272=INT($J4272)),FALSE())),$J4272,0)</f>
        <v>0</v>
      </c>
      <c r="Q4272" s="64" t="n">
        <f aca="false">IF(AND($P4272&gt;0,$O4272&gt;0),$P4272,0)</f>
        <v>0</v>
      </c>
      <c r="R4272" s="64" t="n">
        <f aca="false">IF(AND($Q4272&gt;0,$O4272&gt;=AtRank),$Q4272,0)</f>
        <v>0</v>
      </c>
      <c r="S4272" s="64" t="n">
        <f aca="false">IF(AND($Q4272&gt;0,$O4272&gt;=AboveRank),$Q4272,0)</f>
        <v>0</v>
      </c>
      <c r="T4272" s="64" t="n">
        <f aca="false">IF($K4272="Less",$P4272,0)</f>
        <v>0</v>
      </c>
      <c r="U4272" s="64" t="n">
        <f aca="false">IF($K4272="Expected",$P4272,0)</f>
        <v>0</v>
      </c>
      <c r="V4272" s="64" t="n">
        <f aca="false">IF($K4272="Better",$P4272,0)</f>
        <v>0</v>
      </c>
      <c r="W4272" s="64" t="n">
        <f aca="false">IF($K4272="U – needs rule",$P4272,0)</f>
        <v>0</v>
      </c>
      <c r="X4272" s="64" t="n">
        <f aca="false">IF($K4272="No Start (attainment only)",$P4272,0)</f>
        <v>0</v>
      </c>
    </row>
    <row r="4273" customFormat="false" ht="15" hidden="false" customHeight="false" outlineLevel="0" collapsed="false">
      <c r="A4273" s="60"/>
      <c r="B4273" s="61" t="str">
        <f aca="false">IF($M4273=0,"",INDEX(Classes!$E$6:$E$420,$M4273))</f>
        <v/>
      </c>
      <c r="C4273" s="62" t="str">
        <f aca="false">IF($M4273=0,"",INDEX(Classes!$H$6:$H$420,$M4273))</f>
        <v/>
      </c>
      <c r="D4273" s="61" t="str">
        <f aca="false">IF($M4273=0,"",INDEX(Classes!$B$6:$B$420,$M4273))</f>
        <v/>
      </c>
      <c r="E4273" s="61" t="str">
        <f aca="false">IF($M4273=0,"",INDEX(Classes!$C$6:$C$420,$M4273))</f>
        <v/>
      </c>
      <c r="F4273" s="63"/>
      <c r="G4273" s="63"/>
      <c r="H4273" s="60"/>
      <c r="I4273" s="60"/>
      <c r="J4273" s="63"/>
      <c r="K4273" s="61" t="str">
        <f aca="false">IF($P4273=0,"",IF($F4273="Baseline","— Baseline",IF($O4273=0,"No result",IF($N4273=0,"No Start (attainment only)",IF(OR($N4273=1,$O4273=1),"U – needs rule",INDEX(MxBody,MATCH($I4273,MxCurr,0),MATCH($H4273,MxStart,0)))))))</f>
        <v/>
      </c>
      <c r="L4273" s="62" t="str">
        <f aca="false">IF(COUNTA($A4273,$F4273,$G4273,$H4273,$I4273,$J4273)=0,"",IF($M4273=0,"✖ كود الصف غير موجود",IF(ISNA(MATCH($F4273,Lists!$A$2:$A$5,0)),"✖ الفترة غير صحيحة",IF(ISNA(MATCH($G4273,Lists!$B$2:$B$7,0)),"✖ المجموعة غير صحيحة",IF(NOT(OR($H4273="",$N4273&gt;0)),"✖ Start غير صحيح",IF(NOT(OR($I4273="",$I4273="NR",$O4273&gt;0)),"✖ Current غير صحيح",IF(NOT(IF(ISNUMBER($J4273),AND($J4273&gt;=0,$J4273=INT($J4273)),FALSE())),"✖ العدد يجب أن يكون صحيحًا ≥ 0",IF(AND($F4273="Baseline",$H4273&lt;&gt;""),"⚠ Baseline: Start لا يدخل في التقدم",IF($K4273="No Start (attainment only)","ℹ تحصيل فقط (بدون Start)",IF($K4273="U – needs rule","ℹ حالة U تحتاج قاعدة معتمدة",IF($K4273="No result","ℹ بدون نتيجة (يُستبعد من التحصيل)","OK")))))))))))</f>
        <v/>
      </c>
      <c r="M4273" s="64" t="n">
        <f aca="false">IF($A4273="",0,IFERROR(MATCH($A4273,Classes!$A$6:$A$420,0),0))</f>
        <v>0</v>
      </c>
      <c r="N4273" s="64" t="n">
        <f aca="false">IF($H4273="",0,IFERROR(MATCH($H4273,GradeList,0),0))</f>
        <v>0</v>
      </c>
      <c r="O4273" s="64" t="n">
        <f aca="false">IF(OR($I4273="",$I4273="NR"),0,IFERROR(MATCH($I4273,GradeList,0),0))</f>
        <v>0</v>
      </c>
      <c r="P4273" s="64" t="n">
        <f aca="false">IF(AND($M4273&gt;0,ISNUMBER(MATCH($F4273,Lists!$A$2:$A$5,0)),ISNUMBER(MATCH($G4273,Lists!$B$2:$B$7,0)),OR($H4273="",$N4273&gt;0),OR($I4273="",$I4273="NR",$O4273&gt;0),IF(ISNUMBER($J4273),AND($J4273&gt;=0,$J4273=INT($J4273)),FALSE())),$J4273,0)</f>
        <v>0</v>
      </c>
      <c r="Q4273" s="64" t="n">
        <f aca="false">IF(AND($P4273&gt;0,$O4273&gt;0),$P4273,0)</f>
        <v>0</v>
      </c>
      <c r="R4273" s="64" t="n">
        <f aca="false">IF(AND($Q4273&gt;0,$O4273&gt;=AtRank),$Q4273,0)</f>
        <v>0</v>
      </c>
      <c r="S4273" s="64" t="n">
        <f aca="false">IF(AND($Q4273&gt;0,$O4273&gt;=AboveRank),$Q4273,0)</f>
        <v>0</v>
      </c>
      <c r="T4273" s="64" t="n">
        <f aca="false">IF($K4273="Less",$P4273,0)</f>
        <v>0</v>
      </c>
      <c r="U4273" s="64" t="n">
        <f aca="false">IF($K4273="Expected",$P4273,0)</f>
        <v>0</v>
      </c>
      <c r="V4273" s="64" t="n">
        <f aca="false">IF($K4273="Better",$P4273,0)</f>
        <v>0</v>
      </c>
      <c r="W4273" s="64" t="n">
        <f aca="false">IF($K4273="U – needs rule",$P4273,0)</f>
        <v>0</v>
      </c>
      <c r="X4273" s="64" t="n">
        <f aca="false">IF($K4273="No Start (attainment only)",$P4273,0)</f>
        <v>0</v>
      </c>
    </row>
    <row r="4274" customFormat="false" ht="15" hidden="false" customHeight="false" outlineLevel="0" collapsed="false">
      <c r="A4274" s="60"/>
      <c r="B4274" s="61" t="str">
        <f aca="false">IF($M4274=0,"",INDEX(Classes!$E$6:$E$420,$M4274))</f>
        <v/>
      </c>
      <c r="C4274" s="62" t="str">
        <f aca="false">IF($M4274=0,"",INDEX(Classes!$H$6:$H$420,$M4274))</f>
        <v/>
      </c>
      <c r="D4274" s="61" t="str">
        <f aca="false">IF($M4274=0,"",INDEX(Classes!$B$6:$B$420,$M4274))</f>
        <v/>
      </c>
      <c r="E4274" s="61" t="str">
        <f aca="false">IF($M4274=0,"",INDEX(Classes!$C$6:$C$420,$M4274))</f>
        <v/>
      </c>
      <c r="F4274" s="63"/>
      <c r="G4274" s="63"/>
      <c r="H4274" s="60"/>
      <c r="I4274" s="60"/>
      <c r="J4274" s="63"/>
      <c r="K4274" s="61" t="str">
        <f aca="false">IF($P4274=0,"",IF($F4274="Baseline","— Baseline",IF($O4274=0,"No result",IF($N4274=0,"No Start (attainment only)",IF(OR($N4274=1,$O4274=1),"U – needs rule",INDEX(MxBody,MATCH($I4274,MxCurr,0),MATCH($H4274,MxStart,0)))))))</f>
        <v/>
      </c>
      <c r="L4274" s="62" t="str">
        <f aca="false">IF(COUNTA($A4274,$F4274,$G4274,$H4274,$I4274,$J4274)=0,"",IF($M4274=0,"✖ كود الصف غير موجود",IF(ISNA(MATCH($F4274,Lists!$A$2:$A$5,0)),"✖ الفترة غير صحيحة",IF(ISNA(MATCH($G4274,Lists!$B$2:$B$7,0)),"✖ المجموعة غير صحيحة",IF(NOT(OR($H4274="",$N4274&gt;0)),"✖ Start غير صحيح",IF(NOT(OR($I4274="",$I4274="NR",$O4274&gt;0)),"✖ Current غير صحيح",IF(NOT(IF(ISNUMBER($J4274),AND($J4274&gt;=0,$J4274=INT($J4274)),FALSE())),"✖ العدد يجب أن يكون صحيحًا ≥ 0",IF(AND($F4274="Baseline",$H4274&lt;&gt;""),"⚠ Baseline: Start لا يدخل في التقدم",IF($K4274="No Start (attainment only)","ℹ تحصيل فقط (بدون Start)",IF($K4274="U – needs rule","ℹ حالة U تحتاج قاعدة معتمدة",IF($K4274="No result","ℹ بدون نتيجة (يُستبعد من التحصيل)","OK")))))))))))</f>
        <v/>
      </c>
      <c r="M4274" s="64" t="n">
        <f aca="false">IF($A4274="",0,IFERROR(MATCH($A4274,Classes!$A$6:$A$420,0),0))</f>
        <v>0</v>
      </c>
      <c r="N4274" s="64" t="n">
        <f aca="false">IF($H4274="",0,IFERROR(MATCH($H4274,GradeList,0),0))</f>
        <v>0</v>
      </c>
      <c r="O4274" s="64" t="n">
        <f aca="false">IF(OR($I4274="",$I4274="NR"),0,IFERROR(MATCH($I4274,GradeList,0),0))</f>
        <v>0</v>
      </c>
      <c r="P4274" s="64" t="n">
        <f aca="false">IF(AND($M4274&gt;0,ISNUMBER(MATCH($F4274,Lists!$A$2:$A$5,0)),ISNUMBER(MATCH($G4274,Lists!$B$2:$B$7,0)),OR($H4274="",$N4274&gt;0),OR($I4274="",$I4274="NR",$O4274&gt;0),IF(ISNUMBER($J4274),AND($J4274&gt;=0,$J4274=INT($J4274)),FALSE())),$J4274,0)</f>
        <v>0</v>
      </c>
      <c r="Q4274" s="64" t="n">
        <f aca="false">IF(AND($P4274&gt;0,$O4274&gt;0),$P4274,0)</f>
        <v>0</v>
      </c>
      <c r="R4274" s="64" t="n">
        <f aca="false">IF(AND($Q4274&gt;0,$O4274&gt;=AtRank),$Q4274,0)</f>
        <v>0</v>
      </c>
      <c r="S4274" s="64" t="n">
        <f aca="false">IF(AND($Q4274&gt;0,$O4274&gt;=AboveRank),$Q4274,0)</f>
        <v>0</v>
      </c>
      <c r="T4274" s="64" t="n">
        <f aca="false">IF($K4274="Less",$P4274,0)</f>
        <v>0</v>
      </c>
      <c r="U4274" s="64" t="n">
        <f aca="false">IF($K4274="Expected",$P4274,0)</f>
        <v>0</v>
      </c>
      <c r="V4274" s="64" t="n">
        <f aca="false">IF($K4274="Better",$P4274,0)</f>
        <v>0</v>
      </c>
      <c r="W4274" s="64" t="n">
        <f aca="false">IF($K4274="U – needs rule",$P4274,0)</f>
        <v>0</v>
      </c>
      <c r="X4274" s="64" t="n">
        <f aca="false">IF($K4274="No Start (attainment only)",$P4274,0)</f>
        <v>0</v>
      </c>
    </row>
    <row r="4275" customFormat="false" ht="15" hidden="false" customHeight="false" outlineLevel="0" collapsed="false">
      <c r="A4275" s="60"/>
      <c r="B4275" s="61" t="str">
        <f aca="false">IF($M4275=0,"",INDEX(Classes!$E$6:$E$420,$M4275))</f>
        <v/>
      </c>
      <c r="C4275" s="62" t="str">
        <f aca="false">IF($M4275=0,"",INDEX(Classes!$H$6:$H$420,$M4275))</f>
        <v/>
      </c>
      <c r="D4275" s="61" t="str">
        <f aca="false">IF($M4275=0,"",INDEX(Classes!$B$6:$B$420,$M4275))</f>
        <v/>
      </c>
      <c r="E4275" s="61" t="str">
        <f aca="false">IF($M4275=0,"",INDEX(Classes!$C$6:$C$420,$M4275))</f>
        <v/>
      </c>
      <c r="F4275" s="63"/>
      <c r="G4275" s="63"/>
      <c r="H4275" s="60"/>
      <c r="I4275" s="60"/>
      <c r="J4275" s="63"/>
      <c r="K4275" s="61" t="str">
        <f aca="false">IF($P4275=0,"",IF($F4275="Baseline","— Baseline",IF($O4275=0,"No result",IF($N4275=0,"No Start (attainment only)",IF(OR($N4275=1,$O4275=1),"U – needs rule",INDEX(MxBody,MATCH($I4275,MxCurr,0),MATCH($H4275,MxStart,0)))))))</f>
        <v/>
      </c>
      <c r="L4275" s="62" t="str">
        <f aca="false">IF(COUNTA($A4275,$F4275,$G4275,$H4275,$I4275,$J4275)=0,"",IF($M4275=0,"✖ كود الصف غير موجود",IF(ISNA(MATCH($F4275,Lists!$A$2:$A$5,0)),"✖ الفترة غير صحيحة",IF(ISNA(MATCH($G4275,Lists!$B$2:$B$7,0)),"✖ المجموعة غير صحيحة",IF(NOT(OR($H4275="",$N4275&gt;0)),"✖ Start غير صحيح",IF(NOT(OR($I4275="",$I4275="NR",$O4275&gt;0)),"✖ Current غير صحيح",IF(NOT(IF(ISNUMBER($J4275),AND($J4275&gt;=0,$J4275=INT($J4275)),FALSE())),"✖ العدد يجب أن يكون صحيحًا ≥ 0",IF(AND($F4275="Baseline",$H4275&lt;&gt;""),"⚠ Baseline: Start لا يدخل في التقدم",IF($K4275="No Start (attainment only)","ℹ تحصيل فقط (بدون Start)",IF($K4275="U – needs rule","ℹ حالة U تحتاج قاعدة معتمدة",IF($K4275="No result","ℹ بدون نتيجة (يُستبعد من التحصيل)","OK")))))))))))</f>
        <v/>
      </c>
      <c r="M4275" s="64" t="n">
        <f aca="false">IF($A4275="",0,IFERROR(MATCH($A4275,Classes!$A$6:$A$420,0),0))</f>
        <v>0</v>
      </c>
      <c r="N4275" s="64" t="n">
        <f aca="false">IF($H4275="",0,IFERROR(MATCH($H4275,GradeList,0),0))</f>
        <v>0</v>
      </c>
      <c r="O4275" s="64" t="n">
        <f aca="false">IF(OR($I4275="",$I4275="NR"),0,IFERROR(MATCH($I4275,GradeList,0),0))</f>
        <v>0</v>
      </c>
      <c r="P4275" s="64" t="n">
        <f aca="false">IF(AND($M4275&gt;0,ISNUMBER(MATCH($F4275,Lists!$A$2:$A$5,0)),ISNUMBER(MATCH($G4275,Lists!$B$2:$B$7,0)),OR($H4275="",$N4275&gt;0),OR($I4275="",$I4275="NR",$O4275&gt;0),IF(ISNUMBER($J4275),AND($J4275&gt;=0,$J4275=INT($J4275)),FALSE())),$J4275,0)</f>
        <v>0</v>
      </c>
      <c r="Q4275" s="64" t="n">
        <f aca="false">IF(AND($P4275&gt;0,$O4275&gt;0),$P4275,0)</f>
        <v>0</v>
      </c>
      <c r="R4275" s="64" t="n">
        <f aca="false">IF(AND($Q4275&gt;0,$O4275&gt;=AtRank),$Q4275,0)</f>
        <v>0</v>
      </c>
      <c r="S4275" s="64" t="n">
        <f aca="false">IF(AND($Q4275&gt;0,$O4275&gt;=AboveRank),$Q4275,0)</f>
        <v>0</v>
      </c>
      <c r="T4275" s="64" t="n">
        <f aca="false">IF($K4275="Less",$P4275,0)</f>
        <v>0</v>
      </c>
      <c r="U4275" s="64" t="n">
        <f aca="false">IF($K4275="Expected",$P4275,0)</f>
        <v>0</v>
      </c>
      <c r="V4275" s="64" t="n">
        <f aca="false">IF($K4275="Better",$P4275,0)</f>
        <v>0</v>
      </c>
      <c r="W4275" s="64" t="n">
        <f aca="false">IF($K4275="U – needs rule",$P4275,0)</f>
        <v>0</v>
      </c>
      <c r="X4275" s="64" t="n">
        <f aca="false">IF($K4275="No Start (attainment only)",$P4275,0)</f>
        <v>0</v>
      </c>
    </row>
    <row r="4276" customFormat="false" ht="15" hidden="false" customHeight="false" outlineLevel="0" collapsed="false">
      <c r="A4276" s="60"/>
      <c r="B4276" s="61" t="str">
        <f aca="false">IF($M4276=0,"",INDEX(Classes!$E$6:$E$420,$M4276))</f>
        <v/>
      </c>
      <c r="C4276" s="62" t="str">
        <f aca="false">IF($M4276=0,"",INDEX(Classes!$H$6:$H$420,$M4276))</f>
        <v/>
      </c>
      <c r="D4276" s="61" t="str">
        <f aca="false">IF($M4276=0,"",INDEX(Classes!$B$6:$B$420,$M4276))</f>
        <v/>
      </c>
      <c r="E4276" s="61" t="str">
        <f aca="false">IF($M4276=0,"",INDEX(Classes!$C$6:$C$420,$M4276))</f>
        <v/>
      </c>
      <c r="F4276" s="63"/>
      <c r="G4276" s="63"/>
      <c r="H4276" s="60"/>
      <c r="I4276" s="60"/>
      <c r="J4276" s="63"/>
      <c r="K4276" s="61" t="str">
        <f aca="false">IF($P4276=0,"",IF($F4276="Baseline","— Baseline",IF($O4276=0,"No result",IF($N4276=0,"No Start (attainment only)",IF(OR($N4276=1,$O4276=1),"U – needs rule",INDEX(MxBody,MATCH($I4276,MxCurr,0),MATCH($H4276,MxStart,0)))))))</f>
        <v/>
      </c>
      <c r="L4276" s="62" t="str">
        <f aca="false">IF(COUNTA($A4276,$F4276,$G4276,$H4276,$I4276,$J4276)=0,"",IF($M4276=0,"✖ كود الصف غير موجود",IF(ISNA(MATCH($F4276,Lists!$A$2:$A$5,0)),"✖ الفترة غير صحيحة",IF(ISNA(MATCH($G4276,Lists!$B$2:$B$7,0)),"✖ المجموعة غير صحيحة",IF(NOT(OR($H4276="",$N4276&gt;0)),"✖ Start غير صحيح",IF(NOT(OR($I4276="",$I4276="NR",$O4276&gt;0)),"✖ Current غير صحيح",IF(NOT(IF(ISNUMBER($J4276),AND($J4276&gt;=0,$J4276=INT($J4276)),FALSE())),"✖ العدد يجب أن يكون صحيحًا ≥ 0",IF(AND($F4276="Baseline",$H4276&lt;&gt;""),"⚠ Baseline: Start لا يدخل في التقدم",IF($K4276="No Start (attainment only)","ℹ تحصيل فقط (بدون Start)",IF($K4276="U – needs rule","ℹ حالة U تحتاج قاعدة معتمدة",IF($K4276="No result","ℹ بدون نتيجة (يُستبعد من التحصيل)","OK")))))))))))</f>
        <v/>
      </c>
      <c r="M4276" s="64" t="n">
        <f aca="false">IF($A4276="",0,IFERROR(MATCH($A4276,Classes!$A$6:$A$420,0),0))</f>
        <v>0</v>
      </c>
      <c r="N4276" s="64" t="n">
        <f aca="false">IF($H4276="",0,IFERROR(MATCH($H4276,GradeList,0),0))</f>
        <v>0</v>
      </c>
      <c r="O4276" s="64" t="n">
        <f aca="false">IF(OR($I4276="",$I4276="NR"),0,IFERROR(MATCH($I4276,GradeList,0),0))</f>
        <v>0</v>
      </c>
      <c r="P4276" s="64" t="n">
        <f aca="false">IF(AND($M4276&gt;0,ISNUMBER(MATCH($F4276,Lists!$A$2:$A$5,0)),ISNUMBER(MATCH($G4276,Lists!$B$2:$B$7,0)),OR($H4276="",$N4276&gt;0),OR($I4276="",$I4276="NR",$O4276&gt;0),IF(ISNUMBER($J4276),AND($J4276&gt;=0,$J4276=INT($J4276)),FALSE())),$J4276,0)</f>
        <v>0</v>
      </c>
      <c r="Q4276" s="64" t="n">
        <f aca="false">IF(AND($P4276&gt;0,$O4276&gt;0),$P4276,0)</f>
        <v>0</v>
      </c>
      <c r="R4276" s="64" t="n">
        <f aca="false">IF(AND($Q4276&gt;0,$O4276&gt;=AtRank),$Q4276,0)</f>
        <v>0</v>
      </c>
      <c r="S4276" s="64" t="n">
        <f aca="false">IF(AND($Q4276&gt;0,$O4276&gt;=AboveRank),$Q4276,0)</f>
        <v>0</v>
      </c>
      <c r="T4276" s="64" t="n">
        <f aca="false">IF($K4276="Less",$P4276,0)</f>
        <v>0</v>
      </c>
      <c r="U4276" s="64" t="n">
        <f aca="false">IF($K4276="Expected",$P4276,0)</f>
        <v>0</v>
      </c>
      <c r="V4276" s="64" t="n">
        <f aca="false">IF($K4276="Better",$P4276,0)</f>
        <v>0</v>
      </c>
      <c r="W4276" s="64" t="n">
        <f aca="false">IF($K4276="U – needs rule",$P4276,0)</f>
        <v>0</v>
      </c>
      <c r="X4276" s="64" t="n">
        <f aca="false">IF($K4276="No Start (attainment only)",$P4276,0)</f>
        <v>0</v>
      </c>
    </row>
    <row r="4277" customFormat="false" ht="15" hidden="false" customHeight="false" outlineLevel="0" collapsed="false">
      <c r="A4277" s="60"/>
      <c r="B4277" s="61" t="str">
        <f aca="false">IF($M4277=0,"",INDEX(Classes!$E$6:$E$420,$M4277))</f>
        <v/>
      </c>
      <c r="C4277" s="62" t="str">
        <f aca="false">IF($M4277=0,"",INDEX(Classes!$H$6:$H$420,$M4277))</f>
        <v/>
      </c>
      <c r="D4277" s="61" t="str">
        <f aca="false">IF($M4277=0,"",INDEX(Classes!$B$6:$B$420,$M4277))</f>
        <v/>
      </c>
      <c r="E4277" s="61" t="str">
        <f aca="false">IF($M4277=0,"",INDEX(Classes!$C$6:$C$420,$M4277))</f>
        <v/>
      </c>
      <c r="F4277" s="63"/>
      <c r="G4277" s="63"/>
      <c r="H4277" s="60"/>
      <c r="I4277" s="60"/>
      <c r="J4277" s="63"/>
      <c r="K4277" s="61" t="str">
        <f aca="false">IF($P4277=0,"",IF($F4277="Baseline","— Baseline",IF($O4277=0,"No result",IF($N4277=0,"No Start (attainment only)",IF(OR($N4277=1,$O4277=1),"U – needs rule",INDEX(MxBody,MATCH($I4277,MxCurr,0),MATCH($H4277,MxStart,0)))))))</f>
        <v/>
      </c>
      <c r="L4277" s="62" t="str">
        <f aca="false">IF(COUNTA($A4277,$F4277,$G4277,$H4277,$I4277,$J4277)=0,"",IF($M4277=0,"✖ كود الصف غير موجود",IF(ISNA(MATCH($F4277,Lists!$A$2:$A$5,0)),"✖ الفترة غير صحيحة",IF(ISNA(MATCH($G4277,Lists!$B$2:$B$7,0)),"✖ المجموعة غير صحيحة",IF(NOT(OR($H4277="",$N4277&gt;0)),"✖ Start غير صحيح",IF(NOT(OR($I4277="",$I4277="NR",$O4277&gt;0)),"✖ Current غير صحيح",IF(NOT(IF(ISNUMBER($J4277),AND($J4277&gt;=0,$J4277=INT($J4277)),FALSE())),"✖ العدد يجب أن يكون صحيحًا ≥ 0",IF(AND($F4277="Baseline",$H4277&lt;&gt;""),"⚠ Baseline: Start لا يدخل في التقدم",IF($K4277="No Start (attainment only)","ℹ تحصيل فقط (بدون Start)",IF($K4277="U – needs rule","ℹ حالة U تحتاج قاعدة معتمدة",IF($K4277="No result","ℹ بدون نتيجة (يُستبعد من التحصيل)","OK")))))))))))</f>
        <v/>
      </c>
      <c r="M4277" s="64" t="n">
        <f aca="false">IF($A4277="",0,IFERROR(MATCH($A4277,Classes!$A$6:$A$420,0),0))</f>
        <v>0</v>
      </c>
      <c r="N4277" s="64" t="n">
        <f aca="false">IF($H4277="",0,IFERROR(MATCH($H4277,GradeList,0),0))</f>
        <v>0</v>
      </c>
      <c r="O4277" s="64" t="n">
        <f aca="false">IF(OR($I4277="",$I4277="NR"),0,IFERROR(MATCH($I4277,GradeList,0),0))</f>
        <v>0</v>
      </c>
      <c r="P4277" s="64" t="n">
        <f aca="false">IF(AND($M4277&gt;0,ISNUMBER(MATCH($F4277,Lists!$A$2:$A$5,0)),ISNUMBER(MATCH($G4277,Lists!$B$2:$B$7,0)),OR($H4277="",$N4277&gt;0),OR($I4277="",$I4277="NR",$O4277&gt;0),IF(ISNUMBER($J4277),AND($J4277&gt;=0,$J4277=INT($J4277)),FALSE())),$J4277,0)</f>
        <v>0</v>
      </c>
      <c r="Q4277" s="64" t="n">
        <f aca="false">IF(AND($P4277&gt;0,$O4277&gt;0),$P4277,0)</f>
        <v>0</v>
      </c>
      <c r="R4277" s="64" t="n">
        <f aca="false">IF(AND($Q4277&gt;0,$O4277&gt;=AtRank),$Q4277,0)</f>
        <v>0</v>
      </c>
      <c r="S4277" s="64" t="n">
        <f aca="false">IF(AND($Q4277&gt;0,$O4277&gt;=AboveRank),$Q4277,0)</f>
        <v>0</v>
      </c>
      <c r="T4277" s="64" t="n">
        <f aca="false">IF($K4277="Less",$P4277,0)</f>
        <v>0</v>
      </c>
      <c r="U4277" s="64" t="n">
        <f aca="false">IF($K4277="Expected",$P4277,0)</f>
        <v>0</v>
      </c>
      <c r="V4277" s="64" t="n">
        <f aca="false">IF($K4277="Better",$P4277,0)</f>
        <v>0</v>
      </c>
      <c r="W4277" s="64" t="n">
        <f aca="false">IF($K4277="U – needs rule",$P4277,0)</f>
        <v>0</v>
      </c>
      <c r="X4277" s="64" t="n">
        <f aca="false">IF($K4277="No Start (attainment only)",$P4277,0)</f>
        <v>0</v>
      </c>
    </row>
    <row r="4278" customFormat="false" ht="15" hidden="false" customHeight="false" outlineLevel="0" collapsed="false">
      <c r="A4278" s="60"/>
      <c r="B4278" s="61" t="str">
        <f aca="false">IF($M4278=0,"",INDEX(Classes!$E$6:$E$420,$M4278))</f>
        <v/>
      </c>
      <c r="C4278" s="62" t="str">
        <f aca="false">IF($M4278=0,"",INDEX(Classes!$H$6:$H$420,$M4278))</f>
        <v/>
      </c>
      <c r="D4278" s="61" t="str">
        <f aca="false">IF($M4278=0,"",INDEX(Classes!$B$6:$B$420,$M4278))</f>
        <v/>
      </c>
      <c r="E4278" s="61" t="str">
        <f aca="false">IF($M4278=0,"",INDEX(Classes!$C$6:$C$420,$M4278))</f>
        <v/>
      </c>
      <c r="F4278" s="63"/>
      <c r="G4278" s="63"/>
      <c r="H4278" s="60"/>
      <c r="I4278" s="60"/>
      <c r="J4278" s="63"/>
      <c r="K4278" s="61" t="str">
        <f aca="false">IF($P4278=0,"",IF($F4278="Baseline","— Baseline",IF($O4278=0,"No result",IF($N4278=0,"No Start (attainment only)",IF(OR($N4278=1,$O4278=1),"U – needs rule",INDEX(MxBody,MATCH($I4278,MxCurr,0),MATCH($H4278,MxStart,0)))))))</f>
        <v/>
      </c>
      <c r="L4278" s="62" t="str">
        <f aca="false">IF(COUNTA($A4278,$F4278,$G4278,$H4278,$I4278,$J4278)=0,"",IF($M4278=0,"✖ كود الصف غير موجود",IF(ISNA(MATCH($F4278,Lists!$A$2:$A$5,0)),"✖ الفترة غير صحيحة",IF(ISNA(MATCH($G4278,Lists!$B$2:$B$7,0)),"✖ المجموعة غير صحيحة",IF(NOT(OR($H4278="",$N4278&gt;0)),"✖ Start غير صحيح",IF(NOT(OR($I4278="",$I4278="NR",$O4278&gt;0)),"✖ Current غير صحيح",IF(NOT(IF(ISNUMBER($J4278),AND($J4278&gt;=0,$J4278=INT($J4278)),FALSE())),"✖ العدد يجب أن يكون صحيحًا ≥ 0",IF(AND($F4278="Baseline",$H4278&lt;&gt;""),"⚠ Baseline: Start لا يدخل في التقدم",IF($K4278="No Start (attainment only)","ℹ تحصيل فقط (بدون Start)",IF($K4278="U – needs rule","ℹ حالة U تحتاج قاعدة معتمدة",IF($K4278="No result","ℹ بدون نتيجة (يُستبعد من التحصيل)","OK")))))))))))</f>
        <v/>
      </c>
      <c r="M4278" s="64" t="n">
        <f aca="false">IF($A4278="",0,IFERROR(MATCH($A4278,Classes!$A$6:$A$420,0),0))</f>
        <v>0</v>
      </c>
      <c r="N4278" s="64" t="n">
        <f aca="false">IF($H4278="",0,IFERROR(MATCH($H4278,GradeList,0),0))</f>
        <v>0</v>
      </c>
      <c r="O4278" s="64" t="n">
        <f aca="false">IF(OR($I4278="",$I4278="NR"),0,IFERROR(MATCH($I4278,GradeList,0),0))</f>
        <v>0</v>
      </c>
      <c r="P4278" s="64" t="n">
        <f aca="false">IF(AND($M4278&gt;0,ISNUMBER(MATCH($F4278,Lists!$A$2:$A$5,0)),ISNUMBER(MATCH($G4278,Lists!$B$2:$B$7,0)),OR($H4278="",$N4278&gt;0),OR($I4278="",$I4278="NR",$O4278&gt;0),IF(ISNUMBER($J4278),AND($J4278&gt;=0,$J4278=INT($J4278)),FALSE())),$J4278,0)</f>
        <v>0</v>
      </c>
      <c r="Q4278" s="64" t="n">
        <f aca="false">IF(AND($P4278&gt;0,$O4278&gt;0),$P4278,0)</f>
        <v>0</v>
      </c>
      <c r="R4278" s="64" t="n">
        <f aca="false">IF(AND($Q4278&gt;0,$O4278&gt;=AtRank),$Q4278,0)</f>
        <v>0</v>
      </c>
      <c r="S4278" s="64" t="n">
        <f aca="false">IF(AND($Q4278&gt;0,$O4278&gt;=AboveRank),$Q4278,0)</f>
        <v>0</v>
      </c>
      <c r="T4278" s="64" t="n">
        <f aca="false">IF($K4278="Less",$P4278,0)</f>
        <v>0</v>
      </c>
      <c r="U4278" s="64" t="n">
        <f aca="false">IF($K4278="Expected",$P4278,0)</f>
        <v>0</v>
      </c>
      <c r="V4278" s="64" t="n">
        <f aca="false">IF($K4278="Better",$P4278,0)</f>
        <v>0</v>
      </c>
      <c r="W4278" s="64" t="n">
        <f aca="false">IF($K4278="U – needs rule",$P4278,0)</f>
        <v>0</v>
      </c>
      <c r="X4278" s="64" t="n">
        <f aca="false">IF($K4278="No Start (attainment only)",$P4278,0)</f>
        <v>0</v>
      </c>
    </row>
    <row r="4279" customFormat="false" ht="15" hidden="false" customHeight="false" outlineLevel="0" collapsed="false">
      <c r="A4279" s="60"/>
      <c r="B4279" s="61" t="str">
        <f aca="false">IF($M4279=0,"",INDEX(Classes!$E$6:$E$420,$M4279))</f>
        <v/>
      </c>
      <c r="C4279" s="62" t="str">
        <f aca="false">IF($M4279=0,"",INDEX(Classes!$H$6:$H$420,$M4279))</f>
        <v/>
      </c>
      <c r="D4279" s="61" t="str">
        <f aca="false">IF($M4279=0,"",INDEX(Classes!$B$6:$B$420,$M4279))</f>
        <v/>
      </c>
      <c r="E4279" s="61" t="str">
        <f aca="false">IF($M4279=0,"",INDEX(Classes!$C$6:$C$420,$M4279))</f>
        <v/>
      </c>
      <c r="F4279" s="63"/>
      <c r="G4279" s="63"/>
      <c r="H4279" s="60"/>
      <c r="I4279" s="60"/>
      <c r="J4279" s="63"/>
      <c r="K4279" s="61" t="str">
        <f aca="false">IF($P4279=0,"",IF($F4279="Baseline","— Baseline",IF($O4279=0,"No result",IF($N4279=0,"No Start (attainment only)",IF(OR($N4279=1,$O4279=1),"U – needs rule",INDEX(MxBody,MATCH($I4279,MxCurr,0),MATCH($H4279,MxStart,0)))))))</f>
        <v/>
      </c>
      <c r="L4279" s="62" t="str">
        <f aca="false">IF(COUNTA($A4279,$F4279,$G4279,$H4279,$I4279,$J4279)=0,"",IF($M4279=0,"✖ كود الصف غير موجود",IF(ISNA(MATCH($F4279,Lists!$A$2:$A$5,0)),"✖ الفترة غير صحيحة",IF(ISNA(MATCH($G4279,Lists!$B$2:$B$7,0)),"✖ المجموعة غير صحيحة",IF(NOT(OR($H4279="",$N4279&gt;0)),"✖ Start غير صحيح",IF(NOT(OR($I4279="",$I4279="NR",$O4279&gt;0)),"✖ Current غير صحيح",IF(NOT(IF(ISNUMBER($J4279),AND($J4279&gt;=0,$J4279=INT($J4279)),FALSE())),"✖ العدد يجب أن يكون صحيحًا ≥ 0",IF(AND($F4279="Baseline",$H4279&lt;&gt;""),"⚠ Baseline: Start لا يدخل في التقدم",IF($K4279="No Start (attainment only)","ℹ تحصيل فقط (بدون Start)",IF($K4279="U – needs rule","ℹ حالة U تحتاج قاعدة معتمدة",IF($K4279="No result","ℹ بدون نتيجة (يُستبعد من التحصيل)","OK")))))))))))</f>
        <v/>
      </c>
      <c r="M4279" s="64" t="n">
        <f aca="false">IF($A4279="",0,IFERROR(MATCH($A4279,Classes!$A$6:$A$420,0),0))</f>
        <v>0</v>
      </c>
      <c r="N4279" s="64" t="n">
        <f aca="false">IF($H4279="",0,IFERROR(MATCH($H4279,GradeList,0),0))</f>
        <v>0</v>
      </c>
      <c r="O4279" s="64" t="n">
        <f aca="false">IF(OR($I4279="",$I4279="NR"),0,IFERROR(MATCH($I4279,GradeList,0),0))</f>
        <v>0</v>
      </c>
      <c r="P4279" s="64" t="n">
        <f aca="false">IF(AND($M4279&gt;0,ISNUMBER(MATCH($F4279,Lists!$A$2:$A$5,0)),ISNUMBER(MATCH($G4279,Lists!$B$2:$B$7,0)),OR($H4279="",$N4279&gt;0),OR($I4279="",$I4279="NR",$O4279&gt;0),IF(ISNUMBER($J4279),AND($J4279&gt;=0,$J4279=INT($J4279)),FALSE())),$J4279,0)</f>
        <v>0</v>
      </c>
      <c r="Q4279" s="64" t="n">
        <f aca="false">IF(AND($P4279&gt;0,$O4279&gt;0),$P4279,0)</f>
        <v>0</v>
      </c>
      <c r="R4279" s="64" t="n">
        <f aca="false">IF(AND($Q4279&gt;0,$O4279&gt;=AtRank),$Q4279,0)</f>
        <v>0</v>
      </c>
      <c r="S4279" s="64" t="n">
        <f aca="false">IF(AND($Q4279&gt;0,$O4279&gt;=AboveRank),$Q4279,0)</f>
        <v>0</v>
      </c>
      <c r="T4279" s="64" t="n">
        <f aca="false">IF($K4279="Less",$P4279,0)</f>
        <v>0</v>
      </c>
      <c r="U4279" s="64" t="n">
        <f aca="false">IF($K4279="Expected",$P4279,0)</f>
        <v>0</v>
      </c>
      <c r="V4279" s="64" t="n">
        <f aca="false">IF($K4279="Better",$P4279,0)</f>
        <v>0</v>
      </c>
      <c r="W4279" s="64" t="n">
        <f aca="false">IF($K4279="U – needs rule",$P4279,0)</f>
        <v>0</v>
      </c>
      <c r="X4279" s="64" t="n">
        <f aca="false">IF($K4279="No Start (attainment only)",$P4279,0)</f>
        <v>0</v>
      </c>
    </row>
    <row r="4280" customFormat="false" ht="15" hidden="false" customHeight="false" outlineLevel="0" collapsed="false">
      <c r="A4280" s="60"/>
      <c r="B4280" s="61" t="str">
        <f aca="false">IF($M4280=0,"",INDEX(Classes!$E$6:$E$420,$M4280))</f>
        <v/>
      </c>
      <c r="C4280" s="62" t="str">
        <f aca="false">IF($M4280=0,"",INDEX(Classes!$H$6:$H$420,$M4280))</f>
        <v/>
      </c>
      <c r="D4280" s="61" t="str">
        <f aca="false">IF($M4280=0,"",INDEX(Classes!$B$6:$B$420,$M4280))</f>
        <v/>
      </c>
      <c r="E4280" s="61" t="str">
        <f aca="false">IF($M4280=0,"",INDEX(Classes!$C$6:$C$420,$M4280))</f>
        <v/>
      </c>
      <c r="F4280" s="63"/>
      <c r="G4280" s="63"/>
      <c r="H4280" s="60"/>
      <c r="I4280" s="60"/>
      <c r="J4280" s="63"/>
      <c r="K4280" s="61" t="str">
        <f aca="false">IF($P4280=0,"",IF($F4280="Baseline","— Baseline",IF($O4280=0,"No result",IF($N4280=0,"No Start (attainment only)",IF(OR($N4280=1,$O4280=1),"U – needs rule",INDEX(MxBody,MATCH($I4280,MxCurr,0),MATCH($H4280,MxStart,0)))))))</f>
        <v/>
      </c>
      <c r="L4280" s="62" t="str">
        <f aca="false">IF(COUNTA($A4280,$F4280,$G4280,$H4280,$I4280,$J4280)=0,"",IF($M4280=0,"✖ كود الصف غير موجود",IF(ISNA(MATCH($F4280,Lists!$A$2:$A$5,0)),"✖ الفترة غير صحيحة",IF(ISNA(MATCH($G4280,Lists!$B$2:$B$7,0)),"✖ المجموعة غير صحيحة",IF(NOT(OR($H4280="",$N4280&gt;0)),"✖ Start غير صحيح",IF(NOT(OR($I4280="",$I4280="NR",$O4280&gt;0)),"✖ Current غير صحيح",IF(NOT(IF(ISNUMBER($J4280),AND($J4280&gt;=0,$J4280=INT($J4280)),FALSE())),"✖ العدد يجب أن يكون صحيحًا ≥ 0",IF(AND($F4280="Baseline",$H4280&lt;&gt;""),"⚠ Baseline: Start لا يدخل في التقدم",IF($K4280="No Start (attainment only)","ℹ تحصيل فقط (بدون Start)",IF($K4280="U – needs rule","ℹ حالة U تحتاج قاعدة معتمدة",IF($K4280="No result","ℹ بدون نتيجة (يُستبعد من التحصيل)","OK")))))))))))</f>
        <v/>
      </c>
      <c r="M4280" s="64" t="n">
        <f aca="false">IF($A4280="",0,IFERROR(MATCH($A4280,Classes!$A$6:$A$420,0),0))</f>
        <v>0</v>
      </c>
      <c r="N4280" s="64" t="n">
        <f aca="false">IF($H4280="",0,IFERROR(MATCH($H4280,GradeList,0),0))</f>
        <v>0</v>
      </c>
      <c r="O4280" s="64" t="n">
        <f aca="false">IF(OR($I4280="",$I4280="NR"),0,IFERROR(MATCH($I4280,GradeList,0),0))</f>
        <v>0</v>
      </c>
      <c r="P4280" s="64" t="n">
        <f aca="false">IF(AND($M4280&gt;0,ISNUMBER(MATCH($F4280,Lists!$A$2:$A$5,0)),ISNUMBER(MATCH($G4280,Lists!$B$2:$B$7,0)),OR($H4280="",$N4280&gt;0),OR($I4280="",$I4280="NR",$O4280&gt;0),IF(ISNUMBER($J4280),AND($J4280&gt;=0,$J4280=INT($J4280)),FALSE())),$J4280,0)</f>
        <v>0</v>
      </c>
      <c r="Q4280" s="64" t="n">
        <f aca="false">IF(AND($P4280&gt;0,$O4280&gt;0),$P4280,0)</f>
        <v>0</v>
      </c>
      <c r="R4280" s="64" t="n">
        <f aca="false">IF(AND($Q4280&gt;0,$O4280&gt;=AtRank),$Q4280,0)</f>
        <v>0</v>
      </c>
      <c r="S4280" s="64" t="n">
        <f aca="false">IF(AND($Q4280&gt;0,$O4280&gt;=AboveRank),$Q4280,0)</f>
        <v>0</v>
      </c>
      <c r="T4280" s="64" t="n">
        <f aca="false">IF($K4280="Less",$P4280,0)</f>
        <v>0</v>
      </c>
      <c r="U4280" s="64" t="n">
        <f aca="false">IF($K4280="Expected",$P4280,0)</f>
        <v>0</v>
      </c>
      <c r="V4280" s="64" t="n">
        <f aca="false">IF($K4280="Better",$P4280,0)</f>
        <v>0</v>
      </c>
      <c r="W4280" s="64" t="n">
        <f aca="false">IF($K4280="U – needs rule",$P4280,0)</f>
        <v>0</v>
      </c>
      <c r="X4280" s="64" t="n">
        <f aca="false">IF($K4280="No Start (attainment only)",$P4280,0)</f>
        <v>0</v>
      </c>
    </row>
    <row r="4281" customFormat="false" ht="15" hidden="false" customHeight="false" outlineLevel="0" collapsed="false">
      <c r="A4281" s="60"/>
      <c r="B4281" s="61" t="str">
        <f aca="false">IF($M4281=0,"",INDEX(Classes!$E$6:$E$420,$M4281))</f>
        <v/>
      </c>
      <c r="C4281" s="62" t="str">
        <f aca="false">IF($M4281=0,"",INDEX(Classes!$H$6:$H$420,$M4281))</f>
        <v/>
      </c>
      <c r="D4281" s="61" t="str">
        <f aca="false">IF($M4281=0,"",INDEX(Classes!$B$6:$B$420,$M4281))</f>
        <v/>
      </c>
      <c r="E4281" s="61" t="str">
        <f aca="false">IF($M4281=0,"",INDEX(Classes!$C$6:$C$420,$M4281))</f>
        <v/>
      </c>
      <c r="F4281" s="63"/>
      <c r="G4281" s="63"/>
      <c r="H4281" s="60"/>
      <c r="I4281" s="60"/>
      <c r="J4281" s="63"/>
      <c r="K4281" s="61" t="str">
        <f aca="false">IF($P4281=0,"",IF($F4281="Baseline","— Baseline",IF($O4281=0,"No result",IF($N4281=0,"No Start (attainment only)",IF(OR($N4281=1,$O4281=1),"U – needs rule",INDEX(MxBody,MATCH($I4281,MxCurr,0),MATCH($H4281,MxStart,0)))))))</f>
        <v/>
      </c>
      <c r="L4281" s="62" t="str">
        <f aca="false">IF(COUNTA($A4281,$F4281,$G4281,$H4281,$I4281,$J4281)=0,"",IF($M4281=0,"✖ كود الصف غير موجود",IF(ISNA(MATCH($F4281,Lists!$A$2:$A$5,0)),"✖ الفترة غير صحيحة",IF(ISNA(MATCH($G4281,Lists!$B$2:$B$7,0)),"✖ المجموعة غير صحيحة",IF(NOT(OR($H4281="",$N4281&gt;0)),"✖ Start غير صحيح",IF(NOT(OR($I4281="",$I4281="NR",$O4281&gt;0)),"✖ Current غير صحيح",IF(NOT(IF(ISNUMBER($J4281),AND($J4281&gt;=0,$J4281=INT($J4281)),FALSE())),"✖ العدد يجب أن يكون صحيحًا ≥ 0",IF(AND($F4281="Baseline",$H4281&lt;&gt;""),"⚠ Baseline: Start لا يدخل في التقدم",IF($K4281="No Start (attainment only)","ℹ تحصيل فقط (بدون Start)",IF($K4281="U – needs rule","ℹ حالة U تحتاج قاعدة معتمدة",IF($K4281="No result","ℹ بدون نتيجة (يُستبعد من التحصيل)","OK")))))))))))</f>
        <v/>
      </c>
      <c r="M4281" s="64" t="n">
        <f aca="false">IF($A4281="",0,IFERROR(MATCH($A4281,Classes!$A$6:$A$420,0),0))</f>
        <v>0</v>
      </c>
      <c r="N4281" s="64" t="n">
        <f aca="false">IF($H4281="",0,IFERROR(MATCH($H4281,GradeList,0),0))</f>
        <v>0</v>
      </c>
      <c r="O4281" s="64" t="n">
        <f aca="false">IF(OR($I4281="",$I4281="NR"),0,IFERROR(MATCH($I4281,GradeList,0),0))</f>
        <v>0</v>
      </c>
      <c r="P4281" s="64" t="n">
        <f aca="false">IF(AND($M4281&gt;0,ISNUMBER(MATCH($F4281,Lists!$A$2:$A$5,0)),ISNUMBER(MATCH($G4281,Lists!$B$2:$B$7,0)),OR($H4281="",$N4281&gt;0),OR($I4281="",$I4281="NR",$O4281&gt;0),IF(ISNUMBER($J4281),AND($J4281&gt;=0,$J4281=INT($J4281)),FALSE())),$J4281,0)</f>
        <v>0</v>
      </c>
      <c r="Q4281" s="64" t="n">
        <f aca="false">IF(AND($P4281&gt;0,$O4281&gt;0),$P4281,0)</f>
        <v>0</v>
      </c>
      <c r="R4281" s="64" t="n">
        <f aca="false">IF(AND($Q4281&gt;0,$O4281&gt;=AtRank),$Q4281,0)</f>
        <v>0</v>
      </c>
      <c r="S4281" s="64" t="n">
        <f aca="false">IF(AND($Q4281&gt;0,$O4281&gt;=AboveRank),$Q4281,0)</f>
        <v>0</v>
      </c>
      <c r="T4281" s="64" t="n">
        <f aca="false">IF($K4281="Less",$P4281,0)</f>
        <v>0</v>
      </c>
      <c r="U4281" s="64" t="n">
        <f aca="false">IF($K4281="Expected",$P4281,0)</f>
        <v>0</v>
      </c>
      <c r="V4281" s="64" t="n">
        <f aca="false">IF($K4281="Better",$P4281,0)</f>
        <v>0</v>
      </c>
      <c r="W4281" s="64" t="n">
        <f aca="false">IF($K4281="U – needs rule",$P4281,0)</f>
        <v>0</v>
      </c>
      <c r="X4281" s="64" t="n">
        <f aca="false">IF($K4281="No Start (attainment only)",$P4281,0)</f>
        <v>0</v>
      </c>
    </row>
    <row r="4282" customFormat="false" ht="15" hidden="false" customHeight="false" outlineLevel="0" collapsed="false">
      <c r="A4282" s="60"/>
      <c r="B4282" s="61" t="str">
        <f aca="false">IF($M4282=0,"",INDEX(Classes!$E$6:$E$420,$M4282))</f>
        <v/>
      </c>
      <c r="C4282" s="62" t="str">
        <f aca="false">IF($M4282=0,"",INDEX(Classes!$H$6:$H$420,$M4282))</f>
        <v/>
      </c>
      <c r="D4282" s="61" t="str">
        <f aca="false">IF($M4282=0,"",INDEX(Classes!$B$6:$B$420,$M4282))</f>
        <v/>
      </c>
      <c r="E4282" s="61" t="str">
        <f aca="false">IF($M4282=0,"",INDEX(Classes!$C$6:$C$420,$M4282))</f>
        <v/>
      </c>
      <c r="F4282" s="63"/>
      <c r="G4282" s="63"/>
      <c r="H4282" s="60"/>
      <c r="I4282" s="60"/>
      <c r="J4282" s="63"/>
      <c r="K4282" s="61" t="str">
        <f aca="false">IF($P4282=0,"",IF($F4282="Baseline","— Baseline",IF($O4282=0,"No result",IF($N4282=0,"No Start (attainment only)",IF(OR($N4282=1,$O4282=1),"U – needs rule",INDEX(MxBody,MATCH($I4282,MxCurr,0),MATCH($H4282,MxStart,0)))))))</f>
        <v/>
      </c>
      <c r="L4282" s="62" t="str">
        <f aca="false">IF(COUNTA($A4282,$F4282,$G4282,$H4282,$I4282,$J4282)=0,"",IF($M4282=0,"✖ كود الصف غير موجود",IF(ISNA(MATCH($F4282,Lists!$A$2:$A$5,0)),"✖ الفترة غير صحيحة",IF(ISNA(MATCH($G4282,Lists!$B$2:$B$7,0)),"✖ المجموعة غير صحيحة",IF(NOT(OR($H4282="",$N4282&gt;0)),"✖ Start غير صحيح",IF(NOT(OR($I4282="",$I4282="NR",$O4282&gt;0)),"✖ Current غير صحيح",IF(NOT(IF(ISNUMBER($J4282),AND($J4282&gt;=0,$J4282=INT($J4282)),FALSE())),"✖ العدد يجب أن يكون صحيحًا ≥ 0",IF(AND($F4282="Baseline",$H4282&lt;&gt;""),"⚠ Baseline: Start لا يدخل في التقدم",IF($K4282="No Start (attainment only)","ℹ تحصيل فقط (بدون Start)",IF($K4282="U – needs rule","ℹ حالة U تحتاج قاعدة معتمدة",IF($K4282="No result","ℹ بدون نتيجة (يُستبعد من التحصيل)","OK")))))))))))</f>
        <v/>
      </c>
      <c r="M4282" s="64" t="n">
        <f aca="false">IF($A4282="",0,IFERROR(MATCH($A4282,Classes!$A$6:$A$420,0),0))</f>
        <v>0</v>
      </c>
      <c r="N4282" s="64" t="n">
        <f aca="false">IF($H4282="",0,IFERROR(MATCH($H4282,GradeList,0),0))</f>
        <v>0</v>
      </c>
      <c r="O4282" s="64" t="n">
        <f aca="false">IF(OR($I4282="",$I4282="NR"),0,IFERROR(MATCH($I4282,GradeList,0),0))</f>
        <v>0</v>
      </c>
      <c r="P4282" s="64" t="n">
        <f aca="false">IF(AND($M4282&gt;0,ISNUMBER(MATCH($F4282,Lists!$A$2:$A$5,0)),ISNUMBER(MATCH($G4282,Lists!$B$2:$B$7,0)),OR($H4282="",$N4282&gt;0),OR($I4282="",$I4282="NR",$O4282&gt;0),IF(ISNUMBER($J4282),AND($J4282&gt;=0,$J4282=INT($J4282)),FALSE())),$J4282,0)</f>
        <v>0</v>
      </c>
      <c r="Q4282" s="64" t="n">
        <f aca="false">IF(AND($P4282&gt;0,$O4282&gt;0),$P4282,0)</f>
        <v>0</v>
      </c>
      <c r="R4282" s="64" t="n">
        <f aca="false">IF(AND($Q4282&gt;0,$O4282&gt;=AtRank),$Q4282,0)</f>
        <v>0</v>
      </c>
      <c r="S4282" s="64" t="n">
        <f aca="false">IF(AND($Q4282&gt;0,$O4282&gt;=AboveRank),$Q4282,0)</f>
        <v>0</v>
      </c>
      <c r="T4282" s="64" t="n">
        <f aca="false">IF($K4282="Less",$P4282,0)</f>
        <v>0</v>
      </c>
      <c r="U4282" s="64" t="n">
        <f aca="false">IF($K4282="Expected",$P4282,0)</f>
        <v>0</v>
      </c>
      <c r="V4282" s="64" t="n">
        <f aca="false">IF($K4282="Better",$P4282,0)</f>
        <v>0</v>
      </c>
      <c r="W4282" s="64" t="n">
        <f aca="false">IF($K4282="U – needs rule",$P4282,0)</f>
        <v>0</v>
      </c>
      <c r="X4282" s="64" t="n">
        <f aca="false">IF($K4282="No Start (attainment only)",$P4282,0)</f>
        <v>0</v>
      </c>
    </row>
    <row r="4283" customFormat="false" ht="15" hidden="false" customHeight="false" outlineLevel="0" collapsed="false">
      <c r="A4283" s="60"/>
      <c r="B4283" s="61" t="str">
        <f aca="false">IF($M4283=0,"",INDEX(Classes!$E$6:$E$420,$M4283))</f>
        <v/>
      </c>
      <c r="C4283" s="62" t="str">
        <f aca="false">IF($M4283=0,"",INDEX(Classes!$H$6:$H$420,$M4283))</f>
        <v/>
      </c>
      <c r="D4283" s="61" t="str">
        <f aca="false">IF($M4283=0,"",INDEX(Classes!$B$6:$B$420,$M4283))</f>
        <v/>
      </c>
      <c r="E4283" s="61" t="str">
        <f aca="false">IF($M4283=0,"",INDEX(Classes!$C$6:$C$420,$M4283))</f>
        <v/>
      </c>
      <c r="F4283" s="63"/>
      <c r="G4283" s="63"/>
      <c r="H4283" s="60"/>
      <c r="I4283" s="60"/>
      <c r="J4283" s="63"/>
      <c r="K4283" s="61" t="str">
        <f aca="false">IF($P4283=0,"",IF($F4283="Baseline","— Baseline",IF($O4283=0,"No result",IF($N4283=0,"No Start (attainment only)",IF(OR($N4283=1,$O4283=1),"U – needs rule",INDEX(MxBody,MATCH($I4283,MxCurr,0),MATCH($H4283,MxStart,0)))))))</f>
        <v/>
      </c>
      <c r="L4283" s="62" t="str">
        <f aca="false">IF(COUNTA($A4283,$F4283,$G4283,$H4283,$I4283,$J4283)=0,"",IF($M4283=0,"✖ كود الصف غير موجود",IF(ISNA(MATCH($F4283,Lists!$A$2:$A$5,0)),"✖ الفترة غير صحيحة",IF(ISNA(MATCH($G4283,Lists!$B$2:$B$7,0)),"✖ المجموعة غير صحيحة",IF(NOT(OR($H4283="",$N4283&gt;0)),"✖ Start غير صحيح",IF(NOT(OR($I4283="",$I4283="NR",$O4283&gt;0)),"✖ Current غير صحيح",IF(NOT(IF(ISNUMBER($J4283),AND($J4283&gt;=0,$J4283=INT($J4283)),FALSE())),"✖ العدد يجب أن يكون صحيحًا ≥ 0",IF(AND($F4283="Baseline",$H4283&lt;&gt;""),"⚠ Baseline: Start لا يدخل في التقدم",IF($K4283="No Start (attainment only)","ℹ تحصيل فقط (بدون Start)",IF($K4283="U – needs rule","ℹ حالة U تحتاج قاعدة معتمدة",IF($K4283="No result","ℹ بدون نتيجة (يُستبعد من التحصيل)","OK")))))))))))</f>
        <v/>
      </c>
      <c r="M4283" s="64" t="n">
        <f aca="false">IF($A4283="",0,IFERROR(MATCH($A4283,Classes!$A$6:$A$420,0),0))</f>
        <v>0</v>
      </c>
      <c r="N4283" s="64" t="n">
        <f aca="false">IF($H4283="",0,IFERROR(MATCH($H4283,GradeList,0),0))</f>
        <v>0</v>
      </c>
      <c r="O4283" s="64" t="n">
        <f aca="false">IF(OR($I4283="",$I4283="NR"),0,IFERROR(MATCH($I4283,GradeList,0),0))</f>
        <v>0</v>
      </c>
      <c r="P4283" s="64" t="n">
        <f aca="false">IF(AND($M4283&gt;0,ISNUMBER(MATCH($F4283,Lists!$A$2:$A$5,0)),ISNUMBER(MATCH($G4283,Lists!$B$2:$B$7,0)),OR($H4283="",$N4283&gt;0),OR($I4283="",$I4283="NR",$O4283&gt;0),IF(ISNUMBER($J4283),AND($J4283&gt;=0,$J4283=INT($J4283)),FALSE())),$J4283,0)</f>
        <v>0</v>
      </c>
      <c r="Q4283" s="64" t="n">
        <f aca="false">IF(AND($P4283&gt;0,$O4283&gt;0),$P4283,0)</f>
        <v>0</v>
      </c>
      <c r="R4283" s="64" t="n">
        <f aca="false">IF(AND($Q4283&gt;0,$O4283&gt;=AtRank),$Q4283,0)</f>
        <v>0</v>
      </c>
      <c r="S4283" s="64" t="n">
        <f aca="false">IF(AND($Q4283&gt;0,$O4283&gt;=AboveRank),$Q4283,0)</f>
        <v>0</v>
      </c>
      <c r="T4283" s="64" t="n">
        <f aca="false">IF($K4283="Less",$P4283,0)</f>
        <v>0</v>
      </c>
      <c r="U4283" s="64" t="n">
        <f aca="false">IF($K4283="Expected",$P4283,0)</f>
        <v>0</v>
      </c>
      <c r="V4283" s="64" t="n">
        <f aca="false">IF($K4283="Better",$P4283,0)</f>
        <v>0</v>
      </c>
      <c r="W4283" s="64" t="n">
        <f aca="false">IF($K4283="U – needs rule",$P4283,0)</f>
        <v>0</v>
      </c>
      <c r="X4283" s="64" t="n">
        <f aca="false">IF($K4283="No Start (attainment only)",$P4283,0)</f>
        <v>0</v>
      </c>
    </row>
    <row r="4284" customFormat="false" ht="15" hidden="false" customHeight="false" outlineLevel="0" collapsed="false">
      <c r="A4284" s="60"/>
      <c r="B4284" s="61" t="str">
        <f aca="false">IF($M4284=0,"",INDEX(Classes!$E$6:$E$420,$M4284))</f>
        <v/>
      </c>
      <c r="C4284" s="62" t="str">
        <f aca="false">IF($M4284=0,"",INDEX(Classes!$H$6:$H$420,$M4284))</f>
        <v/>
      </c>
      <c r="D4284" s="61" t="str">
        <f aca="false">IF($M4284=0,"",INDEX(Classes!$B$6:$B$420,$M4284))</f>
        <v/>
      </c>
      <c r="E4284" s="61" t="str">
        <f aca="false">IF($M4284=0,"",INDEX(Classes!$C$6:$C$420,$M4284))</f>
        <v/>
      </c>
      <c r="F4284" s="63"/>
      <c r="G4284" s="63"/>
      <c r="H4284" s="60"/>
      <c r="I4284" s="60"/>
      <c r="J4284" s="63"/>
      <c r="K4284" s="61" t="str">
        <f aca="false">IF($P4284=0,"",IF($F4284="Baseline","— Baseline",IF($O4284=0,"No result",IF($N4284=0,"No Start (attainment only)",IF(OR($N4284=1,$O4284=1),"U – needs rule",INDEX(MxBody,MATCH($I4284,MxCurr,0),MATCH($H4284,MxStart,0)))))))</f>
        <v/>
      </c>
      <c r="L4284" s="62" t="str">
        <f aca="false">IF(COUNTA($A4284,$F4284,$G4284,$H4284,$I4284,$J4284)=0,"",IF($M4284=0,"✖ كود الصف غير موجود",IF(ISNA(MATCH($F4284,Lists!$A$2:$A$5,0)),"✖ الفترة غير صحيحة",IF(ISNA(MATCH($G4284,Lists!$B$2:$B$7,0)),"✖ المجموعة غير صحيحة",IF(NOT(OR($H4284="",$N4284&gt;0)),"✖ Start غير صحيح",IF(NOT(OR($I4284="",$I4284="NR",$O4284&gt;0)),"✖ Current غير صحيح",IF(NOT(IF(ISNUMBER($J4284),AND($J4284&gt;=0,$J4284=INT($J4284)),FALSE())),"✖ العدد يجب أن يكون صحيحًا ≥ 0",IF(AND($F4284="Baseline",$H4284&lt;&gt;""),"⚠ Baseline: Start لا يدخل في التقدم",IF($K4284="No Start (attainment only)","ℹ تحصيل فقط (بدون Start)",IF($K4284="U – needs rule","ℹ حالة U تحتاج قاعدة معتمدة",IF($K4284="No result","ℹ بدون نتيجة (يُستبعد من التحصيل)","OK")))))))))))</f>
        <v/>
      </c>
      <c r="M4284" s="64" t="n">
        <f aca="false">IF($A4284="",0,IFERROR(MATCH($A4284,Classes!$A$6:$A$420,0),0))</f>
        <v>0</v>
      </c>
      <c r="N4284" s="64" t="n">
        <f aca="false">IF($H4284="",0,IFERROR(MATCH($H4284,GradeList,0),0))</f>
        <v>0</v>
      </c>
      <c r="O4284" s="64" t="n">
        <f aca="false">IF(OR($I4284="",$I4284="NR"),0,IFERROR(MATCH($I4284,GradeList,0),0))</f>
        <v>0</v>
      </c>
      <c r="P4284" s="64" t="n">
        <f aca="false">IF(AND($M4284&gt;0,ISNUMBER(MATCH($F4284,Lists!$A$2:$A$5,0)),ISNUMBER(MATCH($G4284,Lists!$B$2:$B$7,0)),OR($H4284="",$N4284&gt;0),OR($I4284="",$I4284="NR",$O4284&gt;0),IF(ISNUMBER($J4284),AND($J4284&gt;=0,$J4284=INT($J4284)),FALSE())),$J4284,0)</f>
        <v>0</v>
      </c>
      <c r="Q4284" s="64" t="n">
        <f aca="false">IF(AND($P4284&gt;0,$O4284&gt;0),$P4284,0)</f>
        <v>0</v>
      </c>
      <c r="R4284" s="64" t="n">
        <f aca="false">IF(AND($Q4284&gt;0,$O4284&gt;=AtRank),$Q4284,0)</f>
        <v>0</v>
      </c>
      <c r="S4284" s="64" t="n">
        <f aca="false">IF(AND($Q4284&gt;0,$O4284&gt;=AboveRank),$Q4284,0)</f>
        <v>0</v>
      </c>
      <c r="T4284" s="64" t="n">
        <f aca="false">IF($K4284="Less",$P4284,0)</f>
        <v>0</v>
      </c>
      <c r="U4284" s="64" t="n">
        <f aca="false">IF($K4284="Expected",$P4284,0)</f>
        <v>0</v>
      </c>
      <c r="V4284" s="64" t="n">
        <f aca="false">IF($K4284="Better",$P4284,0)</f>
        <v>0</v>
      </c>
      <c r="W4284" s="64" t="n">
        <f aca="false">IF($K4284="U – needs rule",$P4284,0)</f>
        <v>0</v>
      </c>
      <c r="X4284" s="64" t="n">
        <f aca="false">IF($K4284="No Start (attainment only)",$P4284,0)</f>
        <v>0</v>
      </c>
    </row>
    <row r="4285" customFormat="false" ht="15" hidden="false" customHeight="false" outlineLevel="0" collapsed="false">
      <c r="A4285" s="60"/>
      <c r="B4285" s="61" t="str">
        <f aca="false">IF($M4285=0,"",INDEX(Classes!$E$6:$E$420,$M4285))</f>
        <v/>
      </c>
      <c r="C4285" s="62" t="str">
        <f aca="false">IF($M4285=0,"",INDEX(Classes!$H$6:$H$420,$M4285))</f>
        <v/>
      </c>
      <c r="D4285" s="61" t="str">
        <f aca="false">IF($M4285=0,"",INDEX(Classes!$B$6:$B$420,$M4285))</f>
        <v/>
      </c>
      <c r="E4285" s="61" t="str">
        <f aca="false">IF($M4285=0,"",INDEX(Classes!$C$6:$C$420,$M4285))</f>
        <v/>
      </c>
      <c r="F4285" s="63"/>
      <c r="G4285" s="63"/>
      <c r="H4285" s="60"/>
      <c r="I4285" s="60"/>
      <c r="J4285" s="63"/>
      <c r="K4285" s="61" t="str">
        <f aca="false">IF($P4285=0,"",IF($F4285="Baseline","— Baseline",IF($O4285=0,"No result",IF($N4285=0,"No Start (attainment only)",IF(OR($N4285=1,$O4285=1),"U – needs rule",INDEX(MxBody,MATCH($I4285,MxCurr,0),MATCH($H4285,MxStart,0)))))))</f>
        <v/>
      </c>
      <c r="L4285" s="62" t="str">
        <f aca="false">IF(COUNTA($A4285,$F4285,$G4285,$H4285,$I4285,$J4285)=0,"",IF($M4285=0,"✖ كود الصف غير موجود",IF(ISNA(MATCH($F4285,Lists!$A$2:$A$5,0)),"✖ الفترة غير صحيحة",IF(ISNA(MATCH($G4285,Lists!$B$2:$B$7,0)),"✖ المجموعة غير صحيحة",IF(NOT(OR($H4285="",$N4285&gt;0)),"✖ Start غير صحيح",IF(NOT(OR($I4285="",$I4285="NR",$O4285&gt;0)),"✖ Current غير صحيح",IF(NOT(IF(ISNUMBER($J4285),AND($J4285&gt;=0,$J4285=INT($J4285)),FALSE())),"✖ العدد يجب أن يكون صحيحًا ≥ 0",IF(AND($F4285="Baseline",$H4285&lt;&gt;""),"⚠ Baseline: Start لا يدخل في التقدم",IF($K4285="No Start (attainment only)","ℹ تحصيل فقط (بدون Start)",IF($K4285="U – needs rule","ℹ حالة U تحتاج قاعدة معتمدة",IF($K4285="No result","ℹ بدون نتيجة (يُستبعد من التحصيل)","OK")))))))))))</f>
        <v/>
      </c>
      <c r="M4285" s="64" t="n">
        <f aca="false">IF($A4285="",0,IFERROR(MATCH($A4285,Classes!$A$6:$A$420,0),0))</f>
        <v>0</v>
      </c>
      <c r="N4285" s="64" t="n">
        <f aca="false">IF($H4285="",0,IFERROR(MATCH($H4285,GradeList,0),0))</f>
        <v>0</v>
      </c>
      <c r="O4285" s="64" t="n">
        <f aca="false">IF(OR($I4285="",$I4285="NR"),0,IFERROR(MATCH($I4285,GradeList,0),0))</f>
        <v>0</v>
      </c>
      <c r="P4285" s="64" t="n">
        <f aca="false">IF(AND($M4285&gt;0,ISNUMBER(MATCH($F4285,Lists!$A$2:$A$5,0)),ISNUMBER(MATCH($G4285,Lists!$B$2:$B$7,0)),OR($H4285="",$N4285&gt;0),OR($I4285="",$I4285="NR",$O4285&gt;0),IF(ISNUMBER($J4285),AND($J4285&gt;=0,$J4285=INT($J4285)),FALSE())),$J4285,0)</f>
        <v>0</v>
      </c>
      <c r="Q4285" s="64" t="n">
        <f aca="false">IF(AND($P4285&gt;0,$O4285&gt;0),$P4285,0)</f>
        <v>0</v>
      </c>
      <c r="R4285" s="64" t="n">
        <f aca="false">IF(AND($Q4285&gt;0,$O4285&gt;=AtRank),$Q4285,0)</f>
        <v>0</v>
      </c>
      <c r="S4285" s="64" t="n">
        <f aca="false">IF(AND($Q4285&gt;0,$O4285&gt;=AboveRank),$Q4285,0)</f>
        <v>0</v>
      </c>
      <c r="T4285" s="64" t="n">
        <f aca="false">IF($K4285="Less",$P4285,0)</f>
        <v>0</v>
      </c>
      <c r="U4285" s="64" t="n">
        <f aca="false">IF($K4285="Expected",$P4285,0)</f>
        <v>0</v>
      </c>
      <c r="V4285" s="64" t="n">
        <f aca="false">IF($K4285="Better",$P4285,0)</f>
        <v>0</v>
      </c>
      <c r="W4285" s="64" t="n">
        <f aca="false">IF($K4285="U – needs rule",$P4285,0)</f>
        <v>0</v>
      </c>
      <c r="X4285" s="64" t="n">
        <f aca="false">IF($K4285="No Start (attainment only)",$P4285,0)</f>
        <v>0</v>
      </c>
    </row>
    <row r="4286" customFormat="false" ht="15" hidden="false" customHeight="false" outlineLevel="0" collapsed="false">
      <c r="A4286" s="60"/>
      <c r="B4286" s="61" t="str">
        <f aca="false">IF($M4286=0,"",INDEX(Classes!$E$6:$E$420,$M4286))</f>
        <v/>
      </c>
      <c r="C4286" s="62" t="str">
        <f aca="false">IF($M4286=0,"",INDEX(Classes!$H$6:$H$420,$M4286))</f>
        <v/>
      </c>
      <c r="D4286" s="61" t="str">
        <f aca="false">IF($M4286=0,"",INDEX(Classes!$B$6:$B$420,$M4286))</f>
        <v/>
      </c>
      <c r="E4286" s="61" t="str">
        <f aca="false">IF($M4286=0,"",INDEX(Classes!$C$6:$C$420,$M4286))</f>
        <v/>
      </c>
      <c r="F4286" s="63"/>
      <c r="G4286" s="63"/>
      <c r="H4286" s="60"/>
      <c r="I4286" s="60"/>
      <c r="J4286" s="63"/>
      <c r="K4286" s="61" t="str">
        <f aca="false">IF($P4286=0,"",IF($F4286="Baseline","— Baseline",IF($O4286=0,"No result",IF($N4286=0,"No Start (attainment only)",IF(OR($N4286=1,$O4286=1),"U – needs rule",INDEX(MxBody,MATCH($I4286,MxCurr,0),MATCH($H4286,MxStart,0)))))))</f>
        <v/>
      </c>
      <c r="L4286" s="62" t="str">
        <f aca="false">IF(COUNTA($A4286,$F4286,$G4286,$H4286,$I4286,$J4286)=0,"",IF($M4286=0,"✖ كود الصف غير موجود",IF(ISNA(MATCH($F4286,Lists!$A$2:$A$5,0)),"✖ الفترة غير صحيحة",IF(ISNA(MATCH($G4286,Lists!$B$2:$B$7,0)),"✖ المجموعة غير صحيحة",IF(NOT(OR($H4286="",$N4286&gt;0)),"✖ Start غير صحيح",IF(NOT(OR($I4286="",$I4286="NR",$O4286&gt;0)),"✖ Current غير صحيح",IF(NOT(IF(ISNUMBER($J4286),AND($J4286&gt;=0,$J4286=INT($J4286)),FALSE())),"✖ العدد يجب أن يكون صحيحًا ≥ 0",IF(AND($F4286="Baseline",$H4286&lt;&gt;""),"⚠ Baseline: Start لا يدخل في التقدم",IF($K4286="No Start (attainment only)","ℹ تحصيل فقط (بدون Start)",IF($K4286="U – needs rule","ℹ حالة U تحتاج قاعدة معتمدة",IF($K4286="No result","ℹ بدون نتيجة (يُستبعد من التحصيل)","OK")))))))))))</f>
        <v/>
      </c>
      <c r="M4286" s="64" t="n">
        <f aca="false">IF($A4286="",0,IFERROR(MATCH($A4286,Classes!$A$6:$A$420,0),0))</f>
        <v>0</v>
      </c>
      <c r="N4286" s="64" t="n">
        <f aca="false">IF($H4286="",0,IFERROR(MATCH($H4286,GradeList,0),0))</f>
        <v>0</v>
      </c>
      <c r="O4286" s="64" t="n">
        <f aca="false">IF(OR($I4286="",$I4286="NR"),0,IFERROR(MATCH($I4286,GradeList,0),0))</f>
        <v>0</v>
      </c>
      <c r="P4286" s="64" t="n">
        <f aca="false">IF(AND($M4286&gt;0,ISNUMBER(MATCH($F4286,Lists!$A$2:$A$5,0)),ISNUMBER(MATCH($G4286,Lists!$B$2:$B$7,0)),OR($H4286="",$N4286&gt;0),OR($I4286="",$I4286="NR",$O4286&gt;0),IF(ISNUMBER($J4286),AND($J4286&gt;=0,$J4286=INT($J4286)),FALSE())),$J4286,0)</f>
        <v>0</v>
      </c>
      <c r="Q4286" s="64" t="n">
        <f aca="false">IF(AND($P4286&gt;0,$O4286&gt;0),$P4286,0)</f>
        <v>0</v>
      </c>
      <c r="R4286" s="64" t="n">
        <f aca="false">IF(AND($Q4286&gt;0,$O4286&gt;=AtRank),$Q4286,0)</f>
        <v>0</v>
      </c>
      <c r="S4286" s="64" t="n">
        <f aca="false">IF(AND($Q4286&gt;0,$O4286&gt;=AboveRank),$Q4286,0)</f>
        <v>0</v>
      </c>
      <c r="T4286" s="64" t="n">
        <f aca="false">IF($K4286="Less",$P4286,0)</f>
        <v>0</v>
      </c>
      <c r="U4286" s="64" t="n">
        <f aca="false">IF($K4286="Expected",$P4286,0)</f>
        <v>0</v>
      </c>
      <c r="V4286" s="64" t="n">
        <f aca="false">IF($K4286="Better",$P4286,0)</f>
        <v>0</v>
      </c>
      <c r="W4286" s="64" t="n">
        <f aca="false">IF($K4286="U – needs rule",$P4286,0)</f>
        <v>0</v>
      </c>
      <c r="X4286" s="64" t="n">
        <f aca="false">IF($K4286="No Start (attainment only)",$P4286,0)</f>
        <v>0</v>
      </c>
    </row>
    <row r="4287" customFormat="false" ht="15" hidden="false" customHeight="false" outlineLevel="0" collapsed="false">
      <c r="A4287" s="60"/>
      <c r="B4287" s="61" t="str">
        <f aca="false">IF($M4287=0,"",INDEX(Classes!$E$6:$E$420,$M4287))</f>
        <v/>
      </c>
      <c r="C4287" s="62" t="str">
        <f aca="false">IF($M4287=0,"",INDEX(Classes!$H$6:$H$420,$M4287))</f>
        <v/>
      </c>
      <c r="D4287" s="61" t="str">
        <f aca="false">IF($M4287=0,"",INDEX(Classes!$B$6:$B$420,$M4287))</f>
        <v/>
      </c>
      <c r="E4287" s="61" t="str">
        <f aca="false">IF($M4287=0,"",INDEX(Classes!$C$6:$C$420,$M4287))</f>
        <v/>
      </c>
      <c r="F4287" s="63"/>
      <c r="G4287" s="63"/>
      <c r="H4287" s="60"/>
      <c r="I4287" s="60"/>
      <c r="J4287" s="63"/>
      <c r="K4287" s="61" t="str">
        <f aca="false">IF($P4287=0,"",IF($F4287="Baseline","— Baseline",IF($O4287=0,"No result",IF($N4287=0,"No Start (attainment only)",IF(OR($N4287=1,$O4287=1),"U – needs rule",INDEX(MxBody,MATCH($I4287,MxCurr,0),MATCH($H4287,MxStart,0)))))))</f>
        <v/>
      </c>
      <c r="L4287" s="62" t="str">
        <f aca="false">IF(COUNTA($A4287,$F4287,$G4287,$H4287,$I4287,$J4287)=0,"",IF($M4287=0,"✖ كود الصف غير موجود",IF(ISNA(MATCH($F4287,Lists!$A$2:$A$5,0)),"✖ الفترة غير صحيحة",IF(ISNA(MATCH($G4287,Lists!$B$2:$B$7,0)),"✖ المجموعة غير صحيحة",IF(NOT(OR($H4287="",$N4287&gt;0)),"✖ Start غير صحيح",IF(NOT(OR($I4287="",$I4287="NR",$O4287&gt;0)),"✖ Current غير صحيح",IF(NOT(IF(ISNUMBER($J4287),AND($J4287&gt;=0,$J4287=INT($J4287)),FALSE())),"✖ العدد يجب أن يكون صحيحًا ≥ 0",IF(AND($F4287="Baseline",$H4287&lt;&gt;""),"⚠ Baseline: Start لا يدخل في التقدم",IF($K4287="No Start (attainment only)","ℹ تحصيل فقط (بدون Start)",IF($K4287="U – needs rule","ℹ حالة U تحتاج قاعدة معتمدة",IF($K4287="No result","ℹ بدون نتيجة (يُستبعد من التحصيل)","OK")))))))))))</f>
        <v/>
      </c>
      <c r="M4287" s="64" t="n">
        <f aca="false">IF($A4287="",0,IFERROR(MATCH($A4287,Classes!$A$6:$A$420,0),0))</f>
        <v>0</v>
      </c>
      <c r="N4287" s="64" t="n">
        <f aca="false">IF($H4287="",0,IFERROR(MATCH($H4287,GradeList,0),0))</f>
        <v>0</v>
      </c>
      <c r="O4287" s="64" t="n">
        <f aca="false">IF(OR($I4287="",$I4287="NR"),0,IFERROR(MATCH($I4287,GradeList,0),0))</f>
        <v>0</v>
      </c>
      <c r="P4287" s="64" t="n">
        <f aca="false">IF(AND($M4287&gt;0,ISNUMBER(MATCH($F4287,Lists!$A$2:$A$5,0)),ISNUMBER(MATCH($G4287,Lists!$B$2:$B$7,0)),OR($H4287="",$N4287&gt;0),OR($I4287="",$I4287="NR",$O4287&gt;0),IF(ISNUMBER($J4287),AND($J4287&gt;=0,$J4287=INT($J4287)),FALSE())),$J4287,0)</f>
        <v>0</v>
      </c>
      <c r="Q4287" s="64" t="n">
        <f aca="false">IF(AND($P4287&gt;0,$O4287&gt;0),$P4287,0)</f>
        <v>0</v>
      </c>
      <c r="R4287" s="64" t="n">
        <f aca="false">IF(AND($Q4287&gt;0,$O4287&gt;=AtRank),$Q4287,0)</f>
        <v>0</v>
      </c>
      <c r="S4287" s="64" t="n">
        <f aca="false">IF(AND($Q4287&gt;0,$O4287&gt;=AboveRank),$Q4287,0)</f>
        <v>0</v>
      </c>
      <c r="T4287" s="64" t="n">
        <f aca="false">IF($K4287="Less",$P4287,0)</f>
        <v>0</v>
      </c>
      <c r="U4287" s="64" t="n">
        <f aca="false">IF($K4287="Expected",$P4287,0)</f>
        <v>0</v>
      </c>
      <c r="V4287" s="64" t="n">
        <f aca="false">IF($K4287="Better",$P4287,0)</f>
        <v>0</v>
      </c>
      <c r="W4287" s="64" t="n">
        <f aca="false">IF($K4287="U – needs rule",$P4287,0)</f>
        <v>0</v>
      </c>
      <c r="X4287" s="64" t="n">
        <f aca="false">IF($K4287="No Start (attainment only)",$P4287,0)</f>
        <v>0</v>
      </c>
    </row>
    <row r="4288" customFormat="false" ht="15" hidden="false" customHeight="false" outlineLevel="0" collapsed="false">
      <c r="A4288" s="60"/>
      <c r="B4288" s="61" t="str">
        <f aca="false">IF($M4288=0,"",INDEX(Classes!$E$6:$E$420,$M4288))</f>
        <v/>
      </c>
      <c r="C4288" s="62" t="str">
        <f aca="false">IF($M4288=0,"",INDEX(Classes!$H$6:$H$420,$M4288))</f>
        <v/>
      </c>
      <c r="D4288" s="61" t="str">
        <f aca="false">IF($M4288=0,"",INDEX(Classes!$B$6:$B$420,$M4288))</f>
        <v/>
      </c>
      <c r="E4288" s="61" t="str">
        <f aca="false">IF($M4288=0,"",INDEX(Classes!$C$6:$C$420,$M4288))</f>
        <v/>
      </c>
      <c r="F4288" s="63"/>
      <c r="G4288" s="63"/>
      <c r="H4288" s="60"/>
      <c r="I4288" s="60"/>
      <c r="J4288" s="63"/>
      <c r="K4288" s="61" t="str">
        <f aca="false">IF($P4288=0,"",IF($F4288="Baseline","— Baseline",IF($O4288=0,"No result",IF($N4288=0,"No Start (attainment only)",IF(OR($N4288=1,$O4288=1),"U – needs rule",INDEX(MxBody,MATCH($I4288,MxCurr,0),MATCH($H4288,MxStart,0)))))))</f>
        <v/>
      </c>
      <c r="L4288" s="62" t="str">
        <f aca="false">IF(COUNTA($A4288,$F4288,$G4288,$H4288,$I4288,$J4288)=0,"",IF($M4288=0,"✖ كود الصف غير موجود",IF(ISNA(MATCH($F4288,Lists!$A$2:$A$5,0)),"✖ الفترة غير صحيحة",IF(ISNA(MATCH($G4288,Lists!$B$2:$B$7,0)),"✖ المجموعة غير صحيحة",IF(NOT(OR($H4288="",$N4288&gt;0)),"✖ Start غير صحيح",IF(NOT(OR($I4288="",$I4288="NR",$O4288&gt;0)),"✖ Current غير صحيح",IF(NOT(IF(ISNUMBER($J4288),AND($J4288&gt;=0,$J4288=INT($J4288)),FALSE())),"✖ العدد يجب أن يكون صحيحًا ≥ 0",IF(AND($F4288="Baseline",$H4288&lt;&gt;""),"⚠ Baseline: Start لا يدخل في التقدم",IF($K4288="No Start (attainment only)","ℹ تحصيل فقط (بدون Start)",IF($K4288="U – needs rule","ℹ حالة U تحتاج قاعدة معتمدة",IF($K4288="No result","ℹ بدون نتيجة (يُستبعد من التحصيل)","OK")))))))))))</f>
        <v/>
      </c>
      <c r="M4288" s="64" t="n">
        <f aca="false">IF($A4288="",0,IFERROR(MATCH($A4288,Classes!$A$6:$A$420,0),0))</f>
        <v>0</v>
      </c>
      <c r="N4288" s="64" t="n">
        <f aca="false">IF($H4288="",0,IFERROR(MATCH($H4288,GradeList,0),0))</f>
        <v>0</v>
      </c>
      <c r="O4288" s="64" t="n">
        <f aca="false">IF(OR($I4288="",$I4288="NR"),0,IFERROR(MATCH($I4288,GradeList,0),0))</f>
        <v>0</v>
      </c>
      <c r="P4288" s="64" t="n">
        <f aca="false">IF(AND($M4288&gt;0,ISNUMBER(MATCH($F4288,Lists!$A$2:$A$5,0)),ISNUMBER(MATCH($G4288,Lists!$B$2:$B$7,0)),OR($H4288="",$N4288&gt;0),OR($I4288="",$I4288="NR",$O4288&gt;0),IF(ISNUMBER($J4288),AND($J4288&gt;=0,$J4288=INT($J4288)),FALSE())),$J4288,0)</f>
        <v>0</v>
      </c>
      <c r="Q4288" s="64" t="n">
        <f aca="false">IF(AND($P4288&gt;0,$O4288&gt;0),$P4288,0)</f>
        <v>0</v>
      </c>
      <c r="R4288" s="64" t="n">
        <f aca="false">IF(AND($Q4288&gt;0,$O4288&gt;=AtRank),$Q4288,0)</f>
        <v>0</v>
      </c>
      <c r="S4288" s="64" t="n">
        <f aca="false">IF(AND($Q4288&gt;0,$O4288&gt;=AboveRank),$Q4288,0)</f>
        <v>0</v>
      </c>
      <c r="T4288" s="64" t="n">
        <f aca="false">IF($K4288="Less",$P4288,0)</f>
        <v>0</v>
      </c>
      <c r="U4288" s="64" t="n">
        <f aca="false">IF($K4288="Expected",$P4288,0)</f>
        <v>0</v>
      </c>
      <c r="V4288" s="64" t="n">
        <f aca="false">IF($K4288="Better",$P4288,0)</f>
        <v>0</v>
      </c>
      <c r="W4288" s="64" t="n">
        <f aca="false">IF($K4288="U – needs rule",$P4288,0)</f>
        <v>0</v>
      </c>
      <c r="X4288" s="64" t="n">
        <f aca="false">IF($K4288="No Start (attainment only)",$P4288,0)</f>
        <v>0</v>
      </c>
    </row>
    <row r="4289" customFormat="false" ht="15" hidden="false" customHeight="false" outlineLevel="0" collapsed="false">
      <c r="A4289" s="60"/>
      <c r="B4289" s="61" t="str">
        <f aca="false">IF($M4289=0,"",INDEX(Classes!$E$6:$E$420,$M4289))</f>
        <v/>
      </c>
      <c r="C4289" s="62" t="str">
        <f aca="false">IF($M4289=0,"",INDEX(Classes!$H$6:$H$420,$M4289))</f>
        <v/>
      </c>
      <c r="D4289" s="61" t="str">
        <f aca="false">IF($M4289=0,"",INDEX(Classes!$B$6:$B$420,$M4289))</f>
        <v/>
      </c>
      <c r="E4289" s="61" t="str">
        <f aca="false">IF($M4289=0,"",INDEX(Classes!$C$6:$C$420,$M4289))</f>
        <v/>
      </c>
      <c r="F4289" s="63"/>
      <c r="G4289" s="63"/>
      <c r="H4289" s="60"/>
      <c r="I4289" s="60"/>
      <c r="J4289" s="63"/>
      <c r="K4289" s="61" t="str">
        <f aca="false">IF($P4289=0,"",IF($F4289="Baseline","— Baseline",IF($O4289=0,"No result",IF($N4289=0,"No Start (attainment only)",IF(OR($N4289=1,$O4289=1),"U – needs rule",INDEX(MxBody,MATCH($I4289,MxCurr,0),MATCH($H4289,MxStart,0)))))))</f>
        <v/>
      </c>
      <c r="L4289" s="62" t="str">
        <f aca="false">IF(COUNTA($A4289,$F4289,$G4289,$H4289,$I4289,$J4289)=0,"",IF($M4289=0,"✖ كود الصف غير موجود",IF(ISNA(MATCH($F4289,Lists!$A$2:$A$5,0)),"✖ الفترة غير صحيحة",IF(ISNA(MATCH($G4289,Lists!$B$2:$B$7,0)),"✖ المجموعة غير صحيحة",IF(NOT(OR($H4289="",$N4289&gt;0)),"✖ Start غير صحيح",IF(NOT(OR($I4289="",$I4289="NR",$O4289&gt;0)),"✖ Current غير صحيح",IF(NOT(IF(ISNUMBER($J4289),AND($J4289&gt;=0,$J4289=INT($J4289)),FALSE())),"✖ العدد يجب أن يكون صحيحًا ≥ 0",IF(AND($F4289="Baseline",$H4289&lt;&gt;""),"⚠ Baseline: Start لا يدخل في التقدم",IF($K4289="No Start (attainment only)","ℹ تحصيل فقط (بدون Start)",IF($K4289="U – needs rule","ℹ حالة U تحتاج قاعدة معتمدة",IF($K4289="No result","ℹ بدون نتيجة (يُستبعد من التحصيل)","OK")))))))))))</f>
        <v/>
      </c>
      <c r="M4289" s="64" t="n">
        <f aca="false">IF($A4289="",0,IFERROR(MATCH($A4289,Classes!$A$6:$A$420,0),0))</f>
        <v>0</v>
      </c>
      <c r="N4289" s="64" t="n">
        <f aca="false">IF($H4289="",0,IFERROR(MATCH($H4289,GradeList,0),0))</f>
        <v>0</v>
      </c>
      <c r="O4289" s="64" t="n">
        <f aca="false">IF(OR($I4289="",$I4289="NR"),0,IFERROR(MATCH($I4289,GradeList,0),0))</f>
        <v>0</v>
      </c>
      <c r="P4289" s="64" t="n">
        <f aca="false">IF(AND($M4289&gt;0,ISNUMBER(MATCH($F4289,Lists!$A$2:$A$5,0)),ISNUMBER(MATCH($G4289,Lists!$B$2:$B$7,0)),OR($H4289="",$N4289&gt;0),OR($I4289="",$I4289="NR",$O4289&gt;0),IF(ISNUMBER($J4289),AND($J4289&gt;=0,$J4289=INT($J4289)),FALSE())),$J4289,0)</f>
        <v>0</v>
      </c>
      <c r="Q4289" s="64" t="n">
        <f aca="false">IF(AND($P4289&gt;0,$O4289&gt;0),$P4289,0)</f>
        <v>0</v>
      </c>
      <c r="R4289" s="64" t="n">
        <f aca="false">IF(AND($Q4289&gt;0,$O4289&gt;=AtRank),$Q4289,0)</f>
        <v>0</v>
      </c>
      <c r="S4289" s="64" t="n">
        <f aca="false">IF(AND($Q4289&gt;0,$O4289&gt;=AboveRank),$Q4289,0)</f>
        <v>0</v>
      </c>
      <c r="T4289" s="64" t="n">
        <f aca="false">IF($K4289="Less",$P4289,0)</f>
        <v>0</v>
      </c>
      <c r="U4289" s="64" t="n">
        <f aca="false">IF($K4289="Expected",$P4289,0)</f>
        <v>0</v>
      </c>
      <c r="V4289" s="64" t="n">
        <f aca="false">IF($K4289="Better",$P4289,0)</f>
        <v>0</v>
      </c>
      <c r="W4289" s="64" t="n">
        <f aca="false">IF($K4289="U – needs rule",$P4289,0)</f>
        <v>0</v>
      </c>
      <c r="X4289" s="64" t="n">
        <f aca="false">IF($K4289="No Start (attainment only)",$P4289,0)</f>
        <v>0</v>
      </c>
    </row>
    <row r="4290" customFormat="false" ht="15" hidden="false" customHeight="false" outlineLevel="0" collapsed="false">
      <c r="A4290" s="60"/>
      <c r="B4290" s="61" t="str">
        <f aca="false">IF($M4290=0,"",INDEX(Classes!$E$6:$E$420,$M4290))</f>
        <v/>
      </c>
      <c r="C4290" s="62" t="str">
        <f aca="false">IF($M4290=0,"",INDEX(Classes!$H$6:$H$420,$M4290))</f>
        <v/>
      </c>
      <c r="D4290" s="61" t="str">
        <f aca="false">IF($M4290=0,"",INDEX(Classes!$B$6:$B$420,$M4290))</f>
        <v/>
      </c>
      <c r="E4290" s="61" t="str">
        <f aca="false">IF($M4290=0,"",INDEX(Classes!$C$6:$C$420,$M4290))</f>
        <v/>
      </c>
      <c r="F4290" s="63"/>
      <c r="G4290" s="63"/>
      <c r="H4290" s="60"/>
      <c r="I4290" s="60"/>
      <c r="J4290" s="63"/>
      <c r="K4290" s="61" t="str">
        <f aca="false">IF($P4290=0,"",IF($F4290="Baseline","— Baseline",IF($O4290=0,"No result",IF($N4290=0,"No Start (attainment only)",IF(OR($N4290=1,$O4290=1),"U – needs rule",INDEX(MxBody,MATCH($I4290,MxCurr,0),MATCH($H4290,MxStart,0)))))))</f>
        <v/>
      </c>
      <c r="L4290" s="62" t="str">
        <f aca="false">IF(COUNTA($A4290,$F4290,$G4290,$H4290,$I4290,$J4290)=0,"",IF($M4290=0,"✖ كود الصف غير موجود",IF(ISNA(MATCH($F4290,Lists!$A$2:$A$5,0)),"✖ الفترة غير صحيحة",IF(ISNA(MATCH($G4290,Lists!$B$2:$B$7,0)),"✖ المجموعة غير صحيحة",IF(NOT(OR($H4290="",$N4290&gt;0)),"✖ Start غير صحيح",IF(NOT(OR($I4290="",$I4290="NR",$O4290&gt;0)),"✖ Current غير صحيح",IF(NOT(IF(ISNUMBER($J4290),AND($J4290&gt;=0,$J4290=INT($J4290)),FALSE())),"✖ العدد يجب أن يكون صحيحًا ≥ 0",IF(AND($F4290="Baseline",$H4290&lt;&gt;""),"⚠ Baseline: Start لا يدخل في التقدم",IF($K4290="No Start (attainment only)","ℹ تحصيل فقط (بدون Start)",IF($K4290="U – needs rule","ℹ حالة U تحتاج قاعدة معتمدة",IF($K4290="No result","ℹ بدون نتيجة (يُستبعد من التحصيل)","OK")))))))))))</f>
        <v/>
      </c>
      <c r="M4290" s="64" t="n">
        <f aca="false">IF($A4290="",0,IFERROR(MATCH($A4290,Classes!$A$6:$A$420,0),0))</f>
        <v>0</v>
      </c>
      <c r="N4290" s="64" t="n">
        <f aca="false">IF($H4290="",0,IFERROR(MATCH($H4290,GradeList,0),0))</f>
        <v>0</v>
      </c>
      <c r="O4290" s="64" t="n">
        <f aca="false">IF(OR($I4290="",$I4290="NR"),0,IFERROR(MATCH($I4290,GradeList,0),0))</f>
        <v>0</v>
      </c>
      <c r="P4290" s="64" t="n">
        <f aca="false">IF(AND($M4290&gt;0,ISNUMBER(MATCH($F4290,Lists!$A$2:$A$5,0)),ISNUMBER(MATCH($G4290,Lists!$B$2:$B$7,0)),OR($H4290="",$N4290&gt;0),OR($I4290="",$I4290="NR",$O4290&gt;0),IF(ISNUMBER($J4290),AND($J4290&gt;=0,$J4290=INT($J4290)),FALSE())),$J4290,0)</f>
        <v>0</v>
      </c>
      <c r="Q4290" s="64" t="n">
        <f aca="false">IF(AND($P4290&gt;0,$O4290&gt;0),$P4290,0)</f>
        <v>0</v>
      </c>
      <c r="R4290" s="64" t="n">
        <f aca="false">IF(AND($Q4290&gt;0,$O4290&gt;=AtRank),$Q4290,0)</f>
        <v>0</v>
      </c>
      <c r="S4290" s="64" t="n">
        <f aca="false">IF(AND($Q4290&gt;0,$O4290&gt;=AboveRank),$Q4290,0)</f>
        <v>0</v>
      </c>
      <c r="T4290" s="64" t="n">
        <f aca="false">IF($K4290="Less",$P4290,0)</f>
        <v>0</v>
      </c>
      <c r="U4290" s="64" t="n">
        <f aca="false">IF($K4290="Expected",$P4290,0)</f>
        <v>0</v>
      </c>
      <c r="V4290" s="64" t="n">
        <f aca="false">IF($K4290="Better",$P4290,0)</f>
        <v>0</v>
      </c>
      <c r="W4290" s="64" t="n">
        <f aca="false">IF($K4290="U – needs rule",$P4290,0)</f>
        <v>0</v>
      </c>
      <c r="X4290" s="64" t="n">
        <f aca="false">IF($K4290="No Start (attainment only)",$P4290,0)</f>
        <v>0</v>
      </c>
    </row>
    <row r="4291" customFormat="false" ht="15" hidden="false" customHeight="false" outlineLevel="0" collapsed="false">
      <c r="A4291" s="60"/>
      <c r="B4291" s="61" t="str">
        <f aca="false">IF($M4291=0,"",INDEX(Classes!$E$6:$E$420,$M4291))</f>
        <v/>
      </c>
      <c r="C4291" s="62" t="str">
        <f aca="false">IF($M4291=0,"",INDEX(Classes!$H$6:$H$420,$M4291))</f>
        <v/>
      </c>
      <c r="D4291" s="61" t="str">
        <f aca="false">IF($M4291=0,"",INDEX(Classes!$B$6:$B$420,$M4291))</f>
        <v/>
      </c>
      <c r="E4291" s="61" t="str">
        <f aca="false">IF($M4291=0,"",INDEX(Classes!$C$6:$C$420,$M4291))</f>
        <v/>
      </c>
      <c r="F4291" s="63"/>
      <c r="G4291" s="63"/>
      <c r="H4291" s="60"/>
      <c r="I4291" s="60"/>
      <c r="J4291" s="63"/>
      <c r="K4291" s="61" t="str">
        <f aca="false">IF($P4291=0,"",IF($F4291="Baseline","— Baseline",IF($O4291=0,"No result",IF($N4291=0,"No Start (attainment only)",IF(OR($N4291=1,$O4291=1),"U – needs rule",INDEX(MxBody,MATCH($I4291,MxCurr,0),MATCH($H4291,MxStart,0)))))))</f>
        <v/>
      </c>
      <c r="L4291" s="62" t="str">
        <f aca="false">IF(COUNTA($A4291,$F4291,$G4291,$H4291,$I4291,$J4291)=0,"",IF($M4291=0,"✖ كود الصف غير موجود",IF(ISNA(MATCH($F4291,Lists!$A$2:$A$5,0)),"✖ الفترة غير صحيحة",IF(ISNA(MATCH($G4291,Lists!$B$2:$B$7,0)),"✖ المجموعة غير صحيحة",IF(NOT(OR($H4291="",$N4291&gt;0)),"✖ Start غير صحيح",IF(NOT(OR($I4291="",$I4291="NR",$O4291&gt;0)),"✖ Current غير صحيح",IF(NOT(IF(ISNUMBER($J4291),AND($J4291&gt;=0,$J4291=INT($J4291)),FALSE())),"✖ العدد يجب أن يكون صحيحًا ≥ 0",IF(AND($F4291="Baseline",$H4291&lt;&gt;""),"⚠ Baseline: Start لا يدخل في التقدم",IF($K4291="No Start (attainment only)","ℹ تحصيل فقط (بدون Start)",IF($K4291="U – needs rule","ℹ حالة U تحتاج قاعدة معتمدة",IF($K4291="No result","ℹ بدون نتيجة (يُستبعد من التحصيل)","OK")))))))))))</f>
        <v/>
      </c>
      <c r="M4291" s="64" t="n">
        <f aca="false">IF($A4291="",0,IFERROR(MATCH($A4291,Classes!$A$6:$A$420,0),0))</f>
        <v>0</v>
      </c>
      <c r="N4291" s="64" t="n">
        <f aca="false">IF($H4291="",0,IFERROR(MATCH($H4291,GradeList,0),0))</f>
        <v>0</v>
      </c>
      <c r="O4291" s="64" t="n">
        <f aca="false">IF(OR($I4291="",$I4291="NR"),0,IFERROR(MATCH($I4291,GradeList,0),0))</f>
        <v>0</v>
      </c>
      <c r="P4291" s="64" t="n">
        <f aca="false">IF(AND($M4291&gt;0,ISNUMBER(MATCH($F4291,Lists!$A$2:$A$5,0)),ISNUMBER(MATCH($G4291,Lists!$B$2:$B$7,0)),OR($H4291="",$N4291&gt;0),OR($I4291="",$I4291="NR",$O4291&gt;0),IF(ISNUMBER($J4291),AND($J4291&gt;=0,$J4291=INT($J4291)),FALSE())),$J4291,0)</f>
        <v>0</v>
      </c>
      <c r="Q4291" s="64" t="n">
        <f aca="false">IF(AND($P4291&gt;0,$O4291&gt;0),$P4291,0)</f>
        <v>0</v>
      </c>
      <c r="R4291" s="64" t="n">
        <f aca="false">IF(AND($Q4291&gt;0,$O4291&gt;=AtRank),$Q4291,0)</f>
        <v>0</v>
      </c>
      <c r="S4291" s="64" t="n">
        <f aca="false">IF(AND($Q4291&gt;0,$O4291&gt;=AboveRank),$Q4291,0)</f>
        <v>0</v>
      </c>
      <c r="T4291" s="64" t="n">
        <f aca="false">IF($K4291="Less",$P4291,0)</f>
        <v>0</v>
      </c>
      <c r="U4291" s="64" t="n">
        <f aca="false">IF($K4291="Expected",$P4291,0)</f>
        <v>0</v>
      </c>
      <c r="V4291" s="64" t="n">
        <f aca="false">IF($K4291="Better",$P4291,0)</f>
        <v>0</v>
      </c>
      <c r="W4291" s="64" t="n">
        <f aca="false">IF($K4291="U – needs rule",$P4291,0)</f>
        <v>0</v>
      </c>
      <c r="X4291" s="64" t="n">
        <f aca="false">IF($K4291="No Start (attainment only)",$P4291,0)</f>
        <v>0</v>
      </c>
    </row>
    <row r="4292" customFormat="false" ht="15" hidden="false" customHeight="false" outlineLevel="0" collapsed="false">
      <c r="A4292" s="60"/>
      <c r="B4292" s="61" t="str">
        <f aca="false">IF($M4292=0,"",INDEX(Classes!$E$6:$E$420,$M4292))</f>
        <v/>
      </c>
      <c r="C4292" s="62" t="str">
        <f aca="false">IF($M4292=0,"",INDEX(Classes!$H$6:$H$420,$M4292))</f>
        <v/>
      </c>
      <c r="D4292" s="61" t="str">
        <f aca="false">IF($M4292=0,"",INDEX(Classes!$B$6:$B$420,$M4292))</f>
        <v/>
      </c>
      <c r="E4292" s="61" t="str">
        <f aca="false">IF($M4292=0,"",INDEX(Classes!$C$6:$C$420,$M4292))</f>
        <v/>
      </c>
      <c r="F4292" s="63"/>
      <c r="G4292" s="63"/>
      <c r="H4292" s="60"/>
      <c r="I4292" s="60"/>
      <c r="J4292" s="63"/>
      <c r="K4292" s="61" t="str">
        <f aca="false">IF($P4292=0,"",IF($F4292="Baseline","— Baseline",IF($O4292=0,"No result",IF($N4292=0,"No Start (attainment only)",IF(OR($N4292=1,$O4292=1),"U – needs rule",INDEX(MxBody,MATCH($I4292,MxCurr,0),MATCH($H4292,MxStart,0)))))))</f>
        <v/>
      </c>
      <c r="L4292" s="62" t="str">
        <f aca="false">IF(COUNTA($A4292,$F4292,$G4292,$H4292,$I4292,$J4292)=0,"",IF($M4292=0,"✖ كود الصف غير موجود",IF(ISNA(MATCH($F4292,Lists!$A$2:$A$5,0)),"✖ الفترة غير صحيحة",IF(ISNA(MATCH($G4292,Lists!$B$2:$B$7,0)),"✖ المجموعة غير صحيحة",IF(NOT(OR($H4292="",$N4292&gt;0)),"✖ Start غير صحيح",IF(NOT(OR($I4292="",$I4292="NR",$O4292&gt;0)),"✖ Current غير صحيح",IF(NOT(IF(ISNUMBER($J4292),AND($J4292&gt;=0,$J4292=INT($J4292)),FALSE())),"✖ العدد يجب أن يكون صحيحًا ≥ 0",IF(AND($F4292="Baseline",$H4292&lt;&gt;""),"⚠ Baseline: Start لا يدخل في التقدم",IF($K4292="No Start (attainment only)","ℹ تحصيل فقط (بدون Start)",IF($K4292="U – needs rule","ℹ حالة U تحتاج قاعدة معتمدة",IF($K4292="No result","ℹ بدون نتيجة (يُستبعد من التحصيل)","OK")))))))))))</f>
        <v/>
      </c>
      <c r="M4292" s="64" t="n">
        <f aca="false">IF($A4292="",0,IFERROR(MATCH($A4292,Classes!$A$6:$A$420,0),0))</f>
        <v>0</v>
      </c>
      <c r="N4292" s="64" t="n">
        <f aca="false">IF($H4292="",0,IFERROR(MATCH($H4292,GradeList,0),0))</f>
        <v>0</v>
      </c>
      <c r="O4292" s="64" t="n">
        <f aca="false">IF(OR($I4292="",$I4292="NR"),0,IFERROR(MATCH($I4292,GradeList,0),0))</f>
        <v>0</v>
      </c>
      <c r="P4292" s="64" t="n">
        <f aca="false">IF(AND($M4292&gt;0,ISNUMBER(MATCH($F4292,Lists!$A$2:$A$5,0)),ISNUMBER(MATCH($G4292,Lists!$B$2:$B$7,0)),OR($H4292="",$N4292&gt;0),OR($I4292="",$I4292="NR",$O4292&gt;0),IF(ISNUMBER($J4292),AND($J4292&gt;=0,$J4292=INT($J4292)),FALSE())),$J4292,0)</f>
        <v>0</v>
      </c>
      <c r="Q4292" s="64" t="n">
        <f aca="false">IF(AND($P4292&gt;0,$O4292&gt;0),$P4292,0)</f>
        <v>0</v>
      </c>
      <c r="R4292" s="64" t="n">
        <f aca="false">IF(AND($Q4292&gt;0,$O4292&gt;=AtRank),$Q4292,0)</f>
        <v>0</v>
      </c>
      <c r="S4292" s="64" t="n">
        <f aca="false">IF(AND($Q4292&gt;0,$O4292&gt;=AboveRank),$Q4292,0)</f>
        <v>0</v>
      </c>
      <c r="T4292" s="64" t="n">
        <f aca="false">IF($K4292="Less",$P4292,0)</f>
        <v>0</v>
      </c>
      <c r="U4292" s="64" t="n">
        <f aca="false">IF($K4292="Expected",$P4292,0)</f>
        <v>0</v>
      </c>
      <c r="V4292" s="64" t="n">
        <f aca="false">IF($K4292="Better",$P4292,0)</f>
        <v>0</v>
      </c>
      <c r="W4292" s="64" t="n">
        <f aca="false">IF($K4292="U – needs rule",$P4292,0)</f>
        <v>0</v>
      </c>
      <c r="X4292" s="64" t="n">
        <f aca="false">IF($K4292="No Start (attainment only)",$P4292,0)</f>
        <v>0</v>
      </c>
    </row>
    <row r="4293" customFormat="false" ht="15" hidden="false" customHeight="false" outlineLevel="0" collapsed="false">
      <c r="A4293" s="60"/>
      <c r="B4293" s="61" t="str">
        <f aca="false">IF($M4293=0,"",INDEX(Classes!$E$6:$E$420,$M4293))</f>
        <v/>
      </c>
      <c r="C4293" s="62" t="str">
        <f aca="false">IF($M4293=0,"",INDEX(Classes!$H$6:$H$420,$M4293))</f>
        <v/>
      </c>
      <c r="D4293" s="61" t="str">
        <f aca="false">IF($M4293=0,"",INDEX(Classes!$B$6:$B$420,$M4293))</f>
        <v/>
      </c>
      <c r="E4293" s="61" t="str">
        <f aca="false">IF($M4293=0,"",INDEX(Classes!$C$6:$C$420,$M4293))</f>
        <v/>
      </c>
      <c r="F4293" s="63"/>
      <c r="G4293" s="63"/>
      <c r="H4293" s="60"/>
      <c r="I4293" s="60"/>
      <c r="J4293" s="63"/>
      <c r="K4293" s="61" t="str">
        <f aca="false">IF($P4293=0,"",IF($F4293="Baseline","— Baseline",IF($O4293=0,"No result",IF($N4293=0,"No Start (attainment only)",IF(OR($N4293=1,$O4293=1),"U – needs rule",INDEX(MxBody,MATCH($I4293,MxCurr,0),MATCH($H4293,MxStart,0)))))))</f>
        <v/>
      </c>
      <c r="L4293" s="62" t="str">
        <f aca="false">IF(COUNTA($A4293,$F4293,$G4293,$H4293,$I4293,$J4293)=0,"",IF($M4293=0,"✖ كود الصف غير موجود",IF(ISNA(MATCH($F4293,Lists!$A$2:$A$5,0)),"✖ الفترة غير صحيحة",IF(ISNA(MATCH($G4293,Lists!$B$2:$B$7,0)),"✖ المجموعة غير صحيحة",IF(NOT(OR($H4293="",$N4293&gt;0)),"✖ Start غير صحيح",IF(NOT(OR($I4293="",$I4293="NR",$O4293&gt;0)),"✖ Current غير صحيح",IF(NOT(IF(ISNUMBER($J4293),AND($J4293&gt;=0,$J4293=INT($J4293)),FALSE())),"✖ العدد يجب أن يكون صحيحًا ≥ 0",IF(AND($F4293="Baseline",$H4293&lt;&gt;""),"⚠ Baseline: Start لا يدخل في التقدم",IF($K4293="No Start (attainment only)","ℹ تحصيل فقط (بدون Start)",IF($K4293="U – needs rule","ℹ حالة U تحتاج قاعدة معتمدة",IF($K4293="No result","ℹ بدون نتيجة (يُستبعد من التحصيل)","OK")))))))))))</f>
        <v/>
      </c>
      <c r="M4293" s="64" t="n">
        <f aca="false">IF($A4293="",0,IFERROR(MATCH($A4293,Classes!$A$6:$A$420,0),0))</f>
        <v>0</v>
      </c>
      <c r="N4293" s="64" t="n">
        <f aca="false">IF($H4293="",0,IFERROR(MATCH($H4293,GradeList,0),0))</f>
        <v>0</v>
      </c>
      <c r="O4293" s="64" t="n">
        <f aca="false">IF(OR($I4293="",$I4293="NR"),0,IFERROR(MATCH($I4293,GradeList,0),0))</f>
        <v>0</v>
      </c>
      <c r="P4293" s="64" t="n">
        <f aca="false">IF(AND($M4293&gt;0,ISNUMBER(MATCH($F4293,Lists!$A$2:$A$5,0)),ISNUMBER(MATCH($G4293,Lists!$B$2:$B$7,0)),OR($H4293="",$N4293&gt;0),OR($I4293="",$I4293="NR",$O4293&gt;0),IF(ISNUMBER($J4293),AND($J4293&gt;=0,$J4293=INT($J4293)),FALSE())),$J4293,0)</f>
        <v>0</v>
      </c>
      <c r="Q4293" s="64" t="n">
        <f aca="false">IF(AND($P4293&gt;0,$O4293&gt;0),$P4293,0)</f>
        <v>0</v>
      </c>
      <c r="R4293" s="64" t="n">
        <f aca="false">IF(AND($Q4293&gt;0,$O4293&gt;=AtRank),$Q4293,0)</f>
        <v>0</v>
      </c>
      <c r="S4293" s="64" t="n">
        <f aca="false">IF(AND($Q4293&gt;0,$O4293&gt;=AboveRank),$Q4293,0)</f>
        <v>0</v>
      </c>
      <c r="T4293" s="64" t="n">
        <f aca="false">IF($K4293="Less",$P4293,0)</f>
        <v>0</v>
      </c>
      <c r="U4293" s="64" t="n">
        <f aca="false">IF($K4293="Expected",$P4293,0)</f>
        <v>0</v>
      </c>
      <c r="V4293" s="64" t="n">
        <f aca="false">IF($K4293="Better",$P4293,0)</f>
        <v>0</v>
      </c>
      <c r="W4293" s="64" t="n">
        <f aca="false">IF($K4293="U – needs rule",$P4293,0)</f>
        <v>0</v>
      </c>
      <c r="X4293" s="64" t="n">
        <f aca="false">IF($K4293="No Start (attainment only)",$P4293,0)</f>
        <v>0</v>
      </c>
    </row>
    <row r="4294" customFormat="false" ht="15" hidden="false" customHeight="false" outlineLevel="0" collapsed="false">
      <c r="A4294" s="60"/>
      <c r="B4294" s="61" t="str">
        <f aca="false">IF($M4294=0,"",INDEX(Classes!$E$6:$E$420,$M4294))</f>
        <v/>
      </c>
      <c r="C4294" s="62" t="str">
        <f aca="false">IF($M4294=0,"",INDEX(Classes!$H$6:$H$420,$M4294))</f>
        <v/>
      </c>
      <c r="D4294" s="61" t="str">
        <f aca="false">IF($M4294=0,"",INDEX(Classes!$B$6:$B$420,$M4294))</f>
        <v/>
      </c>
      <c r="E4294" s="61" t="str">
        <f aca="false">IF($M4294=0,"",INDEX(Classes!$C$6:$C$420,$M4294))</f>
        <v/>
      </c>
      <c r="F4294" s="63"/>
      <c r="G4294" s="63"/>
      <c r="H4294" s="60"/>
      <c r="I4294" s="60"/>
      <c r="J4294" s="63"/>
      <c r="K4294" s="61" t="str">
        <f aca="false">IF($P4294=0,"",IF($F4294="Baseline","— Baseline",IF($O4294=0,"No result",IF($N4294=0,"No Start (attainment only)",IF(OR($N4294=1,$O4294=1),"U – needs rule",INDEX(MxBody,MATCH($I4294,MxCurr,0),MATCH($H4294,MxStart,0)))))))</f>
        <v/>
      </c>
      <c r="L4294" s="62" t="str">
        <f aca="false">IF(COUNTA($A4294,$F4294,$G4294,$H4294,$I4294,$J4294)=0,"",IF($M4294=0,"✖ كود الصف غير موجود",IF(ISNA(MATCH($F4294,Lists!$A$2:$A$5,0)),"✖ الفترة غير صحيحة",IF(ISNA(MATCH($G4294,Lists!$B$2:$B$7,0)),"✖ المجموعة غير صحيحة",IF(NOT(OR($H4294="",$N4294&gt;0)),"✖ Start غير صحيح",IF(NOT(OR($I4294="",$I4294="NR",$O4294&gt;0)),"✖ Current غير صحيح",IF(NOT(IF(ISNUMBER($J4294),AND($J4294&gt;=0,$J4294=INT($J4294)),FALSE())),"✖ العدد يجب أن يكون صحيحًا ≥ 0",IF(AND($F4294="Baseline",$H4294&lt;&gt;""),"⚠ Baseline: Start لا يدخل في التقدم",IF($K4294="No Start (attainment only)","ℹ تحصيل فقط (بدون Start)",IF($K4294="U – needs rule","ℹ حالة U تحتاج قاعدة معتمدة",IF($K4294="No result","ℹ بدون نتيجة (يُستبعد من التحصيل)","OK")))))))))))</f>
        <v/>
      </c>
      <c r="M4294" s="64" t="n">
        <f aca="false">IF($A4294="",0,IFERROR(MATCH($A4294,Classes!$A$6:$A$420,0),0))</f>
        <v>0</v>
      </c>
      <c r="N4294" s="64" t="n">
        <f aca="false">IF($H4294="",0,IFERROR(MATCH($H4294,GradeList,0),0))</f>
        <v>0</v>
      </c>
      <c r="O4294" s="64" t="n">
        <f aca="false">IF(OR($I4294="",$I4294="NR"),0,IFERROR(MATCH($I4294,GradeList,0),0))</f>
        <v>0</v>
      </c>
      <c r="P4294" s="64" t="n">
        <f aca="false">IF(AND($M4294&gt;0,ISNUMBER(MATCH($F4294,Lists!$A$2:$A$5,0)),ISNUMBER(MATCH($G4294,Lists!$B$2:$B$7,0)),OR($H4294="",$N4294&gt;0),OR($I4294="",$I4294="NR",$O4294&gt;0),IF(ISNUMBER($J4294),AND($J4294&gt;=0,$J4294=INT($J4294)),FALSE())),$J4294,0)</f>
        <v>0</v>
      </c>
      <c r="Q4294" s="64" t="n">
        <f aca="false">IF(AND($P4294&gt;0,$O4294&gt;0),$P4294,0)</f>
        <v>0</v>
      </c>
      <c r="R4294" s="64" t="n">
        <f aca="false">IF(AND($Q4294&gt;0,$O4294&gt;=AtRank),$Q4294,0)</f>
        <v>0</v>
      </c>
      <c r="S4294" s="64" t="n">
        <f aca="false">IF(AND($Q4294&gt;0,$O4294&gt;=AboveRank),$Q4294,0)</f>
        <v>0</v>
      </c>
      <c r="T4294" s="64" t="n">
        <f aca="false">IF($K4294="Less",$P4294,0)</f>
        <v>0</v>
      </c>
      <c r="U4294" s="64" t="n">
        <f aca="false">IF($K4294="Expected",$P4294,0)</f>
        <v>0</v>
      </c>
      <c r="V4294" s="64" t="n">
        <f aca="false">IF($K4294="Better",$P4294,0)</f>
        <v>0</v>
      </c>
      <c r="W4294" s="64" t="n">
        <f aca="false">IF($K4294="U – needs rule",$P4294,0)</f>
        <v>0</v>
      </c>
      <c r="X4294" s="64" t="n">
        <f aca="false">IF($K4294="No Start (attainment only)",$P4294,0)</f>
        <v>0</v>
      </c>
    </row>
    <row r="4295" customFormat="false" ht="15" hidden="false" customHeight="false" outlineLevel="0" collapsed="false">
      <c r="A4295" s="60"/>
      <c r="B4295" s="61" t="str">
        <f aca="false">IF($M4295=0,"",INDEX(Classes!$E$6:$E$420,$M4295))</f>
        <v/>
      </c>
      <c r="C4295" s="62" t="str">
        <f aca="false">IF($M4295=0,"",INDEX(Classes!$H$6:$H$420,$M4295))</f>
        <v/>
      </c>
      <c r="D4295" s="61" t="str">
        <f aca="false">IF($M4295=0,"",INDEX(Classes!$B$6:$B$420,$M4295))</f>
        <v/>
      </c>
      <c r="E4295" s="61" t="str">
        <f aca="false">IF($M4295=0,"",INDEX(Classes!$C$6:$C$420,$M4295))</f>
        <v/>
      </c>
      <c r="F4295" s="63"/>
      <c r="G4295" s="63"/>
      <c r="H4295" s="60"/>
      <c r="I4295" s="60"/>
      <c r="J4295" s="63"/>
      <c r="K4295" s="61" t="str">
        <f aca="false">IF($P4295=0,"",IF($F4295="Baseline","— Baseline",IF($O4295=0,"No result",IF($N4295=0,"No Start (attainment only)",IF(OR($N4295=1,$O4295=1),"U – needs rule",INDEX(MxBody,MATCH($I4295,MxCurr,0),MATCH($H4295,MxStart,0)))))))</f>
        <v/>
      </c>
      <c r="L4295" s="62" t="str">
        <f aca="false">IF(COUNTA($A4295,$F4295,$G4295,$H4295,$I4295,$J4295)=0,"",IF($M4295=0,"✖ كود الصف غير موجود",IF(ISNA(MATCH($F4295,Lists!$A$2:$A$5,0)),"✖ الفترة غير صحيحة",IF(ISNA(MATCH($G4295,Lists!$B$2:$B$7,0)),"✖ المجموعة غير صحيحة",IF(NOT(OR($H4295="",$N4295&gt;0)),"✖ Start غير صحيح",IF(NOT(OR($I4295="",$I4295="NR",$O4295&gt;0)),"✖ Current غير صحيح",IF(NOT(IF(ISNUMBER($J4295),AND($J4295&gt;=0,$J4295=INT($J4295)),FALSE())),"✖ العدد يجب أن يكون صحيحًا ≥ 0",IF(AND($F4295="Baseline",$H4295&lt;&gt;""),"⚠ Baseline: Start لا يدخل في التقدم",IF($K4295="No Start (attainment only)","ℹ تحصيل فقط (بدون Start)",IF($K4295="U – needs rule","ℹ حالة U تحتاج قاعدة معتمدة",IF($K4295="No result","ℹ بدون نتيجة (يُستبعد من التحصيل)","OK")))))))))))</f>
        <v/>
      </c>
      <c r="M4295" s="64" t="n">
        <f aca="false">IF($A4295="",0,IFERROR(MATCH($A4295,Classes!$A$6:$A$420,0),0))</f>
        <v>0</v>
      </c>
      <c r="N4295" s="64" t="n">
        <f aca="false">IF($H4295="",0,IFERROR(MATCH($H4295,GradeList,0),0))</f>
        <v>0</v>
      </c>
      <c r="O4295" s="64" t="n">
        <f aca="false">IF(OR($I4295="",$I4295="NR"),0,IFERROR(MATCH($I4295,GradeList,0),0))</f>
        <v>0</v>
      </c>
      <c r="P4295" s="64" t="n">
        <f aca="false">IF(AND($M4295&gt;0,ISNUMBER(MATCH($F4295,Lists!$A$2:$A$5,0)),ISNUMBER(MATCH($G4295,Lists!$B$2:$B$7,0)),OR($H4295="",$N4295&gt;0),OR($I4295="",$I4295="NR",$O4295&gt;0),IF(ISNUMBER($J4295),AND($J4295&gt;=0,$J4295=INT($J4295)),FALSE())),$J4295,0)</f>
        <v>0</v>
      </c>
      <c r="Q4295" s="64" t="n">
        <f aca="false">IF(AND($P4295&gt;0,$O4295&gt;0),$P4295,0)</f>
        <v>0</v>
      </c>
      <c r="R4295" s="64" t="n">
        <f aca="false">IF(AND($Q4295&gt;0,$O4295&gt;=AtRank),$Q4295,0)</f>
        <v>0</v>
      </c>
      <c r="S4295" s="64" t="n">
        <f aca="false">IF(AND($Q4295&gt;0,$O4295&gt;=AboveRank),$Q4295,0)</f>
        <v>0</v>
      </c>
      <c r="T4295" s="64" t="n">
        <f aca="false">IF($K4295="Less",$P4295,0)</f>
        <v>0</v>
      </c>
      <c r="U4295" s="64" t="n">
        <f aca="false">IF($K4295="Expected",$P4295,0)</f>
        <v>0</v>
      </c>
      <c r="V4295" s="64" t="n">
        <f aca="false">IF($K4295="Better",$P4295,0)</f>
        <v>0</v>
      </c>
      <c r="W4295" s="64" t="n">
        <f aca="false">IF($K4295="U – needs rule",$P4295,0)</f>
        <v>0</v>
      </c>
      <c r="X4295" s="64" t="n">
        <f aca="false">IF($K4295="No Start (attainment only)",$P4295,0)</f>
        <v>0</v>
      </c>
    </row>
    <row r="4296" customFormat="false" ht="15" hidden="false" customHeight="false" outlineLevel="0" collapsed="false">
      <c r="A4296" s="60"/>
      <c r="B4296" s="61" t="str">
        <f aca="false">IF($M4296=0,"",INDEX(Classes!$E$6:$E$420,$M4296))</f>
        <v/>
      </c>
      <c r="C4296" s="62" t="str">
        <f aca="false">IF($M4296=0,"",INDEX(Classes!$H$6:$H$420,$M4296))</f>
        <v/>
      </c>
      <c r="D4296" s="61" t="str">
        <f aca="false">IF($M4296=0,"",INDEX(Classes!$B$6:$B$420,$M4296))</f>
        <v/>
      </c>
      <c r="E4296" s="61" t="str">
        <f aca="false">IF($M4296=0,"",INDEX(Classes!$C$6:$C$420,$M4296))</f>
        <v/>
      </c>
      <c r="F4296" s="63"/>
      <c r="G4296" s="63"/>
      <c r="H4296" s="60"/>
      <c r="I4296" s="60"/>
      <c r="J4296" s="63"/>
      <c r="K4296" s="61" t="str">
        <f aca="false">IF($P4296=0,"",IF($F4296="Baseline","— Baseline",IF($O4296=0,"No result",IF($N4296=0,"No Start (attainment only)",IF(OR($N4296=1,$O4296=1),"U – needs rule",INDEX(MxBody,MATCH($I4296,MxCurr,0),MATCH($H4296,MxStart,0)))))))</f>
        <v/>
      </c>
      <c r="L4296" s="62" t="str">
        <f aca="false">IF(COUNTA($A4296,$F4296,$G4296,$H4296,$I4296,$J4296)=0,"",IF($M4296=0,"✖ كود الصف غير موجود",IF(ISNA(MATCH($F4296,Lists!$A$2:$A$5,0)),"✖ الفترة غير صحيحة",IF(ISNA(MATCH($G4296,Lists!$B$2:$B$7,0)),"✖ المجموعة غير صحيحة",IF(NOT(OR($H4296="",$N4296&gt;0)),"✖ Start غير صحيح",IF(NOT(OR($I4296="",$I4296="NR",$O4296&gt;0)),"✖ Current غير صحيح",IF(NOT(IF(ISNUMBER($J4296),AND($J4296&gt;=0,$J4296=INT($J4296)),FALSE())),"✖ العدد يجب أن يكون صحيحًا ≥ 0",IF(AND($F4296="Baseline",$H4296&lt;&gt;""),"⚠ Baseline: Start لا يدخل في التقدم",IF($K4296="No Start (attainment only)","ℹ تحصيل فقط (بدون Start)",IF($K4296="U – needs rule","ℹ حالة U تحتاج قاعدة معتمدة",IF($K4296="No result","ℹ بدون نتيجة (يُستبعد من التحصيل)","OK")))))))))))</f>
        <v/>
      </c>
      <c r="M4296" s="64" t="n">
        <f aca="false">IF($A4296="",0,IFERROR(MATCH($A4296,Classes!$A$6:$A$420,0),0))</f>
        <v>0</v>
      </c>
      <c r="N4296" s="64" t="n">
        <f aca="false">IF($H4296="",0,IFERROR(MATCH($H4296,GradeList,0),0))</f>
        <v>0</v>
      </c>
      <c r="O4296" s="64" t="n">
        <f aca="false">IF(OR($I4296="",$I4296="NR"),0,IFERROR(MATCH($I4296,GradeList,0),0))</f>
        <v>0</v>
      </c>
      <c r="P4296" s="64" t="n">
        <f aca="false">IF(AND($M4296&gt;0,ISNUMBER(MATCH($F4296,Lists!$A$2:$A$5,0)),ISNUMBER(MATCH($G4296,Lists!$B$2:$B$7,0)),OR($H4296="",$N4296&gt;0),OR($I4296="",$I4296="NR",$O4296&gt;0),IF(ISNUMBER($J4296),AND($J4296&gt;=0,$J4296=INT($J4296)),FALSE())),$J4296,0)</f>
        <v>0</v>
      </c>
      <c r="Q4296" s="64" t="n">
        <f aca="false">IF(AND($P4296&gt;0,$O4296&gt;0),$P4296,0)</f>
        <v>0</v>
      </c>
      <c r="R4296" s="64" t="n">
        <f aca="false">IF(AND($Q4296&gt;0,$O4296&gt;=AtRank),$Q4296,0)</f>
        <v>0</v>
      </c>
      <c r="S4296" s="64" t="n">
        <f aca="false">IF(AND($Q4296&gt;0,$O4296&gt;=AboveRank),$Q4296,0)</f>
        <v>0</v>
      </c>
      <c r="T4296" s="64" t="n">
        <f aca="false">IF($K4296="Less",$P4296,0)</f>
        <v>0</v>
      </c>
      <c r="U4296" s="64" t="n">
        <f aca="false">IF($K4296="Expected",$P4296,0)</f>
        <v>0</v>
      </c>
      <c r="V4296" s="64" t="n">
        <f aca="false">IF($K4296="Better",$P4296,0)</f>
        <v>0</v>
      </c>
      <c r="W4296" s="64" t="n">
        <f aca="false">IF($K4296="U – needs rule",$P4296,0)</f>
        <v>0</v>
      </c>
      <c r="X4296" s="64" t="n">
        <f aca="false">IF($K4296="No Start (attainment only)",$P4296,0)</f>
        <v>0</v>
      </c>
    </row>
    <row r="4297" customFormat="false" ht="15" hidden="false" customHeight="false" outlineLevel="0" collapsed="false">
      <c r="A4297" s="60"/>
      <c r="B4297" s="61" t="str">
        <f aca="false">IF($M4297=0,"",INDEX(Classes!$E$6:$E$420,$M4297))</f>
        <v/>
      </c>
      <c r="C4297" s="62" t="str">
        <f aca="false">IF($M4297=0,"",INDEX(Classes!$H$6:$H$420,$M4297))</f>
        <v/>
      </c>
      <c r="D4297" s="61" t="str">
        <f aca="false">IF($M4297=0,"",INDEX(Classes!$B$6:$B$420,$M4297))</f>
        <v/>
      </c>
      <c r="E4297" s="61" t="str">
        <f aca="false">IF($M4297=0,"",INDEX(Classes!$C$6:$C$420,$M4297))</f>
        <v/>
      </c>
      <c r="F4297" s="63"/>
      <c r="G4297" s="63"/>
      <c r="H4297" s="60"/>
      <c r="I4297" s="60"/>
      <c r="J4297" s="63"/>
      <c r="K4297" s="61" t="str">
        <f aca="false">IF($P4297=0,"",IF($F4297="Baseline","— Baseline",IF($O4297=0,"No result",IF($N4297=0,"No Start (attainment only)",IF(OR($N4297=1,$O4297=1),"U – needs rule",INDEX(MxBody,MATCH($I4297,MxCurr,0),MATCH($H4297,MxStart,0)))))))</f>
        <v/>
      </c>
      <c r="L4297" s="62" t="str">
        <f aca="false">IF(COUNTA($A4297,$F4297,$G4297,$H4297,$I4297,$J4297)=0,"",IF($M4297=0,"✖ كود الصف غير موجود",IF(ISNA(MATCH($F4297,Lists!$A$2:$A$5,0)),"✖ الفترة غير صحيحة",IF(ISNA(MATCH($G4297,Lists!$B$2:$B$7,0)),"✖ المجموعة غير صحيحة",IF(NOT(OR($H4297="",$N4297&gt;0)),"✖ Start غير صحيح",IF(NOT(OR($I4297="",$I4297="NR",$O4297&gt;0)),"✖ Current غير صحيح",IF(NOT(IF(ISNUMBER($J4297),AND($J4297&gt;=0,$J4297=INT($J4297)),FALSE())),"✖ العدد يجب أن يكون صحيحًا ≥ 0",IF(AND($F4297="Baseline",$H4297&lt;&gt;""),"⚠ Baseline: Start لا يدخل في التقدم",IF($K4297="No Start (attainment only)","ℹ تحصيل فقط (بدون Start)",IF($K4297="U – needs rule","ℹ حالة U تحتاج قاعدة معتمدة",IF($K4297="No result","ℹ بدون نتيجة (يُستبعد من التحصيل)","OK")))))))))))</f>
        <v/>
      </c>
      <c r="M4297" s="64" t="n">
        <f aca="false">IF($A4297="",0,IFERROR(MATCH($A4297,Classes!$A$6:$A$420,0),0))</f>
        <v>0</v>
      </c>
      <c r="N4297" s="64" t="n">
        <f aca="false">IF($H4297="",0,IFERROR(MATCH($H4297,GradeList,0),0))</f>
        <v>0</v>
      </c>
      <c r="O4297" s="64" t="n">
        <f aca="false">IF(OR($I4297="",$I4297="NR"),0,IFERROR(MATCH($I4297,GradeList,0),0))</f>
        <v>0</v>
      </c>
      <c r="P4297" s="64" t="n">
        <f aca="false">IF(AND($M4297&gt;0,ISNUMBER(MATCH($F4297,Lists!$A$2:$A$5,0)),ISNUMBER(MATCH($G4297,Lists!$B$2:$B$7,0)),OR($H4297="",$N4297&gt;0),OR($I4297="",$I4297="NR",$O4297&gt;0),IF(ISNUMBER($J4297),AND($J4297&gt;=0,$J4297=INT($J4297)),FALSE())),$J4297,0)</f>
        <v>0</v>
      </c>
      <c r="Q4297" s="64" t="n">
        <f aca="false">IF(AND($P4297&gt;0,$O4297&gt;0),$P4297,0)</f>
        <v>0</v>
      </c>
      <c r="R4297" s="64" t="n">
        <f aca="false">IF(AND($Q4297&gt;0,$O4297&gt;=AtRank),$Q4297,0)</f>
        <v>0</v>
      </c>
      <c r="S4297" s="64" t="n">
        <f aca="false">IF(AND($Q4297&gt;0,$O4297&gt;=AboveRank),$Q4297,0)</f>
        <v>0</v>
      </c>
      <c r="T4297" s="64" t="n">
        <f aca="false">IF($K4297="Less",$P4297,0)</f>
        <v>0</v>
      </c>
      <c r="U4297" s="64" t="n">
        <f aca="false">IF($K4297="Expected",$P4297,0)</f>
        <v>0</v>
      </c>
      <c r="V4297" s="64" t="n">
        <f aca="false">IF($K4297="Better",$P4297,0)</f>
        <v>0</v>
      </c>
      <c r="W4297" s="64" t="n">
        <f aca="false">IF($K4297="U – needs rule",$P4297,0)</f>
        <v>0</v>
      </c>
      <c r="X4297" s="64" t="n">
        <f aca="false">IF($K4297="No Start (attainment only)",$P4297,0)</f>
        <v>0</v>
      </c>
    </row>
    <row r="4298" customFormat="false" ht="15" hidden="false" customHeight="false" outlineLevel="0" collapsed="false">
      <c r="A4298" s="60"/>
      <c r="B4298" s="61" t="str">
        <f aca="false">IF($M4298=0,"",INDEX(Classes!$E$6:$E$420,$M4298))</f>
        <v/>
      </c>
      <c r="C4298" s="62" t="str">
        <f aca="false">IF($M4298=0,"",INDEX(Classes!$H$6:$H$420,$M4298))</f>
        <v/>
      </c>
      <c r="D4298" s="61" t="str">
        <f aca="false">IF($M4298=0,"",INDEX(Classes!$B$6:$B$420,$M4298))</f>
        <v/>
      </c>
      <c r="E4298" s="61" t="str">
        <f aca="false">IF($M4298=0,"",INDEX(Classes!$C$6:$C$420,$M4298))</f>
        <v/>
      </c>
      <c r="F4298" s="63"/>
      <c r="G4298" s="63"/>
      <c r="H4298" s="60"/>
      <c r="I4298" s="60"/>
      <c r="J4298" s="63"/>
      <c r="K4298" s="61" t="str">
        <f aca="false">IF($P4298=0,"",IF($F4298="Baseline","— Baseline",IF($O4298=0,"No result",IF($N4298=0,"No Start (attainment only)",IF(OR($N4298=1,$O4298=1),"U – needs rule",INDEX(MxBody,MATCH($I4298,MxCurr,0),MATCH($H4298,MxStart,0)))))))</f>
        <v/>
      </c>
      <c r="L4298" s="62" t="str">
        <f aca="false">IF(COUNTA($A4298,$F4298,$G4298,$H4298,$I4298,$J4298)=0,"",IF($M4298=0,"✖ كود الصف غير موجود",IF(ISNA(MATCH($F4298,Lists!$A$2:$A$5,0)),"✖ الفترة غير صحيحة",IF(ISNA(MATCH($G4298,Lists!$B$2:$B$7,0)),"✖ المجموعة غير صحيحة",IF(NOT(OR($H4298="",$N4298&gt;0)),"✖ Start غير صحيح",IF(NOT(OR($I4298="",$I4298="NR",$O4298&gt;0)),"✖ Current غير صحيح",IF(NOT(IF(ISNUMBER($J4298),AND($J4298&gt;=0,$J4298=INT($J4298)),FALSE())),"✖ العدد يجب أن يكون صحيحًا ≥ 0",IF(AND($F4298="Baseline",$H4298&lt;&gt;""),"⚠ Baseline: Start لا يدخل في التقدم",IF($K4298="No Start (attainment only)","ℹ تحصيل فقط (بدون Start)",IF($K4298="U – needs rule","ℹ حالة U تحتاج قاعدة معتمدة",IF($K4298="No result","ℹ بدون نتيجة (يُستبعد من التحصيل)","OK")))))))))))</f>
        <v/>
      </c>
      <c r="M4298" s="64" t="n">
        <f aca="false">IF($A4298="",0,IFERROR(MATCH($A4298,Classes!$A$6:$A$420,0),0))</f>
        <v>0</v>
      </c>
      <c r="N4298" s="64" t="n">
        <f aca="false">IF($H4298="",0,IFERROR(MATCH($H4298,GradeList,0),0))</f>
        <v>0</v>
      </c>
      <c r="O4298" s="64" t="n">
        <f aca="false">IF(OR($I4298="",$I4298="NR"),0,IFERROR(MATCH($I4298,GradeList,0),0))</f>
        <v>0</v>
      </c>
      <c r="P4298" s="64" t="n">
        <f aca="false">IF(AND($M4298&gt;0,ISNUMBER(MATCH($F4298,Lists!$A$2:$A$5,0)),ISNUMBER(MATCH($G4298,Lists!$B$2:$B$7,0)),OR($H4298="",$N4298&gt;0),OR($I4298="",$I4298="NR",$O4298&gt;0),IF(ISNUMBER($J4298),AND($J4298&gt;=0,$J4298=INT($J4298)),FALSE())),$J4298,0)</f>
        <v>0</v>
      </c>
      <c r="Q4298" s="64" t="n">
        <f aca="false">IF(AND($P4298&gt;0,$O4298&gt;0),$P4298,0)</f>
        <v>0</v>
      </c>
      <c r="R4298" s="64" t="n">
        <f aca="false">IF(AND($Q4298&gt;0,$O4298&gt;=AtRank),$Q4298,0)</f>
        <v>0</v>
      </c>
      <c r="S4298" s="64" t="n">
        <f aca="false">IF(AND($Q4298&gt;0,$O4298&gt;=AboveRank),$Q4298,0)</f>
        <v>0</v>
      </c>
      <c r="T4298" s="64" t="n">
        <f aca="false">IF($K4298="Less",$P4298,0)</f>
        <v>0</v>
      </c>
      <c r="U4298" s="64" t="n">
        <f aca="false">IF($K4298="Expected",$P4298,0)</f>
        <v>0</v>
      </c>
      <c r="V4298" s="64" t="n">
        <f aca="false">IF($K4298="Better",$P4298,0)</f>
        <v>0</v>
      </c>
      <c r="W4298" s="64" t="n">
        <f aca="false">IF($K4298="U – needs rule",$P4298,0)</f>
        <v>0</v>
      </c>
      <c r="X4298" s="64" t="n">
        <f aca="false">IF($K4298="No Start (attainment only)",$P4298,0)</f>
        <v>0</v>
      </c>
    </row>
    <row r="4299" customFormat="false" ht="15" hidden="false" customHeight="false" outlineLevel="0" collapsed="false">
      <c r="A4299" s="60"/>
      <c r="B4299" s="61" t="str">
        <f aca="false">IF($M4299=0,"",INDEX(Classes!$E$6:$E$420,$M4299))</f>
        <v/>
      </c>
      <c r="C4299" s="62" t="str">
        <f aca="false">IF($M4299=0,"",INDEX(Classes!$H$6:$H$420,$M4299))</f>
        <v/>
      </c>
      <c r="D4299" s="61" t="str">
        <f aca="false">IF($M4299=0,"",INDEX(Classes!$B$6:$B$420,$M4299))</f>
        <v/>
      </c>
      <c r="E4299" s="61" t="str">
        <f aca="false">IF($M4299=0,"",INDEX(Classes!$C$6:$C$420,$M4299))</f>
        <v/>
      </c>
      <c r="F4299" s="63"/>
      <c r="G4299" s="63"/>
      <c r="H4299" s="60"/>
      <c r="I4299" s="60"/>
      <c r="J4299" s="63"/>
      <c r="K4299" s="61" t="str">
        <f aca="false">IF($P4299=0,"",IF($F4299="Baseline","— Baseline",IF($O4299=0,"No result",IF($N4299=0,"No Start (attainment only)",IF(OR($N4299=1,$O4299=1),"U – needs rule",INDEX(MxBody,MATCH($I4299,MxCurr,0),MATCH($H4299,MxStart,0)))))))</f>
        <v/>
      </c>
      <c r="L4299" s="62" t="str">
        <f aca="false">IF(COUNTA($A4299,$F4299,$G4299,$H4299,$I4299,$J4299)=0,"",IF($M4299=0,"✖ كود الصف غير موجود",IF(ISNA(MATCH($F4299,Lists!$A$2:$A$5,0)),"✖ الفترة غير صحيحة",IF(ISNA(MATCH($G4299,Lists!$B$2:$B$7,0)),"✖ المجموعة غير صحيحة",IF(NOT(OR($H4299="",$N4299&gt;0)),"✖ Start غير صحيح",IF(NOT(OR($I4299="",$I4299="NR",$O4299&gt;0)),"✖ Current غير صحيح",IF(NOT(IF(ISNUMBER($J4299),AND($J4299&gt;=0,$J4299=INT($J4299)),FALSE())),"✖ العدد يجب أن يكون صحيحًا ≥ 0",IF(AND($F4299="Baseline",$H4299&lt;&gt;""),"⚠ Baseline: Start لا يدخل في التقدم",IF($K4299="No Start (attainment only)","ℹ تحصيل فقط (بدون Start)",IF($K4299="U – needs rule","ℹ حالة U تحتاج قاعدة معتمدة",IF($K4299="No result","ℹ بدون نتيجة (يُستبعد من التحصيل)","OK")))))))))))</f>
        <v/>
      </c>
      <c r="M4299" s="64" t="n">
        <f aca="false">IF($A4299="",0,IFERROR(MATCH($A4299,Classes!$A$6:$A$420,0),0))</f>
        <v>0</v>
      </c>
      <c r="N4299" s="64" t="n">
        <f aca="false">IF($H4299="",0,IFERROR(MATCH($H4299,GradeList,0),0))</f>
        <v>0</v>
      </c>
      <c r="O4299" s="64" t="n">
        <f aca="false">IF(OR($I4299="",$I4299="NR"),0,IFERROR(MATCH($I4299,GradeList,0),0))</f>
        <v>0</v>
      </c>
      <c r="P4299" s="64" t="n">
        <f aca="false">IF(AND($M4299&gt;0,ISNUMBER(MATCH($F4299,Lists!$A$2:$A$5,0)),ISNUMBER(MATCH($G4299,Lists!$B$2:$B$7,0)),OR($H4299="",$N4299&gt;0),OR($I4299="",$I4299="NR",$O4299&gt;0),IF(ISNUMBER($J4299),AND($J4299&gt;=0,$J4299=INT($J4299)),FALSE())),$J4299,0)</f>
        <v>0</v>
      </c>
      <c r="Q4299" s="64" t="n">
        <f aca="false">IF(AND($P4299&gt;0,$O4299&gt;0),$P4299,0)</f>
        <v>0</v>
      </c>
      <c r="R4299" s="64" t="n">
        <f aca="false">IF(AND($Q4299&gt;0,$O4299&gt;=AtRank),$Q4299,0)</f>
        <v>0</v>
      </c>
      <c r="S4299" s="64" t="n">
        <f aca="false">IF(AND($Q4299&gt;0,$O4299&gt;=AboveRank),$Q4299,0)</f>
        <v>0</v>
      </c>
      <c r="T4299" s="64" t="n">
        <f aca="false">IF($K4299="Less",$P4299,0)</f>
        <v>0</v>
      </c>
      <c r="U4299" s="64" t="n">
        <f aca="false">IF($K4299="Expected",$P4299,0)</f>
        <v>0</v>
      </c>
      <c r="V4299" s="64" t="n">
        <f aca="false">IF($K4299="Better",$P4299,0)</f>
        <v>0</v>
      </c>
      <c r="W4299" s="64" t="n">
        <f aca="false">IF($K4299="U – needs rule",$P4299,0)</f>
        <v>0</v>
      </c>
      <c r="X4299" s="64" t="n">
        <f aca="false">IF($K4299="No Start (attainment only)",$P4299,0)</f>
        <v>0</v>
      </c>
    </row>
    <row r="4300" customFormat="false" ht="15" hidden="false" customHeight="false" outlineLevel="0" collapsed="false">
      <c r="A4300" s="60"/>
      <c r="B4300" s="61" t="str">
        <f aca="false">IF($M4300=0,"",INDEX(Classes!$E$6:$E$420,$M4300))</f>
        <v/>
      </c>
      <c r="C4300" s="62" t="str">
        <f aca="false">IF($M4300=0,"",INDEX(Classes!$H$6:$H$420,$M4300))</f>
        <v/>
      </c>
      <c r="D4300" s="61" t="str">
        <f aca="false">IF($M4300=0,"",INDEX(Classes!$B$6:$B$420,$M4300))</f>
        <v/>
      </c>
      <c r="E4300" s="61" t="str">
        <f aca="false">IF($M4300=0,"",INDEX(Classes!$C$6:$C$420,$M4300))</f>
        <v/>
      </c>
      <c r="F4300" s="63"/>
      <c r="G4300" s="63"/>
      <c r="H4300" s="60"/>
      <c r="I4300" s="60"/>
      <c r="J4300" s="63"/>
      <c r="K4300" s="61" t="str">
        <f aca="false">IF($P4300=0,"",IF($F4300="Baseline","— Baseline",IF($O4300=0,"No result",IF($N4300=0,"No Start (attainment only)",IF(OR($N4300=1,$O4300=1),"U – needs rule",INDEX(MxBody,MATCH($I4300,MxCurr,0),MATCH($H4300,MxStart,0)))))))</f>
        <v/>
      </c>
      <c r="L4300" s="62" t="str">
        <f aca="false">IF(COUNTA($A4300,$F4300,$G4300,$H4300,$I4300,$J4300)=0,"",IF($M4300=0,"✖ كود الصف غير موجود",IF(ISNA(MATCH($F4300,Lists!$A$2:$A$5,0)),"✖ الفترة غير صحيحة",IF(ISNA(MATCH($G4300,Lists!$B$2:$B$7,0)),"✖ المجموعة غير صحيحة",IF(NOT(OR($H4300="",$N4300&gt;0)),"✖ Start غير صحيح",IF(NOT(OR($I4300="",$I4300="NR",$O4300&gt;0)),"✖ Current غير صحيح",IF(NOT(IF(ISNUMBER($J4300),AND($J4300&gt;=0,$J4300=INT($J4300)),FALSE())),"✖ العدد يجب أن يكون صحيحًا ≥ 0",IF(AND($F4300="Baseline",$H4300&lt;&gt;""),"⚠ Baseline: Start لا يدخل في التقدم",IF($K4300="No Start (attainment only)","ℹ تحصيل فقط (بدون Start)",IF($K4300="U – needs rule","ℹ حالة U تحتاج قاعدة معتمدة",IF($K4300="No result","ℹ بدون نتيجة (يُستبعد من التحصيل)","OK")))))))))))</f>
        <v/>
      </c>
      <c r="M4300" s="64" t="n">
        <f aca="false">IF($A4300="",0,IFERROR(MATCH($A4300,Classes!$A$6:$A$420,0),0))</f>
        <v>0</v>
      </c>
      <c r="N4300" s="64" t="n">
        <f aca="false">IF($H4300="",0,IFERROR(MATCH($H4300,GradeList,0),0))</f>
        <v>0</v>
      </c>
      <c r="O4300" s="64" t="n">
        <f aca="false">IF(OR($I4300="",$I4300="NR"),0,IFERROR(MATCH($I4300,GradeList,0),0))</f>
        <v>0</v>
      </c>
      <c r="P4300" s="64" t="n">
        <f aca="false">IF(AND($M4300&gt;0,ISNUMBER(MATCH($F4300,Lists!$A$2:$A$5,0)),ISNUMBER(MATCH($G4300,Lists!$B$2:$B$7,0)),OR($H4300="",$N4300&gt;0),OR($I4300="",$I4300="NR",$O4300&gt;0),IF(ISNUMBER($J4300),AND($J4300&gt;=0,$J4300=INT($J4300)),FALSE())),$J4300,0)</f>
        <v>0</v>
      </c>
      <c r="Q4300" s="64" t="n">
        <f aca="false">IF(AND($P4300&gt;0,$O4300&gt;0),$P4300,0)</f>
        <v>0</v>
      </c>
      <c r="R4300" s="64" t="n">
        <f aca="false">IF(AND($Q4300&gt;0,$O4300&gt;=AtRank),$Q4300,0)</f>
        <v>0</v>
      </c>
      <c r="S4300" s="64" t="n">
        <f aca="false">IF(AND($Q4300&gt;0,$O4300&gt;=AboveRank),$Q4300,0)</f>
        <v>0</v>
      </c>
      <c r="T4300" s="64" t="n">
        <f aca="false">IF($K4300="Less",$P4300,0)</f>
        <v>0</v>
      </c>
      <c r="U4300" s="64" t="n">
        <f aca="false">IF($K4300="Expected",$P4300,0)</f>
        <v>0</v>
      </c>
      <c r="V4300" s="64" t="n">
        <f aca="false">IF($K4300="Better",$P4300,0)</f>
        <v>0</v>
      </c>
      <c r="W4300" s="64" t="n">
        <f aca="false">IF($K4300="U – needs rule",$P4300,0)</f>
        <v>0</v>
      </c>
      <c r="X4300" s="64" t="n">
        <f aca="false">IF($K4300="No Start (attainment only)",$P4300,0)</f>
        <v>0</v>
      </c>
    </row>
    <row r="4301" customFormat="false" ht="15" hidden="false" customHeight="false" outlineLevel="0" collapsed="false">
      <c r="A4301" s="60"/>
      <c r="B4301" s="61" t="str">
        <f aca="false">IF($M4301=0,"",INDEX(Classes!$E$6:$E$420,$M4301))</f>
        <v/>
      </c>
      <c r="C4301" s="62" t="str">
        <f aca="false">IF($M4301=0,"",INDEX(Classes!$H$6:$H$420,$M4301))</f>
        <v/>
      </c>
      <c r="D4301" s="61" t="str">
        <f aca="false">IF($M4301=0,"",INDEX(Classes!$B$6:$B$420,$M4301))</f>
        <v/>
      </c>
      <c r="E4301" s="61" t="str">
        <f aca="false">IF($M4301=0,"",INDEX(Classes!$C$6:$C$420,$M4301))</f>
        <v/>
      </c>
      <c r="F4301" s="63"/>
      <c r="G4301" s="63"/>
      <c r="H4301" s="60"/>
      <c r="I4301" s="60"/>
      <c r="J4301" s="63"/>
      <c r="K4301" s="61" t="str">
        <f aca="false">IF($P4301=0,"",IF($F4301="Baseline","— Baseline",IF($O4301=0,"No result",IF($N4301=0,"No Start (attainment only)",IF(OR($N4301=1,$O4301=1),"U – needs rule",INDEX(MxBody,MATCH($I4301,MxCurr,0),MATCH($H4301,MxStart,0)))))))</f>
        <v/>
      </c>
      <c r="L4301" s="62" t="str">
        <f aca="false">IF(COUNTA($A4301,$F4301,$G4301,$H4301,$I4301,$J4301)=0,"",IF($M4301=0,"✖ كود الصف غير موجود",IF(ISNA(MATCH($F4301,Lists!$A$2:$A$5,0)),"✖ الفترة غير صحيحة",IF(ISNA(MATCH($G4301,Lists!$B$2:$B$7,0)),"✖ المجموعة غير صحيحة",IF(NOT(OR($H4301="",$N4301&gt;0)),"✖ Start غير صحيح",IF(NOT(OR($I4301="",$I4301="NR",$O4301&gt;0)),"✖ Current غير صحيح",IF(NOT(IF(ISNUMBER($J4301),AND($J4301&gt;=0,$J4301=INT($J4301)),FALSE())),"✖ العدد يجب أن يكون صحيحًا ≥ 0",IF(AND($F4301="Baseline",$H4301&lt;&gt;""),"⚠ Baseline: Start لا يدخل في التقدم",IF($K4301="No Start (attainment only)","ℹ تحصيل فقط (بدون Start)",IF($K4301="U – needs rule","ℹ حالة U تحتاج قاعدة معتمدة",IF($K4301="No result","ℹ بدون نتيجة (يُستبعد من التحصيل)","OK")))))))))))</f>
        <v/>
      </c>
      <c r="M4301" s="64" t="n">
        <f aca="false">IF($A4301="",0,IFERROR(MATCH($A4301,Classes!$A$6:$A$420,0),0))</f>
        <v>0</v>
      </c>
      <c r="N4301" s="64" t="n">
        <f aca="false">IF($H4301="",0,IFERROR(MATCH($H4301,GradeList,0),0))</f>
        <v>0</v>
      </c>
      <c r="O4301" s="64" t="n">
        <f aca="false">IF(OR($I4301="",$I4301="NR"),0,IFERROR(MATCH($I4301,GradeList,0),0))</f>
        <v>0</v>
      </c>
      <c r="P4301" s="64" t="n">
        <f aca="false">IF(AND($M4301&gt;0,ISNUMBER(MATCH($F4301,Lists!$A$2:$A$5,0)),ISNUMBER(MATCH($G4301,Lists!$B$2:$B$7,0)),OR($H4301="",$N4301&gt;0),OR($I4301="",$I4301="NR",$O4301&gt;0),IF(ISNUMBER($J4301),AND($J4301&gt;=0,$J4301=INT($J4301)),FALSE())),$J4301,0)</f>
        <v>0</v>
      </c>
      <c r="Q4301" s="64" t="n">
        <f aca="false">IF(AND($P4301&gt;0,$O4301&gt;0),$P4301,0)</f>
        <v>0</v>
      </c>
      <c r="R4301" s="64" t="n">
        <f aca="false">IF(AND($Q4301&gt;0,$O4301&gt;=AtRank),$Q4301,0)</f>
        <v>0</v>
      </c>
      <c r="S4301" s="64" t="n">
        <f aca="false">IF(AND($Q4301&gt;0,$O4301&gt;=AboveRank),$Q4301,0)</f>
        <v>0</v>
      </c>
      <c r="T4301" s="64" t="n">
        <f aca="false">IF($K4301="Less",$P4301,0)</f>
        <v>0</v>
      </c>
      <c r="U4301" s="64" t="n">
        <f aca="false">IF($K4301="Expected",$P4301,0)</f>
        <v>0</v>
      </c>
      <c r="V4301" s="64" t="n">
        <f aca="false">IF($K4301="Better",$P4301,0)</f>
        <v>0</v>
      </c>
      <c r="W4301" s="64" t="n">
        <f aca="false">IF($K4301="U – needs rule",$P4301,0)</f>
        <v>0</v>
      </c>
      <c r="X4301" s="64" t="n">
        <f aca="false">IF($K4301="No Start (attainment only)",$P4301,0)</f>
        <v>0</v>
      </c>
    </row>
    <row r="4302" customFormat="false" ht="15" hidden="false" customHeight="false" outlineLevel="0" collapsed="false">
      <c r="A4302" s="60"/>
      <c r="B4302" s="61" t="str">
        <f aca="false">IF($M4302=0,"",INDEX(Classes!$E$6:$E$420,$M4302))</f>
        <v/>
      </c>
      <c r="C4302" s="62" t="str">
        <f aca="false">IF($M4302=0,"",INDEX(Classes!$H$6:$H$420,$M4302))</f>
        <v/>
      </c>
      <c r="D4302" s="61" t="str">
        <f aca="false">IF($M4302=0,"",INDEX(Classes!$B$6:$B$420,$M4302))</f>
        <v/>
      </c>
      <c r="E4302" s="61" t="str">
        <f aca="false">IF($M4302=0,"",INDEX(Classes!$C$6:$C$420,$M4302))</f>
        <v/>
      </c>
      <c r="F4302" s="63"/>
      <c r="G4302" s="63"/>
      <c r="H4302" s="60"/>
      <c r="I4302" s="60"/>
      <c r="J4302" s="63"/>
      <c r="K4302" s="61" t="str">
        <f aca="false">IF($P4302=0,"",IF($F4302="Baseline","— Baseline",IF($O4302=0,"No result",IF($N4302=0,"No Start (attainment only)",IF(OR($N4302=1,$O4302=1),"U – needs rule",INDEX(MxBody,MATCH($I4302,MxCurr,0),MATCH($H4302,MxStart,0)))))))</f>
        <v/>
      </c>
      <c r="L4302" s="62" t="str">
        <f aca="false">IF(COUNTA($A4302,$F4302,$G4302,$H4302,$I4302,$J4302)=0,"",IF($M4302=0,"✖ كود الصف غير موجود",IF(ISNA(MATCH($F4302,Lists!$A$2:$A$5,0)),"✖ الفترة غير صحيحة",IF(ISNA(MATCH($G4302,Lists!$B$2:$B$7,0)),"✖ المجموعة غير صحيحة",IF(NOT(OR($H4302="",$N4302&gt;0)),"✖ Start غير صحيح",IF(NOT(OR($I4302="",$I4302="NR",$O4302&gt;0)),"✖ Current غير صحيح",IF(NOT(IF(ISNUMBER($J4302),AND($J4302&gt;=0,$J4302=INT($J4302)),FALSE())),"✖ العدد يجب أن يكون صحيحًا ≥ 0",IF(AND($F4302="Baseline",$H4302&lt;&gt;""),"⚠ Baseline: Start لا يدخل في التقدم",IF($K4302="No Start (attainment only)","ℹ تحصيل فقط (بدون Start)",IF($K4302="U – needs rule","ℹ حالة U تحتاج قاعدة معتمدة",IF($K4302="No result","ℹ بدون نتيجة (يُستبعد من التحصيل)","OK")))))))))))</f>
        <v/>
      </c>
      <c r="M4302" s="64" t="n">
        <f aca="false">IF($A4302="",0,IFERROR(MATCH($A4302,Classes!$A$6:$A$420,0),0))</f>
        <v>0</v>
      </c>
      <c r="N4302" s="64" t="n">
        <f aca="false">IF($H4302="",0,IFERROR(MATCH($H4302,GradeList,0),0))</f>
        <v>0</v>
      </c>
      <c r="O4302" s="64" t="n">
        <f aca="false">IF(OR($I4302="",$I4302="NR"),0,IFERROR(MATCH($I4302,GradeList,0),0))</f>
        <v>0</v>
      </c>
      <c r="P4302" s="64" t="n">
        <f aca="false">IF(AND($M4302&gt;0,ISNUMBER(MATCH($F4302,Lists!$A$2:$A$5,0)),ISNUMBER(MATCH($G4302,Lists!$B$2:$B$7,0)),OR($H4302="",$N4302&gt;0),OR($I4302="",$I4302="NR",$O4302&gt;0),IF(ISNUMBER($J4302),AND($J4302&gt;=0,$J4302=INT($J4302)),FALSE())),$J4302,0)</f>
        <v>0</v>
      </c>
      <c r="Q4302" s="64" t="n">
        <f aca="false">IF(AND($P4302&gt;0,$O4302&gt;0),$P4302,0)</f>
        <v>0</v>
      </c>
      <c r="R4302" s="64" t="n">
        <f aca="false">IF(AND($Q4302&gt;0,$O4302&gt;=AtRank),$Q4302,0)</f>
        <v>0</v>
      </c>
      <c r="S4302" s="64" t="n">
        <f aca="false">IF(AND($Q4302&gt;0,$O4302&gt;=AboveRank),$Q4302,0)</f>
        <v>0</v>
      </c>
      <c r="T4302" s="64" t="n">
        <f aca="false">IF($K4302="Less",$P4302,0)</f>
        <v>0</v>
      </c>
      <c r="U4302" s="64" t="n">
        <f aca="false">IF($K4302="Expected",$P4302,0)</f>
        <v>0</v>
      </c>
      <c r="V4302" s="64" t="n">
        <f aca="false">IF($K4302="Better",$P4302,0)</f>
        <v>0</v>
      </c>
      <c r="W4302" s="64" t="n">
        <f aca="false">IF($K4302="U – needs rule",$P4302,0)</f>
        <v>0</v>
      </c>
      <c r="X4302" s="64" t="n">
        <f aca="false">IF($K4302="No Start (attainment only)",$P4302,0)</f>
        <v>0</v>
      </c>
    </row>
    <row r="4303" customFormat="false" ht="15" hidden="false" customHeight="false" outlineLevel="0" collapsed="false">
      <c r="A4303" s="60"/>
      <c r="B4303" s="61" t="str">
        <f aca="false">IF($M4303=0,"",INDEX(Classes!$E$6:$E$420,$M4303))</f>
        <v/>
      </c>
      <c r="C4303" s="62" t="str">
        <f aca="false">IF($M4303=0,"",INDEX(Classes!$H$6:$H$420,$M4303))</f>
        <v/>
      </c>
      <c r="D4303" s="61" t="str">
        <f aca="false">IF($M4303=0,"",INDEX(Classes!$B$6:$B$420,$M4303))</f>
        <v/>
      </c>
      <c r="E4303" s="61" t="str">
        <f aca="false">IF($M4303=0,"",INDEX(Classes!$C$6:$C$420,$M4303))</f>
        <v/>
      </c>
      <c r="F4303" s="63"/>
      <c r="G4303" s="63"/>
      <c r="H4303" s="60"/>
      <c r="I4303" s="60"/>
      <c r="J4303" s="63"/>
      <c r="K4303" s="61" t="str">
        <f aca="false">IF($P4303=0,"",IF($F4303="Baseline","— Baseline",IF($O4303=0,"No result",IF($N4303=0,"No Start (attainment only)",IF(OR($N4303=1,$O4303=1),"U – needs rule",INDEX(MxBody,MATCH($I4303,MxCurr,0),MATCH($H4303,MxStart,0)))))))</f>
        <v/>
      </c>
      <c r="L4303" s="62" t="str">
        <f aca="false">IF(COUNTA($A4303,$F4303,$G4303,$H4303,$I4303,$J4303)=0,"",IF($M4303=0,"✖ كود الصف غير موجود",IF(ISNA(MATCH($F4303,Lists!$A$2:$A$5,0)),"✖ الفترة غير صحيحة",IF(ISNA(MATCH($G4303,Lists!$B$2:$B$7,0)),"✖ المجموعة غير صحيحة",IF(NOT(OR($H4303="",$N4303&gt;0)),"✖ Start غير صحيح",IF(NOT(OR($I4303="",$I4303="NR",$O4303&gt;0)),"✖ Current غير صحيح",IF(NOT(IF(ISNUMBER($J4303),AND($J4303&gt;=0,$J4303=INT($J4303)),FALSE())),"✖ العدد يجب أن يكون صحيحًا ≥ 0",IF(AND($F4303="Baseline",$H4303&lt;&gt;""),"⚠ Baseline: Start لا يدخل في التقدم",IF($K4303="No Start (attainment only)","ℹ تحصيل فقط (بدون Start)",IF($K4303="U – needs rule","ℹ حالة U تحتاج قاعدة معتمدة",IF($K4303="No result","ℹ بدون نتيجة (يُستبعد من التحصيل)","OK")))))))))))</f>
        <v/>
      </c>
      <c r="M4303" s="64" t="n">
        <f aca="false">IF($A4303="",0,IFERROR(MATCH($A4303,Classes!$A$6:$A$420,0),0))</f>
        <v>0</v>
      </c>
      <c r="N4303" s="64" t="n">
        <f aca="false">IF($H4303="",0,IFERROR(MATCH($H4303,GradeList,0),0))</f>
        <v>0</v>
      </c>
      <c r="O4303" s="64" t="n">
        <f aca="false">IF(OR($I4303="",$I4303="NR"),0,IFERROR(MATCH($I4303,GradeList,0),0))</f>
        <v>0</v>
      </c>
      <c r="P4303" s="64" t="n">
        <f aca="false">IF(AND($M4303&gt;0,ISNUMBER(MATCH($F4303,Lists!$A$2:$A$5,0)),ISNUMBER(MATCH($G4303,Lists!$B$2:$B$7,0)),OR($H4303="",$N4303&gt;0),OR($I4303="",$I4303="NR",$O4303&gt;0),IF(ISNUMBER($J4303),AND($J4303&gt;=0,$J4303=INT($J4303)),FALSE())),$J4303,0)</f>
        <v>0</v>
      </c>
      <c r="Q4303" s="64" t="n">
        <f aca="false">IF(AND($P4303&gt;0,$O4303&gt;0),$P4303,0)</f>
        <v>0</v>
      </c>
      <c r="R4303" s="64" t="n">
        <f aca="false">IF(AND($Q4303&gt;0,$O4303&gt;=AtRank),$Q4303,0)</f>
        <v>0</v>
      </c>
      <c r="S4303" s="64" t="n">
        <f aca="false">IF(AND($Q4303&gt;0,$O4303&gt;=AboveRank),$Q4303,0)</f>
        <v>0</v>
      </c>
      <c r="T4303" s="64" t="n">
        <f aca="false">IF($K4303="Less",$P4303,0)</f>
        <v>0</v>
      </c>
      <c r="U4303" s="64" t="n">
        <f aca="false">IF($K4303="Expected",$P4303,0)</f>
        <v>0</v>
      </c>
      <c r="V4303" s="64" t="n">
        <f aca="false">IF($K4303="Better",$P4303,0)</f>
        <v>0</v>
      </c>
      <c r="W4303" s="64" t="n">
        <f aca="false">IF($K4303="U – needs rule",$P4303,0)</f>
        <v>0</v>
      </c>
      <c r="X4303" s="64" t="n">
        <f aca="false">IF($K4303="No Start (attainment only)",$P4303,0)</f>
        <v>0</v>
      </c>
    </row>
    <row r="4304" customFormat="false" ht="15" hidden="false" customHeight="false" outlineLevel="0" collapsed="false">
      <c r="A4304" s="60"/>
      <c r="B4304" s="61" t="str">
        <f aca="false">IF($M4304=0,"",INDEX(Classes!$E$6:$E$420,$M4304))</f>
        <v/>
      </c>
      <c r="C4304" s="62" t="str">
        <f aca="false">IF($M4304=0,"",INDEX(Classes!$H$6:$H$420,$M4304))</f>
        <v/>
      </c>
      <c r="D4304" s="61" t="str">
        <f aca="false">IF($M4304=0,"",INDEX(Classes!$B$6:$B$420,$M4304))</f>
        <v/>
      </c>
      <c r="E4304" s="61" t="str">
        <f aca="false">IF($M4304=0,"",INDEX(Classes!$C$6:$C$420,$M4304))</f>
        <v/>
      </c>
      <c r="F4304" s="63"/>
      <c r="G4304" s="63"/>
      <c r="H4304" s="60"/>
      <c r="I4304" s="60"/>
      <c r="J4304" s="63"/>
      <c r="K4304" s="61" t="str">
        <f aca="false">IF($P4304=0,"",IF($F4304="Baseline","— Baseline",IF($O4304=0,"No result",IF($N4304=0,"No Start (attainment only)",IF(OR($N4304=1,$O4304=1),"U – needs rule",INDEX(MxBody,MATCH($I4304,MxCurr,0),MATCH($H4304,MxStart,0)))))))</f>
        <v/>
      </c>
      <c r="L4304" s="62" t="str">
        <f aca="false">IF(COUNTA($A4304,$F4304,$G4304,$H4304,$I4304,$J4304)=0,"",IF($M4304=0,"✖ كود الصف غير موجود",IF(ISNA(MATCH($F4304,Lists!$A$2:$A$5,0)),"✖ الفترة غير صحيحة",IF(ISNA(MATCH($G4304,Lists!$B$2:$B$7,0)),"✖ المجموعة غير صحيحة",IF(NOT(OR($H4304="",$N4304&gt;0)),"✖ Start غير صحيح",IF(NOT(OR($I4304="",$I4304="NR",$O4304&gt;0)),"✖ Current غير صحيح",IF(NOT(IF(ISNUMBER($J4304),AND($J4304&gt;=0,$J4304=INT($J4304)),FALSE())),"✖ العدد يجب أن يكون صحيحًا ≥ 0",IF(AND($F4304="Baseline",$H4304&lt;&gt;""),"⚠ Baseline: Start لا يدخل في التقدم",IF($K4304="No Start (attainment only)","ℹ تحصيل فقط (بدون Start)",IF($K4304="U – needs rule","ℹ حالة U تحتاج قاعدة معتمدة",IF($K4304="No result","ℹ بدون نتيجة (يُستبعد من التحصيل)","OK")))))))))))</f>
        <v/>
      </c>
      <c r="M4304" s="64" t="n">
        <f aca="false">IF($A4304="",0,IFERROR(MATCH($A4304,Classes!$A$6:$A$420,0),0))</f>
        <v>0</v>
      </c>
      <c r="N4304" s="64" t="n">
        <f aca="false">IF($H4304="",0,IFERROR(MATCH($H4304,GradeList,0),0))</f>
        <v>0</v>
      </c>
      <c r="O4304" s="64" t="n">
        <f aca="false">IF(OR($I4304="",$I4304="NR"),0,IFERROR(MATCH($I4304,GradeList,0),0))</f>
        <v>0</v>
      </c>
      <c r="P4304" s="64" t="n">
        <f aca="false">IF(AND($M4304&gt;0,ISNUMBER(MATCH($F4304,Lists!$A$2:$A$5,0)),ISNUMBER(MATCH($G4304,Lists!$B$2:$B$7,0)),OR($H4304="",$N4304&gt;0),OR($I4304="",$I4304="NR",$O4304&gt;0),IF(ISNUMBER($J4304),AND($J4304&gt;=0,$J4304=INT($J4304)),FALSE())),$J4304,0)</f>
        <v>0</v>
      </c>
      <c r="Q4304" s="64" t="n">
        <f aca="false">IF(AND($P4304&gt;0,$O4304&gt;0),$P4304,0)</f>
        <v>0</v>
      </c>
      <c r="R4304" s="64" t="n">
        <f aca="false">IF(AND($Q4304&gt;0,$O4304&gt;=AtRank),$Q4304,0)</f>
        <v>0</v>
      </c>
      <c r="S4304" s="64" t="n">
        <f aca="false">IF(AND($Q4304&gt;0,$O4304&gt;=AboveRank),$Q4304,0)</f>
        <v>0</v>
      </c>
      <c r="T4304" s="64" t="n">
        <f aca="false">IF($K4304="Less",$P4304,0)</f>
        <v>0</v>
      </c>
      <c r="U4304" s="64" t="n">
        <f aca="false">IF($K4304="Expected",$P4304,0)</f>
        <v>0</v>
      </c>
      <c r="V4304" s="64" t="n">
        <f aca="false">IF($K4304="Better",$P4304,0)</f>
        <v>0</v>
      </c>
      <c r="W4304" s="64" t="n">
        <f aca="false">IF($K4304="U – needs rule",$P4304,0)</f>
        <v>0</v>
      </c>
      <c r="X4304" s="64" t="n">
        <f aca="false">IF($K4304="No Start (attainment only)",$P4304,0)</f>
        <v>0</v>
      </c>
    </row>
    <row r="4305" customFormat="false" ht="15" hidden="false" customHeight="false" outlineLevel="0" collapsed="false">
      <c r="A4305" s="60"/>
      <c r="B4305" s="61" t="str">
        <f aca="false">IF($M4305=0,"",INDEX(Classes!$E$6:$E$420,$M4305))</f>
        <v/>
      </c>
      <c r="C4305" s="62" t="str">
        <f aca="false">IF($M4305=0,"",INDEX(Classes!$H$6:$H$420,$M4305))</f>
        <v/>
      </c>
      <c r="D4305" s="61" t="str">
        <f aca="false">IF($M4305=0,"",INDEX(Classes!$B$6:$B$420,$M4305))</f>
        <v/>
      </c>
      <c r="E4305" s="61" t="str">
        <f aca="false">IF($M4305=0,"",INDEX(Classes!$C$6:$C$420,$M4305))</f>
        <v/>
      </c>
      <c r="F4305" s="63"/>
      <c r="G4305" s="63"/>
      <c r="H4305" s="60"/>
      <c r="I4305" s="60"/>
      <c r="J4305" s="63"/>
      <c r="K4305" s="61" t="str">
        <f aca="false">IF($P4305=0,"",IF($F4305="Baseline","— Baseline",IF($O4305=0,"No result",IF($N4305=0,"No Start (attainment only)",IF(OR($N4305=1,$O4305=1),"U – needs rule",INDEX(MxBody,MATCH($I4305,MxCurr,0),MATCH($H4305,MxStart,0)))))))</f>
        <v/>
      </c>
      <c r="L4305" s="62" t="str">
        <f aca="false">IF(COUNTA($A4305,$F4305,$G4305,$H4305,$I4305,$J4305)=0,"",IF($M4305=0,"✖ كود الصف غير موجود",IF(ISNA(MATCH($F4305,Lists!$A$2:$A$5,0)),"✖ الفترة غير صحيحة",IF(ISNA(MATCH($G4305,Lists!$B$2:$B$7,0)),"✖ المجموعة غير صحيحة",IF(NOT(OR($H4305="",$N4305&gt;0)),"✖ Start غير صحيح",IF(NOT(OR($I4305="",$I4305="NR",$O4305&gt;0)),"✖ Current غير صحيح",IF(NOT(IF(ISNUMBER($J4305),AND($J4305&gt;=0,$J4305=INT($J4305)),FALSE())),"✖ العدد يجب أن يكون صحيحًا ≥ 0",IF(AND($F4305="Baseline",$H4305&lt;&gt;""),"⚠ Baseline: Start لا يدخل في التقدم",IF($K4305="No Start (attainment only)","ℹ تحصيل فقط (بدون Start)",IF($K4305="U – needs rule","ℹ حالة U تحتاج قاعدة معتمدة",IF($K4305="No result","ℹ بدون نتيجة (يُستبعد من التحصيل)","OK")))))))))))</f>
        <v/>
      </c>
      <c r="M4305" s="64" t="n">
        <f aca="false">IF($A4305="",0,IFERROR(MATCH($A4305,Classes!$A$6:$A$420,0),0))</f>
        <v>0</v>
      </c>
      <c r="N4305" s="64" t="n">
        <f aca="false">IF($H4305="",0,IFERROR(MATCH($H4305,GradeList,0),0))</f>
        <v>0</v>
      </c>
      <c r="O4305" s="64" t="n">
        <f aca="false">IF(OR($I4305="",$I4305="NR"),0,IFERROR(MATCH($I4305,GradeList,0),0))</f>
        <v>0</v>
      </c>
      <c r="P4305" s="64" t="n">
        <f aca="false">IF(AND($M4305&gt;0,ISNUMBER(MATCH($F4305,Lists!$A$2:$A$5,0)),ISNUMBER(MATCH($G4305,Lists!$B$2:$B$7,0)),OR($H4305="",$N4305&gt;0),OR($I4305="",$I4305="NR",$O4305&gt;0),IF(ISNUMBER($J4305),AND($J4305&gt;=0,$J4305=INT($J4305)),FALSE())),$J4305,0)</f>
        <v>0</v>
      </c>
      <c r="Q4305" s="64" t="n">
        <f aca="false">IF(AND($P4305&gt;0,$O4305&gt;0),$P4305,0)</f>
        <v>0</v>
      </c>
      <c r="R4305" s="64" t="n">
        <f aca="false">IF(AND($Q4305&gt;0,$O4305&gt;=AtRank),$Q4305,0)</f>
        <v>0</v>
      </c>
      <c r="S4305" s="64" t="n">
        <f aca="false">IF(AND($Q4305&gt;0,$O4305&gt;=AboveRank),$Q4305,0)</f>
        <v>0</v>
      </c>
      <c r="T4305" s="64" t="n">
        <f aca="false">IF($K4305="Less",$P4305,0)</f>
        <v>0</v>
      </c>
      <c r="U4305" s="64" t="n">
        <f aca="false">IF($K4305="Expected",$P4305,0)</f>
        <v>0</v>
      </c>
      <c r="V4305" s="64" t="n">
        <f aca="false">IF($K4305="Better",$P4305,0)</f>
        <v>0</v>
      </c>
      <c r="W4305" s="64" t="n">
        <f aca="false">IF($K4305="U – needs rule",$P4305,0)</f>
        <v>0</v>
      </c>
      <c r="X4305" s="64" t="n">
        <f aca="false">IF($K4305="No Start (attainment only)",$P4305,0)</f>
        <v>0</v>
      </c>
    </row>
    <row r="4306" customFormat="false" ht="15" hidden="false" customHeight="false" outlineLevel="0" collapsed="false">
      <c r="A4306" s="60"/>
      <c r="B4306" s="61" t="str">
        <f aca="false">IF($M4306=0,"",INDEX(Classes!$E$6:$E$420,$M4306))</f>
        <v/>
      </c>
      <c r="C4306" s="62" t="str">
        <f aca="false">IF($M4306=0,"",INDEX(Classes!$H$6:$H$420,$M4306))</f>
        <v/>
      </c>
      <c r="D4306" s="61" t="str">
        <f aca="false">IF($M4306=0,"",INDEX(Classes!$B$6:$B$420,$M4306))</f>
        <v/>
      </c>
      <c r="E4306" s="61" t="str">
        <f aca="false">IF($M4306=0,"",INDEX(Classes!$C$6:$C$420,$M4306))</f>
        <v/>
      </c>
      <c r="F4306" s="63"/>
      <c r="G4306" s="63"/>
      <c r="H4306" s="60"/>
      <c r="I4306" s="60"/>
      <c r="J4306" s="63"/>
      <c r="K4306" s="61" t="str">
        <f aca="false">IF($P4306=0,"",IF($F4306="Baseline","— Baseline",IF($O4306=0,"No result",IF($N4306=0,"No Start (attainment only)",IF(OR($N4306=1,$O4306=1),"U – needs rule",INDEX(MxBody,MATCH($I4306,MxCurr,0),MATCH($H4306,MxStart,0)))))))</f>
        <v/>
      </c>
      <c r="L4306" s="62" t="str">
        <f aca="false">IF(COUNTA($A4306,$F4306,$G4306,$H4306,$I4306,$J4306)=0,"",IF($M4306=0,"✖ كود الصف غير موجود",IF(ISNA(MATCH($F4306,Lists!$A$2:$A$5,0)),"✖ الفترة غير صحيحة",IF(ISNA(MATCH($G4306,Lists!$B$2:$B$7,0)),"✖ المجموعة غير صحيحة",IF(NOT(OR($H4306="",$N4306&gt;0)),"✖ Start غير صحيح",IF(NOT(OR($I4306="",$I4306="NR",$O4306&gt;0)),"✖ Current غير صحيح",IF(NOT(IF(ISNUMBER($J4306),AND($J4306&gt;=0,$J4306=INT($J4306)),FALSE())),"✖ العدد يجب أن يكون صحيحًا ≥ 0",IF(AND($F4306="Baseline",$H4306&lt;&gt;""),"⚠ Baseline: Start لا يدخل في التقدم",IF($K4306="No Start (attainment only)","ℹ تحصيل فقط (بدون Start)",IF($K4306="U – needs rule","ℹ حالة U تحتاج قاعدة معتمدة",IF($K4306="No result","ℹ بدون نتيجة (يُستبعد من التحصيل)","OK")))))))))))</f>
        <v/>
      </c>
      <c r="M4306" s="64" t="n">
        <f aca="false">IF($A4306="",0,IFERROR(MATCH($A4306,Classes!$A$6:$A$420,0),0))</f>
        <v>0</v>
      </c>
      <c r="N4306" s="64" t="n">
        <f aca="false">IF($H4306="",0,IFERROR(MATCH($H4306,GradeList,0),0))</f>
        <v>0</v>
      </c>
      <c r="O4306" s="64" t="n">
        <f aca="false">IF(OR($I4306="",$I4306="NR"),0,IFERROR(MATCH($I4306,GradeList,0),0))</f>
        <v>0</v>
      </c>
      <c r="P4306" s="64" t="n">
        <f aca="false">IF(AND($M4306&gt;0,ISNUMBER(MATCH($F4306,Lists!$A$2:$A$5,0)),ISNUMBER(MATCH($G4306,Lists!$B$2:$B$7,0)),OR($H4306="",$N4306&gt;0),OR($I4306="",$I4306="NR",$O4306&gt;0),IF(ISNUMBER($J4306),AND($J4306&gt;=0,$J4306=INT($J4306)),FALSE())),$J4306,0)</f>
        <v>0</v>
      </c>
      <c r="Q4306" s="64" t="n">
        <f aca="false">IF(AND($P4306&gt;0,$O4306&gt;0),$P4306,0)</f>
        <v>0</v>
      </c>
      <c r="R4306" s="64" t="n">
        <f aca="false">IF(AND($Q4306&gt;0,$O4306&gt;=AtRank),$Q4306,0)</f>
        <v>0</v>
      </c>
      <c r="S4306" s="64" t="n">
        <f aca="false">IF(AND($Q4306&gt;0,$O4306&gt;=AboveRank),$Q4306,0)</f>
        <v>0</v>
      </c>
      <c r="T4306" s="64" t="n">
        <f aca="false">IF($K4306="Less",$P4306,0)</f>
        <v>0</v>
      </c>
      <c r="U4306" s="64" t="n">
        <f aca="false">IF($K4306="Expected",$P4306,0)</f>
        <v>0</v>
      </c>
      <c r="V4306" s="64" t="n">
        <f aca="false">IF($K4306="Better",$P4306,0)</f>
        <v>0</v>
      </c>
      <c r="W4306" s="64" t="n">
        <f aca="false">IF($K4306="U – needs rule",$P4306,0)</f>
        <v>0</v>
      </c>
      <c r="X4306" s="64" t="n">
        <f aca="false">IF($K4306="No Start (attainment only)",$P4306,0)</f>
        <v>0</v>
      </c>
    </row>
    <row r="4307" customFormat="false" ht="15" hidden="false" customHeight="false" outlineLevel="0" collapsed="false">
      <c r="A4307" s="60"/>
      <c r="B4307" s="61" t="str">
        <f aca="false">IF($M4307=0,"",INDEX(Classes!$E$6:$E$420,$M4307))</f>
        <v/>
      </c>
      <c r="C4307" s="62" t="str">
        <f aca="false">IF($M4307=0,"",INDEX(Classes!$H$6:$H$420,$M4307))</f>
        <v/>
      </c>
      <c r="D4307" s="61" t="str">
        <f aca="false">IF($M4307=0,"",INDEX(Classes!$B$6:$B$420,$M4307))</f>
        <v/>
      </c>
      <c r="E4307" s="61" t="str">
        <f aca="false">IF($M4307=0,"",INDEX(Classes!$C$6:$C$420,$M4307))</f>
        <v/>
      </c>
      <c r="F4307" s="63"/>
      <c r="G4307" s="63"/>
      <c r="H4307" s="60"/>
      <c r="I4307" s="60"/>
      <c r="J4307" s="63"/>
      <c r="K4307" s="61" t="str">
        <f aca="false">IF($P4307=0,"",IF($F4307="Baseline","— Baseline",IF($O4307=0,"No result",IF($N4307=0,"No Start (attainment only)",IF(OR($N4307=1,$O4307=1),"U – needs rule",INDEX(MxBody,MATCH($I4307,MxCurr,0),MATCH($H4307,MxStart,0)))))))</f>
        <v/>
      </c>
      <c r="L4307" s="62" t="str">
        <f aca="false">IF(COUNTA($A4307,$F4307,$G4307,$H4307,$I4307,$J4307)=0,"",IF($M4307=0,"✖ كود الصف غير موجود",IF(ISNA(MATCH($F4307,Lists!$A$2:$A$5,0)),"✖ الفترة غير صحيحة",IF(ISNA(MATCH($G4307,Lists!$B$2:$B$7,0)),"✖ المجموعة غير صحيحة",IF(NOT(OR($H4307="",$N4307&gt;0)),"✖ Start غير صحيح",IF(NOT(OR($I4307="",$I4307="NR",$O4307&gt;0)),"✖ Current غير صحيح",IF(NOT(IF(ISNUMBER($J4307),AND($J4307&gt;=0,$J4307=INT($J4307)),FALSE())),"✖ العدد يجب أن يكون صحيحًا ≥ 0",IF(AND($F4307="Baseline",$H4307&lt;&gt;""),"⚠ Baseline: Start لا يدخل في التقدم",IF($K4307="No Start (attainment only)","ℹ تحصيل فقط (بدون Start)",IF($K4307="U – needs rule","ℹ حالة U تحتاج قاعدة معتمدة",IF($K4307="No result","ℹ بدون نتيجة (يُستبعد من التحصيل)","OK")))))))))))</f>
        <v/>
      </c>
      <c r="M4307" s="64" t="n">
        <f aca="false">IF($A4307="",0,IFERROR(MATCH($A4307,Classes!$A$6:$A$420,0),0))</f>
        <v>0</v>
      </c>
      <c r="N4307" s="64" t="n">
        <f aca="false">IF($H4307="",0,IFERROR(MATCH($H4307,GradeList,0),0))</f>
        <v>0</v>
      </c>
      <c r="O4307" s="64" t="n">
        <f aca="false">IF(OR($I4307="",$I4307="NR"),0,IFERROR(MATCH($I4307,GradeList,0),0))</f>
        <v>0</v>
      </c>
      <c r="P4307" s="64" t="n">
        <f aca="false">IF(AND($M4307&gt;0,ISNUMBER(MATCH($F4307,Lists!$A$2:$A$5,0)),ISNUMBER(MATCH($G4307,Lists!$B$2:$B$7,0)),OR($H4307="",$N4307&gt;0),OR($I4307="",$I4307="NR",$O4307&gt;0),IF(ISNUMBER($J4307),AND($J4307&gt;=0,$J4307=INT($J4307)),FALSE())),$J4307,0)</f>
        <v>0</v>
      </c>
      <c r="Q4307" s="64" t="n">
        <f aca="false">IF(AND($P4307&gt;0,$O4307&gt;0),$P4307,0)</f>
        <v>0</v>
      </c>
      <c r="R4307" s="64" t="n">
        <f aca="false">IF(AND($Q4307&gt;0,$O4307&gt;=AtRank),$Q4307,0)</f>
        <v>0</v>
      </c>
      <c r="S4307" s="64" t="n">
        <f aca="false">IF(AND($Q4307&gt;0,$O4307&gt;=AboveRank),$Q4307,0)</f>
        <v>0</v>
      </c>
      <c r="T4307" s="64" t="n">
        <f aca="false">IF($K4307="Less",$P4307,0)</f>
        <v>0</v>
      </c>
      <c r="U4307" s="64" t="n">
        <f aca="false">IF($K4307="Expected",$P4307,0)</f>
        <v>0</v>
      </c>
      <c r="V4307" s="64" t="n">
        <f aca="false">IF($K4307="Better",$P4307,0)</f>
        <v>0</v>
      </c>
      <c r="W4307" s="64" t="n">
        <f aca="false">IF($K4307="U – needs rule",$P4307,0)</f>
        <v>0</v>
      </c>
      <c r="X4307" s="64" t="n">
        <f aca="false">IF($K4307="No Start (attainment only)",$P4307,0)</f>
        <v>0</v>
      </c>
    </row>
    <row r="4308" customFormat="false" ht="15" hidden="false" customHeight="false" outlineLevel="0" collapsed="false">
      <c r="A4308" s="60"/>
      <c r="B4308" s="61" t="str">
        <f aca="false">IF($M4308=0,"",INDEX(Classes!$E$6:$E$420,$M4308))</f>
        <v/>
      </c>
      <c r="C4308" s="62" t="str">
        <f aca="false">IF($M4308=0,"",INDEX(Classes!$H$6:$H$420,$M4308))</f>
        <v/>
      </c>
      <c r="D4308" s="61" t="str">
        <f aca="false">IF($M4308=0,"",INDEX(Classes!$B$6:$B$420,$M4308))</f>
        <v/>
      </c>
      <c r="E4308" s="61" t="str">
        <f aca="false">IF($M4308=0,"",INDEX(Classes!$C$6:$C$420,$M4308))</f>
        <v/>
      </c>
      <c r="F4308" s="63"/>
      <c r="G4308" s="63"/>
      <c r="H4308" s="60"/>
      <c r="I4308" s="60"/>
      <c r="J4308" s="63"/>
      <c r="K4308" s="61" t="str">
        <f aca="false">IF($P4308=0,"",IF($F4308="Baseline","— Baseline",IF($O4308=0,"No result",IF($N4308=0,"No Start (attainment only)",IF(OR($N4308=1,$O4308=1),"U – needs rule",INDEX(MxBody,MATCH($I4308,MxCurr,0),MATCH($H4308,MxStart,0)))))))</f>
        <v/>
      </c>
      <c r="L4308" s="62" t="str">
        <f aca="false">IF(COUNTA($A4308,$F4308,$G4308,$H4308,$I4308,$J4308)=0,"",IF($M4308=0,"✖ كود الصف غير موجود",IF(ISNA(MATCH($F4308,Lists!$A$2:$A$5,0)),"✖ الفترة غير صحيحة",IF(ISNA(MATCH($G4308,Lists!$B$2:$B$7,0)),"✖ المجموعة غير صحيحة",IF(NOT(OR($H4308="",$N4308&gt;0)),"✖ Start غير صحيح",IF(NOT(OR($I4308="",$I4308="NR",$O4308&gt;0)),"✖ Current غير صحيح",IF(NOT(IF(ISNUMBER($J4308),AND($J4308&gt;=0,$J4308=INT($J4308)),FALSE())),"✖ العدد يجب أن يكون صحيحًا ≥ 0",IF(AND($F4308="Baseline",$H4308&lt;&gt;""),"⚠ Baseline: Start لا يدخل في التقدم",IF($K4308="No Start (attainment only)","ℹ تحصيل فقط (بدون Start)",IF($K4308="U – needs rule","ℹ حالة U تحتاج قاعدة معتمدة",IF($K4308="No result","ℹ بدون نتيجة (يُستبعد من التحصيل)","OK")))))))))))</f>
        <v/>
      </c>
      <c r="M4308" s="64" t="n">
        <f aca="false">IF($A4308="",0,IFERROR(MATCH($A4308,Classes!$A$6:$A$420,0),0))</f>
        <v>0</v>
      </c>
      <c r="N4308" s="64" t="n">
        <f aca="false">IF($H4308="",0,IFERROR(MATCH($H4308,GradeList,0),0))</f>
        <v>0</v>
      </c>
      <c r="O4308" s="64" t="n">
        <f aca="false">IF(OR($I4308="",$I4308="NR"),0,IFERROR(MATCH($I4308,GradeList,0),0))</f>
        <v>0</v>
      </c>
      <c r="P4308" s="64" t="n">
        <f aca="false">IF(AND($M4308&gt;0,ISNUMBER(MATCH($F4308,Lists!$A$2:$A$5,0)),ISNUMBER(MATCH($G4308,Lists!$B$2:$B$7,0)),OR($H4308="",$N4308&gt;0),OR($I4308="",$I4308="NR",$O4308&gt;0),IF(ISNUMBER($J4308),AND($J4308&gt;=0,$J4308=INT($J4308)),FALSE())),$J4308,0)</f>
        <v>0</v>
      </c>
      <c r="Q4308" s="64" t="n">
        <f aca="false">IF(AND($P4308&gt;0,$O4308&gt;0),$P4308,0)</f>
        <v>0</v>
      </c>
      <c r="R4308" s="64" t="n">
        <f aca="false">IF(AND($Q4308&gt;0,$O4308&gt;=AtRank),$Q4308,0)</f>
        <v>0</v>
      </c>
      <c r="S4308" s="64" t="n">
        <f aca="false">IF(AND($Q4308&gt;0,$O4308&gt;=AboveRank),$Q4308,0)</f>
        <v>0</v>
      </c>
      <c r="T4308" s="64" t="n">
        <f aca="false">IF($K4308="Less",$P4308,0)</f>
        <v>0</v>
      </c>
      <c r="U4308" s="64" t="n">
        <f aca="false">IF($K4308="Expected",$P4308,0)</f>
        <v>0</v>
      </c>
      <c r="V4308" s="64" t="n">
        <f aca="false">IF($K4308="Better",$P4308,0)</f>
        <v>0</v>
      </c>
      <c r="W4308" s="64" t="n">
        <f aca="false">IF($K4308="U – needs rule",$P4308,0)</f>
        <v>0</v>
      </c>
      <c r="X4308" s="64" t="n">
        <f aca="false">IF($K4308="No Start (attainment only)",$P4308,0)</f>
        <v>0</v>
      </c>
    </row>
    <row r="4309" customFormat="false" ht="15" hidden="false" customHeight="false" outlineLevel="0" collapsed="false">
      <c r="A4309" s="60"/>
      <c r="B4309" s="61" t="str">
        <f aca="false">IF($M4309=0,"",INDEX(Classes!$E$6:$E$420,$M4309))</f>
        <v/>
      </c>
      <c r="C4309" s="62" t="str">
        <f aca="false">IF($M4309=0,"",INDEX(Classes!$H$6:$H$420,$M4309))</f>
        <v/>
      </c>
      <c r="D4309" s="61" t="str">
        <f aca="false">IF($M4309=0,"",INDEX(Classes!$B$6:$B$420,$M4309))</f>
        <v/>
      </c>
      <c r="E4309" s="61" t="str">
        <f aca="false">IF($M4309=0,"",INDEX(Classes!$C$6:$C$420,$M4309))</f>
        <v/>
      </c>
      <c r="F4309" s="63"/>
      <c r="G4309" s="63"/>
      <c r="H4309" s="60"/>
      <c r="I4309" s="60"/>
      <c r="J4309" s="63"/>
      <c r="K4309" s="61" t="str">
        <f aca="false">IF($P4309=0,"",IF($F4309="Baseline","— Baseline",IF($O4309=0,"No result",IF($N4309=0,"No Start (attainment only)",IF(OR($N4309=1,$O4309=1),"U – needs rule",INDEX(MxBody,MATCH($I4309,MxCurr,0),MATCH($H4309,MxStart,0)))))))</f>
        <v/>
      </c>
      <c r="L4309" s="62" t="str">
        <f aca="false">IF(COUNTA($A4309,$F4309,$G4309,$H4309,$I4309,$J4309)=0,"",IF($M4309=0,"✖ كود الصف غير موجود",IF(ISNA(MATCH($F4309,Lists!$A$2:$A$5,0)),"✖ الفترة غير صحيحة",IF(ISNA(MATCH($G4309,Lists!$B$2:$B$7,0)),"✖ المجموعة غير صحيحة",IF(NOT(OR($H4309="",$N4309&gt;0)),"✖ Start غير صحيح",IF(NOT(OR($I4309="",$I4309="NR",$O4309&gt;0)),"✖ Current غير صحيح",IF(NOT(IF(ISNUMBER($J4309),AND($J4309&gt;=0,$J4309=INT($J4309)),FALSE())),"✖ العدد يجب أن يكون صحيحًا ≥ 0",IF(AND($F4309="Baseline",$H4309&lt;&gt;""),"⚠ Baseline: Start لا يدخل في التقدم",IF($K4309="No Start (attainment only)","ℹ تحصيل فقط (بدون Start)",IF($K4309="U – needs rule","ℹ حالة U تحتاج قاعدة معتمدة",IF($K4309="No result","ℹ بدون نتيجة (يُستبعد من التحصيل)","OK")))))))))))</f>
        <v/>
      </c>
      <c r="M4309" s="64" t="n">
        <f aca="false">IF($A4309="",0,IFERROR(MATCH($A4309,Classes!$A$6:$A$420,0),0))</f>
        <v>0</v>
      </c>
      <c r="N4309" s="64" t="n">
        <f aca="false">IF($H4309="",0,IFERROR(MATCH($H4309,GradeList,0),0))</f>
        <v>0</v>
      </c>
      <c r="O4309" s="64" t="n">
        <f aca="false">IF(OR($I4309="",$I4309="NR"),0,IFERROR(MATCH($I4309,GradeList,0),0))</f>
        <v>0</v>
      </c>
      <c r="P4309" s="64" t="n">
        <f aca="false">IF(AND($M4309&gt;0,ISNUMBER(MATCH($F4309,Lists!$A$2:$A$5,0)),ISNUMBER(MATCH($G4309,Lists!$B$2:$B$7,0)),OR($H4309="",$N4309&gt;0),OR($I4309="",$I4309="NR",$O4309&gt;0),IF(ISNUMBER($J4309),AND($J4309&gt;=0,$J4309=INT($J4309)),FALSE())),$J4309,0)</f>
        <v>0</v>
      </c>
      <c r="Q4309" s="64" t="n">
        <f aca="false">IF(AND($P4309&gt;0,$O4309&gt;0),$P4309,0)</f>
        <v>0</v>
      </c>
      <c r="R4309" s="64" t="n">
        <f aca="false">IF(AND($Q4309&gt;0,$O4309&gt;=AtRank),$Q4309,0)</f>
        <v>0</v>
      </c>
      <c r="S4309" s="64" t="n">
        <f aca="false">IF(AND($Q4309&gt;0,$O4309&gt;=AboveRank),$Q4309,0)</f>
        <v>0</v>
      </c>
      <c r="T4309" s="64" t="n">
        <f aca="false">IF($K4309="Less",$P4309,0)</f>
        <v>0</v>
      </c>
      <c r="U4309" s="64" t="n">
        <f aca="false">IF($K4309="Expected",$P4309,0)</f>
        <v>0</v>
      </c>
      <c r="V4309" s="64" t="n">
        <f aca="false">IF($K4309="Better",$P4309,0)</f>
        <v>0</v>
      </c>
      <c r="W4309" s="64" t="n">
        <f aca="false">IF($K4309="U – needs rule",$P4309,0)</f>
        <v>0</v>
      </c>
      <c r="X4309" s="64" t="n">
        <f aca="false">IF($K4309="No Start (attainment only)",$P4309,0)</f>
        <v>0</v>
      </c>
    </row>
    <row r="4310" customFormat="false" ht="15" hidden="false" customHeight="false" outlineLevel="0" collapsed="false">
      <c r="A4310" s="60"/>
      <c r="B4310" s="61" t="str">
        <f aca="false">IF($M4310=0,"",INDEX(Classes!$E$6:$E$420,$M4310))</f>
        <v/>
      </c>
      <c r="C4310" s="62" t="str">
        <f aca="false">IF($M4310=0,"",INDEX(Classes!$H$6:$H$420,$M4310))</f>
        <v/>
      </c>
      <c r="D4310" s="61" t="str">
        <f aca="false">IF($M4310=0,"",INDEX(Classes!$B$6:$B$420,$M4310))</f>
        <v/>
      </c>
      <c r="E4310" s="61" t="str">
        <f aca="false">IF($M4310=0,"",INDEX(Classes!$C$6:$C$420,$M4310))</f>
        <v/>
      </c>
      <c r="F4310" s="63"/>
      <c r="G4310" s="63"/>
      <c r="H4310" s="60"/>
      <c r="I4310" s="60"/>
      <c r="J4310" s="63"/>
      <c r="K4310" s="61" t="str">
        <f aca="false">IF($P4310=0,"",IF($F4310="Baseline","— Baseline",IF($O4310=0,"No result",IF($N4310=0,"No Start (attainment only)",IF(OR($N4310=1,$O4310=1),"U – needs rule",INDEX(MxBody,MATCH($I4310,MxCurr,0),MATCH($H4310,MxStart,0)))))))</f>
        <v/>
      </c>
      <c r="L4310" s="62" t="str">
        <f aca="false">IF(COUNTA($A4310,$F4310,$G4310,$H4310,$I4310,$J4310)=0,"",IF($M4310=0,"✖ كود الصف غير موجود",IF(ISNA(MATCH($F4310,Lists!$A$2:$A$5,0)),"✖ الفترة غير صحيحة",IF(ISNA(MATCH($G4310,Lists!$B$2:$B$7,0)),"✖ المجموعة غير صحيحة",IF(NOT(OR($H4310="",$N4310&gt;0)),"✖ Start غير صحيح",IF(NOT(OR($I4310="",$I4310="NR",$O4310&gt;0)),"✖ Current غير صحيح",IF(NOT(IF(ISNUMBER($J4310),AND($J4310&gt;=0,$J4310=INT($J4310)),FALSE())),"✖ العدد يجب أن يكون صحيحًا ≥ 0",IF(AND($F4310="Baseline",$H4310&lt;&gt;""),"⚠ Baseline: Start لا يدخل في التقدم",IF($K4310="No Start (attainment only)","ℹ تحصيل فقط (بدون Start)",IF($K4310="U – needs rule","ℹ حالة U تحتاج قاعدة معتمدة",IF($K4310="No result","ℹ بدون نتيجة (يُستبعد من التحصيل)","OK")))))))))))</f>
        <v/>
      </c>
      <c r="M4310" s="64" t="n">
        <f aca="false">IF($A4310="",0,IFERROR(MATCH($A4310,Classes!$A$6:$A$420,0),0))</f>
        <v>0</v>
      </c>
      <c r="N4310" s="64" t="n">
        <f aca="false">IF($H4310="",0,IFERROR(MATCH($H4310,GradeList,0),0))</f>
        <v>0</v>
      </c>
      <c r="O4310" s="64" t="n">
        <f aca="false">IF(OR($I4310="",$I4310="NR"),0,IFERROR(MATCH($I4310,GradeList,0),0))</f>
        <v>0</v>
      </c>
      <c r="P4310" s="64" t="n">
        <f aca="false">IF(AND($M4310&gt;0,ISNUMBER(MATCH($F4310,Lists!$A$2:$A$5,0)),ISNUMBER(MATCH($G4310,Lists!$B$2:$B$7,0)),OR($H4310="",$N4310&gt;0),OR($I4310="",$I4310="NR",$O4310&gt;0),IF(ISNUMBER($J4310),AND($J4310&gt;=0,$J4310=INT($J4310)),FALSE())),$J4310,0)</f>
        <v>0</v>
      </c>
      <c r="Q4310" s="64" t="n">
        <f aca="false">IF(AND($P4310&gt;0,$O4310&gt;0),$P4310,0)</f>
        <v>0</v>
      </c>
      <c r="R4310" s="64" t="n">
        <f aca="false">IF(AND($Q4310&gt;0,$O4310&gt;=AtRank),$Q4310,0)</f>
        <v>0</v>
      </c>
      <c r="S4310" s="64" t="n">
        <f aca="false">IF(AND($Q4310&gt;0,$O4310&gt;=AboveRank),$Q4310,0)</f>
        <v>0</v>
      </c>
      <c r="T4310" s="64" t="n">
        <f aca="false">IF($K4310="Less",$P4310,0)</f>
        <v>0</v>
      </c>
      <c r="U4310" s="64" t="n">
        <f aca="false">IF($K4310="Expected",$P4310,0)</f>
        <v>0</v>
      </c>
      <c r="V4310" s="64" t="n">
        <f aca="false">IF($K4310="Better",$P4310,0)</f>
        <v>0</v>
      </c>
      <c r="W4310" s="64" t="n">
        <f aca="false">IF($K4310="U – needs rule",$P4310,0)</f>
        <v>0</v>
      </c>
      <c r="X4310" s="64" t="n">
        <f aca="false">IF($K4310="No Start (attainment only)",$P4310,0)</f>
        <v>0</v>
      </c>
    </row>
    <row r="4311" customFormat="false" ht="15" hidden="false" customHeight="false" outlineLevel="0" collapsed="false">
      <c r="A4311" s="60"/>
      <c r="B4311" s="61" t="str">
        <f aca="false">IF($M4311=0,"",INDEX(Classes!$E$6:$E$420,$M4311))</f>
        <v/>
      </c>
      <c r="C4311" s="62" t="str">
        <f aca="false">IF($M4311=0,"",INDEX(Classes!$H$6:$H$420,$M4311))</f>
        <v/>
      </c>
      <c r="D4311" s="61" t="str">
        <f aca="false">IF($M4311=0,"",INDEX(Classes!$B$6:$B$420,$M4311))</f>
        <v/>
      </c>
      <c r="E4311" s="61" t="str">
        <f aca="false">IF($M4311=0,"",INDEX(Classes!$C$6:$C$420,$M4311))</f>
        <v/>
      </c>
      <c r="F4311" s="63"/>
      <c r="G4311" s="63"/>
      <c r="H4311" s="60"/>
      <c r="I4311" s="60"/>
      <c r="J4311" s="63"/>
      <c r="K4311" s="61" t="str">
        <f aca="false">IF($P4311=0,"",IF($F4311="Baseline","— Baseline",IF($O4311=0,"No result",IF($N4311=0,"No Start (attainment only)",IF(OR($N4311=1,$O4311=1),"U – needs rule",INDEX(MxBody,MATCH($I4311,MxCurr,0),MATCH($H4311,MxStart,0)))))))</f>
        <v/>
      </c>
      <c r="L4311" s="62" t="str">
        <f aca="false">IF(COUNTA($A4311,$F4311,$G4311,$H4311,$I4311,$J4311)=0,"",IF($M4311=0,"✖ كود الصف غير موجود",IF(ISNA(MATCH($F4311,Lists!$A$2:$A$5,0)),"✖ الفترة غير صحيحة",IF(ISNA(MATCH($G4311,Lists!$B$2:$B$7,0)),"✖ المجموعة غير صحيحة",IF(NOT(OR($H4311="",$N4311&gt;0)),"✖ Start غير صحيح",IF(NOT(OR($I4311="",$I4311="NR",$O4311&gt;0)),"✖ Current غير صحيح",IF(NOT(IF(ISNUMBER($J4311),AND($J4311&gt;=0,$J4311=INT($J4311)),FALSE())),"✖ العدد يجب أن يكون صحيحًا ≥ 0",IF(AND($F4311="Baseline",$H4311&lt;&gt;""),"⚠ Baseline: Start لا يدخل في التقدم",IF($K4311="No Start (attainment only)","ℹ تحصيل فقط (بدون Start)",IF($K4311="U – needs rule","ℹ حالة U تحتاج قاعدة معتمدة",IF($K4311="No result","ℹ بدون نتيجة (يُستبعد من التحصيل)","OK")))))))))))</f>
        <v/>
      </c>
      <c r="M4311" s="64" t="n">
        <f aca="false">IF($A4311="",0,IFERROR(MATCH($A4311,Classes!$A$6:$A$420,0),0))</f>
        <v>0</v>
      </c>
      <c r="N4311" s="64" t="n">
        <f aca="false">IF($H4311="",0,IFERROR(MATCH($H4311,GradeList,0),0))</f>
        <v>0</v>
      </c>
      <c r="O4311" s="64" t="n">
        <f aca="false">IF(OR($I4311="",$I4311="NR"),0,IFERROR(MATCH($I4311,GradeList,0),0))</f>
        <v>0</v>
      </c>
      <c r="P4311" s="64" t="n">
        <f aca="false">IF(AND($M4311&gt;0,ISNUMBER(MATCH($F4311,Lists!$A$2:$A$5,0)),ISNUMBER(MATCH($G4311,Lists!$B$2:$B$7,0)),OR($H4311="",$N4311&gt;0),OR($I4311="",$I4311="NR",$O4311&gt;0),IF(ISNUMBER($J4311),AND($J4311&gt;=0,$J4311=INT($J4311)),FALSE())),$J4311,0)</f>
        <v>0</v>
      </c>
      <c r="Q4311" s="64" t="n">
        <f aca="false">IF(AND($P4311&gt;0,$O4311&gt;0),$P4311,0)</f>
        <v>0</v>
      </c>
      <c r="R4311" s="64" t="n">
        <f aca="false">IF(AND($Q4311&gt;0,$O4311&gt;=AtRank),$Q4311,0)</f>
        <v>0</v>
      </c>
      <c r="S4311" s="64" t="n">
        <f aca="false">IF(AND($Q4311&gt;0,$O4311&gt;=AboveRank),$Q4311,0)</f>
        <v>0</v>
      </c>
      <c r="T4311" s="64" t="n">
        <f aca="false">IF($K4311="Less",$P4311,0)</f>
        <v>0</v>
      </c>
      <c r="U4311" s="64" t="n">
        <f aca="false">IF($K4311="Expected",$P4311,0)</f>
        <v>0</v>
      </c>
      <c r="V4311" s="64" t="n">
        <f aca="false">IF($K4311="Better",$P4311,0)</f>
        <v>0</v>
      </c>
      <c r="W4311" s="64" t="n">
        <f aca="false">IF($K4311="U – needs rule",$P4311,0)</f>
        <v>0</v>
      </c>
      <c r="X4311" s="64" t="n">
        <f aca="false">IF($K4311="No Start (attainment only)",$P4311,0)</f>
        <v>0</v>
      </c>
    </row>
    <row r="4312" customFormat="false" ht="15" hidden="false" customHeight="false" outlineLevel="0" collapsed="false">
      <c r="A4312" s="60"/>
      <c r="B4312" s="61" t="str">
        <f aca="false">IF($M4312=0,"",INDEX(Classes!$E$6:$E$420,$M4312))</f>
        <v/>
      </c>
      <c r="C4312" s="62" t="str">
        <f aca="false">IF($M4312=0,"",INDEX(Classes!$H$6:$H$420,$M4312))</f>
        <v/>
      </c>
      <c r="D4312" s="61" t="str">
        <f aca="false">IF($M4312=0,"",INDEX(Classes!$B$6:$B$420,$M4312))</f>
        <v/>
      </c>
      <c r="E4312" s="61" t="str">
        <f aca="false">IF($M4312=0,"",INDEX(Classes!$C$6:$C$420,$M4312))</f>
        <v/>
      </c>
      <c r="F4312" s="63"/>
      <c r="G4312" s="63"/>
      <c r="H4312" s="60"/>
      <c r="I4312" s="60"/>
      <c r="J4312" s="63"/>
      <c r="K4312" s="61" t="str">
        <f aca="false">IF($P4312=0,"",IF($F4312="Baseline","— Baseline",IF($O4312=0,"No result",IF($N4312=0,"No Start (attainment only)",IF(OR($N4312=1,$O4312=1),"U – needs rule",INDEX(MxBody,MATCH($I4312,MxCurr,0),MATCH($H4312,MxStart,0)))))))</f>
        <v/>
      </c>
      <c r="L4312" s="62" t="str">
        <f aca="false">IF(COUNTA($A4312,$F4312,$G4312,$H4312,$I4312,$J4312)=0,"",IF($M4312=0,"✖ كود الصف غير موجود",IF(ISNA(MATCH($F4312,Lists!$A$2:$A$5,0)),"✖ الفترة غير صحيحة",IF(ISNA(MATCH($G4312,Lists!$B$2:$B$7,0)),"✖ المجموعة غير صحيحة",IF(NOT(OR($H4312="",$N4312&gt;0)),"✖ Start غير صحيح",IF(NOT(OR($I4312="",$I4312="NR",$O4312&gt;0)),"✖ Current غير صحيح",IF(NOT(IF(ISNUMBER($J4312),AND($J4312&gt;=0,$J4312=INT($J4312)),FALSE())),"✖ العدد يجب أن يكون صحيحًا ≥ 0",IF(AND($F4312="Baseline",$H4312&lt;&gt;""),"⚠ Baseline: Start لا يدخل في التقدم",IF($K4312="No Start (attainment only)","ℹ تحصيل فقط (بدون Start)",IF($K4312="U – needs rule","ℹ حالة U تحتاج قاعدة معتمدة",IF($K4312="No result","ℹ بدون نتيجة (يُستبعد من التحصيل)","OK")))))))))))</f>
        <v/>
      </c>
      <c r="M4312" s="64" t="n">
        <f aca="false">IF($A4312="",0,IFERROR(MATCH($A4312,Classes!$A$6:$A$420,0),0))</f>
        <v>0</v>
      </c>
      <c r="N4312" s="64" t="n">
        <f aca="false">IF($H4312="",0,IFERROR(MATCH($H4312,GradeList,0),0))</f>
        <v>0</v>
      </c>
      <c r="O4312" s="64" t="n">
        <f aca="false">IF(OR($I4312="",$I4312="NR"),0,IFERROR(MATCH($I4312,GradeList,0),0))</f>
        <v>0</v>
      </c>
      <c r="P4312" s="64" t="n">
        <f aca="false">IF(AND($M4312&gt;0,ISNUMBER(MATCH($F4312,Lists!$A$2:$A$5,0)),ISNUMBER(MATCH($G4312,Lists!$B$2:$B$7,0)),OR($H4312="",$N4312&gt;0),OR($I4312="",$I4312="NR",$O4312&gt;0),IF(ISNUMBER($J4312),AND($J4312&gt;=0,$J4312=INT($J4312)),FALSE())),$J4312,0)</f>
        <v>0</v>
      </c>
      <c r="Q4312" s="64" t="n">
        <f aca="false">IF(AND($P4312&gt;0,$O4312&gt;0),$P4312,0)</f>
        <v>0</v>
      </c>
      <c r="R4312" s="64" t="n">
        <f aca="false">IF(AND($Q4312&gt;0,$O4312&gt;=AtRank),$Q4312,0)</f>
        <v>0</v>
      </c>
      <c r="S4312" s="64" t="n">
        <f aca="false">IF(AND($Q4312&gt;0,$O4312&gt;=AboveRank),$Q4312,0)</f>
        <v>0</v>
      </c>
      <c r="T4312" s="64" t="n">
        <f aca="false">IF($K4312="Less",$P4312,0)</f>
        <v>0</v>
      </c>
      <c r="U4312" s="64" t="n">
        <f aca="false">IF($K4312="Expected",$P4312,0)</f>
        <v>0</v>
      </c>
      <c r="V4312" s="64" t="n">
        <f aca="false">IF($K4312="Better",$P4312,0)</f>
        <v>0</v>
      </c>
      <c r="W4312" s="64" t="n">
        <f aca="false">IF($K4312="U – needs rule",$P4312,0)</f>
        <v>0</v>
      </c>
      <c r="X4312" s="64" t="n">
        <f aca="false">IF($K4312="No Start (attainment only)",$P4312,0)</f>
        <v>0</v>
      </c>
    </row>
    <row r="4313" customFormat="false" ht="15" hidden="false" customHeight="false" outlineLevel="0" collapsed="false">
      <c r="A4313" s="60"/>
      <c r="B4313" s="61" t="str">
        <f aca="false">IF($M4313=0,"",INDEX(Classes!$E$6:$E$420,$M4313))</f>
        <v/>
      </c>
      <c r="C4313" s="62" t="str">
        <f aca="false">IF($M4313=0,"",INDEX(Classes!$H$6:$H$420,$M4313))</f>
        <v/>
      </c>
      <c r="D4313" s="61" t="str">
        <f aca="false">IF($M4313=0,"",INDEX(Classes!$B$6:$B$420,$M4313))</f>
        <v/>
      </c>
      <c r="E4313" s="61" t="str">
        <f aca="false">IF($M4313=0,"",INDEX(Classes!$C$6:$C$420,$M4313))</f>
        <v/>
      </c>
      <c r="F4313" s="63"/>
      <c r="G4313" s="63"/>
      <c r="H4313" s="60"/>
      <c r="I4313" s="60"/>
      <c r="J4313" s="63"/>
      <c r="K4313" s="61" t="str">
        <f aca="false">IF($P4313=0,"",IF($F4313="Baseline","— Baseline",IF($O4313=0,"No result",IF($N4313=0,"No Start (attainment only)",IF(OR($N4313=1,$O4313=1),"U – needs rule",INDEX(MxBody,MATCH($I4313,MxCurr,0),MATCH($H4313,MxStart,0)))))))</f>
        <v/>
      </c>
      <c r="L4313" s="62" t="str">
        <f aca="false">IF(COUNTA($A4313,$F4313,$G4313,$H4313,$I4313,$J4313)=0,"",IF($M4313=0,"✖ كود الصف غير موجود",IF(ISNA(MATCH($F4313,Lists!$A$2:$A$5,0)),"✖ الفترة غير صحيحة",IF(ISNA(MATCH($G4313,Lists!$B$2:$B$7,0)),"✖ المجموعة غير صحيحة",IF(NOT(OR($H4313="",$N4313&gt;0)),"✖ Start غير صحيح",IF(NOT(OR($I4313="",$I4313="NR",$O4313&gt;0)),"✖ Current غير صحيح",IF(NOT(IF(ISNUMBER($J4313),AND($J4313&gt;=0,$J4313=INT($J4313)),FALSE())),"✖ العدد يجب أن يكون صحيحًا ≥ 0",IF(AND($F4313="Baseline",$H4313&lt;&gt;""),"⚠ Baseline: Start لا يدخل في التقدم",IF($K4313="No Start (attainment only)","ℹ تحصيل فقط (بدون Start)",IF($K4313="U – needs rule","ℹ حالة U تحتاج قاعدة معتمدة",IF($K4313="No result","ℹ بدون نتيجة (يُستبعد من التحصيل)","OK")))))))))))</f>
        <v/>
      </c>
      <c r="M4313" s="64" t="n">
        <f aca="false">IF($A4313="",0,IFERROR(MATCH($A4313,Classes!$A$6:$A$420,0),0))</f>
        <v>0</v>
      </c>
      <c r="N4313" s="64" t="n">
        <f aca="false">IF($H4313="",0,IFERROR(MATCH($H4313,GradeList,0),0))</f>
        <v>0</v>
      </c>
      <c r="O4313" s="64" t="n">
        <f aca="false">IF(OR($I4313="",$I4313="NR"),0,IFERROR(MATCH($I4313,GradeList,0),0))</f>
        <v>0</v>
      </c>
      <c r="P4313" s="64" t="n">
        <f aca="false">IF(AND($M4313&gt;0,ISNUMBER(MATCH($F4313,Lists!$A$2:$A$5,0)),ISNUMBER(MATCH($G4313,Lists!$B$2:$B$7,0)),OR($H4313="",$N4313&gt;0),OR($I4313="",$I4313="NR",$O4313&gt;0),IF(ISNUMBER($J4313),AND($J4313&gt;=0,$J4313=INT($J4313)),FALSE())),$J4313,0)</f>
        <v>0</v>
      </c>
      <c r="Q4313" s="64" t="n">
        <f aca="false">IF(AND($P4313&gt;0,$O4313&gt;0),$P4313,0)</f>
        <v>0</v>
      </c>
      <c r="R4313" s="64" t="n">
        <f aca="false">IF(AND($Q4313&gt;0,$O4313&gt;=AtRank),$Q4313,0)</f>
        <v>0</v>
      </c>
      <c r="S4313" s="64" t="n">
        <f aca="false">IF(AND($Q4313&gt;0,$O4313&gt;=AboveRank),$Q4313,0)</f>
        <v>0</v>
      </c>
      <c r="T4313" s="64" t="n">
        <f aca="false">IF($K4313="Less",$P4313,0)</f>
        <v>0</v>
      </c>
      <c r="U4313" s="64" t="n">
        <f aca="false">IF($K4313="Expected",$P4313,0)</f>
        <v>0</v>
      </c>
      <c r="V4313" s="64" t="n">
        <f aca="false">IF($K4313="Better",$P4313,0)</f>
        <v>0</v>
      </c>
      <c r="W4313" s="64" t="n">
        <f aca="false">IF($K4313="U – needs rule",$P4313,0)</f>
        <v>0</v>
      </c>
      <c r="X4313" s="64" t="n">
        <f aca="false">IF($K4313="No Start (attainment only)",$P4313,0)</f>
        <v>0</v>
      </c>
    </row>
    <row r="4314" customFormat="false" ht="15" hidden="false" customHeight="false" outlineLevel="0" collapsed="false">
      <c r="A4314" s="60"/>
      <c r="B4314" s="61" t="str">
        <f aca="false">IF($M4314=0,"",INDEX(Classes!$E$6:$E$420,$M4314))</f>
        <v/>
      </c>
      <c r="C4314" s="62" t="str">
        <f aca="false">IF($M4314=0,"",INDEX(Classes!$H$6:$H$420,$M4314))</f>
        <v/>
      </c>
      <c r="D4314" s="61" t="str">
        <f aca="false">IF($M4314=0,"",INDEX(Classes!$B$6:$B$420,$M4314))</f>
        <v/>
      </c>
      <c r="E4314" s="61" t="str">
        <f aca="false">IF($M4314=0,"",INDEX(Classes!$C$6:$C$420,$M4314))</f>
        <v/>
      </c>
      <c r="F4314" s="63"/>
      <c r="G4314" s="63"/>
      <c r="H4314" s="60"/>
      <c r="I4314" s="60"/>
      <c r="J4314" s="63"/>
      <c r="K4314" s="61" t="str">
        <f aca="false">IF($P4314=0,"",IF($F4314="Baseline","— Baseline",IF($O4314=0,"No result",IF($N4314=0,"No Start (attainment only)",IF(OR($N4314=1,$O4314=1),"U – needs rule",INDEX(MxBody,MATCH($I4314,MxCurr,0),MATCH($H4314,MxStart,0)))))))</f>
        <v/>
      </c>
      <c r="L4314" s="62" t="str">
        <f aca="false">IF(COUNTA($A4314,$F4314,$G4314,$H4314,$I4314,$J4314)=0,"",IF($M4314=0,"✖ كود الصف غير موجود",IF(ISNA(MATCH($F4314,Lists!$A$2:$A$5,0)),"✖ الفترة غير صحيحة",IF(ISNA(MATCH($G4314,Lists!$B$2:$B$7,0)),"✖ المجموعة غير صحيحة",IF(NOT(OR($H4314="",$N4314&gt;0)),"✖ Start غير صحيح",IF(NOT(OR($I4314="",$I4314="NR",$O4314&gt;0)),"✖ Current غير صحيح",IF(NOT(IF(ISNUMBER($J4314),AND($J4314&gt;=0,$J4314=INT($J4314)),FALSE())),"✖ العدد يجب أن يكون صحيحًا ≥ 0",IF(AND($F4314="Baseline",$H4314&lt;&gt;""),"⚠ Baseline: Start لا يدخل في التقدم",IF($K4314="No Start (attainment only)","ℹ تحصيل فقط (بدون Start)",IF($K4314="U – needs rule","ℹ حالة U تحتاج قاعدة معتمدة",IF($K4314="No result","ℹ بدون نتيجة (يُستبعد من التحصيل)","OK")))))))))))</f>
        <v/>
      </c>
      <c r="M4314" s="64" t="n">
        <f aca="false">IF($A4314="",0,IFERROR(MATCH($A4314,Classes!$A$6:$A$420,0),0))</f>
        <v>0</v>
      </c>
      <c r="N4314" s="64" t="n">
        <f aca="false">IF($H4314="",0,IFERROR(MATCH($H4314,GradeList,0),0))</f>
        <v>0</v>
      </c>
      <c r="O4314" s="64" t="n">
        <f aca="false">IF(OR($I4314="",$I4314="NR"),0,IFERROR(MATCH($I4314,GradeList,0),0))</f>
        <v>0</v>
      </c>
      <c r="P4314" s="64" t="n">
        <f aca="false">IF(AND($M4314&gt;0,ISNUMBER(MATCH($F4314,Lists!$A$2:$A$5,0)),ISNUMBER(MATCH($G4314,Lists!$B$2:$B$7,0)),OR($H4314="",$N4314&gt;0),OR($I4314="",$I4314="NR",$O4314&gt;0),IF(ISNUMBER($J4314),AND($J4314&gt;=0,$J4314=INT($J4314)),FALSE())),$J4314,0)</f>
        <v>0</v>
      </c>
      <c r="Q4314" s="64" t="n">
        <f aca="false">IF(AND($P4314&gt;0,$O4314&gt;0),$P4314,0)</f>
        <v>0</v>
      </c>
      <c r="R4314" s="64" t="n">
        <f aca="false">IF(AND($Q4314&gt;0,$O4314&gt;=AtRank),$Q4314,0)</f>
        <v>0</v>
      </c>
      <c r="S4314" s="64" t="n">
        <f aca="false">IF(AND($Q4314&gt;0,$O4314&gt;=AboveRank),$Q4314,0)</f>
        <v>0</v>
      </c>
      <c r="T4314" s="64" t="n">
        <f aca="false">IF($K4314="Less",$P4314,0)</f>
        <v>0</v>
      </c>
      <c r="U4314" s="64" t="n">
        <f aca="false">IF($K4314="Expected",$P4314,0)</f>
        <v>0</v>
      </c>
      <c r="V4314" s="64" t="n">
        <f aca="false">IF($K4314="Better",$P4314,0)</f>
        <v>0</v>
      </c>
      <c r="W4314" s="64" t="n">
        <f aca="false">IF($K4314="U – needs rule",$P4314,0)</f>
        <v>0</v>
      </c>
      <c r="X4314" s="64" t="n">
        <f aca="false">IF($K4314="No Start (attainment only)",$P4314,0)</f>
        <v>0</v>
      </c>
    </row>
    <row r="4315" customFormat="false" ht="15" hidden="false" customHeight="false" outlineLevel="0" collapsed="false">
      <c r="A4315" s="60"/>
      <c r="B4315" s="61" t="str">
        <f aca="false">IF($M4315=0,"",INDEX(Classes!$E$6:$E$420,$M4315))</f>
        <v/>
      </c>
      <c r="C4315" s="62" t="str">
        <f aca="false">IF($M4315=0,"",INDEX(Classes!$H$6:$H$420,$M4315))</f>
        <v/>
      </c>
      <c r="D4315" s="61" t="str">
        <f aca="false">IF($M4315=0,"",INDEX(Classes!$B$6:$B$420,$M4315))</f>
        <v/>
      </c>
      <c r="E4315" s="61" t="str">
        <f aca="false">IF($M4315=0,"",INDEX(Classes!$C$6:$C$420,$M4315))</f>
        <v/>
      </c>
      <c r="F4315" s="63"/>
      <c r="G4315" s="63"/>
      <c r="H4315" s="60"/>
      <c r="I4315" s="60"/>
      <c r="J4315" s="63"/>
      <c r="K4315" s="61" t="str">
        <f aca="false">IF($P4315=0,"",IF($F4315="Baseline","— Baseline",IF($O4315=0,"No result",IF($N4315=0,"No Start (attainment only)",IF(OR($N4315=1,$O4315=1),"U – needs rule",INDEX(MxBody,MATCH($I4315,MxCurr,0),MATCH($H4315,MxStart,0)))))))</f>
        <v/>
      </c>
      <c r="L4315" s="62" t="str">
        <f aca="false">IF(COUNTA($A4315,$F4315,$G4315,$H4315,$I4315,$J4315)=0,"",IF($M4315=0,"✖ كود الصف غير موجود",IF(ISNA(MATCH($F4315,Lists!$A$2:$A$5,0)),"✖ الفترة غير صحيحة",IF(ISNA(MATCH($G4315,Lists!$B$2:$B$7,0)),"✖ المجموعة غير صحيحة",IF(NOT(OR($H4315="",$N4315&gt;0)),"✖ Start غير صحيح",IF(NOT(OR($I4315="",$I4315="NR",$O4315&gt;0)),"✖ Current غير صحيح",IF(NOT(IF(ISNUMBER($J4315),AND($J4315&gt;=0,$J4315=INT($J4315)),FALSE())),"✖ العدد يجب أن يكون صحيحًا ≥ 0",IF(AND($F4315="Baseline",$H4315&lt;&gt;""),"⚠ Baseline: Start لا يدخل في التقدم",IF($K4315="No Start (attainment only)","ℹ تحصيل فقط (بدون Start)",IF($K4315="U – needs rule","ℹ حالة U تحتاج قاعدة معتمدة",IF($K4315="No result","ℹ بدون نتيجة (يُستبعد من التحصيل)","OK")))))))))))</f>
        <v/>
      </c>
      <c r="M4315" s="64" t="n">
        <f aca="false">IF($A4315="",0,IFERROR(MATCH($A4315,Classes!$A$6:$A$420,0),0))</f>
        <v>0</v>
      </c>
      <c r="N4315" s="64" t="n">
        <f aca="false">IF($H4315="",0,IFERROR(MATCH($H4315,GradeList,0),0))</f>
        <v>0</v>
      </c>
      <c r="O4315" s="64" t="n">
        <f aca="false">IF(OR($I4315="",$I4315="NR"),0,IFERROR(MATCH($I4315,GradeList,0),0))</f>
        <v>0</v>
      </c>
      <c r="P4315" s="64" t="n">
        <f aca="false">IF(AND($M4315&gt;0,ISNUMBER(MATCH($F4315,Lists!$A$2:$A$5,0)),ISNUMBER(MATCH($G4315,Lists!$B$2:$B$7,0)),OR($H4315="",$N4315&gt;0),OR($I4315="",$I4315="NR",$O4315&gt;0),IF(ISNUMBER($J4315),AND($J4315&gt;=0,$J4315=INT($J4315)),FALSE())),$J4315,0)</f>
        <v>0</v>
      </c>
      <c r="Q4315" s="64" t="n">
        <f aca="false">IF(AND($P4315&gt;0,$O4315&gt;0),$P4315,0)</f>
        <v>0</v>
      </c>
      <c r="R4315" s="64" t="n">
        <f aca="false">IF(AND($Q4315&gt;0,$O4315&gt;=AtRank),$Q4315,0)</f>
        <v>0</v>
      </c>
      <c r="S4315" s="64" t="n">
        <f aca="false">IF(AND($Q4315&gt;0,$O4315&gt;=AboveRank),$Q4315,0)</f>
        <v>0</v>
      </c>
      <c r="T4315" s="64" t="n">
        <f aca="false">IF($K4315="Less",$P4315,0)</f>
        <v>0</v>
      </c>
      <c r="U4315" s="64" t="n">
        <f aca="false">IF($K4315="Expected",$P4315,0)</f>
        <v>0</v>
      </c>
      <c r="V4315" s="64" t="n">
        <f aca="false">IF($K4315="Better",$P4315,0)</f>
        <v>0</v>
      </c>
      <c r="W4315" s="64" t="n">
        <f aca="false">IF($K4315="U – needs rule",$P4315,0)</f>
        <v>0</v>
      </c>
      <c r="X4315" s="64" t="n">
        <f aca="false">IF($K4315="No Start (attainment only)",$P4315,0)</f>
        <v>0</v>
      </c>
    </row>
    <row r="4316" customFormat="false" ht="15" hidden="false" customHeight="false" outlineLevel="0" collapsed="false">
      <c r="A4316" s="60"/>
      <c r="B4316" s="61" t="str">
        <f aca="false">IF($M4316=0,"",INDEX(Classes!$E$6:$E$420,$M4316))</f>
        <v/>
      </c>
      <c r="C4316" s="62" t="str">
        <f aca="false">IF($M4316=0,"",INDEX(Classes!$H$6:$H$420,$M4316))</f>
        <v/>
      </c>
      <c r="D4316" s="61" t="str">
        <f aca="false">IF($M4316=0,"",INDEX(Classes!$B$6:$B$420,$M4316))</f>
        <v/>
      </c>
      <c r="E4316" s="61" t="str">
        <f aca="false">IF($M4316=0,"",INDEX(Classes!$C$6:$C$420,$M4316))</f>
        <v/>
      </c>
      <c r="F4316" s="63"/>
      <c r="G4316" s="63"/>
      <c r="H4316" s="60"/>
      <c r="I4316" s="60"/>
      <c r="J4316" s="63"/>
      <c r="K4316" s="61" t="str">
        <f aca="false">IF($P4316=0,"",IF($F4316="Baseline","— Baseline",IF($O4316=0,"No result",IF($N4316=0,"No Start (attainment only)",IF(OR($N4316=1,$O4316=1),"U – needs rule",INDEX(MxBody,MATCH($I4316,MxCurr,0),MATCH($H4316,MxStart,0)))))))</f>
        <v/>
      </c>
      <c r="L4316" s="62" t="str">
        <f aca="false">IF(COUNTA($A4316,$F4316,$G4316,$H4316,$I4316,$J4316)=0,"",IF($M4316=0,"✖ كود الصف غير موجود",IF(ISNA(MATCH($F4316,Lists!$A$2:$A$5,0)),"✖ الفترة غير صحيحة",IF(ISNA(MATCH($G4316,Lists!$B$2:$B$7,0)),"✖ المجموعة غير صحيحة",IF(NOT(OR($H4316="",$N4316&gt;0)),"✖ Start غير صحيح",IF(NOT(OR($I4316="",$I4316="NR",$O4316&gt;0)),"✖ Current غير صحيح",IF(NOT(IF(ISNUMBER($J4316),AND($J4316&gt;=0,$J4316=INT($J4316)),FALSE())),"✖ العدد يجب أن يكون صحيحًا ≥ 0",IF(AND($F4316="Baseline",$H4316&lt;&gt;""),"⚠ Baseline: Start لا يدخل في التقدم",IF($K4316="No Start (attainment only)","ℹ تحصيل فقط (بدون Start)",IF($K4316="U – needs rule","ℹ حالة U تحتاج قاعدة معتمدة",IF($K4316="No result","ℹ بدون نتيجة (يُستبعد من التحصيل)","OK")))))))))))</f>
        <v/>
      </c>
      <c r="M4316" s="64" t="n">
        <f aca="false">IF($A4316="",0,IFERROR(MATCH($A4316,Classes!$A$6:$A$420,0),0))</f>
        <v>0</v>
      </c>
      <c r="N4316" s="64" t="n">
        <f aca="false">IF($H4316="",0,IFERROR(MATCH($H4316,GradeList,0),0))</f>
        <v>0</v>
      </c>
      <c r="O4316" s="64" t="n">
        <f aca="false">IF(OR($I4316="",$I4316="NR"),0,IFERROR(MATCH($I4316,GradeList,0),0))</f>
        <v>0</v>
      </c>
      <c r="P4316" s="64" t="n">
        <f aca="false">IF(AND($M4316&gt;0,ISNUMBER(MATCH($F4316,Lists!$A$2:$A$5,0)),ISNUMBER(MATCH($G4316,Lists!$B$2:$B$7,0)),OR($H4316="",$N4316&gt;0),OR($I4316="",$I4316="NR",$O4316&gt;0),IF(ISNUMBER($J4316),AND($J4316&gt;=0,$J4316=INT($J4316)),FALSE())),$J4316,0)</f>
        <v>0</v>
      </c>
      <c r="Q4316" s="64" t="n">
        <f aca="false">IF(AND($P4316&gt;0,$O4316&gt;0),$P4316,0)</f>
        <v>0</v>
      </c>
      <c r="R4316" s="64" t="n">
        <f aca="false">IF(AND($Q4316&gt;0,$O4316&gt;=AtRank),$Q4316,0)</f>
        <v>0</v>
      </c>
      <c r="S4316" s="64" t="n">
        <f aca="false">IF(AND($Q4316&gt;0,$O4316&gt;=AboveRank),$Q4316,0)</f>
        <v>0</v>
      </c>
      <c r="T4316" s="64" t="n">
        <f aca="false">IF($K4316="Less",$P4316,0)</f>
        <v>0</v>
      </c>
      <c r="U4316" s="64" t="n">
        <f aca="false">IF($K4316="Expected",$P4316,0)</f>
        <v>0</v>
      </c>
      <c r="V4316" s="64" t="n">
        <f aca="false">IF($K4316="Better",$P4316,0)</f>
        <v>0</v>
      </c>
      <c r="W4316" s="64" t="n">
        <f aca="false">IF($K4316="U – needs rule",$P4316,0)</f>
        <v>0</v>
      </c>
      <c r="X4316" s="64" t="n">
        <f aca="false">IF($K4316="No Start (attainment only)",$P4316,0)</f>
        <v>0</v>
      </c>
    </row>
    <row r="4317" customFormat="false" ht="15" hidden="false" customHeight="false" outlineLevel="0" collapsed="false">
      <c r="A4317" s="60"/>
      <c r="B4317" s="61" t="str">
        <f aca="false">IF($M4317=0,"",INDEX(Classes!$E$6:$E$420,$M4317))</f>
        <v/>
      </c>
      <c r="C4317" s="62" t="str">
        <f aca="false">IF($M4317=0,"",INDEX(Classes!$H$6:$H$420,$M4317))</f>
        <v/>
      </c>
      <c r="D4317" s="61" t="str">
        <f aca="false">IF($M4317=0,"",INDEX(Classes!$B$6:$B$420,$M4317))</f>
        <v/>
      </c>
      <c r="E4317" s="61" t="str">
        <f aca="false">IF($M4317=0,"",INDEX(Classes!$C$6:$C$420,$M4317))</f>
        <v/>
      </c>
      <c r="F4317" s="63"/>
      <c r="G4317" s="63"/>
      <c r="H4317" s="60"/>
      <c r="I4317" s="60"/>
      <c r="J4317" s="63"/>
      <c r="K4317" s="61" t="str">
        <f aca="false">IF($P4317=0,"",IF($F4317="Baseline","— Baseline",IF($O4317=0,"No result",IF($N4317=0,"No Start (attainment only)",IF(OR($N4317=1,$O4317=1),"U – needs rule",INDEX(MxBody,MATCH($I4317,MxCurr,0),MATCH($H4317,MxStart,0)))))))</f>
        <v/>
      </c>
      <c r="L4317" s="62" t="str">
        <f aca="false">IF(COUNTA($A4317,$F4317,$G4317,$H4317,$I4317,$J4317)=0,"",IF($M4317=0,"✖ كود الصف غير موجود",IF(ISNA(MATCH($F4317,Lists!$A$2:$A$5,0)),"✖ الفترة غير صحيحة",IF(ISNA(MATCH($G4317,Lists!$B$2:$B$7,0)),"✖ المجموعة غير صحيحة",IF(NOT(OR($H4317="",$N4317&gt;0)),"✖ Start غير صحيح",IF(NOT(OR($I4317="",$I4317="NR",$O4317&gt;0)),"✖ Current غير صحيح",IF(NOT(IF(ISNUMBER($J4317),AND($J4317&gt;=0,$J4317=INT($J4317)),FALSE())),"✖ العدد يجب أن يكون صحيحًا ≥ 0",IF(AND($F4317="Baseline",$H4317&lt;&gt;""),"⚠ Baseline: Start لا يدخل في التقدم",IF($K4317="No Start (attainment only)","ℹ تحصيل فقط (بدون Start)",IF($K4317="U – needs rule","ℹ حالة U تحتاج قاعدة معتمدة",IF($K4317="No result","ℹ بدون نتيجة (يُستبعد من التحصيل)","OK")))))))))))</f>
        <v/>
      </c>
      <c r="M4317" s="64" t="n">
        <f aca="false">IF($A4317="",0,IFERROR(MATCH($A4317,Classes!$A$6:$A$420,0),0))</f>
        <v>0</v>
      </c>
      <c r="N4317" s="64" t="n">
        <f aca="false">IF($H4317="",0,IFERROR(MATCH($H4317,GradeList,0),0))</f>
        <v>0</v>
      </c>
      <c r="O4317" s="64" t="n">
        <f aca="false">IF(OR($I4317="",$I4317="NR"),0,IFERROR(MATCH($I4317,GradeList,0),0))</f>
        <v>0</v>
      </c>
      <c r="P4317" s="64" t="n">
        <f aca="false">IF(AND($M4317&gt;0,ISNUMBER(MATCH($F4317,Lists!$A$2:$A$5,0)),ISNUMBER(MATCH($G4317,Lists!$B$2:$B$7,0)),OR($H4317="",$N4317&gt;0),OR($I4317="",$I4317="NR",$O4317&gt;0),IF(ISNUMBER($J4317),AND($J4317&gt;=0,$J4317=INT($J4317)),FALSE())),$J4317,0)</f>
        <v>0</v>
      </c>
      <c r="Q4317" s="64" t="n">
        <f aca="false">IF(AND($P4317&gt;0,$O4317&gt;0),$P4317,0)</f>
        <v>0</v>
      </c>
      <c r="R4317" s="64" t="n">
        <f aca="false">IF(AND($Q4317&gt;0,$O4317&gt;=AtRank),$Q4317,0)</f>
        <v>0</v>
      </c>
      <c r="S4317" s="64" t="n">
        <f aca="false">IF(AND($Q4317&gt;0,$O4317&gt;=AboveRank),$Q4317,0)</f>
        <v>0</v>
      </c>
      <c r="T4317" s="64" t="n">
        <f aca="false">IF($K4317="Less",$P4317,0)</f>
        <v>0</v>
      </c>
      <c r="U4317" s="64" t="n">
        <f aca="false">IF($K4317="Expected",$P4317,0)</f>
        <v>0</v>
      </c>
      <c r="V4317" s="64" t="n">
        <f aca="false">IF($K4317="Better",$P4317,0)</f>
        <v>0</v>
      </c>
      <c r="W4317" s="64" t="n">
        <f aca="false">IF($K4317="U – needs rule",$P4317,0)</f>
        <v>0</v>
      </c>
      <c r="X4317" s="64" t="n">
        <f aca="false">IF($K4317="No Start (attainment only)",$P4317,0)</f>
        <v>0</v>
      </c>
    </row>
    <row r="4318" customFormat="false" ht="15" hidden="false" customHeight="false" outlineLevel="0" collapsed="false">
      <c r="A4318" s="60"/>
      <c r="B4318" s="61" t="str">
        <f aca="false">IF($M4318=0,"",INDEX(Classes!$E$6:$E$420,$M4318))</f>
        <v/>
      </c>
      <c r="C4318" s="62" t="str">
        <f aca="false">IF($M4318=0,"",INDEX(Classes!$H$6:$H$420,$M4318))</f>
        <v/>
      </c>
      <c r="D4318" s="61" t="str">
        <f aca="false">IF($M4318=0,"",INDEX(Classes!$B$6:$B$420,$M4318))</f>
        <v/>
      </c>
      <c r="E4318" s="61" t="str">
        <f aca="false">IF($M4318=0,"",INDEX(Classes!$C$6:$C$420,$M4318))</f>
        <v/>
      </c>
      <c r="F4318" s="63"/>
      <c r="G4318" s="63"/>
      <c r="H4318" s="60"/>
      <c r="I4318" s="60"/>
      <c r="J4318" s="63"/>
      <c r="K4318" s="61" t="str">
        <f aca="false">IF($P4318=0,"",IF($F4318="Baseline","— Baseline",IF($O4318=0,"No result",IF($N4318=0,"No Start (attainment only)",IF(OR($N4318=1,$O4318=1),"U – needs rule",INDEX(MxBody,MATCH($I4318,MxCurr,0),MATCH($H4318,MxStart,0)))))))</f>
        <v/>
      </c>
      <c r="L4318" s="62" t="str">
        <f aca="false">IF(COUNTA($A4318,$F4318,$G4318,$H4318,$I4318,$J4318)=0,"",IF($M4318=0,"✖ كود الصف غير موجود",IF(ISNA(MATCH($F4318,Lists!$A$2:$A$5,0)),"✖ الفترة غير صحيحة",IF(ISNA(MATCH($G4318,Lists!$B$2:$B$7,0)),"✖ المجموعة غير صحيحة",IF(NOT(OR($H4318="",$N4318&gt;0)),"✖ Start غير صحيح",IF(NOT(OR($I4318="",$I4318="NR",$O4318&gt;0)),"✖ Current غير صحيح",IF(NOT(IF(ISNUMBER($J4318),AND($J4318&gt;=0,$J4318=INT($J4318)),FALSE())),"✖ العدد يجب أن يكون صحيحًا ≥ 0",IF(AND($F4318="Baseline",$H4318&lt;&gt;""),"⚠ Baseline: Start لا يدخل في التقدم",IF($K4318="No Start (attainment only)","ℹ تحصيل فقط (بدون Start)",IF($K4318="U – needs rule","ℹ حالة U تحتاج قاعدة معتمدة",IF($K4318="No result","ℹ بدون نتيجة (يُستبعد من التحصيل)","OK")))))))))))</f>
        <v/>
      </c>
      <c r="M4318" s="64" t="n">
        <f aca="false">IF($A4318="",0,IFERROR(MATCH($A4318,Classes!$A$6:$A$420,0),0))</f>
        <v>0</v>
      </c>
      <c r="N4318" s="64" t="n">
        <f aca="false">IF($H4318="",0,IFERROR(MATCH($H4318,GradeList,0),0))</f>
        <v>0</v>
      </c>
      <c r="O4318" s="64" t="n">
        <f aca="false">IF(OR($I4318="",$I4318="NR"),0,IFERROR(MATCH($I4318,GradeList,0),0))</f>
        <v>0</v>
      </c>
      <c r="P4318" s="64" t="n">
        <f aca="false">IF(AND($M4318&gt;0,ISNUMBER(MATCH($F4318,Lists!$A$2:$A$5,0)),ISNUMBER(MATCH($G4318,Lists!$B$2:$B$7,0)),OR($H4318="",$N4318&gt;0),OR($I4318="",$I4318="NR",$O4318&gt;0),IF(ISNUMBER($J4318),AND($J4318&gt;=0,$J4318=INT($J4318)),FALSE())),$J4318,0)</f>
        <v>0</v>
      </c>
      <c r="Q4318" s="64" t="n">
        <f aca="false">IF(AND($P4318&gt;0,$O4318&gt;0),$P4318,0)</f>
        <v>0</v>
      </c>
      <c r="R4318" s="64" t="n">
        <f aca="false">IF(AND($Q4318&gt;0,$O4318&gt;=AtRank),$Q4318,0)</f>
        <v>0</v>
      </c>
      <c r="S4318" s="64" t="n">
        <f aca="false">IF(AND($Q4318&gt;0,$O4318&gt;=AboveRank),$Q4318,0)</f>
        <v>0</v>
      </c>
      <c r="T4318" s="64" t="n">
        <f aca="false">IF($K4318="Less",$P4318,0)</f>
        <v>0</v>
      </c>
      <c r="U4318" s="64" t="n">
        <f aca="false">IF($K4318="Expected",$P4318,0)</f>
        <v>0</v>
      </c>
      <c r="V4318" s="64" t="n">
        <f aca="false">IF($K4318="Better",$P4318,0)</f>
        <v>0</v>
      </c>
      <c r="W4318" s="64" t="n">
        <f aca="false">IF($K4318="U – needs rule",$P4318,0)</f>
        <v>0</v>
      </c>
      <c r="X4318" s="64" t="n">
        <f aca="false">IF($K4318="No Start (attainment only)",$P4318,0)</f>
        <v>0</v>
      </c>
    </row>
    <row r="4319" customFormat="false" ht="15" hidden="false" customHeight="false" outlineLevel="0" collapsed="false">
      <c r="A4319" s="60"/>
      <c r="B4319" s="61" t="str">
        <f aca="false">IF($M4319=0,"",INDEX(Classes!$E$6:$E$420,$M4319))</f>
        <v/>
      </c>
      <c r="C4319" s="62" t="str">
        <f aca="false">IF($M4319=0,"",INDEX(Classes!$H$6:$H$420,$M4319))</f>
        <v/>
      </c>
      <c r="D4319" s="61" t="str">
        <f aca="false">IF($M4319=0,"",INDEX(Classes!$B$6:$B$420,$M4319))</f>
        <v/>
      </c>
      <c r="E4319" s="61" t="str">
        <f aca="false">IF($M4319=0,"",INDEX(Classes!$C$6:$C$420,$M4319))</f>
        <v/>
      </c>
      <c r="F4319" s="63"/>
      <c r="G4319" s="63"/>
      <c r="H4319" s="60"/>
      <c r="I4319" s="60"/>
      <c r="J4319" s="63"/>
      <c r="K4319" s="61" t="str">
        <f aca="false">IF($P4319=0,"",IF($F4319="Baseline","— Baseline",IF($O4319=0,"No result",IF($N4319=0,"No Start (attainment only)",IF(OR($N4319=1,$O4319=1),"U – needs rule",INDEX(MxBody,MATCH($I4319,MxCurr,0),MATCH($H4319,MxStart,0)))))))</f>
        <v/>
      </c>
      <c r="L4319" s="62" t="str">
        <f aca="false">IF(COUNTA($A4319,$F4319,$G4319,$H4319,$I4319,$J4319)=0,"",IF($M4319=0,"✖ كود الصف غير موجود",IF(ISNA(MATCH($F4319,Lists!$A$2:$A$5,0)),"✖ الفترة غير صحيحة",IF(ISNA(MATCH($G4319,Lists!$B$2:$B$7,0)),"✖ المجموعة غير صحيحة",IF(NOT(OR($H4319="",$N4319&gt;0)),"✖ Start غير صحيح",IF(NOT(OR($I4319="",$I4319="NR",$O4319&gt;0)),"✖ Current غير صحيح",IF(NOT(IF(ISNUMBER($J4319),AND($J4319&gt;=0,$J4319=INT($J4319)),FALSE())),"✖ العدد يجب أن يكون صحيحًا ≥ 0",IF(AND($F4319="Baseline",$H4319&lt;&gt;""),"⚠ Baseline: Start لا يدخل في التقدم",IF($K4319="No Start (attainment only)","ℹ تحصيل فقط (بدون Start)",IF($K4319="U – needs rule","ℹ حالة U تحتاج قاعدة معتمدة",IF($K4319="No result","ℹ بدون نتيجة (يُستبعد من التحصيل)","OK")))))))))))</f>
        <v/>
      </c>
      <c r="M4319" s="64" t="n">
        <f aca="false">IF($A4319="",0,IFERROR(MATCH($A4319,Classes!$A$6:$A$420,0),0))</f>
        <v>0</v>
      </c>
      <c r="N4319" s="64" t="n">
        <f aca="false">IF($H4319="",0,IFERROR(MATCH($H4319,GradeList,0),0))</f>
        <v>0</v>
      </c>
      <c r="O4319" s="64" t="n">
        <f aca="false">IF(OR($I4319="",$I4319="NR"),0,IFERROR(MATCH($I4319,GradeList,0),0))</f>
        <v>0</v>
      </c>
      <c r="P4319" s="64" t="n">
        <f aca="false">IF(AND($M4319&gt;0,ISNUMBER(MATCH($F4319,Lists!$A$2:$A$5,0)),ISNUMBER(MATCH($G4319,Lists!$B$2:$B$7,0)),OR($H4319="",$N4319&gt;0),OR($I4319="",$I4319="NR",$O4319&gt;0),IF(ISNUMBER($J4319),AND($J4319&gt;=0,$J4319=INT($J4319)),FALSE())),$J4319,0)</f>
        <v>0</v>
      </c>
      <c r="Q4319" s="64" t="n">
        <f aca="false">IF(AND($P4319&gt;0,$O4319&gt;0),$P4319,0)</f>
        <v>0</v>
      </c>
      <c r="R4319" s="64" t="n">
        <f aca="false">IF(AND($Q4319&gt;0,$O4319&gt;=AtRank),$Q4319,0)</f>
        <v>0</v>
      </c>
      <c r="S4319" s="64" t="n">
        <f aca="false">IF(AND($Q4319&gt;0,$O4319&gt;=AboveRank),$Q4319,0)</f>
        <v>0</v>
      </c>
      <c r="T4319" s="64" t="n">
        <f aca="false">IF($K4319="Less",$P4319,0)</f>
        <v>0</v>
      </c>
      <c r="U4319" s="64" t="n">
        <f aca="false">IF($K4319="Expected",$P4319,0)</f>
        <v>0</v>
      </c>
      <c r="V4319" s="64" t="n">
        <f aca="false">IF($K4319="Better",$P4319,0)</f>
        <v>0</v>
      </c>
      <c r="W4319" s="64" t="n">
        <f aca="false">IF($K4319="U – needs rule",$P4319,0)</f>
        <v>0</v>
      </c>
      <c r="X4319" s="64" t="n">
        <f aca="false">IF($K4319="No Start (attainment only)",$P4319,0)</f>
        <v>0</v>
      </c>
    </row>
    <row r="4320" customFormat="false" ht="15" hidden="false" customHeight="false" outlineLevel="0" collapsed="false">
      <c r="A4320" s="60"/>
      <c r="B4320" s="61" t="str">
        <f aca="false">IF($M4320=0,"",INDEX(Classes!$E$6:$E$420,$M4320))</f>
        <v/>
      </c>
      <c r="C4320" s="62" t="str">
        <f aca="false">IF($M4320=0,"",INDEX(Classes!$H$6:$H$420,$M4320))</f>
        <v/>
      </c>
      <c r="D4320" s="61" t="str">
        <f aca="false">IF($M4320=0,"",INDEX(Classes!$B$6:$B$420,$M4320))</f>
        <v/>
      </c>
      <c r="E4320" s="61" t="str">
        <f aca="false">IF($M4320=0,"",INDEX(Classes!$C$6:$C$420,$M4320))</f>
        <v/>
      </c>
      <c r="F4320" s="63"/>
      <c r="G4320" s="63"/>
      <c r="H4320" s="60"/>
      <c r="I4320" s="60"/>
      <c r="J4320" s="63"/>
      <c r="K4320" s="61" t="str">
        <f aca="false">IF($P4320=0,"",IF($F4320="Baseline","— Baseline",IF($O4320=0,"No result",IF($N4320=0,"No Start (attainment only)",IF(OR($N4320=1,$O4320=1),"U – needs rule",INDEX(MxBody,MATCH($I4320,MxCurr,0),MATCH($H4320,MxStart,0)))))))</f>
        <v/>
      </c>
      <c r="L4320" s="62" t="str">
        <f aca="false">IF(COUNTA($A4320,$F4320,$G4320,$H4320,$I4320,$J4320)=0,"",IF($M4320=0,"✖ كود الصف غير موجود",IF(ISNA(MATCH($F4320,Lists!$A$2:$A$5,0)),"✖ الفترة غير صحيحة",IF(ISNA(MATCH($G4320,Lists!$B$2:$B$7,0)),"✖ المجموعة غير صحيحة",IF(NOT(OR($H4320="",$N4320&gt;0)),"✖ Start غير صحيح",IF(NOT(OR($I4320="",$I4320="NR",$O4320&gt;0)),"✖ Current غير صحيح",IF(NOT(IF(ISNUMBER($J4320),AND($J4320&gt;=0,$J4320=INT($J4320)),FALSE())),"✖ العدد يجب أن يكون صحيحًا ≥ 0",IF(AND($F4320="Baseline",$H4320&lt;&gt;""),"⚠ Baseline: Start لا يدخل في التقدم",IF($K4320="No Start (attainment only)","ℹ تحصيل فقط (بدون Start)",IF($K4320="U – needs rule","ℹ حالة U تحتاج قاعدة معتمدة",IF($K4320="No result","ℹ بدون نتيجة (يُستبعد من التحصيل)","OK")))))))))))</f>
        <v/>
      </c>
      <c r="M4320" s="64" t="n">
        <f aca="false">IF($A4320="",0,IFERROR(MATCH($A4320,Classes!$A$6:$A$420,0),0))</f>
        <v>0</v>
      </c>
      <c r="N4320" s="64" t="n">
        <f aca="false">IF($H4320="",0,IFERROR(MATCH($H4320,GradeList,0),0))</f>
        <v>0</v>
      </c>
      <c r="O4320" s="64" t="n">
        <f aca="false">IF(OR($I4320="",$I4320="NR"),0,IFERROR(MATCH($I4320,GradeList,0),0))</f>
        <v>0</v>
      </c>
      <c r="P4320" s="64" t="n">
        <f aca="false">IF(AND($M4320&gt;0,ISNUMBER(MATCH($F4320,Lists!$A$2:$A$5,0)),ISNUMBER(MATCH($G4320,Lists!$B$2:$B$7,0)),OR($H4320="",$N4320&gt;0),OR($I4320="",$I4320="NR",$O4320&gt;0),IF(ISNUMBER($J4320),AND($J4320&gt;=0,$J4320=INT($J4320)),FALSE())),$J4320,0)</f>
        <v>0</v>
      </c>
      <c r="Q4320" s="64" t="n">
        <f aca="false">IF(AND($P4320&gt;0,$O4320&gt;0),$P4320,0)</f>
        <v>0</v>
      </c>
      <c r="R4320" s="64" t="n">
        <f aca="false">IF(AND($Q4320&gt;0,$O4320&gt;=AtRank),$Q4320,0)</f>
        <v>0</v>
      </c>
      <c r="S4320" s="64" t="n">
        <f aca="false">IF(AND($Q4320&gt;0,$O4320&gt;=AboveRank),$Q4320,0)</f>
        <v>0</v>
      </c>
      <c r="T4320" s="64" t="n">
        <f aca="false">IF($K4320="Less",$P4320,0)</f>
        <v>0</v>
      </c>
      <c r="U4320" s="64" t="n">
        <f aca="false">IF($K4320="Expected",$P4320,0)</f>
        <v>0</v>
      </c>
      <c r="V4320" s="64" t="n">
        <f aca="false">IF($K4320="Better",$P4320,0)</f>
        <v>0</v>
      </c>
      <c r="W4320" s="64" t="n">
        <f aca="false">IF($K4320="U – needs rule",$P4320,0)</f>
        <v>0</v>
      </c>
      <c r="X4320" s="64" t="n">
        <f aca="false">IF($K4320="No Start (attainment only)",$P4320,0)</f>
        <v>0</v>
      </c>
    </row>
    <row r="4321" customFormat="false" ht="15" hidden="false" customHeight="false" outlineLevel="0" collapsed="false">
      <c r="A4321" s="60"/>
      <c r="B4321" s="61" t="str">
        <f aca="false">IF($M4321=0,"",INDEX(Classes!$E$6:$E$420,$M4321))</f>
        <v/>
      </c>
      <c r="C4321" s="62" t="str">
        <f aca="false">IF($M4321=0,"",INDEX(Classes!$H$6:$H$420,$M4321))</f>
        <v/>
      </c>
      <c r="D4321" s="61" t="str">
        <f aca="false">IF($M4321=0,"",INDEX(Classes!$B$6:$B$420,$M4321))</f>
        <v/>
      </c>
      <c r="E4321" s="61" t="str">
        <f aca="false">IF($M4321=0,"",INDEX(Classes!$C$6:$C$420,$M4321))</f>
        <v/>
      </c>
      <c r="F4321" s="63"/>
      <c r="G4321" s="63"/>
      <c r="H4321" s="60"/>
      <c r="I4321" s="60"/>
      <c r="J4321" s="63"/>
      <c r="K4321" s="61" t="str">
        <f aca="false">IF($P4321=0,"",IF($F4321="Baseline","— Baseline",IF($O4321=0,"No result",IF($N4321=0,"No Start (attainment only)",IF(OR($N4321=1,$O4321=1),"U – needs rule",INDEX(MxBody,MATCH($I4321,MxCurr,0),MATCH($H4321,MxStart,0)))))))</f>
        <v/>
      </c>
      <c r="L4321" s="62" t="str">
        <f aca="false">IF(COUNTA($A4321,$F4321,$G4321,$H4321,$I4321,$J4321)=0,"",IF($M4321=0,"✖ كود الصف غير موجود",IF(ISNA(MATCH($F4321,Lists!$A$2:$A$5,0)),"✖ الفترة غير صحيحة",IF(ISNA(MATCH($G4321,Lists!$B$2:$B$7,0)),"✖ المجموعة غير صحيحة",IF(NOT(OR($H4321="",$N4321&gt;0)),"✖ Start غير صحيح",IF(NOT(OR($I4321="",$I4321="NR",$O4321&gt;0)),"✖ Current غير صحيح",IF(NOT(IF(ISNUMBER($J4321),AND($J4321&gt;=0,$J4321=INT($J4321)),FALSE())),"✖ العدد يجب أن يكون صحيحًا ≥ 0",IF(AND($F4321="Baseline",$H4321&lt;&gt;""),"⚠ Baseline: Start لا يدخل في التقدم",IF($K4321="No Start (attainment only)","ℹ تحصيل فقط (بدون Start)",IF($K4321="U – needs rule","ℹ حالة U تحتاج قاعدة معتمدة",IF($K4321="No result","ℹ بدون نتيجة (يُستبعد من التحصيل)","OK")))))))))))</f>
        <v/>
      </c>
      <c r="M4321" s="64" t="n">
        <f aca="false">IF($A4321="",0,IFERROR(MATCH($A4321,Classes!$A$6:$A$420,0),0))</f>
        <v>0</v>
      </c>
      <c r="N4321" s="64" t="n">
        <f aca="false">IF($H4321="",0,IFERROR(MATCH($H4321,GradeList,0),0))</f>
        <v>0</v>
      </c>
      <c r="O4321" s="64" t="n">
        <f aca="false">IF(OR($I4321="",$I4321="NR"),0,IFERROR(MATCH($I4321,GradeList,0),0))</f>
        <v>0</v>
      </c>
      <c r="P4321" s="64" t="n">
        <f aca="false">IF(AND($M4321&gt;0,ISNUMBER(MATCH($F4321,Lists!$A$2:$A$5,0)),ISNUMBER(MATCH($G4321,Lists!$B$2:$B$7,0)),OR($H4321="",$N4321&gt;0),OR($I4321="",$I4321="NR",$O4321&gt;0),IF(ISNUMBER($J4321),AND($J4321&gt;=0,$J4321=INT($J4321)),FALSE())),$J4321,0)</f>
        <v>0</v>
      </c>
      <c r="Q4321" s="64" t="n">
        <f aca="false">IF(AND($P4321&gt;0,$O4321&gt;0),$P4321,0)</f>
        <v>0</v>
      </c>
      <c r="R4321" s="64" t="n">
        <f aca="false">IF(AND($Q4321&gt;0,$O4321&gt;=AtRank),$Q4321,0)</f>
        <v>0</v>
      </c>
      <c r="S4321" s="64" t="n">
        <f aca="false">IF(AND($Q4321&gt;0,$O4321&gt;=AboveRank),$Q4321,0)</f>
        <v>0</v>
      </c>
      <c r="T4321" s="64" t="n">
        <f aca="false">IF($K4321="Less",$P4321,0)</f>
        <v>0</v>
      </c>
      <c r="U4321" s="64" t="n">
        <f aca="false">IF($K4321="Expected",$P4321,0)</f>
        <v>0</v>
      </c>
      <c r="V4321" s="64" t="n">
        <f aca="false">IF($K4321="Better",$P4321,0)</f>
        <v>0</v>
      </c>
      <c r="W4321" s="64" t="n">
        <f aca="false">IF($K4321="U – needs rule",$P4321,0)</f>
        <v>0</v>
      </c>
      <c r="X4321" s="64" t="n">
        <f aca="false">IF($K4321="No Start (attainment only)",$P4321,0)</f>
        <v>0</v>
      </c>
    </row>
    <row r="4322" customFormat="false" ht="15" hidden="false" customHeight="false" outlineLevel="0" collapsed="false">
      <c r="A4322" s="60"/>
      <c r="B4322" s="61" t="str">
        <f aca="false">IF($M4322=0,"",INDEX(Classes!$E$6:$E$420,$M4322))</f>
        <v/>
      </c>
      <c r="C4322" s="62" t="str">
        <f aca="false">IF($M4322=0,"",INDEX(Classes!$H$6:$H$420,$M4322))</f>
        <v/>
      </c>
      <c r="D4322" s="61" t="str">
        <f aca="false">IF($M4322=0,"",INDEX(Classes!$B$6:$B$420,$M4322))</f>
        <v/>
      </c>
      <c r="E4322" s="61" t="str">
        <f aca="false">IF($M4322=0,"",INDEX(Classes!$C$6:$C$420,$M4322))</f>
        <v/>
      </c>
      <c r="F4322" s="63"/>
      <c r="G4322" s="63"/>
      <c r="H4322" s="60"/>
      <c r="I4322" s="60"/>
      <c r="J4322" s="63"/>
      <c r="K4322" s="61" t="str">
        <f aca="false">IF($P4322=0,"",IF($F4322="Baseline","— Baseline",IF($O4322=0,"No result",IF($N4322=0,"No Start (attainment only)",IF(OR($N4322=1,$O4322=1),"U – needs rule",INDEX(MxBody,MATCH($I4322,MxCurr,0),MATCH($H4322,MxStart,0)))))))</f>
        <v/>
      </c>
      <c r="L4322" s="62" t="str">
        <f aca="false">IF(COUNTA($A4322,$F4322,$G4322,$H4322,$I4322,$J4322)=0,"",IF($M4322=0,"✖ كود الصف غير موجود",IF(ISNA(MATCH($F4322,Lists!$A$2:$A$5,0)),"✖ الفترة غير صحيحة",IF(ISNA(MATCH($G4322,Lists!$B$2:$B$7,0)),"✖ المجموعة غير صحيحة",IF(NOT(OR($H4322="",$N4322&gt;0)),"✖ Start غير صحيح",IF(NOT(OR($I4322="",$I4322="NR",$O4322&gt;0)),"✖ Current غير صحيح",IF(NOT(IF(ISNUMBER($J4322),AND($J4322&gt;=0,$J4322=INT($J4322)),FALSE())),"✖ العدد يجب أن يكون صحيحًا ≥ 0",IF(AND($F4322="Baseline",$H4322&lt;&gt;""),"⚠ Baseline: Start لا يدخل في التقدم",IF($K4322="No Start (attainment only)","ℹ تحصيل فقط (بدون Start)",IF($K4322="U – needs rule","ℹ حالة U تحتاج قاعدة معتمدة",IF($K4322="No result","ℹ بدون نتيجة (يُستبعد من التحصيل)","OK")))))))))))</f>
        <v/>
      </c>
      <c r="M4322" s="64" t="n">
        <f aca="false">IF($A4322="",0,IFERROR(MATCH($A4322,Classes!$A$6:$A$420,0),0))</f>
        <v>0</v>
      </c>
      <c r="N4322" s="64" t="n">
        <f aca="false">IF($H4322="",0,IFERROR(MATCH($H4322,GradeList,0),0))</f>
        <v>0</v>
      </c>
      <c r="O4322" s="64" t="n">
        <f aca="false">IF(OR($I4322="",$I4322="NR"),0,IFERROR(MATCH($I4322,GradeList,0),0))</f>
        <v>0</v>
      </c>
      <c r="P4322" s="64" t="n">
        <f aca="false">IF(AND($M4322&gt;0,ISNUMBER(MATCH($F4322,Lists!$A$2:$A$5,0)),ISNUMBER(MATCH($G4322,Lists!$B$2:$B$7,0)),OR($H4322="",$N4322&gt;0),OR($I4322="",$I4322="NR",$O4322&gt;0),IF(ISNUMBER($J4322),AND($J4322&gt;=0,$J4322=INT($J4322)),FALSE())),$J4322,0)</f>
        <v>0</v>
      </c>
      <c r="Q4322" s="64" t="n">
        <f aca="false">IF(AND($P4322&gt;0,$O4322&gt;0),$P4322,0)</f>
        <v>0</v>
      </c>
      <c r="R4322" s="64" t="n">
        <f aca="false">IF(AND($Q4322&gt;0,$O4322&gt;=AtRank),$Q4322,0)</f>
        <v>0</v>
      </c>
      <c r="S4322" s="64" t="n">
        <f aca="false">IF(AND($Q4322&gt;0,$O4322&gt;=AboveRank),$Q4322,0)</f>
        <v>0</v>
      </c>
      <c r="T4322" s="64" t="n">
        <f aca="false">IF($K4322="Less",$P4322,0)</f>
        <v>0</v>
      </c>
      <c r="U4322" s="64" t="n">
        <f aca="false">IF($K4322="Expected",$P4322,0)</f>
        <v>0</v>
      </c>
      <c r="V4322" s="64" t="n">
        <f aca="false">IF($K4322="Better",$P4322,0)</f>
        <v>0</v>
      </c>
      <c r="W4322" s="64" t="n">
        <f aca="false">IF($K4322="U – needs rule",$P4322,0)</f>
        <v>0</v>
      </c>
      <c r="X4322" s="64" t="n">
        <f aca="false">IF($K4322="No Start (attainment only)",$P4322,0)</f>
        <v>0</v>
      </c>
    </row>
    <row r="4323" customFormat="false" ht="15" hidden="false" customHeight="false" outlineLevel="0" collapsed="false">
      <c r="A4323" s="60"/>
      <c r="B4323" s="61" t="str">
        <f aca="false">IF($M4323=0,"",INDEX(Classes!$E$6:$E$420,$M4323))</f>
        <v/>
      </c>
      <c r="C4323" s="62" t="str">
        <f aca="false">IF($M4323=0,"",INDEX(Classes!$H$6:$H$420,$M4323))</f>
        <v/>
      </c>
      <c r="D4323" s="61" t="str">
        <f aca="false">IF($M4323=0,"",INDEX(Classes!$B$6:$B$420,$M4323))</f>
        <v/>
      </c>
      <c r="E4323" s="61" t="str">
        <f aca="false">IF($M4323=0,"",INDEX(Classes!$C$6:$C$420,$M4323))</f>
        <v/>
      </c>
      <c r="F4323" s="63"/>
      <c r="G4323" s="63"/>
      <c r="H4323" s="60"/>
      <c r="I4323" s="60"/>
      <c r="J4323" s="63"/>
      <c r="K4323" s="61" t="str">
        <f aca="false">IF($P4323=0,"",IF($F4323="Baseline","— Baseline",IF($O4323=0,"No result",IF($N4323=0,"No Start (attainment only)",IF(OR($N4323=1,$O4323=1),"U – needs rule",INDEX(MxBody,MATCH($I4323,MxCurr,0),MATCH($H4323,MxStart,0)))))))</f>
        <v/>
      </c>
      <c r="L4323" s="62" t="str">
        <f aca="false">IF(COUNTA($A4323,$F4323,$G4323,$H4323,$I4323,$J4323)=0,"",IF($M4323=0,"✖ كود الصف غير موجود",IF(ISNA(MATCH($F4323,Lists!$A$2:$A$5,0)),"✖ الفترة غير صحيحة",IF(ISNA(MATCH($G4323,Lists!$B$2:$B$7,0)),"✖ المجموعة غير صحيحة",IF(NOT(OR($H4323="",$N4323&gt;0)),"✖ Start غير صحيح",IF(NOT(OR($I4323="",$I4323="NR",$O4323&gt;0)),"✖ Current غير صحيح",IF(NOT(IF(ISNUMBER($J4323),AND($J4323&gt;=0,$J4323=INT($J4323)),FALSE())),"✖ العدد يجب أن يكون صحيحًا ≥ 0",IF(AND($F4323="Baseline",$H4323&lt;&gt;""),"⚠ Baseline: Start لا يدخل في التقدم",IF($K4323="No Start (attainment only)","ℹ تحصيل فقط (بدون Start)",IF($K4323="U – needs rule","ℹ حالة U تحتاج قاعدة معتمدة",IF($K4323="No result","ℹ بدون نتيجة (يُستبعد من التحصيل)","OK")))))))))))</f>
        <v/>
      </c>
      <c r="M4323" s="64" t="n">
        <f aca="false">IF($A4323="",0,IFERROR(MATCH($A4323,Classes!$A$6:$A$420,0),0))</f>
        <v>0</v>
      </c>
      <c r="N4323" s="64" t="n">
        <f aca="false">IF($H4323="",0,IFERROR(MATCH($H4323,GradeList,0),0))</f>
        <v>0</v>
      </c>
      <c r="O4323" s="64" t="n">
        <f aca="false">IF(OR($I4323="",$I4323="NR"),0,IFERROR(MATCH($I4323,GradeList,0),0))</f>
        <v>0</v>
      </c>
      <c r="P4323" s="64" t="n">
        <f aca="false">IF(AND($M4323&gt;0,ISNUMBER(MATCH($F4323,Lists!$A$2:$A$5,0)),ISNUMBER(MATCH($G4323,Lists!$B$2:$B$7,0)),OR($H4323="",$N4323&gt;0),OR($I4323="",$I4323="NR",$O4323&gt;0),IF(ISNUMBER($J4323),AND($J4323&gt;=0,$J4323=INT($J4323)),FALSE())),$J4323,0)</f>
        <v>0</v>
      </c>
      <c r="Q4323" s="64" t="n">
        <f aca="false">IF(AND($P4323&gt;0,$O4323&gt;0),$P4323,0)</f>
        <v>0</v>
      </c>
      <c r="R4323" s="64" t="n">
        <f aca="false">IF(AND($Q4323&gt;0,$O4323&gt;=AtRank),$Q4323,0)</f>
        <v>0</v>
      </c>
      <c r="S4323" s="64" t="n">
        <f aca="false">IF(AND($Q4323&gt;0,$O4323&gt;=AboveRank),$Q4323,0)</f>
        <v>0</v>
      </c>
      <c r="T4323" s="64" t="n">
        <f aca="false">IF($K4323="Less",$P4323,0)</f>
        <v>0</v>
      </c>
      <c r="U4323" s="64" t="n">
        <f aca="false">IF($K4323="Expected",$P4323,0)</f>
        <v>0</v>
      </c>
      <c r="V4323" s="64" t="n">
        <f aca="false">IF($K4323="Better",$P4323,0)</f>
        <v>0</v>
      </c>
      <c r="W4323" s="64" t="n">
        <f aca="false">IF($K4323="U – needs rule",$P4323,0)</f>
        <v>0</v>
      </c>
      <c r="X4323" s="64" t="n">
        <f aca="false">IF($K4323="No Start (attainment only)",$P4323,0)</f>
        <v>0</v>
      </c>
    </row>
    <row r="4324" customFormat="false" ht="15" hidden="false" customHeight="false" outlineLevel="0" collapsed="false">
      <c r="A4324" s="60"/>
      <c r="B4324" s="61" t="str">
        <f aca="false">IF($M4324=0,"",INDEX(Classes!$E$6:$E$420,$M4324))</f>
        <v/>
      </c>
      <c r="C4324" s="62" t="str">
        <f aca="false">IF($M4324=0,"",INDEX(Classes!$H$6:$H$420,$M4324))</f>
        <v/>
      </c>
      <c r="D4324" s="61" t="str">
        <f aca="false">IF($M4324=0,"",INDEX(Classes!$B$6:$B$420,$M4324))</f>
        <v/>
      </c>
      <c r="E4324" s="61" t="str">
        <f aca="false">IF($M4324=0,"",INDEX(Classes!$C$6:$C$420,$M4324))</f>
        <v/>
      </c>
      <c r="F4324" s="63"/>
      <c r="G4324" s="63"/>
      <c r="H4324" s="60"/>
      <c r="I4324" s="60"/>
      <c r="J4324" s="63"/>
      <c r="K4324" s="61" t="str">
        <f aca="false">IF($P4324=0,"",IF($F4324="Baseline","— Baseline",IF($O4324=0,"No result",IF($N4324=0,"No Start (attainment only)",IF(OR($N4324=1,$O4324=1),"U – needs rule",INDEX(MxBody,MATCH($I4324,MxCurr,0),MATCH($H4324,MxStart,0)))))))</f>
        <v/>
      </c>
      <c r="L4324" s="62" t="str">
        <f aca="false">IF(COUNTA($A4324,$F4324,$G4324,$H4324,$I4324,$J4324)=0,"",IF($M4324=0,"✖ كود الصف غير موجود",IF(ISNA(MATCH($F4324,Lists!$A$2:$A$5,0)),"✖ الفترة غير صحيحة",IF(ISNA(MATCH($G4324,Lists!$B$2:$B$7,0)),"✖ المجموعة غير صحيحة",IF(NOT(OR($H4324="",$N4324&gt;0)),"✖ Start غير صحيح",IF(NOT(OR($I4324="",$I4324="NR",$O4324&gt;0)),"✖ Current غير صحيح",IF(NOT(IF(ISNUMBER($J4324),AND($J4324&gt;=0,$J4324=INT($J4324)),FALSE())),"✖ العدد يجب أن يكون صحيحًا ≥ 0",IF(AND($F4324="Baseline",$H4324&lt;&gt;""),"⚠ Baseline: Start لا يدخل في التقدم",IF($K4324="No Start (attainment only)","ℹ تحصيل فقط (بدون Start)",IF($K4324="U – needs rule","ℹ حالة U تحتاج قاعدة معتمدة",IF($K4324="No result","ℹ بدون نتيجة (يُستبعد من التحصيل)","OK")))))))))))</f>
        <v/>
      </c>
      <c r="M4324" s="64" t="n">
        <f aca="false">IF($A4324="",0,IFERROR(MATCH($A4324,Classes!$A$6:$A$420,0),0))</f>
        <v>0</v>
      </c>
      <c r="N4324" s="64" t="n">
        <f aca="false">IF($H4324="",0,IFERROR(MATCH($H4324,GradeList,0),0))</f>
        <v>0</v>
      </c>
      <c r="O4324" s="64" t="n">
        <f aca="false">IF(OR($I4324="",$I4324="NR"),0,IFERROR(MATCH($I4324,GradeList,0),0))</f>
        <v>0</v>
      </c>
      <c r="P4324" s="64" t="n">
        <f aca="false">IF(AND($M4324&gt;0,ISNUMBER(MATCH($F4324,Lists!$A$2:$A$5,0)),ISNUMBER(MATCH($G4324,Lists!$B$2:$B$7,0)),OR($H4324="",$N4324&gt;0),OR($I4324="",$I4324="NR",$O4324&gt;0),IF(ISNUMBER($J4324),AND($J4324&gt;=0,$J4324=INT($J4324)),FALSE())),$J4324,0)</f>
        <v>0</v>
      </c>
      <c r="Q4324" s="64" t="n">
        <f aca="false">IF(AND($P4324&gt;0,$O4324&gt;0),$P4324,0)</f>
        <v>0</v>
      </c>
      <c r="R4324" s="64" t="n">
        <f aca="false">IF(AND($Q4324&gt;0,$O4324&gt;=AtRank),$Q4324,0)</f>
        <v>0</v>
      </c>
      <c r="S4324" s="64" t="n">
        <f aca="false">IF(AND($Q4324&gt;0,$O4324&gt;=AboveRank),$Q4324,0)</f>
        <v>0</v>
      </c>
      <c r="T4324" s="64" t="n">
        <f aca="false">IF($K4324="Less",$P4324,0)</f>
        <v>0</v>
      </c>
      <c r="U4324" s="64" t="n">
        <f aca="false">IF($K4324="Expected",$P4324,0)</f>
        <v>0</v>
      </c>
      <c r="V4324" s="64" t="n">
        <f aca="false">IF($K4324="Better",$P4324,0)</f>
        <v>0</v>
      </c>
      <c r="W4324" s="64" t="n">
        <f aca="false">IF($K4324="U – needs rule",$P4324,0)</f>
        <v>0</v>
      </c>
      <c r="X4324" s="64" t="n">
        <f aca="false">IF($K4324="No Start (attainment only)",$P4324,0)</f>
        <v>0</v>
      </c>
    </row>
    <row r="4325" customFormat="false" ht="15" hidden="false" customHeight="false" outlineLevel="0" collapsed="false">
      <c r="A4325" s="60"/>
      <c r="B4325" s="61" t="str">
        <f aca="false">IF($M4325=0,"",INDEX(Classes!$E$6:$E$420,$M4325))</f>
        <v/>
      </c>
      <c r="C4325" s="62" t="str">
        <f aca="false">IF($M4325=0,"",INDEX(Classes!$H$6:$H$420,$M4325))</f>
        <v/>
      </c>
      <c r="D4325" s="61" t="str">
        <f aca="false">IF($M4325=0,"",INDEX(Classes!$B$6:$B$420,$M4325))</f>
        <v/>
      </c>
      <c r="E4325" s="61" t="str">
        <f aca="false">IF($M4325=0,"",INDEX(Classes!$C$6:$C$420,$M4325))</f>
        <v/>
      </c>
      <c r="F4325" s="63"/>
      <c r="G4325" s="63"/>
      <c r="H4325" s="60"/>
      <c r="I4325" s="60"/>
      <c r="J4325" s="63"/>
      <c r="K4325" s="61" t="str">
        <f aca="false">IF($P4325=0,"",IF($F4325="Baseline","— Baseline",IF($O4325=0,"No result",IF($N4325=0,"No Start (attainment only)",IF(OR($N4325=1,$O4325=1),"U – needs rule",INDEX(MxBody,MATCH($I4325,MxCurr,0),MATCH($H4325,MxStart,0)))))))</f>
        <v/>
      </c>
      <c r="L4325" s="62" t="str">
        <f aca="false">IF(COUNTA($A4325,$F4325,$G4325,$H4325,$I4325,$J4325)=0,"",IF($M4325=0,"✖ كود الصف غير موجود",IF(ISNA(MATCH($F4325,Lists!$A$2:$A$5,0)),"✖ الفترة غير صحيحة",IF(ISNA(MATCH($G4325,Lists!$B$2:$B$7,0)),"✖ المجموعة غير صحيحة",IF(NOT(OR($H4325="",$N4325&gt;0)),"✖ Start غير صحيح",IF(NOT(OR($I4325="",$I4325="NR",$O4325&gt;0)),"✖ Current غير صحيح",IF(NOT(IF(ISNUMBER($J4325),AND($J4325&gt;=0,$J4325=INT($J4325)),FALSE())),"✖ العدد يجب أن يكون صحيحًا ≥ 0",IF(AND($F4325="Baseline",$H4325&lt;&gt;""),"⚠ Baseline: Start لا يدخل في التقدم",IF($K4325="No Start (attainment only)","ℹ تحصيل فقط (بدون Start)",IF($K4325="U – needs rule","ℹ حالة U تحتاج قاعدة معتمدة",IF($K4325="No result","ℹ بدون نتيجة (يُستبعد من التحصيل)","OK")))))))))))</f>
        <v/>
      </c>
      <c r="M4325" s="64" t="n">
        <f aca="false">IF($A4325="",0,IFERROR(MATCH($A4325,Classes!$A$6:$A$420,0),0))</f>
        <v>0</v>
      </c>
      <c r="N4325" s="64" t="n">
        <f aca="false">IF($H4325="",0,IFERROR(MATCH($H4325,GradeList,0),0))</f>
        <v>0</v>
      </c>
      <c r="O4325" s="64" t="n">
        <f aca="false">IF(OR($I4325="",$I4325="NR"),0,IFERROR(MATCH($I4325,GradeList,0),0))</f>
        <v>0</v>
      </c>
      <c r="P4325" s="64" t="n">
        <f aca="false">IF(AND($M4325&gt;0,ISNUMBER(MATCH($F4325,Lists!$A$2:$A$5,0)),ISNUMBER(MATCH($G4325,Lists!$B$2:$B$7,0)),OR($H4325="",$N4325&gt;0),OR($I4325="",$I4325="NR",$O4325&gt;0),IF(ISNUMBER($J4325),AND($J4325&gt;=0,$J4325=INT($J4325)),FALSE())),$J4325,0)</f>
        <v>0</v>
      </c>
      <c r="Q4325" s="64" t="n">
        <f aca="false">IF(AND($P4325&gt;0,$O4325&gt;0),$P4325,0)</f>
        <v>0</v>
      </c>
      <c r="R4325" s="64" t="n">
        <f aca="false">IF(AND($Q4325&gt;0,$O4325&gt;=AtRank),$Q4325,0)</f>
        <v>0</v>
      </c>
      <c r="S4325" s="64" t="n">
        <f aca="false">IF(AND($Q4325&gt;0,$O4325&gt;=AboveRank),$Q4325,0)</f>
        <v>0</v>
      </c>
      <c r="T4325" s="64" t="n">
        <f aca="false">IF($K4325="Less",$P4325,0)</f>
        <v>0</v>
      </c>
      <c r="U4325" s="64" t="n">
        <f aca="false">IF($K4325="Expected",$P4325,0)</f>
        <v>0</v>
      </c>
      <c r="V4325" s="64" t="n">
        <f aca="false">IF($K4325="Better",$P4325,0)</f>
        <v>0</v>
      </c>
      <c r="W4325" s="64" t="n">
        <f aca="false">IF($K4325="U – needs rule",$P4325,0)</f>
        <v>0</v>
      </c>
      <c r="X4325" s="64" t="n">
        <f aca="false">IF($K4325="No Start (attainment only)",$P4325,0)</f>
        <v>0</v>
      </c>
    </row>
    <row r="4326" customFormat="false" ht="15" hidden="false" customHeight="false" outlineLevel="0" collapsed="false">
      <c r="A4326" s="60"/>
      <c r="B4326" s="61" t="str">
        <f aca="false">IF($M4326=0,"",INDEX(Classes!$E$6:$E$420,$M4326))</f>
        <v/>
      </c>
      <c r="C4326" s="62" t="str">
        <f aca="false">IF($M4326=0,"",INDEX(Classes!$H$6:$H$420,$M4326))</f>
        <v/>
      </c>
      <c r="D4326" s="61" t="str">
        <f aca="false">IF($M4326=0,"",INDEX(Classes!$B$6:$B$420,$M4326))</f>
        <v/>
      </c>
      <c r="E4326" s="61" t="str">
        <f aca="false">IF($M4326=0,"",INDEX(Classes!$C$6:$C$420,$M4326))</f>
        <v/>
      </c>
      <c r="F4326" s="63"/>
      <c r="G4326" s="63"/>
      <c r="H4326" s="60"/>
      <c r="I4326" s="60"/>
      <c r="J4326" s="63"/>
      <c r="K4326" s="61" t="str">
        <f aca="false">IF($P4326=0,"",IF($F4326="Baseline","— Baseline",IF($O4326=0,"No result",IF($N4326=0,"No Start (attainment only)",IF(OR($N4326=1,$O4326=1),"U – needs rule",INDEX(MxBody,MATCH($I4326,MxCurr,0),MATCH($H4326,MxStart,0)))))))</f>
        <v/>
      </c>
      <c r="L4326" s="62" t="str">
        <f aca="false">IF(COUNTA($A4326,$F4326,$G4326,$H4326,$I4326,$J4326)=0,"",IF($M4326=0,"✖ كود الصف غير موجود",IF(ISNA(MATCH($F4326,Lists!$A$2:$A$5,0)),"✖ الفترة غير صحيحة",IF(ISNA(MATCH($G4326,Lists!$B$2:$B$7,0)),"✖ المجموعة غير صحيحة",IF(NOT(OR($H4326="",$N4326&gt;0)),"✖ Start غير صحيح",IF(NOT(OR($I4326="",$I4326="NR",$O4326&gt;0)),"✖ Current غير صحيح",IF(NOT(IF(ISNUMBER($J4326),AND($J4326&gt;=0,$J4326=INT($J4326)),FALSE())),"✖ العدد يجب أن يكون صحيحًا ≥ 0",IF(AND($F4326="Baseline",$H4326&lt;&gt;""),"⚠ Baseline: Start لا يدخل في التقدم",IF($K4326="No Start (attainment only)","ℹ تحصيل فقط (بدون Start)",IF($K4326="U – needs rule","ℹ حالة U تحتاج قاعدة معتمدة",IF($K4326="No result","ℹ بدون نتيجة (يُستبعد من التحصيل)","OK")))))))))))</f>
        <v/>
      </c>
      <c r="M4326" s="64" t="n">
        <f aca="false">IF($A4326="",0,IFERROR(MATCH($A4326,Classes!$A$6:$A$420,0),0))</f>
        <v>0</v>
      </c>
      <c r="N4326" s="64" t="n">
        <f aca="false">IF($H4326="",0,IFERROR(MATCH($H4326,GradeList,0),0))</f>
        <v>0</v>
      </c>
      <c r="O4326" s="64" t="n">
        <f aca="false">IF(OR($I4326="",$I4326="NR"),0,IFERROR(MATCH($I4326,GradeList,0),0))</f>
        <v>0</v>
      </c>
      <c r="P4326" s="64" t="n">
        <f aca="false">IF(AND($M4326&gt;0,ISNUMBER(MATCH($F4326,Lists!$A$2:$A$5,0)),ISNUMBER(MATCH($G4326,Lists!$B$2:$B$7,0)),OR($H4326="",$N4326&gt;0),OR($I4326="",$I4326="NR",$O4326&gt;0),IF(ISNUMBER($J4326),AND($J4326&gt;=0,$J4326=INT($J4326)),FALSE())),$J4326,0)</f>
        <v>0</v>
      </c>
      <c r="Q4326" s="64" t="n">
        <f aca="false">IF(AND($P4326&gt;0,$O4326&gt;0),$P4326,0)</f>
        <v>0</v>
      </c>
      <c r="R4326" s="64" t="n">
        <f aca="false">IF(AND($Q4326&gt;0,$O4326&gt;=AtRank),$Q4326,0)</f>
        <v>0</v>
      </c>
      <c r="S4326" s="64" t="n">
        <f aca="false">IF(AND($Q4326&gt;0,$O4326&gt;=AboveRank),$Q4326,0)</f>
        <v>0</v>
      </c>
      <c r="T4326" s="64" t="n">
        <f aca="false">IF($K4326="Less",$P4326,0)</f>
        <v>0</v>
      </c>
      <c r="U4326" s="64" t="n">
        <f aca="false">IF($K4326="Expected",$P4326,0)</f>
        <v>0</v>
      </c>
      <c r="V4326" s="64" t="n">
        <f aca="false">IF($K4326="Better",$P4326,0)</f>
        <v>0</v>
      </c>
      <c r="W4326" s="64" t="n">
        <f aca="false">IF($K4326="U – needs rule",$P4326,0)</f>
        <v>0</v>
      </c>
      <c r="X4326" s="64" t="n">
        <f aca="false">IF($K4326="No Start (attainment only)",$P4326,0)</f>
        <v>0</v>
      </c>
    </row>
    <row r="4327" customFormat="false" ht="15" hidden="false" customHeight="false" outlineLevel="0" collapsed="false">
      <c r="A4327" s="60"/>
      <c r="B4327" s="61" t="str">
        <f aca="false">IF($M4327=0,"",INDEX(Classes!$E$6:$E$420,$M4327))</f>
        <v/>
      </c>
      <c r="C4327" s="62" t="str">
        <f aca="false">IF($M4327=0,"",INDEX(Classes!$H$6:$H$420,$M4327))</f>
        <v/>
      </c>
      <c r="D4327" s="61" t="str">
        <f aca="false">IF($M4327=0,"",INDEX(Classes!$B$6:$B$420,$M4327))</f>
        <v/>
      </c>
      <c r="E4327" s="61" t="str">
        <f aca="false">IF($M4327=0,"",INDEX(Classes!$C$6:$C$420,$M4327))</f>
        <v/>
      </c>
      <c r="F4327" s="63"/>
      <c r="G4327" s="63"/>
      <c r="H4327" s="60"/>
      <c r="I4327" s="60"/>
      <c r="J4327" s="63"/>
      <c r="K4327" s="61" t="str">
        <f aca="false">IF($P4327=0,"",IF($F4327="Baseline","— Baseline",IF($O4327=0,"No result",IF($N4327=0,"No Start (attainment only)",IF(OR($N4327=1,$O4327=1),"U – needs rule",INDEX(MxBody,MATCH($I4327,MxCurr,0),MATCH($H4327,MxStart,0)))))))</f>
        <v/>
      </c>
      <c r="L4327" s="62" t="str">
        <f aca="false">IF(COUNTA($A4327,$F4327,$G4327,$H4327,$I4327,$J4327)=0,"",IF($M4327=0,"✖ كود الصف غير موجود",IF(ISNA(MATCH($F4327,Lists!$A$2:$A$5,0)),"✖ الفترة غير صحيحة",IF(ISNA(MATCH($G4327,Lists!$B$2:$B$7,0)),"✖ المجموعة غير صحيحة",IF(NOT(OR($H4327="",$N4327&gt;0)),"✖ Start غير صحيح",IF(NOT(OR($I4327="",$I4327="NR",$O4327&gt;0)),"✖ Current غير صحيح",IF(NOT(IF(ISNUMBER($J4327),AND($J4327&gt;=0,$J4327=INT($J4327)),FALSE())),"✖ العدد يجب أن يكون صحيحًا ≥ 0",IF(AND($F4327="Baseline",$H4327&lt;&gt;""),"⚠ Baseline: Start لا يدخل في التقدم",IF($K4327="No Start (attainment only)","ℹ تحصيل فقط (بدون Start)",IF($K4327="U – needs rule","ℹ حالة U تحتاج قاعدة معتمدة",IF($K4327="No result","ℹ بدون نتيجة (يُستبعد من التحصيل)","OK")))))))))))</f>
        <v/>
      </c>
      <c r="M4327" s="64" t="n">
        <f aca="false">IF($A4327="",0,IFERROR(MATCH($A4327,Classes!$A$6:$A$420,0),0))</f>
        <v>0</v>
      </c>
      <c r="N4327" s="64" t="n">
        <f aca="false">IF($H4327="",0,IFERROR(MATCH($H4327,GradeList,0),0))</f>
        <v>0</v>
      </c>
      <c r="O4327" s="64" t="n">
        <f aca="false">IF(OR($I4327="",$I4327="NR"),0,IFERROR(MATCH($I4327,GradeList,0),0))</f>
        <v>0</v>
      </c>
      <c r="P4327" s="64" t="n">
        <f aca="false">IF(AND($M4327&gt;0,ISNUMBER(MATCH($F4327,Lists!$A$2:$A$5,0)),ISNUMBER(MATCH($G4327,Lists!$B$2:$B$7,0)),OR($H4327="",$N4327&gt;0),OR($I4327="",$I4327="NR",$O4327&gt;0),IF(ISNUMBER($J4327),AND($J4327&gt;=0,$J4327=INT($J4327)),FALSE())),$J4327,0)</f>
        <v>0</v>
      </c>
      <c r="Q4327" s="64" t="n">
        <f aca="false">IF(AND($P4327&gt;0,$O4327&gt;0),$P4327,0)</f>
        <v>0</v>
      </c>
      <c r="R4327" s="64" t="n">
        <f aca="false">IF(AND($Q4327&gt;0,$O4327&gt;=AtRank),$Q4327,0)</f>
        <v>0</v>
      </c>
      <c r="S4327" s="64" t="n">
        <f aca="false">IF(AND($Q4327&gt;0,$O4327&gt;=AboveRank),$Q4327,0)</f>
        <v>0</v>
      </c>
      <c r="T4327" s="64" t="n">
        <f aca="false">IF($K4327="Less",$P4327,0)</f>
        <v>0</v>
      </c>
      <c r="U4327" s="64" t="n">
        <f aca="false">IF($K4327="Expected",$P4327,0)</f>
        <v>0</v>
      </c>
      <c r="V4327" s="64" t="n">
        <f aca="false">IF($K4327="Better",$P4327,0)</f>
        <v>0</v>
      </c>
      <c r="W4327" s="64" t="n">
        <f aca="false">IF($K4327="U – needs rule",$P4327,0)</f>
        <v>0</v>
      </c>
      <c r="X4327" s="64" t="n">
        <f aca="false">IF($K4327="No Start (attainment only)",$P4327,0)</f>
        <v>0</v>
      </c>
    </row>
    <row r="4328" customFormat="false" ht="15" hidden="false" customHeight="false" outlineLevel="0" collapsed="false">
      <c r="A4328" s="60"/>
      <c r="B4328" s="61" t="str">
        <f aca="false">IF($M4328=0,"",INDEX(Classes!$E$6:$E$420,$M4328))</f>
        <v/>
      </c>
      <c r="C4328" s="62" t="str">
        <f aca="false">IF($M4328=0,"",INDEX(Classes!$H$6:$H$420,$M4328))</f>
        <v/>
      </c>
      <c r="D4328" s="61" t="str">
        <f aca="false">IF($M4328=0,"",INDEX(Classes!$B$6:$B$420,$M4328))</f>
        <v/>
      </c>
      <c r="E4328" s="61" t="str">
        <f aca="false">IF($M4328=0,"",INDEX(Classes!$C$6:$C$420,$M4328))</f>
        <v/>
      </c>
      <c r="F4328" s="63"/>
      <c r="G4328" s="63"/>
      <c r="H4328" s="60"/>
      <c r="I4328" s="60"/>
      <c r="J4328" s="63"/>
      <c r="K4328" s="61" t="str">
        <f aca="false">IF($P4328=0,"",IF($F4328="Baseline","— Baseline",IF($O4328=0,"No result",IF($N4328=0,"No Start (attainment only)",IF(OR($N4328=1,$O4328=1),"U – needs rule",INDEX(MxBody,MATCH($I4328,MxCurr,0),MATCH($H4328,MxStart,0)))))))</f>
        <v/>
      </c>
      <c r="L4328" s="62" t="str">
        <f aca="false">IF(COUNTA($A4328,$F4328,$G4328,$H4328,$I4328,$J4328)=0,"",IF($M4328=0,"✖ كود الصف غير موجود",IF(ISNA(MATCH($F4328,Lists!$A$2:$A$5,0)),"✖ الفترة غير صحيحة",IF(ISNA(MATCH($G4328,Lists!$B$2:$B$7,0)),"✖ المجموعة غير صحيحة",IF(NOT(OR($H4328="",$N4328&gt;0)),"✖ Start غير صحيح",IF(NOT(OR($I4328="",$I4328="NR",$O4328&gt;0)),"✖ Current غير صحيح",IF(NOT(IF(ISNUMBER($J4328),AND($J4328&gt;=0,$J4328=INT($J4328)),FALSE())),"✖ العدد يجب أن يكون صحيحًا ≥ 0",IF(AND($F4328="Baseline",$H4328&lt;&gt;""),"⚠ Baseline: Start لا يدخل في التقدم",IF($K4328="No Start (attainment only)","ℹ تحصيل فقط (بدون Start)",IF($K4328="U – needs rule","ℹ حالة U تحتاج قاعدة معتمدة",IF($K4328="No result","ℹ بدون نتيجة (يُستبعد من التحصيل)","OK")))))))))))</f>
        <v/>
      </c>
      <c r="M4328" s="64" t="n">
        <f aca="false">IF($A4328="",0,IFERROR(MATCH($A4328,Classes!$A$6:$A$420,0),0))</f>
        <v>0</v>
      </c>
      <c r="N4328" s="64" t="n">
        <f aca="false">IF($H4328="",0,IFERROR(MATCH($H4328,GradeList,0),0))</f>
        <v>0</v>
      </c>
      <c r="O4328" s="64" t="n">
        <f aca="false">IF(OR($I4328="",$I4328="NR"),0,IFERROR(MATCH($I4328,GradeList,0),0))</f>
        <v>0</v>
      </c>
      <c r="P4328" s="64" t="n">
        <f aca="false">IF(AND($M4328&gt;0,ISNUMBER(MATCH($F4328,Lists!$A$2:$A$5,0)),ISNUMBER(MATCH($G4328,Lists!$B$2:$B$7,0)),OR($H4328="",$N4328&gt;0),OR($I4328="",$I4328="NR",$O4328&gt;0),IF(ISNUMBER($J4328),AND($J4328&gt;=0,$J4328=INT($J4328)),FALSE())),$J4328,0)</f>
        <v>0</v>
      </c>
      <c r="Q4328" s="64" t="n">
        <f aca="false">IF(AND($P4328&gt;0,$O4328&gt;0),$P4328,0)</f>
        <v>0</v>
      </c>
      <c r="R4328" s="64" t="n">
        <f aca="false">IF(AND($Q4328&gt;0,$O4328&gt;=AtRank),$Q4328,0)</f>
        <v>0</v>
      </c>
      <c r="S4328" s="64" t="n">
        <f aca="false">IF(AND($Q4328&gt;0,$O4328&gt;=AboveRank),$Q4328,0)</f>
        <v>0</v>
      </c>
      <c r="T4328" s="64" t="n">
        <f aca="false">IF($K4328="Less",$P4328,0)</f>
        <v>0</v>
      </c>
      <c r="U4328" s="64" t="n">
        <f aca="false">IF($K4328="Expected",$P4328,0)</f>
        <v>0</v>
      </c>
      <c r="V4328" s="64" t="n">
        <f aca="false">IF($K4328="Better",$P4328,0)</f>
        <v>0</v>
      </c>
      <c r="W4328" s="64" t="n">
        <f aca="false">IF($K4328="U – needs rule",$P4328,0)</f>
        <v>0</v>
      </c>
      <c r="X4328" s="64" t="n">
        <f aca="false">IF($K4328="No Start (attainment only)",$P4328,0)</f>
        <v>0</v>
      </c>
    </row>
    <row r="4329" customFormat="false" ht="15" hidden="false" customHeight="false" outlineLevel="0" collapsed="false">
      <c r="A4329" s="60"/>
      <c r="B4329" s="61" t="str">
        <f aca="false">IF($M4329=0,"",INDEX(Classes!$E$6:$E$420,$M4329))</f>
        <v/>
      </c>
      <c r="C4329" s="62" t="str">
        <f aca="false">IF($M4329=0,"",INDEX(Classes!$H$6:$H$420,$M4329))</f>
        <v/>
      </c>
      <c r="D4329" s="61" t="str">
        <f aca="false">IF($M4329=0,"",INDEX(Classes!$B$6:$B$420,$M4329))</f>
        <v/>
      </c>
      <c r="E4329" s="61" t="str">
        <f aca="false">IF($M4329=0,"",INDEX(Classes!$C$6:$C$420,$M4329))</f>
        <v/>
      </c>
      <c r="F4329" s="63"/>
      <c r="G4329" s="63"/>
      <c r="H4329" s="60"/>
      <c r="I4329" s="60"/>
      <c r="J4329" s="63"/>
      <c r="K4329" s="61" t="str">
        <f aca="false">IF($P4329=0,"",IF($F4329="Baseline","— Baseline",IF($O4329=0,"No result",IF($N4329=0,"No Start (attainment only)",IF(OR($N4329=1,$O4329=1),"U – needs rule",INDEX(MxBody,MATCH($I4329,MxCurr,0),MATCH($H4329,MxStart,0)))))))</f>
        <v/>
      </c>
      <c r="L4329" s="62" t="str">
        <f aca="false">IF(COUNTA($A4329,$F4329,$G4329,$H4329,$I4329,$J4329)=0,"",IF($M4329=0,"✖ كود الصف غير موجود",IF(ISNA(MATCH($F4329,Lists!$A$2:$A$5,0)),"✖ الفترة غير صحيحة",IF(ISNA(MATCH($G4329,Lists!$B$2:$B$7,0)),"✖ المجموعة غير صحيحة",IF(NOT(OR($H4329="",$N4329&gt;0)),"✖ Start غير صحيح",IF(NOT(OR($I4329="",$I4329="NR",$O4329&gt;0)),"✖ Current غير صحيح",IF(NOT(IF(ISNUMBER($J4329),AND($J4329&gt;=0,$J4329=INT($J4329)),FALSE())),"✖ العدد يجب أن يكون صحيحًا ≥ 0",IF(AND($F4329="Baseline",$H4329&lt;&gt;""),"⚠ Baseline: Start لا يدخل في التقدم",IF($K4329="No Start (attainment only)","ℹ تحصيل فقط (بدون Start)",IF($K4329="U – needs rule","ℹ حالة U تحتاج قاعدة معتمدة",IF($K4329="No result","ℹ بدون نتيجة (يُستبعد من التحصيل)","OK")))))))))))</f>
        <v/>
      </c>
      <c r="M4329" s="64" t="n">
        <f aca="false">IF($A4329="",0,IFERROR(MATCH($A4329,Classes!$A$6:$A$420,0),0))</f>
        <v>0</v>
      </c>
      <c r="N4329" s="64" t="n">
        <f aca="false">IF($H4329="",0,IFERROR(MATCH($H4329,GradeList,0),0))</f>
        <v>0</v>
      </c>
      <c r="O4329" s="64" t="n">
        <f aca="false">IF(OR($I4329="",$I4329="NR"),0,IFERROR(MATCH($I4329,GradeList,0),0))</f>
        <v>0</v>
      </c>
      <c r="P4329" s="64" t="n">
        <f aca="false">IF(AND($M4329&gt;0,ISNUMBER(MATCH($F4329,Lists!$A$2:$A$5,0)),ISNUMBER(MATCH($G4329,Lists!$B$2:$B$7,0)),OR($H4329="",$N4329&gt;0),OR($I4329="",$I4329="NR",$O4329&gt;0),IF(ISNUMBER($J4329),AND($J4329&gt;=0,$J4329=INT($J4329)),FALSE())),$J4329,0)</f>
        <v>0</v>
      </c>
      <c r="Q4329" s="64" t="n">
        <f aca="false">IF(AND($P4329&gt;0,$O4329&gt;0),$P4329,0)</f>
        <v>0</v>
      </c>
      <c r="R4329" s="64" t="n">
        <f aca="false">IF(AND($Q4329&gt;0,$O4329&gt;=AtRank),$Q4329,0)</f>
        <v>0</v>
      </c>
      <c r="S4329" s="64" t="n">
        <f aca="false">IF(AND($Q4329&gt;0,$O4329&gt;=AboveRank),$Q4329,0)</f>
        <v>0</v>
      </c>
      <c r="T4329" s="64" t="n">
        <f aca="false">IF($K4329="Less",$P4329,0)</f>
        <v>0</v>
      </c>
      <c r="U4329" s="64" t="n">
        <f aca="false">IF($K4329="Expected",$P4329,0)</f>
        <v>0</v>
      </c>
      <c r="V4329" s="64" t="n">
        <f aca="false">IF($K4329="Better",$P4329,0)</f>
        <v>0</v>
      </c>
      <c r="W4329" s="64" t="n">
        <f aca="false">IF($K4329="U – needs rule",$P4329,0)</f>
        <v>0</v>
      </c>
      <c r="X4329" s="64" t="n">
        <f aca="false">IF($K4329="No Start (attainment only)",$P4329,0)</f>
        <v>0</v>
      </c>
    </row>
    <row r="4330" customFormat="false" ht="15" hidden="false" customHeight="false" outlineLevel="0" collapsed="false">
      <c r="A4330" s="60"/>
      <c r="B4330" s="61" t="str">
        <f aca="false">IF($M4330=0,"",INDEX(Classes!$E$6:$E$420,$M4330))</f>
        <v/>
      </c>
      <c r="C4330" s="62" t="str">
        <f aca="false">IF($M4330=0,"",INDEX(Classes!$H$6:$H$420,$M4330))</f>
        <v/>
      </c>
      <c r="D4330" s="61" t="str">
        <f aca="false">IF($M4330=0,"",INDEX(Classes!$B$6:$B$420,$M4330))</f>
        <v/>
      </c>
      <c r="E4330" s="61" t="str">
        <f aca="false">IF($M4330=0,"",INDEX(Classes!$C$6:$C$420,$M4330))</f>
        <v/>
      </c>
      <c r="F4330" s="63"/>
      <c r="G4330" s="63"/>
      <c r="H4330" s="60"/>
      <c r="I4330" s="60"/>
      <c r="J4330" s="63"/>
      <c r="K4330" s="61" t="str">
        <f aca="false">IF($P4330=0,"",IF($F4330="Baseline","— Baseline",IF($O4330=0,"No result",IF($N4330=0,"No Start (attainment only)",IF(OR($N4330=1,$O4330=1),"U – needs rule",INDEX(MxBody,MATCH($I4330,MxCurr,0),MATCH($H4330,MxStart,0)))))))</f>
        <v/>
      </c>
      <c r="L4330" s="62" t="str">
        <f aca="false">IF(COUNTA($A4330,$F4330,$G4330,$H4330,$I4330,$J4330)=0,"",IF($M4330=0,"✖ كود الصف غير موجود",IF(ISNA(MATCH($F4330,Lists!$A$2:$A$5,0)),"✖ الفترة غير صحيحة",IF(ISNA(MATCH($G4330,Lists!$B$2:$B$7,0)),"✖ المجموعة غير صحيحة",IF(NOT(OR($H4330="",$N4330&gt;0)),"✖ Start غير صحيح",IF(NOT(OR($I4330="",$I4330="NR",$O4330&gt;0)),"✖ Current غير صحيح",IF(NOT(IF(ISNUMBER($J4330),AND($J4330&gt;=0,$J4330=INT($J4330)),FALSE())),"✖ العدد يجب أن يكون صحيحًا ≥ 0",IF(AND($F4330="Baseline",$H4330&lt;&gt;""),"⚠ Baseline: Start لا يدخل في التقدم",IF($K4330="No Start (attainment only)","ℹ تحصيل فقط (بدون Start)",IF($K4330="U – needs rule","ℹ حالة U تحتاج قاعدة معتمدة",IF($K4330="No result","ℹ بدون نتيجة (يُستبعد من التحصيل)","OK")))))))))))</f>
        <v/>
      </c>
      <c r="M4330" s="64" t="n">
        <f aca="false">IF($A4330="",0,IFERROR(MATCH($A4330,Classes!$A$6:$A$420,0),0))</f>
        <v>0</v>
      </c>
      <c r="N4330" s="64" t="n">
        <f aca="false">IF($H4330="",0,IFERROR(MATCH($H4330,GradeList,0),0))</f>
        <v>0</v>
      </c>
      <c r="O4330" s="64" t="n">
        <f aca="false">IF(OR($I4330="",$I4330="NR"),0,IFERROR(MATCH($I4330,GradeList,0),0))</f>
        <v>0</v>
      </c>
      <c r="P4330" s="64" t="n">
        <f aca="false">IF(AND($M4330&gt;0,ISNUMBER(MATCH($F4330,Lists!$A$2:$A$5,0)),ISNUMBER(MATCH($G4330,Lists!$B$2:$B$7,0)),OR($H4330="",$N4330&gt;0),OR($I4330="",$I4330="NR",$O4330&gt;0),IF(ISNUMBER($J4330),AND($J4330&gt;=0,$J4330=INT($J4330)),FALSE())),$J4330,0)</f>
        <v>0</v>
      </c>
      <c r="Q4330" s="64" t="n">
        <f aca="false">IF(AND($P4330&gt;0,$O4330&gt;0),$P4330,0)</f>
        <v>0</v>
      </c>
      <c r="R4330" s="64" t="n">
        <f aca="false">IF(AND($Q4330&gt;0,$O4330&gt;=AtRank),$Q4330,0)</f>
        <v>0</v>
      </c>
      <c r="S4330" s="64" t="n">
        <f aca="false">IF(AND($Q4330&gt;0,$O4330&gt;=AboveRank),$Q4330,0)</f>
        <v>0</v>
      </c>
      <c r="T4330" s="64" t="n">
        <f aca="false">IF($K4330="Less",$P4330,0)</f>
        <v>0</v>
      </c>
      <c r="U4330" s="64" t="n">
        <f aca="false">IF($K4330="Expected",$P4330,0)</f>
        <v>0</v>
      </c>
      <c r="V4330" s="64" t="n">
        <f aca="false">IF($K4330="Better",$P4330,0)</f>
        <v>0</v>
      </c>
      <c r="W4330" s="64" t="n">
        <f aca="false">IF($K4330="U – needs rule",$P4330,0)</f>
        <v>0</v>
      </c>
      <c r="X4330" s="64" t="n">
        <f aca="false">IF($K4330="No Start (attainment only)",$P4330,0)</f>
        <v>0</v>
      </c>
    </row>
    <row r="4331" customFormat="false" ht="15" hidden="false" customHeight="false" outlineLevel="0" collapsed="false">
      <c r="A4331" s="60"/>
      <c r="B4331" s="61" t="str">
        <f aca="false">IF($M4331=0,"",INDEX(Classes!$E$6:$E$420,$M4331))</f>
        <v/>
      </c>
      <c r="C4331" s="62" t="str">
        <f aca="false">IF($M4331=0,"",INDEX(Classes!$H$6:$H$420,$M4331))</f>
        <v/>
      </c>
      <c r="D4331" s="61" t="str">
        <f aca="false">IF($M4331=0,"",INDEX(Classes!$B$6:$B$420,$M4331))</f>
        <v/>
      </c>
      <c r="E4331" s="61" t="str">
        <f aca="false">IF($M4331=0,"",INDEX(Classes!$C$6:$C$420,$M4331))</f>
        <v/>
      </c>
      <c r="F4331" s="63"/>
      <c r="G4331" s="63"/>
      <c r="H4331" s="60"/>
      <c r="I4331" s="60"/>
      <c r="J4331" s="63"/>
      <c r="K4331" s="61" t="str">
        <f aca="false">IF($P4331=0,"",IF($F4331="Baseline","— Baseline",IF($O4331=0,"No result",IF($N4331=0,"No Start (attainment only)",IF(OR($N4331=1,$O4331=1),"U – needs rule",INDEX(MxBody,MATCH($I4331,MxCurr,0),MATCH($H4331,MxStart,0)))))))</f>
        <v/>
      </c>
      <c r="L4331" s="62" t="str">
        <f aca="false">IF(COUNTA($A4331,$F4331,$G4331,$H4331,$I4331,$J4331)=0,"",IF($M4331=0,"✖ كود الصف غير موجود",IF(ISNA(MATCH($F4331,Lists!$A$2:$A$5,0)),"✖ الفترة غير صحيحة",IF(ISNA(MATCH($G4331,Lists!$B$2:$B$7,0)),"✖ المجموعة غير صحيحة",IF(NOT(OR($H4331="",$N4331&gt;0)),"✖ Start غير صحيح",IF(NOT(OR($I4331="",$I4331="NR",$O4331&gt;0)),"✖ Current غير صحيح",IF(NOT(IF(ISNUMBER($J4331),AND($J4331&gt;=0,$J4331=INT($J4331)),FALSE())),"✖ العدد يجب أن يكون صحيحًا ≥ 0",IF(AND($F4331="Baseline",$H4331&lt;&gt;""),"⚠ Baseline: Start لا يدخل في التقدم",IF($K4331="No Start (attainment only)","ℹ تحصيل فقط (بدون Start)",IF($K4331="U – needs rule","ℹ حالة U تحتاج قاعدة معتمدة",IF($K4331="No result","ℹ بدون نتيجة (يُستبعد من التحصيل)","OK")))))))))))</f>
        <v/>
      </c>
      <c r="M4331" s="64" t="n">
        <f aca="false">IF($A4331="",0,IFERROR(MATCH($A4331,Classes!$A$6:$A$420,0),0))</f>
        <v>0</v>
      </c>
      <c r="N4331" s="64" t="n">
        <f aca="false">IF($H4331="",0,IFERROR(MATCH($H4331,GradeList,0),0))</f>
        <v>0</v>
      </c>
      <c r="O4331" s="64" t="n">
        <f aca="false">IF(OR($I4331="",$I4331="NR"),0,IFERROR(MATCH($I4331,GradeList,0),0))</f>
        <v>0</v>
      </c>
      <c r="P4331" s="64" t="n">
        <f aca="false">IF(AND($M4331&gt;0,ISNUMBER(MATCH($F4331,Lists!$A$2:$A$5,0)),ISNUMBER(MATCH($G4331,Lists!$B$2:$B$7,0)),OR($H4331="",$N4331&gt;0),OR($I4331="",$I4331="NR",$O4331&gt;0),IF(ISNUMBER($J4331),AND($J4331&gt;=0,$J4331=INT($J4331)),FALSE())),$J4331,0)</f>
        <v>0</v>
      </c>
      <c r="Q4331" s="64" t="n">
        <f aca="false">IF(AND($P4331&gt;0,$O4331&gt;0),$P4331,0)</f>
        <v>0</v>
      </c>
      <c r="R4331" s="64" t="n">
        <f aca="false">IF(AND($Q4331&gt;0,$O4331&gt;=AtRank),$Q4331,0)</f>
        <v>0</v>
      </c>
      <c r="S4331" s="64" t="n">
        <f aca="false">IF(AND($Q4331&gt;0,$O4331&gt;=AboveRank),$Q4331,0)</f>
        <v>0</v>
      </c>
      <c r="T4331" s="64" t="n">
        <f aca="false">IF($K4331="Less",$P4331,0)</f>
        <v>0</v>
      </c>
      <c r="U4331" s="64" t="n">
        <f aca="false">IF($K4331="Expected",$P4331,0)</f>
        <v>0</v>
      </c>
      <c r="V4331" s="64" t="n">
        <f aca="false">IF($K4331="Better",$P4331,0)</f>
        <v>0</v>
      </c>
      <c r="W4331" s="64" t="n">
        <f aca="false">IF($K4331="U – needs rule",$P4331,0)</f>
        <v>0</v>
      </c>
      <c r="X4331" s="64" t="n">
        <f aca="false">IF($K4331="No Start (attainment only)",$P4331,0)</f>
        <v>0</v>
      </c>
    </row>
    <row r="4332" customFormat="false" ht="15" hidden="false" customHeight="false" outlineLevel="0" collapsed="false">
      <c r="A4332" s="60"/>
      <c r="B4332" s="61" t="str">
        <f aca="false">IF($M4332=0,"",INDEX(Classes!$E$6:$E$420,$M4332))</f>
        <v/>
      </c>
      <c r="C4332" s="62" t="str">
        <f aca="false">IF($M4332=0,"",INDEX(Classes!$H$6:$H$420,$M4332))</f>
        <v/>
      </c>
      <c r="D4332" s="61" t="str">
        <f aca="false">IF($M4332=0,"",INDEX(Classes!$B$6:$B$420,$M4332))</f>
        <v/>
      </c>
      <c r="E4332" s="61" t="str">
        <f aca="false">IF($M4332=0,"",INDEX(Classes!$C$6:$C$420,$M4332))</f>
        <v/>
      </c>
      <c r="F4332" s="63"/>
      <c r="G4332" s="63"/>
      <c r="H4332" s="60"/>
      <c r="I4332" s="60"/>
      <c r="J4332" s="63"/>
      <c r="K4332" s="61" t="str">
        <f aca="false">IF($P4332=0,"",IF($F4332="Baseline","— Baseline",IF($O4332=0,"No result",IF($N4332=0,"No Start (attainment only)",IF(OR($N4332=1,$O4332=1),"U – needs rule",INDEX(MxBody,MATCH($I4332,MxCurr,0),MATCH($H4332,MxStart,0)))))))</f>
        <v/>
      </c>
      <c r="L4332" s="62" t="str">
        <f aca="false">IF(COUNTA($A4332,$F4332,$G4332,$H4332,$I4332,$J4332)=0,"",IF($M4332=0,"✖ كود الصف غير موجود",IF(ISNA(MATCH($F4332,Lists!$A$2:$A$5,0)),"✖ الفترة غير صحيحة",IF(ISNA(MATCH($G4332,Lists!$B$2:$B$7,0)),"✖ المجموعة غير صحيحة",IF(NOT(OR($H4332="",$N4332&gt;0)),"✖ Start غير صحيح",IF(NOT(OR($I4332="",$I4332="NR",$O4332&gt;0)),"✖ Current غير صحيح",IF(NOT(IF(ISNUMBER($J4332),AND($J4332&gt;=0,$J4332=INT($J4332)),FALSE())),"✖ العدد يجب أن يكون صحيحًا ≥ 0",IF(AND($F4332="Baseline",$H4332&lt;&gt;""),"⚠ Baseline: Start لا يدخل في التقدم",IF($K4332="No Start (attainment only)","ℹ تحصيل فقط (بدون Start)",IF($K4332="U – needs rule","ℹ حالة U تحتاج قاعدة معتمدة",IF($K4332="No result","ℹ بدون نتيجة (يُستبعد من التحصيل)","OK")))))))))))</f>
        <v/>
      </c>
      <c r="M4332" s="64" t="n">
        <f aca="false">IF($A4332="",0,IFERROR(MATCH($A4332,Classes!$A$6:$A$420,0),0))</f>
        <v>0</v>
      </c>
      <c r="N4332" s="64" t="n">
        <f aca="false">IF($H4332="",0,IFERROR(MATCH($H4332,GradeList,0),0))</f>
        <v>0</v>
      </c>
      <c r="O4332" s="64" t="n">
        <f aca="false">IF(OR($I4332="",$I4332="NR"),0,IFERROR(MATCH($I4332,GradeList,0),0))</f>
        <v>0</v>
      </c>
      <c r="P4332" s="64" t="n">
        <f aca="false">IF(AND($M4332&gt;0,ISNUMBER(MATCH($F4332,Lists!$A$2:$A$5,0)),ISNUMBER(MATCH($G4332,Lists!$B$2:$B$7,0)),OR($H4332="",$N4332&gt;0),OR($I4332="",$I4332="NR",$O4332&gt;0),IF(ISNUMBER($J4332),AND($J4332&gt;=0,$J4332=INT($J4332)),FALSE())),$J4332,0)</f>
        <v>0</v>
      </c>
      <c r="Q4332" s="64" t="n">
        <f aca="false">IF(AND($P4332&gt;0,$O4332&gt;0),$P4332,0)</f>
        <v>0</v>
      </c>
      <c r="R4332" s="64" t="n">
        <f aca="false">IF(AND($Q4332&gt;0,$O4332&gt;=AtRank),$Q4332,0)</f>
        <v>0</v>
      </c>
      <c r="S4332" s="64" t="n">
        <f aca="false">IF(AND($Q4332&gt;0,$O4332&gt;=AboveRank),$Q4332,0)</f>
        <v>0</v>
      </c>
      <c r="T4332" s="64" t="n">
        <f aca="false">IF($K4332="Less",$P4332,0)</f>
        <v>0</v>
      </c>
      <c r="U4332" s="64" t="n">
        <f aca="false">IF($K4332="Expected",$P4332,0)</f>
        <v>0</v>
      </c>
      <c r="V4332" s="64" t="n">
        <f aca="false">IF($K4332="Better",$P4332,0)</f>
        <v>0</v>
      </c>
      <c r="W4332" s="64" t="n">
        <f aca="false">IF($K4332="U – needs rule",$P4332,0)</f>
        <v>0</v>
      </c>
      <c r="X4332" s="64" t="n">
        <f aca="false">IF($K4332="No Start (attainment only)",$P4332,0)</f>
        <v>0</v>
      </c>
    </row>
    <row r="4333" customFormat="false" ht="15" hidden="false" customHeight="false" outlineLevel="0" collapsed="false">
      <c r="A4333" s="60"/>
      <c r="B4333" s="61" t="str">
        <f aca="false">IF($M4333=0,"",INDEX(Classes!$E$6:$E$420,$M4333))</f>
        <v/>
      </c>
      <c r="C4333" s="62" t="str">
        <f aca="false">IF($M4333=0,"",INDEX(Classes!$H$6:$H$420,$M4333))</f>
        <v/>
      </c>
      <c r="D4333" s="61" t="str">
        <f aca="false">IF($M4333=0,"",INDEX(Classes!$B$6:$B$420,$M4333))</f>
        <v/>
      </c>
      <c r="E4333" s="61" t="str">
        <f aca="false">IF($M4333=0,"",INDEX(Classes!$C$6:$C$420,$M4333))</f>
        <v/>
      </c>
      <c r="F4333" s="63"/>
      <c r="G4333" s="63"/>
      <c r="H4333" s="60"/>
      <c r="I4333" s="60"/>
      <c r="J4333" s="63"/>
      <c r="K4333" s="61" t="str">
        <f aca="false">IF($P4333=0,"",IF($F4333="Baseline","— Baseline",IF($O4333=0,"No result",IF($N4333=0,"No Start (attainment only)",IF(OR($N4333=1,$O4333=1),"U – needs rule",INDEX(MxBody,MATCH($I4333,MxCurr,0),MATCH($H4333,MxStart,0)))))))</f>
        <v/>
      </c>
      <c r="L4333" s="62" t="str">
        <f aca="false">IF(COUNTA($A4333,$F4333,$G4333,$H4333,$I4333,$J4333)=0,"",IF($M4333=0,"✖ كود الصف غير موجود",IF(ISNA(MATCH($F4333,Lists!$A$2:$A$5,0)),"✖ الفترة غير صحيحة",IF(ISNA(MATCH($G4333,Lists!$B$2:$B$7,0)),"✖ المجموعة غير صحيحة",IF(NOT(OR($H4333="",$N4333&gt;0)),"✖ Start غير صحيح",IF(NOT(OR($I4333="",$I4333="NR",$O4333&gt;0)),"✖ Current غير صحيح",IF(NOT(IF(ISNUMBER($J4333),AND($J4333&gt;=0,$J4333=INT($J4333)),FALSE())),"✖ العدد يجب أن يكون صحيحًا ≥ 0",IF(AND($F4333="Baseline",$H4333&lt;&gt;""),"⚠ Baseline: Start لا يدخل في التقدم",IF($K4333="No Start (attainment only)","ℹ تحصيل فقط (بدون Start)",IF($K4333="U – needs rule","ℹ حالة U تحتاج قاعدة معتمدة",IF($K4333="No result","ℹ بدون نتيجة (يُستبعد من التحصيل)","OK")))))))))))</f>
        <v/>
      </c>
      <c r="M4333" s="64" t="n">
        <f aca="false">IF($A4333="",0,IFERROR(MATCH($A4333,Classes!$A$6:$A$420,0),0))</f>
        <v>0</v>
      </c>
      <c r="N4333" s="64" t="n">
        <f aca="false">IF($H4333="",0,IFERROR(MATCH($H4333,GradeList,0),0))</f>
        <v>0</v>
      </c>
      <c r="O4333" s="64" t="n">
        <f aca="false">IF(OR($I4333="",$I4333="NR"),0,IFERROR(MATCH($I4333,GradeList,0),0))</f>
        <v>0</v>
      </c>
      <c r="P4333" s="64" t="n">
        <f aca="false">IF(AND($M4333&gt;0,ISNUMBER(MATCH($F4333,Lists!$A$2:$A$5,0)),ISNUMBER(MATCH($G4333,Lists!$B$2:$B$7,0)),OR($H4333="",$N4333&gt;0),OR($I4333="",$I4333="NR",$O4333&gt;0),IF(ISNUMBER($J4333),AND($J4333&gt;=0,$J4333=INT($J4333)),FALSE())),$J4333,0)</f>
        <v>0</v>
      </c>
      <c r="Q4333" s="64" t="n">
        <f aca="false">IF(AND($P4333&gt;0,$O4333&gt;0),$P4333,0)</f>
        <v>0</v>
      </c>
      <c r="R4333" s="64" t="n">
        <f aca="false">IF(AND($Q4333&gt;0,$O4333&gt;=AtRank),$Q4333,0)</f>
        <v>0</v>
      </c>
      <c r="S4333" s="64" t="n">
        <f aca="false">IF(AND($Q4333&gt;0,$O4333&gt;=AboveRank),$Q4333,0)</f>
        <v>0</v>
      </c>
      <c r="T4333" s="64" t="n">
        <f aca="false">IF($K4333="Less",$P4333,0)</f>
        <v>0</v>
      </c>
      <c r="U4333" s="64" t="n">
        <f aca="false">IF($K4333="Expected",$P4333,0)</f>
        <v>0</v>
      </c>
      <c r="V4333" s="64" t="n">
        <f aca="false">IF($K4333="Better",$P4333,0)</f>
        <v>0</v>
      </c>
      <c r="W4333" s="64" t="n">
        <f aca="false">IF($K4333="U – needs rule",$P4333,0)</f>
        <v>0</v>
      </c>
      <c r="X4333" s="64" t="n">
        <f aca="false">IF($K4333="No Start (attainment only)",$P4333,0)</f>
        <v>0</v>
      </c>
    </row>
    <row r="4334" customFormat="false" ht="15" hidden="false" customHeight="false" outlineLevel="0" collapsed="false">
      <c r="A4334" s="60"/>
      <c r="B4334" s="61" t="str">
        <f aca="false">IF($M4334=0,"",INDEX(Classes!$E$6:$E$420,$M4334))</f>
        <v/>
      </c>
      <c r="C4334" s="62" t="str">
        <f aca="false">IF($M4334=0,"",INDEX(Classes!$H$6:$H$420,$M4334))</f>
        <v/>
      </c>
      <c r="D4334" s="61" t="str">
        <f aca="false">IF($M4334=0,"",INDEX(Classes!$B$6:$B$420,$M4334))</f>
        <v/>
      </c>
      <c r="E4334" s="61" t="str">
        <f aca="false">IF($M4334=0,"",INDEX(Classes!$C$6:$C$420,$M4334))</f>
        <v/>
      </c>
      <c r="F4334" s="63"/>
      <c r="G4334" s="63"/>
      <c r="H4334" s="60"/>
      <c r="I4334" s="60"/>
      <c r="J4334" s="63"/>
      <c r="K4334" s="61" t="str">
        <f aca="false">IF($P4334=0,"",IF($F4334="Baseline","— Baseline",IF($O4334=0,"No result",IF($N4334=0,"No Start (attainment only)",IF(OR($N4334=1,$O4334=1),"U – needs rule",INDEX(MxBody,MATCH($I4334,MxCurr,0),MATCH($H4334,MxStart,0)))))))</f>
        <v/>
      </c>
      <c r="L4334" s="62" t="str">
        <f aca="false">IF(COUNTA($A4334,$F4334,$G4334,$H4334,$I4334,$J4334)=0,"",IF($M4334=0,"✖ كود الصف غير موجود",IF(ISNA(MATCH($F4334,Lists!$A$2:$A$5,0)),"✖ الفترة غير صحيحة",IF(ISNA(MATCH($G4334,Lists!$B$2:$B$7,0)),"✖ المجموعة غير صحيحة",IF(NOT(OR($H4334="",$N4334&gt;0)),"✖ Start غير صحيح",IF(NOT(OR($I4334="",$I4334="NR",$O4334&gt;0)),"✖ Current غير صحيح",IF(NOT(IF(ISNUMBER($J4334),AND($J4334&gt;=0,$J4334=INT($J4334)),FALSE())),"✖ العدد يجب أن يكون صحيحًا ≥ 0",IF(AND($F4334="Baseline",$H4334&lt;&gt;""),"⚠ Baseline: Start لا يدخل في التقدم",IF($K4334="No Start (attainment only)","ℹ تحصيل فقط (بدون Start)",IF($K4334="U – needs rule","ℹ حالة U تحتاج قاعدة معتمدة",IF($K4334="No result","ℹ بدون نتيجة (يُستبعد من التحصيل)","OK")))))))))))</f>
        <v/>
      </c>
      <c r="M4334" s="64" t="n">
        <f aca="false">IF($A4334="",0,IFERROR(MATCH($A4334,Classes!$A$6:$A$420,0),0))</f>
        <v>0</v>
      </c>
      <c r="N4334" s="64" t="n">
        <f aca="false">IF($H4334="",0,IFERROR(MATCH($H4334,GradeList,0),0))</f>
        <v>0</v>
      </c>
      <c r="O4334" s="64" t="n">
        <f aca="false">IF(OR($I4334="",$I4334="NR"),0,IFERROR(MATCH($I4334,GradeList,0),0))</f>
        <v>0</v>
      </c>
      <c r="P4334" s="64" t="n">
        <f aca="false">IF(AND($M4334&gt;0,ISNUMBER(MATCH($F4334,Lists!$A$2:$A$5,0)),ISNUMBER(MATCH($G4334,Lists!$B$2:$B$7,0)),OR($H4334="",$N4334&gt;0),OR($I4334="",$I4334="NR",$O4334&gt;0),IF(ISNUMBER($J4334),AND($J4334&gt;=0,$J4334=INT($J4334)),FALSE())),$J4334,0)</f>
        <v>0</v>
      </c>
      <c r="Q4334" s="64" t="n">
        <f aca="false">IF(AND($P4334&gt;0,$O4334&gt;0),$P4334,0)</f>
        <v>0</v>
      </c>
      <c r="R4334" s="64" t="n">
        <f aca="false">IF(AND($Q4334&gt;0,$O4334&gt;=AtRank),$Q4334,0)</f>
        <v>0</v>
      </c>
      <c r="S4334" s="64" t="n">
        <f aca="false">IF(AND($Q4334&gt;0,$O4334&gt;=AboveRank),$Q4334,0)</f>
        <v>0</v>
      </c>
      <c r="T4334" s="64" t="n">
        <f aca="false">IF($K4334="Less",$P4334,0)</f>
        <v>0</v>
      </c>
      <c r="U4334" s="64" t="n">
        <f aca="false">IF($K4334="Expected",$P4334,0)</f>
        <v>0</v>
      </c>
      <c r="V4334" s="64" t="n">
        <f aca="false">IF($K4334="Better",$P4334,0)</f>
        <v>0</v>
      </c>
      <c r="W4334" s="64" t="n">
        <f aca="false">IF($K4334="U – needs rule",$P4334,0)</f>
        <v>0</v>
      </c>
      <c r="X4334" s="64" t="n">
        <f aca="false">IF($K4334="No Start (attainment only)",$P4334,0)</f>
        <v>0</v>
      </c>
    </row>
    <row r="4335" customFormat="false" ht="15" hidden="false" customHeight="false" outlineLevel="0" collapsed="false">
      <c r="A4335" s="60"/>
      <c r="B4335" s="61" t="str">
        <f aca="false">IF($M4335=0,"",INDEX(Classes!$E$6:$E$420,$M4335))</f>
        <v/>
      </c>
      <c r="C4335" s="62" t="str">
        <f aca="false">IF($M4335=0,"",INDEX(Classes!$H$6:$H$420,$M4335))</f>
        <v/>
      </c>
      <c r="D4335" s="61" t="str">
        <f aca="false">IF($M4335=0,"",INDEX(Classes!$B$6:$B$420,$M4335))</f>
        <v/>
      </c>
      <c r="E4335" s="61" t="str">
        <f aca="false">IF($M4335=0,"",INDEX(Classes!$C$6:$C$420,$M4335))</f>
        <v/>
      </c>
      <c r="F4335" s="63"/>
      <c r="G4335" s="63"/>
      <c r="H4335" s="60"/>
      <c r="I4335" s="60"/>
      <c r="J4335" s="63"/>
      <c r="K4335" s="61" t="str">
        <f aca="false">IF($P4335=0,"",IF($F4335="Baseline","— Baseline",IF($O4335=0,"No result",IF($N4335=0,"No Start (attainment only)",IF(OR($N4335=1,$O4335=1),"U – needs rule",INDEX(MxBody,MATCH($I4335,MxCurr,0),MATCH($H4335,MxStart,0)))))))</f>
        <v/>
      </c>
      <c r="L4335" s="62" t="str">
        <f aca="false">IF(COUNTA($A4335,$F4335,$G4335,$H4335,$I4335,$J4335)=0,"",IF($M4335=0,"✖ كود الصف غير موجود",IF(ISNA(MATCH($F4335,Lists!$A$2:$A$5,0)),"✖ الفترة غير صحيحة",IF(ISNA(MATCH($G4335,Lists!$B$2:$B$7,0)),"✖ المجموعة غير صحيحة",IF(NOT(OR($H4335="",$N4335&gt;0)),"✖ Start غير صحيح",IF(NOT(OR($I4335="",$I4335="NR",$O4335&gt;0)),"✖ Current غير صحيح",IF(NOT(IF(ISNUMBER($J4335),AND($J4335&gt;=0,$J4335=INT($J4335)),FALSE())),"✖ العدد يجب أن يكون صحيحًا ≥ 0",IF(AND($F4335="Baseline",$H4335&lt;&gt;""),"⚠ Baseline: Start لا يدخل في التقدم",IF($K4335="No Start (attainment only)","ℹ تحصيل فقط (بدون Start)",IF($K4335="U – needs rule","ℹ حالة U تحتاج قاعدة معتمدة",IF($K4335="No result","ℹ بدون نتيجة (يُستبعد من التحصيل)","OK")))))))))))</f>
        <v/>
      </c>
      <c r="M4335" s="64" t="n">
        <f aca="false">IF($A4335="",0,IFERROR(MATCH($A4335,Classes!$A$6:$A$420,0),0))</f>
        <v>0</v>
      </c>
      <c r="N4335" s="64" t="n">
        <f aca="false">IF($H4335="",0,IFERROR(MATCH($H4335,GradeList,0),0))</f>
        <v>0</v>
      </c>
      <c r="O4335" s="64" t="n">
        <f aca="false">IF(OR($I4335="",$I4335="NR"),0,IFERROR(MATCH($I4335,GradeList,0),0))</f>
        <v>0</v>
      </c>
      <c r="P4335" s="64" t="n">
        <f aca="false">IF(AND($M4335&gt;0,ISNUMBER(MATCH($F4335,Lists!$A$2:$A$5,0)),ISNUMBER(MATCH($G4335,Lists!$B$2:$B$7,0)),OR($H4335="",$N4335&gt;0),OR($I4335="",$I4335="NR",$O4335&gt;0),IF(ISNUMBER($J4335),AND($J4335&gt;=0,$J4335=INT($J4335)),FALSE())),$J4335,0)</f>
        <v>0</v>
      </c>
      <c r="Q4335" s="64" t="n">
        <f aca="false">IF(AND($P4335&gt;0,$O4335&gt;0),$P4335,0)</f>
        <v>0</v>
      </c>
      <c r="R4335" s="64" t="n">
        <f aca="false">IF(AND($Q4335&gt;0,$O4335&gt;=AtRank),$Q4335,0)</f>
        <v>0</v>
      </c>
      <c r="S4335" s="64" t="n">
        <f aca="false">IF(AND($Q4335&gt;0,$O4335&gt;=AboveRank),$Q4335,0)</f>
        <v>0</v>
      </c>
      <c r="T4335" s="64" t="n">
        <f aca="false">IF($K4335="Less",$P4335,0)</f>
        <v>0</v>
      </c>
      <c r="U4335" s="64" t="n">
        <f aca="false">IF($K4335="Expected",$P4335,0)</f>
        <v>0</v>
      </c>
      <c r="V4335" s="64" t="n">
        <f aca="false">IF($K4335="Better",$P4335,0)</f>
        <v>0</v>
      </c>
      <c r="W4335" s="64" t="n">
        <f aca="false">IF($K4335="U – needs rule",$P4335,0)</f>
        <v>0</v>
      </c>
      <c r="X4335" s="64" t="n">
        <f aca="false">IF($K4335="No Start (attainment only)",$P4335,0)</f>
        <v>0</v>
      </c>
    </row>
    <row r="4336" customFormat="false" ht="15" hidden="false" customHeight="false" outlineLevel="0" collapsed="false">
      <c r="A4336" s="60"/>
      <c r="B4336" s="61" t="str">
        <f aca="false">IF($M4336=0,"",INDEX(Classes!$E$6:$E$420,$M4336))</f>
        <v/>
      </c>
      <c r="C4336" s="62" t="str">
        <f aca="false">IF($M4336=0,"",INDEX(Classes!$H$6:$H$420,$M4336))</f>
        <v/>
      </c>
      <c r="D4336" s="61" t="str">
        <f aca="false">IF($M4336=0,"",INDEX(Classes!$B$6:$B$420,$M4336))</f>
        <v/>
      </c>
      <c r="E4336" s="61" t="str">
        <f aca="false">IF($M4336=0,"",INDEX(Classes!$C$6:$C$420,$M4336))</f>
        <v/>
      </c>
      <c r="F4336" s="63"/>
      <c r="G4336" s="63"/>
      <c r="H4336" s="60"/>
      <c r="I4336" s="60"/>
      <c r="J4336" s="63"/>
      <c r="K4336" s="61" t="str">
        <f aca="false">IF($P4336=0,"",IF($F4336="Baseline","— Baseline",IF($O4336=0,"No result",IF($N4336=0,"No Start (attainment only)",IF(OR($N4336=1,$O4336=1),"U – needs rule",INDEX(MxBody,MATCH($I4336,MxCurr,0),MATCH($H4336,MxStart,0)))))))</f>
        <v/>
      </c>
      <c r="L4336" s="62" t="str">
        <f aca="false">IF(COUNTA($A4336,$F4336,$G4336,$H4336,$I4336,$J4336)=0,"",IF($M4336=0,"✖ كود الصف غير موجود",IF(ISNA(MATCH($F4336,Lists!$A$2:$A$5,0)),"✖ الفترة غير صحيحة",IF(ISNA(MATCH($G4336,Lists!$B$2:$B$7,0)),"✖ المجموعة غير صحيحة",IF(NOT(OR($H4336="",$N4336&gt;0)),"✖ Start غير صحيح",IF(NOT(OR($I4336="",$I4336="NR",$O4336&gt;0)),"✖ Current غير صحيح",IF(NOT(IF(ISNUMBER($J4336),AND($J4336&gt;=0,$J4336=INT($J4336)),FALSE())),"✖ العدد يجب أن يكون صحيحًا ≥ 0",IF(AND($F4336="Baseline",$H4336&lt;&gt;""),"⚠ Baseline: Start لا يدخل في التقدم",IF($K4336="No Start (attainment only)","ℹ تحصيل فقط (بدون Start)",IF($K4336="U – needs rule","ℹ حالة U تحتاج قاعدة معتمدة",IF($K4336="No result","ℹ بدون نتيجة (يُستبعد من التحصيل)","OK")))))))))))</f>
        <v/>
      </c>
      <c r="M4336" s="64" t="n">
        <f aca="false">IF($A4336="",0,IFERROR(MATCH($A4336,Classes!$A$6:$A$420,0),0))</f>
        <v>0</v>
      </c>
      <c r="N4336" s="64" t="n">
        <f aca="false">IF($H4336="",0,IFERROR(MATCH($H4336,GradeList,0),0))</f>
        <v>0</v>
      </c>
      <c r="O4336" s="64" t="n">
        <f aca="false">IF(OR($I4336="",$I4336="NR"),0,IFERROR(MATCH($I4336,GradeList,0),0))</f>
        <v>0</v>
      </c>
      <c r="P4336" s="64" t="n">
        <f aca="false">IF(AND($M4336&gt;0,ISNUMBER(MATCH($F4336,Lists!$A$2:$A$5,0)),ISNUMBER(MATCH($G4336,Lists!$B$2:$B$7,0)),OR($H4336="",$N4336&gt;0),OR($I4336="",$I4336="NR",$O4336&gt;0),IF(ISNUMBER($J4336),AND($J4336&gt;=0,$J4336=INT($J4336)),FALSE())),$J4336,0)</f>
        <v>0</v>
      </c>
      <c r="Q4336" s="64" t="n">
        <f aca="false">IF(AND($P4336&gt;0,$O4336&gt;0),$P4336,0)</f>
        <v>0</v>
      </c>
      <c r="R4336" s="64" t="n">
        <f aca="false">IF(AND($Q4336&gt;0,$O4336&gt;=AtRank),$Q4336,0)</f>
        <v>0</v>
      </c>
      <c r="S4336" s="64" t="n">
        <f aca="false">IF(AND($Q4336&gt;0,$O4336&gt;=AboveRank),$Q4336,0)</f>
        <v>0</v>
      </c>
      <c r="T4336" s="64" t="n">
        <f aca="false">IF($K4336="Less",$P4336,0)</f>
        <v>0</v>
      </c>
      <c r="U4336" s="64" t="n">
        <f aca="false">IF($K4336="Expected",$P4336,0)</f>
        <v>0</v>
      </c>
      <c r="V4336" s="64" t="n">
        <f aca="false">IF($K4336="Better",$P4336,0)</f>
        <v>0</v>
      </c>
      <c r="W4336" s="64" t="n">
        <f aca="false">IF($K4336="U – needs rule",$P4336,0)</f>
        <v>0</v>
      </c>
      <c r="X4336" s="64" t="n">
        <f aca="false">IF($K4336="No Start (attainment only)",$P4336,0)</f>
        <v>0</v>
      </c>
    </row>
    <row r="4337" customFormat="false" ht="15" hidden="false" customHeight="false" outlineLevel="0" collapsed="false">
      <c r="A4337" s="60"/>
      <c r="B4337" s="61" t="str">
        <f aca="false">IF($M4337=0,"",INDEX(Classes!$E$6:$E$420,$M4337))</f>
        <v/>
      </c>
      <c r="C4337" s="62" t="str">
        <f aca="false">IF($M4337=0,"",INDEX(Classes!$H$6:$H$420,$M4337))</f>
        <v/>
      </c>
      <c r="D4337" s="61" t="str">
        <f aca="false">IF($M4337=0,"",INDEX(Classes!$B$6:$B$420,$M4337))</f>
        <v/>
      </c>
      <c r="E4337" s="61" t="str">
        <f aca="false">IF($M4337=0,"",INDEX(Classes!$C$6:$C$420,$M4337))</f>
        <v/>
      </c>
      <c r="F4337" s="63"/>
      <c r="G4337" s="63"/>
      <c r="H4337" s="60"/>
      <c r="I4337" s="60"/>
      <c r="J4337" s="63"/>
      <c r="K4337" s="61" t="str">
        <f aca="false">IF($P4337=0,"",IF($F4337="Baseline","— Baseline",IF($O4337=0,"No result",IF($N4337=0,"No Start (attainment only)",IF(OR($N4337=1,$O4337=1),"U – needs rule",INDEX(MxBody,MATCH($I4337,MxCurr,0),MATCH($H4337,MxStart,0)))))))</f>
        <v/>
      </c>
      <c r="L4337" s="62" t="str">
        <f aca="false">IF(COUNTA($A4337,$F4337,$G4337,$H4337,$I4337,$J4337)=0,"",IF($M4337=0,"✖ كود الصف غير موجود",IF(ISNA(MATCH($F4337,Lists!$A$2:$A$5,0)),"✖ الفترة غير صحيحة",IF(ISNA(MATCH($G4337,Lists!$B$2:$B$7,0)),"✖ المجموعة غير صحيحة",IF(NOT(OR($H4337="",$N4337&gt;0)),"✖ Start غير صحيح",IF(NOT(OR($I4337="",$I4337="NR",$O4337&gt;0)),"✖ Current غير صحيح",IF(NOT(IF(ISNUMBER($J4337),AND($J4337&gt;=0,$J4337=INT($J4337)),FALSE())),"✖ العدد يجب أن يكون صحيحًا ≥ 0",IF(AND($F4337="Baseline",$H4337&lt;&gt;""),"⚠ Baseline: Start لا يدخل في التقدم",IF($K4337="No Start (attainment only)","ℹ تحصيل فقط (بدون Start)",IF($K4337="U – needs rule","ℹ حالة U تحتاج قاعدة معتمدة",IF($K4337="No result","ℹ بدون نتيجة (يُستبعد من التحصيل)","OK")))))))))))</f>
        <v/>
      </c>
      <c r="M4337" s="64" t="n">
        <f aca="false">IF($A4337="",0,IFERROR(MATCH($A4337,Classes!$A$6:$A$420,0),0))</f>
        <v>0</v>
      </c>
      <c r="N4337" s="64" t="n">
        <f aca="false">IF($H4337="",0,IFERROR(MATCH($H4337,GradeList,0),0))</f>
        <v>0</v>
      </c>
      <c r="O4337" s="64" t="n">
        <f aca="false">IF(OR($I4337="",$I4337="NR"),0,IFERROR(MATCH($I4337,GradeList,0),0))</f>
        <v>0</v>
      </c>
      <c r="P4337" s="64" t="n">
        <f aca="false">IF(AND($M4337&gt;0,ISNUMBER(MATCH($F4337,Lists!$A$2:$A$5,0)),ISNUMBER(MATCH($G4337,Lists!$B$2:$B$7,0)),OR($H4337="",$N4337&gt;0),OR($I4337="",$I4337="NR",$O4337&gt;0),IF(ISNUMBER($J4337),AND($J4337&gt;=0,$J4337=INT($J4337)),FALSE())),$J4337,0)</f>
        <v>0</v>
      </c>
      <c r="Q4337" s="64" t="n">
        <f aca="false">IF(AND($P4337&gt;0,$O4337&gt;0),$P4337,0)</f>
        <v>0</v>
      </c>
      <c r="R4337" s="64" t="n">
        <f aca="false">IF(AND($Q4337&gt;0,$O4337&gt;=AtRank),$Q4337,0)</f>
        <v>0</v>
      </c>
      <c r="S4337" s="64" t="n">
        <f aca="false">IF(AND($Q4337&gt;0,$O4337&gt;=AboveRank),$Q4337,0)</f>
        <v>0</v>
      </c>
      <c r="T4337" s="64" t="n">
        <f aca="false">IF($K4337="Less",$P4337,0)</f>
        <v>0</v>
      </c>
      <c r="U4337" s="64" t="n">
        <f aca="false">IF($K4337="Expected",$P4337,0)</f>
        <v>0</v>
      </c>
      <c r="V4337" s="64" t="n">
        <f aca="false">IF($K4337="Better",$P4337,0)</f>
        <v>0</v>
      </c>
      <c r="W4337" s="64" t="n">
        <f aca="false">IF($K4337="U – needs rule",$P4337,0)</f>
        <v>0</v>
      </c>
      <c r="X4337" s="64" t="n">
        <f aca="false">IF($K4337="No Start (attainment only)",$P4337,0)</f>
        <v>0</v>
      </c>
    </row>
    <row r="4338" customFormat="false" ht="15" hidden="false" customHeight="false" outlineLevel="0" collapsed="false">
      <c r="A4338" s="60"/>
      <c r="B4338" s="61" t="str">
        <f aca="false">IF($M4338=0,"",INDEX(Classes!$E$6:$E$420,$M4338))</f>
        <v/>
      </c>
      <c r="C4338" s="62" t="str">
        <f aca="false">IF($M4338=0,"",INDEX(Classes!$H$6:$H$420,$M4338))</f>
        <v/>
      </c>
      <c r="D4338" s="61" t="str">
        <f aca="false">IF($M4338=0,"",INDEX(Classes!$B$6:$B$420,$M4338))</f>
        <v/>
      </c>
      <c r="E4338" s="61" t="str">
        <f aca="false">IF($M4338=0,"",INDEX(Classes!$C$6:$C$420,$M4338))</f>
        <v/>
      </c>
      <c r="F4338" s="63"/>
      <c r="G4338" s="63"/>
      <c r="H4338" s="60"/>
      <c r="I4338" s="60"/>
      <c r="J4338" s="63"/>
      <c r="K4338" s="61" t="str">
        <f aca="false">IF($P4338=0,"",IF($F4338="Baseline","— Baseline",IF($O4338=0,"No result",IF($N4338=0,"No Start (attainment only)",IF(OR($N4338=1,$O4338=1),"U – needs rule",INDEX(MxBody,MATCH($I4338,MxCurr,0),MATCH($H4338,MxStart,0)))))))</f>
        <v/>
      </c>
      <c r="L4338" s="62" t="str">
        <f aca="false">IF(COUNTA($A4338,$F4338,$G4338,$H4338,$I4338,$J4338)=0,"",IF($M4338=0,"✖ كود الصف غير موجود",IF(ISNA(MATCH($F4338,Lists!$A$2:$A$5,0)),"✖ الفترة غير صحيحة",IF(ISNA(MATCH($G4338,Lists!$B$2:$B$7,0)),"✖ المجموعة غير صحيحة",IF(NOT(OR($H4338="",$N4338&gt;0)),"✖ Start غير صحيح",IF(NOT(OR($I4338="",$I4338="NR",$O4338&gt;0)),"✖ Current غير صحيح",IF(NOT(IF(ISNUMBER($J4338),AND($J4338&gt;=0,$J4338=INT($J4338)),FALSE())),"✖ العدد يجب أن يكون صحيحًا ≥ 0",IF(AND($F4338="Baseline",$H4338&lt;&gt;""),"⚠ Baseline: Start لا يدخل في التقدم",IF($K4338="No Start (attainment only)","ℹ تحصيل فقط (بدون Start)",IF($K4338="U – needs rule","ℹ حالة U تحتاج قاعدة معتمدة",IF($K4338="No result","ℹ بدون نتيجة (يُستبعد من التحصيل)","OK")))))))))))</f>
        <v/>
      </c>
      <c r="M4338" s="64" t="n">
        <f aca="false">IF($A4338="",0,IFERROR(MATCH($A4338,Classes!$A$6:$A$420,0),0))</f>
        <v>0</v>
      </c>
      <c r="N4338" s="64" t="n">
        <f aca="false">IF($H4338="",0,IFERROR(MATCH($H4338,GradeList,0),0))</f>
        <v>0</v>
      </c>
      <c r="O4338" s="64" t="n">
        <f aca="false">IF(OR($I4338="",$I4338="NR"),0,IFERROR(MATCH($I4338,GradeList,0),0))</f>
        <v>0</v>
      </c>
      <c r="P4338" s="64" t="n">
        <f aca="false">IF(AND($M4338&gt;0,ISNUMBER(MATCH($F4338,Lists!$A$2:$A$5,0)),ISNUMBER(MATCH($G4338,Lists!$B$2:$B$7,0)),OR($H4338="",$N4338&gt;0),OR($I4338="",$I4338="NR",$O4338&gt;0),IF(ISNUMBER($J4338),AND($J4338&gt;=0,$J4338=INT($J4338)),FALSE())),$J4338,0)</f>
        <v>0</v>
      </c>
      <c r="Q4338" s="64" t="n">
        <f aca="false">IF(AND($P4338&gt;0,$O4338&gt;0),$P4338,0)</f>
        <v>0</v>
      </c>
      <c r="R4338" s="64" t="n">
        <f aca="false">IF(AND($Q4338&gt;0,$O4338&gt;=AtRank),$Q4338,0)</f>
        <v>0</v>
      </c>
      <c r="S4338" s="64" t="n">
        <f aca="false">IF(AND($Q4338&gt;0,$O4338&gt;=AboveRank),$Q4338,0)</f>
        <v>0</v>
      </c>
      <c r="T4338" s="64" t="n">
        <f aca="false">IF($K4338="Less",$P4338,0)</f>
        <v>0</v>
      </c>
      <c r="U4338" s="64" t="n">
        <f aca="false">IF($K4338="Expected",$P4338,0)</f>
        <v>0</v>
      </c>
      <c r="V4338" s="64" t="n">
        <f aca="false">IF($K4338="Better",$P4338,0)</f>
        <v>0</v>
      </c>
      <c r="W4338" s="64" t="n">
        <f aca="false">IF($K4338="U – needs rule",$P4338,0)</f>
        <v>0</v>
      </c>
      <c r="X4338" s="64" t="n">
        <f aca="false">IF($K4338="No Start (attainment only)",$P4338,0)</f>
        <v>0</v>
      </c>
    </row>
    <row r="4339" customFormat="false" ht="15" hidden="false" customHeight="false" outlineLevel="0" collapsed="false">
      <c r="A4339" s="60"/>
      <c r="B4339" s="61" t="str">
        <f aca="false">IF($M4339=0,"",INDEX(Classes!$E$6:$E$420,$M4339))</f>
        <v/>
      </c>
      <c r="C4339" s="62" t="str">
        <f aca="false">IF($M4339=0,"",INDEX(Classes!$H$6:$H$420,$M4339))</f>
        <v/>
      </c>
      <c r="D4339" s="61" t="str">
        <f aca="false">IF($M4339=0,"",INDEX(Classes!$B$6:$B$420,$M4339))</f>
        <v/>
      </c>
      <c r="E4339" s="61" t="str">
        <f aca="false">IF($M4339=0,"",INDEX(Classes!$C$6:$C$420,$M4339))</f>
        <v/>
      </c>
      <c r="F4339" s="63"/>
      <c r="G4339" s="63"/>
      <c r="H4339" s="60"/>
      <c r="I4339" s="60"/>
      <c r="J4339" s="63"/>
      <c r="K4339" s="61" t="str">
        <f aca="false">IF($P4339=0,"",IF($F4339="Baseline","— Baseline",IF($O4339=0,"No result",IF($N4339=0,"No Start (attainment only)",IF(OR($N4339=1,$O4339=1),"U – needs rule",INDEX(MxBody,MATCH($I4339,MxCurr,0),MATCH($H4339,MxStart,0)))))))</f>
        <v/>
      </c>
      <c r="L4339" s="62" t="str">
        <f aca="false">IF(COUNTA($A4339,$F4339,$G4339,$H4339,$I4339,$J4339)=0,"",IF($M4339=0,"✖ كود الصف غير موجود",IF(ISNA(MATCH($F4339,Lists!$A$2:$A$5,0)),"✖ الفترة غير صحيحة",IF(ISNA(MATCH($G4339,Lists!$B$2:$B$7,0)),"✖ المجموعة غير صحيحة",IF(NOT(OR($H4339="",$N4339&gt;0)),"✖ Start غير صحيح",IF(NOT(OR($I4339="",$I4339="NR",$O4339&gt;0)),"✖ Current غير صحيح",IF(NOT(IF(ISNUMBER($J4339),AND($J4339&gt;=0,$J4339=INT($J4339)),FALSE())),"✖ العدد يجب أن يكون صحيحًا ≥ 0",IF(AND($F4339="Baseline",$H4339&lt;&gt;""),"⚠ Baseline: Start لا يدخل في التقدم",IF($K4339="No Start (attainment only)","ℹ تحصيل فقط (بدون Start)",IF($K4339="U – needs rule","ℹ حالة U تحتاج قاعدة معتمدة",IF($K4339="No result","ℹ بدون نتيجة (يُستبعد من التحصيل)","OK")))))))))))</f>
        <v/>
      </c>
      <c r="M4339" s="64" t="n">
        <f aca="false">IF($A4339="",0,IFERROR(MATCH($A4339,Classes!$A$6:$A$420,0),0))</f>
        <v>0</v>
      </c>
      <c r="N4339" s="64" t="n">
        <f aca="false">IF($H4339="",0,IFERROR(MATCH($H4339,GradeList,0),0))</f>
        <v>0</v>
      </c>
      <c r="O4339" s="64" t="n">
        <f aca="false">IF(OR($I4339="",$I4339="NR"),0,IFERROR(MATCH($I4339,GradeList,0),0))</f>
        <v>0</v>
      </c>
      <c r="P4339" s="64" t="n">
        <f aca="false">IF(AND($M4339&gt;0,ISNUMBER(MATCH($F4339,Lists!$A$2:$A$5,0)),ISNUMBER(MATCH($G4339,Lists!$B$2:$B$7,0)),OR($H4339="",$N4339&gt;0),OR($I4339="",$I4339="NR",$O4339&gt;0),IF(ISNUMBER($J4339),AND($J4339&gt;=0,$J4339=INT($J4339)),FALSE())),$J4339,0)</f>
        <v>0</v>
      </c>
      <c r="Q4339" s="64" t="n">
        <f aca="false">IF(AND($P4339&gt;0,$O4339&gt;0),$P4339,0)</f>
        <v>0</v>
      </c>
      <c r="R4339" s="64" t="n">
        <f aca="false">IF(AND($Q4339&gt;0,$O4339&gt;=AtRank),$Q4339,0)</f>
        <v>0</v>
      </c>
      <c r="S4339" s="64" t="n">
        <f aca="false">IF(AND($Q4339&gt;0,$O4339&gt;=AboveRank),$Q4339,0)</f>
        <v>0</v>
      </c>
      <c r="T4339" s="64" t="n">
        <f aca="false">IF($K4339="Less",$P4339,0)</f>
        <v>0</v>
      </c>
      <c r="U4339" s="64" t="n">
        <f aca="false">IF($K4339="Expected",$P4339,0)</f>
        <v>0</v>
      </c>
      <c r="V4339" s="64" t="n">
        <f aca="false">IF($K4339="Better",$P4339,0)</f>
        <v>0</v>
      </c>
      <c r="W4339" s="64" t="n">
        <f aca="false">IF($K4339="U – needs rule",$P4339,0)</f>
        <v>0</v>
      </c>
      <c r="X4339" s="64" t="n">
        <f aca="false">IF($K4339="No Start (attainment only)",$P4339,0)</f>
        <v>0</v>
      </c>
    </row>
    <row r="4340" customFormat="false" ht="15" hidden="false" customHeight="false" outlineLevel="0" collapsed="false">
      <c r="A4340" s="60"/>
      <c r="B4340" s="61" t="str">
        <f aca="false">IF($M4340=0,"",INDEX(Classes!$E$6:$E$420,$M4340))</f>
        <v/>
      </c>
      <c r="C4340" s="62" t="str">
        <f aca="false">IF($M4340=0,"",INDEX(Classes!$H$6:$H$420,$M4340))</f>
        <v/>
      </c>
      <c r="D4340" s="61" t="str">
        <f aca="false">IF($M4340=0,"",INDEX(Classes!$B$6:$B$420,$M4340))</f>
        <v/>
      </c>
      <c r="E4340" s="61" t="str">
        <f aca="false">IF($M4340=0,"",INDEX(Classes!$C$6:$C$420,$M4340))</f>
        <v/>
      </c>
      <c r="F4340" s="63"/>
      <c r="G4340" s="63"/>
      <c r="H4340" s="60"/>
      <c r="I4340" s="60"/>
      <c r="J4340" s="63"/>
      <c r="K4340" s="61" t="str">
        <f aca="false">IF($P4340=0,"",IF($F4340="Baseline","— Baseline",IF($O4340=0,"No result",IF($N4340=0,"No Start (attainment only)",IF(OR($N4340=1,$O4340=1),"U – needs rule",INDEX(MxBody,MATCH($I4340,MxCurr,0),MATCH($H4340,MxStart,0)))))))</f>
        <v/>
      </c>
      <c r="L4340" s="62" t="str">
        <f aca="false">IF(COUNTA($A4340,$F4340,$G4340,$H4340,$I4340,$J4340)=0,"",IF($M4340=0,"✖ كود الصف غير موجود",IF(ISNA(MATCH($F4340,Lists!$A$2:$A$5,0)),"✖ الفترة غير صحيحة",IF(ISNA(MATCH($G4340,Lists!$B$2:$B$7,0)),"✖ المجموعة غير صحيحة",IF(NOT(OR($H4340="",$N4340&gt;0)),"✖ Start غير صحيح",IF(NOT(OR($I4340="",$I4340="NR",$O4340&gt;0)),"✖ Current غير صحيح",IF(NOT(IF(ISNUMBER($J4340),AND($J4340&gt;=0,$J4340=INT($J4340)),FALSE())),"✖ العدد يجب أن يكون صحيحًا ≥ 0",IF(AND($F4340="Baseline",$H4340&lt;&gt;""),"⚠ Baseline: Start لا يدخل في التقدم",IF($K4340="No Start (attainment only)","ℹ تحصيل فقط (بدون Start)",IF($K4340="U – needs rule","ℹ حالة U تحتاج قاعدة معتمدة",IF($K4340="No result","ℹ بدون نتيجة (يُستبعد من التحصيل)","OK")))))))))))</f>
        <v/>
      </c>
      <c r="M4340" s="64" t="n">
        <f aca="false">IF($A4340="",0,IFERROR(MATCH($A4340,Classes!$A$6:$A$420,0),0))</f>
        <v>0</v>
      </c>
      <c r="N4340" s="64" t="n">
        <f aca="false">IF($H4340="",0,IFERROR(MATCH($H4340,GradeList,0),0))</f>
        <v>0</v>
      </c>
      <c r="O4340" s="64" t="n">
        <f aca="false">IF(OR($I4340="",$I4340="NR"),0,IFERROR(MATCH($I4340,GradeList,0),0))</f>
        <v>0</v>
      </c>
      <c r="P4340" s="64" t="n">
        <f aca="false">IF(AND($M4340&gt;0,ISNUMBER(MATCH($F4340,Lists!$A$2:$A$5,0)),ISNUMBER(MATCH($G4340,Lists!$B$2:$B$7,0)),OR($H4340="",$N4340&gt;0),OR($I4340="",$I4340="NR",$O4340&gt;0),IF(ISNUMBER($J4340),AND($J4340&gt;=0,$J4340=INT($J4340)),FALSE())),$J4340,0)</f>
        <v>0</v>
      </c>
      <c r="Q4340" s="64" t="n">
        <f aca="false">IF(AND($P4340&gt;0,$O4340&gt;0),$P4340,0)</f>
        <v>0</v>
      </c>
      <c r="R4340" s="64" t="n">
        <f aca="false">IF(AND($Q4340&gt;0,$O4340&gt;=AtRank),$Q4340,0)</f>
        <v>0</v>
      </c>
      <c r="S4340" s="64" t="n">
        <f aca="false">IF(AND($Q4340&gt;0,$O4340&gt;=AboveRank),$Q4340,0)</f>
        <v>0</v>
      </c>
      <c r="T4340" s="64" t="n">
        <f aca="false">IF($K4340="Less",$P4340,0)</f>
        <v>0</v>
      </c>
      <c r="U4340" s="64" t="n">
        <f aca="false">IF($K4340="Expected",$P4340,0)</f>
        <v>0</v>
      </c>
      <c r="V4340" s="64" t="n">
        <f aca="false">IF($K4340="Better",$P4340,0)</f>
        <v>0</v>
      </c>
      <c r="W4340" s="64" t="n">
        <f aca="false">IF($K4340="U – needs rule",$P4340,0)</f>
        <v>0</v>
      </c>
      <c r="X4340" s="64" t="n">
        <f aca="false">IF($K4340="No Start (attainment only)",$P4340,0)</f>
        <v>0</v>
      </c>
    </row>
    <row r="4341" customFormat="false" ht="15" hidden="false" customHeight="false" outlineLevel="0" collapsed="false">
      <c r="A4341" s="60"/>
      <c r="B4341" s="61" t="str">
        <f aca="false">IF($M4341=0,"",INDEX(Classes!$E$6:$E$420,$M4341))</f>
        <v/>
      </c>
      <c r="C4341" s="62" t="str">
        <f aca="false">IF($M4341=0,"",INDEX(Classes!$H$6:$H$420,$M4341))</f>
        <v/>
      </c>
      <c r="D4341" s="61" t="str">
        <f aca="false">IF($M4341=0,"",INDEX(Classes!$B$6:$B$420,$M4341))</f>
        <v/>
      </c>
      <c r="E4341" s="61" t="str">
        <f aca="false">IF($M4341=0,"",INDEX(Classes!$C$6:$C$420,$M4341))</f>
        <v/>
      </c>
      <c r="F4341" s="63"/>
      <c r="G4341" s="63"/>
      <c r="H4341" s="60"/>
      <c r="I4341" s="60"/>
      <c r="J4341" s="63"/>
      <c r="K4341" s="61" t="str">
        <f aca="false">IF($P4341=0,"",IF($F4341="Baseline","— Baseline",IF($O4341=0,"No result",IF($N4341=0,"No Start (attainment only)",IF(OR($N4341=1,$O4341=1),"U – needs rule",INDEX(MxBody,MATCH($I4341,MxCurr,0),MATCH($H4341,MxStart,0)))))))</f>
        <v/>
      </c>
      <c r="L4341" s="62" t="str">
        <f aca="false">IF(COUNTA($A4341,$F4341,$G4341,$H4341,$I4341,$J4341)=0,"",IF($M4341=0,"✖ كود الصف غير موجود",IF(ISNA(MATCH($F4341,Lists!$A$2:$A$5,0)),"✖ الفترة غير صحيحة",IF(ISNA(MATCH($G4341,Lists!$B$2:$B$7,0)),"✖ المجموعة غير صحيحة",IF(NOT(OR($H4341="",$N4341&gt;0)),"✖ Start غير صحيح",IF(NOT(OR($I4341="",$I4341="NR",$O4341&gt;0)),"✖ Current غير صحيح",IF(NOT(IF(ISNUMBER($J4341),AND($J4341&gt;=0,$J4341=INT($J4341)),FALSE())),"✖ العدد يجب أن يكون صحيحًا ≥ 0",IF(AND($F4341="Baseline",$H4341&lt;&gt;""),"⚠ Baseline: Start لا يدخل في التقدم",IF($K4341="No Start (attainment only)","ℹ تحصيل فقط (بدون Start)",IF($K4341="U – needs rule","ℹ حالة U تحتاج قاعدة معتمدة",IF($K4341="No result","ℹ بدون نتيجة (يُستبعد من التحصيل)","OK")))))))))))</f>
        <v/>
      </c>
      <c r="M4341" s="64" t="n">
        <f aca="false">IF($A4341="",0,IFERROR(MATCH($A4341,Classes!$A$6:$A$420,0),0))</f>
        <v>0</v>
      </c>
      <c r="N4341" s="64" t="n">
        <f aca="false">IF($H4341="",0,IFERROR(MATCH($H4341,GradeList,0),0))</f>
        <v>0</v>
      </c>
      <c r="O4341" s="64" t="n">
        <f aca="false">IF(OR($I4341="",$I4341="NR"),0,IFERROR(MATCH($I4341,GradeList,0),0))</f>
        <v>0</v>
      </c>
      <c r="P4341" s="64" t="n">
        <f aca="false">IF(AND($M4341&gt;0,ISNUMBER(MATCH($F4341,Lists!$A$2:$A$5,0)),ISNUMBER(MATCH($G4341,Lists!$B$2:$B$7,0)),OR($H4341="",$N4341&gt;0),OR($I4341="",$I4341="NR",$O4341&gt;0),IF(ISNUMBER($J4341),AND($J4341&gt;=0,$J4341=INT($J4341)),FALSE())),$J4341,0)</f>
        <v>0</v>
      </c>
      <c r="Q4341" s="64" t="n">
        <f aca="false">IF(AND($P4341&gt;0,$O4341&gt;0),$P4341,0)</f>
        <v>0</v>
      </c>
      <c r="R4341" s="64" t="n">
        <f aca="false">IF(AND($Q4341&gt;0,$O4341&gt;=AtRank),$Q4341,0)</f>
        <v>0</v>
      </c>
      <c r="S4341" s="64" t="n">
        <f aca="false">IF(AND($Q4341&gt;0,$O4341&gt;=AboveRank),$Q4341,0)</f>
        <v>0</v>
      </c>
      <c r="T4341" s="64" t="n">
        <f aca="false">IF($K4341="Less",$P4341,0)</f>
        <v>0</v>
      </c>
      <c r="U4341" s="64" t="n">
        <f aca="false">IF($K4341="Expected",$P4341,0)</f>
        <v>0</v>
      </c>
      <c r="V4341" s="64" t="n">
        <f aca="false">IF($K4341="Better",$P4341,0)</f>
        <v>0</v>
      </c>
      <c r="W4341" s="64" t="n">
        <f aca="false">IF($K4341="U – needs rule",$P4341,0)</f>
        <v>0</v>
      </c>
      <c r="X4341" s="64" t="n">
        <f aca="false">IF($K4341="No Start (attainment only)",$P4341,0)</f>
        <v>0</v>
      </c>
    </row>
    <row r="4342" customFormat="false" ht="15" hidden="false" customHeight="false" outlineLevel="0" collapsed="false">
      <c r="A4342" s="60"/>
      <c r="B4342" s="61" t="str">
        <f aca="false">IF($M4342=0,"",INDEX(Classes!$E$6:$E$420,$M4342))</f>
        <v/>
      </c>
      <c r="C4342" s="62" t="str">
        <f aca="false">IF($M4342=0,"",INDEX(Classes!$H$6:$H$420,$M4342))</f>
        <v/>
      </c>
      <c r="D4342" s="61" t="str">
        <f aca="false">IF($M4342=0,"",INDEX(Classes!$B$6:$B$420,$M4342))</f>
        <v/>
      </c>
      <c r="E4342" s="61" t="str">
        <f aca="false">IF($M4342=0,"",INDEX(Classes!$C$6:$C$420,$M4342))</f>
        <v/>
      </c>
      <c r="F4342" s="63"/>
      <c r="G4342" s="63"/>
      <c r="H4342" s="60"/>
      <c r="I4342" s="60"/>
      <c r="J4342" s="63"/>
      <c r="K4342" s="61" t="str">
        <f aca="false">IF($P4342=0,"",IF($F4342="Baseline","— Baseline",IF($O4342=0,"No result",IF($N4342=0,"No Start (attainment only)",IF(OR($N4342=1,$O4342=1),"U – needs rule",INDEX(MxBody,MATCH($I4342,MxCurr,0),MATCH($H4342,MxStart,0)))))))</f>
        <v/>
      </c>
      <c r="L4342" s="62" t="str">
        <f aca="false">IF(COUNTA($A4342,$F4342,$G4342,$H4342,$I4342,$J4342)=0,"",IF($M4342=0,"✖ كود الصف غير موجود",IF(ISNA(MATCH($F4342,Lists!$A$2:$A$5,0)),"✖ الفترة غير صحيحة",IF(ISNA(MATCH($G4342,Lists!$B$2:$B$7,0)),"✖ المجموعة غير صحيحة",IF(NOT(OR($H4342="",$N4342&gt;0)),"✖ Start غير صحيح",IF(NOT(OR($I4342="",$I4342="NR",$O4342&gt;0)),"✖ Current غير صحيح",IF(NOT(IF(ISNUMBER($J4342),AND($J4342&gt;=0,$J4342=INT($J4342)),FALSE())),"✖ العدد يجب أن يكون صحيحًا ≥ 0",IF(AND($F4342="Baseline",$H4342&lt;&gt;""),"⚠ Baseline: Start لا يدخل في التقدم",IF($K4342="No Start (attainment only)","ℹ تحصيل فقط (بدون Start)",IF($K4342="U – needs rule","ℹ حالة U تحتاج قاعدة معتمدة",IF($K4342="No result","ℹ بدون نتيجة (يُستبعد من التحصيل)","OK")))))))))))</f>
        <v/>
      </c>
      <c r="M4342" s="64" t="n">
        <f aca="false">IF($A4342="",0,IFERROR(MATCH($A4342,Classes!$A$6:$A$420,0),0))</f>
        <v>0</v>
      </c>
      <c r="N4342" s="64" t="n">
        <f aca="false">IF($H4342="",0,IFERROR(MATCH($H4342,GradeList,0),0))</f>
        <v>0</v>
      </c>
      <c r="O4342" s="64" t="n">
        <f aca="false">IF(OR($I4342="",$I4342="NR"),0,IFERROR(MATCH($I4342,GradeList,0),0))</f>
        <v>0</v>
      </c>
      <c r="P4342" s="64" t="n">
        <f aca="false">IF(AND($M4342&gt;0,ISNUMBER(MATCH($F4342,Lists!$A$2:$A$5,0)),ISNUMBER(MATCH($G4342,Lists!$B$2:$B$7,0)),OR($H4342="",$N4342&gt;0),OR($I4342="",$I4342="NR",$O4342&gt;0),IF(ISNUMBER($J4342),AND($J4342&gt;=0,$J4342=INT($J4342)),FALSE())),$J4342,0)</f>
        <v>0</v>
      </c>
      <c r="Q4342" s="64" t="n">
        <f aca="false">IF(AND($P4342&gt;0,$O4342&gt;0),$P4342,0)</f>
        <v>0</v>
      </c>
      <c r="R4342" s="64" t="n">
        <f aca="false">IF(AND($Q4342&gt;0,$O4342&gt;=AtRank),$Q4342,0)</f>
        <v>0</v>
      </c>
      <c r="S4342" s="64" t="n">
        <f aca="false">IF(AND($Q4342&gt;0,$O4342&gt;=AboveRank),$Q4342,0)</f>
        <v>0</v>
      </c>
      <c r="T4342" s="64" t="n">
        <f aca="false">IF($K4342="Less",$P4342,0)</f>
        <v>0</v>
      </c>
      <c r="U4342" s="64" t="n">
        <f aca="false">IF($K4342="Expected",$P4342,0)</f>
        <v>0</v>
      </c>
      <c r="V4342" s="64" t="n">
        <f aca="false">IF($K4342="Better",$P4342,0)</f>
        <v>0</v>
      </c>
      <c r="W4342" s="64" t="n">
        <f aca="false">IF($K4342="U – needs rule",$P4342,0)</f>
        <v>0</v>
      </c>
      <c r="X4342" s="64" t="n">
        <f aca="false">IF($K4342="No Start (attainment only)",$P4342,0)</f>
        <v>0</v>
      </c>
    </row>
    <row r="4343" customFormat="false" ht="15" hidden="false" customHeight="false" outlineLevel="0" collapsed="false">
      <c r="A4343" s="60"/>
      <c r="B4343" s="61" t="str">
        <f aca="false">IF($M4343=0,"",INDEX(Classes!$E$6:$E$420,$M4343))</f>
        <v/>
      </c>
      <c r="C4343" s="62" t="str">
        <f aca="false">IF($M4343=0,"",INDEX(Classes!$H$6:$H$420,$M4343))</f>
        <v/>
      </c>
      <c r="D4343" s="61" t="str">
        <f aca="false">IF($M4343=0,"",INDEX(Classes!$B$6:$B$420,$M4343))</f>
        <v/>
      </c>
      <c r="E4343" s="61" t="str">
        <f aca="false">IF($M4343=0,"",INDEX(Classes!$C$6:$C$420,$M4343))</f>
        <v/>
      </c>
      <c r="F4343" s="63"/>
      <c r="G4343" s="63"/>
      <c r="H4343" s="60"/>
      <c r="I4343" s="60"/>
      <c r="J4343" s="63"/>
      <c r="K4343" s="61" t="str">
        <f aca="false">IF($P4343=0,"",IF($F4343="Baseline","— Baseline",IF($O4343=0,"No result",IF($N4343=0,"No Start (attainment only)",IF(OR($N4343=1,$O4343=1),"U – needs rule",INDEX(MxBody,MATCH($I4343,MxCurr,0),MATCH($H4343,MxStart,0)))))))</f>
        <v/>
      </c>
      <c r="L4343" s="62" t="str">
        <f aca="false">IF(COUNTA($A4343,$F4343,$G4343,$H4343,$I4343,$J4343)=0,"",IF($M4343=0,"✖ كود الصف غير موجود",IF(ISNA(MATCH($F4343,Lists!$A$2:$A$5,0)),"✖ الفترة غير صحيحة",IF(ISNA(MATCH($G4343,Lists!$B$2:$B$7,0)),"✖ المجموعة غير صحيحة",IF(NOT(OR($H4343="",$N4343&gt;0)),"✖ Start غير صحيح",IF(NOT(OR($I4343="",$I4343="NR",$O4343&gt;0)),"✖ Current غير صحيح",IF(NOT(IF(ISNUMBER($J4343),AND($J4343&gt;=0,$J4343=INT($J4343)),FALSE())),"✖ العدد يجب أن يكون صحيحًا ≥ 0",IF(AND($F4343="Baseline",$H4343&lt;&gt;""),"⚠ Baseline: Start لا يدخل في التقدم",IF($K4343="No Start (attainment only)","ℹ تحصيل فقط (بدون Start)",IF($K4343="U – needs rule","ℹ حالة U تحتاج قاعدة معتمدة",IF($K4343="No result","ℹ بدون نتيجة (يُستبعد من التحصيل)","OK")))))))))))</f>
        <v/>
      </c>
      <c r="M4343" s="64" t="n">
        <f aca="false">IF($A4343="",0,IFERROR(MATCH($A4343,Classes!$A$6:$A$420,0),0))</f>
        <v>0</v>
      </c>
      <c r="N4343" s="64" t="n">
        <f aca="false">IF($H4343="",0,IFERROR(MATCH($H4343,GradeList,0),0))</f>
        <v>0</v>
      </c>
      <c r="O4343" s="64" t="n">
        <f aca="false">IF(OR($I4343="",$I4343="NR"),0,IFERROR(MATCH($I4343,GradeList,0),0))</f>
        <v>0</v>
      </c>
      <c r="P4343" s="64" t="n">
        <f aca="false">IF(AND($M4343&gt;0,ISNUMBER(MATCH($F4343,Lists!$A$2:$A$5,0)),ISNUMBER(MATCH($G4343,Lists!$B$2:$B$7,0)),OR($H4343="",$N4343&gt;0),OR($I4343="",$I4343="NR",$O4343&gt;0),IF(ISNUMBER($J4343),AND($J4343&gt;=0,$J4343=INT($J4343)),FALSE())),$J4343,0)</f>
        <v>0</v>
      </c>
      <c r="Q4343" s="64" t="n">
        <f aca="false">IF(AND($P4343&gt;0,$O4343&gt;0),$P4343,0)</f>
        <v>0</v>
      </c>
      <c r="R4343" s="64" t="n">
        <f aca="false">IF(AND($Q4343&gt;0,$O4343&gt;=AtRank),$Q4343,0)</f>
        <v>0</v>
      </c>
      <c r="S4343" s="64" t="n">
        <f aca="false">IF(AND($Q4343&gt;0,$O4343&gt;=AboveRank),$Q4343,0)</f>
        <v>0</v>
      </c>
      <c r="T4343" s="64" t="n">
        <f aca="false">IF($K4343="Less",$P4343,0)</f>
        <v>0</v>
      </c>
      <c r="U4343" s="64" t="n">
        <f aca="false">IF($K4343="Expected",$P4343,0)</f>
        <v>0</v>
      </c>
      <c r="V4343" s="64" t="n">
        <f aca="false">IF($K4343="Better",$P4343,0)</f>
        <v>0</v>
      </c>
      <c r="W4343" s="64" t="n">
        <f aca="false">IF($K4343="U – needs rule",$P4343,0)</f>
        <v>0</v>
      </c>
      <c r="X4343" s="64" t="n">
        <f aca="false">IF($K4343="No Start (attainment only)",$P4343,0)</f>
        <v>0</v>
      </c>
    </row>
    <row r="4344" customFormat="false" ht="15" hidden="false" customHeight="false" outlineLevel="0" collapsed="false">
      <c r="A4344" s="60"/>
      <c r="B4344" s="61" t="str">
        <f aca="false">IF($M4344=0,"",INDEX(Classes!$E$6:$E$420,$M4344))</f>
        <v/>
      </c>
      <c r="C4344" s="62" t="str">
        <f aca="false">IF($M4344=0,"",INDEX(Classes!$H$6:$H$420,$M4344))</f>
        <v/>
      </c>
      <c r="D4344" s="61" t="str">
        <f aca="false">IF($M4344=0,"",INDEX(Classes!$B$6:$B$420,$M4344))</f>
        <v/>
      </c>
      <c r="E4344" s="61" t="str">
        <f aca="false">IF($M4344=0,"",INDEX(Classes!$C$6:$C$420,$M4344))</f>
        <v/>
      </c>
      <c r="F4344" s="63"/>
      <c r="G4344" s="63"/>
      <c r="H4344" s="60"/>
      <c r="I4344" s="60"/>
      <c r="J4344" s="63"/>
      <c r="K4344" s="61" t="str">
        <f aca="false">IF($P4344=0,"",IF($F4344="Baseline","— Baseline",IF($O4344=0,"No result",IF($N4344=0,"No Start (attainment only)",IF(OR($N4344=1,$O4344=1),"U – needs rule",INDEX(MxBody,MATCH($I4344,MxCurr,0),MATCH($H4344,MxStart,0)))))))</f>
        <v/>
      </c>
      <c r="L4344" s="62" t="str">
        <f aca="false">IF(COUNTA($A4344,$F4344,$G4344,$H4344,$I4344,$J4344)=0,"",IF($M4344=0,"✖ كود الصف غير موجود",IF(ISNA(MATCH($F4344,Lists!$A$2:$A$5,0)),"✖ الفترة غير صحيحة",IF(ISNA(MATCH($G4344,Lists!$B$2:$B$7,0)),"✖ المجموعة غير صحيحة",IF(NOT(OR($H4344="",$N4344&gt;0)),"✖ Start غير صحيح",IF(NOT(OR($I4344="",$I4344="NR",$O4344&gt;0)),"✖ Current غير صحيح",IF(NOT(IF(ISNUMBER($J4344),AND($J4344&gt;=0,$J4344=INT($J4344)),FALSE())),"✖ العدد يجب أن يكون صحيحًا ≥ 0",IF(AND($F4344="Baseline",$H4344&lt;&gt;""),"⚠ Baseline: Start لا يدخل في التقدم",IF($K4344="No Start (attainment only)","ℹ تحصيل فقط (بدون Start)",IF($K4344="U – needs rule","ℹ حالة U تحتاج قاعدة معتمدة",IF($K4344="No result","ℹ بدون نتيجة (يُستبعد من التحصيل)","OK")))))))))))</f>
        <v/>
      </c>
      <c r="M4344" s="64" t="n">
        <f aca="false">IF($A4344="",0,IFERROR(MATCH($A4344,Classes!$A$6:$A$420,0),0))</f>
        <v>0</v>
      </c>
      <c r="N4344" s="64" t="n">
        <f aca="false">IF($H4344="",0,IFERROR(MATCH($H4344,GradeList,0),0))</f>
        <v>0</v>
      </c>
      <c r="O4344" s="64" t="n">
        <f aca="false">IF(OR($I4344="",$I4344="NR"),0,IFERROR(MATCH($I4344,GradeList,0),0))</f>
        <v>0</v>
      </c>
      <c r="P4344" s="64" t="n">
        <f aca="false">IF(AND($M4344&gt;0,ISNUMBER(MATCH($F4344,Lists!$A$2:$A$5,0)),ISNUMBER(MATCH($G4344,Lists!$B$2:$B$7,0)),OR($H4344="",$N4344&gt;0),OR($I4344="",$I4344="NR",$O4344&gt;0),IF(ISNUMBER($J4344),AND($J4344&gt;=0,$J4344=INT($J4344)),FALSE())),$J4344,0)</f>
        <v>0</v>
      </c>
      <c r="Q4344" s="64" t="n">
        <f aca="false">IF(AND($P4344&gt;0,$O4344&gt;0),$P4344,0)</f>
        <v>0</v>
      </c>
      <c r="R4344" s="64" t="n">
        <f aca="false">IF(AND($Q4344&gt;0,$O4344&gt;=AtRank),$Q4344,0)</f>
        <v>0</v>
      </c>
      <c r="S4344" s="64" t="n">
        <f aca="false">IF(AND($Q4344&gt;0,$O4344&gt;=AboveRank),$Q4344,0)</f>
        <v>0</v>
      </c>
      <c r="T4344" s="64" t="n">
        <f aca="false">IF($K4344="Less",$P4344,0)</f>
        <v>0</v>
      </c>
      <c r="U4344" s="64" t="n">
        <f aca="false">IF($K4344="Expected",$P4344,0)</f>
        <v>0</v>
      </c>
      <c r="V4344" s="64" t="n">
        <f aca="false">IF($K4344="Better",$P4344,0)</f>
        <v>0</v>
      </c>
      <c r="W4344" s="64" t="n">
        <f aca="false">IF($K4344="U – needs rule",$P4344,0)</f>
        <v>0</v>
      </c>
      <c r="X4344" s="64" t="n">
        <f aca="false">IF($K4344="No Start (attainment only)",$P4344,0)</f>
        <v>0</v>
      </c>
    </row>
    <row r="4345" customFormat="false" ht="15" hidden="false" customHeight="false" outlineLevel="0" collapsed="false">
      <c r="A4345" s="60"/>
      <c r="B4345" s="61" t="str">
        <f aca="false">IF($M4345=0,"",INDEX(Classes!$E$6:$E$420,$M4345))</f>
        <v/>
      </c>
      <c r="C4345" s="62" t="str">
        <f aca="false">IF($M4345=0,"",INDEX(Classes!$H$6:$H$420,$M4345))</f>
        <v/>
      </c>
      <c r="D4345" s="61" t="str">
        <f aca="false">IF($M4345=0,"",INDEX(Classes!$B$6:$B$420,$M4345))</f>
        <v/>
      </c>
      <c r="E4345" s="61" t="str">
        <f aca="false">IF($M4345=0,"",INDEX(Classes!$C$6:$C$420,$M4345))</f>
        <v/>
      </c>
      <c r="F4345" s="63"/>
      <c r="G4345" s="63"/>
      <c r="H4345" s="60"/>
      <c r="I4345" s="60"/>
      <c r="J4345" s="63"/>
      <c r="K4345" s="61" t="str">
        <f aca="false">IF($P4345=0,"",IF($F4345="Baseline","— Baseline",IF($O4345=0,"No result",IF($N4345=0,"No Start (attainment only)",IF(OR($N4345=1,$O4345=1),"U – needs rule",INDEX(MxBody,MATCH($I4345,MxCurr,0),MATCH($H4345,MxStart,0)))))))</f>
        <v/>
      </c>
      <c r="L4345" s="62" t="str">
        <f aca="false">IF(COUNTA($A4345,$F4345,$G4345,$H4345,$I4345,$J4345)=0,"",IF($M4345=0,"✖ كود الصف غير موجود",IF(ISNA(MATCH($F4345,Lists!$A$2:$A$5,0)),"✖ الفترة غير صحيحة",IF(ISNA(MATCH($G4345,Lists!$B$2:$B$7,0)),"✖ المجموعة غير صحيحة",IF(NOT(OR($H4345="",$N4345&gt;0)),"✖ Start غير صحيح",IF(NOT(OR($I4345="",$I4345="NR",$O4345&gt;0)),"✖ Current غير صحيح",IF(NOT(IF(ISNUMBER($J4345),AND($J4345&gt;=0,$J4345=INT($J4345)),FALSE())),"✖ العدد يجب أن يكون صحيحًا ≥ 0",IF(AND($F4345="Baseline",$H4345&lt;&gt;""),"⚠ Baseline: Start لا يدخل في التقدم",IF($K4345="No Start (attainment only)","ℹ تحصيل فقط (بدون Start)",IF($K4345="U – needs rule","ℹ حالة U تحتاج قاعدة معتمدة",IF($K4345="No result","ℹ بدون نتيجة (يُستبعد من التحصيل)","OK")))))))))))</f>
        <v/>
      </c>
      <c r="M4345" s="64" t="n">
        <f aca="false">IF($A4345="",0,IFERROR(MATCH($A4345,Classes!$A$6:$A$420,0),0))</f>
        <v>0</v>
      </c>
      <c r="N4345" s="64" t="n">
        <f aca="false">IF($H4345="",0,IFERROR(MATCH($H4345,GradeList,0),0))</f>
        <v>0</v>
      </c>
      <c r="O4345" s="64" t="n">
        <f aca="false">IF(OR($I4345="",$I4345="NR"),0,IFERROR(MATCH($I4345,GradeList,0),0))</f>
        <v>0</v>
      </c>
      <c r="P4345" s="64" t="n">
        <f aca="false">IF(AND($M4345&gt;0,ISNUMBER(MATCH($F4345,Lists!$A$2:$A$5,0)),ISNUMBER(MATCH($G4345,Lists!$B$2:$B$7,0)),OR($H4345="",$N4345&gt;0),OR($I4345="",$I4345="NR",$O4345&gt;0),IF(ISNUMBER($J4345),AND($J4345&gt;=0,$J4345=INT($J4345)),FALSE())),$J4345,0)</f>
        <v>0</v>
      </c>
      <c r="Q4345" s="64" t="n">
        <f aca="false">IF(AND($P4345&gt;0,$O4345&gt;0),$P4345,0)</f>
        <v>0</v>
      </c>
      <c r="R4345" s="64" t="n">
        <f aca="false">IF(AND($Q4345&gt;0,$O4345&gt;=AtRank),$Q4345,0)</f>
        <v>0</v>
      </c>
      <c r="S4345" s="64" t="n">
        <f aca="false">IF(AND($Q4345&gt;0,$O4345&gt;=AboveRank),$Q4345,0)</f>
        <v>0</v>
      </c>
      <c r="T4345" s="64" t="n">
        <f aca="false">IF($K4345="Less",$P4345,0)</f>
        <v>0</v>
      </c>
      <c r="U4345" s="64" t="n">
        <f aca="false">IF($K4345="Expected",$P4345,0)</f>
        <v>0</v>
      </c>
      <c r="V4345" s="64" t="n">
        <f aca="false">IF($K4345="Better",$P4345,0)</f>
        <v>0</v>
      </c>
      <c r="W4345" s="64" t="n">
        <f aca="false">IF($K4345="U – needs rule",$P4345,0)</f>
        <v>0</v>
      </c>
      <c r="X4345" s="64" t="n">
        <f aca="false">IF($K4345="No Start (attainment only)",$P4345,0)</f>
        <v>0</v>
      </c>
    </row>
    <row r="4346" customFormat="false" ht="15" hidden="false" customHeight="false" outlineLevel="0" collapsed="false">
      <c r="A4346" s="60"/>
      <c r="B4346" s="61" t="str">
        <f aca="false">IF($M4346=0,"",INDEX(Classes!$E$6:$E$420,$M4346))</f>
        <v/>
      </c>
      <c r="C4346" s="62" t="str">
        <f aca="false">IF($M4346=0,"",INDEX(Classes!$H$6:$H$420,$M4346))</f>
        <v/>
      </c>
      <c r="D4346" s="61" t="str">
        <f aca="false">IF($M4346=0,"",INDEX(Classes!$B$6:$B$420,$M4346))</f>
        <v/>
      </c>
      <c r="E4346" s="61" t="str">
        <f aca="false">IF($M4346=0,"",INDEX(Classes!$C$6:$C$420,$M4346))</f>
        <v/>
      </c>
      <c r="F4346" s="63"/>
      <c r="G4346" s="63"/>
      <c r="H4346" s="60"/>
      <c r="I4346" s="60"/>
      <c r="J4346" s="63"/>
      <c r="K4346" s="61" t="str">
        <f aca="false">IF($P4346=0,"",IF($F4346="Baseline","— Baseline",IF($O4346=0,"No result",IF($N4346=0,"No Start (attainment only)",IF(OR($N4346=1,$O4346=1),"U – needs rule",INDEX(MxBody,MATCH($I4346,MxCurr,0),MATCH($H4346,MxStart,0)))))))</f>
        <v/>
      </c>
      <c r="L4346" s="62" t="str">
        <f aca="false">IF(COUNTA($A4346,$F4346,$G4346,$H4346,$I4346,$J4346)=0,"",IF($M4346=0,"✖ كود الصف غير موجود",IF(ISNA(MATCH($F4346,Lists!$A$2:$A$5,0)),"✖ الفترة غير صحيحة",IF(ISNA(MATCH($G4346,Lists!$B$2:$B$7,0)),"✖ المجموعة غير صحيحة",IF(NOT(OR($H4346="",$N4346&gt;0)),"✖ Start غير صحيح",IF(NOT(OR($I4346="",$I4346="NR",$O4346&gt;0)),"✖ Current غير صحيح",IF(NOT(IF(ISNUMBER($J4346),AND($J4346&gt;=0,$J4346=INT($J4346)),FALSE())),"✖ العدد يجب أن يكون صحيحًا ≥ 0",IF(AND($F4346="Baseline",$H4346&lt;&gt;""),"⚠ Baseline: Start لا يدخل في التقدم",IF($K4346="No Start (attainment only)","ℹ تحصيل فقط (بدون Start)",IF($K4346="U – needs rule","ℹ حالة U تحتاج قاعدة معتمدة",IF($K4346="No result","ℹ بدون نتيجة (يُستبعد من التحصيل)","OK")))))))))))</f>
        <v/>
      </c>
      <c r="M4346" s="64" t="n">
        <f aca="false">IF($A4346="",0,IFERROR(MATCH($A4346,Classes!$A$6:$A$420,0),0))</f>
        <v>0</v>
      </c>
      <c r="N4346" s="64" t="n">
        <f aca="false">IF($H4346="",0,IFERROR(MATCH($H4346,GradeList,0),0))</f>
        <v>0</v>
      </c>
      <c r="O4346" s="64" t="n">
        <f aca="false">IF(OR($I4346="",$I4346="NR"),0,IFERROR(MATCH($I4346,GradeList,0),0))</f>
        <v>0</v>
      </c>
      <c r="P4346" s="64" t="n">
        <f aca="false">IF(AND($M4346&gt;0,ISNUMBER(MATCH($F4346,Lists!$A$2:$A$5,0)),ISNUMBER(MATCH($G4346,Lists!$B$2:$B$7,0)),OR($H4346="",$N4346&gt;0),OR($I4346="",$I4346="NR",$O4346&gt;0),IF(ISNUMBER($J4346),AND($J4346&gt;=0,$J4346=INT($J4346)),FALSE())),$J4346,0)</f>
        <v>0</v>
      </c>
      <c r="Q4346" s="64" t="n">
        <f aca="false">IF(AND($P4346&gt;0,$O4346&gt;0),$P4346,0)</f>
        <v>0</v>
      </c>
      <c r="R4346" s="64" t="n">
        <f aca="false">IF(AND($Q4346&gt;0,$O4346&gt;=AtRank),$Q4346,0)</f>
        <v>0</v>
      </c>
      <c r="S4346" s="64" t="n">
        <f aca="false">IF(AND($Q4346&gt;0,$O4346&gt;=AboveRank),$Q4346,0)</f>
        <v>0</v>
      </c>
      <c r="T4346" s="64" t="n">
        <f aca="false">IF($K4346="Less",$P4346,0)</f>
        <v>0</v>
      </c>
      <c r="U4346" s="64" t="n">
        <f aca="false">IF($K4346="Expected",$P4346,0)</f>
        <v>0</v>
      </c>
      <c r="V4346" s="64" t="n">
        <f aca="false">IF($K4346="Better",$P4346,0)</f>
        <v>0</v>
      </c>
      <c r="W4346" s="64" t="n">
        <f aca="false">IF($K4346="U – needs rule",$P4346,0)</f>
        <v>0</v>
      </c>
      <c r="X4346" s="64" t="n">
        <f aca="false">IF($K4346="No Start (attainment only)",$P4346,0)</f>
        <v>0</v>
      </c>
    </row>
    <row r="4347" customFormat="false" ht="15" hidden="false" customHeight="false" outlineLevel="0" collapsed="false">
      <c r="A4347" s="60"/>
      <c r="B4347" s="61" t="str">
        <f aca="false">IF($M4347=0,"",INDEX(Classes!$E$6:$E$420,$M4347))</f>
        <v/>
      </c>
      <c r="C4347" s="62" t="str">
        <f aca="false">IF($M4347=0,"",INDEX(Classes!$H$6:$H$420,$M4347))</f>
        <v/>
      </c>
      <c r="D4347" s="61" t="str">
        <f aca="false">IF($M4347=0,"",INDEX(Classes!$B$6:$B$420,$M4347))</f>
        <v/>
      </c>
      <c r="E4347" s="61" t="str">
        <f aca="false">IF($M4347=0,"",INDEX(Classes!$C$6:$C$420,$M4347))</f>
        <v/>
      </c>
      <c r="F4347" s="63"/>
      <c r="G4347" s="63"/>
      <c r="H4347" s="60"/>
      <c r="I4347" s="60"/>
      <c r="J4347" s="63"/>
      <c r="K4347" s="61" t="str">
        <f aca="false">IF($P4347=0,"",IF($F4347="Baseline","— Baseline",IF($O4347=0,"No result",IF($N4347=0,"No Start (attainment only)",IF(OR($N4347=1,$O4347=1),"U – needs rule",INDEX(MxBody,MATCH($I4347,MxCurr,0),MATCH($H4347,MxStart,0)))))))</f>
        <v/>
      </c>
      <c r="L4347" s="62" t="str">
        <f aca="false">IF(COUNTA($A4347,$F4347,$G4347,$H4347,$I4347,$J4347)=0,"",IF($M4347=0,"✖ كود الصف غير موجود",IF(ISNA(MATCH($F4347,Lists!$A$2:$A$5,0)),"✖ الفترة غير صحيحة",IF(ISNA(MATCH($G4347,Lists!$B$2:$B$7,0)),"✖ المجموعة غير صحيحة",IF(NOT(OR($H4347="",$N4347&gt;0)),"✖ Start غير صحيح",IF(NOT(OR($I4347="",$I4347="NR",$O4347&gt;0)),"✖ Current غير صحيح",IF(NOT(IF(ISNUMBER($J4347),AND($J4347&gt;=0,$J4347=INT($J4347)),FALSE())),"✖ العدد يجب أن يكون صحيحًا ≥ 0",IF(AND($F4347="Baseline",$H4347&lt;&gt;""),"⚠ Baseline: Start لا يدخل في التقدم",IF($K4347="No Start (attainment only)","ℹ تحصيل فقط (بدون Start)",IF($K4347="U – needs rule","ℹ حالة U تحتاج قاعدة معتمدة",IF($K4347="No result","ℹ بدون نتيجة (يُستبعد من التحصيل)","OK")))))))))))</f>
        <v/>
      </c>
      <c r="M4347" s="64" t="n">
        <f aca="false">IF($A4347="",0,IFERROR(MATCH($A4347,Classes!$A$6:$A$420,0),0))</f>
        <v>0</v>
      </c>
      <c r="N4347" s="64" t="n">
        <f aca="false">IF($H4347="",0,IFERROR(MATCH($H4347,GradeList,0),0))</f>
        <v>0</v>
      </c>
      <c r="O4347" s="64" t="n">
        <f aca="false">IF(OR($I4347="",$I4347="NR"),0,IFERROR(MATCH($I4347,GradeList,0),0))</f>
        <v>0</v>
      </c>
      <c r="P4347" s="64" t="n">
        <f aca="false">IF(AND($M4347&gt;0,ISNUMBER(MATCH($F4347,Lists!$A$2:$A$5,0)),ISNUMBER(MATCH($G4347,Lists!$B$2:$B$7,0)),OR($H4347="",$N4347&gt;0),OR($I4347="",$I4347="NR",$O4347&gt;0),IF(ISNUMBER($J4347),AND($J4347&gt;=0,$J4347=INT($J4347)),FALSE())),$J4347,0)</f>
        <v>0</v>
      </c>
      <c r="Q4347" s="64" t="n">
        <f aca="false">IF(AND($P4347&gt;0,$O4347&gt;0),$P4347,0)</f>
        <v>0</v>
      </c>
      <c r="R4347" s="64" t="n">
        <f aca="false">IF(AND($Q4347&gt;0,$O4347&gt;=AtRank),$Q4347,0)</f>
        <v>0</v>
      </c>
      <c r="S4347" s="64" t="n">
        <f aca="false">IF(AND($Q4347&gt;0,$O4347&gt;=AboveRank),$Q4347,0)</f>
        <v>0</v>
      </c>
      <c r="T4347" s="64" t="n">
        <f aca="false">IF($K4347="Less",$P4347,0)</f>
        <v>0</v>
      </c>
      <c r="U4347" s="64" t="n">
        <f aca="false">IF($K4347="Expected",$P4347,0)</f>
        <v>0</v>
      </c>
      <c r="V4347" s="64" t="n">
        <f aca="false">IF($K4347="Better",$P4347,0)</f>
        <v>0</v>
      </c>
      <c r="W4347" s="64" t="n">
        <f aca="false">IF($K4347="U – needs rule",$P4347,0)</f>
        <v>0</v>
      </c>
      <c r="X4347" s="64" t="n">
        <f aca="false">IF($K4347="No Start (attainment only)",$P4347,0)</f>
        <v>0</v>
      </c>
    </row>
    <row r="4348" customFormat="false" ht="15" hidden="false" customHeight="false" outlineLevel="0" collapsed="false">
      <c r="A4348" s="60"/>
      <c r="B4348" s="61" t="str">
        <f aca="false">IF($M4348=0,"",INDEX(Classes!$E$6:$E$420,$M4348))</f>
        <v/>
      </c>
      <c r="C4348" s="62" t="str">
        <f aca="false">IF($M4348=0,"",INDEX(Classes!$H$6:$H$420,$M4348))</f>
        <v/>
      </c>
      <c r="D4348" s="61" t="str">
        <f aca="false">IF($M4348=0,"",INDEX(Classes!$B$6:$B$420,$M4348))</f>
        <v/>
      </c>
      <c r="E4348" s="61" t="str">
        <f aca="false">IF($M4348=0,"",INDEX(Classes!$C$6:$C$420,$M4348))</f>
        <v/>
      </c>
      <c r="F4348" s="63"/>
      <c r="G4348" s="63"/>
      <c r="H4348" s="60"/>
      <c r="I4348" s="60"/>
      <c r="J4348" s="63"/>
      <c r="K4348" s="61" t="str">
        <f aca="false">IF($P4348=0,"",IF($F4348="Baseline","— Baseline",IF($O4348=0,"No result",IF($N4348=0,"No Start (attainment only)",IF(OR($N4348=1,$O4348=1),"U – needs rule",INDEX(MxBody,MATCH($I4348,MxCurr,0),MATCH($H4348,MxStart,0)))))))</f>
        <v/>
      </c>
      <c r="L4348" s="62" t="str">
        <f aca="false">IF(COUNTA($A4348,$F4348,$G4348,$H4348,$I4348,$J4348)=0,"",IF($M4348=0,"✖ كود الصف غير موجود",IF(ISNA(MATCH($F4348,Lists!$A$2:$A$5,0)),"✖ الفترة غير صحيحة",IF(ISNA(MATCH($G4348,Lists!$B$2:$B$7,0)),"✖ المجموعة غير صحيحة",IF(NOT(OR($H4348="",$N4348&gt;0)),"✖ Start غير صحيح",IF(NOT(OR($I4348="",$I4348="NR",$O4348&gt;0)),"✖ Current غير صحيح",IF(NOT(IF(ISNUMBER($J4348),AND($J4348&gt;=0,$J4348=INT($J4348)),FALSE())),"✖ العدد يجب أن يكون صحيحًا ≥ 0",IF(AND($F4348="Baseline",$H4348&lt;&gt;""),"⚠ Baseline: Start لا يدخل في التقدم",IF($K4348="No Start (attainment only)","ℹ تحصيل فقط (بدون Start)",IF($K4348="U – needs rule","ℹ حالة U تحتاج قاعدة معتمدة",IF($K4348="No result","ℹ بدون نتيجة (يُستبعد من التحصيل)","OK")))))))))))</f>
        <v/>
      </c>
      <c r="M4348" s="64" t="n">
        <f aca="false">IF($A4348="",0,IFERROR(MATCH($A4348,Classes!$A$6:$A$420,0),0))</f>
        <v>0</v>
      </c>
      <c r="N4348" s="64" t="n">
        <f aca="false">IF($H4348="",0,IFERROR(MATCH($H4348,GradeList,0),0))</f>
        <v>0</v>
      </c>
      <c r="O4348" s="64" t="n">
        <f aca="false">IF(OR($I4348="",$I4348="NR"),0,IFERROR(MATCH($I4348,GradeList,0),0))</f>
        <v>0</v>
      </c>
      <c r="P4348" s="64" t="n">
        <f aca="false">IF(AND($M4348&gt;0,ISNUMBER(MATCH($F4348,Lists!$A$2:$A$5,0)),ISNUMBER(MATCH($G4348,Lists!$B$2:$B$7,0)),OR($H4348="",$N4348&gt;0),OR($I4348="",$I4348="NR",$O4348&gt;0),IF(ISNUMBER($J4348),AND($J4348&gt;=0,$J4348=INT($J4348)),FALSE())),$J4348,0)</f>
        <v>0</v>
      </c>
      <c r="Q4348" s="64" t="n">
        <f aca="false">IF(AND($P4348&gt;0,$O4348&gt;0),$P4348,0)</f>
        <v>0</v>
      </c>
      <c r="R4348" s="64" t="n">
        <f aca="false">IF(AND($Q4348&gt;0,$O4348&gt;=AtRank),$Q4348,0)</f>
        <v>0</v>
      </c>
      <c r="S4348" s="64" t="n">
        <f aca="false">IF(AND($Q4348&gt;0,$O4348&gt;=AboveRank),$Q4348,0)</f>
        <v>0</v>
      </c>
      <c r="T4348" s="64" t="n">
        <f aca="false">IF($K4348="Less",$P4348,0)</f>
        <v>0</v>
      </c>
      <c r="U4348" s="64" t="n">
        <f aca="false">IF($K4348="Expected",$P4348,0)</f>
        <v>0</v>
      </c>
      <c r="V4348" s="64" t="n">
        <f aca="false">IF($K4348="Better",$P4348,0)</f>
        <v>0</v>
      </c>
      <c r="W4348" s="64" t="n">
        <f aca="false">IF($K4348="U – needs rule",$P4348,0)</f>
        <v>0</v>
      </c>
      <c r="X4348" s="64" t="n">
        <f aca="false">IF($K4348="No Start (attainment only)",$P4348,0)</f>
        <v>0</v>
      </c>
    </row>
    <row r="4349" customFormat="false" ht="15" hidden="false" customHeight="false" outlineLevel="0" collapsed="false">
      <c r="A4349" s="60"/>
      <c r="B4349" s="61" t="str">
        <f aca="false">IF($M4349=0,"",INDEX(Classes!$E$6:$E$420,$M4349))</f>
        <v/>
      </c>
      <c r="C4349" s="62" t="str">
        <f aca="false">IF($M4349=0,"",INDEX(Classes!$H$6:$H$420,$M4349))</f>
        <v/>
      </c>
      <c r="D4349" s="61" t="str">
        <f aca="false">IF($M4349=0,"",INDEX(Classes!$B$6:$B$420,$M4349))</f>
        <v/>
      </c>
      <c r="E4349" s="61" t="str">
        <f aca="false">IF($M4349=0,"",INDEX(Classes!$C$6:$C$420,$M4349))</f>
        <v/>
      </c>
      <c r="F4349" s="63"/>
      <c r="G4349" s="63"/>
      <c r="H4349" s="60"/>
      <c r="I4349" s="60"/>
      <c r="J4349" s="63"/>
      <c r="K4349" s="61" t="str">
        <f aca="false">IF($P4349=0,"",IF($F4349="Baseline","— Baseline",IF($O4349=0,"No result",IF($N4349=0,"No Start (attainment only)",IF(OR($N4349=1,$O4349=1),"U – needs rule",INDEX(MxBody,MATCH($I4349,MxCurr,0),MATCH($H4349,MxStart,0)))))))</f>
        <v/>
      </c>
      <c r="L4349" s="62" t="str">
        <f aca="false">IF(COUNTA($A4349,$F4349,$G4349,$H4349,$I4349,$J4349)=0,"",IF($M4349=0,"✖ كود الصف غير موجود",IF(ISNA(MATCH($F4349,Lists!$A$2:$A$5,0)),"✖ الفترة غير صحيحة",IF(ISNA(MATCH($G4349,Lists!$B$2:$B$7,0)),"✖ المجموعة غير صحيحة",IF(NOT(OR($H4349="",$N4349&gt;0)),"✖ Start غير صحيح",IF(NOT(OR($I4349="",$I4349="NR",$O4349&gt;0)),"✖ Current غير صحيح",IF(NOT(IF(ISNUMBER($J4349),AND($J4349&gt;=0,$J4349=INT($J4349)),FALSE())),"✖ العدد يجب أن يكون صحيحًا ≥ 0",IF(AND($F4349="Baseline",$H4349&lt;&gt;""),"⚠ Baseline: Start لا يدخل في التقدم",IF($K4349="No Start (attainment only)","ℹ تحصيل فقط (بدون Start)",IF($K4349="U – needs rule","ℹ حالة U تحتاج قاعدة معتمدة",IF($K4349="No result","ℹ بدون نتيجة (يُستبعد من التحصيل)","OK")))))))))))</f>
        <v/>
      </c>
      <c r="M4349" s="64" t="n">
        <f aca="false">IF($A4349="",0,IFERROR(MATCH($A4349,Classes!$A$6:$A$420,0),0))</f>
        <v>0</v>
      </c>
      <c r="N4349" s="64" t="n">
        <f aca="false">IF($H4349="",0,IFERROR(MATCH($H4349,GradeList,0),0))</f>
        <v>0</v>
      </c>
      <c r="O4349" s="64" t="n">
        <f aca="false">IF(OR($I4349="",$I4349="NR"),0,IFERROR(MATCH($I4349,GradeList,0),0))</f>
        <v>0</v>
      </c>
      <c r="P4349" s="64" t="n">
        <f aca="false">IF(AND($M4349&gt;0,ISNUMBER(MATCH($F4349,Lists!$A$2:$A$5,0)),ISNUMBER(MATCH($G4349,Lists!$B$2:$B$7,0)),OR($H4349="",$N4349&gt;0),OR($I4349="",$I4349="NR",$O4349&gt;0),IF(ISNUMBER($J4349),AND($J4349&gt;=0,$J4349=INT($J4349)),FALSE())),$J4349,0)</f>
        <v>0</v>
      </c>
      <c r="Q4349" s="64" t="n">
        <f aca="false">IF(AND($P4349&gt;0,$O4349&gt;0),$P4349,0)</f>
        <v>0</v>
      </c>
      <c r="R4349" s="64" t="n">
        <f aca="false">IF(AND($Q4349&gt;0,$O4349&gt;=AtRank),$Q4349,0)</f>
        <v>0</v>
      </c>
      <c r="S4349" s="64" t="n">
        <f aca="false">IF(AND($Q4349&gt;0,$O4349&gt;=AboveRank),$Q4349,0)</f>
        <v>0</v>
      </c>
      <c r="T4349" s="64" t="n">
        <f aca="false">IF($K4349="Less",$P4349,0)</f>
        <v>0</v>
      </c>
      <c r="U4349" s="64" t="n">
        <f aca="false">IF($K4349="Expected",$P4349,0)</f>
        <v>0</v>
      </c>
      <c r="V4349" s="64" t="n">
        <f aca="false">IF($K4349="Better",$P4349,0)</f>
        <v>0</v>
      </c>
      <c r="W4349" s="64" t="n">
        <f aca="false">IF($K4349="U – needs rule",$P4349,0)</f>
        <v>0</v>
      </c>
      <c r="X4349" s="64" t="n">
        <f aca="false">IF($K4349="No Start (attainment only)",$P4349,0)</f>
        <v>0</v>
      </c>
    </row>
    <row r="4350" customFormat="false" ht="15" hidden="false" customHeight="false" outlineLevel="0" collapsed="false">
      <c r="A4350" s="60"/>
      <c r="B4350" s="61" t="str">
        <f aca="false">IF($M4350=0,"",INDEX(Classes!$E$6:$E$420,$M4350))</f>
        <v/>
      </c>
      <c r="C4350" s="62" t="str">
        <f aca="false">IF($M4350=0,"",INDEX(Classes!$H$6:$H$420,$M4350))</f>
        <v/>
      </c>
      <c r="D4350" s="61" t="str">
        <f aca="false">IF($M4350=0,"",INDEX(Classes!$B$6:$B$420,$M4350))</f>
        <v/>
      </c>
      <c r="E4350" s="61" t="str">
        <f aca="false">IF($M4350=0,"",INDEX(Classes!$C$6:$C$420,$M4350))</f>
        <v/>
      </c>
      <c r="F4350" s="63"/>
      <c r="G4350" s="63"/>
      <c r="H4350" s="60"/>
      <c r="I4350" s="60"/>
      <c r="J4350" s="63"/>
      <c r="K4350" s="61" t="str">
        <f aca="false">IF($P4350=0,"",IF($F4350="Baseline","— Baseline",IF($O4350=0,"No result",IF($N4350=0,"No Start (attainment only)",IF(OR($N4350=1,$O4350=1),"U – needs rule",INDEX(MxBody,MATCH($I4350,MxCurr,0),MATCH($H4350,MxStart,0)))))))</f>
        <v/>
      </c>
      <c r="L4350" s="62" t="str">
        <f aca="false">IF(COUNTA($A4350,$F4350,$G4350,$H4350,$I4350,$J4350)=0,"",IF($M4350=0,"✖ كود الصف غير موجود",IF(ISNA(MATCH($F4350,Lists!$A$2:$A$5,0)),"✖ الفترة غير صحيحة",IF(ISNA(MATCH($G4350,Lists!$B$2:$B$7,0)),"✖ المجموعة غير صحيحة",IF(NOT(OR($H4350="",$N4350&gt;0)),"✖ Start غير صحيح",IF(NOT(OR($I4350="",$I4350="NR",$O4350&gt;0)),"✖ Current غير صحيح",IF(NOT(IF(ISNUMBER($J4350),AND($J4350&gt;=0,$J4350=INT($J4350)),FALSE())),"✖ العدد يجب أن يكون صحيحًا ≥ 0",IF(AND($F4350="Baseline",$H4350&lt;&gt;""),"⚠ Baseline: Start لا يدخل في التقدم",IF($K4350="No Start (attainment only)","ℹ تحصيل فقط (بدون Start)",IF($K4350="U – needs rule","ℹ حالة U تحتاج قاعدة معتمدة",IF($K4350="No result","ℹ بدون نتيجة (يُستبعد من التحصيل)","OK")))))))))))</f>
        <v/>
      </c>
      <c r="M4350" s="64" t="n">
        <f aca="false">IF($A4350="",0,IFERROR(MATCH($A4350,Classes!$A$6:$A$420,0),0))</f>
        <v>0</v>
      </c>
      <c r="N4350" s="64" t="n">
        <f aca="false">IF($H4350="",0,IFERROR(MATCH($H4350,GradeList,0),0))</f>
        <v>0</v>
      </c>
      <c r="O4350" s="64" t="n">
        <f aca="false">IF(OR($I4350="",$I4350="NR"),0,IFERROR(MATCH($I4350,GradeList,0),0))</f>
        <v>0</v>
      </c>
      <c r="P4350" s="64" t="n">
        <f aca="false">IF(AND($M4350&gt;0,ISNUMBER(MATCH($F4350,Lists!$A$2:$A$5,0)),ISNUMBER(MATCH($G4350,Lists!$B$2:$B$7,0)),OR($H4350="",$N4350&gt;0),OR($I4350="",$I4350="NR",$O4350&gt;0),IF(ISNUMBER($J4350),AND($J4350&gt;=0,$J4350=INT($J4350)),FALSE())),$J4350,0)</f>
        <v>0</v>
      </c>
      <c r="Q4350" s="64" t="n">
        <f aca="false">IF(AND($P4350&gt;0,$O4350&gt;0),$P4350,0)</f>
        <v>0</v>
      </c>
      <c r="R4350" s="64" t="n">
        <f aca="false">IF(AND($Q4350&gt;0,$O4350&gt;=AtRank),$Q4350,0)</f>
        <v>0</v>
      </c>
      <c r="S4350" s="64" t="n">
        <f aca="false">IF(AND($Q4350&gt;0,$O4350&gt;=AboveRank),$Q4350,0)</f>
        <v>0</v>
      </c>
      <c r="T4350" s="64" t="n">
        <f aca="false">IF($K4350="Less",$P4350,0)</f>
        <v>0</v>
      </c>
      <c r="U4350" s="64" t="n">
        <f aca="false">IF($K4350="Expected",$P4350,0)</f>
        <v>0</v>
      </c>
      <c r="V4350" s="64" t="n">
        <f aca="false">IF($K4350="Better",$P4350,0)</f>
        <v>0</v>
      </c>
      <c r="W4350" s="64" t="n">
        <f aca="false">IF($K4350="U – needs rule",$P4350,0)</f>
        <v>0</v>
      </c>
      <c r="X4350" s="64" t="n">
        <f aca="false">IF($K4350="No Start (attainment only)",$P4350,0)</f>
        <v>0</v>
      </c>
    </row>
    <row r="4351" customFormat="false" ht="15" hidden="false" customHeight="false" outlineLevel="0" collapsed="false">
      <c r="A4351" s="60"/>
      <c r="B4351" s="61" t="str">
        <f aca="false">IF($M4351=0,"",INDEX(Classes!$E$6:$E$420,$M4351))</f>
        <v/>
      </c>
      <c r="C4351" s="62" t="str">
        <f aca="false">IF($M4351=0,"",INDEX(Classes!$H$6:$H$420,$M4351))</f>
        <v/>
      </c>
      <c r="D4351" s="61" t="str">
        <f aca="false">IF($M4351=0,"",INDEX(Classes!$B$6:$B$420,$M4351))</f>
        <v/>
      </c>
      <c r="E4351" s="61" t="str">
        <f aca="false">IF($M4351=0,"",INDEX(Classes!$C$6:$C$420,$M4351))</f>
        <v/>
      </c>
      <c r="F4351" s="63"/>
      <c r="G4351" s="63"/>
      <c r="H4351" s="60"/>
      <c r="I4351" s="60"/>
      <c r="J4351" s="63"/>
      <c r="K4351" s="61" t="str">
        <f aca="false">IF($P4351=0,"",IF($F4351="Baseline","— Baseline",IF($O4351=0,"No result",IF($N4351=0,"No Start (attainment only)",IF(OR($N4351=1,$O4351=1),"U – needs rule",INDEX(MxBody,MATCH($I4351,MxCurr,0),MATCH($H4351,MxStart,0)))))))</f>
        <v/>
      </c>
      <c r="L4351" s="62" t="str">
        <f aca="false">IF(COUNTA($A4351,$F4351,$G4351,$H4351,$I4351,$J4351)=0,"",IF($M4351=0,"✖ كود الصف غير موجود",IF(ISNA(MATCH($F4351,Lists!$A$2:$A$5,0)),"✖ الفترة غير صحيحة",IF(ISNA(MATCH($G4351,Lists!$B$2:$B$7,0)),"✖ المجموعة غير صحيحة",IF(NOT(OR($H4351="",$N4351&gt;0)),"✖ Start غير صحيح",IF(NOT(OR($I4351="",$I4351="NR",$O4351&gt;0)),"✖ Current غير صحيح",IF(NOT(IF(ISNUMBER($J4351),AND($J4351&gt;=0,$J4351=INT($J4351)),FALSE())),"✖ العدد يجب أن يكون صحيحًا ≥ 0",IF(AND($F4351="Baseline",$H4351&lt;&gt;""),"⚠ Baseline: Start لا يدخل في التقدم",IF($K4351="No Start (attainment only)","ℹ تحصيل فقط (بدون Start)",IF($K4351="U – needs rule","ℹ حالة U تحتاج قاعدة معتمدة",IF($K4351="No result","ℹ بدون نتيجة (يُستبعد من التحصيل)","OK")))))))))))</f>
        <v/>
      </c>
      <c r="M4351" s="64" t="n">
        <f aca="false">IF($A4351="",0,IFERROR(MATCH($A4351,Classes!$A$6:$A$420,0),0))</f>
        <v>0</v>
      </c>
      <c r="N4351" s="64" t="n">
        <f aca="false">IF($H4351="",0,IFERROR(MATCH($H4351,GradeList,0),0))</f>
        <v>0</v>
      </c>
      <c r="O4351" s="64" t="n">
        <f aca="false">IF(OR($I4351="",$I4351="NR"),0,IFERROR(MATCH($I4351,GradeList,0),0))</f>
        <v>0</v>
      </c>
      <c r="P4351" s="64" t="n">
        <f aca="false">IF(AND($M4351&gt;0,ISNUMBER(MATCH($F4351,Lists!$A$2:$A$5,0)),ISNUMBER(MATCH($G4351,Lists!$B$2:$B$7,0)),OR($H4351="",$N4351&gt;0),OR($I4351="",$I4351="NR",$O4351&gt;0),IF(ISNUMBER($J4351),AND($J4351&gt;=0,$J4351=INT($J4351)),FALSE())),$J4351,0)</f>
        <v>0</v>
      </c>
      <c r="Q4351" s="64" t="n">
        <f aca="false">IF(AND($P4351&gt;0,$O4351&gt;0),$P4351,0)</f>
        <v>0</v>
      </c>
      <c r="R4351" s="64" t="n">
        <f aca="false">IF(AND($Q4351&gt;0,$O4351&gt;=AtRank),$Q4351,0)</f>
        <v>0</v>
      </c>
      <c r="S4351" s="64" t="n">
        <f aca="false">IF(AND($Q4351&gt;0,$O4351&gt;=AboveRank),$Q4351,0)</f>
        <v>0</v>
      </c>
      <c r="T4351" s="64" t="n">
        <f aca="false">IF($K4351="Less",$P4351,0)</f>
        <v>0</v>
      </c>
      <c r="U4351" s="64" t="n">
        <f aca="false">IF($K4351="Expected",$P4351,0)</f>
        <v>0</v>
      </c>
      <c r="V4351" s="64" t="n">
        <f aca="false">IF($K4351="Better",$P4351,0)</f>
        <v>0</v>
      </c>
      <c r="W4351" s="64" t="n">
        <f aca="false">IF($K4351="U – needs rule",$P4351,0)</f>
        <v>0</v>
      </c>
      <c r="X4351" s="64" t="n">
        <f aca="false">IF($K4351="No Start (attainment only)",$P4351,0)</f>
        <v>0</v>
      </c>
    </row>
    <row r="4352" customFormat="false" ht="15" hidden="false" customHeight="false" outlineLevel="0" collapsed="false">
      <c r="A4352" s="60"/>
      <c r="B4352" s="61" t="str">
        <f aca="false">IF($M4352=0,"",INDEX(Classes!$E$6:$E$420,$M4352))</f>
        <v/>
      </c>
      <c r="C4352" s="62" t="str">
        <f aca="false">IF($M4352=0,"",INDEX(Classes!$H$6:$H$420,$M4352))</f>
        <v/>
      </c>
      <c r="D4352" s="61" t="str">
        <f aca="false">IF($M4352=0,"",INDEX(Classes!$B$6:$B$420,$M4352))</f>
        <v/>
      </c>
      <c r="E4352" s="61" t="str">
        <f aca="false">IF($M4352=0,"",INDEX(Classes!$C$6:$C$420,$M4352))</f>
        <v/>
      </c>
      <c r="F4352" s="63"/>
      <c r="G4352" s="63"/>
      <c r="H4352" s="60"/>
      <c r="I4352" s="60"/>
      <c r="J4352" s="63"/>
      <c r="K4352" s="61" t="str">
        <f aca="false">IF($P4352=0,"",IF($F4352="Baseline","— Baseline",IF($O4352=0,"No result",IF($N4352=0,"No Start (attainment only)",IF(OR($N4352=1,$O4352=1),"U – needs rule",INDEX(MxBody,MATCH($I4352,MxCurr,0),MATCH($H4352,MxStart,0)))))))</f>
        <v/>
      </c>
      <c r="L4352" s="62" t="str">
        <f aca="false">IF(COUNTA($A4352,$F4352,$G4352,$H4352,$I4352,$J4352)=0,"",IF($M4352=0,"✖ كود الصف غير موجود",IF(ISNA(MATCH($F4352,Lists!$A$2:$A$5,0)),"✖ الفترة غير صحيحة",IF(ISNA(MATCH($G4352,Lists!$B$2:$B$7,0)),"✖ المجموعة غير صحيحة",IF(NOT(OR($H4352="",$N4352&gt;0)),"✖ Start غير صحيح",IF(NOT(OR($I4352="",$I4352="NR",$O4352&gt;0)),"✖ Current غير صحيح",IF(NOT(IF(ISNUMBER($J4352),AND($J4352&gt;=0,$J4352=INT($J4352)),FALSE())),"✖ العدد يجب أن يكون صحيحًا ≥ 0",IF(AND($F4352="Baseline",$H4352&lt;&gt;""),"⚠ Baseline: Start لا يدخل في التقدم",IF($K4352="No Start (attainment only)","ℹ تحصيل فقط (بدون Start)",IF($K4352="U – needs rule","ℹ حالة U تحتاج قاعدة معتمدة",IF($K4352="No result","ℹ بدون نتيجة (يُستبعد من التحصيل)","OK")))))))))))</f>
        <v/>
      </c>
      <c r="M4352" s="64" t="n">
        <f aca="false">IF($A4352="",0,IFERROR(MATCH($A4352,Classes!$A$6:$A$420,0),0))</f>
        <v>0</v>
      </c>
      <c r="N4352" s="64" t="n">
        <f aca="false">IF($H4352="",0,IFERROR(MATCH($H4352,GradeList,0),0))</f>
        <v>0</v>
      </c>
      <c r="O4352" s="64" t="n">
        <f aca="false">IF(OR($I4352="",$I4352="NR"),0,IFERROR(MATCH($I4352,GradeList,0),0))</f>
        <v>0</v>
      </c>
      <c r="P4352" s="64" t="n">
        <f aca="false">IF(AND($M4352&gt;0,ISNUMBER(MATCH($F4352,Lists!$A$2:$A$5,0)),ISNUMBER(MATCH($G4352,Lists!$B$2:$B$7,0)),OR($H4352="",$N4352&gt;0),OR($I4352="",$I4352="NR",$O4352&gt;0),IF(ISNUMBER($J4352),AND($J4352&gt;=0,$J4352=INT($J4352)),FALSE())),$J4352,0)</f>
        <v>0</v>
      </c>
      <c r="Q4352" s="64" t="n">
        <f aca="false">IF(AND($P4352&gt;0,$O4352&gt;0),$P4352,0)</f>
        <v>0</v>
      </c>
      <c r="R4352" s="64" t="n">
        <f aca="false">IF(AND($Q4352&gt;0,$O4352&gt;=AtRank),$Q4352,0)</f>
        <v>0</v>
      </c>
      <c r="S4352" s="64" t="n">
        <f aca="false">IF(AND($Q4352&gt;0,$O4352&gt;=AboveRank),$Q4352,0)</f>
        <v>0</v>
      </c>
      <c r="T4352" s="64" t="n">
        <f aca="false">IF($K4352="Less",$P4352,0)</f>
        <v>0</v>
      </c>
      <c r="U4352" s="64" t="n">
        <f aca="false">IF($K4352="Expected",$P4352,0)</f>
        <v>0</v>
      </c>
      <c r="V4352" s="64" t="n">
        <f aca="false">IF($K4352="Better",$P4352,0)</f>
        <v>0</v>
      </c>
      <c r="W4352" s="64" t="n">
        <f aca="false">IF($K4352="U – needs rule",$P4352,0)</f>
        <v>0</v>
      </c>
      <c r="X4352" s="64" t="n">
        <f aca="false">IF($K4352="No Start (attainment only)",$P4352,0)</f>
        <v>0</v>
      </c>
    </row>
    <row r="4353" customFormat="false" ht="15" hidden="false" customHeight="false" outlineLevel="0" collapsed="false">
      <c r="A4353" s="60"/>
      <c r="B4353" s="61" t="str">
        <f aca="false">IF($M4353=0,"",INDEX(Classes!$E$6:$E$420,$M4353))</f>
        <v/>
      </c>
      <c r="C4353" s="62" t="str">
        <f aca="false">IF($M4353=0,"",INDEX(Classes!$H$6:$H$420,$M4353))</f>
        <v/>
      </c>
      <c r="D4353" s="61" t="str">
        <f aca="false">IF($M4353=0,"",INDEX(Classes!$B$6:$B$420,$M4353))</f>
        <v/>
      </c>
      <c r="E4353" s="61" t="str">
        <f aca="false">IF($M4353=0,"",INDEX(Classes!$C$6:$C$420,$M4353))</f>
        <v/>
      </c>
      <c r="F4353" s="63"/>
      <c r="G4353" s="63"/>
      <c r="H4353" s="60"/>
      <c r="I4353" s="60"/>
      <c r="J4353" s="63"/>
      <c r="K4353" s="61" t="str">
        <f aca="false">IF($P4353=0,"",IF($F4353="Baseline","— Baseline",IF($O4353=0,"No result",IF($N4353=0,"No Start (attainment only)",IF(OR($N4353=1,$O4353=1),"U – needs rule",INDEX(MxBody,MATCH($I4353,MxCurr,0),MATCH($H4353,MxStart,0)))))))</f>
        <v/>
      </c>
      <c r="L4353" s="62" t="str">
        <f aca="false">IF(COUNTA($A4353,$F4353,$G4353,$H4353,$I4353,$J4353)=0,"",IF($M4353=0,"✖ كود الصف غير موجود",IF(ISNA(MATCH($F4353,Lists!$A$2:$A$5,0)),"✖ الفترة غير صحيحة",IF(ISNA(MATCH($G4353,Lists!$B$2:$B$7,0)),"✖ المجموعة غير صحيحة",IF(NOT(OR($H4353="",$N4353&gt;0)),"✖ Start غير صحيح",IF(NOT(OR($I4353="",$I4353="NR",$O4353&gt;0)),"✖ Current غير صحيح",IF(NOT(IF(ISNUMBER($J4353),AND($J4353&gt;=0,$J4353=INT($J4353)),FALSE())),"✖ العدد يجب أن يكون صحيحًا ≥ 0",IF(AND($F4353="Baseline",$H4353&lt;&gt;""),"⚠ Baseline: Start لا يدخل في التقدم",IF($K4353="No Start (attainment only)","ℹ تحصيل فقط (بدون Start)",IF($K4353="U – needs rule","ℹ حالة U تحتاج قاعدة معتمدة",IF($K4353="No result","ℹ بدون نتيجة (يُستبعد من التحصيل)","OK")))))))))))</f>
        <v/>
      </c>
      <c r="M4353" s="64" t="n">
        <f aca="false">IF($A4353="",0,IFERROR(MATCH($A4353,Classes!$A$6:$A$420,0),0))</f>
        <v>0</v>
      </c>
      <c r="N4353" s="64" t="n">
        <f aca="false">IF($H4353="",0,IFERROR(MATCH($H4353,GradeList,0),0))</f>
        <v>0</v>
      </c>
      <c r="O4353" s="64" t="n">
        <f aca="false">IF(OR($I4353="",$I4353="NR"),0,IFERROR(MATCH($I4353,GradeList,0),0))</f>
        <v>0</v>
      </c>
      <c r="P4353" s="64" t="n">
        <f aca="false">IF(AND($M4353&gt;0,ISNUMBER(MATCH($F4353,Lists!$A$2:$A$5,0)),ISNUMBER(MATCH($G4353,Lists!$B$2:$B$7,0)),OR($H4353="",$N4353&gt;0),OR($I4353="",$I4353="NR",$O4353&gt;0),IF(ISNUMBER($J4353),AND($J4353&gt;=0,$J4353=INT($J4353)),FALSE())),$J4353,0)</f>
        <v>0</v>
      </c>
      <c r="Q4353" s="64" t="n">
        <f aca="false">IF(AND($P4353&gt;0,$O4353&gt;0),$P4353,0)</f>
        <v>0</v>
      </c>
      <c r="R4353" s="64" t="n">
        <f aca="false">IF(AND($Q4353&gt;0,$O4353&gt;=AtRank),$Q4353,0)</f>
        <v>0</v>
      </c>
      <c r="S4353" s="64" t="n">
        <f aca="false">IF(AND($Q4353&gt;0,$O4353&gt;=AboveRank),$Q4353,0)</f>
        <v>0</v>
      </c>
      <c r="T4353" s="64" t="n">
        <f aca="false">IF($K4353="Less",$P4353,0)</f>
        <v>0</v>
      </c>
      <c r="U4353" s="64" t="n">
        <f aca="false">IF($K4353="Expected",$P4353,0)</f>
        <v>0</v>
      </c>
      <c r="V4353" s="64" t="n">
        <f aca="false">IF($K4353="Better",$P4353,0)</f>
        <v>0</v>
      </c>
      <c r="W4353" s="64" t="n">
        <f aca="false">IF($K4353="U – needs rule",$P4353,0)</f>
        <v>0</v>
      </c>
      <c r="X4353" s="64" t="n">
        <f aca="false">IF($K4353="No Start (attainment only)",$P4353,0)</f>
        <v>0</v>
      </c>
    </row>
    <row r="4354" customFormat="false" ht="15" hidden="false" customHeight="false" outlineLevel="0" collapsed="false">
      <c r="A4354" s="60"/>
      <c r="B4354" s="61" t="str">
        <f aca="false">IF($M4354=0,"",INDEX(Classes!$E$6:$E$420,$M4354))</f>
        <v/>
      </c>
      <c r="C4354" s="62" t="str">
        <f aca="false">IF($M4354=0,"",INDEX(Classes!$H$6:$H$420,$M4354))</f>
        <v/>
      </c>
      <c r="D4354" s="61" t="str">
        <f aca="false">IF($M4354=0,"",INDEX(Classes!$B$6:$B$420,$M4354))</f>
        <v/>
      </c>
      <c r="E4354" s="61" t="str">
        <f aca="false">IF($M4354=0,"",INDEX(Classes!$C$6:$C$420,$M4354))</f>
        <v/>
      </c>
      <c r="F4354" s="63"/>
      <c r="G4354" s="63"/>
      <c r="H4354" s="60"/>
      <c r="I4354" s="60"/>
      <c r="J4354" s="63"/>
      <c r="K4354" s="61" t="str">
        <f aca="false">IF($P4354=0,"",IF($F4354="Baseline","— Baseline",IF($O4354=0,"No result",IF($N4354=0,"No Start (attainment only)",IF(OR($N4354=1,$O4354=1),"U – needs rule",INDEX(MxBody,MATCH($I4354,MxCurr,0),MATCH($H4354,MxStart,0)))))))</f>
        <v/>
      </c>
      <c r="L4354" s="62" t="str">
        <f aca="false">IF(COUNTA($A4354,$F4354,$G4354,$H4354,$I4354,$J4354)=0,"",IF($M4354=0,"✖ كود الصف غير موجود",IF(ISNA(MATCH($F4354,Lists!$A$2:$A$5,0)),"✖ الفترة غير صحيحة",IF(ISNA(MATCH($G4354,Lists!$B$2:$B$7,0)),"✖ المجموعة غير صحيحة",IF(NOT(OR($H4354="",$N4354&gt;0)),"✖ Start غير صحيح",IF(NOT(OR($I4354="",$I4354="NR",$O4354&gt;0)),"✖ Current غير صحيح",IF(NOT(IF(ISNUMBER($J4354),AND($J4354&gt;=0,$J4354=INT($J4354)),FALSE())),"✖ العدد يجب أن يكون صحيحًا ≥ 0",IF(AND($F4354="Baseline",$H4354&lt;&gt;""),"⚠ Baseline: Start لا يدخل في التقدم",IF($K4354="No Start (attainment only)","ℹ تحصيل فقط (بدون Start)",IF($K4354="U – needs rule","ℹ حالة U تحتاج قاعدة معتمدة",IF($K4354="No result","ℹ بدون نتيجة (يُستبعد من التحصيل)","OK")))))))))))</f>
        <v/>
      </c>
      <c r="M4354" s="64" t="n">
        <f aca="false">IF($A4354="",0,IFERROR(MATCH($A4354,Classes!$A$6:$A$420,0),0))</f>
        <v>0</v>
      </c>
      <c r="N4354" s="64" t="n">
        <f aca="false">IF($H4354="",0,IFERROR(MATCH($H4354,GradeList,0),0))</f>
        <v>0</v>
      </c>
      <c r="O4354" s="64" t="n">
        <f aca="false">IF(OR($I4354="",$I4354="NR"),0,IFERROR(MATCH($I4354,GradeList,0),0))</f>
        <v>0</v>
      </c>
      <c r="P4354" s="64" t="n">
        <f aca="false">IF(AND($M4354&gt;0,ISNUMBER(MATCH($F4354,Lists!$A$2:$A$5,0)),ISNUMBER(MATCH($G4354,Lists!$B$2:$B$7,0)),OR($H4354="",$N4354&gt;0),OR($I4354="",$I4354="NR",$O4354&gt;0),IF(ISNUMBER($J4354),AND($J4354&gt;=0,$J4354=INT($J4354)),FALSE())),$J4354,0)</f>
        <v>0</v>
      </c>
      <c r="Q4354" s="64" t="n">
        <f aca="false">IF(AND($P4354&gt;0,$O4354&gt;0),$P4354,0)</f>
        <v>0</v>
      </c>
      <c r="R4354" s="64" t="n">
        <f aca="false">IF(AND($Q4354&gt;0,$O4354&gt;=AtRank),$Q4354,0)</f>
        <v>0</v>
      </c>
      <c r="S4354" s="64" t="n">
        <f aca="false">IF(AND($Q4354&gt;0,$O4354&gt;=AboveRank),$Q4354,0)</f>
        <v>0</v>
      </c>
      <c r="T4354" s="64" t="n">
        <f aca="false">IF($K4354="Less",$P4354,0)</f>
        <v>0</v>
      </c>
      <c r="U4354" s="64" t="n">
        <f aca="false">IF($K4354="Expected",$P4354,0)</f>
        <v>0</v>
      </c>
      <c r="V4354" s="64" t="n">
        <f aca="false">IF($K4354="Better",$P4354,0)</f>
        <v>0</v>
      </c>
      <c r="W4354" s="64" t="n">
        <f aca="false">IF($K4354="U – needs rule",$P4354,0)</f>
        <v>0</v>
      </c>
      <c r="X4354" s="64" t="n">
        <f aca="false">IF($K4354="No Start (attainment only)",$P4354,0)</f>
        <v>0</v>
      </c>
    </row>
    <row r="4355" customFormat="false" ht="15" hidden="false" customHeight="false" outlineLevel="0" collapsed="false">
      <c r="A4355" s="60"/>
      <c r="B4355" s="61" t="str">
        <f aca="false">IF($M4355=0,"",INDEX(Classes!$E$6:$E$420,$M4355))</f>
        <v/>
      </c>
      <c r="C4355" s="62" t="str">
        <f aca="false">IF($M4355=0,"",INDEX(Classes!$H$6:$H$420,$M4355))</f>
        <v/>
      </c>
      <c r="D4355" s="61" t="str">
        <f aca="false">IF($M4355=0,"",INDEX(Classes!$B$6:$B$420,$M4355))</f>
        <v/>
      </c>
      <c r="E4355" s="61" t="str">
        <f aca="false">IF($M4355=0,"",INDEX(Classes!$C$6:$C$420,$M4355))</f>
        <v/>
      </c>
      <c r="F4355" s="63"/>
      <c r="G4355" s="63"/>
      <c r="H4355" s="60"/>
      <c r="I4355" s="60"/>
      <c r="J4355" s="63"/>
      <c r="K4355" s="61" t="str">
        <f aca="false">IF($P4355=0,"",IF($F4355="Baseline","— Baseline",IF($O4355=0,"No result",IF($N4355=0,"No Start (attainment only)",IF(OR($N4355=1,$O4355=1),"U – needs rule",INDEX(MxBody,MATCH($I4355,MxCurr,0),MATCH($H4355,MxStart,0)))))))</f>
        <v/>
      </c>
      <c r="L4355" s="62" t="str">
        <f aca="false">IF(COUNTA($A4355,$F4355,$G4355,$H4355,$I4355,$J4355)=0,"",IF($M4355=0,"✖ كود الصف غير موجود",IF(ISNA(MATCH($F4355,Lists!$A$2:$A$5,0)),"✖ الفترة غير صحيحة",IF(ISNA(MATCH($G4355,Lists!$B$2:$B$7,0)),"✖ المجموعة غير صحيحة",IF(NOT(OR($H4355="",$N4355&gt;0)),"✖ Start غير صحيح",IF(NOT(OR($I4355="",$I4355="NR",$O4355&gt;0)),"✖ Current غير صحيح",IF(NOT(IF(ISNUMBER($J4355),AND($J4355&gt;=0,$J4355=INT($J4355)),FALSE())),"✖ العدد يجب أن يكون صحيحًا ≥ 0",IF(AND($F4355="Baseline",$H4355&lt;&gt;""),"⚠ Baseline: Start لا يدخل في التقدم",IF($K4355="No Start (attainment only)","ℹ تحصيل فقط (بدون Start)",IF($K4355="U – needs rule","ℹ حالة U تحتاج قاعدة معتمدة",IF($K4355="No result","ℹ بدون نتيجة (يُستبعد من التحصيل)","OK")))))))))))</f>
        <v/>
      </c>
      <c r="M4355" s="64" t="n">
        <f aca="false">IF($A4355="",0,IFERROR(MATCH($A4355,Classes!$A$6:$A$420,0),0))</f>
        <v>0</v>
      </c>
      <c r="N4355" s="64" t="n">
        <f aca="false">IF($H4355="",0,IFERROR(MATCH($H4355,GradeList,0),0))</f>
        <v>0</v>
      </c>
      <c r="O4355" s="64" t="n">
        <f aca="false">IF(OR($I4355="",$I4355="NR"),0,IFERROR(MATCH($I4355,GradeList,0),0))</f>
        <v>0</v>
      </c>
      <c r="P4355" s="64" t="n">
        <f aca="false">IF(AND($M4355&gt;0,ISNUMBER(MATCH($F4355,Lists!$A$2:$A$5,0)),ISNUMBER(MATCH($G4355,Lists!$B$2:$B$7,0)),OR($H4355="",$N4355&gt;0),OR($I4355="",$I4355="NR",$O4355&gt;0),IF(ISNUMBER($J4355),AND($J4355&gt;=0,$J4355=INT($J4355)),FALSE())),$J4355,0)</f>
        <v>0</v>
      </c>
      <c r="Q4355" s="64" t="n">
        <f aca="false">IF(AND($P4355&gt;0,$O4355&gt;0),$P4355,0)</f>
        <v>0</v>
      </c>
      <c r="R4355" s="64" t="n">
        <f aca="false">IF(AND($Q4355&gt;0,$O4355&gt;=AtRank),$Q4355,0)</f>
        <v>0</v>
      </c>
      <c r="S4355" s="64" t="n">
        <f aca="false">IF(AND($Q4355&gt;0,$O4355&gt;=AboveRank),$Q4355,0)</f>
        <v>0</v>
      </c>
      <c r="T4355" s="64" t="n">
        <f aca="false">IF($K4355="Less",$P4355,0)</f>
        <v>0</v>
      </c>
      <c r="U4355" s="64" t="n">
        <f aca="false">IF($K4355="Expected",$P4355,0)</f>
        <v>0</v>
      </c>
      <c r="V4355" s="64" t="n">
        <f aca="false">IF($K4355="Better",$P4355,0)</f>
        <v>0</v>
      </c>
      <c r="W4355" s="64" t="n">
        <f aca="false">IF($K4355="U – needs rule",$P4355,0)</f>
        <v>0</v>
      </c>
      <c r="X4355" s="64" t="n">
        <f aca="false">IF($K4355="No Start (attainment only)",$P4355,0)</f>
        <v>0</v>
      </c>
    </row>
    <row r="4356" customFormat="false" ht="15" hidden="false" customHeight="false" outlineLevel="0" collapsed="false">
      <c r="A4356" s="60"/>
      <c r="B4356" s="61" t="str">
        <f aca="false">IF($M4356=0,"",INDEX(Classes!$E$6:$E$420,$M4356))</f>
        <v/>
      </c>
      <c r="C4356" s="62" t="str">
        <f aca="false">IF($M4356=0,"",INDEX(Classes!$H$6:$H$420,$M4356))</f>
        <v/>
      </c>
      <c r="D4356" s="61" t="str">
        <f aca="false">IF($M4356=0,"",INDEX(Classes!$B$6:$B$420,$M4356))</f>
        <v/>
      </c>
      <c r="E4356" s="61" t="str">
        <f aca="false">IF($M4356=0,"",INDEX(Classes!$C$6:$C$420,$M4356))</f>
        <v/>
      </c>
      <c r="F4356" s="63"/>
      <c r="G4356" s="63"/>
      <c r="H4356" s="60"/>
      <c r="I4356" s="60"/>
      <c r="J4356" s="63"/>
      <c r="K4356" s="61" t="str">
        <f aca="false">IF($P4356=0,"",IF($F4356="Baseline","— Baseline",IF($O4356=0,"No result",IF($N4356=0,"No Start (attainment only)",IF(OR($N4356=1,$O4356=1),"U – needs rule",INDEX(MxBody,MATCH($I4356,MxCurr,0),MATCH($H4356,MxStart,0)))))))</f>
        <v/>
      </c>
      <c r="L4356" s="62" t="str">
        <f aca="false">IF(COUNTA($A4356,$F4356,$G4356,$H4356,$I4356,$J4356)=0,"",IF($M4356=0,"✖ كود الصف غير موجود",IF(ISNA(MATCH($F4356,Lists!$A$2:$A$5,0)),"✖ الفترة غير صحيحة",IF(ISNA(MATCH($G4356,Lists!$B$2:$B$7,0)),"✖ المجموعة غير صحيحة",IF(NOT(OR($H4356="",$N4356&gt;0)),"✖ Start غير صحيح",IF(NOT(OR($I4356="",$I4356="NR",$O4356&gt;0)),"✖ Current غير صحيح",IF(NOT(IF(ISNUMBER($J4356),AND($J4356&gt;=0,$J4356=INT($J4356)),FALSE())),"✖ العدد يجب أن يكون صحيحًا ≥ 0",IF(AND($F4356="Baseline",$H4356&lt;&gt;""),"⚠ Baseline: Start لا يدخل في التقدم",IF($K4356="No Start (attainment only)","ℹ تحصيل فقط (بدون Start)",IF($K4356="U – needs rule","ℹ حالة U تحتاج قاعدة معتمدة",IF($K4356="No result","ℹ بدون نتيجة (يُستبعد من التحصيل)","OK")))))))))))</f>
        <v/>
      </c>
      <c r="M4356" s="64" t="n">
        <f aca="false">IF($A4356="",0,IFERROR(MATCH($A4356,Classes!$A$6:$A$420,0),0))</f>
        <v>0</v>
      </c>
      <c r="N4356" s="64" t="n">
        <f aca="false">IF($H4356="",0,IFERROR(MATCH($H4356,GradeList,0),0))</f>
        <v>0</v>
      </c>
      <c r="O4356" s="64" t="n">
        <f aca="false">IF(OR($I4356="",$I4356="NR"),0,IFERROR(MATCH($I4356,GradeList,0),0))</f>
        <v>0</v>
      </c>
      <c r="P4356" s="64" t="n">
        <f aca="false">IF(AND($M4356&gt;0,ISNUMBER(MATCH($F4356,Lists!$A$2:$A$5,0)),ISNUMBER(MATCH($G4356,Lists!$B$2:$B$7,0)),OR($H4356="",$N4356&gt;0),OR($I4356="",$I4356="NR",$O4356&gt;0),IF(ISNUMBER($J4356),AND($J4356&gt;=0,$J4356=INT($J4356)),FALSE())),$J4356,0)</f>
        <v>0</v>
      </c>
      <c r="Q4356" s="64" t="n">
        <f aca="false">IF(AND($P4356&gt;0,$O4356&gt;0),$P4356,0)</f>
        <v>0</v>
      </c>
      <c r="R4356" s="64" t="n">
        <f aca="false">IF(AND($Q4356&gt;0,$O4356&gt;=AtRank),$Q4356,0)</f>
        <v>0</v>
      </c>
      <c r="S4356" s="64" t="n">
        <f aca="false">IF(AND($Q4356&gt;0,$O4356&gt;=AboveRank),$Q4356,0)</f>
        <v>0</v>
      </c>
      <c r="T4356" s="64" t="n">
        <f aca="false">IF($K4356="Less",$P4356,0)</f>
        <v>0</v>
      </c>
      <c r="U4356" s="64" t="n">
        <f aca="false">IF($K4356="Expected",$P4356,0)</f>
        <v>0</v>
      </c>
      <c r="V4356" s="64" t="n">
        <f aca="false">IF($K4356="Better",$P4356,0)</f>
        <v>0</v>
      </c>
      <c r="W4356" s="64" t="n">
        <f aca="false">IF($K4356="U – needs rule",$P4356,0)</f>
        <v>0</v>
      </c>
      <c r="X4356" s="64" t="n">
        <f aca="false">IF($K4356="No Start (attainment only)",$P4356,0)</f>
        <v>0</v>
      </c>
    </row>
    <row r="4357" customFormat="false" ht="15" hidden="false" customHeight="false" outlineLevel="0" collapsed="false">
      <c r="A4357" s="60"/>
      <c r="B4357" s="61" t="str">
        <f aca="false">IF($M4357=0,"",INDEX(Classes!$E$6:$E$420,$M4357))</f>
        <v/>
      </c>
      <c r="C4357" s="62" t="str">
        <f aca="false">IF($M4357=0,"",INDEX(Classes!$H$6:$H$420,$M4357))</f>
        <v/>
      </c>
      <c r="D4357" s="61" t="str">
        <f aca="false">IF($M4357=0,"",INDEX(Classes!$B$6:$B$420,$M4357))</f>
        <v/>
      </c>
      <c r="E4357" s="61" t="str">
        <f aca="false">IF($M4357=0,"",INDEX(Classes!$C$6:$C$420,$M4357))</f>
        <v/>
      </c>
      <c r="F4357" s="63"/>
      <c r="G4357" s="63"/>
      <c r="H4357" s="60"/>
      <c r="I4357" s="60"/>
      <c r="J4357" s="63"/>
      <c r="K4357" s="61" t="str">
        <f aca="false">IF($P4357=0,"",IF($F4357="Baseline","— Baseline",IF($O4357=0,"No result",IF($N4357=0,"No Start (attainment only)",IF(OR($N4357=1,$O4357=1),"U – needs rule",INDEX(MxBody,MATCH($I4357,MxCurr,0),MATCH($H4357,MxStart,0)))))))</f>
        <v/>
      </c>
      <c r="L4357" s="62" t="str">
        <f aca="false">IF(COUNTA($A4357,$F4357,$G4357,$H4357,$I4357,$J4357)=0,"",IF($M4357=0,"✖ كود الصف غير موجود",IF(ISNA(MATCH($F4357,Lists!$A$2:$A$5,0)),"✖ الفترة غير صحيحة",IF(ISNA(MATCH($G4357,Lists!$B$2:$B$7,0)),"✖ المجموعة غير صحيحة",IF(NOT(OR($H4357="",$N4357&gt;0)),"✖ Start غير صحيح",IF(NOT(OR($I4357="",$I4357="NR",$O4357&gt;0)),"✖ Current غير صحيح",IF(NOT(IF(ISNUMBER($J4357),AND($J4357&gt;=0,$J4357=INT($J4357)),FALSE())),"✖ العدد يجب أن يكون صحيحًا ≥ 0",IF(AND($F4357="Baseline",$H4357&lt;&gt;""),"⚠ Baseline: Start لا يدخل في التقدم",IF($K4357="No Start (attainment only)","ℹ تحصيل فقط (بدون Start)",IF($K4357="U – needs rule","ℹ حالة U تحتاج قاعدة معتمدة",IF($K4357="No result","ℹ بدون نتيجة (يُستبعد من التحصيل)","OK")))))))))))</f>
        <v/>
      </c>
      <c r="M4357" s="64" t="n">
        <f aca="false">IF($A4357="",0,IFERROR(MATCH($A4357,Classes!$A$6:$A$420,0),0))</f>
        <v>0</v>
      </c>
      <c r="N4357" s="64" t="n">
        <f aca="false">IF($H4357="",0,IFERROR(MATCH($H4357,GradeList,0),0))</f>
        <v>0</v>
      </c>
      <c r="O4357" s="64" t="n">
        <f aca="false">IF(OR($I4357="",$I4357="NR"),0,IFERROR(MATCH($I4357,GradeList,0),0))</f>
        <v>0</v>
      </c>
      <c r="P4357" s="64" t="n">
        <f aca="false">IF(AND($M4357&gt;0,ISNUMBER(MATCH($F4357,Lists!$A$2:$A$5,0)),ISNUMBER(MATCH($G4357,Lists!$B$2:$B$7,0)),OR($H4357="",$N4357&gt;0),OR($I4357="",$I4357="NR",$O4357&gt;0),IF(ISNUMBER($J4357),AND($J4357&gt;=0,$J4357=INT($J4357)),FALSE())),$J4357,0)</f>
        <v>0</v>
      </c>
      <c r="Q4357" s="64" t="n">
        <f aca="false">IF(AND($P4357&gt;0,$O4357&gt;0),$P4357,0)</f>
        <v>0</v>
      </c>
      <c r="R4357" s="64" t="n">
        <f aca="false">IF(AND($Q4357&gt;0,$O4357&gt;=AtRank),$Q4357,0)</f>
        <v>0</v>
      </c>
      <c r="S4357" s="64" t="n">
        <f aca="false">IF(AND($Q4357&gt;0,$O4357&gt;=AboveRank),$Q4357,0)</f>
        <v>0</v>
      </c>
      <c r="T4357" s="64" t="n">
        <f aca="false">IF($K4357="Less",$P4357,0)</f>
        <v>0</v>
      </c>
      <c r="U4357" s="64" t="n">
        <f aca="false">IF($K4357="Expected",$P4357,0)</f>
        <v>0</v>
      </c>
      <c r="V4357" s="64" t="n">
        <f aca="false">IF($K4357="Better",$P4357,0)</f>
        <v>0</v>
      </c>
      <c r="W4357" s="64" t="n">
        <f aca="false">IF($K4357="U – needs rule",$P4357,0)</f>
        <v>0</v>
      </c>
      <c r="X4357" s="64" t="n">
        <f aca="false">IF($K4357="No Start (attainment only)",$P4357,0)</f>
        <v>0</v>
      </c>
    </row>
    <row r="4358" customFormat="false" ht="15" hidden="false" customHeight="false" outlineLevel="0" collapsed="false">
      <c r="A4358" s="60"/>
      <c r="B4358" s="61" t="str">
        <f aca="false">IF($M4358=0,"",INDEX(Classes!$E$6:$E$420,$M4358))</f>
        <v/>
      </c>
      <c r="C4358" s="62" t="str">
        <f aca="false">IF($M4358=0,"",INDEX(Classes!$H$6:$H$420,$M4358))</f>
        <v/>
      </c>
      <c r="D4358" s="61" t="str">
        <f aca="false">IF($M4358=0,"",INDEX(Classes!$B$6:$B$420,$M4358))</f>
        <v/>
      </c>
      <c r="E4358" s="61" t="str">
        <f aca="false">IF($M4358=0,"",INDEX(Classes!$C$6:$C$420,$M4358))</f>
        <v/>
      </c>
      <c r="F4358" s="63"/>
      <c r="G4358" s="63"/>
      <c r="H4358" s="60"/>
      <c r="I4358" s="60"/>
      <c r="J4358" s="63"/>
      <c r="K4358" s="61" t="str">
        <f aca="false">IF($P4358=0,"",IF($F4358="Baseline","— Baseline",IF($O4358=0,"No result",IF($N4358=0,"No Start (attainment only)",IF(OR($N4358=1,$O4358=1),"U – needs rule",INDEX(MxBody,MATCH($I4358,MxCurr,0),MATCH($H4358,MxStart,0)))))))</f>
        <v/>
      </c>
      <c r="L4358" s="62" t="str">
        <f aca="false">IF(COUNTA($A4358,$F4358,$G4358,$H4358,$I4358,$J4358)=0,"",IF($M4358=0,"✖ كود الصف غير موجود",IF(ISNA(MATCH($F4358,Lists!$A$2:$A$5,0)),"✖ الفترة غير صحيحة",IF(ISNA(MATCH($G4358,Lists!$B$2:$B$7,0)),"✖ المجموعة غير صحيحة",IF(NOT(OR($H4358="",$N4358&gt;0)),"✖ Start غير صحيح",IF(NOT(OR($I4358="",$I4358="NR",$O4358&gt;0)),"✖ Current غير صحيح",IF(NOT(IF(ISNUMBER($J4358),AND($J4358&gt;=0,$J4358=INT($J4358)),FALSE())),"✖ العدد يجب أن يكون صحيحًا ≥ 0",IF(AND($F4358="Baseline",$H4358&lt;&gt;""),"⚠ Baseline: Start لا يدخل في التقدم",IF($K4358="No Start (attainment only)","ℹ تحصيل فقط (بدون Start)",IF($K4358="U – needs rule","ℹ حالة U تحتاج قاعدة معتمدة",IF($K4358="No result","ℹ بدون نتيجة (يُستبعد من التحصيل)","OK")))))))))))</f>
        <v/>
      </c>
      <c r="M4358" s="64" t="n">
        <f aca="false">IF($A4358="",0,IFERROR(MATCH($A4358,Classes!$A$6:$A$420,0),0))</f>
        <v>0</v>
      </c>
      <c r="N4358" s="64" t="n">
        <f aca="false">IF($H4358="",0,IFERROR(MATCH($H4358,GradeList,0),0))</f>
        <v>0</v>
      </c>
      <c r="O4358" s="64" t="n">
        <f aca="false">IF(OR($I4358="",$I4358="NR"),0,IFERROR(MATCH($I4358,GradeList,0),0))</f>
        <v>0</v>
      </c>
      <c r="P4358" s="64" t="n">
        <f aca="false">IF(AND($M4358&gt;0,ISNUMBER(MATCH($F4358,Lists!$A$2:$A$5,0)),ISNUMBER(MATCH($G4358,Lists!$B$2:$B$7,0)),OR($H4358="",$N4358&gt;0),OR($I4358="",$I4358="NR",$O4358&gt;0),IF(ISNUMBER($J4358),AND($J4358&gt;=0,$J4358=INT($J4358)),FALSE())),$J4358,0)</f>
        <v>0</v>
      </c>
      <c r="Q4358" s="64" t="n">
        <f aca="false">IF(AND($P4358&gt;0,$O4358&gt;0),$P4358,0)</f>
        <v>0</v>
      </c>
      <c r="R4358" s="64" t="n">
        <f aca="false">IF(AND($Q4358&gt;0,$O4358&gt;=AtRank),$Q4358,0)</f>
        <v>0</v>
      </c>
      <c r="S4358" s="64" t="n">
        <f aca="false">IF(AND($Q4358&gt;0,$O4358&gt;=AboveRank),$Q4358,0)</f>
        <v>0</v>
      </c>
      <c r="T4358" s="64" t="n">
        <f aca="false">IF($K4358="Less",$P4358,0)</f>
        <v>0</v>
      </c>
      <c r="U4358" s="64" t="n">
        <f aca="false">IF($K4358="Expected",$P4358,0)</f>
        <v>0</v>
      </c>
      <c r="V4358" s="64" t="n">
        <f aca="false">IF($K4358="Better",$P4358,0)</f>
        <v>0</v>
      </c>
      <c r="W4358" s="64" t="n">
        <f aca="false">IF($K4358="U – needs rule",$P4358,0)</f>
        <v>0</v>
      </c>
      <c r="X4358" s="64" t="n">
        <f aca="false">IF($K4358="No Start (attainment only)",$P4358,0)</f>
        <v>0</v>
      </c>
    </row>
    <row r="4359" customFormat="false" ht="15" hidden="false" customHeight="false" outlineLevel="0" collapsed="false">
      <c r="A4359" s="60"/>
      <c r="B4359" s="61" t="str">
        <f aca="false">IF($M4359=0,"",INDEX(Classes!$E$6:$E$420,$M4359))</f>
        <v/>
      </c>
      <c r="C4359" s="62" t="str">
        <f aca="false">IF($M4359=0,"",INDEX(Classes!$H$6:$H$420,$M4359))</f>
        <v/>
      </c>
      <c r="D4359" s="61" t="str">
        <f aca="false">IF($M4359=0,"",INDEX(Classes!$B$6:$B$420,$M4359))</f>
        <v/>
      </c>
      <c r="E4359" s="61" t="str">
        <f aca="false">IF($M4359=0,"",INDEX(Classes!$C$6:$C$420,$M4359))</f>
        <v/>
      </c>
      <c r="F4359" s="63"/>
      <c r="G4359" s="63"/>
      <c r="H4359" s="60"/>
      <c r="I4359" s="60"/>
      <c r="J4359" s="63"/>
      <c r="K4359" s="61" t="str">
        <f aca="false">IF($P4359=0,"",IF($F4359="Baseline","— Baseline",IF($O4359=0,"No result",IF($N4359=0,"No Start (attainment only)",IF(OR($N4359=1,$O4359=1),"U – needs rule",INDEX(MxBody,MATCH($I4359,MxCurr,0),MATCH($H4359,MxStart,0)))))))</f>
        <v/>
      </c>
      <c r="L4359" s="62" t="str">
        <f aca="false">IF(COUNTA($A4359,$F4359,$G4359,$H4359,$I4359,$J4359)=0,"",IF($M4359=0,"✖ كود الصف غير موجود",IF(ISNA(MATCH($F4359,Lists!$A$2:$A$5,0)),"✖ الفترة غير صحيحة",IF(ISNA(MATCH($G4359,Lists!$B$2:$B$7,0)),"✖ المجموعة غير صحيحة",IF(NOT(OR($H4359="",$N4359&gt;0)),"✖ Start غير صحيح",IF(NOT(OR($I4359="",$I4359="NR",$O4359&gt;0)),"✖ Current غير صحيح",IF(NOT(IF(ISNUMBER($J4359),AND($J4359&gt;=0,$J4359=INT($J4359)),FALSE())),"✖ العدد يجب أن يكون صحيحًا ≥ 0",IF(AND($F4359="Baseline",$H4359&lt;&gt;""),"⚠ Baseline: Start لا يدخل في التقدم",IF($K4359="No Start (attainment only)","ℹ تحصيل فقط (بدون Start)",IF($K4359="U – needs rule","ℹ حالة U تحتاج قاعدة معتمدة",IF($K4359="No result","ℹ بدون نتيجة (يُستبعد من التحصيل)","OK")))))))))))</f>
        <v/>
      </c>
      <c r="M4359" s="64" t="n">
        <f aca="false">IF($A4359="",0,IFERROR(MATCH($A4359,Classes!$A$6:$A$420,0),0))</f>
        <v>0</v>
      </c>
      <c r="N4359" s="64" t="n">
        <f aca="false">IF($H4359="",0,IFERROR(MATCH($H4359,GradeList,0),0))</f>
        <v>0</v>
      </c>
      <c r="O4359" s="64" t="n">
        <f aca="false">IF(OR($I4359="",$I4359="NR"),0,IFERROR(MATCH($I4359,GradeList,0),0))</f>
        <v>0</v>
      </c>
      <c r="P4359" s="64" t="n">
        <f aca="false">IF(AND($M4359&gt;0,ISNUMBER(MATCH($F4359,Lists!$A$2:$A$5,0)),ISNUMBER(MATCH($G4359,Lists!$B$2:$B$7,0)),OR($H4359="",$N4359&gt;0),OR($I4359="",$I4359="NR",$O4359&gt;0),IF(ISNUMBER($J4359),AND($J4359&gt;=0,$J4359=INT($J4359)),FALSE())),$J4359,0)</f>
        <v>0</v>
      </c>
      <c r="Q4359" s="64" t="n">
        <f aca="false">IF(AND($P4359&gt;0,$O4359&gt;0),$P4359,0)</f>
        <v>0</v>
      </c>
      <c r="R4359" s="64" t="n">
        <f aca="false">IF(AND($Q4359&gt;0,$O4359&gt;=AtRank),$Q4359,0)</f>
        <v>0</v>
      </c>
      <c r="S4359" s="64" t="n">
        <f aca="false">IF(AND($Q4359&gt;0,$O4359&gt;=AboveRank),$Q4359,0)</f>
        <v>0</v>
      </c>
      <c r="T4359" s="64" t="n">
        <f aca="false">IF($K4359="Less",$P4359,0)</f>
        <v>0</v>
      </c>
      <c r="U4359" s="64" t="n">
        <f aca="false">IF($K4359="Expected",$P4359,0)</f>
        <v>0</v>
      </c>
      <c r="V4359" s="64" t="n">
        <f aca="false">IF($K4359="Better",$P4359,0)</f>
        <v>0</v>
      </c>
      <c r="W4359" s="64" t="n">
        <f aca="false">IF($K4359="U – needs rule",$P4359,0)</f>
        <v>0</v>
      </c>
      <c r="X4359" s="64" t="n">
        <f aca="false">IF($K4359="No Start (attainment only)",$P4359,0)</f>
        <v>0</v>
      </c>
    </row>
    <row r="4360" customFormat="false" ht="15" hidden="false" customHeight="false" outlineLevel="0" collapsed="false">
      <c r="A4360" s="60"/>
      <c r="B4360" s="61" t="str">
        <f aca="false">IF($M4360=0,"",INDEX(Classes!$E$6:$E$420,$M4360))</f>
        <v/>
      </c>
      <c r="C4360" s="62" t="str">
        <f aca="false">IF($M4360=0,"",INDEX(Classes!$H$6:$H$420,$M4360))</f>
        <v/>
      </c>
      <c r="D4360" s="61" t="str">
        <f aca="false">IF($M4360=0,"",INDEX(Classes!$B$6:$B$420,$M4360))</f>
        <v/>
      </c>
      <c r="E4360" s="61" t="str">
        <f aca="false">IF($M4360=0,"",INDEX(Classes!$C$6:$C$420,$M4360))</f>
        <v/>
      </c>
      <c r="F4360" s="63"/>
      <c r="G4360" s="63"/>
      <c r="H4360" s="60"/>
      <c r="I4360" s="60"/>
      <c r="J4360" s="63"/>
      <c r="K4360" s="61" t="str">
        <f aca="false">IF($P4360=0,"",IF($F4360="Baseline","— Baseline",IF($O4360=0,"No result",IF($N4360=0,"No Start (attainment only)",IF(OR($N4360=1,$O4360=1),"U – needs rule",INDEX(MxBody,MATCH($I4360,MxCurr,0),MATCH($H4360,MxStart,0)))))))</f>
        <v/>
      </c>
      <c r="L4360" s="62" t="str">
        <f aca="false">IF(COUNTA($A4360,$F4360,$G4360,$H4360,$I4360,$J4360)=0,"",IF($M4360=0,"✖ كود الصف غير موجود",IF(ISNA(MATCH($F4360,Lists!$A$2:$A$5,0)),"✖ الفترة غير صحيحة",IF(ISNA(MATCH($G4360,Lists!$B$2:$B$7,0)),"✖ المجموعة غير صحيحة",IF(NOT(OR($H4360="",$N4360&gt;0)),"✖ Start غير صحيح",IF(NOT(OR($I4360="",$I4360="NR",$O4360&gt;0)),"✖ Current غير صحيح",IF(NOT(IF(ISNUMBER($J4360),AND($J4360&gt;=0,$J4360=INT($J4360)),FALSE())),"✖ العدد يجب أن يكون صحيحًا ≥ 0",IF(AND($F4360="Baseline",$H4360&lt;&gt;""),"⚠ Baseline: Start لا يدخل في التقدم",IF($K4360="No Start (attainment only)","ℹ تحصيل فقط (بدون Start)",IF($K4360="U – needs rule","ℹ حالة U تحتاج قاعدة معتمدة",IF($K4360="No result","ℹ بدون نتيجة (يُستبعد من التحصيل)","OK")))))))))))</f>
        <v/>
      </c>
      <c r="M4360" s="64" t="n">
        <f aca="false">IF($A4360="",0,IFERROR(MATCH($A4360,Classes!$A$6:$A$420,0),0))</f>
        <v>0</v>
      </c>
      <c r="N4360" s="64" t="n">
        <f aca="false">IF($H4360="",0,IFERROR(MATCH($H4360,GradeList,0),0))</f>
        <v>0</v>
      </c>
      <c r="O4360" s="64" t="n">
        <f aca="false">IF(OR($I4360="",$I4360="NR"),0,IFERROR(MATCH($I4360,GradeList,0),0))</f>
        <v>0</v>
      </c>
      <c r="P4360" s="64" t="n">
        <f aca="false">IF(AND($M4360&gt;0,ISNUMBER(MATCH($F4360,Lists!$A$2:$A$5,0)),ISNUMBER(MATCH($G4360,Lists!$B$2:$B$7,0)),OR($H4360="",$N4360&gt;0),OR($I4360="",$I4360="NR",$O4360&gt;0),IF(ISNUMBER($J4360),AND($J4360&gt;=0,$J4360=INT($J4360)),FALSE())),$J4360,0)</f>
        <v>0</v>
      </c>
      <c r="Q4360" s="64" t="n">
        <f aca="false">IF(AND($P4360&gt;0,$O4360&gt;0),$P4360,0)</f>
        <v>0</v>
      </c>
      <c r="R4360" s="64" t="n">
        <f aca="false">IF(AND($Q4360&gt;0,$O4360&gt;=AtRank),$Q4360,0)</f>
        <v>0</v>
      </c>
      <c r="S4360" s="64" t="n">
        <f aca="false">IF(AND($Q4360&gt;0,$O4360&gt;=AboveRank),$Q4360,0)</f>
        <v>0</v>
      </c>
      <c r="T4360" s="64" t="n">
        <f aca="false">IF($K4360="Less",$P4360,0)</f>
        <v>0</v>
      </c>
      <c r="U4360" s="64" t="n">
        <f aca="false">IF($K4360="Expected",$P4360,0)</f>
        <v>0</v>
      </c>
      <c r="V4360" s="64" t="n">
        <f aca="false">IF($K4360="Better",$P4360,0)</f>
        <v>0</v>
      </c>
      <c r="W4360" s="64" t="n">
        <f aca="false">IF($K4360="U – needs rule",$P4360,0)</f>
        <v>0</v>
      </c>
      <c r="X4360" s="64" t="n">
        <f aca="false">IF($K4360="No Start (attainment only)",$P4360,0)</f>
        <v>0</v>
      </c>
    </row>
    <row r="4361" customFormat="false" ht="15" hidden="false" customHeight="false" outlineLevel="0" collapsed="false">
      <c r="A4361" s="60"/>
      <c r="B4361" s="61" t="str">
        <f aca="false">IF($M4361=0,"",INDEX(Classes!$E$6:$E$420,$M4361))</f>
        <v/>
      </c>
      <c r="C4361" s="62" t="str">
        <f aca="false">IF($M4361=0,"",INDEX(Classes!$H$6:$H$420,$M4361))</f>
        <v/>
      </c>
      <c r="D4361" s="61" t="str">
        <f aca="false">IF($M4361=0,"",INDEX(Classes!$B$6:$B$420,$M4361))</f>
        <v/>
      </c>
      <c r="E4361" s="61" t="str">
        <f aca="false">IF($M4361=0,"",INDEX(Classes!$C$6:$C$420,$M4361))</f>
        <v/>
      </c>
      <c r="F4361" s="63"/>
      <c r="G4361" s="63"/>
      <c r="H4361" s="60"/>
      <c r="I4361" s="60"/>
      <c r="J4361" s="63"/>
      <c r="K4361" s="61" t="str">
        <f aca="false">IF($P4361=0,"",IF($F4361="Baseline","— Baseline",IF($O4361=0,"No result",IF($N4361=0,"No Start (attainment only)",IF(OR($N4361=1,$O4361=1),"U – needs rule",INDEX(MxBody,MATCH($I4361,MxCurr,0),MATCH($H4361,MxStart,0)))))))</f>
        <v/>
      </c>
      <c r="L4361" s="62" t="str">
        <f aca="false">IF(COUNTA($A4361,$F4361,$G4361,$H4361,$I4361,$J4361)=0,"",IF($M4361=0,"✖ كود الصف غير موجود",IF(ISNA(MATCH($F4361,Lists!$A$2:$A$5,0)),"✖ الفترة غير صحيحة",IF(ISNA(MATCH($G4361,Lists!$B$2:$B$7,0)),"✖ المجموعة غير صحيحة",IF(NOT(OR($H4361="",$N4361&gt;0)),"✖ Start غير صحيح",IF(NOT(OR($I4361="",$I4361="NR",$O4361&gt;0)),"✖ Current غير صحيح",IF(NOT(IF(ISNUMBER($J4361),AND($J4361&gt;=0,$J4361=INT($J4361)),FALSE())),"✖ العدد يجب أن يكون صحيحًا ≥ 0",IF(AND($F4361="Baseline",$H4361&lt;&gt;""),"⚠ Baseline: Start لا يدخل في التقدم",IF($K4361="No Start (attainment only)","ℹ تحصيل فقط (بدون Start)",IF($K4361="U – needs rule","ℹ حالة U تحتاج قاعدة معتمدة",IF($K4361="No result","ℹ بدون نتيجة (يُستبعد من التحصيل)","OK")))))))))))</f>
        <v/>
      </c>
      <c r="M4361" s="64" t="n">
        <f aca="false">IF($A4361="",0,IFERROR(MATCH($A4361,Classes!$A$6:$A$420,0),0))</f>
        <v>0</v>
      </c>
      <c r="N4361" s="64" t="n">
        <f aca="false">IF($H4361="",0,IFERROR(MATCH($H4361,GradeList,0),0))</f>
        <v>0</v>
      </c>
      <c r="O4361" s="64" t="n">
        <f aca="false">IF(OR($I4361="",$I4361="NR"),0,IFERROR(MATCH($I4361,GradeList,0),0))</f>
        <v>0</v>
      </c>
      <c r="P4361" s="64" t="n">
        <f aca="false">IF(AND($M4361&gt;0,ISNUMBER(MATCH($F4361,Lists!$A$2:$A$5,0)),ISNUMBER(MATCH($G4361,Lists!$B$2:$B$7,0)),OR($H4361="",$N4361&gt;0),OR($I4361="",$I4361="NR",$O4361&gt;0),IF(ISNUMBER($J4361),AND($J4361&gt;=0,$J4361=INT($J4361)),FALSE())),$J4361,0)</f>
        <v>0</v>
      </c>
      <c r="Q4361" s="64" t="n">
        <f aca="false">IF(AND($P4361&gt;0,$O4361&gt;0),$P4361,0)</f>
        <v>0</v>
      </c>
      <c r="R4361" s="64" t="n">
        <f aca="false">IF(AND($Q4361&gt;0,$O4361&gt;=AtRank),$Q4361,0)</f>
        <v>0</v>
      </c>
      <c r="S4361" s="64" t="n">
        <f aca="false">IF(AND($Q4361&gt;0,$O4361&gt;=AboveRank),$Q4361,0)</f>
        <v>0</v>
      </c>
      <c r="T4361" s="64" t="n">
        <f aca="false">IF($K4361="Less",$P4361,0)</f>
        <v>0</v>
      </c>
      <c r="U4361" s="64" t="n">
        <f aca="false">IF($K4361="Expected",$P4361,0)</f>
        <v>0</v>
      </c>
      <c r="V4361" s="64" t="n">
        <f aca="false">IF($K4361="Better",$P4361,0)</f>
        <v>0</v>
      </c>
      <c r="W4361" s="64" t="n">
        <f aca="false">IF($K4361="U – needs rule",$P4361,0)</f>
        <v>0</v>
      </c>
      <c r="X4361" s="64" t="n">
        <f aca="false">IF($K4361="No Start (attainment only)",$P4361,0)</f>
        <v>0</v>
      </c>
    </row>
    <row r="4362" customFormat="false" ht="15" hidden="false" customHeight="false" outlineLevel="0" collapsed="false">
      <c r="A4362" s="60"/>
      <c r="B4362" s="61" t="str">
        <f aca="false">IF($M4362=0,"",INDEX(Classes!$E$6:$E$420,$M4362))</f>
        <v/>
      </c>
      <c r="C4362" s="62" t="str">
        <f aca="false">IF($M4362=0,"",INDEX(Classes!$H$6:$H$420,$M4362))</f>
        <v/>
      </c>
      <c r="D4362" s="61" t="str">
        <f aca="false">IF($M4362=0,"",INDEX(Classes!$B$6:$B$420,$M4362))</f>
        <v/>
      </c>
      <c r="E4362" s="61" t="str">
        <f aca="false">IF($M4362=0,"",INDEX(Classes!$C$6:$C$420,$M4362))</f>
        <v/>
      </c>
      <c r="F4362" s="63"/>
      <c r="G4362" s="63"/>
      <c r="H4362" s="60"/>
      <c r="I4362" s="60"/>
      <c r="J4362" s="63"/>
      <c r="K4362" s="61" t="str">
        <f aca="false">IF($P4362=0,"",IF($F4362="Baseline","— Baseline",IF($O4362=0,"No result",IF($N4362=0,"No Start (attainment only)",IF(OR($N4362=1,$O4362=1),"U – needs rule",INDEX(MxBody,MATCH($I4362,MxCurr,0),MATCH($H4362,MxStart,0)))))))</f>
        <v/>
      </c>
      <c r="L4362" s="62" t="str">
        <f aca="false">IF(COUNTA($A4362,$F4362,$G4362,$H4362,$I4362,$J4362)=0,"",IF($M4362=0,"✖ كود الصف غير موجود",IF(ISNA(MATCH($F4362,Lists!$A$2:$A$5,0)),"✖ الفترة غير صحيحة",IF(ISNA(MATCH($G4362,Lists!$B$2:$B$7,0)),"✖ المجموعة غير صحيحة",IF(NOT(OR($H4362="",$N4362&gt;0)),"✖ Start غير صحيح",IF(NOT(OR($I4362="",$I4362="NR",$O4362&gt;0)),"✖ Current غير صحيح",IF(NOT(IF(ISNUMBER($J4362),AND($J4362&gt;=0,$J4362=INT($J4362)),FALSE())),"✖ العدد يجب أن يكون صحيحًا ≥ 0",IF(AND($F4362="Baseline",$H4362&lt;&gt;""),"⚠ Baseline: Start لا يدخل في التقدم",IF($K4362="No Start (attainment only)","ℹ تحصيل فقط (بدون Start)",IF($K4362="U – needs rule","ℹ حالة U تحتاج قاعدة معتمدة",IF($K4362="No result","ℹ بدون نتيجة (يُستبعد من التحصيل)","OK")))))))))))</f>
        <v/>
      </c>
      <c r="M4362" s="64" t="n">
        <f aca="false">IF($A4362="",0,IFERROR(MATCH($A4362,Classes!$A$6:$A$420,0),0))</f>
        <v>0</v>
      </c>
      <c r="N4362" s="64" t="n">
        <f aca="false">IF($H4362="",0,IFERROR(MATCH($H4362,GradeList,0),0))</f>
        <v>0</v>
      </c>
      <c r="O4362" s="64" t="n">
        <f aca="false">IF(OR($I4362="",$I4362="NR"),0,IFERROR(MATCH($I4362,GradeList,0),0))</f>
        <v>0</v>
      </c>
      <c r="P4362" s="64" t="n">
        <f aca="false">IF(AND($M4362&gt;0,ISNUMBER(MATCH($F4362,Lists!$A$2:$A$5,0)),ISNUMBER(MATCH($G4362,Lists!$B$2:$B$7,0)),OR($H4362="",$N4362&gt;0),OR($I4362="",$I4362="NR",$O4362&gt;0),IF(ISNUMBER($J4362),AND($J4362&gt;=0,$J4362=INT($J4362)),FALSE())),$J4362,0)</f>
        <v>0</v>
      </c>
      <c r="Q4362" s="64" t="n">
        <f aca="false">IF(AND($P4362&gt;0,$O4362&gt;0),$P4362,0)</f>
        <v>0</v>
      </c>
      <c r="R4362" s="64" t="n">
        <f aca="false">IF(AND($Q4362&gt;0,$O4362&gt;=AtRank),$Q4362,0)</f>
        <v>0</v>
      </c>
      <c r="S4362" s="64" t="n">
        <f aca="false">IF(AND($Q4362&gt;0,$O4362&gt;=AboveRank),$Q4362,0)</f>
        <v>0</v>
      </c>
      <c r="T4362" s="64" t="n">
        <f aca="false">IF($K4362="Less",$P4362,0)</f>
        <v>0</v>
      </c>
      <c r="U4362" s="64" t="n">
        <f aca="false">IF($K4362="Expected",$P4362,0)</f>
        <v>0</v>
      </c>
      <c r="V4362" s="64" t="n">
        <f aca="false">IF($K4362="Better",$P4362,0)</f>
        <v>0</v>
      </c>
      <c r="W4362" s="64" t="n">
        <f aca="false">IF($K4362="U – needs rule",$P4362,0)</f>
        <v>0</v>
      </c>
      <c r="X4362" s="64" t="n">
        <f aca="false">IF($K4362="No Start (attainment only)",$P4362,0)</f>
        <v>0</v>
      </c>
    </row>
    <row r="4363" customFormat="false" ht="15" hidden="false" customHeight="false" outlineLevel="0" collapsed="false">
      <c r="A4363" s="60"/>
      <c r="B4363" s="61" t="str">
        <f aca="false">IF($M4363=0,"",INDEX(Classes!$E$6:$E$420,$M4363))</f>
        <v/>
      </c>
      <c r="C4363" s="62" t="str">
        <f aca="false">IF($M4363=0,"",INDEX(Classes!$H$6:$H$420,$M4363))</f>
        <v/>
      </c>
      <c r="D4363" s="61" t="str">
        <f aca="false">IF($M4363=0,"",INDEX(Classes!$B$6:$B$420,$M4363))</f>
        <v/>
      </c>
      <c r="E4363" s="61" t="str">
        <f aca="false">IF($M4363=0,"",INDEX(Classes!$C$6:$C$420,$M4363))</f>
        <v/>
      </c>
      <c r="F4363" s="63"/>
      <c r="G4363" s="63"/>
      <c r="H4363" s="60"/>
      <c r="I4363" s="60"/>
      <c r="J4363" s="63"/>
      <c r="K4363" s="61" t="str">
        <f aca="false">IF($P4363=0,"",IF($F4363="Baseline","— Baseline",IF($O4363=0,"No result",IF($N4363=0,"No Start (attainment only)",IF(OR($N4363=1,$O4363=1),"U – needs rule",INDEX(MxBody,MATCH($I4363,MxCurr,0),MATCH($H4363,MxStart,0)))))))</f>
        <v/>
      </c>
      <c r="L4363" s="62" t="str">
        <f aca="false">IF(COUNTA($A4363,$F4363,$G4363,$H4363,$I4363,$J4363)=0,"",IF($M4363=0,"✖ كود الصف غير موجود",IF(ISNA(MATCH($F4363,Lists!$A$2:$A$5,0)),"✖ الفترة غير صحيحة",IF(ISNA(MATCH($G4363,Lists!$B$2:$B$7,0)),"✖ المجموعة غير صحيحة",IF(NOT(OR($H4363="",$N4363&gt;0)),"✖ Start غير صحيح",IF(NOT(OR($I4363="",$I4363="NR",$O4363&gt;0)),"✖ Current غير صحيح",IF(NOT(IF(ISNUMBER($J4363),AND($J4363&gt;=0,$J4363=INT($J4363)),FALSE())),"✖ العدد يجب أن يكون صحيحًا ≥ 0",IF(AND($F4363="Baseline",$H4363&lt;&gt;""),"⚠ Baseline: Start لا يدخل في التقدم",IF($K4363="No Start (attainment only)","ℹ تحصيل فقط (بدون Start)",IF($K4363="U – needs rule","ℹ حالة U تحتاج قاعدة معتمدة",IF($K4363="No result","ℹ بدون نتيجة (يُستبعد من التحصيل)","OK")))))))))))</f>
        <v/>
      </c>
      <c r="M4363" s="64" t="n">
        <f aca="false">IF($A4363="",0,IFERROR(MATCH($A4363,Classes!$A$6:$A$420,0),0))</f>
        <v>0</v>
      </c>
      <c r="N4363" s="64" t="n">
        <f aca="false">IF($H4363="",0,IFERROR(MATCH($H4363,GradeList,0),0))</f>
        <v>0</v>
      </c>
      <c r="O4363" s="64" t="n">
        <f aca="false">IF(OR($I4363="",$I4363="NR"),0,IFERROR(MATCH($I4363,GradeList,0),0))</f>
        <v>0</v>
      </c>
      <c r="P4363" s="64" t="n">
        <f aca="false">IF(AND($M4363&gt;0,ISNUMBER(MATCH($F4363,Lists!$A$2:$A$5,0)),ISNUMBER(MATCH($G4363,Lists!$B$2:$B$7,0)),OR($H4363="",$N4363&gt;0),OR($I4363="",$I4363="NR",$O4363&gt;0),IF(ISNUMBER($J4363),AND($J4363&gt;=0,$J4363=INT($J4363)),FALSE())),$J4363,0)</f>
        <v>0</v>
      </c>
      <c r="Q4363" s="64" t="n">
        <f aca="false">IF(AND($P4363&gt;0,$O4363&gt;0),$P4363,0)</f>
        <v>0</v>
      </c>
      <c r="R4363" s="64" t="n">
        <f aca="false">IF(AND($Q4363&gt;0,$O4363&gt;=AtRank),$Q4363,0)</f>
        <v>0</v>
      </c>
      <c r="S4363" s="64" t="n">
        <f aca="false">IF(AND($Q4363&gt;0,$O4363&gt;=AboveRank),$Q4363,0)</f>
        <v>0</v>
      </c>
      <c r="T4363" s="64" t="n">
        <f aca="false">IF($K4363="Less",$P4363,0)</f>
        <v>0</v>
      </c>
      <c r="U4363" s="64" t="n">
        <f aca="false">IF($K4363="Expected",$P4363,0)</f>
        <v>0</v>
      </c>
      <c r="V4363" s="64" t="n">
        <f aca="false">IF($K4363="Better",$P4363,0)</f>
        <v>0</v>
      </c>
      <c r="W4363" s="64" t="n">
        <f aca="false">IF($K4363="U – needs rule",$P4363,0)</f>
        <v>0</v>
      </c>
      <c r="X4363" s="64" t="n">
        <f aca="false">IF($K4363="No Start (attainment only)",$P4363,0)</f>
        <v>0</v>
      </c>
    </row>
    <row r="4364" customFormat="false" ht="15" hidden="false" customHeight="false" outlineLevel="0" collapsed="false">
      <c r="A4364" s="60"/>
      <c r="B4364" s="61" t="str">
        <f aca="false">IF($M4364=0,"",INDEX(Classes!$E$6:$E$420,$M4364))</f>
        <v/>
      </c>
      <c r="C4364" s="62" t="str">
        <f aca="false">IF($M4364=0,"",INDEX(Classes!$H$6:$H$420,$M4364))</f>
        <v/>
      </c>
      <c r="D4364" s="61" t="str">
        <f aca="false">IF($M4364=0,"",INDEX(Classes!$B$6:$B$420,$M4364))</f>
        <v/>
      </c>
      <c r="E4364" s="61" t="str">
        <f aca="false">IF($M4364=0,"",INDEX(Classes!$C$6:$C$420,$M4364))</f>
        <v/>
      </c>
      <c r="F4364" s="63"/>
      <c r="G4364" s="63"/>
      <c r="H4364" s="60"/>
      <c r="I4364" s="60"/>
      <c r="J4364" s="63"/>
      <c r="K4364" s="61" t="str">
        <f aca="false">IF($P4364=0,"",IF($F4364="Baseline","— Baseline",IF($O4364=0,"No result",IF($N4364=0,"No Start (attainment only)",IF(OR($N4364=1,$O4364=1),"U – needs rule",INDEX(MxBody,MATCH($I4364,MxCurr,0),MATCH($H4364,MxStart,0)))))))</f>
        <v/>
      </c>
      <c r="L4364" s="62" t="str">
        <f aca="false">IF(COUNTA($A4364,$F4364,$G4364,$H4364,$I4364,$J4364)=0,"",IF($M4364=0,"✖ كود الصف غير موجود",IF(ISNA(MATCH($F4364,Lists!$A$2:$A$5,0)),"✖ الفترة غير صحيحة",IF(ISNA(MATCH($G4364,Lists!$B$2:$B$7,0)),"✖ المجموعة غير صحيحة",IF(NOT(OR($H4364="",$N4364&gt;0)),"✖ Start غير صحيح",IF(NOT(OR($I4364="",$I4364="NR",$O4364&gt;0)),"✖ Current غير صحيح",IF(NOT(IF(ISNUMBER($J4364),AND($J4364&gt;=0,$J4364=INT($J4364)),FALSE())),"✖ العدد يجب أن يكون صحيحًا ≥ 0",IF(AND($F4364="Baseline",$H4364&lt;&gt;""),"⚠ Baseline: Start لا يدخل في التقدم",IF($K4364="No Start (attainment only)","ℹ تحصيل فقط (بدون Start)",IF($K4364="U – needs rule","ℹ حالة U تحتاج قاعدة معتمدة",IF($K4364="No result","ℹ بدون نتيجة (يُستبعد من التحصيل)","OK")))))))))))</f>
        <v/>
      </c>
      <c r="M4364" s="64" t="n">
        <f aca="false">IF($A4364="",0,IFERROR(MATCH($A4364,Classes!$A$6:$A$420,0),0))</f>
        <v>0</v>
      </c>
      <c r="N4364" s="64" t="n">
        <f aca="false">IF($H4364="",0,IFERROR(MATCH($H4364,GradeList,0),0))</f>
        <v>0</v>
      </c>
      <c r="O4364" s="64" t="n">
        <f aca="false">IF(OR($I4364="",$I4364="NR"),0,IFERROR(MATCH($I4364,GradeList,0),0))</f>
        <v>0</v>
      </c>
      <c r="P4364" s="64" t="n">
        <f aca="false">IF(AND($M4364&gt;0,ISNUMBER(MATCH($F4364,Lists!$A$2:$A$5,0)),ISNUMBER(MATCH($G4364,Lists!$B$2:$B$7,0)),OR($H4364="",$N4364&gt;0),OR($I4364="",$I4364="NR",$O4364&gt;0),IF(ISNUMBER($J4364),AND($J4364&gt;=0,$J4364=INT($J4364)),FALSE())),$J4364,0)</f>
        <v>0</v>
      </c>
      <c r="Q4364" s="64" t="n">
        <f aca="false">IF(AND($P4364&gt;0,$O4364&gt;0),$P4364,0)</f>
        <v>0</v>
      </c>
      <c r="R4364" s="64" t="n">
        <f aca="false">IF(AND($Q4364&gt;0,$O4364&gt;=AtRank),$Q4364,0)</f>
        <v>0</v>
      </c>
      <c r="S4364" s="64" t="n">
        <f aca="false">IF(AND($Q4364&gt;0,$O4364&gt;=AboveRank),$Q4364,0)</f>
        <v>0</v>
      </c>
      <c r="T4364" s="64" t="n">
        <f aca="false">IF($K4364="Less",$P4364,0)</f>
        <v>0</v>
      </c>
      <c r="U4364" s="64" t="n">
        <f aca="false">IF($K4364="Expected",$P4364,0)</f>
        <v>0</v>
      </c>
      <c r="V4364" s="64" t="n">
        <f aca="false">IF($K4364="Better",$P4364,0)</f>
        <v>0</v>
      </c>
      <c r="W4364" s="64" t="n">
        <f aca="false">IF($K4364="U – needs rule",$P4364,0)</f>
        <v>0</v>
      </c>
      <c r="X4364" s="64" t="n">
        <f aca="false">IF($K4364="No Start (attainment only)",$P4364,0)</f>
        <v>0</v>
      </c>
    </row>
    <row r="4365" customFormat="false" ht="15" hidden="false" customHeight="false" outlineLevel="0" collapsed="false">
      <c r="A4365" s="60"/>
      <c r="B4365" s="61" t="str">
        <f aca="false">IF($M4365=0,"",INDEX(Classes!$E$6:$E$420,$M4365))</f>
        <v/>
      </c>
      <c r="C4365" s="62" t="str">
        <f aca="false">IF($M4365=0,"",INDEX(Classes!$H$6:$H$420,$M4365))</f>
        <v/>
      </c>
      <c r="D4365" s="61" t="str">
        <f aca="false">IF($M4365=0,"",INDEX(Classes!$B$6:$B$420,$M4365))</f>
        <v/>
      </c>
      <c r="E4365" s="61" t="str">
        <f aca="false">IF($M4365=0,"",INDEX(Classes!$C$6:$C$420,$M4365))</f>
        <v/>
      </c>
      <c r="F4365" s="63"/>
      <c r="G4365" s="63"/>
      <c r="H4365" s="60"/>
      <c r="I4365" s="60"/>
      <c r="J4365" s="63"/>
      <c r="K4365" s="61" t="str">
        <f aca="false">IF($P4365=0,"",IF($F4365="Baseline","— Baseline",IF($O4365=0,"No result",IF($N4365=0,"No Start (attainment only)",IF(OR($N4365=1,$O4365=1),"U – needs rule",INDEX(MxBody,MATCH($I4365,MxCurr,0),MATCH($H4365,MxStart,0)))))))</f>
        <v/>
      </c>
      <c r="L4365" s="62" t="str">
        <f aca="false">IF(COUNTA($A4365,$F4365,$G4365,$H4365,$I4365,$J4365)=0,"",IF($M4365=0,"✖ كود الصف غير موجود",IF(ISNA(MATCH($F4365,Lists!$A$2:$A$5,0)),"✖ الفترة غير صحيحة",IF(ISNA(MATCH($G4365,Lists!$B$2:$B$7,0)),"✖ المجموعة غير صحيحة",IF(NOT(OR($H4365="",$N4365&gt;0)),"✖ Start غير صحيح",IF(NOT(OR($I4365="",$I4365="NR",$O4365&gt;0)),"✖ Current غير صحيح",IF(NOT(IF(ISNUMBER($J4365),AND($J4365&gt;=0,$J4365=INT($J4365)),FALSE())),"✖ العدد يجب أن يكون صحيحًا ≥ 0",IF(AND($F4365="Baseline",$H4365&lt;&gt;""),"⚠ Baseline: Start لا يدخل في التقدم",IF($K4365="No Start (attainment only)","ℹ تحصيل فقط (بدون Start)",IF($K4365="U – needs rule","ℹ حالة U تحتاج قاعدة معتمدة",IF($K4365="No result","ℹ بدون نتيجة (يُستبعد من التحصيل)","OK")))))))))))</f>
        <v/>
      </c>
      <c r="M4365" s="64" t="n">
        <f aca="false">IF($A4365="",0,IFERROR(MATCH($A4365,Classes!$A$6:$A$420,0),0))</f>
        <v>0</v>
      </c>
      <c r="N4365" s="64" t="n">
        <f aca="false">IF($H4365="",0,IFERROR(MATCH($H4365,GradeList,0),0))</f>
        <v>0</v>
      </c>
      <c r="O4365" s="64" t="n">
        <f aca="false">IF(OR($I4365="",$I4365="NR"),0,IFERROR(MATCH($I4365,GradeList,0),0))</f>
        <v>0</v>
      </c>
      <c r="P4365" s="64" t="n">
        <f aca="false">IF(AND($M4365&gt;0,ISNUMBER(MATCH($F4365,Lists!$A$2:$A$5,0)),ISNUMBER(MATCH($G4365,Lists!$B$2:$B$7,0)),OR($H4365="",$N4365&gt;0),OR($I4365="",$I4365="NR",$O4365&gt;0),IF(ISNUMBER($J4365),AND($J4365&gt;=0,$J4365=INT($J4365)),FALSE())),$J4365,0)</f>
        <v>0</v>
      </c>
      <c r="Q4365" s="64" t="n">
        <f aca="false">IF(AND($P4365&gt;0,$O4365&gt;0),$P4365,0)</f>
        <v>0</v>
      </c>
      <c r="R4365" s="64" t="n">
        <f aca="false">IF(AND($Q4365&gt;0,$O4365&gt;=AtRank),$Q4365,0)</f>
        <v>0</v>
      </c>
      <c r="S4365" s="64" t="n">
        <f aca="false">IF(AND($Q4365&gt;0,$O4365&gt;=AboveRank),$Q4365,0)</f>
        <v>0</v>
      </c>
      <c r="T4365" s="64" t="n">
        <f aca="false">IF($K4365="Less",$P4365,0)</f>
        <v>0</v>
      </c>
      <c r="U4365" s="64" t="n">
        <f aca="false">IF($K4365="Expected",$P4365,0)</f>
        <v>0</v>
      </c>
      <c r="V4365" s="64" t="n">
        <f aca="false">IF($K4365="Better",$P4365,0)</f>
        <v>0</v>
      </c>
      <c r="W4365" s="64" t="n">
        <f aca="false">IF($K4365="U – needs rule",$P4365,0)</f>
        <v>0</v>
      </c>
      <c r="X4365" s="64" t="n">
        <f aca="false">IF($K4365="No Start (attainment only)",$P4365,0)</f>
        <v>0</v>
      </c>
    </row>
    <row r="4366" customFormat="false" ht="15" hidden="false" customHeight="false" outlineLevel="0" collapsed="false">
      <c r="A4366" s="60"/>
      <c r="B4366" s="61" t="str">
        <f aca="false">IF($M4366=0,"",INDEX(Classes!$E$6:$E$420,$M4366))</f>
        <v/>
      </c>
      <c r="C4366" s="62" t="str">
        <f aca="false">IF($M4366=0,"",INDEX(Classes!$H$6:$H$420,$M4366))</f>
        <v/>
      </c>
      <c r="D4366" s="61" t="str">
        <f aca="false">IF($M4366=0,"",INDEX(Classes!$B$6:$B$420,$M4366))</f>
        <v/>
      </c>
      <c r="E4366" s="61" t="str">
        <f aca="false">IF($M4366=0,"",INDEX(Classes!$C$6:$C$420,$M4366))</f>
        <v/>
      </c>
      <c r="F4366" s="63"/>
      <c r="G4366" s="63"/>
      <c r="H4366" s="60"/>
      <c r="I4366" s="60"/>
      <c r="J4366" s="63"/>
      <c r="K4366" s="61" t="str">
        <f aca="false">IF($P4366=0,"",IF($F4366="Baseline","— Baseline",IF($O4366=0,"No result",IF($N4366=0,"No Start (attainment only)",IF(OR($N4366=1,$O4366=1),"U – needs rule",INDEX(MxBody,MATCH($I4366,MxCurr,0),MATCH($H4366,MxStart,0)))))))</f>
        <v/>
      </c>
      <c r="L4366" s="62" t="str">
        <f aca="false">IF(COUNTA($A4366,$F4366,$G4366,$H4366,$I4366,$J4366)=0,"",IF($M4366=0,"✖ كود الصف غير موجود",IF(ISNA(MATCH($F4366,Lists!$A$2:$A$5,0)),"✖ الفترة غير صحيحة",IF(ISNA(MATCH($G4366,Lists!$B$2:$B$7,0)),"✖ المجموعة غير صحيحة",IF(NOT(OR($H4366="",$N4366&gt;0)),"✖ Start غير صحيح",IF(NOT(OR($I4366="",$I4366="NR",$O4366&gt;0)),"✖ Current غير صحيح",IF(NOT(IF(ISNUMBER($J4366),AND($J4366&gt;=0,$J4366=INT($J4366)),FALSE())),"✖ العدد يجب أن يكون صحيحًا ≥ 0",IF(AND($F4366="Baseline",$H4366&lt;&gt;""),"⚠ Baseline: Start لا يدخل في التقدم",IF($K4366="No Start (attainment only)","ℹ تحصيل فقط (بدون Start)",IF($K4366="U – needs rule","ℹ حالة U تحتاج قاعدة معتمدة",IF($K4366="No result","ℹ بدون نتيجة (يُستبعد من التحصيل)","OK")))))))))))</f>
        <v/>
      </c>
      <c r="M4366" s="64" t="n">
        <f aca="false">IF($A4366="",0,IFERROR(MATCH($A4366,Classes!$A$6:$A$420,0),0))</f>
        <v>0</v>
      </c>
      <c r="N4366" s="64" t="n">
        <f aca="false">IF($H4366="",0,IFERROR(MATCH($H4366,GradeList,0),0))</f>
        <v>0</v>
      </c>
      <c r="O4366" s="64" t="n">
        <f aca="false">IF(OR($I4366="",$I4366="NR"),0,IFERROR(MATCH($I4366,GradeList,0),0))</f>
        <v>0</v>
      </c>
      <c r="P4366" s="64" t="n">
        <f aca="false">IF(AND($M4366&gt;0,ISNUMBER(MATCH($F4366,Lists!$A$2:$A$5,0)),ISNUMBER(MATCH($G4366,Lists!$B$2:$B$7,0)),OR($H4366="",$N4366&gt;0),OR($I4366="",$I4366="NR",$O4366&gt;0),IF(ISNUMBER($J4366),AND($J4366&gt;=0,$J4366=INT($J4366)),FALSE())),$J4366,0)</f>
        <v>0</v>
      </c>
      <c r="Q4366" s="64" t="n">
        <f aca="false">IF(AND($P4366&gt;0,$O4366&gt;0),$P4366,0)</f>
        <v>0</v>
      </c>
      <c r="R4366" s="64" t="n">
        <f aca="false">IF(AND($Q4366&gt;0,$O4366&gt;=AtRank),$Q4366,0)</f>
        <v>0</v>
      </c>
      <c r="S4366" s="64" t="n">
        <f aca="false">IF(AND($Q4366&gt;0,$O4366&gt;=AboveRank),$Q4366,0)</f>
        <v>0</v>
      </c>
      <c r="T4366" s="64" t="n">
        <f aca="false">IF($K4366="Less",$P4366,0)</f>
        <v>0</v>
      </c>
      <c r="U4366" s="64" t="n">
        <f aca="false">IF($K4366="Expected",$P4366,0)</f>
        <v>0</v>
      </c>
      <c r="V4366" s="64" t="n">
        <f aca="false">IF($K4366="Better",$P4366,0)</f>
        <v>0</v>
      </c>
      <c r="W4366" s="64" t="n">
        <f aca="false">IF($K4366="U – needs rule",$P4366,0)</f>
        <v>0</v>
      </c>
      <c r="X4366" s="64" t="n">
        <f aca="false">IF($K4366="No Start (attainment only)",$P4366,0)</f>
        <v>0</v>
      </c>
    </row>
    <row r="4367" customFormat="false" ht="15" hidden="false" customHeight="false" outlineLevel="0" collapsed="false">
      <c r="A4367" s="60"/>
      <c r="B4367" s="61" t="str">
        <f aca="false">IF($M4367=0,"",INDEX(Classes!$E$6:$E$420,$M4367))</f>
        <v/>
      </c>
      <c r="C4367" s="62" t="str">
        <f aca="false">IF($M4367=0,"",INDEX(Classes!$H$6:$H$420,$M4367))</f>
        <v/>
      </c>
      <c r="D4367" s="61" t="str">
        <f aca="false">IF($M4367=0,"",INDEX(Classes!$B$6:$B$420,$M4367))</f>
        <v/>
      </c>
      <c r="E4367" s="61" t="str">
        <f aca="false">IF($M4367=0,"",INDEX(Classes!$C$6:$C$420,$M4367))</f>
        <v/>
      </c>
      <c r="F4367" s="63"/>
      <c r="G4367" s="63"/>
      <c r="H4367" s="60"/>
      <c r="I4367" s="60"/>
      <c r="J4367" s="63"/>
      <c r="K4367" s="61" t="str">
        <f aca="false">IF($P4367=0,"",IF($F4367="Baseline","— Baseline",IF($O4367=0,"No result",IF($N4367=0,"No Start (attainment only)",IF(OR($N4367=1,$O4367=1),"U – needs rule",INDEX(MxBody,MATCH($I4367,MxCurr,0),MATCH($H4367,MxStart,0)))))))</f>
        <v/>
      </c>
      <c r="L4367" s="62" t="str">
        <f aca="false">IF(COUNTA($A4367,$F4367,$G4367,$H4367,$I4367,$J4367)=0,"",IF($M4367=0,"✖ كود الصف غير موجود",IF(ISNA(MATCH($F4367,Lists!$A$2:$A$5,0)),"✖ الفترة غير صحيحة",IF(ISNA(MATCH($G4367,Lists!$B$2:$B$7,0)),"✖ المجموعة غير صحيحة",IF(NOT(OR($H4367="",$N4367&gt;0)),"✖ Start غير صحيح",IF(NOT(OR($I4367="",$I4367="NR",$O4367&gt;0)),"✖ Current غير صحيح",IF(NOT(IF(ISNUMBER($J4367),AND($J4367&gt;=0,$J4367=INT($J4367)),FALSE())),"✖ العدد يجب أن يكون صحيحًا ≥ 0",IF(AND($F4367="Baseline",$H4367&lt;&gt;""),"⚠ Baseline: Start لا يدخل في التقدم",IF($K4367="No Start (attainment only)","ℹ تحصيل فقط (بدون Start)",IF($K4367="U – needs rule","ℹ حالة U تحتاج قاعدة معتمدة",IF($K4367="No result","ℹ بدون نتيجة (يُستبعد من التحصيل)","OK")))))))))))</f>
        <v/>
      </c>
      <c r="M4367" s="64" t="n">
        <f aca="false">IF($A4367="",0,IFERROR(MATCH($A4367,Classes!$A$6:$A$420,0),0))</f>
        <v>0</v>
      </c>
      <c r="N4367" s="64" t="n">
        <f aca="false">IF($H4367="",0,IFERROR(MATCH($H4367,GradeList,0),0))</f>
        <v>0</v>
      </c>
      <c r="O4367" s="64" t="n">
        <f aca="false">IF(OR($I4367="",$I4367="NR"),0,IFERROR(MATCH($I4367,GradeList,0),0))</f>
        <v>0</v>
      </c>
      <c r="P4367" s="64" t="n">
        <f aca="false">IF(AND($M4367&gt;0,ISNUMBER(MATCH($F4367,Lists!$A$2:$A$5,0)),ISNUMBER(MATCH($G4367,Lists!$B$2:$B$7,0)),OR($H4367="",$N4367&gt;0),OR($I4367="",$I4367="NR",$O4367&gt;0),IF(ISNUMBER($J4367),AND($J4367&gt;=0,$J4367=INT($J4367)),FALSE())),$J4367,0)</f>
        <v>0</v>
      </c>
      <c r="Q4367" s="64" t="n">
        <f aca="false">IF(AND($P4367&gt;0,$O4367&gt;0),$P4367,0)</f>
        <v>0</v>
      </c>
      <c r="R4367" s="64" t="n">
        <f aca="false">IF(AND($Q4367&gt;0,$O4367&gt;=AtRank),$Q4367,0)</f>
        <v>0</v>
      </c>
      <c r="S4367" s="64" t="n">
        <f aca="false">IF(AND($Q4367&gt;0,$O4367&gt;=AboveRank),$Q4367,0)</f>
        <v>0</v>
      </c>
      <c r="T4367" s="64" t="n">
        <f aca="false">IF($K4367="Less",$P4367,0)</f>
        <v>0</v>
      </c>
      <c r="U4367" s="64" t="n">
        <f aca="false">IF($K4367="Expected",$P4367,0)</f>
        <v>0</v>
      </c>
      <c r="V4367" s="64" t="n">
        <f aca="false">IF($K4367="Better",$P4367,0)</f>
        <v>0</v>
      </c>
      <c r="W4367" s="64" t="n">
        <f aca="false">IF($K4367="U – needs rule",$P4367,0)</f>
        <v>0</v>
      </c>
      <c r="X4367" s="64" t="n">
        <f aca="false">IF($K4367="No Start (attainment only)",$P4367,0)</f>
        <v>0</v>
      </c>
    </row>
    <row r="4368" customFormat="false" ht="15" hidden="false" customHeight="false" outlineLevel="0" collapsed="false">
      <c r="A4368" s="60"/>
      <c r="B4368" s="61" t="str">
        <f aca="false">IF($M4368=0,"",INDEX(Classes!$E$6:$E$420,$M4368))</f>
        <v/>
      </c>
      <c r="C4368" s="62" t="str">
        <f aca="false">IF($M4368=0,"",INDEX(Classes!$H$6:$H$420,$M4368))</f>
        <v/>
      </c>
      <c r="D4368" s="61" t="str">
        <f aca="false">IF($M4368=0,"",INDEX(Classes!$B$6:$B$420,$M4368))</f>
        <v/>
      </c>
      <c r="E4368" s="61" t="str">
        <f aca="false">IF($M4368=0,"",INDEX(Classes!$C$6:$C$420,$M4368))</f>
        <v/>
      </c>
      <c r="F4368" s="63"/>
      <c r="G4368" s="63"/>
      <c r="H4368" s="60"/>
      <c r="I4368" s="60"/>
      <c r="J4368" s="63"/>
      <c r="K4368" s="61" t="str">
        <f aca="false">IF($P4368=0,"",IF($F4368="Baseline","— Baseline",IF($O4368=0,"No result",IF($N4368=0,"No Start (attainment only)",IF(OR($N4368=1,$O4368=1),"U – needs rule",INDEX(MxBody,MATCH($I4368,MxCurr,0),MATCH($H4368,MxStart,0)))))))</f>
        <v/>
      </c>
      <c r="L4368" s="62" t="str">
        <f aca="false">IF(COUNTA($A4368,$F4368,$G4368,$H4368,$I4368,$J4368)=0,"",IF($M4368=0,"✖ كود الصف غير موجود",IF(ISNA(MATCH($F4368,Lists!$A$2:$A$5,0)),"✖ الفترة غير صحيحة",IF(ISNA(MATCH($G4368,Lists!$B$2:$B$7,0)),"✖ المجموعة غير صحيحة",IF(NOT(OR($H4368="",$N4368&gt;0)),"✖ Start غير صحيح",IF(NOT(OR($I4368="",$I4368="NR",$O4368&gt;0)),"✖ Current غير صحيح",IF(NOT(IF(ISNUMBER($J4368),AND($J4368&gt;=0,$J4368=INT($J4368)),FALSE())),"✖ العدد يجب أن يكون صحيحًا ≥ 0",IF(AND($F4368="Baseline",$H4368&lt;&gt;""),"⚠ Baseline: Start لا يدخل في التقدم",IF($K4368="No Start (attainment only)","ℹ تحصيل فقط (بدون Start)",IF($K4368="U – needs rule","ℹ حالة U تحتاج قاعدة معتمدة",IF($K4368="No result","ℹ بدون نتيجة (يُستبعد من التحصيل)","OK")))))))))))</f>
        <v/>
      </c>
      <c r="M4368" s="64" t="n">
        <f aca="false">IF($A4368="",0,IFERROR(MATCH($A4368,Classes!$A$6:$A$420,0),0))</f>
        <v>0</v>
      </c>
      <c r="N4368" s="64" t="n">
        <f aca="false">IF($H4368="",0,IFERROR(MATCH($H4368,GradeList,0),0))</f>
        <v>0</v>
      </c>
      <c r="O4368" s="64" t="n">
        <f aca="false">IF(OR($I4368="",$I4368="NR"),0,IFERROR(MATCH($I4368,GradeList,0),0))</f>
        <v>0</v>
      </c>
      <c r="P4368" s="64" t="n">
        <f aca="false">IF(AND($M4368&gt;0,ISNUMBER(MATCH($F4368,Lists!$A$2:$A$5,0)),ISNUMBER(MATCH($G4368,Lists!$B$2:$B$7,0)),OR($H4368="",$N4368&gt;0),OR($I4368="",$I4368="NR",$O4368&gt;0),IF(ISNUMBER($J4368),AND($J4368&gt;=0,$J4368=INT($J4368)),FALSE())),$J4368,0)</f>
        <v>0</v>
      </c>
      <c r="Q4368" s="64" t="n">
        <f aca="false">IF(AND($P4368&gt;0,$O4368&gt;0),$P4368,0)</f>
        <v>0</v>
      </c>
      <c r="R4368" s="64" t="n">
        <f aca="false">IF(AND($Q4368&gt;0,$O4368&gt;=AtRank),$Q4368,0)</f>
        <v>0</v>
      </c>
      <c r="S4368" s="64" t="n">
        <f aca="false">IF(AND($Q4368&gt;0,$O4368&gt;=AboveRank),$Q4368,0)</f>
        <v>0</v>
      </c>
      <c r="T4368" s="64" t="n">
        <f aca="false">IF($K4368="Less",$P4368,0)</f>
        <v>0</v>
      </c>
      <c r="U4368" s="64" t="n">
        <f aca="false">IF($K4368="Expected",$P4368,0)</f>
        <v>0</v>
      </c>
      <c r="V4368" s="64" t="n">
        <f aca="false">IF($K4368="Better",$P4368,0)</f>
        <v>0</v>
      </c>
      <c r="W4368" s="64" t="n">
        <f aca="false">IF($K4368="U – needs rule",$P4368,0)</f>
        <v>0</v>
      </c>
      <c r="X4368" s="64" t="n">
        <f aca="false">IF($K4368="No Start (attainment only)",$P4368,0)</f>
        <v>0</v>
      </c>
    </row>
    <row r="4369" customFormat="false" ht="15" hidden="false" customHeight="false" outlineLevel="0" collapsed="false">
      <c r="A4369" s="60"/>
      <c r="B4369" s="61" t="str">
        <f aca="false">IF($M4369=0,"",INDEX(Classes!$E$6:$E$420,$M4369))</f>
        <v/>
      </c>
      <c r="C4369" s="62" t="str">
        <f aca="false">IF($M4369=0,"",INDEX(Classes!$H$6:$H$420,$M4369))</f>
        <v/>
      </c>
      <c r="D4369" s="61" t="str">
        <f aca="false">IF($M4369=0,"",INDEX(Classes!$B$6:$B$420,$M4369))</f>
        <v/>
      </c>
      <c r="E4369" s="61" t="str">
        <f aca="false">IF($M4369=0,"",INDEX(Classes!$C$6:$C$420,$M4369))</f>
        <v/>
      </c>
      <c r="F4369" s="63"/>
      <c r="G4369" s="63"/>
      <c r="H4369" s="60"/>
      <c r="I4369" s="60"/>
      <c r="J4369" s="63"/>
      <c r="K4369" s="61" t="str">
        <f aca="false">IF($P4369=0,"",IF($F4369="Baseline","— Baseline",IF($O4369=0,"No result",IF($N4369=0,"No Start (attainment only)",IF(OR($N4369=1,$O4369=1),"U – needs rule",INDEX(MxBody,MATCH($I4369,MxCurr,0),MATCH($H4369,MxStart,0)))))))</f>
        <v/>
      </c>
      <c r="L4369" s="62" t="str">
        <f aca="false">IF(COUNTA($A4369,$F4369,$G4369,$H4369,$I4369,$J4369)=0,"",IF($M4369=0,"✖ كود الصف غير موجود",IF(ISNA(MATCH($F4369,Lists!$A$2:$A$5,0)),"✖ الفترة غير صحيحة",IF(ISNA(MATCH($G4369,Lists!$B$2:$B$7,0)),"✖ المجموعة غير صحيحة",IF(NOT(OR($H4369="",$N4369&gt;0)),"✖ Start غير صحيح",IF(NOT(OR($I4369="",$I4369="NR",$O4369&gt;0)),"✖ Current غير صحيح",IF(NOT(IF(ISNUMBER($J4369),AND($J4369&gt;=0,$J4369=INT($J4369)),FALSE())),"✖ العدد يجب أن يكون صحيحًا ≥ 0",IF(AND($F4369="Baseline",$H4369&lt;&gt;""),"⚠ Baseline: Start لا يدخل في التقدم",IF($K4369="No Start (attainment only)","ℹ تحصيل فقط (بدون Start)",IF($K4369="U – needs rule","ℹ حالة U تحتاج قاعدة معتمدة",IF($K4369="No result","ℹ بدون نتيجة (يُستبعد من التحصيل)","OK")))))))))))</f>
        <v/>
      </c>
      <c r="M4369" s="64" t="n">
        <f aca="false">IF($A4369="",0,IFERROR(MATCH($A4369,Classes!$A$6:$A$420,0),0))</f>
        <v>0</v>
      </c>
      <c r="N4369" s="64" t="n">
        <f aca="false">IF($H4369="",0,IFERROR(MATCH($H4369,GradeList,0),0))</f>
        <v>0</v>
      </c>
      <c r="O4369" s="64" t="n">
        <f aca="false">IF(OR($I4369="",$I4369="NR"),0,IFERROR(MATCH($I4369,GradeList,0),0))</f>
        <v>0</v>
      </c>
      <c r="P4369" s="64" t="n">
        <f aca="false">IF(AND($M4369&gt;0,ISNUMBER(MATCH($F4369,Lists!$A$2:$A$5,0)),ISNUMBER(MATCH($G4369,Lists!$B$2:$B$7,0)),OR($H4369="",$N4369&gt;0),OR($I4369="",$I4369="NR",$O4369&gt;0),IF(ISNUMBER($J4369),AND($J4369&gt;=0,$J4369=INT($J4369)),FALSE())),$J4369,0)</f>
        <v>0</v>
      </c>
      <c r="Q4369" s="64" t="n">
        <f aca="false">IF(AND($P4369&gt;0,$O4369&gt;0),$P4369,0)</f>
        <v>0</v>
      </c>
      <c r="R4369" s="64" t="n">
        <f aca="false">IF(AND($Q4369&gt;0,$O4369&gt;=AtRank),$Q4369,0)</f>
        <v>0</v>
      </c>
      <c r="S4369" s="64" t="n">
        <f aca="false">IF(AND($Q4369&gt;0,$O4369&gt;=AboveRank),$Q4369,0)</f>
        <v>0</v>
      </c>
      <c r="T4369" s="64" t="n">
        <f aca="false">IF($K4369="Less",$P4369,0)</f>
        <v>0</v>
      </c>
      <c r="U4369" s="64" t="n">
        <f aca="false">IF($K4369="Expected",$P4369,0)</f>
        <v>0</v>
      </c>
      <c r="V4369" s="64" t="n">
        <f aca="false">IF($K4369="Better",$P4369,0)</f>
        <v>0</v>
      </c>
      <c r="W4369" s="64" t="n">
        <f aca="false">IF($K4369="U – needs rule",$P4369,0)</f>
        <v>0</v>
      </c>
      <c r="X4369" s="64" t="n">
        <f aca="false">IF($K4369="No Start (attainment only)",$P4369,0)</f>
        <v>0</v>
      </c>
    </row>
    <row r="4370" customFormat="false" ht="15" hidden="false" customHeight="false" outlineLevel="0" collapsed="false">
      <c r="A4370" s="60"/>
      <c r="B4370" s="61" t="str">
        <f aca="false">IF($M4370=0,"",INDEX(Classes!$E$6:$E$420,$M4370))</f>
        <v/>
      </c>
      <c r="C4370" s="62" t="str">
        <f aca="false">IF($M4370=0,"",INDEX(Classes!$H$6:$H$420,$M4370))</f>
        <v/>
      </c>
      <c r="D4370" s="61" t="str">
        <f aca="false">IF($M4370=0,"",INDEX(Classes!$B$6:$B$420,$M4370))</f>
        <v/>
      </c>
      <c r="E4370" s="61" t="str">
        <f aca="false">IF($M4370=0,"",INDEX(Classes!$C$6:$C$420,$M4370))</f>
        <v/>
      </c>
      <c r="F4370" s="63"/>
      <c r="G4370" s="63"/>
      <c r="H4370" s="60"/>
      <c r="I4370" s="60"/>
      <c r="J4370" s="63"/>
      <c r="K4370" s="61" t="str">
        <f aca="false">IF($P4370=0,"",IF($F4370="Baseline","— Baseline",IF($O4370=0,"No result",IF($N4370=0,"No Start (attainment only)",IF(OR($N4370=1,$O4370=1),"U – needs rule",INDEX(MxBody,MATCH($I4370,MxCurr,0),MATCH($H4370,MxStart,0)))))))</f>
        <v/>
      </c>
      <c r="L4370" s="62" t="str">
        <f aca="false">IF(COUNTA($A4370,$F4370,$G4370,$H4370,$I4370,$J4370)=0,"",IF($M4370=0,"✖ كود الصف غير موجود",IF(ISNA(MATCH($F4370,Lists!$A$2:$A$5,0)),"✖ الفترة غير صحيحة",IF(ISNA(MATCH($G4370,Lists!$B$2:$B$7,0)),"✖ المجموعة غير صحيحة",IF(NOT(OR($H4370="",$N4370&gt;0)),"✖ Start غير صحيح",IF(NOT(OR($I4370="",$I4370="NR",$O4370&gt;0)),"✖ Current غير صحيح",IF(NOT(IF(ISNUMBER($J4370),AND($J4370&gt;=0,$J4370=INT($J4370)),FALSE())),"✖ العدد يجب أن يكون صحيحًا ≥ 0",IF(AND($F4370="Baseline",$H4370&lt;&gt;""),"⚠ Baseline: Start لا يدخل في التقدم",IF($K4370="No Start (attainment only)","ℹ تحصيل فقط (بدون Start)",IF($K4370="U – needs rule","ℹ حالة U تحتاج قاعدة معتمدة",IF($K4370="No result","ℹ بدون نتيجة (يُستبعد من التحصيل)","OK")))))))))))</f>
        <v/>
      </c>
      <c r="M4370" s="64" t="n">
        <f aca="false">IF($A4370="",0,IFERROR(MATCH($A4370,Classes!$A$6:$A$420,0),0))</f>
        <v>0</v>
      </c>
      <c r="N4370" s="64" t="n">
        <f aca="false">IF($H4370="",0,IFERROR(MATCH($H4370,GradeList,0),0))</f>
        <v>0</v>
      </c>
      <c r="O4370" s="64" t="n">
        <f aca="false">IF(OR($I4370="",$I4370="NR"),0,IFERROR(MATCH($I4370,GradeList,0),0))</f>
        <v>0</v>
      </c>
      <c r="P4370" s="64" t="n">
        <f aca="false">IF(AND($M4370&gt;0,ISNUMBER(MATCH($F4370,Lists!$A$2:$A$5,0)),ISNUMBER(MATCH($G4370,Lists!$B$2:$B$7,0)),OR($H4370="",$N4370&gt;0),OR($I4370="",$I4370="NR",$O4370&gt;0),IF(ISNUMBER($J4370),AND($J4370&gt;=0,$J4370=INT($J4370)),FALSE())),$J4370,0)</f>
        <v>0</v>
      </c>
      <c r="Q4370" s="64" t="n">
        <f aca="false">IF(AND($P4370&gt;0,$O4370&gt;0),$P4370,0)</f>
        <v>0</v>
      </c>
      <c r="R4370" s="64" t="n">
        <f aca="false">IF(AND($Q4370&gt;0,$O4370&gt;=AtRank),$Q4370,0)</f>
        <v>0</v>
      </c>
      <c r="S4370" s="64" t="n">
        <f aca="false">IF(AND($Q4370&gt;0,$O4370&gt;=AboveRank),$Q4370,0)</f>
        <v>0</v>
      </c>
      <c r="T4370" s="64" t="n">
        <f aca="false">IF($K4370="Less",$P4370,0)</f>
        <v>0</v>
      </c>
      <c r="U4370" s="64" t="n">
        <f aca="false">IF($K4370="Expected",$P4370,0)</f>
        <v>0</v>
      </c>
      <c r="V4370" s="64" t="n">
        <f aca="false">IF($K4370="Better",$P4370,0)</f>
        <v>0</v>
      </c>
      <c r="W4370" s="64" t="n">
        <f aca="false">IF($K4370="U – needs rule",$P4370,0)</f>
        <v>0</v>
      </c>
      <c r="X4370" s="64" t="n">
        <f aca="false">IF($K4370="No Start (attainment only)",$P4370,0)</f>
        <v>0</v>
      </c>
    </row>
    <row r="4371" customFormat="false" ht="15" hidden="false" customHeight="false" outlineLevel="0" collapsed="false">
      <c r="A4371" s="60"/>
      <c r="B4371" s="61" t="str">
        <f aca="false">IF($M4371=0,"",INDEX(Classes!$E$6:$E$420,$M4371))</f>
        <v/>
      </c>
      <c r="C4371" s="62" t="str">
        <f aca="false">IF($M4371=0,"",INDEX(Classes!$H$6:$H$420,$M4371))</f>
        <v/>
      </c>
      <c r="D4371" s="61" t="str">
        <f aca="false">IF($M4371=0,"",INDEX(Classes!$B$6:$B$420,$M4371))</f>
        <v/>
      </c>
      <c r="E4371" s="61" t="str">
        <f aca="false">IF($M4371=0,"",INDEX(Classes!$C$6:$C$420,$M4371))</f>
        <v/>
      </c>
      <c r="F4371" s="63"/>
      <c r="G4371" s="63"/>
      <c r="H4371" s="60"/>
      <c r="I4371" s="60"/>
      <c r="J4371" s="63"/>
      <c r="K4371" s="61" t="str">
        <f aca="false">IF($P4371=0,"",IF($F4371="Baseline","— Baseline",IF($O4371=0,"No result",IF($N4371=0,"No Start (attainment only)",IF(OR($N4371=1,$O4371=1),"U – needs rule",INDEX(MxBody,MATCH($I4371,MxCurr,0),MATCH($H4371,MxStart,0)))))))</f>
        <v/>
      </c>
      <c r="L4371" s="62" t="str">
        <f aca="false">IF(COUNTA($A4371,$F4371,$G4371,$H4371,$I4371,$J4371)=0,"",IF($M4371=0,"✖ كود الصف غير موجود",IF(ISNA(MATCH($F4371,Lists!$A$2:$A$5,0)),"✖ الفترة غير صحيحة",IF(ISNA(MATCH($G4371,Lists!$B$2:$B$7,0)),"✖ المجموعة غير صحيحة",IF(NOT(OR($H4371="",$N4371&gt;0)),"✖ Start غير صحيح",IF(NOT(OR($I4371="",$I4371="NR",$O4371&gt;0)),"✖ Current غير صحيح",IF(NOT(IF(ISNUMBER($J4371),AND($J4371&gt;=0,$J4371=INT($J4371)),FALSE())),"✖ العدد يجب أن يكون صحيحًا ≥ 0",IF(AND($F4371="Baseline",$H4371&lt;&gt;""),"⚠ Baseline: Start لا يدخل في التقدم",IF($K4371="No Start (attainment only)","ℹ تحصيل فقط (بدون Start)",IF($K4371="U – needs rule","ℹ حالة U تحتاج قاعدة معتمدة",IF($K4371="No result","ℹ بدون نتيجة (يُستبعد من التحصيل)","OK")))))))))))</f>
        <v/>
      </c>
      <c r="M4371" s="64" t="n">
        <f aca="false">IF($A4371="",0,IFERROR(MATCH($A4371,Classes!$A$6:$A$420,0),0))</f>
        <v>0</v>
      </c>
      <c r="N4371" s="64" t="n">
        <f aca="false">IF($H4371="",0,IFERROR(MATCH($H4371,GradeList,0),0))</f>
        <v>0</v>
      </c>
      <c r="O4371" s="64" t="n">
        <f aca="false">IF(OR($I4371="",$I4371="NR"),0,IFERROR(MATCH($I4371,GradeList,0),0))</f>
        <v>0</v>
      </c>
      <c r="P4371" s="64" t="n">
        <f aca="false">IF(AND($M4371&gt;0,ISNUMBER(MATCH($F4371,Lists!$A$2:$A$5,0)),ISNUMBER(MATCH($G4371,Lists!$B$2:$B$7,0)),OR($H4371="",$N4371&gt;0),OR($I4371="",$I4371="NR",$O4371&gt;0),IF(ISNUMBER($J4371),AND($J4371&gt;=0,$J4371=INT($J4371)),FALSE())),$J4371,0)</f>
        <v>0</v>
      </c>
      <c r="Q4371" s="64" t="n">
        <f aca="false">IF(AND($P4371&gt;0,$O4371&gt;0),$P4371,0)</f>
        <v>0</v>
      </c>
      <c r="R4371" s="64" t="n">
        <f aca="false">IF(AND($Q4371&gt;0,$O4371&gt;=AtRank),$Q4371,0)</f>
        <v>0</v>
      </c>
      <c r="S4371" s="64" t="n">
        <f aca="false">IF(AND($Q4371&gt;0,$O4371&gt;=AboveRank),$Q4371,0)</f>
        <v>0</v>
      </c>
      <c r="T4371" s="64" t="n">
        <f aca="false">IF($K4371="Less",$P4371,0)</f>
        <v>0</v>
      </c>
      <c r="U4371" s="64" t="n">
        <f aca="false">IF($K4371="Expected",$P4371,0)</f>
        <v>0</v>
      </c>
      <c r="V4371" s="64" t="n">
        <f aca="false">IF($K4371="Better",$P4371,0)</f>
        <v>0</v>
      </c>
      <c r="W4371" s="64" t="n">
        <f aca="false">IF($K4371="U – needs rule",$P4371,0)</f>
        <v>0</v>
      </c>
      <c r="X4371" s="64" t="n">
        <f aca="false">IF($K4371="No Start (attainment only)",$P4371,0)</f>
        <v>0</v>
      </c>
    </row>
    <row r="4372" customFormat="false" ht="15" hidden="false" customHeight="false" outlineLevel="0" collapsed="false">
      <c r="A4372" s="60"/>
      <c r="B4372" s="61" t="str">
        <f aca="false">IF($M4372=0,"",INDEX(Classes!$E$6:$E$420,$M4372))</f>
        <v/>
      </c>
      <c r="C4372" s="62" t="str">
        <f aca="false">IF($M4372=0,"",INDEX(Classes!$H$6:$H$420,$M4372))</f>
        <v/>
      </c>
      <c r="D4372" s="61" t="str">
        <f aca="false">IF($M4372=0,"",INDEX(Classes!$B$6:$B$420,$M4372))</f>
        <v/>
      </c>
      <c r="E4372" s="61" t="str">
        <f aca="false">IF($M4372=0,"",INDEX(Classes!$C$6:$C$420,$M4372))</f>
        <v/>
      </c>
      <c r="F4372" s="63"/>
      <c r="G4372" s="63"/>
      <c r="H4372" s="60"/>
      <c r="I4372" s="60"/>
      <c r="J4372" s="63"/>
      <c r="K4372" s="61" t="str">
        <f aca="false">IF($P4372=0,"",IF($F4372="Baseline","— Baseline",IF($O4372=0,"No result",IF($N4372=0,"No Start (attainment only)",IF(OR($N4372=1,$O4372=1),"U – needs rule",INDEX(MxBody,MATCH($I4372,MxCurr,0),MATCH($H4372,MxStart,0)))))))</f>
        <v/>
      </c>
      <c r="L4372" s="62" t="str">
        <f aca="false">IF(COUNTA($A4372,$F4372,$G4372,$H4372,$I4372,$J4372)=0,"",IF($M4372=0,"✖ كود الصف غير موجود",IF(ISNA(MATCH($F4372,Lists!$A$2:$A$5,0)),"✖ الفترة غير صحيحة",IF(ISNA(MATCH($G4372,Lists!$B$2:$B$7,0)),"✖ المجموعة غير صحيحة",IF(NOT(OR($H4372="",$N4372&gt;0)),"✖ Start غير صحيح",IF(NOT(OR($I4372="",$I4372="NR",$O4372&gt;0)),"✖ Current غير صحيح",IF(NOT(IF(ISNUMBER($J4372),AND($J4372&gt;=0,$J4372=INT($J4372)),FALSE())),"✖ العدد يجب أن يكون صحيحًا ≥ 0",IF(AND($F4372="Baseline",$H4372&lt;&gt;""),"⚠ Baseline: Start لا يدخل في التقدم",IF($K4372="No Start (attainment only)","ℹ تحصيل فقط (بدون Start)",IF($K4372="U – needs rule","ℹ حالة U تحتاج قاعدة معتمدة",IF($K4372="No result","ℹ بدون نتيجة (يُستبعد من التحصيل)","OK")))))))))))</f>
        <v/>
      </c>
      <c r="M4372" s="64" t="n">
        <f aca="false">IF($A4372="",0,IFERROR(MATCH($A4372,Classes!$A$6:$A$420,0),0))</f>
        <v>0</v>
      </c>
      <c r="N4372" s="64" t="n">
        <f aca="false">IF($H4372="",0,IFERROR(MATCH($H4372,GradeList,0),0))</f>
        <v>0</v>
      </c>
      <c r="O4372" s="64" t="n">
        <f aca="false">IF(OR($I4372="",$I4372="NR"),0,IFERROR(MATCH($I4372,GradeList,0),0))</f>
        <v>0</v>
      </c>
      <c r="P4372" s="64" t="n">
        <f aca="false">IF(AND($M4372&gt;0,ISNUMBER(MATCH($F4372,Lists!$A$2:$A$5,0)),ISNUMBER(MATCH($G4372,Lists!$B$2:$B$7,0)),OR($H4372="",$N4372&gt;0),OR($I4372="",$I4372="NR",$O4372&gt;0),IF(ISNUMBER($J4372),AND($J4372&gt;=0,$J4372=INT($J4372)),FALSE())),$J4372,0)</f>
        <v>0</v>
      </c>
      <c r="Q4372" s="64" t="n">
        <f aca="false">IF(AND($P4372&gt;0,$O4372&gt;0),$P4372,0)</f>
        <v>0</v>
      </c>
      <c r="R4372" s="64" t="n">
        <f aca="false">IF(AND($Q4372&gt;0,$O4372&gt;=AtRank),$Q4372,0)</f>
        <v>0</v>
      </c>
      <c r="S4372" s="64" t="n">
        <f aca="false">IF(AND($Q4372&gt;0,$O4372&gt;=AboveRank),$Q4372,0)</f>
        <v>0</v>
      </c>
      <c r="T4372" s="64" t="n">
        <f aca="false">IF($K4372="Less",$P4372,0)</f>
        <v>0</v>
      </c>
      <c r="U4372" s="64" t="n">
        <f aca="false">IF($K4372="Expected",$P4372,0)</f>
        <v>0</v>
      </c>
      <c r="V4372" s="64" t="n">
        <f aca="false">IF($K4372="Better",$P4372,0)</f>
        <v>0</v>
      </c>
      <c r="W4372" s="64" t="n">
        <f aca="false">IF($K4372="U – needs rule",$P4372,0)</f>
        <v>0</v>
      </c>
      <c r="X4372" s="64" t="n">
        <f aca="false">IF($K4372="No Start (attainment only)",$P4372,0)</f>
        <v>0</v>
      </c>
    </row>
    <row r="4373" customFormat="false" ht="15" hidden="false" customHeight="false" outlineLevel="0" collapsed="false">
      <c r="A4373" s="60"/>
      <c r="B4373" s="61" t="str">
        <f aca="false">IF($M4373=0,"",INDEX(Classes!$E$6:$E$420,$M4373))</f>
        <v/>
      </c>
      <c r="C4373" s="62" t="str">
        <f aca="false">IF($M4373=0,"",INDEX(Classes!$H$6:$H$420,$M4373))</f>
        <v/>
      </c>
      <c r="D4373" s="61" t="str">
        <f aca="false">IF($M4373=0,"",INDEX(Classes!$B$6:$B$420,$M4373))</f>
        <v/>
      </c>
      <c r="E4373" s="61" t="str">
        <f aca="false">IF($M4373=0,"",INDEX(Classes!$C$6:$C$420,$M4373))</f>
        <v/>
      </c>
      <c r="F4373" s="63"/>
      <c r="G4373" s="63"/>
      <c r="H4373" s="60"/>
      <c r="I4373" s="60"/>
      <c r="J4373" s="63"/>
      <c r="K4373" s="61" t="str">
        <f aca="false">IF($P4373=0,"",IF($F4373="Baseline","— Baseline",IF($O4373=0,"No result",IF($N4373=0,"No Start (attainment only)",IF(OR($N4373=1,$O4373=1),"U – needs rule",INDEX(MxBody,MATCH($I4373,MxCurr,0),MATCH($H4373,MxStart,0)))))))</f>
        <v/>
      </c>
      <c r="L4373" s="62" t="str">
        <f aca="false">IF(COUNTA($A4373,$F4373,$G4373,$H4373,$I4373,$J4373)=0,"",IF($M4373=0,"✖ كود الصف غير موجود",IF(ISNA(MATCH($F4373,Lists!$A$2:$A$5,0)),"✖ الفترة غير صحيحة",IF(ISNA(MATCH($G4373,Lists!$B$2:$B$7,0)),"✖ المجموعة غير صحيحة",IF(NOT(OR($H4373="",$N4373&gt;0)),"✖ Start غير صحيح",IF(NOT(OR($I4373="",$I4373="NR",$O4373&gt;0)),"✖ Current غير صحيح",IF(NOT(IF(ISNUMBER($J4373),AND($J4373&gt;=0,$J4373=INT($J4373)),FALSE())),"✖ العدد يجب أن يكون صحيحًا ≥ 0",IF(AND($F4373="Baseline",$H4373&lt;&gt;""),"⚠ Baseline: Start لا يدخل في التقدم",IF($K4373="No Start (attainment only)","ℹ تحصيل فقط (بدون Start)",IF($K4373="U – needs rule","ℹ حالة U تحتاج قاعدة معتمدة",IF($K4373="No result","ℹ بدون نتيجة (يُستبعد من التحصيل)","OK")))))))))))</f>
        <v/>
      </c>
      <c r="M4373" s="64" t="n">
        <f aca="false">IF($A4373="",0,IFERROR(MATCH($A4373,Classes!$A$6:$A$420,0),0))</f>
        <v>0</v>
      </c>
      <c r="N4373" s="64" t="n">
        <f aca="false">IF($H4373="",0,IFERROR(MATCH($H4373,GradeList,0),0))</f>
        <v>0</v>
      </c>
      <c r="O4373" s="64" t="n">
        <f aca="false">IF(OR($I4373="",$I4373="NR"),0,IFERROR(MATCH($I4373,GradeList,0),0))</f>
        <v>0</v>
      </c>
      <c r="P4373" s="64" t="n">
        <f aca="false">IF(AND($M4373&gt;0,ISNUMBER(MATCH($F4373,Lists!$A$2:$A$5,0)),ISNUMBER(MATCH($G4373,Lists!$B$2:$B$7,0)),OR($H4373="",$N4373&gt;0),OR($I4373="",$I4373="NR",$O4373&gt;0),IF(ISNUMBER($J4373),AND($J4373&gt;=0,$J4373=INT($J4373)),FALSE())),$J4373,0)</f>
        <v>0</v>
      </c>
      <c r="Q4373" s="64" t="n">
        <f aca="false">IF(AND($P4373&gt;0,$O4373&gt;0),$P4373,0)</f>
        <v>0</v>
      </c>
      <c r="R4373" s="64" t="n">
        <f aca="false">IF(AND($Q4373&gt;0,$O4373&gt;=AtRank),$Q4373,0)</f>
        <v>0</v>
      </c>
      <c r="S4373" s="64" t="n">
        <f aca="false">IF(AND($Q4373&gt;0,$O4373&gt;=AboveRank),$Q4373,0)</f>
        <v>0</v>
      </c>
      <c r="T4373" s="64" t="n">
        <f aca="false">IF($K4373="Less",$P4373,0)</f>
        <v>0</v>
      </c>
      <c r="U4373" s="64" t="n">
        <f aca="false">IF($K4373="Expected",$P4373,0)</f>
        <v>0</v>
      </c>
      <c r="V4373" s="64" t="n">
        <f aca="false">IF($K4373="Better",$P4373,0)</f>
        <v>0</v>
      </c>
      <c r="W4373" s="64" t="n">
        <f aca="false">IF($K4373="U – needs rule",$P4373,0)</f>
        <v>0</v>
      </c>
      <c r="X4373" s="64" t="n">
        <f aca="false">IF($K4373="No Start (attainment only)",$P4373,0)</f>
        <v>0</v>
      </c>
    </row>
    <row r="4374" customFormat="false" ht="15" hidden="false" customHeight="false" outlineLevel="0" collapsed="false">
      <c r="A4374" s="60"/>
      <c r="B4374" s="61" t="str">
        <f aca="false">IF($M4374=0,"",INDEX(Classes!$E$6:$E$420,$M4374))</f>
        <v/>
      </c>
      <c r="C4374" s="62" t="str">
        <f aca="false">IF($M4374=0,"",INDEX(Classes!$H$6:$H$420,$M4374))</f>
        <v/>
      </c>
      <c r="D4374" s="61" t="str">
        <f aca="false">IF($M4374=0,"",INDEX(Classes!$B$6:$B$420,$M4374))</f>
        <v/>
      </c>
      <c r="E4374" s="61" t="str">
        <f aca="false">IF($M4374=0,"",INDEX(Classes!$C$6:$C$420,$M4374))</f>
        <v/>
      </c>
      <c r="F4374" s="63"/>
      <c r="G4374" s="63"/>
      <c r="H4374" s="60"/>
      <c r="I4374" s="60"/>
      <c r="J4374" s="63"/>
      <c r="K4374" s="61" t="str">
        <f aca="false">IF($P4374=0,"",IF($F4374="Baseline","— Baseline",IF($O4374=0,"No result",IF($N4374=0,"No Start (attainment only)",IF(OR($N4374=1,$O4374=1),"U – needs rule",INDEX(MxBody,MATCH($I4374,MxCurr,0),MATCH($H4374,MxStart,0)))))))</f>
        <v/>
      </c>
      <c r="L4374" s="62" t="str">
        <f aca="false">IF(COUNTA($A4374,$F4374,$G4374,$H4374,$I4374,$J4374)=0,"",IF($M4374=0,"✖ كود الصف غير موجود",IF(ISNA(MATCH($F4374,Lists!$A$2:$A$5,0)),"✖ الفترة غير صحيحة",IF(ISNA(MATCH($G4374,Lists!$B$2:$B$7,0)),"✖ المجموعة غير صحيحة",IF(NOT(OR($H4374="",$N4374&gt;0)),"✖ Start غير صحيح",IF(NOT(OR($I4374="",$I4374="NR",$O4374&gt;0)),"✖ Current غير صحيح",IF(NOT(IF(ISNUMBER($J4374),AND($J4374&gt;=0,$J4374=INT($J4374)),FALSE())),"✖ العدد يجب أن يكون صحيحًا ≥ 0",IF(AND($F4374="Baseline",$H4374&lt;&gt;""),"⚠ Baseline: Start لا يدخل في التقدم",IF($K4374="No Start (attainment only)","ℹ تحصيل فقط (بدون Start)",IF($K4374="U – needs rule","ℹ حالة U تحتاج قاعدة معتمدة",IF($K4374="No result","ℹ بدون نتيجة (يُستبعد من التحصيل)","OK")))))))))))</f>
        <v/>
      </c>
      <c r="M4374" s="64" t="n">
        <f aca="false">IF($A4374="",0,IFERROR(MATCH($A4374,Classes!$A$6:$A$420,0),0))</f>
        <v>0</v>
      </c>
      <c r="N4374" s="64" t="n">
        <f aca="false">IF($H4374="",0,IFERROR(MATCH($H4374,GradeList,0),0))</f>
        <v>0</v>
      </c>
      <c r="O4374" s="64" t="n">
        <f aca="false">IF(OR($I4374="",$I4374="NR"),0,IFERROR(MATCH($I4374,GradeList,0),0))</f>
        <v>0</v>
      </c>
      <c r="P4374" s="64" t="n">
        <f aca="false">IF(AND($M4374&gt;0,ISNUMBER(MATCH($F4374,Lists!$A$2:$A$5,0)),ISNUMBER(MATCH($G4374,Lists!$B$2:$B$7,0)),OR($H4374="",$N4374&gt;0),OR($I4374="",$I4374="NR",$O4374&gt;0),IF(ISNUMBER($J4374),AND($J4374&gt;=0,$J4374=INT($J4374)),FALSE())),$J4374,0)</f>
        <v>0</v>
      </c>
      <c r="Q4374" s="64" t="n">
        <f aca="false">IF(AND($P4374&gt;0,$O4374&gt;0),$P4374,0)</f>
        <v>0</v>
      </c>
      <c r="R4374" s="64" t="n">
        <f aca="false">IF(AND($Q4374&gt;0,$O4374&gt;=AtRank),$Q4374,0)</f>
        <v>0</v>
      </c>
      <c r="S4374" s="64" t="n">
        <f aca="false">IF(AND($Q4374&gt;0,$O4374&gt;=AboveRank),$Q4374,0)</f>
        <v>0</v>
      </c>
      <c r="T4374" s="64" t="n">
        <f aca="false">IF($K4374="Less",$P4374,0)</f>
        <v>0</v>
      </c>
      <c r="U4374" s="64" t="n">
        <f aca="false">IF($K4374="Expected",$P4374,0)</f>
        <v>0</v>
      </c>
      <c r="V4374" s="64" t="n">
        <f aca="false">IF($K4374="Better",$P4374,0)</f>
        <v>0</v>
      </c>
      <c r="W4374" s="64" t="n">
        <f aca="false">IF($K4374="U – needs rule",$P4374,0)</f>
        <v>0</v>
      </c>
      <c r="X4374" s="64" t="n">
        <f aca="false">IF($K4374="No Start (attainment only)",$P4374,0)</f>
        <v>0</v>
      </c>
    </row>
    <row r="4375" customFormat="false" ht="15" hidden="false" customHeight="false" outlineLevel="0" collapsed="false">
      <c r="A4375" s="60"/>
      <c r="B4375" s="61" t="str">
        <f aca="false">IF($M4375=0,"",INDEX(Classes!$E$6:$E$420,$M4375))</f>
        <v/>
      </c>
      <c r="C4375" s="62" t="str">
        <f aca="false">IF($M4375=0,"",INDEX(Classes!$H$6:$H$420,$M4375))</f>
        <v/>
      </c>
      <c r="D4375" s="61" t="str">
        <f aca="false">IF($M4375=0,"",INDEX(Classes!$B$6:$B$420,$M4375))</f>
        <v/>
      </c>
      <c r="E4375" s="61" t="str">
        <f aca="false">IF($M4375=0,"",INDEX(Classes!$C$6:$C$420,$M4375))</f>
        <v/>
      </c>
      <c r="F4375" s="63"/>
      <c r="G4375" s="63"/>
      <c r="H4375" s="60"/>
      <c r="I4375" s="60"/>
      <c r="J4375" s="63"/>
      <c r="K4375" s="61" t="str">
        <f aca="false">IF($P4375=0,"",IF($F4375="Baseline","— Baseline",IF($O4375=0,"No result",IF($N4375=0,"No Start (attainment only)",IF(OR($N4375=1,$O4375=1),"U – needs rule",INDEX(MxBody,MATCH($I4375,MxCurr,0),MATCH($H4375,MxStart,0)))))))</f>
        <v/>
      </c>
      <c r="L4375" s="62" t="str">
        <f aca="false">IF(COUNTA($A4375,$F4375,$G4375,$H4375,$I4375,$J4375)=0,"",IF($M4375=0,"✖ كود الصف غير موجود",IF(ISNA(MATCH($F4375,Lists!$A$2:$A$5,0)),"✖ الفترة غير صحيحة",IF(ISNA(MATCH($G4375,Lists!$B$2:$B$7,0)),"✖ المجموعة غير صحيحة",IF(NOT(OR($H4375="",$N4375&gt;0)),"✖ Start غير صحيح",IF(NOT(OR($I4375="",$I4375="NR",$O4375&gt;0)),"✖ Current غير صحيح",IF(NOT(IF(ISNUMBER($J4375),AND($J4375&gt;=0,$J4375=INT($J4375)),FALSE())),"✖ العدد يجب أن يكون صحيحًا ≥ 0",IF(AND($F4375="Baseline",$H4375&lt;&gt;""),"⚠ Baseline: Start لا يدخل في التقدم",IF($K4375="No Start (attainment only)","ℹ تحصيل فقط (بدون Start)",IF($K4375="U – needs rule","ℹ حالة U تحتاج قاعدة معتمدة",IF($K4375="No result","ℹ بدون نتيجة (يُستبعد من التحصيل)","OK")))))))))))</f>
        <v/>
      </c>
      <c r="M4375" s="64" t="n">
        <f aca="false">IF($A4375="",0,IFERROR(MATCH($A4375,Classes!$A$6:$A$420,0),0))</f>
        <v>0</v>
      </c>
      <c r="N4375" s="64" t="n">
        <f aca="false">IF($H4375="",0,IFERROR(MATCH($H4375,GradeList,0),0))</f>
        <v>0</v>
      </c>
      <c r="O4375" s="64" t="n">
        <f aca="false">IF(OR($I4375="",$I4375="NR"),0,IFERROR(MATCH($I4375,GradeList,0),0))</f>
        <v>0</v>
      </c>
      <c r="P4375" s="64" t="n">
        <f aca="false">IF(AND($M4375&gt;0,ISNUMBER(MATCH($F4375,Lists!$A$2:$A$5,0)),ISNUMBER(MATCH($G4375,Lists!$B$2:$B$7,0)),OR($H4375="",$N4375&gt;0),OR($I4375="",$I4375="NR",$O4375&gt;0),IF(ISNUMBER($J4375),AND($J4375&gt;=0,$J4375=INT($J4375)),FALSE())),$J4375,0)</f>
        <v>0</v>
      </c>
      <c r="Q4375" s="64" t="n">
        <f aca="false">IF(AND($P4375&gt;0,$O4375&gt;0),$P4375,0)</f>
        <v>0</v>
      </c>
      <c r="R4375" s="64" t="n">
        <f aca="false">IF(AND($Q4375&gt;0,$O4375&gt;=AtRank),$Q4375,0)</f>
        <v>0</v>
      </c>
      <c r="S4375" s="64" t="n">
        <f aca="false">IF(AND($Q4375&gt;0,$O4375&gt;=AboveRank),$Q4375,0)</f>
        <v>0</v>
      </c>
      <c r="T4375" s="64" t="n">
        <f aca="false">IF($K4375="Less",$P4375,0)</f>
        <v>0</v>
      </c>
      <c r="U4375" s="64" t="n">
        <f aca="false">IF($K4375="Expected",$P4375,0)</f>
        <v>0</v>
      </c>
      <c r="V4375" s="64" t="n">
        <f aca="false">IF($K4375="Better",$P4375,0)</f>
        <v>0</v>
      </c>
      <c r="W4375" s="64" t="n">
        <f aca="false">IF($K4375="U – needs rule",$P4375,0)</f>
        <v>0</v>
      </c>
      <c r="X4375" s="64" t="n">
        <f aca="false">IF($K4375="No Start (attainment only)",$P4375,0)</f>
        <v>0</v>
      </c>
    </row>
    <row r="4376" customFormat="false" ht="15" hidden="false" customHeight="false" outlineLevel="0" collapsed="false">
      <c r="A4376" s="60"/>
      <c r="B4376" s="61" t="str">
        <f aca="false">IF($M4376=0,"",INDEX(Classes!$E$6:$E$420,$M4376))</f>
        <v/>
      </c>
      <c r="C4376" s="62" t="str">
        <f aca="false">IF($M4376=0,"",INDEX(Classes!$H$6:$H$420,$M4376))</f>
        <v/>
      </c>
      <c r="D4376" s="61" t="str">
        <f aca="false">IF($M4376=0,"",INDEX(Classes!$B$6:$B$420,$M4376))</f>
        <v/>
      </c>
      <c r="E4376" s="61" t="str">
        <f aca="false">IF($M4376=0,"",INDEX(Classes!$C$6:$C$420,$M4376))</f>
        <v/>
      </c>
      <c r="F4376" s="63"/>
      <c r="G4376" s="63"/>
      <c r="H4376" s="60"/>
      <c r="I4376" s="60"/>
      <c r="J4376" s="63"/>
      <c r="K4376" s="61" t="str">
        <f aca="false">IF($P4376=0,"",IF($F4376="Baseline","— Baseline",IF($O4376=0,"No result",IF($N4376=0,"No Start (attainment only)",IF(OR($N4376=1,$O4376=1),"U – needs rule",INDEX(MxBody,MATCH($I4376,MxCurr,0),MATCH($H4376,MxStart,0)))))))</f>
        <v/>
      </c>
      <c r="L4376" s="62" t="str">
        <f aca="false">IF(COUNTA($A4376,$F4376,$G4376,$H4376,$I4376,$J4376)=0,"",IF($M4376=0,"✖ كود الصف غير موجود",IF(ISNA(MATCH($F4376,Lists!$A$2:$A$5,0)),"✖ الفترة غير صحيحة",IF(ISNA(MATCH($G4376,Lists!$B$2:$B$7,0)),"✖ المجموعة غير صحيحة",IF(NOT(OR($H4376="",$N4376&gt;0)),"✖ Start غير صحيح",IF(NOT(OR($I4376="",$I4376="NR",$O4376&gt;0)),"✖ Current غير صحيح",IF(NOT(IF(ISNUMBER($J4376),AND($J4376&gt;=0,$J4376=INT($J4376)),FALSE())),"✖ العدد يجب أن يكون صحيحًا ≥ 0",IF(AND($F4376="Baseline",$H4376&lt;&gt;""),"⚠ Baseline: Start لا يدخل في التقدم",IF($K4376="No Start (attainment only)","ℹ تحصيل فقط (بدون Start)",IF($K4376="U – needs rule","ℹ حالة U تحتاج قاعدة معتمدة",IF($K4376="No result","ℹ بدون نتيجة (يُستبعد من التحصيل)","OK")))))))))))</f>
        <v/>
      </c>
      <c r="M4376" s="64" t="n">
        <f aca="false">IF($A4376="",0,IFERROR(MATCH($A4376,Classes!$A$6:$A$420,0),0))</f>
        <v>0</v>
      </c>
      <c r="N4376" s="64" t="n">
        <f aca="false">IF($H4376="",0,IFERROR(MATCH($H4376,GradeList,0),0))</f>
        <v>0</v>
      </c>
      <c r="O4376" s="64" t="n">
        <f aca="false">IF(OR($I4376="",$I4376="NR"),0,IFERROR(MATCH($I4376,GradeList,0),0))</f>
        <v>0</v>
      </c>
      <c r="P4376" s="64" t="n">
        <f aca="false">IF(AND($M4376&gt;0,ISNUMBER(MATCH($F4376,Lists!$A$2:$A$5,0)),ISNUMBER(MATCH($G4376,Lists!$B$2:$B$7,0)),OR($H4376="",$N4376&gt;0),OR($I4376="",$I4376="NR",$O4376&gt;0),IF(ISNUMBER($J4376),AND($J4376&gt;=0,$J4376=INT($J4376)),FALSE())),$J4376,0)</f>
        <v>0</v>
      </c>
      <c r="Q4376" s="64" t="n">
        <f aca="false">IF(AND($P4376&gt;0,$O4376&gt;0),$P4376,0)</f>
        <v>0</v>
      </c>
      <c r="R4376" s="64" t="n">
        <f aca="false">IF(AND($Q4376&gt;0,$O4376&gt;=AtRank),$Q4376,0)</f>
        <v>0</v>
      </c>
      <c r="S4376" s="64" t="n">
        <f aca="false">IF(AND($Q4376&gt;0,$O4376&gt;=AboveRank),$Q4376,0)</f>
        <v>0</v>
      </c>
      <c r="T4376" s="64" t="n">
        <f aca="false">IF($K4376="Less",$P4376,0)</f>
        <v>0</v>
      </c>
      <c r="U4376" s="64" t="n">
        <f aca="false">IF($K4376="Expected",$P4376,0)</f>
        <v>0</v>
      </c>
      <c r="V4376" s="64" t="n">
        <f aca="false">IF($K4376="Better",$P4376,0)</f>
        <v>0</v>
      </c>
      <c r="W4376" s="64" t="n">
        <f aca="false">IF($K4376="U – needs rule",$P4376,0)</f>
        <v>0</v>
      </c>
      <c r="X4376" s="64" t="n">
        <f aca="false">IF($K4376="No Start (attainment only)",$P4376,0)</f>
        <v>0</v>
      </c>
    </row>
    <row r="4377" customFormat="false" ht="15" hidden="false" customHeight="false" outlineLevel="0" collapsed="false">
      <c r="A4377" s="60"/>
      <c r="B4377" s="61" t="str">
        <f aca="false">IF($M4377=0,"",INDEX(Classes!$E$6:$E$420,$M4377))</f>
        <v/>
      </c>
      <c r="C4377" s="62" t="str">
        <f aca="false">IF($M4377=0,"",INDEX(Classes!$H$6:$H$420,$M4377))</f>
        <v/>
      </c>
      <c r="D4377" s="61" t="str">
        <f aca="false">IF($M4377=0,"",INDEX(Classes!$B$6:$B$420,$M4377))</f>
        <v/>
      </c>
      <c r="E4377" s="61" t="str">
        <f aca="false">IF($M4377=0,"",INDEX(Classes!$C$6:$C$420,$M4377))</f>
        <v/>
      </c>
      <c r="F4377" s="63"/>
      <c r="G4377" s="63"/>
      <c r="H4377" s="60"/>
      <c r="I4377" s="60"/>
      <c r="J4377" s="63"/>
      <c r="K4377" s="61" t="str">
        <f aca="false">IF($P4377=0,"",IF($F4377="Baseline","— Baseline",IF($O4377=0,"No result",IF($N4377=0,"No Start (attainment only)",IF(OR($N4377=1,$O4377=1),"U – needs rule",INDEX(MxBody,MATCH($I4377,MxCurr,0),MATCH($H4377,MxStart,0)))))))</f>
        <v/>
      </c>
      <c r="L4377" s="62" t="str">
        <f aca="false">IF(COUNTA($A4377,$F4377,$G4377,$H4377,$I4377,$J4377)=0,"",IF($M4377=0,"✖ كود الصف غير موجود",IF(ISNA(MATCH($F4377,Lists!$A$2:$A$5,0)),"✖ الفترة غير صحيحة",IF(ISNA(MATCH($G4377,Lists!$B$2:$B$7,0)),"✖ المجموعة غير صحيحة",IF(NOT(OR($H4377="",$N4377&gt;0)),"✖ Start غير صحيح",IF(NOT(OR($I4377="",$I4377="NR",$O4377&gt;0)),"✖ Current غير صحيح",IF(NOT(IF(ISNUMBER($J4377),AND($J4377&gt;=0,$J4377=INT($J4377)),FALSE())),"✖ العدد يجب أن يكون صحيحًا ≥ 0",IF(AND($F4377="Baseline",$H4377&lt;&gt;""),"⚠ Baseline: Start لا يدخل في التقدم",IF($K4377="No Start (attainment only)","ℹ تحصيل فقط (بدون Start)",IF($K4377="U – needs rule","ℹ حالة U تحتاج قاعدة معتمدة",IF($K4377="No result","ℹ بدون نتيجة (يُستبعد من التحصيل)","OK")))))))))))</f>
        <v/>
      </c>
      <c r="M4377" s="64" t="n">
        <f aca="false">IF($A4377="",0,IFERROR(MATCH($A4377,Classes!$A$6:$A$420,0),0))</f>
        <v>0</v>
      </c>
      <c r="N4377" s="64" t="n">
        <f aca="false">IF($H4377="",0,IFERROR(MATCH($H4377,GradeList,0),0))</f>
        <v>0</v>
      </c>
      <c r="O4377" s="64" t="n">
        <f aca="false">IF(OR($I4377="",$I4377="NR"),0,IFERROR(MATCH($I4377,GradeList,0),0))</f>
        <v>0</v>
      </c>
      <c r="P4377" s="64" t="n">
        <f aca="false">IF(AND($M4377&gt;0,ISNUMBER(MATCH($F4377,Lists!$A$2:$A$5,0)),ISNUMBER(MATCH($G4377,Lists!$B$2:$B$7,0)),OR($H4377="",$N4377&gt;0),OR($I4377="",$I4377="NR",$O4377&gt;0),IF(ISNUMBER($J4377),AND($J4377&gt;=0,$J4377=INT($J4377)),FALSE())),$J4377,0)</f>
        <v>0</v>
      </c>
      <c r="Q4377" s="64" t="n">
        <f aca="false">IF(AND($P4377&gt;0,$O4377&gt;0),$P4377,0)</f>
        <v>0</v>
      </c>
      <c r="R4377" s="64" t="n">
        <f aca="false">IF(AND($Q4377&gt;0,$O4377&gt;=AtRank),$Q4377,0)</f>
        <v>0</v>
      </c>
      <c r="S4377" s="64" t="n">
        <f aca="false">IF(AND($Q4377&gt;0,$O4377&gt;=AboveRank),$Q4377,0)</f>
        <v>0</v>
      </c>
      <c r="T4377" s="64" t="n">
        <f aca="false">IF($K4377="Less",$P4377,0)</f>
        <v>0</v>
      </c>
      <c r="U4377" s="64" t="n">
        <f aca="false">IF($K4377="Expected",$P4377,0)</f>
        <v>0</v>
      </c>
      <c r="V4377" s="64" t="n">
        <f aca="false">IF($K4377="Better",$P4377,0)</f>
        <v>0</v>
      </c>
      <c r="W4377" s="64" t="n">
        <f aca="false">IF($K4377="U – needs rule",$P4377,0)</f>
        <v>0</v>
      </c>
      <c r="X4377" s="64" t="n">
        <f aca="false">IF($K4377="No Start (attainment only)",$P4377,0)</f>
        <v>0</v>
      </c>
    </row>
    <row r="4378" customFormat="false" ht="15" hidden="false" customHeight="false" outlineLevel="0" collapsed="false">
      <c r="A4378" s="60"/>
      <c r="B4378" s="61" t="str">
        <f aca="false">IF($M4378=0,"",INDEX(Classes!$E$6:$E$420,$M4378))</f>
        <v/>
      </c>
      <c r="C4378" s="62" t="str">
        <f aca="false">IF($M4378=0,"",INDEX(Classes!$H$6:$H$420,$M4378))</f>
        <v/>
      </c>
      <c r="D4378" s="61" t="str">
        <f aca="false">IF($M4378=0,"",INDEX(Classes!$B$6:$B$420,$M4378))</f>
        <v/>
      </c>
      <c r="E4378" s="61" t="str">
        <f aca="false">IF($M4378=0,"",INDEX(Classes!$C$6:$C$420,$M4378))</f>
        <v/>
      </c>
      <c r="F4378" s="63"/>
      <c r="G4378" s="63"/>
      <c r="H4378" s="60"/>
      <c r="I4378" s="60"/>
      <c r="J4378" s="63"/>
      <c r="K4378" s="61" t="str">
        <f aca="false">IF($P4378=0,"",IF($F4378="Baseline","— Baseline",IF($O4378=0,"No result",IF($N4378=0,"No Start (attainment only)",IF(OR($N4378=1,$O4378=1),"U – needs rule",INDEX(MxBody,MATCH($I4378,MxCurr,0),MATCH($H4378,MxStart,0)))))))</f>
        <v/>
      </c>
      <c r="L4378" s="62" t="str">
        <f aca="false">IF(COUNTA($A4378,$F4378,$G4378,$H4378,$I4378,$J4378)=0,"",IF($M4378=0,"✖ كود الصف غير موجود",IF(ISNA(MATCH($F4378,Lists!$A$2:$A$5,0)),"✖ الفترة غير صحيحة",IF(ISNA(MATCH($G4378,Lists!$B$2:$B$7,0)),"✖ المجموعة غير صحيحة",IF(NOT(OR($H4378="",$N4378&gt;0)),"✖ Start غير صحيح",IF(NOT(OR($I4378="",$I4378="NR",$O4378&gt;0)),"✖ Current غير صحيح",IF(NOT(IF(ISNUMBER($J4378),AND($J4378&gt;=0,$J4378=INT($J4378)),FALSE())),"✖ العدد يجب أن يكون صحيحًا ≥ 0",IF(AND($F4378="Baseline",$H4378&lt;&gt;""),"⚠ Baseline: Start لا يدخل في التقدم",IF($K4378="No Start (attainment only)","ℹ تحصيل فقط (بدون Start)",IF($K4378="U – needs rule","ℹ حالة U تحتاج قاعدة معتمدة",IF($K4378="No result","ℹ بدون نتيجة (يُستبعد من التحصيل)","OK")))))))))))</f>
        <v/>
      </c>
      <c r="M4378" s="64" t="n">
        <f aca="false">IF($A4378="",0,IFERROR(MATCH($A4378,Classes!$A$6:$A$420,0),0))</f>
        <v>0</v>
      </c>
      <c r="N4378" s="64" t="n">
        <f aca="false">IF($H4378="",0,IFERROR(MATCH($H4378,GradeList,0),0))</f>
        <v>0</v>
      </c>
      <c r="O4378" s="64" t="n">
        <f aca="false">IF(OR($I4378="",$I4378="NR"),0,IFERROR(MATCH($I4378,GradeList,0),0))</f>
        <v>0</v>
      </c>
      <c r="P4378" s="64" t="n">
        <f aca="false">IF(AND($M4378&gt;0,ISNUMBER(MATCH($F4378,Lists!$A$2:$A$5,0)),ISNUMBER(MATCH($G4378,Lists!$B$2:$B$7,0)),OR($H4378="",$N4378&gt;0),OR($I4378="",$I4378="NR",$O4378&gt;0),IF(ISNUMBER($J4378),AND($J4378&gt;=0,$J4378=INT($J4378)),FALSE())),$J4378,0)</f>
        <v>0</v>
      </c>
      <c r="Q4378" s="64" t="n">
        <f aca="false">IF(AND($P4378&gt;0,$O4378&gt;0),$P4378,0)</f>
        <v>0</v>
      </c>
      <c r="R4378" s="64" t="n">
        <f aca="false">IF(AND($Q4378&gt;0,$O4378&gt;=AtRank),$Q4378,0)</f>
        <v>0</v>
      </c>
      <c r="S4378" s="64" t="n">
        <f aca="false">IF(AND($Q4378&gt;0,$O4378&gt;=AboveRank),$Q4378,0)</f>
        <v>0</v>
      </c>
      <c r="T4378" s="64" t="n">
        <f aca="false">IF($K4378="Less",$P4378,0)</f>
        <v>0</v>
      </c>
      <c r="U4378" s="64" t="n">
        <f aca="false">IF($K4378="Expected",$P4378,0)</f>
        <v>0</v>
      </c>
      <c r="V4378" s="64" t="n">
        <f aca="false">IF($K4378="Better",$P4378,0)</f>
        <v>0</v>
      </c>
      <c r="W4378" s="64" t="n">
        <f aca="false">IF($K4378="U – needs rule",$P4378,0)</f>
        <v>0</v>
      </c>
      <c r="X4378" s="64" t="n">
        <f aca="false">IF($K4378="No Start (attainment only)",$P4378,0)</f>
        <v>0</v>
      </c>
    </row>
    <row r="4379" customFormat="false" ht="15" hidden="false" customHeight="false" outlineLevel="0" collapsed="false">
      <c r="A4379" s="60"/>
      <c r="B4379" s="61" t="str">
        <f aca="false">IF($M4379=0,"",INDEX(Classes!$E$6:$E$420,$M4379))</f>
        <v/>
      </c>
      <c r="C4379" s="62" t="str">
        <f aca="false">IF($M4379=0,"",INDEX(Classes!$H$6:$H$420,$M4379))</f>
        <v/>
      </c>
      <c r="D4379" s="61" t="str">
        <f aca="false">IF($M4379=0,"",INDEX(Classes!$B$6:$B$420,$M4379))</f>
        <v/>
      </c>
      <c r="E4379" s="61" t="str">
        <f aca="false">IF($M4379=0,"",INDEX(Classes!$C$6:$C$420,$M4379))</f>
        <v/>
      </c>
      <c r="F4379" s="63"/>
      <c r="G4379" s="63"/>
      <c r="H4379" s="60"/>
      <c r="I4379" s="60"/>
      <c r="J4379" s="63"/>
      <c r="K4379" s="61" t="str">
        <f aca="false">IF($P4379=0,"",IF($F4379="Baseline","— Baseline",IF($O4379=0,"No result",IF($N4379=0,"No Start (attainment only)",IF(OR($N4379=1,$O4379=1),"U – needs rule",INDEX(MxBody,MATCH($I4379,MxCurr,0),MATCH($H4379,MxStart,0)))))))</f>
        <v/>
      </c>
      <c r="L4379" s="62" t="str">
        <f aca="false">IF(COUNTA($A4379,$F4379,$G4379,$H4379,$I4379,$J4379)=0,"",IF($M4379=0,"✖ كود الصف غير موجود",IF(ISNA(MATCH($F4379,Lists!$A$2:$A$5,0)),"✖ الفترة غير صحيحة",IF(ISNA(MATCH($G4379,Lists!$B$2:$B$7,0)),"✖ المجموعة غير صحيحة",IF(NOT(OR($H4379="",$N4379&gt;0)),"✖ Start غير صحيح",IF(NOT(OR($I4379="",$I4379="NR",$O4379&gt;0)),"✖ Current غير صحيح",IF(NOT(IF(ISNUMBER($J4379),AND($J4379&gt;=0,$J4379=INT($J4379)),FALSE())),"✖ العدد يجب أن يكون صحيحًا ≥ 0",IF(AND($F4379="Baseline",$H4379&lt;&gt;""),"⚠ Baseline: Start لا يدخل في التقدم",IF($K4379="No Start (attainment only)","ℹ تحصيل فقط (بدون Start)",IF($K4379="U – needs rule","ℹ حالة U تحتاج قاعدة معتمدة",IF($K4379="No result","ℹ بدون نتيجة (يُستبعد من التحصيل)","OK")))))))))))</f>
        <v/>
      </c>
      <c r="M4379" s="64" t="n">
        <f aca="false">IF($A4379="",0,IFERROR(MATCH($A4379,Classes!$A$6:$A$420,0),0))</f>
        <v>0</v>
      </c>
      <c r="N4379" s="64" t="n">
        <f aca="false">IF($H4379="",0,IFERROR(MATCH($H4379,GradeList,0),0))</f>
        <v>0</v>
      </c>
      <c r="O4379" s="64" t="n">
        <f aca="false">IF(OR($I4379="",$I4379="NR"),0,IFERROR(MATCH($I4379,GradeList,0),0))</f>
        <v>0</v>
      </c>
      <c r="P4379" s="64" t="n">
        <f aca="false">IF(AND($M4379&gt;0,ISNUMBER(MATCH($F4379,Lists!$A$2:$A$5,0)),ISNUMBER(MATCH($G4379,Lists!$B$2:$B$7,0)),OR($H4379="",$N4379&gt;0),OR($I4379="",$I4379="NR",$O4379&gt;0),IF(ISNUMBER($J4379),AND($J4379&gt;=0,$J4379=INT($J4379)),FALSE())),$J4379,0)</f>
        <v>0</v>
      </c>
      <c r="Q4379" s="64" t="n">
        <f aca="false">IF(AND($P4379&gt;0,$O4379&gt;0),$P4379,0)</f>
        <v>0</v>
      </c>
      <c r="R4379" s="64" t="n">
        <f aca="false">IF(AND($Q4379&gt;0,$O4379&gt;=AtRank),$Q4379,0)</f>
        <v>0</v>
      </c>
      <c r="S4379" s="64" t="n">
        <f aca="false">IF(AND($Q4379&gt;0,$O4379&gt;=AboveRank),$Q4379,0)</f>
        <v>0</v>
      </c>
      <c r="T4379" s="64" t="n">
        <f aca="false">IF($K4379="Less",$P4379,0)</f>
        <v>0</v>
      </c>
      <c r="U4379" s="64" t="n">
        <f aca="false">IF($K4379="Expected",$P4379,0)</f>
        <v>0</v>
      </c>
      <c r="V4379" s="64" t="n">
        <f aca="false">IF($K4379="Better",$P4379,0)</f>
        <v>0</v>
      </c>
      <c r="W4379" s="64" t="n">
        <f aca="false">IF($K4379="U – needs rule",$P4379,0)</f>
        <v>0</v>
      </c>
      <c r="X4379" s="64" t="n">
        <f aca="false">IF($K4379="No Start (attainment only)",$P4379,0)</f>
        <v>0</v>
      </c>
    </row>
    <row r="4380" customFormat="false" ht="15" hidden="false" customHeight="false" outlineLevel="0" collapsed="false">
      <c r="A4380" s="60"/>
      <c r="B4380" s="61" t="str">
        <f aca="false">IF($M4380=0,"",INDEX(Classes!$E$6:$E$420,$M4380))</f>
        <v/>
      </c>
      <c r="C4380" s="62" t="str">
        <f aca="false">IF($M4380=0,"",INDEX(Classes!$H$6:$H$420,$M4380))</f>
        <v/>
      </c>
      <c r="D4380" s="61" t="str">
        <f aca="false">IF($M4380=0,"",INDEX(Classes!$B$6:$B$420,$M4380))</f>
        <v/>
      </c>
      <c r="E4380" s="61" t="str">
        <f aca="false">IF($M4380=0,"",INDEX(Classes!$C$6:$C$420,$M4380))</f>
        <v/>
      </c>
      <c r="F4380" s="63"/>
      <c r="G4380" s="63"/>
      <c r="H4380" s="60"/>
      <c r="I4380" s="60"/>
      <c r="J4380" s="63"/>
      <c r="K4380" s="61" t="str">
        <f aca="false">IF($P4380=0,"",IF($F4380="Baseline","— Baseline",IF($O4380=0,"No result",IF($N4380=0,"No Start (attainment only)",IF(OR($N4380=1,$O4380=1),"U – needs rule",INDEX(MxBody,MATCH($I4380,MxCurr,0),MATCH($H4380,MxStart,0)))))))</f>
        <v/>
      </c>
      <c r="L4380" s="62" t="str">
        <f aca="false">IF(COUNTA($A4380,$F4380,$G4380,$H4380,$I4380,$J4380)=0,"",IF($M4380=0,"✖ كود الصف غير موجود",IF(ISNA(MATCH($F4380,Lists!$A$2:$A$5,0)),"✖ الفترة غير صحيحة",IF(ISNA(MATCH($G4380,Lists!$B$2:$B$7,0)),"✖ المجموعة غير صحيحة",IF(NOT(OR($H4380="",$N4380&gt;0)),"✖ Start غير صحيح",IF(NOT(OR($I4380="",$I4380="NR",$O4380&gt;0)),"✖ Current غير صحيح",IF(NOT(IF(ISNUMBER($J4380),AND($J4380&gt;=0,$J4380=INT($J4380)),FALSE())),"✖ العدد يجب أن يكون صحيحًا ≥ 0",IF(AND($F4380="Baseline",$H4380&lt;&gt;""),"⚠ Baseline: Start لا يدخل في التقدم",IF($K4380="No Start (attainment only)","ℹ تحصيل فقط (بدون Start)",IF($K4380="U – needs rule","ℹ حالة U تحتاج قاعدة معتمدة",IF($K4380="No result","ℹ بدون نتيجة (يُستبعد من التحصيل)","OK")))))))))))</f>
        <v/>
      </c>
      <c r="M4380" s="64" t="n">
        <f aca="false">IF($A4380="",0,IFERROR(MATCH($A4380,Classes!$A$6:$A$420,0),0))</f>
        <v>0</v>
      </c>
      <c r="N4380" s="64" t="n">
        <f aca="false">IF($H4380="",0,IFERROR(MATCH($H4380,GradeList,0),0))</f>
        <v>0</v>
      </c>
      <c r="O4380" s="64" t="n">
        <f aca="false">IF(OR($I4380="",$I4380="NR"),0,IFERROR(MATCH($I4380,GradeList,0),0))</f>
        <v>0</v>
      </c>
      <c r="P4380" s="64" t="n">
        <f aca="false">IF(AND($M4380&gt;0,ISNUMBER(MATCH($F4380,Lists!$A$2:$A$5,0)),ISNUMBER(MATCH($G4380,Lists!$B$2:$B$7,0)),OR($H4380="",$N4380&gt;0),OR($I4380="",$I4380="NR",$O4380&gt;0),IF(ISNUMBER($J4380),AND($J4380&gt;=0,$J4380=INT($J4380)),FALSE())),$J4380,0)</f>
        <v>0</v>
      </c>
      <c r="Q4380" s="64" t="n">
        <f aca="false">IF(AND($P4380&gt;0,$O4380&gt;0),$P4380,0)</f>
        <v>0</v>
      </c>
      <c r="R4380" s="64" t="n">
        <f aca="false">IF(AND($Q4380&gt;0,$O4380&gt;=AtRank),$Q4380,0)</f>
        <v>0</v>
      </c>
      <c r="S4380" s="64" t="n">
        <f aca="false">IF(AND($Q4380&gt;0,$O4380&gt;=AboveRank),$Q4380,0)</f>
        <v>0</v>
      </c>
      <c r="T4380" s="64" t="n">
        <f aca="false">IF($K4380="Less",$P4380,0)</f>
        <v>0</v>
      </c>
      <c r="U4380" s="64" t="n">
        <f aca="false">IF($K4380="Expected",$P4380,0)</f>
        <v>0</v>
      </c>
      <c r="V4380" s="64" t="n">
        <f aca="false">IF($K4380="Better",$P4380,0)</f>
        <v>0</v>
      </c>
      <c r="W4380" s="64" t="n">
        <f aca="false">IF($K4380="U – needs rule",$P4380,0)</f>
        <v>0</v>
      </c>
      <c r="X4380" s="64" t="n">
        <f aca="false">IF($K4380="No Start (attainment only)",$P4380,0)</f>
        <v>0</v>
      </c>
    </row>
    <row r="4381" customFormat="false" ht="15" hidden="false" customHeight="false" outlineLevel="0" collapsed="false">
      <c r="A4381" s="60"/>
      <c r="B4381" s="61" t="str">
        <f aca="false">IF($M4381=0,"",INDEX(Classes!$E$6:$E$420,$M4381))</f>
        <v/>
      </c>
      <c r="C4381" s="62" t="str">
        <f aca="false">IF($M4381=0,"",INDEX(Classes!$H$6:$H$420,$M4381))</f>
        <v/>
      </c>
      <c r="D4381" s="61" t="str">
        <f aca="false">IF($M4381=0,"",INDEX(Classes!$B$6:$B$420,$M4381))</f>
        <v/>
      </c>
      <c r="E4381" s="61" t="str">
        <f aca="false">IF($M4381=0,"",INDEX(Classes!$C$6:$C$420,$M4381))</f>
        <v/>
      </c>
      <c r="F4381" s="63"/>
      <c r="G4381" s="63"/>
      <c r="H4381" s="60"/>
      <c r="I4381" s="60"/>
      <c r="J4381" s="63"/>
      <c r="K4381" s="61" t="str">
        <f aca="false">IF($P4381=0,"",IF($F4381="Baseline","— Baseline",IF($O4381=0,"No result",IF($N4381=0,"No Start (attainment only)",IF(OR($N4381=1,$O4381=1),"U – needs rule",INDEX(MxBody,MATCH($I4381,MxCurr,0),MATCH($H4381,MxStart,0)))))))</f>
        <v/>
      </c>
      <c r="L4381" s="62" t="str">
        <f aca="false">IF(COUNTA($A4381,$F4381,$G4381,$H4381,$I4381,$J4381)=0,"",IF($M4381=0,"✖ كود الصف غير موجود",IF(ISNA(MATCH($F4381,Lists!$A$2:$A$5,0)),"✖ الفترة غير صحيحة",IF(ISNA(MATCH($G4381,Lists!$B$2:$B$7,0)),"✖ المجموعة غير صحيحة",IF(NOT(OR($H4381="",$N4381&gt;0)),"✖ Start غير صحيح",IF(NOT(OR($I4381="",$I4381="NR",$O4381&gt;0)),"✖ Current غير صحيح",IF(NOT(IF(ISNUMBER($J4381),AND($J4381&gt;=0,$J4381=INT($J4381)),FALSE())),"✖ العدد يجب أن يكون صحيحًا ≥ 0",IF(AND($F4381="Baseline",$H4381&lt;&gt;""),"⚠ Baseline: Start لا يدخل في التقدم",IF($K4381="No Start (attainment only)","ℹ تحصيل فقط (بدون Start)",IF($K4381="U – needs rule","ℹ حالة U تحتاج قاعدة معتمدة",IF($K4381="No result","ℹ بدون نتيجة (يُستبعد من التحصيل)","OK")))))))))))</f>
        <v/>
      </c>
      <c r="M4381" s="64" t="n">
        <f aca="false">IF($A4381="",0,IFERROR(MATCH($A4381,Classes!$A$6:$A$420,0),0))</f>
        <v>0</v>
      </c>
      <c r="N4381" s="64" t="n">
        <f aca="false">IF($H4381="",0,IFERROR(MATCH($H4381,GradeList,0),0))</f>
        <v>0</v>
      </c>
      <c r="O4381" s="64" t="n">
        <f aca="false">IF(OR($I4381="",$I4381="NR"),0,IFERROR(MATCH($I4381,GradeList,0),0))</f>
        <v>0</v>
      </c>
      <c r="P4381" s="64" t="n">
        <f aca="false">IF(AND($M4381&gt;0,ISNUMBER(MATCH($F4381,Lists!$A$2:$A$5,0)),ISNUMBER(MATCH($G4381,Lists!$B$2:$B$7,0)),OR($H4381="",$N4381&gt;0),OR($I4381="",$I4381="NR",$O4381&gt;0),IF(ISNUMBER($J4381),AND($J4381&gt;=0,$J4381=INT($J4381)),FALSE())),$J4381,0)</f>
        <v>0</v>
      </c>
      <c r="Q4381" s="64" t="n">
        <f aca="false">IF(AND($P4381&gt;0,$O4381&gt;0),$P4381,0)</f>
        <v>0</v>
      </c>
      <c r="R4381" s="64" t="n">
        <f aca="false">IF(AND($Q4381&gt;0,$O4381&gt;=AtRank),$Q4381,0)</f>
        <v>0</v>
      </c>
      <c r="S4381" s="64" t="n">
        <f aca="false">IF(AND($Q4381&gt;0,$O4381&gt;=AboveRank),$Q4381,0)</f>
        <v>0</v>
      </c>
      <c r="T4381" s="64" t="n">
        <f aca="false">IF($K4381="Less",$P4381,0)</f>
        <v>0</v>
      </c>
      <c r="U4381" s="64" t="n">
        <f aca="false">IF($K4381="Expected",$P4381,0)</f>
        <v>0</v>
      </c>
      <c r="V4381" s="64" t="n">
        <f aca="false">IF($K4381="Better",$P4381,0)</f>
        <v>0</v>
      </c>
      <c r="W4381" s="64" t="n">
        <f aca="false">IF($K4381="U – needs rule",$P4381,0)</f>
        <v>0</v>
      </c>
      <c r="X4381" s="64" t="n">
        <f aca="false">IF($K4381="No Start (attainment only)",$P4381,0)</f>
        <v>0</v>
      </c>
    </row>
    <row r="4382" customFormat="false" ht="15" hidden="false" customHeight="false" outlineLevel="0" collapsed="false">
      <c r="A4382" s="60"/>
      <c r="B4382" s="61" t="str">
        <f aca="false">IF($M4382=0,"",INDEX(Classes!$E$6:$E$420,$M4382))</f>
        <v/>
      </c>
      <c r="C4382" s="62" t="str">
        <f aca="false">IF($M4382=0,"",INDEX(Classes!$H$6:$H$420,$M4382))</f>
        <v/>
      </c>
      <c r="D4382" s="61" t="str">
        <f aca="false">IF($M4382=0,"",INDEX(Classes!$B$6:$B$420,$M4382))</f>
        <v/>
      </c>
      <c r="E4382" s="61" t="str">
        <f aca="false">IF($M4382=0,"",INDEX(Classes!$C$6:$C$420,$M4382))</f>
        <v/>
      </c>
      <c r="F4382" s="63"/>
      <c r="G4382" s="63"/>
      <c r="H4382" s="60"/>
      <c r="I4382" s="60"/>
      <c r="J4382" s="63"/>
      <c r="K4382" s="61" t="str">
        <f aca="false">IF($P4382=0,"",IF($F4382="Baseline","— Baseline",IF($O4382=0,"No result",IF($N4382=0,"No Start (attainment only)",IF(OR($N4382=1,$O4382=1),"U – needs rule",INDEX(MxBody,MATCH($I4382,MxCurr,0),MATCH($H4382,MxStart,0)))))))</f>
        <v/>
      </c>
      <c r="L4382" s="62" t="str">
        <f aca="false">IF(COUNTA($A4382,$F4382,$G4382,$H4382,$I4382,$J4382)=0,"",IF($M4382=0,"✖ كود الصف غير موجود",IF(ISNA(MATCH($F4382,Lists!$A$2:$A$5,0)),"✖ الفترة غير صحيحة",IF(ISNA(MATCH($G4382,Lists!$B$2:$B$7,0)),"✖ المجموعة غير صحيحة",IF(NOT(OR($H4382="",$N4382&gt;0)),"✖ Start غير صحيح",IF(NOT(OR($I4382="",$I4382="NR",$O4382&gt;0)),"✖ Current غير صحيح",IF(NOT(IF(ISNUMBER($J4382),AND($J4382&gt;=0,$J4382=INT($J4382)),FALSE())),"✖ العدد يجب أن يكون صحيحًا ≥ 0",IF(AND($F4382="Baseline",$H4382&lt;&gt;""),"⚠ Baseline: Start لا يدخل في التقدم",IF($K4382="No Start (attainment only)","ℹ تحصيل فقط (بدون Start)",IF($K4382="U – needs rule","ℹ حالة U تحتاج قاعدة معتمدة",IF($K4382="No result","ℹ بدون نتيجة (يُستبعد من التحصيل)","OK")))))))))))</f>
        <v/>
      </c>
      <c r="M4382" s="64" t="n">
        <f aca="false">IF($A4382="",0,IFERROR(MATCH($A4382,Classes!$A$6:$A$420,0),0))</f>
        <v>0</v>
      </c>
      <c r="N4382" s="64" t="n">
        <f aca="false">IF($H4382="",0,IFERROR(MATCH($H4382,GradeList,0),0))</f>
        <v>0</v>
      </c>
      <c r="O4382" s="64" t="n">
        <f aca="false">IF(OR($I4382="",$I4382="NR"),0,IFERROR(MATCH($I4382,GradeList,0),0))</f>
        <v>0</v>
      </c>
      <c r="P4382" s="64" t="n">
        <f aca="false">IF(AND($M4382&gt;0,ISNUMBER(MATCH($F4382,Lists!$A$2:$A$5,0)),ISNUMBER(MATCH($G4382,Lists!$B$2:$B$7,0)),OR($H4382="",$N4382&gt;0),OR($I4382="",$I4382="NR",$O4382&gt;0),IF(ISNUMBER($J4382),AND($J4382&gt;=0,$J4382=INT($J4382)),FALSE())),$J4382,0)</f>
        <v>0</v>
      </c>
      <c r="Q4382" s="64" t="n">
        <f aca="false">IF(AND($P4382&gt;0,$O4382&gt;0),$P4382,0)</f>
        <v>0</v>
      </c>
      <c r="R4382" s="64" t="n">
        <f aca="false">IF(AND($Q4382&gt;0,$O4382&gt;=AtRank),$Q4382,0)</f>
        <v>0</v>
      </c>
      <c r="S4382" s="64" t="n">
        <f aca="false">IF(AND($Q4382&gt;0,$O4382&gt;=AboveRank),$Q4382,0)</f>
        <v>0</v>
      </c>
      <c r="T4382" s="64" t="n">
        <f aca="false">IF($K4382="Less",$P4382,0)</f>
        <v>0</v>
      </c>
      <c r="U4382" s="64" t="n">
        <f aca="false">IF($K4382="Expected",$P4382,0)</f>
        <v>0</v>
      </c>
      <c r="V4382" s="64" t="n">
        <f aca="false">IF($K4382="Better",$P4382,0)</f>
        <v>0</v>
      </c>
      <c r="W4382" s="64" t="n">
        <f aca="false">IF($K4382="U – needs rule",$P4382,0)</f>
        <v>0</v>
      </c>
      <c r="X4382" s="64" t="n">
        <f aca="false">IF($K4382="No Start (attainment only)",$P4382,0)</f>
        <v>0</v>
      </c>
    </row>
    <row r="4383" customFormat="false" ht="15" hidden="false" customHeight="false" outlineLevel="0" collapsed="false">
      <c r="A4383" s="60"/>
      <c r="B4383" s="61" t="str">
        <f aca="false">IF($M4383=0,"",INDEX(Classes!$E$6:$E$420,$M4383))</f>
        <v/>
      </c>
      <c r="C4383" s="62" t="str">
        <f aca="false">IF($M4383=0,"",INDEX(Classes!$H$6:$H$420,$M4383))</f>
        <v/>
      </c>
      <c r="D4383" s="61" t="str">
        <f aca="false">IF($M4383=0,"",INDEX(Classes!$B$6:$B$420,$M4383))</f>
        <v/>
      </c>
      <c r="E4383" s="61" t="str">
        <f aca="false">IF($M4383=0,"",INDEX(Classes!$C$6:$C$420,$M4383))</f>
        <v/>
      </c>
      <c r="F4383" s="63"/>
      <c r="G4383" s="63"/>
      <c r="H4383" s="60"/>
      <c r="I4383" s="60"/>
      <c r="J4383" s="63"/>
      <c r="K4383" s="61" t="str">
        <f aca="false">IF($P4383=0,"",IF($F4383="Baseline","— Baseline",IF($O4383=0,"No result",IF($N4383=0,"No Start (attainment only)",IF(OR($N4383=1,$O4383=1),"U – needs rule",INDEX(MxBody,MATCH($I4383,MxCurr,0),MATCH($H4383,MxStart,0)))))))</f>
        <v/>
      </c>
      <c r="L4383" s="62" t="str">
        <f aca="false">IF(COUNTA($A4383,$F4383,$G4383,$H4383,$I4383,$J4383)=0,"",IF($M4383=0,"✖ كود الصف غير موجود",IF(ISNA(MATCH($F4383,Lists!$A$2:$A$5,0)),"✖ الفترة غير صحيحة",IF(ISNA(MATCH($G4383,Lists!$B$2:$B$7,0)),"✖ المجموعة غير صحيحة",IF(NOT(OR($H4383="",$N4383&gt;0)),"✖ Start غير صحيح",IF(NOT(OR($I4383="",$I4383="NR",$O4383&gt;0)),"✖ Current غير صحيح",IF(NOT(IF(ISNUMBER($J4383),AND($J4383&gt;=0,$J4383=INT($J4383)),FALSE())),"✖ العدد يجب أن يكون صحيحًا ≥ 0",IF(AND($F4383="Baseline",$H4383&lt;&gt;""),"⚠ Baseline: Start لا يدخل في التقدم",IF($K4383="No Start (attainment only)","ℹ تحصيل فقط (بدون Start)",IF($K4383="U – needs rule","ℹ حالة U تحتاج قاعدة معتمدة",IF($K4383="No result","ℹ بدون نتيجة (يُستبعد من التحصيل)","OK")))))))))))</f>
        <v/>
      </c>
      <c r="M4383" s="64" t="n">
        <f aca="false">IF($A4383="",0,IFERROR(MATCH($A4383,Classes!$A$6:$A$420,0),0))</f>
        <v>0</v>
      </c>
      <c r="N4383" s="64" t="n">
        <f aca="false">IF($H4383="",0,IFERROR(MATCH($H4383,GradeList,0),0))</f>
        <v>0</v>
      </c>
      <c r="O4383" s="64" t="n">
        <f aca="false">IF(OR($I4383="",$I4383="NR"),0,IFERROR(MATCH($I4383,GradeList,0),0))</f>
        <v>0</v>
      </c>
      <c r="P4383" s="64" t="n">
        <f aca="false">IF(AND($M4383&gt;0,ISNUMBER(MATCH($F4383,Lists!$A$2:$A$5,0)),ISNUMBER(MATCH($G4383,Lists!$B$2:$B$7,0)),OR($H4383="",$N4383&gt;0),OR($I4383="",$I4383="NR",$O4383&gt;0),IF(ISNUMBER($J4383),AND($J4383&gt;=0,$J4383=INT($J4383)),FALSE())),$J4383,0)</f>
        <v>0</v>
      </c>
      <c r="Q4383" s="64" t="n">
        <f aca="false">IF(AND($P4383&gt;0,$O4383&gt;0),$P4383,0)</f>
        <v>0</v>
      </c>
      <c r="R4383" s="64" t="n">
        <f aca="false">IF(AND($Q4383&gt;0,$O4383&gt;=AtRank),$Q4383,0)</f>
        <v>0</v>
      </c>
      <c r="S4383" s="64" t="n">
        <f aca="false">IF(AND($Q4383&gt;0,$O4383&gt;=AboveRank),$Q4383,0)</f>
        <v>0</v>
      </c>
      <c r="T4383" s="64" t="n">
        <f aca="false">IF($K4383="Less",$P4383,0)</f>
        <v>0</v>
      </c>
      <c r="U4383" s="64" t="n">
        <f aca="false">IF($K4383="Expected",$P4383,0)</f>
        <v>0</v>
      </c>
      <c r="V4383" s="64" t="n">
        <f aca="false">IF($K4383="Better",$P4383,0)</f>
        <v>0</v>
      </c>
      <c r="W4383" s="64" t="n">
        <f aca="false">IF($K4383="U – needs rule",$P4383,0)</f>
        <v>0</v>
      </c>
      <c r="X4383" s="64" t="n">
        <f aca="false">IF($K4383="No Start (attainment only)",$P4383,0)</f>
        <v>0</v>
      </c>
    </row>
    <row r="4384" customFormat="false" ht="15" hidden="false" customHeight="false" outlineLevel="0" collapsed="false">
      <c r="A4384" s="60"/>
      <c r="B4384" s="61" t="str">
        <f aca="false">IF($M4384=0,"",INDEX(Classes!$E$6:$E$420,$M4384))</f>
        <v/>
      </c>
      <c r="C4384" s="62" t="str">
        <f aca="false">IF($M4384=0,"",INDEX(Classes!$H$6:$H$420,$M4384))</f>
        <v/>
      </c>
      <c r="D4384" s="61" t="str">
        <f aca="false">IF($M4384=0,"",INDEX(Classes!$B$6:$B$420,$M4384))</f>
        <v/>
      </c>
      <c r="E4384" s="61" t="str">
        <f aca="false">IF($M4384=0,"",INDEX(Classes!$C$6:$C$420,$M4384))</f>
        <v/>
      </c>
      <c r="F4384" s="63"/>
      <c r="G4384" s="63"/>
      <c r="H4384" s="60"/>
      <c r="I4384" s="60"/>
      <c r="J4384" s="63"/>
      <c r="K4384" s="61" t="str">
        <f aca="false">IF($P4384=0,"",IF($F4384="Baseline","— Baseline",IF($O4384=0,"No result",IF($N4384=0,"No Start (attainment only)",IF(OR($N4384=1,$O4384=1),"U – needs rule",INDEX(MxBody,MATCH($I4384,MxCurr,0),MATCH($H4384,MxStart,0)))))))</f>
        <v/>
      </c>
      <c r="L4384" s="62" t="str">
        <f aca="false">IF(COUNTA($A4384,$F4384,$G4384,$H4384,$I4384,$J4384)=0,"",IF($M4384=0,"✖ كود الصف غير موجود",IF(ISNA(MATCH($F4384,Lists!$A$2:$A$5,0)),"✖ الفترة غير صحيحة",IF(ISNA(MATCH($G4384,Lists!$B$2:$B$7,0)),"✖ المجموعة غير صحيحة",IF(NOT(OR($H4384="",$N4384&gt;0)),"✖ Start غير صحيح",IF(NOT(OR($I4384="",$I4384="NR",$O4384&gt;0)),"✖ Current غير صحيح",IF(NOT(IF(ISNUMBER($J4384),AND($J4384&gt;=0,$J4384=INT($J4384)),FALSE())),"✖ العدد يجب أن يكون صحيحًا ≥ 0",IF(AND($F4384="Baseline",$H4384&lt;&gt;""),"⚠ Baseline: Start لا يدخل في التقدم",IF($K4384="No Start (attainment only)","ℹ تحصيل فقط (بدون Start)",IF($K4384="U – needs rule","ℹ حالة U تحتاج قاعدة معتمدة",IF($K4384="No result","ℹ بدون نتيجة (يُستبعد من التحصيل)","OK")))))))))))</f>
        <v/>
      </c>
      <c r="M4384" s="64" t="n">
        <f aca="false">IF($A4384="",0,IFERROR(MATCH($A4384,Classes!$A$6:$A$420,0),0))</f>
        <v>0</v>
      </c>
      <c r="N4384" s="64" t="n">
        <f aca="false">IF($H4384="",0,IFERROR(MATCH($H4384,GradeList,0),0))</f>
        <v>0</v>
      </c>
      <c r="O4384" s="64" t="n">
        <f aca="false">IF(OR($I4384="",$I4384="NR"),0,IFERROR(MATCH($I4384,GradeList,0),0))</f>
        <v>0</v>
      </c>
      <c r="P4384" s="64" t="n">
        <f aca="false">IF(AND($M4384&gt;0,ISNUMBER(MATCH($F4384,Lists!$A$2:$A$5,0)),ISNUMBER(MATCH($G4384,Lists!$B$2:$B$7,0)),OR($H4384="",$N4384&gt;0),OR($I4384="",$I4384="NR",$O4384&gt;0),IF(ISNUMBER($J4384),AND($J4384&gt;=0,$J4384=INT($J4384)),FALSE())),$J4384,0)</f>
        <v>0</v>
      </c>
      <c r="Q4384" s="64" t="n">
        <f aca="false">IF(AND($P4384&gt;0,$O4384&gt;0),$P4384,0)</f>
        <v>0</v>
      </c>
      <c r="R4384" s="64" t="n">
        <f aca="false">IF(AND($Q4384&gt;0,$O4384&gt;=AtRank),$Q4384,0)</f>
        <v>0</v>
      </c>
      <c r="S4384" s="64" t="n">
        <f aca="false">IF(AND($Q4384&gt;0,$O4384&gt;=AboveRank),$Q4384,0)</f>
        <v>0</v>
      </c>
      <c r="T4384" s="64" t="n">
        <f aca="false">IF($K4384="Less",$P4384,0)</f>
        <v>0</v>
      </c>
      <c r="U4384" s="64" t="n">
        <f aca="false">IF($K4384="Expected",$P4384,0)</f>
        <v>0</v>
      </c>
      <c r="V4384" s="64" t="n">
        <f aca="false">IF($K4384="Better",$P4384,0)</f>
        <v>0</v>
      </c>
      <c r="W4384" s="64" t="n">
        <f aca="false">IF($K4384="U – needs rule",$P4384,0)</f>
        <v>0</v>
      </c>
      <c r="X4384" s="64" t="n">
        <f aca="false">IF($K4384="No Start (attainment only)",$P4384,0)</f>
        <v>0</v>
      </c>
    </row>
    <row r="4385" customFormat="false" ht="15" hidden="false" customHeight="false" outlineLevel="0" collapsed="false">
      <c r="A4385" s="60"/>
      <c r="B4385" s="61" t="str">
        <f aca="false">IF($M4385=0,"",INDEX(Classes!$E$6:$E$420,$M4385))</f>
        <v/>
      </c>
      <c r="C4385" s="62" t="str">
        <f aca="false">IF($M4385=0,"",INDEX(Classes!$H$6:$H$420,$M4385))</f>
        <v/>
      </c>
      <c r="D4385" s="61" t="str">
        <f aca="false">IF($M4385=0,"",INDEX(Classes!$B$6:$B$420,$M4385))</f>
        <v/>
      </c>
      <c r="E4385" s="61" t="str">
        <f aca="false">IF($M4385=0,"",INDEX(Classes!$C$6:$C$420,$M4385))</f>
        <v/>
      </c>
      <c r="F4385" s="63"/>
      <c r="G4385" s="63"/>
      <c r="H4385" s="60"/>
      <c r="I4385" s="60"/>
      <c r="J4385" s="63"/>
      <c r="K4385" s="61" t="str">
        <f aca="false">IF($P4385=0,"",IF($F4385="Baseline","— Baseline",IF($O4385=0,"No result",IF($N4385=0,"No Start (attainment only)",IF(OR($N4385=1,$O4385=1),"U – needs rule",INDEX(MxBody,MATCH($I4385,MxCurr,0),MATCH($H4385,MxStart,0)))))))</f>
        <v/>
      </c>
      <c r="L4385" s="62" t="str">
        <f aca="false">IF(COUNTA($A4385,$F4385,$G4385,$H4385,$I4385,$J4385)=0,"",IF($M4385=0,"✖ كود الصف غير موجود",IF(ISNA(MATCH($F4385,Lists!$A$2:$A$5,0)),"✖ الفترة غير صحيحة",IF(ISNA(MATCH($G4385,Lists!$B$2:$B$7,0)),"✖ المجموعة غير صحيحة",IF(NOT(OR($H4385="",$N4385&gt;0)),"✖ Start غير صحيح",IF(NOT(OR($I4385="",$I4385="NR",$O4385&gt;0)),"✖ Current غير صحيح",IF(NOT(IF(ISNUMBER($J4385),AND($J4385&gt;=0,$J4385=INT($J4385)),FALSE())),"✖ العدد يجب أن يكون صحيحًا ≥ 0",IF(AND($F4385="Baseline",$H4385&lt;&gt;""),"⚠ Baseline: Start لا يدخل في التقدم",IF($K4385="No Start (attainment only)","ℹ تحصيل فقط (بدون Start)",IF($K4385="U – needs rule","ℹ حالة U تحتاج قاعدة معتمدة",IF($K4385="No result","ℹ بدون نتيجة (يُستبعد من التحصيل)","OK")))))))))))</f>
        <v/>
      </c>
      <c r="M4385" s="64" t="n">
        <f aca="false">IF($A4385="",0,IFERROR(MATCH($A4385,Classes!$A$6:$A$420,0),0))</f>
        <v>0</v>
      </c>
      <c r="N4385" s="64" t="n">
        <f aca="false">IF($H4385="",0,IFERROR(MATCH($H4385,GradeList,0),0))</f>
        <v>0</v>
      </c>
      <c r="O4385" s="64" t="n">
        <f aca="false">IF(OR($I4385="",$I4385="NR"),0,IFERROR(MATCH($I4385,GradeList,0),0))</f>
        <v>0</v>
      </c>
      <c r="P4385" s="64" t="n">
        <f aca="false">IF(AND($M4385&gt;0,ISNUMBER(MATCH($F4385,Lists!$A$2:$A$5,0)),ISNUMBER(MATCH($G4385,Lists!$B$2:$B$7,0)),OR($H4385="",$N4385&gt;0),OR($I4385="",$I4385="NR",$O4385&gt;0),IF(ISNUMBER($J4385),AND($J4385&gt;=0,$J4385=INT($J4385)),FALSE())),$J4385,0)</f>
        <v>0</v>
      </c>
      <c r="Q4385" s="64" t="n">
        <f aca="false">IF(AND($P4385&gt;0,$O4385&gt;0),$P4385,0)</f>
        <v>0</v>
      </c>
      <c r="R4385" s="64" t="n">
        <f aca="false">IF(AND($Q4385&gt;0,$O4385&gt;=AtRank),$Q4385,0)</f>
        <v>0</v>
      </c>
      <c r="S4385" s="64" t="n">
        <f aca="false">IF(AND($Q4385&gt;0,$O4385&gt;=AboveRank),$Q4385,0)</f>
        <v>0</v>
      </c>
      <c r="T4385" s="64" t="n">
        <f aca="false">IF($K4385="Less",$P4385,0)</f>
        <v>0</v>
      </c>
      <c r="U4385" s="64" t="n">
        <f aca="false">IF($K4385="Expected",$P4385,0)</f>
        <v>0</v>
      </c>
      <c r="V4385" s="64" t="n">
        <f aca="false">IF($K4385="Better",$P4385,0)</f>
        <v>0</v>
      </c>
      <c r="W4385" s="64" t="n">
        <f aca="false">IF($K4385="U – needs rule",$P4385,0)</f>
        <v>0</v>
      </c>
      <c r="X4385" s="64" t="n">
        <f aca="false">IF($K4385="No Start (attainment only)",$P4385,0)</f>
        <v>0</v>
      </c>
    </row>
    <row r="4386" customFormat="false" ht="15" hidden="false" customHeight="false" outlineLevel="0" collapsed="false">
      <c r="A4386" s="60"/>
      <c r="B4386" s="61" t="str">
        <f aca="false">IF($M4386=0,"",INDEX(Classes!$E$6:$E$420,$M4386))</f>
        <v/>
      </c>
      <c r="C4386" s="62" t="str">
        <f aca="false">IF($M4386=0,"",INDEX(Classes!$H$6:$H$420,$M4386))</f>
        <v/>
      </c>
      <c r="D4386" s="61" t="str">
        <f aca="false">IF($M4386=0,"",INDEX(Classes!$B$6:$B$420,$M4386))</f>
        <v/>
      </c>
      <c r="E4386" s="61" t="str">
        <f aca="false">IF($M4386=0,"",INDEX(Classes!$C$6:$C$420,$M4386))</f>
        <v/>
      </c>
      <c r="F4386" s="63"/>
      <c r="G4386" s="63"/>
      <c r="H4386" s="60"/>
      <c r="I4386" s="60"/>
      <c r="J4386" s="63"/>
      <c r="K4386" s="61" t="str">
        <f aca="false">IF($P4386=0,"",IF($F4386="Baseline","— Baseline",IF($O4386=0,"No result",IF($N4386=0,"No Start (attainment only)",IF(OR($N4386=1,$O4386=1),"U – needs rule",INDEX(MxBody,MATCH($I4386,MxCurr,0),MATCH($H4386,MxStart,0)))))))</f>
        <v/>
      </c>
      <c r="L4386" s="62" t="str">
        <f aca="false">IF(COUNTA($A4386,$F4386,$G4386,$H4386,$I4386,$J4386)=0,"",IF($M4386=0,"✖ كود الصف غير موجود",IF(ISNA(MATCH($F4386,Lists!$A$2:$A$5,0)),"✖ الفترة غير صحيحة",IF(ISNA(MATCH($G4386,Lists!$B$2:$B$7,0)),"✖ المجموعة غير صحيحة",IF(NOT(OR($H4386="",$N4386&gt;0)),"✖ Start غير صحيح",IF(NOT(OR($I4386="",$I4386="NR",$O4386&gt;0)),"✖ Current غير صحيح",IF(NOT(IF(ISNUMBER($J4386),AND($J4386&gt;=0,$J4386=INT($J4386)),FALSE())),"✖ العدد يجب أن يكون صحيحًا ≥ 0",IF(AND($F4386="Baseline",$H4386&lt;&gt;""),"⚠ Baseline: Start لا يدخل في التقدم",IF($K4386="No Start (attainment only)","ℹ تحصيل فقط (بدون Start)",IF($K4386="U – needs rule","ℹ حالة U تحتاج قاعدة معتمدة",IF($K4386="No result","ℹ بدون نتيجة (يُستبعد من التحصيل)","OK")))))))))))</f>
        <v/>
      </c>
      <c r="M4386" s="64" t="n">
        <f aca="false">IF($A4386="",0,IFERROR(MATCH($A4386,Classes!$A$6:$A$420,0),0))</f>
        <v>0</v>
      </c>
      <c r="N4386" s="64" t="n">
        <f aca="false">IF($H4386="",0,IFERROR(MATCH($H4386,GradeList,0),0))</f>
        <v>0</v>
      </c>
      <c r="O4386" s="64" t="n">
        <f aca="false">IF(OR($I4386="",$I4386="NR"),0,IFERROR(MATCH($I4386,GradeList,0),0))</f>
        <v>0</v>
      </c>
      <c r="P4386" s="64" t="n">
        <f aca="false">IF(AND($M4386&gt;0,ISNUMBER(MATCH($F4386,Lists!$A$2:$A$5,0)),ISNUMBER(MATCH($G4386,Lists!$B$2:$B$7,0)),OR($H4386="",$N4386&gt;0),OR($I4386="",$I4386="NR",$O4386&gt;0),IF(ISNUMBER($J4386),AND($J4386&gt;=0,$J4386=INT($J4386)),FALSE())),$J4386,0)</f>
        <v>0</v>
      </c>
      <c r="Q4386" s="64" t="n">
        <f aca="false">IF(AND($P4386&gt;0,$O4386&gt;0),$P4386,0)</f>
        <v>0</v>
      </c>
      <c r="R4386" s="64" t="n">
        <f aca="false">IF(AND($Q4386&gt;0,$O4386&gt;=AtRank),$Q4386,0)</f>
        <v>0</v>
      </c>
      <c r="S4386" s="64" t="n">
        <f aca="false">IF(AND($Q4386&gt;0,$O4386&gt;=AboveRank),$Q4386,0)</f>
        <v>0</v>
      </c>
      <c r="T4386" s="64" t="n">
        <f aca="false">IF($K4386="Less",$P4386,0)</f>
        <v>0</v>
      </c>
      <c r="U4386" s="64" t="n">
        <f aca="false">IF($K4386="Expected",$P4386,0)</f>
        <v>0</v>
      </c>
      <c r="V4386" s="64" t="n">
        <f aca="false">IF($K4386="Better",$P4386,0)</f>
        <v>0</v>
      </c>
      <c r="W4386" s="64" t="n">
        <f aca="false">IF($K4386="U – needs rule",$P4386,0)</f>
        <v>0</v>
      </c>
      <c r="X4386" s="64" t="n">
        <f aca="false">IF($K4386="No Start (attainment only)",$P4386,0)</f>
        <v>0</v>
      </c>
    </row>
    <row r="4387" customFormat="false" ht="15" hidden="false" customHeight="false" outlineLevel="0" collapsed="false">
      <c r="A4387" s="60"/>
      <c r="B4387" s="61" t="str">
        <f aca="false">IF($M4387=0,"",INDEX(Classes!$E$6:$E$420,$M4387))</f>
        <v/>
      </c>
      <c r="C4387" s="62" t="str">
        <f aca="false">IF($M4387=0,"",INDEX(Classes!$H$6:$H$420,$M4387))</f>
        <v/>
      </c>
      <c r="D4387" s="61" t="str">
        <f aca="false">IF($M4387=0,"",INDEX(Classes!$B$6:$B$420,$M4387))</f>
        <v/>
      </c>
      <c r="E4387" s="61" t="str">
        <f aca="false">IF($M4387=0,"",INDEX(Classes!$C$6:$C$420,$M4387))</f>
        <v/>
      </c>
      <c r="F4387" s="63"/>
      <c r="G4387" s="63"/>
      <c r="H4387" s="60"/>
      <c r="I4387" s="60"/>
      <c r="J4387" s="63"/>
      <c r="K4387" s="61" t="str">
        <f aca="false">IF($P4387=0,"",IF($F4387="Baseline","— Baseline",IF($O4387=0,"No result",IF($N4387=0,"No Start (attainment only)",IF(OR($N4387=1,$O4387=1),"U – needs rule",INDEX(MxBody,MATCH($I4387,MxCurr,0),MATCH($H4387,MxStart,0)))))))</f>
        <v/>
      </c>
      <c r="L4387" s="62" t="str">
        <f aca="false">IF(COUNTA($A4387,$F4387,$G4387,$H4387,$I4387,$J4387)=0,"",IF($M4387=0,"✖ كود الصف غير موجود",IF(ISNA(MATCH($F4387,Lists!$A$2:$A$5,0)),"✖ الفترة غير صحيحة",IF(ISNA(MATCH($G4387,Lists!$B$2:$B$7,0)),"✖ المجموعة غير صحيحة",IF(NOT(OR($H4387="",$N4387&gt;0)),"✖ Start غير صحيح",IF(NOT(OR($I4387="",$I4387="NR",$O4387&gt;0)),"✖ Current غير صحيح",IF(NOT(IF(ISNUMBER($J4387),AND($J4387&gt;=0,$J4387=INT($J4387)),FALSE())),"✖ العدد يجب أن يكون صحيحًا ≥ 0",IF(AND($F4387="Baseline",$H4387&lt;&gt;""),"⚠ Baseline: Start لا يدخل في التقدم",IF($K4387="No Start (attainment only)","ℹ تحصيل فقط (بدون Start)",IF($K4387="U – needs rule","ℹ حالة U تحتاج قاعدة معتمدة",IF($K4387="No result","ℹ بدون نتيجة (يُستبعد من التحصيل)","OK")))))))))))</f>
        <v/>
      </c>
      <c r="M4387" s="64" t="n">
        <f aca="false">IF($A4387="",0,IFERROR(MATCH($A4387,Classes!$A$6:$A$420,0),0))</f>
        <v>0</v>
      </c>
      <c r="N4387" s="64" t="n">
        <f aca="false">IF($H4387="",0,IFERROR(MATCH($H4387,GradeList,0),0))</f>
        <v>0</v>
      </c>
      <c r="O4387" s="64" t="n">
        <f aca="false">IF(OR($I4387="",$I4387="NR"),0,IFERROR(MATCH($I4387,GradeList,0),0))</f>
        <v>0</v>
      </c>
      <c r="P4387" s="64" t="n">
        <f aca="false">IF(AND($M4387&gt;0,ISNUMBER(MATCH($F4387,Lists!$A$2:$A$5,0)),ISNUMBER(MATCH($G4387,Lists!$B$2:$B$7,0)),OR($H4387="",$N4387&gt;0),OR($I4387="",$I4387="NR",$O4387&gt;0),IF(ISNUMBER($J4387),AND($J4387&gt;=0,$J4387=INT($J4387)),FALSE())),$J4387,0)</f>
        <v>0</v>
      </c>
      <c r="Q4387" s="64" t="n">
        <f aca="false">IF(AND($P4387&gt;0,$O4387&gt;0),$P4387,0)</f>
        <v>0</v>
      </c>
      <c r="R4387" s="64" t="n">
        <f aca="false">IF(AND($Q4387&gt;0,$O4387&gt;=AtRank),$Q4387,0)</f>
        <v>0</v>
      </c>
      <c r="S4387" s="64" t="n">
        <f aca="false">IF(AND($Q4387&gt;0,$O4387&gt;=AboveRank),$Q4387,0)</f>
        <v>0</v>
      </c>
      <c r="T4387" s="64" t="n">
        <f aca="false">IF($K4387="Less",$P4387,0)</f>
        <v>0</v>
      </c>
      <c r="U4387" s="64" t="n">
        <f aca="false">IF($K4387="Expected",$P4387,0)</f>
        <v>0</v>
      </c>
      <c r="V4387" s="64" t="n">
        <f aca="false">IF($K4387="Better",$P4387,0)</f>
        <v>0</v>
      </c>
      <c r="W4387" s="64" t="n">
        <f aca="false">IF($K4387="U – needs rule",$P4387,0)</f>
        <v>0</v>
      </c>
      <c r="X4387" s="64" t="n">
        <f aca="false">IF($K4387="No Start (attainment only)",$P4387,0)</f>
        <v>0</v>
      </c>
    </row>
    <row r="4388" customFormat="false" ht="15" hidden="false" customHeight="false" outlineLevel="0" collapsed="false">
      <c r="A4388" s="60"/>
      <c r="B4388" s="61" t="str">
        <f aca="false">IF($M4388=0,"",INDEX(Classes!$E$6:$E$420,$M4388))</f>
        <v/>
      </c>
      <c r="C4388" s="62" t="str">
        <f aca="false">IF($M4388=0,"",INDEX(Classes!$H$6:$H$420,$M4388))</f>
        <v/>
      </c>
      <c r="D4388" s="61" t="str">
        <f aca="false">IF($M4388=0,"",INDEX(Classes!$B$6:$B$420,$M4388))</f>
        <v/>
      </c>
      <c r="E4388" s="61" t="str">
        <f aca="false">IF($M4388=0,"",INDEX(Classes!$C$6:$C$420,$M4388))</f>
        <v/>
      </c>
      <c r="F4388" s="63"/>
      <c r="G4388" s="63"/>
      <c r="H4388" s="60"/>
      <c r="I4388" s="60"/>
      <c r="J4388" s="63"/>
      <c r="K4388" s="61" t="str">
        <f aca="false">IF($P4388=0,"",IF($F4388="Baseline","— Baseline",IF($O4388=0,"No result",IF($N4388=0,"No Start (attainment only)",IF(OR($N4388=1,$O4388=1),"U – needs rule",INDEX(MxBody,MATCH($I4388,MxCurr,0),MATCH($H4388,MxStart,0)))))))</f>
        <v/>
      </c>
      <c r="L4388" s="62" t="str">
        <f aca="false">IF(COUNTA($A4388,$F4388,$G4388,$H4388,$I4388,$J4388)=0,"",IF($M4388=0,"✖ كود الصف غير موجود",IF(ISNA(MATCH($F4388,Lists!$A$2:$A$5,0)),"✖ الفترة غير صحيحة",IF(ISNA(MATCH($G4388,Lists!$B$2:$B$7,0)),"✖ المجموعة غير صحيحة",IF(NOT(OR($H4388="",$N4388&gt;0)),"✖ Start غير صحيح",IF(NOT(OR($I4388="",$I4388="NR",$O4388&gt;0)),"✖ Current غير صحيح",IF(NOT(IF(ISNUMBER($J4388),AND($J4388&gt;=0,$J4388=INT($J4388)),FALSE())),"✖ العدد يجب أن يكون صحيحًا ≥ 0",IF(AND($F4388="Baseline",$H4388&lt;&gt;""),"⚠ Baseline: Start لا يدخل في التقدم",IF($K4388="No Start (attainment only)","ℹ تحصيل فقط (بدون Start)",IF($K4388="U – needs rule","ℹ حالة U تحتاج قاعدة معتمدة",IF($K4388="No result","ℹ بدون نتيجة (يُستبعد من التحصيل)","OK")))))))))))</f>
        <v/>
      </c>
      <c r="M4388" s="64" t="n">
        <f aca="false">IF($A4388="",0,IFERROR(MATCH($A4388,Classes!$A$6:$A$420,0),0))</f>
        <v>0</v>
      </c>
      <c r="N4388" s="64" t="n">
        <f aca="false">IF($H4388="",0,IFERROR(MATCH($H4388,GradeList,0),0))</f>
        <v>0</v>
      </c>
      <c r="O4388" s="64" t="n">
        <f aca="false">IF(OR($I4388="",$I4388="NR"),0,IFERROR(MATCH($I4388,GradeList,0),0))</f>
        <v>0</v>
      </c>
      <c r="P4388" s="64" t="n">
        <f aca="false">IF(AND($M4388&gt;0,ISNUMBER(MATCH($F4388,Lists!$A$2:$A$5,0)),ISNUMBER(MATCH($G4388,Lists!$B$2:$B$7,0)),OR($H4388="",$N4388&gt;0),OR($I4388="",$I4388="NR",$O4388&gt;0),IF(ISNUMBER($J4388),AND($J4388&gt;=0,$J4388=INT($J4388)),FALSE())),$J4388,0)</f>
        <v>0</v>
      </c>
      <c r="Q4388" s="64" t="n">
        <f aca="false">IF(AND($P4388&gt;0,$O4388&gt;0),$P4388,0)</f>
        <v>0</v>
      </c>
      <c r="R4388" s="64" t="n">
        <f aca="false">IF(AND($Q4388&gt;0,$O4388&gt;=AtRank),$Q4388,0)</f>
        <v>0</v>
      </c>
      <c r="S4388" s="64" t="n">
        <f aca="false">IF(AND($Q4388&gt;0,$O4388&gt;=AboveRank),$Q4388,0)</f>
        <v>0</v>
      </c>
      <c r="T4388" s="64" t="n">
        <f aca="false">IF($K4388="Less",$P4388,0)</f>
        <v>0</v>
      </c>
      <c r="U4388" s="64" t="n">
        <f aca="false">IF($K4388="Expected",$P4388,0)</f>
        <v>0</v>
      </c>
      <c r="V4388" s="64" t="n">
        <f aca="false">IF($K4388="Better",$P4388,0)</f>
        <v>0</v>
      </c>
      <c r="W4388" s="64" t="n">
        <f aca="false">IF($K4388="U – needs rule",$P4388,0)</f>
        <v>0</v>
      </c>
      <c r="X4388" s="64" t="n">
        <f aca="false">IF($K4388="No Start (attainment only)",$P4388,0)</f>
        <v>0</v>
      </c>
    </row>
    <row r="4389" customFormat="false" ht="15" hidden="false" customHeight="false" outlineLevel="0" collapsed="false">
      <c r="A4389" s="60"/>
      <c r="B4389" s="61" t="str">
        <f aca="false">IF($M4389=0,"",INDEX(Classes!$E$6:$E$420,$M4389))</f>
        <v/>
      </c>
      <c r="C4389" s="62" t="str">
        <f aca="false">IF($M4389=0,"",INDEX(Classes!$H$6:$H$420,$M4389))</f>
        <v/>
      </c>
      <c r="D4389" s="61" t="str">
        <f aca="false">IF($M4389=0,"",INDEX(Classes!$B$6:$B$420,$M4389))</f>
        <v/>
      </c>
      <c r="E4389" s="61" t="str">
        <f aca="false">IF($M4389=0,"",INDEX(Classes!$C$6:$C$420,$M4389))</f>
        <v/>
      </c>
      <c r="F4389" s="63"/>
      <c r="G4389" s="63"/>
      <c r="H4389" s="60"/>
      <c r="I4389" s="60"/>
      <c r="J4389" s="63"/>
      <c r="K4389" s="61" t="str">
        <f aca="false">IF($P4389=0,"",IF($F4389="Baseline","— Baseline",IF($O4389=0,"No result",IF($N4389=0,"No Start (attainment only)",IF(OR($N4389=1,$O4389=1),"U – needs rule",INDEX(MxBody,MATCH($I4389,MxCurr,0),MATCH($H4389,MxStart,0)))))))</f>
        <v/>
      </c>
      <c r="L4389" s="62" t="str">
        <f aca="false">IF(COUNTA($A4389,$F4389,$G4389,$H4389,$I4389,$J4389)=0,"",IF($M4389=0,"✖ كود الصف غير موجود",IF(ISNA(MATCH($F4389,Lists!$A$2:$A$5,0)),"✖ الفترة غير صحيحة",IF(ISNA(MATCH($G4389,Lists!$B$2:$B$7,0)),"✖ المجموعة غير صحيحة",IF(NOT(OR($H4389="",$N4389&gt;0)),"✖ Start غير صحيح",IF(NOT(OR($I4389="",$I4389="NR",$O4389&gt;0)),"✖ Current غير صحيح",IF(NOT(IF(ISNUMBER($J4389),AND($J4389&gt;=0,$J4389=INT($J4389)),FALSE())),"✖ العدد يجب أن يكون صحيحًا ≥ 0",IF(AND($F4389="Baseline",$H4389&lt;&gt;""),"⚠ Baseline: Start لا يدخل في التقدم",IF($K4389="No Start (attainment only)","ℹ تحصيل فقط (بدون Start)",IF($K4389="U – needs rule","ℹ حالة U تحتاج قاعدة معتمدة",IF($K4389="No result","ℹ بدون نتيجة (يُستبعد من التحصيل)","OK")))))))))))</f>
        <v/>
      </c>
      <c r="M4389" s="64" t="n">
        <f aca="false">IF($A4389="",0,IFERROR(MATCH($A4389,Classes!$A$6:$A$420,0),0))</f>
        <v>0</v>
      </c>
      <c r="N4389" s="64" t="n">
        <f aca="false">IF($H4389="",0,IFERROR(MATCH($H4389,GradeList,0),0))</f>
        <v>0</v>
      </c>
      <c r="O4389" s="64" t="n">
        <f aca="false">IF(OR($I4389="",$I4389="NR"),0,IFERROR(MATCH($I4389,GradeList,0),0))</f>
        <v>0</v>
      </c>
      <c r="P4389" s="64" t="n">
        <f aca="false">IF(AND($M4389&gt;0,ISNUMBER(MATCH($F4389,Lists!$A$2:$A$5,0)),ISNUMBER(MATCH($G4389,Lists!$B$2:$B$7,0)),OR($H4389="",$N4389&gt;0),OR($I4389="",$I4389="NR",$O4389&gt;0),IF(ISNUMBER($J4389),AND($J4389&gt;=0,$J4389=INT($J4389)),FALSE())),$J4389,0)</f>
        <v>0</v>
      </c>
      <c r="Q4389" s="64" t="n">
        <f aca="false">IF(AND($P4389&gt;0,$O4389&gt;0),$P4389,0)</f>
        <v>0</v>
      </c>
      <c r="R4389" s="64" t="n">
        <f aca="false">IF(AND($Q4389&gt;0,$O4389&gt;=AtRank),$Q4389,0)</f>
        <v>0</v>
      </c>
      <c r="S4389" s="64" t="n">
        <f aca="false">IF(AND($Q4389&gt;0,$O4389&gt;=AboveRank),$Q4389,0)</f>
        <v>0</v>
      </c>
      <c r="T4389" s="64" t="n">
        <f aca="false">IF($K4389="Less",$P4389,0)</f>
        <v>0</v>
      </c>
      <c r="U4389" s="64" t="n">
        <f aca="false">IF($K4389="Expected",$P4389,0)</f>
        <v>0</v>
      </c>
      <c r="V4389" s="64" t="n">
        <f aca="false">IF($K4389="Better",$P4389,0)</f>
        <v>0</v>
      </c>
      <c r="W4389" s="64" t="n">
        <f aca="false">IF($K4389="U – needs rule",$P4389,0)</f>
        <v>0</v>
      </c>
      <c r="X4389" s="64" t="n">
        <f aca="false">IF($K4389="No Start (attainment only)",$P4389,0)</f>
        <v>0</v>
      </c>
    </row>
    <row r="4390" customFormat="false" ht="15" hidden="false" customHeight="false" outlineLevel="0" collapsed="false">
      <c r="A4390" s="60"/>
      <c r="B4390" s="61" t="str">
        <f aca="false">IF($M4390=0,"",INDEX(Classes!$E$6:$E$420,$M4390))</f>
        <v/>
      </c>
      <c r="C4390" s="62" t="str">
        <f aca="false">IF($M4390=0,"",INDEX(Classes!$H$6:$H$420,$M4390))</f>
        <v/>
      </c>
      <c r="D4390" s="61" t="str">
        <f aca="false">IF($M4390=0,"",INDEX(Classes!$B$6:$B$420,$M4390))</f>
        <v/>
      </c>
      <c r="E4390" s="61" t="str">
        <f aca="false">IF($M4390=0,"",INDEX(Classes!$C$6:$C$420,$M4390))</f>
        <v/>
      </c>
      <c r="F4390" s="63"/>
      <c r="G4390" s="63"/>
      <c r="H4390" s="60"/>
      <c r="I4390" s="60"/>
      <c r="J4390" s="63"/>
      <c r="K4390" s="61" t="str">
        <f aca="false">IF($P4390=0,"",IF($F4390="Baseline","— Baseline",IF($O4390=0,"No result",IF($N4390=0,"No Start (attainment only)",IF(OR($N4390=1,$O4390=1),"U – needs rule",INDEX(MxBody,MATCH($I4390,MxCurr,0),MATCH($H4390,MxStart,0)))))))</f>
        <v/>
      </c>
      <c r="L4390" s="62" t="str">
        <f aca="false">IF(COUNTA($A4390,$F4390,$G4390,$H4390,$I4390,$J4390)=0,"",IF($M4390=0,"✖ كود الصف غير موجود",IF(ISNA(MATCH($F4390,Lists!$A$2:$A$5,0)),"✖ الفترة غير صحيحة",IF(ISNA(MATCH($G4390,Lists!$B$2:$B$7,0)),"✖ المجموعة غير صحيحة",IF(NOT(OR($H4390="",$N4390&gt;0)),"✖ Start غير صحيح",IF(NOT(OR($I4390="",$I4390="NR",$O4390&gt;0)),"✖ Current غير صحيح",IF(NOT(IF(ISNUMBER($J4390),AND($J4390&gt;=0,$J4390=INT($J4390)),FALSE())),"✖ العدد يجب أن يكون صحيحًا ≥ 0",IF(AND($F4390="Baseline",$H4390&lt;&gt;""),"⚠ Baseline: Start لا يدخل في التقدم",IF($K4390="No Start (attainment only)","ℹ تحصيل فقط (بدون Start)",IF($K4390="U – needs rule","ℹ حالة U تحتاج قاعدة معتمدة",IF($K4390="No result","ℹ بدون نتيجة (يُستبعد من التحصيل)","OK")))))))))))</f>
        <v/>
      </c>
      <c r="M4390" s="64" t="n">
        <f aca="false">IF($A4390="",0,IFERROR(MATCH($A4390,Classes!$A$6:$A$420,0),0))</f>
        <v>0</v>
      </c>
      <c r="N4390" s="64" t="n">
        <f aca="false">IF($H4390="",0,IFERROR(MATCH($H4390,GradeList,0),0))</f>
        <v>0</v>
      </c>
      <c r="O4390" s="64" t="n">
        <f aca="false">IF(OR($I4390="",$I4390="NR"),0,IFERROR(MATCH($I4390,GradeList,0),0))</f>
        <v>0</v>
      </c>
      <c r="P4390" s="64" t="n">
        <f aca="false">IF(AND($M4390&gt;0,ISNUMBER(MATCH($F4390,Lists!$A$2:$A$5,0)),ISNUMBER(MATCH($G4390,Lists!$B$2:$B$7,0)),OR($H4390="",$N4390&gt;0),OR($I4390="",$I4390="NR",$O4390&gt;0),IF(ISNUMBER($J4390),AND($J4390&gt;=0,$J4390=INT($J4390)),FALSE())),$J4390,0)</f>
        <v>0</v>
      </c>
      <c r="Q4390" s="64" t="n">
        <f aca="false">IF(AND($P4390&gt;0,$O4390&gt;0),$P4390,0)</f>
        <v>0</v>
      </c>
      <c r="R4390" s="64" t="n">
        <f aca="false">IF(AND($Q4390&gt;0,$O4390&gt;=AtRank),$Q4390,0)</f>
        <v>0</v>
      </c>
      <c r="S4390" s="64" t="n">
        <f aca="false">IF(AND($Q4390&gt;0,$O4390&gt;=AboveRank),$Q4390,0)</f>
        <v>0</v>
      </c>
      <c r="T4390" s="64" t="n">
        <f aca="false">IF($K4390="Less",$P4390,0)</f>
        <v>0</v>
      </c>
      <c r="U4390" s="64" t="n">
        <f aca="false">IF($K4390="Expected",$P4390,0)</f>
        <v>0</v>
      </c>
      <c r="V4390" s="64" t="n">
        <f aca="false">IF($K4390="Better",$P4390,0)</f>
        <v>0</v>
      </c>
      <c r="W4390" s="64" t="n">
        <f aca="false">IF($K4390="U – needs rule",$P4390,0)</f>
        <v>0</v>
      </c>
      <c r="X4390" s="64" t="n">
        <f aca="false">IF($K4390="No Start (attainment only)",$P4390,0)</f>
        <v>0</v>
      </c>
    </row>
    <row r="4391" customFormat="false" ht="15" hidden="false" customHeight="false" outlineLevel="0" collapsed="false">
      <c r="A4391" s="60"/>
      <c r="B4391" s="61" t="str">
        <f aca="false">IF($M4391=0,"",INDEX(Classes!$E$6:$E$420,$M4391))</f>
        <v/>
      </c>
      <c r="C4391" s="62" t="str">
        <f aca="false">IF($M4391=0,"",INDEX(Classes!$H$6:$H$420,$M4391))</f>
        <v/>
      </c>
      <c r="D4391" s="61" t="str">
        <f aca="false">IF($M4391=0,"",INDEX(Classes!$B$6:$B$420,$M4391))</f>
        <v/>
      </c>
      <c r="E4391" s="61" t="str">
        <f aca="false">IF($M4391=0,"",INDEX(Classes!$C$6:$C$420,$M4391))</f>
        <v/>
      </c>
      <c r="F4391" s="63"/>
      <c r="G4391" s="63"/>
      <c r="H4391" s="60"/>
      <c r="I4391" s="60"/>
      <c r="J4391" s="63"/>
      <c r="K4391" s="61" t="str">
        <f aca="false">IF($P4391=0,"",IF($F4391="Baseline","— Baseline",IF($O4391=0,"No result",IF($N4391=0,"No Start (attainment only)",IF(OR($N4391=1,$O4391=1),"U – needs rule",INDEX(MxBody,MATCH($I4391,MxCurr,0),MATCH($H4391,MxStart,0)))))))</f>
        <v/>
      </c>
      <c r="L4391" s="62" t="str">
        <f aca="false">IF(COUNTA($A4391,$F4391,$G4391,$H4391,$I4391,$J4391)=0,"",IF($M4391=0,"✖ كود الصف غير موجود",IF(ISNA(MATCH($F4391,Lists!$A$2:$A$5,0)),"✖ الفترة غير صحيحة",IF(ISNA(MATCH($G4391,Lists!$B$2:$B$7,0)),"✖ المجموعة غير صحيحة",IF(NOT(OR($H4391="",$N4391&gt;0)),"✖ Start غير صحيح",IF(NOT(OR($I4391="",$I4391="NR",$O4391&gt;0)),"✖ Current غير صحيح",IF(NOT(IF(ISNUMBER($J4391),AND($J4391&gt;=0,$J4391=INT($J4391)),FALSE())),"✖ العدد يجب أن يكون صحيحًا ≥ 0",IF(AND($F4391="Baseline",$H4391&lt;&gt;""),"⚠ Baseline: Start لا يدخل في التقدم",IF($K4391="No Start (attainment only)","ℹ تحصيل فقط (بدون Start)",IF($K4391="U – needs rule","ℹ حالة U تحتاج قاعدة معتمدة",IF($K4391="No result","ℹ بدون نتيجة (يُستبعد من التحصيل)","OK")))))))))))</f>
        <v/>
      </c>
      <c r="M4391" s="64" t="n">
        <f aca="false">IF($A4391="",0,IFERROR(MATCH($A4391,Classes!$A$6:$A$420,0),0))</f>
        <v>0</v>
      </c>
      <c r="N4391" s="64" t="n">
        <f aca="false">IF($H4391="",0,IFERROR(MATCH($H4391,GradeList,0),0))</f>
        <v>0</v>
      </c>
      <c r="O4391" s="64" t="n">
        <f aca="false">IF(OR($I4391="",$I4391="NR"),0,IFERROR(MATCH($I4391,GradeList,0),0))</f>
        <v>0</v>
      </c>
      <c r="P4391" s="64" t="n">
        <f aca="false">IF(AND($M4391&gt;0,ISNUMBER(MATCH($F4391,Lists!$A$2:$A$5,0)),ISNUMBER(MATCH($G4391,Lists!$B$2:$B$7,0)),OR($H4391="",$N4391&gt;0),OR($I4391="",$I4391="NR",$O4391&gt;0),IF(ISNUMBER($J4391),AND($J4391&gt;=0,$J4391=INT($J4391)),FALSE())),$J4391,0)</f>
        <v>0</v>
      </c>
      <c r="Q4391" s="64" t="n">
        <f aca="false">IF(AND($P4391&gt;0,$O4391&gt;0),$P4391,0)</f>
        <v>0</v>
      </c>
      <c r="R4391" s="64" t="n">
        <f aca="false">IF(AND($Q4391&gt;0,$O4391&gt;=AtRank),$Q4391,0)</f>
        <v>0</v>
      </c>
      <c r="S4391" s="64" t="n">
        <f aca="false">IF(AND($Q4391&gt;0,$O4391&gt;=AboveRank),$Q4391,0)</f>
        <v>0</v>
      </c>
      <c r="T4391" s="64" t="n">
        <f aca="false">IF($K4391="Less",$P4391,0)</f>
        <v>0</v>
      </c>
      <c r="U4391" s="64" t="n">
        <f aca="false">IF($K4391="Expected",$P4391,0)</f>
        <v>0</v>
      </c>
      <c r="V4391" s="64" t="n">
        <f aca="false">IF($K4391="Better",$P4391,0)</f>
        <v>0</v>
      </c>
      <c r="W4391" s="64" t="n">
        <f aca="false">IF($K4391="U – needs rule",$P4391,0)</f>
        <v>0</v>
      </c>
      <c r="X4391" s="64" t="n">
        <f aca="false">IF($K4391="No Start (attainment only)",$P4391,0)</f>
        <v>0</v>
      </c>
    </row>
    <row r="4392" customFormat="false" ht="15" hidden="false" customHeight="false" outlineLevel="0" collapsed="false">
      <c r="A4392" s="60"/>
      <c r="B4392" s="61" t="str">
        <f aca="false">IF($M4392=0,"",INDEX(Classes!$E$6:$E$420,$M4392))</f>
        <v/>
      </c>
      <c r="C4392" s="62" t="str">
        <f aca="false">IF($M4392=0,"",INDEX(Classes!$H$6:$H$420,$M4392))</f>
        <v/>
      </c>
      <c r="D4392" s="61" t="str">
        <f aca="false">IF($M4392=0,"",INDEX(Classes!$B$6:$B$420,$M4392))</f>
        <v/>
      </c>
      <c r="E4392" s="61" t="str">
        <f aca="false">IF($M4392=0,"",INDEX(Classes!$C$6:$C$420,$M4392))</f>
        <v/>
      </c>
      <c r="F4392" s="63"/>
      <c r="G4392" s="63"/>
      <c r="H4392" s="60"/>
      <c r="I4392" s="60"/>
      <c r="J4392" s="63"/>
      <c r="K4392" s="61" t="str">
        <f aca="false">IF($P4392=0,"",IF($F4392="Baseline","— Baseline",IF($O4392=0,"No result",IF($N4392=0,"No Start (attainment only)",IF(OR($N4392=1,$O4392=1),"U – needs rule",INDEX(MxBody,MATCH($I4392,MxCurr,0),MATCH($H4392,MxStart,0)))))))</f>
        <v/>
      </c>
      <c r="L4392" s="62" t="str">
        <f aca="false">IF(COUNTA($A4392,$F4392,$G4392,$H4392,$I4392,$J4392)=0,"",IF($M4392=0,"✖ كود الصف غير موجود",IF(ISNA(MATCH($F4392,Lists!$A$2:$A$5,0)),"✖ الفترة غير صحيحة",IF(ISNA(MATCH($G4392,Lists!$B$2:$B$7,0)),"✖ المجموعة غير صحيحة",IF(NOT(OR($H4392="",$N4392&gt;0)),"✖ Start غير صحيح",IF(NOT(OR($I4392="",$I4392="NR",$O4392&gt;0)),"✖ Current غير صحيح",IF(NOT(IF(ISNUMBER($J4392),AND($J4392&gt;=0,$J4392=INT($J4392)),FALSE())),"✖ العدد يجب أن يكون صحيحًا ≥ 0",IF(AND($F4392="Baseline",$H4392&lt;&gt;""),"⚠ Baseline: Start لا يدخل في التقدم",IF($K4392="No Start (attainment only)","ℹ تحصيل فقط (بدون Start)",IF($K4392="U – needs rule","ℹ حالة U تحتاج قاعدة معتمدة",IF($K4392="No result","ℹ بدون نتيجة (يُستبعد من التحصيل)","OK")))))))))))</f>
        <v/>
      </c>
      <c r="M4392" s="64" t="n">
        <f aca="false">IF($A4392="",0,IFERROR(MATCH($A4392,Classes!$A$6:$A$420,0),0))</f>
        <v>0</v>
      </c>
      <c r="N4392" s="64" t="n">
        <f aca="false">IF($H4392="",0,IFERROR(MATCH($H4392,GradeList,0),0))</f>
        <v>0</v>
      </c>
      <c r="O4392" s="64" t="n">
        <f aca="false">IF(OR($I4392="",$I4392="NR"),0,IFERROR(MATCH($I4392,GradeList,0),0))</f>
        <v>0</v>
      </c>
      <c r="P4392" s="64" t="n">
        <f aca="false">IF(AND($M4392&gt;0,ISNUMBER(MATCH($F4392,Lists!$A$2:$A$5,0)),ISNUMBER(MATCH($G4392,Lists!$B$2:$B$7,0)),OR($H4392="",$N4392&gt;0),OR($I4392="",$I4392="NR",$O4392&gt;0),IF(ISNUMBER($J4392),AND($J4392&gt;=0,$J4392=INT($J4392)),FALSE())),$J4392,0)</f>
        <v>0</v>
      </c>
      <c r="Q4392" s="64" t="n">
        <f aca="false">IF(AND($P4392&gt;0,$O4392&gt;0),$P4392,0)</f>
        <v>0</v>
      </c>
      <c r="R4392" s="64" t="n">
        <f aca="false">IF(AND($Q4392&gt;0,$O4392&gt;=AtRank),$Q4392,0)</f>
        <v>0</v>
      </c>
      <c r="S4392" s="64" t="n">
        <f aca="false">IF(AND($Q4392&gt;0,$O4392&gt;=AboveRank),$Q4392,0)</f>
        <v>0</v>
      </c>
      <c r="T4392" s="64" t="n">
        <f aca="false">IF($K4392="Less",$P4392,0)</f>
        <v>0</v>
      </c>
      <c r="U4392" s="64" t="n">
        <f aca="false">IF($K4392="Expected",$P4392,0)</f>
        <v>0</v>
      </c>
      <c r="V4392" s="64" t="n">
        <f aca="false">IF($K4392="Better",$P4392,0)</f>
        <v>0</v>
      </c>
      <c r="W4392" s="64" t="n">
        <f aca="false">IF($K4392="U – needs rule",$P4392,0)</f>
        <v>0</v>
      </c>
      <c r="X4392" s="64" t="n">
        <f aca="false">IF($K4392="No Start (attainment only)",$P4392,0)</f>
        <v>0</v>
      </c>
    </row>
    <row r="4393" customFormat="false" ht="15" hidden="false" customHeight="false" outlineLevel="0" collapsed="false">
      <c r="A4393" s="60"/>
      <c r="B4393" s="61" t="str">
        <f aca="false">IF($M4393=0,"",INDEX(Classes!$E$6:$E$420,$M4393))</f>
        <v/>
      </c>
      <c r="C4393" s="62" t="str">
        <f aca="false">IF($M4393=0,"",INDEX(Classes!$H$6:$H$420,$M4393))</f>
        <v/>
      </c>
      <c r="D4393" s="61" t="str">
        <f aca="false">IF($M4393=0,"",INDEX(Classes!$B$6:$B$420,$M4393))</f>
        <v/>
      </c>
      <c r="E4393" s="61" t="str">
        <f aca="false">IF($M4393=0,"",INDEX(Classes!$C$6:$C$420,$M4393))</f>
        <v/>
      </c>
      <c r="F4393" s="63"/>
      <c r="G4393" s="63"/>
      <c r="H4393" s="60"/>
      <c r="I4393" s="60"/>
      <c r="J4393" s="63"/>
      <c r="K4393" s="61" t="str">
        <f aca="false">IF($P4393=0,"",IF($F4393="Baseline","— Baseline",IF($O4393=0,"No result",IF($N4393=0,"No Start (attainment only)",IF(OR($N4393=1,$O4393=1),"U – needs rule",INDEX(MxBody,MATCH($I4393,MxCurr,0),MATCH($H4393,MxStart,0)))))))</f>
        <v/>
      </c>
      <c r="L4393" s="62" t="str">
        <f aca="false">IF(COUNTA($A4393,$F4393,$G4393,$H4393,$I4393,$J4393)=0,"",IF($M4393=0,"✖ كود الصف غير موجود",IF(ISNA(MATCH($F4393,Lists!$A$2:$A$5,0)),"✖ الفترة غير صحيحة",IF(ISNA(MATCH($G4393,Lists!$B$2:$B$7,0)),"✖ المجموعة غير صحيحة",IF(NOT(OR($H4393="",$N4393&gt;0)),"✖ Start غير صحيح",IF(NOT(OR($I4393="",$I4393="NR",$O4393&gt;0)),"✖ Current غير صحيح",IF(NOT(IF(ISNUMBER($J4393),AND($J4393&gt;=0,$J4393=INT($J4393)),FALSE())),"✖ العدد يجب أن يكون صحيحًا ≥ 0",IF(AND($F4393="Baseline",$H4393&lt;&gt;""),"⚠ Baseline: Start لا يدخل في التقدم",IF($K4393="No Start (attainment only)","ℹ تحصيل فقط (بدون Start)",IF($K4393="U – needs rule","ℹ حالة U تحتاج قاعدة معتمدة",IF($K4393="No result","ℹ بدون نتيجة (يُستبعد من التحصيل)","OK")))))))))))</f>
        <v/>
      </c>
      <c r="M4393" s="64" t="n">
        <f aca="false">IF($A4393="",0,IFERROR(MATCH($A4393,Classes!$A$6:$A$420,0),0))</f>
        <v>0</v>
      </c>
      <c r="N4393" s="64" t="n">
        <f aca="false">IF($H4393="",0,IFERROR(MATCH($H4393,GradeList,0),0))</f>
        <v>0</v>
      </c>
      <c r="O4393" s="64" t="n">
        <f aca="false">IF(OR($I4393="",$I4393="NR"),0,IFERROR(MATCH($I4393,GradeList,0),0))</f>
        <v>0</v>
      </c>
      <c r="P4393" s="64" t="n">
        <f aca="false">IF(AND($M4393&gt;0,ISNUMBER(MATCH($F4393,Lists!$A$2:$A$5,0)),ISNUMBER(MATCH($G4393,Lists!$B$2:$B$7,0)),OR($H4393="",$N4393&gt;0),OR($I4393="",$I4393="NR",$O4393&gt;0),IF(ISNUMBER($J4393),AND($J4393&gt;=0,$J4393=INT($J4393)),FALSE())),$J4393,0)</f>
        <v>0</v>
      </c>
      <c r="Q4393" s="64" t="n">
        <f aca="false">IF(AND($P4393&gt;0,$O4393&gt;0),$P4393,0)</f>
        <v>0</v>
      </c>
      <c r="R4393" s="64" t="n">
        <f aca="false">IF(AND($Q4393&gt;0,$O4393&gt;=AtRank),$Q4393,0)</f>
        <v>0</v>
      </c>
      <c r="S4393" s="64" t="n">
        <f aca="false">IF(AND($Q4393&gt;0,$O4393&gt;=AboveRank),$Q4393,0)</f>
        <v>0</v>
      </c>
      <c r="T4393" s="64" t="n">
        <f aca="false">IF($K4393="Less",$P4393,0)</f>
        <v>0</v>
      </c>
      <c r="U4393" s="64" t="n">
        <f aca="false">IF($K4393="Expected",$P4393,0)</f>
        <v>0</v>
      </c>
      <c r="V4393" s="64" t="n">
        <f aca="false">IF($K4393="Better",$P4393,0)</f>
        <v>0</v>
      </c>
      <c r="W4393" s="64" t="n">
        <f aca="false">IF($K4393="U – needs rule",$P4393,0)</f>
        <v>0</v>
      </c>
      <c r="X4393" s="64" t="n">
        <f aca="false">IF($K4393="No Start (attainment only)",$P4393,0)</f>
        <v>0</v>
      </c>
    </row>
    <row r="4394" customFormat="false" ht="15" hidden="false" customHeight="false" outlineLevel="0" collapsed="false">
      <c r="A4394" s="60"/>
      <c r="B4394" s="61" t="str">
        <f aca="false">IF($M4394=0,"",INDEX(Classes!$E$6:$E$420,$M4394))</f>
        <v/>
      </c>
      <c r="C4394" s="62" t="str">
        <f aca="false">IF($M4394=0,"",INDEX(Classes!$H$6:$H$420,$M4394))</f>
        <v/>
      </c>
      <c r="D4394" s="61" t="str">
        <f aca="false">IF($M4394=0,"",INDEX(Classes!$B$6:$B$420,$M4394))</f>
        <v/>
      </c>
      <c r="E4394" s="61" t="str">
        <f aca="false">IF($M4394=0,"",INDEX(Classes!$C$6:$C$420,$M4394))</f>
        <v/>
      </c>
      <c r="F4394" s="63"/>
      <c r="G4394" s="63"/>
      <c r="H4394" s="60"/>
      <c r="I4394" s="60"/>
      <c r="J4394" s="63"/>
      <c r="K4394" s="61" t="str">
        <f aca="false">IF($P4394=0,"",IF($F4394="Baseline","— Baseline",IF($O4394=0,"No result",IF($N4394=0,"No Start (attainment only)",IF(OR($N4394=1,$O4394=1),"U – needs rule",INDEX(MxBody,MATCH($I4394,MxCurr,0),MATCH($H4394,MxStart,0)))))))</f>
        <v/>
      </c>
      <c r="L4394" s="62" t="str">
        <f aca="false">IF(COUNTA($A4394,$F4394,$G4394,$H4394,$I4394,$J4394)=0,"",IF($M4394=0,"✖ كود الصف غير موجود",IF(ISNA(MATCH($F4394,Lists!$A$2:$A$5,0)),"✖ الفترة غير صحيحة",IF(ISNA(MATCH($G4394,Lists!$B$2:$B$7,0)),"✖ المجموعة غير صحيحة",IF(NOT(OR($H4394="",$N4394&gt;0)),"✖ Start غير صحيح",IF(NOT(OR($I4394="",$I4394="NR",$O4394&gt;0)),"✖ Current غير صحيح",IF(NOT(IF(ISNUMBER($J4394),AND($J4394&gt;=0,$J4394=INT($J4394)),FALSE())),"✖ العدد يجب أن يكون صحيحًا ≥ 0",IF(AND($F4394="Baseline",$H4394&lt;&gt;""),"⚠ Baseline: Start لا يدخل في التقدم",IF($K4394="No Start (attainment only)","ℹ تحصيل فقط (بدون Start)",IF($K4394="U – needs rule","ℹ حالة U تحتاج قاعدة معتمدة",IF($K4394="No result","ℹ بدون نتيجة (يُستبعد من التحصيل)","OK")))))))))))</f>
        <v/>
      </c>
      <c r="M4394" s="64" t="n">
        <f aca="false">IF($A4394="",0,IFERROR(MATCH($A4394,Classes!$A$6:$A$420,0),0))</f>
        <v>0</v>
      </c>
      <c r="N4394" s="64" t="n">
        <f aca="false">IF($H4394="",0,IFERROR(MATCH($H4394,GradeList,0),0))</f>
        <v>0</v>
      </c>
      <c r="O4394" s="64" t="n">
        <f aca="false">IF(OR($I4394="",$I4394="NR"),0,IFERROR(MATCH($I4394,GradeList,0),0))</f>
        <v>0</v>
      </c>
      <c r="P4394" s="64" t="n">
        <f aca="false">IF(AND($M4394&gt;0,ISNUMBER(MATCH($F4394,Lists!$A$2:$A$5,0)),ISNUMBER(MATCH($G4394,Lists!$B$2:$B$7,0)),OR($H4394="",$N4394&gt;0),OR($I4394="",$I4394="NR",$O4394&gt;0),IF(ISNUMBER($J4394),AND($J4394&gt;=0,$J4394=INT($J4394)),FALSE())),$J4394,0)</f>
        <v>0</v>
      </c>
      <c r="Q4394" s="64" t="n">
        <f aca="false">IF(AND($P4394&gt;0,$O4394&gt;0),$P4394,0)</f>
        <v>0</v>
      </c>
      <c r="R4394" s="64" t="n">
        <f aca="false">IF(AND($Q4394&gt;0,$O4394&gt;=AtRank),$Q4394,0)</f>
        <v>0</v>
      </c>
      <c r="S4394" s="64" t="n">
        <f aca="false">IF(AND($Q4394&gt;0,$O4394&gt;=AboveRank),$Q4394,0)</f>
        <v>0</v>
      </c>
      <c r="T4394" s="64" t="n">
        <f aca="false">IF($K4394="Less",$P4394,0)</f>
        <v>0</v>
      </c>
      <c r="U4394" s="64" t="n">
        <f aca="false">IF($K4394="Expected",$P4394,0)</f>
        <v>0</v>
      </c>
      <c r="V4394" s="64" t="n">
        <f aca="false">IF($K4394="Better",$P4394,0)</f>
        <v>0</v>
      </c>
      <c r="W4394" s="64" t="n">
        <f aca="false">IF($K4394="U – needs rule",$P4394,0)</f>
        <v>0</v>
      </c>
      <c r="X4394" s="64" t="n">
        <f aca="false">IF($K4394="No Start (attainment only)",$P4394,0)</f>
        <v>0</v>
      </c>
    </row>
    <row r="4395" customFormat="false" ht="15" hidden="false" customHeight="false" outlineLevel="0" collapsed="false">
      <c r="A4395" s="60"/>
      <c r="B4395" s="61" t="str">
        <f aca="false">IF($M4395=0,"",INDEX(Classes!$E$6:$E$420,$M4395))</f>
        <v/>
      </c>
      <c r="C4395" s="62" t="str">
        <f aca="false">IF($M4395=0,"",INDEX(Classes!$H$6:$H$420,$M4395))</f>
        <v/>
      </c>
      <c r="D4395" s="61" t="str">
        <f aca="false">IF($M4395=0,"",INDEX(Classes!$B$6:$B$420,$M4395))</f>
        <v/>
      </c>
      <c r="E4395" s="61" t="str">
        <f aca="false">IF($M4395=0,"",INDEX(Classes!$C$6:$C$420,$M4395))</f>
        <v/>
      </c>
      <c r="F4395" s="63"/>
      <c r="G4395" s="63"/>
      <c r="H4395" s="60"/>
      <c r="I4395" s="60"/>
      <c r="J4395" s="63"/>
      <c r="K4395" s="61" t="str">
        <f aca="false">IF($P4395=0,"",IF($F4395="Baseline","— Baseline",IF($O4395=0,"No result",IF($N4395=0,"No Start (attainment only)",IF(OR($N4395=1,$O4395=1),"U – needs rule",INDEX(MxBody,MATCH($I4395,MxCurr,0),MATCH($H4395,MxStart,0)))))))</f>
        <v/>
      </c>
      <c r="L4395" s="62" t="str">
        <f aca="false">IF(COUNTA($A4395,$F4395,$G4395,$H4395,$I4395,$J4395)=0,"",IF($M4395=0,"✖ كود الصف غير موجود",IF(ISNA(MATCH($F4395,Lists!$A$2:$A$5,0)),"✖ الفترة غير صحيحة",IF(ISNA(MATCH($G4395,Lists!$B$2:$B$7,0)),"✖ المجموعة غير صحيحة",IF(NOT(OR($H4395="",$N4395&gt;0)),"✖ Start غير صحيح",IF(NOT(OR($I4395="",$I4395="NR",$O4395&gt;0)),"✖ Current غير صحيح",IF(NOT(IF(ISNUMBER($J4395),AND($J4395&gt;=0,$J4395=INT($J4395)),FALSE())),"✖ العدد يجب أن يكون صحيحًا ≥ 0",IF(AND($F4395="Baseline",$H4395&lt;&gt;""),"⚠ Baseline: Start لا يدخل في التقدم",IF($K4395="No Start (attainment only)","ℹ تحصيل فقط (بدون Start)",IF($K4395="U – needs rule","ℹ حالة U تحتاج قاعدة معتمدة",IF($K4395="No result","ℹ بدون نتيجة (يُستبعد من التحصيل)","OK")))))))))))</f>
        <v/>
      </c>
      <c r="M4395" s="64" t="n">
        <f aca="false">IF($A4395="",0,IFERROR(MATCH($A4395,Classes!$A$6:$A$420,0),0))</f>
        <v>0</v>
      </c>
      <c r="N4395" s="64" t="n">
        <f aca="false">IF($H4395="",0,IFERROR(MATCH($H4395,GradeList,0),0))</f>
        <v>0</v>
      </c>
      <c r="O4395" s="64" t="n">
        <f aca="false">IF(OR($I4395="",$I4395="NR"),0,IFERROR(MATCH($I4395,GradeList,0),0))</f>
        <v>0</v>
      </c>
      <c r="P4395" s="64" t="n">
        <f aca="false">IF(AND($M4395&gt;0,ISNUMBER(MATCH($F4395,Lists!$A$2:$A$5,0)),ISNUMBER(MATCH($G4395,Lists!$B$2:$B$7,0)),OR($H4395="",$N4395&gt;0),OR($I4395="",$I4395="NR",$O4395&gt;0),IF(ISNUMBER($J4395),AND($J4395&gt;=0,$J4395=INT($J4395)),FALSE())),$J4395,0)</f>
        <v>0</v>
      </c>
      <c r="Q4395" s="64" t="n">
        <f aca="false">IF(AND($P4395&gt;0,$O4395&gt;0),$P4395,0)</f>
        <v>0</v>
      </c>
      <c r="R4395" s="64" t="n">
        <f aca="false">IF(AND($Q4395&gt;0,$O4395&gt;=AtRank),$Q4395,0)</f>
        <v>0</v>
      </c>
      <c r="S4395" s="64" t="n">
        <f aca="false">IF(AND($Q4395&gt;0,$O4395&gt;=AboveRank),$Q4395,0)</f>
        <v>0</v>
      </c>
      <c r="T4395" s="64" t="n">
        <f aca="false">IF($K4395="Less",$P4395,0)</f>
        <v>0</v>
      </c>
      <c r="U4395" s="64" t="n">
        <f aca="false">IF($K4395="Expected",$P4395,0)</f>
        <v>0</v>
      </c>
      <c r="V4395" s="64" t="n">
        <f aca="false">IF($K4395="Better",$P4395,0)</f>
        <v>0</v>
      </c>
      <c r="W4395" s="64" t="n">
        <f aca="false">IF($K4395="U – needs rule",$P4395,0)</f>
        <v>0</v>
      </c>
      <c r="X4395" s="64" t="n">
        <f aca="false">IF($K4395="No Start (attainment only)",$P4395,0)</f>
        <v>0</v>
      </c>
    </row>
    <row r="4396" customFormat="false" ht="15" hidden="false" customHeight="false" outlineLevel="0" collapsed="false">
      <c r="A4396" s="60"/>
      <c r="B4396" s="61" t="str">
        <f aca="false">IF($M4396=0,"",INDEX(Classes!$E$6:$E$420,$M4396))</f>
        <v/>
      </c>
      <c r="C4396" s="62" t="str">
        <f aca="false">IF($M4396=0,"",INDEX(Classes!$H$6:$H$420,$M4396))</f>
        <v/>
      </c>
      <c r="D4396" s="61" t="str">
        <f aca="false">IF($M4396=0,"",INDEX(Classes!$B$6:$B$420,$M4396))</f>
        <v/>
      </c>
      <c r="E4396" s="61" t="str">
        <f aca="false">IF($M4396=0,"",INDEX(Classes!$C$6:$C$420,$M4396))</f>
        <v/>
      </c>
      <c r="F4396" s="63"/>
      <c r="G4396" s="63"/>
      <c r="H4396" s="60"/>
      <c r="I4396" s="60"/>
      <c r="J4396" s="63"/>
      <c r="K4396" s="61" t="str">
        <f aca="false">IF($P4396=0,"",IF($F4396="Baseline","— Baseline",IF($O4396=0,"No result",IF($N4396=0,"No Start (attainment only)",IF(OR($N4396=1,$O4396=1),"U – needs rule",INDEX(MxBody,MATCH($I4396,MxCurr,0),MATCH($H4396,MxStart,0)))))))</f>
        <v/>
      </c>
      <c r="L4396" s="62" t="str">
        <f aca="false">IF(COUNTA($A4396,$F4396,$G4396,$H4396,$I4396,$J4396)=0,"",IF($M4396=0,"✖ كود الصف غير موجود",IF(ISNA(MATCH($F4396,Lists!$A$2:$A$5,0)),"✖ الفترة غير صحيحة",IF(ISNA(MATCH($G4396,Lists!$B$2:$B$7,0)),"✖ المجموعة غير صحيحة",IF(NOT(OR($H4396="",$N4396&gt;0)),"✖ Start غير صحيح",IF(NOT(OR($I4396="",$I4396="NR",$O4396&gt;0)),"✖ Current غير صحيح",IF(NOT(IF(ISNUMBER($J4396),AND($J4396&gt;=0,$J4396=INT($J4396)),FALSE())),"✖ العدد يجب أن يكون صحيحًا ≥ 0",IF(AND($F4396="Baseline",$H4396&lt;&gt;""),"⚠ Baseline: Start لا يدخل في التقدم",IF($K4396="No Start (attainment only)","ℹ تحصيل فقط (بدون Start)",IF($K4396="U – needs rule","ℹ حالة U تحتاج قاعدة معتمدة",IF($K4396="No result","ℹ بدون نتيجة (يُستبعد من التحصيل)","OK")))))))))))</f>
        <v/>
      </c>
      <c r="M4396" s="64" t="n">
        <f aca="false">IF($A4396="",0,IFERROR(MATCH($A4396,Classes!$A$6:$A$420,0),0))</f>
        <v>0</v>
      </c>
      <c r="N4396" s="64" t="n">
        <f aca="false">IF($H4396="",0,IFERROR(MATCH($H4396,GradeList,0),0))</f>
        <v>0</v>
      </c>
      <c r="O4396" s="64" t="n">
        <f aca="false">IF(OR($I4396="",$I4396="NR"),0,IFERROR(MATCH($I4396,GradeList,0),0))</f>
        <v>0</v>
      </c>
      <c r="P4396" s="64" t="n">
        <f aca="false">IF(AND($M4396&gt;0,ISNUMBER(MATCH($F4396,Lists!$A$2:$A$5,0)),ISNUMBER(MATCH($G4396,Lists!$B$2:$B$7,0)),OR($H4396="",$N4396&gt;0),OR($I4396="",$I4396="NR",$O4396&gt;0),IF(ISNUMBER($J4396),AND($J4396&gt;=0,$J4396=INT($J4396)),FALSE())),$J4396,0)</f>
        <v>0</v>
      </c>
      <c r="Q4396" s="64" t="n">
        <f aca="false">IF(AND($P4396&gt;0,$O4396&gt;0),$P4396,0)</f>
        <v>0</v>
      </c>
      <c r="R4396" s="64" t="n">
        <f aca="false">IF(AND($Q4396&gt;0,$O4396&gt;=AtRank),$Q4396,0)</f>
        <v>0</v>
      </c>
      <c r="S4396" s="64" t="n">
        <f aca="false">IF(AND($Q4396&gt;0,$O4396&gt;=AboveRank),$Q4396,0)</f>
        <v>0</v>
      </c>
      <c r="T4396" s="64" t="n">
        <f aca="false">IF($K4396="Less",$P4396,0)</f>
        <v>0</v>
      </c>
      <c r="U4396" s="64" t="n">
        <f aca="false">IF($K4396="Expected",$P4396,0)</f>
        <v>0</v>
      </c>
      <c r="V4396" s="64" t="n">
        <f aca="false">IF($K4396="Better",$P4396,0)</f>
        <v>0</v>
      </c>
      <c r="W4396" s="64" t="n">
        <f aca="false">IF($K4396="U – needs rule",$P4396,0)</f>
        <v>0</v>
      </c>
      <c r="X4396" s="64" t="n">
        <f aca="false">IF($K4396="No Start (attainment only)",$P4396,0)</f>
        <v>0</v>
      </c>
    </row>
    <row r="4397" customFormat="false" ht="15" hidden="false" customHeight="false" outlineLevel="0" collapsed="false">
      <c r="A4397" s="60"/>
      <c r="B4397" s="61" t="str">
        <f aca="false">IF($M4397=0,"",INDEX(Classes!$E$6:$E$420,$M4397))</f>
        <v/>
      </c>
      <c r="C4397" s="62" t="str">
        <f aca="false">IF($M4397=0,"",INDEX(Classes!$H$6:$H$420,$M4397))</f>
        <v/>
      </c>
      <c r="D4397" s="61" t="str">
        <f aca="false">IF($M4397=0,"",INDEX(Classes!$B$6:$B$420,$M4397))</f>
        <v/>
      </c>
      <c r="E4397" s="61" t="str">
        <f aca="false">IF($M4397=0,"",INDEX(Classes!$C$6:$C$420,$M4397))</f>
        <v/>
      </c>
      <c r="F4397" s="63"/>
      <c r="G4397" s="63"/>
      <c r="H4397" s="60"/>
      <c r="I4397" s="60"/>
      <c r="J4397" s="63"/>
      <c r="K4397" s="61" t="str">
        <f aca="false">IF($P4397=0,"",IF($F4397="Baseline","— Baseline",IF($O4397=0,"No result",IF($N4397=0,"No Start (attainment only)",IF(OR($N4397=1,$O4397=1),"U – needs rule",INDEX(MxBody,MATCH($I4397,MxCurr,0),MATCH($H4397,MxStart,0)))))))</f>
        <v/>
      </c>
      <c r="L4397" s="62" t="str">
        <f aca="false">IF(COUNTA($A4397,$F4397,$G4397,$H4397,$I4397,$J4397)=0,"",IF($M4397=0,"✖ كود الصف غير موجود",IF(ISNA(MATCH($F4397,Lists!$A$2:$A$5,0)),"✖ الفترة غير صحيحة",IF(ISNA(MATCH($G4397,Lists!$B$2:$B$7,0)),"✖ المجموعة غير صحيحة",IF(NOT(OR($H4397="",$N4397&gt;0)),"✖ Start غير صحيح",IF(NOT(OR($I4397="",$I4397="NR",$O4397&gt;0)),"✖ Current غير صحيح",IF(NOT(IF(ISNUMBER($J4397),AND($J4397&gt;=0,$J4397=INT($J4397)),FALSE())),"✖ العدد يجب أن يكون صحيحًا ≥ 0",IF(AND($F4397="Baseline",$H4397&lt;&gt;""),"⚠ Baseline: Start لا يدخل في التقدم",IF($K4397="No Start (attainment only)","ℹ تحصيل فقط (بدون Start)",IF($K4397="U – needs rule","ℹ حالة U تحتاج قاعدة معتمدة",IF($K4397="No result","ℹ بدون نتيجة (يُستبعد من التحصيل)","OK")))))))))))</f>
        <v/>
      </c>
      <c r="M4397" s="64" t="n">
        <f aca="false">IF($A4397="",0,IFERROR(MATCH($A4397,Classes!$A$6:$A$420,0),0))</f>
        <v>0</v>
      </c>
      <c r="N4397" s="64" t="n">
        <f aca="false">IF($H4397="",0,IFERROR(MATCH($H4397,GradeList,0),0))</f>
        <v>0</v>
      </c>
      <c r="O4397" s="64" t="n">
        <f aca="false">IF(OR($I4397="",$I4397="NR"),0,IFERROR(MATCH($I4397,GradeList,0),0))</f>
        <v>0</v>
      </c>
      <c r="P4397" s="64" t="n">
        <f aca="false">IF(AND($M4397&gt;0,ISNUMBER(MATCH($F4397,Lists!$A$2:$A$5,0)),ISNUMBER(MATCH($G4397,Lists!$B$2:$B$7,0)),OR($H4397="",$N4397&gt;0),OR($I4397="",$I4397="NR",$O4397&gt;0),IF(ISNUMBER($J4397),AND($J4397&gt;=0,$J4397=INT($J4397)),FALSE())),$J4397,0)</f>
        <v>0</v>
      </c>
      <c r="Q4397" s="64" t="n">
        <f aca="false">IF(AND($P4397&gt;0,$O4397&gt;0),$P4397,0)</f>
        <v>0</v>
      </c>
      <c r="R4397" s="64" t="n">
        <f aca="false">IF(AND($Q4397&gt;0,$O4397&gt;=AtRank),$Q4397,0)</f>
        <v>0</v>
      </c>
      <c r="S4397" s="64" t="n">
        <f aca="false">IF(AND($Q4397&gt;0,$O4397&gt;=AboveRank),$Q4397,0)</f>
        <v>0</v>
      </c>
      <c r="T4397" s="64" t="n">
        <f aca="false">IF($K4397="Less",$P4397,0)</f>
        <v>0</v>
      </c>
      <c r="U4397" s="64" t="n">
        <f aca="false">IF($K4397="Expected",$P4397,0)</f>
        <v>0</v>
      </c>
      <c r="V4397" s="64" t="n">
        <f aca="false">IF($K4397="Better",$P4397,0)</f>
        <v>0</v>
      </c>
      <c r="W4397" s="64" t="n">
        <f aca="false">IF($K4397="U – needs rule",$P4397,0)</f>
        <v>0</v>
      </c>
      <c r="X4397" s="64" t="n">
        <f aca="false">IF($K4397="No Start (attainment only)",$P4397,0)</f>
        <v>0</v>
      </c>
    </row>
    <row r="4398" customFormat="false" ht="15" hidden="false" customHeight="false" outlineLevel="0" collapsed="false">
      <c r="A4398" s="60"/>
      <c r="B4398" s="61" t="str">
        <f aca="false">IF($M4398=0,"",INDEX(Classes!$E$6:$E$420,$M4398))</f>
        <v/>
      </c>
      <c r="C4398" s="62" t="str">
        <f aca="false">IF($M4398=0,"",INDEX(Classes!$H$6:$H$420,$M4398))</f>
        <v/>
      </c>
      <c r="D4398" s="61" t="str">
        <f aca="false">IF($M4398=0,"",INDEX(Classes!$B$6:$B$420,$M4398))</f>
        <v/>
      </c>
      <c r="E4398" s="61" t="str">
        <f aca="false">IF($M4398=0,"",INDEX(Classes!$C$6:$C$420,$M4398))</f>
        <v/>
      </c>
      <c r="F4398" s="63"/>
      <c r="G4398" s="63"/>
      <c r="H4398" s="60"/>
      <c r="I4398" s="60"/>
      <c r="J4398" s="63"/>
      <c r="K4398" s="61" t="str">
        <f aca="false">IF($P4398=0,"",IF($F4398="Baseline","— Baseline",IF($O4398=0,"No result",IF($N4398=0,"No Start (attainment only)",IF(OR($N4398=1,$O4398=1),"U – needs rule",INDEX(MxBody,MATCH($I4398,MxCurr,0),MATCH($H4398,MxStart,0)))))))</f>
        <v/>
      </c>
      <c r="L4398" s="62" t="str">
        <f aca="false">IF(COUNTA($A4398,$F4398,$G4398,$H4398,$I4398,$J4398)=0,"",IF($M4398=0,"✖ كود الصف غير موجود",IF(ISNA(MATCH($F4398,Lists!$A$2:$A$5,0)),"✖ الفترة غير صحيحة",IF(ISNA(MATCH($G4398,Lists!$B$2:$B$7,0)),"✖ المجموعة غير صحيحة",IF(NOT(OR($H4398="",$N4398&gt;0)),"✖ Start غير صحيح",IF(NOT(OR($I4398="",$I4398="NR",$O4398&gt;0)),"✖ Current غير صحيح",IF(NOT(IF(ISNUMBER($J4398),AND($J4398&gt;=0,$J4398=INT($J4398)),FALSE())),"✖ العدد يجب أن يكون صحيحًا ≥ 0",IF(AND($F4398="Baseline",$H4398&lt;&gt;""),"⚠ Baseline: Start لا يدخل في التقدم",IF($K4398="No Start (attainment only)","ℹ تحصيل فقط (بدون Start)",IF($K4398="U – needs rule","ℹ حالة U تحتاج قاعدة معتمدة",IF($K4398="No result","ℹ بدون نتيجة (يُستبعد من التحصيل)","OK")))))))))))</f>
        <v/>
      </c>
      <c r="M4398" s="64" t="n">
        <f aca="false">IF($A4398="",0,IFERROR(MATCH($A4398,Classes!$A$6:$A$420,0),0))</f>
        <v>0</v>
      </c>
      <c r="N4398" s="64" t="n">
        <f aca="false">IF($H4398="",0,IFERROR(MATCH($H4398,GradeList,0),0))</f>
        <v>0</v>
      </c>
      <c r="O4398" s="64" t="n">
        <f aca="false">IF(OR($I4398="",$I4398="NR"),0,IFERROR(MATCH($I4398,GradeList,0),0))</f>
        <v>0</v>
      </c>
      <c r="P4398" s="64" t="n">
        <f aca="false">IF(AND($M4398&gt;0,ISNUMBER(MATCH($F4398,Lists!$A$2:$A$5,0)),ISNUMBER(MATCH($G4398,Lists!$B$2:$B$7,0)),OR($H4398="",$N4398&gt;0),OR($I4398="",$I4398="NR",$O4398&gt;0),IF(ISNUMBER($J4398),AND($J4398&gt;=0,$J4398=INT($J4398)),FALSE())),$J4398,0)</f>
        <v>0</v>
      </c>
      <c r="Q4398" s="64" t="n">
        <f aca="false">IF(AND($P4398&gt;0,$O4398&gt;0),$P4398,0)</f>
        <v>0</v>
      </c>
      <c r="R4398" s="64" t="n">
        <f aca="false">IF(AND($Q4398&gt;0,$O4398&gt;=AtRank),$Q4398,0)</f>
        <v>0</v>
      </c>
      <c r="S4398" s="64" t="n">
        <f aca="false">IF(AND($Q4398&gt;0,$O4398&gt;=AboveRank),$Q4398,0)</f>
        <v>0</v>
      </c>
      <c r="T4398" s="64" t="n">
        <f aca="false">IF($K4398="Less",$P4398,0)</f>
        <v>0</v>
      </c>
      <c r="U4398" s="64" t="n">
        <f aca="false">IF($K4398="Expected",$P4398,0)</f>
        <v>0</v>
      </c>
      <c r="V4398" s="64" t="n">
        <f aca="false">IF($K4398="Better",$P4398,0)</f>
        <v>0</v>
      </c>
      <c r="W4398" s="64" t="n">
        <f aca="false">IF($K4398="U – needs rule",$P4398,0)</f>
        <v>0</v>
      </c>
      <c r="X4398" s="64" t="n">
        <f aca="false">IF($K4398="No Start (attainment only)",$P4398,0)</f>
        <v>0</v>
      </c>
    </row>
    <row r="4399" customFormat="false" ht="15" hidden="false" customHeight="false" outlineLevel="0" collapsed="false">
      <c r="A4399" s="60"/>
      <c r="B4399" s="61" t="str">
        <f aca="false">IF($M4399=0,"",INDEX(Classes!$E$6:$E$420,$M4399))</f>
        <v/>
      </c>
      <c r="C4399" s="62" t="str">
        <f aca="false">IF($M4399=0,"",INDEX(Classes!$H$6:$H$420,$M4399))</f>
        <v/>
      </c>
      <c r="D4399" s="61" t="str">
        <f aca="false">IF($M4399=0,"",INDEX(Classes!$B$6:$B$420,$M4399))</f>
        <v/>
      </c>
      <c r="E4399" s="61" t="str">
        <f aca="false">IF($M4399=0,"",INDEX(Classes!$C$6:$C$420,$M4399))</f>
        <v/>
      </c>
      <c r="F4399" s="63"/>
      <c r="G4399" s="63"/>
      <c r="H4399" s="60"/>
      <c r="I4399" s="60"/>
      <c r="J4399" s="63"/>
      <c r="K4399" s="61" t="str">
        <f aca="false">IF($P4399=0,"",IF($F4399="Baseline","— Baseline",IF($O4399=0,"No result",IF($N4399=0,"No Start (attainment only)",IF(OR($N4399=1,$O4399=1),"U – needs rule",INDEX(MxBody,MATCH($I4399,MxCurr,0),MATCH($H4399,MxStart,0)))))))</f>
        <v/>
      </c>
      <c r="L4399" s="62" t="str">
        <f aca="false">IF(COUNTA($A4399,$F4399,$G4399,$H4399,$I4399,$J4399)=0,"",IF($M4399=0,"✖ كود الصف غير موجود",IF(ISNA(MATCH($F4399,Lists!$A$2:$A$5,0)),"✖ الفترة غير صحيحة",IF(ISNA(MATCH($G4399,Lists!$B$2:$B$7,0)),"✖ المجموعة غير صحيحة",IF(NOT(OR($H4399="",$N4399&gt;0)),"✖ Start غير صحيح",IF(NOT(OR($I4399="",$I4399="NR",$O4399&gt;0)),"✖ Current غير صحيح",IF(NOT(IF(ISNUMBER($J4399),AND($J4399&gt;=0,$J4399=INT($J4399)),FALSE())),"✖ العدد يجب أن يكون صحيحًا ≥ 0",IF(AND($F4399="Baseline",$H4399&lt;&gt;""),"⚠ Baseline: Start لا يدخل في التقدم",IF($K4399="No Start (attainment only)","ℹ تحصيل فقط (بدون Start)",IF($K4399="U – needs rule","ℹ حالة U تحتاج قاعدة معتمدة",IF($K4399="No result","ℹ بدون نتيجة (يُستبعد من التحصيل)","OK")))))))))))</f>
        <v/>
      </c>
      <c r="M4399" s="64" t="n">
        <f aca="false">IF($A4399="",0,IFERROR(MATCH($A4399,Classes!$A$6:$A$420,0),0))</f>
        <v>0</v>
      </c>
      <c r="N4399" s="64" t="n">
        <f aca="false">IF($H4399="",0,IFERROR(MATCH($H4399,GradeList,0),0))</f>
        <v>0</v>
      </c>
      <c r="O4399" s="64" t="n">
        <f aca="false">IF(OR($I4399="",$I4399="NR"),0,IFERROR(MATCH($I4399,GradeList,0),0))</f>
        <v>0</v>
      </c>
      <c r="P4399" s="64" t="n">
        <f aca="false">IF(AND($M4399&gt;0,ISNUMBER(MATCH($F4399,Lists!$A$2:$A$5,0)),ISNUMBER(MATCH($G4399,Lists!$B$2:$B$7,0)),OR($H4399="",$N4399&gt;0),OR($I4399="",$I4399="NR",$O4399&gt;0),IF(ISNUMBER($J4399),AND($J4399&gt;=0,$J4399=INT($J4399)),FALSE())),$J4399,0)</f>
        <v>0</v>
      </c>
      <c r="Q4399" s="64" t="n">
        <f aca="false">IF(AND($P4399&gt;0,$O4399&gt;0),$P4399,0)</f>
        <v>0</v>
      </c>
      <c r="R4399" s="64" t="n">
        <f aca="false">IF(AND($Q4399&gt;0,$O4399&gt;=AtRank),$Q4399,0)</f>
        <v>0</v>
      </c>
      <c r="S4399" s="64" t="n">
        <f aca="false">IF(AND($Q4399&gt;0,$O4399&gt;=AboveRank),$Q4399,0)</f>
        <v>0</v>
      </c>
      <c r="T4399" s="64" t="n">
        <f aca="false">IF($K4399="Less",$P4399,0)</f>
        <v>0</v>
      </c>
      <c r="U4399" s="64" t="n">
        <f aca="false">IF($K4399="Expected",$P4399,0)</f>
        <v>0</v>
      </c>
      <c r="V4399" s="64" t="n">
        <f aca="false">IF($K4399="Better",$P4399,0)</f>
        <v>0</v>
      </c>
      <c r="W4399" s="64" t="n">
        <f aca="false">IF($K4399="U – needs rule",$P4399,0)</f>
        <v>0</v>
      </c>
      <c r="X4399" s="64" t="n">
        <f aca="false">IF($K4399="No Start (attainment only)",$P4399,0)</f>
        <v>0</v>
      </c>
    </row>
    <row r="4400" customFormat="false" ht="15" hidden="false" customHeight="false" outlineLevel="0" collapsed="false">
      <c r="A4400" s="60"/>
      <c r="B4400" s="61" t="str">
        <f aca="false">IF($M4400=0,"",INDEX(Classes!$E$6:$E$420,$M4400))</f>
        <v/>
      </c>
      <c r="C4400" s="62" t="str">
        <f aca="false">IF($M4400=0,"",INDEX(Classes!$H$6:$H$420,$M4400))</f>
        <v/>
      </c>
      <c r="D4400" s="61" t="str">
        <f aca="false">IF($M4400=0,"",INDEX(Classes!$B$6:$B$420,$M4400))</f>
        <v/>
      </c>
      <c r="E4400" s="61" t="str">
        <f aca="false">IF($M4400=0,"",INDEX(Classes!$C$6:$C$420,$M4400))</f>
        <v/>
      </c>
      <c r="F4400" s="63"/>
      <c r="G4400" s="63"/>
      <c r="H4400" s="60"/>
      <c r="I4400" s="60"/>
      <c r="J4400" s="63"/>
      <c r="K4400" s="61" t="str">
        <f aca="false">IF($P4400=0,"",IF($F4400="Baseline","— Baseline",IF($O4400=0,"No result",IF($N4400=0,"No Start (attainment only)",IF(OR($N4400=1,$O4400=1),"U – needs rule",INDEX(MxBody,MATCH($I4400,MxCurr,0),MATCH($H4400,MxStart,0)))))))</f>
        <v/>
      </c>
      <c r="L4400" s="62" t="str">
        <f aca="false">IF(COUNTA($A4400,$F4400,$G4400,$H4400,$I4400,$J4400)=0,"",IF($M4400=0,"✖ كود الصف غير موجود",IF(ISNA(MATCH($F4400,Lists!$A$2:$A$5,0)),"✖ الفترة غير صحيحة",IF(ISNA(MATCH($G4400,Lists!$B$2:$B$7,0)),"✖ المجموعة غير صحيحة",IF(NOT(OR($H4400="",$N4400&gt;0)),"✖ Start غير صحيح",IF(NOT(OR($I4400="",$I4400="NR",$O4400&gt;0)),"✖ Current غير صحيح",IF(NOT(IF(ISNUMBER($J4400),AND($J4400&gt;=0,$J4400=INT($J4400)),FALSE())),"✖ العدد يجب أن يكون صحيحًا ≥ 0",IF(AND($F4400="Baseline",$H4400&lt;&gt;""),"⚠ Baseline: Start لا يدخل في التقدم",IF($K4400="No Start (attainment only)","ℹ تحصيل فقط (بدون Start)",IF($K4400="U – needs rule","ℹ حالة U تحتاج قاعدة معتمدة",IF($K4400="No result","ℹ بدون نتيجة (يُستبعد من التحصيل)","OK")))))))))))</f>
        <v/>
      </c>
      <c r="M4400" s="64" t="n">
        <f aca="false">IF($A4400="",0,IFERROR(MATCH($A4400,Classes!$A$6:$A$420,0),0))</f>
        <v>0</v>
      </c>
      <c r="N4400" s="64" t="n">
        <f aca="false">IF($H4400="",0,IFERROR(MATCH($H4400,GradeList,0),0))</f>
        <v>0</v>
      </c>
      <c r="O4400" s="64" t="n">
        <f aca="false">IF(OR($I4400="",$I4400="NR"),0,IFERROR(MATCH($I4400,GradeList,0),0))</f>
        <v>0</v>
      </c>
      <c r="P4400" s="64" t="n">
        <f aca="false">IF(AND($M4400&gt;0,ISNUMBER(MATCH($F4400,Lists!$A$2:$A$5,0)),ISNUMBER(MATCH($G4400,Lists!$B$2:$B$7,0)),OR($H4400="",$N4400&gt;0),OR($I4400="",$I4400="NR",$O4400&gt;0),IF(ISNUMBER($J4400),AND($J4400&gt;=0,$J4400=INT($J4400)),FALSE())),$J4400,0)</f>
        <v>0</v>
      </c>
      <c r="Q4400" s="64" t="n">
        <f aca="false">IF(AND($P4400&gt;0,$O4400&gt;0),$P4400,0)</f>
        <v>0</v>
      </c>
      <c r="R4400" s="64" t="n">
        <f aca="false">IF(AND($Q4400&gt;0,$O4400&gt;=AtRank),$Q4400,0)</f>
        <v>0</v>
      </c>
      <c r="S4400" s="64" t="n">
        <f aca="false">IF(AND($Q4400&gt;0,$O4400&gt;=AboveRank),$Q4400,0)</f>
        <v>0</v>
      </c>
      <c r="T4400" s="64" t="n">
        <f aca="false">IF($K4400="Less",$P4400,0)</f>
        <v>0</v>
      </c>
      <c r="U4400" s="64" t="n">
        <f aca="false">IF($K4400="Expected",$P4400,0)</f>
        <v>0</v>
      </c>
      <c r="V4400" s="64" t="n">
        <f aca="false">IF($K4400="Better",$P4400,0)</f>
        <v>0</v>
      </c>
      <c r="W4400" s="64" t="n">
        <f aca="false">IF($K4400="U – needs rule",$P4400,0)</f>
        <v>0</v>
      </c>
      <c r="X4400" s="64" t="n">
        <f aca="false">IF($K4400="No Start (attainment only)",$P4400,0)</f>
        <v>0</v>
      </c>
    </row>
    <row r="4401" customFormat="false" ht="15" hidden="false" customHeight="false" outlineLevel="0" collapsed="false">
      <c r="A4401" s="60"/>
      <c r="B4401" s="61" t="str">
        <f aca="false">IF($M4401=0,"",INDEX(Classes!$E$6:$E$420,$M4401))</f>
        <v/>
      </c>
      <c r="C4401" s="62" t="str">
        <f aca="false">IF($M4401=0,"",INDEX(Classes!$H$6:$H$420,$M4401))</f>
        <v/>
      </c>
      <c r="D4401" s="61" t="str">
        <f aca="false">IF($M4401=0,"",INDEX(Classes!$B$6:$B$420,$M4401))</f>
        <v/>
      </c>
      <c r="E4401" s="61" t="str">
        <f aca="false">IF($M4401=0,"",INDEX(Classes!$C$6:$C$420,$M4401))</f>
        <v/>
      </c>
      <c r="F4401" s="63"/>
      <c r="G4401" s="63"/>
      <c r="H4401" s="60"/>
      <c r="I4401" s="60"/>
      <c r="J4401" s="63"/>
      <c r="K4401" s="61" t="str">
        <f aca="false">IF($P4401=0,"",IF($F4401="Baseline","— Baseline",IF($O4401=0,"No result",IF($N4401=0,"No Start (attainment only)",IF(OR($N4401=1,$O4401=1),"U – needs rule",INDEX(MxBody,MATCH($I4401,MxCurr,0),MATCH($H4401,MxStart,0)))))))</f>
        <v/>
      </c>
      <c r="L4401" s="62" t="str">
        <f aca="false">IF(COUNTA($A4401,$F4401,$G4401,$H4401,$I4401,$J4401)=0,"",IF($M4401=0,"✖ كود الصف غير موجود",IF(ISNA(MATCH($F4401,Lists!$A$2:$A$5,0)),"✖ الفترة غير صحيحة",IF(ISNA(MATCH($G4401,Lists!$B$2:$B$7,0)),"✖ المجموعة غير صحيحة",IF(NOT(OR($H4401="",$N4401&gt;0)),"✖ Start غير صحيح",IF(NOT(OR($I4401="",$I4401="NR",$O4401&gt;0)),"✖ Current غير صحيح",IF(NOT(IF(ISNUMBER($J4401),AND($J4401&gt;=0,$J4401=INT($J4401)),FALSE())),"✖ العدد يجب أن يكون صحيحًا ≥ 0",IF(AND($F4401="Baseline",$H4401&lt;&gt;""),"⚠ Baseline: Start لا يدخل في التقدم",IF($K4401="No Start (attainment only)","ℹ تحصيل فقط (بدون Start)",IF($K4401="U – needs rule","ℹ حالة U تحتاج قاعدة معتمدة",IF($K4401="No result","ℹ بدون نتيجة (يُستبعد من التحصيل)","OK")))))))))))</f>
        <v/>
      </c>
      <c r="M4401" s="64" t="n">
        <f aca="false">IF($A4401="",0,IFERROR(MATCH($A4401,Classes!$A$6:$A$420,0),0))</f>
        <v>0</v>
      </c>
      <c r="N4401" s="64" t="n">
        <f aca="false">IF($H4401="",0,IFERROR(MATCH($H4401,GradeList,0),0))</f>
        <v>0</v>
      </c>
      <c r="O4401" s="64" t="n">
        <f aca="false">IF(OR($I4401="",$I4401="NR"),0,IFERROR(MATCH($I4401,GradeList,0),0))</f>
        <v>0</v>
      </c>
      <c r="P4401" s="64" t="n">
        <f aca="false">IF(AND($M4401&gt;0,ISNUMBER(MATCH($F4401,Lists!$A$2:$A$5,0)),ISNUMBER(MATCH($G4401,Lists!$B$2:$B$7,0)),OR($H4401="",$N4401&gt;0),OR($I4401="",$I4401="NR",$O4401&gt;0),IF(ISNUMBER($J4401),AND($J4401&gt;=0,$J4401=INT($J4401)),FALSE())),$J4401,0)</f>
        <v>0</v>
      </c>
      <c r="Q4401" s="64" t="n">
        <f aca="false">IF(AND($P4401&gt;0,$O4401&gt;0),$P4401,0)</f>
        <v>0</v>
      </c>
      <c r="R4401" s="64" t="n">
        <f aca="false">IF(AND($Q4401&gt;0,$O4401&gt;=AtRank),$Q4401,0)</f>
        <v>0</v>
      </c>
      <c r="S4401" s="64" t="n">
        <f aca="false">IF(AND($Q4401&gt;0,$O4401&gt;=AboveRank),$Q4401,0)</f>
        <v>0</v>
      </c>
      <c r="T4401" s="64" t="n">
        <f aca="false">IF($K4401="Less",$P4401,0)</f>
        <v>0</v>
      </c>
      <c r="U4401" s="64" t="n">
        <f aca="false">IF($K4401="Expected",$P4401,0)</f>
        <v>0</v>
      </c>
      <c r="V4401" s="64" t="n">
        <f aca="false">IF($K4401="Better",$P4401,0)</f>
        <v>0</v>
      </c>
      <c r="W4401" s="64" t="n">
        <f aca="false">IF($K4401="U – needs rule",$P4401,0)</f>
        <v>0</v>
      </c>
      <c r="X4401" s="64" t="n">
        <f aca="false">IF($K4401="No Start (attainment only)",$P4401,0)</f>
        <v>0</v>
      </c>
    </row>
    <row r="4402" customFormat="false" ht="15" hidden="false" customHeight="false" outlineLevel="0" collapsed="false">
      <c r="A4402" s="60"/>
      <c r="B4402" s="61" t="str">
        <f aca="false">IF($M4402=0,"",INDEX(Classes!$E$6:$E$420,$M4402))</f>
        <v/>
      </c>
      <c r="C4402" s="62" t="str">
        <f aca="false">IF($M4402=0,"",INDEX(Classes!$H$6:$H$420,$M4402))</f>
        <v/>
      </c>
      <c r="D4402" s="61" t="str">
        <f aca="false">IF($M4402=0,"",INDEX(Classes!$B$6:$B$420,$M4402))</f>
        <v/>
      </c>
      <c r="E4402" s="61" t="str">
        <f aca="false">IF($M4402=0,"",INDEX(Classes!$C$6:$C$420,$M4402))</f>
        <v/>
      </c>
      <c r="F4402" s="63"/>
      <c r="G4402" s="63"/>
      <c r="H4402" s="60"/>
      <c r="I4402" s="60"/>
      <c r="J4402" s="63"/>
      <c r="K4402" s="61" t="str">
        <f aca="false">IF($P4402=0,"",IF($F4402="Baseline","— Baseline",IF($O4402=0,"No result",IF($N4402=0,"No Start (attainment only)",IF(OR($N4402=1,$O4402=1),"U – needs rule",INDEX(MxBody,MATCH($I4402,MxCurr,0),MATCH($H4402,MxStart,0)))))))</f>
        <v/>
      </c>
      <c r="L4402" s="62" t="str">
        <f aca="false">IF(COUNTA($A4402,$F4402,$G4402,$H4402,$I4402,$J4402)=0,"",IF($M4402=0,"✖ كود الصف غير موجود",IF(ISNA(MATCH($F4402,Lists!$A$2:$A$5,0)),"✖ الفترة غير صحيحة",IF(ISNA(MATCH($G4402,Lists!$B$2:$B$7,0)),"✖ المجموعة غير صحيحة",IF(NOT(OR($H4402="",$N4402&gt;0)),"✖ Start غير صحيح",IF(NOT(OR($I4402="",$I4402="NR",$O4402&gt;0)),"✖ Current غير صحيح",IF(NOT(IF(ISNUMBER($J4402),AND($J4402&gt;=0,$J4402=INT($J4402)),FALSE())),"✖ العدد يجب أن يكون صحيحًا ≥ 0",IF(AND($F4402="Baseline",$H4402&lt;&gt;""),"⚠ Baseline: Start لا يدخل في التقدم",IF($K4402="No Start (attainment only)","ℹ تحصيل فقط (بدون Start)",IF($K4402="U – needs rule","ℹ حالة U تحتاج قاعدة معتمدة",IF($K4402="No result","ℹ بدون نتيجة (يُستبعد من التحصيل)","OK")))))))))))</f>
        <v/>
      </c>
      <c r="M4402" s="64" t="n">
        <f aca="false">IF($A4402="",0,IFERROR(MATCH($A4402,Classes!$A$6:$A$420,0),0))</f>
        <v>0</v>
      </c>
      <c r="N4402" s="64" t="n">
        <f aca="false">IF($H4402="",0,IFERROR(MATCH($H4402,GradeList,0),0))</f>
        <v>0</v>
      </c>
      <c r="O4402" s="64" t="n">
        <f aca="false">IF(OR($I4402="",$I4402="NR"),0,IFERROR(MATCH($I4402,GradeList,0),0))</f>
        <v>0</v>
      </c>
      <c r="P4402" s="64" t="n">
        <f aca="false">IF(AND($M4402&gt;0,ISNUMBER(MATCH($F4402,Lists!$A$2:$A$5,0)),ISNUMBER(MATCH($G4402,Lists!$B$2:$B$7,0)),OR($H4402="",$N4402&gt;0),OR($I4402="",$I4402="NR",$O4402&gt;0),IF(ISNUMBER($J4402),AND($J4402&gt;=0,$J4402=INT($J4402)),FALSE())),$J4402,0)</f>
        <v>0</v>
      </c>
      <c r="Q4402" s="64" t="n">
        <f aca="false">IF(AND($P4402&gt;0,$O4402&gt;0),$P4402,0)</f>
        <v>0</v>
      </c>
      <c r="R4402" s="64" t="n">
        <f aca="false">IF(AND($Q4402&gt;0,$O4402&gt;=AtRank),$Q4402,0)</f>
        <v>0</v>
      </c>
      <c r="S4402" s="64" t="n">
        <f aca="false">IF(AND($Q4402&gt;0,$O4402&gt;=AboveRank),$Q4402,0)</f>
        <v>0</v>
      </c>
      <c r="T4402" s="64" t="n">
        <f aca="false">IF($K4402="Less",$P4402,0)</f>
        <v>0</v>
      </c>
      <c r="U4402" s="64" t="n">
        <f aca="false">IF($K4402="Expected",$P4402,0)</f>
        <v>0</v>
      </c>
      <c r="V4402" s="64" t="n">
        <f aca="false">IF($K4402="Better",$P4402,0)</f>
        <v>0</v>
      </c>
      <c r="W4402" s="64" t="n">
        <f aca="false">IF($K4402="U – needs rule",$P4402,0)</f>
        <v>0</v>
      </c>
      <c r="X4402" s="64" t="n">
        <f aca="false">IF($K4402="No Start (attainment only)",$P4402,0)</f>
        <v>0</v>
      </c>
    </row>
    <row r="4403" customFormat="false" ht="15" hidden="false" customHeight="false" outlineLevel="0" collapsed="false">
      <c r="A4403" s="60"/>
      <c r="B4403" s="61" t="str">
        <f aca="false">IF($M4403=0,"",INDEX(Classes!$E$6:$E$420,$M4403))</f>
        <v/>
      </c>
      <c r="C4403" s="62" t="str">
        <f aca="false">IF($M4403=0,"",INDEX(Classes!$H$6:$H$420,$M4403))</f>
        <v/>
      </c>
      <c r="D4403" s="61" t="str">
        <f aca="false">IF($M4403=0,"",INDEX(Classes!$B$6:$B$420,$M4403))</f>
        <v/>
      </c>
      <c r="E4403" s="61" t="str">
        <f aca="false">IF($M4403=0,"",INDEX(Classes!$C$6:$C$420,$M4403))</f>
        <v/>
      </c>
      <c r="F4403" s="63"/>
      <c r="G4403" s="63"/>
      <c r="H4403" s="60"/>
      <c r="I4403" s="60"/>
      <c r="J4403" s="63"/>
      <c r="K4403" s="61" t="str">
        <f aca="false">IF($P4403=0,"",IF($F4403="Baseline","— Baseline",IF($O4403=0,"No result",IF($N4403=0,"No Start (attainment only)",IF(OR($N4403=1,$O4403=1),"U – needs rule",INDEX(MxBody,MATCH($I4403,MxCurr,0),MATCH($H4403,MxStart,0)))))))</f>
        <v/>
      </c>
      <c r="L4403" s="62" t="str">
        <f aca="false">IF(COUNTA($A4403,$F4403,$G4403,$H4403,$I4403,$J4403)=0,"",IF($M4403=0,"✖ كود الصف غير موجود",IF(ISNA(MATCH($F4403,Lists!$A$2:$A$5,0)),"✖ الفترة غير صحيحة",IF(ISNA(MATCH($G4403,Lists!$B$2:$B$7,0)),"✖ المجموعة غير صحيحة",IF(NOT(OR($H4403="",$N4403&gt;0)),"✖ Start غير صحيح",IF(NOT(OR($I4403="",$I4403="NR",$O4403&gt;0)),"✖ Current غير صحيح",IF(NOT(IF(ISNUMBER($J4403),AND($J4403&gt;=0,$J4403=INT($J4403)),FALSE())),"✖ العدد يجب أن يكون صحيحًا ≥ 0",IF(AND($F4403="Baseline",$H4403&lt;&gt;""),"⚠ Baseline: Start لا يدخل في التقدم",IF($K4403="No Start (attainment only)","ℹ تحصيل فقط (بدون Start)",IF($K4403="U – needs rule","ℹ حالة U تحتاج قاعدة معتمدة",IF($K4403="No result","ℹ بدون نتيجة (يُستبعد من التحصيل)","OK")))))))))))</f>
        <v/>
      </c>
      <c r="M4403" s="64" t="n">
        <f aca="false">IF($A4403="",0,IFERROR(MATCH($A4403,Classes!$A$6:$A$420,0),0))</f>
        <v>0</v>
      </c>
      <c r="N4403" s="64" t="n">
        <f aca="false">IF($H4403="",0,IFERROR(MATCH($H4403,GradeList,0),0))</f>
        <v>0</v>
      </c>
      <c r="O4403" s="64" t="n">
        <f aca="false">IF(OR($I4403="",$I4403="NR"),0,IFERROR(MATCH($I4403,GradeList,0),0))</f>
        <v>0</v>
      </c>
      <c r="P4403" s="64" t="n">
        <f aca="false">IF(AND($M4403&gt;0,ISNUMBER(MATCH($F4403,Lists!$A$2:$A$5,0)),ISNUMBER(MATCH($G4403,Lists!$B$2:$B$7,0)),OR($H4403="",$N4403&gt;0),OR($I4403="",$I4403="NR",$O4403&gt;0),IF(ISNUMBER($J4403),AND($J4403&gt;=0,$J4403=INT($J4403)),FALSE())),$J4403,0)</f>
        <v>0</v>
      </c>
      <c r="Q4403" s="64" t="n">
        <f aca="false">IF(AND($P4403&gt;0,$O4403&gt;0),$P4403,0)</f>
        <v>0</v>
      </c>
      <c r="R4403" s="64" t="n">
        <f aca="false">IF(AND($Q4403&gt;0,$O4403&gt;=AtRank),$Q4403,0)</f>
        <v>0</v>
      </c>
      <c r="S4403" s="64" t="n">
        <f aca="false">IF(AND($Q4403&gt;0,$O4403&gt;=AboveRank),$Q4403,0)</f>
        <v>0</v>
      </c>
      <c r="T4403" s="64" t="n">
        <f aca="false">IF($K4403="Less",$P4403,0)</f>
        <v>0</v>
      </c>
      <c r="U4403" s="64" t="n">
        <f aca="false">IF($K4403="Expected",$P4403,0)</f>
        <v>0</v>
      </c>
      <c r="V4403" s="64" t="n">
        <f aca="false">IF($K4403="Better",$P4403,0)</f>
        <v>0</v>
      </c>
      <c r="W4403" s="64" t="n">
        <f aca="false">IF($K4403="U – needs rule",$P4403,0)</f>
        <v>0</v>
      </c>
      <c r="X4403" s="64" t="n">
        <f aca="false">IF($K4403="No Start (attainment only)",$P4403,0)</f>
        <v>0</v>
      </c>
    </row>
    <row r="4404" customFormat="false" ht="15" hidden="false" customHeight="false" outlineLevel="0" collapsed="false">
      <c r="A4404" s="60"/>
      <c r="B4404" s="61" t="str">
        <f aca="false">IF($M4404=0,"",INDEX(Classes!$E$6:$E$420,$M4404))</f>
        <v/>
      </c>
      <c r="C4404" s="62" t="str">
        <f aca="false">IF($M4404=0,"",INDEX(Classes!$H$6:$H$420,$M4404))</f>
        <v/>
      </c>
      <c r="D4404" s="61" t="str">
        <f aca="false">IF($M4404=0,"",INDEX(Classes!$B$6:$B$420,$M4404))</f>
        <v/>
      </c>
      <c r="E4404" s="61" t="str">
        <f aca="false">IF($M4404=0,"",INDEX(Classes!$C$6:$C$420,$M4404))</f>
        <v/>
      </c>
      <c r="F4404" s="63"/>
      <c r="G4404" s="63"/>
      <c r="H4404" s="60"/>
      <c r="I4404" s="60"/>
      <c r="J4404" s="63"/>
      <c r="K4404" s="61" t="str">
        <f aca="false">IF($P4404=0,"",IF($F4404="Baseline","— Baseline",IF($O4404=0,"No result",IF($N4404=0,"No Start (attainment only)",IF(OR($N4404=1,$O4404=1),"U – needs rule",INDEX(MxBody,MATCH($I4404,MxCurr,0),MATCH($H4404,MxStart,0)))))))</f>
        <v/>
      </c>
      <c r="L4404" s="62" t="str">
        <f aca="false">IF(COUNTA($A4404,$F4404,$G4404,$H4404,$I4404,$J4404)=0,"",IF($M4404=0,"✖ كود الصف غير موجود",IF(ISNA(MATCH($F4404,Lists!$A$2:$A$5,0)),"✖ الفترة غير صحيحة",IF(ISNA(MATCH($G4404,Lists!$B$2:$B$7,0)),"✖ المجموعة غير صحيحة",IF(NOT(OR($H4404="",$N4404&gt;0)),"✖ Start غير صحيح",IF(NOT(OR($I4404="",$I4404="NR",$O4404&gt;0)),"✖ Current غير صحيح",IF(NOT(IF(ISNUMBER($J4404),AND($J4404&gt;=0,$J4404=INT($J4404)),FALSE())),"✖ العدد يجب أن يكون صحيحًا ≥ 0",IF(AND($F4404="Baseline",$H4404&lt;&gt;""),"⚠ Baseline: Start لا يدخل في التقدم",IF($K4404="No Start (attainment only)","ℹ تحصيل فقط (بدون Start)",IF($K4404="U – needs rule","ℹ حالة U تحتاج قاعدة معتمدة",IF($K4404="No result","ℹ بدون نتيجة (يُستبعد من التحصيل)","OK")))))))))))</f>
        <v/>
      </c>
      <c r="M4404" s="64" t="n">
        <f aca="false">IF($A4404="",0,IFERROR(MATCH($A4404,Classes!$A$6:$A$420,0),0))</f>
        <v>0</v>
      </c>
      <c r="N4404" s="64" t="n">
        <f aca="false">IF($H4404="",0,IFERROR(MATCH($H4404,GradeList,0),0))</f>
        <v>0</v>
      </c>
      <c r="O4404" s="64" t="n">
        <f aca="false">IF(OR($I4404="",$I4404="NR"),0,IFERROR(MATCH($I4404,GradeList,0),0))</f>
        <v>0</v>
      </c>
      <c r="P4404" s="64" t="n">
        <f aca="false">IF(AND($M4404&gt;0,ISNUMBER(MATCH($F4404,Lists!$A$2:$A$5,0)),ISNUMBER(MATCH($G4404,Lists!$B$2:$B$7,0)),OR($H4404="",$N4404&gt;0),OR($I4404="",$I4404="NR",$O4404&gt;0),IF(ISNUMBER($J4404),AND($J4404&gt;=0,$J4404=INT($J4404)),FALSE())),$J4404,0)</f>
        <v>0</v>
      </c>
      <c r="Q4404" s="64" t="n">
        <f aca="false">IF(AND($P4404&gt;0,$O4404&gt;0),$P4404,0)</f>
        <v>0</v>
      </c>
      <c r="R4404" s="64" t="n">
        <f aca="false">IF(AND($Q4404&gt;0,$O4404&gt;=AtRank),$Q4404,0)</f>
        <v>0</v>
      </c>
      <c r="S4404" s="64" t="n">
        <f aca="false">IF(AND($Q4404&gt;0,$O4404&gt;=AboveRank),$Q4404,0)</f>
        <v>0</v>
      </c>
      <c r="T4404" s="64" t="n">
        <f aca="false">IF($K4404="Less",$P4404,0)</f>
        <v>0</v>
      </c>
      <c r="U4404" s="64" t="n">
        <f aca="false">IF($K4404="Expected",$P4404,0)</f>
        <v>0</v>
      </c>
      <c r="V4404" s="64" t="n">
        <f aca="false">IF($K4404="Better",$P4404,0)</f>
        <v>0</v>
      </c>
      <c r="W4404" s="64" t="n">
        <f aca="false">IF($K4404="U – needs rule",$P4404,0)</f>
        <v>0</v>
      </c>
      <c r="X4404" s="64" t="n">
        <f aca="false">IF($K4404="No Start (attainment only)",$P4404,0)</f>
        <v>0</v>
      </c>
    </row>
    <row r="4405" customFormat="false" ht="15" hidden="false" customHeight="false" outlineLevel="0" collapsed="false">
      <c r="A4405" s="60"/>
      <c r="B4405" s="61" t="str">
        <f aca="false">IF($M4405=0,"",INDEX(Classes!$E$6:$E$420,$M4405))</f>
        <v/>
      </c>
      <c r="C4405" s="62" t="str">
        <f aca="false">IF($M4405=0,"",INDEX(Classes!$H$6:$H$420,$M4405))</f>
        <v/>
      </c>
      <c r="D4405" s="61" t="str">
        <f aca="false">IF($M4405=0,"",INDEX(Classes!$B$6:$B$420,$M4405))</f>
        <v/>
      </c>
      <c r="E4405" s="61" t="str">
        <f aca="false">IF($M4405=0,"",INDEX(Classes!$C$6:$C$420,$M4405))</f>
        <v/>
      </c>
      <c r="F4405" s="63"/>
      <c r="G4405" s="63"/>
      <c r="H4405" s="60"/>
      <c r="I4405" s="60"/>
      <c r="J4405" s="63"/>
      <c r="K4405" s="61" t="str">
        <f aca="false">IF($P4405=0,"",IF($F4405="Baseline","— Baseline",IF($O4405=0,"No result",IF($N4405=0,"No Start (attainment only)",IF(OR($N4405=1,$O4405=1),"U – needs rule",INDEX(MxBody,MATCH($I4405,MxCurr,0),MATCH($H4405,MxStart,0)))))))</f>
        <v/>
      </c>
      <c r="L4405" s="62" t="str">
        <f aca="false">IF(COUNTA($A4405,$F4405,$G4405,$H4405,$I4405,$J4405)=0,"",IF($M4405=0,"✖ كود الصف غير موجود",IF(ISNA(MATCH($F4405,Lists!$A$2:$A$5,0)),"✖ الفترة غير صحيحة",IF(ISNA(MATCH($G4405,Lists!$B$2:$B$7,0)),"✖ المجموعة غير صحيحة",IF(NOT(OR($H4405="",$N4405&gt;0)),"✖ Start غير صحيح",IF(NOT(OR($I4405="",$I4405="NR",$O4405&gt;0)),"✖ Current غير صحيح",IF(NOT(IF(ISNUMBER($J4405),AND($J4405&gt;=0,$J4405=INT($J4405)),FALSE())),"✖ العدد يجب أن يكون صحيحًا ≥ 0",IF(AND($F4405="Baseline",$H4405&lt;&gt;""),"⚠ Baseline: Start لا يدخل في التقدم",IF($K4405="No Start (attainment only)","ℹ تحصيل فقط (بدون Start)",IF($K4405="U – needs rule","ℹ حالة U تحتاج قاعدة معتمدة",IF($K4405="No result","ℹ بدون نتيجة (يُستبعد من التحصيل)","OK")))))))))))</f>
        <v/>
      </c>
      <c r="M4405" s="64" t="n">
        <f aca="false">IF($A4405="",0,IFERROR(MATCH($A4405,Classes!$A$6:$A$420,0),0))</f>
        <v>0</v>
      </c>
      <c r="N4405" s="64" t="n">
        <f aca="false">IF($H4405="",0,IFERROR(MATCH($H4405,GradeList,0),0))</f>
        <v>0</v>
      </c>
      <c r="O4405" s="64" t="n">
        <f aca="false">IF(OR($I4405="",$I4405="NR"),0,IFERROR(MATCH($I4405,GradeList,0),0))</f>
        <v>0</v>
      </c>
      <c r="P4405" s="64" t="n">
        <f aca="false">IF(AND($M4405&gt;0,ISNUMBER(MATCH($F4405,Lists!$A$2:$A$5,0)),ISNUMBER(MATCH($G4405,Lists!$B$2:$B$7,0)),OR($H4405="",$N4405&gt;0),OR($I4405="",$I4405="NR",$O4405&gt;0),IF(ISNUMBER($J4405),AND($J4405&gt;=0,$J4405=INT($J4405)),FALSE())),$J4405,0)</f>
        <v>0</v>
      </c>
      <c r="Q4405" s="64" t="n">
        <f aca="false">IF(AND($P4405&gt;0,$O4405&gt;0),$P4405,0)</f>
        <v>0</v>
      </c>
      <c r="R4405" s="64" t="n">
        <f aca="false">IF(AND($Q4405&gt;0,$O4405&gt;=AtRank),$Q4405,0)</f>
        <v>0</v>
      </c>
      <c r="S4405" s="64" t="n">
        <f aca="false">IF(AND($Q4405&gt;0,$O4405&gt;=AboveRank),$Q4405,0)</f>
        <v>0</v>
      </c>
      <c r="T4405" s="64" t="n">
        <f aca="false">IF($K4405="Less",$P4405,0)</f>
        <v>0</v>
      </c>
      <c r="U4405" s="64" t="n">
        <f aca="false">IF($K4405="Expected",$P4405,0)</f>
        <v>0</v>
      </c>
      <c r="V4405" s="64" t="n">
        <f aca="false">IF($K4405="Better",$P4405,0)</f>
        <v>0</v>
      </c>
      <c r="W4405" s="64" t="n">
        <f aca="false">IF($K4405="U – needs rule",$P4405,0)</f>
        <v>0</v>
      </c>
      <c r="X4405" s="64" t="n">
        <f aca="false">IF($K4405="No Start (attainment only)",$P4405,0)</f>
        <v>0</v>
      </c>
    </row>
    <row r="4406" customFormat="false" ht="15" hidden="false" customHeight="false" outlineLevel="0" collapsed="false">
      <c r="A4406" s="60"/>
      <c r="B4406" s="61" t="str">
        <f aca="false">IF($M4406=0,"",INDEX(Classes!$E$6:$E$420,$M4406))</f>
        <v/>
      </c>
      <c r="C4406" s="62" t="str">
        <f aca="false">IF($M4406=0,"",INDEX(Classes!$H$6:$H$420,$M4406))</f>
        <v/>
      </c>
      <c r="D4406" s="61" t="str">
        <f aca="false">IF($M4406=0,"",INDEX(Classes!$B$6:$B$420,$M4406))</f>
        <v/>
      </c>
      <c r="E4406" s="61" t="str">
        <f aca="false">IF($M4406=0,"",INDEX(Classes!$C$6:$C$420,$M4406))</f>
        <v/>
      </c>
      <c r="F4406" s="63"/>
      <c r="G4406" s="63"/>
      <c r="H4406" s="60"/>
      <c r="I4406" s="60"/>
      <c r="J4406" s="63"/>
      <c r="K4406" s="61" t="str">
        <f aca="false">IF($P4406=0,"",IF($F4406="Baseline","— Baseline",IF($O4406=0,"No result",IF($N4406=0,"No Start (attainment only)",IF(OR($N4406=1,$O4406=1),"U – needs rule",INDEX(MxBody,MATCH($I4406,MxCurr,0),MATCH($H4406,MxStart,0)))))))</f>
        <v/>
      </c>
      <c r="L4406" s="62" t="str">
        <f aca="false">IF(COUNTA($A4406,$F4406,$G4406,$H4406,$I4406,$J4406)=0,"",IF($M4406=0,"✖ كود الصف غير موجود",IF(ISNA(MATCH($F4406,Lists!$A$2:$A$5,0)),"✖ الفترة غير صحيحة",IF(ISNA(MATCH($G4406,Lists!$B$2:$B$7,0)),"✖ المجموعة غير صحيحة",IF(NOT(OR($H4406="",$N4406&gt;0)),"✖ Start غير صحيح",IF(NOT(OR($I4406="",$I4406="NR",$O4406&gt;0)),"✖ Current غير صحيح",IF(NOT(IF(ISNUMBER($J4406),AND($J4406&gt;=0,$J4406=INT($J4406)),FALSE())),"✖ العدد يجب أن يكون صحيحًا ≥ 0",IF(AND($F4406="Baseline",$H4406&lt;&gt;""),"⚠ Baseline: Start لا يدخل في التقدم",IF($K4406="No Start (attainment only)","ℹ تحصيل فقط (بدون Start)",IF($K4406="U – needs rule","ℹ حالة U تحتاج قاعدة معتمدة",IF($K4406="No result","ℹ بدون نتيجة (يُستبعد من التحصيل)","OK")))))))))))</f>
        <v/>
      </c>
      <c r="M4406" s="64" t="n">
        <f aca="false">IF($A4406="",0,IFERROR(MATCH($A4406,Classes!$A$6:$A$420,0),0))</f>
        <v>0</v>
      </c>
      <c r="N4406" s="64" t="n">
        <f aca="false">IF($H4406="",0,IFERROR(MATCH($H4406,GradeList,0),0))</f>
        <v>0</v>
      </c>
      <c r="O4406" s="64" t="n">
        <f aca="false">IF(OR($I4406="",$I4406="NR"),0,IFERROR(MATCH($I4406,GradeList,0),0))</f>
        <v>0</v>
      </c>
      <c r="P4406" s="64" t="n">
        <f aca="false">IF(AND($M4406&gt;0,ISNUMBER(MATCH($F4406,Lists!$A$2:$A$5,0)),ISNUMBER(MATCH($G4406,Lists!$B$2:$B$7,0)),OR($H4406="",$N4406&gt;0),OR($I4406="",$I4406="NR",$O4406&gt;0),IF(ISNUMBER($J4406),AND($J4406&gt;=0,$J4406=INT($J4406)),FALSE())),$J4406,0)</f>
        <v>0</v>
      </c>
      <c r="Q4406" s="64" t="n">
        <f aca="false">IF(AND($P4406&gt;0,$O4406&gt;0),$P4406,0)</f>
        <v>0</v>
      </c>
      <c r="R4406" s="64" t="n">
        <f aca="false">IF(AND($Q4406&gt;0,$O4406&gt;=AtRank),$Q4406,0)</f>
        <v>0</v>
      </c>
      <c r="S4406" s="64" t="n">
        <f aca="false">IF(AND($Q4406&gt;0,$O4406&gt;=AboveRank),$Q4406,0)</f>
        <v>0</v>
      </c>
      <c r="T4406" s="64" t="n">
        <f aca="false">IF($K4406="Less",$P4406,0)</f>
        <v>0</v>
      </c>
      <c r="U4406" s="64" t="n">
        <f aca="false">IF($K4406="Expected",$P4406,0)</f>
        <v>0</v>
      </c>
      <c r="V4406" s="64" t="n">
        <f aca="false">IF($K4406="Better",$P4406,0)</f>
        <v>0</v>
      </c>
      <c r="W4406" s="64" t="n">
        <f aca="false">IF($K4406="U – needs rule",$P4406,0)</f>
        <v>0</v>
      </c>
      <c r="X4406" s="64" t="n">
        <f aca="false">IF($K4406="No Start (attainment only)",$P4406,0)</f>
        <v>0</v>
      </c>
    </row>
    <row r="4407" customFormat="false" ht="15" hidden="false" customHeight="false" outlineLevel="0" collapsed="false">
      <c r="A4407" s="60"/>
      <c r="B4407" s="61" t="str">
        <f aca="false">IF($M4407=0,"",INDEX(Classes!$E$6:$E$420,$M4407))</f>
        <v/>
      </c>
      <c r="C4407" s="62" t="str">
        <f aca="false">IF($M4407=0,"",INDEX(Classes!$H$6:$H$420,$M4407))</f>
        <v/>
      </c>
      <c r="D4407" s="61" t="str">
        <f aca="false">IF($M4407=0,"",INDEX(Classes!$B$6:$B$420,$M4407))</f>
        <v/>
      </c>
      <c r="E4407" s="61" t="str">
        <f aca="false">IF($M4407=0,"",INDEX(Classes!$C$6:$C$420,$M4407))</f>
        <v/>
      </c>
      <c r="F4407" s="63"/>
      <c r="G4407" s="63"/>
      <c r="H4407" s="60"/>
      <c r="I4407" s="60"/>
      <c r="J4407" s="63"/>
      <c r="K4407" s="61" t="str">
        <f aca="false">IF($P4407=0,"",IF($F4407="Baseline","— Baseline",IF($O4407=0,"No result",IF($N4407=0,"No Start (attainment only)",IF(OR($N4407=1,$O4407=1),"U – needs rule",INDEX(MxBody,MATCH($I4407,MxCurr,0),MATCH($H4407,MxStart,0)))))))</f>
        <v/>
      </c>
      <c r="L4407" s="62" t="str">
        <f aca="false">IF(COUNTA($A4407,$F4407,$G4407,$H4407,$I4407,$J4407)=0,"",IF($M4407=0,"✖ كود الصف غير موجود",IF(ISNA(MATCH($F4407,Lists!$A$2:$A$5,0)),"✖ الفترة غير صحيحة",IF(ISNA(MATCH($G4407,Lists!$B$2:$B$7,0)),"✖ المجموعة غير صحيحة",IF(NOT(OR($H4407="",$N4407&gt;0)),"✖ Start غير صحيح",IF(NOT(OR($I4407="",$I4407="NR",$O4407&gt;0)),"✖ Current غير صحيح",IF(NOT(IF(ISNUMBER($J4407),AND($J4407&gt;=0,$J4407=INT($J4407)),FALSE())),"✖ العدد يجب أن يكون صحيحًا ≥ 0",IF(AND($F4407="Baseline",$H4407&lt;&gt;""),"⚠ Baseline: Start لا يدخل في التقدم",IF($K4407="No Start (attainment only)","ℹ تحصيل فقط (بدون Start)",IF($K4407="U – needs rule","ℹ حالة U تحتاج قاعدة معتمدة",IF($K4407="No result","ℹ بدون نتيجة (يُستبعد من التحصيل)","OK")))))))))))</f>
        <v/>
      </c>
      <c r="M4407" s="64" t="n">
        <f aca="false">IF($A4407="",0,IFERROR(MATCH($A4407,Classes!$A$6:$A$420,0),0))</f>
        <v>0</v>
      </c>
      <c r="N4407" s="64" t="n">
        <f aca="false">IF($H4407="",0,IFERROR(MATCH($H4407,GradeList,0),0))</f>
        <v>0</v>
      </c>
      <c r="O4407" s="64" t="n">
        <f aca="false">IF(OR($I4407="",$I4407="NR"),0,IFERROR(MATCH($I4407,GradeList,0),0))</f>
        <v>0</v>
      </c>
      <c r="P4407" s="64" t="n">
        <f aca="false">IF(AND($M4407&gt;0,ISNUMBER(MATCH($F4407,Lists!$A$2:$A$5,0)),ISNUMBER(MATCH($G4407,Lists!$B$2:$B$7,0)),OR($H4407="",$N4407&gt;0),OR($I4407="",$I4407="NR",$O4407&gt;0),IF(ISNUMBER($J4407),AND($J4407&gt;=0,$J4407=INT($J4407)),FALSE())),$J4407,0)</f>
        <v>0</v>
      </c>
      <c r="Q4407" s="64" t="n">
        <f aca="false">IF(AND($P4407&gt;0,$O4407&gt;0),$P4407,0)</f>
        <v>0</v>
      </c>
      <c r="R4407" s="64" t="n">
        <f aca="false">IF(AND($Q4407&gt;0,$O4407&gt;=AtRank),$Q4407,0)</f>
        <v>0</v>
      </c>
      <c r="S4407" s="64" t="n">
        <f aca="false">IF(AND($Q4407&gt;0,$O4407&gt;=AboveRank),$Q4407,0)</f>
        <v>0</v>
      </c>
      <c r="T4407" s="64" t="n">
        <f aca="false">IF($K4407="Less",$P4407,0)</f>
        <v>0</v>
      </c>
      <c r="U4407" s="64" t="n">
        <f aca="false">IF($K4407="Expected",$P4407,0)</f>
        <v>0</v>
      </c>
      <c r="V4407" s="64" t="n">
        <f aca="false">IF($K4407="Better",$P4407,0)</f>
        <v>0</v>
      </c>
      <c r="W4407" s="64" t="n">
        <f aca="false">IF($K4407="U – needs rule",$P4407,0)</f>
        <v>0</v>
      </c>
      <c r="X4407" s="64" t="n">
        <f aca="false">IF($K4407="No Start (attainment only)",$P4407,0)</f>
        <v>0</v>
      </c>
    </row>
    <row r="4408" customFormat="false" ht="15" hidden="false" customHeight="false" outlineLevel="0" collapsed="false">
      <c r="A4408" s="60"/>
      <c r="B4408" s="61" t="str">
        <f aca="false">IF($M4408=0,"",INDEX(Classes!$E$6:$E$420,$M4408))</f>
        <v/>
      </c>
      <c r="C4408" s="62" t="str">
        <f aca="false">IF($M4408=0,"",INDEX(Classes!$H$6:$H$420,$M4408))</f>
        <v/>
      </c>
      <c r="D4408" s="61" t="str">
        <f aca="false">IF($M4408=0,"",INDEX(Classes!$B$6:$B$420,$M4408))</f>
        <v/>
      </c>
      <c r="E4408" s="61" t="str">
        <f aca="false">IF($M4408=0,"",INDEX(Classes!$C$6:$C$420,$M4408))</f>
        <v/>
      </c>
      <c r="F4408" s="63"/>
      <c r="G4408" s="63"/>
      <c r="H4408" s="60"/>
      <c r="I4408" s="60"/>
      <c r="J4408" s="63"/>
      <c r="K4408" s="61" t="str">
        <f aca="false">IF($P4408=0,"",IF($F4408="Baseline","— Baseline",IF($O4408=0,"No result",IF($N4408=0,"No Start (attainment only)",IF(OR($N4408=1,$O4408=1),"U – needs rule",INDEX(MxBody,MATCH($I4408,MxCurr,0),MATCH($H4408,MxStart,0)))))))</f>
        <v/>
      </c>
      <c r="L4408" s="62" t="str">
        <f aca="false">IF(COUNTA($A4408,$F4408,$G4408,$H4408,$I4408,$J4408)=0,"",IF($M4408=0,"✖ كود الصف غير موجود",IF(ISNA(MATCH($F4408,Lists!$A$2:$A$5,0)),"✖ الفترة غير صحيحة",IF(ISNA(MATCH($G4408,Lists!$B$2:$B$7,0)),"✖ المجموعة غير صحيحة",IF(NOT(OR($H4408="",$N4408&gt;0)),"✖ Start غير صحيح",IF(NOT(OR($I4408="",$I4408="NR",$O4408&gt;0)),"✖ Current غير صحيح",IF(NOT(IF(ISNUMBER($J4408),AND($J4408&gt;=0,$J4408=INT($J4408)),FALSE())),"✖ العدد يجب أن يكون صحيحًا ≥ 0",IF(AND($F4408="Baseline",$H4408&lt;&gt;""),"⚠ Baseline: Start لا يدخل في التقدم",IF($K4408="No Start (attainment only)","ℹ تحصيل فقط (بدون Start)",IF($K4408="U – needs rule","ℹ حالة U تحتاج قاعدة معتمدة",IF($K4408="No result","ℹ بدون نتيجة (يُستبعد من التحصيل)","OK")))))))))))</f>
        <v/>
      </c>
      <c r="M4408" s="64" t="n">
        <f aca="false">IF($A4408="",0,IFERROR(MATCH($A4408,Classes!$A$6:$A$420,0),0))</f>
        <v>0</v>
      </c>
      <c r="N4408" s="64" t="n">
        <f aca="false">IF($H4408="",0,IFERROR(MATCH($H4408,GradeList,0),0))</f>
        <v>0</v>
      </c>
      <c r="O4408" s="64" t="n">
        <f aca="false">IF(OR($I4408="",$I4408="NR"),0,IFERROR(MATCH($I4408,GradeList,0),0))</f>
        <v>0</v>
      </c>
      <c r="P4408" s="64" t="n">
        <f aca="false">IF(AND($M4408&gt;0,ISNUMBER(MATCH($F4408,Lists!$A$2:$A$5,0)),ISNUMBER(MATCH($G4408,Lists!$B$2:$B$7,0)),OR($H4408="",$N4408&gt;0),OR($I4408="",$I4408="NR",$O4408&gt;0),IF(ISNUMBER($J4408),AND($J4408&gt;=0,$J4408=INT($J4408)),FALSE())),$J4408,0)</f>
        <v>0</v>
      </c>
      <c r="Q4408" s="64" t="n">
        <f aca="false">IF(AND($P4408&gt;0,$O4408&gt;0),$P4408,0)</f>
        <v>0</v>
      </c>
      <c r="R4408" s="64" t="n">
        <f aca="false">IF(AND($Q4408&gt;0,$O4408&gt;=AtRank),$Q4408,0)</f>
        <v>0</v>
      </c>
      <c r="S4408" s="64" t="n">
        <f aca="false">IF(AND($Q4408&gt;0,$O4408&gt;=AboveRank),$Q4408,0)</f>
        <v>0</v>
      </c>
      <c r="T4408" s="64" t="n">
        <f aca="false">IF($K4408="Less",$P4408,0)</f>
        <v>0</v>
      </c>
      <c r="U4408" s="64" t="n">
        <f aca="false">IF($K4408="Expected",$P4408,0)</f>
        <v>0</v>
      </c>
      <c r="V4408" s="64" t="n">
        <f aca="false">IF($K4408="Better",$P4408,0)</f>
        <v>0</v>
      </c>
      <c r="W4408" s="64" t="n">
        <f aca="false">IF($K4408="U – needs rule",$P4408,0)</f>
        <v>0</v>
      </c>
      <c r="X4408" s="64" t="n">
        <f aca="false">IF($K4408="No Start (attainment only)",$P4408,0)</f>
        <v>0</v>
      </c>
    </row>
    <row r="4409" customFormat="false" ht="15" hidden="false" customHeight="false" outlineLevel="0" collapsed="false">
      <c r="A4409" s="60"/>
      <c r="B4409" s="61" t="str">
        <f aca="false">IF($M4409=0,"",INDEX(Classes!$E$6:$E$420,$M4409))</f>
        <v/>
      </c>
      <c r="C4409" s="62" t="str">
        <f aca="false">IF($M4409=0,"",INDEX(Classes!$H$6:$H$420,$M4409))</f>
        <v/>
      </c>
      <c r="D4409" s="61" t="str">
        <f aca="false">IF($M4409=0,"",INDEX(Classes!$B$6:$B$420,$M4409))</f>
        <v/>
      </c>
      <c r="E4409" s="61" t="str">
        <f aca="false">IF($M4409=0,"",INDEX(Classes!$C$6:$C$420,$M4409))</f>
        <v/>
      </c>
      <c r="F4409" s="63"/>
      <c r="G4409" s="63"/>
      <c r="H4409" s="60"/>
      <c r="I4409" s="60"/>
      <c r="J4409" s="63"/>
      <c r="K4409" s="61" t="str">
        <f aca="false">IF($P4409=0,"",IF($F4409="Baseline","— Baseline",IF($O4409=0,"No result",IF($N4409=0,"No Start (attainment only)",IF(OR($N4409=1,$O4409=1),"U – needs rule",INDEX(MxBody,MATCH($I4409,MxCurr,0),MATCH($H4409,MxStart,0)))))))</f>
        <v/>
      </c>
      <c r="L4409" s="62" t="str">
        <f aca="false">IF(COUNTA($A4409,$F4409,$G4409,$H4409,$I4409,$J4409)=0,"",IF($M4409=0,"✖ كود الصف غير موجود",IF(ISNA(MATCH($F4409,Lists!$A$2:$A$5,0)),"✖ الفترة غير صحيحة",IF(ISNA(MATCH($G4409,Lists!$B$2:$B$7,0)),"✖ المجموعة غير صحيحة",IF(NOT(OR($H4409="",$N4409&gt;0)),"✖ Start غير صحيح",IF(NOT(OR($I4409="",$I4409="NR",$O4409&gt;0)),"✖ Current غير صحيح",IF(NOT(IF(ISNUMBER($J4409),AND($J4409&gt;=0,$J4409=INT($J4409)),FALSE())),"✖ العدد يجب أن يكون صحيحًا ≥ 0",IF(AND($F4409="Baseline",$H4409&lt;&gt;""),"⚠ Baseline: Start لا يدخل في التقدم",IF($K4409="No Start (attainment only)","ℹ تحصيل فقط (بدون Start)",IF($K4409="U – needs rule","ℹ حالة U تحتاج قاعدة معتمدة",IF($K4409="No result","ℹ بدون نتيجة (يُستبعد من التحصيل)","OK")))))))))))</f>
        <v/>
      </c>
      <c r="M4409" s="64" t="n">
        <f aca="false">IF($A4409="",0,IFERROR(MATCH($A4409,Classes!$A$6:$A$420,0),0))</f>
        <v>0</v>
      </c>
      <c r="N4409" s="64" t="n">
        <f aca="false">IF($H4409="",0,IFERROR(MATCH($H4409,GradeList,0),0))</f>
        <v>0</v>
      </c>
      <c r="O4409" s="64" t="n">
        <f aca="false">IF(OR($I4409="",$I4409="NR"),0,IFERROR(MATCH($I4409,GradeList,0),0))</f>
        <v>0</v>
      </c>
      <c r="P4409" s="64" t="n">
        <f aca="false">IF(AND($M4409&gt;0,ISNUMBER(MATCH($F4409,Lists!$A$2:$A$5,0)),ISNUMBER(MATCH($G4409,Lists!$B$2:$B$7,0)),OR($H4409="",$N4409&gt;0),OR($I4409="",$I4409="NR",$O4409&gt;0),IF(ISNUMBER($J4409),AND($J4409&gt;=0,$J4409=INT($J4409)),FALSE())),$J4409,0)</f>
        <v>0</v>
      </c>
      <c r="Q4409" s="64" t="n">
        <f aca="false">IF(AND($P4409&gt;0,$O4409&gt;0),$P4409,0)</f>
        <v>0</v>
      </c>
      <c r="R4409" s="64" t="n">
        <f aca="false">IF(AND($Q4409&gt;0,$O4409&gt;=AtRank),$Q4409,0)</f>
        <v>0</v>
      </c>
      <c r="S4409" s="64" t="n">
        <f aca="false">IF(AND($Q4409&gt;0,$O4409&gt;=AboveRank),$Q4409,0)</f>
        <v>0</v>
      </c>
      <c r="T4409" s="64" t="n">
        <f aca="false">IF($K4409="Less",$P4409,0)</f>
        <v>0</v>
      </c>
      <c r="U4409" s="64" t="n">
        <f aca="false">IF($K4409="Expected",$P4409,0)</f>
        <v>0</v>
      </c>
      <c r="V4409" s="64" t="n">
        <f aca="false">IF($K4409="Better",$P4409,0)</f>
        <v>0</v>
      </c>
      <c r="W4409" s="64" t="n">
        <f aca="false">IF($K4409="U – needs rule",$P4409,0)</f>
        <v>0</v>
      </c>
      <c r="X4409" s="64" t="n">
        <f aca="false">IF($K4409="No Start (attainment only)",$P4409,0)</f>
        <v>0</v>
      </c>
    </row>
    <row r="4410" customFormat="false" ht="15" hidden="false" customHeight="false" outlineLevel="0" collapsed="false">
      <c r="A4410" s="60"/>
      <c r="B4410" s="61" t="str">
        <f aca="false">IF($M4410=0,"",INDEX(Classes!$E$6:$E$420,$M4410))</f>
        <v/>
      </c>
      <c r="C4410" s="62" t="str">
        <f aca="false">IF($M4410=0,"",INDEX(Classes!$H$6:$H$420,$M4410))</f>
        <v/>
      </c>
      <c r="D4410" s="61" t="str">
        <f aca="false">IF($M4410=0,"",INDEX(Classes!$B$6:$B$420,$M4410))</f>
        <v/>
      </c>
      <c r="E4410" s="61" t="str">
        <f aca="false">IF($M4410=0,"",INDEX(Classes!$C$6:$C$420,$M4410))</f>
        <v/>
      </c>
      <c r="F4410" s="63"/>
      <c r="G4410" s="63"/>
      <c r="H4410" s="60"/>
      <c r="I4410" s="60"/>
      <c r="J4410" s="63"/>
      <c r="K4410" s="61" t="str">
        <f aca="false">IF($P4410=0,"",IF($F4410="Baseline","— Baseline",IF($O4410=0,"No result",IF($N4410=0,"No Start (attainment only)",IF(OR($N4410=1,$O4410=1),"U – needs rule",INDEX(MxBody,MATCH($I4410,MxCurr,0),MATCH($H4410,MxStart,0)))))))</f>
        <v/>
      </c>
      <c r="L4410" s="62" t="str">
        <f aca="false">IF(COUNTA($A4410,$F4410,$G4410,$H4410,$I4410,$J4410)=0,"",IF($M4410=0,"✖ كود الصف غير موجود",IF(ISNA(MATCH($F4410,Lists!$A$2:$A$5,0)),"✖ الفترة غير صحيحة",IF(ISNA(MATCH($G4410,Lists!$B$2:$B$7,0)),"✖ المجموعة غير صحيحة",IF(NOT(OR($H4410="",$N4410&gt;0)),"✖ Start غير صحيح",IF(NOT(OR($I4410="",$I4410="NR",$O4410&gt;0)),"✖ Current غير صحيح",IF(NOT(IF(ISNUMBER($J4410),AND($J4410&gt;=0,$J4410=INT($J4410)),FALSE())),"✖ العدد يجب أن يكون صحيحًا ≥ 0",IF(AND($F4410="Baseline",$H4410&lt;&gt;""),"⚠ Baseline: Start لا يدخل في التقدم",IF($K4410="No Start (attainment only)","ℹ تحصيل فقط (بدون Start)",IF($K4410="U – needs rule","ℹ حالة U تحتاج قاعدة معتمدة",IF($K4410="No result","ℹ بدون نتيجة (يُستبعد من التحصيل)","OK")))))))))))</f>
        <v/>
      </c>
      <c r="M4410" s="64" t="n">
        <f aca="false">IF($A4410="",0,IFERROR(MATCH($A4410,Classes!$A$6:$A$420,0),0))</f>
        <v>0</v>
      </c>
      <c r="N4410" s="64" t="n">
        <f aca="false">IF($H4410="",0,IFERROR(MATCH($H4410,GradeList,0),0))</f>
        <v>0</v>
      </c>
      <c r="O4410" s="64" t="n">
        <f aca="false">IF(OR($I4410="",$I4410="NR"),0,IFERROR(MATCH($I4410,GradeList,0),0))</f>
        <v>0</v>
      </c>
      <c r="P4410" s="64" t="n">
        <f aca="false">IF(AND($M4410&gt;0,ISNUMBER(MATCH($F4410,Lists!$A$2:$A$5,0)),ISNUMBER(MATCH($G4410,Lists!$B$2:$B$7,0)),OR($H4410="",$N4410&gt;0),OR($I4410="",$I4410="NR",$O4410&gt;0),IF(ISNUMBER($J4410),AND($J4410&gt;=0,$J4410=INT($J4410)),FALSE())),$J4410,0)</f>
        <v>0</v>
      </c>
      <c r="Q4410" s="64" t="n">
        <f aca="false">IF(AND($P4410&gt;0,$O4410&gt;0),$P4410,0)</f>
        <v>0</v>
      </c>
      <c r="R4410" s="64" t="n">
        <f aca="false">IF(AND($Q4410&gt;0,$O4410&gt;=AtRank),$Q4410,0)</f>
        <v>0</v>
      </c>
      <c r="S4410" s="64" t="n">
        <f aca="false">IF(AND($Q4410&gt;0,$O4410&gt;=AboveRank),$Q4410,0)</f>
        <v>0</v>
      </c>
      <c r="T4410" s="64" t="n">
        <f aca="false">IF($K4410="Less",$P4410,0)</f>
        <v>0</v>
      </c>
      <c r="U4410" s="64" t="n">
        <f aca="false">IF($K4410="Expected",$P4410,0)</f>
        <v>0</v>
      </c>
      <c r="V4410" s="64" t="n">
        <f aca="false">IF($K4410="Better",$P4410,0)</f>
        <v>0</v>
      </c>
      <c r="W4410" s="64" t="n">
        <f aca="false">IF($K4410="U – needs rule",$P4410,0)</f>
        <v>0</v>
      </c>
      <c r="X4410" s="64" t="n">
        <f aca="false">IF($K4410="No Start (attainment only)",$P4410,0)</f>
        <v>0</v>
      </c>
    </row>
    <row r="4411" customFormat="false" ht="15" hidden="false" customHeight="false" outlineLevel="0" collapsed="false">
      <c r="A4411" s="60"/>
      <c r="B4411" s="61" t="str">
        <f aca="false">IF($M4411=0,"",INDEX(Classes!$E$6:$E$420,$M4411))</f>
        <v/>
      </c>
      <c r="C4411" s="62" t="str">
        <f aca="false">IF($M4411=0,"",INDEX(Classes!$H$6:$H$420,$M4411))</f>
        <v/>
      </c>
      <c r="D4411" s="61" t="str">
        <f aca="false">IF($M4411=0,"",INDEX(Classes!$B$6:$B$420,$M4411))</f>
        <v/>
      </c>
      <c r="E4411" s="61" t="str">
        <f aca="false">IF($M4411=0,"",INDEX(Classes!$C$6:$C$420,$M4411))</f>
        <v/>
      </c>
      <c r="F4411" s="63"/>
      <c r="G4411" s="63"/>
      <c r="H4411" s="60"/>
      <c r="I4411" s="60"/>
      <c r="J4411" s="63"/>
      <c r="K4411" s="61" t="str">
        <f aca="false">IF($P4411=0,"",IF($F4411="Baseline","— Baseline",IF($O4411=0,"No result",IF($N4411=0,"No Start (attainment only)",IF(OR($N4411=1,$O4411=1),"U – needs rule",INDEX(MxBody,MATCH($I4411,MxCurr,0),MATCH($H4411,MxStart,0)))))))</f>
        <v/>
      </c>
      <c r="L4411" s="62" t="str">
        <f aca="false">IF(COUNTA($A4411,$F4411,$G4411,$H4411,$I4411,$J4411)=0,"",IF($M4411=0,"✖ كود الصف غير موجود",IF(ISNA(MATCH($F4411,Lists!$A$2:$A$5,0)),"✖ الفترة غير صحيحة",IF(ISNA(MATCH($G4411,Lists!$B$2:$B$7,0)),"✖ المجموعة غير صحيحة",IF(NOT(OR($H4411="",$N4411&gt;0)),"✖ Start غير صحيح",IF(NOT(OR($I4411="",$I4411="NR",$O4411&gt;0)),"✖ Current غير صحيح",IF(NOT(IF(ISNUMBER($J4411),AND($J4411&gt;=0,$J4411=INT($J4411)),FALSE())),"✖ العدد يجب أن يكون صحيحًا ≥ 0",IF(AND($F4411="Baseline",$H4411&lt;&gt;""),"⚠ Baseline: Start لا يدخل في التقدم",IF($K4411="No Start (attainment only)","ℹ تحصيل فقط (بدون Start)",IF($K4411="U – needs rule","ℹ حالة U تحتاج قاعدة معتمدة",IF($K4411="No result","ℹ بدون نتيجة (يُستبعد من التحصيل)","OK")))))))))))</f>
        <v/>
      </c>
      <c r="M4411" s="64" t="n">
        <f aca="false">IF($A4411="",0,IFERROR(MATCH($A4411,Classes!$A$6:$A$420,0),0))</f>
        <v>0</v>
      </c>
      <c r="N4411" s="64" t="n">
        <f aca="false">IF($H4411="",0,IFERROR(MATCH($H4411,GradeList,0),0))</f>
        <v>0</v>
      </c>
      <c r="O4411" s="64" t="n">
        <f aca="false">IF(OR($I4411="",$I4411="NR"),0,IFERROR(MATCH($I4411,GradeList,0),0))</f>
        <v>0</v>
      </c>
      <c r="P4411" s="64" t="n">
        <f aca="false">IF(AND($M4411&gt;0,ISNUMBER(MATCH($F4411,Lists!$A$2:$A$5,0)),ISNUMBER(MATCH($G4411,Lists!$B$2:$B$7,0)),OR($H4411="",$N4411&gt;0),OR($I4411="",$I4411="NR",$O4411&gt;0),IF(ISNUMBER($J4411),AND($J4411&gt;=0,$J4411=INT($J4411)),FALSE())),$J4411,0)</f>
        <v>0</v>
      </c>
      <c r="Q4411" s="64" t="n">
        <f aca="false">IF(AND($P4411&gt;0,$O4411&gt;0),$P4411,0)</f>
        <v>0</v>
      </c>
      <c r="R4411" s="64" t="n">
        <f aca="false">IF(AND($Q4411&gt;0,$O4411&gt;=AtRank),$Q4411,0)</f>
        <v>0</v>
      </c>
      <c r="S4411" s="64" t="n">
        <f aca="false">IF(AND($Q4411&gt;0,$O4411&gt;=AboveRank),$Q4411,0)</f>
        <v>0</v>
      </c>
      <c r="T4411" s="64" t="n">
        <f aca="false">IF($K4411="Less",$P4411,0)</f>
        <v>0</v>
      </c>
      <c r="U4411" s="64" t="n">
        <f aca="false">IF($K4411="Expected",$P4411,0)</f>
        <v>0</v>
      </c>
      <c r="V4411" s="64" t="n">
        <f aca="false">IF($K4411="Better",$P4411,0)</f>
        <v>0</v>
      </c>
      <c r="W4411" s="64" t="n">
        <f aca="false">IF($K4411="U – needs rule",$P4411,0)</f>
        <v>0</v>
      </c>
      <c r="X4411" s="64" t="n">
        <f aca="false">IF($K4411="No Start (attainment only)",$P4411,0)</f>
        <v>0</v>
      </c>
    </row>
    <row r="4412" customFormat="false" ht="15" hidden="false" customHeight="false" outlineLevel="0" collapsed="false">
      <c r="A4412" s="60"/>
      <c r="B4412" s="61" t="str">
        <f aca="false">IF($M4412=0,"",INDEX(Classes!$E$6:$E$420,$M4412))</f>
        <v/>
      </c>
      <c r="C4412" s="62" t="str">
        <f aca="false">IF($M4412=0,"",INDEX(Classes!$H$6:$H$420,$M4412))</f>
        <v/>
      </c>
      <c r="D4412" s="61" t="str">
        <f aca="false">IF($M4412=0,"",INDEX(Classes!$B$6:$B$420,$M4412))</f>
        <v/>
      </c>
      <c r="E4412" s="61" t="str">
        <f aca="false">IF($M4412=0,"",INDEX(Classes!$C$6:$C$420,$M4412))</f>
        <v/>
      </c>
      <c r="F4412" s="63"/>
      <c r="G4412" s="63"/>
      <c r="H4412" s="60"/>
      <c r="I4412" s="60"/>
      <c r="J4412" s="63"/>
      <c r="K4412" s="61" t="str">
        <f aca="false">IF($P4412=0,"",IF($F4412="Baseline","— Baseline",IF($O4412=0,"No result",IF($N4412=0,"No Start (attainment only)",IF(OR($N4412=1,$O4412=1),"U – needs rule",INDEX(MxBody,MATCH($I4412,MxCurr,0),MATCH($H4412,MxStart,0)))))))</f>
        <v/>
      </c>
      <c r="L4412" s="62" t="str">
        <f aca="false">IF(COUNTA($A4412,$F4412,$G4412,$H4412,$I4412,$J4412)=0,"",IF($M4412=0,"✖ كود الصف غير موجود",IF(ISNA(MATCH($F4412,Lists!$A$2:$A$5,0)),"✖ الفترة غير صحيحة",IF(ISNA(MATCH($G4412,Lists!$B$2:$B$7,0)),"✖ المجموعة غير صحيحة",IF(NOT(OR($H4412="",$N4412&gt;0)),"✖ Start غير صحيح",IF(NOT(OR($I4412="",$I4412="NR",$O4412&gt;0)),"✖ Current غير صحيح",IF(NOT(IF(ISNUMBER($J4412),AND($J4412&gt;=0,$J4412=INT($J4412)),FALSE())),"✖ العدد يجب أن يكون صحيحًا ≥ 0",IF(AND($F4412="Baseline",$H4412&lt;&gt;""),"⚠ Baseline: Start لا يدخل في التقدم",IF($K4412="No Start (attainment only)","ℹ تحصيل فقط (بدون Start)",IF($K4412="U – needs rule","ℹ حالة U تحتاج قاعدة معتمدة",IF($K4412="No result","ℹ بدون نتيجة (يُستبعد من التحصيل)","OK")))))))))))</f>
        <v/>
      </c>
      <c r="M4412" s="64" t="n">
        <f aca="false">IF($A4412="",0,IFERROR(MATCH($A4412,Classes!$A$6:$A$420,0),0))</f>
        <v>0</v>
      </c>
      <c r="N4412" s="64" t="n">
        <f aca="false">IF($H4412="",0,IFERROR(MATCH($H4412,GradeList,0),0))</f>
        <v>0</v>
      </c>
      <c r="O4412" s="64" t="n">
        <f aca="false">IF(OR($I4412="",$I4412="NR"),0,IFERROR(MATCH($I4412,GradeList,0),0))</f>
        <v>0</v>
      </c>
      <c r="P4412" s="64" t="n">
        <f aca="false">IF(AND($M4412&gt;0,ISNUMBER(MATCH($F4412,Lists!$A$2:$A$5,0)),ISNUMBER(MATCH($G4412,Lists!$B$2:$B$7,0)),OR($H4412="",$N4412&gt;0),OR($I4412="",$I4412="NR",$O4412&gt;0),IF(ISNUMBER($J4412),AND($J4412&gt;=0,$J4412=INT($J4412)),FALSE())),$J4412,0)</f>
        <v>0</v>
      </c>
      <c r="Q4412" s="64" t="n">
        <f aca="false">IF(AND($P4412&gt;0,$O4412&gt;0),$P4412,0)</f>
        <v>0</v>
      </c>
      <c r="R4412" s="64" t="n">
        <f aca="false">IF(AND($Q4412&gt;0,$O4412&gt;=AtRank),$Q4412,0)</f>
        <v>0</v>
      </c>
      <c r="S4412" s="64" t="n">
        <f aca="false">IF(AND($Q4412&gt;0,$O4412&gt;=AboveRank),$Q4412,0)</f>
        <v>0</v>
      </c>
      <c r="T4412" s="64" t="n">
        <f aca="false">IF($K4412="Less",$P4412,0)</f>
        <v>0</v>
      </c>
      <c r="U4412" s="64" t="n">
        <f aca="false">IF($K4412="Expected",$P4412,0)</f>
        <v>0</v>
      </c>
      <c r="V4412" s="64" t="n">
        <f aca="false">IF($K4412="Better",$P4412,0)</f>
        <v>0</v>
      </c>
      <c r="W4412" s="64" t="n">
        <f aca="false">IF($K4412="U – needs rule",$P4412,0)</f>
        <v>0</v>
      </c>
      <c r="X4412" s="64" t="n">
        <f aca="false">IF($K4412="No Start (attainment only)",$P4412,0)</f>
        <v>0</v>
      </c>
    </row>
    <row r="4413" customFormat="false" ht="15" hidden="false" customHeight="false" outlineLevel="0" collapsed="false">
      <c r="A4413" s="60"/>
      <c r="B4413" s="61" t="str">
        <f aca="false">IF($M4413=0,"",INDEX(Classes!$E$6:$E$420,$M4413))</f>
        <v/>
      </c>
      <c r="C4413" s="62" t="str">
        <f aca="false">IF($M4413=0,"",INDEX(Classes!$H$6:$H$420,$M4413))</f>
        <v/>
      </c>
      <c r="D4413" s="61" t="str">
        <f aca="false">IF($M4413=0,"",INDEX(Classes!$B$6:$B$420,$M4413))</f>
        <v/>
      </c>
      <c r="E4413" s="61" t="str">
        <f aca="false">IF($M4413=0,"",INDEX(Classes!$C$6:$C$420,$M4413))</f>
        <v/>
      </c>
      <c r="F4413" s="63"/>
      <c r="G4413" s="63"/>
      <c r="H4413" s="60"/>
      <c r="I4413" s="60"/>
      <c r="J4413" s="63"/>
      <c r="K4413" s="61" t="str">
        <f aca="false">IF($P4413=0,"",IF($F4413="Baseline","— Baseline",IF($O4413=0,"No result",IF($N4413=0,"No Start (attainment only)",IF(OR($N4413=1,$O4413=1),"U – needs rule",INDEX(MxBody,MATCH($I4413,MxCurr,0),MATCH($H4413,MxStart,0)))))))</f>
        <v/>
      </c>
      <c r="L4413" s="62" t="str">
        <f aca="false">IF(COUNTA($A4413,$F4413,$G4413,$H4413,$I4413,$J4413)=0,"",IF($M4413=0,"✖ كود الصف غير موجود",IF(ISNA(MATCH($F4413,Lists!$A$2:$A$5,0)),"✖ الفترة غير صحيحة",IF(ISNA(MATCH($G4413,Lists!$B$2:$B$7,0)),"✖ المجموعة غير صحيحة",IF(NOT(OR($H4413="",$N4413&gt;0)),"✖ Start غير صحيح",IF(NOT(OR($I4413="",$I4413="NR",$O4413&gt;0)),"✖ Current غير صحيح",IF(NOT(IF(ISNUMBER($J4413),AND($J4413&gt;=0,$J4413=INT($J4413)),FALSE())),"✖ العدد يجب أن يكون صحيحًا ≥ 0",IF(AND($F4413="Baseline",$H4413&lt;&gt;""),"⚠ Baseline: Start لا يدخل في التقدم",IF($K4413="No Start (attainment only)","ℹ تحصيل فقط (بدون Start)",IF($K4413="U – needs rule","ℹ حالة U تحتاج قاعدة معتمدة",IF($K4413="No result","ℹ بدون نتيجة (يُستبعد من التحصيل)","OK")))))))))))</f>
        <v/>
      </c>
      <c r="M4413" s="64" t="n">
        <f aca="false">IF($A4413="",0,IFERROR(MATCH($A4413,Classes!$A$6:$A$420,0),0))</f>
        <v>0</v>
      </c>
      <c r="N4413" s="64" t="n">
        <f aca="false">IF($H4413="",0,IFERROR(MATCH($H4413,GradeList,0),0))</f>
        <v>0</v>
      </c>
      <c r="O4413" s="64" t="n">
        <f aca="false">IF(OR($I4413="",$I4413="NR"),0,IFERROR(MATCH($I4413,GradeList,0),0))</f>
        <v>0</v>
      </c>
      <c r="P4413" s="64" t="n">
        <f aca="false">IF(AND($M4413&gt;0,ISNUMBER(MATCH($F4413,Lists!$A$2:$A$5,0)),ISNUMBER(MATCH($G4413,Lists!$B$2:$B$7,0)),OR($H4413="",$N4413&gt;0),OR($I4413="",$I4413="NR",$O4413&gt;0),IF(ISNUMBER($J4413),AND($J4413&gt;=0,$J4413=INT($J4413)),FALSE())),$J4413,0)</f>
        <v>0</v>
      </c>
      <c r="Q4413" s="64" t="n">
        <f aca="false">IF(AND($P4413&gt;0,$O4413&gt;0),$P4413,0)</f>
        <v>0</v>
      </c>
      <c r="R4413" s="64" t="n">
        <f aca="false">IF(AND($Q4413&gt;0,$O4413&gt;=AtRank),$Q4413,0)</f>
        <v>0</v>
      </c>
      <c r="S4413" s="64" t="n">
        <f aca="false">IF(AND($Q4413&gt;0,$O4413&gt;=AboveRank),$Q4413,0)</f>
        <v>0</v>
      </c>
      <c r="T4413" s="64" t="n">
        <f aca="false">IF($K4413="Less",$P4413,0)</f>
        <v>0</v>
      </c>
      <c r="U4413" s="64" t="n">
        <f aca="false">IF($K4413="Expected",$P4413,0)</f>
        <v>0</v>
      </c>
      <c r="V4413" s="64" t="n">
        <f aca="false">IF($K4413="Better",$P4413,0)</f>
        <v>0</v>
      </c>
      <c r="W4413" s="64" t="n">
        <f aca="false">IF($K4413="U – needs rule",$P4413,0)</f>
        <v>0</v>
      </c>
      <c r="X4413" s="64" t="n">
        <f aca="false">IF($K4413="No Start (attainment only)",$P4413,0)</f>
        <v>0</v>
      </c>
    </row>
    <row r="4414" customFormat="false" ht="15" hidden="false" customHeight="false" outlineLevel="0" collapsed="false">
      <c r="A4414" s="60"/>
      <c r="B4414" s="61" t="str">
        <f aca="false">IF($M4414=0,"",INDEX(Classes!$E$6:$E$420,$M4414))</f>
        <v/>
      </c>
      <c r="C4414" s="62" t="str">
        <f aca="false">IF($M4414=0,"",INDEX(Classes!$H$6:$H$420,$M4414))</f>
        <v/>
      </c>
      <c r="D4414" s="61" t="str">
        <f aca="false">IF($M4414=0,"",INDEX(Classes!$B$6:$B$420,$M4414))</f>
        <v/>
      </c>
      <c r="E4414" s="61" t="str">
        <f aca="false">IF($M4414=0,"",INDEX(Classes!$C$6:$C$420,$M4414))</f>
        <v/>
      </c>
      <c r="F4414" s="63"/>
      <c r="G4414" s="63"/>
      <c r="H4414" s="60"/>
      <c r="I4414" s="60"/>
      <c r="J4414" s="63"/>
      <c r="K4414" s="61" t="str">
        <f aca="false">IF($P4414=0,"",IF($F4414="Baseline","— Baseline",IF($O4414=0,"No result",IF($N4414=0,"No Start (attainment only)",IF(OR($N4414=1,$O4414=1),"U – needs rule",INDEX(MxBody,MATCH($I4414,MxCurr,0),MATCH($H4414,MxStart,0)))))))</f>
        <v/>
      </c>
      <c r="L4414" s="62" t="str">
        <f aca="false">IF(COUNTA($A4414,$F4414,$G4414,$H4414,$I4414,$J4414)=0,"",IF($M4414=0,"✖ كود الصف غير موجود",IF(ISNA(MATCH($F4414,Lists!$A$2:$A$5,0)),"✖ الفترة غير صحيحة",IF(ISNA(MATCH($G4414,Lists!$B$2:$B$7,0)),"✖ المجموعة غير صحيحة",IF(NOT(OR($H4414="",$N4414&gt;0)),"✖ Start غير صحيح",IF(NOT(OR($I4414="",$I4414="NR",$O4414&gt;0)),"✖ Current غير صحيح",IF(NOT(IF(ISNUMBER($J4414),AND($J4414&gt;=0,$J4414=INT($J4414)),FALSE())),"✖ العدد يجب أن يكون صحيحًا ≥ 0",IF(AND($F4414="Baseline",$H4414&lt;&gt;""),"⚠ Baseline: Start لا يدخل في التقدم",IF($K4414="No Start (attainment only)","ℹ تحصيل فقط (بدون Start)",IF($K4414="U – needs rule","ℹ حالة U تحتاج قاعدة معتمدة",IF($K4414="No result","ℹ بدون نتيجة (يُستبعد من التحصيل)","OK")))))))))))</f>
        <v/>
      </c>
      <c r="M4414" s="64" t="n">
        <f aca="false">IF($A4414="",0,IFERROR(MATCH($A4414,Classes!$A$6:$A$420,0),0))</f>
        <v>0</v>
      </c>
      <c r="N4414" s="64" t="n">
        <f aca="false">IF($H4414="",0,IFERROR(MATCH($H4414,GradeList,0),0))</f>
        <v>0</v>
      </c>
      <c r="O4414" s="64" t="n">
        <f aca="false">IF(OR($I4414="",$I4414="NR"),0,IFERROR(MATCH($I4414,GradeList,0),0))</f>
        <v>0</v>
      </c>
      <c r="P4414" s="64" t="n">
        <f aca="false">IF(AND($M4414&gt;0,ISNUMBER(MATCH($F4414,Lists!$A$2:$A$5,0)),ISNUMBER(MATCH($G4414,Lists!$B$2:$B$7,0)),OR($H4414="",$N4414&gt;0),OR($I4414="",$I4414="NR",$O4414&gt;0),IF(ISNUMBER($J4414),AND($J4414&gt;=0,$J4414=INT($J4414)),FALSE())),$J4414,0)</f>
        <v>0</v>
      </c>
      <c r="Q4414" s="64" t="n">
        <f aca="false">IF(AND($P4414&gt;0,$O4414&gt;0),$P4414,0)</f>
        <v>0</v>
      </c>
      <c r="R4414" s="64" t="n">
        <f aca="false">IF(AND($Q4414&gt;0,$O4414&gt;=AtRank),$Q4414,0)</f>
        <v>0</v>
      </c>
      <c r="S4414" s="64" t="n">
        <f aca="false">IF(AND($Q4414&gt;0,$O4414&gt;=AboveRank),$Q4414,0)</f>
        <v>0</v>
      </c>
      <c r="T4414" s="64" t="n">
        <f aca="false">IF($K4414="Less",$P4414,0)</f>
        <v>0</v>
      </c>
      <c r="U4414" s="64" t="n">
        <f aca="false">IF($K4414="Expected",$P4414,0)</f>
        <v>0</v>
      </c>
      <c r="V4414" s="64" t="n">
        <f aca="false">IF($K4414="Better",$P4414,0)</f>
        <v>0</v>
      </c>
      <c r="W4414" s="64" t="n">
        <f aca="false">IF($K4414="U – needs rule",$P4414,0)</f>
        <v>0</v>
      </c>
      <c r="X4414" s="64" t="n">
        <f aca="false">IF($K4414="No Start (attainment only)",$P4414,0)</f>
        <v>0</v>
      </c>
    </row>
    <row r="4415" customFormat="false" ht="15" hidden="false" customHeight="false" outlineLevel="0" collapsed="false">
      <c r="A4415" s="60"/>
      <c r="B4415" s="61" t="str">
        <f aca="false">IF($M4415=0,"",INDEX(Classes!$E$6:$E$420,$M4415))</f>
        <v/>
      </c>
      <c r="C4415" s="62" t="str">
        <f aca="false">IF($M4415=0,"",INDEX(Classes!$H$6:$H$420,$M4415))</f>
        <v/>
      </c>
      <c r="D4415" s="61" t="str">
        <f aca="false">IF($M4415=0,"",INDEX(Classes!$B$6:$B$420,$M4415))</f>
        <v/>
      </c>
      <c r="E4415" s="61" t="str">
        <f aca="false">IF($M4415=0,"",INDEX(Classes!$C$6:$C$420,$M4415))</f>
        <v/>
      </c>
      <c r="F4415" s="63"/>
      <c r="G4415" s="63"/>
      <c r="H4415" s="60"/>
      <c r="I4415" s="60"/>
      <c r="J4415" s="63"/>
      <c r="K4415" s="61" t="str">
        <f aca="false">IF($P4415=0,"",IF($F4415="Baseline","— Baseline",IF($O4415=0,"No result",IF($N4415=0,"No Start (attainment only)",IF(OR($N4415=1,$O4415=1),"U – needs rule",INDEX(MxBody,MATCH($I4415,MxCurr,0),MATCH($H4415,MxStart,0)))))))</f>
        <v/>
      </c>
      <c r="L4415" s="62" t="str">
        <f aca="false">IF(COUNTA($A4415,$F4415,$G4415,$H4415,$I4415,$J4415)=0,"",IF($M4415=0,"✖ كود الصف غير موجود",IF(ISNA(MATCH($F4415,Lists!$A$2:$A$5,0)),"✖ الفترة غير صحيحة",IF(ISNA(MATCH($G4415,Lists!$B$2:$B$7,0)),"✖ المجموعة غير صحيحة",IF(NOT(OR($H4415="",$N4415&gt;0)),"✖ Start غير صحيح",IF(NOT(OR($I4415="",$I4415="NR",$O4415&gt;0)),"✖ Current غير صحيح",IF(NOT(IF(ISNUMBER($J4415),AND($J4415&gt;=0,$J4415=INT($J4415)),FALSE())),"✖ العدد يجب أن يكون صحيحًا ≥ 0",IF(AND($F4415="Baseline",$H4415&lt;&gt;""),"⚠ Baseline: Start لا يدخل في التقدم",IF($K4415="No Start (attainment only)","ℹ تحصيل فقط (بدون Start)",IF($K4415="U – needs rule","ℹ حالة U تحتاج قاعدة معتمدة",IF($K4415="No result","ℹ بدون نتيجة (يُستبعد من التحصيل)","OK")))))))))))</f>
        <v/>
      </c>
      <c r="M4415" s="64" t="n">
        <f aca="false">IF($A4415="",0,IFERROR(MATCH($A4415,Classes!$A$6:$A$420,0),0))</f>
        <v>0</v>
      </c>
      <c r="N4415" s="64" t="n">
        <f aca="false">IF($H4415="",0,IFERROR(MATCH($H4415,GradeList,0),0))</f>
        <v>0</v>
      </c>
      <c r="O4415" s="64" t="n">
        <f aca="false">IF(OR($I4415="",$I4415="NR"),0,IFERROR(MATCH($I4415,GradeList,0),0))</f>
        <v>0</v>
      </c>
      <c r="P4415" s="64" t="n">
        <f aca="false">IF(AND($M4415&gt;0,ISNUMBER(MATCH($F4415,Lists!$A$2:$A$5,0)),ISNUMBER(MATCH($G4415,Lists!$B$2:$B$7,0)),OR($H4415="",$N4415&gt;0),OR($I4415="",$I4415="NR",$O4415&gt;0),IF(ISNUMBER($J4415),AND($J4415&gt;=0,$J4415=INT($J4415)),FALSE())),$J4415,0)</f>
        <v>0</v>
      </c>
      <c r="Q4415" s="64" t="n">
        <f aca="false">IF(AND($P4415&gt;0,$O4415&gt;0),$P4415,0)</f>
        <v>0</v>
      </c>
      <c r="R4415" s="64" t="n">
        <f aca="false">IF(AND($Q4415&gt;0,$O4415&gt;=AtRank),$Q4415,0)</f>
        <v>0</v>
      </c>
      <c r="S4415" s="64" t="n">
        <f aca="false">IF(AND($Q4415&gt;0,$O4415&gt;=AboveRank),$Q4415,0)</f>
        <v>0</v>
      </c>
      <c r="T4415" s="64" t="n">
        <f aca="false">IF($K4415="Less",$P4415,0)</f>
        <v>0</v>
      </c>
      <c r="U4415" s="64" t="n">
        <f aca="false">IF($K4415="Expected",$P4415,0)</f>
        <v>0</v>
      </c>
      <c r="V4415" s="64" t="n">
        <f aca="false">IF($K4415="Better",$P4415,0)</f>
        <v>0</v>
      </c>
      <c r="W4415" s="64" t="n">
        <f aca="false">IF($K4415="U – needs rule",$P4415,0)</f>
        <v>0</v>
      </c>
      <c r="X4415" s="64" t="n">
        <f aca="false">IF($K4415="No Start (attainment only)",$P4415,0)</f>
        <v>0</v>
      </c>
    </row>
    <row r="4416" customFormat="false" ht="15" hidden="false" customHeight="false" outlineLevel="0" collapsed="false">
      <c r="A4416" s="60"/>
      <c r="B4416" s="61" t="str">
        <f aca="false">IF($M4416=0,"",INDEX(Classes!$E$6:$E$420,$M4416))</f>
        <v/>
      </c>
      <c r="C4416" s="62" t="str">
        <f aca="false">IF($M4416=0,"",INDEX(Classes!$H$6:$H$420,$M4416))</f>
        <v/>
      </c>
      <c r="D4416" s="61" t="str">
        <f aca="false">IF($M4416=0,"",INDEX(Classes!$B$6:$B$420,$M4416))</f>
        <v/>
      </c>
      <c r="E4416" s="61" t="str">
        <f aca="false">IF($M4416=0,"",INDEX(Classes!$C$6:$C$420,$M4416))</f>
        <v/>
      </c>
      <c r="F4416" s="63"/>
      <c r="G4416" s="63"/>
      <c r="H4416" s="60"/>
      <c r="I4416" s="60"/>
      <c r="J4416" s="63"/>
      <c r="K4416" s="61" t="str">
        <f aca="false">IF($P4416=0,"",IF($F4416="Baseline","— Baseline",IF($O4416=0,"No result",IF($N4416=0,"No Start (attainment only)",IF(OR($N4416=1,$O4416=1),"U – needs rule",INDEX(MxBody,MATCH($I4416,MxCurr,0),MATCH($H4416,MxStart,0)))))))</f>
        <v/>
      </c>
      <c r="L4416" s="62" t="str">
        <f aca="false">IF(COUNTA($A4416,$F4416,$G4416,$H4416,$I4416,$J4416)=0,"",IF($M4416=0,"✖ كود الصف غير موجود",IF(ISNA(MATCH($F4416,Lists!$A$2:$A$5,0)),"✖ الفترة غير صحيحة",IF(ISNA(MATCH($G4416,Lists!$B$2:$B$7,0)),"✖ المجموعة غير صحيحة",IF(NOT(OR($H4416="",$N4416&gt;0)),"✖ Start غير صحيح",IF(NOT(OR($I4416="",$I4416="NR",$O4416&gt;0)),"✖ Current غير صحيح",IF(NOT(IF(ISNUMBER($J4416),AND($J4416&gt;=0,$J4416=INT($J4416)),FALSE())),"✖ العدد يجب أن يكون صحيحًا ≥ 0",IF(AND($F4416="Baseline",$H4416&lt;&gt;""),"⚠ Baseline: Start لا يدخل في التقدم",IF($K4416="No Start (attainment only)","ℹ تحصيل فقط (بدون Start)",IF($K4416="U – needs rule","ℹ حالة U تحتاج قاعدة معتمدة",IF($K4416="No result","ℹ بدون نتيجة (يُستبعد من التحصيل)","OK")))))))))))</f>
        <v/>
      </c>
      <c r="M4416" s="64" t="n">
        <f aca="false">IF($A4416="",0,IFERROR(MATCH($A4416,Classes!$A$6:$A$420,0),0))</f>
        <v>0</v>
      </c>
      <c r="N4416" s="64" t="n">
        <f aca="false">IF($H4416="",0,IFERROR(MATCH($H4416,GradeList,0),0))</f>
        <v>0</v>
      </c>
      <c r="O4416" s="64" t="n">
        <f aca="false">IF(OR($I4416="",$I4416="NR"),0,IFERROR(MATCH($I4416,GradeList,0),0))</f>
        <v>0</v>
      </c>
      <c r="P4416" s="64" t="n">
        <f aca="false">IF(AND($M4416&gt;0,ISNUMBER(MATCH($F4416,Lists!$A$2:$A$5,0)),ISNUMBER(MATCH($G4416,Lists!$B$2:$B$7,0)),OR($H4416="",$N4416&gt;0),OR($I4416="",$I4416="NR",$O4416&gt;0),IF(ISNUMBER($J4416),AND($J4416&gt;=0,$J4416=INT($J4416)),FALSE())),$J4416,0)</f>
        <v>0</v>
      </c>
      <c r="Q4416" s="64" t="n">
        <f aca="false">IF(AND($P4416&gt;0,$O4416&gt;0),$P4416,0)</f>
        <v>0</v>
      </c>
      <c r="R4416" s="64" t="n">
        <f aca="false">IF(AND($Q4416&gt;0,$O4416&gt;=AtRank),$Q4416,0)</f>
        <v>0</v>
      </c>
      <c r="S4416" s="64" t="n">
        <f aca="false">IF(AND($Q4416&gt;0,$O4416&gt;=AboveRank),$Q4416,0)</f>
        <v>0</v>
      </c>
      <c r="T4416" s="64" t="n">
        <f aca="false">IF($K4416="Less",$P4416,0)</f>
        <v>0</v>
      </c>
      <c r="U4416" s="64" t="n">
        <f aca="false">IF($K4416="Expected",$P4416,0)</f>
        <v>0</v>
      </c>
      <c r="V4416" s="64" t="n">
        <f aca="false">IF($K4416="Better",$P4416,0)</f>
        <v>0</v>
      </c>
      <c r="W4416" s="64" t="n">
        <f aca="false">IF($K4416="U – needs rule",$P4416,0)</f>
        <v>0</v>
      </c>
      <c r="X4416" s="64" t="n">
        <f aca="false">IF($K4416="No Start (attainment only)",$P4416,0)</f>
        <v>0</v>
      </c>
    </row>
    <row r="4417" customFormat="false" ht="15" hidden="false" customHeight="false" outlineLevel="0" collapsed="false">
      <c r="A4417" s="60"/>
      <c r="B4417" s="61" t="str">
        <f aca="false">IF($M4417=0,"",INDEX(Classes!$E$6:$E$420,$M4417))</f>
        <v/>
      </c>
      <c r="C4417" s="62" t="str">
        <f aca="false">IF($M4417=0,"",INDEX(Classes!$H$6:$H$420,$M4417))</f>
        <v/>
      </c>
      <c r="D4417" s="61" t="str">
        <f aca="false">IF($M4417=0,"",INDEX(Classes!$B$6:$B$420,$M4417))</f>
        <v/>
      </c>
      <c r="E4417" s="61" t="str">
        <f aca="false">IF($M4417=0,"",INDEX(Classes!$C$6:$C$420,$M4417))</f>
        <v/>
      </c>
      <c r="F4417" s="63"/>
      <c r="G4417" s="63"/>
      <c r="H4417" s="60"/>
      <c r="I4417" s="60"/>
      <c r="J4417" s="63"/>
      <c r="K4417" s="61" t="str">
        <f aca="false">IF($P4417=0,"",IF($F4417="Baseline","— Baseline",IF($O4417=0,"No result",IF($N4417=0,"No Start (attainment only)",IF(OR($N4417=1,$O4417=1),"U – needs rule",INDEX(MxBody,MATCH($I4417,MxCurr,0),MATCH($H4417,MxStart,0)))))))</f>
        <v/>
      </c>
      <c r="L4417" s="62" t="str">
        <f aca="false">IF(COUNTA($A4417,$F4417,$G4417,$H4417,$I4417,$J4417)=0,"",IF($M4417=0,"✖ كود الصف غير موجود",IF(ISNA(MATCH($F4417,Lists!$A$2:$A$5,0)),"✖ الفترة غير صحيحة",IF(ISNA(MATCH($G4417,Lists!$B$2:$B$7,0)),"✖ المجموعة غير صحيحة",IF(NOT(OR($H4417="",$N4417&gt;0)),"✖ Start غير صحيح",IF(NOT(OR($I4417="",$I4417="NR",$O4417&gt;0)),"✖ Current غير صحيح",IF(NOT(IF(ISNUMBER($J4417),AND($J4417&gt;=0,$J4417=INT($J4417)),FALSE())),"✖ العدد يجب أن يكون صحيحًا ≥ 0",IF(AND($F4417="Baseline",$H4417&lt;&gt;""),"⚠ Baseline: Start لا يدخل في التقدم",IF($K4417="No Start (attainment only)","ℹ تحصيل فقط (بدون Start)",IF($K4417="U – needs rule","ℹ حالة U تحتاج قاعدة معتمدة",IF($K4417="No result","ℹ بدون نتيجة (يُستبعد من التحصيل)","OK")))))))))))</f>
        <v/>
      </c>
      <c r="M4417" s="64" t="n">
        <f aca="false">IF($A4417="",0,IFERROR(MATCH($A4417,Classes!$A$6:$A$420,0),0))</f>
        <v>0</v>
      </c>
      <c r="N4417" s="64" t="n">
        <f aca="false">IF($H4417="",0,IFERROR(MATCH($H4417,GradeList,0),0))</f>
        <v>0</v>
      </c>
      <c r="O4417" s="64" t="n">
        <f aca="false">IF(OR($I4417="",$I4417="NR"),0,IFERROR(MATCH($I4417,GradeList,0),0))</f>
        <v>0</v>
      </c>
      <c r="P4417" s="64" t="n">
        <f aca="false">IF(AND($M4417&gt;0,ISNUMBER(MATCH($F4417,Lists!$A$2:$A$5,0)),ISNUMBER(MATCH($G4417,Lists!$B$2:$B$7,0)),OR($H4417="",$N4417&gt;0),OR($I4417="",$I4417="NR",$O4417&gt;0),IF(ISNUMBER($J4417),AND($J4417&gt;=0,$J4417=INT($J4417)),FALSE())),$J4417,0)</f>
        <v>0</v>
      </c>
      <c r="Q4417" s="64" t="n">
        <f aca="false">IF(AND($P4417&gt;0,$O4417&gt;0),$P4417,0)</f>
        <v>0</v>
      </c>
      <c r="R4417" s="64" t="n">
        <f aca="false">IF(AND($Q4417&gt;0,$O4417&gt;=AtRank),$Q4417,0)</f>
        <v>0</v>
      </c>
      <c r="S4417" s="64" t="n">
        <f aca="false">IF(AND($Q4417&gt;0,$O4417&gt;=AboveRank),$Q4417,0)</f>
        <v>0</v>
      </c>
      <c r="T4417" s="64" t="n">
        <f aca="false">IF($K4417="Less",$P4417,0)</f>
        <v>0</v>
      </c>
      <c r="U4417" s="64" t="n">
        <f aca="false">IF($K4417="Expected",$P4417,0)</f>
        <v>0</v>
      </c>
      <c r="V4417" s="64" t="n">
        <f aca="false">IF($K4417="Better",$P4417,0)</f>
        <v>0</v>
      </c>
      <c r="W4417" s="64" t="n">
        <f aca="false">IF($K4417="U – needs rule",$P4417,0)</f>
        <v>0</v>
      </c>
      <c r="X4417" s="64" t="n">
        <f aca="false">IF($K4417="No Start (attainment only)",$P4417,0)</f>
        <v>0</v>
      </c>
    </row>
    <row r="4418" customFormat="false" ht="15" hidden="false" customHeight="false" outlineLevel="0" collapsed="false">
      <c r="A4418" s="60"/>
      <c r="B4418" s="61" t="str">
        <f aca="false">IF($M4418=0,"",INDEX(Classes!$E$6:$E$420,$M4418))</f>
        <v/>
      </c>
      <c r="C4418" s="62" t="str">
        <f aca="false">IF($M4418=0,"",INDEX(Classes!$H$6:$H$420,$M4418))</f>
        <v/>
      </c>
      <c r="D4418" s="61" t="str">
        <f aca="false">IF($M4418=0,"",INDEX(Classes!$B$6:$B$420,$M4418))</f>
        <v/>
      </c>
      <c r="E4418" s="61" t="str">
        <f aca="false">IF($M4418=0,"",INDEX(Classes!$C$6:$C$420,$M4418))</f>
        <v/>
      </c>
      <c r="F4418" s="63"/>
      <c r="G4418" s="63"/>
      <c r="H4418" s="60"/>
      <c r="I4418" s="60"/>
      <c r="J4418" s="63"/>
      <c r="K4418" s="61" t="str">
        <f aca="false">IF($P4418=0,"",IF($F4418="Baseline","— Baseline",IF($O4418=0,"No result",IF($N4418=0,"No Start (attainment only)",IF(OR($N4418=1,$O4418=1),"U – needs rule",INDEX(MxBody,MATCH($I4418,MxCurr,0),MATCH($H4418,MxStart,0)))))))</f>
        <v/>
      </c>
      <c r="L4418" s="62" t="str">
        <f aca="false">IF(COUNTA($A4418,$F4418,$G4418,$H4418,$I4418,$J4418)=0,"",IF($M4418=0,"✖ كود الصف غير موجود",IF(ISNA(MATCH($F4418,Lists!$A$2:$A$5,0)),"✖ الفترة غير صحيحة",IF(ISNA(MATCH($G4418,Lists!$B$2:$B$7,0)),"✖ المجموعة غير صحيحة",IF(NOT(OR($H4418="",$N4418&gt;0)),"✖ Start غير صحيح",IF(NOT(OR($I4418="",$I4418="NR",$O4418&gt;0)),"✖ Current غير صحيح",IF(NOT(IF(ISNUMBER($J4418),AND($J4418&gt;=0,$J4418=INT($J4418)),FALSE())),"✖ العدد يجب أن يكون صحيحًا ≥ 0",IF(AND($F4418="Baseline",$H4418&lt;&gt;""),"⚠ Baseline: Start لا يدخل في التقدم",IF($K4418="No Start (attainment only)","ℹ تحصيل فقط (بدون Start)",IF($K4418="U – needs rule","ℹ حالة U تحتاج قاعدة معتمدة",IF($K4418="No result","ℹ بدون نتيجة (يُستبعد من التحصيل)","OK")))))))))))</f>
        <v/>
      </c>
      <c r="M4418" s="64" t="n">
        <f aca="false">IF($A4418="",0,IFERROR(MATCH($A4418,Classes!$A$6:$A$420,0),0))</f>
        <v>0</v>
      </c>
      <c r="N4418" s="64" t="n">
        <f aca="false">IF($H4418="",0,IFERROR(MATCH($H4418,GradeList,0),0))</f>
        <v>0</v>
      </c>
      <c r="O4418" s="64" t="n">
        <f aca="false">IF(OR($I4418="",$I4418="NR"),0,IFERROR(MATCH($I4418,GradeList,0),0))</f>
        <v>0</v>
      </c>
      <c r="P4418" s="64" t="n">
        <f aca="false">IF(AND($M4418&gt;0,ISNUMBER(MATCH($F4418,Lists!$A$2:$A$5,0)),ISNUMBER(MATCH($G4418,Lists!$B$2:$B$7,0)),OR($H4418="",$N4418&gt;0),OR($I4418="",$I4418="NR",$O4418&gt;0),IF(ISNUMBER($J4418),AND($J4418&gt;=0,$J4418=INT($J4418)),FALSE())),$J4418,0)</f>
        <v>0</v>
      </c>
      <c r="Q4418" s="64" t="n">
        <f aca="false">IF(AND($P4418&gt;0,$O4418&gt;0),$P4418,0)</f>
        <v>0</v>
      </c>
      <c r="R4418" s="64" t="n">
        <f aca="false">IF(AND($Q4418&gt;0,$O4418&gt;=AtRank),$Q4418,0)</f>
        <v>0</v>
      </c>
      <c r="S4418" s="64" t="n">
        <f aca="false">IF(AND($Q4418&gt;0,$O4418&gt;=AboveRank),$Q4418,0)</f>
        <v>0</v>
      </c>
      <c r="T4418" s="64" t="n">
        <f aca="false">IF($K4418="Less",$P4418,0)</f>
        <v>0</v>
      </c>
      <c r="U4418" s="64" t="n">
        <f aca="false">IF($K4418="Expected",$P4418,0)</f>
        <v>0</v>
      </c>
      <c r="V4418" s="64" t="n">
        <f aca="false">IF($K4418="Better",$P4418,0)</f>
        <v>0</v>
      </c>
      <c r="W4418" s="64" t="n">
        <f aca="false">IF($K4418="U – needs rule",$P4418,0)</f>
        <v>0</v>
      </c>
      <c r="X4418" s="64" t="n">
        <f aca="false">IF($K4418="No Start (attainment only)",$P4418,0)</f>
        <v>0</v>
      </c>
    </row>
    <row r="4419" customFormat="false" ht="15" hidden="false" customHeight="false" outlineLevel="0" collapsed="false">
      <c r="A4419" s="60"/>
      <c r="B4419" s="61" t="str">
        <f aca="false">IF($M4419=0,"",INDEX(Classes!$E$6:$E$420,$M4419))</f>
        <v/>
      </c>
      <c r="C4419" s="62" t="str">
        <f aca="false">IF($M4419=0,"",INDEX(Classes!$H$6:$H$420,$M4419))</f>
        <v/>
      </c>
      <c r="D4419" s="61" t="str">
        <f aca="false">IF($M4419=0,"",INDEX(Classes!$B$6:$B$420,$M4419))</f>
        <v/>
      </c>
      <c r="E4419" s="61" t="str">
        <f aca="false">IF($M4419=0,"",INDEX(Classes!$C$6:$C$420,$M4419))</f>
        <v/>
      </c>
      <c r="F4419" s="63"/>
      <c r="G4419" s="63"/>
      <c r="H4419" s="60"/>
      <c r="I4419" s="60"/>
      <c r="J4419" s="63"/>
      <c r="K4419" s="61" t="str">
        <f aca="false">IF($P4419=0,"",IF($F4419="Baseline","— Baseline",IF($O4419=0,"No result",IF($N4419=0,"No Start (attainment only)",IF(OR($N4419=1,$O4419=1),"U – needs rule",INDEX(MxBody,MATCH($I4419,MxCurr,0),MATCH($H4419,MxStart,0)))))))</f>
        <v/>
      </c>
      <c r="L4419" s="62" t="str">
        <f aca="false">IF(COUNTA($A4419,$F4419,$G4419,$H4419,$I4419,$J4419)=0,"",IF($M4419=0,"✖ كود الصف غير موجود",IF(ISNA(MATCH($F4419,Lists!$A$2:$A$5,0)),"✖ الفترة غير صحيحة",IF(ISNA(MATCH($G4419,Lists!$B$2:$B$7,0)),"✖ المجموعة غير صحيحة",IF(NOT(OR($H4419="",$N4419&gt;0)),"✖ Start غير صحيح",IF(NOT(OR($I4419="",$I4419="NR",$O4419&gt;0)),"✖ Current غير صحيح",IF(NOT(IF(ISNUMBER($J4419),AND($J4419&gt;=0,$J4419=INT($J4419)),FALSE())),"✖ العدد يجب أن يكون صحيحًا ≥ 0",IF(AND($F4419="Baseline",$H4419&lt;&gt;""),"⚠ Baseline: Start لا يدخل في التقدم",IF($K4419="No Start (attainment only)","ℹ تحصيل فقط (بدون Start)",IF($K4419="U – needs rule","ℹ حالة U تحتاج قاعدة معتمدة",IF($K4419="No result","ℹ بدون نتيجة (يُستبعد من التحصيل)","OK")))))))))))</f>
        <v/>
      </c>
      <c r="M4419" s="64" t="n">
        <f aca="false">IF($A4419="",0,IFERROR(MATCH($A4419,Classes!$A$6:$A$420,0),0))</f>
        <v>0</v>
      </c>
      <c r="N4419" s="64" t="n">
        <f aca="false">IF($H4419="",0,IFERROR(MATCH($H4419,GradeList,0),0))</f>
        <v>0</v>
      </c>
      <c r="O4419" s="64" t="n">
        <f aca="false">IF(OR($I4419="",$I4419="NR"),0,IFERROR(MATCH($I4419,GradeList,0),0))</f>
        <v>0</v>
      </c>
      <c r="P4419" s="64" t="n">
        <f aca="false">IF(AND($M4419&gt;0,ISNUMBER(MATCH($F4419,Lists!$A$2:$A$5,0)),ISNUMBER(MATCH($G4419,Lists!$B$2:$B$7,0)),OR($H4419="",$N4419&gt;0),OR($I4419="",$I4419="NR",$O4419&gt;0),IF(ISNUMBER($J4419),AND($J4419&gt;=0,$J4419=INT($J4419)),FALSE())),$J4419,0)</f>
        <v>0</v>
      </c>
      <c r="Q4419" s="64" t="n">
        <f aca="false">IF(AND($P4419&gt;0,$O4419&gt;0),$P4419,0)</f>
        <v>0</v>
      </c>
      <c r="R4419" s="64" t="n">
        <f aca="false">IF(AND($Q4419&gt;0,$O4419&gt;=AtRank),$Q4419,0)</f>
        <v>0</v>
      </c>
      <c r="S4419" s="64" t="n">
        <f aca="false">IF(AND($Q4419&gt;0,$O4419&gt;=AboveRank),$Q4419,0)</f>
        <v>0</v>
      </c>
      <c r="T4419" s="64" t="n">
        <f aca="false">IF($K4419="Less",$P4419,0)</f>
        <v>0</v>
      </c>
      <c r="U4419" s="64" t="n">
        <f aca="false">IF($K4419="Expected",$P4419,0)</f>
        <v>0</v>
      </c>
      <c r="V4419" s="64" t="n">
        <f aca="false">IF($K4419="Better",$P4419,0)</f>
        <v>0</v>
      </c>
      <c r="W4419" s="64" t="n">
        <f aca="false">IF($K4419="U – needs rule",$P4419,0)</f>
        <v>0</v>
      </c>
      <c r="X4419" s="64" t="n">
        <f aca="false">IF($K4419="No Start (attainment only)",$P4419,0)</f>
        <v>0</v>
      </c>
    </row>
    <row r="4420" customFormat="false" ht="15" hidden="false" customHeight="false" outlineLevel="0" collapsed="false">
      <c r="A4420" s="60"/>
      <c r="B4420" s="61" t="str">
        <f aca="false">IF($M4420=0,"",INDEX(Classes!$E$6:$E$420,$M4420))</f>
        <v/>
      </c>
      <c r="C4420" s="62" t="str">
        <f aca="false">IF($M4420=0,"",INDEX(Classes!$H$6:$H$420,$M4420))</f>
        <v/>
      </c>
      <c r="D4420" s="61" t="str">
        <f aca="false">IF($M4420=0,"",INDEX(Classes!$B$6:$B$420,$M4420))</f>
        <v/>
      </c>
      <c r="E4420" s="61" t="str">
        <f aca="false">IF($M4420=0,"",INDEX(Classes!$C$6:$C$420,$M4420))</f>
        <v/>
      </c>
      <c r="F4420" s="63"/>
      <c r="G4420" s="63"/>
      <c r="H4420" s="60"/>
      <c r="I4420" s="60"/>
      <c r="J4420" s="63"/>
      <c r="K4420" s="61" t="str">
        <f aca="false">IF($P4420=0,"",IF($F4420="Baseline","— Baseline",IF($O4420=0,"No result",IF($N4420=0,"No Start (attainment only)",IF(OR($N4420=1,$O4420=1),"U – needs rule",INDEX(MxBody,MATCH($I4420,MxCurr,0),MATCH($H4420,MxStart,0)))))))</f>
        <v/>
      </c>
      <c r="L4420" s="62" t="str">
        <f aca="false">IF(COUNTA($A4420,$F4420,$G4420,$H4420,$I4420,$J4420)=0,"",IF($M4420=0,"✖ كود الصف غير موجود",IF(ISNA(MATCH($F4420,Lists!$A$2:$A$5,0)),"✖ الفترة غير صحيحة",IF(ISNA(MATCH($G4420,Lists!$B$2:$B$7,0)),"✖ المجموعة غير صحيحة",IF(NOT(OR($H4420="",$N4420&gt;0)),"✖ Start غير صحيح",IF(NOT(OR($I4420="",$I4420="NR",$O4420&gt;0)),"✖ Current غير صحيح",IF(NOT(IF(ISNUMBER($J4420),AND($J4420&gt;=0,$J4420=INT($J4420)),FALSE())),"✖ العدد يجب أن يكون صحيحًا ≥ 0",IF(AND($F4420="Baseline",$H4420&lt;&gt;""),"⚠ Baseline: Start لا يدخل في التقدم",IF($K4420="No Start (attainment only)","ℹ تحصيل فقط (بدون Start)",IF($K4420="U – needs rule","ℹ حالة U تحتاج قاعدة معتمدة",IF($K4420="No result","ℹ بدون نتيجة (يُستبعد من التحصيل)","OK")))))))))))</f>
        <v/>
      </c>
      <c r="M4420" s="64" t="n">
        <f aca="false">IF($A4420="",0,IFERROR(MATCH($A4420,Classes!$A$6:$A$420,0),0))</f>
        <v>0</v>
      </c>
      <c r="N4420" s="64" t="n">
        <f aca="false">IF($H4420="",0,IFERROR(MATCH($H4420,GradeList,0),0))</f>
        <v>0</v>
      </c>
      <c r="O4420" s="64" t="n">
        <f aca="false">IF(OR($I4420="",$I4420="NR"),0,IFERROR(MATCH($I4420,GradeList,0),0))</f>
        <v>0</v>
      </c>
      <c r="P4420" s="64" t="n">
        <f aca="false">IF(AND($M4420&gt;0,ISNUMBER(MATCH($F4420,Lists!$A$2:$A$5,0)),ISNUMBER(MATCH($G4420,Lists!$B$2:$B$7,0)),OR($H4420="",$N4420&gt;0),OR($I4420="",$I4420="NR",$O4420&gt;0),IF(ISNUMBER($J4420),AND($J4420&gt;=0,$J4420=INT($J4420)),FALSE())),$J4420,0)</f>
        <v>0</v>
      </c>
      <c r="Q4420" s="64" t="n">
        <f aca="false">IF(AND($P4420&gt;0,$O4420&gt;0),$P4420,0)</f>
        <v>0</v>
      </c>
      <c r="R4420" s="64" t="n">
        <f aca="false">IF(AND($Q4420&gt;0,$O4420&gt;=AtRank),$Q4420,0)</f>
        <v>0</v>
      </c>
      <c r="S4420" s="64" t="n">
        <f aca="false">IF(AND($Q4420&gt;0,$O4420&gt;=AboveRank),$Q4420,0)</f>
        <v>0</v>
      </c>
      <c r="T4420" s="64" t="n">
        <f aca="false">IF($K4420="Less",$P4420,0)</f>
        <v>0</v>
      </c>
      <c r="U4420" s="64" t="n">
        <f aca="false">IF($K4420="Expected",$P4420,0)</f>
        <v>0</v>
      </c>
      <c r="V4420" s="64" t="n">
        <f aca="false">IF($K4420="Better",$P4420,0)</f>
        <v>0</v>
      </c>
      <c r="W4420" s="64" t="n">
        <f aca="false">IF($K4420="U – needs rule",$P4420,0)</f>
        <v>0</v>
      </c>
      <c r="X4420" s="64" t="n">
        <f aca="false">IF($K4420="No Start (attainment only)",$P4420,0)</f>
        <v>0</v>
      </c>
    </row>
    <row r="4421" customFormat="false" ht="15" hidden="false" customHeight="false" outlineLevel="0" collapsed="false">
      <c r="A4421" s="60"/>
      <c r="B4421" s="61" t="str">
        <f aca="false">IF($M4421=0,"",INDEX(Classes!$E$6:$E$420,$M4421))</f>
        <v/>
      </c>
      <c r="C4421" s="62" t="str">
        <f aca="false">IF($M4421=0,"",INDEX(Classes!$H$6:$H$420,$M4421))</f>
        <v/>
      </c>
      <c r="D4421" s="61" t="str">
        <f aca="false">IF($M4421=0,"",INDEX(Classes!$B$6:$B$420,$M4421))</f>
        <v/>
      </c>
      <c r="E4421" s="61" t="str">
        <f aca="false">IF($M4421=0,"",INDEX(Classes!$C$6:$C$420,$M4421))</f>
        <v/>
      </c>
      <c r="F4421" s="63"/>
      <c r="G4421" s="63"/>
      <c r="H4421" s="60"/>
      <c r="I4421" s="60"/>
      <c r="J4421" s="63"/>
      <c r="K4421" s="61" t="str">
        <f aca="false">IF($P4421=0,"",IF($F4421="Baseline","— Baseline",IF($O4421=0,"No result",IF($N4421=0,"No Start (attainment only)",IF(OR($N4421=1,$O4421=1),"U – needs rule",INDEX(MxBody,MATCH($I4421,MxCurr,0),MATCH($H4421,MxStart,0)))))))</f>
        <v/>
      </c>
      <c r="L4421" s="62" t="str">
        <f aca="false">IF(COUNTA($A4421,$F4421,$G4421,$H4421,$I4421,$J4421)=0,"",IF($M4421=0,"✖ كود الصف غير موجود",IF(ISNA(MATCH($F4421,Lists!$A$2:$A$5,0)),"✖ الفترة غير صحيحة",IF(ISNA(MATCH($G4421,Lists!$B$2:$B$7,0)),"✖ المجموعة غير صحيحة",IF(NOT(OR($H4421="",$N4421&gt;0)),"✖ Start غير صحيح",IF(NOT(OR($I4421="",$I4421="NR",$O4421&gt;0)),"✖ Current غير صحيح",IF(NOT(IF(ISNUMBER($J4421),AND($J4421&gt;=0,$J4421=INT($J4421)),FALSE())),"✖ العدد يجب أن يكون صحيحًا ≥ 0",IF(AND($F4421="Baseline",$H4421&lt;&gt;""),"⚠ Baseline: Start لا يدخل في التقدم",IF($K4421="No Start (attainment only)","ℹ تحصيل فقط (بدون Start)",IF($K4421="U – needs rule","ℹ حالة U تحتاج قاعدة معتمدة",IF($K4421="No result","ℹ بدون نتيجة (يُستبعد من التحصيل)","OK")))))))))))</f>
        <v/>
      </c>
      <c r="M4421" s="64" t="n">
        <f aca="false">IF($A4421="",0,IFERROR(MATCH($A4421,Classes!$A$6:$A$420,0),0))</f>
        <v>0</v>
      </c>
      <c r="N4421" s="64" t="n">
        <f aca="false">IF($H4421="",0,IFERROR(MATCH($H4421,GradeList,0),0))</f>
        <v>0</v>
      </c>
      <c r="O4421" s="64" t="n">
        <f aca="false">IF(OR($I4421="",$I4421="NR"),0,IFERROR(MATCH($I4421,GradeList,0),0))</f>
        <v>0</v>
      </c>
      <c r="P4421" s="64" t="n">
        <f aca="false">IF(AND($M4421&gt;0,ISNUMBER(MATCH($F4421,Lists!$A$2:$A$5,0)),ISNUMBER(MATCH($G4421,Lists!$B$2:$B$7,0)),OR($H4421="",$N4421&gt;0),OR($I4421="",$I4421="NR",$O4421&gt;0),IF(ISNUMBER($J4421),AND($J4421&gt;=0,$J4421=INT($J4421)),FALSE())),$J4421,0)</f>
        <v>0</v>
      </c>
      <c r="Q4421" s="64" t="n">
        <f aca="false">IF(AND($P4421&gt;0,$O4421&gt;0),$P4421,0)</f>
        <v>0</v>
      </c>
      <c r="R4421" s="64" t="n">
        <f aca="false">IF(AND($Q4421&gt;0,$O4421&gt;=AtRank),$Q4421,0)</f>
        <v>0</v>
      </c>
      <c r="S4421" s="64" t="n">
        <f aca="false">IF(AND($Q4421&gt;0,$O4421&gt;=AboveRank),$Q4421,0)</f>
        <v>0</v>
      </c>
      <c r="T4421" s="64" t="n">
        <f aca="false">IF($K4421="Less",$P4421,0)</f>
        <v>0</v>
      </c>
      <c r="U4421" s="64" t="n">
        <f aca="false">IF($K4421="Expected",$P4421,0)</f>
        <v>0</v>
      </c>
      <c r="V4421" s="64" t="n">
        <f aca="false">IF($K4421="Better",$P4421,0)</f>
        <v>0</v>
      </c>
      <c r="W4421" s="64" t="n">
        <f aca="false">IF($K4421="U – needs rule",$P4421,0)</f>
        <v>0</v>
      </c>
      <c r="X4421" s="64" t="n">
        <f aca="false">IF($K4421="No Start (attainment only)",$P4421,0)</f>
        <v>0</v>
      </c>
    </row>
    <row r="4422" customFormat="false" ht="15" hidden="false" customHeight="false" outlineLevel="0" collapsed="false">
      <c r="A4422" s="60"/>
      <c r="B4422" s="61" t="str">
        <f aca="false">IF($M4422=0,"",INDEX(Classes!$E$6:$E$420,$M4422))</f>
        <v/>
      </c>
      <c r="C4422" s="62" t="str">
        <f aca="false">IF($M4422=0,"",INDEX(Classes!$H$6:$H$420,$M4422))</f>
        <v/>
      </c>
      <c r="D4422" s="61" t="str">
        <f aca="false">IF($M4422=0,"",INDEX(Classes!$B$6:$B$420,$M4422))</f>
        <v/>
      </c>
      <c r="E4422" s="61" t="str">
        <f aca="false">IF($M4422=0,"",INDEX(Classes!$C$6:$C$420,$M4422))</f>
        <v/>
      </c>
      <c r="F4422" s="63"/>
      <c r="G4422" s="63"/>
      <c r="H4422" s="60"/>
      <c r="I4422" s="60"/>
      <c r="J4422" s="63"/>
      <c r="K4422" s="61" t="str">
        <f aca="false">IF($P4422=0,"",IF($F4422="Baseline","— Baseline",IF($O4422=0,"No result",IF($N4422=0,"No Start (attainment only)",IF(OR($N4422=1,$O4422=1),"U – needs rule",INDEX(MxBody,MATCH($I4422,MxCurr,0),MATCH($H4422,MxStart,0)))))))</f>
        <v/>
      </c>
      <c r="L4422" s="62" t="str">
        <f aca="false">IF(COUNTA($A4422,$F4422,$G4422,$H4422,$I4422,$J4422)=0,"",IF($M4422=0,"✖ كود الصف غير موجود",IF(ISNA(MATCH($F4422,Lists!$A$2:$A$5,0)),"✖ الفترة غير صحيحة",IF(ISNA(MATCH($G4422,Lists!$B$2:$B$7,0)),"✖ المجموعة غير صحيحة",IF(NOT(OR($H4422="",$N4422&gt;0)),"✖ Start غير صحيح",IF(NOT(OR($I4422="",$I4422="NR",$O4422&gt;0)),"✖ Current غير صحيح",IF(NOT(IF(ISNUMBER($J4422),AND($J4422&gt;=0,$J4422=INT($J4422)),FALSE())),"✖ العدد يجب أن يكون صحيحًا ≥ 0",IF(AND($F4422="Baseline",$H4422&lt;&gt;""),"⚠ Baseline: Start لا يدخل في التقدم",IF($K4422="No Start (attainment only)","ℹ تحصيل فقط (بدون Start)",IF($K4422="U – needs rule","ℹ حالة U تحتاج قاعدة معتمدة",IF($K4422="No result","ℹ بدون نتيجة (يُستبعد من التحصيل)","OK")))))))))))</f>
        <v/>
      </c>
      <c r="M4422" s="64" t="n">
        <f aca="false">IF($A4422="",0,IFERROR(MATCH($A4422,Classes!$A$6:$A$420,0),0))</f>
        <v>0</v>
      </c>
      <c r="N4422" s="64" t="n">
        <f aca="false">IF($H4422="",0,IFERROR(MATCH($H4422,GradeList,0),0))</f>
        <v>0</v>
      </c>
      <c r="O4422" s="64" t="n">
        <f aca="false">IF(OR($I4422="",$I4422="NR"),0,IFERROR(MATCH($I4422,GradeList,0),0))</f>
        <v>0</v>
      </c>
      <c r="P4422" s="64" t="n">
        <f aca="false">IF(AND($M4422&gt;0,ISNUMBER(MATCH($F4422,Lists!$A$2:$A$5,0)),ISNUMBER(MATCH($G4422,Lists!$B$2:$B$7,0)),OR($H4422="",$N4422&gt;0),OR($I4422="",$I4422="NR",$O4422&gt;0),IF(ISNUMBER($J4422),AND($J4422&gt;=0,$J4422=INT($J4422)),FALSE())),$J4422,0)</f>
        <v>0</v>
      </c>
      <c r="Q4422" s="64" t="n">
        <f aca="false">IF(AND($P4422&gt;0,$O4422&gt;0),$P4422,0)</f>
        <v>0</v>
      </c>
      <c r="R4422" s="64" t="n">
        <f aca="false">IF(AND($Q4422&gt;0,$O4422&gt;=AtRank),$Q4422,0)</f>
        <v>0</v>
      </c>
      <c r="S4422" s="64" t="n">
        <f aca="false">IF(AND($Q4422&gt;0,$O4422&gt;=AboveRank),$Q4422,0)</f>
        <v>0</v>
      </c>
      <c r="T4422" s="64" t="n">
        <f aca="false">IF($K4422="Less",$P4422,0)</f>
        <v>0</v>
      </c>
      <c r="U4422" s="64" t="n">
        <f aca="false">IF($K4422="Expected",$P4422,0)</f>
        <v>0</v>
      </c>
      <c r="V4422" s="64" t="n">
        <f aca="false">IF($K4422="Better",$P4422,0)</f>
        <v>0</v>
      </c>
      <c r="W4422" s="64" t="n">
        <f aca="false">IF($K4422="U – needs rule",$P4422,0)</f>
        <v>0</v>
      </c>
      <c r="X4422" s="64" t="n">
        <f aca="false">IF($K4422="No Start (attainment only)",$P4422,0)</f>
        <v>0</v>
      </c>
    </row>
    <row r="4423" customFormat="false" ht="15" hidden="false" customHeight="false" outlineLevel="0" collapsed="false">
      <c r="A4423" s="60"/>
      <c r="B4423" s="61" t="str">
        <f aca="false">IF($M4423=0,"",INDEX(Classes!$E$6:$E$420,$M4423))</f>
        <v/>
      </c>
      <c r="C4423" s="62" t="str">
        <f aca="false">IF($M4423=0,"",INDEX(Classes!$H$6:$H$420,$M4423))</f>
        <v/>
      </c>
      <c r="D4423" s="61" t="str">
        <f aca="false">IF($M4423=0,"",INDEX(Classes!$B$6:$B$420,$M4423))</f>
        <v/>
      </c>
      <c r="E4423" s="61" t="str">
        <f aca="false">IF($M4423=0,"",INDEX(Classes!$C$6:$C$420,$M4423))</f>
        <v/>
      </c>
      <c r="F4423" s="63"/>
      <c r="G4423" s="63"/>
      <c r="H4423" s="60"/>
      <c r="I4423" s="60"/>
      <c r="J4423" s="63"/>
      <c r="K4423" s="61" t="str">
        <f aca="false">IF($P4423=0,"",IF($F4423="Baseline","— Baseline",IF($O4423=0,"No result",IF($N4423=0,"No Start (attainment only)",IF(OR($N4423=1,$O4423=1),"U – needs rule",INDEX(MxBody,MATCH($I4423,MxCurr,0),MATCH($H4423,MxStart,0)))))))</f>
        <v/>
      </c>
      <c r="L4423" s="62" t="str">
        <f aca="false">IF(COUNTA($A4423,$F4423,$G4423,$H4423,$I4423,$J4423)=0,"",IF($M4423=0,"✖ كود الصف غير موجود",IF(ISNA(MATCH($F4423,Lists!$A$2:$A$5,0)),"✖ الفترة غير صحيحة",IF(ISNA(MATCH($G4423,Lists!$B$2:$B$7,0)),"✖ المجموعة غير صحيحة",IF(NOT(OR($H4423="",$N4423&gt;0)),"✖ Start غير صحيح",IF(NOT(OR($I4423="",$I4423="NR",$O4423&gt;0)),"✖ Current غير صحيح",IF(NOT(IF(ISNUMBER($J4423),AND($J4423&gt;=0,$J4423=INT($J4423)),FALSE())),"✖ العدد يجب أن يكون صحيحًا ≥ 0",IF(AND($F4423="Baseline",$H4423&lt;&gt;""),"⚠ Baseline: Start لا يدخل في التقدم",IF($K4423="No Start (attainment only)","ℹ تحصيل فقط (بدون Start)",IF($K4423="U – needs rule","ℹ حالة U تحتاج قاعدة معتمدة",IF($K4423="No result","ℹ بدون نتيجة (يُستبعد من التحصيل)","OK")))))))))))</f>
        <v/>
      </c>
      <c r="M4423" s="64" t="n">
        <f aca="false">IF($A4423="",0,IFERROR(MATCH($A4423,Classes!$A$6:$A$420,0),0))</f>
        <v>0</v>
      </c>
      <c r="N4423" s="64" t="n">
        <f aca="false">IF($H4423="",0,IFERROR(MATCH($H4423,GradeList,0),0))</f>
        <v>0</v>
      </c>
      <c r="O4423" s="64" t="n">
        <f aca="false">IF(OR($I4423="",$I4423="NR"),0,IFERROR(MATCH($I4423,GradeList,0),0))</f>
        <v>0</v>
      </c>
      <c r="P4423" s="64" t="n">
        <f aca="false">IF(AND($M4423&gt;0,ISNUMBER(MATCH($F4423,Lists!$A$2:$A$5,0)),ISNUMBER(MATCH($G4423,Lists!$B$2:$B$7,0)),OR($H4423="",$N4423&gt;0),OR($I4423="",$I4423="NR",$O4423&gt;0),IF(ISNUMBER($J4423),AND($J4423&gt;=0,$J4423=INT($J4423)),FALSE())),$J4423,0)</f>
        <v>0</v>
      </c>
      <c r="Q4423" s="64" t="n">
        <f aca="false">IF(AND($P4423&gt;0,$O4423&gt;0),$P4423,0)</f>
        <v>0</v>
      </c>
      <c r="R4423" s="64" t="n">
        <f aca="false">IF(AND($Q4423&gt;0,$O4423&gt;=AtRank),$Q4423,0)</f>
        <v>0</v>
      </c>
      <c r="S4423" s="64" t="n">
        <f aca="false">IF(AND($Q4423&gt;0,$O4423&gt;=AboveRank),$Q4423,0)</f>
        <v>0</v>
      </c>
      <c r="T4423" s="64" t="n">
        <f aca="false">IF($K4423="Less",$P4423,0)</f>
        <v>0</v>
      </c>
      <c r="U4423" s="64" t="n">
        <f aca="false">IF($K4423="Expected",$P4423,0)</f>
        <v>0</v>
      </c>
      <c r="V4423" s="64" t="n">
        <f aca="false">IF($K4423="Better",$P4423,0)</f>
        <v>0</v>
      </c>
      <c r="W4423" s="64" t="n">
        <f aca="false">IF($K4423="U – needs rule",$P4423,0)</f>
        <v>0</v>
      </c>
      <c r="X4423" s="64" t="n">
        <f aca="false">IF($K4423="No Start (attainment only)",$P4423,0)</f>
        <v>0</v>
      </c>
    </row>
    <row r="4424" customFormat="false" ht="15" hidden="false" customHeight="false" outlineLevel="0" collapsed="false">
      <c r="A4424" s="60"/>
      <c r="B4424" s="61" t="str">
        <f aca="false">IF($M4424=0,"",INDEX(Classes!$E$6:$E$420,$M4424))</f>
        <v/>
      </c>
      <c r="C4424" s="62" t="str">
        <f aca="false">IF($M4424=0,"",INDEX(Classes!$H$6:$H$420,$M4424))</f>
        <v/>
      </c>
      <c r="D4424" s="61" t="str">
        <f aca="false">IF($M4424=0,"",INDEX(Classes!$B$6:$B$420,$M4424))</f>
        <v/>
      </c>
      <c r="E4424" s="61" t="str">
        <f aca="false">IF($M4424=0,"",INDEX(Classes!$C$6:$C$420,$M4424))</f>
        <v/>
      </c>
      <c r="F4424" s="63"/>
      <c r="G4424" s="63"/>
      <c r="H4424" s="60"/>
      <c r="I4424" s="60"/>
      <c r="J4424" s="63"/>
      <c r="K4424" s="61" t="str">
        <f aca="false">IF($P4424=0,"",IF($F4424="Baseline","— Baseline",IF($O4424=0,"No result",IF($N4424=0,"No Start (attainment only)",IF(OR($N4424=1,$O4424=1),"U – needs rule",INDEX(MxBody,MATCH($I4424,MxCurr,0),MATCH($H4424,MxStart,0)))))))</f>
        <v/>
      </c>
      <c r="L4424" s="62" t="str">
        <f aca="false">IF(COUNTA($A4424,$F4424,$G4424,$H4424,$I4424,$J4424)=0,"",IF($M4424=0,"✖ كود الصف غير موجود",IF(ISNA(MATCH($F4424,Lists!$A$2:$A$5,0)),"✖ الفترة غير صحيحة",IF(ISNA(MATCH($G4424,Lists!$B$2:$B$7,0)),"✖ المجموعة غير صحيحة",IF(NOT(OR($H4424="",$N4424&gt;0)),"✖ Start غير صحيح",IF(NOT(OR($I4424="",$I4424="NR",$O4424&gt;0)),"✖ Current غير صحيح",IF(NOT(IF(ISNUMBER($J4424),AND($J4424&gt;=0,$J4424=INT($J4424)),FALSE())),"✖ العدد يجب أن يكون صحيحًا ≥ 0",IF(AND($F4424="Baseline",$H4424&lt;&gt;""),"⚠ Baseline: Start لا يدخل في التقدم",IF($K4424="No Start (attainment only)","ℹ تحصيل فقط (بدون Start)",IF($K4424="U – needs rule","ℹ حالة U تحتاج قاعدة معتمدة",IF($K4424="No result","ℹ بدون نتيجة (يُستبعد من التحصيل)","OK")))))))))))</f>
        <v/>
      </c>
      <c r="M4424" s="64" t="n">
        <f aca="false">IF($A4424="",0,IFERROR(MATCH($A4424,Classes!$A$6:$A$420,0),0))</f>
        <v>0</v>
      </c>
      <c r="N4424" s="64" t="n">
        <f aca="false">IF($H4424="",0,IFERROR(MATCH($H4424,GradeList,0),0))</f>
        <v>0</v>
      </c>
      <c r="O4424" s="64" t="n">
        <f aca="false">IF(OR($I4424="",$I4424="NR"),0,IFERROR(MATCH($I4424,GradeList,0),0))</f>
        <v>0</v>
      </c>
      <c r="P4424" s="64" t="n">
        <f aca="false">IF(AND($M4424&gt;0,ISNUMBER(MATCH($F4424,Lists!$A$2:$A$5,0)),ISNUMBER(MATCH($G4424,Lists!$B$2:$B$7,0)),OR($H4424="",$N4424&gt;0),OR($I4424="",$I4424="NR",$O4424&gt;0),IF(ISNUMBER($J4424),AND($J4424&gt;=0,$J4424=INT($J4424)),FALSE())),$J4424,0)</f>
        <v>0</v>
      </c>
      <c r="Q4424" s="64" t="n">
        <f aca="false">IF(AND($P4424&gt;0,$O4424&gt;0),$P4424,0)</f>
        <v>0</v>
      </c>
      <c r="R4424" s="64" t="n">
        <f aca="false">IF(AND($Q4424&gt;0,$O4424&gt;=AtRank),$Q4424,0)</f>
        <v>0</v>
      </c>
      <c r="S4424" s="64" t="n">
        <f aca="false">IF(AND($Q4424&gt;0,$O4424&gt;=AboveRank),$Q4424,0)</f>
        <v>0</v>
      </c>
      <c r="T4424" s="64" t="n">
        <f aca="false">IF($K4424="Less",$P4424,0)</f>
        <v>0</v>
      </c>
      <c r="U4424" s="64" t="n">
        <f aca="false">IF($K4424="Expected",$P4424,0)</f>
        <v>0</v>
      </c>
      <c r="V4424" s="64" t="n">
        <f aca="false">IF($K4424="Better",$P4424,0)</f>
        <v>0</v>
      </c>
      <c r="W4424" s="64" t="n">
        <f aca="false">IF($K4424="U – needs rule",$P4424,0)</f>
        <v>0</v>
      </c>
      <c r="X4424" s="64" t="n">
        <f aca="false">IF($K4424="No Start (attainment only)",$P4424,0)</f>
        <v>0</v>
      </c>
    </row>
    <row r="4425" customFormat="false" ht="15" hidden="false" customHeight="false" outlineLevel="0" collapsed="false">
      <c r="A4425" s="60"/>
      <c r="B4425" s="61" t="str">
        <f aca="false">IF($M4425=0,"",INDEX(Classes!$E$6:$E$420,$M4425))</f>
        <v/>
      </c>
      <c r="C4425" s="62" t="str">
        <f aca="false">IF($M4425=0,"",INDEX(Classes!$H$6:$H$420,$M4425))</f>
        <v/>
      </c>
      <c r="D4425" s="61" t="str">
        <f aca="false">IF($M4425=0,"",INDEX(Classes!$B$6:$B$420,$M4425))</f>
        <v/>
      </c>
      <c r="E4425" s="61" t="str">
        <f aca="false">IF($M4425=0,"",INDEX(Classes!$C$6:$C$420,$M4425))</f>
        <v/>
      </c>
      <c r="F4425" s="63"/>
      <c r="G4425" s="63"/>
      <c r="H4425" s="60"/>
      <c r="I4425" s="60"/>
      <c r="J4425" s="63"/>
      <c r="K4425" s="61" t="str">
        <f aca="false">IF($P4425=0,"",IF($F4425="Baseline","— Baseline",IF($O4425=0,"No result",IF($N4425=0,"No Start (attainment only)",IF(OR($N4425=1,$O4425=1),"U – needs rule",INDEX(MxBody,MATCH($I4425,MxCurr,0),MATCH($H4425,MxStart,0)))))))</f>
        <v/>
      </c>
      <c r="L4425" s="62" t="str">
        <f aca="false">IF(COUNTA($A4425,$F4425,$G4425,$H4425,$I4425,$J4425)=0,"",IF($M4425=0,"✖ كود الصف غير موجود",IF(ISNA(MATCH($F4425,Lists!$A$2:$A$5,0)),"✖ الفترة غير صحيحة",IF(ISNA(MATCH($G4425,Lists!$B$2:$B$7,0)),"✖ المجموعة غير صحيحة",IF(NOT(OR($H4425="",$N4425&gt;0)),"✖ Start غير صحيح",IF(NOT(OR($I4425="",$I4425="NR",$O4425&gt;0)),"✖ Current غير صحيح",IF(NOT(IF(ISNUMBER($J4425),AND($J4425&gt;=0,$J4425=INT($J4425)),FALSE())),"✖ العدد يجب أن يكون صحيحًا ≥ 0",IF(AND($F4425="Baseline",$H4425&lt;&gt;""),"⚠ Baseline: Start لا يدخل في التقدم",IF($K4425="No Start (attainment only)","ℹ تحصيل فقط (بدون Start)",IF($K4425="U – needs rule","ℹ حالة U تحتاج قاعدة معتمدة",IF($K4425="No result","ℹ بدون نتيجة (يُستبعد من التحصيل)","OK")))))))))))</f>
        <v/>
      </c>
      <c r="M4425" s="64" t="n">
        <f aca="false">IF($A4425="",0,IFERROR(MATCH($A4425,Classes!$A$6:$A$420,0),0))</f>
        <v>0</v>
      </c>
      <c r="N4425" s="64" t="n">
        <f aca="false">IF($H4425="",0,IFERROR(MATCH($H4425,GradeList,0),0))</f>
        <v>0</v>
      </c>
      <c r="O4425" s="64" t="n">
        <f aca="false">IF(OR($I4425="",$I4425="NR"),0,IFERROR(MATCH($I4425,GradeList,0),0))</f>
        <v>0</v>
      </c>
      <c r="P4425" s="64" t="n">
        <f aca="false">IF(AND($M4425&gt;0,ISNUMBER(MATCH($F4425,Lists!$A$2:$A$5,0)),ISNUMBER(MATCH($G4425,Lists!$B$2:$B$7,0)),OR($H4425="",$N4425&gt;0),OR($I4425="",$I4425="NR",$O4425&gt;0),IF(ISNUMBER($J4425),AND($J4425&gt;=0,$J4425=INT($J4425)),FALSE())),$J4425,0)</f>
        <v>0</v>
      </c>
      <c r="Q4425" s="64" t="n">
        <f aca="false">IF(AND($P4425&gt;0,$O4425&gt;0),$P4425,0)</f>
        <v>0</v>
      </c>
      <c r="R4425" s="64" t="n">
        <f aca="false">IF(AND($Q4425&gt;0,$O4425&gt;=AtRank),$Q4425,0)</f>
        <v>0</v>
      </c>
      <c r="S4425" s="64" t="n">
        <f aca="false">IF(AND($Q4425&gt;0,$O4425&gt;=AboveRank),$Q4425,0)</f>
        <v>0</v>
      </c>
      <c r="T4425" s="64" t="n">
        <f aca="false">IF($K4425="Less",$P4425,0)</f>
        <v>0</v>
      </c>
      <c r="U4425" s="64" t="n">
        <f aca="false">IF($K4425="Expected",$P4425,0)</f>
        <v>0</v>
      </c>
      <c r="V4425" s="64" t="n">
        <f aca="false">IF($K4425="Better",$P4425,0)</f>
        <v>0</v>
      </c>
      <c r="W4425" s="64" t="n">
        <f aca="false">IF($K4425="U – needs rule",$P4425,0)</f>
        <v>0</v>
      </c>
      <c r="X4425" s="64" t="n">
        <f aca="false">IF($K4425="No Start (attainment only)",$P4425,0)</f>
        <v>0</v>
      </c>
    </row>
    <row r="4426" customFormat="false" ht="15" hidden="false" customHeight="false" outlineLevel="0" collapsed="false">
      <c r="A4426" s="60"/>
      <c r="B4426" s="61" t="str">
        <f aca="false">IF($M4426=0,"",INDEX(Classes!$E$6:$E$420,$M4426))</f>
        <v/>
      </c>
      <c r="C4426" s="62" t="str">
        <f aca="false">IF($M4426=0,"",INDEX(Classes!$H$6:$H$420,$M4426))</f>
        <v/>
      </c>
      <c r="D4426" s="61" t="str">
        <f aca="false">IF($M4426=0,"",INDEX(Classes!$B$6:$B$420,$M4426))</f>
        <v/>
      </c>
      <c r="E4426" s="61" t="str">
        <f aca="false">IF($M4426=0,"",INDEX(Classes!$C$6:$C$420,$M4426))</f>
        <v/>
      </c>
      <c r="F4426" s="63"/>
      <c r="G4426" s="63"/>
      <c r="H4426" s="60"/>
      <c r="I4426" s="60"/>
      <c r="J4426" s="63"/>
      <c r="K4426" s="61" t="str">
        <f aca="false">IF($P4426=0,"",IF($F4426="Baseline","— Baseline",IF($O4426=0,"No result",IF($N4426=0,"No Start (attainment only)",IF(OR($N4426=1,$O4426=1),"U – needs rule",INDEX(MxBody,MATCH($I4426,MxCurr,0),MATCH($H4426,MxStart,0)))))))</f>
        <v/>
      </c>
      <c r="L4426" s="62" t="str">
        <f aca="false">IF(COUNTA($A4426,$F4426,$G4426,$H4426,$I4426,$J4426)=0,"",IF($M4426=0,"✖ كود الصف غير موجود",IF(ISNA(MATCH($F4426,Lists!$A$2:$A$5,0)),"✖ الفترة غير صحيحة",IF(ISNA(MATCH($G4426,Lists!$B$2:$B$7,0)),"✖ المجموعة غير صحيحة",IF(NOT(OR($H4426="",$N4426&gt;0)),"✖ Start غير صحيح",IF(NOT(OR($I4426="",$I4426="NR",$O4426&gt;0)),"✖ Current غير صحيح",IF(NOT(IF(ISNUMBER($J4426),AND($J4426&gt;=0,$J4426=INT($J4426)),FALSE())),"✖ العدد يجب أن يكون صحيحًا ≥ 0",IF(AND($F4426="Baseline",$H4426&lt;&gt;""),"⚠ Baseline: Start لا يدخل في التقدم",IF($K4426="No Start (attainment only)","ℹ تحصيل فقط (بدون Start)",IF($K4426="U – needs rule","ℹ حالة U تحتاج قاعدة معتمدة",IF($K4426="No result","ℹ بدون نتيجة (يُستبعد من التحصيل)","OK")))))))))))</f>
        <v/>
      </c>
      <c r="M4426" s="64" t="n">
        <f aca="false">IF($A4426="",0,IFERROR(MATCH($A4426,Classes!$A$6:$A$420,0),0))</f>
        <v>0</v>
      </c>
      <c r="N4426" s="64" t="n">
        <f aca="false">IF($H4426="",0,IFERROR(MATCH($H4426,GradeList,0),0))</f>
        <v>0</v>
      </c>
      <c r="O4426" s="64" t="n">
        <f aca="false">IF(OR($I4426="",$I4426="NR"),0,IFERROR(MATCH($I4426,GradeList,0),0))</f>
        <v>0</v>
      </c>
      <c r="P4426" s="64" t="n">
        <f aca="false">IF(AND($M4426&gt;0,ISNUMBER(MATCH($F4426,Lists!$A$2:$A$5,0)),ISNUMBER(MATCH($G4426,Lists!$B$2:$B$7,0)),OR($H4426="",$N4426&gt;0),OR($I4426="",$I4426="NR",$O4426&gt;0),IF(ISNUMBER($J4426),AND($J4426&gt;=0,$J4426=INT($J4426)),FALSE())),$J4426,0)</f>
        <v>0</v>
      </c>
      <c r="Q4426" s="64" t="n">
        <f aca="false">IF(AND($P4426&gt;0,$O4426&gt;0),$P4426,0)</f>
        <v>0</v>
      </c>
      <c r="R4426" s="64" t="n">
        <f aca="false">IF(AND($Q4426&gt;0,$O4426&gt;=AtRank),$Q4426,0)</f>
        <v>0</v>
      </c>
      <c r="S4426" s="64" t="n">
        <f aca="false">IF(AND($Q4426&gt;0,$O4426&gt;=AboveRank),$Q4426,0)</f>
        <v>0</v>
      </c>
      <c r="T4426" s="64" t="n">
        <f aca="false">IF($K4426="Less",$P4426,0)</f>
        <v>0</v>
      </c>
      <c r="U4426" s="64" t="n">
        <f aca="false">IF($K4426="Expected",$P4426,0)</f>
        <v>0</v>
      </c>
      <c r="V4426" s="64" t="n">
        <f aca="false">IF($K4426="Better",$P4426,0)</f>
        <v>0</v>
      </c>
      <c r="W4426" s="64" t="n">
        <f aca="false">IF($K4426="U – needs rule",$P4426,0)</f>
        <v>0</v>
      </c>
      <c r="X4426" s="64" t="n">
        <f aca="false">IF($K4426="No Start (attainment only)",$P4426,0)</f>
        <v>0</v>
      </c>
    </row>
    <row r="4427" customFormat="false" ht="15" hidden="false" customHeight="false" outlineLevel="0" collapsed="false">
      <c r="A4427" s="60"/>
      <c r="B4427" s="61" t="str">
        <f aca="false">IF($M4427=0,"",INDEX(Classes!$E$6:$E$420,$M4427))</f>
        <v/>
      </c>
      <c r="C4427" s="62" t="str">
        <f aca="false">IF($M4427=0,"",INDEX(Classes!$H$6:$H$420,$M4427))</f>
        <v/>
      </c>
      <c r="D4427" s="61" t="str">
        <f aca="false">IF($M4427=0,"",INDEX(Classes!$B$6:$B$420,$M4427))</f>
        <v/>
      </c>
      <c r="E4427" s="61" t="str">
        <f aca="false">IF($M4427=0,"",INDEX(Classes!$C$6:$C$420,$M4427))</f>
        <v/>
      </c>
      <c r="F4427" s="63"/>
      <c r="G4427" s="63"/>
      <c r="H4427" s="60"/>
      <c r="I4427" s="60"/>
      <c r="J4427" s="63"/>
      <c r="K4427" s="61" t="str">
        <f aca="false">IF($P4427=0,"",IF($F4427="Baseline","— Baseline",IF($O4427=0,"No result",IF($N4427=0,"No Start (attainment only)",IF(OR($N4427=1,$O4427=1),"U – needs rule",INDEX(MxBody,MATCH($I4427,MxCurr,0),MATCH($H4427,MxStart,0)))))))</f>
        <v/>
      </c>
      <c r="L4427" s="62" t="str">
        <f aca="false">IF(COUNTA($A4427,$F4427,$G4427,$H4427,$I4427,$J4427)=0,"",IF($M4427=0,"✖ كود الصف غير موجود",IF(ISNA(MATCH($F4427,Lists!$A$2:$A$5,0)),"✖ الفترة غير صحيحة",IF(ISNA(MATCH($G4427,Lists!$B$2:$B$7,0)),"✖ المجموعة غير صحيحة",IF(NOT(OR($H4427="",$N4427&gt;0)),"✖ Start غير صحيح",IF(NOT(OR($I4427="",$I4427="NR",$O4427&gt;0)),"✖ Current غير صحيح",IF(NOT(IF(ISNUMBER($J4427),AND($J4427&gt;=0,$J4427=INT($J4427)),FALSE())),"✖ العدد يجب أن يكون صحيحًا ≥ 0",IF(AND($F4427="Baseline",$H4427&lt;&gt;""),"⚠ Baseline: Start لا يدخل في التقدم",IF($K4427="No Start (attainment only)","ℹ تحصيل فقط (بدون Start)",IF($K4427="U – needs rule","ℹ حالة U تحتاج قاعدة معتمدة",IF($K4427="No result","ℹ بدون نتيجة (يُستبعد من التحصيل)","OK")))))))))))</f>
        <v/>
      </c>
      <c r="M4427" s="64" t="n">
        <f aca="false">IF($A4427="",0,IFERROR(MATCH($A4427,Classes!$A$6:$A$420,0),0))</f>
        <v>0</v>
      </c>
      <c r="N4427" s="64" t="n">
        <f aca="false">IF($H4427="",0,IFERROR(MATCH($H4427,GradeList,0),0))</f>
        <v>0</v>
      </c>
      <c r="O4427" s="64" t="n">
        <f aca="false">IF(OR($I4427="",$I4427="NR"),0,IFERROR(MATCH($I4427,GradeList,0),0))</f>
        <v>0</v>
      </c>
      <c r="P4427" s="64" t="n">
        <f aca="false">IF(AND($M4427&gt;0,ISNUMBER(MATCH($F4427,Lists!$A$2:$A$5,0)),ISNUMBER(MATCH($G4427,Lists!$B$2:$B$7,0)),OR($H4427="",$N4427&gt;0),OR($I4427="",$I4427="NR",$O4427&gt;0),IF(ISNUMBER($J4427),AND($J4427&gt;=0,$J4427=INT($J4427)),FALSE())),$J4427,0)</f>
        <v>0</v>
      </c>
      <c r="Q4427" s="64" t="n">
        <f aca="false">IF(AND($P4427&gt;0,$O4427&gt;0),$P4427,0)</f>
        <v>0</v>
      </c>
      <c r="R4427" s="64" t="n">
        <f aca="false">IF(AND($Q4427&gt;0,$O4427&gt;=AtRank),$Q4427,0)</f>
        <v>0</v>
      </c>
      <c r="S4427" s="64" t="n">
        <f aca="false">IF(AND($Q4427&gt;0,$O4427&gt;=AboveRank),$Q4427,0)</f>
        <v>0</v>
      </c>
      <c r="T4427" s="64" t="n">
        <f aca="false">IF($K4427="Less",$P4427,0)</f>
        <v>0</v>
      </c>
      <c r="U4427" s="64" t="n">
        <f aca="false">IF($K4427="Expected",$P4427,0)</f>
        <v>0</v>
      </c>
      <c r="V4427" s="64" t="n">
        <f aca="false">IF($K4427="Better",$P4427,0)</f>
        <v>0</v>
      </c>
      <c r="W4427" s="64" t="n">
        <f aca="false">IF($K4427="U – needs rule",$P4427,0)</f>
        <v>0</v>
      </c>
      <c r="X4427" s="64" t="n">
        <f aca="false">IF($K4427="No Start (attainment only)",$P4427,0)</f>
        <v>0</v>
      </c>
    </row>
    <row r="4428" customFormat="false" ht="15" hidden="false" customHeight="false" outlineLevel="0" collapsed="false">
      <c r="A4428" s="60"/>
      <c r="B4428" s="61" t="str">
        <f aca="false">IF($M4428=0,"",INDEX(Classes!$E$6:$E$420,$M4428))</f>
        <v/>
      </c>
      <c r="C4428" s="62" t="str">
        <f aca="false">IF($M4428=0,"",INDEX(Classes!$H$6:$H$420,$M4428))</f>
        <v/>
      </c>
      <c r="D4428" s="61" t="str">
        <f aca="false">IF($M4428=0,"",INDEX(Classes!$B$6:$B$420,$M4428))</f>
        <v/>
      </c>
      <c r="E4428" s="61" t="str">
        <f aca="false">IF($M4428=0,"",INDEX(Classes!$C$6:$C$420,$M4428))</f>
        <v/>
      </c>
      <c r="F4428" s="63"/>
      <c r="G4428" s="63"/>
      <c r="H4428" s="60"/>
      <c r="I4428" s="60"/>
      <c r="J4428" s="63"/>
      <c r="K4428" s="61" t="str">
        <f aca="false">IF($P4428=0,"",IF($F4428="Baseline","— Baseline",IF($O4428=0,"No result",IF($N4428=0,"No Start (attainment only)",IF(OR($N4428=1,$O4428=1),"U – needs rule",INDEX(MxBody,MATCH($I4428,MxCurr,0),MATCH($H4428,MxStart,0)))))))</f>
        <v/>
      </c>
      <c r="L4428" s="62" t="str">
        <f aca="false">IF(COUNTA($A4428,$F4428,$G4428,$H4428,$I4428,$J4428)=0,"",IF($M4428=0,"✖ كود الصف غير موجود",IF(ISNA(MATCH($F4428,Lists!$A$2:$A$5,0)),"✖ الفترة غير صحيحة",IF(ISNA(MATCH($G4428,Lists!$B$2:$B$7,0)),"✖ المجموعة غير صحيحة",IF(NOT(OR($H4428="",$N4428&gt;0)),"✖ Start غير صحيح",IF(NOT(OR($I4428="",$I4428="NR",$O4428&gt;0)),"✖ Current غير صحيح",IF(NOT(IF(ISNUMBER($J4428),AND($J4428&gt;=0,$J4428=INT($J4428)),FALSE())),"✖ العدد يجب أن يكون صحيحًا ≥ 0",IF(AND($F4428="Baseline",$H4428&lt;&gt;""),"⚠ Baseline: Start لا يدخل في التقدم",IF($K4428="No Start (attainment only)","ℹ تحصيل فقط (بدون Start)",IF($K4428="U – needs rule","ℹ حالة U تحتاج قاعدة معتمدة",IF($K4428="No result","ℹ بدون نتيجة (يُستبعد من التحصيل)","OK")))))))))))</f>
        <v/>
      </c>
      <c r="M4428" s="64" t="n">
        <f aca="false">IF($A4428="",0,IFERROR(MATCH($A4428,Classes!$A$6:$A$420,0),0))</f>
        <v>0</v>
      </c>
      <c r="N4428" s="64" t="n">
        <f aca="false">IF($H4428="",0,IFERROR(MATCH($H4428,GradeList,0),0))</f>
        <v>0</v>
      </c>
      <c r="O4428" s="64" t="n">
        <f aca="false">IF(OR($I4428="",$I4428="NR"),0,IFERROR(MATCH($I4428,GradeList,0),0))</f>
        <v>0</v>
      </c>
      <c r="P4428" s="64" t="n">
        <f aca="false">IF(AND($M4428&gt;0,ISNUMBER(MATCH($F4428,Lists!$A$2:$A$5,0)),ISNUMBER(MATCH($G4428,Lists!$B$2:$B$7,0)),OR($H4428="",$N4428&gt;0),OR($I4428="",$I4428="NR",$O4428&gt;0),IF(ISNUMBER($J4428),AND($J4428&gt;=0,$J4428=INT($J4428)),FALSE())),$J4428,0)</f>
        <v>0</v>
      </c>
      <c r="Q4428" s="64" t="n">
        <f aca="false">IF(AND($P4428&gt;0,$O4428&gt;0),$P4428,0)</f>
        <v>0</v>
      </c>
      <c r="R4428" s="64" t="n">
        <f aca="false">IF(AND($Q4428&gt;0,$O4428&gt;=AtRank),$Q4428,0)</f>
        <v>0</v>
      </c>
      <c r="S4428" s="64" t="n">
        <f aca="false">IF(AND($Q4428&gt;0,$O4428&gt;=AboveRank),$Q4428,0)</f>
        <v>0</v>
      </c>
      <c r="T4428" s="64" t="n">
        <f aca="false">IF($K4428="Less",$P4428,0)</f>
        <v>0</v>
      </c>
      <c r="U4428" s="64" t="n">
        <f aca="false">IF($K4428="Expected",$P4428,0)</f>
        <v>0</v>
      </c>
      <c r="V4428" s="64" t="n">
        <f aca="false">IF($K4428="Better",$P4428,0)</f>
        <v>0</v>
      </c>
      <c r="W4428" s="64" t="n">
        <f aca="false">IF($K4428="U – needs rule",$P4428,0)</f>
        <v>0</v>
      </c>
      <c r="X4428" s="64" t="n">
        <f aca="false">IF($K4428="No Start (attainment only)",$P4428,0)</f>
        <v>0</v>
      </c>
    </row>
    <row r="4429" customFormat="false" ht="15" hidden="false" customHeight="false" outlineLevel="0" collapsed="false">
      <c r="A4429" s="60"/>
      <c r="B4429" s="61" t="str">
        <f aca="false">IF($M4429=0,"",INDEX(Classes!$E$6:$E$420,$M4429))</f>
        <v/>
      </c>
      <c r="C4429" s="62" t="str">
        <f aca="false">IF($M4429=0,"",INDEX(Classes!$H$6:$H$420,$M4429))</f>
        <v/>
      </c>
      <c r="D4429" s="61" t="str">
        <f aca="false">IF($M4429=0,"",INDEX(Classes!$B$6:$B$420,$M4429))</f>
        <v/>
      </c>
      <c r="E4429" s="61" t="str">
        <f aca="false">IF($M4429=0,"",INDEX(Classes!$C$6:$C$420,$M4429))</f>
        <v/>
      </c>
      <c r="F4429" s="63"/>
      <c r="G4429" s="63"/>
      <c r="H4429" s="60"/>
      <c r="I4429" s="60"/>
      <c r="J4429" s="63"/>
      <c r="K4429" s="61" t="str">
        <f aca="false">IF($P4429=0,"",IF($F4429="Baseline","— Baseline",IF($O4429=0,"No result",IF($N4429=0,"No Start (attainment only)",IF(OR($N4429=1,$O4429=1),"U – needs rule",INDEX(MxBody,MATCH($I4429,MxCurr,0),MATCH($H4429,MxStart,0)))))))</f>
        <v/>
      </c>
      <c r="L4429" s="62" t="str">
        <f aca="false">IF(COUNTA($A4429,$F4429,$G4429,$H4429,$I4429,$J4429)=0,"",IF($M4429=0,"✖ كود الصف غير موجود",IF(ISNA(MATCH($F4429,Lists!$A$2:$A$5,0)),"✖ الفترة غير صحيحة",IF(ISNA(MATCH($G4429,Lists!$B$2:$B$7,0)),"✖ المجموعة غير صحيحة",IF(NOT(OR($H4429="",$N4429&gt;0)),"✖ Start غير صحيح",IF(NOT(OR($I4429="",$I4429="NR",$O4429&gt;0)),"✖ Current غير صحيح",IF(NOT(IF(ISNUMBER($J4429),AND($J4429&gt;=0,$J4429=INT($J4429)),FALSE())),"✖ العدد يجب أن يكون صحيحًا ≥ 0",IF(AND($F4429="Baseline",$H4429&lt;&gt;""),"⚠ Baseline: Start لا يدخل في التقدم",IF($K4429="No Start (attainment only)","ℹ تحصيل فقط (بدون Start)",IF($K4429="U – needs rule","ℹ حالة U تحتاج قاعدة معتمدة",IF($K4429="No result","ℹ بدون نتيجة (يُستبعد من التحصيل)","OK")))))))))))</f>
        <v/>
      </c>
      <c r="M4429" s="64" t="n">
        <f aca="false">IF($A4429="",0,IFERROR(MATCH($A4429,Classes!$A$6:$A$420,0),0))</f>
        <v>0</v>
      </c>
      <c r="N4429" s="64" t="n">
        <f aca="false">IF($H4429="",0,IFERROR(MATCH($H4429,GradeList,0),0))</f>
        <v>0</v>
      </c>
      <c r="O4429" s="64" t="n">
        <f aca="false">IF(OR($I4429="",$I4429="NR"),0,IFERROR(MATCH($I4429,GradeList,0),0))</f>
        <v>0</v>
      </c>
      <c r="P4429" s="64" t="n">
        <f aca="false">IF(AND($M4429&gt;0,ISNUMBER(MATCH($F4429,Lists!$A$2:$A$5,0)),ISNUMBER(MATCH($G4429,Lists!$B$2:$B$7,0)),OR($H4429="",$N4429&gt;0),OR($I4429="",$I4429="NR",$O4429&gt;0),IF(ISNUMBER($J4429),AND($J4429&gt;=0,$J4429=INT($J4429)),FALSE())),$J4429,0)</f>
        <v>0</v>
      </c>
      <c r="Q4429" s="64" t="n">
        <f aca="false">IF(AND($P4429&gt;0,$O4429&gt;0),$P4429,0)</f>
        <v>0</v>
      </c>
      <c r="R4429" s="64" t="n">
        <f aca="false">IF(AND($Q4429&gt;0,$O4429&gt;=AtRank),$Q4429,0)</f>
        <v>0</v>
      </c>
      <c r="S4429" s="64" t="n">
        <f aca="false">IF(AND($Q4429&gt;0,$O4429&gt;=AboveRank),$Q4429,0)</f>
        <v>0</v>
      </c>
      <c r="T4429" s="64" t="n">
        <f aca="false">IF($K4429="Less",$P4429,0)</f>
        <v>0</v>
      </c>
      <c r="U4429" s="64" t="n">
        <f aca="false">IF($K4429="Expected",$P4429,0)</f>
        <v>0</v>
      </c>
      <c r="V4429" s="64" t="n">
        <f aca="false">IF($K4429="Better",$P4429,0)</f>
        <v>0</v>
      </c>
      <c r="W4429" s="64" t="n">
        <f aca="false">IF($K4429="U – needs rule",$P4429,0)</f>
        <v>0</v>
      </c>
      <c r="X4429" s="64" t="n">
        <f aca="false">IF($K4429="No Start (attainment only)",$P4429,0)</f>
        <v>0</v>
      </c>
    </row>
    <row r="4430" customFormat="false" ht="15" hidden="false" customHeight="false" outlineLevel="0" collapsed="false">
      <c r="A4430" s="60"/>
      <c r="B4430" s="61" t="str">
        <f aca="false">IF($M4430=0,"",INDEX(Classes!$E$6:$E$420,$M4430))</f>
        <v/>
      </c>
      <c r="C4430" s="62" t="str">
        <f aca="false">IF($M4430=0,"",INDEX(Classes!$H$6:$H$420,$M4430))</f>
        <v/>
      </c>
      <c r="D4430" s="61" t="str">
        <f aca="false">IF($M4430=0,"",INDEX(Classes!$B$6:$B$420,$M4430))</f>
        <v/>
      </c>
      <c r="E4430" s="61" t="str">
        <f aca="false">IF($M4430=0,"",INDEX(Classes!$C$6:$C$420,$M4430))</f>
        <v/>
      </c>
      <c r="F4430" s="63"/>
      <c r="G4430" s="63"/>
      <c r="H4430" s="60"/>
      <c r="I4430" s="60"/>
      <c r="J4430" s="63"/>
      <c r="K4430" s="61" t="str">
        <f aca="false">IF($P4430=0,"",IF($F4430="Baseline","— Baseline",IF($O4430=0,"No result",IF($N4430=0,"No Start (attainment only)",IF(OR($N4430=1,$O4430=1),"U – needs rule",INDEX(MxBody,MATCH($I4430,MxCurr,0),MATCH($H4430,MxStart,0)))))))</f>
        <v/>
      </c>
      <c r="L4430" s="62" t="str">
        <f aca="false">IF(COUNTA($A4430,$F4430,$G4430,$H4430,$I4430,$J4430)=0,"",IF($M4430=0,"✖ كود الصف غير موجود",IF(ISNA(MATCH($F4430,Lists!$A$2:$A$5,0)),"✖ الفترة غير صحيحة",IF(ISNA(MATCH($G4430,Lists!$B$2:$B$7,0)),"✖ المجموعة غير صحيحة",IF(NOT(OR($H4430="",$N4430&gt;0)),"✖ Start غير صحيح",IF(NOT(OR($I4430="",$I4430="NR",$O4430&gt;0)),"✖ Current غير صحيح",IF(NOT(IF(ISNUMBER($J4430),AND($J4430&gt;=0,$J4430=INT($J4430)),FALSE())),"✖ العدد يجب أن يكون صحيحًا ≥ 0",IF(AND($F4430="Baseline",$H4430&lt;&gt;""),"⚠ Baseline: Start لا يدخل في التقدم",IF($K4430="No Start (attainment only)","ℹ تحصيل فقط (بدون Start)",IF($K4430="U – needs rule","ℹ حالة U تحتاج قاعدة معتمدة",IF($K4430="No result","ℹ بدون نتيجة (يُستبعد من التحصيل)","OK")))))))))))</f>
        <v/>
      </c>
      <c r="M4430" s="64" t="n">
        <f aca="false">IF($A4430="",0,IFERROR(MATCH($A4430,Classes!$A$6:$A$420,0),0))</f>
        <v>0</v>
      </c>
      <c r="N4430" s="64" t="n">
        <f aca="false">IF($H4430="",0,IFERROR(MATCH($H4430,GradeList,0),0))</f>
        <v>0</v>
      </c>
      <c r="O4430" s="64" t="n">
        <f aca="false">IF(OR($I4430="",$I4430="NR"),0,IFERROR(MATCH($I4430,GradeList,0),0))</f>
        <v>0</v>
      </c>
      <c r="P4430" s="64" t="n">
        <f aca="false">IF(AND($M4430&gt;0,ISNUMBER(MATCH($F4430,Lists!$A$2:$A$5,0)),ISNUMBER(MATCH($G4430,Lists!$B$2:$B$7,0)),OR($H4430="",$N4430&gt;0),OR($I4430="",$I4430="NR",$O4430&gt;0),IF(ISNUMBER($J4430),AND($J4430&gt;=0,$J4430=INT($J4430)),FALSE())),$J4430,0)</f>
        <v>0</v>
      </c>
      <c r="Q4430" s="64" t="n">
        <f aca="false">IF(AND($P4430&gt;0,$O4430&gt;0),$P4430,0)</f>
        <v>0</v>
      </c>
      <c r="R4430" s="64" t="n">
        <f aca="false">IF(AND($Q4430&gt;0,$O4430&gt;=AtRank),$Q4430,0)</f>
        <v>0</v>
      </c>
      <c r="S4430" s="64" t="n">
        <f aca="false">IF(AND($Q4430&gt;0,$O4430&gt;=AboveRank),$Q4430,0)</f>
        <v>0</v>
      </c>
      <c r="T4430" s="64" t="n">
        <f aca="false">IF($K4430="Less",$P4430,0)</f>
        <v>0</v>
      </c>
      <c r="U4430" s="64" t="n">
        <f aca="false">IF($K4430="Expected",$P4430,0)</f>
        <v>0</v>
      </c>
      <c r="V4430" s="64" t="n">
        <f aca="false">IF($K4430="Better",$P4430,0)</f>
        <v>0</v>
      </c>
      <c r="W4430" s="64" t="n">
        <f aca="false">IF($K4430="U – needs rule",$P4430,0)</f>
        <v>0</v>
      </c>
      <c r="X4430" s="64" t="n">
        <f aca="false">IF($K4430="No Start (attainment only)",$P4430,0)</f>
        <v>0</v>
      </c>
    </row>
    <row r="4431" customFormat="false" ht="15" hidden="false" customHeight="false" outlineLevel="0" collapsed="false">
      <c r="A4431" s="60"/>
      <c r="B4431" s="61" t="str">
        <f aca="false">IF($M4431=0,"",INDEX(Classes!$E$6:$E$420,$M4431))</f>
        <v/>
      </c>
      <c r="C4431" s="62" t="str">
        <f aca="false">IF($M4431=0,"",INDEX(Classes!$H$6:$H$420,$M4431))</f>
        <v/>
      </c>
      <c r="D4431" s="61" t="str">
        <f aca="false">IF($M4431=0,"",INDEX(Classes!$B$6:$B$420,$M4431))</f>
        <v/>
      </c>
      <c r="E4431" s="61" t="str">
        <f aca="false">IF($M4431=0,"",INDEX(Classes!$C$6:$C$420,$M4431))</f>
        <v/>
      </c>
      <c r="F4431" s="63"/>
      <c r="G4431" s="63"/>
      <c r="H4431" s="60"/>
      <c r="I4431" s="60"/>
      <c r="J4431" s="63"/>
      <c r="K4431" s="61" t="str">
        <f aca="false">IF($P4431=0,"",IF($F4431="Baseline","— Baseline",IF($O4431=0,"No result",IF($N4431=0,"No Start (attainment only)",IF(OR($N4431=1,$O4431=1),"U – needs rule",INDEX(MxBody,MATCH($I4431,MxCurr,0),MATCH($H4431,MxStart,0)))))))</f>
        <v/>
      </c>
      <c r="L4431" s="62" t="str">
        <f aca="false">IF(COUNTA($A4431,$F4431,$G4431,$H4431,$I4431,$J4431)=0,"",IF($M4431=0,"✖ كود الصف غير موجود",IF(ISNA(MATCH($F4431,Lists!$A$2:$A$5,0)),"✖ الفترة غير صحيحة",IF(ISNA(MATCH($G4431,Lists!$B$2:$B$7,0)),"✖ المجموعة غير صحيحة",IF(NOT(OR($H4431="",$N4431&gt;0)),"✖ Start غير صحيح",IF(NOT(OR($I4431="",$I4431="NR",$O4431&gt;0)),"✖ Current غير صحيح",IF(NOT(IF(ISNUMBER($J4431),AND($J4431&gt;=0,$J4431=INT($J4431)),FALSE())),"✖ العدد يجب أن يكون صحيحًا ≥ 0",IF(AND($F4431="Baseline",$H4431&lt;&gt;""),"⚠ Baseline: Start لا يدخل في التقدم",IF($K4431="No Start (attainment only)","ℹ تحصيل فقط (بدون Start)",IF($K4431="U – needs rule","ℹ حالة U تحتاج قاعدة معتمدة",IF($K4431="No result","ℹ بدون نتيجة (يُستبعد من التحصيل)","OK")))))))))))</f>
        <v/>
      </c>
      <c r="M4431" s="64" t="n">
        <f aca="false">IF($A4431="",0,IFERROR(MATCH($A4431,Classes!$A$6:$A$420,0),0))</f>
        <v>0</v>
      </c>
      <c r="N4431" s="64" t="n">
        <f aca="false">IF($H4431="",0,IFERROR(MATCH($H4431,GradeList,0),0))</f>
        <v>0</v>
      </c>
      <c r="O4431" s="64" t="n">
        <f aca="false">IF(OR($I4431="",$I4431="NR"),0,IFERROR(MATCH($I4431,GradeList,0),0))</f>
        <v>0</v>
      </c>
      <c r="P4431" s="64" t="n">
        <f aca="false">IF(AND($M4431&gt;0,ISNUMBER(MATCH($F4431,Lists!$A$2:$A$5,0)),ISNUMBER(MATCH($G4431,Lists!$B$2:$B$7,0)),OR($H4431="",$N4431&gt;0),OR($I4431="",$I4431="NR",$O4431&gt;0),IF(ISNUMBER($J4431),AND($J4431&gt;=0,$J4431=INT($J4431)),FALSE())),$J4431,0)</f>
        <v>0</v>
      </c>
      <c r="Q4431" s="64" t="n">
        <f aca="false">IF(AND($P4431&gt;0,$O4431&gt;0),$P4431,0)</f>
        <v>0</v>
      </c>
      <c r="R4431" s="64" t="n">
        <f aca="false">IF(AND($Q4431&gt;0,$O4431&gt;=AtRank),$Q4431,0)</f>
        <v>0</v>
      </c>
      <c r="S4431" s="64" t="n">
        <f aca="false">IF(AND($Q4431&gt;0,$O4431&gt;=AboveRank),$Q4431,0)</f>
        <v>0</v>
      </c>
      <c r="T4431" s="64" t="n">
        <f aca="false">IF($K4431="Less",$P4431,0)</f>
        <v>0</v>
      </c>
      <c r="U4431" s="64" t="n">
        <f aca="false">IF($K4431="Expected",$P4431,0)</f>
        <v>0</v>
      </c>
      <c r="V4431" s="64" t="n">
        <f aca="false">IF($K4431="Better",$P4431,0)</f>
        <v>0</v>
      </c>
      <c r="W4431" s="64" t="n">
        <f aca="false">IF($K4431="U – needs rule",$P4431,0)</f>
        <v>0</v>
      </c>
      <c r="X4431" s="64" t="n">
        <f aca="false">IF($K4431="No Start (attainment only)",$P4431,0)</f>
        <v>0</v>
      </c>
    </row>
    <row r="4432" customFormat="false" ht="15" hidden="false" customHeight="false" outlineLevel="0" collapsed="false">
      <c r="A4432" s="60"/>
      <c r="B4432" s="61" t="str">
        <f aca="false">IF($M4432=0,"",INDEX(Classes!$E$6:$E$420,$M4432))</f>
        <v/>
      </c>
      <c r="C4432" s="62" t="str">
        <f aca="false">IF($M4432=0,"",INDEX(Classes!$H$6:$H$420,$M4432))</f>
        <v/>
      </c>
      <c r="D4432" s="61" t="str">
        <f aca="false">IF($M4432=0,"",INDEX(Classes!$B$6:$B$420,$M4432))</f>
        <v/>
      </c>
      <c r="E4432" s="61" t="str">
        <f aca="false">IF($M4432=0,"",INDEX(Classes!$C$6:$C$420,$M4432))</f>
        <v/>
      </c>
      <c r="F4432" s="63"/>
      <c r="G4432" s="63"/>
      <c r="H4432" s="60"/>
      <c r="I4432" s="60"/>
      <c r="J4432" s="63"/>
      <c r="K4432" s="61" t="str">
        <f aca="false">IF($P4432=0,"",IF($F4432="Baseline","— Baseline",IF($O4432=0,"No result",IF($N4432=0,"No Start (attainment only)",IF(OR($N4432=1,$O4432=1),"U – needs rule",INDEX(MxBody,MATCH($I4432,MxCurr,0),MATCH($H4432,MxStart,0)))))))</f>
        <v/>
      </c>
      <c r="L4432" s="62" t="str">
        <f aca="false">IF(COUNTA($A4432,$F4432,$G4432,$H4432,$I4432,$J4432)=0,"",IF($M4432=0,"✖ كود الصف غير موجود",IF(ISNA(MATCH($F4432,Lists!$A$2:$A$5,0)),"✖ الفترة غير صحيحة",IF(ISNA(MATCH($G4432,Lists!$B$2:$B$7,0)),"✖ المجموعة غير صحيحة",IF(NOT(OR($H4432="",$N4432&gt;0)),"✖ Start غير صحيح",IF(NOT(OR($I4432="",$I4432="NR",$O4432&gt;0)),"✖ Current غير صحيح",IF(NOT(IF(ISNUMBER($J4432),AND($J4432&gt;=0,$J4432=INT($J4432)),FALSE())),"✖ العدد يجب أن يكون صحيحًا ≥ 0",IF(AND($F4432="Baseline",$H4432&lt;&gt;""),"⚠ Baseline: Start لا يدخل في التقدم",IF($K4432="No Start (attainment only)","ℹ تحصيل فقط (بدون Start)",IF($K4432="U – needs rule","ℹ حالة U تحتاج قاعدة معتمدة",IF($K4432="No result","ℹ بدون نتيجة (يُستبعد من التحصيل)","OK")))))))))))</f>
        <v/>
      </c>
      <c r="M4432" s="64" t="n">
        <f aca="false">IF($A4432="",0,IFERROR(MATCH($A4432,Classes!$A$6:$A$420,0),0))</f>
        <v>0</v>
      </c>
      <c r="N4432" s="64" t="n">
        <f aca="false">IF($H4432="",0,IFERROR(MATCH($H4432,GradeList,0),0))</f>
        <v>0</v>
      </c>
      <c r="O4432" s="64" t="n">
        <f aca="false">IF(OR($I4432="",$I4432="NR"),0,IFERROR(MATCH($I4432,GradeList,0),0))</f>
        <v>0</v>
      </c>
      <c r="P4432" s="64" t="n">
        <f aca="false">IF(AND($M4432&gt;0,ISNUMBER(MATCH($F4432,Lists!$A$2:$A$5,0)),ISNUMBER(MATCH($G4432,Lists!$B$2:$B$7,0)),OR($H4432="",$N4432&gt;0),OR($I4432="",$I4432="NR",$O4432&gt;0),IF(ISNUMBER($J4432),AND($J4432&gt;=0,$J4432=INT($J4432)),FALSE())),$J4432,0)</f>
        <v>0</v>
      </c>
      <c r="Q4432" s="64" t="n">
        <f aca="false">IF(AND($P4432&gt;0,$O4432&gt;0),$P4432,0)</f>
        <v>0</v>
      </c>
      <c r="R4432" s="64" t="n">
        <f aca="false">IF(AND($Q4432&gt;0,$O4432&gt;=AtRank),$Q4432,0)</f>
        <v>0</v>
      </c>
      <c r="S4432" s="64" t="n">
        <f aca="false">IF(AND($Q4432&gt;0,$O4432&gt;=AboveRank),$Q4432,0)</f>
        <v>0</v>
      </c>
      <c r="T4432" s="64" t="n">
        <f aca="false">IF($K4432="Less",$P4432,0)</f>
        <v>0</v>
      </c>
      <c r="U4432" s="64" t="n">
        <f aca="false">IF($K4432="Expected",$P4432,0)</f>
        <v>0</v>
      </c>
      <c r="V4432" s="64" t="n">
        <f aca="false">IF($K4432="Better",$P4432,0)</f>
        <v>0</v>
      </c>
      <c r="W4432" s="64" t="n">
        <f aca="false">IF($K4432="U – needs rule",$P4432,0)</f>
        <v>0</v>
      </c>
      <c r="X4432" s="64" t="n">
        <f aca="false">IF($K4432="No Start (attainment only)",$P4432,0)</f>
        <v>0</v>
      </c>
    </row>
    <row r="4433" customFormat="false" ht="15" hidden="false" customHeight="false" outlineLevel="0" collapsed="false">
      <c r="A4433" s="60"/>
      <c r="B4433" s="61" t="str">
        <f aca="false">IF($M4433=0,"",INDEX(Classes!$E$6:$E$420,$M4433))</f>
        <v/>
      </c>
      <c r="C4433" s="62" t="str">
        <f aca="false">IF($M4433=0,"",INDEX(Classes!$H$6:$H$420,$M4433))</f>
        <v/>
      </c>
      <c r="D4433" s="61" t="str">
        <f aca="false">IF($M4433=0,"",INDEX(Classes!$B$6:$B$420,$M4433))</f>
        <v/>
      </c>
      <c r="E4433" s="61" t="str">
        <f aca="false">IF($M4433=0,"",INDEX(Classes!$C$6:$C$420,$M4433))</f>
        <v/>
      </c>
      <c r="F4433" s="63"/>
      <c r="G4433" s="63"/>
      <c r="H4433" s="60"/>
      <c r="I4433" s="60"/>
      <c r="J4433" s="63"/>
      <c r="K4433" s="61" t="str">
        <f aca="false">IF($P4433=0,"",IF($F4433="Baseline","— Baseline",IF($O4433=0,"No result",IF($N4433=0,"No Start (attainment only)",IF(OR($N4433=1,$O4433=1),"U – needs rule",INDEX(MxBody,MATCH($I4433,MxCurr,0),MATCH($H4433,MxStart,0)))))))</f>
        <v/>
      </c>
      <c r="L4433" s="62" t="str">
        <f aca="false">IF(COUNTA($A4433,$F4433,$G4433,$H4433,$I4433,$J4433)=0,"",IF($M4433=0,"✖ كود الصف غير موجود",IF(ISNA(MATCH($F4433,Lists!$A$2:$A$5,0)),"✖ الفترة غير صحيحة",IF(ISNA(MATCH($G4433,Lists!$B$2:$B$7,0)),"✖ المجموعة غير صحيحة",IF(NOT(OR($H4433="",$N4433&gt;0)),"✖ Start غير صحيح",IF(NOT(OR($I4433="",$I4433="NR",$O4433&gt;0)),"✖ Current غير صحيح",IF(NOT(IF(ISNUMBER($J4433),AND($J4433&gt;=0,$J4433=INT($J4433)),FALSE())),"✖ العدد يجب أن يكون صحيحًا ≥ 0",IF(AND($F4433="Baseline",$H4433&lt;&gt;""),"⚠ Baseline: Start لا يدخل في التقدم",IF($K4433="No Start (attainment only)","ℹ تحصيل فقط (بدون Start)",IF($K4433="U – needs rule","ℹ حالة U تحتاج قاعدة معتمدة",IF($K4433="No result","ℹ بدون نتيجة (يُستبعد من التحصيل)","OK")))))))))))</f>
        <v/>
      </c>
      <c r="M4433" s="64" t="n">
        <f aca="false">IF($A4433="",0,IFERROR(MATCH($A4433,Classes!$A$6:$A$420,0),0))</f>
        <v>0</v>
      </c>
      <c r="N4433" s="64" t="n">
        <f aca="false">IF($H4433="",0,IFERROR(MATCH($H4433,GradeList,0),0))</f>
        <v>0</v>
      </c>
      <c r="O4433" s="64" t="n">
        <f aca="false">IF(OR($I4433="",$I4433="NR"),0,IFERROR(MATCH($I4433,GradeList,0),0))</f>
        <v>0</v>
      </c>
      <c r="P4433" s="64" t="n">
        <f aca="false">IF(AND($M4433&gt;0,ISNUMBER(MATCH($F4433,Lists!$A$2:$A$5,0)),ISNUMBER(MATCH($G4433,Lists!$B$2:$B$7,0)),OR($H4433="",$N4433&gt;0),OR($I4433="",$I4433="NR",$O4433&gt;0),IF(ISNUMBER($J4433),AND($J4433&gt;=0,$J4433=INT($J4433)),FALSE())),$J4433,0)</f>
        <v>0</v>
      </c>
      <c r="Q4433" s="64" t="n">
        <f aca="false">IF(AND($P4433&gt;0,$O4433&gt;0),$P4433,0)</f>
        <v>0</v>
      </c>
      <c r="R4433" s="64" t="n">
        <f aca="false">IF(AND($Q4433&gt;0,$O4433&gt;=AtRank),$Q4433,0)</f>
        <v>0</v>
      </c>
      <c r="S4433" s="64" t="n">
        <f aca="false">IF(AND($Q4433&gt;0,$O4433&gt;=AboveRank),$Q4433,0)</f>
        <v>0</v>
      </c>
      <c r="T4433" s="64" t="n">
        <f aca="false">IF($K4433="Less",$P4433,0)</f>
        <v>0</v>
      </c>
      <c r="U4433" s="64" t="n">
        <f aca="false">IF($K4433="Expected",$P4433,0)</f>
        <v>0</v>
      </c>
      <c r="V4433" s="64" t="n">
        <f aca="false">IF($K4433="Better",$P4433,0)</f>
        <v>0</v>
      </c>
      <c r="W4433" s="64" t="n">
        <f aca="false">IF($K4433="U – needs rule",$P4433,0)</f>
        <v>0</v>
      </c>
      <c r="X4433" s="64" t="n">
        <f aca="false">IF($K4433="No Start (attainment only)",$P4433,0)</f>
        <v>0</v>
      </c>
    </row>
    <row r="4434" customFormat="false" ht="15" hidden="false" customHeight="false" outlineLevel="0" collapsed="false">
      <c r="A4434" s="60"/>
      <c r="B4434" s="61" t="str">
        <f aca="false">IF($M4434=0,"",INDEX(Classes!$E$6:$E$420,$M4434))</f>
        <v/>
      </c>
      <c r="C4434" s="62" t="str">
        <f aca="false">IF($M4434=0,"",INDEX(Classes!$H$6:$H$420,$M4434))</f>
        <v/>
      </c>
      <c r="D4434" s="61" t="str">
        <f aca="false">IF($M4434=0,"",INDEX(Classes!$B$6:$B$420,$M4434))</f>
        <v/>
      </c>
      <c r="E4434" s="61" t="str">
        <f aca="false">IF($M4434=0,"",INDEX(Classes!$C$6:$C$420,$M4434))</f>
        <v/>
      </c>
      <c r="F4434" s="63"/>
      <c r="G4434" s="63"/>
      <c r="H4434" s="60"/>
      <c r="I4434" s="60"/>
      <c r="J4434" s="63"/>
      <c r="K4434" s="61" t="str">
        <f aca="false">IF($P4434=0,"",IF($F4434="Baseline","— Baseline",IF($O4434=0,"No result",IF($N4434=0,"No Start (attainment only)",IF(OR($N4434=1,$O4434=1),"U – needs rule",INDEX(MxBody,MATCH($I4434,MxCurr,0),MATCH($H4434,MxStart,0)))))))</f>
        <v/>
      </c>
      <c r="L4434" s="62" t="str">
        <f aca="false">IF(COUNTA($A4434,$F4434,$G4434,$H4434,$I4434,$J4434)=0,"",IF($M4434=0,"✖ كود الصف غير موجود",IF(ISNA(MATCH($F4434,Lists!$A$2:$A$5,0)),"✖ الفترة غير صحيحة",IF(ISNA(MATCH($G4434,Lists!$B$2:$B$7,0)),"✖ المجموعة غير صحيحة",IF(NOT(OR($H4434="",$N4434&gt;0)),"✖ Start غير صحيح",IF(NOT(OR($I4434="",$I4434="NR",$O4434&gt;0)),"✖ Current غير صحيح",IF(NOT(IF(ISNUMBER($J4434),AND($J4434&gt;=0,$J4434=INT($J4434)),FALSE())),"✖ العدد يجب أن يكون صحيحًا ≥ 0",IF(AND($F4434="Baseline",$H4434&lt;&gt;""),"⚠ Baseline: Start لا يدخل في التقدم",IF($K4434="No Start (attainment only)","ℹ تحصيل فقط (بدون Start)",IF($K4434="U – needs rule","ℹ حالة U تحتاج قاعدة معتمدة",IF($K4434="No result","ℹ بدون نتيجة (يُستبعد من التحصيل)","OK")))))))))))</f>
        <v/>
      </c>
      <c r="M4434" s="64" t="n">
        <f aca="false">IF($A4434="",0,IFERROR(MATCH($A4434,Classes!$A$6:$A$420,0),0))</f>
        <v>0</v>
      </c>
      <c r="N4434" s="64" t="n">
        <f aca="false">IF($H4434="",0,IFERROR(MATCH($H4434,GradeList,0),0))</f>
        <v>0</v>
      </c>
      <c r="O4434" s="64" t="n">
        <f aca="false">IF(OR($I4434="",$I4434="NR"),0,IFERROR(MATCH($I4434,GradeList,0),0))</f>
        <v>0</v>
      </c>
      <c r="P4434" s="64" t="n">
        <f aca="false">IF(AND($M4434&gt;0,ISNUMBER(MATCH($F4434,Lists!$A$2:$A$5,0)),ISNUMBER(MATCH($G4434,Lists!$B$2:$B$7,0)),OR($H4434="",$N4434&gt;0),OR($I4434="",$I4434="NR",$O4434&gt;0),IF(ISNUMBER($J4434),AND($J4434&gt;=0,$J4434=INT($J4434)),FALSE())),$J4434,0)</f>
        <v>0</v>
      </c>
      <c r="Q4434" s="64" t="n">
        <f aca="false">IF(AND($P4434&gt;0,$O4434&gt;0),$P4434,0)</f>
        <v>0</v>
      </c>
      <c r="R4434" s="64" t="n">
        <f aca="false">IF(AND($Q4434&gt;0,$O4434&gt;=AtRank),$Q4434,0)</f>
        <v>0</v>
      </c>
      <c r="S4434" s="64" t="n">
        <f aca="false">IF(AND($Q4434&gt;0,$O4434&gt;=AboveRank),$Q4434,0)</f>
        <v>0</v>
      </c>
      <c r="T4434" s="64" t="n">
        <f aca="false">IF($K4434="Less",$P4434,0)</f>
        <v>0</v>
      </c>
      <c r="U4434" s="64" t="n">
        <f aca="false">IF($K4434="Expected",$P4434,0)</f>
        <v>0</v>
      </c>
      <c r="V4434" s="64" t="n">
        <f aca="false">IF($K4434="Better",$P4434,0)</f>
        <v>0</v>
      </c>
      <c r="W4434" s="64" t="n">
        <f aca="false">IF($K4434="U – needs rule",$P4434,0)</f>
        <v>0</v>
      </c>
      <c r="X4434" s="64" t="n">
        <f aca="false">IF($K4434="No Start (attainment only)",$P4434,0)</f>
        <v>0</v>
      </c>
    </row>
    <row r="4435" customFormat="false" ht="15" hidden="false" customHeight="false" outlineLevel="0" collapsed="false">
      <c r="A4435" s="60"/>
      <c r="B4435" s="61" t="str">
        <f aca="false">IF($M4435=0,"",INDEX(Classes!$E$6:$E$420,$M4435))</f>
        <v/>
      </c>
      <c r="C4435" s="62" t="str">
        <f aca="false">IF($M4435=0,"",INDEX(Classes!$H$6:$H$420,$M4435))</f>
        <v/>
      </c>
      <c r="D4435" s="61" t="str">
        <f aca="false">IF($M4435=0,"",INDEX(Classes!$B$6:$B$420,$M4435))</f>
        <v/>
      </c>
      <c r="E4435" s="61" t="str">
        <f aca="false">IF($M4435=0,"",INDEX(Classes!$C$6:$C$420,$M4435))</f>
        <v/>
      </c>
      <c r="F4435" s="63"/>
      <c r="G4435" s="63"/>
      <c r="H4435" s="60"/>
      <c r="I4435" s="60"/>
      <c r="J4435" s="63"/>
      <c r="K4435" s="61" t="str">
        <f aca="false">IF($P4435=0,"",IF($F4435="Baseline","— Baseline",IF($O4435=0,"No result",IF($N4435=0,"No Start (attainment only)",IF(OR($N4435=1,$O4435=1),"U – needs rule",INDEX(MxBody,MATCH($I4435,MxCurr,0),MATCH($H4435,MxStart,0)))))))</f>
        <v/>
      </c>
      <c r="L4435" s="62" t="str">
        <f aca="false">IF(COUNTA($A4435,$F4435,$G4435,$H4435,$I4435,$J4435)=0,"",IF($M4435=0,"✖ كود الصف غير موجود",IF(ISNA(MATCH($F4435,Lists!$A$2:$A$5,0)),"✖ الفترة غير صحيحة",IF(ISNA(MATCH($G4435,Lists!$B$2:$B$7,0)),"✖ المجموعة غير صحيحة",IF(NOT(OR($H4435="",$N4435&gt;0)),"✖ Start غير صحيح",IF(NOT(OR($I4435="",$I4435="NR",$O4435&gt;0)),"✖ Current غير صحيح",IF(NOT(IF(ISNUMBER($J4435),AND($J4435&gt;=0,$J4435=INT($J4435)),FALSE())),"✖ العدد يجب أن يكون صحيحًا ≥ 0",IF(AND($F4435="Baseline",$H4435&lt;&gt;""),"⚠ Baseline: Start لا يدخل في التقدم",IF($K4435="No Start (attainment only)","ℹ تحصيل فقط (بدون Start)",IF($K4435="U – needs rule","ℹ حالة U تحتاج قاعدة معتمدة",IF($K4435="No result","ℹ بدون نتيجة (يُستبعد من التحصيل)","OK")))))))))))</f>
        <v/>
      </c>
      <c r="M4435" s="64" t="n">
        <f aca="false">IF($A4435="",0,IFERROR(MATCH($A4435,Classes!$A$6:$A$420,0),0))</f>
        <v>0</v>
      </c>
      <c r="N4435" s="64" t="n">
        <f aca="false">IF($H4435="",0,IFERROR(MATCH($H4435,GradeList,0),0))</f>
        <v>0</v>
      </c>
      <c r="O4435" s="64" t="n">
        <f aca="false">IF(OR($I4435="",$I4435="NR"),0,IFERROR(MATCH($I4435,GradeList,0),0))</f>
        <v>0</v>
      </c>
      <c r="P4435" s="64" t="n">
        <f aca="false">IF(AND($M4435&gt;0,ISNUMBER(MATCH($F4435,Lists!$A$2:$A$5,0)),ISNUMBER(MATCH($G4435,Lists!$B$2:$B$7,0)),OR($H4435="",$N4435&gt;0),OR($I4435="",$I4435="NR",$O4435&gt;0),IF(ISNUMBER($J4435),AND($J4435&gt;=0,$J4435=INT($J4435)),FALSE())),$J4435,0)</f>
        <v>0</v>
      </c>
      <c r="Q4435" s="64" t="n">
        <f aca="false">IF(AND($P4435&gt;0,$O4435&gt;0),$P4435,0)</f>
        <v>0</v>
      </c>
      <c r="R4435" s="64" t="n">
        <f aca="false">IF(AND($Q4435&gt;0,$O4435&gt;=AtRank),$Q4435,0)</f>
        <v>0</v>
      </c>
      <c r="S4435" s="64" t="n">
        <f aca="false">IF(AND($Q4435&gt;0,$O4435&gt;=AboveRank),$Q4435,0)</f>
        <v>0</v>
      </c>
      <c r="T4435" s="64" t="n">
        <f aca="false">IF($K4435="Less",$P4435,0)</f>
        <v>0</v>
      </c>
      <c r="U4435" s="64" t="n">
        <f aca="false">IF($K4435="Expected",$P4435,0)</f>
        <v>0</v>
      </c>
      <c r="V4435" s="64" t="n">
        <f aca="false">IF($K4435="Better",$P4435,0)</f>
        <v>0</v>
      </c>
      <c r="W4435" s="64" t="n">
        <f aca="false">IF($K4435="U – needs rule",$P4435,0)</f>
        <v>0</v>
      </c>
      <c r="X4435" s="64" t="n">
        <f aca="false">IF($K4435="No Start (attainment only)",$P4435,0)</f>
        <v>0</v>
      </c>
    </row>
    <row r="4436" customFormat="false" ht="15" hidden="false" customHeight="false" outlineLevel="0" collapsed="false">
      <c r="A4436" s="60"/>
      <c r="B4436" s="61" t="str">
        <f aca="false">IF($M4436=0,"",INDEX(Classes!$E$6:$E$420,$M4436))</f>
        <v/>
      </c>
      <c r="C4436" s="62" t="str">
        <f aca="false">IF($M4436=0,"",INDEX(Classes!$H$6:$H$420,$M4436))</f>
        <v/>
      </c>
      <c r="D4436" s="61" t="str">
        <f aca="false">IF($M4436=0,"",INDEX(Classes!$B$6:$B$420,$M4436))</f>
        <v/>
      </c>
      <c r="E4436" s="61" t="str">
        <f aca="false">IF($M4436=0,"",INDEX(Classes!$C$6:$C$420,$M4436))</f>
        <v/>
      </c>
      <c r="F4436" s="63"/>
      <c r="G4436" s="63"/>
      <c r="H4436" s="60"/>
      <c r="I4436" s="60"/>
      <c r="J4436" s="63"/>
      <c r="K4436" s="61" t="str">
        <f aca="false">IF($P4436=0,"",IF($F4436="Baseline","— Baseline",IF($O4436=0,"No result",IF($N4436=0,"No Start (attainment only)",IF(OR($N4436=1,$O4436=1),"U – needs rule",INDEX(MxBody,MATCH($I4436,MxCurr,0),MATCH($H4436,MxStart,0)))))))</f>
        <v/>
      </c>
      <c r="L4436" s="62" t="str">
        <f aca="false">IF(COUNTA($A4436,$F4436,$G4436,$H4436,$I4436,$J4436)=0,"",IF($M4436=0,"✖ كود الصف غير موجود",IF(ISNA(MATCH($F4436,Lists!$A$2:$A$5,0)),"✖ الفترة غير صحيحة",IF(ISNA(MATCH($G4436,Lists!$B$2:$B$7,0)),"✖ المجموعة غير صحيحة",IF(NOT(OR($H4436="",$N4436&gt;0)),"✖ Start غير صحيح",IF(NOT(OR($I4436="",$I4436="NR",$O4436&gt;0)),"✖ Current غير صحيح",IF(NOT(IF(ISNUMBER($J4436),AND($J4436&gt;=0,$J4436=INT($J4436)),FALSE())),"✖ العدد يجب أن يكون صحيحًا ≥ 0",IF(AND($F4436="Baseline",$H4436&lt;&gt;""),"⚠ Baseline: Start لا يدخل في التقدم",IF($K4436="No Start (attainment only)","ℹ تحصيل فقط (بدون Start)",IF($K4436="U – needs rule","ℹ حالة U تحتاج قاعدة معتمدة",IF($K4436="No result","ℹ بدون نتيجة (يُستبعد من التحصيل)","OK")))))))))))</f>
        <v/>
      </c>
      <c r="M4436" s="64" t="n">
        <f aca="false">IF($A4436="",0,IFERROR(MATCH($A4436,Classes!$A$6:$A$420,0),0))</f>
        <v>0</v>
      </c>
      <c r="N4436" s="64" t="n">
        <f aca="false">IF($H4436="",0,IFERROR(MATCH($H4436,GradeList,0),0))</f>
        <v>0</v>
      </c>
      <c r="O4436" s="64" t="n">
        <f aca="false">IF(OR($I4436="",$I4436="NR"),0,IFERROR(MATCH($I4436,GradeList,0),0))</f>
        <v>0</v>
      </c>
      <c r="P4436" s="64" t="n">
        <f aca="false">IF(AND($M4436&gt;0,ISNUMBER(MATCH($F4436,Lists!$A$2:$A$5,0)),ISNUMBER(MATCH($G4436,Lists!$B$2:$B$7,0)),OR($H4436="",$N4436&gt;0),OR($I4436="",$I4436="NR",$O4436&gt;0),IF(ISNUMBER($J4436),AND($J4436&gt;=0,$J4436=INT($J4436)),FALSE())),$J4436,0)</f>
        <v>0</v>
      </c>
      <c r="Q4436" s="64" t="n">
        <f aca="false">IF(AND($P4436&gt;0,$O4436&gt;0),$P4436,0)</f>
        <v>0</v>
      </c>
      <c r="R4436" s="64" t="n">
        <f aca="false">IF(AND($Q4436&gt;0,$O4436&gt;=AtRank),$Q4436,0)</f>
        <v>0</v>
      </c>
      <c r="S4436" s="64" t="n">
        <f aca="false">IF(AND($Q4436&gt;0,$O4436&gt;=AboveRank),$Q4436,0)</f>
        <v>0</v>
      </c>
      <c r="T4436" s="64" t="n">
        <f aca="false">IF($K4436="Less",$P4436,0)</f>
        <v>0</v>
      </c>
      <c r="U4436" s="64" t="n">
        <f aca="false">IF($K4436="Expected",$P4436,0)</f>
        <v>0</v>
      </c>
      <c r="V4436" s="64" t="n">
        <f aca="false">IF($K4436="Better",$P4436,0)</f>
        <v>0</v>
      </c>
      <c r="W4436" s="64" t="n">
        <f aca="false">IF($K4436="U – needs rule",$P4436,0)</f>
        <v>0</v>
      </c>
      <c r="X4436" s="64" t="n">
        <f aca="false">IF($K4436="No Start (attainment only)",$P4436,0)</f>
        <v>0</v>
      </c>
    </row>
    <row r="4437" customFormat="false" ht="15" hidden="false" customHeight="false" outlineLevel="0" collapsed="false">
      <c r="A4437" s="60"/>
      <c r="B4437" s="61" t="str">
        <f aca="false">IF($M4437=0,"",INDEX(Classes!$E$6:$E$420,$M4437))</f>
        <v/>
      </c>
      <c r="C4437" s="62" t="str">
        <f aca="false">IF($M4437=0,"",INDEX(Classes!$H$6:$H$420,$M4437))</f>
        <v/>
      </c>
      <c r="D4437" s="61" t="str">
        <f aca="false">IF($M4437=0,"",INDEX(Classes!$B$6:$B$420,$M4437))</f>
        <v/>
      </c>
      <c r="E4437" s="61" t="str">
        <f aca="false">IF($M4437=0,"",INDEX(Classes!$C$6:$C$420,$M4437))</f>
        <v/>
      </c>
      <c r="F4437" s="63"/>
      <c r="G4437" s="63"/>
      <c r="H4437" s="60"/>
      <c r="I4437" s="60"/>
      <c r="J4437" s="63"/>
      <c r="K4437" s="61" t="str">
        <f aca="false">IF($P4437=0,"",IF($F4437="Baseline","— Baseline",IF($O4437=0,"No result",IF($N4437=0,"No Start (attainment only)",IF(OR($N4437=1,$O4437=1),"U – needs rule",INDEX(MxBody,MATCH($I4437,MxCurr,0),MATCH($H4437,MxStart,0)))))))</f>
        <v/>
      </c>
      <c r="L4437" s="62" t="str">
        <f aca="false">IF(COUNTA($A4437,$F4437,$G4437,$H4437,$I4437,$J4437)=0,"",IF($M4437=0,"✖ كود الصف غير موجود",IF(ISNA(MATCH($F4437,Lists!$A$2:$A$5,0)),"✖ الفترة غير صحيحة",IF(ISNA(MATCH($G4437,Lists!$B$2:$B$7,0)),"✖ المجموعة غير صحيحة",IF(NOT(OR($H4437="",$N4437&gt;0)),"✖ Start غير صحيح",IF(NOT(OR($I4437="",$I4437="NR",$O4437&gt;0)),"✖ Current غير صحيح",IF(NOT(IF(ISNUMBER($J4437),AND($J4437&gt;=0,$J4437=INT($J4437)),FALSE())),"✖ العدد يجب أن يكون صحيحًا ≥ 0",IF(AND($F4437="Baseline",$H4437&lt;&gt;""),"⚠ Baseline: Start لا يدخل في التقدم",IF($K4437="No Start (attainment only)","ℹ تحصيل فقط (بدون Start)",IF($K4437="U – needs rule","ℹ حالة U تحتاج قاعدة معتمدة",IF($K4437="No result","ℹ بدون نتيجة (يُستبعد من التحصيل)","OK")))))))))))</f>
        <v/>
      </c>
      <c r="M4437" s="64" t="n">
        <f aca="false">IF($A4437="",0,IFERROR(MATCH($A4437,Classes!$A$6:$A$420,0),0))</f>
        <v>0</v>
      </c>
      <c r="N4437" s="64" t="n">
        <f aca="false">IF($H4437="",0,IFERROR(MATCH($H4437,GradeList,0),0))</f>
        <v>0</v>
      </c>
      <c r="O4437" s="64" t="n">
        <f aca="false">IF(OR($I4437="",$I4437="NR"),0,IFERROR(MATCH($I4437,GradeList,0),0))</f>
        <v>0</v>
      </c>
      <c r="P4437" s="64" t="n">
        <f aca="false">IF(AND($M4437&gt;0,ISNUMBER(MATCH($F4437,Lists!$A$2:$A$5,0)),ISNUMBER(MATCH($G4437,Lists!$B$2:$B$7,0)),OR($H4437="",$N4437&gt;0),OR($I4437="",$I4437="NR",$O4437&gt;0),IF(ISNUMBER($J4437),AND($J4437&gt;=0,$J4437=INT($J4437)),FALSE())),$J4437,0)</f>
        <v>0</v>
      </c>
      <c r="Q4437" s="64" t="n">
        <f aca="false">IF(AND($P4437&gt;0,$O4437&gt;0),$P4437,0)</f>
        <v>0</v>
      </c>
      <c r="R4437" s="64" t="n">
        <f aca="false">IF(AND($Q4437&gt;0,$O4437&gt;=AtRank),$Q4437,0)</f>
        <v>0</v>
      </c>
      <c r="S4437" s="64" t="n">
        <f aca="false">IF(AND($Q4437&gt;0,$O4437&gt;=AboveRank),$Q4437,0)</f>
        <v>0</v>
      </c>
      <c r="T4437" s="64" t="n">
        <f aca="false">IF($K4437="Less",$P4437,0)</f>
        <v>0</v>
      </c>
      <c r="U4437" s="64" t="n">
        <f aca="false">IF($K4437="Expected",$P4437,0)</f>
        <v>0</v>
      </c>
      <c r="V4437" s="64" t="n">
        <f aca="false">IF($K4437="Better",$P4437,0)</f>
        <v>0</v>
      </c>
      <c r="W4437" s="64" t="n">
        <f aca="false">IF($K4437="U – needs rule",$P4437,0)</f>
        <v>0</v>
      </c>
      <c r="X4437" s="64" t="n">
        <f aca="false">IF($K4437="No Start (attainment only)",$P4437,0)</f>
        <v>0</v>
      </c>
    </row>
    <row r="4438" customFormat="false" ht="15" hidden="false" customHeight="false" outlineLevel="0" collapsed="false">
      <c r="A4438" s="60"/>
      <c r="B4438" s="61" t="str">
        <f aca="false">IF($M4438=0,"",INDEX(Classes!$E$6:$E$420,$M4438))</f>
        <v/>
      </c>
      <c r="C4438" s="62" t="str">
        <f aca="false">IF($M4438=0,"",INDEX(Classes!$H$6:$H$420,$M4438))</f>
        <v/>
      </c>
      <c r="D4438" s="61" t="str">
        <f aca="false">IF($M4438=0,"",INDEX(Classes!$B$6:$B$420,$M4438))</f>
        <v/>
      </c>
      <c r="E4438" s="61" t="str">
        <f aca="false">IF($M4438=0,"",INDEX(Classes!$C$6:$C$420,$M4438))</f>
        <v/>
      </c>
      <c r="F4438" s="63"/>
      <c r="G4438" s="63"/>
      <c r="H4438" s="60"/>
      <c r="I4438" s="60"/>
      <c r="J4438" s="63"/>
      <c r="K4438" s="61" t="str">
        <f aca="false">IF($P4438=0,"",IF($F4438="Baseline","— Baseline",IF($O4438=0,"No result",IF($N4438=0,"No Start (attainment only)",IF(OR($N4438=1,$O4438=1),"U – needs rule",INDEX(MxBody,MATCH($I4438,MxCurr,0),MATCH($H4438,MxStart,0)))))))</f>
        <v/>
      </c>
      <c r="L4438" s="62" t="str">
        <f aca="false">IF(COUNTA($A4438,$F4438,$G4438,$H4438,$I4438,$J4438)=0,"",IF($M4438=0,"✖ كود الصف غير موجود",IF(ISNA(MATCH($F4438,Lists!$A$2:$A$5,0)),"✖ الفترة غير صحيحة",IF(ISNA(MATCH($G4438,Lists!$B$2:$B$7,0)),"✖ المجموعة غير صحيحة",IF(NOT(OR($H4438="",$N4438&gt;0)),"✖ Start غير صحيح",IF(NOT(OR($I4438="",$I4438="NR",$O4438&gt;0)),"✖ Current غير صحيح",IF(NOT(IF(ISNUMBER($J4438),AND($J4438&gt;=0,$J4438=INT($J4438)),FALSE())),"✖ العدد يجب أن يكون صحيحًا ≥ 0",IF(AND($F4438="Baseline",$H4438&lt;&gt;""),"⚠ Baseline: Start لا يدخل في التقدم",IF($K4438="No Start (attainment only)","ℹ تحصيل فقط (بدون Start)",IF($K4438="U – needs rule","ℹ حالة U تحتاج قاعدة معتمدة",IF($K4438="No result","ℹ بدون نتيجة (يُستبعد من التحصيل)","OK")))))))))))</f>
        <v/>
      </c>
      <c r="M4438" s="64" t="n">
        <f aca="false">IF($A4438="",0,IFERROR(MATCH($A4438,Classes!$A$6:$A$420,0),0))</f>
        <v>0</v>
      </c>
      <c r="N4438" s="64" t="n">
        <f aca="false">IF($H4438="",0,IFERROR(MATCH($H4438,GradeList,0),0))</f>
        <v>0</v>
      </c>
      <c r="O4438" s="64" t="n">
        <f aca="false">IF(OR($I4438="",$I4438="NR"),0,IFERROR(MATCH($I4438,GradeList,0),0))</f>
        <v>0</v>
      </c>
      <c r="P4438" s="64" t="n">
        <f aca="false">IF(AND($M4438&gt;0,ISNUMBER(MATCH($F4438,Lists!$A$2:$A$5,0)),ISNUMBER(MATCH($G4438,Lists!$B$2:$B$7,0)),OR($H4438="",$N4438&gt;0),OR($I4438="",$I4438="NR",$O4438&gt;0),IF(ISNUMBER($J4438),AND($J4438&gt;=0,$J4438=INT($J4438)),FALSE())),$J4438,0)</f>
        <v>0</v>
      </c>
      <c r="Q4438" s="64" t="n">
        <f aca="false">IF(AND($P4438&gt;0,$O4438&gt;0),$P4438,0)</f>
        <v>0</v>
      </c>
      <c r="R4438" s="64" t="n">
        <f aca="false">IF(AND($Q4438&gt;0,$O4438&gt;=AtRank),$Q4438,0)</f>
        <v>0</v>
      </c>
      <c r="S4438" s="64" t="n">
        <f aca="false">IF(AND($Q4438&gt;0,$O4438&gt;=AboveRank),$Q4438,0)</f>
        <v>0</v>
      </c>
      <c r="T4438" s="64" t="n">
        <f aca="false">IF($K4438="Less",$P4438,0)</f>
        <v>0</v>
      </c>
      <c r="U4438" s="64" t="n">
        <f aca="false">IF($K4438="Expected",$P4438,0)</f>
        <v>0</v>
      </c>
      <c r="V4438" s="64" t="n">
        <f aca="false">IF($K4438="Better",$P4438,0)</f>
        <v>0</v>
      </c>
      <c r="W4438" s="64" t="n">
        <f aca="false">IF($K4438="U – needs rule",$P4438,0)</f>
        <v>0</v>
      </c>
      <c r="X4438" s="64" t="n">
        <f aca="false">IF($K4438="No Start (attainment only)",$P4438,0)</f>
        <v>0</v>
      </c>
    </row>
    <row r="4439" customFormat="false" ht="15" hidden="false" customHeight="false" outlineLevel="0" collapsed="false">
      <c r="A4439" s="60"/>
      <c r="B4439" s="61" t="str">
        <f aca="false">IF($M4439=0,"",INDEX(Classes!$E$6:$E$420,$M4439))</f>
        <v/>
      </c>
      <c r="C4439" s="62" t="str">
        <f aca="false">IF($M4439=0,"",INDEX(Classes!$H$6:$H$420,$M4439))</f>
        <v/>
      </c>
      <c r="D4439" s="61" t="str">
        <f aca="false">IF($M4439=0,"",INDEX(Classes!$B$6:$B$420,$M4439))</f>
        <v/>
      </c>
      <c r="E4439" s="61" t="str">
        <f aca="false">IF($M4439=0,"",INDEX(Classes!$C$6:$C$420,$M4439))</f>
        <v/>
      </c>
      <c r="F4439" s="63"/>
      <c r="G4439" s="63"/>
      <c r="H4439" s="60"/>
      <c r="I4439" s="60"/>
      <c r="J4439" s="63"/>
      <c r="K4439" s="61" t="str">
        <f aca="false">IF($P4439=0,"",IF($F4439="Baseline","— Baseline",IF($O4439=0,"No result",IF($N4439=0,"No Start (attainment only)",IF(OR($N4439=1,$O4439=1),"U – needs rule",INDEX(MxBody,MATCH($I4439,MxCurr,0),MATCH($H4439,MxStart,0)))))))</f>
        <v/>
      </c>
      <c r="L4439" s="62" t="str">
        <f aca="false">IF(COUNTA($A4439,$F4439,$G4439,$H4439,$I4439,$J4439)=0,"",IF($M4439=0,"✖ كود الصف غير موجود",IF(ISNA(MATCH($F4439,Lists!$A$2:$A$5,0)),"✖ الفترة غير صحيحة",IF(ISNA(MATCH($G4439,Lists!$B$2:$B$7,0)),"✖ المجموعة غير صحيحة",IF(NOT(OR($H4439="",$N4439&gt;0)),"✖ Start غير صحيح",IF(NOT(OR($I4439="",$I4439="NR",$O4439&gt;0)),"✖ Current غير صحيح",IF(NOT(IF(ISNUMBER($J4439),AND($J4439&gt;=0,$J4439=INT($J4439)),FALSE())),"✖ العدد يجب أن يكون صحيحًا ≥ 0",IF(AND($F4439="Baseline",$H4439&lt;&gt;""),"⚠ Baseline: Start لا يدخل في التقدم",IF($K4439="No Start (attainment only)","ℹ تحصيل فقط (بدون Start)",IF($K4439="U – needs rule","ℹ حالة U تحتاج قاعدة معتمدة",IF($K4439="No result","ℹ بدون نتيجة (يُستبعد من التحصيل)","OK")))))))))))</f>
        <v/>
      </c>
      <c r="M4439" s="64" t="n">
        <f aca="false">IF($A4439="",0,IFERROR(MATCH($A4439,Classes!$A$6:$A$420,0),0))</f>
        <v>0</v>
      </c>
      <c r="N4439" s="64" t="n">
        <f aca="false">IF($H4439="",0,IFERROR(MATCH($H4439,GradeList,0),0))</f>
        <v>0</v>
      </c>
      <c r="O4439" s="64" t="n">
        <f aca="false">IF(OR($I4439="",$I4439="NR"),0,IFERROR(MATCH($I4439,GradeList,0),0))</f>
        <v>0</v>
      </c>
      <c r="P4439" s="64" t="n">
        <f aca="false">IF(AND($M4439&gt;0,ISNUMBER(MATCH($F4439,Lists!$A$2:$A$5,0)),ISNUMBER(MATCH($G4439,Lists!$B$2:$B$7,0)),OR($H4439="",$N4439&gt;0),OR($I4439="",$I4439="NR",$O4439&gt;0),IF(ISNUMBER($J4439),AND($J4439&gt;=0,$J4439=INT($J4439)),FALSE())),$J4439,0)</f>
        <v>0</v>
      </c>
      <c r="Q4439" s="64" t="n">
        <f aca="false">IF(AND($P4439&gt;0,$O4439&gt;0),$P4439,0)</f>
        <v>0</v>
      </c>
      <c r="R4439" s="64" t="n">
        <f aca="false">IF(AND($Q4439&gt;0,$O4439&gt;=AtRank),$Q4439,0)</f>
        <v>0</v>
      </c>
      <c r="S4439" s="64" t="n">
        <f aca="false">IF(AND($Q4439&gt;0,$O4439&gt;=AboveRank),$Q4439,0)</f>
        <v>0</v>
      </c>
      <c r="T4439" s="64" t="n">
        <f aca="false">IF($K4439="Less",$P4439,0)</f>
        <v>0</v>
      </c>
      <c r="U4439" s="64" t="n">
        <f aca="false">IF($K4439="Expected",$P4439,0)</f>
        <v>0</v>
      </c>
      <c r="V4439" s="64" t="n">
        <f aca="false">IF($K4439="Better",$P4439,0)</f>
        <v>0</v>
      </c>
      <c r="W4439" s="64" t="n">
        <f aca="false">IF($K4439="U – needs rule",$P4439,0)</f>
        <v>0</v>
      </c>
      <c r="X4439" s="64" t="n">
        <f aca="false">IF($K4439="No Start (attainment only)",$P4439,0)</f>
        <v>0</v>
      </c>
    </row>
    <row r="4440" customFormat="false" ht="15" hidden="false" customHeight="false" outlineLevel="0" collapsed="false">
      <c r="A4440" s="60"/>
      <c r="B4440" s="61" t="str">
        <f aca="false">IF($M4440=0,"",INDEX(Classes!$E$6:$E$420,$M4440))</f>
        <v/>
      </c>
      <c r="C4440" s="62" t="str">
        <f aca="false">IF($M4440=0,"",INDEX(Classes!$H$6:$H$420,$M4440))</f>
        <v/>
      </c>
      <c r="D4440" s="61" t="str">
        <f aca="false">IF($M4440=0,"",INDEX(Classes!$B$6:$B$420,$M4440))</f>
        <v/>
      </c>
      <c r="E4440" s="61" t="str">
        <f aca="false">IF($M4440=0,"",INDEX(Classes!$C$6:$C$420,$M4440))</f>
        <v/>
      </c>
      <c r="F4440" s="63"/>
      <c r="G4440" s="63"/>
      <c r="H4440" s="60"/>
      <c r="I4440" s="60"/>
      <c r="J4440" s="63"/>
      <c r="K4440" s="61" t="str">
        <f aca="false">IF($P4440=0,"",IF($F4440="Baseline","— Baseline",IF($O4440=0,"No result",IF($N4440=0,"No Start (attainment only)",IF(OR($N4440=1,$O4440=1),"U – needs rule",INDEX(MxBody,MATCH($I4440,MxCurr,0),MATCH($H4440,MxStart,0)))))))</f>
        <v/>
      </c>
      <c r="L4440" s="62" t="str">
        <f aca="false">IF(COUNTA($A4440,$F4440,$G4440,$H4440,$I4440,$J4440)=0,"",IF($M4440=0,"✖ كود الصف غير موجود",IF(ISNA(MATCH($F4440,Lists!$A$2:$A$5,0)),"✖ الفترة غير صحيحة",IF(ISNA(MATCH($G4440,Lists!$B$2:$B$7,0)),"✖ المجموعة غير صحيحة",IF(NOT(OR($H4440="",$N4440&gt;0)),"✖ Start غير صحيح",IF(NOT(OR($I4440="",$I4440="NR",$O4440&gt;0)),"✖ Current غير صحيح",IF(NOT(IF(ISNUMBER($J4440),AND($J4440&gt;=0,$J4440=INT($J4440)),FALSE())),"✖ العدد يجب أن يكون صحيحًا ≥ 0",IF(AND($F4440="Baseline",$H4440&lt;&gt;""),"⚠ Baseline: Start لا يدخل في التقدم",IF($K4440="No Start (attainment only)","ℹ تحصيل فقط (بدون Start)",IF($K4440="U – needs rule","ℹ حالة U تحتاج قاعدة معتمدة",IF($K4440="No result","ℹ بدون نتيجة (يُستبعد من التحصيل)","OK")))))))))))</f>
        <v/>
      </c>
      <c r="M4440" s="64" t="n">
        <f aca="false">IF($A4440="",0,IFERROR(MATCH($A4440,Classes!$A$6:$A$420,0),0))</f>
        <v>0</v>
      </c>
      <c r="N4440" s="64" t="n">
        <f aca="false">IF($H4440="",0,IFERROR(MATCH($H4440,GradeList,0),0))</f>
        <v>0</v>
      </c>
      <c r="O4440" s="64" t="n">
        <f aca="false">IF(OR($I4440="",$I4440="NR"),0,IFERROR(MATCH($I4440,GradeList,0),0))</f>
        <v>0</v>
      </c>
      <c r="P4440" s="64" t="n">
        <f aca="false">IF(AND($M4440&gt;0,ISNUMBER(MATCH($F4440,Lists!$A$2:$A$5,0)),ISNUMBER(MATCH($G4440,Lists!$B$2:$B$7,0)),OR($H4440="",$N4440&gt;0),OR($I4440="",$I4440="NR",$O4440&gt;0),IF(ISNUMBER($J4440),AND($J4440&gt;=0,$J4440=INT($J4440)),FALSE())),$J4440,0)</f>
        <v>0</v>
      </c>
      <c r="Q4440" s="64" t="n">
        <f aca="false">IF(AND($P4440&gt;0,$O4440&gt;0),$P4440,0)</f>
        <v>0</v>
      </c>
      <c r="R4440" s="64" t="n">
        <f aca="false">IF(AND($Q4440&gt;0,$O4440&gt;=AtRank),$Q4440,0)</f>
        <v>0</v>
      </c>
      <c r="S4440" s="64" t="n">
        <f aca="false">IF(AND($Q4440&gt;0,$O4440&gt;=AboveRank),$Q4440,0)</f>
        <v>0</v>
      </c>
      <c r="T4440" s="64" t="n">
        <f aca="false">IF($K4440="Less",$P4440,0)</f>
        <v>0</v>
      </c>
      <c r="U4440" s="64" t="n">
        <f aca="false">IF($K4440="Expected",$P4440,0)</f>
        <v>0</v>
      </c>
      <c r="V4440" s="64" t="n">
        <f aca="false">IF($K4440="Better",$P4440,0)</f>
        <v>0</v>
      </c>
      <c r="W4440" s="64" t="n">
        <f aca="false">IF($K4440="U – needs rule",$P4440,0)</f>
        <v>0</v>
      </c>
      <c r="X4440" s="64" t="n">
        <f aca="false">IF($K4440="No Start (attainment only)",$P4440,0)</f>
        <v>0</v>
      </c>
    </row>
    <row r="4441" customFormat="false" ht="15" hidden="false" customHeight="false" outlineLevel="0" collapsed="false">
      <c r="A4441" s="60"/>
      <c r="B4441" s="61" t="str">
        <f aca="false">IF($M4441=0,"",INDEX(Classes!$E$6:$E$420,$M4441))</f>
        <v/>
      </c>
      <c r="C4441" s="62" t="str">
        <f aca="false">IF($M4441=0,"",INDEX(Classes!$H$6:$H$420,$M4441))</f>
        <v/>
      </c>
      <c r="D4441" s="61" t="str">
        <f aca="false">IF($M4441=0,"",INDEX(Classes!$B$6:$B$420,$M4441))</f>
        <v/>
      </c>
      <c r="E4441" s="61" t="str">
        <f aca="false">IF($M4441=0,"",INDEX(Classes!$C$6:$C$420,$M4441))</f>
        <v/>
      </c>
      <c r="F4441" s="63"/>
      <c r="G4441" s="63"/>
      <c r="H4441" s="60"/>
      <c r="I4441" s="60"/>
      <c r="J4441" s="63"/>
      <c r="K4441" s="61" t="str">
        <f aca="false">IF($P4441=0,"",IF($F4441="Baseline","— Baseline",IF($O4441=0,"No result",IF($N4441=0,"No Start (attainment only)",IF(OR($N4441=1,$O4441=1),"U – needs rule",INDEX(MxBody,MATCH($I4441,MxCurr,0),MATCH($H4441,MxStart,0)))))))</f>
        <v/>
      </c>
      <c r="L4441" s="62" t="str">
        <f aca="false">IF(COUNTA($A4441,$F4441,$G4441,$H4441,$I4441,$J4441)=0,"",IF($M4441=0,"✖ كود الصف غير موجود",IF(ISNA(MATCH($F4441,Lists!$A$2:$A$5,0)),"✖ الفترة غير صحيحة",IF(ISNA(MATCH($G4441,Lists!$B$2:$B$7,0)),"✖ المجموعة غير صحيحة",IF(NOT(OR($H4441="",$N4441&gt;0)),"✖ Start غير صحيح",IF(NOT(OR($I4441="",$I4441="NR",$O4441&gt;0)),"✖ Current غير صحيح",IF(NOT(IF(ISNUMBER($J4441),AND($J4441&gt;=0,$J4441=INT($J4441)),FALSE())),"✖ العدد يجب أن يكون صحيحًا ≥ 0",IF(AND($F4441="Baseline",$H4441&lt;&gt;""),"⚠ Baseline: Start لا يدخل في التقدم",IF($K4441="No Start (attainment only)","ℹ تحصيل فقط (بدون Start)",IF($K4441="U – needs rule","ℹ حالة U تحتاج قاعدة معتمدة",IF($K4441="No result","ℹ بدون نتيجة (يُستبعد من التحصيل)","OK")))))))))))</f>
        <v/>
      </c>
      <c r="M4441" s="64" t="n">
        <f aca="false">IF($A4441="",0,IFERROR(MATCH($A4441,Classes!$A$6:$A$420,0),0))</f>
        <v>0</v>
      </c>
      <c r="N4441" s="64" t="n">
        <f aca="false">IF($H4441="",0,IFERROR(MATCH($H4441,GradeList,0),0))</f>
        <v>0</v>
      </c>
      <c r="O4441" s="64" t="n">
        <f aca="false">IF(OR($I4441="",$I4441="NR"),0,IFERROR(MATCH($I4441,GradeList,0),0))</f>
        <v>0</v>
      </c>
      <c r="P4441" s="64" t="n">
        <f aca="false">IF(AND($M4441&gt;0,ISNUMBER(MATCH($F4441,Lists!$A$2:$A$5,0)),ISNUMBER(MATCH($G4441,Lists!$B$2:$B$7,0)),OR($H4441="",$N4441&gt;0),OR($I4441="",$I4441="NR",$O4441&gt;0),IF(ISNUMBER($J4441),AND($J4441&gt;=0,$J4441=INT($J4441)),FALSE())),$J4441,0)</f>
        <v>0</v>
      </c>
      <c r="Q4441" s="64" t="n">
        <f aca="false">IF(AND($P4441&gt;0,$O4441&gt;0),$P4441,0)</f>
        <v>0</v>
      </c>
      <c r="R4441" s="64" t="n">
        <f aca="false">IF(AND($Q4441&gt;0,$O4441&gt;=AtRank),$Q4441,0)</f>
        <v>0</v>
      </c>
      <c r="S4441" s="64" t="n">
        <f aca="false">IF(AND($Q4441&gt;0,$O4441&gt;=AboveRank),$Q4441,0)</f>
        <v>0</v>
      </c>
      <c r="T4441" s="64" t="n">
        <f aca="false">IF($K4441="Less",$P4441,0)</f>
        <v>0</v>
      </c>
      <c r="U4441" s="64" t="n">
        <f aca="false">IF($K4441="Expected",$P4441,0)</f>
        <v>0</v>
      </c>
      <c r="V4441" s="64" t="n">
        <f aca="false">IF($K4441="Better",$P4441,0)</f>
        <v>0</v>
      </c>
      <c r="W4441" s="64" t="n">
        <f aca="false">IF($K4441="U – needs rule",$P4441,0)</f>
        <v>0</v>
      </c>
      <c r="X4441" s="64" t="n">
        <f aca="false">IF($K4441="No Start (attainment only)",$P4441,0)</f>
        <v>0</v>
      </c>
    </row>
    <row r="4442" customFormat="false" ht="15" hidden="false" customHeight="false" outlineLevel="0" collapsed="false">
      <c r="A4442" s="60"/>
      <c r="B4442" s="61" t="str">
        <f aca="false">IF($M4442=0,"",INDEX(Classes!$E$6:$E$420,$M4442))</f>
        <v/>
      </c>
      <c r="C4442" s="62" t="str">
        <f aca="false">IF($M4442=0,"",INDEX(Classes!$H$6:$H$420,$M4442))</f>
        <v/>
      </c>
      <c r="D4442" s="61" t="str">
        <f aca="false">IF($M4442=0,"",INDEX(Classes!$B$6:$B$420,$M4442))</f>
        <v/>
      </c>
      <c r="E4442" s="61" t="str">
        <f aca="false">IF($M4442=0,"",INDEX(Classes!$C$6:$C$420,$M4442))</f>
        <v/>
      </c>
      <c r="F4442" s="63"/>
      <c r="G4442" s="63"/>
      <c r="H4442" s="60"/>
      <c r="I4442" s="60"/>
      <c r="J4442" s="63"/>
      <c r="K4442" s="61" t="str">
        <f aca="false">IF($P4442=0,"",IF($F4442="Baseline","— Baseline",IF($O4442=0,"No result",IF($N4442=0,"No Start (attainment only)",IF(OR($N4442=1,$O4442=1),"U – needs rule",INDEX(MxBody,MATCH($I4442,MxCurr,0),MATCH($H4442,MxStart,0)))))))</f>
        <v/>
      </c>
      <c r="L4442" s="62" t="str">
        <f aca="false">IF(COUNTA($A4442,$F4442,$G4442,$H4442,$I4442,$J4442)=0,"",IF($M4442=0,"✖ كود الصف غير موجود",IF(ISNA(MATCH($F4442,Lists!$A$2:$A$5,0)),"✖ الفترة غير صحيحة",IF(ISNA(MATCH($G4442,Lists!$B$2:$B$7,0)),"✖ المجموعة غير صحيحة",IF(NOT(OR($H4442="",$N4442&gt;0)),"✖ Start غير صحيح",IF(NOT(OR($I4442="",$I4442="NR",$O4442&gt;0)),"✖ Current غير صحيح",IF(NOT(IF(ISNUMBER($J4442),AND($J4442&gt;=0,$J4442=INT($J4442)),FALSE())),"✖ العدد يجب أن يكون صحيحًا ≥ 0",IF(AND($F4442="Baseline",$H4442&lt;&gt;""),"⚠ Baseline: Start لا يدخل في التقدم",IF($K4442="No Start (attainment only)","ℹ تحصيل فقط (بدون Start)",IF($K4442="U – needs rule","ℹ حالة U تحتاج قاعدة معتمدة",IF($K4442="No result","ℹ بدون نتيجة (يُستبعد من التحصيل)","OK")))))))))))</f>
        <v/>
      </c>
      <c r="M4442" s="64" t="n">
        <f aca="false">IF($A4442="",0,IFERROR(MATCH($A4442,Classes!$A$6:$A$420,0),0))</f>
        <v>0</v>
      </c>
      <c r="N4442" s="64" t="n">
        <f aca="false">IF($H4442="",0,IFERROR(MATCH($H4442,GradeList,0),0))</f>
        <v>0</v>
      </c>
      <c r="O4442" s="64" t="n">
        <f aca="false">IF(OR($I4442="",$I4442="NR"),0,IFERROR(MATCH($I4442,GradeList,0),0))</f>
        <v>0</v>
      </c>
      <c r="P4442" s="64" t="n">
        <f aca="false">IF(AND($M4442&gt;0,ISNUMBER(MATCH($F4442,Lists!$A$2:$A$5,0)),ISNUMBER(MATCH($G4442,Lists!$B$2:$B$7,0)),OR($H4442="",$N4442&gt;0),OR($I4442="",$I4442="NR",$O4442&gt;0),IF(ISNUMBER($J4442),AND($J4442&gt;=0,$J4442=INT($J4442)),FALSE())),$J4442,0)</f>
        <v>0</v>
      </c>
      <c r="Q4442" s="64" t="n">
        <f aca="false">IF(AND($P4442&gt;0,$O4442&gt;0),$P4442,0)</f>
        <v>0</v>
      </c>
      <c r="R4442" s="64" t="n">
        <f aca="false">IF(AND($Q4442&gt;0,$O4442&gt;=AtRank),$Q4442,0)</f>
        <v>0</v>
      </c>
      <c r="S4442" s="64" t="n">
        <f aca="false">IF(AND($Q4442&gt;0,$O4442&gt;=AboveRank),$Q4442,0)</f>
        <v>0</v>
      </c>
      <c r="T4442" s="64" t="n">
        <f aca="false">IF($K4442="Less",$P4442,0)</f>
        <v>0</v>
      </c>
      <c r="U4442" s="64" t="n">
        <f aca="false">IF($K4442="Expected",$P4442,0)</f>
        <v>0</v>
      </c>
      <c r="V4442" s="64" t="n">
        <f aca="false">IF($K4442="Better",$P4442,0)</f>
        <v>0</v>
      </c>
      <c r="W4442" s="64" t="n">
        <f aca="false">IF($K4442="U – needs rule",$P4442,0)</f>
        <v>0</v>
      </c>
      <c r="X4442" s="64" t="n">
        <f aca="false">IF($K4442="No Start (attainment only)",$P4442,0)</f>
        <v>0</v>
      </c>
    </row>
    <row r="4443" customFormat="false" ht="15" hidden="false" customHeight="false" outlineLevel="0" collapsed="false">
      <c r="A4443" s="60"/>
      <c r="B4443" s="61" t="str">
        <f aca="false">IF($M4443=0,"",INDEX(Classes!$E$6:$E$420,$M4443))</f>
        <v/>
      </c>
      <c r="C4443" s="62" t="str">
        <f aca="false">IF($M4443=0,"",INDEX(Classes!$H$6:$H$420,$M4443))</f>
        <v/>
      </c>
      <c r="D4443" s="61" t="str">
        <f aca="false">IF($M4443=0,"",INDEX(Classes!$B$6:$B$420,$M4443))</f>
        <v/>
      </c>
      <c r="E4443" s="61" t="str">
        <f aca="false">IF($M4443=0,"",INDEX(Classes!$C$6:$C$420,$M4443))</f>
        <v/>
      </c>
      <c r="F4443" s="63"/>
      <c r="G4443" s="63"/>
      <c r="H4443" s="60"/>
      <c r="I4443" s="60"/>
      <c r="J4443" s="63"/>
      <c r="K4443" s="61" t="str">
        <f aca="false">IF($P4443=0,"",IF($F4443="Baseline","— Baseline",IF($O4443=0,"No result",IF($N4443=0,"No Start (attainment only)",IF(OR($N4443=1,$O4443=1),"U – needs rule",INDEX(MxBody,MATCH($I4443,MxCurr,0),MATCH($H4443,MxStart,0)))))))</f>
        <v/>
      </c>
      <c r="L4443" s="62" t="str">
        <f aca="false">IF(COUNTA($A4443,$F4443,$G4443,$H4443,$I4443,$J4443)=0,"",IF($M4443=0,"✖ كود الصف غير موجود",IF(ISNA(MATCH($F4443,Lists!$A$2:$A$5,0)),"✖ الفترة غير صحيحة",IF(ISNA(MATCH($G4443,Lists!$B$2:$B$7,0)),"✖ المجموعة غير صحيحة",IF(NOT(OR($H4443="",$N4443&gt;0)),"✖ Start غير صحيح",IF(NOT(OR($I4443="",$I4443="NR",$O4443&gt;0)),"✖ Current غير صحيح",IF(NOT(IF(ISNUMBER($J4443),AND($J4443&gt;=0,$J4443=INT($J4443)),FALSE())),"✖ العدد يجب أن يكون صحيحًا ≥ 0",IF(AND($F4443="Baseline",$H4443&lt;&gt;""),"⚠ Baseline: Start لا يدخل في التقدم",IF($K4443="No Start (attainment only)","ℹ تحصيل فقط (بدون Start)",IF($K4443="U – needs rule","ℹ حالة U تحتاج قاعدة معتمدة",IF($K4443="No result","ℹ بدون نتيجة (يُستبعد من التحصيل)","OK")))))))))))</f>
        <v/>
      </c>
      <c r="M4443" s="64" t="n">
        <f aca="false">IF($A4443="",0,IFERROR(MATCH($A4443,Classes!$A$6:$A$420,0),0))</f>
        <v>0</v>
      </c>
      <c r="N4443" s="64" t="n">
        <f aca="false">IF($H4443="",0,IFERROR(MATCH($H4443,GradeList,0),0))</f>
        <v>0</v>
      </c>
      <c r="O4443" s="64" t="n">
        <f aca="false">IF(OR($I4443="",$I4443="NR"),0,IFERROR(MATCH($I4443,GradeList,0),0))</f>
        <v>0</v>
      </c>
      <c r="P4443" s="64" t="n">
        <f aca="false">IF(AND($M4443&gt;0,ISNUMBER(MATCH($F4443,Lists!$A$2:$A$5,0)),ISNUMBER(MATCH($G4443,Lists!$B$2:$B$7,0)),OR($H4443="",$N4443&gt;0),OR($I4443="",$I4443="NR",$O4443&gt;0),IF(ISNUMBER($J4443),AND($J4443&gt;=0,$J4443=INT($J4443)),FALSE())),$J4443,0)</f>
        <v>0</v>
      </c>
      <c r="Q4443" s="64" t="n">
        <f aca="false">IF(AND($P4443&gt;0,$O4443&gt;0),$P4443,0)</f>
        <v>0</v>
      </c>
      <c r="R4443" s="64" t="n">
        <f aca="false">IF(AND($Q4443&gt;0,$O4443&gt;=AtRank),$Q4443,0)</f>
        <v>0</v>
      </c>
      <c r="S4443" s="64" t="n">
        <f aca="false">IF(AND($Q4443&gt;0,$O4443&gt;=AboveRank),$Q4443,0)</f>
        <v>0</v>
      </c>
      <c r="T4443" s="64" t="n">
        <f aca="false">IF($K4443="Less",$P4443,0)</f>
        <v>0</v>
      </c>
      <c r="U4443" s="64" t="n">
        <f aca="false">IF($K4443="Expected",$P4443,0)</f>
        <v>0</v>
      </c>
      <c r="V4443" s="64" t="n">
        <f aca="false">IF($K4443="Better",$P4443,0)</f>
        <v>0</v>
      </c>
      <c r="W4443" s="64" t="n">
        <f aca="false">IF($K4443="U – needs rule",$P4443,0)</f>
        <v>0</v>
      </c>
      <c r="X4443" s="64" t="n">
        <f aca="false">IF($K4443="No Start (attainment only)",$P4443,0)</f>
        <v>0</v>
      </c>
    </row>
    <row r="4444" customFormat="false" ht="15" hidden="false" customHeight="false" outlineLevel="0" collapsed="false">
      <c r="A4444" s="60"/>
      <c r="B4444" s="61" t="str">
        <f aca="false">IF($M4444=0,"",INDEX(Classes!$E$6:$E$420,$M4444))</f>
        <v/>
      </c>
      <c r="C4444" s="62" t="str">
        <f aca="false">IF($M4444=0,"",INDEX(Classes!$H$6:$H$420,$M4444))</f>
        <v/>
      </c>
      <c r="D4444" s="61" t="str">
        <f aca="false">IF($M4444=0,"",INDEX(Classes!$B$6:$B$420,$M4444))</f>
        <v/>
      </c>
      <c r="E4444" s="61" t="str">
        <f aca="false">IF($M4444=0,"",INDEX(Classes!$C$6:$C$420,$M4444))</f>
        <v/>
      </c>
      <c r="F4444" s="63"/>
      <c r="G4444" s="63"/>
      <c r="H4444" s="60"/>
      <c r="I4444" s="60"/>
      <c r="J4444" s="63"/>
      <c r="K4444" s="61" t="str">
        <f aca="false">IF($P4444=0,"",IF($F4444="Baseline","— Baseline",IF($O4444=0,"No result",IF($N4444=0,"No Start (attainment only)",IF(OR($N4444=1,$O4444=1),"U – needs rule",INDEX(MxBody,MATCH($I4444,MxCurr,0),MATCH($H4444,MxStart,0)))))))</f>
        <v/>
      </c>
      <c r="L4444" s="62" t="str">
        <f aca="false">IF(COUNTA($A4444,$F4444,$G4444,$H4444,$I4444,$J4444)=0,"",IF($M4444=0,"✖ كود الصف غير موجود",IF(ISNA(MATCH($F4444,Lists!$A$2:$A$5,0)),"✖ الفترة غير صحيحة",IF(ISNA(MATCH($G4444,Lists!$B$2:$B$7,0)),"✖ المجموعة غير صحيحة",IF(NOT(OR($H4444="",$N4444&gt;0)),"✖ Start غير صحيح",IF(NOT(OR($I4444="",$I4444="NR",$O4444&gt;0)),"✖ Current غير صحيح",IF(NOT(IF(ISNUMBER($J4444),AND($J4444&gt;=0,$J4444=INT($J4444)),FALSE())),"✖ العدد يجب أن يكون صحيحًا ≥ 0",IF(AND($F4444="Baseline",$H4444&lt;&gt;""),"⚠ Baseline: Start لا يدخل في التقدم",IF($K4444="No Start (attainment only)","ℹ تحصيل فقط (بدون Start)",IF($K4444="U – needs rule","ℹ حالة U تحتاج قاعدة معتمدة",IF($K4444="No result","ℹ بدون نتيجة (يُستبعد من التحصيل)","OK")))))))))))</f>
        <v/>
      </c>
      <c r="M4444" s="64" t="n">
        <f aca="false">IF($A4444="",0,IFERROR(MATCH($A4444,Classes!$A$6:$A$420,0),0))</f>
        <v>0</v>
      </c>
      <c r="N4444" s="64" t="n">
        <f aca="false">IF($H4444="",0,IFERROR(MATCH($H4444,GradeList,0),0))</f>
        <v>0</v>
      </c>
      <c r="O4444" s="64" t="n">
        <f aca="false">IF(OR($I4444="",$I4444="NR"),0,IFERROR(MATCH($I4444,GradeList,0),0))</f>
        <v>0</v>
      </c>
      <c r="P4444" s="64" t="n">
        <f aca="false">IF(AND($M4444&gt;0,ISNUMBER(MATCH($F4444,Lists!$A$2:$A$5,0)),ISNUMBER(MATCH($G4444,Lists!$B$2:$B$7,0)),OR($H4444="",$N4444&gt;0),OR($I4444="",$I4444="NR",$O4444&gt;0),IF(ISNUMBER($J4444),AND($J4444&gt;=0,$J4444=INT($J4444)),FALSE())),$J4444,0)</f>
        <v>0</v>
      </c>
      <c r="Q4444" s="64" t="n">
        <f aca="false">IF(AND($P4444&gt;0,$O4444&gt;0),$P4444,0)</f>
        <v>0</v>
      </c>
      <c r="R4444" s="64" t="n">
        <f aca="false">IF(AND($Q4444&gt;0,$O4444&gt;=AtRank),$Q4444,0)</f>
        <v>0</v>
      </c>
      <c r="S4444" s="64" t="n">
        <f aca="false">IF(AND($Q4444&gt;0,$O4444&gt;=AboveRank),$Q4444,0)</f>
        <v>0</v>
      </c>
      <c r="T4444" s="64" t="n">
        <f aca="false">IF($K4444="Less",$P4444,0)</f>
        <v>0</v>
      </c>
      <c r="U4444" s="64" t="n">
        <f aca="false">IF($K4444="Expected",$P4444,0)</f>
        <v>0</v>
      </c>
      <c r="V4444" s="64" t="n">
        <f aca="false">IF($K4444="Better",$P4444,0)</f>
        <v>0</v>
      </c>
      <c r="W4444" s="64" t="n">
        <f aca="false">IF($K4444="U – needs rule",$P4444,0)</f>
        <v>0</v>
      </c>
      <c r="X4444" s="64" t="n">
        <f aca="false">IF($K4444="No Start (attainment only)",$P4444,0)</f>
        <v>0</v>
      </c>
    </row>
    <row r="4445" customFormat="false" ht="15" hidden="false" customHeight="false" outlineLevel="0" collapsed="false">
      <c r="A4445" s="60"/>
      <c r="B4445" s="61" t="str">
        <f aca="false">IF($M4445=0,"",INDEX(Classes!$E$6:$E$420,$M4445))</f>
        <v/>
      </c>
      <c r="C4445" s="62" t="str">
        <f aca="false">IF($M4445=0,"",INDEX(Classes!$H$6:$H$420,$M4445))</f>
        <v/>
      </c>
      <c r="D4445" s="61" t="str">
        <f aca="false">IF($M4445=0,"",INDEX(Classes!$B$6:$B$420,$M4445))</f>
        <v/>
      </c>
      <c r="E4445" s="61" t="str">
        <f aca="false">IF($M4445=0,"",INDEX(Classes!$C$6:$C$420,$M4445))</f>
        <v/>
      </c>
      <c r="F4445" s="63"/>
      <c r="G4445" s="63"/>
      <c r="H4445" s="60"/>
      <c r="I4445" s="60"/>
      <c r="J4445" s="63"/>
      <c r="K4445" s="61" t="str">
        <f aca="false">IF($P4445=0,"",IF($F4445="Baseline","— Baseline",IF($O4445=0,"No result",IF($N4445=0,"No Start (attainment only)",IF(OR($N4445=1,$O4445=1),"U – needs rule",INDEX(MxBody,MATCH($I4445,MxCurr,0),MATCH($H4445,MxStart,0)))))))</f>
        <v/>
      </c>
      <c r="L4445" s="62" t="str">
        <f aca="false">IF(COUNTA($A4445,$F4445,$G4445,$H4445,$I4445,$J4445)=0,"",IF($M4445=0,"✖ كود الصف غير موجود",IF(ISNA(MATCH($F4445,Lists!$A$2:$A$5,0)),"✖ الفترة غير صحيحة",IF(ISNA(MATCH($G4445,Lists!$B$2:$B$7,0)),"✖ المجموعة غير صحيحة",IF(NOT(OR($H4445="",$N4445&gt;0)),"✖ Start غير صحيح",IF(NOT(OR($I4445="",$I4445="NR",$O4445&gt;0)),"✖ Current غير صحيح",IF(NOT(IF(ISNUMBER($J4445),AND($J4445&gt;=0,$J4445=INT($J4445)),FALSE())),"✖ العدد يجب أن يكون صحيحًا ≥ 0",IF(AND($F4445="Baseline",$H4445&lt;&gt;""),"⚠ Baseline: Start لا يدخل في التقدم",IF($K4445="No Start (attainment only)","ℹ تحصيل فقط (بدون Start)",IF($K4445="U – needs rule","ℹ حالة U تحتاج قاعدة معتمدة",IF($K4445="No result","ℹ بدون نتيجة (يُستبعد من التحصيل)","OK")))))))))))</f>
        <v/>
      </c>
      <c r="M4445" s="64" t="n">
        <f aca="false">IF($A4445="",0,IFERROR(MATCH($A4445,Classes!$A$6:$A$420,0),0))</f>
        <v>0</v>
      </c>
      <c r="N4445" s="64" t="n">
        <f aca="false">IF($H4445="",0,IFERROR(MATCH($H4445,GradeList,0),0))</f>
        <v>0</v>
      </c>
      <c r="O4445" s="64" t="n">
        <f aca="false">IF(OR($I4445="",$I4445="NR"),0,IFERROR(MATCH($I4445,GradeList,0),0))</f>
        <v>0</v>
      </c>
      <c r="P4445" s="64" t="n">
        <f aca="false">IF(AND($M4445&gt;0,ISNUMBER(MATCH($F4445,Lists!$A$2:$A$5,0)),ISNUMBER(MATCH($G4445,Lists!$B$2:$B$7,0)),OR($H4445="",$N4445&gt;0),OR($I4445="",$I4445="NR",$O4445&gt;0),IF(ISNUMBER($J4445),AND($J4445&gt;=0,$J4445=INT($J4445)),FALSE())),$J4445,0)</f>
        <v>0</v>
      </c>
      <c r="Q4445" s="64" t="n">
        <f aca="false">IF(AND($P4445&gt;0,$O4445&gt;0),$P4445,0)</f>
        <v>0</v>
      </c>
      <c r="R4445" s="64" t="n">
        <f aca="false">IF(AND($Q4445&gt;0,$O4445&gt;=AtRank),$Q4445,0)</f>
        <v>0</v>
      </c>
      <c r="S4445" s="64" t="n">
        <f aca="false">IF(AND($Q4445&gt;0,$O4445&gt;=AboveRank),$Q4445,0)</f>
        <v>0</v>
      </c>
      <c r="T4445" s="64" t="n">
        <f aca="false">IF($K4445="Less",$P4445,0)</f>
        <v>0</v>
      </c>
      <c r="U4445" s="64" t="n">
        <f aca="false">IF($K4445="Expected",$P4445,0)</f>
        <v>0</v>
      </c>
      <c r="V4445" s="64" t="n">
        <f aca="false">IF($K4445="Better",$P4445,0)</f>
        <v>0</v>
      </c>
      <c r="W4445" s="64" t="n">
        <f aca="false">IF($K4445="U – needs rule",$P4445,0)</f>
        <v>0</v>
      </c>
      <c r="X4445" s="64" t="n">
        <f aca="false">IF($K4445="No Start (attainment only)",$P4445,0)</f>
        <v>0</v>
      </c>
    </row>
    <row r="4446" customFormat="false" ht="15" hidden="false" customHeight="false" outlineLevel="0" collapsed="false">
      <c r="A4446" s="60"/>
      <c r="B4446" s="61" t="str">
        <f aca="false">IF($M4446=0,"",INDEX(Classes!$E$6:$E$420,$M4446))</f>
        <v/>
      </c>
      <c r="C4446" s="62" t="str">
        <f aca="false">IF($M4446=0,"",INDEX(Classes!$H$6:$H$420,$M4446))</f>
        <v/>
      </c>
      <c r="D4446" s="61" t="str">
        <f aca="false">IF($M4446=0,"",INDEX(Classes!$B$6:$B$420,$M4446))</f>
        <v/>
      </c>
      <c r="E4446" s="61" t="str">
        <f aca="false">IF($M4446=0,"",INDEX(Classes!$C$6:$C$420,$M4446))</f>
        <v/>
      </c>
      <c r="F4446" s="63"/>
      <c r="G4446" s="63"/>
      <c r="H4446" s="60"/>
      <c r="I4446" s="60"/>
      <c r="J4446" s="63"/>
      <c r="K4446" s="61" t="str">
        <f aca="false">IF($P4446=0,"",IF($F4446="Baseline","— Baseline",IF($O4446=0,"No result",IF($N4446=0,"No Start (attainment only)",IF(OR($N4446=1,$O4446=1),"U – needs rule",INDEX(MxBody,MATCH($I4446,MxCurr,0),MATCH($H4446,MxStart,0)))))))</f>
        <v/>
      </c>
      <c r="L4446" s="62" t="str">
        <f aca="false">IF(COUNTA($A4446,$F4446,$G4446,$H4446,$I4446,$J4446)=0,"",IF($M4446=0,"✖ كود الصف غير موجود",IF(ISNA(MATCH($F4446,Lists!$A$2:$A$5,0)),"✖ الفترة غير صحيحة",IF(ISNA(MATCH($G4446,Lists!$B$2:$B$7,0)),"✖ المجموعة غير صحيحة",IF(NOT(OR($H4446="",$N4446&gt;0)),"✖ Start غير صحيح",IF(NOT(OR($I4446="",$I4446="NR",$O4446&gt;0)),"✖ Current غير صحيح",IF(NOT(IF(ISNUMBER($J4446),AND($J4446&gt;=0,$J4446=INT($J4446)),FALSE())),"✖ العدد يجب أن يكون صحيحًا ≥ 0",IF(AND($F4446="Baseline",$H4446&lt;&gt;""),"⚠ Baseline: Start لا يدخل في التقدم",IF($K4446="No Start (attainment only)","ℹ تحصيل فقط (بدون Start)",IF($K4446="U – needs rule","ℹ حالة U تحتاج قاعدة معتمدة",IF($K4446="No result","ℹ بدون نتيجة (يُستبعد من التحصيل)","OK")))))))))))</f>
        <v/>
      </c>
      <c r="M4446" s="64" t="n">
        <f aca="false">IF($A4446="",0,IFERROR(MATCH($A4446,Classes!$A$6:$A$420,0),0))</f>
        <v>0</v>
      </c>
      <c r="N4446" s="64" t="n">
        <f aca="false">IF($H4446="",0,IFERROR(MATCH($H4446,GradeList,0),0))</f>
        <v>0</v>
      </c>
      <c r="O4446" s="64" t="n">
        <f aca="false">IF(OR($I4446="",$I4446="NR"),0,IFERROR(MATCH($I4446,GradeList,0),0))</f>
        <v>0</v>
      </c>
      <c r="P4446" s="64" t="n">
        <f aca="false">IF(AND($M4446&gt;0,ISNUMBER(MATCH($F4446,Lists!$A$2:$A$5,0)),ISNUMBER(MATCH($G4446,Lists!$B$2:$B$7,0)),OR($H4446="",$N4446&gt;0),OR($I4446="",$I4446="NR",$O4446&gt;0),IF(ISNUMBER($J4446),AND($J4446&gt;=0,$J4446=INT($J4446)),FALSE())),$J4446,0)</f>
        <v>0</v>
      </c>
      <c r="Q4446" s="64" t="n">
        <f aca="false">IF(AND($P4446&gt;0,$O4446&gt;0),$P4446,0)</f>
        <v>0</v>
      </c>
      <c r="R4446" s="64" t="n">
        <f aca="false">IF(AND($Q4446&gt;0,$O4446&gt;=AtRank),$Q4446,0)</f>
        <v>0</v>
      </c>
      <c r="S4446" s="64" t="n">
        <f aca="false">IF(AND($Q4446&gt;0,$O4446&gt;=AboveRank),$Q4446,0)</f>
        <v>0</v>
      </c>
      <c r="T4446" s="64" t="n">
        <f aca="false">IF($K4446="Less",$P4446,0)</f>
        <v>0</v>
      </c>
      <c r="U4446" s="64" t="n">
        <f aca="false">IF($K4446="Expected",$P4446,0)</f>
        <v>0</v>
      </c>
      <c r="V4446" s="64" t="n">
        <f aca="false">IF($K4446="Better",$P4446,0)</f>
        <v>0</v>
      </c>
      <c r="W4446" s="64" t="n">
        <f aca="false">IF($K4446="U – needs rule",$P4446,0)</f>
        <v>0</v>
      </c>
      <c r="X4446" s="64" t="n">
        <f aca="false">IF($K4446="No Start (attainment only)",$P4446,0)</f>
        <v>0</v>
      </c>
    </row>
    <row r="4447" customFormat="false" ht="15" hidden="false" customHeight="false" outlineLevel="0" collapsed="false">
      <c r="A4447" s="60"/>
      <c r="B4447" s="61" t="str">
        <f aca="false">IF($M4447=0,"",INDEX(Classes!$E$6:$E$420,$M4447))</f>
        <v/>
      </c>
      <c r="C4447" s="62" t="str">
        <f aca="false">IF($M4447=0,"",INDEX(Classes!$H$6:$H$420,$M4447))</f>
        <v/>
      </c>
      <c r="D4447" s="61" t="str">
        <f aca="false">IF($M4447=0,"",INDEX(Classes!$B$6:$B$420,$M4447))</f>
        <v/>
      </c>
      <c r="E4447" s="61" t="str">
        <f aca="false">IF($M4447=0,"",INDEX(Classes!$C$6:$C$420,$M4447))</f>
        <v/>
      </c>
      <c r="F4447" s="63"/>
      <c r="G4447" s="63"/>
      <c r="H4447" s="60"/>
      <c r="I4447" s="60"/>
      <c r="J4447" s="63"/>
      <c r="K4447" s="61" t="str">
        <f aca="false">IF($P4447=0,"",IF($F4447="Baseline","— Baseline",IF($O4447=0,"No result",IF($N4447=0,"No Start (attainment only)",IF(OR($N4447=1,$O4447=1),"U – needs rule",INDEX(MxBody,MATCH($I4447,MxCurr,0),MATCH($H4447,MxStart,0)))))))</f>
        <v/>
      </c>
      <c r="L4447" s="62" t="str">
        <f aca="false">IF(COUNTA($A4447,$F4447,$G4447,$H4447,$I4447,$J4447)=0,"",IF($M4447=0,"✖ كود الصف غير موجود",IF(ISNA(MATCH($F4447,Lists!$A$2:$A$5,0)),"✖ الفترة غير صحيحة",IF(ISNA(MATCH($G4447,Lists!$B$2:$B$7,0)),"✖ المجموعة غير صحيحة",IF(NOT(OR($H4447="",$N4447&gt;0)),"✖ Start غير صحيح",IF(NOT(OR($I4447="",$I4447="NR",$O4447&gt;0)),"✖ Current غير صحيح",IF(NOT(IF(ISNUMBER($J4447),AND($J4447&gt;=0,$J4447=INT($J4447)),FALSE())),"✖ العدد يجب أن يكون صحيحًا ≥ 0",IF(AND($F4447="Baseline",$H4447&lt;&gt;""),"⚠ Baseline: Start لا يدخل في التقدم",IF($K4447="No Start (attainment only)","ℹ تحصيل فقط (بدون Start)",IF($K4447="U – needs rule","ℹ حالة U تحتاج قاعدة معتمدة",IF($K4447="No result","ℹ بدون نتيجة (يُستبعد من التحصيل)","OK")))))))))))</f>
        <v/>
      </c>
      <c r="M4447" s="64" t="n">
        <f aca="false">IF($A4447="",0,IFERROR(MATCH($A4447,Classes!$A$6:$A$420,0),0))</f>
        <v>0</v>
      </c>
      <c r="N4447" s="64" t="n">
        <f aca="false">IF($H4447="",0,IFERROR(MATCH($H4447,GradeList,0),0))</f>
        <v>0</v>
      </c>
      <c r="O4447" s="64" t="n">
        <f aca="false">IF(OR($I4447="",$I4447="NR"),0,IFERROR(MATCH($I4447,GradeList,0),0))</f>
        <v>0</v>
      </c>
      <c r="P4447" s="64" t="n">
        <f aca="false">IF(AND($M4447&gt;0,ISNUMBER(MATCH($F4447,Lists!$A$2:$A$5,0)),ISNUMBER(MATCH($G4447,Lists!$B$2:$B$7,0)),OR($H4447="",$N4447&gt;0),OR($I4447="",$I4447="NR",$O4447&gt;0),IF(ISNUMBER($J4447),AND($J4447&gt;=0,$J4447=INT($J4447)),FALSE())),$J4447,0)</f>
        <v>0</v>
      </c>
      <c r="Q4447" s="64" t="n">
        <f aca="false">IF(AND($P4447&gt;0,$O4447&gt;0),$P4447,0)</f>
        <v>0</v>
      </c>
      <c r="R4447" s="64" t="n">
        <f aca="false">IF(AND($Q4447&gt;0,$O4447&gt;=AtRank),$Q4447,0)</f>
        <v>0</v>
      </c>
      <c r="S4447" s="64" t="n">
        <f aca="false">IF(AND($Q4447&gt;0,$O4447&gt;=AboveRank),$Q4447,0)</f>
        <v>0</v>
      </c>
      <c r="T4447" s="64" t="n">
        <f aca="false">IF($K4447="Less",$P4447,0)</f>
        <v>0</v>
      </c>
      <c r="U4447" s="64" t="n">
        <f aca="false">IF($K4447="Expected",$P4447,0)</f>
        <v>0</v>
      </c>
      <c r="V4447" s="64" t="n">
        <f aca="false">IF($K4447="Better",$P4447,0)</f>
        <v>0</v>
      </c>
      <c r="W4447" s="64" t="n">
        <f aca="false">IF($K4447="U – needs rule",$P4447,0)</f>
        <v>0</v>
      </c>
      <c r="X4447" s="64" t="n">
        <f aca="false">IF($K4447="No Start (attainment only)",$P4447,0)</f>
        <v>0</v>
      </c>
    </row>
    <row r="4448" customFormat="false" ht="15" hidden="false" customHeight="false" outlineLevel="0" collapsed="false">
      <c r="A4448" s="60"/>
      <c r="B4448" s="61" t="str">
        <f aca="false">IF($M4448=0,"",INDEX(Classes!$E$6:$E$420,$M4448))</f>
        <v/>
      </c>
      <c r="C4448" s="62" t="str">
        <f aca="false">IF($M4448=0,"",INDEX(Classes!$H$6:$H$420,$M4448))</f>
        <v/>
      </c>
      <c r="D4448" s="61" t="str">
        <f aca="false">IF($M4448=0,"",INDEX(Classes!$B$6:$B$420,$M4448))</f>
        <v/>
      </c>
      <c r="E4448" s="61" t="str">
        <f aca="false">IF($M4448=0,"",INDEX(Classes!$C$6:$C$420,$M4448))</f>
        <v/>
      </c>
      <c r="F4448" s="63"/>
      <c r="G4448" s="63"/>
      <c r="H4448" s="60"/>
      <c r="I4448" s="60"/>
      <c r="J4448" s="63"/>
      <c r="K4448" s="61" t="str">
        <f aca="false">IF($P4448=0,"",IF($F4448="Baseline","— Baseline",IF($O4448=0,"No result",IF($N4448=0,"No Start (attainment only)",IF(OR($N4448=1,$O4448=1),"U – needs rule",INDEX(MxBody,MATCH($I4448,MxCurr,0),MATCH($H4448,MxStart,0)))))))</f>
        <v/>
      </c>
      <c r="L4448" s="62" t="str">
        <f aca="false">IF(COUNTA($A4448,$F4448,$G4448,$H4448,$I4448,$J4448)=0,"",IF($M4448=0,"✖ كود الصف غير موجود",IF(ISNA(MATCH($F4448,Lists!$A$2:$A$5,0)),"✖ الفترة غير صحيحة",IF(ISNA(MATCH($G4448,Lists!$B$2:$B$7,0)),"✖ المجموعة غير صحيحة",IF(NOT(OR($H4448="",$N4448&gt;0)),"✖ Start غير صحيح",IF(NOT(OR($I4448="",$I4448="NR",$O4448&gt;0)),"✖ Current غير صحيح",IF(NOT(IF(ISNUMBER($J4448),AND($J4448&gt;=0,$J4448=INT($J4448)),FALSE())),"✖ العدد يجب أن يكون صحيحًا ≥ 0",IF(AND($F4448="Baseline",$H4448&lt;&gt;""),"⚠ Baseline: Start لا يدخل في التقدم",IF($K4448="No Start (attainment only)","ℹ تحصيل فقط (بدون Start)",IF($K4448="U – needs rule","ℹ حالة U تحتاج قاعدة معتمدة",IF($K4448="No result","ℹ بدون نتيجة (يُستبعد من التحصيل)","OK")))))))))))</f>
        <v/>
      </c>
      <c r="M4448" s="64" t="n">
        <f aca="false">IF($A4448="",0,IFERROR(MATCH($A4448,Classes!$A$6:$A$420,0),0))</f>
        <v>0</v>
      </c>
      <c r="N4448" s="64" t="n">
        <f aca="false">IF($H4448="",0,IFERROR(MATCH($H4448,GradeList,0),0))</f>
        <v>0</v>
      </c>
      <c r="O4448" s="64" t="n">
        <f aca="false">IF(OR($I4448="",$I4448="NR"),0,IFERROR(MATCH($I4448,GradeList,0),0))</f>
        <v>0</v>
      </c>
      <c r="P4448" s="64" t="n">
        <f aca="false">IF(AND($M4448&gt;0,ISNUMBER(MATCH($F4448,Lists!$A$2:$A$5,0)),ISNUMBER(MATCH($G4448,Lists!$B$2:$B$7,0)),OR($H4448="",$N4448&gt;0),OR($I4448="",$I4448="NR",$O4448&gt;0),IF(ISNUMBER($J4448),AND($J4448&gt;=0,$J4448=INT($J4448)),FALSE())),$J4448,0)</f>
        <v>0</v>
      </c>
      <c r="Q4448" s="64" t="n">
        <f aca="false">IF(AND($P4448&gt;0,$O4448&gt;0),$P4448,0)</f>
        <v>0</v>
      </c>
      <c r="R4448" s="64" t="n">
        <f aca="false">IF(AND($Q4448&gt;0,$O4448&gt;=AtRank),$Q4448,0)</f>
        <v>0</v>
      </c>
      <c r="S4448" s="64" t="n">
        <f aca="false">IF(AND($Q4448&gt;0,$O4448&gt;=AboveRank),$Q4448,0)</f>
        <v>0</v>
      </c>
      <c r="T4448" s="64" t="n">
        <f aca="false">IF($K4448="Less",$P4448,0)</f>
        <v>0</v>
      </c>
      <c r="U4448" s="64" t="n">
        <f aca="false">IF($K4448="Expected",$P4448,0)</f>
        <v>0</v>
      </c>
      <c r="V4448" s="64" t="n">
        <f aca="false">IF($K4448="Better",$P4448,0)</f>
        <v>0</v>
      </c>
      <c r="W4448" s="64" t="n">
        <f aca="false">IF($K4448="U – needs rule",$P4448,0)</f>
        <v>0</v>
      </c>
      <c r="X4448" s="64" t="n">
        <f aca="false">IF($K4448="No Start (attainment only)",$P4448,0)</f>
        <v>0</v>
      </c>
    </row>
    <row r="4449" customFormat="false" ht="15" hidden="false" customHeight="false" outlineLevel="0" collapsed="false">
      <c r="A4449" s="60"/>
      <c r="B4449" s="61" t="str">
        <f aca="false">IF($M4449=0,"",INDEX(Classes!$E$6:$E$420,$M4449))</f>
        <v/>
      </c>
      <c r="C4449" s="62" t="str">
        <f aca="false">IF($M4449=0,"",INDEX(Classes!$H$6:$H$420,$M4449))</f>
        <v/>
      </c>
      <c r="D4449" s="61" t="str">
        <f aca="false">IF($M4449=0,"",INDEX(Classes!$B$6:$B$420,$M4449))</f>
        <v/>
      </c>
      <c r="E4449" s="61" t="str">
        <f aca="false">IF($M4449=0,"",INDEX(Classes!$C$6:$C$420,$M4449))</f>
        <v/>
      </c>
      <c r="F4449" s="63"/>
      <c r="G4449" s="63"/>
      <c r="H4449" s="60"/>
      <c r="I4449" s="60"/>
      <c r="J4449" s="63"/>
      <c r="K4449" s="61" t="str">
        <f aca="false">IF($P4449=0,"",IF($F4449="Baseline","— Baseline",IF($O4449=0,"No result",IF($N4449=0,"No Start (attainment only)",IF(OR($N4449=1,$O4449=1),"U – needs rule",INDEX(MxBody,MATCH($I4449,MxCurr,0),MATCH($H4449,MxStart,0)))))))</f>
        <v/>
      </c>
      <c r="L4449" s="62" t="str">
        <f aca="false">IF(COUNTA($A4449,$F4449,$G4449,$H4449,$I4449,$J4449)=0,"",IF($M4449=0,"✖ كود الصف غير موجود",IF(ISNA(MATCH($F4449,Lists!$A$2:$A$5,0)),"✖ الفترة غير صحيحة",IF(ISNA(MATCH($G4449,Lists!$B$2:$B$7,0)),"✖ المجموعة غير صحيحة",IF(NOT(OR($H4449="",$N4449&gt;0)),"✖ Start غير صحيح",IF(NOT(OR($I4449="",$I4449="NR",$O4449&gt;0)),"✖ Current غير صحيح",IF(NOT(IF(ISNUMBER($J4449),AND($J4449&gt;=0,$J4449=INT($J4449)),FALSE())),"✖ العدد يجب أن يكون صحيحًا ≥ 0",IF(AND($F4449="Baseline",$H4449&lt;&gt;""),"⚠ Baseline: Start لا يدخل في التقدم",IF($K4449="No Start (attainment only)","ℹ تحصيل فقط (بدون Start)",IF($K4449="U – needs rule","ℹ حالة U تحتاج قاعدة معتمدة",IF($K4449="No result","ℹ بدون نتيجة (يُستبعد من التحصيل)","OK")))))))))))</f>
        <v/>
      </c>
      <c r="M4449" s="64" t="n">
        <f aca="false">IF($A4449="",0,IFERROR(MATCH($A4449,Classes!$A$6:$A$420,0),0))</f>
        <v>0</v>
      </c>
      <c r="N4449" s="64" t="n">
        <f aca="false">IF($H4449="",0,IFERROR(MATCH($H4449,GradeList,0),0))</f>
        <v>0</v>
      </c>
      <c r="O4449" s="64" t="n">
        <f aca="false">IF(OR($I4449="",$I4449="NR"),0,IFERROR(MATCH($I4449,GradeList,0),0))</f>
        <v>0</v>
      </c>
      <c r="P4449" s="64" t="n">
        <f aca="false">IF(AND($M4449&gt;0,ISNUMBER(MATCH($F4449,Lists!$A$2:$A$5,0)),ISNUMBER(MATCH($G4449,Lists!$B$2:$B$7,0)),OR($H4449="",$N4449&gt;0),OR($I4449="",$I4449="NR",$O4449&gt;0),IF(ISNUMBER($J4449),AND($J4449&gt;=0,$J4449=INT($J4449)),FALSE())),$J4449,0)</f>
        <v>0</v>
      </c>
      <c r="Q4449" s="64" t="n">
        <f aca="false">IF(AND($P4449&gt;0,$O4449&gt;0),$P4449,0)</f>
        <v>0</v>
      </c>
      <c r="R4449" s="64" t="n">
        <f aca="false">IF(AND($Q4449&gt;0,$O4449&gt;=AtRank),$Q4449,0)</f>
        <v>0</v>
      </c>
      <c r="S4449" s="64" t="n">
        <f aca="false">IF(AND($Q4449&gt;0,$O4449&gt;=AboveRank),$Q4449,0)</f>
        <v>0</v>
      </c>
      <c r="T4449" s="64" t="n">
        <f aca="false">IF($K4449="Less",$P4449,0)</f>
        <v>0</v>
      </c>
      <c r="U4449" s="64" t="n">
        <f aca="false">IF($K4449="Expected",$P4449,0)</f>
        <v>0</v>
      </c>
      <c r="V4449" s="64" t="n">
        <f aca="false">IF($K4449="Better",$P4449,0)</f>
        <v>0</v>
      </c>
      <c r="W4449" s="64" t="n">
        <f aca="false">IF($K4449="U – needs rule",$P4449,0)</f>
        <v>0</v>
      </c>
      <c r="X4449" s="64" t="n">
        <f aca="false">IF($K4449="No Start (attainment only)",$P4449,0)</f>
        <v>0</v>
      </c>
    </row>
    <row r="4450" customFormat="false" ht="15" hidden="false" customHeight="false" outlineLevel="0" collapsed="false">
      <c r="A4450" s="60"/>
      <c r="B4450" s="61" t="str">
        <f aca="false">IF($M4450=0,"",INDEX(Classes!$E$6:$E$420,$M4450))</f>
        <v/>
      </c>
      <c r="C4450" s="62" t="str">
        <f aca="false">IF($M4450=0,"",INDEX(Classes!$H$6:$H$420,$M4450))</f>
        <v/>
      </c>
      <c r="D4450" s="61" t="str">
        <f aca="false">IF($M4450=0,"",INDEX(Classes!$B$6:$B$420,$M4450))</f>
        <v/>
      </c>
      <c r="E4450" s="61" t="str">
        <f aca="false">IF($M4450=0,"",INDEX(Classes!$C$6:$C$420,$M4450))</f>
        <v/>
      </c>
      <c r="F4450" s="63"/>
      <c r="G4450" s="63"/>
      <c r="H4450" s="60"/>
      <c r="I4450" s="60"/>
      <c r="J4450" s="63"/>
      <c r="K4450" s="61" t="str">
        <f aca="false">IF($P4450=0,"",IF($F4450="Baseline","— Baseline",IF($O4450=0,"No result",IF($N4450=0,"No Start (attainment only)",IF(OR($N4450=1,$O4450=1),"U – needs rule",INDEX(MxBody,MATCH($I4450,MxCurr,0),MATCH($H4450,MxStart,0)))))))</f>
        <v/>
      </c>
      <c r="L4450" s="62" t="str">
        <f aca="false">IF(COUNTA($A4450,$F4450,$G4450,$H4450,$I4450,$J4450)=0,"",IF($M4450=0,"✖ كود الصف غير موجود",IF(ISNA(MATCH($F4450,Lists!$A$2:$A$5,0)),"✖ الفترة غير صحيحة",IF(ISNA(MATCH($G4450,Lists!$B$2:$B$7,0)),"✖ المجموعة غير صحيحة",IF(NOT(OR($H4450="",$N4450&gt;0)),"✖ Start غير صحيح",IF(NOT(OR($I4450="",$I4450="NR",$O4450&gt;0)),"✖ Current غير صحيح",IF(NOT(IF(ISNUMBER($J4450),AND($J4450&gt;=0,$J4450=INT($J4450)),FALSE())),"✖ العدد يجب أن يكون صحيحًا ≥ 0",IF(AND($F4450="Baseline",$H4450&lt;&gt;""),"⚠ Baseline: Start لا يدخل في التقدم",IF($K4450="No Start (attainment only)","ℹ تحصيل فقط (بدون Start)",IF($K4450="U – needs rule","ℹ حالة U تحتاج قاعدة معتمدة",IF($K4450="No result","ℹ بدون نتيجة (يُستبعد من التحصيل)","OK")))))))))))</f>
        <v/>
      </c>
      <c r="M4450" s="64" t="n">
        <f aca="false">IF($A4450="",0,IFERROR(MATCH($A4450,Classes!$A$6:$A$420,0),0))</f>
        <v>0</v>
      </c>
      <c r="N4450" s="64" t="n">
        <f aca="false">IF($H4450="",0,IFERROR(MATCH($H4450,GradeList,0),0))</f>
        <v>0</v>
      </c>
      <c r="O4450" s="64" t="n">
        <f aca="false">IF(OR($I4450="",$I4450="NR"),0,IFERROR(MATCH($I4450,GradeList,0),0))</f>
        <v>0</v>
      </c>
      <c r="P4450" s="64" t="n">
        <f aca="false">IF(AND($M4450&gt;0,ISNUMBER(MATCH($F4450,Lists!$A$2:$A$5,0)),ISNUMBER(MATCH($G4450,Lists!$B$2:$B$7,0)),OR($H4450="",$N4450&gt;0),OR($I4450="",$I4450="NR",$O4450&gt;0),IF(ISNUMBER($J4450),AND($J4450&gt;=0,$J4450=INT($J4450)),FALSE())),$J4450,0)</f>
        <v>0</v>
      </c>
      <c r="Q4450" s="64" t="n">
        <f aca="false">IF(AND($P4450&gt;0,$O4450&gt;0),$P4450,0)</f>
        <v>0</v>
      </c>
      <c r="R4450" s="64" t="n">
        <f aca="false">IF(AND($Q4450&gt;0,$O4450&gt;=AtRank),$Q4450,0)</f>
        <v>0</v>
      </c>
      <c r="S4450" s="64" t="n">
        <f aca="false">IF(AND($Q4450&gt;0,$O4450&gt;=AboveRank),$Q4450,0)</f>
        <v>0</v>
      </c>
      <c r="T4450" s="64" t="n">
        <f aca="false">IF($K4450="Less",$P4450,0)</f>
        <v>0</v>
      </c>
      <c r="U4450" s="64" t="n">
        <f aca="false">IF($K4450="Expected",$P4450,0)</f>
        <v>0</v>
      </c>
      <c r="V4450" s="64" t="n">
        <f aca="false">IF($K4450="Better",$P4450,0)</f>
        <v>0</v>
      </c>
      <c r="W4450" s="64" t="n">
        <f aca="false">IF($K4450="U – needs rule",$P4450,0)</f>
        <v>0</v>
      </c>
      <c r="X4450" s="64" t="n">
        <f aca="false">IF($K4450="No Start (attainment only)",$P4450,0)</f>
        <v>0</v>
      </c>
    </row>
    <row r="4451" customFormat="false" ht="15" hidden="false" customHeight="false" outlineLevel="0" collapsed="false">
      <c r="A4451" s="60"/>
      <c r="B4451" s="61" t="str">
        <f aca="false">IF($M4451=0,"",INDEX(Classes!$E$6:$E$420,$M4451))</f>
        <v/>
      </c>
      <c r="C4451" s="62" t="str">
        <f aca="false">IF($M4451=0,"",INDEX(Classes!$H$6:$H$420,$M4451))</f>
        <v/>
      </c>
      <c r="D4451" s="61" t="str">
        <f aca="false">IF($M4451=0,"",INDEX(Classes!$B$6:$B$420,$M4451))</f>
        <v/>
      </c>
      <c r="E4451" s="61" t="str">
        <f aca="false">IF($M4451=0,"",INDEX(Classes!$C$6:$C$420,$M4451))</f>
        <v/>
      </c>
      <c r="F4451" s="63"/>
      <c r="G4451" s="63"/>
      <c r="H4451" s="60"/>
      <c r="I4451" s="60"/>
      <c r="J4451" s="63"/>
      <c r="K4451" s="61" t="str">
        <f aca="false">IF($P4451=0,"",IF($F4451="Baseline","— Baseline",IF($O4451=0,"No result",IF($N4451=0,"No Start (attainment only)",IF(OR($N4451=1,$O4451=1),"U – needs rule",INDEX(MxBody,MATCH($I4451,MxCurr,0),MATCH($H4451,MxStart,0)))))))</f>
        <v/>
      </c>
      <c r="L4451" s="62" t="str">
        <f aca="false">IF(COUNTA($A4451,$F4451,$G4451,$H4451,$I4451,$J4451)=0,"",IF($M4451=0,"✖ كود الصف غير موجود",IF(ISNA(MATCH($F4451,Lists!$A$2:$A$5,0)),"✖ الفترة غير صحيحة",IF(ISNA(MATCH($G4451,Lists!$B$2:$B$7,0)),"✖ المجموعة غير صحيحة",IF(NOT(OR($H4451="",$N4451&gt;0)),"✖ Start غير صحيح",IF(NOT(OR($I4451="",$I4451="NR",$O4451&gt;0)),"✖ Current غير صحيح",IF(NOT(IF(ISNUMBER($J4451),AND($J4451&gt;=0,$J4451=INT($J4451)),FALSE())),"✖ العدد يجب أن يكون صحيحًا ≥ 0",IF(AND($F4451="Baseline",$H4451&lt;&gt;""),"⚠ Baseline: Start لا يدخل في التقدم",IF($K4451="No Start (attainment only)","ℹ تحصيل فقط (بدون Start)",IF($K4451="U – needs rule","ℹ حالة U تحتاج قاعدة معتمدة",IF($K4451="No result","ℹ بدون نتيجة (يُستبعد من التحصيل)","OK")))))))))))</f>
        <v/>
      </c>
      <c r="M4451" s="64" t="n">
        <f aca="false">IF($A4451="",0,IFERROR(MATCH($A4451,Classes!$A$6:$A$420,0),0))</f>
        <v>0</v>
      </c>
      <c r="N4451" s="64" t="n">
        <f aca="false">IF($H4451="",0,IFERROR(MATCH($H4451,GradeList,0),0))</f>
        <v>0</v>
      </c>
      <c r="O4451" s="64" t="n">
        <f aca="false">IF(OR($I4451="",$I4451="NR"),0,IFERROR(MATCH($I4451,GradeList,0),0))</f>
        <v>0</v>
      </c>
      <c r="P4451" s="64" t="n">
        <f aca="false">IF(AND($M4451&gt;0,ISNUMBER(MATCH($F4451,Lists!$A$2:$A$5,0)),ISNUMBER(MATCH($G4451,Lists!$B$2:$B$7,0)),OR($H4451="",$N4451&gt;0),OR($I4451="",$I4451="NR",$O4451&gt;0),IF(ISNUMBER($J4451),AND($J4451&gt;=0,$J4451=INT($J4451)),FALSE())),$J4451,0)</f>
        <v>0</v>
      </c>
      <c r="Q4451" s="64" t="n">
        <f aca="false">IF(AND($P4451&gt;0,$O4451&gt;0),$P4451,0)</f>
        <v>0</v>
      </c>
      <c r="R4451" s="64" t="n">
        <f aca="false">IF(AND($Q4451&gt;0,$O4451&gt;=AtRank),$Q4451,0)</f>
        <v>0</v>
      </c>
      <c r="S4451" s="64" t="n">
        <f aca="false">IF(AND($Q4451&gt;0,$O4451&gt;=AboveRank),$Q4451,0)</f>
        <v>0</v>
      </c>
      <c r="T4451" s="64" t="n">
        <f aca="false">IF($K4451="Less",$P4451,0)</f>
        <v>0</v>
      </c>
      <c r="U4451" s="64" t="n">
        <f aca="false">IF($K4451="Expected",$P4451,0)</f>
        <v>0</v>
      </c>
      <c r="V4451" s="64" t="n">
        <f aca="false">IF($K4451="Better",$P4451,0)</f>
        <v>0</v>
      </c>
      <c r="W4451" s="64" t="n">
        <f aca="false">IF($K4451="U – needs rule",$P4451,0)</f>
        <v>0</v>
      </c>
      <c r="X4451" s="64" t="n">
        <f aca="false">IF($K4451="No Start (attainment only)",$P4451,0)</f>
        <v>0</v>
      </c>
    </row>
    <row r="4452" customFormat="false" ht="15" hidden="false" customHeight="false" outlineLevel="0" collapsed="false">
      <c r="A4452" s="60"/>
      <c r="B4452" s="61" t="str">
        <f aca="false">IF($M4452=0,"",INDEX(Classes!$E$6:$E$420,$M4452))</f>
        <v/>
      </c>
      <c r="C4452" s="62" t="str">
        <f aca="false">IF($M4452=0,"",INDEX(Classes!$H$6:$H$420,$M4452))</f>
        <v/>
      </c>
      <c r="D4452" s="61" t="str">
        <f aca="false">IF($M4452=0,"",INDEX(Classes!$B$6:$B$420,$M4452))</f>
        <v/>
      </c>
      <c r="E4452" s="61" t="str">
        <f aca="false">IF($M4452=0,"",INDEX(Classes!$C$6:$C$420,$M4452))</f>
        <v/>
      </c>
      <c r="F4452" s="63"/>
      <c r="G4452" s="63"/>
      <c r="H4452" s="60"/>
      <c r="I4452" s="60"/>
      <c r="J4452" s="63"/>
      <c r="K4452" s="61" t="str">
        <f aca="false">IF($P4452=0,"",IF($F4452="Baseline","— Baseline",IF($O4452=0,"No result",IF($N4452=0,"No Start (attainment only)",IF(OR($N4452=1,$O4452=1),"U – needs rule",INDEX(MxBody,MATCH($I4452,MxCurr,0),MATCH($H4452,MxStart,0)))))))</f>
        <v/>
      </c>
      <c r="L4452" s="62" t="str">
        <f aca="false">IF(COUNTA($A4452,$F4452,$G4452,$H4452,$I4452,$J4452)=0,"",IF($M4452=0,"✖ كود الصف غير موجود",IF(ISNA(MATCH($F4452,Lists!$A$2:$A$5,0)),"✖ الفترة غير صحيحة",IF(ISNA(MATCH($G4452,Lists!$B$2:$B$7,0)),"✖ المجموعة غير صحيحة",IF(NOT(OR($H4452="",$N4452&gt;0)),"✖ Start غير صحيح",IF(NOT(OR($I4452="",$I4452="NR",$O4452&gt;0)),"✖ Current غير صحيح",IF(NOT(IF(ISNUMBER($J4452),AND($J4452&gt;=0,$J4452=INT($J4452)),FALSE())),"✖ العدد يجب أن يكون صحيحًا ≥ 0",IF(AND($F4452="Baseline",$H4452&lt;&gt;""),"⚠ Baseline: Start لا يدخل في التقدم",IF($K4452="No Start (attainment only)","ℹ تحصيل فقط (بدون Start)",IF($K4452="U – needs rule","ℹ حالة U تحتاج قاعدة معتمدة",IF($K4452="No result","ℹ بدون نتيجة (يُستبعد من التحصيل)","OK")))))))))))</f>
        <v/>
      </c>
      <c r="M4452" s="64" t="n">
        <f aca="false">IF($A4452="",0,IFERROR(MATCH($A4452,Classes!$A$6:$A$420,0),0))</f>
        <v>0</v>
      </c>
      <c r="N4452" s="64" t="n">
        <f aca="false">IF($H4452="",0,IFERROR(MATCH($H4452,GradeList,0),0))</f>
        <v>0</v>
      </c>
      <c r="O4452" s="64" t="n">
        <f aca="false">IF(OR($I4452="",$I4452="NR"),0,IFERROR(MATCH($I4452,GradeList,0),0))</f>
        <v>0</v>
      </c>
      <c r="P4452" s="64" t="n">
        <f aca="false">IF(AND($M4452&gt;0,ISNUMBER(MATCH($F4452,Lists!$A$2:$A$5,0)),ISNUMBER(MATCH($G4452,Lists!$B$2:$B$7,0)),OR($H4452="",$N4452&gt;0),OR($I4452="",$I4452="NR",$O4452&gt;0),IF(ISNUMBER($J4452),AND($J4452&gt;=0,$J4452=INT($J4452)),FALSE())),$J4452,0)</f>
        <v>0</v>
      </c>
      <c r="Q4452" s="64" t="n">
        <f aca="false">IF(AND($P4452&gt;0,$O4452&gt;0),$P4452,0)</f>
        <v>0</v>
      </c>
      <c r="R4452" s="64" t="n">
        <f aca="false">IF(AND($Q4452&gt;0,$O4452&gt;=AtRank),$Q4452,0)</f>
        <v>0</v>
      </c>
      <c r="S4452" s="64" t="n">
        <f aca="false">IF(AND($Q4452&gt;0,$O4452&gt;=AboveRank),$Q4452,0)</f>
        <v>0</v>
      </c>
      <c r="T4452" s="64" t="n">
        <f aca="false">IF($K4452="Less",$P4452,0)</f>
        <v>0</v>
      </c>
      <c r="U4452" s="64" t="n">
        <f aca="false">IF($K4452="Expected",$P4452,0)</f>
        <v>0</v>
      </c>
      <c r="V4452" s="64" t="n">
        <f aca="false">IF($K4452="Better",$P4452,0)</f>
        <v>0</v>
      </c>
      <c r="W4452" s="64" t="n">
        <f aca="false">IF($K4452="U – needs rule",$P4452,0)</f>
        <v>0</v>
      </c>
      <c r="X4452" s="64" t="n">
        <f aca="false">IF($K4452="No Start (attainment only)",$P4452,0)</f>
        <v>0</v>
      </c>
    </row>
    <row r="4453" customFormat="false" ht="15" hidden="false" customHeight="false" outlineLevel="0" collapsed="false">
      <c r="A4453" s="60"/>
      <c r="B4453" s="61" t="str">
        <f aca="false">IF($M4453=0,"",INDEX(Classes!$E$6:$E$420,$M4453))</f>
        <v/>
      </c>
      <c r="C4453" s="62" t="str">
        <f aca="false">IF($M4453=0,"",INDEX(Classes!$H$6:$H$420,$M4453))</f>
        <v/>
      </c>
      <c r="D4453" s="61" t="str">
        <f aca="false">IF($M4453=0,"",INDEX(Classes!$B$6:$B$420,$M4453))</f>
        <v/>
      </c>
      <c r="E4453" s="61" t="str">
        <f aca="false">IF($M4453=0,"",INDEX(Classes!$C$6:$C$420,$M4453))</f>
        <v/>
      </c>
      <c r="F4453" s="63"/>
      <c r="G4453" s="63"/>
      <c r="H4453" s="60"/>
      <c r="I4453" s="60"/>
      <c r="J4453" s="63"/>
      <c r="K4453" s="61" t="str">
        <f aca="false">IF($P4453=0,"",IF($F4453="Baseline","— Baseline",IF($O4453=0,"No result",IF($N4453=0,"No Start (attainment only)",IF(OR($N4453=1,$O4453=1),"U – needs rule",INDEX(MxBody,MATCH($I4453,MxCurr,0),MATCH($H4453,MxStart,0)))))))</f>
        <v/>
      </c>
      <c r="L4453" s="62" t="str">
        <f aca="false">IF(COUNTA($A4453,$F4453,$G4453,$H4453,$I4453,$J4453)=0,"",IF($M4453=0,"✖ كود الصف غير موجود",IF(ISNA(MATCH($F4453,Lists!$A$2:$A$5,0)),"✖ الفترة غير صحيحة",IF(ISNA(MATCH($G4453,Lists!$B$2:$B$7,0)),"✖ المجموعة غير صحيحة",IF(NOT(OR($H4453="",$N4453&gt;0)),"✖ Start غير صحيح",IF(NOT(OR($I4453="",$I4453="NR",$O4453&gt;0)),"✖ Current غير صحيح",IF(NOT(IF(ISNUMBER($J4453),AND($J4453&gt;=0,$J4453=INT($J4453)),FALSE())),"✖ العدد يجب أن يكون صحيحًا ≥ 0",IF(AND($F4453="Baseline",$H4453&lt;&gt;""),"⚠ Baseline: Start لا يدخل في التقدم",IF($K4453="No Start (attainment only)","ℹ تحصيل فقط (بدون Start)",IF($K4453="U – needs rule","ℹ حالة U تحتاج قاعدة معتمدة",IF($K4453="No result","ℹ بدون نتيجة (يُستبعد من التحصيل)","OK")))))))))))</f>
        <v/>
      </c>
      <c r="M4453" s="64" t="n">
        <f aca="false">IF($A4453="",0,IFERROR(MATCH($A4453,Classes!$A$6:$A$420,0),0))</f>
        <v>0</v>
      </c>
      <c r="N4453" s="64" t="n">
        <f aca="false">IF($H4453="",0,IFERROR(MATCH($H4453,GradeList,0),0))</f>
        <v>0</v>
      </c>
      <c r="O4453" s="64" t="n">
        <f aca="false">IF(OR($I4453="",$I4453="NR"),0,IFERROR(MATCH($I4453,GradeList,0),0))</f>
        <v>0</v>
      </c>
      <c r="P4453" s="64" t="n">
        <f aca="false">IF(AND($M4453&gt;0,ISNUMBER(MATCH($F4453,Lists!$A$2:$A$5,0)),ISNUMBER(MATCH($G4453,Lists!$B$2:$B$7,0)),OR($H4453="",$N4453&gt;0),OR($I4453="",$I4453="NR",$O4453&gt;0),IF(ISNUMBER($J4453),AND($J4453&gt;=0,$J4453=INT($J4453)),FALSE())),$J4453,0)</f>
        <v>0</v>
      </c>
      <c r="Q4453" s="64" t="n">
        <f aca="false">IF(AND($P4453&gt;0,$O4453&gt;0),$P4453,0)</f>
        <v>0</v>
      </c>
      <c r="R4453" s="64" t="n">
        <f aca="false">IF(AND($Q4453&gt;0,$O4453&gt;=AtRank),$Q4453,0)</f>
        <v>0</v>
      </c>
      <c r="S4453" s="64" t="n">
        <f aca="false">IF(AND($Q4453&gt;0,$O4453&gt;=AboveRank),$Q4453,0)</f>
        <v>0</v>
      </c>
      <c r="T4453" s="64" t="n">
        <f aca="false">IF($K4453="Less",$P4453,0)</f>
        <v>0</v>
      </c>
      <c r="U4453" s="64" t="n">
        <f aca="false">IF($K4453="Expected",$P4453,0)</f>
        <v>0</v>
      </c>
      <c r="V4453" s="64" t="n">
        <f aca="false">IF($K4453="Better",$P4453,0)</f>
        <v>0</v>
      </c>
      <c r="W4453" s="64" t="n">
        <f aca="false">IF($K4453="U – needs rule",$P4453,0)</f>
        <v>0</v>
      </c>
      <c r="X4453" s="64" t="n">
        <f aca="false">IF($K4453="No Start (attainment only)",$P4453,0)</f>
        <v>0</v>
      </c>
    </row>
    <row r="4454" customFormat="false" ht="15" hidden="false" customHeight="false" outlineLevel="0" collapsed="false">
      <c r="A4454" s="60"/>
      <c r="B4454" s="61" t="str">
        <f aca="false">IF($M4454=0,"",INDEX(Classes!$E$6:$E$420,$M4454))</f>
        <v/>
      </c>
      <c r="C4454" s="62" t="str">
        <f aca="false">IF($M4454=0,"",INDEX(Classes!$H$6:$H$420,$M4454))</f>
        <v/>
      </c>
      <c r="D4454" s="61" t="str">
        <f aca="false">IF($M4454=0,"",INDEX(Classes!$B$6:$B$420,$M4454))</f>
        <v/>
      </c>
      <c r="E4454" s="61" t="str">
        <f aca="false">IF($M4454=0,"",INDEX(Classes!$C$6:$C$420,$M4454))</f>
        <v/>
      </c>
      <c r="F4454" s="63"/>
      <c r="G4454" s="63"/>
      <c r="H4454" s="60"/>
      <c r="I4454" s="60"/>
      <c r="J4454" s="63"/>
      <c r="K4454" s="61" t="str">
        <f aca="false">IF($P4454=0,"",IF($F4454="Baseline","— Baseline",IF($O4454=0,"No result",IF($N4454=0,"No Start (attainment only)",IF(OR($N4454=1,$O4454=1),"U – needs rule",INDEX(MxBody,MATCH($I4454,MxCurr,0),MATCH($H4454,MxStart,0)))))))</f>
        <v/>
      </c>
      <c r="L4454" s="62" t="str">
        <f aca="false">IF(COUNTA($A4454,$F4454,$G4454,$H4454,$I4454,$J4454)=0,"",IF($M4454=0,"✖ كود الصف غير موجود",IF(ISNA(MATCH($F4454,Lists!$A$2:$A$5,0)),"✖ الفترة غير صحيحة",IF(ISNA(MATCH($G4454,Lists!$B$2:$B$7,0)),"✖ المجموعة غير صحيحة",IF(NOT(OR($H4454="",$N4454&gt;0)),"✖ Start غير صحيح",IF(NOT(OR($I4454="",$I4454="NR",$O4454&gt;0)),"✖ Current غير صحيح",IF(NOT(IF(ISNUMBER($J4454),AND($J4454&gt;=0,$J4454=INT($J4454)),FALSE())),"✖ العدد يجب أن يكون صحيحًا ≥ 0",IF(AND($F4454="Baseline",$H4454&lt;&gt;""),"⚠ Baseline: Start لا يدخل في التقدم",IF($K4454="No Start (attainment only)","ℹ تحصيل فقط (بدون Start)",IF($K4454="U – needs rule","ℹ حالة U تحتاج قاعدة معتمدة",IF($K4454="No result","ℹ بدون نتيجة (يُستبعد من التحصيل)","OK")))))))))))</f>
        <v/>
      </c>
      <c r="M4454" s="64" t="n">
        <f aca="false">IF($A4454="",0,IFERROR(MATCH($A4454,Classes!$A$6:$A$420,0),0))</f>
        <v>0</v>
      </c>
      <c r="N4454" s="64" t="n">
        <f aca="false">IF($H4454="",0,IFERROR(MATCH($H4454,GradeList,0),0))</f>
        <v>0</v>
      </c>
      <c r="O4454" s="64" t="n">
        <f aca="false">IF(OR($I4454="",$I4454="NR"),0,IFERROR(MATCH($I4454,GradeList,0),0))</f>
        <v>0</v>
      </c>
      <c r="P4454" s="64" t="n">
        <f aca="false">IF(AND($M4454&gt;0,ISNUMBER(MATCH($F4454,Lists!$A$2:$A$5,0)),ISNUMBER(MATCH($G4454,Lists!$B$2:$B$7,0)),OR($H4454="",$N4454&gt;0),OR($I4454="",$I4454="NR",$O4454&gt;0),IF(ISNUMBER($J4454),AND($J4454&gt;=0,$J4454=INT($J4454)),FALSE())),$J4454,0)</f>
        <v>0</v>
      </c>
      <c r="Q4454" s="64" t="n">
        <f aca="false">IF(AND($P4454&gt;0,$O4454&gt;0),$P4454,0)</f>
        <v>0</v>
      </c>
      <c r="R4454" s="64" t="n">
        <f aca="false">IF(AND($Q4454&gt;0,$O4454&gt;=AtRank),$Q4454,0)</f>
        <v>0</v>
      </c>
      <c r="S4454" s="64" t="n">
        <f aca="false">IF(AND($Q4454&gt;0,$O4454&gt;=AboveRank),$Q4454,0)</f>
        <v>0</v>
      </c>
      <c r="T4454" s="64" t="n">
        <f aca="false">IF($K4454="Less",$P4454,0)</f>
        <v>0</v>
      </c>
      <c r="U4454" s="64" t="n">
        <f aca="false">IF($K4454="Expected",$P4454,0)</f>
        <v>0</v>
      </c>
      <c r="V4454" s="64" t="n">
        <f aca="false">IF($K4454="Better",$P4454,0)</f>
        <v>0</v>
      </c>
      <c r="W4454" s="64" t="n">
        <f aca="false">IF($K4454="U – needs rule",$P4454,0)</f>
        <v>0</v>
      </c>
      <c r="X4454" s="64" t="n">
        <f aca="false">IF($K4454="No Start (attainment only)",$P4454,0)</f>
        <v>0</v>
      </c>
    </row>
    <row r="4455" customFormat="false" ht="15" hidden="false" customHeight="false" outlineLevel="0" collapsed="false">
      <c r="A4455" s="60"/>
      <c r="B4455" s="61" t="str">
        <f aca="false">IF($M4455=0,"",INDEX(Classes!$E$6:$E$420,$M4455))</f>
        <v/>
      </c>
      <c r="C4455" s="62" t="str">
        <f aca="false">IF($M4455=0,"",INDEX(Classes!$H$6:$H$420,$M4455))</f>
        <v/>
      </c>
      <c r="D4455" s="61" t="str">
        <f aca="false">IF($M4455=0,"",INDEX(Classes!$B$6:$B$420,$M4455))</f>
        <v/>
      </c>
      <c r="E4455" s="61" t="str">
        <f aca="false">IF($M4455=0,"",INDEX(Classes!$C$6:$C$420,$M4455))</f>
        <v/>
      </c>
      <c r="F4455" s="63"/>
      <c r="G4455" s="63"/>
      <c r="H4455" s="60"/>
      <c r="I4455" s="60"/>
      <c r="J4455" s="63"/>
      <c r="K4455" s="61" t="str">
        <f aca="false">IF($P4455=0,"",IF($F4455="Baseline","— Baseline",IF($O4455=0,"No result",IF($N4455=0,"No Start (attainment only)",IF(OR($N4455=1,$O4455=1),"U – needs rule",INDEX(MxBody,MATCH($I4455,MxCurr,0),MATCH($H4455,MxStart,0)))))))</f>
        <v/>
      </c>
      <c r="L4455" s="62" t="str">
        <f aca="false">IF(COUNTA($A4455,$F4455,$G4455,$H4455,$I4455,$J4455)=0,"",IF($M4455=0,"✖ كود الصف غير موجود",IF(ISNA(MATCH($F4455,Lists!$A$2:$A$5,0)),"✖ الفترة غير صحيحة",IF(ISNA(MATCH($G4455,Lists!$B$2:$B$7,0)),"✖ المجموعة غير صحيحة",IF(NOT(OR($H4455="",$N4455&gt;0)),"✖ Start غير صحيح",IF(NOT(OR($I4455="",$I4455="NR",$O4455&gt;0)),"✖ Current غير صحيح",IF(NOT(IF(ISNUMBER($J4455),AND($J4455&gt;=0,$J4455=INT($J4455)),FALSE())),"✖ العدد يجب أن يكون صحيحًا ≥ 0",IF(AND($F4455="Baseline",$H4455&lt;&gt;""),"⚠ Baseline: Start لا يدخل في التقدم",IF($K4455="No Start (attainment only)","ℹ تحصيل فقط (بدون Start)",IF($K4455="U – needs rule","ℹ حالة U تحتاج قاعدة معتمدة",IF($K4455="No result","ℹ بدون نتيجة (يُستبعد من التحصيل)","OK")))))))))))</f>
        <v/>
      </c>
      <c r="M4455" s="64" t="n">
        <f aca="false">IF($A4455="",0,IFERROR(MATCH($A4455,Classes!$A$6:$A$420,0),0))</f>
        <v>0</v>
      </c>
      <c r="N4455" s="64" t="n">
        <f aca="false">IF($H4455="",0,IFERROR(MATCH($H4455,GradeList,0),0))</f>
        <v>0</v>
      </c>
      <c r="O4455" s="64" t="n">
        <f aca="false">IF(OR($I4455="",$I4455="NR"),0,IFERROR(MATCH($I4455,GradeList,0),0))</f>
        <v>0</v>
      </c>
      <c r="P4455" s="64" t="n">
        <f aca="false">IF(AND($M4455&gt;0,ISNUMBER(MATCH($F4455,Lists!$A$2:$A$5,0)),ISNUMBER(MATCH($G4455,Lists!$B$2:$B$7,0)),OR($H4455="",$N4455&gt;0),OR($I4455="",$I4455="NR",$O4455&gt;0),IF(ISNUMBER($J4455),AND($J4455&gt;=0,$J4455=INT($J4455)),FALSE())),$J4455,0)</f>
        <v>0</v>
      </c>
      <c r="Q4455" s="64" t="n">
        <f aca="false">IF(AND($P4455&gt;0,$O4455&gt;0),$P4455,0)</f>
        <v>0</v>
      </c>
      <c r="R4455" s="64" t="n">
        <f aca="false">IF(AND($Q4455&gt;0,$O4455&gt;=AtRank),$Q4455,0)</f>
        <v>0</v>
      </c>
      <c r="S4455" s="64" t="n">
        <f aca="false">IF(AND($Q4455&gt;0,$O4455&gt;=AboveRank),$Q4455,0)</f>
        <v>0</v>
      </c>
      <c r="T4455" s="64" t="n">
        <f aca="false">IF($K4455="Less",$P4455,0)</f>
        <v>0</v>
      </c>
      <c r="U4455" s="64" t="n">
        <f aca="false">IF($K4455="Expected",$P4455,0)</f>
        <v>0</v>
      </c>
      <c r="V4455" s="64" t="n">
        <f aca="false">IF($K4455="Better",$P4455,0)</f>
        <v>0</v>
      </c>
      <c r="W4455" s="64" t="n">
        <f aca="false">IF($K4455="U – needs rule",$P4455,0)</f>
        <v>0</v>
      </c>
      <c r="X4455" s="64" t="n">
        <f aca="false">IF($K4455="No Start (attainment only)",$P4455,0)</f>
        <v>0</v>
      </c>
    </row>
    <row r="4456" customFormat="false" ht="15" hidden="false" customHeight="false" outlineLevel="0" collapsed="false">
      <c r="A4456" s="60"/>
      <c r="B4456" s="61" t="str">
        <f aca="false">IF($M4456=0,"",INDEX(Classes!$E$6:$E$420,$M4456))</f>
        <v/>
      </c>
      <c r="C4456" s="62" t="str">
        <f aca="false">IF($M4456=0,"",INDEX(Classes!$H$6:$H$420,$M4456))</f>
        <v/>
      </c>
      <c r="D4456" s="61" t="str">
        <f aca="false">IF($M4456=0,"",INDEX(Classes!$B$6:$B$420,$M4456))</f>
        <v/>
      </c>
      <c r="E4456" s="61" t="str">
        <f aca="false">IF($M4456=0,"",INDEX(Classes!$C$6:$C$420,$M4456))</f>
        <v/>
      </c>
      <c r="F4456" s="63"/>
      <c r="G4456" s="63"/>
      <c r="H4456" s="60"/>
      <c r="I4456" s="60"/>
      <c r="J4456" s="63"/>
      <c r="K4456" s="61" t="str">
        <f aca="false">IF($P4456=0,"",IF($F4456="Baseline","— Baseline",IF($O4456=0,"No result",IF($N4456=0,"No Start (attainment only)",IF(OR($N4456=1,$O4456=1),"U – needs rule",INDEX(MxBody,MATCH($I4456,MxCurr,0),MATCH($H4456,MxStart,0)))))))</f>
        <v/>
      </c>
      <c r="L4456" s="62" t="str">
        <f aca="false">IF(COUNTA($A4456,$F4456,$G4456,$H4456,$I4456,$J4456)=0,"",IF($M4456=0,"✖ كود الصف غير موجود",IF(ISNA(MATCH($F4456,Lists!$A$2:$A$5,0)),"✖ الفترة غير صحيحة",IF(ISNA(MATCH($G4456,Lists!$B$2:$B$7,0)),"✖ المجموعة غير صحيحة",IF(NOT(OR($H4456="",$N4456&gt;0)),"✖ Start غير صحيح",IF(NOT(OR($I4456="",$I4456="NR",$O4456&gt;0)),"✖ Current غير صحيح",IF(NOT(IF(ISNUMBER($J4456),AND($J4456&gt;=0,$J4456=INT($J4456)),FALSE())),"✖ العدد يجب أن يكون صحيحًا ≥ 0",IF(AND($F4456="Baseline",$H4456&lt;&gt;""),"⚠ Baseline: Start لا يدخل في التقدم",IF($K4456="No Start (attainment only)","ℹ تحصيل فقط (بدون Start)",IF($K4456="U – needs rule","ℹ حالة U تحتاج قاعدة معتمدة",IF($K4456="No result","ℹ بدون نتيجة (يُستبعد من التحصيل)","OK")))))))))))</f>
        <v/>
      </c>
      <c r="M4456" s="64" t="n">
        <f aca="false">IF($A4456="",0,IFERROR(MATCH($A4456,Classes!$A$6:$A$420,0),0))</f>
        <v>0</v>
      </c>
      <c r="N4456" s="64" t="n">
        <f aca="false">IF($H4456="",0,IFERROR(MATCH($H4456,GradeList,0),0))</f>
        <v>0</v>
      </c>
      <c r="O4456" s="64" t="n">
        <f aca="false">IF(OR($I4456="",$I4456="NR"),0,IFERROR(MATCH($I4456,GradeList,0),0))</f>
        <v>0</v>
      </c>
      <c r="P4456" s="64" t="n">
        <f aca="false">IF(AND($M4456&gt;0,ISNUMBER(MATCH($F4456,Lists!$A$2:$A$5,0)),ISNUMBER(MATCH($G4456,Lists!$B$2:$B$7,0)),OR($H4456="",$N4456&gt;0),OR($I4456="",$I4456="NR",$O4456&gt;0),IF(ISNUMBER($J4456),AND($J4456&gt;=0,$J4456=INT($J4456)),FALSE())),$J4456,0)</f>
        <v>0</v>
      </c>
      <c r="Q4456" s="64" t="n">
        <f aca="false">IF(AND($P4456&gt;0,$O4456&gt;0),$P4456,0)</f>
        <v>0</v>
      </c>
      <c r="R4456" s="64" t="n">
        <f aca="false">IF(AND($Q4456&gt;0,$O4456&gt;=AtRank),$Q4456,0)</f>
        <v>0</v>
      </c>
      <c r="S4456" s="64" t="n">
        <f aca="false">IF(AND($Q4456&gt;0,$O4456&gt;=AboveRank),$Q4456,0)</f>
        <v>0</v>
      </c>
      <c r="T4456" s="64" t="n">
        <f aca="false">IF($K4456="Less",$P4456,0)</f>
        <v>0</v>
      </c>
      <c r="U4456" s="64" t="n">
        <f aca="false">IF($K4456="Expected",$P4456,0)</f>
        <v>0</v>
      </c>
      <c r="V4456" s="64" t="n">
        <f aca="false">IF($K4456="Better",$P4456,0)</f>
        <v>0</v>
      </c>
      <c r="W4456" s="64" t="n">
        <f aca="false">IF($K4456="U – needs rule",$P4456,0)</f>
        <v>0</v>
      </c>
      <c r="X4456" s="64" t="n">
        <f aca="false">IF($K4456="No Start (attainment only)",$P4456,0)</f>
        <v>0</v>
      </c>
    </row>
    <row r="4457" customFormat="false" ht="15" hidden="false" customHeight="false" outlineLevel="0" collapsed="false">
      <c r="A4457" s="60"/>
      <c r="B4457" s="61" t="str">
        <f aca="false">IF($M4457=0,"",INDEX(Classes!$E$6:$E$420,$M4457))</f>
        <v/>
      </c>
      <c r="C4457" s="62" t="str">
        <f aca="false">IF($M4457=0,"",INDEX(Classes!$H$6:$H$420,$M4457))</f>
        <v/>
      </c>
      <c r="D4457" s="61" t="str">
        <f aca="false">IF($M4457=0,"",INDEX(Classes!$B$6:$B$420,$M4457))</f>
        <v/>
      </c>
      <c r="E4457" s="61" t="str">
        <f aca="false">IF($M4457=0,"",INDEX(Classes!$C$6:$C$420,$M4457))</f>
        <v/>
      </c>
      <c r="F4457" s="63"/>
      <c r="G4457" s="63"/>
      <c r="H4457" s="60"/>
      <c r="I4457" s="60"/>
      <c r="J4457" s="63"/>
      <c r="K4457" s="61" t="str">
        <f aca="false">IF($P4457=0,"",IF($F4457="Baseline","— Baseline",IF($O4457=0,"No result",IF($N4457=0,"No Start (attainment only)",IF(OR($N4457=1,$O4457=1),"U – needs rule",INDEX(MxBody,MATCH($I4457,MxCurr,0),MATCH($H4457,MxStart,0)))))))</f>
        <v/>
      </c>
      <c r="L4457" s="62" t="str">
        <f aca="false">IF(COUNTA($A4457,$F4457,$G4457,$H4457,$I4457,$J4457)=0,"",IF($M4457=0,"✖ كود الصف غير موجود",IF(ISNA(MATCH($F4457,Lists!$A$2:$A$5,0)),"✖ الفترة غير صحيحة",IF(ISNA(MATCH($G4457,Lists!$B$2:$B$7,0)),"✖ المجموعة غير صحيحة",IF(NOT(OR($H4457="",$N4457&gt;0)),"✖ Start غير صحيح",IF(NOT(OR($I4457="",$I4457="NR",$O4457&gt;0)),"✖ Current غير صحيح",IF(NOT(IF(ISNUMBER($J4457),AND($J4457&gt;=0,$J4457=INT($J4457)),FALSE())),"✖ العدد يجب أن يكون صحيحًا ≥ 0",IF(AND($F4457="Baseline",$H4457&lt;&gt;""),"⚠ Baseline: Start لا يدخل في التقدم",IF($K4457="No Start (attainment only)","ℹ تحصيل فقط (بدون Start)",IF($K4457="U – needs rule","ℹ حالة U تحتاج قاعدة معتمدة",IF($K4457="No result","ℹ بدون نتيجة (يُستبعد من التحصيل)","OK")))))))))))</f>
        <v/>
      </c>
      <c r="M4457" s="64" t="n">
        <f aca="false">IF($A4457="",0,IFERROR(MATCH($A4457,Classes!$A$6:$A$420,0),0))</f>
        <v>0</v>
      </c>
      <c r="N4457" s="64" t="n">
        <f aca="false">IF($H4457="",0,IFERROR(MATCH($H4457,GradeList,0),0))</f>
        <v>0</v>
      </c>
      <c r="O4457" s="64" t="n">
        <f aca="false">IF(OR($I4457="",$I4457="NR"),0,IFERROR(MATCH($I4457,GradeList,0),0))</f>
        <v>0</v>
      </c>
      <c r="P4457" s="64" t="n">
        <f aca="false">IF(AND($M4457&gt;0,ISNUMBER(MATCH($F4457,Lists!$A$2:$A$5,0)),ISNUMBER(MATCH($G4457,Lists!$B$2:$B$7,0)),OR($H4457="",$N4457&gt;0),OR($I4457="",$I4457="NR",$O4457&gt;0),IF(ISNUMBER($J4457),AND($J4457&gt;=0,$J4457=INT($J4457)),FALSE())),$J4457,0)</f>
        <v>0</v>
      </c>
      <c r="Q4457" s="64" t="n">
        <f aca="false">IF(AND($P4457&gt;0,$O4457&gt;0),$P4457,0)</f>
        <v>0</v>
      </c>
      <c r="R4457" s="64" t="n">
        <f aca="false">IF(AND($Q4457&gt;0,$O4457&gt;=AtRank),$Q4457,0)</f>
        <v>0</v>
      </c>
      <c r="S4457" s="64" t="n">
        <f aca="false">IF(AND($Q4457&gt;0,$O4457&gt;=AboveRank),$Q4457,0)</f>
        <v>0</v>
      </c>
      <c r="T4457" s="64" t="n">
        <f aca="false">IF($K4457="Less",$P4457,0)</f>
        <v>0</v>
      </c>
      <c r="U4457" s="64" t="n">
        <f aca="false">IF($K4457="Expected",$P4457,0)</f>
        <v>0</v>
      </c>
      <c r="V4457" s="64" t="n">
        <f aca="false">IF($K4457="Better",$P4457,0)</f>
        <v>0</v>
      </c>
      <c r="W4457" s="64" t="n">
        <f aca="false">IF($K4457="U – needs rule",$P4457,0)</f>
        <v>0</v>
      </c>
      <c r="X4457" s="64" t="n">
        <f aca="false">IF($K4457="No Start (attainment only)",$P4457,0)</f>
        <v>0</v>
      </c>
    </row>
    <row r="4458" customFormat="false" ht="15" hidden="false" customHeight="false" outlineLevel="0" collapsed="false">
      <c r="A4458" s="60"/>
      <c r="B4458" s="61" t="str">
        <f aca="false">IF($M4458=0,"",INDEX(Classes!$E$6:$E$420,$M4458))</f>
        <v/>
      </c>
      <c r="C4458" s="62" t="str">
        <f aca="false">IF($M4458=0,"",INDEX(Classes!$H$6:$H$420,$M4458))</f>
        <v/>
      </c>
      <c r="D4458" s="61" t="str">
        <f aca="false">IF($M4458=0,"",INDEX(Classes!$B$6:$B$420,$M4458))</f>
        <v/>
      </c>
      <c r="E4458" s="61" t="str">
        <f aca="false">IF($M4458=0,"",INDEX(Classes!$C$6:$C$420,$M4458))</f>
        <v/>
      </c>
      <c r="F4458" s="63"/>
      <c r="G4458" s="63"/>
      <c r="H4458" s="60"/>
      <c r="I4458" s="60"/>
      <c r="J4458" s="63"/>
      <c r="K4458" s="61" t="str">
        <f aca="false">IF($P4458=0,"",IF($F4458="Baseline","— Baseline",IF($O4458=0,"No result",IF($N4458=0,"No Start (attainment only)",IF(OR($N4458=1,$O4458=1),"U – needs rule",INDEX(MxBody,MATCH($I4458,MxCurr,0),MATCH($H4458,MxStart,0)))))))</f>
        <v/>
      </c>
      <c r="L4458" s="62" t="str">
        <f aca="false">IF(COUNTA($A4458,$F4458,$G4458,$H4458,$I4458,$J4458)=0,"",IF($M4458=0,"✖ كود الصف غير موجود",IF(ISNA(MATCH($F4458,Lists!$A$2:$A$5,0)),"✖ الفترة غير صحيحة",IF(ISNA(MATCH($G4458,Lists!$B$2:$B$7,0)),"✖ المجموعة غير صحيحة",IF(NOT(OR($H4458="",$N4458&gt;0)),"✖ Start غير صحيح",IF(NOT(OR($I4458="",$I4458="NR",$O4458&gt;0)),"✖ Current غير صحيح",IF(NOT(IF(ISNUMBER($J4458),AND($J4458&gt;=0,$J4458=INT($J4458)),FALSE())),"✖ العدد يجب أن يكون صحيحًا ≥ 0",IF(AND($F4458="Baseline",$H4458&lt;&gt;""),"⚠ Baseline: Start لا يدخل في التقدم",IF($K4458="No Start (attainment only)","ℹ تحصيل فقط (بدون Start)",IF($K4458="U – needs rule","ℹ حالة U تحتاج قاعدة معتمدة",IF($K4458="No result","ℹ بدون نتيجة (يُستبعد من التحصيل)","OK")))))))))))</f>
        <v/>
      </c>
      <c r="M4458" s="64" t="n">
        <f aca="false">IF($A4458="",0,IFERROR(MATCH($A4458,Classes!$A$6:$A$420,0),0))</f>
        <v>0</v>
      </c>
      <c r="N4458" s="64" t="n">
        <f aca="false">IF($H4458="",0,IFERROR(MATCH($H4458,GradeList,0),0))</f>
        <v>0</v>
      </c>
      <c r="O4458" s="64" t="n">
        <f aca="false">IF(OR($I4458="",$I4458="NR"),0,IFERROR(MATCH($I4458,GradeList,0),0))</f>
        <v>0</v>
      </c>
      <c r="P4458" s="64" t="n">
        <f aca="false">IF(AND($M4458&gt;0,ISNUMBER(MATCH($F4458,Lists!$A$2:$A$5,0)),ISNUMBER(MATCH($G4458,Lists!$B$2:$B$7,0)),OR($H4458="",$N4458&gt;0),OR($I4458="",$I4458="NR",$O4458&gt;0),IF(ISNUMBER($J4458),AND($J4458&gt;=0,$J4458=INT($J4458)),FALSE())),$J4458,0)</f>
        <v>0</v>
      </c>
      <c r="Q4458" s="64" t="n">
        <f aca="false">IF(AND($P4458&gt;0,$O4458&gt;0),$P4458,0)</f>
        <v>0</v>
      </c>
      <c r="R4458" s="64" t="n">
        <f aca="false">IF(AND($Q4458&gt;0,$O4458&gt;=AtRank),$Q4458,0)</f>
        <v>0</v>
      </c>
      <c r="S4458" s="64" t="n">
        <f aca="false">IF(AND($Q4458&gt;0,$O4458&gt;=AboveRank),$Q4458,0)</f>
        <v>0</v>
      </c>
      <c r="T4458" s="64" t="n">
        <f aca="false">IF($K4458="Less",$P4458,0)</f>
        <v>0</v>
      </c>
      <c r="U4458" s="64" t="n">
        <f aca="false">IF($K4458="Expected",$P4458,0)</f>
        <v>0</v>
      </c>
      <c r="V4458" s="64" t="n">
        <f aca="false">IF($K4458="Better",$P4458,0)</f>
        <v>0</v>
      </c>
      <c r="W4458" s="64" t="n">
        <f aca="false">IF($K4458="U – needs rule",$P4458,0)</f>
        <v>0</v>
      </c>
      <c r="X4458" s="64" t="n">
        <f aca="false">IF($K4458="No Start (attainment only)",$P4458,0)</f>
        <v>0</v>
      </c>
    </row>
    <row r="4459" customFormat="false" ht="15" hidden="false" customHeight="false" outlineLevel="0" collapsed="false">
      <c r="A4459" s="60"/>
      <c r="B4459" s="61" t="str">
        <f aca="false">IF($M4459=0,"",INDEX(Classes!$E$6:$E$420,$M4459))</f>
        <v/>
      </c>
      <c r="C4459" s="62" t="str">
        <f aca="false">IF($M4459=0,"",INDEX(Classes!$H$6:$H$420,$M4459))</f>
        <v/>
      </c>
      <c r="D4459" s="61" t="str">
        <f aca="false">IF($M4459=0,"",INDEX(Classes!$B$6:$B$420,$M4459))</f>
        <v/>
      </c>
      <c r="E4459" s="61" t="str">
        <f aca="false">IF($M4459=0,"",INDEX(Classes!$C$6:$C$420,$M4459))</f>
        <v/>
      </c>
      <c r="F4459" s="63"/>
      <c r="G4459" s="63"/>
      <c r="H4459" s="60"/>
      <c r="I4459" s="60"/>
      <c r="J4459" s="63"/>
      <c r="K4459" s="61" t="str">
        <f aca="false">IF($P4459=0,"",IF($F4459="Baseline","— Baseline",IF($O4459=0,"No result",IF($N4459=0,"No Start (attainment only)",IF(OR($N4459=1,$O4459=1),"U – needs rule",INDEX(MxBody,MATCH($I4459,MxCurr,0),MATCH($H4459,MxStart,0)))))))</f>
        <v/>
      </c>
      <c r="L4459" s="62" t="str">
        <f aca="false">IF(COUNTA($A4459,$F4459,$G4459,$H4459,$I4459,$J4459)=0,"",IF($M4459=0,"✖ كود الصف غير موجود",IF(ISNA(MATCH($F4459,Lists!$A$2:$A$5,0)),"✖ الفترة غير صحيحة",IF(ISNA(MATCH($G4459,Lists!$B$2:$B$7,0)),"✖ المجموعة غير صحيحة",IF(NOT(OR($H4459="",$N4459&gt;0)),"✖ Start غير صحيح",IF(NOT(OR($I4459="",$I4459="NR",$O4459&gt;0)),"✖ Current غير صحيح",IF(NOT(IF(ISNUMBER($J4459),AND($J4459&gt;=0,$J4459=INT($J4459)),FALSE())),"✖ العدد يجب أن يكون صحيحًا ≥ 0",IF(AND($F4459="Baseline",$H4459&lt;&gt;""),"⚠ Baseline: Start لا يدخل في التقدم",IF($K4459="No Start (attainment only)","ℹ تحصيل فقط (بدون Start)",IF($K4459="U – needs rule","ℹ حالة U تحتاج قاعدة معتمدة",IF($K4459="No result","ℹ بدون نتيجة (يُستبعد من التحصيل)","OK")))))))))))</f>
        <v/>
      </c>
      <c r="M4459" s="64" t="n">
        <f aca="false">IF($A4459="",0,IFERROR(MATCH($A4459,Classes!$A$6:$A$420,0),0))</f>
        <v>0</v>
      </c>
      <c r="N4459" s="64" t="n">
        <f aca="false">IF($H4459="",0,IFERROR(MATCH($H4459,GradeList,0),0))</f>
        <v>0</v>
      </c>
      <c r="O4459" s="64" t="n">
        <f aca="false">IF(OR($I4459="",$I4459="NR"),0,IFERROR(MATCH($I4459,GradeList,0),0))</f>
        <v>0</v>
      </c>
      <c r="P4459" s="64" t="n">
        <f aca="false">IF(AND($M4459&gt;0,ISNUMBER(MATCH($F4459,Lists!$A$2:$A$5,0)),ISNUMBER(MATCH($G4459,Lists!$B$2:$B$7,0)),OR($H4459="",$N4459&gt;0),OR($I4459="",$I4459="NR",$O4459&gt;0),IF(ISNUMBER($J4459),AND($J4459&gt;=0,$J4459=INT($J4459)),FALSE())),$J4459,0)</f>
        <v>0</v>
      </c>
      <c r="Q4459" s="64" t="n">
        <f aca="false">IF(AND($P4459&gt;0,$O4459&gt;0),$P4459,0)</f>
        <v>0</v>
      </c>
      <c r="R4459" s="64" t="n">
        <f aca="false">IF(AND($Q4459&gt;0,$O4459&gt;=AtRank),$Q4459,0)</f>
        <v>0</v>
      </c>
      <c r="S4459" s="64" t="n">
        <f aca="false">IF(AND($Q4459&gt;0,$O4459&gt;=AboveRank),$Q4459,0)</f>
        <v>0</v>
      </c>
      <c r="T4459" s="64" t="n">
        <f aca="false">IF($K4459="Less",$P4459,0)</f>
        <v>0</v>
      </c>
      <c r="U4459" s="64" t="n">
        <f aca="false">IF($K4459="Expected",$P4459,0)</f>
        <v>0</v>
      </c>
      <c r="V4459" s="64" t="n">
        <f aca="false">IF($K4459="Better",$P4459,0)</f>
        <v>0</v>
      </c>
      <c r="W4459" s="64" t="n">
        <f aca="false">IF($K4459="U – needs rule",$P4459,0)</f>
        <v>0</v>
      </c>
      <c r="X4459" s="64" t="n">
        <f aca="false">IF($K4459="No Start (attainment only)",$P4459,0)</f>
        <v>0</v>
      </c>
    </row>
    <row r="4460" customFormat="false" ht="15" hidden="false" customHeight="false" outlineLevel="0" collapsed="false">
      <c r="A4460" s="60"/>
      <c r="B4460" s="61" t="str">
        <f aca="false">IF($M4460=0,"",INDEX(Classes!$E$6:$E$420,$M4460))</f>
        <v/>
      </c>
      <c r="C4460" s="62" t="str">
        <f aca="false">IF($M4460=0,"",INDEX(Classes!$H$6:$H$420,$M4460))</f>
        <v/>
      </c>
      <c r="D4460" s="61" t="str">
        <f aca="false">IF($M4460=0,"",INDEX(Classes!$B$6:$B$420,$M4460))</f>
        <v/>
      </c>
      <c r="E4460" s="61" t="str">
        <f aca="false">IF($M4460=0,"",INDEX(Classes!$C$6:$C$420,$M4460))</f>
        <v/>
      </c>
      <c r="F4460" s="63"/>
      <c r="G4460" s="63"/>
      <c r="H4460" s="60"/>
      <c r="I4460" s="60"/>
      <c r="J4460" s="63"/>
      <c r="K4460" s="61" t="str">
        <f aca="false">IF($P4460=0,"",IF($F4460="Baseline","— Baseline",IF($O4460=0,"No result",IF($N4460=0,"No Start (attainment only)",IF(OR($N4460=1,$O4460=1),"U – needs rule",INDEX(MxBody,MATCH($I4460,MxCurr,0),MATCH($H4460,MxStart,0)))))))</f>
        <v/>
      </c>
      <c r="L4460" s="62" t="str">
        <f aca="false">IF(COUNTA($A4460,$F4460,$G4460,$H4460,$I4460,$J4460)=0,"",IF($M4460=0,"✖ كود الصف غير موجود",IF(ISNA(MATCH($F4460,Lists!$A$2:$A$5,0)),"✖ الفترة غير صحيحة",IF(ISNA(MATCH($G4460,Lists!$B$2:$B$7,0)),"✖ المجموعة غير صحيحة",IF(NOT(OR($H4460="",$N4460&gt;0)),"✖ Start غير صحيح",IF(NOT(OR($I4460="",$I4460="NR",$O4460&gt;0)),"✖ Current غير صحيح",IF(NOT(IF(ISNUMBER($J4460),AND($J4460&gt;=0,$J4460=INT($J4460)),FALSE())),"✖ العدد يجب أن يكون صحيحًا ≥ 0",IF(AND($F4460="Baseline",$H4460&lt;&gt;""),"⚠ Baseline: Start لا يدخل في التقدم",IF($K4460="No Start (attainment only)","ℹ تحصيل فقط (بدون Start)",IF($K4460="U – needs rule","ℹ حالة U تحتاج قاعدة معتمدة",IF($K4460="No result","ℹ بدون نتيجة (يُستبعد من التحصيل)","OK")))))))))))</f>
        <v/>
      </c>
      <c r="M4460" s="64" t="n">
        <f aca="false">IF($A4460="",0,IFERROR(MATCH($A4460,Classes!$A$6:$A$420,0),0))</f>
        <v>0</v>
      </c>
      <c r="N4460" s="64" t="n">
        <f aca="false">IF($H4460="",0,IFERROR(MATCH($H4460,GradeList,0),0))</f>
        <v>0</v>
      </c>
      <c r="O4460" s="64" t="n">
        <f aca="false">IF(OR($I4460="",$I4460="NR"),0,IFERROR(MATCH($I4460,GradeList,0),0))</f>
        <v>0</v>
      </c>
      <c r="P4460" s="64" t="n">
        <f aca="false">IF(AND($M4460&gt;0,ISNUMBER(MATCH($F4460,Lists!$A$2:$A$5,0)),ISNUMBER(MATCH($G4460,Lists!$B$2:$B$7,0)),OR($H4460="",$N4460&gt;0),OR($I4460="",$I4460="NR",$O4460&gt;0),IF(ISNUMBER($J4460),AND($J4460&gt;=0,$J4460=INT($J4460)),FALSE())),$J4460,0)</f>
        <v>0</v>
      </c>
      <c r="Q4460" s="64" t="n">
        <f aca="false">IF(AND($P4460&gt;0,$O4460&gt;0),$P4460,0)</f>
        <v>0</v>
      </c>
      <c r="R4460" s="64" t="n">
        <f aca="false">IF(AND($Q4460&gt;0,$O4460&gt;=AtRank),$Q4460,0)</f>
        <v>0</v>
      </c>
      <c r="S4460" s="64" t="n">
        <f aca="false">IF(AND($Q4460&gt;0,$O4460&gt;=AboveRank),$Q4460,0)</f>
        <v>0</v>
      </c>
      <c r="T4460" s="64" t="n">
        <f aca="false">IF($K4460="Less",$P4460,0)</f>
        <v>0</v>
      </c>
      <c r="U4460" s="64" t="n">
        <f aca="false">IF($K4460="Expected",$P4460,0)</f>
        <v>0</v>
      </c>
      <c r="V4460" s="64" t="n">
        <f aca="false">IF($K4460="Better",$P4460,0)</f>
        <v>0</v>
      </c>
      <c r="W4460" s="64" t="n">
        <f aca="false">IF($K4460="U – needs rule",$P4460,0)</f>
        <v>0</v>
      </c>
      <c r="X4460" s="64" t="n">
        <f aca="false">IF($K4460="No Start (attainment only)",$P4460,0)</f>
        <v>0</v>
      </c>
    </row>
    <row r="4461" customFormat="false" ht="15" hidden="false" customHeight="false" outlineLevel="0" collapsed="false">
      <c r="A4461" s="60"/>
      <c r="B4461" s="61" t="str">
        <f aca="false">IF($M4461=0,"",INDEX(Classes!$E$6:$E$420,$M4461))</f>
        <v/>
      </c>
      <c r="C4461" s="62" t="str">
        <f aca="false">IF($M4461=0,"",INDEX(Classes!$H$6:$H$420,$M4461))</f>
        <v/>
      </c>
      <c r="D4461" s="61" t="str">
        <f aca="false">IF($M4461=0,"",INDEX(Classes!$B$6:$B$420,$M4461))</f>
        <v/>
      </c>
      <c r="E4461" s="61" t="str">
        <f aca="false">IF($M4461=0,"",INDEX(Classes!$C$6:$C$420,$M4461))</f>
        <v/>
      </c>
      <c r="F4461" s="63"/>
      <c r="G4461" s="63"/>
      <c r="H4461" s="60"/>
      <c r="I4461" s="60"/>
      <c r="J4461" s="63"/>
      <c r="K4461" s="61" t="str">
        <f aca="false">IF($P4461=0,"",IF($F4461="Baseline","— Baseline",IF($O4461=0,"No result",IF($N4461=0,"No Start (attainment only)",IF(OR($N4461=1,$O4461=1),"U – needs rule",INDEX(MxBody,MATCH($I4461,MxCurr,0),MATCH($H4461,MxStart,0)))))))</f>
        <v/>
      </c>
      <c r="L4461" s="62" t="str">
        <f aca="false">IF(COUNTA($A4461,$F4461,$G4461,$H4461,$I4461,$J4461)=0,"",IF($M4461=0,"✖ كود الصف غير موجود",IF(ISNA(MATCH($F4461,Lists!$A$2:$A$5,0)),"✖ الفترة غير صحيحة",IF(ISNA(MATCH($G4461,Lists!$B$2:$B$7,0)),"✖ المجموعة غير صحيحة",IF(NOT(OR($H4461="",$N4461&gt;0)),"✖ Start غير صحيح",IF(NOT(OR($I4461="",$I4461="NR",$O4461&gt;0)),"✖ Current غير صحيح",IF(NOT(IF(ISNUMBER($J4461),AND($J4461&gt;=0,$J4461=INT($J4461)),FALSE())),"✖ العدد يجب أن يكون صحيحًا ≥ 0",IF(AND($F4461="Baseline",$H4461&lt;&gt;""),"⚠ Baseline: Start لا يدخل في التقدم",IF($K4461="No Start (attainment only)","ℹ تحصيل فقط (بدون Start)",IF($K4461="U – needs rule","ℹ حالة U تحتاج قاعدة معتمدة",IF($K4461="No result","ℹ بدون نتيجة (يُستبعد من التحصيل)","OK")))))))))))</f>
        <v/>
      </c>
      <c r="M4461" s="64" t="n">
        <f aca="false">IF($A4461="",0,IFERROR(MATCH($A4461,Classes!$A$6:$A$420,0),0))</f>
        <v>0</v>
      </c>
      <c r="N4461" s="64" t="n">
        <f aca="false">IF($H4461="",0,IFERROR(MATCH($H4461,GradeList,0),0))</f>
        <v>0</v>
      </c>
      <c r="O4461" s="64" t="n">
        <f aca="false">IF(OR($I4461="",$I4461="NR"),0,IFERROR(MATCH($I4461,GradeList,0),0))</f>
        <v>0</v>
      </c>
      <c r="P4461" s="64" t="n">
        <f aca="false">IF(AND($M4461&gt;0,ISNUMBER(MATCH($F4461,Lists!$A$2:$A$5,0)),ISNUMBER(MATCH($G4461,Lists!$B$2:$B$7,0)),OR($H4461="",$N4461&gt;0),OR($I4461="",$I4461="NR",$O4461&gt;0),IF(ISNUMBER($J4461),AND($J4461&gt;=0,$J4461=INT($J4461)),FALSE())),$J4461,0)</f>
        <v>0</v>
      </c>
      <c r="Q4461" s="64" t="n">
        <f aca="false">IF(AND($P4461&gt;0,$O4461&gt;0),$P4461,0)</f>
        <v>0</v>
      </c>
      <c r="R4461" s="64" t="n">
        <f aca="false">IF(AND($Q4461&gt;0,$O4461&gt;=AtRank),$Q4461,0)</f>
        <v>0</v>
      </c>
      <c r="S4461" s="64" t="n">
        <f aca="false">IF(AND($Q4461&gt;0,$O4461&gt;=AboveRank),$Q4461,0)</f>
        <v>0</v>
      </c>
      <c r="T4461" s="64" t="n">
        <f aca="false">IF($K4461="Less",$P4461,0)</f>
        <v>0</v>
      </c>
      <c r="U4461" s="64" t="n">
        <f aca="false">IF($K4461="Expected",$P4461,0)</f>
        <v>0</v>
      </c>
      <c r="V4461" s="64" t="n">
        <f aca="false">IF($K4461="Better",$P4461,0)</f>
        <v>0</v>
      </c>
      <c r="W4461" s="64" t="n">
        <f aca="false">IF($K4461="U – needs rule",$P4461,0)</f>
        <v>0</v>
      </c>
      <c r="X4461" s="64" t="n">
        <f aca="false">IF($K4461="No Start (attainment only)",$P4461,0)</f>
        <v>0</v>
      </c>
    </row>
    <row r="4462" customFormat="false" ht="15" hidden="false" customHeight="false" outlineLevel="0" collapsed="false">
      <c r="A4462" s="60"/>
      <c r="B4462" s="61" t="str">
        <f aca="false">IF($M4462=0,"",INDEX(Classes!$E$6:$E$420,$M4462))</f>
        <v/>
      </c>
      <c r="C4462" s="62" t="str">
        <f aca="false">IF($M4462=0,"",INDEX(Classes!$H$6:$H$420,$M4462))</f>
        <v/>
      </c>
      <c r="D4462" s="61" t="str">
        <f aca="false">IF($M4462=0,"",INDEX(Classes!$B$6:$B$420,$M4462))</f>
        <v/>
      </c>
      <c r="E4462" s="61" t="str">
        <f aca="false">IF($M4462=0,"",INDEX(Classes!$C$6:$C$420,$M4462))</f>
        <v/>
      </c>
      <c r="F4462" s="63"/>
      <c r="G4462" s="63"/>
      <c r="H4462" s="60"/>
      <c r="I4462" s="60"/>
      <c r="J4462" s="63"/>
      <c r="K4462" s="61" t="str">
        <f aca="false">IF($P4462=0,"",IF($F4462="Baseline","— Baseline",IF($O4462=0,"No result",IF($N4462=0,"No Start (attainment only)",IF(OR($N4462=1,$O4462=1),"U – needs rule",INDEX(MxBody,MATCH($I4462,MxCurr,0),MATCH($H4462,MxStart,0)))))))</f>
        <v/>
      </c>
      <c r="L4462" s="62" t="str">
        <f aca="false">IF(COUNTA($A4462,$F4462,$G4462,$H4462,$I4462,$J4462)=0,"",IF($M4462=0,"✖ كود الصف غير موجود",IF(ISNA(MATCH($F4462,Lists!$A$2:$A$5,0)),"✖ الفترة غير صحيحة",IF(ISNA(MATCH($G4462,Lists!$B$2:$B$7,0)),"✖ المجموعة غير صحيحة",IF(NOT(OR($H4462="",$N4462&gt;0)),"✖ Start غير صحيح",IF(NOT(OR($I4462="",$I4462="NR",$O4462&gt;0)),"✖ Current غير صحيح",IF(NOT(IF(ISNUMBER($J4462),AND($J4462&gt;=0,$J4462=INT($J4462)),FALSE())),"✖ العدد يجب أن يكون صحيحًا ≥ 0",IF(AND($F4462="Baseline",$H4462&lt;&gt;""),"⚠ Baseline: Start لا يدخل في التقدم",IF($K4462="No Start (attainment only)","ℹ تحصيل فقط (بدون Start)",IF($K4462="U – needs rule","ℹ حالة U تحتاج قاعدة معتمدة",IF($K4462="No result","ℹ بدون نتيجة (يُستبعد من التحصيل)","OK")))))))))))</f>
        <v/>
      </c>
      <c r="M4462" s="64" t="n">
        <f aca="false">IF($A4462="",0,IFERROR(MATCH($A4462,Classes!$A$6:$A$420,0),0))</f>
        <v>0</v>
      </c>
      <c r="N4462" s="64" t="n">
        <f aca="false">IF($H4462="",0,IFERROR(MATCH($H4462,GradeList,0),0))</f>
        <v>0</v>
      </c>
      <c r="O4462" s="64" t="n">
        <f aca="false">IF(OR($I4462="",$I4462="NR"),0,IFERROR(MATCH($I4462,GradeList,0),0))</f>
        <v>0</v>
      </c>
      <c r="P4462" s="64" t="n">
        <f aca="false">IF(AND($M4462&gt;0,ISNUMBER(MATCH($F4462,Lists!$A$2:$A$5,0)),ISNUMBER(MATCH($G4462,Lists!$B$2:$B$7,0)),OR($H4462="",$N4462&gt;0),OR($I4462="",$I4462="NR",$O4462&gt;0),IF(ISNUMBER($J4462),AND($J4462&gt;=0,$J4462=INT($J4462)),FALSE())),$J4462,0)</f>
        <v>0</v>
      </c>
      <c r="Q4462" s="64" t="n">
        <f aca="false">IF(AND($P4462&gt;0,$O4462&gt;0),$P4462,0)</f>
        <v>0</v>
      </c>
      <c r="R4462" s="64" t="n">
        <f aca="false">IF(AND($Q4462&gt;0,$O4462&gt;=AtRank),$Q4462,0)</f>
        <v>0</v>
      </c>
      <c r="S4462" s="64" t="n">
        <f aca="false">IF(AND($Q4462&gt;0,$O4462&gt;=AboveRank),$Q4462,0)</f>
        <v>0</v>
      </c>
      <c r="T4462" s="64" t="n">
        <f aca="false">IF($K4462="Less",$P4462,0)</f>
        <v>0</v>
      </c>
      <c r="U4462" s="64" t="n">
        <f aca="false">IF($K4462="Expected",$P4462,0)</f>
        <v>0</v>
      </c>
      <c r="V4462" s="64" t="n">
        <f aca="false">IF($K4462="Better",$P4462,0)</f>
        <v>0</v>
      </c>
      <c r="W4462" s="64" t="n">
        <f aca="false">IF($K4462="U – needs rule",$P4462,0)</f>
        <v>0</v>
      </c>
      <c r="X4462" s="64" t="n">
        <f aca="false">IF($K4462="No Start (attainment only)",$P4462,0)</f>
        <v>0</v>
      </c>
    </row>
    <row r="4463" customFormat="false" ht="15" hidden="false" customHeight="false" outlineLevel="0" collapsed="false">
      <c r="A4463" s="60"/>
      <c r="B4463" s="61" t="str">
        <f aca="false">IF($M4463=0,"",INDEX(Classes!$E$6:$E$420,$M4463))</f>
        <v/>
      </c>
      <c r="C4463" s="62" t="str">
        <f aca="false">IF($M4463=0,"",INDEX(Classes!$H$6:$H$420,$M4463))</f>
        <v/>
      </c>
      <c r="D4463" s="61" t="str">
        <f aca="false">IF($M4463=0,"",INDEX(Classes!$B$6:$B$420,$M4463))</f>
        <v/>
      </c>
      <c r="E4463" s="61" t="str">
        <f aca="false">IF($M4463=0,"",INDEX(Classes!$C$6:$C$420,$M4463))</f>
        <v/>
      </c>
      <c r="F4463" s="63"/>
      <c r="G4463" s="63"/>
      <c r="H4463" s="60"/>
      <c r="I4463" s="60"/>
      <c r="J4463" s="63"/>
      <c r="K4463" s="61" t="str">
        <f aca="false">IF($P4463=0,"",IF($F4463="Baseline","— Baseline",IF($O4463=0,"No result",IF($N4463=0,"No Start (attainment only)",IF(OR($N4463=1,$O4463=1),"U – needs rule",INDEX(MxBody,MATCH($I4463,MxCurr,0),MATCH($H4463,MxStart,0)))))))</f>
        <v/>
      </c>
      <c r="L4463" s="62" t="str">
        <f aca="false">IF(COUNTA($A4463,$F4463,$G4463,$H4463,$I4463,$J4463)=0,"",IF($M4463=0,"✖ كود الصف غير موجود",IF(ISNA(MATCH($F4463,Lists!$A$2:$A$5,0)),"✖ الفترة غير صحيحة",IF(ISNA(MATCH($G4463,Lists!$B$2:$B$7,0)),"✖ المجموعة غير صحيحة",IF(NOT(OR($H4463="",$N4463&gt;0)),"✖ Start غير صحيح",IF(NOT(OR($I4463="",$I4463="NR",$O4463&gt;0)),"✖ Current غير صحيح",IF(NOT(IF(ISNUMBER($J4463),AND($J4463&gt;=0,$J4463=INT($J4463)),FALSE())),"✖ العدد يجب أن يكون صحيحًا ≥ 0",IF(AND($F4463="Baseline",$H4463&lt;&gt;""),"⚠ Baseline: Start لا يدخل في التقدم",IF($K4463="No Start (attainment only)","ℹ تحصيل فقط (بدون Start)",IF($K4463="U – needs rule","ℹ حالة U تحتاج قاعدة معتمدة",IF($K4463="No result","ℹ بدون نتيجة (يُستبعد من التحصيل)","OK")))))))))))</f>
        <v/>
      </c>
      <c r="M4463" s="64" t="n">
        <f aca="false">IF($A4463="",0,IFERROR(MATCH($A4463,Classes!$A$6:$A$420,0),0))</f>
        <v>0</v>
      </c>
      <c r="N4463" s="64" t="n">
        <f aca="false">IF($H4463="",0,IFERROR(MATCH($H4463,GradeList,0),0))</f>
        <v>0</v>
      </c>
      <c r="O4463" s="64" t="n">
        <f aca="false">IF(OR($I4463="",$I4463="NR"),0,IFERROR(MATCH($I4463,GradeList,0),0))</f>
        <v>0</v>
      </c>
      <c r="P4463" s="64" t="n">
        <f aca="false">IF(AND($M4463&gt;0,ISNUMBER(MATCH($F4463,Lists!$A$2:$A$5,0)),ISNUMBER(MATCH($G4463,Lists!$B$2:$B$7,0)),OR($H4463="",$N4463&gt;0),OR($I4463="",$I4463="NR",$O4463&gt;0),IF(ISNUMBER($J4463),AND($J4463&gt;=0,$J4463=INT($J4463)),FALSE())),$J4463,0)</f>
        <v>0</v>
      </c>
      <c r="Q4463" s="64" t="n">
        <f aca="false">IF(AND($P4463&gt;0,$O4463&gt;0),$P4463,0)</f>
        <v>0</v>
      </c>
      <c r="R4463" s="64" t="n">
        <f aca="false">IF(AND($Q4463&gt;0,$O4463&gt;=AtRank),$Q4463,0)</f>
        <v>0</v>
      </c>
      <c r="S4463" s="64" t="n">
        <f aca="false">IF(AND($Q4463&gt;0,$O4463&gt;=AboveRank),$Q4463,0)</f>
        <v>0</v>
      </c>
      <c r="T4463" s="64" t="n">
        <f aca="false">IF($K4463="Less",$P4463,0)</f>
        <v>0</v>
      </c>
      <c r="U4463" s="64" t="n">
        <f aca="false">IF($K4463="Expected",$P4463,0)</f>
        <v>0</v>
      </c>
      <c r="V4463" s="64" t="n">
        <f aca="false">IF($K4463="Better",$P4463,0)</f>
        <v>0</v>
      </c>
      <c r="W4463" s="64" t="n">
        <f aca="false">IF($K4463="U – needs rule",$P4463,0)</f>
        <v>0</v>
      </c>
      <c r="X4463" s="64" t="n">
        <f aca="false">IF($K4463="No Start (attainment only)",$P4463,0)</f>
        <v>0</v>
      </c>
    </row>
    <row r="4464" customFormat="false" ht="15" hidden="false" customHeight="false" outlineLevel="0" collapsed="false">
      <c r="A4464" s="60"/>
      <c r="B4464" s="61" t="str">
        <f aca="false">IF($M4464=0,"",INDEX(Classes!$E$6:$E$420,$M4464))</f>
        <v/>
      </c>
      <c r="C4464" s="62" t="str">
        <f aca="false">IF($M4464=0,"",INDEX(Classes!$H$6:$H$420,$M4464))</f>
        <v/>
      </c>
      <c r="D4464" s="61" t="str">
        <f aca="false">IF($M4464=0,"",INDEX(Classes!$B$6:$B$420,$M4464))</f>
        <v/>
      </c>
      <c r="E4464" s="61" t="str">
        <f aca="false">IF($M4464=0,"",INDEX(Classes!$C$6:$C$420,$M4464))</f>
        <v/>
      </c>
      <c r="F4464" s="63"/>
      <c r="G4464" s="63"/>
      <c r="H4464" s="60"/>
      <c r="I4464" s="60"/>
      <c r="J4464" s="63"/>
      <c r="K4464" s="61" t="str">
        <f aca="false">IF($P4464=0,"",IF($F4464="Baseline","— Baseline",IF($O4464=0,"No result",IF($N4464=0,"No Start (attainment only)",IF(OR($N4464=1,$O4464=1),"U – needs rule",INDEX(MxBody,MATCH($I4464,MxCurr,0),MATCH($H4464,MxStart,0)))))))</f>
        <v/>
      </c>
      <c r="L4464" s="62" t="str">
        <f aca="false">IF(COUNTA($A4464,$F4464,$G4464,$H4464,$I4464,$J4464)=0,"",IF($M4464=0,"✖ كود الصف غير موجود",IF(ISNA(MATCH($F4464,Lists!$A$2:$A$5,0)),"✖ الفترة غير صحيحة",IF(ISNA(MATCH($G4464,Lists!$B$2:$B$7,0)),"✖ المجموعة غير صحيحة",IF(NOT(OR($H4464="",$N4464&gt;0)),"✖ Start غير صحيح",IF(NOT(OR($I4464="",$I4464="NR",$O4464&gt;0)),"✖ Current غير صحيح",IF(NOT(IF(ISNUMBER($J4464),AND($J4464&gt;=0,$J4464=INT($J4464)),FALSE())),"✖ العدد يجب أن يكون صحيحًا ≥ 0",IF(AND($F4464="Baseline",$H4464&lt;&gt;""),"⚠ Baseline: Start لا يدخل في التقدم",IF($K4464="No Start (attainment only)","ℹ تحصيل فقط (بدون Start)",IF($K4464="U – needs rule","ℹ حالة U تحتاج قاعدة معتمدة",IF($K4464="No result","ℹ بدون نتيجة (يُستبعد من التحصيل)","OK")))))))))))</f>
        <v/>
      </c>
      <c r="M4464" s="64" t="n">
        <f aca="false">IF($A4464="",0,IFERROR(MATCH($A4464,Classes!$A$6:$A$420,0),0))</f>
        <v>0</v>
      </c>
      <c r="N4464" s="64" t="n">
        <f aca="false">IF($H4464="",0,IFERROR(MATCH($H4464,GradeList,0),0))</f>
        <v>0</v>
      </c>
      <c r="O4464" s="64" t="n">
        <f aca="false">IF(OR($I4464="",$I4464="NR"),0,IFERROR(MATCH($I4464,GradeList,0),0))</f>
        <v>0</v>
      </c>
      <c r="P4464" s="64" t="n">
        <f aca="false">IF(AND($M4464&gt;0,ISNUMBER(MATCH($F4464,Lists!$A$2:$A$5,0)),ISNUMBER(MATCH($G4464,Lists!$B$2:$B$7,0)),OR($H4464="",$N4464&gt;0),OR($I4464="",$I4464="NR",$O4464&gt;0),IF(ISNUMBER($J4464),AND($J4464&gt;=0,$J4464=INT($J4464)),FALSE())),$J4464,0)</f>
        <v>0</v>
      </c>
      <c r="Q4464" s="64" t="n">
        <f aca="false">IF(AND($P4464&gt;0,$O4464&gt;0),$P4464,0)</f>
        <v>0</v>
      </c>
      <c r="R4464" s="64" t="n">
        <f aca="false">IF(AND($Q4464&gt;0,$O4464&gt;=AtRank),$Q4464,0)</f>
        <v>0</v>
      </c>
      <c r="S4464" s="64" t="n">
        <f aca="false">IF(AND($Q4464&gt;0,$O4464&gt;=AboveRank),$Q4464,0)</f>
        <v>0</v>
      </c>
      <c r="T4464" s="64" t="n">
        <f aca="false">IF($K4464="Less",$P4464,0)</f>
        <v>0</v>
      </c>
      <c r="U4464" s="64" t="n">
        <f aca="false">IF($K4464="Expected",$P4464,0)</f>
        <v>0</v>
      </c>
      <c r="V4464" s="64" t="n">
        <f aca="false">IF($K4464="Better",$P4464,0)</f>
        <v>0</v>
      </c>
      <c r="W4464" s="64" t="n">
        <f aca="false">IF($K4464="U – needs rule",$P4464,0)</f>
        <v>0</v>
      </c>
      <c r="X4464" s="64" t="n">
        <f aca="false">IF($K4464="No Start (attainment only)",$P4464,0)</f>
        <v>0</v>
      </c>
    </row>
    <row r="4465" customFormat="false" ht="15" hidden="false" customHeight="false" outlineLevel="0" collapsed="false">
      <c r="A4465" s="60"/>
      <c r="B4465" s="61" t="str">
        <f aca="false">IF($M4465=0,"",INDEX(Classes!$E$6:$E$420,$M4465))</f>
        <v/>
      </c>
      <c r="C4465" s="62" t="str">
        <f aca="false">IF($M4465=0,"",INDEX(Classes!$H$6:$H$420,$M4465))</f>
        <v/>
      </c>
      <c r="D4465" s="61" t="str">
        <f aca="false">IF($M4465=0,"",INDEX(Classes!$B$6:$B$420,$M4465))</f>
        <v/>
      </c>
      <c r="E4465" s="61" t="str">
        <f aca="false">IF($M4465=0,"",INDEX(Classes!$C$6:$C$420,$M4465))</f>
        <v/>
      </c>
      <c r="F4465" s="63"/>
      <c r="G4465" s="63"/>
      <c r="H4465" s="60"/>
      <c r="I4465" s="60"/>
      <c r="J4465" s="63"/>
      <c r="K4465" s="61" t="str">
        <f aca="false">IF($P4465=0,"",IF($F4465="Baseline","— Baseline",IF($O4465=0,"No result",IF($N4465=0,"No Start (attainment only)",IF(OR($N4465=1,$O4465=1),"U – needs rule",INDEX(MxBody,MATCH($I4465,MxCurr,0),MATCH($H4465,MxStart,0)))))))</f>
        <v/>
      </c>
      <c r="L4465" s="62" t="str">
        <f aca="false">IF(COUNTA($A4465,$F4465,$G4465,$H4465,$I4465,$J4465)=0,"",IF($M4465=0,"✖ كود الصف غير موجود",IF(ISNA(MATCH($F4465,Lists!$A$2:$A$5,0)),"✖ الفترة غير صحيحة",IF(ISNA(MATCH($G4465,Lists!$B$2:$B$7,0)),"✖ المجموعة غير صحيحة",IF(NOT(OR($H4465="",$N4465&gt;0)),"✖ Start غير صحيح",IF(NOT(OR($I4465="",$I4465="NR",$O4465&gt;0)),"✖ Current غير صحيح",IF(NOT(IF(ISNUMBER($J4465),AND($J4465&gt;=0,$J4465=INT($J4465)),FALSE())),"✖ العدد يجب أن يكون صحيحًا ≥ 0",IF(AND($F4465="Baseline",$H4465&lt;&gt;""),"⚠ Baseline: Start لا يدخل في التقدم",IF($K4465="No Start (attainment only)","ℹ تحصيل فقط (بدون Start)",IF($K4465="U – needs rule","ℹ حالة U تحتاج قاعدة معتمدة",IF($K4465="No result","ℹ بدون نتيجة (يُستبعد من التحصيل)","OK")))))))))))</f>
        <v/>
      </c>
      <c r="M4465" s="64" t="n">
        <f aca="false">IF($A4465="",0,IFERROR(MATCH($A4465,Classes!$A$6:$A$420,0),0))</f>
        <v>0</v>
      </c>
      <c r="N4465" s="64" t="n">
        <f aca="false">IF($H4465="",0,IFERROR(MATCH($H4465,GradeList,0),0))</f>
        <v>0</v>
      </c>
      <c r="O4465" s="64" t="n">
        <f aca="false">IF(OR($I4465="",$I4465="NR"),0,IFERROR(MATCH($I4465,GradeList,0),0))</f>
        <v>0</v>
      </c>
      <c r="P4465" s="64" t="n">
        <f aca="false">IF(AND($M4465&gt;0,ISNUMBER(MATCH($F4465,Lists!$A$2:$A$5,0)),ISNUMBER(MATCH($G4465,Lists!$B$2:$B$7,0)),OR($H4465="",$N4465&gt;0),OR($I4465="",$I4465="NR",$O4465&gt;0),IF(ISNUMBER($J4465),AND($J4465&gt;=0,$J4465=INT($J4465)),FALSE())),$J4465,0)</f>
        <v>0</v>
      </c>
      <c r="Q4465" s="64" t="n">
        <f aca="false">IF(AND($P4465&gt;0,$O4465&gt;0),$P4465,0)</f>
        <v>0</v>
      </c>
      <c r="R4465" s="64" t="n">
        <f aca="false">IF(AND($Q4465&gt;0,$O4465&gt;=AtRank),$Q4465,0)</f>
        <v>0</v>
      </c>
      <c r="S4465" s="64" t="n">
        <f aca="false">IF(AND($Q4465&gt;0,$O4465&gt;=AboveRank),$Q4465,0)</f>
        <v>0</v>
      </c>
      <c r="T4465" s="64" t="n">
        <f aca="false">IF($K4465="Less",$P4465,0)</f>
        <v>0</v>
      </c>
      <c r="U4465" s="64" t="n">
        <f aca="false">IF($K4465="Expected",$P4465,0)</f>
        <v>0</v>
      </c>
      <c r="V4465" s="64" t="n">
        <f aca="false">IF($K4465="Better",$P4465,0)</f>
        <v>0</v>
      </c>
      <c r="W4465" s="64" t="n">
        <f aca="false">IF($K4465="U – needs rule",$P4465,0)</f>
        <v>0</v>
      </c>
      <c r="X4465" s="64" t="n">
        <f aca="false">IF($K4465="No Start (attainment only)",$P4465,0)</f>
        <v>0</v>
      </c>
    </row>
    <row r="4466" customFormat="false" ht="15" hidden="false" customHeight="false" outlineLevel="0" collapsed="false">
      <c r="A4466" s="60"/>
      <c r="B4466" s="61" t="str">
        <f aca="false">IF($M4466=0,"",INDEX(Classes!$E$6:$E$420,$M4466))</f>
        <v/>
      </c>
      <c r="C4466" s="62" t="str">
        <f aca="false">IF($M4466=0,"",INDEX(Classes!$H$6:$H$420,$M4466))</f>
        <v/>
      </c>
      <c r="D4466" s="61" t="str">
        <f aca="false">IF($M4466=0,"",INDEX(Classes!$B$6:$B$420,$M4466))</f>
        <v/>
      </c>
      <c r="E4466" s="61" t="str">
        <f aca="false">IF($M4466=0,"",INDEX(Classes!$C$6:$C$420,$M4466))</f>
        <v/>
      </c>
      <c r="F4466" s="63"/>
      <c r="G4466" s="63"/>
      <c r="H4466" s="60"/>
      <c r="I4466" s="60"/>
      <c r="J4466" s="63"/>
      <c r="K4466" s="61" t="str">
        <f aca="false">IF($P4466=0,"",IF($F4466="Baseline","— Baseline",IF($O4466=0,"No result",IF($N4466=0,"No Start (attainment only)",IF(OR($N4466=1,$O4466=1),"U – needs rule",INDEX(MxBody,MATCH($I4466,MxCurr,0),MATCH($H4466,MxStart,0)))))))</f>
        <v/>
      </c>
      <c r="L4466" s="62" t="str">
        <f aca="false">IF(COUNTA($A4466,$F4466,$G4466,$H4466,$I4466,$J4466)=0,"",IF($M4466=0,"✖ كود الصف غير موجود",IF(ISNA(MATCH($F4466,Lists!$A$2:$A$5,0)),"✖ الفترة غير صحيحة",IF(ISNA(MATCH($G4466,Lists!$B$2:$B$7,0)),"✖ المجموعة غير صحيحة",IF(NOT(OR($H4466="",$N4466&gt;0)),"✖ Start غير صحيح",IF(NOT(OR($I4466="",$I4466="NR",$O4466&gt;0)),"✖ Current غير صحيح",IF(NOT(IF(ISNUMBER($J4466),AND($J4466&gt;=0,$J4466=INT($J4466)),FALSE())),"✖ العدد يجب أن يكون صحيحًا ≥ 0",IF(AND($F4466="Baseline",$H4466&lt;&gt;""),"⚠ Baseline: Start لا يدخل في التقدم",IF($K4466="No Start (attainment only)","ℹ تحصيل فقط (بدون Start)",IF($K4466="U – needs rule","ℹ حالة U تحتاج قاعدة معتمدة",IF($K4466="No result","ℹ بدون نتيجة (يُستبعد من التحصيل)","OK")))))))))))</f>
        <v/>
      </c>
      <c r="M4466" s="64" t="n">
        <f aca="false">IF($A4466="",0,IFERROR(MATCH($A4466,Classes!$A$6:$A$420,0),0))</f>
        <v>0</v>
      </c>
      <c r="N4466" s="64" t="n">
        <f aca="false">IF($H4466="",0,IFERROR(MATCH($H4466,GradeList,0),0))</f>
        <v>0</v>
      </c>
      <c r="O4466" s="64" t="n">
        <f aca="false">IF(OR($I4466="",$I4466="NR"),0,IFERROR(MATCH($I4466,GradeList,0),0))</f>
        <v>0</v>
      </c>
      <c r="P4466" s="64" t="n">
        <f aca="false">IF(AND($M4466&gt;0,ISNUMBER(MATCH($F4466,Lists!$A$2:$A$5,0)),ISNUMBER(MATCH($G4466,Lists!$B$2:$B$7,0)),OR($H4466="",$N4466&gt;0),OR($I4466="",$I4466="NR",$O4466&gt;0),IF(ISNUMBER($J4466),AND($J4466&gt;=0,$J4466=INT($J4466)),FALSE())),$J4466,0)</f>
        <v>0</v>
      </c>
      <c r="Q4466" s="64" t="n">
        <f aca="false">IF(AND($P4466&gt;0,$O4466&gt;0),$P4466,0)</f>
        <v>0</v>
      </c>
      <c r="R4466" s="64" t="n">
        <f aca="false">IF(AND($Q4466&gt;0,$O4466&gt;=AtRank),$Q4466,0)</f>
        <v>0</v>
      </c>
      <c r="S4466" s="64" t="n">
        <f aca="false">IF(AND($Q4466&gt;0,$O4466&gt;=AboveRank),$Q4466,0)</f>
        <v>0</v>
      </c>
      <c r="T4466" s="64" t="n">
        <f aca="false">IF($K4466="Less",$P4466,0)</f>
        <v>0</v>
      </c>
      <c r="U4466" s="64" t="n">
        <f aca="false">IF($K4466="Expected",$P4466,0)</f>
        <v>0</v>
      </c>
      <c r="V4466" s="64" t="n">
        <f aca="false">IF($K4466="Better",$P4466,0)</f>
        <v>0</v>
      </c>
      <c r="W4466" s="64" t="n">
        <f aca="false">IF($K4466="U – needs rule",$P4466,0)</f>
        <v>0</v>
      </c>
      <c r="X4466" s="64" t="n">
        <f aca="false">IF($K4466="No Start (attainment only)",$P4466,0)</f>
        <v>0</v>
      </c>
    </row>
    <row r="4467" customFormat="false" ht="15" hidden="false" customHeight="false" outlineLevel="0" collapsed="false">
      <c r="A4467" s="60"/>
      <c r="B4467" s="61" t="str">
        <f aca="false">IF($M4467=0,"",INDEX(Classes!$E$6:$E$420,$M4467))</f>
        <v/>
      </c>
      <c r="C4467" s="62" t="str">
        <f aca="false">IF($M4467=0,"",INDEX(Classes!$H$6:$H$420,$M4467))</f>
        <v/>
      </c>
      <c r="D4467" s="61" t="str">
        <f aca="false">IF($M4467=0,"",INDEX(Classes!$B$6:$B$420,$M4467))</f>
        <v/>
      </c>
      <c r="E4467" s="61" t="str">
        <f aca="false">IF($M4467=0,"",INDEX(Classes!$C$6:$C$420,$M4467))</f>
        <v/>
      </c>
      <c r="F4467" s="63"/>
      <c r="G4467" s="63"/>
      <c r="H4467" s="60"/>
      <c r="I4467" s="60"/>
      <c r="J4467" s="63"/>
      <c r="K4467" s="61" t="str">
        <f aca="false">IF($P4467=0,"",IF($F4467="Baseline","— Baseline",IF($O4467=0,"No result",IF($N4467=0,"No Start (attainment only)",IF(OR($N4467=1,$O4467=1),"U – needs rule",INDEX(MxBody,MATCH($I4467,MxCurr,0),MATCH($H4467,MxStart,0)))))))</f>
        <v/>
      </c>
      <c r="L4467" s="62" t="str">
        <f aca="false">IF(COUNTA($A4467,$F4467,$G4467,$H4467,$I4467,$J4467)=0,"",IF($M4467=0,"✖ كود الصف غير موجود",IF(ISNA(MATCH($F4467,Lists!$A$2:$A$5,0)),"✖ الفترة غير صحيحة",IF(ISNA(MATCH($G4467,Lists!$B$2:$B$7,0)),"✖ المجموعة غير صحيحة",IF(NOT(OR($H4467="",$N4467&gt;0)),"✖ Start غير صحيح",IF(NOT(OR($I4467="",$I4467="NR",$O4467&gt;0)),"✖ Current غير صحيح",IF(NOT(IF(ISNUMBER($J4467),AND($J4467&gt;=0,$J4467=INT($J4467)),FALSE())),"✖ العدد يجب أن يكون صحيحًا ≥ 0",IF(AND($F4467="Baseline",$H4467&lt;&gt;""),"⚠ Baseline: Start لا يدخل في التقدم",IF($K4467="No Start (attainment only)","ℹ تحصيل فقط (بدون Start)",IF($K4467="U – needs rule","ℹ حالة U تحتاج قاعدة معتمدة",IF($K4467="No result","ℹ بدون نتيجة (يُستبعد من التحصيل)","OK")))))))))))</f>
        <v/>
      </c>
      <c r="M4467" s="64" t="n">
        <f aca="false">IF($A4467="",0,IFERROR(MATCH($A4467,Classes!$A$6:$A$420,0),0))</f>
        <v>0</v>
      </c>
      <c r="N4467" s="64" t="n">
        <f aca="false">IF($H4467="",0,IFERROR(MATCH($H4467,GradeList,0),0))</f>
        <v>0</v>
      </c>
      <c r="O4467" s="64" t="n">
        <f aca="false">IF(OR($I4467="",$I4467="NR"),0,IFERROR(MATCH($I4467,GradeList,0),0))</f>
        <v>0</v>
      </c>
      <c r="P4467" s="64" t="n">
        <f aca="false">IF(AND($M4467&gt;0,ISNUMBER(MATCH($F4467,Lists!$A$2:$A$5,0)),ISNUMBER(MATCH($G4467,Lists!$B$2:$B$7,0)),OR($H4467="",$N4467&gt;0),OR($I4467="",$I4467="NR",$O4467&gt;0),IF(ISNUMBER($J4467),AND($J4467&gt;=0,$J4467=INT($J4467)),FALSE())),$J4467,0)</f>
        <v>0</v>
      </c>
      <c r="Q4467" s="64" t="n">
        <f aca="false">IF(AND($P4467&gt;0,$O4467&gt;0),$P4467,0)</f>
        <v>0</v>
      </c>
      <c r="R4467" s="64" t="n">
        <f aca="false">IF(AND($Q4467&gt;0,$O4467&gt;=AtRank),$Q4467,0)</f>
        <v>0</v>
      </c>
      <c r="S4467" s="64" t="n">
        <f aca="false">IF(AND($Q4467&gt;0,$O4467&gt;=AboveRank),$Q4467,0)</f>
        <v>0</v>
      </c>
      <c r="T4467" s="64" t="n">
        <f aca="false">IF($K4467="Less",$P4467,0)</f>
        <v>0</v>
      </c>
      <c r="U4467" s="64" t="n">
        <f aca="false">IF($K4467="Expected",$P4467,0)</f>
        <v>0</v>
      </c>
      <c r="V4467" s="64" t="n">
        <f aca="false">IF($K4467="Better",$P4467,0)</f>
        <v>0</v>
      </c>
      <c r="W4467" s="64" t="n">
        <f aca="false">IF($K4467="U – needs rule",$P4467,0)</f>
        <v>0</v>
      </c>
      <c r="X4467" s="64" t="n">
        <f aca="false">IF($K4467="No Start (attainment only)",$P4467,0)</f>
        <v>0</v>
      </c>
    </row>
    <row r="4468" customFormat="false" ht="15" hidden="false" customHeight="false" outlineLevel="0" collapsed="false">
      <c r="A4468" s="60"/>
      <c r="B4468" s="61" t="str">
        <f aca="false">IF($M4468=0,"",INDEX(Classes!$E$6:$E$420,$M4468))</f>
        <v/>
      </c>
      <c r="C4468" s="62" t="str">
        <f aca="false">IF($M4468=0,"",INDEX(Classes!$H$6:$H$420,$M4468))</f>
        <v/>
      </c>
      <c r="D4468" s="61" t="str">
        <f aca="false">IF($M4468=0,"",INDEX(Classes!$B$6:$B$420,$M4468))</f>
        <v/>
      </c>
      <c r="E4468" s="61" t="str">
        <f aca="false">IF($M4468=0,"",INDEX(Classes!$C$6:$C$420,$M4468))</f>
        <v/>
      </c>
      <c r="F4468" s="63"/>
      <c r="G4468" s="63"/>
      <c r="H4468" s="60"/>
      <c r="I4468" s="60"/>
      <c r="J4468" s="63"/>
      <c r="K4468" s="61" t="str">
        <f aca="false">IF($P4468=0,"",IF($F4468="Baseline","— Baseline",IF($O4468=0,"No result",IF($N4468=0,"No Start (attainment only)",IF(OR($N4468=1,$O4468=1),"U – needs rule",INDEX(MxBody,MATCH($I4468,MxCurr,0),MATCH($H4468,MxStart,0)))))))</f>
        <v/>
      </c>
      <c r="L4468" s="62" t="str">
        <f aca="false">IF(COUNTA($A4468,$F4468,$G4468,$H4468,$I4468,$J4468)=0,"",IF($M4468=0,"✖ كود الصف غير موجود",IF(ISNA(MATCH($F4468,Lists!$A$2:$A$5,0)),"✖ الفترة غير صحيحة",IF(ISNA(MATCH($G4468,Lists!$B$2:$B$7,0)),"✖ المجموعة غير صحيحة",IF(NOT(OR($H4468="",$N4468&gt;0)),"✖ Start غير صحيح",IF(NOT(OR($I4468="",$I4468="NR",$O4468&gt;0)),"✖ Current غير صحيح",IF(NOT(IF(ISNUMBER($J4468),AND($J4468&gt;=0,$J4468=INT($J4468)),FALSE())),"✖ العدد يجب أن يكون صحيحًا ≥ 0",IF(AND($F4468="Baseline",$H4468&lt;&gt;""),"⚠ Baseline: Start لا يدخل في التقدم",IF($K4468="No Start (attainment only)","ℹ تحصيل فقط (بدون Start)",IF($K4468="U – needs rule","ℹ حالة U تحتاج قاعدة معتمدة",IF($K4468="No result","ℹ بدون نتيجة (يُستبعد من التحصيل)","OK")))))))))))</f>
        <v/>
      </c>
      <c r="M4468" s="64" t="n">
        <f aca="false">IF($A4468="",0,IFERROR(MATCH($A4468,Classes!$A$6:$A$420,0),0))</f>
        <v>0</v>
      </c>
      <c r="N4468" s="64" t="n">
        <f aca="false">IF($H4468="",0,IFERROR(MATCH($H4468,GradeList,0),0))</f>
        <v>0</v>
      </c>
      <c r="O4468" s="64" t="n">
        <f aca="false">IF(OR($I4468="",$I4468="NR"),0,IFERROR(MATCH($I4468,GradeList,0),0))</f>
        <v>0</v>
      </c>
      <c r="P4468" s="64" t="n">
        <f aca="false">IF(AND($M4468&gt;0,ISNUMBER(MATCH($F4468,Lists!$A$2:$A$5,0)),ISNUMBER(MATCH($G4468,Lists!$B$2:$B$7,0)),OR($H4468="",$N4468&gt;0),OR($I4468="",$I4468="NR",$O4468&gt;0),IF(ISNUMBER($J4468),AND($J4468&gt;=0,$J4468=INT($J4468)),FALSE())),$J4468,0)</f>
        <v>0</v>
      </c>
      <c r="Q4468" s="64" t="n">
        <f aca="false">IF(AND($P4468&gt;0,$O4468&gt;0),$P4468,0)</f>
        <v>0</v>
      </c>
      <c r="R4468" s="64" t="n">
        <f aca="false">IF(AND($Q4468&gt;0,$O4468&gt;=AtRank),$Q4468,0)</f>
        <v>0</v>
      </c>
      <c r="S4468" s="64" t="n">
        <f aca="false">IF(AND($Q4468&gt;0,$O4468&gt;=AboveRank),$Q4468,0)</f>
        <v>0</v>
      </c>
      <c r="T4468" s="64" t="n">
        <f aca="false">IF($K4468="Less",$P4468,0)</f>
        <v>0</v>
      </c>
      <c r="U4468" s="64" t="n">
        <f aca="false">IF($K4468="Expected",$P4468,0)</f>
        <v>0</v>
      </c>
      <c r="V4468" s="64" t="n">
        <f aca="false">IF($K4468="Better",$P4468,0)</f>
        <v>0</v>
      </c>
      <c r="W4468" s="64" t="n">
        <f aca="false">IF($K4468="U – needs rule",$P4468,0)</f>
        <v>0</v>
      </c>
      <c r="X4468" s="64" t="n">
        <f aca="false">IF($K4468="No Start (attainment only)",$P4468,0)</f>
        <v>0</v>
      </c>
    </row>
    <row r="4469" customFormat="false" ht="15" hidden="false" customHeight="false" outlineLevel="0" collapsed="false">
      <c r="A4469" s="60"/>
      <c r="B4469" s="61" t="str">
        <f aca="false">IF($M4469=0,"",INDEX(Classes!$E$6:$E$420,$M4469))</f>
        <v/>
      </c>
      <c r="C4469" s="62" t="str">
        <f aca="false">IF($M4469=0,"",INDEX(Classes!$H$6:$H$420,$M4469))</f>
        <v/>
      </c>
      <c r="D4469" s="61" t="str">
        <f aca="false">IF($M4469=0,"",INDEX(Classes!$B$6:$B$420,$M4469))</f>
        <v/>
      </c>
      <c r="E4469" s="61" t="str">
        <f aca="false">IF($M4469=0,"",INDEX(Classes!$C$6:$C$420,$M4469))</f>
        <v/>
      </c>
      <c r="F4469" s="63"/>
      <c r="G4469" s="63"/>
      <c r="H4469" s="60"/>
      <c r="I4469" s="60"/>
      <c r="J4469" s="63"/>
      <c r="K4469" s="61" t="str">
        <f aca="false">IF($P4469=0,"",IF($F4469="Baseline","— Baseline",IF($O4469=0,"No result",IF($N4469=0,"No Start (attainment only)",IF(OR($N4469=1,$O4469=1),"U – needs rule",INDEX(MxBody,MATCH($I4469,MxCurr,0),MATCH($H4469,MxStart,0)))))))</f>
        <v/>
      </c>
      <c r="L4469" s="62" t="str">
        <f aca="false">IF(COUNTA($A4469,$F4469,$G4469,$H4469,$I4469,$J4469)=0,"",IF($M4469=0,"✖ كود الصف غير موجود",IF(ISNA(MATCH($F4469,Lists!$A$2:$A$5,0)),"✖ الفترة غير صحيحة",IF(ISNA(MATCH($G4469,Lists!$B$2:$B$7,0)),"✖ المجموعة غير صحيحة",IF(NOT(OR($H4469="",$N4469&gt;0)),"✖ Start غير صحيح",IF(NOT(OR($I4469="",$I4469="NR",$O4469&gt;0)),"✖ Current غير صحيح",IF(NOT(IF(ISNUMBER($J4469),AND($J4469&gt;=0,$J4469=INT($J4469)),FALSE())),"✖ العدد يجب أن يكون صحيحًا ≥ 0",IF(AND($F4469="Baseline",$H4469&lt;&gt;""),"⚠ Baseline: Start لا يدخل في التقدم",IF($K4469="No Start (attainment only)","ℹ تحصيل فقط (بدون Start)",IF($K4469="U – needs rule","ℹ حالة U تحتاج قاعدة معتمدة",IF($K4469="No result","ℹ بدون نتيجة (يُستبعد من التحصيل)","OK")))))))))))</f>
        <v/>
      </c>
      <c r="M4469" s="64" t="n">
        <f aca="false">IF($A4469="",0,IFERROR(MATCH($A4469,Classes!$A$6:$A$420,0),0))</f>
        <v>0</v>
      </c>
      <c r="N4469" s="64" t="n">
        <f aca="false">IF($H4469="",0,IFERROR(MATCH($H4469,GradeList,0),0))</f>
        <v>0</v>
      </c>
      <c r="O4469" s="64" t="n">
        <f aca="false">IF(OR($I4469="",$I4469="NR"),0,IFERROR(MATCH($I4469,GradeList,0),0))</f>
        <v>0</v>
      </c>
      <c r="P4469" s="64" t="n">
        <f aca="false">IF(AND($M4469&gt;0,ISNUMBER(MATCH($F4469,Lists!$A$2:$A$5,0)),ISNUMBER(MATCH($G4469,Lists!$B$2:$B$7,0)),OR($H4469="",$N4469&gt;0),OR($I4469="",$I4469="NR",$O4469&gt;0),IF(ISNUMBER($J4469),AND($J4469&gt;=0,$J4469=INT($J4469)),FALSE())),$J4469,0)</f>
        <v>0</v>
      </c>
      <c r="Q4469" s="64" t="n">
        <f aca="false">IF(AND($P4469&gt;0,$O4469&gt;0),$P4469,0)</f>
        <v>0</v>
      </c>
      <c r="R4469" s="64" t="n">
        <f aca="false">IF(AND($Q4469&gt;0,$O4469&gt;=AtRank),$Q4469,0)</f>
        <v>0</v>
      </c>
      <c r="S4469" s="64" t="n">
        <f aca="false">IF(AND($Q4469&gt;0,$O4469&gt;=AboveRank),$Q4469,0)</f>
        <v>0</v>
      </c>
      <c r="T4469" s="64" t="n">
        <f aca="false">IF($K4469="Less",$P4469,0)</f>
        <v>0</v>
      </c>
      <c r="U4469" s="64" t="n">
        <f aca="false">IF($K4469="Expected",$P4469,0)</f>
        <v>0</v>
      </c>
      <c r="V4469" s="64" t="n">
        <f aca="false">IF($K4469="Better",$P4469,0)</f>
        <v>0</v>
      </c>
      <c r="W4469" s="64" t="n">
        <f aca="false">IF($K4469="U – needs rule",$P4469,0)</f>
        <v>0</v>
      </c>
      <c r="X4469" s="64" t="n">
        <f aca="false">IF($K4469="No Start (attainment only)",$P4469,0)</f>
        <v>0</v>
      </c>
    </row>
    <row r="4470" customFormat="false" ht="15" hidden="false" customHeight="false" outlineLevel="0" collapsed="false">
      <c r="A4470" s="60"/>
      <c r="B4470" s="61" t="str">
        <f aca="false">IF($M4470=0,"",INDEX(Classes!$E$6:$E$420,$M4470))</f>
        <v/>
      </c>
      <c r="C4470" s="62" t="str">
        <f aca="false">IF($M4470=0,"",INDEX(Classes!$H$6:$H$420,$M4470))</f>
        <v/>
      </c>
      <c r="D4470" s="61" t="str">
        <f aca="false">IF($M4470=0,"",INDEX(Classes!$B$6:$B$420,$M4470))</f>
        <v/>
      </c>
      <c r="E4470" s="61" t="str">
        <f aca="false">IF($M4470=0,"",INDEX(Classes!$C$6:$C$420,$M4470))</f>
        <v/>
      </c>
      <c r="F4470" s="63"/>
      <c r="G4470" s="63"/>
      <c r="H4470" s="60"/>
      <c r="I4470" s="60"/>
      <c r="J4470" s="63"/>
      <c r="K4470" s="61" t="str">
        <f aca="false">IF($P4470=0,"",IF($F4470="Baseline","— Baseline",IF($O4470=0,"No result",IF($N4470=0,"No Start (attainment only)",IF(OR($N4470=1,$O4470=1),"U – needs rule",INDEX(MxBody,MATCH($I4470,MxCurr,0),MATCH($H4470,MxStart,0)))))))</f>
        <v/>
      </c>
      <c r="L4470" s="62" t="str">
        <f aca="false">IF(COUNTA($A4470,$F4470,$G4470,$H4470,$I4470,$J4470)=0,"",IF($M4470=0,"✖ كود الصف غير موجود",IF(ISNA(MATCH($F4470,Lists!$A$2:$A$5,0)),"✖ الفترة غير صحيحة",IF(ISNA(MATCH($G4470,Lists!$B$2:$B$7,0)),"✖ المجموعة غير صحيحة",IF(NOT(OR($H4470="",$N4470&gt;0)),"✖ Start غير صحيح",IF(NOT(OR($I4470="",$I4470="NR",$O4470&gt;0)),"✖ Current غير صحيح",IF(NOT(IF(ISNUMBER($J4470),AND($J4470&gt;=0,$J4470=INT($J4470)),FALSE())),"✖ العدد يجب أن يكون صحيحًا ≥ 0",IF(AND($F4470="Baseline",$H4470&lt;&gt;""),"⚠ Baseline: Start لا يدخل في التقدم",IF($K4470="No Start (attainment only)","ℹ تحصيل فقط (بدون Start)",IF($K4470="U – needs rule","ℹ حالة U تحتاج قاعدة معتمدة",IF($K4470="No result","ℹ بدون نتيجة (يُستبعد من التحصيل)","OK")))))))))))</f>
        <v/>
      </c>
      <c r="M4470" s="64" t="n">
        <f aca="false">IF($A4470="",0,IFERROR(MATCH($A4470,Classes!$A$6:$A$420,0),0))</f>
        <v>0</v>
      </c>
      <c r="N4470" s="64" t="n">
        <f aca="false">IF($H4470="",0,IFERROR(MATCH($H4470,GradeList,0),0))</f>
        <v>0</v>
      </c>
      <c r="O4470" s="64" t="n">
        <f aca="false">IF(OR($I4470="",$I4470="NR"),0,IFERROR(MATCH($I4470,GradeList,0),0))</f>
        <v>0</v>
      </c>
      <c r="P4470" s="64" t="n">
        <f aca="false">IF(AND($M4470&gt;0,ISNUMBER(MATCH($F4470,Lists!$A$2:$A$5,0)),ISNUMBER(MATCH($G4470,Lists!$B$2:$B$7,0)),OR($H4470="",$N4470&gt;0),OR($I4470="",$I4470="NR",$O4470&gt;0),IF(ISNUMBER($J4470),AND($J4470&gt;=0,$J4470=INT($J4470)),FALSE())),$J4470,0)</f>
        <v>0</v>
      </c>
      <c r="Q4470" s="64" t="n">
        <f aca="false">IF(AND($P4470&gt;0,$O4470&gt;0),$P4470,0)</f>
        <v>0</v>
      </c>
      <c r="R4470" s="64" t="n">
        <f aca="false">IF(AND($Q4470&gt;0,$O4470&gt;=AtRank),$Q4470,0)</f>
        <v>0</v>
      </c>
      <c r="S4470" s="64" t="n">
        <f aca="false">IF(AND($Q4470&gt;0,$O4470&gt;=AboveRank),$Q4470,0)</f>
        <v>0</v>
      </c>
      <c r="T4470" s="64" t="n">
        <f aca="false">IF($K4470="Less",$P4470,0)</f>
        <v>0</v>
      </c>
      <c r="U4470" s="64" t="n">
        <f aca="false">IF($K4470="Expected",$P4470,0)</f>
        <v>0</v>
      </c>
      <c r="V4470" s="64" t="n">
        <f aca="false">IF($K4470="Better",$P4470,0)</f>
        <v>0</v>
      </c>
      <c r="W4470" s="64" t="n">
        <f aca="false">IF($K4470="U – needs rule",$P4470,0)</f>
        <v>0</v>
      </c>
      <c r="X4470" s="64" t="n">
        <f aca="false">IF($K4470="No Start (attainment only)",$P4470,0)</f>
        <v>0</v>
      </c>
    </row>
    <row r="4471" customFormat="false" ht="15" hidden="false" customHeight="false" outlineLevel="0" collapsed="false">
      <c r="A4471" s="60"/>
      <c r="B4471" s="61" t="str">
        <f aca="false">IF($M4471=0,"",INDEX(Classes!$E$6:$E$420,$M4471))</f>
        <v/>
      </c>
      <c r="C4471" s="62" t="str">
        <f aca="false">IF($M4471=0,"",INDEX(Classes!$H$6:$H$420,$M4471))</f>
        <v/>
      </c>
      <c r="D4471" s="61" t="str">
        <f aca="false">IF($M4471=0,"",INDEX(Classes!$B$6:$B$420,$M4471))</f>
        <v/>
      </c>
      <c r="E4471" s="61" t="str">
        <f aca="false">IF($M4471=0,"",INDEX(Classes!$C$6:$C$420,$M4471))</f>
        <v/>
      </c>
      <c r="F4471" s="63"/>
      <c r="G4471" s="63"/>
      <c r="H4471" s="60"/>
      <c r="I4471" s="60"/>
      <c r="J4471" s="63"/>
      <c r="K4471" s="61" t="str">
        <f aca="false">IF($P4471=0,"",IF($F4471="Baseline","— Baseline",IF($O4471=0,"No result",IF($N4471=0,"No Start (attainment only)",IF(OR($N4471=1,$O4471=1),"U – needs rule",INDEX(MxBody,MATCH($I4471,MxCurr,0),MATCH($H4471,MxStart,0)))))))</f>
        <v/>
      </c>
      <c r="L4471" s="62" t="str">
        <f aca="false">IF(COUNTA($A4471,$F4471,$G4471,$H4471,$I4471,$J4471)=0,"",IF($M4471=0,"✖ كود الصف غير موجود",IF(ISNA(MATCH($F4471,Lists!$A$2:$A$5,0)),"✖ الفترة غير صحيحة",IF(ISNA(MATCH($G4471,Lists!$B$2:$B$7,0)),"✖ المجموعة غير صحيحة",IF(NOT(OR($H4471="",$N4471&gt;0)),"✖ Start غير صحيح",IF(NOT(OR($I4471="",$I4471="NR",$O4471&gt;0)),"✖ Current غير صحيح",IF(NOT(IF(ISNUMBER($J4471),AND($J4471&gt;=0,$J4471=INT($J4471)),FALSE())),"✖ العدد يجب أن يكون صحيحًا ≥ 0",IF(AND($F4471="Baseline",$H4471&lt;&gt;""),"⚠ Baseline: Start لا يدخل في التقدم",IF($K4471="No Start (attainment only)","ℹ تحصيل فقط (بدون Start)",IF($K4471="U – needs rule","ℹ حالة U تحتاج قاعدة معتمدة",IF($K4471="No result","ℹ بدون نتيجة (يُستبعد من التحصيل)","OK")))))))))))</f>
        <v/>
      </c>
      <c r="M4471" s="64" t="n">
        <f aca="false">IF($A4471="",0,IFERROR(MATCH($A4471,Classes!$A$6:$A$420,0),0))</f>
        <v>0</v>
      </c>
      <c r="N4471" s="64" t="n">
        <f aca="false">IF($H4471="",0,IFERROR(MATCH($H4471,GradeList,0),0))</f>
        <v>0</v>
      </c>
      <c r="O4471" s="64" t="n">
        <f aca="false">IF(OR($I4471="",$I4471="NR"),0,IFERROR(MATCH($I4471,GradeList,0),0))</f>
        <v>0</v>
      </c>
      <c r="P4471" s="64" t="n">
        <f aca="false">IF(AND($M4471&gt;0,ISNUMBER(MATCH($F4471,Lists!$A$2:$A$5,0)),ISNUMBER(MATCH($G4471,Lists!$B$2:$B$7,0)),OR($H4471="",$N4471&gt;0),OR($I4471="",$I4471="NR",$O4471&gt;0),IF(ISNUMBER($J4471),AND($J4471&gt;=0,$J4471=INT($J4471)),FALSE())),$J4471,0)</f>
        <v>0</v>
      </c>
      <c r="Q4471" s="64" t="n">
        <f aca="false">IF(AND($P4471&gt;0,$O4471&gt;0),$P4471,0)</f>
        <v>0</v>
      </c>
      <c r="R4471" s="64" t="n">
        <f aca="false">IF(AND($Q4471&gt;0,$O4471&gt;=AtRank),$Q4471,0)</f>
        <v>0</v>
      </c>
      <c r="S4471" s="64" t="n">
        <f aca="false">IF(AND($Q4471&gt;0,$O4471&gt;=AboveRank),$Q4471,0)</f>
        <v>0</v>
      </c>
      <c r="T4471" s="64" t="n">
        <f aca="false">IF($K4471="Less",$P4471,0)</f>
        <v>0</v>
      </c>
      <c r="U4471" s="64" t="n">
        <f aca="false">IF($K4471="Expected",$P4471,0)</f>
        <v>0</v>
      </c>
      <c r="V4471" s="64" t="n">
        <f aca="false">IF($K4471="Better",$P4471,0)</f>
        <v>0</v>
      </c>
      <c r="W4471" s="64" t="n">
        <f aca="false">IF($K4471="U – needs rule",$P4471,0)</f>
        <v>0</v>
      </c>
      <c r="X4471" s="64" t="n">
        <f aca="false">IF($K4471="No Start (attainment only)",$P4471,0)</f>
        <v>0</v>
      </c>
    </row>
    <row r="4472" customFormat="false" ht="15" hidden="false" customHeight="false" outlineLevel="0" collapsed="false">
      <c r="A4472" s="60"/>
      <c r="B4472" s="61" t="str">
        <f aca="false">IF($M4472=0,"",INDEX(Classes!$E$6:$E$420,$M4472))</f>
        <v/>
      </c>
      <c r="C4472" s="62" t="str">
        <f aca="false">IF($M4472=0,"",INDEX(Classes!$H$6:$H$420,$M4472))</f>
        <v/>
      </c>
      <c r="D4472" s="61" t="str">
        <f aca="false">IF($M4472=0,"",INDEX(Classes!$B$6:$B$420,$M4472))</f>
        <v/>
      </c>
      <c r="E4472" s="61" t="str">
        <f aca="false">IF($M4472=0,"",INDEX(Classes!$C$6:$C$420,$M4472))</f>
        <v/>
      </c>
      <c r="F4472" s="63"/>
      <c r="G4472" s="63"/>
      <c r="H4472" s="60"/>
      <c r="I4472" s="60"/>
      <c r="J4472" s="63"/>
      <c r="K4472" s="61" t="str">
        <f aca="false">IF($P4472=0,"",IF($F4472="Baseline","— Baseline",IF($O4472=0,"No result",IF($N4472=0,"No Start (attainment only)",IF(OR($N4472=1,$O4472=1),"U – needs rule",INDEX(MxBody,MATCH($I4472,MxCurr,0),MATCH($H4472,MxStart,0)))))))</f>
        <v/>
      </c>
      <c r="L4472" s="62" t="str">
        <f aca="false">IF(COUNTA($A4472,$F4472,$G4472,$H4472,$I4472,$J4472)=0,"",IF($M4472=0,"✖ كود الصف غير موجود",IF(ISNA(MATCH($F4472,Lists!$A$2:$A$5,0)),"✖ الفترة غير صحيحة",IF(ISNA(MATCH($G4472,Lists!$B$2:$B$7,0)),"✖ المجموعة غير صحيحة",IF(NOT(OR($H4472="",$N4472&gt;0)),"✖ Start غير صحيح",IF(NOT(OR($I4472="",$I4472="NR",$O4472&gt;0)),"✖ Current غير صحيح",IF(NOT(IF(ISNUMBER($J4472),AND($J4472&gt;=0,$J4472=INT($J4472)),FALSE())),"✖ العدد يجب أن يكون صحيحًا ≥ 0",IF(AND($F4472="Baseline",$H4472&lt;&gt;""),"⚠ Baseline: Start لا يدخل في التقدم",IF($K4472="No Start (attainment only)","ℹ تحصيل فقط (بدون Start)",IF($K4472="U – needs rule","ℹ حالة U تحتاج قاعدة معتمدة",IF($K4472="No result","ℹ بدون نتيجة (يُستبعد من التحصيل)","OK")))))))))))</f>
        <v/>
      </c>
      <c r="M4472" s="64" t="n">
        <f aca="false">IF($A4472="",0,IFERROR(MATCH($A4472,Classes!$A$6:$A$420,0),0))</f>
        <v>0</v>
      </c>
      <c r="N4472" s="64" t="n">
        <f aca="false">IF($H4472="",0,IFERROR(MATCH($H4472,GradeList,0),0))</f>
        <v>0</v>
      </c>
      <c r="O4472" s="64" t="n">
        <f aca="false">IF(OR($I4472="",$I4472="NR"),0,IFERROR(MATCH($I4472,GradeList,0),0))</f>
        <v>0</v>
      </c>
      <c r="P4472" s="64" t="n">
        <f aca="false">IF(AND($M4472&gt;0,ISNUMBER(MATCH($F4472,Lists!$A$2:$A$5,0)),ISNUMBER(MATCH($G4472,Lists!$B$2:$B$7,0)),OR($H4472="",$N4472&gt;0),OR($I4472="",$I4472="NR",$O4472&gt;0),IF(ISNUMBER($J4472),AND($J4472&gt;=0,$J4472=INT($J4472)),FALSE())),$J4472,0)</f>
        <v>0</v>
      </c>
      <c r="Q4472" s="64" t="n">
        <f aca="false">IF(AND($P4472&gt;0,$O4472&gt;0),$P4472,0)</f>
        <v>0</v>
      </c>
      <c r="R4472" s="64" t="n">
        <f aca="false">IF(AND($Q4472&gt;0,$O4472&gt;=AtRank),$Q4472,0)</f>
        <v>0</v>
      </c>
      <c r="S4472" s="64" t="n">
        <f aca="false">IF(AND($Q4472&gt;0,$O4472&gt;=AboveRank),$Q4472,0)</f>
        <v>0</v>
      </c>
      <c r="T4472" s="64" t="n">
        <f aca="false">IF($K4472="Less",$P4472,0)</f>
        <v>0</v>
      </c>
      <c r="U4472" s="64" t="n">
        <f aca="false">IF($K4472="Expected",$P4472,0)</f>
        <v>0</v>
      </c>
      <c r="V4472" s="64" t="n">
        <f aca="false">IF($K4472="Better",$P4472,0)</f>
        <v>0</v>
      </c>
      <c r="W4472" s="64" t="n">
        <f aca="false">IF($K4472="U – needs rule",$P4472,0)</f>
        <v>0</v>
      </c>
      <c r="X4472" s="64" t="n">
        <f aca="false">IF($K4472="No Start (attainment only)",$P4472,0)</f>
        <v>0</v>
      </c>
    </row>
    <row r="4473" customFormat="false" ht="15" hidden="false" customHeight="false" outlineLevel="0" collapsed="false">
      <c r="A4473" s="60"/>
      <c r="B4473" s="61" t="str">
        <f aca="false">IF($M4473=0,"",INDEX(Classes!$E$6:$E$420,$M4473))</f>
        <v/>
      </c>
      <c r="C4473" s="62" t="str">
        <f aca="false">IF($M4473=0,"",INDEX(Classes!$H$6:$H$420,$M4473))</f>
        <v/>
      </c>
      <c r="D4473" s="61" t="str">
        <f aca="false">IF($M4473=0,"",INDEX(Classes!$B$6:$B$420,$M4473))</f>
        <v/>
      </c>
      <c r="E4473" s="61" t="str">
        <f aca="false">IF($M4473=0,"",INDEX(Classes!$C$6:$C$420,$M4473))</f>
        <v/>
      </c>
      <c r="F4473" s="63"/>
      <c r="G4473" s="63"/>
      <c r="H4473" s="60"/>
      <c r="I4473" s="60"/>
      <c r="J4473" s="63"/>
      <c r="K4473" s="61" t="str">
        <f aca="false">IF($P4473=0,"",IF($F4473="Baseline","— Baseline",IF($O4473=0,"No result",IF($N4473=0,"No Start (attainment only)",IF(OR($N4473=1,$O4473=1),"U – needs rule",INDEX(MxBody,MATCH($I4473,MxCurr,0),MATCH($H4473,MxStart,0)))))))</f>
        <v/>
      </c>
      <c r="L4473" s="62" t="str">
        <f aca="false">IF(COUNTA($A4473,$F4473,$G4473,$H4473,$I4473,$J4473)=0,"",IF($M4473=0,"✖ كود الصف غير موجود",IF(ISNA(MATCH($F4473,Lists!$A$2:$A$5,0)),"✖ الفترة غير صحيحة",IF(ISNA(MATCH($G4473,Lists!$B$2:$B$7,0)),"✖ المجموعة غير صحيحة",IF(NOT(OR($H4473="",$N4473&gt;0)),"✖ Start غير صحيح",IF(NOT(OR($I4473="",$I4473="NR",$O4473&gt;0)),"✖ Current غير صحيح",IF(NOT(IF(ISNUMBER($J4473),AND($J4473&gt;=0,$J4473=INT($J4473)),FALSE())),"✖ العدد يجب أن يكون صحيحًا ≥ 0",IF(AND($F4473="Baseline",$H4473&lt;&gt;""),"⚠ Baseline: Start لا يدخل في التقدم",IF($K4473="No Start (attainment only)","ℹ تحصيل فقط (بدون Start)",IF($K4473="U – needs rule","ℹ حالة U تحتاج قاعدة معتمدة",IF($K4473="No result","ℹ بدون نتيجة (يُستبعد من التحصيل)","OK")))))))))))</f>
        <v/>
      </c>
      <c r="M4473" s="64" t="n">
        <f aca="false">IF($A4473="",0,IFERROR(MATCH($A4473,Classes!$A$6:$A$420,0),0))</f>
        <v>0</v>
      </c>
      <c r="N4473" s="64" t="n">
        <f aca="false">IF($H4473="",0,IFERROR(MATCH($H4473,GradeList,0),0))</f>
        <v>0</v>
      </c>
      <c r="O4473" s="64" t="n">
        <f aca="false">IF(OR($I4473="",$I4473="NR"),0,IFERROR(MATCH($I4473,GradeList,0),0))</f>
        <v>0</v>
      </c>
      <c r="P4473" s="64" t="n">
        <f aca="false">IF(AND($M4473&gt;0,ISNUMBER(MATCH($F4473,Lists!$A$2:$A$5,0)),ISNUMBER(MATCH($G4473,Lists!$B$2:$B$7,0)),OR($H4473="",$N4473&gt;0),OR($I4473="",$I4473="NR",$O4473&gt;0),IF(ISNUMBER($J4473),AND($J4473&gt;=0,$J4473=INT($J4473)),FALSE())),$J4473,0)</f>
        <v>0</v>
      </c>
      <c r="Q4473" s="64" t="n">
        <f aca="false">IF(AND($P4473&gt;0,$O4473&gt;0),$P4473,0)</f>
        <v>0</v>
      </c>
      <c r="R4473" s="64" t="n">
        <f aca="false">IF(AND($Q4473&gt;0,$O4473&gt;=AtRank),$Q4473,0)</f>
        <v>0</v>
      </c>
      <c r="S4473" s="64" t="n">
        <f aca="false">IF(AND($Q4473&gt;0,$O4473&gt;=AboveRank),$Q4473,0)</f>
        <v>0</v>
      </c>
      <c r="T4473" s="64" t="n">
        <f aca="false">IF($K4473="Less",$P4473,0)</f>
        <v>0</v>
      </c>
      <c r="U4473" s="64" t="n">
        <f aca="false">IF($K4473="Expected",$P4473,0)</f>
        <v>0</v>
      </c>
      <c r="V4473" s="64" t="n">
        <f aca="false">IF($K4473="Better",$P4473,0)</f>
        <v>0</v>
      </c>
      <c r="W4473" s="64" t="n">
        <f aca="false">IF($K4473="U – needs rule",$P4473,0)</f>
        <v>0</v>
      </c>
      <c r="X4473" s="64" t="n">
        <f aca="false">IF($K4473="No Start (attainment only)",$P4473,0)</f>
        <v>0</v>
      </c>
    </row>
    <row r="4474" customFormat="false" ht="15" hidden="false" customHeight="false" outlineLevel="0" collapsed="false">
      <c r="A4474" s="60"/>
      <c r="B4474" s="61" t="str">
        <f aca="false">IF($M4474=0,"",INDEX(Classes!$E$6:$E$420,$M4474))</f>
        <v/>
      </c>
      <c r="C4474" s="62" t="str">
        <f aca="false">IF($M4474=0,"",INDEX(Classes!$H$6:$H$420,$M4474))</f>
        <v/>
      </c>
      <c r="D4474" s="61" t="str">
        <f aca="false">IF($M4474=0,"",INDEX(Classes!$B$6:$B$420,$M4474))</f>
        <v/>
      </c>
      <c r="E4474" s="61" t="str">
        <f aca="false">IF($M4474=0,"",INDEX(Classes!$C$6:$C$420,$M4474))</f>
        <v/>
      </c>
      <c r="F4474" s="63"/>
      <c r="G4474" s="63"/>
      <c r="H4474" s="60"/>
      <c r="I4474" s="60"/>
      <c r="J4474" s="63"/>
      <c r="K4474" s="61" t="str">
        <f aca="false">IF($P4474=0,"",IF($F4474="Baseline","— Baseline",IF($O4474=0,"No result",IF($N4474=0,"No Start (attainment only)",IF(OR($N4474=1,$O4474=1),"U – needs rule",INDEX(MxBody,MATCH($I4474,MxCurr,0),MATCH($H4474,MxStart,0)))))))</f>
        <v/>
      </c>
      <c r="L4474" s="62" t="str">
        <f aca="false">IF(COUNTA($A4474,$F4474,$G4474,$H4474,$I4474,$J4474)=0,"",IF($M4474=0,"✖ كود الصف غير موجود",IF(ISNA(MATCH($F4474,Lists!$A$2:$A$5,0)),"✖ الفترة غير صحيحة",IF(ISNA(MATCH($G4474,Lists!$B$2:$B$7,0)),"✖ المجموعة غير صحيحة",IF(NOT(OR($H4474="",$N4474&gt;0)),"✖ Start غير صحيح",IF(NOT(OR($I4474="",$I4474="NR",$O4474&gt;0)),"✖ Current غير صحيح",IF(NOT(IF(ISNUMBER($J4474),AND($J4474&gt;=0,$J4474=INT($J4474)),FALSE())),"✖ العدد يجب أن يكون صحيحًا ≥ 0",IF(AND($F4474="Baseline",$H4474&lt;&gt;""),"⚠ Baseline: Start لا يدخل في التقدم",IF($K4474="No Start (attainment only)","ℹ تحصيل فقط (بدون Start)",IF($K4474="U – needs rule","ℹ حالة U تحتاج قاعدة معتمدة",IF($K4474="No result","ℹ بدون نتيجة (يُستبعد من التحصيل)","OK")))))))))))</f>
        <v/>
      </c>
      <c r="M4474" s="64" t="n">
        <f aca="false">IF($A4474="",0,IFERROR(MATCH($A4474,Classes!$A$6:$A$420,0),0))</f>
        <v>0</v>
      </c>
      <c r="N4474" s="64" t="n">
        <f aca="false">IF($H4474="",0,IFERROR(MATCH($H4474,GradeList,0),0))</f>
        <v>0</v>
      </c>
      <c r="O4474" s="64" t="n">
        <f aca="false">IF(OR($I4474="",$I4474="NR"),0,IFERROR(MATCH($I4474,GradeList,0),0))</f>
        <v>0</v>
      </c>
      <c r="P4474" s="64" t="n">
        <f aca="false">IF(AND($M4474&gt;0,ISNUMBER(MATCH($F4474,Lists!$A$2:$A$5,0)),ISNUMBER(MATCH($G4474,Lists!$B$2:$B$7,0)),OR($H4474="",$N4474&gt;0),OR($I4474="",$I4474="NR",$O4474&gt;0),IF(ISNUMBER($J4474),AND($J4474&gt;=0,$J4474=INT($J4474)),FALSE())),$J4474,0)</f>
        <v>0</v>
      </c>
      <c r="Q4474" s="64" t="n">
        <f aca="false">IF(AND($P4474&gt;0,$O4474&gt;0),$P4474,0)</f>
        <v>0</v>
      </c>
      <c r="R4474" s="64" t="n">
        <f aca="false">IF(AND($Q4474&gt;0,$O4474&gt;=AtRank),$Q4474,0)</f>
        <v>0</v>
      </c>
      <c r="S4474" s="64" t="n">
        <f aca="false">IF(AND($Q4474&gt;0,$O4474&gt;=AboveRank),$Q4474,0)</f>
        <v>0</v>
      </c>
      <c r="T4474" s="64" t="n">
        <f aca="false">IF($K4474="Less",$P4474,0)</f>
        <v>0</v>
      </c>
      <c r="U4474" s="64" t="n">
        <f aca="false">IF($K4474="Expected",$P4474,0)</f>
        <v>0</v>
      </c>
      <c r="V4474" s="64" t="n">
        <f aca="false">IF($K4474="Better",$P4474,0)</f>
        <v>0</v>
      </c>
      <c r="W4474" s="64" t="n">
        <f aca="false">IF($K4474="U – needs rule",$P4474,0)</f>
        <v>0</v>
      </c>
      <c r="X4474" s="64" t="n">
        <f aca="false">IF($K4474="No Start (attainment only)",$P4474,0)</f>
        <v>0</v>
      </c>
    </row>
    <row r="4475" customFormat="false" ht="15" hidden="false" customHeight="false" outlineLevel="0" collapsed="false">
      <c r="A4475" s="60"/>
      <c r="B4475" s="61" t="str">
        <f aca="false">IF($M4475=0,"",INDEX(Classes!$E$6:$E$420,$M4475))</f>
        <v/>
      </c>
      <c r="C4475" s="62" t="str">
        <f aca="false">IF($M4475=0,"",INDEX(Classes!$H$6:$H$420,$M4475))</f>
        <v/>
      </c>
      <c r="D4475" s="61" t="str">
        <f aca="false">IF($M4475=0,"",INDEX(Classes!$B$6:$B$420,$M4475))</f>
        <v/>
      </c>
      <c r="E4475" s="61" t="str">
        <f aca="false">IF($M4475=0,"",INDEX(Classes!$C$6:$C$420,$M4475))</f>
        <v/>
      </c>
      <c r="F4475" s="63"/>
      <c r="G4475" s="63"/>
      <c r="H4475" s="60"/>
      <c r="I4475" s="60"/>
      <c r="J4475" s="63"/>
      <c r="K4475" s="61" t="str">
        <f aca="false">IF($P4475=0,"",IF($F4475="Baseline","— Baseline",IF($O4475=0,"No result",IF($N4475=0,"No Start (attainment only)",IF(OR($N4475=1,$O4475=1),"U – needs rule",INDEX(MxBody,MATCH($I4475,MxCurr,0),MATCH($H4475,MxStart,0)))))))</f>
        <v/>
      </c>
      <c r="L4475" s="62" t="str">
        <f aca="false">IF(COUNTA($A4475,$F4475,$G4475,$H4475,$I4475,$J4475)=0,"",IF($M4475=0,"✖ كود الصف غير موجود",IF(ISNA(MATCH($F4475,Lists!$A$2:$A$5,0)),"✖ الفترة غير صحيحة",IF(ISNA(MATCH($G4475,Lists!$B$2:$B$7,0)),"✖ المجموعة غير صحيحة",IF(NOT(OR($H4475="",$N4475&gt;0)),"✖ Start غير صحيح",IF(NOT(OR($I4475="",$I4475="NR",$O4475&gt;0)),"✖ Current غير صحيح",IF(NOT(IF(ISNUMBER($J4475),AND($J4475&gt;=0,$J4475=INT($J4475)),FALSE())),"✖ العدد يجب أن يكون صحيحًا ≥ 0",IF(AND($F4475="Baseline",$H4475&lt;&gt;""),"⚠ Baseline: Start لا يدخل في التقدم",IF($K4475="No Start (attainment only)","ℹ تحصيل فقط (بدون Start)",IF($K4475="U – needs rule","ℹ حالة U تحتاج قاعدة معتمدة",IF($K4475="No result","ℹ بدون نتيجة (يُستبعد من التحصيل)","OK")))))))))))</f>
        <v/>
      </c>
      <c r="M4475" s="64" t="n">
        <f aca="false">IF($A4475="",0,IFERROR(MATCH($A4475,Classes!$A$6:$A$420,0),0))</f>
        <v>0</v>
      </c>
      <c r="N4475" s="64" t="n">
        <f aca="false">IF($H4475="",0,IFERROR(MATCH($H4475,GradeList,0),0))</f>
        <v>0</v>
      </c>
      <c r="O4475" s="64" t="n">
        <f aca="false">IF(OR($I4475="",$I4475="NR"),0,IFERROR(MATCH($I4475,GradeList,0),0))</f>
        <v>0</v>
      </c>
      <c r="P4475" s="64" t="n">
        <f aca="false">IF(AND($M4475&gt;0,ISNUMBER(MATCH($F4475,Lists!$A$2:$A$5,0)),ISNUMBER(MATCH($G4475,Lists!$B$2:$B$7,0)),OR($H4475="",$N4475&gt;0),OR($I4475="",$I4475="NR",$O4475&gt;0),IF(ISNUMBER($J4475),AND($J4475&gt;=0,$J4475=INT($J4475)),FALSE())),$J4475,0)</f>
        <v>0</v>
      </c>
      <c r="Q4475" s="64" t="n">
        <f aca="false">IF(AND($P4475&gt;0,$O4475&gt;0),$P4475,0)</f>
        <v>0</v>
      </c>
      <c r="R4475" s="64" t="n">
        <f aca="false">IF(AND($Q4475&gt;0,$O4475&gt;=AtRank),$Q4475,0)</f>
        <v>0</v>
      </c>
      <c r="S4475" s="64" t="n">
        <f aca="false">IF(AND($Q4475&gt;0,$O4475&gt;=AboveRank),$Q4475,0)</f>
        <v>0</v>
      </c>
      <c r="T4475" s="64" t="n">
        <f aca="false">IF($K4475="Less",$P4475,0)</f>
        <v>0</v>
      </c>
      <c r="U4475" s="64" t="n">
        <f aca="false">IF($K4475="Expected",$P4475,0)</f>
        <v>0</v>
      </c>
      <c r="V4475" s="64" t="n">
        <f aca="false">IF($K4475="Better",$P4475,0)</f>
        <v>0</v>
      </c>
      <c r="W4475" s="64" t="n">
        <f aca="false">IF($K4475="U – needs rule",$P4475,0)</f>
        <v>0</v>
      </c>
      <c r="X4475" s="64" t="n">
        <f aca="false">IF($K4475="No Start (attainment only)",$P4475,0)</f>
        <v>0</v>
      </c>
    </row>
    <row r="4476" customFormat="false" ht="15" hidden="false" customHeight="false" outlineLevel="0" collapsed="false">
      <c r="A4476" s="60"/>
      <c r="B4476" s="61" t="str">
        <f aca="false">IF($M4476=0,"",INDEX(Classes!$E$6:$E$420,$M4476))</f>
        <v/>
      </c>
      <c r="C4476" s="62" t="str">
        <f aca="false">IF($M4476=0,"",INDEX(Classes!$H$6:$H$420,$M4476))</f>
        <v/>
      </c>
      <c r="D4476" s="61" t="str">
        <f aca="false">IF($M4476=0,"",INDEX(Classes!$B$6:$B$420,$M4476))</f>
        <v/>
      </c>
      <c r="E4476" s="61" t="str">
        <f aca="false">IF($M4476=0,"",INDEX(Classes!$C$6:$C$420,$M4476))</f>
        <v/>
      </c>
      <c r="F4476" s="63"/>
      <c r="G4476" s="63"/>
      <c r="H4476" s="60"/>
      <c r="I4476" s="60"/>
      <c r="J4476" s="63"/>
      <c r="K4476" s="61" t="str">
        <f aca="false">IF($P4476=0,"",IF($F4476="Baseline","— Baseline",IF($O4476=0,"No result",IF($N4476=0,"No Start (attainment only)",IF(OR($N4476=1,$O4476=1),"U – needs rule",INDEX(MxBody,MATCH($I4476,MxCurr,0),MATCH($H4476,MxStart,0)))))))</f>
        <v/>
      </c>
      <c r="L4476" s="62" t="str">
        <f aca="false">IF(COUNTA($A4476,$F4476,$G4476,$H4476,$I4476,$J4476)=0,"",IF($M4476=0,"✖ كود الصف غير موجود",IF(ISNA(MATCH($F4476,Lists!$A$2:$A$5,0)),"✖ الفترة غير صحيحة",IF(ISNA(MATCH($G4476,Lists!$B$2:$B$7,0)),"✖ المجموعة غير صحيحة",IF(NOT(OR($H4476="",$N4476&gt;0)),"✖ Start غير صحيح",IF(NOT(OR($I4476="",$I4476="NR",$O4476&gt;0)),"✖ Current غير صحيح",IF(NOT(IF(ISNUMBER($J4476),AND($J4476&gt;=0,$J4476=INT($J4476)),FALSE())),"✖ العدد يجب أن يكون صحيحًا ≥ 0",IF(AND($F4476="Baseline",$H4476&lt;&gt;""),"⚠ Baseline: Start لا يدخل في التقدم",IF($K4476="No Start (attainment only)","ℹ تحصيل فقط (بدون Start)",IF($K4476="U – needs rule","ℹ حالة U تحتاج قاعدة معتمدة",IF($K4476="No result","ℹ بدون نتيجة (يُستبعد من التحصيل)","OK")))))))))))</f>
        <v/>
      </c>
      <c r="M4476" s="64" t="n">
        <f aca="false">IF($A4476="",0,IFERROR(MATCH($A4476,Classes!$A$6:$A$420,0),0))</f>
        <v>0</v>
      </c>
      <c r="N4476" s="64" t="n">
        <f aca="false">IF($H4476="",0,IFERROR(MATCH($H4476,GradeList,0),0))</f>
        <v>0</v>
      </c>
      <c r="O4476" s="64" t="n">
        <f aca="false">IF(OR($I4476="",$I4476="NR"),0,IFERROR(MATCH($I4476,GradeList,0),0))</f>
        <v>0</v>
      </c>
      <c r="P4476" s="64" t="n">
        <f aca="false">IF(AND($M4476&gt;0,ISNUMBER(MATCH($F4476,Lists!$A$2:$A$5,0)),ISNUMBER(MATCH($G4476,Lists!$B$2:$B$7,0)),OR($H4476="",$N4476&gt;0),OR($I4476="",$I4476="NR",$O4476&gt;0),IF(ISNUMBER($J4476),AND($J4476&gt;=0,$J4476=INT($J4476)),FALSE())),$J4476,0)</f>
        <v>0</v>
      </c>
      <c r="Q4476" s="64" t="n">
        <f aca="false">IF(AND($P4476&gt;0,$O4476&gt;0),$P4476,0)</f>
        <v>0</v>
      </c>
      <c r="R4476" s="64" t="n">
        <f aca="false">IF(AND($Q4476&gt;0,$O4476&gt;=AtRank),$Q4476,0)</f>
        <v>0</v>
      </c>
      <c r="S4476" s="64" t="n">
        <f aca="false">IF(AND($Q4476&gt;0,$O4476&gt;=AboveRank),$Q4476,0)</f>
        <v>0</v>
      </c>
      <c r="T4476" s="64" t="n">
        <f aca="false">IF($K4476="Less",$P4476,0)</f>
        <v>0</v>
      </c>
      <c r="U4476" s="64" t="n">
        <f aca="false">IF($K4476="Expected",$P4476,0)</f>
        <v>0</v>
      </c>
      <c r="V4476" s="64" t="n">
        <f aca="false">IF($K4476="Better",$P4476,0)</f>
        <v>0</v>
      </c>
      <c r="W4476" s="64" t="n">
        <f aca="false">IF($K4476="U – needs rule",$P4476,0)</f>
        <v>0</v>
      </c>
      <c r="X4476" s="64" t="n">
        <f aca="false">IF($K4476="No Start (attainment only)",$P4476,0)</f>
        <v>0</v>
      </c>
    </row>
    <row r="4477" customFormat="false" ht="15" hidden="false" customHeight="false" outlineLevel="0" collapsed="false">
      <c r="A4477" s="60"/>
      <c r="B4477" s="61" t="str">
        <f aca="false">IF($M4477=0,"",INDEX(Classes!$E$6:$E$420,$M4477))</f>
        <v/>
      </c>
      <c r="C4477" s="62" t="str">
        <f aca="false">IF($M4477=0,"",INDEX(Classes!$H$6:$H$420,$M4477))</f>
        <v/>
      </c>
      <c r="D4477" s="61" t="str">
        <f aca="false">IF($M4477=0,"",INDEX(Classes!$B$6:$B$420,$M4477))</f>
        <v/>
      </c>
      <c r="E4477" s="61" t="str">
        <f aca="false">IF($M4477=0,"",INDEX(Classes!$C$6:$C$420,$M4477))</f>
        <v/>
      </c>
      <c r="F4477" s="63"/>
      <c r="G4477" s="63"/>
      <c r="H4477" s="60"/>
      <c r="I4477" s="60"/>
      <c r="J4477" s="63"/>
      <c r="K4477" s="61" t="str">
        <f aca="false">IF($P4477=0,"",IF($F4477="Baseline","— Baseline",IF($O4477=0,"No result",IF($N4477=0,"No Start (attainment only)",IF(OR($N4477=1,$O4477=1),"U – needs rule",INDEX(MxBody,MATCH($I4477,MxCurr,0),MATCH($H4477,MxStart,0)))))))</f>
        <v/>
      </c>
      <c r="L4477" s="62" t="str">
        <f aca="false">IF(COUNTA($A4477,$F4477,$G4477,$H4477,$I4477,$J4477)=0,"",IF($M4477=0,"✖ كود الصف غير موجود",IF(ISNA(MATCH($F4477,Lists!$A$2:$A$5,0)),"✖ الفترة غير صحيحة",IF(ISNA(MATCH($G4477,Lists!$B$2:$B$7,0)),"✖ المجموعة غير صحيحة",IF(NOT(OR($H4477="",$N4477&gt;0)),"✖ Start غير صحيح",IF(NOT(OR($I4477="",$I4477="NR",$O4477&gt;0)),"✖ Current غير صحيح",IF(NOT(IF(ISNUMBER($J4477),AND($J4477&gt;=0,$J4477=INT($J4477)),FALSE())),"✖ العدد يجب أن يكون صحيحًا ≥ 0",IF(AND($F4477="Baseline",$H4477&lt;&gt;""),"⚠ Baseline: Start لا يدخل في التقدم",IF($K4477="No Start (attainment only)","ℹ تحصيل فقط (بدون Start)",IF($K4477="U – needs rule","ℹ حالة U تحتاج قاعدة معتمدة",IF($K4477="No result","ℹ بدون نتيجة (يُستبعد من التحصيل)","OK")))))))))))</f>
        <v/>
      </c>
      <c r="M4477" s="64" t="n">
        <f aca="false">IF($A4477="",0,IFERROR(MATCH($A4477,Classes!$A$6:$A$420,0),0))</f>
        <v>0</v>
      </c>
      <c r="N4477" s="64" t="n">
        <f aca="false">IF($H4477="",0,IFERROR(MATCH($H4477,GradeList,0),0))</f>
        <v>0</v>
      </c>
      <c r="O4477" s="64" t="n">
        <f aca="false">IF(OR($I4477="",$I4477="NR"),0,IFERROR(MATCH($I4477,GradeList,0),0))</f>
        <v>0</v>
      </c>
      <c r="P4477" s="64" t="n">
        <f aca="false">IF(AND($M4477&gt;0,ISNUMBER(MATCH($F4477,Lists!$A$2:$A$5,0)),ISNUMBER(MATCH($G4477,Lists!$B$2:$B$7,0)),OR($H4477="",$N4477&gt;0),OR($I4477="",$I4477="NR",$O4477&gt;0),IF(ISNUMBER($J4477),AND($J4477&gt;=0,$J4477=INT($J4477)),FALSE())),$J4477,0)</f>
        <v>0</v>
      </c>
      <c r="Q4477" s="64" t="n">
        <f aca="false">IF(AND($P4477&gt;0,$O4477&gt;0),$P4477,0)</f>
        <v>0</v>
      </c>
      <c r="R4477" s="64" t="n">
        <f aca="false">IF(AND($Q4477&gt;0,$O4477&gt;=AtRank),$Q4477,0)</f>
        <v>0</v>
      </c>
      <c r="S4477" s="64" t="n">
        <f aca="false">IF(AND($Q4477&gt;0,$O4477&gt;=AboveRank),$Q4477,0)</f>
        <v>0</v>
      </c>
      <c r="T4477" s="64" t="n">
        <f aca="false">IF($K4477="Less",$P4477,0)</f>
        <v>0</v>
      </c>
      <c r="U4477" s="64" t="n">
        <f aca="false">IF($K4477="Expected",$P4477,0)</f>
        <v>0</v>
      </c>
      <c r="V4477" s="64" t="n">
        <f aca="false">IF($K4477="Better",$P4477,0)</f>
        <v>0</v>
      </c>
      <c r="W4477" s="64" t="n">
        <f aca="false">IF($K4477="U – needs rule",$P4477,0)</f>
        <v>0</v>
      </c>
      <c r="X4477" s="64" t="n">
        <f aca="false">IF($K4477="No Start (attainment only)",$P4477,0)</f>
        <v>0</v>
      </c>
    </row>
    <row r="4478" customFormat="false" ht="15" hidden="false" customHeight="false" outlineLevel="0" collapsed="false">
      <c r="A4478" s="60"/>
      <c r="B4478" s="61" t="str">
        <f aca="false">IF($M4478=0,"",INDEX(Classes!$E$6:$E$420,$M4478))</f>
        <v/>
      </c>
      <c r="C4478" s="62" t="str">
        <f aca="false">IF($M4478=0,"",INDEX(Classes!$H$6:$H$420,$M4478))</f>
        <v/>
      </c>
      <c r="D4478" s="61" t="str">
        <f aca="false">IF($M4478=0,"",INDEX(Classes!$B$6:$B$420,$M4478))</f>
        <v/>
      </c>
      <c r="E4478" s="61" t="str">
        <f aca="false">IF($M4478=0,"",INDEX(Classes!$C$6:$C$420,$M4478))</f>
        <v/>
      </c>
      <c r="F4478" s="63"/>
      <c r="G4478" s="63"/>
      <c r="H4478" s="60"/>
      <c r="I4478" s="60"/>
      <c r="J4478" s="63"/>
      <c r="K4478" s="61" t="str">
        <f aca="false">IF($P4478=0,"",IF($F4478="Baseline","— Baseline",IF($O4478=0,"No result",IF($N4478=0,"No Start (attainment only)",IF(OR($N4478=1,$O4478=1),"U – needs rule",INDEX(MxBody,MATCH($I4478,MxCurr,0),MATCH($H4478,MxStart,0)))))))</f>
        <v/>
      </c>
      <c r="L4478" s="62" t="str">
        <f aca="false">IF(COUNTA($A4478,$F4478,$G4478,$H4478,$I4478,$J4478)=0,"",IF($M4478=0,"✖ كود الصف غير موجود",IF(ISNA(MATCH($F4478,Lists!$A$2:$A$5,0)),"✖ الفترة غير صحيحة",IF(ISNA(MATCH($G4478,Lists!$B$2:$B$7,0)),"✖ المجموعة غير صحيحة",IF(NOT(OR($H4478="",$N4478&gt;0)),"✖ Start غير صحيح",IF(NOT(OR($I4478="",$I4478="NR",$O4478&gt;0)),"✖ Current غير صحيح",IF(NOT(IF(ISNUMBER($J4478),AND($J4478&gt;=0,$J4478=INT($J4478)),FALSE())),"✖ العدد يجب أن يكون صحيحًا ≥ 0",IF(AND($F4478="Baseline",$H4478&lt;&gt;""),"⚠ Baseline: Start لا يدخل في التقدم",IF($K4478="No Start (attainment only)","ℹ تحصيل فقط (بدون Start)",IF($K4478="U – needs rule","ℹ حالة U تحتاج قاعدة معتمدة",IF($K4478="No result","ℹ بدون نتيجة (يُستبعد من التحصيل)","OK")))))))))))</f>
        <v/>
      </c>
      <c r="M4478" s="64" t="n">
        <f aca="false">IF($A4478="",0,IFERROR(MATCH($A4478,Classes!$A$6:$A$420,0),0))</f>
        <v>0</v>
      </c>
      <c r="N4478" s="64" t="n">
        <f aca="false">IF($H4478="",0,IFERROR(MATCH($H4478,GradeList,0),0))</f>
        <v>0</v>
      </c>
      <c r="O4478" s="64" t="n">
        <f aca="false">IF(OR($I4478="",$I4478="NR"),0,IFERROR(MATCH($I4478,GradeList,0),0))</f>
        <v>0</v>
      </c>
      <c r="P4478" s="64" t="n">
        <f aca="false">IF(AND($M4478&gt;0,ISNUMBER(MATCH($F4478,Lists!$A$2:$A$5,0)),ISNUMBER(MATCH($G4478,Lists!$B$2:$B$7,0)),OR($H4478="",$N4478&gt;0),OR($I4478="",$I4478="NR",$O4478&gt;0),IF(ISNUMBER($J4478),AND($J4478&gt;=0,$J4478=INT($J4478)),FALSE())),$J4478,0)</f>
        <v>0</v>
      </c>
      <c r="Q4478" s="64" t="n">
        <f aca="false">IF(AND($P4478&gt;0,$O4478&gt;0),$P4478,0)</f>
        <v>0</v>
      </c>
      <c r="R4478" s="64" t="n">
        <f aca="false">IF(AND($Q4478&gt;0,$O4478&gt;=AtRank),$Q4478,0)</f>
        <v>0</v>
      </c>
      <c r="S4478" s="64" t="n">
        <f aca="false">IF(AND($Q4478&gt;0,$O4478&gt;=AboveRank),$Q4478,0)</f>
        <v>0</v>
      </c>
      <c r="T4478" s="64" t="n">
        <f aca="false">IF($K4478="Less",$P4478,0)</f>
        <v>0</v>
      </c>
      <c r="U4478" s="64" t="n">
        <f aca="false">IF($K4478="Expected",$P4478,0)</f>
        <v>0</v>
      </c>
      <c r="V4478" s="64" t="n">
        <f aca="false">IF($K4478="Better",$P4478,0)</f>
        <v>0</v>
      </c>
      <c r="W4478" s="64" t="n">
        <f aca="false">IF($K4478="U – needs rule",$P4478,0)</f>
        <v>0</v>
      </c>
      <c r="X4478" s="64" t="n">
        <f aca="false">IF($K4478="No Start (attainment only)",$P4478,0)</f>
        <v>0</v>
      </c>
    </row>
    <row r="4479" customFormat="false" ht="15" hidden="false" customHeight="false" outlineLevel="0" collapsed="false">
      <c r="A4479" s="60"/>
      <c r="B4479" s="61" t="str">
        <f aca="false">IF($M4479=0,"",INDEX(Classes!$E$6:$E$420,$M4479))</f>
        <v/>
      </c>
      <c r="C4479" s="62" t="str">
        <f aca="false">IF($M4479=0,"",INDEX(Classes!$H$6:$H$420,$M4479))</f>
        <v/>
      </c>
      <c r="D4479" s="61" t="str">
        <f aca="false">IF($M4479=0,"",INDEX(Classes!$B$6:$B$420,$M4479))</f>
        <v/>
      </c>
      <c r="E4479" s="61" t="str">
        <f aca="false">IF($M4479=0,"",INDEX(Classes!$C$6:$C$420,$M4479))</f>
        <v/>
      </c>
      <c r="F4479" s="63"/>
      <c r="G4479" s="63"/>
      <c r="H4479" s="60"/>
      <c r="I4479" s="60"/>
      <c r="J4479" s="63"/>
      <c r="K4479" s="61" t="str">
        <f aca="false">IF($P4479=0,"",IF($F4479="Baseline","— Baseline",IF($O4479=0,"No result",IF($N4479=0,"No Start (attainment only)",IF(OR($N4479=1,$O4479=1),"U – needs rule",INDEX(MxBody,MATCH($I4479,MxCurr,0),MATCH($H4479,MxStart,0)))))))</f>
        <v/>
      </c>
      <c r="L4479" s="62" t="str">
        <f aca="false">IF(COUNTA($A4479,$F4479,$G4479,$H4479,$I4479,$J4479)=0,"",IF($M4479=0,"✖ كود الصف غير موجود",IF(ISNA(MATCH($F4479,Lists!$A$2:$A$5,0)),"✖ الفترة غير صحيحة",IF(ISNA(MATCH($G4479,Lists!$B$2:$B$7,0)),"✖ المجموعة غير صحيحة",IF(NOT(OR($H4479="",$N4479&gt;0)),"✖ Start غير صحيح",IF(NOT(OR($I4479="",$I4479="NR",$O4479&gt;0)),"✖ Current غير صحيح",IF(NOT(IF(ISNUMBER($J4479),AND($J4479&gt;=0,$J4479=INT($J4479)),FALSE())),"✖ العدد يجب أن يكون صحيحًا ≥ 0",IF(AND($F4479="Baseline",$H4479&lt;&gt;""),"⚠ Baseline: Start لا يدخل في التقدم",IF($K4479="No Start (attainment only)","ℹ تحصيل فقط (بدون Start)",IF($K4479="U – needs rule","ℹ حالة U تحتاج قاعدة معتمدة",IF($K4479="No result","ℹ بدون نتيجة (يُستبعد من التحصيل)","OK")))))))))))</f>
        <v/>
      </c>
      <c r="M4479" s="64" t="n">
        <f aca="false">IF($A4479="",0,IFERROR(MATCH($A4479,Classes!$A$6:$A$420,0),0))</f>
        <v>0</v>
      </c>
      <c r="N4479" s="64" t="n">
        <f aca="false">IF($H4479="",0,IFERROR(MATCH($H4479,GradeList,0),0))</f>
        <v>0</v>
      </c>
      <c r="O4479" s="64" t="n">
        <f aca="false">IF(OR($I4479="",$I4479="NR"),0,IFERROR(MATCH($I4479,GradeList,0),0))</f>
        <v>0</v>
      </c>
      <c r="P4479" s="64" t="n">
        <f aca="false">IF(AND($M4479&gt;0,ISNUMBER(MATCH($F4479,Lists!$A$2:$A$5,0)),ISNUMBER(MATCH($G4479,Lists!$B$2:$B$7,0)),OR($H4479="",$N4479&gt;0),OR($I4479="",$I4479="NR",$O4479&gt;0),IF(ISNUMBER($J4479),AND($J4479&gt;=0,$J4479=INT($J4479)),FALSE())),$J4479,0)</f>
        <v>0</v>
      </c>
      <c r="Q4479" s="64" t="n">
        <f aca="false">IF(AND($P4479&gt;0,$O4479&gt;0),$P4479,0)</f>
        <v>0</v>
      </c>
      <c r="R4479" s="64" t="n">
        <f aca="false">IF(AND($Q4479&gt;0,$O4479&gt;=AtRank),$Q4479,0)</f>
        <v>0</v>
      </c>
      <c r="S4479" s="64" t="n">
        <f aca="false">IF(AND($Q4479&gt;0,$O4479&gt;=AboveRank),$Q4479,0)</f>
        <v>0</v>
      </c>
      <c r="T4479" s="64" t="n">
        <f aca="false">IF($K4479="Less",$P4479,0)</f>
        <v>0</v>
      </c>
      <c r="U4479" s="64" t="n">
        <f aca="false">IF($K4479="Expected",$P4479,0)</f>
        <v>0</v>
      </c>
      <c r="V4479" s="64" t="n">
        <f aca="false">IF($K4479="Better",$P4479,0)</f>
        <v>0</v>
      </c>
      <c r="W4479" s="64" t="n">
        <f aca="false">IF($K4479="U – needs rule",$P4479,0)</f>
        <v>0</v>
      </c>
      <c r="X4479" s="64" t="n">
        <f aca="false">IF($K4479="No Start (attainment only)",$P4479,0)</f>
        <v>0</v>
      </c>
    </row>
    <row r="4480" customFormat="false" ht="15" hidden="false" customHeight="false" outlineLevel="0" collapsed="false">
      <c r="A4480" s="60"/>
      <c r="B4480" s="61" t="str">
        <f aca="false">IF($M4480=0,"",INDEX(Classes!$E$6:$E$420,$M4480))</f>
        <v/>
      </c>
      <c r="C4480" s="62" t="str">
        <f aca="false">IF($M4480=0,"",INDEX(Classes!$H$6:$H$420,$M4480))</f>
        <v/>
      </c>
      <c r="D4480" s="61" t="str">
        <f aca="false">IF($M4480=0,"",INDEX(Classes!$B$6:$B$420,$M4480))</f>
        <v/>
      </c>
      <c r="E4480" s="61" t="str">
        <f aca="false">IF($M4480=0,"",INDEX(Classes!$C$6:$C$420,$M4480))</f>
        <v/>
      </c>
      <c r="F4480" s="63"/>
      <c r="G4480" s="63"/>
      <c r="H4480" s="60"/>
      <c r="I4480" s="60"/>
      <c r="J4480" s="63"/>
      <c r="K4480" s="61" t="str">
        <f aca="false">IF($P4480=0,"",IF($F4480="Baseline","— Baseline",IF($O4480=0,"No result",IF($N4480=0,"No Start (attainment only)",IF(OR($N4480=1,$O4480=1),"U – needs rule",INDEX(MxBody,MATCH($I4480,MxCurr,0),MATCH($H4480,MxStart,0)))))))</f>
        <v/>
      </c>
      <c r="L4480" s="62" t="str">
        <f aca="false">IF(COUNTA($A4480,$F4480,$G4480,$H4480,$I4480,$J4480)=0,"",IF($M4480=0,"✖ كود الصف غير موجود",IF(ISNA(MATCH($F4480,Lists!$A$2:$A$5,0)),"✖ الفترة غير صحيحة",IF(ISNA(MATCH($G4480,Lists!$B$2:$B$7,0)),"✖ المجموعة غير صحيحة",IF(NOT(OR($H4480="",$N4480&gt;0)),"✖ Start غير صحيح",IF(NOT(OR($I4480="",$I4480="NR",$O4480&gt;0)),"✖ Current غير صحيح",IF(NOT(IF(ISNUMBER($J4480),AND($J4480&gt;=0,$J4480=INT($J4480)),FALSE())),"✖ العدد يجب أن يكون صحيحًا ≥ 0",IF(AND($F4480="Baseline",$H4480&lt;&gt;""),"⚠ Baseline: Start لا يدخل في التقدم",IF($K4480="No Start (attainment only)","ℹ تحصيل فقط (بدون Start)",IF($K4480="U – needs rule","ℹ حالة U تحتاج قاعدة معتمدة",IF($K4480="No result","ℹ بدون نتيجة (يُستبعد من التحصيل)","OK")))))))))))</f>
        <v/>
      </c>
      <c r="M4480" s="64" t="n">
        <f aca="false">IF($A4480="",0,IFERROR(MATCH($A4480,Classes!$A$6:$A$420,0),0))</f>
        <v>0</v>
      </c>
      <c r="N4480" s="64" t="n">
        <f aca="false">IF($H4480="",0,IFERROR(MATCH($H4480,GradeList,0),0))</f>
        <v>0</v>
      </c>
      <c r="O4480" s="64" t="n">
        <f aca="false">IF(OR($I4480="",$I4480="NR"),0,IFERROR(MATCH($I4480,GradeList,0),0))</f>
        <v>0</v>
      </c>
      <c r="P4480" s="64" t="n">
        <f aca="false">IF(AND($M4480&gt;0,ISNUMBER(MATCH($F4480,Lists!$A$2:$A$5,0)),ISNUMBER(MATCH($G4480,Lists!$B$2:$B$7,0)),OR($H4480="",$N4480&gt;0),OR($I4480="",$I4480="NR",$O4480&gt;0),IF(ISNUMBER($J4480),AND($J4480&gt;=0,$J4480=INT($J4480)),FALSE())),$J4480,0)</f>
        <v>0</v>
      </c>
      <c r="Q4480" s="64" t="n">
        <f aca="false">IF(AND($P4480&gt;0,$O4480&gt;0),$P4480,0)</f>
        <v>0</v>
      </c>
      <c r="R4480" s="64" t="n">
        <f aca="false">IF(AND($Q4480&gt;0,$O4480&gt;=AtRank),$Q4480,0)</f>
        <v>0</v>
      </c>
      <c r="S4480" s="64" t="n">
        <f aca="false">IF(AND($Q4480&gt;0,$O4480&gt;=AboveRank),$Q4480,0)</f>
        <v>0</v>
      </c>
      <c r="T4480" s="64" t="n">
        <f aca="false">IF($K4480="Less",$P4480,0)</f>
        <v>0</v>
      </c>
      <c r="U4480" s="64" t="n">
        <f aca="false">IF($K4480="Expected",$P4480,0)</f>
        <v>0</v>
      </c>
      <c r="V4480" s="64" t="n">
        <f aca="false">IF($K4480="Better",$P4480,0)</f>
        <v>0</v>
      </c>
      <c r="W4480" s="64" t="n">
        <f aca="false">IF($K4480="U – needs rule",$P4480,0)</f>
        <v>0</v>
      </c>
      <c r="X4480" s="64" t="n">
        <f aca="false">IF($K4480="No Start (attainment only)",$P4480,0)</f>
        <v>0</v>
      </c>
    </row>
    <row r="4481" customFormat="false" ht="15" hidden="false" customHeight="false" outlineLevel="0" collapsed="false">
      <c r="A4481" s="60"/>
      <c r="B4481" s="61" t="str">
        <f aca="false">IF($M4481=0,"",INDEX(Classes!$E$6:$E$420,$M4481))</f>
        <v/>
      </c>
      <c r="C4481" s="62" t="str">
        <f aca="false">IF($M4481=0,"",INDEX(Classes!$H$6:$H$420,$M4481))</f>
        <v/>
      </c>
      <c r="D4481" s="61" t="str">
        <f aca="false">IF($M4481=0,"",INDEX(Classes!$B$6:$B$420,$M4481))</f>
        <v/>
      </c>
      <c r="E4481" s="61" t="str">
        <f aca="false">IF($M4481=0,"",INDEX(Classes!$C$6:$C$420,$M4481))</f>
        <v/>
      </c>
      <c r="F4481" s="63"/>
      <c r="G4481" s="63"/>
      <c r="H4481" s="60"/>
      <c r="I4481" s="60"/>
      <c r="J4481" s="63"/>
      <c r="K4481" s="61" t="str">
        <f aca="false">IF($P4481=0,"",IF($F4481="Baseline","— Baseline",IF($O4481=0,"No result",IF($N4481=0,"No Start (attainment only)",IF(OR($N4481=1,$O4481=1),"U – needs rule",INDEX(MxBody,MATCH($I4481,MxCurr,0),MATCH($H4481,MxStart,0)))))))</f>
        <v/>
      </c>
      <c r="L4481" s="62" t="str">
        <f aca="false">IF(COUNTA($A4481,$F4481,$G4481,$H4481,$I4481,$J4481)=0,"",IF($M4481=0,"✖ كود الصف غير موجود",IF(ISNA(MATCH($F4481,Lists!$A$2:$A$5,0)),"✖ الفترة غير صحيحة",IF(ISNA(MATCH($G4481,Lists!$B$2:$B$7,0)),"✖ المجموعة غير صحيحة",IF(NOT(OR($H4481="",$N4481&gt;0)),"✖ Start غير صحيح",IF(NOT(OR($I4481="",$I4481="NR",$O4481&gt;0)),"✖ Current غير صحيح",IF(NOT(IF(ISNUMBER($J4481),AND($J4481&gt;=0,$J4481=INT($J4481)),FALSE())),"✖ العدد يجب أن يكون صحيحًا ≥ 0",IF(AND($F4481="Baseline",$H4481&lt;&gt;""),"⚠ Baseline: Start لا يدخل في التقدم",IF($K4481="No Start (attainment only)","ℹ تحصيل فقط (بدون Start)",IF($K4481="U – needs rule","ℹ حالة U تحتاج قاعدة معتمدة",IF($K4481="No result","ℹ بدون نتيجة (يُستبعد من التحصيل)","OK")))))))))))</f>
        <v/>
      </c>
      <c r="M4481" s="64" t="n">
        <f aca="false">IF($A4481="",0,IFERROR(MATCH($A4481,Classes!$A$6:$A$420,0),0))</f>
        <v>0</v>
      </c>
      <c r="N4481" s="64" t="n">
        <f aca="false">IF($H4481="",0,IFERROR(MATCH($H4481,GradeList,0),0))</f>
        <v>0</v>
      </c>
      <c r="O4481" s="64" t="n">
        <f aca="false">IF(OR($I4481="",$I4481="NR"),0,IFERROR(MATCH($I4481,GradeList,0),0))</f>
        <v>0</v>
      </c>
      <c r="P4481" s="64" t="n">
        <f aca="false">IF(AND($M4481&gt;0,ISNUMBER(MATCH($F4481,Lists!$A$2:$A$5,0)),ISNUMBER(MATCH($G4481,Lists!$B$2:$B$7,0)),OR($H4481="",$N4481&gt;0),OR($I4481="",$I4481="NR",$O4481&gt;0),IF(ISNUMBER($J4481),AND($J4481&gt;=0,$J4481=INT($J4481)),FALSE())),$J4481,0)</f>
        <v>0</v>
      </c>
      <c r="Q4481" s="64" t="n">
        <f aca="false">IF(AND($P4481&gt;0,$O4481&gt;0),$P4481,0)</f>
        <v>0</v>
      </c>
      <c r="R4481" s="64" t="n">
        <f aca="false">IF(AND($Q4481&gt;0,$O4481&gt;=AtRank),$Q4481,0)</f>
        <v>0</v>
      </c>
      <c r="S4481" s="64" t="n">
        <f aca="false">IF(AND($Q4481&gt;0,$O4481&gt;=AboveRank),$Q4481,0)</f>
        <v>0</v>
      </c>
      <c r="T4481" s="64" t="n">
        <f aca="false">IF($K4481="Less",$P4481,0)</f>
        <v>0</v>
      </c>
      <c r="U4481" s="64" t="n">
        <f aca="false">IF($K4481="Expected",$P4481,0)</f>
        <v>0</v>
      </c>
      <c r="V4481" s="64" t="n">
        <f aca="false">IF($K4481="Better",$P4481,0)</f>
        <v>0</v>
      </c>
      <c r="W4481" s="64" t="n">
        <f aca="false">IF($K4481="U – needs rule",$P4481,0)</f>
        <v>0</v>
      </c>
      <c r="X4481" s="64" t="n">
        <f aca="false">IF($K4481="No Start (attainment only)",$P4481,0)</f>
        <v>0</v>
      </c>
    </row>
    <row r="4482" customFormat="false" ht="15" hidden="false" customHeight="false" outlineLevel="0" collapsed="false">
      <c r="A4482" s="60"/>
      <c r="B4482" s="61" t="str">
        <f aca="false">IF($M4482=0,"",INDEX(Classes!$E$6:$E$420,$M4482))</f>
        <v/>
      </c>
      <c r="C4482" s="62" t="str">
        <f aca="false">IF($M4482=0,"",INDEX(Classes!$H$6:$H$420,$M4482))</f>
        <v/>
      </c>
      <c r="D4482" s="61" t="str">
        <f aca="false">IF($M4482=0,"",INDEX(Classes!$B$6:$B$420,$M4482))</f>
        <v/>
      </c>
      <c r="E4482" s="61" t="str">
        <f aca="false">IF($M4482=0,"",INDEX(Classes!$C$6:$C$420,$M4482))</f>
        <v/>
      </c>
      <c r="F4482" s="63"/>
      <c r="G4482" s="63"/>
      <c r="H4482" s="60"/>
      <c r="I4482" s="60"/>
      <c r="J4482" s="63"/>
      <c r="K4482" s="61" t="str">
        <f aca="false">IF($P4482=0,"",IF($F4482="Baseline","— Baseline",IF($O4482=0,"No result",IF($N4482=0,"No Start (attainment only)",IF(OR($N4482=1,$O4482=1),"U – needs rule",INDEX(MxBody,MATCH($I4482,MxCurr,0),MATCH($H4482,MxStart,0)))))))</f>
        <v/>
      </c>
      <c r="L4482" s="62" t="str">
        <f aca="false">IF(COUNTA($A4482,$F4482,$G4482,$H4482,$I4482,$J4482)=0,"",IF($M4482=0,"✖ كود الصف غير موجود",IF(ISNA(MATCH($F4482,Lists!$A$2:$A$5,0)),"✖ الفترة غير صحيحة",IF(ISNA(MATCH($G4482,Lists!$B$2:$B$7,0)),"✖ المجموعة غير صحيحة",IF(NOT(OR($H4482="",$N4482&gt;0)),"✖ Start غير صحيح",IF(NOT(OR($I4482="",$I4482="NR",$O4482&gt;0)),"✖ Current غير صحيح",IF(NOT(IF(ISNUMBER($J4482),AND($J4482&gt;=0,$J4482=INT($J4482)),FALSE())),"✖ العدد يجب أن يكون صحيحًا ≥ 0",IF(AND($F4482="Baseline",$H4482&lt;&gt;""),"⚠ Baseline: Start لا يدخل في التقدم",IF($K4482="No Start (attainment only)","ℹ تحصيل فقط (بدون Start)",IF($K4482="U – needs rule","ℹ حالة U تحتاج قاعدة معتمدة",IF($K4482="No result","ℹ بدون نتيجة (يُستبعد من التحصيل)","OK")))))))))))</f>
        <v/>
      </c>
      <c r="M4482" s="64" t="n">
        <f aca="false">IF($A4482="",0,IFERROR(MATCH($A4482,Classes!$A$6:$A$420,0),0))</f>
        <v>0</v>
      </c>
      <c r="N4482" s="64" t="n">
        <f aca="false">IF($H4482="",0,IFERROR(MATCH($H4482,GradeList,0),0))</f>
        <v>0</v>
      </c>
      <c r="O4482" s="64" t="n">
        <f aca="false">IF(OR($I4482="",$I4482="NR"),0,IFERROR(MATCH($I4482,GradeList,0),0))</f>
        <v>0</v>
      </c>
      <c r="P4482" s="64" t="n">
        <f aca="false">IF(AND($M4482&gt;0,ISNUMBER(MATCH($F4482,Lists!$A$2:$A$5,0)),ISNUMBER(MATCH($G4482,Lists!$B$2:$B$7,0)),OR($H4482="",$N4482&gt;0),OR($I4482="",$I4482="NR",$O4482&gt;0),IF(ISNUMBER($J4482),AND($J4482&gt;=0,$J4482=INT($J4482)),FALSE())),$J4482,0)</f>
        <v>0</v>
      </c>
      <c r="Q4482" s="64" t="n">
        <f aca="false">IF(AND($P4482&gt;0,$O4482&gt;0),$P4482,0)</f>
        <v>0</v>
      </c>
      <c r="R4482" s="64" t="n">
        <f aca="false">IF(AND($Q4482&gt;0,$O4482&gt;=AtRank),$Q4482,0)</f>
        <v>0</v>
      </c>
      <c r="S4482" s="64" t="n">
        <f aca="false">IF(AND($Q4482&gt;0,$O4482&gt;=AboveRank),$Q4482,0)</f>
        <v>0</v>
      </c>
      <c r="T4482" s="64" t="n">
        <f aca="false">IF($K4482="Less",$P4482,0)</f>
        <v>0</v>
      </c>
      <c r="U4482" s="64" t="n">
        <f aca="false">IF($K4482="Expected",$P4482,0)</f>
        <v>0</v>
      </c>
      <c r="V4482" s="64" t="n">
        <f aca="false">IF($K4482="Better",$P4482,0)</f>
        <v>0</v>
      </c>
      <c r="W4482" s="64" t="n">
        <f aca="false">IF($K4482="U – needs rule",$P4482,0)</f>
        <v>0</v>
      </c>
      <c r="X4482" s="64" t="n">
        <f aca="false">IF($K4482="No Start (attainment only)",$P4482,0)</f>
        <v>0</v>
      </c>
    </row>
    <row r="4483" customFormat="false" ht="15" hidden="false" customHeight="false" outlineLevel="0" collapsed="false">
      <c r="A4483" s="60"/>
      <c r="B4483" s="61" t="str">
        <f aca="false">IF($M4483=0,"",INDEX(Classes!$E$6:$E$420,$M4483))</f>
        <v/>
      </c>
      <c r="C4483" s="62" t="str">
        <f aca="false">IF($M4483=0,"",INDEX(Classes!$H$6:$H$420,$M4483))</f>
        <v/>
      </c>
      <c r="D4483" s="61" t="str">
        <f aca="false">IF($M4483=0,"",INDEX(Classes!$B$6:$B$420,$M4483))</f>
        <v/>
      </c>
      <c r="E4483" s="61" t="str">
        <f aca="false">IF($M4483=0,"",INDEX(Classes!$C$6:$C$420,$M4483))</f>
        <v/>
      </c>
      <c r="F4483" s="63"/>
      <c r="G4483" s="63"/>
      <c r="H4483" s="60"/>
      <c r="I4483" s="60"/>
      <c r="J4483" s="63"/>
      <c r="K4483" s="61" t="str">
        <f aca="false">IF($P4483=0,"",IF($F4483="Baseline","— Baseline",IF($O4483=0,"No result",IF($N4483=0,"No Start (attainment only)",IF(OR($N4483=1,$O4483=1),"U – needs rule",INDEX(MxBody,MATCH($I4483,MxCurr,0),MATCH($H4483,MxStart,0)))))))</f>
        <v/>
      </c>
      <c r="L4483" s="62" t="str">
        <f aca="false">IF(COUNTA($A4483,$F4483,$G4483,$H4483,$I4483,$J4483)=0,"",IF($M4483=0,"✖ كود الصف غير موجود",IF(ISNA(MATCH($F4483,Lists!$A$2:$A$5,0)),"✖ الفترة غير صحيحة",IF(ISNA(MATCH($G4483,Lists!$B$2:$B$7,0)),"✖ المجموعة غير صحيحة",IF(NOT(OR($H4483="",$N4483&gt;0)),"✖ Start غير صحيح",IF(NOT(OR($I4483="",$I4483="NR",$O4483&gt;0)),"✖ Current غير صحيح",IF(NOT(IF(ISNUMBER($J4483),AND($J4483&gt;=0,$J4483=INT($J4483)),FALSE())),"✖ العدد يجب أن يكون صحيحًا ≥ 0",IF(AND($F4483="Baseline",$H4483&lt;&gt;""),"⚠ Baseline: Start لا يدخل في التقدم",IF($K4483="No Start (attainment only)","ℹ تحصيل فقط (بدون Start)",IF($K4483="U – needs rule","ℹ حالة U تحتاج قاعدة معتمدة",IF($K4483="No result","ℹ بدون نتيجة (يُستبعد من التحصيل)","OK")))))))))))</f>
        <v/>
      </c>
      <c r="M4483" s="64" t="n">
        <f aca="false">IF($A4483="",0,IFERROR(MATCH($A4483,Classes!$A$6:$A$420,0),0))</f>
        <v>0</v>
      </c>
      <c r="N4483" s="64" t="n">
        <f aca="false">IF($H4483="",0,IFERROR(MATCH($H4483,GradeList,0),0))</f>
        <v>0</v>
      </c>
      <c r="O4483" s="64" t="n">
        <f aca="false">IF(OR($I4483="",$I4483="NR"),0,IFERROR(MATCH($I4483,GradeList,0),0))</f>
        <v>0</v>
      </c>
      <c r="P4483" s="64" t="n">
        <f aca="false">IF(AND($M4483&gt;0,ISNUMBER(MATCH($F4483,Lists!$A$2:$A$5,0)),ISNUMBER(MATCH($G4483,Lists!$B$2:$B$7,0)),OR($H4483="",$N4483&gt;0),OR($I4483="",$I4483="NR",$O4483&gt;0),IF(ISNUMBER($J4483),AND($J4483&gt;=0,$J4483=INT($J4483)),FALSE())),$J4483,0)</f>
        <v>0</v>
      </c>
      <c r="Q4483" s="64" t="n">
        <f aca="false">IF(AND($P4483&gt;0,$O4483&gt;0),$P4483,0)</f>
        <v>0</v>
      </c>
      <c r="R4483" s="64" t="n">
        <f aca="false">IF(AND($Q4483&gt;0,$O4483&gt;=AtRank),$Q4483,0)</f>
        <v>0</v>
      </c>
      <c r="S4483" s="64" t="n">
        <f aca="false">IF(AND($Q4483&gt;0,$O4483&gt;=AboveRank),$Q4483,0)</f>
        <v>0</v>
      </c>
      <c r="T4483" s="64" t="n">
        <f aca="false">IF($K4483="Less",$P4483,0)</f>
        <v>0</v>
      </c>
      <c r="U4483" s="64" t="n">
        <f aca="false">IF($K4483="Expected",$P4483,0)</f>
        <v>0</v>
      </c>
      <c r="V4483" s="64" t="n">
        <f aca="false">IF($K4483="Better",$P4483,0)</f>
        <v>0</v>
      </c>
      <c r="W4483" s="64" t="n">
        <f aca="false">IF($K4483="U – needs rule",$P4483,0)</f>
        <v>0</v>
      </c>
      <c r="X4483" s="64" t="n">
        <f aca="false">IF($K4483="No Start (attainment only)",$P4483,0)</f>
        <v>0</v>
      </c>
    </row>
    <row r="4484" customFormat="false" ht="15" hidden="false" customHeight="false" outlineLevel="0" collapsed="false">
      <c r="A4484" s="60"/>
      <c r="B4484" s="61" t="str">
        <f aca="false">IF($M4484=0,"",INDEX(Classes!$E$6:$E$420,$M4484))</f>
        <v/>
      </c>
      <c r="C4484" s="62" t="str">
        <f aca="false">IF($M4484=0,"",INDEX(Classes!$H$6:$H$420,$M4484))</f>
        <v/>
      </c>
      <c r="D4484" s="61" t="str">
        <f aca="false">IF($M4484=0,"",INDEX(Classes!$B$6:$B$420,$M4484))</f>
        <v/>
      </c>
      <c r="E4484" s="61" t="str">
        <f aca="false">IF($M4484=0,"",INDEX(Classes!$C$6:$C$420,$M4484))</f>
        <v/>
      </c>
      <c r="F4484" s="63"/>
      <c r="G4484" s="63"/>
      <c r="H4484" s="60"/>
      <c r="I4484" s="60"/>
      <c r="J4484" s="63"/>
      <c r="K4484" s="61" t="str">
        <f aca="false">IF($P4484=0,"",IF($F4484="Baseline","— Baseline",IF($O4484=0,"No result",IF($N4484=0,"No Start (attainment only)",IF(OR($N4484=1,$O4484=1),"U – needs rule",INDEX(MxBody,MATCH($I4484,MxCurr,0),MATCH($H4484,MxStart,0)))))))</f>
        <v/>
      </c>
      <c r="L4484" s="62" t="str">
        <f aca="false">IF(COUNTA($A4484,$F4484,$G4484,$H4484,$I4484,$J4484)=0,"",IF($M4484=0,"✖ كود الصف غير موجود",IF(ISNA(MATCH($F4484,Lists!$A$2:$A$5,0)),"✖ الفترة غير صحيحة",IF(ISNA(MATCH($G4484,Lists!$B$2:$B$7,0)),"✖ المجموعة غير صحيحة",IF(NOT(OR($H4484="",$N4484&gt;0)),"✖ Start غير صحيح",IF(NOT(OR($I4484="",$I4484="NR",$O4484&gt;0)),"✖ Current غير صحيح",IF(NOT(IF(ISNUMBER($J4484),AND($J4484&gt;=0,$J4484=INT($J4484)),FALSE())),"✖ العدد يجب أن يكون صحيحًا ≥ 0",IF(AND($F4484="Baseline",$H4484&lt;&gt;""),"⚠ Baseline: Start لا يدخل في التقدم",IF($K4484="No Start (attainment only)","ℹ تحصيل فقط (بدون Start)",IF($K4484="U – needs rule","ℹ حالة U تحتاج قاعدة معتمدة",IF($K4484="No result","ℹ بدون نتيجة (يُستبعد من التحصيل)","OK")))))))))))</f>
        <v/>
      </c>
      <c r="M4484" s="64" t="n">
        <f aca="false">IF($A4484="",0,IFERROR(MATCH($A4484,Classes!$A$6:$A$420,0),0))</f>
        <v>0</v>
      </c>
      <c r="N4484" s="64" t="n">
        <f aca="false">IF($H4484="",0,IFERROR(MATCH($H4484,GradeList,0),0))</f>
        <v>0</v>
      </c>
      <c r="O4484" s="64" t="n">
        <f aca="false">IF(OR($I4484="",$I4484="NR"),0,IFERROR(MATCH($I4484,GradeList,0),0))</f>
        <v>0</v>
      </c>
      <c r="P4484" s="64" t="n">
        <f aca="false">IF(AND($M4484&gt;0,ISNUMBER(MATCH($F4484,Lists!$A$2:$A$5,0)),ISNUMBER(MATCH($G4484,Lists!$B$2:$B$7,0)),OR($H4484="",$N4484&gt;0),OR($I4484="",$I4484="NR",$O4484&gt;0),IF(ISNUMBER($J4484),AND($J4484&gt;=0,$J4484=INT($J4484)),FALSE())),$J4484,0)</f>
        <v>0</v>
      </c>
      <c r="Q4484" s="64" t="n">
        <f aca="false">IF(AND($P4484&gt;0,$O4484&gt;0),$P4484,0)</f>
        <v>0</v>
      </c>
      <c r="R4484" s="64" t="n">
        <f aca="false">IF(AND($Q4484&gt;0,$O4484&gt;=AtRank),$Q4484,0)</f>
        <v>0</v>
      </c>
      <c r="S4484" s="64" t="n">
        <f aca="false">IF(AND($Q4484&gt;0,$O4484&gt;=AboveRank),$Q4484,0)</f>
        <v>0</v>
      </c>
      <c r="T4484" s="64" t="n">
        <f aca="false">IF($K4484="Less",$P4484,0)</f>
        <v>0</v>
      </c>
      <c r="U4484" s="64" t="n">
        <f aca="false">IF($K4484="Expected",$P4484,0)</f>
        <v>0</v>
      </c>
      <c r="V4484" s="64" t="n">
        <f aca="false">IF($K4484="Better",$P4484,0)</f>
        <v>0</v>
      </c>
      <c r="W4484" s="64" t="n">
        <f aca="false">IF($K4484="U – needs rule",$P4484,0)</f>
        <v>0</v>
      </c>
      <c r="X4484" s="64" t="n">
        <f aca="false">IF($K4484="No Start (attainment only)",$P4484,0)</f>
        <v>0</v>
      </c>
    </row>
    <row r="4485" customFormat="false" ht="15" hidden="false" customHeight="false" outlineLevel="0" collapsed="false">
      <c r="A4485" s="60"/>
      <c r="B4485" s="61" t="str">
        <f aca="false">IF($M4485=0,"",INDEX(Classes!$E$6:$E$420,$M4485))</f>
        <v/>
      </c>
      <c r="C4485" s="62" t="str">
        <f aca="false">IF($M4485=0,"",INDEX(Classes!$H$6:$H$420,$M4485))</f>
        <v/>
      </c>
      <c r="D4485" s="61" t="str">
        <f aca="false">IF($M4485=0,"",INDEX(Classes!$B$6:$B$420,$M4485))</f>
        <v/>
      </c>
      <c r="E4485" s="61" t="str">
        <f aca="false">IF($M4485=0,"",INDEX(Classes!$C$6:$C$420,$M4485))</f>
        <v/>
      </c>
      <c r="F4485" s="63"/>
      <c r="G4485" s="63"/>
      <c r="H4485" s="60"/>
      <c r="I4485" s="60"/>
      <c r="J4485" s="63"/>
      <c r="K4485" s="61" t="str">
        <f aca="false">IF($P4485=0,"",IF($F4485="Baseline","— Baseline",IF($O4485=0,"No result",IF($N4485=0,"No Start (attainment only)",IF(OR($N4485=1,$O4485=1),"U – needs rule",INDEX(MxBody,MATCH($I4485,MxCurr,0),MATCH($H4485,MxStart,0)))))))</f>
        <v/>
      </c>
      <c r="L4485" s="62" t="str">
        <f aca="false">IF(COUNTA($A4485,$F4485,$G4485,$H4485,$I4485,$J4485)=0,"",IF($M4485=0,"✖ كود الصف غير موجود",IF(ISNA(MATCH($F4485,Lists!$A$2:$A$5,0)),"✖ الفترة غير صحيحة",IF(ISNA(MATCH($G4485,Lists!$B$2:$B$7,0)),"✖ المجموعة غير صحيحة",IF(NOT(OR($H4485="",$N4485&gt;0)),"✖ Start غير صحيح",IF(NOT(OR($I4485="",$I4485="NR",$O4485&gt;0)),"✖ Current غير صحيح",IF(NOT(IF(ISNUMBER($J4485),AND($J4485&gt;=0,$J4485=INT($J4485)),FALSE())),"✖ العدد يجب أن يكون صحيحًا ≥ 0",IF(AND($F4485="Baseline",$H4485&lt;&gt;""),"⚠ Baseline: Start لا يدخل في التقدم",IF($K4485="No Start (attainment only)","ℹ تحصيل فقط (بدون Start)",IF($K4485="U – needs rule","ℹ حالة U تحتاج قاعدة معتمدة",IF($K4485="No result","ℹ بدون نتيجة (يُستبعد من التحصيل)","OK")))))))))))</f>
        <v/>
      </c>
      <c r="M4485" s="64" t="n">
        <f aca="false">IF($A4485="",0,IFERROR(MATCH($A4485,Classes!$A$6:$A$420,0),0))</f>
        <v>0</v>
      </c>
      <c r="N4485" s="64" t="n">
        <f aca="false">IF($H4485="",0,IFERROR(MATCH($H4485,GradeList,0),0))</f>
        <v>0</v>
      </c>
      <c r="O4485" s="64" t="n">
        <f aca="false">IF(OR($I4485="",$I4485="NR"),0,IFERROR(MATCH($I4485,GradeList,0),0))</f>
        <v>0</v>
      </c>
      <c r="P4485" s="64" t="n">
        <f aca="false">IF(AND($M4485&gt;0,ISNUMBER(MATCH($F4485,Lists!$A$2:$A$5,0)),ISNUMBER(MATCH($G4485,Lists!$B$2:$B$7,0)),OR($H4485="",$N4485&gt;0),OR($I4485="",$I4485="NR",$O4485&gt;0),IF(ISNUMBER($J4485),AND($J4485&gt;=0,$J4485=INT($J4485)),FALSE())),$J4485,0)</f>
        <v>0</v>
      </c>
      <c r="Q4485" s="64" t="n">
        <f aca="false">IF(AND($P4485&gt;0,$O4485&gt;0),$P4485,0)</f>
        <v>0</v>
      </c>
      <c r="R4485" s="64" t="n">
        <f aca="false">IF(AND($Q4485&gt;0,$O4485&gt;=AtRank),$Q4485,0)</f>
        <v>0</v>
      </c>
      <c r="S4485" s="64" t="n">
        <f aca="false">IF(AND($Q4485&gt;0,$O4485&gt;=AboveRank),$Q4485,0)</f>
        <v>0</v>
      </c>
      <c r="T4485" s="64" t="n">
        <f aca="false">IF($K4485="Less",$P4485,0)</f>
        <v>0</v>
      </c>
      <c r="U4485" s="64" t="n">
        <f aca="false">IF($K4485="Expected",$P4485,0)</f>
        <v>0</v>
      </c>
      <c r="V4485" s="64" t="n">
        <f aca="false">IF($K4485="Better",$P4485,0)</f>
        <v>0</v>
      </c>
      <c r="W4485" s="64" t="n">
        <f aca="false">IF($K4485="U – needs rule",$P4485,0)</f>
        <v>0</v>
      </c>
      <c r="X4485" s="64" t="n">
        <f aca="false">IF($K4485="No Start (attainment only)",$P4485,0)</f>
        <v>0</v>
      </c>
    </row>
    <row r="4486" customFormat="false" ht="15" hidden="false" customHeight="false" outlineLevel="0" collapsed="false">
      <c r="A4486" s="60"/>
      <c r="B4486" s="61" t="str">
        <f aca="false">IF($M4486=0,"",INDEX(Classes!$E$6:$E$420,$M4486))</f>
        <v/>
      </c>
      <c r="C4486" s="62" t="str">
        <f aca="false">IF($M4486=0,"",INDEX(Classes!$H$6:$H$420,$M4486))</f>
        <v/>
      </c>
      <c r="D4486" s="61" t="str">
        <f aca="false">IF($M4486=0,"",INDEX(Classes!$B$6:$B$420,$M4486))</f>
        <v/>
      </c>
      <c r="E4486" s="61" t="str">
        <f aca="false">IF($M4486=0,"",INDEX(Classes!$C$6:$C$420,$M4486))</f>
        <v/>
      </c>
      <c r="F4486" s="63"/>
      <c r="G4486" s="63"/>
      <c r="H4486" s="60"/>
      <c r="I4486" s="60"/>
      <c r="J4486" s="63"/>
      <c r="K4486" s="61" t="str">
        <f aca="false">IF($P4486=0,"",IF($F4486="Baseline","— Baseline",IF($O4486=0,"No result",IF($N4486=0,"No Start (attainment only)",IF(OR($N4486=1,$O4486=1),"U – needs rule",INDEX(MxBody,MATCH($I4486,MxCurr,0),MATCH($H4486,MxStart,0)))))))</f>
        <v/>
      </c>
      <c r="L4486" s="62" t="str">
        <f aca="false">IF(COUNTA($A4486,$F4486,$G4486,$H4486,$I4486,$J4486)=0,"",IF($M4486=0,"✖ كود الصف غير موجود",IF(ISNA(MATCH($F4486,Lists!$A$2:$A$5,0)),"✖ الفترة غير صحيحة",IF(ISNA(MATCH($G4486,Lists!$B$2:$B$7,0)),"✖ المجموعة غير صحيحة",IF(NOT(OR($H4486="",$N4486&gt;0)),"✖ Start غير صحيح",IF(NOT(OR($I4486="",$I4486="NR",$O4486&gt;0)),"✖ Current غير صحيح",IF(NOT(IF(ISNUMBER($J4486),AND($J4486&gt;=0,$J4486=INT($J4486)),FALSE())),"✖ العدد يجب أن يكون صحيحًا ≥ 0",IF(AND($F4486="Baseline",$H4486&lt;&gt;""),"⚠ Baseline: Start لا يدخل في التقدم",IF($K4486="No Start (attainment only)","ℹ تحصيل فقط (بدون Start)",IF($K4486="U – needs rule","ℹ حالة U تحتاج قاعدة معتمدة",IF($K4486="No result","ℹ بدون نتيجة (يُستبعد من التحصيل)","OK")))))))))))</f>
        <v/>
      </c>
      <c r="M4486" s="64" t="n">
        <f aca="false">IF($A4486="",0,IFERROR(MATCH($A4486,Classes!$A$6:$A$420,0),0))</f>
        <v>0</v>
      </c>
      <c r="N4486" s="64" t="n">
        <f aca="false">IF($H4486="",0,IFERROR(MATCH($H4486,GradeList,0),0))</f>
        <v>0</v>
      </c>
      <c r="O4486" s="64" t="n">
        <f aca="false">IF(OR($I4486="",$I4486="NR"),0,IFERROR(MATCH($I4486,GradeList,0),0))</f>
        <v>0</v>
      </c>
      <c r="P4486" s="64" t="n">
        <f aca="false">IF(AND($M4486&gt;0,ISNUMBER(MATCH($F4486,Lists!$A$2:$A$5,0)),ISNUMBER(MATCH($G4486,Lists!$B$2:$B$7,0)),OR($H4486="",$N4486&gt;0),OR($I4486="",$I4486="NR",$O4486&gt;0),IF(ISNUMBER($J4486),AND($J4486&gt;=0,$J4486=INT($J4486)),FALSE())),$J4486,0)</f>
        <v>0</v>
      </c>
      <c r="Q4486" s="64" t="n">
        <f aca="false">IF(AND($P4486&gt;0,$O4486&gt;0),$P4486,0)</f>
        <v>0</v>
      </c>
      <c r="R4486" s="64" t="n">
        <f aca="false">IF(AND($Q4486&gt;0,$O4486&gt;=AtRank),$Q4486,0)</f>
        <v>0</v>
      </c>
      <c r="S4486" s="64" t="n">
        <f aca="false">IF(AND($Q4486&gt;0,$O4486&gt;=AboveRank),$Q4486,0)</f>
        <v>0</v>
      </c>
      <c r="T4486" s="64" t="n">
        <f aca="false">IF($K4486="Less",$P4486,0)</f>
        <v>0</v>
      </c>
      <c r="U4486" s="64" t="n">
        <f aca="false">IF($K4486="Expected",$P4486,0)</f>
        <v>0</v>
      </c>
      <c r="V4486" s="64" t="n">
        <f aca="false">IF($K4486="Better",$P4486,0)</f>
        <v>0</v>
      </c>
      <c r="W4486" s="64" t="n">
        <f aca="false">IF($K4486="U – needs rule",$P4486,0)</f>
        <v>0</v>
      </c>
      <c r="X4486" s="64" t="n">
        <f aca="false">IF($K4486="No Start (attainment only)",$P4486,0)</f>
        <v>0</v>
      </c>
    </row>
    <row r="4487" customFormat="false" ht="15" hidden="false" customHeight="false" outlineLevel="0" collapsed="false">
      <c r="A4487" s="60"/>
      <c r="B4487" s="61" t="str">
        <f aca="false">IF($M4487=0,"",INDEX(Classes!$E$6:$E$420,$M4487))</f>
        <v/>
      </c>
      <c r="C4487" s="62" t="str">
        <f aca="false">IF($M4487=0,"",INDEX(Classes!$H$6:$H$420,$M4487))</f>
        <v/>
      </c>
      <c r="D4487" s="61" t="str">
        <f aca="false">IF($M4487=0,"",INDEX(Classes!$B$6:$B$420,$M4487))</f>
        <v/>
      </c>
      <c r="E4487" s="61" t="str">
        <f aca="false">IF($M4487=0,"",INDEX(Classes!$C$6:$C$420,$M4487))</f>
        <v/>
      </c>
      <c r="F4487" s="63"/>
      <c r="G4487" s="63"/>
      <c r="H4487" s="60"/>
      <c r="I4487" s="60"/>
      <c r="J4487" s="63"/>
      <c r="K4487" s="61" t="str">
        <f aca="false">IF($P4487=0,"",IF($F4487="Baseline","— Baseline",IF($O4487=0,"No result",IF($N4487=0,"No Start (attainment only)",IF(OR($N4487=1,$O4487=1),"U – needs rule",INDEX(MxBody,MATCH($I4487,MxCurr,0),MATCH($H4487,MxStart,0)))))))</f>
        <v/>
      </c>
      <c r="L4487" s="62" t="str">
        <f aca="false">IF(COUNTA($A4487,$F4487,$G4487,$H4487,$I4487,$J4487)=0,"",IF($M4487=0,"✖ كود الصف غير موجود",IF(ISNA(MATCH($F4487,Lists!$A$2:$A$5,0)),"✖ الفترة غير صحيحة",IF(ISNA(MATCH($G4487,Lists!$B$2:$B$7,0)),"✖ المجموعة غير صحيحة",IF(NOT(OR($H4487="",$N4487&gt;0)),"✖ Start غير صحيح",IF(NOT(OR($I4487="",$I4487="NR",$O4487&gt;0)),"✖ Current غير صحيح",IF(NOT(IF(ISNUMBER($J4487),AND($J4487&gt;=0,$J4487=INT($J4487)),FALSE())),"✖ العدد يجب أن يكون صحيحًا ≥ 0",IF(AND($F4487="Baseline",$H4487&lt;&gt;""),"⚠ Baseline: Start لا يدخل في التقدم",IF($K4487="No Start (attainment only)","ℹ تحصيل فقط (بدون Start)",IF($K4487="U – needs rule","ℹ حالة U تحتاج قاعدة معتمدة",IF($K4487="No result","ℹ بدون نتيجة (يُستبعد من التحصيل)","OK")))))))))))</f>
        <v/>
      </c>
      <c r="M4487" s="64" t="n">
        <f aca="false">IF($A4487="",0,IFERROR(MATCH($A4487,Classes!$A$6:$A$420,0),0))</f>
        <v>0</v>
      </c>
      <c r="N4487" s="64" t="n">
        <f aca="false">IF($H4487="",0,IFERROR(MATCH($H4487,GradeList,0),0))</f>
        <v>0</v>
      </c>
      <c r="O4487" s="64" t="n">
        <f aca="false">IF(OR($I4487="",$I4487="NR"),0,IFERROR(MATCH($I4487,GradeList,0),0))</f>
        <v>0</v>
      </c>
      <c r="P4487" s="64" t="n">
        <f aca="false">IF(AND($M4487&gt;0,ISNUMBER(MATCH($F4487,Lists!$A$2:$A$5,0)),ISNUMBER(MATCH($G4487,Lists!$B$2:$B$7,0)),OR($H4487="",$N4487&gt;0),OR($I4487="",$I4487="NR",$O4487&gt;0),IF(ISNUMBER($J4487),AND($J4487&gt;=0,$J4487=INT($J4487)),FALSE())),$J4487,0)</f>
        <v>0</v>
      </c>
      <c r="Q4487" s="64" t="n">
        <f aca="false">IF(AND($P4487&gt;0,$O4487&gt;0),$P4487,0)</f>
        <v>0</v>
      </c>
      <c r="R4487" s="64" t="n">
        <f aca="false">IF(AND($Q4487&gt;0,$O4487&gt;=AtRank),$Q4487,0)</f>
        <v>0</v>
      </c>
      <c r="S4487" s="64" t="n">
        <f aca="false">IF(AND($Q4487&gt;0,$O4487&gt;=AboveRank),$Q4487,0)</f>
        <v>0</v>
      </c>
      <c r="T4487" s="64" t="n">
        <f aca="false">IF($K4487="Less",$P4487,0)</f>
        <v>0</v>
      </c>
      <c r="U4487" s="64" t="n">
        <f aca="false">IF($K4487="Expected",$P4487,0)</f>
        <v>0</v>
      </c>
      <c r="V4487" s="64" t="n">
        <f aca="false">IF($K4487="Better",$P4487,0)</f>
        <v>0</v>
      </c>
      <c r="W4487" s="64" t="n">
        <f aca="false">IF($K4487="U – needs rule",$P4487,0)</f>
        <v>0</v>
      </c>
      <c r="X4487" s="64" t="n">
        <f aca="false">IF($K4487="No Start (attainment only)",$P4487,0)</f>
        <v>0</v>
      </c>
    </row>
    <row r="4488" customFormat="false" ht="15" hidden="false" customHeight="false" outlineLevel="0" collapsed="false">
      <c r="A4488" s="60"/>
      <c r="B4488" s="61" t="str">
        <f aca="false">IF($M4488=0,"",INDEX(Classes!$E$6:$E$420,$M4488))</f>
        <v/>
      </c>
      <c r="C4488" s="62" t="str">
        <f aca="false">IF($M4488=0,"",INDEX(Classes!$H$6:$H$420,$M4488))</f>
        <v/>
      </c>
      <c r="D4488" s="61" t="str">
        <f aca="false">IF($M4488=0,"",INDEX(Classes!$B$6:$B$420,$M4488))</f>
        <v/>
      </c>
      <c r="E4488" s="61" t="str">
        <f aca="false">IF($M4488=0,"",INDEX(Classes!$C$6:$C$420,$M4488))</f>
        <v/>
      </c>
      <c r="F4488" s="63"/>
      <c r="G4488" s="63"/>
      <c r="H4488" s="60"/>
      <c r="I4488" s="60"/>
      <c r="J4488" s="63"/>
      <c r="K4488" s="61" t="str">
        <f aca="false">IF($P4488=0,"",IF($F4488="Baseline","— Baseline",IF($O4488=0,"No result",IF($N4488=0,"No Start (attainment only)",IF(OR($N4488=1,$O4488=1),"U – needs rule",INDEX(MxBody,MATCH($I4488,MxCurr,0),MATCH($H4488,MxStart,0)))))))</f>
        <v/>
      </c>
      <c r="L4488" s="62" t="str">
        <f aca="false">IF(COUNTA($A4488,$F4488,$G4488,$H4488,$I4488,$J4488)=0,"",IF($M4488=0,"✖ كود الصف غير موجود",IF(ISNA(MATCH($F4488,Lists!$A$2:$A$5,0)),"✖ الفترة غير صحيحة",IF(ISNA(MATCH($G4488,Lists!$B$2:$B$7,0)),"✖ المجموعة غير صحيحة",IF(NOT(OR($H4488="",$N4488&gt;0)),"✖ Start غير صحيح",IF(NOT(OR($I4488="",$I4488="NR",$O4488&gt;0)),"✖ Current غير صحيح",IF(NOT(IF(ISNUMBER($J4488),AND($J4488&gt;=0,$J4488=INT($J4488)),FALSE())),"✖ العدد يجب أن يكون صحيحًا ≥ 0",IF(AND($F4488="Baseline",$H4488&lt;&gt;""),"⚠ Baseline: Start لا يدخل في التقدم",IF($K4488="No Start (attainment only)","ℹ تحصيل فقط (بدون Start)",IF($K4488="U – needs rule","ℹ حالة U تحتاج قاعدة معتمدة",IF($K4488="No result","ℹ بدون نتيجة (يُستبعد من التحصيل)","OK")))))))))))</f>
        <v/>
      </c>
      <c r="M4488" s="64" t="n">
        <f aca="false">IF($A4488="",0,IFERROR(MATCH($A4488,Classes!$A$6:$A$420,0),0))</f>
        <v>0</v>
      </c>
      <c r="N4488" s="64" t="n">
        <f aca="false">IF($H4488="",0,IFERROR(MATCH($H4488,GradeList,0),0))</f>
        <v>0</v>
      </c>
      <c r="O4488" s="64" t="n">
        <f aca="false">IF(OR($I4488="",$I4488="NR"),0,IFERROR(MATCH($I4488,GradeList,0),0))</f>
        <v>0</v>
      </c>
      <c r="P4488" s="64" t="n">
        <f aca="false">IF(AND($M4488&gt;0,ISNUMBER(MATCH($F4488,Lists!$A$2:$A$5,0)),ISNUMBER(MATCH($G4488,Lists!$B$2:$B$7,0)),OR($H4488="",$N4488&gt;0),OR($I4488="",$I4488="NR",$O4488&gt;0),IF(ISNUMBER($J4488),AND($J4488&gt;=0,$J4488=INT($J4488)),FALSE())),$J4488,0)</f>
        <v>0</v>
      </c>
      <c r="Q4488" s="64" t="n">
        <f aca="false">IF(AND($P4488&gt;0,$O4488&gt;0),$P4488,0)</f>
        <v>0</v>
      </c>
      <c r="R4488" s="64" t="n">
        <f aca="false">IF(AND($Q4488&gt;0,$O4488&gt;=AtRank),$Q4488,0)</f>
        <v>0</v>
      </c>
      <c r="S4488" s="64" t="n">
        <f aca="false">IF(AND($Q4488&gt;0,$O4488&gt;=AboveRank),$Q4488,0)</f>
        <v>0</v>
      </c>
      <c r="T4488" s="64" t="n">
        <f aca="false">IF($K4488="Less",$P4488,0)</f>
        <v>0</v>
      </c>
      <c r="U4488" s="64" t="n">
        <f aca="false">IF($K4488="Expected",$P4488,0)</f>
        <v>0</v>
      </c>
      <c r="V4488" s="64" t="n">
        <f aca="false">IF($K4488="Better",$P4488,0)</f>
        <v>0</v>
      </c>
      <c r="W4488" s="64" t="n">
        <f aca="false">IF($K4488="U – needs rule",$P4488,0)</f>
        <v>0</v>
      </c>
      <c r="X4488" s="64" t="n">
        <f aca="false">IF($K4488="No Start (attainment only)",$P4488,0)</f>
        <v>0</v>
      </c>
    </row>
    <row r="4489" customFormat="false" ht="15" hidden="false" customHeight="false" outlineLevel="0" collapsed="false">
      <c r="A4489" s="60"/>
      <c r="B4489" s="61" t="str">
        <f aca="false">IF($M4489=0,"",INDEX(Classes!$E$6:$E$420,$M4489))</f>
        <v/>
      </c>
      <c r="C4489" s="62" t="str">
        <f aca="false">IF($M4489=0,"",INDEX(Classes!$H$6:$H$420,$M4489))</f>
        <v/>
      </c>
      <c r="D4489" s="61" t="str">
        <f aca="false">IF($M4489=0,"",INDEX(Classes!$B$6:$B$420,$M4489))</f>
        <v/>
      </c>
      <c r="E4489" s="61" t="str">
        <f aca="false">IF($M4489=0,"",INDEX(Classes!$C$6:$C$420,$M4489))</f>
        <v/>
      </c>
      <c r="F4489" s="63"/>
      <c r="G4489" s="63"/>
      <c r="H4489" s="60"/>
      <c r="I4489" s="60"/>
      <c r="J4489" s="63"/>
      <c r="K4489" s="61" t="str">
        <f aca="false">IF($P4489=0,"",IF($F4489="Baseline","— Baseline",IF($O4489=0,"No result",IF($N4489=0,"No Start (attainment only)",IF(OR($N4489=1,$O4489=1),"U – needs rule",INDEX(MxBody,MATCH($I4489,MxCurr,0),MATCH($H4489,MxStart,0)))))))</f>
        <v/>
      </c>
      <c r="L4489" s="62" t="str">
        <f aca="false">IF(COUNTA($A4489,$F4489,$G4489,$H4489,$I4489,$J4489)=0,"",IF($M4489=0,"✖ كود الصف غير موجود",IF(ISNA(MATCH($F4489,Lists!$A$2:$A$5,0)),"✖ الفترة غير صحيحة",IF(ISNA(MATCH($G4489,Lists!$B$2:$B$7,0)),"✖ المجموعة غير صحيحة",IF(NOT(OR($H4489="",$N4489&gt;0)),"✖ Start غير صحيح",IF(NOT(OR($I4489="",$I4489="NR",$O4489&gt;0)),"✖ Current غير صحيح",IF(NOT(IF(ISNUMBER($J4489),AND($J4489&gt;=0,$J4489=INT($J4489)),FALSE())),"✖ العدد يجب أن يكون صحيحًا ≥ 0",IF(AND($F4489="Baseline",$H4489&lt;&gt;""),"⚠ Baseline: Start لا يدخل في التقدم",IF($K4489="No Start (attainment only)","ℹ تحصيل فقط (بدون Start)",IF($K4489="U – needs rule","ℹ حالة U تحتاج قاعدة معتمدة",IF($K4489="No result","ℹ بدون نتيجة (يُستبعد من التحصيل)","OK")))))))))))</f>
        <v/>
      </c>
      <c r="M4489" s="64" t="n">
        <f aca="false">IF($A4489="",0,IFERROR(MATCH($A4489,Classes!$A$6:$A$420,0),0))</f>
        <v>0</v>
      </c>
      <c r="N4489" s="64" t="n">
        <f aca="false">IF($H4489="",0,IFERROR(MATCH($H4489,GradeList,0),0))</f>
        <v>0</v>
      </c>
      <c r="O4489" s="64" t="n">
        <f aca="false">IF(OR($I4489="",$I4489="NR"),0,IFERROR(MATCH($I4489,GradeList,0),0))</f>
        <v>0</v>
      </c>
      <c r="P4489" s="64" t="n">
        <f aca="false">IF(AND($M4489&gt;0,ISNUMBER(MATCH($F4489,Lists!$A$2:$A$5,0)),ISNUMBER(MATCH($G4489,Lists!$B$2:$B$7,0)),OR($H4489="",$N4489&gt;0),OR($I4489="",$I4489="NR",$O4489&gt;0),IF(ISNUMBER($J4489),AND($J4489&gt;=0,$J4489=INT($J4489)),FALSE())),$J4489,0)</f>
        <v>0</v>
      </c>
      <c r="Q4489" s="64" t="n">
        <f aca="false">IF(AND($P4489&gt;0,$O4489&gt;0),$P4489,0)</f>
        <v>0</v>
      </c>
      <c r="R4489" s="64" t="n">
        <f aca="false">IF(AND($Q4489&gt;0,$O4489&gt;=AtRank),$Q4489,0)</f>
        <v>0</v>
      </c>
      <c r="S4489" s="64" t="n">
        <f aca="false">IF(AND($Q4489&gt;0,$O4489&gt;=AboveRank),$Q4489,0)</f>
        <v>0</v>
      </c>
      <c r="T4489" s="64" t="n">
        <f aca="false">IF($K4489="Less",$P4489,0)</f>
        <v>0</v>
      </c>
      <c r="U4489" s="64" t="n">
        <f aca="false">IF($K4489="Expected",$P4489,0)</f>
        <v>0</v>
      </c>
      <c r="V4489" s="64" t="n">
        <f aca="false">IF($K4489="Better",$P4489,0)</f>
        <v>0</v>
      </c>
      <c r="W4489" s="64" t="n">
        <f aca="false">IF($K4489="U – needs rule",$P4489,0)</f>
        <v>0</v>
      </c>
      <c r="X4489" s="64" t="n">
        <f aca="false">IF($K4489="No Start (attainment only)",$P4489,0)</f>
        <v>0</v>
      </c>
    </row>
    <row r="4490" customFormat="false" ht="15" hidden="false" customHeight="false" outlineLevel="0" collapsed="false">
      <c r="A4490" s="60"/>
      <c r="B4490" s="61" t="str">
        <f aca="false">IF($M4490=0,"",INDEX(Classes!$E$6:$E$420,$M4490))</f>
        <v/>
      </c>
      <c r="C4490" s="62" t="str">
        <f aca="false">IF($M4490=0,"",INDEX(Classes!$H$6:$H$420,$M4490))</f>
        <v/>
      </c>
      <c r="D4490" s="61" t="str">
        <f aca="false">IF($M4490=0,"",INDEX(Classes!$B$6:$B$420,$M4490))</f>
        <v/>
      </c>
      <c r="E4490" s="61" t="str">
        <f aca="false">IF($M4490=0,"",INDEX(Classes!$C$6:$C$420,$M4490))</f>
        <v/>
      </c>
      <c r="F4490" s="63"/>
      <c r="G4490" s="63"/>
      <c r="H4490" s="60"/>
      <c r="I4490" s="60"/>
      <c r="J4490" s="63"/>
      <c r="K4490" s="61" t="str">
        <f aca="false">IF($P4490=0,"",IF($F4490="Baseline","— Baseline",IF($O4490=0,"No result",IF($N4490=0,"No Start (attainment only)",IF(OR($N4490=1,$O4490=1),"U – needs rule",INDEX(MxBody,MATCH($I4490,MxCurr,0),MATCH($H4490,MxStart,0)))))))</f>
        <v/>
      </c>
      <c r="L4490" s="62" t="str">
        <f aca="false">IF(COUNTA($A4490,$F4490,$G4490,$H4490,$I4490,$J4490)=0,"",IF($M4490=0,"✖ كود الصف غير موجود",IF(ISNA(MATCH($F4490,Lists!$A$2:$A$5,0)),"✖ الفترة غير صحيحة",IF(ISNA(MATCH($G4490,Lists!$B$2:$B$7,0)),"✖ المجموعة غير صحيحة",IF(NOT(OR($H4490="",$N4490&gt;0)),"✖ Start غير صحيح",IF(NOT(OR($I4490="",$I4490="NR",$O4490&gt;0)),"✖ Current غير صحيح",IF(NOT(IF(ISNUMBER($J4490),AND($J4490&gt;=0,$J4490=INT($J4490)),FALSE())),"✖ العدد يجب أن يكون صحيحًا ≥ 0",IF(AND($F4490="Baseline",$H4490&lt;&gt;""),"⚠ Baseline: Start لا يدخل في التقدم",IF($K4490="No Start (attainment only)","ℹ تحصيل فقط (بدون Start)",IF($K4490="U – needs rule","ℹ حالة U تحتاج قاعدة معتمدة",IF($K4490="No result","ℹ بدون نتيجة (يُستبعد من التحصيل)","OK")))))))))))</f>
        <v/>
      </c>
      <c r="M4490" s="64" t="n">
        <f aca="false">IF($A4490="",0,IFERROR(MATCH($A4490,Classes!$A$6:$A$420,0),0))</f>
        <v>0</v>
      </c>
      <c r="N4490" s="64" t="n">
        <f aca="false">IF($H4490="",0,IFERROR(MATCH($H4490,GradeList,0),0))</f>
        <v>0</v>
      </c>
      <c r="O4490" s="64" t="n">
        <f aca="false">IF(OR($I4490="",$I4490="NR"),0,IFERROR(MATCH($I4490,GradeList,0),0))</f>
        <v>0</v>
      </c>
      <c r="P4490" s="64" t="n">
        <f aca="false">IF(AND($M4490&gt;0,ISNUMBER(MATCH($F4490,Lists!$A$2:$A$5,0)),ISNUMBER(MATCH($G4490,Lists!$B$2:$B$7,0)),OR($H4490="",$N4490&gt;0),OR($I4490="",$I4490="NR",$O4490&gt;0),IF(ISNUMBER($J4490),AND($J4490&gt;=0,$J4490=INT($J4490)),FALSE())),$J4490,0)</f>
        <v>0</v>
      </c>
      <c r="Q4490" s="64" t="n">
        <f aca="false">IF(AND($P4490&gt;0,$O4490&gt;0),$P4490,0)</f>
        <v>0</v>
      </c>
      <c r="R4490" s="64" t="n">
        <f aca="false">IF(AND($Q4490&gt;0,$O4490&gt;=AtRank),$Q4490,0)</f>
        <v>0</v>
      </c>
      <c r="S4490" s="64" t="n">
        <f aca="false">IF(AND($Q4490&gt;0,$O4490&gt;=AboveRank),$Q4490,0)</f>
        <v>0</v>
      </c>
      <c r="T4490" s="64" t="n">
        <f aca="false">IF($K4490="Less",$P4490,0)</f>
        <v>0</v>
      </c>
      <c r="U4490" s="64" t="n">
        <f aca="false">IF($K4490="Expected",$P4490,0)</f>
        <v>0</v>
      </c>
      <c r="V4490" s="64" t="n">
        <f aca="false">IF($K4490="Better",$P4490,0)</f>
        <v>0</v>
      </c>
      <c r="W4490" s="64" t="n">
        <f aca="false">IF($K4490="U – needs rule",$P4490,0)</f>
        <v>0</v>
      </c>
      <c r="X4490" s="64" t="n">
        <f aca="false">IF($K4490="No Start (attainment only)",$P4490,0)</f>
        <v>0</v>
      </c>
    </row>
    <row r="4491" customFormat="false" ht="15" hidden="false" customHeight="false" outlineLevel="0" collapsed="false">
      <c r="A4491" s="60"/>
      <c r="B4491" s="61" t="str">
        <f aca="false">IF($M4491=0,"",INDEX(Classes!$E$6:$E$420,$M4491))</f>
        <v/>
      </c>
      <c r="C4491" s="62" t="str">
        <f aca="false">IF($M4491=0,"",INDEX(Classes!$H$6:$H$420,$M4491))</f>
        <v/>
      </c>
      <c r="D4491" s="61" t="str">
        <f aca="false">IF($M4491=0,"",INDEX(Classes!$B$6:$B$420,$M4491))</f>
        <v/>
      </c>
      <c r="E4491" s="61" t="str">
        <f aca="false">IF($M4491=0,"",INDEX(Classes!$C$6:$C$420,$M4491))</f>
        <v/>
      </c>
      <c r="F4491" s="63"/>
      <c r="G4491" s="63"/>
      <c r="H4491" s="60"/>
      <c r="I4491" s="60"/>
      <c r="J4491" s="63"/>
      <c r="K4491" s="61" t="str">
        <f aca="false">IF($P4491=0,"",IF($F4491="Baseline","— Baseline",IF($O4491=0,"No result",IF($N4491=0,"No Start (attainment only)",IF(OR($N4491=1,$O4491=1),"U – needs rule",INDEX(MxBody,MATCH($I4491,MxCurr,0),MATCH($H4491,MxStart,0)))))))</f>
        <v/>
      </c>
      <c r="L4491" s="62" t="str">
        <f aca="false">IF(COUNTA($A4491,$F4491,$G4491,$H4491,$I4491,$J4491)=0,"",IF($M4491=0,"✖ كود الصف غير موجود",IF(ISNA(MATCH($F4491,Lists!$A$2:$A$5,0)),"✖ الفترة غير صحيحة",IF(ISNA(MATCH($G4491,Lists!$B$2:$B$7,0)),"✖ المجموعة غير صحيحة",IF(NOT(OR($H4491="",$N4491&gt;0)),"✖ Start غير صحيح",IF(NOT(OR($I4491="",$I4491="NR",$O4491&gt;0)),"✖ Current غير صحيح",IF(NOT(IF(ISNUMBER($J4491),AND($J4491&gt;=0,$J4491=INT($J4491)),FALSE())),"✖ العدد يجب أن يكون صحيحًا ≥ 0",IF(AND($F4491="Baseline",$H4491&lt;&gt;""),"⚠ Baseline: Start لا يدخل في التقدم",IF($K4491="No Start (attainment only)","ℹ تحصيل فقط (بدون Start)",IF($K4491="U – needs rule","ℹ حالة U تحتاج قاعدة معتمدة",IF($K4491="No result","ℹ بدون نتيجة (يُستبعد من التحصيل)","OK")))))))))))</f>
        <v/>
      </c>
      <c r="M4491" s="64" t="n">
        <f aca="false">IF($A4491="",0,IFERROR(MATCH($A4491,Classes!$A$6:$A$420,0),0))</f>
        <v>0</v>
      </c>
      <c r="N4491" s="64" t="n">
        <f aca="false">IF($H4491="",0,IFERROR(MATCH($H4491,GradeList,0),0))</f>
        <v>0</v>
      </c>
      <c r="O4491" s="64" t="n">
        <f aca="false">IF(OR($I4491="",$I4491="NR"),0,IFERROR(MATCH($I4491,GradeList,0),0))</f>
        <v>0</v>
      </c>
      <c r="P4491" s="64" t="n">
        <f aca="false">IF(AND($M4491&gt;0,ISNUMBER(MATCH($F4491,Lists!$A$2:$A$5,0)),ISNUMBER(MATCH($G4491,Lists!$B$2:$B$7,0)),OR($H4491="",$N4491&gt;0),OR($I4491="",$I4491="NR",$O4491&gt;0),IF(ISNUMBER($J4491),AND($J4491&gt;=0,$J4491=INT($J4491)),FALSE())),$J4491,0)</f>
        <v>0</v>
      </c>
      <c r="Q4491" s="64" t="n">
        <f aca="false">IF(AND($P4491&gt;0,$O4491&gt;0),$P4491,0)</f>
        <v>0</v>
      </c>
      <c r="R4491" s="64" t="n">
        <f aca="false">IF(AND($Q4491&gt;0,$O4491&gt;=AtRank),$Q4491,0)</f>
        <v>0</v>
      </c>
      <c r="S4491" s="64" t="n">
        <f aca="false">IF(AND($Q4491&gt;0,$O4491&gt;=AboveRank),$Q4491,0)</f>
        <v>0</v>
      </c>
      <c r="T4491" s="64" t="n">
        <f aca="false">IF($K4491="Less",$P4491,0)</f>
        <v>0</v>
      </c>
      <c r="U4491" s="64" t="n">
        <f aca="false">IF($K4491="Expected",$P4491,0)</f>
        <v>0</v>
      </c>
      <c r="V4491" s="64" t="n">
        <f aca="false">IF($K4491="Better",$P4491,0)</f>
        <v>0</v>
      </c>
      <c r="W4491" s="64" t="n">
        <f aca="false">IF($K4491="U – needs rule",$P4491,0)</f>
        <v>0</v>
      </c>
      <c r="X4491" s="64" t="n">
        <f aca="false">IF($K4491="No Start (attainment only)",$P4491,0)</f>
        <v>0</v>
      </c>
    </row>
    <row r="4492" customFormat="false" ht="15" hidden="false" customHeight="false" outlineLevel="0" collapsed="false">
      <c r="A4492" s="60"/>
      <c r="B4492" s="61" t="str">
        <f aca="false">IF($M4492=0,"",INDEX(Classes!$E$6:$E$420,$M4492))</f>
        <v/>
      </c>
      <c r="C4492" s="62" t="str">
        <f aca="false">IF($M4492=0,"",INDEX(Classes!$H$6:$H$420,$M4492))</f>
        <v/>
      </c>
      <c r="D4492" s="61" t="str">
        <f aca="false">IF($M4492=0,"",INDEX(Classes!$B$6:$B$420,$M4492))</f>
        <v/>
      </c>
      <c r="E4492" s="61" t="str">
        <f aca="false">IF($M4492=0,"",INDEX(Classes!$C$6:$C$420,$M4492))</f>
        <v/>
      </c>
      <c r="F4492" s="63"/>
      <c r="G4492" s="63"/>
      <c r="H4492" s="60"/>
      <c r="I4492" s="60"/>
      <c r="J4492" s="63"/>
      <c r="K4492" s="61" t="str">
        <f aca="false">IF($P4492=0,"",IF($F4492="Baseline","— Baseline",IF($O4492=0,"No result",IF($N4492=0,"No Start (attainment only)",IF(OR($N4492=1,$O4492=1),"U – needs rule",INDEX(MxBody,MATCH($I4492,MxCurr,0),MATCH($H4492,MxStart,0)))))))</f>
        <v/>
      </c>
      <c r="L4492" s="62" t="str">
        <f aca="false">IF(COUNTA($A4492,$F4492,$G4492,$H4492,$I4492,$J4492)=0,"",IF($M4492=0,"✖ كود الصف غير موجود",IF(ISNA(MATCH($F4492,Lists!$A$2:$A$5,0)),"✖ الفترة غير صحيحة",IF(ISNA(MATCH($G4492,Lists!$B$2:$B$7,0)),"✖ المجموعة غير صحيحة",IF(NOT(OR($H4492="",$N4492&gt;0)),"✖ Start غير صحيح",IF(NOT(OR($I4492="",$I4492="NR",$O4492&gt;0)),"✖ Current غير صحيح",IF(NOT(IF(ISNUMBER($J4492),AND($J4492&gt;=0,$J4492=INT($J4492)),FALSE())),"✖ العدد يجب أن يكون صحيحًا ≥ 0",IF(AND($F4492="Baseline",$H4492&lt;&gt;""),"⚠ Baseline: Start لا يدخل في التقدم",IF($K4492="No Start (attainment only)","ℹ تحصيل فقط (بدون Start)",IF($K4492="U – needs rule","ℹ حالة U تحتاج قاعدة معتمدة",IF($K4492="No result","ℹ بدون نتيجة (يُستبعد من التحصيل)","OK")))))))))))</f>
        <v/>
      </c>
      <c r="M4492" s="64" t="n">
        <f aca="false">IF($A4492="",0,IFERROR(MATCH($A4492,Classes!$A$6:$A$420,0),0))</f>
        <v>0</v>
      </c>
      <c r="N4492" s="64" t="n">
        <f aca="false">IF($H4492="",0,IFERROR(MATCH($H4492,GradeList,0),0))</f>
        <v>0</v>
      </c>
      <c r="O4492" s="64" t="n">
        <f aca="false">IF(OR($I4492="",$I4492="NR"),0,IFERROR(MATCH($I4492,GradeList,0),0))</f>
        <v>0</v>
      </c>
      <c r="P4492" s="64" t="n">
        <f aca="false">IF(AND($M4492&gt;0,ISNUMBER(MATCH($F4492,Lists!$A$2:$A$5,0)),ISNUMBER(MATCH($G4492,Lists!$B$2:$B$7,0)),OR($H4492="",$N4492&gt;0),OR($I4492="",$I4492="NR",$O4492&gt;0),IF(ISNUMBER($J4492),AND($J4492&gt;=0,$J4492=INT($J4492)),FALSE())),$J4492,0)</f>
        <v>0</v>
      </c>
      <c r="Q4492" s="64" t="n">
        <f aca="false">IF(AND($P4492&gt;0,$O4492&gt;0),$P4492,0)</f>
        <v>0</v>
      </c>
      <c r="R4492" s="64" t="n">
        <f aca="false">IF(AND($Q4492&gt;0,$O4492&gt;=AtRank),$Q4492,0)</f>
        <v>0</v>
      </c>
      <c r="S4492" s="64" t="n">
        <f aca="false">IF(AND($Q4492&gt;0,$O4492&gt;=AboveRank),$Q4492,0)</f>
        <v>0</v>
      </c>
      <c r="T4492" s="64" t="n">
        <f aca="false">IF($K4492="Less",$P4492,0)</f>
        <v>0</v>
      </c>
      <c r="U4492" s="64" t="n">
        <f aca="false">IF($K4492="Expected",$P4492,0)</f>
        <v>0</v>
      </c>
      <c r="V4492" s="64" t="n">
        <f aca="false">IF($K4492="Better",$P4492,0)</f>
        <v>0</v>
      </c>
      <c r="W4492" s="64" t="n">
        <f aca="false">IF($K4492="U – needs rule",$P4492,0)</f>
        <v>0</v>
      </c>
      <c r="X4492" s="64" t="n">
        <f aca="false">IF($K4492="No Start (attainment only)",$P4492,0)</f>
        <v>0</v>
      </c>
    </row>
    <row r="4493" customFormat="false" ht="15" hidden="false" customHeight="false" outlineLevel="0" collapsed="false">
      <c r="A4493" s="60"/>
      <c r="B4493" s="61" t="str">
        <f aca="false">IF($M4493=0,"",INDEX(Classes!$E$6:$E$420,$M4493))</f>
        <v/>
      </c>
      <c r="C4493" s="62" t="str">
        <f aca="false">IF($M4493=0,"",INDEX(Classes!$H$6:$H$420,$M4493))</f>
        <v/>
      </c>
      <c r="D4493" s="61" t="str">
        <f aca="false">IF($M4493=0,"",INDEX(Classes!$B$6:$B$420,$M4493))</f>
        <v/>
      </c>
      <c r="E4493" s="61" t="str">
        <f aca="false">IF($M4493=0,"",INDEX(Classes!$C$6:$C$420,$M4493))</f>
        <v/>
      </c>
      <c r="F4493" s="63"/>
      <c r="G4493" s="63"/>
      <c r="H4493" s="60"/>
      <c r="I4493" s="60"/>
      <c r="J4493" s="63"/>
      <c r="K4493" s="61" t="str">
        <f aca="false">IF($P4493=0,"",IF($F4493="Baseline","— Baseline",IF($O4493=0,"No result",IF($N4493=0,"No Start (attainment only)",IF(OR($N4493=1,$O4493=1),"U – needs rule",INDEX(MxBody,MATCH($I4493,MxCurr,0),MATCH($H4493,MxStart,0)))))))</f>
        <v/>
      </c>
      <c r="L4493" s="62" t="str">
        <f aca="false">IF(COUNTA($A4493,$F4493,$G4493,$H4493,$I4493,$J4493)=0,"",IF($M4493=0,"✖ كود الصف غير موجود",IF(ISNA(MATCH($F4493,Lists!$A$2:$A$5,0)),"✖ الفترة غير صحيحة",IF(ISNA(MATCH($G4493,Lists!$B$2:$B$7,0)),"✖ المجموعة غير صحيحة",IF(NOT(OR($H4493="",$N4493&gt;0)),"✖ Start غير صحيح",IF(NOT(OR($I4493="",$I4493="NR",$O4493&gt;0)),"✖ Current غير صحيح",IF(NOT(IF(ISNUMBER($J4493),AND($J4493&gt;=0,$J4493=INT($J4493)),FALSE())),"✖ العدد يجب أن يكون صحيحًا ≥ 0",IF(AND($F4493="Baseline",$H4493&lt;&gt;""),"⚠ Baseline: Start لا يدخل في التقدم",IF($K4493="No Start (attainment only)","ℹ تحصيل فقط (بدون Start)",IF($K4493="U – needs rule","ℹ حالة U تحتاج قاعدة معتمدة",IF($K4493="No result","ℹ بدون نتيجة (يُستبعد من التحصيل)","OK")))))))))))</f>
        <v/>
      </c>
      <c r="M4493" s="64" t="n">
        <f aca="false">IF($A4493="",0,IFERROR(MATCH($A4493,Classes!$A$6:$A$420,0),0))</f>
        <v>0</v>
      </c>
      <c r="N4493" s="64" t="n">
        <f aca="false">IF($H4493="",0,IFERROR(MATCH($H4493,GradeList,0),0))</f>
        <v>0</v>
      </c>
      <c r="O4493" s="64" t="n">
        <f aca="false">IF(OR($I4493="",$I4493="NR"),0,IFERROR(MATCH($I4493,GradeList,0),0))</f>
        <v>0</v>
      </c>
      <c r="P4493" s="64" t="n">
        <f aca="false">IF(AND($M4493&gt;0,ISNUMBER(MATCH($F4493,Lists!$A$2:$A$5,0)),ISNUMBER(MATCH($G4493,Lists!$B$2:$B$7,0)),OR($H4493="",$N4493&gt;0),OR($I4493="",$I4493="NR",$O4493&gt;0),IF(ISNUMBER($J4493),AND($J4493&gt;=0,$J4493=INT($J4493)),FALSE())),$J4493,0)</f>
        <v>0</v>
      </c>
      <c r="Q4493" s="64" t="n">
        <f aca="false">IF(AND($P4493&gt;0,$O4493&gt;0),$P4493,0)</f>
        <v>0</v>
      </c>
      <c r="R4493" s="64" t="n">
        <f aca="false">IF(AND($Q4493&gt;0,$O4493&gt;=AtRank),$Q4493,0)</f>
        <v>0</v>
      </c>
      <c r="S4493" s="64" t="n">
        <f aca="false">IF(AND($Q4493&gt;0,$O4493&gt;=AboveRank),$Q4493,0)</f>
        <v>0</v>
      </c>
      <c r="T4493" s="64" t="n">
        <f aca="false">IF($K4493="Less",$P4493,0)</f>
        <v>0</v>
      </c>
      <c r="U4493" s="64" t="n">
        <f aca="false">IF($K4493="Expected",$P4493,0)</f>
        <v>0</v>
      </c>
      <c r="V4493" s="64" t="n">
        <f aca="false">IF($K4493="Better",$P4493,0)</f>
        <v>0</v>
      </c>
      <c r="W4493" s="64" t="n">
        <f aca="false">IF($K4493="U – needs rule",$P4493,0)</f>
        <v>0</v>
      </c>
      <c r="X4493" s="64" t="n">
        <f aca="false">IF($K4493="No Start (attainment only)",$P4493,0)</f>
        <v>0</v>
      </c>
    </row>
    <row r="4494" customFormat="false" ht="15" hidden="false" customHeight="false" outlineLevel="0" collapsed="false">
      <c r="A4494" s="60"/>
      <c r="B4494" s="61" t="str">
        <f aca="false">IF($M4494=0,"",INDEX(Classes!$E$6:$E$420,$M4494))</f>
        <v/>
      </c>
      <c r="C4494" s="62" t="str">
        <f aca="false">IF($M4494=0,"",INDEX(Classes!$H$6:$H$420,$M4494))</f>
        <v/>
      </c>
      <c r="D4494" s="61" t="str">
        <f aca="false">IF($M4494=0,"",INDEX(Classes!$B$6:$B$420,$M4494))</f>
        <v/>
      </c>
      <c r="E4494" s="61" t="str">
        <f aca="false">IF($M4494=0,"",INDEX(Classes!$C$6:$C$420,$M4494))</f>
        <v/>
      </c>
      <c r="F4494" s="63"/>
      <c r="G4494" s="63"/>
      <c r="H4494" s="60"/>
      <c r="I4494" s="60"/>
      <c r="J4494" s="63"/>
      <c r="K4494" s="61" t="str">
        <f aca="false">IF($P4494=0,"",IF($F4494="Baseline","— Baseline",IF($O4494=0,"No result",IF($N4494=0,"No Start (attainment only)",IF(OR($N4494=1,$O4494=1),"U – needs rule",INDEX(MxBody,MATCH($I4494,MxCurr,0),MATCH($H4494,MxStart,0)))))))</f>
        <v/>
      </c>
      <c r="L4494" s="62" t="str">
        <f aca="false">IF(COUNTA($A4494,$F4494,$G4494,$H4494,$I4494,$J4494)=0,"",IF($M4494=0,"✖ كود الصف غير موجود",IF(ISNA(MATCH($F4494,Lists!$A$2:$A$5,0)),"✖ الفترة غير صحيحة",IF(ISNA(MATCH($G4494,Lists!$B$2:$B$7,0)),"✖ المجموعة غير صحيحة",IF(NOT(OR($H4494="",$N4494&gt;0)),"✖ Start غير صحيح",IF(NOT(OR($I4494="",$I4494="NR",$O4494&gt;0)),"✖ Current غير صحيح",IF(NOT(IF(ISNUMBER($J4494),AND($J4494&gt;=0,$J4494=INT($J4494)),FALSE())),"✖ العدد يجب أن يكون صحيحًا ≥ 0",IF(AND($F4494="Baseline",$H4494&lt;&gt;""),"⚠ Baseline: Start لا يدخل في التقدم",IF($K4494="No Start (attainment only)","ℹ تحصيل فقط (بدون Start)",IF($K4494="U – needs rule","ℹ حالة U تحتاج قاعدة معتمدة",IF($K4494="No result","ℹ بدون نتيجة (يُستبعد من التحصيل)","OK")))))))))))</f>
        <v/>
      </c>
      <c r="M4494" s="64" t="n">
        <f aca="false">IF($A4494="",0,IFERROR(MATCH($A4494,Classes!$A$6:$A$420,0),0))</f>
        <v>0</v>
      </c>
      <c r="N4494" s="64" t="n">
        <f aca="false">IF($H4494="",0,IFERROR(MATCH($H4494,GradeList,0),0))</f>
        <v>0</v>
      </c>
      <c r="O4494" s="64" t="n">
        <f aca="false">IF(OR($I4494="",$I4494="NR"),0,IFERROR(MATCH($I4494,GradeList,0),0))</f>
        <v>0</v>
      </c>
      <c r="P4494" s="64" t="n">
        <f aca="false">IF(AND($M4494&gt;0,ISNUMBER(MATCH($F4494,Lists!$A$2:$A$5,0)),ISNUMBER(MATCH($G4494,Lists!$B$2:$B$7,0)),OR($H4494="",$N4494&gt;0),OR($I4494="",$I4494="NR",$O4494&gt;0),IF(ISNUMBER($J4494),AND($J4494&gt;=0,$J4494=INT($J4494)),FALSE())),$J4494,0)</f>
        <v>0</v>
      </c>
      <c r="Q4494" s="64" t="n">
        <f aca="false">IF(AND($P4494&gt;0,$O4494&gt;0),$P4494,0)</f>
        <v>0</v>
      </c>
      <c r="R4494" s="64" t="n">
        <f aca="false">IF(AND($Q4494&gt;0,$O4494&gt;=AtRank),$Q4494,0)</f>
        <v>0</v>
      </c>
      <c r="S4494" s="64" t="n">
        <f aca="false">IF(AND($Q4494&gt;0,$O4494&gt;=AboveRank),$Q4494,0)</f>
        <v>0</v>
      </c>
      <c r="T4494" s="64" t="n">
        <f aca="false">IF($K4494="Less",$P4494,0)</f>
        <v>0</v>
      </c>
      <c r="U4494" s="64" t="n">
        <f aca="false">IF($K4494="Expected",$P4494,0)</f>
        <v>0</v>
      </c>
      <c r="V4494" s="64" t="n">
        <f aca="false">IF($K4494="Better",$P4494,0)</f>
        <v>0</v>
      </c>
      <c r="W4494" s="64" t="n">
        <f aca="false">IF($K4494="U – needs rule",$P4494,0)</f>
        <v>0</v>
      </c>
      <c r="X4494" s="64" t="n">
        <f aca="false">IF($K4494="No Start (attainment only)",$P4494,0)</f>
        <v>0</v>
      </c>
    </row>
    <row r="4495" customFormat="false" ht="15" hidden="false" customHeight="false" outlineLevel="0" collapsed="false">
      <c r="A4495" s="60"/>
      <c r="B4495" s="61" t="str">
        <f aca="false">IF($M4495=0,"",INDEX(Classes!$E$6:$E$420,$M4495))</f>
        <v/>
      </c>
      <c r="C4495" s="62" t="str">
        <f aca="false">IF($M4495=0,"",INDEX(Classes!$H$6:$H$420,$M4495))</f>
        <v/>
      </c>
      <c r="D4495" s="61" t="str">
        <f aca="false">IF($M4495=0,"",INDEX(Classes!$B$6:$B$420,$M4495))</f>
        <v/>
      </c>
      <c r="E4495" s="61" t="str">
        <f aca="false">IF($M4495=0,"",INDEX(Classes!$C$6:$C$420,$M4495))</f>
        <v/>
      </c>
      <c r="F4495" s="63"/>
      <c r="G4495" s="63"/>
      <c r="H4495" s="60"/>
      <c r="I4495" s="60"/>
      <c r="J4495" s="63"/>
      <c r="K4495" s="61" t="str">
        <f aca="false">IF($P4495=0,"",IF($F4495="Baseline","— Baseline",IF($O4495=0,"No result",IF($N4495=0,"No Start (attainment only)",IF(OR($N4495=1,$O4495=1),"U – needs rule",INDEX(MxBody,MATCH($I4495,MxCurr,0),MATCH($H4495,MxStart,0)))))))</f>
        <v/>
      </c>
      <c r="L4495" s="62" t="str">
        <f aca="false">IF(COUNTA($A4495,$F4495,$G4495,$H4495,$I4495,$J4495)=0,"",IF($M4495=0,"✖ كود الصف غير موجود",IF(ISNA(MATCH($F4495,Lists!$A$2:$A$5,0)),"✖ الفترة غير صحيحة",IF(ISNA(MATCH($G4495,Lists!$B$2:$B$7,0)),"✖ المجموعة غير صحيحة",IF(NOT(OR($H4495="",$N4495&gt;0)),"✖ Start غير صحيح",IF(NOT(OR($I4495="",$I4495="NR",$O4495&gt;0)),"✖ Current غير صحيح",IF(NOT(IF(ISNUMBER($J4495),AND($J4495&gt;=0,$J4495=INT($J4495)),FALSE())),"✖ العدد يجب أن يكون صحيحًا ≥ 0",IF(AND($F4495="Baseline",$H4495&lt;&gt;""),"⚠ Baseline: Start لا يدخل في التقدم",IF($K4495="No Start (attainment only)","ℹ تحصيل فقط (بدون Start)",IF($K4495="U – needs rule","ℹ حالة U تحتاج قاعدة معتمدة",IF($K4495="No result","ℹ بدون نتيجة (يُستبعد من التحصيل)","OK")))))))))))</f>
        <v/>
      </c>
      <c r="M4495" s="64" t="n">
        <f aca="false">IF($A4495="",0,IFERROR(MATCH($A4495,Classes!$A$6:$A$420,0),0))</f>
        <v>0</v>
      </c>
      <c r="N4495" s="64" t="n">
        <f aca="false">IF($H4495="",0,IFERROR(MATCH($H4495,GradeList,0),0))</f>
        <v>0</v>
      </c>
      <c r="O4495" s="64" t="n">
        <f aca="false">IF(OR($I4495="",$I4495="NR"),0,IFERROR(MATCH($I4495,GradeList,0),0))</f>
        <v>0</v>
      </c>
      <c r="P4495" s="64" t="n">
        <f aca="false">IF(AND($M4495&gt;0,ISNUMBER(MATCH($F4495,Lists!$A$2:$A$5,0)),ISNUMBER(MATCH($G4495,Lists!$B$2:$B$7,0)),OR($H4495="",$N4495&gt;0),OR($I4495="",$I4495="NR",$O4495&gt;0),IF(ISNUMBER($J4495),AND($J4495&gt;=0,$J4495=INT($J4495)),FALSE())),$J4495,0)</f>
        <v>0</v>
      </c>
      <c r="Q4495" s="64" t="n">
        <f aca="false">IF(AND($P4495&gt;0,$O4495&gt;0),$P4495,0)</f>
        <v>0</v>
      </c>
      <c r="R4495" s="64" t="n">
        <f aca="false">IF(AND($Q4495&gt;0,$O4495&gt;=AtRank),$Q4495,0)</f>
        <v>0</v>
      </c>
      <c r="S4495" s="64" t="n">
        <f aca="false">IF(AND($Q4495&gt;0,$O4495&gt;=AboveRank),$Q4495,0)</f>
        <v>0</v>
      </c>
      <c r="T4495" s="64" t="n">
        <f aca="false">IF($K4495="Less",$P4495,0)</f>
        <v>0</v>
      </c>
      <c r="U4495" s="64" t="n">
        <f aca="false">IF($K4495="Expected",$P4495,0)</f>
        <v>0</v>
      </c>
      <c r="V4495" s="64" t="n">
        <f aca="false">IF($K4495="Better",$P4495,0)</f>
        <v>0</v>
      </c>
      <c r="W4495" s="64" t="n">
        <f aca="false">IF($K4495="U – needs rule",$P4495,0)</f>
        <v>0</v>
      </c>
      <c r="X4495" s="64" t="n">
        <f aca="false">IF($K4495="No Start (attainment only)",$P4495,0)</f>
        <v>0</v>
      </c>
    </row>
    <row r="4496" customFormat="false" ht="15" hidden="false" customHeight="false" outlineLevel="0" collapsed="false">
      <c r="A4496" s="60"/>
      <c r="B4496" s="61" t="str">
        <f aca="false">IF($M4496=0,"",INDEX(Classes!$E$6:$E$420,$M4496))</f>
        <v/>
      </c>
      <c r="C4496" s="62" t="str">
        <f aca="false">IF($M4496=0,"",INDEX(Classes!$H$6:$H$420,$M4496))</f>
        <v/>
      </c>
      <c r="D4496" s="61" t="str">
        <f aca="false">IF($M4496=0,"",INDEX(Classes!$B$6:$B$420,$M4496))</f>
        <v/>
      </c>
      <c r="E4496" s="61" t="str">
        <f aca="false">IF($M4496=0,"",INDEX(Classes!$C$6:$C$420,$M4496))</f>
        <v/>
      </c>
      <c r="F4496" s="63"/>
      <c r="G4496" s="63"/>
      <c r="H4496" s="60"/>
      <c r="I4496" s="60"/>
      <c r="J4496" s="63"/>
      <c r="K4496" s="61" t="str">
        <f aca="false">IF($P4496=0,"",IF($F4496="Baseline","— Baseline",IF($O4496=0,"No result",IF($N4496=0,"No Start (attainment only)",IF(OR($N4496=1,$O4496=1),"U – needs rule",INDEX(MxBody,MATCH($I4496,MxCurr,0),MATCH($H4496,MxStart,0)))))))</f>
        <v/>
      </c>
      <c r="L4496" s="62" t="str">
        <f aca="false">IF(COUNTA($A4496,$F4496,$G4496,$H4496,$I4496,$J4496)=0,"",IF($M4496=0,"✖ كود الصف غير موجود",IF(ISNA(MATCH($F4496,Lists!$A$2:$A$5,0)),"✖ الفترة غير صحيحة",IF(ISNA(MATCH($G4496,Lists!$B$2:$B$7,0)),"✖ المجموعة غير صحيحة",IF(NOT(OR($H4496="",$N4496&gt;0)),"✖ Start غير صحيح",IF(NOT(OR($I4496="",$I4496="NR",$O4496&gt;0)),"✖ Current غير صحيح",IF(NOT(IF(ISNUMBER($J4496),AND($J4496&gt;=0,$J4496=INT($J4496)),FALSE())),"✖ العدد يجب أن يكون صحيحًا ≥ 0",IF(AND($F4496="Baseline",$H4496&lt;&gt;""),"⚠ Baseline: Start لا يدخل في التقدم",IF($K4496="No Start (attainment only)","ℹ تحصيل فقط (بدون Start)",IF($K4496="U – needs rule","ℹ حالة U تحتاج قاعدة معتمدة",IF($K4496="No result","ℹ بدون نتيجة (يُستبعد من التحصيل)","OK")))))))))))</f>
        <v/>
      </c>
      <c r="M4496" s="64" t="n">
        <f aca="false">IF($A4496="",0,IFERROR(MATCH($A4496,Classes!$A$6:$A$420,0),0))</f>
        <v>0</v>
      </c>
      <c r="N4496" s="64" t="n">
        <f aca="false">IF($H4496="",0,IFERROR(MATCH($H4496,GradeList,0),0))</f>
        <v>0</v>
      </c>
      <c r="O4496" s="64" t="n">
        <f aca="false">IF(OR($I4496="",$I4496="NR"),0,IFERROR(MATCH($I4496,GradeList,0),0))</f>
        <v>0</v>
      </c>
      <c r="P4496" s="64" t="n">
        <f aca="false">IF(AND($M4496&gt;0,ISNUMBER(MATCH($F4496,Lists!$A$2:$A$5,0)),ISNUMBER(MATCH($G4496,Lists!$B$2:$B$7,0)),OR($H4496="",$N4496&gt;0),OR($I4496="",$I4496="NR",$O4496&gt;0),IF(ISNUMBER($J4496),AND($J4496&gt;=0,$J4496=INT($J4496)),FALSE())),$J4496,0)</f>
        <v>0</v>
      </c>
      <c r="Q4496" s="64" t="n">
        <f aca="false">IF(AND($P4496&gt;0,$O4496&gt;0),$P4496,0)</f>
        <v>0</v>
      </c>
      <c r="R4496" s="64" t="n">
        <f aca="false">IF(AND($Q4496&gt;0,$O4496&gt;=AtRank),$Q4496,0)</f>
        <v>0</v>
      </c>
      <c r="S4496" s="64" t="n">
        <f aca="false">IF(AND($Q4496&gt;0,$O4496&gt;=AboveRank),$Q4496,0)</f>
        <v>0</v>
      </c>
      <c r="T4496" s="64" t="n">
        <f aca="false">IF($K4496="Less",$P4496,0)</f>
        <v>0</v>
      </c>
      <c r="U4496" s="64" t="n">
        <f aca="false">IF($K4496="Expected",$P4496,0)</f>
        <v>0</v>
      </c>
      <c r="V4496" s="64" t="n">
        <f aca="false">IF($K4496="Better",$P4496,0)</f>
        <v>0</v>
      </c>
      <c r="W4496" s="64" t="n">
        <f aca="false">IF($K4496="U – needs rule",$P4496,0)</f>
        <v>0</v>
      </c>
      <c r="X4496" s="64" t="n">
        <f aca="false">IF($K4496="No Start (attainment only)",$P4496,0)</f>
        <v>0</v>
      </c>
    </row>
    <row r="4497" customFormat="false" ht="15" hidden="false" customHeight="false" outlineLevel="0" collapsed="false">
      <c r="A4497" s="60"/>
      <c r="B4497" s="61" t="str">
        <f aca="false">IF($M4497=0,"",INDEX(Classes!$E$6:$E$420,$M4497))</f>
        <v/>
      </c>
      <c r="C4497" s="62" t="str">
        <f aca="false">IF($M4497=0,"",INDEX(Classes!$H$6:$H$420,$M4497))</f>
        <v/>
      </c>
      <c r="D4497" s="61" t="str">
        <f aca="false">IF($M4497=0,"",INDEX(Classes!$B$6:$B$420,$M4497))</f>
        <v/>
      </c>
      <c r="E4497" s="61" t="str">
        <f aca="false">IF($M4497=0,"",INDEX(Classes!$C$6:$C$420,$M4497))</f>
        <v/>
      </c>
      <c r="F4497" s="63"/>
      <c r="G4497" s="63"/>
      <c r="H4497" s="60"/>
      <c r="I4497" s="60"/>
      <c r="J4497" s="63"/>
      <c r="K4497" s="61" t="str">
        <f aca="false">IF($P4497=0,"",IF($F4497="Baseline","— Baseline",IF($O4497=0,"No result",IF($N4497=0,"No Start (attainment only)",IF(OR($N4497=1,$O4497=1),"U – needs rule",INDEX(MxBody,MATCH($I4497,MxCurr,0),MATCH($H4497,MxStart,0)))))))</f>
        <v/>
      </c>
      <c r="L4497" s="62" t="str">
        <f aca="false">IF(COUNTA($A4497,$F4497,$G4497,$H4497,$I4497,$J4497)=0,"",IF($M4497=0,"✖ كود الصف غير موجود",IF(ISNA(MATCH($F4497,Lists!$A$2:$A$5,0)),"✖ الفترة غير صحيحة",IF(ISNA(MATCH($G4497,Lists!$B$2:$B$7,0)),"✖ المجموعة غير صحيحة",IF(NOT(OR($H4497="",$N4497&gt;0)),"✖ Start غير صحيح",IF(NOT(OR($I4497="",$I4497="NR",$O4497&gt;0)),"✖ Current غير صحيح",IF(NOT(IF(ISNUMBER($J4497),AND($J4497&gt;=0,$J4497=INT($J4497)),FALSE())),"✖ العدد يجب أن يكون صحيحًا ≥ 0",IF(AND($F4497="Baseline",$H4497&lt;&gt;""),"⚠ Baseline: Start لا يدخل في التقدم",IF($K4497="No Start (attainment only)","ℹ تحصيل فقط (بدون Start)",IF($K4497="U – needs rule","ℹ حالة U تحتاج قاعدة معتمدة",IF($K4497="No result","ℹ بدون نتيجة (يُستبعد من التحصيل)","OK")))))))))))</f>
        <v/>
      </c>
      <c r="M4497" s="64" t="n">
        <f aca="false">IF($A4497="",0,IFERROR(MATCH($A4497,Classes!$A$6:$A$420,0),0))</f>
        <v>0</v>
      </c>
      <c r="N4497" s="64" t="n">
        <f aca="false">IF($H4497="",0,IFERROR(MATCH($H4497,GradeList,0),0))</f>
        <v>0</v>
      </c>
      <c r="O4497" s="64" t="n">
        <f aca="false">IF(OR($I4497="",$I4497="NR"),0,IFERROR(MATCH($I4497,GradeList,0),0))</f>
        <v>0</v>
      </c>
      <c r="P4497" s="64" t="n">
        <f aca="false">IF(AND($M4497&gt;0,ISNUMBER(MATCH($F4497,Lists!$A$2:$A$5,0)),ISNUMBER(MATCH($G4497,Lists!$B$2:$B$7,0)),OR($H4497="",$N4497&gt;0),OR($I4497="",$I4497="NR",$O4497&gt;0),IF(ISNUMBER($J4497),AND($J4497&gt;=0,$J4497=INT($J4497)),FALSE())),$J4497,0)</f>
        <v>0</v>
      </c>
      <c r="Q4497" s="64" t="n">
        <f aca="false">IF(AND($P4497&gt;0,$O4497&gt;0),$P4497,0)</f>
        <v>0</v>
      </c>
      <c r="R4497" s="64" t="n">
        <f aca="false">IF(AND($Q4497&gt;0,$O4497&gt;=AtRank),$Q4497,0)</f>
        <v>0</v>
      </c>
      <c r="S4497" s="64" t="n">
        <f aca="false">IF(AND($Q4497&gt;0,$O4497&gt;=AboveRank),$Q4497,0)</f>
        <v>0</v>
      </c>
      <c r="T4497" s="64" t="n">
        <f aca="false">IF($K4497="Less",$P4497,0)</f>
        <v>0</v>
      </c>
      <c r="U4497" s="64" t="n">
        <f aca="false">IF($K4497="Expected",$P4497,0)</f>
        <v>0</v>
      </c>
      <c r="V4497" s="64" t="n">
        <f aca="false">IF($K4497="Better",$P4497,0)</f>
        <v>0</v>
      </c>
      <c r="W4497" s="64" t="n">
        <f aca="false">IF($K4497="U – needs rule",$P4497,0)</f>
        <v>0</v>
      </c>
      <c r="X4497" s="64" t="n">
        <f aca="false">IF($K4497="No Start (attainment only)",$P4497,0)</f>
        <v>0</v>
      </c>
    </row>
    <row r="4498" customFormat="false" ht="15" hidden="false" customHeight="false" outlineLevel="0" collapsed="false">
      <c r="A4498" s="60"/>
      <c r="B4498" s="61" t="str">
        <f aca="false">IF($M4498=0,"",INDEX(Classes!$E$6:$E$420,$M4498))</f>
        <v/>
      </c>
      <c r="C4498" s="62" t="str">
        <f aca="false">IF($M4498=0,"",INDEX(Classes!$H$6:$H$420,$M4498))</f>
        <v/>
      </c>
      <c r="D4498" s="61" t="str">
        <f aca="false">IF($M4498=0,"",INDEX(Classes!$B$6:$B$420,$M4498))</f>
        <v/>
      </c>
      <c r="E4498" s="61" t="str">
        <f aca="false">IF($M4498=0,"",INDEX(Classes!$C$6:$C$420,$M4498))</f>
        <v/>
      </c>
      <c r="F4498" s="63"/>
      <c r="G4498" s="63"/>
      <c r="H4498" s="60"/>
      <c r="I4498" s="60"/>
      <c r="J4498" s="63"/>
      <c r="K4498" s="61" t="str">
        <f aca="false">IF($P4498=0,"",IF($F4498="Baseline","— Baseline",IF($O4498=0,"No result",IF($N4498=0,"No Start (attainment only)",IF(OR($N4498=1,$O4498=1),"U – needs rule",INDEX(MxBody,MATCH($I4498,MxCurr,0),MATCH($H4498,MxStart,0)))))))</f>
        <v/>
      </c>
      <c r="L4498" s="62" t="str">
        <f aca="false">IF(COUNTA($A4498,$F4498,$G4498,$H4498,$I4498,$J4498)=0,"",IF($M4498=0,"✖ كود الصف غير موجود",IF(ISNA(MATCH($F4498,Lists!$A$2:$A$5,0)),"✖ الفترة غير صحيحة",IF(ISNA(MATCH($G4498,Lists!$B$2:$B$7,0)),"✖ المجموعة غير صحيحة",IF(NOT(OR($H4498="",$N4498&gt;0)),"✖ Start غير صحيح",IF(NOT(OR($I4498="",$I4498="NR",$O4498&gt;0)),"✖ Current غير صحيح",IF(NOT(IF(ISNUMBER($J4498),AND($J4498&gt;=0,$J4498=INT($J4498)),FALSE())),"✖ العدد يجب أن يكون صحيحًا ≥ 0",IF(AND($F4498="Baseline",$H4498&lt;&gt;""),"⚠ Baseline: Start لا يدخل في التقدم",IF($K4498="No Start (attainment only)","ℹ تحصيل فقط (بدون Start)",IF($K4498="U – needs rule","ℹ حالة U تحتاج قاعدة معتمدة",IF($K4498="No result","ℹ بدون نتيجة (يُستبعد من التحصيل)","OK")))))))))))</f>
        <v/>
      </c>
      <c r="M4498" s="64" t="n">
        <f aca="false">IF($A4498="",0,IFERROR(MATCH($A4498,Classes!$A$6:$A$420,0),0))</f>
        <v>0</v>
      </c>
      <c r="N4498" s="64" t="n">
        <f aca="false">IF($H4498="",0,IFERROR(MATCH($H4498,GradeList,0),0))</f>
        <v>0</v>
      </c>
      <c r="O4498" s="64" t="n">
        <f aca="false">IF(OR($I4498="",$I4498="NR"),0,IFERROR(MATCH($I4498,GradeList,0),0))</f>
        <v>0</v>
      </c>
      <c r="P4498" s="64" t="n">
        <f aca="false">IF(AND($M4498&gt;0,ISNUMBER(MATCH($F4498,Lists!$A$2:$A$5,0)),ISNUMBER(MATCH($G4498,Lists!$B$2:$B$7,0)),OR($H4498="",$N4498&gt;0),OR($I4498="",$I4498="NR",$O4498&gt;0),IF(ISNUMBER($J4498),AND($J4498&gt;=0,$J4498=INT($J4498)),FALSE())),$J4498,0)</f>
        <v>0</v>
      </c>
      <c r="Q4498" s="64" t="n">
        <f aca="false">IF(AND($P4498&gt;0,$O4498&gt;0),$P4498,0)</f>
        <v>0</v>
      </c>
      <c r="R4498" s="64" t="n">
        <f aca="false">IF(AND($Q4498&gt;0,$O4498&gt;=AtRank),$Q4498,0)</f>
        <v>0</v>
      </c>
      <c r="S4498" s="64" t="n">
        <f aca="false">IF(AND($Q4498&gt;0,$O4498&gt;=AboveRank),$Q4498,0)</f>
        <v>0</v>
      </c>
      <c r="T4498" s="64" t="n">
        <f aca="false">IF($K4498="Less",$P4498,0)</f>
        <v>0</v>
      </c>
      <c r="U4498" s="64" t="n">
        <f aca="false">IF($K4498="Expected",$P4498,0)</f>
        <v>0</v>
      </c>
      <c r="V4498" s="64" t="n">
        <f aca="false">IF($K4498="Better",$P4498,0)</f>
        <v>0</v>
      </c>
      <c r="W4498" s="64" t="n">
        <f aca="false">IF($K4498="U – needs rule",$P4498,0)</f>
        <v>0</v>
      </c>
      <c r="X4498" s="64" t="n">
        <f aca="false">IF($K4498="No Start (attainment only)",$P4498,0)</f>
        <v>0</v>
      </c>
    </row>
    <row r="4499" customFormat="false" ht="15" hidden="false" customHeight="false" outlineLevel="0" collapsed="false">
      <c r="A4499" s="60"/>
      <c r="B4499" s="61" t="str">
        <f aca="false">IF($M4499=0,"",INDEX(Classes!$E$6:$E$420,$M4499))</f>
        <v/>
      </c>
      <c r="C4499" s="62" t="str">
        <f aca="false">IF($M4499=0,"",INDEX(Classes!$H$6:$H$420,$M4499))</f>
        <v/>
      </c>
      <c r="D4499" s="61" t="str">
        <f aca="false">IF($M4499=0,"",INDEX(Classes!$B$6:$B$420,$M4499))</f>
        <v/>
      </c>
      <c r="E4499" s="61" t="str">
        <f aca="false">IF($M4499=0,"",INDEX(Classes!$C$6:$C$420,$M4499))</f>
        <v/>
      </c>
      <c r="F4499" s="63"/>
      <c r="G4499" s="63"/>
      <c r="H4499" s="60"/>
      <c r="I4499" s="60"/>
      <c r="J4499" s="63"/>
      <c r="K4499" s="61" t="str">
        <f aca="false">IF($P4499=0,"",IF($F4499="Baseline","— Baseline",IF($O4499=0,"No result",IF($N4499=0,"No Start (attainment only)",IF(OR($N4499=1,$O4499=1),"U – needs rule",INDEX(MxBody,MATCH($I4499,MxCurr,0),MATCH($H4499,MxStart,0)))))))</f>
        <v/>
      </c>
      <c r="L4499" s="62" t="str">
        <f aca="false">IF(COUNTA($A4499,$F4499,$G4499,$H4499,$I4499,$J4499)=0,"",IF($M4499=0,"✖ كود الصف غير موجود",IF(ISNA(MATCH($F4499,Lists!$A$2:$A$5,0)),"✖ الفترة غير صحيحة",IF(ISNA(MATCH($G4499,Lists!$B$2:$B$7,0)),"✖ المجموعة غير صحيحة",IF(NOT(OR($H4499="",$N4499&gt;0)),"✖ Start غير صحيح",IF(NOT(OR($I4499="",$I4499="NR",$O4499&gt;0)),"✖ Current غير صحيح",IF(NOT(IF(ISNUMBER($J4499),AND($J4499&gt;=0,$J4499=INT($J4499)),FALSE())),"✖ العدد يجب أن يكون صحيحًا ≥ 0",IF(AND($F4499="Baseline",$H4499&lt;&gt;""),"⚠ Baseline: Start لا يدخل في التقدم",IF($K4499="No Start (attainment only)","ℹ تحصيل فقط (بدون Start)",IF($K4499="U – needs rule","ℹ حالة U تحتاج قاعدة معتمدة",IF($K4499="No result","ℹ بدون نتيجة (يُستبعد من التحصيل)","OK")))))))))))</f>
        <v/>
      </c>
      <c r="M4499" s="64" t="n">
        <f aca="false">IF($A4499="",0,IFERROR(MATCH($A4499,Classes!$A$6:$A$420,0),0))</f>
        <v>0</v>
      </c>
      <c r="N4499" s="64" t="n">
        <f aca="false">IF($H4499="",0,IFERROR(MATCH($H4499,GradeList,0),0))</f>
        <v>0</v>
      </c>
      <c r="O4499" s="64" t="n">
        <f aca="false">IF(OR($I4499="",$I4499="NR"),0,IFERROR(MATCH($I4499,GradeList,0),0))</f>
        <v>0</v>
      </c>
      <c r="P4499" s="64" t="n">
        <f aca="false">IF(AND($M4499&gt;0,ISNUMBER(MATCH($F4499,Lists!$A$2:$A$5,0)),ISNUMBER(MATCH($G4499,Lists!$B$2:$B$7,0)),OR($H4499="",$N4499&gt;0),OR($I4499="",$I4499="NR",$O4499&gt;0),IF(ISNUMBER($J4499),AND($J4499&gt;=0,$J4499=INT($J4499)),FALSE())),$J4499,0)</f>
        <v>0</v>
      </c>
      <c r="Q4499" s="64" t="n">
        <f aca="false">IF(AND($P4499&gt;0,$O4499&gt;0),$P4499,0)</f>
        <v>0</v>
      </c>
      <c r="R4499" s="64" t="n">
        <f aca="false">IF(AND($Q4499&gt;0,$O4499&gt;=AtRank),$Q4499,0)</f>
        <v>0</v>
      </c>
      <c r="S4499" s="64" t="n">
        <f aca="false">IF(AND($Q4499&gt;0,$O4499&gt;=AboveRank),$Q4499,0)</f>
        <v>0</v>
      </c>
      <c r="T4499" s="64" t="n">
        <f aca="false">IF($K4499="Less",$P4499,0)</f>
        <v>0</v>
      </c>
      <c r="U4499" s="64" t="n">
        <f aca="false">IF($K4499="Expected",$P4499,0)</f>
        <v>0</v>
      </c>
      <c r="V4499" s="64" t="n">
        <f aca="false">IF($K4499="Better",$P4499,0)</f>
        <v>0</v>
      </c>
      <c r="W4499" s="64" t="n">
        <f aca="false">IF($K4499="U – needs rule",$P4499,0)</f>
        <v>0</v>
      </c>
      <c r="X4499" s="64" t="n">
        <f aca="false">IF($K4499="No Start (attainment only)",$P4499,0)</f>
        <v>0</v>
      </c>
    </row>
    <row r="4500" customFormat="false" ht="15" hidden="false" customHeight="false" outlineLevel="0" collapsed="false">
      <c r="A4500" s="60"/>
      <c r="B4500" s="61" t="str">
        <f aca="false">IF($M4500=0,"",INDEX(Classes!$E$6:$E$420,$M4500))</f>
        <v/>
      </c>
      <c r="C4500" s="62" t="str">
        <f aca="false">IF($M4500=0,"",INDEX(Classes!$H$6:$H$420,$M4500))</f>
        <v/>
      </c>
      <c r="D4500" s="61" t="str">
        <f aca="false">IF($M4500=0,"",INDEX(Classes!$B$6:$B$420,$M4500))</f>
        <v/>
      </c>
      <c r="E4500" s="61" t="str">
        <f aca="false">IF($M4500=0,"",INDEX(Classes!$C$6:$C$420,$M4500))</f>
        <v/>
      </c>
      <c r="F4500" s="63"/>
      <c r="G4500" s="63"/>
      <c r="H4500" s="60"/>
      <c r="I4500" s="60"/>
      <c r="J4500" s="63"/>
      <c r="K4500" s="61" t="str">
        <f aca="false">IF($P4500=0,"",IF($F4500="Baseline","— Baseline",IF($O4500=0,"No result",IF($N4500=0,"No Start (attainment only)",IF(OR($N4500=1,$O4500=1),"U – needs rule",INDEX(MxBody,MATCH($I4500,MxCurr,0),MATCH($H4500,MxStart,0)))))))</f>
        <v/>
      </c>
      <c r="L4500" s="62" t="str">
        <f aca="false">IF(COUNTA($A4500,$F4500,$G4500,$H4500,$I4500,$J4500)=0,"",IF($M4500=0,"✖ كود الصف غير موجود",IF(ISNA(MATCH($F4500,Lists!$A$2:$A$5,0)),"✖ الفترة غير صحيحة",IF(ISNA(MATCH($G4500,Lists!$B$2:$B$7,0)),"✖ المجموعة غير صحيحة",IF(NOT(OR($H4500="",$N4500&gt;0)),"✖ Start غير صحيح",IF(NOT(OR($I4500="",$I4500="NR",$O4500&gt;0)),"✖ Current غير صحيح",IF(NOT(IF(ISNUMBER($J4500),AND($J4500&gt;=0,$J4500=INT($J4500)),FALSE())),"✖ العدد يجب أن يكون صحيحًا ≥ 0",IF(AND($F4500="Baseline",$H4500&lt;&gt;""),"⚠ Baseline: Start لا يدخل في التقدم",IF($K4500="No Start (attainment only)","ℹ تحصيل فقط (بدون Start)",IF($K4500="U – needs rule","ℹ حالة U تحتاج قاعدة معتمدة",IF($K4500="No result","ℹ بدون نتيجة (يُستبعد من التحصيل)","OK")))))))))))</f>
        <v/>
      </c>
      <c r="M4500" s="64" t="n">
        <f aca="false">IF($A4500="",0,IFERROR(MATCH($A4500,Classes!$A$6:$A$420,0),0))</f>
        <v>0</v>
      </c>
      <c r="N4500" s="64" t="n">
        <f aca="false">IF($H4500="",0,IFERROR(MATCH($H4500,GradeList,0),0))</f>
        <v>0</v>
      </c>
      <c r="O4500" s="64" t="n">
        <f aca="false">IF(OR($I4500="",$I4500="NR"),0,IFERROR(MATCH($I4500,GradeList,0),0))</f>
        <v>0</v>
      </c>
      <c r="P4500" s="64" t="n">
        <f aca="false">IF(AND($M4500&gt;0,ISNUMBER(MATCH($F4500,Lists!$A$2:$A$5,0)),ISNUMBER(MATCH($G4500,Lists!$B$2:$B$7,0)),OR($H4500="",$N4500&gt;0),OR($I4500="",$I4500="NR",$O4500&gt;0),IF(ISNUMBER($J4500),AND($J4500&gt;=0,$J4500=INT($J4500)),FALSE())),$J4500,0)</f>
        <v>0</v>
      </c>
      <c r="Q4500" s="64" t="n">
        <f aca="false">IF(AND($P4500&gt;0,$O4500&gt;0),$P4500,0)</f>
        <v>0</v>
      </c>
      <c r="R4500" s="64" t="n">
        <f aca="false">IF(AND($Q4500&gt;0,$O4500&gt;=AtRank),$Q4500,0)</f>
        <v>0</v>
      </c>
      <c r="S4500" s="64" t="n">
        <f aca="false">IF(AND($Q4500&gt;0,$O4500&gt;=AboveRank),$Q4500,0)</f>
        <v>0</v>
      </c>
      <c r="T4500" s="64" t="n">
        <f aca="false">IF($K4500="Less",$P4500,0)</f>
        <v>0</v>
      </c>
      <c r="U4500" s="64" t="n">
        <f aca="false">IF($K4500="Expected",$P4500,0)</f>
        <v>0</v>
      </c>
      <c r="V4500" s="64" t="n">
        <f aca="false">IF($K4500="Better",$P4500,0)</f>
        <v>0</v>
      </c>
      <c r="W4500" s="64" t="n">
        <f aca="false">IF($K4500="U – needs rule",$P4500,0)</f>
        <v>0</v>
      </c>
      <c r="X4500" s="64" t="n">
        <f aca="false">IF($K4500="No Start (attainment only)",$P4500,0)</f>
        <v>0</v>
      </c>
    </row>
    <row r="4501" customFormat="false" ht="15" hidden="false" customHeight="false" outlineLevel="0" collapsed="false">
      <c r="A4501" s="60"/>
      <c r="B4501" s="61" t="str">
        <f aca="false">IF($M4501=0,"",INDEX(Classes!$E$6:$E$420,$M4501))</f>
        <v/>
      </c>
      <c r="C4501" s="62" t="str">
        <f aca="false">IF($M4501=0,"",INDEX(Classes!$H$6:$H$420,$M4501))</f>
        <v/>
      </c>
      <c r="D4501" s="61" t="str">
        <f aca="false">IF($M4501=0,"",INDEX(Classes!$B$6:$B$420,$M4501))</f>
        <v/>
      </c>
      <c r="E4501" s="61" t="str">
        <f aca="false">IF($M4501=0,"",INDEX(Classes!$C$6:$C$420,$M4501))</f>
        <v/>
      </c>
      <c r="F4501" s="63"/>
      <c r="G4501" s="63"/>
      <c r="H4501" s="60"/>
      <c r="I4501" s="60"/>
      <c r="J4501" s="63"/>
      <c r="K4501" s="61" t="str">
        <f aca="false">IF($P4501=0,"",IF($F4501="Baseline","— Baseline",IF($O4501=0,"No result",IF($N4501=0,"No Start (attainment only)",IF(OR($N4501=1,$O4501=1),"U – needs rule",INDEX(MxBody,MATCH($I4501,MxCurr,0),MATCH($H4501,MxStart,0)))))))</f>
        <v/>
      </c>
      <c r="L4501" s="62" t="str">
        <f aca="false">IF(COUNTA($A4501,$F4501,$G4501,$H4501,$I4501,$J4501)=0,"",IF($M4501=0,"✖ كود الصف غير موجود",IF(ISNA(MATCH($F4501,Lists!$A$2:$A$5,0)),"✖ الفترة غير صحيحة",IF(ISNA(MATCH($G4501,Lists!$B$2:$B$7,0)),"✖ المجموعة غير صحيحة",IF(NOT(OR($H4501="",$N4501&gt;0)),"✖ Start غير صحيح",IF(NOT(OR($I4501="",$I4501="NR",$O4501&gt;0)),"✖ Current غير صحيح",IF(NOT(IF(ISNUMBER($J4501),AND($J4501&gt;=0,$J4501=INT($J4501)),FALSE())),"✖ العدد يجب أن يكون صحيحًا ≥ 0",IF(AND($F4501="Baseline",$H4501&lt;&gt;""),"⚠ Baseline: Start لا يدخل في التقدم",IF($K4501="No Start (attainment only)","ℹ تحصيل فقط (بدون Start)",IF($K4501="U – needs rule","ℹ حالة U تحتاج قاعدة معتمدة",IF($K4501="No result","ℹ بدون نتيجة (يُستبعد من التحصيل)","OK")))))))))))</f>
        <v/>
      </c>
      <c r="M4501" s="64" t="n">
        <f aca="false">IF($A4501="",0,IFERROR(MATCH($A4501,Classes!$A$6:$A$420,0),0))</f>
        <v>0</v>
      </c>
      <c r="N4501" s="64" t="n">
        <f aca="false">IF($H4501="",0,IFERROR(MATCH($H4501,GradeList,0),0))</f>
        <v>0</v>
      </c>
      <c r="O4501" s="64" t="n">
        <f aca="false">IF(OR($I4501="",$I4501="NR"),0,IFERROR(MATCH($I4501,GradeList,0),0))</f>
        <v>0</v>
      </c>
      <c r="P4501" s="64" t="n">
        <f aca="false">IF(AND($M4501&gt;0,ISNUMBER(MATCH($F4501,Lists!$A$2:$A$5,0)),ISNUMBER(MATCH($G4501,Lists!$B$2:$B$7,0)),OR($H4501="",$N4501&gt;0),OR($I4501="",$I4501="NR",$O4501&gt;0),IF(ISNUMBER($J4501),AND($J4501&gt;=0,$J4501=INT($J4501)),FALSE())),$J4501,0)</f>
        <v>0</v>
      </c>
      <c r="Q4501" s="64" t="n">
        <f aca="false">IF(AND($P4501&gt;0,$O4501&gt;0),$P4501,0)</f>
        <v>0</v>
      </c>
      <c r="R4501" s="64" t="n">
        <f aca="false">IF(AND($Q4501&gt;0,$O4501&gt;=AtRank),$Q4501,0)</f>
        <v>0</v>
      </c>
      <c r="S4501" s="64" t="n">
        <f aca="false">IF(AND($Q4501&gt;0,$O4501&gt;=AboveRank),$Q4501,0)</f>
        <v>0</v>
      </c>
      <c r="T4501" s="64" t="n">
        <f aca="false">IF($K4501="Less",$P4501,0)</f>
        <v>0</v>
      </c>
      <c r="U4501" s="64" t="n">
        <f aca="false">IF($K4501="Expected",$P4501,0)</f>
        <v>0</v>
      </c>
      <c r="V4501" s="64" t="n">
        <f aca="false">IF($K4501="Better",$P4501,0)</f>
        <v>0</v>
      </c>
      <c r="W4501" s="64" t="n">
        <f aca="false">IF($K4501="U – needs rule",$P4501,0)</f>
        <v>0</v>
      </c>
      <c r="X4501" s="64" t="n">
        <f aca="false">IF($K4501="No Start (attainment only)",$P4501,0)</f>
        <v>0</v>
      </c>
    </row>
    <row r="4502" customFormat="false" ht="15" hidden="false" customHeight="false" outlineLevel="0" collapsed="false">
      <c r="A4502" s="60"/>
      <c r="B4502" s="61" t="str">
        <f aca="false">IF($M4502=0,"",INDEX(Classes!$E$6:$E$420,$M4502))</f>
        <v/>
      </c>
      <c r="C4502" s="62" t="str">
        <f aca="false">IF($M4502=0,"",INDEX(Classes!$H$6:$H$420,$M4502))</f>
        <v/>
      </c>
      <c r="D4502" s="61" t="str">
        <f aca="false">IF($M4502=0,"",INDEX(Classes!$B$6:$B$420,$M4502))</f>
        <v/>
      </c>
      <c r="E4502" s="61" t="str">
        <f aca="false">IF($M4502=0,"",INDEX(Classes!$C$6:$C$420,$M4502))</f>
        <v/>
      </c>
      <c r="F4502" s="63"/>
      <c r="G4502" s="63"/>
      <c r="H4502" s="60"/>
      <c r="I4502" s="60"/>
      <c r="J4502" s="63"/>
      <c r="K4502" s="61" t="str">
        <f aca="false">IF($P4502=0,"",IF($F4502="Baseline","— Baseline",IF($O4502=0,"No result",IF($N4502=0,"No Start (attainment only)",IF(OR($N4502=1,$O4502=1),"U – needs rule",INDEX(MxBody,MATCH($I4502,MxCurr,0),MATCH($H4502,MxStart,0)))))))</f>
        <v/>
      </c>
      <c r="L4502" s="62" t="str">
        <f aca="false">IF(COUNTA($A4502,$F4502,$G4502,$H4502,$I4502,$J4502)=0,"",IF($M4502=0,"✖ كود الصف غير موجود",IF(ISNA(MATCH($F4502,Lists!$A$2:$A$5,0)),"✖ الفترة غير صحيحة",IF(ISNA(MATCH($G4502,Lists!$B$2:$B$7,0)),"✖ المجموعة غير صحيحة",IF(NOT(OR($H4502="",$N4502&gt;0)),"✖ Start غير صحيح",IF(NOT(OR($I4502="",$I4502="NR",$O4502&gt;0)),"✖ Current غير صحيح",IF(NOT(IF(ISNUMBER($J4502),AND($J4502&gt;=0,$J4502=INT($J4502)),FALSE())),"✖ العدد يجب أن يكون صحيحًا ≥ 0",IF(AND($F4502="Baseline",$H4502&lt;&gt;""),"⚠ Baseline: Start لا يدخل في التقدم",IF($K4502="No Start (attainment only)","ℹ تحصيل فقط (بدون Start)",IF($K4502="U – needs rule","ℹ حالة U تحتاج قاعدة معتمدة",IF($K4502="No result","ℹ بدون نتيجة (يُستبعد من التحصيل)","OK")))))))))))</f>
        <v/>
      </c>
      <c r="M4502" s="64" t="n">
        <f aca="false">IF($A4502="",0,IFERROR(MATCH($A4502,Classes!$A$6:$A$420,0),0))</f>
        <v>0</v>
      </c>
      <c r="N4502" s="64" t="n">
        <f aca="false">IF($H4502="",0,IFERROR(MATCH($H4502,GradeList,0),0))</f>
        <v>0</v>
      </c>
      <c r="O4502" s="64" t="n">
        <f aca="false">IF(OR($I4502="",$I4502="NR"),0,IFERROR(MATCH($I4502,GradeList,0),0))</f>
        <v>0</v>
      </c>
      <c r="P4502" s="64" t="n">
        <f aca="false">IF(AND($M4502&gt;0,ISNUMBER(MATCH($F4502,Lists!$A$2:$A$5,0)),ISNUMBER(MATCH($G4502,Lists!$B$2:$B$7,0)),OR($H4502="",$N4502&gt;0),OR($I4502="",$I4502="NR",$O4502&gt;0),IF(ISNUMBER($J4502),AND($J4502&gt;=0,$J4502=INT($J4502)),FALSE())),$J4502,0)</f>
        <v>0</v>
      </c>
      <c r="Q4502" s="64" t="n">
        <f aca="false">IF(AND($P4502&gt;0,$O4502&gt;0),$P4502,0)</f>
        <v>0</v>
      </c>
      <c r="R4502" s="64" t="n">
        <f aca="false">IF(AND($Q4502&gt;0,$O4502&gt;=AtRank),$Q4502,0)</f>
        <v>0</v>
      </c>
      <c r="S4502" s="64" t="n">
        <f aca="false">IF(AND($Q4502&gt;0,$O4502&gt;=AboveRank),$Q4502,0)</f>
        <v>0</v>
      </c>
      <c r="T4502" s="64" t="n">
        <f aca="false">IF($K4502="Less",$P4502,0)</f>
        <v>0</v>
      </c>
      <c r="U4502" s="64" t="n">
        <f aca="false">IF($K4502="Expected",$P4502,0)</f>
        <v>0</v>
      </c>
      <c r="V4502" s="64" t="n">
        <f aca="false">IF($K4502="Better",$P4502,0)</f>
        <v>0</v>
      </c>
      <c r="W4502" s="64" t="n">
        <f aca="false">IF($K4502="U – needs rule",$P4502,0)</f>
        <v>0</v>
      </c>
      <c r="X4502" s="64" t="n">
        <f aca="false">IF($K4502="No Start (attainment only)",$P4502,0)</f>
        <v>0</v>
      </c>
    </row>
    <row r="4503" customFormat="false" ht="15" hidden="false" customHeight="false" outlineLevel="0" collapsed="false">
      <c r="A4503" s="60"/>
      <c r="B4503" s="61" t="str">
        <f aca="false">IF($M4503=0,"",INDEX(Classes!$E$6:$E$420,$M4503))</f>
        <v/>
      </c>
      <c r="C4503" s="62" t="str">
        <f aca="false">IF($M4503=0,"",INDEX(Classes!$H$6:$H$420,$M4503))</f>
        <v/>
      </c>
      <c r="D4503" s="61" t="str">
        <f aca="false">IF($M4503=0,"",INDEX(Classes!$B$6:$B$420,$M4503))</f>
        <v/>
      </c>
      <c r="E4503" s="61" t="str">
        <f aca="false">IF($M4503=0,"",INDEX(Classes!$C$6:$C$420,$M4503))</f>
        <v/>
      </c>
      <c r="F4503" s="63"/>
      <c r="G4503" s="63"/>
      <c r="H4503" s="60"/>
      <c r="I4503" s="60"/>
      <c r="J4503" s="63"/>
      <c r="K4503" s="61" t="str">
        <f aca="false">IF($P4503=0,"",IF($F4503="Baseline","— Baseline",IF($O4503=0,"No result",IF($N4503=0,"No Start (attainment only)",IF(OR($N4503=1,$O4503=1),"U – needs rule",INDEX(MxBody,MATCH($I4503,MxCurr,0),MATCH($H4503,MxStart,0)))))))</f>
        <v/>
      </c>
      <c r="L4503" s="62" t="str">
        <f aca="false">IF(COUNTA($A4503,$F4503,$G4503,$H4503,$I4503,$J4503)=0,"",IF($M4503=0,"✖ كود الصف غير موجود",IF(ISNA(MATCH($F4503,Lists!$A$2:$A$5,0)),"✖ الفترة غير صحيحة",IF(ISNA(MATCH($G4503,Lists!$B$2:$B$7,0)),"✖ المجموعة غير صحيحة",IF(NOT(OR($H4503="",$N4503&gt;0)),"✖ Start غير صحيح",IF(NOT(OR($I4503="",$I4503="NR",$O4503&gt;0)),"✖ Current غير صحيح",IF(NOT(IF(ISNUMBER($J4503),AND($J4503&gt;=0,$J4503=INT($J4503)),FALSE())),"✖ العدد يجب أن يكون صحيحًا ≥ 0",IF(AND($F4503="Baseline",$H4503&lt;&gt;""),"⚠ Baseline: Start لا يدخل في التقدم",IF($K4503="No Start (attainment only)","ℹ تحصيل فقط (بدون Start)",IF($K4503="U – needs rule","ℹ حالة U تحتاج قاعدة معتمدة",IF($K4503="No result","ℹ بدون نتيجة (يُستبعد من التحصيل)","OK")))))))))))</f>
        <v/>
      </c>
      <c r="M4503" s="64" t="n">
        <f aca="false">IF($A4503="",0,IFERROR(MATCH($A4503,Classes!$A$6:$A$420,0),0))</f>
        <v>0</v>
      </c>
      <c r="N4503" s="64" t="n">
        <f aca="false">IF($H4503="",0,IFERROR(MATCH($H4503,GradeList,0),0))</f>
        <v>0</v>
      </c>
      <c r="O4503" s="64" t="n">
        <f aca="false">IF(OR($I4503="",$I4503="NR"),0,IFERROR(MATCH($I4503,GradeList,0),0))</f>
        <v>0</v>
      </c>
      <c r="P4503" s="64" t="n">
        <f aca="false">IF(AND($M4503&gt;0,ISNUMBER(MATCH($F4503,Lists!$A$2:$A$5,0)),ISNUMBER(MATCH($G4503,Lists!$B$2:$B$7,0)),OR($H4503="",$N4503&gt;0),OR($I4503="",$I4503="NR",$O4503&gt;0),IF(ISNUMBER($J4503),AND($J4503&gt;=0,$J4503=INT($J4503)),FALSE())),$J4503,0)</f>
        <v>0</v>
      </c>
      <c r="Q4503" s="64" t="n">
        <f aca="false">IF(AND($P4503&gt;0,$O4503&gt;0),$P4503,0)</f>
        <v>0</v>
      </c>
      <c r="R4503" s="64" t="n">
        <f aca="false">IF(AND($Q4503&gt;0,$O4503&gt;=AtRank),$Q4503,0)</f>
        <v>0</v>
      </c>
      <c r="S4503" s="64" t="n">
        <f aca="false">IF(AND($Q4503&gt;0,$O4503&gt;=AboveRank),$Q4503,0)</f>
        <v>0</v>
      </c>
      <c r="T4503" s="64" t="n">
        <f aca="false">IF($K4503="Less",$P4503,0)</f>
        <v>0</v>
      </c>
      <c r="U4503" s="64" t="n">
        <f aca="false">IF($K4503="Expected",$P4503,0)</f>
        <v>0</v>
      </c>
      <c r="V4503" s="64" t="n">
        <f aca="false">IF($K4503="Better",$P4503,0)</f>
        <v>0</v>
      </c>
      <c r="W4503" s="64" t="n">
        <f aca="false">IF($K4503="U – needs rule",$P4503,0)</f>
        <v>0</v>
      </c>
      <c r="X4503" s="64" t="n">
        <f aca="false">IF($K4503="No Start (attainment only)",$P4503,0)</f>
        <v>0</v>
      </c>
    </row>
    <row r="4504" customFormat="false" ht="15" hidden="false" customHeight="false" outlineLevel="0" collapsed="false">
      <c r="A4504" s="60"/>
      <c r="B4504" s="61" t="str">
        <f aca="false">IF($M4504=0,"",INDEX(Classes!$E$6:$E$420,$M4504))</f>
        <v/>
      </c>
      <c r="C4504" s="62" t="str">
        <f aca="false">IF($M4504=0,"",INDEX(Classes!$H$6:$H$420,$M4504))</f>
        <v/>
      </c>
      <c r="D4504" s="61" t="str">
        <f aca="false">IF($M4504=0,"",INDEX(Classes!$B$6:$B$420,$M4504))</f>
        <v/>
      </c>
      <c r="E4504" s="61" t="str">
        <f aca="false">IF($M4504=0,"",INDEX(Classes!$C$6:$C$420,$M4504))</f>
        <v/>
      </c>
      <c r="F4504" s="63"/>
      <c r="G4504" s="63"/>
      <c r="H4504" s="60"/>
      <c r="I4504" s="60"/>
      <c r="J4504" s="63"/>
      <c r="K4504" s="61" t="str">
        <f aca="false">IF($P4504=0,"",IF($F4504="Baseline","— Baseline",IF($O4504=0,"No result",IF($N4504=0,"No Start (attainment only)",IF(OR($N4504=1,$O4504=1),"U – needs rule",INDEX(MxBody,MATCH($I4504,MxCurr,0),MATCH($H4504,MxStart,0)))))))</f>
        <v/>
      </c>
      <c r="L4504" s="62" t="str">
        <f aca="false">IF(COUNTA($A4504,$F4504,$G4504,$H4504,$I4504,$J4504)=0,"",IF($M4504=0,"✖ كود الصف غير موجود",IF(ISNA(MATCH($F4504,Lists!$A$2:$A$5,0)),"✖ الفترة غير صحيحة",IF(ISNA(MATCH($G4504,Lists!$B$2:$B$7,0)),"✖ المجموعة غير صحيحة",IF(NOT(OR($H4504="",$N4504&gt;0)),"✖ Start غير صحيح",IF(NOT(OR($I4504="",$I4504="NR",$O4504&gt;0)),"✖ Current غير صحيح",IF(NOT(IF(ISNUMBER($J4504),AND($J4504&gt;=0,$J4504=INT($J4504)),FALSE())),"✖ العدد يجب أن يكون صحيحًا ≥ 0",IF(AND($F4504="Baseline",$H4504&lt;&gt;""),"⚠ Baseline: Start لا يدخل في التقدم",IF($K4504="No Start (attainment only)","ℹ تحصيل فقط (بدون Start)",IF($K4504="U – needs rule","ℹ حالة U تحتاج قاعدة معتمدة",IF($K4504="No result","ℹ بدون نتيجة (يُستبعد من التحصيل)","OK")))))))))))</f>
        <v/>
      </c>
      <c r="M4504" s="64" t="n">
        <f aca="false">IF($A4504="",0,IFERROR(MATCH($A4504,Classes!$A$6:$A$420,0),0))</f>
        <v>0</v>
      </c>
      <c r="N4504" s="64" t="n">
        <f aca="false">IF($H4504="",0,IFERROR(MATCH($H4504,GradeList,0),0))</f>
        <v>0</v>
      </c>
      <c r="O4504" s="64" t="n">
        <f aca="false">IF(OR($I4504="",$I4504="NR"),0,IFERROR(MATCH($I4504,GradeList,0),0))</f>
        <v>0</v>
      </c>
      <c r="P4504" s="64" t="n">
        <f aca="false">IF(AND($M4504&gt;0,ISNUMBER(MATCH($F4504,Lists!$A$2:$A$5,0)),ISNUMBER(MATCH($G4504,Lists!$B$2:$B$7,0)),OR($H4504="",$N4504&gt;0),OR($I4504="",$I4504="NR",$O4504&gt;0),IF(ISNUMBER($J4504),AND($J4504&gt;=0,$J4504=INT($J4504)),FALSE())),$J4504,0)</f>
        <v>0</v>
      </c>
      <c r="Q4504" s="64" t="n">
        <f aca="false">IF(AND($P4504&gt;0,$O4504&gt;0),$P4504,0)</f>
        <v>0</v>
      </c>
      <c r="R4504" s="64" t="n">
        <f aca="false">IF(AND($Q4504&gt;0,$O4504&gt;=AtRank),$Q4504,0)</f>
        <v>0</v>
      </c>
      <c r="S4504" s="64" t="n">
        <f aca="false">IF(AND($Q4504&gt;0,$O4504&gt;=AboveRank),$Q4504,0)</f>
        <v>0</v>
      </c>
      <c r="T4504" s="64" t="n">
        <f aca="false">IF($K4504="Less",$P4504,0)</f>
        <v>0</v>
      </c>
      <c r="U4504" s="64" t="n">
        <f aca="false">IF($K4504="Expected",$P4504,0)</f>
        <v>0</v>
      </c>
      <c r="V4504" s="64" t="n">
        <f aca="false">IF($K4504="Better",$P4504,0)</f>
        <v>0</v>
      </c>
      <c r="W4504" s="64" t="n">
        <f aca="false">IF($K4504="U – needs rule",$P4504,0)</f>
        <v>0</v>
      </c>
      <c r="X4504" s="64" t="n">
        <f aca="false">IF($K4504="No Start (attainment only)",$P4504,0)</f>
        <v>0</v>
      </c>
    </row>
    <row r="4505" customFormat="false" ht="15" hidden="false" customHeight="false" outlineLevel="0" collapsed="false">
      <c r="A4505" s="60"/>
      <c r="B4505" s="61" t="str">
        <f aca="false">IF($M4505=0,"",INDEX(Classes!$E$6:$E$420,$M4505))</f>
        <v/>
      </c>
      <c r="C4505" s="62" t="str">
        <f aca="false">IF($M4505=0,"",INDEX(Classes!$H$6:$H$420,$M4505))</f>
        <v/>
      </c>
      <c r="D4505" s="61" t="str">
        <f aca="false">IF($M4505=0,"",INDEX(Classes!$B$6:$B$420,$M4505))</f>
        <v/>
      </c>
      <c r="E4505" s="61" t="str">
        <f aca="false">IF($M4505=0,"",INDEX(Classes!$C$6:$C$420,$M4505))</f>
        <v/>
      </c>
      <c r="F4505" s="63"/>
      <c r="G4505" s="63"/>
      <c r="H4505" s="60"/>
      <c r="I4505" s="60"/>
      <c r="J4505" s="63"/>
      <c r="K4505" s="61" t="str">
        <f aca="false">IF($P4505=0,"",IF($F4505="Baseline","— Baseline",IF($O4505=0,"No result",IF($N4505=0,"No Start (attainment only)",IF(OR($N4505=1,$O4505=1),"U – needs rule",INDEX(MxBody,MATCH($I4505,MxCurr,0),MATCH($H4505,MxStart,0)))))))</f>
        <v/>
      </c>
      <c r="L4505" s="62" t="str">
        <f aca="false">IF(COUNTA($A4505,$F4505,$G4505,$H4505,$I4505,$J4505)=0,"",IF($M4505=0,"✖ كود الصف غير موجود",IF(ISNA(MATCH($F4505,Lists!$A$2:$A$5,0)),"✖ الفترة غير صحيحة",IF(ISNA(MATCH($G4505,Lists!$B$2:$B$7,0)),"✖ المجموعة غير صحيحة",IF(NOT(OR($H4505="",$N4505&gt;0)),"✖ Start غير صحيح",IF(NOT(OR($I4505="",$I4505="NR",$O4505&gt;0)),"✖ Current غير صحيح",IF(NOT(IF(ISNUMBER($J4505),AND($J4505&gt;=0,$J4505=INT($J4505)),FALSE())),"✖ العدد يجب أن يكون صحيحًا ≥ 0",IF(AND($F4505="Baseline",$H4505&lt;&gt;""),"⚠ Baseline: Start لا يدخل في التقدم",IF($K4505="No Start (attainment only)","ℹ تحصيل فقط (بدون Start)",IF($K4505="U – needs rule","ℹ حالة U تحتاج قاعدة معتمدة",IF($K4505="No result","ℹ بدون نتيجة (يُستبعد من التحصيل)","OK")))))))))))</f>
        <v/>
      </c>
      <c r="M4505" s="64" t="n">
        <f aca="false">IF($A4505="",0,IFERROR(MATCH($A4505,Classes!$A$6:$A$420,0),0))</f>
        <v>0</v>
      </c>
      <c r="N4505" s="64" t="n">
        <f aca="false">IF($H4505="",0,IFERROR(MATCH($H4505,GradeList,0),0))</f>
        <v>0</v>
      </c>
      <c r="O4505" s="64" t="n">
        <f aca="false">IF(OR($I4505="",$I4505="NR"),0,IFERROR(MATCH($I4505,GradeList,0),0))</f>
        <v>0</v>
      </c>
      <c r="P4505" s="64" t="n">
        <f aca="false">IF(AND($M4505&gt;0,ISNUMBER(MATCH($F4505,Lists!$A$2:$A$5,0)),ISNUMBER(MATCH($G4505,Lists!$B$2:$B$7,0)),OR($H4505="",$N4505&gt;0),OR($I4505="",$I4505="NR",$O4505&gt;0),IF(ISNUMBER($J4505),AND($J4505&gt;=0,$J4505=INT($J4505)),FALSE())),$J4505,0)</f>
        <v>0</v>
      </c>
      <c r="Q4505" s="64" t="n">
        <f aca="false">IF(AND($P4505&gt;0,$O4505&gt;0),$P4505,0)</f>
        <v>0</v>
      </c>
      <c r="R4505" s="64" t="n">
        <f aca="false">IF(AND($Q4505&gt;0,$O4505&gt;=AtRank),$Q4505,0)</f>
        <v>0</v>
      </c>
      <c r="S4505" s="64" t="n">
        <f aca="false">IF(AND($Q4505&gt;0,$O4505&gt;=AboveRank),$Q4505,0)</f>
        <v>0</v>
      </c>
      <c r="T4505" s="64" t="n">
        <f aca="false">IF($K4505="Less",$P4505,0)</f>
        <v>0</v>
      </c>
      <c r="U4505" s="64" t="n">
        <f aca="false">IF($K4505="Expected",$P4505,0)</f>
        <v>0</v>
      </c>
      <c r="V4505" s="64" t="n">
        <f aca="false">IF($K4505="Better",$P4505,0)</f>
        <v>0</v>
      </c>
      <c r="W4505" s="64" t="n">
        <f aca="false">IF($K4505="U – needs rule",$P4505,0)</f>
        <v>0</v>
      </c>
      <c r="X4505" s="64" t="n">
        <f aca="false">IF($K4505="No Start (attainment only)",$P4505,0)</f>
        <v>0</v>
      </c>
    </row>
    <row r="4506" customFormat="false" ht="15" hidden="false" customHeight="false" outlineLevel="0" collapsed="false">
      <c r="A4506" s="60"/>
      <c r="B4506" s="61" t="str">
        <f aca="false">IF($M4506=0,"",INDEX(Classes!$E$6:$E$420,$M4506))</f>
        <v/>
      </c>
      <c r="C4506" s="62" t="str">
        <f aca="false">IF($M4506=0,"",INDEX(Classes!$H$6:$H$420,$M4506))</f>
        <v/>
      </c>
      <c r="D4506" s="61" t="str">
        <f aca="false">IF($M4506=0,"",INDEX(Classes!$B$6:$B$420,$M4506))</f>
        <v/>
      </c>
      <c r="E4506" s="61" t="str">
        <f aca="false">IF($M4506=0,"",INDEX(Classes!$C$6:$C$420,$M4506))</f>
        <v/>
      </c>
      <c r="F4506" s="63"/>
      <c r="G4506" s="63"/>
      <c r="H4506" s="60"/>
      <c r="I4506" s="60"/>
      <c r="J4506" s="63"/>
      <c r="K4506" s="61" t="str">
        <f aca="false">IF($P4506=0,"",IF($F4506="Baseline","— Baseline",IF($O4506=0,"No result",IF($N4506=0,"No Start (attainment only)",IF(OR($N4506=1,$O4506=1),"U – needs rule",INDEX(MxBody,MATCH($I4506,MxCurr,0),MATCH($H4506,MxStart,0)))))))</f>
        <v/>
      </c>
      <c r="L4506" s="62" t="str">
        <f aca="false">IF(COUNTA($A4506,$F4506,$G4506,$H4506,$I4506,$J4506)=0,"",IF($M4506=0,"✖ كود الصف غير موجود",IF(ISNA(MATCH($F4506,Lists!$A$2:$A$5,0)),"✖ الفترة غير صحيحة",IF(ISNA(MATCH($G4506,Lists!$B$2:$B$7,0)),"✖ المجموعة غير صحيحة",IF(NOT(OR($H4506="",$N4506&gt;0)),"✖ Start غير صحيح",IF(NOT(OR($I4506="",$I4506="NR",$O4506&gt;0)),"✖ Current غير صحيح",IF(NOT(IF(ISNUMBER($J4506),AND($J4506&gt;=0,$J4506=INT($J4506)),FALSE())),"✖ العدد يجب أن يكون صحيحًا ≥ 0",IF(AND($F4506="Baseline",$H4506&lt;&gt;""),"⚠ Baseline: Start لا يدخل في التقدم",IF($K4506="No Start (attainment only)","ℹ تحصيل فقط (بدون Start)",IF($K4506="U – needs rule","ℹ حالة U تحتاج قاعدة معتمدة",IF($K4506="No result","ℹ بدون نتيجة (يُستبعد من التحصيل)","OK")))))))))))</f>
        <v/>
      </c>
      <c r="M4506" s="64" t="n">
        <f aca="false">IF($A4506="",0,IFERROR(MATCH($A4506,Classes!$A$6:$A$420,0),0))</f>
        <v>0</v>
      </c>
      <c r="N4506" s="64" t="n">
        <f aca="false">IF($H4506="",0,IFERROR(MATCH($H4506,GradeList,0),0))</f>
        <v>0</v>
      </c>
      <c r="O4506" s="64" t="n">
        <f aca="false">IF(OR($I4506="",$I4506="NR"),0,IFERROR(MATCH($I4506,GradeList,0),0))</f>
        <v>0</v>
      </c>
      <c r="P4506" s="64" t="n">
        <f aca="false">IF(AND($M4506&gt;0,ISNUMBER(MATCH($F4506,Lists!$A$2:$A$5,0)),ISNUMBER(MATCH($G4506,Lists!$B$2:$B$7,0)),OR($H4506="",$N4506&gt;0),OR($I4506="",$I4506="NR",$O4506&gt;0),IF(ISNUMBER($J4506),AND($J4506&gt;=0,$J4506=INT($J4506)),FALSE())),$J4506,0)</f>
        <v>0</v>
      </c>
      <c r="Q4506" s="64" t="n">
        <f aca="false">IF(AND($P4506&gt;0,$O4506&gt;0),$P4506,0)</f>
        <v>0</v>
      </c>
      <c r="R4506" s="64" t="n">
        <f aca="false">IF(AND($Q4506&gt;0,$O4506&gt;=AtRank),$Q4506,0)</f>
        <v>0</v>
      </c>
      <c r="S4506" s="64" t="n">
        <f aca="false">IF(AND($Q4506&gt;0,$O4506&gt;=AboveRank),$Q4506,0)</f>
        <v>0</v>
      </c>
      <c r="T4506" s="64" t="n">
        <f aca="false">IF($K4506="Less",$P4506,0)</f>
        <v>0</v>
      </c>
      <c r="U4506" s="64" t="n">
        <f aca="false">IF($K4506="Expected",$P4506,0)</f>
        <v>0</v>
      </c>
      <c r="V4506" s="64" t="n">
        <f aca="false">IF($K4506="Better",$P4506,0)</f>
        <v>0</v>
      </c>
      <c r="W4506" s="64" t="n">
        <f aca="false">IF($K4506="U – needs rule",$P4506,0)</f>
        <v>0</v>
      </c>
      <c r="X4506" s="64" t="n">
        <f aca="false">IF($K4506="No Start (attainment only)",$P4506,0)</f>
        <v>0</v>
      </c>
    </row>
    <row r="4507" customFormat="false" ht="15" hidden="false" customHeight="false" outlineLevel="0" collapsed="false">
      <c r="A4507" s="60"/>
      <c r="B4507" s="61" t="str">
        <f aca="false">IF($M4507=0,"",INDEX(Classes!$E$6:$E$420,$M4507))</f>
        <v/>
      </c>
      <c r="C4507" s="62" t="str">
        <f aca="false">IF($M4507=0,"",INDEX(Classes!$H$6:$H$420,$M4507))</f>
        <v/>
      </c>
      <c r="D4507" s="61" t="str">
        <f aca="false">IF($M4507=0,"",INDEX(Classes!$B$6:$B$420,$M4507))</f>
        <v/>
      </c>
      <c r="E4507" s="61" t="str">
        <f aca="false">IF($M4507=0,"",INDEX(Classes!$C$6:$C$420,$M4507))</f>
        <v/>
      </c>
      <c r="F4507" s="63"/>
      <c r="G4507" s="63"/>
      <c r="H4507" s="60"/>
      <c r="I4507" s="60"/>
      <c r="J4507" s="63"/>
      <c r="K4507" s="61" t="str">
        <f aca="false">IF($P4507=0,"",IF($F4507="Baseline","— Baseline",IF($O4507=0,"No result",IF($N4507=0,"No Start (attainment only)",IF(OR($N4507=1,$O4507=1),"U – needs rule",INDEX(MxBody,MATCH($I4507,MxCurr,0),MATCH($H4507,MxStart,0)))))))</f>
        <v/>
      </c>
      <c r="L4507" s="62" t="str">
        <f aca="false">IF(COUNTA($A4507,$F4507,$G4507,$H4507,$I4507,$J4507)=0,"",IF($M4507=0,"✖ كود الصف غير موجود",IF(ISNA(MATCH($F4507,Lists!$A$2:$A$5,0)),"✖ الفترة غير صحيحة",IF(ISNA(MATCH($G4507,Lists!$B$2:$B$7,0)),"✖ المجموعة غير صحيحة",IF(NOT(OR($H4507="",$N4507&gt;0)),"✖ Start غير صحيح",IF(NOT(OR($I4507="",$I4507="NR",$O4507&gt;0)),"✖ Current غير صحيح",IF(NOT(IF(ISNUMBER($J4507),AND($J4507&gt;=0,$J4507=INT($J4507)),FALSE())),"✖ العدد يجب أن يكون صحيحًا ≥ 0",IF(AND($F4507="Baseline",$H4507&lt;&gt;""),"⚠ Baseline: Start لا يدخل في التقدم",IF($K4507="No Start (attainment only)","ℹ تحصيل فقط (بدون Start)",IF($K4507="U – needs rule","ℹ حالة U تحتاج قاعدة معتمدة",IF($K4507="No result","ℹ بدون نتيجة (يُستبعد من التحصيل)","OK")))))))))))</f>
        <v/>
      </c>
      <c r="M4507" s="64" t="n">
        <f aca="false">IF($A4507="",0,IFERROR(MATCH($A4507,Classes!$A$6:$A$420,0),0))</f>
        <v>0</v>
      </c>
      <c r="N4507" s="64" t="n">
        <f aca="false">IF($H4507="",0,IFERROR(MATCH($H4507,GradeList,0),0))</f>
        <v>0</v>
      </c>
      <c r="O4507" s="64" t="n">
        <f aca="false">IF(OR($I4507="",$I4507="NR"),0,IFERROR(MATCH($I4507,GradeList,0),0))</f>
        <v>0</v>
      </c>
      <c r="P4507" s="64" t="n">
        <f aca="false">IF(AND($M4507&gt;0,ISNUMBER(MATCH($F4507,Lists!$A$2:$A$5,0)),ISNUMBER(MATCH($G4507,Lists!$B$2:$B$7,0)),OR($H4507="",$N4507&gt;0),OR($I4507="",$I4507="NR",$O4507&gt;0),IF(ISNUMBER($J4507),AND($J4507&gt;=0,$J4507=INT($J4507)),FALSE())),$J4507,0)</f>
        <v>0</v>
      </c>
      <c r="Q4507" s="64" t="n">
        <f aca="false">IF(AND($P4507&gt;0,$O4507&gt;0),$P4507,0)</f>
        <v>0</v>
      </c>
      <c r="R4507" s="64" t="n">
        <f aca="false">IF(AND($Q4507&gt;0,$O4507&gt;=AtRank),$Q4507,0)</f>
        <v>0</v>
      </c>
      <c r="S4507" s="64" t="n">
        <f aca="false">IF(AND($Q4507&gt;0,$O4507&gt;=AboveRank),$Q4507,0)</f>
        <v>0</v>
      </c>
      <c r="T4507" s="64" t="n">
        <f aca="false">IF($K4507="Less",$P4507,0)</f>
        <v>0</v>
      </c>
      <c r="U4507" s="64" t="n">
        <f aca="false">IF($K4507="Expected",$P4507,0)</f>
        <v>0</v>
      </c>
      <c r="V4507" s="64" t="n">
        <f aca="false">IF($K4507="Better",$P4507,0)</f>
        <v>0</v>
      </c>
      <c r="W4507" s="64" t="n">
        <f aca="false">IF($K4507="U – needs rule",$P4507,0)</f>
        <v>0</v>
      </c>
      <c r="X4507" s="64" t="n">
        <f aca="false">IF($K4507="No Start (attainment only)",$P4507,0)</f>
        <v>0</v>
      </c>
    </row>
    <row r="4508" customFormat="false" ht="15" hidden="false" customHeight="false" outlineLevel="0" collapsed="false">
      <c r="A4508" s="60"/>
      <c r="B4508" s="61" t="str">
        <f aca="false">IF($M4508=0,"",INDEX(Classes!$E$6:$E$420,$M4508))</f>
        <v/>
      </c>
      <c r="C4508" s="62" t="str">
        <f aca="false">IF($M4508=0,"",INDEX(Classes!$H$6:$H$420,$M4508))</f>
        <v/>
      </c>
      <c r="D4508" s="61" t="str">
        <f aca="false">IF($M4508=0,"",INDEX(Classes!$B$6:$B$420,$M4508))</f>
        <v/>
      </c>
      <c r="E4508" s="61" t="str">
        <f aca="false">IF($M4508=0,"",INDEX(Classes!$C$6:$C$420,$M4508))</f>
        <v/>
      </c>
      <c r="F4508" s="63"/>
      <c r="G4508" s="63"/>
      <c r="H4508" s="60"/>
      <c r="I4508" s="60"/>
      <c r="J4508" s="63"/>
      <c r="K4508" s="61" t="str">
        <f aca="false">IF($P4508=0,"",IF($F4508="Baseline","— Baseline",IF($O4508=0,"No result",IF($N4508=0,"No Start (attainment only)",IF(OR($N4508=1,$O4508=1),"U – needs rule",INDEX(MxBody,MATCH($I4508,MxCurr,0),MATCH($H4508,MxStart,0)))))))</f>
        <v/>
      </c>
      <c r="L4508" s="62" t="str">
        <f aca="false">IF(COUNTA($A4508,$F4508,$G4508,$H4508,$I4508,$J4508)=0,"",IF($M4508=0,"✖ كود الصف غير موجود",IF(ISNA(MATCH($F4508,Lists!$A$2:$A$5,0)),"✖ الفترة غير صحيحة",IF(ISNA(MATCH($G4508,Lists!$B$2:$B$7,0)),"✖ المجموعة غير صحيحة",IF(NOT(OR($H4508="",$N4508&gt;0)),"✖ Start غير صحيح",IF(NOT(OR($I4508="",$I4508="NR",$O4508&gt;0)),"✖ Current غير صحيح",IF(NOT(IF(ISNUMBER($J4508),AND($J4508&gt;=0,$J4508=INT($J4508)),FALSE())),"✖ العدد يجب أن يكون صحيحًا ≥ 0",IF(AND($F4508="Baseline",$H4508&lt;&gt;""),"⚠ Baseline: Start لا يدخل في التقدم",IF($K4508="No Start (attainment only)","ℹ تحصيل فقط (بدون Start)",IF($K4508="U – needs rule","ℹ حالة U تحتاج قاعدة معتمدة",IF($K4508="No result","ℹ بدون نتيجة (يُستبعد من التحصيل)","OK")))))))))))</f>
        <v/>
      </c>
      <c r="M4508" s="64" t="n">
        <f aca="false">IF($A4508="",0,IFERROR(MATCH($A4508,Classes!$A$6:$A$420,0),0))</f>
        <v>0</v>
      </c>
      <c r="N4508" s="64" t="n">
        <f aca="false">IF($H4508="",0,IFERROR(MATCH($H4508,GradeList,0),0))</f>
        <v>0</v>
      </c>
      <c r="O4508" s="64" t="n">
        <f aca="false">IF(OR($I4508="",$I4508="NR"),0,IFERROR(MATCH($I4508,GradeList,0),0))</f>
        <v>0</v>
      </c>
      <c r="P4508" s="64" t="n">
        <f aca="false">IF(AND($M4508&gt;0,ISNUMBER(MATCH($F4508,Lists!$A$2:$A$5,0)),ISNUMBER(MATCH($G4508,Lists!$B$2:$B$7,0)),OR($H4508="",$N4508&gt;0),OR($I4508="",$I4508="NR",$O4508&gt;0),IF(ISNUMBER($J4508),AND($J4508&gt;=0,$J4508=INT($J4508)),FALSE())),$J4508,0)</f>
        <v>0</v>
      </c>
      <c r="Q4508" s="64" t="n">
        <f aca="false">IF(AND($P4508&gt;0,$O4508&gt;0),$P4508,0)</f>
        <v>0</v>
      </c>
      <c r="R4508" s="64" t="n">
        <f aca="false">IF(AND($Q4508&gt;0,$O4508&gt;=AtRank),$Q4508,0)</f>
        <v>0</v>
      </c>
      <c r="S4508" s="64" t="n">
        <f aca="false">IF(AND($Q4508&gt;0,$O4508&gt;=AboveRank),$Q4508,0)</f>
        <v>0</v>
      </c>
      <c r="T4508" s="64" t="n">
        <f aca="false">IF($K4508="Less",$P4508,0)</f>
        <v>0</v>
      </c>
      <c r="U4508" s="64" t="n">
        <f aca="false">IF($K4508="Expected",$P4508,0)</f>
        <v>0</v>
      </c>
      <c r="V4508" s="64" t="n">
        <f aca="false">IF($K4508="Better",$P4508,0)</f>
        <v>0</v>
      </c>
      <c r="W4508" s="64" t="n">
        <f aca="false">IF($K4508="U – needs rule",$P4508,0)</f>
        <v>0</v>
      </c>
      <c r="X4508" s="64" t="n">
        <f aca="false">IF($K4508="No Start (attainment only)",$P4508,0)</f>
        <v>0</v>
      </c>
    </row>
    <row r="4509" customFormat="false" ht="15" hidden="false" customHeight="false" outlineLevel="0" collapsed="false">
      <c r="A4509" s="60"/>
      <c r="B4509" s="61" t="str">
        <f aca="false">IF($M4509=0,"",INDEX(Classes!$E$6:$E$420,$M4509))</f>
        <v/>
      </c>
      <c r="C4509" s="62" t="str">
        <f aca="false">IF($M4509=0,"",INDEX(Classes!$H$6:$H$420,$M4509))</f>
        <v/>
      </c>
      <c r="D4509" s="61" t="str">
        <f aca="false">IF($M4509=0,"",INDEX(Classes!$B$6:$B$420,$M4509))</f>
        <v/>
      </c>
      <c r="E4509" s="61" t="str">
        <f aca="false">IF($M4509=0,"",INDEX(Classes!$C$6:$C$420,$M4509))</f>
        <v/>
      </c>
      <c r="F4509" s="63"/>
      <c r="G4509" s="63"/>
      <c r="H4509" s="60"/>
      <c r="I4509" s="60"/>
      <c r="J4509" s="63"/>
      <c r="K4509" s="61" t="str">
        <f aca="false">IF($P4509=0,"",IF($F4509="Baseline","— Baseline",IF($O4509=0,"No result",IF($N4509=0,"No Start (attainment only)",IF(OR($N4509=1,$O4509=1),"U – needs rule",INDEX(MxBody,MATCH($I4509,MxCurr,0),MATCH($H4509,MxStart,0)))))))</f>
        <v/>
      </c>
      <c r="L4509" s="62" t="str">
        <f aca="false">IF(COUNTA($A4509,$F4509,$G4509,$H4509,$I4509,$J4509)=0,"",IF($M4509=0,"✖ كود الصف غير موجود",IF(ISNA(MATCH($F4509,Lists!$A$2:$A$5,0)),"✖ الفترة غير صحيحة",IF(ISNA(MATCH($G4509,Lists!$B$2:$B$7,0)),"✖ المجموعة غير صحيحة",IF(NOT(OR($H4509="",$N4509&gt;0)),"✖ Start غير صحيح",IF(NOT(OR($I4509="",$I4509="NR",$O4509&gt;0)),"✖ Current غير صحيح",IF(NOT(IF(ISNUMBER($J4509),AND($J4509&gt;=0,$J4509=INT($J4509)),FALSE())),"✖ العدد يجب أن يكون صحيحًا ≥ 0",IF(AND($F4509="Baseline",$H4509&lt;&gt;""),"⚠ Baseline: Start لا يدخل في التقدم",IF($K4509="No Start (attainment only)","ℹ تحصيل فقط (بدون Start)",IF($K4509="U – needs rule","ℹ حالة U تحتاج قاعدة معتمدة",IF($K4509="No result","ℹ بدون نتيجة (يُستبعد من التحصيل)","OK")))))))))))</f>
        <v/>
      </c>
      <c r="M4509" s="64" t="n">
        <f aca="false">IF($A4509="",0,IFERROR(MATCH($A4509,Classes!$A$6:$A$420,0),0))</f>
        <v>0</v>
      </c>
      <c r="N4509" s="64" t="n">
        <f aca="false">IF($H4509="",0,IFERROR(MATCH($H4509,GradeList,0),0))</f>
        <v>0</v>
      </c>
      <c r="O4509" s="64" t="n">
        <f aca="false">IF(OR($I4509="",$I4509="NR"),0,IFERROR(MATCH($I4509,GradeList,0),0))</f>
        <v>0</v>
      </c>
      <c r="P4509" s="64" t="n">
        <f aca="false">IF(AND($M4509&gt;0,ISNUMBER(MATCH($F4509,Lists!$A$2:$A$5,0)),ISNUMBER(MATCH($G4509,Lists!$B$2:$B$7,0)),OR($H4509="",$N4509&gt;0),OR($I4509="",$I4509="NR",$O4509&gt;0),IF(ISNUMBER($J4509),AND($J4509&gt;=0,$J4509=INT($J4509)),FALSE())),$J4509,0)</f>
        <v>0</v>
      </c>
      <c r="Q4509" s="64" t="n">
        <f aca="false">IF(AND($P4509&gt;0,$O4509&gt;0),$P4509,0)</f>
        <v>0</v>
      </c>
      <c r="R4509" s="64" t="n">
        <f aca="false">IF(AND($Q4509&gt;0,$O4509&gt;=AtRank),$Q4509,0)</f>
        <v>0</v>
      </c>
      <c r="S4509" s="64" t="n">
        <f aca="false">IF(AND($Q4509&gt;0,$O4509&gt;=AboveRank),$Q4509,0)</f>
        <v>0</v>
      </c>
      <c r="T4509" s="64" t="n">
        <f aca="false">IF($K4509="Less",$P4509,0)</f>
        <v>0</v>
      </c>
      <c r="U4509" s="64" t="n">
        <f aca="false">IF($K4509="Expected",$P4509,0)</f>
        <v>0</v>
      </c>
      <c r="V4509" s="64" t="n">
        <f aca="false">IF($K4509="Better",$P4509,0)</f>
        <v>0</v>
      </c>
      <c r="W4509" s="64" t="n">
        <f aca="false">IF($K4509="U – needs rule",$P4509,0)</f>
        <v>0</v>
      </c>
      <c r="X4509" s="64" t="n">
        <f aca="false">IF($K4509="No Start (attainment only)",$P4509,0)</f>
        <v>0</v>
      </c>
    </row>
    <row r="4510" customFormat="false" ht="15" hidden="false" customHeight="false" outlineLevel="0" collapsed="false">
      <c r="A4510" s="60"/>
      <c r="B4510" s="61" t="str">
        <f aca="false">IF($M4510=0,"",INDEX(Classes!$E$6:$E$420,$M4510))</f>
        <v/>
      </c>
      <c r="C4510" s="62" t="str">
        <f aca="false">IF($M4510=0,"",INDEX(Classes!$H$6:$H$420,$M4510))</f>
        <v/>
      </c>
      <c r="D4510" s="61" t="str">
        <f aca="false">IF($M4510=0,"",INDEX(Classes!$B$6:$B$420,$M4510))</f>
        <v/>
      </c>
      <c r="E4510" s="61" t="str">
        <f aca="false">IF($M4510=0,"",INDEX(Classes!$C$6:$C$420,$M4510))</f>
        <v/>
      </c>
      <c r="F4510" s="63"/>
      <c r="G4510" s="63"/>
      <c r="H4510" s="60"/>
      <c r="I4510" s="60"/>
      <c r="J4510" s="63"/>
      <c r="K4510" s="61" t="str">
        <f aca="false">IF($P4510=0,"",IF($F4510="Baseline","— Baseline",IF($O4510=0,"No result",IF($N4510=0,"No Start (attainment only)",IF(OR($N4510=1,$O4510=1),"U – needs rule",INDEX(MxBody,MATCH($I4510,MxCurr,0),MATCH($H4510,MxStart,0)))))))</f>
        <v/>
      </c>
      <c r="L4510" s="62" t="str">
        <f aca="false">IF(COUNTA($A4510,$F4510,$G4510,$H4510,$I4510,$J4510)=0,"",IF($M4510=0,"✖ كود الصف غير موجود",IF(ISNA(MATCH($F4510,Lists!$A$2:$A$5,0)),"✖ الفترة غير صحيحة",IF(ISNA(MATCH($G4510,Lists!$B$2:$B$7,0)),"✖ المجموعة غير صحيحة",IF(NOT(OR($H4510="",$N4510&gt;0)),"✖ Start غير صحيح",IF(NOT(OR($I4510="",$I4510="NR",$O4510&gt;0)),"✖ Current غير صحيح",IF(NOT(IF(ISNUMBER($J4510),AND($J4510&gt;=0,$J4510=INT($J4510)),FALSE())),"✖ العدد يجب أن يكون صحيحًا ≥ 0",IF(AND($F4510="Baseline",$H4510&lt;&gt;""),"⚠ Baseline: Start لا يدخل في التقدم",IF($K4510="No Start (attainment only)","ℹ تحصيل فقط (بدون Start)",IF($K4510="U – needs rule","ℹ حالة U تحتاج قاعدة معتمدة",IF($K4510="No result","ℹ بدون نتيجة (يُستبعد من التحصيل)","OK")))))))))))</f>
        <v/>
      </c>
      <c r="M4510" s="64" t="n">
        <f aca="false">IF($A4510="",0,IFERROR(MATCH($A4510,Classes!$A$6:$A$420,0),0))</f>
        <v>0</v>
      </c>
      <c r="N4510" s="64" t="n">
        <f aca="false">IF($H4510="",0,IFERROR(MATCH($H4510,GradeList,0),0))</f>
        <v>0</v>
      </c>
      <c r="O4510" s="64" t="n">
        <f aca="false">IF(OR($I4510="",$I4510="NR"),0,IFERROR(MATCH($I4510,GradeList,0),0))</f>
        <v>0</v>
      </c>
      <c r="P4510" s="64" t="n">
        <f aca="false">IF(AND($M4510&gt;0,ISNUMBER(MATCH($F4510,Lists!$A$2:$A$5,0)),ISNUMBER(MATCH($G4510,Lists!$B$2:$B$7,0)),OR($H4510="",$N4510&gt;0),OR($I4510="",$I4510="NR",$O4510&gt;0),IF(ISNUMBER($J4510),AND($J4510&gt;=0,$J4510=INT($J4510)),FALSE())),$J4510,0)</f>
        <v>0</v>
      </c>
      <c r="Q4510" s="64" t="n">
        <f aca="false">IF(AND($P4510&gt;0,$O4510&gt;0),$P4510,0)</f>
        <v>0</v>
      </c>
      <c r="R4510" s="64" t="n">
        <f aca="false">IF(AND($Q4510&gt;0,$O4510&gt;=AtRank),$Q4510,0)</f>
        <v>0</v>
      </c>
      <c r="S4510" s="64" t="n">
        <f aca="false">IF(AND($Q4510&gt;0,$O4510&gt;=AboveRank),$Q4510,0)</f>
        <v>0</v>
      </c>
      <c r="T4510" s="64" t="n">
        <f aca="false">IF($K4510="Less",$P4510,0)</f>
        <v>0</v>
      </c>
      <c r="U4510" s="64" t="n">
        <f aca="false">IF($K4510="Expected",$P4510,0)</f>
        <v>0</v>
      </c>
      <c r="V4510" s="64" t="n">
        <f aca="false">IF($K4510="Better",$P4510,0)</f>
        <v>0</v>
      </c>
      <c r="W4510" s="64" t="n">
        <f aca="false">IF($K4510="U – needs rule",$P4510,0)</f>
        <v>0</v>
      </c>
      <c r="X4510" s="64" t="n">
        <f aca="false">IF($K4510="No Start (attainment only)",$P4510,0)</f>
        <v>0</v>
      </c>
    </row>
    <row r="4511" customFormat="false" ht="15" hidden="false" customHeight="false" outlineLevel="0" collapsed="false">
      <c r="A4511" s="60"/>
      <c r="B4511" s="61" t="str">
        <f aca="false">IF($M4511=0,"",INDEX(Classes!$E$6:$E$420,$M4511))</f>
        <v/>
      </c>
      <c r="C4511" s="62" t="str">
        <f aca="false">IF($M4511=0,"",INDEX(Classes!$H$6:$H$420,$M4511))</f>
        <v/>
      </c>
      <c r="D4511" s="61" t="str">
        <f aca="false">IF($M4511=0,"",INDEX(Classes!$B$6:$B$420,$M4511))</f>
        <v/>
      </c>
      <c r="E4511" s="61" t="str">
        <f aca="false">IF($M4511=0,"",INDEX(Classes!$C$6:$C$420,$M4511))</f>
        <v/>
      </c>
      <c r="F4511" s="63"/>
      <c r="G4511" s="63"/>
      <c r="H4511" s="60"/>
      <c r="I4511" s="60"/>
      <c r="J4511" s="63"/>
      <c r="K4511" s="61" t="str">
        <f aca="false">IF($P4511=0,"",IF($F4511="Baseline","— Baseline",IF($O4511=0,"No result",IF($N4511=0,"No Start (attainment only)",IF(OR($N4511=1,$O4511=1),"U – needs rule",INDEX(MxBody,MATCH($I4511,MxCurr,0),MATCH($H4511,MxStart,0)))))))</f>
        <v/>
      </c>
      <c r="L4511" s="62" t="str">
        <f aca="false">IF(COUNTA($A4511,$F4511,$G4511,$H4511,$I4511,$J4511)=0,"",IF($M4511=0,"✖ كود الصف غير موجود",IF(ISNA(MATCH($F4511,Lists!$A$2:$A$5,0)),"✖ الفترة غير صحيحة",IF(ISNA(MATCH($G4511,Lists!$B$2:$B$7,0)),"✖ المجموعة غير صحيحة",IF(NOT(OR($H4511="",$N4511&gt;0)),"✖ Start غير صحيح",IF(NOT(OR($I4511="",$I4511="NR",$O4511&gt;0)),"✖ Current غير صحيح",IF(NOT(IF(ISNUMBER($J4511),AND($J4511&gt;=0,$J4511=INT($J4511)),FALSE())),"✖ العدد يجب أن يكون صحيحًا ≥ 0",IF(AND($F4511="Baseline",$H4511&lt;&gt;""),"⚠ Baseline: Start لا يدخل في التقدم",IF($K4511="No Start (attainment only)","ℹ تحصيل فقط (بدون Start)",IF($K4511="U – needs rule","ℹ حالة U تحتاج قاعدة معتمدة",IF($K4511="No result","ℹ بدون نتيجة (يُستبعد من التحصيل)","OK")))))))))))</f>
        <v/>
      </c>
      <c r="M4511" s="64" t="n">
        <f aca="false">IF($A4511="",0,IFERROR(MATCH($A4511,Classes!$A$6:$A$420,0),0))</f>
        <v>0</v>
      </c>
      <c r="N4511" s="64" t="n">
        <f aca="false">IF($H4511="",0,IFERROR(MATCH($H4511,GradeList,0),0))</f>
        <v>0</v>
      </c>
      <c r="O4511" s="64" t="n">
        <f aca="false">IF(OR($I4511="",$I4511="NR"),0,IFERROR(MATCH($I4511,GradeList,0),0))</f>
        <v>0</v>
      </c>
      <c r="P4511" s="64" t="n">
        <f aca="false">IF(AND($M4511&gt;0,ISNUMBER(MATCH($F4511,Lists!$A$2:$A$5,0)),ISNUMBER(MATCH($G4511,Lists!$B$2:$B$7,0)),OR($H4511="",$N4511&gt;0),OR($I4511="",$I4511="NR",$O4511&gt;0),IF(ISNUMBER($J4511),AND($J4511&gt;=0,$J4511=INT($J4511)),FALSE())),$J4511,0)</f>
        <v>0</v>
      </c>
      <c r="Q4511" s="64" t="n">
        <f aca="false">IF(AND($P4511&gt;0,$O4511&gt;0),$P4511,0)</f>
        <v>0</v>
      </c>
      <c r="R4511" s="64" t="n">
        <f aca="false">IF(AND($Q4511&gt;0,$O4511&gt;=AtRank),$Q4511,0)</f>
        <v>0</v>
      </c>
      <c r="S4511" s="64" t="n">
        <f aca="false">IF(AND($Q4511&gt;0,$O4511&gt;=AboveRank),$Q4511,0)</f>
        <v>0</v>
      </c>
      <c r="T4511" s="64" t="n">
        <f aca="false">IF($K4511="Less",$P4511,0)</f>
        <v>0</v>
      </c>
      <c r="U4511" s="64" t="n">
        <f aca="false">IF($K4511="Expected",$P4511,0)</f>
        <v>0</v>
      </c>
      <c r="V4511" s="64" t="n">
        <f aca="false">IF($K4511="Better",$P4511,0)</f>
        <v>0</v>
      </c>
      <c r="W4511" s="64" t="n">
        <f aca="false">IF($K4511="U – needs rule",$P4511,0)</f>
        <v>0</v>
      </c>
      <c r="X4511" s="64" t="n">
        <f aca="false">IF($K4511="No Start (attainment only)",$P4511,0)</f>
        <v>0</v>
      </c>
    </row>
    <row r="4512" customFormat="false" ht="15" hidden="false" customHeight="false" outlineLevel="0" collapsed="false">
      <c r="A4512" s="60"/>
      <c r="B4512" s="61" t="str">
        <f aca="false">IF($M4512=0,"",INDEX(Classes!$E$6:$E$420,$M4512))</f>
        <v/>
      </c>
      <c r="C4512" s="62" t="str">
        <f aca="false">IF($M4512=0,"",INDEX(Classes!$H$6:$H$420,$M4512))</f>
        <v/>
      </c>
      <c r="D4512" s="61" t="str">
        <f aca="false">IF($M4512=0,"",INDEX(Classes!$B$6:$B$420,$M4512))</f>
        <v/>
      </c>
      <c r="E4512" s="61" t="str">
        <f aca="false">IF($M4512=0,"",INDEX(Classes!$C$6:$C$420,$M4512))</f>
        <v/>
      </c>
      <c r="F4512" s="63"/>
      <c r="G4512" s="63"/>
      <c r="H4512" s="60"/>
      <c r="I4512" s="60"/>
      <c r="J4512" s="63"/>
      <c r="K4512" s="61" t="str">
        <f aca="false">IF($P4512=0,"",IF($F4512="Baseline","— Baseline",IF($O4512=0,"No result",IF($N4512=0,"No Start (attainment only)",IF(OR($N4512=1,$O4512=1),"U – needs rule",INDEX(MxBody,MATCH($I4512,MxCurr,0),MATCH($H4512,MxStart,0)))))))</f>
        <v/>
      </c>
      <c r="L4512" s="62" t="str">
        <f aca="false">IF(COUNTA($A4512,$F4512,$G4512,$H4512,$I4512,$J4512)=0,"",IF($M4512=0,"✖ كود الصف غير موجود",IF(ISNA(MATCH($F4512,Lists!$A$2:$A$5,0)),"✖ الفترة غير صحيحة",IF(ISNA(MATCH($G4512,Lists!$B$2:$B$7,0)),"✖ المجموعة غير صحيحة",IF(NOT(OR($H4512="",$N4512&gt;0)),"✖ Start غير صحيح",IF(NOT(OR($I4512="",$I4512="NR",$O4512&gt;0)),"✖ Current غير صحيح",IF(NOT(IF(ISNUMBER($J4512),AND($J4512&gt;=0,$J4512=INT($J4512)),FALSE())),"✖ العدد يجب أن يكون صحيحًا ≥ 0",IF(AND($F4512="Baseline",$H4512&lt;&gt;""),"⚠ Baseline: Start لا يدخل في التقدم",IF($K4512="No Start (attainment only)","ℹ تحصيل فقط (بدون Start)",IF($K4512="U – needs rule","ℹ حالة U تحتاج قاعدة معتمدة",IF($K4512="No result","ℹ بدون نتيجة (يُستبعد من التحصيل)","OK")))))))))))</f>
        <v/>
      </c>
      <c r="M4512" s="64" t="n">
        <f aca="false">IF($A4512="",0,IFERROR(MATCH($A4512,Classes!$A$6:$A$420,0),0))</f>
        <v>0</v>
      </c>
      <c r="N4512" s="64" t="n">
        <f aca="false">IF($H4512="",0,IFERROR(MATCH($H4512,GradeList,0),0))</f>
        <v>0</v>
      </c>
      <c r="O4512" s="64" t="n">
        <f aca="false">IF(OR($I4512="",$I4512="NR"),0,IFERROR(MATCH($I4512,GradeList,0),0))</f>
        <v>0</v>
      </c>
      <c r="P4512" s="64" t="n">
        <f aca="false">IF(AND($M4512&gt;0,ISNUMBER(MATCH($F4512,Lists!$A$2:$A$5,0)),ISNUMBER(MATCH($G4512,Lists!$B$2:$B$7,0)),OR($H4512="",$N4512&gt;0),OR($I4512="",$I4512="NR",$O4512&gt;0),IF(ISNUMBER($J4512),AND($J4512&gt;=0,$J4512=INT($J4512)),FALSE())),$J4512,0)</f>
        <v>0</v>
      </c>
      <c r="Q4512" s="64" t="n">
        <f aca="false">IF(AND($P4512&gt;0,$O4512&gt;0),$P4512,0)</f>
        <v>0</v>
      </c>
      <c r="R4512" s="64" t="n">
        <f aca="false">IF(AND($Q4512&gt;0,$O4512&gt;=AtRank),$Q4512,0)</f>
        <v>0</v>
      </c>
      <c r="S4512" s="64" t="n">
        <f aca="false">IF(AND($Q4512&gt;0,$O4512&gt;=AboveRank),$Q4512,0)</f>
        <v>0</v>
      </c>
      <c r="T4512" s="64" t="n">
        <f aca="false">IF($K4512="Less",$P4512,0)</f>
        <v>0</v>
      </c>
      <c r="U4512" s="64" t="n">
        <f aca="false">IF($K4512="Expected",$P4512,0)</f>
        <v>0</v>
      </c>
      <c r="V4512" s="64" t="n">
        <f aca="false">IF($K4512="Better",$P4512,0)</f>
        <v>0</v>
      </c>
      <c r="W4512" s="64" t="n">
        <f aca="false">IF($K4512="U – needs rule",$P4512,0)</f>
        <v>0</v>
      </c>
      <c r="X4512" s="64" t="n">
        <f aca="false">IF($K4512="No Start (attainment only)",$P4512,0)</f>
        <v>0</v>
      </c>
    </row>
    <row r="4513" customFormat="false" ht="15" hidden="false" customHeight="false" outlineLevel="0" collapsed="false">
      <c r="A4513" s="60"/>
      <c r="B4513" s="61" t="str">
        <f aca="false">IF($M4513=0,"",INDEX(Classes!$E$6:$E$420,$M4513))</f>
        <v/>
      </c>
      <c r="C4513" s="62" t="str">
        <f aca="false">IF($M4513=0,"",INDEX(Classes!$H$6:$H$420,$M4513))</f>
        <v/>
      </c>
      <c r="D4513" s="61" t="str">
        <f aca="false">IF($M4513=0,"",INDEX(Classes!$B$6:$B$420,$M4513))</f>
        <v/>
      </c>
      <c r="E4513" s="61" t="str">
        <f aca="false">IF($M4513=0,"",INDEX(Classes!$C$6:$C$420,$M4513))</f>
        <v/>
      </c>
      <c r="F4513" s="63"/>
      <c r="G4513" s="63"/>
      <c r="H4513" s="60"/>
      <c r="I4513" s="60"/>
      <c r="J4513" s="63"/>
      <c r="K4513" s="61" t="str">
        <f aca="false">IF($P4513=0,"",IF($F4513="Baseline","— Baseline",IF($O4513=0,"No result",IF($N4513=0,"No Start (attainment only)",IF(OR($N4513=1,$O4513=1),"U – needs rule",INDEX(MxBody,MATCH($I4513,MxCurr,0),MATCH($H4513,MxStart,0)))))))</f>
        <v/>
      </c>
      <c r="L4513" s="62" t="str">
        <f aca="false">IF(COUNTA($A4513,$F4513,$G4513,$H4513,$I4513,$J4513)=0,"",IF($M4513=0,"✖ كود الصف غير موجود",IF(ISNA(MATCH($F4513,Lists!$A$2:$A$5,0)),"✖ الفترة غير صحيحة",IF(ISNA(MATCH($G4513,Lists!$B$2:$B$7,0)),"✖ المجموعة غير صحيحة",IF(NOT(OR($H4513="",$N4513&gt;0)),"✖ Start غير صحيح",IF(NOT(OR($I4513="",$I4513="NR",$O4513&gt;0)),"✖ Current غير صحيح",IF(NOT(IF(ISNUMBER($J4513),AND($J4513&gt;=0,$J4513=INT($J4513)),FALSE())),"✖ العدد يجب أن يكون صحيحًا ≥ 0",IF(AND($F4513="Baseline",$H4513&lt;&gt;""),"⚠ Baseline: Start لا يدخل في التقدم",IF($K4513="No Start (attainment only)","ℹ تحصيل فقط (بدون Start)",IF($K4513="U – needs rule","ℹ حالة U تحتاج قاعدة معتمدة",IF($K4513="No result","ℹ بدون نتيجة (يُستبعد من التحصيل)","OK")))))))))))</f>
        <v/>
      </c>
      <c r="M4513" s="64" t="n">
        <f aca="false">IF($A4513="",0,IFERROR(MATCH($A4513,Classes!$A$6:$A$420,0),0))</f>
        <v>0</v>
      </c>
      <c r="N4513" s="64" t="n">
        <f aca="false">IF($H4513="",0,IFERROR(MATCH($H4513,GradeList,0),0))</f>
        <v>0</v>
      </c>
      <c r="O4513" s="64" t="n">
        <f aca="false">IF(OR($I4513="",$I4513="NR"),0,IFERROR(MATCH($I4513,GradeList,0),0))</f>
        <v>0</v>
      </c>
      <c r="P4513" s="64" t="n">
        <f aca="false">IF(AND($M4513&gt;0,ISNUMBER(MATCH($F4513,Lists!$A$2:$A$5,0)),ISNUMBER(MATCH($G4513,Lists!$B$2:$B$7,0)),OR($H4513="",$N4513&gt;0),OR($I4513="",$I4513="NR",$O4513&gt;0),IF(ISNUMBER($J4513),AND($J4513&gt;=0,$J4513=INT($J4513)),FALSE())),$J4513,0)</f>
        <v>0</v>
      </c>
      <c r="Q4513" s="64" t="n">
        <f aca="false">IF(AND($P4513&gt;0,$O4513&gt;0),$P4513,0)</f>
        <v>0</v>
      </c>
      <c r="R4513" s="64" t="n">
        <f aca="false">IF(AND($Q4513&gt;0,$O4513&gt;=AtRank),$Q4513,0)</f>
        <v>0</v>
      </c>
      <c r="S4513" s="64" t="n">
        <f aca="false">IF(AND($Q4513&gt;0,$O4513&gt;=AboveRank),$Q4513,0)</f>
        <v>0</v>
      </c>
      <c r="T4513" s="64" t="n">
        <f aca="false">IF($K4513="Less",$P4513,0)</f>
        <v>0</v>
      </c>
      <c r="U4513" s="64" t="n">
        <f aca="false">IF($K4513="Expected",$P4513,0)</f>
        <v>0</v>
      </c>
      <c r="V4513" s="64" t="n">
        <f aca="false">IF($K4513="Better",$P4513,0)</f>
        <v>0</v>
      </c>
      <c r="W4513" s="64" t="n">
        <f aca="false">IF($K4513="U – needs rule",$P4513,0)</f>
        <v>0</v>
      </c>
      <c r="X4513" s="64" t="n">
        <f aca="false">IF($K4513="No Start (attainment only)",$P4513,0)</f>
        <v>0</v>
      </c>
    </row>
    <row r="4514" customFormat="false" ht="15" hidden="false" customHeight="false" outlineLevel="0" collapsed="false">
      <c r="A4514" s="60"/>
      <c r="B4514" s="61" t="str">
        <f aca="false">IF($M4514=0,"",INDEX(Classes!$E$6:$E$420,$M4514))</f>
        <v/>
      </c>
      <c r="C4514" s="62" t="str">
        <f aca="false">IF($M4514=0,"",INDEX(Classes!$H$6:$H$420,$M4514))</f>
        <v/>
      </c>
      <c r="D4514" s="61" t="str">
        <f aca="false">IF($M4514=0,"",INDEX(Classes!$B$6:$B$420,$M4514))</f>
        <v/>
      </c>
      <c r="E4514" s="61" t="str">
        <f aca="false">IF($M4514=0,"",INDEX(Classes!$C$6:$C$420,$M4514))</f>
        <v/>
      </c>
      <c r="F4514" s="63"/>
      <c r="G4514" s="63"/>
      <c r="H4514" s="60"/>
      <c r="I4514" s="60"/>
      <c r="J4514" s="63"/>
      <c r="K4514" s="61" t="str">
        <f aca="false">IF($P4514=0,"",IF($F4514="Baseline","— Baseline",IF($O4514=0,"No result",IF($N4514=0,"No Start (attainment only)",IF(OR($N4514=1,$O4514=1),"U – needs rule",INDEX(MxBody,MATCH($I4514,MxCurr,0),MATCH($H4514,MxStart,0)))))))</f>
        <v/>
      </c>
      <c r="L4514" s="62" t="str">
        <f aca="false">IF(COUNTA($A4514,$F4514,$G4514,$H4514,$I4514,$J4514)=0,"",IF($M4514=0,"✖ كود الصف غير موجود",IF(ISNA(MATCH($F4514,Lists!$A$2:$A$5,0)),"✖ الفترة غير صحيحة",IF(ISNA(MATCH($G4514,Lists!$B$2:$B$7,0)),"✖ المجموعة غير صحيحة",IF(NOT(OR($H4514="",$N4514&gt;0)),"✖ Start غير صحيح",IF(NOT(OR($I4514="",$I4514="NR",$O4514&gt;0)),"✖ Current غير صحيح",IF(NOT(IF(ISNUMBER($J4514),AND($J4514&gt;=0,$J4514=INT($J4514)),FALSE())),"✖ العدد يجب أن يكون صحيحًا ≥ 0",IF(AND($F4514="Baseline",$H4514&lt;&gt;""),"⚠ Baseline: Start لا يدخل في التقدم",IF($K4514="No Start (attainment only)","ℹ تحصيل فقط (بدون Start)",IF($K4514="U – needs rule","ℹ حالة U تحتاج قاعدة معتمدة",IF($K4514="No result","ℹ بدون نتيجة (يُستبعد من التحصيل)","OK")))))))))))</f>
        <v/>
      </c>
      <c r="M4514" s="64" t="n">
        <f aca="false">IF($A4514="",0,IFERROR(MATCH($A4514,Classes!$A$6:$A$420,0),0))</f>
        <v>0</v>
      </c>
      <c r="N4514" s="64" t="n">
        <f aca="false">IF($H4514="",0,IFERROR(MATCH($H4514,GradeList,0),0))</f>
        <v>0</v>
      </c>
      <c r="O4514" s="64" t="n">
        <f aca="false">IF(OR($I4514="",$I4514="NR"),0,IFERROR(MATCH($I4514,GradeList,0),0))</f>
        <v>0</v>
      </c>
      <c r="P4514" s="64" t="n">
        <f aca="false">IF(AND($M4514&gt;0,ISNUMBER(MATCH($F4514,Lists!$A$2:$A$5,0)),ISNUMBER(MATCH($G4514,Lists!$B$2:$B$7,0)),OR($H4514="",$N4514&gt;0),OR($I4514="",$I4514="NR",$O4514&gt;0),IF(ISNUMBER($J4514),AND($J4514&gt;=0,$J4514=INT($J4514)),FALSE())),$J4514,0)</f>
        <v>0</v>
      </c>
      <c r="Q4514" s="64" t="n">
        <f aca="false">IF(AND($P4514&gt;0,$O4514&gt;0),$P4514,0)</f>
        <v>0</v>
      </c>
      <c r="R4514" s="64" t="n">
        <f aca="false">IF(AND($Q4514&gt;0,$O4514&gt;=AtRank),$Q4514,0)</f>
        <v>0</v>
      </c>
      <c r="S4514" s="64" t="n">
        <f aca="false">IF(AND($Q4514&gt;0,$O4514&gt;=AboveRank),$Q4514,0)</f>
        <v>0</v>
      </c>
      <c r="T4514" s="64" t="n">
        <f aca="false">IF($K4514="Less",$P4514,0)</f>
        <v>0</v>
      </c>
      <c r="U4514" s="64" t="n">
        <f aca="false">IF($K4514="Expected",$P4514,0)</f>
        <v>0</v>
      </c>
      <c r="V4514" s="64" t="n">
        <f aca="false">IF($K4514="Better",$P4514,0)</f>
        <v>0</v>
      </c>
      <c r="W4514" s="64" t="n">
        <f aca="false">IF($K4514="U – needs rule",$P4514,0)</f>
        <v>0</v>
      </c>
      <c r="X4514" s="64" t="n">
        <f aca="false">IF($K4514="No Start (attainment only)",$P4514,0)</f>
        <v>0</v>
      </c>
    </row>
    <row r="4515" customFormat="false" ht="15" hidden="false" customHeight="false" outlineLevel="0" collapsed="false">
      <c r="A4515" s="60"/>
      <c r="B4515" s="61" t="str">
        <f aca="false">IF($M4515=0,"",INDEX(Classes!$E$6:$E$420,$M4515))</f>
        <v/>
      </c>
      <c r="C4515" s="62" t="str">
        <f aca="false">IF($M4515=0,"",INDEX(Classes!$H$6:$H$420,$M4515))</f>
        <v/>
      </c>
      <c r="D4515" s="61" t="str">
        <f aca="false">IF($M4515=0,"",INDEX(Classes!$B$6:$B$420,$M4515))</f>
        <v/>
      </c>
      <c r="E4515" s="61" t="str">
        <f aca="false">IF($M4515=0,"",INDEX(Classes!$C$6:$C$420,$M4515))</f>
        <v/>
      </c>
      <c r="F4515" s="63"/>
      <c r="G4515" s="63"/>
      <c r="H4515" s="60"/>
      <c r="I4515" s="60"/>
      <c r="J4515" s="63"/>
      <c r="K4515" s="61" t="str">
        <f aca="false">IF($P4515=0,"",IF($F4515="Baseline","— Baseline",IF($O4515=0,"No result",IF($N4515=0,"No Start (attainment only)",IF(OR($N4515=1,$O4515=1),"U – needs rule",INDEX(MxBody,MATCH($I4515,MxCurr,0),MATCH($H4515,MxStart,0)))))))</f>
        <v/>
      </c>
      <c r="L4515" s="62" t="str">
        <f aca="false">IF(COUNTA($A4515,$F4515,$G4515,$H4515,$I4515,$J4515)=0,"",IF($M4515=0,"✖ كود الصف غير موجود",IF(ISNA(MATCH($F4515,Lists!$A$2:$A$5,0)),"✖ الفترة غير صحيحة",IF(ISNA(MATCH($G4515,Lists!$B$2:$B$7,0)),"✖ المجموعة غير صحيحة",IF(NOT(OR($H4515="",$N4515&gt;0)),"✖ Start غير صحيح",IF(NOT(OR($I4515="",$I4515="NR",$O4515&gt;0)),"✖ Current غير صحيح",IF(NOT(IF(ISNUMBER($J4515),AND($J4515&gt;=0,$J4515=INT($J4515)),FALSE())),"✖ العدد يجب أن يكون صحيحًا ≥ 0",IF(AND($F4515="Baseline",$H4515&lt;&gt;""),"⚠ Baseline: Start لا يدخل في التقدم",IF($K4515="No Start (attainment only)","ℹ تحصيل فقط (بدون Start)",IF($K4515="U – needs rule","ℹ حالة U تحتاج قاعدة معتمدة",IF($K4515="No result","ℹ بدون نتيجة (يُستبعد من التحصيل)","OK")))))))))))</f>
        <v/>
      </c>
      <c r="M4515" s="64" t="n">
        <f aca="false">IF($A4515="",0,IFERROR(MATCH($A4515,Classes!$A$6:$A$420,0),0))</f>
        <v>0</v>
      </c>
      <c r="N4515" s="64" t="n">
        <f aca="false">IF($H4515="",0,IFERROR(MATCH($H4515,GradeList,0),0))</f>
        <v>0</v>
      </c>
      <c r="O4515" s="64" t="n">
        <f aca="false">IF(OR($I4515="",$I4515="NR"),0,IFERROR(MATCH($I4515,GradeList,0),0))</f>
        <v>0</v>
      </c>
      <c r="P4515" s="64" t="n">
        <f aca="false">IF(AND($M4515&gt;0,ISNUMBER(MATCH($F4515,Lists!$A$2:$A$5,0)),ISNUMBER(MATCH($G4515,Lists!$B$2:$B$7,0)),OR($H4515="",$N4515&gt;0),OR($I4515="",$I4515="NR",$O4515&gt;0),IF(ISNUMBER($J4515),AND($J4515&gt;=0,$J4515=INT($J4515)),FALSE())),$J4515,0)</f>
        <v>0</v>
      </c>
      <c r="Q4515" s="64" t="n">
        <f aca="false">IF(AND($P4515&gt;0,$O4515&gt;0),$P4515,0)</f>
        <v>0</v>
      </c>
      <c r="R4515" s="64" t="n">
        <f aca="false">IF(AND($Q4515&gt;0,$O4515&gt;=AtRank),$Q4515,0)</f>
        <v>0</v>
      </c>
      <c r="S4515" s="64" t="n">
        <f aca="false">IF(AND($Q4515&gt;0,$O4515&gt;=AboveRank),$Q4515,0)</f>
        <v>0</v>
      </c>
      <c r="T4515" s="64" t="n">
        <f aca="false">IF($K4515="Less",$P4515,0)</f>
        <v>0</v>
      </c>
      <c r="U4515" s="64" t="n">
        <f aca="false">IF($K4515="Expected",$P4515,0)</f>
        <v>0</v>
      </c>
      <c r="V4515" s="64" t="n">
        <f aca="false">IF($K4515="Better",$P4515,0)</f>
        <v>0</v>
      </c>
      <c r="W4515" s="64" t="n">
        <f aca="false">IF($K4515="U – needs rule",$P4515,0)</f>
        <v>0</v>
      </c>
      <c r="X4515" s="64" t="n">
        <f aca="false">IF($K4515="No Start (attainment only)",$P4515,0)</f>
        <v>0</v>
      </c>
    </row>
    <row r="4516" customFormat="false" ht="15" hidden="false" customHeight="false" outlineLevel="0" collapsed="false">
      <c r="A4516" s="60"/>
      <c r="B4516" s="61" t="str">
        <f aca="false">IF($M4516=0,"",INDEX(Classes!$E$6:$E$420,$M4516))</f>
        <v/>
      </c>
      <c r="C4516" s="62" t="str">
        <f aca="false">IF($M4516=0,"",INDEX(Classes!$H$6:$H$420,$M4516))</f>
        <v/>
      </c>
      <c r="D4516" s="61" t="str">
        <f aca="false">IF($M4516=0,"",INDEX(Classes!$B$6:$B$420,$M4516))</f>
        <v/>
      </c>
      <c r="E4516" s="61" t="str">
        <f aca="false">IF($M4516=0,"",INDEX(Classes!$C$6:$C$420,$M4516))</f>
        <v/>
      </c>
      <c r="F4516" s="63"/>
      <c r="G4516" s="63"/>
      <c r="H4516" s="60"/>
      <c r="I4516" s="60"/>
      <c r="J4516" s="63"/>
      <c r="K4516" s="61" t="str">
        <f aca="false">IF($P4516=0,"",IF($F4516="Baseline","— Baseline",IF($O4516=0,"No result",IF($N4516=0,"No Start (attainment only)",IF(OR($N4516=1,$O4516=1),"U – needs rule",INDEX(MxBody,MATCH($I4516,MxCurr,0),MATCH($H4516,MxStart,0)))))))</f>
        <v/>
      </c>
      <c r="L4516" s="62" t="str">
        <f aca="false">IF(COUNTA($A4516,$F4516,$G4516,$H4516,$I4516,$J4516)=0,"",IF($M4516=0,"✖ كود الصف غير موجود",IF(ISNA(MATCH($F4516,Lists!$A$2:$A$5,0)),"✖ الفترة غير صحيحة",IF(ISNA(MATCH($G4516,Lists!$B$2:$B$7,0)),"✖ المجموعة غير صحيحة",IF(NOT(OR($H4516="",$N4516&gt;0)),"✖ Start غير صحيح",IF(NOT(OR($I4516="",$I4516="NR",$O4516&gt;0)),"✖ Current غير صحيح",IF(NOT(IF(ISNUMBER($J4516),AND($J4516&gt;=0,$J4516=INT($J4516)),FALSE())),"✖ العدد يجب أن يكون صحيحًا ≥ 0",IF(AND($F4516="Baseline",$H4516&lt;&gt;""),"⚠ Baseline: Start لا يدخل في التقدم",IF($K4516="No Start (attainment only)","ℹ تحصيل فقط (بدون Start)",IF($K4516="U – needs rule","ℹ حالة U تحتاج قاعدة معتمدة",IF($K4516="No result","ℹ بدون نتيجة (يُستبعد من التحصيل)","OK")))))))))))</f>
        <v/>
      </c>
      <c r="M4516" s="64" t="n">
        <f aca="false">IF($A4516="",0,IFERROR(MATCH($A4516,Classes!$A$6:$A$420,0),0))</f>
        <v>0</v>
      </c>
      <c r="N4516" s="64" t="n">
        <f aca="false">IF($H4516="",0,IFERROR(MATCH($H4516,GradeList,0),0))</f>
        <v>0</v>
      </c>
      <c r="O4516" s="64" t="n">
        <f aca="false">IF(OR($I4516="",$I4516="NR"),0,IFERROR(MATCH($I4516,GradeList,0),0))</f>
        <v>0</v>
      </c>
      <c r="P4516" s="64" t="n">
        <f aca="false">IF(AND($M4516&gt;0,ISNUMBER(MATCH($F4516,Lists!$A$2:$A$5,0)),ISNUMBER(MATCH($G4516,Lists!$B$2:$B$7,0)),OR($H4516="",$N4516&gt;0),OR($I4516="",$I4516="NR",$O4516&gt;0),IF(ISNUMBER($J4516),AND($J4516&gt;=0,$J4516=INT($J4516)),FALSE())),$J4516,0)</f>
        <v>0</v>
      </c>
      <c r="Q4516" s="64" t="n">
        <f aca="false">IF(AND($P4516&gt;0,$O4516&gt;0),$P4516,0)</f>
        <v>0</v>
      </c>
      <c r="R4516" s="64" t="n">
        <f aca="false">IF(AND($Q4516&gt;0,$O4516&gt;=AtRank),$Q4516,0)</f>
        <v>0</v>
      </c>
      <c r="S4516" s="64" t="n">
        <f aca="false">IF(AND($Q4516&gt;0,$O4516&gt;=AboveRank),$Q4516,0)</f>
        <v>0</v>
      </c>
      <c r="T4516" s="64" t="n">
        <f aca="false">IF($K4516="Less",$P4516,0)</f>
        <v>0</v>
      </c>
      <c r="U4516" s="64" t="n">
        <f aca="false">IF($K4516="Expected",$P4516,0)</f>
        <v>0</v>
      </c>
      <c r="V4516" s="64" t="n">
        <f aca="false">IF($K4516="Better",$P4516,0)</f>
        <v>0</v>
      </c>
      <c r="W4516" s="64" t="n">
        <f aca="false">IF($K4516="U – needs rule",$P4516,0)</f>
        <v>0</v>
      </c>
      <c r="X4516" s="64" t="n">
        <f aca="false">IF($K4516="No Start (attainment only)",$P4516,0)</f>
        <v>0</v>
      </c>
    </row>
    <row r="4517" customFormat="false" ht="15" hidden="false" customHeight="false" outlineLevel="0" collapsed="false">
      <c r="A4517" s="60"/>
      <c r="B4517" s="61" t="str">
        <f aca="false">IF($M4517=0,"",INDEX(Classes!$E$6:$E$420,$M4517))</f>
        <v/>
      </c>
      <c r="C4517" s="62" t="str">
        <f aca="false">IF($M4517=0,"",INDEX(Classes!$H$6:$H$420,$M4517))</f>
        <v/>
      </c>
      <c r="D4517" s="61" t="str">
        <f aca="false">IF($M4517=0,"",INDEX(Classes!$B$6:$B$420,$M4517))</f>
        <v/>
      </c>
      <c r="E4517" s="61" t="str">
        <f aca="false">IF($M4517=0,"",INDEX(Classes!$C$6:$C$420,$M4517))</f>
        <v/>
      </c>
      <c r="F4517" s="63"/>
      <c r="G4517" s="63"/>
      <c r="H4517" s="60"/>
      <c r="I4517" s="60"/>
      <c r="J4517" s="63"/>
      <c r="K4517" s="61" t="str">
        <f aca="false">IF($P4517=0,"",IF($F4517="Baseline","— Baseline",IF($O4517=0,"No result",IF($N4517=0,"No Start (attainment only)",IF(OR($N4517=1,$O4517=1),"U – needs rule",INDEX(MxBody,MATCH($I4517,MxCurr,0),MATCH($H4517,MxStart,0)))))))</f>
        <v/>
      </c>
      <c r="L4517" s="62" t="str">
        <f aca="false">IF(COUNTA($A4517,$F4517,$G4517,$H4517,$I4517,$J4517)=0,"",IF($M4517=0,"✖ كود الصف غير موجود",IF(ISNA(MATCH($F4517,Lists!$A$2:$A$5,0)),"✖ الفترة غير صحيحة",IF(ISNA(MATCH($G4517,Lists!$B$2:$B$7,0)),"✖ المجموعة غير صحيحة",IF(NOT(OR($H4517="",$N4517&gt;0)),"✖ Start غير صحيح",IF(NOT(OR($I4517="",$I4517="NR",$O4517&gt;0)),"✖ Current غير صحيح",IF(NOT(IF(ISNUMBER($J4517),AND($J4517&gt;=0,$J4517=INT($J4517)),FALSE())),"✖ العدد يجب أن يكون صحيحًا ≥ 0",IF(AND($F4517="Baseline",$H4517&lt;&gt;""),"⚠ Baseline: Start لا يدخل في التقدم",IF($K4517="No Start (attainment only)","ℹ تحصيل فقط (بدون Start)",IF($K4517="U – needs rule","ℹ حالة U تحتاج قاعدة معتمدة",IF($K4517="No result","ℹ بدون نتيجة (يُستبعد من التحصيل)","OK")))))))))))</f>
        <v/>
      </c>
      <c r="M4517" s="64" t="n">
        <f aca="false">IF($A4517="",0,IFERROR(MATCH($A4517,Classes!$A$6:$A$420,0),0))</f>
        <v>0</v>
      </c>
      <c r="N4517" s="64" t="n">
        <f aca="false">IF($H4517="",0,IFERROR(MATCH($H4517,GradeList,0),0))</f>
        <v>0</v>
      </c>
      <c r="O4517" s="64" t="n">
        <f aca="false">IF(OR($I4517="",$I4517="NR"),0,IFERROR(MATCH($I4517,GradeList,0),0))</f>
        <v>0</v>
      </c>
      <c r="P4517" s="64" t="n">
        <f aca="false">IF(AND($M4517&gt;0,ISNUMBER(MATCH($F4517,Lists!$A$2:$A$5,0)),ISNUMBER(MATCH($G4517,Lists!$B$2:$B$7,0)),OR($H4517="",$N4517&gt;0),OR($I4517="",$I4517="NR",$O4517&gt;0),IF(ISNUMBER($J4517),AND($J4517&gt;=0,$J4517=INT($J4517)),FALSE())),$J4517,0)</f>
        <v>0</v>
      </c>
      <c r="Q4517" s="64" t="n">
        <f aca="false">IF(AND($P4517&gt;0,$O4517&gt;0),$P4517,0)</f>
        <v>0</v>
      </c>
      <c r="R4517" s="64" t="n">
        <f aca="false">IF(AND($Q4517&gt;0,$O4517&gt;=AtRank),$Q4517,0)</f>
        <v>0</v>
      </c>
      <c r="S4517" s="64" t="n">
        <f aca="false">IF(AND($Q4517&gt;0,$O4517&gt;=AboveRank),$Q4517,0)</f>
        <v>0</v>
      </c>
      <c r="T4517" s="64" t="n">
        <f aca="false">IF($K4517="Less",$P4517,0)</f>
        <v>0</v>
      </c>
      <c r="U4517" s="64" t="n">
        <f aca="false">IF($K4517="Expected",$P4517,0)</f>
        <v>0</v>
      </c>
      <c r="V4517" s="64" t="n">
        <f aca="false">IF($K4517="Better",$P4517,0)</f>
        <v>0</v>
      </c>
      <c r="W4517" s="64" t="n">
        <f aca="false">IF($K4517="U – needs rule",$P4517,0)</f>
        <v>0</v>
      </c>
      <c r="X4517" s="64" t="n">
        <f aca="false">IF($K4517="No Start (attainment only)",$P4517,0)</f>
        <v>0</v>
      </c>
    </row>
    <row r="4518" customFormat="false" ht="15" hidden="false" customHeight="false" outlineLevel="0" collapsed="false">
      <c r="A4518" s="60"/>
      <c r="B4518" s="61" t="str">
        <f aca="false">IF($M4518=0,"",INDEX(Classes!$E$6:$E$420,$M4518))</f>
        <v/>
      </c>
      <c r="C4518" s="62" t="str">
        <f aca="false">IF($M4518=0,"",INDEX(Classes!$H$6:$H$420,$M4518))</f>
        <v/>
      </c>
      <c r="D4518" s="61" t="str">
        <f aca="false">IF($M4518=0,"",INDEX(Classes!$B$6:$B$420,$M4518))</f>
        <v/>
      </c>
      <c r="E4518" s="61" t="str">
        <f aca="false">IF($M4518=0,"",INDEX(Classes!$C$6:$C$420,$M4518))</f>
        <v/>
      </c>
      <c r="F4518" s="63"/>
      <c r="G4518" s="63"/>
      <c r="H4518" s="60"/>
      <c r="I4518" s="60"/>
      <c r="J4518" s="63"/>
      <c r="K4518" s="61" t="str">
        <f aca="false">IF($P4518=0,"",IF($F4518="Baseline","— Baseline",IF($O4518=0,"No result",IF($N4518=0,"No Start (attainment only)",IF(OR($N4518=1,$O4518=1),"U – needs rule",INDEX(MxBody,MATCH($I4518,MxCurr,0),MATCH($H4518,MxStart,0)))))))</f>
        <v/>
      </c>
      <c r="L4518" s="62" t="str">
        <f aca="false">IF(COUNTA($A4518,$F4518,$G4518,$H4518,$I4518,$J4518)=0,"",IF($M4518=0,"✖ كود الصف غير موجود",IF(ISNA(MATCH($F4518,Lists!$A$2:$A$5,0)),"✖ الفترة غير صحيحة",IF(ISNA(MATCH($G4518,Lists!$B$2:$B$7,0)),"✖ المجموعة غير صحيحة",IF(NOT(OR($H4518="",$N4518&gt;0)),"✖ Start غير صحيح",IF(NOT(OR($I4518="",$I4518="NR",$O4518&gt;0)),"✖ Current غير صحيح",IF(NOT(IF(ISNUMBER($J4518),AND($J4518&gt;=0,$J4518=INT($J4518)),FALSE())),"✖ العدد يجب أن يكون صحيحًا ≥ 0",IF(AND($F4518="Baseline",$H4518&lt;&gt;""),"⚠ Baseline: Start لا يدخل في التقدم",IF($K4518="No Start (attainment only)","ℹ تحصيل فقط (بدون Start)",IF($K4518="U – needs rule","ℹ حالة U تحتاج قاعدة معتمدة",IF($K4518="No result","ℹ بدون نتيجة (يُستبعد من التحصيل)","OK")))))))))))</f>
        <v/>
      </c>
      <c r="M4518" s="64" t="n">
        <f aca="false">IF($A4518="",0,IFERROR(MATCH($A4518,Classes!$A$6:$A$420,0),0))</f>
        <v>0</v>
      </c>
      <c r="N4518" s="64" t="n">
        <f aca="false">IF($H4518="",0,IFERROR(MATCH($H4518,GradeList,0),0))</f>
        <v>0</v>
      </c>
      <c r="O4518" s="64" t="n">
        <f aca="false">IF(OR($I4518="",$I4518="NR"),0,IFERROR(MATCH($I4518,GradeList,0),0))</f>
        <v>0</v>
      </c>
      <c r="P4518" s="64" t="n">
        <f aca="false">IF(AND($M4518&gt;0,ISNUMBER(MATCH($F4518,Lists!$A$2:$A$5,0)),ISNUMBER(MATCH($G4518,Lists!$B$2:$B$7,0)),OR($H4518="",$N4518&gt;0),OR($I4518="",$I4518="NR",$O4518&gt;0),IF(ISNUMBER($J4518),AND($J4518&gt;=0,$J4518=INT($J4518)),FALSE())),$J4518,0)</f>
        <v>0</v>
      </c>
      <c r="Q4518" s="64" t="n">
        <f aca="false">IF(AND($P4518&gt;0,$O4518&gt;0),$P4518,0)</f>
        <v>0</v>
      </c>
      <c r="R4518" s="64" t="n">
        <f aca="false">IF(AND($Q4518&gt;0,$O4518&gt;=AtRank),$Q4518,0)</f>
        <v>0</v>
      </c>
      <c r="S4518" s="64" t="n">
        <f aca="false">IF(AND($Q4518&gt;0,$O4518&gt;=AboveRank),$Q4518,0)</f>
        <v>0</v>
      </c>
      <c r="T4518" s="64" t="n">
        <f aca="false">IF($K4518="Less",$P4518,0)</f>
        <v>0</v>
      </c>
      <c r="U4518" s="64" t="n">
        <f aca="false">IF($K4518="Expected",$P4518,0)</f>
        <v>0</v>
      </c>
      <c r="V4518" s="64" t="n">
        <f aca="false">IF($K4518="Better",$P4518,0)</f>
        <v>0</v>
      </c>
      <c r="W4518" s="64" t="n">
        <f aca="false">IF($K4518="U – needs rule",$P4518,0)</f>
        <v>0</v>
      </c>
      <c r="X4518" s="64" t="n">
        <f aca="false">IF($K4518="No Start (attainment only)",$P4518,0)</f>
        <v>0</v>
      </c>
    </row>
    <row r="4519" customFormat="false" ht="15" hidden="false" customHeight="false" outlineLevel="0" collapsed="false">
      <c r="A4519" s="60"/>
      <c r="B4519" s="61" t="str">
        <f aca="false">IF($M4519=0,"",INDEX(Classes!$E$6:$E$420,$M4519))</f>
        <v/>
      </c>
      <c r="C4519" s="62" t="str">
        <f aca="false">IF($M4519=0,"",INDEX(Classes!$H$6:$H$420,$M4519))</f>
        <v/>
      </c>
      <c r="D4519" s="61" t="str">
        <f aca="false">IF($M4519=0,"",INDEX(Classes!$B$6:$B$420,$M4519))</f>
        <v/>
      </c>
      <c r="E4519" s="61" t="str">
        <f aca="false">IF($M4519=0,"",INDEX(Classes!$C$6:$C$420,$M4519))</f>
        <v/>
      </c>
      <c r="F4519" s="63"/>
      <c r="G4519" s="63"/>
      <c r="H4519" s="60"/>
      <c r="I4519" s="60"/>
      <c r="J4519" s="63"/>
      <c r="K4519" s="61" t="str">
        <f aca="false">IF($P4519=0,"",IF($F4519="Baseline","— Baseline",IF($O4519=0,"No result",IF($N4519=0,"No Start (attainment only)",IF(OR($N4519=1,$O4519=1),"U – needs rule",INDEX(MxBody,MATCH($I4519,MxCurr,0),MATCH($H4519,MxStart,0)))))))</f>
        <v/>
      </c>
      <c r="L4519" s="62" t="str">
        <f aca="false">IF(COUNTA($A4519,$F4519,$G4519,$H4519,$I4519,$J4519)=0,"",IF($M4519=0,"✖ كود الصف غير موجود",IF(ISNA(MATCH($F4519,Lists!$A$2:$A$5,0)),"✖ الفترة غير صحيحة",IF(ISNA(MATCH($G4519,Lists!$B$2:$B$7,0)),"✖ المجموعة غير صحيحة",IF(NOT(OR($H4519="",$N4519&gt;0)),"✖ Start غير صحيح",IF(NOT(OR($I4519="",$I4519="NR",$O4519&gt;0)),"✖ Current غير صحيح",IF(NOT(IF(ISNUMBER($J4519),AND($J4519&gt;=0,$J4519=INT($J4519)),FALSE())),"✖ العدد يجب أن يكون صحيحًا ≥ 0",IF(AND($F4519="Baseline",$H4519&lt;&gt;""),"⚠ Baseline: Start لا يدخل في التقدم",IF($K4519="No Start (attainment only)","ℹ تحصيل فقط (بدون Start)",IF($K4519="U – needs rule","ℹ حالة U تحتاج قاعدة معتمدة",IF($K4519="No result","ℹ بدون نتيجة (يُستبعد من التحصيل)","OK")))))))))))</f>
        <v/>
      </c>
      <c r="M4519" s="64" t="n">
        <f aca="false">IF($A4519="",0,IFERROR(MATCH($A4519,Classes!$A$6:$A$420,0),0))</f>
        <v>0</v>
      </c>
      <c r="N4519" s="64" t="n">
        <f aca="false">IF($H4519="",0,IFERROR(MATCH($H4519,GradeList,0),0))</f>
        <v>0</v>
      </c>
      <c r="O4519" s="64" t="n">
        <f aca="false">IF(OR($I4519="",$I4519="NR"),0,IFERROR(MATCH($I4519,GradeList,0),0))</f>
        <v>0</v>
      </c>
      <c r="P4519" s="64" t="n">
        <f aca="false">IF(AND($M4519&gt;0,ISNUMBER(MATCH($F4519,Lists!$A$2:$A$5,0)),ISNUMBER(MATCH($G4519,Lists!$B$2:$B$7,0)),OR($H4519="",$N4519&gt;0),OR($I4519="",$I4519="NR",$O4519&gt;0),IF(ISNUMBER($J4519),AND($J4519&gt;=0,$J4519=INT($J4519)),FALSE())),$J4519,0)</f>
        <v>0</v>
      </c>
      <c r="Q4519" s="64" t="n">
        <f aca="false">IF(AND($P4519&gt;0,$O4519&gt;0),$P4519,0)</f>
        <v>0</v>
      </c>
      <c r="R4519" s="64" t="n">
        <f aca="false">IF(AND($Q4519&gt;0,$O4519&gt;=AtRank),$Q4519,0)</f>
        <v>0</v>
      </c>
      <c r="S4519" s="64" t="n">
        <f aca="false">IF(AND($Q4519&gt;0,$O4519&gt;=AboveRank),$Q4519,0)</f>
        <v>0</v>
      </c>
      <c r="T4519" s="64" t="n">
        <f aca="false">IF($K4519="Less",$P4519,0)</f>
        <v>0</v>
      </c>
      <c r="U4519" s="64" t="n">
        <f aca="false">IF($K4519="Expected",$P4519,0)</f>
        <v>0</v>
      </c>
      <c r="V4519" s="64" t="n">
        <f aca="false">IF($K4519="Better",$P4519,0)</f>
        <v>0</v>
      </c>
      <c r="W4519" s="64" t="n">
        <f aca="false">IF($K4519="U – needs rule",$P4519,0)</f>
        <v>0</v>
      </c>
      <c r="X4519" s="64" t="n">
        <f aca="false">IF($K4519="No Start (attainment only)",$P4519,0)</f>
        <v>0</v>
      </c>
    </row>
    <row r="4520" customFormat="false" ht="15" hidden="false" customHeight="false" outlineLevel="0" collapsed="false">
      <c r="A4520" s="60"/>
      <c r="B4520" s="61" t="str">
        <f aca="false">IF($M4520=0,"",INDEX(Classes!$E$6:$E$420,$M4520))</f>
        <v/>
      </c>
      <c r="C4520" s="62" t="str">
        <f aca="false">IF($M4520=0,"",INDEX(Classes!$H$6:$H$420,$M4520))</f>
        <v/>
      </c>
      <c r="D4520" s="61" t="str">
        <f aca="false">IF($M4520=0,"",INDEX(Classes!$B$6:$B$420,$M4520))</f>
        <v/>
      </c>
      <c r="E4520" s="61" t="str">
        <f aca="false">IF($M4520=0,"",INDEX(Classes!$C$6:$C$420,$M4520))</f>
        <v/>
      </c>
      <c r="F4520" s="63"/>
      <c r="G4520" s="63"/>
      <c r="H4520" s="60"/>
      <c r="I4520" s="60"/>
      <c r="J4520" s="63"/>
      <c r="K4520" s="61" t="str">
        <f aca="false">IF($P4520=0,"",IF($F4520="Baseline","— Baseline",IF($O4520=0,"No result",IF($N4520=0,"No Start (attainment only)",IF(OR($N4520=1,$O4520=1),"U – needs rule",INDEX(MxBody,MATCH($I4520,MxCurr,0),MATCH($H4520,MxStart,0)))))))</f>
        <v/>
      </c>
      <c r="L4520" s="62" t="str">
        <f aca="false">IF(COUNTA($A4520,$F4520,$G4520,$H4520,$I4520,$J4520)=0,"",IF($M4520=0,"✖ كود الصف غير موجود",IF(ISNA(MATCH($F4520,Lists!$A$2:$A$5,0)),"✖ الفترة غير صحيحة",IF(ISNA(MATCH($G4520,Lists!$B$2:$B$7,0)),"✖ المجموعة غير صحيحة",IF(NOT(OR($H4520="",$N4520&gt;0)),"✖ Start غير صحيح",IF(NOT(OR($I4520="",$I4520="NR",$O4520&gt;0)),"✖ Current غير صحيح",IF(NOT(IF(ISNUMBER($J4520),AND($J4520&gt;=0,$J4520=INT($J4520)),FALSE())),"✖ العدد يجب أن يكون صحيحًا ≥ 0",IF(AND($F4520="Baseline",$H4520&lt;&gt;""),"⚠ Baseline: Start لا يدخل في التقدم",IF($K4520="No Start (attainment only)","ℹ تحصيل فقط (بدون Start)",IF($K4520="U – needs rule","ℹ حالة U تحتاج قاعدة معتمدة",IF($K4520="No result","ℹ بدون نتيجة (يُستبعد من التحصيل)","OK")))))))))))</f>
        <v/>
      </c>
      <c r="M4520" s="64" t="n">
        <f aca="false">IF($A4520="",0,IFERROR(MATCH($A4520,Classes!$A$6:$A$420,0),0))</f>
        <v>0</v>
      </c>
      <c r="N4520" s="64" t="n">
        <f aca="false">IF($H4520="",0,IFERROR(MATCH($H4520,GradeList,0),0))</f>
        <v>0</v>
      </c>
      <c r="O4520" s="64" t="n">
        <f aca="false">IF(OR($I4520="",$I4520="NR"),0,IFERROR(MATCH($I4520,GradeList,0),0))</f>
        <v>0</v>
      </c>
      <c r="P4520" s="64" t="n">
        <f aca="false">IF(AND($M4520&gt;0,ISNUMBER(MATCH($F4520,Lists!$A$2:$A$5,0)),ISNUMBER(MATCH($G4520,Lists!$B$2:$B$7,0)),OR($H4520="",$N4520&gt;0),OR($I4520="",$I4520="NR",$O4520&gt;0),IF(ISNUMBER($J4520),AND($J4520&gt;=0,$J4520=INT($J4520)),FALSE())),$J4520,0)</f>
        <v>0</v>
      </c>
      <c r="Q4520" s="64" t="n">
        <f aca="false">IF(AND($P4520&gt;0,$O4520&gt;0),$P4520,0)</f>
        <v>0</v>
      </c>
      <c r="R4520" s="64" t="n">
        <f aca="false">IF(AND($Q4520&gt;0,$O4520&gt;=AtRank),$Q4520,0)</f>
        <v>0</v>
      </c>
      <c r="S4520" s="64" t="n">
        <f aca="false">IF(AND($Q4520&gt;0,$O4520&gt;=AboveRank),$Q4520,0)</f>
        <v>0</v>
      </c>
      <c r="T4520" s="64" t="n">
        <f aca="false">IF($K4520="Less",$P4520,0)</f>
        <v>0</v>
      </c>
      <c r="U4520" s="64" t="n">
        <f aca="false">IF($K4520="Expected",$P4520,0)</f>
        <v>0</v>
      </c>
      <c r="V4520" s="64" t="n">
        <f aca="false">IF($K4520="Better",$P4520,0)</f>
        <v>0</v>
      </c>
      <c r="W4520" s="64" t="n">
        <f aca="false">IF($K4520="U – needs rule",$P4520,0)</f>
        <v>0</v>
      </c>
      <c r="X4520" s="64" t="n">
        <f aca="false">IF($K4520="No Start (attainment only)",$P4520,0)</f>
        <v>0</v>
      </c>
    </row>
    <row r="4521" customFormat="false" ht="15" hidden="false" customHeight="false" outlineLevel="0" collapsed="false">
      <c r="A4521" s="60"/>
      <c r="B4521" s="61" t="str">
        <f aca="false">IF($M4521=0,"",INDEX(Classes!$E$6:$E$420,$M4521))</f>
        <v/>
      </c>
      <c r="C4521" s="62" t="str">
        <f aca="false">IF($M4521=0,"",INDEX(Classes!$H$6:$H$420,$M4521))</f>
        <v/>
      </c>
      <c r="D4521" s="61" t="str">
        <f aca="false">IF($M4521=0,"",INDEX(Classes!$B$6:$B$420,$M4521))</f>
        <v/>
      </c>
      <c r="E4521" s="61" t="str">
        <f aca="false">IF($M4521=0,"",INDEX(Classes!$C$6:$C$420,$M4521))</f>
        <v/>
      </c>
      <c r="F4521" s="63"/>
      <c r="G4521" s="63"/>
      <c r="H4521" s="60"/>
      <c r="I4521" s="60"/>
      <c r="J4521" s="63"/>
      <c r="K4521" s="61" t="str">
        <f aca="false">IF($P4521=0,"",IF($F4521="Baseline","— Baseline",IF($O4521=0,"No result",IF($N4521=0,"No Start (attainment only)",IF(OR($N4521=1,$O4521=1),"U – needs rule",INDEX(MxBody,MATCH($I4521,MxCurr,0),MATCH($H4521,MxStart,0)))))))</f>
        <v/>
      </c>
      <c r="L4521" s="62" t="str">
        <f aca="false">IF(COUNTA($A4521,$F4521,$G4521,$H4521,$I4521,$J4521)=0,"",IF($M4521=0,"✖ كود الصف غير موجود",IF(ISNA(MATCH($F4521,Lists!$A$2:$A$5,0)),"✖ الفترة غير صحيحة",IF(ISNA(MATCH($G4521,Lists!$B$2:$B$7,0)),"✖ المجموعة غير صحيحة",IF(NOT(OR($H4521="",$N4521&gt;0)),"✖ Start غير صحيح",IF(NOT(OR($I4521="",$I4521="NR",$O4521&gt;0)),"✖ Current غير صحيح",IF(NOT(IF(ISNUMBER($J4521),AND($J4521&gt;=0,$J4521=INT($J4521)),FALSE())),"✖ العدد يجب أن يكون صحيحًا ≥ 0",IF(AND($F4521="Baseline",$H4521&lt;&gt;""),"⚠ Baseline: Start لا يدخل في التقدم",IF($K4521="No Start (attainment only)","ℹ تحصيل فقط (بدون Start)",IF($K4521="U – needs rule","ℹ حالة U تحتاج قاعدة معتمدة",IF($K4521="No result","ℹ بدون نتيجة (يُستبعد من التحصيل)","OK")))))))))))</f>
        <v/>
      </c>
      <c r="M4521" s="64" t="n">
        <f aca="false">IF($A4521="",0,IFERROR(MATCH($A4521,Classes!$A$6:$A$420,0),0))</f>
        <v>0</v>
      </c>
      <c r="N4521" s="64" t="n">
        <f aca="false">IF($H4521="",0,IFERROR(MATCH($H4521,GradeList,0),0))</f>
        <v>0</v>
      </c>
      <c r="O4521" s="64" t="n">
        <f aca="false">IF(OR($I4521="",$I4521="NR"),0,IFERROR(MATCH($I4521,GradeList,0),0))</f>
        <v>0</v>
      </c>
      <c r="P4521" s="64" t="n">
        <f aca="false">IF(AND($M4521&gt;0,ISNUMBER(MATCH($F4521,Lists!$A$2:$A$5,0)),ISNUMBER(MATCH($G4521,Lists!$B$2:$B$7,0)),OR($H4521="",$N4521&gt;0),OR($I4521="",$I4521="NR",$O4521&gt;0),IF(ISNUMBER($J4521),AND($J4521&gt;=0,$J4521=INT($J4521)),FALSE())),$J4521,0)</f>
        <v>0</v>
      </c>
      <c r="Q4521" s="64" t="n">
        <f aca="false">IF(AND($P4521&gt;0,$O4521&gt;0),$P4521,0)</f>
        <v>0</v>
      </c>
      <c r="R4521" s="64" t="n">
        <f aca="false">IF(AND($Q4521&gt;0,$O4521&gt;=AtRank),$Q4521,0)</f>
        <v>0</v>
      </c>
      <c r="S4521" s="64" t="n">
        <f aca="false">IF(AND($Q4521&gt;0,$O4521&gt;=AboveRank),$Q4521,0)</f>
        <v>0</v>
      </c>
      <c r="T4521" s="64" t="n">
        <f aca="false">IF($K4521="Less",$P4521,0)</f>
        <v>0</v>
      </c>
      <c r="U4521" s="64" t="n">
        <f aca="false">IF($K4521="Expected",$P4521,0)</f>
        <v>0</v>
      </c>
      <c r="V4521" s="64" t="n">
        <f aca="false">IF($K4521="Better",$P4521,0)</f>
        <v>0</v>
      </c>
      <c r="W4521" s="64" t="n">
        <f aca="false">IF($K4521="U – needs rule",$P4521,0)</f>
        <v>0</v>
      </c>
      <c r="X4521" s="64" t="n">
        <f aca="false">IF($K4521="No Start (attainment only)",$P4521,0)</f>
        <v>0</v>
      </c>
    </row>
    <row r="4522" customFormat="false" ht="15" hidden="false" customHeight="false" outlineLevel="0" collapsed="false">
      <c r="A4522" s="60"/>
      <c r="B4522" s="61" t="str">
        <f aca="false">IF($M4522=0,"",INDEX(Classes!$E$6:$E$420,$M4522))</f>
        <v/>
      </c>
      <c r="C4522" s="62" t="str">
        <f aca="false">IF($M4522=0,"",INDEX(Classes!$H$6:$H$420,$M4522))</f>
        <v/>
      </c>
      <c r="D4522" s="61" t="str">
        <f aca="false">IF($M4522=0,"",INDEX(Classes!$B$6:$B$420,$M4522))</f>
        <v/>
      </c>
      <c r="E4522" s="61" t="str">
        <f aca="false">IF($M4522=0,"",INDEX(Classes!$C$6:$C$420,$M4522))</f>
        <v/>
      </c>
      <c r="F4522" s="63"/>
      <c r="G4522" s="63"/>
      <c r="H4522" s="60"/>
      <c r="I4522" s="60"/>
      <c r="J4522" s="63"/>
      <c r="K4522" s="61" t="str">
        <f aca="false">IF($P4522=0,"",IF($F4522="Baseline","— Baseline",IF($O4522=0,"No result",IF($N4522=0,"No Start (attainment only)",IF(OR($N4522=1,$O4522=1),"U – needs rule",INDEX(MxBody,MATCH($I4522,MxCurr,0),MATCH($H4522,MxStart,0)))))))</f>
        <v/>
      </c>
      <c r="L4522" s="62" t="str">
        <f aca="false">IF(COUNTA($A4522,$F4522,$G4522,$H4522,$I4522,$J4522)=0,"",IF($M4522=0,"✖ كود الصف غير موجود",IF(ISNA(MATCH($F4522,Lists!$A$2:$A$5,0)),"✖ الفترة غير صحيحة",IF(ISNA(MATCH($G4522,Lists!$B$2:$B$7,0)),"✖ المجموعة غير صحيحة",IF(NOT(OR($H4522="",$N4522&gt;0)),"✖ Start غير صحيح",IF(NOT(OR($I4522="",$I4522="NR",$O4522&gt;0)),"✖ Current غير صحيح",IF(NOT(IF(ISNUMBER($J4522),AND($J4522&gt;=0,$J4522=INT($J4522)),FALSE())),"✖ العدد يجب أن يكون صحيحًا ≥ 0",IF(AND($F4522="Baseline",$H4522&lt;&gt;""),"⚠ Baseline: Start لا يدخل في التقدم",IF($K4522="No Start (attainment only)","ℹ تحصيل فقط (بدون Start)",IF($K4522="U – needs rule","ℹ حالة U تحتاج قاعدة معتمدة",IF($K4522="No result","ℹ بدون نتيجة (يُستبعد من التحصيل)","OK")))))))))))</f>
        <v/>
      </c>
      <c r="M4522" s="64" t="n">
        <f aca="false">IF($A4522="",0,IFERROR(MATCH($A4522,Classes!$A$6:$A$420,0),0))</f>
        <v>0</v>
      </c>
      <c r="N4522" s="64" t="n">
        <f aca="false">IF($H4522="",0,IFERROR(MATCH($H4522,GradeList,0),0))</f>
        <v>0</v>
      </c>
      <c r="O4522" s="64" t="n">
        <f aca="false">IF(OR($I4522="",$I4522="NR"),0,IFERROR(MATCH($I4522,GradeList,0),0))</f>
        <v>0</v>
      </c>
      <c r="P4522" s="64" t="n">
        <f aca="false">IF(AND($M4522&gt;0,ISNUMBER(MATCH($F4522,Lists!$A$2:$A$5,0)),ISNUMBER(MATCH($G4522,Lists!$B$2:$B$7,0)),OR($H4522="",$N4522&gt;0),OR($I4522="",$I4522="NR",$O4522&gt;0),IF(ISNUMBER($J4522),AND($J4522&gt;=0,$J4522=INT($J4522)),FALSE())),$J4522,0)</f>
        <v>0</v>
      </c>
      <c r="Q4522" s="64" t="n">
        <f aca="false">IF(AND($P4522&gt;0,$O4522&gt;0),$P4522,0)</f>
        <v>0</v>
      </c>
      <c r="R4522" s="64" t="n">
        <f aca="false">IF(AND($Q4522&gt;0,$O4522&gt;=AtRank),$Q4522,0)</f>
        <v>0</v>
      </c>
      <c r="S4522" s="64" t="n">
        <f aca="false">IF(AND($Q4522&gt;0,$O4522&gt;=AboveRank),$Q4522,0)</f>
        <v>0</v>
      </c>
      <c r="T4522" s="64" t="n">
        <f aca="false">IF($K4522="Less",$P4522,0)</f>
        <v>0</v>
      </c>
      <c r="U4522" s="64" t="n">
        <f aca="false">IF($K4522="Expected",$P4522,0)</f>
        <v>0</v>
      </c>
      <c r="V4522" s="64" t="n">
        <f aca="false">IF($K4522="Better",$P4522,0)</f>
        <v>0</v>
      </c>
      <c r="W4522" s="64" t="n">
        <f aca="false">IF($K4522="U – needs rule",$P4522,0)</f>
        <v>0</v>
      </c>
      <c r="X4522" s="64" t="n">
        <f aca="false">IF($K4522="No Start (attainment only)",$P4522,0)</f>
        <v>0</v>
      </c>
    </row>
    <row r="4523" customFormat="false" ht="15" hidden="false" customHeight="false" outlineLevel="0" collapsed="false">
      <c r="A4523" s="60"/>
      <c r="B4523" s="61" t="str">
        <f aca="false">IF($M4523=0,"",INDEX(Classes!$E$6:$E$420,$M4523))</f>
        <v/>
      </c>
      <c r="C4523" s="62" t="str">
        <f aca="false">IF($M4523=0,"",INDEX(Classes!$H$6:$H$420,$M4523))</f>
        <v/>
      </c>
      <c r="D4523" s="61" t="str">
        <f aca="false">IF($M4523=0,"",INDEX(Classes!$B$6:$B$420,$M4523))</f>
        <v/>
      </c>
      <c r="E4523" s="61" t="str">
        <f aca="false">IF($M4523=0,"",INDEX(Classes!$C$6:$C$420,$M4523))</f>
        <v/>
      </c>
      <c r="F4523" s="63"/>
      <c r="G4523" s="63"/>
      <c r="H4523" s="60"/>
      <c r="I4523" s="60"/>
      <c r="J4523" s="63"/>
      <c r="K4523" s="61" t="str">
        <f aca="false">IF($P4523=0,"",IF($F4523="Baseline","— Baseline",IF($O4523=0,"No result",IF($N4523=0,"No Start (attainment only)",IF(OR($N4523=1,$O4523=1),"U – needs rule",INDEX(MxBody,MATCH($I4523,MxCurr,0),MATCH($H4523,MxStart,0)))))))</f>
        <v/>
      </c>
      <c r="L4523" s="62" t="str">
        <f aca="false">IF(COUNTA($A4523,$F4523,$G4523,$H4523,$I4523,$J4523)=0,"",IF($M4523=0,"✖ كود الصف غير موجود",IF(ISNA(MATCH($F4523,Lists!$A$2:$A$5,0)),"✖ الفترة غير صحيحة",IF(ISNA(MATCH($G4523,Lists!$B$2:$B$7,0)),"✖ المجموعة غير صحيحة",IF(NOT(OR($H4523="",$N4523&gt;0)),"✖ Start غير صحيح",IF(NOT(OR($I4523="",$I4523="NR",$O4523&gt;0)),"✖ Current غير صحيح",IF(NOT(IF(ISNUMBER($J4523),AND($J4523&gt;=0,$J4523=INT($J4523)),FALSE())),"✖ العدد يجب أن يكون صحيحًا ≥ 0",IF(AND($F4523="Baseline",$H4523&lt;&gt;""),"⚠ Baseline: Start لا يدخل في التقدم",IF($K4523="No Start (attainment only)","ℹ تحصيل فقط (بدون Start)",IF($K4523="U – needs rule","ℹ حالة U تحتاج قاعدة معتمدة",IF($K4523="No result","ℹ بدون نتيجة (يُستبعد من التحصيل)","OK")))))))))))</f>
        <v/>
      </c>
      <c r="M4523" s="64" t="n">
        <f aca="false">IF($A4523="",0,IFERROR(MATCH($A4523,Classes!$A$6:$A$420,0),0))</f>
        <v>0</v>
      </c>
      <c r="N4523" s="64" t="n">
        <f aca="false">IF($H4523="",0,IFERROR(MATCH($H4523,GradeList,0),0))</f>
        <v>0</v>
      </c>
      <c r="O4523" s="64" t="n">
        <f aca="false">IF(OR($I4523="",$I4523="NR"),0,IFERROR(MATCH($I4523,GradeList,0),0))</f>
        <v>0</v>
      </c>
      <c r="P4523" s="64" t="n">
        <f aca="false">IF(AND($M4523&gt;0,ISNUMBER(MATCH($F4523,Lists!$A$2:$A$5,0)),ISNUMBER(MATCH($G4523,Lists!$B$2:$B$7,0)),OR($H4523="",$N4523&gt;0),OR($I4523="",$I4523="NR",$O4523&gt;0),IF(ISNUMBER($J4523),AND($J4523&gt;=0,$J4523=INT($J4523)),FALSE())),$J4523,0)</f>
        <v>0</v>
      </c>
      <c r="Q4523" s="64" t="n">
        <f aca="false">IF(AND($P4523&gt;0,$O4523&gt;0),$P4523,0)</f>
        <v>0</v>
      </c>
      <c r="R4523" s="64" t="n">
        <f aca="false">IF(AND($Q4523&gt;0,$O4523&gt;=AtRank),$Q4523,0)</f>
        <v>0</v>
      </c>
      <c r="S4523" s="64" t="n">
        <f aca="false">IF(AND($Q4523&gt;0,$O4523&gt;=AboveRank),$Q4523,0)</f>
        <v>0</v>
      </c>
      <c r="T4523" s="64" t="n">
        <f aca="false">IF($K4523="Less",$P4523,0)</f>
        <v>0</v>
      </c>
      <c r="U4523" s="64" t="n">
        <f aca="false">IF($K4523="Expected",$P4523,0)</f>
        <v>0</v>
      </c>
      <c r="V4523" s="64" t="n">
        <f aca="false">IF($K4523="Better",$P4523,0)</f>
        <v>0</v>
      </c>
      <c r="W4523" s="64" t="n">
        <f aca="false">IF($K4523="U – needs rule",$P4523,0)</f>
        <v>0</v>
      </c>
      <c r="X4523" s="64" t="n">
        <f aca="false">IF($K4523="No Start (attainment only)",$P4523,0)</f>
        <v>0</v>
      </c>
    </row>
    <row r="4524" customFormat="false" ht="15" hidden="false" customHeight="false" outlineLevel="0" collapsed="false">
      <c r="A4524" s="60"/>
      <c r="B4524" s="61" t="str">
        <f aca="false">IF($M4524=0,"",INDEX(Classes!$E$6:$E$420,$M4524))</f>
        <v/>
      </c>
      <c r="C4524" s="62" t="str">
        <f aca="false">IF($M4524=0,"",INDEX(Classes!$H$6:$H$420,$M4524))</f>
        <v/>
      </c>
      <c r="D4524" s="61" t="str">
        <f aca="false">IF($M4524=0,"",INDEX(Classes!$B$6:$B$420,$M4524))</f>
        <v/>
      </c>
      <c r="E4524" s="61" t="str">
        <f aca="false">IF($M4524=0,"",INDEX(Classes!$C$6:$C$420,$M4524))</f>
        <v/>
      </c>
      <c r="F4524" s="63"/>
      <c r="G4524" s="63"/>
      <c r="H4524" s="60"/>
      <c r="I4524" s="60"/>
      <c r="J4524" s="63"/>
      <c r="K4524" s="61" t="str">
        <f aca="false">IF($P4524=0,"",IF($F4524="Baseline","— Baseline",IF($O4524=0,"No result",IF($N4524=0,"No Start (attainment only)",IF(OR($N4524=1,$O4524=1),"U – needs rule",INDEX(MxBody,MATCH($I4524,MxCurr,0),MATCH($H4524,MxStart,0)))))))</f>
        <v/>
      </c>
      <c r="L4524" s="62" t="str">
        <f aca="false">IF(COUNTA($A4524,$F4524,$G4524,$H4524,$I4524,$J4524)=0,"",IF($M4524=0,"✖ كود الصف غير موجود",IF(ISNA(MATCH($F4524,Lists!$A$2:$A$5,0)),"✖ الفترة غير صحيحة",IF(ISNA(MATCH($G4524,Lists!$B$2:$B$7,0)),"✖ المجموعة غير صحيحة",IF(NOT(OR($H4524="",$N4524&gt;0)),"✖ Start غير صحيح",IF(NOT(OR($I4524="",$I4524="NR",$O4524&gt;0)),"✖ Current غير صحيح",IF(NOT(IF(ISNUMBER($J4524),AND($J4524&gt;=0,$J4524=INT($J4524)),FALSE())),"✖ العدد يجب أن يكون صحيحًا ≥ 0",IF(AND($F4524="Baseline",$H4524&lt;&gt;""),"⚠ Baseline: Start لا يدخل في التقدم",IF($K4524="No Start (attainment only)","ℹ تحصيل فقط (بدون Start)",IF($K4524="U – needs rule","ℹ حالة U تحتاج قاعدة معتمدة",IF($K4524="No result","ℹ بدون نتيجة (يُستبعد من التحصيل)","OK")))))))))))</f>
        <v/>
      </c>
      <c r="M4524" s="64" t="n">
        <f aca="false">IF($A4524="",0,IFERROR(MATCH($A4524,Classes!$A$6:$A$420,0),0))</f>
        <v>0</v>
      </c>
      <c r="N4524" s="64" t="n">
        <f aca="false">IF($H4524="",0,IFERROR(MATCH($H4524,GradeList,0),0))</f>
        <v>0</v>
      </c>
      <c r="O4524" s="64" t="n">
        <f aca="false">IF(OR($I4524="",$I4524="NR"),0,IFERROR(MATCH($I4524,GradeList,0),0))</f>
        <v>0</v>
      </c>
      <c r="P4524" s="64" t="n">
        <f aca="false">IF(AND($M4524&gt;0,ISNUMBER(MATCH($F4524,Lists!$A$2:$A$5,0)),ISNUMBER(MATCH($G4524,Lists!$B$2:$B$7,0)),OR($H4524="",$N4524&gt;0),OR($I4524="",$I4524="NR",$O4524&gt;0),IF(ISNUMBER($J4524),AND($J4524&gt;=0,$J4524=INT($J4524)),FALSE())),$J4524,0)</f>
        <v>0</v>
      </c>
      <c r="Q4524" s="64" t="n">
        <f aca="false">IF(AND($P4524&gt;0,$O4524&gt;0),$P4524,0)</f>
        <v>0</v>
      </c>
      <c r="R4524" s="64" t="n">
        <f aca="false">IF(AND($Q4524&gt;0,$O4524&gt;=AtRank),$Q4524,0)</f>
        <v>0</v>
      </c>
      <c r="S4524" s="64" t="n">
        <f aca="false">IF(AND($Q4524&gt;0,$O4524&gt;=AboveRank),$Q4524,0)</f>
        <v>0</v>
      </c>
      <c r="T4524" s="64" t="n">
        <f aca="false">IF($K4524="Less",$P4524,0)</f>
        <v>0</v>
      </c>
      <c r="U4524" s="64" t="n">
        <f aca="false">IF($K4524="Expected",$P4524,0)</f>
        <v>0</v>
      </c>
      <c r="V4524" s="64" t="n">
        <f aca="false">IF($K4524="Better",$P4524,0)</f>
        <v>0</v>
      </c>
      <c r="W4524" s="64" t="n">
        <f aca="false">IF($K4524="U – needs rule",$P4524,0)</f>
        <v>0</v>
      </c>
      <c r="X4524" s="64" t="n">
        <f aca="false">IF($K4524="No Start (attainment only)",$P4524,0)</f>
        <v>0</v>
      </c>
    </row>
    <row r="4525" customFormat="false" ht="15" hidden="false" customHeight="false" outlineLevel="0" collapsed="false">
      <c r="A4525" s="60"/>
      <c r="B4525" s="61" t="str">
        <f aca="false">IF($M4525=0,"",INDEX(Classes!$E$6:$E$420,$M4525))</f>
        <v/>
      </c>
      <c r="C4525" s="62" t="str">
        <f aca="false">IF($M4525=0,"",INDEX(Classes!$H$6:$H$420,$M4525))</f>
        <v/>
      </c>
      <c r="D4525" s="61" t="str">
        <f aca="false">IF($M4525=0,"",INDEX(Classes!$B$6:$B$420,$M4525))</f>
        <v/>
      </c>
      <c r="E4525" s="61" t="str">
        <f aca="false">IF($M4525=0,"",INDEX(Classes!$C$6:$C$420,$M4525))</f>
        <v/>
      </c>
      <c r="F4525" s="63"/>
      <c r="G4525" s="63"/>
      <c r="H4525" s="60"/>
      <c r="I4525" s="60"/>
      <c r="J4525" s="63"/>
      <c r="K4525" s="61" t="str">
        <f aca="false">IF($P4525=0,"",IF($F4525="Baseline","— Baseline",IF($O4525=0,"No result",IF($N4525=0,"No Start (attainment only)",IF(OR($N4525=1,$O4525=1),"U – needs rule",INDEX(MxBody,MATCH($I4525,MxCurr,0),MATCH($H4525,MxStart,0)))))))</f>
        <v/>
      </c>
      <c r="L4525" s="62" t="str">
        <f aca="false">IF(COUNTA($A4525,$F4525,$G4525,$H4525,$I4525,$J4525)=0,"",IF($M4525=0,"✖ كود الصف غير موجود",IF(ISNA(MATCH($F4525,Lists!$A$2:$A$5,0)),"✖ الفترة غير صحيحة",IF(ISNA(MATCH($G4525,Lists!$B$2:$B$7,0)),"✖ المجموعة غير صحيحة",IF(NOT(OR($H4525="",$N4525&gt;0)),"✖ Start غير صحيح",IF(NOT(OR($I4525="",$I4525="NR",$O4525&gt;0)),"✖ Current غير صحيح",IF(NOT(IF(ISNUMBER($J4525),AND($J4525&gt;=0,$J4525=INT($J4525)),FALSE())),"✖ العدد يجب أن يكون صحيحًا ≥ 0",IF(AND($F4525="Baseline",$H4525&lt;&gt;""),"⚠ Baseline: Start لا يدخل في التقدم",IF($K4525="No Start (attainment only)","ℹ تحصيل فقط (بدون Start)",IF($K4525="U – needs rule","ℹ حالة U تحتاج قاعدة معتمدة",IF($K4525="No result","ℹ بدون نتيجة (يُستبعد من التحصيل)","OK")))))))))))</f>
        <v/>
      </c>
      <c r="M4525" s="64" t="n">
        <f aca="false">IF($A4525="",0,IFERROR(MATCH($A4525,Classes!$A$6:$A$420,0),0))</f>
        <v>0</v>
      </c>
      <c r="N4525" s="64" t="n">
        <f aca="false">IF($H4525="",0,IFERROR(MATCH($H4525,GradeList,0),0))</f>
        <v>0</v>
      </c>
      <c r="O4525" s="64" t="n">
        <f aca="false">IF(OR($I4525="",$I4525="NR"),0,IFERROR(MATCH($I4525,GradeList,0),0))</f>
        <v>0</v>
      </c>
      <c r="P4525" s="64" t="n">
        <f aca="false">IF(AND($M4525&gt;0,ISNUMBER(MATCH($F4525,Lists!$A$2:$A$5,0)),ISNUMBER(MATCH($G4525,Lists!$B$2:$B$7,0)),OR($H4525="",$N4525&gt;0),OR($I4525="",$I4525="NR",$O4525&gt;0),IF(ISNUMBER($J4525),AND($J4525&gt;=0,$J4525=INT($J4525)),FALSE())),$J4525,0)</f>
        <v>0</v>
      </c>
      <c r="Q4525" s="64" t="n">
        <f aca="false">IF(AND($P4525&gt;0,$O4525&gt;0),$P4525,0)</f>
        <v>0</v>
      </c>
      <c r="R4525" s="64" t="n">
        <f aca="false">IF(AND($Q4525&gt;0,$O4525&gt;=AtRank),$Q4525,0)</f>
        <v>0</v>
      </c>
      <c r="S4525" s="64" t="n">
        <f aca="false">IF(AND($Q4525&gt;0,$O4525&gt;=AboveRank),$Q4525,0)</f>
        <v>0</v>
      </c>
      <c r="T4525" s="64" t="n">
        <f aca="false">IF($K4525="Less",$P4525,0)</f>
        <v>0</v>
      </c>
      <c r="U4525" s="64" t="n">
        <f aca="false">IF($K4525="Expected",$P4525,0)</f>
        <v>0</v>
      </c>
      <c r="V4525" s="64" t="n">
        <f aca="false">IF($K4525="Better",$P4525,0)</f>
        <v>0</v>
      </c>
      <c r="W4525" s="64" t="n">
        <f aca="false">IF($K4525="U – needs rule",$P4525,0)</f>
        <v>0</v>
      </c>
      <c r="X4525" s="64" t="n">
        <f aca="false">IF($K4525="No Start (attainment only)",$P4525,0)</f>
        <v>0</v>
      </c>
    </row>
    <row r="4526" customFormat="false" ht="15" hidden="false" customHeight="false" outlineLevel="0" collapsed="false">
      <c r="A4526" s="60"/>
      <c r="B4526" s="61" t="str">
        <f aca="false">IF($M4526=0,"",INDEX(Classes!$E$6:$E$420,$M4526))</f>
        <v/>
      </c>
      <c r="C4526" s="62" t="str">
        <f aca="false">IF($M4526=0,"",INDEX(Classes!$H$6:$H$420,$M4526))</f>
        <v/>
      </c>
      <c r="D4526" s="61" t="str">
        <f aca="false">IF($M4526=0,"",INDEX(Classes!$B$6:$B$420,$M4526))</f>
        <v/>
      </c>
      <c r="E4526" s="61" t="str">
        <f aca="false">IF($M4526=0,"",INDEX(Classes!$C$6:$C$420,$M4526))</f>
        <v/>
      </c>
      <c r="F4526" s="63"/>
      <c r="G4526" s="63"/>
      <c r="H4526" s="60"/>
      <c r="I4526" s="60"/>
      <c r="J4526" s="63"/>
      <c r="K4526" s="61" t="str">
        <f aca="false">IF($P4526=0,"",IF($F4526="Baseline","— Baseline",IF($O4526=0,"No result",IF($N4526=0,"No Start (attainment only)",IF(OR($N4526=1,$O4526=1),"U – needs rule",INDEX(MxBody,MATCH($I4526,MxCurr,0),MATCH($H4526,MxStart,0)))))))</f>
        <v/>
      </c>
      <c r="L4526" s="62" t="str">
        <f aca="false">IF(COUNTA($A4526,$F4526,$G4526,$H4526,$I4526,$J4526)=0,"",IF($M4526=0,"✖ كود الصف غير موجود",IF(ISNA(MATCH($F4526,Lists!$A$2:$A$5,0)),"✖ الفترة غير صحيحة",IF(ISNA(MATCH($G4526,Lists!$B$2:$B$7,0)),"✖ المجموعة غير صحيحة",IF(NOT(OR($H4526="",$N4526&gt;0)),"✖ Start غير صحيح",IF(NOT(OR($I4526="",$I4526="NR",$O4526&gt;0)),"✖ Current غير صحيح",IF(NOT(IF(ISNUMBER($J4526),AND($J4526&gt;=0,$J4526=INT($J4526)),FALSE())),"✖ العدد يجب أن يكون صحيحًا ≥ 0",IF(AND($F4526="Baseline",$H4526&lt;&gt;""),"⚠ Baseline: Start لا يدخل في التقدم",IF($K4526="No Start (attainment only)","ℹ تحصيل فقط (بدون Start)",IF($K4526="U – needs rule","ℹ حالة U تحتاج قاعدة معتمدة",IF($K4526="No result","ℹ بدون نتيجة (يُستبعد من التحصيل)","OK")))))))))))</f>
        <v/>
      </c>
      <c r="M4526" s="64" t="n">
        <f aca="false">IF($A4526="",0,IFERROR(MATCH($A4526,Classes!$A$6:$A$420,0),0))</f>
        <v>0</v>
      </c>
      <c r="N4526" s="64" t="n">
        <f aca="false">IF($H4526="",0,IFERROR(MATCH($H4526,GradeList,0),0))</f>
        <v>0</v>
      </c>
      <c r="O4526" s="64" t="n">
        <f aca="false">IF(OR($I4526="",$I4526="NR"),0,IFERROR(MATCH($I4526,GradeList,0),0))</f>
        <v>0</v>
      </c>
      <c r="P4526" s="64" t="n">
        <f aca="false">IF(AND($M4526&gt;0,ISNUMBER(MATCH($F4526,Lists!$A$2:$A$5,0)),ISNUMBER(MATCH($G4526,Lists!$B$2:$B$7,0)),OR($H4526="",$N4526&gt;0),OR($I4526="",$I4526="NR",$O4526&gt;0),IF(ISNUMBER($J4526),AND($J4526&gt;=0,$J4526=INT($J4526)),FALSE())),$J4526,0)</f>
        <v>0</v>
      </c>
      <c r="Q4526" s="64" t="n">
        <f aca="false">IF(AND($P4526&gt;0,$O4526&gt;0),$P4526,0)</f>
        <v>0</v>
      </c>
      <c r="R4526" s="64" t="n">
        <f aca="false">IF(AND($Q4526&gt;0,$O4526&gt;=AtRank),$Q4526,0)</f>
        <v>0</v>
      </c>
      <c r="S4526" s="64" t="n">
        <f aca="false">IF(AND($Q4526&gt;0,$O4526&gt;=AboveRank),$Q4526,0)</f>
        <v>0</v>
      </c>
      <c r="T4526" s="64" t="n">
        <f aca="false">IF($K4526="Less",$P4526,0)</f>
        <v>0</v>
      </c>
      <c r="U4526" s="64" t="n">
        <f aca="false">IF($K4526="Expected",$P4526,0)</f>
        <v>0</v>
      </c>
      <c r="V4526" s="64" t="n">
        <f aca="false">IF($K4526="Better",$P4526,0)</f>
        <v>0</v>
      </c>
      <c r="W4526" s="64" t="n">
        <f aca="false">IF($K4526="U – needs rule",$P4526,0)</f>
        <v>0</v>
      </c>
      <c r="X4526" s="64" t="n">
        <f aca="false">IF($K4526="No Start (attainment only)",$P4526,0)</f>
        <v>0</v>
      </c>
    </row>
    <row r="4527" customFormat="false" ht="15" hidden="false" customHeight="false" outlineLevel="0" collapsed="false">
      <c r="A4527" s="60"/>
      <c r="B4527" s="61" t="str">
        <f aca="false">IF($M4527=0,"",INDEX(Classes!$E$6:$E$420,$M4527))</f>
        <v/>
      </c>
      <c r="C4527" s="62" t="str">
        <f aca="false">IF($M4527=0,"",INDEX(Classes!$H$6:$H$420,$M4527))</f>
        <v/>
      </c>
      <c r="D4527" s="61" t="str">
        <f aca="false">IF($M4527=0,"",INDEX(Classes!$B$6:$B$420,$M4527))</f>
        <v/>
      </c>
      <c r="E4527" s="61" t="str">
        <f aca="false">IF($M4527=0,"",INDEX(Classes!$C$6:$C$420,$M4527))</f>
        <v/>
      </c>
      <c r="F4527" s="63"/>
      <c r="G4527" s="63"/>
      <c r="H4527" s="60"/>
      <c r="I4527" s="60"/>
      <c r="J4527" s="63"/>
      <c r="K4527" s="61" t="str">
        <f aca="false">IF($P4527=0,"",IF($F4527="Baseline","— Baseline",IF($O4527=0,"No result",IF($N4527=0,"No Start (attainment only)",IF(OR($N4527=1,$O4527=1),"U – needs rule",INDEX(MxBody,MATCH($I4527,MxCurr,0),MATCH($H4527,MxStart,0)))))))</f>
        <v/>
      </c>
      <c r="L4527" s="62" t="str">
        <f aca="false">IF(COUNTA($A4527,$F4527,$G4527,$H4527,$I4527,$J4527)=0,"",IF($M4527=0,"✖ كود الصف غير موجود",IF(ISNA(MATCH($F4527,Lists!$A$2:$A$5,0)),"✖ الفترة غير صحيحة",IF(ISNA(MATCH($G4527,Lists!$B$2:$B$7,0)),"✖ المجموعة غير صحيحة",IF(NOT(OR($H4527="",$N4527&gt;0)),"✖ Start غير صحيح",IF(NOT(OR($I4527="",$I4527="NR",$O4527&gt;0)),"✖ Current غير صحيح",IF(NOT(IF(ISNUMBER($J4527),AND($J4527&gt;=0,$J4527=INT($J4527)),FALSE())),"✖ العدد يجب أن يكون صحيحًا ≥ 0",IF(AND($F4527="Baseline",$H4527&lt;&gt;""),"⚠ Baseline: Start لا يدخل في التقدم",IF($K4527="No Start (attainment only)","ℹ تحصيل فقط (بدون Start)",IF($K4527="U – needs rule","ℹ حالة U تحتاج قاعدة معتمدة",IF($K4527="No result","ℹ بدون نتيجة (يُستبعد من التحصيل)","OK")))))))))))</f>
        <v/>
      </c>
      <c r="M4527" s="64" t="n">
        <f aca="false">IF($A4527="",0,IFERROR(MATCH($A4527,Classes!$A$6:$A$420,0),0))</f>
        <v>0</v>
      </c>
      <c r="N4527" s="64" t="n">
        <f aca="false">IF($H4527="",0,IFERROR(MATCH($H4527,GradeList,0),0))</f>
        <v>0</v>
      </c>
      <c r="O4527" s="64" t="n">
        <f aca="false">IF(OR($I4527="",$I4527="NR"),0,IFERROR(MATCH($I4527,GradeList,0),0))</f>
        <v>0</v>
      </c>
      <c r="P4527" s="64" t="n">
        <f aca="false">IF(AND($M4527&gt;0,ISNUMBER(MATCH($F4527,Lists!$A$2:$A$5,0)),ISNUMBER(MATCH($G4527,Lists!$B$2:$B$7,0)),OR($H4527="",$N4527&gt;0),OR($I4527="",$I4527="NR",$O4527&gt;0),IF(ISNUMBER($J4527),AND($J4527&gt;=0,$J4527=INT($J4527)),FALSE())),$J4527,0)</f>
        <v>0</v>
      </c>
      <c r="Q4527" s="64" t="n">
        <f aca="false">IF(AND($P4527&gt;0,$O4527&gt;0),$P4527,0)</f>
        <v>0</v>
      </c>
      <c r="R4527" s="64" t="n">
        <f aca="false">IF(AND($Q4527&gt;0,$O4527&gt;=AtRank),$Q4527,0)</f>
        <v>0</v>
      </c>
      <c r="S4527" s="64" t="n">
        <f aca="false">IF(AND($Q4527&gt;0,$O4527&gt;=AboveRank),$Q4527,0)</f>
        <v>0</v>
      </c>
      <c r="T4527" s="64" t="n">
        <f aca="false">IF($K4527="Less",$P4527,0)</f>
        <v>0</v>
      </c>
      <c r="U4527" s="64" t="n">
        <f aca="false">IF($K4527="Expected",$P4527,0)</f>
        <v>0</v>
      </c>
      <c r="V4527" s="64" t="n">
        <f aca="false">IF($K4527="Better",$P4527,0)</f>
        <v>0</v>
      </c>
      <c r="W4527" s="64" t="n">
        <f aca="false">IF($K4527="U – needs rule",$P4527,0)</f>
        <v>0</v>
      </c>
      <c r="X4527" s="64" t="n">
        <f aca="false">IF($K4527="No Start (attainment only)",$P4527,0)</f>
        <v>0</v>
      </c>
    </row>
    <row r="4528" customFormat="false" ht="15" hidden="false" customHeight="false" outlineLevel="0" collapsed="false">
      <c r="A4528" s="60"/>
      <c r="B4528" s="61" t="str">
        <f aca="false">IF($M4528=0,"",INDEX(Classes!$E$6:$E$420,$M4528))</f>
        <v/>
      </c>
      <c r="C4528" s="62" t="str">
        <f aca="false">IF($M4528=0,"",INDEX(Classes!$H$6:$H$420,$M4528))</f>
        <v/>
      </c>
      <c r="D4528" s="61" t="str">
        <f aca="false">IF($M4528=0,"",INDEX(Classes!$B$6:$B$420,$M4528))</f>
        <v/>
      </c>
      <c r="E4528" s="61" t="str">
        <f aca="false">IF($M4528=0,"",INDEX(Classes!$C$6:$C$420,$M4528))</f>
        <v/>
      </c>
      <c r="F4528" s="63"/>
      <c r="G4528" s="63"/>
      <c r="H4528" s="60"/>
      <c r="I4528" s="60"/>
      <c r="J4528" s="63"/>
      <c r="K4528" s="61" t="str">
        <f aca="false">IF($P4528=0,"",IF($F4528="Baseline","— Baseline",IF($O4528=0,"No result",IF($N4528=0,"No Start (attainment only)",IF(OR($N4528=1,$O4528=1),"U – needs rule",INDEX(MxBody,MATCH($I4528,MxCurr,0),MATCH($H4528,MxStart,0)))))))</f>
        <v/>
      </c>
      <c r="L4528" s="62" t="str">
        <f aca="false">IF(COUNTA($A4528,$F4528,$G4528,$H4528,$I4528,$J4528)=0,"",IF($M4528=0,"✖ كود الصف غير موجود",IF(ISNA(MATCH($F4528,Lists!$A$2:$A$5,0)),"✖ الفترة غير صحيحة",IF(ISNA(MATCH($G4528,Lists!$B$2:$B$7,0)),"✖ المجموعة غير صحيحة",IF(NOT(OR($H4528="",$N4528&gt;0)),"✖ Start غير صحيح",IF(NOT(OR($I4528="",$I4528="NR",$O4528&gt;0)),"✖ Current غير صحيح",IF(NOT(IF(ISNUMBER($J4528),AND($J4528&gt;=0,$J4528=INT($J4528)),FALSE())),"✖ العدد يجب أن يكون صحيحًا ≥ 0",IF(AND($F4528="Baseline",$H4528&lt;&gt;""),"⚠ Baseline: Start لا يدخل في التقدم",IF($K4528="No Start (attainment only)","ℹ تحصيل فقط (بدون Start)",IF($K4528="U – needs rule","ℹ حالة U تحتاج قاعدة معتمدة",IF($K4528="No result","ℹ بدون نتيجة (يُستبعد من التحصيل)","OK")))))))))))</f>
        <v/>
      </c>
      <c r="M4528" s="64" t="n">
        <f aca="false">IF($A4528="",0,IFERROR(MATCH($A4528,Classes!$A$6:$A$420,0),0))</f>
        <v>0</v>
      </c>
      <c r="N4528" s="64" t="n">
        <f aca="false">IF($H4528="",0,IFERROR(MATCH($H4528,GradeList,0),0))</f>
        <v>0</v>
      </c>
      <c r="O4528" s="64" t="n">
        <f aca="false">IF(OR($I4528="",$I4528="NR"),0,IFERROR(MATCH($I4528,GradeList,0),0))</f>
        <v>0</v>
      </c>
      <c r="P4528" s="64" t="n">
        <f aca="false">IF(AND($M4528&gt;0,ISNUMBER(MATCH($F4528,Lists!$A$2:$A$5,0)),ISNUMBER(MATCH($G4528,Lists!$B$2:$B$7,0)),OR($H4528="",$N4528&gt;0),OR($I4528="",$I4528="NR",$O4528&gt;0),IF(ISNUMBER($J4528),AND($J4528&gt;=0,$J4528=INT($J4528)),FALSE())),$J4528,0)</f>
        <v>0</v>
      </c>
      <c r="Q4528" s="64" t="n">
        <f aca="false">IF(AND($P4528&gt;0,$O4528&gt;0),$P4528,0)</f>
        <v>0</v>
      </c>
      <c r="R4528" s="64" t="n">
        <f aca="false">IF(AND($Q4528&gt;0,$O4528&gt;=AtRank),$Q4528,0)</f>
        <v>0</v>
      </c>
      <c r="S4528" s="64" t="n">
        <f aca="false">IF(AND($Q4528&gt;0,$O4528&gt;=AboveRank),$Q4528,0)</f>
        <v>0</v>
      </c>
      <c r="T4528" s="64" t="n">
        <f aca="false">IF($K4528="Less",$P4528,0)</f>
        <v>0</v>
      </c>
      <c r="U4528" s="64" t="n">
        <f aca="false">IF($K4528="Expected",$P4528,0)</f>
        <v>0</v>
      </c>
      <c r="V4528" s="64" t="n">
        <f aca="false">IF($K4528="Better",$P4528,0)</f>
        <v>0</v>
      </c>
      <c r="W4528" s="64" t="n">
        <f aca="false">IF($K4528="U – needs rule",$P4528,0)</f>
        <v>0</v>
      </c>
      <c r="X4528" s="64" t="n">
        <f aca="false">IF($K4528="No Start (attainment only)",$P4528,0)</f>
        <v>0</v>
      </c>
    </row>
    <row r="4529" customFormat="false" ht="15" hidden="false" customHeight="false" outlineLevel="0" collapsed="false">
      <c r="A4529" s="60"/>
      <c r="B4529" s="61" t="str">
        <f aca="false">IF($M4529=0,"",INDEX(Classes!$E$6:$E$420,$M4529))</f>
        <v/>
      </c>
      <c r="C4529" s="62" t="str">
        <f aca="false">IF($M4529=0,"",INDEX(Classes!$H$6:$H$420,$M4529))</f>
        <v/>
      </c>
      <c r="D4529" s="61" t="str">
        <f aca="false">IF($M4529=0,"",INDEX(Classes!$B$6:$B$420,$M4529))</f>
        <v/>
      </c>
      <c r="E4529" s="61" t="str">
        <f aca="false">IF($M4529=0,"",INDEX(Classes!$C$6:$C$420,$M4529))</f>
        <v/>
      </c>
      <c r="F4529" s="63"/>
      <c r="G4529" s="63"/>
      <c r="H4529" s="60"/>
      <c r="I4529" s="60"/>
      <c r="J4529" s="63"/>
      <c r="K4529" s="61" t="str">
        <f aca="false">IF($P4529=0,"",IF($F4529="Baseline","— Baseline",IF($O4529=0,"No result",IF($N4529=0,"No Start (attainment only)",IF(OR($N4529=1,$O4529=1),"U – needs rule",INDEX(MxBody,MATCH($I4529,MxCurr,0),MATCH($H4529,MxStart,0)))))))</f>
        <v/>
      </c>
      <c r="L4529" s="62" t="str">
        <f aca="false">IF(COUNTA($A4529,$F4529,$G4529,$H4529,$I4529,$J4529)=0,"",IF($M4529=0,"✖ كود الصف غير موجود",IF(ISNA(MATCH($F4529,Lists!$A$2:$A$5,0)),"✖ الفترة غير صحيحة",IF(ISNA(MATCH($G4529,Lists!$B$2:$B$7,0)),"✖ المجموعة غير صحيحة",IF(NOT(OR($H4529="",$N4529&gt;0)),"✖ Start غير صحيح",IF(NOT(OR($I4529="",$I4529="NR",$O4529&gt;0)),"✖ Current غير صحيح",IF(NOT(IF(ISNUMBER($J4529),AND($J4529&gt;=0,$J4529=INT($J4529)),FALSE())),"✖ العدد يجب أن يكون صحيحًا ≥ 0",IF(AND($F4529="Baseline",$H4529&lt;&gt;""),"⚠ Baseline: Start لا يدخل في التقدم",IF($K4529="No Start (attainment only)","ℹ تحصيل فقط (بدون Start)",IF($K4529="U – needs rule","ℹ حالة U تحتاج قاعدة معتمدة",IF($K4529="No result","ℹ بدون نتيجة (يُستبعد من التحصيل)","OK")))))))))))</f>
        <v/>
      </c>
      <c r="M4529" s="64" t="n">
        <f aca="false">IF($A4529="",0,IFERROR(MATCH($A4529,Classes!$A$6:$A$420,0),0))</f>
        <v>0</v>
      </c>
      <c r="N4529" s="64" t="n">
        <f aca="false">IF($H4529="",0,IFERROR(MATCH($H4529,GradeList,0),0))</f>
        <v>0</v>
      </c>
      <c r="O4529" s="64" t="n">
        <f aca="false">IF(OR($I4529="",$I4529="NR"),0,IFERROR(MATCH($I4529,GradeList,0),0))</f>
        <v>0</v>
      </c>
      <c r="P4529" s="64" t="n">
        <f aca="false">IF(AND($M4529&gt;0,ISNUMBER(MATCH($F4529,Lists!$A$2:$A$5,0)),ISNUMBER(MATCH($G4529,Lists!$B$2:$B$7,0)),OR($H4529="",$N4529&gt;0),OR($I4529="",$I4529="NR",$O4529&gt;0),IF(ISNUMBER($J4529),AND($J4529&gt;=0,$J4529=INT($J4529)),FALSE())),$J4529,0)</f>
        <v>0</v>
      </c>
      <c r="Q4529" s="64" t="n">
        <f aca="false">IF(AND($P4529&gt;0,$O4529&gt;0),$P4529,0)</f>
        <v>0</v>
      </c>
      <c r="R4529" s="64" t="n">
        <f aca="false">IF(AND($Q4529&gt;0,$O4529&gt;=AtRank),$Q4529,0)</f>
        <v>0</v>
      </c>
      <c r="S4529" s="64" t="n">
        <f aca="false">IF(AND($Q4529&gt;0,$O4529&gt;=AboveRank),$Q4529,0)</f>
        <v>0</v>
      </c>
      <c r="T4529" s="64" t="n">
        <f aca="false">IF($K4529="Less",$P4529,0)</f>
        <v>0</v>
      </c>
      <c r="U4529" s="64" t="n">
        <f aca="false">IF($K4529="Expected",$P4529,0)</f>
        <v>0</v>
      </c>
      <c r="V4529" s="64" t="n">
        <f aca="false">IF($K4529="Better",$P4529,0)</f>
        <v>0</v>
      </c>
      <c r="W4529" s="64" t="n">
        <f aca="false">IF($K4529="U – needs rule",$P4529,0)</f>
        <v>0</v>
      </c>
      <c r="X4529" s="64" t="n">
        <f aca="false">IF($K4529="No Start (attainment only)",$P4529,0)</f>
        <v>0</v>
      </c>
    </row>
    <row r="4530" customFormat="false" ht="15" hidden="false" customHeight="false" outlineLevel="0" collapsed="false">
      <c r="A4530" s="60"/>
      <c r="B4530" s="61" t="str">
        <f aca="false">IF($M4530=0,"",INDEX(Classes!$E$6:$E$420,$M4530))</f>
        <v/>
      </c>
      <c r="C4530" s="62" t="str">
        <f aca="false">IF($M4530=0,"",INDEX(Classes!$H$6:$H$420,$M4530))</f>
        <v/>
      </c>
      <c r="D4530" s="61" t="str">
        <f aca="false">IF($M4530=0,"",INDEX(Classes!$B$6:$B$420,$M4530))</f>
        <v/>
      </c>
      <c r="E4530" s="61" t="str">
        <f aca="false">IF($M4530=0,"",INDEX(Classes!$C$6:$C$420,$M4530))</f>
        <v/>
      </c>
      <c r="F4530" s="63"/>
      <c r="G4530" s="63"/>
      <c r="H4530" s="60"/>
      <c r="I4530" s="60"/>
      <c r="J4530" s="63"/>
      <c r="K4530" s="61" t="str">
        <f aca="false">IF($P4530=0,"",IF($F4530="Baseline","— Baseline",IF($O4530=0,"No result",IF($N4530=0,"No Start (attainment only)",IF(OR($N4530=1,$O4530=1),"U – needs rule",INDEX(MxBody,MATCH($I4530,MxCurr,0),MATCH($H4530,MxStart,0)))))))</f>
        <v/>
      </c>
      <c r="L4530" s="62" t="str">
        <f aca="false">IF(COUNTA($A4530,$F4530,$G4530,$H4530,$I4530,$J4530)=0,"",IF($M4530=0,"✖ كود الصف غير موجود",IF(ISNA(MATCH($F4530,Lists!$A$2:$A$5,0)),"✖ الفترة غير صحيحة",IF(ISNA(MATCH($G4530,Lists!$B$2:$B$7,0)),"✖ المجموعة غير صحيحة",IF(NOT(OR($H4530="",$N4530&gt;0)),"✖ Start غير صحيح",IF(NOT(OR($I4530="",$I4530="NR",$O4530&gt;0)),"✖ Current غير صحيح",IF(NOT(IF(ISNUMBER($J4530),AND($J4530&gt;=0,$J4530=INT($J4530)),FALSE())),"✖ العدد يجب أن يكون صحيحًا ≥ 0",IF(AND($F4530="Baseline",$H4530&lt;&gt;""),"⚠ Baseline: Start لا يدخل في التقدم",IF($K4530="No Start (attainment only)","ℹ تحصيل فقط (بدون Start)",IF($K4530="U – needs rule","ℹ حالة U تحتاج قاعدة معتمدة",IF($K4530="No result","ℹ بدون نتيجة (يُستبعد من التحصيل)","OK")))))))))))</f>
        <v/>
      </c>
      <c r="M4530" s="64" t="n">
        <f aca="false">IF($A4530="",0,IFERROR(MATCH($A4530,Classes!$A$6:$A$420,0),0))</f>
        <v>0</v>
      </c>
      <c r="N4530" s="64" t="n">
        <f aca="false">IF($H4530="",0,IFERROR(MATCH($H4530,GradeList,0),0))</f>
        <v>0</v>
      </c>
      <c r="O4530" s="64" t="n">
        <f aca="false">IF(OR($I4530="",$I4530="NR"),0,IFERROR(MATCH($I4530,GradeList,0),0))</f>
        <v>0</v>
      </c>
      <c r="P4530" s="64" t="n">
        <f aca="false">IF(AND($M4530&gt;0,ISNUMBER(MATCH($F4530,Lists!$A$2:$A$5,0)),ISNUMBER(MATCH($G4530,Lists!$B$2:$B$7,0)),OR($H4530="",$N4530&gt;0),OR($I4530="",$I4530="NR",$O4530&gt;0),IF(ISNUMBER($J4530),AND($J4530&gt;=0,$J4530=INT($J4530)),FALSE())),$J4530,0)</f>
        <v>0</v>
      </c>
      <c r="Q4530" s="64" t="n">
        <f aca="false">IF(AND($P4530&gt;0,$O4530&gt;0),$P4530,0)</f>
        <v>0</v>
      </c>
      <c r="R4530" s="64" t="n">
        <f aca="false">IF(AND($Q4530&gt;0,$O4530&gt;=AtRank),$Q4530,0)</f>
        <v>0</v>
      </c>
      <c r="S4530" s="64" t="n">
        <f aca="false">IF(AND($Q4530&gt;0,$O4530&gt;=AboveRank),$Q4530,0)</f>
        <v>0</v>
      </c>
      <c r="T4530" s="64" t="n">
        <f aca="false">IF($K4530="Less",$P4530,0)</f>
        <v>0</v>
      </c>
      <c r="U4530" s="64" t="n">
        <f aca="false">IF($K4530="Expected",$P4530,0)</f>
        <v>0</v>
      </c>
      <c r="V4530" s="64" t="n">
        <f aca="false">IF($K4530="Better",$P4530,0)</f>
        <v>0</v>
      </c>
      <c r="W4530" s="64" t="n">
        <f aca="false">IF($K4530="U – needs rule",$P4530,0)</f>
        <v>0</v>
      </c>
      <c r="X4530" s="64" t="n">
        <f aca="false">IF($K4530="No Start (attainment only)",$P4530,0)</f>
        <v>0</v>
      </c>
    </row>
    <row r="4531" customFormat="false" ht="15" hidden="false" customHeight="false" outlineLevel="0" collapsed="false">
      <c r="A4531" s="60"/>
      <c r="B4531" s="61" t="str">
        <f aca="false">IF($M4531=0,"",INDEX(Classes!$E$6:$E$420,$M4531))</f>
        <v/>
      </c>
      <c r="C4531" s="62" t="str">
        <f aca="false">IF($M4531=0,"",INDEX(Classes!$H$6:$H$420,$M4531))</f>
        <v/>
      </c>
      <c r="D4531" s="61" t="str">
        <f aca="false">IF($M4531=0,"",INDEX(Classes!$B$6:$B$420,$M4531))</f>
        <v/>
      </c>
      <c r="E4531" s="61" t="str">
        <f aca="false">IF($M4531=0,"",INDEX(Classes!$C$6:$C$420,$M4531))</f>
        <v/>
      </c>
      <c r="F4531" s="63"/>
      <c r="G4531" s="63"/>
      <c r="H4531" s="60"/>
      <c r="I4531" s="60"/>
      <c r="J4531" s="63"/>
      <c r="K4531" s="61" t="str">
        <f aca="false">IF($P4531=0,"",IF($F4531="Baseline","— Baseline",IF($O4531=0,"No result",IF($N4531=0,"No Start (attainment only)",IF(OR($N4531=1,$O4531=1),"U – needs rule",INDEX(MxBody,MATCH($I4531,MxCurr,0),MATCH($H4531,MxStart,0)))))))</f>
        <v/>
      </c>
      <c r="L4531" s="62" t="str">
        <f aca="false">IF(COUNTA($A4531,$F4531,$G4531,$H4531,$I4531,$J4531)=0,"",IF($M4531=0,"✖ كود الصف غير موجود",IF(ISNA(MATCH($F4531,Lists!$A$2:$A$5,0)),"✖ الفترة غير صحيحة",IF(ISNA(MATCH($G4531,Lists!$B$2:$B$7,0)),"✖ المجموعة غير صحيحة",IF(NOT(OR($H4531="",$N4531&gt;0)),"✖ Start غير صحيح",IF(NOT(OR($I4531="",$I4531="NR",$O4531&gt;0)),"✖ Current غير صحيح",IF(NOT(IF(ISNUMBER($J4531),AND($J4531&gt;=0,$J4531=INT($J4531)),FALSE())),"✖ العدد يجب أن يكون صحيحًا ≥ 0",IF(AND($F4531="Baseline",$H4531&lt;&gt;""),"⚠ Baseline: Start لا يدخل في التقدم",IF($K4531="No Start (attainment only)","ℹ تحصيل فقط (بدون Start)",IF($K4531="U – needs rule","ℹ حالة U تحتاج قاعدة معتمدة",IF($K4531="No result","ℹ بدون نتيجة (يُستبعد من التحصيل)","OK")))))))))))</f>
        <v/>
      </c>
      <c r="M4531" s="64" t="n">
        <f aca="false">IF($A4531="",0,IFERROR(MATCH($A4531,Classes!$A$6:$A$420,0),0))</f>
        <v>0</v>
      </c>
      <c r="N4531" s="64" t="n">
        <f aca="false">IF($H4531="",0,IFERROR(MATCH($H4531,GradeList,0),0))</f>
        <v>0</v>
      </c>
      <c r="O4531" s="64" t="n">
        <f aca="false">IF(OR($I4531="",$I4531="NR"),0,IFERROR(MATCH($I4531,GradeList,0),0))</f>
        <v>0</v>
      </c>
      <c r="P4531" s="64" t="n">
        <f aca="false">IF(AND($M4531&gt;0,ISNUMBER(MATCH($F4531,Lists!$A$2:$A$5,0)),ISNUMBER(MATCH($G4531,Lists!$B$2:$B$7,0)),OR($H4531="",$N4531&gt;0),OR($I4531="",$I4531="NR",$O4531&gt;0),IF(ISNUMBER($J4531),AND($J4531&gt;=0,$J4531=INT($J4531)),FALSE())),$J4531,0)</f>
        <v>0</v>
      </c>
      <c r="Q4531" s="64" t="n">
        <f aca="false">IF(AND($P4531&gt;0,$O4531&gt;0),$P4531,0)</f>
        <v>0</v>
      </c>
      <c r="R4531" s="64" t="n">
        <f aca="false">IF(AND($Q4531&gt;0,$O4531&gt;=AtRank),$Q4531,0)</f>
        <v>0</v>
      </c>
      <c r="S4531" s="64" t="n">
        <f aca="false">IF(AND($Q4531&gt;0,$O4531&gt;=AboveRank),$Q4531,0)</f>
        <v>0</v>
      </c>
      <c r="T4531" s="64" t="n">
        <f aca="false">IF($K4531="Less",$P4531,0)</f>
        <v>0</v>
      </c>
      <c r="U4531" s="64" t="n">
        <f aca="false">IF($K4531="Expected",$P4531,0)</f>
        <v>0</v>
      </c>
      <c r="V4531" s="64" t="n">
        <f aca="false">IF($K4531="Better",$P4531,0)</f>
        <v>0</v>
      </c>
      <c r="W4531" s="64" t="n">
        <f aca="false">IF($K4531="U – needs rule",$P4531,0)</f>
        <v>0</v>
      </c>
      <c r="X4531" s="64" t="n">
        <f aca="false">IF($K4531="No Start (attainment only)",$P4531,0)</f>
        <v>0</v>
      </c>
    </row>
    <row r="4532" customFormat="false" ht="15" hidden="false" customHeight="false" outlineLevel="0" collapsed="false">
      <c r="A4532" s="60"/>
      <c r="B4532" s="61" t="str">
        <f aca="false">IF($M4532=0,"",INDEX(Classes!$E$6:$E$420,$M4532))</f>
        <v/>
      </c>
      <c r="C4532" s="62" t="str">
        <f aca="false">IF($M4532=0,"",INDEX(Classes!$H$6:$H$420,$M4532))</f>
        <v/>
      </c>
      <c r="D4532" s="61" t="str">
        <f aca="false">IF($M4532=0,"",INDEX(Classes!$B$6:$B$420,$M4532))</f>
        <v/>
      </c>
      <c r="E4532" s="61" t="str">
        <f aca="false">IF($M4532=0,"",INDEX(Classes!$C$6:$C$420,$M4532))</f>
        <v/>
      </c>
      <c r="F4532" s="63"/>
      <c r="G4532" s="63"/>
      <c r="H4532" s="60"/>
      <c r="I4532" s="60"/>
      <c r="J4532" s="63"/>
      <c r="K4532" s="61" t="str">
        <f aca="false">IF($P4532=0,"",IF($F4532="Baseline","— Baseline",IF($O4532=0,"No result",IF($N4532=0,"No Start (attainment only)",IF(OR($N4532=1,$O4532=1),"U – needs rule",INDEX(MxBody,MATCH($I4532,MxCurr,0),MATCH($H4532,MxStart,0)))))))</f>
        <v/>
      </c>
      <c r="L4532" s="62" t="str">
        <f aca="false">IF(COUNTA($A4532,$F4532,$G4532,$H4532,$I4532,$J4532)=0,"",IF($M4532=0,"✖ كود الصف غير موجود",IF(ISNA(MATCH($F4532,Lists!$A$2:$A$5,0)),"✖ الفترة غير صحيحة",IF(ISNA(MATCH($G4532,Lists!$B$2:$B$7,0)),"✖ المجموعة غير صحيحة",IF(NOT(OR($H4532="",$N4532&gt;0)),"✖ Start غير صحيح",IF(NOT(OR($I4532="",$I4532="NR",$O4532&gt;0)),"✖ Current غير صحيح",IF(NOT(IF(ISNUMBER($J4532),AND($J4532&gt;=0,$J4532=INT($J4532)),FALSE())),"✖ العدد يجب أن يكون صحيحًا ≥ 0",IF(AND($F4532="Baseline",$H4532&lt;&gt;""),"⚠ Baseline: Start لا يدخل في التقدم",IF($K4532="No Start (attainment only)","ℹ تحصيل فقط (بدون Start)",IF($K4532="U – needs rule","ℹ حالة U تحتاج قاعدة معتمدة",IF($K4532="No result","ℹ بدون نتيجة (يُستبعد من التحصيل)","OK")))))))))))</f>
        <v/>
      </c>
      <c r="M4532" s="64" t="n">
        <f aca="false">IF($A4532="",0,IFERROR(MATCH($A4532,Classes!$A$6:$A$420,0),0))</f>
        <v>0</v>
      </c>
      <c r="N4532" s="64" t="n">
        <f aca="false">IF($H4532="",0,IFERROR(MATCH($H4532,GradeList,0),0))</f>
        <v>0</v>
      </c>
      <c r="O4532" s="64" t="n">
        <f aca="false">IF(OR($I4532="",$I4532="NR"),0,IFERROR(MATCH($I4532,GradeList,0),0))</f>
        <v>0</v>
      </c>
      <c r="P4532" s="64" t="n">
        <f aca="false">IF(AND($M4532&gt;0,ISNUMBER(MATCH($F4532,Lists!$A$2:$A$5,0)),ISNUMBER(MATCH($G4532,Lists!$B$2:$B$7,0)),OR($H4532="",$N4532&gt;0),OR($I4532="",$I4532="NR",$O4532&gt;0),IF(ISNUMBER($J4532),AND($J4532&gt;=0,$J4532=INT($J4532)),FALSE())),$J4532,0)</f>
        <v>0</v>
      </c>
      <c r="Q4532" s="64" t="n">
        <f aca="false">IF(AND($P4532&gt;0,$O4532&gt;0),$P4532,0)</f>
        <v>0</v>
      </c>
      <c r="R4532" s="64" t="n">
        <f aca="false">IF(AND($Q4532&gt;0,$O4532&gt;=AtRank),$Q4532,0)</f>
        <v>0</v>
      </c>
      <c r="S4532" s="64" t="n">
        <f aca="false">IF(AND($Q4532&gt;0,$O4532&gt;=AboveRank),$Q4532,0)</f>
        <v>0</v>
      </c>
      <c r="T4532" s="64" t="n">
        <f aca="false">IF($K4532="Less",$P4532,0)</f>
        <v>0</v>
      </c>
      <c r="U4532" s="64" t="n">
        <f aca="false">IF($K4532="Expected",$P4532,0)</f>
        <v>0</v>
      </c>
      <c r="V4532" s="64" t="n">
        <f aca="false">IF($K4532="Better",$P4532,0)</f>
        <v>0</v>
      </c>
      <c r="W4532" s="64" t="n">
        <f aca="false">IF($K4532="U – needs rule",$P4532,0)</f>
        <v>0</v>
      </c>
      <c r="X4532" s="64" t="n">
        <f aca="false">IF($K4532="No Start (attainment only)",$P4532,0)</f>
        <v>0</v>
      </c>
    </row>
    <row r="4533" customFormat="false" ht="15" hidden="false" customHeight="false" outlineLevel="0" collapsed="false">
      <c r="A4533" s="60"/>
      <c r="B4533" s="61" t="str">
        <f aca="false">IF($M4533=0,"",INDEX(Classes!$E$6:$E$420,$M4533))</f>
        <v/>
      </c>
      <c r="C4533" s="62" t="str">
        <f aca="false">IF($M4533=0,"",INDEX(Classes!$H$6:$H$420,$M4533))</f>
        <v/>
      </c>
      <c r="D4533" s="61" t="str">
        <f aca="false">IF($M4533=0,"",INDEX(Classes!$B$6:$B$420,$M4533))</f>
        <v/>
      </c>
      <c r="E4533" s="61" t="str">
        <f aca="false">IF($M4533=0,"",INDEX(Classes!$C$6:$C$420,$M4533))</f>
        <v/>
      </c>
      <c r="F4533" s="63"/>
      <c r="G4533" s="63"/>
      <c r="H4533" s="60"/>
      <c r="I4533" s="60"/>
      <c r="J4533" s="63"/>
      <c r="K4533" s="61" t="str">
        <f aca="false">IF($P4533=0,"",IF($F4533="Baseline","— Baseline",IF($O4533=0,"No result",IF($N4533=0,"No Start (attainment only)",IF(OR($N4533=1,$O4533=1),"U – needs rule",INDEX(MxBody,MATCH($I4533,MxCurr,0),MATCH($H4533,MxStart,0)))))))</f>
        <v/>
      </c>
      <c r="L4533" s="62" t="str">
        <f aca="false">IF(COUNTA($A4533,$F4533,$G4533,$H4533,$I4533,$J4533)=0,"",IF($M4533=0,"✖ كود الصف غير موجود",IF(ISNA(MATCH($F4533,Lists!$A$2:$A$5,0)),"✖ الفترة غير صحيحة",IF(ISNA(MATCH($G4533,Lists!$B$2:$B$7,0)),"✖ المجموعة غير صحيحة",IF(NOT(OR($H4533="",$N4533&gt;0)),"✖ Start غير صحيح",IF(NOT(OR($I4533="",$I4533="NR",$O4533&gt;0)),"✖ Current غير صحيح",IF(NOT(IF(ISNUMBER($J4533),AND($J4533&gt;=0,$J4533=INT($J4533)),FALSE())),"✖ العدد يجب أن يكون صحيحًا ≥ 0",IF(AND($F4533="Baseline",$H4533&lt;&gt;""),"⚠ Baseline: Start لا يدخل في التقدم",IF($K4533="No Start (attainment only)","ℹ تحصيل فقط (بدون Start)",IF($K4533="U – needs rule","ℹ حالة U تحتاج قاعدة معتمدة",IF($K4533="No result","ℹ بدون نتيجة (يُستبعد من التحصيل)","OK")))))))))))</f>
        <v/>
      </c>
      <c r="M4533" s="64" t="n">
        <f aca="false">IF($A4533="",0,IFERROR(MATCH($A4533,Classes!$A$6:$A$420,0),0))</f>
        <v>0</v>
      </c>
      <c r="N4533" s="64" t="n">
        <f aca="false">IF($H4533="",0,IFERROR(MATCH($H4533,GradeList,0),0))</f>
        <v>0</v>
      </c>
      <c r="O4533" s="64" t="n">
        <f aca="false">IF(OR($I4533="",$I4533="NR"),0,IFERROR(MATCH($I4533,GradeList,0),0))</f>
        <v>0</v>
      </c>
      <c r="P4533" s="64" t="n">
        <f aca="false">IF(AND($M4533&gt;0,ISNUMBER(MATCH($F4533,Lists!$A$2:$A$5,0)),ISNUMBER(MATCH($G4533,Lists!$B$2:$B$7,0)),OR($H4533="",$N4533&gt;0),OR($I4533="",$I4533="NR",$O4533&gt;0),IF(ISNUMBER($J4533),AND($J4533&gt;=0,$J4533=INT($J4533)),FALSE())),$J4533,0)</f>
        <v>0</v>
      </c>
      <c r="Q4533" s="64" t="n">
        <f aca="false">IF(AND($P4533&gt;0,$O4533&gt;0),$P4533,0)</f>
        <v>0</v>
      </c>
      <c r="R4533" s="64" t="n">
        <f aca="false">IF(AND($Q4533&gt;0,$O4533&gt;=AtRank),$Q4533,0)</f>
        <v>0</v>
      </c>
      <c r="S4533" s="64" t="n">
        <f aca="false">IF(AND($Q4533&gt;0,$O4533&gt;=AboveRank),$Q4533,0)</f>
        <v>0</v>
      </c>
      <c r="T4533" s="64" t="n">
        <f aca="false">IF($K4533="Less",$P4533,0)</f>
        <v>0</v>
      </c>
      <c r="U4533" s="64" t="n">
        <f aca="false">IF($K4533="Expected",$P4533,0)</f>
        <v>0</v>
      </c>
      <c r="V4533" s="64" t="n">
        <f aca="false">IF($K4533="Better",$P4533,0)</f>
        <v>0</v>
      </c>
      <c r="W4533" s="64" t="n">
        <f aca="false">IF($K4533="U – needs rule",$P4533,0)</f>
        <v>0</v>
      </c>
      <c r="X4533" s="64" t="n">
        <f aca="false">IF($K4533="No Start (attainment only)",$P4533,0)</f>
        <v>0</v>
      </c>
    </row>
    <row r="4534" customFormat="false" ht="15" hidden="false" customHeight="false" outlineLevel="0" collapsed="false">
      <c r="A4534" s="60"/>
      <c r="B4534" s="61" t="str">
        <f aca="false">IF($M4534=0,"",INDEX(Classes!$E$6:$E$420,$M4534))</f>
        <v/>
      </c>
      <c r="C4534" s="62" t="str">
        <f aca="false">IF($M4534=0,"",INDEX(Classes!$H$6:$H$420,$M4534))</f>
        <v/>
      </c>
      <c r="D4534" s="61" t="str">
        <f aca="false">IF($M4534=0,"",INDEX(Classes!$B$6:$B$420,$M4534))</f>
        <v/>
      </c>
      <c r="E4534" s="61" t="str">
        <f aca="false">IF($M4534=0,"",INDEX(Classes!$C$6:$C$420,$M4534))</f>
        <v/>
      </c>
      <c r="F4534" s="63"/>
      <c r="G4534" s="63"/>
      <c r="H4534" s="60"/>
      <c r="I4534" s="60"/>
      <c r="J4534" s="63"/>
      <c r="K4534" s="61" t="str">
        <f aca="false">IF($P4534=0,"",IF($F4534="Baseline","— Baseline",IF($O4534=0,"No result",IF($N4534=0,"No Start (attainment only)",IF(OR($N4534=1,$O4534=1),"U – needs rule",INDEX(MxBody,MATCH($I4534,MxCurr,0),MATCH($H4534,MxStart,0)))))))</f>
        <v/>
      </c>
      <c r="L4534" s="62" t="str">
        <f aca="false">IF(COUNTA($A4534,$F4534,$G4534,$H4534,$I4534,$J4534)=0,"",IF($M4534=0,"✖ كود الصف غير موجود",IF(ISNA(MATCH($F4534,Lists!$A$2:$A$5,0)),"✖ الفترة غير صحيحة",IF(ISNA(MATCH($G4534,Lists!$B$2:$B$7,0)),"✖ المجموعة غير صحيحة",IF(NOT(OR($H4534="",$N4534&gt;0)),"✖ Start غير صحيح",IF(NOT(OR($I4534="",$I4534="NR",$O4534&gt;0)),"✖ Current غير صحيح",IF(NOT(IF(ISNUMBER($J4534),AND($J4534&gt;=0,$J4534=INT($J4534)),FALSE())),"✖ العدد يجب أن يكون صحيحًا ≥ 0",IF(AND($F4534="Baseline",$H4534&lt;&gt;""),"⚠ Baseline: Start لا يدخل في التقدم",IF($K4534="No Start (attainment only)","ℹ تحصيل فقط (بدون Start)",IF($K4534="U – needs rule","ℹ حالة U تحتاج قاعدة معتمدة",IF($K4534="No result","ℹ بدون نتيجة (يُستبعد من التحصيل)","OK")))))))))))</f>
        <v/>
      </c>
      <c r="M4534" s="64" t="n">
        <f aca="false">IF($A4534="",0,IFERROR(MATCH($A4534,Classes!$A$6:$A$420,0),0))</f>
        <v>0</v>
      </c>
      <c r="N4534" s="64" t="n">
        <f aca="false">IF($H4534="",0,IFERROR(MATCH($H4534,GradeList,0),0))</f>
        <v>0</v>
      </c>
      <c r="O4534" s="64" t="n">
        <f aca="false">IF(OR($I4534="",$I4534="NR"),0,IFERROR(MATCH($I4534,GradeList,0),0))</f>
        <v>0</v>
      </c>
      <c r="P4534" s="64" t="n">
        <f aca="false">IF(AND($M4534&gt;0,ISNUMBER(MATCH($F4534,Lists!$A$2:$A$5,0)),ISNUMBER(MATCH($G4534,Lists!$B$2:$B$7,0)),OR($H4534="",$N4534&gt;0),OR($I4534="",$I4534="NR",$O4534&gt;0),IF(ISNUMBER($J4534),AND($J4534&gt;=0,$J4534=INT($J4534)),FALSE())),$J4534,0)</f>
        <v>0</v>
      </c>
      <c r="Q4534" s="64" t="n">
        <f aca="false">IF(AND($P4534&gt;0,$O4534&gt;0),$P4534,0)</f>
        <v>0</v>
      </c>
      <c r="R4534" s="64" t="n">
        <f aca="false">IF(AND($Q4534&gt;0,$O4534&gt;=AtRank),$Q4534,0)</f>
        <v>0</v>
      </c>
      <c r="S4534" s="64" t="n">
        <f aca="false">IF(AND($Q4534&gt;0,$O4534&gt;=AboveRank),$Q4534,0)</f>
        <v>0</v>
      </c>
      <c r="T4534" s="64" t="n">
        <f aca="false">IF($K4534="Less",$P4534,0)</f>
        <v>0</v>
      </c>
      <c r="U4534" s="64" t="n">
        <f aca="false">IF($K4534="Expected",$P4534,0)</f>
        <v>0</v>
      </c>
      <c r="V4534" s="64" t="n">
        <f aca="false">IF($K4534="Better",$P4534,0)</f>
        <v>0</v>
      </c>
      <c r="W4534" s="64" t="n">
        <f aca="false">IF($K4534="U – needs rule",$P4534,0)</f>
        <v>0</v>
      </c>
      <c r="X4534" s="64" t="n">
        <f aca="false">IF($K4534="No Start (attainment only)",$P4534,0)</f>
        <v>0</v>
      </c>
    </row>
    <row r="4535" customFormat="false" ht="15" hidden="false" customHeight="false" outlineLevel="0" collapsed="false">
      <c r="A4535" s="60"/>
      <c r="B4535" s="61" t="str">
        <f aca="false">IF($M4535=0,"",INDEX(Classes!$E$6:$E$420,$M4535))</f>
        <v/>
      </c>
      <c r="C4535" s="62" t="str">
        <f aca="false">IF($M4535=0,"",INDEX(Classes!$H$6:$H$420,$M4535))</f>
        <v/>
      </c>
      <c r="D4535" s="61" t="str">
        <f aca="false">IF($M4535=0,"",INDEX(Classes!$B$6:$B$420,$M4535))</f>
        <v/>
      </c>
      <c r="E4535" s="61" t="str">
        <f aca="false">IF($M4535=0,"",INDEX(Classes!$C$6:$C$420,$M4535))</f>
        <v/>
      </c>
      <c r="F4535" s="63"/>
      <c r="G4535" s="63"/>
      <c r="H4535" s="60"/>
      <c r="I4535" s="60"/>
      <c r="J4535" s="63"/>
      <c r="K4535" s="61" t="str">
        <f aca="false">IF($P4535=0,"",IF($F4535="Baseline","— Baseline",IF($O4535=0,"No result",IF($N4535=0,"No Start (attainment only)",IF(OR($N4535=1,$O4535=1),"U – needs rule",INDEX(MxBody,MATCH($I4535,MxCurr,0),MATCH($H4535,MxStart,0)))))))</f>
        <v/>
      </c>
      <c r="L4535" s="62" t="str">
        <f aca="false">IF(COUNTA($A4535,$F4535,$G4535,$H4535,$I4535,$J4535)=0,"",IF($M4535=0,"✖ كود الصف غير موجود",IF(ISNA(MATCH($F4535,Lists!$A$2:$A$5,0)),"✖ الفترة غير صحيحة",IF(ISNA(MATCH($G4535,Lists!$B$2:$B$7,0)),"✖ المجموعة غير صحيحة",IF(NOT(OR($H4535="",$N4535&gt;0)),"✖ Start غير صحيح",IF(NOT(OR($I4535="",$I4535="NR",$O4535&gt;0)),"✖ Current غير صحيح",IF(NOT(IF(ISNUMBER($J4535),AND($J4535&gt;=0,$J4535=INT($J4535)),FALSE())),"✖ العدد يجب أن يكون صحيحًا ≥ 0",IF(AND($F4535="Baseline",$H4535&lt;&gt;""),"⚠ Baseline: Start لا يدخل في التقدم",IF($K4535="No Start (attainment only)","ℹ تحصيل فقط (بدون Start)",IF($K4535="U – needs rule","ℹ حالة U تحتاج قاعدة معتمدة",IF($K4535="No result","ℹ بدون نتيجة (يُستبعد من التحصيل)","OK")))))))))))</f>
        <v/>
      </c>
      <c r="M4535" s="64" t="n">
        <f aca="false">IF($A4535="",0,IFERROR(MATCH($A4535,Classes!$A$6:$A$420,0),0))</f>
        <v>0</v>
      </c>
      <c r="N4535" s="64" t="n">
        <f aca="false">IF($H4535="",0,IFERROR(MATCH($H4535,GradeList,0),0))</f>
        <v>0</v>
      </c>
      <c r="O4535" s="64" t="n">
        <f aca="false">IF(OR($I4535="",$I4535="NR"),0,IFERROR(MATCH($I4535,GradeList,0),0))</f>
        <v>0</v>
      </c>
      <c r="P4535" s="64" t="n">
        <f aca="false">IF(AND($M4535&gt;0,ISNUMBER(MATCH($F4535,Lists!$A$2:$A$5,0)),ISNUMBER(MATCH($G4535,Lists!$B$2:$B$7,0)),OR($H4535="",$N4535&gt;0),OR($I4535="",$I4535="NR",$O4535&gt;0),IF(ISNUMBER($J4535),AND($J4535&gt;=0,$J4535=INT($J4535)),FALSE())),$J4535,0)</f>
        <v>0</v>
      </c>
      <c r="Q4535" s="64" t="n">
        <f aca="false">IF(AND($P4535&gt;0,$O4535&gt;0),$P4535,0)</f>
        <v>0</v>
      </c>
      <c r="R4535" s="64" t="n">
        <f aca="false">IF(AND($Q4535&gt;0,$O4535&gt;=AtRank),$Q4535,0)</f>
        <v>0</v>
      </c>
      <c r="S4535" s="64" t="n">
        <f aca="false">IF(AND($Q4535&gt;0,$O4535&gt;=AboveRank),$Q4535,0)</f>
        <v>0</v>
      </c>
      <c r="T4535" s="64" t="n">
        <f aca="false">IF($K4535="Less",$P4535,0)</f>
        <v>0</v>
      </c>
      <c r="U4535" s="64" t="n">
        <f aca="false">IF($K4535="Expected",$P4535,0)</f>
        <v>0</v>
      </c>
      <c r="V4535" s="64" t="n">
        <f aca="false">IF($K4535="Better",$P4535,0)</f>
        <v>0</v>
      </c>
      <c r="W4535" s="64" t="n">
        <f aca="false">IF($K4535="U – needs rule",$P4535,0)</f>
        <v>0</v>
      </c>
      <c r="X4535" s="64" t="n">
        <f aca="false">IF($K4535="No Start (attainment only)",$P4535,0)</f>
        <v>0</v>
      </c>
    </row>
    <row r="4536" customFormat="false" ht="15" hidden="false" customHeight="false" outlineLevel="0" collapsed="false">
      <c r="A4536" s="60"/>
      <c r="B4536" s="61" t="str">
        <f aca="false">IF($M4536=0,"",INDEX(Classes!$E$6:$E$420,$M4536))</f>
        <v/>
      </c>
      <c r="C4536" s="62" t="str">
        <f aca="false">IF($M4536=0,"",INDEX(Classes!$H$6:$H$420,$M4536))</f>
        <v/>
      </c>
      <c r="D4536" s="61" t="str">
        <f aca="false">IF($M4536=0,"",INDEX(Classes!$B$6:$B$420,$M4536))</f>
        <v/>
      </c>
      <c r="E4536" s="61" t="str">
        <f aca="false">IF($M4536=0,"",INDEX(Classes!$C$6:$C$420,$M4536))</f>
        <v/>
      </c>
      <c r="F4536" s="63"/>
      <c r="G4536" s="63"/>
      <c r="H4536" s="60"/>
      <c r="I4536" s="60"/>
      <c r="J4536" s="63"/>
      <c r="K4536" s="61" t="str">
        <f aca="false">IF($P4536=0,"",IF($F4536="Baseline","— Baseline",IF($O4536=0,"No result",IF($N4536=0,"No Start (attainment only)",IF(OR($N4536=1,$O4536=1),"U – needs rule",INDEX(MxBody,MATCH($I4536,MxCurr,0),MATCH($H4536,MxStart,0)))))))</f>
        <v/>
      </c>
      <c r="L4536" s="62" t="str">
        <f aca="false">IF(COUNTA($A4536,$F4536,$G4536,$H4536,$I4536,$J4536)=0,"",IF($M4536=0,"✖ كود الصف غير موجود",IF(ISNA(MATCH($F4536,Lists!$A$2:$A$5,0)),"✖ الفترة غير صحيحة",IF(ISNA(MATCH($G4536,Lists!$B$2:$B$7,0)),"✖ المجموعة غير صحيحة",IF(NOT(OR($H4536="",$N4536&gt;0)),"✖ Start غير صحيح",IF(NOT(OR($I4536="",$I4536="NR",$O4536&gt;0)),"✖ Current غير صحيح",IF(NOT(IF(ISNUMBER($J4536),AND($J4536&gt;=0,$J4536=INT($J4536)),FALSE())),"✖ العدد يجب أن يكون صحيحًا ≥ 0",IF(AND($F4536="Baseline",$H4536&lt;&gt;""),"⚠ Baseline: Start لا يدخل في التقدم",IF($K4536="No Start (attainment only)","ℹ تحصيل فقط (بدون Start)",IF($K4536="U – needs rule","ℹ حالة U تحتاج قاعدة معتمدة",IF($K4536="No result","ℹ بدون نتيجة (يُستبعد من التحصيل)","OK")))))))))))</f>
        <v/>
      </c>
      <c r="M4536" s="64" t="n">
        <f aca="false">IF($A4536="",0,IFERROR(MATCH($A4536,Classes!$A$6:$A$420,0),0))</f>
        <v>0</v>
      </c>
      <c r="N4536" s="64" t="n">
        <f aca="false">IF($H4536="",0,IFERROR(MATCH($H4536,GradeList,0),0))</f>
        <v>0</v>
      </c>
      <c r="O4536" s="64" t="n">
        <f aca="false">IF(OR($I4536="",$I4536="NR"),0,IFERROR(MATCH($I4536,GradeList,0),0))</f>
        <v>0</v>
      </c>
      <c r="P4536" s="64" t="n">
        <f aca="false">IF(AND($M4536&gt;0,ISNUMBER(MATCH($F4536,Lists!$A$2:$A$5,0)),ISNUMBER(MATCH($G4536,Lists!$B$2:$B$7,0)),OR($H4536="",$N4536&gt;0),OR($I4536="",$I4536="NR",$O4536&gt;0),IF(ISNUMBER($J4536),AND($J4536&gt;=0,$J4536=INT($J4536)),FALSE())),$J4536,0)</f>
        <v>0</v>
      </c>
      <c r="Q4536" s="64" t="n">
        <f aca="false">IF(AND($P4536&gt;0,$O4536&gt;0),$P4536,0)</f>
        <v>0</v>
      </c>
      <c r="R4536" s="64" t="n">
        <f aca="false">IF(AND($Q4536&gt;0,$O4536&gt;=AtRank),$Q4536,0)</f>
        <v>0</v>
      </c>
      <c r="S4536" s="64" t="n">
        <f aca="false">IF(AND($Q4536&gt;0,$O4536&gt;=AboveRank),$Q4536,0)</f>
        <v>0</v>
      </c>
      <c r="T4536" s="64" t="n">
        <f aca="false">IF($K4536="Less",$P4536,0)</f>
        <v>0</v>
      </c>
      <c r="U4536" s="64" t="n">
        <f aca="false">IF($K4536="Expected",$P4536,0)</f>
        <v>0</v>
      </c>
      <c r="V4536" s="64" t="n">
        <f aca="false">IF($K4536="Better",$P4536,0)</f>
        <v>0</v>
      </c>
      <c r="W4536" s="64" t="n">
        <f aca="false">IF($K4536="U – needs rule",$P4536,0)</f>
        <v>0</v>
      </c>
      <c r="X4536" s="64" t="n">
        <f aca="false">IF($K4536="No Start (attainment only)",$P4536,0)</f>
        <v>0</v>
      </c>
    </row>
    <row r="4537" customFormat="false" ht="15" hidden="false" customHeight="false" outlineLevel="0" collapsed="false">
      <c r="A4537" s="60"/>
      <c r="B4537" s="61" t="str">
        <f aca="false">IF($M4537=0,"",INDEX(Classes!$E$6:$E$420,$M4537))</f>
        <v/>
      </c>
      <c r="C4537" s="62" t="str">
        <f aca="false">IF($M4537=0,"",INDEX(Classes!$H$6:$H$420,$M4537))</f>
        <v/>
      </c>
      <c r="D4537" s="61" t="str">
        <f aca="false">IF($M4537=0,"",INDEX(Classes!$B$6:$B$420,$M4537))</f>
        <v/>
      </c>
      <c r="E4537" s="61" t="str">
        <f aca="false">IF($M4537=0,"",INDEX(Classes!$C$6:$C$420,$M4537))</f>
        <v/>
      </c>
      <c r="F4537" s="63"/>
      <c r="G4537" s="63"/>
      <c r="H4537" s="60"/>
      <c r="I4537" s="60"/>
      <c r="J4537" s="63"/>
      <c r="K4537" s="61" t="str">
        <f aca="false">IF($P4537=0,"",IF($F4537="Baseline","— Baseline",IF($O4537=0,"No result",IF($N4537=0,"No Start (attainment only)",IF(OR($N4537=1,$O4537=1),"U – needs rule",INDEX(MxBody,MATCH($I4537,MxCurr,0),MATCH($H4537,MxStart,0)))))))</f>
        <v/>
      </c>
      <c r="L4537" s="62" t="str">
        <f aca="false">IF(COUNTA($A4537,$F4537,$G4537,$H4537,$I4537,$J4537)=0,"",IF($M4537=0,"✖ كود الصف غير موجود",IF(ISNA(MATCH($F4537,Lists!$A$2:$A$5,0)),"✖ الفترة غير صحيحة",IF(ISNA(MATCH($G4537,Lists!$B$2:$B$7,0)),"✖ المجموعة غير صحيحة",IF(NOT(OR($H4537="",$N4537&gt;0)),"✖ Start غير صحيح",IF(NOT(OR($I4537="",$I4537="NR",$O4537&gt;0)),"✖ Current غير صحيح",IF(NOT(IF(ISNUMBER($J4537),AND($J4537&gt;=0,$J4537=INT($J4537)),FALSE())),"✖ العدد يجب أن يكون صحيحًا ≥ 0",IF(AND($F4537="Baseline",$H4537&lt;&gt;""),"⚠ Baseline: Start لا يدخل في التقدم",IF($K4537="No Start (attainment only)","ℹ تحصيل فقط (بدون Start)",IF($K4537="U – needs rule","ℹ حالة U تحتاج قاعدة معتمدة",IF($K4537="No result","ℹ بدون نتيجة (يُستبعد من التحصيل)","OK")))))))))))</f>
        <v/>
      </c>
      <c r="M4537" s="64" t="n">
        <f aca="false">IF($A4537="",0,IFERROR(MATCH($A4537,Classes!$A$6:$A$420,0),0))</f>
        <v>0</v>
      </c>
      <c r="N4537" s="64" t="n">
        <f aca="false">IF($H4537="",0,IFERROR(MATCH($H4537,GradeList,0),0))</f>
        <v>0</v>
      </c>
      <c r="O4537" s="64" t="n">
        <f aca="false">IF(OR($I4537="",$I4537="NR"),0,IFERROR(MATCH($I4537,GradeList,0),0))</f>
        <v>0</v>
      </c>
      <c r="P4537" s="64" t="n">
        <f aca="false">IF(AND($M4537&gt;0,ISNUMBER(MATCH($F4537,Lists!$A$2:$A$5,0)),ISNUMBER(MATCH($G4537,Lists!$B$2:$B$7,0)),OR($H4537="",$N4537&gt;0),OR($I4537="",$I4537="NR",$O4537&gt;0),IF(ISNUMBER($J4537),AND($J4537&gt;=0,$J4537=INT($J4537)),FALSE())),$J4537,0)</f>
        <v>0</v>
      </c>
      <c r="Q4537" s="64" t="n">
        <f aca="false">IF(AND($P4537&gt;0,$O4537&gt;0),$P4537,0)</f>
        <v>0</v>
      </c>
      <c r="R4537" s="64" t="n">
        <f aca="false">IF(AND($Q4537&gt;0,$O4537&gt;=AtRank),$Q4537,0)</f>
        <v>0</v>
      </c>
      <c r="S4537" s="64" t="n">
        <f aca="false">IF(AND($Q4537&gt;0,$O4537&gt;=AboveRank),$Q4537,0)</f>
        <v>0</v>
      </c>
      <c r="T4537" s="64" t="n">
        <f aca="false">IF($K4537="Less",$P4537,0)</f>
        <v>0</v>
      </c>
      <c r="U4537" s="64" t="n">
        <f aca="false">IF($K4537="Expected",$P4537,0)</f>
        <v>0</v>
      </c>
      <c r="V4537" s="64" t="n">
        <f aca="false">IF($K4537="Better",$P4537,0)</f>
        <v>0</v>
      </c>
      <c r="W4537" s="64" t="n">
        <f aca="false">IF($K4537="U – needs rule",$P4537,0)</f>
        <v>0</v>
      </c>
      <c r="X4537" s="64" t="n">
        <f aca="false">IF($K4537="No Start (attainment only)",$P4537,0)</f>
        <v>0</v>
      </c>
    </row>
    <row r="4538" customFormat="false" ht="15" hidden="false" customHeight="false" outlineLevel="0" collapsed="false">
      <c r="A4538" s="60"/>
      <c r="B4538" s="61" t="str">
        <f aca="false">IF($M4538=0,"",INDEX(Classes!$E$6:$E$420,$M4538))</f>
        <v/>
      </c>
      <c r="C4538" s="62" t="str">
        <f aca="false">IF($M4538=0,"",INDEX(Classes!$H$6:$H$420,$M4538))</f>
        <v/>
      </c>
      <c r="D4538" s="61" t="str">
        <f aca="false">IF($M4538=0,"",INDEX(Classes!$B$6:$B$420,$M4538))</f>
        <v/>
      </c>
      <c r="E4538" s="61" t="str">
        <f aca="false">IF($M4538=0,"",INDEX(Classes!$C$6:$C$420,$M4538))</f>
        <v/>
      </c>
      <c r="F4538" s="63"/>
      <c r="G4538" s="63"/>
      <c r="H4538" s="60"/>
      <c r="I4538" s="60"/>
      <c r="J4538" s="63"/>
      <c r="K4538" s="61" t="str">
        <f aca="false">IF($P4538=0,"",IF($F4538="Baseline","— Baseline",IF($O4538=0,"No result",IF($N4538=0,"No Start (attainment only)",IF(OR($N4538=1,$O4538=1),"U – needs rule",INDEX(MxBody,MATCH($I4538,MxCurr,0),MATCH($H4538,MxStart,0)))))))</f>
        <v/>
      </c>
      <c r="L4538" s="62" t="str">
        <f aca="false">IF(COUNTA($A4538,$F4538,$G4538,$H4538,$I4538,$J4538)=0,"",IF($M4538=0,"✖ كود الصف غير موجود",IF(ISNA(MATCH($F4538,Lists!$A$2:$A$5,0)),"✖ الفترة غير صحيحة",IF(ISNA(MATCH($G4538,Lists!$B$2:$B$7,0)),"✖ المجموعة غير صحيحة",IF(NOT(OR($H4538="",$N4538&gt;0)),"✖ Start غير صحيح",IF(NOT(OR($I4538="",$I4538="NR",$O4538&gt;0)),"✖ Current غير صحيح",IF(NOT(IF(ISNUMBER($J4538),AND($J4538&gt;=0,$J4538=INT($J4538)),FALSE())),"✖ العدد يجب أن يكون صحيحًا ≥ 0",IF(AND($F4538="Baseline",$H4538&lt;&gt;""),"⚠ Baseline: Start لا يدخل في التقدم",IF($K4538="No Start (attainment only)","ℹ تحصيل فقط (بدون Start)",IF($K4538="U – needs rule","ℹ حالة U تحتاج قاعدة معتمدة",IF($K4538="No result","ℹ بدون نتيجة (يُستبعد من التحصيل)","OK")))))))))))</f>
        <v/>
      </c>
      <c r="M4538" s="64" t="n">
        <f aca="false">IF($A4538="",0,IFERROR(MATCH($A4538,Classes!$A$6:$A$420,0),0))</f>
        <v>0</v>
      </c>
      <c r="N4538" s="64" t="n">
        <f aca="false">IF($H4538="",0,IFERROR(MATCH($H4538,GradeList,0),0))</f>
        <v>0</v>
      </c>
      <c r="O4538" s="64" t="n">
        <f aca="false">IF(OR($I4538="",$I4538="NR"),0,IFERROR(MATCH($I4538,GradeList,0),0))</f>
        <v>0</v>
      </c>
      <c r="P4538" s="64" t="n">
        <f aca="false">IF(AND($M4538&gt;0,ISNUMBER(MATCH($F4538,Lists!$A$2:$A$5,0)),ISNUMBER(MATCH($G4538,Lists!$B$2:$B$7,0)),OR($H4538="",$N4538&gt;0),OR($I4538="",$I4538="NR",$O4538&gt;0),IF(ISNUMBER($J4538),AND($J4538&gt;=0,$J4538=INT($J4538)),FALSE())),$J4538,0)</f>
        <v>0</v>
      </c>
      <c r="Q4538" s="64" t="n">
        <f aca="false">IF(AND($P4538&gt;0,$O4538&gt;0),$P4538,0)</f>
        <v>0</v>
      </c>
      <c r="R4538" s="64" t="n">
        <f aca="false">IF(AND($Q4538&gt;0,$O4538&gt;=AtRank),$Q4538,0)</f>
        <v>0</v>
      </c>
      <c r="S4538" s="64" t="n">
        <f aca="false">IF(AND($Q4538&gt;0,$O4538&gt;=AboveRank),$Q4538,0)</f>
        <v>0</v>
      </c>
      <c r="T4538" s="64" t="n">
        <f aca="false">IF($K4538="Less",$P4538,0)</f>
        <v>0</v>
      </c>
      <c r="U4538" s="64" t="n">
        <f aca="false">IF($K4538="Expected",$P4538,0)</f>
        <v>0</v>
      </c>
      <c r="V4538" s="64" t="n">
        <f aca="false">IF($K4538="Better",$P4538,0)</f>
        <v>0</v>
      </c>
      <c r="W4538" s="64" t="n">
        <f aca="false">IF($K4538="U – needs rule",$P4538,0)</f>
        <v>0</v>
      </c>
      <c r="X4538" s="64" t="n">
        <f aca="false">IF($K4538="No Start (attainment only)",$P4538,0)</f>
        <v>0</v>
      </c>
    </row>
    <row r="4539" customFormat="false" ht="15" hidden="false" customHeight="false" outlineLevel="0" collapsed="false">
      <c r="A4539" s="60"/>
      <c r="B4539" s="61" t="str">
        <f aca="false">IF($M4539=0,"",INDEX(Classes!$E$6:$E$420,$M4539))</f>
        <v/>
      </c>
      <c r="C4539" s="62" t="str">
        <f aca="false">IF($M4539=0,"",INDEX(Classes!$H$6:$H$420,$M4539))</f>
        <v/>
      </c>
      <c r="D4539" s="61" t="str">
        <f aca="false">IF($M4539=0,"",INDEX(Classes!$B$6:$B$420,$M4539))</f>
        <v/>
      </c>
      <c r="E4539" s="61" t="str">
        <f aca="false">IF($M4539=0,"",INDEX(Classes!$C$6:$C$420,$M4539))</f>
        <v/>
      </c>
      <c r="F4539" s="63"/>
      <c r="G4539" s="63"/>
      <c r="H4539" s="60"/>
      <c r="I4539" s="60"/>
      <c r="J4539" s="63"/>
      <c r="K4539" s="61" t="str">
        <f aca="false">IF($P4539=0,"",IF($F4539="Baseline","— Baseline",IF($O4539=0,"No result",IF($N4539=0,"No Start (attainment only)",IF(OR($N4539=1,$O4539=1),"U – needs rule",INDEX(MxBody,MATCH($I4539,MxCurr,0),MATCH($H4539,MxStart,0)))))))</f>
        <v/>
      </c>
      <c r="L4539" s="62" t="str">
        <f aca="false">IF(COUNTA($A4539,$F4539,$G4539,$H4539,$I4539,$J4539)=0,"",IF($M4539=0,"✖ كود الصف غير موجود",IF(ISNA(MATCH($F4539,Lists!$A$2:$A$5,0)),"✖ الفترة غير صحيحة",IF(ISNA(MATCH($G4539,Lists!$B$2:$B$7,0)),"✖ المجموعة غير صحيحة",IF(NOT(OR($H4539="",$N4539&gt;0)),"✖ Start غير صحيح",IF(NOT(OR($I4539="",$I4539="NR",$O4539&gt;0)),"✖ Current غير صحيح",IF(NOT(IF(ISNUMBER($J4539),AND($J4539&gt;=0,$J4539=INT($J4539)),FALSE())),"✖ العدد يجب أن يكون صحيحًا ≥ 0",IF(AND($F4539="Baseline",$H4539&lt;&gt;""),"⚠ Baseline: Start لا يدخل في التقدم",IF($K4539="No Start (attainment only)","ℹ تحصيل فقط (بدون Start)",IF($K4539="U – needs rule","ℹ حالة U تحتاج قاعدة معتمدة",IF($K4539="No result","ℹ بدون نتيجة (يُستبعد من التحصيل)","OK")))))))))))</f>
        <v/>
      </c>
      <c r="M4539" s="64" t="n">
        <f aca="false">IF($A4539="",0,IFERROR(MATCH($A4539,Classes!$A$6:$A$420,0),0))</f>
        <v>0</v>
      </c>
      <c r="N4539" s="64" t="n">
        <f aca="false">IF($H4539="",0,IFERROR(MATCH($H4539,GradeList,0),0))</f>
        <v>0</v>
      </c>
      <c r="O4539" s="64" t="n">
        <f aca="false">IF(OR($I4539="",$I4539="NR"),0,IFERROR(MATCH($I4539,GradeList,0),0))</f>
        <v>0</v>
      </c>
      <c r="P4539" s="64" t="n">
        <f aca="false">IF(AND($M4539&gt;0,ISNUMBER(MATCH($F4539,Lists!$A$2:$A$5,0)),ISNUMBER(MATCH($G4539,Lists!$B$2:$B$7,0)),OR($H4539="",$N4539&gt;0),OR($I4539="",$I4539="NR",$O4539&gt;0),IF(ISNUMBER($J4539),AND($J4539&gt;=0,$J4539=INT($J4539)),FALSE())),$J4539,0)</f>
        <v>0</v>
      </c>
      <c r="Q4539" s="64" t="n">
        <f aca="false">IF(AND($P4539&gt;0,$O4539&gt;0),$P4539,0)</f>
        <v>0</v>
      </c>
      <c r="R4539" s="64" t="n">
        <f aca="false">IF(AND($Q4539&gt;0,$O4539&gt;=AtRank),$Q4539,0)</f>
        <v>0</v>
      </c>
      <c r="S4539" s="64" t="n">
        <f aca="false">IF(AND($Q4539&gt;0,$O4539&gt;=AboveRank),$Q4539,0)</f>
        <v>0</v>
      </c>
      <c r="T4539" s="64" t="n">
        <f aca="false">IF($K4539="Less",$P4539,0)</f>
        <v>0</v>
      </c>
      <c r="U4539" s="64" t="n">
        <f aca="false">IF($K4539="Expected",$P4539,0)</f>
        <v>0</v>
      </c>
      <c r="V4539" s="64" t="n">
        <f aca="false">IF($K4539="Better",$P4539,0)</f>
        <v>0</v>
      </c>
      <c r="W4539" s="64" t="n">
        <f aca="false">IF($K4539="U – needs rule",$P4539,0)</f>
        <v>0</v>
      </c>
      <c r="X4539" s="64" t="n">
        <f aca="false">IF($K4539="No Start (attainment only)",$P4539,0)</f>
        <v>0</v>
      </c>
    </row>
    <row r="4540" customFormat="false" ht="15" hidden="false" customHeight="false" outlineLevel="0" collapsed="false">
      <c r="A4540" s="60"/>
      <c r="B4540" s="61" t="str">
        <f aca="false">IF($M4540=0,"",INDEX(Classes!$E$6:$E$420,$M4540))</f>
        <v/>
      </c>
      <c r="C4540" s="62" t="str">
        <f aca="false">IF($M4540=0,"",INDEX(Classes!$H$6:$H$420,$M4540))</f>
        <v/>
      </c>
      <c r="D4540" s="61" t="str">
        <f aca="false">IF($M4540=0,"",INDEX(Classes!$B$6:$B$420,$M4540))</f>
        <v/>
      </c>
      <c r="E4540" s="61" t="str">
        <f aca="false">IF($M4540=0,"",INDEX(Classes!$C$6:$C$420,$M4540))</f>
        <v/>
      </c>
      <c r="F4540" s="63"/>
      <c r="G4540" s="63"/>
      <c r="H4540" s="60"/>
      <c r="I4540" s="60"/>
      <c r="J4540" s="63"/>
      <c r="K4540" s="61" t="str">
        <f aca="false">IF($P4540=0,"",IF($F4540="Baseline","— Baseline",IF($O4540=0,"No result",IF($N4540=0,"No Start (attainment only)",IF(OR($N4540=1,$O4540=1),"U – needs rule",INDEX(MxBody,MATCH($I4540,MxCurr,0),MATCH($H4540,MxStart,0)))))))</f>
        <v/>
      </c>
      <c r="L4540" s="62" t="str">
        <f aca="false">IF(COUNTA($A4540,$F4540,$G4540,$H4540,$I4540,$J4540)=0,"",IF($M4540=0,"✖ كود الصف غير موجود",IF(ISNA(MATCH($F4540,Lists!$A$2:$A$5,0)),"✖ الفترة غير صحيحة",IF(ISNA(MATCH($G4540,Lists!$B$2:$B$7,0)),"✖ المجموعة غير صحيحة",IF(NOT(OR($H4540="",$N4540&gt;0)),"✖ Start غير صحيح",IF(NOT(OR($I4540="",$I4540="NR",$O4540&gt;0)),"✖ Current غير صحيح",IF(NOT(IF(ISNUMBER($J4540),AND($J4540&gt;=0,$J4540=INT($J4540)),FALSE())),"✖ العدد يجب أن يكون صحيحًا ≥ 0",IF(AND($F4540="Baseline",$H4540&lt;&gt;""),"⚠ Baseline: Start لا يدخل في التقدم",IF($K4540="No Start (attainment only)","ℹ تحصيل فقط (بدون Start)",IF($K4540="U – needs rule","ℹ حالة U تحتاج قاعدة معتمدة",IF($K4540="No result","ℹ بدون نتيجة (يُستبعد من التحصيل)","OK")))))))))))</f>
        <v/>
      </c>
      <c r="M4540" s="64" t="n">
        <f aca="false">IF($A4540="",0,IFERROR(MATCH($A4540,Classes!$A$6:$A$420,0),0))</f>
        <v>0</v>
      </c>
      <c r="N4540" s="64" t="n">
        <f aca="false">IF($H4540="",0,IFERROR(MATCH($H4540,GradeList,0),0))</f>
        <v>0</v>
      </c>
      <c r="O4540" s="64" t="n">
        <f aca="false">IF(OR($I4540="",$I4540="NR"),0,IFERROR(MATCH($I4540,GradeList,0),0))</f>
        <v>0</v>
      </c>
      <c r="P4540" s="64" t="n">
        <f aca="false">IF(AND($M4540&gt;0,ISNUMBER(MATCH($F4540,Lists!$A$2:$A$5,0)),ISNUMBER(MATCH($G4540,Lists!$B$2:$B$7,0)),OR($H4540="",$N4540&gt;0),OR($I4540="",$I4540="NR",$O4540&gt;0),IF(ISNUMBER($J4540),AND($J4540&gt;=0,$J4540=INT($J4540)),FALSE())),$J4540,0)</f>
        <v>0</v>
      </c>
      <c r="Q4540" s="64" t="n">
        <f aca="false">IF(AND($P4540&gt;0,$O4540&gt;0),$P4540,0)</f>
        <v>0</v>
      </c>
      <c r="R4540" s="64" t="n">
        <f aca="false">IF(AND($Q4540&gt;0,$O4540&gt;=AtRank),$Q4540,0)</f>
        <v>0</v>
      </c>
      <c r="S4540" s="64" t="n">
        <f aca="false">IF(AND($Q4540&gt;0,$O4540&gt;=AboveRank),$Q4540,0)</f>
        <v>0</v>
      </c>
      <c r="T4540" s="64" t="n">
        <f aca="false">IF($K4540="Less",$P4540,0)</f>
        <v>0</v>
      </c>
      <c r="U4540" s="64" t="n">
        <f aca="false">IF($K4540="Expected",$P4540,0)</f>
        <v>0</v>
      </c>
      <c r="V4540" s="64" t="n">
        <f aca="false">IF($K4540="Better",$P4540,0)</f>
        <v>0</v>
      </c>
      <c r="W4540" s="64" t="n">
        <f aca="false">IF($K4540="U – needs rule",$P4540,0)</f>
        <v>0</v>
      </c>
      <c r="X4540" s="64" t="n">
        <f aca="false">IF($K4540="No Start (attainment only)",$P4540,0)</f>
        <v>0</v>
      </c>
    </row>
    <row r="4541" customFormat="false" ht="15" hidden="false" customHeight="false" outlineLevel="0" collapsed="false">
      <c r="A4541" s="60"/>
      <c r="B4541" s="61" t="str">
        <f aca="false">IF($M4541=0,"",INDEX(Classes!$E$6:$E$420,$M4541))</f>
        <v/>
      </c>
      <c r="C4541" s="62" t="str">
        <f aca="false">IF($M4541=0,"",INDEX(Classes!$H$6:$H$420,$M4541))</f>
        <v/>
      </c>
      <c r="D4541" s="61" t="str">
        <f aca="false">IF($M4541=0,"",INDEX(Classes!$B$6:$B$420,$M4541))</f>
        <v/>
      </c>
      <c r="E4541" s="61" t="str">
        <f aca="false">IF($M4541=0,"",INDEX(Classes!$C$6:$C$420,$M4541))</f>
        <v/>
      </c>
      <c r="F4541" s="63"/>
      <c r="G4541" s="63"/>
      <c r="H4541" s="60"/>
      <c r="I4541" s="60"/>
      <c r="J4541" s="63"/>
      <c r="K4541" s="61" t="str">
        <f aca="false">IF($P4541=0,"",IF($F4541="Baseline","— Baseline",IF($O4541=0,"No result",IF($N4541=0,"No Start (attainment only)",IF(OR($N4541=1,$O4541=1),"U – needs rule",INDEX(MxBody,MATCH($I4541,MxCurr,0),MATCH($H4541,MxStart,0)))))))</f>
        <v/>
      </c>
      <c r="L4541" s="62" t="str">
        <f aca="false">IF(COUNTA($A4541,$F4541,$G4541,$H4541,$I4541,$J4541)=0,"",IF($M4541=0,"✖ كود الصف غير موجود",IF(ISNA(MATCH($F4541,Lists!$A$2:$A$5,0)),"✖ الفترة غير صحيحة",IF(ISNA(MATCH($G4541,Lists!$B$2:$B$7,0)),"✖ المجموعة غير صحيحة",IF(NOT(OR($H4541="",$N4541&gt;0)),"✖ Start غير صحيح",IF(NOT(OR($I4541="",$I4541="NR",$O4541&gt;0)),"✖ Current غير صحيح",IF(NOT(IF(ISNUMBER($J4541),AND($J4541&gt;=0,$J4541=INT($J4541)),FALSE())),"✖ العدد يجب أن يكون صحيحًا ≥ 0",IF(AND($F4541="Baseline",$H4541&lt;&gt;""),"⚠ Baseline: Start لا يدخل في التقدم",IF($K4541="No Start (attainment only)","ℹ تحصيل فقط (بدون Start)",IF($K4541="U – needs rule","ℹ حالة U تحتاج قاعدة معتمدة",IF($K4541="No result","ℹ بدون نتيجة (يُستبعد من التحصيل)","OK")))))))))))</f>
        <v/>
      </c>
      <c r="M4541" s="64" t="n">
        <f aca="false">IF($A4541="",0,IFERROR(MATCH($A4541,Classes!$A$6:$A$420,0),0))</f>
        <v>0</v>
      </c>
      <c r="N4541" s="64" t="n">
        <f aca="false">IF($H4541="",0,IFERROR(MATCH($H4541,GradeList,0),0))</f>
        <v>0</v>
      </c>
      <c r="O4541" s="64" t="n">
        <f aca="false">IF(OR($I4541="",$I4541="NR"),0,IFERROR(MATCH($I4541,GradeList,0),0))</f>
        <v>0</v>
      </c>
      <c r="P4541" s="64" t="n">
        <f aca="false">IF(AND($M4541&gt;0,ISNUMBER(MATCH($F4541,Lists!$A$2:$A$5,0)),ISNUMBER(MATCH($G4541,Lists!$B$2:$B$7,0)),OR($H4541="",$N4541&gt;0),OR($I4541="",$I4541="NR",$O4541&gt;0),IF(ISNUMBER($J4541),AND($J4541&gt;=0,$J4541=INT($J4541)),FALSE())),$J4541,0)</f>
        <v>0</v>
      </c>
      <c r="Q4541" s="64" t="n">
        <f aca="false">IF(AND($P4541&gt;0,$O4541&gt;0),$P4541,0)</f>
        <v>0</v>
      </c>
      <c r="R4541" s="64" t="n">
        <f aca="false">IF(AND($Q4541&gt;0,$O4541&gt;=AtRank),$Q4541,0)</f>
        <v>0</v>
      </c>
      <c r="S4541" s="64" t="n">
        <f aca="false">IF(AND($Q4541&gt;0,$O4541&gt;=AboveRank),$Q4541,0)</f>
        <v>0</v>
      </c>
      <c r="T4541" s="64" t="n">
        <f aca="false">IF($K4541="Less",$P4541,0)</f>
        <v>0</v>
      </c>
      <c r="U4541" s="64" t="n">
        <f aca="false">IF($K4541="Expected",$P4541,0)</f>
        <v>0</v>
      </c>
      <c r="V4541" s="64" t="n">
        <f aca="false">IF($K4541="Better",$P4541,0)</f>
        <v>0</v>
      </c>
      <c r="W4541" s="64" t="n">
        <f aca="false">IF($K4541="U – needs rule",$P4541,0)</f>
        <v>0</v>
      </c>
      <c r="X4541" s="64" t="n">
        <f aca="false">IF($K4541="No Start (attainment only)",$P4541,0)</f>
        <v>0</v>
      </c>
    </row>
    <row r="4542" customFormat="false" ht="15" hidden="false" customHeight="false" outlineLevel="0" collapsed="false">
      <c r="A4542" s="60"/>
      <c r="B4542" s="61" t="str">
        <f aca="false">IF($M4542=0,"",INDEX(Classes!$E$6:$E$420,$M4542))</f>
        <v/>
      </c>
      <c r="C4542" s="62" t="str">
        <f aca="false">IF($M4542=0,"",INDEX(Classes!$H$6:$H$420,$M4542))</f>
        <v/>
      </c>
      <c r="D4542" s="61" t="str">
        <f aca="false">IF($M4542=0,"",INDEX(Classes!$B$6:$B$420,$M4542))</f>
        <v/>
      </c>
      <c r="E4542" s="61" t="str">
        <f aca="false">IF($M4542=0,"",INDEX(Classes!$C$6:$C$420,$M4542))</f>
        <v/>
      </c>
      <c r="F4542" s="63"/>
      <c r="G4542" s="63"/>
      <c r="H4542" s="60"/>
      <c r="I4542" s="60"/>
      <c r="J4542" s="63"/>
      <c r="K4542" s="61" t="str">
        <f aca="false">IF($P4542=0,"",IF($F4542="Baseline","— Baseline",IF($O4542=0,"No result",IF($N4542=0,"No Start (attainment only)",IF(OR($N4542=1,$O4542=1),"U – needs rule",INDEX(MxBody,MATCH($I4542,MxCurr,0),MATCH($H4542,MxStart,0)))))))</f>
        <v/>
      </c>
      <c r="L4542" s="62" t="str">
        <f aca="false">IF(COUNTA($A4542,$F4542,$G4542,$H4542,$I4542,$J4542)=0,"",IF($M4542=0,"✖ كود الصف غير موجود",IF(ISNA(MATCH($F4542,Lists!$A$2:$A$5,0)),"✖ الفترة غير صحيحة",IF(ISNA(MATCH($G4542,Lists!$B$2:$B$7,0)),"✖ المجموعة غير صحيحة",IF(NOT(OR($H4542="",$N4542&gt;0)),"✖ Start غير صحيح",IF(NOT(OR($I4542="",$I4542="NR",$O4542&gt;0)),"✖ Current غير صحيح",IF(NOT(IF(ISNUMBER($J4542),AND($J4542&gt;=0,$J4542=INT($J4542)),FALSE())),"✖ العدد يجب أن يكون صحيحًا ≥ 0",IF(AND($F4542="Baseline",$H4542&lt;&gt;""),"⚠ Baseline: Start لا يدخل في التقدم",IF($K4542="No Start (attainment only)","ℹ تحصيل فقط (بدون Start)",IF($K4542="U – needs rule","ℹ حالة U تحتاج قاعدة معتمدة",IF($K4542="No result","ℹ بدون نتيجة (يُستبعد من التحصيل)","OK")))))))))))</f>
        <v/>
      </c>
      <c r="M4542" s="64" t="n">
        <f aca="false">IF($A4542="",0,IFERROR(MATCH($A4542,Classes!$A$6:$A$420,0),0))</f>
        <v>0</v>
      </c>
      <c r="N4542" s="64" t="n">
        <f aca="false">IF($H4542="",0,IFERROR(MATCH($H4542,GradeList,0),0))</f>
        <v>0</v>
      </c>
      <c r="O4542" s="64" t="n">
        <f aca="false">IF(OR($I4542="",$I4542="NR"),0,IFERROR(MATCH($I4542,GradeList,0),0))</f>
        <v>0</v>
      </c>
      <c r="P4542" s="64" t="n">
        <f aca="false">IF(AND($M4542&gt;0,ISNUMBER(MATCH($F4542,Lists!$A$2:$A$5,0)),ISNUMBER(MATCH($G4542,Lists!$B$2:$B$7,0)),OR($H4542="",$N4542&gt;0),OR($I4542="",$I4542="NR",$O4542&gt;0),IF(ISNUMBER($J4542),AND($J4542&gt;=0,$J4542=INT($J4542)),FALSE())),$J4542,0)</f>
        <v>0</v>
      </c>
      <c r="Q4542" s="64" t="n">
        <f aca="false">IF(AND($P4542&gt;0,$O4542&gt;0),$P4542,0)</f>
        <v>0</v>
      </c>
      <c r="R4542" s="64" t="n">
        <f aca="false">IF(AND($Q4542&gt;0,$O4542&gt;=AtRank),$Q4542,0)</f>
        <v>0</v>
      </c>
      <c r="S4542" s="64" t="n">
        <f aca="false">IF(AND($Q4542&gt;0,$O4542&gt;=AboveRank),$Q4542,0)</f>
        <v>0</v>
      </c>
      <c r="T4542" s="64" t="n">
        <f aca="false">IF($K4542="Less",$P4542,0)</f>
        <v>0</v>
      </c>
      <c r="U4542" s="64" t="n">
        <f aca="false">IF($K4542="Expected",$P4542,0)</f>
        <v>0</v>
      </c>
      <c r="V4542" s="64" t="n">
        <f aca="false">IF($K4542="Better",$P4542,0)</f>
        <v>0</v>
      </c>
      <c r="W4542" s="64" t="n">
        <f aca="false">IF($K4542="U – needs rule",$P4542,0)</f>
        <v>0</v>
      </c>
      <c r="X4542" s="64" t="n">
        <f aca="false">IF($K4542="No Start (attainment only)",$P4542,0)</f>
        <v>0</v>
      </c>
    </row>
    <row r="4543" customFormat="false" ht="15" hidden="false" customHeight="false" outlineLevel="0" collapsed="false">
      <c r="A4543" s="60"/>
      <c r="B4543" s="61" t="str">
        <f aca="false">IF($M4543=0,"",INDEX(Classes!$E$6:$E$420,$M4543))</f>
        <v/>
      </c>
      <c r="C4543" s="62" t="str">
        <f aca="false">IF($M4543=0,"",INDEX(Classes!$H$6:$H$420,$M4543))</f>
        <v/>
      </c>
      <c r="D4543" s="61" t="str">
        <f aca="false">IF($M4543=0,"",INDEX(Classes!$B$6:$B$420,$M4543))</f>
        <v/>
      </c>
      <c r="E4543" s="61" t="str">
        <f aca="false">IF($M4543=0,"",INDEX(Classes!$C$6:$C$420,$M4543))</f>
        <v/>
      </c>
      <c r="F4543" s="63"/>
      <c r="G4543" s="63"/>
      <c r="H4543" s="60"/>
      <c r="I4543" s="60"/>
      <c r="J4543" s="63"/>
      <c r="K4543" s="61" t="str">
        <f aca="false">IF($P4543=0,"",IF($F4543="Baseline","— Baseline",IF($O4543=0,"No result",IF($N4543=0,"No Start (attainment only)",IF(OR($N4543=1,$O4543=1),"U – needs rule",INDEX(MxBody,MATCH($I4543,MxCurr,0),MATCH($H4543,MxStart,0)))))))</f>
        <v/>
      </c>
      <c r="L4543" s="62" t="str">
        <f aca="false">IF(COUNTA($A4543,$F4543,$G4543,$H4543,$I4543,$J4543)=0,"",IF($M4543=0,"✖ كود الصف غير موجود",IF(ISNA(MATCH($F4543,Lists!$A$2:$A$5,0)),"✖ الفترة غير صحيحة",IF(ISNA(MATCH($G4543,Lists!$B$2:$B$7,0)),"✖ المجموعة غير صحيحة",IF(NOT(OR($H4543="",$N4543&gt;0)),"✖ Start غير صحيح",IF(NOT(OR($I4543="",$I4543="NR",$O4543&gt;0)),"✖ Current غير صحيح",IF(NOT(IF(ISNUMBER($J4543),AND($J4543&gt;=0,$J4543=INT($J4543)),FALSE())),"✖ العدد يجب أن يكون صحيحًا ≥ 0",IF(AND($F4543="Baseline",$H4543&lt;&gt;""),"⚠ Baseline: Start لا يدخل في التقدم",IF($K4543="No Start (attainment only)","ℹ تحصيل فقط (بدون Start)",IF($K4543="U – needs rule","ℹ حالة U تحتاج قاعدة معتمدة",IF($K4543="No result","ℹ بدون نتيجة (يُستبعد من التحصيل)","OK")))))))))))</f>
        <v/>
      </c>
      <c r="M4543" s="64" t="n">
        <f aca="false">IF($A4543="",0,IFERROR(MATCH($A4543,Classes!$A$6:$A$420,0),0))</f>
        <v>0</v>
      </c>
      <c r="N4543" s="64" t="n">
        <f aca="false">IF($H4543="",0,IFERROR(MATCH($H4543,GradeList,0),0))</f>
        <v>0</v>
      </c>
      <c r="O4543" s="64" t="n">
        <f aca="false">IF(OR($I4543="",$I4543="NR"),0,IFERROR(MATCH($I4543,GradeList,0),0))</f>
        <v>0</v>
      </c>
      <c r="P4543" s="64" t="n">
        <f aca="false">IF(AND($M4543&gt;0,ISNUMBER(MATCH($F4543,Lists!$A$2:$A$5,0)),ISNUMBER(MATCH($G4543,Lists!$B$2:$B$7,0)),OR($H4543="",$N4543&gt;0),OR($I4543="",$I4543="NR",$O4543&gt;0),IF(ISNUMBER($J4543),AND($J4543&gt;=0,$J4543=INT($J4543)),FALSE())),$J4543,0)</f>
        <v>0</v>
      </c>
      <c r="Q4543" s="64" t="n">
        <f aca="false">IF(AND($P4543&gt;0,$O4543&gt;0),$P4543,0)</f>
        <v>0</v>
      </c>
      <c r="R4543" s="64" t="n">
        <f aca="false">IF(AND($Q4543&gt;0,$O4543&gt;=AtRank),$Q4543,0)</f>
        <v>0</v>
      </c>
      <c r="S4543" s="64" t="n">
        <f aca="false">IF(AND($Q4543&gt;0,$O4543&gt;=AboveRank),$Q4543,0)</f>
        <v>0</v>
      </c>
      <c r="T4543" s="64" t="n">
        <f aca="false">IF($K4543="Less",$P4543,0)</f>
        <v>0</v>
      </c>
      <c r="U4543" s="64" t="n">
        <f aca="false">IF($K4543="Expected",$P4543,0)</f>
        <v>0</v>
      </c>
      <c r="V4543" s="64" t="n">
        <f aca="false">IF($K4543="Better",$P4543,0)</f>
        <v>0</v>
      </c>
      <c r="W4543" s="64" t="n">
        <f aca="false">IF($K4543="U – needs rule",$P4543,0)</f>
        <v>0</v>
      </c>
      <c r="X4543" s="64" t="n">
        <f aca="false">IF($K4543="No Start (attainment only)",$P4543,0)</f>
        <v>0</v>
      </c>
    </row>
    <row r="4544" customFormat="false" ht="15" hidden="false" customHeight="false" outlineLevel="0" collapsed="false">
      <c r="A4544" s="60"/>
      <c r="B4544" s="61" t="str">
        <f aca="false">IF($M4544=0,"",INDEX(Classes!$E$6:$E$420,$M4544))</f>
        <v/>
      </c>
      <c r="C4544" s="62" t="str">
        <f aca="false">IF($M4544=0,"",INDEX(Classes!$H$6:$H$420,$M4544))</f>
        <v/>
      </c>
      <c r="D4544" s="61" t="str">
        <f aca="false">IF($M4544=0,"",INDEX(Classes!$B$6:$B$420,$M4544))</f>
        <v/>
      </c>
      <c r="E4544" s="61" t="str">
        <f aca="false">IF($M4544=0,"",INDEX(Classes!$C$6:$C$420,$M4544))</f>
        <v/>
      </c>
      <c r="F4544" s="63"/>
      <c r="G4544" s="63"/>
      <c r="H4544" s="60"/>
      <c r="I4544" s="60"/>
      <c r="J4544" s="63"/>
      <c r="K4544" s="61" t="str">
        <f aca="false">IF($P4544=0,"",IF($F4544="Baseline","— Baseline",IF($O4544=0,"No result",IF($N4544=0,"No Start (attainment only)",IF(OR($N4544=1,$O4544=1),"U – needs rule",INDEX(MxBody,MATCH($I4544,MxCurr,0),MATCH($H4544,MxStart,0)))))))</f>
        <v/>
      </c>
      <c r="L4544" s="62" t="str">
        <f aca="false">IF(COUNTA($A4544,$F4544,$G4544,$H4544,$I4544,$J4544)=0,"",IF($M4544=0,"✖ كود الصف غير موجود",IF(ISNA(MATCH($F4544,Lists!$A$2:$A$5,0)),"✖ الفترة غير صحيحة",IF(ISNA(MATCH($G4544,Lists!$B$2:$B$7,0)),"✖ المجموعة غير صحيحة",IF(NOT(OR($H4544="",$N4544&gt;0)),"✖ Start غير صحيح",IF(NOT(OR($I4544="",$I4544="NR",$O4544&gt;0)),"✖ Current غير صحيح",IF(NOT(IF(ISNUMBER($J4544),AND($J4544&gt;=0,$J4544=INT($J4544)),FALSE())),"✖ العدد يجب أن يكون صحيحًا ≥ 0",IF(AND($F4544="Baseline",$H4544&lt;&gt;""),"⚠ Baseline: Start لا يدخل في التقدم",IF($K4544="No Start (attainment only)","ℹ تحصيل فقط (بدون Start)",IF($K4544="U – needs rule","ℹ حالة U تحتاج قاعدة معتمدة",IF($K4544="No result","ℹ بدون نتيجة (يُستبعد من التحصيل)","OK")))))))))))</f>
        <v/>
      </c>
      <c r="M4544" s="64" t="n">
        <f aca="false">IF($A4544="",0,IFERROR(MATCH($A4544,Classes!$A$6:$A$420,0),0))</f>
        <v>0</v>
      </c>
      <c r="N4544" s="64" t="n">
        <f aca="false">IF($H4544="",0,IFERROR(MATCH($H4544,GradeList,0),0))</f>
        <v>0</v>
      </c>
      <c r="O4544" s="64" t="n">
        <f aca="false">IF(OR($I4544="",$I4544="NR"),0,IFERROR(MATCH($I4544,GradeList,0),0))</f>
        <v>0</v>
      </c>
      <c r="P4544" s="64" t="n">
        <f aca="false">IF(AND($M4544&gt;0,ISNUMBER(MATCH($F4544,Lists!$A$2:$A$5,0)),ISNUMBER(MATCH($G4544,Lists!$B$2:$B$7,0)),OR($H4544="",$N4544&gt;0),OR($I4544="",$I4544="NR",$O4544&gt;0),IF(ISNUMBER($J4544),AND($J4544&gt;=0,$J4544=INT($J4544)),FALSE())),$J4544,0)</f>
        <v>0</v>
      </c>
      <c r="Q4544" s="64" t="n">
        <f aca="false">IF(AND($P4544&gt;0,$O4544&gt;0),$P4544,0)</f>
        <v>0</v>
      </c>
      <c r="R4544" s="64" t="n">
        <f aca="false">IF(AND($Q4544&gt;0,$O4544&gt;=AtRank),$Q4544,0)</f>
        <v>0</v>
      </c>
      <c r="S4544" s="64" t="n">
        <f aca="false">IF(AND($Q4544&gt;0,$O4544&gt;=AboveRank),$Q4544,0)</f>
        <v>0</v>
      </c>
      <c r="T4544" s="64" t="n">
        <f aca="false">IF($K4544="Less",$P4544,0)</f>
        <v>0</v>
      </c>
      <c r="U4544" s="64" t="n">
        <f aca="false">IF($K4544="Expected",$P4544,0)</f>
        <v>0</v>
      </c>
      <c r="V4544" s="64" t="n">
        <f aca="false">IF($K4544="Better",$P4544,0)</f>
        <v>0</v>
      </c>
      <c r="W4544" s="64" t="n">
        <f aca="false">IF($K4544="U – needs rule",$P4544,0)</f>
        <v>0</v>
      </c>
      <c r="X4544" s="64" t="n">
        <f aca="false">IF($K4544="No Start (attainment only)",$P4544,0)</f>
        <v>0</v>
      </c>
    </row>
    <row r="4545" customFormat="false" ht="15" hidden="false" customHeight="false" outlineLevel="0" collapsed="false">
      <c r="A4545" s="60"/>
      <c r="B4545" s="61" t="str">
        <f aca="false">IF($M4545=0,"",INDEX(Classes!$E$6:$E$420,$M4545))</f>
        <v/>
      </c>
      <c r="C4545" s="62" t="str">
        <f aca="false">IF($M4545=0,"",INDEX(Classes!$H$6:$H$420,$M4545))</f>
        <v/>
      </c>
      <c r="D4545" s="61" t="str">
        <f aca="false">IF($M4545=0,"",INDEX(Classes!$B$6:$B$420,$M4545))</f>
        <v/>
      </c>
      <c r="E4545" s="61" t="str">
        <f aca="false">IF($M4545=0,"",INDEX(Classes!$C$6:$C$420,$M4545))</f>
        <v/>
      </c>
      <c r="F4545" s="63"/>
      <c r="G4545" s="63"/>
      <c r="H4545" s="60"/>
      <c r="I4545" s="60"/>
      <c r="J4545" s="63"/>
      <c r="K4545" s="61" t="str">
        <f aca="false">IF($P4545=0,"",IF($F4545="Baseline","— Baseline",IF($O4545=0,"No result",IF($N4545=0,"No Start (attainment only)",IF(OR($N4545=1,$O4545=1),"U – needs rule",INDEX(MxBody,MATCH($I4545,MxCurr,0),MATCH($H4545,MxStart,0)))))))</f>
        <v/>
      </c>
      <c r="L4545" s="62" t="str">
        <f aca="false">IF(COUNTA($A4545,$F4545,$G4545,$H4545,$I4545,$J4545)=0,"",IF($M4545=0,"✖ كود الصف غير موجود",IF(ISNA(MATCH($F4545,Lists!$A$2:$A$5,0)),"✖ الفترة غير صحيحة",IF(ISNA(MATCH($G4545,Lists!$B$2:$B$7,0)),"✖ المجموعة غير صحيحة",IF(NOT(OR($H4545="",$N4545&gt;0)),"✖ Start غير صحيح",IF(NOT(OR($I4545="",$I4545="NR",$O4545&gt;0)),"✖ Current غير صحيح",IF(NOT(IF(ISNUMBER($J4545),AND($J4545&gt;=0,$J4545=INT($J4545)),FALSE())),"✖ العدد يجب أن يكون صحيحًا ≥ 0",IF(AND($F4545="Baseline",$H4545&lt;&gt;""),"⚠ Baseline: Start لا يدخل في التقدم",IF($K4545="No Start (attainment only)","ℹ تحصيل فقط (بدون Start)",IF($K4545="U – needs rule","ℹ حالة U تحتاج قاعدة معتمدة",IF($K4545="No result","ℹ بدون نتيجة (يُستبعد من التحصيل)","OK")))))))))))</f>
        <v/>
      </c>
      <c r="M4545" s="64" t="n">
        <f aca="false">IF($A4545="",0,IFERROR(MATCH($A4545,Classes!$A$6:$A$420,0),0))</f>
        <v>0</v>
      </c>
      <c r="N4545" s="64" t="n">
        <f aca="false">IF($H4545="",0,IFERROR(MATCH($H4545,GradeList,0),0))</f>
        <v>0</v>
      </c>
      <c r="O4545" s="64" t="n">
        <f aca="false">IF(OR($I4545="",$I4545="NR"),0,IFERROR(MATCH($I4545,GradeList,0),0))</f>
        <v>0</v>
      </c>
      <c r="P4545" s="64" t="n">
        <f aca="false">IF(AND($M4545&gt;0,ISNUMBER(MATCH($F4545,Lists!$A$2:$A$5,0)),ISNUMBER(MATCH($G4545,Lists!$B$2:$B$7,0)),OR($H4545="",$N4545&gt;0),OR($I4545="",$I4545="NR",$O4545&gt;0),IF(ISNUMBER($J4545),AND($J4545&gt;=0,$J4545=INT($J4545)),FALSE())),$J4545,0)</f>
        <v>0</v>
      </c>
      <c r="Q4545" s="64" t="n">
        <f aca="false">IF(AND($P4545&gt;0,$O4545&gt;0),$P4545,0)</f>
        <v>0</v>
      </c>
      <c r="R4545" s="64" t="n">
        <f aca="false">IF(AND($Q4545&gt;0,$O4545&gt;=AtRank),$Q4545,0)</f>
        <v>0</v>
      </c>
      <c r="S4545" s="64" t="n">
        <f aca="false">IF(AND($Q4545&gt;0,$O4545&gt;=AboveRank),$Q4545,0)</f>
        <v>0</v>
      </c>
      <c r="T4545" s="64" t="n">
        <f aca="false">IF($K4545="Less",$P4545,0)</f>
        <v>0</v>
      </c>
      <c r="U4545" s="64" t="n">
        <f aca="false">IF($K4545="Expected",$P4545,0)</f>
        <v>0</v>
      </c>
      <c r="V4545" s="64" t="n">
        <f aca="false">IF($K4545="Better",$P4545,0)</f>
        <v>0</v>
      </c>
      <c r="W4545" s="64" t="n">
        <f aca="false">IF($K4545="U – needs rule",$P4545,0)</f>
        <v>0</v>
      </c>
      <c r="X4545" s="64" t="n">
        <f aca="false">IF($K4545="No Start (attainment only)",$P4545,0)</f>
        <v>0</v>
      </c>
    </row>
    <row r="4546" customFormat="false" ht="15" hidden="false" customHeight="false" outlineLevel="0" collapsed="false">
      <c r="A4546" s="60"/>
      <c r="B4546" s="61" t="str">
        <f aca="false">IF($M4546=0,"",INDEX(Classes!$E$6:$E$420,$M4546))</f>
        <v/>
      </c>
      <c r="C4546" s="62" t="str">
        <f aca="false">IF($M4546=0,"",INDEX(Classes!$H$6:$H$420,$M4546))</f>
        <v/>
      </c>
      <c r="D4546" s="61" t="str">
        <f aca="false">IF($M4546=0,"",INDEX(Classes!$B$6:$B$420,$M4546))</f>
        <v/>
      </c>
      <c r="E4546" s="61" t="str">
        <f aca="false">IF($M4546=0,"",INDEX(Classes!$C$6:$C$420,$M4546))</f>
        <v/>
      </c>
      <c r="F4546" s="63"/>
      <c r="G4546" s="63"/>
      <c r="H4546" s="60"/>
      <c r="I4546" s="60"/>
      <c r="J4546" s="63"/>
      <c r="K4546" s="61" t="str">
        <f aca="false">IF($P4546=0,"",IF($F4546="Baseline","— Baseline",IF($O4546=0,"No result",IF($N4546=0,"No Start (attainment only)",IF(OR($N4546=1,$O4546=1),"U – needs rule",INDEX(MxBody,MATCH($I4546,MxCurr,0),MATCH($H4546,MxStart,0)))))))</f>
        <v/>
      </c>
      <c r="L4546" s="62" t="str">
        <f aca="false">IF(COUNTA($A4546,$F4546,$G4546,$H4546,$I4546,$J4546)=0,"",IF($M4546=0,"✖ كود الصف غير موجود",IF(ISNA(MATCH($F4546,Lists!$A$2:$A$5,0)),"✖ الفترة غير صحيحة",IF(ISNA(MATCH($G4546,Lists!$B$2:$B$7,0)),"✖ المجموعة غير صحيحة",IF(NOT(OR($H4546="",$N4546&gt;0)),"✖ Start غير صحيح",IF(NOT(OR($I4546="",$I4546="NR",$O4546&gt;0)),"✖ Current غير صحيح",IF(NOT(IF(ISNUMBER($J4546),AND($J4546&gt;=0,$J4546=INT($J4546)),FALSE())),"✖ العدد يجب أن يكون صحيحًا ≥ 0",IF(AND($F4546="Baseline",$H4546&lt;&gt;""),"⚠ Baseline: Start لا يدخل في التقدم",IF($K4546="No Start (attainment only)","ℹ تحصيل فقط (بدون Start)",IF($K4546="U – needs rule","ℹ حالة U تحتاج قاعدة معتمدة",IF($K4546="No result","ℹ بدون نتيجة (يُستبعد من التحصيل)","OK")))))))))))</f>
        <v/>
      </c>
      <c r="M4546" s="64" t="n">
        <f aca="false">IF($A4546="",0,IFERROR(MATCH($A4546,Classes!$A$6:$A$420,0),0))</f>
        <v>0</v>
      </c>
      <c r="N4546" s="64" t="n">
        <f aca="false">IF($H4546="",0,IFERROR(MATCH($H4546,GradeList,0),0))</f>
        <v>0</v>
      </c>
      <c r="O4546" s="64" t="n">
        <f aca="false">IF(OR($I4546="",$I4546="NR"),0,IFERROR(MATCH($I4546,GradeList,0),0))</f>
        <v>0</v>
      </c>
      <c r="P4546" s="64" t="n">
        <f aca="false">IF(AND($M4546&gt;0,ISNUMBER(MATCH($F4546,Lists!$A$2:$A$5,0)),ISNUMBER(MATCH($G4546,Lists!$B$2:$B$7,0)),OR($H4546="",$N4546&gt;0),OR($I4546="",$I4546="NR",$O4546&gt;0),IF(ISNUMBER($J4546),AND($J4546&gt;=0,$J4546=INT($J4546)),FALSE())),$J4546,0)</f>
        <v>0</v>
      </c>
      <c r="Q4546" s="64" t="n">
        <f aca="false">IF(AND($P4546&gt;0,$O4546&gt;0),$P4546,0)</f>
        <v>0</v>
      </c>
      <c r="R4546" s="64" t="n">
        <f aca="false">IF(AND($Q4546&gt;0,$O4546&gt;=AtRank),$Q4546,0)</f>
        <v>0</v>
      </c>
      <c r="S4546" s="64" t="n">
        <f aca="false">IF(AND($Q4546&gt;0,$O4546&gt;=AboveRank),$Q4546,0)</f>
        <v>0</v>
      </c>
      <c r="T4546" s="64" t="n">
        <f aca="false">IF($K4546="Less",$P4546,0)</f>
        <v>0</v>
      </c>
      <c r="U4546" s="64" t="n">
        <f aca="false">IF($K4546="Expected",$P4546,0)</f>
        <v>0</v>
      </c>
      <c r="V4546" s="64" t="n">
        <f aca="false">IF($K4546="Better",$P4546,0)</f>
        <v>0</v>
      </c>
      <c r="W4546" s="64" t="n">
        <f aca="false">IF($K4546="U – needs rule",$P4546,0)</f>
        <v>0</v>
      </c>
      <c r="X4546" s="64" t="n">
        <f aca="false">IF($K4546="No Start (attainment only)",$P4546,0)</f>
        <v>0</v>
      </c>
    </row>
    <row r="4547" customFormat="false" ht="15" hidden="false" customHeight="false" outlineLevel="0" collapsed="false">
      <c r="A4547" s="60"/>
      <c r="B4547" s="61" t="str">
        <f aca="false">IF($M4547=0,"",INDEX(Classes!$E$6:$E$420,$M4547))</f>
        <v/>
      </c>
      <c r="C4547" s="62" t="str">
        <f aca="false">IF($M4547=0,"",INDEX(Classes!$H$6:$H$420,$M4547))</f>
        <v/>
      </c>
      <c r="D4547" s="61" t="str">
        <f aca="false">IF($M4547=0,"",INDEX(Classes!$B$6:$B$420,$M4547))</f>
        <v/>
      </c>
      <c r="E4547" s="61" t="str">
        <f aca="false">IF($M4547=0,"",INDEX(Classes!$C$6:$C$420,$M4547))</f>
        <v/>
      </c>
      <c r="F4547" s="63"/>
      <c r="G4547" s="63"/>
      <c r="H4547" s="60"/>
      <c r="I4547" s="60"/>
      <c r="J4547" s="63"/>
      <c r="K4547" s="61" t="str">
        <f aca="false">IF($P4547=0,"",IF($F4547="Baseline","— Baseline",IF($O4547=0,"No result",IF($N4547=0,"No Start (attainment only)",IF(OR($N4547=1,$O4547=1),"U – needs rule",INDEX(MxBody,MATCH($I4547,MxCurr,0),MATCH($H4547,MxStart,0)))))))</f>
        <v/>
      </c>
      <c r="L4547" s="62" t="str">
        <f aca="false">IF(COUNTA($A4547,$F4547,$G4547,$H4547,$I4547,$J4547)=0,"",IF($M4547=0,"✖ كود الصف غير موجود",IF(ISNA(MATCH($F4547,Lists!$A$2:$A$5,0)),"✖ الفترة غير صحيحة",IF(ISNA(MATCH($G4547,Lists!$B$2:$B$7,0)),"✖ المجموعة غير صحيحة",IF(NOT(OR($H4547="",$N4547&gt;0)),"✖ Start غير صحيح",IF(NOT(OR($I4547="",$I4547="NR",$O4547&gt;0)),"✖ Current غير صحيح",IF(NOT(IF(ISNUMBER($J4547),AND($J4547&gt;=0,$J4547=INT($J4547)),FALSE())),"✖ العدد يجب أن يكون صحيحًا ≥ 0",IF(AND($F4547="Baseline",$H4547&lt;&gt;""),"⚠ Baseline: Start لا يدخل في التقدم",IF($K4547="No Start (attainment only)","ℹ تحصيل فقط (بدون Start)",IF($K4547="U – needs rule","ℹ حالة U تحتاج قاعدة معتمدة",IF($K4547="No result","ℹ بدون نتيجة (يُستبعد من التحصيل)","OK")))))))))))</f>
        <v/>
      </c>
      <c r="M4547" s="64" t="n">
        <f aca="false">IF($A4547="",0,IFERROR(MATCH($A4547,Classes!$A$6:$A$420,0),0))</f>
        <v>0</v>
      </c>
      <c r="N4547" s="64" t="n">
        <f aca="false">IF($H4547="",0,IFERROR(MATCH($H4547,GradeList,0),0))</f>
        <v>0</v>
      </c>
      <c r="O4547" s="64" t="n">
        <f aca="false">IF(OR($I4547="",$I4547="NR"),0,IFERROR(MATCH($I4547,GradeList,0),0))</f>
        <v>0</v>
      </c>
      <c r="P4547" s="64" t="n">
        <f aca="false">IF(AND($M4547&gt;0,ISNUMBER(MATCH($F4547,Lists!$A$2:$A$5,0)),ISNUMBER(MATCH($G4547,Lists!$B$2:$B$7,0)),OR($H4547="",$N4547&gt;0),OR($I4547="",$I4547="NR",$O4547&gt;0),IF(ISNUMBER($J4547),AND($J4547&gt;=0,$J4547=INT($J4547)),FALSE())),$J4547,0)</f>
        <v>0</v>
      </c>
      <c r="Q4547" s="64" t="n">
        <f aca="false">IF(AND($P4547&gt;0,$O4547&gt;0),$P4547,0)</f>
        <v>0</v>
      </c>
      <c r="R4547" s="64" t="n">
        <f aca="false">IF(AND($Q4547&gt;0,$O4547&gt;=AtRank),$Q4547,0)</f>
        <v>0</v>
      </c>
      <c r="S4547" s="64" t="n">
        <f aca="false">IF(AND($Q4547&gt;0,$O4547&gt;=AboveRank),$Q4547,0)</f>
        <v>0</v>
      </c>
      <c r="T4547" s="64" t="n">
        <f aca="false">IF($K4547="Less",$P4547,0)</f>
        <v>0</v>
      </c>
      <c r="U4547" s="64" t="n">
        <f aca="false">IF($K4547="Expected",$P4547,0)</f>
        <v>0</v>
      </c>
      <c r="V4547" s="64" t="n">
        <f aca="false">IF($K4547="Better",$P4547,0)</f>
        <v>0</v>
      </c>
      <c r="W4547" s="64" t="n">
        <f aca="false">IF($K4547="U – needs rule",$P4547,0)</f>
        <v>0</v>
      </c>
      <c r="X4547" s="64" t="n">
        <f aca="false">IF($K4547="No Start (attainment only)",$P4547,0)</f>
        <v>0</v>
      </c>
    </row>
    <row r="4548" customFormat="false" ht="15" hidden="false" customHeight="false" outlineLevel="0" collapsed="false">
      <c r="A4548" s="60"/>
      <c r="B4548" s="61" t="str">
        <f aca="false">IF($M4548=0,"",INDEX(Classes!$E$6:$E$420,$M4548))</f>
        <v/>
      </c>
      <c r="C4548" s="62" t="str">
        <f aca="false">IF($M4548=0,"",INDEX(Classes!$H$6:$H$420,$M4548))</f>
        <v/>
      </c>
      <c r="D4548" s="61" t="str">
        <f aca="false">IF($M4548=0,"",INDEX(Classes!$B$6:$B$420,$M4548))</f>
        <v/>
      </c>
      <c r="E4548" s="61" t="str">
        <f aca="false">IF($M4548=0,"",INDEX(Classes!$C$6:$C$420,$M4548))</f>
        <v/>
      </c>
      <c r="F4548" s="63"/>
      <c r="G4548" s="63"/>
      <c r="H4548" s="60"/>
      <c r="I4548" s="60"/>
      <c r="J4548" s="63"/>
      <c r="K4548" s="61" t="str">
        <f aca="false">IF($P4548=0,"",IF($F4548="Baseline","— Baseline",IF($O4548=0,"No result",IF($N4548=0,"No Start (attainment only)",IF(OR($N4548=1,$O4548=1),"U – needs rule",INDEX(MxBody,MATCH($I4548,MxCurr,0),MATCH($H4548,MxStart,0)))))))</f>
        <v/>
      </c>
      <c r="L4548" s="62" t="str">
        <f aca="false">IF(COUNTA($A4548,$F4548,$G4548,$H4548,$I4548,$J4548)=0,"",IF($M4548=0,"✖ كود الصف غير موجود",IF(ISNA(MATCH($F4548,Lists!$A$2:$A$5,0)),"✖ الفترة غير صحيحة",IF(ISNA(MATCH($G4548,Lists!$B$2:$B$7,0)),"✖ المجموعة غير صحيحة",IF(NOT(OR($H4548="",$N4548&gt;0)),"✖ Start غير صحيح",IF(NOT(OR($I4548="",$I4548="NR",$O4548&gt;0)),"✖ Current غير صحيح",IF(NOT(IF(ISNUMBER($J4548),AND($J4548&gt;=0,$J4548=INT($J4548)),FALSE())),"✖ العدد يجب أن يكون صحيحًا ≥ 0",IF(AND($F4548="Baseline",$H4548&lt;&gt;""),"⚠ Baseline: Start لا يدخل في التقدم",IF($K4548="No Start (attainment only)","ℹ تحصيل فقط (بدون Start)",IF($K4548="U – needs rule","ℹ حالة U تحتاج قاعدة معتمدة",IF($K4548="No result","ℹ بدون نتيجة (يُستبعد من التحصيل)","OK")))))))))))</f>
        <v/>
      </c>
      <c r="M4548" s="64" t="n">
        <f aca="false">IF($A4548="",0,IFERROR(MATCH($A4548,Classes!$A$6:$A$420,0),0))</f>
        <v>0</v>
      </c>
      <c r="N4548" s="64" t="n">
        <f aca="false">IF($H4548="",0,IFERROR(MATCH($H4548,GradeList,0),0))</f>
        <v>0</v>
      </c>
      <c r="O4548" s="64" t="n">
        <f aca="false">IF(OR($I4548="",$I4548="NR"),0,IFERROR(MATCH($I4548,GradeList,0),0))</f>
        <v>0</v>
      </c>
      <c r="P4548" s="64" t="n">
        <f aca="false">IF(AND($M4548&gt;0,ISNUMBER(MATCH($F4548,Lists!$A$2:$A$5,0)),ISNUMBER(MATCH($G4548,Lists!$B$2:$B$7,0)),OR($H4548="",$N4548&gt;0),OR($I4548="",$I4548="NR",$O4548&gt;0),IF(ISNUMBER($J4548),AND($J4548&gt;=0,$J4548=INT($J4548)),FALSE())),$J4548,0)</f>
        <v>0</v>
      </c>
      <c r="Q4548" s="64" t="n">
        <f aca="false">IF(AND($P4548&gt;0,$O4548&gt;0),$P4548,0)</f>
        <v>0</v>
      </c>
      <c r="R4548" s="64" t="n">
        <f aca="false">IF(AND($Q4548&gt;0,$O4548&gt;=AtRank),$Q4548,0)</f>
        <v>0</v>
      </c>
      <c r="S4548" s="64" t="n">
        <f aca="false">IF(AND($Q4548&gt;0,$O4548&gt;=AboveRank),$Q4548,0)</f>
        <v>0</v>
      </c>
      <c r="T4548" s="64" t="n">
        <f aca="false">IF($K4548="Less",$P4548,0)</f>
        <v>0</v>
      </c>
      <c r="U4548" s="64" t="n">
        <f aca="false">IF($K4548="Expected",$P4548,0)</f>
        <v>0</v>
      </c>
      <c r="V4548" s="64" t="n">
        <f aca="false">IF($K4548="Better",$P4548,0)</f>
        <v>0</v>
      </c>
      <c r="W4548" s="64" t="n">
        <f aca="false">IF($K4548="U – needs rule",$P4548,0)</f>
        <v>0</v>
      </c>
      <c r="X4548" s="64" t="n">
        <f aca="false">IF($K4548="No Start (attainment only)",$P4548,0)</f>
        <v>0</v>
      </c>
    </row>
    <row r="4549" customFormat="false" ht="15" hidden="false" customHeight="false" outlineLevel="0" collapsed="false">
      <c r="A4549" s="60"/>
      <c r="B4549" s="61" t="str">
        <f aca="false">IF($M4549=0,"",INDEX(Classes!$E$6:$E$420,$M4549))</f>
        <v/>
      </c>
      <c r="C4549" s="62" t="str">
        <f aca="false">IF($M4549=0,"",INDEX(Classes!$H$6:$H$420,$M4549))</f>
        <v/>
      </c>
      <c r="D4549" s="61" t="str">
        <f aca="false">IF($M4549=0,"",INDEX(Classes!$B$6:$B$420,$M4549))</f>
        <v/>
      </c>
      <c r="E4549" s="61" t="str">
        <f aca="false">IF($M4549=0,"",INDEX(Classes!$C$6:$C$420,$M4549))</f>
        <v/>
      </c>
      <c r="F4549" s="63"/>
      <c r="G4549" s="63"/>
      <c r="H4549" s="60"/>
      <c r="I4549" s="60"/>
      <c r="J4549" s="63"/>
      <c r="K4549" s="61" t="str">
        <f aca="false">IF($P4549=0,"",IF($F4549="Baseline","— Baseline",IF($O4549=0,"No result",IF($N4549=0,"No Start (attainment only)",IF(OR($N4549=1,$O4549=1),"U – needs rule",INDEX(MxBody,MATCH($I4549,MxCurr,0),MATCH($H4549,MxStart,0)))))))</f>
        <v/>
      </c>
      <c r="L4549" s="62" t="str">
        <f aca="false">IF(COUNTA($A4549,$F4549,$G4549,$H4549,$I4549,$J4549)=0,"",IF($M4549=0,"✖ كود الصف غير موجود",IF(ISNA(MATCH($F4549,Lists!$A$2:$A$5,0)),"✖ الفترة غير صحيحة",IF(ISNA(MATCH($G4549,Lists!$B$2:$B$7,0)),"✖ المجموعة غير صحيحة",IF(NOT(OR($H4549="",$N4549&gt;0)),"✖ Start غير صحيح",IF(NOT(OR($I4549="",$I4549="NR",$O4549&gt;0)),"✖ Current غير صحيح",IF(NOT(IF(ISNUMBER($J4549),AND($J4549&gt;=0,$J4549=INT($J4549)),FALSE())),"✖ العدد يجب أن يكون صحيحًا ≥ 0",IF(AND($F4549="Baseline",$H4549&lt;&gt;""),"⚠ Baseline: Start لا يدخل في التقدم",IF($K4549="No Start (attainment only)","ℹ تحصيل فقط (بدون Start)",IF($K4549="U – needs rule","ℹ حالة U تحتاج قاعدة معتمدة",IF($K4549="No result","ℹ بدون نتيجة (يُستبعد من التحصيل)","OK")))))))))))</f>
        <v/>
      </c>
      <c r="M4549" s="64" t="n">
        <f aca="false">IF($A4549="",0,IFERROR(MATCH($A4549,Classes!$A$6:$A$420,0),0))</f>
        <v>0</v>
      </c>
      <c r="N4549" s="64" t="n">
        <f aca="false">IF($H4549="",0,IFERROR(MATCH($H4549,GradeList,0),0))</f>
        <v>0</v>
      </c>
      <c r="O4549" s="64" t="n">
        <f aca="false">IF(OR($I4549="",$I4549="NR"),0,IFERROR(MATCH($I4549,GradeList,0),0))</f>
        <v>0</v>
      </c>
      <c r="P4549" s="64" t="n">
        <f aca="false">IF(AND($M4549&gt;0,ISNUMBER(MATCH($F4549,Lists!$A$2:$A$5,0)),ISNUMBER(MATCH($G4549,Lists!$B$2:$B$7,0)),OR($H4549="",$N4549&gt;0),OR($I4549="",$I4549="NR",$O4549&gt;0),IF(ISNUMBER($J4549),AND($J4549&gt;=0,$J4549=INT($J4549)),FALSE())),$J4549,0)</f>
        <v>0</v>
      </c>
      <c r="Q4549" s="64" t="n">
        <f aca="false">IF(AND($P4549&gt;0,$O4549&gt;0),$P4549,0)</f>
        <v>0</v>
      </c>
      <c r="R4549" s="64" t="n">
        <f aca="false">IF(AND($Q4549&gt;0,$O4549&gt;=AtRank),$Q4549,0)</f>
        <v>0</v>
      </c>
      <c r="S4549" s="64" t="n">
        <f aca="false">IF(AND($Q4549&gt;0,$O4549&gt;=AboveRank),$Q4549,0)</f>
        <v>0</v>
      </c>
      <c r="T4549" s="64" t="n">
        <f aca="false">IF($K4549="Less",$P4549,0)</f>
        <v>0</v>
      </c>
      <c r="U4549" s="64" t="n">
        <f aca="false">IF($K4549="Expected",$P4549,0)</f>
        <v>0</v>
      </c>
      <c r="V4549" s="64" t="n">
        <f aca="false">IF($K4549="Better",$P4549,0)</f>
        <v>0</v>
      </c>
      <c r="W4549" s="64" t="n">
        <f aca="false">IF($K4549="U – needs rule",$P4549,0)</f>
        <v>0</v>
      </c>
      <c r="X4549" s="64" t="n">
        <f aca="false">IF($K4549="No Start (attainment only)",$P4549,0)</f>
        <v>0</v>
      </c>
    </row>
    <row r="4550" customFormat="false" ht="15" hidden="false" customHeight="false" outlineLevel="0" collapsed="false">
      <c r="A4550" s="60"/>
      <c r="B4550" s="61" t="str">
        <f aca="false">IF($M4550=0,"",INDEX(Classes!$E$6:$E$420,$M4550))</f>
        <v/>
      </c>
      <c r="C4550" s="62" t="str">
        <f aca="false">IF($M4550=0,"",INDEX(Classes!$H$6:$H$420,$M4550))</f>
        <v/>
      </c>
      <c r="D4550" s="61" t="str">
        <f aca="false">IF($M4550=0,"",INDEX(Classes!$B$6:$B$420,$M4550))</f>
        <v/>
      </c>
      <c r="E4550" s="61" t="str">
        <f aca="false">IF($M4550=0,"",INDEX(Classes!$C$6:$C$420,$M4550))</f>
        <v/>
      </c>
      <c r="F4550" s="63"/>
      <c r="G4550" s="63"/>
      <c r="H4550" s="60"/>
      <c r="I4550" s="60"/>
      <c r="J4550" s="63"/>
      <c r="K4550" s="61" t="str">
        <f aca="false">IF($P4550=0,"",IF($F4550="Baseline","— Baseline",IF($O4550=0,"No result",IF($N4550=0,"No Start (attainment only)",IF(OR($N4550=1,$O4550=1),"U – needs rule",INDEX(MxBody,MATCH($I4550,MxCurr,0),MATCH($H4550,MxStart,0)))))))</f>
        <v/>
      </c>
      <c r="L4550" s="62" t="str">
        <f aca="false">IF(COUNTA($A4550,$F4550,$G4550,$H4550,$I4550,$J4550)=0,"",IF($M4550=0,"✖ كود الصف غير موجود",IF(ISNA(MATCH($F4550,Lists!$A$2:$A$5,0)),"✖ الفترة غير صحيحة",IF(ISNA(MATCH($G4550,Lists!$B$2:$B$7,0)),"✖ المجموعة غير صحيحة",IF(NOT(OR($H4550="",$N4550&gt;0)),"✖ Start غير صحيح",IF(NOT(OR($I4550="",$I4550="NR",$O4550&gt;0)),"✖ Current غير صحيح",IF(NOT(IF(ISNUMBER($J4550),AND($J4550&gt;=0,$J4550=INT($J4550)),FALSE())),"✖ العدد يجب أن يكون صحيحًا ≥ 0",IF(AND($F4550="Baseline",$H4550&lt;&gt;""),"⚠ Baseline: Start لا يدخل في التقدم",IF($K4550="No Start (attainment only)","ℹ تحصيل فقط (بدون Start)",IF($K4550="U – needs rule","ℹ حالة U تحتاج قاعدة معتمدة",IF($K4550="No result","ℹ بدون نتيجة (يُستبعد من التحصيل)","OK")))))))))))</f>
        <v/>
      </c>
      <c r="M4550" s="64" t="n">
        <f aca="false">IF($A4550="",0,IFERROR(MATCH($A4550,Classes!$A$6:$A$420,0),0))</f>
        <v>0</v>
      </c>
      <c r="N4550" s="64" t="n">
        <f aca="false">IF($H4550="",0,IFERROR(MATCH($H4550,GradeList,0),0))</f>
        <v>0</v>
      </c>
      <c r="O4550" s="64" t="n">
        <f aca="false">IF(OR($I4550="",$I4550="NR"),0,IFERROR(MATCH($I4550,GradeList,0),0))</f>
        <v>0</v>
      </c>
      <c r="P4550" s="64" t="n">
        <f aca="false">IF(AND($M4550&gt;0,ISNUMBER(MATCH($F4550,Lists!$A$2:$A$5,0)),ISNUMBER(MATCH($G4550,Lists!$B$2:$B$7,0)),OR($H4550="",$N4550&gt;0),OR($I4550="",$I4550="NR",$O4550&gt;0),IF(ISNUMBER($J4550),AND($J4550&gt;=0,$J4550=INT($J4550)),FALSE())),$J4550,0)</f>
        <v>0</v>
      </c>
      <c r="Q4550" s="64" t="n">
        <f aca="false">IF(AND($P4550&gt;0,$O4550&gt;0),$P4550,0)</f>
        <v>0</v>
      </c>
      <c r="R4550" s="64" t="n">
        <f aca="false">IF(AND($Q4550&gt;0,$O4550&gt;=AtRank),$Q4550,0)</f>
        <v>0</v>
      </c>
      <c r="S4550" s="64" t="n">
        <f aca="false">IF(AND($Q4550&gt;0,$O4550&gt;=AboveRank),$Q4550,0)</f>
        <v>0</v>
      </c>
      <c r="T4550" s="64" t="n">
        <f aca="false">IF($K4550="Less",$P4550,0)</f>
        <v>0</v>
      </c>
      <c r="U4550" s="64" t="n">
        <f aca="false">IF($K4550="Expected",$P4550,0)</f>
        <v>0</v>
      </c>
      <c r="V4550" s="64" t="n">
        <f aca="false">IF($K4550="Better",$P4550,0)</f>
        <v>0</v>
      </c>
      <c r="W4550" s="64" t="n">
        <f aca="false">IF($K4550="U – needs rule",$P4550,0)</f>
        <v>0</v>
      </c>
      <c r="X4550" s="64" t="n">
        <f aca="false">IF($K4550="No Start (attainment only)",$P4550,0)</f>
        <v>0</v>
      </c>
    </row>
    <row r="4551" customFormat="false" ht="15" hidden="false" customHeight="false" outlineLevel="0" collapsed="false">
      <c r="A4551" s="60"/>
      <c r="B4551" s="61" t="str">
        <f aca="false">IF($M4551=0,"",INDEX(Classes!$E$6:$E$420,$M4551))</f>
        <v/>
      </c>
      <c r="C4551" s="62" t="str">
        <f aca="false">IF($M4551=0,"",INDEX(Classes!$H$6:$H$420,$M4551))</f>
        <v/>
      </c>
      <c r="D4551" s="61" t="str">
        <f aca="false">IF($M4551=0,"",INDEX(Classes!$B$6:$B$420,$M4551))</f>
        <v/>
      </c>
      <c r="E4551" s="61" t="str">
        <f aca="false">IF($M4551=0,"",INDEX(Classes!$C$6:$C$420,$M4551))</f>
        <v/>
      </c>
      <c r="F4551" s="63"/>
      <c r="G4551" s="63"/>
      <c r="H4551" s="60"/>
      <c r="I4551" s="60"/>
      <c r="J4551" s="63"/>
      <c r="K4551" s="61" t="str">
        <f aca="false">IF($P4551=0,"",IF($F4551="Baseline","— Baseline",IF($O4551=0,"No result",IF($N4551=0,"No Start (attainment only)",IF(OR($N4551=1,$O4551=1),"U – needs rule",INDEX(MxBody,MATCH($I4551,MxCurr,0),MATCH($H4551,MxStart,0)))))))</f>
        <v/>
      </c>
      <c r="L4551" s="62" t="str">
        <f aca="false">IF(COUNTA($A4551,$F4551,$G4551,$H4551,$I4551,$J4551)=0,"",IF($M4551=0,"✖ كود الصف غير موجود",IF(ISNA(MATCH($F4551,Lists!$A$2:$A$5,0)),"✖ الفترة غير صحيحة",IF(ISNA(MATCH($G4551,Lists!$B$2:$B$7,0)),"✖ المجموعة غير صحيحة",IF(NOT(OR($H4551="",$N4551&gt;0)),"✖ Start غير صحيح",IF(NOT(OR($I4551="",$I4551="NR",$O4551&gt;0)),"✖ Current غير صحيح",IF(NOT(IF(ISNUMBER($J4551),AND($J4551&gt;=0,$J4551=INT($J4551)),FALSE())),"✖ العدد يجب أن يكون صحيحًا ≥ 0",IF(AND($F4551="Baseline",$H4551&lt;&gt;""),"⚠ Baseline: Start لا يدخل في التقدم",IF($K4551="No Start (attainment only)","ℹ تحصيل فقط (بدون Start)",IF($K4551="U – needs rule","ℹ حالة U تحتاج قاعدة معتمدة",IF($K4551="No result","ℹ بدون نتيجة (يُستبعد من التحصيل)","OK")))))))))))</f>
        <v/>
      </c>
      <c r="M4551" s="64" t="n">
        <f aca="false">IF($A4551="",0,IFERROR(MATCH($A4551,Classes!$A$6:$A$420,0),0))</f>
        <v>0</v>
      </c>
      <c r="N4551" s="64" t="n">
        <f aca="false">IF($H4551="",0,IFERROR(MATCH($H4551,GradeList,0),0))</f>
        <v>0</v>
      </c>
      <c r="O4551" s="64" t="n">
        <f aca="false">IF(OR($I4551="",$I4551="NR"),0,IFERROR(MATCH($I4551,GradeList,0),0))</f>
        <v>0</v>
      </c>
      <c r="P4551" s="64" t="n">
        <f aca="false">IF(AND($M4551&gt;0,ISNUMBER(MATCH($F4551,Lists!$A$2:$A$5,0)),ISNUMBER(MATCH($G4551,Lists!$B$2:$B$7,0)),OR($H4551="",$N4551&gt;0),OR($I4551="",$I4551="NR",$O4551&gt;0),IF(ISNUMBER($J4551),AND($J4551&gt;=0,$J4551=INT($J4551)),FALSE())),$J4551,0)</f>
        <v>0</v>
      </c>
      <c r="Q4551" s="64" t="n">
        <f aca="false">IF(AND($P4551&gt;0,$O4551&gt;0),$P4551,0)</f>
        <v>0</v>
      </c>
      <c r="R4551" s="64" t="n">
        <f aca="false">IF(AND($Q4551&gt;0,$O4551&gt;=AtRank),$Q4551,0)</f>
        <v>0</v>
      </c>
      <c r="S4551" s="64" t="n">
        <f aca="false">IF(AND($Q4551&gt;0,$O4551&gt;=AboveRank),$Q4551,0)</f>
        <v>0</v>
      </c>
      <c r="T4551" s="64" t="n">
        <f aca="false">IF($K4551="Less",$P4551,0)</f>
        <v>0</v>
      </c>
      <c r="U4551" s="64" t="n">
        <f aca="false">IF($K4551="Expected",$P4551,0)</f>
        <v>0</v>
      </c>
      <c r="V4551" s="64" t="n">
        <f aca="false">IF($K4551="Better",$P4551,0)</f>
        <v>0</v>
      </c>
      <c r="W4551" s="64" t="n">
        <f aca="false">IF($K4551="U – needs rule",$P4551,0)</f>
        <v>0</v>
      </c>
      <c r="X4551" s="64" t="n">
        <f aca="false">IF($K4551="No Start (attainment only)",$P4551,0)</f>
        <v>0</v>
      </c>
    </row>
    <row r="4552" customFormat="false" ht="15" hidden="false" customHeight="false" outlineLevel="0" collapsed="false">
      <c r="A4552" s="60"/>
      <c r="B4552" s="61" t="str">
        <f aca="false">IF($M4552=0,"",INDEX(Classes!$E$6:$E$420,$M4552))</f>
        <v/>
      </c>
      <c r="C4552" s="62" t="str">
        <f aca="false">IF($M4552=0,"",INDEX(Classes!$H$6:$H$420,$M4552))</f>
        <v/>
      </c>
      <c r="D4552" s="61" t="str">
        <f aca="false">IF($M4552=0,"",INDEX(Classes!$B$6:$B$420,$M4552))</f>
        <v/>
      </c>
      <c r="E4552" s="61" t="str">
        <f aca="false">IF($M4552=0,"",INDEX(Classes!$C$6:$C$420,$M4552))</f>
        <v/>
      </c>
      <c r="F4552" s="63"/>
      <c r="G4552" s="63"/>
      <c r="H4552" s="60"/>
      <c r="I4552" s="60"/>
      <c r="J4552" s="63"/>
      <c r="K4552" s="61" t="str">
        <f aca="false">IF($P4552=0,"",IF($F4552="Baseline","— Baseline",IF($O4552=0,"No result",IF($N4552=0,"No Start (attainment only)",IF(OR($N4552=1,$O4552=1),"U – needs rule",INDEX(MxBody,MATCH($I4552,MxCurr,0),MATCH($H4552,MxStart,0)))))))</f>
        <v/>
      </c>
      <c r="L4552" s="62" t="str">
        <f aca="false">IF(COUNTA($A4552,$F4552,$G4552,$H4552,$I4552,$J4552)=0,"",IF($M4552=0,"✖ كود الصف غير موجود",IF(ISNA(MATCH($F4552,Lists!$A$2:$A$5,0)),"✖ الفترة غير صحيحة",IF(ISNA(MATCH($G4552,Lists!$B$2:$B$7,0)),"✖ المجموعة غير صحيحة",IF(NOT(OR($H4552="",$N4552&gt;0)),"✖ Start غير صحيح",IF(NOT(OR($I4552="",$I4552="NR",$O4552&gt;0)),"✖ Current غير صحيح",IF(NOT(IF(ISNUMBER($J4552),AND($J4552&gt;=0,$J4552=INT($J4552)),FALSE())),"✖ العدد يجب أن يكون صحيحًا ≥ 0",IF(AND($F4552="Baseline",$H4552&lt;&gt;""),"⚠ Baseline: Start لا يدخل في التقدم",IF($K4552="No Start (attainment only)","ℹ تحصيل فقط (بدون Start)",IF($K4552="U – needs rule","ℹ حالة U تحتاج قاعدة معتمدة",IF($K4552="No result","ℹ بدون نتيجة (يُستبعد من التحصيل)","OK")))))))))))</f>
        <v/>
      </c>
      <c r="M4552" s="64" t="n">
        <f aca="false">IF($A4552="",0,IFERROR(MATCH($A4552,Classes!$A$6:$A$420,0),0))</f>
        <v>0</v>
      </c>
      <c r="N4552" s="64" t="n">
        <f aca="false">IF($H4552="",0,IFERROR(MATCH($H4552,GradeList,0),0))</f>
        <v>0</v>
      </c>
      <c r="O4552" s="64" t="n">
        <f aca="false">IF(OR($I4552="",$I4552="NR"),0,IFERROR(MATCH($I4552,GradeList,0),0))</f>
        <v>0</v>
      </c>
      <c r="P4552" s="64" t="n">
        <f aca="false">IF(AND($M4552&gt;0,ISNUMBER(MATCH($F4552,Lists!$A$2:$A$5,0)),ISNUMBER(MATCH($G4552,Lists!$B$2:$B$7,0)),OR($H4552="",$N4552&gt;0),OR($I4552="",$I4552="NR",$O4552&gt;0),IF(ISNUMBER($J4552),AND($J4552&gt;=0,$J4552=INT($J4552)),FALSE())),$J4552,0)</f>
        <v>0</v>
      </c>
      <c r="Q4552" s="64" t="n">
        <f aca="false">IF(AND($P4552&gt;0,$O4552&gt;0),$P4552,0)</f>
        <v>0</v>
      </c>
      <c r="R4552" s="64" t="n">
        <f aca="false">IF(AND($Q4552&gt;0,$O4552&gt;=AtRank),$Q4552,0)</f>
        <v>0</v>
      </c>
      <c r="S4552" s="64" t="n">
        <f aca="false">IF(AND($Q4552&gt;0,$O4552&gt;=AboveRank),$Q4552,0)</f>
        <v>0</v>
      </c>
      <c r="T4552" s="64" t="n">
        <f aca="false">IF($K4552="Less",$P4552,0)</f>
        <v>0</v>
      </c>
      <c r="U4552" s="64" t="n">
        <f aca="false">IF($K4552="Expected",$P4552,0)</f>
        <v>0</v>
      </c>
      <c r="V4552" s="64" t="n">
        <f aca="false">IF($K4552="Better",$P4552,0)</f>
        <v>0</v>
      </c>
      <c r="W4552" s="64" t="n">
        <f aca="false">IF($K4552="U – needs rule",$P4552,0)</f>
        <v>0</v>
      </c>
      <c r="X4552" s="64" t="n">
        <f aca="false">IF($K4552="No Start (attainment only)",$P4552,0)</f>
        <v>0</v>
      </c>
    </row>
    <row r="4553" customFormat="false" ht="15" hidden="false" customHeight="false" outlineLevel="0" collapsed="false">
      <c r="A4553" s="60"/>
      <c r="B4553" s="61" t="str">
        <f aca="false">IF($M4553=0,"",INDEX(Classes!$E$6:$E$420,$M4553))</f>
        <v/>
      </c>
      <c r="C4553" s="62" t="str">
        <f aca="false">IF($M4553=0,"",INDEX(Classes!$H$6:$H$420,$M4553))</f>
        <v/>
      </c>
      <c r="D4553" s="61" t="str">
        <f aca="false">IF($M4553=0,"",INDEX(Classes!$B$6:$B$420,$M4553))</f>
        <v/>
      </c>
      <c r="E4553" s="61" t="str">
        <f aca="false">IF($M4553=0,"",INDEX(Classes!$C$6:$C$420,$M4553))</f>
        <v/>
      </c>
      <c r="F4553" s="63"/>
      <c r="G4553" s="63"/>
      <c r="H4553" s="60"/>
      <c r="I4553" s="60"/>
      <c r="J4553" s="63"/>
      <c r="K4553" s="61" t="str">
        <f aca="false">IF($P4553=0,"",IF($F4553="Baseline","— Baseline",IF($O4553=0,"No result",IF($N4553=0,"No Start (attainment only)",IF(OR($N4553=1,$O4553=1),"U – needs rule",INDEX(MxBody,MATCH($I4553,MxCurr,0),MATCH($H4553,MxStart,0)))))))</f>
        <v/>
      </c>
      <c r="L4553" s="62" t="str">
        <f aca="false">IF(COUNTA($A4553,$F4553,$G4553,$H4553,$I4553,$J4553)=0,"",IF($M4553=0,"✖ كود الصف غير موجود",IF(ISNA(MATCH($F4553,Lists!$A$2:$A$5,0)),"✖ الفترة غير صحيحة",IF(ISNA(MATCH($G4553,Lists!$B$2:$B$7,0)),"✖ المجموعة غير صحيحة",IF(NOT(OR($H4553="",$N4553&gt;0)),"✖ Start غير صحيح",IF(NOT(OR($I4553="",$I4553="NR",$O4553&gt;0)),"✖ Current غير صحيح",IF(NOT(IF(ISNUMBER($J4553),AND($J4553&gt;=0,$J4553=INT($J4553)),FALSE())),"✖ العدد يجب أن يكون صحيحًا ≥ 0",IF(AND($F4553="Baseline",$H4553&lt;&gt;""),"⚠ Baseline: Start لا يدخل في التقدم",IF($K4553="No Start (attainment only)","ℹ تحصيل فقط (بدون Start)",IF($K4553="U – needs rule","ℹ حالة U تحتاج قاعدة معتمدة",IF($K4553="No result","ℹ بدون نتيجة (يُستبعد من التحصيل)","OK")))))))))))</f>
        <v/>
      </c>
      <c r="M4553" s="64" t="n">
        <f aca="false">IF($A4553="",0,IFERROR(MATCH($A4553,Classes!$A$6:$A$420,0),0))</f>
        <v>0</v>
      </c>
      <c r="N4553" s="64" t="n">
        <f aca="false">IF($H4553="",0,IFERROR(MATCH($H4553,GradeList,0),0))</f>
        <v>0</v>
      </c>
      <c r="O4553" s="64" t="n">
        <f aca="false">IF(OR($I4553="",$I4553="NR"),0,IFERROR(MATCH($I4553,GradeList,0),0))</f>
        <v>0</v>
      </c>
      <c r="P4553" s="64" t="n">
        <f aca="false">IF(AND($M4553&gt;0,ISNUMBER(MATCH($F4553,Lists!$A$2:$A$5,0)),ISNUMBER(MATCH($G4553,Lists!$B$2:$B$7,0)),OR($H4553="",$N4553&gt;0),OR($I4553="",$I4553="NR",$O4553&gt;0),IF(ISNUMBER($J4553),AND($J4553&gt;=0,$J4553=INT($J4553)),FALSE())),$J4553,0)</f>
        <v>0</v>
      </c>
      <c r="Q4553" s="64" t="n">
        <f aca="false">IF(AND($P4553&gt;0,$O4553&gt;0),$P4553,0)</f>
        <v>0</v>
      </c>
      <c r="R4553" s="64" t="n">
        <f aca="false">IF(AND($Q4553&gt;0,$O4553&gt;=AtRank),$Q4553,0)</f>
        <v>0</v>
      </c>
      <c r="S4553" s="64" t="n">
        <f aca="false">IF(AND($Q4553&gt;0,$O4553&gt;=AboveRank),$Q4553,0)</f>
        <v>0</v>
      </c>
      <c r="T4553" s="64" t="n">
        <f aca="false">IF($K4553="Less",$P4553,0)</f>
        <v>0</v>
      </c>
      <c r="U4553" s="64" t="n">
        <f aca="false">IF($K4553="Expected",$P4553,0)</f>
        <v>0</v>
      </c>
      <c r="V4553" s="64" t="n">
        <f aca="false">IF($K4553="Better",$P4553,0)</f>
        <v>0</v>
      </c>
      <c r="W4553" s="64" t="n">
        <f aca="false">IF($K4553="U – needs rule",$P4553,0)</f>
        <v>0</v>
      </c>
      <c r="X4553" s="64" t="n">
        <f aca="false">IF($K4553="No Start (attainment only)",$P4553,0)</f>
        <v>0</v>
      </c>
    </row>
    <row r="4554" customFormat="false" ht="15" hidden="false" customHeight="false" outlineLevel="0" collapsed="false">
      <c r="A4554" s="60"/>
      <c r="B4554" s="61" t="str">
        <f aca="false">IF($M4554=0,"",INDEX(Classes!$E$6:$E$420,$M4554))</f>
        <v/>
      </c>
      <c r="C4554" s="62" t="str">
        <f aca="false">IF($M4554=0,"",INDEX(Classes!$H$6:$H$420,$M4554))</f>
        <v/>
      </c>
      <c r="D4554" s="61" t="str">
        <f aca="false">IF($M4554=0,"",INDEX(Classes!$B$6:$B$420,$M4554))</f>
        <v/>
      </c>
      <c r="E4554" s="61" t="str">
        <f aca="false">IF($M4554=0,"",INDEX(Classes!$C$6:$C$420,$M4554))</f>
        <v/>
      </c>
      <c r="F4554" s="63"/>
      <c r="G4554" s="63"/>
      <c r="H4554" s="60"/>
      <c r="I4554" s="60"/>
      <c r="J4554" s="63"/>
      <c r="K4554" s="61" t="str">
        <f aca="false">IF($P4554=0,"",IF($F4554="Baseline","— Baseline",IF($O4554=0,"No result",IF($N4554=0,"No Start (attainment only)",IF(OR($N4554=1,$O4554=1),"U – needs rule",INDEX(MxBody,MATCH($I4554,MxCurr,0),MATCH($H4554,MxStart,0)))))))</f>
        <v/>
      </c>
      <c r="L4554" s="62" t="str">
        <f aca="false">IF(COUNTA($A4554,$F4554,$G4554,$H4554,$I4554,$J4554)=0,"",IF($M4554=0,"✖ كود الصف غير موجود",IF(ISNA(MATCH($F4554,Lists!$A$2:$A$5,0)),"✖ الفترة غير صحيحة",IF(ISNA(MATCH($G4554,Lists!$B$2:$B$7,0)),"✖ المجموعة غير صحيحة",IF(NOT(OR($H4554="",$N4554&gt;0)),"✖ Start غير صحيح",IF(NOT(OR($I4554="",$I4554="NR",$O4554&gt;0)),"✖ Current غير صحيح",IF(NOT(IF(ISNUMBER($J4554),AND($J4554&gt;=0,$J4554=INT($J4554)),FALSE())),"✖ العدد يجب أن يكون صحيحًا ≥ 0",IF(AND($F4554="Baseline",$H4554&lt;&gt;""),"⚠ Baseline: Start لا يدخل في التقدم",IF($K4554="No Start (attainment only)","ℹ تحصيل فقط (بدون Start)",IF($K4554="U – needs rule","ℹ حالة U تحتاج قاعدة معتمدة",IF($K4554="No result","ℹ بدون نتيجة (يُستبعد من التحصيل)","OK")))))))))))</f>
        <v/>
      </c>
      <c r="M4554" s="64" t="n">
        <f aca="false">IF($A4554="",0,IFERROR(MATCH($A4554,Classes!$A$6:$A$420,0),0))</f>
        <v>0</v>
      </c>
      <c r="N4554" s="64" t="n">
        <f aca="false">IF($H4554="",0,IFERROR(MATCH($H4554,GradeList,0),0))</f>
        <v>0</v>
      </c>
      <c r="O4554" s="64" t="n">
        <f aca="false">IF(OR($I4554="",$I4554="NR"),0,IFERROR(MATCH($I4554,GradeList,0),0))</f>
        <v>0</v>
      </c>
      <c r="P4554" s="64" t="n">
        <f aca="false">IF(AND($M4554&gt;0,ISNUMBER(MATCH($F4554,Lists!$A$2:$A$5,0)),ISNUMBER(MATCH($G4554,Lists!$B$2:$B$7,0)),OR($H4554="",$N4554&gt;0),OR($I4554="",$I4554="NR",$O4554&gt;0),IF(ISNUMBER($J4554),AND($J4554&gt;=0,$J4554=INT($J4554)),FALSE())),$J4554,0)</f>
        <v>0</v>
      </c>
      <c r="Q4554" s="64" t="n">
        <f aca="false">IF(AND($P4554&gt;0,$O4554&gt;0),$P4554,0)</f>
        <v>0</v>
      </c>
      <c r="R4554" s="64" t="n">
        <f aca="false">IF(AND($Q4554&gt;0,$O4554&gt;=AtRank),$Q4554,0)</f>
        <v>0</v>
      </c>
      <c r="S4554" s="64" t="n">
        <f aca="false">IF(AND($Q4554&gt;0,$O4554&gt;=AboveRank),$Q4554,0)</f>
        <v>0</v>
      </c>
      <c r="T4554" s="64" t="n">
        <f aca="false">IF($K4554="Less",$P4554,0)</f>
        <v>0</v>
      </c>
      <c r="U4554" s="64" t="n">
        <f aca="false">IF($K4554="Expected",$P4554,0)</f>
        <v>0</v>
      </c>
      <c r="V4554" s="64" t="n">
        <f aca="false">IF($K4554="Better",$P4554,0)</f>
        <v>0</v>
      </c>
      <c r="W4554" s="64" t="n">
        <f aca="false">IF($K4554="U – needs rule",$P4554,0)</f>
        <v>0</v>
      </c>
      <c r="X4554" s="64" t="n">
        <f aca="false">IF($K4554="No Start (attainment only)",$P4554,0)</f>
        <v>0</v>
      </c>
    </row>
    <row r="4555" customFormat="false" ht="15" hidden="false" customHeight="false" outlineLevel="0" collapsed="false">
      <c r="A4555" s="60"/>
      <c r="B4555" s="61" t="str">
        <f aca="false">IF($M4555=0,"",INDEX(Classes!$E$6:$E$420,$M4555))</f>
        <v/>
      </c>
      <c r="C4555" s="62" t="str">
        <f aca="false">IF($M4555=0,"",INDEX(Classes!$H$6:$H$420,$M4555))</f>
        <v/>
      </c>
      <c r="D4555" s="61" t="str">
        <f aca="false">IF($M4555=0,"",INDEX(Classes!$B$6:$B$420,$M4555))</f>
        <v/>
      </c>
      <c r="E4555" s="61" t="str">
        <f aca="false">IF($M4555=0,"",INDEX(Classes!$C$6:$C$420,$M4555))</f>
        <v/>
      </c>
      <c r="F4555" s="63"/>
      <c r="G4555" s="63"/>
      <c r="H4555" s="60"/>
      <c r="I4555" s="60"/>
      <c r="J4555" s="63"/>
      <c r="K4555" s="61" t="str">
        <f aca="false">IF($P4555=0,"",IF($F4555="Baseline","— Baseline",IF($O4555=0,"No result",IF($N4555=0,"No Start (attainment only)",IF(OR($N4555=1,$O4555=1),"U – needs rule",INDEX(MxBody,MATCH($I4555,MxCurr,0),MATCH($H4555,MxStart,0)))))))</f>
        <v/>
      </c>
      <c r="L4555" s="62" t="str">
        <f aca="false">IF(COUNTA($A4555,$F4555,$G4555,$H4555,$I4555,$J4555)=0,"",IF($M4555=0,"✖ كود الصف غير موجود",IF(ISNA(MATCH($F4555,Lists!$A$2:$A$5,0)),"✖ الفترة غير صحيحة",IF(ISNA(MATCH($G4555,Lists!$B$2:$B$7,0)),"✖ المجموعة غير صحيحة",IF(NOT(OR($H4555="",$N4555&gt;0)),"✖ Start غير صحيح",IF(NOT(OR($I4555="",$I4555="NR",$O4555&gt;0)),"✖ Current غير صحيح",IF(NOT(IF(ISNUMBER($J4555),AND($J4555&gt;=0,$J4555=INT($J4555)),FALSE())),"✖ العدد يجب أن يكون صحيحًا ≥ 0",IF(AND($F4555="Baseline",$H4555&lt;&gt;""),"⚠ Baseline: Start لا يدخل في التقدم",IF($K4555="No Start (attainment only)","ℹ تحصيل فقط (بدون Start)",IF($K4555="U – needs rule","ℹ حالة U تحتاج قاعدة معتمدة",IF($K4555="No result","ℹ بدون نتيجة (يُستبعد من التحصيل)","OK")))))))))))</f>
        <v/>
      </c>
      <c r="M4555" s="64" t="n">
        <f aca="false">IF($A4555="",0,IFERROR(MATCH($A4555,Classes!$A$6:$A$420,0),0))</f>
        <v>0</v>
      </c>
      <c r="N4555" s="64" t="n">
        <f aca="false">IF($H4555="",0,IFERROR(MATCH($H4555,GradeList,0),0))</f>
        <v>0</v>
      </c>
      <c r="O4555" s="64" t="n">
        <f aca="false">IF(OR($I4555="",$I4555="NR"),0,IFERROR(MATCH($I4555,GradeList,0),0))</f>
        <v>0</v>
      </c>
      <c r="P4555" s="64" t="n">
        <f aca="false">IF(AND($M4555&gt;0,ISNUMBER(MATCH($F4555,Lists!$A$2:$A$5,0)),ISNUMBER(MATCH($G4555,Lists!$B$2:$B$7,0)),OR($H4555="",$N4555&gt;0),OR($I4555="",$I4555="NR",$O4555&gt;0),IF(ISNUMBER($J4555),AND($J4555&gt;=0,$J4555=INT($J4555)),FALSE())),$J4555,0)</f>
        <v>0</v>
      </c>
      <c r="Q4555" s="64" t="n">
        <f aca="false">IF(AND($P4555&gt;0,$O4555&gt;0),$P4555,0)</f>
        <v>0</v>
      </c>
      <c r="R4555" s="64" t="n">
        <f aca="false">IF(AND($Q4555&gt;0,$O4555&gt;=AtRank),$Q4555,0)</f>
        <v>0</v>
      </c>
      <c r="S4555" s="64" t="n">
        <f aca="false">IF(AND($Q4555&gt;0,$O4555&gt;=AboveRank),$Q4555,0)</f>
        <v>0</v>
      </c>
      <c r="T4555" s="64" t="n">
        <f aca="false">IF($K4555="Less",$P4555,0)</f>
        <v>0</v>
      </c>
      <c r="U4555" s="64" t="n">
        <f aca="false">IF($K4555="Expected",$P4555,0)</f>
        <v>0</v>
      </c>
      <c r="V4555" s="64" t="n">
        <f aca="false">IF($K4555="Better",$P4555,0)</f>
        <v>0</v>
      </c>
      <c r="W4555" s="64" t="n">
        <f aca="false">IF($K4555="U – needs rule",$P4555,0)</f>
        <v>0</v>
      </c>
      <c r="X4555" s="64" t="n">
        <f aca="false">IF($K4555="No Start (attainment only)",$P4555,0)</f>
        <v>0</v>
      </c>
    </row>
    <row r="4556" customFormat="false" ht="15" hidden="false" customHeight="false" outlineLevel="0" collapsed="false">
      <c r="A4556" s="60"/>
      <c r="B4556" s="61" t="str">
        <f aca="false">IF($M4556=0,"",INDEX(Classes!$E$6:$E$420,$M4556))</f>
        <v/>
      </c>
      <c r="C4556" s="62" t="str">
        <f aca="false">IF($M4556=0,"",INDEX(Classes!$H$6:$H$420,$M4556))</f>
        <v/>
      </c>
      <c r="D4556" s="61" t="str">
        <f aca="false">IF($M4556=0,"",INDEX(Classes!$B$6:$B$420,$M4556))</f>
        <v/>
      </c>
      <c r="E4556" s="61" t="str">
        <f aca="false">IF($M4556=0,"",INDEX(Classes!$C$6:$C$420,$M4556))</f>
        <v/>
      </c>
      <c r="F4556" s="63"/>
      <c r="G4556" s="63"/>
      <c r="H4556" s="60"/>
      <c r="I4556" s="60"/>
      <c r="J4556" s="63"/>
      <c r="K4556" s="61" t="str">
        <f aca="false">IF($P4556=0,"",IF($F4556="Baseline","— Baseline",IF($O4556=0,"No result",IF($N4556=0,"No Start (attainment only)",IF(OR($N4556=1,$O4556=1),"U – needs rule",INDEX(MxBody,MATCH($I4556,MxCurr,0),MATCH($H4556,MxStart,0)))))))</f>
        <v/>
      </c>
      <c r="L4556" s="62" t="str">
        <f aca="false">IF(COUNTA($A4556,$F4556,$G4556,$H4556,$I4556,$J4556)=0,"",IF($M4556=0,"✖ كود الصف غير موجود",IF(ISNA(MATCH($F4556,Lists!$A$2:$A$5,0)),"✖ الفترة غير صحيحة",IF(ISNA(MATCH($G4556,Lists!$B$2:$B$7,0)),"✖ المجموعة غير صحيحة",IF(NOT(OR($H4556="",$N4556&gt;0)),"✖ Start غير صحيح",IF(NOT(OR($I4556="",$I4556="NR",$O4556&gt;0)),"✖ Current غير صحيح",IF(NOT(IF(ISNUMBER($J4556),AND($J4556&gt;=0,$J4556=INT($J4556)),FALSE())),"✖ العدد يجب أن يكون صحيحًا ≥ 0",IF(AND($F4556="Baseline",$H4556&lt;&gt;""),"⚠ Baseline: Start لا يدخل في التقدم",IF($K4556="No Start (attainment only)","ℹ تحصيل فقط (بدون Start)",IF($K4556="U – needs rule","ℹ حالة U تحتاج قاعدة معتمدة",IF($K4556="No result","ℹ بدون نتيجة (يُستبعد من التحصيل)","OK")))))))))))</f>
        <v/>
      </c>
      <c r="M4556" s="64" t="n">
        <f aca="false">IF($A4556="",0,IFERROR(MATCH($A4556,Classes!$A$6:$A$420,0),0))</f>
        <v>0</v>
      </c>
      <c r="N4556" s="64" t="n">
        <f aca="false">IF($H4556="",0,IFERROR(MATCH($H4556,GradeList,0),0))</f>
        <v>0</v>
      </c>
      <c r="O4556" s="64" t="n">
        <f aca="false">IF(OR($I4556="",$I4556="NR"),0,IFERROR(MATCH($I4556,GradeList,0),0))</f>
        <v>0</v>
      </c>
      <c r="P4556" s="64" t="n">
        <f aca="false">IF(AND($M4556&gt;0,ISNUMBER(MATCH($F4556,Lists!$A$2:$A$5,0)),ISNUMBER(MATCH($G4556,Lists!$B$2:$B$7,0)),OR($H4556="",$N4556&gt;0),OR($I4556="",$I4556="NR",$O4556&gt;0),IF(ISNUMBER($J4556),AND($J4556&gt;=0,$J4556=INT($J4556)),FALSE())),$J4556,0)</f>
        <v>0</v>
      </c>
      <c r="Q4556" s="64" t="n">
        <f aca="false">IF(AND($P4556&gt;0,$O4556&gt;0),$P4556,0)</f>
        <v>0</v>
      </c>
      <c r="R4556" s="64" t="n">
        <f aca="false">IF(AND($Q4556&gt;0,$O4556&gt;=AtRank),$Q4556,0)</f>
        <v>0</v>
      </c>
      <c r="S4556" s="64" t="n">
        <f aca="false">IF(AND($Q4556&gt;0,$O4556&gt;=AboveRank),$Q4556,0)</f>
        <v>0</v>
      </c>
      <c r="T4556" s="64" t="n">
        <f aca="false">IF($K4556="Less",$P4556,0)</f>
        <v>0</v>
      </c>
      <c r="U4556" s="64" t="n">
        <f aca="false">IF($K4556="Expected",$P4556,0)</f>
        <v>0</v>
      </c>
      <c r="V4556" s="64" t="n">
        <f aca="false">IF($K4556="Better",$P4556,0)</f>
        <v>0</v>
      </c>
      <c r="W4556" s="64" t="n">
        <f aca="false">IF($K4556="U – needs rule",$P4556,0)</f>
        <v>0</v>
      </c>
      <c r="X4556" s="64" t="n">
        <f aca="false">IF($K4556="No Start (attainment only)",$P4556,0)</f>
        <v>0</v>
      </c>
    </row>
    <row r="4557" customFormat="false" ht="15" hidden="false" customHeight="false" outlineLevel="0" collapsed="false">
      <c r="A4557" s="60"/>
      <c r="B4557" s="61" t="str">
        <f aca="false">IF($M4557=0,"",INDEX(Classes!$E$6:$E$420,$M4557))</f>
        <v/>
      </c>
      <c r="C4557" s="62" t="str">
        <f aca="false">IF($M4557=0,"",INDEX(Classes!$H$6:$H$420,$M4557))</f>
        <v/>
      </c>
      <c r="D4557" s="61" t="str">
        <f aca="false">IF($M4557=0,"",INDEX(Classes!$B$6:$B$420,$M4557))</f>
        <v/>
      </c>
      <c r="E4557" s="61" t="str">
        <f aca="false">IF($M4557=0,"",INDEX(Classes!$C$6:$C$420,$M4557))</f>
        <v/>
      </c>
      <c r="F4557" s="63"/>
      <c r="G4557" s="63"/>
      <c r="H4557" s="60"/>
      <c r="I4557" s="60"/>
      <c r="J4557" s="63"/>
      <c r="K4557" s="61" t="str">
        <f aca="false">IF($P4557=0,"",IF($F4557="Baseline","— Baseline",IF($O4557=0,"No result",IF($N4557=0,"No Start (attainment only)",IF(OR($N4557=1,$O4557=1),"U – needs rule",INDEX(MxBody,MATCH($I4557,MxCurr,0),MATCH($H4557,MxStart,0)))))))</f>
        <v/>
      </c>
      <c r="L4557" s="62" t="str">
        <f aca="false">IF(COUNTA($A4557,$F4557,$G4557,$H4557,$I4557,$J4557)=0,"",IF($M4557=0,"✖ كود الصف غير موجود",IF(ISNA(MATCH($F4557,Lists!$A$2:$A$5,0)),"✖ الفترة غير صحيحة",IF(ISNA(MATCH($G4557,Lists!$B$2:$B$7,0)),"✖ المجموعة غير صحيحة",IF(NOT(OR($H4557="",$N4557&gt;0)),"✖ Start غير صحيح",IF(NOT(OR($I4557="",$I4557="NR",$O4557&gt;0)),"✖ Current غير صحيح",IF(NOT(IF(ISNUMBER($J4557),AND($J4557&gt;=0,$J4557=INT($J4557)),FALSE())),"✖ العدد يجب أن يكون صحيحًا ≥ 0",IF(AND($F4557="Baseline",$H4557&lt;&gt;""),"⚠ Baseline: Start لا يدخل في التقدم",IF($K4557="No Start (attainment only)","ℹ تحصيل فقط (بدون Start)",IF($K4557="U – needs rule","ℹ حالة U تحتاج قاعدة معتمدة",IF($K4557="No result","ℹ بدون نتيجة (يُستبعد من التحصيل)","OK")))))))))))</f>
        <v/>
      </c>
      <c r="M4557" s="64" t="n">
        <f aca="false">IF($A4557="",0,IFERROR(MATCH($A4557,Classes!$A$6:$A$420,0),0))</f>
        <v>0</v>
      </c>
      <c r="N4557" s="64" t="n">
        <f aca="false">IF($H4557="",0,IFERROR(MATCH($H4557,GradeList,0),0))</f>
        <v>0</v>
      </c>
      <c r="O4557" s="64" t="n">
        <f aca="false">IF(OR($I4557="",$I4557="NR"),0,IFERROR(MATCH($I4557,GradeList,0),0))</f>
        <v>0</v>
      </c>
      <c r="P4557" s="64" t="n">
        <f aca="false">IF(AND($M4557&gt;0,ISNUMBER(MATCH($F4557,Lists!$A$2:$A$5,0)),ISNUMBER(MATCH($G4557,Lists!$B$2:$B$7,0)),OR($H4557="",$N4557&gt;0),OR($I4557="",$I4557="NR",$O4557&gt;0),IF(ISNUMBER($J4557),AND($J4557&gt;=0,$J4557=INT($J4557)),FALSE())),$J4557,0)</f>
        <v>0</v>
      </c>
      <c r="Q4557" s="64" t="n">
        <f aca="false">IF(AND($P4557&gt;0,$O4557&gt;0),$P4557,0)</f>
        <v>0</v>
      </c>
      <c r="R4557" s="64" t="n">
        <f aca="false">IF(AND($Q4557&gt;0,$O4557&gt;=AtRank),$Q4557,0)</f>
        <v>0</v>
      </c>
      <c r="S4557" s="64" t="n">
        <f aca="false">IF(AND($Q4557&gt;0,$O4557&gt;=AboveRank),$Q4557,0)</f>
        <v>0</v>
      </c>
      <c r="T4557" s="64" t="n">
        <f aca="false">IF($K4557="Less",$P4557,0)</f>
        <v>0</v>
      </c>
      <c r="U4557" s="64" t="n">
        <f aca="false">IF($K4557="Expected",$P4557,0)</f>
        <v>0</v>
      </c>
      <c r="V4557" s="64" t="n">
        <f aca="false">IF($K4557="Better",$P4557,0)</f>
        <v>0</v>
      </c>
      <c r="W4557" s="64" t="n">
        <f aca="false">IF($K4557="U – needs rule",$P4557,0)</f>
        <v>0</v>
      </c>
      <c r="X4557" s="64" t="n">
        <f aca="false">IF($K4557="No Start (attainment only)",$P4557,0)</f>
        <v>0</v>
      </c>
    </row>
    <row r="4558" customFormat="false" ht="15" hidden="false" customHeight="false" outlineLevel="0" collapsed="false">
      <c r="A4558" s="60"/>
      <c r="B4558" s="61" t="str">
        <f aca="false">IF($M4558=0,"",INDEX(Classes!$E$6:$E$420,$M4558))</f>
        <v/>
      </c>
      <c r="C4558" s="62" t="str">
        <f aca="false">IF($M4558=0,"",INDEX(Classes!$H$6:$H$420,$M4558))</f>
        <v/>
      </c>
      <c r="D4558" s="61" t="str">
        <f aca="false">IF($M4558=0,"",INDEX(Classes!$B$6:$B$420,$M4558))</f>
        <v/>
      </c>
      <c r="E4558" s="61" t="str">
        <f aca="false">IF($M4558=0,"",INDEX(Classes!$C$6:$C$420,$M4558))</f>
        <v/>
      </c>
      <c r="F4558" s="63"/>
      <c r="G4558" s="63"/>
      <c r="H4558" s="60"/>
      <c r="I4558" s="60"/>
      <c r="J4558" s="63"/>
      <c r="K4558" s="61" t="str">
        <f aca="false">IF($P4558=0,"",IF($F4558="Baseline","— Baseline",IF($O4558=0,"No result",IF($N4558=0,"No Start (attainment only)",IF(OR($N4558=1,$O4558=1),"U – needs rule",INDEX(MxBody,MATCH($I4558,MxCurr,0),MATCH($H4558,MxStart,0)))))))</f>
        <v/>
      </c>
      <c r="L4558" s="62" t="str">
        <f aca="false">IF(COUNTA($A4558,$F4558,$G4558,$H4558,$I4558,$J4558)=0,"",IF($M4558=0,"✖ كود الصف غير موجود",IF(ISNA(MATCH($F4558,Lists!$A$2:$A$5,0)),"✖ الفترة غير صحيحة",IF(ISNA(MATCH($G4558,Lists!$B$2:$B$7,0)),"✖ المجموعة غير صحيحة",IF(NOT(OR($H4558="",$N4558&gt;0)),"✖ Start غير صحيح",IF(NOT(OR($I4558="",$I4558="NR",$O4558&gt;0)),"✖ Current غير صحيح",IF(NOT(IF(ISNUMBER($J4558),AND($J4558&gt;=0,$J4558=INT($J4558)),FALSE())),"✖ العدد يجب أن يكون صحيحًا ≥ 0",IF(AND($F4558="Baseline",$H4558&lt;&gt;""),"⚠ Baseline: Start لا يدخل في التقدم",IF($K4558="No Start (attainment only)","ℹ تحصيل فقط (بدون Start)",IF($K4558="U – needs rule","ℹ حالة U تحتاج قاعدة معتمدة",IF($K4558="No result","ℹ بدون نتيجة (يُستبعد من التحصيل)","OK")))))))))))</f>
        <v/>
      </c>
      <c r="M4558" s="64" t="n">
        <f aca="false">IF($A4558="",0,IFERROR(MATCH($A4558,Classes!$A$6:$A$420,0),0))</f>
        <v>0</v>
      </c>
      <c r="N4558" s="64" t="n">
        <f aca="false">IF($H4558="",0,IFERROR(MATCH($H4558,GradeList,0),0))</f>
        <v>0</v>
      </c>
      <c r="O4558" s="64" t="n">
        <f aca="false">IF(OR($I4558="",$I4558="NR"),0,IFERROR(MATCH($I4558,GradeList,0),0))</f>
        <v>0</v>
      </c>
      <c r="P4558" s="64" t="n">
        <f aca="false">IF(AND($M4558&gt;0,ISNUMBER(MATCH($F4558,Lists!$A$2:$A$5,0)),ISNUMBER(MATCH($G4558,Lists!$B$2:$B$7,0)),OR($H4558="",$N4558&gt;0),OR($I4558="",$I4558="NR",$O4558&gt;0),IF(ISNUMBER($J4558),AND($J4558&gt;=0,$J4558=INT($J4558)),FALSE())),$J4558,0)</f>
        <v>0</v>
      </c>
      <c r="Q4558" s="64" t="n">
        <f aca="false">IF(AND($P4558&gt;0,$O4558&gt;0),$P4558,0)</f>
        <v>0</v>
      </c>
      <c r="R4558" s="64" t="n">
        <f aca="false">IF(AND($Q4558&gt;0,$O4558&gt;=AtRank),$Q4558,0)</f>
        <v>0</v>
      </c>
      <c r="S4558" s="64" t="n">
        <f aca="false">IF(AND($Q4558&gt;0,$O4558&gt;=AboveRank),$Q4558,0)</f>
        <v>0</v>
      </c>
      <c r="T4558" s="64" t="n">
        <f aca="false">IF($K4558="Less",$P4558,0)</f>
        <v>0</v>
      </c>
      <c r="U4558" s="64" t="n">
        <f aca="false">IF($K4558="Expected",$P4558,0)</f>
        <v>0</v>
      </c>
      <c r="V4558" s="64" t="n">
        <f aca="false">IF($K4558="Better",$P4558,0)</f>
        <v>0</v>
      </c>
      <c r="W4558" s="64" t="n">
        <f aca="false">IF($K4558="U – needs rule",$P4558,0)</f>
        <v>0</v>
      </c>
      <c r="X4558" s="64" t="n">
        <f aca="false">IF($K4558="No Start (attainment only)",$P4558,0)</f>
        <v>0</v>
      </c>
    </row>
    <row r="4559" customFormat="false" ht="15" hidden="false" customHeight="false" outlineLevel="0" collapsed="false">
      <c r="A4559" s="60"/>
      <c r="B4559" s="61" t="str">
        <f aca="false">IF($M4559=0,"",INDEX(Classes!$E$6:$E$420,$M4559))</f>
        <v/>
      </c>
      <c r="C4559" s="62" t="str">
        <f aca="false">IF($M4559=0,"",INDEX(Classes!$H$6:$H$420,$M4559))</f>
        <v/>
      </c>
      <c r="D4559" s="61" t="str">
        <f aca="false">IF($M4559=0,"",INDEX(Classes!$B$6:$B$420,$M4559))</f>
        <v/>
      </c>
      <c r="E4559" s="61" t="str">
        <f aca="false">IF($M4559=0,"",INDEX(Classes!$C$6:$C$420,$M4559))</f>
        <v/>
      </c>
      <c r="F4559" s="63"/>
      <c r="G4559" s="63"/>
      <c r="H4559" s="60"/>
      <c r="I4559" s="60"/>
      <c r="J4559" s="63"/>
      <c r="K4559" s="61" t="str">
        <f aca="false">IF($P4559=0,"",IF($F4559="Baseline","— Baseline",IF($O4559=0,"No result",IF($N4559=0,"No Start (attainment only)",IF(OR($N4559=1,$O4559=1),"U – needs rule",INDEX(MxBody,MATCH($I4559,MxCurr,0),MATCH($H4559,MxStart,0)))))))</f>
        <v/>
      </c>
      <c r="L4559" s="62" t="str">
        <f aca="false">IF(COUNTA($A4559,$F4559,$G4559,$H4559,$I4559,$J4559)=0,"",IF($M4559=0,"✖ كود الصف غير موجود",IF(ISNA(MATCH($F4559,Lists!$A$2:$A$5,0)),"✖ الفترة غير صحيحة",IF(ISNA(MATCH($G4559,Lists!$B$2:$B$7,0)),"✖ المجموعة غير صحيحة",IF(NOT(OR($H4559="",$N4559&gt;0)),"✖ Start غير صحيح",IF(NOT(OR($I4559="",$I4559="NR",$O4559&gt;0)),"✖ Current غير صحيح",IF(NOT(IF(ISNUMBER($J4559),AND($J4559&gt;=0,$J4559=INT($J4559)),FALSE())),"✖ العدد يجب أن يكون صحيحًا ≥ 0",IF(AND($F4559="Baseline",$H4559&lt;&gt;""),"⚠ Baseline: Start لا يدخل في التقدم",IF($K4559="No Start (attainment only)","ℹ تحصيل فقط (بدون Start)",IF($K4559="U – needs rule","ℹ حالة U تحتاج قاعدة معتمدة",IF($K4559="No result","ℹ بدون نتيجة (يُستبعد من التحصيل)","OK")))))))))))</f>
        <v/>
      </c>
      <c r="M4559" s="64" t="n">
        <f aca="false">IF($A4559="",0,IFERROR(MATCH($A4559,Classes!$A$6:$A$420,0),0))</f>
        <v>0</v>
      </c>
      <c r="N4559" s="64" t="n">
        <f aca="false">IF($H4559="",0,IFERROR(MATCH($H4559,GradeList,0),0))</f>
        <v>0</v>
      </c>
      <c r="O4559" s="64" t="n">
        <f aca="false">IF(OR($I4559="",$I4559="NR"),0,IFERROR(MATCH($I4559,GradeList,0),0))</f>
        <v>0</v>
      </c>
      <c r="P4559" s="64" t="n">
        <f aca="false">IF(AND($M4559&gt;0,ISNUMBER(MATCH($F4559,Lists!$A$2:$A$5,0)),ISNUMBER(MATCH($G4559,Lists!$B$2:$B$7,0)),OR($H4559="",$N4559&gt;0),OR($I4559="",$I4559="NR",$O4559&gt;0),IF(ISNUMBER($J4559),AND($J4559&gt;=0,$J4559=INT($J4559)),FALSE())),$J4559,0)</f>
        <v>0</v>
      </c>
      <c r="Q4559" s="64" t="n">
        <f aca="false">IF(AND($P4559&gt;0,$O4559&gt;0),$P4559,0)</f>
        <v>0</v>
      </c>
      <c r="R4559" s="64" t="n">
        <f aca="false">IF(AND($Q4559&gt;0,$O4559&gt;=AtRank),$Q4559,0)</f>
        <v>0</v>
      </c>
      <c r="S4559" s="64" t="n">
        <f aca="false">IF(AND($Q4559&gt;0,$O4559&gt;=AboveRank),$Q4559,0)</f>
        <v>0</v>
      </c>
      <c r="T4559" s="64" t="n">
        <f aca="false">IF($K4559="Less",$P4559,0)</f>
        <v>0</v>
      </c>
      <c r="U4559" s="64" t="n">
        <f aca="false">IF($K4559="Expected",$P4559,0)</f>
        <v>0</v>
      </c>
      <c r="V4559" s="64" t="n">
        <f aca="false">IF($K4559="Better",$P4559,0)</f>
        <v>0</v>
      </c>
      <c r="W4559" s="64" t="n">
        <f aca="false">IF($K4559="U – needs rule",$P4559,0)</f>
        <v>0</v>
      </c>
      <c r="X4559" s="64" t="n">
        <f aca="false">IF($K4559="No Start (attainment only)",$P4559,0)</f>
        <v>0</v>
      </c>
    </row>
    <row r="4560" customFormat="false" ht="15" hidden="false" customHeight="false" outlineLevel="0" collapsed="false">
      <c r="A4560" s="60"/>
      <c r="B4560" s="61" t="str">
        <f aca="false">IF($M4560=0,"",INDEX(Classes!$E$6:$E$420,$M4560))</f>
        <v/>
      </c>
      <c r="C4560" s="62" t="str">
        <f aca="false">IF($M4560=0,"",INDEX(Classes!$H$6:$H$420,$M4560))</f>
        <v/>
      </c>
      <c r="D4560" s="61" t="str">
        <f aca="false">IF($M4560=0,"",INDEX(Classes!$B$6:$B$420,$M4560))</f>
        <v/>
      </c>
      <c r="E4560" s="61" t="str">
        <f aca="false">IF($M4560=0,"",INDEX(Classes!$C$6:$C$420,$M4560))</f>
        <v/>
      </c>
      <c r="F4560" s="63"/>
      <c r="G4560" s="63"/>
      <c r="H4560" s="60"/>
      <c r="I4560" s="60"/>
      <c r="J4560" s="63"/>
      <c r="K4560" s="61" t="str">
        <f aca="false">IF($P4560=0,"",IF($F4560="Baseline","— Baseline",IF($O4560=0,"No result",IF($N4560=0,"No Start (attainment only)",IF(OR($N4560=1,$O4560=1),"U – needs rule",INDEX(MxBody,MATCH($I4560,MxCurr,0),MATCH($H4560,MxStart,0)))))))</f>
        <v/>
      </c>
      <c r="L4560" s="62" t="str">
        <f aca="false">IF(COUNTA($A4560,$F4560,$G4560,$H4560,$I4560,$J4560)=0,"",IF($M4560=0,"✖ كود الصف غير موجود",IF(ISNA(MATCH($F4560,Lists!$A$2:$A$5,0)),"✖ الفترة غير صحيحة",IF(ISNA(MATCH($G4560,Lists!$B$2:$B$7,0)),"✖ المجموعة غير صحيحة",IF(NOT(OR($H4560="",$N4560&gt;0)),"✖ Start غير صحيح",IF(NOT(OR($I4560="",$I4560="NR",$O4560&gt;0)),"✖ Current غير صحيح",IF(NOT(IF(ISNUMBER($J4560),AND($J4560&gt;=0,$J4560=INT($J4560)),FALSE())),"✖ العدد يجب أن يكون صحيحًا ≥ 0",IF(AND($F4560="Baseline",$H4560&lt;&gt;""),"⚠ Baseline: Start لا يدخل في التقدم",IF($K4560="No Start (attainment only)","ℹ تحصيل فقط (بدون Start)",IF($K4560="U – needs rule","ℹ حالة U تحتاج قاعدة معتمدة",IF($K4560="No result","ℹ بدون نتيجة (يُستبعد من التحصيل)","OK")))))))))))</f>
        <v/>
      </c>
      <c r="M4560" s="64" t="n">
        <f aca="false">IF($A4560="",0,IFERROR(MATCH($A4560,Classes!$A$6:$A$420,0),0))</f>
        <v>0</v>
      </c>
      <c r="N4560" s="64" t="n">
        <f aca="false">IF($H4560="",0,IFERROR(MATCH($H4560,GradeList,0),0))</f>
        <v>0</v>
      </c>
      <c r="O4560" s="64" t="n">
        <f aca="false">IF(OR($I4560="",$I4560="NR"),0,IFERROR(MATCH($I4560,GradeList,0),0))</f>
        <v>0</v>
      </c>
      <c r="P4560" s="64" t="n">
        <f aca="false">IF(AND($M4560&gt;0,ISNUMBER(MATCH($F4560,Lists!$A$2:$A$5,0)),ISNUMBER(MATCH($G4560,Lists!$B$2:$B$7,0)),OR($H4560="",$N4560&gt;0),OR($I4560="",$I4560="NR",$O4560&gt;0),IF(ISNUMBER($J4560),AND($J4560&gt;=0,$J4560=INT($J4560)),FALSE())),$J4560,0)</f>
        <v>0</v>
      </c>
      <c r="Q4560" s="64" t="n">
        <f aca="false">IF(AND($P4560&gt;0,$O4560&gt;0),$P4560,0)</f>
        <v>0</v>
      </c>
      <c r="R4560" s="64" t="n">
        <f aca="false">IF(AND($Q4560&gt;0,$O4560&gt;=AtRank),$Q4560,0)</f>
        <v>0</v>
      </c>
      <c r="S4560" s="64" t="n">
        <f aca="false">IF(AND($Q4560&gt;0,$O4560&gt;=AboveRank),$Q4560,0)</f>
        <v>0</v>
      </c>
      <c r="T4560" s="64" t="n">
        <f aca="false">IF($K4560="Less",$P4560,0)</f>
        <v>0</v>
      </c>
      <c r="U4560" s="64" t="n">
        <f aca="false">IF($K4560="Expected",$P4560,0)</f>
        <v>0</v>
      </c>
      <c r="V4560" s="64" t="n">
        <f aca="false">IF($K4560="Better",$P4560,0)</f>
        <v>0</v>
      </c>
      <c r="W4560" s="64" t="n">
        <f aca="false">IF($K4560="U – needs rule",$P4560,0)</f>
        <v>0</v>
      </c>
      <c r="X4560" s="64" t="n">
        <f aca="false">IF($K4560="No Start (attainment only)",$P4560,0)</f>
        <v>0</v>
      </c>
    </row>
    <row r="4561" customFormat="false" ht="15" hidden="false" customHeight="false" outlineLevel="0" collapsed="false">
      <c r="A4561" s="60"/>
      <c r="B4561" s="61" t="str">
        <f aca="false">IF($M4561=0,"",INDEX(Classes!$E$6:$E$420,$M4561))</f>
        <v/>
      </c>
      <c r="C4561" s="62" t="str">
        <f aca="false">IF($M4561=0,"",INDEX(Classes!$H$6:$H$420,$M4561))</f>
        <v/>
      </c>
      <c r="D4561" s="61" t="str">
        <f aca="false">IF($M4561=0,"",INDEX(Classes!$B$6:$B$420,$M4561))</f>
        <v/>
      </c>
      <c r="E4561" s="61" t="str">
        <f aca="false">IF($M4561=0,"",INDEX(Classes!$C$6:$C$420,$M4561))</f>
        <v/>
      </c>
      <c r="F4561" s="63"/>
      <c r="G4561" s="63"/>
      <c r="H4561" s="60"/>
      <c r="I4561" s="60"/>
      <c r="J4561" s="63"/>
      <c r="K4561" s="61" t="str">
        <f aca="false">IF($P4561=0,"",IF($F4561="Baseline","— Baseline",IF($O4561=0,"No result",IF($N4561=0,"No Start (attainment only)",IF(OR($N4561=1,$O4561=1),"U – needs rule",INDEX(MxBody,MATCH($I4561,MxCurr,0),MATCH($H4561,MxStart,0)))))))</f>
        <v/>
      </c>
      <c r="L4561" s="62" t="str">
        <f aca="false">IF(COUNTA($A4561,$F4561,$G4561,$H4561,$I4561,$J4561)=0,"",IF($M4561=0,"✖ كود الصف غير موجود",IF(ISNA(MATCH($F4561,Lists!$A$2:$A$5,0)),"✖ الفترة غير صحيحة",IF(ISNA(MATCH($G4561,Lists!$B$2:$B$7,0)),"✖ المجموعة غير صحيحة",IF(NOT(OR($H4561="",$N4561&gt;0)),"✖ Start غير صحيح",IF(NOT(OR($I4561="",$I4561="NR",$O4561&gt;0)),"✖ Current غير صحيح",IF(NOT(IF(ISNUMBER($J4561),AND($J4561&gt;=0,$J4561=INT($J4561)),FALSE())),"✖ العدد يجب أن يكون صحيحًا ≥ 0",IF(AND($F4561="Baseline",$H4561&lt;&gt;""),"⚠ Baseline: Start لا يدخل في التقدم",IF($K4561="No Start (attainment only)","ℹ تحصيل فقط (بدون Start)",IF($K4561="U – needs rule","ℹ حالة U تحتاج قاعدة معتمدة",IF($K4561="No result","ℹ بدون نتيجة (يُستبعد من التحصيل)","OK")))))))))))</f>
        <v/>
      </c>
      <c r="M4561" s="64" t="n">
        <f aca="false">IF($A4561="",0,IFERROR(MATCH($A4561,Classes!$A$6:$A$420,0),0))</f>
        <v>0</v>
      </c>
      <c r="N4561" s="64" t="n">
        <f aca="false">IF($H4561="",0,IFERROR(MATCH($H4561,GradeList,0),0))</f>
        <v>0</v>
      </c>
      <c r="O4561" s="64" t="n">
        <f aca="false">IF(OR($I4561="",$I4561="NR"),0,IFERROR(MATCH($I4561,GradeList,0),0))</f>
        <v>0</v>
      </c>
      <c r="P4561" s="64" t="n">
        <f aca="false">IF(AND($M4561&gt;0,ISNUMBER(MATCH($F4561,Lists!$A$2:$A$5,0)),ISNUMBER(MATCH($G4561,Lists!$B$2:$B$7,0)),OR($H4561="",$N4561&gt;0),OR($I4561="",$I4561="NR",$O4561&gt;0),IF(ISNUMBER($J4561),AND($J4561&gt;=0,$J4561=INT($J4561)),FALSE())),$J4561,0)</f>
        <v>0</v>
      </c>
      <c r="Q4561" s="64" t="n">
        <f aca="false">IF(AND($P4561&gt;0,$O4561&gt;0),$P4561,0)</f>
        <v>0</v>
      </c>
      <c r="R4561" s="64" t="n">
        <f aca="false">IF(AND($Q4561&gt;0,$O4561&gt;=AtRank),$Q4561,0)</f>
        <v>0</v>
      </c>
      <c r="S4561" s="64" t="n">
        <f aca="false">IF(AND($Q4561&gt;0,$O4561&gt;=AboveRank),$Q4561,0)</f>
        <v>0</v>
      </c>
      <c r="T4561" s="64" t="n">
        <f aca="false">IF($K4561="Less",$P4561,0)</f>
        <v>0</v>
      </c>
      <c r="U4561" s="64" t="n">
        <f aca="false">IF($K4561="Expected",$P4561,0)</f>
        <v>0</v>
      </c>
      <c r="V4561" s="64" t="n">
        <f aca="false">IF($K4561="Better",$P4561,0)</f>
        <v>0</v>
      </c>
      <c r="W4561" s="64" t="n">
        <f aca="false">IF($K4561="U – needs rule",$P4561,0)</f>
        <v>0</v>
      </c>
      <c r="X4561" s="64" t="n">
        <f aca="false">IF($K4561="No Start (attainment only)",$P4561,0)</f>
        <v>0</v>
      </c>
    </row>
    <row r="4562" customFormat="false" ht="15" hidden="false" customHeight="false" outlineLevel="0" collapsed="false">
      <c r="A4562" s="60"/>
      <c r="B4562" s="61" t="str">
        <f aca="false">IF($M4562=0,"",INDEX(Classes!$E$6:$E$420,$M4562))</f>
        <v/>
      </c>
      <c r="C4562" s="62" t="str">
        <f aca="false">IF($M4562=0,"",INDEX(Classes!$H$6:$H$420,$M4562))</f>
        <v/>
      </c>
      <c r="D4562" s="61" t="str">
        <f aca="false">IF($M4562=0,"",INDEX(Classes!$B$6:$B$420,$M4562))</f>
        <v/>
      </c>
      <c r="E4562" s="61" t="str">
        <f aca="false">IF($M4562=0,"",INDEX(Classes!$C$6:$C$420,$M4562))</f>
        <v/>
      </c>
      <c r="F4562" s="63"/>
      <c r="G4562" s="63"/>
      <c r="H4562" s="60"/>
      <c r="I4562" s="60"/>
      <c r="J4562" s="63"/>
      <c r="K4562" s="61" t="str">
        <f aca="false">IF($P4562=0,"",IF($F4562="Baseline","— Baseline",IF($O4562=0,"No result",IF($N4562=0,"No Start (attainment only)",IF(OR($N4562=1,$O4562=1),"U – needs rule",INDEX(MxBody,MATCH($I4562,MxCurr,0),MATCH($H4562,MxStart,0)))))))</f>
        <v/>
      </c>
      <c r="L4562" s="62" t="str">
        <f aca="false">IF(COUNTA($A4562,$F4562,$G4562,$H4562,$I4562,$J4562)=0,"",IF($M4562=0,"✖ كود الصف غير موجود",IF(ISNA(MATCH($F4562,Lists!$A$2:$A$5,0)),"✖ الفترة غير صحيحة",IF(ISNA(MATCH($G4562,Lists!$B$2:$B$7,0)),"✖ المجموعة غير صحيحة",IF(NOT(OR($H4562="",$N4562&gt;0)),"✖ Start غير صحيح",IF(NOT(OR($I4562="",$I4562="NR",$O4562&gt;0)),"✖ Current غير صحيح",IF(NOT(IF(ISNUMBER($J4562),AND($J4562&gt;=0,$J4562=INT($J4562)),FALSE())),"✖ العدد يجب أن يكون صحيحًا ≥ 0",IF(AND($F4562="Baseline",$H4562&lt;&gt;""),"⚠ Baseline: Start لا يدخل في التقدم",IF($K4562="No Start (attainment only)","ℹ تحصيل فقط (بدون Start)",IF($K4562="U – needs rule","ℹ حالة U تحتاج قاعدة معتمدة",IF($K4562="No result","ℹ بدون نتيجة (يُستبعد من التحصيل)","OK")))))))))))</f>
        <v/>
      </c>
      <c r="M4562" s="64" t="n">
        <f aca="false">IF($A4562="",0,IFERROR(MATCH($A4562,Classes!$A$6:$A$420,0),0))</f>
        <v>0</v>
      </c>
      <c r="N4562" s="64" t="n">
        <f aca="false">IF($H4562="",0,IFERROR(MATCH($H4562,GradeList,0),0))</f>
        <v>0</v>
      </c>
      <c r="O4562" s="64" t="n">
        <f aca="false">IF(OR($I4562="",$I4562="NR"),0,IFERROR(MATCH($I4562,GradeList,0),0))</f>
        <v>0</v>
      </c>
      <c r="P4562" s="64" t="n">
        <f aca="false">IF(AND($M4562&gt;0,ISNUMBER(MATCH($F4562,Lists!$A$2:$A$5,0)),ISNUMBER(MATCH($G4562,Lists!$B$2:$B$7,0)),OR($H4562="",$N4562&gt;0),OR($I4562="",$I4562="NR",$O4562&gt;0),IF(ISNUMBER($J4562),AND($J4562&gt;=0,$J4562=INT($J4562)),FALSE())),$J4562,0)</f>
        <v>0</v>
      </c>
      <c r="Q4562" s="64" t="n">
        <f aca="false">IF(AND($P4562&gt;0,$O4562&gt;0),$P4562,0)</f>
        <v>0</v>
      </c>
      <c r="R4562" s="64" t="n">
        <f aca="false">IF(AND($Q4562&gt;0,$O4562&gt;=AtRank),$Q4562,0)</f>
        <v>0</v>
      </c>
      <c r="S4562" s="64" t="n">
        <f aca="false">IF(AND($Q4562&gt;0,$O4562&gt;=AboveRank),$Q4562,0)</f>
        <v>0</v>
      </c>
      <c r="T4562" s="64" t="n">
        <f aca="false">IF($K4562="Less",$P4562,0)</f>
        <v>0</v>
      </c>
      <c r="U4562" s="64" t="n">
        <f aca="false">IF($K4562="Expected",$P4562,0)</f>
        <v>0</v>
      </c>
      <c r="V4562" s="64" t="n">
        <f aca="false">IF($K4562="Better",$P4562,0)</f>
        <v>0</v>
      </c>
      <c r="W4562" s="64" t="n">
        <f aca="false">IF($K4562="U – needs rule",$P4562,0)</f>
        <v>0</v>
      </c>
      <c r="X4562" s="64" t="n">
        <f aca="false">IF($K4562="No Start (attainment only)",$P4562,0)</f>
        <v>0</v>
      </c>
    </row>
    <row r="4563" customFormat="false" ht="15" hidden="false" customHeight="false" outlineLevel="0" collapsed="false">
      <c r="A4563" s="60"/>
      <c r="B4563" s="61" t="str">
        <f aca="false">IF($M4563=0,"",INDEX(Classes!$E$6:$E$420,$M4563))</f>
        <v/>
      </c>
      <c r="C4563" s="62" t="str">
        <f aca="false">IF($M4563=0,"",INDEX(Classes!$H$6:$H$420,$M4563))</f>
        <v/>
      </c>
      <c r="D4563" s="61" t="str">
        <f aca="false">IF($M4563=0,"",INDEX(Classes!$B$6:$B$420,$M4563))</f>
        <v/>
      </c>
      <c r="E4563" s="61" t="str">
        <f aca="false">IF($M4563=0,"",INDEX(Classes!$C$6:$C$420,$M4563))</f>
        <v/>
      </c>
      <c r="F4563" s="63"/>
      <c r="G4563" s="63"/>
      <c r="H4563" s="60"/>
      <c r="I4563" s="60"/>
      <c r="J4563" s="63"/>
      <c r="K4563" s="61" t="str">
        <f aca="false">IF($P4563=0,"",IF($F4563="Baseline","— Baseline",IF($O4563=0,"No result",IF($N4563=0,"No Start (attainment only)",IF(OR($N4563=1,$O4563=1),"U – needs rule",INDEX(MxBody,MATCH($I4563,MxCurr,0),MATCH($H4563,MxStart,0)))))))</f>
        <v/>
      </c>
      <c r="L4563" s="62" t="str">
        <f aca="false">IF(COUNTA($A4563,$F4563,$G4563,$H4563,$I4563,$J4563)=0,"",IF($M4563=0,"✖ كود الصف غير موجود",IF(ISNA(MATCH($F4563,Lists!$A$2:$A$5,0)),"✖ الفترة غير صحيحة",IF(ISNA(MATCH($G4563,Lists!$B$2:$B$7,0)),"✖ المجموعة غير صحيحة",IF(NOT(OR($H4563="",$N4563&gt;0)),"✖ Start غير صحيح",IF(NOT(OR($I4563="",$I4563="NR",$O4563&gt;0)),"✖ Current غير صحيح",IF(NOT(IF(ISNUMBER($J4563),AND($J4563&gt;=0,$J4563=INT($J4563)),FALSE())),"✖ العدد يجب أن يكون صحيحًا ≥ 0",IF(AND($F4563="Baseline",$H4563&lt;&gt;""),"⚠ Baseline: Start لا يدخل في التقدم",IF($K4563="No Start (attainment only)","ℹ تحصيل فقط (بدون Start)",IF($K4563="U – needs rule","ℹ حالة U تحتاج قاعدة معتمدة",IF($K4563="No result","ℹ بدون نتيجة (يُستبعد من التحصيل)","OK")))))))))))</f>
        <v/>
      </c>
      <c r="M4563" s="64" t="n">
        <f aca="false">IF($A4563="",0,IFERROR(MATCH($A4563,Classes!$A$6:$A$420,0),0))</f>
        <v>0</v>
      </c>
      <c r="N4563" s="64" t="n">
        <f aca="false">IF($H4563="",0,IFERROR(MATCH($H4563,GradeList,0),0))</f>
        <v>0</v>
      </c>
      <c r="O4563" s="64" t="n">
        <f aca="false">IF(OR($I4563="",$I4563="NR"),0,IFERROR(MATCH($I4563,GradeList,0),0))</f>
        <v>0</v>
      </c>
      <c r="P4563" s="64" t="n">
        <f aca="false">IF(AND($M4563&gt;0,ISNUMBER(MATCH($F4563,Lists!$A$2:$A$5,0)),ISNUMBER(MATCH($G4563,Lists!$B$2:$B$7,0)),OR($H4563="",$N4563&gt;0),OR($I4563="",$I4563="NR",$O4563&gt;0),IF(ISNUMBER($J4563),AND($J4563&gt;=0,$J4563=INT($J4563)),FALSE())),$J4563,0)</f>
        <v>0</v>
      </c>
      <c r="Q4563" s="64" t="n">
        <f aca="false">IF(AND($P4563&gt;0,$O4563&gt;0),$P4563,0)</f>
        <v>0</v>
      </c>
      <c r="R4563" s="64" t="n">
        <f aca="false">IF(AND($Q4563&gt;0,$O4563&gt;=AtRank),$Q4563,0)</f>
        <v>0</v>
      </c>
      <c r="S4563" s="64" t="n">
        <f aca="false">IF(AND($Q4563&gt;0,$O4563&gt;=AboveRank),$Q4563,0)</f>
        <v>0</v>
      </c>
      <c r="T4563" s="64" t="n">
        <f aca="false">IF($K4563="Less",$P4563,0)</f>
        <v>0</v>
      </c>
      <c r="U4563" s="64" t="n">
        <f aca="false">IF($K4563="Expected",$P4563,0)</f>
        <v>0</v>
      </c>
      <c r="V4563" s="64" t="n">
        <f aca="false">IF($K4563="Better",$P4563,0)</f>
        <v>0</v>
      </c>
      <c r="W4563" s="64" t="n">
        <f aca="false">IF($K4563="U – needs rule",$P4563,0)</f>
        <v>0</v>
      </c>
      <c r="X4563" s="64" t="n">
        <f aca="false">IF($K4563="No Start (attainment only)",$P4563,0)</f>
        <v>0</v>
      </c>
    </row>
    <row r="4564" customFormat="false" ht="15" hidden="false" customHeight="false" outlineLevel="0" collapsed="false">
      <c r="A4564" s="60"/>
      <c r="B4564" s="61" t="str">
        <f aca="false">IF($M4564=0,"",INDEX(Classes!$E$6:$E$420,$M4564))</f>
        <v/>
      </c>
      <c r="C4564" s="62" t="str">
        <f aca="false">IF($M4564=0,"",INDEX(Classes!$H$6:$H$420,$M4564))</f>
        <v/>
      </c>
      <c r="D4564" s="61" t="str">
        <f aca="false">IF($M4564=0,"",INDEX(Classes!$B$6:$B$420,$M4564))</f>
        <v/>
      </c>
      <c r="E4564" s="61" t="str">
        <f aca="false">IF($M4564=0,"",INDEX(Classes!$C$6:$C$420,$M4564))</f>
        <v/>
      </c>
      <c r="F4564" s="63"/>
      <c r="G4564" s="63"/>
      <c r="H4564" s="60"/>
      <c r="I4564" s="60"/>
      <c r="J4564" s="63"/>
      <c r="K4564" s="61" t="str">
        <f aca="false">IF($P4564=0,"",IF($F4564="Baseline","— Baseline",IF($O4564=0,"No result",IF($N4564=0,"No Start (attainment only)",IF(OR($N4564=1,$O4564=1),"U – needs rule",INDEX(MxBody,MATCH($I4564,MxCurr,0),MATCH($H4564,MxStart,0)))))))</f>
        <v/>
      </c>
      <c r="L4564" s="62" t="str">
        <f aca="false">IF(COUNTA($A4564,$F4564,$G4564,$H4564,$I4564,$J4564)=0,"",IF($M4564=0,"✖ كود الصف غير موجود",IF(ISNA(MATCH($F4564,Lists!$A$2:$A$5,0)),"✖ الفترة غير صحيحة",IF(ISNA(MATCH($G4564,Lists!$B$2:$B$7,0)),"✖ المجموعة غير صحيحة",IF(NOT(OR($H4564="",$N4564&gt;0)),"✖ Start غير صحيح",IF(NOT(OR($I4564="",$I4564="NR",$O4564&gt;0)),"✖ Current غير صحيح",IF(NOT(IF(ISNUMBER($J4564),AND($J4564&gt;=0,$J4564=INT($J4564)),FALSE())),"✖ العدد يجب أن يكون صحيحًا ≥ 0",IF(AND($F4564="Baseline",$H4564&lt;&gt;""),"⚠ Baseline: Start لا يدخل في التقدم",IF($K4564="No Start (attainment only)","ℹ تحصيل فقط (بدون Start)",IF($K4564="U – needs rule","ℹ حالة U تحتاج قاعدة معتمدة",IF($K4564="No result","ℹ بدون نتيجة (يُستبعد من التحصيل)","OK")))))))))))</f>
        <v/>
      </c>
      <c r="M4564" s="64" t="n">
        <f aca="false">IF($A4564="",0,IFERROR(MATCH($A4564,Classes!$A$6:$A$420,0),0))</f>
        <v>0</v>
      </c>
      <c r="N4564" s="64" t="n">
        <f aca="false">IF($H4564="",0,IFERROR(MATCH($H4564,GradeList,0),0))</f>
        <v>0</v>
      </c>
      <c r="O4564" s="64" t="n">
        <f aca="false">IF(OR($I4564="",$I4564="NR"),0,IFERROR(MATCH($I4564,GradeList,0),0))</f>
        <v>0</v>
      </c>
      <c r="P4564" s="64" t="n">
        <f aca="false">IF(AND($M4564&gt;0,ISNUMBER(MATCH($F4564,Lists!$A$2:$A$5,0)),ISNUMBER(MATCH($G4564,Lists!$B$2:$B$7,0)),OR($H4564="",$N4564&gt;0),OR($I4564="",$I4564="NR",$O4564&gt;0),IF(ISNUMBER($J4564),AND($J4564&gt;=0,$J4564=INT($J4564)),FALSE())),$J4564,0)</f>
        <v>0</v>
      </c>
      <c r="Q4564" s="64" t="n">
        <f aca="false">IF(AND($P4564&gt;0,$O4564&gt;0),$P4564,0)</f>
        <v>0</v>
      </c>
      <c r="R4564" s="64" t="n">
        <f aca="false">IF(AND($Q4564&gt;0,$O4564&gt;=AtRank),$Q4564,0)</f>
        <v>0</v>
      </c>
      <c r="S4564" s="64" t="n">
        <f aca="false">IF(AND($Q4564&gt;0,$O4564&gt;=AboveRank),$Q4564,0)</f>
        <v>0</v>
      </c>
      <c r="T4564" s="64" t="n">
        <f aca="false">IF($K4564="Less",$P4564,0)</f>
        <v>0</v>
      </c>
      <c r="U4564" s="64" t="n">
        <f aca="false">IF($K4564="Expected",$P4564,0)</f>
        <v>0</v>
      </c>
      <c r="V4564" s="64" t="n">
        <f aca="false">IF($K4564="Better",$P4564,0)</f>
        <v>0</v>
      </c>
      <c r="W4564" s="64" t="n">
        <f aca="false">IF($K4564="U – needs rule",$P4564,0)</f>
        <v>0</v>
      </c>
      <c r="X4564" s="64" t="n">
        <f aca="false">IF($K4564="No Start (attainment only)",$P4564,0)</f>
        <v>0</v>
      </c>
    </row>
    <row r="4565" customFormat="false" ht="15" hidden="false" customHeight="false" outlineLevel="0" collapsed="false">
      <c r="A4565" s="60"/>
      <c r="B4565" s="61" t="str">
        <f aca="false">IF($M4565=0,"",INDEX(Classes!$E$6:$E$420,$M4565))</f>
        <v/>
      </c>
      <c r="C4565" s="62" t="str">
        <f aca="false">IF($M4565=0,"",INDEX(Classes!$H$6:$H$420,$M4565))</f>
        <v/>
      </c>
      <c r="D4565" s="61" t="str">
        <f aca="false">IF($M4565=0,"",INDEX(Classes!$B$6:$B$420,$M4565))</f>
        <v/>
      </c>
      <c r="E4565" s="61" t="str">
        <f aca="false">IF($M4565=0,"",INDEX(Classes!$C$6:$C$420,$M4565))</f>
        <v/>
      </c>
      <c r="F4565" s="63"/>
      <c r="G4565" s="63"/>
      <c r="H4565" s="60"/>
      <c r="I4565" s="60"/>
      <c r="J4565" s="63"/>
      <c r="K4565" s="61" t="str">
        <f aca="false">IF($P4565=0,"",IF($F4565="Baseline","— Baseline",IF($O4565=0,"No result",IF($N4565=0,"No Start (attainment only)",IF(OR($N4565=1,$O4565=1),"U – needs rule",INDEX(MxBody,MATCH($I4565,MxCurr,0),MATCH($H4565,MxStart,0)))))))</f>
        <v/>
      </c>
      <c r="L4565" s="62" t="str">
        <f aca="false">IF(COUNTA($A4565,$F4565,$G4565,$H4565,$I4565,$J4565)=0,"",IF($M4565=0,"✖ كود الصف غير موجود",IF(ISNA(MATCH($F4565,Lists!$A$2:$A$5,0)),"✖ الفترة غير صحيحة",IF(ISNA(MATCH($G4565,Lists!$B$2:$B$7,0)),"✖ المجموعة غير صحيحة",IF(NOT(OR($H4565="",$N4565&gt;0)),"✖ Start غير صحيح",IF(NOT(OR($I4565="",$I4565="NR",$O4565&gt;0)),"✖ Current غير صحيح",IF(NOT(IF(ISNUMBER($J4565),AND($J4565&gt;=0,$J4565=INT($J4565)),FALSE())),"✖ العدد يجب أن يكون صحيحًا ≥ 0",IF(AND($F4565="Baseline",$H4565&lt;&gt;""),"⚠ Baseline: Start لا يدخل في التقدم",IF($K4565="No Start (attainment only)","ℹ تحصيل فقط (بدون Start)",IF($K4565="U – needs rule","ℹ حالة U تحتاج قاعدة معتمدة",IF($K4565="No result","ℹ بدون نتيجة (يُستبعد من التحصيل)","OK")))))))))))</f>
        <v/>
      </c>
      <c r="M4565" s="64" t="n">
        <f aca="false">IF($A4565="",0,IFERROR(MATCH($A4565,Classes!$A$6:$A$420,0),0))</f>
        <v>0</v>
      </c>
      <c r="N4565" s="64" t="n">
        <f aca="false">IF($H4565="",0,IFERROR(MATCH($H4565,GradeList,0),0))</f>
        <v>0</v>
      </c>
      <c r="O4565" s="64" t="n">
        <f aca="false">IF(OR($I4565="",$I4565="NR"),0,IFERROR(MATCH($I4565,GradeList,0),0))</f>
        <v>0</v>
      </c>
      <c r="P4565" s="64" t="n">
        <f aca="false">IF(AND($M4565&gt;0,ISNUMBER(MATCH($F4565,Lists!$A$2:$A$5,0)),ISNUMBER(MATCH($G4565,Lists!$B$2:$B$7,0)),OR($H4565="",$N4565&gt;0),OR($I4565="",$I4565="NR",$O4565&gt;0),IF(ISNUMBER($J4565),AND($J4565&gt;=0,$J4565=INT($J4565)),FALSE())),$J4565,0)</f>
        <v>0</v>
      </c>
      <c r="Q4565" s="64" t="n">
        <f aca="false">IF(AND($P4565&gt;0,$O4565&gt;0),$P4565,0)</f>
        <v>0</v>
      </c>
      <c r="R4565" s="64" t="n">
        <f aca="false">IF(AND($Q4565&gt;0,$O4565&gt;=AtRank),$Q4565,0)</f>
        <v>0</v>
      </c>
      <c r="S4565" s="64" t="n">
        <f aca="false">IF(AND($Q4565&gt;0,$O4565&gt;=AboveRank),$Q4565,0)</f>
        <v>0</v>
      </c>
      <c r="T4565" s="64" t="n">
        <f aca="false">IF($K4565="Less",$P4565,0)</f>
        <v>0</v>
      </c>
      <c r="U4565" s="64" t="n">
        <f aca="false">IF($K4565="Expected",$P4565,0)</f>
        <v>0</v>
      </c>
      <c r="V4565" s="64" t="n">
        <f aca="false">IF($K4565="Better",$P4565,0)</f>
        <v>0</v>
      </c>
      <c r="W4565" s="64" t="n">
        <f aca="false">IF($K4565="U – needs rule",$P4565,0)</f>
        <v>0</v>
      </c>
      <c r="X4565" s="64" t="n">
        <f aca="false">IF($K4565="No Start (attainment only)",$P4565,0)</f>
        <v>0</v>
      </c>
    </row>
    <row r="4566" customFormat="false" ht="15" hidden="false" customHeight="false" outlineLevel="0" collapsed="false">
      <c r="A4566" s="60"/>
      <c r="B4566" s="61" t="str">
        <f aca="false">IF($M4566=0,"",INDEX(Classes!$E$6:$E$420,$M4566))</f>
        <v/>
      </c>
      <c r="C4566" s="62" t="str">
        <f aca="false">IF($M4566=0,"",INDEX(Classes!$H$6:$H$420,$M4566))</f>
        <v/>
      </c>
      <c r="D4566" s="61" t="str">
        <f aca="false">IF($M4566=0,"",INDEX(Classes!$B$6:$B$420,$M4566))</f>
        <v/>
      </c>
      <c r="E4566" s="61" t="str">
        <f aca="false">IF($M4566=0,"",INDEX(Classes!$C$6:$C$420,$M4566))</f>
        <v/>
      </c>
      <c r="F4566" s="63"/>
      <c r="G4566" s="63"/>
      <c r="H4566" s="60"/>
      <c r="I4566" s="60"/>
      <c r="J4566" s="63"/>
      <c r="K4566" s="61" t="str">
        <f aca="false">IF($P4566=0,"",IF($F4566="Baseline","— Baseline",IF($O4566=0,"No result",IF($N4566=0,"No Start (attainment only)",IF(OR($N4566=1,$O4566=1),"U – needs rule",INDEX(MxBody,MATCH($I4566,MxCurr,0),MATCH($H4566,MxStart,0)))))))</f>
        <v/>
      </c>
      <c r="L4566" s="62" t="str">
        <f aca="false">IF(COUNTA($A4566,$F4566,$G4566,$H4566,$I4566,$J4566)=0,"",IF($M4566=0,"✖ كود الصف غير موجود",IF(ISNA(MATCH($F4566,Lists!$A$2:$A$5,0)),"✖ الفترة غير صحيحة",IF(ISNA(MATCH($G4566,Lists!$B$2:$B$7,0)),"✖ المجموعة غير صحيحة",IF(NOT(OR($H4566="",$N4566&gt;0)),"✖ Start غير صحيح",IF(NOT(OR($I4566="",$I4566="NR",$O4566&gt;0)),"✖ Current غير صحيح",IF(NOT(IF(ISNUMBER($J4566),AND($J4566&gt;=0,$J4566=INT($J4566)),FALSE())),"✖ العدد يجب أن يكون صحيحًا ≥ 0",IF(AND($F4566="Baseline",$H4566&lt;&gt;""),"⚠ Baseline: Start لا يدخل في التقدم",IF($K4566="No Start (attainment only)","ℹ تحصيل فقط (بدون Start)",IF($K4566="U – needs rule","ℹ حالة U تحتاج قاعدة معتمدة",IF($K4566="No result","ℹ بدون نتيجة (يُستبعد من التحصيل)","OK")))))))))))</f>
        <v/>
      </c>
      <c r="M4566" s="64" t="n">
        <f aca="false">IF($A4566="",0,IFERROR(MATCH($A4566,Classes!$A$6:$A$420,0),0))</f>
        <v>0</v>
      </c>
      <c r="N4566" s="64" t="n">
        <f aca="false">IF($H4566="",0,IFERROR(MATCH($H4566,GradeList,0),0))</f>
        <v>0</v>
      </c>
      <c r="O4566" s="64" t="n">
        <f aca="false">IF(OR($I4566="",$I4566="NR"),0,IFERROR(MATCH($I4566,GradeList,0),0))</f>
        <v>0</v>
      </c>
      <c r="P4566" s="64" t="n">
        <f aca="false">IF(AND($M4566&gt;0,ISNUMBER(MATCH($F4566,Lists!$A$2:$A$5,0)),ISNUMBER(MATCH($G4566,Lists!$B$2:$B$7,0)),OR($H4566="",$N4566&gt;0),OR($I4566="",$I4566="NR",$O4566&gt;0),IF(ISNUMBER($J4566),AND($J4566&gt;=0,$J4566=INT($J4566)),FALSE())),$J4566,0)</f>
        <v>0</v>
      </c>
      <c r="Q4566" s="64" t="n">
        <f aca="false">IF(AND($P4566&gt;0,$O4566&gt;0),$P4566,0)</f>
        <v>0</v>
      </c>
      <c r="R4566" s="64" t="n">
        <f aca="false">IF(AND($Q4566&gt;0,$O4566&gt;=AtRank),$Q4566,0)</f>
        <v>0</v>
      </c>
      <c r="S4566" s="64" t="n">
        <f aca="false">IF(AND($Q4566&gt;0,$O4566&gt;=AboveRank),$Q4566,0)</f>
        <v>0</v>
      </c>
      <c r="T4566" s="64" t="n">
        <f aca="false">IF($K4566="Less",$P4566,0)</f>
        <v>0</v>
      </c>
      <c r="U4566" s="64" t="n">
        <f aca="false">IF($K4566="Expected",$P4566,0)</f>
        <v>0</v>
      </c>
      <c r="V4566" s="64" t="n">
        <f aca="false">IF($K4566="Better",$P4566,0)</f>
        <v>0</v>
      </c>
      <c r="W4566" s="64" t="n">
        <f aca="false">IF($K4566="U – needs rule",$P4566,0)</f>
        <v>0</v>
      </c>
      <c r="X4566" s="64" t="n">
        <f aca="false">IF($K4566="No Start (attainment only)",$P4566,0)</f>
        <v>0</v>
      </c>
    </row>
    <row r="4567" customFormat="false" ht="15" hidden="false" customHeight="false" outlineLevel="0" collapsed="false">
      <c r="A4567" s="60"/>
      <c r="B4567" s="61" t="str">
        <f aca="false">IF($M4567=0,"",INDEX(Classes!$E$6:$E$420,$M4567))</f>
        <v/>
      </c>
      <c r="C4567" s="62" t="str">
        <f aca="false">IF($M4567=0,"",INDEX(Classes!$H$6:$H$420,$M4567))</f>
        <v/>
      </c>
      <c r="D4567" s="61" t="str">
        <f aca="false">IF($M4567=0,"",INDEX(Classes!$B$6:$B$420,$M4567))</f>
        <v/>
      </c>
      <c r="E4567" s="61" t="str">
        <f aca="false">IF($M4567=0,"",INDEX(Classes!$C$6:$C$420,$M4567))</f>
        <v/>
      </c>
      <c r="F4567" s="63"/>
      <c r="G4567" s="63"/>
      <c r="H4567" s="60"/>
      <c r="I4567" s="60"/>
      <c r="J4567" s="63"/>
      <c r="K4567" s="61" t="str">
        <f aca="false">IF($P4567=0,"",IF($F4567="Baseline","— Baseline",IF($O4567=0,"No result",IF($N4567=0,"No Start (attainment only)",IF(OR($N4567=1,$O4567=1),"U – needs rule",INDEX(MxBody,MATCH($I4567,MxCurr,0),MATCH($H4567,MxStart,0)))))))</f>
        <v/>
      </c>
      <c r="L4567" s="62" t="str">
        <f aca="false">IF(COUNTA($A4567,$F4567,$G4567,$H4567,$I4567,$J4567)=0,"",IF($M4567=0,"✖ كود الصف غير موجود",IF(ISNA(MATCH($F4567,Lists!$A$2:$A$5,0)),"✖ الفترة غير صحيحة",IF(ISNA(MATCH($G4567,Lists!$B$2:$B$7,0)),"✖ المجموعة غير صحيحة",IF(NOT(OR($H4567="",$N4567&gt;0)),"✖ Start غير صحيح",IF(NOT(OR($I4567="",$I4567="NR",$O4567&gt;0)),"✖ Current غير صحيح",IF(NOT(IF(ISNUMBER($J4567),AND($J4567&gt;=0,$J4567=INT($J4567)),FALSE())),"✖ العدد يجب أن يكون صحيحًا ≥ 0",IF(AND($F4567="Baseline",$H4567&lt;&gt;""),"⚠ Baseline: Start لا يدخل في التقدم",IF($K4567="No Start (attainment only)","ℹ تحصيل فقط (بدون Start)",IF($K4567="U – needs rule","ℹ حالة U تحتاج قاعدة معتمدة",IF($K4567="No result","ℹ بدون نتيجة (يُستبعد من التحصيل)","OK")))))))))))</f>
        <v/>
      </c>
      <c r="M4567" s="64" t="n">
        <f aca="false">IF($A4567="",0,IFERROR(MATCH($A4567,Classes!$A$6:$A$420,0),0))</f>
        <v>0</v>
      </c>
      <c r="N4567" s="64" t="n">
        <f aca="false">IF($H4567="",0,IFERROR(MATCH($H4567,GradeList,0),0))</f>
        <v>0</v>
      </c>
      <c r="O4567" s="64" t="n">
        <f aca="false">IF(OR($I4567="",$I4567="NR"),0,IFERROR(MATCH($I4567,GradeList,0),0))</f>
        <v>0</v>
      </c>
      <c r="P4567" s="64" t="n">
        <f aca="false">IF(AND($M4567&gt;0,ISNUMBER(MATCH($F4567,Lists!$A$2:$A$5,0)),ISNUMBER(MATCH($G4567,Lists!$B$2:$B$7,0)),OR($H4567="",$N4567&gt;0),OR($I4567="",$I4567="NR",$O4567&gt;0),IF(ISNUMBER($J4567),AND($J4567&gt;=0,$J4567=INT($J4567)),FALSE())),$J4567,0)</f>
        <v>0</v>
      </c>
      <c r="Q4567" s="64" t="n">
        <f aca="false">IF(AND($P4567&gt;0,$O4567&gt;0),$P4567,0)</f>
        <v>0</v>
      </c>
      <c r="R4567" s="64" t="n">
        <f aca="false">IF(AND($Q4567&gt;0,$O4567&gt;=AtRank),$Q4567,0)</f>
        <v>0</v>
      </c>
      <c r="S4567" s="64" t="n">
        <f aca="false">IF(AND($Q4567&gt;0,$O4567&gt;=AboveRank),$Q4567,0)</f>
        <v>0</v>
      </c>
      <c r="T4567" s="64" t="n">
        <f aca="false">IF($K4567="Less",$P4567,0)</f>
        <v>0</v>
      </c>
      <c r="U4567" s="64" t="n">
        <f aca="false">IF($K4567="Expected",$P4567,0)</f>
        <v>0</v>
      </c>
      <c r="V4567" s="64" t="n">
        <f aca="false">IF($K4567="Better",$P4567,0)</f>
        <v>0</v>
      </c>
      <c r="W4567" s="64" t="n">
        <f aca="false">IF($K4567="U – needs rule",$P4567,0)</f>
        <v>0</v>
      </c>
      <c r="X4567" s="64" t="n">
        <f aca="false">IF($K4567="No Start (attainment only)",$P4567,0)</f>
        <v>0</v>
      </c>
    </row>
    <row r="4568" customFormat="false" ht="15" hidden="false" customHeight="false" outlineLevel="0" collapsed="false">
      <c r="A4568" s="60"/>
      <c r="B4568" s="61" t="str">
        <f aca="false">IF($M4568=0,"",INDEX(Classes!$E$6:$E$420,$M4568))</f>
        <v/>
      </c>
      <c r="C4568" s="62" t="str">
        <f aca="false">IF($M4568=0,"",INDEX(Classes!$H$6:$H$420,$M4568))</f>
        <v/>
      </c>
      <c r="D4568" s="61" t="str">
        <f aca="false">IF($M4568=0,"",INDEX(Classes!$B$6:$B$420,$M4568))</f>
        <v/>
      </c>
      <c r="E4568" s="61" t="str">
        <f aca="false">IF($M4568=0,"",INDEX(Classes!$C$6:$C$420,$M4568))</f>
        <v/>
      </c>
      <c r="F4568" s="63"/>
      <c r="G4568" s="63"/>
      <c r="H4568" s="60"/>
      <c r="I4568" s="60"/>
      <c r="J4568" s="63"/>
      <c r="K4568" s="61" t="str">
        <f aca="false">IF($P4568=0,"",IF($F4568="Baseline","— Baseline",IF($O4568=0,"No result",IF($N4568=0,"No Start (attainment only)",IF(OR($N4568=1,$O4568=1),"U – needs rule",INDEX(MxBody,MATCH($I4568,MxCurr,0),MATCH($H4568,MxStart,0)))))))</f>
        <v/>
      </c>
      <c r="L4568" s="62" t="str">
        <f aca="false">IF(COUNTA($A4568,$F4568,$G4568,$H4568,$I4568,$J4568)=0,"",IF($M4568=0,"✖ كود الصف غير موجود",IF(ISNA(MATCH($F4568,Lists!$A$2:$A$5,0)),"✖ الفترة غير صحيحة",IF(ISNA(MATCH($G4568,Lists!$B$2:$B$7,0)),"✖ المجموعة غير صحيحة",IF(NOT(OR($H4568="",$N4568&gt;0)),"✖ Start غير صحيح",IF(NOT(OR($I4568="",$I4568="NR",$O4568&gt;0)),"✖ Current غير صحيح",IF(NOT(IF(ISNUMBER($J4568),AND($J4568&gt;=0,$J4568=INT($J4568)),FALSE())),"✖ العدد يجب أن يكون صحيحًا ≥ 0",IF(AND($F4568="Baseline",$H4568&lt;&gt;""),"⚠ Baseline: Start لا يدخل في التقدم",IF($K4568="No Start (attainment only)","ℹ تحصيل فقط (بدون Start)",IF($K4568="U – needs rule","ℹ حالة U تحتاج قاعدة معتمدة",IF($K4568="No result","ℹ بدون نتيجة (يُستبعد من التحصيل)","OK")))))))))))</f>
        <v/>
      </c>
      <c r="M4568" s="64" t="n">
        <f aca="false">IF($A4568="",0,IFERROR(MATCH($A4568,Classes!$A$6:$A$420,0),0))</f>
        <v>0</v>
      </c>
      <c r="N4568" s="64" t="n">
        <f aca="false">IF($H4568="",0,IFERROR(MATCH($H4568,GradeList,0),0))</f>
        <v>0</v>
      </c>
      <c r="O4568" s="64" t="n">
        <f aca="false">IF(OR($I4568="",$I4568="NR"),0,IFERROR(MATCH($I4568,GradeList,0),0))</f>
        <v>0</v>
      </c>
      <c r="P4568" s="64" t="n">
        <f aca="false">IF(AND($M4568&gt;0,ISNUMBER(MATCH($F4568,Lists!$A$2:$A$5,0)),ISNUMBER(MATCH($G4568,Lists!$B$2:$B$7,0)),OR($H4568="",$N4568&gt;0),OR($I4568="",$I4568="NR",$O4568&gt;0),IF(ISNUMBER($J4568),AND($J4568&gt;=0,$J4568=INT($J4568)),FALSE())),$J4568,0)</f>
        <v>0</v>
      </c>
      <c r="Q4568" s="64" t="n">
        <f aca="false">IF(AND($P4568&gt;0,$O4568&gt;0),$P4568,0)</f>
        <v>0</v>
      </c>
      <c r="R4568" s="64" t="n">
        <f aca="false">IF(AND($Q4568&gt;0,$O4568&gt;=AtRank),$Q4568,0)</f>
        <v>0</v>
      </c>
      <c r="S4568" s="64" t="n">
        <f aca="false">IF(AND($Q4568&gt;0,$O4568&gt;=AboveRank),$Q4568,0)</f>
        <v>0</v>
      </c>
      <c r="T4568" s="64" t="n">
        <f aca="false">IF($K4568="Less",$P4568,0)</f>
        <v>0</v>
      </c>
      <c r="U4568" s="64" t="n">
        <f aca="false">IF($K4568="Expected",$P4568,0)</f>
        <v>0</v>
      </c>
      <c r="V4568" s="64" t="n">
        <f aca="false">IF($K4568="Better",$P4568,0)</f>
        <v>0</v>
      </c>
      <c r="W4568" s="64" t="n">
        <f aca="false">IF($K4568="U – needs rule",$P4568,0)</f>
        <v>0</v>
      </c>
      <c r="X4568" s="64" t="n">
        <f aca="false">IF($K4568="No Start (attainment only)",$P4568,0)</f>
        <v>0</v>
      </c>
    </row>
    <row r="4569" customFormat="false" ht="15" hidden="false" customHeight="false" outlineLevel="0" collapsed="false">
      <c r="A4569" s="60"/>
      <c r="B4569" s="61" t="str">
        <f aca="false">IF($M4569=0,"",INDEX(Classes!$E$6:$E$420,$M4569))</f>
        <v/>
      </c>
      <c r="C4569" s="62" t="str">
        <f aca="false">IF($M4569=0,"",INDEX(Classes!$H$6:$H$420,$M4569))</f>
        <v/>
      </c>
      <c r="D4569" s="61" t="str">
        <f aca="false">IF($M4569=0,"",INDEX(Classes!$B$6:$B$420,$M4569))</f>
        <v/>
      </c>
      <c r="E4569" s="61" t="str">
        <f aca="false">IF($M4569=0,"",INDEX(Classes!$C$6:$C$420,$M4569))</f>
        <v/>
      </c>
      <c r="F4569" s="63"/>
      <c r="G4569" s="63"/>
      <c r="H4569" s="60"/>
      <c r="I4569" s="60"/>
      <c r="J4569" s="63"/>
      <c r="K4569" s="61" t="str">
        <f aca="false">IF($P4569=0,"",IF($F4569="Baseline","— Baseline",IF($O4569=0,"No result",IF($N4569=0,"No Start (attainment only)",IF(OR($N4569=1,$O4569=1),"U – needs rule",INDEX(MxBody,MATCH($I4569,MxCurr,0),MATCH($H4569,MxStart,0)))))))</f>
        <v/>
      </c>
      <c r="L4569" s="62" t="str">
        <f aca="false">IF(COUNTA($A4569,$F4569,$G4569,$H4569,$I4569,$J4569)=0,"",IF($M4569=0,"✖ كود الصف غير موجود",IF(ISNA(MATCH($F4569,Lists!$A$2:$A$5,0)),"✖ الفترة غير صحيحة",IF(ISNA(MATCH($G4569,Lists!$B$2:$B$7,0)),"✖ المجموعة غير صحيحة",IF(NOT(OR($H4569="",$N4569&gt;0)),"✖ Start غير صحيح",IF(NOT(OR($I4569="",$I4569="NR",$O4569&gt;0)),"✖ Current غير صحيح",IF(NOT(IF(ISNUMBER($J4569),AND($J4569&gt;=0,$J4569=INT($J4569)),FALSE())),"✖ العدد يجب أن يكون صحيحًا ≥ 0",IF(AND($F4569="Baseline",$H4569&lt;&gt;""),"⚠ Baseline: Start لا يدخل في التقدم",IF($K4569="No Start (attainment only)","ℹ تحصيل فقط (بدون Start)",IF($K4569="U – needs rule","ℹ حالة U تحتاج قاعدة معتمدة",IF($K4569="No result","ℹ بدون نتيجة (يُستبعد من التحصيل)","OK")))))))))))</f>
        <v/>
      </c>
      <c r="M4569" s="64" t="n">
        <f aca="false">IF($A4569="",0,IFERROR(MATCH($A4569,Classes!$A$6:$A$420,0),0))</f>
        <v>0</v>
      </c>
      <c r="N4569" s="64" t="n">
        <f aca="false">IF($H4569="",0,IFERROR(MATCH($H4569,GradeList,0),0))</f>
        <v>0</v>
      </c>
      <c r="O4569" s="64" t="n">
        <f aca="false">IF(OR($I4569="",$I4569="NR"),0,IFERROR(MATCH($I4569,GradeList,0),0))</f>
        <v>0</v>
      </c>
      <c r="P4569" s="64" t="n">
        <f aca="false">IF(AND($M4569&gt;0,ISNUMBER(MATCH($F4569,Lists!$A$2:$A$5,0)),ISNUMBER(MATCH($G4569,Lists!$B$2:$B$7,0)),OR($H4569="",$N4569&gt;0),OR($I4569="",$I4569="NR",$O4569&gt;0),IF(ISNUMBER($J4569),AND($J4569&gt;=0,$J4569=INT($J4569)),FALSE())),$J4569,0)</f>
        <v>0</v>
      </c>
      <c r="Q4569" s="64" t="n">
        <f aca="false">IF(AND($P4569&gt;0,$O4569&gt;0),$P4569,0)</f>
        <v>0</v>
      </c>
      <c r="R4569" s="64" t="n">
        <f aca="false">IF(AND($Q4569&gt;0,$O4569&gt;=AtRank),$Q4569,0)</f>
        <v>0</v>
      </c>
      <c r="S4569" s="64" t="n">
        <f aca="false">IF(AND($Q4569&gt;0,$O4569&gt;=AboveRank),$Q4569,0)</f>
        <v>0</v>
      </c>
      <c r="T4569" s="64" t="n">
        <f aca="false">IF($K4569="Less",$P4569,0)</f>
        <v>0</v>
      </c>
      <c r="U4569" s="64" t="n">
        <f aca="false">IF($K4569="Expected",$P4569,0)</f>
        <v>0</v>
      </c>
      <c r="V4569" s="64" t="n">
        <f aca="false">IF($K4569="Better",$P4569,0)</f>
        <v>0</v>
      </c>
      <c r="W4569" s="64" t="n">
        <f aca="false">IF($K4569="U – needs rule",$P4569,0)</f>
        <v>0</v>
      </c>
      <c r="X4569" s="64" t="n">
        <f aca="false">IF($K4569="No Start (attainment only)",$P4569,0)</f>
        <v>0</v>
      </c>
    </row>
    <row r="4570" customFormat="false" ht="15" hidden="false" customHeight="false" outlineLevel="0" collapsed="false">
      <c r="A4570" s="60"/>
      <c r="B4570" s="61" t="str">
        <f aca="false">IF($M4570=0,"",INDEX(Classes!$E$6:$E$420,$M4570))</f>
        <v/>
      </c>
      <c r="C4570" s="62" t="str">
        <f aca="false">IF($M4570=0,"",INDEX(Classes!$H$6:$H$420,$M4570))</f>
        <v/>
      </c>
      <c r="D4570" s="61" t="str">
        <f aca="false">IF($M4570=0,"",INDEX(Classes!$B$6:$B$420,$M4570))</f>
        <v/>
      </c>
      <c r="E4570" s="61" t="str">
        <f aca="false">IF($M4570=0,"",INDEX(Classes!$C$6:$C$420,$M4570))</f>
        <v/>
      </c>
      <c r="F4570" s="63"/>
      <c r="G4570" s="63"/>
      <c r="H4570" s="60"/>
      <c r="I4570" s="60"/>
      <c r="J4570" s="63"/>
      <c r="K4570" s="61" t="str">
        <f aca="false">IF($P4570=0,"",IF($F4570="Baseline","— Baseline",IF($O4570=0,"No result",IF($N4570=0,"No Start (attainment only)",IF(OR($N4570=1,$O4570=1),"U – needs rule",INDEX(MxBody,MATCH($I4570,MxCurr,0),MATCH($H4570,MxStart,0)))))))</f>
        <v/>
      </c>
      <c r="L4570" s="62" t="str">
        <f aca="false">IF(COUNTA($A4570,$F4570,$G4570,$H4570,$I4570,$J4570)=0,"",IF($M4570=0,"✖ كود الصف غير موجود",IF(ISNA(MATCH($F4570,Lists!$A$2:$A$5,0)),"✖ الفترة غير صحيحة",IF(ISNA(MATCH($G4570,Lists!$B$2:$B$7,0)),"✖ المجموعة غير صحيحة",IF(NOT(OR($H4570="",$N4570&gt;0)),"✖ Start غير صحيح",IF(NOT(OR($I4570="",$I4570="NR",$O4570&gt;0)),"✖ Current غير صحيح",IF(NOT(IF(ISNUMBER($J4570),AND($J4570&gt;=0,$J4570=INT($J4570)),FALSE())),"✖ العدد يجب أن يكون صحيحًا ≥ 0",IF(AND($F4570="Baseline",$H4570&lt;&gt;""),"⚠ Baseline: Start لا يدخل في التقدم",IF($K4570="No Start (attainment only)","ℹ تحصيل فقط (بدون Start)",IF($K4570="U – needs rule","ℹ حالة U تحتاج قاعدة معتمدة",IF($K4570="No result","ℹ بدون نتيجة (يُستبعد من التحصيل)","OK")))))))))))</f>
        <v/>
      </c>
      <c r="M4570" s="64" t="n">
        <f aca="false">IF($A4570="",0,IFERROR(MATCH($A4570,Classes!$A$6:$A$420,0),0))</f>
        <v>0</v>
      </c>
      <c r="N4570" s="64" t="n">
        <f aca="false">IF($H4570="",0,IFERROR(MATCH($H4570,GradeList,0),0))</f>
        <v>0</v>
      </c>
      <c r="O4570" s="64" t="n">
        <f aca="false">IF(OR($I4570="",$I4570="NR"),0,IFERROR(MATCH($I4570,GradeList,0),0))</f>
        <v>0</v>
      </c>
      <c r="P4570" s="64" t="n">
        <f aca="false">IF(AND($M4570&gt;0,ISNUMBER(MATCH($F4570,Lists!$A$2:$A$5,0)),ISNUMBER(MATCH($G4570,Lists!$B$2:$B$7,0)),OR($H4570="",$N4570&gt;0),OR($I4570="",$I4570="NR",$O4570&gt;0),IF(ISNUMBER($J4570),AND($J4570&gt;=0,$J4570=INT($J4570)),FALSE())),$J4570,0)</f>
        <v>0</v>
      </c>
      <c r="Q4570" s="64" t="n">
        <f aca="false">IF(AND($P4570&gt;0,$O4570&gt;0),$P4570,0)</f>
        <v>0</v>
      </c>
      <c r="R4570" s="64" t="n">
        <f aca="false">IF(AND($Q4570&gt;0,$O4570&gt;=AtRank),$Q4570,0)</f>
        <v>0</v>
      </c>
      <c r="S4570" s="64" t="n">
        <f aca="false">IF(AND($Q4570&gt;0,$O4570&gt;=AboveRank),$Q4570,0)</f>
        <v>0</v>
      </c>
      <c r="T4570" s="64" t="n">
        <f aca="false">IF($K4570="Less",$P4570,0)</f>
        <v>0</v>
      </c>
      <c r="U4570" s="64" t="n">
        <f aca="false">IF($K4570="Expected",$P4570,0)</f>
        <v>0</v>
      </c>
      <c r="V4570" s="64" t="n">
        <f aca="false">IF($K4570="Better",$P4570,0)</f>
        <v>0</v>
      </c>
      <c r="W4570" s="64" t="n">
        <f aca="false">IF($K4570="U – needs rule",$P4570,0)</f>
        <v>0</v>
      </c>
      <c r="X4570" s="64" t="n">
        <f aca="false">IF($K4570="No Start (attainment only)",$P4570,0)</f>
        <v>0</v>
      </c>
    </row>
    <row r="4571" customFormat="false" ht="15" hidden="false" customHeight="false" outlineLevel="0" collapsed="false">
      <c r="A4571" s="60"/>
      <c r="B4571" s="61" t="str">
        <f aca="false">IF($M4571=0,"",INDEX(Classes!$E$6:$E$420,$M4571))</f>
        <v/>
      </c>
      <c r="C4571" s="62" t="str">
        <f aca="false">IF($M4571=0,"",INDEX(Classes!$H$6:$H$420,$M4571))</f>
        <v/>
      </c>
      <c r="D4571" s="61" t="str">
        <f aca="false">IF($M4571=0,"",INDEX(Classes!$B$6:$B$420,$M4571))</f>
        <v/>
      </c>
      <c r="E4571" s="61" t="str">
        <f aca="false">IF($M4571=0,"",INDEX(Classes!$C$6:$C$420,$M4571))</f>
        <v/>
      </c>
      <c r="F4571" s="63"/>
      <c r="G4571" s="63"/>
      <c r="H4571" s="60"/>
      <c r="I4571" s="60"/>
      <c r="J4571" s="63"/>
      <c r="K4571" s="61" t="str">
        <f aca="false">IF($P4571=0,"",IF($F4571="Baseline","— Baseline",IF($O4571=0,"No result",IF($N4571=0,"No Start (attainment only)",IF(OR($N4571=1,$O4571=1),"U – needs rule",INDEX(MxBody,MATCH($I4571,MxCurr,0),MATCH($H4571,MxStart,0)))))))</f>
        <v/>
      </c>
      <c r="L4571" s="62" t="str">
        <f aca="false">IF(COUNTA($A4571,$F4571,$G4571,$H4571,$I4571,$J4571)=0,"",IF($M4571=0,"✖ كود الصف غير موجود",IF(ISNA(MATCH($F4571,Lists!$A$2:$A$5,0)),"✖ الفترة غير صحيحة",IF(ISNA(MATCH($G4571,Lists!$B$2:$B$7,0)),"✖ المجموعة غير صحيحة",IF(NOT(OR($H4571="",$N4571&gt;0)),"✖ Start غير صحيح",IF(NOT(OR($I4571="",$I4571="NR",$O4571&gt;0)),"✖ Current غير صحيح",IF(NOT(IF(ISNUMBER($J4571),AND($J4571&gt;=0,$J4571=INT($J4571)),FALSE())),"✖ العدد يجب أن يكون صحيحًا ≥ 0",IF(AND($F4571="Baseline",$H4571&lt;&gt;""),"⚠ Baseline: Start لا يدخل في التقدم",IF($K4571="No Start (attainment only)","ℹ تحصيل فقط (بدون Start)",IF($K4571="U – needs rule","ℹ حالة U تحتاج قاعدة معتمدة",IF($K4571="No result","ℹ بدون نتيجة (يُستبعد من التحصيل)","OK")))))))))))</f>
        <v/>
      </c>
      <c r="M4571" s="64" t="n">
        <f aca="false">IF($A4571="",0,IFERROR(MATCH($A4571,Classes!$A$6:$A$420,0),0))</f>
        <v>0</v>
      </c>
      <c r="N4571" s="64" t="n">
        <f aca="false">IF($H4571="",0,IFERROR(MATCH($H4571,GradeList,0),0))</f>
        <v>0</v>
      </c>
      <c r="O4571" s="64" t="n">
        <f aca="false">IF(OR($I4571="",$I4571="NR"),0,IFERROR(MATCH($I4571,GradeList,0),0))</f>
        <v>0</v>
      </c>
      <c r="P4571" s="64" t="n">
        <f aca="false">IF(AND($M4571&gt;0,ISNUMBER(MATCH($F4571,Lists!$A$2:$A$5,0)),ISNUMBER(MATCH($G4571,Lists!$B$2:$B$7,0)),OR($H4571="",$N4571&gt;0),OR($I4571="",$I4571="NR",$O4571&gt;0),IF(ISNUMBER($J4571),AND($J4571&gt;=0,$J4571=INT($J4571)),FALSE())),$J4571,0)</f>
        <v>0</v>
      </c>
      <c r="Q4571" s="64" t="n">
        <f aca="false">IF(AND($P4571&gt;0,$O4571&gt;0),$P4571,0)</f>
        <v>0</v>
      </c>
      <c r="R4571" s="64" t="n">
        <f aca="false">IF(AND($Q4571&gt;0,$O4571&gt;=AtRank),$Q4571,0)</f>
        <v>0</v>
      </c>
      <c r="S4571" s="64" t="n">
        <f aca="false">IF(AND($Q4571&gt;0,$O4571&gt;=AboveRank),$Q4571,0)</f>
        <v>0</v>
      </c>
      <c r="T4571" s="64" t="n">
        <f aca="false">IF($K4571="Less",$P4571,0)</f>
        <v>0</v>
      </c>
      <c r="U4571" s="64" t="n">
        <f aca="false">IF($K4571="Expected",$P4571,0)</f>
        <v>0</v>
      </c>
      <c r="V4571" s="64" t="n">
        <f aca="false">IF($K4571="Better",$P4571,0)</f>
        <v>0</v>
      </c>
      <c r="W4571" s="64" t="n">
        <f aca="false">IF($K4571="U – needs rule",$P4571,0)</f>
        <v>0</v>
      </c>
      <c r="X4571" s="64" t="n">
        <f aca="false">IF($K4571="No Start (attainment only)",$P4571,0)</f>
        <v>0</v>
      </c>
    </row>
    <row r="4572" customFormat="false" ht="15" hidden="false" customHeight="false" outlineLevel="0" collapsed="false">
      <c r="A4572" s="60"/>
      <c r="B4572" s="61" t="str">
        <f aca="false">IF($M4572=0,"",INDEX(Classes!$E$6:$E$420,$M4572))</f>
        <v/>
      </c>
      <c r="C4572" s="62" t="str">
        <f aca="false">IF($M4572=0,"",INDEX(Classes!$H$6:$H$420,$M4572))</f>
        <v/>
      </c>
      <c r="D4572" s="61" t="str">
        <f aca="false">IF($M4572=0,"",INDEX(Classes!$B$6:$B$420,$M4572))</f>
        <v/>
      </c>
      <c r="E4572" s="61" t="str">
        <f aca="false">IF($M4572=0,"",INDEX(Classes!$C$6:$C$420,$M4572))</f>
        <v/>
      </c>
      <c r="F4572" s="63"/>
      <c r="G4572" s="63"/>
      <c r="H4572" s="60"/>
      <c r="I4572" s="60"/>
      <c r="J4572" s="63"/>
      <c r="K4572" s="61" t="str">
        <f aca="false">IF($P4572=0,"",IF($F4572="Baseline","— Baseline",IF($O4572=0,"No result",IF($N4572=0,"No Start (attainment only)",IF(OR($N4572=1,$O4572=1),"U – needs rule",INDEX(MxBody,MATCH($I4572,MxCurr,0),MATCH($H4572,MxStart,0)))))))</f>
        <v/>
      </c>
      <c r="L4572" s="62" t="str">
        <f aca="false">IF(COUNTA($A4572,$F4572,$G4572,$H4572,$I4572,$J4572)=0,"",IF($M4572=0,"✖ كود الصف غير موجود",IF(ISNA(MATCH($F4572,Lists!$A$2:$A$5,0)),"✖ الفترة غير صحيحة",IF(ISNA(MATCH($G4572,Lists!$B$2:$B$7,0)),"✖ المجموعة غير صحيحة",IF(NOT(OR($H4572="",$N4572&gt;0)),"✖ Start غير صحيح",IF(NOT(OR($I4572="",$I4572="NR",$O4572&gt;0)),"✖ Current غير صحيح",IF(NOT(IF(ISNUMBER($J4572),AND($J4572&gt;=0,$J4572=INT($J4572)),FALSE())),"✖ العدد يجب أن يكون صحيحًا ≥ 0",IF(AND($F4572="Baseline",$H4572&lt;&gt;""),"⚠ Baseline: Start لا يدخل في التقدم",IF($K4572="No Start (attainment only)","ℹ تحصيل فقط (بدون Start)",IF($K4572="U – needs rule","ℹ حالة U تحتاج قاعدة معتمدة",IF($K4572="No result","ℹ بدون نتيجة (يُستبعد من التحصيل)","OK")))))))))))</f>
        <v/>
      </c>
      <c r="M4572" s="64" t="n">
        <f aca="false">IF($A4572="",0,IFERROR(MATCH($A4572,Classes!$A$6:$A$420,0),0))</f>
        <v>0</v>
      </c>
      <c r="N4572" s="64" t="n">
        <f aca="false">IF($H4572="",0,IFERROR(MATCH($H4572,GradeList,0),0))</f>
        <v>0</v>
      </c>
      <c r="O4572" s="64" t="n">
        <f aca="false">IF(OR($I4572="",$I4572="NR"),0,IFERROR(MATCH($I4572,GradeList,0),0))</f>
        <v>0</v>
      </c>
      <c r="P4572" s="64" t="n">
        <f aca="false">IF(AND($M4572&gt;0,ISNUMBER(MATCH($F4572,Lists!$A$2:$A$5,0)),ISNUMBER(MATCH($G4572,Lists!$B$2:$B$7,0)),OR($H4572="",$N4572&gt;0),OR($I4572="",$I4572="NR",$O4572&gt;0),IF(ISNUMBER($J4572),AND($J4572&gt;=0,$J4572=INT($J4572)),FALSE())),$J4572,0)</f>
        <v>0</v>
      </c>
      <c r="Q4572" s="64" t="n">
        <f aca="false">IF(AND($P4572&gt;0,$O4572&gt;0),$P4572,0)</f>
        <v>0</v>
      </c>
      <c r="R4572" s="64" t="n">
        <f aca="false">IF(AND($Q4572&gt;0,$O4572&gt;=AtRank),$Q4572,0)</f>
        <v>0</v>
      </c>
      <c r="S4572" s="64" t="n">
        <f aca="false">IF(AND($Q4572&gt;0,$O4572&gt;=AboveRank),$Q4572,0)</f>
        <v>0</v>
      </c>
      <c r="T4572" s="64" t="n">
        <f aca="false">IF($K4572="Less",$P4572,0)</f>
        <v>0</v>
      </c>
      <c r="U4572" s="64" t="n">
        <f aca="false">IF($K4572="Expected",$P4572,0)</f>
        <v>0</v>
      </c>
      <c r="V4572" s="64" t="n">
        <f aca="false">IF($K4572="Better",$P4572,0)</f>
        <v>0</v>
      </c>
      <c r="W4572" s="64" t="n">
        <f aca="false">IF($K4572="U – needs rule",$P4572,0)</f>
        <v>0</v>
      </c>
      <c r="X4572" s="64" t="n">
        <f aca="false">IF($K4572="No Start (attainment only)",$P4572,0)</f>
        <v>0</v>
      </c>
    </row>
    <row r="4573" customFormat="false" ht="15" hidden="false" customHeight="false" outlineLevel="0" collapsed="false">
      <c r="A4573" s="60"/>
      <c r="B4573" s="61" t="str">
        <f aca="false">IF($M4573=0,"",INDEX(Classes!$E$6:$E$420,$M4573))</f>
        <v/>
      </c>
      <c r="C4573" s="62" t="str">
        <f aca="false">IF($M4573=0,"",INDEX(Classes!$H$6:$H$420,$M4573))</f>
        <v/>
      </c>
      <c r="D4573" s="61" t="str">
        <f aca="false">IF($M4573=0,"",INDEX(Classes!$B$6:$B$420,$M4573))</f>
        <v/>
      </c>
      <c r="E4573" s="61" t="str">
        <f aca="false">IF($M4573=0,"",INDEX(Classes!$C$6:$C$420,$M4573))</f>
        <v/>
      </c>
      <c r="F4573" s="63"/>
      <c r="G4573" s="63"/>
      <c r="H4573" s="60"/>
      <c r="I4573" s="60"/>
      <c r="J4573" s="63"/>
      <c r="K4573" s="61" t="str">
        <f aca="false">IF($P4573=0,"",IF($F4573="Baseline","— Baseline",IF($O4573=0,"No result",IF($N4573=0,"No Start (attainment only)",IF(OR($N4573=1,$O4573=1),"U – needs rule",INDEX(MxBody,MATCH($I4573,MxCurr,0),MATCH($H4573,MxStart,0)))))))</f>
        <v/>
      </c>
      <c r="L4573" s="62" t="str">
        <f aca="false">IF(COUNTA($A4573,$F4573,$G4573,$H4573,$I4573,$J4573)=0,"",IF($M4573=0,"✖ كود الصف غير موجود",IF(ISNA(MATCH($F4573,Lists!$A$2:$A$5,0)),"✖ الفترة غير صحيحة",IF(ISNA(MATCH($G4573,Lists!$B$2:$B$7,0)),"✖ المجموعة غير صحيحة",IF(NOT(OR($H4573="",$N4573&gt;0)),"✖ Start غير صحيح",IF(NOT(OR($I4573="",$I4573="NR",$O4573&gt;0)),"✖ Current غير صحيح",IF(NOT(IF(ISNUMBER($J4573),AND($J4573&gt;=0,$J4573=INT($J4573)),FALSE())),"✖ العدد يجب أن يكون صحيحًا ≥ 0",IF(AND($F4573="Baseline",$H4573&lt;&gt;""),"⚠ Baseline: Start لا يدخل في التقدم",IF($K4573="No Start (attainment only)","ℹ تحصيل فقط (بدون Start)",IF($K4573="U – needs rule","ℹ حالة U تحتاج قاعدة معتمدة",IF($K4573="No result","ℹ بدون نتيجة (يُستبعد من التحصيل)","OK")))))))))))</f>
        <v/>
      </c>
      <c r="M4573" s="64" t="n">
        <f aca="false">IF($A4573="",0,IFERROR(MATCH($A4573,Classes!$A$6:$A$420,0),0))</f>
        <v>0</v>
      </c>
      <c r="N4573" s="64" t="n">
        <f aca="false">IF($H4573="",0,IFERROR(MATCH($H4573,GradeList,0),0))</f>
        <v>0</v>
      </c>
      <c r="O4573" s="64" t="n">
        <f aca="false">IF(OR($I4573="",$I4573="NR"),0,IFERROR(MATCH($I4573,GradeList,0),0))</f>
        <v>0</v>
      </c>
      <c r="P4573" s="64" t="n">
        <f aca="false">IF(AND($M4573&gt;0,ISNUMBER(MATCH($F4573,Lists!$A$2:$A$5,0)),ISNUMBER(MATCH($G4573,Lists!$B$2:$B$7,0)),OR($H4573="",$N4573&gt;0),OR($I4573="",$I4573="NR",$O4573&gt;0),IF(ISNUMBER($J4573),AND($J4573&gt;=0,$J4573=INT($J4573)),FALSE())),$J4573,0)</f>
        <v>0</v>
      </c>
      <c r="Q4573" s="64" t="n">
        <f aca="false">IF(AND($P4573&gt;0,$O4573&gt;0),$P4573,0)</f>
        <v>0</v>
      </c>
      <c r="R4573" s="64" t="n">
        <f aca="false">IF(AND($Q4573&gt;0,$O4573&gt;=AtRank),$Q4573,0)</f>
        <v>0</v>
      </c>
      <c r="S4573" s="64" t="n">
        <f aca="false">IF(AND($Q4573&gt;0,$O4573&gt;=AboveRank),$Q4573,0)</f>
        <v>0</v>
      </c>
      <c r="T4573" s="64" t="n">
        <f aca="false">IF($K4573="Less",$P4573,0)</f>
        <v>0</v>
      </c>
      <c r="U4573" s="64" t="n">
        <f aca="false">IF($K4573="Expected",$P4573,0)</f>
        <v>0</v>
      </c>
      <c r="V4573" s="64" t="n">
        <f aca="false">IF($K4573="Better",$P4573,0)</f>
        <v>0</v>
      </c>
      <c r="W4573" s="64" t="n">
        <f aca="false">IF($K4573="U – needs rule",$P4573,0)</f>
        <v>0</v>
      </c>
      <c r="X4573" s="64" t="n">
        <f aca="false">IF($K4573="No Start (attainment only)",$P4573,0)</f>
        <v>0</v>
      </c>
    </row>
    <row r="4574" customFormat="false" ht="15" hidden="false" customHeight="false" outlineLevel="0" collapsed="false">
      <c r="A4574" s="60"/>
      <c r="B4574" s="61" t="str">
        <f aca="false">IF($M4574=0,"",INDEX(Classes!$E$6:$E$420,$M4574))</f>
        <v/>
      </c>
      <c r="C4574" s="62" t="str">
        <f aca="false">IF($M4574=0,"",INDEX(Classes!$H$6:$H$420,$M4574))</f>
        <v/>
      </c>
      <c r="D4574" s="61" t="str">
        <f aca="false">IF($M4574=0,"",INDEX(Classes!$B$6:$B$420,$M4574))</f>
        <v/>
      </c>
      <c r="E4574" s="61" t="str">
        <f aca="false">IF($M4574=0,"",INDEX(Classes!$C$6:$C$420,$M4574))</f>
        <v/>
      </c>
      <c r="F4574" s="63"/>
      <c r="G4574" s="63"/>
      <c r="H4574" s="60"/>
      <c r="I4574" s="60"/>
      <c r="J4574" s="63"/>
      <c r="K4574" s="61" t="str">
        <f aca="false">IF($P4574=0,"",IF($F4574="Baseline","— Baseline",IF($O4574=0,"No result",IF($N4574=0,"No Start (attainment only)",IF(OR($N4574=1,$O4574=1),"U – needs rule",INDEX(MxBody,MATCH($I4574,MxCurr,0),MATCH($H4574,MxStart,0)))))))</f>
        <v/>
      </c>
      <c r="L4574" s="62" t="str">
        <f aca="false">IF(COUNTA($A4574,$F4574,$G4574,$H4574,$I4574,$J4574)=0,"",IF($M4574=0,"✖ كود الصف غير موجود",IF(ISNA(MATCH($F4574,Lists!$A$2:$A$5,0)),"✖ الفترة غير صحيحة",IF(ISNA(MATCH($G4574,Lists!$B$2:$B$7,0)),"✖ المجموعة غير صحيحة",IF(NOT(OR($H4574="",$N4574&gt;0)),"✖ Start غير صحيح",IF(NOT(OR($I4574="",$I4574="NR",$O4574&gt;0)),"✖ Current غير صحيح",IF(NOT(IF(ISNUMBER($J4574),AND($J4574&gt;=0,$J4574=INT($J4574)),FALSE())),"✖ العدد يجب أن يكون صحيحًا ≥ 0",IF(AND($F4574="Baseline",$H4574&lt;&gt;""),"⚠ Baseline: Start لا يدخل في التقدم",IF($K4574="No Start (attainment only)","ℹ تحصيل فقط (بدون Start)",IF($K4574="U – needs rule","ℹ حالة U تحتاج قاعدة معتمدة",IF($K4574="No result","ℹ بدون نتيجة (يُستبعد من التحصيل)","OK")))))))))))</f>
        <v/>
      </c>
      <c r="M4574" s="64" t="n">
        <f aca="false">IF($A4574="",0,IFERROR(MATCH($A4574,Classes!$A$6:$A$420,0),0))</f>
        <v>0</v>
      </c>
      <c r="N4574" s="64" t="n">
        <f aca="false">IF($H4574="",0,IFERROR(MATCH($H4574,GradeList,0),0))</f>
        <v>0</v>
      </c>
      <c r="O4574" s="64" t="n">
        <f aca="false">IF(OR($I4574="",$I4574="NR"),0,IFERROR(MATCH($I4574,GradeList,0),0))</f>
        <v>0</v>
      </c>
      <c r="P4574" s="64" t="n">
        <f aca="false">IF(AND($M4574&gt;0,ISNUMBER(MATCH($F4574,Lists!$A$2:$A$5,0)),ISNUMBER(MATCH($G4574,Lists!$B$2:$B$7,0)),OR($H4574="",$N4574&gt;0),OR($I4574="",$I4574="NR",$O4574&gt;0),IF(ISNUMBER($J4574),AND($J4574&gt;=0,$J4574=INT($J4574)),FALSE())),$J4574,0)</f>
        <v>0</v>
      </c>
      <c r="Q4574" s="64" t="n">
        <f aca="false">IF(AND($P4574&gt;0,$O4574&gt;0),$P4574,0)</f>
        <v>0</v>
      </c>
      <c r="R4574" s="64" t="n">
        <f aca="false">IF(AND($Q4574&gt;0,$O4574&gt;=AtRank),$Q4574,0)</f>
        <v>0</v>
      </c>
      <c r="S4574" s="64" t="n">
        <f aca="false">IF(AND($Q4574&gt;0,$O4574&gt;=AboveRank),$Q4574,0)</f>
        <v>0</v>
      </c>
      <c r="T4574" s="64" t="n">
        <f aca="false">IF($K4574="Less",$P4574,0)</f>
        <v>0</v>
      </c>
      <c r="U4574" s="64" t="n">
        <f aca="false">IF($K4574="Expected",$P4574,0)</f>
        <v>0</v>
      </c>
      <c r="V4574" s="64" t="n">
        <f aca="false">IF($K4574="Better",$P4574,0)</f>
        <v>0</v>
      </c>
      <c r="W4574" s="64" t="n">
        <f aca="false">IF($K4574="U – needs rule",$P4574,0)</f>
        <v>0</v>
      </c>
      <c r="X4574" s="64" t="n">
        <f aca="false">IF($K4574="No Start (attainment only)",$P4574,0)</f>
        <v>0</v>
      </c>
    </row>
    <row r="4575" customFormat="false" ht="15" hidden="false" customHeight="false" outlineLevel="0" collapsed="false">
      <c r="A4575" s="60"/>
      <c r="B4575" s="61" t="str">
        <f aca="false">IF($M4575=0,"",INDEX(Classes!$E$6:$E$420,$M4575))</f>
        <v/>
      </c>
      <c r="C4575" s="62" t="str">
        <f aca="false">IF($M4575=0,"",INDEX(Classes!$H$6:$H$420,$M4575))</f>
        <v/>
      </c>
      <c r="D4575" s="61" t="str">
        <f aca="false">IF($M4575=0,"",INDEX(Classes!$B$6:$B$420,$M4575))</f>
        <v/>
      </c>
      <c r="E4575" s="61" t="str">
        <f aca="false">IF($M4575=0,"",INDEX(Classes!$C$6:$C$420,$M4575))</f>
        <v/>
      </c>
      <c r="F4575" s="63"/>
      <c r="G4575" s="63"/>
      <c r="H4575" s="60"/>
      <c r="I4575" s="60"/>
      <c r="J4575" s="63"/>
      <c r="K4575" s="61" t="str">
        <f aca="false">IF($P4575=0,"",IF($F4575="Baseline","— Baseline",IF($O4575=0,"No result",IF($N4575=0,"No Start (attainment only)",IF(OR($N4575=1,$O4575=1),"U – needs rule",INDEX(MxBody,MATCH($I4575,MxCurr,0),MATCH($H4575,MxStart,0)))))))</f>
        <v/>
      </c>
      <c r="L4575" s="62" t="str">
        <f aca="false">IF(COUNTA($A4575,$F4575,$G4575,$H4575,$I4575,$J4575)=0,"",IF($M4575=0,"✖ كود الصف غير موجود",IF(ISNA(MATCH($F4575,Lists!$A$2:$A$5,0)),"✖ الفترة غير صحيحة",IF(ISNA(MATCH($G4575,Lists!$B$2:$B$7,0)),"✖ المجموعة غير صحيحة",IF(NOT(OR($H4575="",$N4575&gt;0)),"✖ Start غير صحيح",IF(NOT(OR($I4575="",$I4575="NR",$O4575&gt;0)),"✖ Current غير صحيح",IF(NOT(IF(ISNUMBER($J4575),AND($J4575&gt;=0,$J4575=INT($J4575)),FALSE())),"✖ العدد يجب أن يكون صحيحًا ≥ 0",IF(AND($F4575="Baseline",$H4575&lt;&gt;""),"⚠ Baseline: Start لا يدخل في التقدم",IF($K4575="No Start (attainment only)","ℹ تحصيل فقط (بدون Start)",IF($K4575="U – needs rule","ℹ حالة U تحتاج قاعدة معتمدة",IF($K4575="No result","ℹ بدون نتيجة (يُستبعد من التحصيل)","OK")))))))))))</f>
        <v/>
      </c>
      <c r="M4575" s="64" t="n">
        <f aca="false">IF($A4575="",0,IFERROR(MATCH($A4575,Classes!$A$6:$A$420,0),0))</f>
        <v>0</v>
      </c>
      <c r="N4575" s="64" t="n">
        <f aca="false">IF($H4575="",0,IFERROR(MATCH($H4575,GradeList,0),0))</f>
        <v>0</v>
      </c>
      <c r="O4575" s="64" t="n">
        <f aca="false">IF(OR($I4575="",$I4575="NR"),0,IFERROR(MATCH($I4575,GradeList,0),0))</f>
        <v>0</v>
      </c>
      <c r="P4575" s="64" t="n">
        <f aca="false">IF(AND($M4575&gt;0,ISNUMBER(MATCH($F4575,Lists!$A$2:$A$5,0)),ISNUMBER(MATCH($G4575,Lists!$B$2:$B$7,0)),OR($H4575="",$N4575&gt;0),OR($I4575="",$I4575="NR",$O4575&gt;0),IF(ISNUMBER($J4575),AND($J4575&gt;=0,$J4575=INT($J4575)),FALSE())),$J4575,0)</f>
        <v>0</v>
      </c>
      <c r="Q4575" s="64" t="n">
        <f aca="false">IF(AND($P4575&gt;0,$O4575&gt;0),$P4575,0)</f>
        <v>0</v>
      </c>
      <c r="R4575" s="64" t="n">
        <f aca="false">IF(AND($Q4575&gt;0,$O4575&gt;=AtRank),$Q4575,0)</f>
        <v>0</v>
      </c>
      <c r="S4575" s="64" t="n">
        <f aca="false">IF(AND($Q4575&gt;0,$O4575&gt;=AboveRank),$Q4575,0)</f>
        <v>0</v>
      </c>
      <c r="T4575" s="64" t="n">
        <f aca="false">IF($K4575="Less",$P4575,0)</f>
        <v>0</v>
      </c>
      <c r="U4575" s="64" t="n">
        <f aca="false">IF($K4575="Expected",$P4575,0)</f>
        <v>0</v>
      </c>
      <c r="V4575" s="64" t="n">
        <f aca="false">IF($K4575="Better",$P4575,0)</f>
        <v>0</v>
      </c>
      <c r="W4575" s="64" t="n">
        <f aca="false">IF($K4575="U – needs rule",$P4575,0)</f>
        <v>0</v>
      </c>
      <c r="X4575" s="64" t="n">
        <f aca="false">IF($K4575="No Start (attainment only)",$P4575,0)</f>
        <v>0</v>
      </c>
    </row>
    <row r="4576" customFormat="false" ht="15" hidden="false" customHeight="false" outlineLevel="0" collapsed="false">
      <c r="A4576" s="60"/>
      <c r="B4576" s="61" t="str">
        <f aca="false">IF($M4576=0,"",INDEX(Classes!$E$6:$E$420,$M4576))</f>
        <v/>
      </c>
      <c r="C4576" s="62" t="str">
        <f aca="false">IF($M4576=0,"",INDEX(Classes!$H$6:$H$420,$M4576))</f>
        <v/>
      </c>
      <c r="D4576" s="61" t="str">
        <f aca="false">IF($M4576=0,"",INDEX(Classes!$B$6:$B$420,$M4576))</f>
        <v/>
      </c>
      <c r="E4576" s="61" t="str">
        <f aca="false">IF($M4576=0,"",INDEX(Classes!$C$6:$C$420,$M4576))</f>
        <v/>
      </c>
      <c r="F4576" s="63"/>
      <c r="G4576" s="63"/>
      <c r="H4576" s="60"/>
      <c r="I4576" s="60"/>
      <c r="J4576" s="63"/>
      <c r="K4576" s="61" t="str">
        <f aca="false">IF($P4576=0,"",IF($F4576="Baseline","— Baseline",IF($O4576=0,"No result",IF($N4576=0,"No Start (attainment only)",IF(OR($N4576=1,$O4576=1),"U – needs rule",INDEX(MxBody,MATCH($I4576,MxCurr,0),MATCH($H4576,MxStart,0)))))))</f>
        <v/>
      </c>
      <c r="L4576" s="62" t="str">
        <f aca="false">IF(COUNTA($A4576,$F4576,$G4576,$H4576,$I4576,$J4576)=0,"",IF($M4576=0,"✖ كود الصف غير موجود",IF(ISNA(MATCH($F4576,Lists!$A$2:$A$5,0)),"✖ الفترة غير صحيحة",IF(ISNA(MATCH($G4576,Lists!$B$2:$B$7,0)),"✖ المجموعة غير صحيحة",IF(NOT(OR($H4576="",$N4576&gt;0)),"✖ Start غير صحيح",IF(NOT(OR($I4576="",$I4576="NR",$O4576&gt;0)),"✖ Current غير صحيح",IF(NOT(IF(ISNUMBER($J4576),AND($J4576&gt;=0,$J4576=INT($J4576)),FALSE())),"✖ العدد يجب أن يكون صحيحًا ≥ 0",IF(AND($F4576="Baseline",$H4576&lt;&gt;""),"⚠ Baseline: Start لا يدخل في التقدم",IF($K4576="No Start (attainment only)","ℹ تحصيل فقط (بدون Start)",IF($K4576="U – needs rule","ℹ حالة U تحتاج قاعدة معتمدة",IF($K4576="No result","ℹ بدون نتيجة (يُستبعد من التحصيل)","OK")))))))))))</f>
        <v/>
      </c>
      <c r="M4576" s="64" t="n">
        <f aca="false">IF($A4576="",0,IFERROR(MATCH($A4576,Classes!$A$6:$A$420,0),0))</f>
        <v>0</v>
      </c>
      <c r="N4576" s="64" t="n">
        <f aca="false">IF($H4576="",0,IFERROR(MATCH($H4576,GradeList,0),0))</f>
        <v>0</v>
      </c>
      <c r="O4576" s="64" t="n">
        <f aca="false">IF(OR($I4576="",$I4576="NR"),0,IFERROR(MATCH($I4576,GradeList,0),0))</f>
        <v>0</v>
      </c>
      <c r="P4576" s="64" t="n">
        <f aca="false">IF(AND($M4576&gt;0,ISNUMBER(MATCH($F4576,Lists!$A$2:$A$5,0)),ISNUMBER(MATCH($G4576,Lists!$B$2:$B$7,0)),OR($H4576="",$N4576&gt;0),OR($I4576="",$I4576="NR",$O4576&gt;0),IF(ISNUMBER($J4576),AND($J4576&gt;=0,$J4576=INT($J4576)),FALSE())),$J4576,0)</f>
        <v>0</v>
      </c>
      <c r="Q4576" s="64" t="n">
        <f aca="false">IF(AND($P4576&gt;0,$O4576&gt;0),$P4576,0)</f>
        <v>0</v>
      </c>
      <c r="R4576" s="64" t="n">
        <f aca="false">IF(AND($Q4576&gt;0,$O4576&gt;=AtRank),$Q4576,0)</f>
        <v>0</v>
      </c>
      <c r="S4576" s="64" t="n">
        <f aca="false">IF(AND($Q4576&gt;0,$O4576&gt;=AboveRank),$Q4576,0)</f>
        <v>0</v>
      </c>
      <c r="T4576" s="64" t="n">
        <f aca="false">IF($K4576="Less",$P4576,0)</f>
        <v>0</v>
      </c>
      <c r="U4576" s="64" t="n">
        <f aca="false">IF($K4576="Expected",$P4576,0)</f>
        <v>0</v>
      </c>
      <c r="V4576" s="64" t="n">
        <f aca="false">IF($K4576="Better",$P4576,0)</f>
        <v>0</v>
      </c>
      <c r="W4576" s="64" t="n">
        <f aca="false">IF($K4576="U – needs rule",$P4576,0)</f>
        <v>0</v>
      </c>
      <c r="X4576" s="64" t="n">
        <f aca="false">IF($K4576="No Start (attainment only)",$P4576,0)</f>
        <v>0</v>
      </c>
    </row>
    <row r="4577" customFormat="false" ht="15" hidden="false" customHeight="false" outlineLevel="0" collapsed="false">
      <c r="A4577" s="60"/>
      <c r="B4577" s="61" t="str">
        <f aca="false">IF($M4577=0,"",INDEX(Classes!$E$6:$E$420,$M4577))</f>
        <v/>
      </c>
      <c r="C4577" s="62" t="str">
        <f aca="false">IF($M4577=0,"",INDEX(Classes!$H$6:$H$420,$M4577))</f>
        <v/>
      </c>
      <c r="D4577" s="61" t="str">
        <f aca="false">IF($M4577=0,"",INDEX(Classes!$B$6:$B$420,$M4577))</f>
        <v/>
      </c>
      <c r="E4577" s="61" t="str">
        <f aca="false">IF($M4577=0,"",INDEX(Classes!$C$6:$C$420,$M4577))</f>
        <v/>
      </c>
      <c r="F4577" s="63"/>
      <c r="G4577" s="63"/>
      <c r="H4577" s="60"/>
      <c r="I4577" s="60"/>
      <c r="J4577" s="63"/>
      <c r="K4577" s="61" t="str">
        <f aca="false">IF($P4577=0,"",IF($F4577="Baseline","— Baseline",IF($O4577=0,"No result",IF($N4577=0,"No Start (attainment only)",IF(OR($N4577=1,$O4577=1),"U – needs rule",INDEX(MxBody,MATCH($I4577,MxCurr,0),MATCH($H4577,MxStart,0)))))))</f>
        <v/>
      </c>
      <c r="L4577" s="62" t="str">
        <f aca="false">IF(COUNTA($A4577,$F4577,$G4577,$H4577,$I4577,$J4577)=0,"",IF($M4577=0,"✖ كود الصف غير موجود",IF(ISNA(MATCH($F4577,Lists!$A$2:$A$5,0)),"✖ الفترة غير صحيحة",IF(ISNA(MATCH($G4577,Lists!$B$2:$B$7,0)),"✖ المجموعة غير صحيحة",IF(NOT(OR($H4577="",$N4577&gt;0)),"✖ Start غير صحيح",IF(NOT(OR($I4577="",$I4577="NR",$O4577&gt;0)),"✖ Current غير صحيح",IF(NOT(IF(ISNUMBER($J4577),AND($J4577&gt;=0,$J4577=INT($J4577)),FALSE())),"✖ العدد يجب أن يكون صحيحًا ≥ 0",IF(AND($F4577="Baseline",$H4577&lt;&gt;""),"⚠ Baseline: Start لا يدخل في التقدم",IF($K4577="No Start (attainment only)","ℹ تحصيل فقط (بدون Start)",IF($K4577="U – needs rule","ℹ حالة U تحتاج قاعدة معتمدة",IF($K4577="No result","ℹ بدون نتيجة (يُستبعد من التحصيل)","OK")))))))))))</f>
        <v/>
      </c>
      <c r="M4577" s="64" t="n">
        <f aca="false">IF($A4577="",0,IFERROR(MATCH($A4577,Classes!$A$6:$A$420,0),0))</f>
        <v>0</v>
      </c>
      <c r="N4577" s="64" t="n">
        <f aca="false">IF($H4577="",0,IFERROR(MATCH($H4577,GradeList,0),0))</f>
        <v>0</v>
      </c>
      <c r="O4577" s="64" t="n">
        <f aca="false">IF(OR($I4577="",$I4577="NR"),0,IFERROR(MATCH($I4577,GradeList,0),0))</f>
        <v>0</v>
      </c>
      <c r="P4577" s="64" t="n">
        <f aca="false">IF(AND($M4577&gt;0,ISNUMBER(MATCH($F4577,Lists!$A$2:$A$5,0)),ISNUMBER(MATCH($G4577,Lists!$B$2:$B$7,0)),OR($H4577="",$N4577&gt;0),OR($I4577="",$I4577="NR",$O4577&gt;0),IF(ISNUMBER($J4577),AND($J4577&gt;=0,$J4577=INT($J4577)),FALSE())),$J4577,0)</f>
        <v>0</v>
      </c>
      <c r="Q4577" s="64" t="n">
        <f aca="false">IF(AND($P4577&gt;0,$O4577&gt;0),$P4577,0)</f>
        <v>0</v>
      </c>
      <c r="R4577" s="64" t="n">
        <f aca="false">IF(AND($Q4577&gt;0,$O4577&gt;=AtRank),$Q4577,0)</f>
        <v>0</v>
      </c>
      <c r="S4577" s="64" t="n">
        <f aca="false">IF(AND($Q4577&gt;0,$O4577&gt;=AboveRank),$Q4577,0)</f>
        <v>0</v>
      </c>
      <c r="T4577" s="64" t="n">
        <f aca="false">IF($K4577="Less",$P4577,0)</f>
        <v>0</v>
      </c>
      <c r="U4577" s="64" t="n">
        <f aca="false">IF($K4577="Expected",$P4577,0)</f>
        <v>0</v>
      </c>
      <c r="V4577" s="64" t="n">
        <f aca="false">IF($K4577="Better",$P4577,0)</f>
        <v>0</v>
      </c>
      <c r="W4577" s="64" t="n">
        <f aca="false">IF($K4577="U – needs rule",$P4577,0)</f>
        <v>0</v>
      </c>
      <c r="X4577" s="64" t="n">
        <f aca="false">IF($K4577="No Start (attainment only)",$P4577,0)</f>
        <v>0</v>
      </c>
    </row>
    <row r="4578" customFormat="false" ht="15" hidden="false" customHeight="false" outlineLevel="0" collapsed="false">
      <c r="A4578" s="60"/>
      <c r="B4578" s="61" t="str">
        <f aca="false">IF($M4578=0,"",INDEX(Classes!$E$6:$E$420,$M4578))</f>
        <v/>
      </c>
      <c r="C4578" s="62" t="str">
        <f aca="false">IF($M4578=0,"",INDEX(Classes!$H$6:$H$420,$M4578))</f>
        <v/>
      </c>
      <c r="D4578" s="61" t="str">
        <f aca="false">IF($M4578=0,"",INDEX(Classes!$B$6:$B$420,$M4578))</f>
        <v/>
      </c>
      <c r="E4578" s="61" t="str">
        <f aca="false">IF($M4578=0,"",INDEX(Classes!$C$6:$C$420,$M4578))</f>
        <v/>
      </c>
      <c r="F4578" s="63"/>
      <c r="G4578" s="63"/>
      <c r="H4578" s="60"/>
      <c r="I4578" s="60"/>
      <c r="J4578" s="63"/>
      <c r="K4578" s="61" t="str">
        <f aca="false">IF($P4578=0,"",IF($F4578="Baseline","— Baseline",IF($O4578=0,"No result",IF($N4578=0,"No Start (attainment only)",IF(OR($N4578=1,$O4578=1),"U – needs rule",INDEX(MxBody,MATCH($I4578,MxCurr,0),MATCH($H4578,MxStart,0)))))))</f>
        <v/>
      </c>
      <c r="L4578" s="62" t="str">
        <f aca="false">IF(COUNTA($A4578,$F4578,$G4578,$H4578,$I4578,$J4578)=0,"",IF($M4578=0,"✖ كود الصف غير موجود",IF(ISNA(MATCH($F4578,Lists!$A$2:$A$5,0)),"✖ الفترة غير صحيحة",IF(ISNA(MATCH($G4578,Lists!$B$2:$B$7,0)),"✖ المجموعة غير صحيحة",IF(NOT(OR($H4578="",$N4578&gt;0)),"✖ Start غير صحيح",IF(NOT(OR($I4578="",$I4578="NR",$O4578&gt;0)),"✖ Current غير صحيح",IF(NOT(IF(ISNUMBER($J4578),AND($J4578&gt;=0,$J4578=INT($J4578)),FALSE())),"✖ العدد يجب أن يكون صحيحًا ≥ 0",IF(AND($F4578="Baseline",$H4578&lt;&gt;""),"⚠ Baseline: Start لا يدخل في التقدم",IF($K4578="No Start (attainment only)","ℹ تحصيل فقط (بدون Start)",IF($K4578="U – needs rule","ℹ حالة U تحتاج قاعدة معتمدة",IF($K4578="No result","ℹ بدون نتيجة (يُستبعد من التحصيل)","OK")))))))))))</f>
        <v/>
      </c>
      <c r="M4578" s="64" t="n">
        <f aca="false">IF($A4578="",0,IFERROR(MATCH($A4578,Classes!$A$6:$A$420,0),0))</f>
        <v>0</v>
      </c>
      <c r="N4578" s="64" t="n">
        <f aca="false">IF($H4578="",0,IFERROR(MATCH($H4578,GradeList,0),0))</f>
        <v>0</v>
      </c>
      <c r="O4578" s="64" t="n">
        <f aca="false">IF(OR($I4578="",$I4578="NR"),0,IFERROR(MATCH($I4578,GradeList,0),0))</f>
        <v>0</v>
      </c>
      <c r="P4578" s="64" t="n">
        <f aca="false">IF(AND($M4578&gt;0,ISNUMBER(MATCH($F4578,Lists!$A$2:$A$5,0)),ISNUMBER(MATCH($G4578,Lists!$B$2:$B$7,0)),OR($H4578="",$N4578&gt;0),OR($I4578="",$I4578="NR",$O4578&gt;0),IF(ISNUMBER($J4578),AND($J4578&gt;=0,$J4578=INT($J4578)),FALSE())),$J4578,0)</f>
        <v>0</v>
      </c>
      <c r="Q4578" s="64" t="n">
        <f aca="false">IF(AND($P4578&gt;0,$O4578&gt;0),$P4578,0)</f>
        <v>0</v>
      </c>
      <c r="R4578" s="64" t="n">
        <f aca="false">IF(AND($Q4578&gt;0,$O4578&gt;=AtRank),$Q4578,0)</f>
        <v>0</v>
      </c>
      <c r="S4578" s="64" t="n">
        <f aca="false">IF(AND($Q4578&gt;0,$O4578&gt;=AboveRank),$Q4578,0)</f>
        <v>0</v>
      </c>
      <c r="T4578" s="64" t="n">
        <f aca="false">IF($K4578="Less",$P4578,0)</f>
        <v>0</v>
      </c>
      <c r="U4578" s="64" t="n">
        <f aca="false">IF($K4578="Expected",$P4578,0)</f>
        <v>0</v>
      </c>
      <c r="V4578" s="64" t="n">
        <f aca="false">IF($K4578="Better",$P4578,0)</f>
        <v>0</v>
      </c>
      <c r="W4578" s="64" t="n">
        <f aca="false">IF($K4578="U – needs rule",$P4578,0)</f>
        <v>0</v>
      </c>
      <c r="X4578" s="64" t="n">
        <f aca="false">IF($K4578="No Start (attainment only)",$P4578,0)</f>
        <v>0</v>
      </c>
    </row>
    <row r="4579" customFormat="false" ht="15" hidden="false" customHeight="false" outlineLevel="0" collapsed="false">
      <c r="A4579" s="60"/>
      <c r="B4579" s="61" t="str">
        <f aca="false">IF($M4579=0,"",INDEX(Classes!$E$6:$E$420,$M4579))</f>
        <v/>
      </c>
      <c r="C4579" s="62" t="str">
        <f aca="false">IF($M4579=0,"",INDEX(Classes!$H$6:$H$420,$M4579))</f>
        <v/>
      </c>
      <c r="D4579" s="61" t="str">
        <f aca="false">IF($M4579=0,"",INDEX(Classes!$B$6:$B$420,$M4579))</f>
        <v/>
      </c>
      <c r="E4579" s="61" t="str">
        <f aca="false">IF($M4579=0,"",INDEX(Classes!$C$6:$C$420,$M4579))</f>
        <v/>
      </c>
      <c r="F4579" s="63"/>
      <c r="G4579" s="63"/>
      <c r="H4579" s="60"/>
      <c r="I4579" s="60"/>
      <c r="J4579" s="63"/>
      <c r="K4579" s="61" t="str">
        <f aca="false">IF($P4579=0,"",IF($F4579="Baseline","— Baseline",IF($O4579=0,"No result",IF($N4579=0,"No Start (attainment only)",IF(OR($N4579=1,$O4579=1),"U – needs rule",INDEX(MxBody,MATCH($I4579,MxCurr,0),MATCH($H4579,MxStart,0)))))))</f>
        <v/>
      </c>
      <c r="L4579" s="62" t="str">
        <f aca="false">IF(COUNTA($A4579,$F4579,$G4579,$H4579,$I4579,$J4579)=0,"",IF($M4579=0,"✖ كود الصف غير موجود",IF(ISNA(MATCH($F4579,Lists!$A$2:$A$5,0)),"✖ الفترة غير صحيحة",IF(ISNA(MATCH($G4579,Lists!$B$2:$B$7,0)),"✖ المجموعة غير صحيحة",IF(NOT(OR($H4579="",$N4579&gt;0)),"✖ Start غير صحيح",IF(NOT(OR($I4579="",$I4579="NR",$O4579&gt;0)),"✖ Current غير صحيح",IF(NOT(IF(ISNUMBER($J4579),AND($J4579&gt;=0,$J4579=INT($J4579)),FALSE())),"✖ العدد يجب أن يكون صحيحًا ≥ 0",IF(AND($F4579="Baseline",$H4579&lt;&gt;""),"⚠ Baseline: Start لا يدخل في التقدم",IF($K4579="No Start (attainment only)","ℹ تحصيل فقط (بدون Start)",IF($K4579="U – needs rule","ℹ حالة U تحتاج قاعدة معتمدة",IF($K4579="No result","ℹ بدون نتيجة (يُستبعد من التحصيل)","OK")))))))))))</f>
        <v/>
      </c>
      <c r="M4579" s="64" t="n">
        <f aca="false">IF($A4579="",0,IFERROR(MATCH($A4579,Classes!$A$6:$A$420,0),0))</f>
        <v>0</v>
      </c>
      <c r="N4579" s="64" t="n">
        <f aca="false">IF($H4579="",0,IFERROR(MATCH($H4579,GradeList,0),0))</f>
        <v>0</v>
      </c>
      <c r="O4579" s="64" t="n">
        <f aca="false">IF(OR($I4579="",$I4579="NR"),0,IFERROR(MATCH($I4579,GradeList,0),0))</f>
        <v>0</v>
      </c>
      <c r="P4579" s="64" t="n">
        <f aca="false">IF(AND($M4579&gt;0,ISNUMBER(MATCH($F4579,Lists!$A$2:$A$5,0)),ISNUMBER(MATCH($G4579,Lists!$B$2:$B$7,0)),OR($H4579="",$N4579&gt;0),OR($I4579="",$I4579="NR",$O4579&gt;0),IF(ISNUMBER($J4579),AND($J4579&gt;=0,$J4579=INT($J4579)),FALSE())),$J4579,0)</f>
        <v>0</v>
      </c>
      <c r="Q4579" s="64" t="n">
        <f aca="false">IF(AND($P4579&gt;0,$O4579&gt;0),$P4579,0)</f>
        <v>0</v>
      </c>
      <c r="R4579" s="64" t="n">
        <f aca="false">IF(AND($Q4579&gt;0,$O4579&gt;=AtRank),$Q4579,0)</f>
        <v>0</v>
      </c>
      <c r="S4579" s="64" t="n">
        <f aca="false">IF(AND($Q4579&gt;0,$O4579&gt;=AboveRank),$Q4579,0)</f>
        <v>0</v>
      </c>
      <c r="T4579" s="64" t="n">
        <f aca="false">IF($K4579="Less",$P4579,0)</f>
        <v>0</v>
      </c>
      <c r="U4579" s="64" t="n">
        <f aca="false">IF($K4579="Expected",$P4579,0)</f>
        <v>0</v>
      </c>
      <c r="V4579" s="64" t="n">
        <f aca="false">IF($K4579="Better",$P4579,0)</f>
        <v>0</v>
      </c>
      <c r="W4579" s="64" t="n">
        <f aca="false">IF($K4579="U – needs rule",$P4579,0)</f>
        <v>0</v>
      </c>
      <c r="X4579" s="64" t="n">
        <f aca="false">IF($K4579="No Start (attainment only)",$P4579,0)</f>
        <v>0</v>
      </c>
    </row>
    <row r="4580" customFormat="false" ht="15" hidden="false" customHeight="false" outlineLevel="0" collapsed="false">
      <c r="A4580" s="60"/>
      <c r="B4580" s="61" t="str">
        <f aca="false">IF($M4580=0,"",INDEX(Classes!$E$6:$E$420,$M4580))</f>
        <v/>
      </c>
      <c r="C4580" s="62" t="str">
        <f aca="false">IF($M4580=0,"",INDEX(Classes!$H$6:$H$420,$M4580))</f>
        <v/>
      </c>
      <c r="D4580" s="61" t="str">
        <f aca="false">IF($M4580=0,"",INDEX(Classes!$B$6:$B$420,$M4580))</f>
        <v/>
      </c>
      <c r="E4580" s="61" t="str">
        <f aca="false">IF($M4580=0,"",INDEX(Classes!$C$6:$C$420,$M4580))</f>
        <v/>
      </c>
      <c r="F4580" s="63"/>
      <c r="G4580" s="63"/>
      <c r="H4580" s="60"/>
      <c r="I4580" s="60"/>
      <c r="J4580" s="63"/>
      <c r="K4580" s="61" t="str">
        <f aca="false">IF($P4580=0,"",IF($F4580="Baseline","— Baseline",IF($O4580=0,"No result",IF($N4580=0,"No Start (attainment only)",IF(OR($N4580=1,$O4580=1),"U – needs rule",INDEX(MxBody,MATCH($I4580,MxCurr,0),MATCH($H4580,MxStart,0)))))))</f>
        <v/>
      </c>
      <c r="L4580" s="62" t="str">
        <f aca="false">IF(COUNTA($A4580,$F4580,$G4580,$H4580,$I4580,$J4580)=0,"",IF($M4580=0,"✖ كود الصف غير موجود",IF(ISNA(MATCH($F4580,Lists!$A$2:$A$5,0)),"✖ الفترة غير صحيحة",IF(ISNA(MATCH($G4580,Lists!$B$2:$B$7,0)),"✖ المجموعة غير صحيحة",IF(NOT(OR($H4580="",$N4580&gt;0)),"✖ Start غير صحيح",IF(NOT(OR($I4580="",$I4580="NR",$O4580&gt;0)),"✖ Current غير صحيح",IF(NOT(IF(ISNUMBER($J4580),AND($J4580&gt;=0,$J4580=INT($J4580)),FALSE())),"✖ العدد يجب أن يكون صحيحًا ≥ 0",IF(AND($F4580="Baseline",$H4580&lt;&gt;""),"⚠ Baseline: Start لا يدخل في التقدم",IF($K4580="No Start (attainment only)","ℹ تحصيل فقط (بدون Start)",IF($K4580="U – needs rule","ℹ حالة U تحتاج قاعدة معتمدة",IF($K4580="No result","ℹ بدون نتيجة (يُستبعد من التحصيل)","OK")))))))))))</f>
        <v/>
      </c>
      <c r="M4580" s="64" t="n">
        <f aca="false">IF($A4580="",0,IFERROR(MATCH($A4580,Classes!$A$6:$A$420,0),0))</f>
        <v>0</v>
      </c>
      <c r="N4580" s="64" t="n">
        <f aca="false">IF($H4580="",0,IFERROR(MATCH($H4580,GradeList,0),0))</f>
        <v>0</v>
      </c>
      <c r="O4580" s="64" t="n">
        <f aca="false">IF(OR($I4580="",$I4580="NR"),0,IFERROR(MATCH($I4580,GradeList,0),0))</f>
        <v>0</v>
      </c>
      <c r="P4580" s="64" t="n">
        <f aca="false">IF(AND($M4580&gt;0,ISNUMBER(MATCH($F4580,Lists!$A$2:$A$5,0)),ISNUMBER(MATCH($G4580,Lists!$B$2:$B$7,0)),OR($H4580="",$N4580&gt;0),OR($I4580="",$I4580="NR",$O4580&gt;0),IF(ISNUMBER($J4580),AND($J4580&gt;=0,$J4580=INT($J4580)),FALSE())),$J4580,0)</f>
        <v>0</v>
      </c>
      <c r="Q4580" s="64" t="n">
        <f aca="false">IF(AND($P4580&gt;0,$O4580&gt;0),$P4580,0)</f>
        <v>0</v>
      </c>
      <c r="R4580" s="64" t="n">
        <f aca="false">IF(AND($Q4580&gt;0,$O4580&gt;=AtRank),$Q4580,0)</f>
        <v>0</v>
      </c>
      <c r="S4580" s="64" t="n">
        <f aca="false">IF(AND($Q4580&gt;0,$O4580&gt;=AboveRank),$Q4580,0)</f>
        <v>0</v>
      </c>
      <c r="T4580" s="64" t="n">
        <f aca="false">IF($K4580="Less",$P4580,0)</f>
        <v>0</v>
      </c>
      <c r="U4580" s="64" t="n">
        <f aca="false">IF($K4580="Expected",$P4580,0)</f>
        <v>0</v>
      </c>
      <c r="V4580" s="64" t="n">
        <f aca="false">IF($K4580="Better",$P4580,0)</f>
        <v>0</v>
      </c>
      <c r="W4580" s="64" t="n">
        <f aca="false">IF($K4580="U – needs rule",$P4580,0)</f>
        <v>0</v>
      </c>
      <c r="X4580" s="64" t="n">
        <f aca="false">IF($K4580="No Start (attainment only)",$P4580,0)</f>
        <v>0</v>
      </c>
    </row>
    <row r="4581" customFormat="false" ht="15" hidden="false" customHeight="false" outlineLevel="0" collapsed="false">
      <c r="A4581" s="60"/>
      <c r="B4581" s="61" t="str">
        <f aca="false">IF($M4581=0,"",INDEX(Classes!$E$6:$E$420,$M4581))</f>
        <v/>
      </c>
      <c r="C4581" s="62" t="str">
        <f aca="false">IF($M4581=0,"",INDEX(Classes!$H$6:$H$420,$M4581))</f>
        <v/>
      </c>
      <c r="D4581" s="61" t="str">
        <f aca="false">IF($M4581=0,"",INDEX(Classes!$B$6:$B$420,$M4581))</f>
        <v/>
      </c>
      <c r="E4581" s="61" t="str">
        <f aca="false">IF($M4581=0,"",INDEX(Classes!$C$6:$C$420,$M4581))</f>
        <v/>
      </c>
      <c r="F4581" s="63"/>
      <c r="G4581" s="63"/>
      <c r="H4581" s="60"/>
      <c r="I4581" s="60"/>
      <c r="J4581" s="63"/>
      <c r="K4581" s="61" t="str">
        <f aca="false">IF($P4581=0,"",IF($F4581="Baseline","— Baseline",IF($O4581=0,"No result",IF($N4581=0,"No Start (attainment only)",IF(OR($N4581=1,$O4581=1),"U – needs rule",INDEX(MxBody,MATCH($I4581,MxCurr,0),MATCH($H4581,MxStart,0)))))))</f>
        <v/>
      </c>
      <c r="L4581" s="62" t="str">
        <f aca="false">IF(COUNTA($A4581,$F4581,$G4581,$H4581,$I4581,$J4581)=0,"",IF($M4581=0,"✖ كود الصف غير موجود",IF(ISNA(MATCH($F4581,Lists!$A$2:$A$5,0)),"✖ الفترة غير صحيحة",IF(ISNA(MATCH($G4581,Lists!$B$2:$B$7,0)),"✖ المجموعة غير صحيحة",IF(NOT(OR($H4581="",$N4581&gt;0)),"✖ Start غير صحيح",IF(NOT(OR($I4581="",$I4581="NR",$O4581&gt;0)),"✖ Current غير صحيح",IF(NOT(IF(ISNUMBER($J4581),AND($J4581&gt;=0,$J4581=INT($J4581)),FALSE())),"✖ العدد يجب أن يكون صحيحًا ≥ 0",IF(AND($F4581="Baseline",$H4581&lt;&gt;""),"⚠ Baseline: Start لا يدخل في التقدم",IF($K4581="No Start (attainment only)","ℹ تحصيل فقط (بدون Start)",IF($K4581="U – needs rule","ℹ حالة U تحتاج قاعدة معتمدة",IF($K4581="No result","ℹ بدون نتيجة (يُستبعد من التحصيل)","OK")))))))))))</f>
        <v/>
      </c>
      <c r="M4581" s="64" t="n">
        <f aca="false">IF($A4581="",0,IFERROR(MATCH($A4581,Classes!$A$6:$A$420,0),0))</f>
        <v>0</v>
      </c>
      <c r="N4581" s="64" t="n">
        <f aca="false">IF($H4581="",0,IFERROR(MATCH($H4581,GradeList,0),0))</f>
        <v>0</v>
      </c>
      <c r="O4581" s="64" t="n">
        <f aca="false">IF(OR($I4581="",$I4581="NR"),0,IFERROR(MATCH($I4581,GradeList,0),0))</f>
        <v>0</v>
      </c>
      <c r="P4581" s="64" t="n">
        <f aca="false">IF(AND($M4581&gt;0,ISNUMBER(MATCH($F4581,Lists!$A$2:$A$5,0)),ISNUMBER(MATCH($G4581,Lists!$B$2:$B$7,0)),OR($H4581="",$N4581&gt;0),OR($I4581="",$I4581="NR",$O4581&gt;0),IF(ISNUMBER($J4581),AND($J4581&gt;=0,$J4581=INT($J4581)),FALSE())),$J4581,0)</f>
        <v>0</v>
      </c>
      <c r="Q4581" s="64" t="n">
        <f aca="false">IF(AND($P4581&gt;0,$O4581&gt;0),$P4581,0)</f>
        <v>0</v>
      </c>
      <c r="R4581" s="64" t="n">
        <f aca="false">IF(AND($Q4581&gt;0,$O4581&gt;=AtRank),$Q4581,0)</f>
        <v>0</v>
      </c>
      <c r="S4581" s="64" t="n">
        <f aca="false">IF(AND($Q4581&gt;0,$O4581&gt;=AboveRank),$Q4581,0)</f>
        <v>0</v>
      </c>
      <c r="T4581" s="64" t="n">
        <f aca="false">IF($K4581="Less",$P4581,0)</f>
        <v>0</v>
      </c>
      <c r="U4581" s="64" t="n">
        <f aca="false">IF($K4581="Expected",$P4581,0)</f>
        <v>0</v>
      </c>
      <c r="V4581" s="64" t="n">
        <f aca="false">IF($K4581="Better",$P4581,0)</f>
        <v>0</v>
      </c>
      <c r="W4581" s="64" t="n">
        <f aca="false">IF($K4581="U – needs rule",$P4581,0)</f>
        <v>0</v>
      </c>
      <c r="X4581" s="64" t="n">
        <f aca="false">IF($K4581="No Start (attainment only)",$P4581,0)</f>
        <v>0</v>
      </c>
    </row>
    <row r="4582" customFormat="false" ht="15" hidden="false" customHeight="false" outlineLevel="0" collapsed="false">
      <c r="A4582" s="60"/>
      <c r="B4582" s="61" t="str">
        <f aca="false">IF($M4582=0,"",INDEX(Classes!$E$6:$E$420,$M4582))</f>
        <v/>
      </c>
      <c r="C4582" s="62" t="str">
        <f aca="false">IF($M4582=0,"",INDEX(Classes!$H$6:$H$420,$M4582))</f>
        <v/>
      </c>
      <c r="D4582" s="61" t="str">
        <f aca="false">IF($M4582=0,"",INDEX(Classes!$B$6:$B$420,$M4582))</f>
        <v/>
      </c>
      <c r="E4582" s="61" t="str">
        <f aca="false">IF($M4582=0,"",INDEX(Classes!$C$6:$C$420,$M4582))</f>
        <v/>
      </c>
      <c r="F4582" s="63"/>
      <c r="G4582" s="63"/>
      <c r="H4582" s="60"/>
      <c r="I4582" s="60"/>
      <c r="J4582" s="63"/>
      <c r="K4582" s="61" t="str">
        <f aca="false">IF($P4582=0,"",IF($F4582="Baseline","— Baseline",IF($O4582=0,"No result",IF($N4582=0,"No Start (attainment only)",IF(OR($N4582=1,$O4582=1),"U – needs rule",INDEX(MxBody,MATCH($I4582,MxCurr,0),MATCH($H4582,MxStart,0)))))))</f>
        <v/>
      </c>
      <c r="L4582" s="62" t="str">
        <f aca="false">IF(COUNTA($A4582,$F4582,$G4582,$H4582,$I4582,$J4582)=0,"",IF($M4582=0,"✖ كود الصف غير موجود",IF(ISNA(MATCH($F4582,Lists!$A$2:$A$5,0)),"✖ الفترة غير صحيحة",IF(ISNA(MATCH($G4582,Lists!$B$2:$B$7,0)),"✖ المجموعة غير صحيحة",IF(NOT(OR($H4582="",$N4582&gt;0)),"✖ Start غير صحيح",IF(NOT(OR($I4582="",$I4582="NR",$O4582&gt;0)),"✖ Current غير صحيح",IF(NOT(IF(ISNUMBER($J4582),AND($J4582&gt;=0,$J4582=INT($J4582)),FALSE())),"✖ العدد يجب أن يكون صحيحًا ≥ 0",IF(AND($F4582="Baseline",$H4582&lt;&gt;""),"⚠ Baseline: Start لا يدخل في التقدم",IF($K4582="No Start (attainment only)","ℹ تحصيل فقط (بدون Start)",IF($K4582="U – needs rule","ℹ حالة U تحتاج قاعدة معتمدة",IF($K4582="No result","ℹ بدون نتيجة (يُستبعد من التحصيل)","OK")))))))))))</f>
        <v/>
      </c>
      <c r="M4582" s="64" t="n">
        <f aca="false">IF($A4582="",0,IFERROR(MATCH($A4582,Classes!$A$6:$A$420,0),0))</f>
        <v>0</v>
      </c>
      <c r="N4582" s="64" t="n">
        <f aca="false">IF($H4582="",0,IFERROR(MATCH($H4582,GradeList,0),0))</f>
        <v>0</v>
      </c>
      <c r="O4582" s="64" t="n">
        <f aca="false">IF(OR($I4582="",$I4582="NR"),0,IFERROR(MATCH($I4582,GradeList,0),0))</f>
        <v>0</v>
      </c>
      <c r="P4582" s="64" t="n">
        <f aca="false">IF(AND($M4582&gt;0,ISNUMBER(MATCH($F4582,Lists!$A$2:$A$5,0)),ISNUMBER(MATCH($G4582,Lists!$B$2:$B$7,0)),OR($H4582="",$N4582&gt;0),OR($I4582="",$I4582="NR",$O4582&gt;0),IF(ISNUMBER($J4582),AND($J4582&gt;=0,$J4582=INT($J4582)),FALSE())),$J4582,0)</f>
        <v>0</v>
      </c>
      <c r="Q4582" s="64" t="n">
        <f aca="false">IF(AND($P4582&gt;0,$O4582&gt;0),$P4582,0)</f>
        <v>0</v>
      </c>
      <c r="R4582" s="64" t="n">
        <f aca="false">IF(AND($Q4582&gt;0,$O4582&gt;=AtRank),$Q4582,0)</f>
        <v>0</v>
      </c>
      <c r="S4582" s="64" t="n">
        <f aca="false">IF(AND($Q4582&gt;0,$O4582&gt;=AboveRank),$Q4582,0)</f>
        <v>0</v>
      </c>
      <c r="T4582" s="64" t="n">
        <f aca="false">IF($K4582="Less",$P4582,0)</f>
        <v>0</v>
      </c>
      <c r="U4582" s="64" t="n">
        <f aca="false">IF($K4582="Expected",$P4582,0)</f>
        <v>0</v>
      </c>
      <c r="V4582" s="64" t="n">
        <f aca="false">IF($K4582="Better",$P4582,0)</f>
        <v>0</v>
      </c>
      <c r="W4582" s="64" t="n">
        <f aca="false">IF($K4582="U – needs rule",$P4582,0)</f>
        <v>0</v>
      </c>
      <c r="X4582" s="64" t="n">
        <f aca="false">IF($K4582="No Start (attainment only)",$P4582,0)</f>
        <v>0</v>
      </c>
    </row>
    <row r="4583" customFormat="false" ht="15" hidden="false" customHeight="false" outlineLevel="0" collapsed="false">
      <c r="A4583" s="60"/>
      <c r="B4583" s="61" t="str">
        <f aca="false">IF($M4583=0,"",INDEX(Classes!$E$6:$E$420,$M4583))</f>
        <v/>
      </c>
      <c r="C4583" s="62" t="str">
        <f aca="false">IF($M4583=0,"",INDEX(Classes!$H$6:$H$420,$M4583))</f>
        <v/>
      </c>
      <c r="D4583" s="61" t="str">
        <f aca="false">IF($M4583=0,"",INDEX(Classes!$B$6:$B$420,$M4583))</f>
        <v/>
      </c>
      <c r="E4583" s="61" t="str">
        <f aca="false">IF($M4583=0,"",INDEX(Classes!$C$6:$C$420,$M4583))</f>
        <v/>
      </c>
      <c r="F4583" s="63"/>
      <c r="G4583" s="63"/>
      <c r="H4583" s="60"/>
      <c r="I4583" s="60"/>
      <c r="J4583" s="63"/>
      <c r="K4583" s="61" t="str">
        <f aca="false">IF($P4583=0,"",IF($F4583="Baseline","— Baseline",IF($O4583=0,"No result",IF($N4583=0,"No Start (attainment only)",IF(OR($N4583=1,$O4583=1),"U – needs rule",INDEX(MxBody,MATCH($I4583,MxCurr,0),MATCH($H4583,MxStart,0)))))))</f>
        <v/>
      </c>
      <c r="L4583" s="62" t="str">
        <f aca="false">IF(COUNTA($A4583,$F4583,$G4583,$H4583,$I4583,$J4583)=0,"",IF($M4583=0,"✖ كود الصف غير موجود",IF(ISNA(MATCH($F4583,Lists!$A$2:$A$5,0)),"✖ الفترة غير صحيحة",IF(ISNA(MATCH($G4583,Lists!$B$2:$B$7,0)),"✖ المجموعة غير صحيحة",IF(NOT(OR($H4583="",$N4583&gt;0)),"✖ Start غير صحيح",IF(NOT(OR($I4583="",$I4583="NR",$O4583&gt;0)),"✖ Current غير صحيح",IF(NOT(IF(ISNUMBER($J4583),AND($J4583&gt;=0,$J4583=INT($J4583)),FALSE())),"✖ العدد يجب أن يكون صحيحًا ≥ 0",IF(AND($F4583="Baseline",$H4583&lt;&gt;""),"⚠ Baseline: Start لا يدخل في التقدم",IF($K4583="No Start (attainment only)","ℹ تحصيل فقط (بدون Start)",IF($K4583="U – needs rule","ℹ حالة U تحتاج قاعدة معتمدة",IF($K4583="No result","ℹ بدون نتيجة (يُستبعد من التحصيل)","OK")))))))))))</f>
        <v/>
      </c>
      <c r="M4583" s="64" t="n">
        <f aca="false">IF($A4583="",0,IFERROR(MATCH($A4583,Classes!$A$6:$A$420,0),0))</f>
        <v>0</v>
      </c>
      <c r="N4583" s="64" t="n">
        <f aca="false">IF($H4583="",0,IFERROR(MATCH($H4583,GradeList,0),0))</f>
        <v>0</v>
      </c>
      <c r="O4583" s="64" t="n">
        <f aca="false">IF(OR($I4583="",$I4583="NR"),0,IFERROR(MATCH($I4583,GradeList,0),0))</f>
        <v>0</v>
      </c>
      <c r="P4583" s="64" t="n">
        <f aca="false">IF(AND($M4583&gt;0,ISNUMBER(MATCH($F4583,Lists!$A$2:$A$5,0)),ISNUMBER(MATCH($G4583,Lists!$B$2:$B$7,0)),OR($H4583="",$N4583&gt;0),OR($I4583="",$I4583="NR",$O4583&gt;0),IF(ISNUMBER($J4583),AND($J4583&gt;=0,$J4583=INT($J4583)),FALSE())),$J4583,0)</f>
        <v>0</v>
      </c>
      <c r="Q4583" s="64" t="n">
        <f aca="false">IF(AND($P4583&gt;0,$O4583&gt;0),$P4583,0)</f>
        <v>0</v>
      </c>
      <c r="R4583" s="64" t="n">
        <f aca="false">IF(AND($Q4583&gt;0,$O4583&gt;=AtRank),$Q4583,0)</f>
        <v>0</v>
      </c>
      <c r="S4583" s="64" t="n">
        <f aca="false">IF(AND($Q4583&gt;0,$O4583&gt;=AboveRank),$Q4583,0)</f>
        <v>0</v>
      </c>
      <c r="T4583" s="64" t="n">
        <f aca="false">IF($K4583="Less",$P4583,0)</f>
        <v>0</v>
      </c>
      <c r="U4583" s="64" t="n">
        <f aca="false">IF($K4583="Expected",$P4583,0)</f>
        <v>0</v>
      </c>
      <c r="V4583" s="64" t="n">
        <f aca="false">IF($K4583="Better",$P4583,0)</f>
        <v>0</v>
      </c>
      <c r="W4583" s="64" t="n">
        <f aca="false">IF($K4583="U – needs rule",$P4583,0)</f>
        <v>0</v>
      </c>
      <c r="X4583" s="64" t="n">
        <f aca="false">IF($K4583="No Start (attainment only)",$P4583,0)</f>
        <v>0</v>
      </c>
    </row>
    <row r="4584" customFormat="false" ht="15" hidden="false" customHeight="false" outlineLevel="0" collapsed="false">
      <c r="A4584" s="60"/>
      <c r="B4584" s="61" t="str">
        <f aca="false">IF($M4584=0,"",INDEX(Classes!$E$6:$E$420,$M4584))</f>
        <v/>
      </c>
      <c r="C4584" s="62" t="str">
        <f aca="false">IF($M4584=0,"",INDEX(Classes!$H$6:$H$420,$M4584))</f>
        <v/>
      </c>
      <c r="D4584" s="61" t="str">
        <f aca="false">IF($M4584=0,"",INDEX(Classes!$B$6:$B$420,$M4584))</f>
        <v/>
      </c>
      <c r="E4584" s="61" t="str">
        <f aca="false">IF($M4584=0,"",INDEX(Classes!$C$6:$C$420,$M4584))</f>
        <v/>
      </c>
      <c r="F4584" s="63"/>
      <c r="G4584" s="63"/>
      <c r="H4584" s="60"/>
      <c r="I4584" s="60"/>
      <c r="J4584" s="63"/>
      <c r="K4584" s="61" t="str">
        <f aca="false">IF($P4584=0,"",IF($F4584="Baseline","— Baseline",IF($O4584=0,"No result",IF($N4584=0,"No Start (attainment only)",IF(OR($N4584=1,$O4584=1),"U – needs rule",INDEX(MxBody,MATCH($I4584,MxCurr,0),MATCH($H4584,MxStart,0)))))))</f>
        <v/>
      </c>
      <c r="L4584" s="62" t="str">
        <f aca="false">IF(COUNTA($A4584,$F4584,$G4584,$H4584,$I4584,$J4584)=0,"",IF($M4584=0,"✖ كود الصف غير موجود",IF(ISNA(MATCH($F4584,Lists!$A$2:$A$5,0)),"✖ الفترة غير صحيحة",IF(ISNA(MATCH($G4584,Lists!$B$2:$B$7,0)),"✖ المجموعة غير صحيحة",IF(NOT(OR($H4584="",$N4584&gt;0)),"✖ Start غير صحيح",IF(NOT(OR($I4584="",$I4584="NR",$O4584&gt;0)),"✖ Current غير صحيح",IF(NOT(IF(ISNUMBER($J4584),AND($J4584&gt;=0,$J4584=INT($J4584)),FALSE())),"✖ العدد يجب أن يكون صحيحًا ≥ 0",IF(AND($F4584="Baseline",$H4584&lt;&gt;""),"⚠ Baseline: Start لا يدخل في التقدم",IF($K4584="No Start (attainment only)","ℹ تحصيل فقط (بدون Start)",IF($K4584="U – needs rule","ℹ حالة U تحتاج قاعدة معتمدة",IF($K4584="No result","ℹ بدون نتيجة (يُستبعد من التحصيل)","OK")))))))))))</f>
        <v/>
      </c>
      <c r="M4584" s="64" t="n">
        <f aca="false">IF($A4584="",0,IFERROR(MATCH($A4584,Classes!$A$6:$A$420,0),0))</f>
        <v>0</v>
      </c>
      <c r="N4584" s="64" t="n">
        <f aca="false">IF($H4584="",0,IFERROR(MATCH($H4584,GradeList,0),0))</f>
        <v>0</v>
      </c>
      <c r="O4584" s="64" t="n">
        <f aca="false">IF(OR($I4584="",$I4584="NR"),0,IFERROR(MATCH($I4584,GradeList,0),0))</f>
        <v>0</v>
      </c>
      <c r="P4584" s="64" t="n">
        <f aca="false">IF(AND($M4584&gt;0,ISNUMBER(MATCH($F4584,Lists!$A$2:$A$5,0)),ISNUMBER(MATCH($G4584,Lists!$B$2:$B$7,0)),OR($H4584="",$N4584&gt;0),OR($I4584="",$I4584="NR",$O4584&gt;0),IF(ISNUMBER($J4584),AND($J4584&gt;=0,$J4584=INT($J4584)),FALSE())),$J4584,0)</f>
        <v>0</v>
      </c>
      <c r="Q4584" s="64" t="n">
        <f aca="false">IF(AND($P4584&gt;0,$O4584&gt;0),$P4584,0)</f>
        <v>0</v>
      </c>
      <c r="R4584" s="64" t="n">
        <f aca="false">IF(AND($Q4584&gt;0,$O4584&gt;=AtRank),$Q4584,0)</f>
        <v>0</v>
      </c>
      <c r="S4584" s="64" t="n">
        <f aca="false">IF(AND($Q4584&gt;0,$O4584&gt;=AboveRank),$Q4584,0)</f>
        <v>0</v>
      </c>
      <c r="T4584" s="64" t="n">
        <f aca="false">IF($K4584="Less",$P4584,0)</f>
        <v>0</v>
      </c>
      <c r="U4584" s="64" t="n">
        <f aca="false">IF($K4584="Expected",$P4584,0)</f>
        <v>0</v>
      </c>
      <c r="V4584" s="64" t="n">
        <f aca="false">IF($K4584="Better",$P4584,0)</f>
        <v>0</v>
      </c>
      <c r="W4584" s="64" t="n">
        <f aca="false">IF($K4584="U – needs rule",$P4584,0)</f>
        <v>0</v>
      </c>
      <c r="X4584" s="64" t="n">
        <f aca="false">IF($K4584="No Start (attainment only)",$P4584,0)</f>
        <v>0</v>
      </c>
    </row>
    <row r="4585" customFormat="false" ht="15" hidden="false" customHeight="false" outlineLevel="0" collapsed="false">
      <c r="A4585" s="60"/>
      <c r="B4585" s="61" t="str">
        <f aca="false">IF($M4585=0,"",INDEX(Classes!$E$6:$E$420,$M4585))</f>
        <v/>
      </c>
      <c r="C4585" s="62" t="str">
        <f aca="false">IF($M4585=0,"",INDEX(Classes!$H$6:$H$420,$M4585))</f>
        <v/>
      </c>
      <c r="D4585" s="61" t="str">
        <f aca="false">IF($M4585=0,"",INDEX(Classes!$B$6:$B$420,$M4585))</f>
        <v/>
      </c>
      <c r="E4585" s="61" t="str">
        <f aca="false">IF($M4585=0,"",INDEX(Classes!$C$6:$C$420,$M4585))</f>
        <v/>
      </c>
      <c r="F4585" s="63"/>
      <c r="G4585" s="63"/>
      <c r="H4585" s="60"/>
      <c r="I4585" s="60"/>
      <c r="J4585" s="63"/>
      <c r="K4585" s="61" t="str">
        <f aca="false">IF($P4585=0,"",IF($F4585="Baseline","— Baseline",IF($O4585=0,"No result",IF($N4585=0,"No Start (attainment only)",IF(OR($N4585=1,$O4585=1),"U – needs rule",INDEX(MxBody,MATCH($I4585,MxCurr,0),MATCH($H4585,MxStart,0)))))))</f>
        <v/>
      </c>
      <c r="L4585" s="62" t="str">
        <f aca="false">IF(COUNTA($A4585,$F4585,$G4585,$H4585,$I4585,$J4585)=0,"",IF($M4585=0,"✖ كود الصف غير موجود",IF(ISNA(MATCH($F4585,Lists!$A$2:$A$5,0)),"✖ الفترة غير صحيحة",IF(ISNA(MATCH($G4585,Lists!$B$2:$B$7,0)),"✖ المجموعة غير صحيحة",IF(NOT(OR($H4585="",$N4585&gt;0)),"✖ Start غير صحيح",IF(NOT(OR($I4585="",$I4585="NR",$O4585&gt;0)),"✖ Current غير صحيح",IF(NOT(IF(ISNUMBER($J4585),AND($J4585&gt;=0,$J4585=INT($J4585)),FALSE())),"✖ العدد يجب أن يكون صحيحًا ≥ 0",IF(AND($F4585="Baseline",$H4585&lt;&gt;""),"⚠ Baseline: Start لا يدخل في التقدم",IF($K4585="No Start (attainment only)","ℹ تحصيل فقط (بدون Start)",IF($K4585="U – needs rule","ℹ حالة U تحتاج قاعدة معتمدة",IF($K4585="No result","ℹ بدون نتيجة (يُستبعد من التحصيل)","OK")))))))))))</f>
        <v/>
      </c>
      <c r="M4585" s="64" t="n">
        <f aca="false">IF($A4585="",0,IFERROR(MATCH($A4585,Classes!$A$6:$A$420,0),0))</f>
        <v>0</v>
      </c>
      <c r="N4585" s="64" t="n">
        <f aca="false">IF($H4585="",0,IFERROR(MATCH($H4585,GradeList,0),0))</f>
        <v>0</v>
      </c>
      <c r="O4585" s="64" t="n">
        <f aca="false">IF(OR($I4585="",$I4585="NR"),0,IFERROR(MATCH($I4585,GradeList,0),0))</f>
        <v>0</v>
      </c>
      <c r="P4585" s="64" t="n">
        <f aca="false">IF(AND($M4585&gt;0,ISNUMBER(MATCH($F4585,Lists!$A$2:$A$5,0)),ISNUMBER(MATCH($G4585,Lists!$B$2:$B$7,0)),OR($H4585="",$N4585&gt;0),OR($I4585="",$I4585="NR",$O4585&gt;0),IF(ISNUMBER($J4585),AND($J4585&gt;=0,$J4585=INT($J4585)),FALSE())),$J4585,0)</f>
        <v>0</v>
      </c>
      <c r="Q4585" s="64" t="n">
        <f aca="false">IF(AND($P4585&gt;0,$O4585&gt;0),$P4585,0)</f>
        <v>0</v>
      </c>
      <c r="R4585" s="64" t="n">
        <f aca="false">IF(AND($Q4585&gt;0,$O4585&gt;=AtRank),$Q4585,0)</f>
        <v>0</v>
      </c>
      <c r="S4585" s="64" t="n">
        <f aca="false">IF(AND($Q4585&gt;0,$O4585&gt;=AboveRank),$Q4585,0)</f>
        <v>0</v>
      </c>
      <c r="T4585" s="64" t="n">
        <f aca="false">IF($K4585="Less",$P4585,0)</f>
        <v>0</v>
      </c>
      <c r="U4585" s="64" t="n">
        <f aca="false">IF($K4585="Expected",$P4585,0)</f>
        <v>0</v>
      </c>
      <c r="V4585" s="64" t="n">
        <f aca="false">IF($K4585="Better",$P4585,0)</f>
        <v>0</v>
      </c>
      <c r="W4585" s="64" t="n">
        <f aca="false">IF($K4585="U – needs rule",$P4585,0)</f>
        <v>0</v>
      </c>
      <c r="X4585" s="64" t="n">
        <f aca="false">IF($K4585="No Start (attainment only)",$P4585,0)</f>
        <v>0</v>
      </c>
    </row>
    <row r="4586" customFormat="false" ht="15" hidden="false" customHeight="false" outlineLevel="0" collapsed="false">
      <c r="A4586" s="60"/>
      <c r="B4586" s="61" t="str">
        <f aca="false">IF($M4586=0,"",INDEX(Classes!$E$6:$E$420,$M4586))</f>
        <v/>
      </c>
      <c r="C4586" s="62" t="str">
        <f aca="false">IF($M4586=0,"",INDEX(Classes!$H$6:$H$420,$M4586))</f>
        <v/>
      </c>
      <c r="D4586" s="61" t="str">
        <f aca="false">IF($M4586=0,"",INDEX(Classes!$B$6:$B$420,$M4586))</f>
        <v/>
      </c>
      <c r="E4586" s="61" t="str">
        <f aca="false">IF($M4586=0,"",INDEX(Classes!$C$6:$C$420,$M4586))</f>
        <v/>
      </c>
      <c r="F4586" s="63"/>
      <c r="G4586" s="63"/>
      <c r="H4586" s="60"/>
      <c r="I4586" s="60"/>
      <c r="J4586" s="63"/>
      <c r="K4586" s="61" t="str">
        <f aca="false">IF($P4586=0,"",IF($F4586="Baseline","— Baseline",IF($O4586=0,"No result",IF($N4586=0,"No Start (attainment only)",IF(OR($N4586=1,$O4586=1),"U – needs rule",INDEX(MxBody,MATCH($I4586,MxCurr,0),MATCH($H4586,MxStart,0)))))))</f>
        <v/>
      </c>
      <c r="L4586" s="62" t="str">
        <f aca="false">IF(COUNTA($A4586,$F4586,$G4586,$H4586,$I4586,$J4586)=0,"",IF($M4586=0,"✖ كود الصف غير موجود",IF(ISNA(MATCH($F4586,Lists!$A$2:$A$5,0)),"✖ الفترة غير صحيحة",IF(ISNA(MATCH($G4586,Lists!$B$2:$B$7,0)),"✖ المجموعة غير صحيحة",IF(NOT(OR($H4586="",$N4586&gt;0)),"✖ Start غير صحيح",IF(NOT(OR($I4586="",$I4586="NR",$O4586&gt;0)),"✖ Current غير صحيح",IF(NOT(IF(ISNUMBER($J4586),AND($J4586&gt;=0,$J4586=INT($J4586)),FALSE())),"✖ العدد يجب أن يكون صحيحًا ≥ 0",IF(AND($F4586="Baseline",$H4586&lt;&gt;""),"⚠ Baseline: Start لا يدخل في التقدم",IF($K4586="No Start (attainment only)","ℹ تحصيل فقط (بدون Start)",IF($K4586="U – needs rule","ℹ حالة U تحتاج قاعدة معتمدة",IF($K4586="No result","ℹ بدون نتيجة (يُستبعد من التحصيل)","OK")))))))))))</f>
        <v/>
      </c>
      <c r="M4586" s="64" t="n">
        <f aca="false">IF($A4586="",0,IFERROR(MATCH($A4586,Classes!$A$6:$A$420,0),0))</f>
        <v>0</v>
      </c>
      <c r="N4586" s="64" t="n">
        <f aca="false">IF($H4586="",0,IFERROR(MATCH($H4586,GradeList,0),0))</f>
        <v>0</v>
      </c>
      <c r="O4586" s="64" t="n">
        <f aca="false">IF(OR($I4586="",$I4586="NR"),0,IFERROR(MATCH($I4586,GradeList,0),0))</f>
        <v>0</v>
      </c>
      <c r="P4586" s="64" t="n">
        <f aca="false">IF(AND($M4586&gt;0,ISNUMBER(MATCH($F4586,Lists!$A$2:$A$5,0)),ISNUMBER(MATCH($G4586,Lists!$B$2:$B$7,0)),OR($H4586="",$N4586&gt;0),OR($I4586="",$I4586="NR",$O4586&gt;0),IF(ISNUMBER($J4586),AND($J4586&gt;=0,$J4586=INT($J4586)),FALSE())),$J4586,0)</f>
        <v>0</v>
      </c>
      <c r="Q4586" s="64" t="n">
        <f aca="false">IF(AND($P4586&gt;0,$O4586&gt;0),$P4586,0)</f>
        <v>0</v>
      </c>
      <c r="R4586" s="64" t="n">
        <f aca="false">IF(AND($Q4586&gt;0,$O4586&gt;=AtRank),$Q4586,0)</f>
        <v>0</v>
      </c>
      <c r="S4586" s="64" t="n">
        <f aca="false">IF(AND($Q4586&gt;0,$O4586&gt;=AboveRank),$Q4586,0)</f>
        <v>0</v>
      </c>
      <c r="T4586" s="64" t="n">
        <f aca="false">IF($K4586="Less",$P4586,0)</f>
        <v>0</v>
      </c>
      <c r="U4586" s="64" t="n">
        <f aca="false">IF($K4586="Expected",$P4586,0)</f>
        <v>0</v>
      </c>
      <c r="V4586" s="64" t="n">
        <f aca="false">IF($K4586="Better",$P4586,0)</f>
        <v>0</v>
      </c>
      <c r="W4586" s="64" t="n">
        <f aca="false">IF($K4586="U – needs rule",$P4586,0)</f>
        <v>0</v>
      </c>
      <c r="X4586" s="64" t="n">
        <f aca="false">IF($K4586="No Start (attainment only)",$P4586,0)</f>
        <v>0</v>
      </c>
    </row>
    <row r="4587" customFormat="false" ht="15" hidden="false" customHeight="false" outlineLevel="0" collapsed="false">
      <c r="A4587" s="60"/>
      <c r="B4587" s="61" t="str">
        <f aca="false">IF($M4587=0,"",INDEX(Classes!$E$6:$E$420,$M4587))</f>
        <v/>
      </c>
      <c r="C4587" s="62" t="str">
        <f aca="false">IF($M4587=0,"",INDEX(Classes!$H$6:$H$420,$M4587))</f>
        <v/>
      </c>
      <c r="D4587" s="61" t="str">
        <f aca="false">IF($M4587=0,"",INDEX(Classes!$B$6:$B$420,$M4587))</f>
        <v/>
      </c>
      <c r="E4587" s="61" t="str">
        <f aca="false">IF($M4587=0,"",INDEX(Classes!$C$6:$C$420,$M4587))</f>
        <v/>
      </c>
      <c r="F4587" s="63"/>
      <c r="G4587" s="63"/>
      <c r="H4587" s="60"/>
      <c r="I4587" s="60"/>
      <c r="J4587" s="63"/>
      <c r="K4587" s="61" t="str">
        <f aca="false">IF($P4587=0,"",IF($F4587="Baseline","— Baseline",IF($O4587=0,"No result",IF($N4587=0,"No Start (attainment only)",IF(OR($N4587=1,$O4587=1),"U – needs rule",INDEX(MxBody,MATCH($I4587,MxCurr,0),MATCH($H4587,MxStart,0)))))))</f>
        <v/>
      </c>
      <c r="L4587" s="62" t="str">
        <f aca="false">IF(COUNTA($A4587,$F4587,$G4587,$H4587,$I4587,$J4587)=0,"",IF($M4587=0,"✖ كود الصف غير موجود",IF(ISNA(MATCH($F4587,Lists!$A$2:$A$5,0)),"✖ الفترة غير صحيحة",IF(ISNA(MATCH($G4587,Lists!$B$2:$B$7,0)),"✖ المجموعة غير صحيحة",IF(NOT(OR($H4587="",$N4587&gt;0)),"✖ Start غير صحيح",IF(NOT(OR($I4587="",$I4587="NR",$O4587&gt;0)),"✖ Current غير صحيح",IF(NOT(IF(ISNUMBER($J4587),AND($J4587&gt;=0,$J4587=INT($J4587)),FALSE())),"✖ العدد يجب أن يكون صحيحًا ≥ 0",IF(AND($F4587="Baseline",$H4587&lt;&gt;""),"⚠ Baseline: Start لا يدخل في التقدم",IF($K4587="No Start (attainment only)","ℹ تحصيل فقط (بدون Start)",IF($K4587="U – needs rule","ℹ حالة U تحتاج قاعدة معتمدة",IF($K4587="No result","ℹ بدون نتيجة (يُستبعد من التحصيل)","OK")))))))))))</f>
        <v/>
      </c>
      <c r="M4587" s="64" t="n">
        <f aca="false">IF($A4587="",0,IFERROR(MATCH($A4587,Classes!$A$6:$A$420,0),0))</f>
        <v>0</v>
      </c>
      <c r="N4587" s="64" t="n">
        <f aca="false">IF($H4587="",0,IFERROR(MATCH($H4587,GradeList,0),0))</f>
        <v>0</v>
      </c>
      <c r="O4587" s="64" t="n">
        <f aca="false">IF(OR($I4587="",$I4587="NR"),0,IFERROR(MATCH($I4587,GradeList,0),0))</f>
        <v>0</v>
      </c>
      <c r="P4587" s="64" t="n">
        <f aca="false">IF(AND($M4587&gt;0,ISNUMBER(MATCH($F4587,Lists!$A$2:$A$5,0)),ISNUMBER(MATCH($G4587,Lists!$B$2:$B$7,0)),OR($H4587="",$N4587&gt;0),OR($I4587="",$I4587="NR",$O4587&gt;0),IF(ISNUMBER($J4587),AND($J4587&gt;=0,$J4587=INT($J4587)),FALSE())),$J4587,0)</f>
        <v>0</v>
      </c>
      <c r="Q4587" s="64" t="n">
        <f aca="false">IF(AND($P4587&gt;0,$O4587&gt;0),$P4587,0)</f>
        <v>0</v>
      </c>
      <c r="R4587" s="64" t="n">
        <f aca="false">IF(AND($Q4587&gt;0,$O4587&gt;=AtRank),$Q4587,0)</f>
        <v>0</v>
      </c>
      <c r="S4587" s="64" t="n">
        <f aca="false">IF(AND($Q4587&gt;0,$O4587&gt;=AboveRank),$Q4587,0)</f>
        <v>0</v>
      </c>
      <c r="T4587" s="64" t="n">
        <f aca="false">IF($K4587="Less",$P4587,0)</f>
        <v>0</v>
      </c>
      <c r="U4587" s="64" t="n">
        <f aca="false">IF($K4587="Expected",$P4587,0)</f>
        <v>0</v>
      </c>
      <c r="V4587" s="64" t="n">
        <f aca="false">IF($K4587="Better",$P4587,0)</f>
        <v>0</v>
      </c>
      <c r="W4587" s="64" t="n">
        <f aca="false">IF($K4587="U – needs rule",$P4587,0)</f>
        <v>0</v>
      </c>
      <c r="X4587" s="64" t="n">
        <f aca="false">IF($K4587="No Start (attainment only)",$P4587,0)</f>
        <v>0</v>
      </c>
    </row>
    <row r="4588" customFormat="false" ht="15" hidden="false" customHeight="false" outlineLevel="0" collapsed="false">
      <c r="A4588" s="60"/>
      <c r="B4588" s="61" t="str">
        <f aca="false">IF($M4588=0,"",INDEX(Classes!$E$6:$E$420,$M4588))</f>
        <v/>
      </c>
      <c r="C4588" s="62" t="str">
        <f aca="false">IF($M4588=0,"",INDEX(Classes!$H$6:$H$420,$M4588))</f>
        <v/>
      </c>
      <c r="D4588" s="61" t="str">
        <f aca="false">IF($M4588=0,"",INDEX(Classes!$B$6:$B$420,$M4588))</f>
        <v/>
      </c>
      <c r="E4588" s="61" t="str">
        <f aca="false">IF($M4588=0,"",INDEX(Classes!$C$6:$C$420,$M4588))</f>
        <v/>
      </c>
      <c r="F4588" s="63"/>
      <c r="G4588" s="63"/>
      <c r="H4588" s="60"/>
      <c r="I4588" s="60"/>
      <c r="J4588" s="63"/>
      <c r="K4588" s="61" t="str">
        <f aca="false">IF($P4588=0,"",IF($F4588="Baseline","— Baseline",IF($O4588=0,"No result",IF($N4588=0,"No Start (attainment only)",IF(OR($N4588=1,$O4588=1),"U – needs rule",INDEX(MxBody,MATCH($I4588,MxCurr,0),MATCH($H4588,MxStart,0)))))))</f>
        <v/>
      </c>
      <c r="L4588" s="62" t="str">
        <f aca="false">IF(COUNTA($A4588,$F4588,$G4588,$H4588,$I4588,$J4588)=0,"",IF($M4588=0,"✖ كود الصف غير موجود",IF(ISNA(MATCH($F4588,Lists!$A$2:$A$5,0)),"✖ الفترة غير صحيحة",IF(ISNA(MATCH($G4588,Lists!$B$2:$B$7,0)),"✖ المجموعة غير صحيحة",IF(NOT(OR($H4588="",$N4588&gt;0)),"✖ Start غير صحيح",IF(NOT(OR($I4588="",$I4588="NR",$O4588&gt;0)),"✖ Current غير صحيح",IF(NOT(IF(ISNUMBER($J4588),AND($J4588&gt;=0,$J4588=INT($J4588)),FALSE())),"✖ العدد يجب أن يكون صحيحًا ≥ 0",IF(AND($F4588="Baseline",$H4588&lt;&gt;""),"⚠ Baseline: Start لا يدخل في التقدم",IF($K4588="No Start (attainment only)","ℹ تحصيل فقط (بدون Start)",IF($K4588="U – needs rule","ℹ حالة U تحتاج قاعدة معتمدة",IF($K4588="No result","ℹ بدون نتيجة (يُستبعد من التحصيل)","OK")))))))))))</f>
        <v/>
      </c>
      <c r="M4588" s="64" t="n">
        <f aca="false">IF($A4588="",0,IFERROR(MATCH($A4588,Classes!$A$6:$A$420,0),0))</f>
        <v>0</v>
      </c>
      <c r="N4588" s="64" t="n">
        <f aca="false">IF($H4588="",0,IFERROR(MATCH($H4588,GradeList,0),0))</f>
        <v>0</v>
      </c>
      <c r="O4588" s="64" t="n">
        <f aca="false">IF(OR($I4588="",$I4588="NR"),0,IFERROR(MATCH($I4588,GradeList,0),0))</f>
        <v>0</v>
      </c>
      <c r="P4588" s="64" t="n">
        <f aca="false">IF(AND($M4588&gt;0,ISNUMBER(MATCH($F4588,Lists!$A$2:$A$5,0)),ISNUMBER(MATCH($G4588,Lists!$B$2:$B$7,0)),OR($H4588="",$N4588&gt;0),OR($I4588="",$I4588="NR",$O4588&gt;0),IF(ISNUMBER($J4588),AND($J4588&gt;=0,$J4588=INT($J4588)),FALSE())),$J4588,0)</f>
        <v>0</v>
      </c>
      <c r="Q4588" s="64" t="n">
        <f aca="false">IF(AND($P4588&gt;0,$O4588&gt;0),$P4588,0)</f>
        <v>0</v>
      </c>
      <c r="R4588" s="64" t="n">
        <f aca="false">IF(AND($Q4588&gt;0,$O4588&gt;=AtRank),$Q4588,0)</f>
        <v>0</v>
      </c>
      <c r="S4588" s="64" t="n">
        <f aca="false">IF(AND($Q4588&gt;0,$O4588&gt;=AboveRank),$Q4588,0)</f>
        <v>0</v>
      </c>
      <c r="T4588" s="64" t="n">
        <f aca="false">IF($K4588="Less",$P4588,0)</f>
        <v>0</v>
      </c>
      <c r="U4588" s="64" t="n">
        <f aca="false">IF($K4588="Expected",$P4588,0)</f>
        <v>0</v>
      </c>
      <c r="V4588" s="64" t="n">
        <f aca="false">IF($K4588="Better",$P4588,0)</f>
        <v>0</v>
      </c>
      <c r="W4588" s="64" t="n">
        <f aca="false">IF($K4588="U – needs rule",$P4588,0)</f>
        <v>0</v>
      </c>
      <c r="X4588" s="64" t="n">
        <f aca="false">IF($K4588="No Start (attainment only)",$P4588,0)</f>
        <v>0</v>
      </c>
    </row>
    <row r="4589" customFormat="false" ht="15" hidden="false" customHeight="false" outlineLevel="0" collapsed="false">
      <c r="A4589" s="60"/>
      <c r="B4589" s="61" t="str">
        <f aca="false">IF($M4589=0,"",INDEX(Classes!$E$6:$E$420,$M4589))</f>
        <v/>
      </c>
      <c r="C4589" s="62" t="str">
        <f aca="false">IF($M4589=0,"",INDEX(Classes!$H$6:$H$420,$M4589))</f>
        <v/>
      </c>
      <c r="D4589" s="61" t="str">
        <f aca="false">IF($M4589=0,"",INDEX(Classes!$B$6:$B$420,$M4589))</f>
        <v/>
      </c>
      <c r="E4589" s="61" t="str">
        <f aca="false">IF($M4589=0,"",INDEX(Classes!$C$6:$C$420,$M4589))</f>
        <v/>
      </c>
      <c r="F4589" s="63"/>
      <c r="G4589" s="63"/>
      <c r="H4589" s="60"/>
      <c r="I4589" s="60"/>
      <c r="J4589" s="63"/>
      <c r="K4589" s="61" t="str">
        <f aca="false">IF($P4589=0,"",IF($F4589="Baseline","— Baseline",IF($O4589=0,"No result",IF($N4589=0,"No Start (attainment only)",IF(OR($N4589=1,$O4589=1),"U – needs rule",INDEX(MxBody,MATCH($I4589,MxCurr,0),MATCH($H4589,MxStart,0)))))))</f>
        <v/>
      </c>
      <c r="L4589" s="62" t="str">
        <f aca="false">IF(COUNTA($A4589,$F4589,$G4589,$H4589,$I4589,$J4589)=0,"",IF($M4589=0,"✖ كود الصف غير موجود",IF(ISNA(MATCH($F4589,Lists!$A$2:$A$5,0)),"✖ الفترة غير صحيحة",IF(ISNA(MATCH($G4589,Lists!$B$2:$B$7,0)),"✖ المجموعة غير صحيحة",IF(NOT(OR($H4589="",$N4589&gt;0)),"✖ Start غير صحيح",IF(NOT(OR($I4589="",$I4589="NR",$O4589&gt;0)),"✖ Current غير صحيح",IF(NOT(IF(ISNUMBER($J4589),AND($J4589&gt;=0,$J4589=INT($J4589)),FALSE())),"✖ العدد يجب أن يكون صحيحًا ≥ 0",IF(AND($F4589="Baseline",$H4589&lt;&gt;""),"⚠ Baseline: Start لا يدخل في التقدم",IF($K4589="No Start (attainment only)","ℹ تحصيل فقط (بدون Start)",IF($K4589="U – needs rule","ℹ حالة U تحتاج قاعدة معتمدة",IF($K4589="No result","ℹ بدون نتيجة (يُستبعد من التحصيل)","OK")))))))))))</f>
        <v/>
      </c>
      <c r="M4589" s="64" t="n">
        <f aca="false">IF($A4589="",0,IFERROR(MATCH($A4589,Classes!$A$6:$A$420,0),0))</f>
        <v>0</v>
      </c>
      <c r="N4589" s="64" t="n">
        <f aca="false">IF($H4589="",0,IFERROR(MATCH($H4589,GradeList,0),0))</f>
        <v>0</v>
      </c>
      <c r="O4589" s="64" t="n">
        <f aca="false">IF(OR($I4589="",$I4589="NR"),0,IFERROR(MATCH($I4589,GradeList,0),0))</f>
        <v>0</v>
      </c>
      <c r="P4589" s="64" t="n">
        <f aca="false">IF(AND($M4589&gt;0,ISNUMBER(MATCH($F4589,Lists!$A$2:$A$5,0)),ISNUMBER(MATCH($G4589,Lists!$B$2:$B$7,0)),OR($H4589="",$N4589&gt;0),OR($I4589="",$I4589="NR",$O4589&gt;0),IF(ISNUMBER($J4589),AND($J4589&gt;=0,$J4589=INT($J4589)),FALSE())),$J4589,0)</f>
        <v>0</v>
      </c>
      <c r="Q4589" s="64" t="n">
        <f aca="false">IF(AND($P4589&gt;0,$O4589&gt;0),$P4589,0)</f>
        <v>0</v>
      </c>
      <c r="R4589" s="64" t="n">
        <f aca="false">IF(AND($Q4589&gt;0,$O4589&gt;=AtRank),$Q4589,0)</f>
        <v>0</v>
      </c>
      <c r="S4589" s="64" t="n">
        <f aca="false">IF(AND($Q4589&gt;0,$O4589&gt;=AboveRank),$Q4589,0)</f>
        <v>0</v>
      </c>
      <c r="T4589" s="64" t="n">
        <f aca="false">IF($K4589="Less",$P4589,0)</f>
        <v>0</v>
      </c>
      <c r="U4589" s="64" t="n">
        <f aca="false">IF($K4589="Expected",$P4589,0)</f>
        <v>0</v>
      </c>
      <c r="V4589" s="64" t="n">
        <f aca="false">IF($K4589="Better",$P4589,0)</f>
        <v>0</v>
      </c>
      <c r="W4589" s="64" t="n">
        <f aca="false">IF($K4589="U – needs rule",$P4589,0)</f>
        <v>0</v>
      </c>
      <c r="X4589" s="64" t="n">
        <f aca="false">IF($K4589="No Start (attainment only)",$P4589,0)</f>
        <v>0</v>
      </c>
    </row>
    <row r="4590" customFormat="false" ht="15" hidden="false" customHeight="false" outlineLevel="0" collapsed="false">
      <c r="A4590" s="60"/>
      <c r="B4590" s="61" t="str">
        <f aca="false">IF($M4590=0,"",INDEX(Classes!$E$6:$E$420,$M4590))</f>
        <v/>
      </c>
      <c r="C4590" s="62" t="str">
        <f aca="false">IF($M4590=0,"",INDEX(Classes!$H$6:$H$420,$M4590))</f>
        <v/>
      </c>
      <c r="D4590" s="61" t="str">
        <f aca="false">IF($M4590=0,"",INDEX(Classes!$B$6:$B$420,$M4590))</f>
        <v/>
      </c>
      <c r="E4590" s="61" t="str">
        <f aca="false">IF($M4590=0,"",INDEX(Classes!$C$6:$C$420,$M4590))</f>
        <v/>
      </c>
      <c r="F4590" s="63"/>
      <c r="G4590" s="63"/>
      <c r="H4590" s="60"/>
      <c r="I4590" s="60"/>
      <c r="J4590" s="63"/>
      <c r="K4590" s="61" t="str">
        <f aca="false">IF($P4590=0,"",IF($F4590="Baseline","— Baseline",IF($O4590=0,"No result",IF($N4590=0,"No Start (attainment only)",IF(OR($N4590=1,$O4590=1),"U – needs rule",INDEX(MxBody,MATCH($I4590,MxCurr,0),MATCH($H4590,MxStart,0)))))))</f>
        <v/>
      </c>
      <c r="L4590" s="62" t="str">
        <f aca="false">IF(COUNTA($A4590,$F4590,$G4590,$H4590,$I4590,$J4590)=0,"",IF($M4590=0,"✖ كود الصف غير موجود",IF(ISNA(MATCH($F4590,Lists!$A$2:$A$5,0)),"✖ الفترة غير صحيحة",IF(ISNA(MATCH($G4590,Lists!$B$2:$B$7,0)),"✖ المجموعة غير صحيحة",IF(NOT(OR($H4590="",$N4590&gt;0)),"✖ Start غير صحيح",IF(NOT(OR($I4590="",$I4590="NR",$O4590&gt;0)),"✖ Current غير صحيح",IF(NOT(IF(ISNUMBER($J4590),AND($J4590&gt;=0,$J4590=INT($J4590)),FALSE())),"✖ العدد يجب أن يكون صحيحًا ≥ 0",IF(AND($F4590="Baseline",$H4590&lt;&gt;""),"⚠ Baseline: Start لا يدخل في التقدم",IF($K4590="No Start (attainment only)","ℹ تحصيل فقط (بدون Start)",IF($K4590="U – needs rule","ℹ حالة U تحتاج قاعدة معتمدة",IF($K4590="No result","ℹ بدون نتيجة (يُستبعد من التحصيل)","OK")))))))))))</f>
        <v/>
      </c>
      <c r="M4590" s="64" t="n">
        <f aca="false">IF($A4590="",0,IFERROR(MATCH($A4590,Classes!$A$6:$A$420,0),0))</f>
        <v>0</v>
      </c>
      <c r="N4590" s="64" t="n">
        <f aca="false">IF($H4590="",0,IFERROR(MATCH($H4590,GradeList,0),0))</f>
        <v>0</v>
      </c>
      <c r="O4590" s="64" t="n">
        <f aca="false">IF(OR($I4590="",$I4590="NR"),0,IFERROR(MATCH($I4590,GradeList,0),0))</f>
        <v>0</v>
      </c>
      <c r="P4590" s="64" t="n">
        <f aca="false">IF(AND($M4590&gt;0,ISNUMBER(MATCH($F4590,Lists!$A$2:$A$5,0)),ISNUMBER(MATCH($G4590,Lists!$B$2:$B$7,0)),OR($H4590="",$N4590&gt;0),OR($I4590="",$I4590="NR",$O4590&gt;0),IF(ISNUMBER($J4590),AND($J4590&gt;=0,$J4590=INT($J4590)),FALSE())),$J4590,0)</f>
        <v>0</v>
      </c>
      <c r="Q4590" s="64" t="n">
        <f aca="false">IF(AND($P4590&gt;0,$O4590&gt;0),$P4590,0)</f>
        <v>0</v>
      </c>
      <c r="R4590" s="64" t="n">
        <f aca="false">IF(AND($Q4590&gt;0,$O4590&gt;=AtRank),$Q4590,0)</f>
        <v>0</v>
      </c>
      <c r="S4590" s="64" t="n">
        <f aca="false">IF(AND($Q4590&gt;0,$O4590&gt;=AboveRank),$Q4590,0)</f>
        <v>0</v>
      </c>
      <c r="T4590" s="64" t="n">
        <f aca="false">IF($K4590="Less",$P4590,0)</f>
        <v>0</v>
      </c>
      <c r="U4590" s="64" t="n">
        <f aca="false">IF($K4590="Expected",$P4590,0)</f>
        <v>0</v>
      </c>
      <c r="V4590" s="64" t="n">
        <f aca="false">IF($K4590="Better",$P4590,0)</f>
        <v>0</v>
      </c>
      <c r="W4590" s="64" t="n">
        <f aca="false">IF($K4590="U – needs rule",$P4590,0)</f>
        <v>0</v>
      </c>
      <c r="X4590" s="64" t="n">
        <f aca="false">IF($K4590="No Start (attainment only)",$P4590,0)</f>
        <v>0</v>
      </c>
    </row>
    <row r="4591" customFormat="false" ht="15" hidden="false" customHeight="false" outlineLevel="0" collapsed="false">
      <c r="A4591" s="60"/>
      <c r="B4591" s="61" t="str">
        <f aca="false">IF($M4591=0,"",INDEX(Classes!$E$6:$E$420,$M4591))</f>
        <v/>
      </c>
      <c r="C4591" s="62" t="str">
        <f aca="false">IF($M4591=0,"",INDEX(Classes!$H$6:$H$420,$M4591))</f>
        <v/>
      </c>
      <c r="D4591" s="61" t="str">
        <f aca="false">IF($M4591=0,"",INDEX(Classes!$B$6:$B$420,$M4591))</f>
        <v/>
      </c>
      <c r="E4591" s="61" t="str">
        <f aca="false">IF($M4591=0,"",INDEX(Classes!$C$6:$C$420,$M4591))</f>
        <v/>
      </c>
      <c r="F4591" s="63"/>
      <c r="G4591" s="63"/>
      <c r="H4591" s="60"/>
      <c r="I4591" s="60"/>
      <c r="J4591" s="63"/>
      <c r="K4591" s="61" t="str">
        <f aca="false">IF($P4591=0,"",IF($F4591="Baseline","— Baseline",IF($O4591=0,"No result",IF($N4591=0,"No Start (attainment only)",IF(OR($N4591=1,$O4591=1),"U – needs rule",INDEX(MxBody,MATCH($I4591,MxCurr,0),MATCH($H4591,MxStart,0)))))))</f>
        <v/>
      </c>
      <c r="L4591" s="62" t="str">
        <f aca="false">IF(COUNTA($A4591,$F4591,$G4591,$H4591,$I4591,$J4591)=0,"",IF($M4591=0,"✖ كود الصف غير موجود",IF(ISNA(MATCH($F4591,Lists!$A$2:$A$5,0)),"✖ الفترة غير صحيحة",IF(ISNA(MATCH($G4591,Lists!$B$2:$B$7,0)),"✖ المجموعة غير صحيحة",IF(NOT(OR($H4591="",$N4591&gt;0)),"✖ Start غير صحيح",IF(NOT(OR($I4591="",$I4591="NR",$O4591&gt;0)),"✖ Current غير صحيح",IF(NOT(IF(ISNUMBER($J4591),AND($J4591&gt;=0,$J4591=INT($J4591)),FALSE())),"✖ العدد يجب أن يكون صحيحًا ≥ 0",IF(AND($F4591="Baseline",$H4591&lt;&gt;""),"⚠ Baseline: Start لا يدخل في التقدم",IF($K4591="No Start (attainment only)","ℹ تحصيل فقط (بدون Start)",IF($K4591="U – needs rule","ℹ حالة U تحتاج قاعدة معتمدة",IF($K4591="No result","ℹ بدون نتيجة (يُستبعد من التحصيل)","OK")))))))))))</f>
        <v/>
      </c>
      <c r="M4591" s="64" t="n">
        <f aca="false">IF($A4591="",0,IFERROR(MATCH($A4591,Classes!$A$6:$A$420,0),0))</f>
        <v>0</v>
      </c>
      <c r="N4591" s="64" t="n">
        <f aca="false">IF($H4591="",0,IFERROR(MATCH($H4591,GradeList,0),0))</f>
        <v>0</v>
      </c>
      <c r="O4591" s="64" t="n">
        <f aca="false">IF(OR($I4591="",$I4591="NR"),0,IFERROR(MATCH($I4591,GradeList,0),0))</f>
        <v>0</v>
      </c>
      <c r="P4591" s="64" t="n">
        <f aca="false">IF(AND($M4591&gt;0,ISNUMBER(MATCH($F4591,Lists!$A$2:$A$5,0)),ISNUMBER(MATCH($G4591,Lists!$B$2:$B$7,0)),OR($H4591="",$N4591&gt;0),OR($I4591="",$I4591="NR",$O4591&gt;0),IF(ISNUMBER($J4591),AND($J4591&gt;=0,$J4591=INT($J4591)),FALSE())),$J4591,0)</f>
        <v>0</v>
      </c>
      <c r="Q4591" s="64" t="n">
        <f aca="false">IF(AND($P4591&gt;0,$O4591&gt;0),$P4591,0)</f>
        <v>0</v>
      </c>
      <c r="R4591" s="64" t="n">
        <f aca="false">IF(AND($Q4591&gt;0,$O4591&gt;=AtRank),$Q4591,0)</f>
        <v>0</v>
      </c>
      <c r="S4591" s="64" t="n">
        <f aca="false">IF(AND($Q4591&gt;0,$O4591&gt;=AboveRank),$Q4591,0)</f>
        <v>0</v>
      </c>
      <c r="T4591" s="64" t="n">
        <f aca="false">IF($K4591="Less",$P4591,0)</f>
        <v>0</v>
      </c>
      <c r="U4591" s="64" t="n">
        <f aca="false">IF($K4591="Expected",$P4591,0)</f>
        <v>0</v>
      </c>
      <c r="V4591" s="64" t="n">
        <f aca="false">IF($K4591="Better",$P4591,0)</f>
        <v>0</v>
      </c>
      <c r="W4591" s="64" t="n">
        <f aca="false">IF($K4591="U – needs rule",$P4591,0)</f>
        <v>0</v>
      </c>
      <c r="X4591" s="64" t="n">
        <f aca="false">IF($K4591="No Start (attainment only)",$P4591,0)</f>
        <v>0</v>
      </c>
    </row>
    <row r="4592" customFormat="false" ht="15" hidden="false" customHeight="false" outlineLevel="0" collapsed="false">
      <c r="A4592" s="60"/>
      <c r="B4592" s="61" t="str">
        <f aca="false">IF($M4592=0,"",INDEX(Classes!$E$6:$E$420,$M4592))</f>
        <v/>
      </c>
      <c r="C4592" s="62" t="str">
        <f aca="false">IF($M4592=0,"",INDEX(Classes!$H$6:$H$420,$M4592))</f>
        <v/>
      </c>
      <c r="D4592" s="61" t="str">
        <f aca="false">IF($M4592=0,"",INDEX(Classes!$B$6:$B$420,$M4592))</f>
        <v/>
      </c>
      <c r="E4592" s="61" t="str">
        <f aca="false">IF($M4592=0,"",INDEX(Classes!$C$6:$C$420,$M4592))</f>
        <v/>
      </c>
      <c r="F4592" s="63"/>
      <c r="G4592" s="63"/>
      <c r="H4592" s="60"/>
      <c r="I4592" s="60"/>
      <c r="J4592" s="63"/>
      <c r="K4592" s="61" t="str">
        <f aca="false">IF($P4592=0,"",IF($F4592="Baseline","— Baseline",IF($O4592=0,"No result",IF($N4592=0,"No Start (attainment only)",IF(OR($N4592=1,$O4592=1),"U – needs rule",INDEX(MxBody,MATCH($I4592,MxCurr,0),MATCH($H4592,MxStart,0)))))))</f>
        <v/>
      </c>
      <c r="L4592" s="62" t="str">
        <f aca="false">IF(COUNTA($A4592,$F4592,$G4592,$H4592,$I4592,$J4592)=0,"",IF($M4592=0,"✖ كود الصف غير موجود",IF(ISNA(MATCH($F4592,Lists!$A$2:$A$5,0)),"✖ الفترة غير صحيحة",IF(ISNA(MATCH($G4592,Lists!$B$2:$B$7,0)),"✖ المجموعة غير صحيحة",IF(NOT(OR($H4592="",$N4592&gt;0)),"✖ Start غير صحيح",IF(NOT(OR($I4592="",$I4592="NR",$O4592&gt;0)),"✖ Current غير صحيح",IF(NOT(IF(ISNUMBER($J4592),AND($J4592&gt;=0,$J4592=INT($J4592)),FALSE())),"✖ العدد يجب أن يكون صحيحًا ≥ 0",IF(AND($F4592="Baseline",$H4592&lt;&gt;""),"⚠ Baseline: Start لا يدخل في التقدم",IF($K4592="No Start (attainment only)","ℹ تحصيل فقط (بدون Start)",IF($K4592="U – needs rule","ℹ حالة U تحتاج قاعدة معتمدة",IF($K4592="No result","ℹ بدون نتيجة (يُستبعد من التحصيل)","OK")))))))))))</f>
        <v/>
      </c>
      <c r="M4592" s="64" t="n">
        <f aca="false">IF($A4592="",0,IFERROR(MATCH($A4592,Classes!$A$6:$A$420,0),0))</f>
        <v>0</v>
      </c>
      <c r="N4592" s="64" t="n">
        <f aca="false">IF($H4592="",0,IFERROR(MATCH($H4592,GradeList,0),0))</f>
        <v>0</v>
      </c>
      <c r="O4592" s="64" t="n">
        <f aca="false">IF(OR($I4592="",$I4592="NR"),0,IFERROR(MATCH($I4592,GradeList,0),0))</f>
        <v>0</v>
      </c>
      <c r="P4592" s="64" t="n">
        <f aca="false">IF(AND($M4592&gt;0,ISNUMBER(MATCH($F4592,Lists!$A$2:$A$5,0)),ISNUMBER(MATCH($G4592,Lists!$B$2:$B$7,0)),OR($H4592="",$N4592&gt;0),OR($I4592="",$I4592="NR",$O4592&gt;0),IF(ISNUMBER($J4592),AND($J4592&gt;=0,$J4592=INT($J4592)),FALSE())),$J4592,0)</f>
        <v>0</v>
      </c>
      <c r="Q4592" s="64" t="n">
        <f aca="false">IF(AND($P4592&gt;0,$O4592&gt;0),$P4592,0)</f>
        <v>0</v>
      </c>
      <c r="R4592" s="64" t="n">
        <f aca="false">IF(AND($Q4592&gt;0,$O4592&gt;=AtRank),$Q4592,0)</f>
        <v>0</v>
      </c>
      <c r="S4592" s="64" t="n">
        <f aca="false">IF(AND($Q4592&gt;0,$O4592&gt;=AboveRank),$Q4592,0)</f>
        <v>0</v>
      </c>
      <c r="T4592" s="64" t="n">
        <f aca="false">IF($K4592="Less",$P4592,0)</f>
        <v>0</v>
      </c>
      <c r="U4592" s="64" t="n">
        <f aca="false">IF($K4592="Expected",$P4592,0)</f>
        <v>0</v>
      </c>
      <c r="V4592" s="64" t="n">
        <f aca="false">IF($K4592="Better",$P4592,0)</f>
        <v>0</v>
      </c>
      <c r="W4592" s="64" t="n">
        <f aca="false">IF($K4592="U – needs rule",$P4592,0)</f>
        <v>0</v>
      </c>
      <c r="X4592" s="64" t="n">
        <f aca="false">IF($K4592="No Start (attainment only)",$P4592,0)</f>
        <v>0</v>
      </c>
    </row>
    <row r="4593" customFormat="false" ht="15" hidden="false" customHeight="false" outlineLevel="0" collapsed="false">
      <c r="A4593" s="60"/>
      <c r="B4593" s="61" t="str">
        <f aca="false">IF($M4593=0,"",INDEX(Classes!$E$6:$E$420,$M4593))</f>
        <v/>
      </c>
      <c r="C4593" s="62" t="str">
        <f aca="false">IF($M4593=0,"",INDEX(Classes!$H$6:$H$420,$M4593))</f>
        <v/>
      </c>
      <c r="D4593" s="61" t="str">
        <f aca="false">IF($M4593=0,"",INDEX(Classes!$B$6:$B$420,$M4593))</f>
        <v/>
      </c>
      <c r="E4593" s="61" t="str">
        <f aca="false">IF($M4593=0,"",INDEX(Classes!$C$6:$C$420,$M4593))</f>
        <v/>
      </c>
      <c r="F4593" s="63"/>
      <c r="G4593" s="63"/>
      <c r="H4593" s="60"/>
      <c r="I4593" s="60"/>
      <c r="J4593" s="63"/>
      <c r="K4593" s="61" t="str">
        <f aca="false">IF($P4593=0,"",IF($F4593="Baseline","— Baseline",IF($O4593=0,"No result",IF($N4593=0,"No Start (attainment only)",IF(OR($N4593=1,$O4593=1),"U – needs rule",INDEX(MxBody,MATCH($I4593,MxCurr,0),MATCH($H4593,MxStart,0)))))))</f>
        <v/>
      </c>
      <c r="L4593" s="62" t="str">
        <f aca="false">IF(COUNTA($A4593,$F4593,$G4593,$H4593,$I4593,$J4593)=0,"",IF($M4593=0,"✖ كود الصف غير موجود",IF(ISNA(MATCH($F4593,Lists!$A$2:$A$5,0)),"✖ الفترة غير صحيحة",IF(ISNA(MATCH($G4593,Lists!$B$2:$B$7,0)),"✖ المجموعة غير صحيحة",IF(NOT(OR($H4593="",$N4593&gt;0)),"✖ Start غير صحيح",IF(NOT(OR($I4593="",$I4593="NR",$O4593&gt;0)),"✖ Current غير صحيح",IF(NOT(IF(ISNUMBER($J4593),AND($J4593&gt;=0,$J4593=INT($J4593)),FALSE())),"✖ العدد يجب أن يكون صحيحًا ≥ 0",IF(AND($F4593="Baseline",$H4593&lt;&gt;""),"⚠ Baseline: Start لا يدخل في التقدم",IF($K4593="No Start (attainment only)","ℹ تحصيل فقط (بدون Start)",IF($K4593="U – needs rule","ℹ حالة U تحتاج قاعدة معتمدة",IF($K4593="No result","ℹ بدون نتيجة (يُستبعد من التحصيل)","OK")))))))))))</f>
        <v/>
      </c>
      <c r="M4593" s="64" t="n">
        <f aca="false">IF($A4593="",0,IFERROR(MATCH($A4593,Classes!$A$6:$A$420,0),0))</f>
        <v>0</v>
      </c>
      <c r="N4593" s="64" t="n">
        <f aca="false">IF($H4593="",0,IFERROR(MATCH($H4593,GradeList,0),0))</f>
        <v>0</v>
      </c>
      <c r="O4593" s="64" t="n">
        <f aca="false">IF(OR($I4593="",$I4593="NR"),0,IFERROR(MATCH($I4593,GradeList,0),0))</f>
        <v>0</v>
      </c>
      <c r="P4593" s="64" t="n">
        <f aca="false">IF(AND($M4593&gt;0,ISNUMBER(MATCH($F4593,Lists!$A$2:$A$5,0)),ISNUMBER(MATCH($G4593,Lists!$B$2:$B$7,0)),OR($H4593="",$N4593&gt;0),OR($I4593="",$I4593="NR",$O4593&gt;0),IF(ISNUMBER($J4593),AND($J4593&gt;=0,$J4593=INT($J4593)),FALSE())),$J4593,0)</f>
        <v>0</v>
      </c>
      <c r="Q4593" s="64" t="n">
        <f aca="false">IF(AND($P4593&gt;0,$O4593&gt;0),$P4593,0)</f>
        <v>0</v>
      </c>
      <c r="R4593" s="64" t="n">
        <f aca="false">IF(AND($Q4593&gt;0,$O4593&gt;=AtRank),$Q4593,0)</f>
        <v>0</v>
      </c>
      <c r="S4593" s="64" t="n">
        <f aca="false">IF(AND($Q4593&gt;0,$O4593&gt;=AboveRank),$Q4593,0)</f>
        <v>0</v>
      </c>
      <c r="T4593" s="64" t="n">
        <f aca="false">IF($K4593="Less",$P4593,0)</f>
        <v>0</v>
      </c>
      <c r="U4593" s="64" t="n">
        <f aca="false">IF($K4593="Expected",$P4593,0)</f>
        <v>0</v>
      </c>
      <c r="V4593" s="64" t="n">
        <f aca="false">IF($K4593="Better",$P4593,0)</f>
        <v>0</v>
      </c>
      <c r="W4593" s="64" t="n">
        <f aca="false">IF($K4593="U – needs rule",$P4593,0)</f>
        <v>0</v>
      </c>
      <c r="X4593" s="64" t="n">
        <f aca="false">IF($K4593="No Start (attainment only)",$P4593,0)</f>
        <v>0</v>
      </c>
    </row>
    <row r="4594" customFormat="false" ht="15" hidden="false" customHeight="false" outlineLevel="0" collapsed="false">
      <c r="A4594" s="60"/>
      <c r="B4594" s="61" t="str">
        <f aca="false">IF($M4594=0,"",INDEX(Classes!$E$6:$E$420,$M4594))</f>
        <v/>
      </c>
      <c r="C4594" s="62" t="str">
        <f aca="false">IF($M4594=0,"",INDEX(Classes!$H$6:$H$420,$M4594))</f>
        <v/>
      </c>
      <c r="D4594" s="61" t="str">
        <f aca="false">IF($M4594=0,"",INDEX(Classes!$B$6:$B$420,$M4594))</f>
        <v/>
      </c>
      <c r="E4594" s="61" t="str">
        <f aca="false">IF($M4594=0,"",INDEX(Classes!$C$6:$C$420,$M4594))</f>
        <v/>
      </c>
      <c r="F4594" s="63"/>
      <c r="G4594" s="63"/>
      <c r="H4594" s="60"/>
      <c r="I4594" s="60"/>
      <c r="J4594" s="63"/>
      <c r="K4594" s="61" t="str">
        <f aca="false">IF($P4594=0,"",IF($F4594="Baseline","— Baseline",IF($O4594=0,"No result",IF($N4594=0,"No Start (attainment only)",IF(OR($N4594=1,$O4594=1),"U – needs rule",INDEX(MxBody,MATCH($I4594,MxCurr,0),MATCH($H4594,MxStart,0)))))))</f>
        <v/>
      </c>
      <c r="L4594" s="62" t="str">
        <f aca="false">IF(COUNTA($A4594,$F4594,$G4594,$H4594,$I4594,$J4594)=0,"",IF($M4594=0,"✖ كود الصف غير موجود",IF(ISNA(MATCH($F4594,Lists!$A$2:$A$5,0)),"✖ الفترة غير صحيحة",IF(ISNA(MATCH($G4594,Lists!$B$2:$B$7,0)),"✖ المجموعة غير صحيحة",IF(NOT(OR($H4594="",$N4594&gt;0)),"✖ Start غير صحيح",IF(NOT(OR($I4594="",$I4594="NR",$O4594&gt;0)),"✖ Current غير صحيح",IF(NOT(IF(ISNUMBER($J4594),AND($J4594&gt;=0,$J4594=INT($J4594)),FALSE())),"✖ العدد يجب أن يكون صحيحًا ≥ 0",IF(AND($F4594="Baseline",$H4594&lt;&gt;""),"⚠ Baseline: Start لا يدخل في التقدم",IF($K4594="No Start (attainment only)","ℹ تحصيل فقط (بدون Start)",IF($K4594="U – needs rule","ℹ حالة U تحتاج قاعدة معتمدة",IF($K4594="No result","ℹ بدون نتيجة (يُستبعد من التحصيل)","OK")))))))))))</f>
        <v/>
      </c>
      <c r="M4594" s="64" t="n">
        <f aca="false">IF($A4594="",0,IFERROR(MATCH($A4594,Classes!$A$6:$A$420,0),0))</f>
        <v>0</v>
      </c>
      <c r="N4594" s="64" t="n">
        <f aca="false">IF($H4594="",0,IFERROR(MATCH($H4594,GradeList,0),0))</f>
        <v>0</v>
      </c>
      <c r="O4594" s="64" t="n">
        <f aca="false">IF(OR($I4594="",$I4594="NR"),0,IFERROR(MATCH($I4594,GradeList,0),0))</f>
        <v>0</v>
      </c>
      <c r="P4594" s="64" t="n">
        <f aca="false">IF(AND($M4594&gt;0,ISNUMBER(MATCH($F4594,Lists!$A$2:$A$5,0)),ISNUMBER(MATCH($G4594,Lists!$B$2:$B$7,0)),OR($H4594="",$N4594&gt;0),OR($I4594="",$I4594="NR",$O4594&gt;0),IF(ISNUMBER($J4594),AND($J4594&gt;=0,$J4594=INT($J4594)),FALSE())),$J4594,0)</f>
        <v>0</v>
      </c>
      <c r="Q4594" s="64" t="n">
        <f aca="false">IF(AND($P4594&gt;0,$O4594&gt;0),$P4594,0)</f>
        <v>0</v>
      </c>
      <c r="R4594" s="64" t="n">
        <f aca="false">IF(AND($Q4594&gt;0,$O4594&gt;=AtRank),$Q4594,0)</f>
        <v>0</v>
      </c>
      <c r="S4594" s="64" t="n">
        <f aca="false">IF(AND($Q4594&gt;0,$O4594&gt;=AboveRank),$Q4594,0)</f>
        <v>0</v>
      </c>
      <c r="T4594" s="64" t="n">
        <f aca="false">IF($K4594="Less",$P4594,0)</f>
        <v>0</v>
      </c>
      <c r="U4594" s="64" t="n">
        <f aca="false">IF($K4594="Expected",$P4594,0)</f>
        <v>0</v>
      </c>
      <c r="V4594" s="64" t="n">
        <f aca="false">IF($K4594="Better",$P4594,0)</f>
        <v>0</v>
      </c>
      <c r="W4594" s="64" t="n">
        <f aca="false">IF($K4594="U – needs rule",$P4594,0)</f>
        <v>0</v>
      </c>
      <c r="X4594" s="64" t="n">
        <f aca="false">IF($K4594="No Start (attainment only)",$P4594,0)</f>
        <v>0</v>
      </c>
    </row>
    <row r="4595" customFormat="false" ht="15" hidden="false" customHeight="false" outlineLevel="0" collapsed="false">
      <c r="A4595" s="60"/>
      <c r="B4595" s="61" t="str">
        <f aca="false">IF($M4595=0,"",INDEX(Classes!$E$6:$E$420,$M4595))</f>
        <v/>
      </c>
      <c r="C4595" s="62" t="str">
        <f aca="false">IF($M4595=0,"",INDEX(Classes!$H$6:$H$420,$M4595))</f>
        <v/>
      </c>
      <c r="D4595" s="61" t="str">
        <f aca="false">IF($M4595=0,"",INDEX(Classes!$B$6:$B$420,$M4595))</f>
        <v/>
      </c>
      <c r="E4595" s="61" t="str">
        <f aca="false">IF($M4595=0,"",INDEX(Classes!$C$6:$C$420,$M4595))</f>
        <v/>
      </c>
      <c r="F4595" s="63"/>
      <c r="G4595" s="63"/>
      <c r="H4595" s="60"/>
      <c r="I4595" s="60"/>
      <c r="J4595" s="63"/>
      <c r="K4595" s="61" t="str">
        <f aca="false">IF($P4595=0,"",IF($F4595="Baseline","— Baseline",IF($O4595=0,"No result",IF($N4595=0,"No Start (attainment only)",IF(OR($N4595=1,$O4595=1),"U – needs rule",INDEX(MxBody,MATCH($I4595,MxCurr,0),MATCH($H4595,MxStart,0)))))))</f>
        <v/>
      </c>
      <c r="L4595" s="62" t="str">
        <f aca="false">IF(COUNTA($A4595,$F4595,$G4595,$H4595,$I4595,$J4595)=0,"",IF($M4595=0,"✖ كود الصف غير موجود",IF(ISNA(MATCH($F4595,Lists!$A$2:$A$5,0)),"✖ الفترة غير صحيحة",IF(ISNA(MATCH($G4595,Lists!$B$2:$B$7,0)),"✖ المجموعة غير صحيحة",IF(NOT(OR($H4595="",$N4595&gt;0)),"✖ Start غير صحيح",IF(NOT(OR($I4595="",$I4595="NR",$O4595&gt;0)),"✖ Current غير صحيح",IF(NOT(IF(ISNUMBER($J4595),AND($J4595&gt;=0,$J4595=INT($J4595)),FALSE())),"✖ العدد يجب أن يكون صحيحًا ≥ 0",IF(AND($F4595="Baseline",$H4595&lt;&gt;""),"⚠ Baseline: Start لا يدخل في التقدم",IF($K4595="No Start (attainment only)","ℹ تحصيل فقط (بدون Start)",IF($K4595="U – needs rule","ℹ حالة U تحتاج قاعدة معتمدة",IF($K4595="No result","ℹ بدون نتيجة (يُستبعد من التحصيل)","OK")))))))))))</f>
        <v/>
      </c>
      <c r="M4595" s="64" t="n">
        <f aca="false">IF($A4595="",0,IFERROR(MATCH($A4595,Classes!$A$6:$A$420,0),0))</f>
        <v>0</v>
      </c>
      <c r="N4595" s="64" t="n">
        <f aca="false">IF($H4595="",0,IFERROR(MATCH($H4595,GradeList,0),0))</f>
        <v>0</v>
      </c>
      <c r="O4595" s="64" t="n">
        <f aca="false">IF(OR($I4595="",$I4595="NR"),0,IFERROR(MATCH($I4595,GradeList,0),0))</f>
        <v>0</v>
      </c>
      <c r="P4595" s="64" t="n">
        <f aca="false">IF(AND($M4595&gt;0,ISNUMBER(MATCH($F4595,Lists!$A$2:$A$5,0)),ISNUMBER(MATCH($G4595,Lists!$B$2:$B$7,0)),OR($H4595="",$N4595&gt;0),OR($I4595="",$I4595="NR",$O4595&gt;0),IF(ISNUMBER($J4595),AND($J4595&gt;=0,$J4595=INT($J4595)),FALSE())),$J4595,0)</f>
        <v>0</v>
      </c>
      <c r="Q4595" s="64" t="n">
        <f aca="false">IF(AND($P4595&gt;0,$O4595&gt;0),$P4595,0)</f>
        <v>0</v>
      </c>
      <c r="R4595" s="64" t="n">
        <f aca="false">IF(AND($Q4595&gt;0,$O4595&gt;=AtRank),$Q4595,0)</f>
        <v>0</v>
      </c>
      <c r="S4595" s="64" t="n">
        <f aca="false">IF(AND($Q4595&gt;0,$O4595&gt;=AboveRank),$Q4595,0)</f>
        <v>0</v>
      </c>
      <c r="T4595" s="64" t="n">
        <f aca="false">IF($K4595="Less",$P4595,0)</f>
        <v>0</v>
      </c>
      <c r="U4595" s="64" t="n">
        <f aca="false">IF($K4595="Expected",$P4595,0)</f>
        <v>0</v>
      </c>
      <c r="V4595" s="64" t="n">
        <f aca="false">IF($K4595="Better",$P4595,0)</f>
        <v>0</v>
      </c>
      <c r="W4595" s="64" t="n">
        <f aca="false">IF($K4595="U – needs rule",$P4595,0)</f>
        <v>0</v>
      </c>
      <c r="X4595" s="64" t="n">
        <f aca="false">IF($K4595="No Start (attainment only)",$P4595,0)</f>
        <v>0</v>
      </c>
    </row>
    <row r="4596" customFormat="false" ht="15" hidden="false" customHeight="false" outlineLevel="0" collapsed="false">
      <c r="A4596" s="60"/>
      <c r="B4596" s="61" t="str">
        <f aca="false">IF($M4596=0,"",INDEX(Classes!$E$6:$E$420,$M4596))</f>
        <v/>
      </c>
      <c r="C4596" s="62" t="str">
        <f aca="false">IF($M4596=0,"",INDEX(Classes!$H$6:$H$420,$M4596))</f>
        <v/>
      </c>
      <c r="D4596" s="61" t="str">
        <f aca="false">IF($M4596=0,"",INDEX(Classes!$B$6:$B$420,$M4596))</f>
        <v/>
      </c>
      <c r="E4596" s="61" t="str">
        <f aca="false">IF($M4596=0,"",INDEX(Classes!$C$6:$C$420,$M4596))</f>
        <v/>
      </c>
      <c r="F4596" s="63"/>
      <c r="G4596" s="63"/>
      <c r="H4596" s="60"/>
      <c r="I4596" s="60"/>
      <c r="J4596" s="63"/>
      <c r="K4596" s="61" t="str">
        <f aca="false">IF($P4596=0,"",IF($F4596="Baseline","— Baseline",IF($O4596=0,"No result",IF($N4596=0,"No Start (attainment only)",IF(OR($N4596=1,$O4596=1),"U – needs rule",INDEX(MxBody,MATCH($I4596,MxCurr,0),MATCH($H4596,MxStart,0)))))))</f>
        <v/>
      </c>
      <c r="L4596" s="62" t="str">
        <f aca="false">IF(COUNTA($A4596,$F4596,$G4596,$H4596,$I4596,$J4596)=0,"",IF($M4596=0,"✖ كود الصف غير موجود",IF(ISNA(MATCH($F4596,Lists!$A$2:$A$5,0)),"✖ الفترة غير صحيحة",IF(ISNA(MATCH($G4596,Lists!$B$2:$B$7,0)),"✖ المجموعة غير صحيحة",IF(NOT(OR($H4596="",$N4596&gt;0)),"✖ Start غير صحيح",IF(NOT(OR($I4596="",$I4596="NR",$O4596&gt;0)),"✖ Current غير صحيح",IF(NOT(IF(ISNUMBER($J4596),AND($J4596&gt;=0,$J4596=INT($J4596)),FALSE())),"✖ العدد يجب أن يكون صحيحًا ≥ 0",IF(AND($F4596="Baseline",$H4596&lt;&gt;""),"⚠ Baseline: Start لا يدخل في التقدم",IF($K4596="No Start (attainment only)","ℹ تحصيل فقط (بدون Start)",IF($K4596="U – needs rule","ℹ حالة U تحتاج قاعدة معتمدة",IF($K4596="No result","ℹ بدون نتيجة (يُستبعد من التحصيل)","OK")))))))))))</f>
        <v/>
      </c>
      <c r="M4596" s="64" t="n">
        <f aca="false">IF($A4596="",0,IFERROR(MATCH($A4596,Classes!$A$6:$A$420,0),0))</f>
        <v>0</v>
      </c>
      <c r="N4596" s="64" t="n">
        <f aca="false">IF($H4596="",0,IFERROR(MATCH($H4596,GradeList,0),0))</f>
        <v>0</v>
      </c>
      <c r="O4596" s="64" t="n">
        <f aca="false">IF(OR($I4596="",$I4596="NR"),0,IFERROR(MATCH($I4596,GradeList,0),0))</f>
        <v>0</v>
      </c>
      <c r="P4596" s="64" t="n">
        <f aca="false">IF(AND($M4596&gt;0,ISNUMBER(MATCH($F4596,Lists!$A$2:$A$5,0)),ISNUMBER(MATCH($G4596,Lists!$B$2:$B$7,0)),OR($H4596="",$N4596&gt;0),OR($I4596="",$I4596="NR",$O4596&gt;0),IF(ISNUMBER($J4596),AND($J4596&gt;=0,$J4596=INT($J4596)),FALSE())),$J4596,0)</f>
        <v>0</v>
      </c>
      <c r="Q4596" s="64" t="n">
        <f aca="false">IF(AND($P4596&gt;0,$O4596&gt;0),$P4596,0)</f>
        <v>0</v>
      </c>
      <c r="R4596" s="64" t="n">
        <f aca="false">IF(AND($Q4596&gt;0,$O4596&gt;=AtRank),$Q4596,0)</f>
        <v>0</v>
      </c>
      <c r="S4596" s="64" t="n">
        <f aca="false">IF(AND($Q4596&gt;0,$O4596&gt;=AboveRank),$Q4596,0)</f>
        <v>0</v>
      </c>
      <c r="T4596" s="64" t="n">
        <f aca="false">IF($K4596="Less",$P4596,0)</f>
        <v>0</v>
      </c>
      <c r="U4596" s="64" t="n">
        <f aca="false">IF($K4596="Expected",$P4596,0)</f>
        <v>0</v>
      </c>
      <c r="V4596" s="64" t="n">
        <f aca="false">IF($K4596="Better",$P4596,0)</f>
        <v>0</v>
      </c>
      <c r="W4596" s="64" t="n">
        <f aca="false">IF($K4596="U – needs rule",$P4596,0)</f>
        <v>0</v>
      </c>
      <c r="X4596" s="64" t="n">
        <f aca="false">IF($K4596="No Start (attainment only)",$P4596,0)</f>
        <v>0</v>
      </c>
    </row>
    <row r="4597" customFormat="false" ht="15" hidden="false" customHeight="false" outlineLevel="0" collapsed="false">
      <c r="A4597" s="60"/>
      <c r="B4597" s="61" t="str">
        <f aca="false">IF($M4597=0,"",INDEX(Classes!$E$6:$E$420,$M4597))</f>
        <v/>
      </c>
      <c r="C4597" s="62" t="str">
        <f aca="false">IF($M4597=0,"",INDEX(Classes!$H$6:$H$420,$M4597))</f>
        <v/>
      </c>
      <c r="D4597" s="61" t="str">
        <f aca="false">IF($M4597=0,"",INDEX(Classes!$B$6:$B$420,$M4597))</f>
        <v/>
      </c>
      <c r="E4597" s="61" t="str">
        <f aca="false">IF($M4597=0,"",INDEX(Classes!$C$6:$C$420,$M4597))</f>
        <v/>
      </c>
      <c r="F4597" s="63"/>
      <c r="G4597" s="63"/>
      <c r="H4597" s="60"/>
      <c r="I4597" s="60"/>
      <c r="J4597" s="63"/>
      <c r="K4597" s="61" t="str">
        <f aca="false">IF($P4597=0,"",IF($F4597="Baseline","— Baseline",IF($O4597=0,"No result",IF($N4597=0,"No Start (attainment only)",IF(OR($N4597=1,$O4597=1),"U – needs rule",INDEX(MxBody,MATCH($I4597,MxCurr,0),MATCH($H4597,MxStart,0)))))))</f>
        <v/>
      </c>
      <c r="L4597" s="62" t="str">
        <f aca="false">IF(COUNTA($A4597,$F4597,$G4597,$H4597,$I4597,$J4597)=0,"",IF($M4597=0,"✖ كود الصف غير موجود",IF(ISNA(MATCH($F4597,Lists!$A$2:$A$5,0)),"✖ الفترة غير صحيحة",IF(ISNA(MATCH($G4597,Lists!$B$2:$B$7,0)),"✖ المجموعة غير صحيحة",IF(NOT(OR($H4597="",$N4597&gt;0)),"✖ Start غير صحيح",IF(NOT(OR($I4597="",$I4597="NR",$O4597&gt;0)),"✖ Current غير صحيح",IF(NOT(IF(ISNUMBER($J4597),AND($J4597&gt;=0,$J4597=INT($J4597)),FALSE())),"✖ العدد يجب أن يكون صحيحًا ≥ 0",IF(AND($F4597="Baseline",$H4597&lt;&gt;""),"⚠ Baseline: Start لا يدخل في التقدم",IF($K4597="No Start (attainment only)","ℹ تحصيل فقط (بدون Start)",IF($K4597="U – needs rule","ℹ حالة U تحتاج قاعدة معتمدة",IF($K4597="No result","ℹ بدون نتيجة (يُستبعد من التحصيل)","OK")))))))))))</f>
        <v/>
      </c>
      <c r="M4597" s="64" t="n">
        <f aca="false">IF($A4597="",0,IFERROR(MATCH($A4597,Classes!$A$6:$A$420,0),0))</f>
        <v>0</v>
      </c>
      <c r="N4597" s="64" t="n">
        <f aca="false">IF($H4597="",0,IFERROR(MATCH($H4597,GradeList,0),0))</f>
        <v>0</v>
      </c>
      <c r="O4597" s="64" t="n">
        <f aca="false">IF(OR($I4597="",$I4597="NR"),0,IFERROR(MATCH($I4597,GradeList,0),0))</f>
        <v>0</v>
      </c>
      <c r="P4597" s="64" t="n">
        <f aca="false">IF(AND($M4597&gt;0,ISNUMBER(MATCH($F4597,Lists!$A$2:$A$5,0)),ISNUMBER(MATCH($G4597,Lists!$B$2:$B$7,0)),OR($H4597="",$N4597&gt;0),OR($I4597="",$I4597="NR",$O4597&gt;0),IF(ISNUMBER($J4597),AND($J4597&gt;=0,$J4597=INT($J4597)),FALSE())),$J4597,0)</f>
        <v>0</v>
      </c>
      <c r="Q4597" s="64" t="n">
        <f aca="false">IF(AND($P4597&gt;0,$O4597&gt;0),$P4597,0)</f>
        <v>0</v>
      </c>
      <c r="R4597" s="64" t="n">
        <f aca="false">IF(AND($Q4597&gt;0,$O4597&gt;=AtRank),$Q4597,0)</f>
        <v>0</v>
      </c>
      <c r="S4597" s="64" t="n">
        <f aca="false">IF(AND($Q4597&gt;0,$O4597&gt;=AboveRank),$Q4597,0)</f>
        <v>0</v>
      </c>
      <c r="T4597" s="64" t="n">
        <f aca="false">IF($K4597="Less",$P4597,0)</f>
        <v>0</v>
      </c>
      <c r="U4597" s="64" t="n">
        <f aca="false">IF($K4597="Expected",$P4597,0)</f>
        <v>0</v>
      </c>
      <c r="V4597" s="64" t="n">
        <f aca="false">IF($K4597="Better",$P4597,0)</f>
        <v>0</v>
      </c>
      <c r="W4597" s="64" t="n">
        <f aca="false">IF($K4597="U – needs rule",$P4597,0)</f>
        <v>0</v>
      </c>
      <c r="X4597" s="64" t="n">
        <f aca="false">IF($K4597="No Start (attainment only)",$P4597,0)</f>
        <v>0</v>
      </c>
    </row>
    <row r="4598" customFormat="false" ht="15" hidden="false" customHeight="false" outlineLevel="0" collapsed="false">
      <c r="A4598" s="60"/>
      <c r="B4598" s="61" t="str">
        <f aca="false">IF($M4598=0,"",INDEX(Classes!$E$6:$E$420,$M4598))</f>
        <v/>
      </c>
      <c r="C4598" s="62" t="str">
        <f aca="false">IF($M4598=0,"",INDEX(Classes!$H$6:$H$420,$M4598))</f>
        <v/>
      </c>
      <c r="D4598" s="61" t="str">
        <f aca="false">IF($M4598=0,"",INDEX(Classes!$B$6:$B$420,$M4598))</f>
        <v/>
      </c>
      <c r="E4598" s="61" t="str">
        <f aca="false">IF($M4598=0,"",INDEX(Classes!$C$6:$C$420,$M4598))</f>
        <v/>
      </c>
      <c r="F4598" s="63"/>
      <c r="G4598" s="63"/>
      <c r="H4598" s="60"/>
      <c r="I4598" s="60"/>
      <c r="J4598" s="63"/>
      <c r="K4598" s="61" t="str">
        <f aca="false">IF($P4598=0,"",IF($F4598="Baseline","— Baseline",IF($O4598=0,"No result",IF($N4598=0,"No Start (attainment only)",IF(OR($N4598=1,$O4598=1),"U – needs rule",INDEX(MxBody,MATCH($I4598,MxCurr,0),MATCH($H4598,MxStart,0)))))))</f>
        <v/>
      </c>
      <c r="L4598" s="62" t="str">
        <f aca="false">IF(COUNTA($A4598,$F4598,$G4598,$H4598,$I4598,$J4598)=0,"",IF($M4598=0,"✖ كود الصف غير موجود",IF(ISNA(MATCH($F4598,Lists!$A$2:$A$5,0)),"✖ الفترة غير صحيحة",IF(ISNA(MATCH($G4598,Lists!$B$2:$B$7,0)),"✖ المجموعة غير صحيحة",IF(NOT(OR($H4598="",$N4598&gt;0)),"✖ Start غير صحيح",IF(NOT(OR($I4598="",$I4598="NR",$O4598&gt;0)),"✖ Current غير صحيح",IF(NOT(IF(ISNUMBER($J4598),AND($J4598&gt;=0,$J4598=INT($J4598)),FALSE())),"✖ العدد يجب أن يكون صحيحًا ≥ 0",IF(AND($F4598="Baseline",$H4598&lt;&gt;""),"⚠ Baseline: Start لا يدخل في التقدم",IF($K4598="No Start (attainment only)","ℹ تحصيل فقط (بدون Start)",IF($K4598="U – needs rule","ℹ حالة U تحتاج قاعدة معتمدة",IF($K4598="No result","ℹ بدون نتيجة (يُستبعد من التحصيل)","OK")))))))))))</f>
        <v/>
      </c>
      <c r="M4598" s="64" t="n">
        <f aca="false">IF($A4598="",0,IFERROR(MATCH($A4598,Classes!$A$6:$A$420,0),0))</f>
        <v>0</v>
      </c>
      <c r="N4598" s="64" t="n">
        <f aca="false">IF($H4598="",0,IFERROR(MATCH($H4598,GradeList,0),0))</f>
        <v>0</v>
      </c>
      <c r="O4598" s="64" t="n">
        <f aca="false">IF(OR($I4598="",$I4598="NR"),0,IFERROR(MATCH($I4598,GradeList,0),0))</f>
        <v>0</v>
      </c>
      <c r="P4598" s="64" t="n">
        <f aca="false">IF(AND($M4598&gt;0,ISNUMBER(MATCH($F4598,Lists!$A$2:$A$5,0)),ISNUMBER(MATCH($G4598,Lists!$B$2:$B$7,0)),OR($H4598="",$N4598&gt;0),OR($I4598="",$I4598="NR",$O4598&gt;0),IF(ISNUMBER($J4598),AND($J4598&gt;=0,$J4598=INT($J4598)),FALSE())),$J4598,0)</f>
        <v>0</v>
      </c>
      <c r="Q4598" s="64" t="n">
        <f aca="false">IF(AND($P4598&gt;0,$O4598&gt;0),$P4598,0)</f>
        <v>0</v>
      </c>
      <c r="R4598" s="64" t="n">
        <f aca="false">IF(AND($Q4598&gt;0,$O4598&gt;=AtRank),$Q4598,0)</f>
        <v>0</v>
      </c>
      <c r="S4598" s="64" t="n">
        <f aca="false">IF(AND($Q4598&gt;0,$O4598&gt;=AboveRank),$Q4598,0)</f>
        <v>0</v>
      </c>
      <c r="T4598" s="64" t="n">
        <f aca="false">IF($K4598="Less",$P4598,0)</f>
        <v>0</v>
      </c>
      <c r="U4598" s="64" t="n">
        <f aca="false">IF($K4598="Expected",$P4598,0)</f>
        <v>0</v>
      </c>
      <c r="V4598" s="64" t="n">
        <f aca="false">IF($K4598="Better",$P4598,0)</f>
        <v>0</v>
      </c>
      <c r="W4598" s="64" t="n">
        <f aca="false">IF($K4598="U – needs rule",$P4598,0)</f>
        <v>0</v>
      </c>
      <c r="X4598" s="64" t="n">
        <f aca="false">IF($K4598="No Start (attainment only)",$P4598,0)</f>
        <v>0</v>
      </c>
    </row>
    <row r="4599" customFormat="false" ht="15" hidden="false" customHeight="false" outlineLevel="0" collapsed="false">
      <c r="A4599" s="60"/>
      <c r="B4599" s="61" t="str">
        <f aca="false">IF($M4599=0,"",INDEX(Classes!$E$6:$E$420,$M4599))</f>
        <v/>
      </c>
      <c r="C4599" s="62" t="str">
        <f aca="false">IF($M4599=0,"",INDEX(Classes!$H$6:$H$420,$M4599))</f>
        <v/>
      </c>
      <c r="D4599" s="61" t="str">
        <f aca="false">IF($M4599=0,"",INDEX(Classes!$B$6:$B$420,$M4599))</f>
        <v/>
      </c>
      <c r="E4599" s="61" t="str">
        <f aca="false">IF($M4599=0,"",INDEX(Classes!$C$6:$C$420,$M4599))</f>
        <v/>
      </c>
      <c r="F4599" s="63"/>
      <c r="G4599" s="63"/>
      <c r="H4599" s="60"/>
      <c r="I4599" s="60"/>
      <c r="J4599" s="63"/>
      <c r="K4599" s="61" t="str">
        <f aca="false">IF($P4599=0,"",IF($F4599="Baseline","— Baseline",IF($O4599=0,"No result",IF($N4599=0,"No Start (attainment only)",IF(OR($N4599=1,$O4599=1),"U – needs rule",INDEX(MxBody,MATCH($I4599,MxCurr,0),MATCH($H4599,MxStart,0)))))))</f>
        <v/>
      </c>
      <c r="L4599" s="62" t="str">
        <f aca="false">IF(COUNTA($A4599,$F4599,$G4599,$H4599,$I4599,$J4599)=0,"",IF($M4599=0,"✖ كود الصف غير موجود",IF(ISNA(MATCH($F4599,Lists!$A$2:$A$5,0)),"✖ الفترة غير صحيحة",IF(ISNA(MATCH($G4599,Lists!$B$2:$B$7,0)),"✖ المجموعة غير صحيحة",IF(NOT(OR($H4599="",$N4599&gt;0)),"✖ Start غير صحيح",IF(NOT(OR($I4599="",$I4599="NR",$O4599&gt;0)),"✖ Current غير صحيح",IF(NOT(IF(ISNUMBER($J4599),AND($J4599&gt;=0,$J4599=INT($J4599)),FALSE())),"✖ العدد يجب أن يكون صحيحًا ≥ 0",IF(AND($F4599="Baseline",$H4599&lt;&gt;""),"⚠ Baseline: Start لا يدخل في التقدم",IF($K4599="No Start (attainment only)","ℹ تحصيل فقط (بدون Start)",IF($K4599="U – needs rule","ℹ حالة U تحتاج قاعدة معتمدة",IF($K4599="No result","ℹ بدون نتيجة (يُستبعد من التحصيل)","OK")))))))))))</f>
        <v/>
      </c>
      <c r="M4599" s="64" t="n">
        <f aca="false">IF($A4599="",0,IFERROR(MATCH($A4599,Classes!$A$6:$A$420,0),0))</f>
        <v>0</v>
      </c>
      <c r="N4599" s="64" t="n">
        <f aca="false">IF($H4599="",0,IFERROR(MATCH($H4599,GradeList,0),0))</f>
        <v>0</v>
      </c>
      <c r="O4599" s="64" t="n">
        <f aca="false">IF(OR($I4599="",$I4599="NR"),0,IFERROR(MATCH($I4599,GradeList,0),0))</f>
        <v>0</v>
      </c>
      <c r="P4599" s="64" t="n">
        <f aca="false">IF(AND($M4599&gt;0,ISNUMBER(MATCH($F4599,Lists!$A$2:$A$5,0)),ISNUMBER(MATCH($G4599,Lists!$B$2:$B$7,0)),OR($H4599="",$N4599&gt;0),OR($I4599="",$I4599="NR",$O4599&gt;0),IF(ISNUMBER($J4599),AND($J4599&gt;=0,$J4599=INT($J4599)),FALSE())),$J4599,0)</f>
        <v>0</v>
      </c>
      <c r="Q4599" s="64" t="n">
        <f aca="false">IF(AND($P4599&gt;0,$O4599&gt;0),$P4599,0)</f>
        <v>0</v>
      </c>
      <c r="R4599" s="64" t="n">
        <f aca="false">IF(AND($Q4599&gt;0,$O4599&gt;=AtRank),$Q4599,0)</f>
        <v>0</v>
      </c>
      <c r="S4599" s="64" t="n">
        <f aca="false">IF(AND($Q4599&gt;0,$O4599&gt;=AboveRank),$Q4599,0)</f>
        <v>0</v>
      </c>
      <c r="T4599" s="64" t="n">
        <f aca="false">IF($K4599="Less",$P4599,0)</f>
        <v>0</v>
      </c>
      <c r="U4599" s="64" t="n">
        <f aca="false">IF($K4599="Expected",$P4599,0)</f>
        <v>0</v>
      </c>
      <c r="V4599" s="64" t="n">
        <f aca="false">IF($K4599="Better",$P4599,0)</f>
        <v>0</v>
      </c>
      <c r="W4599" s="64" t="n">
        <f aca="false">IF($K4599="U – needs rule",$P4599,0)</f>
        <v>0</v>
      </c>
      <c r="X4599" s="64" t="n">
        <f aca="false">IF($K4599="No Start (attainment only)",$P4599,0)</f>
        <v>0</v>
      </c>
    </row>
    <row r="4600" customFormat="false" ht="15" hidden="false" customHeight="false" outlineLevel="0" collapsed="false">
      <c r="A4600" s="60"/>
      <c r="B4600" s="61" t="str">
        <f aca="false">IF($M4600=0,"",INDEX(Classes!$E$6:$E$420,$M4600))</f>
        <v/>
      </c>
      <c r="C4600" s="62" t="str">
        <f aca="false">IF($M4600=0,"",INDEX(Classes!$H$6:$H$420,$M4600))</f>
        <v/>
      </c>
      <c r="D4600" s="61" t="str">
        <f aca="false">IF($M4600=0,"",INDEX(Classes!$B$6:$B$420,$M4600))</f>
        <v/>
      </c>
      <c r="E4600" s="61" t="str">
        <f aca="false">IF($M4600=0,"",INDEX(Classes!$C$6:$C$420,$M4600))</f>
        <v/>
      </c>
      <c r="F4600" s="63"/>
      <c r="G4600" s="63"/>
      <c r="H4600" s="60"/>
      <c r="I4600" s="60"/>
      <c r="J4600" s="63"/>
      <c r="K4600" s="61" t="str">
        <f aca="false">IF($P4600=0,"",IF($F4600="Baseline","— Baseline",IF($O4600=0,"No result",IF($N4600=0,"No Start (attainment only)",IF(OR($N4600=1,$O4600=1),"U – needs rule",INDEX(MxBody,MATCH($I4600,MxCurr,0),MATCH($H4600,MxStart,0)))))))</f>
        <v/>
      </c>
      <c r="L4600" s="62" t="str">
        <f aca="false">IF(COUNTA($A4600,$F4600,$G4600,$H4600,$I4600,$J4600)=0,"",IF($M4600=0,"✖ كود الصف غير موجود",IF(ISNA(MATCH($F4600,Lists!$A$2:$A$5,0)),"✖ الفترة غير صحيحة",IF(ISNA(MATCH($G4600,Lists!$B$2:$B$7,0)),"✖ المجموعة غير صحيحة",IF(NOT(OR($H4600="",$N4600&gt;0)),"✖ Start غير صحيح",IF(NOT(OR($I4600="",$I4600="NR",$O4600&gt;0)),"✖ Current غير صحيح",IF(NOT(IF(ISNUMBER($J4600),AND($J4600&gt;=0,$J4600=INT($J4600)),FALSE())),"✖ العدد يجب أن يكون صحيحًا ≥ 0",IF(AND($F4600="Baseline",$H4600&lt;&gt;""),"⚠ Baseline: Start لا يدخل في التقدم",IF($K4600="No Start (attainment only)","ℹ تحصيل فقط (بدون Start)",IF($K4600="U – needs rule","ℹ حالة U تحتاج قاعدة معتمدة",IF($K4600="No result","ℹ بدون نتيجة (يُستبعد من التحصيل)","OK")))))))))))</f>
        <v/>
      </c>
      <c r="M4600" s="64" t="n">
        <f aca="false">IF($A4600="",0,IFERROR(MATCH($A4600,Classes!$A$6:$A$420,0),0))</f>
        <v>0</v>
      </c>
      <c r="N4600" s="64" t="n">
        <f aca="false">IF($H4600="",0,IFERROR(MATCH($H4600,GradeList,0),0))</f>
        <v>0</v>
      </c>
      <c r="O4600" s="64" t="n">
        <f aca="false">IF(OR($I4600="",$I4600="NR"),0,IFERROR(MATCH($I4600,GradeList,0),0))</f>
        <v>0</v>
      </c>
      <c r="P4600" s="64" t="n">
        <f aca="false">IF(AND($M4600&gt;0,ISNUMBER(MATCH($F4600,Lists!$A$2:$A$5,0)),ISNUMBER(MATCH($G4600,Lists!$B$2:$B$7,0)),OR($H4600="",$N4600&gt;0),OR($I4600="",$I4600="NR",$O4600&gt;0),IF(ISNUMBER($J4600),AND($J4600&gt;=0,$J4600=INT($J4600)),FALSE())),$J4600,0)</f>
        <v>0</v>
      </c>
      <c r="Q4600" s="64" t="n">
        <f aca="false">IF(AND($P4600&gt;0,$O4600&gt;0),$P4600,0)</f>
        <v>0</v>
      </c>
      <c r="R4600" s="64" t="n">
        <f aca="false">IF(AND($Q4600&gt;0,$O4600&gt;=AtRank),$Q4600,0)</f>
        <v>0</v>
      </c>
      <c r="S4600" s="64" t="n">
        <f aca="false">IF(AND($Q4600&gt;0,$O4600&gt;=AboveRank),$Q4600,0)</f>
        <v>0</v>
      </c>
      <c r="T4600" s="64" t="n">
        <f aca="false">IF($K4600="Less",$P4600,0)</f>
        <v>0</v>
      </c>
      <c r="U4600" s="64" t="n">
        <f aca="false">IF($K4600="Expected",$P4600,0)</f>
        <v>0</v>
      </c>
      <c r="V4600" s="64" t="n">
        <f aca="false">IF($K4600="Better",$P4600,0)</f>
        <v>0</v>
      </c>
      <c r="W4600" s="64" t="n">
        <f aca="false">IF($K4600="U – needs rule",$P4600,0)</f>
        <v>0</v>
      </c>
      <c r="X4600" s="64" t="n">
        <f aca="false">IF($K4600="No Start (attainment only)",$P4600,0)</f>
        <v>0</v>
      </c>
    </row>
    <row r="4601" customFormat="false" ht="15" hidden="false" customHeight="false" outlineLevel="0" collapsed="false">
      <c r="A4601" s="60"/>
      <c r="B4601" s="61" t="str">
        <f aca="false">IF($M4601=0,"",INDEX(Classes!$E$6:$E$420,$M4601))</f>
        <v/>
      </c>
      <c r="C4601" s="62" t="str">
        <f aca="false">IF($M4601=0,"",INDEX(Classes!$H$6:$H$420,$M4601))</f>
        <v/>
      </c>
      <c r="D4601" s="61" t="str">
        <f aca="false">IF($M4601=0,"",INDEX(Classes!$B$6:$B$420,$M4601))</f>
        <v/>
      </c>
      <c r="E4601" s="61" t="str">
        <f aca="false">IF($M4601=0,"",INDEX(Classes!$C$6:$C$420,$M4601))</f>
        <v/>
      </c>
      <c r="F4601" s="63"/>
      <c r="G4601" s="63"/>
      <c r="H4601" s="60"/>
      <c r="I4601" s="60"/>
      <c r="J4601" s="63"/>
      <c r="K4601" s="61" t="str">
        <f aca="false">IF($P4601=0,"",IF($F4601="Baseline","— Baseline",IF($O4601=0,"No result",IF($N4601=0,"No Start (attainment only)",IF(OR($N4601=1,$O4601=1),"U – needs rule",INDEX(MxBody,MATCH($I4601,MxCurr,0),MATCH($H4601,MxStart,0)))))))</f>
        <v/>
      </c>
      <c r="L4601" s="62" t="str">
        <f aca="false">IF(COUNTA($A4601,$F4601,$G4601,$H4601,$I4601,$J4601)=0,"",IF($M4601=0,"✖ كود الصف غير موجود",IF(ISNA(MATCH($F4601,Lists!$A$2:$A$5,0)),"✖ الفترة غير صحيحة",IF(ISNA(MATCH($G4601,Lists!$B$2:$B$7,0)),"✖ المجموعة غير صحيحة",IF(NOT(OR($H4601="",$N4601&gt;0)),"✖ Start غير صحيح",IF(NOT(OR($I4601="",$I4601="NR",$O4601&gt;0)),"✖ Current غير صحيح",IF(NOT(IF(ISNUMBER($J4601),AND($J4601&gt;=0,$J4601=INT($J4601)),FALSE())),"✖ العدد يجب أن يكون صحيحًا ≥ 0",IF(AND($F4601="Baseline",$H4601&lt;&gt;""),"⚠ Baseline: Start لا يدخل في التقدم",IF($K4601="No Start (attainment only)","ℹ تحصيل فقط (بدون Start)",IF($K4601="U – needs rule","ℹ حالة U تحتاج قاعدة معتمدة",IF($K4601="No result","ℹ بدون نتيجة (يُستبعد من التحصيل)","OK")))))))))))</f>
        <v/>
      </c>
      <c r="M4601" s="64" t="n">
        <f aca="false">IF($A4601="",0,IFERROR(MATCH($A4601,Classes!$A$6:$A$420,0),0))</f>
        <v>0</v>
      </c>
      <c r="N4601" s="64" t="n">
        <f aca="false">IF($H4601="",0,IFERROR(MATCH($H4601,GradeList,0),0))</f>
        <v>0</v>
      </c>
      <c r="O4601" s="64" t="n">
        <f aca="false">IF(OR($I4601="",$I4601="NR"),0,IFERROR(MATCH($I4601,GradeList,0),0))</f>
        <v>0</v>
      </c>
      <c r="P4601" s="64" t="n">
        <f aca="false">IF(AND($M4601&gt;0,ISNUMBER(MATCH($F4601,Lists!$A$2:$A$5,0)),ISNUMBER(MATCH($G4601,Lists!$B$2:$B$7,0)),OR($H4601="",$N4601&gt;0),OR($I4601="",$I4601="NR",$O4601&gt;0),IF(ISNUMBER($J4601),AND($J4601&gt;=0,$J4601=INT($J4601)),FALSE())),$J4601,0)</f>
        <v>0</v>
      </c>
      <c r="Q4601" s="64" t="n">
        <f aca="false">IF(AND($P4601&gt;0,$O4601&gt;0),$P4601,0)</f>
        <v>0</v>
      </c>
      <c r="R4601" s="64" t="n">
        <f aca="false">IF(AND($Q4601&gt;0,$O4601&gt;=AtRank),$Q4601,0)</f>
        <v>0</v>
      </c>
      <c r="S4601" s="64" t="n">
        <f aca="false">IF(AND($Q4601&gt;0,$O4601&gt;=AboveRank),$Q4601,0)</f>
        <v>0</v>
      </c>
      <c r="T4601" s="64" t="n">
        <f aca="false">IF($K4601="Less",$P4601,0)</f>
        <v>0</v>
      </c>
      <c r="U4601" s="64" t="n">
        <f aca="false">IF($K4601="Expected",$P4601,0)</f>
        <v>0</v>
      </c>
      <c r="V4601" s="64" t="n">
        <f aca="false">IF($K4601="Better",$P4601,0)</f>
        <v>0</v>
      </c>
      <c r="W4601" s="64" t="n">
        <f aca="false">IF($K4601="U – needs rule",$P4601,0)</f>
        <v>0</v>
      </c>
      <c r="X4601" s="64" t="n">
        <f aca="false">IF($K4601="No Start (attainment only)",$P4601,0)</f>
        <v>0</v>
      </c>
    </row>
    <row r="4602" customFormat="false" ht="15" hidden="false" customHeight="false" outlineLevel="0" collapsed="false">
      <c r="A4602" s="60"/>
      <c r="B4602" s="61" t="str">
        <f aca="false">IF($M4602=0,"",INDEX(Classes!$E$6:$E$420,$M4602))</f>
        <v/>
      </c>
      <c r="C4602" s="62" t="str">
        <f aca="false">IF($M4602=0,"",INDEX(Classes!$H$6:$H$420,$M4602))</f>
        <v/>
      </c>
      <c r="D4602" s="61" t="str">
        <f aca="false">IF($M4602=0,"",INDEX(Classes!$B$6:$B$420,$M4602))</f>
        <v/>
      </c>
      <c r="E4602" s="61" t="str">
        <f aca="false">IF($M4602=0,"",INDEX(Classes!$C$6:$C$420,$M4602))</f>
        <v/>
      </c>
      <c r="F4602" s="63"/>
      <c r="G4602" s="63"/>
      <c r="H4602" s="60"/>
      <c r="I4602" s="60"/>
      <c r="J4602" s="63"/>
      <c r="K4602" s="61" t="str">
        <f aca="false">IF($P4602=0,"",IF($F4602="Baseline","— Baseline",IF($O4602=0,"No result",IF($N4602=0,"No Start (attainment only)",IF(OR($N4602=1,$O4602=1),"U – needs rule",INDEX(MxBody,MATCH($I4602,MxCurr,0),MATCH($H4602,MxStart,0)))))))</f>
        <v/>
      </c>
      <c r="L4602" s="62" t="str">
        <f aca="false">IF(COUNTA($A4602,$F4602,$G4602,$H4602,$I4602,$J4602)=0,"",IF($M4602=0,"✖ كود الصف غير موجود",IF(ISNA(MATCH($F4602,Lists!$A$2:$A$5,0)),"✖ الفترة غير صحيحة",IF(ISNA(MATCH($G4602,Lists!$B$2:$B$7,0)),"✖ المجموعة غير صحيحة",IF(NOT(OR($H4602="",$N4602&gt;0)),"✖ Start غير صحيح",IF(NOT(OR($I4602="",$I4602="NR",$O4602&gt;0)),"✖ Current غير صحيح",IF(NOT(IF(ISNUMBER($J4602),AND($J4602&gt;=0,$J4602=INT($J4602)),FALSE())),"✖ العدد يجب أن يكون صحيحًا ≥ 0",IF(AND($F4602="Baseline",$H4602&lt;&gt;""),"⚠ Baseline: Start لا يدخل في التقدم",IF($K4602="No Start (attainment only)","ℹ تحصيل فقط (بدون Start)",IF($K4602="U – needs rule","ℹ حالة U تحتاج قاعدة معتمدة",IF($K4602="No result","ℹ بدون نتيجة (يُستبعد من التحصيل)","OK")))))))))))</f>
        <v/>
      </c>
      <c r="M4602" s="64" t="n">
        <f aca="false">IF($A4602="",0,IFERROR(MATCH($A4602,Classes!$A$6:$A$420,0),0))</f>
        <v>0</v>
      </c>
      <c r="N4602" s="64" t="n">
        <f aca="false">IF($H4602="",0,IFERROR(MATCH($H4602,GradeList,0),0))</f>
        <v>0</v>
      </c>
      <c r="O4602" s="64" t="n">
        <f aca="false">IF(OR($I4602="",$I4602="NR"),0,IFERROR(MATCH($I4602,GradeList,0),0))</f>
        <v>0</v>
      </c>
      <c r="P4602" s="64" t="n">
        <f aca="false">IF(AND($M4602&gt;0,ISNUMBER(MATCH($F4602,Lists!$A$2:$A$5,0)),ISNUMBER(MATCH($G4602,Lists!$B$2:$B$7,0)),OR($H4602="",$N4602&gt;0),OR($I4602="",$I4602="NR",$O4602&gt;0),IF(ISNUMBER($J4602),AND($J4602&gt;=0,$J4602=INT($J4602)),FALSE())),$J4602,0)</f>
        <v>0</v>
      </c>
      <c r="Q4602" s="64" t="n">
        <f aca="false">IF(AND($P4602&gt;0,$O4602&gt;0),$P4602,0)</f>
        <v>0</v>
      </c>
      <c r="R4602" s="64" t="n">
        <f aca="false">IF(AND($Q4602&gt;0,$O4602&gt;=AtRank),$Q4602,0)</f>
        <v>0</v>
      </c>
      <c r="S4602" s="64" t="n">
        <f aca="false">IF(AND($Q4602&gt;0,$O4602&gt;=AboveRank),$Q4602,0)</f>
        <v>0</v>
      </c>
      <c r="T4602" s="64" t="n">
        <f aca="false">IF($K4602="Less",$P4602,0)</f>
        <v>0</v>
      </c>
      <c r="U4602" s="64" t="n">
        <f aca="false">IF($K4602="Expected",$P4602,0)</f>
        <v>0</v>
      </c>
      <c r="V4602" s="64" t="n">
        <f aca="false">IF($K4602="Better",$P4602,0)</f>
        <v>0</v>
      </c>
      <c r="W4602" s="64" t="n">
        <f aca="false">IF($K4602="U – needs rule",$P4602,0)</f>
        <v>0</v>
      </c>
      <c r="X4602" s="64" t="n">
        <f aca="false">IF($K4602="No Start (attainment only)",$P4602,0)</f>
        <v>0</v>
      </c>
    </row>
    <row r="4603" customFormat="false" ht="15" hidden="false" customHeight="false" outlineLevel="0" collapsed="false">
      <c r="A4603" s="60"/>
      <c r="B4603" s="61" t="str">
        <f aca="false">IF($M4603=0,"",INDEX(Classes!$E$6:$E$420,$M4603))</f>
        <v/>
      </c>
      <c r="C4603" s="62" t="str">
        <f aca="false">IF($M4603=0,"",INDEX(Classes!$H$6:$H$420,$M4603))</f>
        <v/>
      </c>
      <c r="D4603" s="61" t="str">
        <f aca="false">IF($M4603=0,"",INDEX(Classes!$B$6:$B$420,$M4603))</f>
        <v/>
      </c>
      <c r="E4603" s="61" t="str">
        <f aca="false">IF($M4603=0,"",INDEX(Classes!$C$6:$C$420,$M4603))</f>
        <v/>
      </c>
      <c r="F4603" s="63"/>
      <c r="G4603" s="63"/>
      <c r="H4603" s="60"/>
      <c r="I4603" s="60"/>
      <c r="J4603" s="63"/>
      <c r="K4603" s="61" t="str">
        <f aca="false">IF($P4603=0,"",IF($F4603="Baseline","— Baseline",IF($O4603=0,"No result",IF($N4603=0,"No Start (attainment only)",IF(OR($N4603=1,$O4603=1),"U – needs rule",INDEX(MxBody,MATCH($I4603,MxCurr,0),MATCH($H4603,MxStart,0)))))))</f>
        <v/>
      </c>
      <c r="L4603" s="62" t="str">
        <f aca="false">IF(COUNTA($A4603,$F4603,$G4603,$H4603,$I4603,$J4603)=0,"",IF($M4603=0,"✖ كود الصف غير موجود",IF(ISNA(MATCH($F4603,Lists!$A$2:$A$5,0)),"✖ الفترة غير صحيحة",IF(ISNA(MATCH($G4603,Lists!$B$2:$B$7,0)),"✖ المجموعة غير صحيحة",IF(NOT(OR($H4603="",$N4603&gt;0)),"✖ Start غير صحيح",IF(NOT(OR($I4603="",$I4603="NR",$O4603&gt;0)),"✖ Current غير صحيح",IF(NOT(IF(ISNUMBER($J4603),AND($J4603&gt;=0,$J4603=INT($J4603)),FALSE())),"✖ العدد يجب أن يكون صحيحًا ≥ 0",IF(AND($F4603="Baseline",$H4603&lt;&gt;""),"⚠ Baseline: Start لا يدخل في التقدم",IF($K4603="No Start (attainment only)","ℹ تحصيل فقط (بدون Start)",IF($K4603="U – needs rule","ℹ حالة U تحتاج قاعدة معتمدة",IF($K4603="No result","ℹ بدون نتيجة (يُستبعد من التحصيل)","OK")))))))))))</f>
        <v/>
      </c>
      <c r="M4603" s="64" t="n">
        <f aca="false">IF($A4603="",0,IFERROR(MATCH($A4603,Classes!$A$6:$A$420,0),0))</f>
        <v>0</v>
      </c>
      <c r="N4603" s="64" t="n">
        <f aca="false">IF($H4603="",0,IFERROR(MATCH($H4603,GradeList,0),0))</f>
        <v>0</v>
      </c>
      <c r="O4603" s="64" t="n">
        <f aca="false">IF(OR($I4603="",$I4603="NR"),0,IFERROR(MATCH($I4603,GradeList,0),0))</f>
        <v>0</v>
      </c>
      <c r="P4603" s="64" t="n">
        <f aca="false">IF(AND($M4603&gt;0,ISNUMBER(MATCH($F4603,Lists!$A$2:$A$5,0)),ISNUMBER(MATCH($G4603,Lists!$B$2:$B$7,0)),OR($H4603="",$N4603&gt;0),OR($I4603="",$I4603="NR",$O4603&gt;0),IF(ISNUMBER($J4603),AND($J4603&gt;=0,$J4603=INT($J4603)),FALSE())),$J4603,0)</f>
        <v>0</v>
      </c>
      <c r="Q4603" s="64" t="n">
        <f aca="false">IF(AND($P4603&gt;0,$O4603&gt;0),$P4603,0)</f>
        <v>0</v>
      </c>
      <c r="R4603" s="64" t="n">
        <f aca="false">IF(AND($Q4603&gt;0,$O4603&gt;=AtRank),$Q4603,0)</f>
        <v>0</v>
      </c>
      <c r="S4603" s="64" t="n">
        <f aca="false">IF(AND($Q4603&gt;0,$O4603&gt;=AboveRank),$Q4603,0)</f>
        <v>0</v>
      </c>
      <c r="T4603" s="64" t="n">
        <f aca="false">IF($K4603="Less",$P4603,0)</f>
        <v>0</v>
      </c>
      <c r="U4603" s="64" t="n">
        <f aca="false">IF($K4603="Expected",$P4603,0)</f>
        <v>0</v>
      </c>
      <c r="V4603" s="64" t="n">
        <f aca="false">IF($K4603="Better",$P4603,0)</f>
        <v>0</v>
      </c>
      <c r="W4603" s="64" t="n">
        <f aca="false">IF($K4603="U – needs rule",$P4603,0)</f>
        <v>0</v>
      </c>
      <c r="X4603" s="64" t="n">
        <f aca="false">IF($K4603="No Start (attainment only)",$P4603,0)</f>
        <v>0</v>
      </c>
    </row>
    <row r="4604" customFormat="false" ht="15" hidden="false" customHeight="false" outlineLevel="0" collapsed="false">
      <c r="A4604" s="60"/>
      <c r="B4604" s="61" t="str">
        <f aca="false">IF($M4604=0,"",INDEX(Classes!$E$6:$E$420,$M4604))</f>
        <v/>
      </c>
      <c r="C4604" s="62" t="str">
        <f aca="false">IF($M4604=0,"",INDEX(Classes!$H$6:$H$420,$M4604))</f>
        <v/>
      </c>
      <c r="D4604" s="61" t="str">
        <f aca="false">IF($M4604=0,"",INDEX(Classes!$B$6:$B$420,$M4604))</f>
        <v/>
      </c>
      <c r="E4604" s="61" t="str">
        <f aca="false">IF($M4604=0,"",INDEX(Classes!$C$6:$C$420,$M4604))</f>
        <v/>
      </c>
      <c r="F4604" s="63"/>
      <c r="G4604" s="63"/>
      <c r="H4604" s="60"/>
      <c r="I4604" s="60"/>
      <c r="J4604" s="63"/>
      <c r="K4604" s="61" t="str">
        <f aca="false">IF($P4604=0,"",IF($F4604="Baseline","— Baseline",IF($O4604=0,"No result",IF($N4604=0,"No Start (attainment only)",IF(OR($N4604=1,$O4604=1),"U – needs rule",INDEX(MxBody,MATCH($I4604,MxCurr,0),MATCH($H4604,MxStart,0)))))))</f>
        <v/>
      </c>
      <c r="L4604" s="62" t="str">
        <f aca="false">IF(COUNTA($A4604,$F4604,$G4604,$H4604,$I4604,$J4604)=0,"",IF($M4604=0,"✖ كود الصف غير موجود",IF(ISNA(MATCH($F4604,Lists!$A$2:$A$5,0)),"✖ الفترة غير صحيحة",IF(ISNA(MATCH($G4604,Lists!$B$2:$B$7,0)),"✖ المجموعة غير صحيحة",IF(NOT(OR($H4604="",$N4604&gt;0)),"✖ Start غير صحيح",IF(NOT(OR($I4604="",$I4604="NR",$O4604&gt;0)),"✖ Current غير صحيح",IF(NOT(IF(ISNUMBER($J4604),AND($J4604&gt;=0,$J4604=INT($J4604)),FALSE())),"✖ العدد يجب أن يكون صحيحًا ≥ 0",IF(AND($F4604="Baseline",$H4604&lt;&gt;""),"⚠ Baseline: Start لا يدخل في التقدم",IF($K4604="No Start (attainment only)","ℹ تحصيل فقط (بدون Start)",IF($K4604="U – needs rule","ℹ حالة U تحتاج قاعدة معتمدة",IF($K4604="No result","ℹ بدون نتيجة (يُستبعد من التحصيل)","OK")))))))))))</f>
        <v/>
      </c>
      <c r="M4604" s="64" t="n">
        <f aca="false">IF($A4604="",0,IFERROR(MATCH($A4604,Classes!$A$6:$A$420,0),0))</f>
        <v>0</v>
      </c>
      <c r="N4604" s="64" t="n">
        <f aca="false">IF($H4604="",0,IFERROR(MATCH($H4604,GradeList,0),0))</f>
        <v>0</v>
      </c>
      <c r="O4604" s="64" t="n">
        <f aca="false">IF(OR($I4604="",$I4604="NR"),0,IFERROR(MATCH($I4604,GradeList,0),0))</f>
        <v>0</v>
      </c>
      <c r="P4604" s="64" t="n">
        <f aca="false">IF(AND($M4604&gt;0,ISNUMBER(MATCH($F4604,Lists!$A$2:$A$5,0)),ISNUMBER(MATCH($G4604,Lists!$B$2:$B$7,0)),OR($H4604="",$N4604&gt;0),OR($I4604="",$I4604="NR",$O4604&gt;0),IF(ISNUMBER($J4604),AND($J4604&gt;=0,$J4604=INT($J4604)),FALSE())),$J4604,0)</f>
        <v>0</v>
      </c>
      <c r="Q4604" s="64" t="n">
        <f aca="false">IF(AND($P4604&gt;0,$O4604&gt;0),$P4604,0)</f>
        <v>0</v>
      </c>
      <c r="R4604" s="64" t="n">
        <f aca="false">IF(AND($Q4604&gt;0,$O4604&gt;=AtRank),$Q4604,0)</f>
        <v>0</v>
      </c>
      <c r="S4604" s="64" t="n">
        <f aca="false">IF(AND($Q4604&gt;0,$O4604&gt;=AboveRank),$Q4604,0)</f>
        <v>0</v>
      </c>
      <c r="T4604" s="64" t="n">
        <f aca="false">IF($K4604="Less",$P4604,0)</f>
        <v>0</v>
      </c>
      <c r="U4604" s="64" t="n">
        <f aca="false">IF($K4604="Expected",$P4604,0)</f>
        <v>0</v>
      </c>
      <c r="V4604" s="64" t="n">
        <f aca="false">IF($K4604="Better",$P4604,0)</f>
        <v>0</v>
      </c>
      <c r="W4604" s="64" t="n">
        <f aca="false">IF($K4604="U – needs rule",$P4604,0)</f>
        <v>0</v>
      </c>
      <c r="X4604" s="64" t="n">
        <f aca="false">IF($K4604="No Start (attainment only)",$P4604,0)</f>
        <v>0</v>
      </c>
    </row>
    <row r="4605" customFormat="false" ht="15" hidden="false" customHeight="false" outlineLevel="0" collapsed="false">
      <c r="A4605" s="60"/>
      <c r="B4605" s="61" t="str">
        <f aca="false">IF($M4605=0,"",INDEX(Classes!$E$6:$E$420,$M4605))</f>
        <v/>
      </c>
      <c r="C4605" s="62" t="str">
        <f aca="false">IF($M4605=0,"",INDEX(Classes!$H$6:$H$420,$M4605))</f>
        <v/>
      </c>
      <c r="D4605" s="61" t="str">
        <f aca="false">IF($M4605=0,"",INDEX(Classes!$B$6:$B$420,$M4605))</f>
        <v/>
      </c>
      <c r="E4605" s="61" t="str">
        <f aca="false">IF($M4605=0,"",INDEX(Classes!$C$6:$C$420,$M4605))</f>
        <v/>
      </c>
      <c r="F4605" s="63"/>
      <c r="G4605" s="63"/>
      <c r="H4605" s="60"/>
      <c r="I4605" s="60"/>
      <c r="J4605" s="63"/>
      <c r="K4605" s="61" t="str">
        <f aca="false">IF($P4605=0,"",IF($F4605="Baseline","— Baseline",IF($O4605=0,"No result",IF($N4605=0,"No Start (attainment only)",IF(OR($N4605=1,$O4605=1),"U – needs rule",INDEX(MxBody,MATCH($I4605,MxCurr,0),MATCH($H4605,MxStart,0)))))))</f>
        <v/>
      </c>
      <c r="L4605" s="62" t="str">
        <f aca="false">IF(COUNTA($A4605,$F4605,$G4605,$H4605,$I4605,$J4605)=0,"",IF($M4605=0,"✖ كود الصف غير موجود",IF(ISNA(MATCH($F4605,Lists!$A$2:$A$5,0)),"✖ الفترة غير صحيحة",IF(ISNA(MATCH($G4605,Lists!$B$2:$B$7,0)),"✖ المجموعة غير صحيحة",IF(NOT(OR($H4605="",$N4605&gt;0)),"✖ Start غير صحيح",IF(NOT(OR($I4605="",$I4605="NR",$O4605&gt;0)),"✖ Current غير صحيح",IF(NOT(IF(ISNUMBER($J4605),AND($J4605&gt;=0,$J4605=INT($J4605)),FALSE())),"✖ العدد يجب أن يكون صحيحًا ≥ 0",IF(AND($F4605="Baseline",$H4605&lt;&gt;""),"⚠ Baseline: Start لا يدخل في التقدم",IF($K4605="No Start (attainment only)","ℹ تحصيل فقط (بدون Start)",IF($K4605="U – needs rule","ℹ حالة U تحتاج قاعدة معتمدة",IF($K4605="No result","ℹ بدون نتيجة (يُستبعد من التحصيل)","OK")))))))))))</f>
        <v/>
      </c>
      <c r="M4605" s="64" t="n">
        <f aca="false">IF($A4605="",0,IFERROR(MATCH($A4605,Classes!$A$6:$A$420,0),0))</f>
        <v>0</v>
      </c>
      <c r="N4605" s="64" t="n">
        <f aca="false">IF($H4605="",0,IFERROR(MATCH($H4605,GradeList,0),0))</f>
        <v>0</v>
      </c>
      <c r="O4605" s="64" t="n">
        <f aca="false">IF(OR($I4605="",$I4605="NR"),0,IFERROR(MATCH($I4605,GradeList,0),0))</f>
        <v>0</v>
      </c>
      <c r="P4605" s="64" t="n">
        <f aca="false">IF(AND($M4605&gt;0,ISNUMBER(MATCH($F4605,Lists!$A$2:$A$5,0)),ISNUMBER(MATCH($G4605,Lists!$B$2:$B$7,0)),OR($H4605="",$N4605&gt;0),OR($I4605="",$I4605="NR",$O4605&gt;0),IF(ISNUMBER($J4605),AND($J4605&gt;=0,$J4605=INT($J4605)),FALSE())),$J4605,0)</f>
        <v>0</v>
      </c>
      <c r="Q4605" s="64" t="n">
        <f aca="false">IF(AND($P4605&gt;0,$O4605&gt;0),$P4605,0)</f>
        <v>0</v>
      </c>
      <c r="R4605" s="64" t="n">
        <f aca="false">IF(AND($Q4605&gt;0,$O4605&gt;=AtRank),$Q4605,0)</f>
        <v>0</v>
      </c>
      <c r="S4605" s="64" t="n">
        <f aca="false">IF(AND($Q4605&gt;0,$O4605&gt;=AboveRank),$Q4605,0)</f>
        <v>0</v>
      </c>
      <c r="T4605" s="64" t="n">
        <f aca="false">IF($K4605="Less",$P4605,0)</f>
        <v>0</v>
      </c>
      <c r="U4605" s="64" t="n">
        <f aca="false">IF($K4605="Expected",$P4605,0)</f>
        <v>0</v>
      </c>
      <c r="V4605" s="64" t="n">
        <f aca="false">IF($K4605="Better",$P4605,0)</f>
        <v>0</v>
      </c>
      <c r="W4605" s="64" t="n">
        <f aca="false">IF($K4605="U – needs rule",$P4605,0)</f>
        <v>0</v>
      </c>
      <c r="X4605" s="64" t="n">
        <f aca="false">IF($K4605="No Start (attainment only)",$P4605,0)</f>
        <v>0</v>
      </c>
    </row>
    <row r="4606" customFormat="false" ht="15" hidden="false" customHeight="false" outlineLevel="0" collapsed="false">
      <c r="A4606" s="60"/>
      <c r="B4606" s="61" t="str">
        <f aca="false">IF($M4606=0,"",INDEX(Classes!$E$6:$E$420,$M4606))</f>
        <v/>
      </c>
      <c r="C4606" s="62" t="str">
        <f aca="false">IF($M4606=0,"",INDEX(Classes!$H$6:$H$420,$M4606))</f>
        <v/>
      </c>
      <c r="D4606" s="61" t="str">
        <f aca="false">IF($M4606=0,"",INDEX(Classes!$B$6:$B$420,$M4606))</f>
        <v/>
      </c>
      <c r="E4606" s="61" t="str">
        <f aca="false">IF($M4606=0,"",INDEX(Classes!$C$6:$C$420,$M4606))</f>
        <v/>
      </c>
      <c r="F4606" s="63"/>
      <c r="G4606" s="63"/>
      <c r="H4606" s="60"/>
      <c r="I4606" s="60"/>
      <c r="J4606" s="63"/>
      <c r="K4606" s="61" t="str">
        <f aca="false">IF($P4606=0,"",IF($F4606="Baseline","— Baseline",IF($O4606=0,"No result",IF($N4606=0,"No Start (attainment only)",IF(OR($N4606=1,$O4606=1),"U – needs rule",INDEX(MxBody,MATCH($I4606,MxCurr,0),MATCH($H4606,MxStart,0)))))))</f>
        <v/>
      </c>
      <c r="L4606" s="62" t="str">
        <f aca="false">IF(COUNTA($A4606,$F4606,$G4606,$H4606,$I4606,$J4606)=0,"",IF($M4606=0,"✖ كود الصف غير موجود",IF(ISNA(MATCH($F4606,Lists!$A$2:$A$5,0)),"✖ الفترة غير صحيحة",IF(ISNA(MATCH($G4606,Lists!$B$2:$B$7,0)),"✖ المجموعة غير صحيحة",IF(NOT(OR($H4606="",$N4606&gt;0)),"✖ Start غير صحيح",IF(NOT(OR($I4606="",$I4606="NR",$O4606&gt;0)),"✖ Current غير صحيح",IF(NOT(IF(ISNUMBER($J4606),AND($J4606&gt;=0,$J4606=INT($J4606)),FALSE())),"✖ العدد يجب أن يكون صحيحًا ≥ 0",IF(AND($F4606="Baseline",$H4606&lt;&gt;""),"⚠ Baseline: Start لا يدخل في التقدم",IF($K4606="No Start (attainment only)","ℹ تحصيل فقط (بدون Start)",IF($K4606="U – needs rule","ℹ حالة U تحتاج قاعدة معتمدة",IF($K4606="No result","ℹ بدون نتيجة (يُستبعد من التحصيل)","OK")))))))))))</f>
        <v/>
      </c>
      <c r="M4606" s="64" t="n">
        <f aca="false">IF($A4606="",0,IFERROR(MATCH($A4606,Classes!$A$6:$A$420,0),0))</f>
        <v>0</v>
      </c>
      <c r="N4606" s="64" t="n">
        <f aca="false">IF($H4606="",0,IFERROR(MATCH($H4606,GradeList,0),0))</f>
        <v>0</v>
      </c>
      <c r="O4606" s="64" t="n">
        <f aca="false">IF(OR($I4606="",$I4606="NR"),0,IFERROR(MATCH($I4606,GradeList,0),0))</f>
        <v>0</v>
      </c>
      <c r="P4606" s="64" t="n">
        <f aca="false">IF(AND($M4606&gt;0,ISNUMBER(MATCH($F4606,Lists!$A$2:$A$5,0)),ISNUMBER(MATCH($G4606,Lists!$B$2:$B$7,0)),OR($H4606="",$N4606&gt;0),OR($I4606="",$I4606="NR",$O4606&gt;0),IF(ISNUMBER($J4606),AND($J4606&gt;=0,$J4606=INT($J4606)),FALSE())),$J4606,0)</f>
        <v>0</v>
      </c>
      <c r="Q4606" s="64" t="n">
        <f aca="false">IF(AND($P4606&gt;0,$O4606&gt;0),$P4606,0)</f>
        <v>0</v>
      </c>
      <c r="R4606" s="64" t="n">
        <f aca="false">IF(AND($Q4606&gt;0,$O4606&gt;=AtRank),$Q4606,0)</f>
        <v>0</v>
      </c>
      <c r="S4606" s="64" t="n">
        <f aca="false">IF(AND($Q4606&gt;0,$O4606&gt;=AboveRank),$Q4606,0)</f>
        <v>0</v>
      </c>
      <c r="T4606" s="64" t="n">
        <f aca="false">IF($K4606="Less",$P4606,0)</f>
        <v>0</v>
      </c>
      <c r="U4606" s="64" t="n">
        <f aca="false">IF($K4606="Expected",$P4606,0)</f>
        <v>0</v>
      </c>
      <c r="V4606" s="64" t="n">
        <f aca="false">IF($K4606="Better",$P4606,0)</f>
        <v>0</v>
      </c>
      <c r="W4606" s="64" t="n">
        <f aca="false">IF($K4606="U – needs rule",$P4606,0)</f>
        <v>0</v>
      </c>
      <c r="X4606" s="64" t="n">
        <f aca="false">IF($K4606="No Start (attainment only)",$P4606,0)</f>
        <v>0</v>
      </c>
    </row>
    <row r="4607" customFormat="false" ht="15" hidden="false" customHeight="false" outlineLevel="0" collapsed="false">
      <c r="A4607" s="60"/>
      <c r="B4607" s="61" t="str">
        <f aca="false">IF($M4607=0,"",INDEX(Classes!$E$6:$E$420,$M4607))</f>
        <v/>
      </c>
      <c r="C4607" s="62" t="str">
        <f aca="false">IF($M4607=0,"",INDEX(Classes!$H$6:$H$420,$M4607))</f>
        <v/>
      </c>
      <c r="D4607" s="61" t="str">
        <f aca="false">IF($M4607=0,"",INDEX(Classes!$B$6:$B$420,$M4607))</f>
        <v/>
      </c>
      <c r="E4607" s="61" t="str">
        <f aca="false">IF($M4607=0,"",INDEX(Classes!$C$6:$C$420,$M4607))</f>
        <v/>
      </c>
      <c r="F4607" s="63"/>
      <c r="G4607" s="63"/>
      <c r="H4607" s="60"/>
      <c r="I4607" s="60"/>
      <c r="J4607" s="63"/>
      <c r="K4607" s="61" t="str">
        <f aca="false">IF($P4607=0,"",IF($F4607="Baseline","— Baseline",IF($O4607=0,"No result",IF($N4607=0,"No Start (attainment only)",IF(OR($N4607=1,$O4607=1),"U – needs rule",INDEX(MxBody,MATCH($I4607,MxCurr,0),MATCH($H4607,MxStart,0)))))))</f>
        <v/>
      </c>
      <c r="L4607" s="62" t="str">
        <f aca="false">IF(COUNTA($A4607,$F4607,$G4607,$H4607,$I4607,$J4607)=0,"",IF($M4607=0,"✖ كود الصف غير موجود",IF(ISNA(MATCH($F4607,Lists!$A$2:$A$5,0)),"✖ الفترة غير صحيحة",IF(ISNA(MATCH($G4607,Lists!$B$2:$B$7,0)),"✖ المجموعة غير صحيحة",IF(NOT(OR($H4607="",$N4607&gt;0)),"✖ Start غير صحيح",IF(NOT(OR($I4607="",$I4607="NR",$O4607&gt;0)),"✖ Current غير صحيح",IF(NOT(IF(ISNUMBER($J4607),AND($J4607&gt;=0,$J4607=INT($J4607)),FALSE())),"✖ العدد يجب أن يكون صحيحًا ≥ 0",IF(AND($F4607="Baseline",$H4607&lt;&gt;""),"⚠ Baseline: Start لا يدخل في التقدم",IF($K4607="No Start (attainment only)","ℹ تحصيل فقط (بدون Start)",IF($K4607="U – needs rule","ℹ حالة U تحتاج قاعدة معتمدة",IF($K4607="No result","ℹ بدون نتيجة (يُستبعد من التحصيل)","OK")))))))))))</f>
        <v/>
      </c>
      <c r="M4607" s="64" t="n">
        <f aca="false">IF($A4607="",0,IFERROR(MATCH($A4607,Classes!$A$6:$A$420,0),0))</f>
        <v>0</v>
      </c>
      <c r="N4607" s="64" t="n">
        <f aca="false">IF($H4607="",0,IFERROR(MATCH($H4607,GradeList,0),0))</f>
        <v>0</v>
      </c>
      <c r="O4607" s="64" t="n">
        <f aca="false">IF(OR($I4607="",$I4607="NR"),0,IFERROR(MATCH($I4607,GradeList,0),0))</f>
        <v>0</v>
      </c>
      <c r="P4607" s="64" t="n">
        <f aca="false">IF(AND($M4607&gt;0,ISNUMBER(MATCH($F4607,Lists!$A$2:$A$5,0)),ISNUMBER(MATCH($G4607,Lists!$B$2:$B$7,0)),OR($H4607="",$N4607&gt;0),OR($I4607="",$I4607="NR",$O4607&gt;0),IF(ISNUMBER($J4607),AND($J4607&gt;=0,$J4607=INT($J4607)),FALSE())),$J4607,0)</f>
        <v>0</v>
      </c>
      <c r="Q4607" s="64" t="n">
        <f aca="false">IF(AND($P4607&gt;0,$O4607&gt;0),$P4607,0)</f>
        <v>0</v>
      </c>
      <c r="R4607" s="64" t="n">
        <f aca="false">IF(AND($Q4607&gt;0,$O4607&gt;=AtRank),$Q4607,0)</f>
        <v>0</v>
      </c>
      <c r="S4607" s="64" t="n">
        <f aca="false">IF(AND($Q4607&gt;0,$O4607&gt;=AboveRank),$Q4607,0)</f>
        <v>0</v>
      </c>
      <c r="T4607" s="64" t="n">
        <f aca="false">IF($K4607="Less",$P4607,0)</f>
        <v>0</v>
      </c>
      <c r="U4607" s="64" t="n">
        <f aca="false">IF($K4607="Expected",$P4607,0)</f>
        <v>0</v>
      </c>
      <c r="V4607" s="64" t="n">
        <f aca="false">IF($K4607="Better",$P4607,0)</f>
        <v>0</v>
      </c>
      <c r="W4607" s="64" t="n">
        <f aca="false">IF($K4607="U – needs rule",$P4607,0)</f>
        <v>0</v>
      </c>
      <c r="X4607" s="64" t="n">
        <f aca="false">IF($K4607="No Start (attainment only)",$P4607,0)</f>
        <v>0</v>
      </c>
    </row>
    <row r="4608" customFormat="false" ht="15" hidden="false" customHeight="false" outlineLevel="0" collapsed="false">
      <c r="A4608" s="60"/>
      <c r="B4608" s="61" t="str">
        <f aca="false">IF($M4608=0,"",INDEX(Classes!$E$6:$E$420,$M4608))</f>
        <v/>
      </c>
      <c r="C4608" s="62" t="str">
        <f aca="false">IF($M4608=0,"",INDEX(Classes!$H$6:$H$420,$M4608))</f>
        <v/>
      </c>
      <c r="D4608" s="61" t="str">
        <f aca="false">IF($M4608=0,"",INDEX(Classes!$B$6:$B$420,$M4608))</f>
        <v/>
      </c>
      <c r="E4608" s="61" t="str">
        <f aca="false">IF($M4608=0,"",INDEX(Classes!$C$6:$C$420,$M4608))</f>
        <v/>
      </c>
      <c r="F4608" s="63"/>
      <c r="G4608" s="63"/>
      <c r="H4608" s="60"/>
      <c r="I4608" s="60"/>
      <c r="J4608" s="63"/>
      <c r="K4608" s="61" t="str">
        <f aca="false">IF($P4608=0,"",IF($F4608="Baseline","— Baseline",IF($O4608=0,"No result",IF($N4608=0,"No Start (attainment only)",IF(OR($N4608=1,$O4608=1),"U – needs rule",INDEX(MxBody,MATCH($I4608,MxCurr,0),MATCH($H4608,MxStart,0)))))))</f>
        <v/>
      </c>
      <c r="L4608" s="62" t="str">
        <f aca="false">IF(COUNTA($A4608,$F4608,$G4608,$H4608,$I4608,$J4608)=0,"",IF($M4608=0,"✖ كود الصف غير موجود",IF(ISNA(MATCH($F4608,Lists!$A$2:$A$5,0)),"✖ الفترة غير صحيحة",IF(ISNA(MATCH($G4608,Lists!$B$2:$B$7,0)),"✖ المجموعة غير صحيحة",IF(NOT(OR($H4608="",$N4608&gt;0)),"✖ Start غير صحيح",IF(NOT(OR($I4608="",$I4608="NR",$O4608&gt;0)),"✖ Current غير صحيح",IF(NOT(IF(ISNUMBER($J4608),AND($J4608&gt;=0,$J4608=INT($J4608)),FALSE())),"✖ العدد يجب أن يكون صحيحًا ≥ 0",IF(AND($F4608="Baseline",$H4608&lt;&gt;""),"⚠ Baseline: Start لا يدخل في التقدم",IF($K4608="No Start (attainment only)","ℹ تحصيل فقط (بدون Start)",IF($K4608="U – needs rule","ℹ حالة U تحتاج قاعدة معتمدة",IF($K4608="No result","ℹ بدون نتيجة (يُستبعد من التحصيل)","OK")))))))))))</f>
        <v/>
      </c>
      <c r="M4608" s="64" t="n">
        <f aca="false">IF($A4608="",0,IFERROR(MATCH($A4608,Classes!$A$6:$A$420,0),0))</f>
        <v>0</v>
      </c>
      <c r="N4608" s="64" t="n">
        <f aca="false">IF($H4608="",0,IFERROR(MATCH($H4608,GradeList,0),0))</f>
        <v>0</v>
      </c>
      <c r="O4608" s="64" t="n">
        <f aca="false">IF(OR($I4608="",$I4608="NR"),0,IFERROR(MATCH($I4608,GradeList,0),0))</f>
        <v>0</v>
      </c>
      <c r="P4608" s="64" t="n">
        <f aca="false">IF(AND($M4608&gt;0,ISNUMBER(MATCH($F4608,Lists!$A$2:$A$5,0)),ISNUMBER(MATCH($G4608,Lists!$B$2:$B$7,0)),OR($H4608="",$N4608&gt;0),OR($I4608="",$I4608="NR",$O4608&gt;0),IF(ISNUMBER($J4608),AND($J4608&gt;=0,$J4608=INT($J4608)),FALSE())),$J4608,0)</f>
        <v>0</v>
      </c>
      <c r="Q4608" s="64" t="n">
        <f aca="false">IF(AND($P4608&gt;0,$O4608&gt;0),$P4608,0)</f>
        <v>0</v>
      </c>
      <c r="R4608" s="64" t="n">
        <f aca="false">IF(AND($Q4608&gt;0,$O4608&gt;=AtRank),$Q4608,0)</f>
        <v>0</v>
      </c>
      <c r="S4608" s="64" t="n">
        <f aca="false">IF(AND($Q4608&gt;0,$O4608&gt;=AboveRank),$Q4608,0)</f>
        <v>0</v>
      </c>
      <c r="T4608" s="64" t="n">
        <f aca="false">IF($K4608="Less",$P4608,0)</f>
        <v>0</v>
      </c>
      <c r="U4608" s="64" t="n">
        <f aca="false">IF($K4608="Expected",$P4608,0)</f>
        <v>0</v>
      </c>
      <c r="V4608" s="64" t="n">
        <f aca="false">IF($K4608="Better",$P4608,0)</f>
        <v>0</v>
      </c>
      <c r="W4608" s="64" t="n">
        <f aca="false">IF($K4608="U – needs rule",$P4608,0)</f>
        <v>0</v>
      </c>
      <c r="X4608" s="64" t="n">
        <f aca="false">IF($K4608="No Start (attainment only)",$P4608,0)</f>
        <v>0</v>
      </c>
    </row>
    <row r="4609" customFormat="false" ht="15" hidden="false" customHeight="false" outlineLevel="0" collapsed="false">
      <c r="A4609" s="60"/>
      <c r="B4609" s="61" t="str">
        <f aca="false">IF($M4609=0,"",INDEX(Classes!$E$6:$E$420,$M4609))</f>
        <v/>
      </c>
      <c r="C4609" s="62" t="str">
        <f aca="false">IF($M4609=0,"",INDEX(Classes!$H$6:$H$420,$M4609))</f>
        <v/>
      </c>
      <c r="D4609" s="61" t="str">
        <f aca="false">IF($M4609=0,"",INDEX(Classes!$B$6:$B$420,$M4609))</f>
        <v/>
      </c>
      <c r="E4609" s="61" t="str">
        <f aca="false">IF($M4609=0,"",INDEX(Classes!$C$6:$C$420,$M4609))</f>
        <v/>
      </c>
      <c r="F4609" s="63"/>
      <c r="G4609" s="63"/>
      <c r="H4609" s="60"/>
      <c r="I4609" s="60"/>
      <c r="J4609" s="63"/>
      <c r="K4609" s="61" t="str">
        <f aca="false">IF($P4609=0,"",IF($F4609="Baseline","— Baseline",IF($O4609=0,"No result",IF($N4609=0,"No Start (attainment only)",IF(OR($N4609=1,$O4609=1),"U – needs rule",INDEX(MxBody,MATCH($I4609,MxCurr,0),MATCH($H4609,MxStart,0)))))))</f>
        <v/>
      </c>
      <c r="L4609" s="62" t="str">
        <f aca="false">IF(COUNTA($A4609,$F4609,$G4609,$H4609,$I4609,$J4609)=0,"",IF($M4609=0,"✖ كود الصف غير موجود",IF(ISNA(MATCH($F4609,Lists!$A$2:$A$5,0)),"✖ الفترة غير صحيحة",IF(ISNA(MATCH($G4609,Lists!$B$2:$B$7,0)),"✖ المجموعة غير صحيحة",IF(NOT(OR($H4609="",$N4609&gt;0)),"✖ Start غير صحيح",IF(NOT(OR($I4609="",$I4609="NR",$O4609&gt;0)),"✖ Current غير صحيح",IF(NOT(IF(ISNUMBER($J4609),AND($J4609&gt;=0,$J4609=INT($J4609)),FALSE())),"✖ العدد يجب أن يكون صحيحًا ≥ 0",IF(AND($F4609="Baseline",$H4609&lt;&gt;""),"⚠ Baseline: Start لا يدخل في التقدم",IF($K4609="No Start (attainment only)","ℹ تحصيل فقط (بدون Start)",IF($K4609="U – needs rule","ℹ حالة U تحتاج قاعدة معتمدة",IF($K4609="No result","ℹ بدون نتيجة (يُستبعد من التحصيل)","OK")))))))))))</f>
        <v/>
      </c>
      <c r="M4609" s="64" t="n">
        <f aca="false">IF($A4609="",0,IFERROR(MATCH($A4609,Classes!$A$6:$A$420,0),0))</f>
        <v>0</v>
      </c>
      <c r="N4609" s="64" t="n">
        <f aca="false">IF($H4609="",0,IFERROR(MATCH($H4609,GradeList,0),0))</f>
        <v>0</v>
      </c>
      <c r="O4609" s="64" t="n">
        <f aca="false">IF(OR($I4609="",$I4609="NR"),0,IFERROR(MATCH($I4609,GradeList,0),0))</f>
        <v>0</v>
      </c>
      <c r="P4609" s="64" t="n">
        <f aca="false">IF(AND($M4609&gt;0,ISNUMBER(MATCH($F4609,Lists!$A$2:$A$5,0)),ISNUMBER(MATCH($G4609,Lists!$B$2:$B$7,0)),OR($H4609="",$N4609&gt;0),OR($I4609="",$I4609="NR",$O4609&gt;0),IF(ISNUMBER($J4609),AND($J4609&gt;=0,$J4609=INT($J4609)),FALSE())),$J4609,0)</f>
        <v>0</v>
      </c>
      <c r="Q4609" s="64" t="n">
        <f aca="false">IF(AND($P4609&gt;0,$O4609&gt;0),$P4609,0)</f>
        <v>0</v>
      </c>
      <c r="R4609" s="64" t="n">
        <f aca="false">IF(AND($Q4609&gt;0,$O4609&gt;=AtRank),$Q4609,0)</f>
        <v>0</v>
      </c>
      <c r="S4609" s="64" t="n">
        <f aca="false">IF(AND($Q4609&gt;0,$O4609&gt;=AboveRank),$Q4609,0)</f>
        <v>0</v>
      </c>
      <c r="T4609" s="64" t="n">
        <f aca="false">IF($K4609="Less",$P4609,0)</f>
        <v>0</v>
      </c>
      <c r="U4609" s="64" t="n">
        <f aca="false">IF($K4609="Expected",$P4609,0)</f>
        <v>0</v>
      </c>
      <c r="V4609" s="64" t="n">
        <f aca="false">IF($K4609="Better",$P4609,0)</f>
        <v>0</v>
      </c>
      <c r="W4609" s="64" t="n">
        <f aca="false">IF($K4609="U – needs rule",$P4609,0)</f>
        <v>0</v>
      </c>
      <c r="X4609" s="64" t="n">
        <f aca="false">IF($K4609="No Start (attainment only)",$P4609,0)</f>
        <v>0</v>
      </c>
    </row>
    <row r="4610" customFormat="false" ht="15" hidden="false" customHeight="false" outlineLevel="0" collapsed="false">
      <c r="A4610" s="60"/>
      <c r="B4610" s="61" t="str">
        <f aca="false">IF($M4610=0,"",INDEX(Classes!$E$6:$E$420,$M4610))</f>
        <v/>
      </c>
      <c r="C4610" s="62" t="str">
        <f aca="false">IF($M4610=0,"",INDEX(Classes!$H$6:$H$420,$M4610))</f>
        <v/>
      </c>
      <c r="D4610" s="61" t="str">
        <f aca="false">IF($M4610=0,"",INDEX(Classes!$B$6:$B$420,$M4610))</f>
        <v/>
      </c>
      <c r="E4610" s="61" t="str">
        <f aca="false">IF($M4610=0,"",INDEX(Classes!$C$6:$C$420,$M4610))</f>
        <v/>
      </c>
      <c r="F4610" s="63"/>
      <c r="G4610" s="63"/>
      <c r="H4610" s="60"/>
      <c r="I4610" s="60"/>
      <c r="J4610" s="63"/>
      <c r="K4610" s="61" t="str">
        <f aca="false">IF($P4610=0,"",IF($F4610="Baseline","— Baseline",IF($O4610=0,"No result",IF($N4610=0,"No Start (attainment only)",IF(OR($N4610=1,$O4610=1),"U – needs rule",INDEX(MxBody,MATCH($I4610,MxCurr,0),MATCH($H4610,MxStart,0)))))))</f>
        <v/>
      </c>
      <c r="L4610" s="62" t="str">
        <f aca="false">IF(COUNTA($A4610,$F4610,$G4610,$H4610,$I4610,$J4610)=0,"",IF($M4610=0,"✖ كود الصف غير موجود",IF(ISNA(MATCH($F4610,Lists!$A$2:$A$5,0)),"✖ الفترة غير صحيحة",IF(ISNA(MATCH($G4610,Lists!$B$2:$B$7,0)),"✖ المجموعة غير صحيحة",IF(NOT(OR($H4610="",$N4610&gt;0)),"✖ Start غير صحيح",IF(NOT(OR($I4610="",$I4610="NR",$O4610&gt;0)),"✖ Current غير صحيح",IF(NOT(IF(ISNUMBER($J4610),AND($J4610&gt;=0,$J4610=INT($J4610)),FALSE())),"✖ العدد يجب أن يكون صحيحًا ≥ 0",IF(AND($F4610="Baseline",$H4610&lt;&gt;""),"⚠ Baseline: Start لا يدخل في التقدم",IF($K4610="No Start (attainment only)","ℹ تحصيل فقط (بدون Start)",IF($K4610="U – needs rule","ℹ حالة U تحتاج قاعدة معتمدة",IF($K4610="No result","ℹ بدون نتيجة (يُستبعد من التحصيل)","OK")))))))))))</f>
        <v/>
      </c>
      <c r="M4610" s="64" t="n">
        <f aca="false">IF($A4610="",0,IFERROR(MATCH($A4610,Classes!$A$6:$A$420,0),0))</f>
        <v>0</v>
      </c>
      <c r="N4610" s="64" t="n">
        <f aca="false">IF($H4610="",0,IFERROR(MATCH($H4610,GradeList,0),0))</f>
        <v>0</v>
      </c>
      <c r="O4610" s="64" t="n">
        <f aca="false">IF(OR($I4610="",$I4610="NR"),0,IFERROR(MATCH($I4610,GradeList,0),0))</f>
        <v>0</v>
      </c>
      <c r="P4610" s="64" t="n">
        <f aca="false">IF(AND($M4610&gt;0,ISNUMBER(MATCH($F4610,Lists!$A$2:$A$5,0)),ISNUMBER(MATCH($G4610,Lists!$B$2:$B$7,0)),OR($H4610="",$N4610&gt;0),OR($I4610="",$I4610="NR",$O4610&gt;0),IF(ISNUMBER($J4610),AND($J4610&gt;=0,$J4610=INT($J4610)),FALSE())),$J4610,0)</f>
        <v>0</v>
      </c>
      <c r="Q4610" s="64" t="n">
        <f aca="false">IF(AND($P4610&gt;0,$O4610&gt;0),$P4610,0)</f>
        <v>0</v>
      </c>
      <c r="R4610" s="64" t="n">
        <f aca="false">IF(AND($Q4610&gt;0,$O4610&gt;=AtRank),$Q4610,0)</f>
        <v>0</v>
      </c>
      <c r="S4610" s="64" t="n">
        <f aca="false">IF(AND($Q4610&gt;0,$O4610&gt;=AboveRank),$Q4610,0)</f>
        <v>0</v>
      </c>
      <c r="T4610" s="64" t="n">
        <f aca="false">IF($K4610="Less",$P4610,0)</f>
        <v>0</v>
      </c>
      <c r="U4610" s="64" t="n">
        <f aca="false">IF($K4610="Expected",$P4610,0)</f>
        <v>0</v>
      </c>
      <c r="V4610" s="64" t="n">
        <f aca="false">IF($K4610="Better",$P4610,0)</f>
        <v>0</v>
      </c>
      <c r="W4610" s="64" t="n">
        <f aca="false">IF($K4610="U – needs rule",$P4610,0)</f>
        <v>0</v>
      </c>
      <c r="X4610" s="64" t="n">
        <f aca="false">IF($K4610="No Start (attainment only)",$P4610,0)</f>
        <v>0</v>
      </c>
    </row>
    <row r="4611" customFormat="false" ht="15" hidden="false" customHeight="false" outlineLevel="0" collapsed="false">
      <c r="A4611" s="60"/>
      <c r="B4611" s="61" t="str">
        <f aca="false">IF($M4611=0,"",INDEX(Classes!$E$6:$E$420,$M4611))</f>
        <v/>
      </c>
      <c r="C4611" s="62" t="str">
        <f aca="false">IF($M4611=0,"",INDEX(Classes!$H$6:$H$420,$M4611))</f>
        <v/>
      </c>
      <c r="D4611" s="61" t="str">
        <f aca="false">IF($M4611=0,"",INDEX(Classes!$B$6:$B$420,$M4611))</f>
        <v/>
      </c>
      <c r="E4611" s="61" t="str">
        <f aca="false">IF($M4611=0,"",INDEX(Classes!$C$6:$C$420,$M4611))</f>
        <v/>
      </c>
      <c r="F4611" s="63"/>
      <c r="G4611" s="63"/>
      <c r="H4611" s="60"/>
      <c r="I4611" s="60"/>
      <c r="J4611" s="63"/>
      <c r="K4611" s="61" t="str">
        <f aca="false">IF($P4611=0,"",IF($F4611="Baseline","— Baseline",IF($O4611=0,"No result",IF($N4611=0,"No Start (attainment only)",IF(OR($N4611=1,$O4611=1),"U – needs rule",INDEX(MxBody,MATCH($I4611,MxCurr,0),MATCH($H4611,MxStart,0)))))))</f>
        <v/>
      </c>
      <c r="L4611" s="62" t="str">
        <f aca="false">IF(COUNTA($A4611,$F4611,$G4611,$H4611,$I4611,$J4611)=0,"",IF($M4611=0,"✖ كود الصف غير موجود",IF(ISNA(MATCH($F4611,Lists!$A$2:$A$5,0)),"✖ الفترة غير صحيحة",IF(ISNA(MATCH($G4611,Lists!$B$2:$B$7,0)),"✖ المجموعة غير صحيحة",IF(NOT(OR($H4611="",$N4611&gt;0)),"✖ Start غير صحيح",IF(NOT(OR($I4611="",$I4611="NR",$O4611&gt;0)),"✖ Current غير صحيح",IF(NOT(IF(ISNUMBER($J4611),AND($J4611&gt;=0,$J4611=INT($J4611)),FALSE())),"✖ العدد يجب أن يكون صحيحًا ≥ 0",IF(AND($F4611="Baseline",$H4611&lt;&gt;""),"⚠ Baseline: Start لا يدخل في التقدم",IF($K4611="No Start (attainment only)","ℹ تحصيل فقط (بدون Start)",IF($K4611="U – needs rule","ℹ حالة U تحتاج قاعدة معتمدة",IF($K4611="No result","ℹ بدون نتيجة (يُستبعد من التحصيل)","OK")))))))))))</f>
        <v/>
      </c>
      <c r="M4611" s="64" t="n">
        <f aca="false">IF($A4611="",0,IFERROR(MATCH($A4611,Classes!$A$6:$A$420,0),0))</f>
        <v>0</v>
      </c>
      <c r="N4611" s="64" t="n">
        <f aca="false">IF($H4611="",0,IFERROR(MATCH($H4611,GradeList,0),0))</f>
        <v>0</v>
      </c>
      <c r="O4611" s="64" t="n">
        <f aca="false">IF(OR($I4611="",$I4611="NR"),0,IFERROR(MATCH($I4611,GradeList,0),0))</f>
        <v>0</v>
      </c>
      <c r="P4611" s="64" t="n">
        <f aca="false">IF(AND($M4611&gt;0,ISNUMBER(MATCH($F4611,Lists!$A$2:$A$5,0)),ISNUMBER(MATCH($G4611,Lists!$B$2:$B$7,0)),OR($H4611="",$N4611&gt;0),OR($I4611="",$I4611="NR",$O4611&gt;0),IF(ISNUMBER($J4611),AND($J4611&gt;=0,$J4611=INT($J4611)),FALSE())),$J4611,0)</f>
        <v>0</v>
      </c>
      <c r="Q4611" s="64" t="n">
        <f aca="false">IF(AND($P4611&gt;0,$O4611&gt;0),$P4611,0)</f>
        <v>0</v>
      </c>
      <c r="R4611" s="64" t="n">
        <f aca="false">IF(AND($Q4611&gt;0,$O4611&gt;=AtRank),$Q4611,0)</f>
        <v>0</v>
      </c>
      <c r="S4611" s="64" t="n">
        <f aca="false">IF(AND($Q4611&gt;0,$O4611&gt;=AboveRank),$Q4611,0)</f>
        <v>0</v>
      </c>
      <c r="T4611" s="64" t="n">
        <f aca="false">IF($K4611="Less",$P4611,0)</f>
        <v>0</v>
      </c>
      <c r="U4611" s="64" t="n">
        <f aca="false">IF($K4611="Expected",$P4611,0)</f>
        <v>0</v>
      </c>
      <c r="V4611" s="64" t="n">
        <f aca="false">IF($K4611="Better",$P4611,0)</f>
        <v>0</v>
      </c>
      <c r="W4611" s="64" t="n">
        <f aca="false">IF($K4611="U – needs rule",$P4611,0)</f>
        <v>0</v>
      </c>
      <c r="X4611" s="64" t="n">
        <f aca="false">IF($K4611="No Start (attainment only)",$P4611,0)</f>
        <v>0</v>
      </c>
    </row>
    <row r="4612" customFormat="false" ht="15" hidden="false" customHeight="false" outlineLevel="0" collapsed="false">
      <c r="A4612" s="60"/>
      <c r="B4612" s="61" t="str">
        <f aca="false">IF($M4612=0,"",INDEX(Classes!$E$6:$E$420,$M4612))</f>
        <v/>
      </c>
      <c r="C4612" s="62" t="str">
        <f aca="false">IF($M4612=0,"",INDEX(Classes!$H$6:$H$420,$M4612))</f>
        <v/>
      </c>
      <c r="D4612" s="61" t="str">
        <f aca="false">IF($M4612=0,"",INDEX(Classes!$B$6:$B$420,$M4612))</f>
        <v/>
      </c>
      <c r="E4612" s="61" t="str">
        <f aca="false">IF($M4612=0,"",INDEX(Classes!$C$6:$C$420,$M4612))</f>
        <v/>
      </c>
      <c r="F4612" s="63"/>
      <c r="G4612" s="63"/>
      <c r="H4612" s="60"/>
      <c r="I4612" s="60"/>
      <c r="J4612" s="63"/>
      <c r="K4612" s="61" t="str">
        <f aca="false">IF($P4612=0,"",IF($F4612="Baseline","— Baseline",IF($O4612=0,"No result",IF($N4612=0,"No Start (attainment only)",IF(OR($N4612=1,$O4612=1),"U – needs rule",INDEX(MxBody,MATCH($I4612,MxCurr,0),MATCH($H4612,MxStart,0)))))))</f>
        <v/>
      </c>
      <c r="L4612" s="62" t="str">
        <f aca="false">IF(COUNTA($A4612,$F4612,$G4612,$H4612,$I4612,$J4612)=0,"",IF($M4612=0,"✖ كود الصف غير موجود",IF(ISNA(MATCH($F4612,Lists!$A$2:$A$5,0)),"✖ الفترة غير صحيحة",IF(ISNA(MATCH($G4612,Lists!$B$2:$B$7,0)),"✖ المجموعة غير صحيحة",IF(NOT(OR($H4612="",$N4612&gt;0)),"✖ Start غير صحيح",IF(NOT(OR($I4612="",$I4612="NR",$O4612&gt;0)),"✖ Current غير صحيح",IF(NOT(IF(ISNUMBER($J4612),AND($J4612&gt;=0,$J4612=INT($J4612)),FALSE())),"✖ العدد يجب أن يكون صحيحًا ≥ 0",IF(AND($F4612="Baseline",$H4612&lt;&gt;""),"⚠ Baseline: Start لا يدخل في التقدم",IF($K4612="No Start (attainment only)","ℹ تحصيل فقط (بدون Start)",IF($K4612="U – needs rule","ℹ حالة U تحتاج قاعدة معتمدة",IF($K4612="No result","ℹ بدون نتيجة (يُستبعد من التحصيل)","OK")))))))))))</f>
        <v/>
      </c>
      <c r="M4612" s="64" t="n">
        <f aca="false">IF($A4612="",0,IFERROR(MATCH($A4612,Classes!$A$6:$A$420,0),0))</f>
        <v>0</v>
      </c>
      <c r="N4612" s="64" t="n">
        <f aca="false">IF($H4612="",0,IFERROR(MATCH($H4612,GradeList,0),0))</f>
        <v>0</v>
      </c>
      <c r="O4612" s="64" t="n">
        <f aca="false">IF(OR($I4612="",$I4612="NR"),0,IFERROR(MATCH($I4612,GradeList,0),0))</f>
        <v>0</v>
      </c>
      <c r="P4612" s="64" t="n">
        <f aca="false">IF(AND($M4612&gt;0,ISNUMBER(MATCH($F4612,Lists!$A$2:$A$5,0)),ISNUMBER(MATCH($G4612,Lists!$B$2:$B$7,0)),OR($H4612="",$N4612&gt;0),OR($I4612="",$I4612="NR",$O4612&gt;0),IF(ISNUMBER($J4612),AND($J4612&gt;=0,$J4612=INT($J4612)),FALSE())),$J4612,0)</f>
        <v>0</v>
      </c>
      <c r="Q4612" s="64" t="n">
        <f aca="false">IF(AND($P4612&gt;0,$O4612&gt;0),$P4612,0)</f>
        <v>0</v>
      </c>
      <c r="R4612" s="64" t="n">
        <f aca="false">IF(AND($Q4612&gt;0,$O4612&gt;=AtRank),$Q4612,0)</f>
        <v>0</v>
      </c>
      <c r="S4612" s="64" t="n">
        <f aca="false">IF(AND($Q4612&gt;0,$O4612&gt;=AboveRank),$Q4612,0)</f>
        <v>0</v>
      </c>
      <c r="T4612" s="64" t="n">
        <f aca="false">IF($K4612="Less",$P4612,0)</f>
        <v>0</v>
      </c>
      <c r="U4612" s="64" t="n">
        <f aca="false">IF($K4612="Expected",$P4612,0)</f>
        <v>0</v>
      </c>
      <c r="V4612" s="64" t="n">
        <f aca="false">IF($K4612="Better",$P4612,0)</f>
        <v>0</v>
      </c>
      <c r="W4612" s="64" t="n">
        <f aca="false">IF($K4612="U – needs rule",$P4612,0)</f>
        <v>0</v>
      </c>
      <c r="X4612" s="64" t="n">
        <f aca="false">IF($K4612="No Start (attainment only)",$P4612,0)</f>
        <v>0</v>
      </c>
    </row>
    <row r="4613" customFormat="false" ht="15" hidden="false" customHeight="false" outlineLevel="0" collapsed="false">
      <c r="A4613" s="60"/>
      <c r="B4613" s="61" t="str">
        <f aca="false">IF($M4613=0,"",INDEX(Classes!$E$6:$E$420,$M4613))</f>
        <v/>
      </c>
      <c r="C4613" s="62" t="str">
        <f aca="false">IF($M4613=0,"",INDEX(Classes!$H$6:$H$420,$M4613))</f>
        <v/>
      </c>
      <c r="D4613" s="61" t="str">
        <f aca="false">IF($M4613=0,"",INDEX(Classes!$B$6:$B$420,$M4613))</f>
        <v/>
      </c>
      <c r="E4613" s="61" t="str">
        <f aca="false">IF($M4613=0,"",INDEX(Classes!$C$6:$C$420,$M4613))</f>
        <v/>
      </c>
      <c r="F4613" s="63"/>
      <c r="G4613" s="63"/>
      <c r="H4613" s="60"/>
      <c r="I4613" s="60"/>
      <c r="J4613" s="63"/>
      <c r="K4613" s="61" t="str">
        <f aca="false">IF($P4613=0,"",IF($F4613="Baseline","— Baseline",IF($O4613=0,"No result",IF($N4613=0,"No Start (attainment only)",IF(OR($N4613=1,$O4613=1),"U – needs rule",INDEX(MxBody,MATCH($I4613,MxCurr,0),MATCH($H4613,MxStart,0)))))))</f>
        <v/>
      </c>
      <c r="L4613" s="62" t="str">
        <f aca="false">IF(COUNTA($A4613,$F4613,$G4613,$H4613,$I4613,$J4613)=0,"",IF($M4613=0,"✖ كود الصف غير موجود",IF(ISNA(MATCH($F4613,Lists!$A$2:$A$5,0)),"✖ الفترة غير صحيحة",IF(ISNA(MATCH($G4613,Lists!$B$2:$B$7,0)),"✖ المجموعة غير صحيحة",IF(NOT(OR($H4613="",$N4613&gt;0)),"✖ Start غير صحيح",IF(NOT(OR($I4613="",$I4613="NR",$O4613&gt;0)),"✖ Current غير صحيح",IF(NOT(IF(ISNUMBER($J4613),AND($J4613&gt;=0,$J4613=INT($J4613)),FALSE())),"✖ العدد يجب أن يكون صحيحًا ≥ 0",IF(AND($F4613="Baseline",$H4613&lt;&gt;""),"⚠ Baseline: Start لا يدخل في التقدم",IF($K4613="No Start (attainment only)","ℹ تحصيل فقط (بدون Start)",IF($K4613="U – needs rule","ℹ حالة U تحتاج قاعدة معتمدة",IF($K4613="No result","ℹ بدون نتيجة (يُستبعد من التحصيل)","OK")))))))))))</f>
        <v/>
      </c>
      <c r="M4613" s="64" t="n">
        <f aca="false">IF($A4613="",0,IFERROR(MATCH($A4613,Classes!$A$6:$A$420,0),0))</f>
        <v>0</v>
      </c>
      <c r="N4613" s="64" t="n">
        <f aca="false">IF($H4613="",0,IFERROR(MATCH($H4613,GradeList,0),0))</f>
        <v>0</v>
      </c>
      <c r="O4613" s="64" t="n">
        <f aca="false">IF(OR($I4613="",$I4613="NR"),0,IFERROR(MATCH($I4613,GradeList,0),0))</f>
        <v>0</v>
      </c>
      <c r="P4613" s="64" t="n">
        <f aca="false">IF(AND($M4613&gt;0,ISNUMBER(MATCH($F4613,Lists!$A$2:$A$5,0)),ISNUMBER(MATCH($G4613,Lists!$B$2:$B$7,0)),OR($H4613="",$N4613&gt;0),OR($I4613="",$I4613="NR",$O4613&gt;0),IF(ISNUMBER($J4613),AND($J4613&gt;=0,$J4613=INT($J4613)),FALSE())),$J4613,0)</f>
        <v>0</v>
      </c>
      <c r="Q4613" s="64" t="n">
        <f aca="false">IF(AND($P4613&gt;0,$O4613&gt;0),$P4613,0)</f>
        <v>0</v>
      </c>
      <c r="R4613" s="64" t="n">
        <f aca="false">IF(AND($Q4613&gt;0,$O4613&gt;=AtRank),$Q4613,0)</f>
        <v>0</v>
      </c>
      <c r="S4613" s="64" t="n">
        <f aca="false">IF(AND($Q4613&gt;0,$O4613&gt;=AboveRank),$Q4613,0)</f>
        <v>0</v>
      </c>
      <c r="T4613" s="64" t="n">
        <f aca="false">IF($K4613="Less",$P4613,0)</f>
        <v>0</v>
      </c>
      <c r="U4613" s="64" t="n">
        <f aca="false">IF($K4613="Expected",$P4613,0)</f>
        <v>0</v>
      </c>
      <c r="V4613" s="64" t="n">
        <f aca="false">IF($K4613="Better",$P4613,0)</f>
        <v>0</v>
      </c>
      <c r="W4613" s="64" t="n">
        <f aca="false">IF($K4613="U – needs rule",$P4613,0)</f>
        <v>0</v>
      </c>
      <c r="X4613" s="64" t="n">
        <f aca="false">IF($K4613="No Start (attainment only)",$P4613,0)</f>
        <v>0</v>
      </c>
    </row>
    <row r="4614" customFormat="false" ht="15" hidden="false" customHeight="false" outlineLevel="0" collapsed="false">
      <c r="A4614" s="60"/>
      <c r="B4614" s="61" t="str">
        <f aca="false">IF($M4614=0,"",INDEX(Classes!$E$6:$E$420,$M4614))</f>
        <v/>
      </c>
      <c r="C4614" s="62" t="str">
        <f aca="false">IF($M4614=0,"",INDEX(Classes!$H$6:$H$420,$M4614))</f>
        <v/>
      </c>
      <c r="D4614" s="61" t="str">
        <f aca="false">IF($M4614=0,"",INDEX(Classes!$B$6:$B$420,$M4614))</f>
        <v/>
      </c>
      <c r="E4614" s="61" t="str">
        <f aca="false">IF($M4614=0,"",INDEX(Classes!$C$6:$C$420,$M4614))</f>
        <v/>
      </c>
      <c r="F4614" s="63"/>
      <c r="G4614" s="63"/>
      <c r="H4614" s="60"/>
      <c r="I4614" s="60"/>
      <c r="J4614" s="63"/>
      <c r="K4614" s="61" t="str">
        <f aca="false">IF($P4614=0,"",IF($F4614="Baseline","— Baseline",IF($O4614=0,"No result",IF($N4614=0,"No Start (attainment only)",IF(OR($N4614=1,$O4614=1),"U – needs rule",INDEX(MxBody,MATCH($I4614,MxCurr,0),MATCH($H4614,MxStart,0)))))))</f>
        <v/>
      </c>
      <c r="L4614" s="62" t="str">
        <f aca="false">IF(COUNTA($A4614,$F4614,$G4614,$H4614,$I4614,$J4614)=0,"",IF($M4614=0,"✖ كود الصف غير موجود",IF(ISNA(MATCH($F4614,Lists!$A$2:$A$5,0)),"✖ الفترة غير صحيحة",IF(ISNA(MATCH($G4614,Lists!$B$2:$B$7,0)),"✖ المجموعة غير صحيحة",IF(NOT(OR($H4614="",$N4614&gt;0)),"✖ Start غير صحيح",IF(NOT(OR($I4614="",$I4614="NR",$O4614&gt;0)),"✖ Current غير صحيح",IF(NOT(IF(ISNUMBER($J4614),AND($J4614&gt;=0,$J4614=INT($J4614)),FALSE())),"✖ العدد يجب أن يكون صحيحًا ≥ 0",IF(AND($F4614="Baseline",$H4614&lt;&gt;""),"⚠ Baseline: Start لا يدخل في التقدم",IF($K4614="No Start (attainment only)","ℹ تحصيل فقط (بدون Start)",IF($K4614="U – needs rule","ℹ حالة U تحتاج قاعدة معتمدة",IF($K4614="No result","ℹ بدون نتيجة (يُستبعد من التحصيل)","OK")))))))))))</f>
        <v/>
      </c>
      <c r="M4614" s="64" t="n">
        <f aca="false">IF($A4614="",0,IFERROR(MATCH($A4614,Classes!$A$6:$A$420,0),0))</f>
        <v>0</v>
      </c>
      <c r="N4614" s="64" t="n">
        <f aca="false">IF($H4614="",0,IFERROR(MATCH($H4614,GradeList,0),0))</f>
        <v>0</v>
      </c>
      <c r="O4614" s="64" t="n">
        <f aca="false">IF(OR($I4614="",$I4614="NR"),0,IFERROR(MATCH($I4614,GradeList,0),0))</f>
        <v>0</v>
      </c>
      <c r="P4614" s="64" t="n">
        <f aca="false">IF(AND($M4614&gt;0,ISNUMBER(MATCH($F4614,Lists!$A$2:$A$5,0)),ISNUMBER(MATCH($G4614,Lists!$B$2:$B$7,0)),OR($H4614="",$N4614&gt;0),OR($I4614="",$I4614="NR",$O4614&gt;0),IF(ISNUMBER($J4614),AND($J4614&gt;=0,$J4614=INT($J4614)),FALSE())),$J4614,0)</f>
        <v>0</v>
      </c>
      <c r="Q4614" s="64" t="n">
        <f aca="false">IF(AND($P4614&gt;0,$O4614&gt;0),$P4614,0)</f>
        <v>0</v>
      </c>
      <c r="R4614" s="64" t="n">
        <f aca="false">IF(AND($Q4614&gt;0,$O4614&gt;=AtRank),$Q4614,0)</f>
        <v>0</v>
      </c>
      <c r="S4614" s="64" t="n">
        <f aca="false">IF(AND($Q4614&gt;0,$O4614&gt;=AboveRank),$Q4614,0)</f>
        <v>0</v>
      </c>
      <c r="T4614" s="64" t="n">
        <f aca="false">IF($K4614="Less",$P4614,0)</f>
        <v>0</v>
      </c>
      <c r="U4614" s="64" t="n">
        <f aca="false">IF($K4614="Expected",$P4614,0)</f>
        <v>0</v>
      </c>
      <c r="V4614" s="64" t="n">
        <f aca="false">IF($K4614="Better",$P4614,0)</f>
        <v>0</v>
      </c>
      <c r="W4614" s="64" t="n">
        <f aca="false">IF($K4614="U – needs rule",$P4614,0)</f>
        <v>0</v>
      </c>
      <c r="X4614" s="64" t="n">
        <f aca="false">IF($K4614="No Start (attainment only)",$P4614,0)</f>
        <v>0</v>
      </c>
    </row>
    <row r="4615" customFormat="false" ht="15" hidden="false" customHeight="false" outlineLevel="0" collapsed="false">
      <c r="A4615" s="60"/>
      <c r="B4615" s="61" t="str">
        <f aca="false">IF($M4615=0,"",INDEX(Classes!$E$6:$E$420,$M4615))</f>
        <v/>
      </c>
      <c r="C4615" s="62" t="str">
        <f aca="false">IF($M4615=0,"",INDEX(Classes!$H$6:$H$420,$M4615))</f>
        <v/>
      </c>
      <c r="D4615" s="61" t="str">
        <f aca="false">IF($M4615=0,"",INDEX(Classes!$B$6:$B$420,$M4615))</f>
        <v/>
      </c>
      <c r="E4615" s="61" t="str">
        <f aca="false">IF($M4615=0,"",INDEX(Classes!$C$6:$C$420,$M4615))</f>
        <v/>
      </c>
      <c r="F4615" s="63"/>
      <c r="G4615" s="63"/>
      <c r="H4615" s="60"/>
      <c r="I4615" s="60"/>
      <c r="J4615" s="63"/>
      <c r="K4615" s="61" t="str">
        <f aca="false">IF($P4615=0,"",IF($F4615="Baseline","— Baseline",IF($O4615=0,"No result",IF($N4615=0,"No Start (attainment only)",IF(OR($N4615=1,$O4615=1),"U – needs rule",INDEX(MxBody,MATCH($I4615,MxCurr,0),MATCH($H4615,MxStart,0)))))))</f>
        <v/>
      </c>
      <c r="L4615" s="62" t="str">
        <f aca="false">IF(COUNTA($A4615,$F4615,$G4615,$H4615,$I4615,$J4615)=0,"",IF($M4615=0,"✖ كود الصف غير موجود",IF(ISNA(MATCH($F4615,Lists!$A$2:$A$5,0)),"✖ الفترة غير صحيحة",IF(ISNA(MATCH($G4615,Lists!$B$2:$B$7,0)),"✖ المجموعة غير صحيحة",IF(NOT(OR($H4615="",$N4615&gt;0)),"✖ Start غير صحيح",IF(NOT(OR($I4615="",$I4615="NR",$O4615&gt;0)),"✖ Current غير صحيح",IF(NOT(IF(ISNUMBER($J4615),AND($J4615&gt;=0,$J4615=INT($J4615)),FALSE())),"✖ العدد يجب أن يكون صحيحًا ≥ 0",IF(AND($F4615="Baseline",$H4615&lt;&gt;""),"⚠ Baseline: Start لا يدخل في التقدم",IF($K4615="No Start (attainment only)","ℹ تحصيل فقط (بدون Start)",IF($K4615="U – needs rule","ℹ حالة U تحتاج قاعدة معتمدة",IF($K4615="No result","ℹ بدون نتيجة (يُستبعد من التحصيل)","OK")))))))))))</f>
        <v/>
      </c>
      <c r="M4615" s="64" t="n">
        <f aca="false">IF($A4615="",0,IFERROR(MATCH($A4615,Classes!$A$6:$A$420,0),0))</f>
        <v>0</v>
      </c>
      <c r="N4615" s="64" t="n">
        <f aca="false">IF($H4615="",0,IFERROR(MATCH($H4615,GradeList,0),0))</f>
        <v>0</v>
      </c>
      <c r="O4615" s="64" t="n">
        <f aca="false">IF(OR($I4615="",$I4615="NR"),0,IFERROR(MATCH($I4615,GradeList,0),0))</f>
        <v>0</v>
      </c>
      <c r="P4615" s="64" t="n">
        <f aca="false">IF(AND($M4615&gt;0,ISNUMBER(MATCH($F4615,Lists!$A$2:$A$5,0)),ISNUMBER(MATCH($G4615,Lists!$B$2:$B$7,0)),OR($H4615="",$N4615&gt;0),OR($I4615="",$I4615="NR",$O4615&gt;0),IF(ISNUMBER($J4615),AND($J4615&gt;=0,$J4615=INT($J4615)),FALSE())),$J4615,0)</f>
        <v>0</v>
      </c>
      <c r="Q4615" s="64" t="n">
        <f aca="false">IF(AND($P4615&gt;0,$O4615&gt;0),$P4615,0)</f>
        <v>0</v>
      </c>
      <c r="R4615" s="64" t="n">
        <f aca="false">IF(AND($Q4615&gt;0,$O4615&gt;=AtRank),$Q4615,0)</f>
        <v>0</v>
      </c>
      <c r="S4615" s="64" t="n">
        <f aca="false">IF(AND($Q4615&gt;0,$O4615&gt;=AboveRank),$Q4615,0)</f>
        <v>0</v>
      </c>
      <c r="T4615" s="64" t="n">
        <f aca="false">IF($K4615="Less",$P4615,0)</f>
        <v>0</v>
      </c>
      <c r="U4615" s="64" t="n">
        <f aca="false">IF($K4615="Expected",$P4615,0)</f>
        <v>0</v>
      </c>
      <c r="V4615" s="64" t="n">
        <f aca="false">IF($K4615="Better",$P4615,0)</f>
        <v>0</v>
      </c>
      <c r="W4615" s="64" t="n">
        <f aca="false">IF($K4615="U – needs rule",$P4615,0)</f>
        <v>0</v>
      </c>
      <c r="X4615" s="64" t="n">
        <f aca="false">IF($K4615="No Start (attainment only)",$P4615,0)</f>
        <v>0</v>
      </c>
    </row>
    <row r="4616" customFormat="false" ht="15" hidden="false" customHeight="false" outlineLevel="0" collapsed="false">
      <c r="A4616" s="60"/>
      <c r="B4616" s="61" t="str">
        <f aca="false">IF($M4616=0,"",INDEX(Classes!$E$6:$E$420,$M4616))</f>
        <v/>
      </c>
      <c r="C4616" s="62" t="str">
        <f aca="false">IF($M4616=0,"",INDEX(Classes!$H$6:$H$420,$M4616))</f>
        <v/>
      </c>
      <c r="D4616" s="61" t="str">
        <f aca="false">IF($M4616=0,"",INDEX(Classes!$B$6:$B$420,$M4616))</f>
        <v/>
      </c>
      <c r="E4616" s="61" t="str">
        <f aca="false">IF($M4616=0,"",INDEX(Classes!$C$6:$C$420,$M4616))</f>
        <v/>
      </c>
      <c r="F4616" s="63"/>
      <c r="G4616" s="63"/>
      <c r="H4616" s="60"/>
      <c r="I4616" s="60"/>
      <c r="J4616" s="63"/>
      <c r="K4616" s="61" t="str">
        <f aca="false">IF($P4616=0,"",IF($F4616="Baseline","— Baseline",IF($O4616=0,"No result",IF($N4616=0,"No Start (attainment only)",IF(OR($N4616=1,$O4616=1),"U – needs rule",INDEX(MxBody,MATCH($I4616,MxCurr,0),MATCH($H4616,MxStart,0)))))))</f>
        <v/>
      </c>
      <c r="L4616" s="62" t="str">
        <f aca="false">IF(COUNTA($A4616,$F4616,$G4616,$H4616,$I4616,$J4616)=0,"",IF($M4616=0,"✖ كود الصف غير موجود",IF(ISNA(MATCH($F4616,Lists!$A$2:$A$5,0)),"✖ الفترة غير صحيحة",IF(ISNA(MATCH($G4616,Lists!$B$2:$B$7,0)),"✖ المجموعة غير صحيحة",IF(NOT(OR($H4616="",$N4616&gt;0)),"✖ Start غير صحيح",IF(NOT(OR($I4616="",$I4616="NR",$O4616&gt;0)),"✖ Current غير صحيح",IF(NOT(IF(ISNUMBER($J4616),AND($J4616&gt;=0,$J4616=INT($J4616)),FALSE())),"✖ العدد يجب أن يكون صحيحًا ≥ 0",IF(AND($F4616="Baseline",$H4616&lt;&gt;""),"⚠ Baseline: Start لا يدخل في التقدم",IF($K4616="No Start (attainment only)","ℹ تحصيل فقط (بدون Start)",IF($K4616="U – needs rule","ℹ حالة U تحتاج قاعدة معتمدة",IF($K4616="No result","ℹ بدون نتيجة (يُستبعد من التحصيل)","OK")))))))))))</f>
        <v/>
      </c>
      <c r="M4616" s="64" t="n">
        <f aca="false">IF($A4616="",0,IFERROR(MATCH($A4616,Classes!$A$6:$A$420,0),0))</f>
        <v>0</v>
      </c>
      <c r="N4616" s="64" t="n">
        <f aca="false">IF($H4616="",0,IFERROR(MATCH($H4616,GradeList,0),0))</f>
        <v>0</v>
      </c>
      <c r="O4616" s="64" t="n">
        <f aca="false">IF(OR($I4616="",$I4616="NR"),0,IFERROR(MATCH($I4616,GradeList,0),0))</f>
        <v>0</v>
      </c>
      <c r="P4616" s="64" t="n">
        <f aca="false">IF(AND($M4616&gt;0,ISNUMBER(MATCH($F4616,Lists!$A$2:$A$5,0)),ISNUMBER(MATCH($G4616,Lists!$B$2:$B$7,0)),OR($H4616="",$N4616&gt;0),OR($I4616="",$I4616="NR",$O4616&gt;0),IF(ISNUMBER($J4616),AND($J4616&gt;=0,$J4616=INT($J4616)),FALSE())),$J4616,0)</f>
        <v>0</v>
      </c>
      <c r="Q4616" s="64" t="n">
        <f aca="false">IF(AND($P4616&gt;0,$O4616&gt;0),$P4616,0)</f>
        <v>0</v>
      </c>
      <c r="R4616" s="64" t="n">
        <f aca="false">IF(AND($Q4616&gt;0,$O4616&gt;=AtRank),$Q4616,0)</f>
        <v>0</v>
      </c>
      <c r="S4616" s="64" t="n">
        <f aca="false">IF(AND($Q4616&gt;0,$O4616&gt;=AboveRank),$Q4616,0)</f>
        <v>0</v>
      </c>
      <c r="T4616" s="64" t="n">
        <f aca="false">IF($K4616="Less",$P4616,0)</f>
        <v>0</v>
      </c>
      <c r="U4616" s="64" t="n">
        <f aca="false">IF($K4616="Expected",$P4616,0)</f>
        <v>0</v>
      </c>
      <c r="V4616" s="64" t="n">
        <f aca="false">IF($K4616="Better",$P4616,0)</f>
        <v>0</v>
      </c>
      <c r="W4616" s="64" t="n">
        <f aca="false">IF($K4616="U – needs rule",$P4616,0)</f>
        <v>0</v>
      </c>
      <c r="X4616" s="64" t="n">
        <f aca="false">IF($K4616="No Start (attainment only)",$P4616,0)</f>
        <v>0</v>
      </c>
    </row>
    <row r="4617" customFormat="false" ht="15" hidden="false" customHeight="false" outlineLevel="0" collapsed="false">
      <c r="A4617" s="60"/>
      <c r="B4617" s="61" t="str">
        <f aca="false">IF($M4617=0,"",INDEX(Classes!$E$6:$E$420,$M4617))</f>
        <v/>
      </c>
      <c r="C4617" s="62" t="str">
        <f aca="false">IF($M4617=0,"",INDEX(Classes!$H$6:$H$420,$M4617))</f>
        <v/>
      </c>
      <c r="D4617" s="61" t="str">
        <f aca="false">IF($M4617=0,"",INDEX(Classes!$B$6:$B$420,$M4617))</f>
        <v/>
      </c>
      <c r="E4617" s="61" t="str">
        <f aca="false">IF($M4617=0,"",INDEX(Classes!$C$6:$C$420,$M4617))</f>
        <v/>
      </c>
      <c r="F4617" s="63"/>
      <c r="G4617" s="63"/>
      <c r="H4617" s="60"/>
      <c r="I4617" s="60"/>
      <c r="J4617" s="63"/>
      <c r="K4617" s="61" t="str">
        <f aca="false">IF($P4617=0,"",IF($F4617="Baseline","— Baseline",IF($O4617=0,"No result",IF($N4617=0,"No Start (attainment only)",IF(OR($N4617=1,$O4617=1),"U – needs rule",INDEX(MxBody,MATCH($I4617,MxCurr,0),MATCH($H4617,MxStart,0)))))))</f>
        <v/>
      </c>
      <c r="L4617" s="62" t="str">
        <f aca="false">IF(COUNTA($A4617,$F4617,$G4617,$H4617,$I4617,$J4617)=0,"",IF($M4617=0,"✖ كود الصف غير موجود",IF(ISNA(MATCH($F4617,Lists!$A$2:$A$5,0)),"✖ الفترة غير صحيحة",IF(ISNA(MATCH($G4617,Lists!$B$2:$B$7,0)),"✖ المجموعة غير صحيحة",IF(NOT(OR($H4617="",$N4617&gt;0)),"✖ Start غير صحيح",IF(NOT(OR($I4617="",$I4617="NR",$O4617&gt;0)),"✖ Current غير صحيح",IF(NOT(IF(ISNUMBER($J4617),AND($J4617&gt;=0,$J4617=INT($J4617)),FALSE())),"✖ العدد يجب أن يكون صحيحًا ≥ 0",IF(AND($F4617="Baseline",$H4617&lt;&gt;""),"⚠ Baseline: Start لا يدخل في التقدم",IF($K4617="No Start (attainment only)","ℹ تحصيل فقط (بدون Start)",IF($K4617="U – needs rule","ℹ حالة U تحتاج قاعدة معتمدة",IF($K4617="No result","ℹ بدون نتيجة (يُستبعد من التحصيل)","OK")))))))))))</f>
        <v/>
      </c>
      <c r="M4617" s="64" t="n">
        <f aca="false">IF($A4617="",0,IFERROR(MATCH($A4617,Classes!$A$6:$A$420,0),0))</f>
        <v>0</v>
      </c>
      <c r="N4617" s="64" t="n">
        <f aca="false">IF($H4617="",0,IFERROR(MATCH($H4617,GradeList,0),0))</f>
        <v>0</v>
      </c>
      <c r="O4617" s="64" t="n">
        <f aca="false">IF(OR($I4617="",$I4617="NR"),0,IFERROR(MATCH($I4617,GradeList,0),0))</f>
        <v>0</v>
      </c>
      <c r="P4617" s="64" t="n">
        <f aca="false">IF(AND($M4617&gt;0,ISNUMBER(MATCH($F4617,Lists!$A$2:$A$5,0)),ISNUMBER(MATCH($G4617,Lists!$B$2:$B$7,0)),OR($H4617="",$N4617&gt;0),OR($I4617="",$I4617="NR",$O4617&gt;0),IF(ISNUMBER($J4617),AND($J4617&gt;=0,$J4617=INT($J4617)),FALSE())),$J4617,0)</f>
        <v>0</v>
      </c>
      <c r="Q4617" s="64" t="n">
        <f aca="false">IF(AND($P4617&gt;0,$O4617&gt;0),$P4617,0)</f>
        <v>0</v>
      </c>
      <c r="R4617" s="64" t="n">
        <f aca="false">IF(AND($Q4617&gt;0,$O4617&gt;=AtRank),$Q4617,0)</f>
        <v>0</v>
      </c>
      <c r="S4617" s="64" t="n">
        <f aca="false">IF(AND($Q4617&gt;0,$O4617&gt;=AboveRank),$Q4617,0)</f>
        <v>0</v>
      </c>
      <c r="T4617" s="64" t="n">
        <f aca="false">IF($K4617="Less",$P4617,0)</f>
        <v>0</v>
      </c>
      <c r="U4617" s="64" t="n">
        <f aca="false">IF($K4617="Expected",$P4617,0)</f>
        <v>0</v>
      </c>
      <c r="V4617" s="64" t="n">
        <f aca="false">IF($K4617="Better",$P4617,0)</f>
        <v>0</v>
      </c>
      <c r="W4617" s="64" t="n">
        <f aca="false">IF($K4617="U – needs rule",$P4617,0)</f>
        <v>0</v>
      </c>
      <c r="X4617" s="64" t="n">
        <f aca="false">IF($K4617="No Start (attainment only)",$P4617,0)</f>
        <v>0</v>
      </c>
    </row>
    <row r="4618" customFormat="false" ht="15" hidden="false" customHeight="false" outlineLevel="0" collapsed="false">
      <c r="A4618" s="60"/>
      <c r="B4618" s="61" t="str">
        <f aca="false">IF($M4618=0,"",INDEX(Classes!$E$6:$E$420,$M4618))</f>
        <v/>
      </c>
      <c r="C4618" s="62" t="str">
        <f aca="false">IF($M4618=0,"",INDEX(Classes!$H$6:$H$420,$M4618))</f>
        <v/>
      </c>
      <c r="D4618" s="61" t="str">
        <f aca="false">IF($M4618=0,"",INDEX(Classes!$B$6:$B$420,$M4618))</f>
        <v/>
      </c>
      <c r="E4618" s="61" t="str">
        <f aca="false">IF($M4618=0,"",INDEX(Classes!$C$6:$C$420,$M4618))</f>
        <v/>
      </c>
      <c r="F4618" s="63"/>
      <c r="G4618" s="63"/>
      <c r="H4618" s="60"/>
      <c r="I4618" s="60"/>
      <c r="J4618" s="63"/>
      <c r="K4618" s="61" t="str">
        <f aca="false">IF($P4618=0,"",IF($F4618="Baseline","— Baseline",IF($O4618=0,"No result",IF($N4618=0,"No Start (attainment only)",IF(OR($N4618=1,$O4618=1),"U – needs rule",INDEX(MxBody,MATCH($I4618,MxCurr,0),MATCH($H4618,MxStart,0)))))))</f>
        <v/>
      </c>
      <c r="L4618" s="62" t="str">
        <f aca="false">IF(COUNTA($A4618,$F4618,$G4618,$H4618,$I4618,$J4618)=0,"",IF($M4618=0,"✖ كود الصف غير موجود",IF(ISNA(MATCH($F4618,Lists!$A$2:$A$5,0)),"✖ الفترة غير صحيحة",IF(ISNA(MATCH($G4618,Lists!$B$2:$B$7,0)),"✖ المجموعة غير صحيحة",IF(NOT(OR($H4618="",$N4618&gt;0)),"✖ Start غير صحيح",IF(NOT(OR($I4618="",$I4618="NR",$O4618&gt;0)),"✖ Current غير صحيح",IF(NOT(IF(ISNUMBER($J4618),AND($J4618&gt;=0,$J4618=INT($J4618)),FALSE())),"✖ العدد يجب أن يكون صحيحًا ≥ 0",IF(AND($F4618="Baseline",$H4618&lt;&gt;""),"⚠ Baseline: Start لا يدخل في التقدم",IF($K4618="No Start (attainment only)","ℹ تحصيل فقط (بدون Start)",IF($K4618="U – needs rule","ℹ حالة U تحتاج قاعدة معتمدة",IF($K4618="No result","ℹ بدون نتيجة (يُستبعد من التحصيل)","OK")))))))))))</f>
        <v/>
      </c>
      <c r="M4618" s="64" t="n">
        <f aca="false">IF($A4618="",0,IFERROR(MATCH($A4618,Classes!$A$6:$A$420,0),0))</f>
        <v>0</v>
      </c>
      <c r="N4618" s="64" t="n">
        <f aca="false">IF($H4618="",0,IFERROR(MATCH($H4618,GradeList,0),0))</f>
        <v>0</v>
      </c>
      <c r="O4618" s="64" t="n">
        <f aca="false">IF(OR($I4618="",$I4618="NR"),0,IFERROR(MATCH($I4618,GradeList,0),0))</f>
        <v>0</v>
      </c>
      <c r="P4618" s="64" t="n">
        <f aca="false">IF(AND($M4618&gt;0,ISNUMBER(MATCH($F4618,Lists!$A$2:$A$5,0)),ISNUMBER(MATCH($G4618,Lists!$B$2:$B$7,0)),OR($H4618="",$N4618&gt;0),OR($I4618="",$I4618="NR",$O4618&gt;0),IF(ISNUMBER($J4618),AND($J4618&gt;=0,$J4618=INT($J4618)),FALSE())),$J4618,0)</f>
        <v>0</v>
      </c>
      <c r="Q4618" s="64" t="n">
        <f aca="false">IF(AND($P4618&gt;0,$O4618&gt;0),$P4618,0)</f>
        <v>0</v>
      </c>
      <c r="R4618" s="64" t="n">
        <f aca="false">IF(AND($Q4618&gt;0,$O4618&gt;=AtRank),$Q4618,0)</f>
        <v>0</v>
      </c>
      <c r="S4618" s="64" t="n">
        <f aca="false">IF(AND($Q4618&gt;0,$O4618&gt;=AboveRank),$Q4618,0)</f>
        <v>0</v>
      </c>
      <c r="T4618" s="64" t="n">
        <f aca="false">IF($K4618="Less",$P4618,0)</f>
        <v>0</v>
      </c>
      <c r="U4618" s="64" t="n">
        <f aca="false">IF($K4618="Expected",$P4618,0)</f>
        <v>0</v>
      </c>
      <c r="V4618" s="64" t="n">
        <f aca="false">IF($K4618="Better",$P4618,0)</f>
        <v>0</v>
      </c>
      <c r="W4618" s="64" t="n">
        <f aca="false">IF($K4618="U – needs rule",$P4618,0)</f>
        <v>0</v>
      </c>
      <c r="X4618" s="64" t="n">
        <f aca="false">IF($K4618="No Start (attainment only)",$P4618,0)</f>
        <v>0</v>
      </c>
    </row>
    <row r="4619" customFormat="false" ht="15" hidden="false" customHeight="false" outlineLevel="0" collapsed="false">
      <c r="A4619" s="60"/>
      <c r="B4619" s="61" t="str">
        <f aca="false">IF($M4619=0,"",INDEX(Classes!$E$6:$E$420,$M4619))</f>
        <v/>
      </c>
      <c r="C4619" s="62" t="str">
        <f aca="false">IF($M4619=0,"",INDEX(Classes!$H$6:$H$420,$M4619))</f>
        <v/>
      </c>
      <c r="D4619" s="61" t="str">
        <f aca="false">IF($M4619=0,"",INDEX(Classes!$B$6:$B$420,$M4619))</f>
        <v/>
      </c>
      <c r="E4619" s="61" t="str">
        <f aca="false">IF($M4619=0,"",INDEX(Classes!$C$6:$C$420,$M4619))</f>
        <v/>
      </c>
      <c r="F4619" s="63"/>
      <c r="G4619" s="63"/>
      <c r="H4619" s="60"/>
      <c r="I4619" s="60"/>
      <c r="J4619" s="63"/>
      <c r="K4619" s="61" t="str">
        <f aca="false">IF($P4619=0,"",IF($F4619="Baseline","— Baseline",IF($O4619=0,"No result",IF($N4619=0,"No Start (attainment only)",IF(OR($N4619=1,$O4619=1),"U – needs rule",INDEX(MxBody,MATCH($I4619,MxCurr,0),MATCH($H4619,MxStart,0)))))))</f>
        <v/>
      </c>
      <c r="L4619" s="62" t="str">
        <f aca="false">IF(COUNTA($A4619,$F4619,$G4619,$H4619,$I4619,$J4619)=0,"",IF($M4619=0,"✖ كود الصف غير موجود",IF(ISNA(MATCH($F4619,Lists!$A$2:$A$5,0)),"✖ الفترة غير صحيحة",IF(ISNA(MATCH($G4619,Lists!$B$2:$B$7,0)),"✖ المجموعة غير صحيحة",IF(NOT(OR($H4619="",$N4619&gt;0)),"✖ Start غير صحيح",IF(NOT(OR($I4619="",$I4619="NR",$O4619&gt;0)),"✖ Current غير صحيح",IF(NOT(IF(ISNUMBER($J4619),AND($J4619&gt;=0,$J4619=INT($J4619)),FALSE())),"✖ العدد يجب أن يكون صحيحًا ≥ 0",IF(AND($F4619="Baseline",$H4619&lt;&gt;""),"⚠ Baseline: Start لا يدخل في التقدم",IF($K4619="No Start (attainment only)","ℹ تحصيل فقط (بدون Start)",IF($K4619="U – needs rule","ℹ حالة U تحتاج قاعدة معتمدة",IF($K4619="No result","ℹ بدون نتيجة (يُستبعد من التحصيل)","OK")))))))))))</f>
        <v/>
      </c>
      <c r="M4619" s="64" t="n">
        <f aca="false">IF($A4619="",0,IFERROR(MATCH($A4619,Classes!$A$6:$A$420,0),0))</f>
        <v>0</v>
      </c>
      <c r="N4619" s="64" t="n">
        <f aca="false">IF($H4619="",0,IFERROR(MATCH($H4619,GradeList,0),0))</f>
        <v>0</v>
      </c>
      <c r="O4619" s="64" t="n">
        <f aca="false">IF(OR($I4619="",$I4619="NR"),0,IFERROR(MATCH($I4619,GradeList,0),0))</f>
        <v>0</v>
      </c>
      <c r="P4619" s="64" t="n">
        <f aca="false">IF(AND($M4619&gt;0,ISNUMBER(MATCH($F4619,Lists!$A$2:$A$5,0)),ISNUMBER(MATCH($G4619,Lists!$B$2:$B$7,0)),OR($H4619="",$N4619&gt;0),OR($I4619="",$I4619="NR",$O4619&gt;0),IF(ISNUMBER($J4619),AND($J4619&gt;=0,$J4619=INT($J4619)),FALSE())),$J4619,0)</f>
        <v>0</v>
      </c>
      <c r="Q4619" s="64" t="n">
        <f aca="false">IF(AND($P4619&gt;0,$O4619&gt;0),$P4619,0)</f>
        <v>0</v>
      </c>
      <c r="R4619" s="64" t="n">
        <f aca="false">IF(AND($Q4619&gt;0,$O4619&gt;=AtRank),$Q4619,0)</f>
        <v>0</v>
      </c>
      <c r="S4619" s="64" t="n">
        <f aca="false">IF(AND($Q4619&gt;0,$O4619&gt;=AboveRank),$Q4619,0)</f>
        <v>0</v>
      </c>
      <c r="T4619" s="64" t="n">
        <f aca="false">IF($K4619="Less",$P4619,0)</f>
        <v>0</v>
      </c>
      <c r="U4619" s="64" t="n">
        <f aca="false">IF($K4619="Expected",$P4619,0)</f>
        <v>0</v>
      </c>
      <c r="V4619" s="64" t="n">
        <f aca="false">IF($K4619="Better",$P4619,0)</f>
        <v>0</v>
      </c>
      <c r="W4619" s="64" t="n">
        <f aca="false">IF($K4619="U – needs rule",$P4619,0)</f>
        <v>0</v>
      </c>
      <c r="X4619" s="64" t="n">
        <f aca="false">IF($K4619="No Start (attainment only)",$P4619,0)</f>
        <v>0</v>
      </c>
    </row>
    <row r="4620" customFormat="false" ht="15" hidden="false" customHeight="false" outlineLevel="0" collapsed="false">
      <c r="A4620" s="60"/>
      <c r="B4620" s="61" t="str">
        <f aca="false">IF($M4620=0,"",INDEX(Classes!$E$6:$E$420,$M4620))</f>
        <v/>
      </c>
      <c r="C4620" s="62" t="str">
        <f aca="false">IF($M4620=0,"",INDEX(Classes!$H$6:$H$420,$M4620))</f>
        <v/>
      </c>
      <c r="D4620" s="61" t="str">
        <f aca="false">IF($M4620=0,"",INDEX(Classes!$B$6:$B$420,$M4620))</f>
        <v/>
      </c>
      <c r="E4620" s="61" t="str">
        <f aca="false">IF($M4620=0,"",INDEX(Classes!$C$6:$C$420,$M4620))</f>
        <v/>
      </c>
      <c r="F4620" s="63"/>
      <c r="G4620" s="63"/>
      <c r="H4620" s="60"/>
      <c r="I4620" s="60"/>
      <c r="J4620" s="63"/>
      <c r="K4620" s="61" t="str">
        <f aca="false">IF($P4620=0,"",IF($F4620="Baseline","— Baseline",IF($O4620=0,"No result",IF($N4620=0,"No Start (attainment only)",IF(OR($N4620=1,$O4620=1),"U – needs rule",INDEX(MxBody,MATCH($I4620,MxCurr,0),MATCH($H4620,MxStart,0)))))))</f>
        <v/>
      </c>
      <c r="L4620" s="62" t="str">
        <f aca="false">IF(COUNTA($A4620,$F4620,$G4620,$H4620,$I4620,$J4620)=0,"",IF($M4620=0,"✖ كود الصف غير موجود",IF(ISNA(MATCH($F4620,Lists!$A$2:$A$5,0)),"✖ الفترة غير صحيحة",IF(ISNA(MATCH($G4620,Lists!$B$2:$B$7,0)),"✖ المجموعة غير صحيحة",IF(NOT(OR($H4620="",$N4620&gt;0)),"✖ Start غير صحيح",IF(NOT(OR($I4620="",$I4620="NR",$O4620&gt;0)),"✖ Current غير صحيح",IF(NOT(IF(ISNUMBER($J4620),AND($J4620&gt;=0,$J4620=INT($J4620)),FALSE())),"✖ العدد يجب أن يكون صحيحًا ≥ 0",IF(AND($F4620="Baseline",$H4620&lt;&gt;""),"⚠ Baseline: Start لا يدخل في التقدم",IF($K4620="No Start (attainment only)","ℹ تحصيل فقط (بدون Start)",IF($K4620="U – needs rule","ℹ حالة U تحتاج قاعدة معتمدة",IF($K4620="No result","ℹ بدون نتيجة (يُستبعد من التحصيل)","OK")))))))))))</f>
        <v/>
      </c>
      <c r="M4620" s="64" t="n">
        <f aca="false">IF($A4620="",0,IFERROR(MATCH($A4620,Classes!$A$6:$A$420,0),0))</f>
        <v>0</v>
      </c>
      <c r="N4620" s="64" t="n">
        <f aca="false">IF($H4620="",0,IFERROR(MATCH($H4620,GradeList,0),0))</f>
        <v>0</v>
      </c>
      <c r="O4620" s="64" t="n">
        <f aca="false">IF(OR($I4620="",$I4620="NR"),0,IFERROR(MATCH($I4620,GradeList,0),0))</f>
        <v>0</v>
      </c>
      <c r="P4620" s="64" t="n">
        <f aca="false">IF(AND($M4620&gt;0,ISNUMBER(MATCH($F4620,Lists!$A$2:$A$5,0)),ISNUMBER(MATCH($G4620,Lists!$B$2:$B$7,0)),OR($H4620="",$N4620&gt;0),OR($I4620="",$I4620="NR",$O4620&gt;0),IF(ISNUMBER($J4620),AND($J4620&gt;=0,$J4620=INT($J4620)),FALSE())),$J4620,0)</f>
        <v>0</v>
      </c>
      <c r="Q4620" s="64" t="n">
        <f aca="false">IF(AND($P4620&gt;0,$O4620&gt;0),$P4620,0)</f>
        <v>0</v>
      </c>
      <c r="R4620" s="64" t="n">
        <f aca="false">IF(AND($Q4620&gt;0,$O4620&gt;=AtRank),$Q4620,0)</f>
        <v>0</v>
      </c>
      <c r="S4620" s="64" t="n">
        <f aca="false">IF(AND($Q4620&gt;0,$O4620&gt;=AboveRank),$Q4620,0)</f>
        <v>0</v>
      </c>
      <c r="T4620" s="64" t="n">
        <f aca="false">IF($K4620="Less",$P4620,0)</f>
        <v>0</v>
      </c>
      <c r="U4620" s="64" t="n">
        <f aca="false">IF($K4620="Expected",$P4620,0)</f>
        <v>0</v>
      </c>
      <c r="V4620" s="64" t="n">
        <f aca="false">IF($K4620="Better",$P4620,0)</f>
        <v>0</v>
      </c>
      <c r="W4620" s="64" t="n">
        <f aca="false">IF($K4620="U – needs rule",$P4620,0)</f>
        <v>0</v>
      </c>
      <c r="X4620" s="64" t="n">
        <f aca="false">IF($K4620="No Start (attainment only)",$P4620,0)</f>
        <v>0</v>
      </c>
    </row>
    <row r="4621" customFormat="false" ht="15" hidden="false" customHeight="false" outlineLevel="0" collapsed="false">
      <c r="A4621" s="60"/>
      <c r="B4621" s="61" t="str">
        <f aca="false">IF($M4621=0,"",INDEX(Classes!$E$6:$E$420,$M4621))</f>
        <v/>
      </c>
      <c r="C4621" s="62" t="str">
        <f aca="false">IF($M4621=0,"",INDEX(Classes!$H$6:$H$420,$M4621))</f>
        <v/>
      </c>
      <c r="D4621" s="61" t="str">
        <f aca="false">IF($M4621=0,"",INDEX(Classes!$B$6:$B$420,$M4621))</f>
        <v/>
      </c>
      <c r="E4621" s="61" t="str">
        <f aca="false">IF($M4621=0,"",INDEX(Classes!$C$6:$C$420,$M4621))</f>
        <v/>
      </c>
      <c r="F4621" s="63"/>
      <c r="G4621" s="63"/>
      <c r="H4621" s="60"/>
      <c r="I4621" s="60"/>
      <c r="J4621" s="63"/>
      <c r="K4621" s="61" t="str">
        <f aca="false">IF($P4621=0,"",IF($F4621="Baseline","— Baseline",IF($O4621=0,"No result",IF($N4621=0,"No Start (attainment only)",IF(OR($N4621=1,$O4621=1),"U – needs rule",INDEX(MxBody,MATCH($I4621,MxCurr,0),MATCH($H4621,MxStart,0)))))))</f>
        <v/>
      </c>
      <c r="L4621" s="62" t="str">
        <f aca="false">IF(COUNTA($A4621,$F4621,$G4621,$H4621,$I4621,$J4621)=0,"",IF($M4621=0,"✖ كود الصف غير موجود",IF(ISNA(MATCH($F4621,Lists!$A$2:$A$5,0)),"✖ الفترة غير صحيحة",IF(ISNA(MATCH($G4621,Lists!$B$2:$B$7,0)),"✖ المجموعة غير صحيحة",IF(NOT(OR($H4621="",$N4621&gt;0)),"✖ Start غير صحيح",IF(NOT(OR($I4621="",$I4621="NR",$O4621&gt;0)),"✖ Current غير صحيح",IF(NOT(IF(ISNUMBER($J4621),AND($J4621&gt;=0,$J4621=INT($J4621)),FALSE())),"✖ العدد يجب أن يكون صحيحًا ≥ 0",IF(AND($F4621="Baseline",$H4621&lt;&gt;""),"⚠ Baseline: Start لا يدخل في التقدم",IF($K4621="No Start (attainment only)","ℹ تحصيل فقط (بدون Start)",IF($K4621="U – needs rule","ℹ حالة U تحتاج قاعدة معتمدة",IF($K4621="No result","ℹ بدون نتيجة (يُستبعد من التحصيل)","OK")))))))))))</f>
        <v/>
      </c>
      <c r="M4621" s="64" t="n">
        <f aca="false">IF($A4621="",0,IFERROR(MATCH($A4621,Classes!$A$6:$A$420,0),0))</f>
        <v>0</v>
      </c>
      <c r="N4621" s="64" t="n">
        <f aca="false">IF($H4621="",0,IFERROR(MATCH($H4621,GradeList,0),0))</f>
        <v>0</v>
      </c>
      <c r="O4621" s="64" t="n">
        <f aca="false">IF(OR($I4621="",$I4621="NR"),0,IFERROR(MATCH($I4621,GradeList,0),0))</f>
        <v>0</v>
      </c>
      <c r="P4621" s="64" t="n">
        <f aca="false">IF(AND($M4621&gt;0,ISNUMBER(MATCH($F4621,Lists!$A$2:$A$5,0)),ISNUMBER(MATCH($G4621,Lists!$B$2:$B$7,0)),OR($H4621="",$N4621&gt;0),OR($I4621="",$I4621="NR",$O4621&gt;0),IF(ISNUMBER($J4621),AND($J4621&gt;=0,$J4621=INT($J4621)),FALSE())),$J4621,0)</f>
        <v>0</v>
      </c>
      <c r="Q4621" s="64" t="n">
        <f aca="false">IF(AND($P4621&gt;0,$O4621&gt;0),$P4621,0)</f>
        <v>0</v>
      </c>
      <c r="R4621" s="64" t="n">
        <f aca="false">IF(AND($Q4621&gt;0,$O4621&gt;=AtRank),$Q4621,0)</f>
        <v>0</v>
      </c>
      <c r="S4621" s="64" t="n">
        <f aca="false">IF(AND($Q4621&gt;0,$O4621&gt;=AboveRank),$Q4621,0)</f>
        <v>0</v>
      </c>
      <c r="T4621" s="64" t="n">
        <f aca="false">IF($K4621="Less",$P4621,0)</f>
        <v>0</v>
      </c>
      <c r="U4621" s="64" t="n">
        <f aca="false">IF($K4621="Expected",$P4621,0)</f>
        <v>0</v>
      </c>
      <c r="V4621" s="64" t="n">
        <f aca="false">IF($K4621="Better",$P4621,0)</f>
        <v>0</v>
      </c>
      <c r="W4621" s="64" t="n">
        <f aca="false">IF($K4621="U – needs rule",$P4621,0)</f>
        <v>0</v>
      </c>
      <c r="X4621" s="64" t="n">
        <f aca="false">IF($K4621="No Start (attainment only)",$P4621,0)</f>
        <v>0</v>
      </c>
    </row>
    <row r="4622" customFormat="false" ht="15" hidden="false" customHeight="false" outlineLevel="0" collapsed="false">
      <c r="A4622" s="60"/>
      <c r="B4622" s="61" t="str">
        <f aca="false">IF($M4622=0,"",INDEX(Classes!$E$6:$E$420,$M4622))</f>
        <v/>
      </c>
      <c r="C4622" s="62" t="str">
        <f aca="false">IF($M4622=0,"",INDEX(Classes!$H$6:$H$420,$M4622))</f>
        <v/>
      </c>
      <c r="D4622" s="61" t="str">
        <f aca="false">IF($M4622=0,"",INDEX(Classes!$B$6:$B$420,$M4622))</f>
        <v/>
      </c>
      <c r="E4622" s="61" t="str">
        <f aca="false">IF($M4622=0,"",INDEX(Classes!$C$6:$C$420,$M4622))</f>
        <v/>
      </c>
      <c r="F4622" s="63"/>
      <c r="G4622" s="63"/>
      <c r="H4622" s="60"/>
      <c r="I4622" s="60"/>
      <c r="J4622" s="63"/>
      <c r="K4622" s="61" t="str">
        <f aca="false">IF($P4622=0,"",IF($F4622="Baseline","— Baseline",IF($O4622=0,"No result",IF($N4622=0,"No Start (attainment only)",IF(OR($N4622=1,$O4622=1),"U – needs rule",INDEX(MxBody,MATCH($I4622,MxCurr,0),MATCH($H4622,MxStart,0)))))))</f>
        <v/>
      </c>
      <c r="L4622" s="62" t="str">
        <f aca="false">IF(COUNTA($A4622,$F4622,$G4622,$H4622,$I4622,$J4622)=0,"",IF($M4622=0,"✖ كود الصف غير موجود",IF(ISNA(MATCH($F4622,Lists!$A$2:$A$5,0)),"✖ الفترة غير صحيحة",IF(ISNA(MATCH($G4622,Lists!$B$2:$B$7,0)),"✖ المجموعة غير صحيحة",IF(NOT(OR($H4622="",$N4622&gt;0)),"✖ Start غير صحيح",IF(NOT(OR($I4622="",$I4622="NR",$O4622&gt;0)),"✖ Current غير صحيح",IF(NOT(IF(ISNUMBER($J4622),AND($J4622&gt;=0,$J4622=INT($J4622)),FALSE())),"✖ العدد يجب أن يكون صحيحًا ≥ 0",IF(AND($F4622="Baseline",$H4622&lt;&gt;""),"⚠ Baseline: Start لا يدخل في التقدم",IF($K4622="No Start (attainment only)","ℹ تحصيل فقط (بدون Start)",IF($K4622="U – needs rule","ℹ حالة U تحتاج قاعدة معتمدة",IF($K4622="No result","ℹ بدون نتيجة (يُستبعد من التحصيل)","OK")))))))))))</f>
        <v/>
      </c>
      <c r="M4622" s="64" t="n">
        <f aca="false">IF($A4622="",0,IFERROR(MATCH($A4622,Classes!$A$6:$A$420,0),0))</f>
        <v>0</v>
      </c>
      <c r="N4622" s="64" t="n">
        <f aca="false">IF($H4622="",0,IFERROR(MATCH($H4622,GradeList,0),0))</f>
        <v>0</v>
      </c>
      <c r="O4622" s="64" t="n">
        <f aca="false">IF(OR($I4622="",$I4622="NR"),0,IFERROR(MATCH($I4622,GradeList,0),0))</f>
        <v>0</v>
      </c>
      <c r="P4622" s="64" t="n">
        <f aca="false">IF(AND($M4622&gt;0,ISNUMBER(MATCH($F4622,Lists!$A$2:$A$5,0)),ISNUMBER(MATCH($G4622,Lists!$B$2:$B$7,0)),OR($H4622="",$N4622&gt;0),OR($I4622="",$I4622="NR",$O4622&gt;0),IF(ISNUMBER($J4622),AND($J4622&gt;=0,$J4622=INT($J4622)),FALSE())),$J4622,0)</f>
        <v>0</v>
      </c>
      <c r="Q4622" s="64" t="n">
        <f aca="false">IF(AND($P4622&gt;0,$O4622&gt;0),$P4622,0)</f>
        <v>0</v>
      </c>
      <c r="R4622" s="64" t="n">
        <f aca="false">IF(AND($Q4622&gt;0,$O4622&gt;=AtRank),$Q4622,0)</f>
        <v>0</v>
      </c>
      <c r="S4622" s="64" t="n">
        <f aca="false">IF(AND($Q4622&gt;0,$O4622&gt;=AboveRank),$Q4622,0)</f>
        <v>0</v>
      </c>
      <c r="T4622" s="64" t="n">
        <f aca="false">IF($K4622="Less",$P4622,0)</f>
        <v>0</v>
      </c>
      <c r="U4622" s="64" t="n">
        <f aca="false">IF($K4622="Expected",$P4622,0)</f>
        <v>0</v>
      </c>
      <c r="V4622" s="64" t="n">
        <f aca="false">IF($K4622="Better",$P4622,0)</f>
        <v>0</v>
      </c>
      <c r="W4622" s="64" t="n">
        <f aca="false">IF($K4622="U – needs rule",$P4622,0)</f>
        <v>0</v>
      </c>
      <c r="X4622" s="64" t="n">
        <f aca="false">IF($K4622="No Start (attainment only)",$P4622,0)</f>
        <v>0</v>
      </c>
    </row>
    <row r="4623" customFormat="false" ht="15" hidden="false" customHeight="false" outlineLevel="0" collapsed="false">
      <c r="A4623" s="60"/>
      <c r="B4623" s="61" t="str">
        <f aca="false">IF($M4623=0,"",INDEX(Classes!$E$6:$E$420,$M4623))</f>
        <v/>
      </c>
      <c r="C4623" s="62" t="str">
        <f aca="false">IF($M4623=0,"",INDEX(Classes!$H$6:$H$420,$M4623))</f>
        <v/>
      </c>
      <c r="D4623" s="61" t="str">
        <f aca="false">IF($M4623=0,"",INDEX(Classes!$B$6:$B$420,$M4623))</f>
        <v/>
      </c>
      <c r="E4623" s="61" t="str">
        <f aca="false">IF($M4623=0,"",INDEX(Classes!$C$6:$C$420,$M4623))</f>
        <v/>
      </c>
      <c r="F4623" s="63"/>
      <c r="G4623" s="63"/>
      <c r="H4623" s="60"/>
      <c r="I4623" s="60"/>
      <c r="J4623" s="63"/>
      <c r="K4623" s="61" t="str">
        <f aca="false">IF($P4623=0,"",IF($F4623="Baseline","— Baseline",IF($O4623=0,"No result",IF($N4623=0,"No Start (attainment only)",IF(OR($N4623=1,$O4623=1),"U – needs rule",INDEX(MxBody,MATCH($I4623,MxCurr,0),MATCH($H4623,MxStart,0)))))))</f>
        <v/>
      </c>
      <c r="L4623" s="62" t="str">
        <f aca="false">IF(COUNTA($A4623,$F4623,$G4623,$H4623,$I4623,$J4623)=0,"",IF($M4623=0,"✖ كود الصف غير موجود",IF(ISNA(MATCH($F4623,Lists!$A$2:$A$5,0)),"✖ الفترة غير صحيحة",IF(ISNA(MATCH($G4623,Lists!$B$2:$B$7,0)),"✖ المجموعة غير صحيحة",IF(NOT(OR($H4623="",$N4623&gt;0)),"✖ Start غير صحيح",IF(NOT(OR($I4623="",$I4623="NR",$O4623&gt;0)),"✖ Current غير صحيح",IF(NOT(IF(ISNUMBER($J4623),AND($J4623&gt;=0,$J4623=INT($J4623)),FALSE())),"✖ العدد يجب أن يكون صحيحًا ≥ 0",IF(AND($F4623="Baseline",$H4623&lt;&gt;""),"⚠ Baseline: Start لا يدخل في التقدم",IF($K4623="No Start (attainment only)","ℹ تحصيل فقط (بدون Start)",IF($K4623="U – needs rule","ℹ حالة U تحتاج قاعدة معتمدة",IF($K4623="No result","ℹ بدون نتيجة (يُستبعد من التحصيل)","OK")))))))))))</f>
        <v/>
      </c>
      <c r="M4623" s="64" t="n">
        <f aca="false">IF($A4623="",0,IFERROR(MATCH($A4623,Classes!$A$6:$A$420,0),0))</f>
        <v>0</v>
      </c>
      <c r="N4623" s="64" t="n">
        <f aca="false">IF($H4623="",0,IFERROR(MATCH($H4623,GradeList,0),0))</f>
        <v>0</v>
      </c>
      <c r="O4623" s="64" t="n">
        <f aca="false">IF(OR($I4623="",$I4623="NR"),0,IFERROR(MATCH($I4623,GradeList,0),0))</f>
        <v>0</v>
      </c>
      <c r="P4623" s="64" t="n">
        <f aca="false">IF(AND($M4623&gt;0,ISNUMBER(MATCH($F4623,Lists!$A$2:$A$5,0)),ISNUMBER(MATCH($G4623,Lists!$B$2:$B$7,0)),OR($H4623="",$N4623&gt;0),OR($I4623="",$I4623="NR",$O4623&gt;0),IF(ISNUMBER($J4623),AND($J4623&gt;=0,$J4623=INT($J4623)),FALSE())),$J4623,0)</f>
        <v>0</v>
      </c>
      <c r="Q4623" s="64" t="n">
        <f aca="false">IF(AND($P4623&gt;0,$O4623&gt;0),$P4623,0)</f>
        <v>0</v>
      </c>
      <c r="R4623" s="64" t="n">
        <f aca="false">IF(AND($Q4623&gt;0,$O4623&gt;=AtRank),$Q4623,0)</f>
        <v>0</v>
      </c>
      <c r="S4623" s="64" t="n">
        <f aca="false">IF(AND($Q4623&gt;0,$O4623&gt;=AboveRank),$Q4623,0)</f>
        <v>0</v>
      </c>
      <c r="T4623" s="64" t="n">
        <f aca="false">IF($K4623="Less",$P4623,0)</f>
        <v>0</v>
      </c>
      <c r="U4623" s="64" t="n">
        <f aca="false">IF($K4623="Expected",$P4623,0)</f>
        <v>0</v>
      </c>
      <c r="V4623" s="64" t="n">
        <f aca="false">IF($K4623="Better",$P4623,0)</f>
        <v>0</v>
      </c>
      <c r="W4623" s="64" t="n">
        <f aca="false">IF($K4623="U – needs rule",$P4623,0)</f>
        <v>0</v>
      </c>
      <c r="X4623" s="64" t="n">
        <f aca="false">IF($K4623="No Start (attainment only)",$P4623,0)</f>
        <v>0</v>
      </c>
    </row>
    <row r="4624" customFormat="false" ht="15" hidden="false" customHeight="false" outlineLevel="0" collapsed="false">
      <c r="A4624" s="60"/>
      <c r="B4624" s="61" t="str">
        <f aca="false">IF($M4624=0,"",INDEX(Classes!$E$6:$E$420,$M4624))</f>
        <v/>
      </c>
      <c r="C4624" s="62" t="str">
        <f aca="false">IF($M4624=0,"",INDEX(Classes!$H$6:$H$420,$M4624))</f>
        <v/>
      </c>
      <c r="D4624" s="61" t="str">
        <f aca="false">IF($M4624=0,"",INDEX(Classes!$B$6:$B$420,$M4624))</f>
        <v/>
      </c>
      <c r="E4624" s="61" t="str">
        <f aca="false">IF($M4624=0,"",INDEX(Classes!$C$6:$C$420,$M4624))</f>
        <v/>
      </c>
      <c r="F4624" s="63"/>
      <c r="G4624" s="63"/>
      <c r="H4624" s="60"/>
      <c r="I4624" s="60"/>
      <c r="J4624" s="63"/>
      <c r="K4624" s="61" t="str">
        <f aca="false">IF($P4624=0,"",IF($F4624="Baseline","— Baseline",IF($O4624=0,"No result",IF($N4624=0,"No Start (attainment only)",IF(OR($N4624=1,$O4624=1),"U – needs rule",INDEX(MxBody,MATCH($I4624,MxCurr,0),MATCH($H4624,MxStart,0)))))))</f>
        <v/>
      </c>
      <c r="L4624" s="62" t="str">
        <f aca="false">IF(COUNTA($A4624,$F4624,$G4624,$H4624,$I4624,$J4624)=0,"",IF($M4624=0,"✖ كود الصف غير موجود",IF(ISNA(MATCH($F4624,Lists!$A$2:$A$5,0)),"✖ الفترة غير صحيحة",IF(ISNA(MATCH($G4624,Lists!$B$2:$B$7,0)),"✖ المجموعة غير صحيحة",IF(NOT(OR($H4624="",$N4624&gt;0)),"✖ Start غير صحيح",IF(NOT(OR($I4624="",$I4624="NR",$O4624&gt;0)),"✖ Current غير صحيح",IF(NOT(IF(ISNUMBER($J4624),AND($J4624&gt;=0,$J4624=INT($J4624)),FALSE())),"✖ العدد يجب أن يكون صحيحًا ≥ 0",IF(AND($F4624="Baseline",$H4624&lt;&gt;""),"⚠ Baseline: Start لا يدخل في التقدم",IF($K4624="No Start (attainment only)","ℹ تحصيل فقط (بدون Start)",IF($K4624="U – needs rule","ℹ حالة U تحتاج قاعدة معتمدة",IF($K4624="No result","ℹ بدون نتيجة (يُستبعد من التحصيل)","OK")))))))))))</f>
        <v/>
      </c>
      <c r="M4624" s="64" t="n">
        <f aca="false">IF($A4624="",0,IFERROR(MATCH($A4624,Classes!$A$6:$A$420,0),0))</f>
        <v>0</v>
      </c>
      <c r="N4624" s="64" t="n">
        <f aca="false">IF($H4624="",0,IFERROR(MATCH($H4624,GradeList,0),0))</f>
        <v>0</v>
      </c>
      <c r="O4624" s="64" t="n">
        <f aca="false">IF(OR($I4624="",$I4624="NR"),0,IFERROR(MATCH($I4624,GradeList,0),0))</f>
        <v>0</v>
      </c>
      <c r="P4624" s="64" t="n">
        <f aca="false">IF(AND($M4624&gt;0,ISNUMBER(MATCH($F4624,Lists!$A$2:$A$5,0)),ISNUMBER(MATCH($G4624,Lists!$B$2:$B$7,0)),OR($H4624="",$N4624&gt;0),OR($I4624="",$I4624="NR",$O4624&gt;0),IF(ISNUMBER($J4624),AND($J4624&gt;=0,$J4624=INT($J4624)),FALSE())),$J4624,0)</f>
        <v>0</v>
      </c>
      <c r="Q4624" s="64" t="n">
        <f aca="false">IF(AND($P4624&gt;0,$O4624&gt;0),$P4624,0)</f>
        <v>0</v>
      </c>
      <c r="R4624" s="64" t="n">
        <f aca="false">IF(AND($Q4624&gt;0,$O4624&gt;=AtRank),$Q4624,0)</f>
        <v>0</v>
      </c>
      <c r="S4624" s="64" t="n">
        <f aca="false">IF(AND($Q4624&gt;0,$O4624&gt;=AboveRank),$Q4624,0)</f>
        <v>0</v>
      </c>
      <c r="T4624" s="64" t="n">
        <f aca="false">IF($K4624="Less",$P4624,0)</f>
        <v>0</v>
      </c>
      <c r="U4624" s="64" t="n">
        <f aca="false">IF($K4624="Expected",$P4624,0)</f>
        <v>0</v>
      </c>
      <c r="V4624" s="64" t="n">
        <f aca="false">IF($K4624="Better",$P4624,0)</f>
        <v>0</v>
      </c>
      <c r="W4624" s="64" t="n">
        <f aca="false">IF($K4624="U – needs rule",$P4624,0)</f>
        <v>0</v>
      </c>
      <c r="X4624" s="64" t="n">
        <f aca="false">IF($K4624="No Start (attainment only)",$P4624,0)</f>
        <v>0</v>
      </c>
    </row>
    <row r="4625" customFormat="false" ht="15" hidden="false" customHeight="false" outlineLevel="0" collapsed="false">
      <c r="A4625" s="60"/>
      <c r="B4625" s="61" t="str">
        <f aca="false">IF($M4625=0,"",INDEX(Classes!$E$6:$E$420,$M4625))</f>
        <v/>
      </c>
      <c r="C4625" s="62" t="str">
        <f aca="false">IF($M4625=0,"",INDEX(Classes!$H$6:$H$420,$M4625))</f>
        <v/>
      </c>
      <c r="D4625" s="61" t="str">
        <f aca="false">IF($M4625=0,"",INDEX(Classes!$B$6:$B$420,$M4625))</f>
        <v/>
      </c>
      <c r="E4625" s="61" t="str">
        <f aca="false">IF($M4625=0,"",INDEX(Classes!$C$6:$C$420,$M4625))</f>
        <v/>
      </c>
      <c r="F4625" s="63"/>
      <c r="G4625" s="63"/>
      <c r="H4625" s="60"/>
      <c r="I4625" s="60"/>
      <c r="J4625" s="63"/>
      <c r="K4625" s="61" t="str">
        <f aca="false">IF($P4625=0,"",IF($F4625="Baseline","— Baseline",IF($O4625=0,"No result",IF($N4625=0,"No Start (attainment only)",IF(OR($N4625=1,$O4625=1),"U – needs rule",INDEX(MxBody,MATCH($I4625,MxCurr,0),MATCH($H4625,MxStart,0)))))))</f>
        <v/>
      </c>
      <c r="L4625" s="62" t="str">
        <f aca="false">IF(COUNTA($A4625,$F4625,$G4625,$H4625,$I4625,$J4625)=0,"",IF($M4625=0,"✖ كود الصف غير موجود",IF(ISNA(MATCH($F4625,Lists!$A$2:$A$5,0)),"✖ الفترة غير صحيحة",IF(ISNA(MATCH($G4625,Lists!$B$2:$B$7,0)),"✖ المجموعة غير صحيحة",IF(NOT(OR($H4625="",$N4625&gt;0)),"✖ Start غير صحيح",IF(NOT(OR($I4625="",$I4625="NR",$O4625&gt;0)),"✖ Current غير صحيح",IF(NOT(IF(ISNUMBER($J4625),AND($J4625&gt;=0,$J4625=INT($J4625)),FALSE())),"✖ العدد يجب أن يكون صحيحًا ≥ 0",IF(AND($F4625="Baseline",$H4625&lt;&gt;""),"⚠ Baseline: Start لا يدخل في التقدم",IF($K4625="No Start (attainment only)","ℹ تحصيل فقط (بدون Start)",IF($K4625="U – needs rule","ℹ حالة U تحتاج قاعدة معتمدة",IF($K4625="No result","ℹ بدون نتيجة (يُستبعد من التحصيل)","OK")))))))))))</f>
        <v/>
      </c>
      <c r="M4625" s="64" t="n">
        <f aca="false">IF($A4625="",0,IFERROR(MATCH($A4625,Classes!$A$6:$A$420,0),0))</f>
        <v>0</v>
      </c>
      <c r="N4625" s="64" t="n">
        <f aca="false">IF($H4625="",0,IFERROR(MATCH($H4625,GradeList,0),0))</f>
        <v>0</v>
      </c>
      <c r="O4625" s="64" t="n">
        <f aca="false">IF(OR($I4625="",$I4625="NR"),0,IFERROR(MATCH($I4625,GradeList,0),0))</f>
        <v>0</v>
      </c>
      <c r="P4625" s="64" t="n">
        <f aca="false">IF(AND($M4625&gt;0,ISNUMBER(MATCH($F4625,Lists!$A$2:$A$5,0)),ISNUMBER(MATCH($G4625,Lists!$B$2:$B$7,0)),OR($H4625="",$N4625&gt;0),OR($I4625="",$I4625="NR",$O4625&gt;0),IF(ISNUMBER($J4625),AND($J4625&gt;=0,$J4625=INT($J4625)),FALSE())),$J4625,0)</f>
        <v>0</v>
      </c>
      <c r="Q4625" s="64" t="n">
        <f aca="false">IF(AND($P4625&gt;0,$O4625&gt;0),$P4625,0)</f>
        <v>0</v>
      </c>
      <c r="R4625" s="64" t="n">
        <f aca="false">IF(AND($Q4625&gt;0,$O4625&gt;=AtRank),$Q4625,0)</f>
        <v>0</v>
      </c>
      <c r="S4625" s="64" t="n">
        <f aca="false">IF(AND($Q4625&gt;0,$O4625&gt;=AboveRank),$Q4625,0)</f>
        <v>0</v>
      </c>
      <c r="T4625" s="64" t="n">
        <f aca="false">IF($K4625="Less",$P4625,0)</f>
        <v>0</v>
      </c>
      <c r="U4625" s="64" t="n">
        <f aca="false">IF($K4625="Expected",$P4625,0)</f>
        <v>0</v>
      </c>
      <c r="V4625" s="64" t="n">
        <f aca="false">IF($K4625="Better",$P4625,0)</f>
        <v>0</v>
      </c>
      <c r="W4625" s="64" t="n">
        <f aca="false">IF($K4625="U – needs rule",$P4625,0)</f>
        <v>0</v>
      </c>
      <c r="X4625" s="64" t="n">
        <f aca="false">IF($K4625="No Start (attainment only)",$P4625,0)</f>
        <v>0</v>
      </c>
    </row>
    <row r="4626" customFormat="false" ht="15" hidden="false" customHeight="false" outlineLevel="0" collapsed="false">
      <c r="A4626" s="60"/>
      <c r="B4626" s="61" t="str">
        <f aca="false">IF($M4626=0,"",INDEX(Classes!$E$6:$E$420,$M4626))</f>
        <v/>
      </c>
      <c r="C4626" s="62" t="str">
        <f aca="false">IF($M4626=0,"",INDEX(Classes!$H$6:$H$420,$M4626))</f>
        <v/>
      </c>
      <c r="D4626" s="61" t="str">
        <f aca="false">IF($M4626=0,"",INDEX(Classes!$B$6:$B$420,$M4626))</f>
        <v/>
      </c>
      <c r="E4626" s="61" t="str">
        <f aca="false">IF($M4626=0,"",INDEX(Classes!$C$6:$C$420,$M4626))</f>
        <v/>
      </c>
      <c r="F4626" s="63"/>
      <c r="G4626" s="63"/>
      <c r="H4626" s="60"/>
      <c r="I4626" s="60"/>
      <c r="J4626" s="63"/>
      <c r="K4626" s="61" t="str">
        <f aca="false">IF($P4626=0,"",IF($F4626="Baseline","— Baseline",IF($O4626=0,"No result",IF($N4626=0,"No Start (attainment only)",IF(OR($N4626=1,$O4626=1),"U – needs rule",INDEX(MxBody,MATCH($I4626,MxCurr,0),MATCH($H4626,MxStart,0)))))))</f>
        <v/>
      </c>
      <c r="L4626" s="62" t="str">
        <f aca="false">IF(COUNTA($A4626,$F4626,$G4626,$H4626,$I4626,$J4626)=0,"",IF($M4626=0,"✖ كود الصف غير موجود",IF(ISNA(MATCH($F4626,Lists!$A$2:$A$5,0)),"✖ الفترة غير صحيحة",IF(ISNA(MATCH($G4626,Lists!$B$2:$B$7,0)),"✖ المجموعة غير صحيحة",IF(NOT(OR($H4626="",$N4626&gt;0)),"✖ Start غير صحيح",IF(NOT(OR($I4626="",$I4626="NR",$O4626&gt;0)),"✖ Current غير صحيح",IF(NOT(IF(ISNUMBER($J4626),AND($J4626&gt;=0,$J4626=INT($J4626)),FALSE())),"✖ العدد يجب أن يكون صحيحًا ≥ 0",IF(AND($F4626="Baseline",$H4626&lt;&gt;""),"⚠ Baseline: Start لا يدخل في التقدم",IF($K4626="No Start (attainment only)","ℹ تحصيل فقط (بدون Start)",IF($K4626="U – needs rule","ℹ حالة U تحتاج قاعدة معتمدة",IF($K4626="No result","ℹ بدون نتيجة (يُستبعد من التحصيل)","OK")))))))))))</f>
        <v/>
      </c>
      <c r="M4626" s="64" t="n">
        <f aca="false">IF($A4626="",0,IFERROR(MATCH($A4626,Classes!$A$6:$A$420,0),0))</f>
        <v>0</v>
      </c>
      <c r="N4626" s="64" t="n">
        <f aca="false">IF($H4626="",0,IFERROR(MATCH($H4626,GradeList,0),0))</f>
        <v>0</v>
      </c>
      <c r="O4626" s="64" t="n">
        <f aca="false">IF(OR($I4626="",$I4626="NR"),0,IFERROR(MATCH($I4626,GradeList,0),0))</f>
        <v>0</v>
      </c>
      <c r="P4626" s="64" t="n">
        <f aca="false">IF(AND($M4626&gt;0,ISNUMBER(MATCH($F4626,Lists!$A$2:$A$5,0)),ISNUMBER(MATCH($G4626,Lists!$B$2:$B$7,0)),OR($H4626="",$N4626&gt;0),OR($I4626="",$I4626="NR",$O4626&gt;0),IF(ISNUMBER($J4626),AND($J4626&gt;=0,$J4626=INT($J4626)),FALSE())),$J4626,0)</f>
        <v>0</v>
      </c>
      <c r="Q4626" s="64" t="n">
        <f aca="false">IF(AND($P4626&gt;0,$O4626&gt;0),$P4626,0)</f>
        <v>0</v>
      </c>
      <c r="R4626" s="64" t="n">
        <f aca="false">IF(AND($Q4626&gt;0,$O4626&gt;=AtRank),$Q4626,0)</f>
        <v>0</v>
      </c>
      <c r="S4626" s="64" t="n">
        <f aca="false">IF(AND($Q4626&gt;0,$O4626&gt;=AboveRank),$Q4626,0)</f>
        <v>0</v>
      </c>
      <c r="T4626" s="64" t="n">
        <f aca="false">IF($K4626="Less",$P4626,0)</f>
        <v>0</v>
      </c>
      <c r="U4626" s="64" t="n">
        <f aca="false">IF($K4626="Expected",$P4626,0)</f>
        <v>0</v>
      </c>
      <c r="V4626" s="64" t="n">
        <f aca="false">IF($K4626="Better",$P4626,0)</f>
        <v>0</v>
      </c>
      <c r="W4626" s="64" t="n">
        <f aca="false">IF($K4626="U – needs rule",$P4626,0)</f>
        <v>0</v>
      </c>
      <c r="X4626" s="64" t="n">
        <f aca="false">IF($K4626="No Start (attainment only)",$P4626,0)</f>
        <v>0</v>
      </c>
    </row>
    <row r="4627" customFormat="false" ht="15" hidden="false" customHeight="false" outlineLevel="0" collapsed="false">
      <c r="A4627" s="60"/>
      <c r="B4627" s="61" t="str">
        <f aca="false">IF($M4627=0,"",INDEX(Classes!$E$6:$E$420,$M4627))</f>
        <v/>
      </c>
      <c r="C4627" s="62" t="str">
        <f aca="false">IF($M4627=0,"",INDEX(Classes!$H$6:$H$420,$M4627))</f>
        <v/>
      </c>
      <c r="D4627" s="61" t="str">
        <f aca="false">IF($M4627=0,"",INDEX(Classes!$B$6:$B$420,$M4627))</f>
        <v/>
      </c>
      <c r="E4627" s="61" t="str">
        <f aca="false">IF($M4627=0,"",INDEX(Classes!$C$6:$C$420,$M4627))</f>
        <v/>
      </c>
      <c r="F4627" s="63"/>
      <c r="G4627" s="63"/>
      <c r="H4627" s="60"/>
      <c r="I4627" s="60"/>
      <c r="J4627" s="63"/>
      <c r="K4627" s="61" t="str">
        <f aca="false">IF($P4627=0,"",IF($F4627="Baseline","— Baseline",IF($O4627=0,"No result",IF($N4627=0,"No Start (attainment only)",IF(OR($N4627=1,$O4627=1),"U – needs rule",INDEX(MxBody,MATCH($I4627,MxCurr,0),MATCH($H4627,MxStart,0)))))))</f>
        <v/>
      </c>
      <c r="L4627" s="62" t="str">
        <f aca="false">IF(COUNTA($A4627,$F4627,$G4627,$H4627,$I4627,$J4627)=0,"",IF($M4627=0,"✖ كود الصف غير موجود",IF(ISNA(MATCH($F4627,Lists!$A$2:$A$5,0)),"✖ الفترة غير صحيحة",IF(ISNA(MATCH($G4627,Lists!$B$2:$B$7,0)),"✖ المجموعة غير صحيحة",IF(NOT(OR($H4627="",$N4627&gt;0)),"✖ Start غير صحيح",IF(NOT(OR($I4627="",$I4627="NR",$O4627&gt;0)),"✖ Current غير صحيح",IF(NOT(IF(ISNUMBER($J4627),AND($J4627&gt;=0,$J4627=INT($J4627)),FALSE())),"✖ العدد يجب أن يكون صحيحًا ≥ 0",IF(AND($F4627="Baseline",$H4627&lt;&gt;""),"⚠ Baseline: Start لا يدخل في التقدم",IF($K4627="No Start (attainment only)","ℹ تحصيل فقط (بدون Start)",IF($K4627="U – needs rule","ℹ حالة U تحتاج قاعدة معتمدة",IF($K4627="No result","ℹ بدون نتيجة (يُستبعد من التحصيل)","OK")))))))))))</f>
        <v/>
      </c>
      <c r="M4627" s="64" t="n">
        <f aca="false">IF($A4627="",0,IFERROR(MATCH($A4627,Classes!$A$6:$A$420,0),0))</f>
        <v>0</v>
      </c>
      <c r="N4627" s="64" t="n">
        <f aca="false">IF($H4627="",0,IFERROR(MATCH($H4627,GradeList,0),0))</f>
        <v>0</v>
      </c>
      <c r="O4627" s="64" t="n">
        <f aca="false">IF(OR($I4627="",$I4627="NR"),0,IFERROR(MATCH($I4627,GradeList,0),0))</f>
        <v>0</v>
      </c>
      <c r="P4627" s="64" t="n">
        <f aca="false">IF(AND($M4627&gt;0,ISNUMBER(MATCH($F4627,Lists!$A$2:$A$5,0)),ISNUMBER(MATCH($G4627,Lists!$B$2:$B$7,0)),OR($H4627="",$N4627&gt;0),OR($I4627="",$I4627="NR",$O4627&gt;0),IF(ISNUMBER($J4627),AND($J4627&gt;=0,$J4627=INT($J4627)),FALSE())),$J4627,0)</f>
        <v>0</v>
      </c>
      <c r="Q4627" s="64" t="n">
        <f aca="false">IF(AND($P4627&gt;0,$O4627&gt;0),$P4627,0)</f>
        <v>0</v>
      </c>
      <c r="R4627" s="64" t="n">
        <f aca="false">IF(AND($Q4627&gt;0,$O4627&gt;=AtRank),$Q4627,0)</f>
        <v>0</v>
      </c>
      <c r="S4627" s="64" t="n">
        <f aca="false">IF(AND($Q4627&gt;0,$O4627&gt;=AboveRank),$Q4627,0)</f>
        <v>0</v>
      </c>
      <c r="T4627" s="64" t="n">
        <f aca="false">IF($K4627="Less",$P4627,0)</f>
        <v>0</v>
      </c>
      <c r="U4627" s="64" t="n">
        <f aca="false">IF($K4627="Expected",$P4627,0)</f>
        <v>0</v>
      </c>
      <c r="V4627" s="64" t="n">
        <f aca="false">IF($K4627="Better",$P4627,0)</f>
        <v>0</v>
      </c>
      <c r="W4627" s="64" t="n">
        <f aca="false">IF($K4627="U – needs rule",$P4627,0)</f>
        <v>0</v>
      </c>
      <c r="X4627" s="64" t="n">
        <f aca="false">IF($K4627="No Start (attainment only)",$P4627,0)</f>
        <v>0</v>
      </c>
    </row>
    <row r="4628" customFormat="false" ht="15" hidden="false" customHeight="false" outlineLevel="0" collapsed="false">
      <c r="A4628" s="60"/>
      <c r="B4628" s="61" t="str">
        <f aca="false">IF($M4628=0,"",INDEX(Classes!$E$6:$E$420,$M4628))</f>
        <v/>
      </c>
      <c r="C4628" s="62" t="str">
        <f aca="false">IF($M4628=0,"",INDEX(Classes!$H$6:$H$420,$M4628))</f>
        <v/>
      </c>
      <c r="D4628" s="61" t="str">
        <f aca="false">IF($M4628=0,"",INDEX(Classes!$B$6:$B$420,$M4628))</f>
        <v/>
      </c>
      <c r="E4628" s="61" t="str">
        <f aca="false">IF($M4628=0,"",INDEX(Classes!$C$6:$C$420,$M4628))</f>
        <v/>
      </c>
      <c r="F4628" s="63"/>
      <c r="G4628" s="63"/>
      <c r="H4628" s="60"/>
      <c r="I4628" s="60"/>
      <c r="J4628" s="63"/>
      <c r="K4628" s="61" t="str">
        <f aca="false">IF($P4628=0,"",IF($F4628="Baseline","— Baseline",IF($O4628=0,"No result",IF($N4628=0,"No Start (attainment only)",IF(OR($N4628=1,$O4628=1),"U – needs rule",INDEX(MxBody,MATCH($I4628,MxCurr,0),MATCH($H4628,MxStart,0)))))))</f>
        <v/>
      </c>
      <c r="L4628" s="62" t="str">
        <f aca="false">IF(COUNTA($A4628,$F4628,$G4628,$H4628,$I4628,$J4628)=0,"",IF($M4628=0,"✖ كود الصف غير موجود",IF(ISNA(MATCH($F4628,Lists!$A$2:$A$5,0)),"✖ الفترة غير صحيحة",IF(ISNA(MATCH($G4628,Lists!$B$2:$B$7,0)),"✖ المجموعة غير صحيحة",IF(NOT(OR($H4628="",$N4628&gt;0)),"✖ Start غير صحيح",IF(NOT(OR($I4628="",$I4628="NR",$O4628&gt;0)),"✖ Current غير صحيح",IF(NOT(IF(ISNUMBER($J4628),AND($J4628&gt;=0,$J4628=INT($J4628)),FALSE())),"✖ العدد يجب أن يكون صحيحًا ≥ 0",IF(AND($F4628="Baseline",$H4628&lt;&gt;""),"⚠ Baseline: Start لا يدخل في التقدم",IF($K4628="No Start (attainment only)","ℹ تحصيل فقط (بدون Start)",IF($K4628="U – needs rule","ℹ حالة U تحتاج قاعدة معتمدة",IF($K4628="No result","ℹ بدون نتيجة (يُستبعد من التحصيل)","OK")))))))))))</f>
        <v/>
      </c>
      <c r="M4628" s="64" t="n">
        <f aca="false">IF($A4628="",0,IFERROR(MATCH($A4628,Classes!$A$6:$A$420,0),0))</f>
        <v>0</v>
      </c>
      <c r="N4628" s="64" t="n">
        <f aca="false">IF($H4628="",0,IFERROR(MATCH($H4628,GradeList,0),0))</f>
        <v>0</v>
      </c>
      <c r="O4628" s="64" t="n">
        <f aca="false">IF(OR($I4628="",$I4628="NR"),0,IFERROR(MATCH($I4628,GradeList,0),0))</f>
        <v>0</v>
      </c>
      <c r="P4628" s="64" t="n">
        <f aca="false">IF(AND($M4628&gt;0,ISNUMBER(MATCH($F4628,Lists!$A$2:$A$5,0)),ISNUMBER(MATCH($G4628,Lists!$B$2:$B$7,0)),OR($H4628="",$N4628&gt;0),OR($I4628="",$I4628="NR",$O4628&gt;0),IF(ISNUMBER($J4628),AND($J4628&gt;=0,$J4628=INT($J4628)),FALSE())),$J4628,0)</f>
        <v>0</v>
      </c>
      <c r="Q4628" s="64" t="n">
        <f aca="false">IF(AND($P4628&gt;0,$O4628&gt;0),$P4628,0)</f>
        <v>0</v>
      </c>
      <c r="R4628" s="64" t="n">
        <f aca="false">IF(AND($Q4628&gt;0,$O4628&gt;=AtRank),$Q4628,0)</f>
        <v>0</v>
      </c>
      <c r="S4628" s="64" t="n">
        <f aca="false">IF(AND($Q4628&gt;0,$O4628&gt;=AboveRank),$Q4628,0)</f>
        <v>0</v>
      </c>
      <c r="T4628" s="64" t="n">
        <f aca="false">IF($K4628="Less",$P4628,0)</f>
        <v>0</v>
      </c>
      <c r="U4628" s="64" t="n">
        <f aca="false">IF($K4628="Expected",$P4628,0)</f>
        <v>0</v>
      </c>
      <c r="V4628" s="64" t="n">
        <f aca="false">IF($K4628="Better",$P4628,0)</f>
        <v>0</v>
      </c>
      <c r="W4628" s="64" t="n">
        <f aca="false">IF($K4628="U – needs rule",$P4628,0)</f>
        <v>0</v>
      </c>
      <c r="X4628" s="64" t="n">
        <f aca="false">IF($K4628="No Start (attainment only)",$P4628,0)</f>
        <v>0</v>
      </c>
    </row>
    <row r="4629" customFormat="false" ht="15" hidden="false" customHeight="false" outlineLevel="0" collapsed="false">
      <c r="A4629" s="60"/>
      <c r="B4629" s="61" t="str">
        <f aca="false">IF($M4629=0,"",INDEX(Classes!$E$6:$E$420,$M4629))</f>
        <v/>
      </c>
      <c r="C4629" s="62" t="str">
        <f aca="false">IF($M4629=0,"",INDEX(Classes!$H$6:$H$420,$M4629))</f>
        <v/>
      </c>
      <c r="D4629" s="61" t="str">
        <f aca="false">IF($M4629=0,"",INDEX(Classes!$B$6:$B$420,$M4629))</f>
        <v/>
      </c>
      <c r="E4629" s="61" t="str">
        <f aca="false">IF($M4629=0,"",INDEX(Classes!$C$6:$C$420,$M4629))</f>
        <v/>
      </c>
      <c r="F4629" s="63"/>
      <c r="G4629" s="63"/>
      <c r="H4629" s="60"/>
      <c r="I4629" s="60"/>
      <c r="J4629" s="63"/>
      <c r="K4629" s="61" t="str">
        <f aca="false">IF($P4629=0,"",IF($F4629="Baseline","— Baseline",IF($O4629=0,"No result",IF($N4629=0,"No Start (attainment only)",IF(OR($N4629=1,$O4629=1),"U – needs rule",INDEX(MxBody,MATCH($I4629,MxCurr,0),MATCH($H4629,MxStart,0)))))))</f>
        <v/>
      </c>
      <c r="L4629" s="62" t="str">
        <f aca="false">IF(COUNTA($A4629,$F4629,$G4629,$H4629,$I4629,$J4629)=0,"",IF($M4629=0,"✖ كود الصف غير موجود",IF(ISNA(MATCH($F4629,Lists!$A$2:$A$5,0)),"✖ الفترة غير صحيحة",IF(ISNA(MATCH($G4629,Lists!$B$2:$B$7,0)),"✖ المجموعة غير صحيحة",IF(NOT(OR($H4629="",$N4629&gt;0)),"✖ Start غير صحيح",IF(NOT(OR($I4629="",$I4629="NR",$O4629&gt;0)),"✖ Current غير صحيح",IF(NOT(IF(ISNUMBER($J4629),AND($J4629&gt;=0,$J4629=INT($J4629)),FALSE())),"✖ العدد يجب أن يكون صحيحًا ≥ 0",IF(AND($F4629="Baseline",$H4629&lt;&gt;""),"⚠ Baseline: Start لا يدخل في التقدم",IF($K4629="No Start (attainment only)","ℹ تحصيل فقط (بدون Start)",IF($K4629="U – needs rule","ℹ حالة U تحتاج قاعدة معتمدة",IF($K4629="No result","ℹ بدون نتيجة (يُستبعد من التحصيل)","OK")))))))))))</f>
        <v/>
      </c>
      <c r="M4629" s="64" t="n">
        <f aca="false">IF($A4629="",0,IFERROR(MATCH($A4629,Classes!$A$6:$A$420,0),0))</f>
        <v>0</v>
      </c>
      <c r="N4629" s="64" t="n">
        <f aca="false">IF($H4629="",0,IFERROR(MATCH($H4629,GradeList,0),0))</f>
        <v>0</v>
      </c>
      <c r="O4629" s="64" t="n">
        <f aca="false">IF(OR($I4629="",$I4629="NR"),0,IFERROR(MATCH($I4629,GradeList,0),0))</f>
        <v>0</v>
      </c>
      <c r="P4629" s="64" t="n">
        <f aca="false">IF(AND($M4629&gt;0,ISNUMBER(MATCH($F4629,Lists!$A$2:$A$5,0)),ISNUMBER(MATCH($G4629,Lists!$B$2:$B$7,0)),OR($H4629="",$N4629&gt;0),OR($I4629="",$I4629="NR",$O4629&gt;0),IF(ISNUMBER($J4629),AND($J4629&gt;=0,$J4629=INT($J4629)),FALSE())),$J4629,0)</f>
        <v>0</v>
      </c>
      <c r="Q4629" s="64" t="n">
        <f aca="false">IF(AND($P4629&gt;0,$O4629&gt;0),$P4629,0)</f>
        <v>0</v>
      </c>
      <c r="R4629" s="64" t="n">
        <f aca="false">IF(AND($Q4629&gt;0,$O4629&gt;=AtRank),$Q4629,0)</f>
        <v>0</v>
      </c>
      <c r="S4629" s="64" t="n">
        <f aca="false">IF(AND($Q4629&gt;0,$O4629&gt;=AboveRank),$Q4629,0)</f>
        <v>0</v>
      </c>
      <c r="T4629" s="64" t="n">
        <f aca="false">IF($K4629="Less",$P4629,0)</f>
        <v>0</v>
      </c>
      <c r="U4629" s="64" t="n">
        <f aca="false">IF($K4629="Expected",$P4629,0)</f>
        <v>0</v>
      </c>
      <c r="V4629" s="64" t="n">
        <f aca="false">IF($K4629="Better",$P4629,0)</f>
        <v>0</v>
      </c>
      <c r="W4629" s="64" t="n">
        <f aca="false">IF($K4629="U – needs rule",$P4629,0)</f>
        <v>0</v>
      </c>
      <c r="X4629" s="64" t="n">
        <f aca="false">IF($K4629="No Start (attainment only)",$P4629,0)</f>
        <v>0</v>
      </c>
    </row>
    <row r="4630" customFormat="false" ht="15" hidden="false" customHeight="false" outlineLevel="0" collapsed="false">
      <c r="A4630" s="60"/>
      <c r="B4630" s="61" t="str">
        <f aca="false">IF($M4630=0,"",INDEX(Classes!$E$6:$E$420,$M4630))</f>
        <v/>
      </c>
      <c r="C4630" s="62" t="str">
        <f aca="false">IF($M4630=0,"",INDEX(Classes!$H$6:$H$420,$M4630))</f>
        <v/>
      </c>
      <c r="D4630" s="61" t="str">
        <f aca="false">IF($M4630=0,"",INDEX(Classes!$B$6:$B$420,$M4630))</f>
        <v/>
      </c>
      <c r="E4630" s="61" t="str">
        <f aca="false">IF($M4630=0,"",INDEX(Classes!$C$6:$C$420,$M4630))</f>
        <v/>
      </c>
      <c r="F4630" s="63"/>
      <c r="G4630" s="63"/>
      <c r="H4630" s="60"/>
      <c r="I4630" s="60"/>
      <c r="J4630" s="63"/>
      <c r="K4630" s="61" t="str">
        <f aca="false">IF($P4630=0,"",IF($F4630="Baseline","— Baseline",IF($O4630=0,"No result",IF($N4630=0,"No Start (attainment only)",IF(OR($N4630=1,$O4630=1),"U – needs rule",INDEX(MxBody,MATCH($I4630,MxCurr,0),MATCH($H4630,MxStart,0)))))))</f>
        <v/>
      </c>
      <c r="L4630" s="62" t="str">
        <f aca="false">IF(COUNTA($A4630,$F4630,$G4630,$H4630,$I4630,$J4630)=0,"",IF($M4630=0,"✖ كود الصف غير موجود",IF(ISNA(MATCH($F4630,Lists!$A$2:$A$5,0)),"✖ الفترة غير صحيحة",IF(ISNA(MATCH($G4630,Lists!$B$2:$B$7,0)),"✖ المجموعة غير صحيحة",IF(NOT(OR($H4630="",$N4630&gt;0)),"✖ Start غير صحيح",IF(NOT(OR($I4630="",$I4630="NR",$O4630&gt;0)),"✖ Current غير صحيح",IF(NOT(IF(ISNUMBER($J4630),AND($J4630&gt;=0,$J4630=INT($J4630)),FALSE())),"✖ العدد يجب أن يكون صحيحًا ≥ 0",IF(AND($F4630="Baseline",$H4630&lt;&gt;""),"⚠ Baseline: Start لا يدخل في التقدم",IF($K4630="No Start (attainment only)","ℹ تحصيل فقط (بدون Start)",IF($K4630="U – needs rule","ℹ حالة U تحتاج قاعدة معتمدة",IF($K4630="No result","ℹ بدون نتيجة (يُستبعد من التحصيل)","OK")))))))))))</f>
        <v/>
      </c>
      <c r="M4630" s="64" t="n">
        <f aca="false">IF($A4630="",0,IFERROR(MATCH($A4630,Classes!$A$6:$A$420,0),0))</f>
        <v>0</v>
      </c>
      <c r="N4630" s="64" t="n">
        <f aca="false">IF($H4630="",0,IFERROR(MATCH($H4630,GradeList,0),0))</f>
        <v>0</v>
      </c>
      <c r="O4630" s="64" t="n">
        <f aca="false">IF(OR($I4630="",$I4630="NR"),0,IFERROR(MATCH($I4630,GradeList,0),0))</f>
        <v>0</v>
      </c>
      <c r="P4630" s="64" t="n">
        <f aca="false">IF(AND($M4630&gt;0,ISNUMBER(MATCH($F4630,Lists!$A$2:$A$5,0)),ISNUMBER(MATCH($G4630,Lists!$B$2:$B$7,0)),OR($H4630="",$N4630&gt;0),OR($I4630="",$I4630="NR",$O4630&gt;0),IF(ISNUMBER($J4630),AND($J4630&gt;=0,$J4630=INT($J4630)),FALSE())),$J4630,0)</f>
        <v>0</v>
      </c>
      <c r="Q4630" s="64" t="n">
        <f aca="false">IF(AND($P4630&gt;0,$O4630&gt;0),$P4630,0)</f>
        <v>0</v>
      </c>
      <c r="R4630" s="64" t="n">
        <f aca="false">IF(AND($Q4630&gt;0,$O4630&gt;=AtRank),$Q4630,0)</f>
        <v>0</v>
      </c>
      <c r="S4630" s="64" t="n">
        <f aca="false">IF(AND($Q4630&gt;0,$O4630&gt;=AboveRank),$Q4630,0)</f>
        <v>0</v>
      </c>
      <c r="T4630" s="64" t="n">
        <f aca="false">IF($K4630="Less",$P4630,0)</f>
        <v>0</v>
      </c>
      <c r="U4630" s="64" t="n">
        <f aca="false">IF($K4630="Expected",$P4630,0)</f>
        <v>0</v>
      </c>
      <c r="V4630" s="64" t="n">
        <f aca="false">IF($K4630="Better",$P4630,0)</f>
        <v>0</v>
      </c>
      <c r="W4630" s="64" t="n">
        <f aca="false">IF($K4630="U – needs rule",$P4630,0)</f>
        <v>0</v>
      </c>
      <c r="X4630" s="64" t="n">
        <f aca="false">IF($K4630="No Start (attainment only)",$P4630,0)</f>
        <v>0</v>
      </c>
    </row>
    <row r="4631" customFormat="false" ht="15" hidden="false" customHeight="false" outlineLevel="0" collapsed="false">
      <c r="A4631" s="60"/>
      <c r="B4631" s="61" t="str">
        <f aca="false">IF($M4631=0,"",INDEX(Classes!$E$6:$E$420,$M4631))</f>
        <v/>
      </c>
      <c r="C4631" s="62" t="str">
        <f aca="false">IF($M4631=0,"",INDEX(Classes!$H$6:$H$420,$M4631))</f>
        <v/>
      </c>
      <c r="D4631" s="61" t="str">
        <f aca="false">IF($M4631=0,"",INDEX(Classes!$B$6:$B$420,$M4631))</f>
        <v/>
      </c>
      <c r="E4631" s="61" t="str">
        <f aca="false">IF($M4631=0,"",INDEX(Classes!$C$6:$C$420,$M4631))</f>
        <v/>
      </c>
      <c r="F4631" s="63"/>
      <c r="G4631" s="63"/>
      <c r="H4631" s="60"/>
      <c r="I4631" s="60"/>
      <c r="J4631" s="63"/>
      <c r="K4631" s="61" t="str">
        <f aca="false">IF($P4631=0,"",IF($F4631="Baseline","— Baseline",IF($O4631=0,"No result",IF($N4631=0,"No Start (attainment only)",IF(OR($N4631=1,$O4631=1),"U – needs rule",INDEX(MxBody,MATCH($I4631,MxCurr,0),MATCH($H4631,MxStart,0)))))))</f>
        <v/>
      </c>
      <c r="L4631" s="62" t="str">
        <f aca="false">IF(COUNTA($A4631,$F4631,$G4631,$H4631,$I4631,$J4631)=0,"",IF($M4631=0,"✖ كود الصف غير موجود",IF(ISNA(MATCH($F4631,Lists!$A$2:$A$5,0)),"✖ الفترة غير صحيحة",IF(ISNA(MATCH($G4631,Lists!$B$2:$B$7,0)),"✖ المجموعة غير صحيحة",IF(NOT(OR($H4631="",$N4631&gt;0)),"✖ Start غير صحيح",IF(NOT(OR($I4631="",$I4631="NR",$O4631&gt;0)),"✖ Current غير صحيح",IF(NOT(IF(ISNUMBER($J4631),AND($J4631&gt;=0,$J4631=INT($J4631)),FALSE())),"✖ العدد يجب أن يكون صحيحًا ≥ 0",IF(AND($F4631="Baseline",$H4631&lt;&gt;""),"⚠ Baseline: Start لا يدخل في التقدم",IF($K4631="No Start (attainment only)","ℹ تحصيل فقط (بدون Start)",IF($K4631="U – needs rule","ℹ حالة U تحتاج قاعدة معتمدة",IF($K4631="No result","ℹ بدون نتيجة (يُستبعد من التحصيل)","OK")))))))))))</f>
        <v/>
      </c>
      <c r="M4631" s="64" t="n">
        <f aca="false">IF($A4631="",0,IFERROR(MATCH($A4631,Classes!$A$6:$A$420,0),0))</f>
        <v>0</v>
      </c>
      <c r="N4631" s="64" t="n">
        <f aca="false">IF($H4631="",0,IFERROR(MATCH($H4631,GradeList,0),0))</f>
        <v>0</v>
      </c>
      <c r="O4631" s="64" t="n">
        <f aca="false">IF(OR($I4631="",$I4631="NR"),0,IFERROR(MATCH($I4631,GradeList,0),0))</f>
        <v>0</v>
      </c>
      <c r="P4631" s="64" t="n">
        <f aca="false">IF(AND($M4631&gt;0,ISNUMBER(MATCH($F4631,Lists!$A$2:$A$5,0)),ISNUMBER(MATCH($G4631,Lists!$B$2:$B$7,0)),OR($H4631="",$N4631&gt;0),OR($I4631="",$I4631="NR",$O4631&gt;0),IF(ISNUMBER($J4631),AND($J4631&gt;=0,$J4631=INT($J4631)),FALSE())),$J4631,0)</f>
        <v>0</v>
      </c>
      <c r="Q4631" s="64" t="n">
        <f aca="false">IF(AND($P4631&gt;0,$O4631&gt;0),$P4631,0)</f>
        <v>0</v>
      </c>
      <c r="R4631" s="64" t="n">
        <f aca="false">IF(AND($Q4631&gt;0,$O4631&gt;=AtRank),$Q4631,0)</f>
        <v>0</v>
      </c>
      <c r="S4631" s="64" t="n">
        <f aca="false">IF(AND($Q4631&gt;0,$O4631&gt;=AboveRank),$Q4631,0)</f>
        <v>0</v>
      </c>
      <c r="T4631" s="64" t="n">
        <f aca="false">IF($K4631="Less",$P4631,0)</f>
        <v>0</v>
      </c>
      <c r="U4631" s="64" t="n">
        <f aca="false">IF($K4631="Expected",$P4631,0)</f>
        <v>0</v>
      </c>
      <c r="V4631" s="64" t="n">
        <f aca="false">IF($K4631="Better",$P4631,0)</f>
        <v>0</v>
      </c>
      <c r="W4631" s="64" t="n">
        <f aca="false">IF($K4631="U – needs rule",$P4631,0)</f>
        <v>0</v>
      </c>
      <c r="X4631" s="64" t="n">
        <f aca="false">IF($K4631="No Start (attainment only)",$P4631,0)</f>
        <v>0</v>
      </c>
    </row>
    <row r="4632" customFormat="false" ht="15" hidden="false" customHeight="false" outlineLevel="0" collapsed="false">
      <c r="A4632" s="60"/>
      <c r="B4632" s="61" t="str">
        <f aca="false">IF($M4632=0,"",INDEX(Classes!$E$6:$E$420,$M4632))</f>
        <v/>
      </c>
      <c r="C4632" s="62" t="str">
        <f aca="false">IF($M4632=0,"",INDEX(Classes!$H$6:$H$420,$M4632))</f>
        <v/>
      </c>
      <c r="D4632" s="61" t="str">
        <f aca="false">IF($M4632=0,"",INDEX(Classes!$B$6:$B$420,$M4632))</f>
        <v/>
      </c>
      <c r="E4632" s="61" t="str">
        <f aca="false">IF($M4632=0,"",INDEX(Classes!$C$6:$C$420,$M4632))</f>
        <v/>
      </c>
      <c r="F4632" s="63"/>
      <c r="G4632" s="63"/>
      <c r="H4632" s="60"/>
      <c r="I4632" s="60"/>
      <c r="J4632" s="63"/>
      <c r="K4632" s="61" t="str">
        <f aca="false">IF($P4632=0,"",IF($F4632="Baseline","— Baseline",IF($O4632=0,"No result",IF($N4632=0,"No Start (attainment only)",IF(OR($N4632=1,$O4632=1),"U – needs rule",INDEX(MxBody,MATCH($I4632,MxCurr,0),MATCH($H4632,MxStart,0)))))))</f>
        <v/>
      </c>
      <c r="L4632" s="62" t="str">
        <f aca="false">IF(COUNTA($A4632,$F4632,$G4632,$H4632,$I4632,$J4632)=0,"",IF($M4632=0,"✖ كود الصف غير موجود",IF(ISNA(MATCH($F4632,Lists!$A$2:$A$5,0)),"✖ الفترة غير صحيحة",IF(ISNA(MATCH($G4632,Lists!$B$2:$B$7,0)),"✖ المجموعة غير صحيحة",IF(NOT(OR($H4632="",$N4632&gt;0)),"✖ Start غير صحيح",IF(NOT(OR($I4632="",$I4632="NR",$O4632&gt;0)),"✖ Current غير صحيح",IF(NOT(IF(ISNUMBER($J4632),AND($J4632&gt;=0,$J4632=INT($J4632)),FALSE())),"✖ العدد يجب أن يكون صحيحًا ≥ 0",IF(AND($F4632="Baseline",$H4632&lt;&gt;""),"⚠ Baseline: Start لا يدخل في التقدم",IF($K4632="No Start (attainment only)","ℹ تحصيل فقط (بدون Start)",IF($K4632="U – needs rule","ℹ حالة U تحتاج قاعدة معتمدة",IF($K4632="No result","ℹ بدون نتيجة (يُستبعد من التحصيل)","OK")))))))))))</f>
        <v/>
      </c>
      <c r="M4632" s="64" t="n">
        <f aca="false">IF($A4632="",0,IFERROR(MATCH($A4632,Classes!$A$6:$A$420,0),0))</f>
        <v>0</v>
      </c>
      <c r="N4632" s="64" t="n">
        <f aca="false">IF($H4632="",0,IFERROR(MATCH($H4632,GradeList,0),0))</f>
        <v>0</v>
      </c>
      <c r="O4632" s="64" t="n">
        <f aca="false">IF(OR($I4632="",$I4632="NR"),0,IFERROR(MATCH($I4632,GradeList,0),0))</f>
        <v>0</v>
      </c>
      <c r="P4632" s="64" t="n">
        <f aca="false">IF(AND($M4632&gt;0,ISNUMBER(MATCH($F4632,Lists!$A$2:$A$5,0)),ISNUMBER(MATCH($G4632,Lists!$B$2:$B$7,0)),OR($H4632="",$N4632&gt;0),OR($I4632="",$I4632="NR",$O4632&gt;0),IF(ISNUMBER($J4632),AND($J4632&gt;=0,$J4632=INT($J4632)),FALSE())),$J4632,0)</f>
        <v>0</v>
      </c>
      <c r="Q4632" s="64" t="n">
        <f aca="false">IF(AND($P4632&gt;0,$O4632&gt;0),$P4632,0)</f>
        <v>0</v>
      </c>
      <c r="R4632" s="64" t="n">
        <f aca="false">IF(AND($Q4632&gt;0,$O4632&gt;=AtRank),$Q4632,0)</f>
        <v>0</v>
      </c>
      <c r="S4632" s="64" t="n">
        <f aca="false">IF(AND($Q4632&gt;0,$O4632&gt;=AboveRank),$Q4632,0)</f>
        <v>0</v>
      </c>
      <c r="T4632" s="64" t="n">
        <f aca="false">IF($K4632="Less",$P4632,0)</f>
        <v>0</v>
      </c>
      <c r="U4632" s="64" t="n">
        <f aca="false">IF($K4632="Expected",$P4632,0)</f>
        <v>0</v>
      </c>
      <c r="V4632" s="64" t="n">
        <f aca="false">IF($K4632="Better",$P4632,0)</f>
        <v>0</v>
      </c>
      <c r="W4632" s="64" t="n">
        <f aca="false">IF($K4632="U – needs rule",$P4632,0)</f>
        <v>0</v>
      </c>
      <c r="X4632" s="64" t="n">
        <f aca="false">IF($K4632="No Start (attainment only)",$P4632,0)</f>
        <v>0</v>
      </c>
    </row>
    <row r="4633" customFormat="false" ht="15" hidden="false" customHeight="false" outlineLevel="0" collapsed="false">
      <c r="A4633" s="60"/>
      <c r="B4633" s="61" t="str">
        <f aca="false">IF($M4633=0,"",INDEX(Classes!$E$6:$E$420,$M4633))</f>
        <v/>
      </c>
      <c r="C4633" s="62" t="str">
        <f aca="false">IF($M4633=0,"",INDEX(Classes!$H$6:$H$420,$M4633))</f>
        <v/>
      </c>
      <c r="D4633" s="61" t="str">
        <f aca="false">IF($M4633=0,"",INDEX(Classes!$B$6:$B$420,$M4633))</f>
        <v/>
      </c>
      <c r="E4633" s="61" t="str">
        <f aca="false">IF($M4633=0,"",INDEX(Classes!$C$6:$C$420,$M4633))</f>
        <v/>
      </c>
      <c r="F4633" s="63"/>
      <c r="G4633" s="63"/>
      <c r="H4633" s="60"/>
      <c r="I4633" s="60"/>
      <c r="J4633" s="63"/>
      <c r="K4633" s="61" t="str">
        <f aca="false">IF($P4633=0,"",IF($F4633="Baseline","— Baseline",IF($O4633=0,"No result",IF($N4633=0,"No Start (attainment only)",IF(OR($N4633=1,$O4633=1),"U – needs rule",INDEX(MxBody,MATCH($I4633,MxCurr,0),MATCH($H4633,MxStart,0)))))))</f>
        <v/>
      </c>
      <c r="L4633" s="62" t="str">
        <f aca="false">IF(COUNTA($A4633,$F4633,$G4633,$H4633,$I4633,$J4633)=0,"",IF($M4633=0,"✖ كود الصف غير موجود",IF(ISNA(MATCH($F4633,Lists!$A$2:$A$5,0)),"✖ الفترة غير صحيحة",IF(ISNA(MATCH($G4633,Lists!$B$2:$B$7,0)),"✖ المجموعة غير صحيحة",IF(NOT(OR($H4633="",$N4633&gt;0)),"✖ Start غير صحيح",IF(NOT(OR($I4633="",$I4633="NR",$O4633&gt;0)),"✖ Current غير صحيح",IF(NOT(IF(ISNUMBER($J4633),AND($J4633&gt;=0,$J4633=INT($J4633)),FALSE())),"✖ العدد يجب أن يكون صحيحًا ≥ 0",IF(AND($F4633="Baseline",$H4633&lt;&gt;""),"⚠ Baseline: Start لا يدخل في التقدم",IF($K4633="No Start (attainment only)","ℹ تحصيل فقط (بدون Start)",IF($K4633="U – needs rule","ℹ حالة U تحتاج قاعدة معتمدة",IF($K4633="No result","ℹ بدون نتيجة (يُستبعد من التحصيل)","OK")))))))))))</f>
        <v/>
      </c>
      <c r="M4633" s="64" t="n">
        <f aca="false">IF($A4633="",0,IFERROR(MATCH($A4633,Classes!$A$6:$A$420,0),0))</f>
        <v>0</v>
      </c>
      <c r="N4633" s="64" t="n">
        <f aca="false">IF($H4633="",0,IFERROR(MATCH($H4633,GradeList,0),0))</f>
        <v>0</v>
      </c>
      <c r="O4633" s="64" t="n">
        <f aca="false">IF(OR($I4633="",$I4633="NR"),0,IFERROR(MATCH($I4633,GradeList,0),0))</f>
        <v>0</v>
      </c>
      <c r="P4633" s="64" t="n">
        <f aca="false">IF(AND($M4633&gt;0,ISNUMBER(MATCH($F4633,Lists!$A$2:$A$5,0)),ISNUMBER(MATCH($G4633,Lists!$B$2:$B$7,0)),OR($H4633="",$N4633&gt;0),OR($I4633="",$I4633="NR",$O4633&gt;0),IF(ISNUMBER($J4633),AND($J4633&gt;=0,$J4633=INT($J4633)),FALSE())),$J4633,0)</f>
        <v>0</v>
      </c>
      <c r="Q4633" s="64" t="n">
        <f aca="false">IF(AND($P4633&gt;0,$O4633&gt;0),$P4633,0)</f>
        <v>0</v>
      </c>
      <c r="R4633" s="64" t="n">
        <f aca="false">IF(AND($Q4633&gt;0,$O4633&gt;=AtRank),$Q4633,0)</f>
        <v>0</v>
      </c>
      <c r="S4633" s="64" t="n">
        <f aca="false">IF(AND($Q4633&gt;0,$O4633&gt;=AboveRank),$Q4633,0)</f>
        <v>0</v>
      </c>
      <c r="T4633" s="64" t="n">
        <f aca="false">IF($K4633="Less",$P4633,0)</f>
        <v>0</v>
      </c>
      <c r="U4633" s="64" t="n">
        <f aca="false">IF($K4633="Expected",$P4633,0)</f>
        <v>0</v>
      </c>
      <c r="V4633" s="64" t="n">
        <f aca="false">IF($K4633="Better",$P4633,0)</f>
        <v>0</v>
      </c>
      <c r="W4633" s="64" t="n">
        <f aca="false">IF($K4633="U – needs rule",$P4633,0)</f>
        <v>0</v>
      </c>
      <c r="X4633" s="64" t="n">
        <f aca="false">IF($K4633="No Start (attainment only)",$P4633,0)</f>
        <v>0</v>
      </c>
    </row>
    <row r="4634" customFormat="false" ht="15" hidden="false" customHeight="false" outlineLevel="0" collapsed="false">
      <c r="A4634" s="60"/>
      <c r="B4634" s="61" t="str">
        <f aca="false">IF($M4634=0,"",INDEX(Classes!$E$6:$E$420,$M4634))</f>
        <v/>
      </c>
      <c r="C4634" s="62" t="str">
        <f aca="false">IF($M4634=0,"",INDEX(Classes!$H$6:$H$420,$M4634))</f>
        <v/>
      </c>
      <c r="D4634" s="61" t="str">
        <f aca="false">IF($M4634=0,"",INDEX(Classes!$B$6:$B$420,$M4634))</f>
        <v/>
      </c>
      <c r="E4634" s="61" t="str">
        <f aca="false">IF($M4634=0,"",INDEX(Classes!$C$6:$C$420,$M4634))</f>
        <v/>
      </c>
      <c r="F4634" s="63"/>
      <c r="G4634" s="63"/>
      <c r="H4634" s="60"/>
      <c r="I4634" s="60"/>
      <c r="J4634" s="63"/>
      <c r="K4634" s="61" t="str">
        <f aca="false">IF($P4634=0,"",IF($F4634="Baseline","— Baseline",IF($O4634=0,"No result",IF($N4634=0,"No Start (attainment only)",IF(OR($N4634=1,$O4634=1),"U – needs rule",INDEX(MxBody,MATCH($I4634,MxCurr,0),MATCH($H4634,MxStart,0)))))))</f>
        <v/>
      </c>
      <c r="L4634" s="62" t="str">
        <f aca="false">IF(COUNTA($A4634,$F4634,$G4634,$H4634,$I4634,$J4634)=0,"",IF($M4634=0,"✖ كود الصف غير موجود",IF(ISNA(MATCH($F4634,Lists!$A$2:$A$5,0)),"✖ الفترة غير صحيحة",IF(ISNA(MATCH($G4634,Lists!$B$2:$B$7,0)),"✖ المجموعة غير صحيحة",IF(NOT(OR($H4634="",$N4634&gt;0)),"✖ Start غير صحيح",IF(NOT(OR($I4634="",$I4634="NR",$O4634&gt;0)),"✖ Current غير صحيح",IF(NOT(IF(ISNUMBER($J4634),AND($J4634&gt;=0,$J4634=INT($J4634)),FALSE())),"✖ العدد يجب أن يكون صحيحًا ≥ 0",IF(AND($F4634="Baseline",$H4634&lt;&gt;""),"⚠ Baseline: Start لا يدخل في التقدم",IF($K4634="No Start (attainment only)","ℹ تحصيل فقط (بدون Start)",IF($K4634="U – needs rule","ℹ حالة U تحتاج قاعدة معتمدة",IF($K4634="No result","ℹ بدون نتيجة (يُستبعد من التحصيل)","OK")))))))))))</f>
        <v/>
      </c>
      <c r="M4634" s="64" t="n">
        <f aca="false">IF($A4634="",0,IFERROR(MATCH($A4634,Classes!$A$6:$A$420,0),0))</f>
        <v>0</v>
      </c>
      <c r="N4634" s="64" t="n">
        <f aca="false">IF($H4634="",0,IFERROR(MATCH($H4634,GradeList,0),0))</f>
        <v>0</v>
      </c>
      <c r="O4634" s="64" t="n">
        <f aca="false">IF(OR($I4634="",$I4634="NR"),0,IFERROR(MATCH($I4634,GradeList,0),0))</f>
        <v>0</v>
      </c>
      <c r="P4634" s="64" t="n">
        <f aca="false">IF(AND($M4634&gt;0,ISNUMBER(MATCH($F4634,Lists!$A$2:$A$5,0)),ISNUMBER(MATCH($G4634,Lists!$B$2:$B$7,0)),OR($H4634="",$N4634&gt;0),OR($I4634="",$I4634="NR",$O4634&gt;0),IF(ISNUMBER($J4634),AND($J4634&gt;=0,$J4634=INT($J4634)),FALSE())),$J4634,0)</f>
        <v>0</v>
      </c>
      <c r="Q4634" s="64" t="n">
        <f aca="false">IF(AND($P4634&gt;0,$O4634&gt;0),$P4634,0)</f>
        <v>0</v>
      </c>
      <c r="R4634" s="64" t="n">
        <f aca="false">IF(AND($Q4634&gt;0,$O4634&gt;=AtRank),$Q4634,0)</f>
        <v>0</v>
      </c>
      <c r="S4634" s="64" t="n">
        <f aca="false">IF(AND($Q4634&gt;0,$O4634&gt;=AboveRank),$Q4634,0)</f>
        <v>0</v>
      </c>
      <c r="T4634" s="64" t="n">
        <f aca="false">IF($K4634="Less",$P4634,0)</f>
        <v>0</v>
      </c>
      <c r="U4634" s="64" t="n">
        <f aca="false">IF($K4634="Expected",$P4634,0)</f>
        <v>0</v>
      </c>
      <c r="V4634" s="64" t="n">
        <f aca="false">IF($K4634="Better",$P4634,0)</f>
        <v>0</v>
      </c>
      <c r="W4634" s="64" t="n">
        <f aca="false">IF($K4634="U – needs rule",$P4634,0)</f>
        <v>0</v>
      </c>
      <c r="X4634" s="64" t="n">
        <f aca="false">IF($K4634="No Start (attainment only)",$P4634,0)</f>
        <v>0</v>
      </c>
    </row>
    <row r="4635" customFormat="false" ht="15" hidden="false" customHeight="false" outlineLevel="0" collapsed="false">
      <c r="A4635" s="60"/>
      <c r="B4635" s="61" t="str">
        <f aca="false">IF($M4635=0,"",INDEX(Classes!$E$6:$E$420,$M4635))</f>
        <v/>
      </c>
      <c r="C4635" s="62" t="str">
        <f aca="false">IF($M4635=0,"",INDEX(Classes!$H$6:$H$420,$M4635))</f>
        <v/>
      </c>
      <c r="D4635" s="61" t="str">
        <f aca="false">IF($M4635=0,"",INDEX(Classes!$B$6:$B$420,$M4635))</f>
        <v/>
      </c>
      <c r="E4635" s="61" t="str">
        <f aca="false">IF($M4635=0,"",INDEX(Classes!$C$6:$C$420,$M4635))</f>
        <v/>
      </c>
      <c r="F4635" s="63"/>
      <c r="G4635" s="63"/>
      <c r="H4635" s="60"/>
      <c r="I4635" s="60"/>
      <c r="J4635" s="63"/>
      <c r="K4635" s="61" t="str">
        <f aca="false">IF($P4635=0,"",IF($F4635="Baseline","— Baseline",IF($O4635=0,"No result",IF($N4635=0,"No Start (attainment only)",IF(OR($N4635=1,$O4635=1),"U – needs rule",INDEX(MxBody,MATCH($I4635,MxCurr,0),MATCH($H4635,MxStart,0)))))))</f>
        <v/>
      </c>
      <c r="L4635" s="62" t="str">
        <f aca="false">IF(COUNTA($A4635,$F4635,$G4635,$H4635,$I4635,$J4635)=0,"",IF($M4635=0,"✖ كود الصف غير موجود",IF(ISNA(MATCH($F4635,Lists!$A$2:$A$5,0)),"✖ الفترة غير صحيحة",IF(ISNA(MATCH($G4635,Lists!$B$2:$B$7,0)),"✖ المجموعة غير صحيحة",IF(NOT(OR($H4635="",$N4635&gt;0)),"✖ Start غير صحيح",IF(NOT(OR($I4635="",$I4635="NR",$O4635&gt;0)),"✖ Current غير صحيح",IF(NOT(IF(ISNUMBER($J4635),AND($J4635&gt;=0,$J4635=INT($J4635)),FALSE())),"✖ العدد يجب أن يكون صحيحًا ≥ 0",IF(AND($F4635="Baseline",$H4635&lt;&gt;""),"⚠ Baseline: Start لا يدخل في التقدم",IF($K4635="No Start (attainment only)","ℹ تحصيل فقط (بدون Start)",IF($K4635="U – needs rule","ℹ حالة U تحتاج قاعدة معتمدة",IF($K4635="No result","ℹ بدون نتيجة (يُستبعد من التحصيل)","OK")))))))))))</f>
        <v/>
      </c>
      <c r="M4635" s="64" t="n">
        <f aca="false">IF($A4635="",0,IFERROR(MATCH($A4635,Classes!$A$6:$A$420,0),0))</f>
        <v>0</v>
      </c>
      <c r="N4635" s="64" t="n">
        <f aca="false">IF($H4635="",0,IFERROR(MATCH($H4635,GradeList,0),0))</f>
        <v>0</v>
      </c>
      <c r="O4635" s="64" t="n">
        <f aca="false">IF(OR($I4635="",$I4635="NR"),0,IFERROR(MATCH($I4635,GradeList,0),0))</f>
        <v>0</v>
      </c>
      <c r="P4635" s="64" t="n">
        <f aca="false">IF(AND($M4635&gt;0,ISNUMBER(MATCH($F4635,Lists!$A$2:$A$5,0)),ISNUMBER(MATCH($G4635,Lists!$B$2:$B$7,0)),OR($H4635="",$N4635&gt;0),OR($I4635="",$I4635="NR",$O4635&gt;0),IF(ISNUMBER($J4635),AND($J4635&gt;=0,$J4635=INT($J4635)),FALSE())),$J4635,0)</f>
        <v>0</v>
      </c>
      <c r="Q4635" s="64" t="n">
        <f aca="false">IF(AND($P4635&gt;0,$O4635&gt;0),$P4635,0)</f>
        <v>0</v>
      </c>
      <c r="R4635" s="64" t="n">
        <f aca="false">IF(AND($Q4635&gt;0,$O4635&gt;=AtRank),$Q4635,0)</f>
        <v>0</v>
      </c>
      <c r="S4635" s="64" t="n">
        <f aca="false">IF(AND($Q4635&gt;0,$O4635&gt;=AboveRank),$Q4635,0)</f>
        <v>0</v>
      </c>
      <c r="T4635" s="64" t="n">
        <f aca="false">IF($K4635="Less",$P4635,0)</f>
        <v>0</v>
      </c>
      <c r="U4635" s="64" t="n">
        <f aca="false">IF($K4635="Expected",$P4635,0)</f>
        <v>0</v>
      </c>
      <c r="V4635" s="64" t="n">
        <f aca="false">IF($K4635="Better",$P4635,0)</f>
        <v>0</v>
      </c>
      <c r="W4635" s="64" t="n">
        <f aca="false">IF($K4635="U – needs rule",$P4635,0)</f>
        <v>0</v>
      </c>
      <c r="X4635" s="64" t="n">
        <f aca="false">IF($K4635="No Start (attainment only)",$P4635,0)</f>
        <v>0</v>
      </c>
    </row>
    <row r="4636" customFormat="false" ht="15" hidden="false" customHeight="false" outlineLevel="0" collapsed="false">
      <c r="A4636" s="60"/>
      <c r="B4636" s="61" t="str">
        <f aca="false">IF($M4636=0,"",INDEX(Classes!$E$6:$E$420,$M4636))</f>
        <v/>
      </c>
      <c r="C4636" s="62" t="str">
        <f aca="false">IF($M4636=0,"",INDEX(Classes!$H$6:$H$420,$M4636))</f>
        <v/>
      </c>
      <c r="D4636" s="61" t="str">
        <f aca="false">IF($M4636=0,"",INDEX(Classes!$B$6:$B$420,$M4636))</f>
        <v/>
      </c>
      <c r="E4636" s="61" t="str">
        <f aca="false">IF($M4636=0,"",INDEX(Classes!$C$6:$C$420,$M4636))</f>
        <v/>
      </c>
      <c r="F4636" s="63"/>
      <c r="G4636" s="63"/>
      <c r="H4636" s="60"/>
      <c r="I4636" s="60"/>
      <c r="J4636" s="63"/>
      <c r="K4636" s="61" t="str">
        <f aca="false">IF($P4636=0,"",IF($F4636="Baseline","— Baseline",IF($O4636=0,"No result",IF($N4636=0,"No Start (attainment only)",IF(OR($N4636=1,$O4636=1),"U – needs rule",INDEX(MxBody,MATCH($I4636,MxCurr,0),MATCH($H4636,MxStart,0)))))))</f>
        <v/>
      </c>
      <c r="L4636" s="62" t="str">
        <f aca="false">IF(COUNTA($A4636,$F4636,$G4636,$H4636,$I4636,$J4636)=0,"",IF($M4636=0,"✖ كود الصف غير موجود",IF(ISNA(MATCH($F4636,Lists!$A$2:$A$5,0)),"✖ الفترة غير صحيحة",IF(ISNA(MATCH($G4636,Lists!$B$2:$B$7,0)),"✖ المجموعة غير صحيحة",IF(NOT(OR($H4636="",$N4636&gt;0)),"✖ Start غير صحيح",IF(NOT(OR($I4636="",$I4636="NR",$O4636&gt;0)),"✖ Current غير صحيح",IF(NOT(IF(ISNUMBER($J4636),AND($J4636&gt;=0,$J4636=INT($J4636)),FALSE())),"✖ العدد يجب أن يكون صحيحًا ≥ 0",IF(AND($F4636="Baseline",$H4636&lt;&gt;""),"⚠ Baseline: Start لا يدخل في التقدم",IF($K4636="No Start (attainment only)","ℹ تحصيل فقط (بدون Start)",IF($K4636="U – needs rule","ℹ حالة U تحتاج قاعدة معتمدة",IF($K4636="No result","ℹ بدون نتيجة (يُستبعد من التحصيل)","OK")))))))))))</f>
        <v/>
      </c>
      <c r="M4636" s="64" t="n">
        <f aca="false">IF($A4636="",0,IFERROR(MATCH($A4636,Classes!$A$6:$A$420,0),0))</f>
        <v>0</v>
      </c>
      <c r="N4636" s="64" t="n">
        <f aca="false">IF($H4636="",0,IFERROR(MATCH($H4636,GradeList,0),0))</f>
        <v>0</v>
      </c>
      <c r="O4636" s="64" t="n">
        <f aca="false">IF(OR($I4636="",$I4636="NR"),0,IFERROR(MATCH($I4636,GradeList,0),0))</f>
        <v>0</v>
      </c>
      <c r="P4636" s="64" t="n">
        <f aca="false">IF(AND($M4636&gt;0,ISNUMBER(MATCH($F4636,Lists!$A$2:$A$5,0)),ISNUMBER(MATCH($G4636,Lists!$B$2:$B$7,0)),OR($H4636="",$N4636&gt;0),OR($I4636="",$I4636="NR",$O4636&gt;0),IF(ISNUMBER($J4636),AND($J4636&gt;=0,$J4636=INT($J4636)),FALSE())),$J4636,0)</f>
        <v>0</v>
      </c>
      <c r="Q4636" s="64" t="n">
        <f aca="false">IF(AND($P4636&gt;0,$O4636&gt;0),$P4636,0)</f>
        <v>0</v>
      </c>
      <c r="R4636" s="64" t="n">
        <f aca="false">IF(AND($Q4636&gt;0,$O4636&gt;=AtRank),$Q4636,0)</f>
        <v>0</v>
      </c>
      <c r="S4636" s="64" t="n">
        <f aca="false">IF(AND($Q4636&gt;0,$O4636&gt;=AboveRank),$Q4636,0)</f>
        <v>0</v>
      </c>
      <c r="T4636" s="64" t="n">
        <f aca="false">IF($K4636="Less",$P4636,0)</f>
        <v>0</v>
      </c>
      <c r="U4636" s="64" t="n">
        <f aca="false">IF($K4636="Expected",$P4636,0)</f>
        <v>0</v>
      </c>
      <c r="V4636" s="64" t="n">
        <f aca="false">IF($K4636="Better",$P4636,0)</f>
        <v>0</v>
      </c>
      <c r="W4636" s="64" t="n">
        <f aca="false">IF($K4636="U – needs rule",$P4636,0)</f>
        <v>0</v>
      </c>
      <c r="X4636" s="64" t="n">
        <f aca="false">IF($K4636="No Start (attainment only)",$P4636,0)</f>
        <v>0</v>
      </c>
    </row>
    <row r="4637" customFormat="false" ht="15" hidden="false" customHeight="false" outlineLevel="0" collapsed="false">
      <c r="A4637" s="60"/>
      <c r="B4637" s="61" t="str">
        <f aca="false">IF($M4637=0,"",INDEX(Classes!$E$6:$E$420,$M4637))</f>
        <v/>
      </c>
      <c r="C4637" s="62" t="str">
        <f aca="false">IF($M4637=0,"",INDEX(Classes!$H$6:$H$420,$M4637))</f>
        <v/>
      </c>
      <c r="D4637" s="61" t="str">
        <f aca="false">IF($M4637=0,"",INDEX(Classes!$B$6:$B$420,$M4637))</f>
        <v/>
      </c>
      <c r="E4637" s="61" t="str">
        <f aca="false">IF($M4637=0,"",INDEX(Classes!$C$6:$C$420,$M4637))</f>
        <v/>
      </c>
      <c r="F4637" s="63"/>
      <c r="G4637" s="63"/>
      <c r="H4637" s="60"/>
      <c r="I4637" s="60"/>
      <c r="J4637" s="63"/>
      <c r="K4637" s="61" t="str">
        <f aca="false">IF($P4637=0,"",IF($F4637="Baseline","— Baseline",IF($O4637=0,"No result",IF($N4637=0,"No Start (attainment only)",IF(OR($N4637=1,$O4637=1),"U – needs rule",INDEX(MxBody,MATCH($I4637,MxCurr,0),MATCH($H4637,MxStart,0)))))))</f>
        <v/>
      </c>
      <c r="L4637" s="62" t="str">
        <f aca="false">IF(COUNTA($A4637,$F4637,$G4637,$H4637,$I4637,$J4637)=0,"",IF($M4637=0,"✖ كود الصف غير موجود",IF(ISNA(MATCH($F4637,Lists!$A$2:$A$5,0)),"✖ الفترة غير صحيحة",IF(ISNA(MATCH($G4637,Lists!$B$2:$B$7,0)),"✖ المجموعة غير صحيحة",IF(NOT(OR($H4637="",$N4637&gt;0)),"✖ Start غير صحيح",IF(NOT(OR($I4637="",$I4637="NR",$O4637&gt;0)),"✖ Current غير صحيح",IF(NOT(IF(ISNUMBER($J4637),AND($J4637&gt;=0,$J4637=INT($J4637)),FALSE())),"✖ العدد يجب أن يكون صحيحًا ≥ 0",IF(AND($F4637="Baseline",$H4637&lt;&gt;""),"⚠ Baseline: Start لا يدخل في التقدم",IF($K4637="No Start (attainment only)","ℹ تحصيل فقط (بدون Start)",IF($K4637="U – needs rule","ℹ حالة U تحتاج قاعدة معتمدة",IF($K4637="No result","ℹ بدون نتيجة (يُستبعد من التحصيل)","OK")))))))))))</f>
        <v/>
      </c>
      <c r="M4637" s="64" t="n">
        <f aca="false">IF($A4637="",0,IFERROR(MATCH($A4637,Classes!$A$6:$A$420,0),0))</f>
        <v>0</v>
      </c>
      <c r="N4637" s="64" t="n">
        <f aca="false">IF($H4637="",0,IFERROR(MATCH($H4637,GradeList,0),0))</f>
        <v>0</v>
      </c>
      <c r="O4637" s="64" t="n">
        <f aca="false">IF(OR($I4637="",$I4637="NR"),0,IFERROR(MATCH($I4637,GradeList,0),0))</f>
        <v>0</v>
      </c>
      <c r="P4637" s="64" t="n">
        <f aca="false">IF(AND($M4637&gt;0,ISNUMBER(MATCH($F4637,Lists!$A$2:$A$5,0)),ISNUMBER(MATCH($G4637,Lists!$B$2:$B$7,0)),OR($H4637="",$N4637&gt;0),OR($I4637="",$I4637="NR",$O4637&gt;0),IF(ISNUMBER($J4637),AND($J4637&gt;=0,$J4637=INT($J4637)),FALSE())),$J4637,0)</f>
        <v>0</v>
      </c>
      <c r="Q4637" s="64" t="n">
        <f aca="false">IF(AND($P4637&gt;0,$O4637&gt;0),$P4637,0)</f>
        <v>0</v>
      </c>
      <c r="R4637" s="64" t="n">
        <f aca="false">IF(AND($Q4637&gt;0,$O4637&gt;=AtRank),$Q4637,0)</f>
        <v>0</v>
      </c>
      <c r="S4637" s="64" t="n">
        <f aca="false">IF(AND($Q4637&gt;0,$O4637&gt;=AboveRank),$Q4637,0)</f>
        <v>0</v>
      </c>
      <c r="T4637" s="64" t="n">
        <f aca="false">IF($K4637="Less",$P4637,0)</f>
        <v>0</v>
      </c>
      <c r="U4637" s="64" t="n">
        <f aca="false">IF($K4637="Expected",$P4637,0)</f>
        <v>0</v>
      </c>
      <c r="V4637" s="64" t="n">
        <f aca="false">IF($K4637="Better",$P4637,0)</f>
        <v>0</v>
      </c>
      <c r="W4637" s="64" t="n">
        <f aca="false">IF($K4637="U – needs rule",$P4637,0)</f>
        <v>0</v>
      </c>
      <c r="X4637" s="64" t="n">
        <f aca="false">IF($K4637="No Start (attainment only)",$P4637,0)</f>
        <v>0</v>
      </c>
    </row>
    <row r="4638" customFormat="false" ht="15" hidden="false" customHeight="false" outlineLevel="0" collapsed="false">
      <c r="A4638" s="60"/>
      <c r="B4638" s="61" t="str">
        <f aca="false">IF($M4638=0,"",INDEX(Classes!$E$6:$E$420,$M4638))</f>
        <v/>
      </c>
      <c r="C4638" s="62" t="str">
        <f aca="false">IF($M4638=0,"",INDEX(Classes!$H$6:$H$420,$M4638))</f>
        <v/>
      </c>
      <c r="D4638" s="61" t="str">
        <f aca="false">IF($M4638=0,"",INDEX(Classes!$B$6:$B$420,$M4638))</f>
        <v/>
      </c>
      <c r="E4638" s="61" t="str">
        <f aca="false">IF($M4638=0,"",INDEX(Classes!$C$6:$C$420,$M4638))</f>
        <v/>
      </c>
      <c r="F4638" s="63"/>
      <c r="G4638" s="63"/>
      <c r="H4638" s="60"/>
      <c r="I4638" s="60"/>
      <c r="J4638" s="63"/>
      <c r="K4638" s="61" t="str">
        <f aca="false">IF($P4638=0,"",IF($F4638="Baseline","— Baseline",IF($O4638=0,"No result",IF($N4638=0,"No Start (attainment only)",IF(OR($N4638=1,$O4638=1),"U – needs rule",INDEX(MxBody,MATCH($I4638,MxCurr,0),MATCH($H4638,MxStart,0)))))))</f>
        <v/>
      </c>
      <c r="L4638" s="62" t="str">
        <f aca="false">IF(COUNTA($A4638,$F4638,$G4638,$H4638,$I4638,$J4638)=0,"",IF($M4638=0,"✖ كود الصف غير موجود",IF(ISNA(MATCH($F4638,Lists!$A$2:$A$5,0)),"✖ الفترة غير صحيحة",IF(ISNA(MATCH($G4638,Lists!$B$2:$B$7,0)),"✖ المجموعة غير صحيحة",IF(NOT(OR($H4638="",$N4638&gt;0)),"✖ Start غير صحيح",IF(NOT(OR($I4638="",$I4638="NR",$O4638&gt;0)),"✖ Current غير صحيح",IF(NOT(IF(ISNUMBER($J4638),AND($J4638&gt;=0,$J4638=INT($J4638)),FALSE())),"✖ العدد يجب أن يكون صحيحًا ≥ 0",IF(AND($F4638="Baseline",$H4638&lt;&gt;""),"⚠ Baseline: Start لا يدخل في التقدم",IF($K4638="No Start (attainment only)","ℹ تحصيل فقط (بدون Start)",IF($K4638="U – needs rule","ℹ حالة U تحتاج قاعدة معتمدة",IF($K4638="No result","ℹ بدون نتيجة (يُستبعد من التحصيل)","OK")))))))))))</f>
        <v/>
      </c>
      <c r="M4638" s="64" t="n">
        <f aca="false">IF($A4638="",0,IFERROR(MATCH($A4638,Classes!$A$6:$A$420,0),0))</f>
        <v>0</v>
      </c>
      <c r="N4638" s="64" t="n">
        <f aca="false">IF($H4638="",0,IFERROR(MATCH($H4638,GradeList,0),0))</f>
        <v>0</v>
      </c>
      <c r="O4638" s="64" t="n">
        <f aca="false">IF(OR($I4638="",$I4638="NR"),0,IFERROR(MATCH($I4638,GradeList,0),0))</f>
        <v>0</v>
      </c>
      <c r="P4638" s="64" t="n">
        <f aca="false">IF(AND($M4638&gt;0,ISNUMBER(MATCH($F4638,Lists!$A$2:$A$5,0)),ISNUMBER(MATCH($G4638,Lists!$B$2:$B$7,0)),OR($H4638="",$N4638&gt;0),OR($I4638="",$I4638="NR",$O4638&gt;0),IF(ISNUMBER($J4638),AND($J4638&gt;=0,$J4638=INT($J4638)),FALSE())),$J4638,0)</f>
        <v>0</v>
      </c>
      <c r="Q4638" s="64" t="n">
        <f aca="false">IF(AND($P4638&gt;0,$O4638&gt;0),$P4638,0)</f>
        <v>0</v>
      </c>
      <c r="R4638" s="64" t="n">
        <f aca="false">IF(AND($Q4638&gt;0,$O4638&gt;=AtRank),$Q4638,0)</f>
        <v>0</v>
      </c>
      <c r="S4638" s="64" t="n">
        <f aca="false">IF(AND($Q4638&gt;0,$O4638&gt;=AboveRank),$Q4638,0)</f>
        <v>0</v>
      </c>
      <c r="T4638" s="64" t="n">
        <f aca="false">IF($K4638="Less",$P4638,0)</f>
        <v>0</v>
      </c>
      <c r="U4638" s="64" t="n">
        <f aca="false">IF($K4638="Expected",$P4638,0)</f>
        <v>0</v>
      </c>
      <c r="V4638" s="64" t="n">
        <f aca="false">IF($K4638="Better",$P4638,0)</f>
        <v>0</v>
      </c>
      <c r="W4638" s="64" t="n">
        <f aca="false">IF($K4638="U – needs rule",$P4638,0)</f>
        <v>0</v>
      </c>
      <c r="X4638" s="64" t="n">
        <f aca="false">IF($K4638="No Start (attainment only)",$P4638,0)</f>
        <v>0</v>
      </c>
    </row>
    <row r="4639" customFormat="false" ht="15" hidden="false" customHeight="false" outlineLevel="0" collapsed="false">
      <c r="A4639" s="60"/>
      <c r="B4639" s="61" t="str">
        <f aca="false">IF($M4639=0,"",INDEX(Classes!$E$6:$E$420,$M4639))</f>
        <v/>
      </c>
      <c r="C4639" s="62" t="str">
        <f aca="false">IF($M4639=0,"",INDEX(Classes!$H$6:$H$420,$M4639))</f>
        <v/>
      </c>
      <c r="D4639" s="61" t="str">
        <f aca="false">IF($M4639=0,"",INDEX(Classes!$B$6:$B$420,$M4639))</f>
        <v/>
      </c>
      <c r="E4639" s="61" t="str">
        <f aca="false">IF($M4639=0,"",INDEX(Classes!$C$6:$C$420,$M4639))</f>
        <v/>
      </c>
      <c r="F4639" s="63"/>
      <c r="G4639" s="63"/>
      <c r="H4639" s="60"/>
      <c r="I4639" s="60"/>
      <c r="J4639" s="63"/>
      <c r="K4639" s="61" t="str">
        <f aca="false">IF($P4639=0,"",IF($F4639="Baseline","— Baseline",IF($O4639=0,"No result",IF($N4639=0,"No Start (attainment only)",IF(OR($N4639=1,$O4639=1),"U – needs rule",INDEX(MxBody,MATCH($I4639,MxCurr,0),MATCH($H4639,MxStart,0)))))))</f>
        <v/>
      </c>
      <c r="L4639" s="62" t="str">
        <f aca="false">IF(COUNTA($A4639,$F4639,$G4639,$H4639,$I4639,$J4639)=0,"",IF($M4639=0,"✖ كود الصف غير موجود",IF(ISNA(MATCH($F4639,Lists!$A$2:$A$5,0)),"✖ الفترة غير صحيحة",IF(ISNA(MATCH($G4639,Lists!$B$2:$B$7,0)),"✖ المجموعة غير صحيحة",IF(NOT(OR($H4639="",$N4639&gt;0)),"✖ Start غير صحيح",IF(NOT(OR($I4639="",$I4639="NR",$O4639&gt;0)),"✖ Current غير صحيح",IF(NOT(IF(ISNUMBER($J4639),AND($J4639&gt;=0,$J4639=INT($J4639)),FALSE())),"✖ العدد يجب أن يكون صحيحًا ≥ 0",IF(AND($F4639="Baseline",$H4639&lt;&gt;""),"⚠ Baseline: Start لا يدخل في التقدم",IF($K4639="No Start (attainment only)","ℹ تحصيل فقط (بدون Start)",IF($K4639="U – needs rule","ℹ حالة U تحتاج قاعدة معتمدة",IF($K4639="No result","ℹ بدون نتيجة (يُستبعد من التحصيل)","OK")))))))))))</f>
        <v/>
      </c>
      <c r="M4639" s="64" t="n">
        <f aca="false">IF($A4639="",0,IFERROR(MATCH($A4639,Classes!$A$6:$A$420,0),0))</f>
        <v>0</v>
      </c>
      <c r="N4639" s="64" t="n">
        <f aca="false">IF($H4639="",0,IFERROR(MATCH($H4639,GradeList,0),0))</f>
        <v>0</v>
      </c>
      <c r="O4639" s="64" t="n">
        <f aca="false">IF(OR($I4639="",$I4639="NR"),0,IFERROR(MATCH($I4639,GradeList,0),0))</f>
        <v>0</v>
      </c>
      <c r="P4639" s="64" t="n">
        <f aca="false">IF(AND($M4639&gt;0,ISNUMBER(MATCH($F4639,Lists!$A$2:$A$5,0)),ISNUMBER(MATCH($G4639,Lists!$B$2:$B$7,0)),OR($H4639="",$N4639&gt;0),OR($I4639="",$I4639="NR",$O4639&gt;0),IF(ISNUMBER($J4639),AND($J4639&gt;=0,$J4639=INT($J4639)),FALSE())),$J4639,0)</f>
        <v>0</v>
      </c>
      <c r="Q4639" s="64" t="n">
        <f aca="false">IF(AND($P4639&gt;0,$O4639&gt;0),$P4639,0)</f>
        <v>0</v>
      </c>
      <c r="R4639" s="64" t="n">
        <f aca="false">IF(AND($Q4639&gt;0,$O4639&gt;=AtRank),$Q4639,0)</f>
        <v>0</v>
      </c>
      <c r="S4639" s="64" t="n">
        <f aca="false">IF(AND($Q4639&gt;0,$O4639&gt;=AboveRank),$Q4639,0)</f>
        <v>0</v>
      </c>
      <c r="T4639" s="64" t="n">
        <f aca="false">IF($K4639="Less",$P4639,0)</f>
        <v>0</v>
      </c>
      <c r="U4639" s="64" t="n">
        <f aca="false">IF($K4639="Expected",$P4639,0)</f>
        <v>0</v>
      </c>
      <c r="V4639" s="64" t="n">
        <f aca="false">IF($K4639="Better",$P4639,0)</f>
        <v>0</v>
      </c>
      <c r="W4639" s="64" t="n">
        <f aca="false">IF($K4639="U – needs rule",$P4639,0)</f>
        <v>0</v>
      </c>
      <c r="X4639" s="64" t="n">
        <f aca="false">IF($K4639="No Start (attainment only)",$P4639,0)</f>
        <v>0</v>
      </c>
    </row>
    <row r="4640" customFormat="false" ht="15" hidden="false" customHeight="false" outlineLevel="0" collapsed="false">
      <c r="A4640" s="60"/>
      <c r="B4640" s="61" t="str">
        <f aca="false">IF($M4640=0,"",INDEX(Classes!$E$6:$E$420,$M4640))</f>
        <v/>
      </c>
      <c r="C4640" s="62" t="str">
        <f aca="false">IF($M4640=0,"",INDEX(Classes!$H$6:$H$420,$M4640))</f>
        <v/>
      </c>
      <c r="D4640" s="61" t="str">
        <f aca="false">IF($M4640=0,"",INDEX(Classes!$B$6:$B$420,$M4640))</f>
        <v/>
      </c>
      <c r="E4640" s="61" t="str">
        <f aca="false">IF($M4640=0,"",INDEX(Classes!$C$6:$C$420,$M4640))</f>
        <v/>
      </c>
      <c r="F4640" s="63"/>
      <c r="G4640" s="63"/>
      <c r="H4640" s="60"/>
      <c r="I4640" s="60"/>
      <c r="J4640" s="63"/>
      <c r="K4640" s="61" t="str">
        <f aca="false">IF($P4640=0,"",IF($F4640="Baseline","— Baseline",IF($O4640=0,"No result",IF($N4640=0,"No Start (attainment only)",IF(OR($N4640=1,$O4640=1),"U – needs rule",INDEX(MxBody,MATCH($I4640,MxCurr,0),MATCH($H4640,MxStart,0)))))))</f>
        <v/>
      </c>
      <c r="L4640" s="62" t="str">
        <f aca="false">IF(COUNTA($A4640,$F4640,$G4640,$H4640,$I4640,$J4640)=0,"",IF($M4640=0,"✖ كود الصف غير موجود",IF(ISNA(MATCH($F4640,Lists!$A$2:$A$5,0)),"✖ الفترة غير صحيحة",IF(ISNA(MATCH($G4640,Lists!$B$2:$B$7,0)),"✖ المجموعة غير صحيحة",IF(NOT(OR($H4640="",$N4640&gt;0)),"✖ Start غير صحيح",IF(NOT(OR($I4640="",$I4640="NR",$O4640&gt;0)),"✖ Current غير صحيح",IF(NOT(IF(ISNUMBER($J4640),AND($J4640&gt;=0,$J4640=INT($J4640)),FALSE())),"✖ العدد يجب أن يكون صحيحًا ≥ 0",IF(AND($F4640="Baseline",$H4640&lt;&gt;""),"⚠ Baseline: Start لا يدخل في التقدم",IF($K4640="No Start (attainment only)","ℹ تحصيل فقط (بدون Start)",IF($K4640="U – needs rule","ℹ حالة U تحتاج قاعدة معتمدة",IF($K4640="No result","ℹ بدون نتيجة (يُستبعد من التحصيل)","OK")))))))))))</f>
        <v/>
      </c>
      <c r="M4640" s="64" t="n">
        <f aca="false">IF($A4640="",0,IFERROR(MATCH($A4640,Classes!$A$6:$A$420,0),0))</f>
        <v>0</v>
      </c>
      <c r="N4640" s="64" t="n">
        <f aca="false">IF($H4640="",0,IFERROR(MATCH($H4640,GradeList,0),0))</f>
        <v>0</v>
      </c>
      <c r="O4640" s="64" t="n">
        <f aca="false">IF(OR($I4640="",$I4640="NR"),0,IFERROR(MATCH($I4640,GradeList,0),0))</f>
        <v>0</v>
      </c>
      <c r="P4640" s="64" t="n">
        <f aca="false">IF(AND($M4640&gt;0,ISNUMBER(MATCH($F4640,Lists!$A$2:$A$5,0)),ISNUMBER(MATCH($G4640,Lists!$B$2:$B$7,0)),OR($H4640="",$N4640&gt;0),OR($I4640="",$I4640="NR",$O4640&gt;0),IF(ISNUMBER($J4640),AND($J4640&gt;=0,$J4640=INT($J4640)),FALSE())),$J4640,0)</f>
        <v>0</v>
      </c>
      <c r="Q4640" s="64" t="n">
        <f aca="false">IF(AND($P4640&gt;0,$O4640&gt;0),$P4640,0)</f>
        <v>0</v>
      </c>
      <c r="R4640" s="64" t="n">
        <f aca="false">IF(AND($Q4640&gt;0,$O4640&gt;=AtRank),$Q4640,0)</f>
        <v>0</v>
      </c>
      <c r="S4640" s="64" t="n">
        <f aca="false">IF(AND($Q4640&gt;0,$O4640&gt;=AboveRank),$Q4640,0)</f>
        <v>0</v>
      </c>
      <c r="T4640" s="64" t="n">
        <f aca="false">IF($K4640="Less",$P4640,0)</f>
        <v>0</v>
      </c>
      <c r="U4640" s="64" t="n">
        <f aca="false">IF($K4640="Expected",$P4640,0)</f>
        <v>0</v>
      </c>
      <c r="V4640" s="64" t="n">
        <f aca="false">IF($K4640="Better",$P4640,0)</f>
        <v>0</v>
      </c>
      <c r="W4640" s="64" t="n">
        <f aca="false">IF($K4640="U – needs rule",$P4640,0)</f>
        <v>0</v>
      </c>
      <c r="X4640" s="64" t="n">
        <f aca="false">IF($K4640="No Start (attainment only)",$P4640,0)</f>
        <v>0</v>
      </c>
    </row>
    <row r="4641" customFormat="false" ht="15" hidden="false" customHeight="false" outlineLevel="0" collapsed="false">
      <c r="A4641" s="60"/>
      <c r="B4641" s="61" t="str">
        <f aca="false">IF($M4641=0,"",INDEX(Classes!$E$6:$E$420,$M4641))</f>
        <v/>
      </c>
      <c r="C4641" s="62" t="str">
        <f aca="false">IF($M4641=0,"",INDEX(Classes!$H$6:$H$420,$M4641))</f>
        <v/>
      </c>
      <c r="D4641" s="61" t="str">
        <f aca="false">IF($M4641=0,"",INDEX(Classes!$B$6:$B$420,$M4641))</f>
        <v/>
      </c>
      <c r="E4641" s="61" t="str">
        <f aca="false">IF($M4641=0,"",INDEX(Classes!$C$6:$C$420,$M4641))</f>
        <v/>
      </c>
      <c r="F4641" s="63"/>
      <c r="G4641" s="63"/>
      <c r="H4641" s="60"/>
      <c r="I4641" s="60"/>
      <c r="J4641" s="63"/>
      <c r="K4641" s="61" t="str">
        <f aca="false">IF($P4641=0,"",IF($F4641="Baseline","— Baseline",IF($O4641=0,"No result",IF($N4641=0,"No Start (attainment only)",IF(OR($N4641=1,$O4641=1),"U – needs rule",INDEX(MxBody,MATCH($I4641,MxCurr,0),MATCH($H4641,MxStart,0)))))))</f>
        <v/>
      </c>
      <c r="L4641" s="62" t="str">
        <f aca="false">IF(COUNTA($A4641,$F4641,$G4641,$H4641,$I4641,$J4641)=0,"",IF($M4641=0,"✖ كود الصف غير موجود",IF(ISNA(MATCH($F4641,Lists!$A$2:$A$5,0)),"✖ الفترة غير صحيحة",IF(ISNA(MATCH($G4641,Lists!$B$2:$B$7,0)),"✖ المجموعة غير صحيحة",IF(NOT(OR($H4641="",$N4641&gt;0)),"✖ Start غير صحيح",IF(NOT(OR($I4641="",$I4641="NR",$O4641&gt;0)),"✖ Current غير صحيح",IF(NOT(IF(ISNUMBER($J4641),AND($J4641&gt;=0,$J4641=INT($J4641)),FALSE())),"✖ العدد يجب أن يكون صحيحًا ≥ 0",IF(AND($F4641="Baseline",$H4641&lt;&gt;""),"⚠ Baseline: Start لا يدخل في التقدم",IF($K4641="No Start (attainment only)","ℹ تحصيل فقط (بدون Start)",IF($K4641="U – needs rule","ℹ حالة U تحتاج قاعدة معتمدة",IF($K4641="No result","ℹ بدون نتيجة (يُستبعد من التحصيل)","OK")))))))))))</f>
        <v/>
      </c>
      <c r="M4641" s="64" t="n">
        <f aca="false">IF($A4641="",0,IFERROR(MATCH($A4641,Classes!$A$6:$A$420,0),0))</f>
        <v>0</v>
      </c>
      <c r="N4641" s="64" t="n">
        <f aca="false">IF($H4641="",0,IFERROR(MATCH($H4641,GradeList,0),0))</f>
        <v>0</v>
      </c>
      <c r="O4641" s="64" t="n">
        <f aca="false">IF(OR($I4641="",$I4641="NR"),0,IFERROR(MATCH($I4641,GradeList,0),0))</f>
        <v>0</v>
      </c>
      <c r="P4641" s="64" t="n">
        <f aca="false">IF(AND($M4641&gt;0,ISNUMBER(MATCH($F4641,Lists!$A$2:$A$5,0)),ISNUMBER(MATCH($G4641,Lists!$B$2:$B$7,0)),OR($H4641="",$N4641&gt;0),OR($I4641="",$I4641="NR",$O4641&gt;0),IF(ISNUMBER($J4641),AND($J4641&gt;=0,$J4641=INT($J4641)),FALSE())),$J4641,0)</f>
        <v>0</v>
      </c>
      <c r="Q4641" s="64" t="n">
        <f aca="false">IF(AND($P4641&gt;0,$O4641&gt;0),$P4641,0)</f>
        <v>0</v>
      </c>
      <c r="R4641" s="64" t="n">
        <f aca="false">IF(AND($Q4641&gt;0,$O4641&gt;=AtRank),$Q4641,0)</f>
        <v>0</v>
      </c>
      <c r="S4641" s="64" t="n">
        <f aca="false">IF(AND($Q4641&gt;0,$O4641&gt;=AboveRank),$Q4641,0)</f>
        <v>0</v>
      </c>
      <c r="T4641" s="64" t="n">
        <f aca="false">IF($K4641="Less",$P4641,0)</f>
        <v>0</v>
      </c>
      <c r="U4641" s="64" t="n">
        <f aca="false">IF($K4641="Expected",$P4641,0)</f>
        <v>0</v>
      </c>
      <c r="V4641" s="64" t="n">
        <f aca="false">IF($K4641="Better",$P4641,0)</f>
        <v>0</v>
      </c>
      <c r="W4641" s="64" t="n">
        <f aca="false">IF($K4641="U – needs rule",$P4641,0)</f>
        <v>0</v>
      </c>
      <c r="X4641" s="64" t="n">
        <f aca="false">IF($K4641="No Start (attainment only)",$P4641,0)</f>
        <v>0</v>
      </c>
    </row>
    <row r="4642" customFormat="false" ht="15" hidden="false" customHeight="false" outlineLevel="0" collapsed="false">
      <c r="A4642" s="60"/>
      <c r="B4642" s="61" t="str">
        <f aca="false">IF($M4642=0,"",INDEX(Classes!$E$6:$E$420,$M4642))</f>
        <v/>
      </c>
      <c r="C4642" s="62" t="str">
        <f aca="false">IF($M4642=0,"",INDEX(Classes!$H$6:$H$420,$M4642))</f>
        <v/>
      </c>
      <c r="D4642" s="61" t="str">
        <f aca="false">IF($M4642=0,"",INDEX(Classes!$B$6:$B$420,$M4642))</f>
        <v/>
      </c>
      <c r="E4642" s="61" t="str">
        <f aca="false">IF($M4642=0,"",INDEX(Classes!$C$6:$C$420,$M4642))</f>
        <v/>
      </c>
      <c r="F4642" s="63"/>
      <c r="G4642" s="63"/>
      <c r="H4642" s="60"/>
      <c r="I4642" s="60"/>
      <c r="J4642" s="63"/>
      <c r="K4642" s="61" t="str">
        <f aca="false">IF($P4642=0,"",IF($F4642="Baseline","— Baseline",IF($O4642=0,"No result",IF($N4642=0,"No Start (attainment only)",IF(OR($N4642=1,$O4642=1),"U – needs rule",INDEX(MxBody,MATCH($I4642,MxCurr,0),MATCH($H4642,MxStart,0)))))))</f>
        <v/>
      </c>
      <c r="L4642" s="62" t="str">
        <f aca="false">IF(COUNTA($A4642,$F4642,$G4642,$H4642,$I4642,$J4642)=0,"",IF($M4642=0,"✖ كود الصف غير موجود",IF(ISNA(MATCH($F4642,Lists!$A$2:$A$5,0)),"✖ الفترة غير صحيحة",IF(ISNA(MATCH($G4642,Lists!$B$2:$B$7,0)),"✖ المجموعة غير صحيحة",IF(NOT(OR($H4642="",$N4642&gt;0)),"✖ Start غير صحيح",IF(NOT(OR($I4642="",$I4642="NR",$O4642&gt;0)),"✖ Current غير صحيح",IF(NOT(IF(ISNUMBER($J4642),AND($J4642&gt;=0,$J4642=INT($J4642)),FALSE())),"✖ العدد يجب أن يكون صحيحًا ≥ 0",IF(AND($F4642="Baseline",$H4642&lt;&gt;""),"⚠ Baseline: Start لا يدخل في التقدم",IF($K4642="No Start (attainment only)","ℹ تحصيل فقط (بدون Start)",IF($K4642="U – needs rule","ℹ حالة U تحتاج قاعدة معتمدة",IF($K4642="No result","ℹ بدون نتيجة (يُستبعد من التحصيل)","OK")))))))))))</f>
        <v/>
      </c>
      <c r="M4642" s="64" t="n">
        <f aca="false">IF($A4642="",0,IFERROR(MATCH($A4642,Classes!$A$6:$A$420,0),0))</f>
        <v>0</v>
      </c>
      <c r="N4642" s="64" t="n">
        <f aca="false">IF($H4642="",0,IFERROR(MATCH($H4642,GradeList,0),0))</f>
        <v>0</v>
      </c>
      <c r="O4642" s="64" t="n">
        <f aca="false">IF(OR($I4642="",$I4642="NR"),0,IFERROR(MATCH($I4642,GradeList,0),0))</f>
        <v>0</v>
      </c>
      <c r="P4642" s="64" t="n">
        <f aca="false">IF(AND($M4642&gt;0,ISNUMBER(MATCH($F4642,Lists!$A$2:$A$5,0)),ISNUMBER(MATCH($G4642,Lists!$B$2:$B$7,0)),OR($H4642="",$N4642&gt;0),OR($I4642="",$I4642="NR",$O4642&gt;0),IF(ISNUMBER($J4642),AND($J4642&gt;=0,$J4642=INT($J4642)),FALSE())),$J4642,0)</f>
        <v>0</v>
      </c>
      <c r="Q4642" s="64" t="n">
        <f aca="false">IF(AND($P4642&gt;0,$O4642&gt;0),$P4642,0)</f>
        <v>0</v>
      </c>
      <c r="R4642" s="64" t="n">
        <f aca="false">IF(AND($Q4642&gt;0,$O4642&gt;=AtRank),$Q4642,0)</f>
        <v>0</v>
      </c>
      <c r="S4642" s="64" t="n">
        <f aca="false">IF(AND($Q4642&gt;0,$O4642&gt;=AboveRank),$Q4642,0)</f>
        <v>0</v>
      </c>
      <c r="T4642" s="64" t="n">
        <f aca="false">IF($K4642="Less",$P4642,0)</f>
        <v>0</v>
      </c>
      <c r="U4642" s="64" t="n">
        <f aca="false">IF($K4642="Expected",$P4642,0)</f>
        <v>0</v>
      </c>
      <c r="V4642" s="64" t="n">
        <f aca="false">IF($K4642="Better",$P4642,0)</f>
        <v>0</v>
      </c>
      <c r="W4642" s="64" t="n">
        <f aca="false">IF($K4642="U – needs rule",$P4642,0)</f>
        <v>0</v>
      </c>
      <c r="X4642" s="64" t="n">
        <f aca="false">IF($K4642="No Start (attainment only)",$P4642,0)</f>
        <v>0</v>
      </c>
    </row>
    <row r="4643" customFormat="false" ht="15" hidden="false" customHeight="false" outlineLevel="0" collapsed="false">
      <c r="A4643" s="60"/>
      <c r="B4643" s="61" t="str">
        <f aca="false">IF($M4643=0,"",INDEX(Classes!$E$6:$E$420,$M4643))</f>
        <v/>
      </c>
      <c r="C4643" s="62" t="str">
        <f aca="false">IF($M4643=0,"",INDEX(Classes!$H$6:$H$420,$M4643))</f>
        <v/>
      </c>
      <c r="D4643" s="61" t="str">
        <f aca="false">IF($M4643=0,"",INDEX(Classes!$B$6:$B$420,$M4643))</f>
        <v/>
      </c>
      <c r="E4643" s="61" t="str">
        <f aca="false">IF($M4643=0,"",INDEX(Classes!$C$6:$C$420,$M4643))</f>
        <v/>
      </c>
      <c r="F4643" s="63"/>
      <c r="G4643" s="63"/>
      <c r="H4643" s="60"/>
      <c r="I4643" s="60"/>
      <c r="J4643" s="63"/>
      <c r="K4643" s="61" t="str">
        <f aca="false">IF($P4643=0,"",IF($F4643="Baseline","— Baseline",IF($O4643=0,"No result",IF($N4643=0,"No Start (attainment only)",IF(OR($N4643=1,$O4643=1),"U – needs rule",INDEX(MxBody,MATCH($I4643,MxCurr,0),MATCH($H4643,MxStart,0)))))))</f>
        <v/>
      </c>
      <c r="L4643" s="62" t="str">
        <f aca="false">IF(COUNTA($A4643,$F4643,$G4643,$H4643,$I4643,$J4643)=0,"",IF($M4643=0,"✖ كود الصف غير موجود",IF(ISNA(MATCH($F4643,Lists!$A$2:$A$5,0)),"✖ الفترة غير صحيحة",IF(ISNA(MATCH($G4643,Lists!$B$2:$B$7,0)),"✖ المجموعة غير صحيحة",IF(NOT(OR($H4643="",$N4643&gt;0)),"✖ Start غير صحيح",IF(NOT(OR($I4643="",$I4643="NR",$O4643&gt;0)),"✖ Current غير صحيح",IF(NOT(IF(ISNUMBER($J4643),AND($J4643&gt;=0,$J4643=INT($J4643)),FALSE())),"✖ العدد يجب أن يكون صحيحًا ≥ 0",IF(AND($F4643="Baseline",$H4643&lt;&gt;""),"⚠ Baseline: Start لا يدخل في التقدم",IF($K4643="No Start (attainment only)","ℹ تحصيل فقط (بدون Start)",IF($K4643="U – needs rule","ℹ حالة U تحتاج قاعدة معتمدة",IF($K4643="No result","ℹ بدون نتيجة (يُستبعد من التحصيل)","OK")))))))))))</f>
        <v/>
      </c>
      <c r="M4643" s="64" t="n">
        <f aca="false">IF($A4643="",0,IFERROR(MATCH($A4643,Classes!$A$6:$A$420,0),0))</f>
        <v>0</v>
      </c>
      <c r="N4643" s="64" t="n">
        <f aca="false">IF($H4643="",0,IFERROR(MATCH($H4643,GradeList,0),0))</f>
        <v>0</v>
      </c>
      <c r="O4643" s="64" t="n">
        <f aca="false">IF(OR($I4643="",$I4643="NR"),0,IFERROR(MATCH($I4643,GradeList,0),0))</f>
        <v>0</v>
      </c>
      <c r="P4643" s="64" t="n">
        <f aca="false">IF(AND($M4643&gt;0,ISNUMBER(MATCH($F4643,Lists!$A$2:$A$5,0)),ISNUMBER(MATCH($G4643,Lists!$B$2:$B$7,0)),OR($H4643="",$N4643&gt;0),OR($I4643="",$I4643="NR",$O4643&gt;0),IF(ISNUMBER($J4643),AND($J4643&gt;=0,$J4643=INT($J4643)),FALSE())),$J4643,0)</f>
        <v>0</v>
      </c>
      <c r="Q4643" s="64" t="n">
        <f aca="false">IF(AND($P4643&gt;0,$O4643&gt;0),$P4643,0)</f>
        <v>0</v>
      </c>
      <c r="R4643" s="64" t="n">
        <f aca="false">IF(AND($Q4643&gt;0,$O4643&gt;=AtRank),$Q4643,0)</f>
        <v>0</v>
      </c>
      <c r="S4643" s="64" t="n">
        <f aca="false">IF(AND($Q4643&gt;0,$O4643&gt;=AboveRank),$Q4643,0)</f>
        <v>0</v>
      </c>
      <c r="T4643" s="64" t="n">
        <f aca="false">IF($K4643="Less",$P4643,0)</f>
        <v>0</v>
      </c>
      <c r="U4643" s="64" t="n">
        <f aca="false">IF($K4643="Expected",$P4643,0)</f>
        <v>0</v>
      </c>
      <c r="V4643" s="64" t="n">
        <f aca="false">IF($K4643="Better",$P4643,0)</f>
        <v>0</v>
      </c>
      <c r="W4643" s="64" t="n">
        <f aca="false">IF($K4643="U – needs rule",$P4643,0)</f>
        <v>0</v>
      </c>
      <c r="X4643" s="64" t="n">
        <f aca="false">IF($K4643="No Start (attainment only)",$P4643,0)</f>
        <v>0</v>
      </c>
    </row>
    <row r="4644" customFormat="false" ht="15" hidden="false" customHeight="false" outlineLevel="0" collapsed="false">
      <c r="A4644" s="60"/>
      <c r="B4644" s="61" t="str">
        <f aca="false">IF($M4644=0,"",INDEX(Classes!$E$6:$E$420,$M4644))</f>
        <v/>
      </c>
      <c r="C4644" s="62" t="str">
        <f aca="false">IF($M4644=0,"",INDEX(Classes!$H$6:$H$420,$M4644))</f>
        <v/>
      </c>
      <c r="D4644" s="61" t="str">
        <f aca="false">IF($M4644=0,"",INDEX(Classes!$B$6:$B$420,$M4644))</f>
        <v/>
      </c>
      <c r="E4644" s="61" t="str">
        <f aca="false">IF($M4644=0,"",INDEX(Classes!$C$6:$C$420,$M4644))</f>
        <v/>
      </c>
      <c r="F4644" s="63"/>
      <c r="G4644" s="63"/>
      <c r="H4644" s="60"/>
      <c r="I4644" s="60"/>
      <c r="J4644" s="63"/>
      <c r="K4644" s="61" t="str">
        <f aca="false">IF($P4644=0,"",IF($F4644="Baseline","— Baseline",IF($O4644=0,"No result",IF($N4644=0,"No Start (attainment only)",IF(OR($N4644=1,$O4644=1),"U – needs rule",INDEX(MxBody,MATCH($I4644,MxCurr,0),MATCH($H4644,MxStart,0)))))))</f>
        <v/>
      </c>
      <c r="L4644" s="62" t="str">
        <f aca="false">IF(COUNTA($A4644,$F4644,$G4644,$H4644,$I4644,$J4644)=0,"",IF($M4644=0,"✖ كود الصف غير موجود",IF(ISNA(MATCH($F4644,Lists!$A$2:$A$5,0)),"✖ الفترة غير صحيحة",IF(ISNA(MATCH($G4644,Lists!$B$2:$B$7,0)),"✖ المجموعة غير صحيحة",IF(NOT(OR($H4644="",$N4644&gt;0)),"✖ Start غير صحيح",IF(NOT(OR($I4644="",$I4644="NR",$O4644&gt;0)),"✖ Current غير صحيح",IF(NOT(IF(ISNUMBER($J4644),AND($J4644&gt;=0,$J4644=INT($J4644)),FALSE())),"✖ العدد يجب أن يكون صحيحًا ≥ 0",IF(AND($F4644="Baseline",$H4644&lt;&gt;""),"⚠ Baseline: Start لا يدخل في التقدم",IF($K4644="No Start (attainment only)","ℹ تحصيل فقط (بدون Start)",IF($K4644="U – needs rule","ℹ حالة U تحتاج قاعدة معتمدة",IF($K4644="No result","ℹ بدون نتيجة (يُستبعد من التحصيل)","OK")))))))))))</f>
        <v/>
      </c>
      <c r="M4644" s="64" t="n">
        <f aca="false">IF($A4644="",0,IFERROR(MATCH($A4644,Classes!$A$6:$A$420,0),0))</f>
        <v>0</v>
      </c>
      <c r="N4644" s="64" t="n">
        <f aca="false">IF($H4644="",0,IFERROR(MATCH($H4644,GradeList,0),0))</f>
        <v>0</v>
      </c>
      <c r="O4644" s="64" t="n">
        <f aca="false">IF(OR($I4644="",$I4644="NR"),0,IFERROR(MATCH($I4644,GradeList,0),0))</f>
        <v>0</v>
      </c>
      <c r="P4644" s="64" t="n">
        <f aca="false">IF(AND($M4644&gt;0,ISNUMBER(MATCH($F4644,Lists!$A$2:$A$5,0)),ISNUMBER(MATCH($G4644,Lists!$B$2:$B$7,0)),OR($H4644="",$N4644&gt;0),OR($I4644="",$I4644="NR",$O4644&gt;0),IF(ISNUMBER($J4644),AND($J4644&gt;=0,$J4644=INT($J4644)),FALSE())),$J4644,0)</f>
        <v>0</v>
      </c>
      <c r="Q4644" s="64" t="n">
        <f aca="false">IF(AND($P4644&gt;0,$O4644&gt;0),$P4644,0)</f>
        <v>0</v>
      </c>
      <c r="R4644" s="64" t="n">
        <f aca="false">IF(AND($Q4644&gt;0,$O4644&gt;=AtRank),$Q4644,0)</f>
        <v>0</v>
      </c>
      <c r="S4644" s="64" t="n">
        <f aca="false">IF(AND($Q4644&gt;0,$O4644&gt;=AboveRank),$Q4644,0)</f>
        <v>0</v>
      </c>
      <c r="T4644" s="64" t="n">
        <f aca="false">IF($K4644="Less",$P4644,0)</f>
        <v>0</v>
      </c>
      <c r="U4644" s="64" t="n">
        <f aca="false">IF($K4644="Expected",$P4644,0)</f>
        <v>0</v>
      </c>
      <c r="V4644" s="64" t="n">
        <f aca="false">IF($K4644="Better",$P4644,0)</f>
        <v>0</v>
      </c>
      <c r="W4644" s="64" t="n">
        <f aca="false">IF($K4644="U – needs rule",$P4644,0)</f>
        <v>0</v>
      </c>
      <c r="X4644" s="64" t="n">
        <f aca="false">IF($K4644="No Start (attainment only)",$P4644,0)</f>
        <v>0</v>
      </c>
    </row>
    <row r="4645" customFormat="false" ht="15" hidden="false" customHeight="false" outlineLevel="0" collapsed="false">
      <c r="A4645" s="60"/>
      <c r="B4645" s="61" t="str">
        <f aca="false">IF($M4645=0,"",INDEX(Classes!$E$6:$E$420,$M4645))</f>
        <v/>
      </c>
      <c r="C4645" s="62" t="str">
        <f aca="false">IF($M4645=0,"",INDEX(Classes!$H$6:$H$420,$M4645))</f>
        <v/>
      </c>
      <c r="D4645" s="61" t="str">
        <f aca="false">IF($M4645=0,"",INDEX(Classes!$B$6:$B$420,$M4645))</f>
        <v/>
      </c>
      <c r="E4645" s="61" t="str">
        <f aca="false">IF($M4645=0,"",INDEX(Classes!$C$6:$C$420,$M4645))</f>
        <v/>
      </c>
      <c r="F4645" s="63"/>
      <c r="G4645" s="63"/>
      <c r="H4645" s="60"/>
      <c r="I4645" s="60"/>
      <c r="J4645" s="63"/>
      <c r="K4645" s="61" t="str">
        <f aca="false">IF($P4645=0,"",IF($F4645="Baseline","— Baseline",IF($O4645=0,"No result",IF($N4645=0,"No Start (attainment only)",IF(OR($N4645=1,$O4645=1),"U – needs rule",INDEX(MxBody,MATCH($I4645,MxCurr,0),MATCH($H4645,MxStart,0)))))))</f>
        <v/>
      </c>
      <c r="L4645" s="62" t="str">
        <f aca="false">IF(COUNTA($A4645,$F4645,$G4645,$H4645,$I4645,$J4645)=0,"",IF($M4645=0,"✖ كود الصف غير موجود",IF(ISNA(MATCH($F4645,Lists!$A$2:$A$5,0)),"✖ الفترة غير صحيحة",IF(ISNA(MATCH($G4645,Lists!$B$2:$B$7,0)),"✖ المجموعة غير صحيحة",IF(NOT(OR($H4645="",$N4645&gt;0)),"✖ Start غير صحيح",IF(NOT(OR($I4645="",$I4645="NR",$O4645&gt;0)),"✖ Current غير صحيح",IF(NOT(IF(ISNUMBER($J4645),AND($J4645&gt;=0,$J4645=INT($J4645)),FALSE())),"✖ العدد يجب أن يكون صحيحًا ≥ 0",IF(AND($F4645="Baseline",$H4645&lt;&gt;""),"⚠ Baseline: Start لا يدخل في التقدم",IF($K4645="No Start (attainment only)","ℹ تحصيل فقط (بدون Start)",IF($K4645="U – needs rule","ℹ حالة U تحتاج قاعدة معتمدة",IF($K4645="No result","ℹ بدون نتيجة (يُستبعد من التحصيل)","OK")))))))))))</f>
        <v/>
      </c>
      <c r="M4645" s="64" t="n">
        <f aca="false">IF($A4645="",0,IFERROR(MATCH($A4645,Classes!$A$6:$A$420,0),0))</f>
        <v>0</v>
      </c>
      <c r="N4645" s="64" t="n">
        <f aca="false">IF($H4645="",0,IFERROR(MATCH($H4645,GradeList,0),0))</f>
        <v>0</v>
      </c>
      <c r="O4645" s="64" t="n">
        <f aca="false">IF(OR($I4645="",$I4645="NR"),0,IFERROR(MATCH($I4645,GradeList,0),0))</f>
        <v>0</v>
      </c>
      <c r="P4645" s="64" t="n">
        <f aca="false">IF(AND($M4645&gt;0,ISNUMBER(MATCH($F4645,Lists!$A$2:$A$5,0)),ISNUMBER(MATCH($G4645,Lists!$B$2:$B$7,0)),OR($H4645="",$N4645&gt;0),OR($I4645="",$I4645="NR",$O4645&gt;0),IF(ISNUMBER($J4645),AND($J4645&gt;=0,$J4645=INT($J4645)),FALSE())),$J4645,0)</f>
        <v>0</v>
      </c>
      <c r="Q4645" s="64" t="n">
        <f aca="false">IF(AND($P4645&gt;0,$O4645&gt;0),$P4645,0)</f>
        <v>0</v>
      </c>
      <c r="R4645" s="64" t="n">
        <f aca="false">IF(AND($Q4645&gt;0,$O4645&gt;=AtRank),$Q4645,0)</f>
        <v>0</v>
      </c>
      <c r="S4645" s="64" t="n">
        <f aca="false">IF(AND($Q4645&gt;0,$O4645&gt;=AboveRank),$Q4645,0)</f>
        <v>0</v>
      </c>
      <c r="T4645" s="64" t="n">
        <f aca="false">IF($K4645="Less",$P4645,0)</f>
        <v>0</v>
      </c>
      <c r="U4645" s="64" t="n">
        <f aca="false">IF($K4645="Expected",$P4645,0)</f>
        <v>0</v>
      </c>
      <c r="V4645" s="64" t="n">
        <f aca="false">IF($K4645="Better",$P4645,0)</f>
        <v>0</v>
      </c>
      <c r="W4645" s="64" t="n">
        <f aca="false">IF($K4645="U – needs rule",$P4645,0)</f>
        <v>0</v>
      </c>
      <c r="X4645" s="64" t="n">
        <f aca="false">IF($K4645="No Start (attainment only)",$P4645,0)</f>
        <v>0</v>
      </c>
    </row>
    <row r="4646" customFormat="false" ht="15" hidden="false" customHeight="false" outlineLevel="0" collapsed="false">
      <c r="A4646" s="60"/>
      <c r="B4646" s="61" t="str">
        <f aca="false">IF($M4646=0,"",INDEX(Classes!$E$6:$E$420,$M4646))</f>
        <v/>
      </c>
      <c r="C4646" s="62" t="str">
        <f aca="false">IF($M4646=0,"",INDEX(Classes!$H$6:$H$420,$M4646))</f>
        <v/>
      </c>
      <c r="D4646" s="61" t="str">
        <f aca="false">IF($M4646=0,"",INDEX(Classes!$B$6:$B$420,$M4646))</f>
        <v/>
      </c>
      <c r="E4646" s="61" t="str">
        <f aca="false">IF($M4646=0,"",INDEX(Classes!$C$6:$C$420,$M4646))</f>
        <v/>
      </c>
      <c r="F4646" s="63"/>
      <c r="G4646" s="63"/>
      <c r="H4646" s="60"/>
      <c r="I4646" s="60"/>
      <c r="J4646" s="63"/>
      <c r="K4646" s="61" t="str">
        <f aca="false">IF($P4646=0,"",IF($F4646="Baseline","— Baseline",IF($O4646=0,"No result",IF($N4646=0,"No Start (attainment only)",IF(OR($N4646=1,$O4646=1),"U – needs rule",INDEX(MxBody,MATCH($I4646,MxCurr,0),MATCH($H4646,MxStart,0)))))))</f>
        <v/>
      </c>
      <c r="L4646" s="62" t="str">
        <f aca="false">IF(COUNTA($A4646,$F4646,$G4646,$H4646,$I4646,$J4646)=0,"",IF($M4646=0,"✖ كود الصف غير موجود",IF(ISNA(MATCH($F4646,Lists!$A$2:$A$5,0)),"✖ الفترة غير صحيحة",IF(ISNA(MATCH($G4646,Lists!$B$2:$B$7,0)),"✖ المجموعة غير صحيحة",IF(NOT(OR($H4646="",$N4646&gt;0)),"✖ Start غير صحيح",IF(NOT(OR($I4646="",$I4646="NR",$O4646&gt;0)),"✖ Current غير صحيح",IF(NOT(IF(ISNUMBER($J4646),AND($J4646&gt;=0,$J4646=INT($J4646)),FALSE())),"✖ العدد يجب أن يكون صحيحًا ≥ 0",IF(AND($F4646="Baseline",$H4646&lt;&gt;""),"⚠ Baseline: Start لا يدخل في التقدم",IF($K4646="No Start (attainment only)","ℹ تحصيل فقط (بدون Start)",IF($K4646="U – needs rule","ℹ حالة U تحتاج قاعدة معتمدة",IF($K4646="No result","ℹ بدون نتيجة (يُستبعد من التحصيل)","OK")))))))))))</f>
        <v/>
      </c>
      <c r="M4646" s="64" t="n">
        <f aca="false">IF($A4646="",0,IFERROR(MATCH($A4646,Classes!$A$6:$A$420,0),0))</f>
        <v>0</v>
      </c>
      <c r="N4646" s="64" t="n">
        <f aca="false">IF($H4646="",0,IFERROR(MATCH($H4646,GradeList,0),0))</f>
        <v>0</v>
      </c>
      <c r="O4646" s="64" t="n">
        <f aca="false">IF(OR($I4646="",$I4646="NR"),0,IFERROR(MATCH($I4646,GradeList,0),0))</f>
        <v>0</v>
      </c>
      <c r="P4646" s="64" t="n">
        <f aca="false">IF(AND($M4646&gt;0,ISNUMBER(MATCH($F4646,Lists!$A$2:$A$5,0)),ISNUMBER(MATCH($G4646,Lists!$B$2:$B$7,0)),OR($H4646="",$N4646&gt;0),OR($I4646="",$I4646="NR",$O4646&gt;0),IF(ISNUMBER($J4646),AND($J4646&gt;=0,$J4646=INT($J4646)),FALSE())),$J4646,0)</f>
        <v>0</v>
      </c>
      <c r="Q4646" s="64" t="n">
        <f aca="false">IF(AND($P4646&gt;0,$O4646&gt;0),$P4646,0)</f>
        <v>0</v>
      </c>
      <c r="R4646" s="64" t="n">
        <f aca="false">IF(AND($Q4646&gt;0,$O4646&gt;=AtRank),$Q4646,0)</f>
        <v>0</v>
      </c>
      <c r="S4646" s="64" t="n">
        <f aca="false">IF(AND($Q4646&gt;0,$O4646&gt;=AboveRank),$Q4646,0)</f>
        <v>0</v>
      </c>
      <c r="T4646" s="64" t="n">
        <f aca="false">IF($K4646="Less",$P4646,0)</f>
        <v>0</v>
      </c>
      <c r="U4646" s="64" t="n">
        <f aca="false">IF($K4646="Expected",$P4646,0)</f>
        <v>0</v>
      </c>
      <c r="V4646" s="64" t="n">
        <f aca="false">IF($K4646="Better",$P4646,0)</f>
        <v>0</v>
      </c>
      <c r="W4646" s="64" t="n">
        <f aca="false">IF($K4646="U – needs rule",$P4646,0)</f>
        <v>0</v>
      </c>
      <c r="X4646" s="64" t="n">
        <f aca="false">IF($K4646="No Start (attainment only)",$P4646,0)</f>
        <v>0</v>
      </c>
    </row>
    <row r="4647" customFormat="false" ht="15" hidden="false" customHeight="false" outlineLevel="0" collapsed="false">
      <c r="A4647" s="60"/>
      <c r="B4647" s="61" t="str">
        <f aca="false">IF($M4647=0,"",INDEX(Classes!$E$6:$E$420,$M4647))</f>
        <v/>
      </c>
      <c r="C4647" s="62" t="str">
        <f aca="false">IF($M4647=0,"",INDEX(Classes!$H$6:$H$420,$M4647))</f>
        <v/>
      </c>
      <c r="D4647" s="61" t="str">
        <f aca="false">IF($M4647=0,"",INDEX(Classes!$B$6:$B$420,$M4647))</f>
        <v/>
      </c>
      <c r="E4647" s="61" t="str">
        <f aca="false">IF($M4647=0,"",INDEX(Classes!$C$6:$C$420,$M4647))</f>
        <v/>
      </c>
      <c r="F4647" s="63"/>
      <c r="G4647" s="63"/>
      <c r="H4647" s="60"/>
      <c r="I4647" s="60"/>
      <c r="J4647" s="63"/>
      <c r="K4647" s="61" t="str">
        <f aca="false">IF($P4647=0,"",IF($F4647="Baseline","— Baseline",IF($O4647=0,"No result",IF($N4647=0,"No Start (attainment only)",IF(OR($N4647=1,$O4647=1),"U – needs rule",INDEX(MxBody,MATCH($I4647,MxCurr,0),MATCH($H4647,MxStart,0)))))))</f>
        <v/>
      </c>
      <c r="L4647" s="62" t="str">
        <f aca="false">IF(COUNTA($A4647,$F4647,$G4647,$H4647,$I4647,$J4647)=0,"",IF($M4647=0,"✖ كود الصف غير موجود",IF(ISNA(MATCH($F4647,Lists!$A$2:$A$5,0)),"✖ الفترة غير صحيحة",IF(ISNA(MATCH($G4647,Lists!$B$2:$B$7,0)),"✖ المجموعة غير صحيحة",IF(NOT(OR($H4647="",$N4647&gt;0)),"✖ Start غير صحيح",IF(NOT(OR($I4647="",$I4647="NR",$O4647&gt;0)),"✖ Current غير صحيح",IF(NOT(IF(ISNUMBER($J4647),AND($J4647&gt;=0,$J4647=INT($J4647)),FALSE())),"✖ العدد يجب أن يكون صحيحًا ≥ 0",IF(AND($F4647="Baseline",$H4647&lt;&gt;""),"⚠ Baseline: Start لا يدخل في التقدم",IF($K4647="No Start (attainment only)","ℹ تحصيل فقط (بدون Start)",IF($K4647="U – needs rule","ℹ حالة U تحتاج قاعدة معتمدة",IF($K4647="No result","ℹ بدون نتيجة (يُستبعد من التحصيل)","OK")))))))))))</f>
        <v/>
      </c>
      <c r="M4647" s="64" t="n">
        <f aca="false">IF($A4647="",0,IFERROR(MATCH($A4647,Classes!$A$6:$A$420,0),0))</f>
        <v>0</v>
      </c>
      <c r="N4647" s="64" t="n">
        <f aca="false">IF($H4647="",0,IFERROR(MATCH($H4647,GradeList,0),0))</f>
        <v>0</v>
      </c>
      <c r="O4647" s="64" t="n">
        <f aca="false">IF(OR($I4647="",$I4647="NR"),0,IFERROR(MATCH($I4647,GradeList,0),0))</f>
        <v>0</v>
      </c>
      <c r="P4647" s="64" t="n">
        <f aca="false">IF(AND($M4647&gt;0,ISNUMBER(MATCH($F4647,Lists!$A$2:$A$5,0)),ISNUMBER(MATCH($G4647,Lists!$B$2:$B$7,0)),OR($H4647="",$N4647&gt;0),OR($I4647="",$I4647="NR",$O4647&gt;0),IF(ISNUMBER($J4647),AND($J4647&gt;=0,$J4647=INT($J4647)),FALSE())),$J4647,0)</f>
        <v>0</v>
      </c>
      <c r="Q4647" s="64" t="n">
        <f aca="false">IF(AND($P4647&gt;0,$O4647&gt;0),$P4647,0)</f>
        <v>0</v>
      </c>
      <c r="R4647" s="64" t="n">
        <f aca="false">IF(AND($Q4647&gt;0,$O4647&gt;=AtRank),$Q4647,0)</f>
        <v>0</v>
      </c>
      <c r="S4647" s="64" t="n">
        <f aca="false">IF(AND($Q4647&gt;0,$O4647&gt;=AboveRank),$Q4647,0)</f>
        <v>0</v>
      </c>
      <c r="T4647" s="64" t="n">
        <f aca="false">IF($K4647="Less",$P4647,0)</f>
        <v>0</v>
      </c>
      <c r="U4647" s="64" t="n">
        <f aca="false">IF($K4647="Expected",$P4647,0)</f>
        <v>0</v>
      </c>
      <c r="V4647" s="64" t="n">
        <f aca="false">IF($K4647="Better",$P4647,0)</f>
        <v>0</v>
      </c>
      <c r="W4647" s="64" t="n">
        <f aca="false">IF($K4647="U – needs rule",$P4647,0)</f>
        <v>0</v>
      </c>
      <c r="X4647" s="64" t="n">
        <f aca="false">IF($K4647="No Start (attainment only)",$P4647,0)</f>
        <v>0</v>
      </c>
    </row>
    <row r="4648" customFormat="false" ht="15" hidden="false" customHeight="false" outlineLevel="0" collapsed="false">
      <c r="A4648" s="60"/>
      <c r="B4648" s="61" t="str">
        <f aca="false">IF($M4648=0,"",INDEX(Classes!$E$6:$E$420,$M4648))</f>
        <v/>
      </c>
      <c r="C4648" s="62" t="str">
        <f aca="false">IF($M4648=0,"",INDEX(Classes!$H$6:$H$420,$M4648))</f>
        <v/>
      </c>
      <c r="D4648" s="61" t="str">
        <f aca="false">IF($M4648=0,"",INDEX(Classes!$B$6:$B$420,$M4648))</f>
        <v/>
      </c>
      <c r="E4648" s="61" t="str">
        <f aca="false">IF($M4648=0,"",INDEX(Classes!$C$6:$C$420,$M4648))</f>
        <v/>
      </c>
      <c r="F4648" s="63"/>
      <c r="G4648" s="63"/>
      <c r="H4648" s="60"/>
      <c r="I4648" s="60"/>
      <c r="J4648" s="63"/>
      <c r="K4648" s="61" t="str">
        <f aca="false">IF($P4648=0,"",IF($F4648="Baseline","— Baseline",IF($O4648=0,"No result",IF($N4648=0,"No Start (attainment only)",IF(OR($N4648=1,$O4648=1),"U – needs rule",INDEX(MxBody,MATCH($I4648,MxCurr,0),MATCH($H4648,MxStart,0)))))))</f>
        <v/>
      </c>
      <c r="L4648" s="62" t="str">
        <f aca="false">IF(COUNTA($A4648,$F4648,$G4648,$H4648,$I4648,$J4648)=0,"",IF($M4648=0,"✖ كود الصف غير موجود",IF(ISNA(MATCH($F4648,Lists!$A$2:$A$5,0)),"✖ الفترة غير صحيحة",IF(ISNA(MATCH($G4648,Lists!$B$2:$B$7,0)),"✖ المجموعة غير صحيحة",IF(NOT(OR($H4648="",$N4648&gt;0)),"✖ Start غير صحيح",IF(NOT(OR($I4648="",$I4648="NR",$O4648&gt;0)),"✖ Current غير صحيح",IF(NOT(IF(ISNUMBER($J4648),AND($J4648&gt;=0,$J4648=INT($J4648)),FALSE())),"✖ العدد يجب أن يكون صحيحًا ≥ 0",IF(AND($F4648="Baseline",$H4648&lt;&gt;""),"⚠ Baseline: Start لا يدخل في التقدم",IF($K4648="No Start (attainment only)","ℹ تحصيل فقط (بدون Start)",IF($K4648="U – needs rule","ℹ حالة U تحتاج قاعدة معتمدة",IF($K4648="No result","ℹ بدون نتيجة (يُستبعد من التحصيل)","OK")))))))))))</f>
        <v/>
      </c>
      <c r="M4648" s="64" t="n">
        <f aca="false">IF($A4648="",0,IFERROR(MATCH($A4648,Classes!$A$6:$A$420,0),0))</f>
        <v>0</v>
      </c>
      <c r="N4648" s="64" t="n">
        <f aca="false">IF($H4648="",0,IFERROR(MATCH($H4648,GradeList,0),0))</f>
        <v>0</v>
      </c>
      <c r="O4648" s="64" t="n">
        <f aca="false">IF(OR($I4648="",$I4648="NR"),0,IFERROR(MATCH($I4648,GradeList,0),0))</f>
        <v>0</v>
      </c>
      <c r="P4648" s="64" t="n">
        <f aca="false">IF(AND($M4648&gt;0,ISNUMBER(MATCH($F4648,Lists!$A$2:$A$5,0)),ISNUMBER(MATCH($G4648,Lists!$B$2:$B$7,0)),OR($H4648="",$N4648&gt;0),OR($I4648="",$I4648="NR",$O4648&gt;0),IF(ISNUMBER($J4648),AND($J4648&gt;=0,$J4648=INT($J4648)),FALSE())),$J4648,0)</f>
        <v>0</v>
      </c>
      <c r="Q4648" s="64" t="n">
        <f aca="false">IF(AND($P4648&gt;0,$O4648&gt;0),$P4648,0)</f>
        <v>0</v>
      </c>
      <c r="R4648" s="64" t="n">
        <f aca="false">IF(AND($Q4648&gt;0,$O4648&gt;=AtRank),$Q4648,0)</f>
        <v>0</v>
      </c>
      <c r="S4648" s="64" t="n">
        <f aca="false">IF(AND($Q4648&gt;0,$O4648&gt;=AboveRank),$Q4648,0)</f>
        <v>0</v>
      </c>
      <c r="T4648" s="64" t="n">
        <f aca="false">IF($K4648="Less",$P4648,0)</f>
        <v>0</v>
      </c>
      <c r="U4648" s="64" t="n">
        <f aca="false">IF($K4648="Expected",$P4648,0)</f>
        <v>0</v>
      </c>
      <c r="V4648" s="64" t="n">
        <f aca="false">IF($K4648="Better",$P4648,0)</f>
        <v>0</v>
      </c>
      <c r="W4648" s="64" t="n">
        <f aca="false">IF($K4648="U – needs rule",$P4648,0)</f>
        <v>0</v>
      </c>
      <c r="X4648" s="64" t="n">
        <f aca="false">IF($K4648="No Start (attainment only)",$P4648,0)</f>
        <v>0</v>
      </c>
    </row>
    <row r="4649" customFormat="false" ht="15" hidden="false" customHeight="false" outlineLevel="0" collapsed="false">
      <c r="A4649" s="60"/>
      <c r="B4649" s="61" t="str">
        <f aca="false">IF($M4649=0,"",INDEX(Classes!$E$6:$E$420,$M4649))</f>
        <v/>
      </c>
      <c r="C4649" s="62" t="str">
        <f aca="false">IF($M4649=0,"",INDEX(Classes!$H$6:$H$420,$M4649))</f>
        <v/>
      </c>
      <c r="D4649" s="61" t="str">
        <f aca="false">IF($M4649=0,"",INDEX(Classes!$B$6:$B$420,$M4649))</f>
        <v/>
      </c>
      <c r="E4649" s="61" t="str">
        <f aca="false">IF($M4649=0,"",INDEX(Classes!$C$6:$C$420,$M4649))</f>
        <v/>
      </c>
      <c r="F4649" s="63"/>
      <c r="G4649" s="63"/>
      <c r="H4649" s="60"/>
      <c r="I4649" s="60"/>
      <c r="J4649" s="63"/>
      <c r="K4649" s="61" t="str">
        <f aca="false">IF($P4649=0,"",IF($F4649="Baseline","— Baseline",IF($O4649=0,"No result",IF($N4649=0,"No Start (attainment only)",IF(OR($N4649=1,$O4649=1),"U – needs rule",INDEX(MxBody,MATCH($I4649,MxCurr,0),MATCH($H4649,MxStart,0)))))))</f>
        <v/>
      </c>
      <c r="L4649" s="62" t="str">
        <f aca="false">IF(COUNTA($A4649,$F4649,$G4649,$H4649,$I4649,$J4649)=0,"",IF($M4649=0,"✖ كود الصف غير موجود",IF(ISNA(MATCH($F4649,Lists!$A$2:$A$5,0)),"✖ الفترة غير صحيحة",IF(ISNA(MATCH($G4649,Lists!$B$2:$B$7,0)),"✖ المجموعة غير صحيحة",IF(NOT(OR($H4649="",$N4649&gt;0)),"✖ Start غير صحيح",IF(NOT(OR($I4649="",$I4649="NR",$O4649&gt;0)),"✖ Current غير صحيح",IF(NOT(IF(ISNUMBER($J4649),AND($J4649&gt;=0,$J4649=INT($J4649)),FALSE())),"✖ العدد يجب أن يكون صحيحًا ≥ 0",IF(AND($F4649="Baseline",$H4649&lt;&gt;""),"⚠ Baseline: Start لا يدخل في التقدم",IF($K4649="No Start (attainment only)","ℹ تحصيل فقط (بدون Start)",IF($K4649="U – needs rule","ℹ حالة U تحتاج قاعدة معتمدة",IF($K4649="No result","ℹ بدون نتيجة (يُستبعد من التحصيل)","OK")))))))))))</f>
        <v/>
      </c>
      <c r="M4649" s="64" t="n">
        <f aca="false">IF($A4649="",0,IFERROR(MATCH($A4649,Classes!$A$6:$A$420,0),0))</f>
        <v>0</v>
      </c>
      <c r="N4649" s="64" t="n">
        <f aca="false">IF($H4649="",0,IFERROR(MATCH($H4649,GradeList,0),0))</f>
        <v>0</v>
      </c>
      <c r="O4649" s="64" t="n">
        <f aca="false">IF(OR($I4649="",$I4649="NR"),0,IFERROR(MATCH($I4649,GradeList,0),0))</f>
        <v>0</v>
      </c>
      <c r="P4649" s="64" t="n">
        <f aca="false">IF(AND($M4649&gt;0,ISNUMBER(MATCH($F4649,Lists!$A$2:$A$5,0)),ISNUMBER(MATCH($G4649,Lists!$B$2:$B$7,0)),OR($H4649="",$N4649&gt;0),OR($I4649="",$I4649="NR",$O4649&gt;0),IF(ISNUMBER($J4649),AND($J4649&gt;=0,$J4649=INT($J4649)),FALSE())),$J4649,0)</f>
        <v>0</v>
      </c>
      <c r="Q4649" s="64" t="n">
        <f aca="false">IF(AND($P4649&gt;0,$O4649&gt;0),$P4649,0)</f>
        <v>0</v>
      </c>
      <c r="R4649" s="64" t="n">
        <f aca="false">IF(AND($Q4649&gt;0,$O4649&gt;=AtRank),$Q4649,0)</f>
        <v>0</v>
      </c>
      <c r="S4649" s="64" t="n">
        <f aca="false">IF(AND($Q4649&gt;0,$O4649&gt;=AboveRank),$Q4649,0)</f>
        <v>0</v>
      </c>
      <c r="T4649" s="64" t="n">
        <f aca="false">IF($K4649="Less",$P4649,0)</f>
        <v>0</v>
      </c>
      <c r="U4649" s="64" t="n">
        <f aca="false">IF($K4649="Expected",$P4649,0)</f>
        <v>0</v>
      </c>
      <c r="V4649" s="64" t="n">
        <f aca="false">IF($K4649="Better",$P4649,0)</f>
        <v>0</v>
      </c>
      <c r="W4649" s="64" t="n">
        <f aca="false">IF($K4649="U – needs rule",$P4649,0)</f>
        <v>0</v>
      </c>
      <c r="X4649" s="64" t="n">
        <f aca="false">IF($K4649="No Start (attainment only)",$P4649,0)</f>
        <v>0</v>
      </c>
    </row>
    <row r="4650" customFormat="false" ht="15" hidden="false" customHeight="false" outlineLevel="0" collapsed="false">
      <c r="A4650" s="60"/>
      <c r="B4650" s="61" t="str">
        <f aca="false">IF($M4650=0,"",INDEX(Classes!$E$6:$E$420,$M4650))</f>
        <v/>
      </c>
      <c r="C4650" s="62" t="str">
        <f aca="false">IF($M4650=0,"",INDEX(Classes!$H$6:$H$420,$M4650))</f>
        <v/>
      </c>
      <c r="D4650" s="61" t="str">
        <f aca="false">IF($M4650=0,"",INDEX(Classes!$B$6:$B$420,$M4650))</f>
        <v/>
      </c>
      <c r="E4650" s="61" t="str">
        <f aca="false">IF($M4650=0,"",INDEX(Classes!$C$6:$C$420,$M4650))</f>
        <v/>
      </c>
      <c r="F4650" s="63"/>
      <c r="G4650" s="63"/>
      <c r="H4650" s="60"/>
      <c r="I4650" s="60"/>
      <c r="J4650" s="63"/>
      <c r="K4650" s="61" t="str">
        <f aca="false">IF($P4650=0,"",IF($F4650="Baseline","— Baseline",IF($O4650=0,"No result",IF($N4650=0,"No Start (attainment only)",IF(OR($N4650=1,$O4650=1),"U – needs rule",INDEX(MxBody,MATCH($I4650,MxCurr,0),MATCH($H4650,MxStart,0)))))))</f>
        <v/>
      </c>
      <c r="L4650" s="62" t="str">
        <f aca="false">IF(COUNTA($A4650,$F4650,$G4650,$H4650,$I4650,$J4650)=0,"",IF($M4650=0,"✖ كود الصف غير موجود",IF(ISNA(MATCH($F4650,Lists!$A$2:$A$5,0)),"✖ الفترة غير صحيحة",IF(ISNA(MATCH($G4650,Lists!$B$2:$B$7,0)),"✖ المجموعة غير صحيحة",IF(NOT(OR($H4650="",$N4650&gt;0)),"✖ Start غير صحيح",IF(NOT(OR($I4650="",$I4650="NR",$O4650&gt;0)),"✖ Current غير صحيح",IF(NOT(IF(ISNUMBER($J4650),AND($J4650&gt;=0,$J4650=INT($J4650)),FALSE())),"✖ العدد يجب أن يكون صحيحًا ≥ 0",IF(AND($F4650="Baseline",$H4650&lt;&gt;""),"⚠ Baseline: Start لا يدخل في التقدم",IF($K4650="No Start (attainment only)","ℹ تحصيل فقط (بدون Start)",IF($K4650="U – needs rule","ℹ حالة U تحتاج قاعدة معتمدة",IF($K4650="No result","ℹ بدون نتيجة (يُستبعد من التحصيل)","OK")))))))))))</f>
        <v/>
      </c>
      <c r="M4650" s="64" t="n">
        <f aca="false">IF($A4650="",0,IFERROR(MATCH($A4650,Classes!$A$6:$A$420,0),0))</f>
        <v>0</v>
      </c>
      <c r="N4650" s="64" t="n">
        <f aca="false">IF($H4650="",0,IFERROR(MATCH($H4650,GradeList,0),0))</f>
        <v>0</v>
      </c>
      <c r="O4650" s="64" t="n">
        <f aca="false">IF(OR($I4650="",$I4650="NR"),0,IFERROR(MATCH($I4650,GradeList,0),0))</f>
        <v>0</v>
      </c>
      <c r="P4650" s="64" t="n">
        <f aca="false">IF(AND($M4650&gt;0,ISNUMBER(MATCH($F4650,Lists!$A$2:$A$5,0)),ISNUMBER(MATCH($G4650,Lists!$B$2:$B$7,0)),OR($H4650="",$N4650&gt;0),OR($I4650="",$I4650="NR",$O4650&gt;0),IF(ISNUMBER($J4650),AND($J4650&gt;=0,$J4650=INT($J4650)),FALSE())),$J4650,0)</f>
        <v>0</v>
      </c>
      <c r="Q4650" s="64" t="n">
        <f aca="false">IF(AND($P4650&gt;0,$O4650&gt;0),$P4650,0)</f>
        <v>0</v>
      </c>
      <c r="R4650" s="64" t="n">
        <f aca="false">IF(AND($Q4650&gt;0,$O4650&gt;=AtRank),$Q4650,0)</f>
        <v>0</v>
      </c>
      <c r="S4650" s="64" t="n">
        <f aca="false">IF(AND($Q4650&gt;0,$O4650&gt;=AboveRank),$Q4650,0)</f>
        <v>0</v>
      </c>
      <c r="T4650" s="64" t="n">
        <f aca="false">IF($K4650="Less",$P4650,0)</f>
        <v>0</v>
      </c>
      <c r="U4650" s="64" t="n">
        <f aca="false">IF($K4650="Expected",$P4650,0)</f>
        <v>0</v>
      </c>
      <c r="V4650" s="64" t="n">
        <f aca="false">IF($K4650="Better",$P4650,0)</f>
        <v>0</v>
      </c>
      <c r="W4650" s="64" t="n">
        <f aca="false">IF($K4650="U – needs rule",$P4650,0)</f>
        <v>0</v>
      </c>
      <c r="X4650" s="64" t="n">
        <f aca="false">IF($K4650="No Start (attainment only)",$P4650,0)</f>
        <v>0</v>
      </c>
    </row>
    <row r="4651" customFormat="false" ht="15" hidden="false" customHeight="false" outlineLevel="0" collapsed="false">
      <c r="A4651" s="60"/>
      <c r="B4651" s="61" t="str">
        <f aca="false">IF($M4651=0,"",INDEX(Classes!$E$6:$E$420,$M4651))</f>
        <v/>
      </c>
      <c r="C4651" s="62" t="str">
        <f aca="false">IF($M4651=0,"",INDEX(Classes!$H$6:$H$420,$M4651))</f>
        <v/>
      </c>
      <c r="D4651" s="61" t="str">
        <f aca="false">IF($M4651=0,"",INDEX(Classes!$B$6:$B$420,$M4651))</f>
        <v/>
      </c>
      <c r="E4651" s="61" t="str">
        <f aca="false">IF($M4651=0,"",INDEX(Classes!$C$6:$C$420,$M4651))</f>
        <v/>
      </c>
      <c r="F4651" s="63"/>
      <c r="G4651" s="63"/>
      <c r="H4651" s="60"/>
      <c r="I4651" s="60"/>
      <c r="J4651" s="63"/>
      <c r="K4651" s="61" t="str">
        <f aca="false">IF($P4651=0,"",IF($F4651="Baseline","— Baseline",IF($O4651=0,"No result",IF($N4651=0,"No Start (attainment only)",IF(OR($N4651=1,$O4651=1),"U – needs rule",INDEX(MxBody,MATCH($I4651,MxCurr,0),MATCH($H4651,MxStart,0)))))))</f>
        <v/>
      </c>
      <c r="L4651" s="62" t="str">
        <f aca="false">IF(COUNTA($A4651,$F4651,$G4651,$H4651,$I4651,$J4651)=0,"",IF($M4651=0,"✖ كود الصف غير موجود",IF(ISNA(MATCH($F4651,Lists!$A$2:$A$5,0)),"✖ الفترة غير صحيحة",IF(ISNA(MATCH($G4651,Lists!$B$2:$B$7,0)),"✖ المجموعة غير صحيحة",IF(NOT(OR($H4651="",$N4651&gt;0)),"✖ Start غير صحيح",IF(NOT(OR($I4651="",$I4651="NR",$O4651&gt;0)),"✖ Current غير صحيح",IF(NOT(IF(ISNUMBER($J4651),AND($J4651&gt;=0,$J4651=INT($J4651)),FALSE())),"✖ العدد يجب أن يكون صحيحًا ≥ 0",IF(AND($F4651="Baseline",$H4651&lt;&gt;""),"⚠ Baseline: Start لا يدخل في التقدم",IF($K4651="No Start (attainment only)","ℹ تحصيل فقط (بدون Start)",IF($K4651="U – needs rule","ℹ حالة U تحتاج قاعدة معتمدة",IF($K4651="No result","ℹ بدون نتيجة (يُستبعد من التحصيل)","OK")))))))))))</f>
        <v/>
      </c>
      <c r="M4651" s="64" t="n">
        <f aca="false">IF($A4651="",0,IFERROR(MATCH($A4651,Classes!$A$6:$A$420,0),0))</f>
        <v>0</v>
      </c>
      <c r="N4651" s="64" t="n">
        <f aca="false">IF($H4651="",0,IFERROR(MATCH($H4651,GradeList,0),0))</f>
        <v>0</v>
      </c>
      <c r="O4651" s="64" t="n">
        <f aca="false">IF(OR($I4651="",$I4651="NR"),0,IFERROR(MATCH($I4651,GradeList,0),0))</f>
        <v>0</v>
      </c>
      <c r="P4651" s="64" t="n">
        <f aca="false">IF(AND($M4651&gt;0,ISNUMBER(MATCH($F4651,Lists!$A$2:$A$5,0)),ISNUMBER(MATCH($G4651,Lists!$B$2:$B$7,0)),OR($H4651="",$N4651&gt;0),OR($I4651="",$I4651="NR",$O4651&gt;0),IF(ISNUMBER($J4651),AND($J4651&gt;=0,$J4651=INT($J4651)),FALSE())),$J4651,0)</f>
        <v>0</v>
      </c>
      <c r="Q4651" s="64" t="n">
        <f aca="false">IF(AND($P4651&gt;0,$O4651&gt;0),$P4651,0)</f>
        <v>0</v>
      </c>
      <c r="R4651" s="64" t="n">
        <f aca="false">IF(AND($Q4651&gt;0,$O4651&gt;=AtRank),$Q4651,0)</f>
        <v>0</v>
      </c>
      <c r="S4651" s="64" t="n">
        <f aca="false">IF(AND($Q4651&gt;0,$O4651&gt;=AboveRank),$Q4651,0)</f>
        <v>0</v>
      </c>
      <c r="T4651" s="64" t="n">
        <f aca="false">IF($K4651="Less",$P4651,0)</f>
        <v>0</v>
      </c>
      <c r="U4651" s="64" t="n">
        <f aca="false">IF($K4651="Expected",$P4651,0)</f>
        <v>0</v>
      </c>
      <c r="V4651" s="64" t="n">
        <f aca="false">IF($K4651="Better",$P4651,0)</f>
        <v>0</v>
      </c>
      <c r="W4651" s="64" t="n">
        <f aca="false">IF($K4651="U – needs rule",$P4651,0)</f>
        <v>0</v>
      </c>
      <c r="X4651" s="64" t="n">
        <f aca="false">IF($K4651="No Start (attainment only)",$P4651,0)</f>
        <v>0</v>
      </c>
    </row>
    <row r="4652" customFormat="false" ht="15" hidden="false" customHeight="false" outlineLevel="0" collapsed="false">
      <c r="A4652" s="60"/>
      <c r="B4652" s="61" t="str">
        <f aca="false">IF($M4652=0,"",INDEX(Classes!$E$6:$E$420,$M4652))</f>
        <v/>
      </c>
      <c r="C4652" s="62" t="str">
        <f aca="false">IF($M4652=0,"",INDEX(Classes!$H$6:$H$420,$M4652))</f>
        <v/>
      </c>
      <c r="D4652" s="61" t="str">
        <f aca="false">IF($M4652=0,"",INDEX(Classes!$B$6:$B$420,$M4652))</f>
        <v/>
      </c>
      <c r="E4652" s="61" t="str">
        <f aca="false">IF($M4652=0,"",INDEX(Classes!$C$6:$C$420,$M4652))</f>
        <v/>
      </c>
      <c r="F4652" s="63"/>
      <c r="G4652" s="63"/>
      <c r="H4652" s="60"/>
      <c r="I4652" s="60"/>
      <c r="J4652" s="63"/>
      <c r="K4652" s="61" t="str">
        <f aca="false">IF($P4652=0,"",IF($F4652="Baseline","— Baseline",IF($O4652=0,"No result",IF($N4652=0,"No Start (attainment only)",IF(OR($N4652=1,$O4652=1),"U – needs rule",INDEX(MxBody,MATCH($I4652,MxCurr,0),MATCH($H4652,MxStart,0)))))))</f>
        <v/>
      </c>
      <c r="L4652" s="62" t="str">
        <f aca="false">IF(COUNTA($A4652,$F4652,$G4652,$H4652,$I4652,$J4652)=0,"",IF($M4652=0,"✖ كود الصف غير موجود",IF(ISNA(MATCH($F4652,Lists!$A$2:$A$5,0)),"✖ الفترة غير صحيحة",IF(ISNA(MATCH($G4652,Lists!$B$2:$B$7,0)),"✖ المجموعة غير صحيحة",IF(NOT(OR($H4652="",$N4652&gt;0)),"✖ Start غير صحيح",IF(NOT(OR($I4652="",$I4652="NR",$O4652&gt;0)),"✖ Current غير صحيح",IF(NOT(IF(ISNUMBER($J4652),AND($J4652&gt;=0,$J4652=INT($J4652)),FALSE())),"✖ العدد يجب أن يكون صحيحًا ≥ 0",IF(AND($F4652="Baseline",$H4652&lt;&gt;""),"⚠ Baseline: Start لا يدخل في التقدم",IF($K4652="No Start (attainment only)","ℹ تحصيل فقط (بدون Start)",IF($K4652="U – needs rule","ℹ حالة U تحتاج قاعدة معتمدة",IF($K4652="No result","ℹ بدون نتيجة (يُستبعد من التحصيل)","OK")))))))))))</f>
        <v/>
      </c>
      <c r="M4652" s="64" t="n">
        <f aca="false">IF($A4652="",0,IFERROR(MATCH($A4652,Classes!$A$6:$A$420,0),0))</f>
        <v>0</v>
      </c>
      <c r="N4652" s="64" t="n">
        <f aca="false">IF($H4652="",0,IFERROR(MATCH($H4652,GradeList,0),0))</f>
        <v>0</v>
      </c>
      <c r="O4652" s="64" t="n">
        <f aca="false">IF(OR($I4652="",$I4652="NR"),0,IFERROR(MATCH($I4652,GradeList,0),0))</f>
        <v>0</v>
      </c>
      <c r="P4652" s="64" t="n">
        <f aca="false">IF(AND($M4652&gt;0,ISNUMBER(MATCH($F4652,Lists!$A$2:$A$5,0)),ISNUMBER(MATCH($G4652,Lists!$B$2:$B$7,0)),OR($H4652="",$N4652&gt;0),OR($I4652="",$I4652="NR",$O4652&gt;0),IF(ISNUMBER($J4652),AND($J4652&gt;=0,$J4652=INT($J4652)),FALSE())),$J4652,0)</f>
        <v>0</v>
      </c>
      <c r="Q4652" s="64" t="n">
        <f aca="false">IF(AND($P4652&gt;0,$O4652&gt;0),$P4652,0)</f>
        <v>0</v>
      </c>
      <c r="R4652" s="64" t="n">
        <f aca="false">IF(AND($Q4652&gt;0,$O4652&gt;=AtRank),$Q4652,0)</f>
        <v>0</v>
      </c>
      <c r="S4652" s="64" t="n">
        <f aca="false">IF(AND($Q4652&gt;0,$O4652&gt;=AboveRank),$Q4652,0)</f>
        <v>0</v>
      </c>
      <c r="T4652" s="64" t="n">
        <f aca="false">IF($K4652="Less",$P4652,0)</f>
        <v>0</v>
      </c>
      <c r="U4652" s="64" t="n">
        <f aca="false">IF($K4652="Expected",$P4652,0)</f>
        <v>0</v>
      </c>
      <c r="V4652" s="64" t="n">
        <f aca="false">IF($K4652="Better",$P4652,0)</f>
        <v>0</v>
      </c>
      <c r="W4652" s="64" t="n">
        <f aca="false">IF($K4652="U – needs rule",$P4652,0)</f>
        <v>0</v>
      </c>
      <c r="X4652" s="64" t="n">
        <f aca="false">IF($K4652="No Start (attainment only)",$P4652,0)</f>
        <v>0</v>
      </c>
    </row>
    <row r="4653" customFormat="false" ht="15" hidden="false" customHeight="false" outlineLevel="0" collapsed="false">
      <c r="A4653" s="60"/>
      <c r="B4653" s="61" t="str">
        <f aca="false">IF($M4653=0,"",INDEX(Classes!$E$6:$E$420,$M4653))</f>
        <v/>
      </c>
      <c r="C4653" s="62" t="str">
        <f aca="false">IF($M4653=0,"",INDEX(Classes!$H$6:$H$420,$M4653))</f>
        <v/>
      </c>
      <c r="D4653" s="61" t="str">
        <f aca="false">IF($M4653=0,"",INDEX(Classes!$B$6:$B$420,$M4653))</f>
        <v/>
      </c>
      <c r="E4653" s="61" t="str">
        <f aca="false">IF($M4653=0,"",INDEX(Classes!$C$6:$C$420,$M4653))</f>
        <v/>
      </c>
      <c r="F4653" s="63"/>
      <c r="G4653" s="63"/>
      <c r="H4653" s="60"/>
      <c r="I4653" s="60"/>
      <c r="J4653" s="63"/>
      <c r="K4653" s="61" t="str">
        <f aca="false">IF($P4653=0,"",IF($F4653="Baseline","— Baseline",IF($O4653=0,"No result",IF($N4653=0,"No Start (attainment only)",IF(OR($N4653=1,$O4653=1),"U – needs rule",INDEX(MxBody,MATCH($I4653,MxCurr,0),MATCH($H4653,MxStart,0)))))))</f>
        <v/>
      </c>
      <c r="L4653" s="62" t="str">
        <f aca="false">IF(COUNTA($A4653,$F4653,$G4653,$H4653,$I4653,$J4653)=0,"",IF($M4653=0,"✖ كود الصف غير موجود",IF(ISNA(MATCH($F4653,Lists!$A$2:$A$5,0)),"✖ الفترة غير صحيحة",IF(ISNA(MATCH($G4653,Lists!$B$2:$B$7,0)),"✖ المجموعة غير صحيحة",IF(NOT(OR($H4653="",$N4653&gt;0)),"✖ Start غير صحيح",IF(NOT(OR($I4653="",$I4653="NR",$O4653&gt;0)),"✖ Current غير صحيح",IF(NOT(IF(ISNUMBER($J4653),AND($J4653&gt;=0,$J4653=INT($J4653)),FALSE())),"✖ العدد يجب أن يكون صحيحًا ≥ 0",IF(AND($F4653="Baseline",$H4653&lt;&gt;""),"⚠ Baseline: Start لا يدخل في التقدم",IF($K4653="No Start (attainment only)","ℹ تحصيل فقط (بدون Start)",IF($K4653="U – needs rule","ℹ حالة U تحتاج قاعدة معتمدة",IF($K4653="No result","ℹ بدون نتيجة (يُستبعد من التحصيل)","OK")))))))))))</f>
        <v/>
      </c>
      <c r="M4653" s="64" t="n">
        <f aca="false">IF($A4653="",0,IFERROR(MATCH($A4653,Classes!$A$6:$A$420,0),0))</f>
        <v>0</v>
      </c>
      <c r="N4653" s="64" t="n">
        <f aca="false">IF($H4653="",0,IFERROR(MATCH($H4653,GradeList,0),0))</f>
        <v>0</v>
      </c>
      <c r="O4653" s="64" t="n">
        <f aca="false">IF(OR($I4653="",$I4653="NR"),0,IFERROR(MATCH($I4653,GradeList,0),0))</f>
        <v>0</v>
      </c>
      <c r="P4653" s="64" t="n">
        <f aca="false">IF(AND($M4653&gt;0,ISNUMBER(MATCH($F4653,Lists!$A$2:$A$5,0)),ISNUMBER(MATCH($G4653,Lists!$B$2:$B$7,0)),OR($H4653="",$N4653&gt;0),OR($I4653="",$I4653="NR",$O4653&gt;0),IF(ISNUMBER($J4653),AND($J4653&gt;=0,$J4653=INT($J4653)),FALSE())),$J4653,0)</f>
        <v>0</v>
      </c>
      <c r="Q4653" s="64" t="n">
        <f aca="false">IF(AND($P4653&gt;0,$O4653&gt;0),$P4653,0)</f>
        <v>0</v>
      </c>
      <c r="R4653" s="64" t="n">
        <f aca="false">IF(AND($Q4653&gt;0,$O4653&gt;=AtRank),$Q4653,0)</f>
        <v>0</v>
      </c>
      <c r="S4653" s="64" t="n">
        <f aca="false">IF(AND($Q4653&gt;0,$O4653&gt;=AboveRank),$Q4653,0)</f>
        <v>0</v>
      </c>
      <c r="T4653" s="64" t="n">
        <f aca="false">IF($K4653="Less",$P4653,0)</f>
        <v>0</v>
      </c>
      <c r="U4653" s="64" t="n">
        <f aca="false">IF($K4653="Expected",$P4653,0)</f>
        <v>0</v>
      </c>
      <c r="V4653" s="64" t="n">
        <f aca="false">IF($K4653="Better",$P4653,0)</f>
        <v>0</v>
      </c>
      <c r="W4653" s="64" t="n">
        <f aca="false">IF($K4653="U – needs rule",$P4653,0)</f>
        <v>0</v>
      </c>
      <c r="X4653" s="64" t="n">
        <f aca="false">IF($K4653="No Start (attainment only)",$P4653,0)</f>
        <v>0</v>
      </c>
    </row>
    <row r="4654" customFormat="false" ht="15" hidden="false" customHeight="false" outlineLevel="0" collapsed="false">
      <c r="A4654" s="60"/>
      <c r="B4654" s="61" t="str">
        <f aca="false">IF($M4654=0,"",INDEX(Classes!$E$6:$E$420,$M4654))</f>
        <v/>
      </c>
      <c r="C4654" s="62" t="str">
        <f aca="false">IF($M4654=0,"",INDEX(Classes!$H$6:$H$420,$M4654))</f>
        <v/>
      </c>
      <c r="D4654" s="61" t="str">
        <f aca="false">IF($M4654=0,"",INDEX(Classes!$B$6:$B$420,$M4654))</f>
        <v/>
      </c>
      <c r="E4654" s="61" t="str">
        <f aca="false">IF($M4654=0,"",INDEX(Classes!$C$6:$C$420,$M4654))</f>
        <v/>
      </c>
      <c r="F4654" s="63"/>
      <c r="G4654" s="63"/>
      <c r="H4654" s="60"/>
      <c r="I4654" s="60"/>
      <c r="J4654" s="63"/>
      <c r="K4654" s="61" t="str">
        <f aca="false">IF($P4654=0,"",IF($F4654="Baseline","— Baseline",IF($O4654=0,"No result",IF($N4654=0,"No Start (attainment only)",IF(OR($N4654=1,$O4654=1),"U – needs rule",INDEX(MxBody,MATCH($I4654,MxCurr,0),MATCH($H4654,MxStart,0)))))))</f>
        <v/>
      </c>
      <c r="L4654" s="62" t="str">
        <f aca="false">IF(COUNTA($A4654,$F4654,$G4654,$H4654,$I4654,$J4654)=0,"",IF($M4654=0,"✖ كود الصف غير موجود",IF(ISNA(MATCH($F4654,Lists!$A$2:$A$5,0)),"✖ الفترة غير صحيحة",IF(ISNA(MATCH($G4654,Lists!$B$2:$B$7,0)),"✖ المجموعة غير صحيحة",IF(NOT(OR($H4654="",$N4654&gt;0)),"✖ Start غير صحيح",IF(NOT(OR($I4654="",$I4654="NR",$O4654&gt;0)),"✖ Current غير صحيح",IF(NOT(IF(ISNUMBER($J4654),AND($J4654&gt;=0,$J4654=INT($J4654)),FALSE())),"✖ العدد يجب أن يكون صحيحًا ≥ 0",IF(AND($F4654="Baseline",$H4654&lt;&gt;""),"⚠ Baseline: Start لا يدخل في التقدم",IF($K4654="No Start (attainment only)","ℹ تحصيل فقط (بدون Start)",IF($K4654="U – needs rule","ℹ حالة U تحتاج قاعدة معتمدة",IF($K4654="No result","ℹ بدون نتيجة (يُستبعد من التحصيل)","OK")))))))))))</f>
        <v/>
      </c>
      <c r="M4654" s="64" t="n">
        <f aca="false">IF($A4654="",0,IFERROR(MATCH($A4654,Classes!$A$6:$A$420,0),0))</f>
        <v>0</v>
      </c>
      <c r="N4654" s="64" t="n">
        <f aca="false">IF($H4654="",0,IFERROR(MATCH($H4654,GradeList,0),0))</f>
        <v>0</v>
      </c>
      <c r="O4654" s="64" t="n">
        <f aca="false">IF(OR($I4654="",$I4654="NR"),0,IFERROR(MATCH($I4654,GradeList,0),0))</f>
        <v>0</v>
      </c>
      <c r="P4654" s="64" t="n">
        <f aca="false">IF(AND($M4654&gt;0,ISNUMBER(MATCH($F4654,Lists!$A$2:$A$5,0)),ISNUMBER(MATCH($G4654,Lists!$B$2:$B$7,0)),OR($H4654="",$N4654&gt;0),OR($I4654="",$I4654="NR",$O4654&gt;0),IF(ISNUMBER($J4654),AND($J4654&gt;=0,$J4654=INT($J4654)),FALSE())),$J4654,0)</f>
        <v>0</v>
      </c>
      <c r="Q4654" s="64" t="n">
        <f aca="false">IF(AND($P4654&gt;0,$O4654&gt;0),$P4654,0)</f>
        <v>0</v>
      </c>
      <c r="R4654" s="64" t="n">
        <f aca="false">IF(AND($Q4654&gt;0,$O4654&gt;=AtRank),$Q4654,0)</f>
        <v>0</v>
      </c>
      <c r="S4654" s="64" t="n">
        <f aca="false">IF(AND($Q4654&gt;0,$O4654&gt;=AboveRank),$Q4654,0)</f>
        <v>0</v>
      </c>
      <c r="T4654" s="64" t="n">
        <f aca="false">IF($K4654="Less",$P4654,0)</f>
        <v>0</v>
      </c>
      <c r="U4654" s="64" t="n">
        <f aca="false">IF($K4654="Expected",$P4654,0)</f>
        <v>0</v>
      </c>
      <c r="V4654" s="64" t="n">
        <f aca="false">IF($K4654="Better",$P4654,0)</f>
        <v>0</v>
      </c>
      <c r="W4654" s="64" t="n">
        <f aca="false">IF($K4654="U – needs rule",$P4654,0)</f>
        <v>0</v>
      </c>
      <c r="X4654" s="64" t="n">
        <f aca="false">IF($K4654="No Start (attainment only)",$P4654,0)</f>
        <v>0</v>
      </c>
    </row>
    <row r="4655" customFormat="false" ht="15" hidden="false" customHeight="false" outlineLevel="0" collapsed="false">
      <c r="A4655" s="60"/>
      <c r="B4655" s="61" t="str">
        <f aca="false">IF($M4655=0,"",INDEX(Classes!$E$6:$E$420,$M4655))</f>
        <v/>
      </c>
      <c r="C4655" s="62" t="str">
        <f aca="false">IF($M4655=0,"",INDEX(Classes!$H$6:$H$420,$M4655))</f>
        <v/>
      </c>
      <c r="D4655" s="61" t="str">
        <f aca="false">IF($M4655=0,"",INDEX(Classes!$B$6:$B$420,$M4655))</f>
        <v/>
      </c>
      <c r="E4655" s="61" t="str">
        <f aca="false">IF($M4655=0,"",INDEX(Classes!$C$6:$C$420,$M4655))</f>
        <v/>
      </c>
      <c r="F4655" s="63"/>
      <c r="G4655" s="63"/>
      <c r="H4655" s="60"/>
      <c r="I4655" s="60"/>
      <c r="J4655" s="63"/>
      <c r="K4655" s="61" t="str">
        <f aca="false">IF($P4655=0,"",IF($F4655="Baseline","— Baseline",IF($O4655=0,"No result",IF($N4655=0,"No Start (attainment only)",IF(OR($N4655=1,$O4655=1),"U – needs rule",INDEX(MxBody,MATCH($I4655,MxCurr,0),MATCH($H4655,MxStart,0)))))))</f>
        <v/>
      </c>
      <c r="L4655" s="62" t="str">
        <f aca="false">IF(COUNTA($A4655,$F4655,$G4655,$H4655,$I4655,$J4655)=0,"",IF($M4655=0,"✖ كود الصف غير موجود",IF(ISNA(MATCH($F4655,Lists!$A$2:$A$5,0)),"✖ الفترة غير صحيحة",IF(ISNA(MATCH($G4655,Lists!$B$2:$B$7,0)),"✖ المجموعة غير صحيحة",IF(NOT(OR($H4655="",$N4655&gt;0)),"✖ Start غير صحيح",IF(NOT(OR($I4655="",$I4655="NR",$O4655&gt;0)),"✖ Current غير صحيح",IF(NOT(IF(ISNUMBER($J4655),AND($J4655&gt;=0,$J4655=INT($J4655)),FALSE())),"✖ العدد يجب أن يكون صحيحًا ≥ 0",IF(AND($F4655="Baseline",$H4655&lt;&gt;""),"⚠ Baseline: Start لا يدخل في التقدم",IF($K4655="No Start (attainment only)","ℹ تحصيل فقط (بدون Start)",IF($K4655="U – needs rule","ℹ حالة U تحتاج قاعدة معتمدة",IF($K4655="No result","ℹ بدون نتيجة (يُستبعد من التحصيل)","OK")))))))))))</f>
        <v/>
      </c>
      <c r="M4655" s="64" t="n">
        <f aca="false">IF($A4655="",0,IFERROR(MATCH($A4655,Classes!$A$6:$A$420,0),0))</f>
        <v>0</v>
      </c>
      <c r="N4655" s="64" t="n">
        <f aca="false">IF($H4655="",0,IFERROR(MATCH($H4655,GradeList,0),0))</f>
        <v>0</v>
      </c>
      <c r="O4655" s="64" t="n">
        <f aca="false">IF(OR($I4655="",$I4655="NR"),0,IFERROR(MATCH($I4655,GradeList,0),0))</f>
        <v>0</v>
      </c>
      <c r="P4655" s="64" t="n">
        <f aca="false">IF(AND($M4655&gt;0,ISNUMBER(MATCH($F4655,Lists!$A$2:$A$5,0)),ISNUMBER(MATCH($G4655,Lists!$B$2:$B$7,0)),OR($H4655="",$N4655&gt;0),OR($I4655="",$I4655="NR",$O4655&gt;0),IF(ISNUMBER($J4655),AND($J4655&gt;=0,$J4655=INT($J4655)),FALSE())),$J4655,0)</f>
        <v>0</v>
      </c>
      <c r="Q4655" s="64" t="n">
        <f aca="false">IF(AND($P4655&gt;0,$O4655&gt;0),$P4655,0)</f>
        <v>0</v>
      </c>
      <c r="R4655" s="64" t="n">
        <f aca="false">IF(AND($Q4655&gt;0,$O4655&gt;=AtRank),$Q4655,0)</f>
        <v>0</v>
      </c>
      <c r="S4655" s="64" t="n">
        <f aca="false">IF(AND($Q4655&gt;0,$O4655&gt;=AboveRank),$Q4655,0)</f>
        <v>0</v>
      </c>
      <c r="T4655" s="64" t="n">
        <f aca="false">IF($K4655="Less",$P4655,0)</f>
        <v>0</v>
      </c>
      <c r="U4655" s="64" t="n">
        <f aca="false">IF($K4655="Expected",$P4655,0)</f>
        <v>0</v>
      </c>
      <c r="V4655" s="64" t="n">
        <f aca="false">IF($K4655="Better",$P4655,0)</f>
        <v>0</v>
      </c>
      <c r="W4655" s="64" t="n">
        <f aca="false">IF($K4655="U – needs rule",$P4655,0)</f>
        <v>0</v>
      </c>
      <c r="X4655" s="64" t="n">
        <f aca="false">IF($K4655="No Start (attainment only)",$P4655,0)</f>
        <v>0</v>
      </c>
    </row>
    <row r="4656" customFormat="false" ht="15" hidden="false" customHeight="false" outlineLevel="0" collapsed="false">
      <c r="A4656" s="60"/>
      <c r="B4656" s="61" t="str">
        <f aca="false">IF($M4656=0,"",INDEX(Classes!$E$6:$E$420,$M4656))</f>
        <v/>
      </c>
      <c r="C4656" s="62" t="str">
        <f aca="false">IF($M4656=0,"",INDEX(Classes!$H$6:$H$420,$M4656))</f>
        <v/>
      </c>
      <c r="D4656" s="61" t="str">
        <f aca="false">IF($M4656=0,"",INDEX(Classes!$B$6:$B$420,$M4656))</f>
        <v/>
      </c>
      <c r="E4656" s="61" t="str">
        <f aca="false">IF($M4656=0,"",INDEX(Classes!$C$6:$C$420,$M4656))</f>
        <v/>
      </c>
      <c r="F4656" s="63"/>
      <c r="G4656" s="63"/>
      <c r="H4656" s="60"/>
      <c r="I4656" s="60"/>
      <c r="J4656" s="63"/>
      <c r="K4656" s="61" t="str">
        <f aca="false">IF($P4656=0,"",IF($F4656="Baseline","— Baseline",IF($O4656=0,"No result",IF($N4656=0,"No Start (attainment only)",IF(OR($N4656=1,$O4656=1),"U – needs rule",INDEX(MxBody,MATCH($I4656,MxCurr,0),MATCH($H4656,MxStart,0)))))))</f>
        <v/>
      </c>
      <c r="L4656" s="62" t="str">
        <f aca="false">IF(COUNTA($A4656,$F4656,$G4656,$H4656,$I4656,$J4656)=0,"",IF($M4656=0,"✖ كود الصف غير موجود",IF(ISNA(MATCH($F4656,Lists!$A$2:$A$5,0)),"✖ الفترة غير صحيحة",IF(ISNA(MATCH($G4656,Lists!$B$2:$B$7,0)),"✖ المجموعة غير صحيحة",IF(NOT(OR($H4656="",$N4656&gt;0)),"✖ Start غير صحيح",IF(NOT(OR($I4656="",$I4656="NR",$O4656&gt;0)),"✖ Current غير صحيح",IF(NOT(IF(ISNUMBER($J4656),AND($J4656&gt;=0,$J4656=INT($J4656)),FALSE())),"✖ العدد يجب أن يكون صحيحًا ≥ 0",IF(AND($F4656="Baseline",$H4656&lt;&gt;""),"⚠ Baseline: Start لا يدخل في التقدم",IF($K4656="No Start (attainment only)","ℹ تحصيل فقط (بدون Start)",IF($K4656="U – needs rule","ℹ حالة U تحتاج قاعدة معتمدة",IF($K4656="No result","ℹ بدون نتيجة (يُستبعد من التحصيل)","OK")))))))))))</f>
        <v/>
      </c>
      <c r="M4656" s="64" t="n">
        <f aca="false">IF($A4656="",0,IFERROR(MATCH($A4656,Classes!$A$6:$A$420,0),0))</f>
        <v>0</v>
      </c>
      <c r="N4656" s="64" t="n">
        <f aca="false">IF($H4656="",0,IFERROR(MATCH($H4656,GradeList,0),0))</f>
        <v>0</v>
      </c>
      <c r="O4656" s="64" t="n">
        <f aca="false">IF(OR($I4656="",$I4656="NR"),0,IFERROR(MATCH($I4656,GradeList,0),0))</f>
        <v>0</v>
      </c>
      <c r="P4656" s="64" t="n">
        <f aca="false">IF(AND($M4656&gt;0,ISNUMBER(MATCH($F4656,Lists!$A$2:$A$5,0)),ISNUMBER(MATCH($G4656,Lists!$B$2:$B$7,0)),OR($H4656="",$N4656&gt;0),OR($I4656="",$I4656="NR",$O4656&gt;0),IF(ISNUMBER($J4656),AND($J4656&gt;=0,$J4656=INT($J4656)),FALSE())),$J4656,0)</f>
        <v>0</v>
      </c>
      <c r="Q4656" s="64" t="n">
        <f aca="false">IF(AND($P4656&gt;0,$O4656&gt;0),$P4656,0)</f>
        <v>0</v>
      </c>
      <c r="R4656" s="64" t="n">
        <f aca="false">IF(AND($Q4656&gt;0,$O4656&gt;=AtRank),$Q4656,0)</f>
        <v>0</v>
      </c>
      <c r="S4656" s="64" t="n">
        <f aca="false">IF(AND($Q4656&gt;0,$O4656&gt;=AboveRank),$Q4656,0)</f>
        <v>0</v>
      </c>
      <c r="T4656" s="64" t="n">
        <f aca="false">IF($K4656="Less",$P4656,0)</f>
        <v>0</v>
      </c>
      <c r="U4656" s="64" t="n">
        <f aca="false">IF($K4656="Expected",$P4656,0)</f>
        <v>0</v>
      </c>
      <c r="V4656" s="64" t="n">
        <f aca="false">IF($K4656="Better",$P4656,0)</f>
        <v>0</v>
      </c>
      <c r="W4656" s="64" t="n">
        <f aca="false">IF($K4656="U – needs rule",$P4656,0)</f>
        <v>0</v>
      </c>
      <c r="X4656" s="64" t="n">
        <f aca="false">IF($K4656="No Start (attainment only)",$P4656,0)</f>
        <v>0</v>
      </c>
    </row>
    <row r="4657" customFormat="false" ht="15" hidden="false" customHeight="false" outlineLevel="0" collapsed="false">
      <c r="A4657" s="60"/>
      <c r="B4657" s="61" t="str">
        <f aca="false">IF($M4657=0,"",INDEX(Classes!$E$6:$E$420,$M4657))</f>
        <v/>
      </c>
      <c r="C4657" s="62" t="str">
        <f aca="false">IF($M4657=0,"",INDEX(Classes!$H$6:$H$420,$M4657))</f>
        <v/>
      </c>
      <c r="D4657" s="61" t="str">
        <f aca="false">IF($M4657=0,"",INDEX(Classes!$B$6:$B$420,$M4657))</f>
        <v/>
      </c>
      <c r="E4657" s="61" t="str">
        <f aca="false">IF($M4657=0,"",INDEX(Classes!$C$6:$C$420,$M4657))</f>
        <v/>
      </c>
      <c r="F4657" s="63"/>
      <c r="G4657" s="63"/>
      <c r="H4657" s="60"/>
      <c r="I4657" s="60"/>
      <c r="J4657" s="63"/>
      <c r="K4657" s="61" t="str">
        <f aca="false">IF($P4657=0,"",IF($F4657="Baseline","— Baseline",IF($O4657=0,"No result",IF($N4657=0,"No Start (attainment only)",IF(OR($N4657=1,$O4657=1),"U – needs rule",INDEX(MxBody,MATCH($I4657,MxCurr,0),MATCH($H4657,MxStart,0)))))))</f>
        <v/>
      </c>
      <c r="L4657" s="62" t="str">
        <f aca="false">IF(COUNTA($A4657,$F4657,$G4657,$H4657,$I4657,$J4657)=0,"",IF($M4657=0,"✖ كود الصف غير موجود",IF(ISNA(MATCH($F4657,Lists!$A$2:$A$5,0)),"✖ الفترة غير صحيحة",IF(ISNA(MATCH($G4657,Lists!$B$2:$B$7,0)),"✖ المجموعة غير صحيحة",IF(NOT(OR($H4657="",$N4657&gt;0)),"✖ Start غير صحيح",IF(NOT(OR($I4657="",$I4657="NR",$O4657&gt;0)),"✖ Current غير صحيح",IF(NOT(IF(ISNUMBER($J4657),AND($J4657&gt;=0,$J4657=INT($J4657)),FALSE())),"✖ العدد يجب أن يكون صحيحًا ≥ 0",IF(AND($F4657="Baseline",$H4657&lt;&gt;""),"⚠ Baseline: Start لا يدخل في التقدم",IF($K4657="No Start (attainment only)","ℹ تحصيل فقط (بدون Start)",IF($K4657="U – needs rule","ℹ حالة U تحتاج قاعدة معتمدة",IF($K4657="No result","ℹ بدون نتيجة (يُستبعد من التحصيل)","OK")))))))))))</f>
        <v/>
      </c>
      <c r="M4657" s="64" t="n">
        <f aca="false">IF($A4657="",0,IFERROR(MATCH($A4657,Classes!$A$6:$A$420,0),0))</f>
        <v>0</v>
      </c>
      <c r="N4657" s="64" t="n">
        <f aca="false">IF($H4657="",0,IFERROR(MATCH($H4657,GradeList,0),0))</f>
        <v>0</v>
      </c>
      <c r="O4657" s="64" t="n">
        <f aca="false">IF(OR($I4657="",$I4657="NR"),0,IFERROR(MATCH($I4657,GradeList,0),0))</f>
        <v>0</v>
      </c>
      <c r="P4657" s="64" t="n">
        <f aca="false">IF(AND($M4657&gt;0,ISNUMBER(MATCH($F4657,Lists!$A$2:$A$5,0)),ISNUMBER(MATCH($G4657,Lists!$B$2:$B$7,0)),OR($H4657="",$N4657&gt;0),OR($I4657="",$I4657="NR",$O4657&gt;0),IF(ISNUMBER($J4657),AND($J4657&gt;=0,$J4657=INT($J4657)),FALSE())),$J4657,0)</f>
        <v>0</v>
      </c>
      <c r="Q4657" s="64" t="n">
        <f aca="false">IF(AND($P4657&gt;0,$O4657&gt;0),$P4657,0)</f>
        <v>0</v>
      </c>
      <c r="R4657" s="64" t="n">
        <f aca="false">IF(AND($Q4657&gt;0,$O4657&gt;=AtRank),$Q4657,0)</f>
        <v>0</v>
      </c>
      <c r="S4657" s="64" t="n">
        <f aca="false">IF(AND($Q4657&gt;0,$O4657&gt;=AboveRank),$Q4657,0)</f>
        <v>0</v>
      </c>
      <c r="T4657" s="64" t="n">
        <f aca="false">IF($K4657="Less",$P4657,0)</f>
        <v>0</v>
      </c>
      <c r="U4657" s="64" t="n">
        <f aca="false">IF($K4657="Expected",$P4657,0)</f>
        <v>0</v>
      </c>
      <c r="V4657" s="64" t="n">
        <f aca="false">IF($K4657="Better",$P4657,0)</f>
        <v>0</v>
      </c>
      <c r="W4657" s="64" t="n">
        <f aca="false">IF($K4657="U – needs rule",$P4657,0)</f>
        <v>0</v>
      </c>
      <c r="X4657" s="64" t="n">
        <f aca="false">IF($K4657="No Start (attainment only)",$P4657,0)</f>
        <v>0</v>
      </c>
    </row>
    <row r="4658" customFormat="false" ht="15" hidden="false" customHeight="false" outlineLevel="0" collapsed="false">
      <c r="A4658" s="60"/>
      <c r="B4658" s="61" t="str">
        <f aca="false">IF($M4658=0,"",INDEX(Classes!$E$6:$E$420,$M4658))</f>
        <v/>
      </c>
      <c r="C4658" s="62" t="str">
        <f aca="false">IF($M4658=0,"",INDEX(Classes!$H$6:$H$420,$M4658))</f>
        <v/>
      </c>
      <c r="D4658" s="61" t="str">
        <f aca="false">IF($M4658=0,"",INDEX(Classes!$B$6:$B$420,$M4658))</f>
        <v/>
      </c>
      <c r="E4658" s="61" t="str">
        <f aca="false">IF($M4658=0,"",INDEX(Classes!$C$6:$C$420,$M4658))</f>
        <v/>
      </c>
      <c r="F4658" s="63"/>
      <c r="G4658" s="63"/>
      <c r="H4658" s="60"/>
      <c r="I4658" s="60"/>
      <c r="J4658" s="63"/>
      <c r="K4658" s="61" t="str">
        <f aca="false">IF($P4658=0,"",IF($F4658="Baseline","— Baseline",IF($O4658=0,"No result",IF($N4658=0,"No Start (attainment only)",IF(OR($N4658=1,$O4658=1),"U – needs rule",INDEX(MxBody,MATCH($I4658,MxCurr,0),MATCH($H4658,MxStart,0)))))))</f>
        <v/>
      </c>
      <c r="L4658" s="62" t="str">
        <f aca="false">IF(COUNTA($A4658,$F4658,$G4658,$H4658,$I4658,$J4658)=0,"",IF($M4658=0,"✖ كود الصف غير موجود",IF(ISNA(MATCH($F4658,Lists!$A$2:$A$5,0)),"✖ الفترة غير صحيحة",IF(ISNA(MATCH($G4658,Lists!$B$2:$B$7,0)),"✖ المجموعة غير صحيحة",IF(NOT(OR($H4658="",$N4658&gt;0)),"✖ Start غير صحيح",IF(NOT(OR($I4658="",$I4658="NR",$O4658&gt;0)),"✖ Current غير صحيح",IF(NOT(IF(ISNUMBER($J4658),AND($J4658&gt;=0,$J4658=INT($J4658)),FALSE())),"✖ العدد يجب أن يكون صحيحًا ≥ 0",IF(AND($F4658="Baseline",$H4658&lt;&gt;""),"⚠ Baseline: Start لا يدخل في التقدم",IF($K4658="No Start (attainment only)","ℹ تحصيل فقط (بدون Start)",IF($K4658="U – needs rule","ℹ حالة U تحتاج قاعدة معتمدة",IF($K4658="No result","ℹ بدون نتيجة (يُستبعد من التحصيل)","OK")))))))))))</f>
        <v/>
      </c>
      <c r="M4658" s="64" t="n">
        <f aca="false">IF($A4658="",0,IFERROR(MATCH($A4658,Classes!$A$6:$A$420,0),0))</f>
        <v>0</v>
      </c>
      <c r="N4658" s="64" t="n">
        <f aca="false">IF($H4658="",0,IFERROR(MATCH($H4658,GradeList,0),0))</f>
        <v>0</v>
      </c>
      <c r="O4658" s="64" t="n">
        <f aca="false">IF(OR($I4658="",$I4658="NR"),0,IFERROR(MATCH($I4658,GradeList,0),0))</f>
        <v>0</v>
      </c>
      <c r="P4658" s="64" t="n">
        <f aca="false">IF(AND($M4658&gt;0,ISNUMBER(MATCH($F4658,Lists!$A$2:$A$5,0)),ISNUMBER(MATCH($G4658,Lists!$B$2:$B$7,0)),OR($H4658="",$N4658&gt;0),OR($I4658="",$I4658="NR",$O4658&gt;0),IF(ISNUMBER($J4658),AND($J4658&gt;=0,$J4658=INT($J4658)),FALSE())),$J4658,0)</f>
        <v>0</v>
      </c>
      <c r="Q4658" s="64" t="n">
        <f aca="false">IF(AND($P4658&gt;0,$O4658&gt;0),$P4658,0)</f>
        <v>0</v>
      </c>
      <c r="R4658" s="64" t="n">
        <f aca="false">IF(AND($Q4658&gt;0,$O4658&gt;=AtRank),$Q4658,0)</f>
        <v>0</v>
      </c>
      <c r="S4658" s="64" t="n">
        <f aca="false">IF(AND($Q4658&gt;0,$O4658&gt;=AboveRank),$Q4658,0)</f>
        <v>0</v>
      </c>
      <c r="T4658" s="64" t="n">
        <f aca="false">IF($K4658="Less",$P4658,0)</f>
        <v>0</v>
      </c>
      <c r="U4658" s="64" t="n">
        <f aca="false">IF($K4658="Expected",$P4658,0)</f>
        <v>0</v>
      </c>
      <c r="V4658" s="64" t="n">
        <f aca="false">IF($K4658="Better",$P4658,0)</f>
        <v>0</v>
      </c>
      <c r="W4658" s="64" t="n">
        <f aca="false">IF($K4658="U – needs rule",$P4658,0)</f>
        <v>0</v>
      </c>
      <c r="X4658" s="64" t="n">
        <f aca="false">IF($K4658="No Start (attainment only)",$P4658,0)</f>
        <v>0</v>
      </c>
    </row>
    <row r="4659" customFormat="false" ht="15" hidden="false" customHeight="false" outlineLevel="0" collapsed="false">
      <c r="A4659" s="60"/>
      <c r="B4659" s="61" t="str">
        <f aca="false">IF($M4659=0,"",INDEX(Classes!$E$6:$E$420,$M4659))</f>
        <v/>
      </c>
      <c r="C4659" s="62" t="str">
        <f aca="false">IF($M4659=0,"",INDEX(Classes!$H$6:$H$420,$M4659))</f>
        <v/>
      </c>
      <c r="D4659" s="61" t="str">
        <f aca="false">IF($M4659=0,"",INDEX(Classes!$B$6:$B$420,$M4659))</f>
        <v/>
      </c>
      <c r="E4659" s="61" t="str">
        <f aca="false">IF($M4659=0,"",INDEX(Classes!$C$6:$C$420,$M4659))</f>
        <v/>
      </c>
      <c r="F4659" s="63"/>
      <c r="G4659" s="63"/>
      <c r="H4659" s="60"/>
      <c r="I4659" s="60"/>
      <c r="J4659" s="63"/>
      <c r="K4659" s="61" t="str">
        <f aca="false">IF($P4659=0,"",IF($F4659="Baseline","— Baseline",IF($O4659=0,"No result",IF($N4659=0,"No Start (attainment only)",IF(OR($N4659=1,$O4659=1),"U – needs rule",INDEX(MxBody,MATCH($I4659,MxCurr,0),MATCH($H4659,MxStart,0)))))))</f>
        <v/>
      </c>
      <c r="L4659" s="62" t="str">
        <f aca="false">IF(COUNTA($A4659,$F4659,$G4659,$H4659,$I4659,$J4659)=0,"",IF($M4659=0,"✖ كود الصف غير موجود",IF(ISNA(MATCH($F4659,Lists!$A$2:$A$5,0)),"✖ الفترة غير صحيحة",IF(ISNA(MATCH($G4659,Lists!$B$2:$B$7,0)),"✖ المجموعة غير صحيحة",IF(NOT(OR($H4659="",$N4659&gt;0)),"✖ Start غير صحيح",IF(NOT(OR($I4659="",$I4659="NR",$O4659&gt;0)),"✖ Current غير صحيح",IF(NOT(IF(ISNUMBER($J4659),AND($J4659&gt;=0,$J4659=INT($J4659)),FALSE())),"✖ العدد يجب أن يكون صحيحًا ≥ 0",IF(AND($F4659="Baseline",$H4659&lt;&gt;""),"⚠ Baseline: Start لا يدخل في التقدم",IF($K4659="No Start (attainment only)","ℹ تحصيل فقط (بدون Start)",IF($K4659="U – needs rule","ℹ حالة U تحتاج قاعدة معتمدة",IF($K4659="No result","ℹ بدون نتيجة (يُستبعد من التحصيل)","OK")))))))))))</f>
        <v/>
      </c>
      <c r="M4659" s="64" t="n">
        <f aca="false">IF($A4659="",0,IFERROR(MATCH($A4659,Classes!$A$6:$A$420,0),0))</f>
        <v>0</v>
      </c>
      <c r="N4659" s="64" t="n">
        <f aca="false">IF($H4659="",0,IFERROR(MATCH($H4659,GradeList,0),0))</f>
        <v>0</v>
      </c>
      <c r="O4659" s="64" t="n">
        <f aca="false">IF(OR($I4659="",$I4659="NR"),0,IFERROR(MATCH($I4659,GradeList,0),0))</f>
        <v>0</v>
      </c>
      <c r="P4659" s="64" t="n">
        <f aca="false">IF(AND($M4659&gt;0,ISNUMBER(MATCH($F4659,Lists!$A$2:$A$5,0)),ISNUMBER(MATCH($G4659,Lists!$B$2:$B$7,0)),OR($H4659="",$N4659&gt;0),OR($I4659="",$I4659="NR",$O4659&gt;0),IF(ISNUMBER($J4659),AND($J4659&gt;=0,$J4659=INT($J4659)),FALSE())),$J4659,0)</f>
        <v>0</v>
      </c>
      <c r="Q4659" s="64" t="n">
        <f aca="false">IF(AND($P4659&gt;0,$O4659&gt;0),$P4659,0)</f>
        <v>0</v>
      </c>
      <c r="R4659" s="64" t="n">
        <f aca="false">IF(AND($Q4659&gt;0,$O4659&gt;=AtRank),$Q4659,0)</f>
        <v>0</v>
      </c>
      <c r="S4659" s="64" t="n">
        <f aca="false">IF(AND($Q4659&gt;0,$O4659&gt;=AboveRank),$Q4659,0)</f>
        <v>0</v>
      </c>
      <c r="T4659" s="64" t="n">
        <f aca="false">IF($K4659="Less",$P4659,0)</f>
        <v>0</v>
      </c>
      <c r="U4659" s="64" t="n">
        <f aca="false">IF($K4659="Expected",$P4659,0)</f>
        <v>0</v>
      </c>
      <c r="V4659" s="64" t="n">
        <f aca="false">IF($K4659="Better",$P4659,0)</f>
        <v>0</v>
      </c>
      <c r="W4659" s="64" t="n">
        <f aca="false">IF($K4659="U – needs rule",$P4659,0)</f>
        <v>0</v>
      </c>
      <c r="X4659" s="64" t="n">
        <f aca="false">IF($K4659="No Start (attainment only)",$P4659,0)</f>
        <v>0</v>
      </c>
    </row>
    <row r="4660" customFormat="false" ht="15" hidden="false" customHeight="false" outlineLevel="0" collapsed="false">
      <c r="A4660" s="60"/>
      <c r="B4660" s="61" t="str">
        <f aca="false">IF($M4660=0,"",INDEX(Classes!$E$6:$E$420,$M4660))</f>
        <v/>
      </c>
      <c r="C4660" s="62" t="str">
        <f aca="false">IF($M4660=0,"",INDEX(Classes!$H$6:$H$420,$M4660))</f>
        <v/>
      </c>
      <c r="D4660" s="61" t="str">
        <f aca="false">IF($M4660=0,"",INDEX(Classes!$B$6:$B$420,$M4660))</f>
        <v/>
      </c>
      <c r="E4660" s="61" t="str">
        <f aca="false">IF($M4660=0,"",INDEX(Classes!$C$6:$C$420,$M4660))</f>
        <v/>
      </c>
      <c r="F4660" s="63"/>
      <c r="G4660" s="63"/>
      <c r="H4660" s="60"/>
      <c r="I4660" s="60"/>
      <c r="J4660" s="63"/>
      <c r="K4660" s="61" t="str">
        <f aca="false">IF($P4660=0,"",IF($F4660="Baseline","— Baseline",IF($O4660=0,"No result",IF($N4660=0,"No Start (attainment only)",IF(OR($N4660=1,$O4660=1),"U – needs rule",INDEX(MxBody,MATCH($I4660,MxCurr,0),MATCH($H4660,MxStart,0)))))))</f>
        <v/>
      </c>
      <c r="L4660" s="62" t="str">
        <f aca="false">IF(COUNTA($A4660,$F4660,$G4660,$H4660,$I4660,$J4660)=0,"",IF($M4660=0,"✖ كود الصف غير موجود",IF(ISNA(MATCH($F4660,Lists!$A$2:$A$5,0)),"✖ الفترة غير صحيحة",IF(ISNA(MATCH($G4660,Lists!$B$2:$B$7,0)),"✖ المجموعة غير صحيحة",IF(NOT(OR($H4660="",$N4660&gt;0)),"✖ Start غير صحيح",IF(NOT(OR($I4660="",$I4660="NR",$O4660&gt;0)),"✖ Current غير صحيح",IF(NOT(IF(ISNUMBER($J4660),AND($J4660&gt;=0,$J4660=INT($J4660)),FALSE())),"✖ العدد يجب أن يكون صحيحًا ≥ 0",IF(AND($F4660="Baseline",$H4660&lt;&gt;""),"⚠ Baseline: Start لا يدخل في التقدم",IF($K4660="No Start (attainment only)","ℹ تحصيل فقط (بدون Start)",IF($K4660="U – needs rule","ℹ حالة U تحتاج قاعدة معتمدة",IF($K4660="No result","ℹ بدون نتيجة (يُستبعد من التحصيل)","OK")))))))))))</f>
        <v/>
      </c>
      <c r="M4660" s="64" t="n">
        <f aca="false">IF($A4660="",0,IFERROR(MATCH($A4660,Classes!$A$6:$A$420,0),0))</f>
        <v>0</v>
      </c>
      <c r="N4660" s="64" t="n">
        <f aca="false">IF($H4660="",0,IFERROR(MATCH($H4660,GradeList,0),0))</f>
        <v>0</v>
      </c>
      <c r="O4660" s="64" t="n">
        <f aca="false">IF(OR($I4660="",$I4660="NR"),0,IFERROR(MATCH($I4660,GradeList,0),0))</f>
        <v>0</v>
      </c>
      <c r="P4660" s="64" t="n">
        <f aca="false">IF(AND($M4660&gt;0,ISNUMBER(MATCH($F4660,Lists!$A$2:$A$5,0)),ISNUMBER(MATCH($G4660,Lists!$B$2:$B$7,0)),OR($H4660="",$N4660&gt;0),OR($I4660="",$I4660="NR",$O4660&gt;0),IF(ISNUMBER($J4660),AND($J4660&gt;=0,$J4660=INT($J4660)),FALSE())),$J4660,0)</f>
        <v>0</v>
      </c>
      <c r="Q4660" s="64" t="n">
        <f aca="false">IF(AND($P4660&gt;0,$O4660&gt;0),$P4660,0)</f>
        <v>0</v>
      </c>
      <c r="R4660" s="64" t="n">
        <f aca="false">IF(AND($Q4660&gt;0,$O4660&gt;=AtRank),$Q4660,0)</f>
        <v>0</v>
      </c>
      <c r="S4660" s="64" t="n">
        <f aca="false">IF(AND($Q4660&gt;0,$O4660&gt;=AboveRank),$Q4660,0)</f>
        <v>0</v>
      </c>
      <c r="T4660" s="64" t="n">
        <f aca="false">IF($K4660="Less",$P4660,0)</f>
        <v>0</v>
      </c>
      <c r="U4660" s="64" t="n">
        <f aca="false">IF($K4660="Expected",$P4660,0)</f>
        <v>0</v>
      </c>
      <c r="V4660" s="64" t="n">
        <f aca="false">IF($K4660="Better",$P4660,0)</f>
        <v>0</v>
      </c>
      <c r="W4660" s="64" t="n">
        <f aca="false">IF($K4660="U – needs rule",$P4660,0)</f>
        <v>0</v>
      </c>
      <c r="X4660" s="64" t="n">
        <f aca="false">IF($K4660="No Start (attainment only)",$P4660,0)</f>
        <v>0</v>
      </c>
    </row>
    <row r="4661" customFormat="false" ht="15" hidden="false" customHeight="false" outlineLevel="0" collapsed="false">
      <c r="A4661" s="60"/>
      <c r="B4661" s="61" t="str">
        <f aca="false">IF($M4661=0,"",INDEX(Classes!$E$6:$E$420,$M4661))</f>
        <v/>
      </c>
      <c r="C4661" s="62" t="str">
        <f aca="false">IF($M4661=0,"",INDEX(Classes!$H$6:$H$420,$M4661))</f>
        <v/>
      </c>
      <c r="D4661" s="61" t="str">
        <f aca="false">IF($M4661=0,"",INDEX(Classes!$B$6:$B$420,$M4661))</f>
        <v/>
      </c>
      <c r="E4661" s="61" t="str">
        <f aca="false">IF($M4661=0,"",INDEX(Classes!$C$6:$C$420,$M4661))</f>
        <v/>
      </c>
      <c r="F4661" s="63"/>
      <c r="G4661" s="63"/>
      <c r="H4661" s="60"/>
      <c r="I4661" s="60"/>
      <c r="J4661" s="63"/>
      <c r="K4661" s="61" t="str">
        <f aca="false">IF($P4661=0,"",IF($F4661="Baseline","— Baseline",IF($O4661=0,"No result",IF($N4661=0,"No Start (attainment only)",IF(OR($N4661=1,$O4661=1),"U – needs rule",INDEX(MxBody,MATCH($I4661,MxCurr,0),MATCH($H4661,MxStart,0)))))))</f>
        <v/>
      </c>
      <c r="L4661" s="62" t="str">
        <f aca="false">IF(COUNTA($A4661,$F4661,$G4661,$H4661,$I4661,$J4661)=0,"",IF($M4661=0,"✖ كود الصف غير موجود",IF(ISNA(MATCH($F4661,Lists!$A$2:$A$5,0)),"✖ الفترة غير صحيحة",IF(ISNA(MATCH($G4661,Lists!$B$2:$B$7,0)),"✖ المجموعة غير صحيحة",IF(NOT(OR($H4661="",$N4661&gt;0)),"✖ Start غير صحيح",IF(NOT(OR($I4661="",$I4661="NR",$O4661&gt;0)),"✖ Current غير صحيح",IF(NOT(IF(ISNUMBER($J4661),AND($J4661&gt;=0,$J4661=INT($J4661)),FALSE())),"✖ العدد يجب أن يكون صحيحًا ≥ 0",IF(AND($F4661="Baseline",$H4661&lt;&gt;""),"⚠ Baseline: Start لا يدخل في التقدم",IF($K4661="No Start (attainment only)","ℹ تحصيل فقط (بدون Start)",IF($K4661="U – needs rule","ℹ حالة U تحتاج قاعدة معتمدة",IF($K4661="No result","ℹ بدون نتيجة (يُستبعد من التحصيل)","OK")))))))))))</f>
        <v/>
      </c>
      <c r="M4661" s="64" t="n">
        <f aca="false">IF($A4661="",0,IFERROR(MATCH($A4661,Classes!$A$6:$A$420,0),0))</f>
        <v>0</v>
      </c>
      <c r="N4661" s="64" t="n">
        <f aca="false">IF($H4661="",0,IFERROR(MATCH($H4661,GradeList,0),0))</f>
        <v>0</v>
      </c>
      <c r="O4661" s="64" t="n">
        <f aca="false">IF(OR($I4661="",$I4661="NR"),0,IFERROR(MATCH($I4661,GradeList,0),0))</f>
        <v>0</v>
      </c>
      <c r="P4661" s="64" t="n">
        <f aca="false">IF(AND($M4661&gt;0,ISNUMBER(MATCH($F4661,Lists!$A$2:$A$5,0)),ISNUMBER(MATCH($G4661,Lists!$B$2:$B$7,0)),OR($H4661="",$N4661&gt;0),OR($I4661="",$I4661="NR",$O4661&gt;0),IF(ISNUMBER($J4661),AND($J4661&gt;=0,$J4661=INT($J4661)),FALSE())),$J4661,0)</f>
        <v>0</v>
      </c>
      <c r="Q4661" s="64" t="n">
        <f aca="false">IF(AND($P4661&gt;0,$O4661&gt;0),$P4661,0)</f>
        <v>0</v>
      </c>
      <c r="R4661" s="64" t="n">
        <f aca="false">IF(AND($Q4661&gt;0,$O4661&gt;=AtRank),$Q4661,0)</f>
        <v>0</v>
      </c>
      <c r="S4661" s="64" t="n">
        <f aca="false">IF(AND($Q4661&gt;0,$O4661&gt;=AboveRank),$Q4661,0)</f>
        <v>0</v>
      </c>
      <c r="T4661" s="64" t="n">
        <f aca="false">IF($K4661="Less",$P4661,0)</f>
        <v>0</v>
      </c>
      <c r="U4661" s="64" t="n">
        <f aca="false">IF($K4661="Expected",$P4661,0)</f>
        <v>0</v>
      </c>
      <c r="V4661" s="64" t="n">
        <f aca="false">IF($K4661="Better",$P4661,0)</f>
        <v>0</v>
      </c>
      <c r="W4661" s="64" t="n">
        <f aca="false">IF($K4661="U – needs rule",$P4661,0)</f>
        <v>0</v>
      </c>
      <c r="X4661" s="64" t="n">
        <f aca="false">IF($K4661="No Start (attainment only)",$P4661,0)</f>
        <v>0</v>
      </c>
    </row>
    <row r="4662" customFormat="false" ht="15" hidden="false" customHeight="false" outlineLevel="0" collapsed="false">
      <c r="A4662" s="60"/>
      <c r="B4662" s="61" t="str">
        <f aca="false">IF($M4662=0,"",INDEX(Classes!$E$6:$E$420,$M4662))</f>
        <v/>
      </c>
      <c r="C4662" s="62" t="str">
        <f aca="false">IF($M4662=0,"",INDEX(Classes!$H$6:$H$420,$M4662))</f>
        <v/>
      </c>
      <c r="D4662" s="61" t="str">
        <f aca="false">IF($M4662=0,"",INDEX(Classes!$B$6:$B$420,$M4662))</f>
        <v/>
      </c>
      <c r="E4662" s="61" t="str">
        <f aca="false">IF($M4662=0,"",INDEX(Classes!$C$6:$C$420,$M4662))</f>
        <v/>
      </c>
      <c r="F4662" s="63"/>
      <c r="G4662" s="63"/>
      <c r="H4662" s="60"/>
      <c r="I4662" s="60"/>
      <c r="J4662" s="63"/>
      <c r="K4662" s="61" t="str">
        <f aca="false">IF($P4662=0,"",IF($F4662="Baseline","— Baseline",IF($O4662=0,"No result",IF($N4662=0,"No Start (attainment only)",IF(OR($N4662=1,$O4662=1),"U – needs rule",INDEX(MxBody,MATCH($I4662,MxCurr,0),MATCH($H4662,MxStart,0)))))))</f>
        <v/>
      </c>
      <c r="L4662" s="62" t="str">
        <f aca="false">IF(COUNTA($A4662,$F4662,$G4662,$H4662,$I4662,$J4662)=0,"",IF($M4662=0,"✖ كود الصف غير موجود",IF(ISNA(MATCH($F4662,Lists!$A$2:$A$5,0)),"✖ الفترة غير صحيحة",IF(ISNA(MATCH($G4662,Lists!$B$2:$B$7,0)),"✖ المجموعة غير صحيحة",IF(NOT(OR($H4662="",$N4662&gt;0)),"✖ Start غير صحيح",IF(NOT(OR($I4662="",$I4662="NR",$O4662&gt;0)),"✖ Current غير صحيح",IF(NOT(IF(ISNUMBER($J4662),AND($J4662&gt;=0,$J4662=INT($J4662)),FALSE())),"✖ العدد يجب أن يكون صحيحًا ≥ 0",IF(AND($F4662="Baseline",$H4662&lt;&gt;""),"⚠ Baseline: Start لا يدخل في التقدم",IF($K4662="No Start (attainment only)","ℹ تحصيل فقط (بدون Start)",IF($K4662="U – needs rule","ℹ حالة U تحتاج قاعدة معتمدة",IF($K4662="No result","ℹ بدون نتيجة (يُستبعد من التحصيل)","OK")))))))))))</f>
        <v/>
      </c>
      <c r="M4662" s="64" t="n">
        <f aca="false">IF($A4662="",0,IFERROR(MATCH($A4662,Classes!$A$6:$A$420,0),0))</f>
        <v>0</v>
      </c>
      <c r="N4662" s="64" t="n">
        <f aca="false">IF($H4662="",0,IFERROR(MATCH($H4662,GradeList,0),0))</f>
        <v>0</v>
      </c>
      <c r="O4662" s="64" t="n">
        <f aca="false">IF(OR($I4662="",$I4662="NR"),0,IFERROR(MATCH($I4662,GradeList,0),0))</f>
        <v>0</v>
      </c>
      <c r="P4662" s="64" t="n">
        <f aca="false">IF(AND($M4662&gt;0,ISNUMBER(MATCH($F4662,Lists!$A$2:$A$5,0)),ISNUMBER(MATCH($G4662,Lists!$B$2:$B$7,0)),OR($H4662="",$N4662&gt;0),OR($I4662="",$I4662="NR",$O4662&gt;0),IF(ISNUMBER($J4662),AND($J4662&gt;=0,$J4662=INT($J4662)),FALSE())),$J4662,0)</f>
        <v>0</v>
      </c>
      <c r="Q4662" s="64" t="n">
        <f aca="false">IF(AND($P4662&gt;0,$O4662&gt;0),$P4662,0)</f>
        <v>0</v>
      </c>
      <c r="R4662" s="64" t="n">
        <f aca="false">IF(AND($Q4662&gt;0,$O4662&gt;=AtRank),$Q4662,0)</f>
        <v>0</v>
      </c>
      <c r="S4662" s="64" t="n">
        <f aca="false">IF(AND($Q4662&gt;0,$O4662&gt;=AboveRank),$Q4662,0)</f>
        <v>0</v>
      </c>
      <c r="T4662" s="64" t="n">
        <f aca="false">IF($K4662="Less",$P4662,0)</f>
        <v>0</v>
      </c>
      <c r="U4662" s="64" t="n">
        <f aca="false">IF($K4662="Expected",$P4662,0)</f>
        <v>0</v>
      </c>
      <c r="V4662" s="64" t="n">
        <f aca="false">IF($K4662="Better",$P4662,0)</f>
        <v>0</v>
      </c>
      <c r="W4662" s="64" t="n">
        <f aca="false">IF($K4662="U – needs rule",$P4662,0)</f>
        <v>0</v>
      </c>
      <c r="X4662" s="64" t="n">
        <f aca="false">IF($K4662="No Start (attainment only)",$P4662,0)</f>
        <v>0</v>
      </c>
    </row>
    <row r="4663" customFormat="false" ht="15" hidden="false" customHeight="false" outlineLevel="0" collapsed="false">
      <c r="A4663" s="60"/>
      <c r="B4663" s="61" t="str">
        <f aca="false">IF($M4663=0,"",INDEX(Classes!$E$6:$E$420,$M4663))</f>
        <v/>
      </c>
      <c r="C4663" s="62" t="str">
        <f aca="false">IF($M4663=0,"",INDEX(Classes!$H$6:$H$420,$M4663))</f>
        <v/>
      </c>
      <c r="D4663" s="61" t="str">
        <f aca="false">IF($M4663=0,"",INDEX(Classes!$B$6:$B$420,$M4663))</f>
        <v/>
      </c>
      <c r="E4663" s="61" t="str">
        <f aca="false">IF($M4663=0,"",INDEX(Classes!$C$6:$C$420,$M4663))</f>
        <v/>
      </c>
      <c r="F4663" s="63"/>
      <c r="G4663" s="63"/>
      <c r="H4663" s="60"/>
      <c r="I4663" s="60"/>
      <c r="J4663" s="63"/>
      <c r="K4663" s="61" t="str">
        <f aca="false">IF($P4663=0,"",IF($F4663="Baseline","— Baseline",IF($O4663=0,"No result",IF($N4663=0,"No Start (attainment only)",IF(OR($N4663=1,$O4663=1),"U – needs rule",INDEX(MxBody,MATCH($I4663,MxCurr,0),MATCH($H4663,MxStart,0)))))))</f>
        <v/>
      </c>
      <c r="L4663" s="62" t="str">
        <f aca="false">IF(COUNTA($A4663,$F4663,$G4663,$H4663,$I4663,$J4663)=0,"",IF($M4663=0,"✖ كود الصف غير موجود",IF(ISNA(MATCH($F4663,Lists!$A$2:$A$5,0)),"✖ الفترة غير صحيحة",IF(ISNA(MATCH($G4663,Lists!$B$2:$B$7,0)),"✖ المجموعة غير صحيحة",IF(NOT(OR($H4663="",$N4663&gt;0)),"✖ Start غير صحيح",IF(NOT(OR($I4663="",$I4663="NR",$O4663&gt;0)),"✖ Current غير صحيح",IF(NOT(IF(ISNUMBER($J4663),AND($J4663&gt;=0,$J4663=INT($J4663)),FALSE())),"✖ العدد يجب أن يكون صحيحًا ≥ 0",IF(AND($F4663="Baseline",$H4663&lt;&gt;""),"⚠ Baseline: Start لا يدخل في التقدم",IF($K4663="No Start (attainment only)","ℹ تحصيل فقط (بدون Start)",IF($K4663="U – needs rule","ℹ حالة U تحتاج قاعدة معتمدة",IF($K4663="No result","ℹ بدون نتيجة (يُستبعد من التحصيل)","OK")))))))))))</f>
        <v/>
      </c>
      <c r="M4663" s="64" t="n">
        <f aca="false">IF($A4663="",0,IFERROR(MATCH($A4663,Classes!$A$6:$A$420,0),0))</f>
        <v>0</v>
      </c>
      <c r="N4663" s="64" t="n">
        <f aca="false">IF($H4663="",0,IFERROR(MATCH($H4663,GradeList,0),0))</f>
        <v>0</v>
      </c>
      <c r="O4663" s="64" t="n">
        <f aca="false">IF(OR($I4663="",$I4663="NR"),0,IFERROR(MATCH($I4663,GradeList,0),0))</f>
        <v>0</v>
      </c>
      <c r="P4663" s="64" t="n">
        <f aca="false">IF(AND($M4663&gt;0,ISNUMBER(MATCH($F4663,Lists!$A$2:$A$5,0)),ISNUMBER(MATCH($G4663,Lists!$B$2:$B$7,0)),OR($H4663="",$N4663&gt;0),OR($I4663="",$I4663="NR",$O4663&gt;0),IF(ISNUMBER($J4663),AND($J4663&gt;=0,$J4663=INT($J4663)),FALSE())),$J4663,0)</f>
        <v>0</v>
      </c>
      <c r="Q4663" s="64" t="n">
        <f aca="false">IF(AND($P4663&gt;0,$O4663&gt;0),$P4663,0)</f>
        <v>0</v>
      </c>
      <c r="R4663" s="64" t="n">
        <f aca="false">IF(AND($Q4663&gt;0,$O4663&gt;=AtRank),$Q4663,0)</f>
        <v>0</v>
      </c>
      <c r="S4663" s="64" t="n">
        <f aca="false">IF(AND($Q4663&gt;0,$O4663&gt;=AboveRank),$Q4663,0)</f>
        <v>0</v>
      </c>
      <c r="T4663" s="64" t="n">
        <f aca="false">IF($K4663="Less",$P4663,0)</f>
        <v>0</v>
      </c>
      <c r="U4663" s="64" t="n">
        <f aca="false">IF($K4663="Expected",$P4663,0)</f>
        <v>0</v>
      </c>
      <c r="V4663" s="64" t="n">
        <f aca="false">IF($K4663="Better",$P4663,0)</f>
        <v>0</v>
      </c>
      <c r="W4663" s="64" t="n">
        <f aca="false">IF($K4663="U – needs rule",$P4663,0)</f>
        <v>0</v>
      </c>
      <c r="X4663" s="64" t="n">
        <f aca="false">IF($K4663="No Start (attainment only)",$P4663,0)</f>
        <v>0</v>
      </c>
    </row>
    <row r="4664" customFormat="false" ht="15" hidden="false" customHeight="false" outlineLevel="0" collapsed="false">
      <c r="A4664" s="60"/>
      <c r="B4664" s="61" t="str">
        <f aca="false">IF($M4664=0,"",INDEX(Classes!$E$6:$E$420,$M4664))</f>
        <v/>
      </c>
      <c r="C4664" s="62" t="str">
        <f aca="false">IF($M4664=0,"",INDEX(Classes!$H$6:$H$420,$M4664))</f>
        <v/>
      </c>
      <c r="D4664" s="61" t="str">
        <f aca="false">IF($M4664=0,"",INDEX(Classes!$B$6:$B$420,$M4664))</f>
        <v/>
      </c>
      <c r="E4664" s="61" t="str">
        <f aca="false">IF($M4664=0,"",INDEX(Classes!$C$6:$C$420,$M4664))</f>
        <v/>
      </c>
      <c r="F4664" s="63"/>
      <c r="G4664" s="63"/>
      <c r="H4664" s="60"/>
      <c r="I4664" s="60"/>
      <c r="J4664" s="63"/>
      <c r="K4664" s="61" t="str">
        <f aca="false">IF($P4664=0,"",IF($F4664="Baseline","— Baseline",IF($O4664=0,"No result",IF($N4664=0,"No Start (attainment only)",IF(OR($N4664=1,$O4664=1),"U – needs rule",INDEX(MxBody,MATCH($I4664,MxCurr,0),MATCH($H4664,MxStart,0)))))))</f>
        <v/>
      </c>
      <c r="L4664" s="62" t="str">
        <f aca="false">IF(COUNTA($A4664,$F4664,$G4664,$H4664,$I4664,$J4664)=0,"",IF($M4664=0,"✖ كود الصف غير موجود",IF(ISNA(MATCH($F4664,Lists!$A$2:$A$5,0)),"✖ الفترة غير صحيحة",IF(ISNA(MATCH($G4664,Lists!$B$2:$B$7,0)),"✖ المجموعة غير صحيحة",IF(NOT(OR($H4664="",$N4664&gt;0)),"✖ Start غير صحيح",IF(NOT(OR($I4664="",$I4664="NR",$O4664&gt;0)),"✖ Current غير صحيح",IF(NOT(IF(ISNUMBER($J4664),AND($J4664&gt;=0,$J4664=INT($J4664)),FALSE())),"✖ العدد يجب أن يكون صحيحًا ≥ 0",IF(AND($F4664="Baseline",$H4664&lt;&gt;""),"⚠ Baseline: Start لا يدخل في التقدم",IF($K4664="No Start (attainment only)","ℹ تحصيل فقط (بدون Start)",IF($K4664="U – needs rule","ℹ حالة U تحتاج قاعدة معتمدة",IF($K4664="No result","ℹ بدون نتيجة (يُستبعد من التحصيل)","OK")))))))))))</f>
        <v/>
      </c>
      <c r="M4664" s="64" t="n">
        <f aca="false">IF($A4664="",0,IFERROR(MATCH($A4664,Classes!$A$6:$A$420,0),0))</f>
        <v>0</v>
      </c>
      <c r="N4664" s="64" t="n">
        <f aca="false">IF($H4664="",0,IFERROR(MATCH($H4664,GradeList,0),0))</f>
        <v>0</v>
      </c>
      <c r="O4664" s="64" t="n">
        <f aca="false">IF(OR($I4664="",$I4664="NR"),0,IFERROR(MATCH($I4664,GradeList,0),0))</f>
        <v>0</v>
      </c>
      <c r="P4664" s="64" t="n">
        <f aca="false">IF(AND($M4664&gt;0,ISNUMBER(MATCH($F4664,Lists!$A$2:$A$5,0)),ISNUMBER(MATCH($G4664,Lists!$B$2:$B$7,0)),OR($H4664="",$N4664&gt;0),OR($I4664="",$I4664="NR",$O4664&gt;0),IF(ISNUMBER($J4664),AND($J4664&gt;=0,$J4664=INT($J4664)),FALSE())),$J4664,0)</f>
        <v>0</v>
      </c>
      <c r="Q4664" s="64" t="n">
        <f aca="false">IF(AND($P4664&gt;0,$O4664&gt;0),$P4664,0)</f>
        <v>0</v>
      </c>
      <c r="R4664" s="64" t="n">
        <f aca="false">IF(AND($Q4664&gt;0,$O4664&gt;=AtRank),$Q4664,0)</f>
        <v>0</v>
      </c>
      <c r="S4664" s="64" t="n">
        <f aca="false">IF(AND($Q4664&gt;0,$O4664&gt;=AboveRank),$Q4664,0)</f>
        <v>0</v>
      </c>
      <c r="T4664" s="64" t="n">
        <f aca="false">IF($K4664="Less",$P4664,0)</f>
        <v>0</v>
      </c>
      <c r="U4664" s="64" t="n">
        <f aca="false">IF($K4664="Expected",$P4664,0)</f>
        <v>0</v>
      </c>
      <c r="V4664" s="64" t="n">
        <f aca="false">IF($K4664="Better",$P4664,0)</f>
        <v>0</v>
      </c>
      <c r="W4664" s="64" t="n">
        <f aca="false">IF($K4664="U – needs rule",$P4664,0)</f>
        <v>0</v>
      </c>
      <c r="X4664" s="64" t="n">
        <f aca="false">IF($K4664="No Start (attainment only)",$P4664,0)</f>
        <v>0</v>
      </c>
    </row>
    <row r="4665" customFormat="false" ht="15" hidden="false" customHeight="false" outlineLevel="0" collapsed="false">
      <c r="A4665" s="60"/>
      <c r="B4665" s="61" t="str">
        <f aca="false">IF($M4665=0,"",INDEX(Classes!$E$6:$E$420,$M4665))</f>
        <v/>
      </c>
      <c r="C4665" s="62" t="str">
        <f aca="false">IF($M4665=0,"",INDEX(Classes!$H$6:$H$420,$M4665))</f>
        <v/>
      </c>
      <c r="D4665" s="61" t="str">
        <f aca="false">IF($M4665=0,"",INDEX(Classes!$B$6:$B$420,$M4665))</f>
        <v/>
      </c>
      <c r="E4665" s="61" t="str">
        <f aca="false">IF($M4665=0,"",INDEX(Classes!$C$6:$C$420,$M4665))</f>
        <v/>
      </c>
      <c r="F4665" s="63"/>
      <c r="G4665" s="63"/>
      <c r="H4665" s="60"/>
      <c r="I4665" s="60"/>
      <c r="J4665" s="63"/>
      <c r="K4665" s="61" t="str">
        <f aca="false">IF($P4665=0,"",IF($F4665="Baseline","— Baseline",IF($O4665=0,"No result",IF($N4665=0,"No Start (attainment only)",IF(OR($N4665=1,$O4665=1),"U – needs rule",INDEX(MxBody,MATCH($I4665,MxCurr,0),MATCH($H4665,MxStart,0)))))))</f>
        <v/>
      </c>
      <c r="L4665" s="62" t="str">
        <f aca="false">IF(COUNTA($A4665,$F4665,$G4665,$H4665,$I4665,$J4665)=0,"",IF($M4665=0,"✖ كود الصف غير موجود",IF(ISNA(MATCH($F4665,Lists!$A$2:$A$5,0)),"✖ الفترة غير صحيحة",IF(ISNA(MATCH($G4665,Lists!$B$2:$B$7,0)),"✖ المجموعة غير صحيحة",IF(NOT(OR($H4665="",$N4665&gt;0)),"✖ Start غير صحيح",IF(NOT(OR($I4665="",$I4665="NR",$O4665&gt;0)),"✖ Current غير صحيح",IF(NOT(IF(ISNUMBER($J4665),AND($J4665&gt;=0,$J4665=INT($J4665)),FALSE())),"✖ العدد يجب أن يكون صحيحًا ≥ 0",IF(AND($F4665="Baseline",$H4665&lt;&gt;""),"⚠ Baseline: Start لا يدخل في التقدم",IF($K4665="No Start (attainment only)","ℹ تحصيل فقط (بدون Start)",IF($K4665="U – needs rule","ℹ حالة U تحتاج قاعدة معتمدة",IF($K4665="No result","ℹ بدون نتيجة (يُستبعد من التحصيل)","OK")))))))))))</f>
        <v/>
      </c>
      <c r="M4665" s="64" t="n">
        <f aca="false">IF($A4665="",0,IFERROR(MATCH($A4665,Classes!$A$6:$A$420,0),0))</f>
        <v>0</v>
      </c>
      <c r="N4665" s="64" t="n">
        <f aca="false">IF($H4665="",0,IFERROR(MATCH($H4665,GradeList,0),0))</f>
        <v>0</v>
      </c>
      <c r="O4665" s="64" t="n">
        <f aca="false">IF(OR($I4665="",$I4665="NR"),0,IFERROR(MATCH($I4665,GradeList,0),0))</f>
        <v>0</v>
      </c>
      <c r="P4665" s="64" t="n">
        <f aca="false">IF(AND($M4665&gt;0,ISNUMBER(MATCH($F4665,Lists!$A$2:$A$5,0)),ISNUMBER(MATCH($G4665,Lists!$B$2:$B$7,0)),OR($H4665="",$N4665&gt;0),OR($I4665="",$I4665="NR",$O4665&gt;0),IF(ISNUMBER($J4665),AND($J4665&gt;=0,$J4665=INT($J4665)),FALSE())),$J4665,0)</f>
        <v>0</v>
      </c>
      <c r="Q4665" s="64" t="n">
        <f aca="false">IF(AND($P4665&gt;0,$O4665&gt;0),$P4665,0)</f>
        <v>0</v>
      </c>
      <c r="R4665" s="64" t="n">
        <f aca="false">IF(AND($Q4665&gt;0,$O4665&gt;=AtRank),$Q4665,0)</f>
        <v>0</v>
      </c>
      <c r="S4665" s="64" t="n">
        <f aca="false">IF(AND($Q4665&gt;0,$O4665&gt;=AboveRank),$Q4665,0)</f>
        <v>0</v>
      </c>
      <c r="T4665" s="64" t="n">
        <f aca="false">IF($K4665="Less",$P4665,0)</f>
        <v>0</v>
      </c>
      <c r="U4665" s="64" t="n">
        <f aca="false">IF($K4665="Expected",$P4665,0)</f>
        <v>0</v>
      </c>
      <c r="V4665" s="64" t="n">
        <f aca="false">IF($K4665="Better",$P4665,0)</f>
        <v>0</v>
      </c>
      <c r="W4665" s="64" t="n">
        <f aca="false">IF($K4665="U – needs rule",$P4665,0)</f>
        <v>0</v>
      </c>
      <c r="X4665" s="64" t="n">
        <f aca="false">IF($K4665="No Start (attainment only)",$P4665,0)</f>
        <v>0</v>
      </c>
    </row>
    <row r="4666" customFormat="false" ht="15" hidden="false" customHeight="false" outlineLevel="0" collapsed="false">
      <c r="A4666" s="60"/>
      <c r="B4666" s="61" t="str">
        <f aca="false">IF($M4666=0,"",INDEX(Classes!$E$6:$E$420,$M4666))</f>
        <v/>
      </c>
      <c r="C4666" s="62" t="str">
        <f aca="false">IF($M4666=0,"",INDEX(Classes!$H$6:$H$420,$M4666))</f>
        <v/>
      </c>
      <c r="D4666" s="61" t="str">
        <f aca="false">IF($M4666=0,"",INDEX(Classes!$B$6:$B$420,$M4666))</f>
        <v/>
      </c>
      <c r="E4666" s="61" t="str">
        <f aca="false">IF($M4666=0,"",INDEX(Classes!$C$6:$C$420,$M4666))</f>
        <v/>
      </c>
      <c r="F4666" s="63"/>
      <c r="G4666" s="63"/>
      <c r="H4666" s="60"/>
      <c r="I4666" s="60"/>
      <c r="J4666" s="63"/>
      <c r="K4666" s="61" t="str">
        <f aca="false">IF($P4666=0,"",IF($F4666="Baseline","— Baseline",IF($O4666=0,"No result",IF($N4666=0,"No Start (attainment only)",IF(OR($N4666=1,$O4666=1),"U – needs rule",INDEX(MxBody,MATCH($I4666,MxCurr,0),MATCH($H4666,MxStart,0)))))))</f>
        <v/>
      </c>
      <c r="L4666" s="62" t="str">
        <f aca="false">IF(COUNTA($A4666,$F4666,$G4666,$H4666,$I4666,$J4666)=0,"",IF($M4666=0,"✖ كود الصف غير موجود",IF(ISNA(MATCH($F4666,Lists!$A$2:$A$5,0)),"✖ الفترة غير صحيحة",IF(ISNA(MATCH($G4666,Lists!$B$2:$B$7,0)),"✖ المجموعة غير صحيحة",IF(NOT(OR($H4666="",$N4666&gt;0)),"✖ Start غير صحيح",IF(NOT(OR($I4666="",$I4666="NR",$O4666&gt;0)),"✖ Current غير صحيح",IF(NOT(IF(ISNUMBER($J4666),AND($J4666&gt;=0,$J4666=INT($J4666)),FALSE())),"✖ العدد يجب أن يكون صحيحًا ≥ 0",IF(AND($F4666="Baseline",$H4666&lt;&gt;""),"⚠ Baseline: Start لا يدخل في التقدم",IF($K4666="No Start (attainment only)","ℹ تحصيل فقط (بدون Start)",IF($K4666="U – needs rule","ℹ حالة U تحتاج قاعدة معتمدة",IF($K4666="No result","ℹ بدون نتيجة (يُستبعد من التحصيل)","OK")))))))))))</f>
        <v/>
      </c>
      <c r="M4666" s="64" t="n">
        <f aca="false">IF($A4666="",0,IFERROR(MATCH($A4666,Classes!$A$6:$A$420,0),0))</f>
        <v>0</v>
      </c>
      <c r="N4666" s="64" t="n">
        <f aca="false">IF($H4666="",0,IFERROR(MATCH($H4666,GradeList,0),0))</f>
        <v>0</v>
      </c>
      <c r="O4666" s="64" t="n">
        <f aca="false">IF(OR($I4666="",$I4666="NR"),0,IFERROR(MATCH($I4666,GradeList,0),0))</f>
        <v>0</v>
      </c>
      <c r="P4666" s="64" t="n">
        <f aca="false">IF(AND($M4666&gt;0,ISNUMBER(MATCH($F4666,Lists!$A$2:$A$5,0)),ISNUMBER(MATCH($G4666,Lists!$B$2:$B$7,0)),OR($H4666="",$N4666&gt;0),OR($I4666="",$I4666="NR",$O4666&gt;0),IF(ISNUMBER($J4666),AND($J4666&gt;=0,$J4666=INT($J4666)),FALSE())),$J4666,0)</f>
        <v>0</v>
      </c>
      <c r="Q4666" s="64" t="n">
        <f aca="false">IF(AND($P4666&gt;0,$O4666&gt;0),$P4666,0)</f>
        <v>0</v>
      </c>
      <c r="R4666" s="64" t="n">
        <f aca="false">IF(AND($Q4666&gt;0,$O4666&gt;=AtRank),$Q4666,0)</f>
        <v>0</v>
      </c>
      <c r="S4666" s="64" t="n">
        <f aca="false">IF(AND($Q4666&gt;0,$O4666&gt;=AboveRank),$Q4666,0)</f>
        <v>0</v>
      </c>
      <c r="T4666" s="64" t="n">
        <f aca="false">IF($K4666="Less",$P4666,0)</f>
        <v>0</v>
      </c>
      <c r="U4666" s="64" t="n">
        <f aca="false">IF($K4666="Expected",$P4666,0)</f>
        <v>0</v>
      </c>
      <c r="V4666" s="64" t="n">
        <f aca="false">IF($K4666="Better",$P4666,0)</f>
        <v>0</v>
      </c>
      <c r="W4666" s="64" t="n">
        <f aca="false">IF($K4666="U – needs rule",$P4666,0)</f>
        <v>0</v>
      </c>
      <c r="X4666" s="64" t="n">
        <f aca="false">IF($K4666="No Start (attainment only)",$P4666,0)</f>
        <v>0</v>
      </c>
    </row>
    <row r="4667" customFormat="false" ht="15" hidden="false" customHeight="false" outlineLevel="0" collapsed="false">
      <c r="A4667" s="60"/>
      <c r="B4667" s="61" t="str">
        <f aca="false">IF($M4667=0,"",INDEX(Classes!$E$6:$E$420,$M4667))</f>
        <v/>
      </c>
      <c r="C4667" s="62" t="str">
        <f aca="false">IF($M4667=0,"",INDEX(Classes!$H$6:$H$420,$M4667))</f>
        <v/>
      </c>
      <c r="D4667" s="61" t="str">
        <f aca="false">IF($M4667=0,"",INDEX(Classes!$B$6:$B$420,$M4667))</f>
        <v/>
      </c>
      <c r="E4667" s="61" t="str">
        <f aca="false">IF($M4667=0,"",INDEX(Classes!$C$6:$C$420,$M4667))</f>
        <v/>
      </c>
      <c r="F4667" s="63"/>
      <c r="G4667" s="63"/>
      <c r="H4667" s="60"/>
      <c r="I4667" s="60"/>
      <c r="J4667" s="63"/>
      <c r="K4667" s="61" t="str">
        <f aca="false">IF($P4667=0,"",IF($F4667="Baseline","— Baseline",IF($O4667=0,"No result",IF($N4667=0,"No Start (attainment only)",IF(OR($N4667=1,$O4667=1),"U – needs rule",INDEX(MxBody,MATCH($I4667,MxCurr,0),MATCH($H4667,MxStart,0)))))))</f>
        <v/>
      </c>
      <c r="L4667" s="62" t="str">
        <f aca="false">IF(COUNTA($A4667,$F4667,$G4667,$H4667,$I4667,$J4667)=0,"",IF($M4667=0,"✖ كود الصف غير موجود",IF(ISNA(MATCH($F4667,Lists!$A$2:$A$5,0)),"✖ الفترة غير صحيحة",IF(ISNA(MATCH($G4667,Lists!$B$2:$B$7,0)),"✖ المجموعة غير صحيحة",IF(NOT(OR($H4667="",$N4667&gt;0)),"✖ Start غير صحيح",IF(NOT(OR($I4667="",$I4667="NR",$O4667&gt;0)),"✖ Current غير صحيح",IF(NOT(IF(ISNUMBER($J4667),AND($J4667&gt;=0,$J4667=INT($J4667)),FALSE())),"✖ العدد يجب أن يكون صحيحًا ≥ 0",IF(AND($F4667="Baseline",$H4667&lt;&gt;""),"⚠ Baseline: Start لا يدخل في التقدم",IF($K4667="No Start (attainment only)","ℹ تحصيل فقط (بدون Start)",IF($K4667="U – needs rule","ℹ حالة U تحتاج قاعدة معتمدة",IF($K4667="No result","ℹ بدون نتيجة (يُستبعد من التحصيل)","OK")))))))))))</f>
        <v/>
      </c>
      <c r="M4667" s="64" t="n">
        <f aca="false">IF($A4667="",0,IFERROR(MATCH($A4667,Classes!$A$6:$A$420,0),0))</f>
        <v>0</v>
      </c>
      <c r="N4667" s="64" t="n">
        <f aca="false">IF($H4667="",0,IFERROR(MATCH($H4667,GradeList,0),0))</f>
        <v>0</v>
      </c>
      <c r="O4667" s="64" t="n">
        <f aca="false">IF(OR($I4667="",$I4667="NR"),0,IFERROR(MATCH($I4667,GradeList,0),0))</f>
        <v>0</v>
      </c>
      <c r="P4667" s="64" t="n">
        <f aca="false">IF(AND($M4667&gt;0,ISNUMBER(MATCH($F4667,Lists!$A$2:$A$5,0)),ISNUMBER(MATCH($G4667,Lists!$B$2:$B$7,0)),OR($H4667="",$N4667&gt;0),OR($I4667="",$I4667="NR",$O4667&gt;0),IF(ISNUMBER($J4667),AND($J4667&gt;=0,$J4667=INT($J4667)),FALSE())),$J4667,0)</f>
        <v>0</v>
      </c>
      <c r="Q4667" s="64" t="n">
        <f aca="false">IF(AND($P4667&gt;0,$O4667&gt;0),$P4667,0)</f>
        <v>0</v>
      </c>
      <c r="R4667" s="64" t="n">
        <f aca="false">IF(AND($Q4667&gt;0,$O4667&gt;=AtRank),$Q4667,0)</f>
        <v>0</v>
      </c>
      <c r="S4667" s="64" t="n">
        <f aca="false">IF(AND($Q4667&gt;0,$O4667&gt;=AboveRank),$Q4667,0)</f>
        <v>0</v>
      </c>
      <c r="T4667" s="64" t="n">
        <f aca="false">IF($K4667="Less",$P4667,0)</f>
        <v>0</v>
      </c>
      <c r="U4667" s="64" t="n">
        <f aca="false">IF($K4667="Expected",$P4667,0)</f>
        <v>0</v>
      </c>
      <c r="V4667" s="64" t="n">
        <f aca="false">IF($K4667="Better",$P4667,0)</f>
        <v>0</v>
      </c>
      <c r="W4667" s="64" t="n">
        <f aca="false">IF($K4667="U – needs rule",$P4667,0)</f>
        <v>0</v>
      </c>
      <c r="X4667" s="64" t="n">
        <f aca="false">IF($K4667="No Start (attainment only)",$P4667,0)</f>
        <v>0</v>
      </c>
    </row>
    <row r="4668" customFormat="false" ht="15" hidden="false" customHeight="false" outlineLevel="0" collapsed="false">
      <c r="A4668" s="60"/>
      <c r="B4668" s="61" t="str">
        <f aca="false">IF($M4668=0,"",INDEX(Classes!$E$6:$E$420,$M4668))</f>
        <v/>
      </c>
      <c r="C4668" s="62" t="str">
        <f aca="false">IF($M4668=0,"",INDEX(Classes!$H$6:$H$420,$M4668))</f>
        <v/>
      </c>
      <c r="D4668" s="61" t="str">
        <f aca="false">IF($M4668=0,"",INDEX(Classes!$B$6:$B$420,$M4668))</f>
        <v/>
      </c>
      <c r="E4668" s="61" t="str">
        <f aca="false">IF($M4668=0,"",INDEX(Classes!$C$6:$C$420,$M4668))</f>
        <v/>
      </c>
      <c r="F4668" s="63"/>
      <c r="G4668" s="63"/>
      <c r="H4668" s="60"/>
      <c r="I4668" s="60"/>
      <c r="J4668" s="63"/>
      <c r="K4668" s="61" t="str">
        <f aca="false">IF($P4668=0,"",IF($F4668="Baseline","— Baseline",IF($O4668=0,"No result",IF($N4668=0,"No Start (attainment only)",IF(OR($N4668=1,$O4668=1),"U – needs rule",INDEX(MxBody,MATCH($I4668,MxCurr,0),MATCH($H4668,MxStart,0)))))))</f>
        <v/>
      </c>
      <c r="L4668" s="62" t="str">
        <f aca="false">IF(COUNTA($A4668,$F4668,$G4668,$H4668,$I4668,$J4668)=0,"",IF($M4668=0,"✖ كود الصف غير موجود",IF(ISNA(MATCH($F4668,Lists!$A$2:$A$5,0)),"✖ الفترة غير صحيحة",IF(ISNA(MATCH($G4668,Lists!$B$2:$B$7,0)),"✖ المجموعة غير صحيحة",IF(NOT(OR($H4668="",$N4668&gt;0)),"✖ Start غير صحيح",IF(NOT(OR($I4668="",$I4668="NR",$O4668&gt;0)),"✖ Current غير صحيح",IF(NOT(IF(ISNUMBER($J4668),AND($J4668&gt;=0,$J4668=INT($J4668)),FALSE())),"✖ العدد يجب أن يكون صحيحًا ≥ 0",IF(AND($F4668="Baseline",$H4668&lt;&gt;""),"⚠ Baseline: Start لا يدخل في التقدم",IF($K4668="No Start (attainment only)","ℹ تحصيل فقط (بدون Start)",IF($K4668="U – needs rule","ℹ حالة U تحتاج قاعدة معتمدة",IF($K4668="No result","ℹ بدون نتيجة (يُستبعد من التحصيل)","OK")))))))))))</f>
        <v/>
      </c>
      <c r="M4668" s="64" t="n">
        <f aca="false">IF($A4668="",0,IFERROR(MATCH($A4668,Classes!$A$6:$A$420,0),0))</f>
        <v>0</v>
      </c>
      <c r="N4668" s="64" t="n">
        <f aca="false">IF($H4668="",0,IFERROR(MATCH($H4668,GradeList,0),0))</f>
        <v>0</v>
      </c>
      <c r="O4668" s="64" t="n">
        <f aca="false">IF(OR($I4668="",$I4668="NR"),0,IFERROR(MATCH($I4668,GradeList,0),0))</f>
        <v>0</v>
      </c>
      <c r="P4668" s="64" t="n">
        <f aca="false">IF(AND($M4668&gt;0,ISNUMBER(MATCH($F4668,Lists!$A$2:$A$5,0)),ISNUMBER(MATCH($G4668,Lists!$B$2:$B$7,0)),OR($H4668="",$N4668&gt;0),OR($I4668="",$I4668="NR",$O4668&gt;0),IF(ISNUMBER($J4668),AND($J4668&gt;=0,$J4668=INT($J4668)),FALSE())),$J4668,0)</f>
        <v>0</v>
      </c>
      <c r="Q4668" s="64" t="n">
        <f aca="false">IF(AND($P4668&gt;0,$O4668&gt;0),$P4668,0)</f>
        <v>0</v>
      </c>
      <c r="R4668" s="64" t="n">
        <f aca="false">IF(AND($Q4668&gt;0,$O4668&gt;=AtRank),$Q4668,0)</f>
        <v>0</v>
      </c>
      <c r="S4668" s="64" t="n">
        <f aca="false">IF(AND($Q4668&gt;0,$O4668&gt;=AboveRank),$Q4668,0)</f>
        <v>0</v>
      </c>
      <c r="T4668" s="64" t="n">
        <f aca="false">IF($K4668="Less",$P4668,0)</f>
        <v>0</v>
      </c>
      <c r="U4668" s="64" t="n">
        <f aca="false">IF($K4668="Expected",$P4668,0)</f>
        <v>0</v>
      </c>
      <c r="V4668" s="64" t="n">
        <f aca="false">IF($K4668="Better",$P4668,0)</f>
        <v>0</v>
      </c>
      <c r="W4668" s="64" t="n">
        <f aca="false">IF($K4668="U – needs rule",$P4668,0)</f>
        <v>0</v>
      </c>
      <c r="X4668" s="64" t="n">
        <f aca="false">IF($K4668="No Start (attainment only)",$P4668,0)</f>
        <v>0</v>
      </c>
    </row>
    <row r="4669" customFormat="false" ht="15" hidden="false" customHeight="false" outlineLevel="0" collapsed="false">
      <c r="A4669" s="60"/>
      <c r="B4669" s="61" t="str">
        <f aca="false">IF($M4669=0,"",INDEX(Classes!$E$6:$E$420,$M4669))</f>
        <v/>
      </c>
      <c r="C4669" s="62" t="str">
        <f aca="false">IF($M4669=0,"",INDEX(Classes!$H$6:$H$420,$M4669))</f>
        <v/>
      </c>
      <c r="D4669" s="61" t="str">
        <f aca="false">IF($M4669=0,"",INDEX(Classes!$B$6:$B$420,$M4669))</f>
        <v/>
      </c>
      <c r="E4669" s="61" t="str">
        <f aca="false">IF($M4669=0,"",INDEX(Classes!$C$6:$C$420,$M4669))</f>
        <v/>
      </c>
      <c r="F4669" s="63"/>
      <c r="G4669" s="63"/>
      <c r="H4669" s="60"/>
      <c r="I4669" s="60"/>
      <c r="J4669" s="63"/>
      <c r="K4669" s="61" t="str">
        <f aca="false">IF($P4669=0,"",IF($F4669="Baseline","— Baseline",IF($O4669=0,"No result",IF($N4669=0,"No Start (attainment only)",IF(OR($N4669=1,$O4669=1),"U – needs rule",INDEX(MxBody,MATCH($I4669,MxCurr,0),MATCH($H4669,MxStart,0)))))))</f>
        <v/>
      </c>
      <c r="L4669" s="62" t="str">
        <f aca="false">IF(COUNTA($A4669,$F4669,$G4669,$H4669,$I4669,$J4669)=0,"",IF($M4669=0,"✖ كود الصف غير موجود",IF(ISNA(MATCH($F4669,Lists!$A$2:$A$5,0)),"✖ الفترة غير صحيحة",IF(ISNA(MATCH($G4669,Lists!$B$2:$B$7,0)),"✖ المجموعة غير صحيحة",IF(NOT(OR($H4669="",$N4669&gt;0)),"✖ Start غير صحيح",IF(NOT(OR($I4669="",$I4669="NR",$O4669&gt;0)),"✖ Current غير صحيح",IF(NOT(IF(ISNUMBER($J4669),AND($J4669&gt;=0,$J4669=INT($J4669)),FALSE())),"✖ العدد يجب أن يكون صحيحًا ≥ 0",IF(AND($F4669="Baseline",$H4669&lt;&gt;""),"⚠ Baseline: Start لا يدخل في التقدم",IF($K4669="No Start (attainment only)","ℹ تحصيل فقط (بدون Start)",IF($K4669="U – needs rule","ℹ حالة U تحتاج قاعدة معتمدة",IF($K4669="No result","ℹ بدون نتيجة (يُستبعد من التحصيل)","OK")))))))))))</f>
        <v/>
      </c>
      <c r="M4669" s="64" t="n">
        <f aca="false">IF($A4669="",0,IFERROR(MATCH($A4669,Classes!$A$6:$A$420,0),0))</f>
        <v>0</v>
      </c>
      <c r="N4669" s="64" t="n">
        <f aca="false">IF($H4669="",0,IFERROR(MATCH($H4669,GradeList,0),0))</f>
        <v>0</v>
      </c>
      <c r="O4669" s="64" t="n">
        <f aca="false">IF(OR($I4669="",$I4669="NR"),0,IFERROR(MATCH($I4669,GradeList,0),0))</f>
        <v>0</v>
      </c>
      <c r="P4669" s="64" t="n">
        <f aca="false">IF(AND($M4669&gt;0,ISNUMBER(MATCH($F4669,Lists!$A$2:$A$5,0)),ISNUMBER(MATCH($G4669,Lists!$B$2:$B$7,0)),OR($H4669="",$N4669&gt;0),OR($I4669="",$I4669="NR",$O4669&gt;0),IF(ISNUMBER($J4669),AND($J4669&gt;=0,$J4669=INT($J4669)),FALSE())),$J4669,0)</f>
        <v>0</v>
      </c>
      <c r="Q4669" s="64" t="n">
        <f aca="false">IF(AND($P4669&gt;0,$O4669&gt;0),$P4669,0)</f>
        <v>0</v>
      </c>
      <c r="R4669" s="64" t="n">
        <f aca="false">IF(AND($Q4669&gt;0,$O4669&gt;=AtRank),$Q4669,0)</f>
        <v>0</v>
      </c>
      <c r="S4669" s="64" t="n">
        <f aca="false">IF(AND($Q4669&gt;0,$O4669&gt;=AboveRank),$Q4669,0)</f>
        <v>0</v>
      </c>
      <c r="T4669" s="64" t="n">
        <f aca="false">IF($K4669="Less",$P4669,0)</f>
        <v>0</v>
      </c>
      <c r="U4669" s="64" t="n">
        <f aca="false">IF($K4669="Expected",$P4669,0)</f>
        <v>0</v>
      </c>
      <c r="V4669" s="64" t="n">
        <f aca="false">IF($K4669="Better",$P4669,0)</f>
        <v>0</v>
      </c>
      <c r="W4669" s="64" t="n">
        <f aca="false">IF($K4669="U – needs rule",$P4669,0)</f>
        <v>0</v>
      </c>
      <c r="X4669" s="64" t="n">
        <f aca="false">IF($K4669="No Start (attainment only)",$P4669,0)</f>
        <v>0</v>
      </c>
    </row>
    <row r="4670" customFormat="false" ht="15" hidden="false" customHeight="false" outlineLevel="0" collapsed="false">
      <c r="A4670" s="60"/>
      <c r="B4670" s="61" t="str">
        <f aca="false">IF($M4670=0,"",INDEX(Classes!$E$6:$E$420,$M4670))</f>
        <v/>
      </c>
      <c r="C4670" s="62" t="str">
        <f aca="false">IF($M4670=0,"",INDEX(Classes!$H$6:$H$420,$M4670))</f>
        <v/>
      </c>
      <c r="D4670" s="61" t="str">
        <f aca="false">IF($M4670=0,"",INDEX(Classes!$B$6:$B$420,$M4670))</f>
        <v/>
      </c>
      <c r="E4670" s="61" t="str">
        <f aca="false">IF($M4670=0,"",INDEX(Classes!$C$6:$C$420,$M4670))</f>
        <v/>
      </c>
      <c r="F4670" s="63"/>
      <c r="G4670" s="63"/>
      <c r="H4670" s="60"/>
      <c r="I4670" s="60"/>
      <c r="J4670" s="63"/>
      <c r="K4670" s="61" t="str">
        <f aca="false">IF($P4670=0,"",IF($F4670="Baseline","— Baseline",IF($O4670=0,"No result",IF($N4670=0,"No Start (attainment only)",IF(OR($N4670=1,$O4670=1),"U – needs rule",INDEX(MxBody,MATCH($I4670,MxCurr,0),MATCH($H4670,MxStart,0)))))))</f>
        <v/>
      </c>
      <c r="L4670" s="62" t="str">
        <f aca="false">IF(COUNTA($A4670,$F4670,$G4670,$H4670,$I4670,$J4670)=0,"",IF($M4670=0,"✖ كود الصف غير موجود",IF(ISNA(MATCH($F4670,Lists!$A$2:$A$5,0)),"✖ الفترة غير صحيحة",IF(ISNA(MATCH($G4670,Lists!$B$2:$B$7,0)),"✖ المجموعة غير صحيحة",IF(NOT(OR($H4670="",$N4670&gt;0)),"✖ Start غير صحيح",IF(NOT(OR($I4670="",$I4670="NR",$O4670&gt;0)),"✖ Current غير صحيح",IF(NOT(IF(ISNUMBER($J4670),AND($J4670&gt;=0,$J4670=INT($J4670)),FALSE())),"✖ العدد يجب أن يكون صحيحًا ≥ 0",IF(AND($F4670="Baseline",$H4670&lt;&gt;""),"⚠ Baseline: Start لا يدخل في التقدم",IF($K4670="No Start (attainment only)","ℹ تحصيل فقط (بدون Start)",IF($K4670="U – needs rule","ℹ حالة U تحتاج قاعدة معتمدة",IF($K4670="No result","ℹ بدون نتيجة (يُستبعد من التحصيل)","OK")))))))))))</f>
        <v/>
      </c>
      <c r="M4670" s="64" t="n">
        <f aca="false">IF($A4670="",0,IFERROR(MATCH($A4670,Classes!$A$6:$A$420,0),0))</f>
        <v>0</v>
      </c>
      <c r="N4670" s="64" t="n">
        <f aca="false">IF($H4670="",0,IFERROR(MATCH($H4670,GradeList,0),0))</f>
        <v>0</v>
      </c>
      <c r="O4670" s="64" t="n">
        <f aca="false">IF(OR($I4670="",$I4670="NR"),0,IFERROR(MATCH($I4670,GradeList,0),0))</f>
        <v>0</v>
      </c>
      <c r="P4670" s="64" t="n">
        <f aca="false">IF(AND($M4670&gt;0,ISNUMBER(MATCH($F4670,Lists!$A$2:$A$5,0)),ISNUMBER(MATCH($G4670,Lists!$B$2:$B$7,0)),OR($H4670="",$N4670&gt;0),OR($I4670="",$I4670="NR",$O4670&gt;0),IF(ISNUMBER($J4670),AND($J4670&gt;=0,$J4670=INT($J4670)),FALSE())),$J4670,0)</f>
        <v>0</v>
      </c>
      <c r="Q4670" s="64" t="n">
        <f aca="false">IF(AND($P4670&gt;0,$O4670&gt;0),$P4670,0)</f>
        <v>0</v>
      </c>
      <c r="R4670" s="64" t="n">
        <f aca="false">IF(AND($Q4670&gt;0,$O4670&gt;=AtRank),$Q4670,0)</f>
        <v>0</v>
      </c>
      <c r="S4670" s="64" t="n">
        <f aca="false">IF(AND($Q4670&gt;0,$O4670&gt;=AboveRank),$Q4670,0)</f>
        <v>0</v>
      </c>
      <c r="T4670" s="64" t="n">
        <f aca="false">IF($K4670="Less",$P4670,0)</f>
        <v>0</v>
      </c>
      <c r="U4670" s="64" t="n">
        <f aca="false">IF($K4670="Expected",$P4670,0)</f>
        <v>0</v>
      </c>
      <c r="V4670" s="64" t="n">
        <f aca="false">IF($K4670="Better",$P4670,0)</f>
        <v>0</v>
      </c>
      <c r="W4670" s="64" t="n">
        <f aca="false">IF($K4670="U – needs rule",$P4670,0)</f>
        <v>0</v>
      </c>
      <c r="X4670" s="64" t="n">
        <f aca="false">IF($K4670="No Start (attainment only)",$P4670,0)</f>
        <v>0</v>
      </c>
    </row>
    <row r="4671" customFormat="false" ht="15" hidden="false" customHeight="false" outlineLevel="0" collapsed="false">
      <c r="A4671" s="60"/>
      <c r="B4671" s="61" t="str">
        <f aca="false">IF($M4671=0,"",INDEX(Classes!$E$6:$E$420,$M4671))</f>
        <v/>
      </c>
      <c r="C4671" s="62" t="str">
        <f aca="false">IF($M4671=0,"",INDEX(Classes!$H$6:$H$420,$M4671))</f>
        <v/>
      </c>
      <c r="D4671" s="61" t="str">
        <f aca="false">IF($M4671=0,"",INDEX(Classes!$B$6:$B$420,$M4671))</f>
        <v/>
      </c>
      <c r="E4671" s="61" t="str">
        <f aca="false">IF($M4671=0,"",INDEX(Classes!$C$6:$C$420,$M4671))</f>
        <v/>
      </c>
      <c r="F4671" s="63"/>
      <c r="G4671" s="63"/>
      <c r="H4671" s="60"/>
      <c r="I4671" s="60"/>
      <c r="J4671" s="63"/>
      <c r="K4671" s="61" t="str">
        <f aca="false">IF($P4671=0,"",IF($F4671="Baseline","— Baseline",IF($O4671=0,"No result",IF($N4671=0,"No Start (attainment only)",IF(OR($N4671=1,$O4671=1),"U – needs rule",INDEX(MxBody,MATCH($I4671,MxCurr,0),MATCH($H4671,MxStart,0)))))))</f>
        <v/>
      </c>
      <c r="L4671" s="62" t="str">
        <f aca="false">IF(COUNTA($A4671,$F4671,$G4671,$H4671,$I4671,$J4671)=0,"",IF($M4671=0,"✖ كود الصف غير موجود",IF(ISNA(MATCH($F4671,Lists!$A$2:$A$5,0)),"✖ الفترة غير صحيحة",IF(ISNA(MATCH($G4671,Lists!$B$2:$B$7,0)),"✖ المجموعة غير صحيحة",IF(NOT(OR($H4671="",$N4671&gt;0)),"✖ Start غير صحيح",IF(NOT(OR($I4671="",$I4671="NR",$O4671&gt;0)),"✖ Current غير صحيح",IF(NOT(IF(ISNUMBER($J4671),AND($J4671&gt;=0,$J4671=INT($J4671)),FALSE())),"✖ العدد يجب أن يكون صحيحًا ≥ 0",IF(AND($F4671="Baseline",$H4671&lt;&gt;""),"⚠ Baseline: Start لا يدخل في التقدم",IF($K4671="No Start (attainment only)","ℹ تحصيل فقط (بدون Start)",IF($K4671="U – needs rule","ℹ حالة U تحتاج قاعدة معتمدة",IF($K4671="No result","ℹ بدون نتيجة (يُستبعد من التحصيل)","OK")))))))))))</f>
        <v/>
      </c>
      <c r="M4671" s="64" t="n">
        <f aca="false">IF($A4671="",0,IFERROR(MATCH($A4671,Classes!$A$6:$A$420,0),0))</f>
        <v>0</v>
      </c>
      <c r="N4671" s="64" t="n">
        <f aca="false">IF($H4671="",0,IFERROR(MATCH($H4671,GradeList,0),0))</f>
        <v>0</v>
      </c>
      <c r="O4671" s="64" t="n">
        <f aca="false">IF(OR($I4671="",$I4671="NR"),0,IFERROR(MATCH($I4671,GradeList,0),0))</f>
        <v>0</v>
      </c>
      <c r="P4671" s="64" t="n">
        <f aca="false">IF(AND($M4671&gt;0,ISNUMBER(MATCH($F4671,Lists!$A$2:$A$5,0)),ISNUMBER(MATCH($G4671,Lists!$B$2:$B$7,0)),OR($H4671="",$N4671&gt;0),OR($I4671="",$I4671="NR",$O4671&gt;0),IF(ISNUMBER($J4671),AND($J4671&gt;=0,$J4671=INT($J4671)),FALSE())),$J4671,0)</f>
        <v>0</v>
      </c>
      <c r="Q4671" s="64" t="n">
        <f aca="false">IF(AND($P4671&gt;0,$O4671&gt;0),$P4671,0)</f>
        <v>0</v>
      </c>
      <c r="R4671" s="64" t="n">
        <f aca="false">IF(AND($Q4671&gt;0,$O4671&gt;=AtRank),$Q4671,0)</f>
        <v>0</v>
      </c>
      <c r="S4671" s="64" t="n">
        <f aca="false">IF(AND($Q4671&gt;0,$O4671&gt;=AboveRank),$Q4671,0)</f>
        <v>0</v>
      </c>
      <c r="T4671" s="64" t="n">
        <f aca="false">IF($K4671="Less",$P4671,0)</f>
        <v>0</v>
      </c>
      <c r="U4671" s="64" t="n">
        <f aca="false">IF($K4671="Expected",$P4671,0)</f>
        <v>0</v>
      </c>
      <c r="V4671" s="64" t="n">
        <f aca="false">IF($K4671="Better",$P4671,0)</f>
        <v>0</v>
      </c>
      <c r="W4671" s="64" t="n">
        <f aca="false">IF($K4671="U – needs rule",$P4671,0)</f>
        <v>0</v>
      </c>
      <c r="X4671" s="64" t="n">
        <f aca="false">IF($K4671="No Start (attainment only)",$P4671,0)</f>
        <v>0</v>
      </c>
    </row>
    <row r="4672" customFormat="false" ht="15" hidden="false" customHeight="false" outlineLevel="0" collapsed="false">
      <c r="A4672" s="60"/>
      <c r="B4672" s="61" t="str">
        <f aca="false">IF($M4672=0,"",INDEX(Classes!$E$6:$E$420,$M4672))</f>
        <v/>
      </c>
      <c r="C4672" s="62" t="str">
        <f aca="false">IF($M4672=0,"",INDEX(Classes!$H$6:$H$420,$M4672))</f>
        <v/>
      </c>
      <c r="D4672" s="61" t="str">
        <f aca="false">IF($M4672=0,"",INDEX(Classes!$B$6:$B$420,$M4672))</f>
        <v/>
      </c>
      <c r="E4672" s="61" t="str">
        <f aca="false">IF($M4672=0,"",INDEX(Classes!$C$6:$C$420,$M4672))</f>
        <v/>
      </c>
      <c r="F4672" s="63"/>
      <c r="G4672" s="63"/>
      <c r="H4672" s="60"/>
      <c r="I4672" s="60"/>
      <c r="J4672" s="63"/>
      <c r="K4672" s="61" t="str">
        <f aca="false">IF($P4672=0,"",IF($F4672="Baseline","— Baseline",IF($O4672=0,"No result",IF($N4672=0,"No Start (attainment only)",IF(OR($N4672=1,$O4672=1),"U – needs rule",INDEX(MxBody,MATCH($I4672,MxCurr,0),MATCH($H4672,MxStart,0)))))))</f>
        <v/>
      </c>
      <c r="L4672" s="62" t="str">
        <f aca="false">IF(COUNTA($A4672,$F4672,$G4672,$H4672,$I4672,$J4672)=0,"",IF($M4672=0,"✖ كود الصف غير موجود",IF(ISNA(MATCH($F4672,Lists!$A$2:$A$5,0)),"✖ الفترة غير صحيحة",IF(ISNA(MATCH($G4672,Lists!$B$2:$B$7,0)),"✖ المجموعة غير صحيحة",IF(NOT(OR($H4672="",$N4672&gt;0)),"✖ Start غير صحيح",IF(NOT(OR($I4672="",$I4672="NR",$O4672&gt;0)),"✖ Current غير صحيح",IF(NOT(IF(ISNUMBER($J4672),AND($J4672&gt;=0,$J4672=INT($J4672)),FALSE())),"✖ العدد يجب أن يكون صحيحًا ≥ 0",IF(AND($F4672="Baseline",$H4672&lt;&gt;""),"⚠ Baseline: Start لا يدخل في التقدم",IF($K4672="No Start (attainment only)","ℹ تحصيل فقط (بدون Start)",IF($K4672="U – needs rule","ℹ حالة U تحتاج قاعدة معتمدة",IF($K4672="No result","ℹ بدون نتيجة (يُستبعد من التحصيل)","OK")))))))))))</f>
        <v/>
      </c>
      <c r="M4672" s="64" t="n">
        <f aca="false">IF($A4672="",0,IFERROR(MATCH($A4672,Classes!$A$6:$A$420,0),0))</f>
        <v>0</v>
      </c>
      <c r="N4672" s="64" t="n">
        <f aca="false">IF($H4672="",0,IFERROR(MATCH($H4672,GradeList,0),0))</f>
        <v>0</v>
      </c>
      <c r="O4672" s="64" t="n">
        <f aca="false">IF(OR($I4672="",$I4672="NR"),0,IFERROR(MATCH($I4672,GradeList,0),0))</f>
        <v>0</v>
      </c>
      <c r="P4672" s="64" t="n">
        <f aca="false">IF(AND($M4672&gt;0,ISNUMBER(MATCH($F4672,Lists!$A$2:$A$5,0)),ISNUMBER(MATCH($G4672,Lists!$B$2:$B$7,0)),OR($H4672="",$N4672&gt;0),OR($I4672="",$I4672="NR",$O4672&gt;0),IF(ISNUMBER($J4672),AND($J4672&gt;=0,$J4672=INT($J4672)),FALSE())),$J4672,0)</f>
        <v>0</v>
      </c>
      <c r="Q4672" s="64" t="n">
        <f aca="false">IF(AND($P4672&gt;0,$O4672&gt;0),$P4672,0)</f>
        <v>0</v>
      </c>
      <c r="R4672" s="64" t="n">
        <f aca="false">IF(AND($Q4672&gt;0,$O4672&gt;=AtRank),$Q4672,0)</f>
        <v>0</v>
      </c>
      <c r="S4672" s="64" t="n">
        <f aca="false">IF(AND($Q4672&gt;0,$O4672&gt;=AboveRank),$Q4672,0)</f>
        <v>0</v>
      </c>
      <c r="T4672" s="64" t="n">
        <f aca="false">IF($K4672="Less",$P4672,0)</f>
        <v>0</v>
      </c>
      <c r="U4672" s="64" t="n">
        <f aca="false">IF($K4672="Expected",$P4672,0)</f>
        <v>0</v>
      </c>
      <c r="V4672" s="64" t="n">
        <f aca="false">IF($K4672="Better",$P4672,0)</f>
        <v>0</v>
      </c>
      <c r="W4672" s="64" t="n">
        <f aca="false">IF($K4672="U – needs rule",$P4672,0)</f>
        <v>0</v>
      </c>
      <c r="X4672" s="64" t="n">
        <f aca="false">IF($K4672="No Start (attainment only)",$P4672,0)</f>
        <v>0</v>
      </c>
    </row>
    <row r="4673" customFormat="false" ht="15" hidden="false" customHeight="false" outlineLevel="0" collapsed="false">
      <c r="A4673" s="60"/>
      <c r="B4673" s="61" t="str">
        <f aca="false">IF($M4673=0,"",INDEX(Classes!$E$6:$E$420,$M4673))</f>
        <v/>
      </c>
      <c r="C4673" s="62" t="str">
        <f aca="false">IF($M4673=0,"",INDEX(Classes!$H$6:$H$420,$M4673))</f>
        <v/>
      </c>
      <c r="D4673" s="61" t="str">
        <f aca="false">IF($M4673=0,"",INDEX(Classes!$B$6:$B$420,$M4673))</f>
        <v/>
      </c>
      <c r="E4673" s="61" t="str">
        <f aca="false">IF($M4673=0,"",INDEX(Classes!$C$6:$C$420,$M4673))</f>
        <v/>
      </c>
      <c r="F4673" s="63"/>
      <c r="G4673" s="63"/>
      <c r="H4673" s="60"/>
      <c r="I4673" s="60"/>
      <c r="J4673" s="63"/>
      <c r="K4673" s="61" t="str">
        <f aca="false">IF($P4673=0,"",IF($F4673="Baseline","— Baseline",IF($O4673=0,"No result",IF($N4673=0,"No Start (attainment only)",IF(OR($N4673=1,$O4673=1),"U – needs rule",INDEX(MxBody,MATCH($I4673,MxCurr,0),MATCH($H4673,MxStart,0)))))))</f>
        <v/>
      </c>
      <c r="L4673" s="62" t="str">
        <f aca="false">IF(COUNTA($A4673,$F4673,$G4673,$H4673,$I4673,$J4673)=0,"",IF($M4673=0,"✖ كود الصف غير موجود",IF(ISNA(MATCH($F4673,Lists!$A$2:$A$5,0)),"✖ الفترة غير صحيحة",IF(ISNA(MATCH($G4673,Lists!$B$2:$B$7,0)),"✖ المجموعة غير صحيحة",IF(NOT(OR($H4673="",$N4673&gt;0)),"✖ Start غير صحيح",IF(NOT(OR($I4673="",$I4673="NR",$O4673&gt;0)),"✖ Current غير صحيح",IF(NOT(IF(ISNUMBER($J4673),AND($J4673&gt;=0,$J4673=INT($J4673)),FALSE())),"✖ العدد يجب أن يكون صحيحًا ≥ 0",IF(AND($F4673="Baseline",$H4673&lt;&gt;""),"⚠ Baseline: Start لا يدخل في التقدم",IF($K4673="No Start (attainment only)","ℹ تحصيل فقط (بدون Start)",IF($K4673="U – needs rule","ℹ حالة U تحتاج قاعدة معتمدة",IF($K4673="No result","ℹ بدون نتيجة (يُستبعد من التحصيل)","OK")))))))))))</f>
        <v/>
      </c>
      <c r="M4673" s="64" t="n">
        <f aca="false">IF($A4673="",0,IFERROR(MATCH($A4673,Classes!$A$6:$A$420,0),0))</f>
        <v>0</v>
      </c>
      <c r="N4673" s="64" t="n">
        <f aca="false">IF($H4673="",0,IFERROR(MATCH($H4673,GradeList,0),0))</f>
        <v>0</v>
      </c>
      <c r="O4673" s="64" t="n">
        <f aca="false">IF(OR($I4673="",$I4673="NR"),0,IFERROR(MATCH($I4673,GradeList,0),0))</f>
        <v>0</v>
      </c>
      <c r="P4673" s="64" t="n">
        <f aca="false">IF(AND($M4673&gt;0,ISNUMBER(MATCH($F4673,Lists!$A$2:$A$5,0)),ISNUMBER(MATCH($G4673,Lists!$B$2:$B$7,0)),OR($H4673="",$N4673&gt;0),OR($I4673="",$I4673="NR",$O4673&gt;0),IF(ISNUMBER($J4673),AND($J4673&gt;=0,$J4673=INT($J4673)),FALSE())),$J4673,0)</f>
        <v>0</v>
      </c>
      <c r="Q4673" s="64" t="n">
        <f aca="false">IF(AND($P4673&gt;0,$O4673&gt;0),$P4673,0)</f>
        <v>0</v>
      </c>
      <c r="R4673" s="64" t="n">
        <f aca="false">IF(AND($Q4673&gt;0,$O4673&gt;=AtRank),$Q4673,0)</f>
        <v>0</v>
      </c>
      <c r="S4673" s="64" t="n">
        <f aca="false">IF(AND($Q4673&gt;0,$O4673&gt;=AboveRank),$Q4673,0)</f>
        <v>0</v>
      </c>
      <c r="T4673" s="64" t="n">
        <f aca="false">IF($K4673="Less",$P4673,0)</f>
        <v>0</v>
      </c>
      <c r="U4673" s="64" t="n">
        <f aca="false">IF($K4673="Expected",$P4673,0)</f>
        <v>0</v>
      </c>
      <c r="V4673" s="64" t="n">
        <f aca="false">IF($K4673="Better",$P4673,0)</f>
        <v>0</v>
      </c>
      <c r="W4673" s="64" t="n">
        <f aca="false">IF($K4673="U – needs rule",$P4673,0)</f>
        <v>0</v>
      </c>
      <c r="X4673" s="64" t="n">
        <f aca="false">IF($K4673="No Start (attainment only)",$P4673,0)</f>
        <v>0</v>
      </c>
    </row>
    <row r="4674" customFormat="false" ht="15" hidden="false" customHeight="false" outlineLevel="0" collapsed="false">
      <c r="A4674" s="60"/>
      <c r="B4674" s="61" t="str">
        <f aca="false">IF($M4674=0,"",INDEX(Classes!$E$6:$E$420,$M4674))</f>
        <v/>
      </c>
      <c r="C4674" s="62" t="str">
        <f aca="false">IF($M4674=0,"",INDEX(Classes!$H$6:$H$420,$M4674))</f>
        <v/>
      </c>
      <c r="D4674" s="61" t="str">
        <f aca="false">IF($M4674=0,"",INDEX(Classes!$B$6:$B$420,$M4674))</f>
        <v/>
      </c>
      <c r="E4674" s="61" t="str">
        <f aca="false">IF($M4674=0,"",INDEX(Classes!$C$6:$C$420,$M4674))</f>
        <v/>
      </c>
      <c r="F4674" s="63"/>
      <c r="G4674" s="63"/>
      <c r="H4674" s="60"/>
      <c r="I4674" s="60"/>
      <c r="J4674" s="63"/>
      <c r="K4674" s="61" t="str">
        <f aca="false">IF($P4674=0,"",IF($F4674="Baseline","— Baseline",IF($O4674=0,"No result",IF($N4674=0,"No Start (attainment only)",IF(OR($N4674=1,$O4674=1),"U – needs rule",INDEX(MxBody,MATCH($I4674,MxCurr,0),MATCH($H4674,MxStart,0)))))))</f>
        <v/>
      </c>
      <c r="L4674" s="62" t="str">
        <f aca="false">IF(COUNTA($A4674,$F4674,$G4674,$H4674,$I4674,$J4674)=0,"",IF($M4674=0,"✖ كود الصف غير موجود",IF(ISNA(MATCH($F4674,Lists!$A$2:$A$5,0)),"✖ الفترة غير صحيحة",IF(ISNA(MATCH($G4674,Lists!$B$2:$B$7,0)),"✖ المجموعة غير صحيحة",IF(NOT(OR($H4674="",$N4674&gt;0)),"✖ Start غير صحيح",IF(NOT(OR($I4674="",$I4674="NR",$O4674&gt;0)),"✖ Current غير صحيح",IF(NOT(IF(ISNUMBER($J4674),AND($J4674&gt;=0,$J4674=INT($J4674)),FALSE())),"✖ العدد يجب أن يكون صحيحًا ≥ 0",IF(AND($F4674="Baseline",$H4674&lt;&gt;""),"⚠ Baseline: Start لا يدخل في التقدم",IF($K4674="No Start (attainment only)","ℹ تحصيل فقط (بدون Start)",IF($K4674="U – needs rule","ℹ حالة U تحتاج قاعدة معتمدة",IF($K4674="No result","ℹ بدون نتيجة (يُستبعد من التحصيل)","OK")))))))))))</f>
        <v/>
      </c>
      <c r="M4674" s="64" t="n">
        <f aca="false">IF($A4674="",0,IFERROR(MATCH($A4674,Classes!$A$6:$A$420,0),0))</f>
        <v>0</v>
      </c>
      <c r="N4674" s="64" t="n">
        <f aca="false">IF($H4674="",0,IFERROR(MATCH($H4674,GradeList,0),0))</f>
        <v>0</v>
      </c>
      <c r="O4674" s="64" t="n">
        <f aca="false">IF(OR($I4674="",$I4674="NR"),0,IFERROR(MATCH($I4674,GradeList,0),0))</f>
        <v>0</v>
      </c>
      <c r="P4674" s="64" t="n">
        <f aca="false">IF(AND($M4674&gt;0,ISNUMBER(MATCH($F4674,Lists!$A$2:$A$5,0)),ISNUMBER(MATCH($G4674,Lists!$B$2:$B$7,0)),OR($H4674="",$N4674&gt;0),OR($I4674="",$I4674="NR",$O4674&gt;0),IF(ISNUMBER($J4674),AND($J4674&gt;=0,$J4674=INT($J4674)),FALSE())),$J4674,0)</f>
        <v>0</v>
      </c>
      <c r="Q4674" s="64" t="n">
        <f aca="false">IF(AND($P4674&gt;0,$O4674&gt;0),$P4674,0)</f>
        <v>0</v>
      </c>
      <c r="R4674" s="64" t="n">
        <f aca="false">IF(AND($Q4674&gt;0,$O4674&gt;=AtRank),$Q4674,0)</f>
        <v>0</v>
      </c>
      <c r="S4674" s="64" t="n">
        <f aca="false">IF(AND($Q4674&gt;0,$O4674&gt;=AboveRank),$Q4674,0)</f>
        <v>0</v>
      </c>
      <c r="T4674" s="64" t="n">
        <f aca="false">IF($K4674="Less",$P4674,0)</f>
        <v>0</v>
      </c>
      <c r="U4674" s="64" t="n">
        <f aca="false">IF($K4674="Expected",$P4674,0)</f>
        <v>0</v>
      </c>
      <c r="V4674" s="64" t="n">
        <f aca="false">IF($K4674="Better",$P4674,0)</f>
        <v>0</v>
      </c>
      <c r="W4674" s="64" t="n">
        <f aca="false">IF($K4674="U – needs rule",$P4674,0)</f>
        <v>0</v>
      </c>
      <c r="X4674" s="64" t="n">
        <f aca="false">IF($K4674="No Start (attainment only)",$P4674,0)</f>
        <v>0</v>
      </c>
    </row>
    <row r="4675" customFormat="false" ht="15" hidden="false" customHeight="false" outlineLevel="0" collapsed="false">
      <c r="A4675" s="60"/>
      <c r="B4675" s="61" t="str">
        <f aca="false">IF($M4675=0,"",INDEX(Classes!$E$6:$E$420,$M4675))</f>
        <v/>
      </c>
      <c r="C4675" s="62" t="str">
        <f aca="false">IF($M4675=0,"",INDEX(Classes!$H$6:$H$420,$M4675))</f>
        <v/>
      </c>
      <c r="D4675" s="61" t="str">
        <f aca="false">IF($M4675=0,"",INDEX(Classes!$B$6:$B$420,$M4675))</f>
        <v/>
      </c>
      <c r="E4675" s="61" t="str">
        <f aca="false">IF($M4675=0,"",INDEX(Classes!$C$6:$C$420,$M4675))</f>
        <v/>
      </c>
      <c r="F4675" s="63"/>
      <c r="G4675" s="63"/>
      <c r="H4675" s="60"/>
      <c r="I4675" s="60"/>
      <c r="J4675" s="63"/>
      <c r="K4675" s="61" t="str">
        <f aca="false">IF($P4675=0,"",IF($F4675="Baseline","— Baseline",IF($O4675=0,"No result",IF($N4675=0,"No Start (attainment only)",IF(OR($N4675=1,$O4675=1),"U – needs rule",INDEX(MxBody,MATCH($I4675,MxCurr,0),MATCH($H4675,MxStart,0)))))))</f>
        <v/>
      </c>
      <c r="L4675" s="62" t="str">
        <f aca="false">IF(COUNTA($A4675,$F4675,$G4675,$H4675,$I4675,$J4675)=0,"",IF($M4675=0,"✖ كود الصف غير موجود",IF(ISNA(MATCH($F4675,Lists!$A$2:$A$5,0)),"✖ الفترة غير صحيحة",IF(ISNA(MATCH($G4675,Lists!$B$2:$B$7,0)),"✖ المجموعة غير صحيحة",IF(NOT(OR($H4675="",$N4675&gt;0)),"✖ Start غير صحيح",IF(NOT(OR($I4675="",$I4675="NR",$O4675&gt;0)),"✖ Current غير صحيح",IF(NOT(IF(ISNUMBER($J4675),AND($J4675&gt;=0,$J4675=INT($J4675)),FALSE())),"✖ العدد يجب أن يكون صحيحًا ≥ 0",IF(AND($F4675="Baseline",$H4675&lt;&gt;""),"⚠ Baseline: Start لا يدخل في التقدم",IF($K4675="No Start (attainment only)","ℹ تحصيل فقط (بدون Start)",IF($K4675="U – needs rule","ℹ حالة U تحتاج قاعدة معتمدة",IF($K4675="No result","ℹ بدون نتيجة (يُستبعد من التحصيل)","OK")))))))))))</f>
        <v/>
      </c>
      <c r="M4675" s="64" t="n">
        <f aca="false">IF($A4675="",0,IFERROR(MATCH($A4675,Classes!$A$6:$A$420,0),0))</f>
        <v>0</v>
      </c>
      <c r="N4675" s="64" t="n">
        <f aca="false">IF($H4675="",0,IFERROR(MATCH($H4675,GradeList,0),0))</f>
        <v>0</v>
      </c>
      <c r="O4675" s="64" t="n">
        <f aca="false">IF(OR($I4675="",$I4675="NR"),0,IFERROR(MATCH($I4675,GradeList,0),0))</f>
        <v>0</v>
      </c>
      <c r="P4675" s="64" t="n">
        <f aca="false">IF(AND($M4675&gt;0,ISNUMBER(MATCH($F4675,Lists!$A$2:$A$5,0)),ISNUMBER(MATCH($G4675,Lists!$B$2:$B$7,0)),OR($H4675="",$N4675&gt;0),OR($I4675="",$I4675="NR",$O4675&gt;0),IF(ISNUMBER($J4675),AND($J4675&gt;=0,$J4675=INT($J4675)),FALSE())),$J4675,0)</f>
        <v>0</v>
      </c>
      <c r="Q4675" s="64" t="n">
        <f aca="false">IF(AND($P4675&gt;0,$O4675&gt;0),$P4675,0)</f>
        <v>0</v>
      </c>
      <c r="R4675" s="64" t="n">
        <f aca="false">IF(AND($Q4675&gt;0,$O4675&gt;=AtRank),$Q4675,0)</f>
        <v>0</v>
      </c>
      <c r="S4675" s="64" t="n">
        <f aca="false">IF(AND($Q4675&gt;0,$O4675&gt;=AboveRank),$Q4675,0)</f>
        <v>0</v>
      </c>
      <c r="T4675" s="64" t="n">
        <f aca="false">IF($K4675="Less",$P4675,0)</f>
        <v>0</v>
      </c>
      <c r="U4675" s="64" t="n">
        <f aca="false">IF($K4675="Expected",$P4675,0)</f>
        <v>0</v>
      </c>
      <c r="V4675" s="64" t="n">
        <f aca="false">IF($K4675="Better",$P4675,0)</f>
        <v>0</v>
      </c>
      <c r="W4675" s="64" t="n">
        <f aca="false">IF($K4675="U – needs rule",$P4675,0)</f>
        <v>0</v>
      </c>
      <c r="X4675" s="64" t="n">
        <f aca="false">IF($K4675="No Start (attainment only)",$P4675,0)</f>
        <v>0</v>
      </c>
    </row>
    <row r="4676" customFormat="false" ht="15" hidden="false" customHeight="false" outlineLevel="0" collapsed="false">
      <c r="A4676" s="60"/>
      <c r="B4676" s="61" t="str">
        <f aca="false">IF($M4676=0,"",INDEX(Classes!$E$6:$E$420,$M4676))</f>
        <v/>
      </c>
      <c r="C4676" s="62" t="str">
        <f aca="false">IF($M4676=0,"",INDEX(Classes!$H$6:$H$420,$M4676))</f>
        <v/>
      </c>
      <c r="D4676" s="61" t="str">
        <f aca="false">IF($M4676=0,"",INDEX(Classes!$B$6:$B$420,$M4676))</f>
        <v/>
      </c>
      <c r="E4676" s="61" t="str">
        <f aca="false">IF($M4676=0,"",INDEX(Classes!$C$6:$C$420,$M4676))</f>
        <v/>
      </c>
      <c r="F4676" s="63"/>
      <c r="G4676" s="63"/>
      <c r="H4676" s="60"/>
      <c r="I4676" s="60"/>
      <c r="J4676" s="63"/>
      <c r="K4676" s="61" t="str">
        <f aca="false">IF($P4676=0,"",IF($F4676="Baseline","— Baseline",IF($O4676=0,"No result",IF($N4676=0,"No Start (attainment only)",IF(OR($N4676=1,$O4676=1),"U – needs rule",INDEX(MxBody,MATCH($I4676,MxCurr,0),MATCH($H4676,MxStart,0)))))))</f>
        <v/>
      </c>
      <c r="L4676" s="62" t="str">
        <f aca="false">IF(COUNTA($A4676,$F4676,$G4676,$H4676,$I4676,$J4676)=0,"",IF($M4676=0,"✖ كود الصف غير موجود",IF(ISNA(MATCH($F4676,Lists!$A$2:$A$5,0)),"✖ الفترة غير صحيحة",IF(ISNA(MATCH($G4676,Lists!$B$2:$B$7,0)),"✖ المجموعة غير صحيحة",IF(NOT(OR($H4676="",$N4676&gt;0)),"✖ Start غير صحيح",IF(NOT(OR($I4676="",$I4676="NR",$O4676&gt;0)),"✖ Current غير صحيح",IF(NOT(IF(ISNUMBER($J4676),AND($J4676&gt;=0,$J4676=INT($J4676)),FALSE())),"✖ العدد يجب أن يكون صحيحًا ≥ 0",IF(AND($F4676="Baseline",$H4676&lt;&gt;""),"⚠ Baseline: Start لا يدخل في التقدم",IF($K4676="No Start (attainment only)","ℹ تحصيل فقط (بدون Start)",IF($K4676="U – needs rule","ℹ حالة U تحتاج قاعدة معتمدة",IF($K4676="No result","ℹ بدون نتيجة (يُستبعد من التحصيل)","OK")))))))))))</f>
        <v/>
      </c>
      <c r="M4676" s="64" t="n">
        <f aca="false">IF($A4676="",0,IFERROR(MATCH($A4676,Classes!$A$6:$A$420,0),0))</f>
        <v>0</v>
      </c>
      <c r="N4676" s="64" t="n">
        <f aca="false">IF($H4676="",0,IFERROR(MATCH($H4676,GradeList,0),0))</f>
        <v>0</v>
      </c>
      <c r="O4676" s="64" t="n">
        <f aca="false">IF(OR($I4676="",$I4676="NR"),0,IFERROR(MATCH($I4676,GradeList,0),0))</f>
        <v>0</v>
      </c>
      <c r="P4676" s="64" t="n">
        <f aca="false">IF(AND($M4676&gt;0,ISNUMBER(MATCH($F4676,Lists!$A$2:$A$5,0)),ISNUMBER(MATCH($G4676,Lists!$B$2:$B$7,0)),OR($H4676="",$N4676&gt;0),OR($I4676="",$I4676="NR",$O4676&gt;0),IF(ISNUMBER($J4676),AND($J4676&gt;=0,$J4676=INT($J4676)),FALSE())),$J4676,0)</f>
        <v>0</v>
      </c>
      <c r="Q4676" s="64" t="n">
        <f aca="false">IF(AND($P4676&gt;0,$O4676&gt;0),$P4676,0)</f>
        <v>0</v>
      </c>
      <c r="R4676" s="64" t="n">
        <f aca="false">IF(AND($Q4676&gt;0,$O4676&gt;=AtRank),$Q4676,0)</f>
        <v>0</v>
      </c>
      <c r="S4676" s="64" t="n">
        <f aca="false">IF(AND($Q4676&gt;0,$O4676&gt;=AboveRank),$Q4676,0)</f>
        <v>0</v>
      </c>
      <c r="T4676" s="64" t="n">
        <f aca="false">IF($K4676="Less",$P4676,0)</f>
        <v>0</v>
      </c>
      <c r="U4676" s="64" t="n">
        <f aca="false">IF($K4676="Expected",$P4676,0)</f>
        <v>0</v>
      </c>
      <c r="V4676" s="64" t="n">
        <f aca="false">IF($K4676="Better",$P4676,0)</f>
        <v>0</v>
      </c>
      <c r="W4676" s="64" t="n">
        <f aca="false">IF($K4676="U – needs rule",$P4676,0)</f>
        <v>0</v>
      </c>
      <c r="X4676" s="64" t="n">
        <f aca="false">IF($K4676="No Start (attainment only)",$P4676,0)</f>
        <v>0</v>
      </c>
    </row>
    <row r="4677" customFormat="false" ht="15" hidden="false" customHeight="false" outlineLevel="0" collapsed="false">
      <c r="A4677" s="60"/>
      <c r="B4677" s="61" t="str">
        <f aca="false">IF($M4677=0,"",INDEX(Classes!$E$6:$E$420,$M4677))</f>
        <v/>
      </c>
      <c r="C4677" s="62" t="str">
        <f aca="false">IF($M4677=0,"",INDEX(Classes!$H$6:$H$420,$M4677))</f>
        <v/>
      </c>
      <c r="D4677" s="61" t="str">
        <f aca="false">IF($M4677=0,"",INDEX(Classes!$B$6:$B$420,$M4677))</f>
        <v/>
      </c>
      <c r="E4677" s="61" t="str">
        <f aca="false">IF($M4677=0,"",INDEX(Classes!$C$6:$C$420,$M4677))</f>
        <v/>
      </c>
      <c r="F4677" s="63"/>
      <c r="G4677" s="63"/>
      <c r="H4677" s="60"/>
      <c r="I4677" s="60"/>
      <c r="J4677" s="63"/>
      <c r="K4677" s="61" t="str">
        <f aca="false">IF($P4677=0,"",IF($F4677="Baseline","— Baseline",IF($O4677=0,"No result",IF($N4677=0,"No Start (attainment only)",IF(OR($N4677=1,$O4677=1),"U – needs rule",INDEX(MxBody,MATCH($I4677,MxCurr,0),MATCH($H4677,MxStart,0)))))))</f>
        <v/>
      </c>
      <c r="L4677" s="62" t="str">
        <f aca="false">IF(COUNTA($A4677,$F4677,$G4677,$H4677,$I4677,$J4677)=0,"",IF($M4677=0,"✖ كود الصف غير موجود",IF(ISNA(MATCH($F4677,Lists!$A$2:$A$5,0)),"✖ الفترة غير صحيحة",IF(ISNA(MATCH($G4677,Lists!$B$2:$B$7,0)),"✖ المجموعة غير صحيحة",IF(NOT(OR($H4677="",$N4677&gt;0)),"✖ Start غير صحيح",IF(NOT(OR($I4677="",$I4677="NR",$O4677&gt;0)),"✖ Current غير صحيح",IF(NOT(IF(ISNUMBER($J4677),AND($J4677&gt;=0,$J4677=INT($J4677)),FALSE())),"✖ العدد يجب أن يكون صحيحًا ≥ 0",IF(AND($F4677="Baseline",$H4677&lt;&gt;""),"⚠ Baseline: Start لا يدخل في التقدم",IF($K4677="No Start (attainment only)","ℹ تحصيل فقط (بدون Start)",IF($K4677="U – needs rule","ℹ حالة U تحتاج قاعدة معتمدة",IF($K4677="No result","ℹ بدون نتيجة (يُستبعد من التحصيل)","OK")))))))))))</f>
        <v/>
      </c>
      <c r="M4677" s="64" t="n">
        <f aca="false">IF($A4677="",0,IFERROR(MATCH($A4677,Classes!$A$6:$A$420,0),0))</f>
        <v>0</v>
      </c>
      <c r="N4677" s="64" t="n">
        <f aca="false">IF($H4677="",0,IFERROR(MATCH($H4677,GradeList,0),0))</f>
        <v>0</v>
      </c>
      <c r="O4677" s="64" t="n">
        <f aca="false">IF(OR($I4677="",$I4677="NR"),0,IFERROR(MATCH($I4677,GradeList,0),0))</f>
        <v>0</v>
      </c>
      <c r="P4677" s="64" t="n">
        <f aca="false">IF(AND($M4677&gt;0,ISNUMBER(MATCH($F4677,Lists!$A$2:$A$5,0)),ISNUMBER(MATCH($G4677,Lists!$B$2:$B$7,0)),OR($H4677="",$N4677&gt;0),OR($I4677="",$I4677="NR",$O4677&gt;0),IF(ISNUMBER($J4677),AND($J4677&gt;=0,$J4677=INT($J4677)),FALSE())),$J4677,0)</f>
        <v>0</v>
      </c>
      <c r="Q4677" s="64" t="n">
        <f aca="false">IF(AND($P4677&gt;0,$O4677&gt;0),$P4677,0)</f>
        <v>0</v>
      </c>
      <c r="R4677" s="64" t="n">
        <f aca="false">IF(AND($Q4677&gt;0,$O4677&gt;=AtRank),$Q4677,0)</f>
        <v>0</v>
      </c>
      <c r="S4677" s="64" t="n">
        <f aca="false">IF(AND($Q4677&gt;0,$O4677&gt;=AboveRank),$Q4677,0)</f>
        <v>0</v>
      </c>
      <c r="T4677" s="64" t="n">
        <f aca="false">IF($K4677="Less",$P4677,0)</f>
        <v>0</v>
      </c>
      <c r="U4677" s="64" t="n">
        <f aca="false">IF($K4677="Expected",$P4677,0)</f>
        <v>0</v>
      </c>
      <c r="V4677" s="64" t="n">
        <f aca="false">IF($K4677="Better",$P4677,0)</f>
        <v>0</v>
      </c>
      <c r="W4677" s="64" t="n">
        <f aca="false">IF($K4677="U – needs rule",$P4677,0)</f>
        <v>0</v>
      </c>
      <c r="X4677" s="64" t="n">
        <f aca="false">IF($K4677="No Start (attainment only)",$P4677,0)</f>
        <v>0</v>
      </c>
    </row>
    <row r="4678" customFormat="false" ht="15" hidden="false" customHeight="false" outlineLevel="0" collapsed="false">
      <c r="A4678" s="60"/>
      <c r="B4678" s="61" t="str">
        <f aca="false">IF($M4678=0,"",INDEX(Classes!$E$6:$E$420,$M4678))</f>
        <v/>
      </c>
      <c r="C4678" s="62" t="str">
        <f aca="false">IF($M4678=0,"",INDEX(Classes!$H$6:$H$420,$M4678))</f>
        <v/>
      </c>
      <c r="D4678" s="61" t="str">
        <f aca="false">IF($M4678=0,"",INDEX(Classes!$B$6:$B$420,$M4678))</f>
        <v/>
      </c>
      <c r="E4678" s="61" t="str">
        <f aca="false">IF($M4678=0,"",INDEX(Classes!$C$6:$C$420,$M4678))</f>
        <v/>
      </c>
      <c r="F4678" s="63"/>
      <c r="G4678" s="63"/>
      <c r="H4678" s="60"/>
      <c r="I4678" s="60"/>
      <c r="J4678" s="63"/>
      <c r="K4678" s="61" t="str">
        <f aca="false">IF($P4678=0,"",IF($F4678="Baseline","— Baseline",IF($O4678=0,"No result",IF($N4678=0,"No Start (attainment only)",IF(OR($N4678=1,$O4678=1),"U – needs rule",INDEX(MxBody,MATCH($I4678,MxCurr,0),MATCH($H4678,MxStart,0)))))))</f>
        <v/>
      </c>
      <c r="L4678" s="62" t="str">
        <f aca="false">IF(COUNTA($A4678,$F4678,$G4678,$H4678,$I4678,$J4678)=0,"",IF($M4678=0,"✖ كود الصف غير موجود",IF(ISNA(MATCH($F4678,Lists!$A$2:$A$5,0)),"✖ الفترة غير صحيحة",IF(ISNA(MATCH($G4678,Lists!$B$2:$B$7,0)),"✖ المجموعة غير صحيحة",IF(NOT(OR($H4678="",$N4678&gt;0)),"✖ Start غير صحيح",IF(NOT(OR($I4678="",$I4678="NR",$O4678&gt;0)),"✖ Current غير صحيح",IF(NOT(IF(ISNUMBER($J4678),AND($J4678&gt;=0,$J4678=INT($J4678)),FALSE())),"✖ العدد يجب أن يكون صحيحًا ≥ 0",IF(AND($F4678="Baseline",$H4678&lt;&gt;""),"⚠ Baseline: Start لا يدخل في التقدم",IF($K4678="No Start (attainment only)","ℹ تحصيل فقط (بدون Start)",IF($K4678="U – needs rule","ℹ حالة U تحتاج قاعدة معتمدة",IF($K4678="No result","ℹ بدون نتيجة (يُستبعد من التحصيل)","OK")))))))))))</f>
        <v/>
      </c>
      <c r="M4678" s="64" t="n">
        <f aca="false">IF($A4678="",0,IFERROR(MATCH($A4678,Classes!$A$6:$A$420,0),0))</f>
        <v>0</v>
      </c>
      <c r="N4678" s="64" t="n">
        <f aca="false">IF($H4678="",0,IFERROR(MATCH($H4678,GradeList,0),0))</f>
        <v>0</v>
      </c>
      <c r="O4678" s="64" t="n">
        <f aca="false">IF(OR($I4678="",$I4678="NR"),0,IFERROR(MATCH($I4678,GradeList,0),0))</f>
        <v>0</v>
      </c>
      <c r="P4678" s="64" t="n">
        <f aca="false">IF(AND($M4678&gt;0,ISNUMBER(MATCH($F4678,Lists!$A$2:$A$5,0)),ISNUMBER(MATCH($G4678,Lists!$B$2:$B$7,0)),OR($H4678="",$N4678&gt;0),OR($I4678="",$I4678="NR",$O4678&gt;0),IF(ISNUMBER($J4678),AND($J4678&gt;=0,$J4678=INT($J4678)),FALSE())),$J4678,0)</f>
        <v>0</v>
      </c>
      <c r="Q4678" s="64" t="n">
        <f aca="false">IF(AND($P4678&gt;0,$O4678&gt;0),$P4678,0)</f>
        <v>0</v>
      </c>
      <c r="R4678" s="64" t="n">
        <f aca="false">IF(AND($Q4678&gt;0,$O4678&gt;=AtRank),$Q4678,0)</f>
        <v>0</v>
      </c>
      <c r="S4678" s="64" t="n">
        <f aca="false">IF(AND($Q4678&gt;0,$O4678&gt;=AboveRank),$Q4678,0)</f>
        <v>0</v>
      </c>
      <c r="T4678" s="64" t="n">
        <f aca="false">IF($K4678="Less",$P4678,0)</f>
        <v>0</v>
      </c>
      <c r="U4678" s="64" t="n">
        <f aca="false">IF($K4678="Expected",$P4678,0)</f>
        <v>0</v>
      </c>
      <c r="V4678" s="64" t="n">
        <f aca="false">IF($K4678="Better",$P4678,0)</f>
        <v>0</v>
      </c>
      <c r="W4678" s="64" t="n">
        <f aca="false">IF($K4678="U – needs rule",$P4678,0)</f>
        <v>0</v>
      </c>
      <c r="X4678" s="64" t="n">
        <f aca="false">IF($K4678="No Start (attainment only)",$P4678,0)</f>
        <v>0</v>
      </c>
    </row>
    <row r="4679" customFormat="false" ht="15" hidden="false" customHeight="false" outlineLevel="0" collapsed="false">
      <c r="A4679" s="60"/>
      <c r="B4679" s="61" t="str">
        <f aca="false">IF($M4679=0,"",INDEX(Classes!$E$6:$E$420,$M4679))</f>
        <v/>
      </c>
      <c r="C4679" s="62" t="str">
        <f aca="false">IF($M4679=0,"",INDEX(Classes!$H$6:$H$420,$M4679))</f>
        <v/>
      </c>
      <c r="D4679" s="61" t="str">
        <f aca="false">IF($M4679=0,"",INDEX(Classes!$B$6:$B$420,$M4679))</f>
        <v/>
      </c>
      <c r="E4679" s="61" t="str">
        <f aca="false">IF($M4679=0,"",INDEX(Classes!$C$6:$C$420,$M4679))</f>
        <v/>
      </c>
      <c r="F4679" s="63"/>
      <c r="G4679" s="63"/>
      <c r="H4679" s="60"/>
      <c r="I4679" s="60"/>
      <c r="J4679" s="63"/>
      <c r="K4679" s="61" t="str">
        <f aca="false">IF($P4679=0,"",IF($F4679="Baseline","— Baseline",IF($O4679=0,"No result",IF($N4679=0,"No Start (attainment only)",IF(OR($N4679=1,$O4679=1),"U – needs rule",INDEX(MxBody,MATCH($I4679,MxCurr,0),MATCH($H4679,MxStart,0)))))))</f>
        <v/>
      </c>
      <c r="L4679" s="62" t="str">
        <f aca="false">IF(COUNTA($A4679,$F4679,$G4679,$H4679,$I4679,$J4679)=0,"",IF($M4679=0,"✖ كود الصف غير موجود",IF(ISNA(MATCH($F4679,Lists!$A$2:$A$5,0)),"✖ الفترة غير صحيحة",IF(ISNA(MATCH($G4679,Lists!$B$2:$B$7,0)),"✖ المجموعة غير صحيحة",IF(NOT(OR($H4679="",$N4679&gt;0)),"✖ Start غير صحيح",IF(NOT(OR($I4679="",$I4679="NR",$O4679&gt;0)),"✖ Current غير صحيح",IF(NOT(IF(ISNUMBER($J4679),AND($J4679&gt;=0,$J4679=INT($J4679)),FALSE())),"✖ العدد يجب أن يكون صحيحًا ≥ 0",IF(AND($F4679="Baseline",$H4679&lt;&gt;""),"⚠ Baseline: Start لا يدخل في التقدم",IF($K4679="No Start (attainment only)","ℹ تحصيل فقط (بدون Start)",IF($K4679="U – needs rule","ℹ حالة U تحتاج قاعدة معتمدة",IF($K4679="No result","ℹ بدون نتيجة (يُستبعد من التحصيل)","OK")))))))))))</f>
        <v/>
      </c>
      <c r="M4679" s="64" t="n">
        <f aca="false">IF($A4679="",0,IFERROR(MATCH($A4679,Classes!$A$6:$A$420,0),0))</f>
        <v>0</v>
      </c>
      <c r="N4679" s="64" t="n">
        <f aca="false">IF($H4679="",0,IFERROR(MATCH($H4679,GradeList,0),0))</f>
        <v>0</v>
      </c>
      <c r="O4679" s="64" t="n">
        <f aca="false">IF(OR($I4679="",$I4679="NR"),0,IFERROR(MATCH($I4679,GradeList,0),0))</f>
        <v>0</v>
      </c>
      <c r="P4679" s="64" t="n">
        <f aca="false">IF(AND($M4679&gt;0,ISNUMBER(MATCH($F4679,Lists!$A$2:$A$5,0)),ISNUMBER(MATCH($G4679,Lists!$B$2:$B$7,0)),OR($H4679="",$N4679&gt;0),OR($I4679="",$I4679="NR",$O4679&gt;0),IF(ISNUMBER($J4679),AND($J4679&gt;=0,$J4679=INT($J4679)),FALSE())),$J4679,0)</f>
        <v>0</v>
      </c>
      <c r="Q4679" s="64" t="n">
        <f aca="false">IF(AND($P4679&gt;0,$O4679&gt;0),$P4679,0)</f>
        <v>0</v>
      </c>
      <c r="R4679" s="64" t="n">
        <f aca="false">IF(AND($Q4679&gt;0,$O4679&gt;=AtRank),$Q4679,0)</f>
        <v>0</v>
      </c>
      <c r="S4679" s="64" t="n">
        <f aca="false">IF(AND($Q4679&gt;0,$O4679&gt;=AboveRank),$Q4679,0)</f>
        <v>0</v>
      </c>
      <c r="T4679" s="64" t="n">
        <f aca="false">IF($K4679="Less",$P4679,0)</f>
        <v>0</v>
      </c>
      <c r="U4679" s="64" t="n">
        <f aca="false">IF($K4679="Expected",$P4679,0)</f>
        <v>0</v>
      </c>
      <c r="V4679" s="64" t="n">
        <f aca="false">IF($K4679="Better",$P4679,0)</f>
        <v>0</v>
      </c>
      <c r="W4679" s="64" t="n">
        <f aca="false">IF($K4679="U – needs rule",$P4679,0)</f>
        <v>0</v>
      </c>
      <c r="X4679" s="64" t="n">
        <f aca="false">IF($K4679="No Start (attainment only)",$P4679,0)</f>
        <v>0</v>
      </c>
    </row>
    <row r="4680" customFormat="false" ht="15" hidden="false" customHeight="false" outlineLevel="0" collapsed="false">
      <c r="A4680" s="60"/>
      <c r="B4680" s="61" t="str">
        <f aca="false">IF($M4680=0,"",INDEX(Classes!$E$6:$E$420,$M4680))</f>
        <v/>
      </c>
      <c r="C4680" s="62" t="str">
        <f aca="false">IF($M4680=0,"",INDEX(Classes!$H$6:$H$420,$M4680))</f>
        <v/>
      </c>
      <c r="D4680" s="61" t="str">
        <f aca="false">IF($M4680=0,"",INDEX(Classes!$B$6:$B$420,$M4680))</f>
        <v/>
      </c>
      <c r="E4680" s="61" t="str">
        <f aca="false">IF($M4680=0,"",INDEX(Classes!$C$6:$C$420,$M4680))</f>
        <v/>
      </c>
      <c r="F4680" s="63"/>
      <c r="G4680" s="63"/>
      <c r="H4680" s="60"/>
      <c r="I4680" s="60"/>
      <c r="J4680" s="63"/>
      <c r="K4680" s="61" t="str">
        <f aca="false">IF($P4680=0,"",IF($F4680="Baseline","— Baseline",IF($O4680=0,"No result",IF($N4680=0,"No Start (attainment only)",IF(OR($N4680=1,$O4680=1),"U – needs rule",INDEX(MxBody,MATCH($I4680,MxCurr,0),MATCH($H4680,MxStart,0)))))))</f>
        <v/>
      </c>
      <c r="L4680" s="62" t="str">
        <f aca="false">IF(COUNTA($A4680,$F4680,$G4680,$H4680,$I4680,$J4680)=0,"",IF($M4680=0,"✖ كود الصف غير موجود",IF(ISNA(MATCH($F4680,Lists!$A$2:$A$5,0)),"✖ الفترة غير صحيحة",IF(ISNA(MATCH($G4680,Lists!$B$2:$B$7,0)),"✖ المجموعة غير صحيحة",IF(NOT(OR($H4680="",$N4680&gt;0)),"✖ Start غير صحيح",IF(NOT(OR($I4680="",$I4680="NR",$O4680&gt;0)),"✖ Current غير صحيح",IF(NOT(IF(ISNUMBER($J4680),AND($J4680&gt;=0,$J4680=INT($J4680)),FALSE())),"✖ العدد يجب أن يكون صحيحًا ≥ 0",IF(AND($F4680="Baseline",$H4680&lt;&gt;""),"⚠ Baseline: Start لا يدخل في التقدم",IF($K4680="No Start (attainment only)","ℹ تحصيل فقط (بدون Start)",IF($K4680="U – needs rule","ℹ حالة U تحتاج قاعدة معتمدة",IF($K4680="No result","ℹ بدون نتيجة (يُستبعد من التحصيل)","OK")))))))))))</f>
        <v/>
      </c>
      <c r="M4680" s="64" t="n">
        <f aca="false">IF($A4680="",0,IFERROR(MATCH($A4680,Classes!$A$6:$A$420,0),0))</f>
        <v>0</v>
      </c>
      <c r="N4680" s="64" t="n">
        <f aca="false">IF($H4680="",0,IFERROR(MATCH($H4680,GradeList,0),0))</f>
        <v>0</v>
      </c>
      <c r="O4680" s="64" t="n">
        <f aca="false">IF(OR($I4680="",$I4680="NR"),0,IFERROR(MATCH($I4680,GradeList,0),0))</f>
        <v>0</v>
      </c>
      <c r="P4680" s="64" t="n">
        <f aca="false">IF(AND($M4680&gt;0,ISNUMBER(MATCH($F4680,Lists!$A$2:$A$5,0)),ISNUMBER(MATCH($G4680,Lists!$B$2:$B$7,0)),OR($H4680="",$N4680&gt;0),OR($I4680="",$I4680="NR",$O4680&gt;0),IF(ISNUMBER($J4680),AND($J4680&gt;=0,$J4680=INT($J4680)),FALSE())),$J4680,0)</f>
        <v>0</v>
      </c>
      <c r="Q4680" s="64" t="n">
        <f aca="false">IF(AND($P4680&gt;0,$O4680&gt;0),$P4680,0)</f>
        <v>0</v>
      </c>
      <c r="R4680" s="64" t="n">
        <f aca="false">IF(AND($Q4680&gt;0,$O4680&gt;=AtRank),$Q4680,0)</f>
        <v>0</v>
      </c>
      <c r="S4680" s="64" t="n">
        <f aca="false">IF(AND($Q4680&gt;0,$O4680&gt;=AboveRank),$Q4680,0)</f>
        <v>0</v>
      </c>
      <c r="T4680" s="64" t="n">
        <f aca="false">IF($K4680="Less",$P4680,0)</f>
        <v>0</v>
      </c>
      <c r="U4680" s="64" t="n">
        <f aca="false">IF($K4680="Expected",$P4680,0)</f>
        <v>0</v>
      </c>
      <c r="V4680" s="64" t="n">
        <f aca="false">IF($K4680="Better",$P4680,0)</f>
        <v>0</v>
      </c>
      <c r="W4680" s="64" t="n">
        <f aca="false">IF($K4680="U – needs rule",$P4680,0)</f>
        <v>0</v>
      </c>
      <c r="X4680" s="64" t="n">
        <f aca="false">IF($K4680="No Start (attainment only)",$P4680,0)</f>
        <v>0</v>
      </c>
    </row>
    <row r="4681" customFormat="false" ht="15" hidden="false" customHeight="false" outlineLevel="0" collapsed="false">
      <c r="A4681" s="60"/>
      <c r="B4681" s="61" t="str">
        <f aca="false">IF($M4681=0,"",INDEX(Classes!$E$6:$E$420,$M4681))</f>
        <v/>
      </c>
      <c r="C4681" s="62" t="str">
        <f aca="false">IF($M4681=0,"",INDEX(Classes!$H$6:$H$420,$M4681))</f>
        <v/>
      </c>
      <c r="D4681" s="61" t="str">
        <f aca="false">IF($M4681=0,"",INDEX(Classes!$B$6:$B$420,$M4681))</f>
        <v/>
      </c>
      <c r="E4681" s="61" t="str">
        <f aca="false">IF($M4681=0,"",INDEX(Classes!$C$6:$C$420,$M4681))</f>
        <v/>
      </c>
      <c r="F4681" s="63"/>
      <c r="G4681" s="63"/>
      <c r="H4681" s="60"/>
      <c r="I4681" s="60"/>
      <c r="J4681" s="63"/>
      <c r="K4681" s="61" t="str">
        <f aca="false">IF($P4681=0,"",IF($F4681="Baseline","— Baseline",IF($O4681=0,"No result",IF($N4681=0,"No Start (attainment only)",IF(OR($N4681=1,$O4681=1),"U – needs rule",INDEX(MxBody,MATCH($I4681,MxCurr,0),MATCH($H4681,MxStart,0)))))))</f>
        <v/>
      </c>
      <c r="L4681" s="62" t="str">
        <f aca="false">IF(COUNTA($A4681,$F4681,$G4681,$H4681,$I4681,$J4681)=0,"",IF($M4681=0,"✖ كود الصف غير موجود",IF(ISNA(MATCH($F4681,Lists!$A$2:$A$5,0)),"✖ الفترة غير صحيحة",IF(ISNA(MATCH($G4681,Lists!$B$2:$B$7,0)),"✖ المجموعة غير صحيحة",IF(NOT(OR($H4681="",$N4681&gt;0)),"✖ Start غير صحيح",IF(NOT(OR($I4681="",$I4681="NR",$O4681&gt;0)),"✖ Current غير صحيح",IF(NOT(IF(ISNUMBER($J4681),AND($J4681&gt;=0,$J4681=INT($J4681)),FALSE())),"✖ العدد يجب أن يكون صحيحًا ≥ 0",IF(AND($F4681="Baseline",$H4681&lt;&gt;""),"⚠ Baseline: Start لا يدخل في التقدم",IF($K4681="No Start (attainment only)","ℹ تحصيل فقط (بدون Start)",IF($K4681="U – needs rule","ℹ حالة U تحتاج قاعدة معتمدة",IF($K4681="No result","ℹ بدون نتيجة (يُستبعد من التحصيل)","OK")))))))))))</f>
        <v/>
      </c>
      <c r="M4681" s="64" t="n">
        <f aca="false">IF($A4681="",0,IFERROR(MATCH($A4681,Classes!$A$6:$A$420,0),0))</f>
        <v>0</v>
      </c>
      <c r="N4681" s="64" t="n">
        <f aca="false">IF($H4681="",0,IFERROR(MATCH($H4681,GradeList,0),0))</f>
        <v>0</v>
      </c>
      <c r="O4681" s="64" t="n">
        <f aca="false">IF(OR($I4681="",$I4681="NR"),0,IFERROR(MATCH($I4681,GradeList,0),0))</f>
        <v>0</v>
      </c>
      <c r="P4681" s="64" t="n">
        <f aca="false">IF(AND($M4681&gt;0,ISNUMBER(MATCH($F4681,Lists!$A$2:$A$5,0)),ISNUMBER(MATCH($G4681,Lists!$B$2:$B$7,0)),OR($H4681="",$N4681&gt;0),OR($I4681="",$I4681="NR",$O4681&gt;0),IF(ISNUMBER($J4681),AND($J4681&gt;=0,$J4681=INT($J4681)),FALSE())),$J4681,0)</f>
        <v>0</v>
      </c>
      <c r="Q4681" s="64" t="n">
        <f aca="false">IF(AND($P4681&gt;0,$O4681&gt;0),$P4681,0)</f>
        <v>0</v>
      </c>
      <c r="R4681" s="64" t="n">
        <f aca="false">IF(AND($Q4681&gt;0,$O4681&gt;=AtRank),$Q4681,0)</f>
        <v>0</v>
      </c>
      <c r="S4681" s="64" t="n">
        <f aca="false">IF(AND($Q4681&gt;0,$O4681&gt;=AboveRank),$Q4681,0)</f>
        <v>0</v>
      </c>
      <c r="T4681" s="64" t="n">
        <f aca="false">IF($K4681="Less",$P4681,0)</f>
        <v>0</v>
      </c>
      <c r="U4681" s="64" t="n">
        <f aca="false">IF($K4681="Expected",$P4681,0)</f>
        <v>0</v>
      </c>
      <c r="V4681" s="64" t="n">
        <f aca="false">IF($K4681="Better",$P4681,0)</f>
        <v>0</v>
      </c>
      <c r="W4681" s="64" t="n">
        <f aca="false">IF($K4681="U – needs rule",$P4681,0)</f>
        <v>0</v>
      </c>
      <c r="X4681" s="64" t="n">
        <f aca="false">IF($K4681="No Start (attainment only)",$P4681,0)</f>
        <v>0</v>
      </c>
    </row>
    <row r="4682" customFormat="false" ht="15" hidden="false" customHeight="false" outlineLevel="0" collapsed="false">
      <c r="A4682" s="60"/>
      <c r="B4682" s="61" t="str">
        <f aca="false">IF($M4682=0,"",INDEX(Classes!$E$6:$E$420,$M4682))</f>
        <v/>
      </c>
      <c r="C4682" s="62" t="str">
        <f aca="false">IF($M4682=0,"",INDEX(Classes!$H$6:$H$420,$M4682))</f>
        <v/>
      </c>
      <c r="D4682" s="61" t="str">
        <f aca="false">IF($M4682=0,"",INDEX(Classes!$B$6:$B$420,$M4682))</f>
        <v/>
      </c>
      <c r="E4682" s="61" t="str">
        <f aca="false">IF($M4682=0,"",INDEX(Classes!$C$6:$C$420,$M4682))</f>
        <v/>
      </c>
      <c r="F4682" s="63"/>
      <c r="G4682" s="63"/>
      <c r="H4682" s="60"/>
      <c r="I4682" s="60"/>
      <c r="J4682" s="63"/>
      <c r="K4682" s="61" t="str">
        <f aca="false">IF($P4682=0,"",IF($F4682="Baseline","— Baseline",IF($O4682=0,"No result",IF($N4682=0,"No Start (attainment only)",IF(OR($N4682=1,$O4682=1),"U – needs rule",INDEX(MxBody,MATCH($I4682,MxCurr,0),MATCH($H4682,MxStart,0)))))))</f>
        <v/>
      </c>
      <c r="L4682" s="62" t="str">
        <f aca="false">IF(COUNTA($A4682,$F4682,$G4682,$H4682,$I4682,$J4682)=0,"",IF($M4682=0,"✖ كود الصف غير موجود",IF(ISNA(MATCH($F4682,Lists!$A$2:$A$5,0)),"✖ الفترة غير صحيحة",IF(ISNA(MATCH($G4682,Lists!$B$2:$B$7,0)),"✖ المجموعة غير صحيحة",IF(NOT(OR($H4682="",$N4682&gt;0)),"✖ Start غير صحيح",IF(NOT(OR($I4682="",$I4682="NR",$O4682&gt;0)),"✖ Current غير صحيح",IF(NOT(IF(ISNUMBER($J4682),AND($J4682&gt;=0,$J4682=INT($J4682)),FALSE())),"✖ العدد يجب أن يكون صحيحًا ≥ 0",IF(AND($F4682="Baseline",$H4682&lt;&gt;""),"⚠ Baseline: Start لا يدخل في التقدم",IF($K4682="No Start (attainment only)","ℹ تحصيل فقط (بدون Start)",IF($K4682="U – needs rule","ℹ حالة U تحتاج قاعدة معتمدة",IF($K4682="No result","ℹ بدون نتيجة (يُستبعد من التحصيل)","OK")))))))))))</f>
        <v/>
      </c>
      <c r="M4682" s="64" t="n">
        <f aca="false">IF($A4682="",0,IFERROR(MATCH($A4682,Classes!$A$6:$A$420,0),0))</f>
        <v>0</v>
      </c>
      <c r="N4682" s="64" t="n">
        <f aca="false">IF($H4682="",0,IFERROR(MATCH($H4682,GradeList,0),0))</f>
        <v>0</v>
      </c>
      <c r="O4682" s="64" t="n">
        <f aca="false">IF(OR($I4682="",$I4682="NR"),0,IFERROR(MATCH($I4682,GradeList,0),0))</f>
        <v>0</v>
      </c>
      <c r="P4682" s="64" t="n">
        <f aca="false">IF(AND($M4682&gt;0,ISNUMBER(MATCH($F4682,Lists!$A$2:$A$5,0)),ISNUMBER(MATCH($G4682,Lists!$B$2:$B$7,0)),OR($H4682="",$N4682&gt;0),OR($I4682="",$I4682="NR",$O4682&gt;0),IF(ISNUMBER($J4682),AND($J4682&gt;=0,$J4682=INT($J4682)),FALSE())),$J4682,0)</f>
        <v>0</v>
      </c>
      <c r="Q4682" s="64" t="n">
        <f aca="false">IF(AND($P4682&gt;0,$O4682&gt;0),$P4682,0)</f>
        <v>0</v>
      </c>
      <c r="R4682" s="64" t="n">
        <f aca="false">IF(AND($Q4682&gt;0,$O4682&gt;=AtRank),$Q4682,0)</f>
        <v>0</v>
      </c>
      <c r="S4682" s="64" t="n">
        <f aca="false">IF(AND($Q4682&gt;0,$O4682&gt;=AboveRank),$Q4682,0)</f>
        <v>0</v>
      </c>
      <c r="T4682" s="64" t="n">
        <f aca="false">IF($K4682="Less",$P4682,0)</f>
        <v>0</v>
      </c>
      <c r="U4682" s="64" t="n">
        <f aca="false">IF($K4682="Expected",$P4682,0)</f>
        <v>0</v>
      </c>
      <c r="V4682" s="64" t="n">
        <f aca="false">IF($K4682="Better",$P4682,0)</f>
        <v>0</v>
      </c>
      <c r="W4682" s="64" t="n">
        <f aca="false">IF($K4682="U – needs rule",$P4682,0)</f>
        <v>0</v>
      </c>
      <c r="X4682" s="64" t="n">
        <f aca="false">IF($K4682="No Start (attainment only)",$P4682,0)</f>
        <v>0</v>
      </c>
    </row>
    <row r="4683" customFormat="false" ht="15" hidden="false" customHeight="false" outlineLevel="0" collapsed="false">
      <c r="A4683" s="60"/>
      <c r="B4683" s="61" t="str">
        <f aca="false">IF($M4683=0,"",INDEX(Classes!$E$6:$E$420,$M4683))</f>
        <v/>
      </c>
      <c r="C4683" s="62" t="str">
        <f aca="false">IF($M4683=0,"",INDEX(Classes!$H$6:$H$420,$M4683))</f>
        <v/>
      </c>
      <c r="D4683" s="61" t="str">
        <f aca="false">IF($M4683=0,"",INDEX(Classes!$B$6:$B$420,$M4683))</f>
        <v/>
      </c>
      <c r="E4683" s="61" t="str">
        <f aca="false">IF($M4683=0,"",INDEX(Classes!$C$6:$C$420,$M4683))</f>
        <v/>
      </c>
      <c r="F4683" s="63"/>
      <c r="G4683" s="63"/>
      <c r="H4683" s="60"/>
      <c r="I4683" s="60"/>
      <c r="J4683" s="63"/>
      <c r="K4683" s="61" t="str">
        <f aca="false">IF($P4683=0,"",IF($F4683="Baseline","— Baseline",IF($O4683=0,"No result",IF($N4683=0,"No Start (attainment only)",IF(OR($N4683=1,$O4683=1),"U – needs rule",INDEX(MxBody,MATCH($I4683,MxCurr,0),MATCH($H4683,MxStart,0)))))))</f>
        <v/>
      </c>
      <c r="L4683" s="62" t="str">
        <f aca="false">IF(COUNTA($A4683,$F4683,$G4683,$H4683,$I4683,$J4683)=0,"",IF($M4683=0,"✖ كود الصف غير موجود",IF(ISNA(MATCH($F4683,Lists!$A$2:$A$5,0)),"✖ الفترة غير صحيحة",IF(ISNA(MATCH($G4683,Lists!$B$2:$B$7,0)),"✖ المجموعة غير صحيحة",IF(NOT(OR($H4683="",$N4683&gt;0)),"✖ Start غير صحيح",IF(NOT(OR($I4683="",$I4683="NR",$O4683&gt;0)),"✖ Current غير صحيح",IF(NOT(IF(ISNUMBER($J4683),AND($J4683&gt;=0,$J4683=INT($J4683)),FALSE())),"✖ العدد يجب أن يكون صحيحًا ≥ 0",IF(AND($F4683="Baseline",$H4683&lt;&gt;""),"⚠ Baseline: Start لا يدخل في التقدم",IF($K4683="No Start (attainment only)","ℹ تحصيل فقط (بدون Start)",IF($K4683="U – needs rule","ℹ حالة U تحتاج قاعدة معتمدة",IF($K4683="No result","ℹ بدون نتيجة (يُستبعد من التحصيل)","OK")))))))))))</f>
        <v/>
      </c>
      <c r="M4683" s="64" t="n">
        <f aca="false">IF($A4683="",0,IFERROR(MATCH($A4683,Classes!$A$6:$A$420,0),0))</f>
        <v>0</v>
      </c>
      <c r="N4683" s="64" t="n">
        <f aca="false">IF($H4683="",0,IFERROR(MATCH($H4683,GradeList,0),0))</f>
        <v>0</v>
      </c>
      <c r="O4683" s="64" t="n">
        <f aca="false">IF(OR($I4683="",$I4683="NR"),0,IFERROR(MATCH($I4683,GradeList,0),0))</f>
        <v>0</v>
      </c>
      <c r="P4683" s="64" t="n">
        <f aca="false">IF(AND($M4683&gt;0,ISNUMBER(MATCH($F4683,Lists!$A$2:$A$5,0)),ISNUMBER(MATCH($G4683,Lists!$B$2:$B$7,0)),OR($H4683="",$N4683&gt;0),OR($I4683="",$I4683="NR",$O4683&gt;0),IF(ISNUMBER($J4683),AND($J4683&gt;=0,$J4683=INT($J4683)),FALSE())),$J4683,0)</f>
        <v>0</v>
      </c>
      <c r="Q4683" s="64" t="n">
        <f aca="false">IF(AND($P4683&gt;0,$O4683&gt;0),$P4683,0)</f>
        <v>0</v>
      </c>
      <c r="R4683" s="64" t="n">
        <f aca="false">IF(AND($Q4683&gt;0,$O4683&gt;=AtRank),$Q4683,0)</f>
        <v>0</v>
      </c>
      <c r="S4683" s="64" t="n">
        <f aca="false">IF(AND($Q4683&gt;0,$O4683&gt;=AboveRank),$Q4683,0)</f>
        <v>0</v>
      </c>
      <c r="T4683" s="64" t="n">
        <f aca="false">IF($K4683="Less",$P4683,0)</f>
        <v>0</v>
      </c>
      <c r="U4683" s="64" t="n">
        <f aca="false">IF($K4683="Expected",$P4683,0)</f>
        <v>0</v>
      </c>
      <c r="V4683" s="64" t="n">
        <f aca="false">IF($K4683="Better",$P4683,0)</f>
        <v>0</v>
      </c>
      <c r="W4683" s="64" t="n">
        <f aca="false">IF($K4683="U – needs rule",$P4683,0)</f>
        <v>0</v>
      </c>
      <c r="X4683" s="64" t="n">
        <f aca="false">IF($K4683="No Start (attainment only)",$P4683,0)</f>
        <v>0</v>
      </c>
    </row>
    <row r="4684" customFormat="false" ht="15" hidden="false" customHeight="false" outlineLevel="0" collapsed="false">
      <c r="A4684" s="60"/>
      <c r="B4684" s="61" t="str">
        <f aca="false">IF($M4684=0,"",INDEX(Classes!$E$6:$E$420,$M4684))</f>
        <v/>
      </c>
      <c r="C4684" s="62" t="str">
        <f aca="false">IF($M4684=0,"",INDEX(Classes!$H$6:$H$420,$M4684))</f>
        <v/>
      </c>
      <c r="D4684" s="61" t="str">
        <f aca="false">IF($M4684=0,"",INDEX(Classes!$B$6:$B$420,$M4684))</f>
        <v/>
      </c>
      <c r="E4684" s="61" t="str">
        <f aca="false">IF($M4684=0,"",INDEX(Classes!$C$6:$C$420,$M4684))</f>
        <v/>
      </c>
      <c r="F4684" s="63"/>
      <c r="G4684" s="63"/>
      <c r="H4684" s="60"/>
      <c r="I4684" s="60"/>
      <c r="J4684" s="63"/>
      <c r="K4684" s="61" t="str">
        <f aca="false">IF($P4684=0,"",IF($F4684="Baseline","— Baseline",IF($O4684=0,"No result",IF($N4684=0,"No Start (attainment only)",IF(OR($N4684=1,$O4684=1),"U – needs rule",INDEX(MxBody,MATCH($I4684,MxCurr,0),MATCH($H4684,MxStart,0)))))))</f>
        <v/>
      </c>
      <c r="L4684" s="62" t="str">
        <f aca="false">IF(COUNTA($A4684,$F4684,$G4684,$H4684,$I4684,$J4684)=0,"",IF($M4684=0,"✖ كود الصف غير موجود",IF(ISNA(MATCH($F4684,Lists!$A$2:$A$5,0)),"✖ الفترة غير صحيحة",IF(ISNA(MATCH($G4684,Lists!$B$2:$B$7,0)),"✖ المجموعة غير صحيحة",IF(NOT(OR($H4684="",$N4684&gt;0)),"✖ Start غير صحيح",IF(NOT(OR($I4684="",$I4684="NR",$O4684&gt;0)),"✖ Current غير صحيح",IF(NOT(IF(ISNUMBER($J4684),AND($J4684&gt;=0,$J4684=INT($J4684)),FALSE())),"✖ العدد يجب أن يكون صحيحًا ≥ 0",IF(AND($F4684="Baseline",$H4684&lt;&gt;""),"⚠ Baseline: Start لا يدخل في التقدم",IF($K4684="No Start (attainment only)","ℹ تحصيل فقط (بدون Start)",IF($K4684="U – needs rule","ℹ حالة U تحتاج قاعدة معتمدة",IF($K4684="No result","ℹ بدون نتيجة (يُستبعد من التحصيل)","OK")))))))))))</f>
        <v/>
      </c>
      <c r="M4684" s="64" t="n">
        <f aca="false">IF($A4684="",0,IFERROR(MATCH($A4684,Classes!$A$6:$A$420,0),0))</f>
        <v>0</v>
      </c>
      <c r="N4684" s="64" t="n">
        <f aca="false">IF($H4684="",0,IFERROR(MATCH($H4684,GradeList,0),0))</f>
        <v>0</v>
      </c>
      <c r="O4684" s="64" t="n">
        <f aca="false">IF(OR($I4684="",$I4684="NR"),0,IFERROR(MATCH($I4684,GradeList,0),0))</f>
        <v>0</v>
      </c>
      <c r="P4684" s="64" t="n">
        <f aca="false">IF(AND($M4684&gt;0,ISNUMBER(MATCH($F4684,Lists!$A$2:$A$5,0)),ISNUMBER(MATCH($G4684,Lists!$B$2:$B$7,0)),OR($H4684="",$N4684&gt;0),OR($I4684="",$I4684="NR",$O4684&gt;0),IF(ISNUMBER($J4684),AND($J4684&gt;=0,$J4684=INT($J4684)),FALSE())),$J4684,0)</f>
        <v>0</v>
      </c>
      <c r="Q4684" s="64" t="n">
        <f aca="false">IF(AND($P4684&gt;0,$O4684&gt;0),$P4684,0)</f>
        <v>0</v>
      </c>
      <c r="R4684" s="64" t="n">
        <f aca="false">IF(AND($Q4684&gt;0,$O4684&gt;=AtRank),$Q4684,0)</f>
        <v>0</v>
      </c>
      <c r="S4684" s="64" t="n">
        <f aca="false">IF(AND($Q4684&gt;0,$O4684&gt;=AboveRank),$Q4684,0)</f>
        <v>0</v>
      </c>
      <c r="T4684" s="64" t="n">
        <f aca="false">IF($K4684="Less",$P4684,0)</f>
        <v>0</v>
      </c>
      <c r="U4684" s="64" t="n">
        <f aca="false">IF($K4684="Expected",$P4684,0)</f>
        <v>0</v>
      </c>
      <c r="V4684" s="64" t="n">
        <f aca="false">IF($K4684="Better",$P4684,0)</f>
        <v>0</v>
      </c>
      <c r="W4684" s="64" t="n">
        <f aca="false">IF($K4684="U – needs rule",$P4684,0)</f>
        <v>0</v>
      </c>
      <c r="X4684" s="64" t="n">
        <f aca="false">IF($K4684="No Start (attainment only)",$P4684,0)</f>
        <v>0</v>
      </c>
    </row>
    <row r="4685" customFormat="false" ht="15" hidden="false" customHeight="false" outlineLevel="0" collapsed="false">
      <c r="A4685" s="60"/>
      <c r="B4685" s="61" t="str">
        <f aca="false">IF($M4685=0,"",INDEX(Classes!$E$6:$E$420,$M4685))</f>
        <v/>
      </c>
      <c r="C4685" s="62" t="str">
        <f aca="false">IF($M4685=0,"",INDEX(Classes!$H$6:$H$420,$M4685))</f>
        <v/>
      </c>
      <c r="D4685" s="61" t="str">
        <f aca="false">IF($M4685=0,"",INDEX(Classes!$B$6:$B$420,$M4685))</f>
        <v/>
      </c>
      <c r="E4685" s="61" t="str">
        <f aca="false">IF($M4685=0,"",INDEX(Classes!$C$6:$C$420,$M4685))</f>
        <v/>
      </c>
      <c r="F4685" s="63"/>
      <c r="G4685" s="63"/>
      <c r="H4685" s="60"/>
      <c r="I4685" s="60"/>
      <c r="J4685" s="63"/>
      <c r="K4685" s="61" t="str">
        <f aca="false">IF($P4685=0,"",IF($F4685="Baseline","— Baseline",IF($O4685=0,"No result",IF($N4685=0,"No Start (attainment only)",IF(OR($N4685=1,$O4685=1),"U – needs rule",INDEX(MxBody,MATCH($I4685,MxCurr,0),MATCH($H4685,MxStart,0)))))))</f>
        <v/>
      </c>
      <c r="L4685" s="62" t="str">
        <f aca="false">IF(COUNTA($A4685,$F4685,$G4685,$H4685,$I4685,$J4685)=0,"",IF($M4685=0,"✖ كود الصف غير موجود",IF(ISNA(MATCH($F4685,Lists!$A$2:$A$5,0)),"✖ الفترة غير صحيحة",IF(ISNA(MATCH($G4685,Lists!$B$2:$B$7,0)),"✖ المجموعة غير صحيحة",IF(NOT(OR($H4685="",$N4685&gt;0)),"✖ Start غير صحيح",IF(NOT(OR($I4685="",$I4685="NR",$O4685&gt;0)),"✖ Current غير صحيح",IF(NOT(IF(ISNUMBER($J4685),AND($J4685&gt;=0,$J4685=INT($J4685)),FALSE())),"✖ العدد يجب أن يكون صحيحًا ≥ 0",IF(AND($F4685="Baseline",$H4685&lt;&gt;""),"⚠ Baseline: Start لا يدخل في التقدم",IF($K4685="No Start (attainment only)","ℹ تحصيل فقط (بدون Start)",IF($K4685="U – needs rule","ℹ حالة U تحتاج قاعدة معتمدة",IF($K4685="No result","ℹ بدون نتيجة (يُستبعد من التحصيل)","OK")))))))))))</f>
        <v/>
      </c>
      <c r="M4685" s="64" t="n">
        <f aca="false">IF($A4685="",0,IFERROR(MATCH($A4685,Classes!$A$6:$A$420,0),0))</f>
        <v>0</v>
      </c>
      <c r="N4685" s="64" t="n">
        <f aca="false">IF($H4685="",0,IFERROR(MATCH($H4685,GradeList,0),0))</f>
        <v>0</v>
      </c>
      <c r="O4685" s="64" t="n">
        <f aca="false">IF(OR($I4685="",$I4685="NR"),0,IFERROR(MATCH($I4685,GradeList,0),0))</f>
        <v>0</v>
      </c>
      <c r="P4685" s="64" t="n">
        <f aca="false">IF(AND($M4685&gt;0,ISNUMBER(MATCH($F4685,Lists!$A$2:$A$5,0)),ISNUMBER(MATCH($G4685,Lists!$B$2:$B$7,0)),OR($H4685="",$N4685&gt;0),OR($I4685="",$I4685="NR",$O4685&gt;0),IF(ISNUMBER($J4685),AND($J4685&gt;=0,$J4685=INT($J4685)),FALSE())),$J4685,0)</f>
        <v>0</v>
      </c>
      <c r="Q4685" s="64" t="n">
        <f aca="false">IF(AND($P4685&gt;0,$O4685&gt;0),$P4685,0)</f>
        <v>0</v>
      </c>
      <c r="R4685" s="64" t="n">
        <f aca="false">IF(AND($Q4685&gt;0,$O4685&gt;=AtRank),$Q4685,0)</f>
        <v>0</v>
      </c>
      <c r="S4685" s="64" t="n">
        <f aca="false">IF(AND($Q4685&gt;0,$O4685&gt;=AboveRank),$Q4685,0)</f>
        <v>0</v>
      </c>
      <c r="T4685" s="64" t="n">
        <f aca="false">IF($K4685="Less",$P4685,0)</f>
        <v>0</v>
      </c>
      <c r="U4685" s="64" t="n">
        <f aca="false">IF($K4685="Expected",$P4685,0)</f>
        <v>0</v>
      </c>
      <c r="V4685" s="64" t="n">
        <f aca="false">IF($K4685="Better",$P4685,0)</f>
        <v>0</v>
      </c>
      <c r="W4685" s="64" t="n">
        <f aca="false">IF($K4685="U – needs rule",$P4685,0)</f>
        <v>0</v>
      </c>
      <c r="X4685" s="64" t="n">
        <f aca="false">IF($K4685="No Start (attainment only)",$P4685,0)</f>
        <v>0</v>
      </c>
    </row>
    <row r="4686" customFormat="false" ht="15" hidden="false" customHeight="false" outlineLevel="0" collapsed="false">
      <c r="A4686" s="60"/>
      <c r="B4686" s="61" t="str">
        <f aca="false">IF($M4686=0,"",INDEX(Classes!$E$6:$E$420,$M4686))</f>
        <v/>
      </c>
      <c r="C4686" s="62" t="str">
        <f aca="false">IF($M4686=0,"",INDEX(Classes!$H$6:$H$420,$M4686))</f>
        <v/>
      </c>
      <c r="D4686" s="61" t="str">
        <f aca="false">IF($M4686=0,"",INDEX(Classes!$B$6:$B$420,$M4686))</f>
        <v/>
      </c>
      <c r="E4686" s="61" t="str">
        <f aca="false">IF($M4686=0,"",INDEX(Classes!$C$6:$C$420,$M4686))</f>
        <v/>
      </c>
      <c r="F4686" s="63"/>
      <c r="G4686" s="63"/>
      <c r="H4686" s="60"/>
      <c r="I4686" s="60"/>
      <c r="J4686" s="63"/>
      <c r="K4686" s="61" t="str">
        <f aca="false">IF($P4686=0,"",IF($F4686="Baseline","— Baseline",IF($O4686=0,"No result",IF($N4686=0,"No Start (attainment only)",IF(OR($N4686=1,$O4686=1),"U – needs rule",INDEX(MxBody,MATCH($I4686,MxCurr,0),MATCH($H4686,MxStart,0)))))))</f>
        <v/>
      </c>
      <c r="L4686" s="62" t="str">
        <f aca="false">IF(COUNTA($A4686,$F4686,$G4686,$H4686,$I4686,$J4686)=0,"",IF($M4686=0,"✖ كود الصف غير موجود",IF(ISNA(MATCH($F4686,Lists!$A$2:$A$5,0)),"✖ الفترة غير صحيحة",IF(ISNA(MATCH($G4686,Lists!$B$2:$B$7,0)),"✖ المجموعة غير صحيحة",IF(NOT(OR($H4686="",$N4686&gt;0)),"✖ Start غير صحيح",IF(NOT(OR($I4686="",$I4686="NR",$O4686&gt;0)),"✖ Current غير صحيح",IF(NOT(IF(ISNUMBER($J4686),AND($J4686&gt;=0,$J4686=INT($J4686)),FALSE())),"✖ العدد يجب أن يكون صحيحًا ≥ 0",IF(AND($F4686="Baseline",$H4686&lt;&gt;""),"⚠ Baseline: Start لا يدخل في التقدم",IF($K4686="No Start (attainment only)","ℹ تحصيل فقط (بدون Start)",IF($K4686="U – needs rule","ℹ حالة U تحتاج قاعدة معتمدة",IF($K4686="No result","ℹ بدون نتيجة (يُستبعد من التحصيل)","OK")))))))))))</f>
        <v/>
      </c>
      <c r="M4686" s="64" t="n">
        <f aca="false">IF($A4686="",0,IFERROR(MATCH($A4686,Classes!$A$6:$A$420,0),0))</f>
        <v>0</v>
      </c>
      <c r="N4686" s="64" t="n">
        <f aca="false">IF($H4686="",0,IFERROR(MATCH($H4686,GradeList,0),0))</f>
        <v>0</v>
      </c>
      <c r="O4686" s="64" t="n">
        <f aca="false">IF(OR($I4686="",$I4686="NR"),0,IFERROR(MATCH($I4686,GradeList,0),0))</f>
        <v>0</v>
      </c>
      <c r="P4686" s="64" t="n">
        <f aca="false">IF(AND($M4686&gt;0,ISNUMBER(MATCH($F4686,Lists!$A$2:$A$5,0)),ISNUMBER(MATCH($G4686,Lists!$B$2:$B$7,0)),OR($H4686="",$N4686&gt;0),OR($I4686="",$I4686="NR",$O4686&gt;0),IF(ISNUMBER($J4686),AND($J4686&gt;=0,$J4686=INT($J4686)),FALSE())),$J4686,0)</f>
        <v>0</v>
      </c>
      <c r="Q4686" s="64" t="n">
        <f aca="false">IF(AND($P4686&gt;0,$O4686&gt;0),$P4686,0)</f>
        <v>0</v>
      </c>
      <c r="R4686" s="64" t="n">
        <f aca="false">IF(AND($Q4686&gt;0,$O4686&gt;=AtRank),$Q4686,0)</f>
        <v>0</v>
      </c>
      <c r="S4686" s="64" t="n">
        <f aca="false">IF(AND($Q4686&gt;0,$O4686&gt;=AboveRank),$Q4686,0)</f>
        <v>0</v>
      </c>
      <c r="T4686" s="64" t="n">
        <f aca="false">IF($K4686="Less",$P4686,0)</f>
        <v>0</v>
      </c>
      <c r="U4686" s="64" t="n">
        <f aca="false">IF($K4686="Expected",$P4686,0)</f>
        <v>0</v>
      </c>
      <c r="V4686" s="64" t="n">
        <f aca="false">IF($K4686="Better",$P4686,0)</f>
        <v>0</v>
      </c>
      <c r="W4686" s="64" t="n">
        <f aca="false">IF($K4686="U – needs rule",$P4686,0)</f>
        <v>0</v>
      </c>
      <c r="X4686" s="64" t="n">
        <f aca="false">IF($K4686="No Start (attainment only)",$P4686,0)</f>
        <v>0</v>
      </c>
    </row>
    <row r="4687" customFormat="false" ht="15" hidden="false" customHeight="false" outlineLevel="0" collapsed="false">
      <c r="A4687" s="60"/>
      <c r="B4687" s="61" t="str">
        <f aca="false">IF($M4687=0,"",INDEX(Classes!$E$6:$E$420,$M4687))</f>
        <v/>
      </c>
      <c r="C4687" s="62" t="str">
        <f aca="false">IF($M4687=0,"",INDEX(Classes!$H$6:$H$420,$M4687))</f>
        <v/>
      </c>
      <c r="D4687" s="61" t="str">
        <f aca="false">IF($M4687=0,"",INDEX(Classes!$B$6:$B$420,$M4687))</f>
        <v/>
      </c>
      <c r="E4687" s="61" t="str">
        <f aca="false">IF($M4687=0,"",INDEX(Classes!$C$6:$C$420,$M4687))</f>
        <v/>
      </c>
      <c r="F4687" s="63"/>
      <c r="G4687" s="63"/>
      <c r="H4687" s="60"/>
      <c r="I4687" s="60"/>
      <c r="J4687" s="63"/>
      <c r="K4687" s="61" t="str">
        <f aca="false">IF($P4687=0,"",IF($F4687="Baseline","— Baseline",IF($O4687=0,"No result",IF($N4687=0,"No Start (attainment only)",IF(OR($N4687=1,$O4687=1),"U – needs rule",INDEX(MxBody,MATCH($I4687,MxCurr,0),MATCH($H4687,MxStart,0)))))))</f>
        <v/>
      </c>
      <c r="L4687" s="62" t="str">
        <f aca="false">IF(COUNTA($A4687,$F4687,$G4687,$H4687,$I4687,$J4687)=0,"",IF($M4687=0,"✖ كود الصف غير موجود",IF(ISNA(MATCH($F4687,Lists!$A$2:$A$5,0)),"✖ الفترة غير صحيحة",IF(ISNA(MATCH($G4687,Lists!$B$2:$B$7,0)),"✖ المجموعة غير صحيحة",IF(NOT(OR($H4687="",$N4687&gt;0)),"✖ Start غير صحيح",IF(NOT(OR($I4687="",$I4687="NR",$O4687&gt;0)),"✖ Current غير صحيح",IF(NOT(IF(ISNUMBER($J4687),AND($J4687&gt;=0,$J4687=INT($J4687)),FALSE())),"✖ العدد يجب أن يكون صحيحًا ≥ 0",IF(AND($F4687="Baseline",$H4687&lt;&gt;""),"⚠ Baseline: Start لا يدخل في التقدم",IF($K4687="No Start (attainment only)","ℹ تحصيل فقط (بدون Start)",IF($K4687="U – needs rule","ℹ حالة U تحتاج قاعدة معتمدة",IF($K4687="No result","ℹ بدون نتيجة (يُستبعد من التحصيل)","OK")))))))))))</f>
        <v/>
      </c>
      <c r="M4687" s="64" t="n">
        <f aca="false">IF($A4687="",0,IFERROR(MATCH($A4687,Classes!$A$6:$A$420,0),0))</f>
        <v>0</v>
      </c>
      <c r="N4687" s="64" t="n">
        <f aca="false">IF($H4687="",0,IFERROR(MATCH($H4687,GradeList,0),0))</f>
        <v>0</v>
      </c>
      <c r="O4687" s="64" t="n">
        <f aca="false">IF(OR($I4687="",$I4687="NR"),0,IFERROR(MATCH($I4687,GradeList,0),0))</f>
        <v>0</v>
      </c>
      <c r="P4687" s="64" t="n">
        <f aca="false">IF(AND($M4687&gt;0,ISNUMBER(MATCH($F4687,Lists!$A$2:$A$5,0)),ISNUMBER(MATCH($G4687,Lists!$B$2:$B$7,0)),OR($H4687="",$N4687&gt;0),OR($I4687="",$I4687="NR",$O4687&gt;0),IF(ISNUMBER($J4687),AND($J4687&gt;=0,$J4687=INT($J4687)),FALSE())),$J4687,0)</f>
        <v>0</v>
      </c>
      <c r="Q4687" s="64" t="n">
        <f aca="false">IF(AND($P4687&gt;0,$O4687&gt;0),$P4687,0)</f>
        <v>0</v>
      </c>
      <c r="R4687" s="64" t="n">
        <f aca="false">IF(AND($Q4687&gt;0,$O4687&gt;=AtRank),$Q4687,0)</f>
        <v>0</v>
      </c>
      <c r="S4687" s="64" t="n">
        <f aca="false">IF(AND($Q4687&gt;0,$O4687&gt;=AboveRank),$Q4687,0)</f>
        <v>0</v>
      </c>
      <c r="T4687" s="64" t="n">
        <f aca="false">IF($K4687="Less",$P4687,0)</f>
        <v>0</v>
      </c>
      <c r="U4687" s="64" t="n">
        <f aca="false">IF($K4687="Expected",$P4687,0)</f>
        <v>0</v>
      </c>
      <c r="V4687" s="64" t="n">
        <f aca="false">IF($K4687="Better",$P4687,0)</f>
        <v>0</v>
      </c>
      <c r="W4687" s="64" t="n">
        <f aca="false">IF($K4687="U – needs rule",$P4687,0)</f>
        <v>0</v>
      </c>
      <c r="X4687" s="64" t="n">
        <f aca="false">IF($K4687="No Start (attainment only)",$P4687,0)</f>
        <v>0</v>
      </c>
    </row>
    <row r="4688" customFormat="false" ht="15" hidden="false" customHeight="false" outlineLevel="0" collapsed="false">
      <c r="A4688" s="60"/>
      <c r="B4688" s="61" t="str">
        <f aca="false">IF($M4688=0,"",INDEX(Classes!$E$6:$E$420,$M4688))</f>
        <v/>
      </c>
      <c r="C4688" s="62" t="str">
        <f aca="false">IF($M4688=0,"",INDEX(Classes!$H$6:$H$420,$M4688))</f>
        <v/>
      </c>
      <c r="D4688" s="61" t="str">
        <f aca="false">IF($M4688=0,"",INDEX(Classes!$B$6:$B$420,$M4688))</f>
        <v/>
      </c>
      <c r="E4688" s="61" t="str">
        <f aca="false">IF($M4688=0,"",INDEX(Classes!$C$6:$C$420,$M4688))</f>
        <v/>
      </c>
      <c r="F4688" s="63"/>
      <c r="G4688" s="63"/>
      <c r="H4688" s="60"/>
      <c r="I4688" s="60"/>
      <c r="J4688" s="63"/>
      <c r="K4688" s="61" t="str">
        <f aca="false">IF($P4688=0,"",IF($F4688="Baseline","— Baseline",IF($O4688=0,"No result",IF($N4688=0,"No Start (attainment only)",IF(OR($N4688=1,$O4688=1),"U – needs rule",INDEX(MxBody,MATCH($I4688,MxCurr,0),MATCH($H4688,MxStart,0)))))))</f>
        <v/>
      </c>
      <c r="L4688" s="62" t="str">
        <f aca="false">IF(COUNTA($A4688,$F4688,$G4688,$H4688,$I4688,$J4688)=0,"",IF($M4688=0,"✖ كود الصف غير موجود",IF(ISNA(MATCH($F4688,Lists!$A$2:$A$5,0)),"✖ الفترة غير صحيحة",IF(ISNA(MATCH($G4688,Lists!$B$2:$B$7,0)),"✖ المجموعة غير صحيحة",IF(NOT(OR($H4688="",$N4688&gt;0)),"✖ Start غير صحيح",IF(NOT(OR($I4688="",$I4688="NR",$O4688&gt;0)),"✖ Current غير صحيح",IF(NOT(IF(ISNUMBER($J4688),AND($J4688&gt;=0,$J4688=INT($J4688)),FALSE())),"✖ العدد يجب أن يكون صحيحًا ≥ 0",IF(AND($F4688="Baseline",$H4688&lt;&gt;""),"⚠ Baseline: Start لا يدخل في التقدم",IF($K4688="No Start (attainment only)","ℹ تحصيل فقط (بدون Start)",IF($K4688="U – needs rule","ℹ حالة U تحتاج قاعدة معتمدة",IF($K4688="No result","ℹ بدون نتيجة (يُستبعد من التحصيل)","OK")))))))))))</f>
        <v/>
      </c>
      <c r="M4688" s="64" t="n">
        <f aca="false">IF($A4688="",0,IFERROR(MATCH($A4688,Classes!$A$6:$A$420,0),0))</f>
        <v>0</v>
      </c>
      <c r="N4688" s="64" t="n">
        <f aca="false">IF($H4688="",0,IFERROR(MATCH($H4688,GradeList,0),0))</f>
        <v>0</v>
      </c>
      <c r="O4688" s="64" t="n">
        <f aca="false">IF(OR($I4688="",$I4688="NR"),0,IFERROR(MATCH($I4688,GradeList,0),0))</f>
        <v>0</v>
      </c>
      <c r="P4688" s="64" t="n">
        <f aca="false">IF(AND($M4688&gt;0,ISNUMBER(MATCH($F4688,Lists!$A$2:$A$5,0)),ISNUMBER(MATCH($G4688,Lists!$B$2:$B$7,0)),OR($H4688="",$N4688&gt;0),OR($I4688="",$I4688="NR",$O4688&gt;0),IF(ISNUMBER($J4688),AND($J4688&gt;=0,$J4688=INT($J4688)),FALSE())),$J4688,0)</f>
        <v>0</v>
      </c>
      <c r="Q4688" s="64" t="n">
        <f aca="false">IF(AND($P4688&gt;0,$O4688&gt;0),$P4688,0)</f>
        <v>0</v>
      </c>
      <c r="R4688" s="64" t="n">
        <f aca="false">IF(AND($Q4688&gt;0,$O4688&gt;=AtRank),$Q4688,0)</f>
        <v>0</v>
      </c>
      <c r="S4688" s="64" t="n">
        <f aca="false">IF(AND($Q4688&gt;0,$O4688&gt;=AboveRank),$Q4688,0)</f>
        <v>0</v>
      </c>
      <c r="T4688" s="64" t="n">
        <f aca="false">IF($K4688="Less",$P4688,0)</f>
        <v>0</v>
      </c>
      <c r="U4688" s="64" t="n">
        <f aca="false">IF($K4688="Expected",$P4688,0)</f>
        <v>0</v>
      </c>
      <c r="V4688" s="64" t="n">
        <f aca="false">IF($K4688="Better",$P4688,0)</f>
        <v>0</v>
      </c>
      <c r="W4688" s="64" t="n">
        <f aca="false">IF($K4688="U – needs rule",$P4688,0)</f>
        <v>0</v>
      </c>
      <c r="X4688" s="64" t="n">
        <f aca="false">IF($K4688="No Start (attainment only)",$P4688,0)</f>
        <v>0</v>
      </c>
    </row>
    <row r="4689" customFormat="false" ht="15" hidden="false" customHeight="false" outlineLevel="0" collapsed="false">
      <c r="A4689" s="60"/>
      <c r="B4689" s="61" t="str">
        <f aca="false">IF($M4689=0,"",INDEX(Classes!$E$6:$E$420,$M4689))</f>
        <v/>
      </c>
      <c r="C4689" s="62" t="str">
        <f aca="false">IF($M4689=0,"",INDEX(Classes!$H$6:$H$420,$M4689))</f>
        <v/>
      </c>
      <c r="D4689" s="61" t="str">
        <f aca="false">IF($M4689=0,"",INDEX(Classes!$B$6:$B$420,$M4689))</f>
        <v/>
      </c>
      <c r="E4689" s="61" t="str">
        <f aca="false">IF($M4689=0,"",INDEX(Classes!$C$6:$C$420,$M4689))</f>
        <v/>
      </c>
      <c r="F4689" s="63"/>
      <c r="G4689" s="63"/>
      <c r="H4689" s="60"/>
      <c r="I4689" s="60"/>
      <c r="J4689" s="63"/>
      <c r="K4689" s="61" t="str">
        <f aca="false">IF($P4689=0,"",IF($F4689="Baseline","— Baseline",IF($O4689=0,"No result",IF($N4689=0,"No Start (attainment only)",IF(OR($N4689=1,$O4689=1),"U – needs rule",INDEX(MxBody,MATCH($I4689,MxCurr,0),MATCH($H4689,MxStart,0)))))))</f>
        <v/>
      </c>
      <c r="L4689" s="62" t="str">
        <f aca="false">IF(COUNTA($A4689,$F4689,$G4689,$H4689,$I4689,$J4689)=0,"",IF($M4689=0,"✖ كود الصف غير موجود",IF(ISNA(MATCH($F4689,Lists!$A$2:$A$5,0)),"✖ الفترة غير صحيحة",IF(ISNA(MATCH($G4689,Lists!$B$2:$B$7,0)),"✖ المجموعة غير صحيحة",IF(NOT(OR($H4689="",$N4689&gt;0)),"✖ Start غير صحيح",IF(NOT(OR($I4689="",$I4689="NR",$O4689&gt;0)),"✖ Current غير صحيح",IF(NOT(IF(ISNUMBER($J4689),AND($J4689&gt;=0,$J4689=INT($J4689)),FALSE())),"✖ العدد يجب أن يكون صحيحًا ≥ 0",IF(AND($F4689="Baseline",$H4689&lt;&gt;""),"⚠ Baseline: Start لا يدخل في التقدم",IF($K4689="No Start (attainment only)","ℹ تحصيل فقط (بدون Start)",IF($K4689="U – needs rule","ℹ حالة U تحتاج قاعدة معتمدة",IF($K4689="No result","ℹ بدون نتيجة (يُستبعد من التحصيل)","OK")))))))))))</f>
        <v/>
      </c>
      <c r="M4689" s="64" t="n">
        <f aca="false">IF($A4689="",0,IFERROR(MATCH($A4689,Classes!$A$6:$A$420,0),0))</f>
        <v>0</v>
      </c>
      <c r="N4689" s="64" t="n">
        <f aca="false">IF($H4689="",0,IFERROR(MATCH($H4689,GradeList,0),0))</f>
        <v>0</v>
      </c>
      <c r="O4689" s="64" t="n">
        <f aca="false">IF(OR($I4689="",$I4689="NR"),0,IFERROR(MATCH($I4689,GradeList,0),0))</f>
        <v>0</v>
      </c>
      <c r="P4689" s="64" t="n">
        <f aca="false">IF(AND($M4689&gt;0,ISNUMBER(MATCH($F4689,Lists!$A$2:$A$5,0)),ISNUMBER(MATCH($G4689,Lists!$B$2:$B$7,0)),OR($H4689="",$N4689&gt;0),OR($I4689="",$I4689="NR",$O4689&gt;0),IF(ISNUMBER($J4689),AND($J4689&gt;=0,$J4689=INT($J4689)),FALSE())),$J4689,0)</f>
        <v>0</v>
      </c>
      <c r="Q4689" s="64" t="n">
        <f aca="false">IF(AND($P4689&gt;0,$O4689&gt;0),$P4689,0)</f>
        <v>0</v>
      </c>
      <c r="R4689" s="64" t="n">
        <f aca="false">IF(AND($Q4689&gt;0,$O4689&gt;=AtRank),$Q4689,0)</f>
        <v>0</v>
      </c>
      <c r="S4689" s="64" t="n">
        <f aca="false">IF(AND($Q4689&gt;0,$O4689&gt;=AboveRank),$Q4689,0)</f>
        <v>0</v>
      </c>
      <c r="T4689" s="64" t="n">
        <f aca="false">IF($K4689="Less",$P4689,0)</f>
        <v>0</v>
      </c>
      <c r="U4689" s="64" t="n">
        <f aca="false">IF($K4689="Expected",$P4689,0)</f>
        <v>0</v>
      </c>
      <c r="V4689" s="64" t="n">
        <f aca="false">IF($K4689="Better",$P4689,0)</f>
        <v>0</v>
      </c>
      <c r="W4689" s="64" t="n">
        <f aca="false">IF($K4689="U – needs rule",$P4689,0)</f>
        <v>0</v>
      </c>
      <c r="X4689" s="64" t="n">
        <f aca="false">IF($K4689="No Start (attainment only)",$P4689,0)</f>
        <v>0</v>
      </c>
    </row>
    <row r="4690" customFormat="false" ht="15" hidden="false" customHeight="false" outlineLevel="0" collapsed="false">
      <c r="A4690" s="60"/>
      <c r="B4690" s="61" t="str">
        <f aca="false">IF($M4690=0,"",INDEX(Classes!$E$6:$E$420,$M4690))</f>
        <v/>
      </c>
      <c r="C4690" s="62" t="str">
        <f aca="false">IF($M4690=0,"",INDEX(Classes!$H$6:$H$420,$M4690))</f>
        <v/>
      </c>
      <c r="D4690" s="61" t="str">
        <f aca="false">IF($M4690=0,"",INDEX(Classes!$B$6:$B$420,$M4690))</f>
        <v/>
      </c>
      <c r="E4690" s="61" t="str">
        <f aca="false">IF($M4690=0,"",INDEX(Classes!$C$6:$C$420,$M4690))</f>
        <v/>
      </c>
      <c r="F4690" s="63"/>
      <c r="G4690" s="63"/>
      <c r="H4690" s="60"/>
      <c r="I4690" s="60"/>
      <c r="J4690" s="63"/>
      <c r="K4690" s="61" t="str">
        <f aca="false">IF($P4690=0,"",IF($F4690="Baseline","— Baseline",IF($O4690=0,"No result",IF($N4690=0,"No Start (attainment only)",IF(OR($N4690=1,$O4690=1),"U – needs rule",INDEX(MxBody,MATCH($I4690,MxCurr,0),MATCH($H4690,MxStart,0)))))))</f>
        <v/>
      </c>
      <c r="L4690" s="62" t="str">
        <f aca="false">IF(COUNTA($A4690,$F4690,$G4690,$H4690,$I4690,$J4690)=0,"",IF($M4690=0,"✖ كود الصف غير موجود",IF(ISNA(MATCH($F4690,Lists!$A$2:$A$5,0)),"✖ الفترة غير صحيحة",IF(ISNA(MATCH($G4690,Lists!$B$2:$B$7,0)),"✖ المجموعة غير صحيحة",IF(NOT(OR($H4690="",$N4690&gt;0)),"✖ Start غير صحيح",IF(NOT(OR($I4690="",$I4690="NR",$O4690&gt;0)),"✖ Current غير صحيح",IF(NOT(IF(ISNUMBER($J4690),AND($J4690&gt;=0,$J4690=INT($J4690)),FALSE())),"✖ العدد يجب أن يكون صحيحًا ≥ 0",IF(AND($F4690="Baseline",$H4690&lt;&gt;""),"⚠ Baseline: Start لا يدخل في التقدم",IF($K4690="No Start (attainment only)","ℹ تحصيل فقط (بدون Start)",IF($K4690="U – needs rule","ℹ حالة U تحتاج قاعدة معتمدة",IF($K4690="No result","ℹ بدون نتيجة (يُستبعد من التحصيل)","OK")))))))))))</f>
        <v/>
      </c>
      <c r="M4690" s="64" t="n">
        <f aca="false">IF($A4690="",0,IFERROR(MATCH($A4690,Classes!$A$6:$A$420,0),0))</f>
        <v>0</v>
      </c>
      <c r="N4690" s="64" t="n">
        <f aca="false">IF($H4690="",0,IFERROR(MATCH($H4690,GradeList,0),0))</f>
        <v>0</v>
      </c>
      <c r="O4690" s="64" t="n">
        <f aca="false">IF(OR($I4690="",$I4690="NR"),0,IFERROR(MATCH($I4690,GradeList,0),0))</f>
        <v>0</v>
      </c>
      <c r="P4690" s="64" t="n">
        <f aca="false">IF(AND($M4690&gt;0,ISNUMBER(MATCH($F4690,Lists!$A$2:$A$5,0)),ISNUMBER(MATCH($G4690,Lists!$B$2:$B$7,0)),OR($H4690="",$N4690&gt;0),OR($I4690="",$I4690="NR",$O4690&gt;0),IF(ISNUMBER($J4690),AND($J4690&gt;=0,$J4690=INT($J4690)),FALSE())),$J4690,0)</f>
        <v>0</v>
      </c>
      <c r="Q4690" s="64" t="n">
        <f aca="false">IF(AND($P4690&gt;0,$O4690&gt;0),$P4690,0)</f>
        <v>0</v>
      </c>
      <c r="R4690" s="64" t="n">
        <f aca="false">IF(AND($Q4690&gt;0,$O4690&gt;=AtRank),$Q4690,0)</f>
        <v>0</v>
      </c>
      <c r="S4690" s="64" t="n">
        <f aca="false">IF(AND($Q4690&gt;0,$O4690&gt;=AboveRank),$Q4690,0)</f>
        <v>0</v>
      </c>
      <c r="T4690" s="64" t="n">
        <f aca="false">IF($K4690="Less",$P4690,0)</f>
        <v>0</v>
      </c>
      <c r="U4690" s="64" t="n">
        <f aca="false">IF($K4690="Expected",$P4690,0)</f>
        <v>0</v>
      </c>
      <c r="V4690" s="64" t="n">
        <f aca="false">IF($K4690="Better",$P4690,0)</f>
        <v>0</v>
      </c>
      <c r="W4690" s="64" t="n">
        <f aca="false">IF($K4690="U – needs rule",$P4690,0)</f>
        <v>0</v>
      </c>
      <c r="X4690" s="64" t="n">
        <f aca="false">IF($K4690="No Start (attainment only)",$P4690,0)</f>
        <v>0</v>
      </c>
    </row>
    <row r="4691" customFormat="false" ht="15" hidden="false" customHeight="false" outlineLevel="0" collapsed="false">
      <c r="A4691" s="60"/>
      <c r="B4691" s="61" t="str">
        <f aca="false">IF($M4691=0,"",INDEX(Classes!$E$6:$E$420,$M4691))</f>
        <v/>
      </c>
      <c r="C4691" s="62" t="str">
        <f aca="false">IF($M4691=0,"",INDEX(Classes!$H$6:$H$420,$M4691))</f>
        <v/>
      </c>
      <c r="D4691" s="61" t="str">
        <f aca="false">IF($M4691=0,"",INDEX(Classes!$B$6:$B$420,$M4691))</f>
        <v/>
      </c>
      <c r="E4691" s="61" t="str">
        <f aca="false">IF($M4691=0,"",INDEX(Classes!$C$6:$C$420,$M4691))</f>
        <v/>
      </c>
      <c r="F4691" s="63"/>
      <c r="G4691" s="63"/>
      <c r="H4691" s="60"/>
      <c r="I4691" s="60"/>
      <c r="J4691" s="63"/>
      <c r="K4691" s="61" t="str">
        <f aca="false">IF($P4691=0,"",IF($F4691="Baseline","— Baseline",IF($O4691=0,"No result",IF($N4691=0,"No Start (attainment only)",IF(OR($N4691=1,$O4691=1),"U – needs rule",INDEX(MxBody,MATCH($I4691,MxCurr,0),MATCH($H4691,MxStart,0)))))))</f>
        <v/>
      </c>
      <c r="L4691" s="62" t="str">
        <f aca="false">IF(COUNTA($A4691,$F4691,$G4691,$H4691,$I4691,$J4691)=0,"",IF($M4691=0,"✖ كود الصف غير موجود",IF(ISNA(MATCH($F4691,Lists!$A$2:$A$5,0)),"✖ الفترة غير صحيحة",IF(ISNA(MATCH($G4691,Lists!$B$2:$B$7,0)),"✖ المجموعة غير صحيحة",IF(NOT(OR($H4691="",$N4691&gt;0)),"✖ Start غير صحيح",IF(NOT(OR($I4691="",$I4691="NR",$O4691&gt;0)),"✖ Current غير صحيح",IF(NOT(IF(ISNUMBER($J4691),AND($J4691&gt;=0,$J4691=INT($J4691)),FALSE())),"✖ العدد يجب أن يكون صحيحًا ≥ 0",IF(AND($F4691="Baseline",$H4691&lt;&gt;""),"⚠ Baseline: Start لا يدخل في التقدم",IF($K4691="No Start (attainment only)","ℹ تحصيل فقط (بدون Start)",IF($K4691="U – needs rule","ℹ حالة U تحتاج قاعدة معتمدة",IF($K4691="No result","ℹ بدون نتيجة (يُستبعد من التحصيل)","OK")))))))))))</f>
        <v/>
      </c>
      <c r="M4691" s="64" t="n">
        <f aca="false">IF($A4691="",0,IFERROR(MATCH($A4691,Classes!$A$6:$A$420,0),0))</f>
        <v>0</v>
      </c>
      <c r="N4691" s="64" t="n">
        <f aca="false">IF($H4691="",0,IFERROR(MATCH($H4691,GradeList,0),0))</f>
        <v>0</v>
      </c>
      <c r="O4691" s="64" t="n">
        <f aca="false">IF(OR($I4691="",$I4691="NR"),0,IFERROR(MATCH($I4691,GradeList,0),0))</f>
        <v>0</v>
      </c>
      <c r="P4691" s="64" t="n">
        <f aca="false">IF(AND($M4691&gt;0,ISNUMBER(MATCH($F4691,Lists!$A$2:$A$5,0)),ISNUMBER(MATCH($G4691,Lists!$B$2:$B$7,0)),OR($H4691="",$N4691&gt;0),OR($I4691="",$I4691="NR",$O4691&gt;0),IF(ISNUMBER($J4691),AND($J4691&gt;=0,$J4691=INT($J4691)),FALSE())),$J4691,0)</f>
        <v>0</v>
      </c>
      <c r="Q4691" s="64" t="n">
        <f aca="false">IF(AND($P4691&gt;0,$O4691&gt;0),$P4691,0)</f>
        <v>0</v>
      </c>
      <c r="R4691" s="64" t="n">
        <f aca="false">IF(AND($Q4691&gt;0,$O4691&gt;=AtRank),$Q4691,0)</f>
        <v>0</v>
      </c>
      <c r="S4691" s="64" t="n">
        <f aca="false">IF(AND($Q4691&gt;0,$O4691&gt;=AboveRank),$Q4691,0)</f>
        <v>0</v>
      </c>
      <c r="T4691" s="64" t="n">
        <f aca="false">IF($K4691="Less",$P4691,0)</f>
        <v>0</v>
      </c>
      <c r="U4691" s="64" t="n">
        <f aca="false">IF($K4691="Expected",$P4691,0)</f>
        <v>0</v>
      </c>
      <c r="V4691" s="64" t="n">
        <f aca="false">IF($K4691="Better",$P4691,0)</f>
        <v>0</v>
      </c>
      <c r="W4691" s="64" t="n">
        <f aca="false">IF($K4691="U – needs rule",$P4691,0)</f>
        <v>0</v>
      </c>
      <c r="X4691" s="64" t="n">
        <f aca="false">IF($K4691="No Start (attainment only)",$P4691,0)</f>
        <v>0</v>
      </c>
    </row>
    <row r="4692" customFormat="false" ht="15" hidden="false" customHeight="false" outlineLevel="0" collapsed="false">
      <c r="A4692" s="60"/>
      <c r="B4692" s="61" t="str">
        <f aca="false">IF($M4692=0,"",INDEX(Classes!$E$6:$E$420,$M4692))</f>
        <v/>
      </c>
      <c r="C4692" s="62" t="str">
        <f aca="false">IF($M4692=0,"",INDEX(Classes!$H$6:$H$420,$M4692))</f>
        <v/>
      </c>
      <c r="D4692" s="61" t="str">
        <f aca="false">IF($M4692=0,"",INDEX(Classes!$B$6:$B$420,$M4692))</f>
        <v/>
      </c>
      <c r="E4692" s="61" t="str">
        <f aca="false">IF($M4692=0,"",INDEX(Classes!$C$6:$C$420,$M4692))</f>
        <v/>
      </c>
      <c r="F4692" s="63"/>
      <c r="G4692" s="63"/>
      <c r="H4692" s="60"/>
      <c r="I4692" s="60"/>
      <c r="J4692" s="63"/>
      <c r="K4692" s="61" t="str">
        <f aca="false">IF($P4692=0,"",IF($F4692="Baseline","— Baseline",IF($O4692=0,"No result",IF($N4692=0,"No Start (attainment only)",IF(OR($N4692=1,$O4692=1),"U – needs rule",INDEX(MxBody,MATCH($I4692,MxCurr,0),MATCH($H4692,MxStart,0)))))))</f>
        <v/>
      </c>
      <c r="L4692" s="62" t="str">
        <f aca="false">IF(COUNTA($A4692,$F4692,$G4692,$H4692,$I4692,$J4692)=0,"",IF($M4692=0,"✖ كود الصف غير موجود",IF(ISNA(MATCH($F4692,Lists!$A$2:$A$5,0)),"✖ الفترة غير صحيحة",IF(ISNA(MATCH($G4692,Lists!$B$2:$B$7,0)),"✖ المجموعة غير صحيحة",IF(NOT(OR($H4692="",$N4692&gt;0)),"✖ Start غير صحيح",IF(NOT(OR($I4692="",$I4692="NR",$O4692&gt;0)),"✖ Current غير صحيح",IF(NOT(IF(ISNUMBER($J4692),AND($J4692&gt;=0,$J4692=INT($J4692)),FALSE())),"✖ العدد يجب أن يكون صحيحًا ≥ 0",IF(AND($F4692="Baseline",$H4692&lt;&gt;""),"⚠ Baseline: Start لا يدخل في التقدم",IF($K4692="No Start (attainment only)","ℹ تحصيل فقط (بدون Start)",IF($K4692="U – needs rule","ℹ حالة U تحتاج قاعدة معتمدة",IF($K4692="No result","ℹ بدون نتيجة (يُستبعد من التحصيل)","OK")))))))))))</f>
        <v/>
      </c>
      <c r="M4692" s="64" t="n">
        <f aca="false">IF($A4692="",0,IFERROR(MATCH($A4692,Classes!$A$6:$A$420,0),0))</f>
        <v>0</v>
      </c>
      <c r="N4692" s="64" t="n">
        <f aca="false">IF($H4692="",0,IFERROR(MATCH($H4692,GradeList,0),0))</f>
        <v>0</v>
      </c>
      <c r="O4692" s="64" t="n">
        <f aca="false">IF(OR($I4692="",$I4692="NR"),0,IFERROR(MATCH($I4692,GradeList,0),0))</f>
        <v>0</v>
      </c>
      <c r="P4692" s="64" t="n">
        <f aca="false">IF(AND($M4692&gt;0,ISNUMBER(MATCH($F4692,Lists!$A$2:$A$5,0)),ISNUMBER(MATCH($G4692,Lists!$B$2:$B$7,0)),OR($H4692="",$N4692&gt;0),OR($I4692="",$I4692="NR",$O4692&gt;0),IF(ISNUMBER($J4692),AND($J4692&gt;=0,$J4692=INT($J4692)),FALSE())),$J4692,0)</f>
        <v>0</v>
      </c>
      <c r="Q4692" s="64" t="n">
        <f aca="false">IF(AND($P4692&gt;0,$O4692&gt;0),$P4692,0)</f>
        <v>0</v>
      </c>
      <c r="R4692" s="64" t="n">
        <f aca="false">IF(AND($Q4692&gt;0,$O4692&gt;=AtRank),$Q4692,0)</f>
        <v>0</v>
      </c>
      <c r="S4692" s="64" t="n">
        <f aca="false">IF(AND($Q4692&gt;0,$O4692&gt;=AboveRank),$Q4692,0)</f>
        <v>0</v>
      </c>
      <c r="T4692" s="64" t="n">
        <f aca="false">IF($K4692="Less",$P4692,0)</f>
        <v>0</v>
      </c>
      <c r="U4692" s="64" t="n">
        <f aca="false">IF($K4692="Expected",$P4692,0)</f>
        <v>0</v>
      </c>
      <c r="V4692" s="64" t="n">
        <f aca="false">IF($K4692="Better",$P4692,0)</f>
        <v>0</v>
      </c>
      <c r="W4692" s="64" t="n">
        <f aca="false">IF($K4692="U – needs rule",$P4692,0)</f>
        <v>0</v>
      </c>
      <c r="X4692" s="64" t="n">
        <f aca="false">IF($K4692="No Start (attainment only)",$P4692,0)</f>
        <v>0</v>
      </c>
    </row>
    <row r="4693" customFormat="false" ht="15" hidden="false" customHeight="false" outlineLevel="0" collapsed="false">
      <c r="A4693" s="60"/>
      <c r="B4693" s="61" t="str">
        <f aca="false">IF($M4693=0,"",INDEX(Classes!$E$6:$E$420,$M4693))</f>
        <v/>
      </c>
      <c r="C4693" s="62" t="str">
        <f aca="false">IF($M4693=0,"",INDEX(Classes!$H$6:$H$420,$M4693))</f>
        <v/>
      </c>
      <c r="D4693" s="61" t="str">
        <f aca="false">IF($M4693=0,"",INDEX(Classes!$B$6:$B$420,$M4693))</f>
        <v/>
      </c>
      <c r="E4693" s="61" t="str">
        <f aca="false">IF($M4693=0,"",INDEX(Classes!$C$6:$C$420,$M4693))</f>
        <v/>
      </c>
      <c r="F4693" s="63"/>
      <c r="G4693" s="63"/>
      <c r="H4693" s="60"/>
      <c r="I4693" s="60"/>
      <c r="J4693" s="63"/>
      <c r="K4693" s="61" t="str">
        <f aca="false">IF($P4693=0,"",IF($F4693="Baseline","— Baseline",IF($O4693=0,"No result",IF($N4693=0,"No Start (attainment only)",IF(OR($N4693=1,$O4693=1),"U – needs rule",INDEX(MxBody,MATCH($I4693,MxCurr,0),MATCH($H4693,MxStart,0)))))))</f>
        <v/>
      </c>
      <c r="L4693" s="62" t="str">
        <f aca="false">IF(COUNTA($A4693,$F4693,$G4693,$H4693,$I4693,$J4693)=0,"",IF($M4693=0,"✖ كود الصف غير موجود",IF(ISNA(MATCH($F4693,Lists!$A$2:$A$5,0)),"✖ الفترة غير صحيحة",IF(ISNA(MATCH($G4693,Lists!$B$2:$B$7,0)),"✖ المجموعة غير صحيحة",IF(NOT(OR($H4693="",$N4693&gt;0)),"✖ Start غير صحيح",IF(NOT(OR($I4693="",$I4693="NR",$O4693&gt;0)),"✖ Current غير صحيح",IF(NOT(IF(ISNUMBER($J4693),AND($J4693&gt;=0,$J4693=INT($J4693)),FALSE())),"✖ العدد يجب أن يكون صحيحًا ≥ 0",IF(AND($F4693="Baseline",$H4693&lt;&gt;""),"⚠ Baseline: Start لا يدخل في التقدم",IF($K4693="No Start (attainment only)","ℹ تحصيل فقط (بدون Start)",IF($K4693="U – needs rule","ℹ حالة U تحتاج قاعدة معتمدة",IF($K4693="No result","ℹ بدون نتيجة (يُستبعد من التحصيل)","OK")))))))))))</f>
        <v/>
      </c>
      <c r="M4693" s="64" t="n">
        <f aca="false">IF($A4693="",0,IFERROR(MATCH($A4693,Classes!$A$6:$A$420,0),0))</f>
        <v>0</v>
      </c>
      <c r="N4693" s="64" t="n">
        <f aca="false">IF($H4693="",0,IFERROR(MATCH($H4693,GradeList,0),0))</f>
        <v>0</v>
      </c>
      <c r="O4693" s="64" t="n">
        <f aca="false">IF(OR($I4693="",$I4693="NR"),0,IFERROR(MATCH($I4693,GradeList,0),0))</f>
        <v>0</v>
      </c>
      <c r="P4693" s="64" t="n">
        <f aca="false">IF(AND($M4693&gt;0,ISNUMBER(MATCH($F4693,Lists!$A$2:$A$5,0)),ISNUMBER(MATCH($G4693,Lists!$B$2:$B$7,0)),OR($H4693="",$N4693&gt;0),OR($I4693="",$I4693="NR",$O4693&gt;0),IF(ISNUMBER($J4693),AND($J4693&gt;=0,$J4693=INT($J4693)),FALSE())),$J4693,0)</f>
        <v>0</v>
      </c>
      <c r="Q4693" s="64" t="n">
        <f aca="false">IF(AND($P4693&gt;0,$O4693&gt;0),$P4693,0)</f>
        <v>0</v>
      </c>
      <c r="R4693" s="64" t="n">
        <f aca="false">IF(AND($Q4693&gt;0,$O4693&gt;=AtRank),$Q4693,0)</f>
        <v>0</v>
      </c>
      <c r="S4693" s="64" t="n">
        <f aca="false">IF(AND($Q4693&gt;0,$O4693&gt;=AboveRank),$Q4693,0)</f>
        <v>0</v>
      </c>
      <c r="T4693" s="64" t="n">
        <f aca="false">IF($K4693="Less",$P4693,0)</f>
        <v>0</v>
      </c>
      <c r="U4693" s="64" t="n">
        <f aca="false">IF($K4693="Expected",$P4693,0)</f>
        <v>0</v>
      </c>
      <c r="V4693" s="64" t="n">
        <f aca="false">IF($K4693="Better",$P4693,0)</f>
        <v>0</v>
      </c>
      <c r="W4693" s="64" t="n">
        <f aca="false">IF($K4693="U – needs rule",$P4693,0)</f>
        <v>0</v>
      </c>
      <c r="X4693" s="64" t="n">
        <f aca="false">IF($K4693="No Start (attainment only)",$P4693,0)</f>
        <v>0</v>
      </c>
    </row>
    <row r="4694" customFormat="false" ht="15" hidden="false" customHeight="false" outlineLevel="0" collapsed="false">
      <c r="A4694" s="60"/>
      <c r="B4694" s="61" t="str">
        <f aca="false">IF($M4694=0,"",INDEX(Classes!$E$6:$E$420,$M4694))</f>
        <v/>
      </c>
      <c r="C4694" s="62" t="str">
        <f aca="false">IF($M4694=0,"",INDEX(Classes!$H$6:$H$420,$M4694))</f>
        <v/>
      </c>
      <c r="D4694" s="61" t="str">
        <f aca="false">IF($M4694=0,"",INDEX(Classes!$B$6:$B$420,$M4694))</f>
        <v/>
      </c>
      <c r="E4694" s="61" t="str">
        <f aca="false">IF($M4694=0,"",INDEX(Classes!$C$6:$C$420,$M4694))</f>
        <v/>
      </c>
      <c r="F4694" s="63"/>
      <c r="G4694" s="63"/>
      <c r="H4694" s="60"/>
      <c r="I4694" s="60"/>
      <c r="J4694" s="63"/>
      <c r="K4694" s="61" t="str">
        <f aca="false">IF($P4694=0,"",IF($F4694="Baseline","— Baseline",IF($O4694=0,"No result",IF($N4694=0,"No Start (attainment only)",IF(OR($N4694=1,$O4694=1),"U – needs rule",INDEX(MxBody,MATCH($I4694,MxCurr,0),MATCH($H4694,MxStart,0)))))))</f>
        <v/>
      </c>
      <c r="L4694" s="62" t="str">
        <f aca="false">IF(COUNTA($A4694,$F4694,$G4694,$H4694,$I4694,$J4694)=0,"",IF($M4694=0,"✖ كود الصف غير موجود",IF(ISNA(MATCH($F4694,Lists!$A$2:$A$5,0)),"✖ الفترة غير صحيحة",IF(ISNA(MATCH($G4694,Lists!$B$2:$B$7,0)),"✖ المجموعة غير صحيحة",IF(NOT(OR($H4694="",$N4694&gt;0)),"✖ Start غير صحيح",IF(NOT(OR($I4694="",$I4694="NR",$O4694&gt;0)),"✖ Current غير صحيح",IF(NOT(IF(ISNUMBER($J4694),AND($J4694&gt;=0,$J4694=INT($J4694)),FALSE())),"✖ العدد يجب أن يكون صحيحًا ≥ 0",IF(AND($F4694="Baseline",$H4694&lt;&gt;""),"⚠ Baseline: Start لا يدخل في التقدم",IF($K4694="No Start (attainment only)","ℹ تحصيل فقط (بدون Start)",IF($K4694="U – needs rule","ℹ حالة U تحتاج قاعدة معتمدة",IF($K4694="No result","ℹ بدون نتيجة (يُستبعد من التحصيل)","OK")))))))))))</f>
        <v/>
      </c>
      <c r="M4694" s="64" t="n">
        <f aca="false">IF($A4694="",0,IFERROR(MATCH($A4694,Classes!$A$6:$A$420,0),0))</f>
        <v>0</v>
      </c>
      <c r="N4694" s="64" t="n">
        <f aca="false">IF($H4694="",0,IFERROR(MATCH($H4694,GradeList,0),0))</f>
        <v>0</v>
      </c>
      <c r="O4694" s="64" t="n">
        <f aca="false">IF(OR($I4694="",$I4694="NR"),0,IFERROR(MATCH($I4694,GradeList,0),0))</f>
        <v>0</v>
      </c>
      <c r="P4694" s="64" t="n">
        <f aca="false">IF(AND($M4694&gt;0,ISNUMBER(MATCH($F4694,Lists!$A$2:$A$5,0)),ISNUMBER(MATCH($G4694,Lists!$B$2:$B$7,0)),OR($H4694="",$N4694&gt;0),OR($I4694="",$I4694="NR",$O4694&gt;0),IF(ISNUMBER($J4694),AND($J4694&gt;=0,$J4694=INT($J4694)),FALSE())),$J4694,0)</f>
        <v>0</v>
      </c>
      <c r="Q4694" s="64" t="n">
        <f aca="false">IF(AND($P4694&gt;0,$O4694&gt;0),$P4694,0)</f>
        <v>0</v>
      </c>
      <c r="R4694" s="64" t="n">
        <f aca="false">IF(AND($Q4694&gt;0,$O4694&gt;=AtRank),$Q4694,0)</f>
        <v>0</v>
      </c>
      <c r="S4694" s="64" t="n">
        <f aca="false">IF(AND($Q4694&gt;0,$O4694&gt;=AboveRank),$Q4694,0)</f>
        <v>0</v>
      </c>
      <c r="T4694" s="64" t="n">
        <f aca="false">IF($K4694="Less",$P4694,0)</f>
        <v>0</v>
      </c>
      <c r="U4694" s="64" t="n">
        <f aca="false">IF($K4694="Expected",$P4694,0)</f>
        <v>0</v>
      </c>
      <c r="V4694" s="64" t="n">
        <f aca="false">IF($K4694="Better",$P4694,0)</f>
        <v>0</v>
      </c>
      <c r="W4694" s="64" t="n">
        <f aca="false">IF($K4694="U – needs rule",$P4694,0)</f>
        <v>0</v>
      </c>
      <c r="X4694" s="64" t="n">
        <f aca="false">IF($K4694="No Start (attainment only)",$P4694,0)</f>
        <v>0</v>
      </c>
    </row>
    <row r="4695" customFormat="false" ht="15" hidden="false" customHeight="false" outlineLevel="0" collapsed="false">
      <c r="A4695" s="60"/>
      <c r="B4695" s="61" t="str">
        <f aca="false">IF($M4695=0,"",INDEX(Classes!$E$6:$E$420,$M4695))</f>
        <v/>
      </c>
      <c r="C4695" s="62" t="str">
        <f aca="false">IF($M4695=0,"",INDEX(Classes!$H$6:$H$420,$M4695))</f>
        <v/>
      </c>
      <c r="D4695" s="61" t="str">
        <f aca="false">IF($M4695=0,"",INDEX(Classes!$B$6:$B$420,$M4695))</f>
        <v/>
      </c>
      <c r="E4695" s="61" t="str">
        <f aca="false">IF($M4695=0,"",INDEX(Classes!$C$6:$C$420,$M4695))</f>
        <v/>
      </c>
      <c r="F4695" s="63"/>
      <c r="G4695" s="63"/>
      <c r="H4695" s="60"/>
      <c r="I4695" s="60"/>
      <c r="J4695" s="63"/>
      <c r="K4695" s="61" t="str">
        <f aca="false">IF($P4695=0,"",IF($F4695="Baseline","— Baseline",IF($O4695=0,"No result",IF($N4695=0,"No Start (attainment only)",IF(OR($N4695=1,$O4695=1),"U – needs rule",INDEX(MxBody,MATCH($I4695,MxCurr,0),MATCH($H4695,MxStart,0)))))))</f>
        <v/>
      </c>
      <c r="L4695" s="62" t="str">
        <f aca="false">IF(COUNTA($A4695,$F4695,$G4695,$H4695,$I4695,$J4695)=0,"",IF($M4695=0,"✖ كود الصف غير موجود",IF(ISNA(MATCH($F4695,Lists!$A$2:$A$5,0)),"✖ الفترة غير صحيحة",IF(ISNA(MATCH($G4695,Lists!$B$2:$B$7,0)),"✖ المجموعة غير صحيحة",IF(NOT(OR($H4695="",$N4695&gt;0)),"✖ Start غير صحيح",IF(NOT(OR($I4695="",$I4695="NR",$O4695&gt;0)),"✖ Current غير صحيح",IF(NOT(IF(ISNUMBER($J4695),AND($J4695&gt;=0,$J4695=INT($J4695)),FALSE())),"✖ العدد يجب أن يكون صحيحًا ≥ 0",IF(AND($F4695="Baseline",$H4695&lt;&gt;""),"⚠ Baseline: Start لا يدخل في التقدم",IF($K4695="No Start (attainment only)","ℹ تحصيل فقط (بدون Start)",IF($K4695="U – needs rule","ℹ حالة U تحتاج قاعدة معتمدة",IF($K4695="No result","ℹ بدون نتيجة (يُستبعد من التحصيل)","OK")))))))))))</f>
        <v/>
      </c>
      <c r="M4695" s="64" t="n">
        <f aca="false">IF($A4695="",0,IFERROR(MATCH($A4695,Classes!$A$6:$A$420,0),0))</f>
        <v>0</v>
      </c>
      <c r="N4695" s="64" t="n">
        <f aca="false">IF($H4695="",0,IFERROR(MATCH($H4695,GradeList,0),0))</f>
        <v>0</v>
      </c>
      <c r="O4695" s="64" t="n">
        <f aca="false">IF(OR($I4695="",$I4695="NR"),0,IFERROR(MATCH($I4695,GradeList,0),0))</f>
        <v>0</v>
      </c>
      <c r="P4695" s="64" t="n">
        <f aca="false">IF(AND($M4695&gt;0,ISNUMBER(MATCH($F4695,Lists!$A$2:$A$5,0)),ISNUMBER(MATCH($G4695,Lists!$B$2:$B$7,0)),OR($H4695="",$N4695&gt;0),OR($I4695="",$I4695="NR",$O4695&gt;0),IF(ISNUMBER($J4695),AND($J4695&gt;=0,$J4695=INT($J4695)),FALSE())),$J4695,0)</f>
        <v>0</v>
      </c>
      <c r="Q4695" s="64" t="n">
        <f aca="false">IF(AND($P4695&gt;0,$O4695&gt;0),$P4695,0)</f>
        <v>0</v>
      </c>
      <c r="R4695" s="64" t="n">
        <f aca="false">IF(AND($Q4695&gt;0,$O4695&gt;=AtRank),$Q4695,0)</f>
        <v>0</v>
      </c>
      <c r="S4695" s="64" t="n">
        <f aca="false">IF(AND($Q4695&gt;0,$O4695&gt;=AboveRank),$Q4695,0)</f>
        <v>0</v>
      </c>
      <c r="T4695" s="64" t="n">
        <f aca="false">IF($K4695="Less",$P4695,0)</f>
        <v>0</v>
      </c>
      <c r="U4695" s="64" t="n">
        <f aca="false">IF($K4695="Expected",$P4695,0)</f>
        <v>0</v>
      </c>
      <c r="V4695" s="64" t="n">
        <f aca="false">IF($K4695="Better",$P4695,0)</f>
        <v>0</v>
      </c>
      <c r="W4695" s="64" t="n">
        <f aca="false">IF($K4695="U – needs rule",$P4695,0)</f>
        <v>0</v>
      </c>
      <c r="X4695" s="64" t="n">
        <f aca="false">IF($K4695="No Start (attainment only)",$P4695,0)</f>
        <v>0</v>
      </c>
    </row>
    <row r="4696" customFormat="false" ht="15" hidden="false" customHeight="false" outlineLevel="0" collapsed="false">
      <c r="A4696" s="60"/>
      <c r="B4696" s="61" t="str">
        <f aca="false">IF($M4696=0,"",INDEX(Classes!$E$6:$E$420,$M4696))</f>
        <v/>
      </c>
      <c r="C4696" s="62" t="str">
        <f aca="false">IF($M4696=0,"",INDEX(Classes!$H$6:$H$420,$M4696))</f>
        <v/>
      </c>
      <c r="D4696" s="61" t="str">
        <f aca="false">IF($M4696=0,"",INDEX(Classes!$B$6:$B$420,$M4696))</f>
        <v/>
      </c>
      <c r="E4696" s="61" t="str">
        <f aca="false">IF($M4696=0,"",INDEX(Classes!$C$6:$C$420,$M4696))</f>
        <v/>
      </c>
      <c r="F4696" s="63"/>
      <c r="G4696" s="63"/>
      <c r="H4696" s="60"/>
      <c r="I4696" s="60"/>
      <c r="J4696" s="63"/>
      <c r="K4696" s="61" t="str">
        <f aca="false">IF($P4696=0,"",IF($F4696="Baseline","— Baseline",IF($O4696=0,"No result",IF($N4696=0,"No Start (attainment only)",IF(OR($N4696=1,$O4696=1),"U – needs rule",INDEX(MxBody,MATCH($I4696,MxCurr,0),MATCH($H4696,MxStart,0)))))))</f>
        <v/>
      </c>
      <c r="L4696" s="62" t="str">
        <f aca="false">IF(COUNTA($A4696,$F4696,$G4696,$H4696,$I4696,$J4696)=0,"",IF($M4696=0,"✖ كود الصف غير موجود",IF(ISNA(MATCH($F4696,Lists!$A$2:$A$5,0)),"✖ الفترة غير صحيحة",IF(ISNA(MATCH($G4696,Lists!$B$2:$B$7,0)),"✖ المجموعة غير صحيحة",IF(NOT(OR($H4696="",$N4696&gt;0)),"✖ Start غير صحيح",IF(NOT(OR($I4696="",$I4696="NR",$O4696&gt;0)),"✖ Current غير صحيح",IF(NOT(IF(ISNUMBER($J4696),AND($J4696&gt;=0,$J4696=INT($J4696)),FALSE())),"✖ العدد يجب أن يكون صحيحًا ≥ 0",IF(AND($F4696="Baseline",$H4696&lt;&gt;""),"⚠ Baseline: Start لا يدخل في التقدم",IF($K4696="No Start (attainment only)","ℹ تحصيل فقط (بدون Start)",IF($K4696="U – needs rule","ℹ حالة U تحتاج قاعدة معتمدة",IF($K4696="No result","ℹ بدون نتيجة (يُستبعد من التحصيل)","OK")))))))))))</f>
        <v/>
      </c>
      <c r="M4696" s="64" t="n">
        <f aca="false">IF($A4696="",0,IFERROR(MATCH($A4696,Classes!$A$6:$A$420,0),0))</f>
        <v>0</v>
      </c>
      <c r="N4696" s="64" t="n">
        <f aca="false">IF($H4696="",0,IFERROR(MATCH($H4696,GradeList,0),0))</f>
        <v>0</v>
      </c>
      <c r="O4696" s="64" t="n">
        <f aca="false">IF(OR($I4696="",$I4696="NR"),0,IFERROR(MATCH($I4696,GradeList,0),0))</f>
        <v>0</v>
      </c>
      <c r="P4696" s="64" t="n">
        <f aca="false">IF(AND($M4696&gt;0,ISNUMBER(MATCH($F4696,Lists!$A$2:$A$5,0)),ISNUMBER(MATCH($G4696,Lists!$B$2:$B$7,0)),OR($H4696="",$N4696&gt;0),OR($I4696="",$I4696="NR",$O4696&gt;0),IF(ISNUMBER($J4696),AND($J4696&gt;=0,$J4696=INT($J4696)),FALSE())),$J4696,0)</f>
        <v>0</v>
      </c>
      <c r="Q4696" s="64" t="n">
        <f aca="false">IF(AND($P4696&gt;0,$O4696&gt;0),$P4696,0)</f>
        <v>0</v>
      </c>
      <c r="R4696" s="64" t="n">
        <f aca="false">IF(AND($Q4696&gt;0,$O4696&gt;=AtRank),$Q4696,0)</f>
        <v>0</v>
      </c>
      <c r="S4696" s="64" t="n">
        <f aca="false">IF(AND($Q4696&gt;0,$O4696&gt;=AboveRank),$Q4696,0)</f>
        <v>0</v>
      </c>
      <c r="T4696" s="64" t="n">
        <f aca="false">IF($K4696="Less",$P4696,0)</f>
        <v>0</v>
      </c>
      <c r="U4696" s="64" t="n">
        <f aca="false">IF($K4696="Expected",$P4696,0)</f>
        <v>0</v>
      </c>
      <c r="V4696" s="64" t="n">
        <f aca="false">IF($K4696="Better",$P4696,0)</f>
        <v>0</v>
      </c>
      <c r="W4696" s="64" t="n">
        <f aca="false">IF($K4696="U – needs rule",$P4696,0)</f>
        <v>0</v>
      </c>
      <c r="X4696" s="64" t="n">
        <f aca="false">IF($K4696="No Start (attainment only)",$P4696,0)</f>
        <v>0</v>
      </c>
    </row>
    <row r="4697" customFormat="false" ht="15" hidden="false" customHeight="false" outlineLevel="0" collapsed="false">
      <c r="A4697" s="60"/>
      <c r="B4697" s="61" t="str">
        <f aca="false">IF($M4697=0,"",INDEX(Classes!$E$6:$E$420,$M4697))</f>
        <v/>
      </c>
      <c r="C4697" s="62" t="str">
        <f aca="false">IF($M4697=0,"",INDEX(Classes!$H$6:$H$420,$M4697))</f>
        <v/>
      </c>
      <c r="D4697" s="61" t="str">
        <f aca="false">IF($M4697=0,"",INDEX(Classes!$B$6:$B$420,$M4697))</f>
        <v/>
      </c>
      <c r="E4697" s="61" t="str">
        <f aca="false">IF($M4697=0,"",INDEX(Classes!$C$6:$C$420,$M4697))</f>
        <v/>
      </c>
      <c r="F4697" s="63"/>
      <c r="G4697" s="63"/>
      <c r="H4697" s="60"/>
      <c r="I4697" s="60"/>
      <c r="J4697" s="63"/>
      <c r="K4697" s="61" t="str">
        <f aca="false">IF($P4697=0,"",IF($F4697="Baseline","— Baseline",IF($O4697=0,"No result",IF($N4697=0,"No Start (attainment only)",IF(OR($N4697=1,$O4697=1),"U – needs rule",INDEX(MxBody,MATCH($I4697,MxCurr,0),MATCH($H4697,MxStart,0)))))))</f>
        <v/>
      </c>
      <c r="L4697" s="62" t="str">
        <f aca="false">IF(COUNTA($A4697,$F4697,$G4697,$H4697,$I4697,$J4697)=0,"",IF($M4697=0,"✖ كود الصف غير موجود",IF(ISNA(MATCH($F4697,Lists!$A$2:$A$5,0)),"✖ الفترة غير صحيحة",IF(ISNA(MATCH($G4697,Lists!$B$2:$B$7,0)),"✖ المجموعة غير صحيحة",IF(NOT(OR($H4697="",$N4697&gt;0)),"✖ Start غير صحيح",IF(NOT(OR($I4697="",$I4697="NR",$O4697&gt;0)),"✖ Current غير صحيح",IF(NOT(IF(ISNUMBER($J4697),AND($J4697&gt;=0,$J4697=INT($J4697)),FALSE())),"✖ العدد يجب أن يكون صحيحًا ≥ 0",IF(AND($F4697="Baseline",$H4697&lt;&gt;""),"⚠ Baseline: Start لا يدخل في التقدم",IF($K4697="No Start (attainment only)","ℹ تحصيل فقط (بدون Start)",IF($K4697="U – needs rule","ℹ حالة U تحتاج قاعدة معتمدة",IF($K4697="No result","ℹ بدون نتيجة (يُستبعد من التحصيل)","OK")))))))))))</f>
        <v/>
      </c>
      <c r="M4697" s="64" t="n">
        <f aca="false">IF($A4697="",0,IFERROR(MATCH($A4697,Classes!$A$6:$A$420,0),0))</f>
        <v>0</v>
      </c>
      <c r="N4697" s="64" t="n">
        <f aca="false">IF($H4697="",0,IFERROR(MATCH($H4697,GradeList,0),0))</f>
        <v>0</v>
      </c>
      <c r="O4697" s="64" t="n">
        <f aca="false">IF(OR($I4697="",$I4697="NR"),0,IFERROR(MATCH($I4697,GradeList,0),0))</f>
        <v>0</v>
      </c>
      <c r="P4697" s="64" t="n">
        <f aca="false">IF(AND($M4697&gt;0,ISNUMBER(MATCH($F4697,Lists!$A$2:$A$5,0)),ISNUMBER(MATCH($G4697,Lists!$B$2:$B$7,0)),OR($H4697="",$N4697&gt;0),OR($I4697="",$I4697="NR",$O4697&gt;0),IF(ISNUMBER($J4697),AND($J4697&gt;=0,$J4697=INT($J4697)),FALSE())),$J4697,0)</f>
        <v>0</v>
      </c>
      <c r="Q4697" s="64" t="n">
        <f aca="false">IF(AND($P4697&gt;0,$O4697&gt;0),$P4697,0)</f>
        <v>0</v>
      </c>
      <c r="R4697" s="64" t="n">
        <f aca="false">IF(AND($Q4697&gt;0,$O4697&gt;=AtRank),$Q4697,0)</f>
        <v>0</v>
      </c>
      <c r="S4697" s="64" t="n">
        <f aca="false">IF(AND($Q4697&gt;0,$O4697&gt;=AboveRank),$Q4697,0)</f>
        <v>0</v>
      </c>
      <c r="T4697" s="64" t="n">
        <f aca="false">IF($K4697="Less",$P4697,0)</f>
        <v>0</v>
      </c>
      <c r="U4697" s="64" t="n">
        <f aca="false">IF($K4697="Expected",$P4697,0)</f>
        <v>0</v>
      </c>
      <c r="V4697" s="64" t="n">
        <f aca="false">IF($K4697="Better",$P4697,0)</f>
        <v>0</v>
      </c>
      <c r="W4697" s="64" t="n">
        <f aca="false">IF($K4697="U – needs rule",$P4697,0)</f>
        <v>0</v>
      </c>
      <c r="X4697" s="64" t="n">
        <f aca="false">IF($K4697="No Start (attainment only)",$P4697,0)</f>
        <v>0</v>
      </c>
    </row>
    <row r="4698" customFormat="false" ht="15" hidden="false" customHeight="false" outlineLevel="0" collapsed="false">
      <c r="A4698" s="60"/>
      <c r="B4698" s="61" t="str">
        <f aca="false">IF($M4698=0,"",INDEX(Classes!$E$6:$E$420,$M4698))</f>
        <v/>
      </c>
      <c r="C4698" s="62" t="str">
        <f aca="false">IF($M4698=0,"",INDEX(Classes!$H$6:$H$420,$M4698))</f>
        <v/>
      </c>
      <c r="D4698" s="61" t="str">
        <f aca="false">IF($M4698=0,"",INDEX(Classes!$B$6:$B$420,$M4698))</f>
        <v/>
      </c>
      <c r="E4698" s="61" t="str">
        <f aca="false">IF($M4698=0,"",INDEX(Classes!$C$6:$C$420,$M4698))</f>
        <v/>
      </c>
      <c r="F4698" s="63"/>
      <c r="G4698" s="63"/>
      <c r="H4698" s="60"/>
      <c r="I4698" s="60"/>
      <c r="J4698" s="63"/>
      <c r="K4698" s="61" t="str">
        <f aca="false">IF($P4698=0,"",IF($F4698="Baseline","— Baseline",IF($O4698=0,"No result",IF($N4698=0,"No Start (attainment only)",IF(OR($N4698=1,$O4698=1),"U – needs rule",INDEX(MxBody,MATCH($I4698,MxCurr,0),MATCH($H4698,MxStart,0)))))))</f>
        <v/>
      </c>
      <c r="L4698" s="62" t="str">
        <f aca="false">IF(COUNTA($A4698,$F4698,$G4698,$H4698,$I4698,$J4698)=0,"",IF($M4698=0,"✖ كود الصف غير موجود",IF(ISNA(MATCH($F4698,Lists!$A$2:$A$5,0)),"✖ الفترة غير صحيحة",IF(ISNA(MATCH($G4698,Lists!$B$2:$B$7,0)),"✖ المجموعة غير صحيحة",IF(NOT(OR($H4698="",$N4698&gt;0)),"✖ Start غير صحيح",IF(NOT(OR($I4698="",$I4698="NR",$O4698&gt;0)),"✖ Current غير صحيح",IF(NOT(IF(ISNUMBER($J4698),AND($J4698&gt;=0,$J4698=INT($J4698)),FALSE())),"✖ العدد يجب أن يكون صحيحًا ≥ 0",IF(AND($F4698="Baseline",$H4698&lt;&gt;""),"⚠ Baseline: Start لا يدخل في التقدم",IF($K4698="No Start (attainment only)","ℹ تحصيل فقط (بدون Start)",IF($K4698="U – needs rule","ℹ حالة U تحتاج قاعدة معتمدة",IF($K4698="No result","ℹ بدون نتيجة (يُستبعد من التحصيل)","OK")))))))))))</f>
        <v/>
      </c>
      <c r="M4698" s="64" t="n">
        <f aca="false">IF($A4698="",0,IFERROR(MATCH($A4698,Classes!$A$6:$A$420,0),0))</f>
        <v>0</v>
      </c>
      <c r="N4698" s="64" t="n">
        <f aca="false">IF($H4698="",0,IFERROR(MATCH($H4698,GradeList,0),0))</f>
        <v>0</v>
      </c>
      <c r="O4698" s="64" t="n">
        <f aca="false">IF(OR($I4698="",$I4698="NR"),0,IFERROR(MATCH($I4698,GradeList,0),0))</f>
        <v>0</v>
      </c>
      <c r="P4698" s="64" t="n">
        <f aca="false">IF(AND($M4698&gt;0,ISNUMBER(MATCH($F4698,Lists!$A$2:$A$5,0)),ISNUMBER(MATCH($G4698,Lists!$B$2:$B$7,0)),OR($H4698="",$N4698&gt;0),OR($I4698="",$I4698="NR",$O4698&gt;0),IF(ISNUMBER($J4698),AND($J4698&gt;=0,$J4698=INT($J4698)),FALSE())),$J4698,0)</f>
        <v>0</v>
      </c>
      <c r="Q4698" s="64" t="n">
        <f aca="false">IF(AND($P4698&gt;0,$O4698&gt;0),$P4698,0)</f>
        <v>0</v>
      </c>
      <c r="R4698" s="64" t="n">
        <f aca="false">IF(AND($Q4698&gt;0,$O4698&gt;=AtRank),$Q4698,0)</f>
        <v>0</v>
      </c>
      <c r="S4698" s="64" t="n">
        <f aca="false">IF(AND($Q4698&gt;0,$O4698&gt;=AboveRank),$Q4698,0)</f>
        <v>0</v>
      </c>
      <c r="T4698" s="64" t="n">
        <f aca="false">IF($K4698="Less",$P4698,0)</f>
        <v>0</v>
      </c>
      <c r="U4698" s="64" t="n">
        <f aca="false">IF($K4698="Expected",$P4698,0)</f>
        <v>0</v>
      </c>
      <c r="V4698" s="64" t="n">
        <f aca="false">IF($K4698="Better",$P4698,0)</f>
        <v>0</v>
      </c>
      <c r="W4698" s="64" t="n">
        <f aca="false">IF($K4698="U – needs rule",$P4698,0)</f>
        <v>0</v>
      </c>
      <c r="X4698" s="64" t="n">
        <f aca="false">IF($K4698="No Start (attainment only)",$P4698,0)</f>
        <v>0</v>
      </c>
    </row>
    <row r="4699" customFormat="false" ht="15" hidden="false" customHeight="false" outlineLevel="0" collapsed="false">
      <c r="A4699" s="60"/>
      <c r="B4699" s="61" t="str">
        <f aca="false">IF($M4699=0,"",INDEX(Classes!$E$6:$E$420,$M4699))</f>
        <v/>
      </c>
      <c r="C4699" s="62" t="str">
        <f aca="false">IF($M4699=0,"",INDEX(Classes!$H$6:$H$420,$M4699))</f>
        <v/>
      </c>
      <c r="D4699" s="61" t="str">
        <f aca="false">IF($M4699=0,"",INDEX(Classes!$B$6:$B$420,$M4699))</f>
        <v/>
      </c>
      <c r="E4699" s="61" t="str">
        <f aca="false">IF($M4699=0,"",INDEX(Classes!$C$6:$C$420,$M4699))</f>
        <v/>
      </c>
      <c r="F4699" s="63"/>
      <c r="G4699" s="63"/>
      <c r="H4699" s="60"/>
      <c r="I4699" s="60"/>
      <c r="J4699" s="63"/>
      <c r="K4699" s="61" t="str">
        <f aca="false">IF($P4699=0,"",IF($F4699="Baseline","— Baseline",IF($O4699=0,"No result",IF($N4699=0,"No Start (attainment only)",IF(OR($N4699=1,$O4699=1),"U – needs rule",INDEX(MxBody,MATCH($I4699,MxCurr,0),MATCH($H4699,MxStart,0)))))))</f>
        <v/>
      </c>
      <c r="L4699" s="62" t="str">
        <f aca="false">IF(COUNTA($A4699,$F4699,$G4699,$H4699,$I4699,$J4699)=0,"",IF($M4699=0,"✖ كود الصف غير موجود",IF(ISNA(MATCH($F4699,Lists!$A$2:$A$5,0)),"✖ الفترة غير صحيحة",IF(ISNA(MATCH($G4699,Lists!$B$2:$B$7,0)),"✖ المجموعة غير صحيحة",IF(NOT(OR($H4699="",$N4699&gt;0)),"✖ Start غير صحيح",IF(NOT(OR($I4699="",$I4699="NR",$O4699&gt;0)),"✖ Current غير صحيح",IF(NOT(IF(ISNUMBER($J4699),AND($J4699&gt;=0,$J4699=INT($J4699)),FALSE())),"✖ العدد يجب أن يكون صحيحًا ≥ 0",IF(AND($F4699="Baseline",$H4699&lt;&gt;""),"⚠ Baseline: Start لا يدخل في التقدم",IF($K4699="No Start (attainment only)","ℹ تحصيل فقط (بدون Start)",IF($K4699="U – needs rule","ℹ حالة U تحتاج قاعدة معتمدة",IF($K4699="No result","ℹ بدون نتيجة (يُستبعد من التحصيل)","OK")))))))))))</f>
        <v/>
      </c>
      <c r="M4699" s="64" t="n">
        <f aca="false">IF($A4699="",0,IFERROR(MATCH($A4699,Classes!$A$6:$A$420,0),0))</f>
        <v>0</v>
      </c>
      <c r="N4699" s="64" t="n">
        <f aca="false">IF($H4699="",0,IFERROR(MATCH($H4699,GradeList,0),0))</f>
        <v>0</v>
      </c>
      <c r="O4699" s="64" t="n">
        <f aca="false">IF(OR($I4699="",$I4699="NR"),0,IFERROR(MATCH($I4699,GradeList,0),0))</f>
        <v>0</v>
      </c>
      <c r="P4699" s="64" t="n">
        <f aca="false">IF(AND($M4699&gt;0,ISNUMBER(MATCH($F4699,Lists!$A$2:$A$5,0)),ISNUMBER(MATCH($G4699,Lists!$B$2:$B$7,0)),OR($H4699="",$N4699&gt;0),OR($I4699="",$I4699="NR",$O4699&gt;0),IF(ISNUMBER($J4699),AND($J4699&gt;=0,$J4699=INT($J4699)),FALSE())),$J4699,0)</f>
        <v>0</v>
      </c>
      <c r="Q4699" s="64" t="n">
        <f aca="false">IF(AND($P4699&gt;0,$O4699&gt;0),$P4699,0)</f>
        <v>0</v>
      </c>
      <c r="R4699" s="64" t="n">
        <f aca="false">IF(AND($Q4699&gt;0,$O4699&gt;=AtRank),$Q4699,0)</f>
        <v>0</v>
      </c>
      <c r="S4699" s="64" t="n">
        <f aca="false">IF(AND($Q4699&gt;0,$O4699&gt;=AboveRank),$Q4699,0)</f>
        <v>0</v>
      </c>
      <c r="T4699" s="64" t="n">
        <f aca="false">IF($K4699="Less",$P4699,0)</f>
        <v>0</v>
      </c>
      <c r="U4699" s="64" t="n">
        <f aca="false">IF($K4699="Expected",$P4699,0)</f>
        <v>0</v>
      </c>
      <c r="V4699" s="64" t="n">
        <f aca="false">IF($K4699="Better",$P4699,0)</f>
        <v>0</v>
      </c>
      <c r="W4699" s="64" t="n">
        <f aca="false">IF($K4699="U – needs rule",$P4699,0)</f>
        <v>0</v>
      </c>
      <c r="X4699" s="64" t="n">
        <f aca="false">IF($K4699="No Start (attainment only)",$P4699,0)</f>
        <v>0</v>
      </c>
    </row>
    <row r="4700" customFormat="false" ht="15" hidden="false" customHeight="false" outlineLevel="0" collapsed="false">
      <c r="A4700" s="60"/>
      <c r="B4700" s="61" t="str">
        <f aca="false">IF($M4700=0,"",INDEX(Classes!$E$6:$E$420,$M4700))</f>
        <v/>
      </c>
      <c r="C4700" s="62" t="str">
        <f aca="false">IF($M4700=0,"",INDEX(Classes!$H$6:$H$420,$M4700))</f>
        <v/>
      </c>
      <c r="D4700" s="61" t="str">
        <f aca="false">IF($M4700=0,"",INDEX(Classes!$B$6:$B$420,$M4700))</f>
        <v/>
      </c>
      <c r="E4700" s="61" t="str">
        <f aca="false">IF($M4700=0,"",INDEX(Classes!$C$6:$C$420,$M4700))</f>
        <v/>
      </c>
      <c r="F4700" s="63"/>
      <c r="G4700" s="63"/>
      <c r="H4700" s="60"/>
      <c r="I4700" s="60"/>
      <c r="J4700" s="63"/>
      <c r="K4700" s="61" t="str">
        <f aca="false">IF($P4700=0,"",IF($F4700="Baseline","— Baseline",IF($O4700=0,"No result",IF($N4700=0,"No Start (attainment only)",IF(OR($N4700=1,$O4700=1),"U – needs rule",INDEX(MxBody,MATCH($I4700,MxCurr,0),MATCH($H4700,MxStart,0)))))))</f>
        <v/>
      </c>
      <c r="L4700" s="62" t="str">
        <f aca="false">IF(COUNTA($A4700,$F4700,$G4700,$H4700,$I4700,$J4700)=0,"",IF($M4700=0,"✖ كود الصف غير موجود",IF(ISNA(MATCH($F4700,Lists!$A$2:$A$5,0)),"✖ الفترة غير صحيحة",IF(ISNA(MATCH($G4700,Lists!$B$2:$B$7,0)),"✖ المجموعة غير صحيحة",IF(NOT(OR($H4700="",$N4700&gt;0)),"✖ Start غير صحيح",IF(NOT(OR($I4700="",$I4700="NR",$O4700&gt;0)),"✖ Current غير صحيح",IF(NOT(IF(ISNUMBER($J4700),AND($J4700&gt;=0,$J4700=INT($J4700)),FALSE())),"✖ العدد يجب أن يكون صحيحًا ≥ 0",IF(AND($F4700="Baseline",$H4700&lt;&gt;""),"⚠ Baseline: Start لا يدخل في التقدم",IF($K4700="No Start (attainment only)","ℹ تحصيل فقط (بدون Start)",IF($K4700="U – needs rule","ℹ حالة U تحتاج قاعدة معتمدة",IF($K4700="No result","ℹ بدون نتيجة (يُستبعد من التحصيل)","OK")))))))))))</f>
        <v/>
      </c>
      <c r="M4700" s="64" t="n">
        <f aca="false">IF($A4700="",0,IFERROR(MATCH($A4700,Classes!$A$6:$A$420,0),0))</f>
        <v>0</v>
      </c>
      <c r="N4700" s="64" t="n">
        <f aca="false">IF($H4700="",0,IFERROR(MATCH($H4700,GradeList,0),0))</f>
        <v>0</v>
      </c>
      <c r="O4700" s="64" t="n">
        <f aca="false">IF(OR($I4700="",$I4700="NR"),0,IFERROR(MATCH($I4700,GradeList,0),0))</f>
        <v>0</v>
      </c>
      <c r="P4700" s="64" t="n">
        <f aca="false">IF(AND($M4700&gt;0,ISNUMBER(MATCH($F4700,Lists!$A$2:$A$5,0)),ISNUMBER(MATCH($G4700,Lists!$B$2:$B$7,0)),OR($H4700="",$N4700&gt;0),OR($I4700="",$I4700="NR",$O4700&gt;0),IF(ISNUMBER($J4700),AND($J4700&gt;=0,$J4700=INT($J4700)),FALSE())),$J4700,0)</f>
        <v>0</v>
      </c>
      <c r="Q4700" s="64" t="n">
        <f aca="false">IF(AND($P4700&gt;0,$O4700&gt;0),$P4700,0)</f>
        <v>0</v>
      </c>
      <c r="R4700" s="64" t="n">
        <f aca="false">IF(AND($Q4700&gt;0,$O4700&gt;=AtRank),$Q4700,0)</f>
        <v>0</v>
      </c>
      <c r="S4700" s="64" t="n">
        <f aca="false">IF(AND($Q4700&gt;0,$O4700&gt;=AboveRank),$Q4700,0)</f>
        <v>0</v>
      </c>
      <c r="T4700" s="64" t="n">
        <f aca="false">IF($K4700="Less",$P4700,0)</f>
        <v>0</v>
      </c>
      <c r="U4700" s="64" t="n">
        <f aca="false">IF($K4700="Expected",$P4700,0)</f>
        <v>0</v>
      </c>
      <c r="V4700" s="64" t="n">
        <f aca="false">IF($K4700="Better",$P4700,0)</f>
        <v>0</v>
      </c>
      <c r="W4700" s="64" t="n">
        <f aca="false">IF($K4700="U – needs rule",$P4700,0)</f>
        <v>0</v>
      </c>
      <c r="X4700" s="64" t="n">
        <f aca="false">IF($K4700="No Start (attainment only)",$P4700,0)</f>
        <v>0</v>
      </c>
    </row>
    <row r="4701" customFormat="false" ht="15" hidden="false" customHeight="false" outlineLevel="0" collapsed="false">
      <c r="A4701" s="60"/>
      <c r="B4701" s="61" t="str">
        <f aca="false">IF($M4701=0,"",INDEX(Classes!$E$6:$E$420,$M4701))</f>
        <v/>
      </c>
      <c r="C4701" s="62" t="str">
        <f aca="false">IF($M4701=0,"",INDEX(Classes!$H$6:$H$420,$M4701))</f>
        <v/>
      </c>
      <c r="D4701" s="61" t="str">
        <f aca="false">IF($M4701=0,"",INDEX(Classes!$B$6:$B$420,$M4701))</f>
        <v/>
      </c>
      <c r="E4701" s="61" t="str">
        <f aca="false">IF($M4701=0,"",INDEX(Classes!$C$6:$C$420,$M4701))</f>
        <v/>
      </c>
      <c r="F4701" s="63"/>
      <c r="G4701" s="63"/>
      <c r="H4701" s="60"/>
      <c r="I4701" s="60"/>
      <c r="J4701" s="63"/>
      <c r="K4701" s="61" t="str">
        <f aca="false">IF($P4701=0,"",IF($F4701="Baseline","— Baseline",IF($O4701=0,"No result",IF($N4701=0,"No Start (attainment only)",IF(OR($N4701=1,$O4701=1),"U – needs rule",INDEX(MxBody,MATCH($I4701,MxCurr,0),MATCH($H4701,MxStart,0)))))))</f>
        <v/>
      </c>
      <c r="L4701" s="62" t="str">
        <f aca="false">IF(COUNTA($A4701,$F4701,$G4701,$H4701,$I4701,$J4701)=0,"",IF($M4701=0,"✖ كود الصف غير موجود",IF(ISNA(MATCH($F4701,Lists!$A$2:$A$5,0)),"✖ الفترة غير صحيحة",IF(ISNA(MATCH($G4701,Lists!$B$2:$B$7,0)),"✖ المجموعة غير صحيحة",IF(NOT(OR($H4701="",$N4701&gt;0)),"✖ Start غير صحيح",IF(NOT(OR($I4701="",$I4701="NR",$O4701&gt;0)),"✖ Current غير صحيح",IF(NOT(IF(ISNUMBER($J4701),AND($J4701&gt;=0,$J4701=INT($J4701)),FALSE())),"✖ العدد يجب أن يكون صحيحًا ≥ 0",IF(AND($F4701="Baseline",$H4701&lt;&gt;""),"⚠ Baseline: Start لا يدخل في التقدم",IF($K4701="No Start (attainment only)","ℹ تحصيل فقط (بدون Start)",IF($K4701="U – needs rule","ℹ حالة U تحتاج قاعدة معتمدة",IF($K4701="No result","ℹ بدون نتيجة (يُستبعد من التحصيل)","OK")))))))))))</f>
        <v/>
      </c>
      <c r="M4701" s="64" t="n">
        <f aca="false">IF($A4701="",0,IFERROR(MATCH($A4701,Classes!$A$6:$A$420,0),0))</f>
        <v>0</v>
      </c>
      <c r="N4701" s="64" t="n">
        <f aca="false">IF($H4701="",0,IFERROR(MATCH($H4701,GradeList,0),0))</f>
        <v>0</v>
      </c>
      <c r="O4701" s="64" t="n">
        <f aca="false">IF(OR($I4701="",$I4701="NR"),0,IFERROR(MATCH($I4701,GradeList,0),0))</f>
        <v>0</v>
      </c>
      <c r="P4701" s="64" t="n">
        <f aca="false">IF(AND($M4701&gt;0,ISNUMBER(MATCH($F4701,Lists!$A$2:$A$5,0)),ISNUMBER(MATCH($G4701,Lists!$B$2:$B$7,0)),OR($H4701="",$N4701&gt;0),OR($I4701="",$I4701="NR",$O4701&gt;0),IF(ISNUMBER($J4701),AND($J4701&gt;=0,$J4701=INT($J4701)),FALSE())),$J4701,0)</f>
        <v>0</v>
      </c>
      <c r="Q4701" s="64" t="n">
        <f aca="false">IF(AND($P4701&gt;0,$O4701&gt;0),$P4701,0)</f>
        <v>0</v>
      </c>
      <c r="R4701" s="64" t="n">
        <f aca="false">IF(AND($Q4701&gt;0,$O4701&gt;=AtRank),$Q4701,0)</f>
        <v>0</v>
      </c>
      <c r="S4701" s="64" t="n">
        <f aca="false">IF(AND($Q4701&gt;0,$O4701&gt;=AboveRank),$Q4701,0)</f>
        <v>0</v>
      </c>
      <c r="T4701" s="64" t="n">
        <f aca="false">IF($K4701="Less",$P4701,0)</f>
        <v>0</v>
      </c>
      <c r="U4701" s="64" t="n">
        <f aca="false">IF($K4701="Expected",$P4701,0)</f>
        <v>0</v>
      </c>
      <c r="V4701" s="64" t="n">
        <f aca="false">IF($K4701="Better",$P4701,0)</f>
        <v>0</v>
      </c>
      <c r="W4701" s="64" t="n">
        <f aca="false">IF($K4701="U – needs rule",$P4701,0)</f>
        <v>0</v>
      </c>
      <c r="X4701" s="64" t="n">
        <f aca="false">IF($K4701="No Start (attainment only)",$P4701,0)</f>
        <v>0</v>
      </c>
    </row>
    <row r="4702" customFormat="false" ht="15" hidden="false" customHeight="false" outlineLevel="0" collapsed="false">
      <c r="A4702" s="60"/>
      <c r="B4702" s="61" t="str">
        <f aca="false">IF($M4702=0,"",INDEX(Classes!$E$6:$E$420,$M4702))</f>
        <v/>
      </c>
      <c r="C4702" s="62" t="str">
        <f aca="false">IF($M4702=0,"",INDEX(Classes!$H$6:$H$420,$M4702))</f>
        <v/>
      </c>
      <c r="D4702" s="61" t="str">
        <f aca="false">IF($M4702=0,"",INDEX(Classes!$B$6:$B$420,$M4702))</f>
        <v/>
      </c>
      <c r="E4702" s="61" t="str">
        <f aca="false">IF($M4702=0,"",INDEX(Classes!$C$6:$C$420,$M4702))</f>
        <v/>
      </c>
      <c r="F4702" s="63"/>
      <c r="G4702" s="63"/>
      <c r="H4702" s="60"/>
      <c r="I4702" s="60"/>
      <c r="J4702" s="63"/>
      <c r="K4702" s="61" t="str">
        <f aca="false">IF($P4702=0,"",IF($F4702="Baseline","— Baseline",IF($O4702=0,"No result",IF($N4702=0,"No Start (attainment only)",IF(OR($N4702=1,$O4702=1),"U – needs rule",INDEX(MxBody,MATCH($I4702,MxCurr,0),MATCH($H4702,MxStart,0)))))))</f>
        <v/>
      </c>
      <c r="L4702" s="62" t="str">
        <f aca="false">IF(COUNTA($A4702,$F4702,$G4702,$H4702,$I4702,$J4702)=0,"",IF($M4702=0,"✖ كود الصف غير موجود",IF(ISNA(MATCH($F4702,Lists!$A$2:$A$5,0)),"✖ الفترة غير صحيحة",IF(ISNA(MATCH($G4702,Lists!$B$2:$B$7,0)),"✖ المجموعة غير صحيحة",IF(NOT(OR($H4702="",$N4702&gt;0)),"✖ Start غير صحيح",IF(NOT(OR($I4702="",$I4702="NR",$O4702&gt;0)),"✖ Current غير صحيح",IF(NOT(IF(ISNUMBER($J4702),AND($J4702&gt;=0,$J4702=INT($J4702)),FALSE())),"✖ العدد يجب أن يكون صحيحًا ≥ 0",IF(AND($F4702="Baseline",$H4702&lt;&gt;""),"⚠ Baseline: Start لا يدخل في التقدم",IF($K4702="No Start (attainment only)","ℹ تحصيل فقط (بدون Start)",IF($K4702="U – needs rule","ℹ حالة U تحتاج قاعدة معتمدة",IF($K4702="No result","ℹ بدون نتيجة (يُستبعد من التحصيل)","OK")))))))))))</f>
        <v/>
      </c>
      <c r="M4702" s="64" t="n">
        <f aca="false">IF($A4702="",0,IFERROR(MATCH($A4702,Classes!$A$6:$A$420,0),0))</f>
        <v>0</v>
      </c>
      <c r="N4702" s="64" t="n">
        <f aca="false">IF($H4702="",0,IFERROR(MATCH($H4702,GradeList,0),0))</f>
        <v>0</v>
      </c>
      <c r="O4702" s="64" t="n">
        <f aca="false">IF(OR($I4702="",$I4702="NR"),0,IFERROR(MATCH($I4702,GradeList,0),0))</f>
        <v>0</v>
      </c>
      <c r="P4702" s="64" t="n">
        <f aca="false">IF(AND($M4702&gt;0,ISNUMBER(MATCH($F4702,Lists!$A$2:$A$5,0)),ISNUMBER(MATCH($G4702,Lists!$B$2:$B$7,0)),OR($H4702="",$N4702&gt;0),OR($I4702="",$I4702="NR",$O4702&gt;0),IF(ISNUMBER($J4702),AND($J4702&gt;=0,$J4702=INT($J4702)),FALSE())),$J4702,0)</f>
        <v>0</v>
      </c>
      <c r="Q4702" s="64" t="n">
        <f aca="false">IF(AND($P4702&gt;0,$O4702&gt;0),$P4702,0)</f>
        <v>0</v>
      </c>
      <c r="R4702" s="64" t="n">
        <f aca="false">IF(AND($Q4702&gt;0,$O4702&gt;=AtRank),$Q4702,0)</f>
        <v>0</v>
      </c>
      <c r="S4702" s="64" t="n">
        <f aca="false">IF(AND($Q4702&gt;0,$O4702&gt;=AboveRank),$Q4702,0)</f>
        <v>0</v>
      </c>
      <c r="T4702" s="64" t="n">
        <f aca="false">IF($K4702="Less",$P4702,0)</f>
        <v>0</v>
      </c>
      <c r="U4702" s="64" t="n">
        <f aca="false">IF($K4702="Expected",$P4702,0)</f>
        <v>0</v>
      </c>
      <c r="V4702" s="64" t="n">
        <f aca="false">IF($K4702="Better",$P4702,0)</f>
        <v>0</v>
      </c>
      <c r="W4702" s="64" t="n">
        <f aca="false">IF($K4702="U – needs rule",$P4702,0)</f>
        <v>0</v>
      </c>
      <c r="X4702" s="64" t="n">
        <f aca="false">IF($K4702="No Start (attainment only)",$P4702,0)</f>
        <v>0</v>
      </c>
    </row>
    <row r="4703" customFormat="false" ht="15" hidden="false" customHeight="false" outlineLevel="0" collapsed="false">
      <c r="A4703" s="60"/>
      <c r="B4703" s="61" t="str">
        <f aca="false">IF($M4703=0,"",INDEX(Classes!$E$6:$E$420,$M4703))</f>
        <v/>
      </c>
      <c r="C4703" s="62" t="str">
        <f aca="false">IF($M4703=0,"",INDEX(Classes!$H$6:$H$420,$M4703))</f>
        <v/>
      </c>
      <c r="D4703" s="61" t="str">
        <f aca="false">IF($M4703=0,"",INDEX(Classes!$B$6:$B$420,$M4703))</f>
        <v/>
      </c>
      <c r="E4703" s="61" t="str">
        <f aca="false">IF($M4703=0,"",INDEX(Classes!$C$6:$C$420,$M4703))</f>
        <v/>
      </c>
      <c r="F4703" s="63"/>
      <c r="G4703" s="63"/>
      <c r="H4703" s="60"/>
      <c r="I4703" s="60"/>
      <c r="J4703" s="63"/>
      <c r="K4703" s="61" t="str">
        <f aca="false">IF($P4703=0,"",IF($F4703="Baseline","— Baseline",IF($O4703=0,"No result",IF($N4703=0,"No Start (attainment only)",IF(OR($N4703=1,$O4703=1),"U – needs rule",INDEX(MxBody,MATCH($I4703,MxCurr,0),MATCH($H4703,MxStart,0)))))))</f>
        <v/>
      </c>
      <c r="L4703" s="62" t="str">
        <f aca="false">IF(COUNTA($A4703,$F4703,$G4703,$H4703,$I4703,$J4703)=0,"",IF($M4703=0,"✖ كود الصف غير موجود",IF(ISNA(MATCH($F4703,Lists!$A$2:$A$5,0)),"✖ الفترة غير صحيحة",IF(ISNA(MATCH($G4703,Lists!$B$2:$B$7,0)),"✖ المجموعة غير صحيحة",IF(NOT(OR($H4703="",$N4703&gt;0)),"✖ Start غير صحيح",IF(NOT(OR($I4703="",$I4703="NR",$O4703&gt;0)),"✖ Current غير صحيح",IF(NOT(IF(ISNUMBER($J4703),AND($J4703&gt;=0,$J4703=INT($J4703)),FALSE())),"✖ العدد يجب أن يكون صحيحًا ≥ 0",IF(AND($F4703="Baseline",$H4703&lt;&gt;""),"⚠ Baseline: Start لا يدخل في التقدم",IF($K4703="No Start (attainment only)","ℹ تحصيل فقط (بدون Start)",IF($K4703="U – needs rule","ℹ حالة U تحتاج قاعدة معتمدة",IF($K4703="No result","ℹ بدون نتيجة (يُستبعد من التحصيل)","OK")))))))))))</f>
        <v/>
      </c>
      <c r="M4703" s="64" t="n">
        <f aca="false">IF($A4703="",0,IFERROR(MATCH($A4703,Classes!$A$6:$A$420,0),0))</f>
        <v>0</v>
      </c>
      <c r="N4703" s="64" t="n">
        <f aca="false">IF($H4703="",0,IFERROR(MATCH($H4703,GradeList,0),0))</f>
        <v>0</v>
      </c>
      <c r="O4703" s="64" t="n">
        <f aca="false">IF(OR($I4703="",$I4703="NR"),0,IFERROR(MATCH($I4703,GradeList,0),0))</f>
        <v>0</v>
      </c>
      <c r="P4703" s="64" t="n">
        <f aca="false">IF(AND($M4703&gt;0,ISNUMBER(MATCH($F4703,Lists!$A$2:$A$5,0)),ISNUMBER(MATCH($G4703,Lists!$B$2:$B$7,0)),OR($H4703="",$N4703&gt;0),OR($I4703="",$I4703="NR",$O4703&gt;0),IF(ISNUMBER($J4703),AND($J4703&gt;=0,$J4703=INT($J4703)),FALSE())),$J4703,0)</f>
        <v>0</v>
      </c>
      <c r="Q4703" s="64" t="n">
        <f aca="false">IF(AND($P4703&gt;0,$O4703&gt;0),$P4703,0)</f>
        <v>0</v>
      </c>
      <c r="R4703" s="64" t="n">
        <f aca="false">IF(AND($Q4703&gt;0,$O4703&gt;=AtRank),$Q4703,0)</f>
        <v>0</v>
      </c>
      <c r="S4703" s="64" t="n">
        <f aca="false">IF(AND($Q4703&gt;0,$O4703&gt;=AboveRank),$Q4703,0)</f>
        <v>0</v>
      </c>
      <c r="T4703" s="64" t="n">
        <f aca="false">IF($K4703="Less",$P4703,0)</f>
        <v>0</v>
      </c>
      <c r="U4703" s="64" t="n">
        <f aca="false">IF($K4703="Expected",$P4703,0)</f>
        <v>0</v>
      </c>
      <c r="V4703" s="64" t="n">
        <f aca="false">IF($K4703="Better",$P4703,0)</f>
        <v>0</v>
      </c>
      <c r="W4703" s="64" t="n">
        <f aca="false">IF($K4703="U – needs rule",$P4703,0)</f>
        <v>0</v>
      </c>
      <c r="X4703" s="64" t="n">
        <f aca="false">IF($K4703="No Start (attainment only)",$P4703,0)</f>
        <v>0</v>
      </c>
    </row>
    <row r="4704" customFormat="false" ht="15" hidden="false" customHeight="false" outlineLevel="0" collapsed="false">
      <c r="A4704" s="60"/>
      <c r="B4704" s="61" t="str">
        <f aca="false">IF($M4704=0,"",INDEX(Classes!$E$6:$E$420,$M4704))</f>
        <v/>
      </c>
      <c r="C4704" s="62" t="str">
        <f aca="false">IF($M4704=0,"",INDEX(Classes!$H$6:$H$420,$M4704))</f>
        <v/>
      </c>
      <c r="D4704" s="61" t="str">
        <f aca="false">IF($M4704=0,"",INDEX(Classes!$B$6:$B$420,$M4704))</f>
        <v/>
      </c>
      <c r="E4704" s="61" t="str">
        <f aca="false">IF($M4704=0,"",INDEX(Classes!$C$6:$C$420,$M4704))</f>
        <v/>
      </c>
      <c r="F4704" s="63"/>
      <c r="G4704" s="63"/>
      <c r="H4704" s="60"/>
      <c r="I4704" s="60"/>
      <c r="J4704" s="63"/>
      <c r="K4704" s="61" t="str">
        <f aca="false">IF($P4704=0,"",IF($F4704="Baseline","— Baseline",IF($O4704=0,"No result",IF($N4704=0,"No Start (attainment only)",IF(OR($N4704=1,$O4704=1),"U – needs rule",INDEX(MxBody,MATCH($I4704,MxCurr,0),MATCH($H4704,MxStart,0)))))))</f>
        <v/>
      </c>
      <c r="L4704" s="62" t="str">
        <f aca="false">IF(COUNTA($A4704,$F4704,$G4704,$H4704,$I4704,$J4704)=0,"",IF($M4704=0,"✖ كود الصف غير موجود",IF(ISNA(MATCH($F4704,Lists!$A$2:$A$5,0)),"✖ الفترة غير صحيحة",IF(ISNA(MATCH($G4704,Lists!$B$2:$B$7,0)),"✖ المجموعة غير صحيحة",IF(NOT(OR($H4704="",$N4704&gt;0)),"✖ Start غير صحيح",IF(NOT(OR($I4704="",$I4704="NR",$O4704&gt;0)),"✖ Current غير صحيح",IF(NOT(IF(ISNUMBER($J4704),AND($J4704&gt;=0,$J4704=INT($J4704)),FALSE())),"✖ العدد يجب أن يكون صحيحًا ≥ 0",IF(AND($F4704="Baseline",$H4704&lt;&gt;""),"⚠ Baseline: Start لا يدخل في التقدم",IF($K4704="No Start (attainment only)","ℹ تحصيل فقط (بدون Start)",IF($K4704="U – needs rule","ℹ حالة U تحتاج قاعدة معتمدة",IF($K4704="No result","ℹ بدون نتيجة (يُستبعد من التحصيل)","OK")))))))))))</f>
        <v/>
      </c>
      <c r="M4704" s="64" t="n">
        <f aca="false">IF($A4704="",0,IFERROR(MATCH($A4704,Classes!$A$6:$A$420,0),0))</f>
        <v>0</v>
      </c>
      <c r="N4704" s="64" t="n">
        <f aca="false">IF($H4704="",0,IFERROR(MATCH($H4704,GradeList,0),0))</f>
        <v>0</v>
      </c>
      <c r="O4704" s="64" t="n">
        <f aca="false">IF(OR($I4704="",$I4704="NR"),0,IFERROR(MATCH($I4704,GradeList,0),0))</f>
        <v>0</v>
      </c>
      <c r="P4704" s="64" t="n">
        <f aca="false">IF(AND($M4704&gt;0,ISNUMBER(MATCH($F4704,Lists!$A$2:$A$5,0)),ISNUMBER(MATCH($G4704,Lists!$B$2:$B$7,0)),OR($H4704="",$N4704&gt;0),OR($I4704="",$I4704="NR",$O4704&gt;0),IF(ISNUMBER($J4704),AND($J4704&gt;=0,$J4704=INT($J4704)),FALSE())),$J4704,0)</f>
        <v>0</v>
      </c>
      <c r="Q4704" s="64" t="n">
        <f aca="false">IF(AND($P4704&gt;0,$O4704&gt;0),$P4704,0)</f>
        <v>0</v>
      </c>
      <c r="R4704" s="64" t="n">
        <f aca="false">IF(AND($Q4704&gt;0,$O4704&gt;=AtRank),$Q4704,0)</f>
        <v>0</v>
      </c>
      <c r="S4704" s="64" t="n">
        <f aca="false">IF(AND($Q4704&gt;0,$O4704&gt;=AboveRank),$Q4704,0)</f>
        <v>0</v>
      </c>
      <c r="T4704" s="64" t="n">
        <f aca="false">IF($K4704="Less",$P4704,0)</f>
        <v>0</v>
      </c>
      <c r="U4704" s="64" t="n">
        <f aca="false">IF($K4704="Expected",$P4704,0)</f>
        <v>0</v>
      </c>
      <c r="V4704" s="64" t="n">
        <f aca="false">IF($K4704="Better",$P4704,0)</f>
        <v>0</v>
      </c>
      <c r="W4704" s="64" t="n">
        <f aca="false">IF($K4704="U – needs rule",$P4704,0)</f>
        <v>0</v>
      </c>
      <c r="X4704" s="64" t="n">
        <f aca="false">IF($K4704="No Start (attainment only)",$P4704,0)</f>
        <v>0</v>
      </c>
    </row>
    <row r="4705" customFormat="false" ht="15" hidden="false" customHeight="false" outlineLevel="0" collapsed="false">
      <c r="A4705" s="60"/>
      <c r="B4705" s="61" t="str">
        <f aca="false">IF($M4705=0,"",INDEX(Classes!$E$6:$E$420,$M4705))</f>
        <v/>
      </c>
      <c r="C4705" s="62" t="str">
        <f aca="false">IF($M4705=0,"",INDEX(Classes!$H$6:$H$420,$M4705))</f>
        <v/>
      </c>
      <c r="D4705" s="61" t="str">
        <f aca="false">IF($M4705=0,"",INDEX(Classes!$B$6:$B$420,$M4705))</f>
        <v/>
      </c>
      <c r="E4705" s="61" t="str">
        <f aca="false">IF($M4705=0,"",INDEX(Classes!$C$6:$C$420,$M4705))</f>
        <v/>
      </c>
      <c r="F4705" s="63"/>
      <c r="G4705" s="63"/>
      <c r="H4705" s="60"/>
      <c r="I4705" s="60"/>
      <c r="J4705" s="63"/>
      <c r="K4705" s="61" t="str">
        <f aca="false">IF($P4705=0,"",IF($F4705="Baseline","— Baseline",IF($O4705=0,"No result",IF($N4705=0,"No Start (attainment only)",IF(OR($N4705=1,$O4705=1),"U – needs rule",INDEX(MxBody,MATCH($I4705,MxCurr,0),MATCH($H4705,MxStart,0)))))))</f>
        <v/>
      </c>
      <c r="L4705" s="62" t="str">
        <f aca="false">IF(COUNTA($A4705,$F4705,$G4705,$H4705,$I4705,$J4705)=0,"",IF($M4705=0,"✖ كود الصف غير موجود",IF(ISNA(MATCH($F4705,Lists!$A$2:$A$5,0)),"✖ الفترة غير صحيحة",IF(ISNA(MATCH($G4705,Lists!$B$2:$B$7,0)),"✖ المجموعة غير صحيحة",IF(NOT(OR($H4705="",$N4705&gt;0)),"✖ Start غير صحيح",IF(NOT(OR($I4705="",$I4705="NR",$O4705&gt;0)),"✖ Current غير صحيح",IF(NOT(IF(ISNUMBER($J4705),AND($J4705&gt;=0,$J4705=INT($J4705)),FALSE())),"✖ العدد يجب أن يكون صحيحًا ≥ 0",IF(AND($F4705="Baseline",$H4705&lt;&gt;""),"⚠ Baseline: Start لا يدخل في التقدم",IF($K4705="No Start (attainment only)","ℹ تحصيل فقط (بدون Start)",IF($K4705="U – needs rule","ℹ حالة U تحتاج قاعدة معتمدة",IF($K4705="No result","ℹ بدون نتيجة (يُستبعد من التحصيل)","OK")))))))))))</f>
        <v/>
      </c>
      <c r="M4705" s="64" t="n">
        <f aca="false">IF($A4705="",0,IFERROR(MATCH($A4705,Classes!$A$6:$A$420,0),0))</f>
        <v>0</v>
      </c>
      <c r="N4705" s="64" t="n">
        <f aca="false">IF($H4705="",0,IFERROR(MATCH($H4705,GradeList,0),0))</f>
        <v>0</v>
      </c>
      <c r="O4705" s="64" t="n">
        <f aca="false">IF(OR($I4705="",$I4705="NR"),0,IFERROR(MATCH($I4705,GradeList,0),0))</f>
        <v>0</v>
      </c>
      <c r="P4705" s="64" t="n">
        <f aca="false">IF(AND($M4705&gt;0,ISNUMBER(MATCH($F4705,Lists!$A$2:$A$5,0)),ISNUMBER(MATCH($G4705,Lists!$B$2:$B$7,0)),OR($H4705="",$N4705&gt;0),OR($I4705="",$I4705="NR",$O4705&gt;0),IF(ISNUMBER($J4705),AND($J4705&gt;=0,$J4705=INT($J4705)),FALSE())),$J4705,0)</f>
        <v>0</v>
      </c>
      <c r="Q4705" s="64" t="n">
        <f aca="false">IF(AND($P4705&gt;0,$O4705&gt;0),$P4705,0)</f>
        <v>0</v>
      </c>
      <c r="R4705" s="64" t="n">
        <f aca="false">IF(AND($Q4705&gt;0,$O4705&gt;=AtRank),$Q4705,0)</f>
        <v>0</v>
      </c>
      <c r="S4705" s="64" t="n">
        <f aca="false">IF(AND($Q4705&gt;0,$O4705&gt;=AboveRank),$Q4705,0)</f>
        <v>0</v>
      </c>
      <c r="T4705" s="64" t="n">
        <f aca="false">IF($K4705="Less",$P4705,0)</f>
        <v>0</v>
      </c>
      <c r="U4705" s="64" t="n">
        <f aca="false">IF($K4705="Expected",$P4705,0)</f>
        <v>0</v>
      </c>
      <c r="V4705" s="64" t="n">
        <f aca="false">IF($K4705="Better",$P4705,0)</f>
        <v>0</v>
      </c>
      <c r="W4705" s="64" t="n">
        <f aca="false">IF($K4705="U – needs rule",$P4705,0)</f>
        <v>0</v>
      </c>
      <c r="X4705" s="64" t="n">
        <f aca="false">IF($K4705="No Start (attainment only)",$P4705,0)</f>
        <v>0</v>
      </c>
    </row>
    <row r="4706" customFormat="false" ht="15" hidden="false" customHeight="false" outlineLevel="0" collapsed="false">
      <c r="A4706" s="60"/>
      <c r="B4706" s="61" t="str">
        <f aca="false">IF($M4706=0,"",INDEX(Classes!$E$6:$E$420,$M4706))</f>
        <v/>
      </c>
      <c r="C4706" s="62" t="str">
        <f aca="false">IF($M4706=0,"",INDEX(Classes!$H$6:$H$420,$M4706))</f>
        <v/>
      </c>
      <c r="D4706" s="61" t="str">
        <f aca="false">IF($M4706=0,"",INDEX(Classes!$B$6:$B$420,$M4706))</f>
        <v/>
      </c>
      <c r="E4706" s="61" t="str">
        <f aca="false">IF($M4706=0,"",INDEX(Classes!$C$6:$C$420,$M4706))</f>
        <v/>
      </c>
      <c r="F4706" s="63"/>
      <c r="G4706" s="63"/>
      <c r="H4706" s="60"/>
      <c r="I4706" s="60"/>
      <c r="J4706" s="63"/>
      <c r="K4706" s="61" t="str">
        <f aca="false">IF($P4706=0,"",IF($F4706="Baseline","— Baseline",IF($O4706=0,"No result",IF($N4706=0,"No Start (attainment only)",IF(OR($N4706=1,$O4706=1),"U – needs rule",INDEX(MxBody,MATCH($I4706,MxCurr,0),MATCH($H4706,MxStart,0)))))))</f>
        <v/>
      </c>
      <c r="L4706" s="62" t="str">
        <f aca="false">IF(COUNTA($A4706,$F4706,$G4706,$H4706,$I4706,$J4706)=0,"",IF($M4706=0,"✖ كود الصف غير موجود",IF(ISNA(MATCH($F4706,Lists!$A$2:$A$5,0)),"✖ الفترة غير صحيحة",IF(ISNA(MATCH($G4706,Lists!$B$2:$B$7,0)),"✖ المجموعة غير صحيحة",IF(NOT(OR($H4706="",$N4706&gt;0)),"✖ Start غير صحيح",IF(NOT(OR($I4706="",$I4706="NR",$O4706&gt;0)),"✖ Current غير صحيح",IF(NOT(IF(ISNUMBER($J4706),AND($J4706&gt;=0,$J4706=INT($J4706)),FALSE())),"✖ العدد يجب أن يكون صحيحًا ≥ 0",IF(AND($F4706="Baseline",$H4706&lt;&gt;""),"⚠ Baseline: Start لا يدخل في التقدم",IF($K4706="No Start (attainment only)","ℹ تحصيل فقط (بدون Start)",IF($K4706="U – needs rule","ℹ حالة U تحتاج قاعدة معتمدة",IF($K4706="No result","ℹ بدون نتيجة (يُستبعد من التحصيل)","OK")))))))))))</f>
        <v/>
      </c>
      <c r="M4706" s="64" t="n">
        <f aca="false">IF($A4706="",0,IFERROR(MATCH($A4706,Classes!$A$6:$A$420,0),0))</f>
        <v>0</v>
      </c>
      <c r="N4706" s="64" t="n">
        <f aca="false">IF($H4706="",0,IFERROR(MATCH($H4706,GradeList,0),0))</f>
        <v>0</v>
      </c>
      <c r="O4706" s="64" t="n">
        <f aca="false">IF(OR($I4706="",$I4706="NR"),0,IFERROR(MATCH($I4706,GradeList,0),0))</f>
        <v>0</v>
      </c>
      <c r="P4706" s="64" t="n">
        <f aca="false">IF(AND($M4706&gt;0,ISNUMBER(MATCH($F4706,Lists!$A$2:$A$5,0)),ISNUMBER(MATCH($G4706,Lists!$B$2:$B$7,0)),OR($H4706="",$N4706&gt;0),OR($I4706="",$I4706="NR",$O4706&gt;0),IF(ISNUMBER($J4706),AND($J4706&gt;=0,$J4706=INT($J4706)),FALSE())),$J4706,0)</f>
        <v>0</v>
      </c>
      <c r="Q4706" s="64" t="n">
        <f aca="false">IF(AND($P4706&gt;0,$O4706&gt;0),$P4706,0)</f>
        <v>0</v>
      </c>
      <c r="R4706" s="64" t="n">
        <f aca="false">IF(AND($Q4706&gt;0,$O4706&gt;=AtRank),$Q4706,0)</f>
        <v>0</v>
      </c>
      <c r="S4706" s="64" t="n">
        <f aca="false">IF(AND($Q4706&gt;0,$O4706&gt;=AboveRank),$Q4706,0)</f>
        <v>0</v>
      </c>
      <c r="T4706" s="64" t="n">
        <f aca="false">IF($K4706="Less",$P4706,0)</f>
        <v>0</v>
      </c>
      <c r="U4706" s="64" t="n">
        <f aca="false">IF($K4706="Expected",$P4706,0)</f>
        <v>0</v>
      </c>
      <c r="V4706" s="64" t="n">
        <f aca="false">IF($K4706="Better",$P4706,0)</f>
        <v>0</v>
      </c>
      <c r="W4706" s="64" t="n">
        <f aca="false">IF($K4706="U – needs rule",$P4706,0)</f>
        <v>0</v>
      </c>
      <c r="X4706" s="64" t="n">
        <f aca="false">IF($K4706="No Start (attainment only)",$P4706,0)</f>
        <v>0</v>
      </c>
    </row>
    <row r="4707" customFormat="false" ht="15" hidden="false" customHeight="false" outlineLevel="0" collapsed="false">
      <c r="A4707" s="60"/>
      <c r="B4707" s="61" t="str">
        <f aca="false">IF($M4707=0,"",INDEX(Classes!$E$6:$E$420,$M4707))</f>
        <v/>
      </c>
      <c r="C4707" s="62" t="str">
        <f aca="false">IF($M4707=0,"",INDEX(Classes!$H$6:$H$420,$M4707))</f>
        <v/>
      </c>
      <c r="D4707" s="61" t="str">
        <f aca="false">IF($M4707=0,"",INDEX(Classes!$B$6:$B$420,$M4707))</f>
        <v/>
      </c>
      <c r="E4707" s="61" t="str">
        <f aca="false">IF($M4707=0,"",INDEX(Classes!$C$6:$C$420,$M4707))</f>
        <v/>
      </c>
      <c r="F4707" s="63"/>
      <c r="G4707" s="63"/>
      <c r="H4707" s="60"/>
      <c r="I4707" s="60"/>
      <c r="J4707" s="63"/>
      <c r="K4707" s="61" t="str">
        <f aca="false">IF($P4707=0,"",IF($F4707="Baseline","— Baseline",IF($O4707=0,"No result",IF($N4707=0,"No Start (attainment only)",IF(OR($N4707=1,$O4707=1),"U – needs rule",INDEX(MxBody,MATCH($I4707,MxCurr,0),MATCH($H4707,MxStart,0)))))))</f>
        <v/>
      </c>
      <c r="L4707" s="62" t="str">
        <f aca="false">IF(COUNTA($A4707,$F4707,$G4707,$H4707,$I4707,$J4707)=0,"",IF($M4707=0,"✖ كود الصف غير موجود",IF(ISNA(MATCH($F4707,Lists!$A$2:$A$5,0)),"✖ الفترة غير صحيحة",IF(ISNA(MATCH($G4707,Lists!$B$2:$B$7,0)),"✖ المجموعة غير صحيحة",IF(NOT(OR($H4707="",$N4707&gt;0)),"✖ Start غير صحيح",IF(NOT(OR($I4707="",$I4707="NR",$O4707&gt;0)),"✖ Current غير صحيح",IF(NOT(IF(ISNUMBER($J4707),AND($J4707&gt;=0,$J4707=INT($J4707)),FALSE())),"✖ العدد يجب أن يكون صحيحًا ≥ 0",IF(AND($F4707="Baseline",$H4707&lt;&gt;""),"⚠ Baseline: Start لا يدخل في التقدم",IF($K4707="No Start (attainment only)","ℹ تحصيل فقط (بدون Start)",IF($K4707="U – needs rule","ℹ حالة U تحتاج قاعدة معتمدة",IF($K4707="No result","ℹ بدون نتيجة (يُستبعد من التحصيل)","OK")))))))))))</f>
        <v/>
      </c>
      <c r="M4707" s="64" t="n">
        <f aca="false">IF($A4707="",0,IFERROR(MATCH($A4707,Classes!$A$6:$A$420,0),0))</f>
        <v>0</v>
      </c>
      <c r="N4707" s="64" t="n">
        <f aca="false">IF($H4707="",0,IFERROR(MATCH($H4707,GradeList,0),0))</f>
        <v>0</v>
      </c>
      <c r="O4707" s="64" t="n">
        <f aca="false">IF(OR($I4707="",$I4707="NR"),0,IFERROR(MATCH($I4707,GradeList,0),0))</f>
        <v>0</v>
      </c>
      <c r="P4707" s="64" t="n">
        <f aca="false">IF(AND($M4707&gt;0,ISNUMBER(MATCH($F4707,Lists!$A$2:$A$5,0)),ISNUMBER(MATCH($G4707,Lists!$B$2:$B$7,0)),OR($H4707="",$N4707&gt;0),OR($I4707="",$I4707="NR",$O4707&gt;0),IF(ISNUMBER($J4707),AND($J4707&gt;=0,$J4707=INT($J4707)),FALSE())),$J4707,0)</f>
        <v>0</v>
      </c>
      <c r="Q4707" s="64" t="n">
        <f aca="false">IF(AND($P4707&gt;0,$O4707&gt;0),$P4707,0)</f>
        <v>0</v>
      </c>
      <c r="R4707" s="64" t="n">
        <f aca="false">IF(AND($Q4707&gt;0,$O4707&gt;=AtRank),$Q4707,0)</f>
        <v>0</v>
      </c>
      <c r="S4707" s="64" t="n">
        <f aca="false">IF(AND($Q4707&gt;0,$O4707&gt;=AboveRank),$Q4707,0)</f>
        <v>0</v>
      </c>
      <c r="T4707" s="64" t="n">
        <f aca="false">IF($K4707="Less",$P4707,0)</f>
        <v>0</v>
      </c>
      <c r="U4707" s="64" t="n">
        <f aca="false">IF($K4707="Expected",$P4707,0)</f>
        <v>0</v>
      </c>
      <c r="V4707" s="64" t="n">
        <f aca="false">IF($K4707="Better",$P4707,0)</f>
        <v>0</v>
      </c>
      <c r="W4707" s="64" t="n">
        <f aca="false">IF($K4707="U – needs rule",$P4707,0)</f>
        <v>0</v>
      </c>
      <c r="X4707" s="64" t="n">
        <f aca="false">IF($K4707="No Start (attainment only)",$P4707,0)</f>
        <v>0</v>
      </c>
    </row>
    <row r="4708" customFormat="false" ht="15" hidden="false" customHeight="false" outlineLevel="0" collapsed="false">
      <c r="A4708" s="60"/>
      <c r="B4708" s="61" t="str">
        <f aca="false">IF($M4708=0,"",INDEX(Classes!$E$6:$E$420,$M4708))</f>
        <v/>
      </c>
      <c r="C4708" s="62" t="str">
        <f aca="false">IF($M4708=0,"",INDEX(Classes!$H$6:$H$420,$M4708))</f>
        <v/>
      </c>
      <c r="D4708" s="61" t="str">
        <f aca="false">IF($M4708=0,"",INDEX(Classes!$B$6:$B$420,$M4708))</f>
        <v/>
      </c>
      <c r="E4708" s="61" t="str">
        <f aca="false">IF($M4708=0,"",INDEX(Classes!$C$6:$C$420,$M4708))</f>
        <v/>
      </c>
      <c r="F4708" s="63"/>
      <c r="G4708" s="63"/>
      <c r="H4708" s="60"/>
      <c r="I4708" s="60"/>
      <c r="J4708" s="63"/>
      <c r="K4708" s="61" t="str">
        <f aca="false">IF($P4708=0,"",IF($F4708="Baseline","— Baseline",IF($O4708=0,"No result",IF($N4708=0,"No Start (attainment only)",IF(OR($N4708=1,$O4708=1),"U – needs rule",INDEX(MxBody,MATCH($I4708,MxCurr,0),MATCH($H4708,MxStart,0)))))))</f>
        <v/>
      </c>
      <c r="L4708" s="62" t="str">
        <f aca="false">IF(COUNTA($A4708,$F4708,$G4708,$H4708,$I4708,$J4708)=0,"",IF($M4708=0,"✖ كود الصف غير موجود",IF(ISNA(MATCH($F4708,Lists!$A$2:$A$5,0)),"✖ الفترة غير صحيحة",IF(ISNA(MATCH($G4708,Lists!$B$2:$B$7,0)),"✖ المجموعة غير صحيحة",IF(NOT(OR($H4708="",$N4708&gt;0)),"✖ Start غير صحيح",IF(NOT(OR($I4708="",$I4708="NR",$O4708&gt;0)),"✖ Current غير صحيح",IF(NOT(IF(ISNUMBER($J4708),AND($J4708&gt;=0,$J4708=INT($J4708)),FALSE())),"✖ العدد يجب أن يكون صحيحًا ≥ 0",IF(AND($F4708="Baseline",$H4708&lt;&gt;""),"⚠ Baseline: Start لا يدخل في التقدم",IF($K4708="No Start (attainment only)","ℹ تحصيل فقط (بدون Start)",IF($K4708="U – needs rule","ℹ حالة U تحتاج قاعدة معتمدة",IF($K4708="No result","ℹ بدون نتيجة (يُستبعد من التحصيل)","OK")))))))))))</f>
        <v/>
      </c>
      <c r="M4708" s="64" t="n">
        <f aca="false">IF($A4708="",0,IFERROR(MATCH($A4708,Classes!$A$6:$A$420,0),0))</f>
        <v>0</v>
      </c>
      <c r="N4708" s="64" t="n">
        <f aca="false">IF($H4708="",0,IFERROR(MATCH($H4708,GradeList,0),0))</f>
        <v>0</v>
      </c>
      <c r="O4708" s="64" t="n">
        <f aca="false">IF(OR($I4708="",$I4708="NR"),0,IFERROR(MATCH($I4708,GradeList,0),0))</f>
        <v>0</v>
      </c>
      <c r="P4708" s="64" t="n">
        <f aca="false">IF(AND($M4708&gt;0,ISNUMBER(MATCH($F4708,Lists!$A$2:$A$5,0)),ISNUMBER(MATCH($G4708,Lists!$B$2:$B$7,0)),OR($H4708="",$N4708&gt;0),OR($I4708="",$I4708="NR",$O4708&gt;0),IF(ISNUMBER($J4708),AND($J4708&gt;=0,$J4708=INT($J4708)),FALSE())),$J4708,0)</f>
        <v>0</v>
      </c>
      <c r="Q4708" s="64" t="n">
        <f aca="false">IF(AND($P4708&gt;0,$O4708&gt;0),$P4708,0)</f>
        <v>0</v>
      </c>
      <c r="R4708" s="64" t="n">
        <f aca="false">IF(AND($Q4708&gt;0,$O4708&gt;=AtRank),$Q4708,0)</f>
        <v>0</v>
      </c>
      <c r="S4708" s="64" t="n">
        <f aca="false">IF(AND($Q4708&gt;0,$O4708&gt;=AboveRank),$Q4708,0)</f>
        <v>0</v>
      </c>
      <c r="T4708" s="64" t="n">
        <f aca="false">IF($K4708="Less",$P4708,0)</f>
        <v>0</v>
      </c>
      <c r="U4708" s="64" t="n">
        <f aca="false">IF($K4708="Expected",$P4708,0)</f>
        <v>0</v>
      </c>
      <c r="V4708" s="64" t="n">
        <f aca="false">IF($K4708="Better",$P4708,0)</f>
        <v>0</v>
      </c>
      <c r="W4708" s="64" t="n">
        <f aca="false">IF($K4708="U – needs rule",$P4708,0)</f>
        <v>0</v>
      </c>
      <c r="X4708" s="64" t="n">
        <f aca="false">IF($K4708="No Start (attainment only)",$P4708,0)</f>
        <v>0</v>
      </c>
    </row>
    <row r="4709" customFormat="false" ht="15" hidden="false" customHeight="false" outlineLevel="0" collapsed="false">
      <c r="A4709" s="60"/>
      <c r="B4709" s="61" t="str">
        <f aca="false">IF($M4709=0,"",INDEX(Classes!$E$6:$E$420,$M4709))</f>
        <v/>
      </c>
      <c r="C4709" s="62" t="str">
        <f aca="false">IF($M4709=0,"",INDEX(Classes!$H$6:$H$420,$M4709))</f>
        <v/>
      </c>
      <c r="D4709" s="61" t="str">
        <f aca="false">IF($M4709=0,"",INDEX(Classes!$B$6:$B$420,$M4709))</f>
        <v/>
      </c>
      <c r="E4709" s="61" t="str">
        <f aca="false">IF($M4709=0,"",INDEX(Classes!$C$6:$C$420,$M4709))</f>
        <v/>
      </c>
      <c r="F4709" s="63"/>
      <c r="G4709" s="63"/>
      <c r="H4709" s="60"/>
      <c r="I4709" s="60"/>
      <c r="J4709" s="63"/>
      <c r="K4709" s="61" t="str">
        <f aca="false">IF($P4709=0,"",IF($F4709="Baseline","— Baseline",IF($O4709=0,"No result",IF($N4709=0,"No Start (attainment only)",IF(OR($N4709=1,$O4709=1),"U – needs rule",INDEX(MxBody,MATCH($I4709,MxCurr,0),MATCH($H4709,MxStart,0)))))))</f>
        <v/>
      </c>
      <c r="L4709" s="62" t="str">
        <f aca="false">IF(COUNTA($A4709,$F4709,$G4709,$H4709,$I4709,$J4709)=0,"",IF($M4709=0,"✖ كود الصف غير موجود",IF(ISNA(MATCH($F4709,Lists!$A$2:$A$5,0)),"✖ الفترة غير صحيحة",IF(ISNA(MATCH($G4709,Lists!$B$2:$B$7,0)),"✖ المجموعة غير صحيحة",IF(NOT(OR($H4709="",$N4709&gt;0)),"✖ Start غير صحيح",IF(NOT(OR($I4709="",$I4709="NR",$O4709&gt;0)),"✖ Current غير صحيح",IF(NOT(IF(ISNUMBER($J4709),AND($J4709&gt;=0,$J4709=INT($J4709)),FALSE())),"✖ العدد يجب أن يكون صحيحًا ≥ 0",IF(AND($F4709="Baseline",$H4709&lt;&gt;""),"⚠ Baseline: Start لا يدخل في التقدم",IF($K4709="No Start (attainment only)","ℹ تحصيل فقط (بدون Start)",IF($K4709="U – needs rule","ℹ حالة U تحتاج قاعدة معتمدة",IF($K4709="No result","ℹ بدون نتيجة (يُستبعد من التحصيل)","OK")))))))))))</f>
        <v/>
      </c>
      <c r="M4709" s="64" t="n">
        <f aca="false">IF($A4709="",0,IFERROR(MATCH($A4709,Classes!$A$6:$A$420,0),0))</f>
        <v>0</v>
      </c>
      <c r="N4709" s="64" t="n">
        <f aca="false">IF($H4709="",0,IFERROR(MATCH($H4709,GradeList,0),0))</f>
        <v>0</v>
      </c>
      <c r="O4709" s="64" t="n">
        <f aca="false">IF(OR($I4709="",$I4709="NR"),0,IFERROR(MATCH($I4709,GradeList,0),0))</f>
        <v>0</v>
      </c>
      <c r="P4709" s="64" t="n">
        <f aca="false">IF(AND($M4709&gt;0,ISNUMBER(MATCH($F4709,Lists!$A$2:$A$5,0)),ISNUMBER(MATCH($G4709,Lists!$B$2:$B$7,0)),OR($H4709="",$N4709&gt;0),OR($I4709="",$I4709="NR",$O4709&gt;0),IF(ISNUMBER($J4709),AND($J4709&gt;=0,$J4709=INT($J4709)),FALSE())),$J4709,0)</f>
        <v>0</v>
      </c>
      <c r="Q4709" s="64" t="n">
        <f aca="false">IF(AND($P4709&gt;0,$O4709&gt;0),$P4709,0)</f>
        <v>0</v>
      </c>
      <c r="R4709" s="64" t="n">
        <f aca="false">IF(AND($Q4709&gt;0,$O4709&gt;=AtRank),$Q4709,0)</f>
        <v>0</v>
      </c>
      <c r="S4709" s="64" t="n">
        <f aca="false">IF(AND($Q4709&gt;0,$O4709&gt;=AboveRank),$Q4709,0)</f>
        <v>0</v>
      </c>
      <c r="T4709" s="64" t="n">
        <f aca="false">IF($K4709="Less",$P4709,0)</f>
        <v>0</v>
      </c>
      <c r="U4709" s="64" t="n">
        <f aca="false">IF($K4709="Expected",$P4709,0)</f>
        <v>0</v>
      </c>
      <c r="V4709" s="64" t="n">
        <f aca="false">IF($K4709="Better",$P4709,0)</f>
        <v>0</v>
      </c>
      <c r="W4709" s="64" t="n">
        <f aca="false">IF($K4709="U – needs rule",$P4709,0)</f>
        <v>0</v>
      </c>
      <c r="X4709" s="64" t="n">
        <f aca="false">IF($K4709="No Start (attainment only)",$P4709,0)</f>
        <v>0</v>
      </c>
    </row>
    <row r="4710" customFormat="false" ht="15" hidden="false" customHeight="false" outlineLevel="0" collapsed="false">
      <c r="A4710" s="60"/>
      <c r="B4710" s="61" t="str">
        <f aca="false">IF($M4710=0,"",INDEX(Classes!$E$6:$E$420,$M4710))</f>
        <v/>
      </c>
      <c r="C4710" s="62" t="str">
        <f aca="false">IF($M4710=0,"",INDEX(Classes!$H$6:$H$420,$M4710))</f>
        <v/>
      </c>
      <c r="D4710" s="61" t="str">
        <f aca="false">IF($M4710=0,"",INDEX(Classes!$B$6:$B$420,$M4710))</f>
        <v/>
      </c>
      <c r="E4710" s="61" t="str">
        <f aca="false">IF($M4710=0,"",INDEX(Classes!$C$6:$C$420,$M4710))</f>
        <v/>
      </c>
      <c r="F4710" s="63"/>
      <c r="G4710" s="63"/>
      <c r="H4710" s="60"/>
      <c r="I4710" s="60"/>
      <c r="J4710" s="63"/>
      <c r="K4710" s="61" t="str">
        <f aca="false">IF($P4710=0,"",IF($F4710="Baseline","— Baseline",IF($O4710=0,"No result",IF($N4710=0,"No Start (attainment only)",IF(OR($N4710=1,$O4710=1),"U – needs rule",INDEX(MxBody,MATCH($I4710,MxCurr,0),MATCH($H4710,MxStart,0)))))))</f>
        <v/>
      </c>
      <c r="L4710" s="62" t="str">
        <f aca="false">IF(COUNTA($A4710,$F4710,$G4710,$H4710,$I4710,$J4710)=0,"",IF($M4710=0,"✖ كود الصف غير موجود",IF(ISNA(MATCH($F4710,Lists!$A$2:$A$5,0)),"✖ الفترة غير صحيحة",IF(ISNA(MATCH($G4710,Lists!$B$2:$B$7,0)),"✖ المجموعة غير صحيحة",IF(NOT(OR($H4710="",$N4710&gt;0)),"✖ Start غير صحيح",IF(NOT(OR($I4710="",$I4710="NR",$O4710&gt;0)),"✖ Current غير صحيح",IF(NOT(IF(ISNUMBER($J4710),AND($J4710&gt;=0,$J4710=INT($J4710)),FALSE())),"✖ العدد يجب أن يكون صحيحًا ≥ 0",IF(AND($F4710="Baseline",$H4710&lt;&gt;""),"⚠ Baseline: Start لا يدخل في التقدم",IF($K4710="No Start (attainment only)","ℹ تحصيل فقط (بدون Start)",IF($K4710="U – needs rule","ℹ حالة U تحتاج قاعدة معتمدة",IF($K4710="No result","ℹ بدون نتيجة (يُستبعد من التحصيل)","OK")))))))))))</f>
        <v/>
      </c>
      <c r="M4710" s="64" t="n">
        <f aca="false">IF($A4710="",0,IFERROR(MATCH($A4710,Classes!$A$6:$A$420,0),0))</f>
        <v>0</v>
      </c>
      <c r="N4710" s="64" t="n">
        <f aca="false">IF($H4710="",0,IFERROR(MATCH($H4710,GradeList,0),0))</f>
        <v>0</v>
      </c>
      <c r="O4710" s="64" t="n">
        <f aca="false">IF(OR($I4710="",$I4710="NR"),0,IFERROR(MATCH($I4710,GradeList,0),0))</f>
        <v>0</v>
      </c>
      <c r="P4710" s="64" t="n">
        <f aca="false">IF(AND($M4710&gt;0,ISNUMBER(MATCH($F4710,Lists!$A$2:$A$5,0)),ISNUMBER(MATCH($G4710,Lists!$B$2:$B$7,0)),OR($H4710="",$N4710&gt;0),OR($I4710="",$I4710="NR",$O4710&gt;0),IF(ISNUMBER($J4710),AND($J4710&gt;=0,$J4710=INT($J4710)),FALSE())),$J4710,0)</f>
        <v>0</v>
      </c>
      <c r="Q4710" s="64" t="n">
        <f aca="false">IF(AND($P4710&gt;0,$O4710&gt;0),$P4710,0)</f>
        <v>0</v>
      </c>
      <c r="R4710" s="64" t="n">
        <f aca="false">IF(AND($Q4710&gt;0,$O4710&gt;=AtRank),$Q4710,0)</f>
        <v>0</v>
      </c>
      <c r="S4710" s="64" t="n">
        <f aca="false">IF(AND($Q4710&gt;0,$O4710&gt;=AboveRank),$Q4710,0)</f>
        <v>0</v>
      </c>
      <c r="T4710" s="64" t="n">
        <f aca="false">IF($K4710="Less",$P4710,0)</f>
        <v>0</v>
      </c>
      <c r="U4710" s="64" t="n">
        <f aca="false">IF($K4710="Expected",$P4710,0)</f>
        <v>0</v>
      </c>
      <c r="V4710" s="64" t="n">
        <f aca="false">IF($K4710="Better",$P4710,0)</f>
        <v>0</v>
      </c>
      <c r="W4710" s="64" t="n">
        <f aca="false">IF($K4710="U – needs rule",$P4710,0)</f>
        <v>0</v>
      </c>
      <c r="X4710" s="64" t="n">
        <f aca="false">IF($K4710="No Start (attainment only)",$P4710,0)</f>
        <v>0</v>
      </c>
    </row>
    <row r="4711" customFormat="false" ht="15" hidden="false" customHeight="false" outlineLevel="0" collapsed="false">
      <c r="A4711" s="60"/>
      <c r="B4711" s="61" t="str">
        <f aca="false">IF($M4711=0,"",INDEX(Classes!$E$6:$E$420,$M4711))</f>
        <v/>
      </c>
      <c r="C4711" s="62" t="str">
        <f aca="false">IF($M4711=0,"",INDEX(Classes!$H$6:$H$420,$M4711))</f>
        <v/>
      </c>
      <c r="D4711" s="61" t="str">
        <f aca="false">IF($M4711=0,"",INDEX(Classes!$B$6:$B$420,$M4711))</f>
        <v/>
      </c>
      <c r="E4711" s="61" t="str">
        <f aca="false">IF($M4711=0,"",INDEX(Classes!$C$6:$C$420,$M4711))</f>
        <v/>
      </c>
      <c r="F4711" s="63"/>
      <c r="G4711" s="63"/>
      <c r="H4711" s="60"/>
      <c r="I4711" s="60"/>
      <c r="J4711" s="63"/>
      <c r="K4711" s="61" t="str">
        <f aca="false">IF($P4711=0,"",IF($F4711="Baseline","— Baseline",IF($O4711=0,"No result",IF($N4711=0,"No Start (attainment only)",IF(OR($N4711=1,$O4711=1),"U – needs rule",INDEX(MxBody,MATCH($I4711,MxCurr,0),MATCH($H4711,MxStart,0)))))))</f>
        <v/>
      </c>
      <c r="L4711" s="62" t="str">
        <f aca="false">IF(COUNTA($A4711,$F4711,$G4711,$H4711,$I4711,$J4711)=0,"",IF($M4711=0,"✖ كود الصف غير موجود",IF(ISNA(MATCH($F4711,Lists!$A$2:$A$5,0)),"✖ الفترة غير صحيحة",IF(ISNA(MATCH($G4711,Lists!$B$2:$B$7,0)),"✖ المجموعة غير صحيحة",IF(NOT(OR($H4711="",$N4711&gt;0)),"✖ Start غير صحيح",IF(NOT(OR($I4711="",$I4711="NR",$O4711&gt;0)),"✖ Current غير صحيح",IF(NOT(IF(ISNUMBER($J4711),AND($J4711&gt;=0,$J4711=INT($J4711)),FALSE())),"✖ العدد يجب أن يكون صحيحًا ≥ 0",IF(AND($F4711="Baseline",$H4711&lt;&gt;""),"⚠ Baseline: Start لا يدخل في التقدم",IF($K4711="No Start (attainment only)","ℹ تحصيل فقط (بدون Start)",IF($K4711="U – needs rule","ℹ حالة U تحتاج قاعدة معتمدة",IF($K4711="No result","ℹ بدون نتيجة (يُستبعد من التحصيل)","OK")))))))))))</f>
        <v/>
      </c>
      <c r="M4711" s="64" t="n">
        <f aca="false">IF($A4711="",0,IFERROR(MATCH($A4711,Classes!$A$6:$A$420,0),0))</f>
        <v>0</v>
      </c>
      <c r="N4711" s="64" t="n">
        <f aca="false">IF($H4711="",0,IFERROR(MATCH($H4711,GradeList,0),0))</f>
        <v>0</v>
      </c>
      <c r="O4711" s="64" t="n">
        <f aca="false">IF(OR($I4711="",$I4711="NR"),0,IFERROR(MATCH($I4711,GradeList,0),0))</f>
        <v>0</v>
      </c>
      <c r="P4711" s="64" t="n">
        <f aca="false">IF(AND($M4711&gt;0,ISNUMBER(MATCH($F4711,Lists!$A$2:$A$5,0)),ISNUMBER(MATCH($G4711,Lists!$B$2:$B$7,0)),OR($H4711="",$N4711&gt;0),OR($I4711="",$I4711="NR",$O4711&gt;0),IF(ISNUMBER($J4711),AND($J4711&gt;=0,$J4711=INT($J4711)),FALSE())),$J4711,0)</f>
        <v>0</v>
      </c>
      <c r="Q4711" s="64" t="n">
        <f aca="false">IF(AND($P4711&gt;0,$O4711&gt;0),$P4711,0)</f>
        <v>0</v>
      </c>
      <c r="R4711" s="64" t="n">
        <f aca="false">IF(AND($Q4711&gt;0,$O4711&gt;=AtRank),$Q4711,0)</f>
        <v>0</v>
      </c>
      <c r="S4711" s="64" t="n">
        <f aca="false">IF(AND($Q4711&gt;0,$O4711&gt;=AboveRank),$Q4711,0)</f>
        <v>0</v>
      </c>
      <c r="T4711" s="64" t="n">
        <f aca="false">IF($K4711="Less",$P4711,0)</f>
        <v>0</v>
      </c>
      <c r="U4711" s="64" t="n">
        <f aca="false">IF($K4711="Expected",$P4711,0)</f>
        <v>0</v>
      </c>
      <c r="V4711" s="64" t="n">
        <f aca="false">IF($K4711="Better",$P4711,0)</f>
        <v>0</v>
      </c>
      <c r="W4711" s="64" t="n">
        <f aca="false">IF($K4711="U – needs rule",$P4711,0)</f>
        <v>0</v>
      </c>
      <c r="X4711" s="64" t="n">
        <f aca="false">IF($K4711="No Start (attainment only)",$P4711,0)</f>
        <v>0</v>
      </c>
    </row>
    <row r="4712" customFormat="false" ht="15" hidden="false" customHeight="false" outlineLevel="0" collapsed="false">
      <c r="A4712" s="60"/>
      <c r="B4712" s="61" t="str">
        <f aca="false">IF($M4712=0,"",INDEX(Classes!$E$6:$E$420,$M4712))</f>
        <v/>
      </c>
      <c r="C4712" s="62" t="str">
        <f aca="false">IF($M4712=0,"",INDEX(Classes!$H$6:$H$420,$M4712))</f>
        <v/>
      </c>
      <c r="D4712" s="61" t="str">
        <f aca="false">IF($M4712=0,"",INDEX(Classes!$B$6:$B$420,$M4712))</f>
        <v/>
      </c>
      <c r="E4712" s="61" t="str">
        <f aca="false">IF($M4712=0,"",INDEX(Classes!$C$6:$C$420,$M4712))</f>
        <v/>
      </c>
      <c r="F4712" s="63"/>
      <c r="G4712" s="63"/>
      <c r="H4712" s="60"/>
      <c r="I4712" s="60"/>
      <c r="J4712" s="63"/>
      <c r="K4712" s="61" t="str">
        <f aca="false">IF($P4712=0,"",IF($F4712="Baseline","— Baseline",IF($O4712=0,"No result",IF($N4712=0,"No Start (attainment only)",IF(OR($N4712=1,$O4712=1),"U – needs rule",INDEX(MxBody,MATCH($I4712,MxCurr,0),MATCH($H4712,MxStart,0)))))))</f>
        <v/>
      </c>
      <c r="L4712" s="62" t="str">
        <f aca="false">IF(COUNTA($A4712,$F4712,$G4712,$H4712,$I4712,$J4712)=0,"",IF($M4712=0,"✖ كود الصف غير موجود",IF(ISNA(MATCH($F4712,Lists!$A$2:$A$5,0)),"✖ الفترة غير صحيحة",IF(ISNA(MATCH($G4712,Lists!$B$2:$B$7,0)),"✖ المجموعة غير صحيحة",IF(NOT(OR($H4712="",$N4712&gt;0)),"✖ Start غير صحيح",IF(NOT(OR($I4712="",$I4712="NR",$O4712&gt;0)),"✖ Current غير صحيح",IF(NOT(IF(ISNUMBER($J4712),AND($J4712&gt;=0,$J4712=INT($J4712)),FALSE())),"✖ العدد يجب أن يكون صحيحًا ≥ 0",IF(AND($F4712="Baseline",$H4712&lt;&gt;""),"⚠ Baseline: Start لا يدخل في التقدم",IF($K4712="No Start (attainment only)","ℹ تحصيل فقط (بدون Start)",IF($K4712="U – needs rule","ℹ حالة U تحتاج قاعدة معتمدة",IF($K4712="No result","ℹ بدون نتيجة (يُستبعد من التحصيل)","OK")))))))))))</f>
        <v/>
      </c>
      <c r="M4712" s="64" t="n">
        <f aca="false">IF($A4712="",0,IFERROR(MATCH($A4712,Classes!$A$6:$A$420,0),0))</f>
        <v>0</v>
      </c>
      <c r="N4712" s="64" t="n">
        <f aca="false">IF($H4712="",0,IFERROR(MATCH($H4712,GradeList,0),0))</f>
        <v>0</v>
      </c>
      <c r="O4712" s="64" t="n">
        <f aca="false">IF(OR($I4712="",$I4712="NR"),0,IFERROR(MATCH($I4712,GradeList,0),0))</f>
        <v>0</v>
      </c>
      <c r="P4712" s="64" t="n">
        <f aca="false">IF(AND($M4712&gt;0,ISNUMBER(MATCH($F4712,Lists!$A$2:$A$5,0)),ISNUMBER(MATCH($G4712,Lists!$B$2:$B$7,0)),OR($H4712="",$N4712&gt;0),OR($I4712="",$I4712="NR",$O4712&gt;0),IF(ISNUMBER($J4712),AND($J4712&gt;=0,$J4712=INT($J4712)),FALSE())),$J4712,0)</f>
        <v>0</v>
      </c>
      <c r="Q4712" s="64" t="n">
        <f aca="false">IF(AND($P4712&gt;0,$O4712&gt;0),$P4712,0)</f>
        <v>0</v>
      </c>
      <c r="R4712" s="64" t="n">
        <f aca="false">IF(AND($Q4712&gt;0,$O4712&gt;=AtRank),$Q4712,0)</f>
        <v>0</v>
      </c>
      <c r="S4712" s="64" t="n">
        <f aca="false">IF(AND($Q4712&gt;0,$O4712&gt;=AboveRank),$Q4712,0)</f>
        <v>0</v>
      </c>
      <c r="T4712" s="64" t="n">
        <f aca="false">IF($K4712="Less",$P4712,0)</f>
        <v>0</v>
      </c>
      <c r="U4712" s="64" t="n">
        <f aca="false">IF($K4712="Expected",$P4712,0)</f>
        <v>0</v>
      </c>
      <c r="V4712" s="64" t="n">
        <f aca="false">IF($K4712="Better",$P4712,0)</f>
        <v>0</v>
      </c>
      <c r="W4712" s="64" t="n">
        <f aca="false">IF($K4712="U – needs rule",$P4712,0)</f>
        <v>0</v>
      </c>
      <c r="X4712" s="64" t="n">
        <f aca="false">IF($K4712="No Start (attainment only)",$P4712,0)</f>
        <v>0</v>
      </c>
    </row>
    <row r="4713" customFormat="false" ht="15" hidden="false" customHeight="false" outlineLevel="0" collapsed="false">
      <c r="A4713" s="60"/>
      <c r="B4713" s="61" t="str">
        <f aca="false">IF($M4713=0,"",INDEX(Classes!$E$6:$E$420,$M4713))</f>
        <v/>
      </c>
      <c r="C4713" s="62" t="str">
        <f aca="false">IF($M4713=0,"",INDEX(Classes!$H$6:$H$420,$M4713))</f>
        <v/>
      </c>
      <c r="D4713" s="61" t="str">
        <f aca="false">IF($M4713=0,"",INDEX(Classes!$B$6:$B$420,$M4713))</f>
        <v/>
      </c>
      <c r="E4713" s="61" t="str">
        <f aca="false">IF($M4713=0,"",INDEX(Classes!$C$6:$C$420,$M4713))</f>
        <v/>
      </c>
      <c r="F4713" s="63"/>
      <c r="G4713" s="63"/>
      <c r="H4713" s="60"/>
      <c r="I4713" s="60"/>
      <c r="J4713" s="63"/>
      <c r="K4713" s="61" t="str">
        <f aca="false">IF($P4713=0,"",IF($F4713="Baseline","— Baseline",IF($O4713=0,"No result",IF($N4713=0,"No Start (attainment only)",IF(OR($N4713=1,$O4713=1),"U – needs rule",INDEX(MxBody,MATCH($I4713,MxCurr,0),MATCH($H4713,MxStart,0)))))))</f>
        <v/>
      </c>
      <c r="L4713" s="62" t="str">
        <f aca="false">IF(COUNTA($A4713,$F4713,$G4713,$H4713,$I4713,$J4713)=0,"",IF($M4713=0,"✖ كود الصف غير موجود",IF(ISNA(MATCH($F4713,Lists!$A$2:$A$5,0)),"✖ الفترة غير صحيحة",IF(ISNA(MATCH($G4713,Lists!$B$2:$B$7,0)),"✖ المجموعة غير صحيحة",IF(NOT(OR($H4713="",$N4713&gt;0)),"✖ Start غير صحيح",IF(NOT(OR($I4713="",$I4713="NR",$O4713&gt;0)),"✖ Current غير صحيح",IF(NOT(IF(ISNUMBER($J4713),AND($J4713&gt;=0,$J4713=INT($J4713)),FALSE())),"✖ العدد يجب أن يكون صحيحًا ≥ 0",IF(AND($F4713="Baseline",$H4713&lt;&gt;""),"⚠ Baseline: Start لا يدخل في التقدم",IF($K4713="No Start (attainment only)","ℹ تحصيل فقط (بدون Start)",IF($K4713="U – needs rule","ℹ حالة U تحتاج قاعدة معتمدة",IF($K4713="No result","ℹ بدون نتيجة (يُستبعد من التحصيل)","OK")))))))))))</f>
        <v/>
      </c>
      <c r="M4713" s="64" t="n">
        <f aca="false">IF($A4713="",0,IFERROR(MATCH($A4713,Classes!$A$6:$A$420,0),0))</f>
        <v>0</v>
      </c>
      <c r="N4713" s="64" t="n">
        <f aca="false">IF($H4713="",0,IFERROR(MATCH($H4713,GradeList,0),0))</f>
        <v>0</v>
      </c>
      <c r="O4713" s="64" t="n">
        <f aca="false">IF(OR($I4713="",$I4713="NR"),0,IFERROR(MATCH($I4713,GradeList,0),0))</f>
        <v>0</v>
      </c>
      <c r="P4713" s="64" t="n">
        <f aca="false">IF(AND($M4713&gt;0,ISNUMBER(MATCH($F4713,Lists!$A$2:$A$5,0)),ISNUMBER(MATCH($G4713,Lists!$B$2:$B$7,0)),OR($H4713="",$N4713&gt;0),OR($I4713="",$I4713="NR",$O4713&gt;0),IF(ISNUMBER($J4713),AND($J4713&gt;=0,$J4713=INT($J4713)),FALSE())),$J4713,0)</f>
        <v>0</v>
      </c>
      <c r="Q4713" s="64" t="n">
        <f aca="false">IF(AND($P4713&gt;0,$O4713&gt;0),$P4713,0)</f>
        <v>0</v>
      </c>
      <c r="R4713" s="64" t="n">
        <f aca="false">IF(AND($Q4713&gt;0,$O4713&gt;=AtRank),$Q4713,0)</f>
        <v>0</v>
      </c>
      <c r="S4713" s="64" t="n">
        <f aca="false">IF(AND($Q4713&gt;0,$O4713&gt;=AboveRank),$Q4713,0)</f>
        <v>0</v>
      </c>
      <c r="T4713" s="64" t="n">
        <f aca="false">IF($K4713="Less",$P4713,0)</f>
        <v>0</v>
      </c>
      <c r="U4713" s="64" t="n">
        <f aca="false">IF($K4713="Expected",$P4713,0)</f>
        <v>0</v>
      </c>
      <c r="V4713" s="64" t="n">
        <f aca="false">IF($K4713="Better",$P4713,0)</f>
        <v>0</v>
      </c>
      <c r="W4713" s="64" t="n">
        <f aca="false">IF($K4713="U – needs rule",$P4713,0)</f>
        <v>0</v>
      </c>
      <c r="X4713" s="64" t="n">
        <f aca="false">IF($K4713="No Start (attainment only)",$P4713,0)</f>
        <v>0</v>
      </c>
    </row>
    <row r="4714" customFormat="false" ht="15" hidden="false" customHeight="false" outlineLevel="0" collapsed="false">
      <c r="A4714" s="60"/>
      <c r="B4714" s="61" t="str">
        <f aca="false">IF($M4714=0,"",INDEX(Classes!$E$6:$E$420,$M4714))</f>
        <v/>
      </c>
      <c r="C4714" s="62" t="str">
        <f aca="false">IF($M4714=0,"",INDEX(Classes!$H$6:$H$420,$M4714))</f>
        <v/>
      </c>
      <c r="D4714" s="61" t="str">
        <f aca="false">IF($M4714=0,"",INDEX(Classes!$B$6:$B$420,$M4714))</f>
        <v/>
      </c>
      <c r="E4714" s="61" t="str">
        <f aca="false">IF($M4714=0,"",INDEX(Classes!$C$6:$C$420,$M4714))</f>
        <v/>
      </c>
      <c r="F4714" s="63"/>
      <c r="G4714" s="63"/>
      <c r="H4714" s="60"/>
      <c r="I4714" s="60"/>
      <c r="J4714" s="63"/>
      <c r="K4714" s="61" t="str">
        <f aca="false">IF($P4714=0,"",IF($F4714="Baseline","— Baseline",IF($O4714=0,"No result",IF($N4714=0,"No Start (attainment only)",IF(OR($N4714=1,$O4714=1),"U – needs rule",INDEX(MxBody,MATCH($I4714,MxCurr,0),MATCH($H4714,MxStart,0)))))))</f>
        <v/>
      </c>
      <c r="L4714" s="62" t="str">
        <f aca="false">IF(COUNTA($A4714,$F4714,$G4714,$H4714,$I4714,$J4714)=0,"",IF($M4714=0,"✖ كود الصف غير موجود",IF(ISNA(MATCH($F4714,Lists!$A$2:$A$5,0)),"✖ الفترة غير صحيحة",IF(ISNA(MATCH($G4714,Lists!$B$2:$B$7,0)),"✖ المجموعة غير صحيحة",IF(NOT(OR($H4714="",$N4714&gt;0)),"✖ Start غير صحيح",IF(NOT(OR($I4714="",$I4714="NR",$O4714&gt;0)),"✖ Current غير صحيح",IF(NOT(IF(ISNUMBER($J4714),AND($J4714&gt;=0,$J4714=INT($J4714)),FALSE())),"✖ العدد يجب أن يكون صحيحًا ≥ 0",IF(AND($F4714="Baseline",$H4714&lt;&gt;""),"⚠ Baseline: Start لا يدخل في التقدم",IF($K4714="No Start (attainment only)","ℹ تحصيل فقط (بدون Start)",IF($K4714="U – needs rule","ℹ حالة U تحتاج قاعدة معتمدة",IF($K4714="No result","ℹ بدون نتيجة (يُستبعد من التحصيل)","OK")))))))))))</f>
        <v/>
      </c>
      <c r="M4714" s="64" t="n">
        <f aca="false">IF($A4714="",0,IFERROR(MATCH($A4714,Classes!$A$6:$A$420,0),0))</f>
        <v>0</v>
      </c>
      <c r="N4714" s="64" t="n">
        <f aca="false">IF($H4714="",0,IFERROR(MATCH($H4714,GradeList,0),0))</f>
        <v>0</v>
      </c>
      <c r="O4714" s="64" t="n">
        <f aca="false">IF(OR($I4714="",$I4714="NR"),0,IFERROR(MATCH($I4714,GradeList,0),0))</f>
        <v>0</v>
      </c>
      <c r="P4714" s="64" t="n">
        <f aca="false">IF(AND($M4714&gt;0,ISNUMBER(MATCH($F4714,Lists!$A$2:$A$5,0)),ISNUMBER(MATCH($G4714,Lists!$B$2:$B$7,0)),OR($H4714="",$N4714&gt;0),OR($I4714="",$I4714="NR",$O4714&gt;0),IF(ISNUMBER($J4714),AND($J4714&gt;=0,$J4714=INT($J4714)),FALSE())),$J4714,0)</f>
        <v>0</v>
      </c>
      <c r="Q4714" s="64" t="n">
        <f aca="false">IF(AND($P4714&gt;0,$O4714&gt;0),$P4714,0)</f>
        <v>0</v>
      </c>
      <c r="R4714" s="64" t="n">
        <f aca="false">IF(AND($Q4714&gt;0,$O4714&gt;=AtRank),$Q4714,0)</f>
        <v>0</v>
      </c>
      <c r="S4714" s="64" t="n">
        <f aca="false">IF(AND($Q4714&gt;0,$O4714&gt;=AboveRank),$Q4714,0)</f>
        <v>0</v>
      </c>
      <c r="T4714" s="64" t="n">
        <f aca="false">IF($K4714="Less",$P4714,0)</f>
        <v>0</v>
      </c>
      <c r="U4714" s="64" t="n">
        <f aca="false">IF($K4714="Expected",$P4714,0)</f>
        <v>0</v>
      </c>
      <c r="V4714" s="64" t="n">
        <f aca="false">IF($K4714="Better",$P4714,0)</f>
        <v>0</v>
      </c>
      <c r="W4714" s="64" t="n">
        <f aca="false">IF($K4714="U – needs rule",$P4714,0)</f>
        <v>0</v>
      </c>
      <c r="X4714" s="64" t="n">
        <f aca="false">IF($K4714="No Start (attainment only)",$P4714,0)</f>
        <v>0</v>
      </c>
    </row>
    <row r="4715" customFormat="false" ht="15" hidden="false" customHeight="false" outlineLevel="0" collapsed="false">
      <c r="A4715" s="60"/>
      <c r="B4715" s="61" t="str">
        <f aca="false">IF($M4715=0,"",INDEX(Classes!$E$6:$E$420,$M4715))</f>
        <v/>
      </c>
      <c r="C4715" s="62" t="str">
        <f aca="false">IF($M4715=0,"",INDEX(Classes!$H$6:$H$420,$M4715))</f>
        <v/>
      </c>
      <c r="D4715" s="61" t="str">
        <f aca="false">IF($M4715=0,"",INDEX(Classes!$B$6:$B$420,$M4715))</f>
        <v/>
      </c>
      <c r="E4715" s="61" t="str">
        <f aca="false">IF($M4715=0,"",INDEX(Classes!$C$6:$C$420,$M4715))</f>
        <v/>
      </c>
      <c r="F4715" s="63"/>
      <c r="G4715" s="63"/>
      <c r="H4715" s="60"/>
      <c r="I4715" s="60"/>
      <c r="J4715" s="63"/>
      <c r="K4715" s="61" t="str">
        <f aca="false">IF($P4715=0,"",IF($F4715="Baseline","— Baseline",IF($O4715=0,"No result",IF($N4715=0,"No Start (attainment only)",IF(OR($N4715=1,$O4715=1),"U – needs rule",INDEX(MxBody,MATCH($I4715,MxCurr,0),MATCH($H4715,MxStart,0)))))))</f>
        <v/>
      </c>
      <c r="L4715" s="62" t="str">
        <f aca="false">IF(COUNTA($A4715,$F4715,$G4715,$H4715,$I4715,$J4715)=0,"",IF($M4715=0,"✖ كود الصف غير موجود",IF(ISNA(MATCH($F4715,Lists!$A$2:$A$5,0)),"✖ الفترة غير صحيحة",IF(ISNA(MATCH($G4715,Lists!$B$2:$B$7,0)),"✖ المجموعة غير صحيحة",IF(NOT(OR($H4715="",$N4715&gt;0)),"✖ Start غير صحيح",IF(NOT(OR($I4715="",$I4715="NR",$O4715&gt;0)),"✖ Current غير صحيح",IF(NOT(IF(ISNUMBER($J4715),AND($J4715&gt;=0,$J4715=INT($J4715)),FALSE())),"✖ العدد يجب أن يكون صحيحًا ≥ 0",IF(AND($F4715="Baseline",$H4715&lt;&gt;""),"⚠ Baseline: Start لا يدخل في التقدم",IF($K4715="No Start (attainment only)","ℹ تحصيل فقط (بدون Start)",IF($K4715="U – needs rule","ℹ حالة U تحتاج قاعدة معتمدة",IF($K4715="No result","ℹ بدون نتيجة (يُستبعد من التحصيل)","OK")))))))))))</f>
        <v/>
      </c>
      <c r="M4715" s="64" t="n">
        <f aca="false">IF($A4715="",0,IFERROR(MATCH($A4715,Classes!$A$6:$A$420,0),0))</f>
        <v>0</v>
      </c>
      <c r="N4715" s="64" t="n">
        <f aca="false">IF($H4715="",0,IFERROR(MATCH($H4715,GradeList,0),0))</f>
        <v>0</v>
      </c>
      <c r="O4715" s="64" t="n">
        <f aca="false">IF(OR($I4715="",$I4715="NR"),0,IFERROR(MATCH($I4715,GradeList,0),0))</f>
        <v>0</v>
      </c>
      <c r="P4715" s="64" t="n">
        <f aca="false">IF(AND($M4715&gt;0,ISNUMBER(MATCH($F4715,Lists!$A$2:$A$5,0)),ISNUMBER(MATCH($G4715,Lists!$B$2:$B$7,0)),OR($H4715="",$N4715&gt;0),OR($I4715="",$I4715="NR",$O4715&gt;0),IF(ISNUMBER($J4715),AND($J4715&gt;=0,$J4715=INT($J4715)),FALSE())),$J4715,0)</f>
        <v>0</v>
      </c>
      <c r="Q4715" s="64" t="n">
        <f aca="false">IF(AND($P4715&gt;0,$O4715&gt;0),$P4715,0)</f>
        <v>0</v>
      </c>
      <c r="R4715" s="64" t="n">
        <f aca="false">IF(AND($Q4715&gt;0,$O4715&gt;=AtRank),$Q4715,0)</f>
        <v>0</v>
      </c>
      <c r="S4715" s="64" t="n">
        <f aca="false">IF(AND($Q4715&gt;0,$O4715&gt;=AboveRank),$Q4715,0)</f>
        <v>0</v>
      </c>
      <c r="T4715" s="64" t="n">
        <f aca="false">IF($K4715="Less",$P4715,0)</f>
        <v>0</v>
      </c>
      <c r="U4715" s="64" t="n">
        <f aca="false">IF($K4715="Expected",$P4715,0)</f>
        <v>0</v>
      </c>
      <c r="V4715" s="64" t="n">
        <f aca="false">IF($K4715="Better",$P4715,0)</f>
        <v>0</v>
      </c>
      <c r="W4715" s="64" t="n">
        <f aca="false">IF($K4715="U – needs rule",$P4715,0)</f>
        <v>0</v>
      </c>
      <c r="X4715" s="64" t="n">
        <f aca="false">IF($K4715="No Start (attainment only)",$P4715,0)</f>
        <v>0</v>
      </c>
    </row>
    <row r="4716" customFormat="false" ht="15" hidden="false" customHeight="false" outlineLevel="0" collapsed="false">
      <c r="A4716" s="60"/>
      <c r="B4716" s="61" t="str">
        <f aca="false">IF($M4716=0,"",INDEX(Classes!$E$6:$E$420,$M4716))</f>
        <v/>
      </c>
      <c r="C4716" s="62" t="str">
        <f aca="false">IF($M4716=0,"",INDEX(Classes!$H$6:$H$420,$M4716))</f>
        <v/>
      </c>
      <c r="D4716" s="61" t="str">
        <f aca="false">IF($M4716=0,"",INDEX(Classes!$B$6:$B$420,$M4716))</f>
        <v/>
      </c>
      <c r="E4716" s="61" t="str">
        <f aca="false">IF($M4716=0,"",INDEX(Classes!$C$6:$C$420,$M4716))</f>
        <v/>
      </c>
      <c r="F4716" s="63"/>
      <c r="G4716" s="63"/>
      <c r="H4716" s="60"/>
      <c r="I4716" s="60"/>
      <c r="J4716" s="63"/>
      <c r="K4716" s="61" t="str">
        <f aca="false">IF($P4716=0,"",IF($F4716="Baseline","— Baseline",IF($O4716=0,"No result",IF($N4716=0,"No Start (attainment only)",IF(OR($N4716=1,$O4716=1),"U – needs rule",INDEX(MxBody,MATCH($I4716,MxCurr,0),MATCH($H4716,MxStart,0)))))))</f>
        <v/>
      </c>
      <c r="L4716" s="62" t="str">
        <f aca="false">IF(COUNTA($A4716,$F4716,$G4716,$H4716,$I4716,$J4716)=0,"",IF($M4716=0,"✖ كود الصف غير موجود",IF(ISNA(MATCH($F4716,Lists!$A$2:$A$5,0)),"✖ الفترة غير صحيحة",IF(ISNA(MATCH($G4716,Lists!$B$2:$B$7,0)),"✖ المجموعة غير صحيحة",IF(NOT(OR($H4716="",$N4716&gt;0)),"✖ Start غير صحيح",IF(NOT(OR($I4716="",$I4716="NR",$O4716&gt;0)),"✖ Current غير صحيح",IF(NOT(IF(ISNUMBER($J4716),AND($J4716&gt;=0,$J4716=INT($J4716)),FALSE())),"✖ العدد يجب أن يكون صحيحًا ≥ 0",IF(AND($F4716="Baseline",$H4716&lt;&gt;""),"⚠ Baseline: Start لا يدخل في التقدم",IF($K4716="No Start (attainment only)","ℹ تحصيل فقط (بدون Start)",IF($K4716="U – needs rule","ℹ حالة U تحتاج قاعدة معتمدة",IF($K4716="No result","ℹ بدون نتيجة (يُستبعد من التحصيل)","OK")))))))))))</f>
        <v/>
      </c>
      <c r="M4716" s="64" t="n">
        <f aca="false">IF($A4716="",0,IFERROR(MATCH($A4716,Classes!$A$6:$A$420,0),0))</f>
        <v>0</v>
      </c>
      <c r="N4716" s="64" t="n">
        <f aca="false">IF($H4716="",0,IFERROR(MATCH($H4716,GradeList,0),0))</f>
        <v>0</v>
      </c>
      <c r="O4716" s="64" t="n">
        <f aca="false">IF(OR($I4716="",$I4716="NR"),0,IFERROR(MATCH($I4716,GradeList,0),0))</f>
        <v>0</v>
      </c>
      <c r="P4716" s="64" t="n">
        <f aca="false">IF(AND($M4716&gt;0,ISNUMBER(MATCH($F4716,Lists!$A$2:$A$5,0)),ISNUMBER(MATCH($G4716,Lists!$B$2:$B$7,0)),OR($H4716="",$N4716&gt;0),OR($I4716="",$I4716="NR",$O4716&gt;0),IF(ISNUMBER($J4716),AND($J4716&gt;=0,$J4716=INT($J4716)),FALSE())),$J4716,0)</f>
        <v>0</v>
      </c>
      <c r="Q4716" s="64" t="n">
        <f aca="false">IF(AND($P4716&gt;0,$O4716&gt;0),$P4716,0)</f>
        <v>0</v>
      </c>
      <c r="R4716" s="64" t="n">
        <f aca="false">IF(AND($Q4716&gt;0,$O4716&gt;=AtRank),$Q4716,0)</f>
        <v>0</v>
      </c>
      <c r="S4716" s="64" t="n">
        <f aca="false">IF(AND($Q4716&gt;0,$O4716&gt;=AboveRank),$Q4716,0)</f>
        <v>0</v>
      </c>
      <c r="T4716" s="64" t="n">
        <f aca="false">IF($K4716="Less",$P4716,0)</f>
        <v>0</v>
      </c>
      <c r="U4716" s="64" t="n">
        <f aca="false">IF($K4716="Expected",$P4716,0)</f>
        <v>0</v>
      </c>
      <c r="V4716" s="64" t="n">
        <f aca="false">IF($K4716="Better",$P4716,0)</f>
        <v>0</v>
      </c>
      <c r="W4716" s="64" t="n">
        <f aca="false">IF($K4716="U – needs rule",$P4716,0)</f>
        <v>0</v>
      </c>
      <c r="X4716" s="64" t="n">
        <f aca="false">IF($K4716="No Start (attainment only)",$P4716,0)</f>
        <v>0</v>
      </c>
    </row>
    <row r="4717" customFormat="false" ht="15" hidden="false" customHeight="false" outlineLevel="0" collapsed="false">
      <c r="A4717" s="60"/>
      <c r="B4717" s="61" t="str">
        <f aca="false">IF($M4717=0,"",INDEX(Classes!$E$6:$E$420,$M4717))</f>
        <v/>
      </c>
      <c r="C4717" s="62" t="str">
        <f aca="false">IF($M4717=0,"",INDEX(Classes!$H$6:$H$420,$M4717))</f>
        <v/>
      </c>
      <c r="D4717" s="61" t="str">
        <f aca="false">IF($M4717=0,"",INDEX(Classes!$B$6:$B$420,$M4717))</f>
        <v/>
      </c>
      <c r="E4717" s="61" t="str">
        <f aca="false">IF($M4717=0,"",INDEX(Classes!$C$6:$C$420,$M4717))</f>
        <v/>
      </c>
      <c r="F4717" s="63"/>
      <c r="G4717" s="63"/>
      <c r="H4717" s="60"/>
      <c r="I4717" s="60"/>
      <c r="J4717" s="63"/>
      <c r="K4717" s="61" t="str">
        <f aca="false">IF($P4717=0,"",IF($F4717="Baseline","— Baseline",IF($O4717=0,"No result",IF($N4717=0,"No Start (attainment only)",IF(OR($N4717=1,$O4717=1),"U – needs rule",INDEX(MxBody,MATCH($I4717,MxCurr,0),MATCH($H4717,MxStart,0)))))))</f>
        <v/>
      </c>
      <c r="L4717" s="62" t="str">
        <f aca="false">IF(COUNTA($A4717,$F4717,$G4717,$H4717,$I4717,$J4717)=0,"",IF($M4717=0,"✖ كود الصف غير موجود",IF(ISNA(MATCH($F4717,Lists!$A$2:$A$5,0)),"✖ الفترة غير صحيحة",IF(ISNA(MATCH($G4717,Lists!$B$2:$B$7,0)),"✖ المجموعة غير صحيحة",IF(NOT(OR($H4717="",$N4717&gt;0)),"✖ Start غير صحيح",IF(NOT(OR($I4717="",$I4717="NR",$O4717&gt;0)),"✖ Current غير صحيح",IF(NOT(IF(ISNUMBER($J4717),AND($J4717&gt;=0,$J4717=INT($J4717)),FALSE())),"✖ العدد يجب أن يكون صحيحًا ≥ 0",IF(AND($F4717="Baseline",$H4717&lt;&gt;""),"⚠ Baseline: Start لا يدخل في التقدم",IF($K4717="No Start (attainment only)","ℹ تحصيل فقط (بدون Start)",IF($K4717="U – needs rule","ℹ حالة U تحتاج قاعدة معتمدة",IF($K4717="No result","ℹ بدون نتيجة (يُستبعد من التحصيل)","OK")))))))))))</f>
        <v/>
      </c>
      <c r="M4717" s="64" t="n">
        <f aca="false">IF($A4717="",0,IFERROR(MATCH($A4717,Classes!$A$6:$A$420,0),0))</f>
        <v>0</v>
      </c>
      <c r="N4717" s="64" t="n">
        <f aca="false">IF($H4717="",0,IFERROR(MATCH($H4717,GradeList,0),0))</f>
        <v>0</v>
      </c>
      <c r="O4717" s="64" t="n">
        <f aca="false">IF(OR($I4717="",$I4717="NR"),0,IFERROR(MATCH($I4717,GradeList,0),0))</f>
        <v>0</v>
      </c>
      <c r="P4717" s="64" t="n">
        <f aca="false">IF(AND($M4717&gt;0,ISNUMBER(MATCH($F4717,Lists!$A$2:$A$5,0)),ISNUMBER(MATCH($G4717,Lists!$B$2:$B$7,0)),OR($H4717="",$N4717&gt;0),OR($I4717="",$I4717="NR",$O4717&gt;0),IF(ISNUMBER($J4717),AND($J4717&gt;=0,$J4717=INT($J4717)),FALSE())),$J4717,0)</f>
        <v>0</v>
      </c>
      <c r="Q4717" s="64" t="n">
        <f aca="false">IF(AND($P4717&gt;0,$O4717&gt;0),$P4717,0)</f>
        <v>0</v>
      </c>
      <c r="R4717" s="64" t="n">
        <f aca="false">IF(AND($Q4717&gt;0,$O4717&gt;=AtRank),$Q4717,0)</f>
        <v>0</v>
      </c>
      <c r="S4717" s="64" t="n">
        <f aca="false">IF(AND($Q4717&gt;0,$O4717&gt;=AboveRank),$Q4717,0)</f>
        <v>0</v>
      </c>
      <c r="T4717" s="64" t="n">
        <f aca="false">IF($K4717="Less",$P4717,0)</f>
        <v>0</v>
      </c>
      <c r="U4717" s="64" t="n">
        <f aca="false">IF($K4717="Expected",$P4717,0)</f>
        <v>0</v>
      </c>
      <c r="V4717" s="64" t="n">
        <f aca="false">IF($K4717="Better",$P4717,0)</f>
        <v>0</v>
      </c>
      <c r="W4717" s="64" t="n">
        <f aca="false">IF($K4717="U – needs rule",$P4717,0)</f>
        <v>0</v>
      </c>
      <c r="X4717" s="64" t="n">
        <f aca="false">IF($K4717="No Start (attainment only)",$P4717,0)</f>
        <v>0</v>
      </c>
    </row>
    <row r="4718" customFormat="false" ht="15" hidden="false" customHeight="false" outlineLevel="0" collapsed="false">
      <c r="A4718" s="60"/>
      <c r="B4718" s="61" t="str">
        <f aca="false">IF($M4718=0,"",INDEX(Classes!$E$6:$E$420,$M4718))</f>
        <v/>
      </c>
      <c r="C4718" s="62" t="str">
        <f aca="false">IF($M4718=0,"",INDEX(Classes!$H$6:$H$420,$M4718))</f>
        <v/>
      </c>
      <c r="D4718" s="61" t="str">
        <f aca="false">IF($M4718=0,"",INDEX(Classes!$B$6:$B$420,$M4718))</f>
        <v/>
      </c>
      <c r="E4718" s="61" t="str">
        <f aca="false">IF($M4718=0,"",INDEX(Classes!$C$6:$C$420,$M4718))</f>
        <v/>
      </c>
      <c r="F4718" s="63"/>
      <c r="G4718" s="63"/>
      <c r="H4718" s="60"/>
      <c r="I4718" s="60"/>
      <c r="J4718" s="63"/>
      <c r="K4718" s="61" t="str">
        <f aca="false">IF($P4718=0,"",IF($F4718="Baseline","— Baseline",IF($O4718=0,"No result",IF($N4718=0,"No Start (attainment only)",IF(OR($N4718=1,$O4718=1),"U – needs rule",INDEX(MxBody,MATCH($I4718,MxCurr,0),MATCH($H4718,MxStart,0)))))))</f>
        <v/>
      </c>
      <c r="L4718" s="62" t="str">
        <f aca="false">IF(COUNTA($A4718,$F4718,$G4718,$H4718,$I4718,$J4718)=0,"",IF($M4718=0,"✖ كود الصف غير موجود",IF(ISNA(MATCH($F4718,Lists!$A$2:$A$5,0)),"✖ الفترة غير صحيحة",IF(ISNA(MATCH($G4718,Lists!$B$2:$B$7,0)),"✖ المجموعة غير صحيحة",IF(NOT(OR($H4718="",$N4718&gt;0)),"✖ Start غير صحيح",IF(NOT(OR($I4718="",$I4718="NR",$O4718&gt;0)),"✖ Current غير صحيح",IF(NOT(IF(ISNUMBER($J4718),AND($J4718&gt;=0,$J4718=INT($J4718)),FALSE())),"✖ العدد يجب أن يكون صحيحًا ≥ 0",IF(AND($F4718="Baseline",$H4718&lt;&gt;""),"⚠ Baseline: Start لا يدخل في التقدم",IF($K4718="No Start (attainment only)","ℹ تحصيل فقط (بدون Start)",IF($K4718="U – needs rule","ℹ حالة U تحتاج قاعدة معتمدة",IF($K4718="No result","ℹ بدون نتيجة (يُستبعد من التحصيل)","OK")))))))))))</f>
        <v/>
      </c>
      <c r="M4718" s="64" t="n">
        <f aca="false">IF($A4718="",0,IFERROR(MATCH($A4718,Classes!$A$6:$A$420,0),0))</f>
        <v>0</v>
      </c>
      <c r="N4718" s="64" t="n">
        <f aca="false">IF($H4718="",0,IFERROR(MATCH($H4718,GradeList,0),0))</f>
        <v>0</v>
      </c>
      <c r="O4718" s="64" t="n">
        <f aca="false">IF(OR($I4718="",$I4718="NR"),0,IFERROR(MATCH($I4718,GradeList,0),0))</f>
        <v>0</v>
      </c>
      <c r="P4718" s="64" t="n">
        <f aca="false">IF(AND($M4718&gt;0,ISNUMBER(MATCH($F4718,Lists!$A$2:$A$5,0)),ISNUMBER(MATCH($G4718,Lists!$B$2:$B$7,0)),OR($H4718="",$N4718&gt;0),OR($I4718="",$I4718="NR",$O4718&gt;0),IF(ISNUMBER($J4718),AND($J4718&gt;=0,$J4718=INT($J4718)),FALSE())),$J4718,0)</f>
        <v>0</v>
      </c>
      <c r="Q4718" s="64" t="n">
        <f aca="false">IF(AND($P4718&gt;0,$O4718&gt;0),$P4718,0)</f>
        <v>0</v>
      </c>
      <c r="R4718" s="64" t="n">
        <f aca="false">IF(AND($Q4718&gt;0,$O4718&gt;=AtRank),$Q4718,0)</f>
        <v>0</v>
      </c>
      <c r="S4718" s="64" t="n">
        <f aca="false">IF(AND($Q4718&gt;0,$O4718&gt;=AboveRank),$Q4718,0)</f>
        <v>0</v>
      </c>
      <c r="T4718" s="64" t="n">
        <f aca="false">IF($K4718="Less",$P4718,0)</f>
        <v>0</v>
      </c>
      <c r="U4718" s="64" t="n">
        <f aca="false">IF($K4718="Expected",$P4718,0)</f>
        <v>0</v>
      </c>
      <c r="V4718" s="64" t="n">
        <f aca="false">IF($K4718="Better",$P4718,0)</f>
        <v>0</v>
      </c>
      <c r="W4718" s="64" t="n">
        <f aca="false">IF($K4718="U – needs rule",$P4718,0)</f>
        <v>0</v>
      </c>
      <c r="X4718" s="64" t="n">
        <f aca="false">IF($K4718="No Start (attainment only)",$P4718,0)</f>
        <v>0</v>
      </c>
    </row>
    <row r="4719" customFormat="false" ht="15" hidden="false" customHeight="false" outlineLevel="0" collapsed="false">
      <c r="A4719" s="60"/>
      <c r="B4719" s="61" t="str">
        <f aca="false">IF($M4719=0,"",INDEX(Classes!$E$6:$E$420,$M4719))</f>
        <v/>
      </c>
      <c r="C4719" s="62" t="str">
        <f aca="false">IF($M4719=0,"",INDEX(Classes!$H$6:$H$420,$M4719))</f>
        <v/>
      </c>
      <c r="D4719" s="61" t="str">
        <f aca="false">IF($M4719=0,"",INDEX(Classes!$B$6:$B$420,$M4719))</f>
        <v/>
      </c>
      <c r="E4719" s="61" t="str">
        <f aca="false">IF($M4719=0,"",INDEX(Classes!$C$6:$C$420,$M4719))</f>
        <v/>
      </c>
      <c r="F4719" s="63"/>
      <c r="G4719" s="63"/>
      <c r="H4719" s="60"/>
      <c r="I4719" s="60"/>
      <c r="J4719" s="63"/>
      <c r="K4719" s="61" t="str">
        <f aca="false">IF($P4719=0,"",IF($F4719="Baseline","— Baseline",IF($O4719=0,"No result",IF($N4719=0,"No Start (attainment only)",IF(OR($N4719=1,$O4719=1),"U – needs rule",INDEX(MxBody,MATCH($I4719,MxCurr,0),MATCH($H4719,MxStart,0)))))))</f>
        <v/>
      </c>
      <c r="L4719" s="62" t="str">
        <f aca="false">IF(COUNTA($A4719,$F4719,$G4719,$H4719,$I4719,$J4719)=0,"",IF($M4719=0,"✖ كود الصف غير موجود",IF(ISNA(MATCH($F4719,Lists!$A$2:$A$5,0)),"✖ الفترة غير صحيحة",IF(ISNA(MATCH($G4719,Lists!$B$2:$B$7,0)),"✖ المجموعة غير صحيحة",IF(NOT(OR($H4719="",$N4719&gt;0)),"✖ Start غير صحيح",IF(NOT(OR($I4719="",$I4719="NR",$O4719&gt;0)),"✖ Current غير صحيح",IF(NOT(IF(ISNUMBER($J4719),AND($J4719&gt;=0,$J4719=INT($J4719)),FALSE())),"✖ العدد يجب أن يكون صحيحًا ≥ 0",IF(AND($F4719="Baseline",$H4719&lt;&gt;""),"⚠ Baseline: Start لا يدخل في التقدم",IF($K4719="No Start (attainment only)","ℹ تحصيل فقط (بدون Start)",IF($K4719="U – needs rule","ℹ حالة U تحتاج قاعدة معتمدة",IF($K4719="No result","ℹ بدون نتيجة (يُستبعد من التحصيل)","OK")))))))))))</f>
        <v/>
      </c>
      <c r="M4719" s="64" t="n">
        <f aca="false">IF($A4719="",0,IFERROR(MATCH($A4719,Classes!$A$6:$A$420,0),0))</f>
        <v>0</v>
      </c>
      <c r="N4719" s="64" t="n">
        <f aca="false">IF($H4719="",0,IFERROR(MATCH($H4719,GradeList,0),0))</f>
        <v>0</v>
      </c>
      <c r="O4719" s="64" t="n">
        <f aca="false">IF(OR($I4719="",$I4719="NR"),0,IFERROR(MATCH($I4719,GradeList,0),0))</f>
        <v>0</v>
      </c>
      <c r="P4719" s="64" t="n">
        <f aca="false">IF(AND($M4719&gt;0,ISNUMBER(MATCH($F4719,Lists!$A$2:$A$5,0)),ISNUMBER(MATCH($G4719,Lists!$B$2:$B$7,0)),OR($H4719="",$N4719&gt;0),OR($I4719="",$I4719="NR",$O4719&gt;0),IF(ISNUMBER($J4719),AND($J4719&gt;=0,$J4719=INT($J4719)),FALSE())),$J4719,0)</f>
        <v>0</v>
      </c>
      <c r="Q4719" s="64" t="n">
        <f aca="false">IF(AND($P4719&gt;0,$O4719&gt;0),$P4719,0)</f>
        <v>0</v>
      </c>
      <c r="R4719" s="64" t="n">
        <f aca="false">IF(AND($Q4719&gt;0,$O4719&gt;=AtRank),$Q4719,0)</f>
        <v>0</v>
      </c>
      <c r="S4719" s="64" t="n">
        <f aca="false">IF(AND($Q4719&gt;0,$O4719&gt;=AboveRank),$Q4719,0)</f>
        <v>0</v>
      </c>
      <c r="T4719" s="64" t="n">
        <f aca="false">IF($K4719="Less",$P4719,0)</f>
        <v>0</v>
      </c>
      <c r="U4719" s="64" t="n">
        <f aca="false">IF($K4719="Expected",$P4719,0)</f>
        <v>0</v>
      </c>
      <c r="V4719" s="64" t="n">
        <f aca="false">IF($K4719="Better",$P4719,0)</f>
        <v>0</v>
      </c>
      <c r="W4719" s="64" t="n">
        <f aca="false">IF($K4719="U – needs rule",$P4719,0)</f>
        <v>0</v>
      </c>
      <c r="X4719" s="64" t="n">
        <f aca="false">IF($K4719="No Start (attainment only)",$P4719,0)</f>
        <v>0</v>
      </c>
    </row>
    <row r="4720" customFormat="false" ht="15" hidden="false" customHeight="false" outlineLevel="0" collapsed="false">
      <c r="A4720" s="60"/>
      <c r="B4720" s="61" t="str">
        <f aca="false">IF($M4720=0,"",INDEX(Classes!$E$6:$E$420,$M4720))</f>
        <v/>
      </c>
      <c r="C4720" s="62" t="str">
        <f aca="false">IF($M4720=0,"",INDEX(Classes!$H$6:$H$420,$M4720))</f>
        <v/>
      </c>
      <c r="D4720" s="61" t="str">
        <f aca="false">IF($M4720=0,"",INDEX(Classes!$B$6:$B$420,$M4720))</f>
        <v/>
      </c>
      <c r="E4720" s="61" t="str">
        <f aca="false">IF($M4720=0,"",INDEX(Classes!$C$6:$C$420,$M4720))</f>
        <v/>
      </c>
      <c r="F4720" s="63"/>
      <c r="G4720" s="63"/>
      <c r="H4720" s="60"/>
      <c r="I4720" s="60"/>
      <c r="J4720" s="63"/>
      <c r="K4720" s="61" t="str">
        <f aca="false">IF($P4720=0,"",IF($F4720="Baseline","— Baseline",IF($O4720=0,"No result",IF($N4720=0,"No Start (attainment only)",IF(OR($N4720=1,$O4720=1),"U – needs rule",INDEX(MxBody,MATCH($I4720,MxCurr,0),MATCH($H4720,MxStart,0)))))))</f>
        <v/>
      </c>
      <c r="L4720" s="62" t="str">
        <f aca="false">IF(COUNTA($A4720,$F4720,$G4720,$H4720,$I4720,$J4720)=0,"",IF($M4720=0,"✖ كود الصف غير موجود",IF(ISNA(MATCH($F4720,Lists!$A$2:$A$5,0)),"✖ الفترة غير صحيحة",IF(ISNA(MATCH($G4720,Lists!$B$2:$B$7,0)),"✖ المجموعة غير صحيحة",IF(NOT(OR($H4720="",$N4720&gt;0)),"✖ Start غير صحيح",IF(NOT(OR($I4720="",$I4720="NR",$O4720&gt;0)),"✖ Current غير صحيح",IF(NOT(IF(ISNUMBER($J4720),AND($J4720&gt;=0,$J4720=INT($J4720)),FALSE())),"✖ العدد يجب أن يكون صحيحًا ≥ 0",IF(AND($F4720="Baseline",$H4720&lt;&gt;""),"⚠ Baseline: Start لا يدخل في التقدم",IF($K4720="No Start (attainment only)","ℹ تحصيل فقط (بدون Start)",IF($K4720="U – needs rule","ℹ حالة U تحتاج قاعدة معتمدة",IF($K4720="No result","ℹ بدون نتيجة (يُستبعد من التحصيل)","OK")))))))))))</f>
        <v/>
      </c>
      <c r="M4720" s="64" t="n">
        <f aca="false">IF($A4720="",0,IFERROR(MATCH($A4720,Classes!$A$6:$A$420,0),0))</f>
        <v>0</v>
      </c>
      <c r="N4720" s="64" t="n">
        <f aca="false">IF($H4720="",0,IFERROR(MATCH($H4720,GradeList,0),0))</f>
        <v>0</v>
      </c>
      <c r="O4720" s="64" t="n">
        <f aca="false">IF(OR($I4720="",$I4720="NR"),0,IFERROR(MATCH($I4720,GradeList,0),0))</f>
        <v>0</v>
      </c>
      <c r="P4720" s="64" t="n">
        <f aca="false">IF(AND($M4720&gt;0,ISNUMBER(MATCH($F4720,Lists!$A$2:$A$5,0)),ISNUMBER(MATCH($G4720,Lists!$B$2:$B$7,0)),OR($H4720="",$N4720&gt;0),OR($I4720="",$I4720="NR",$O4720&gt;0),IF(ISNUMBER($J4720),AND($J4720&gt;=0,$J4720=INT($J4720)),FALSE())),$J4720,0)</f>
        <v>0</v>
      </c>
      <c r="Q4720" s="64" t="n">
        <f aca="false">IF(AND($P4720&gt;0,$O4720&gt;0),$P4720,0)</f>
        <v>0</v>
      </c>
      <c r="R4720" s="64" t="n">
        <f aca="false">IF(AND($Q4720&gt;0,$O4720&gt;=AtRank),$Q4720,0)</f>
        <v>0</v>
      </c>
      <c r="S4720" s="64" t="n">
        <f aca="false">IF(AND($Q4720&gt;0,$O4720&gt;=AboveRank),$Q4720,0)</f>
        <v>0</v>
      </c>
      <c r="T4720" s="64" t="n">
        <f aca="false">IF($K4720="Less",$P4720,0)</f>
        <v>0</v>
      </c>
      <c r="U4720" s="64" t="n">
        <f aca="false">IF($K4720="Expected",$P4720,0)</f>
        <v>0</v>
      </c>
      <c r="V4720" s="64" t="n">
        <f aca="false">IF($K4720="Better",$P4720,0)</f>
        <v>0</v>
      </c>
      <c r="W4720" s="64" t="n">
        <f aca="false">IF($K4720="U – needs rule",$P4720,0)</f>
        <v>0</v>
      </c>
      <c r="X4720" s="64" t="n">
        <f aca="false">IF($K4720="No Start (attainment only)",$P4720,0)</f>
        <v>0</v>
      </c>
    </row>
    <row r="4721" customFormat="false" ht="15" hidden="false" customHeight="false" outlineLevel="0" collapsed="false">
      <c r="A4721" s="60"/>
      <c r="B4721" s="61" t="str">
        <f aca="false">IF($M4721=0,"",INDEX(Classes!$E$6:$E$420,$M4721))</f>
        <v/>
      </c>
      <c r="C4721" s="62" t="str">
        <f aca="false">IF($M4721=0,"",INDEX(Classes!$H$6:$H$420,$M4721))</f>
        <v/>
      </c>
      <c r="D4721" s="61" t="str">
        <f aca="false">IF($M4721=0,"",INDEX(Classes!$B$6:$B$420,$M4721))</f>
        <v/>
      </c>
      <c r="E4721" s="61" t="str">
        <f aca="false">IF($M4721=0,"",INDEX(Classes!$C$6:$C$420,$M4721))</f>
        <v/>
      </c>
      <c r="F4721" s="63"/>
      <c r="G4721" s="63"/>
      <c r="H4721" s="60"/>
      <c r="I4721" s="60"/>
      <c r="J4721" s="63"/>
      <c r="K4721" s="61" t="str">
        <f aca="false">IF($P4721=0,"",IF($F4721="Baseline","— Baseline",IF($O4721=0,"No result",IF($N4721=0,"No Start (attainment only)",IF(OR($N4721=1,$O4721=1),"U – needs rule",INDEX(MxBody,MATCH($I4721,MxCurr,0),MATCH($H4721,MxStart,0)))))))</f>
        <v/>
      </c>
      <c r="L4721" s="62" t="str">
        <f aca="false">IF(COUNTA($A4721,$F4721,$G4721,$H4721,$I4721,$J4721)=0,"",IF($M4721=0,"✖ كود الصف غير موجود",IF(ISNA(MATCH($F4721,Lists!$A$2:$A$5,0)),"✖ الفترة غير صحيحة",IF(ISNA(MATCH($G4721,Lists!$B$2:$B$7,0)),"✖ المجموعة غير صحيحة",IF(NOT(OR($H4721="",$N4721&gt;0)),"✖ Start غير صحيح",IF(NOT(OR($I4721="",$I4721="NR",$O4721&gt;0)),"✖ Current غير صحيح",IF(NOT(IF(ISNUMBER($J4721),AND($J4721&gt;=0,$J4721=INT($J4721)),FALSE())),"✖ العدد يجب أن يكون صحيحًا ≥ 0",IF(AND($F4721="Baseline",$H4721&lt;&gt;""),"⚠ Baseline: Start لا يدخل في التقدم",IF($K4721="No Start (attainment only)","ℹ تحصيل فقط (بدون Start)",IF($K4721="U – needs rule","ℹ حالة U تحتاج قاعدة معتمدة",IF($K4721="No result","ℹ بدون نتيجة (يُستبعد من التحصيل)","OK")))))))))))</f>
        <v/>
      </c>
      <c r="M4721" s="64" t="n">
        <f aca="false">IF($A4721="",0,IFERROR(MATCH($A4721,Classes!$A$6:$A$420,0),0))</f>
        <v>0</v>
      </c>
      <c r="N4721" s="64" t="n">
        <f aca="false">IF($H4721="",0,IFERROR(MATCH($H4721,GradeList,0),0))</f>
        <v>0</v>
      </c>
      <c r="O4721" s="64" t="n">
        <f aca="false">IF(OR($I4721="",$I4721="NR"),0,IFERROR(MATCH($I4721,GradeList,0),0))</f>
        <v>0</v>
      </c>
      <c r="P4721" s="64" t="n">
        <f aca="false">IF(AND($M4721&gt;0,ISNUMBER(MATCH($F4721,Lists!$A$2:$A$5,0)),ISNUMBER(MATCH($G4721,Lists!$B$2:$B$7,0)),OR($H4721="",$N4721&gt;0),OR($I4721="",$I4721="NR",$O4721&gt;0),IF(ISNUMBER($J4721),AND($J4721&gt;=0,$J4721=INT($J4721)),FALSE())),$J4721,0)</f>
        <v>0</v>
      </c>
      <c r="Q4721" s="64" t="n">
        <f aca="false">IF(AND($P4721&gt;0,$O4721&gt;0),$P4721,0)</f>
        <v>0</v>
      </c>
      <c r="R4721" s="64" t="n">
        <f aca="false">IF(AND($Q4721&gt;0,$O4721&gt;=AtRank),$Q4721,0)</f>
        <v>0</v>
      </c>
      <c r="S4721" s="64" t="n">
        <f aca="false">IF(AND($Q4721&gt;0,$O4721&gt;=AboveRank),$Q4721,0)</f>
        <v>0</v>
      </c>
      <c r="T4721" s="64" t="n">
        <f aca="false">IF($K4721="Less",$P4721,0)</f>
        <v>0</v>
      </c>
      <c r="U4721" s="64" t="n">
        <f aca="false">IF($K4721="Expected",$P4721,0)</f>
        <v>0</v>
      </c>
      <c r="V4721" s="64" t="n">
        <f aca="false">IF($K4721="Better",$P4721,0)</f>
        <v>0</v>
      </c>
      <c r="W4721" s="64" t="n">
        <f aca="false">IF($K4721="U – needs rule",$P4721,0)</f>
        <v>0</v>
      </c>
      <c r="X4721" s="64" t="n">
        <f aca="false">IF($K4721="No Start (attainment only)",$P4721,0)</f>
        <v>0</v>
      </c>
    </row>
    <row r="4722" customFormat="false" ht="15" hidden="false" customHeight="false" outlineLevel="0" collapsed="false">
      <c r="A4722" s="60"/>
      <c r="B4722" s="61" t="str">
        <f aca="false">IF($M4722=0,"",INDEX(Classes!$E$6:$E$420,$M4722))</f>
        <v/>
      </c>
      <c r="C4722" s="62" t="str">
        <f aca="false">IF($M4722=0,"",INDEX(Classes!$H$6:$H$420,$M4722))</f>
        <v/>
      </c>
      <c r="D4722" s="61" t="str">
        <f aca="false">IF($M4722=0,"",INDEX(Classes!$B$6:$B$420,$M4722))</f>
        <v/>
      </c>
      <c r="E4722" s="61" t="str">
        <f aca="false">IF($M4722=0,"",INDEX(Classes!$C$6:$C$420,$M4722))</f>
        <v/>
      </c>
      <c r="F4722" s="63"/>
      <c r="G4722" s="63"/>
      <c r="H4722" s="60"/>
      <c r="I4722" s="60"/>
      <c r="J4722" s="63"/>
      <c r="K4722" s="61" t="str">
        <f aca="false">IF($P4722=0,"",IF($F4722="Baseline","— Baseline",IF($O4722=0,"No result",IF($N4722=0,"No Start (attainment only)",IF(OR($N4722=1,$O4722=1),"U – needs rule",INDEX(MxBody,MATCH($I4722,MxCurr,0),MATCH($H4722,MxStart,0)))))))</f>
        <v/>
      </c>
      <c r="L4722" s="62" t="str">
        <f aca="false">IF(COUNTA($A4722,$F4722,$G4722,$H4722,$I4722,$J4722)=0,"",IF($M4722=0,"✖ كود الصف غير موجود",IF(ISNA(MATCH($F4722,Lists!$A$2:$A$5,0)),"✖ الفترة غير صحيحة",IF(ISNA(MATCH($G4722,Lists!$B$2:$B$7,0)),"✖ المجموعة غير صحيحة",IF(NOT(OR($H4722="",$N4722&gt;0)),"✖ Start غير صحيح",IF(NOT(OR($I4722="",$I4722="NR",$O4722&gt;0)),"✖ Current غير صحيح",IF(NOT(IF(ISNUMBER($J4722),AND($J4722&gt;=0,$J4722=INT($J4722)),FALSE())),"✖ العدد يجب أن يكون صحيحًا ≥ 0",IF(AND($F4722="Baseline",$H4722&lt;&gt;""),"⚠ Baseline: Start لا يدخل في التقدم",IF($K4722="No Start (attainment only)","ℹ تحصيل فقط (بدون Start)",IF($K4722="U – needs rule","ℹ حالة U تحتاج قاعدة معتمدة",IF($K4722="No result","ℹ بدون نتيجة (يُستبعد من التحصيل)","OK")))))))))))</f>
        <v/>
      </c>
      <c r="M4722" s="64" t="n">
        <f aca="false">IF($A4722="",0,IFERROR(MATCH($A4722,Classes!$A$6:$A$420,0),0))</f>
        <v>0</v>
      </c>
      <c r="N4722" s="64" t="n">
        <f aca="false">IF($H4722="",0,IFERROR(MATCH($H4722,GradeList,0),0))</f>
        <v>0</v>
      </c>
      <c r="O4722" s="64" t="n">
        <f aca="false">IF(OR($I4722="",$I4722="NR"),0,IFERROR(MATCH($I4722,GradeList,0),0))</f>
        <v>0</v>
      </c>
      <c r="P4722" s="64" t="n">
        <f aca="false">IF(AND($M4722&gt;0,ISNUMBER(MATCH($F4722,Lists!$A$2:$A$5,0)),ISNUMBER(MATCH($G4722,Lists!$B$2:$B$7,0)),OR($H4722="",$N4722&gt;0),OR($I4722="",$I4722="NR",$O4722&gt;0),IF(ISNUMBER($J4722),AND($J4722&gt;=0,$J4722=INT($J4722)),FALSE())),$J4722,0)</f>
        <v>0</v>
      </c>
      <c r="Q4722" s="64" t="n">
        <f aca="false">IF(AND($P4722&gt;0,$O4722&gt;0),$P4722,0)</f>
        <v>0</v>
      </c>
      <c r="R4722" s="64" t="n">
        <f aca="false">IF(AND($Q4722&gt;0,$O4722&gt;=AtRank),$Q4722,0)</f>
        <v>0</v>
      </c>
      <c r="S4722" s="64" t="n">
        <f aca="false">IF(AND($Q4722&gt;0,$O4722&gt;=AboveRank),$Q4722,0)</f>
        <v>0</v>
      </c>
      <c r="T4722" s="64" t="n">
        <f aca="false">IF($K4722="Less",$P4722,0)</f>
        <v>0</v>
      </c>
      <c r="U4722" s="64" t="n">
        <f aca="false">IF($K4722="Expected",$P4722,0)</f>
        <v>0</v>
      </c>
      <c r="V4722" s="64" t="n">
        <f aca="false">IF($K4722="Better",$P4722,0)</f>
        <v>0</v>
      </c>
      <c r="W4722" s="64" t="n">
        <f aca="false">IF($K4722="U – needs rule",$P4722,0)</f>
        <v>0</v>
      </c>
      <c r="X4722" s="64" t="n">
        <f aca="false">IF($K4722="No Start (attainment only)",$P4722,0)</f>
        <v>0</v>
      </c>
    </row>
    <row r="4723" customFormat="false" ht="15" hidden="false" customHeight="false" outlineLevel="0" collapsed="false">
      <c r="A4723" s="60"/>
      <c r="B4723" s="61" t="str">
        <f aca="false">IF($M4723=0,"",INDEX(Classes!$E$6:$E$420,$M4723))</f>
        <v/>
      </c>
      <c r="C4723" s="62" t="str">
        <f aca="false">IF($M4723=0,"",INDEX(Classes!$H$6:$H$420,$M4723))</f>
        <v/>
      </c>
      <c r="D4723" s="61" t="str">
        <f aca="false">IF($M4723=0,"",INDEX(Classes!$B$6:$B$420,$M4723))</f>
        <v/>
      </c>
      <c r="E4723" s="61" t="str">
        <f aca="false">IF($M4723=0,"",INDEX(Classes!$C$6:$C$420,$M4723))</f>
        <v/>
      </c>
      <c r="F4723" s="63"/>
      <c r="G4723" s="63"/>
      <c r="H4723" s="60"/>
      <c r="I4723" s="60"/>
      <c r="J4723" s="63"/>
      <c r="K4723" s="61" t="str">
        <f aca="false">IF($P4723=0,"",IF($F4723="Baseline","— Baseline",IF($O4723=0,"No result",IF($N4723=0,"No Start (attainment only)",IF(OR($N4723=1,$O4723=1),"U – needs rule",INDEX(MxBody,MATCH($I4723,MxCurr,0),MATCH($H4723,MxStart,0)))))))</f>
        <v/>
      </c>
      <c r="L4723" s="62" t="str">
        <f aca="false">IF(COUNTA($A4723,$F4723,$G4723,$H4723,$I4723,$J4723)=0,"",IF($M4723=0,"✖ كود الصف غير موجود",IF(ISNA(MATCH($F4723,Lists!$A$2:$A$5,0)),"✖ الفترة غير صحيحة",IF(ISNA(MATCH($G4723,Lists!$B$2:$B$7,0)),"✖ المجموعة غير صحيحة",IF(NOT(OR($H4723="",$N4723&gt;0)),"✖ Start غير صحيح",IF(NOT(OR($I4723="",$I4723="NR",$O4723&gt;0)),"✖ Current غير صحيح",IF(NOT(IF(ISNUMBER($J4723),AND($J4723&gt;=0,$J4723=INT($J4723)),FALSE())),"✖ العدد يجب أن يكون صحيحًا ≥ 0",IF(AND($F4723="Baseline",$H4723&lt;&gt;""),"⚠ Baseline: Start لا يدخل في التقدم",IF($K4723="No Start (attainment only)","ℹ تحصيل فقط (بدون Start)",IF($K4723="U – needs rule","ℹ حالة U تحتاج قاعدة معتمدة",IF($K4723="No result","ℹ بدون نتيجة (يُستبعد من التحصيل)","OK")))))))))))</f>
        <v/>
      </c>
      <c r="M4723" s="64" t="n">
        <f aca="false">IF($A4723="",0,IFERROR(MATCH($A4723,Classes!$A$6:$A$420,0),0))</f>
        <v>0</v>
      </c>
      <c r="N4723" s="64" t="n">
        <f aca="false">IF($H4723="",0,IFERROR(MATCH($H4723,GradeList,0),0))</f>
        <v>0</v>
      </c>
      <c r="O4723" s="64" t="n">
        <f aca="false">IF(OR($I4723="",$I4723="NR"),0,IFERROR(MATCH($I4723,GradeList,0),0))</f>
        <v>0</v>
      </c>
      <c r="P4723" s="64" t="n">
        <f aca="false">IF(AND($M4723&gt;0,ISNUMBER(MATCH($F4723,Lists!$A$2:$A$5,0)),ISNUMBER(MATCH($G4723,Lists!$B$2:$B$7,0)),OR($H4723="",$N4723&gt;0),OR($I4723="",$I4723="NR",$O4723&gt;0),IF(ISNUMBER($J4723),AND($J4723&gt;=0,$J4723=INT($J4723)),FALSE())),$J4723,0)</f>
        <v>0</v>
      </c>
      <c r="Q4723" s="64" t="n">
        <f aca="false">IF(AND($P4723&gt;0,$O4723&gt;0),$P4723,0)</f>
        <v>0</v>
      </c>
      <c r="R4723" s="64" t="n">
        <f aca="false">IF(AND($Q4723&gt;0,$O4723&gt;=AtRank),$Q4723,0)</f>
        <v>0</v>
      </c>
      <c r="S4723" s="64" t="n">
        <f aca="false">IF(AND($Q4723&gt;0,$O4723&gt;=AboveRank),$Q4723,0)</f>
        <v>0</v>
      </c>
      <c r="T4723" s="64" t="n">
        <f aca="false">IF($K4723="Less",$P4723,0)</f>
        <v>0</v>
      </c>
      <c r="U4723" s="64" t="n">
        <f aca="false">IF($K4723="Expected",$P4723,0)</f>
        <v>0</v>
      </c>
      <c r="V4723" s="64" t="n">
        <f aca="false">IF($K4723="Better",$P4723,0)</f>
        <v>0</v>
      </c>
      <c r="W4723" s="64" t="n">
        <f aca="false">IF($K4723="U – needs rule",$P4723,0)</f>
        <v>0</v>
      </c>
      <c r="X4723" s="64" t="n">
        <f aca="false">IF($K4723="No Start (attainment only)",$P4723,0)</f>
        <v>0</v>
      </c>
    </row>
    <row r="4724" customFormat="false" ht="15" hidden="false" customHeight="false" outlineLevel="0" collapsed="false">
      <c r="A4724" s="60"/>
      <c r="B4724" s="61" t="str">
        <f aca="false">IF($M4724=0,"",INDEX(Classes!$E$6:$E$420,$M4724))</f>
        <v/>
      </c>
      <c r="C4724" s="62" t="str">
        <f aca="false">IF($M4724=0,"",INDEX(Classes!$H$6:$H$420,$M4724))</f>
        <v/>
      </c>
      <c r="D4724" s="61" t="str">
        <f aca="false">IF($M4724=0,"",INDEX(Classes!$B$6:$B$420,$M4724))</f>
        <v/>
      </c>
      <c r="E4724" s="61" t="str">
        <f aca="false">IF($M4724=0,"",INDEX(Classes!$C$6:$C$420,$M4724))</f>
        <v/>
      </c>
      <c r="F4724" s="63"/>
      <c r="G4724" s="63"/>
      <c r="H4724" s="60"/>
      <c r="I4724" s="60"/>
      <c r="J4724" s="63"/>
      <c r="K4724" s="61" t="str">
        <f aca="false">IF($P4724=0,"",IF($F4724="Baseline","— Baseline",IF($O4724=0,"No result",IF($N4724=0,"No Start (attainment only)",IF(OR($N4724=1,$O4724=1),"U – needs rule",INDEX(MxBody,MATCH($I4724,MxCurr,0),MATCH($H4724,MxStart,0)))))))</f>
        <v/>
      </c>
      <c r="L4724" s="62" t="str">
        <f aca="false">IF(COUNTA($A4724,$F4724,$G4724,$H4724,$I4724,$J4724)=0,"",IF($M4724=0,"✖ كود الصف غير موجود",IF(ISNA(MATCH($F4724,Lists!$A$2:$A$5,0)),"✖ الفترة غير صحيحة",IF(ISNA(MATCH($G4724,Lists!$B$2:$B$7,0)),"✖ المجموعة غير صحيحة",IF(NOT(OR($H4724="",$N4724&gt;0)),"✖ Start غير صحيح",IF(NOT(OR($I4724="",$I4724="NR",$O4724&gt;0)),"✖ Current غير صحيح",IF(NOT(IF(ISNUMBER($J4724),AND($J4724&gt;=0,$J4724=INT($J4724)),FALSE())),"✖ العدد يجب أن يكون صحيحًا ≥ 0",IF(AND($F4724="Baseline",$H4724&lt;&gt;""),"⚠ Baseline: Start لا يدخل في التقدم",IF($K4724="No Start (attainment only)","ℹ تحصيل فقط (بدون Start)",IF($K4724="U – needs rule","ℹ حالة U تحتاج قاعدة معتمدة",IF($K4724="No result","ℹ بدون نتيجة (يُستبعد من التحصيل)","OK")))))))))))</f>
        <v/>
      </c>
      <c r="M4724" s="64" t="n">
        <f aca="false">IF($A4724="",0,IFERROR(MATCH($A4724,Classes!$A$6:$A$420,0),0))</f>
        <v>0</v>
      </c>
      <c r="N4724" s="64" t="n">
        <f aca="false">IF($H4724="",0,IFERROR(MATCH($H4724,GradeList,0),0))</f>
        <v>0</v>
      </c>
      <c r="O4724" s="64" t="n">
        <f aca="false">IF(OR($I4724="",$I4724="NR"),0,IFERROR(MATCH($I4724,GradeList,0),0))</f>
        <v>0</v>
      </c>
      <c r="P4724" s="64" t="n">
        <f aca="false">IF(AND($M4724&gt;0,ISNUMBER(MATCH($F4724,Lists!$A$2:$A$5,0)),ISNUMBER(MATCH($G4724,Lists!$B$2:$B$7,0)),OR($H4724="",$N4724&gt;0),OR($I4724="",$I4724="NR",$O4724&gt;0),IF(ISNUMBER($J4724),AND($J4724&gt;=0,$J4724=INT($J4724)),FALSE())),$J4724,0)</f>
        <v>0</v>
      </c>
      <c r="Q4724" s="64" t="n">
        <f aca="false">IF(AND($P4724&gt;0,$O4724&gt;0),$P4724,0)</f>
        <v>0</v>
      </c>
      <c r="R4724" s="64" t="n">
        <f aca="false">IF(AND($Q4724&gt;0,$O4724&gt;=AtRank),$Q4724,0)</f>
        <v>0</v>
      </c>
      <c r="S4724" s="64" t="n">
        <f aca="false">IF(AND($Q4724&gt;0,$O4724&gt;=AboveRank),$Q4724,0)</f>
        <v>0</v>
      </c>
      <c r="T4724" s="64" t="n">
        <f aca="false">IF($K4724="Less",$P4724,0)</f>
        <v>0</v>
      </c>
      <c r="U4724" s="64" t="n">
        <f aca="false">IF($K4724="Expected",$P4724,0)</f>
        <v>0</v>
      </c>
      <c r="V4724" s="64" t="n">
        <f aca="false">IF($K4724="Better",$P4724,0)</f>
        <v>0</v>
      </c>
      <c r="W4724" s="64" t="n">
        <f aca="false">IF($K4724="U – needs rule",$P4724,0)</f>
        <v>0</v>
      </c>
      <c r="X4724" s="64" t="n">
        <f aca="false">IF($K4724="No Start (attainment only)",$P4724,0)</f>
        <v>0</v>
      </c>
    </row>
    <row r="4725" customFormat="false" ht="15" hidden="false" customHeight="false" outlineLevel="0" collapsed="false">
      <c r="A4725" s="60"/>
      <c r="B4725" s="61" t="str">
        <f aca="false">IF($M4725=0,"",INDEX(Classes!$E$6:$E$420,$M4725))</f>
        <v/>
      </c>
      <c r="C4725" s="62" t="str">
        <f aca="false">IF($M4725=0,"",INDEX(Classes!$H$6:$H$420,$M4725))</f>
        <v/>
      </c>
      <c r="D4725" s="61" t="str">
        <f aca="false">IF($M4725=0,"",INDEX(Classes!$B$6:$B$420,$M4725))</f>
        <v/>
      </c>
      <c r="E4725" s="61" t="str">
        <f aca="false">IF($M4725=0,"",INDEX(Classes!$C$6:$C$420,$M4725))</f>
        <v/>
      </c>
      <c r="F4725" s="63"/>
      <c r="G4725" s="63"/>
      <c r="H4725" s="60"/>
      <c r="I4725" s="60"/>
      <c r="J4725" s="63"/>
      <c r="K4725" s="61" t="str">
        <f aca="false">IF($P4725=0,"",IF($F4725="Baseline","— Baseline",IF($O4725=0,"No result",IF($N4725=0,"No Start (attainment only)",IF(OR($N4725=1,$O4725=1),"U – needs rule",INDEX(MxBody,MATCH($I4725,MxCurr,0),MATCH($H4725,MxStart,0)))))))</f>
        <v/>
      </c>
      <c r="L4725" s="62" t="str">
        <f aca="false">IF(COUNTA($A4725,$F4725,$G4725,$H4725,$I4725,$J4725)=0,"",IF($M4725=0,"✖ كود الصف غير موجود",IF(ISNA(MATCH($F4725,Lists!$A$2:$A$5,0)),"✖ الفترة غير صحيحة",IF(ISNA(MATCH($G4725,Lists!$B$2:$B$7,0)),"✖ المجموعة غير صحيحة",IF(NOT(OR($H4725="",$N4725&gt;0)),"✖ Start غير صحيح",IF(NOT(OR($I4725="",$I4725="NR",$O4725&gt;0)),"✖ Current غير صحيح",IF(NOT(IF(ISNUMBER($J4725),AND($J4725&gt;=0,$J4725=INT($J4725)),FALSE())),"✖ العدد يجب أن يكون صحيحًا ≥ 0",IF(AND($F4725="Baseline",$H4725&lt;&gt;""),"⚠ Baseline: Start لا يدخل في التقدم",IF($K4725="No Start (attainment only)","ℹ تحصيل فقط (بدون Start)",IF($K4725="U – needs rule","ℹ حالة U تحتاج قاعدة معتمدة",IF($K4725="No result","ℹ بدون نتيجة (يُستبعد من التحصيل)","OK")))))))))))</f>
        <v/>
      </c>
      <c r="M4725" s="64" t="n">
        <f aca="false">IF($A4725="",0,IFERROR(MATCH($A4725,Classes!$A$6:$A$420,0),0))</f>
        <v>0</v>
      </c>
      <c r="N4725" s="64" t="n">
        <f aca="false">IF($H4725="",0,IFERROR(MATCH($H4725,GradeList,0),0))</f>
        <v>0</v>
      </c>
      <c r="O4725" s="64" t="n">
        <f aca="false">IF(OR($I4725="",$I4725="NR"),0,IFERROR(MATCH($I4725,GradeList,0),0))</f>
        <v>0</v>
      </c>
      <c r="P4725" s="64" t="n">
        <f aca="false">IF(AND($M4725&gt;0,ISNUMBER(MATCH($F4725,Lists!$A$2:$A$5,0)),ISNUMBER(MATCH($G4725,Lists!$B$2:$B$7,0)),OR($H4725="",$N4725&gt;0),OR($I4725="",$I4725="NR",$O4725&gt;0),IF(ISNUMBER($J4725),AND($J4725&gt;=0,$J4725=INT($J4725)),FALSE())),$J4725,0)</f>
        <v>0</v>
      </c>
      <c r="Q4725" s="64" t="n">
        <f aca="false">IF(AND($P4725&gt;0,$O4725&gt;0),$P4725,0)</f>
        <v>0</v>
      </c>
      <c r="R4725" s="64" t="n">
        <f aca="false">IF(AND($Q4725&gt;0,$O4725&gt;=AtRank),$Q4725,0)</f>
        <v>0</v>
      </c>
      <c r="S4725" s="64" t="n">
        <f aca="false">IF(AND($Q4725&gt;0,$O4725&gt;=AboveRank),$Q4725,0)</f>
        <v>0</v>
      </c>
      <c r="T4725" s="64" t="n">
        <f aca="false">IF($K4725="Less",$P4725,0)</f>
        <v>0</v>
      </c>
      <c r="U4725" s="64" t="n">
        <f aca="false">IF($K4725="Expected",$P4725,0)</f>
        <v>0</v>
      </c>
      <c r="V4725" s="64" t="n">
        <f aca="false">IF($K4725="Better",$P4725,0)</f>
        <v>0</v>
      </c>
      <c r="W4725" s="64" t="n">
        <f aca="false">IF($K4725="U – needs rule",$P4725,0)</f>
        <v>0</v>
      </c>
      <c r="X4725" s="64" t="n">
        <f aca="false">IF($K4725="No Start (attainment only)",$P4725,0)</f>
        <v>0</v>
      </c>
    </row>
    <row r="4726" customFormat="false" ht="15" hidden="false" customHeight="false" outlineLevel="0" collapsed="false">
      <c r="A4726" s="60"/>
      <c r="B4726" s="61" t="str">
        <f aca="false">IF($M4726=0,"",INDEX(Classes!$E$6:$E$420,$M4726))</f>
        <v/>
      </c>
      <c r="C4726" s="62" t="str">
        <f aca="false">IF($M4726=0,"",INDEX(Classes!$H$6:$H$420,$M4726))</f>
        <v/>
      </c>
      <c r="D4726" s="61" t="str">
        <f aca="false">IF($M4726=0,"",INDEX(Classes!$B$6:$B$420,$M4726))</f>
        <v/>
      </c>
      <c r="E4726" s="61" t="str">
        <f aca="false">IF($M4726=0,"",INDEX(Classes!$C$6:$C$420,$M4726))</f>
        <v/>
      </c>
      <c r="F4726" s="63"/>
      <c r="G4726" s="63"/>
      <c r="H4726" s="60"/>
      <c r="I4726" s="60"/>
      <c r="J4726" s="63"/>
      <c r="K4726" s="61" t="str">
        <f aca="false">IF($P4726=0,"",IF($F4726="Baseline","— Baseline",IF($O4726=0,"No result",IF($N4726=0,"No Start (attainment only)",IF(OR($N4726=1,$O4726=1),"U – needs rule",INDEX(MxBody,MATCH($I4726,MxCurr,0),MATCH($H4726,MxStart,0)))))))</f>
        <v/>
      </c>
      <c r="L4726" s="62" t="str">
        <f aca="false">IF(COUNTA($A4726,$F4726,$G4726,$H4726,$I4726,$J4726)=0,"",IF($M4726=0,"✖ كود الصف غير موجود",IF(ISNA(MATCH($F4726,Lists!$A$2:$A$5,0)),"✖ الفترة غير صحيحة",IF(ISNA(MATCH($G4726,Lists!$B$2:$B$7,0)),"✖ المجموعة غير صحيحة",IF(NOT(OR($H4726="",$N4726&gt;0)),"✖ Start غير صحيح",IF(NOT(OR($I4726="",$I4726="NR",$O4726&gt;0)),"✖ Current غير صحيح",IF(NOT(IF(ISNUMBER($J4726),AND($J4726&gt;=0,$J4726=INT($J4726)),FALSE())),"✖ العدد يجب أن يكون صحيحًا ≥ 0",IF(AND($F4726="Baseline",$H4726&lt;&gt;""),"⚠ Baseline: Start لا يدخل في التقدم",IF($K4726="No Start (attainment only)","ℹ تحصيل فقط (بدون Start)",IF($K4726="U – needs rule","ℹ حالة U تحتاج قاعدة معتمدة",IF($K4726="No result","ℹ بدون نتيجة (يُستبعد من التحصيل)","OK")))))))))))</f>
        <v/>
      </c>
      <c r="M4726" s="64" t="n">
        <f aca="false">IF($A4726="",0,IFERROR(MATCH($A4726,Classes!$A$6:$A$420,0),0))</f>
        <v>0</v>
      </c>
      <c r="N4726" s="64" t="n">
        <f aca="false">IF($H4726="",0,IFERROR(MATCH($H4726,GradeList,0),0))</f>
        <v>0</v>
      </c>
      <c r="O4726" s="64" t="n">
        <f aca="false">IF(OR($I4726="",$I4726="NR"),0,IFERROR(MATCH($I4726,GradeList,0),0))</f>
        <v>0</v>
      </c>
      <c r="P4726" s="64" t="n">
        <f aca="false">IF(AND($M4726&gt;0,ISNUMBER(MATCH($F4726,Lists!$A$2:$A$5,0)),ISNUMBER(MATCH($G4726,Lists!$B$2:$B$7,0)),OR($H4726="",$N4726&gt;0),OR($I4726="",$I4726="NR",$O4726&gt;0),IF(ISNUMBER($J4726),AND($J4726&gt;=0,$J4726=INT($J4726)),FALSE())),$J4726,0)</f>
        <v>0</v>
      </c>
      <c r="Q4726" s="64" t="n">
        <f aca="false">IF(AND($P4726&gt;0,$O4726&gt;0),$P4726,0)</f>
        <v>0</v>
      </c>
      <c r="R4726" s="64" t="n">
        <f aca="false">IF(AND($Q4726&gt;0,$O4726&gt;=AtRank),$Q4726,0)</f>
        <v>0</v>
      </c>
      <c r="S4726" s="64" t="n">
        <f aca="false">IF(AND($Q4726&gt;0,$O4726&gt;=AboveRank),$Q4726,0)</f>
        <v>0</v>
      </c>
      <c r="T4726" s="64" t="n">
        <f aca="false">IF($K4726="Less",$P4726,0)</f>
        <v>0</v>
      </c>
      <c r="U4726" s="64" t="n">
        <f aca="false">IF($K4726="Expected",$P4726,0)</f>
        <v>0</v>
      </c>
      <c r="V4726" s="64" t="n">
        <f aca="false">IF($K4726="Better",$P4726,0)</f>
        <v>0</v>
      </c>
      <c r="W4726" s="64" t="n">
        <f aca="false">IF($K4726="U – needs rule",$P4726,0)</f>
        <v>0</v>
      </c>
      <c r="X4726" s="64" t="n">
        <f aca="false">IF($K4726="No Start (attainment only)",$P4726,0)</f>
        <v>0</v>
      </c>
    </row>
    <row r="4727" customFormat="false" ht="15" hidden="false" customHeight="false" outlineLevel="0" collapsed="false">
      <c r="A4727" s="60"/>
      <c r="B4727" s="61" t="str">
        <f aca="false">IF($M4727=0,"",INDEX(Classes!$E$6:$E$420,$M4727))</f>
        <v/>
      </c>
      <c r="C4727" s="62" t="str">
        <f aca="false">IF($M4727=0,"",INDEX(Classes!$H$6:$H$420,$M4727))</f>
        <v/>
      </c>
      <c r="D4727" s="61" t="str">
        <f aca="false">IF($M4727=0,"",INDEX(Classes!$B$6:$B$420,$M4727))</f>
        <v/>
      </c>
      <c r="E4727" s="61" t="str">
        <f aca="false">IF($M4727=0,"",INDEX(Classes!$C$6:$C$420,$M4727))</f>
        <v/>
      </c>
      <c r="F4727" s="63"/>
      <c r="G4727" s="63"/>
      <c r="H4727" s="60"/>
      <c r="I4727" s="60"/>
      <c r="J4727" s="63"/>
      <c r="K4727" s="61" t="str">
        <f aca="false">IF($P4727=0,"",IF($F4727="Baseline","— Baseline",IF($O4727=0,"No result",IF($N4727=0,"No Start (attainment only)",IF(OR($N4727=1,$O4727=1),"U – needs rule",INDEX(MxBody,MATCH($I4727,MxCurr,0),MATCH($H4727,MxStart,0)))))))</f>
        <v/>
      </c>
      <c r="L4727" s="62" t="str">
        <f aca="false">IF(COUNTA($A4727,$F4727,$G4727,$H4727,$I4727,$J4727)=0,"",IF($M4727=0,"✖ كود الصف غير موجود",IF(ISNA(MATCH($F4727,Lists!$A$2:$A$5,0)),"✖ الفترة غير صحيحة",IF(ISNA(MATCH($G4727,Lists!$B$2:$B$7,0)),"✖ المجموعة غير صحيحة",IF(NOT(OR($H4727="",$N4727&gt;0)),"✖ Start غير صحيح",IF(NOT(OR($I4727="",$I4727="NR",$O4727&gt;0)),"✖ Current غير صحيح",IF(NOT(IF(ISNUMBER($J4727),AND($J4727&gt;=0,$J4727=INT($J4727)),FALSE())),"✖ العدد يجب أن يكون صحيحًا ≥ 0",IF(AND($F4727="Baseline",$H4727&lt;&gt;""),"⚠ Baseline: Start لا يدخل في التقدم",IF($K4727="No Start (attainment only)","ℹ تحصيل فقط (بدون Start)",IF($K4727="U – needs rule","ℹ حالة U تحتاج قاعدة معتمدة",IF($K4727="No result","ℹ بدون نتيجة (يُستبعد من التحصيل)","OK")))))))))))</f>
        <v/>
      </c>
      <c r="M4727" s="64" t="n">
        <f aca="false">IF($A4727="",0,IFERROR(MATCH($A4727,Classes!$A$6:$A$420,0),0))</f>
        <v>0</v>
      </c>
      <c r="N4727" s="64" t="n">
        <f aca="false">IF($H4727="",0,IFERROR(MATCH($H4727,GradeList,0),0))</f>
        <v>0</v>
      </c>
      <c r="O4727" s="64" t="n">
        <f aca="false">IF(OR($I4727="",$I4727="NR"),0,IFERROR(MATCH($I4727,GradeList,0),0))</f>
        <v>0</v>
      </c>
      <c r="P4727" s="64" t="n">
        <f aca="false">IF(AND($M4727&gt;0,ISNUMBER(MATCH($F4727,Lists!$A$2:$A$5,0)),ISNUMBER(MATCH($G4727,Lists!$B$2:$B$7,0)),OR($H4727="",$N4727&gt;0),OR($I4727="",$I4727="NR",$O4727&gt;0),IF(ISNUMBER($J4727),AND($J4727&gt;=0,$J4727=INT($J4727)),FALSE())),$J4727,0)</f>
        <v>0</v>
      </c>
      <c r="Q4727" s="64" t="n">
        <f aca="false">IF(AND($P4727&gt;0,$O4727&gt;0),$P4727,0)</f>
        <v>0</v>
      </c>
      <c r="R4727" s="64" t="n">
        <f aca="false">IF(AND($Q4727&gt;0,$O4727&gt;=AtRank),$Q4727,0)</f>
        <v>0</v>
      </c>
      <c r="S4727" s="64" t="n">
        <f aca="false">IF(AND($Q4727&gt;0,$O4727&gt;=AboveRank),$Q4727,0)</f>
        <v>0</v>
      </c>
      <c r="T4727" s="64" t="n">
        <f aca="false">IF($K4727="Less",$P4727,0)</f>
        <v>0</v>
      </c>
      <c r="U4727" s="64" t="n">
        <f aca="false">IF($K4727="Expected",$P4727,0)</f>
        <v>0</v>
      </c>
      <c r="V4727" s="64" t="n">
        <f aca="false">IF($K4727="Better",$P4727,0)</f>
        <v>0</v>
      </c>
      <c r="W4727" s="64" t="n">
        <f aca="false">IF($K4727="U – needs rule",$P4727,0)</f>
        <v>0</v>
      </c>
      <c r="X4727" s="64" t="n">
        <f aca="false">IF($K4727="No Start (attainment only)",$P4727,0)</f>
        <v>0</v>
      </c>
    </row>
    <row r="4728" customFormat="false" ht="15" hidden="false" customHeight="false" outlineLevel="0" collapsed="false">
      <c r="A4728" s="60"/>
      <c r="B4728" s="61" t="str">
        <f aca="false">IF($M4728=0,"",INDEX(Classes!$E$6:$E$420,$M4728))</f>
        <v/>
      </c>
      <c r="C4728" s="62" t="str">
        <f aca="false">IF($M4728=0,"",INDEX(Classes!$H$6:$H$420,$M4728))</f>
        <v/>
      </c>
      <c r="D4728" s="61" t="str">
        <f aca="false">IF($M4728=0,"",INDEX(Classes!$B$6:$B$420,$M4728))</f>
        <v/>
      </c>
      <c r="E4728" s="61" t="str">
        <f aca="false">IF($M4728=0,"",INDEX(Classes!$C$6:$C$420,$M4728))</f>
        <v/>
      </c>
      <c r="F4728" s="63"/>
      <c r="G4728" s="63"/>
      <c r="H4728" s="60"/>
      <c r="I4728" s="60"/>
      <c r="J4728" s="63"/>
      <c r="K4728" s="61" t="str">
        <f aca="false">IF($P4728=0,"",IF($F4728="Baseline","— Baseline",IF($O4728=0,"No result",IF($N4728=0,"No Start (attainment only)",IF(OR($N4728=1,$O4728=1),"U – needs rule",INDEX(MxBody,MATCH($I4728,MxCurr,0),MATCH($H4728,MxStart,0)))))))</f>
        <v/>
      </c>
      <c r="L4728" s="62" t="str">
        <f aca="false">IF(COUNTA($A4728,$F4728,$G4728,$H4728,$I4728,$J4728)=0,"",IF($M4728=0,"✖ كود الصف غير موجود",IF(ISNA(MATCH($F4728,Lists!$A$2:$A$5,0)),"✖ الفترة غير صحيحة",IF(ISNA(MATCH($G4728,Lists!$B$2:$B$7,0)),"✖ المجموعة غير صحيحة",IF(NOT(OR($H4728="",$N4728&gt;0)),"✖ Start غير صحيح",IF(NOT(OR($I4728="",$I4728="NR",$O4728&gt;0)),"✖ Current غير صحيح",IF(NOT(IF(ISNUMBER($J4728),AND($J4728&gt;=0,$J4728=INT($J4728)),FALSE())),"✖ العدد يجب أن يكون صحيحًا ≥ 0",IF(AND($F4728="Baseline",$H4728&lt;&gt;""),"⚠ Baseline: Start لا يدخل في التقدم",IF($K4728="No Start (attainment only)","ℹ تحصيل فقط (بدون Start)",IF($K4728="U – needs rule","ℹ حالة U تحتاج قاعدة معتمدة",IF($K4728="No result","ℹ بدون نتيجة (يُستبعد من التحصيل)","OK")))))))))))</f>
        <v/>
      </c>
      <c r="M4728" s="64" t="n">
        <f aca="false">IF($A4728="",0,IFERROR(MATCH($A4728,Classes!$A$6:$A$420,0),0))</f>
        <v>0</v>
      </c>
      <c r="N4728" s="64" t="n">
        <f aca="false">IF($H4728="",0,IFERROR(MATCH($H4728,GradeList,0),0))</f>
        <v>0</v>
      </c>
      <c r="O4728" s="64" t="n">
        <f aca="false">IF(OR($I4728="",$I4728="NR"),0,IFERROR(MATCH($I4728,GradeList,0),0))</f>
        <v>0</v>
      </c>
      <c r="P4728" s="64" t="n">
        <f aca="false">IF(AND($M4728&gt;0,ISNUMBER(MATCH($F4728,Lists!$A$2:$A$5,0)),ISNUMBER(MATCH($G4728,Lists!$B$2:$B$7,0)),OR($H4728="",$N4728&gt;0),OR($I4728="",$I4728="NR",$O4728&gt;0),IF(ISNUMBER($J4728),AND($J4728&gt;=0,$J4728=INT($J4728)),FALSE())),$J4728,0)</f>
        <v>0</v>
      </c>
      <c r="Q4728" s="64" t="n">
        <f aca="false">IF(AND($P4728&gt;0,$O4728&gt;0),$P4728,0)</f>
        <v>0</v>
      </c>
      <c r="R4728" s="64" t="n">
        <f aca="false">IF(AND($Q4728&gt;0,$O4728&gt;=AtRank),$Q4728,0)</f>
        <v>0</v>
      </c>
      <c r="S4728" s="64" t="n">
        <f aca="false">IF(AND($Q4728&gt;0,$O4728&gt;=AboveRank),$Q4728,0)</f>
        <v>0</v>
      </c>
      <c r="T4728" s="64" t="n">
        <f aca="false">IF($K4728="Less",$P4728,0)</f>
        <v>0</v>
      </c>
      <c r="U4728" s="64" t="n">
        <f aca="false">IF($K4728="Expected",$P4728,0)</f>
        <v>0</v>
      </c>
      <c r="V4728" s="64" t="n">
        <f aca="false">IF($K4728="Better",$P4728,0)</f>
        <v>0</v>
      </c>
      <c r="W4728" s="64" t="n">
        <f aca="false">IF($K4728="U – needs rule",$P4728,0)</f>
        <v>0</v>
      </c>
      <c r="X4728" s="64" t="n">
        <f aca="false">IF($K4728="No Start (attainment only)",$P4728,0)</f>
        <v>0</v>
      </c>
    </row>
    <row r="4729" customFormat="false" ht="15" hidden="false" customHeight="false" outlineLevel="0" collapsed="false">
      <c r="A4729" s="60"/>
      <c r="B4729" s="61" t="str">
        <f aca="false">IF($M4729=0,"",INDEX(Classes!$E$6:$E$420,$M4729))</f>
        <v/>
      </c>
      <c r="C4729" s="62" t="str">
        <f aca="false">IF($M4729=0,"",INDEX(Classes!$H$6:$H$420,$M4729))</f>
        <v/>
      </c>
      <c r="D4729" s="61" t="str">
        <f aca="false">IF($M4729=0,"",INDEX(Classes!$B$6:$B$420,$M4729))</f>
        <v/>
      </c>
      <c r="E4729" s="61" t="str">
        <f aca="false">IF($M4729=0,"",INDEX(Classes!$C$6:$C$420,$M4729))</f>
        <v/>
      </c>
      <c r="F4729" s="63"/>
      <c r="G4729" s="63"/>
      <c r="H4729" s="60"/>
      <c r="I4729" s="60"/>
      <c r="J4729" s="63"/>
      <c r="K4729" s="61" t="str">
        <f aca="false">IF($P4729=0,"",IF($F4729="Baseline","— Baseline",IF($O4729=0,"No result",IF($N4729=0,"No Start (attainment only)",IF(OR($N4729=1,$O4729=1),"U – needs rule",INDEX(MxBody,MATCH($I4729,MxCurr,0),MATCH($H4729,MxStart,0)))))))</f>
        <v/>
      </c>
      <c r="L4729" s="62" t="str">
        <f aca="false">IF(COUNTA($A4729,$F4729,$G4729,$H4729,$I4729,$J4729)=0,"",IF($M4729=0,"✖ كود الصف غير موجود",IF(ISNA(MATCH($F4729,Lists!$A$2:$A$5,0)),"✖ الفترة غير صحيحة",IF(ISNA(MATCH($G4729,Lists!$B$2:$B$7,0)),"✖ المجموعة غير صحيحة",IF(NOT(OR($H4729="",$N4729&gt;0)),"✖ Start غير صحيح",IF(NOT(OR($I4729="",$I4729="NR",$O4729&gt;0)),"✖ Current غير صحيح",IF(NOT(IF(ISNUMBER($J4729),AND($J4729&gt;=0,$J4729=INT($J4729)),FALSE())),"✖ العدد يجب أن يكون صحيحًا ≥ 0",IF(AND($F4729="Baseline",$H4729&lt;&gt;""),"⚠ Baseline: Start لا يدخل في التقدم",IF($K4729="No Start (attainment only)","ℹ تحصيل فقط (بدون Start)",IF($K4729="U – needs rule","ℹ حالة U تحتاج قاعدة معتمدة",IF($K4729="No result","ℹ بدون نتيجة (يُستبعد من التحصيل)","OK")))))))))))</f>
        <v/>
      </c>
      <c r="M4729" s="64" t="n">
        <f aca="false">IF($A4729="",0,IFERROR(MATCH($A4729,Classes!$A$6:$A$420,0),0))</f>
        <v>0</v>
      </c>
      <c r="N4729" s="64" t="n">
        <f aca="false">IF($H4729="",0,IFERROR(MATCH($H4729,GradeList,0),0))</f>
        <v>0</v>
      </c>
      <c r="O4729" s="64" t="n">
        <f aca="false">IF(OR($I4729="",$I4729="NR"),0,IFERROR(MATCH($I4729,GradeList,0),0))</f>
        <v>0</v>
      </c>
      <c r="P4729" s="64" t="n">
        <f aca="false">IF(AND($M4729&gt;0,ISNUMBER(MATCH($F4729,Lists!$A$2:$A$5,0)),ISNUMBER(MATCH($G4729,Lists!$B$2:$B$7,0)),OR($H4729="",$N4729&gt;0),OR($I4729="",$I4729="NR",$O4729&gt;0),IF(ISNUMBER($J4729),AND($J4729&gt;=0,$J4729=INT($J4729)),FALSE())),$J4729,0)</f>
        <v>0</v>
      </c>
      <c r="Q4729" s="64" t="n">
        <f aca="false">IF(AND($P4729&gt;0,$O4729&gt;0),$P4729,0)</f>
        <v>0</v>
      </c>
      <c r="R4729" s="64" t="n">
        <f aca="false">IF(AND($Q4729&gt;0,$O4729&gt;=AtRank),$Q4729,0)</f>
        <v>0</v>
      </c>
      <c r="S4729" s="64" t="n">
        <f aca="false">IF(AND($Q4729&gt;0,$O4729&gt;=AboveRank),$Q4729,0)</f>
        <v>0</v>
      </c>
      <c r="T4729" s="64" t="n">
        <f aca="false">IF($K4729="Less",$P4729,0)</f>
        <v>0</v>
      </c>
      <c r="U4729" s="64" t="n">
        <f aca="false">IF($K4729="Expected",$P4729,0)</f>
        <v>0</v>
      </c>
      <c r="V4729" s="64" t="n">
        <f aca="false">IF($K4729="Better",$P4729,0)</f>
        <v>0</v>
      </c>
      <c r="W4729" s="64" t="n">
        <f aca="false">IF($K4729="U – needs rule",$P4729,0)</f>
        <v>0</v>
      </c>
      <c r="X4729" s="64" t="n">
        <f aca="false">IF($K4729="No Start (attainment only)",$P4729,0)</f>
        <v>0</v>
      </c>
    </row>
    <row r="4730" customFormat="false" ht="15" hidden="false" customHeight="false" outlineLevel="0" collapsed="false">
      <c r="A4730" s="60"/>
      <c r="B4730" s="61" t="str">
        <f aca="false">IF($M4730=0,"",INDEX(Classes!$E$6:$E$420,$M4730))</f>
        <v/>
      </c>
      <c r="C4730" s="62" t="str">
        <f aca="false">IF($M4730=0,"",INDEX(Classes!$H$6:$H$420,$M4730))</f>
        <v/>
      </c>
      <c r="D4730" s="61" t="str">
        <f aca="false">IF($M4730=0,"",INDEX(Classes!$B$6:$B$420,$M4730))</f>
        <v/>
      </c>
      <c r="E4730" s="61" t="str">
        <f aca="false">IF($M4730=0,"",INDEX(Classes!$C$6:$C$420,$M4730))</f>
        <v/>
      </c>
      <c r="F4730" s="63"/>
      <c r="G4730" s="63"/>
      <c r="H4730" s="60"/>
      <c r="I4730" s="60"/>
      <c r="J4730" s="63"/>
      <c r="K4730" s="61" t="str">
        <f aca="false">IF($P4730=0,"",IF($F4730="Baseline","— Baseline",IF($O4730=0,"No result",IF($N4730=0,"No Start (attainment only)",IF(OR($N4730=1,$O4730=1),"U – needs rule",INDEX(MxBody,MATCH($I4730,MxCurr,0),MATCH($H4730,MxStart,0)))))))</f>
        <v/>
      </c>
      <c r="L4730" s="62" t="str">
        <f aca="false">IF(COUNTA($A4730,$F4730,$G4730,$H4730,$I4730,$J4730)=0,"",IF($M4730=0,"✖ كود الصف غير موجود",IF(ISNA(MATCH($F4730,Lists!$A$2:$A$5,0)),"✖ الفترة غير صحيحة",IF(ISNA(MATCH($G4730,Lists!$B$2:$B$7,0)),"✖ المجموعة غير صحيحة",IF(NOT(OR($H4730="",$N4730&gt;0)),"✖ Start غير صحيح",IF(NOT(OR($I4730="",$I4730="NR",$O4730&gt;0)),"✖ Current غير صحيح",IF(NOT(IF(ISNUMBER($J4730),AND($J4730&gt;=0,$J4730=INT($J4730)),FALSE())),"✖ العدد يجب أن يكون صحيحًا ≥ 0",IF(AND($F4730="Baseline",$H4730&lt;&gt;""),"⚠ Baseline: Start لا يدخل في التقدم",IF($K4730="No Start (attainment only)","ℹ تحصيل فقط (بدون Start)",IF($K4730="U – needs rule","ℹ حالة U تحتاج قاعدة معتمدة",IF($K4730="No result","ℹ بدون نتيجة (يُستبعد من التحصيل)","OK")))))))))))</f>
        <v/>
      </c>
      <c r="M4730" s="64" t="n">
        <f aca="false">IF($A4730="",0,IFERROR(MATCH($A4730,Classes!$A$6:$A$420,0),0))</f>
        <v>0</v>
      </c>
      <c r="N4730" s="64" t="n">
        <f aca="false">IF($H4730="",0,IFERROR(MATCH($H4730,GradeList,0),0))</f>
        <v>0</v>
      </c>
      <c r="O4730" s="64" t="n">
        <f aca="false">IF(OR($I4730="",$I4730="NR"),0,IFERROR(MATCH($I4730,GradeList,0),0))</f>
        <v>0</v>
      </c>
      <c r="P4730" s="64" t="n">
        <f aca="false">IF(AND($M4730&gt;0,ISNUMBER(MATCH($F4730,Lists!$A$2:$A$5,0)),ISNUMBER(MATCH($G4730,Lists!$B$2:$B$7,0)),OR($H4730="",$N4730&gt;0),OR($I4730="",$I4730="NR",$O4730&gt;0),IF(ISNUMBER($J4730),AND($J4730&gt;=0,$J4730=INT($J4730)),FALSE())),$J4730,0)</f>
        <v>0</v>
      </c>
      <c r="Q4730" s="64" t="n">
        <f aca="false">IF(AND($P4730&gt;0,$O4730&gt;0),$P4730,0)</f>
        <v>0</v>
      </c>
      <c r="R4730" s="64" t="n">
        <f aca="false">IF(AND($Q4730&gt;0,$O4730&gt;=AtRank),$Q4730,0)</f>
        <v>0</v>
      </c>
      <c r="S4730" s="64" t="n">
        <f aca="false">IF(AND($Q4730&gt;0,$O4730&gt;=AboveRank),$Q4730,0)</f>
        <v>0</v>
      </c>
      <c r="T4730" s="64" t="n">
        <f aca="false">IF($K4730="Less",$P4730,0)</f>
        <v>0</v>
      </c>
      <c r="U4730" s="64" t="n">
        <f aca="false">IF($K4730="Expected",$P4730,0)</f>
        <v>0</v>
      </c>
      <c r="V4730" s="64" t="n">
        <f aca="false">IF($K4730="Better",$P4730,0)</f>
        <v>0</v>
      </c>
      <c r="W4730" s="64" t="n">
        <f aca="false">IF($K4730="U – needs rule",$P4730,0)</f>
        <v>0</v>
      </c>
      <c r="X4730" s="64" t="n">
        <f aca="false">IF($K4730="No Start (attainment only)",$P4730,0)</f>
        <v>0</v>
      </c>
    </row>
    <row r="4731" customFormat="false" ht="15" hidden="false" customHeight="false" outlineLevel="0" collapsed="false">
      <c r="A4731" s="60"/>
      <c r="B4731" s="61" t="str">
        <f aca="false">IF($M4731=0,"",INDEX(Classes!$E$6:$E$420,$M4731))</f>
        <v/>
      </c>
      <c r="C4731" s="62" t="str">
        <f aca="false">IF($M4731=0,"",INDEX(Classes!$H$6:$H$420,$M4731))</f>
        <v/>
      </c>
      <c r="D4731" s="61" t="str">
        <f aca="false">IF($M4731=0,"",INDEX(Classes!$B$6:$B$420,$M4731))</f>
        <v/>
      </c>
      <c r="E4731" s="61" t="str">
        <f aca="false">IF($M4731=0,"",INDEX(Classes!$C$6:$C$420,$M4731))</f>
        <v/>
      </c>
      <c r="F4731" s="63"/>
      <c r="G4731" s="63"/>
      <c r="H4731" s="60"/>
      <c r="I4731" s="60"/>
      <c r="J4731" s="63"/>
      <c r="K4731" s="61" t="str">
        <f aca="false">IF($P4731=0,"",IF($F4731="Baseline","— Baseline",IF($O4731=0,"No result",IF($N4731=0,"No Start (attainment only)",IF(OR($N4731=1,$O4731=1),"U – needs rule",INDEX(MxBody,MATCH($I4731,MxCurr,0),MATCH($H4731,MxStart,0)))))))</f>
        <v/>
      </c>
      <c r="L4731" s="62" t="str">
        <f aca="false">IF(COUNTA($A4731,$F4731,$G4731,$H4731,$I4731,$J4731)=0,"",IF($M4731=0,"✖ كود الصف غير موجود",IF(ISNA(MATCH($F4731,Lists!$A$2:$A$5,0)),"✖ الفترة غير صحيحة",IF(ISNA(MATCH($G4731,Lists!$B$2:$B$7,0)),"✖ المجموعة غير صحيحة",IF(NOT(OR($H4731="",$N4731&gt;0)),"✖ Start غير صحيح",IF(NOT(OR($I4731="",$I4731="NR",$O4731&gt;0)),"✖ Current غير صحيح",IF(NOT(IF(ISNUMBER($J4731),AND($J4731&gt;=0,$J4731=INT($J4731)),FALSE())),"✖ العدد يجب أن يكون صحيحًا ≥ 0",IF(AND($F4731="Baseline",$H4731&lt;&gt;""),"⚠ Baseline: Start لا يدخل في التقدم",IF($K4731="No Start (attainment only)","ℹ تحصيل فقط (بدون Start)",IF($K4731="U – needs rule","ℹ حالة U تحتاج قاعدة معتمدة",IF($K4731="No result","ℹ بدون نتيجة (يُستبعد من التحصيل)","OK")))))))))))</f>
        <v/>
      </c>
      <c r="M4731" s="64" t="n">
        <f aca="false">IF($A4731="",0,IFERROR(MATCH($A4731,Classes!$A$6:$A$420,0),0))</f>
        <v>0</v>
      </c>
      <c r="N4731" s="64" t="n">
        <f aca="false">IF($H4731="",0,IFERROR(MATCH($H4731,GradeList,0),0))</f>
        <v>0</v>
      </c>
      <c r="O4731" s="64" t="n">
        <f aca="false">IF(OR($I4731="",$I4731="NR"),0,IFERROR(MATCH($I4731,GradeList,0),0))</f>
        <v>0</v>
      </c>
      <c r="P4731" s="64" t="n">
        <f aca="false">IF(AND($M4731&gt;0,ISNUMBER(MATCH($F4731,Lists!$A$2:$A$5,0)),ISNUMBER(MATCH($G4731,Lists!$B$2:$B$7,0)),OR($H4731="",$N4731&gt;0),OR($I4731="",$I4731="NR",$O4731&gt;0),IF(ISNUMBER($J4731),AND($J4731&gt;=0,$J4731=INT($J4731)),FALSE())),$J4731,0)</f>
        <v>0</v>
      </c>
      <c r="Q4731" s="64" t="n">
        <f aca="false">IF(AND($P4731&gt;0,$O4731&gt;0),$P4731,0)</f>
        <v>0</v>
      </c>
      <c r="R4731" s="64" t="n">
        <f aca="false">IF(AND($Q4731&gt;0,$O4731&gt;=AtRank),$Q4731,0)</f>
        <v>0</v>
      </c>
      <c r="S4731" s="64" t="n">
        <f aca="false">IF(AND($Q4731&gt;0,$O4731&gt;=AboveRank),$Q4731,0)</f>
        <v>0</v>
      </c>
      <c r="T4731" s="64" t="n">
        <f aca="false">IF($K4731="Less",$P4731,0)</f>
        <v>0</v>
      </c>
      <c r="U4731" s="64" t="n">
        <f aca="false">IF($K4731="Expected",$P4731,0)</f>
        <v>0</v>
      </c>
      <c r="V4731" s="64" t="n">
        <f aca="false">IF($K4731="Better",$P4731,0)</f>
        <v>0</v>
      </c>
      <c r="W4731" s="64" t="n">
        <f aca="false">IF($K4731="U – needs rule",$P4731,0)</f>
        <v>0</v>
      </c>
      <c r="X4731" s="64" t="n">
        <f aca="false">IF($K4731="No Start (attainment only)",$P4731,0)</f>
        <v>0</v>
      </c>
    </row>
    <row r="4732" customFormat="false" ht="15" hidden="false" customHeight="false" outlineLevel="0" collapsed="false">
      <c r="A4732" s="60"/>
      <c r="B4732" s="61" t="str">
        <f aca="false">IF($M4732=0,"",INDEX(Classes!$E$6:$E$420,$M4732))</f>
        <v/>
      </c>
      <c r="C4732" s="62" t="str">
        <f aca="false">IF($M4732=0,"",INDEX(Classes!$H$6:$H$420,$M4732))</f>
        <v/>
      </c>
      <c r="D4732" s="61" t="str">
        <f aca="false">IF($M4732=0,"",INDEX(Classes!$B$6:$B$420,$M4732))</f>
        <v/>
      </c>
      <c r="E4732" s="61" t="str">
        <f aca="false">IF($M4732=0,"",INDEX(Classes!$C$6:$C$420,$M4732))</f>
        <v/>
      </c>
      <c r="F4732" s="63"/>
      <c r="G4732" s="63"/>
      <c r="H4732" s="60"/>
      <c r="I4732" s="60"/>
      <c r="J4732" s="63"/>
      <c r="K4732" s="61" t="str">
        <f aca="false">IF($P4732=0,"",IF($F4732="Baseline","— Baseline",IF($O4732=0,"No result",IF($N4732=0,"No Start (attainment only)",IF(OR($N4732=1,$O4732=1),"U – needs rule",INDEX(MxBody,MATCH($I4732,MxCurr,0),MATCH($H4732,MxStart,0)))))))</f>
        <v/>
      </c>
      <c r="L4732" s="62" t="str">
        <f aca="false">IF(COUNTA($A4732,$F4732,$G4732,$H4732,$I4732,$J4732)=0,"",IF($M4732=0,"✖ كود الصف غير موجود",IF(ISNA(MATCH($F4732,Lists!$A$2:$A$5,0)),"✖ الفترة غير صحيحة",IF(ISNA(MATCH($G4732,Lists!$B$2:$B$7,0)),"✖ المجموعة غير صحيحة",IF(NOT(OR($H4732="",$N4732&gt;0)),"✖ Start غير صحيح",IF(NOT(OR($I4732="",$I4732="NR",$O4732&gt;0)),"✖ Current غير صحيح",IF(NOT(IF(ISNUMBER($J4732),AND($J4732&gt;=0,$J4732=INT($J4732)),FALSE())),"✖ العدد يجب أن يكون صحيحًا ≥ 0",IF(AND($F4732="Baseline",$H4732&lt;&gt;""),"⚠ Baseline: Start لا يدخل في التقدم",IF($K4732="No Start (attainment only)","ℹ تحصيل فقط (بدون Start)",IF($K4732="U – needs rule","ℹ حالة U تحتاج قاعدة معتمدة",IF($K4732="No result","ℹ بدون نتيجة (يُستبعد من التحصيل)","OK")))))))))))</f>
        <v/>
      </c>
      <c r="M4732" s="64" t="n">
        <f aca="false">IF($A4732="",0,IFERROR(MATCH($A4732,Classes!$A$6:$A$420,0),0))</f>
        <v>0</v>
      </c>
      <c r="N4732" s="64" t="n">
        <f aca="false">IF($H4732="",0,IFERROR(MATCH($H4732,GradeList,0),0))</f>
        <v>0</v>
      </c>
      <c r="O4732" s="64" t="n">
        <f aca="false">IF(OR($I4732="",$I4732="NR"),0,IFERROR(MATCH($I4732,GradeList,0),0))</f>
        <v>0</v>
      </c>
      <c r="P4732" s="64" t="n">
        <f aca="false">IF(AND($M4732&gt;0,ISNUMBER(MATCH($F4732,Lists!$A$2:$A$5,0)),ISNUMBER(MATCH($G4732,Lists!$B$2:$B$7,0)),OR($H4732="",$N4732&gt;0),OR($I4732="",$I4732="NR",$O4732&gt;0),IF(ISNUMBER($J4732),AND($J4732&gt;=0,$J4732=INT($J4732)),FALSE())),$J4732,0)</f>
        <v>0</v>
      </c>
      <c r="Q4732" s="64" t="n">
        <f aca="false">IF(AND($P4732&gt;0,$O4732&gt;0),$P4732,0)</f>
        <v>0</v>
      </c>
      <c r="R4732" s="64" t="n">
        <f aca="false">IF(AND($Q4732&gt;0,$O4732&gt;=AtRank),$Q4732,0)</f>
        <v>0</v>
      </c>
      <c r="S4732" s="64" t="n">
        <f aca="false">IF(AND($Q4732&gt;0,$O4732&gt;=AboveRank),$Q4732,0)</f>
        <v>0</v>
      </c>
      <c r="T4732" s="64" t="n">
        <f aca="false">IF($K4732="Less",$P4732,0)</f>
        <v>0</v>
      </c>
      <c r="U4732" s="64" t="n">
        <f aca="false">IF($K4732="Expected",$P4732,0)</f>
        <v>0</v>
      </c>
      <c r="V4732" s="64" t="n">
        <f aca="false">IF($K4732="Better",$P4732,0)</f>
        <v>0</v>
      </c>
      <c r="W4732" s="64" t="n">
        <f aca="false">IF($K4732="U – needs rule",$P4732,0)</f>
        <v>0</v>
      </c>
      <c r="X4732" s="64" t="n">
        <f aca="false">IF($K4732="No Start (attainment only)",$P4732,0)</f>
        <v>0</v>
      </c>
    </row>
    <row r="4733" customFormat="false" ht="15" hidden="false" customHeight="false" outlineLevel="0" collapsed="false">
      <c r="A4733" s="60"/>
      <c r="B4733" s="61" t="str">
        <f aca="false">IF($M4733=0,"",INDEX(Classes!$E$6:$E$420,$M4733))</f>
        <v/>
      </c>
      <c r="C4733" s="62" t="str">
        <f aca="false">IF($M4733=0,"",INDEX(Classes!$H$6:$H$420,$M4733))</f>
        <v/>
      </c>
      <c r="D4733" s="61" t="str">
        <f aca="false">IF($M4733=0,"",INDEX(Classes!$B$6:$B$420,$M4733))</f>
        <v/>
      </c>
      <c r="E4733" s="61" t="str">
        <f aca="false">IF($M4733=0,"",INDEX(Classes!$C$6:$C$420,$M4733))</f>
        <v/>
      </c>
      <c r="F4733" s="63"/>
      <c r="G4733" s="63"/>
      <c r="H4733" s="60"/>
      <c r="I4733" s="60"/>
      <c r="J4733" s="63"/>
      <c r="K4733" s="61" t="str">
        <f aca="false">IF($P4733=0,"",IF($F4733="Baseline","— Baseline",IF($O4733=0,"No result",IF($N4733=0,"No Start (attainment only)",IF(OR($N4733=1,$O4733=1),"U – needs rule",INDEX(MxBody,MATCH($I4733,MxCurr,0),MATCH($H4733,MxStart,0)))))))</f>
        <v/>
      </c>
      <c r="L4733" s="62" t="str">
        <f aca="false">IF(COUNTA($A4733,$F4733,$G4733,$H4733,$I4733,$J4733)=0,"",IF($M4733=0,"✖ كود الصف غير موجود",IF(ISNA(MATCH($F4733,Lists!$A$2:$A$5,0)),"✖ الفترة غير صحيحة",IF(ISNA(MATCH($G4733,Lists!$B$2:$B$7,0)),"✖ المجموعة غير صحيحة",IF(NOT(OR($H4733="",$N4733&gt;0)),"✖ Start غير صحيح",IF(NOT(OR($I4733="",$I4733="NR",$O4733&gt;0)),"✖ Current غير صحيح",IF(NOT(IF(ISNUMBER($J4733),AND($J4733&gt;=0,$J4733=INT($J4733)),FALSE())),"✖ العدد يجب أن يكون صحيحًا ≥ 0",IF(AND($F4733="Baseline",$H4733&lt;&gt;""),"⚠ Baseline: Start لا يدخل في التقدم",IF($K4733="No Start (attainment only)","ℹ تحصيل فقط (بدون Start)",IF($K4733="U – needs rule","ℹ حالة U تحتاج قاعدة معتمدة",IF($K4733="No result","ℹ بدون نتيجة (يُستبعد من التحصيل)","OK")))))))))))</f>
        <v/>
      </c>
      <c r="M4733" s="64" t="n">
        <f aca="false">IF($A4733="",0,IFERROR(MATCH($A4733,Classes!$A$6:$A$420,0),0))</f>
        <v>0</v>
      </c>
      <c r="N4733" s="64" t="n">
        <f aca="false">IF($H4733="",0,IFERROR(MATCH($H4733,GradeList,0),0))</f>
        <v>0</v>
      </c>
      <c r="O4733" s="64" t="n">
        <f aca="false">IF(OR($I4733="",$I4733="NR"),0,IFERROR(MATCH($I4733,GradeList,0),0))</f>
        <v>0</v>
      </c>
      <c r="P4733" s="64" t="n">
        <f aca="false">IF(AND($M4733&gt;0,ISNUMBER(MATCH($F4733,Lists!$A$2:$A$5,0)),ISNUMBER(MATCH($G4733,Lists!$B$2:$B$7,0)),OR($H4733="",$N4733&gt;0),OR($I4733="",$I4733="NR",$O4733&gt;0),IF(ISNUMBER($J4733),AND($J4733&gt;=0,$J4733=INT($J4733)),FALSE())),$J4733,0)</f>
        <v>0</v>
      </c>
      <c r="Q4733" s="64" t="n">
        <f aca="false">IF(AND($P4733&gt;0,$O4733&gt;0),$P4733,0)</f>
        <v>0</v>
      </c>
      <c r="R4733" s="64" t="n">
        <f aca="false">IF(AND($Q4733&gt;0,$O4733&gt;=AtRank),$Q4733,0)</f>
        <v>0</v>
      </c>
      <c r="S4733" s="64" t="n">
        <f aca="false">IF(AND($Q4733&gt;0,$O4733&gt;=AboveRank),$Q4733,0)</f>
        <v>0</v>
      </c>
      <c r="T4733" s="64" t="n">
        <f aca="false">IF($K4733="Less",$P4733,0)</f>
        <v>0</v>
      </c>
      <c r="U4733" s="64" t="n">
        <f aca="false">IF($K4733="Expected",$P4733,0)</f>
        <v>0</v>
      </c>
      <c r="V4733" s="64" t="n">
        <f aca="false">IF($K4733="Better",$P4733,0)</f>
        <v>0</v>
      </c>
      <c r="W4733" s="64" t="n">
        <f aca="false">IF($K4733="U – needs rule",$P4733,0)</f>
        <v>0</v>
      </c>
      <c r="X4733" s="64" t="n">
        <f aca="false">IF($K4733="No Start (attainment only)",$P4733,0)</f>
        <v>0</v>
      </c>
    </row>
    <row r="4734" customFormat="false" ht="15" hidden="false" customHeight="false" outlineLevel="0" collapsed="false">
      <c r="A4734" s="60"/>
      <c r="B4734" s="61" t="str">
        <f aca="false">IF($M4734=0,"",INDEX(Classes!$E$6:$E$420,$M4734))</f>
        <v/>
      </c>
      <c r="C4734" s="62" t="str">
        <f aca="false">IF($M4734=0,"",INDEX(Classes!$H$6:$H$420,$M4734))</f>
        <v/>
      </c>
      <c r="D4734" s="61" t="str">
        <f aca="false">IF($M4734=0,"",INDEX(Classes!$B$6:$B$420,$M4734))</f>
        <v/>
      </c>
      <c r="E4734" s="61" t="str">
        <f aca="false">IF($M4734=0,"",INDEX(Classes!$C$6:$C$420,$M4734))</f>
        <v/>
      </c>
      <c r="F4734" s="63"/>
      <c r="G4734" s="63"/>
      <c r="H4734" s="60"/>
      <c r="I4734" s="60"/>
      <c r="J4734" s="63"/>
      <c r="K4734" s="61" t="str">
        <f aca="false">IF($P4734=0,"",IF($F4734="Baseline","— Baseline",IF($O4734=0,"No result",IF($N4734=0,"No Start (attainment only)",IF(OR($N4734=1,$O4734=1),"U – needs rule",INDEX(MxBody,MATCH($I4734,MxCurr,0),MATCH($H4734,MxStart,0)))))))</f>
        <v/>
      </c>
      <c r="L4734" s="62" t="str">
        <f aca="false">IF(COUNTA($A4734,$F4734,$G4734,$H4734,$I4734,$J4734)=0,"",IF($M4734=0,"✖ كود الصف غير موجود",IF(ISNA(MATCH($F4734,Lists!$A$2:$A$5,0)),"✖ الفترة غير صحيحة",IF(ISNA(MATCH($G4734,Lists!$B$2:$B$7,0)),"✖ المجموعة غير صحيحة",IF(NOT(OR($H4734="",$N4734&gt;0)),"✖ Start غير صحيح",IF(NOT(OR($I4734="",$I4734="NR",$O4734&gt;0)),"✖ Current غير صحيح",IF(NOT(IF(ISNUMBER($J4734),AND($J4734&gt;=0,$J4734=INT($J4734)),FALSE())),"✖ العدد يجب أن يكون صحيحًا ≥ 0",IF(AND($F4734="Baseline",$H4734&lt;&gt;""),"⚠ Baseline: Start لا يدخل في التقدم",IF($K4734="No Start (attainment only)","ℹ تحصيل فقط (بدون Start)",IF($K4734="U – needs rule","ℹ حالة U تحتاج قاعدة معتمدة",IF($K4734="No result","ℹ بدون نتيجة (يُستبعد من التحصيل)","OK")))))))))))</f>
        <v/>
      </c>
      <c r="M4734" s="64" t="n">
        <f aca="false">IF($A4734="",0,IFERROR(MATCH($A4734,Classes!$A$6:$A$420,0),0))</f>
        <v>0</v>
      </c>
      <c r="N4734" s="64" t="n">
        <f aca="false">IF($H4734="",0,IFERROR(MATCH($H4734,GradeList,0),0))</f>
        <v>0</v>
      </c>
      <c r="O4734" s="64" t="n">
        <f aca="false">IF(OR($I4734="",$I4734="NR"),0,IFERROR(MATCH($I4734,GradeList,0),0))</f>
        <v>0</v>
      </c>
      <c r="P4734" s="64" t="n">
        <f aca="false">IF(AND($M4734&gt;0,ISNUMBER(MATCH($F4734,Lists!$A$2:$A$5,0)),ISNUMBER(MATCH($G4734,Lists!$B$2:$B$7,0)),OR($H4734="",$N4734&gt;0),OR($I4734="",$I4734="NR",$O4734&gt;0),IF(ISNUMBER($J4734),AND($J4734&gt;=0,$J4734=INT($J4734)),FALSE())),$J4734,0)</f>
        <v>0</v>
      </c>
      <c r="Q4734" s="64" t="n">
        <f aca="false">IF(AND($P4734&gt;0,$O4734&gt;0),$P4734,0)</f>
        <v>0</v>
      </c>
      <c r="R4734" s="64" t="n">
        <f aca="false">IF(AND($Q4734&gt;0,$O4734&gt;=AtRank),$Q4734,0)</f>
        <v>0</v>
      </c>
      <c r="S4734" s="64" t="n">
        <f aca="false">IF(AND($Q4734&gt;0,$O4734&gt;=AboveRank),$Q4734,0)</f>
        <v>0</v>
      </c>
      <c r="T4734" s="64" t="n">
        <f aca="false">IF($K4734="Less",$P4734,0)</f>
        <v>0</v>
      </c>
      <c r="U4734" s="64" t="n">
        <f aca="false">IF($K4734="Expected",$P4734,0)</f>
        <v>0</v>
      </c>
      <c r="V4734" s="64" t="n">
        <f aca="false">IF($K4734="Better",$P4734,0)</f>
        <v>0</v>
      </c>
      <c r="W4734" s="64" t="n">
        <f aca="false">IF($K4734="U – needs rule",$P4734,0)</f>
        <v>0</v>
      </c>
      <c r="X4734" s="64" t="n">
        <f aca="false">IF($K4734="No Start (attainment only)",$P4734,0)</f>
        <v>0</v>
      </c>
    </row>
    <row r="4735" customFormat="false" ht="15" hidden="false" customHeight="false" outlineLevel="0" collapsed="false">
      <c r="A4735" s="60"/>
      <c r="B4735" s="61" t="str">
        <f aca="false">IF($M4735=0,"",INDEX(Classes!$E$6:$E$420,$M4735))</f>
        <v/>
      </c>
      <c r="C4735" s="62" t="str">
        <f aca="false">IF($M4735=0,"",INDEX(Classes!$H$6:$H$420,$M4735))</f>
        <v/>
      </c>
      <c r="D4735" s="61" t="str">
        <f aca="false">IF($M4735=0,"",INDEX(Classes!$B$6:$B$420,$M4735))</f>
        <v/>
      </c>
      <c r="E4735" s="61" t="str">
        <f aca="false">IF($M4735=0,"",INDEX(Classes!$C$6:$C$420,$M4735))</f>
        <v/>
      </c>
      <c r="F4735" s="63"/>
      <c r="G4735" s="63"/>
      <c r="H4735" s="60"/>
      <c r="I4735" s="60"/>
      <c r="J4735" s="63"/>
      <c r="K4735" s="61" t="str">
        <f aca="false">IF($P4735=0,"",IF($F4735="Baseline","— Baseline",IF($O4735=0,"No result",IF($N4735=0,"No Start (attainment only)",IF(OR($N4735=1,$O4735=1),"U – needs rule",INDEX(MxBody,MATCH($I4735,MxCurr,0),MATCH($H4735,MxStart,0)))))))</f>
        <v/>
      </c>
      <c r="L4735" s="62" t="str">
        <f aca="false">IF(COUNTA($A4735,$F4735,$G4735,$H4735,$I4735,$J4735)=0,"",IF($M4735=0,"✖ كود الصف غير موجود",IF(ISNA(MATCH($F4735,Lists!$A$2:$A$5,0)),"✖ الفترة غير صحيحة",IF(ISNA(MATCH($G4735,Lists!$B$2:$B$7,0)),"✖ المجموعة غير صحيحة",IF(NOT(OR($H4735="",$N4735&gt;0)),"✖ Start غير صحيح",IF(NOT(OR($I4735="",$I4735="NR",$O4735&gt;0)),"✖ Current غير صحيح",IF(NOT(IF(ISNUMBER($J4735),AND($J4735&gt;=0,$J4735=INT($J4735)),FALSE())),"✖ العدد يجب أن يكون صحيحًا ≥ 0",IF(AND($F4735="Baseline",$H4735&lt;&gt;""),"⚠ Baseline: Start لا يدخل في التقدم",IF($K4735="No Start (attainment only)","ℹ تحصيل فقط (بدون Start)",IF($K4735="U – needs rule","ℹ حالة U تحتاج قاعدة معتمدة",IF($K4735="No result","ℹ بدون نتيجة (يُستبعد من التحصيل)","OK")))))))))))</f>
        <v/>
      </c>
      <c r="M4735" s="64" t="n">
        <f aca="false">IF($A4735="",0,IFERROR(MATCH($A4735,Classes!$A$6:$A$420,0),0))</f>
        <v>0</v>
      </c>
      <c r="N4735" s="64" t="n">
        <f aca="false">IF($H4735="",0,IFERROR(MATCH($H4735,GradeList,0),0))</f>
        <v>0</v>
      </c>
      <c r="O4735" s="64" t="n">
        <f aca="false">IF(OR($I4735="",$I4735="NR"),0,IFERROR(MATCH($I4735,GradeList,0),0))</f>
        <v>0</v>
      </c>
      <c r="P4735" s="64" t="n">
        <f aca="false">IF(AND($M4735&gt;0,ISNUMBER(MATCH($F4735,Lists!$A$2:$A$5,0)),ISNUMBER(MATCH($G4735,Lists!$B$2:$B$7,0)),OR($H4735="",$N4735&gt;0),OR($I4735="",$I4735="NR",$O4735&gt;0),IF(ISNUMBER($J4735),AND($J4735&gt;=0,$J4735=INT($J4735)),FALSE())),$J4735,0)</f>
        <v>0</v>
      </c>
      <c r="Q4735" s="64" t="n">
        <f aca="false">IF(AND($P4735&gt;0,$O4735&gt;0),$P4735,0)</f>
        <v>0</v>
      </c>
      <c r="R4735" s="64" t="n">
        <f aca="false">IF(AND($Q4735&gt;0,$O4735&gt;=AtRank),$Q4735,0)</f>
        <v>0</v>
      </c>
      <c r="S4735" s="64" t="n">
        <f aca="false">IF(AND($Q4735&gt;0,$O4735&gt;=AboveRank),$Q4735,0)</f>
        <v>0</v>
      </c>
      <c r="T4735" s="64" t="n">
        <f aca="false">IF($K4735="Less",$P4735,0)</f>
        <v>0</v>
      </c>
      <c r="U4735" s="64" t="n">
        <f aca="false">IF($K4735="Expected",$P4735,0)</f>
        <v>0</v>
      </c>
      <c r="V4735" s="64" t="n">
        <f aca="false">IF($K4735="Better",$P4735,0)</f>
        <v>0</v>
      </c>
      <c r="W4735" s="64" t="n">
        <f aca="false">IF($K4735="U – needs rule",$P4735,0)</f>
        <v>0</v>
      </c>
      <c r="X4735" s="64" t="n">
        <f aca="false">IF($K4735="No Start (attainment only)",$P4735,0)</f>
        <v>0</v>
      </c>
    </row>
    <row r="4736" customFormat="false" ht="15" hidden="false" customHeight="false" outlineLevel="0" collapsed="false">
      <c r="A4736" s="60"/>
      <c r="B4736" s="61" t="str">
        <f aca="false">IF($M4736=0,"",INDEX(Classes!$E$6:$E$420,$M4736))</f>
        <v/>
      </c>
      <c r="C4736" s="62" t="str">
        <f aca="false">IF($M4736=0,"",INDEX(Classes!$H$6:$H$420,$M4736))</f>
        <v/>
      </c>
      <c r="D4736" s="61" t="str">
        <f aca="false">IF($M4736=0,"",INDEX(Classes!$B$6:$B$420,$M4736))</f>
        <v/>
      </c>
      <c r="E4736" s="61" t="str">
        <f aca="false">IF($M4736=0,"",INDEX(Classes!$C$6:$C$420,$M4736))</f>
        <v/>
      </c>
      <c r="F4736" s="63"/>
      <c r="G4736" s="63"/>
      <c r="H4736" s="60"/>
      <c r="I4736" s="60"/>
      <c r="J4736" s="63"/>
      <c r="K4736" s="61" t="str">
        <f aca="false">IF($P4736=0,"",IF($F4736="Baseline","— Baseline",IF($O4736=0,"No result",IF($N4736=0,"No Start (attainment only)",IF(OR($N4736=1,$O4736=1),"U – needs rule",INDEX(MxBody,MATCH($I4736,MxCurr,0),MATCH($H4736,MxStart,0)))))))</f>
        <v/>
      </c>
      <c r="L4736" s="62" t="str">
        <f aca="false">IF(COUNTA($A4736,$F4736,$G4736,$H4736,$I4736,$J4736)=0,"",IF($M4736=0,"✖ كود الصف غير موجود",IF(ISNA(MATCH($F4736,Lists!$A$2:$A$5,0)),"✖ الفترة غير صحيحة",IF(ISNA(MATCH($G4736,Lists!$B$2:$B$7,0)),"✖ المجموعة غير صحيحة",IF(NOT(OR($H4736="",$N4736&gt;0)),"✖ Start غير صحيح",IF(NOT(OR($I4736="",$I4736="NR",$O4736&gt;0)),"✖ Current غير صحيح",IF(NOT(IF(ISNUMBER($J4736),AND($J4736&gt;=0,$J4736=INT($J4736)),FALSE())),"✖ العدد يجب أن يكون صحيحًا ≥ 0",IF(AND($F4736="Baseline",$H4736&lt;&gt;""),"⚠ Baseline: Start لا يدخل في التقدم",IF($K4736="No Start (attainment only)","ℹ تحصيل فقط (بدون Start)",IF($K4736="U – needs rule","ℹ حالة U تحتاج قاعدة معتمدة",IF($K4736="No result","ℹ بدون نتيجة (يُستبعد من التحصيل)","OK")))))))))))</f>
        <v/>
      </c>
      <c r="M4736" s="64" t="n">
        <f aca="false">IF($A4736="",0,IFERROR(MATCH($A4736,Classes!$A$6:$A$420,0),0))</f>
        <v>0</v>
      </c>
      <c r="N4736" s="64" t="n">
        <f aca="false">IF($H4736="",0,IFERROR(MATCH($H4736,GradeList,0),0))</f>
        <v>0</v>
      </c>
      <c r="O4736" s="64" t="n">
        <f aca="false">IF(OR($I4736="",$I4736="NR"),0,IFERROR(MATCH($I4736,GradeList,0),0))</f>
        <v>0</v>
      </c>
      <c r="P4736" s="64" t="n">
        <f aca="false">IF(AND($M4736&gt;0,ISNUMBER(MATCH($F4736,Lists!$A$2:$A$5,0)),ISNUMBER(MATCH($G4736,Lists!$B$2:$B$7,0)),OR($H4736="",$N4736&gt;0),OR($I4736="",$I4736="NR",$O4736&gt;0),IF(ISNUMBER($J4736),AND($J4736&gt;=0,$J4736=INT($J4736)),FALSE())),$J4736,0)</f>
        <v>0</v>
      </c>
      <c r="Q4736" s="64" t="n">
        <f aca="false">IF(AND($P4736&gt;0,$O4736&gt;0),$P4736,0)</f>
        <v>0</v>
      </c>
      <c r="R4736" s="64" t="n">
        <f aca="false">IF(AND($Q4736&gt;0,$O4736&gt;=AtRank),$Q4736,0)</f>
        <v>0</v>
      </c>
      <c r="S4736" s="64" t="n">
        <f aca="false">IF(AND($Q4736&gt;0,$O4736&gt;=AboveRank),$Q4736,0)</f>
        <v>0</v>
      </c>
      <c r="T4736" s="64" t="n">
        <f aca="false">IF($K4736="Less",$P4736,0)</f>
        <v>0</v>
      </c>
      <c r="U4736" s="64" t="n">
        <f aca="false">IF($K4736="Expected",$P4736,0)</f>
        <v>0</v>
      </c>
      <c r="V4736" s="64" t="n">
        <f aca="false">IF($K4736="Better",$P4736,0)</f>
        <v>0</v>
      </c>
      <c r="W4736" s="64" t="n">
        <f aca="false">IF($K4736="U – needs rule",$P4736,0)</f>
        <v>0</v>
      </c>
      <c r="X4736" s="64" t="n">
        <f aca="false">IF($K4736="No Start (attainment only)",$P4736,0)</f>
        <v>0</v>
      </c>
    </row>
    <row r="4737" customFormat="false" ht="15" hidden="false" customHeight="false" outlineLevel="0" collapsed="false">
      <c r="A4737" s="60"/>
      <c r="B4737" s="61" t="str">
        <f aca="false">IF($M4737=0,"",INDEX(Classes!$E$6:$E$420,$M4737))</f>
        <v/>
      </c>
      <c r="C4737" s="62" t="str">
        <f aca="false">IF($M4737=0,"",INDEX(Classes!$H$6:$H$420,$M4737))</f>
        <v/>
      </c>
      <c r="D4737" s="61" t="str">
        <f aca="false">IF($M4737=0,"",INDEX(Classes!$B$6:$B$420,$M4737))</f>
        <v/>
      </c>
      <c r="E4737" s="61" t="str">
        <f aca="false">IF($M4737=0,"",INDEX(Classes!$C$6:$C$420,$M4737))</f>
        <v/>
      </c>
      <c r="F4737" s="63"/>
      <c r="G4737" s="63"/>
      <c r="H4737" s="60"/>
      <c r="I4737" s="60"/>
      <c r="J4737" s="63"/>
      <c r="K4737" s="61" t="str">
        <f aca="false">IF($P4737=0,"",IF($F4737="Baseline","— Baseline",IF($O4737=0,"No result",IF($N4737=0,"No Start (attainment only)",IF(OR($N4737=1,$O4737=1),"U – needs rule",INDEX(MxBody,MATCH($I4737,MxCurr,0),MATCH($H4737,MxStart,0)))))))</f>
        <v/>
      </c>
      <c r="L4737" s="62" t="str">
        <f aca="false">IF(COUNTA($A4737,$F4737,$G4737,$H4737,$I4737,$J4737)=0,"",IF($M4737=0,"✖ كود الصف غير موجود",IF(ISNA(MATCH($F4737,Lists!$A$2:$A$5,0)),"✖ الفترة غير صحيحة",IF(ISNA(MATCH($G4737,Lists!$B$2:$B$7,0)),"✖ المجموعة غير صحيحة",IF(NOT(OR($H4737="",$N4737&gt;0)),"✖ Start غير صحيح",IF(NOT(OR($I4737="",$I4737="NR",$O4737&gt;0)),"✖ Current غير صحيح",IF(NOT(IF(ISNUMBER($J4737),AND($J4737&gt;=0,$J4737=INT($J4737)),FALSE())),"✖ العدد يجب أن يكون صحيحًا ≥ 0",IF(AND($F4737="Baseline",$H4737&lt;&gt;""),"⚠ Baseline: Start لا يدخل في التقدم",IF($K4737="No Start (attainment only)","ℹ تحصيل فقط (بدون Start)",IF($K4737="U – needs rule","ℹ حالة U تحتاج قاعدة معتمدة",IF($K4737="No result","ℹ بدون نتيجة (يُستبعد من التحصيل)","OK")))))))))))</f>
        <v/>
      </c>
      <c r="M4737" s="64" t="n">
        <f aca="false">IF($A4737="",0,IFERROR(MATCH($A4737,Classes!$A$6:$A$420,0),0))</f>
        <v>0</v>
      </c>
      <c r="N4737" s="64" t="n">
        <f aca="false">IF($H4737="",0,IFERROR(MATCH($H4737,GradeList,0),0))</f>
        <v>0</v>
      </c>
      <c r="O4737" s="64" t="n">
        <f aca="false">IF(OR($I4737="",$I4737="NR"),0,IFERROR(MATCH($I4737,GradeList,0),0))</f>
        <v>0</v>
      </c>
      <c r="P4737" s="64" t="n">
        <f aca="false">IF(AND($M4737&gt;0,ISNUMBER(MATCH($F4737,Lists!$A$2:$A$5,0)),ISNUMBER(MATCH($G4737,Lists!$B$2:$B$7,0)),OR($H4737="",$N4737&gt;0),OR($I4737="",$I4737="NR",$O4737&gt;0),IF(ISNUMBER($J4737),AND($J4737&gt;=0,$J4737=INT($J4737)),FALSE())),$J4737,0)</f>
        <v>0</v>
      </c>
      <c r="Q4737" s="64" t="n">
        <f aca="false">IF(AND($P4737&gt;0,$O4737&gt;0),$P4737,0)</f>
        <v>0</v>
      </c>
      <c r="R4737" s="64" t="n">
        <f aca="false">IF(AND($Q4737&gt;0,$O4737&gt;=AtRank),$Q4737,0)</f>
        <v>0</v>
      </c>
      <c r="S4737" s="64" t="n">
        <f aca="false">IF(AND($Q4737&gt;0,$O4737&gt;=AboveRank),$Q4737,0)</f>
        <v>0</v>
      </c>
      <c r="T4737" s="64" t="n">
        <f aca="false">IF($K4737="Less",$P4737,0)</f>
        <v>0</v>
      </c>
      <c r="U4737" s="64" t="n">
        <f aca="false">IF($K4737="Expected",$P4737,0)</f>
        <v>0</v>
      </c>
      <c r="V4737" s="64" t="n">
        <f aca="false">IF($K4737="Better",$P4737,0)</f>
        <v>0</v>
      </c>
      <c r="W4737" s="64" t="n">
        <f aca="false">IF($K4737="U – needs rule",$P4737,0)</f>
        <v>0</v>
      </c>
      <c r="X4737" s="64" t="n">
        <f aca="false">IF($K4737="No Start (attainment only)",$P4737,0)</f>
        <v>0</v>
      </c>
    </row>
    <row r="4738" customFormat="false" ht="15" hidden="false" customHeight="false" outlineLevel="0" collapsed="false">
      <c r="A4738" s="60"/>
      <c r="B4738" s="61" t="str">
        <f aca="false">IF($M4738=0,"",INDEX(Classes!$E$6:$E$420,$M4738))</f>
        <v/>
      </c>
      <c r="C4738" s="62" t="str">
        <f aca="false">IF($M4738=0,"",INDEX(Classes!$H$6:$H$420,$M4738))</f>
        <v/>
      </c>
      <c r="D4738" s="61" t="str">
        <f aca="false">IF($M4738=0,"",INDEX(Classes!$B$6:$B$420,$M4738))</f>
        <v/>
      </c>
      <c r="E4738" s="61" t="str">
        <f aca="false">IF($M4738=0,"",INDEX(Classes!$C$6:$C$420,$M4738))</f>
        <v/>
      </c>
      <c r="F4738" s="63"/>
      <c r="G4738" s="63"/>
      <c r="H4738" s="60"/>
      <c r="I4738" s="60"/>
      <c r="J4738" s="63"/>
      <c r="K4738" s="61" t="str">
        <f aca="false">IF($P4738=0,"",IF($F4738="Baseline","— Baseline",IF($O4738=0,"No result",IF($N4738=0,"No Start (attainment only)",IF(OR($N4738=1,$O4738=1),"U – needs rule",INDEX(MxBody,MATCH($I4738,MxCurr,0),MATCH($H4738,MxStart,0)))))))</f>
        <v/>
      </c>
      <c r="L4738" s="62" t="str">
        <f aca="false">IF(COUNTA($A4738,$F4738,$G4738,$H4738,$I4738,$J4738)=0,"",IF($M4738=0,"✖ كود الصف غير موجود",IF(ISNA(MATCH($F4738,Lists!$A$2:$A$5,0)),"✖ الفترة غير صحيحة",IF(ISNA(MATCH($G4738,Lists!$B$2:$B$7,0)),"✖ المجموعة غير صحيحة",IF(NOT(OR($H4738="",$N4738&gt;0)),"✖ Start غير صحيح",IF(NOT(OR($I4738="",$I4738="NR",$O4738&gt;0)),"✖ Current غير صحيح",IF(NOT(IF(ISNUMBER($J4738),AND($J4738&gt;=0,$J4738=INT($J4738)),FALSE())),"✖ العدد يجب أن يكون صحيحًا ≥ 0",IF(AND($F4738="Baseline",$H4738&lt;&gt;""),"⚠ Baseline: Start لا يدخل في التقدم",IF($K4738="No Start (attainment only)","ℹ تحصيل فقط (بدون Start)",IF($K4738="U – needs rule","ℹ حالة U تحتاج قاعدة معتمدة",IF($K4738="No result","ℹ بدون نتيجة (يُستبعد من التحصيل)","OK")))))))))))</f>
        <v/>
      </c>
      <c r="M4738" s="64" t="n">
        <f aca="false">IF($A4738="",0,IFERROR(MATCH($A4738,Classes!$A$6:$A$420,0),0))</f>
        <v>0</v>
      </c>
      <c r="N4738" s="64" t="n">
        <f aca="false">IF($H4738="",0,IFERROR(MATCH($H4738,GradeList,0),0))</f>
        <v>0</v>
      </c>
      <c r="O4738" s="64" t="n">
        <f aca="false">IF(OR($I4738="",$I4738="NR"),0,IFERROR(MATCH($I4738,GradeList,0),0))</f>
        <v>0</v>
      </c>
      <c r="P4738" s="64" t="n">
        <f aca="false">IF(AND($M4738&gt;0,ISNUMBER(MATCH($F4738,Lists!$A$2:$A$5,0)),ISNUMBER(MATCH($G4738,Lists!$B$2:$B$7,0)),OR($H4738="",$N4738&gt;0),OR($I4738="",$I4738="NR",$O4738&gt;0),IF(ISNUMBER($J4738),AND($J4738&gt;=0,$J4738=INT($J4738)),FALSE())),$J4738,0)</f>
        <v>0</v>
      </c>
      <c r="Q4738" s="64" t="n">
        <f aca="false">IF(AND($P4738&gt;0,$O4738&gt;0),$P4738,0)</f>
        <v>0</v>
      </c>
      <c r="R4738" s="64" t="n">
        <f aca="false">IF(AND($Q4738&gt;0,$O4738&gt;=AtRank),$Q4738,0)</f>
        <v>0</v>
      </c>
      <c r="S4738" s="64" t="n">
        <f aca="false">IF(AND($Q4738&gt;0,$O4738&gt;=AboveRank),$Q4738,0)</f>
        <v>0</v>
      </c>
      <c r="T4738" s="64" t="n">
        <f aca="false">IF($K4738="Less",$P4738,0)</f>
        <v>0</v>
      </c>
      <c r="U4738" s="64" t="n">
        <f aca="false">IF($K4738="Expected",$P4738,0)</f>
        <v>0</v>
      </c>
      <c r="V4738" s="64" t="n">
        <f aca="false">IF($K4738="Better",$P4738,0)</f>
        <v>0</v>
      </c>
      <c r="W4738" s="64" t="n">
        <f aca="false">IF($K4738="U – needs rule",$P4738,0)</f>
        <v>0</v>
      </c>
      <c r="X4738" s="64" t="n">
        <f aca="false">IF($K4738="No Start (attainment only)",$P4738,0)</f>
        <v>0</v>
      </c>
    </row>
    <row r="4739" customFormat="false" ht="15" hidden="false" customHeight="false" outlineLevel="0" collapsed="false">
      <c r="A4739" s="60"/>
      <c r="B4739" s="61" t="str">
        <f aca="false">IF($M4739=0,"",INDEX(Classes!$E$6:$E$420,$M4739))</f>
        <v/>
      </c>
      <c r="C4739" s="62" t="str">
        <f aca="false">IF($M4739=0,"",INDEX(Classes!$H$6:$H$420,$M4739))</f>
        <v/>
      </c>
      <c r="D4739" s="61" t="str">
        <f aca="false">IF($M4739=0,"",INDEX(Classes!$B$6:$B$420,$M4739))</f>
        <v/>
      </c>
      <c r="E4739" s="61" t="str">
        <f aca="false">IF($M4739=0,"",INDEX(Classes!$C$6:$C$420,$M4739))</f>
        <v/>
      </c>
      <c r="F4739" s="63"/>
      <c r="G4739" s="63"/>
      <c r="H4739" s="60"/>
      <c r="I4739" s="60"/>
      <c r="J4739" s="63"/>
      <c r="K4739" s="61" t="str">
        <f aca="false">IF($P4739=0,"",IF($F4739="Baseline","— Baseline",IF($O4739=0,"No result",IF($N4739=0,"No Start (attainment only)",IF(OR($N4739=1,$O4739=1),"U – needs rule",INDEX(MxBody,MATCH($I4739,MxCurr,0),MATCH($H4739,MxStart,0)))))))</f>
        <v/>
      </c>
      <c r="L4739" s="62" t="str">
        <f aca="false">IF(COUNTA($A4739,$F4739,$G4739,$H4739,$I4739,$J4739)=0,"",IF($M4739=0,"✖ كود الصف غير موجود",IF(ISNA(MATCH($F4739,Lists!$A$2:$A$5,0)),"✖ الفترة غير صحيحة",IF(ISNA(MATCH($G4739,Lists!$B$2:$B$7,0)),"✖ المجموعة غير صحيحة",IF(NOT(OR($H4739="",$N4739&gt;0)),"✖ Start غير صحيح",IF(NOT(OR($I4739="",$I4739="NR",$O4739&gt;0)),"✖ Current غير صحيح",IF(NOT(IF(ISNUMBER($J4739),AND($J4739&gt;=0,$J4739=INT($J4739)),FALSE())),"✖ العدد يجب أن يكون صحيحًا ≥ 0",IF(AND($F4739="Baseline",$H4739&lt;&gt;""),"⚠ Baseline: Start لا يدخل في التقدم",IF($K4739="No Start (attainment only)","ℹ تحصيل فقط (بدون Start)",IF($K4739="U – needs rule","ℹ حالة U تحتاج قاعدة معتمدة",IF($K4739="No result","ℹ بدون نتيجة (يُستبعد من التحصيل)","OK")))))))))))</f>
        <v/>
      </c>
      <c r="M4739" s="64" t="n">
        <f aca="false">IF($A4739="",0,IFERROR(MATCH($A4739,Classes!$A$6:$A$420,0),0))</f>
        <v>0</v>
      </c>
      <c r="N4739" s="64" t="n">
        <f aca="false">IF($H4739="",0,IFERROR(MATCH($H4739,GradeList,0),0))</f>
        <v>0</v>
      </c>
      <c r="O4739" s="64" t="n">
        <f aca="false">IF(OR($I4739="",$I4739="NR"),0,IFERROR(MATCH($I4739,GradeList,0),0))</f>
        <v>0</v>
      </c>
      <c r="P4739" s="64" t="n">
        <f aca="false">IF(AND($M4739&gt;0,ISNUMBER(MATCH($F4739,Lists!$A$2:$A$5,0)),ISNUMBER(MATCH($G4739,Lists!$B$2:$B$7,0)),OR($H4739="",$N4739&gt;0),OR($I4739="",$I4739="NR",$O4739&gt;0),IF(ISNUMBER($J4739),AND($J4739&gt;=0,$J4739=INT($J4739)),FALSE())),$J4739,0)</f>
        <v>0</v>
      </c>
      <c r="Q4739" s="64" t="n">
        <f aca="false">IF(AND($P4739&gt;0,$O4739&gt;0),$P4739,0)</f>
        <v>0</v>
      </c>
      <c r="R4739" s="64" t="n">
        <f aca="false">IF(AND($Q4739&gt;0,$O4739&gt;=AtRank),$Q4739,0)</f>
        <v>0</v>
      </c>
      <c r="S4739" s="64" t="n">
        <f aca="false">IF(AND($Q4739&gt;0,$O4739&gt;=AboveRank),$Q4739,0)</f>
        <v>0</v>
      </c>
      <c r="T4739" s="64" t="n">
        <f aca="false">IF($K4739="Less",$P4739,0)</f>
        <v>0</v>
      </c>
      <c r="U4739" s="64" t="n">
        <f aca="false">IF($K4739="Expected",$P4739,0)</f>
        <v>0</v>
      </c>
      <c r="V4739" s="64" t="n">
        <f aca="false">IF($K4739="Better",$P4739,0)</f>
        <v>0</v>
      </c>
      <c r="W4739" s="64" t="n">
        <f aca="false">IF($K4739="U – needs rule",$P4739,0)</f>
        <v>0</v>
      </c>
      <c r="X4739" s="64" t="n">
        <f aca="false">IF($K4739="No Start (attainment only)",$P4739,0)</f>
        <v>0</v>
      </c>
    </row>
    <row r="4740" customFormat="false" ht="15" hidden="false" customHeight="false" outlineLevel="0" collapsed="false">
      <c r="A4740" s="60"/>
      <c r="B4740" s="61" t="str">
        <f aca="false">IF($M4740=0,"",INDEX(Classes!$E$6:$E$420,$M4740))</f>
        <v/>
      </c>
      <c r="C4740" s="62" t="str">
        <f aca="false">IF($M4740=0,"",INDEX(Classes!$H$6:$H$420,$M4740))</f>
        <v/>
      </c>
      <c r="D4740" s="61" t="str">
        <f aca="false">IF($M4740=0,"",INDEX(Classes!$B$6:$B$420,$M4740))</f>
        <v/>
      </c>
      <c r="E4740" s="61" t="str">
        <f aca="false">IF($M4740=0,"",INDEX(Classes!$C$6:$C$420,$M4740))</f>
        <v/>
      </c>
      <c r="F4740" s="63"/>
      <c r="G4740" s="63"/>
      <c r="H4740" s="60"/>
      <c r="I4740" s="60"/>
      <c r="J4740" s="63"/>
      <c r="K4740" s="61" t="str">
        <f aca="false">IF($P4740=0,"",IF($F4740="Baseline","— Baseline",IF($O4740=0,"No result",IF($N4740=0,"No Start (attainment only)",IF(OR($N4740=1,$O4740=1),"U – needs rule",INDEX(MxBody,MATCH($I4740,MxCurr,0),MATCH($H4740,MxStart,0)))))))</f>
        <v/>
      </c>
      <c r="L4740" s="62" t="str">
        <f aca="false">IF(COUNTA($A4740,$F4740,$G4740,$H4740,$I4740,$J4740)=0,"",IF($M4740=0,"✖ كود الصف غير موجود",IF(ISNA(MATCH($F4740,Lists!$A$2:$A$5,0)),"✖ الفترة غير صحيحة",IF(ISNA(MATCH($G4740,Lists!$B$2:$B$7,0)),"✖ المجموعة غير صحيحة",IF(NOT(OR($H4740="",$N4740&gt;0)),"✖ Start غير صحيح",IF(NOT(OR($I4740="",$I4740="NR",$O4740&gt;0)),"✖ Current غير صحيح",IF(NOT(IF(ISNUMBER($J4740),AND($J4740&gt;=0,$J4740=INT($J4740)),FALSE())),"✖ العدد يجب أن يكون صحيحًا ≥ 0",IF(AND($F4740="Baseline",$H4740&lt;&gt;""),"⚠ Baseline: Start لا يدخل في التقدم",IF($K4740="No Start (attainment only)","ℹ تحصيل فقط (بدون Start)",IF($K4740="U – needs rule","ℹ حالة U تحتاج قاعدة معتمدة",IF($K4740="No result","ℹ بدون نتيجة (يُستبعد من التحصيل)","OK")))))))))))</f>
        <v/>
      </c>
      <c r="M4740" s="64" t="n">
        <f aca="false">IF($A4740="",0,IFERROR(MATCH($A4740,Classes!$A$6:$A$420,0),0))</f>
        <v>0</v>
      </c>
      <c r="N4740" s="64" t="n">
        <f aca="false">IF($H4740="",0,IFERROR(MATCH($H4740,GradeList,0),0))</f>
        <v>0</v>
      </c>
      <c r="O4740" s="64" t="n">
        <f aca="false">IF(OR($I4740="",$I4740="NR"),0,IFERROR(MATCH($I4740,GradeList,0),0))</f>
        <v>0</v>
      </c>
      <c r="P4740" s="64" t="n">
        <f aca="false">IF(AND($M4740&gt;0,ISNUMBER(MATCH($F4740,Lists!$A$2:$A$5,0)),ISNUMBER(MATCH($G4740,Lists!$B$2:$B$7,0)),OR($H4740="",$N4740&gt;0),OR($I4740="",$I4740="NR",$O4740&gt;0),IF(ISNUMBER($J4740),AND($J4740&gt;=0,$J4740=INT($J4740)),FALSE())),$J4740,0)</f>
        <v>0</v>
      </c>
      <c r="Q4740" s="64" t="n">
        <f aca="false">IF(AND($P4740&gt;0,$O4740&gt;0),$P4740,0)</f>
        <v>0</v>
      </c>
      <c r="R4740" s="64" t="n">
        <f aca="false">IF(AND($Q4740&gt;0,$O4740&gt;=AtRank),$Q4740,0)</f>
        <v>0</v>
      </c>
      <c r="S4740" s="64" t="n">
        <f aca="false">IF(AND($Q4740&gt;0,$O4740&gt;=AboveRank),$Q4740,0)</f>
        <v>0</v>
      </c>
      <c r="T4740" s="64" t="n">
        <f aca="false">IF($K4740="Less",$P4740,0)</f>
        <v>0</v>
      </c>
      <c r="U4740" s="64" t="n">
        <f aca="false">IF($K4740="Expected",$P4740,0)</f>
        <v>0</v>
      </c>
      <c r="V4740" s="64" t="n">
        <f aca="false">IF($K4740="Better",$P4740,0)</f>
        <v>0</v>
      </c>
      <c r="W4740" s="64" t="n">
        <f aca="false">IF($K4740="U – needs rule",$P4740,0)</f>
        <v>0</v>
      </c>
      <c r="X4740" s="64" t="n">
        <f aca="false">IF($K4740="No Start (attainment only)",$P4740,0)</f>
        <v>0</v>
      </c>
    </row>
    <row r="4741" customFormat="false" ht="15" hidden="false" customHeight="false" outlineLevel="0" collapsed="false">
      <c r="A4741" s="60"/>
      <c r="B4741" s="61" t="str">
        <f aca="false">IF($M4741=0,"",INDEX(Classes!$E$6:$E$420,$M4741))</f>
        <v/>
      </c>
      <c r="C4741" s="62" t="str">
        <f aca="false">IF($M4741=0,"",INDEX(Classes!$H$6:$H$420,$M4741))</f>
        <v/>
      </c>
      <c r="D4741" s="61" t="str">
        <f aca="false">IF($M4741=0,"",INDEX(Classes!$B$6:$B$420,$M4741))</f>
        <v/>
      </c>
      <c r="E4741" s="61" t="str">
        <f aca="false">IF($M4741=0,"",INDEX(Classes!$C$6:$C$420,$M4741))</f>
        <v/>
      </c>
      <c r="F4741" s="63"/>
      <c r="G4741" s="63"/>
      <c r="H4741" s="60"/>
      <c r="I4741" s="60"/>
      <c r="J4741" s="63"/>
      <c r="K4741" s="61" t="str">
        <f aca="false">IF($P4741=0,"",IF($F4741="Baseline","— Baseline",IF($O4741=0,"No result",IF($N4741=0,"No Start (attainment only)",IF(OR($N4741=1,$O4741=1),"U – needs rule",INDEX(MxBody,MATCH($I4741,MxCurr,0),MATCH($H4741,MxStart,0)))))))</f>
        <v/>
      </c>
      <c r="L4741" s="62" t="str">
        <f aca="false">IF(COUNTA($A4741,$F4741,$G4741,$H4741,$I4741,$J4741)=0,"",IF($M4741=0,"✖ كود الصف غير موجود",IF(ISNA(MATCH($F4741,Lists!$A$2:$A$5,0)),"✖ الفترة غير صحيحة",IF(ISNA(MATCH($G4741,Lists!$B$2:$B$7,0)),"✖ المجموعة غير صحيحة",IF(NOT(OR($H4741="",$N4741&gt;0)),"✖ Start غير صحيح",IF(NOT(OR($I4741="",$I4741="NR",$O4741&gt;0)),"✖ Current غير صحيح",IF(NOT(IF(ISNUMBER($J4741),AND($J4741&gt;=0,$J4741=INT($J4741)),FALSE())),"✖ العدد يجب أن يكون صحيحًا ≥ 0",IF(AND($F4741="Baseline",$H4741&lt;&gt;""),"⚠ Baseline: Start لا يدخل في التقدم",IF($K4741="No Start (attainment only)","ℹ تحصيل فقط (بدون Start)",IF($K4741="U – needs rule","ℹ حالة U تحتاج قاعدة معتمدة",IF($K4741="No result","ℹ بدون نتيجة (يُستبعد من التحصيل)","OK")))))))))))</f>
        <v/>
      </c>
      <c r="M4741" s="64" t="n">
        <f aca="false">IF($A4741="",0,IFERROR(MATCH($A4741,Classes!$A$6:$A$420,0),0))</f>
        <v>0</v>
      </c>
      <c r="N4741" s="64" t="n">
        <f aca="false">IF($H4741="",0,IFERROR(MATCH($H4741,GradeList,0),0))</f>
        <v>0</v>
      </c>
      <c r="O4741" s="64" t="n">
        <f aca="false">IF(OR($I4741="",$I4741="NR"),0,IFERROR(MATCH($I4741,GradeList,0),0))</f>
        <v>0</v>
      </c>
      <c r="P4741" s="64" t="n">
        <f aca="false">IF(AND($M4741&gt;0,ISNUMBER(MATCH($F4741,Lists!$A$2:$A$5,0)),ISNUMBER(MATCH($G4741,Lists!$B$2:$B$7,0)),OR($H4741="",$N4741&gt;0),OR($I4741="",$I4741="NR",$O4741&gt;0),IF(ISNUMBER($J4741),AND($J4741&gt;=0,$J4741=INT($J4741)),FALSE())),$J4741,0)</f>
        <v>0</v>
      </c>
      <c r="Q4741" s="64" t="n">
        <f aca="false">IF(AND($P4741&gt;0,$O4741&gt;0),$P4741,0)</f>
        <v>0</v>
      </c>
      <c r="R4741" s="64" t="n">
        <f aca="false">IF(AND($Q4741&gt;0,$O4741&gt;=AtRank),$Q4741,0)</f>
        <v>0</v>
      </c>
      <c r="S4741" s="64" t="n">
        <f aca="false">IF(AND($Q4741&gt;0,$O4741&gt;=AboveRank),$Q4741,0)</f>
        <v>0</v>
      </c>
      <c r="T4741" s="64" t="n">
        <f aca="false">IF($K4741="Less",$P4741,0)</f>
        <v>0</v>
      </c>
      <c r="U4741" s="64" t="n">
        <f aca="false">IF($K4741="Expected",$P4741,0)</f>
        <v>0</v>
      </c>
      <c r="V4741" s="64" t="n">
        <f aca="false">IF($K4741="Better",$P4741,0)</f>
        <v>0</v>
      </c>
      <c r="W4741" s="64" t="n">
        <f aca="false">IF($K4741="U – needs rule",$P4741,0)</f>
        <v>0</v>
      </c>
      <c r="X4741" s="64" t="n">
        <f aca="false">IF($K4741="No Start (attainment only)",$P4741,0)</f>
        <v>0</v>
      </c>
    </row>
    <row r="4742" customFormat="false" ht="15" hidden="false" customHeight="false" outlineLevel="0" collapsed="false">
      <c r="A4742" s="60"/>
      <c r="B4742" s="61" t="str">
        <f aca="false">IF($M4742=0,"",INDEX(Classes!$E$6:$E$420,$M4742))</f>
        <v/>
      </c>
      <c r="C4742" s="62" t="str">
        <f aca="false">IF($M4742=0,"",INDEX(Classes!$H$6:$H$420,$M4742))</f>
        <v/>
      </c>
      <c r="D4742" s="61" t="str">
        <f aca="false">IF($M4742=0,"",INDEX(Classes!$B$6:$B$420,$M4742))</f>
        <v/>
      </c>
      <c r="E4742" s="61" t="str">
        <f aca="false">IF($M4742=0,"",INDEX(Classes!$C$6:$C$420,$M4742))</f>
        <v/>
      </c>
      <c r="F4742" s="63"/>
      <c r="G4742" s="63"/>
      <c r="H4742" s="60"/>
      <c r="I4742" s="60"/>
      <c r="J4742" s="63"/>
      <c r="K4742" s="61" t="str">
        <f aca="false">IF($P4742=0,"",IF($F4742="Baseline","— Baseline",IF($O4742=0,"No result",IF($N4742=0,"No Start (attainment only)",IF(OR($N4742=1,$O4742=1),"U – needs rule",INDEX(MxBody,MATCH($I4742,MxCurr,0),MATCH($H4742,MxStart,0)))))))</f>
        <v/>
      </c>
      <c r="L4742" s="62" t="str">
        <f aca="false">IF(COUNTA($A4742,$F4742,$G4742,$H4742,$I4742,$J4742)=0,"",IF($M4742=0,"✖ كود الصف غير موجود",IF(ISNA(MATCH($F4742,Lists!$A$2:$A$5,0)),"✖ الفترة غير صحيحة",IF(ISNA(MATCH($G4742,Lists!$B$2:$B$7,0)),"✖ المجموعة غير صحيحة",IF(NOT(OR($H4742="",$N4742&gt;0)),"✖ Start غير صحيح",IF(NOT(OR($I4742="",$I4742="NR",$O4742&gt;0)),"✖ Current غير صحيح",IF(NOT(IF(ISNUMBER($J4742),AND($J4742&gt;=0,$J4742=INT($J4742)),FALSE())),"✖ العدد يجب أن يكون صحيحًا ≥ 0",IF(AND($F4742="Baseline",$H4742&lt;&gt;""),"⚠ Baseline: Start لا يدخل في التقدم",IF($K4742="No Start (attainment only)","ℹ تحصيل فقط (بدون Start)",IF($K4742="U – needs rule","ℹ حالة U تحتاج قاعدة معتمدة",IF($K4742="No result","ℹ بدون نتيجة (يُستبعد من التحصيل)","OK")))))))))))</f>
        <v/>
      </c>
      <c r="M4742" s="64" t="n">
        <f aca="false">IF($A4742="",0,IFERROR(MATCH($A4742,Classes!$A$6:$A$420,0),0))</f>
        <v>0</v>
      </c>
      <c r="N4742" s="64" t="n">
        <f aca="false">IF($H4742="",0,IFERROR(MATCH($H4742,GradeList,0),0))</f>
        <v>0</v>
      </c>
      <c r="O4742" s="64" t="n">
        <f aca="false">IF(OR($I4742="",$I4742="NR"),0,IFERROR(MATCH($I4742,GradeList,0),0))</f>
        <v>0</v>
      </c>
      <c r="P4742" s="64" t="n">
        <f aca="false">IF(AND($M4742&gt;0,ISNUMBER(MATCH($F4742,Lists!$A$2:$A$5,0)),ISNUMBER(MATCH($G4742,Lists!$B$2:$B$7,0)),OR($H4742="",$N4742&gt;0),OR($I4742="",$I4742="NR",$O4742&gt;0),IF(ISNUMBER($J4742),AND($J4742&gt;=0,$J4742=INT($J4742)),FALSE())),$J4742,0)</f>
        <v>0</v>
      </c>
      <c r="Q4742" s="64" t="n">
        <f aca="false">IF(AND($P4742&gt;0,$O4742&gt;0),$P4742,0)</f>
        <v>0</v>
      </c>
      <c r="R4742" s="64" t="n">
        <f aca="false">IF(AND($Q4742&gt;0,$O4742&gt;=AtRank),$Q4742,0)</f>
        <v>0</v>
      </c>
      <c r="S4742" s="64" t="n">
        <f aca="false">IF(AND($Q4742&gt;0,$O4742&gt;=AboveRank),$Q4742,0)</f>
        <v>0</v>
      </c>
      <c r="T4742" s="64" t="n">
        <f aca="false">IF($K4742="Less",$P4742,0)</f>
        <v>0</v>
      </c>
      <c r="U4742" s="64" t="n">
        <f aca="false">IF($K4742="Expected",$P4742,0)</f>
        <v>0</v>
      </c>
      <c r="V4742" s="64" t="n">
        <f aca="false">IF($K4742="Better",$P4742,0)</f>
        <v>0</v>
      </c>
      <c r="W4742" s="64" t="n">
        <f aca="false">IF($K4742="U – needs rule",$P4742,0)</f>
        <v>0</v>
      </c>
      <c r="X4742" s="64" t="n">
        <f aca="false">IF($K4742="No Start (attainment only)",$P4742,0)</f>
        <v>0</v>
      </c>
    </row>
    <row r="4743" customFormat="false" ht="15" hidden="false" customHeight="false" outlineLevel="0" collapsed="false">
      <c r="A4743" s="60"/>
      <c r="B4743" s="61" t="str">
        <f aca="false">IF($M4743=0,"",INDEX(Classes!$E$6:$E$420,$M4743))</f>
        <v/>
      </c>
      <c r="C4743" s="62" t="str">
        <f aca="false">IF($M4743=0,"",INDEX(Classes!$H$6:$H$420,$M4743))</f>
        <v/>
      </c>
      <c r="D4743" s="61" t="str">
        <f aca="false">IF($M4743=0,"",INDEX(Classes!$B$6:$B$420,$M4743))</f>
        <v/>
      </c>
      <c r="E4743" s="61" t="str">
        <f aca="false">IF($M4743=0,"",INDEX(Classes!$C$6:$C$420,$M4743))</f>
        <v/>
      </c>
      <c r="F4743" s="63"/>
      <c r="G4743" s="63"/>
      <c r="H4743" s="60"/>
      <c r="I4743" s="60"/>
      <c r="J4743" s="63"/>
      <c r="K4743" s="61" t="str">
        <f aca="false">IF($P4743=0,"",IF($F4743="Baseline","— Baseline",IF($O4743=0,"No result",IF($N4743=0,"No Start (attainment only)",IF(OR($N4743=1,$O4743=1),"U – needs rule",INDEX(MxBody,MATCH($I4743,MxCurr,0),MATCH($H4743,MxStart,0)))))))</f>
        <v/>
      </c>
      <c r="L4743" s="62" t="str">
        <f aca="false">IF(COUNTA($A4743,$F4743,$G4743,$H4743,$I4743,$J4743)=0,"",IF($M4743=0,"✖ كود الصف غير موجود",IF(ISNA(MATCH($F4743,Lists!$A$2:$A$5,0)),"✖ الفترة غير صحيحة",IF(ISNA(MATCH($G4743,Lists!$B$2:$B$7,0)),"✖ المجموعة غير صحيحة",IF(NOT(OR($H4743="",$N4743&gt;0)),"✖ Start غير صحيح",IF(NOT(OR($I4743="",$I4743="NR",$O4743&gt;0)),"✖ Current غير صحيح",IF(NOT(IF(ISNUMBER($J4743),AND($J4743&gt;=0,$J4743=INT($J4743)),FALSE())),"✖ العدد يجب أن يكون صحيحًا ≥ 0",IF(AND($F4743="Baseline",$H4743&lt;&gt;""),"⚠ Baseline: Start لا يدخل في التقدم",IF($K4743="No Start (attainment only)","ℹ تحصيل فقط (بدون Start)",IF($K4743="U – needs rule","ℹ حالة U تحتاج قاعدة معتمدة",IF($K4743="No result","ℹ بدون نتيجة (يُستبعد من التحصيل)","OK")))))))))))</f>
        <v/>
      </c>
      <c r="M4743" s="64" t="n">
        <f aca="false">IF($A4743="",0,IFERROR(MATCH($A4743,Classes!$A$6:$A$420,0),0))</f>
        <v>0</v>
      </c>
      <c r="N4743" s="64" t="n">
        <f aca="false">IF($H4743="",0,IFERROR(MATCH($H4743,GradeList,0),0))</f>
        <v>0</v>
      </c>
      <c r="O4743" s="64" t="n">
        <f aca="false">IF(OR($I4743="",$I4743="NR"),0,IFERROR(MATCH($I4743,GradeList,0),0))</f>
        <v>0</v>
      </c>
      <c r="P4743" s="64" t="n">
        <f aca="false">IF(AND($M4743&gt;0,ISNUMBER(MATCH($F4743,Lists!$A$2:$A$5,0)),ISNUMBER(MATCH($G4743,Lists!$B$2:$B$7,0)),OR($H4743="",$N4743&gt;0),OR($I4743="",$I4743="NR",$O4743&gt;0),IF(ISNUMBER($J4743),AND($J4743&gt;=0,$J4743=INT($J4743)),FALSE())),$J4743,0)</f>
        <v>0</v>
      </c>
      <c r="Q4743" s="64" t="n">
        <f aca="false">IF(AND($P4743&gt;0,$O4743&gt;0),$P4743,0)</f>
        <v>0</v>
      </c>
      <c r="R4743" s="64" t="n">
        <f aca="false">IF(AND($Q4743&gt;0,$O4743&gt;=AtRank),$Q4743,0)</f>
        <v>0</v>
      </c>
      <c r="S4743" s="64" t="n">
        <f aca="false">IF(AND($Q4743&gt;0,$O4743&gt;=AboveRank),$Q4743,0)</f>
        <v>0</v>
      </c>
      <c r="T4743" s="64" t="n">
        <f aca="false">IF($K4743="Less",$P4743,0)</f>
        <v>0</v>
      </c>
      <c r="U4743" s="64" t="n">
        <f aca="false">IF($K4743="Expected",$P4743,0)</f>
        <v>0</v>
      </c>
      <c r="V4743" s="64" t="n">
        <f aca="false">IF($K4743="Better",$P4743,0)</f>
        <v>0</v>
      </c>
      <c r="W4743" s="64" t="n">
        <f aca="false">IF($K4743="U – needs rule",$P4743,0)</f>
        <v>0</v>
      </c>
      <c r="X4743" s="64" t="n">
        <f aca="false">IF($K4743="No Start (attainment only)",$P4743,0)</f>
        <v>0</v>
      </c>
    </row>
    <row r="4744" customFormat="false" ht="15" hidden="false" customHeight="false" outlineLevel="0" collapsed="false">
      <c r="A4744" s="60"/>
      <c r="B4744" s="61" t="str">
        <f aca="false">IF($M4744=0,"",INDEX(Classes!$E$6:$E$420,$M4744))</f>
        <v/>
      </c>
      <c r="C4744" s="62" t="str">
        <f aca="false">IF($M4744=0,"",INDEX(Classes!$H$6:$H$420,$M4744))</f>
        <v/>
      </c>
      <c r="D4744" s="61" t="str">
        <f aca="false">IF($M4744=0,"",INDEX(Classes!$B$6:$B$420,$M4744))</f>
        <v/>
      </c>
      <c r="E4744" s="61" t="str">
        <f aca="false">IF($M4744=0,"",INDEX(Classes!$C$6:$C$420,$M4744))</f>
        <v/>
      </c>
      <c r="F4744" s="63"/>
      <c r="G4744" s="63"/>
      <c r="H4744" s="60"/>
      <c r="I4744" s="60"/>
      <c r="J4744" s="63"/>
      <c r="K4744" s="61" t="str">
        <f aca="false">IF($P4744=0,"",IF($F4744="Baseline","— Baseline",IF($O4744=0,"No result",IF($N4744=0,"No Start (attainment only)",IF(OR($N4744=1,$O4744=1),"U – needs rule",INDEX(MxBody,MATCH($I4744,MxCurr,0),MATCH($H4744,MxStart,0)))))))</f>
        <v/>
      </c>
      <c r="L4744" s="62" t="str">
        <f aca="false">IF(COUNTA($A4744,$F4744,$G4744,$H4744,$I4744,$J4744)=0,"",IF($M4744=0,"✖ كود الصف غير موجود",IF(ISNA(MATCH($F4744,Lists!$A$2:$A$5,0)),"✖ الفترة غير صحيحة",IF(ISNA(MATCH($G4744,Lists!$B$2:$B$7,0)),"✖ المجموعة غير صحيحة",IF(NOT(OR($H4744="",$N4744&gt;0)),"✖ Start غير صحيح",IF(NOT(OR($I4744="",$I4744="NR",$O4744&gt;0)),"✖ Current غير صحيح",IF(NOT(IF(ISNUMBER($J4744),AND($J4744&gt;=0,$J4744=INT($J4744)),FALSE())),"✖ العدد يجب أن يكون صحيحًا ≥ 0",IF(AND($F4744="Baseline",$H4744&lt;&gt;""),"⚠ Baseline: Start لا يدخل في التقدم",IF($K4744="No Start (attainment only)","ℹ تحصيل فقط (بدون Start)",IF($K4744="U – needs rule","ℹ حالة U تحتاج قاعدة معتمدة",IF($K4744="No result","ℹ بدون نتيجة (يُستبعد من التحصيل)","OK")))))))))))</f>
        <v/>
      </c>
      <c r="M4744" s="64" t="n">
        <f aca="false">IF($A4744="",0,IFERROR(MATCH($A4744,Classes!$A$6:$A$420,0),0))</f>
        <v>0</v>
      </c>
      <c r="N4744" s="64" t="n">
        <f aca="false">IF($H4744="",0,IFERROR(MATCH($H4744,GradeList,0),0))</f>
        <v>0</v>
      </c>
      <c r="O4744" s="64" t="n">
        <f aca="false">IF(OR($I4744="",$I4744="NR"),0,IFERROR(MATCH($I4744,GradeList,0),0))</f>
        <v>0</v>
      </c>
      <c r="P4744" s="64" t="n">
        <f aca="false">IF(AND($M4744&gt;0,ISNUMBER(MATCH($F4744,Lists!$A$2:$A$5,0)),ISNUMBER(MATCH($G4744,Lists!$B$2:$B$7,0)),OR($H4744="",$N4744&gt;0),OR($I4744="",$I4744="NR",$O4744&gt;0),IF(ISNUMBER($J4744),AND($J4744&gt;=0,$J4744=INT($J4744)),FALSE())),$J4744,0)</f>
        <v>0</v>
      </c>
      <c r="Q4744" s="64" t="n">
        <f aca="false">IF(AND($P4744&gt;0,$O4744&gt;0),$P4744,0)</f>
        <v>0</v>
      </c>
      <c r="R4744" s="64" t="n">
        <f aca="false">IF(AND($Q4744&gt;0,$O4744&gt;=AtRank),$Q4744,0)</f>
        <v>0</v>
      </c>
      <c r="S4744" s="64" t="n">
        <f aca="false">IF(AND($Q4744&gt;0,$O4744&gt;=AboveRank),$Q4744,0)</f>
        <v>0</v>
      </c>
      <c r="T4744" s="64" t="n">
        <f aca="false">IF($K4744="Less",$P4744,0)</f>
        <v>0</v>
      </c>
      <c r="U4744" s="64" t="n">
        <f aca="false">IF($K4744="Expected",$P4744,0)</f>
        <v>0</v>
      </c>
      <c r="V4744" s="64" t="n">
        <f aca="false">IF($K4744="Better",$P4744,0)</f>
        <v>0</v>
      </c>
      <c r="W4744" s="64" t="n">
        <f aca="false">IF($K4744="U – needs rule",$P4744,0)</f>
        <v>0</v>
      </c>
      <c r="X4744" s="64" t="n">
        <f aca="false">IF($K4744="No Start (attainment only)",$P4744,0)</f>
        <v>0</v>
      </c>
    </row>
    <row r="4745" customFormat="false" ht="15" hidden="false" customHeight="false" outlineLevel="0" collapsed="false">
      <c r="A4745" s="60"/>
      <c r="B4745" s="61" t="str">
        <f aca="false">IF($M4745=0,"",INDEX(Classes!$E$6:$E$420,$M4745))</f>
        <v/>
      </c>
      <c r="C4745" s="62" t="str">
        <f aca="false">IF($M4745=0,"",INDEX(Classes!$H$6:$H$420,$M4745))</f>
        <v/>
      </c>
      <c r="D4745" s="61" t="str">
        <f aca="false">IF($M4745=0,"",INDEX(Classes!$B$6:$B$420,$M4745))</f>
        <v/>
      </c>
      <c r="E4745" s="61" t="str">
        <f aca="false">IF($M4745=0,"",INDEX(Classes!$C$6:$C$420,$M4745))</f>
        <v/>
      </c>
      <c r="F4745" s="63"/>
      <c r="G4745" s="63"/>
      <c r="H4745" s="60"/>
      <c r="I4745" s="60"/>
      <c r="J4745" s="63"/>
      <c r="K4745" s="61" t="str">
        <f aca="false">IF($P4745=0,"",IF($F4745="Baseline","— Baseline",IF($O4745=0,"No result",IF($N4745=0,"No Start (attainment only)",IF(OR($N4745=1,$O4745=1),"U – needs rule",INDEX(MxBody,MATCH($I4745,MxCurr,0),MATCH($H4745,MxStart,0)))))))</f>
        <v/>
      </c>
      <c r="L4745" s="62" t="str">
        <f aca="false">IF(COUNTA($A4745,$F4745,$G4745,$H4745,$I4745,$J4745)=0,"",IF($M4745=0,"✖ كود الصف غير موجود",IF(ISNA(MATCH($F4745,Lists!$A$2:$A$5,0)),"✖ الفترة غير صحيحة",IF(ISNA(MATCH($G4745,Lists!$B$2:$B$7,0)),"✖ المجموعة غير صحيحة",IF(NOT(OR($H4745="",$N4745&gt;0)),"✖ Start غير صحيح",IF(NOT(OR($I4745="",$I4745="NR",$O4745&gt;0)),"✖ Current غير صحيح",IF(NOT(IF(ISNUMBER($J4745),AND($J4745&gt;=0,$J4745=INT($J4745)),FALSE())),"✖ العدد يجب أن يكون صحيحًا ≥ 0",IF(AND($F4745="Baseline",$H4745&lt;&gt;""),"⚠ Baseline: Start لا يدخل في التقدم",IF($K4745="No Start (attainment only)","ℹ تحصيل فقط (بدون Start)",IF($K4745="U – needs rule","ℹ حالة U تحتاج قاعدة معتمدة",IF($K4745="No result","ℹ بدون نتيجة (يُستبعد من التحصيل)","OK")))))))))))</f>
        <v/>
      </c>
      <c r="M4745" s="64" t="n">
        <f aca="false">IF($A4745="",0,IFERROR(MATCH($A4745,Classes!$A$6:$A$420,0),0))</f>
        <v>0</v>
      </c>
      <c r="N4745" s="64" t="n">
        <f aca="false">IF($H4745="",0,IFERROR(MATCH($H4745,GradeList,0),0))</f>
        <v>0</v>
      </c>
      <c r="O4745" s="64" t="n">
        <f aca="false">IF(OR($I4745="",$I4745="NR"),0,IFERROR(MATCH($I4745,GradeList,0),0))</f>
        <v>0</v>
      </c>
      <c r="P4745" s="64" t="n">
        <f aca="false">IF(AND($M4745&gt;0,ISNUMBER(MATCH($F4745,Lists!$A$2:$A$5,0)),ISNUMBER(MATCH($G4745,Lists!$B$2:$B$7,0)),OR($H4745="",$N4745&gt;0),OR($I4745="",$I4745="NR",$O4745&gt;0),IF(ISNUMBER($J4745),AND($J4745&gt;=0,$J4745=INT($J4745)),FALSE())),$J4745,0)</f>
        <v>0</v>
      </c>
      <c r="Q4745" s="64" t="n">
        <f aca="false">IF(AND($P4745&gt;0,$O4745&gt;0),$P4745,0)</f>
        <v>0</v>
      </c>
      <c r="R4745" s="64" t="n">
        <f aca="false">IF(AND($Q4745&gt;0,$O4745&gt;=AtRank),$Q4745,0)</f>
        <v>0</v>
      </c>
      <c r="S4745" s="64" t="n">
        <f aca="false">IF(AND($Q4745&gt;0,$O4745&gt;=AboveRank),$Q4745,0)</f>
        <v>0</v>
      </c>
      <c r="T4745" s="64" t="n">
        <f aca="false">IF($K4745="Less",$P4745,0)</f>
        <v>0</v>
      </c>
      <c r="U4745" s="64" t="n">
        <f aca="false">IF($K4745="Expected",$P4745,0)</f>
        <v>0</v>
      </c>
      <c r="V4745" s="64" t="n">
        <f aca="false">IF($K4745="Better",$P4745,0)</f>
        <v>0</v>
      </c>
      <c r="W4745" s="64" t="n">
        <f aca="false">IF($K4745="U – needs rule",$P4745,0)</f>
        <v>0</v>
      </c>
      <c r="X4745" s="64" t="n">
        <f aca="false">IF($K4745="No Start (attainment only)",$P4745,0)</f>
        <v>0</v>
      </c>
    </row>
    <row r="4746" customFormat="false" ht="15" hidden="false" customHeight="false" outlineLevel="0" collapsed="false">
      <c r="A4746" s="60"/>
      <c r="B4746" s="61" t="str">
        <f aca="false">IF($M4746=0,"",INDEX(Classes!$E$6:$E$420,$M4746))</f>
        <v/>
      </c>
      <c r="C4746" s="62" t="str">
        <f aca="false">IF($M4746=0,"",INDEX(Classes!$H$6:$H$420,$M4746))</f>
        <v/>
      </c>
      <c r="D4746" s="61" t="str">
        <f aca="false">IF($M4746=0,"",INDEX(Classes!$B$6:$B$420,$M4746))</f>
        <v/>
      </c>
      <c r="E4746" s="61" t="str">
        <f aca="false">IF($M4746=0,"",INDEX(Classes!$C$6:$C$420,$M4746))</f>
        <v/>
      </c>
      <c r="F4746" s="63"/>
      <c r="G4746" s="63"/>
      <c r="H4746" s="60"/>
      <c r="I4746" s="60"/>
      <c r="J4746" s="63"/>
      <c r="K4746" s="61" t="str">
        <f aca="false">IF($P4746=0,"",IF($F4746="Baseline","— Baseline",IF($O4746=0,"No result",IF($N4746=0,"No Start (attainment only)",IF(OR($N4746=1,$O4746=1),"U – needs rule",INDEX(MxBody,MATCH($I4746,MxCurr,0),MATCH($H4746,MxStart,0)))))))</f>
        <v/>
      </c>
      <c r="L4746" s="62" t="str">
        <f aca="false">IF(COUNTA($A4746,$F4746,$G4746,$H4746,$I4746,$J4746)=0,"",IF($M4746=0,"✖ كود الصف غير موجود",IF(ISNA(MATCH($F4746,Lists!$A$2:$A$5,0)),"✖ الفترة غير صحيحة",IF(ISNA(MATCH($G4746,Lists!$B$2:$B$7,0)),"✖ المجموعة غير صحيحة",IF(NOT(OR($H4746="",$N4746&gt;0)),"✖ Start غير صحيح",IF(NOT(OR($I4746="",$I4746="NR",$O4746&gt;0)),"✖ Current غير صحيح",IF(NOT(IF(ISNUMBER($J4746),AND($J4746&gt;=0,$J4746=INT($J4746)),FALSE())),"✖ العدد يجب أن يكون صحيحًا ≥ 0",IF(AND($F4746="Baseline",$H4746&lt;&gt;""),"⚠ Baseline: Start لا يدخل في التقدم",IF($K4746="No Start (attainment only)","ℹ تحصيل فقط (بدون Start)",IF($K4746="U – needs rule","ℹ حالة U تحتاج قاعدة معتمدة",IF($K4746="No result","ℹ بدون نتيجة (يُستبعد من التحصيل)","OK")))))))))))</f>
        <v/>
      </c>
      <c r="M4746" s="64" t="n">
        <f aca="false">IF($A4746="",0,IFERROR(MATCH($A4746,Classes!$A$6:$A$420,0),0))</f>
        <v>0</v>
      </c>
      <c r="N4746" s="64" t="n">
        <f aca="false">IF($H4746="",0,IFERROR(MATCH($H4746,GradeList,0),0))</f>
        <v>0</v>
      </c>
      <c r="O4746" s="64" t="n">
        <f aca="false">IF(OR($I4746="",$I4746="NR"),0,IFERROR(MATCH($I4746,GradeList,0),0))</f>
        <v>0</v>
      </c>
      <c r="P4746" s="64" t="n">
        <f aca="false">IF(AND($M4746&gt;0,ISNUMBER(MATCH($F4746,Lists!$A$2:$A$5,0)),ISNUMBER(MATCH($G4746,Lists!$B$2:$B$7,0)),OR($H4746="",$N4746&gt;0),OR($I4746="",$I4746="NR",$O4746&gt;0),IF(ISNUMBER($J4746),AND($J4746&gt;=0,$J4746=INT($J4746)),FALSE())),$J4746,0)</f>
        <v>0</v>
      </c>
      <c r="Q4746" s="64" t="n">
        <f aca="false">IF(AND($P4746&gt;0,$O4746&gt;0),$P4746,0)</f>
        <v>0</v>
      </c>
      <c r="R4746" s="64" t="n">
        <f aca="false">IF(AND($Q4746&gt;0,$O4746&gt;=AtRank),$Q4746,0)</f>
        <v>0</v>
      </c>
      <c r="S4746" s="64" t="n">
        <f aca="false">IF(AND($Q4746&gt;0,$O4746&gt;=AboveRank),$Q4746,0)</f>
        <v>0</v>
      </c>
      <c r="T4746" s="64" t="n">
        <f aca="false">IF($K4746="Less",$P4746,0)</f>
        <v>0</v>
      </c>
      <c r="U4746" s="64" t="n">
        <f aca="false">IF($K4746="Expected",$P4746,0)</f>
        <v>0</v>
      </c>
      <c r="V4746" s="64" t="n">
        <f aca="false">IF($K4746="Better",$P4746,0)</f>
        <v>0</v>
      </c>
      <c r="W4746" s="64" t="n">
        <f aca="false">IF($K4746="U – needs rule",$P4746,0)</f>
        <v>0</v>
      </c>
      <c r="X4746" s="64" t="n">
        <f aca="false">IF($K4746="No Start (attainment only)",$P4746,0)</f>
        <v>0</v>
      </c>
    </row>
    <row r="4747" customFormat="false" ht="15" hidden="false" customHeight="false" outlineLevel="0" collapsed="false">
      <c r="A4747" s="60"/>
      <c r="B4747" s="61" t="str">
        <f aca="false">IF($M4747=0,"",INDEX(Classes!$E$6:$E$420,$M4747))</f>
        <v/>
      </c>
      <c r="C4747" s="62" t="str">
        <f aca="false">IF($M4747=0,"",INDEX(Classes!$H$6:$H$420,$M4747))</f>
        <v/>
      </c>
      <c r="D4747" s="61" t="str">
        <f aca="false">IF($M4747=0,"",INDEX(Classes!$B$6:$B$420,$M4747))</f>
        <v/>
      </c>
      <c r="E4747" s="61" t="str">
        <f aca="false">IF($M4747=0,"",INDEX(Classes!$C$6:$C$420,$M4747))</f>
        <v/>
      </c>
      <c r="F4747" s="63"/>
      <c r="G4747" s="63"/>
      <c r="H4747" s="60"/>
      <c r="I4747" s="60"/>
      <c r="J4747" s="63"/>
      <c r="K4747" s="61" t="str">
        <f aca="false">IF($P4747=0,"",IF($F4747="Baseline","— Baseline",IF($O4747=0,"No result",IF($N4747=0,"No Start (attainment only)",IF(OR($N4747=1,$O4747=1),"U – needs rule",INDEX(MxBody,MATCH($I4747,MxCurr,0),MATCH($H4747,MxStart,0)))))))</f>
        <v/>
      </c>
      <c r="L4747" s="62" t="str">
        <f aca="false">IF(COUNTA($A4747,$F4747,$G4747,$H4747,$I4747,$J4747)=0,"",IF($M4747=0,"✖ كود الصف غير موجود",IF(ISNA(MATCH($F4747,Lists!$A$2:$A$5,0)),"✖ الفترة غير صحيحة",IF(ISNA(MATCH($G4747,Lists!$B$2:$B$7,0)),"✖ المجموعة غير صحيحة",IF(NOT(OR($H4747="",$N4747&gt;0)),"✖ Start غير صحيح",IF(NOT(OR($I4747="",$I4747="NR",$O4747&gt;0)),"✖ Current غير صحيح",IF(NOT(IF(ISNUMBER($J4747),AND($J4747&gt;=0,$J4747=INT($J4747)),FALSE())),"✖ العدد يجب أن يكون صحيحًا ≥ 0",IF(AND($F4747="Baseline",$H4747&lt;&gt;""),"⚠ Baseline: Start لا يدخل في التقدم",IF($K4747="No Start (attainment only)","ℹ تحصيل فقط (بدون Start)",IF($K4747="U – needs rule","ℹ حالة U تحتاج قاعدة معتمدة",IF($K4747="No result","ℹ بدون نتيجة (يُستبعد من التحصيل)","OK")))))))))))</f>
        <v/>
      </c>
      <c r="M4747" s="64" t="n">
        <f aca="false">IF($A4747="",0,IFERROR(MATCH($A4747,Classes!$A$6:$A$420,0),0))</f>
        <v>0</v>
      </c>
      <c r="N4747" s="64" t="n">
        <f aca="false">IF($H4747="",0,IFERROR(MATCH($H4747,GradeList,0),0))</f>
        <v>0</v>
      </c>
      <c r="O4747" s="64" t="n">
        <f aca="false">IF(OR($I4747="",$I4747="NR"),0,IFERROR(MATCH($I4747,GradeList,0),0))</f>
        <v>0</v>
      </c>
      <c r="P4747" s="64" t="n">
        <f aca="false">IF(AND($M4747&gt;0,ISNUMBER(MATCH($F4747,Lists!$A$2:$A$5,0)),ISNUMBER(MATCH($G4747,Lists!$B$2:$B$7,0)),OR($H4747="",$N4747&gt;0),OR($I4747="",$I4747="NR",$O4747&gt;0),IF(ISNUMBER($J4747),AND($J4747&gt;=0,$J4747=INT($J4747)),FALSE())),$J4747,0)</f>
        <v>0</v>
      </c>
      <c r="Q4747" s="64" t="n">
        <f aca="false">IF(AND($P4747&gt;0,$O4747&gt;0),$P4747,0)</f>
        <v>0</v>
      </c>
      <c r="R4747" s="64" t="n">
        <f aca="false">IF(AND($Q4747&gt;0,$O4747&gt;=AtRank),$Q4747,0)</f>
        <v>0</v>
      </c>
      <c r="S4747" s="64" t="n">
        <f aca="false">IF(AND($Q4747&gt;0,$O4747&gt;=AboveRank),$Q4747,0)</f>
        <v>0</v>
      </c>
      <c r="T4747" s="64" t="n">
        <f aca="false">IF($K4747="Less",$P4747,0)</f>
        <v>0</v>
      </c>
      <c r="U4747" s="64" t="n">
        <f aca="false">IF($K4747="Expected",$P4747,0)</f>
        <v>0</v>
      </c>
      <c r="V4747" s="64" t="n">
        <f aca="false">IF($K4747="Better",$P4747,0)</f>
        <v>0</v>
      </c>
      <c r="W4747" s="64" t="n">
        <f aca="false">IF($K4747="U – needs rule",$P4747,0)</f>
        <v>0</v>
      </c>
      <c r="X4747" s="64" t="n">
        <f aca="false">IF($K4747="No Start (attainment only)",$P4747,0)</f>
        <v>0</v>
      </c>
    </row>
    <row r="4748" customFormat="false" ht="15" hidden="false" customHeight="false" outlineLevel="0" collapsed="false">
      <c r="A4748" s="60"/>
      <c r="B4748" s="61" t="str">
        <f aca="false">IF($M4748=0,"",INDEX(Classes!$E$6:$E$420,$M4748))</f>
        <v/>
      </c>
      <c r="C4748" s="62" t="str">
        <f aca="false">IF($M4748=0,"",INDEX(Classes!$H$6:$H$420,$M4748))</f>
        <v/>
      </c>
      <c r="D4748" s="61" t="str">
        <f aca="false">IF($M4748=0,"",INDEX(Classes!$B$6:$B$420,$M4748))</f>
        <v/>
      </c>
      <c r="E4748" s="61" t="str">
        <f aca="false">IF($M4748=0,"",INDEX(Classes!$C$6:$C$420,$M4748))</f>
        <v/>
      </c>
      <c r="F4748" s="63"/>
      <c r="G4748" s="63"/>
      <c r="H4748" s="60"/>
      <c r="I4748" s="60"/>
      <c r="J4748" s="63"/>
      <c r="K4748" s="61" t="str">
        <f aca="false">IF($P4748=0,"",IF($F4748="Baseline","— Baseline",IF($O4748=0,"No result",IF($N4748=0,"No Start (attainment only)",IF(OR($N4748=1,$O4748=1),"U – needs rule",INDEX(MxBody,MATCH($I4748,MxCurr,0),MATCH($H4748,MxStart,0)))))))</f>
        <v/>
      </c>
      <c r="L4748" s="62" t="str">
        <f aca="false">IF(COUNTA($A4748,$F4748,$G4748,$H4748,$I4748,$J4748)=0,"",IF($M4748=0,"✖ كود الصف غير موجود",IF(ISNA(MATCH($F4748,Lists!$A$2:$A$5,0)),"✖ الفترة غير صحيحة",IF(ISNA(MATCH($G4748,Lists!$B$2:$B$7,0)),"✖ المجموعة غير صحيحة",IF(NOT(OR($H4748="",$N4748&gt;0)),"✖ Start غير صحيح",IF(NOT(OR($I4748="",$I4748="NR",$O4748&gt;0)),"✖ Current غير صحيح",IF(NOT(IF(ISNUMBER($J4748),AND($J4748&gt;=0,$J4748=INT($J4748)),FALSE())),"✖ العدد يجب أن يكون صحيحًا ≥ 0",IF(AND($F4748="Baseline",$H4748&lt;&gt;""),"⚠ Baseline: Start لا يدخل في التقدم",IF($K4748="No Start (attainment only)","ℹ تحصيل فقط (بدون Start)",IF($K4748="U – needs rule","ℹ حالة U تحتاج قاعدة معتمدة",IF($K4748="No result","ℹ بدون نتيجة (يُستبعد من التحصيل)","OK")))))))))))</f>
        <v/>
      </c>
      <c r="M4748" s="64" t="n">
        <f aca="false">IF($A4748="",0,IFERROR(MATCH($A4748,Classes!$A$6:$A$420,0),0))</f>
        <v>0</v>
      </c>
      <c r="N4748" s="64" t="n">
        <f aca="false">IF($H4748="",0,IFERROR(MATCH($H4748,GradeList,0),0))</f>
        <v>0</v>
      </c>
      <c r="O4748" s="64" t="n">
        <f aca="false">IF(OR($I4748="",$I4748="NR"),0,IFERROR(MATCH($I4748,GradeList,0),0))</f>
        <v>0</v>
      </c>
      <c r="P4748" s="64" t="n">
        <f aca="false">IF(AND($M4748&gt;0,ISNUMBER(MATCH($F4748,Lists!$A$2:$A$5,0)),ISNUMBER(MATCH($G4748,Lists!$B$2:$B$7,0)),OR($H4748="",$N4748&gt;0),OR($I4748="",$I4748="NR",$O4748&gt;0),IF(ISNUMBER($J4748),AND($J4748&gt;=0,$J4748=INT($J4748)),FALSE())),$J4748,0)</f>
        <v>0</v>
      </c>
      <c r="Q4748" s="64" t="n">
        <f aca="false">IF(AND($P4748&gt;0,$O4748&gt;0),$P4748,0)</f>
        <v>0</v>
      </c>
      <c r="R4748" s="64" t="n">
        <f aca="false">IF(AND($Q4748&gt;0,$O4748&gt;=AtRank),$Q4748,0)</f>
        <v>0</v>
      </c>
      <c r="S4748" s="64" t="n">
        <f aca="false">IF(AND($Q4748&gt;0,$O4748&gt;=AboveRank),$Q4748,0)</f>
        <v>0</v>
      </c>
      <c r="T4748" s="64" t="n">
        <f aca="false">IF($K4748="Less",$P4748,0)</f>
        <v>0</v>
      </c>
      <c r="U4748" s="64" t="n">
        <f aca="false">IF($K4748="Expected",$P4748,0)</f>
        <v>0</v>
      </c>
      <c r="V4748" s="64" t="n">
        <f aca="false">IF($K4748="Better",$P4748,0)</f>
        <v>0</v>
      </c>
      <c r="W4748" s="64" t="n">
        <f aca="false">IF($K4748="U – needs rule",$P4748,0)</f>
        <v>0</v>
      </c>
      <c r="X4748" s="64" t="n">
        <f aca="false">IF($K4748="No Start (attainment only)",$P4748,0)</f>
        <v>0</v>
      </c>
    </row>
    <row r="4749" customFormat="false" ht="15" hidden="false" customHeight="false" outlineLevel="0" collapsed="false">
      <c r="A4749" s="60"/>
      <c r="B4749" s="61" t="str">
        <f aca="false">IF($M4749=0,"",INDEX(Classes!$E$6:$E$420,$M4749))</f>
        <v/>
      </c>
      <c r="C4749" s="62" t="str">
        <f aca="false">IF($M4749=0,"",INDEX(Classes!$H$6:$H$420,$M4749))</f>
        <v/>
      </c>
      <c r="D4749" s="61" t="str">
        <f aca="false">IF($M4749=0,"",INDEX(Classes!$B$6:$B$420,$M4749))</f>
        <v/>
      </c>
      <c r="E4749" s="61" t="str">
        <f aca="false">IF($M4749=0,"",INDEX(Classes!$C$6:$C$420,$M4749))</f>
        <v/>
      </c>
      <c r="F4749" s="63"/>
      <c r="G4749" s="63"/>
      <c r="H4749" s="60"/>
      <c r="I4749" s="60"/>
      <c r="J4749" s="63"/>
      <c r="K4749" s="61" t="str">
        <f aca="false">IF($P4749=0,"",IF($F4749="Baseline","— Baseline",IF($O4749=0,"No result",IF($N4749=0,"No Start (attainment only)",IF(OR($N4749=1,$O4749=1),"U – needs rule",INDEX(MxBody,MATCH($I4749,MxCurr,0),MATCH($H4749,MxStart,0)))))))</f>
        <v/>
      </c>
      <c r="L4749" s="62" t="str">
        <f aca="false">IF(COUNTA($A4749,$F4749,$G4749,$H4749,$I4749,$J4749)=0,"",IF($M4749=0,"✖ كود الصف غير موجود",IF(ISNA(MATCH($F4749,Lists!$A$2:$A$5,0)),"✖ الفترة غير صحيحة",IF(ISNA(MATCH($G4749,Lists!$B$2:$B$7,0)),"✖ المجموعة غير صحيحة",IF(NOT(OR($H4749="",$N4749&gt;0)),"✖ Start غير صحيح",IF(NOT(OR($I4749="",$I4749="NR",$O4749&gt;0)),"✖ Current غير صحيح",IF(NOT(IF(ISNUMBER($J4749),AND($J4749&gt;=0,$J4749=INT($J4749)),FALSE())),"✖ العدد يجب أن يكون صحيحًا ≥ 0",IF(AND($F4749="Baseline",$H4749&lt;&gt;""),"⚠ Baseline: Start لا يدخل في التقدم",IF($K4749="No Start (attainment only)","ℹ تحصيل فقط (بدون Start)",IF($K4749="U – needs rule","ℹ حالة U تحتاج قاعدة معتمدة",IF($K4749="No result","ℹ بدون نتيجة (يُستبعد من التحصيل)","OK")))))))))))</f>
        <v/>
      </c>
      <c r="M4749" s="64" t="n">
        <f aca="false">IF($A4749="",0,IFERROR(MATCH($A4749,Classes!$A$6:$A$420,0),0))</f>
        <v>0</v>
      </c>
      <c r="N4749" s="64" t="n">
        <f aca="false">IF($H4749="",0,IFERROR(MATCH($H4749,GradeList,0),0))</f>
        <v>0</v>
      </c>
      <c r="O4749" s="64" t="n">
        <f aca="false">IF(OR($I4749="",$I4749="NR"),0,IFERROR(MATCH($I4749,GradeList,0),0))</f>
        <v>0</v>
      </c>
      <c r="P4749" s="64" t="n">
        <f aca="false">IF(AND($M4749&gt;0,ISNUMBER(MATCH($F4749,Lists!$A$2:$A$5,0)),ISNUMBER(MATCH($G4749,Lists!$B$2:$B$7,0)),OR($H4749="",$N4749&gt;0),OR($I4749="",$I4749="NR",$O4749&gt;0),IF(ISNUMBER($J4749),AND($J4749&gt;=0,$J4749=INT($J4749)),FALSE())),$J4749,0)</f>
        <v>0</v>
      </c>
      <c r="Q4749" s="64" t="n">
        <f aca="false">IF(AND($P4749&gt;0,$O4749&gt;0),$P4749,0)</f>
        <v>0</v>
      </c>
      <c r="R4749" s="64" t="n">
        <f aca="false">IF(AND($Q4749&gt;0,$O4749&gt;=AtRank),$Q4749,0)</f>
        <v>0</v>
      </c>
      <c r="S4749" s="64" t="n">
        <f aca="false">IF(AND($Q4749&gt;0,$O4749&gt;=AboveRank),$Q4749,0)</f>
        <v>0</v>
      </c>
      <c r="T4749" s="64" t="n">
        <f aca="false">IF($K4749="Less",$P4749,0)</f>
        <v>0</v>
      </c>
      <c r="U4749" s="64" t="n">
        <f aca="false">IF($K4749="Expected",$P4749,0)</f>
        <v>0</v>
      </c>
      <c r="V4749" s="64" t="n">
        <f aca="false">IF($K4749="Better",$P4749,0)</f>
        <v>0</v>
      </c>
      <c r="W4749" s="64" t="n">
        <f aca="false">IF($K4749="U – needs rule",$P4749,0)</f>
        <v>0</v>
      </c>
      <c r="X4749" s="64" t="n">
        <f aca="false">IF($K4749="No Start (attainment only)",$P4749,0)</f>
        <v>0</v>
      </c>
    </row>
    <row r="4750" customFormat="false" ht="15" hidden="false" customHeight="false" outlineLevel="0" collapsed="false">
      <c r="A4750" s="60"/>
      <c r="B4750" s="61" t="str">
        <f aca="false">IF($M4750=0,"",INDEX(Classes!$E$6:$E$420,$M4750))</f>
        <v/>
      </c>
      <c r="C4750" s="62" t="str">
        <f aca="false">IF($M4750=0,"",INDEX(Classes!$H$6:$H$420,$M4750))</f>
        <v/>
      </c>
      <c r="D4750" s="61" t="str">
        <f aca="false">IF($M4750=0,"",INDEX(Classes!$B$6:$B$420,$M4750))</f>
        <v/>
      </c>
      <c r="E4750" s="61" t="str">
        <f aca="false">IF($M4750=0,"",INDEX(Classes!$C$6:$C$420,$M4750))</f>
        <v/>
      </c>
      <c r="F4750" s="63"/>
      <c r="G4750" s="63"/>
      <c r="H4750" s="60"/>
      <c r="I4750" s="60"/>
      <c r="J4750" s="63"/>
      <c r="K4750" s="61" t="str">
        <f aca="false">IF($P4750=0,"",IF($F4750="Baseline","— Baseline",IF($O4750=0,"No result",IF($N4750=0,"No Start (attainment only)",IF(OR($N4750=1,$O4750=1),"U – needs rule",INDEX(MxBody,MATCH($I4750,MxCurr,0),MATCH($H4750,MxStart,0)))))))</f>
        <v/>
      </c>
      <c r="L4750" s="62" t="str">
        <f aca="false">IF(COUNTA($A4750,$F4750,$G4750,$H4750,$I4750,$J4750)=0,"",IF($M4750=0,"✖ كود الصف غير موجود",IF(ISNA(MATCH($F4750,Lists!$A$2:$A$5,0)),"✖ الفترة غير صحيحة",IF(ISNA(MATCH($G4750,Lists!$B$2:$B$7,0)),"✖ المجموعة غير صحيحة",IF(NOT(OR($H4750="",$N4750&gt;0)),"✖ Start غير صحيح",IF(NOT(OR($I4750="",$I4750="NR",$O4750&gt;0)),"✖ Current غير صحيح",IF(NOT(IF(ISNUMBER($J4750),AND($J4750&gt;=0,$J4750=INT($J4750)),FALSE())),"✖ العدد يجب أن يكون صحيحًا ≥ 0",IF(AND($F4750="Baseline",$H4750&lt;&gt;""),"⚠ Baseline: Start لا يدخل في التقدم",IF($K4750="No Start (attainment only)","ℹ تحصيل فقط (بدون Start)",IF($K4750="U – needs rule","ℹ حالة U تحتاج قاعدة معتمدة",IF($K4750="No result","ℹ بدون نتيجة (يُستبعد من التحصيل)","OK")))))))))))</f>
        <v/>
      </c>
      <c r="M4750" s="64" t="n">
        <f aca="false">IF($A4750="",0,IFERROR(MATCH($A4750,Classes!$A$6:$A$420,0),0))</f>
        <v>0</v>
      </c>
      <c r="N4750" s="64" t="n">
        <f aca="false">IF($H4750="",0,IFERROR(MATCH($H4750,GradeList,0),0))</f>
        <v>0</v>
      </c>
      <c r="O4750" s="64" t="n">
        <f aca="false">IF(OR($I4750="",$I4750="NR"),0,IFERROR(MATCH($I4750,GradeList,0),0))</f>
        <v>0</v>
      </c>
      <c r="P4750" s="64" t="n">
        <f aca="false">IF(AND($M4750&gt;0,ISNUMBER(MATCH($F4750,Lists!$A$2:$A$5,0)),ISNUMBER(MATCH($G4750,Lists!$B$2:$B$7,0)),OR($H4750="",$N4750&gt;0),OR($I4750="",$I4750="NR",$O4750&gt;0),IF(ISNUMBER($J4750),AND($J4750&gt;=0,$J4750=INT($J4750)),FALSE())),$J4750,0)</f>
        <v>0</v>
      </c>
      <c r="Q4750" s="64" t="n">
        <f aca="false">IF(AND($P4750&gt;0,$O4750&gt;0),$P4750,0)</f>
        <v>0</v>
      </c>
      <c r="R4750" s="64" t="n">
        <f aca="false">IF(AND($Q4750&gt;0,$O4750&gt;=AtRank),$Q4750,0)</f>
        <v>0</v>
      </c>
      <c r="S4750" s="64" t="n">
        <f aca="false">IF(AND($Q4750&gt;0,$O4750&gt;=AboveRank),$Q4750,0)</f>
        <v>0</v>
      </c>
      <c r="T4750" s="64" t="n">
        <f aca="false">IF($K4750="Less",$P4750,0)</f>
        <v>0</v>
      </c>
      <c r="U4750" s="64" t="n">
        <f aca="false">IF($K4750="Expected",$P4750,0)</f>
        <v>0</v>
      </c>
      <c r="V4750" s="64" t="n">
        <f aca="false">IF($K4750="Better",$P4750,0)</f>
        <v>0</v>
      </c>
      <c r="W4750" s="64" t="n">
        <f aca="false">IF($K4750="U – needs rule",$P4750,0)</f>
        <v>0</v>
      </c>
      <c r="X4750" s="64" t="n">
        <f aca="false">IF($K4750="No Start (attainment only)",$P4750,0)</f>
        <v>0</v>
      </c>
    </row>
    <row r="4751" customFormat="false" ht="15" hidden="false" customHeight="false" outlineLevel="0" collapsed="false">
      <c r="A4751" s="60"/>
      <c r="B4751" s="61" t="str">
        <f aca="false">IF($M4751=0,"",INDEX(Classes!$E$6:$E$420,$M4751))</f>
        <v/>
      </c>
      <c r="C4751" s="62" t="str">
        <f aca="false">IF($M4751=0,"",INDEX(Classes!$H$6:$H$420,$M4751))</f>
        <v/>
      </c>
      <c r="D4751" s="61" t="str">
        <f aca="false">IF($M4751=0,"",INDEX(Classes!$B$6:$B$420,$M4751))</f>
        <v/>
      </c>
      <c r="E4751" s="61" t="str">
        <f aca="false">IF($M4751=0,"",INDEX(Classes!$C$6:$C$420,$M4751))</f>
        <v/>
      </c>
      <c r="F4751" s="63"/>
      <c r="G4751" s="63"/>
      <c r="H4751" s="60"/>
      <c r="I4751" s="60"/>
      <c r="J4751" s="63"/>
      <c r="K4751" s="61" t="str">
        <f aca="false">IF($P4751=0,"",IF($F4751="Baseline","— Baseline",IF($O4751=0,"No result",IF($N4751=0,"No Start (attainment only)",IF(OR($N4751=1,$O4751=1),"U – needs rule",INDEX(MxBody,MATCH($I4751,MxCurr,0),MATCH($H4751,MxStart,0)))))))</f>
        <v/>
      </c>
      <c r="L4751" s="62" t="str">
        <f aca="false">IF(COUNTA($A4751,$F4751,$G4751,$H4751,$I4751,$J4751)=0,"",IF($M4751=0,"✖ كود الصف غير موجود",IF(ISNA(MATCH($F4751,Lists!$A$2:$A$5,0)),"✖ الفترة غير صحيحة",IF(ISNA(MATCH($G4751,Lists!$B$2:$B$7,0)),"✖ المجموعة غير صحيحة",IF(NOT(OR($H4751="",$N4751&gt;0)),"✖ Start غير صحيح",IF(NOT(OR($I4751="",$I4751="NR",$O4751&gt;0)),"✖ Current غير صحيح",IF(NOT(IF(ISNUMBER($J4751),AND($J4751&gt;=0,$J4751=INT($J4751)),FALSE())),"✖ العدد يجب أن يكون صحيحًا ≥ 0",IF(AND($F4751="Baseline",$H4751&lt;&gt;""),"⚠ Baseline: Start لا يدخل في التقدم",IF($K4751="No Start (attainment only)","ℹ تحصيل فقط (بدون Start)",IF($K4751="U – needs rule","ℹ حالة U تحتاج قاعدة معتمدة",IF($K4751="No result","ℹ بدون نتيجة (يُستبعد من التحصيل)","OK")))))))))))</f>
        <v/>
      </c>
      <c r="M4751" s="64" t="n">
        <f aca="false">IF($A4751="",0,IFERROR(MATCH($A4751,Classes!$A$6:$A$420,0),0))</f>
        <v>0</v>
      </c>
      <c r="N4751" s="64" t="n">
        <f aca="false">IF($H4751="",0,IFERROR(MATCH($H4751,GradeList,0),0))</f>
        <v>0</v>
      </c>
      <c r="O4751" s="64" t="n">
        <f aca="false">IF(OR($I4751="",$I4751="NR"),0,IFERROR(MATCH($I4751,GradeList,0),0))</f>
        <v>0</v>
      </c>
      <c r="P4751" s="64" t="n">
        <f aca="false">IF(AND($M4751&gt;0,ISNUMBER(MATCH($F4751,Lists!$A$2:$A$5,0)),ISNUMBER(MATCH($G4751,Lists!$B$2:$B$7,0)),OR($H4751="",$N4751&gt;0),OR($I4751="",$I4751="NR",$O4751&gt;0),IF(ISNUMBER($J4751),AND($J4751&gt;=0,$J4751=INT($J4751)),FALSE())),$J4751,0)</f>
        <v>0</v>
      </c>
      <c r="Q4751" s="64" t="n">
        <f aca="false">IF(AND($P4751&gt;0,$O4751&gt;0),$P4751,0)</f>
        <v>0</v>
      </c>
      <c r="R4751" s="64" t="n">
        <f aca="false">IF(AND($Q4751&gt;0,$O4751&gt;=AtRank),$Q4751,0)</f>
        <v>0</v>
      </c>
      <c r="S4751" s="64" t="n">
        <f aca="false">IF(AND($Q4751&gt;0,$O4751&gt;=AboveRank),$Q4751,0)</f>
        <v>0</v>
      </c>
      <c r="T4751" s="64" t="n">
        <f aca="false">IF($K4751="Less",$P4751,0)</f>
        <v>0</v>
      </c>
      <c r="U4751" s="64" t="n">
        <f aca="false">IF($K4751="Expected",$P4751,0)</f>
        <v>0</v>
      </c>
      <c r="V4751" s="64" t="n">
        <f aca="false">IF($K4751="Better",$P4751,0)</f>
        <v>0</v>
      </c>
      <c r="W4751" s="64" t="n">
        <f aca="false">IF($K4751="U – needs rule",$P4751,0)</f>
        <v>0</v>
      </c>
      <c r="X4751" s="64" t="n">
        <f aca="false">IF($K4751="No Start (attainment only)",$P4751,0)</f>
        <v>0</v>
      </c>
    </row>
    <row r="4752" customFormat="false" ht="15" hidden="false" customHeight="false" outlineLevel="0" collapsed="false">
      <c r="A4752" s="60"/>
      <c r="B4752" s="61" t="str">
        <f aca="false">IF($M4752=0,"",INDEX(Classes!$E$6:$E$420,$M4752))</f>
        <v/>
      </c>
      <c r="C4752" s="62" t="str">
        <f aca="false">IF($M4752=0,"",INDEX(Classes!$H$6:$H$420,$M4752))</f>
        <v/>
      </c>
      <c r="D4752" s="61" t="str">
        <f aca="false">IF($M4752=0,"",INDEX(Classes!$B$6:$B$420,$M4752))</f>
        <v/>
      </c>
      <c r="E4752" s="61" t="str">
        <f aca="false">IF($M4752=0,"",INDEX(Classes!$C$6:$C$420,$M4752))</f>
        <v/>
      </c>
      <c r="F4752" s="63"/>
      <c r="G4752" s="63"/>
      <c r="H4752" s="60"/>
      <c r="I4752" s="60"/>
      <c r="J4752" s="63"/>
      <c r="K4752" s="61" t="str">
        <f aca="false">IF($P4752=0,"",IF($F4752="Baseline","— Baseline",IF($O4752=0,"No result",IF($N4752=0,"No Start (attainment only)",IF(OR($N4752=1,$O4752=1),"U – needs rule",INDEX(MxBody,MATCH($I4752,MxCurr,0),MATCH($H4752,MxStart,0)))))))</f>
        <v/>
      </c>
      <c r="L4752" s="62" t="str">
        <f aca="false">IF(COUNTA($A4752,$F4752,$G4752,$H4752,$I4752,$J4752)=0,"",IF($M4752=0,"✖ كود الصف غير موجود",IF(ISNA(MATCH($F4752,Lists!$A$2:$A$5,0)),"✖ الفترة غير صحيحة",IF(ISNA(MATCH($G4752,Lists!$B$2:$B$7,0)),"✖ المجموعة غير صحيحة",IF(NOT(OR($H4752="",$N4752&gt;0)),"✖ Start غير صحيح",IF(NOT(OR($I4752="",$I4752="NR",$O4752&gt;0)),"✖ Current غير صحيح",IF(NOT(IF(ISNUMBER($J4752),AND($J4752&gt;=0,$J4752=INT($J4752)),FALSE())),"✖ العدد يجب أن يكون صحيحًا ≥ 0",IF(AND($F4752="Baseline",$H4752&lt;&gt;""),"⚠ Baseline: Start لا يدخل في التقدم",IF($K4752="No Start (attainment only)","ℹ تحصيل فقط (بدون Start)",IF($K4752="U – needs rule","ℹ حالة U تحتاج قاعدة معتمدة",IF($K4752="No result","ℹ بدون نتيجة (يُستبعد من التحصيل)","OK")))))))))))</f>
        <v/>
      </c>
      <c r="M4752" s="64" t="n">
        <f aca="false">IF($A4752="",0,IFERROR(MATCH($A4752,Classes!$A$6:$A$420,0),0))</f>
        <v>0</v>
      </c>
      <c r="N4752" s="64" t="n">
        <f aca="false">IF($H4752="",0,IFERROR(MATCH($H4752,GradeList,0),0))</f>
        <v>0</v>
      </c>
      <c r="O4752" s="64" t="n">
        <f aca="false">IF(OR($I4752="",$I4752="NR"),0,IFERROR(MATCH($I4752,GradeList,0),0))</f>
        <v>0</v>
      </c>
      <c r="P4752" s="64" t="n">
        <f aca="false">IF(AND($M4752&gt;0,ISNUMBER(MATCH($F4752,Lists!$A$2:$A$5,0)),ISNUMBER(MATCH($G4752,Lists!$B$2:$B$7,0)),OR($H4752="",$N4752&gt;0),OR($I4752="",$I4752="NR",$O4752&gt;0),IF(ISNUMBER($J4752),AND($J4752&gt;=0,$J4752=INT($J4752)),FALSE())),$J4752,0)</f>
        <v>0</v>
      </c>
      <c r="Q4752" s="64" t="n">
        <f aca="false">IF(AND($P4752&gt;0,$O4752&gt;0),$P4752,0)</f>
        <v>0</v>
      </c>
      <c r="R4752" s="64" t="n">
        <f aca="false">IF(AND($Q4752&gt;0,$O4752&gt;=AtRank),$Q4752,0)</f>
        <v>0</v>
      </c>
      <c r="S4752" s="64" t="n">
        <f aca="false">IF(AND($Q4752&gt;0,$O4752&gt;=AboveRank),$Q4752,0)</f>
        <v>0</v>
      </c>
      <c r="T4752" s="64" t="n">
        <f aca="false">IF($K4752="Less",$P4752,0)</f>
        <v>0</v>
      </c>
      <c r="U4752" s="64" t="n">
        <f aca="false">IF($K4752="Expected",$P4752,0)</f>
        <v>0</v>
      </c>
      <c r="V4752" s="64" t="n">
        <f aca="false">IF($K4752="Better",$P4752,0)</f>
        <v>0</v>
      </c>
      <c r="W4752" s="64" t="n">
        <f aca="false">IF($K4752="U – needs rule",$P4752,0)</f>
        <v>0</v>
      </c>
      <c r="X4752" s="64" t="n">
        <f aca="false">IF($K4752="No Start (attainment only)",$P4752,0)</f>
        <v>0</v>
      </c>
    </row>
    <row r="4753" customFormat="false" ht="15" hidden="false" customHeight="false" outlineLevel="0" collapsed="false">
      <c r="A4753" s="60"/>
      <c r="B4753" s="61" t="str">
        <f aca="false">IF($M4753=0,"",INDEX(Classes!$E$6:$E$420,$M4753))</f>
        <v/>
      </c>
      <c r="C4753" s="62" t="str">
        <f aca="false">IF($M4753=0,"",INDEX(Classes!$H$6:$H$420,$M4753))</f>
        <v/>
      </c>
      <c r="D4753" s="61" t="str">
        <f aca="false">IF($M4753=0,"",INDEX(Classes!$B$6:$B$420,$M4753))</f>
        <v/>
      </c>
      <c r="E4753" s="61" t="str">
        <f aca="false">IF($M4753=0,"",INDEX(Classes!$C$6:$C$420,$M4753))</f>
        <v/>
      </c>
      <c r="F4753" s="63"/>
      <c r="G4753" s="63"/>
      <c r="H4753" s="60"/>
      <c r="I4753" s="60"/>
      <c r="J4753" s="63"/>
      <c r="K4753" s="61" t="str">
        <f aca="false">IF($P4753=0,"",IF($F4753="Baseline","— Baseline",IF($O4753=0,"No result",IF($N4753=0,"No Start (attainment only)",IF(OR($N4753=1,$O4753=1),"U – needs rule",INDEX(MxBody,MATCH($I4753,MxCurr,0),MATCH($H4753,MxStart,0)))))))</f>
        <v/>
      </c>
      <c r="L4753" s="62" t="str">
        <f aca="false">IF(COUNTA($A4753,$F4753,$G4753,$H4753,$I4753,$J4753)=0,"",IF($M4753=0,"✖ كود الصف غير موجود",IF(ISNA(MATCH($F4753,Lists!$A$2:$A$5,0)),"✖ الفترة غير صحيحة",IF(ISNA(MATCH($G4753,Lists!$B$2:$B$7,0)),"✖ المجموعة غير صحيحة",IF(NOT(OR($H4753="",$N4753&gt;0)),"✖ Start غير صحيح",IF(NOT(OR($I4753="",$I4753="NR",$O4753&gt;0)),"✖ Current غير صحيح",IF(NOT(IF(ISNUMBER($J4753),AND($J4753&gt;=0,$J4753=INT($J4753)),FALSE())),"✖ العدد يجب أن يكون صحيحًا ≥ 0",IF(AND($F4753="Baseline",$H4753&lt;&gt;""),"⚠ Baseline: Start لا يدخل في التقدم",IF($K4753="No Start (attainment only)","ℹ تحصيل فقط (بدون Start)",IF($K4753="U – needs rule","ℹ حالة U تحتاج قاعدة معتمدة",IF($K4753="No result","ℹ بدون نتيجة (يُستبعد من التحصيل)","OK")))))))))))</f>
        <v/>
      </c>
      <c r="M4753" s="64" t="n">
        <f aca="false">IF($A4753="",0,IFERROR(MATCH($A4753,Classes!$A$6:$A$420,0),0))</f>
        <v>0</v>
      </c>
      <c r="N4753" s="64" t="n">
        <f aca="false">IF($H4753="",0,IFERROR(MATCH($H4753,GradeList,0),0))</f>
        <v>0</v>
      </c>
      <c r="O4753" s="64" t="n">
        <f aca="false">IF(OR($I4753="",$I4753="NR"),0,IFERROR(MATCH($I4753,GradeList,0),0))</f>
        <v>0</v>
      </c>
      <c r="P4753" s="64" t="n">
        <f aca="false">IF(AND($M4753&gt;0,ISNUMBER(MATCH($F4753,Lists!$A$2:$A$5,0)),ISNUMBER(MATCH($G4753,Lists!$B$2:$B$7,0)),OR($H4753="",$N4753&gt;0),OR($I4753="",$I4753="NR",$O4753&gt;0),IF(ISNUMBER($J4753),AND($J4753&gt;=0,$J4753=INT($J4753)),FALSE())),$J4753,0)</f>
        <v>0</v>
      </c>
      <c r="Q4753" s="64" t="n">
        <f aca="false">IF(AND($P4753&gt;0,$O4753&gt;0),$P4753,0)</f>
        <v>0</v>
      </c>
      <c r="R4753" s="64" t="n">
        <f aca="false">IF(AND($Q4753&gt;0,$O4753&gt;=AtRank),$Q4753,0)</f>
        <v>0</v>
      </c>
      <c r="S4753" s="64" t="n">
        <f aca="false">IF(AND($Q4753&gt;0,$O4753&gt;=AboveRank),$Q4753,0)</f>
        <v>0</v>
      </c>
      <c r="T4753" s="64" t="n">
        <f aca="false">IF($K4753="Less",$P4753,0)</f>
        <v>0</v>
      </c>
      <c r="U4753" s="64" t="n">
        <f aca="false">IF($K4753="Expected",$P4753,0)</f>
        <v>0</v>
      </c>
      <c r="V4753" s="64" t="n">
        <f aca="false">IF($K4753="Better",$P4753,0)</f>
        <v>0</v>
      </c>
      <c r="W4753" s="64" t="n">
        <f aca="false">IF($K4753="U – needs rule",$P4753,0)</f>
        <v>0</v>
      </c>
      <c r="X4753" s="64" t="n">
        <f aca="false">IF($K4753="No Start (attainment only)",$P4753,0)</f>
        <v>0</v>
      </c>
    </row>
    <row r="4754" customFormat="false" ht="15" hidden="false" customHeight="false" outlineLevel="0" collapsed="false">
      <c r="A4754" s="60"/>
      <c r="B4754" s="61" t="str">
        <f aca="false">IF($M4754=0,"",INDEX(Classes!$E$6:$E$420,$M4754))</f>
        <v/>
      </c>
      <c r="C4754" s="62" t="str">
        <f aca="false">IF($M4754=0,"",INDEX(Classes!$H$6:$H$420,$M4754))</f>
        <v/>
      </c>
      <c r="D4754" s="61" t="str">
        <f aca="false">IF($M4754=0,"",INDEX(Classes!$B$6:$B$420,$M4754))</f>
        <v/>
      </c>
      <c r="E4754" s="61" t="str">
        <f aca="false">IF($M4754=0,"",INDEX(Classes!$C$6:$C$420,$M4754))</f>
        <v/>
      </c>
      <c r="F4754" s="63"/>
      <c r="G4754" s="63"/>
      <c r="H4754" s="60"/>
      <c r="I4754" s="60"/>
      <c r="J4754" s="63"/>
      <c r="K4754" s="61" t="str">
        <f aca="false">IF($P4754=0,"",IF($F4754="Baseline","— Baseline",IF($O4754=0,"No result",IF($N4754=0,"No Start (attainment only)",IF(OR($N4754=1,$O4754=1),"U – needs rule",INDEX(MxBody,MATCH($I4754,MxCurr,0),MATCH($H4754,MxStart,0)))))))</f>
        <v/>
      </c>
      <c r="L4754" s="62" t="str">
        <f aca="false">IF(COUNTA($A4754,$F4754,$G4754,$H4754,$I4754,$J4754)=0,"",IF($M4754=0,"✖ كود الصف غير موجود",IF(ISNA(MATCH($F4754,Lists!$A$2:$A$5,0)),"✖ الفترة غير صحيحة",IF(ISNA(MATCH($G4754,Lists!$B$2:$B$7,0)),"✖ المجموعة غير صحيحة",IF(NOT(OR($H4754="",$N4754&gt;0)),"✖ Start غير صحيح",IF(NOT(OR($I4754="",$I4754="NR",$O4754&gt;0)),"✖ Current غير صحيح",IF(NOT(IF(ISNUMBER($J4754),AND($J4754&gt;=0,$J4754=INT($J4754)),FALSE())),"✖ العدد يجب أن يكون صحيحًا ≥ 0",IF(AND($F4754="Baseline",$H4754&lt;&gt;""),"⚠ Baseline: Start لا يدخل في التقدم",IF($K4754="No Start (attainment only)","ℹ تحصيل فقط (بدون Start)",IF($K4754="U – needs rule","ℹ حالة U تحتاج قاعدة معتمدة",IF($K4754="No result","ℹ بدون نتيجة (يُستبعد من التحصيل)","OK")))))))))))</f>
        <v/>
      </c>
      <c r="M4754" s="64" t="n">
        <f aca="false">IF($A4754="",0,IFERROR(MATCH($A4754,Classes!$A$6:$A$420,0),0))</f>
        <v>0</v>
      </c>
      <c r="N4754" s="64" t="n">
        <f aca="false">IF($H4754="",0,IFERROR(MATCH($H4754,GradeList,0),0))</f>
        <v>0</v>
      </c>
      <c r="O4754" s="64" t="n">
        <f aca="false">IF(OR($I4754="",$I4754="NR"),0,IFERROR(MATCH($I4754,GradeList,0),0))</f>
        <v>0</v>
      </c>
      <c r="P4754" s="64" t="n">
        <f aca="false">IF(AND($M4754&gt;0,ISNUMBER(MATCH($F4754,Lists!$A$2:$A$5,0)),ISNUMBER(MATCH($G4754,Lists!$B$2:$B$7,0)),OR($H4754="",$N4754&gt;0),OR($I4754="",$I4754="NR",$O4754&gt;0),IF(ISNUMBER($J4754),AND($J4754&gt;=0,$J4754=INT($J4754)),FALSE())),$J4754,0)</f>
        <v>0</v>
      </c>
      <c r="Q4754" s="64" t="n">
        <f aca="false">IF(AND($P4754&gt;0,$O4754&gt;0),$P4754,0)</f>
        <v>0</v>
      </c>
      <c r="R4754" s="64" t="n">
        <f aca="false">IF(AND($Q4754&gt;0,$O4754&gt;=AtRank),$Q4754,0)</f>
        <v>0</v>
      </c>
      <c r="S4754" s="64" t="n">
        <f aca="false">IF(AND($Q4754&gt;0,$O4754&gt;=AboveRank),$Q4754,0)</f>
        <v>0</v>
      </c>
      <c r="T4754" s="64" t="n">
        <f aca="false">IF($K4754="Less",$P4754,0)</f>
        <v>0</v>
      </c>
      <c r="U4754" s="64" t="n">
        <f aca="false">IF($K4754="Expected",$P4754,0)</f>
        <v>0</v>
      </c>
      <c r="V4754" s="64" t="n">
        <f aca="false">IF($K4754="Better",$P4754,0)</f>
        <v>0</v>
      </c>
      <c r="W4754" s="64" t="n">
        <f aca="false">IF($K4754="U – needs rule",$P4754,0)</f>
        <v>0</v>
      </c>
      <c r="X4754" s="64" t="n">
        <f aca="false">IF($K4754="No Start (attainment only)",$P4754,0)</f>
        <v>0</v>
      </c>
    </row>
    <row r="4755" customFormat="false" ht="15" hidden="false" customHeight="false" outlineLevel="0" collapsed="false">
      <c r="A4755" s="60"/>
      <c r="B4755" s="61" t="str">
        <f aca="false">IF($M4755=0,"",INDEX(Classes!$E$6:$E$420,$M4755))</f>
        <v/>
      </c>
      <c r="C4755" s="62" t="str">
        <f aca="false">IF($M4755=0,"",INDEX(Classes!$H$6:$H$420,$M4755))</f>
        <v/>
      </c>
      <c r="D4755" s="61" t="str">
        <f aca="false">IF($M4755=0,"",INDEX(Classes!$B$6:$B$420,$M4755))</f>
        <v/>
      </c>
      <c r="E4755" s="61" t="str">
        <f aca="false">IF($M4755=0,"",INDEX(Classes!$C$6:$C$420,$M4755))</f>
        <v/>
      </c>
      <c r="F4755" s="63"/>
      <c r="G4755" s="63"/>
      <c r="H4755" s="60"/>
      <c r="I4755" s="60"/>
      <c r="J4755" s="63"/>
      <c r="K4755" s="61" t="str">
        <f aca="false">IF($P4755=0,"",IF($F4755="Baseline","— Baseline",IF($O4755=0,"No result",IF($N4755=0,"No Start (attainment only)",IF(OR($N4755=1,$O4755=1),"U – needs rule",INDEX(MxBody,MATCH($I4755,MxCurr,0),MATCH($H4755,MxStart,0)))))))</f>
        <v/>
      </c>
      <c r="L4755" s="62" t="str">
        <f aca="false">IF(COUNTA($A4755,$F4755,$G4755,$H4755,$I4755,$J4755)=0,"",IF($M4755=0,"✖ كود الصف غير موجود",IF(ISNA(MATCH($F4755,Lists!$A$2:$A$5,0)),"✖ الفترة غير صحيحة",IF(ISNA(MATCH($G4755,Lists!$B$2:$B$7,0)),"✖ المجموعة غير صحيحة",IF(NOT(OR($H4755="",$N4755&gt;0)),"✖ Start غير صحيح",IF(NOT(OR($I4755="",$I4755="NR",$O4755&gt;0)),"✖ Current غير صحيح",IF(NOT(IF(ISNUMBER($J4755),AND($J4755&gt;=0,$J4755=INT($J4755)),FALSE())),"✖ العدد يجب أن يكون صحيحًا ≥ 0",IF(AND($F4755="Baseline",$H4755&lt;&gt;""),"⚠ Baseline: Start لا يدخل في التقدم",IF($K4755="No Start (attainment only)","ℹ تحصيل فقط (بدون Start)",IF($K4755="U – needs rule","ℹ حالة U تحتاج قاعدة معتمدة",IF($K4755="No result","ℹ بدون نتيجة (يُستبعد من التحصيل)","OK")))))))))))</f>
        <v/>
      </c>
      <c r="M4755" s="64" t="n">
        <f aca="false">IF($A4755="",0,IFERROR(MATCH($A4755,Classes!$A$6:$A$420,0),0))</f>
        <v>0</v>
      </c>
      <c r="N4755" s="64" t="n">
        <f aca="false">IF($H4755="",0,IFERROR(MATCH($H4755,GradeList,0),0))</f>
        <v>0</v>
      </c>
      <c r="O4755" s="64" t="n">
        <f aca="false">IF(OR($I4755="",$I4755="NR"),0,IFERROR(MATCH($I4755,GradeList,0),0))</f>
        <v>0</v>
      </c>
      <c r="P4755" s="64" t="n">
        <f aca="false">IF(AND($M4755&gt;0,ISNUMBER(MATCH($F4755,Lists!$A$2:$A$5,0)),ISNUMBER(MATCH($G4755,Lists!$B$2:$B$7,0)),OR($H4755="",$N4755&gt;0),OR($I4755="",$I4755="NR",$O4755&gt;0),IF(ISNUMBER($J4755),AND($J4755&gt;=0,$J4755=INT($J4755)),FALSE())),$J4755,0)</f>
        <v>0</v>
      </c>
      <c r="Q4755" s="64" t="n">
        <f aca="false">IF(AND($P4755&gt;0,$O4755&gt;0),$P4755,0)</f>
        <v>0</v>
      </c>
      <c r="R4755" s="64" t="n">
        <f aca="false">IF(AND($Q4755&gt;0,$O4755&gt;=AtRank),$Q4755,0)</f>
        <v>0</v>
      </c>
      <c r="S4755" s="64" t="n">
        <f aca="false">IF(AND($Q4755&gt;0,$O4755&gt;=AboveRank),$Q4755,0)</f>
        <v>0</v>
      </c>
      <c r="T4755" s="64" t="n">
        <f aca="false">IF($K4755="Less",$P4755,0)</f>
        <v>0</v>
      </c>
      <c r="U4755" s="64" t="n">
        <f aca="false">IF($K4755="Expected",$P4755,0)</f>
        <v>0</v>
      </c>
      <c r="V4755" s="64" t="n">
        <f aca="false">IF($K4755="Better",$P4755,0)</f>
        <v>0</v>
      </c>
      <c r="W4755" s="64" t="n">
        <f aca="false">IF($K4755="U – needs rule",$P4755,0)</f>
        <v>0</v>
      </c>
      <c r="X4755" s="64" t="n">
        <f aca="false">IF($K4755="No Start (attainment only)",$P4755,0)</f>
        <v>0</v>
      </c>
    </row>
    <row r="4756" customFormat="false" ht="15" hidden="false" customHeight="false" outlineLevel="0" collapsed="false">
      <c r="A4756" s="60"/>
      <c r="B4756" s="61" t="str">
        <f aca="false">IF($M4756=0,"",INDEX(Classes!$E$6:$E$420,$M4756))</f>
        <v/>
      </c>
      <c r="C4756" s="62" t="str">
        <f aca="false">IF($M4756=0,"",INDEX(Classes!$H$6:$H$420,$M4756))</f>
        <v/>
      </c>
      <c r="D4756" s="61" t="str">
        <f aca="false">IF($M4756=0,"",INDEX(Classes!$B$6:$B$420,$M4756))</f>
        <v/>
      </c>
      <c r="E4756" s="61" t="str">
        <f aca="false">IF($M4756=0,"",INDEX(Classes!$C$6:$C$420,$M4756))</f>
        <v/>
      </c>
      <c r="F4756" s="63"/>
      <c r="G4756" s="63"/>
      <c r="H4756" s="60"/>
      <c r="I4756" s="60"/>
      <c r="J4756" s="63"/>
      <c r="K4756" s="61" t="str">
        <f aca="false">IF($P4756=0,"",IF($F4756="Baseline","— Baseline",IF($O4756=0,"No result",IF($N4756=0,"No Start (attainment only)",IF(OR($N4756=1,$O4756=1),"U – needs rule",INDEX(MxBody,MATCH($I4756,MxCurr,0),MATCH($H4756,MxStart,0)))))))</f>
        <v/>
      </c>
      <c r="L4756" s="62" t="str">
        <f aca="false">IF(COUNTA($A4756,$F4756,$G4756,$H4756,$I4756,$J4756)=0,"",IF($M4756=0,"✖ كود الصف غير موجود",IF(ISNA(MATCH($F4756,Lists!$A$2:$A$5,0)),"✖ الفترة غير صحيحة",IF(ISNA(MATCH($G4756,Lists!$B$2:$B$7,0)),"✖ المجموعة غير صحيحة",IF(NOT(OR($H4756="",$N4756&gt;0)),"✖ Start غير صحيح",IF(NOT(OR($I4756="",$I4756="NR",$O4756&gt;0)),"✖ Current غير صحيح",IF(NOT(IF(ISNUMBER($J4756),AND($J4756&gt;=0,$J4756=INT($J4756)),FALSE())),"✖ العدد يجب أن يكون صحيحًا ≥ 0",IF(AND($F4756="Baseline",$H4756&lt;&gt;""),"⚠ Baseline: Start لا يدخل في التقدم",IF($K4756="No Start (attainment only)","ℹ تحصيل فقط (بدون Start)",IF($K4756="U – needs rule","ℹ حالة U تحتاج قاعدة معتمدة",IF($K4756="No result","ℹ بدون نتيجة (يُستبعد من التحصيل)","OK")))))))))))</f>
        <v/>
      </c>
      <c r="M4756" s="64" t="n">
        <f aca="false">IF($A4756="",0,IFERROR(MATCH($A4756,Classes!$A$6:$A$420,0),0))</f>
        <v>0</v>
      </c>
      <c r="N4756" s="64" t="n">
        <f aca="false">IF($H4756="",0,IFERROR(MATCH($H4756,GradeList,0),0))</f>
        <v>0</v>
      </c>
      <c r="O4756" s="64" t="n">
        <f aca="false">IF(OR($I4756="",$I4756="NR"),0,IFERROR(MATCH($I4756,GradeList,0),0))</f>
        <v>0</v>
      </c>
      <c r="P4756" s="64" t="n">
        <f aca="false">IF(AND($M4756&gt;0,ISNUMBER(MATCH($F4756,Lists!$A$2:$A$5,0)),ISNUMBER(MATCH($G4756,Lists!$B$2:$B$7,0)),OR($H4756="",$N4756&gt;0),OR($I4756="",$I4756="NR",$O4756&gt;0),IF(ISNUMBER($J4756),AND($J4756&gt;=0,$J4756=INT($J4756)),FALSE())),$J4756,0)</f>
        <v>0</v>
      </c>
      <c r="Q4756" s="64" t="n">
        <f aca="false">IF(AND($P4756&gt;0,$O4756&gt;0),$P4756,0)</f>
        <v>0</v>
      </c>
      <c r="R4756" s="64" t="n">
        <f aca="false">IF(AND($Q4756&gt;0,$O4756&gt;=AtRank),$Q4756,0)</f>
        <v>0</v>
      </c>
      <c r="S4756" s="64" t="n">
        <f aca="false">IF(AND($Q4756&gt;0,$O4756&gt;=AboveRank),$Q4756,0)</f>
        <v>0</v>
      </c>
      <c r="T4756" s="64" t="n">
        <f aca="false">IF($K4756="Less",$P4756,0)</f>
        <v>0</v>
      </c>
      <c r="U4756" s="64" t="n">
        <f aca="false">IF($K4756="Expected",$P4756,0)</f>
        <v>0</v>
      </c>
      <c r="V4756" s="64" t="n">
        <f aca="false">IF($K4756="Better",$P4756,0)</f>
        <v>0</v>
      </c>
      <c r="W4756" s="64" t="n">
        <f aca="false">IF($K4756="U – needs rule",$P4756,0)</f>
        <v>0</v>
      </c>
      <c r="X4756" s="64" t="n">
        <f aca="false">IF($K4756="No Start (attainment only)",$P4756,0)</f>
        <v>0</v>
      </c>
    </row>
    <row r="4757" customFormat="false" ht="15" hidden="false" customHeight="false" outlineLevel="0" collapsed="false">
      <c r="A4757" s="60"/>
      <c r="B4757" s="61" t="str">
        <f aca="false">IF($M4757=0,"",INDEX(Classes!$E$6:$E$420,$M4757))</f>
        <v/>
      </c>
      <c r="C4757" s="62" t="str">
        <f aca="false">IF($M4757=0,"",INDEX(Classes!$H$6:$H$420,$M4757))</f>
        <v/>
      </c>
      <c r="D4757" s="61" t="str">
        <f aca="false">IF($M4757=0,"",INDEX(Classes!$B$6:$B$420,$M4757))</f>
        <v/>
      </c>
      <c r="E4757" s="61" t="str">
        <f aca="false">IF($M4757=0,"",INDEX(Classes!$C$6:$C$420,$M4757))</f>
        <v/>
      </c>
      <c r="F4757" s="63"/>
      <c r="G4757" s="63"/>
      <c r="H4757" s="60"/>
      <c r="I4757" s="60"/>
      <c r="J4757" s="63"/>
      <c r="K4757" s="61" t="str">
        <f aca="false">IF($P4757=0,"",IF($F4757="Baseline","— Baseline",IF($O4757=0,"No result",IF($N4757=0,"No Start (attainment only)",IF(OR($N4757=1,$O4757=1),"U – needs rule",INDEX(MxBody,MATCH($I4757,MxCurr,0),MATCH($H4757,MxStart,0)))))))</f>
        <v/>
      </c>
      <c r="L4757" s="62" t="str">
        <f aca="false">IF(COUNTA($A4757,$F4757,$G4757,$H4757,$I4757,$J4757)=0,"",IF($M4757=0,"✖ كود الصف غير موجود",IF(ISNA(MATCH($F4757,Lists!$A$2:$A$5,0)),"✖ الفترة غير صحيحة",IF(ISNA(MATCH($G4757,Lists!$B$2:$B$7,0)),"✖ المجموعة غير صحيحة",IF(NOT(OR($H4757="",$N4757&gt;0)),"✖ Start غير صحيح",IF(NOT(OR($I4757="",$I4757="NR",$O4757&gt;0)),"✖ Current غير صحيح",IF(NOT(IF(ISNUMBER($J4757),AND($J4757&gt;=0,$J4757=INT($J4757)),FALSE())),"✖ العدد يجب أن يكون صحيحًا ≥ 0",IF(AND($F4757="Baseline",$H4757&lt;&gt;""),"⚠ Baseline: Start لا يدخل في التقدم",IF($K4757="No Start (attainment only)","ℹ تحصيل فقط (بدون Start)",IF($K4757="U – needs rule","ℹ حالة U تحتاج قاعدة معتمدة",IF($K4757="No result","ℹ بدون نتيجة (يُستبعد من التحصيل)","OK")))))))))))</f>
        <v/>
      </c>
      <c r="M4757" s="64" t="n">
        <f aca="false">IF($A4757="",0,IFERROR(MATCH($A4757,Classes!$A$6:$A$420,0),0))</f>
        <v>0</v>
      </c>
      <c r="N4757" s="64" t="n">
        <f aca="false">IF($H4757="",0,IFERROR(MATCH($H4757,GradeList,0),0))</f>
        <v>0</v>
      </c>
      <c r="O4757" s="64" t="n">
        <f aca="false">IF(OR($I4757="",$I4757="NR"),0,IFERROR(MATCH($I4757,GradeList,0),0))</f>
        <v>0</v>
      </c>
      <c r="P4757" s="64" t="n">
        <f aca="false">IF(AND($M4757&gt;0,ISNUMBER(MATCH($F4757,Lists!$A$2:$A$5,0)),ISNUMBER(MATCH($G4757,Lists!$B$2:$B$7,0)),OR($H4757="",$N4757&gt;0),OR($I4757="",$I4757="NR",$O4757&gt;0),IF(ISNUMBER($J4757),AND($J4757&gt;=0,$J4757=INT($J4757)),FALSE())),$J4757,0)</f>
        <v>0</v>
      </c>
      <c r="Q4757" s="64" t="n">
        <f aca="false">IF(AND($P4757&gt;0,$O4757&gt;0),$P4757,0)</f>
        <v>0</v>
      </c>
      <c r="R4757" s="64" t="n">
        <f aca="false">IF(AND($Q4757&gt;0,$O4757&gt;=AtRank),$Q4757,0)</f>
        <v>0</v>
      </c>
      <c r="S4757" s="64" t="n">
        <f aca="false">IF(AND($Q4757&gt;0,$O4757&gt;=AboveRank),$Q4757,0)</f>
        <v>0</v>
      </c>
      <c r="T4757" s="64" t="n">
        <f aca="false">IF($K4757="Less",$P4757,0)</f>
        <v>0</v>
      </c>
      <c r="U4757" s="64" t="n">
        <f aca="false">IF($K4757="Expected",$P4757,0)</f>
        <v>0</v>
      </c>
      <c r="V4757" s="64" t="n">
        <f aca="false">IF($K4757="Better",$P4757,0)</f>
        <v>0</v>
      </c>
      <c r="W4757" s="64" t="n">
        <f aca="false">IF($K4757="U – needs rule",$P4757,0)</f>
        <v>0</v>
      </c>
      <c r="X4757" s="64" t="n">
        <f aca="false">IF($K4757="No Start (attainment only)",$P4757,0)</f>
        <v>0</v>
      </c>
    </row>
    <row r="4758" customFormat="false" ht="15" hidden="false" customHeight="false" outlineLevel="0" collapsed="false">
      <c r="A4758" s="60"/>
      <c r="B4758" s="61" t="str">
        <f aca="false">IF($M4758=0,"",INDEX(Classes!$E$6:$E$420,$M4758))</f>
        <v/>
      </c>
      <c r="C4758" s="62" t="str">
        <f aca="false">IF($M4758=0,"",INDEX(Classes!$H$6:$H$420,$M4758))</f>
        <v/>
      </c>
      <c r="D4758" s="61" t="str">
        <f aca="false">IF($M4758=0,"",INDEX(Classes!$B$6:$B$420,$M4758))</f>
        <v/>
      </c>
      <c r="E4758" s="61" t="str">
        <f aca="false">IF($M4758=0,"",INDEX(Classes!$C$6:$C$420,$M4758))</f>
        <v/>
      </c>
      <c r="F4758" s="63"/>
      <c r="G4758" s="63"/>
      <c r="H4758" s="60"/>
      <c r="I4758" s="60"/>
      <c r="J4758" s="63"/>
      <c r="K4758" s="61" t="str">
        <f aca="false">IF($P4758=0,"",IF($F4758="Baseline","— Baseline",IF($O4758=0,"No result",IF($N4758=0,"No Start (attainment only)",IF(OR($N4758=1,$O4758=1),"U – needs rule",INDEX(MxBody,MATCH($I4758,MxCurr,0),MATCH($H4758,MxStart,0)))))))</f>
        <v/>
      </c>
      <c r="L4758" s="62" t="str">
        <f aca="false">IF(COUNTA($A4758,$F4758,$G4758,$H4758,$I4758,$J4758)=0,"",IF($M4758=0,"✖ كود الصف غير موجود",IF(ISNA(MATCH($F4758,Lists!$A$2:$A$5,0)),"✖ الفترة غير صحيحة",IF(ISNA(MATCH($G4758,Lists!$B$2:$B$7,0)),"✖ المجموعة غير صحيحة",IF(NOT(OR($H4758="",$N4758&gt;0)),"✖ Start غير صحيح",IF(NOT(OR($I4758="",$I4758="NR",$O4758&gt;0)),"✖ Current غير صحيح",IF(NOT(IF(ISNUMBER($J4758),AND($J4758&gt;=0,$J4758=INT($J4758)),FALSE())),"✖ العدد يجب أن يكون صحيحًا ≥ 0",IF(AND($F4758="Baseline",$H4758&lt;&gt;""),"⚠ Baseline: Start لا يدخل في التقدم",IF($K4758="No Start (attainment only)","ℹ تحصيل فقط (بدون Start)",IF($K4758="U – needs rule","ℹ حالة U تحتاج قاعدة معتمدة",IF($K4758="No result","ℹ بدون نتيجة (يُستبعد من التحصيل)","OK")))))))))))</f>
        <v/>
      </c>
      <c r="M4758" s="64" t="n">
        <f aca="false">IF($A4758="",0,IFERROR(MATCH($A4758,Classes!$A$6:$A$420,0),0))</f>
        <v>0</v>
      </c>
      <c r="N4758" s="64" t="n">
        <f aca="false">IF($H4758="",0,IFERROR(MATCH($H4758,GradeList,0),0))</f>
        <v>0</v>
      </c>
      <c r="O4758" s="64" t="n">
        <f aca="false">IF(OR($I4758="",$I4758="NR"),0,IFERROR(MATCH($I4758,GradeList,0),0))</f>
        <v>0</v>
      </c>
      <c r="P4758" s="64" t="n">
        <f aca="false">IF(AND($M4758&gt;0,ISNUMBER(MATCH($F4758,Lists!$A$2:$A$5,0)),ISNUMBER(MATCH($G4758,Lists!$B$2:$B$7,0)),OR($H4758="",$N4758&gt;0),OR($I4758="",$I4758="NR",$O4758&gt;0),IF(ISNUMBER($J4758),AND($J4758&gt;=0,$J4758=INT($J4758)),FALSE())),$J4758,0)</f>
        <v>0</v>
      </c>
      <c r="Q4758" s="64" t="n">
        <f aca="false">IF(AND($P4758&gt;0,$O4758&gt;0),$P4758,0)</f>
        <v>0</v>
      </c>
      <c r="R4758" s="64" t="n">
        <f aca="false">IF(AND($Q4758&gt;0,$O4758&gt;=AtRank),$Q4758,0)</f>
        <v>0</v>
      </c>
      <c r="S4758" s="64" t="n">
        <f aca="false">IF(AND($Q4758&gt;0,$O4758&gt;=AboveRank),$Q4758,0)</f>
        <v>0</v>
      </c>
      <c r="T4758" s="64" t="n">
        <f aca="false">IF($K4758="Less",$P4758,0)</f>
        <v>0</v>
      </c>
      <c r="U4758" s="64" t="n">
        <f aca="false">IF($K4758="Expected",$P4758,0)</f>
        <v>0</v>
      </c>
      <c r="V4758" s="64" t="n">
        <f aca="false">IF($K4758="Better",$P4758,0)</f>
        <v>0</v>
      </c>
      <c r="W4758" s="64" t="n">
        <f aca="false">IF($K4758="U – needs rule",$P4758,0)</f>
        <v>0</v>
      </c>
      <c r="X4758" s="64" t="n">
        <f aca="false">IF($K4758="No Start (attainment only)",$P4758,0)</f>
        <v>0</v>
      </c>
    </row>
    <row r="4759" customFormat="false" ht="15" hidden="false" customHeight="false" outlineLevel="0" collapsed="false">
      <c r="A4759" s="60"/>
      <c r="B4759" s="61" t="str">
        <f aca="false">IF($M4759=0,"",INDEX(Classes!$E$6:$E$420,$M4759))</f>
        <v/>
      </c>
      <c r="C4759" s="62" t="str">
        <f aca="false">IF($M4759=0,"",INDEX(Classes!$H$6:$H$420,$M4759))</f>
        <v/>
      </c>
      <c r="D4759" s="61" t="str">
        <f aca="false">IF($M4759=0,"",INDEX(Classes!$B$6:$B$420,$M4759))</f>
        <v/>
      </c>
      <c r="E4759" s="61" t="str">
        <f aca="false">IF($M4759=0,"",INDEX(Classes!$C$6:$C$420,$M4759))</f>
        <v/>
      </c>
      <c r="F4759" s="63"/>
      <c r="G4759" s="63"/>
      <c r="H4759" s="60"/>
      <c r="I4759" s="60"/>
      <c r="J4759" s="63"/>
      <c r="K4759" s="61" t="str">
        <f aca="false">IF($P4759=0,"",IF($F4759="Baseline","— Baseline",IF($O4759=0,"No result",IF($N4759=0,"No Start (attainment only)",IF(OR($N4759=1,$O4759=1),"U – needs rule",INDEX(MxBody,MATCH($I4759,MxCurr,0),MATCH($H4759,MxStart,0)))))))</f>
        <v/>
      </c>
      <c r="L4759" s="62" t="str">
        <f aca="false">IF(COUNTA($A4759,$F4759,$G4759,$H4759,$I4759,$J4759)=0,"",IF($M4759=0,"✖ كود الصف غير موجود",IF(ISNA(MATCH($F4759,Lists!$A$2:$A$5,0)),"✖ الفترة غير صحيحة",IF(ISNA(MATCH($G4759,Lists!$B$2:$B$7,0)),"✖ المجموعة غير صحيحة",IF(NOT(OR($H4759="",$N4759&gt;0)),"✖ Start غير صحيح",IF(NOT(OR($I4759="",$I4759="NR",$O4759&gt;0)),"✖ Current غير صحيح",IF(NOT(IF(ISNUMBER($J4759),AND($J4759&gt;=0,$J4759=INT($J4759)),FALSE())),"✖ العدد يجب أن يكون صحيحًا ≥ 0",IF(AND($F4759="Baseline",$H4759&lt;&gt;""),"⚠ Baseline: Start لا يدخل في التقدم",IF($K4759="No Start (attainment only)","ℹ تحصيل فقط (بدون Start)",IF($K4759="U – needs rule","ℹ حالة U تحتاج قاعدة معتمدة",IF($K4759="No result","ℹ بدون نتيجة (يُستبعد من التحصيل)","OK")))))))))))</f>
        <v/>
      </c>
      <c r="M4759" s="64" t="n">
        <f aca="false">IF($A4759="",0,IFERROR(MATCH($A4759,Classes!$A$6:$A$420,0),0))</f>
        <v>0</v>
      </c>
      <c r="N4759" s="64" t="n">
        <f aca="false">IF($H4759="",0,IFERROR(MATCH($H4759,GradeList,0),0))</f>
        <v>0</v>
      </c>
      <c r="O4759" s="64" t="n">
        <f aca="false">IF(OR($I4759="",$I4759="NR"),0,IFERROR(MATCH($I4759,GradeList,0),0))</f>
        <v>0</v>
      </c>
      <c r="P4759" s="64" t="n">
        <f aca="false">IF(AND($M4759&gt;0,ISNUMBER(MATCH($F4759,Lists!$A$2:$A$5,0)),ISNUMBER(MATCH($G4759,Lists!$B$2:$B$7,0)),OR($H4759="",$N4759&gt;0),OR($I4759="",$I4759="NR",$O4759&gt;0),IF(ISNUMBER($J4759),AND($J4759&gt;=0,$J4759=INT($J4759)),FALSE())),$J4759,0)</f>
        <v>0</v>
      </c>
      <c r="Q4759" s="64" t="n">
        <f aca="false">IF(AND($P4759&gt;0,$O4759&gt;0),$P4759,0)</f>
        <v>0</v>
      </c>
      <c r="R4759" s="64" t="n">
        <f aca="false">IF(AND($Q4759&gt;0,$O4759&gt;=AtRank),$Q4759,0)</f>
        <v>0</v>
      </c>
      <c r="S4759" s="64" t="n">
        <f aca="false">IF(AND($Q4759&gt;0,$O4759&gt;=AboveRank),$Q4759,0)</f>
        <v>0</v>
      </c>
      <c r="T4759" s="64" t="n">
        <f aca="false">IF($K4759="Less",$P4759,0)</f>
        <v>0</v>
      </c>
      <c r="U4759" s="64" t="n">
        <f aca="false">IF($K4759="Expected",$P4759,0)</f>
        <v>0</v>
      </c>
      <c r="V4759" s="64" t="n">
        <f aca="false">IF($K4759="Better",$P4759,0)</f>
        <v>0</v>
      </c>
      <c r="W4759" s="64" t="n">
        <f aca="false">IF($K4759="U – needs rule",$P4759,0)</f>
        <v>0</v>
      </c>
      <c r="X4759" s="64" t="n">
        <f aca="false">IF($K4759="No Start (attainment only)",$P4759,0)</f>
        <v>0</v>
      </c>
    </row>
    <row r="4760" customFormat="false" ht="15" hidden="false" customHeight="false" outlineLevel="0" collapsed="false">
      <c r="A4760" s="60"/>
      <c r="B4760" s="61" t="str">
        <f aca="false">IF($M4760=0,"",INDEX(Classes!$E$6:$E$420,$M4760))</f>
        <v/>
      </c>
      <c r="C4760" s="62" t="str">
        <f aca="false">IF($M4760=0,"",INDEX(Classes!$H$6:$H$420,$M4760))</f>
        <v/>
      </c>
      <c r="D4760" s="61" t="str">
        <f aca="false">IF($M4760=0,"",INDEX(Classes!$B$6:$B$420,$M4760))</f>
        <v/>
      </c>
      <c r="E4760" s="61" t="str">
        <f aca="false">IF($M4760=0,"",INDEX(Classes!$C$6:$C$420,$M4760))</f>
        <v/>
      </c>
      <c r="F4760" s="63"/>
      <c r="G4760" s="63"/>
      <c r="H4760" s="60"/>
      <c r="I4760" s="60"/>
      <c r="J4760" s="63"/>
      <c r="K4760" s="61" t="str">
        <f aca="false">IF($P4760=0,"",IF($F4760="Baseline","— Baseline",IF($O4760=0,"No result",IF($N4760=0,"No Start (attainment only)",IF(OR($N4760=1,$O4760=1),"U – needs rule",INDEX(MxBody,MATCH($I4760,MxCurr,0),MATCH($H4760,MxStart,0)))))))</f>
        <v/>
      </c>
      <c r="L4760" s="62" t="str">
        <f aca="false">IF(COUNTA($A4760,$F4760,$G4760,$H4760,$I4760,$J4760)=0,"",IF($M4760=0,"✖ كود الصف غير موجود",IF(ISNA(MATCH($F4760,Lists!$A$2:$A$5,0)),"✖ الفترة غير صحيحة",IF(ISNA(MATCH($G4760,Lists!$B$2:$B$7,0)),"✖ المجموعة غير صحيحة",IF(NOT(OR($H4760="",$N4760&gt;0)),"✖ Start غير صحيح",IF(NOT(OR($I4760="",$I4760="NR",$O4760&gt;0)),"✖ Current غير صحيح",IF(NOT(IF(ISNUMBER($J4760),AND($J4760&gt;=0,$J4760=INT($J4760)),FALSE())),"✖ العدد يجب أن يكون صحيحًا ≥ 0",IF(AND($F4760="Baseline",$H4760&lt;&gt;""),"⚠ Baseline: Start لا يدخل في التقدم",IF($K4760="No Start (attainment only)","ℹ تحصيل فقط (بدون Start)",IF($K4760="U – needs rule","ℹ حالة U تحتاج قاعدة معتمدة",IF($K4760="No result","ℹ بدون نتيجة (يُستبعد من التحصيل)","OK")))))))))))</f>
        <v/>
      </c>
      <c r="M4760" s="64" t="n">
        <f aca="false">IF($A4760="",0,IFERROR(MATCH($A4760,Classes!$A$6:$A$420,0),0))</f>
        <v>0</v>
      </c>
      <c r="N4760" s="64" t="n">
        <f aca="false">IF($H4760="",0,IFERROR(MATCH($H4760,GradeList,0),0))</f>
        <v>0</v>
      </c>
      <c r="O4760" s="64" t="n">
        <f aca="false">IF(OR($I4760="",$I4760="NR"),0,IFERROR(MATCH($I4760,GradeList,0),0))</f>
        <v>0</v>
      </c>
      <c r="P4760" s="64" t="n">
        <f aca="false">IF(AND($M4760&gt;0,ISNUMBER(MATCH($F4760,Lists!$A$2:$A$5,0)),ISNUMBER(MATCH($G4760,Lists!$B$2:$B$7,0)),OR($H4760="",$N4760&gt;0),OR($I4760="",$I4760="NR",$O4760&gt;0),IF(ISNUMBER($J4760),AND($J4760&gt;=0,$J4760=INT($J4760)),FALSE())),$J4760,0)</f>
        <v>0</v>
      </c>
      <c r="Q4760" s="64" t="n">
        <f aca="false">IF(AND($P4760&gt;0,$O4760&gt;0),$P4760,0)</f>
        <v>0</v>
      </c>
      <c r="R4760" s="64" t="n">
        <f aca="false">IF(AND($Q4760&gt;0,$O4760&gt;=AtRank),$Q4760,0)</f>
        <v>0</v>
      </c>
      <c r="S4760" s="64" t="n">
        <f aca="false">IF(AND($Q4760&gt;0,$O4760&gt;=AboveRank),$Q4760,0)</f>
        <v>0</v>
      </c>
      <c r="T4760" s="64" t="n">
        <f aca="false">IF($K4760="Less",$P4760,0)</f>
        <v>0</v>
      </c>
      <c r="U4760" s="64" t="n">
        <f aca="false">IF($K4760="Expected",$P4760,0)</f>
        <v>0</v>
      </c>
      <c r="V4760" s="64" t="n">
        <f aca="false">IF($K4760="Better",$P4760,0)</f>
        <v>0</v>
      </c>
      <c r="W4760" s="64" t="n">
        <f aca="false">IF($K4760="U – needs rule",$P4760,0)</f>
        <v>0</v>
      </c>
      <c r="X4760" s="64" t="n">
        <f aca="false">IF($K4760="No Start (attainment only)",$P4760,0)</f>
        <v>0</v>
      </c>
    </row>
    <row r="4761" customFormat="false" ht="15" hidden="false" customHeight="false" outlineLevel="0" collapsed="false">
      <c r="A4761" s="60"/>
      <c r="B4761" s="61" t="str">
        <f aca="false">IF($M4761=0,"",INDEX(Classes!$E$6:$E$420,$M4761))</f>
        <v/>
      </c>
      <c r="C4761" s="62" t="str">
        <f aca="false">IF($M4761=0,"",INDEX(Classes!$H$6:$H$420,$M4761))</f>
        <v/>
      </c>
      <c r="D4761" s="61" t="str">
        <f aca="false">IF($M4761=0,"",INDEX(Classes!$B$6:$B$420,$M4761))</f>
        <v/>
      </c>
      <c r="E4761" s="61" t="str">
        <f aca="false">IF($M4761=0,"",INDEX(Classes!$C$6:$C$420,$M4761))</f>
        <v/>
      </c>
      <c r="F4761" s="63"/>
      <c r="G4761" s="63"/>
      <c r="H4761" s="60"/>
      <c r="I4761" s="60"/>
      <c r="J4761" s="63"/>
      <c r="K4761" s="61" t="str">
        <f aca="false">IF($P4761=0,"",IF($F4761="Baseline","— Baseline",IF($O4761=0,"No result",IF($N4761=0,"No Start (attainment only)",IF(OR($N4761=1,$O4761=1),"U – needs rule",INDEX(MxBody,MATCH($I4761,MxCurr,0),MATCH($H4761,MxStart,0)))))))</f>
        <v/>
      </c>
      <c r="L4761" s="62" t="str">
        <f aca="false">IF(COUNTA($A4761,$F4761,$G4761,$H4761,$I4761,$J4761)=0,"",IF($M4761=0,"✖ كود الصف غير موجود",IF(ISNA(MATCH($F4761,Lists!$A$2:$A$5,0)),"✖ الفترة غير صحيحة",IF(ISNA(MATCH($G4761,Lists!$B$2:$B$7,0)),"✖ المجموعة غير صحيحة",IF(NOT(OR($H4761="",$N4761&gt;0)),"✖ Start غير صحيح",IF(NOT(OR($I4761="",$I4761="NR",$O4761&gt;0)),"✖ Current غير صحيح",IF(NOT(IF(ISNUMBER($J4761),AND($J4761&gt;=0,$J4761=INT($J4761)),FALSE())),"✖ العدد يجب أن يكون صحيحًا ≥ 0",IF(AND($F4761="Baseline",$H4761&lt;&gt;""),"⚠ Baseline: Start لا يدخل في التقدم",IF($K4761="No Start (attainment only)","ℹ تحصيل فقط (بدون Start)",IF($K4761="U – needs rule","ℹ حالة U تحتاج قاعدة معتمدة",IF($K4761="No result","ℹ بدون نتيجة (يُستبعد من التحصيل)","OK")))))))))))</f>
        <v/>
      </c>
      <c r="M4761" s="64" t="n">
        <f aca="false">IF($A4761="",0,IFERROR(MATCH($A4761,Classes!$A$6:$A$420,0),0))</f>
        <v>0</v>
      </c>
      <c r="N4761" s="64" t="n">
        <f aca="false">IF($H4761="",0,IFERROR(MATCH($H4761,GradeList,0),0))</f>
        <v>0</v>
      </c>
      <c r="O4761" s="64" t="n">
        <f aca="false">IF(OR($I4761="",$I4761="NR"),0,IFERROR(MATCH($I4761,GradeList,0),0))</f>
        <v>0</v>
      </c>
      <c r="P4761" s="64" t="n">
        <f aca="false">IF(AND($M4761&gt;0,ISNUMBER(MATCH($F4761,Lists!$A$2:$A$5,0)),ISNUMBER(MATCH($G4761,Lists!$B$2:$B$7,0)),OR($H4761="",$N4761&gt;0),OR($I4761="",$I4761="NR",$O4761&gt;0),IF(ISNUMBER($J4761),AND($J4761&gt;=0,$J4761=INT($J4761)),FALSE())),$J4761,0)</f>
        <v>0</v>
      </c>
      <c r="Q4761" s="64" t="n">
        <f aca="false">IF(AND($P4761&gt;0,$O4761&gt;0),$P4761,0)</f>
        <v>0</v>
      </c>
      <c r="R4761" s="64" t="n">
        <f aca="false">IF(AND($Q4761&gt;0,$O4761&gt;=AtRank),$Q4761,0)</f>
        <v>0</v>
      </c>
      <c r="S4761" s="64" t="n">
        <f aca="false">IF(AND($Q4761&gt;0,$O4761&gt;=AboveRank),$Q4761,0)</f>
        <v>0</v>
      </c>
      <c r="T4761" s="64" t="n">
        <f aca="false">IF($K4761="Less",$P4761,0)</f>
        <v>0</v>
      </c>
      <c r="U4761" s="64" t="n">
        <f aca="false">IF($K4761="Expected",$P4761,0)</f>
        <v>0</v>
      </c>
      <c r="V4761" s="64" t="n">
        <f aca="false">IF($K4761="Better",$P4761,0)</f>
        <v>0</v>
      </c>
      <c r="W4761" s="64" t="n">
        <f aca="false">IF($K4761="U – needs rule",$P4761,0)</f>
        <v>0</v>
      </c>
      <c r="X4761" s="64" t="n">
        <f aca="false">IF($K4761="No Start (attainment only)",$P4761,0)</f>
        <v>0</v>
      </c>
    </row>
    <row r="4762" customFormat="false" ht="15" hidden="false" customHeight="false" outlineLevel="0" collapsed="false">
      <c r="A4762" s="60"/>
      <c r="B4762" s="61" t="str">
        <f aca="false">IF($M4762=0,"",INDEX(Classes!$E$6:$E$420,$M4762))</f>
        <v/>
      </c>
      <c r="C4762" s="62" t="str">
        <f aca="false">IF($M4762=0,"",INDEX(Classes!$H$6:$H$420,$M4762))</f>
        <v/>
      </c>
      <c r="D4762" s="61" t="str">
        <f aca="false">IF($M4762=0,"",INDEX(Classes!$B$6:$B$420,$M4762))</f>
        <v/>
      </c>
      <c r="E4762" s="61" t="str">
        <f aca="false">IF($M4762=0,"",INDEX(Classes!$C$6:$C$420,$M4762))</f>
        <v/>
      </c>
      <c r="F4762" s="63"/>
      <c r="G4762" s="63"/>
      <c r="H4762" s="60"/>
      <c r="I4762" s="60"/>
      <c r="J4762" s="63"/>
      <c r="K4762" s="61" t="str">
        <f aca="false">IF($P4762=0,"",IF($F4762="Baseline","— Baseline",IF($O4762=0,"No result",IF($N4762=0,"No Start (attainment only)",IF(OR($N4762=1,$O4762=1),"U – needs rule",INDEX(MxBody,MATCH($I4762,MxCurr,0),MATCH($H4762,MxStart,0)))))))</f>
        <v/>
      </c>
      <c r="L4762" s="62" t="str">
        <f aca="false">IF(COUNTA($A4762,$F4762,$G4762,$H4762,$I4762,$J4762)=0,"",IF($M4762=0,"✖ كود الصف غير موجود",IF(ISNA(MATCH($F4762,Lists!$A$2:$A$5,0)),"✖ الفترة غير صحيحة",IF(ISNA(MATCH($G4762,Lists!$B$2:$B$7,0)),"✖ المجموعة غير صحيحة",IF(NOT(OR($H4762="",$N4762&gt;0)),"✖ Start غير صحيح",IF(NOT(OR($I4762="",$I4762="NR",$O4762&gt;0)),"✖ Current غير صحيح",IF(NOT(IF(ISNUMBER($J4762),AND($J4762&gt;=0,$J4762=INT($J4762)),FALSE())),"✖ العدد يجب أن يكون صحيحًا ≥ 0",IF(AND($F4762="Baseline",$H4762&lt;&gt;""),"⚠ Baseline: Start لا يدخل في التقدم",IF($K4762="No Start (attainment only)","ℹ تحصيل فقط (بدون Start)",IF($K4762="U – needs rule","ℹ حالة U تحتاج قاعدة معتمدة",IF($K4762="No result","ℹ بدون نتيجة (يُستبعد من التحصيل)","OK")))))))))))</f>
        <v/>
      </c>
      <c r="M4762" s="64" t="n">
        <f aca="false">IF($A4762="",0,IFERROR(MATCH($A4762,Classes!$A$6:$A$420,0),0))</f>
        <v>0</v>
      </c>
      <c r="N4762" s="64" t="n">
        <f aca="false">IF($H4762="",0,IFERROR(MATCH($H4762,GradeList,0),0))</f>
        <v>0</v>
      </c>
      <c r="O4762" s="64" t="n">
        <f aca="false">IF(OR($I4762="",$I4762="NR"),0,IFERROR(MATCH($I4762,GradeList,0),0))</f>
        <v>0</v>
      </c>
      <c r="P4762" s="64" t="n">
        <f aca="false">IF(AND($M4762&gt;0,ISNUMBER(MATCH($F4762,Lists!$A$2:$A$5,0)),ISNUMBER(MATCH($G4762,Lists!$B$2:$B$7,0)),OR($H4762="",$N4762&gt;0),OR($I4762="",$I4762="NR",$O4762&gt;0),IF(ISNUMBER($J4762),AND($J4762&gt;=0,$J4762=INT($J4762)),FALSE())),$J4762,0)</f>
        <v>0</v>
      </c>
      <c r="Q4762" s="64" t="n">
        <f aca="false">IF(AND($P4762&gt;0,$O4762&gt;0),$P4762,0)</f>
        <v>0</v>
      </c>
      <c r="R4762" s="64" t="n">
        <f aca="false">IF(AND($Q4762&gt;0,$O4762&gt;=AtRank),$Q4762,0)</f>
        <v>0</v>
      </c>
      <c r="S4762" s="64" t="n">
        <f aca="false">IF(AND($Q4762&gt;0,$O4762&gt;=AboveRank),$Q4762,0)</f>
        <v>0</v>
      </c>
      <c r="T4762" s="64" t="n">
        <f aca="false">IF($K4762="Less",$P4762,0)</f>
        <v>0</v>
      </c>
      <c r="U4762" s="64" t="n">
        <f aca="false">IF($K4762="Expected",$P4762,0)</f>
        <v>0</v>
      </c>
      <c r="V4762" s="64" t="n">
        <f aca="false">IF($K4762="Better",$P4762,0)</f>
        <v>0</v>
      </c>
      <c r="W4762" s="64" t="n">
        <f aca="false">IF($K4762="U – needs rule",$P4762,0)</f>
        <v>0</v>
      </c>
      <c r="X4762" s="64" t="n">
        <f aca="false">IF($K4762="No Start (attainment only)",$P4762,0)</f>
        <v>0</v>
      </c>
    </row>
    <row r="4763" customFormat="false" ht="15" hidden="false" customHeight="false" outlineLevel="0" collapsed="false">
      <c r="A4763" s="60"/>
      <c r="B4763" s="61" t="str">
        <f aca="false">IF($M4763=0,"",INDEX(Classes!$E$6:$E$420,$M4763))</f>
        <v/>
      </c>
      <c r="C4763" s="62" t="str">
        <f aca="false">IF($M4763=0,"",INDEX(Classes!$H$6:$H$420,$M4763))</f>
        <v/>
      </c>
      <c r="D4763" s="61" t="str">
        <f aca="false">IF($M4763=0,"",INDEX(Classes!$B$6:$B$420,$M4763))</f>
        <v/>
      </c>
      <c r="E4763" s="61" t="str">
        <f aca="false">IF($M4763=0,"",INDEX(Classes!$C$6:$C$420,$M4763))</f>
        <v/>
      </c>
      <c r="F4763" s="63"/>
      <c r="G4763" s="63"/>
      <c r="H4763" s="60"/>
      <c r="I4763" s="60"/>
      <c r="J4763" s="63"/>
      <c r="K4763" s="61" t="str">
        <f aca="false">IF($P4763=0,"",IF($F4763="Baseline","— Baseline",IF($O4763=0,"No result",IF($N4763=0,"No Start (attainment only)",IF(OR($N4763=1,$O4763=1),"U – needs rule",INDEX(MxBody,MATCH($I4763,MxCurr,0),MATCH($H4763,MxStart,0)))))))</f>
        <v/>
      </c>
      <c r="L4763" s="62" t="str">
        <f aca="false">IF(COUNTA($A4763,$F4763,$G4763,$H4763,$I4763,$J4763)=0,"",IF($M4763=0,"✖ كود الصف غير موجود",IF(ISNA(MATCH($F4763,Lists!$A$2:$A$5,0)),"✖ الفترة غير صحيحة",IF(ISNA(MATCH($G4763,Lists!$B$2:$B$7,0)),"✖ المجموعة غير صحيحة",IF(NOT(OR($H4763="",$N4763&gt;0)),"✖ Start غير صحيح",IF(NOT(OR($I4763="",$I4763="NR",$O4763&gt;0)),"✖ Current غير صحيح",IF(NOT(IF(ISNUMBER($J4763),AND($J4763&gt;=0,$J4763=INT($J4763)),FALSE())),"✖ العدد يجب أن يكون صحيحًا ≥ 0",IF(AND($F4763="Baseline",$H4763&lt;&gt;""),"⚠ Baseline: Start لا يدخل في التقدم",IF($K4763="No Start (attainment only)","ℹ تحصيل فقط (بدون Start)",IF($K4763="U – needs rule","ℹ حالة U تحتاج قاعدة معتمدة",IF($K4763="No result","ℹ بدون نتيجة (يُستبعد من التحصيل)","OK")))))))))))</f>
        <v/>
      </c>
      <c r="M4763" s="64" t="n">
        <f aca="false">IF($A4763="",0,IFERROR(MATCH($A4763,Classes!$A$6:$A$420,0),0))</f>
        <v>0</v>
      </c>
      <c r="N4763" s="64" t="n">
        <f aca="false">IF($H4763="",0,IFERROR(MATCH($H4763,GradeList,0),0))</f>
        <v>0</v>
      </c>
      <c r="O4763" s="64" t="n">
        <f aca="false">IF(OR($I4763="",$I4763="NR"),0,IFERROR(MATCH($I4763,GradeList,0),0))</f>
        <v>0</v>
      </c>
      <c r="P4763" s="64" t="n">
        <f aca="false">IF(AND($M4763&gt;0,ISNUMBER(MATCH($F4763,Lists!$A$2:$A$5,0)),ISNUMBER(MATCH($G4763,Lists!$B$2:$B$7,0)),OR($H4763="",$N4763&gt;0),OR($I4763="",$I4763="NR",$O4763&gt;0),IF(ISNUMBER($J4763),AND($J4763&gt;=0,$J4763=INT($J4763)),FALSE())),$J4763,0)</f>
        <v>0</v>
      </c>
      <c r="Q4763" s="64" t="n">
        <f aca="false">IF(AND($P4763&gt;0,$O4763&gt;0),$P4763,0)</f>
        <v>0</v>
      </c>
      <c r="R4763" s="64" t="n">
        <f aca="false">IF(AND($Q4763&gt;0,$O4763&gt;=AtRank),$Q4763,0)</f>
        <v>0</v>
      </c>
      <c r="S4763" s="64" t="n">
        <f aca="false">IF(AND($Q4763&gt;0,$O4763&gt;=AboveRank),$Q4763,0)</f>
        <v>0</v>
      </c>
      <c r="T4763" s="64" t="n">
        <f aca="false">IF($K4763="Less",$P4763,0)</f>
        <v>0</v>
      </c>
      <c r="U4763" s="64" t="n">
        <f aca="false">IF($K4763="Expected",$P4763,0)</f>
        <v>0</v>
      </c>
      <c r="V4763" s="64" t="n">
        <f aca="false">IF($K4763="Better",$P4763,0)</f>
        <v>0</v>
      </c>
      <c r="W4763" s="64" t="n">
        <f aca="false">IF($K4763="U – needs rule",$P4763,0)</f>
        <v>0</v>
      </c>
      <c r="X4763" s="64" t="n">
        <f aca="false">IF($K4763="No Start (attainment only)",$P4763,0)</f>
        <v>0</v>
      </c>
    </row>
    <row r="4764" customFormat="false" ht="15" hidden="false" customHeight="false" outlineLevel="0" collapsed="false">
      <c r="A4764" s="60"/>
      <c r="B4764" s="61" t="str">
        <f aca="false">IF($M4764=0,"",INDEX(Classes!$E$6:$E$420,$M4764))</f>
        <v/>
      </c>
      <c r="C4764" s="62" t="str">
        <f aca="false">IF($M4764=0,"",INDEX(Classes!$H$6:$H$420,$M4764))</f>
        <v/>
      </c>
      <c r="D4764" s="61" t="str">
        <f aca="false">IF($M4764=0,"",INDEX(Classes!$B$6:$B$420,$M4764))</f>
        <v/>
      </c>
      <c r="E4764" s="61" t="str">
        <f aca="false">IF($M4764=0,"",INDEX(Classes!$C$6:$C$420,$M4764))</f>
        <v/>
      </c>
      <c r="F4764" s="63"/>
      <c r="G4764" s="63"/>
      <c r="H4764" s="60"/>
      <c r="I4764" s="60"/>
      <c r="J4764" s="63"/>
      <c r="K4764" s="61" t="str">
        <f aca="false">IF($P4764=0,"",IF($F4764="Baseline","— Baseline",IF($O4764=0,"No result",IF($N4764=0,"No Start (attainment only)",IF(OR($N4764=1,$O4764=1),"U – needs rule",INDEX(MxBody,MATCH($I4764,MxCurr,0),MATCH($H4764,MxStart,0)))))))</f>
        <v/>
      </c>
      <c r="L4764" s="62" t="str">
        <f aca="false">IF(COUNTA($A4764,$F4764,$G4764,$H4764,$I4764,$J4764)=0,"",IF($M4764=0,"✖ كود الصف غير موجود",IF(ISNA(MATCH($F4764,Lists!$A$2:$A$5,0)),"✖ الفترة غير صحيحة",IF(ISNA(MATCH($G4764,Lists!$B$2:$B$7,0)),"✖ المجموعة غير صحيحة",IF(NOT(OR($H4764="",$N4764&gt;0)),"✖ Start غير صحيح",IF(NOT(OR($I4764="",$I4764="NR",$O4764&gt;0)),"✖ Current غير صحيح",IF(NOT(IF(ISNUMBER($J4764),AND($J4764&gt;=0,$J4764=INT($J4764)),FALSE())),"✖ العدد يجب أن يكون صحيحًا ≥ 0",IF(AND($F4764="Baseline",$H4764&lt;&gt;""),"⚠ Baseline: Start لا يدخل في التقدم",IF($K4764="No Start (attainment only)","ℹ تحصيل فقط (بدون Start)",IF($K4764="U – needs rule","ℹ حالة U تحتاج قاعدة معتمدة",IF($K4764="No result","ℹ بدون نتيجة (يُستبعد من التحصيل)","OK")))))))))))</f>
        <v/>
      </c>
      <c r="M4764" s="64" t="n">
        <f aca="false">IF($A4764="",0,IFERROR(MATCH($A4764,Classes!$A$6:$A$420,0),0))</f>
        <v>0</v>
      </c>
      <c r="N4764" s="64" t="n">
        <f aca="false">IF($H4764="",0,IFERROR(MATCH($H4764,GradeList,0),0))</f>
        <v>0</v>
      </c>
      <c r="O4764" s="64" t="n">
        <f aca="false">IF(OR($I4764="",$I4764="NR"),0,IFERROR(MATCH($I4764,GradeList,0),0))</f>
        <v>0</v>
      </c>
      <c r="P4764" s="64" t="n">
        <f aca="false">IF(AND($M4764&gt;0,ISNUMBER(MATCH($F4764,Lists!$A$2:$A$5,0)),ISNUMBER(MATCH($G4764,Lists!$B$2:$B$7,0)),OR($H4764="",$N4764&gt;0),OR($I4764="",$I4764="NR",$O4764&gt;0),IF(ISNUMBER($J4764),AND($J4764&gt;=0,$J4764=INT($J4764)),FALSE())),$J4764,0)</f>
        <v>0</v>
      </c>
      <c r="Q4764" s="64" t="n">
        <f aca="false">IF(AND($P4764&gt;0,$O4764&gt;0),$P4764,0)</f>
        <v>0</v>
      </c>
      <c r="R4764" s="64" t="n">
        <f aca="false">IF(AND($Q4764&gt;0,$O4764&gt;=AtRank),$Q4764,0)</f>
        <v>0</v>
      </c>
      <c r="S4764" s="64" t="n">
        <f aca="false">IF(AND($Q4764&gt;0,$O4764&gt;=AboveRank),$Q4764,0)</f>
        <v>0</v>
      </c>
      <c r="T4764" s="64" t="n">
        <f aca="false">IF($K4764="Less",$P4764,0)</f>
        <v>0</v>
      </c>
      <c r="U4764" s="64" t="n">
        <f aca="false">IF($K4764="Expected",$P4764,0)</f>
        <v>0</v>
      </c>
      <c r="V4764" s="64" t="n">
        <f aca="false">IF($K4764="Better",$P4764,0)</f>
        <v>0</v>
      </c>
      <c r="W4764" s="64" t="n">
        <f aca="false">IF($K4764="U – needs rule",$P4764,0)</f>
        <v>0</v>
      </c>
      <c r="X4764" s="64" t="n">
        <f aca="false">IF($K4764="No Start (attainment only)",$P4764,0)</f>
        <v>0</v>
      </c>
    </row>
    <row r="4765" customFormat="false" ht="15" hidden="false" customHeight="false" outlineLevel="0" collapsed="false">
      <c r="A4765" s="60"/>
      <c r="B4765" s="61" t="str">
        <f aca="false">IF($M4765=0,"",INDEX(Classes!$E$6:$E$420,$M4765))</f>
        <v/>
      </c>
      <c r="C4765" s="62" t="str">
        <f aca="false">IF($M4765=0,"",INDEX(Classes!$H$6:$H$420,$M4765))</f>
        <v/>
      </c>
      <c r="D4765" s="61" t="str">
        <f aca="false">IF($M4765=0,"",INDEX(Classes!$B$6:$B$420,$M4765))</f>
        <v/>
      </c>
      <c r="E4765" s="61" t="str">
        <f aca="false">IF($M4765=0,"",INDEX(Classes!$C$6:$C$420,$M4765))</f>
        <v/>
      </c>
      <c r="F4765" s="63"/>
      <c r="G4765" s="63"/>
      <c r="H4765" s="60"/>
      <c r="I4765" s="60"/>
      <c r="J4765" s="63"/>
      <c r="K4765" s="61" t="str">
        <f aca="false">IF($P4765=0,"",IF($F4765="Baseline","— Baseline",IF($O4765=0,"No result",IF($N4765=0,"No Start (attainment only)",IF(OR($N4765=1,$O4765=1),"U – needs rule",INDEX(MxBody,MATCH($I4765,MxCurr,0),MATCH($H4765,MxStart,0)))))))</f>
        <v/>
      </c>
      <c r="L4765" s="62" t="str">
        <f aca="false">IF(COUNTA($A4765,$F4765,$G4765,$H4765,$I4765,$J4765)=0,"",IF($M4765=0,"✖ كود الصف غير موجود",IF(ISNA(MATCH($F4765,Lists!$A$2:$A$5,0)),"✖ الفترة غير صحيحة",IF(ISNA(MATCH($G4765,Lists!$B$2:$B$7,0)),"✖ المجموعة غير صحيحة",IF(NOT(OR($H4765="",$N4765&gt;0)),"✖ Start غير صحيح",IF(NOT(OR($I4765="",$I4765="NR",$O4765&gt;0)),"✖ Current غير صحيح",IF(NOT(IF(ISNUMBER($J4765),AND($J4765&gt;=0,$J4765=INT($J4765)),FALSE())),"✖ العدد يجب أن يكون صحيحًا ≥ 0",IF(AND($F4765="Baseline",$H4765&lt;&gt;""),"⚠ Baseline: Start لا يدخل في التقدم",IF($K4765="No Start (attainment only)","ℹ تحصيل فقط (بدون Start)",IF($K4765="U – needs rule","ℹ حالة U تحتاج قاعدة معتمدة",IF($K4765="No result","ℹ بدون نتيجة (يُستبعد من التحصيل)","OK")))))))))))</f>
        <v/>
      </c>
      <c r="M4765" s="64" t="n">
        <f aca="false">IF($A4765="",0,IFERROR(MATCH($A4765,Classes!$A$6:$A$420,0),0))</f>
        <v>0</v>
      </c>
      <c r="N4765" s="64" t="n">
        <f aca="false">IF($H4765="",0,IFERROR(MATCH($H4765,GradeList,0),0))</f>
        <v>0</v>
      </c>
      <c r="O4765" s="64" t="n">
        <f aca="false">IF(OR($I4765="",$I4765="NR"),0,IFERROR(MATCH($I4765,GradeList,0),0))</f>
        <v>0</v>
      </c>
      <c r="P4765" s="64" t="n">
        <f aca="false">IF(AND($M4765&gt;0,ISNUMBER(MATCH($F4765,Lists!$A$2:$A$5,0)),ISNUMBER(MATCH($G4765,Lists!$B$2:$B$7,0)),OR($H4765="",$N4765&gt;0),OR($I4765="",$I4765="NR",$O4765&gt;0),IF(ISNUMBER($J4765),AND($J4765&gt;=0,$J4765=INT($J4765)),FALSE())),$J4765,0)</f>
        <v>0</v>
      </c>
      <c r="Q4765" s="64" t="n">
        <f aca="false">IF(AND($P4765&gt;0,$O4765&gt;0),$P4765,0)</f>
        <v>0</v>
      </c>
      <c r="R4765" s="64" t="n">
        <f aca="false">IF(AND($Q4765&gt;0,$O4765&gt;=AtRank),$Q4765,0)</f>
        <v>0</v>
      </c>
      <c r="S4765" s="64" t="n">
        <f aca="false">IF(AND($Q4765&gt;0,$O4765&gt;=AboveRank),$Q4765,0)</f>
        <v>0</v>
      </c>
      <c r="T4765" s="64" t="n">
        <f aca="false">IF($K4765="Less",$P4765,0)</f>
        <v>0</v>
      </c>
      <c r="U4765" s="64" t="n">
        <f aca="false">IF($K4765="Expected",$P4765,0)</f>
        <v>0</v>
      </c>
      <c r="V4765" s="64" t="n">
        <f aca="false">IF($K4765="Better",$P4765,0)</f>
        <v>0</v>
      </c>
      <c r="W4765" s="64" t="n">
        <f aca="false">IF($K4765="U – needs rule",$P4765,0)</f>
        <v>0</v>
      </c>
      <c r="X4765" s="64" t="n">
        <f aca="false">IF($K4765="No Start (attainment only)",$P4765,0)</f>
        <v>0</v>
      </c>
    </row>
    <row r="4766" customFormat="false" ht="15" hidden="false" customHeight="false" outlineLevel="0" collapsed="false">
      <c r="A4766" s="60"/>
      <c r="B4766" s="61" t="str">
        <f aca="false">IF($M4766=0,"",INDEX(Classes!$E$6:$E$420,$M4766))</f>
        <v/>
      </c>
      <c r="C4766" s="62" t="str">
        <f aca="false">IF($M4766=0,"",INDEX(Classes!$H$6:$H$420,$M4766))</f>
        <v/>
      </c>
      <c r="D4766" s="61" t="str">
        <f aca="false">IF($M4766=0,"",INDEX(Classes!$B$6:$B$420,$M4766))</f>
        <v/>
      </c>
      <c r="E4766" s="61" t="str">
        <f aca="false">IF($M4766=0,"",INDEX(Classes!$C$6:$C$420,$M4766))</f>
        <v/>
      </c>
      <c r="F4766" s="63"/>
      <c r="G4766" s="63"/>
      <c r="H4766" s="60"/>
      <c r="I4766" s="60"/>
      <c r="J4766" s="63"/>
      <c r="K4766" s="61" t="str">
        <f aca="false">IF($P4766=0,"",IF($F4766="Baseline","— Baseline",IF($O4766=0,"No result",IF($N4766=0,"No Start (attainment only)",IF(OR($N4766=1,$O4766=1),"U – needs rule",INDEX(MxBody,MATCH($I4766,MxCurr,0),MATCH($H4766,MxStart,0)))))))</f>
        <v/>
      </c>
      <c r="L4766" s="62" t="str">
        <f aca="false">IF(COUNTA($A4766,$F4766,$G4766,$H4766,$I4766,$J4766)=0,"",IF($M4766=0,"✖ كود الصف غير موجود",IF(ISNA(MATCH($F4766,Lists!$A$2:$A$5,0)),"✖ الفترة غير صحيحة",IF(ISNA(MATCH($G4766,Lists!$B$2:$B$7,0)),"✖ المجموعة غير صحيحة",IF(NOT(OR($H4766="",$N4766&gt;0)),"✖ Start غير صحيح",IF(NOT(OR($I4766="",$I4766="NR",$O4766&gt;0)),"✖ Current غير صحيح",IF(NOT(IF(ISNUMBER($J4766),AND($J4766&gt;=0,$J4766=INT($J4766)),FALSE())),"✖ العدد يجب أن يكون صحيحًا ≥ 0",IF(AND($F4766="Baseline",$H4766&lt;&gt;""),"⚠ Baseline: Start لا يدخل في التقدم",IF($K4766="No Start (attainment only)","ℹ تحصيل فقط (بدون Start)",IF($K4766="U – needs rule","ℹ حالة U تحتاج قاعدة معتمدة",IF($K4766="No result","ℹ بدون نتيجة (يُستبعد من التحصيل)","OK")))))))))))</f>
        <v/>
      </c>
      <c r="M4766" s="64" t="n">
        <f aca="false">IF($A4766="",0,IFERROR(MATCH($A4766,Classes!$A$6:$A$420,0),0))</f>
        <v>0</v>
      </c>
      <c r="N4766" s="64" t="n">
        <f aca="false">IF($H4766="",0,IFERROR(MATCH($H4766,GradeList,0),0))</f>
        <v>0</v>
      </c>
      <c r="O4766" s="64" t="n">
        <f aca="false">IF(OR($I4766="",$I4766="NR"),0,IFERROR(MATCH($I4766,GradeList,0),0))</f>
        <v>0</v>
      </c>
      <c r="P4766" s="64" t="n">
        <f aca="false">IF(AND($M4766&gt;0,ISNUMBER(MATCH($F4766,Lists!$A$2:$A$5,0)),ISNUMBER(MATCH($G4766,Lists!$B$2:$B$7,0)),OR($H4766="",$N4766&gt;0),OR($I4766="",$I4766="NR",$O4766&gt;0),IF(ISNUMBER($J4766),AND($J4766&gt;=0,$J4766=INT($J4766)),FALSE())),$J4766,0)</f>
        <v>0</v>
      </c>
      <c r="Q4766" s="64" t="n">
        <f aca="false">IF(AND($P4766&gt;0,$O4766&gt;0),$P4766,0)</f>
        <v>0</v>
      </c>
      <c r="R4766" s="64" t="n">
        <f aca="false">IF(AND($Q4766&gt;0,$O4766&gt;=AtRank),$Q4766,0)</f>
        <v>0</v>
      </c>
      <c r="S4766" s="64" t="n">
        <f aca="false">IF(AND($Q4766&gt;0,$O4766&gt;=AboveRank),$Q4766,0)</f>
        <v>0</v>
      </c>
      <c r="T4766" s="64" t="n">
        <f aca="false">IF($K4766="Less",$P4766,0)</f>
        <v>0</v>
      </c>
      <c r="U4766" s="64" t="n">
        <f aca="false">IF($K4766="Expected",$P4766,0)</f>
        <v>0</v>
      </c>
      <c r="V4766" s="64" t="n">
        <f aca="false">IF($K4766="Better",$P4766,0)</f>
        <v>0</v>
      </c>
      <c r="W4766" s="64" t="n">
        <f aca="false">IF($K4766="U – needs rule",$P4766,0)</f>
        <v>0</v>
      </c>
      <c r="X4766" s="64" t="n">
        <f aca="false">IF($K4766="No Start (attainment only)",$P4766,0)</f>
        <v>0</v>
      </c>
    </row>
    <row r="4767" customFormat="false" ht="15" hidden="false" customHeight="false" outlineLevel="0" collapsed="false">
      <c r="A4767" s="60"/>
      <c r="B4767" s="61" t="str">
        <f aca="false">IF($M4767=0,"",INDEX(Classes!$E$6:$E$420,$M4767))</f>
        <v/>
      </c>
      <c r="C4767" s="62" t="str">
        <f aca="false">IF($M4767=0,"",INDEX(Classes!$H$6:$H$420,$M4767))</f>
        <v/>
      </c>
      <c r="D4767" s="61" t="str">
        <f aca="false">IF($M4767=0,"",INDEX(Classes!$B$6:$B$420,$M4767))</f>
        <v/>
      </c>
      <c r="E4767" s="61" t="str">
        <f aca="false">IF($M4767=0,"",INDEX(Classes!$C$6:$C$420,$M4767))</f>
        <v/>
      </c>
      <c r="F4767" s="63"/>
      <c r="G4767" s="63"/>
      <c r="H4767" s="60"/>
      <c r="I4767" s="60"/>
      <c r="J4767" s="63"/>
      <c r="K4767" s="61" t="str">
        <f aca="false">IF($P4767=0,"",IF($F4767="Baseline","— Baseline",IF($O4767=0,"No result",IF($N4767=0,"No Start (attainment only)",IF(OR($N4767=1,$O4767=1),"U – needs rule",INDEX(MxBody,MATCH($I4767,MxCurr,0),MATCH($H4767,MxStart,0)))))))</f>
        <v/>
      </c>
      <c r="L4767" s="62" t="str">
        <f aca="false">IF(COUNTA($A4767,$F4767,$G4767,$H4767,$I4767,$J4767)=0,"",IF($M4767=0,"✖ كود الصف غير موجود",IF(ISNA(MATCH($F4767,Lists!$A$2:$A$5,0)),"✖ الفترة غير صحيحة",IF(ISNA(MATCH($G4767,Lists!$B$2:$B$7,0)),"✖ المجموعة غير صحيحة",IF(NOT(OR($H4767="",$N4767&gt;0)),"✖ Start غير صحيح",IF(NOT(OR($I4767="",$I4767="NR",$O4767&gt;0)),"✖ Current غير صحيح",IF(NOT(IF(ISNUMBER($J4767),AND($J4767&gt;=0,$J4767=INT($J4767)),FALSE())),"✖ العدد يجب أن يكون صحيحًا ≥ 0",IF(AND($F4767="Baseline",$H4767&lt;&gt;""),"⚠ Baseline: Start لا يدخل في التقدم",IF($K4767="No Start (attainment only)","ℹ تحصيل فقط (بدون Start)",IF($K4767="U – needs rule","ℹ حالة U تحتاج قاعدة معتمدة",IF($K4767="No result","ℹ بدون نتيجة (يُستبعد من التحصيل)","OK")))))))))))</f>
        <v/>
      </c>
      <c r="M4767" s="64" t="n">
        <f aca="false">IF($A4767="",0,IFERROR(MATCH($A4767,Classes!$A$6:$A$420,0),0))</f>
        <v>0</v>
      </c>
      <c r="N4767" s="64" t="n">
        <f aca="false">IF($H4767="",0,IFERROR(MATCH($H4767,GradeList,0),0))</f>
        <v>0</v>
      </c>
      <c r="O4767" s="64" t="n">
        <f aca="false">IF(OR($I4767="",$I4767="NR"),0,IFERROR(MATCH($I4767,GradeList,0),0))</f>
        <v>0</v>
      </c>
      <c r="P4767" s="64" t="n">
        <f aca="false">IF(AND($M4767&gt;0,ISNUMBER(MATCH($F4767,Lists!$A$2:$A$5,0)),ISNUMBER(MATCH($G4767,Lists!$B$2:$B$7,0)),OR($H4767="",$N4767&gt;0),OR($I4767="",$I4767="NR",$O4767&gt;0),IF(ISNUMBER($J4767),AND($J4767&gt;=0,$J4767=INT($J4767)),FALSE())),$J4767,0)</f>
        <v>0</v>
      </c>
      <c r="Q4767" s="64" t="n">
        <f aca="false">IF(AND($P4767&gt;0,$O4767&gt;0),$P4767,0)</f>
        <v>0</v>
      </c>
      <c r="R4767" s="64" t="n">
        <f aca="false">IF(AND($Q4767&gt;0,$O4767&gt;=AtRank),$Q4767,0)</f>
        <v>0</v>
      </c>
      <c r="S4767" s="64" t="n">
        <f aca="false">IF(AND($Q4767&gt;0,$O4767&gt;=AboveRank),$Q4767,0)</f>
        <v>0</v>
      </c>
      <c r="T4767" s="64" t="n">
        <f aca="false">IF($K4767="Less",$P4767,0)</f>
        <v>0</v>
      </c>
      <c r="U4767" s="64" t="n">
        <f aca="false">IF($K4767="Expected",$P4767,0)</f>
        <v>0</v>
      </c>
      <c r="V4767" s="64" t="n">
        <f aca="false">IF($K4767="Better",$P4767,0)</f>
        <v>0</v>
      </c>
      <c r="W4767" s="64" t="n">
        <f aca="false">IF($K4767="U – needs rule",$P4767,0)</f>
        <v>0</v>
      </c>
      <c r="X4767" s="64" t="n">
        <f aca="false">IF($K4767="No Start (attainment only)",$P4767,0)</f>
        <v>0</v>
      </c>
    </row>
    <row r="4768" customFormat="false" ht="15" hidden="false" customHeight="false" outlineLevel="0" collapsed="false">
      <c r="A4768" s="60"/>
      <c r="B4768" s="61" t="str">
        <f aca="false">IF($M4768=0,"",INDEX(Classes!$E$6:$E$420,$M4768))</f>
        <v/>
      </c>
      <c r="C4768" s="62" t="str">
        <f aca="false">IF($M4768=0,"",INDEX(Classes!$H$6:$H$420,$M4768))</f>
        <v/>
      </c>
      <c r="D4768" s="61" t="str">
        <f aca="false">IF($M4768=0,"",INDEX(Classes!$B$6:$B$420,$M4768))</f>
        <v/>
      </c>
      <c r="E4768" s="61" t="str">
        <f aca="false">IF($M4768=0,"",INDEX(Classes!$C$6:$C$420,$M4768))</f>
        <v/>
      </c>
      <c r="F4768" s="63"/>
      <c r="G4768" s="63"/>
      <c r="H4768" s="60"/>
      <c r="I4768" s="60"/>
      <c r="J4768" s="63"/>
      <c r="K4768" s="61" t="str">
        <f aca="false">IF($P4768=0,"",IF($F4768="Baseline","— Baseline",IF($O4768=0,"No result",IF($N4768=0,"No Start (attainment only)",IF(OR($N4768=1,$O4768=1),"U – needs rule",INDEX(MxBody,MATCH($I4768,MxCurr,0),MATCH($H4768,MxStart,0)))))))</f>
        <v/>
      </c>
      <c r="L4768" s="62" t="str">
        <f aca="false">IF(COUNTA($A4768,$F4768,$G4768,$H4768,$I4768,$J4768)=0,"",IF($M4768=0,"✖ كود الصف غير موجود",IF(ISNA(MATCH($F4768,Lists!$A$2:$A$5,0)),"✖ الفترة غير صحيحة",IF(ISNA(MATCH($G4768,Lists!$B$2:$B$7,0)),"✖ المجموعة غير صحيحة",IF(NOT(OR($H4768="",$N4768&gt;0)),"✖ Start غير صحيح",IF(NOT(OR($I4768="",$I4768="NR",$O4768&gt;0)),"✖ Current غير صحيح",IF(NOT(IF(ISNUMBER($J4768),AND($J4768&gt;=0,$J4768=INT($J4768)),FALSE())),"✖ العدد يجب أن يكون صحيحًا ≥ 0",IF(AND($F4768="Baseline",$H4768&lt;&gt;""),"⚠ Baseline: Start لا يدخل في التقدم",IF($K4768="No Start (attainment only)","ℹ تحصيل فقط (بدون Start)",IF($K4768="U – needs rule","ℹ حالة U تحتاج قاعدة معتمدة",IF($K4768="No result","ℹ بدون نتيجة (يُستبعد من التحصيل)","OK")))))))))))</f>
        <v/>
      </c>
      <c r="M4768" s="64" t="n">
        <f aca="false">IF($A4768="",0,IFERROR(MATCH($A4768,Classes!$A$6:$A$420,0),0))</f>
        <v>0</v>
      </c>
      <c r="N4768" s="64" t="n">
        <f aca="false">IF($H4768="",0,IFERROR(MATCH($H4768,GradeList,0),0))</f>
        <v>0</v>
      </c>
      <c r="O4768" s="64" t="n">
        <f aca="false">IF(OR($I4768="",$I4768="NR"),0,IFERROR(MATCH($I4768,GradeList,0),0))</f>
        <v>0</v>
      </c>
      <c r="P4768" s="64" t="n">
        <f aca="false">IF(AND($M4768&gt;0,ISNUMBER(MATCH($F4768,Lists!$A$2:$A$5,0)),ISNUMBER(MATCH($G4768,Lists!$B$2:$B$7,0)),OR($H4768="",$N4768&gt;0),OR($I4768="",$I4768="NR",$O4768&gt;0),IF(ISNUMBER($J4768),AND($J4768&gt;=0,$J4768=INT($J4768)),FALSE())),$J4768,0)</f>
        <v>0</v>
      </c>
      <c r="Q4768" s="64" t="n">
        <f aca="false">IF(AND($P4768&gt;0,$O4768&gt;0),$P4768,0)</f>
        <v>0</v>
      </c>
      <c r="R4768" s="64" t="n">
        <f aca="false">IF(AND($Q4768&gt;0,$O4768&gt;=AtRank),$Q4768,0)</f>
        <v>0</v>
      </c>
      <c r="S4768" s="64" t="n">
        <f aca="false">IF(AND($Q4768&gt;0,$O4768&gt;=AboveRank),$Q4768,0)</f>
        <v>0</v>
      </c>
      <c r="T4768" s="64" t="n">
        <f aca="false">IF($K4768="Less",$P4768,0)</f>
        <v>0</v>
      </c>
      <c r="U4768" s="64" t="n">
        <f aca="false">IF($K4768="Expected",$P4768,0)</f>
        <v>0</v>
      </c>
      <c r="V4768" s="64" t="n">
        <f aca="false">IF($K4768="Better",$P4768,0)</f>
        <v>0</v>
      </c>
      <c r="W4768" s="64" t="n">
        <f aca="false">IF($K4768="U – needs rule",$P4768,0)</f>
        <v>0</v>
      </c>
      <c r="X4768" s="64" t="n">
        <f aca="false">IF($K4768="No Start (attainment only)",$P4768,0)</f>
        <v>0</v>
      </c>
    </row>
    <row r="4769" customFormat="false" ht="15" hidden="false" customHeight="false" outlineLevel="0" collapsed="false">
      <c r="A4769" s="60"/>
      <c r="B4769" s="61" t="str">
        <f aca="false">IF($M4769=0,"",INDEX(Classes!$E$6:$E$420,$M4769))</f>
        <v/>
      </c>
      <c r="C4769" s="62" t="str">
        <f aca="false">IF($M4769=0,"",INDEX(Classes!$H$6:$H$420,$M4769))</f>
        <v/>
      </c>
      <c r="D4769" s="61" t="str">
        <f aca="false">IF($M4769=0,"",INDEX(Classes!$B$6:$B$420,$M4769))</f>
        <v/>
      </c>
      <c r="E4769" s="61" t="str">
        <f aca="false">IF($M4769=0,"",INDEX(Classes!$C$6:$C$420,$M4769))</f>
        <v/>
      </c>
      <c r="F4769" s="63"/>
      <c r="G4769" s="63"/>
      <c r="H4769" s="60"/>
      <c r="I4769" s="60"/>
      <c r="J4769" s="63"/>
      <c r="K4769" s="61" t="str">
        <f aca="false">IF($P4769=0,"",IF($F4769="Baseline","— Baseline",IF($O4769=0,"No result",IF($N4769=0,"No Start (attainment only)",IF(OR($N4769=1,$O4769=1),"U – needs rule",INDEX(MxBody,MATCH($I4769,MxCurr,0),MATCH($H4769,MxStart,0)))))))</f>
        <v/>
      </c>
      <c r="L4769" s="62" t="str">
        <f aca="false">IF(COUNTA($A4769,$F4769,$G4769,$H4769,$I4769,$J4769)=0,"",IF($M4769=0,"✖ كود الصف غير موجود",IF(ISNA(MATCH($F4769,Lists!$A$2:$A$5,0)),"✖ الفترة غير صحيحة",IF(ISNA(MATCH($G4769,Lists!$B$2:$B$7,0)),"✖ المجموعة غير صحيحة",IF(NOT(OR($H4769="",$N4769&gt;0)),"✖ Start غير صحيح",IF(NOT(OR($I4769="",$I4769="NR",$O4769&gt;0)),"✖ Current غير صحيح",IF(NOT(IF(ISNUMBER($J4769),AND($J4769&gt;=0,$J4769=INT($J4769)),FALSE())),"✖ العدد يجب أن يكون صحيحًا ≥ 0",IF(AND($F4769="Baseline",$H4769&lt;&gt;""),"⚠ Baseline: Start لا يدخل في التقدم",IF($K4769="No Start (attainment only)","ℹ تحصيل فقط (بدون Start)",IF($K4769="U – needs rule","ℹ حالة U تحتاج قاعدة معتمدة",IF($K4769="No result","ℹ بدون نتيجة (يُستبعد من التحصيل)","OK")))))))))))</f>
        <v/>
      </c>
      <c r="M4769" s="64" t="n">
        <f aca="false">IF($A4769="",0,IFERROR(MATCH($A4769,Classes!$A$6:$A$420,0),0))</f>
        <v>0</v>
      </c>
      <c r="N4769" s="64" t="n">
        <f aca="false">IF($H4769="",0,IFERROR(MATCH($H4769,GradeList,0),0))</f>
        <v>0</v>
      </c>
      <c r="O4769" s="64" t="n">
        <f aca="false">IF(OR($I4769="",$I4769="NR"),0,IFERROR(MATCH($I4769,GradeList,0),0))</f>
        <v>0</v>
      </c>
      <c r="P4769" s="64" t="n">
        <f aca="false">IF(AND($M4769&gt;0,ISNUMBER(MATCH($F4769,Lists!$A$2:$A$5,0)),ISNUMBER(MATCH($G4769,Lists!$B$2:$B$7,0)),OR($H4769="",$N4769&gt;0),OR($I4769="",$I4769="NR",$O4769&gt;0),IF(ISNUMBER($J4769),AND($J4769&gt;=0,$J4769=INT($J4769)),FALSE())),$J4769,0)</f>
        <v>0</v>
      </c>
      <c r="Q4769" s="64" t="n">
        <f aca="false">IF(AND($P4769&gt;0,$O4769&gt;0),$P4769,0)</f>
        <v>0</v>
      </c>
      <c r="R4769" s="64" t="n">
        <f aca="false">IF(AND($Q4769&gt;0,$O4769&gt;=AtRank),$Q4769,0)</f>
        <v>0</v>
      </c>
      <c r="S4769" s="64" t="n">
        <f aca="false">IF(AND($Q4769&gt;0,$O4769&gt;=AboveRank),$Q4769,0)</f>
        <v>0</v>
      </c>
      <c r="T4769" s="64" t="n">
        <f aca="false">IF($K4769="Less",$P4769,0)</f>
        <v>0</v>
      </c>
      <c r="U4769" s="64" t="n">
        <f aca="false">IF($K4769="Expected",$P4769,0)</f>
        <v>0</v>
      </c>
      <c r="V4769" s="64" t="n">
        <f aca="false">IF($K4769="Better",$P4769,0)</f>
        <v>0</v>
      </c>
      <c r="W4769" s="64" t="n">
        <f aca="false">IF($K4769="U – needs rule",$P4769,0)</f>
        <v>0</v>
      </c>
      <c r="X4769" s="64" t="n">
        <f aca="false">IF($K4769="No Start (attainment only)",$P4769,0)</f>
        <v>0</v>
      </c>
    </row>
    <row r="4770" customFormat="false" ht="15" hidden="false" customHeight="false" outlineLevel="0" collapsed="false">
      <c r="A4770" s="60"/>
      <c r="B4770" s="61" t="str">
        <f aca="false">IF($M4770=0,"",INDEX(Classes!$E$6:$E$420,$M4770))</f>
        <v/>
      </c>
      <c r="C4770" s="62" t="str">
        <f aca="false">IF($M4770=0,"",INDEX(Classes!$H$6:$H$420,$M4770))</f>
        <v/>
      </c>
      <c r="D4770" s="61" t="str">
        <f aca="false">IF($M4770=0,"",INDEX(Classes!$B$6:$B$420,$M4770))</f>
        <v/>
      </c>
      <c r="E4770" s="61" t="str">
        <f aca="false">IF($M4770=0,"",INDEX(Classes!$C$6:$C$420,$M4770))</f>
        <v/>
      </c>
      <c r="F4770" s="63"/>
      <c r="G4770" s="63"/>
      <c r="H4770" s="60"/>
      <c r="I4770" s="60"/>
      <c r="J4770" s="63"/>
      <c r="K4770" s="61" t="str">
        <f aca="false">IF($P4770=0,"",IF($F4770="Baseline","— Baseline",IF($O4770=0,"No result",IF($N4770=0,"No Start (attainment only)",IF(OR($N4770=1,$O4770=1),"U – needs rule",INDEX(MxBody,MATCH($I4770,MxCurr,0),MATCH($H4770,MxStart,0)))))))</f>
        <v/>
      </c>
      <c r="L4770" s="62" t="str">
        <f aca="false">IF(COUNTA($A4770,$F4770,$G4770,$H4770,$I4770,$J4770)=0,"",IF($M4770=0,"✖ كود الصف غير موجود",IF(ISNA(MATCH($F4770,Lists!$A$2:$A$5,0)),"✖ الفترة غير صحيحة",IF(ISNA(MATCH($G4770,Lists!$B$2:$B$7,0)),"✖ المجموعة غير صحيحة",IF(NOT(OR($H4770="",$N4770&gt;0)),"✖ Start غير صحيح",IF(NOT(OR($I4770="",$I4770="NR",$O4770&gt;0)),"✖ Current غير صحيح",IF(NOT(IF(ISNUMBER($J4770),AND($J4770&gt;=0,$J4770=INT($J4770)),FALSE())),"✖ العدد يجب أن يكون صحيحًا ≥ 0",IF(AND($F4770="Baseline",$H4770&lt;&gt;""),"⚠ Baseline: Start لا يدخل في التقدم",IF($K4770="No Start (attainment only)","ℹ تحصيل فقط (بدون Start)",IF($K4770="U – needs rule","ℹ حالة U تحتاج قاعدة معتمدة",IF($K4770="No result","ℹ بدون نتيجة (يُستبعد من التحصيل)","OK")))))))))))</f>
        <v/>
      </c>
      <c r="M4770" s="64" t="n">
        <f aca="false">IF($A4770="",0,IFERROR(MATCH($A4770,Classes!$A$6:$A$420,0),0))</f>
        <v>0</v>
      </c>
      <c r="N4770" s="64" t="n">
        <f aca="false">IF($H4770="",0,IFERROR(MATCH($H4770,GradeList,0),0))</f>
        <v>0</v>
      </c>
      <c r="O4770" s="64" t="n">
        <f aca="false">IF(OR($I4770="",$I4770="NR"),0,IFERROR(MATCH($I4770,GradeList,0),0))</f>
        <v>0</v>
      </c>
      <c r="P4770" s="64" t="n">
        <f aca="false">IF(AND($M4770&gt;0,ISNUMBER(MATCH($F4770,Lists!$A$2:$A$5,0)),ISNUMBER(MATCH($G4770,Lists!$B$2:$B$7,0)),OR($H4770="",$N4770&gt;0),OR($I4770="",$I4770="NR",$O4770&gt;0),IF(ISNUMBER($J4770),AND($J4770&gt;=0,$J4770=INT($J4770)),FALSE())),$J4770,0)</f>
        <v>0</v>
      </c>
      <c r="Q4770" s="64" t="n">
        <f aca="false">IF(AND($P4770&gt;0,$O4770&gt;0),$P4770,0)</f>
        <v>0</v>
      </c>
      <c r="R4770" s="64" t="n">
        <f aca="false">IF(AND($Q4770&gt;0,$O4770&gt;=AtRank),$Q4770,0)</f>
        <v>0</v>
      </c>
      <c r="S4770" s="64" t="n">
        <f aca="false">IF(AND($Q4770&gt;0,$O4770&gt;=AboveRank),$Q4770,0)</f>
        <v>0</v>
      </c>
      <c r="T4770" s="64" t="n">
        <f aca="false">IF($K4770="Less",$P4770,0)</f>
        <v>0</v>
      </c>
      <c r="U4770" s="64" t="n">
        <f aca="false">IF($K4770="Expected",$P4770,0)</f>
        <v>0</v>
      </c>
      <c r="V4770" s="64" t="n">
        <f aca="false">IF($K4770="Better",$P4770,0)</f>
        <v>0</v>
      </c>
      <c r="W4770" s="64" t="n">
        <f aca="false">IF($K4770="U – needs rule",$P4770,0)</f>
        <v>0</v>
      </c>
      <c r="X4770" s="64" t="n">
        <f aca="false">IF($K4770="No Start (attainment only)",$P4770,0)</f>
        <v>0</v>
      </c>
    </row>
    <row r="4771" customFormat="false" ht="15" hidden="false" customHeight="false" outlineLevel="0" collapsed="false">
      <c r="A4771" s="60"/>
      <c r="B4771" s="61" t="str">
        <f aca="false">IF($M4771=0,"",INDEX(Classes!$E$6:$E$420,$M4771))</f>
        <v/>
      </c>
      <c r="C4771" s="62" t="str">
        <f aca="false">IF($M4771=0,"",INDEX(Classes!$H$6:$H$420,$M4771))</f>
        <v/>
      </c>
      <c r="D4771" s="61" t="str">
        <f aca="false">IF($M4771=0,"",INDEX(Classes!$B$6:$B$420,$M4771))</f>
        <v/>
      </c>
      <c r="E4771" s="61" t="str">
        <f aca="false">IF($M4771=0,"",INDEX(Classes!$C$6:$C$420,$M4771))</f>
        <v/>
      </c>
      <c r="F4771" s="63"/>
      <c r="G4771" s="63"/>
      <c r="H4771" s="60"/>
      <c r="I4771" s="60"/>
      <c r="J4771" s="63"/>
      <c r="K4771" s="61" t="str">
        <f aca="false">IF($P4771=0,"",IF($F4771="Baseline","— Baseline",IF($O4771=0,"No result",IF($N4771=0,"No Start (attainment only)",IF(OR($N4771=1,$O4771=1),"U – needs rule",INDEX(MxBody,MATCH($I4771,MxCurr,0),MATCH($H4771,MxStart,0)))))))</f>
        <v/>
      </c>
      <c r="L4771" s="62" t="str">
        <f aca="false">IF(COUNTA($A4771,$F4771,$G4771,$H4771,$I4771,$J4771)=0,"",IF($M4771=0,"✖ كود الصف غير موجود",IF(ISNA(MATCH($F4771,Lists!$A$2:$A$5,0)),"✖ الفترة غير صحيحة",IF(ISNA(MATCH($G4771,Lists!$B$2:$B$7,0)),"✖ المجموعة غير صحيحة",IF(NOT(OR($H4771="",$N4771&gt;0)),"✖ Start غير صحيح",IF(NOT(OR($I4771="",$I4771="NR",$O4771&gt;0)),"✖ Current غير صحيح",IF(NOT(IF(ISNUMBER($J4771),AND($J4771&gt;=0,$J4771=INT($J4771)),FALSE())),"✖ العدد يجب أن يكون صحيحًا ≥ 0",IF(AND($F4771="Baseline",$H4771&lt;&gt;""),"⚠ Baseline: Start لا يدخل في التقدم",IF($K4771="No Start (attainment only)","ℹ تحصيل فقط (بدون Start)",IF($K4771="U – needs rule","ℹ حالة U تحتاج قاعدة معتمدة",IF($K4771="No result","ℹ بدون نتيجة (يُستبعد من التحصيل)","OK")))))))))))</f>
        <v/>
      </c>
      <c r="M4771" s="64" t="n">
        <f aca="false">IF($A4771="",0,IFERROR(MATCH($A4771,Classes!$A$6:$A$420,0),0))</f>
        <v>0</v>
      </c>
      <c r="N4771" s="64" t="n">
        <f aca="false">IF($H4771="",0,IFERROR(MATCH($H4771,GradeList,0),0))</f>
        <v>0</v>
      </c>
      <c r="O4771" s="64" t="n">
        <f aca="false">IF(OR($I4771="",$I4771="NR"),0,IFERROR(MATCH($I4771,GradeList,0),0))</f>
        <v>0</v>
      </c>
      <c r="P4771" s="64" t="n">
        <f aca="false">IF(AND($M4771&gt;0,ISNUMBER(MATCH($F4771,Lists!$A$2:$A$5,0)),ISNUMBER(MATCH($G4771,Lists!$B$2:$B$7,0)),OR($H4771="",$N4771&gt;0),OR($I4771="",$I4771="NR",$O4771&gt;0),IF(ISNUMBER($J4771),AND($J4771&gt;=0,$J4771=INT($J4771)),FALSE())),$J4771,0)</f>
        <v>0</v>
      </c>
      <c r="Q4771" s="64" t="n">
        <f aca="false">IF(AND($P4771&gt;0,$O4771&gt;0),$P4771,0)</f>
        <v>0</v>
      </c>
      <c r="R4771" s="64" t="n">
        <f aca="false">IF(AND($Q4771&gt;0,$O4771&gt;=AtRank),$Q4771,0)</f>
        <v>0</v>
      </c>
      <c r="S4771" s="64" t="n">
        <f aca="false">IF(AND($Q4771&gt;0,$O4771&gt;=AboveRank),$Q4771,0)</f>
        <v>0</v>
      </c>
      <c r="T4771" s="64" t="n">
        <f aca="false">IF($K4771="Less",$P4771,0)</f>
        <v>0</v>
      </c>
      <c r="U4771" s="64" t="n">
        <f aca="false">IF($K4771="Expected",$P4771,0)</f>
        <v>0</v>
      </c>
      <c r="V4771" s="64" t="n">
        <f aca="false">IF($K4771="Better",$P4771,0)</f>
        <v>0</v>
      </c>
      <c r="W4771" s="64" t="n">
        <f aca="false">IF($K4771="U – needs rule",$P4771,0)</f>
        <v>0</v>
      </c>
      <c r="X4771" s="64" t="n">
        <f aca="false">IF($K4771="No Start (attainment only)",$P4771,0)</f>
        <v>0</v>
      </c>
    </row>
    <row r="4772" customFormat="false" ht="15" hidden="false" customHeight="false" outlineLevel="0" collapsed="false">
      <c r="A4772" s="60"/>
      <c r="B4772" s="61" t="str">
        <f aca="false">IF($M4772=0,"",INDEX(Classes!$E$6:$E$420,$M4772))</f>
        <v/>
      </c>
      <c r="C4772" s="62" t="str">
        <f aca="false">IF($M4772=0,"",INDEX(Classes!$H$6:$H$420,$M4772))</f>
        <v/>
      </c>
      <c r="D4772" s="61" t="str">
        <f aca="false">IF($M4772=0,"",INDEX(Classes!$B$6:$B$420,$M4772))</f>
        <v/>
      </c>
      <c r="E4772" s="61" t="str">
        <f aca="false">IF($M4772=0,"",INDEX(Classes!$C$6:$C$420,$M4772))</f>
        <v/>
      </c>
      <c r="F4772" s="63"/>
      <c r="G4772" s="63"/>
      <c r="H4772" s="60"/>
      <c r="I4772" s="60"/>
      <c r="J4772" s="63"/>
      <c r="K4772" s="61" t="str">
        <f aca="false">IF($P4772=0,"",IF($F4772="Baseline","— Baseline",IF($O4772=0,"No result",IF($N4772=0,"No Start (attainment only)",IF(OR($N4772=1,$O4772=1),"U – needs rule",INDEX(MxBody,MATCH($I4772,MxCurr,0),MATCH($H4772,MxStart,0)))))))</f>
        <v/>
      </c>
      <c r="L4772" s="62" t="str">
        <f aca="false">IF(COUNTA($A4772,$F4772,$G4772,$H4772,$I4772,$J4772)=0,"",IF($M4772=0,"✖ كود الصف غير موجود",IF(ISNA(MATCH($F4772,Lists!$A$2:$A$5,0)),"✖ الفترة غير صحيحة",IF(ISNA(MATCH($G4772,Lists!$B$2:$B$7,0)),"✖ المجموعة غير صحيحة",IF(NOT(OR($H4772="",$N4772&gt;0)),"✖ Start غير صحيح",IF(NOT(OR($I4772="",$I4772="NR",$O4772&gt;0)),"✖ Current غير صحيح",IF(NOT(IF(ISNUMBER($J4772),AND($J4772&gt;=0,$J4772=INT($J4772)),FALSE())),"✖ العدد يجب أن يكون صحيحًا ≥ 0",IF(AND($F4772="Baseline",$H4772&lt;&gt;""),"⚠ Baseline: Start لا يدخل في التقدم",IF($K4772="No Start (attainment only)","ℹ تحصيل فقط (بدون Start)",IF($K4772="U – needs rule","ℹ حالة U تحتاج قاعدة معتمدة",IF($K4772="No result","ℹ بدون نتيجة (يُستبعد من التحصيل)","OK")))))))))))</f>
        <v/>
      </c>
      <c r="M4772" s="64" t="n">
        <f aca="false">IF($A4772="",0,IFERROR(MATCH($A4772,Classes!$A$6:$A$420,0),0))</f>
        <v>0</v>
      </c>
      <c r="N4772" s="64" t="n">
        <f aca="false">IF($H4772="",0,IFERROR(MATCH($H4772,GradeList,0),0))</f>
        <v>0</v>
      </c>
      <c r="O4772" s="64" t="n">
        <f aca="false">IF(OR($I4772="",$I4772="NR"),0,IFERROR(MATCH($I4772,GradeList,0),0))</f>
        <v>0</v>
      </c>
      <c r="P4772" s="64" t="n">
        <f aca="false">IF(AND($M4772&gt;0,ISNUMBER(MATCH($F4772,Lists!$A$2:$A$5,0)),ISNUMBER(MATCH($G4772,Lists!$B$2:$B$7,0)),OR($H4772="",$N4772&gt;0),OR($I4772="",$I4772="NR",$O4772&gt;0),IF(ISNUMBER($J4772),AND($J4772&gt;=0,$J4772=INT($J4772)),FALSE())),$J4772,0)</f>
        <v>0</v>
      </c>
      <c r="Q4772" s="64" t="n">
        <f aca="false">IF(AND($P4772&gt;0,$O4772&gt;0),$P4772,0)</f>
        <v>0</v>
      </c>
      <c r="R4772" s="64" t="n">
        <f aca="false">IF(AND($Q4772&gt;0,$O4772&gt;=AtRank),$Q4772,0)</f>
        <v>0</v>
      </c>
      <c r="S4772" s="64" t="n">
        <f aca="false">IF(AND($Q4772&gt;0,$O4772&gt;=AboveRank),$Q4772,0)</f>
        <v>0</v>
      </c>
      <c r="T4772" s="64" t="n">
        <f aca="false">IF($K4772="Less",$P4772,0)</f>
        <v>0</v>
      </c>
      <c r="U4772" s="64" t="n">
        <f aca="false">IF($K4772="Expected",$P4772,0)</f>
        <v>0</v>
      </c>
      <c r="V4772" s="64" t="n">
        <f aca="false">IF($K4772="Better",$P4772,0)</f>
        <v>0</v>
      </c>
      <c r="W4772" s="64" t="n">
        <f aca="false">IF($K4772="U – needs rule",$P4772,0)</f>
        <v>0</v>
      </c>
      <c r="X4772" s="64" t="n">
        <f aca="false">IF($K4772="No Start (attainment only)",$P4772,0)</f>
        <v>0</v>
      </c>
    </row>
    <row r="4773" customFormat="false" ht="15" hidden="false" customHeight="false" outlineLevel="0" collapsed="false">
      <c r="A4773" s="60"/>
      <c r="B4773" s="61" t="str">
        <f aca="false">IF($M4773=0,"",INDEX(Classes!$E$6:$E$420,$M4773))</f>
        <v/>
      </c>
      <c r="C4773" s="62" t="str">
        <f aca="false">IF($M4773=0,"",INDEX(Classes!$H$6:$H$420,$M4773))</f>
        <v/>
      </c>
      <c r="D4773" s="61" t="str">
        <f aca="false">IF($M4773=0,"",INDEX(Classes!$B$6:$B$420,$M4773))</f>
        <v/>
      </c>
      <c r="E4773" s="61" t="str">
        <f aca="false">IF($M4773=0,"",INDEX(Classes!$C$6:$C$420,$M4773))</f>
        <v/>
      </c>
      <c r="F4773" s="63"/>
      <c r="G4773" s="63"/>
      <c r="H4773" s="60"/>
      <c r="I4773" s="60"/>
      <c r="J4773" s="63"/>
      <c r="K4773" s="61" t="str">
        <f aca="false">IF($P4773=0,"",IF($F4773="Baseline","— Baseline",IF($O4773=0,"No result",IF($N4773=0,"No Start (attainment only)",IF(OR($N4773=1,$O4773=1),"U – needs rule",INDEX(MxBody,MATCH($I4773,MxCurr,0),MATCH($H4773,MxStart,0)))))))</f>
        <v/>
      </c>
      <c r="L4773" s="62" t="str">
        <f aca="false">IF(COUNTA($A4773,$F4773,$G4773,$H4773,$I4773,$J4773)=0,"",IF($M4773=0,"✖ كود الصف غير موجود",IF(ISNA(MATCH($F4773,Lists!$A$2:$A$5,0)),"✖ الفترة غير صحيحة",IF(ISNA(MATCH($G4773,Lists!$B$2:$B$7,0)),"✖ المجموعة غير صحيحة",IF(NOT(OR($H4773="",$N4773&gt;0)),"✖ Start غير صحيح",IF(NOT(OR($I4773="",$I4773="NR",$O4773&gt;0)),"✖ Current غير صحيح",IF(NOT(IF(ISNUMBER($J4773),AND($J4773&gt;=0,$J4773=INT($J4773)),FALSE())),"✖ العدد يجب أن يكون صحيحًا ≥ 0",IF(AND($F4773="Baseline",$H4773&lt;&gt;""),"⚠ Baseline: Start لا يدخل في التقدم",IF($K4773="No Start (attainment only)","ℹ تحصيل فقط (بدون Start)",IF($K4773="U – needs rule","ℹ حالة U تحتاج قاعدة معتمدة",IF($K4773="No result","ℹ بدون نتيجة (يُستبعد من التحصيل)","OK")))))))))))</f>
        <v/>
      </c>
      <c r="M4773" s="64" t="n">
        <f aca="false">IF($A4773="",0,IFERROR(MATCH($A4773,Classes!$A$6:$A$420,0),0))</f>
        <v>0</v>
      </c>
      <c r="N4773" s="64" t="n">
        <f aca="false">IF($H4773="",0,IFERROR(MATCH($H4773,GradeList,0),0))</f>
        <v>0</v>
      </c>
      <c r="O4773" s="64" t="n">
        <f aca="false">IF(OR($I4773="",$I4773="NR"),0,IFERROR(MATCH($I4773,GradeList,0),0))</f>
        <v>0</v>
      </c>
      <c r="P4773" s="64" t="n">
        <f aca="false">IF(AND($M4773&gt;0,ISNUMBER(MATCH($F4773,Lists!$A$2:$A$5,0)),ISNUMBER(MATCH($G4773,Lists!$B$2:$B$7,0)),OR($H4773="",$N4773&gt;0),OR($I4773="",$I4773="NR",$O4773&gt;0),IF(ISNUMBER($J4773),AND($J4773&gt;=0,$J4773=INT($J4773)),FALSE())),$J4773,0)</f>
        <v>0</v>
      </c>
      <c r="Q4773" s="64" t="n">
        <f aca="false">IF(AND($P4773&gt;0,$O4773&gt;0),$P4773,0)</f>
        <v>0</v>
      </c>
      <c r="R4773" s="64" t="n">
        <f aca="false">IF(AND($Q4773&gt;0,$O4773&gt;=AtRank),$Q4773,0)</f>
        <v>0</v>
      </c>
      <c r="S4773" s="64" t="n">
        <f aca="false">IF(AND($Q4773&gt;0,$O4773&gt;=AboveRank),$Q4773,0)</f>
        <v>0</v>
      </c>
      <c r="T4773" s="64" t="n">
        <f aca="false">IF($K4773="Less",$P4773,0)</f>
        <v>0</v>
      </c>
      <c r="U4773" s="64" t="n">
        <f aca="false">IF($K4773="Expected",$P4773,0)</f>
        <v>0</v>
      </c>
      <c r="V4773" s="64" t="n">
        <f aca="false">IF($K4773="Better",$P4773,0)</f>
        <v>0</v>
      </c>
      <c r="W4773" s="64" t="n">
        <f aca="false">IF($K4773="U – needs rule",$P4773,0)</f>
        <v>0</v>
      </c>
      <c r="X4773" s="64" t="n">
        <f aca="false">IF($K4773="No Start (attainment only)",$P4773,0)</f>
        <v>0</v>
      </c>
    </row>
    <row r="4774" customFormat="false" ht="15" hidden="false" customHeight="false" outlineLevel="0" collapsed="false">
      <c r="A4774" s="60"/>
      <c r="B4774" s="61" t="str">
        <f aca="false">IF($M4774=0,"",INDEX(Classes!$E$6:$E$420,$M4774))</f>
        <v/>
      </c>
      <c r="C4774" s="62" t="str">
        <f aca="false">IF($M4774=0,"",INDEX(Classes!$H$6:$H$420,$M4774))</f>
        <v/>
      </c>
      <c r="D4774" s="61" t="str">
        <f aca="false">IF($M4774=0,"",INDEX(Classes!$B$6:$B$420,$M4774))</f>
        <v/>
      </c>
      <c r="E4774" s="61" t="str">
        <f aca="false">IF($M4774=0,"",INDEX(Classes!$C$6:$C$420,$M4774))</f>
        <v/>
      </c>
      <c r="F4774" s="63"/>
      <c r="G4774" s="63"/>
      <c r="H4774" s="60"/>
      <c r="I4774" s="60"/>
      <c r="J4774" s="63"/>
      <c r="K4774" s="61" t="str">
        <f aca="false">IF($P4774=0,"",IF($F4774="Baseline","— Baseline",IF($O4774=0,"No result",IF($N4774=0,"No Start (attainment only)",IF(OR($N4774=1,$O4774=1),"U – needs rule",INDEX(MxBody,MATCH($I4774,MxCurr,0),MATCH($H4774,MxStart,0)))))))</f>
        <v/>
      </c>
      <c r="L4774" s="62" t="str">
        <f aca="false">IF(COUNTA($A4774,$F4774,$G4774,$H4774,$I4774,$J4774)=0,"",IF($M4774=0,"✖ كود الصف غير موجود",IF(ISNA(MATCH($F4774,Lists!$A$2:$A$5,0)),"✖ الفترة غير صحيحة",IF(ISNA(MATCH($G4774,Lists!$B$2:$B$7,0)),"✖ المجموعة غير صحيحة",IF(NOT(OR($H4774="",$N4774&gt;0)),"✖ Start غير صحيح",IF(NOT(OR($I4774="",$I4774="NR",$O4774&gt;0)),"✖ Current غير صحيح",IF(NOT(IF(ISNUMBER($J4774),AND($J4774&gt;=0,$J4774=INT($J4774)),FALSE())),"✖ العدد يجب أن يكون صحيحًا ≥ 0",IF(AND($F4774="Baseline",$H4774&lt;&gt;""),"⚠ Baseline: Start لا يدخل في التقدم",IF($K4774="No Start (attainment only)","ℹ تحصيل فقط (بدون Start)",IF($K4774="U – needs rule","ℹ حالة U تحتاج قاعدة معتمدة",IF($K4774="No result","ℹ بدون نتيجة (يُستبعد من التحصيل)","OK")))))))))))</f>
        <v/>
      </c>
      <c r="M4774" s="64" t="n">
        <f aca="false">IF($A4774="",0,IFERROR(MATCH($A4774,Classes!$A$6:$A$420,0),0))</f>
        <v>0</v>
      </c>
      <c r="N4774" s="64" t="n">
        <f aca="false">IF($H4774="",0,IFERROR(MATCH($H4774,GradeList,0),0))</f>
        <v>0</v>
      </c>
      <c r="O4774" s="64" t="n">
        <f aca="false">IF(OR($I4774="",$I4774="NR"),0,IFERROR(MATCH($I4774,GradeList,0),0))</f>
        <v>0</v>
      </c>
      <c r="P4774" s="64" t="n">
        <f aca="false">IF(AND($M4774&gt;0,ISNUMBER(MATCH($F4774,Lists!$A$2:$A$5,0)),ISNUMBER(MATCH($G4774,Lists!$B$2:$B$7,0)),OR($H4774="",$N4774&gt;0),OR($I4774="",$I4774="NR",$O4774&gt;0),IF(ISNUMBER($J4774),AND($J4774&gt;=0,$J4774=INT($J4774)),FALSE())),$J4774,0)</f>
        <v>0</v>
      </c>
      <c r="Q4774" s="64" t="n">
        <f aca="false">IF(AND($P4774&gt;0,$O4774&gt;0),$P4774,0)</f>
        <v>0</v>
      </c>
      <c r="R4774" s="64" t="n">
        <f aca="false">IF(AND($Q4774&gt;0,$O4774&gt;=AtRank),$Q4774,0)</f>
        <v>0</v>
      </c>
      <c r="S4774" s="64" t="n">
        <f aca="false">IF(AND($Q4774&gt;0,$O4774&gt;=AboveRank),$Q4774,0)</f>
        <v>0</v>
      </c>
      <c r="T4774" s="64" t="n">
        <f aca="false">IF($K4774="Less",$P4774,0)</f>
        <v>0</v>
      </c>
      <c r="U4774" s="64" t="n">
        <f aca="false">IF($K4774="Expected",$P4774,0)</f>
        <v>0</v>
      </c>
      <c r="V4774" s="64" t="n">
        <f aca="false">IF($K4774="Better",$P4774,0)</f>
        <v>0</v>
      </c>
      <c r="W4774" s="64" t="n">
        <f aca="false">IF($K4774="U – needs rule",$P4774,0)</f>
        <v>0</v>
      </c>
      <c r="X4774" s="64" t="n">
        <f aca="false">IF($K4774="No Start (attainment only)",$P4774,0)</f>
        <v>0</v>
      </c>
    </row>
    <row r="4775" customFormat="false" ht="15" hidden="false" customHeight="false" outlineLevel="0" collapsed="false">
      <c r="A4775" s="60"/>
      <c r="B4775" s="61" t="str">
        <f aca="false">IF($M4775=0,"",INDEX(Classes!$E$6:$E$420,$M4775))</f>
        <v/>
      </c>
      <c r="C4775" s="62" t="str">
        <f aca="false">IF($M4775=0,"",INDEX(Classes!$H$6:$H$420,$M4775))</f>
        <v/>
      </c>
      <c r="D4775" s="61" t="str">
        <f aca="false">IF($M4775=0,"",INDEX(Classes!$B$6:$B$420,$M4775))</f>
        <v/>
      </c>
      <c r="E4775" s="61" t="str">
        <f aca="false">IF($M4775=0,"",INDEX(Classes!$C$6:$C$420,$M4775))</f>
        <v/>
      </c>
      <c r="F4775" s="63"/>
      <c r="G4775" s="63"/>
      <c r="H4775" s="60"/>
      <c r="I4775" s="60"/>
      <c r="J4775" s="63"/>
      <c r="K4775" s="61" t="str">
        <f aca="false">IF($P4775=0,"",IF($F4775="Baseline","— Baseline",IF($O4775=0,"No result",IF($N4775=0,"No Start (attainment only)",IF(OR($N4775=1,$O4775=1),"U – needs rule",INDEX(MxBody,MATCH($I4775,MxCurr,0),MATCH($H4775,MxStart,0)))))))</f>
        <v/>
      </c>
      <c r="L4775" s="62" t="str">
        <f aca="false">IF(COUNTA($A4775,$F4775,$G4775,$H4775,$I4775,$J4775)=0,"",IF($M4775=0,"✖ كود الصف غير موجود",IF(ISNA(MATCH($F4775,Lists!$A$2:$A$5,0)),"✖ الفترة غير صحيحة",IF(ISNA(MATCH($G4775,Lists!$B$2:$B$7,0)),"✖ المجموعة غير صحيحة",IF(NOT(OR($H4775="",$N4775&gt;0)),"✖ Start غير صحيح",IF(NOT(OR($I4775="",$I4775="NR",$O4775&gt;0)),"✖ Current غير صحيح",IF(NOT(IF(ISNUMBER($J4775),AND($J4775&gt;=0,$J4775=INT($J4775)),FALSE())),"✖ العدد يجب أن يكون صحيحًا ≥ 0",IF(AND($F4775="Baseline",$H4775&lt;&gt;""),"⚠ Baseline: Start لا يدخل في التقدم",IF($K4775="No Start (attainment only)","ℹ تحصيل فقط (بدون Start)",IF($K4775="U – needs rule","ℹ حالة U تحتاج قاعدة معتمدة",IF($K4775="No result","ℹ بدون نتيجة (يُستبعد من التحصيل)","OK")))))))))))</f>
        <v/>
      </c>
      <c r="M4775" s="64" t="n">
        <f aca="false">IF($A4775="",0,IFERROR(MATCH($A4775,Classes!$A$6:$A$420,0),0))</f>
        <v>0</v>
      </c>
      <c r="N4775" s="64" t="n">
        <f aca="false">IF($H4775="",0,IFERROR(MATCH($H4775,GradeList,0),0))</f>
        <v>0</v>
      </c>
      <c r="O4775" s="64" t="n">
        <f aca="false">IF(OR($I4775="",$I4775="NR"),0,IFERROR(MATCH($I4775,GradeList,0),0))</f>
        <v>0</v>
      </c>
      <c r="P4775" s="64" t="n">
        <f aca="false">IF(AND($M4775&gt;0,ISNUMBER(MATCH($F4775,Lists!$A$2:$A$5,0)),ISNUMBER(MATCH($G4775,Lists!$B$2:$B$7,0)),OR($H4775="",$N4775&gt;0),OR($I4775="",$I4775="NR",$O4775&gt;0),IF(ISNUMBER($J4775),AND($J4775&gt;=0,$J4775=INT($J4775)),FALSE())),$J4775,0)</f>
        <v>0</v>
      </c>
      <c r="Q4775" s="64" t="n">
        <f aca="false">IF(AND($P4775&gt;0,$O4775&gt;0),$P4775,0)</f>
        <v>0</v>
      </c>
      <c r="R4775" s="64" t="n">
        <f aca="false">IF(AND($Q4775&gt;0,$O4775&gt;=AtRank),$Q4775,0)</f>
        <v>0</v>
      </c>
      <c r="S4775" s="64" t="n">
        <f aca="false">IF(AND($Q4775&gt;0,$O4775&gt;=AboveRank),$Q4775,0)</f>
        <v>0</v>
      </c>
      <c r="T4775" s="64" t="n">
        <f aca="false">IF($K4775="Less",$P4775,0)</f>
        <v>0</v>
      </c>
      <c r="U4775" s="64" t="n">
        <f aca="false">IF($K4775="Expected",$P4775,0)</f>
        <v>0</v>
      </c>
      <c r="V4775" s="64" t="n">
        <f aca="false">IF($K4775="Better",$P4775,0)</f>
        <v>0</v>
      </c>
      <c r="W4775" s="64" t="n">
        <f aca="false">IF($K4775="U – needs rule",$P4775,0)</f>
        <v>0</v>
      </c>
      <c r="X4775" s="64" t="n">
        <f aca="false">IF($K4775="No Start (attainment only)",$P4775,0)</f>
        <v>0</v>
      </c>
    </row>
    <row r="4776" customFormat="false" ht="15" hidden="false" customHeight="false" outlineLevel="0" collapsed="false">
      <c r="A4776" s="60"/>
      <c r="B4776" s="61" t="str">
        <f aca="false">IF($M4776=0,"",INDEX(Classes!$E$6:$E$420,$M4776))</f>
        <v/>
      </c>
      <c r="C4776" s="62" t="str">
        <f aca="false">IF($M4776=0,"",INDEX(Classes!$H$6:$H$420,$M4776))</f>
        <v/>
      </c>
      <c r="D4776" s="61" t="str">
        <f aca="false">IF($M4776=0,"",INDEX(Classes!$B$6:$B$420,$M4776))</f>
        <v/>
      </c>
      <c r="E4776" s="61" t="str">
        <f aca="false">IF($M4776=0,"",INDEX(Classes!$C$6:$C$420,$M4776))</f>
        <v/>
      </c>
      <c r="F4776" s="63"/>
      <c r="G4776" s="63"/>
      <c r="H4776" s="60"/>
      <c r="I4776" s="60"/>
      <c r="J4776" s="63"/>
      <c r="K4776" s="61" t="str">
        <f aca="false">IF($P4776=0,"",IF($F4776="Baseline","— Baseline",IF($O4776=0,"No result",IF($N4776=0,"No Start (attainment only)",IF(OR($N4776=1,$O4776=1),"U – needs rule",INDEX(MxBody,MATCH($I4776,MxCurr,0),MATCH($H4776,MxStart,0)))))))</f>
        <v/>
      </c>
      <c r="L4776" s="62" t="str">
        <f aca="false">IF(COUNTA($A4776,$F4776,$G4776,$H4776,$I4776,$J4776)=0,"",IF($M4776=0,"✖ كود الصف غير موجود",IF(ISNA(MATCH($F4776,Lists!$A$2:$A$5,0)),"✖ الفترة غير صحيحة",IF(ISNA(MATCH($G4776,Lists!$B$2:$B$7,0)),"✖ المجموعة غير صحيحة",IF(NOT(OR($H4776="",$N4776&gt;0)),"✖ Start غير صحيح",IF(NOT(OR($I4776="",$I4776="NR",$O4776&gt;0)),"✖ Current غير صحيح",IF(NOT(IF(ISNUMBER($J4776),AND($J4776&gt;=0,$J4776=INT($J4776)),FALSE())),"✖ العدد يجب أن يكون صحيحًا ≥ 0",IF(AND($F4776="Baseline",$H4776&lt;&gt;""),"⚠ Baseline: Start لا يدخل في التقدم",IF($K4776="No Start (attainment only)","ℹ تحصيل فقط (بدون Start)",IF($K4776="U – needs rule","ℹ حالة U تحتاج قاعدة معتمدة",IF($K4776="No result","ℹ بدون نتيجة (يُستبعد من التحصيل)","OK")))))))))))</f>
        <v/>
      </c>
      <c r="M4776" s="64" t="n">
        <f aca="false">IF($A4776="",0,IFERROR(MATCH($A4776,Classes!$A$6:$A$420,0),0))</f>
        <v>0</v>
      </c>
      <c r="N4776" s="64" t="n">
        <f aca="false">IF($H4776="",0,IFERROR(MATCH($H4776,GradeList,0),0))</f>
        <v>0</v>
      </c>
      <c r="O4776" s="64" t="n">
        <f aca="false">IF(OR($I4776="",$I4776="NR"),0,IFERROR(MATCH($I4776,GradeList,0),0))</f>
        <v>0</v>
      </c>
      <c r="P4776" s="64" t="n">
        <f aca="false">IF(AND($M4776&gt;0,ISNUMBER(MATCH($F4776,Lists!$A$2:$A$5,0)),ISNUMBER(MATCH($G4776,Lists!$B$2:$B$7,0)),OR($H4776="",$N4776&gt;0),OR($I4776="",$I4776="NR",$O4776&gt;0),IF(ISNUMBER($J4776),AND($J4776&gt;=0,$J4776=INT($J4776)),FALSE())),$J4776,0)</f>
        <v>0</v>
      </c>
      <c r="Q4776" s="64" t="n">
        <f aca="false">IF(AND($P4776&gt;0,$O4776&gt;0),$P4776,0)</f>
        <v>0</v>
      </c>
      <c r="R4776" s="64" t="n">
        <f aca="false">IF(AND($Q4776&gt;0,$O4776&gt;=AtRank),$Q4776,0)</f>
        <v>0</v>
      </c>
      <c r="S4776" s="64" t="n">
        <f aca="false">IF(AND($Q4776&gt;0,$O4776&gt;=AboveRank),$Q4776,0)</f>
        <v>0</v>
      </c>
      <c r="T4776" s="64" t="n">
        <f aca="false">IF($K4776="Less",$P4776,0)</f>
        <v>0</v>
      </c>
      <c r="U4776" s="64" t="n">
        <f aca="false">IF($K4776="Expected",$P4776,0)</f>
        <v>0</v>
      </c>
      <c r="V4776" s="64" t="n">
        <f aca="false">IF($K4776="Better",$P4776,0)</f>
        <v>0</v>
      </c>
      <c r="W4776" s="64" t="n">
        <f aca="false">IF($K4776="U – needs rule",$P4776,0)</f>
        <v>0</v>
      </c>
      <c r="X4776" s="64" t="n">
        <f aca="false">IF($K4776="No Start (attainment only)",$P4776,0)</f>
        <v>0</v>
      </c>
    </row>
    <row r="4777" customFormat="false" ht="15" hidden="false" customHeight="false" outlineLevel="0" collapsed="false">
      <c r="A4777" s="60"/>
      <c r="B4777" s="61" t="str">
        <f aca="false">IF($M4777=0,"",INDEX(Classes!$E$6:$E$420,$M4777))</f>
        <v/>
      </c>
      <c r="C4777" s="62" t="str">
        <f aca="false">IF($M4777=0,"",INDEX(Classes!$H$6:$H$420,$M4777))</f>
        <v/>
      </c>
      <c r="D4777" s="61" t="str">
        <f aca="false">IF($M4777=0,"",INDEX(Classes!$B$6:$B$420,$M4777))</f>
        <v/>
      </c>
      <c r="E4777" s="61" t="str">
        <f aca="false">IF($M4777=0,"",INDEX(Classes!$C$6:$C$420,$M4777))</f>
        <v/>
      </c>
      <c r="F4777" s="63"/>
      <c r="G4777" s="63"/>
      <c r="H4777" s="60"/>
      <c r="I4777" s="60"/>
      <c r="J4777" s="63"/>
      <c r="K4777" s="61" t="str">
        <f aca="false">IF($P4777=0,"",IF($F4777="Baseline","— Baseline",IF($O4777=0,"No result",IF($N4777=0,"No Start (attainment only)",IF(OR($N4777=1,$O4777=1),"U – needs rule",INDEX(MxBody,MATCH($I4777,MxCurr,0),MATCH($H4777,MxStart,0)))))))</f>
        <v/>
      </c>
      <c r="L4777" s="62" t="str">
        <f aca="false">IF(COUNTA($A4777,$F4777,$G4777,$H4777,$I4777,$J4777)=0,"",IF($M4777=0,"✖ كود الصف غير موجود",IF(ISNA(MATCH($F4777,Lists!$A$2:$A$5,0)),"✖ الفترة غير صحيحة",IF(ISNA(MATCH($G4777,Lists!$B$2:$B$7,0)),"✖ المجموعة غير صحيحة",IF(NOT(OR($H4777="",$N4777&gt;0)),"✖ Start غير صحيح",IF(NOT(OR($I4777="",$I4777="NR",$O4777&gt;0)),"✖ Current غير صحيح",IF(NOT(IF(ISNUMBER($J4777),AND($J4777&gt;=0,$J4777=INT($J4777)),FALSE())),"✖ العدد يجب أن يكون صحيحًا ≥ 0",IF(AND($F4777="Baseline",$H4777&lt;&gt;""),"⚠ Baseline: Start لا يدخل في التقدم",IF($K4777="No Start (attainment only)","ℹ تحصيل فقط (بدون Start)",IF($K4777="U – needs rule","ℹ حالة U تحتاج قاعدة معتمدة",IF($K4777="No result","ℹ بدون نتيجة (يُستبعد من التحصيل)","OK")))))))))))</f>
        <v/>
      </c>
      <c r="M4777" s="64" t="n">
        <f aca="false">IF($A4777="",0,IFERROR(MATCH($A4777,Classes!$A$6:$A$420,0),0))</f>
        <v>0</v>
      </c>
      <c r="N4777" s="64" t="n">
        <f aca="false">IF($H4777="",0,IFERROR(MATCH($H4777,GradeList,0),0))</f>
        <v>0</v>
      </c>
      <c r="O4777" s="64" t="n">
        <f aca="false">IF(OR($I4777="",$I4777="NR"),0,IFERROR(MATCH($I4777,GradeList,0),0))</f>
        <v>0</v>
      </c>
      <c r="P4777" s="64" t="n">
        <f aca="false">IF(AND($M4777&gt;0,ISNUMBER(MATCH($F4777,Lists!$A$2:$A$5,0)),ISNUMBER(MATCH($G4777,Lists!$B$2:$B$7,0)),OR($H4777="",$N4777&gt;0),OR($I4777="",$I4777="NR",$O4777&gt;0),IF(ISNUMBER($J4777),AND($J4777&gt;=0,$J4777=INT($J4777)),FALSE())),$J4777,0)</f>
        <v>0</v>
      </c>
      <c r="Q4777" s="64" t="n">
        <f aca="false">IF(AND($P4777&gt;0,$O4777&gt;0),$P4777,0)</f>
        <v>0</v>
      </c>
      <c r="R4777" s="64" t="n">
        <f aca="false">IF(AND($Q4777&gt;0,$O4777&gt;=AtRank),$Q4777,0)</f>
        <v>0</v>
      </c>
      <c r="S4777" s="64" t="n">
        <f aca="false">IF(AND($Q4777&gt;0,$O4777&gt;=AboveRank),$Q4777,0)</f>
        <v>0</v>
      </c>
      <c r="T4777" s="64" t="n">
        <f aca="false">IF($K4777="Less",$P4777,0)</f>
        <v>0</v>
      </c>
      <c r="U4777" s="64" t="n">
        <f aca="false">IF($K4777="Expected",$P4777,0)</f>
        <v>0</v>
      </c>
      <c r="V4777" s="64" t="n">
        <f aca="false">IF($K4777="Better",$P4777,0)</f>
        <v>0</v>
      </c>
      <c r="W4777" s="64" t="n">
        <f aca="false">IF($K4777="U – needs rule",$P4777,0)</f>
        <v>0</v>
      </c>
      <c r="X4777" s="64" t="n">
        <f aca="false">IF($K4777="No Start (attainment only)",$P4777,0)</f>
        <v>0</v>
      </c>
    </row>
    <row r="4778" customFormat="false" ht="15" hidden="false" customHeight="false" outlineLevel="0" collapsed="false">
      <c r="A4778" s="60"/>
      <c r="B4778" s="61" t="str">
        <f aca="false">IF($M4778=0,"",INDEX(Classes!$E$6:$E$420,$M4778))</f>
        <v/>
      </c>
      <c r="C4778" s="62" t="str">
        <f aca="false">IF($M4778=0,"",INDEX(Classes!$H$6:$H$420,$M4778))</f>
        <v/>
      </c>
      <c r="D4778" s="61" t="str">
        <f aca="false">IF($M4778=0,"",INDEX(Classes!$B$6:$B$420,$M4778))</f>
        <v/>
      </c>
      <c r="E4778" s="61" t="str">
        <f aca="false">IF($M4778=0,"",INDEX(Classes!$C$6:$C$420,$M4778))</f>
        <v/>
      </c>
      <c r="F4778" s="63"/>
      <c r="G4778" s="63"/>
      <c r="H4778" s="60"/>
      <c r="I4778" s="60"/>
      <c r="J4778" s="63"/>
      <c r="K4778" s="61" t="str">
        <f aca="false">IF($P4778=0,"",IF($F4778="Baseline","— Baseline",IF($O4778=0,"No result",IF($N4778=0,"No Start (attainment only)",IF(OR($N4778=1,$O4778=1),"U – needs rule",INDEX(MxBody,MATCH($I4778,MxCurr,0),MATCH($H4778,MxStart,0)))))))</f>
        <v/>
      </c>
      <c r="L4778" s="62" t="str">
        <f aca="false">IF(COUNTA($A4778,$F4778,$G4778,$H4778,$I4778,$J4778)=0,"",IF($M4778=0,"✖ كود الصف غير موجود",IF(ISNA(MATCH($F4778,Lists!$A$2:$A$5,0)),"✖ الفترة غير صحيحة",IF(ISNA(MATCH($G4778,Lists!$B$2:$B$7,0)),"✖ المجموعة غير صحيحة",IF(NOT(OR($H4778="",$N4778&gt;0)),"✖ Start غير صحيح",IF(NOT(OR($I4778="",$I4778="NR",$O4778&gt;0)),"✖ Current غير صحيح",IF(NOT(IF(ISNUMBER($J4778),AND($J4778&gt;=0,$J4778=INT($J4778)),FALSE())),"✖ العدد يجب أن يكون صحيحًا ≥ 0",IF(AND($F4778="Baseline",$H4778&lt;&gt;""),"⚠ Baseline: Start لا يدخل في التقدم",IF($K4778="No Start (attainment only)","ℹ تحصيل فقط (بدون Start)",IF($K4778="U – needs rule","ℹ حالة U تحتاج قاعدة معتمدة",IF($K4778="No result","ℹ بدون نتيجة (يُستبعد من التحصيل)","OK")))))))))))</f>
        <v/>
      </c>
      <c r="M4778" s="64" t="n">
        <f aca="false">IF($A4778="",0,IFERROR(MATCH($A4778,Classes!$A$6:$A$420,0),0))</f>
        <v>0</v>
      </c>
      <c r="N4778" s="64" t="n">
        <f aca="false">IF($H4778="",0,IFERROR(MATCH($H4778,GradeList,0),0))</f>
        <v>0</v>
      </c>
      <c r="O4778" s="64" t="n">
        <f aca="false">IF(OR($I4778="",$I4778="NR"),0,IFERROR(MATCH($I4778,GradeList,0),0))</f>
        <v>0</v>
      </c>
      <c r="P4778" s="64" t="n">
        <f aca="false">IF(AND($M4778&gt;0,ISNUMBER(MATCH($F4778,Lists!$A$2:$A$5,0)),ISNUMBER(MATCH($G4778,Lists!$B$2:$B$7,0)),OR($H4778="",$N4778&gt;0),OR($I4778="",$I4778="NR",$O4778&gt;0),IF(ISNUMBER($J4778),AND($J4778&gt;=0,$J4778=INT($J4778)),FALSE())),$J4778,0)</f>
        <v>0</v>
      </c>
      <c r="Q4778" s="64" t="n">
        <f aca="false">IF(AND($P4778&gt;0,$O4778&gt;0),$P4778,0)</f>
        <v>0</v>
      </c>
      <c r="R4778" s="64" t="n">
        <f aca="false">IF(AND($Q4778&gt;0,$O4778&gt;=AtRank),$Q4778,0)</f>
        <v>0</v>
      </c>
      <c r="S4778" s="64" t="n">
        <f aca="false">IF(AND($Q4778&gt;0,$O4778&gt;=AboveRank),$Q4778,0)</f>
        <v>0</v>
      </c>
      <c r="T4778" s="64" t="n">
        <f aca="false">IF($K4778="Less",$P4778,0)</f>
        <v>0</v>
      </c>
      <c r="U4778" s="64" t="n">
        <f aca="false">IF($K4778="Expected",$P4778,0)</f>
        <v>0</v>
      </c>
      <c r="V4778" s="64" t="n">
        <f aca="false">IF($K4778="Better",$P4778,0)</f>
        <v>0</v>
      </c>
      <c r="W4778" s="64" t="n">
        <f aca="false">IF($K4778="U – needs rule",$P4778,0)</f>
        <v>0</v>
      </c>
      <c r="X4778" s="64" t="n">
        <f aca="false">IF($K4778="No Start (attainment only)",$P4778,0)</f>
        <v>0</v>
      </c>
    </row>
    <row r="4779" customFormat="false" ht="15" hidden="false" customHeight="false" outlineLevel="0" collapsed="false">
      <c r="A4779" s="60"/>
      <c r="B4779" s="61" t="str">
        <f aca="false">IF($M4779=0,"",INDEX(Classes!$E$6:$E$420,$M4779))</f>
        <v/>
      </c>
      <c r="C4779" s="62" t="str">
        <f aca="false">IF($M4779=0,"",INDEX(Classes!$H$6:$H$420,$M4779))</f>
        <v/>
      </c>
      <c r="D4779" s="61" t="str">
        <f aca="false">IF($M4779=0,"",INDEX(Classes!$B$6:$B$420,$M4779))</f>
        <v/>
      </c>
      <c r="E4779" s="61" t="str">
        <f aca="false">IF($M4779=0,"",INDEX(Classes!$C$6:$C$420,$M4779))</f>
        <v/>
      </c>
      <c r="F4779" s="63"/>
      <c r="G4779" s="63"/>
      <c r="H4779" s="60"/>
      <c r="I4779" s="60"/>
      <c r="J4779" s="63"/>
      <c r="K4779" s="61" t="str">
        <f aca="false">IF($P4779=0,"",IF($F4779="Baseline","— Baseline",IF($O4779=0,"No result",IF($N4779=0,"No Start (attainment only)",IF(OR($N4779=1,$O4779=1),"U – needs rule",INDEX(MxBody,MATCH($I4779,MxCurr,0),MATCH($H4779,MxStart,0)))))))</f>
        <v/>
      </c>
      <c r="L4779" s="62" t="str">
        <f aca="false">IF(COUNTA($A4779,$F4779,$G4779,$H4779,$I4779,$J4779)=0,"",IF($M4779=0,"✖ كود الصف غير موجود",IF(ISNA(MATCH($F4779,Lists!$A$2:$A$5,0)),"✖ الفترة غير صحيحة",IF(ISNA(MATCH($G4779,Lists!$B$2:$B$7,0)),"✖ المجموعة غير صحيحة",IF(NOT(OR($H4779="",$N4779&gt;0)),"✖ Start غير صحيح",IF(NOT(OR($I4779="",$I4779="NR",$O4779&gt;0)),"✖ Current غير صحيح",IF(NOT(IF(ISNUMBER($J4779),AND($J4779&gt;=0,$J4779=INT($J4779)),FALSE())),"✖ العدد يجب أن يكون صحيحًا ≥ 0",IF(AND($F4779="Baseline",$H4779&lt;&gt;""),"⚠ Baseline: Start لا يدخل في التقدم",IF($K4779="No Start (attainment only)","ℹ تحصيل فقط (بدون Start)",IF($K4779="U – needs rule","ℹ حالة U تحتاج قاعدة معتمدة",IF($K4779="No result","ℹ بدون نتيجة (يُستبعد من التحصيل)","OK")))))))))))</f>
        <v/>
      </c>
      <c r="M4779" s="64" t="n">
        <f aca="false">IF($A4779="",0,IFERROR(MATCH($A4779,Classes!$A$6:$A$420,0),0))</f>
        <v>0</v>
      </c>
      <c r="N4779" s="64" t="n">
        <f aca="false">IF($H4779="",0,IFERROR(MATCH($H4779,GradeList,0),0))</f>
        <v>0</v>
      </c>
      <c r="O4779" s="64" t="n">
        <f aca="false">IF(OR($I4779="",$I4779="NR"),0,IFERROR(MATCH($I4779,GradeList,0),0))</f>
        <v>0</v>
      </c>
      <c r="P4779" s="64" t="n">
        <f aca="false">IF(AND($M4779&gt;0,ISNUMBER(MATCH($F4779,Lists!$A$2:$A$5,0)),ISNUMBER(MATCH($G4779,Lists!$B$2:$B$7,0)),OR($H4779="",$N4779&gt;0),OR($I4779="",$I4779="NR",$O4779&gt;0),IF(ISNUMBER($J4779),AND($J4779&gt;=0,$J4779=INT($J4779)),FALSE())),$J4779,0)</f>
        <v>0</v>
      </c>
      <c r="Q4779" s="64" t="n">
        <f aca="false">IF(AND($P4779&gt;0,$O4779&gt;0),$P4779,0)</f>
        <v>0</v>
      </c>
      <c r="R4779" s="64" t="n">
        <f aca="false">IF(AND($Q4779&gt;0,$O4779&gt;=AtRank),$Q4779,0)</f>
        <v>0</v>
      </c>
      <c r="S4779" s="64" t="n">
        <f aca="false">IF(AND($Q4779&gt;0,$O4779&gt;=AboveRank),$Q4779,0)</f>
        <v>0</v>
      </c>
      <c r="T4779" s="64" t="n">
        <f aca="false">IF($K4779="Less",$P4779,0)</f>
        <v>0</v>
      </c>
      <c r="U4779" s="64" t="n">
        <f aca="false">IF($K4779="Expected",$P4779,0)</f>
        <v>0</v>
      </c>
      <c r="V4779" s="64" t="n">
        <f aca="false">IF($K4779="Better",$P4779,0)</f>
        <v>0</v>
      </c>
      <c r="W4779" s="64" t="n">
        <f aca="false">IF($K4779="U – needs rule",$P4779,0)</f>
        <v>0</v>
      </c>
      <c r="X4779" s="64" t="n">
        <f aca="false">IF($K4779="No Start (attainment only)",$P4779,0)</f>
        <v>0</v>
      </c>
    </row>
    <row r="4780" customFormat="false" ht="15" hidden="false" customHeight="false" outlineLevel="0" collapsed="false">
      <c r="A4780" s="60"/>
      <c r="B4780" s="61" t="str">
        <f aca="false">IF($M4780=0,"",INDEX(Classes!$E$6:$E$420,$M4780))</f>
        <v/>
      </c>
      <c r="C4780" s="62" t="str">
        <f aca="false">IF($M4780=0,"",INDEX(Classes!$H$6:$H$420,$M4780))</f>
        <v/>
      </c>
      <c r="D4780" s="61" t="str">
        <f aca="false">IF($M4780=0,"",INDEX(Classes!$B$6:$B$420,$M4780))</f>
        <v/>
      </c>
      <c r="E4780" s="61" t="str">
        <f aca="false">IF($M4780=0,"",INDEX(Classes!$C$6:$C$420,$M4780))</f>
        <v/>
      </c>
      <c r="F4780" s="63"/>
      <c r="G4780" s="63"/>
      <c r="H4780" s="60"/>
      <c r="I4780" s="60"/>
      <c r="J4780" s="63"/>
      <c r="K4780" s="61" t="str">
        <f aca="false">IF($P4780=0,"",IF($F4780="Baseline","— Baseline",IF($O4780=0,"No result",IF($N4780=0,"No Start (attainment only)",IF(OR($N4780=1,$O4780=1),"U – needs rule",INDEX(MxBody,MATCH($I4780,MxCurr,0),MATCH($H4780,MxStart,0)))))))</f>
        <v/>
      </c>
      <c r="L4780" s="62" t="str">
        <f aca="false">IF(COUNTA($A4780,$F4780,$G4780,$H4780,$I4780,$J4780)=0,"",IF($M4780=0,"✖ كود الصف غير موجود",IF(ISNA(MATCH($F4780,Lists!$A$2:$A$5,0)),"✖ الفترة غير صحيحة",IF(ISNA(MATCH($G4780,Lists!$B$2:$B$7,0)),"✖ المجموعة غير صحيحة",IF(NOT(OR($H4780="",$N4780&gt;0)),"✖ Start غير صحيح",IF(NOT(OR($I4780="",$I4780="NR",$O4780&gt;0)),"✖ Current غير صحيح",IF(NOT(IF(ISNUMBER($J4780),AND($J4780&gt;=0,$J4780=INT($J4780)),FALSE())),"✖ العدد يجب أن يكون صحيحًا ≥ 0",IF(AND($F4780="Baseline",$H4780&lt;&gt;""),"⚠ Baseline: Start لا يدخل في التقدم",IF($K4780="No Start (attainment only)","ℹ تحصيل فقط (بدون Start)",IF($K4780="U – needs rule","ℹ حالة U تحتاج قاعدة معتمدة",IF($K4780="No result","ℹ بدون نتيجة (يُستبعد من التحصيل)","OK")))))))))))</f>
        <v/>
      </c>
      <c r="M4780" s="64" t="n">
        <f aca="false">IF($A4780="",0,IFERROR(MATCH($A4780,Classes!$A$6:$A$420,0),0))</f>
        <v>0</v>
      </c>
      <c r="N4780" s="64" t="n">
        <f aca="false">IF($H4780="",0,IFERROR(MATCH($H4780,GradeList,0),0))</f>
        <v>0</v>
      </c>
      <c r="O4780" s="64" t="n">
        <f aca="false">IF(OR($I4780="",$I4780="NR"),0,IFERROR(MATCH($I4780,GradeList,0),0))</f>
        <v>0</v>
      </c>
      <c r="P4780" s="64" t="n">
        <f aca="false">IF(AND($M4780&gt;0,ISNUMBER(MATCH($F4780,Lists!$A$2:$A$5,0)),ISNUMBER(MATCH($G4780,Lists!$B$2:$B$7,0)),OR($H4780="",$N4780&gt;0),OR($I4780="",$I4780="NR",$O4780&gt;0),IF(ISNUMBER($J4780),AND($J4780&gt;=0,$J4780=INT($J4780)),FALSE())),$J4780,0)</f>
        <v>0</v>
      </c>
      <c r="Q4780" s="64" t="n">
        <f aca="false">IF(AND($P4780&gt;0,$O4780&gt;0),$P4780,0)</f>
        <v>0</v>
      </c>
      <c r="R4780" s="64" t="n">
        <f aca="false">IF(AND($Q4780&gt;0,$O4780&gt;=AtRank),$Q4780,0)</f>
        <v>0</v>
      </c>
      <c r="S4780" s="64" t="n">
        <f aca="false">IF(AND($Q4780&gt;0,$O4780&gt;=AboveRank),$Q4780,0)</f>
        <v>0</v>
      </c>
      <c r="T4780" s="64" t="n">
        <f aca="false">IF($K4780="Less",$P4780,0)</f>
        <v>0</v>
      </c>
      <c r="U4780" s="64" t="n">
        <f aca="false">IF($K4780="Expected",$P4780,0)</f>
        <v>0</v>
      </c>
      <c r="V4780" s="64" t="n">
        <f aca="false">IF($K4780="Better",$P4780,0)</f>
        <v>0</v>
      </c>
      <c r="W4780" s="64" t="n">
        <f aca="false">IF($K4780="U – needs rule",$P4780,0)</f>
        <v>0</v>
      </c>
      <c r="X4780" s="64" t="n">
        <f aca="false">IF($K4780="No Start (attainment only)",$P4780,0)</f>
        <v>0</v>
      </c>
    </row>
    <row r="4781" customFormat="false" ht="15" hidden="false" customHeight="false" outlineLevel="0" collapsed="false">
      <c r="A4781" s="60"/>
      <c r="B4781" s="61" t="str">
        <f aca="false">IF($M4781=0,"",INDEX(Classes!$E$6:$E$420,$M4781))</f>
        <v/>
      </c>
      <c r="C4781" s="62" t="str">
        <f aca="false">IF($M4781=0,"",INDEX(Classes!$H$6:$H$420,$M4781))</f>
        <v/>
      </c>
      <c r="D4781" s="61" t="str">
        <f aca="false">IF($M4781=0,"",INDEX(Classes!$B$6:$B$420,$M4781))</f>
        <v/>
      </c>
      <c r="E4781" s="61" t="str">
        <f aca="false">IF($M4781=0,"",INDEX(Classes!$C$6:$C$420,$M4781))</f>
        <v/>
      </c>
      <c r="F4781" s="63"/>
      <c r="G4781" s="63"/>
      <c r="H4781" s="60"/>
      <c r="I4781" s="60"/>
      <c r="J4781" s="63"/>
      <c r="K4781" s="61" t="str">
        <f aca="false">IF($P4781=0,"",IF($F4781="Baseline","— Baseline",IF($O4781=0,"No result",IF($N4781=0,"No Start (attainment only)",IF(OR($N4781=1,$O4781=1),"U – needs rule",INDEX(MxBody,MATCH($I4781,MxCurr,0),MATCH($H4781,MxStart,0)))))))</f>
        <v/>
      </c>
      <c r="L4781" s="62" t="str">
        <f aca="false">IF(COUNTA($A4781,$F4781,$G4781,$H4781,$I4781,$J4781)=0,"",IF($M4781=0,"✖ كود الصف غير موجود",IF(ISNA(MATCH($F4781,Lists!$A$2:$A$5,0)),"✖ الفترة غير صحيحة",IF(ISNA(MATCH($G4781,Lists!$B$2:$B$7,0)),"✖ المجموعة غير صحيحة",IF(NOT(OR($H4781="",$N4781&gt;0)),"✖ Start غير صحيح",IF(NOT(OR($I4781="",$I4781="NR",$O4781&gt;0)),"✖ Current غير صحيح",IF(NOT(IF(ISNUMBER($J4781),AND($J4781&gt;=0,$J4781=INT($J4781)),FALSE())),"✖ العدد يجب أن يكون صحيحًا ≥ 0",IF(AND($F4781="Baseline",$H4781&lt;&gt;""),"⚠ Baseline: Start لا يدخل في التقدم",IF($K4781="No Start (attainment only)","ℹ تحصيل فقط (بدون Start)",IF($K4781="U – needs rule","ℹ حالة U تحتاج قاعدة معتمدة",IF($K4781="No result","ℹ بدون نتيجة (يُستبعد من التحصيل)","OK")))))))))))</f>
        <v/>
      </c>
      <c r="M4781" s="64" t="n">
        <f aca="false">IF($A4781="",0,IFERROR(MATCH($A4781,Classes!$A$6:$A$420,0),0))</f>
        <v>0</v>
      </c>
      <c r="N4781" s="64" t="n">
        <f aca="false">IF($H4781="",0,IFERROR(MATCH($H4781,GradeList,0),0))</f>
        <v>0</v>
      </c>
      <c r="O4781" s="64" t="n">
        <f aca="false">IF(OR($I4781="",$I4781="NR"),0,IFERROR(MATCH($I4781,GradeList,0),0))</f>
        <v>0</v>
      </c>
      <c r="P4781" s="64" t="n">
        <f aca="false">IF(AND($M4781&gt;0,ISNUMBER(MATCH($F4781,Lists!$A$2:$A$5,0)),ISNUMBER(MATCH($G4781,Lists!$B$2:$B$7,0)),OR($H4781="",$N4781&gt;0),OR($I4781="",$I4781="NR",$O4781&gt;0),IF(ISNUMBER($J4781),AND($J4781&gt;=0,$J4781=INT($J4781)),FALSE())),$J4781,0)</f>
        <v>0</v>
      </c>
      <c r="Q4781" s="64" t="n">
        <f aca="false">IF(AND($P4781&gt;0,$O4781&gt;0),$P4781,0)</f>
        <v>0</v>
      </c>
      <c r="R4781" s="64" t="n">
        <f aca="false">IF(AND($Q4781&gt;0,$O4781&gt;=AtRank),$Q4781,0)</f>
        <v>0</v>
      </c>
      <c r="S4781" s="64" t="n">
        <f aca="false">IF(AND($Q4781&gt;0,$O4781&gt;=AboveRank),$Q4781,0)</f>
        <v>0</v>
      </c>
      <c r="T4781" s="64" t="n">
        <f aca="false">IF($K4781="Less",$P4781,0)</f>
        <v>0</v>
      </c>
      <c r="U4781" s="64" t="n">
        <f aca="false">IF($K4781="Expected",$P4781,0)</f>
        <v>0</v>
      </c>
      <c r="V4781" s="64" t="n">
        <f aca="false">IF($K4781="Better",$P4781,0)</f>
        <v>0</v>
      </c>
      <c r="W4781" s="64" t="n">
        <f aca="false">IF($K4781="U – needs rule",$P4781,0)</f>
        <v>0</v>
      </c>
      <c r="X4781" s="64" t="n">
        <f aca="false">IF($K4781="No Start (attainment only)",$P4781,0)</f>
        <v>0</v>
      </c>
    </row>
    <row r="4782" customFormat="false" ht="15" hidden="false" customHeight="false" outlineLevel="0" collapsed="false">
      <c r="A4782" s="60"/>
      <c r="B4782" s="61" t="str">
        <f aca="false">IF($M4782=0,"",INDEX(Classes!$E$6:$E$420,$M4782))</f>
        <v/>
      </c>
      <c r="C4782" s="62" t="str">
        <f aca="false">IF($M4782=0,"",INDEX(Classes!$H$6:$H$420,$M4782))</f>
        <v/>
      </c>
      <c r="D4782" s="61" t="str">
        <f aca="false">IF($M4782=0,"",INDEX(Classes!$B$6:$B$420,$M4782))</f>
        <v/>
      </c>
      <c r="E4782" s="61" t="str">
        <f aca="false">IF($M4782=0,"",INDEX(Classes!$C$6:$C$420,$M4782))</f>
        <v/>
      </c>
      <c r="F4782" s="63"/>
      <c r="G4782" s="63"/>
      <c r="H4782" s="60"/>
      <c r="I4782" s="60"/>
      <c r="J4782" s="63"/>
      <c r="K4782" s="61" t="str">
        <f aca="false">IF($P4782=0,"",IF($F4782="Baseline","— Baseline",IF($O4782=0,"No result",IF($N4782=0,"No Start (attainment only)",IF(OR($N4782=1,$O4782=1),"U – needs rule",INDEX(MxBody,MATCH($I4782,MxCurr,0),MATCH($H4782,MxStart,0)))))))</f>
        <v/>
      </c>
      <c r="L4782" s="62" t="str">
        <f aca="false">IF(COUNTA($A4782,$F4782,$G4782,$H4782,$I4782,$J4782)=0,"",IF($M4782=0,"✖ كود الصف غير موجود",IF(ISNA(MATCH($F4782,Lists!$A$2:$A$5,0)),"✖ الفترة غير صحيحة",IF(ISNA(MATCH($G4782,Lists!$B$2:$B$7,0)),"✖ المجموعة غير صحيحة",IF(NOT(OR($H4782="",$N4782&gt;0)),"✖ Start غير صحيح",IF(NOT(OR($I4782="",$I4782="NR",$O4782&gt;0)),"✖ Current غير صحيح",IF(NOT(IF(ISNUMBER($J4782),AND($J4782&gt;=0,$J4782=INT($J4782)),FALSE())),"✖ العدد يجب أن يكون صحيحًا ≥ 0",IF(AND($F4782="Baseline",$H4782&lt;&gt;""),"⚠ Baseline: Start لا يدخل في التقدم",IF($K4782="No Start (attainment only)","ℹ تحصيل فقط (بدون Start)",IF($K4782="U – needs rule","ℹ حالة U تحتاج قاعدة معتمدة",IF($K4782="No result","ℹ بدون نتيجة (يُستبعد من التحصيل)","OK")))))))))))</f>
        <v/>
      </c>
      <c r="M4782" s="64" t="n">
        <f aca="false">IF($A4782="",0,IFERROR(MATCH($A4782,Classes!$A$6:$A$420,0),0))</f>
        <v>0</v>
      </c>
      <c r="N4782" s="64" t="n">
        <f aca="false">IF($H4782="",0,IFERROR(MATCH($H4782,GradeList,0),0))</f>
        <v>0</v>
      </c>
      <c r="O4782" s="64" t="n">
        <f aca="false">IF(OR($I4782="",$I4782="NR"),0,IFERROR(MATCH($I4782,GradeList,0),0))</f>
        <v>0</v>
      </c>
      <c r="P4782" s="64" t="n">
        <f aca="false">IF(AND($M4782&gt;0,ISNUMBER(MATCH($F4782,Lists!$A$2:$A$5,0)),ISNUMBER(MATCH($G4782,Lists!$B$2:$B$7,0)),OR($H4782="",$N4782&gt;0),OR($I4782="",$I4782="NR",$O4782&gt;0),IF(ISNUMBER($J4782),AND($J4782&gt;=0,$J4782=INT($J4782)),FALSE())),$J4782,0)</f>
        <v>0</v>
      </c>
      <c r="Q4782" s="64" t="n">
        <f aca="false">IF(AND($P4782&gt;0,$O4782&gt;0),$P4782,0)</f>
        <v>0</v>
      </c>
      <c r="R4782" s="64" t="n">
        <f aca="false">IF(AND($Q4782&gt;0,$O4782&gt;=AtRank),$Q4782,0)</f>
        <v>0</v>
      </c>
      <c r="S4782" s="64" t="n">
        <f aca="false">IF(AND($Q4782&gt;0,$O4782&gt;=AboveRank),$Q4782,0)</f>
        <v>0</v>
      </c>
      <c r="T4782" s="64" t="n">
        <f aca="false">IF($K4782="Less",$P4782,0)</f>
        <v>0</v>
      </c>
      <c r="U4782" s="64" t="n">
        <f aca="false">IF($K4782="Expected",$P4782,0)</f>
        <v>0</v>
      </c>
      <c r="V4782" s="64" t="n">
        <f aca="false">IF($K4782="Better",$P4782,0)</f>
        <v>0</v>
      </c>
      <c r="W4782" s="64" t="n">
        <f aca="false">IF($K4782="U – needs rule",$P4782,0)</f>
        <v>0</v>
      </c>
      <c r="X4782" s="64" t="n">
        <f aca="false">IF($K4782="No Start (attainment only)",$P4782,0)</f>
        <v>0</v>
      </c>
    </row>
    <row r="4783" customFormat="false" ht="15" hidden="false" customHeight="false" outlineLevel="0" collapsed="false">
      <c r="A4783" s="60"/>
      <c r="B4783" s="61" t="str">
        <f aca="false">IF($M4783=0,"",INDEX(Classes!$E$6:$E$420,$M4783))</f>
        <v/>
      </c>
      <c r="C4783" s="62" t="str">
        <f aca="false">IF($M4783=0,"",INDEX(Classes!$H$6:$H$420,$M4783))</f>
        <v/>
      </c>
      <c r="D4783" s="61" t="str">
        <f aca="false">IF($M4783=0,"",INDEX(Classes!$B$6:$B$420,$M4783))</f>
        <v/>
      </c>
      <c r="E4783" s="61" t="str">
        <f aca="false">IF($M4783=0,"",INDEX(Classes!$C$6:$C$420,$M4783))</f>
        <v/>
      </c>
      <c r="F4783" s="63"/>
      <c r="G4783" s="63"/>
      <c r="H4783" s="60"/>
      <c r="I4783" s="60"/>
      <c r="J4783" s="63"/>
      <c r="K4783" s="61" t="str">
        <f aca="false">IF($P4783=0,"",IF($F4783="Baseline","— Baseline",IF($O4783=0,"No result",IF($N4783=0,"No Start (attainment only)",IF(OR($N4783=1,$O4783=1),"U – needs rule",INDEX(MxBody,MATCH($I4783,MxCurr,0),MATCH($H4783,MxStart,0)))))))</f>
        <v/>
      </c>
      <c r="L4783" s="62" t="str">
        <f aca="false">IF(COUNTA($A4783,$F4783,$G4783,$H4783,$I4783,$J4783)=0,"",IF($M4783=0,"✖ كود الصف غير موجود",IF(ISNA(MATCH($F4783,Lists!$A$2:$A$5,0)),"✖ الفترة غير صحيحة",IF(ISNA(MATCH($G4783,Lists!$B$2:$B$7,0)),"✖ المجموعة غير صحيحة",IF(NOT(OR($H4783="",$N4783&gt;0)),"✖ Start غير صحيح",IF(NOT(OR($I4783="",$I4783="NR",$O4783&gt;0)),"✖ Current غير صحيح",IF(NOT(IF(ISNUMBER($J4783),AND($J4783&gt;=0,$J4783=INT($J4783)),FALSE())),"✖ العدد يجب أن يكون صحيحًا ≥ 0",IF(AND($F4783="Baseline",$H4783&lt;&gt;""),"⚠ Baseline: Start لا يدخل في التقدم",IF($K4783="No Start (attainment only)","ℹ تحصيل فقط (بدون Start)",IF($K4783="U – needs rule","ℹ حالة U تحتاج قاعدة معتمدة",IF($K4783="No result","ℹ بدون نتيجة (يُستبعد من التحصيل)","OK")))))))))))</f>
        <v/>
      </c>
      <c r="M4783" s="64" t="n">
        <f aca="false">IF($A4783="",0,IFERROR(MATCH($A4783,Classes!$A$6:$A$420,0),0))</f>
        <v>0</v>
      </c>
      <c r="N4783" s="64" t="n">
        <f aca="false">IF($H4783="",0,IFERROR(MATCH($H4783,GradeList,0),0))</f>
        <v>0</v>
      </c>
      <c r="O4783" s="64" t="n">
        <f aca="false">IF(OR($I4783="",$I4783="NR"),0,IFERROR(MATCH($I4783,GradeList,0),0))</f>
        <v>0</v>
      </c>
      <c r="P4783" s="64" t="n">
        <f aca="false">IF(AND($M4783&gt;0,ISNUMBER(MATCH($F4783,Lists!$A$2:$A$5,0)),ISNUMBER(MATCH($G4783,Lists!$B$2:$B$7,0)),OR($H4783="",$N4783&gt;0),OR($I4783="",$I4783="NR",$O4783&gt;0),IF(ISNUMBER($J4783),AND($J4783&gt;=0,$J4783=INT($J4783)),FALSE())),$J4783,0)</f>
        <v>0</v>
      </c>
      <c r="Q4783" s="64" t="n">
        <f aca="false">IF(AND($P4783&gt;0,$O4783&gt;0),$P4783,0)</f>
        <v>0</v>
      </c>
      <c r="R4783" s="64" t="n">
        <f aca="false">IF(AND($Q4783&gt;0,$O4783&gt;=AtRank),$Q4783,0)</f>
        <v>0</v>
      </c>
      <c r="S4783" s="64" t="n">
        <f aca="false">IF(AND($Q4783&gt;0,$O4783&gt;=AboveRank),$Q4783,0)</f>
        <v>0</v>
      </c>
      <c r="T4783" s="64" t="n">
        <f aca="false">IF($K4783="Less",$P4783,0)</f>
        <v>0</v>
      </c>
      <c r="U4783" s="64" t="n">
        <f aca="false">IF($K4783="Expected",$P4783,0)</f>
        <v>0</v>
      </c>
      <c r="V4783" s="64" t="n">
        <f aca="false">IF($K4783="Better",$P4783,0)</f>
        <v>0</v>
      </c>
      <c r="W4783" s="64" t="n">
        <f aca="false">IF($K4783="U – needs rule",$P4783,0)</f>
        <v>0</v>
      </c>
      <c r="X4783" s="64" t="n">
        <f aca="false">IF($K4783="No Start (attainment only)",$P4783,0)</f>
        <v>0</v>
      </c>
    </row>
    <row r="4784" customFormat="false" ht="15" hidden="false" customHeight="false" outlineLevel="0" collapsed="false">
      <c r="A4784" s="60"/>
      <c r="B4784" s="61" t="str">
        <f aca="false">IF($M4784=0,"",INDEX(Classes!$E$6:$E$420,$M4784))</f>
        <v/>
      </c>
      <c r="C4784" s="62" t="str">
        <f aca="false">IF($M4784=0,"",INDEX(Classes!$H$6:$H$420,$M4784))</f>
        <v/>
      </c>
      <c r="D4784" s="61" t="str">
        <f aca="false">IF($M4784=0,"",INDEX(Classes!$B$6:$B$420,$M4784))</f>
        <v/>
      </c>
      <c r="E4784" s="61" t="str">
        <f aca="false">IF($M4784=0,"",INDEX(Classes!$C$6:$C$420,$M4784))</f>
        <v/>
      </c>
      <c r="F4784" s="63"/>
      <c r="G4784" s="63"/>
      <c r="H4784" s="60"/>
      <c r="I4784" s="60"/>
      <c r="J4784" s="63"/>
      <c r="K4784" s="61" t="str">
        <f aca="false">IF($P4784=0,"",IF($F4784="Baseline","— Baseline",IF($O4784=0,"No result",IF($N4784=0,"No Start (attainment only)",IF(OR($N4784=1,$O4784=1),"U – needs rule",INDEX(MxBody,MATCH($I4784,MxCurr,0),MATCH($H4784,MxStart,0)))))))</f>
        <v/>
      </c>
      <c r="L4784" s="62" t="str">
        <f aca="false">IF(COUNTA($A4784,$F4784,$G4784,$H4784,$I4784,$J4784)=0,"",IF($M4784=0,"✖ كود الصف غير موجود",IF(ISNA(MATCH($F4784,Lists!$A$2:$A$5,0)),"✖ الفترة غير صحيحة",IF(ISNA(MATCH($G4784,Lists!$B$2:$B$7,0)),"✖ المجموعة غير صحيحة",IF(NOT(OR($H4784="",$N4784&gt;0)),"✖ Start غير صحيح",IF(NOT(OR($I4784="",$I4784="NR",$O4784&gt;0)),"✖ Current غير صحيح",IF(NOT(IF(ISNUMBER($J4784),AND($J4784&gt;=0,$J4784=INT($J4784)),FALSE())),"✖ العدد يجب أن يكون صحيحًا ≥ 0",IF(AND($F4784="Baseline",$H4784&lt;&gt;""),"⚠ Baseline: Start لا يدخل في التقدم",IF($K4784="No Start (attainment only)","ℹ تحصيل فقط (بدون Start)",IF($K4784="U – needs rule","ℹ حالة U تحتاج قاعدة معتمدة",IF($K4784="No result","ℹ بدون نتيجة (يُستبعد من التحصيل)","OK")))))))))))</f>
        <v/>
      </c>
      <c r="M4784" s="64" t="n">
        <f aca="false">IF($A4784="",0,IFERROR(MATCH($A4784,Classes!$A$6:$A$420,0),0))</f>
        <v>0</v>
      </c>
      <c r="N4784" s="64" t="n">
        <f aca="false">IF($H4784="",0,IFERROR(MATCH($H4784,GradeList,0),0))</f>
        <v>0</v>
      </c>
      <c r="O4784" s="64" t="n">
        <f aca="false">IF(OR($I4784="",$I4784="NR"),0,IFERROR(MATCH($I4784,GradeList,0),0))</f>
        <v>0</v>
      </c>
      <c r="P4784" s="64" t="n">
        <f aca="false">IF(AND($M4784&gt;0,ISNUMBER(MATCH($F4784,Lists!$A$2:$A$5,0)),ISNUMBER(MATCH($G4784,Lists!$B$2:$B$7,0)),OR($H4784="",$N4784&gt;0),OR($I4784="",$I4784="NR",$O4784&gt;0),IF(ISNUMBER($J4784),AND($J4784&gt;=0,$J4784=INT($J4784)),FALSE())),$J4784,0)</f>
        <v>0</v>
      </c>
      <c r="Q4784" s="64" t="n">
        <f aca="false">IF(AND($P4784&gt;0,$O4784&gt;0),$P4784,0)</f>
        <v>0</v>
      </c>
      <c r="R4784" s="64" t="n">
        <f aca="false">IF(AND($Q4784&gt;0,$O4784&gt;=AtRank),$Q4784,0)</f>
        <v>0</v>
      </c>
      <c r="S4784" s="64" t="n">
        <f aca="false">IF(AND($Q4784&gt;0,$O4784&gt;=AboveRank),$Q4784,0)</f>
        <v>0</v>
      </c>
      <c r="T4784" s="64" t="n">
        <f aca="false">IF($K4784="Less",$P4784,0)</f>
        <v>0</v>
      </c>
      <c r="U4784" s="64" t="n">
        <f aca="false">IF($K4784="Expected",$P4784,0)</f>
        <v>0</v>
      </c>
      <c r="V4784" s="64" t="n">
        <f aca="false">IF($K4784="Better",$P4784,0)</f>
        <v>0</v>
      </c>
      <c r="W4784" s="64" t="n">
        <f aca="false">IF($K4784="U – needs rule",$P4784,0)</f>
        <v>0</v>
      </c>
      <c r="X4784" s="64" t="n">
        <f aca="false">IF($K4784="No Start (attainment only)",$P4784,0)</f>
        <v>0</v>
      </c>
    </row>
    <row r="4785" customFormat="false" ht="15" hidden="false" customHeight="false" outlineLevel="0" collapsed="false">
      <c r="A4785" s="60"/>
      <c r="B4785" s="61" t="str">
        <f aca="false">IF($M4785=0,"",INDEX(Classes!$E$6:$E$420,$M4785))</f>
        <v/>
      </c>
      <c r="C4785" s="62" t="str">
        <f aca="false">IF($M4785=0,"",INDEX(Classes!$H$6:$H$420,$M4785))</f>
        <v/>
      </c>
      <c r="D4785" s="61" t="str">
        <f aca="false">IF($M4785=0,"",INDEX(Classes!$B$6:$B$420,$M4785))</f>
        <v/>
      </c>
      <c r="E4785" s="61" t="str">
        <f aca="false">IF($M4785=0,"",INDEX(Classes!$C$6:$C$420,$M4785))</f>
        <v/>
      </c>
      <c r="F4785" s="63"/>
      <c r="G4785" s="63"/>
      <c r="H4785" s="60"/>
      <c r="I4785" s="60"/>
      <c r="J4785" s="63"/>
      <c r="K4785" s="61" t="str">
        <f aca="false">IF($P4785=0,"",IF($F4785="Baseline","— Baseline",IF($O4785=0,"No result",IF($N4785=0,"No Start (attainment only)",IF(OR($N4785=1,$O4785=1),"U – needs rule",INDEX(MxBody,MATCH($I4785,MxCurr,0),MATCH($H4785,MxStart,0)))))))</f>
        <v/>
      </c>
      <c r="L4785" s="62" t="str">
        <f aca="false">IF(COUNTA($A4785,$F4785,$G4785,$H4785,$I4785,$J4785)=0,"",IF($M4785=0,"✖ كود الصف غير موجود",IF(ISNA(MATCH($F4785,Lists!$A$2:$A$5,0)),"✖ الفترة غير صحيحة",IF(ISNA(MATCH($G4785,Lists!$B$2:$B$7,0)),"✖ المجموعة غير صحيحة",IF(NOT(OR($H4785="",$N4785&gt;0)),"✖ Start غير صحيح",IF(NOT(OR($I4785="",$I4785="NR",$O4785&gt;0)),"✖ Current غير صحيح",IF(NOT(IF(ISNUMBER($J4785),AND($J4785&gt;=0,$J4785=INT($J4785)),FALSE())),"✖ العدد يجب أن يكون صحيحًا ≥ 0",IF(AND($F4785="Baseline",$H4785&lt;&gt;""),"⚠ Baseline: Start لا يدخل في التقدم",IF($K4785="No Start (attainment only)","ℹ تحصيل فقط (بدون Start)",IF($K4785="U – needs rule","ℹ حالة U تحتاج قاعدة معتمدة",IF($K4785="No result","ℹ بدون نتيجة (يُستبعد من التحصيل)","OK")))))))))))</f>
        <v/>
      </c>
      <c r="M4785" s="64" t="n">
        <f aca="false">IF($A4785="",0,IFERROR(MATCH($A4785,Classes!$A$6:$A$420,0),0))</f>
        <v>0</v>
      </c>
      <c r="N4785" s="64" t="n">
        <f aca="false">IF($H4785="",0,IFERROR(MATCH($H4785,GradeList,0),0))</f>
        <v>0</v>
      </c>
      <c r="O4785" s="64" t="n">
        <f aca="false">IF(OR($I4785="",$I4785="NR"),0,IFERROR(MATCH($I4785,GradeList,0),0))</f>
        <v>0</v>
      </c>
      <c r="P4785" s="64" t="n">
        <f aca="false">IF(AND($M4785&gt;0,ISNUMBER(MATCH($F4785,Lists!$A$2:$A$5,0)),ISNUMBER(MATCH($G4785,Lists!$B$2:$B$7,0)),OR($H4785="",$N4785&gt;0),OR($I4785="",$I4785="NR",$O4785&gt;0),IF(ISNUMBER($J4785),AND($J4785&gt;=0,$J4785=INT($J4785)),FALSE())),$J4785,0)</f>
        <v>0</v>
      </c>
      <c r="Q4785" s="64" t="n">
        <f aca="false">IF(AND($P4785&gt;0,$O4785&gt;0),$P4785,0)</f>
        <v>0</v>
      </c>
      <c r="R4785" s="64" t="n">
        <f aca="false">IF(AND($Q4785&gt;0,$O4785&gt;=AtRank),$Q4785,0)</f>
        <v>0</v>
      </c>
      <c r="S4785" s="64" t="n">
        <f aca="false">IF(AND($Q4785&gt;0,$O4785&gt;=AboveRank),$Q4785,0)</f>
        <v>0</v>
      </c>
      <c r="T4785" s="64" t="n">
        <f aca="false">IF($K4785="Less",$P4785,0)</f>
        <v>0</v>
      </c>
      <c r="U4785" s="64" t="n">
        <f aca="false">IF($K4785="Expected",$P4785,0)</f>
        <v>0</v>
      </c>
      <c r="V4785" s="64" t="n">
        <f aca="false">IF($K4785="Better",$P4785,0)</f>
        <v>0</v>
      </c>
      <c r="W4785" s="64" t="n">
        <f aca="false">IF($K4785="U – needs rule",$P4785,0)</f>
        <v>0</v>
      </c>
      <c r="X4785" s="64" t="n">
        <f aca="false">IF($K4785="No Start (attainment only)",$P4785,0)</f>
        <v>0</v>
      </c>
    </row>
    <row r="4786" customFormat="false" ht="15" hidden="false" customHeight="false" outlineLevel="0" collapsed="false">
      <c r="A4786" s="60"/>
      <c r="B4786" s="61" t="str">
        <f aca="false">IF($M4786=0,"",INDEX(Classes!$E$6:$E$420,$M4786))</f>
        <v/>
      </c>
      <c r="C4786" s="62" t="str">
        <f aca="false">IF($M4786=0,"",INDEX(Classes!$H$6:$H$420,$M4786))</f>
        <v/>
      </c>
      <c r="D4786" s="61" t="str">
        <f aca="false">IF($M4786=0,"",INDEX(Classes!$B$6:$B$420,$M4786))</f>
        <v/>
      </c>
      <c r="E4786" s="61" t="str">
        <f aca="false">IF($M4786=0,"",INDEX(Classes!$C$6:$C$420,$M4786))</f>
        <v/>
      </c>
      <c r="F4786" s="63"/>
      <c r="G4786" s="63"/>
      <c r="H4786" s="60"/>
      <c r="I4786" s="60"/>
      <c r="J4786" s="63"/>
      <c r="K4786" s="61" t="str">
        <f aca="false">IF($P4786=0,"",IF($F4786="Baseline","— Baseline",IF($O4786=0,"No result",IF($N4786=0,"No Start (attainment only)",IF(OR($N4786=1,$O4786=1),"U – needs rule",INDEX(MxBody,MATCH($I4786,MxCurr,0),MATCH($H4786,MxStart,0)))))))</f>
        <v/>
      </c>
      <c r="L4786" s="62" t="str">
        <f aca="false">IF(COUNTA($A4786,$F4786,$G4786,$H4786,$I4786,$J4786)=0,"",IF($M4786=0,"✖ كود الصف غير موجود",IF(ISNA(MATCH($F4786,Lists!$A$2:$A$5,0)),"✖ الفترة غير صحيحة",IF(ISNA(MATCH($G4786,Lists!$B$2:$B$7,0)),"✖ المجموعة غير صحيحة",IF(NOT(OR($H4786="",$N4786&gt;0)),"✖ Start غير صحيح",IF(NOT(OR($I4786="",$I4786="NR",$O4786&gt;0)),"✖ Current غير صحيح",IF(NOT(IF(ISNUMBER($J4786),AND($J4786&gt;=0,$J4786=INT($J4786)),FALSE())),"✖ العدد يجب أن يكون صحيحًا ≥ 0",IF(AND($F4786="Baseline",$H4786&lt;&gt;""),"⚠ Baseline: Start لا يدخل في التقدم",IF($K4786="No Start (attainment only)","ℹ تحصيل فقط (بدون Start)",IF($K4786="U – needs rule","ℹ حالة U تحتاج قاعدة معتمدة",IF($K4786="No result","ℹ بدون نتيجة (يُستبعد من التحصيل)","OK")))))))))))</f>
        <v/>
      </c>
      <c r="M4786" s="64" t="n">
        <f aca="false">IF($A4786="",0,IFERROR(MATCH($A4786,Classes!$A$6:$A$420,0),0))</f>
        <v>0</v>
      </c>
      <c r="N4786" s="64" t="n">
        <f aca="false">IF($H4786="",0,IFERROR(MATCH($H4786,GradeList,0),0))</f>
        <v>0</v>
      </c>
      <c r="O4786" s="64" t="n">
        <f aca="false">IF(OR($I4786="",$I4786="NR"),0,IFERROR(MATCH($I4786,GradeList,0),0))</f>
        <v>0</v>
      </c>
      <c r="P4786" s="64" t="n">
        <f aca="false">IF(AND($M4786&gt;0,ISNUMBER(MATCH($F4786,Lists!$A$2:$A$5,0)),ISNUMBER(MATCH($G4786,Lists!$B$2:$B$7,0)),OR($H4786="",$N4786&gt;0),OR($I4786="",$I4786="NR",$O4786&gt;0),IF(ISNUMBER($J4786),AND($J4786&gt;=0,$J4786=INT($J4786)),FALSE())),$J4786,0)</f>
        <v>0</v>
      </c>
      <c r="Q4786" s="64" t="n">
        <f aca="false">IF(AND($P4786&gt;0,$O4786&gt;0),$P4786,0)</f>
        <v>0</v>
      </c>
      <c r="R4786" s="64" t="n">
        <f aca="false">IF(AND($Q4786&gt;0,$O4786&gt;=AtRank),$Q4786,0)</f>
        <v>0</v>
      </c>
      <c r="S4786" s="64" t="n">
        <f aca="false">IF(AND($Q4786&gt;0,$O4786&gt;=AboveRank),$Q4786,0)</f>
        <v>0</v>
      </c>
      <c r="T4786" s="64" t="n">
        <f aca="false">IF($K4786="Less",$P4786,0)</f>
        <v>0</v>
      </c>
      <c r="U4786" s="64" t="n">
        <f aca="false">IF($K4786="Expected",$P4786,0)</f>
        <v>0</v>
      </c>
      <c r="V4786" s="64" t="n">
        <f aca="false">IF($K4786="Better",$P4786,0)</f>
        <v>0</v>
      </c>
      <c r="W4786" s="64" t="n">
        <f aca="false">IF($K4786="U – needs rule",$P4786,0)</f>
        <v>0</v>
      </c>
      <c r="X4786" s="64" t="n">
        <f aca="false">IF($K4786="No Start (attainment only)",$P4786,0)</f>
        <v>0</v>
      </c>
    </row>
    <row r="4787" customFormat="false" ht="15" hidden="false" customHeight="false" outlineLevel="0" collapsed="false">
      <c r="A4787" s="60"/>
      <c r="B4787" s="61" t="str">
        <f aca="false">IF($M4787=0,"",INDEX(Classes!$E$6:$E$420,$M4787))</f>
        <v/>
      </c>
      <c r="C4787" s="62" t="str">
        <f aca="false">IF($M4787=0,"",INDEX(Classes!$H$6:$H$420,$M4787))</f>
        <v/>
      </c>
      <c r="D4787" s="61" t="str">
        <f aca="false">IF($M4787=0,"",INDEX(Classes!$B$6:$B$420,$M4787))</f>
        <v/>
      </c>
      <c r="E4787" s="61" t="str">
        <f aca="false">IF($M4787=0,"",INDEX(Classes!$C$6:$C$420,$M4787))</f>
        <v/>
      </c>
      <c r="F4787" s="63"/>
      <c r="G4787" s="63"/>
      <c r="H4787" s="60"/>
      <c r="I4787" s="60"/>
      <c r="J4787" s="63"/>
      <c r="K4787" s="61" t="str">
        <f aca="false">IF($P4787=0,"",IF($F4787="Baseline","— Baseline",IF($O4787=0,"No result",IF($N4787=0,"No Start (attainment only)",IF(OR($N4787=1,$O4787=1),"U – needs rule",INDEX(MxBody,MATCH($I4787,MxCurr,0),MATCH($H4787,MxStart,0)))))))</f>
        <v/>
      </c>
      <c r="L4787" s="62" t="str">
        <f aca="false">IF(COUNTA($A4787,$F4787,$G4787,$H4787,$I4787,$J4787)=0,"",IF($M4787=0,"✖ كود الصف غير موجود",IF(ISNA(MATCH($F4787,Lists!$A$2:$A$5,0)),"✖ الفترة غير صحيحة",IF(ISNA(MATCH($G4787,Lists!$B$2:$B$7,0)),"✖ المجموعة غير صحيحة",IF(NOT(OR($H4787="",$N4787&gt;0)),"✖ Start غير صحيح",IF(NOT(OR($I4787="",$I4787="NR",$O4787&gt;0)),"✖ Current غير صحيح",IF(NOT(IF(ISNUMBER($J4787),AND($J4787&gt;=0,$J4787=INT($J4787)),FALSE())),"✖ العدد يجب أن يكون صحيحًا ≥ 0",IF(AND($F4787="Baseline",$H4787&lt;&gt;""),"⚠ Baseline: Start لا يدخل في التقدم",IF($K4787="No Start (attainment only)","ℹ تحصيل فقط (بدون Start)",IF($K4787="U – needs rule","ℹ حالة U تحتاج قاعدة معتمدة",IF($K4787="No result","ℹ بدون نتيجة (يُستبعد من التحصيل)","OK")))))))))))</f>
        <v/>
      </c>
      <c r="M4787" s="64" t="n">
        <f aca="false">IF($A4787="",0,IFERROR(MATCH($A4787,Classes!$A$6:$A$420,0),0))</f>
        <v>0</v>
      </c>
      <c r="N4787" s="64" t="n">
        <f aca="false">IF($H4787="",0,IFERROR(MATCH($H4787,GradeList,0),0))</f>
        <v>0</v>
      </c>
      <c r="O4787" s="64" t="n">
        <f aca="false">IF(OR($I4787="",$I4787="NR"),0,IFERROR(MATCH($I4787,GradeList,0),0))</f>
        <v>0</v>
      </c>
      <c r="P4787" s="64" t="n">
        <f aca="false">IF(AND($M4787&gt;0,ISNUMBER(MATCH($F4787,Lists!$A$2:$A$5,0)),ISNUMBER(MATCH($G4787,Lists!$B$2:$B$7,0)),OR($H4787="",$N4787&gt;0),OR($I4787="",$I4787="NR",$O4787&gt;0),IF(ISNUMBER($J4787),AND($J4787&gt;=0,$J4787=INT($J4787)),FALSE())),$J4787,0)</f>
        <v>0</v>
      </c>
      <c r="Q4787" s="64" t="n">
        <f aca="false">IF(AND($P4787&gt;0,$O4787&gt;0),$P4787,0)</f>
        <v>0</v>
      </c>
      <c r="R4787" s="64" t="n">
        <f aca="false">IF(AND($Q4787&gt;0,$O4787&gt;=AtRank),$Q4787,0)</f>
        <v>0</v>
      </c>
      <c r="S4787" s="64" t="n">
        <f aca="false">IF(AND($Q4787&gt;0,$O4787&gt;=AboveRank),$Q4787,0)</f>
        <v>0</v>
      </c>
      <c r="T4787" s="64" t="n">
        <f aca="false">IF($K4787="Less",$P4787,0)</f>
        <v>0</v>
      </c>
      <c r="U4787" s="64" t="n">
        <f aca="false">IF($K4787="Expected",$P4787,0)</f>
        <v>0</v>
      </c>
      <c r="V4787" s="64" t="n">
        <f aca="false">IF($K4787="Better",$P4787,0)</f>
        <v>0</v>
      </c>
      <c r="W4787" s="64" t="n">
        <f aca="false">IF($K4787="U – needs rule",$P4787,0)</f>
        <v>0</v>
      </c>
      <c r="X4787" s="64" t="n">
        <f aca="false">IF($K4787="No Start (attainment only)",$P4787,0)</f>
        <v>0</v>
      </c>
    </row>
    <row r="4788" customFormat="false" ht="15" hidden="false" customHeight="false" outlineLevel="0" collapsed="false">
      <c r="A4788" s="60"/>
      <c r="B4788" s="61" t="str">
        <f aca="false">IF($M4788=0,"",INDEX(Classes!$E$6:$E$420,$M4788))</f>
        <v/>
      </c>
      <c r="C4788" s="62" t="str">
        <f aca="false">IF($M4788=0,"",INDEX(Classes!$H$6:$H$420,$M4788))</f>
        <v/>
      </c>
      <c r="D4788" s="61" t="str">
        <f aca="false">IF($M4788=0,"",INDEX(Classes!$B$6:$B$420,$M4788))</f>
        <v/>
      </c>
      <c r="E4788" s="61" t="str">
        <f aca="false">IF($M4788=0,"",INDEX(Classes!$C$6:$C$420,$M4788))</f>
        <v/>
      </c>
      <c r="F4788" s="63"/>
      <c r="G4788" s="63"/>
      <c r="H4788" s="60"/>
      <c r="I4788" s="60"/>
      <c r="J4788" s="63"/>
      <c r="K4788" s="61" t="str">
        <f aca="false">IF($P4788=0,"",IF($F4788="Baseline","— Baseline",IF($O4788=0,"No result",IF($N4788=0,"No Start (attainment only)",IF(OR($N4788=1,$O4788=1),"U – needs rule",INDEX(MxBody,MATCH($I4788,MxCurr,0),MATCH($H4788,MxStart,0)))))))</f>
        <v/>
      </c>
      <c r="L4788" s="62" t="str">
        <f aca="false">IF(COUNTA($A4788,$F4788,$G4788,$H4788,$I4788,$J4788)=0,"",IF($M4788=0,"✖ كود الصف غير موجود",IF(ISNA(MATCH($F4788,Lists!$A$2:$A$5,0)),"✖ الفترة غير صحيحة",IF(ISNA(MATCH($G4788,Lists!$B$2:$B$7,0)),"✖ المجموعة غير صحيحة",IF(NOT(OR($H4788="",$N4788&gt;0)),"✖ Start غير صحيح",IF(NOT(OR($I4788="",$I4788="NR",$O4788&gt;0)),"✖ Current غير صحيح",IF(NOT(IF(ISNUMBER($J4788),AND($J4788&gt;=0,$J4788=INT($J4788)),FALSE())),"✖ العدد يجب أن يكون صحيحًا ≥ 0",IF(AND($F4788="Baseline",$H4788&lt;&gt;""),"⚠ Baseline: Start لا يدخل في التقدم",IF($K4788="No Start (attainment only)","ℹ تحصيل فقط (بدون Start)",IF($K4788="U – needs rule","ℹ حالة U تحتاج قاعدة معتمدة",IF($K4788="No result","ℹ بدون نتيجة (يُستبعد من التحصيل)","OK")))))))))))</f>
        <v/>
      </c>
      <c r="M4788" s="64" t="n">
        <f aca="false">IF($A4788="",0,IFERROR(MATCH($A4788,Classes!$A$6:$A$420,0),0))</f>
        <v>0</v>
      </c>
      <c r="N4788" s="64" t="n">
        <f aca="false">IF($H4788="",0,IFERROR(MATCH($H4788,GradeList,0),0))</f>
        <v>0</v>
      </c>
      <c r="O4788" s="64" t="n">
        <f aca="false">IF(OR($I4788="",$I4788="NR"),0,IFERROR(MATCH($I4788,GradeList,0),0))</f>
        <v>0</v>
      </c>
      <c r="P4788" s="64" t="n">
        <f aca="false">IF(AND($M4788&gt;0,ISNUMBER(MATCH($F4788,Lists!$A$2:$A$5,0)),ISNUMBER(MATCH($G4788,Lists!$B$2:$B$7,0)),OR($H4788="",$N4788&gt;0),OR($I4788="",$I4788="NR",$O4788&gt;0),IF(ISNUMBER($J4788),AND($J4788&gt;=0,$J4788=INT($J4788)),FALSE())),$J4788,0)</f>
        <v>0</v>
      </c>
      <c r="Q4788" s="64" t="n">
        <f aca="false">IF(AND($P4788&gt;0,$O4788&gt;0),$P4788,0)</f>
        <v>0</v>
      </c>
      <c r="R4788" s="64" t="n">
        <f aca="false">IF(AND($Q4788&gt;0,$O4788&gt;=AtRank),$Q4788,0)</f>
        <v>0</v>
      </c>
      <c r="S4788" s="64" t="n">
        <f aca="false">IF(AND($Q4788&gt;0,$O4788&gt;=AboveRank),$Q4788,0)</f>
        <v>0</v>
      </c>
      <c r="T4788" s="64" t="n">
        <f aca="false">IF($K4788="Less",$P4788,0)</f>
        <v>0</v>
      </c>
      <c r="U4788" s="64" t="n">
        <f aca="false">IF($K4788="Expected",$P4788,0)</f>
        <v>0</v>
      </c>
      <c r="V4788" s="64" t="n">
        <f aca="false">IF($K4788="Better",$P4788,0)</f>
        <v>0</v>
      </c>
      <c r="W4788" s="64" t="n">
        <f aca="false">IF($K4788="U – needs rule",$P4788,0)</f>
        <v>0</v>
      </c>
      <c r="X4788" s="64" t="n">
        <f aca="false">IF($K4788="No Start (attainment only)",$P4788,0)</f>
        <v>0</v>
      </c>
    </row>
    <row r="4789" customFormat="false" ht="15" hidden="false" customHeight="false" outlineLevel="0" collapsed="false">
      <c r="A4789" s="60"/>
      <c r="B4789" s="61" t="str">
        <f aca="false">IF($M4789=0,"",INDEX(Classes!$E$6:$E$420,$M4789))</f>
        <v/>
      </c>
      <c r="C4789" s="62" t="str">
        <f aca="false">IF($M4789=0,"",INDEX(Classes!$H$6:$H$420,$M4789))</f>
        <v/>
      </c>
      <c r="D4789" s="61" t="str">
        <f aca="false">IF($M4789=0,"",INDEX(Classes!$B$6:$B$420,$M4789))</f>
        <v/>
      </c>
      <c r="E4789" s="61" t="str">
        <f aca="false">IF($M4789=0,"",INDEX(Classes!$C$6:$C$420,$M4789))</f>
        <v/>
      </c>
      <c r="F4789" s="63"/>
      <c r="G4789" s="63"/>
      <c r="H4789" s="60"/>
      <c r="I4789" s="60"/>
      <c r="J4789" s="63"/>
      <c r="K4789" s="61" t="str">
        <f aca="false">IF($P4789=0,"",IF($F4789="Baseline","— Baseline",IF($O4789=0,"No result",IF($N4789=0,"No Start (attainment only)",IF(OR($N4789=1,$O4789=1),"U – needs rule",INDEX(MxBody,MATCH($I4789,MxCurr,0),MATCH($H4789,MxStart,0)))))))</f>
        <v/>
      </c>
      <c r="L4789" s="62" t="str">
        <f aca="false">IF(COUNTA($A4789,$F4789,$G4789,$H4789,$I4789,$J4789)=0,"",IF($M4789=0,"✖ كود الصف غير موجود",IF(ISNA(MATCH($F4789,Lists!$A$2:$A$5,0)),"✖ الفترة غير صحيحة",IF(ISNA(MATCH($G4789,Lists!$B$2:$B$7,0)),"✖ المجموعة غير صحيحة",IF(NOT(OR($H4789="",$N4789&gt;0)),"✖ Start غير صحيح",IF(NOT(OR($I4789="",$I4789="NR",$O4789&gt;0)),"✖ Current غير صحيح",IF(NOT(IF(ISNUMBER($J4789),AND($J4789&gt;=0,$J4789=INT($J4789)),FALSE())),"✖ العدد يجب أن يكون صحيحًا ≥ 0",IF(AND($F4789="Baseline",$H4789&lt;&gt;""),"⚠ Baseline: Start لا يدخل في التقدم",IF($K4789="No Start (attainment only)","ℹ تحصيل فقط (بدون Start)",IF($K4789="U – needs rule","ℹ حالة U تحتاج قاعدة معتمدة",IF($K4789="No result","ℹ بدون نتيجة (يُستبعد من التحصيل)","OK")))))))))))</f>
        <v/>
      </c>
      <c r="M4789" s="64" t="n">
        <f aca="false">IF($A4789="",0,IFERROR(MATCH($A4789,Classes!$A$6:$A$420,0),0))</f>
        <v>0</v>
      </c>
      <c r="N4789" s="64" t="n">
        <f aca="false">IF($H4789="",0,IFERROR(MATCH($H4789,GradeList,0),0))</f>
        <v>0</v>
      </c>
      <c r="O4789" s="64" t="n">
        <f aca="false">IF(OR($I4789="",$I4789="NR"),0,IFERROR(MATCH($I4789,GradeList,0),0))</f>
        <v>0</v>
      </c>
      <c r="P4789" s="64" t="n">
        <f aca="false">IF(AND($M4789&gt;0,ISNUMBER(MATCH($F4789,Lists!$A$2:$A$5,0)),ISNUMBER(MATCH($G4789,Lists!$B$2:$B$7,0)),OR($H4789="",$N4789&gt;0),OR($I4789="",$I4789="NR",$O4789&gt;0),IF(ISNUMBER($J4789),AND($J4789&gt;=0,$J4789=INT($J4789)),FALSE())),$J4789,0)</f>
        <v>0</v>
      </c>
      <c r="Q4789" s="64" t="n">
        <f aca="false">IF(AND($P4789&gt;0,$O4789&gt;0),$P4789,0)</f>
        <v>0</v>
      </c>
      <c r="R4789" s="64" t="n">
        <f aca="false">IF(AND($Q4789&gt;0,$O4789&gt;=AtRank),$Q4789,0)</f>
        <v>0</v>
      </c>
      <c r="S4789" s="64" t="n">
        <f aca="false">IF(AND($Q4789&gt;0,$O4789&gt;=AboveRank),$Q4789,0)</f>
        <v>0</v>
      </c>
      <c r="T4789" s="64" t="n">
        <f aca="false">IF($K4789="Less",$P4789,0)</f>
        <v>0</v>
      </c>
      <c r="U4789" s="64" t="n">
        <f aca="false">IF($K4789="Expected",$P4789,0)</f>
        <v>0</v>
      </c>
      <c r="V4789" s="64" t="n">
        <f aca="false">IF($K4789="Better",$P4789,0)</f>
        <v>0</v>
      </c>
      <c r="W4789" s="64" t="n">
        <f aca="false">IF($K4789="U – needs rule",$P4789,0)</f>
        <v>0</v>
      </c>
      <c r="X4789" s="64" t="n">
        <f aca="false">IF($K4789="No Start (attainment only)",$P4789,0)</f>
        <v>0</v>
      </c>
    </row>
    <row r="4790" customFormat="false" ht="15" hidden="false" customHeight="false" outlineLevel="0" collapsed="false">
      <c r="A4790" s="60"/>
      <c r="B4790" s="61" t="str">
        <f aca="false">IF($M4790=0,"",INDEX(Classes!$E$6:$E$420,$M4790))</f>
        <v/>
      </c>
      <c r="C4790" s="62" t="str">
        <f aca="false">IF($M4790=0,"",INDEX(Classes!$H$6:$H$420,$M4790))</f>
        <v/>
      </c>
      <c r="D4790" s="61" t="str">
        <f aca="false">IF($M4790=0,"",INDEX(Classes!$B$6:$B$420,$M4790))</f>
        <v/>
      </c>
      <c r="E4790" s="61" t="str">
        <f aca="false">IF($M4790=0,"",INDEX(Classes!$C$6:$C$420,$M4790))</f>
        <v/>
      </c>
      <c r="F4790" s="63"/>
      <c r="G4790" s="63"/>
      <c r="H4790" s="60"/>
      <c r="I4790" s="60"/>
      <c r="J4790" s="63"/>
      <c r="K4790" s="61" t="str">
        <f aca="false">IF($P4790=0,"",IF($F4790="Baseline","— Baseline",IF($O4790=0,"No result",IF($N4790=0,"No Start (attainment only)",IF(OR($N4790=1,$O4790=1),"U – needs rule",INDEX(MxBody,MATCH($I4790,MxCurr,0),MATCH($H4790,MxStart,0)))))))</f>
        <v/>
      </c>
      <c r="L4790" s="62" t="str">
        <f aca="false">IF(COUNTA($A4790,$F4790,$G4790,$H4790,$I4790,$J4790)=0,"",IF($M4790=0,"✖ كود الصف غير موجود",IF(ISNA(MATCH($F4790,Lists!$A$2:$A$5,0)),"✖ الفترة غير صحيحة",IF(ISNA(MATCH($G4790,Lists!$B$2:$B$7,0)),"✖ المجموعة غير صحيحة",IF(NOT(OR($H4790="",$N4790&gt;0)),"✖ Start غير صحيح",IF(NOT(OR($I4790="",$I4790="NR",$O4790&gt;0)),"✖ Current غير صحيح",IF(NOT(IF(ISNUMBER($J4790),AND($J4790&gt;=0,$J4790=INT($J4790)),FALSE())),"✖ العدد يجب أن يكون صحيحًا ≥ 0",IF(AND($F4790="Baseline",$H4790&lt;&gt;""),"⚠ Baseline: Start لا يدخل في التقدم",IF($K4790="No Start (attainment only)","ℹ تحصيل فقط (بدون Start)",IF($K4790="U – needs rule","ℹ حالة U تحتاج قاعدة معتمدة",IF($K4790="No result","ℹ بدون نتيجة (يُستبعد من التحصيل)","OK")))))))))))</f>
        <v/>
      </c>
      <c r="M4790" s="64" t="n">
        <f aca="false">IF($A4790="",0,IFERROR(MATCH($A4790,Classes!$A$6:$A$420,0),0))</f>
        <v>0</v>
      </c>
      <c r="N4790" s="64" t="n">
        <f aca="false">IF($H4790="",0,IFERROR(MATCH($H4790,GradeList,0),0))</f>
        <v>0</v>
      </c>
      <c r="O4790" s="64" t="n">
        <f aca="false">IF(OR($I4790="",$I4790="NR"),0,IFERROR(MATCH($I4790,GradeList,0),0))</f>
        <v>0</v>
      </c>
      <c r="P4790" s="64" t="n">
        <f aca="false">IF(AND($M4790&gt;0,ISNUMBER(MATCH($F4790,Lists!$A$2:$A$5,0)),ISNUMBER(MATCH($G4790,Lists!$B$2:$B$7,0)),OR($H4790="",$N4790&gt;0),OR($I4790="",$I4790="NR",$O4790&gt;0),IF(ISNUMBER($J4790),AND($J4790&gt;=0,$J4790=INT($J4790)),FALSE())),$J4790,0)</f>
        <v>0</v>
      </c>
      <c r="Q4790" s="64" t="n">
        <f aca="false">IF(AND($P4790&gt;0,$O4790&gt;0),$P4790,0)</f>
        <v>0</v>
      </c>
      <c r="R4790" s="64" t="n">
        <f aca="false">IF(AND($Q4790&gt;0,$O4790&gt;=AtRank),$Q4790,0)</f>
        <v>0</v>
      </c>
      <c r="S4790" s="64" t="n">
        <f aca="false">IF(AND($Q4790&gt;0,$O4790&gt;=AboveRank),$Q4790,0)</f>
        <v>0</v>
      </c>
      <c r="T4790" s="64" t="n">
        <f aca="false">IF($K4790="Less",$P4790,0)</f>
        <v>0</v>
      </c>
      <c r="U4790" s="64" t="n">
        <f aca="false">IF($K4790="Expected",$P4790,0)</f>
        <v>0</v>
      </c>
      <c r="V4790" s="64" t="n">
        <f aca="false">IF($K4790="Better",$P4790,0)</f>
        <v>0</v>
      </c>
      <c r="W4790" s="64" t="n">
        <f aca="false">IF($K4790="U – needs rule",$P4790,0)</f>
        <v>0</v>
      </c>
      <c r="X4790" s="64" t="n">
        <f aca="false">IF($K4790="No Start (attainment only)",$P4790,0)</f>
        <v>0</v>
      </c>
    </row>
    <row r="4791" customFormat="false" ht="15" hidden="false" customHeight="false" outlineLevel="0" collapsed="false">
      <c r="A4791" s="60"/>
      <c r="B4791" s="61" t="str">
        <f aca="false">IF($M4791=0,"",INDEX(Classes!$E$6:$E$420,$M4791))</f>
        <v/>
      </c>
      <c r="C4791" s="62" t="str">
        <f aca="false">IF($M4791=0,"",INDEX(Classes!$H$6:$H$420,$M4791))</f>
        <v/>
      </c>
      <c r="D4791" s="61" t="str">
        <f aca="false">IF($M4791=0,"",INDEX(Classes!$B$6:$B$420,$M4791))</f>
        <v/>
      </c>
      <c r="E4791" s="61" t="str">
        <f aca="false">IF($M4791=0,"",INDEX(Classes!$C$6:$C$420,$M4791))</f>
        <v/>
      </c>
      <c r="F4791" s="63"/>
      <c r="G4791" s="63"/>
      <c r="H4791" s="60"/>
      <c r="I4791" s="60"/>
      <c r="J4791" s="63"/>
      <c r="K4791" s="61" t="str">
        <f aca="false">IF($P4791=0,"",IF($F4791="Baseline","— Baseline",IF($O4791=0,"No result",IF($N4791=0,"No Start (attainment only)",IF(OR($N4791=1,$O4791=1),"U – needs rule",INDEX(MxBody,MATCH($I4791,MxCurr,0),MATCH($H4791,MxStart,0)))))))</f>
        <v/>
      </c>
      <c r="L4791" s="62" t="str">
        <f aca="false">IF(COUNTA($A4791,$F4791,$G4791,$H4791,$I4791,$J4791)=0,"",IF($M4791=0,"✖ كود الصف غير موجود",IF(ISNA(MATCH($F4791,Lists!$A$2:$A$5,0)),"✖ الفترة غير صحيحة",IF(ISNA(MATCH($G4791,Lists!$B$2:$B$7,0)),"✖ المجموعة غير صحيحة",IF(NOT(OR($H4791="",$N4791&gt;0)),"✖ Start غير صحيح",IF(NOT(OR($I4791="",$I4791="NR",$O4791&gt;0)),"✖ Current غير صحيح",IF(NOT(IF(ISNUMBER($J4791),AND($J4791&gt;=0,$J4791=INT($J4791)),FALSE())),"✖ العدد يجب أن يكون صحيحًا ≥ 0",IF(AND($F4791="Baseline",$H4791&lt;&gt;""),"⚠ Baseline: Start لا يدخل في التقدم",IF($K4791="No Start (attainment only)","ℹ تحصيل فقط (بدون Start)",IF($K4791="U – needs rule","ℹ حالة U تحتاج قاعدة معتمدة",IF($K4791="No result","ℹ بدون نتيجة (يُستبعد من التحصيل)","OK")))))))))))</f>
        <v/>
      </c>
      <c r="M4791" s="64" t="n">
        <f aca="false">IF($A4791="",0,IFERROR(MATCH($A4791,Classes!$A$6:$A$420,0),0))</f>
        <v>0</v>
      </c>
      <c r="N4791" s="64" t="n">
        <f aca="false">IF($H4791="",0,IFERROR(MATCH($H4791,GradeList,0),0))</f>
        <v>0</v>
      </c>
      <c r="O4791" s="64" t="n">
        <f aca="false">IF(OR($I4791="",$I4791="NR"),0,IFERROR(MATCH($I4791,GradeList,0),0))</f>
        <v>0</v>
      </c>
      <c r="P4791" s="64" t="n">
        <f aca="false">IF(AND($M4791&gt;0,ISNUMBER(MATCH($F4791,Lists!$A$2:$A$5,0)),ISNUMBER(MATCH($G4791,Lists!$B$2:$B$7,0)),OR($H4791="",$N4791&gt;0),OR($I4791="",$I4791="NR",$O4791&gt;0),IF(ISNUMBER($J4791),AND($J4791&gt;=0,$J4791=INT($J4791)),FALSE())),$J4791,0)</f>
        <v>0</v>
      </c>
      <c r="Q4791" s="64" t="n">
        <f aca="false">IF(AND($P4791&gt;0,$O4791&gt;0),$P4791,0)</f>
        <v>0</v>
      </c>
      <c r="R4791" s="64" t="n">
        <f aca="false">IF(AND($Q4791&gt;0,$O4791&gt;=AtRank),$Q4791,0)</f>
        <v>0</v>
      </c>
      <c r="S4791" s="64" t="n">
        <f aca="false">IF(AND($Q4791&gt;0,$O4791&gt;=AboveRank),$Q4791,0)</f>
        <v>0</v>
      </c>
      <c r="T4791" s="64" t="n">
        <f aca="false">IF($K4791="Less",$P4791,0)</f>
        <v>0</v>
      </c>
      <c r="U4791" s="64" t="n">
        <f aca="false">IF($K4791="Expected",$P4791,0)</f>
        <v>0</v>
      </c>
      <c r="V4791" s="64" t="n">
        <f aca="false">IF($K4791="Better",$P4791,0)</f>
        <v>0</v>
      </c>
      <c r="W4791" s="64" t="n">
        <f aca="false">IF($K4791="U – needs rule",$P4791,0)</f>
        <v>0</v>
      </c>
      <c r="X4791" s="64" t="n">
        <f aca="false">IF($K4791="No Start (attainment only)",$P4791,0)</f>
        <v>0</v>
      </c>
    </row>
    <row r="4792" customFormat="false" ht="15" hidden="false" customHeight="false" outlineLevel="0" collapsed="false">
      <c r="A4792" s="60"/>
      <c r="B4792" s="61" t="str">
        <f aca="false">IF($M4792=0,"",INDEX(Classes!$E$6:$E$420,$M4792))</f>
        <v/>
      </c>
      <c r="C4792" s="62" t="str">
        <f aca="false">IF($M4792=0,"",INDEX(Classes!$H$6:$H$420,$M4792))</f>
        <v/>
      </c>
      <c r="D4792" s="61" t="str">
        <f aca="false">IF($M4792=0,"",INDEX(Classes!$B$6:$B$420,$M4792))</f>
        <v/>
      </c>
      <c r="E4792" s="61" t="str">
        <f aca="false">IF($M4792=0,"",INDEX(Classes!$C$6:$C$420,$M4792))</f>
        <v/>
      </c>
      <c r="F4792" s="63"/>
      <c r="G4792" s="63"/>
      <c r="H4792" s="60"/>
      <c r="I4792" s="60"/>
      <c r="J4792" s="63"/>
      <c r="K4792" s="61" t="str">
        <f aca="false">IF($P4792=0,"",IF($F4792="Baseline","— Baseline",IF($O4792=0,"No result",IF($N4792=0,"No Start (attainment only)",IF(OR($N4792=1,$O4792=1),"U – needs rule",INDEX(MxBody,MATCH($I4792,MxCurr,0),MATCH($H4792,MxStart,0)))))))</f>
        <v/>
      </c>
      <c r="L4792" s="62" t="str">
        <f aca="false">IF(COUNTA($A4792,$F4792,$G4792,$H4792,$I4792,$J4792)=0,"",IF($M4792=0,"✖ كود الصف غير موجود",IF(ISNA(MATCH($F4792,Lists!$A$2:$A$5,0)),"✖ الفترة غير صحيحة",IF(ISNA(MATCH($G4792,Lists!$B$2:$B$7,0)),"✖ المجموعة غير صحيحة",IF(NOT(OR($H4792="",$N4792&gt;0)),"✖ Start غير صحيح",IF(NOT(OR($I4792="",$I4792="NR",$O4792&gt;0)),"✖ Current غير صحيح",IF(NOT(IF(ISNUMBER($J4792),AND($J4792&gt;=0,$J4792=INT($J4792)),FALSE())),"✖ العدد يجب أن يكون صحيحًا ≥ 0",IF(AND($F4792="Baseline",$H4792&lt;&gt;""),"⚠ Baseline: Start لا يدخل في التقدم",IF($K4792="No Start (attainment only)","ℹ تحصيل فقط (بدون Start)",IF($K4792="U – needs rule","ℹ حالة U تحتاج قاعدة معتمدة",IF($K4792="No result","ℹ بدون نتيجة (يُستبعد من التحصيل)","OK")))))))))))</f>
        <v/>
      </c>
      <c r="M4792" s="64" t="n">
        <f aca="false">IF($A4792="",0,IFERROR(MATCH($A4792,Classes!$A$6:$A$420,0),0))</f>
        <v>0</v>
      </c>
      <c r="N4792" s="64" t="n">
        <f aca="false">IF($H4792="",0,IFERROR(MATCH($H4792,GradeList,0),0))</f>
        <v>0</v>
      </c>
      <c r="O4792" s="64" t="n">
        <f aca="false">IF(OR($I4792="",$I4792="NR"),0,IFERROR(MATCH($I4792,GradeList,0),0))</f>
        <v>0</v>
      </c>
      <c r="P4792" s="64" t="n">
        <f aca="false">IF(AND($M4792&gt;0,ISNUMBER(MATCH($F4792,Lists!$A$2:$A$5,0)),ISNUMBER(MATCH($G4792,Lists!$B$2:$B$7,0)),OR($H4792="",$N4792&gt;0),OR($I4792="",$I4792="NR",$O4792&gt;0),IF(ISNUMBER($J4792),AND($J4792&gt;=0,$J4792=INT($J4792)),FALSE())),$J4792,0)</f>
        <v>0</v>
      </c>
      <c r="Q4792" s="64" t="n">
        <f aca="false">IF(AND($P4792&gt;0,$O4792&gt;0),$P4792,0)</f>
        <v>0</v>
      </c>
      <c r="R4792" s="64" t="n">
        <f aca="false">IF(AND($Q4792&gt;0,$O4792&gt;=AtRank),$Q4792,0)</f>
        <v>0</v>
      </c>
      <c r="S4792" s="64" t="n">
        <f aca="false">IF(AND($Q4792&gt;0,$O4792&gt;=AboveRank),$Q4792,0)</f>
        <v>0</v>
      </c>
      <c r="T4792" s="64" t="n">
        <f aca="false">IF($K4792="Less",$P4792,0)</f>
        <v>0</v>
      </c>
      <c r="U4792" s="64" t="n">
        <f aca="false">IF($K4792="Expected",$P4792,0)</f>
        <v>0</v>
      </c>
      <c r="V4792" s="64" t="n">
        <f aca="false">IF($K4792="Better",$P4792,0)</f>
        <v>0</v>
      </c>
      <c r="W4792" s="64" t="n">
        <f aca="false">IF($K4792="U – needs rule",$P4792,0)</f>
        <v>0</v>
      </c>
      <c r="X4792" s="64" t="n">
        <f aca="false">IF($K4792="No Start (attainment only)",$P4792,0)</f>
        <v>0</v>
      </c>
    </row>
    <row r="4793" customFormat="false" ht="15" hidden="false" customHeight="false" outlineLevel="0" collapsed="false">
      <c r="A4793" s="60"/>
      <c r="B4793" s="61" t="str">
        <f aca="false">IF($M4793=0,"",INDEX(Classes!$E$6:$E$420,$M4793))</f>
        <v/>
      </c>
      <c r="C4793" s="62" t="str">
        <f aca="false">IF($M4793=0,"",INDEX(Classes!$H$6:$H$420,$M4793))</f>
        <v/>
      </c>
      <c r="D4793" s="61" t="str">
        <f aca="false">IF($M4793=0,"",INDEX(Classes!$B$6:$B$420,$M4793))</f>
        <v/>
      </c>
      <c r="E4793" s="61" t="str">
        <f aca="false">IF($M4793=0,"",INDEX(Classes!$C$6:$C$420,$M4793))</f>
        <v/>
      </c>
      <c r="F4793" s="63"/>
      <c r="G4793" s="63"/>
      <c r="H4793" s="60"/>
      <c r="I4793" s="60"/>
      <c r="J4793" s="63"/>
      <c r="K4793" s="61" t="str">
        <f aca="false">IF($P4793=0,"",IF($F4793="Baseline","— Baseline",IF($O4793=0,"No result",IF($N4793=0,"No Start (attainment only)",IF(OR($N4793=1,$O4793=1),"U – needs rule",INDEX(MxBody,MATCH($I4793,MxCurr,0),MATCH($H4793,MxStart,0)))))))</f>
        <v/>
      </c>
      <c r="L4793" s="62" t="str">
        <f aca="false">IF(COUNTA($A4793,$F4793,$G4793,$H4793,$I4793,$J4793)=0,"",IF($M4793=0,"✖ كود الصف غير موجود",IF(ISNA(MATCH($F4793,Lists!$A$2:$A$5,0)),"✖ الفترة غير صحيحة",IF(ISNA(MATCH($G4793,Lists!$B$2:$B$7,0)),"✖ المجموعة غير صحيحة",IF(NOT(OR($H4793="",$N4793&gt;0)),"✖ Start غير صحيح",IF(NOT(OR($I4793="",$I4793="NR",$O4793&gt;0)),"✖ Current غير صحيح",IF(NOT(IF(ISNUMBER($J4793),AND($J4793&gt;=0,$J4793=INT($J4793)),FALSE())),"✖ العدد يجب أن يكون صحيحًا ≥ 0",IF(AND($F4793="Baseline",$H4793&lt;&gt;""),"⚠ Baseline: Start لا يدخل في التقدم",IF($K4793="No Start (attainment only)","ℹ تحصيل فقط (بدون Start)",IF($K4793="U – needs rule","ℹ حالة U تحتاج قاعدة معتمدة",IF($K4793="No result","ℹ بدون نتيجة (يُستبعد من التحصيل)","OK")))))))))))</f>
        <v/>
      </c>
      <c r="M4793" s="64" t="n">
        <f aca="false">IF($A4793="",0,IFERROR(MATCH($A4793,Classes!$A$6:$A$420,0),0))</f>
        <v>0</v>
      </c>
      <c r="N4793" s="64" t="n">
        <f aca="false">IF($H4793="",0,IFERROR(MATCH($H4793,GradeList,0),0))</f>
        <v>0</v>
      </c>
      <c r="O4793" s="64" t="n">
        <f aca="false">IF(OR($I4793="",$I4793="NR"),0,IFERROR(MATCH($I4793,GradeList,0),0))</f>
        <v>0</v>
      </c>
      <c r="P4793" s="64" t="n">
        <f aca="false">IF(AND($M4793&gt;0,ISNUMBER(MATCH($F4793,Lists!$A$2:$A$5,0)),ISNUMBER(MATCH($G4793,Lists!$B$2:$B$7,0)),OR($H4793="",$N4793&gt;0),OR($I4793="",$I4793="NR",$O4793&gt;0),IF(ISNUMBER($J4793),AND($J4793&gt;=0,$J4793=INT($J4793)),FALSE())),$J4793,0)</f>
        <v>0</v>
      </c>
      <c r="Q4793" s="64" t="n">
        <f aca="false">IF(AND($P4793&gt;0,$O4793&gt;0),$P4793,0)</f>
        <v>0</v>
      </c>
      <c r="R4793" s="64" t="n">
        <f aca="false">IF(AND($Q4793&gt;0,$O4793&gt;=AtRank),$Q4793,0)</f>
        <v>0</v>
      </c>
      <c r="S4793" s="64" t="n">
        <f aca="false">IF(AND($Q4793&gt;0,$O4793&gt;=AboveRank),$Q4793,0)</f>
        <v>0</v>
      </c>
      <c r="T4793" s="64" t="n">
        <f aca="false">IF($K4793="Less",$P4793,0)</f>
        <v>0</v>
      </c>
      <c r="U4793" s="64" t="n">
        <f aca="false">IF($K4793="Expected",$P4793,0)</f>
        <v>0</v>
      </c>
      <c r="V4793" s="64" t="n">
        <f aca="false">IF($K4793="Better",$P4793,0)</f>
        <v>0</v>
      </c>
      <c r="W4793" s="64" t="n">
        <f aca="false">IF($K4793="U – needs rule",$P4793,0)</f>
        <v>0</v>
      </c>
      <c r="X4793" s="64" t="n">
        <f aca="false">IF($K4793="No Start (attainment only)",$P4793,0)</f>
        <v>0</v>
      </c>
    </row>
    <row r="4794" customFormat="false" ht="15" hidden="false" customHeight="false" outlineLevel="0" collapsed="false">
      <c r="A4794" s="60"/>
      <c r="B4794" s="61" t="str">
        <f aca="false">IF($M4794=0,"",INDEX(Classes!$E$6:$E$420,$M4794))</f>
        <v/>
      </c>
      <c r="C4794" s="62" t="str">
        <f aca="false">IF($M4794=0,"",INDEX(Classes!$H$6:$H$420,$M4794))</f>
        <v/>
      </c>
      <c r="D4794" s="61" t="str">
        <f aca="false">IF($M4794=0,"",INDEX(Classes!$B$6:$B$420,$M4794))</f>
        <v/>
      </c>
      <c r="E4794" s="61" t="str">
        <f aca="false">IF($M4794=0,"",INDEX(Classes!$C$6:$C$420,$M4794))</f>
        <v/>
      </c>
      <c r="F4794" s="63"/>
      <c r="G4794" s="63"/>
      <c r="H4794" s="60"/>
      <c r="I4794" s="60"/>
      <c r="J4794" s="63"/>
      <c r="K4794" s="61" t="str">
        <f aca="false">IF($P4794=0,"",IF($F4794="Baseline","— Baseline",IF($O4794=0,"No result",IF($N4794=0,"No Start (attainment only)",IF(OR($N4794=1,$O4794=1),"U – needs rule",INDEX(MxBody,MATCH($I4794,MxCurr,0),MATCH($H4794,MxStart,0)))))))</f>
        <v/>
      </c>
      <c r="L4794" s="62" t="str">
        <f aca="false">IF(COUNTA($A4794,$F4794,$G4794,$H4794,$I4794,$J4794)=0,"",IF($M4794=0,"✖ كود الصف غير موجود",IF(ISNA(MATCH($F4794,Lists!$A$2:$A$5,0)),"✖ الفترة غير صحيحة",IF(ISNA(MATCH($G4794,Lists!$B$2:$B$7,0)),"✖ المجموعة غير صحيحة",IF(NOT(OR($H4794="",$N4794&gt;0)),"✖ Start غير صحيح",IF(NOT(OR($I4794="",$I4794="NR",$O4794&gt;0)),"✖ Current غير صحيح",IF(NOT(IF(ISNUMBER($J4794),AND($J4794&gt;=0,$J4794=INT($J4794)),FALSE())),"✖ العدد يجب أن يكون صحيحًا ≥ 0",IF(AND($F4794="Baseline",$H4794&lt;&gt;""),"⚠ Baseline: Start لا يدخل في التقدم",IF($K4794="No Start (attainment only)","ℹ تحصيل فقط (بدون Start)",IF($K4794="U – needs rule","ℹ حالة U تحتاج قاعدة معتمدة",IF($K4794="No result","ℹ بدون نتيجة (يُستبعد من التحصيل)","OK")))))))))))</f>
        <v/>
      </c>
      <c r="M4794" s="64" t="n">
        <f aca="false">IF($A4794="",0,IFERROR(MATCH($A4794,Classes!$A$6:$A$420,0),0))</f>
        <v>0</v>
      </c>
      <c r="N4794" s="64" t="n">
        <f aca="false">IF($H4794="",0,IFERROR(MATCH($H4794,GradeList,0),0))</f>
        <v>0</v>
      </c>
      <c r="O4794" s="64" t="n">
        <f aca="false">IF(OR($I4794="",$I4794="NR"),0,IFERROR(MATCH($I4794,GradeList,0),0))</f>
        <v>0</v>
      </c>
      <c r="P4794" s="64" t="n">
        <f aca="false">IF(AND($M4794&gt;0,ISNUMBER(MATCH($F4794,Lists!$A$2:$A$5,0)),ISNUMBER(MATCH($G4794,Lists!$B$2:$B$7,0)),OR($H4794="",$N4794&gt;0),OR($I4794="",$I4794="NR",$O4794&gt;0),IF(ISNUMBER($J4794),AND($J4794&gt;=0,$J4794=INT($J4794)),FALSE())),$J4794,0)</f>
        <v>0</v>
      </c>
      <c r="Q4794" s="64" t="n">
        <f aca="false">IF(AND($P4794&gt;0,$O4794&gt;0),$P4794,0)</f>
        <v>0</v>
      </c>
      <c r="R4794" s="64" t="n">
        <f aca="false">IF(AND($Q4794&gt;0,$O4794&gt;=AtRank),$Q4794,0)</f>
        <v>0</v>
      </c>
      <c r="S4794" s="64" t="n">
        <f aca="false">IF(AND($Q4794&gt;0,$O4794&gt;=AboveRank),$Q4794,0)</f>
        <v>0</v>
      </c>
      <c r="T4794" s="64" t="n">
        <f aca="false">IF($K4794="Less",$P4794,0)</f>
        <v>0</v>
      </c>
      <c r="U4794" s="64" t="n">
        <f aca="false">IF($K4794="Expected",$P4794,0)</f>
        <v>0</v>
      </c>
      <c r="V4794" s="64" t="n">
        <f aca="false">IF($K4794="Better",$P4794,0)</f>
        <v>0</v>
      </c>
      <c r="W4794" s="64" t="n">
        <f aca="false">IF($K4794="U – needs rule",$P4794,0)</f>
        <v>0</v>
      </c>
      <c r="X4794" s="64" t="n">
        <f aca="false">IF($K4794="No Start (attainment only)",$P4794,0)</f>
        <v>0</v>
      </c>
    </row>
    <row r="4795" customFormat="false" ht="15" hidden="false" customHeight="false" outlineLevel="0" collapsed="false">
      <c r="A4795" s="60"/>
      <c r="B4795" s="61" t="str">
        <f aca="false">IF($M4795=0,"",INDEX(Classes!$E$6:$E$420,$M4795))</f>
        <v/>
      </c>
      <c r="C4795" s="62" t="str">
        <f aca="false">IF($M4795=0,"",INDEX(Classes!$H$6:$H$420,$M4795))</f>
        <v/>
      </c>
      <c r="D4795" s="61" t="str">
        <f aca="false">IF($M4795=0,"",INDEX(Classes!$B$6:$B$420,$M4795))</f>
        <v/>
      </c>
      <c r="E4795" s="61" t="str">
        <f aca="false">IF($M4795=0,"",INDEX(Classes!$C$6:$C$420,$M4795))</f>
        <v/>
      </c>
      <c r="F4795" s="63"/>
      <c r="G4795" s="63"/>
      <c r="H4795" s="60"/>
      <c r="I4795" s="60"/>
      <c r="J4795" s="63"/>
      <c r="K4795" s="61" t="str">
        <f aca="false">IF($P4795=0,"",IF($F4795="Baseline","— Baseline",IF($O4795=0,"No result",IF($N4795=0,"No Start (attainment only)",IF(OR($N4795=1,$O4795=1),"U – needs rule",INDEX(MxBody,MATCH($I4795,MxCurr,0),MATCH($H4795,MxStart,0)))))))</f>
        <v/>
      </c>
      <c r="L4795" s="62" t="str">
        <f aca="false">IF(COUNTA($A4795,$F4795,$G4795,$H4795,$I4795,$J4795)=0,"",IF($M4795=0,"✖ كود الصف غير موجود",IF(ISNA(MATCH($F4795,Lists!$A$2:$A$5,0)),"✖ الفترة غير صحيحة",IF(ISNA(MATCH($G4795,Lists!$B$2:$B$7,0)),"✖ المجموعة غير صحيحة",IF(NOT(OR($H4795="",$N4795&gt;0)),"✖ Start غير صحيح",IF(NOT(OR($I4795="",$I4795="NR",$O4795&gt;0)),"✖ Current غير صحيح",IF(NOT(IF(ISNUMBER($J4795),AND($J4795&gt;=0,$J4795=INT($J4795)),FALSE())),"✖ العدد يجب أن يكون صحيحًا ≥ 0",IF(AND($F4795="Baseline",$H4795&lt;&gt;""),"⚠ Baseline: Start لا يدخل في التقدم",IF($K4795="No Start (attainment only)","ℹ تحصيل فقط (بدون Start)",IF($K4795="U – needs rule","ℹ حالة U تحتاج قاعدة معتمدة",IF($K4795="No result","ℹ بدون نتيجة (يُستبعد من التحصيل)","OK")))))))))))</f>
        <v/>
      </c>
      <c r="M4795" s="64" t="n">
        <f aca="false">IF($A4795="",0,IFERROR(MATCH($A4795,Classes!$A$6:$A$420,0),0))</f>
        <v>0</v>
      </c>
      <c r="N4795" s="64" t="n">
        <f aca="false">IF($H4795="",0,IFERROR(MATCH($H4795,GradeList,0),0))</f>
        <v>0</v>
      </c>
      <c r="O4795" s="64" t="n">
        <f aca="false">IF(OR($I4795="",$I4795="NR"),0,IFERROR(MATCH($I4795,GradeList,0),0))</f>
        <v>0</v>
      </c>
      <c r="P4795" s="64" t="n">
        <f aca="false">IF(AND($M4795&gt;0,ISNUMBER(MATCH($F4795,Lists!$A$2:$A$5,0)),ISNUMBER(MATCH($G4795,Lists!$B$2:$B$7,0)),OR($H4795="",$N4795&gt;0),OR($I4795="",$I4795="NR",$O4795&gt;0),IF(ISNUMBER($J4795),AND($J4795&gt;=0,$J4795=INT($J4795)),FALSE())),$J4795,0)</f>
        <v>0</v>
      </c>
      <c r="Q4795" s="64" t="n">
        <f aca="false">IF(AND($P4795&gt;0,$O4795&gt;0),$P4795,0)</f>
        <v>0</v>
      </c>
      <c r="R4795" s="64" t="n">
        <f aca="false">IF(AND($Q4795&gt;0,$O4795&gt;=AtRank),$Q4795,0)</f>
        <v>0</v>
      </c>
      <c r="S4795" s="64" t="n">
        <f aca="false">IF(AND($Q4795&gt;0,$O4795&gt;=AboveRank),$Q4795,0)</f>
        <v>0</v>
      </c>
      <c r="T4795" s="64" t="n">
        <f aca="false">IF($K4795="Less",$P4795,0)</f>
        <v>0</v>
      </c>
      <c r="U4795" s="64" t="n">
        <f aca="false">IF($K4795="Expected",$P4795,0)</f>
        <v>0</v>
      </c>
      <c r="V4795" s="64" t="n">
        <f aca="false">IF($K4795="Better",$P4795,0)</f>
        <v>0</v>
      </c>
      <c r="W4795" s="64" t="n">
        <f aca="false">IF($K4795="U – needs rule",$P4795,0)</f>
        <v>0</v>
      </c>
      <c r="X4795" s="64" t="n">
        <f aca="false">IF($K4795="No Start (attainment only)",$P4795,0)</f>
        <v>0</v>
      </c>
    </row>
    <row r="4796" customFormat="false" ht="15" hidden="false" customHeight="false" outlineLevel="0" collapsed="false">
      <c r="A4796" s="60"/>
      <c r="B4796" s="61" t="str">
        <f aca="false">IF($M4796=0,"",INDEX(Classes!$E$6:$E$420,$M4796))</f>
        <v/>
      </c>
      <c r="C4796" s="62" t="str">
        <f aca="false">IF($M4796=0,"",INDEX(Classes!$H$6:$H$420,$M4796))</f>
        <v/>
      </c>
      <c r="D4796" s="61" t="str">
        <f aca="false">IF($M4796=0,"",INDEX(Classes!$B$6:$B$420,$M4796))</f>
        <v/>
      </c>
      <c r="E4796" s="61" t="str">
        <f aca="false">IF($M4796=0,"",INDEX(Classes!$C$6:$C$420,$M4796))</f>
        <v/>
      </c>
      <c r="F4796" s="63"/>
      <c r="G4796" s="63"/>
      <c r="H4796" s="60"/>
      <c r="I4796" s="60"/>
      <c r="J4796" s="63"/>
      <c r="K4796" s="61" t="str">
        <f aca="false">IF($P4796=0,"",IF($F4796="Baseline","— Baseline",IF($O4796=0,"No result",IF($N4796=0,"No Start (attainment only)",IF(OR($N4796=1,$O4796=1),"U – needs rule",INDEX(MxBody,MATCH($I4796,MxCurr,0),MATCH($H4796,MxStart,0)))))))</f>
        <v/>
      </c>
      <c r="L4796" s="62" t="str">
        <f aca="false">IF(COUNTA($A4796,$F4796,$G4796,$H4796,$I4796,$J4796)=0,"",IF($M4796=0,"✖ كود الصف غير موجود",IF(ISNA(MATCH($F4796,Lists!$A$2:$A$5,0)),"✖ الفترة غير صحيحة",IF(ISNA(MATCH($G4796,Lists!$B$2:$B$7,0)),"✖ المجموعة غير صحيحة",IF(NOT(OR($H4796="",$N4796&gt;0)),"✖ Start غير صحيح",IF(NOT(OR($I4796="",$I4796="NR",$O4796&gt;0)),"✖ Current غير صحيح",IF(NOT(IF(ISNUMBER($J4796),AND($J4796&gt;=0,$J4796=INT($J4796)),FALSE())),"✖ العدد يجب أن يكون صحيحًا ≥ 0",IF(AND($F4796="Baseline",$H4796&lt;&gt;""),"⚠ Baseline: Start لا يدخل في التقدم",IF($K4796="No Start (attainment only)","ℹ تحصيل فقط (بدون Start)",IF($K4796="U – needs rule","ℹ حالة U تحتاج قاعدة معتمدة",IF($K4796="No result","ℹ بدون نتيجة (يُستبعد من التحصيل)","OK")))))))))))</f>
        <v/>
      </c>
      <c r="M4796" s="64" t="n">
        <f aca="false">IF($A4796="",0,IFERROR(MATCH($A4796,Classes!$A$6:$A$420,0),0))</f>
        <v>0</v>
      </c>
      <c r="N4796" s="64" t="n">
        <f aca="false">IF($H4796="",0,IFERROR(MATCH($H4796,GradeList,0),0))</f>
        <v>0</v>
      </c>
      <c r="O4796" s="64" t="n">
        <f aca="false">IF(OR($I4796="",$I4796="NR"),0,IFERROR(MATCH($I4796,GradeList,0),0))</f>
        <v>0</v>
      </c>
      <c r="P4796" s="64" t="n">
        <f aca="false">IF(AND($M4796&gt;0,ISNUMBER(MATCH($F4796,Lists!$A$2:$A$5,0)),ISNUMBER(MATCH($G4796,Lists!$B$2:$B$7,0)),OR($H4796="",$N4796&gt;0),OR($I4796="",$I4796="NR",$O4796&gt;0),IF(ISNUMBER($J4796),AND($J4796&gt;=0,$J4796=INT($J4796)),FALSE())),$J4796,0)</f>
        <v>0</v>
      </c>
      <c r="Q4796" s="64" t="n">
        <f aca="false">IF(AND($P4796&gt;0,$O4796&gt;0),$P4796,0)</f>
        <v>0</v>
      </c>
      <c r="R4796" s="64" t="n">
        <f aca="false">IF(AND($Q4796&gt;0,$O4796&gt;=AtRank),$Q4796,0)</f>
        <v>0</v>
      </c>
      <c r="S4796" s="64" t="n">
        <f aca="false">IF(AND($Q4796&gt;0,$O4796&gt;=AboveRank),$Q4796,0)</f>
        <v>0</v>
      </c>
      <c r="T4796" s="64" t="n">
        <f aca="false">IF($K4796="Less",$P4796,0)</f>
        <v>0</v>
      </c>
      <c r="U4796" s="64" t="n">
        <f aca="false">IF($K4796="Expected",$P4796,0)</f>
        <v>0</v>
      </c>
      <c r="V4796" s="64" t="n">
        <f aca="false">IF($K4796="Better",$P4796,0)</f>
        <v>0</v>
      </c>
      <c r="W4796" s="64" t="n">
        <f aca="false">IF($K4796="U – needs rule",$P4796,0)</f>
        <v>0</v>
      </c>
      <c r="X4796" s="64" t="n">
        <f aca="false">IF($K4796="No Start (attainment only)",$P4796,0)</f>
        <v>0</v>
      </c>
    </row>
    <row r="4797" customFormat="false" ht="15" hidden="false" customHeight="false" outlineLevel="0" collapsed="false">
      <c r="A4797" s="60"/>
      <c r="B4797" s="61" t="str">
        <f aca="false">IF($M4797=0,"",INDEX(Classes!$E$6:$E$420,$M4797))</f>
        <v/>
      </c>
      <c r="C4797" s="62" t="str">
        <f aca="false">IF($M4797=0,"",INDEX(Classes!$H$6:$H$420,$M4797))</f>
        <v/>
      </c>
      <c r="D4797" s="61" t="str">
        <f aca="false">IF($M4797=0,"",INDEX(Classes!$B$6:$B$420,$M4797))</f>
        <v/>
      </c>
      <c r="E4797" s="61" t="str">
        <f aca="false">IF($M4797=0,"",INDEX(Classes!$C$6:$C$420,$M4797))</f>
        <v/>
      </c>
      <c r="F4797" s="63"/>
      <c r="G4797" s="63"/>
      <c r="H4797" s="60"/>
      <c r="I4797" s="60"/>
      <c r="J4797" s="63"/>
      <c r="K4797" s="61" t="str">
        <f aca="false">IF($P4797=0,"",IF($F4797="Baseline","— Baseline",IF($O4797=0,"No result",IF($N4797=0,"No Start (attainment only)",IF(OR($N4797=1,$O4797=1),"U – needs rule",INDEX(MxBody,MATCH($I4797,MxCurr,0),MATCH($H4797,MxStart,0)))))))</f>
        <v/>
      </c>
      <c r="L4797" s="62" t="str">
        <f aca="false">IF(COUNTA($A4797,$F4797,$G4797,$H4797,$I4797,$J4797)=0,"",IF($M4797=0,"✖ كود الصف غير موجود",IF(ISNA(MATCH($F4797,Lists!$A$2:$A$5,0)),"✖ الفترة غير صحيحة",IF(ISNA(MATCH($G4797,Lists!$B$2:$B$7,0)),"✖ المجموعة غير صحيحة",IF(NOT(OR($H4797="",$N4797&gt;0)),"✖ Start غير صحيح",IF(NOT(OR($I4797="",$I4797="NR",$O4797&gt;0)),"✖ Current غير صحيح",IF(NOT(IF(ISNUMBER($J4797),AND($J4797&gt;=0,$J4797=INT($J4797)),FALSE())),"✖ العدد يجب أن يكون صحيحًا ≥ 0",IF(AND($F4797="Baseline",$H4797&lt;&gt;""),"⚠ Baseline: Start لا يدخل في التقدم",IF($K4797="No Start (attainment only)","ℹ تحصيل فقط (بدون Start)",IF($K4797="U – needs rule","ℹ حالة U تحتاج قاعدة معتمدة",IF($K4797="No result","ℹ بدون نتيجة (يُستبعد من التحصيل)","OK")))))))))))</f>
        <v/>
      </c>
      <c r="M4797" s="64" t="n">
        <f aca="false">IF($A4797="",0,IFERROR(MATCH($A4797,Classes!$A$6:$A$420,0),0))</f>
        <v>0</v>
      </c>
      <c r="N4797" s="64" t="n">
        <f aca="false">IF($H4797="",0,IFERROR(MATCH($H4797,GradeList,0),0))</f>
        <v>0</v>
      </c>
      <c r="O4797" s="64" t="n">
        <f aca="false">IF(OR($I4797="",$I4797="NR"),0,IFERROR(MATCH($I4797,GradeList,0),0))</f>
        <v>0</v>
      </c>
      <c r="P4797" s="64" t="n">
        <f aca="false">IF(AND($M4797&gt;0,ISNUMBER(MATCH($F4797,Lists!$A$2:$A$5,0)),ISNUMBER(MATCH($G4797,Lists!$B$2:$B$7,0)),OR($H4797="",$N4797&gt;0),OR($I4797="",$I4797="NR",$O4797&gt;0),IF(ISNUMBER($J4797),AND($J4797&gt;=0,$J4797=INT($J4797)),FALSE())),$J4797,0)</f>
        <v>0</v>
      </c>
      <c r="Q4797" s="64" t="n">
        <f aca="false">IF(AND($P4797&gt;0,$O4797&gt;0),$P4797,0)</f>
        <v>0</v>
      </c>
      <c r="R4797" s="64" t="n">
        <f aca="false">IF(AND($Q4797&gt;0,$O4797&gt;=AtRank),$Q4797,0)</f>
        <v>0</v>
      </c>
      <c r="S4797" s="64" t="n">
        <f aca="false">IF(AND($Q4797&gt;0,$O4797&gt;=AboveRank),$Q4797,0)</f>
        <v>0</v>
      </c>
      <c r="T4797" s="64" t="n">
        <f aca="false">IF($K4797="Less",$P4797,0)</f>
        <v>0</v>
      </c>
      <c r="U4797" s="64" t="n">
        <f aca="false">IF($K4797="Expected",$P4797,0)</f>
        <v>0</v>
      </c>
      <c r="V4797" s="64" t="n">
        <f aca="false">IF($K4797="Better",$P4797,0)</f>
        <v>0</v>
      </c>
      <c r="W4797" s="64" t="n">
        <f aca="false">IF($K4797="U – needs rule",$P4797,0)</f>
        <v>0</v>
      </c>
      <c r="X4797" s="64" t="n">
        <f aca="false">IF($K4797="No Start (attainment only)",$P4797,0)</f>
        <v>0</v>
      </c>
    </row>
    <row r="4798" customFormat="false" ht="15" hidden="false" customHeight="false" outlineLevel="0" collapsed="false">
      <c r="A4798" s="60"/>
      <c r="B4798" s="61" t="str">
        <f aca="false">IF($M4798=0,"",INDEX(Classes!$E$6:$E$420,$M4798))</f>
        <v/>
      </c>
      <c r="C4798" s="62" t="str">
        <f aca="false">IF($M4798=0,"",INDEX(Classes!$H$6:$H$420,$M4798))</f>
        <v/>
      </c>
      <c r="D4798" s="61" t="str">
        <f aca="false">IF($M4798=0,"",INDEX(Classes!$B$6:$B$420,$M4798))</f>
        <v/>
      </c>
      <c r="E4798" s="61" t="str">
        <f aca="false">IF($M4798=0,"",INDEX(Classes!$C$6:$C$420,$M4798))</f>
        <v/>
      </c>
      <c r="F4798" s="63"/>
      <c r="G4798" s="63"/>
      <c r="H4798" s="60"/>
      <c r="I4798" s="60"/>
      <c r="J4798" s="63"/>
      <c r="K4798" s="61" t="str">
        <f aca="false">IF($P4798=0,"",IF($F4798="Baseline","— Baseline",IF($O4798=0,"No result",IF($N4798=0,"No Start (attainment only)",IF(OR($N4798=1,$O4798=1),"U – needs rule",INDEX(MxBody,MATCH($I4798,MxCurr,0),MATCH($H4798,MxStart,0)))))))</f>
        <v/>
      </c>
      <c r="L4798" s="62" t="str">
        <f aca="false">IF(COUNTA($A4798,$F4798,$G4798,$H4798,$I4798,$J4798)=0,"",IF($M4798=0,"✖ كود الصف غير موجود",IF(ISNA(MATCH($F4798,Lists!$A$2:$A$5,0)),"✖ الفترة غير صحيحة",IF(ISNA(MATCH($G4798,Lists!$B$2:$B$7,0)),"✖ المجموعة غير صحيحة",IF(NOT(OR($H4798="",$N4798&gt;0)),"✖ Start غير صحيح",IF(NOT(OR($I4798="",$I4798="NR",$O4798&gt;0)),"✖ Current غير صحيح",IF(NOT(IF(ISNUMBER($J4798),AND($J4798&gt;=0,$J4798=INT($J4798)),FALSE())),"✖ العدد يجب أن يكون صحيحًا ≥ 0",IF(AND($F4798="Baseline",$H4798&lt;&gt;""),"⚠ Baseline: Start لا يدخل في التقدم",IF($K4798="No Start (attainment only)","ℹ تحصيل فقط (بدون Start)",IF($K4798="U – needs rule","ℹ حالة U تحتاج قاعدة معتمدة",IF($K4798="No result","ℹ بدون نتيجة (يُستبعد من التحصيل)","OK")))))))))))</f>
        <v/>
      </c>
      <c r="M4798" s="64" t="n">
        <f aca="false">IF($A4798="",0,IFERROR(MATCH($A4798,Classes!$A$6:$A$420,0),0))</f>
        <v>0</v>
      </c>
      <c r="N4798" s="64" t="n">
        <f aca="false">IF($H4798="",0,IFERROR(MATCH($H4798,GradeList,0),0))</f>
        <v>0</v>
      </c>
      <c r="O4798" s="64" t="n">
        <f aca="false">IF(OR($I4798="",$I4798="NR"),0,IFERROR(MATCH($I4798,GradeList,0),0))</f>
        <v>0</v>
      </c>
      <c r="P4798" s="64" t="n">
        <f aca="false">IF(AND($M4798&gt;0,ISNUMBER(MATCH($F4798,Lists!$A$2:$A$5,0)),ISNUMBER(MATCH($G4798,Lists!$B$2:$B$7,0)),OR($H4798="",$N4798&gt;0),OR($I4798="",$I4798="NR",$O4798&gt;0),IF(ISNUMBER($J4798),AND($J4798&gt;=0,$J4798=INT($J4798)),FALSE())),$J4798,0)</f>
        <v>0</v>
      </c>
      <c r="Q4798" s="64" t="n">
        <f aca="false">IF(AND($P4798&gt;0,$O4798&gt;0),$P4798,0)</f>
        <v>0</v>
      </c>
      <c r="R4798" s="64" t="n">
        <f aca="false">IF(AND($Q4798&gt;0,$O4798&gt;=AtRank),$Q4798,0)</f>
        <v>0</v>
      </c>
      <c r="S4798" s="64" t="n">
        <f aca="false">IF(AND($Q4798&gt;0,$O4798&gt;=AboveRank),$Q4798,0)</f>
        <v>0</v>
      </c>
      <c r="T4798" s="64" t="n">
        <f aca="false">IF($K4798="Less",$P4798,0)</f>
        <v>0</v>
      </c>
      <c r="U4798" s="64" t="n">
        <f aca="false">IF($K4798="Expected",$P4798,0)</f>
        <v>0</v>
      </c>
      <c r="V4798" s="64" t="n">
        <f aca="false">IF($K4798="Better",$P4798,0)</f>
        <v>0</v>
      </c>
      <c r="W4798" s="64" t="n">
        <f aca="false">IF($K4798="U – needs rule",$P4798,0)</f>
        <v>0</v>
      </c>
      <c r="X4798" s="64" t="n">
        <f aca="false">IF($K4798="No Start (attainment only)",$P4798,0)</f>
        <v>0</v>
      </c>
    </row>
    <row r="4799" customFormat="false" ht="15" hidden="false" customHeight="false" outlineLevel="0" collapsed="false">
      <c r="A4799" s="60"/>
      <c r="B4799" s="61" t="str">
        <f aca="false">IF($M4799=0,"",INDEX(Classes!$E$6:$E$420,$M4799))</f>
        <v/>
      </c>
      <c r="C4799" s="62" t="str">
        <f aca="false">IF($M4799=0,"",INDEX(Classes!$H$6:$H$420,$M4799))</f>
        <v/>
      </c>
      <c r="D4799" s="61" t="str">
        <f aca="false">IF($M4799=0,"",INDEX(Classes!$B$6:$B$420,$M4799))</f>
        <v/>
      </c>
      <c r="E4799" s="61" t="str">
        <f aca="false">IF($M4799=0,"",INDEX(Classes!$C$6:$C$420,$M4799))</f>
        <v/>
      </c>
      <c r="F4799" s="63"/>
      <c r="G4799" s="63"/>
      <c r="H4799" s="60"/>
      <c r="I4799" s="60"/>
      <c r="J4799" s="63"/>
      <c r="K4799" s="61" t="str">
        <f aca="false">IF($P4799=0,"",IF($F4799="Baseline","— Baseline",IF($O4799=0,"No result",IF($N4799=0,"No Start (attainment only)",IF(OR($N4799=1,$O4799=1),"U – needs rule",INDEX(MxBody,MATCH($I4799,MxCurr,0),MATCH($H4799,MxStart,0)))))))</f>
        <v/>
      </c>
      <c r="L4799" s="62" t="str">
        <f aca="false">IF(COUNTA($A4799,$F4799,$G4799,$H4799,$I4799,$J4799)=0,"",IF($M4799=0,"✖ كود الصف غير موجود",IF(ISNA(MATCH($F4799,Lists!$A$2:$A$5,0)),"✖ الفترة غير صحيحة",IF(ISNA(MATCH($G4799,Lists!$B$2:$B$7,0)),"✖ المجموعة غير صحيحة",IF(NOT(OR($H4799="",$N4799&gt;0)),"✖ Start غير صحيح",IF(NOT(OR($I4799="",$I4799="NR",$O4799&gt;0)),"✖ Current غير صحيح",IF(NOT(IF(ISNUMBER($J4799),AND($J4799&gt;=0,$J4799=INT($J4799)),FALSE())),"✖ العدد يجب أن يكون صحيحًا ≥ 0",IF(AND($F4799="Baseline",$H4799&lt;&gt;""),"⚠ Baseline: Start لا يدخل في التقدم",IF($K4799="No Start (attainment only)","ℹ تحصيل فقط (بدون Start)",IF($K4799="U – needs rule","ℹ حالة U تحتاج قاعدة معتمدة",IF($K4799="No result","ℹ بدون نتيجة (يُستبعد من التحصيل)","OK")))))))))))</f>
        <v/>
      </c>
      <c r="M4799" s="64" t="n">
        <f aca="false">IF($A4799="",0,IFERROR(MATCH($A4799,Classes!$A$6:$A$420,0),0))</f>
        <v>0</v>
      </c>
      <c r="N4799" s="64" t="n">
        <f aca="false">IF($H4799="",0,IFERROR(MATCH($H4799,GradeList,0),0))</f>
        <v>0</v>
      </c>
      <c r="O4799" s="64" t="n">
        <f aca="false">IF(OR($I4799="",$I4799="NR"),0,IFERROR(MATCH($I4799,GradeList,0),0))</f>
        <v>0</v>
      </c>
      <c r="P4799" s="64" t="n">
        <f aca="false">IF(AND($M4799&gt;0,ISNUMBER(MATCH($F4799,Lists!$A$2:$A$5,0)),ISNUMBER(MATCH($G4799,Lists!$B$2:$B$7,0)),OR($H4799="",$N4799&gt;0),OR($I4799="",$I4799="NR",$O4799&gt;0),IF(ISNUMBER($J4799),AND($J4799&gt;=0,$J4799=INT($J4799)),FALSE())),$J4799,0)</f>
        <v>0</v>
      </c>
      <c r="Q4799" s="64" t="n">
        <f aca="false">IF(AND($P4799&gt;0,$O4799&gt;0),$P4799,0)</f>
        <v>0</v>
      </c>
      <c r="R4799" s="64" t="n">
        <f aca="false">IF(AND($Q4799&gt;0,$O4799&gt;=AtRank),$Q4799,0)</f>
        <v>0</v>
      </c>
      <c r="S4799" s="64" t="n">
        <f aca="false">IF(AND($Q4799&gt;0,$O4799&gt;=AboveRank),$Q4799,0)</f>
        <v>0</v>
      </c>
      <c r="T4799" s="64" t="n">
        <f aca="false">IF($K4799="Less",$P4799,0)</f>
        <v>0</v>
      </c>
      <c r="U4799" s="64" t="n">
        <f aca="false">IF($K4799="Expected",$P4799,0)</f>
        <v>0</v>
      </c>
      <c r="V4799" s="64" t="n">
        <f aca="false">IF($K4799="Better",$P4799,0)</f>
        <v>0</v>
      </c>
      <c r="W4799" s="64" t="n">
        <f aca="false">IF($K4799="U – needs rule",$P4799,0)</f>
        <v>0</v>
      </c>
      <c r="X4799" s="64" t="n">
        <f aca="false">IF($K4799="No Start (attainment only)",$P4799,0)</f>
        <v>0</v>
      </c>
    </row>
    <row r="4800" customFormat="false" ht="15" hidden="false" customHeight="false" outlineLevel="0" collapsed="false">
      <c r="A4800" s="60"/>
      <c r="B4800" s="61" t="str">
        <f aca="false">IF($M4800=0,"",INDEX(Classes!$E$6:$E$420,$M4800))</f>
        <v/>
      </c>
      <c r="C4800" s="62" t="str">
        <f aca="false">IF($M4800=0,"",INDEX(Classes!$H$6:$H$420,$M4800))</f>
        <v/>
      </c>
      <c r="D4800" s="61" t="str">
        <f aca="false">IF($M4800=0,"",INDEX(Classes!$B$6:$B$420,$M4800))</f>
        <v/>
      </c>
      <c r="E4800" s="61" t="str">
        <f aca="false">IF($M4800=0,"",INDEX(Classes!$C$6:$C$420,$M4800))</f>
        <v/>
      </c>
      <c r="F4800" s="63"/>
      <c r="G4800" s="63"/>
      <c r="H4800" s="60"/>
      <c r="I4800" s="60"/>
      <c r="J4800" s="63"/>
      <c r="K4800" s="61" t="str">
        <f aca="false">IF($P4800=0,"",IF($F4800="Baseline","— Baseline",IF($O4800=0,"No result",IF($N4800=0,"No Start (attainment only)",IF(OR($N4800=1,$O4800=1),"U – needs rule",INDEX(MxBody,MATCH($I4800,MxCurr,0),MATCH($H4800,MxStart,0)))))))</f>
        <v/>
      </c>
      <c r="L4800" s="62" t="str">
        <f aca="false">IF(COUNTA($A4800,$F4800,$G4800,$H4800,$I4800,$J4800)=0,"",IF($M4800=0,"✖ كود الصف غير موجود",IF(ISNA(MATCH($F4800,Lists!$A$2:$A$5,0)),"✖ الفترة غير صحيحة",IF(ISNA(MATCH($G4800,Lists!$B$2:$B$7,0)),"✖ المجموعة غير صحيحة",IF(NOT(OR($H4800="",$N4800&gt;0)),"✖ Start غير صحيح",IF(NOT(OR($I4800="",$I4800="NR",$O4800&gt;0)),"✖ Current غير صحيح",IF(NOT(IF(ISNUMBER($J4800),AND($J4800&gt;=0,$J4800=INT($J4800)),FALSE())),"✖ العدد يجب أن يكون صحيحًا ≥ 0",IF(AND($F4800="Baseline",$H4800&lt;&gt;""),"⚠ Baseline: Start لا يدخل في التقدم",IF($K4800="No Start (attainment only)","ℹ تحصيل فقط (بدون Start)",IF($K4800="U – needs rule","ℹ حالة U تحتاج قاعدة معتمدة",IF($K4800="No result","ℹ بدون نتيجة (يُستبعد من التحصيل)","OK")))))))))))</f>
        <v/>
      </c>
      <c r="M4800" s="64" t="n">
        <f aca="false">IF($A4800="",0,IFERROR(MATCH($A4800,Classes!$A$6:$A$420,0),0))</f>
        <v>0</v>
      </c>
      <c r="N4800" s="64" t="n">
        <f aca="false">IF($H4800="",0,IFERROR(MATCH($H4800,GradeList,0),0))</f>
        <v>0</v>
      </c>
      <c r="O4800" s="64" t="n">
        <f aca="false">IF(OR($I4800="",$I4800="NR"),0,IFERROR(MATCH($I4800,GradeList,0),0))</f>
        <v>0</v>
      </c>
      <c r="P4800" s="64" t="n">
        <f aca="false">IF(AND($M4800&gt;0,ISNUMBER(MATCH($F4800,Lists!$A$2:$A$5,0)),ISNUMBER(MATCH($G4800,Lists!$B$2:$B$7,0)),OR($H4800="",$N4800&gt;0),OR($I4800="",$I4800="NR",$O4800&gt;0),IF(ISNUMBER($J4800),AND($J4800&gt;=0,$J4800=INT($J4800)),FALSE())),$J4800,0)</f>
        <v>0</v>
      </c>
      <c r="Q4800" s="64" t="n">
        <f aca="false">IF(AND($P4800&gt;0,$O4800&gt;0),$P4800,0)</f>
        <v>0</v>
      </c>
      <c r="R4800" s="64" t="n">
        <f aca="false">IF(AND($Q4800&gt;0,$O4800&gt;=AtRank),$Q4800,0)</f>
        <v>0</v>
      </c>
      <c r="S4800" s="64" t="n">
        <f aca="false">IF(AND($Q4800&gt;0,$O4800&gt;=AboveRank),$Q4800,0)</f>
        <v>0</v>
      </c>
      <c r="T4800" s="64" t="n">
        <f aca="false">IF($K4800="Less",$P4800,0)</f>
        <v>0</v>
      </c>
      <c r="U4800" s="64" t="n">
        <f aca="false">IF($K4800="Expected",$P4800,0)</f>
        <v>0</v>
      </c>
      <c r="V4800" s="64" t="n">
        <f aca="false">IF($K4800="Better",$P4800,0)</f>
        <v>0</v>
      </c>
      <c r="W4800" s="64" t="n">
        <f aca="false">IF($K4800="U – needs rule",$P4800,0)</f>
        <v>0</v>
      </c>
      <c r="X4800" s="64" t="n">
        <f aca="false">IF($K4800="No Start (attainment only)",$P4800,0)</f>
        <v>0</v>
      </c>
    </row>
    <row r="4801" customFormat="false" ht="15" hidden="false" customHeight="false" outlineLevel="0" collapsed="false">
      <c r="A4801" s="60"/>
      <c r="B4801" s="61" t="str">
        <f aca="false">IF($M4801=0,"",INDEX(Classes!$E$6:$E$420,$M4801))</f>
        <v/>
      </c>
      <c r="C4801" s="62" t="str">
        <f aca="false">IF($M4801=0,"",INDEX(Classes!$H$6:$H$420,$M4801))</f>
        <v/>
      </c>
      <c r="D4801" s="61" t="str">
        <f aca="false">IF($M4801=0,"",INDEX(Classes!$B$6:$B$420,$M4801))</f>
        <v/>
      </c>
      <c r="E4801" s="61" t="str">
        <f aca="false">IF($M4801=0,"",INDEX(Classes!$C$6:$C$420,$M4801))</f>
        <v/>
      </c>
      <c r="F4801" s="63"/>
      <c r="G4801" s="63"/>
      <c r="H4801" s="60"/>
      <c r="I4801" s="60"/>
      <c r="J4801" s="63"/>
      <c r="K4801" s="61" t="str">
        <f aca="false">IF($P4801=0,"",IF($F4801="Baseline","— Baseline",IF($O4801=0,"No result",IF($N4801=0,"No Start (attainment only)",IF(OR($N4801=1,$O4801=1),"U – needs rule",INDEX(MxBody,MATCH($I4801,MxCurr,0),MATCH($H4801,MxStart,0)))))))</f>
        <v/>
      </c>
      <c r="L4801" s="62" t="str">
        <f aca="false">IF(COUNTA($A4801,$F4801,$G4801,$H4801,$I4801,$J4801)=0,"",IF($M4801=0,"✖ كود الصف غير موجود",IF(ISNA(MATCH($F4801,Lists!$A$2:$A$5,0)),"✖ الفترة غير صحيحة",IF(ISNA(MATCH($G4801,Lists!$B$2:$B$7,0)),"✖ المجموعة غير صحيحة",IF(NOT(OR($H4801="",$N4801&gt;0)),"✖ Start غير صحيح",IF(NOT(OR($I4801="",$I4801="NR",$O4801&gt;0)),"✖ Current غير صحيح",IF(NOT(IF(ISNUMBER($J4801),AND($J4801&gt;=0,$J4801=INT($J4801)),FALSE())),"✖ العدد يجب أن يكون صحيحًا ≥ 0",IF(AND($F4801="Baseline",$H4801&lt;&gt;""),"⚠ Baseline: Start لا يدخل في التقدم",IF($K4801="No Start (attainment only)","ℹ تحصيل فقط (بدون Start)",IF($K4801="U – needs rule","ℹ حالة U تحتاج قاعدة معتمدة",IF($K4801="No result","ℹ بدون نتيجة (يُستبعد من التحصيل)","OK")))))))))))</f>
        <v/>
      </c>
      <c r="M4801" s="64" t="n">
        <f aca="false">IF($A4801="",0,IFERROR(MATCH($A4801,Classes!$A$6:$A$420,0),0))</f>
        <v>0</v>
      </c>
      <c r="N4801" s="64" t="n">
        <f aca="false">IF($H4801="",0,IFERROR(MATCH($H4801,GradeList,0),0))</f>
        <v>0</v>
      </c>
      <c r="O4801" s="64" t="n">
        <f aca="false">IF(OR($I4801="",$I4801="NR"),0,IFERROR(MATCH($I4801,GradeList,0),0))</f>
        <v>0</v>
      </c>
      <c r="P4801" s="64" t="n">
        <f aca="false">IF(AND($M4801&gt;0,ISNUMBER(MATCH($F4801,Lists!$A$2:$A$5,0)),ISNUMBER(MATCH($G4801,Lists!$B$2:$B$7,0)),OR($H4801="",$N4801&gt;0),OR($I4801="",$I4801="NR",$O4801&gt;0),IF(ISNUMBER($J4801),AND($J4801&gt;=0,$J4801=INT($J4801)),FALSE())),$J4801,0)</f>
        <v>0</v>
      </c>
      <c r="Q4801" s="64" t="n">
        <f aca="false">IF(AND($P4801&gt;0,$O4801&gt;0),$P4801,0)</f>
        <v>0</v>
      </c>
      <c r="R4801" s="64" t="n">
        <f aca="false">IF(AND($Q4801&gt;0,$O4801&gt;=AtRank),$Q4801,0)</f>
        <v>0</v>
      </c>
      <c r="S4801" s="64" t="n">
        <f aca="false">IF(AND($Q4801&gt;0,$O4801&gt;=AboveRank),$Q4801,0)</f>
        <v>0</v>
      </c>
      <c r="T4801" s="64" t="n">
        <f aca="false">IF($K4801="Less",$P4801,0)</f>
        <v>0</v>
      </c>
      <c r="U4801" s="64" t="n">
        <f aca="false">IF($K4801="Expected",$P4801,0)</f>
        <v>0</v>
      </c>
      <c r="V4801" s="64" t="n">
        <f aca="false">IF($K4801="Better",$P4801,0)</f>
        <v>0</v>
      </c>
      <c r="W4801" s="64" t="n">
        <f aca="false">IF($K4801="U – needs rule",$P4801,0)</f>
        <v>0</v>
      </c>
      <c r="X4801" s="64" t="n">
        <f aca="false">IF($K4801="No Start (attainment only)",$P4801,0)</f>
        <v>0</v>
      </c>
    </row>
    <row r="4802" customFormat="false" ht="15" hidden="false" customHeight="false" outlineLevel="0" collapsed="false">
      <c r="A4802" s="60"/>
      <c r="B4802" s="61" t="str">
        <f aca="false">IF($M4802=0,"",INDEX(Classes!$E$6:$E$420,$M4802))</f>
        <v/>
      </c>
      <c r="C4802" s="62" t="str">
        <f aca="false">IF($M4802=0,"",INDEX(Classes!$H$6:$H$420,$M4802))</f>
        <v/>
      </c>
      <c r="D4802" s="61" t="str">
        <f aca="false">IF($M4802=0,"",INDEX(Classes!$B$6:$B$420,$M4802))</f>
        <v/>
      </c>
      <c r="E4802" s="61" t="str">
        <f aca="false">IF($M4802=0,"",INDEX(Classes!$C$6:$C$420,$M4802))</f>
        <v/>
      </c>
      <c r="F4802" s="63"/>
      <c r="G4802" s="63"/>
      <c r="H4802" s="60"/>
      <c r="I4802" s="60"/>
      <c r="J4802" s="63"/>
      <c r="K4802" s="61" t="str">
        <f aca="false">IF($P4802=0,"",IF($F4802="Baseline","— Baseline",IF($O4802=0,"No result",IF($N4802=0,"No Start (attainment only)",IF(OR($N4802=1,$O4802=1),"U – needs rule",INDEX(MxBody,MATCH($I4802,MxCurr,0),MATCH($H4802,MxStart,0)))))))</f>
        <v/>
      </c>
      <c r="L4802" s="62" t="str">
        <f aca="false">IF(COUNTA($A4802,$F4802,$G4802,$H4802,$I4802,$J4802)=0,"",IF($M4802=0,"✖ كود الصف غير موجود",IF(ISNA(MATCH($F4802,Lists!$A$2:$A$5,0)),"✖ الفترة غير صحيحة",IF(ISNA(MATCH($G4802,Lists!$B$2:$B$7,0)),"✖ المجموعة غير صحيحة",IF(NOT(OR($H4802="",$N4802&gt;0)),"✖ Start غير صحيح",IF(NOT(OR($I4802="",$I4802="NR",$O4802&gt;0)),"✖ Current غير صحيح",IF(NOT(IF(ISNUMBER($J4802),AND($J4802&gt;=0,$J4802=INT($J4802)),FALSE())),"✖ العدد يجب أن يكون صحيحًا ≥ 0",IF(AND($F4802="Baseline",$H4802&lt;&gt;""),"⚠ Baseline: Start لا يدخل في التقدم",IF($K4802="No Start (attainment only)","ℹ تحصيل فقط (بدون Start)",IF($K4802="U – needs rule","ℹ حالة U تحتاج قاعدة معتمدة",IF($K4802="No result","ℹ بدون نتيجة (يُستبعد من التحصيل)","OK")))))))))))</f>
        <v/>
      </c>
      <c r="M4802" s="64" t="n">
        <f aca="false">IF($A4802="",0,IFERROR(MATCH($A4802,Classes!$A$6:$A$420,0),0))</f>
        <v>0</v>
      </c>
      <c r="N4802" s="64" t="n">
        <f aca="false">IF($H4802="",0,IFERROR(MATCH($H4802,GradeList,0),0))</f>
        <v>0</v>
      </c>
      <c r="O4802" s="64" t="n">
        <f aca="false">IF(OR($I4802="",$I4802="NR"),0,IFERROR(MATCH($I4802,GradeList,0),0))</f>
        <v>0</v>
      </c>
      <c r="P4802" s="64" t="n">
        <f aca="false">IF(AND($M4802&gt;0,ISNUMBER(MATCH($F4802,Lists!$A$2:$A$5,0)),ISNUMBER(MATCH($G4802,Lists!$B$2:$B$7,0)),OR($H4802="",$N4802&gt;0),OR($I4802="",$I4802="NR",$O4802&gt;0),IF(ISNUMBER($J4802),AND($J4802&gt;=0,$J4802=INT($J4802)),FALSE())),$J4802,0)</f>
        <v>0</v>
      </c>
      <c r="Q4802" s="64" t="n">
        <f aca="false">IF(AND($P4802&gt;0,$O4802&gt;0),$P4802,0)</f>
        <v>0</v>
      </c>
      <c r="R4802" s="64" t="n">
        <f aca="false">IF(AND($Q4802&gt;0,$O4802&gt;=AtRank),$Q4802,0)</f>
        <v>0</v>
      </c>
      <c r="S4802" s="64" t="n">
        <f aca="false">IF(AND($Q4802&gt;0,$O4802&gt;=AboveRank),$Q4802,0)</f>
        <v>0</v>
      </c>
      <c r="T4802" s="64" t="n">
        <f aca="false">IF($K4802="Less",$P4802,0)</f>
        <v>0</v>
      </c>
      <c r="U4802" s="64" t="n">
        <f aca="false">IF($K4802="Expected",$P4802,0)</f>
        <v>0</v>
      </c>
      <c r="V4802" s="64" t="n">
        <f aca="false">IF($K4802="Better",$P4802,0)</f>
        <v>0</v>
      </c>
      <c r="W4802" s="64" t="n">
        <f aca="false">IF($K4802="U – needs rule",$P4802,0)</f>
        <v>0</v>
      </c>
      <c r="X4802" s="64" t="n">
        <f aca="false">IF($K4802="No Start (attainment only)",$P4802,0)</f>
        <v>0</v>
      </c>
    </row>
    <row r="4803" customFormat="false" ht="15" hidden="false" customHeight="false" outlineLevel="0" collapsed="false">
      <c r="A4803" s="60"/>
      <c r="B4803" s="61" t="str">
        <f aca="false">IF($M4803=0,"",INDEX(Classes!$E$6:$E$420,$M4803))</f>
        <v/>
      </c>
      <c r="C4803" s="62" t="str">
        <f aca="false">IF($M4803=0,"",INDEX(Classes!$H$6:$H$420,$M4803))</f>
        <v/>
      </c>
      <c r="D4803" s="61" t="str">
        <f aca="false">IF($M4803=0,"",INDEX(Classes!$B$6:$B$420,$M4803))</f>
        <v/>
      </c>
      <c r="E4803" s="61" t="str">
        <f aca="false">IF($M4803=0,"",INDEX(Classes!$C$6:$C$420,$M4803))</f>
        <v/>
      </c>
      <c r="F4803" s="63"/>
      <c r="G4803" s="63"/>
      <c r="H4803" s="60"/>
      <c r="I4803" s="60"/>
      <c r="J4803" s="63"/>
      <c r="K4803" s="61" t="str">
        <f aca="false">IF($P4803=0,"",IF($F4803="Baseline","— Baseline",IF($O4803=0,"No result",IF($N4803=0,"No Start (attainment only)",IF(OR($N4803=1,$O4803=1),"U – needs rule",INDEX(MxBody,MATCH($I4803,MxCurr,0),MATCH($H4803,MxStart,0)))))))</f>
        <v/>
      </c>
      <c r="L4803" s="62" t="str">
        <f aca="false">IF(COUNTA($A4803,$F4803,$G4803,$H4803,$I4803,$J4803)=0,"",IF($M4803=0,"✖ كود الصف غير موجود",IF(ISNA(MATCH($F4803,Lists!$A$2:$A$5,0)),"✖ الفترة غير صحيحة",IF(ISNA(MATCH($G4803,Lists!$B$2:$B$7,0)),"✖ المجموعة غير صحيحة",IF(NOT(OR($H4803="",$N4803&gt;0)),"✖ Start غير صحيح",IF(NOT(OR($I4803="",$I4803="NR",$O4803&gt;0)),"✖ Current غير صحيح",IF(NOT(IF(ISNUMBER($J4803),AND($J4803&gt;=0,$J4803=INT($J4803)),FALSE())),"✖ العدد يجب أن يكون صحيحًا ≥ 0",IF(AND($F4803="Baseline",$H4803&lt;&gt;""),"⚠ Baseline: Start لا يدخل في التقدم",IF($K4803="No Start (attainment only)","ℹ تحصيل فقط (بدون Start)",IF($K4803="U – needs rule","ℹ حالة U تحتاج قاعدة معتمدة",IF($K4803="No result","ℹ بدون نتيجة (يُستبعد من التحصيل)","OK")))))))))))</f>
        <v/>
      </c>
      <c r="M4803" s="64" t="n">
        <f aca="false">IF($A4803="",0,IFERROR(MATCH($A4803,Classes!$A$6:$A$420,0),0))</f>
        <v>0</v>
      </c>
      <c r="N4803" s="64" t="n">
        <f aca="false">IF($H4803="",0,IFERROR(MATCH($H4803,GradeList,0),0))</f>
        <v>0</v>
      </c>
      <c r="O4803" s="64" t="n">
        <f aca="false">IF(OR($I4803="",$I4803="NR"),0,IFERROR(MATCH($I4803,GradeList,0),0))</f>
        <v>0</v>
      </c>
      <c r="P4803" s="64" t="n">
        <f aca="false">IF(AND($M4803&gt;0,ISNUMBER(MATCH($F4803,Lists!$A$2:$A$5,0)),ISNUMBER(MATCH($G4803,Lists!$B$2:$B$7,0)),OR($H4803="",$N4803&gt;0),OR($I4803="",$I4803="NR",$O4803&gt;0),IF(ISNUMBER($J4803),AND($J4803&gt;=0,$J4803=INT($J4803)),FALSE())),$J4803,0)</f>
        <v>0</v>
      </c>
      <c r="Q4803" s="64" t="n">
        <f aca="false">IF(AND($P4803&gt;0,$O4803&gt;0),$P4803,0)</f>
        <v>0</v>
      </c>
      <c r="R4803" s="64" t="n">
        <f aca="false">IF(AND($Q4803&gt;0,$O4803&gt;=AtRank),$Q4803,0)</f>
        <v>0</v>
      </c>
      <c r="S4803" s="64" t="n">
        <f aca="false">IF(AND($Q4803&gt;0,$O4803&gt;=AboveRank),$Q4803,0)</f>
        <v>0</v>
      </c>
      <c r="T4803" s="64" t="n">
        <f aca="false">IF($K4803="Less",$P4803,0)</f>
        <v>0</v>
      </c>
      <c r="U4803" s="64" t="n">
        <f aca="false">IF($K4803="Expected",$P4803,0)</f>
        <v>0</v>
      </c>
      <c r="V4803" s="64" t="n">
        <f aca="false">IF($K4803="Better",$P4803,0)</f>
        <v>0</v>
      </c>
      <c r="W4803" s="64" t="n">
        <f aca="false">IF($K4803="U – needs rule",$P4803,0)</f>
        <v>0</v>
      </c>
      <c r="X4803" s="64" t="n">
        <f aca="false">IF($K4803="No Start (attainment only)",$P4803,0)</f>
        <v>0</v>
      </c>
    </row>
    <row r="4804" customFormat="false" ht="15" hidden="false" customHeight="false" outlineLevel="0" collapsed="false">
      <c r="A4804" s="60"/>
      <c r="B4804" s="61" t="str">
        <f aca="false">IF($M4804=0,"",INDEX(Classes!$E$6:$E$420,$M4804))</f>
        <v/>
      </c>
      <c r="C4804" s="62" t="str">
        <f aca="false">IF($M4804=0,"",INDEX(Classes!$H$6:$H$420,$M4804))</f>
        <v/>
      </c>
      <c r="D4804" s="61" t="str">
        <f aca="false">IF($M4804=0,"",INDEX(Classes!$B$6:$B$420,$M4804))</f>
        <v/>
      </c>
      <c r="E4804" s="61" t="str">
        <f aca="false">IF($M4804=0,"",INDEX(Classes!$C$6:$C$420,$M4804))</f>
        <v/>
      </c>
      <c r="F4804" s="63"/>
      <c r="G4804" s="63"/>
      <c r="H4804" s="60"/>
      <c r="I4804" s="60"/>
      <c r="J4804" s="63"/>
      <c r="K4804" s="61" t="str">
        <f aca="false">IF($P4804=0,"",IF($F4804="Baseline","— Baseline",IF($O4804=0,"No result",IF($N4804=0,"No Start (attainment only)",IF(OR($N4804=1,$O4804=1),"U – needs rule",INDEX(MxBody,MATCH($I4804,MxCurr,0),MATCH($H4804,MxStart,0)))))))</f>
        <v/>
      </c>
      <c r="L4804" s="62" t="str">
        <f aca="false">IF(COUNTA($A4804,$F4804,$G4804,$H4804,$I4804,$J4804)=0,"",IF($M4804=0,"✖ كود الصف غير موجود",IF(ISNA(MATCH($F4804,Lists!$A$2:$A$5,0)),"✖ الفترة غير صحيحة",IF(ISNA(MATCH($G4804,Lists!$B$2:$B$7,0)),"✖ المجموعة غير صحيحة",IF(NOT(OR($H4804="",$N4804&gt;0)),"✖ Start غير صحيح",IF(NOT(OR($I4804="",$I4804="NR",$O4804&gt;0)),"✖ Current غير صحيح",IF(NOT(IF(ISNUMBER($J4804),AND($J4804&gt;=0,$J4804=INT($J4804)),FALSE())),"✖ العدد يجب أن يكون صحيحًا ≥ 0",IF(AND($F4804="Baseline",$H4804&lt;&gt;""),"⚠ Baseline: Start لا يدخل في التقدم",IF($K4804="No Start (attainment only)","ℹ تحصيل فقط (بدون Start)",IF($K4804="U – needs rule","ℹ حالة U تحتاج قاعدة معتمدة",IF($K4804="No result","ℹ بدون نتيجة (يُستبعد من التحصيل)","OK")))))))))))</f>
        <v/>
      </c>
      <c r="M4804" s="64" t="n">
        <f aca="false">IF($A4804="",0,IFERROR(MATCH($A4804,Classes!$A$6:$A$420,0),0))</f>
        <v>0</v>
      </c>
      <c r="N4804" s="64" t="n">
        <f aca="false">IF($H4804="",0,IFERROR(MATCH($H4804,GradeList,0),0))</f>
        <v>0</v>
      </c>
      <c r="O4804" s="64" t="n">
        <f aca="false">IF(OR($I4804="",$I4804="NR"),0,IFERROR(MATCH($I4804,GradeList,0),0))</f>
        <v>0</v>
      </c>
      <c r="P4804" s="64" t="n">
        <f aca="false">IF(AND($M4804&gt;0,ISNUMBER(MATCH($F4804,Lists!$A$2:$A$5,0)),ISNUMBER(MATCH($G4804,Lists!$B$2:$B$7,0)),OR($H4804="",$N4804&gt;0),OR($I4804="",$I4804="NR",$O4804&gt;0),IF(ISNUMBER($J4804),AND($J4804&gt;=0,$J4804=INT($J4804)),FALSE())),$J4804,0)</f>
        <v>0</v>
      </c>
      <c r="Q4804" s="64" t="n">
        <f aca="false">IF(AND($P4804&gt;0,$O4804&gt;0),$P4804,0)</f>
        <v>0</v>
      </c>
      <c r="R4804" s="64" t="n">
        <f aca="false">IF(AND($Q4804&gt;0,$O4804&gt;=AtRank),$Q4804,0)</f>
        <v>0</v>
      </c>
      <c r="S4804" s="64" t="n">
        <f aca="false">IF(AND($Q4804&gt;0,$O4804&gt;=AboveRank),$Q4804,0)</f>
        <v>0</v>
      </c>
      <c r="T4804" s="64" t="n">
        <f aca="false">IF($K4804="Less",$P4804,0)</f>
        <v>0</v>
      </c>
      <c r="U4804" s="64" t="n">
        <f aca="false">IF($K4804="Expected",$P4804,0)</f>
        <v>0</v>
      </c>
      <c r="V4804" s="64" t="n">
        <f aca="false">IF($K4804="Better",$P4804,0)</f>
        <v>0</v>
      </c>
      <c r="W4804" s="64" t="n">
        <f aca="false">IF($K4804="U – needs rule",$P4804,0)</f>
        <v>0</v>
      </c>
      <c r="X4804" s="64" t="n">
        <f aca="false">IF($K4804="No Start (attainment only)",$P4804,0)</f>
        <v>0</v>
      </c>
    </row>
    <row r="4805" customFormat="false" ht="15" hidden="false" customHeight="false" outlineLevel="0" collapsed="false">
      <c r="A4805" s="60"/>
      <c r="B4805" s="61" t="str">
        <f aca="false">IF($M4805=0,"",INDEX(Classes!$E$6:$E$420,$M4805))</f>
        <v/>
      </c>
      <c r="C4805" s="62" t="str">
        <f aca="false">IF($M4805=0,"",INDEX(Classes!$H$6:$H$420,$M4805))</f>
        <v/>
      </c>
      <c r="D4805" s="61" t="str">
        <f aca="false">IF($M4805=0,"",INDEX(Classes!$B$6:$B$420,$M4805))</f>
        <v/>
      </c>
      <c r="E4805" s="61" t="str">
        <f aca="false">IF($M4805=0,"",INDEX(Classes!$C$6:$C$420,$M4805))</f>
        <v/>
      </c>
      <c r="F4805" s="63"/>
      <c r="G4805" s="63"/>
      <c r="H4805" s="60"/>
      <c r="I4805" s="60"/>
      <c r="J4805" s="63"/>
      <c r="K4805" s="61" t="str">
        <f aca="false">IF($P4805=0,"",IF($F4805="Baseline","— Baseline",IF($O4805=0,"No result",IF($N4805=0,"No Start (attainment only)",IF(OR($N4805=1,$O4805=1),"U – needs rule",INDEX(MxBody,MATCH($I4805,MxCurr,0),MATCH($H4805,MxStart,0)))))))</f>
        <v/>
      </c>
      <c r="L4805" s="62" t="str">
        <f aca="false">IF(COUNTA($A4805,$F4805,$G4805,$H4805,$I4805,$J4805)=0,"",IF($M4805=0,"✖ كود الصف غير موجود",IF(ISNA(MATCH($F4805,Lists!$A$2:$A$5,0)),"✖ الفترة غير صحيحة",IF(ISNA(MATCH($G4805,Lists!$B$2:$B$7,0)),"✖ المجموعة غير صحيحة",IF(NOT(OR($H4805="",$N4805&gt;0)),"✖ Start غير صحيح",IF(NOT(OR($I4805="",$I4805="NR",$O4805&gt;0)),"✖ Current غير صحيح",IF(NOT(IF(ISNUMBER($J4805),AND($J4805&gt;=0,$J4805=INT($J4805)),FALSE())),"✖ العدد يجب أن يكون صحيحًا ≥ 0",IF(AND($F4805="Baseline",$H4805&lt;&gt;""),"⚠ Baseline: Start لا يدخل في التقدم",IF($K4805="No Start (attainment only)","ℹ تحصيل فقط (بدون Start)",IF($K4805="U – needs rule","ℹ حالة U تحتاج قاعدة معتمدة",IF($K4805="No result","ℹ بدون نتيجة (يُستبعد من التحصيل)","OK")))))))))))</f>
        <v/>
      </c>
      <c r="M4805" s="64" t="n">
        <f aca="false">IF($A4805="",0,IFERROR(MATCH($A4805,Classes!$A$6:$A$420,0),0))</f>
        <v>0</v>
      </c>
      <c r="N4805" s="64" t="n">
        <f aca="false">IF($H4805="",0,IFERROR(MATCH($H4805,GradeList,0),0))</f>
        <v>0</v>
      </c>
      <c r="O4805" s="64" t="n">
        <f aca="false">IF(OR($I4805="",$I4805="NR"),0,IFERROR(MATCH($I4805,GradeList,0),0))</f>
        <v>0</v>
      </c>
      <c r="P4805" s="64" t="n">
        <f aca="false">IF(AND($M4805&gt;0,ISNUMBER(MATCH($F4805,Lists!$A$2:$A$5,0)),ISNUMBER(MATCH($G4805,Lists!$B$2:$B$7,0)),OR($H4805="",$N4805&gt;0),OR($I4805="",$I4805="NR",$O4805&gt;0),IF(ISNUMBER($J4805),AND($J4805&gt;=0,$J4805=INT($J4805)),FALSE())),$J4805,0)</f>
        <v>0</v>
      </c>
      <c r="Q4805" s="64" t="n">
        <f aca="false">IF(AND($P4805&gt;0,$O4805&gt;0),$P4805,0)</f>
        <v>0</v>
      </c>
      <c r="R4805" s="64" t="n">
        <f aca="false">IF(AND($Q4805&gt;0,$O4805&gt;=AtRank),$Q4805,0)</f>
        <v>0</v>
      </c>
      <c r="S4805" s="64" t="n">
        <f aca="false">IF(AND($Q4805&gt;0,$O4805&gt;=AboveRank),$Q4805,0)</f>
        <v>0</v>
      </c>
      <c r="T4805" s="64" t="n">
        <f aca="false">IF($K4805="Less",$P4805,0)</f>
        <v>0</v>
      </c>
      <c r="U4805" s="64" t="n">
        <f aca="false">IF($K4805="Expected",$P4805,0)</f>
        <v>0</v>
      </c>
      <c r="V4805" s="64" t="n">
        <f aca="false">IF($K4805="Better",$P4805,0)</f>
        <v>0</v>
      </c>
      <c r="W4805" s="64" t="n">
        <f aca="false">IF($K4805="U – needs rule",$P4805,0)</f>
        <v>0</v>
      </c>
      <c r="X4805" s="64" t="n">
        <f aca="false">IF($K4805="No Start (attainment only)",$P4805,0)</f>
        <v>0</v>
      </c>
    </row>
    <row r="4806" customFormat="false" ht="15" hidden="false" customHeight="false" outlineLevel="0" collapsed="false">
      <c r="A4806" s="60"/>
      <c r="B4806" s="61" t="str">
        <f aca="false">IF($M4806=0,"",INDEX(Classes!$E$6:$E$420,$M4806))</f>
        <v/>
      </c>
      <c r="C4806" s="62" t="str">
        <f aca="false">IF($M4806=0,"",INDEX(Classes!$H$6:$H$420,$M4806))</f>
        <v/>
      </c>
      <c r="D4806" s="61" t="str">
        <f aca="false">IF($M4806=0,"",INDEX(Classes!$B$6:$B$420,$M4806))</f>
        <v/>
      </c>
      <c r="E4806" s="61" t="str">
        <f aca="false">IF($M4806=0,"",INDEX(Classes!$C$6:$C$420,$M4806))</f>
        <v/>
      </c>
      <c r="F4806" s="63"/>
      <c r="G4806" s="63"/>
      <c r="H4806" s="60"/>
      <c r="I4806" s="60"/>
      <c r="J4806" s="63"/>
      <c r="K4806" s="61" t="str">
        <f aca="false">IF($P4806=0,"",IF($F4806="Baseline","— Baseline",IF($O4806=0,"No result",IF($N4806=0,"No Start (attainment only)",IF(OR($N4806=1,$O4806=1),"U – needs rule",INDEX(MxBody,MATCH($I4806,MxCurr,0),MATCH($H4806,MxStart,0)))))))</f>
        <v/>
      </c>
      <c r="L4806" s="62" t="str">
        <f aca="false">IF(COUNTA($A4806,$F4806,$G4806,$H4806,$I4806,$J4806)=0,"",IF($M4806=0,"✖ كود الصف غير موجود",IF(ISNA(MATCH($F4806,Lists!$A$2:$A$5,0)),"✖ الفترة غير صحيحة",IF(ISNA(MATCH($G4806,Lists!$B$2:$B$7,0)),"✖ المجموعة غير صحيحة",IF(NOT(OR($H4806="",$N4806&gt;0)),"✖ Start غير صحيح",IF(NOT(OR($I4806="",$I4806="NR",$O4806&gt;0)),"✖ Current غير صحيح",IF(NOT(IF(ISNUMBER($J4806),AND($J4806&gt;=0,$J4806=INT($J4806)),FALSE())),"✖ العدد يجب أن يكون صحيحًا ≥ 0",IF(AND($F4806="Baseline",$H4806&lt;&gt;""),"⚠ Baseline: Start لا يدخل في التقدم",IF($K4806="No Start (attainment only)","ℹ تحصيل فقط (بدون Start)",IF($K4806="U – needs rule","ℹ حالة U تحتاج قاعدة معتمدة",IF($K4806="No result","ℹ بدون نتيجة (يُستبعد من التحصيل)","OK")))))))))))</f>
        <v/>
      </c>
      <c r="M4806" s="64" t="n">
        <f aca="false">IF($A4806="",0,IFERROR(MATCH($A4806,Classes!$A$6:$A$420,0),0))</f>
        <v>0</v>
      </c>
      <c r="N4806" s="64" t="n">
        <f aca="false">IF($H4806="",0,IFERROR(MATCH($H4806,GradeList,0),0))</f>
        <v>0</v>
      </c>
      <c r="O4806" s="64" t="n">
        <f aca="false">IF(OR($I4806="",$I4806="NR"),0,IFERROR(MATCH($I4806,GradeList,0),0))</f>
        <v>0</v>
      </c>
      <c r="P4806" s="64" t="n">
        <f aca="false">IF(AND($M4806&gt;0,ISNUMBER(MATCH($F4806,Lists!$A$2:$A$5,0)),ISNUMBER(MATCH($G4806,Lists!$B$2:$B$7,0)),OR($H4806="",$N4806&gt;0),OR($I4806="",$I4806="NR",$O4806&gt;0),IF(ISNUMBER($J4806),AND($J4806&gt;=0,$J4806=INT($J4806)),FALSE())),$J4806,0)</f>
        <v>0</v>
      </c>
      <c r="Q4806" s="64" t="n">
        <f aca="false">IF(AND($P4806&gt;0,$O4806&gt;0),$P4806,0)</f>
        <v>0</v>
      </c>
      <c r="R4806" s="64" t="n">
        <f aca="false">IF(AND($Q4806&gt;0,$O4806&gt;=AtRank),$Q4806,0)</f>
        <v>0</v>
      </c>
      <c r="S4806" s="64" t="n">
        <f aca="false">IF(AND($Q4806&gt;0,$O4806&gt;=AboveRank),$Q4806,0)</f>
        <v>0</v>
      </c>
      <c r="T4806" s="64" t="n">
        <f aca="false">IF($K4806="Less",$P4806,0)</f>
        <v>0</v>
      </c>
      <c r="U4806" s="64" t="n">
        <f aca="false">IF($K4806="Expected",$P4806,0)</f>
        <v>0</v>
      </c>
      <c r="V4806" s="64" t="n">
        <f aca="false">IF($K4806="Better",$P4806,0)</f>
        <v>0</v>
      </c>
      <c r="W4806" s="64" t="n">
        <f aca="false">IF($K4806="U – needs rule",$P4806,0)</f>
        <v>0</v>
      </c>
      <c r="X4806" s="64" t="n">
        <f aca="false">IF($K4806="No Start (attainment only)",$P4806,0)</f>
        <v>0</v>
      </c>
    </row>
    <row r="4807" customFormat="false" ht="15" hidden="false" customHeight="false" outlineLevel="0" collapsed="false">
      <c r="A4807" s="60"/>
      <c r="B4807" s="61" t="str">
        <f aca="false">IF($M4807=0,"",INDEX(Classes!$E$6:$E$420,$M4807))</f>
        <v/>
      </c>
      <c r="C4807" s="62" t="str">
        <f aca="false">IF($M4807=0,"",INDEX(Classes!$H$6:$H$420,$M4807))</f>
        <v/>
      </c>
      <c r="D4807" s="61" t="str">
        <f aca="false">IF($M4807=0,"",INDEX(Classes!$B$6:$B$420,$M4807))</f>
        <v/>
      </c>
      <c r="E4807" s="61" t="str">
        <f aca="false">IF($M4807=0,"",INDEX(Classes!$C$6:$C$420,$M4807))</f>
        <v/>
      </c>
      <c r="F4807" s="63"/>
      <c r="G4807" s="63"/>
      <c r="H4807" s="60"/>
      <c r="I4807" s="60"/>
      <c r="J4807" s="63"/>
      <c r="K4807" s="61" t="str">
        <f aca="false">IF($P4807=0,"",IF($F4807="Baseline","— Baseline",IF($O4807=0,"No result",IF($N4807=0,"No Start (attainment only)",IF(OR($N4807=1,$O4807=1),"U – needs rule",INDEX(MxBody,MATCH($I4807,MxCurr,0),MATCH($H4807,MxStart,0)))))))</f>
        <v/>
      </c>
      <c r="L4807" s="62" t="str">
        <f aca="false">IF(COUNTA($A4807,$F4807,$G4807,$H4807,$I4807,$J4807)=0,"",IF($M4807=0,"✖ كود الصف غير موجود",IF(ISNA(MATCH($F4807,Lists!$A$2:$A$5,0)),"✖ الفترة غير صحيحة",IF(ISNA(MATCH($G4807,Lists!$B$2:$B$7,0)),"✖ المجموعة غير صحيحة",IF(NOT(OR($H4807="",$N4807&gt;0)),"✖ Start غير صحيح",IF(NOT(OR($I4807="",$I4807="NR",$O4807&gt;0)),"✖ Current غير صحيح",IF(NOT(IF(ISNUMBER($J4807),AND($J4807&gt;=0,$J4807=INT($J4807)),FALSE())),"✖ العدد يجب أن يكون صحيحًا ≥ 0",IF(AND($F4807="Baseline",$H4807&lt;&gt;""),"⚠ Baseline: Start لا يدخل في التقدم",IF($K4807="No Start (attainment only)","ℹ تحصيل فقط (بدون Start)",IF($K4807="U – needs rule","ℹ حالة U تحتاج قاعدة معتمدة",IF($K4807="No result","ℹ بدون نتيجة (يُستبعد من التحصيل)","OK")))))))))))</f>
        <v/>
      </c>
      <c r="M4807" s="64" t="n">
        <f aca="false">IF($A4807="",0,IFERROR(MATCH($A4807,Classes!$A$6:$A$420,0),0))</f>
        <v>0</v>
      </c>
      <c r="N4807" s="64" t="n">
        <f aca="false">IF($H4807="",0,IFERROR(MATCH($H4807,GradeList,0),0))</f>
        <v>0</v>
      </c>
      <c r="O4807" s="64" t="n">
        <f aca="false">IF(OR($I4807="",$I4807="NR"),0,IFERROR(MATCH($I4807,GradeList,0),0))</f>
        <v>0</v>
      </c>
      <c r="P4807" s="64" t="n">
        <f aca="false">IF(AND($M4807&gt;0,ISNUMBER(MATCH($F4807,Lists!$A$2:$A$5,0)),ISNUMBER(MATCH($G4807,Lists!$B$2:$B$7,0)),OR($H4807="",$N4807&gt;0),OR($I4807="",$I4807="NR",$O4807&gt;0),IF(ISNUMBER($J4807),AND($J4807&gt;=0,$J4807=INT($J4807)),FALSE())),$J4807,0)</f>
        <v>0</v>
      </c>
      <c r="Q4807" s="64" t="n">
        <f aca="false">IF(AND($P4807&gt;0,$O4807&gt;0),$P4807,0)</f>
        <v>0</v>
      </c>
      <c r="R4807" s="64" t="n">
        <f aca="false">IF(AND($Q4807&gt;0,$O4807&gt;=AtRank),$Q4807,0)</f>
        <v>0</v>
      </c>
      <c r="S4807" s="64" t="n">
        <f aca="false">IF(AND($Q4807&gt;0,$O4807&gt;=AboveRank),$Q4807,0)</f>
        <v>0</v>
      </c>
      <c r="T4807" s="64" t="n">
        <f aca="false">IF($K4807="Less",$P4807,0)</f>
        <v>0</v>
      </c>
      <c r="U4807" s="64" t="n">
        <f aca="false">IF($K4807="Expected",$P4807,0)</f>
        <v>0</v>
      </c>
      <c r="V4807" s="64" t="n">
        <f aca="false">IF($K4807="Better",$P4807,0)</f>
        <v>0</v>
      </c>
      <c r="W4807" s="64" t="n">
        <f aca="false">IF($K4807="U – needs rule",$P4807,0)</f>
        <v>0</v>
      </c>
      <c r="X4807" s="64" t="n">
        <f aca="false">IF($K4807="No Start (attainment only)",$P4807,0)</f>
        <v>0</v>
      </c>
    </row>
    <row r="4808" customFormat="false" ht="15" hidden="false" customHeight="false" outlineLevel="0" collapsed="false">
      <c r="A4808" s="60"/>
      <c r="B4808" s="61" t="str">
        <f aca="false">IF($M4808=0,"",INDEX(Classes!$E$6:$E$420,$M4808))</f>
        <v/>
      </c>
      <c r="C4808" s="62" t="str">
        <f aca="false">IF($M4808=0,"",INDEX(Classes!$H$6:$H$420,$M4808))</f>
        <v/>
      </c>
      <c r="D4808" s="61" t="str">
        <f aca="false">IF($M4808=0,"",INDEX(Classes!$B$6:$B$420,$M4808))</f>
        <v/>
      </c>
      <c r="E4808" s="61" t="str">
        <f aca="false">IF($M4808=0,"",INDEX(Classes!$C$6:$C$420,$M4808))</f>
        <v/>
      </c>
      <c r="F4808" s="63"/>
      <c r="G4808" s="63"/>
      <c r="H4808" s="60"/>
      <c r="I4808" s="60"/>
      <c r="J4808" s="63"/>
      <c r="K4808" s="61" t="str">
        <f aca="false">IF($P4808=0,"",IF($F4808="Baseline","— Baseline",IF($O4808=0,"No result",IF($N4808=0,"No Start (attainment only)",IF(OR($N4808=1,$O4808=1),"U – needs rule",INDEX(MxBody,MATCH($I4808,MxCurr,0),MATCH($H4808,MxStart,0)))))))</f>
        <v/>
      </c>
      <c r="L4808" s="62" t="str">
        <f aca="false">IF(COUNTA($A4808,$F4808,$G4808,$H4808,$I4808,$J4808)=0,"",IF($M4808=0,"✖ كود الصف غير موجود",IF(ISNA(MATCH($F4808,Lists!$A$2:$A$5,0)),"✖ الفترة غير صحيحة",IF(ISNA(MATCH($G4808,Lists!$B$2:$B$7,0)),"✖ المجموعة غير صحيحة",IF(NOT(OR($H4808="",$N4808&gt;0)),"✖ Start غير صحيح",IF(NOT(OR($I4808="",$I4808="NR",$O4808&gt;0)),"✖ Current غير صحيح",IF(NOT(IF(ISNUMBER($J4808),AND($J4808&gt;=0,$J4808=INT($J4808)),FALSE())),"✖ العدد يجب أن يكون صحيحًا ≥ 0",IF(AND($F4808="Baseline",$H4808&lt;&gt;""),"⚠ Baseline: Start لا يدخل في التقدم",IF($K4808="No Start (attainment only)","ℹ تحصيل فقط (بدون Start)",IF($K4808="U – needs rule","ℹ حالة U تحتاج قاعدة معتمدة",IF($K4808="No result","ℹ بدون نتيجة (يُستبعد من التحصيل)","OK")))))))))))</f>
        <v/>
      </c>
      <c r="M4808" s="64" t="n">
        <f aca="false">IF($A4808="",0,IFERROR(MATCH($A4808,Classes!$A$6:$A$420,0),0))</f>
        <v>0</v>
      </c>
      <c r="N4808" s="64" t="n">
        <f aca="false">IF($H4808="",0,IFERROR(MATCH($H4808,GradeList,0),0))</f>
        <v>0</v>
      </c>
      <c r="O4808" s="64" t="n">
        <f aca="false">IF(OR($I4808="",$I4808="NR"),0,IFERROR(MATCH($I4808,GradeList,0),0))</f>
        <v>0</v>
      </c>
      <c r="P4808" s="64" t="n">
        <f aca="false">IF(AND($M4808&gt;0,ISNUMBER(MATCH($F4808,Lists!$A$2:$A$5,0)),ISNUMBER(MATCH($G4808,Lists!$B$2:$B$7,0)),OR($H4808="",$N4808&gt;0),OR($I4808="",$I4808="NR",$O4808&gt;0),IF(ISNUMBER($J4808),AND($J4808&gt;=0,$J4808=INT($J4808)),FALSE())),$J4808,0)</f>
        <v>0</v>
      </c>
      <c r="Q4808" s="64" t="n">
        <f aca="false">IF(AND($P4808&gt;0,$O4808&gt;0),$P4808,0)</f>
        <v>0</v>
      </c>
      <c r="R4808" s="64" t="n">
        <f aca="false">IF(AND($Q4808&gt;0,$O4808&gt;=AtRank),$Q4808,0)</f>
        <v>0</v>
      </c>
      <c r="S4808" s="64" t="n">
        <f aca="false">IF(AND($Q4808&gt;0,$O4808&gt;=AboveRank),$Q4808,0)</f>
        <v>0</v>
      </c>
      <c r="T4808" s="64" t="n">
        <f aca="false">IF($K4808="Less",$P4808,0)</f>
        <v>0</v>
      </c>
      <c r="U4808" s="64" t="n">
        <f aca="false">IF($K4808="Expected",$P4808,0)</f>
        <v>0</v>
      </c>
      <c r="V4808" s="64" t="n">
        <f aca="false">IF($K4808="Better",$P4808,0)</f>
        <v>0</v>
      </c>
      <c r="W4808" s="64" t="n">
        <f aca="false">IF($K4808="U – needs rule",$P4808,0)</f>
        <v>0</v>
      </c>
      <c r="X4808" s="64" t="n">
        <f aca="false">IF($K4808="No Start (attainment only)",$P4808,0)</f>
        <v>0</v>
      </c>
    </row>
    <row r="4809" customFormat="false" ht="15" hidden="false" customHeight="false" outlineLevel="0" collapsed="false">
      <c r="A4809" s="60"/>
      <c r="B4809" s="61" t="str">
        <f aca="false">IF($M4809=0,"",INDEX(Classes!$E$6:$E$420,$M4809))</f>
        <v/>
      </c>
      <c r="C4809" s="62" t="str">
        <f aca="false">IF($M4809=0,"",INDEX(Classes!$H$6:$H$420,$M4809))</f>
        <v/>
      </c>
      <c r="D4809" s="61" t="str">
        <f aca="false">IF($M4809=0,"",INDEX(Classes!$B$6:$B$420,$M4809))</f>
        <v/>
      </c>
      <c r="E4809" s="61" t="str">
        <f aca="false">IF($M4809=0,"",INDEX(Classes!$C$6:$C$420,$M4809))</f>
        <v/>
      </c>
      <c r="F4809" s="63"/>
      <c r="G4809" s="63"/>
      <c r="H4809" s="60"/>
      <c r="I4809" s="60"/>
      <c r="J4809" s="63"/>
      <c r="K4809" s="61" t="str">
        <f aca="false">IF($P4809=0,"",IF($F4809="Baseline","— Baseline",IF($O4809=0,"No result",IF($N4809=0,"No Start (attainment only)",IF(OR($N4809=1,$O4809=1),"U – needs rule",INDEX(MxBody,MATCH($I4809,MxCurr,0),MATCH($H4809,MxStart,0)))))))</f>
        <v/>
      </c>
      <c r="L4809" s="62" t="str">
        <f aca="false">IF(COUNTA($A4809,$F4809,$G4809,$H4809,$I4809,$J4809)=0,"",IF($M4809=0,"✖ كود الصف غير موجود",IF(ISNA(MATCH($F4809,Lists!$A$2:$A$5,0)),"✖ الفترة غير صحيحة",IF(ISNA(MATCH($G4809,Lists!$B$2:$B$7,0)),"✖ المجموعة غير صحيحة",IF(NOT(OR($H4809="",$N4809&gt;0)),"✖ Start غير صحيح",IF(NOT(OR($I4809="",$I4809="NR",$O4809&gt;0)),"✖ Current غير صحيح",IF(NOT(IF(ISNUMBER($J4809),AND($J4809&gt;=0,$J4809=INT($J4809)),FALSE())),"✖ العدد يجب أن يكون صحيحًا ≥ 0",IF(AND($F4809="Baseline",$H4809&lt;&gt;""),"⚠ Baseline: Start لا يدخل في التقدم",IF($K4809="No Start (attainment only)","ℹ تحصيل فقط (بدون Start)",IF($K4809="U – needs rule","ℹ حالة U تحتاج قاعدة معتمدة",IF($K4809="No result","ℹ بدون نتيجة (يُستبعد من التحصيل)","OK")))))))))))</f>
        <v/>
      </c>
      <c r="M4809" s="64" t="n">
        <f aca="false">IF($A4809="",0,IFERROR(MATCH($A4809,Classes!$A$6:$A$420,0),0))</f>
        <v>0</v>
      </c>
      <c r="N4809" s="64" t="n">
        <f aca="false">IF($H4809="",0,IFERROR(MATCH($H4809,GradeList,0),0))</f>
        <v>0</v>
      </c>
      <c r="O4809" s="64" t="n">
        <f aca="false">IF(OR($I4809="",$I4809="NR"),0,IFERROR(MATCH($I4809,GradeList,0),0))</f>
        <v>0</v>
      </c>
      <c r="P4809" s="64" t="n">
        <f aca="false">IF(AND($M4809&gt;0,ISNUMBER(MATCH($F4809,Lists!$A$2:$A$5,0)),ISNUMBER(MATCH($G4809,Lists!$B$2:$B$7,0)),OR($H4809="",$N4809&gt;0),OR($I4809="",$I4809="NR",$O4809&gt;0),IF(ISNUMBER($J4809),AND($J4809&gt;=0,$J4809=INT($J4809)),FALSE())),$J4809,0)</f>
        <v>0</v>
      </c>
      <c r="Q4809" s="64" t="n">
        <f aca="false">IF(AND($P4809&gt;0,$O4809&gt;0),$P4809,0)</f>
        <v>0</v>
      </c>
      <c r="R4809" s="64" t="n">
        <f aca="false">IF(AND($Q4809&gt;0,$O4809&gt;=AtRank),$Q4809,0)</f>
        <v>0</v>
      </c>
      <c r="S4809" s="64" t="n">
        <f aca="false">IF(AND($Q4809&gt;0,$O4809&gt;=AboveRank),$Q4809,0)</f>
        <v>0</v>
      </c>
      <c r="T4809" s="64" t="n">
        <f aca="false">IF($K4809="Less",$P4809,0)</f>
        <v>0</v>
      </c>
      <c r="U4809" s="64" t="n">
        <f aca="false">IF($K4809="Expected",$P4809,0)</f>
        <v>0</v>
      </c>
      <c r="V4809" s="64" t="n">
        <f aca="false">IF($K4809="Better",$P4809,0)</f>
        <v>0</v>
      </c>
      <c r="W4809" s="64" t="n">
        <f aca="false">IF($K4809="U – needs rule",$P4809,0)</f>
        <v>0</v>
      </c>
      <c r="X4809" s="64" t="n">
        <f aca="false">IF($K4809="No Start (attainment only)",$P4809,0)</f>
        <v>0</v>
      </c>
    </row>
    <row r="4810" customFormat="false" ht="15" hidden="false" customHeight="false" outlineLevel="0" collapsed="false">
      <c r="A4810" s="60"/>
      <c r="B4810" s="61" t="str">
        <f aca="false">IF($M4810=0,"",INDEX(Classes!$E$6:$E$420,$M4810))</f>
        <v/>
      </c>
      <c r="C4810" s="62" t="str">
        <f aca="false">IF($M4810=0,"",INDEX(Classes!$H$6:$H$420,$M4810))</f>
        <v/>
      </c>
      <c r="D4810" s="61" t="str">
        <f aca="false">IF($M4810=0,"",INDEX(Classes!$B$6:$B$420,$M4810))</f>
        <v/>
      </c>
      <c r="E4810" s="61" t="str">
        <f aca="false">IF($M4810=0,"",INDEX(Classes!$C$6:$C$420,$M4810))</f>
        <v/>
      </c>
      <c r="F4810" s="63"/>
      <c r="G4810" s="63"/>
      <c r="H4810" s="60"/>
      <c r="I4810" s="60"/>
      <c r="J4810" s="63"/>
      <c r="K4810" s="61" t="str">
        <f aca="false">IF($P4810=0,"",IF($F4810="Baseline","— Baseline",IF($O4810=0,"No result",IF($N4810=0,"No Start (attainment only)",IF(OR($N4810=1,$O4810=1),"U – needs rule",INDEX(MxBody,MATCH($I4810,MxCurr,0),MATCH($H4810,MxStart,0)))))))</f>
        <v/>
      </c>
      <c r="L4810" s="62" t="str">
        <f aca="false">IF(COUNTA($A4810,$F4810,$G4810,$H4810,$I4810,$J4810)=0,"",IF($M4810=0,"✖ كود الصف غير موجود",IF(ISNA(MATCH($F4810,Lists!$A$2:$A$5,0)),"✖ الفترة غير صحيحة",IF(ISNA(MATCH($G4810,Lists!$B$2:$B$7,0)),"✖ المجموعة غير صحيحة",IF(NOT(OR($H4810="",$N4810&gt;0)),"✖ Start غير صحيح",IF(NOT(OR($I4810="",$I4810="NR",$O4810&gt;0)),"✖ Current غير صحيح",IF(NOT(IF(ISNUMBER($J4810),AND($J4810&gt;=0,$J4810=INT($J4810)),FALSE())),"✖ العدد يجب أن يكون صحيحًا ≥ 0",IF(AND($F4810="Baseline",$H4810&lt;&gt;""),"⚠ Baseline: Start لا يدخل في التقدم",IF($K4810="No Start (attainment only)","ℹ تحصيل فقط (بدون Start)",IF($K4810="U – needs rule","ℹ حالة U تحتاج قاعدة معتمدة",IF($K4810="No result","ℹ بدون نتيجة (يُستبعد من التحصيل)","OK")))))))))))</f>
        <v/>
      </c>
      <c r="M4810" s="64" t="n">
        <f aca="false">IF($A4810="",0,IFERROR(MATCH($A4810,Classes!$A$6:$A$420,0),0))</f>
        <v>0</v>
      </c>
      <c r="N4810" s="64" t="n">
        <f aca="false">IF($H4810="",0,IFERROR(MATCH($H4810,GradeList,0),0))</f>
        <v>0</v>
      </c>
      <c r="O4810" s="64" t="n">
        <f aca="false">IF(OR($I4810="",$I4810="NR"),0,IFERROR(MATCH($I4810,GradeList,0),0))</f>
        <v>0</v>
      </c>
      <c r="P4810" s="64" t="n">
        <f aca="false">IF(AND($M4810&gt;0,ISNUMBER(MATCH($F4810,Lists!$A$2:$A$5,0)),ISNUMBER(MATCH($G4810,Lists!$B$2:$B$7,0)),OR($H4810="",$N4810&gt;0),OR($I4810="",$I4810="NR",$O4810&gt;0),IF(ISNUMBER($J4810),AND($J4810&gt;=0,$J4810=INT($J4810)),FALSE())),$J4810,0)</f>
        <v>0</v>
      </c>
      <c r="Q4810" s="64" t="n">
        <f aca="false">IF(AND($P4810&gt;0,$O4810&gt;0),$P4810,0)</f>
        <v>0</v>
      </c>
      <c r="R4810" s="64" t="n">
        <f aca="false">IF(AND($Q4810&gt;0,$O4810&gt;=AtRank),$Q4810,0)</f>
        <v>0</v>
      </c>
      <c r="S4810" s="64" t="n">
        <f aca="false">IF(AND($Q4810&gt;0,$O4810&gt;=AboveRank),$Q4810,0)</f>
        <v>0</v>
      </c>
      <c r="T4810" s="64" t="n">
        <f aca="false">IF($K4810="Less",$P4810,0)</f>
        <v>0</v>
      </c>
      <c r="U4810" s="64" t="n">
        <f aca="false">IF($K4810="Expected",$P4810,0)</f>
        <v>0</v>
      </c>
      <c r="V4810" s="64" t="n">
        <f aca="false">IF($K4810="Better",$P4810,0)</f>
        <v>0</v>
      </c>
      <c r="W4810" s="64" t="n">
        <f aca="false">IF($K4810="U – needs rule",$P4810,0)</f>
        <v>0</v>
      </c>
      <c r="X4810" s="64" t="n">
        <f aca="false">IF($K4810="No Start (attainment only)",$P4810,0)</f>
        <v>0</v>
      </c>
    </row>
    <row r="4811" customFormat="false" ht="15" hidden="false" customHeight="false" outlineLevel="0" collapsed="false">
      <c r="A4811" s="60"/>
      <c r="B4811" s="61" t="str">
        <f aca="false">IF($M4811=0,"",INDEX(Classes!$E$6:$E$420,$M4811))</f>
        <v/>
      </c>
      <c r="C4811" s="62" t="str">
        <f aca="false">IF($M4811=0,"",INDEX(Classes!$H$6:$H$420,$M4811))</f>
        <v/>
      </c>
      <c r="D4811" s="61" t="str">
        <f aca="false">IF($M4811=0,"",INDEX(Classes!$B$6:$B$420,$M4811))</f>
        <v/>
      </c>
      <c r="E4811" s="61" t="str">
        <f aca="false">IF($M4811=0,"",INDEX(Classes!$C$6:$C$420,$M4811))</f>
        <v/>
      </c>
      <c r="F4811" s="63"/>
      <c r="G4811" s="63"/>
      <c r="H4811" s="60"/>
      <c r="I4811" s="60"/>
      <c r="J4811" s="63"/>
      <c r="K4811" s="61" t="str">
        <f aca="false">IF($P4811=0,"",IF($F4811="Baseline","— Baseline",IF($O4811=0,"No result",IF($N4811=0,"No Start (attainment only)",IF(OR($N4811=1,$O4811=1),"U – needs rule",INDEX(MxBody,MATCH($I4811,MxCurr,0),MATCH($H4811,MxStart,0)))))))</f>
        <v/>
      </c>
      <c r="L4811" s="62" t="str">
        <f aca="false">IF(COUNTA($A4811,$F4811,$G4811,$H4811,$I4811,$J4811)=0,"",IF($M4811=0,"✖ كود الصف غير موجود",IF(ISNA(MATCH($F4811,Lists!$A$2:$A$5,0)),"✖ الفترة غير صحيحة",IF(ISNA(MATCH($G4811,Lists!$B$2:$B$7,0)),"✖ المجموعة غير صحيحة",IF(NOT(OR($H4811="",$N4811&gt;0)),"✖ Start غير صحيح",IF(NOT(OR($I4811="",$I4811="NR",$O4811&gt;0)),"✖ Current غير صحيح",IF(NOT(IF(ISNUMBER($J4811),AND($J4811&gt;=0,$J4811=INT($J4811)),FALSE())),"✖ العدد يجب أن يكون صحيحًا ≥ 0",IF(AND($F4811="Baseline",$H4811&lt;&gt;""),"⚠ Baseline: Start لا يدخل في التقدم",IF($K4811="No Start (attainment only)","ℹ تحصيل فقط (بدون Start)",IF($K4811="U – needs rule","ℹ حالة U تحتاج قاعدة معتمدة",IF($K4811="No result","ℹ بدون نتيجة (يُستبعد من التحصيل)","OK")))))))))))</f>
        <v/>
      </c>
      <c r="M4811" s="64" t="n">
        <f aca="false">IF($A4811="",0,IFERROR(MATCH($A4811,Classes!$A$6:$A$420,0),0))</f>
        <v>0</v>
      </c>
      <c r="N4811" s="64" t="n">
        <f aca="false">IF($H4811="",0,IFERROR(MATCH($H4811,GradeList,0),0))</f>
        <v>0</v>
      </c>
      <c r="O4811" s="64" t="n">
        <f aca="false">IF(OR($I4811="",$I4811="NR"),0,IFERROR(MATCH($I4811,GradeList,0),0))</f>
        <v>0</v>
      </c>
      <c r="P4811" s="64" t="n">
        <f aca="false">IF(AND($M4811&gt;0,ISNUMBER(MATCH($F4811,Lists!$A$2:$A$5,0)),ISNUMBER(MATCH($G4811,Lists!$B$2:$B$7,0)),OR($H4811="",$N4811&gt;0),OR($I4811="",$I4811="NR",$O4811&gt;0),IF(ISNUMBER($J4811),AND($J4811&gt;=0,$J4811=INT($J4811)),FALSE())),$J4811,0)</f>
        <v>0</v>
      </c>
      <c r="Q4811" s="64" t="n">
        <f aca="false">IF(AND($P4811&gt;0,$O4811&gt;0),$P4811,0)</f>
        <v>0</v>
      </c>
      <c r="R4811" s="64" t="n">
        <f aca="false">IF(AND($Q4811&gt;0,$O4811&gt;=AtRank),$Q4811,0)</f>
        <v>0</v>
      </c>
      <c r="S4811" s="64" t="n">
        <f aca="false">IF(AND($Q4811&gt;0,$O4811&gt;=AboveRank),$Q4811,0)</f>
        <v>0</v>
      </c>
      <c r="T4811" s="64" t="n">
        <f aca="false">IF($K4811="Less",$P4811,0)</f>
        <v>0</v>
      </c>
      <c r="U4811" s="64" t="n">
        <f aca="false">IF($K4811="Expected",$P4811,0)</f>
        <v>0</v>
      </c>
      <c r="V4811" s="64" t="n">
        <f aca="false">IF($K4811="Better",$P4811,0)</f>
        <v>0</v>
      </c>
      <c r="W4811" s="64" t="n">
        <f aca="false">IF($K4811="U – needs rule",$P4811,0)</f>
        <v>0</v>
      </c>
      <c r="X4811" s="64" t="n">
        <f aca="false">IF($K4811="No Start (attainment only)",$P4811,0)</f>
        <v>0</v>
      </c>
    </row>
    <row r="4812" customFormat="false" ht="15" hidden="false" customHeight="false" outlineLevel="0" collapsed="false">
      <c r="A4812" s="60"/>
      <c r="B4812" s="61" t="str">
        <f aca="false">IF($M4812=0,"",INDEX(Classes!$E$6:$E$420,$M4812))</f>
        <v/>
      </c>
      <c r="C4812" s="62" t="str">
        <f aca="false">IF($M4812=0,"",INDEX(Classes!$H$6:$H$420,$M4812))</f>
        <v/>
      </c>
      <c r="D4812" s="61" t="str">
        <f aca="false">IF($M4812=0,"",INDEX(Classes!$B$6:$B$420,$M4812))</f>
        <v/>
      </c>
      <c r="E4812" s="61" t="str">
        <f aca="false">IF($M4812=0,"",INDEX(Classes!$C$6:$C$420,$M4812))</f>
        <v/>
      </c>
      <c r="F4812" s="63"/>
      <c r="G4812" s="63"/>
      <c r="H4812" s="60"/>
      <c r="I4812" s="60"/>
      <c r="J4812" s="63"/>
      <c r="K4812" s="61" t="str">
        <f aca="false">IF($P4812=0,"",IF($F4812="Baseline","— Baseline",IF($O4812=0,"No result",IF($N4812=0,"No Start (attainment only)",IF(OR($N4812=1,$O4812=1),"U – needs rule",INDEX(MxBody,MATCH($I4812,MxCurr,0),MATCH($H4812,MxStart,0)))))))</f>
        <v/>
      </c>
      <c r="L4812" s="62" t="str">
        <f aca="false">IF(COUNTA($A4812,$F4812,$G4812,$H4812,$I4812,$J4812)=0,"",IF($M4812=0,"✖ كود الصف غير موجود",IF(ISNA(MATCH($F4812,Lists!$A$2:$A$5,0)),"✖ الفترة غير صحيحة",IF(ISNA(MATCH($G4812,Lists!$B$2:$B$7,0)),"✖ المجموعة غير صحيحة",IF(NOT(OR($H4812="",$N4812&gt;0)),"✖ Start غير صحيح",IF(NOT(OR($I4812="",$I4812="NR",$O4812&gt;0)),"✖ Current غير صحيح",IF(NOT(IF(ISNUMBER($J4812),AND($J4812&gt;=0,$J4812=INT($J4812)),FALSE())),"✖ العدد يجب أن يكون صحيحًا ≥ 0",IF(AND($F4812="Baseline",$H4812&lt;&gt;""),"⚠ Baseline: Start لا يدخل في التقدم",IF($K4812="No Start (attainment only)","ℹ تحصيل فقط (بدون Start)",IF($K4812="U – needs rule","ℹ حالة U تحتاج قاعدة معتمدة",IF($K4812="No result","ℹ بدون نتيجة (يُستبعد من التحصيل)","OK")))))))))))</f>
        <v/>
      </c>
      <c r="M4812" s="64" t="n">
        <f aca="false">IF($A4812="",0,IFERROR(MATCH($A4812,Classes!$A$6:$A$420,0),0))</f>
        <v>0</v>
      </c>
      <c r="N4812" s="64" t="n">
        <f aca="false">IF($H4812="",0,IFERROR(MATCH($H4812,GradeList,0),0))</f>
        <v>0</v>
      </c>
      <c r="O4812" s="64" t="n">
        <f aca="false">IF(OR($I4812="",$I4812="NR"),0,IFERROR(MATCH($I4812,GradeList,0),0))</f>
        <v>0</v>
      </c>
      <c r="P4812" s="64" t="n">
        <f aca="false">IF(AND($M4812&gt;0,ISNUMBER(MATCH($F4812,Lists!$A$2:$A$5,0)),ISNUMBER(MATCH($G4812,Lists!$B$2:$B$7,0)),OR($H4812="",$N4812&gt;0),OR($I4812="",$I4812="NR",$O4812&gt;0),IF(ISNUMBER($J4812),AND($J4812&gt;=0,$J4812=INT($J4812)),FALSE())),$J4812,0)</f>
        <v>0</v>
      </c>
      <c r="Q4812" s="64" t="n">
        <f aca="false">IF(AND($P4812&gt;0,$O4812&gt;0),$P4812,0)</f>
        <v>0</v>
      </c>
      <c r="R4812" s="64" t="n">
        <f aca="false">IF(AND($Q4812&gt;0,$O4812&gt;=AtRank),$Q4812,0)</f>
        <v>0</v>
      </c>
      <c r="S4812" s="64" t="n">
        <f aca="false">IF(AND($Q4812&gt;0,$O4812&gt;=AboveRank),$Q4812,0)</f>
        <v>0</v>
      </c>
      <c r="T4812" s="64" t="n">
        <f aca="false">IF($K4812="Less",$P4812,0)</f>
        <v>0</v>
      </c>
      <c r="U4812" s="64" t="n">
        <f aca="false">IF($K4812="Expected",$P4812,0)</f>
        <v>0</v>
      </c>
      <c r="V4812" s="64" t="n">
        <f aca="false">IF($K4812="Better",$P4812,0)</f>
        <v>0</v>
      </c>
      <c r="W4812" s="64" t="n">
        <f aca="false">IF($K4812="U – needs rule",$P4812,0)</f>
        <v>0</v>
      </c>
      <c r="X4812" s="64" t="n">
        <f aca="false">IF($K4812="No Start (attainment only)",$P4812,0)</f>
        <v>0</v>
      </c>
    </row>
    <row r="4813" customFormat="false" ht="15" hidden="false" customHeight="false" outlineLevel="0" collapsed="false">
      <c r="A4813" s="60"/>
      <c r="B4813" s="61" t="str">
        <f aca="false">IF($M4813=0,"",INDEX(Classes!$E$6:$E$420,$M4813))</f>
        <v/>
      </c>
      <c r="C4813" s="62" t="str">
        <f aca="false">IF($M4813=0,"",INDEX(Classes!$H$6:$H$420,$M4813))</f>
        <v/>
      </c>
      <c r="D4813" s="61" t="str">
        <f aca="false">IF($M4813=0,"",INDEX(Classes!$B$6:$B$420,$M4813))</f>
        <v/>
      </c>
      <c r="E4813" s="61" t="str">
        <f aca="false">IF($M4813=0,"",INDEX(Classes!$C$6:$C$420,$M4813))</f>
        <v/>
      </c>
      <c r="F4813" s="63"/>
      <c r="G4813" s="63"/>
      <c r="H4813" s="60"/>
      <c r="I4813" s="60"/>
      <c r="J4813" s="63"/>
      <c r="K4813" s="61" t="str">
        <f aca="false">IF($P4813=0,"",IF($F4813="Baseline","— Baseline",IF($O4813=0,"No result",IF($N4813=0,"No Start (attainment only)",IF(OR($N4813=1,$O4813=1),"U – needs rule",INDEX(MxBody,MATCH($I4813,MxCurr,0),MATCH($H4813,MxStart,0)))))))</f>
        <v/>
      </c>
      <c r="L4813" s="62" t="str">
        <f aca="false">IF(COUNTA($A4813,$F4813,$G4813,$H4813,$I4813,$J4813)=0,"",IF($M4813=0,"✖ كود الصف غير موجود",IF(ISNA(MATCH($F4813,Lists!$A$2:$A$5,0)),"✖ الفترة غير صحيحة",IF(ISNA(MATCH($G4813,Lists!$B$2:$B$7,0)),"✖ المجموعة غير صحيحة",IF(NOT(OR($H4813="",$N4813&gt;0)),"✖ Start غير صحيح",IF(NOT(OR($I4813="",$I4813="NR",$O4813&gt;0)),"✖ Current غير صحيح",IF(NOT(IF(ISNUMBER($J4813),AND($J4813&gt;=0,$J4813=INT($J4813)),FALSE())),"✖ العدد يجب أن يكون صحيحًا ≥ 0",IF(AND($F4813="Baseline",$H4813&lt;&gt;""),"⚠ Baseline: Start لا يدخل في التقدم",IF($K4813="No Start (attainment only)","ℹ تحصيل فقط (بدون Start)",IF($K4813="U – needs rule","ℹ حالة U تحتاج قاعدة معتمدة",IF($K4813="No result","ℹ بدون نتيجة (يُستبعد من التحصيل)","OK")))))))))))</f>
        <v/>
      </c>
      <c r="M4813" s="64" t="n">
        <f aca="false">IF($A4813="",0,IFERROR(MATCH($A4813,Classes!$A$6:$A$420,0),0))</f>
        <v>0</v>
      </c>
      <c r="N4813" s="64" t="n">
        <f aca="false">IF($H4813="",0,IFERROR(MATCH($H4813,GradeList,0),0))</f>
        <v>0</v>
      </c>
      <c r="O4813" s="64" t="n">
        <f aca="false">IF(OR($I4813="",$I4813="NR"),0,IFERROR(MATCH($I4813,GradeList,0),0))</f>
        <v>0</v>
      </c>
      <c r="P4813" s="64" t="n">
        <f aca="false">IF(AND($M4813&gt;0,ISNUMBER(MATCH($F4813,Lists!$A$2:$A$5,0)),ISNUMBER(MATCH($G4813,Lists!$B$2:$B$7,0)),OR($H4813="",$N4813&gt;0),OR($I4813="",$I4813="NR",$O4813&gt;0),IF(ISNUMBER($J4813),AND($J4813&gt;=0,$J4813=INT($J4813)),FALSE())),$J4813,0)</f>
        <v>0</v>
      </c>
      <c r="Q4813" s="64" t="n">
        <f aca="false">IF(AND($P4813&gt;0,$O4813&gt;0),$P4813,0)</f>
        <v>0</v>
      </c>
      <c r="R4813" s="64" t="n">
        <f aca="false">IF(AND($Q4813&gt;0,$O4813&gt;=AtRank),$Q4813,0)</f>
        <v>0</v>
      </c>
      <c r="S4813" s="64" t="n">
        <f aca="false">IF(AND($Q4813&gt;0,$O4813&gt;=AboveRank),$Q4813,0)</f>
        <v>0</v>
      </c>
      <c r="T4813" s="64" t="n">
        <f aca="false">IF($K4813="Less",$P4813,0)</f>
        <v>0</v>
      </c>
      <c r="U4813" s="64" t="n">
        <f aca="false">IF($K4813="Expected",$P4813,0)</f>
        <v>0</v>
      </c>
      <c r="V4813" s="64" t="n">
        <f aca="false">IF($K4813="Better",$P4813,0)</f>
        <v>0</v>
      </c>
      <c r="W4813" s="64" t="n">
        <f aca="false">IF($K4813="U – needs rule",$P4813,0)</f>
        <v>0</v>
      </c>
      <c r="X4813" s="64" t="n">
        <f aca="false">IF($K4813="No Start (attainment only)",$P4813,0)</f>
        <v>0</v>
      </c>
    </row>
    <row r="4814" customFormat="false" ht="15" hidden="false" customHeight="false" outlineLevel="0" collapsed="false">
      <c r="A4814" s="60"/>
      <c r="B4814" s="61" t="str">
        <f aca="false">IF($M4814=0,"",INDEX(Classes!$E$6:$E$420,$M4814))</f>
        <v/>
      </c>
      <c r="C4814" s="62" t="str">
        <f aca="false">IF($M4814=0,"",INDEX(Classes!$H$6:$H$420,$M4814))</f>
        <v/>
      </c>
      <c r="D4814" s="61" t="str">
        <f aca="false">IF($M4814=0,"",INDEX(Classes!$B$6:$B$420,$M4814))</f>
        <v/>
      </c>
      <c r="E4814" s="61" t="str">
        <f aca="false">IF($M4814=0,"",INDEX(Classes!$C$6:$C$420,$M4814))</f>
        <v/>
      </c>
      <c r="F4814" s="63"/>
      <c r="G4814" s="63"/>
      <c r="H4814" s="60"/>
      <c r="I4814" s="60"/>
      <c r="J4814" s="63"/>
      <c r="K4814" s="61" t="str">
        <f aca="false">IF($P4814=0,"",IF($F4814="Baseline","— Baseline",IF($O4814=0,"No result",IF($N4814=0,"No Start (attainment only)",IF(OR($N4814=1,$O4814=1),"U – needs rule",INDEX(MxBody,MATCH($I4814,MxCurr,0),MATCH($H4814,MxStart,0)))))))</f>
        <v/>
      </c>
      <c r="L4814" s="62" t="str">
        <f aca="false">IF(COUNTA($A4814,$F4814,$G4814,$H4814,$I4814,$J4814)=0,"",IF($M4814=0,"✖ كود الصف غير موجود",IF(ISNA(MATCH($F4814,Lists!$A$2:$A$5,0)),"✖ الفترة غير صحيحة",IF(ISNA(MATCH($G4814,Lists!$B$2:$B$7,0)),"✖ المجموعة غير صحيحة",IF(NOT(OR($H4814="",$N4814&gt;0)),"✖ Start غير صحيح",IF(NOT(OR($I4814="",$I4814="NR",$O4814&gt;0)),"✖ Current غير صحيح",IF(NOT(IF(ISNUMBER($J4814),AND($J4814&gt;=0,$J4814=INT($J4814)),FALSE())),"✖ العدد يجب أن يكون صحيحًا ≥ 0",IF(AND($F4814="Baseline",$H4814&lt;&gt;""),"⚠ Baseline: Start لا يدخل في التقدم",IF($K4814="No Start (attainment only)","ℹ تحصيل فقط (بدون Start)",IF($K4814="U – needs rule","ℹ حالة U تحتاج قاعدة معتمدة",IF($K4814="No result","ℹ بدون نتيجة (يُستبعد من التحصيل)","OK")))))))))))</f>
        <v/>
      </c>
      <c r="M4814" s="64" t="n">
        <f aca="false">IF($A4814="",0,IFERROR(MATCH($A4814,Classes!$A$6:$A$420,0),0))</f>
        <v>0</v>
      </c>
      <c r="N4814" s="64" t="n">
        <f aca="false">IF($H4814="",0,IFERROR(MATCH($H4814,GradeList,0),0))</f>
        <v>0</v>
      </c>
      <c r="O4814" s="64" t="n">
        <f aca="false">IF(OR($I4814="",$I4814="NR"),0,IFERROR(MATCH($I4814,GradeList,0),0))</f>
        <v>0</v>
      </c>
      <c r="P4814" s="64" t="n">
        <f aca="false">IF(AND($M4814&gt;0,ISNUMBER(MATCH($F4814,Lists!$A$2:$A$5,0)),ISNUMBER(MATCH($G4814,Lists!$B$2:$B$7,0)),OR($H4814="",$N4814&gt;0),OR($I4814="",$I4814="NR",$O4814&gt;0),IF(ISNUMBER($J4814),AND($J4814&gt;=0,$J4814=INT($J4814)),FALSE())),$J4814,0)</f>
        <v>0</v>
      </c>
      <c r="Q4814" s="64" t="n">
        <f aca="false">IF(AND($P4814&gt;0,$O4814&gt;0),$P4814,0)</f>
        <v>0</v>
      </c>
      <c r="R4814" s="64" t="n">
        <f aca="false">IF(AND($Q4814&gt;0,$O4814&gt;=AtRank),$Q4814,0)</f>
        <v>0</v>
      </c>
      <c r="S4814" s="64" t="n">
        <f aca="false">IF(AND($Q4814&gt;0,$O4814&gt;=AboveRank),$Q4814,0)</f>
        <v>0</v>
      </c>
      <c r="T4814" s="64" t="n">
        <f aca="false">IF($K4814="Less",$P4814,0)</f>
        <v>0</v>
      </c>
      <c r="U4814" s="64" t="n">
        <f aca="false">IF($K4814="Expected",$P4814,0)</f>
        <v>0</v>
      </c>
      <c r="V4814" s="64" t="n">
        <f aca="false">IF($K4814="Better",$P4814,0)</f>
        <v>0</v>
      </c>
      <c r="W4814" s="64" t="n">
        <f aca="false">IF($K4814="U – needs rule",$P4814,0)</f>
        <v>0</v>
      </c>
      <c r="X4814" s="64" t="n">
        <f aca="false">IF($K4814="No Start (attainment only)",$P4814,0)</f>
        <v>0</v>
      </c>
    </row>
    <row r="4815" customFormat="false" ht="15" hidden="false" customHeight="false" outlineLevel="0" collapsed="false">
      <c r="A4815" s="60"/>
      <c r="B4815" s="61" t="str">
        <f aca="false">IF($M4815=0,"",INDEX(Classes!$E$6:$E$420,$M4815))</f>
        <v/>
      </c>
      <c r="C4815" s="62" t="str">
        <f aca="false">IF($M4815=0,"",INDEX(Classes!$H$6:$H$420,$M4815))</f>
        <v/>
      </c>
      <c r="D4815" s="61" t="str">
        <f aca="false">IF($M4815=0,"",INDEX(Classes!$B$6:$B$420,$M4815))</f>
        <v/>
      </c>
      <c r="E4815" s="61" t="str">
        <f aca="false">IF($M4815=0,"",INDEX(Classes!$C$6:$C$420,$M4815))</f>
        <v/>
      </c>
      <c r="F4815" s="63"/>
      <c r="G4815" s="63"/>
      <c r="H4815" s="60"/>
      <c r="I4815" s="60"/>
      <c r="J4815" s="63"/>
      <c r="K4815" s="61" t="str">
        <f aca="false">IF($P4815=0,"",IF($F4815="Baseline","— Baseline",IF($O4815=0,"No result",IF($N4815=0,"No Start (attainment only)",IF(OR($N4815=1,$O4815=1),"U – needs rule",INDEX(MxBody,MATCH($I4815,MxCurr,0),MATCH($H4815,MxStart,0)))))))</f>
        <v/>
      </c>
      <c r="L4815" s="62" t="str">
        <f aca="false">IF(COUNTA($A4815,$F4815,$G4815,$H4815,$I4815,$J4815)=0,"",IF($M4815=0,"✖ كود الصف غير موجود",IF(ISNA(MATCH($F4815,Lists!$A$2:$A$5,0)),"✖ الفترة غير صحيحة",IF(ISNA(MATCH($G4815,Lists!$B$2:$B$7,0)),"✖ المجموعة غير صحيحة",IF(NOT(OR($H4815="",$N4815&gt;0)),"✖ Start غير صحيح",IF(NOT(OR($I4815="",$I4815="NR",$O4815&gt;0)),"✖ Current غير صحيح",IF(NOT(IF(ISNUMBER($J4815),AND($J4815&gt;=0,$J4815=INT($J4815)),FALSE())),"✖ العدد يجب أن يكون صحيحًا ≥ 0",IF(AND($F4815="Baseline",$H4815&lt;&gt;""),"⚠ Baseline: Start لا يدخل في التقدم",IF($K4815="No Start (attainment only)","ℹ تحصيل فقط (بدون Start)",IF($K4815="U – needs rule","ℹ حالة U تحتاج قاعدة معتمدة",IF($K4815="No result","ℹ بدون نتيجة (يُستبعد من التحصيل)","OK")))))))))))</f>
        <v/>
      </c>
      <c r="M4815" s="64" t="n">
        <f aca="false">IF($A4815="",0,IFERROR(MATCH($A4815,Classes!$A$6:$A$420,0),0))</f>
        <v>0</v>
      </c>
      <c r="N4815" s="64" t="n">
        <f aca="false">IF($H4815="",0,IFERROR(MATCH($H4815,GradeList,0),0))</f>
        <v>0</v>
      </c>
      <c r="O4815" s="64" t="n">
        <f aca="false">IF(OR($I4815="",$I4815="NR"),0,IFERROR(MATCH($I4815,GradeList,0),0))</f>
        <v>0</v>
      </c>
      <c r="P4815" s="64" t="n">
        <f aca="false">IF(AND($M4815&gt;0,ISNUMBER(MATCH($F4815,Lists!$A$2:$A$5,0)),ISNUMBER(MATCH($G4815,Lists!$B$2:$B$7,0)),OR($H4815="",$N4815&gt;0),OR($I4815="",$I4815="NR",$O4815&gt;0),IF(ISNUMBER($J4815),AND($J4815&gt;=0,$J4815=INT($J4815)),FALSE())),$J4815,0)</f>
        <v>0</v>
      </c>
      <c r="Q4815" s="64" t="n">
        <f aca="false">IF(AND($P4815&gt;0,$O4815&gt;0),$P4815,0)</f>
        <v>0</v>
      </c>
      <c r="R4815" s="64" t="n">
        <f aca="false">IF(AND($Q4815&gt;0,$O4815&gt;=AtRank),$Q4815,0)</f>
        <v>0</v>
      </c>
      <c r="S4815" s="64" t="n">
        <f aca="false">IF(AND($Q4815&gt;0,$O4815&gt;=AboveRank),$Q4815,0)</f>
        <v>0</v>
      </c>
      <c r="T4815" s="64" t="n">
        <f aca="false">IF($K4815="Less",$P4815,0)</f>
        <v>0</v>
      </c>
      <c r="U4815" s="64" t="n">
        <f aca="false">IF($K4815="Expected",$P4815,0)</f>
        <v>0</v>
      </c>
      <c r="V4815" s="64" t="n">
        <f aca="false">IF($K4815="Better",$P4815,0)</f>
        <v>0</v>
      </c>
      <c r="W4815" s="64" t="n">
        <f aca="false">IF($K4815="U – needs rule",$P4815,0)</f>
        <v>0</v>
      </c>
      <c r="X4815" s="64" t="n">
        <f aca="false">IF($K4815="No Start (attainment only)",$P4815,0)</f>
        <v>0</v>
      </c>
    </row>
    <row r="4816" customFormat="false" ht="15" hidden="false" customHeight="false" outlineLevel="0" collapsed="false">
      <c r="A4816" s="60"/>
      <c r="B4816" s="61" t="str">
        <f aca="false">IF($M4816=0,"",INDEX(Classes!$E$6:$E$420,$M4816))</f>
        <v/>
      </c>
      <c r="C4816" s="62" t="str">
        <f aca="false">IF($M4816=0,"",INDEX(Classes!$H$6:$H$420,$M4816))</f>
        <v/>
      </c>
      <c r="D4816" s="61" t="str">
        <f aca="false">IF($M4816=0,"",INDEX(Classes!$B$6:$B$420,$M4816))</f>
        <v/>
      </c>
      <c r="E4816" s="61" t="str">
        <f aca="false">IF($M4816=0,"",INDEX(Classes!$C$6:$C$420,$M4816))</f>
        <v/>
      </c>
      <c r="F4816" s="63"/>
      <c r="G4816" s="63"/>
      <c r="H4816" s="60"/>
      <c r="I4816" s="60"/>
      <c r="J4816" s="63"/>
      <c r="K4816" s="61" t="str">
        <f aca="false">IF($P4816=0,"",IF($F4816="Baseline","— Baseline",IF($O4816=0,"No result",IF($N4816=0,"No Start (attainment only)",IF(OR($N4816=1,$O4816=1),"U – needs rule",INDEX(MxBody,MATCH($I4816,MxCurr,0),MATCH($H4816,MxStart,0)))))))</f>
        <v/>
      </c>
      <c r="L4816" s="62" t="str">
        <f aca="false">IF(COUNTA($A4816,$F4816,$G4816,$H4816,$I4816,$J4816)=0,"",IF($M4816=0,"✖ كود الصف غير موجود",IF(ISNA(MATCH($F4816,Lists!$A$2:$A$5,0)),"✖ الفترة غير صحيحة",IF(ISNA(MATCH($G4816,Lists!$B$2:$B$7,0)),"✖ المجموعة غير صحيحة",IF(NOT(OR($H4816="",$N4816&gt;0)),"✖ Start غير صحيح",IF(NOT(OR($I4816="",$I4816="NR",$O4816&gt;0)),"✖ Current غير صحيح",IF(NOT(IF(ISNUMBER($J4816),AND($J4816&gt;=0,$J4816=INT($J4816)),FALSE())),"✖ العدد يجب أن يكون صحيحًا ≥ 0",IF(AND($F4816="Baseline",$H4816&lt;&gt;""),"⚠ Baseline: Start لا يدخل في التقدم",IF($K4816="No Start (attainment only)","ℹ تحصيل فقط (بدون Start)",IF($K4816="U – needs rule","ℹ حالة U تحتاج قاعدة معتمدة",IF($K4816="No result","ℹ بدون نتيجة (يُستبعد من التحصيل)","OK")))))))))))</f>
        <v/>
      </c>
      <c r="M4816" s="64" t="n">
        <f aca="false">IF($A4816="",0,IFERROR(MATCH($A4816,Classes!$A$6:$A$420,0),0))</f>
        <v>0</v>
      </c>
      <c r="N4816" s="64" t="n">
        <f aca="false">IF($H4816="",0,IFERROR(MATCH($H4816,GradeList,0),0))</f>
        <v>0</v>
      </c>
      <c r="O4816" s="64" t="n">
        <f aca="false">IF(OR($I4816="",$I4816="NR"),0,IFERROR(MATCH($I4816,GradeList,0),0))</f>
        <v>0</v>
      </c>
      <c r="P4816" s="64" t="n">
        <f aca="false">IF(AND($M4816&gt;0,ISNUMBER(MATCH($F4816,Lists!$A$2:$A$5,0)),ISNUMBER(MATCH($G4816,Lists!$B$2:$B$7,0)),OR($H4816="",$N4816&gt;0),OR($I4816="",$I4816="NR",$O4816&gt;0),IF(ISNUMBER($J4816),AND($J4816&gt;=0,$J4816=INT($J4816)),FALSE())),$J4816,0)</f>
        <v>0</v>
      </c>
      <c r="Q4816" s="64" t="n">
        <f aca="false">IF(AND($P4816&gt;0,$O4816&gt;0),$P4816,0)</f>
        <v>0</v>
      </c>
      <c r="R4816" s="64" t="n">
        <f aca="false">IF(AND($Q4816&gt;0,$O4816&gt;=AtRank),$Q4816,0)</f>
        <v>0</v>
      </c>
      <c r="S4816" s="64" t="n">
        <f aca="false">IF(AND($Q4816&gt;0,$O4816&gt;=AboveRank),$Q4816,0)</f>
        <v>0</v>
      </c>
      <c r="T4816" s="64" t="n">
        <f aca="false">IF($K4816="Less",$P4816,0)</f>
        <v>0</v>
      </c>
      <c r="U4816" s="64" t="n">
        <f aca="false">IF($K4816="Expected",$P4816,0)</f>
        <v>0</v>
      </c>
      <c r="V4816" s="64" t="n">
        <f aca="false">IF($K4816="Better",$P4816,0)</f>
        <v>0</v>
      </c>
      <c r="W4816" s="64" t="n">
        <f aca="false">IF($K4816="U – needs rule",$P4816,0)</f>
        <v>0</v>
      </c>
      <c r="X4816" s="64" t="n">
        <f aca="false">IF($K4816="No Start (attainment only)",$P4816,0)</f>
        <v>0</v>
      </c>
    </row>
    <row r="4817" customFormat="false" ht="15" hidden="false" customHeight="false" outlineLevel="0" collapsed="false">
      <c r="A4817" s="60"/>
      <c r="B4817" s="61" t="str">
        <f aca="false">IF($M4817=0,"",INDEX(Classes!$E$6:$E$420,$M4817))</f>
        <v/>
      </c>
      <c r="C4817" s="62" t="str">
        <f aca="false">IF($M4817=0,"",INDEX(Classes!$H$6:$H$420,$M4817))</f>
        <v/>
      </c>
      <c r="D4817" s="61" t="str">
        <f aca="false">IF($M4817=0,"",INDEX(Classes!$B$6:$B$420,$M4817))</f>
        <v/>
      </c>
      <c r="E4817" s="61" t="str">
        <f aca="false">IF($M4817=0,"",INDEX(Classes!$C$6:$C$420,$M4817))</f>
        <v/>
      </c>
      <c r="F4817" s="63"/>
      <c r="G4817" s="63"/>
      <c r="H4817" s="60"/>
      <c r="I4817" s="60"/>
      <c r="J4817" s="63"/>
      <c r="K4817" s="61" t="str">
        <f aca="false">IF($P4817=0,"",IF($F4817="Baseline","— Baseline",IF($O4817=0,"No result",IF($N4817=0,"No Start (attainment only)",IF(OR($N4817=1,$O4817=1),"U – needs rule",INDEX(MxBody,MATCH($I4817,MxCurr,0),MATCH($H4817,MxStart,0)))))))</f>
        <v/>
      </c>
      <c r="L4817" s="62" t="str">
        <f aca="false">IF(COUNTA($A4817,$F4817,$G4817,$H4817,$I4817,$J4817)=0,"",IF($M4817=0,"✖ كود الصف غير موجود",IF(ISNA(MATCH($F4817,Lists!$A$2:$A$5,0)),"✖ الفترة غير صحيحة",IF(ISNA(MATCH($G4817,Lists!$B$2:$B$7,0)),"✖ المجموعة غير صحيحة",IF(NOT(OR($H4817="",$N4817&gt;0)),"✖ Start غير صحيح",IF(NOT(OR($I4817="",$I4817="NR",$O4817&gt;0)),"✖ Current غير صحيح",IF(NOT(IF(ISNUMBER($J4817),AND($J4817&gt;=0,$J4817=INT($J4817)),FALSE())),"✖ العدد يجب أن يكون صحيحًا ≥ 0",IF(AND($F4817="Baseline",$H4817&lt;&gt;""),"⚠ Baseline: Start لا يدخل في التقدم",IF($K4817="No Start (attainment only)","ℹ تحصيل فقط (بدون Start)",IF($K4817="U – needs rule","ℹ حالة U تحتاج قاعدة معتمدة",IF($K4817="No result","ℹ بدون نتيجة (يُستبعد من التحصيل)","OK")))))))))))</f>
        <v/>
      </c>
      <c r="M4817" s="64" t="n">
        <f aca="false">IF($A4817="",0,IFERROR(MATCH($A4817,Classes!$A$6:$A$420,0),0))</f>
        <v>0</v>
      </c>
      <c r="N4817" s="64" t="n">
        <f aca="false">IF($H4817="",0,IFERROR(MATCH($H4817,GradeList,0),0))</f>
        <v>0</v>
      </c>
      <c r="O4817" s="64" t="n">
        <f aca="false">IF(OR($I4817="",$I4817="NR"),0,IFERROR(MATCH($I4817,GradeList,0),0))</f>
        <v>0</v>
      </c>
      <c r="P4817" s="64" t="n">
        <f aca="false">IF(AND($M4817&gt;0,ISNUMBER(MATCH($F4817,Lists!$A$2:$A$5,0)),ISNUMBER(MATCH($G4817,Lists!$B$2:$B$7,0)),OR($H4817="",$N4817&gt;0),OR($I4817="",$I4817="NR",$O4817&gt;0),IF(ISNUMBER($J4817),AND($J4817&gt;=0,$J4817=INT($J4817)),FALSE())),$J4817,0)</f>
        <v>0</v>
      </c>
      <c r="Q4817" s="64" t="n">
        <f aca="false">IF(AND($P4817&gt;0,$O4817&gt;0),$P4817,0)</f>
        <v>0</v>
      </c>
      <c r="R4817" s="64" t="n">
        <f aca="false">IF(AND($Q4817&gt;0,$O4817&gt;=AtRank),$Q4817,0)</f>
        <v>0</v>
      </c>
      <c r="S4817" s="64" t="n">
        <f aca="false">IF(AND($Q4817&gt;0,$O4817&gt;=AboveRank),$Q4817,0)</f>
        <v>0</v>
      </c>
      <c r="T4817" s="64" t="n">
        <f aca="false">IF($K4817="Less",$P4817,0)</f>
        <v>0</v>
      </c>
      <c r="U4817" s="64" t="n">
        <f aca="false">IF($K4817="Expected",$P4817,0)</f>
        <v>0</v>
      </c>
      <c r="V4817" s="64" t="n">
        <f aca="false">IF($K4817="Better",$P4817,0)</f>
        <v>0</v>
      </c>
      <c r="W4817" s="64" t="n">
        <f aca="false">IF($K4817="U – needs rule",$P4817,0)</f>
        <v>0</v>
      </c>
      <c r="X4817" s="64" t="n">
        <f aca="false">IF($K4817="No Start (attainment only)",$P4817,0)</f>
        <v>0</v>
      </c>
    </row>
    <row r="4818" customFormat="false" ht="15" hidden="false" customHeight="false" outlineLevel="0" collapsed="false">
      <c r="A4818" s="60"/>
      <c r="B4818" s="61" t="str">
        <f aca="false">IF($M4818=0,"",INDEX(Classes!$E$6:$E$420,$M4818))</f>
        <v/>
      </c>
      <c r="C4818" s="62" t="str">
        <f aca="false">IF($M4818=0,"",INDEX(Classes!$H$6:$H$420,$M4818))</f>
        <v/>
      </c>
      <c r="D4818" s="61" t="str">
        <f aca="false">IF($M4818=0,"",INDEX(Classes!$B$6:$B$420,$M4818))</f>
        <v/>
      </c>
      <c r="E4818" s="61" t="str">
        <f aca="false">IF($M4818=0,"",INDEX(Classes!$C$6:$C$420,$M4818))</f>
        <v/>
      </c>
      <c r="F4818" s="63"/>
      <c r="G4818" s="63"/>
      <c r="H4818" s="60"/>
      <c r="I4818" s="60"/>
      <c r="J4818" s="63"/>
      <c r="K4818" s="61" t="str">
        <f aca="false">IF($P4818=0,"",IF($F4818="Baseline","— Baseline",IF($O4818=0,"No result",IF($N4818=0,"No Start (attainment only)",IF(OR($N4818=1,$O4818=1),"U – needs rule",INDEX(MxBody,MATCH($I4818,MxCurr,0),MATCH($H4818,MxStart,0)))))))</f>
        <v/>
      </c>
      <c r="L4818" s="62" t="str">
        <f aca="false">IF(COUNTA($A4818,$F4818,$G4818,$H4818,$I4818,$J4818)=0,"",IF($M4818=0,"✖ كود الصف غير موجود",IF(ISNA(MATCH($F4818,Lists!$A$2:$A$5,0)),"✖ الفترة غير صحيحة",IF(ISNA(MATCH($G4818,Lists!$B$2:$B$7,0)),"✖ المجموعة غير صحيحة",IF(NOT(OR($H4818="",$N4818&gt;0)),"✖ Start غير صحيح",IF(NOT(OR($I4818="",$I4818="NR",$O4818&gt;0)),"✖ Current غير صحيح",IF(NOT(IF(ISNUMBER($J4818),AND($J4818&gt;=0,$J4818=INT($J4818)),FALSE())),"✖ العدد يجب أن يكون صحيحًا ≥ 0",IF(AND($F4818="Baseline",$H4818&lt;&gt;""),"⚠ Baseline: Start لا يدخل في التقدم",IF($K4818="No Start (attainment only)","ℹ تحصيل فقط (بدون Start)",IF($K4818="U – needs rule","ℹ حالة U تحتاج قاعدة معتمدة",IF($K4818="No result","ℹ بدون نتيجة (يُستبعد من التحصيل)","OK")))))))))))</f>
        <v/>
      </c>
      <c r="M4818" s="64" t="n">
        <f aca="false">IF($A4818="",0,IFERROR(MATCH($A4818,Classes!$A$6:$A$420,0),0))</f>
        <v>0</v>
      </c>
      <c r="N4818" s="64" t="n">
        <f aca="false">IF($H4818="",0,IFERROR(MATCH($H4818,GradeList,0),0))</f>
        <v>0</v>
      </c>
      <c r="O4818" s="64" t="n">
        <f aca="false">IF(OR($I4818="",$I4818="NR"),0,IFERROR(MATCH($I4818,GradeList,0),0))</f>
        <v>0</v>
      </c>
      <c r="P4818" s="64" t="n">
        <f aca="false">IF(AND($M4818&gt;0,ISNUMBER(MATCH($F4818,Lists!$A$2:$A$5,0)),ISNUMBER(MATCH($G4818,Lists!$B$2:$B$7,0)),OR($H4818="",$N4818&gt;0),OR($I4818="",$I4818="NR",$O4818&gt;0),IF(ISNUMBER($J4818),AND($J4818&gt;=0,$J4818=INT($J4818)),FALSE())),$J4818,0)</f>
        <v>0</v>
      </c>
      <c r="Q4818" s="64" t="n">
        <f aca="false">IF(AND($P4818&gt;0,$O4818&gt;0),$P4818,0)</f>
        <v>0</v>
      </c>
      <c r="R4818" s="64" t="n">
        <f aca="false">IF(AND($Q4818&gt;0,$O4818&gt;=AtRank),$Q4818,0)</f>
        <v>0</v>
      </c>
      <c r="S4818" s="64" t="n">
        <f aca="false">IF(AND($Q4818&gt;0,$O4818&gt;=AboveRank),$Q4818,0)</f>
        <v>0</v>
      </c>
      <c r="T4818" s="64" t="n">
        <f aca="false">IF($K4818="Less",$P4818,0)</f>
        <v>0</v>
      </c>
      <c r="U4818" s="64" t="n">
        <f aca="false">IF($K4818="Expected",$P4818,0)</f>
        <v>0</v>
      </c>
      <c r="V4818" s="64" t="n">
        <f aca="false">IF($K4818="Better",$P4818,0)</f>
        <v>0</v>
      </c>
      <c r="W4818" s="64" t="n">
        <f aca="false">IF($K4818="U – needs rule",$P4818,0)</f>
        <v>0</v>
      </c>
      <c r="X4818" s="64" t="n">
        <f aca="false">IF($K4818="No Start (attainment only)",$P4818,0)</f>
        <v>0</v>
      </c>
    </row>
    <row r="4819" customFormat="false" ht="15" hidden="false" customHeight="false" outlineLevel="0" collapsed="false">
      <c r="A4819" s="60"/>
      <c r="B4819" s="61" t="str">
        <f aca="false">IF($M4819=0,"",INDEX(Classes!$E$6:$E$420,$M4819))</f>
        <v/>
      </c>
      <c r="C4819" s="62" t="str">
        <f aca="false">IF($M4819=0,"",INDEX(Classes!$H$6:$H$420,$M4819))</f>
        <v/>
      </c>
      <c r="D4819" s="61" t="str">
        <f aca="false">IF($M4819=0,"",INDEX(Classes!$B$6:$B$420,$M4819))</f>
        <v/>
      </c>
      <c r="E4819" s="61" t="str">
        <f aca="false">IF($M4819=0,"",INDEX(Classes!$C$6:$C$420,$M4819))</f>
        <v/>
      </c>
      <c r="F4819" s="63"/>
      <c r="G4819" s="63"/>
      <c r="H4819" s="60"/>
      <c r="I4819" s="60"/>
      <c r="J4819" s="63"/>
      <c r="K4819" s="61" t="str">
        <f aca="false">IF($P4819=0,"",IF($F4819="Baseline","— Baseline",IF($O4819=0,"No result",IF($N4819=0,"No Start (attainment only)",IF(OR($N4819=1,$O4819=1),"U – needs rule",INDEX(MxBody,MATCH($I4819,MxCurr,0),MATCH($H4819,MxStart,0)))))))</f>
        <v/>
      </c>
      <c r="L4819" s="62" t="str">
        <f aca="false">IF(COUNTA($A4819,$F4819,$G4819,$H4819,$I4819,$J4819)=0,"",IF($M4819=0,"✖ كود الصف غير موجود",IF(ISNA(MATCH($F4819,Lists!$A$2:$A$5,0)),"✖ الفترة غير صحيحة",IF(ISNA(MATCH($G4819,Lists!$B$2:$B$7,0)),"✖ المجموعة غير صحيحة",IF(NOT(OR($H4819="",$N4819&gt;0)),"✖ Start غير صحيح",IF(NOT(OR($I4819="",$I4819="NR",$O4819&gt;0)),"✖ Current غير صحيح",IF(NOT(IF(ISNUMBER($J4819),AND($J4819&gt;=0,$J4819=INT($J4819)),FALSE())),"✖ العدد يجب أن يكون صحيحًا ≥ 0",IF(AND($F4819="Baseline",$H4819&lt;&gt;""),"⚠ Baseline: Start لا يدخل في التقدم",IF($K4819="No Start (attainment only)","ℹ تحصيل فقط (بدون Start)",IF($K4819="U – needs rule","ℹ حالة U تحتاج قاعدة معتمدة",IF($K4819="No result","ℹ بدون نتيجة (يُستبعد من التحصيل)","OK")))))))))))</f>
        <v/>
      </c>
      <c r="M4819" s="64" t="n">
        <f aca="false">IF($A4819="",0,IFERROR(MATCH($A4819,Classes!$A$6:$A$420,0),0))</f>
        <v>0</v>
      </c>
      <c r="N4819" s="64" t="n">
        <f aca="false">IF($H4819="",0,IFERROR(MATCH($H4819,GradeList,0),0))</f>
        <v>0</v>
      </c>
      <c r="O4819" s="64" t="n">
        <f aca="false">IF(OR($I4819="",$I4819="NR"),0,IFERROR(MATCH($I4819,GradeList,0),0))</f>
        <v>0</v>
      </c>
      <c r="P4819" s="64" t="n">
        <f aca="false">IF(AND($M4819&gt;0,ISNUMBER(MATCH($F4819,Lists!$A$2:$A$5,0)),ISNUMBER(MATCH($G4819,Lists!$B$2:$B$7,0)),OR($H4819="",$N4819&gt;0),OR($I4819="",$I4819="NR",$O4819&gt;0),IF(ISNUMBER($J4819),AND($J4819&gt;=0,$J4819=INT($J4819)),FALSE())),$J4819,0)</f>
        <v>0</v>
      </c>
      <c r="Q4819" s="64" t="n">
        <f aca="false">IF(AND($P4819&gt;0,$O4819&gt;0),$P4819,0)</f>
        <v>0</v>
      </c>
      <c r="R4819" s="64" t="n">
        <f aca="false">IF(AND($Q4819&gt;0,$O4819&gt;=AtRank),$Q4819,0)</f>
        <v>0</v>
      </c>
      <c r="S4819" s="64" t="n">
        <f aca="false">IF(AND($Q4819&gt;0,$O4819&gt;=AboveRank),$Q4819,0)</f>
        <v>0</v>
      </c>
      <c r="T4819" s="64" t="n">
        <f aca="false">IF($K4819="Less",$P4819,0)</f>
        <v>0</v>
      </c>
      <c r="U4819" s="64" t="n">
        <f aca="false">IF($K4819="Expected",$P4819,0)</f>
        <v>0</v>
      </c>
      <c r="V4819" s="64" t="n">
        <f aca="false">IF($K4819="Better",$P4819,0)</f>
        <v>0</v>
      </c>
      <c r="W4819" s="64" t="n">
        <f aca="false">IF($K4819="U – needs rule",$P4819,0)</f>
        <v>0</v>
      </c>
      <c r="X4819" s="64" t="n">
        <f aca="false">IF($K4819="No Start (attainment only)",$P4819,0)</f>
        <v>0</v>
      </c>
    </row>
    <row r="4820" customFormat="false" ht="15" hidden="false" customHeight="false" outlineLevel="0" collapsed="false">
      <c r="A4820" s="60"/>
      <c r="B4820" s="61" t="str">
        <f aca="false">IF($M4820=0,"",INDEX(Classes!$E$6:$E$420,$M4820))</f>
        <v/>
      </c>
      <c r="C4820" s="62" t="str">
        <f aca="false">IF($M4820=0,"",INDEX(Classes!$H$6:$H$420,$M4820))</f>
        <v/>
      </c>
      <c r="D4820" s="61" t="str">
        <f aca="false">IF($M4820=0,"",INDEX(Classes!$B$6:$B$420,$M4820))</f>
        <v/>
      </c>
      <c r="E4820" s="61" t="str">
        <f aca="false">IF($M4820=0,"",INDEX(Classes!$C$6:$C$420,$M4820))</f>
        <v/>
      </c>
      <c r="F4820" s="63"/>
      <c r="G4820" s="63"/>
      <c r="H4820" s="60"/>
      <c r="I4820" s="60"/>
      <c r="J4820" s="63"/>
      <c r="K4820" s="61" t="str">
        <f aca="false">IF($P4820=0,"",IF($F4820="Baseline","— Baseline",IF($O4820=0,"No result",IF($N4820=0,"No Start (attainment only)",IF(OR($N4820=1,$O4820=1),"U – needs rule",INDEX(MxBody,MATCH($I4820,MxCurr,0),MATCH($H4820,MxStart,0)))))))</f>
        <v/>
      </c>
      <c r="L4820" s="62" t="str">
        <f aca="false">IF(COUNTA($A4820,$F4820,$G4820,$H4820,$I4820,$J4820)=0,"",IF($M4820=0,"✖ كود الصف غير موجود",IF(ISNA(MATCH($F4820,Lists!$A$2:$A$5,0)),"✖ الفترة غير صحيحة",IF(ISNA(MATCH($G4820,Lists!$B$2:$B$7,0)),"✖ المجموعة غير صحيحة",IF(NOT(OR($H4820="",$N4820&gt;0)),"✖ Start غير صحيح",IF(NOT(OR($I4820="",$I4820="NR",$O4820&gt;0)),"✖ Current غير صحيح",IF(NOT(IF(ISNUMBER($J4820),AND($J4820&gt;=0,$J4820=INT($J4820)),FALSE())),"✖ العدد يجب أن يكون صحيحًا ≥ 0",IF(AND($F4820="Baseline",$H4820&lt;&gt;""),"⚠ Baseline: Start لا يدخل في التقدم",IF($K4820="No Start (attainment only)","ℹ تحصيل فقط (بدون Start)",IF($K4820="U – needs rule","ℹ حالة U تحتاج قاعدة معتمدة",IF($K4820="No result","ℹ بدون نتيجة (يُستبعد من التحصيل)","OK")))))))))))</f>
        <v/>
      </c>
      <c r="M4820" s="64" t="n">
        <f aca="false">IF($A4820="",0,IFERROR(MATCH($A4820,Classes!$A$6:$A$420,0),0))</f>
        <v>0</v>
      </c>
      <c r="N4820" s="64" t="n">
        <f aca="false">IF($H4820="",0,IFERROR(MATCH($H4820,GradeList,0),0))</f>
        <v>0</v>
      </c>
      <c r="O4820" s="64" t="n">
        <f aca="false">IF(OR($I4820="",$I4820="NR"),0,IFERROR(MATCH($I4820,GradeList,0),0))</f>
        <v>0</v>
      </c>
      <c r="P4820" s="64" t="n">
        <f aca="false">IF(AND($M4820&gt;0,ISNUMBER(MATCH($F4820,Lists!$A$2:$A$5,0)),ISNUMBER(MATCH($G4820,Lists!$B$2:$B$7,0)),OR($H4820="",$N4820&gt;0),OR($I4820="",$I4820="NR",$O4820&gt;0),IF(ISNUMBER($J4820),AND($J4820&gt;=0,$J4820=INT($J4820)),FALSE())),$J4820,0)</f>
        <v>0</v>
      </c>
      <c r="Q4820" s="64" t="n">
        <f aca="false">IF(AND($P4820&gt;0,$O4820&gt;0),$P4820,0)</f>
        <v>0</v>
      </c>
      <c r="R4820" s="64" t="n">
        <f aca="false">IF(AND($Q4820&gt;0,$O4820&gt;=AtRank),$Q4820,0)</f>
        <v>0</v>
      </c>
      <c r="S4820" s="64" t="n">
        <f aca="false">IF(AND($Q4820&gt;0,$O4820&gt;=AboveRank),$Q4820,0)</f>
        <v>0</v>
      </c>
      <c r="T4820" s="64" t="n">
        <f aca="false">IF($K4820="Less",$P4820,0)</f>
        <v>0</v>
      </c>
      <c r="U4820" s="64" t="n">
        <f aca="false">IF($K4820="Expected",$P4820,0)</f>
        <v>0</v>
      </c>
      <c r="V4820" s="64" t="n">
        <f aca="false">IF($K4820="Better",$P4820,0)</f>
        <v>0</v>
      </c>
      <c r="W4820" s="64" t="n">
        <f aca="false">IF($K4820="U – needs rule",$P4820,0)</f>
        <v>0</v>
      </c>
      <c r="X4820" s="64" t="n">
        <f aca="false">IF($K4820="No Start (attainment only)",$P4820,0)</f>
        <v>0</v>
      </c>
    </row>
    <row r="4821" customFormat="false" ht="15" hidden="false" customHeight="false" outlineLevel="0" collapsed="false">
      <c r="A4821" s="60"/>
      <c r="B4821" s="61" t="str">
        <f aca="false">IF($M4821=0,"",INDEX(Classes!$E$6:$E$420,$M4821))</f>
        <v/>
      </c>
      <c r="C4821" s="62" t="str">
        <f aca="false">IF($M4821=0,"",INDEX(Classes!$H$6:$H$420,$M4821))</f>
        <v/>
      </c>
      <c r="D4821" s="61" t="str">
        <f aca="false">IF($M4821=0,"",INDEX(Classes!$B$6:$B$420,$M4821))</f>
        <v/>
      </c>
      <c r="E4821" s="61" t="str">
        <f aca="false">IF($M4821=0,"",INDEX(Classes!$C$6:$C$420,$M4821))</f>
        <v/>
      </c>
      <c r="F4821" s="63"/>
      <c r="G4821" s="63"/>
      <c r="H4821" s="60"/>
      <c r="I4821" s="60"/>
      <c r="J4821" s="63"/>
      <c r="K4821" s="61" t="str">
        <f aca="false">IF($P4821=0,"",IF($F4821="Baseline","— Baseline",IF($O4821=0,"No result",IF($N4821=0,"No Start (attainment only)",IF(OR($N4821=1,$O4821=1),"U – needs rule",INDEX(MxBody,MATCH($I4821,MxCurr,0),MATCH($H4821,MxStart,0)))))))</f>
        <v/>
      </c>
      <c r="L4821" s="62" t="str">
        <f aca="false">IF(COUNTA($A4821,$F4821,$G4821,$H4821,$I4821,$J4821)=0,"",IF($M4821=0,"✖ كود الصف غير موجود",IF(ISNA(MATCH($F4821,Lists!$A$2:$A$5,0)),"✖ الفترة غير صحيحة",IF(ISNA(MATCH($G4821,Lists!$B$2:$B$7,0)),"✖ المجموعة غير صحيحة",IF(NOT(OR($H4821="",$N4821&gt;0)),"✖ Start غير صحيح",IF(NOT(OR($I4821="",$I4821="NR",$O4821&gt;0)),"✖ Current غير صحيح",IF(NOT(IF(ISNUMBER($J4821),AND($J4821&gt;=0,$J4821=INT($J4821)),FALSE())),"✖ العدد يجب أن يكون صحيحًا ≥ 0",IF(AND($F4821="Baseline",$H4821&lt;&gt;""),"⚠ Baseline: Start لا يدخل في التقدم",IF($K4821="No Start (attainment only)","ℹ تحصيل فقط (بدون Start)",IF($K4821="U – needs rule","ℹ حالة U تحتاج قاعدة معتمدة",IF($K4821="No result","ℹ بدون نتيجة (يُستبعد من التحصيل)","OK")))))))))))</f>
        <v/>
      </c>
      <c r="M4821" s="64" t="n">
        <f aca="false">IF($A4821="",0,IFERROR(MATCH($A4821,Classes!$A$6:$A$420,0),0))</f>
        <v>0</v>
      </c>
      <c r="N4821" s="64" t="n">
        <f aca="false">IF($H4821="",0,IFERROR(MATCH($H4821,GradeList,0),0))</f>
        <v>0</v>
      </c>
      <c r="O4821" s="64" t="n">
        <f aca="false">IF(OR($I4821="",$I4821="NR"),0,IFERROR(MATCH($I4821,GradeList,0),0))</f>
        <v>0</v>
      </c>
      <c r="P4821" s="64" t="n">
        <f aca="false">IF(AND($M4821&gt;0,ISNUMBER(MATCH($F4821,Lists!$A$2:$A$5,0)),ISNUMBER(MATCH($G4821,Lists!$B$2:$B$7,0)),OR($H4821="",$N4821&gt;0),OR($I4821="",$I4821="NR",$O4821&gt;0),IF(ISNUMBER($J4821),AND($J4821&gt;=0,$J4821=INT($J4821)),FALSE())),$J4821,0)</f>
        <v>0</v>
      </c>
      <c r="Q4821" s="64" t="n">
        <f aca="false">IF(AND($P4821&gt;0,$O4821&gt;0),$P4821,0)</f>
        <v>0</v>
      </c>
      <c r="R4821" s="64" t="n">
        <f aca="false">IF(AND($Q4821&gt;0,$O4821&gt;=AtRank),$Q4821,0)</f>
        <v>0</v>
      </c>
      <c r="S4821" s="64" t="n">
        <f aca="false">IF(AND($Q4821&gt;0,$O4821&gt;=AboveRank),$Q4821,0)</f>
        <v>0</v>
      </c>
      <c r="T4821" s="64" t="n">
        <f aca="false">IF($K4821="Less",$P4821,0)</f>
        <v>0</v>
      </c>
      <c r="U4821" s="64" t="n">
        <f aca="false">IF($K4821="Expected",$P4821,0)</f>
        <v>0</v>
      </c>
      <c r="V4821" s="64" t="n">
        <f aca="false">IF($K4821="Better",$P4821,0)</f>
        <v>0</v>
      </c>
      <c r="W4821" s="64" t="n">
        <f aca="false">IF($K4821="U – needs rule",$P4821,0)</f>
        <v>0</v>
      </c>
      <c r="X4821" s="64" t="n">
        <f aca="false">IF($K4821="No Start (attainment only)",$P4821,0)</f>
        <v>0</v>
      </c>
    </row>
    <row r="4822" customFormat="false" ht="15" hidden="false" customHeight="false" outlineLevel="0" collapsed="false">
      <c r="A4822" s="60"/>
      <c r="B4822" s="61" t="str">
        <f aca="false">IF($M4822=0,"",INDEX(Classes!$E$6:$E$420,$M4822))</f>
        <v/>
      </c>
      <c r="C4822" s="62" t="str">
        <f aca="false">IF($M4822=0,"",INDEX(Classes!$H$6:$H$420,$M4822))</f>
        <v/>
      </c>
      <c r="D4822" s="61" t="str">
        <f aca="false">IF($M4822=0,"",INDEX(Classes!$B$6:$B$420,$M4822))</f>
        <v/>
      </c>
      <c r="E4822" s="61" t="str">
        <f aca="false">IF($M4822=0,"",INDEX(Classes!$C$6:$C$420,$M4822))</f>
        <v/>
      </c>
      <c r="F4822" s="63"/>
      <c r="G4822" s="63"/>
      <c r="H4822" s="60"/>
      <c r="I4822" s="60"/>
      <c r="J4822" s="63"/>
      <c r="K4822" s="61" t="str">
        <f aca="false">IF($P4822=0,"",IF($F4822="Baseline","— Baseline",IF($O4822=0,"No result",IF($N4822=0,"No Start (attainment only)",IF(OR($N4822=1,$O4822=1),"U – needs rule",INDEX(MxBody,MATCH($I4822,MxCurr,0),MATCH($H4822,MxStart,0)))))))</f>
        <v/>
      </c>
      <c r="L4822" s="62" t="str">
        <f aca="false">IF(COUNTA($A4822,$F4822,$G4822,$H4822,$I4822,$J4822)=0,"",IF($M4822=0,"✖ كود الصف غير موجود",IF(ISNA(MATCH($F4822,Lists!$A$2:$A$5,0)),"✖ الفترة غير صحيحة",IF(ISNA(MATCH($G4822,Lists!$B$2:$B$7,0)),"✖ المجموعة غير صحيحة",IF(NOT(OR($H4822="",$N4822&gt;0)),"✖ Start غير صحيح",IF(NOT(OR($I4822="",$I4822="NR",$O4822&gt;0)),"✖ Current غير صحيح",IF(NOT(IF(ISNUMBER($J4822),AND($J4822&gt;=0,$J4822=INT($J4822)),FALSE())),"✖ العدد يجب أن يكون صحيحًا ≥ 0",IF(AND($F4822="Baseline",$H4822&lt;&gt;""),"⚠ Baseline: Start لا يدخل في التقدم",IF($K4822="No Start (attainment only)","ℹ تحصيل فقط (بدون Start)",IF($K4822="U – needs rule","ℹ حالة U تحتاج قاعدة معتمدة",IF($K4822="No result","ℹ بدون نتيجة (يُستبعد من التحصيل)","OK")))))))))))</f>
        <v/>
      </c>
      <c r="M4822" s="64" t="n">
        <f aca="false">IF($A4822="",0,IFERROR(MATCH($A4822,Classes!$A$6:$A$420,0),0))</f>
        <v>0</v>
      </c>
      <c r="N4822" s="64" t="n">
        <f aca="false">IF($H4822="",0,IFERROR(MATCH($H4822,GradeList,0),0))</f>
        <v>0</v>
      </c>
      <c r="O4822" s="64" t="n">
        <f aca="false">IF(OR($I4822="",$I4822="NR"),0,IFERROR(MATCH($I4822,GradeList,0),0))</f>
        <v>0</v>
      </c>
      <c r="P4822" s="64" t="n">
        <f aca="false">IF(AND($M4822&gt;0,ISNUMBER(MATCH($F4822,Lists!$A$2:$A$5,0)),ISNUMBER(MATCH($G4822,Lists!$B$2:$B$7,0)),OR($H4822="",$N4822&gt;0),OR($I4822="",$I4822="NR",$O4822&gt;0),IF(ISNUMBER($J4822),AND($J4822&gt;=0,$J4822=INT($J4822)),FALSE())),$J4822,0)</f>
        <v>0</v>
      </c>
      <c r="Q4822" s="64" t="n">
        <f aca="false">IF(AND($P4822&gt;0,$O4822&gt;0),$P4822,0)</f>
        <v>0</v>
      </c>
      <c r="R4822" s="64" t="n">
        <f aca="false">IF(AND($Q4822&gt;0,$O4822&gt;=AtRank),$Q4822,0)</f>
        <v>0</v>
      </c>
      <c r="S4822" s="64" t="n">
        <f aca="false">IF(AND($Q4822&gt;0,$O4822&gt;=AboveRank),$Q4822,0)</f>
        <v>0</v>
      </c>
      <c r="T4822" s="64" t="n">
        <f aca="false">IF($K4822="Less",$P4822,0)</f>
        <v>0</v>
      </c>
      <c r="U4822" s="64" t="n">
        <f aca="false">IF($K4822="Expected",$P4822,0)</f>
        <v>0</v>
      </c>
      <c r="V4822" s="64" t="n">
        <f aca="false">IF($K4822="Better",$P4822,0)</f>
        <v>0</v>
      </c>
      <c r="W4822" s="64" t="n">
        <f aca="false">IF($K4822="U – needs rule",$P4822,0)</f>
        <v>0</v>
      </c>
      <c r="X4822" s="64" t="n">
        <f aca="false">IF($K4822="No Start (attainment only)",$P4822,0)</f>
        <v>0</v>
      </c>
    </row>
    <row r="4823" customFormat="false" ht="15" hidden="false" customHeight="false" outlineLevel="0" collapsed="false">
      <c r="A4823" s="60"/>
      <c r="B4823" s="61" t="str">
        <f aca="false">IF($M4823=0,"",INDEX(Classes!$E$6:$E$420,$M4823))</f>
        <v/>
      </c>
      <c r="C4823" s="62" t="str">
        <f aca="false">IF($M4823=0,"",INDEX(Classes!$H$6:$H$420,$M4823))</f>
        <v/>
      </c>
      <c r="D4823" s="61" t="str">
        <f aca="false">IF($M4823=0,"",INDEX(Classes!$B$6:$B$420,$M4823))</f>
        <v/>
      </c>
      <c r="E4823" s="61" t="str">
        <f aca="false">IF($M4823=0,"",INDEX(Classes!$C$6:$C$420,$M4823))</f>
        <v/>
      </c>
      <c r="F4823" s="63"/>
      <c r="G4823" s="63"/>
      <c r="H4823" s="60"/>
      <c r="I4823" s="60"/>
      <c r="J4823" s="63"/>
      <c r="K4823" s="61" t="str">
        <f aca="false">IF($P4823=0,"",IF($F4823="Baseline","— Baseline",IF($O4823=0,"No result",IF($N4823=0,"No Start (attainment only)",IF(OR($N4823=1,$O4823=1),"U – needs rule",INDEX(MxBody,MATCH($I4823,MxCurr,0),MATCH($H4823,MxStart,0)))))))</f>
        <v/>
      </c>
      <c r="L4823" s="62" t="str">
        <f aca="false">IF(COUNTA($A4823,$F4823,$G4823,$H4823,$I4823,$J4823)=0,"",IF($M4823=0,"✖ كود الصف غير موجود",IF(ISNA(MATCH($F4823,Lists!$A$2:$A$5,0)),"✖ الفترة غير صحيحة",IF(ISNA(MATCH($G4823,Lists!$B$2:$B$7,0)),"✖ المجموعة غير صحيحة",IF(NOT(OR($H4823="",$N4823&gt;0)),"✖ Start غير صحيح",IF(NOT(OR($I4823="",$I4823="NR",$O4823&gt;0)),"✖ Current غير صحيح",IF(NOT(IF(ISNUMBER($J4823),AND($J4823&gt;=0,$J4823=INT($J4823)),FALSE())),"✖ العدد يجب أن يكون صحيحًا ≥ 0",IF(AND($F4823="Baseline",$H4823&lt;&gt;""),"⚠ Baseline: Start لا يدخل في التقدم",IF($K4823="No Start (attainment only)","ℹ تحصيل فقط (بدون Start)",IF($K4823="U – needs rule","ℹ حالة U تحتاج قاعدة معتمدة",IF($K4823="No result","ℹ بدون نتيجة (يُستبعد من التحصيل)","OK")))))))))))</f>
        <v/>
      </c>
      <c r="M4823" s="64" t="n">
        <f aca="false">IF($A4823="",0,IFERROR(MATCH($A4823,Classes!$A$6:$A$420,0),0))</f>
        <v>0</v>
      </c>
      <c r="N4823" s="64" t="n">
        <f aca="false">IF($H4823="",0,IFERROR(MATCH($H4823,GradeList,0),0))</f>
        <v>0</v>
      </c>
      <c r="O4823" s="64" t="n">
        <f aca="false">IF(OR($I4823="",$I4823="NR"),0,IFERROR(MATCH($I4823,GradeList,0),0))</f>
        <v>0</v>
      </c>
      <c r="P4823" s="64" t="n">
        <f aca="false">IF(AND($M4823&gt;0,ISNUMBER(MATCH($F4823,Lists!$A$2:$A$5,0)),ISNUMBER(MATCH($G4823,Lists!$B$2:$B$7,0)),OR($H4823="",$N4823&gt;0),OR($I4823="",$I4823="NR",$O4823&gt;0),IF(ISNUMBER($J4823),AND($J4823&gt;=0,$J4823=INT($J4823)),FALSE())),$J4823,0)</f>
        <v>0</v>
      </c>
      <c r="Q4823" s="64" t="n">
        <f aca="false">IF(AND($P4823&gt;0,$O4823&gt;0),$P4823,0)</f>
        <v>0</v>
      </c>
      <c r="R4823" s="64" t="n">
        <f aca="false">IF(AND($Q4823&gt;0,$O4823&gt;=AtRank),$Q4823,0)</f>
        <v>0</v>
      </c>
      <c r="S4823" s="64" t="n">
        <f aca="false">IF(AND($Q4823&gt;0,$O4823&gt;=AboveRank),$Q4823,0)</f>
        <v>0</v>
      </c>
      <c r="T4823" s="64" t="n">
        <f aca="false">IF($K4823="Less",$P4823,0)</f>
        <v>0</v>
      </c>
      <c r="U4823" s="64" t="n">
        <f aca="false">IF($K4823="Expected",$P4823,0)</f>
        <v>0</v>
      </c>
      <c r="V4823" s="64" t="n">
        <f aca="false">IF($K4823="Better",$P4823,0)</f>
        <v>0</v>
      </c>
      <c r="W4823" s="64" t="n">
        <f aca="false">IF($K4823="U – needs rule",$P4823,0)</f>
        <v>0</v>
      </c>
      <c r="X4823" s="64" t="n">
        <f aca="false">IF($K4823="No Start (attainment only)",$P4823,0)</f>
        <v>0</v>
      </c>
    </row>
    <row r="4824" customFormat="false" ht="15" hidden="false" customHeight="false" outlineLevel="0" collapsed="false">
      <c r="A4824" s="60"/>
      <c r="B4824" s="61" t="str">
        <f aca="false">IF($M4824=0,"",INDEX(Classes!$E$6:$E$420,$M4824))</f>
        <v/>
      </c>
      <c r="C4824" s="62" t="str">
        <f aca="false">IF($M4824=0,"",INDEX(Classes!$H$6:$H$420,$M4824))</f>
        <v/>
      </c>
      <c r="D4824" s="61" t="str">
        <f aca="false">IF($M4824=0,"",INDEX(Classes!$B$6:$B$420,$M4824))</f>
        <v/>
      </c>
      <c r="E4824" s="61" t="str">
        <f aca="false">IF($M4824=0,"",INDEX(Classes!$C$6:$C$420,$M4824))</f>
        <v/>
      </c>
      <c r="F4824" s="63"/>
      <c r="G4824" s="63"/>
      <c r="H4824" s="60"/>
      <c r="I4824" s="60"/>
      <c r="J4824" s="63"/>
      <c r="K4824" s="61" t="str">
        <f aca="false">IF($P4824=0,"",IF($F4824="Baseline","— Baseline",IF($O4824=0,"No result",IF($N4824=0,"No Start (attainment only)",IF(OR($N4824=1,$O4824=1),"U – needs rule",INDEX(MxBody,MATCH($I4824,MxCurr,0),MATCH($H4824,MxStart,0)))))))</f>
        <v/>
      </c>
      <c r="L4824" s="62" t="str">
        <f aca="false">IF(COUNTA($A4824,$F4824,$G4824,$H4824,$I4824,$J4824)=0,"",IF($M4824=0,"✖ كود الصف غير موجود",IF(ISNA(MATCH($F4824,Lists!$A$2:$A$5,0)),"✖ الفترة غير صحيحة",IF(ISNA(MATCH($G4824,Lists!$B$2:$B$7,0)),"✖ المجموعة غير صحيحة",IF(NOT(OR($H4824="",$N4824&gt;0)),"✖ Start غير صحيح",IF(NOT(OR($I4824="",$I4824="NR",$O4824&gt;0)),"✖ Current غير صحيح",IF(NOT(IF(ISNUMBER($J4824),AND($J4824&gt;=0,$J4824=INT($J4824)),FALSE())),"✖ العدد يجب أن يكون صحيحًا ≥ 0",IF(AND($F4824="Baseline",$H4824&lt;&gt;""),"⚠ Baseline: Start لا يدخل في التقدم",IF($K4824="No Start (attainment only)","ℹ تحصيل فقط (بدون Start)",IF($K4824="U – needs rule","ℹ حالة U تحتاج قاعدة معتمدة",IF($K4824="No result","ℹ بدون نتيجة (يُستبعد من التحصيل)","OK")))))))))))</f>
        <v/>
      </c>
      <c r="M4824" s="64" t="n">
        <f aca="false">IF($A4824="",0,IFERROR(MATCH($A4824,Classes!$A$6:$A$420,0),0))</f>
        <v>0</v>
      </c>
      <c r="N4824" s="64" t="n">
        <f aca="false">IF($H4824="",0,IFERROR(MATCH($H4824,GradeList,0),0))</f>
        <v>0</v>
      </c>
      <c r="O4824" s="64" t="n">
        <f aca="false">IF(OR($I4824="",$I4824="NR"),0,IFERROR(MATCH($I4824,GradeList,0),0))</f>
        <v>0</v>
      </c>
      <c r="P4824" s="64" t="n">
        <f aca="false">IF(AND($M4824&gt;0,ISNUMBER(MATCH($F4824,Lists!$A$2:$A$5,0)),ISNUMBER(MATCH($G4824,Lists!$B$2:$B$7,0)),OR($H4824="",$N4824&gt;0),OR($I4824="",$I4824="NR",$O4824&gt;0),IF(ISNUMBER($J4824),AND($J4824&gt;=0,$J4824=INT($J4824)),FALSE())),$J4824,0)</f>
        <v>0</v>
      </c>
      <c r="Q4824" s="64" t="n">
        <f aca="false">IF(AND($P4824&gt;0,$O4824&gt;0),$P4824,0)</f>
        <v>0</v>
      </c>
      <c r="R4824" s="64" t="n">
        <f aca="false">IF(AND($Q4824&gt;0,$O4824&gt;=AtRank),$Q4824,0)</f>
        <v>0</v>
      </c>
      <c r="S4824" s="64" t="n">
        <f aca="false">IF(AND($Q4824&gt;0,$O4824&gt;=AboveRank),$Q4824,0)</f>
        <v>0</v>
      </c>
      <c r="T4824" s="64" t="n">
        <f aca="false">IF($K4824="Less",$P4824,0)</f>
        <v>0</v>
      </c>
      <c r="U4824" s="64" t="n">
        <f aca="false">IF($K4824="Expected",$P4824,0)</f>
        <v>0</v>
      </c>
      <c r="V4824" s="64" t="n">
        <f aca="false">IF($K4824="Better",$P4824,0)</f>
        <v>0</v>
      </c>
      <c r="W4824" s="64" t="n">
        <f aca="false">IF($K4824="U – needs rule",$P4824,0)</f>
        <v>0</v>
      </c>
      <c r="X4824" s="64" t="n">
        <f aca="false">IF($K4824="No Start (attainment only)",$P4824,0)</f>
        <v>0</v>
      </c>
    </row>
    <row r="4825" customFormat="false" ht="15" hidden="false" customHeight="false" outlineLevel="0" collapsed="false">
      <c r="A4825" s="60"/>
      <c r="B4825" s="61" t="str">
        <f aca="false">IF($M4825=0,"",INDEX(Classes!$E$6:$E$420,$M4825))</f>
        <v/>
      </c>
      <c r="C4825" s="62" t="str">
        <f aca="false">IF($M4825=0,"",INDEX(Classes!$H$6:$H$420,$M4825))</f>
        <v/>
      </c>
      <c r="D4825" s="61" t="str">
        <f aca="false">IF($M4825=0,"",INDEX(Classes!$B$6:$B$420,$M4825))</f>
        <v/>
      </c>
      <c r="E4825" s="61" t="str">
        <f aca="false">IF($M4825=0,"",INDEX(Classes!$C$6:$C$420,$M4825))</f>
        <v/>
      </c>
      <c r="F4825" s="63"/>
      <c r="G4825" s="63"/>
      <c r="H4825" s="60"/>
      <c r="I4825" s="60"/>
      <c r="J4825" s="63"/>
      <c r="K4825" s="61" t="str">
        <f aca="false">IF($P4825=0,"",IF($F4825="Baseline","— Baseline",IF($O4825=0,"No result",IF($N4825=0,"No Start (attainment only)",IF(OR($N4825=1,$O4825=1),"U – needs rule",INDEX(MxBody,MATCH($I4825,MxCurr,0),MATCH($H4825,MxStart,0)))))))</f>
        <v/>
      </c>
      <c r="L4825" s="62" t="str">
        <f aca="false">IF(COUNTA($A4825,$F4825,$G4825,$H4825,$I4825,$J4825)=0,"",IF($M4825=0,"✖ كود الصف غير موجود",IF(ISNA(MATCH($F4825,Lists!$A$2:$A$5,0)),"✖ الفترة غير صحيحة",IF(ISNA(MATCH($G4825,Lists!$B$2:$B$7,0)),"✖ المجموعة غير صحيحة",IF(NOT(OR($H4825="",$N4825&gt;0)),"✖ Start غير صحيح",IF(NOT(OR($I4825="",$I4825="NR",$O4825&gt;0)),"✖ Current غير صحيح",IF(NOT(IF(ISNUMBER($J4825),AND($J4825&gt;=0,$J4825=INT($J4825)),FALSE())),"✖ العدد يجب أن يكون صحيحًا ≥ 0",IF(AND($F4825="Baseline",$H4825&lt;&gt;""),"⚠ Baseline: Start لا يدخل في التقدم",IF($K4825="No Start (attainment only)","ℹ تحصيل فقط (بدون Start)",IF($K4825="U – needs rule","ℹ حالة U تحتاج قاعدة معتمدة",IF($K4825="No result","ℹ بدون نتيجة (يُستبعد من التحصيل)","OK")))))))))))</f>
        <v/>
      </c>
      <c r="M4825" s="64" t="n">
        <f aca="false">IF($A4825="",0,IFERROR(MATCH($A4825,Classes!$A$6:$A$420,0),0))</f>
        <v>0</v>
      </c>
      <c r="N4825" s="64" t="n">
        <f aca="false">IF($H4825="",0,IFERROR(MATCH($H4825,GradeList,0),0))</f>
        <v>0</v>
      </c>
      <c r="O4825" s="64" t="n">
        <f aca="false">IF(OR($I4825="",$I4825="NR"),0,IFERROR(MATCH($I4825,GradeList,0),0))</f>
        <v>0</v>
      </c>
      <c r="P4825" s="64" t="n">
        <f aca="false">IF(AND($M4825&gt;0,ISNUMBER(MATCH($F4825,Lists!$A$2:$A$5,0)),ISNUMBER(MATCH($G4825,Lists!$B$2:$B$7,0)),OR($H4825="",$N4825&gt;0),OR($I4825="",$I4825="NR",$O4825&gt;0),IF(ISNUMBER($J4825),AND($J4825&gt;=0,$J4825=INT($J4825)),FALSE())),$J4825,0)</f>
        <v>0</v>
      </c>
      <c r="Q4825" s="64" t="n">
        <f aca="false">IF(AND($P4825&gt;0,$O4825&gt;0),$P4825,0)</f>
        <v>0</v>
      </c>
      <c r="R4825" s="64" t="n">
        <f aca="false">IF(AND($Q4825&gt;0,$O4825&gt;=AtRank),$Q4825,0)</f>
        <v>0</v>
      </c>
      <c r="S4825" s="64" t="n">
        <f aca="false">IF(AND($Q4825&gt;0,$O4825&gt;=AboveRank),$Q4825,0)</f>
        <v>0</v>
      </c>
      <c r="T4825" s="64" t="n">
        <f aca="false">IF($K4825="Less",$P4825,0)</f>
        <v>0</v>
      </c>
      <c r="U4825" s="64" t="n">
        <f aca="false">IF($K4825="Expected",$P4825,0)</f>
        <v>0</v>
      </c>
      <c r="V4825" s="64" t="n">
        <f aca="false">IF($K4825="Better",$P4825,0)</f>
        <v>0</v>
      </c>
      <c r="W4825" s="64" t="n">
        <f aca="false">IF($K4825="U – needs rule",$P4825,0)</f>
        <v>0</v>
      </c>
      <c r="X4825" s="64" t="n">
        <f aca="false">IF($K4825="No Start (attainment only)",$P4825,0)</f>
        <v>0</v>
      </c>
    </row>
    <row r="4826" customFormat="false" ht="15" hidden="false" customHeight="false" outlineLevel="0" collapsed="false">
      <c r="A4826" s="60"/>
      <c r="B4826" s="61" t="str">
        <f aca="false">IF($M4826=0,"",INDEX(Classes!$E$6:$E$420,$M4826))</f>
        <v/>
      </c>
      <c r="C4826" s="62" t="str">
        <f aca="false">IF($M4826=0,"",INDEX(Classes!$H$6:$H$420,$M4826))</f>
        <v/>
      </c>
      <c r="D4826" s="61" t="str">
        <f aca="false">IF($M4826=0,"",INDEX(Classes!$B$6:$B$420,$M4826))</f>
        <v/>
      </c>
      <c r="E4826" s="61" t="str">
        <f aca="false">IF($M4826=0,"",INDEX(Classes!$C$6:$C$420,$M4826))</f>
        <v/>
      </c>
      <c r="F4826" s="63"/>
      <c r="G4826" s="63"/>
      <c r="H4826" s="60"/>
      <c r="I4826" s="60"/>
      <c r="J4826" s="63"/>
      <c r="K4826" s="61" t="str">
        <f aca="false">IF($P4826=0,"",IF($F4826="Baseline","— Baseline",IF($O4826=0,"No result",IF($N4826=0,"No Start (attainment only)",IF(OR($N4826=1,$O4826=1),"U – needs rule",INDEX(MxBody,MATCH($I4826,MxCurr,0),MATCH($H4826,MxStart,0)))))))</f>
        <v/>
      </c>
      <c r="L4826" s="62" t="str">
        <f aca="false">IF(COUNTA($A4826,$F4826,$G4826,$H4826,$I4826,$J4826)=0,"",IF($M4826=0,"✖ كود الصف غير موجود",IF(ISNA(MATCH($F4826,Lists!$A$2:$A$5,0)),"✖ الفترة غير صحيحة",IF(ISNA(MATCH($G4826,Lists!$B$2:$B$7,0)),"✖ المجموعة غير صحيحة",IF(NOT(OR($H4826="",$N4826&gt;0)),"✖ Start غير صحيح",IF(NOT(OR($I4826="",$I4826="NR",$O4826&gt;0)),"✖ Current غير صحيح",IF(NOT(IF(ISNUMBER($J4826),AND($J4826&gt;=0,$J4826=INT($J4826)),FALSE())),"✖ العدد يجب أن يكون صحيحًا ≥ 0",IF(AND($F4826="Baseline",$H4826&lt;&gt;""),"⚠ Baseline: Start لا يدخل في التقدم",IF($K4826="No Start (attainment only)","ℹ تحصيل فقط (بدون Start)",IF($K4826="U – needs rule","ℹ حالة U تحتاج قاعدة معتمدة",IF($K4826="No result","ℹ بدون نتيجة (يُستبعد من التحصيل)","OK")))))))))))</f>
        <v/>
      </c>
      <c r="M4826" s="64" t="n">
        <f aca="false">IF($A4826="",0,IFERROR(MATCH($A4826,Classes!$A$6:$A$420,0),0))</f>
        <v>0</v>
      </c>
      <c r="N4826" s="64" t="n">
        <f aca="false">IF($H4826="",0,IFERROR(MATCH($H4826,GradeList,0),0))</f>
        <v>0</v>
      </c>
      <c r="O4826" s="64" t="n">
        <f aca="false">IF(OR($I4826="",$I4826="NR"),0,IFERROR(MATCH($I4826,GradeList,0),0))</f>
        <v>0</v>
      </c>
      <c r="P4826" s="64" t="n">
        <f aca="false">IF(AND($M4826&gt;0,ISNUMBER(MATCH($F4826,Lists!$A$2:$A$5,0)),ISNUMBER(MATCH($G4826,Lists!$B$2:$B$7,0)),OR($H4826="",$N4826&gt;0),OR($I4826="",$I4826="NR",$O4826&gt;0),IF(ISNUMBER($J4826),AND($J4826&gt;=0,$J4826=INT($J4826)),FALSE())),$J4826,0)</f>
        <v>0</v>
      </c>
      <c r="Q4826" s="64" t="n">
        <f aca="false">IF(AND($P4826&gt;0,$O4826&gt;0),$P4826,0)</f>
        <v>0</v>
      </c>
      <c r="R4826" s="64" t="n">
        <f aca="false">IF(AND($Q4826&gt;0,$O4826&gt;=AtRank),$Q4826,0)</f>
        <v>0</v>
      </c>
      <c r="S4826" s="64" t="n">
        <f aca="false">IF(AND($Q4826&gt;0,$O4826&gt;=AboveRank),$Q4826,0)</f>
        <v>0</v>
      </c>
      <c r="T4826" s="64" t="n">
        <f aca="false">IF($K4826="Less",$P4826,0)</f>
        <v>0</v>
      </c>
      <c r="U4826" s="64" t="n">
        <f aca="false">IF($K4826="Expected",$P4826,0)</f>
        <v>0</v>
      </c>
      <c r="V4826" s="64" t="n">
        <f aca="false">IF($K4826="Better",$P4826,0)</f>
        <v>0</v>
      </c>
      <c r="W4826" s="64" t="n">
        <f aca="false">IF($K4826="U – needs rule",$P4826,0)</f>
        <v>0</v>
      </c>
      <c r="X4826" s="64" t="n">
        <f aca="false">IF($K4826="No Start (attainment only)",$P4826,0)</f>
        <v>0</v>
      </c>
    </row>
    <row r="4827" customFormat="false" ht="15" hidden="false" customHeight="false" outlineLevel="0" collapsed="false">
      <c r="A4827" s="60"/>
      <c r="B4827" s="61" t="str">
        <f aca="false">IF($M4827=0,"",INDEX(Classes!$E$6:$E$420,$M4827))</f>
        <v/>
      </c>
      <c r="C4827" s="62" t="str">
        <f aca="false">IF($M4827=0,"",INDEX(Classes!$H$6:$H$420,$M4827))</f>
        <v/>
      </c>
      <c r="D4827" s="61" t="str">
        <f aca="false">IF($M4827=0,"",INDEX(Classes!$B$6:$B$420,$M4827))</f>
        <v/>
      </c>
      <c r="E4827" s="61" t="str">
        <f aca="false">IF($M4827=0,"",INDEX(Classes!$C$6:$C$420,$M4827))</f>
        <v/>
      </c>
      <c r="F4827" s="63"/>
      <c r="G4827" s="63"/>
      <c r="H4827" s="60"/>
      <c r="I4827" s="60"/>
      <c r="J4827" s="63"/>
      <c r="K4827" s="61" t="str">
        <f aca="false">IF($P4827=0,"",IF($F4827="Baseline","— Baseline",IF($O4827=0,"No result",IF($N4827=0,"No Start (attainment only)",IF(OR($N4827=1,$O4827=1),"U – needs rule",INDEX(MxBody,MATCH($I4827,MxCurr,0),MATCH($H4827,MxStart,0)))))))</f>
        <v/>
      </c>
      <c r="L4827" s="62" t="str">
        <f aca="false">IF(COUNTA($A4827,$F4827,$G4827,$H4827,$I4827,$J4827)=0,"",IF($M4827=0,"✖ كود الصف غير موجود",IF(ISNA(MATCH($F4827,Lists!$A$2:$A$5,0)),"✖ الفترة غير صحيحة",IF(ISNA(MATCH($G4827,Lists!$B$2:$B$7,0)),"✖ المجموعة غير صحيحة",IF(NOT(OR($H4827="",$N4827&gt;0)),"✖ Start غير صحيح",IF(NOT(OR($I4827="",$I4827="NR",$O4827&gt;0)),"✖ Current غير صحيح",IF(NOT(IF(ISNUMBER($J4827),AND($J4827&gt;=0,$J4827=INT($J4827)),FALSE())),"✖ العدد يجب أن يكون صحيحًا ≥ 0",IF(AND($F4827="Baseline",$H4827&lt;&gt;""),"⚠ Baseline: Start لا يدخل في التقدم",IF($K4827="No Start (attainment only)","ℹ تحصيل فقط (بدون Start)",IF($K4827="U – needs rule","ℹ حالة U تحتاج قاعدة معتمدة",IF($K4827="No result","ℹ بدون نتيجة (يُستبعد من التحصيل)","OK")))))))))))</f>
        <v/>
      </c>
      <c r="M4827" s="64" t="n">
        <f aca="false">IF($A4827="",0,IFERROR(MATCH($A4827,Classes!$A$6:$A$420,0),0))</f>
        <v>0</v>
      </c>
      <c r="N4827" s="64" t="n">
        <f aca="false">IF($H4827="",0,IFERROR(MATCH($H4827,GradeList,0),0))</f>
        <v>0</v>
      </c>
      <c r="O4827" s="64" t="n">
        <f aca="false">IF(OR($I4827="",$I4827="NR"),0,IFERROR(MATCH($I4827,GradeList,0),0))</f>
        <v>0</v>
      </c>
      <c r="P4827" s="64" t="n">
        <f aca="false">IF(AND($M4827&gt;0,ISNUMBER(MATCH($F4827,Lists!$A$2:$A$5,0)),ISNUMBER(MATCH($G4827,Lists!$B$2:$B$7,0)),OR($H4827="",$N4827&gt;0),OR($I4827="",$I4827="NR",$O4827&gt;0),IF(ISNUMBER($J4827),AND($J4827&gt;=0,$J4827=INT($J4827)),FALSE())),$J4827,0)</f>
        <v>0</v>
      </c>
      <c r="Q4827" s="64" t="n">
        <f aca="false">IF(AND($P4827&gt;0,$O4827&gt;0),$P4827,0)</f>
        <v>0</v>
      </c>
      <c r="R4827" s="64" t="n">
        <f aca="false">IF(AND($Q4827&gt;0,$O4827&gt;=AtRank),$Q4827,0)</f>
        <v>0</v>
      </c>
      <c r="S4827" s="64" t="n">
        <f aca="false">IF(AND($Q4827&gt;0,$O4827&gt;=AboveRank),$Q4827,0)</f>
        <v>0</v>
      </c>
      <c r="T4827" s="64" t="n">
        <f aca="false">IF($K4827="Less",$P4827,0)</f>
        <v>0</v>
      </c>
      <c r="U4827" s="64" t="n">
        <f aca="false">IF($K4827="Expected",$P4827,0)</f>
        <v>0</v>
      </c>
      <c r="V4827" s="64" t="n">
        <f aca="false">IF($K4827="Better",$P4827,0)</f>
        <v>0</v>
      </c>
      <c r="W4827" s="64" t="n">
        <f aca="false">IF($K4827="U – needs rule",$P4827,0)</f>
        <v>0</v>
      </c>
      <c r="X4827" s="64" t="n">
        <f aca="false">IF($K4827="No Start (attainment only)",$P4827,0)</f>
        <v>0</v>
      </c>
    </row>
    <row r="4828" customFormat="false" ht="15" hidden="false" customHeight="false" outlineLevel="0" collapsed="false">
      <c r="A4828" s="60"/>
      <c r="B4828" s="61" t="str">
        <f aca="false">IF($M4828=0,"",INDEX(Classes!$E$6:$E$420,$M4828))</f>
        <v/>
      </c>
      <c r="C4828" s="62" t="str">
        <f aca="false">IF($M4828=0,"",INDEX(Classes!$H$6:$H$420,$M4828))</f>
        <v/>
      </c>
      <c r="D4828" s="61" t="str">
        <f aca="false">IF($M4828=0,"",INDEX(Classes!$B$6:$B$420,$M4828))</f>
        <v/>
      </c>
      <c r="E4828" s="61" t="str">
        <f aca="false">IF($M4828=0,"",INDEX(Classes!$C$6:$C$420,$M4828))</f>
        <v/>
      </c>
      <c r="F4828" s="63"/>
      <c r="G4828" s="63"/>
      <c r="H4828" s="60"/>
      <c r="I4828" s="60"/>
      <c r="J4828" s="63"/>
      <c r="K4828" s="61" t="str">
        <f aca="false">IF($P4828=0,"",IF($F4828="Baseline","— Baseline",IF($O4828=0,"No result",IF($N4828=0,"No Start (attainment only)",IF(OR($N4828=1,$O4828=1),"U – needs rule",INDEX(MxBody,MATCH($I4828,MxCurr,0),MATCH($H4828,MxStart,0)))))))</f>
        <v/>
      </c>
      <c r="L4828" s="62" t="str">
        <f aca="false">IF(COUNTA($A4828,$F4828,$G4828,$H4828,$I4828,$J4828)=0,"",IF($M4828=0,"✖ كود الصف غير موجود",IF(ISNA(MATCH($F4828,Lists!$A$2:$A$5,0)),"✖ الفترة غير صحيحة",IF(ISNA(MATCH($G4828,Lists!$B$2:$B$7,0)),"✖ المجموعة غير صحيحة",IF(NOT(OR($H4828="",$N4828&gt;0)),"✖ Start غير صحيح",IF(NOT(OR($I4828="",$I4828="NR",$O4828&gt;0)),"✖ Current غير صحيح",IF(NOT(IF(ISNUMBER($J4828),AND($J4828&gt;=0,$J4828=INT($J4828)),FALSE())),"✖ العدد يجب أن يكون صحيحًا ≥ 0",IF(AND($F4828="Baseline",$H4828&lt;&gt;""),"⚠ Baseline: Start لا يدخل في التقدم",IF($K4828="No Start (attainment only)","ℹ تحصيل فقط (بدون Start)",IF($K4828="U – needs rule","ℹ حالة U تحتاج قاعدة معتمدة",IF($K4828="No result","ℹ بدون نتيجة (يُستبعد من التحصيل)","OK")))))))))))</f>
        <v/>
      </c>
      <c r="M4828" s="64" t="n">
        <f aca="false">IF($A4828="",0,IFERROR(MATCH($A4828,Classes!$A$6:$A$420,0),0))</f>
        <v>0</v>
      </c>
      <c r="N4828" s="64" t="n">
        <f aca="false">IF($H4828="",0,IFERROR(MATCH($H4828,GradeList,0),0))</f>
        <v>0</v>
      </c>
      <c r="O4828" s="64" t="n">
        <f aca="false">IF(OR($I4828="",$I4828="NR"),0,IFERROR(MATCH($I4828,GradeList,0),0))</f>
        <v>0</v>
      </c>
      <c r="P4828" s="64" t="n">
        <f aca="false">IF(AND($M4828&gt;0,ISNUMBER(MATCH($F4828,Lists!$A$2:$A$5,0)),ISNUMBER(MATCH($G4828,Lists!$B$2:$B$7,0)),OR($H4828="",$N4828&gt;0),OR($I4828="",$I4828="NR",$O4828&gt;0),IF(ISNUMBER($J4828),AND($J4828&gt;=0,$J4828=INT($J4828)),FALSE())),$J4828,0)</f>
        <v>0</v>
      </c>
      <c r="Q4828" s="64" t="n">
        <f aca="false">IF(AND($P4828&gt;0,$O4828&gt;0),$P4828,0)</f>
        <v>0</v>
      </c>
      <c r="R4828" s="64" t="n">
        <f aca="false">IF(AND($Q4828&gt;0,$O4828&gt;=AtRank),$Q4828,0)</f>
        <v>0</v>
      </c>
      <c r="S4828" s="64" t="n">
        <f aca="false">IF(AND($Q4828&gt;0,$O4828&gt;=AboveRank),$Q4828,0)</f>
        <v>0</v>
      </c>
      <c r="T4828" s="64" t="n">
        <f aca="false">IF($K4828="Less",$P4828,0)</f>
        <v>0</v>
      </c>
      <c r="U4828" s="64" t="n">
        <f aca="false">IF($K4828="Expected",$P4828,0)</f>
        <v>0</v>
      </c>
      <c r="V4828" s="64" t="n">
        <f aca="false">IF($K4828="Better",$P4828,0)</f>
        <v>0</v>
      </c>
      <c r="W4828" s="64" t="n">
        <f aca="false">IF($K4828="U – needs rule",$P4828,0)</f>
        <v>0</v>
      </c>
      <c r="X4828" s="64" t="n">
        <f aca="false">IF($K4828="No Start (attainment only)",$P4828,0)</f>
        <v>0</v>
      </c>
    </row>
    <row r="4829" customFormat="false" ht="15" hidden="false" customHeight="false" outlineLevel="0" collapsed="false">
      <c r="A4829" s="60"/>
      <c r="B4829" s="61" t="str">
        <f aca="false">IF($M4829=0,"",INDEX(Classes!$E$6:$E$420,$M4829))</f>
        <v/>
      </c>
      <c r="C4829" s="62" t="str">
        <f aca="false">IF($M4829=0,"",INDEX(Classes!$H$6:$H$420,$M4829))</f>
        <v/>
      </c>
      <c r="D4829" s="61" t="str">
        <f aca="false">IF($M4829=0,"",INDEX(Classes!$B$6:$B$420,$M4829))</f>
        <v/>
      </c>
      <c r="E4829" s="61" t="str">
        <f aca="false">IF($M4829=0,"",INDEX(Classes!$C$6:$C$420,$M4829))</f>
        <v/>
      </c>
      <c r="F4829" s="63"/>
      <c r="G4829" s="63"/>
      <c r="H4829" s="60"/>
      <c r="I4829" s="60"/>
      <c r="J4829" s="63"/>
      <c r="K4829" s="61" t="str">
        <f aca="false">IF($P4829=0,"",IF($F4829="Baseline","— Baseline",IF($O4829=0,"No result",IF($N4829=0,"No Start (attainment only)",IF(OR($N4829=1,$O4829=1),"U – needs rule",INDEX(MxBody,MATCH($I4829,MxCurr,0),MATCH($H4829,MxStart,0)))))))</f>
        <v/>
      </c>
      <c r="L4829" s="62" t="str">
        <f aca="false">IF(COUNTA($A4829,$F4829,$G4829,$H4829,$I4829,$J4829)=0,"",IF($M4829=0,"✖ كود الصف غير موجود",IF(ISNA(MATCH($F4829,Lists!$A$2:$A$5,0)),"✖ الفترة غير صحيحة",IF(ISNA(MATCH($G4829,Lists!$B$2:$B$7,0)),"✖ المجموعة غير صحيحة",IF(NOT(OR($H4829="",$N4829&gt;0)),"✖ Start غير صحيح",IF(NOT(OR($I4829="",$I4829="NR",$O4829&gt;0)),"✖ Current غير صحيح",IF(NOT(IF(ISNUMBER($J4829),AND($J4829&gt;=0,$J4829=INT($J4829)),FALSE())),"✖ العدد يجب أن يكون صحيحًا ≥ 0",IF(AND($F4829="Baseline",$H4829&lt;&gt;""),"⚠ Baseline: Start لا يدخل في التقدم",IF($K4829="No Start (attainment only)","ℹ تحصيل فقط (بدون Start)",IF($K4829="U – needs rule","ℹ حالة U تحتاج قاعدة معتمدة",IF($K4829="No result","ℹ بدون نتيجة (يُستبعد من التحصيل)","OK")))))))))))</f>
        <v/>
      </c>
      <c r="M4829" s="64" t="n">
        <f aca="false">IF($A4829="",0,IFERROR(MATCH($A4829,Classes!$A$6:$A$420,0),0))</f>
        <v>0</v>
      </c>
      <c r="N4829" s="64" t="n">
        <f aca="false">IF($H4829="",0,IFERROR(MATCH($H4829,GradeList,0),0))</f>
        <v>0</v>
      </c>
      <c r="O4829" s="64" t="n">
        <f aca="false">IF(OR($I4829="",$I4829="NR"),0,IFERROR(MATCH($I4829,GradeList,0),0))</f>
        <v>0</v>
      </c>
      <c r="P4829" s="64" t="n">
        <f aca="false">IF(AND($M4829&gt;0,ISNUMBER(MATCH($F4829,Lists!$A$2:$A$5,0)),ISNUMBER(MATCH($G4829,Lists!$B$2:$B$7,0)),OR($H4829="",$N4829&gt;0),OR($I4829="",$I4829="NR",$O4829&gt;0),IF(ISNUMBER($J4829),AND($J4829&gt;=0,$J4829=INT($J4829)),FALSE())),$J4829,0)</f>
        <v>0</v>
      </c>
      <c r="Q4829" s="64" t="n">
        <f aca="false">IF(AND($P4829&gt;0,$O4829&gt;0),$P4829,0)</f>
        <v>0</v>
      </c>
      <c r="R4829" s="64" t="n">
        <f aca="false">IF(AND($Q4829&gt;0,$O4829&gt;=AtRank),$Q4829,0)</f>
        <v>0</v>
      </c>
      <c r="S4829" s="64" t="n">
        <f aca="false">IF(AND($Q4829&gt;0,$O4829&gt;=AboveRank),$Q4829,0)</f>
        <v>0</v>
      </c>
      <c r="T4829" s="64" t="n">
        <f aca="false">IF($K4829="Less",$P4829,0)</f>
        <v>0</v>
      </c>
      <c r="U4829" s="64" t="n">
        <f aca="false">IF($K4829="Expected",$P4829,0)</f>
        <v>0</v>
      </c>
      <c r="V4829" s="64" t="n">
        <f aca="false">IF($K4829="Better",$P4829,0)</f>
        <v>0</v>
      </c>
      <c r="W4829" s="64" t="n">
        <f aca="false">IF($K4829="U – needs rule",$P4829,0)</f>
        <v>0</v>
      </c>
      <c r="X4829" s="64" t="n">
        <f aca="false">IF($K4829="No Start (attainment only)",$P4829,0)</f>
        <v>0</v>
      </c>
    </row>
    <row r="4830" customFormat="false" ht="15" hidden="false" customHeight="false" outlineLevel="0" collapsed="false">
      <c r="A4830" s="60"/>
      <c r="B4830" s="61" t="str">
        <f aca="false">IF($M4830=0,"",INDEX(Classes!$E$6:$E$420,$M4830))</f>
        <v/>
      </c>
      <c r="C4830" s="62" t="str">
        <f aca="false">IF($M4830=0,"",INDEX(Classes!$H$6:$H$420,$M4830))</f>
        <v/>
      </c>
      <c r="D4830" s="61" t="str">
        <f aca="false">IF($M4830=0,"",INDEX(Classes!$B$6:$B$420,$M4830))</f>
        <v/>
      </c>
      <c r="E4830" s="61" t="str">
        <f aca="false">IF($M4830=0,"",INDEX(Classes!$C$6:$C$420,$M4830))</f>
        <v/>
      </c>
      <c r="F4830" s="63"/>
      <c r="G4830" s="63"/>
      <c r="H4830" s="60"/>
      <c r="I4830" s="60"/>
      <c r="J4830" s="63"/>
      <c r="K4830" s="61" t="str">
        <f aca="false">IF($P4830=0,"",IF($F4830="Baseline","— Baseline",IF($O4830=0,"No result",IF($N4830=0,"No Start (attainment only)",IF(OR($N4830=1,$O4830=1),"U – needs rule",INDEX(MxBody,MATCH($I4830,MxCurr,0),MATCH($H4830,MxStart,0)))))))</f>
        <v/>
      </c>
      <c r="L4830" s="62" t="str">
        <f aca="false">IF(COUNTA($A4830,$F4830,$G4830,$H4830,$I4830,$J4830)=0,"",IF($M4830=0,"✖ كود الصف غير موجود",IF(ISNA(MATCH($F4830,Lists!$A$2:$A$5,0)),"✖ الفترة غير صحيحة",IF(ISNA(MATCH($G4830,Lists!$B$2:$B$7,0)),"✖ المجموعة غير صحيحة",IF(NOT(OR($H4830="",$N4830&gt;0)),"✖ Start غير صحيح",IF(NOT(OR($I4830="",$I4830="NR",$O4830&gt;0)),"✖ Current غير صحيح",IF(NOT(IF(ISNUMBER($J4830),AND($J4830&gt;=0,$J4830=INT($J4830)),FALSE())),"✖ العدد يجب أن يكون صحيحًا ≥ 0",IF(AND($F4830="Baseline",$H4830&lt;&gt;""),"⚠ Baseline: Start لا يدخل في التقدم",IF($K4830="No Start (attainment only)","ℹ تحصيل فقط (بدون Start)",IF($K4830="U – needs rule","ℹ حالة U تحتاج قاعدة معتمدة",IF($K4830="No result","ℹ بدون نتيجة (يُستبعد من التحصيل)","OK")))))))))))</f>
        <v/>
      </c>
      <c r="M4830" s="64" t="n">
        <f aca="false">IF($A4830="",0,IFERROR(MATCH($A4830,Classes!$A$6:$A$420,0),0))</f>
        <v>0</v>
      </c>
      <c r="N4830" s="64" t="n">
        <f aca="false">IF($H4830="",0,IFERROR(MATCH($H4830,GradeList,0),0))</f>
        <v>0</v>
      </c>
      <c r="O4830" s="64" t="n">
        <f aca="false">IF(OR($I4830="",$I4830="NR"),0,IFERROR(MATCH($I4830,GradeList,0),0))</f>
        <v>0</v>
      </c>
      <c r="P4830" s="64" t="n">
        <f aca="false">IF(AND($M4830&gt;0,ISNUMBER(MATCH($F4830,Lists!$A$2:$A$5,0)),ISNUMBER(MATCH($G4830,Lists!$B$2:$B$7,0)),OR($H4830="",$N4830&gt;0),OR($I4830="",$I4830="NR",$O4830&gt;0),IF(ISNUMBER($J4830),AND($J4830&gt;=0,$J4830=INT($J4830)),FALSE())),$J4830,0)</f>
        <v>0</v>
      </c>
      <c r="Q4830" s="64" t="n">
        <f aca="false">IF(AND($P4830&gt;0,$O4830&gt;0),$P4830,0)</f>
        <v>0</v>
      </c>
      <c r="R4830" s="64" t="n">
        <f aca="false">IF(AND($Q4830&gt;0,$O4830&gt;=AtRank),$Q4830,0)</f>
        <v>0</v>
      </c>
      <c r="S4830" s="64" t="n">
        <f aca="false">IF(AND($Q4830&gt;0,$O4830&gt;=AboveRank),$Q4830,0)</f>
        <v>0</v>
      </c>
      <c r="T4830" s="64" t="n">
        <f aca="false">IF($K4830="Less",$P4830,0)</f>
        <v>0</v>
      </c>
      <c r="U4830" s="64" t="n">
        <f aca="false">IF($K4830="Expected",$P4830,0)</f>
        <v>0</v>
      </c>
      <c r="V4830" s="64" t="n">
        <f aca="false">IF($K4830="Better",$P4830,0)</f>
        <v>0</v>
      </c>
      <c r="W4830" s="64" t="n">
        <f aca="false">IF($K4830="U – needs rule",$P4830,0)</f>
        <v>0</v>
      </c>
      <c r="X4830" s="64" t="n">
        <f aca="false">IF($K4830="No Start (attainment only)",$P4830,0)</f>
        <v>0</v>
      </c>
    </row>
    <row r="4831" customFormat="false" ht="15" hidden="false" customHeight="false" outlineLevel="0" collapsed="false">
      <c r="A4831" s="60"/>
      <c r="B4831" s="61" t="str">
        <f aca="false">IF($M4831=0,"",INDEX(Classes!$E$6:$E$420,$M4831))</f>
        <v/>
      </c>
      <c r="C4831" s="62" t="str">
        <f aca="false">IF($M4831=0,"",INDEX(Classes!$H$6:$H$420,$M4831))</f>
        <v/>
      </c>
      <c r="D4831" s="61" t="str">
        <f aca="false">IF($M4831=0,"",INDEX(Classes!$B$6:$B$420,$M4831))</f>
        <v/>
      </c>
      <c r="E4831" s="61" t="str">
        <f aca="false">IF($M4831=0,"",INDEX(Classes!$C$6:$C$420,$M4831))</f>
        <v/>
      </c>
      <c r="F4831" s="63"/>
      <c r="G4831" s="63"/>
      <c r="H4831" s="60"/>
      <c r="I4831" s="60"/>
      <c r="J4831" s="63"/>
      <c r="K4831" s="61" t="str">
        <f aca="false">IF($P4831=0,"",IF($F4831="Baseline","— Baseline",IF($O4831=0,"No result",IF($N4831=0,"No Start (attainment only)",IF(OR($N4831=1,$O4831=1),"U – needs rule",INDEX(MxBody,MATCH($I4831,MxCurr,0),MATCH($H4831,MxStart,0)))))))</f>
        <v/>
      </c>
      <c r="L4831" s="62" t="str">
        <f aca="false">IF(COUNTA($A4831,$F4831,$G4831,$H4831,$I4831,$J4831)=0,"",IF($M4831=0,"✖ كود الصف غير موجود",IF(ISNA(MATCH($F4831,Lists!$A$2:$A$5,0)),"✖ الفترة غير صحيحة",IF(ISNA(MATCH($G4831,Lists!$B$2:$B$7,0)),"✖ المجموعة غير صحيحة",IF(NOT(OR($H4831="",$N4831&gt;0)),"✖ Start غير صحيح",IF(NOT(OR($I4831="",$I4831="NR",$O4831&gt;0)),"✖ Current غير صحيح",IF(NOT(IF(ISNUMBER($J4831),AND($J4831&gt;=0,$J4831=INT($J4831)),FALSE())),"✖ العدد يجب أن يكون صحيحًا ≥ 0",IF(AND($F4831="Baseline",$H4831&lt;&gt;""),"⚠ Baseline: Start لا يدخل في التقدم",IF($K4831="No Start (attainment only)","ℹ تحصيل فقط (بدون Start)",IF($K4831="U – needs rule","ℹ حالة U تحتاج قاعدة معتمدة",IF($K4831="No result","ℹ بدون نتيجة (يُستبعد من التحصيل)","OK")))))))))))</f>
        <v/>
      </c>
      <c r="M4831" s="64" t="n">
        <f aca="false">IF($A4831="",0,IFERROR(MATCH($A4831,Classes!$A$6:$A$420,0),0))</f>
        <v>0</v>
      </c>
      <c r="N4831" s="64" t="n">
        <f aca="false">IF($H4831="",0,IFERROR(MATCH($H4831,GradeList,0),0))</f>
        <v>0</v>
      </c>
      <c r="O4831" s="64" t="n">
        <f aca="false">IF(OR($I4831="",$I4831="NR"),0,IFERROR(MATCH($I4831,GradeList,0),0))</f>
        <v>0</v>
      </c>
      <c r="P4831" s="64" t="n">
        <f aca="false">IF(AND($M4831&gt;0,ISNUMBER(MATCH($F4831,Lists!$A$2:$A$5,0)),ISNUMBER(MATCH($G4831,Lists!$B$2:$B$7,0)),OR($H4831="",$N4831&gt;0),OR($I4831="",$I4831="NR",$O4831&gt;0),IF(ISNUMBER($J4831),AND($J4831&gt;=0,$J4831=INT($J4831)),FALSE())),$J4831,0)</f>
        <v>0</v>
      </c>
      <c r="Q4831" s="64" t="n">
        <f aca="false">IF(AND($P4831&gt;0,$O4831&gt;0),$P4831,0)</f>
        <v>0</v>
      </c>
      <c r="R4831" s="64" t="n">
        <f aca="false">IF(AND($Q4831&gt;0,$O4831&gt;=AtRank),$Q4831,0)</f>
        <v>0</v>
      </c>
      <c r="S4831" s="64" t="n">
        <f aca="false">IF(AND($Q4831&gt;0,$O4831&gt;=AboveRank),$Q4831,0)</f>
        <v>0</v>
      </c>
      <c r="T4831" s="64" t="n">
        <f aca="false">IF($K4831="Less",$P4831,0)</f>
        <v>0</v>
      </c>
      <c r="U4831" s="64" t="n">
        <f aca="false">IF($K4831="Expected",$P4831,0)</f>
        <v>0</v>
      </c>
      <c r="V4831" s="64" t="n">
        <f aca="false">IF($K4831="Better",$P4831,0)</f>
        <v>0</v>
      </c>
      <c r="W4831" s="64" t="n">
        <f aca="false">IF($K4831="U – needs rule",$P4831,0)</f>
        <v>0</v>
      </c>
      <c r="X4831" s="64" t="n">
        <f aca="false">IF($K4831="No Start (attainment only)",$P4831,0)</f>
        <v>0</v>
      </c>
    </row>
    <row r="4832" customFormat="false" ht="15" hidden="false" customHeight="false" outlineLevel="0" collapsed="false">
      <c r="A4832" s="60"/>
      <c r="B4832" s="61" t="str">
        <f aca="false">IF($M4832=0,"",INDEX(Classes!$E$6:$E$420,$M4832))</f>
        <v/>
      </c>
      <c r="C4832" s="62" t="str">
        <f aca="false">IF($M4832=0,"",INDEX(Classes!$H$6:$H$420,$M4832))</f>
        <v/>
      </c>
      <c r="D4832" s="61" t="str">
        <f aca="false">IF($M4832=0,"",INDEX(Classes!$B$6:$B$420,$M4832))</f>
        <v/>
      </c>
      <c r="E4832" s="61" t="str">
        <f aca="false">IF($M4832=0,"",INDEX(Classes!$C$6:$C$420,$M4832))</f>
        <v/>
      </c>
      <c r="F4832" s="63"/>
      <c r="G4832" s="63"/>
      <c r="H4832" s="60"/>
      <c r="I4832" s="60"/>
      <c r="J4832" s="63"/>
      <c r="K4832" s="61" t="str">
        <f aca="false">IF($P4832=0,"",IF($F4832="Baseline","— Baseline",IF($O4832=0,"No result",IF($N4832=0,"No Start (attainment only)",IF(OR($N4832=1,$O4832=1),"U – needs rule",INDEX(MxBody,MATCH($I4832,MxCurr,0),MATCH($H4832,MxStart,0)))))))</f>
        <v/>
      </c>
      <c r="L4832" s="62" t="str">
        <f aca="false">IF(COUNTA($A4832,$F4832,$G4832,$H4832,$I4832,$J4832)=0,"",IF($M4832=0,"✖ كود الصف غير موجود",IF(ISNA(MATCH($F4832,Lists!$A$2:$A$5,0)),"✖ الفترة غير صحيحة",IF(ISNA(MATCH($G4832,Lists!$B$2:$B$7,0)),"✖ المجموعة غير صحيحة",IF(NOT(OR($H4832="",$N4832&gt;0)),"✖ Start غير صحيح",IF(NOT(OR($I4832="",$I4832="NR",$O4832&gt;0)),"✖ Current غير صحيح",IF(NOT(IF(ISNUMBER($J4832),AND($J4832&gt;=0,$J4832=INT($J4832)),FALSE())),"✖ العدد يجب أن يكون صحيحًا ≥ 0",IF(AND($F4832="Baseline",$H4832&lt;&gt;""),"⚠ Baseline: Start لا يدخل في التقدم",IF($K4832="No Start (attainment only)","ℹ تحصيل فقط (بدون Start)",IF($K4832="U – needs rule","ℹ حالة U تحتاج قاعدة معتمدة",IF($K4832="No result","ℹ بدون نتيجة (يُستبعد من التحصيل)","OK")))))))))))</f>
        <v/>
      </c>
      <c r="M4832" s="64" t="n">
        <f aca="false">IF($A4832="",0,IFERROR(MATCH($A4832,Classes!$A$6:$A$420,0),0))</f>
        <v>0</v>
      </c>
      <c r="N4832" s="64" t="n">
        <f aca="false">IF($H4832="",0,IFERROR(MATCH($H4832,GradeList,0),0))</f>
        <v>0</v>
      </c>
      <c r="O4832" s="64" t="n">
        <f aca="false">IF(OR($I4832="",$I4832="NR"),0,IFERROR(MATCH($I4832,GradeList,0),0))</f>
        <v>0</v>
      </c>
      <c r="P4832" s="64" t="n">
        <f aca="false">IF(AND($M4832&gt;0,ISNUMBER(MATCH($F4832,Lists!$A$2:$A$5,0)),ISNUMBER(MATCH($G4832,Lists!$B$2:$B$7,0)),OR($H4832="",$N4832&gt;0),OR($I4832="",$I4832="NR",$O4832&gt;0),IF(ISNUMBER($J4832),AND($J4832&gt;=0,$J4832=INT($J4832)),FALSE())),$J4832,0)</f>
        <v>0</v>
      </c>
      <c r="Q4832" s="64" t="n">
        <f aca="false">IF(AND($P4832&gt;0,$O4832&gt;0),$P4832,0)</f>
        <v>0</v>
      </c>
      <c r="R4832" s="64" t="n">
        <f aca="false">IF(AND($Q4832&gt;0,$O4832&gt;=AtRank),$Q4832,0)</f>
        <v>0</v>
      </c>
      <c r="S4832" s="64" t="n">
        <f aca="false">IF(AND($Q4832&gt;0,$O4832&gt;=AboveRank),$Q4832,0)</f>
        <v>0</v>
      </c>
      <c r="T4832" s="64" t="n">
        <f aca="false">IF($K4832="Less",$P4832,0)</f>
        <v>0</v>
      </c>
      <c r="U4832" s="64" t="n">
        <f aca="false">IF($K4832="Expected",$P4832,0)</f>
        <v>0</v>
      </c>
      <c r="V4832" s="64" t="n">
        <f aca="false">IF($K4832="Better",$P4832,0)</f>
        <v>0</v>
      </c>
      <c r="W4832" s="64" t="n">
        <f aca="false">IF($K4832="U – needs rule",$P4832,0)</f>
        <v>0</v>
      </c>
      <c r="X4832" s="64" t="n">
        <f aca="false">IF($K4832="No Start (attainment only)",$P4832,0)</f>
        <v>0</v>
      </c>
    </row>
    <row r="4833" customFormat="false" ht="15" hidden="false" customHeight="false" outlineLevel="0" collapsed="false">
      <c r="A4833" s="60"/>
      <c r="B4833" s="61" t="str">
        <f aca="false">IF($M4833=0,"",INDEX(Classes!$E$6:$E$420,$M4833))</f>
        <v/>
      </c>
      <c r="C4833" s="62" t="str">
        <f aca="false">IF($M4833=0,"",INDEX(Classes!$H$6:$H$420,$M4833))</f>
        <v/>
      </c>
      <c r="D4833" s="61" t="str">
        <f aca="false">IF($M4833=0,"",INDEX(Classes!$B$6:$B$420,$M4833))</f>
        <v/>
      </c>
      <c r="E4833" s="61" t="str">
        <f aca="false">IF($M4833=0,"",INDEX(Classes!$C$6:$C$420,$M4833))</f>
        <v/>
      </c>
      <c r="F4833" s="63"/>
      <c r="G4833" s="63"/>
      <c r="H4833" s="60"/>
      <c r="I4833" s="60"/>
      <c r="J4833" s="63"/>
      <c r="K4833" s="61" t="str">
        <f aca="false">IF($P4833=0,"",IF($F4833="Baseline","— Baseline",IF($O4833=0,"No result",IF($N4833=0,"No Start (attainment only)",IF(OR($N4833=1,$O4833=1),"U – needs rule",INDEX(MxBody,MATCH($I4833,MxCurr,0),MATCH($H4833,MxStart,0)))))))</f>
        <v/>
      </c>
      <c r="L4833" s="62" t="str">
        <f aca="false">IF(COUNTA($A4833,$F4833,$G4833,$H4833,$I4833,$J4833)=0,"",IF($M4833=0,"✖ كود الصف غير موجود",IF(ISNA(MATCH($F4833,Lists!$A$2:$A$5,0)),"✖ الفترة غير صحيحة",IF(ISNA(MATCH($G4833,Lists!$B$2:$B$7,0)),"✖ المجموعة غير صحيحة",IF(NOT(OR($H4833="",$N4833&gt;0)),"✖ Start غير صحيح",IF(NOT(OR($I4833="",$I4833="NR",$O4833&gt;0)),"✖ Current غير صحيح",IF(NOT(IF(ISNUMBER($J4833),AND($J4833&gt;=0,$J4833=INT($J4833)),FALSE())),"✖ العدد يجب أن يكون صحيحًا ≥ 0",IF(AND($F4833="Baseline",$H4833&lt;&gt;""),"⚠ Baseline: Start لا يدخل في التقدم",IF($K4833="No Start (attainment only)","ℹ تحصيل فقط (بدون Start)",IF($K4833="U – needs rule","ℹ حالة U تحتاج قاعدة معتمدة",IF($K4833="No result","ℹ بدون نتيجة (يُستبعد من التحصيل)","OK")))))))))))</f>
        <v/>
      </c>
      <c r="M4833" s="64" t="n">
        <f aca="false">IF($A4833="",0,IFERROR(MATCH($A4833,Classes!$A$6:$A$420,0),0))</f>
        <v>0</v>
      </c>
      <c r="N4833" s="64" t="n">
        <f aca="false">IF($H4833="",0,IFERROR(MATCH($H4833,GradeList,0),0))</f>
        <v>0</v>
      </c>
      <c r="O4833" s="64" t="n">
        <f aca="false">IF(OR($I4833="",$I4833="NR"),0,IFERROR(MATCH($I4833,GradeList,0),0))</f>
        <v>0</v>
      </c>
      <c r="P4833" s="64" t="n">
        <f aca="false">IF(AND($M4833&gt;0,ISNUMBER(MATCH($F4833,Lists!$A$2:$A$5,0)),ISNUMBER(MATCH($G4833,Lists!$B$2:$B$7,0)),OR($H4833="",$N4833&gt;0),OR($I4833="",$I4833="NR",$O4833&gt;0),IF(ISNUMBER($J4833),AND($J4833&gt;=0,$J4833=INT($J4833)),FALSE())),$J4833,0)</f>
        <v>0</v>
      </c>
      <c r="Q4833" s="64" t="n">
        <f aca="false">IF(AND($P4833&gt;0,$O4833&gt;0),$P4833,0)</f>
        <v>0</v>
      </c>
      <c r="R4833" s="64" t="n">
        <f aca="false">IF(AND($Q4833&gt;0,$O4833&gt;=AtRank),$Q4833,0)</f>
        <v>0</v>
      </c>
      <c r="S4833" s="64" t="n">
        <f aca="false">IF(AND($Q4833&gt;0,$O4833&gt;=AboveRank),$Q4833,0)</f>
        <v>0</v>
      </c>
      <c r="T4833" s="64" t="n">
        <f aca="false">IF($K4833="Less",$P4833,0)</f>
        <v>0</v>
      </c>
      <c r="U4833" s="64" t="n">
        <f aca="false">IF($K4833="Expected",$P4833,0)</f>
        <v>0</v>
      </c>
      <c r="V4833" s="64" t="n">
        <f aca="false">IF($K4833="Better",$P4833,0)</f>
        <v>0</v>
      </c>
      <c r="W4833" s="64" t="n">
        <f aca="false">IF($K4833="U – needs rule",$P4833,0)</f>
        <v>0</v>
      </c>
      <c r="X4833" s="64" t="n">
        <f aca="false">IF($K4833="No Start (attainment only)",$P4833,0)</f>
        <v>0</v>
      </c>
    </row>
    <row r="4834" customFormat="false" ht="15" hidden="false" customHeight="false" outlineLevel="0" collapsed="false">
      <c r="A4834" s="60"/>
      <c r="B4834" s="61" t="str">
        <f aca="false">IF($M4834=0,"",INDEX(Classes!$E$6:$E$420,$M4834))</f>
        <v/>
      </c>
      <c r="C4834" s="62" t="str">
        <f aca="false">IF($M4834=0,"",INDEX(Classes!$H$6:$H$420,$M4834))</f>
        <v/>
      </c>
      <c r="D4834" s="61" t="str">
        <f aca="false">IF($M4834=0,"",INDEX(Classes!$B$6:$B$420,$M4834))</f>
        <v/>
      </c>
      <c r="E4834" s="61" t="str">
        <f aca="false">IF($M4834=0,"",INDEX(Classes!$C$6:$C$420,$M4834))</f>
        <v/>
      </c>
      <c r="F4834" s="63"/>
      <c r="G4834" s="63"/>
      <c r="H4834" s="60"/>
      <c r="I4834" s="60"/>
      <c r="J4834" s="63"/>
      <c r="K4834" s="61" t="str">
        <f aca="false">IF($P4834=0,"",IF($F4834="Baseline","— Baseline",IF($O4834=0,"No result",IF($N4834=0,"No Start (attainment only)",IF(OR($N4834=1,$O4834=1),"U – needs rule",INDEX(MxBody,MATCH($I4834,MxCurr,0),MATCH($H4834,MxStart,0)))))))</f>
        <v/>
      </c>
      <c r="L4834" s="62" t="str">
        <f aca="false">IF(COUNTA($A4834,$F4834,$G4834,$H4834,$I4834,$J4834)=0,"",IF($M4834=0,"✖ كود الصف غير موجود",IF(ISNA(MATCH($F4834,Lists!$A$2:$A$5,0)),"✖ الفترة غير صحيحة",IF(ISNA(MATCH($G4834,Lists!$B$2:$B$7,0)),"✖ المجموعة غير صحيحة",IF(NOT(OR($H4834="",$N4834&gt;0)),"✖ Start غير صحيح",IF(NOT(OR($I4834="",$I4834="NR",$O4834&gt;0)),"✖ Current غير صحيح",IF(NOT(IF(ISNUMBER($J4834),AND($J4834&gt;=0,$J4834=INT($J4834)),FALSE())),"✖ العدد يجب أن يكون صحيحًا ≥ 0",IF(AND($F4834="Baseline",$H4834&lt;&gt;""),"⚠ Baseline: Start لا يدخل في التقدم",IF($K4834="No Start (attainment only)","ℹ تحصيل فقط (بدون Start)",IF($K4834="U – needs rule","ℹ حالة U تحتاج قاعدة معتمدة",IF($K4834="No result","ℹ بدون نتيجة (يُستبعد من التحصيل)","OK")))))))))))</f>
        <v/>
      </c>
      <c r="M4834" s="64" t="n">
        <f aca="false">IF($A4834="",0,IFERROR(MATCH($A4834,Classes!$A$6:$A$420,0),0))</f>
        <v>0</v>
      </c>
      <c r="N4834" s="64" t="n">
        <f aca="false">IF($H4834="",0,IFERROR(MATCH($H4834,GradeList,0),0))</f>
        <v>0</v>
      </c>
      <c r="O4834" s="64" t="n">
        <f aca="false">IF(OR($I4834="",$I4834="NR"),0,IFERROR(MATCH($I4834,GradeList,0),0))</f>
        <v>0</v>
      </c>
      <c r="P4834" s="64" t="n">
        <f aca="false">IF(AND($M4834&gt;0,ISNUMBER(MATCH($F4834,Lists!$A$2:$A$5,0)),ISNUMBER(MATCH($G4834,Lists!$B$2:$B$7,0)),OR($H4834="",$N4834&gt;0),OR($I4834="",$I4834="NR",$O4834&gt;0),IF(ISNUMBER($J4834),AND($J4834&gt;=0,$J4834=INT($J4834)),FALSE())),$J4834,0)</f>
        <v>0</v>
      </c>
      <c r="Q4834" s="64" t="n">
        <f aca="false">IF(AND($P4834&gt;0,$O4834&gt;0),$P4834,0)</f>
        <v>0</v>
      </c>
      <c r="R4834" s="64" t="n">
        <f aca="false">IF(AND($Q4834&gt;0,$O4834&gt;=AtRank),$Q4834,0)</f>
        <v>0</v>
      </c>
      <c r="S4834" s="64" t="n">
        <f aca="false">IF(AND($Q4834&gt;0,$O4834&gt;=AboveRank),$Q4834,0)</f>
        <v>0</v>
      </c>
      <c r="T4834" s="64" t="n">
        <f aca="false">IF($K4834="Less",$P4834,0)</f>
        <v>0</v>
      </c>
      <c r="U4834" s="64" t="n">
        <f aca="false">IF($K4834="Expected",$P4834,0)</f>
        <v>0</v>
      </c>
      <c r="V4834" s="64" t="n">
        <f aca="false">IF($K4834="Better",$P4834,0)</f>
        <v>0</v>
      </c>
      <c r="W4834" s="64" t="n">
        <f aca="false">IF($K4834="U – needs rule",$P4834,0)</f>
        <v>0</v>
      </c>
      <c r="X4834" s="64" t="n">
        <f aca="false">IF($K4834="No Start (attainment only)",$P4834,0)</f>
        <v>0</v>
      </c>
    </row>
    <row r="4835" customFormat="false" ht="15" hidden="false" customHeight="false" outlineLevel="0" collapsed="false">
      <c r="A4835" s="60"/>
      <c r="B4835" s="61" t="str">
        <f aca="false">IF($M4835=0,"",INDEX(Classes!$E$6:$E$420,$M4835))</f>
        <v/>
      </c>
      <c r="C4835" s="62" t="str">
        <f aca="false">IF($M4835=0,"",INDEX(Classes!$H$6:$H$420,$M4835))</f>
        <v/>
      </c>
      <c r="D4835" s="61" t="str">
        <f aca="false">IF($M4835=0,"",INDEX(Classes!$B$6:$B$420,$M4835))</f>
        <v/>
      </c>
      <c r="E4835" s="61" t="str">
        <f aca="false">IF($M4835=0,"",INDEX(Classes!$C$6:$C$420,$M4835))</f>
        <v/>
      </c>
      <c r="F4835" s="63"/>
      <c r="G4835" s="63"/>
      <c r="H4835" s="60"/>
      <c r="I4835" s="60"/>
      <c r="J4835" s="63"/>
      <c r="K4835" s="61" t="str">
        <f aca="false">IF($P4835=0,"",IF($F4835="Baseline","— Baseline",IF($O4835=0,"No result",IF($N4835=0,"No Start (attainment only)",IF(OR($N4835=1,$O4835=1),"U – needs rule",INDEX(MxBody,MATCH($I4835,MxCurr,0),MATCH($H4835,MxStart,0)))))))</f>
        <v/>
      </c>
      <c r="L4835" s="62" t="str">
        <f aca="false">IF(COUNTA($A4835,$F4835,$G4835,$H4835,$I4835,$J4835)=0,"",IF($M4835=0,"✖ كود الصف غير موجود",IF(ISNA(MATCH($F4835,Lists!$A$2:$A$5,0)),"✖ الفترة غير صحيحة",IF(ISNA(MATCH($G4835,Lists!$B$2:$B$7,0)),"✖ المجموعة غير صحيحة",IF(NOT(OR($H4835="",$N4835&gt;0)),"✖ Start غير صحيح",IF(NOT(OR($I4835="",$I4835="NR",$O4835&gt;0)),"✖ Current غير صحيح",IF(NOT(IF(ISNUMBER($J4835),AND($J4835&gt;=0,$J4835=INT($J4835)),FALSE())),"✖ العدد يجب أن يكون صحيحًا ≥ 0",IF(AND($F4835="Baseline",$H4835&lt;&gt;""),"⚠ Baseline: Start لا يدخل في التقدم",IF($K4835="No Start (attainment only)","ℹ تحصيل فقط (بدون Start)",IF($K4835="U – needs rule","ℹ حالة U تحتاج قاعدة معتمدة",IF($K4835="No result","ℹ بدون نتيجة (يُستبعد من التحصيل)","OK")))))))))))</f>
        <v/>
      </c>
      <c r="M4835" s="64" t="n">
        <f aca="false">IF($A4835="",0,IFERROR(MATCH($A4835,Classes!$A$6:$A$420,0),0))</f>
        <v>0</v>
      </c>
      <c r="N4835" s="64" t="n">
        <f aca="false">IF($H4835="",0,IFERROR(MATCH($H4835,GradeList,0),0))</f>
        <v>0</v>
      </c>
      <c r="O4835" s="64" t="n">
        <f aca="false">IF(OR($I4835="",$I4835="NR"),0,IFERROR(MATCH($I4835,GradeList,0),0))</f>
        <v>0</v>
      </c>
      <c r="P4835" s="64" t="n">
        <f aca="false">IF(AND($M4835&gt;0,ISNUMBER(MATCH($F4835,Lists!$A$2:$A$5,0)),ISNUMBER(MATCH($G4835,Lists!$B$2:$B$7,0)),OR($H4835="",$N4835&gt;0),OR($I4835="",$I4835="NR",$O4835&gt;0),IF(ISNUMBER($J4835),AND($J4835&gt;=0,$J4835=INT($J4835)),FALSE())),$J4835,0)</f>
        <v>0</v>
      </c>
      <c r="Q4835" s="64" t="n">
        <f aca="false">IF(AND($P4835&gt;0,$O4835&gt;0),$P4835,0)</f>
        <v>0</v>
      </c>
      <c r="R4835" s="64" t="n">
        <f aca="false">IF(AND($Q4835&gt;0,$O4835&gt;=AtRank),$Q4835,0)</f>
        <v>0</v>
      </c>
      <c r="S4835" s="64" t="n">
        <f aca="false">IF(AND($Q4835&gt;0,$O4835&gt;=AboveRank),$Q4835,0)</f>
        <v>0</v>
      </c>
      <c r="T4835" s="64" t="n">
        <f aca="false">IF($K4835="Less",$P4835,0)</f>
        <v>0</v>
      </c>
      <c r="U4835" s="64" t="n">
        <f aca="false">IF($K4835="Expected",$P4835,0)</f>
        <v>0</v>
      </c>
      <c r="V4835" s="64" t="n">
        <f aca="false">IF($K4835="Better",$P4835,0)</f>
        <v>0</v>
      </c>
      <c r="W4835" s="64" t="n">
        <f aca="false">IF($K4835="U – needs rule",$P4835,0)</f>
        <v>0</v>
      </c>
      <c r="X4835" s="64" t="n">
        <f aca="false">IF($K4835="No Start (attainment only)",$P4835,0)</f>
        <v>0</v>
      </c>
    </row>
    <row r="4836" customFormat="false" ht="15" hidden="false" customHeight="false" outlineLevel="0" collapsed="false">
      <c r="A4836" s="60"/>
      <c r="B4836" s="61" t="str">
        <f aca="false">IF($M4836=0,"",INDEX(Classes!$E$6:$E$420,$M4836))</f>
        <v/>
      </c>
      <c r="C4836" s="62" t="str">
        <f aca="false">IF($M4836=0,"",INDEX(Classes!$H$6:$H$420,$M4836))</f>
        <v/>
      </c>
      <c r="D4836" s="61" t="str">
        <f aca="false">IF($M4836=0,"",INDEX(Classes!$B$6:$B$420,$M4836))</f>
        <v/>
      </c>
      <c r="E4836" s="61" t="str">
        <f aca="false">IF($M4836=0,"",INDEX(Classes!$C$6:$C$420,$M4836))</f>
        <v/>
      </c>
      <c r="F4836" s="63"/>
      <c r="G4836" s="63"/>
      <c r="H4836" s="60"/>
      <c r="I4836" s="60"/>
      <c r="J4836" s="63"/>
      <c r="K4836" s="61" t="str">
        <f aca="false">IF($P4836=0,"",IF($F4836="Baseline","— Baseline",IF($O4836=0,"No result",IF($N4836=0,"No Start (attainment only)",IF(OR($N4836=1,$O4836=1),"U – needs rule",INDEX(MxBody,MATCH($I4836,MxCurr,0),MATCH($H4836,MxStart,0)))))))</f>
        <v/>
      </c>
      <c r="L4836" s="62" t="str">
        <f aca="false">IF(COUNTA($A4836,$F4836,$G4836,$H4836,$I4836,$J4836)=0,"",IF($M4836=0,"✖ كود الصف غير موجود",IF(ISNA(MATCH($F4836,Lists!$A$2:$A$5,0)),"✖ الفترة غير صحيحة",IF(ISNA(MATCH($G4836,Lists!$B$2:$B$7,0)),"✖ المجموعة غير صحيحة",IF(NOT(OR($H4836="",$N4836&gt;0)),"✖ Start غير صحيح",IF(NOT(OR($I4836="",$I4836="NR",$O4836&gt;0)),"✖ Current غير صحيح",IF(NOT(IF(ISNUMBER($J4836),AND($J4836&gt;=0,$J4836=INT($J4836)),FALSE())),"✖ العدد يجب أن يكون صحيحًا ≥ 0",IF(AND($F4836="Baseline",$H4836&lt;&gt;""),"⚠ Baseline: Start لا يدخل في التقدم",IF($K4836="No Start (attainment only)","ℹ تحصيل فقط (بدون Start)",IF($K4836="U – needs rule","ℹ حالة U تحتاج قاعدة معتمدة",IF($K4836="No result","ℹ بدون نتيجة (يُستبعد من التحصيل)","OK")))))))))))</f>
        <v/>
      </c>
      <c r="M4836" s="64" t="n">
        <f aca="false">IF($A4836="",0,IFERROR(MATCH($A4836,Classes!$A$6:$A$420,0),0))</f>
        <v>0</v>
      </c>
      <c r="N4836" s="64" t="n">
        <f aca="false">IF($H4836="",0,IFERROR(MATCH($H4836,GradeList,0),0))</f>
        <v>0</v>
      </c>
      <c r="O4836" s="64" t="n">
        <f aca="false">IF(OR($I4836="",$I4836="NR"),0,IFERROR(MATCH($I4836,GradeList,0),0))</f>
        <v>0</v>
      </c>
      <c r="P4836" s="64" t="n">
        <f aca="false">IF(AND($M4836&gt;0,ISNUMBER(MATCH($F4836,Lists!$A$2:$A$5,0)),ISNUMBER(MATCH($G4836,Lists!$B$2:$B$7,0)),OR($H4836="",$N4836&gt;0),OR($I4836="",$I4836="NR",$O4836&gt;0),IF(ISNUMBER($J4836),AND($J4836&gt;=0,$J4836=INT($J4836)),FALSE())),$J4836,0)</f>
        <v>0</v>
      </c>
      <c r="Q4836" s="64" t="n">
        <f aca="false">IF(AND($P4836&gt;0,$O4836&gt;0),$P4836,0)</f>
        <v>0</v>
      </c>
      <c r="R4836" s="64" t="n">
        <f aca="false">IF(AND($Q4836&gt;0,$O4836&gt;=AtRank),$Q4836,0)</f>
        <v>0</v>
      </c>
      <c r="S4836" s="64" t="n">
        <f aca="false">IF(AND($Q4836&gt;0,$O4836&gt;=AboveRank),$Q4836,0)</f>
        <v>0</v>
      </c>
      <c r="T4836" s="64" t="n">
        <f aca="false">IF($K4836="Less",$P4836,0)</f>
        <v>0</v>
      </c>
      <c r="U4836" s="64" t="n">
        <f aca="false">IF($K4836="Expected",$P4836,0)</f>
        <v>0</v>
      </c>
      <c r="V4836" s="64" t="n">
        <f aca="false">IF($K4836="Better",$P4836,0)</f>
        <v>0</v>
      </c>
      <c r="W4836" s="64" t="n">
        <f aca="false">IF($K4836="U – needs rule",$P4836,0)</f>
        <v>0</v>
      </c>
      <c r="X4836" s="64" t="n">
        <f aca="false">IF($K4836="No Start (attainment only)",$P4836,0)</f>
        <v>0</v>
      </c>
    </row>
    <row r="4837" customFormat="false" ht="15" hidden="false" customHeight="false" outlineLevel="0" collapsed="false">
      <c r="A4837" s="60"/>
      <c r="B4837" s="61" t="str">
        <f aca="false">IF($M4837=0,"",INDEX(Classes!$E$6:$E$420,$M4837))</f>
        <v/>
      </c>
      <c r="C4837" s="62" t="str">
        <f aca="false">IF($M4837=0,"",INDEX(Classes!$H$6:$H$420,$M4837))</f>
        <v/>
      </c>
      <c r="D4837" s="61" t="str">
        <f aca="false">IF($M4837=0,"",INDEX(Classes!$B$6:$B$420,$M4837))</f>
        <v/>
      </c>
      <c r="E4837" s="61" t="str">
        <f aca="false">IF($M4837=0,"",INDEX(Classes!$C$6:$C$420,$M4837))</f>
        <v/>
      </c>
      <c r="F4837" s="63"/>
      <c r="G4837" s="63"/>
      <c r="H4837" s="60"/>
      <c r="I4837" s="60"/>
      <c r="J4837" s="63"/>
      <c r="K4837" s="61" t="str">
        <f aca="false">IF($P4837=0,"",IF($F4837="Baseline","— Baseline",IF($O4837=0,"No result",IF($N4837=0,"No Start (attainment only)",IF(OR($N4837=1,$O4837=1),"U – needs rule",INDEX(MxBody,MATCH($I4837,MxCurr,0),MATCH($H4837,MxStart,0)))))))</f>
        <v/>
      </c>
      <c r="L4837" s="62" t="str">
        <f aca="false">IF(COUNTA($A4837,$F4837,$G4837,$H4837,$I4837,$J4837)=0,"",IF($M4837=0,"✖ كود الصف غير موجود",IF(ISNA(MATCH($F4837,Lists!$A$2:$A$5,0)),"✖ الفترة غير صحيحة",IF(ISNA(MATCH($G4837,Lists!$B$2:$B$7,0)),"✖ المجموعة غير صحيحة",IF(NOT(OR($H4837="",$N4837&gt;0)),"✖ Start غير صحيح",IF(NOT(OR($I4837="",$I4837="NR",$O4837&gt;0)),"✖ Current غير صحيح",IF(NOT(IF(ISNUMBER($J4837),AND($J4837&gt;=0,$J4837=INT($J4837)),FALSE())),"✖ العدد يجب أن يكون صحيحًا ≥ 0",IF(AND($F4837="Baseline",$H4837&lt;&gt;""),"⚠ Baseline: Start لا يدخل في التقدم",IF($K4837="No Start (attainment only)","ℹ تحصيل فقط (بدون Start)",IF($K4837="U – needs rule","ℹ حالة U تحتاج قاعدة معتمدة",IF($K4837="No result","ℹ بدون نتيجة (يُستبعد من التحصيل)","OK")))))))))))</f>
        <v/>
      </c>
      <c r="M4837" s="64" t="n">
        <f aca="false">IF($A4837="",0,IFERROR(MATCH($A4837,Classes!$A$6:$A$420,0),0))</f>
        <v>0</v>
      </c>
      <c r="N4837" s="64" t="n">
        <f aca="false">IF($H4837="",0,IFERROR(MATCH($H4837,GradeList,0),0))</f>
        <v>0</v>
      </c>
      <c r="O4837" s="64" t="n">
        <f aca="false">IF(OR($I4837="",$I4837="NR"),0,IFERROR(MATCH($I4837,GradeList,0),0))</f>
        <v>0</v>
      </c>
      <c r="P4837" s="64" t="n">
        <f aca="false">IF(AND($M4837&gt;0,ISNUMBER(MATCH($F4837,Lists!$A$2:$A$5,0)),ISNUMBER(MATCH($G4837,Lists!$B$2:$B$7,0)),OR($H4837="",$N4837&gt;0),OR($I4837="",$I4837="NR",$O4837&gt;0),IF(ISNUMBER($J4837),AND($J4837&gt;=0,$J4837=INT($J4837)),FALSE())),$J4837,0)</f>
        <v>0</v>
      </c>
      <c r="Q4837" s="64" t="n">
        <f aca="false">IF(AND($P4837&gt;0,$O4837&gt;0),$P4837,0)</f>
        <v>0</v>
      </c>
      <c r="R4837" s="64" t="n">
        <f aca="false">IF(AND($Q4837&gt;0,$O4837&gt;=AtRank),$Q4837,0)</f>
        <v>0</v>
      </c>
      <c r="S4837" s="64" t="n">
        <f aca="false">IF(AND($Q4837&gt;0,$O4837&gt;=AboveRank),$Q4837,0)</f>
        <v>0</v>
      </c>
      <c r="T4837" s="64" t="n">
        <f aca="false">IF($K4837="Less",$P4837,0)</f>
        <v>0</v>
      </c>
      <c r="U4837" s="64" t="n">
        <f aca="false">IF($K4837="Expected",$P4837,0)</f>
        <v>0</v>
      </c>
      <c r="V4837" s="64" t="n">
        <f aca="false">IF($K4837="Better",$P4837,0)</f>
        <v>0</v>
      </c>
      <c r="W4837" s="64" t="n">
        <f aca="false">IF($K4837="U – needs rule",$P4837,0)</f>
        <v>0</v>
      </c>
      <c r="X4837" s="64" t="n">
        <f aca="false">IF($K4837="No Start (attainment only)",$P4837,0)</f>
        <v>0</v>
      </c>
    </row>
    <row r="4838" customFormat="false" ht="15" hidden="false" customHeight="false" outlineLevel="0" collapsed="false">
      <c r="A4838" s="60"/>
      <c r="B4838" s="61" t="str">
        <f aca="false">IF($M4838=0,"",INDEX(Classes!$E$6:$E$420,$M4838))</f>
        <v/>
      </c>
      <c r="C4838" s="62" t="str">
        <f aca="false">IF($M4838=0,"",INDEX(Classes!$H$6:$H$420,$M4838))</f>
        <v/>
      </c>
      <c r="D4838" s="61" t="str">
        <f aca="false">IF($M4838=0,"",INDEX(Classes!$B$6:$B$420,$M4838))</f>
        <v/>
      </c>
      <c r="E4838" s="61" t="str">
        <f aca="false">IF($M4838=0,"",INDEX(Classes!$C$6:$C$420,$M4838))</f>
        <v/>
      </c>
      <c r="F4838" s="63"/>
      <c r="G4838" s="63"/>
      <c r="H4838" s="60"/>
      <c r="I4838" s="60"/>
      <c r="J4838" s="63"/>
      <c r="K4838" s="61" t="str">
        <f aca="false">IF($P4838=0,"",IF($F4838="Baseline","— Baseline",IF($O4838=0,"No result",IF($N4838=0,"No Start (attainment only)",IF(OR($N4838=1,$O4838=1),"U – needs rule",INDEX(MxBody,MATCH($I4838,MxCurr,0),MATCH($H4838,MxStart,0)))))))</f>
        <v/>
      </c>
      <c r="L4838" s="62" t="str">
        <f aca="false">IF(COUNTA($A4838,$F4838,$G4838,$H4838,$I4838,$J4838)=0,"",IF($M4838=0,"✖ كود الصف غير موجود",IF(ISNA(MATCH($F4838,Lists!$A$2:$A$5,0)),"✖ الفترة غير صحيحة",IF(ISNA(MATCH($G4838,Lists!$B$2:$B$7,0)),"✖ المجموعة غير صحيحة",IF(NOT(OR($H4838="",$N4838&gt;0)),"✖ Start غير صحيح",IF(NOT(OR($I4838="",$I4838="NR",$O4838&gt;0)),"✖ Current غير صحيح",IF(NOT(IF(ISNUMBER($J4838),AND($J4838&gt;=0,$J4838=INT($J4838)),FALSE())),"✖ العدد يجب أن يكون صحيحًا ≥ 0",IF(AND($F4838="Baseline",$H4838&lt;&gt;""),"⚠ Baseline: Start لا يدخل في التقدم",IF($K4838="No Start (attainment only)","ℹ تحصيل فقط (بدون Start)",IF($K4838="U – needs rule","ℹ حالة U تحتاج قاعدة معتمدة",IF($K4838="No result","ℹ بدون نتيجة (يُستبعد من التحصيل)","OK")))))))))))</f>
        <v/>
      </c>
      <c r="M4838" s="64" t="n">
        <f aca="false">IF($A4838="",0,IFERROR(MATCH($A4838,Classes!$A$6:$A$420,0),0))</f>
        <v>0</v>
      </c>
      <c r="N4838" s="64" t="n">
        <f aca="false">IF($H4838="",0,IFERROR(MATCH($H4838,GradeList,0),0))</f>
        <v>0</v>
      </c>
      <c r="O4838" s="64" t="n">
        <f aca="false">IF(OR($I4838="",$I4838="NR"),0,IFERROR(MATCH($I4838,GradeList,0),0))</f>
        <v>0</v>
      </c>
      <c r="P4838" s="64" t="n">
        <f aca="false">IF(AND($M4838&gt;0,ISNUMBER(MATCH($F4838,Lists!$A$2:$A$5,0)),ISNUMBER(MATCH($G4838,Lists!$B$2:$B$7,0)),OR($H4838="",$N4838&gt;0),OR($I4838="",$I4838="NR",$O4838&gt;0),IF(ISNUMBER($J4838),AND($J4838&gt;=0,$J4838=INT($J4838)),FALSE())),$J4838,0)</f>
        <v>0</v>
      </c>
      <c r="Q4838" s="64" t="n">
        <f aca="false">IF(AND($P4838&gt;0,$O4838&gt;0),$P4838,0)</f>
        <v>0</v>
      </c>
      <c r="R4838" s="64" t="n">
        <f aca="false">IF(AND($Q4838&gt;0,$O4838&gt;=AtRank),$Q4838,0)</f>
        <v>0</v>
      </c>
      <c r="S4838" s="64" t="n">
        <f aca="false">IF(AND($Q4838&gt;0,$O4838&gt;=AboveRank),$Q4838,0)</f>
        <v>0</v>
      </c>
      <c r="T4838" s="64" t="n">
        <f aca="false">IF($K4838="Less",$P4838,0)</f>
        <v>0</v>
      </c>
      <c r="U4838" s="64" t="n">
        <f aca="false">IF($K4838="Expected",$P4838,0)</f>
        <v>0</v>
      </c>
      <c r="V4838" s="64" t="n">
        <f aca="false">IF($K4838="Better",$P4838,0)</f>
        <v>0</v>
      </c>
      <c r="W4838" s="64" t="n">
        <f aca="false">IF($K4838="U – needs rule",$P4838,0)</f>
        <v>0</v>
      </c>
      <c r="X4838" s="64" t="n">
        <f aca="false">IF($K4838="No Start (attainment only)",$P4838,0)</f>
        <v>0</v>
      </c>
    </row>
    <row r="4839" customFormat="false" ht="15" hidden="false" customHeight="false" outlineLevel="0" collapsed="false">
      <c r="A4839" s="60"/>
      <c r="B4839" s="61" t="str">
        <f aca="false">IF($M4839=0,"",INDEX(Classes!$E$6:$E$420,$M4839))</f>
        <v/>
      </c>
      <c r="C4839" s="62" t="str">
        <f aca="false">IF($M4839=0,"",INDEX(Classes!$H$6:$H$420,$M4839))</f>
        <v/>
      </c>
      <c r="D4839" s="61" t="str">
        <f aca="false">IF($M4839=0,"",INDEX(Classes!$B$6:$B$420,$M4839))</f>
        <v/>
      </c>
      <c r="E4839" s="61" t="str">
        <f aca="false">IF($M4839=0,"",INDEX(Classes!$C$6:$C$420,$M4839))</f>
        <v/>
      </c>
      <c r="F4839" s="63"/>
      <c r="G4839" s="63"/>
      <c r="H4839" s="60"/>
      <c r="I4839" s="60"/>
      <c r="J4839" s="63"/>
      <c r="K4839" s="61" t="str">
        <f aca="false">IF($P4839=0,"",IF($F4839="Baseline","— Baseline",IF($O4839=0,"No result",IF($N4839=0,"No Start (attainment only)",IF(OR($N4839=1,$O4839=1),"U – needs rule",INDEX(MxBody,MATCH($I4839,MxCurr,0),MATCH($H4839,MxStart,0)))))))</f>
        <v/>
      </c>
      <c r="L4839" s="62" t="str">
        <f aca="false">IF(COUNTA($A4839,$F4839,$G4839,$H4839,$I4839,$J4839)=0,"",IF($M4839=0,"✖ كود الصف غير موجود",IF(ISNA(MATCH($F4839,Lists!$A$2:$A$5,0)),"✖ الفترة غير صحيحة",IF(ISNA(MATCH($G4839,Lists!$B$2:$B$7,0)),"✖ المجموعة غير صحيحة",IF(NOT(OR($H4839="",$N4839&gt;0)),"✖ Start غير صحيح",IF(NOT(OR($I4839="",$I4839="NR",$O4839&gt;0)),"✖ Current غير صحيح",IF(NOT(IF(ISNUMBER($J4839),AND($J4839&gt;=0,$J4839=INT($J4839)),FALSE())),"✖ العدد يجب أن يكون صحيحًا ≥ 0",IF(AND($F4839="Baseline",$H4839&lt;&gt;""),"⚠ Baseline: Start لا يدخل في التقدم",IF($K4839="No Start (attainment only)","ℹ تحصيل فقط (بدون Start)",IF($K4839="U – needs rule","ℹ حالة U تحتاج قاعدة معتمدة",IF($K4839="No result","ℹ بدون نتيجة (يُستبعد من التحصيل)","OK")))))))))))</f>
        <v/>
      </c>
      <c r="M4839" s="64" t="n">
        <f aca="false">IF($A4839="",0,IFERROR(MATCH($A4839,Classes!$A$6:$A$420,0),0))</f>
        <v>0</v>
      </c>
      <c r="N4839" s="64" t="n">
        <f aca="false">IF($H4839="",0,IFERROR(MATCH($H4839,GradeList,0),0))</f>
        <v>0</v>
      </c>
      <c r="O4839" s="64" t="n">
        <f aca="false">IF(OR($I4839="",$I4839="NR"),0,IFERROR(MATCH($I4839,GradeList,0),0))</f>
        <v>0</v>
      </c>
      <c r="P4839" s="64" t="n">
        <f aca="false">IF(AND($M4839&gt;0,ISNUMBER(MATCH($F4839,Lists!$A$2:$A$5,0)),ISNUMBER(MATCH($G4839,Lists!$B$2:$B$7,0)),OR($H4839="",$N4839&gt;0),OR($I4839="",$I4839="NR",$O4839&gt;0),IF(ISNUMBER($J4839),AND($J4839&gt;=0,$J4839=INT($J4839)),FALSE())),$J4839,0)</f>
        <v>0</v>
      </c>
      <c r="Q4839" s="64" t="n">
        <f aca="false">IF(AND($P4839&gt;0,$O4839&gt;0),$P4839,0)</f>
        <v>0</v>
      </c>
      <c r="R4839" s="64" t="n">
        <f aca="false">IF(AND($Q4839&gt;0,$O4839&gt;=AtRank),$Q4839,0)</f>
        <v>0</v>
      </c>
      <c r="S4839" s="64" t="n">
        <f aca="false">IF(AND($Q4839&gt;0,$O4839&gt;=AboveRank),$Q4839,0)</f>
        <v>0</v>
      </c>
      <c r="T4839" s="64" t="n">
        <f aca="false">IF($K4839="Less",$P4839,0)</f>
        <v>0</v>
      </c>
      <c r="U4839" s="64" t="n">
        <f aca="false">IF($K4839="Expected",$P4839,0)</f>
        <v>0</v>
      </c>
      <c r="V4839" s="64" t="n">
        <f aca="false">IF($K4839="Better",$P4839,0)</f>
        <v>0</v>
      </c>
      <c r="W4839" s="64" t="n">
        <f aca="false">IF($K4839="U – needs rule",$P4839,0)</f>
        <v>0</v>
      </c>
      <c r="X4839" s="64" t="n">
        <f aca="false">IF($K4839="No Start (attainment only)",$P4839,0)</f>
        <v>0</v>
      </c>
    </row>
    <row r="4840" customFormat="false" ht="15" hidden="false" customHeight="false" outlineLevel="0" collapsed="false">
      <c r="A4840" s="60"/>
      <c r="B4840" s="61" t="str">
        <f aca="false">IF($M4840=0,"",INDEX(Classes!$E$6:$E$420,$M4840))</f>
        <v/>
      </c>
      <c r="C4840" s="62" t="str">
        <f aca="false">IF($M4840=0,"",INDEX(Classes!$H$6:$H$420,$M4840))</f>
        <v/>
      </c>
      <c r="D4840" s="61" t="str">
        <f aca="false">IF($M4840=0,"",INDEX(Classes!$B$6:$B$420,$M4840))</f>
        <v/>
      </c>
      <c r="E4840" s="61" t="str">
        <f aca="false">IF($M4840=0,"",INDEX(Classes!$C$6:$C$420,$M4840))</f>
        <v/>
      </c>
      <c r="F4840" s="63"/>
      <c r="G4840" s="63"/>
      <c r="H4840" s="60"/>
      <c r="I4840" s="60"/>
      <c r="J4840" s="63"/>
      <c r="K4840" s="61" t="str">
        <f aca="false">IF($P4840=0,"",IF($F4840="Baseline","— Baseline",IF($O4840=0,"No result",IF($N4840=0,"No Start (attainment only)",IF(OR($N4840=1,$O4840=1),"U – needs rule",INDEX(MxBody,MATCH($I4840,MxCurr,0),MATCH($H4840,MxStart,0)))))))</f>
        <v/>
      </c>
      <c r="L4840" s="62" t="str">
        <f aca="false">IF(COUNTA($A4840,$F4840,$G4840,$H4840,$I4840,$J4840)=0,"",IF($M4840=0,"✖ كود الصف غير موجود",IF(ISNA(MATCH($F4840,Lists!$A$2:$A$5,0)),"✖ الفترة غير صحيحة",IF(ISNA(MATCH($G4840,Lists!$B$2:$B$7,0)),"✖ المجموعة غير صحيحة",IF(NOT(OR($H4840="",$N4840&gt;0)),"✖ Start غير صحيح",IF(NOT(OR($I4840="",$I4840="NR",$O4840&gt;0)),"✖ Current غير صحيح",IF(NOT(IF(ISNUMBER($J4840),AND($J4840&gt;=0,$J4840=INT($J4840)),FALSE())),"✖ العدد يجب أن يكون صحيحًا ≥ 0",IF(AND($F4840="Baseline",$H4840&lt;&gt;""),"⚠ Baseline: Start لا يدخل في التقدم",IF($K4840="No Start (attainment only)","ℹ تحصيل فقط (بدون Start)",IF($K4840="U – needs rule","ℹ حالة U تحتاج قاعدة معتمدة",IF($K4840="No result","ℹ بدون نتيجة (يُستبعد من التحصيل)","OK")))))))))))</f>
        <v/>
      </c>
      <c r="M4840" s="64" t="n">
        <f aca="false">IF($A4840="",0,IFERROR(MATCH($A4840,Classes!$A$6:$A$420,0),0))</f>
        <v>0</v>
      </c>
      <c r="N4840" s="64" t="n">
        <f aca="false">IF($H4840="",0,IFERROR(MATCH($H4840,GradeList,0),0))</f>
        <v>0</v>
      </c>
      <c r="O4840" s="64" t="n">
        <f aca="false">IF(OR($I4840="",$I4840="NR"),0,IFERROR(MATCH($I4840,GradeList,0),0))</f>
        <v>0</v>
      </c>
      <c r="P4840" s="64" t="n">
        <f aca="false">IF(AND($M4840&gt;0,ISNUMBER(MATCH($F4840,Lists!$A$2:$A$5,0)),ISNUMBER(MATCH($G4840,Lists!$B$2:$B$7,0)),OR($H4840="",$N4840&gt;0),OR($I4840="",$I4840="NR",$O4840&gt;0),IF(ISNUMBER($J4840),AND($J4840&gt;=0,$J4840=INT($J4840)),FALSE())),$J4840,0)</f>
        <v>0</v>
      </c>
      <c r="Q4840" s="64" t="n">
        <f aca="false">IF(AND($P4840&gt;0,$O4840&gt;0),$P4840,0)</f>
        <v>0</v>
      </c>
      <c r="R4840" s="64" t="n">
        <f aca="false">IF(AND($Q4840&gt;0,$O4840&gt;=AtRank),$Q4840,0)</f>
        <v>0</v>
      </c>
      <c r="S4840" s="64" t="n">
        <f aca="false">IF(AND($Q4840&gt;0,$O4840&gt;=AboveRank),$Q4840,0)</f>
        <v>0</v>
      </c>
      <c r="T4840" s="64" t="n">
        <f aca="false">IF($K4840="Less",$P4840,0)</f>
        <v>0</v>
      </c>
      <c r="U4840" s="64" t="n">
        <f aca="false">IF($K4840="Expected",$P4840,0)</f>
        <v>0</v>
      </c>
      <c r="V4840" s="64" t="n">
        <f aca="false">IF($K4840="Better",$P4840,0)</f>
        <v>0</v>
      </c>
      <c r="W4840" s="64" t="n">
        <f aca="false">IF($K4840="U – needs rule",$P4840,0)</f>
        <v>0</v>
      </c>
      <c r="X4840" s="64" t="n">
        <f aca="false">IF($K4840="No Start (attainment only)",$P4840,0)</f>
        <v>0</v>
      </c>
    </row>
    <row r="4841" customFormat="false" ht="15" hidden="false" customHeight="false" outlineLevel="0" collapsed="false">
      <c r="A4841" s="60"/>
      <c r="B4841" s="61" t="str">
        <f aca="false">IF($M4841=0,"",INDEX(Classes!$E$6:$E$420,$M4841))</f>
        <v/>
      </c>
      <c r="C4841" s="62" t="str">
        <f aca="false">IF($M4841=0,"",INDEX(Classes!$H$6:$H$420,$M4841))</f>
        <v/>
      </c>
      <c r="D4841" s="61" t="str">
        <f aca="false">IF($M4841=0,"",INDEX(Classes!$B$6:$B$420,$M4841))</f>
        <v/>
      </c>
      <c r="E4841" s="61" t="str">
        <f aca="false">IF($M4841=0,"",INDEX(Classes!$C$6:$C$420,$M4841))</f>
        <v/>
      </c>
      <c r="F4841" s="63"/>
      <c r="G4841" s="63"/>
      <c r="H4841" s="60"/>
      <c r="I4841" s="60"/>
      <c r="J4841" s="63"/>
      <c r="K4841" s="61" t="str">
        <f aca="false">IF($P4841=0,"",IF($F4841="Baseline","— Baseline",IF($O4841=0,"No result",IF($N4841=0,"No Start (attainment only)",IF(OR($N4841=1,$O4841=1),"U – needs rule",INDEX(MxBody,MATCH($I4841,MxCurr,0),MATCH($H4841,MxStart,0)))))))</f>
        <v/>
      </c>
      <c r="L4841" s="62" t="str">
        <f aca="false">IF(COUNTA($A4841,$F4841,$G4841,$H4841,$I4841,$J4841)=0,"",IF($M4841=0,"✖ كود الصف غير موجود",IF(ISNA(MATCH($F4841,Lists!$A$2:$A$5,0)),"✖ الفترة غير صحيحة",IF(ISNA(MATCH($G4841,Lists!$B$2:$B$7,0)),"✖ المجموعة غير صحيحة",IF(NOT(OR($H4841="",$N4841&gt;0)),"✖ Start غير صحيح",IF(NOT(OR($I4841="",$I4841="NR",$O4841&gt;0)),"✖ Current غير صحيح",IF(NOT(IF(ISNUMBER($J4841),AND($J4841&gt;=0,$J4841=INT($J4841)),FALSE())),"✖ العدد يجب أن يكون صحيحًا ≥ 0",IF(AND($F4841="Baseline",$H4841&lt;&gt;""),"⚠ Baseline: Start لا يدخل في التقدم",IF($K4841="No Start (attainment only)","ℹ تحصيل فقط (بدون Start)",IF($K4841="U – needs rule","ℹ حالة U تحتاج قاعدة معتمدة",IF($K4841="No result","ℹ بدون نتيجة (يُستبعد من التحصيل)","OK")))))))))))</f>
        <v/>
      </c>
      <c r="M4841" s="64" t="n">
        <f aca="false">IF($A4841="",0,IFERROR(MATCH($A4841,Classes!$A$6:$A$420,0),0))</f>
        <v>0</v>
      </c>
      <c r="N4841" s="64" t="n">
        <f aca="false">IF($H4841="",0,IFERROR(MATCH($H4841,GradeList,0),0))</f>
        <v>0</v>
      </c>
      <c r="O4841" s="64" t="n">
        <f aca="false">IF(OR($I4841="",$I4841="NR"),0,IFERROR(MATCH($I4841,GradeList,0),0))</f>
        <v>0</v>
      </c>
      <c r="P4841" s="64" t="n">
        <f aca="false">IF(AND($M4841&gt;0,ISNUMBER(MATCH($F4841,Lists!$A$2:$A$5,0)),ISNUMBER(MATCH($G4841,Lists!$B$2:$B$7,0)),OR($H4841="",$N4841&gt;0),OR($I4841="",$I4841="NR",$O4841&gt;0),IF(ISNUMBER($J4841),AND($J4841&gt;=0,$J4841=INT($J4841)),FALSE())),$J4841,0)</f>
        <v>0</v>
      </c>
      <c r="Q4841" s="64" t="n">
        <f aca="false">IF(AND($P4841&gt;0,$O4841&gt;0),$P4841,0)</f>
        <v>0</v>
      </c>
      <c r="R4841" s="64" t="n">
        <f aca="false">IF(AND($Q4841&gt;0,$O4841&gt;=AtRank),$Q4841,0)</f>
        <v>0</v>
      </c>
      <c r="S4841" s="64" t="n">
        <f aca="false">IF(AND($Q4841&gt;0,$O4841&gt;=AboveRank),$Q4841,0)</f>
        <v>0</v>
      </c>
      <c r="T4841" s="64" t="n">
        <f aca="false">IF($K4841="Less",$P4841,0)</f>
        <v>0</v>
      </c>
      <c r="U4841" s="64" t="n">
        <f aca="false">IF($K4841="Expected",$P4841,0)</f>
        <v>0</v>
      </c>
      <c r="V4841" s="64" t="n">
        <f aca="false">IF($K4841="Better",$P4841,0)</f>
        <v>0</v>
      </c>
      <c r="W4841" s="64" t="n">
        <f aca="false">IF($K4841="U – needs rule",$P4841,0)</f>
        <v>0</v>
      </c>
      <c r="X4841" s="64" t="n">
        <f aca="false">IF($K4841="No Start (attainment only)",$P4841,0)</f>
        <v>0</v>
      </c>
    </row>
    <row r="4842" customFormat="false" ht="15" hidden="false" customHeight="false" outlineLevel="0" collapsed="false">
      <c r="A4842" s="60"/>
      <c r="B4842" s="61" t="str">
        <f aca="false">IF($M4842=0,"",INDEX(Classes!$E$6:$E$420,$M4842))</f>
        <v/>
      </c>
      <c r="C4842" s="62" t="str">
        <f aca="false">IF($M4842=0,"",INDEX(Classes!$H$6:$H$420,$M4842))</f>
        <v/>
      </c>
      <c r="D4842" s="61" t="str">
        <f aca="false">IF($M4842=0,"",INDEX(Classes!$B$6:$B$420,$M4842))</f>
        <v/>
      </c>
      <c r="E4842" s="61" t="str">
        <f aca="false">IF($M4842=0,"",INDEX(Classes!$C$6:$C$420,$M4842))</f>
        <v/>
      </c>
      <c r="F4842" s="63"/>
      <c r="G4842" s="63"/>
      <c r="H4842" s="60"/>
      <c r="I4842" s="60"/>
      <c r="J4842" s="63"/>
      <c r="K4842" s="61" t="str">
        <f aca="false">IF($P4842=0,"",IF($F4842="Baseline","— Baseline",IF($O4842=0,"No result",IF($N4842=0,"No Start (attainment only)",IF(OR($N4842=1,$O4842=1),"U – needs rule",INDEX(MxBody,MATCH($I4842,MxCurr,0),MATCH($H4842,MxStart,0)))))))</f>
        <v/>
      </c>
      <c r="L4842" s="62" t="str">
        <f aca="false">IF(COUNTA($A4842,$F4842,$G4842,$H4842,$I4842,$J4842)=0,"",IF($M4842=0,"✖ كود الصف غير موجود",IF(ISNA(MATCH($F4842,Lists!$A$2:$A$5,0)),"✖ الفترة غير صحيحة",IF(ISNA(MATCH($G4842,Lists!$B$2:$B$7,0)),"✖ المجموعة غير صحيحة",IF(NOT(OR($H4842="",$N4842&gt;0)),"✖ Start غير صحيح",IF(NOT(OR($I4842="",$I4842="NR",$O4842&gt;0)),"✖ Current غير صحيح",IF(NOT(IF(ISNUMBER($J4842),AND($J4842&gt;=0,$J4842=INT($J4842)),FALSE())),"✖ العدد يجب أن يكون صحيحًا ≥ 0",IF(AND($F4842="Baseline",$H4842&lt;&gt;""),"⚠ Baseline: Start لا يدخل في التقدم",IF($K4842="No Start (attainment only)","ℹ تحصيل فقط (بدون Start)",IF($K4842="U – needs rule","ℹ حالة U تحتاج قاعدة معتمدة",IF($K4842="No result","ℹ بدون نتيجة (يُستبعد من التحصيل)","OK")))))))))))</f>
        <v/>
      </c>
      <c r="M4842" s="64" t="n">
        <f aca="false">IF($A4842="",0,IFERROR(MATCH($A4842,Classes!$A$6:$A$420,0),0))</f>
        <v>0</v>
      </c>
      <c r="N4842" s="64" t="n">
        <f aca="false">IF($H4842="",0,IFERROR(MATCH($H4842,GradeList,0),0))</f>
        <v>0</v>
      </c>
      <c r="O4842" s="64" t="n">
        <f aca="false">IF(OR($I4842="",$I4842="NR"),0,IFERROR(MATCH($I4842,GradeList,0),0))</f>
        <v>0</v>
      </c>
      <c r="P4842" s="64" t="n">
        <f aca="false">IF(AND($M4842&gt;0,ISNUMBER(MATCH($F4842,Lists!$A$2:$A$5,0)),ISNUMBER(MATCH($G4842,Lists!$B$2:$B$7,0)),OR($H4842="",$N4842&gt;0),OR($I4842="",$I4842="NR",$O4842&gt;0),IF(ISNUMBER($J4842),AND($J4842&gt;=0,$J4842=INT($J4842)),FALSE())),$J4842,0)</f>
        <v>0</v>
      </c>
      <c r="Q4842" s="64" t="n">
        <f aca="false">IF(AND($P4842&gt;0,$O4842&gt;0),$P4842,0)</f>
        <v>0</v>
      </c>
      <c r="R4842" s="64" t="n">
        <f aca="false">IF(AND($Q4842&gt;0,$O4842&gt;=AtRank),$Q4842,0)</f>
        <v>0</v>
      </c>
      <c r="S4842" s="64" t="n">
        <f aca="false">IF(AND($Q4842&gt;0,$O4842&gt;=AboveRank),$Q4842,0)</f>
        <v>0</v>
      </c>
      <c r="T4842" s="64" t="n">
        <f aca="false">IF($K4842="Less",$P4842,0)</f>
        <v>0</v>
      </c>
      <c r="U4842" s="64" t="n">
        <f aca="false">IF($K4842="Expected",$P4842,0)</f>
        <v>0</v>
      </c>
      <c r="V4842" s="64" t="n">
        <f aca="false">IF($K4842="Better",$P4842,0)</f>
        <v>0</v>
      </c>
      <c r="W4842" s="64" t="n">
        <f aca="false">IF($K4842="U – needs rule",$P4842,0)</f>
        <v>0</v>
      </c>
      <c r="X4842" s="64" t="n">
        <f aca="false">IF($K4842="No Start (attainment only)",$P4842,0)</f>
        <v>0</v>
      </c>
    </row>
    <row r="4843" customFormat="false" ht="15" hidden="false" customHeight="false" outlineLevel="0" collapsed="false">
      <c r="A4843" s="60"/>
      <c r="B4843" s="61" t="str">
        <f aca="false">IF($M4843=0,"",INDEX(Classes!$E$6:$E$420,$M4843))</f>
        <v/>
      </c>
      <c r="C4843" s="62" t="str">
        <f aca="false">IF($M4843=0,"",INDEX(Classes!$H$6:$H$420,$M4843))</f>
        <v/>
      </c>
      <c r="D4843" s="61" t="str">
        <f aca="false">IF($M4843=0,"",INDEX(Classes!$B$6:$B$420,$M4843))</f>
        <v/>
      </c>
      <c r="E4843" s="61" t="str">
        <f aca="false">IF($M4843=0,"",INDEX(Classes!$C$6:$C$420,$M4843))</f>
        <v/>
      </c>
      <c r="F4843" s="63"/>
      <c r="G4843" s="63"/>
      <c r="H4843" s="60"/>
      <c r="I4843" s="60"/>
      <c r="J4843" s="63"/>
      <c r="K4843" s="61" t="str">
        <f aca="false">IF($P4843=0,"",IF($F4843="Baseline","— Baseline",IF($O4843=0,"No result",IF($N4843=0,"No Start (attainment only)",IF(OR($N4843=1,$O4843=1),"U – needs rule",INDEX(MxBody,MATCH($I4843,MxCurr,0),MATCH($H4843,MxStart,0)))))))</f>
        <v/>
      </c>
      <c r="L4843" s="62" t="str">
        <f aca="false">IF(COUNTA($A4843,$F4843,$G4843,$H4843,$I4843,$J4843)=0,"",IF($M4843=0,"✖ كود الصف غير موجود",IF(ISNA(MATCH($F4843,Lists!$A$2:$A$5,0)),"✖ الفترة غير صحيحة",IF(ISNA(MATCH($G4843,Lists!$B$2:$B$7,0)),"✖ المجموعة غير صحيحة",IF(NOT(OR($H4843="",$N4843&gt;0)),"✖ Start غير صحيح",IF(NOT(OR($I4843="",$I4843="NR",$O4843&gt;0)),"✖ Current غير صحيح",IF(NOT(IF(ISNUMBER($J4843),AND($J4843&gt;=0,$J4843=INT($J4843)),FALSE())),"✖ العدد يجب أن يكون صحيحًا ≥ 0",IF(AND($F4843="Baseline",$H4843&lt;&gt;""),"⚠ Baseline: Start لا يدخل في التقدم",IF($K4843="No Start (attainment only)","ℹ تحصيل فقط (بدون Start)",IF($K4843="U – needs rule","ℹ حالة U تحتاج قاعدة معتمدة",IF($K4843="No result","ℹ بدون نتيجة (يُستبعد من التحصيل)","OK")))))))))))</f>
        <v/>
      </c>
      <c r="M4843" s="64" t="n">
        <f aca="false">IF($A4843="",0,IFERROR(MATCH($A4843,Classes!$A$6:$A$420,0),0))</f>
        <v>0</v>
      </c>
      <c r="N4843" s="64" t="n">
        <f aca="false">IF($H4843="",0,IFERROR(MATCH($H4843,GradeList,0),0))</f>
        <v>0</v>
      </c>
      <c r="O4843" s="64" t="n">
        <f aca="false">IF(OR($I4843="",$I4843="NR"),0,IFERROR(MATCH($I4843,GradeList,0),0))</f>
        <v>0</v>
      </c>
      <c r="P4843" s="64" t="n">
        <f aca="false">IF(AND($M4843&gt;0,ISNUMBER(MATCH($F4843,Lists!$A$2:$A$5,0)),ISNUMBER(MATCH($G4843,Lists!$B$2:$B$7,0)),OR($H4843="",$N4843&gt;0),OR($I4843="",$I4843="NR",$O4843&gt;0),IF(ISNUMBER($J4843),AND($J4843&gt;=0,$J4843=INT($J4843)),FALSE())),$J4843,0)</f>
        <v>0</v>
      </c>
      <c r="Q4843" s="64" t="n">
        <f aca="false">IF(AND($P4843&gt;0,$O4843&gt;0),$P4843,0)</f>
        <v>0</v>
      </c>
      <c r="R4843" s="64" t="n">
        <f aca="false">IF(AND($Q4843&gt;0,$O4843&gt;=AtRank),$Q4843,0)</f>
        <v>0</v>
      </c>
      <c r="S4843" s="64" t="n">
        <f aca="false">IF(AND($Q4843&gt;0,$O4843&gt;=AboveRank),$Q4843,0)</f>
        <v>0</v>
      </c>
      <c r="T4843" s="64" t="n">
        <f aca="false">IF($K4843="Less",$P4843,0)</f>
        <v>0</v>
      </c>
      <c r="U4843" s="64" t="n">
        <f aca="false">IF($K4843="Expected",$P4843,0)</f>
        <v>0</v>
      </c>
      <c r="V4843" s="64" t="n">
        <f aca="false">IF($K4843="Better",$P4843,0)</f>
        <v>0</v>
      </c>
      <c r="W4843" s="64" t="n">
        <f aca="false">IF($K4843="U – needs rule",$P4843,0)</f>
        <v>0</v>
      </c>
      <c r="X4843" s="64" t="n">
        <f aca="false">IF($K4843="No Start (attainment only)",$P4843,0)</f>
        <v>0</v>
      </c>
    </row>
    <row r="4844" customFormat="false" ht="15" hidden="false" customHeight="false" outlineLevel="0" collapsed="false">
      <c r="A4844" s="60"/>
      <c r="B4844" s="61" t="str">
        <f aca="false">IF($M4844=0,"",INDEX(Classes!$E$6:$E$420,$M4844))</f>
        <v/>
      </c>
      <c r="C4844" s="62" t="str">
        <f aca="false">IF($M4844=0,"",INDEX(Classes!$H$6:$H$420,$M4844))</f>
        <v/>
      </c>
      <c r="D4844" s="61" t="str">
        <f aca="false">IF($M4844=0,"",INDEX(Classes!$B$6:$B$420,$M4844))</f>
        <v/>
      </c>
      <c r="E4844" s="61" t="str">
        <f aca="false">IF($M4844=0,"",INDEX(Classes!$C$6:$C$420,$M4844))</f>
        <v/>
      </c>
      <c r="F4844" s="63"/>
      <c r="G4844" s="63"/>
      <c r="H4844" s="60"/>
      <c r="I4844" s="60"/>
      <c r="J4844" s="63"/>
      <c r="K4844" s="61" t="str">
        <f aca="false">IF($P4844=0,"",IF($F4844="Baseline","— Baseline",IF($O4844=0,"No result",IF($N4844=0,"No Start (attainment only)",IF(OR($N4844=1,$O4844=1),"U – needs rule",INDEX(MxBody,MATCH($I4844,MxCurr,0),MATCH($H4844,MxStart,0)))))))</f>
        <v/>
      </c>
      <c r="L4844" s="62" t="str">
        <f aca="false">IF(COUNTA($A4844,$F4844,$G4844,$H4844,$I4844,$J4844)=0,"",IF($M4844=0,"✖ كود الصف غير موجود",IF(ISNA(MATCH($F4844,Lists!$A$2:$A$5,0)),"✖ الفترة غير صحيحة",IF(ISNA(MATCH($G4844,Lists!$B$2:$B$7,0)),"✖ المجموعة غير صحيحة",IF(NOT(OR($H4844="",$N4844&gt;0)),"✖ Start غير صحيح",IF(NOT(OR($I4844="",$I4844="NR",$O4844&gt;0)),"✖ Current غير صحيح",IF(NOT(IF(ISNUMBER($J4844),AND($J4844&gt;=0,$J4844=INT($J4844)),FALSE())),"✖ العدد يجب أن يكون صحيحًا ≥ 0",IF(AND($F4844="Baseline",$H4844&lt;&gt;""),"⚠ Baseline: Start لا يدخل في التقدم",IF($K4844="No Start (attainment only)","ℹ تحصيل فقط (بدون Start)",IF($K4844="U – needs rule","ℹ حالة U تحتاج قاعدة معتمدة",IF($K4844="No result","ℹ بدون نتيجة (يُستبعد من التحصيل)","OK")))))))))))</f>
        <v/>
      </c>
      <c r="M4844" s="64" t="n">
        <f aca="false">IF($A4844="",0,IFERROR(MATCH($A4844,Classes!$A$6:$A$420,0),0))</f>
        <v>0</v>
      </c>
      <c r="N4844" s="64" t="n">
        <f aca="false">IF($H4844="",0,IFERROR(MATCH($H4844,GradeList,0),0))</f>
        <v>0</v>
      </c>
      <c r="O4844" s="64" t="n">
        <f aca="false">IF(OR($I4844="",$I4844="NR"),0,IFERROR(MATCH($I4844,GradeList,0),0))</f>
        <v>0</v>
      </c>
      <c r="P4844" s="64" t="n">
        <f aca="false">IF(AND($M4844&gt;0,ISNUMBER(MATCH($F4844,Lists!$A$2:$A$5,0)),ISNUMBER(MATCH($G4844,Lists!$B$2:$B$7,0)),OR($H4844="",$N4844&gt;0),OR($I4844="",$I4844="NR",$O4844&gt;0),IF(ISNUMBER($J4844),AND($J4844&gt;=0,$J4844=INT($J4844)),FALSE())),$J4844,0)</f>
        <v>0</v>
      </c>
      <c r="Q4844" s="64" t="n">
        <f aca="false">IF(AND($P4844&gt;0,$O4844&gt;0),$P4844,0)</f>
        <v>0</v>
      </c>
      <c r="R4844" s="64" t="n">
        <f aca="false">IF(AND($Q4844&gt;0,$O4844&gt;=AtRank),$Q4844,0)</f>
        <v>0</v>
      </c>
      <c r="S4844" s="64" t="n">
        <f aca="false">IF(AND($Q4844&gt;0,$O4844&gt;=AboveRank),$Q4844,0)</f>
        <v>0</v>
      </c>
      <c r="T4844" s="64" t="n">
        <f aca="false">IF($K4844="Less",$P4844,0)</f>
        <v>0</v>
      </c>
      <c r="U4844" s="64" t="n">
        <f aca="false">IF($K4844="Expected",$P4844,0)</f>
        <v>0</v>
      </c>
      <c r="V4844" s="64" t="n">
        <f aca="false">IF($K4844="Better",$P4844,0)</f>
        <v>0</v>
      </c>
      <c r="W4844" s="64" t="n">
        <f aca="false">IF($K4844="U – needs rule",$P4844,0)</f>
        <v>0</v>
      </c>
      <c r="X4844" s="64" t="n">
        <f aca="false">IF($K4844="No Start (attainment only)",$P4844,0)</f>
        <v>0</v>
      </c>
    </row>
    <row r="4845" customFormat="false" ht="15" hidden="false" customHeight="false" outlineLevel="0" collapsed="false">
      <c r="A4845" s="60"/>
      <c r="B4845" s="61" t="str">
        <f aca="false">IF($M4845=0,"",INDEX(Classes!$E$6:$E$420,$M4845))</f>
        <v/>
      </c>
      <c r="C4845" s="62" t="str">
        <f aca="false">IF($M4845=0,"",INDEX(Classes!$H$6:$H$420,$M4845))</f>
        <v/>
      </c>
      <c r="D4845" s="61" t="str">
        <f aca="false">IF($M4845=0,"",INDEX(Classes!$B$6:$B$420,$M4845))</f>
        <v/>
      </c>
      <c r="E4845" s="61" t="str">
        <f aca="false">IF($M4845=0,"",INDEX(Classes!$C$6:$C$420,$M4845))</f>
        <v/>
      </c>
      <c r="F4845" s="63"/>
      <c r="G4845" s="63"/>
      <c r="H4845" s="60"/>
      <c r="I4845" s="60"/>
      <c r="J4845" s="63"/>
      <c r="K4845" s="61" t="str">
        <f aca="false">IF($P4845=0,"",IF($F4845="Baseline","— Baseline",IF($O4845=0,"No result",IF($N4845=0,"No Start (attainment only)",IF(OR($N4845=1,$O4845=1),"U – needs rule",INDEX(MxBody,MATCH($I4845,MxCurr,0),MATCH($H4845,MxStart,0)))))))</f>
        <v/>
      </c>
      <c r="L4845" s="62" t="str">
        <f aca="false">IF(COUNTA($A4845,$F4845,$G4845,$H4845,$I4845,$J4845)=0,"",IF($M4845=0,"✖ كود الصف غير موجود",IF(ISNA(MATCH($F4845,Lists!$A$2:$A$5,0)),"✖ الفترة غير صحيحة",IF(ISNA(MATCH($G4845,Lists!$B$2:$B$7,0)),"✖ المجموعة غير صحيحة",IF(NOT(OR($H4845="",$N4845&gt;0)),"✖ Start غير صحيح",IF(NOT(OR($I4845="",$I4845="NR",$O4845&gt;0)),"✖ Current غير صحيح",IF(NOT(IF(ISNUMBER($J4845),AND($J4845&gt;=0,$J4845=INT($J4845)),FALSE())),"✖ العدد يجب أن يكون صحيحًا ≥ 0",IF(AND($F4845="Baseline",$H4845&lt;&gt;""),"⚠ Baseline: Start لا يدخل في التقدم",IF($K4845="No Start (attainment only)","ℹ تحصيل فقط (بدون Start)",IF($K4845="U – needs rule","ℹ حالة U تحتاج قاعدة معتمدة",IF($K4845="No result","ℹ بدون نتيجة (يُستبعد من التحصيل)","OK")))))))))))</f>
        <v/>
      </c>
      <c r="M4845" s="64" t="n">
        <f aca="false">IF($A4845="",0,IFERROR(MATCH($A4845,Classes!$A$6:$A$420,0),0))</f>
        <v>0</v>
      </c>
      <c r="N4845" s="64" t="n">
        <f aca="false">IF($H4845="",0,IFERROR(MATCH($H4845,GradeList,0),0))</f>
        <v>0</v>
      </c>
      <c r="O4845" s="64" t="n">
        <f aca="false">IF(OR($I4845="",$I4845="NR"),0,IFERROR(MATCH($I4845,GradeList,0),0))</f>
        <v>0</v>
      </c>
      <c r="P4845" s="64" t="n">
        <f aca="false">IF(AND($M4845&gt;0,ISNUMBER(MATCH($F4845,Lists!$A$2:$A$5,0)),ISNUMBER(MATCH($G4845,Lists!$B$2:$B$7,0)),OR($H4845="",$N4845&gt;0),OR($I4845="",$I4845="NR",$O4845&gt;0),IF(ISNUMBER($J4845),AND($J4845&gt;=0,$J4845=INT($J4845)),FALSE())),$J4845,0)</f>
        <v>0</v>
      </c>
      <c r="Q4845" s="64" t="n">
        <f aca="false">IF(AND($P4845&gt;0,$O4845&gt;0),$P4845,0)</f>
        <v>0</v>
      </c>
      <c r="R4845" s="64" t="n">
        <f aca="false">IF(AND($Q4845&gt;0,$O4845&gt;=AtRank),$Q4845,0)</f>
        <v>0</v>
      </c>
      <c r="S4845" s="64" t="n">
        <f aca="false">IF(AND($Q4845&gt;0,$O4845&gt;=AboveRank),$Q4845,0)</f>
        <v>0</v>
      </c>
      <c r="T4845" s="64" t="n">
        <f aca="false">IF($K4845="Less",$P4845,0)</f>
        <v>0</v>
      </c>
      <c r="U4845" s="64" t="n">
        <f aca="false">IF($K4845="Expected",$P4845,0)</f>
        <v>0</v>
      </c>
      <c r="V4845" s="64" t="n">
        <f aca="false">IF($K4845="Better",$P4845,0)</f>
        <v>0</v>
      </c>
      <c r="W4845" s="64" t="n">
        <f aca="false">IF($K4845="U – needs rule",$P4845,0)</f>
        <v>0</v>
      </c>
      <c r="X4845" s="64" t="n">
        <f aca="false">IF($K4845="No Start (attainment only)",$P4845,0)</f>
        <v>0</v>
      </c>
    </row>
    <row r="4846" customFormat="false" ht="15" hidden="false" customHeight="false" outlineLevel="0" collapsed="false">
      <c r="A4846" s="60"/>
      <c r="B4846" s="61" t="str">
        <f aca="false">IF($M4846=0,"",INDEX(Classes!$E$6:$E$420,$M4846))</f>
        <v/>
      </c>
      <c r="C4846" s="62" t="str">
        <f aca="false">IF($M4846=0,"",INDEX(Classes!$H$6:$H$420,$M4846))</f>
        <v/>
      </c>
      <c r="D4846" s="61" t="str">
        <f aca="false">IF($M4846=0,"",INDEX(Classes!$B$6:$B$420,$M4846))</f>
        <v/>
      </c>
      <c r="E4846" s="61" t="str">
        <f aca="false">IF($M4846=0,"",INDEX(Classes!$C$6:$C$420,$M4846))</f>
        <v/>
      </c>
      <c r="F4846" s="63"/>
      <c r="G4846" s="63"/>
      <c r="H4846" s="60"/>
      <c r="I4846" s="60"/>
      <c r="J4846" s="63"/>
      <c r="K4846" s="61" t="str">
        <f aca="false">IF($P4846=0,"",IF($F4846="Baseline","— Baseline",IF($O4846=0,"No result",IF($N4846=0,"No Start (attainment only)",IF(OR($N4846=1,$O4846=1),"U – needs rule",INDEX(MxBody,MATCH($I4846,MxCurr,0),MATCH($H4846,MxStart,0)))))))</f>
        <v/>
      </c>
      <c r="L4846" s="62" t="str">
        <f aca="false">IF(COUNTA($A4846,$F4846,$G4846,$H4846,$I4846,$J4846)=0,"",IF($M4846=0,"✖ كود الصف غير موجود",IF(ISNA(MATCH($F4846,Lists!$A$2:$A$5,0)),"✖ الفترة غير صحيحة",IF(ISNA(MATCH($G4846,Lists!$B$2:$B$7,0)),"✖ المجموعة غير صحيحة",IF(NOT(OR($H4846="",$N4846&gt;0)),"✖ Start غير صحيح",IF(NOT(OR($I4846="",$I4846="NR",$O4846&gt;0)),"✖ Current غير صحيح",IF(NOT(IF(ISNUMBER($J4846),AND($J4846&gt;=0,$J4846=INT($J4846)),FALSE())),"✖ العدد يجب أن يكون صحيحًا ≥ 0",IF(AND($F4846="Baseline",$H4846&lt;&gt;""),"⚠ Baseline: Start لا يدخل في التقدم",IF($K4846="No Start (attainment only)","ℹ تحصيل فقط (بدون Start)",IF($K4846="U – needs rule","ℹ حالة U تحتاج قاعدة معتمدة",IF($K4846="No result","ℹ بدون نتيجة (يُستبعد من التحصيل)","OK")))))))))))</f>
        <v/>
      </c>
      <c r="M4846" s="64" t="n">
        <f aca="false">IF($A4846="",0,IFERROR(MATCH($A4846,Classes!$A$6:$A$420,0),0))</f>
        <v>0</v>
      </c>
      <c r="N4846" s="64" t="n">
        <f aca="false">IF($H4846="",0,IFERROR(MATCH($H4846,GradeList,0),0))</f>
        <v>0</v>
      </c>
      <c r="O4846" s="64" t="n">
        <f aca="false">IF(OR($I4846="",$I4846="NR"),0,IFERROR(MATCH($I4846,GradeList,0),0))</f>
        <v>0</v>
      </c>
      <c r="P4846" s="64" t="n">
        <f aca="false">IF(AND($M4846&gt;0,ISNUMBER(MATCH($F4846,Lists!$A$2:$A$5,0)),ISNUMBER(MATCH($G4846,Lists!$B$2:$B$7,0)),OR($H4846="",$N4846&gt;0),OR($I4846="",$I4846="NR",$O4846&gt;0),IF(ISNUMBER($J4846),AND($J4846&gt;=0,$J4846=INT($J4846)),FALSE())),$J4846,0)</f>
        <v>0</v>
      </c>
      <c r="Q4846" s="64" t="n">
        <f aca="false">IF(AND($P4846&gt;0,$O4846&gt;0),$P4846,0)</f>
        <v>0</v>
      </c>
      <c r="R4846" s="64" t="n">
        <f aca="false">IF(AND($Q4846&gt;0,$O4846&gt;=AtRank),$Q4846,0)</f>
        <v>0</v>
      </c>
      <c r="S4846" s="64" t="n">
        <f aca="false">IF(AND($Q4846&gt;0,$O4846&gt;=AboveRank),$Q4846,0)</f>
        <v>0</v>
      </c>
      <c r="T4846" s="64" t="n">
        <f aca="false">IF($K4846="Less",$P4846,0)</f>
        <v>0</v>
      </c>
      <c r="U4846" s="64" t="n">
        <f aca="false">IF($K4846="Expected",$P4846,0)</f>
        <v>0</v>
      </c>
      <c r="V4846" s="64" t="n">
        <f aca="false">IF($K4846="Better",$P4846,0)</f>
        <v>0</v>
      </c>
      <c r="W4846" s="64" t="n">
        <f aca="false">IF($K4846="U – needs rule",$P4846,0)</f>
        <v>0</v>
      </c>
      <c r="X4846" s="64" t="n">
        <f aca="false">IF($K4846="No Start (attainment only)",$P4846,0)</f>
        <v>0</v>
      </c>
    </row>
    <row r="4847" customFormat="false" ht="15" hidden="false" customHeight="false" outlineLevel="0" collapsed="false">
      <c r="A4847" s="60"/>
      <c r="B4847" s="61" t="str">
        <f aca="false">IF($M4847=0,"",INDEX(Classes!$E$6:$E$420,$M4847))</f>
        <v/>
      </c>
      <c r="C4847" s="62" t="str">
        <f aca="false">IF($M4847=0,"",INDEX(Classes!$H$6:$H$420,$M4847))</f>
        <v/>
      </c>
      <c r="D4847" s="61" t="str">
        <f aca="false">IF($M4847=0,"",INDEX(Classes!$B$6:$B$420,$M4847))</f>
        <v/>
      </c>
      <c r="E4847" s="61" t="str">
        <f aca="false">IF($M4847=0,"",INDEX(Classes!$C$6:$C$420,$M4847))</f>
        <v/>
      </c>
      <c r="F4847" s="63"/>
      <c r="G4847" s="63"/>
      <c r="H4847" s="60"/>
      <c r="I4847" s="60"/>
      <c r="J4847" s="63"/>
      <c r="K4847" s="61" t="str">
        <f aca="false">IF($P4847=0,"",IF($F4847="Baseline","— Baseline",IF($O4847=0,"No result",IF($N4847=0,"No Start (attainment only)",IF(OR($N4847=1,$O4847=1),"U – needs rule",INDEX(MxBody,MATCH($I4847,MxCurr,0),MATCH($H4847,MxStart,0)))))))</f>
        <v/>
      </c>
      <c r="L4847" s="62" t="str">
        <f aca="false">IF(COUNTA($A4847,$F4847,$G4847,$H4847,$I4847,$J4847)=0,"",IF($M4847=0,"✖ كود الصف غير موجود",IF(ISNA(MATCH($F4847,Lists!$A$2:$A$5,0)),"✖ الفترة غير صحيحة",IF(ISNA(MATCH($G4847,Lists!$B$2:$B$7,0)),"✖ المجموعة غير صحيحة",IF(NOT(OR($H4847="",$N4847&gt;0)),"✖ Start غير صحيح",IF(NOT(OR($I4847="",$I4847="NR",$O4847&gt;0)),"✖ Current غير صحيح",IF(NOT(IF(ISNUMBER($J4847),AND($J4847&gt;=0,$J4847=INT($J4847)),FALSE())),"✖ العدد يجب أن يكون صحيحًا ≥ 0",IF(AND($F4847="Baseline",$H4847&lt;&gt;""),"⚠ Baseline: Start لا يدخل في التقدم",IF($K4847="No Start (attainment only)","ℹ تحصيل فقط (بدون Start)",IF($K4847="U – needs rule","ℹ حالة U تحتاج قاعدة معتمدة",IF($K4847="No result","ℹ بدون نتيجة (يُستبعد من التحصيل)","OK")))))))))))</f>
        <v/>
      </c>
      <c r="M4847" s="64" t="n">
        <f aca="false">IF($A4847="",0,IFERROR(MATCH($A4847,Classes!$A$6:$A$420,0),0))</f>
        <v>0</v>
      </c>
      <c r="N4847" s="64" t="n">
        <f aca="false">IF($H4847="",0,IFERROR(MATCH($H4847,GradeList,0),0))</f>
        <v>0</v>
      </c>
      <c r="O4847" s="64" t="n">
        <f aca="false">IF(OR($I4847="",$I4847="NR"),0,IFERROR(MATCH($I4847,GradeList,0),0))</f>
        <v>0</v>
      </c>
      <c r="P4847" s="64" t="n">
        <f aca="false">IF(AND($M4847&gt;0,ISNUMBER(MATCH($F4847,Lists!$A$2:$A$5,0)),ISNUMBER(MATCH($G4847,Lists!$B$2:$B$7,0)),OR($H4847="",$N4847&gt;0),OR($I4847="",$I4847="NR",$O4847&gt;0),IF(ISNUMBER($J4847),AND($J4847&gt;=0,$J4847=INT($J4847)),FALSE())),$J4847,0)</f>
        <v>0</v>
      </c>
      <c r="Q4847" s="64" t="n">
        <f aca="false">IF(AND($P4847&gt;0,$O4847&gt;0),$P4847,0)</f>
        <v>0</v>
      </c>
      <c r="R4847" s="64" t="n">
        <f aca="false">IF(AND($Q4847&gt;0,$O4847&gt;=AtRank),$Q4847,0)</f>
        <v>0</v>
      </c>
      <c r="S4847" s="64" t="n">
        <f aca="false">IF(AND($Q4847&gt;0,$O4847&gt;=AboveRank),$Q4847,0)</f>
        <v>0</v>
      </c>
      <c r="T4847" s="64" t="n">
        <f aca="false">IF($K4847="Less",$P4847,0)</f>
        <v>0</v>
      </c>
      <c r="U4847" s="64" t="n">
        <f aca="false">IF($K4847="Expected",$P4847,0)</f>
        <v>0</v>
      </c>
      <c r="V4847" s="64" t="n">
        <f aca="false">IF($K4847="Better",$P4847,0)</f>
        <v>0</v>
      </c>
      <c r="W4847" s="64" t="n">
        <f aca="false">IF($K4847="U – needs rule",$P4847,0)</f>
        <v>0</v>
      </c>
      <c r="X4847" s="64" t="n">
        <f aca="false">IF($K4847="No Start (attainment only)",$P4847,0)</f>
        <v>0</v>
      </c>
    </row>
    <row r="4848" customFormat="false" ht="15" hidden="false" customHeight="false" outlineLevel="0" collapsed="false">
      <c r="A4848" s="60"/>
      <c r="B4848" s="61" t="str">
        <f aca="false">IF($M4848=0,"",INDEX(Classes!$E$6:$E$420,$M4848))</f>
        <v/>
      </c>
      <c r="C4848" s="62" t="str">
        <f aca="false">IF($M4848=0,"",INDEX(Classes!$H$6:$H$420,$M4848))</f>
        <v/>
      </c>
      <c r="D4848" s="61" t="str">
        <f aca="false">IF($M4848=0,"",INDEX(Classes!$B$6:$B$420,$M4848))</f>
        <v/>
      </c>
      <c r="E4848" s="61" t="str">
        <f aca="false">IF($M4848=0,"",INDEX(Classes!$C$6:$C$420,$M4848))</f>
        <v/>
      </c>
      <c r="F4848" s="63"/>
      <c r="G4848" s="63"/>
      <c r="H4848" s="60"/>
      <c r="I4848" s="60"/>
      <c r="J4848" s="63"/>
      <c r="K4848" s="61" t="str">
        <f aca="false">IF($P4848=0,"",IF($F4848="Baseline","— Baseline",IF($O4848=0,"No result",IF($N4848=0,"No Start (attainment only)",IF(OR($N4848=1,$O4848=1),"U – needs rule",INDEX(MxBody,MATCH($I4848,MxCurr,0),MATCH($H4848,MxStart,0)))))))</f>
        <v/>
      </c>
      <c r="L4848" s="62" t="str">
        <f aca="false">IF(COUNTA($A4848,$F4848,$G4848,$H4848,$I4848,$J4848)=0,"",IF($M4848=0,"✖ كود الصف غير موجود",IF(ISNA(MATCH($F4848,Lists!$A$2:$A$5,0)),"✖ الفترة غير صحيحة",IF(ISNA(MATCH($G4848,Lists!$B$2:$B$7,0)),"✖ المجموعة غير صحيحة",IF(NOT(OR($H4848="",$N4848&gt;0)),"✖ Start غير صحيح",IF(NOT(OR($I4848="",$I4848="NR",$O4848&gt;0)),"✖ Current غير صحيح",IF(NOT(IF(ISNUMBER($J4848),AND($J4848&gt;=0,$J4848=INT($J4848)),FALSE())),"✖ العدد يجب أن يكون صحيحًا ≥ 0",IF(AND($F4848="Baseline",$H4848&lt;&gt;""),"⚠ Baseline: Start لا يدخل في التقدم",IF($K4848="No Start (attainment only)","ℹ تحصيل فقط (بدون Start)",IF($K4848="U – needs rule","ℹ حالة U تحتاج قاعدة معتمدة",IF($K4848="No result","ℹ بدون نتيجة (يُستبعد من التحصيل)","OK")))))))))))</f>
        <v/>
      </c>
      <c r="M4848" s="64" t="n">
        <f aca="false">IF($A4848="",0,IFERROR(MATCH($A4848,Classes!$A$6:$A$420,0),0))</f>
        <v>0</v>
      </c>
      <c r="N4848" s="64" t="n">
        <f aca="false">IF($H4848="",0,IFERROR(MATCH($H4848,GradeList,0),0))</f>
        <v>0</v>
      </c>
      <c r="O4848" s="64" t="n">
        <f aca="false">IF(OR($I4848="",$I4848="NR"),0,IFERROR(MATCH($I4848,GradeList,0),0))</f>
        <v>0</v>
      </c>
      <c r="P4848" s="64" t="n">
        <f aca="false">IF(AND($M4848&gt;0,ISNUMBER(MATCH($F4848,Lists!$A$2:$A$5,0)),ISNUMBER(MATCH($G4848,Lists!$B$2:$B$7,0)),OR($H4848="",$N4848&gt;0),OR($I4848="",$I4848="NR",$O4848&gt;0),IF(ISNUMBER($J4848),AND($J4848&gt;=0,$J4848=INT($J4848)),FALSE())),$J4848,0)</f>
        <v>0</v>
      </c>
      <c r="Q4848" s="64" t="n">
        <f aca="false">IF(AND($P4848&gt;0,$O4848&gt;0),$P4848,0)</f>
        <v>0</v>
      </c>
      <c r="R4848" s="64" t="n">
        <f aca="false">IF(AND($Q4848&gt;0,$O4848&gt;=AtRank),$Q4848,0)</f>
        <v>0</v>
      </c>
      <c r="S4848" s="64" t="n">
        <f aca="false">IF(AND($Q4848&gt;0,$O4848&gt;=AboveRank),$Q4848,0)</f>
        <v>0</v>
      </c>
      <c r="T4848" s="64" t="n">
        <f aca="false">IF($K4848="Less",$P4848,0)</f>
        <v>0</v>
      </c>
      <c r="U4848" s="64" t="n">
        <f aca="false">IF($K4848="Expected",$P4848,0)</f>
        <v>0</v>
      </c>
      <c r="V4848" s="64" t="n">
        <f aca="false">IF($K4848="Better",$P4848,0)</f>
        <v>0</v>
      </c>
      <c r="W4848" s="64" t="n">
        <f aca="false">IF($K4848="U – needs rule",$P4848,0)</f>
        <v>0</v>
      </c>
      <c r="X4848" s="64" t="n">
        <f aca="false">IF($K4848="No Start (attainment only)",$P4848,0)</f>
        <v>0</v>
      </c>
    </row>
    <row r="4849" customFormat="false" ht="15" hidden="false" customHeight="false" outlineLevel="0" collapsed="false">
      <c r="A4849" s="60"/>
      <c r="B4849" s="61" t="str">
        <f aca="false">IF($M4849=0,"",INDEX(Classes!$E$6:$E$420,$M4849))</f>
        <v/>
      </c>
      <c r="C4849" s="62" t="str">
        <f aca="false">IF($M4849=0,"",INDEX(Classes!$H$6:$H$420,$M4849))</f>
        <v/>
      </c>
      <c r="D4849" s="61" t="str">
        <f aca="false">IF($M4849=0,"",INDEX(Classes!$B$6:$B$420,$M4849))</f>
        <v/>
      </c>
      <c r="E4849" s="61" t="str">
        <f aca="false">IF($M4849=0,"",INDEX(Classes!$C$6:$C$420,$M4849))</f>
        <v/>
      </c>
      <c r="F4849" s="63"/>
      <c r="G4849" s="63"/>
      <c r="H4849" s="60"/>
      <c r="I4849" s="60"/>
      <c r="J4849" s="63"/>
      <c r="K4849" s="61" t="str">
        <f aca="false">IF($P4849=0,"",IF($F4849="Baseline","— Baseline",IF($O4849=0,"No result",IF($N4849=0,"No Start (attainment only)",IF(OR($N4849=1,$O4849=1),"U – needs rule",INDEX(MxBody,MATCH($I4849,MxCurr,0),MATCH($H4849,MxStart,0)))))))</f>
        <v/>
      </c>
      <c r="L4849" s="62" t="str">
        <f aca="false">IF(COUNTA($A4849,$F4849,$G4849,$H4849,$I4849,$J4849)=0,"",IF($M4849=0,"✖ كود الصف غير موجود",IF(ISNA(MATCH($F4849,Lists!$A$2:$A$5,0)),"✖ الفترة غير صحيحة",IF(ISNA(MATCH($G4849,Lists!$B$2:$B$7,0)),"✖ المجموعة غير صحيحة",IF(NOT(OR($H4849="",$N4849&gt;0)),"✖ Start غير صحيح",IF(NOT(OR($I4849="",$I4849="NR",$O4849&gt;0)),"✖ Current غير صحيح",IF(NOT(IF(ISNUMBER($J4849),AND($J4849&gt;=0,$J4849=INT($J4849)),FALSE())),"✖ العدد يجب أن يكون صحيحًا ≥ 0",IF(AND($F4849="Baseline",$H4849&lt;&gt;""),"⚠ Baseline: Start لا يدخل في التقدم",IF($K4849="No Start (attainment only)","ℹ تحصيل فقط (بدون Start)",IF($K4849="U – needs rule","ℹ حالة U تحتاج قاعدة معتمدة",IF($K4849="No result","ℹ بدون نتيجة (يُستبعد من التحصيل)","OK")))))))))))</f>
        <v/>
      </c>
      <c r="M4849" s="64" t="n">
        <f aca="false">IF($A4849="",0,IFERROR(MATCH($A4849,Classes!$A$6:$A$420,0),0))</f>
        <v>0</v>
      </c>
      <c r="N4849" s="64" t="n">
        <f aca="false">IF($H4849="",0,IFERROR(MATCH($H4849,GradeList,0),0))</f>
        <v>0</v>
      </c>
      <c r="O4849" s="64" t="n">
        <f aca="false">IF(OR($I4849="",$I4849="NR"),0,IFERROR(MATCH($I4849,GradeList,0),0))</f>
        <v>0</v>
      </c>
      <c r="P4849" s="64" t="n">
        <f aca="false">IF(AND($M4849&gt;0,ISNUMBER(MATCH($F4849,Lists!$A$2:$A$5,0)),ISNUMBER(MATCH($G4849,Lists!$B$2:$B$7,0)),OR($H4849="",$N4849&gt;0),OR($I4849="",$I4849="NR",$O4849&gt;0),IF(ISNUMBER($J4849),AND($J4849&gt;=0,$J4849=INT($J4849)),FALSE())),$J4849,0)</f>
        <v>0</v>
      </c>
      <c r="Q4849" s="64" t="n">
        <f aca="false">IF(AND($P4849&gt;0,$O4849&gt;0),$P4849,0)</f>
        <v>0</v>
      </c>
      <c r="R4849" s="64" t="n">
        <f aca="false">IF(AND($Q4849&gt;0,$O4849&gt;=AtRank),$Q4849,0)</f>
        <v>0</v>
      </c>
      <c r="S4849" s="64" t="n">
        <f aca="false">IF(AND($Q4849&gt;0,$O4849&gt;=AboveRank),$Q4849,0)</f>
        <v>0</v>
      </c>
      <c r="T4849" s="64" t="n">
        <f aca="false">IF($K4849="Less",$P4849,0)</f>
        <v>0</v>
      </c>
      <c r="U4849" s="64" t="n">
        <f aca="false">IF($K4849="Expected",$P4849,0)</f>
        <v>0</v>
      </c>
      <c r="V4849" s="64" t="n">
        <f aca="false">IF($K4849="Better",$P4849,0)</f>
        <v>0</v>
      </c>
      <c r="W4849" s="64" t="n">
        <f aca="false">IF($K4849="U – needs rule",$P4849,0)</f>
        <v>0</v>
      </c>
      <c r="X4849" s="64" t="n">
        <f aca="false">IF($K4849="No Start (attainment only)",$P4849,0)</f>
        <v>0</v>
      </c>
    </row>
    <row r="4850" customFormat="false" ht="15" hidden="false" customHeight="false" outlineLevel="0" collapsed="false">
      <c r="A4850" s="60"/>
      <c r="B4850" s="61" t="str">
        <f aca="false">IF($M4850=0,"",INDEX(Classes!$E$6:$E$420,$M4850))</f>
        <v/>
      </c>
      <c r="C4850" s="62" t="str">
        <f aca="false">IF($M4850=0,"",INDEX(Classes!$H$6:$H$420,$M4850))</f>
        <v/>
      </c>
      <c r="D4850" s="61" t="str">
        <f aca="false">IF($M4850=0,"",INDEX(Classes!$B$6:$B$420,$M4850))</f>
        <v/>
      </c>
      <c r="E4850" s="61" t="str">
        <f aca="false">IF($M4850=0,"",INDEX(Classes!$C$6:$C$420,$M4850))</f>
        <v/>
      </c>
      <c r="F4850" s="63"/>
      <c r="G4850" s="63"/>
      <c r="H4850" s="60"/>
      <c r="I4850" s="60"/>
      <c r="J4850" s="63"/>
      <c r="K4850" s="61" t="str">
        <f aca="false">IF($P4850=0,"",IF($F4850="Baseline","— Baseline",IF($O4850=0,"No result",IF($N4850=0,"No Start (attainment only)",IF(OR($N4850=1,$O4850=1),"U – needs rule",INDEX(MxBody,MATCH($I4850,MxCurr,0),MATCH($H4850,MxStart,0)))))))</f>
        <v/>
      </c>
      <c r="L4850" s="62" t="str">
        <f aca="false">IF(COUNTA($A4850,$F4850,$G4850,$H4850,$I4850,$J4850)=0,"",IF($M4850=0,"✖ كود الصف غير موجود",IF(ISNA(MATCH($F4850,Lists!$A$2:$A$5,0)),"✖ الفترة غير صحيحة",IF(ISNA(MATCH($G4850,Lists!$B$2:$B$7,0)),"✖ المجموعة غير صحيحة",IF(NOT(OR($H4850="",$N4850&gt;0)),"✖ Start غير صحيح",IF(NOT(OR($I4850="",$I4850="NR",$O4850&gt;0)),"✖ Current غير صحيح",IF(NOT(IF(ISNUMBER($J4850),AND($J4850&gt;=0,$J4850=INT($J4850)),FALSE())),"✖ العدد يجب أن يكون صحيحًا ≥ 0",IF(AND($F4850="Baseline",$H4850&lt;&gt;""),"⚠ Baseline: Start لا يدخل في التقدم",IF($K4850="No Start (attainment only)","ℹ تحصيل فقط (بدون Start)",IF($K4850="U – needs rule","ℹ حالة U تحتاج قاعدة معتمدة",IF($K4850="No result","ℹ بدون نتيجة (يُستبعد من التحصيل)","OK")))))))))))</f>
        <v/>
      </c>
      <c r="M4850" s="64" t="n">
        <f aca="false">IF($A4850="",0,IFERROR(MATCH($A4850,Classes!$A$6:$A$420,0),0))</f>
        <v>0</v>
      </c>
      <c r="N4850" s="64" t="n">
        <f aca="false">IF($H4850="",0,IFERROR(MATCH($H4850,GradeList,0),0))</f>
        <v>0</v>
      </c>
      <c r="O4850" s="64" t="n">
        <f aca="false">IF(OR($I4850="",$I4850="NR"),0,IFERROR(MATCH($I4850,GradeList,0),0))</f>
        <v>0</v>
      </c>
      <c r="P4850" s="64" t="n">
        <f aca="false">IF(AND($M4850&gt;0,ISNUMBER(MATCH($F4850,Lists!$A$2:$A$5,0)),ISNUMBER(MATCH($G4850,Lists!$B$2:$B$7,0)),OR($H4850="",$N4850&gt;0),OR($I4850="",$I4850="NR",$O4850&gt;0),IF(ISNUMBER($J4850),AND($J4850&gt;=0,$J4850=INT($J4850)),FALSE())),$J4850,0)</f>
        <v>0</v>
      </c>
      <c r="Q4850" s="64" t="n">
        <f aca="false">IF(AND($P4850&gt;0,$O4850&gt;0),$P4850,0)</f>
        <v>0</v>
      </c>
      <c r="R4850" s="64" t="n">
        <f aca="false">IF(AND($Q4850&gt;0,$O4850&gt;=AtRank),$Q4850,0)</f>
        <v>0</v>
      </c>
      <c r="S4850" s="64" t="n">
        <f aca="false">IF(AND($Q4850&gt;0,$O4850&gt;=AboveRank),$Q4850,0)</f>
        <v>0</v>
      </c>
      <c r="T4850" s="64" t="n">
        <f aca="false">IF($K4850="Less",$P4850,0)</f>
        <v>0</v>
      </c>
      <c r="U4850" s="64" t="n">
        <f aca="false">IF($K4850="Expected",$P4850,0)</f>
        <v>0</v>
      </c>
      <c r="V4850" s="64" t="n">
        <f aca="false">IF($K4850="Better",$P4850,0)</f>
        <v>0</v>
      </c>
      <c r="W4850" s="64" t="n">
        <f aca="false">IF($K4850="U – needs rule",$P4850,0)</f>
        <v>0</v>
      </c>
      <c r="X4850" s="64" t="n">
        <f aca="false">IF($K4850="No Start (attainment only)",$P4850,0)</f>
        <v>0</v>
      </c>
    </row>
    <row r="4851" customFormat="false" ht="15" hidden="false" customHeight="false" outlineLevel="0" collapsed="false">
      <c r="A4851" s="60"/>
      <c r="B4851" s="61" t="str">
        <f aca="false">IF($M4851=0,"",INDEX(Classes!$E$6:$E$420,$M4851))</f>
        <v/>
      </c>
      <c r="C4851" s="62" t="str">
        <f aca="false">IF($M4851=0,"",INDEX(Classes!$H$6:$H$420,$M4851))</f>
        <v/>
      </c>
      <c r="D4851" s="61" t="str">
        <f aca="false">IF($M4851=0,"",INDEX(Classes!$B$6:$B$420,$M4851))</f>
        <v/>
      </c>
      <c r="E4851" s="61" t="str">
        <f aca="false">IF($M4851=0,"",INDEX(Classes!$C$6:$C$420,$M4851))</f>
        <v/>
      </c>
      <c r="F4851" s="63"/>
      <c r="G4851" s="63"/>
      <c r="H4851" s="60"/>
      <c r="I4851" s="60"/>
      <c r="J4851" s="63"/>
      <c r="K4851" s="61" t="str">
        <f aca="false">IF($P4851=0,"",IF($F4851="Baseline","— Baseline",IF($O4851=0,"No result",IF($N4851=0,"No Start (attainment only)",IF(OR($N4851=1,$O4851=1),"U – needs rule",INDEX(MxBody,MATCH($I4851,MxCurr,0),MATCH($H4851,MxStart,0)))))))</f>
        <v/>
      </c>
      <c r="L4851" s="62" t="str">
        <f aca="false">IF(COUNTA($A4851,$F4851,$G4851,$H4851,$I4851,$J4851)=0,"",IF($M4851=0,"✖ كود الصف غير موجود",IF(ISNA(MATCH($F4851,Lists!$A$2:$A$5,0)),"✖ الفترة غير صحيحة",IF(ISNA(MATCH($G4851,Lists!$B$2:$B$7,0)),"✖ المجموعة غير صحيحة",IF(NOT(OR($H4851="",$N4851&gt;0)),"✖ Start غير صحيح",IF(NOT(OR($I4851="",$I4851="NR",$O4851&gt;0)),"✖ Current غير صحيح",IF(NOT(IF(ISNUMBER($J4851),AND($J4851&gt;=0,$J4851=INT($J4851)),FALSE())),"✖ العدد يجب أن يكون صحيحًا ≥ 0",IF(AND($F4851="Baseline",$H4851&lt;&gt;""),"⚠ Baseline: Start لا يدخل في التقدم",IF($K4851="No Start (attainment only)","ℹ تحصيل فقط (بدون Start)",IF($K4851="U – needs rule","ℹ حالة U تحتاج قاعدة معتمدة",IF($K4851="No result","ℹ بدون نتيجة (يُستبعد من التحصيل)","OK")))))))))))</f>
        <v/>
      </c>
      <c r="M4851" s="64" t="n">
        <f aca="false">IF($A4851="",0,IFERROR(MATCH($A4851,Classes!$A$6:$A$420,0),0))</f>
        <v>0</v>
      </c>
      <c r="N4851" s="64" t="n">
        <f aca="false">IF($H4851="",0,IFERROR(MATCH($H4851,GradeList,0),0))</f>
        <v>0</v>
      </c>
      <c r="O4851" s="64" t="n">
        <f aca="false">IF(OR($I4851="",$I4851="NR"),0,IFERROR(MATCH($I4851,GradeList,0),0))</f>
        <v>0</v>
      </c>
      <c r="P4851" s="64" t="n">
        <f aca="false">IF(AND($M4851&gt;0,ISNUMBER(MATCH($F4851,Lists!$A$2:$A$5,0)),ISNUMBER(MATCH($G4851,Lists!$B$2:$B$7,0)),OR($H4851="",$N4851&gt;0),OR($I4851="",$I4851="NR",$O4851&gt;0),IF(ISNUMBER($J4851),AND($J4851&gt;=0,$J4851=INT($J4851)),FALSE())),$J4851,0)</f>
        <v>0</v>
      </c>
      <c r="Q4851" s="64" t="n">
        <f aca="false">IF(AND($P4851&gt;0,$O4851&gt;0),$P4851,0)</f>
        <v>0</v>
      </c>
      <c r="R4851" s="64" t="n">
        <f aca="false">IF(AND($Q4851&gt;0,$O4851&gt;=AtRank),$Q4851,0)</f>
        <v>0</v>
      </c>
      <c r="S4851" s="64" t="n">
        <f aca="false">IF(AND($Q4851&gt;0,$O4851&gt;=AboveRank),$Q4851,0)</f>
        <v>0</v>
      </c>
      <c r="T4851" s="64" t="n">
        <f aca="false">IF($K4851="Less",$P4851,0)</f>
        <v>0</v>
      </c>
      <c r="U4851" s="64" t="n">
        <f aca="false">IF($K4851="Expected",$P4851,0)</f>
        <v>0</v>
      </c>
      <c r="V4851" s="64" t="n">
        <f aca="false">IF($K4851="Better",$P4851,0)</f>
        <v>0</v>
      </c>
      <c r="W4851" s="64" t="n">
        <f aca="false">IF($K4851="U – needs rule",$P4851,0)</f>
        <v>0</v>
      </c>
      <c r="X4851" s="64" t="n">
        <f aca="false">IF($K4851="No Start (attainment only)",$P4851,0)</f>
        <v>0</v>
      </c>
    </row>
    <row r="4852" customFormat="false" ht="15" hidden="false" customHeight="false" outlineLevel="0" collapsed="false">
      <c r="A4852" s="60"/>
      <c r="B4852" s="61" t="str">
        <f aca="false">IF($M4852=0,"",INDEX(Classes!$E$6:$E$420,$M4852))</f>
        <v/>
      </c>
      <c r="C4852" s="62" t="str">
        <f aca="false">IF($M4852=0,"",INDEX(Classes!$H$6:$H$420,$M4852))</f>
        <v/>
      </c>
      <c r="D4852" s="61" t="str">
        <f aca="false">IF($M4852=0,"",INDEX(Classes!$B$6:$B$420,$M4852))</f>
        <v/>
      </c>
      <c r="E4852" s="61" t="str">
        <f aca="false">IF($M4852=0,"",INDEX(Classes!$C$6:$C$420,$M4852))</f>
        <v/>
      </c>
      <c r="F4852" s="63"/>
      <c r="G4852" s="63"/>
      <c r="H4852" s="60"/>
      <c r="I4852" s="60"/>
      <c r="J4852" s="63"/>
      <c r="K4852" s="61" t="str">
        <f aca="false">IF($P4852=0,"",IF($F4852="Baseline","— Baseline",IF($O4852=0,"No result",IF($N4852=0,"No Start (attainment only)",IF(OR($N4852=1,$O4852=1),"U – needs rule",INDEX(MxBody,MATCH($I4852,MxCurr,0),MATCH($H4852,MxStart,0)))))))</f>
        <v/>
      </c>
      <c r="L4852" s="62" t="str">
        <f aca="false">IF(COUNTA($A4852,$F4852,$G4852,$H4852,$I4852,$J4852)=0,"",IF($M4852=0,"✖ كود الصف غير موجود",IF(ISNA(MATCH($F4852,Lists!$A$2:$A$5,0)),"✖ الفترة غير صحيحة",IF(ISNA(MATCH($G4852,Lists!$B$2:$B$7,0)),"✖ المجموعة غير صحيحة",IF(NOT(OR($H4852="",$N4852&gt;0)),"✖ Start غير صحيح",IF(NOT(OR($I4852="",$I4852="NR",$O4852&gt;0)),"✖ Current غير صحيح",IF(NOT(IF(ISNUMBER($J4852),AND($J4852&gt;=0,$J4852=INT($J4852)),FALSE())),"✖ العدد يجب أن يكون صحيحًا ≥ 0",IF(AND($F4852="Baseline",$H4852&lt;&gt;""),"⚠ Baseline: Start لا يدخل في التقدم",IF($K4852="No Start (attainment only)","ℹ تحصيل فقط (بدون Start)",IF($K4852="U – needs rule","ℹ حالة U تحتاج قاعدة معتمدة",IF($K4852="No result","ℹ بدون نتيجة (يُستبعد من التحصيل)","OK")))))))))))</f>
        <v/>
      </c>
      <c r="M4852" s="64" t="n">
        <f aca="false">IF($A4852="",0,IFERROR(MATCH($A4852,Classes!$A$6:$A$420,0),0))</f>
        <v>0</v>
      </c>
      <c r="N4852" s="64" t="n">
        <f aca="false">IF($H4852="",0,IFERROR(MATCH($H4852,GradeList,0),0))</f>
        <v>0</v>
      </c>
      <c r="O4852" s="64" t="n">
        <f aca="false">IF(OR($I4852="",$I4852="NR"),0,IFERROR(MATCH($I4852,GradeList,0),0))</f>
        <v>0</v>
      </c>
      <c r="P4852" s="64" t="n">
        <f aca="false">IF(AND($M4852&gt;0,ISNUMBER(MATCH($F4852,Lists!$A$2:$A$5,0)),ISNUMBER(MATCH($G4852,Lists!$B$2:$B$7,0)),OR($H4852="",$N4852&gt;0),OR($I4852="",$I4852="NR",$O4852&gt;0),IF(ISNUMBER($J4852),AND($J4852&gt;=0,$J4852=INT($J4852)),FALSE())),$J4852,0)</f>
        <v>0</v>
      </c>
      <c r="Q4852" s="64" t="n">
        <f aca="false">IF(AND($P4852&gt;0,$O4852&gt;0),$P4852,0)</f>
        <v>0</v>
      </c>
      <c r="R4852" s="64" t="n">
        <f aca="false">IF(AND($Q4852&gt;0,$O4852&gt;=AtRank),$Q4852,0)</f>
        <v>0</v>
      </c>
      <c r="S4852" s="64" t="n">
        <f aca="false">IF(AND($Q4852&gt;0,$O4852&gt;=AboveRank),$Q4852,0)</f>
        <v>0</v>
      </c>
      <c r="T4852" s="64" t="n">
        <f aca="false">IF($K4852="Less",$P4852,0)</f>
        <v>0</v>
      </c>
      <c r="U4852" s="64" t="n">
        <f aca="false">IF($K4852="Expected",$P4852,0)</f>
        <v>0</v>
      </c>
      <c r="V4852" s="64" t="n">
        <f aca="false">IF($K4852="Better",$P4852,0)</f>
        <v>0</v>
      </c>
      <c r="W4852" s="64" t="n">
        <f aca="false">IF($K4852="U – needs rule",$P4852,0)</f>
        <v>0</v>
      </c>
      <c r="X4852" s="64" t="n">
        <f aca="false">IF($K4852="No Start (attainment only)",$P4852,0)</f>
        <v>0</v>
      </c>
    </row>
    <row r="4853" customFormat="false" ht="15" hidden="false" customHeight="false" outlineLevel="0" collapsed="false">
      <c r="A4853" s="60"/>
      <c r="B4853" s="61" t="str">
        <f aca="false">IF($M4853=0,"",INDEX(Classes!$E$6:$E$420,$M4853))</f>
        <v/>
      </c>
      <c r="C4853" s="62" t="str">
        <f aca="false">IF($M4853=0,"",INDEX(Classes!$H$6:$H$420,$M4853))</f>
        <v/>
      </c>
      <c r="D4853" s="61" t="str">
        <f aca="false">IF($M4853=0,"",INDEX(Classes!$B$6:$B$420,$M4853))</f>
        <v/>
      </c>
      <c r="E4853" s="61" t="str">
        <f aca="false">IF($M4853=0,"",INDEX(Classes!$C$6:$C$420,$M4853))</f>
        <v/>
      </c>
      <c r="F4853" s="63"/>
      <c r="G4853" s="63"/>
      <c r="H4853" s="60"/>
      <c r="I4853" s="60"/>
      <c r="J4853" s="63"/>
      <c r="K4853" s="61" t="str">
        <f aca="false">IF($P4853=0,"",IF($F4853="Baseline","— Baseline",IF($O4853=0,"No result",IF($N4853=0,"No Start (attainment only)",IF(OR($N4853=1,$O4853=1),"U – needs rule",INDEX(MxBody,MATCH($I4853,MxCurr,0),MATCH($H4853,MxStart,0)))))))</f>
        <v/>
      </c>
      <c r="L4853" s="62" t="str">
        <f aca="false">IF(COUNTA($A4853,$F4853,$G4853,$H4853,$I4853,$J4853)=0,"",IF($M4853=0,"✖ كود الصف غير موجود",IF(ISNA(MATCH($F4853,Lists!$A$2:$A$5,0)),"✖ الفترة غير صحيحة",IF(ISNA(MATCH($G4853,Lists!$B$2:$B$7,0)),"✖ المجموعة غير صحيحة",IF(NOT(OR($H4853="",$N4853&gt;0)),"✖ Start غير صحيح",IF(NOT(OR($I4853="",$I4853="NR",$O4853&gt;0)),"✖ Current غير صحيح",IF(NOT(IF(ISNUMBER($J4853),AND($J4853&gt;=0,$J4853=INT($J4853)),FALSE())),"✖ العدد يجب أن يكون صحيحًا ≥ 0",IF(AND($F4853="Baseline",$H4853&lt;&gt;""),"⚠ Baseline: Start لا يدخل في التقدم",IF($K4853="No Start (attainment only)","ℹ تحصيل فقط (بدون Start)",IF($K4853="U – needs rule","ℹ حالة U تحتاج قاعدة معتمدة",IF($K4853="No result","ℹ بدون نتيجة (يُستبعد من التحصيل)","OK")))))))))))</f>
        <v/>
      </c>
      <c r="M4853" s="64" t="n">
        <f aca="false">IF($A4853="",0,IFERROR(MATCH($A4853,Classes!$A$6:$A$420,0),0))</f>
        <v>0</v>
      </c>
      <c r="N4853" s="64" t="n">
        <f aca="false">IF($H4853="",0,IFERROR(MATCH($H4853,GradeList,0),0))</f>
        <v>0</v>
      </c>
      <c r="O4853" s="64" t="n">
        <f aca="false">IF(OR($I4853="",$I4853="NR"),0,IFERROR(MATCH($I4853,GradeList,0),0))</f>
        <v>0</v>
      </c>
      <c r="P4853" s="64" t="n">
        <f aca="false">IF(AND($M4853&gt;0,ISNUMBER(MATCH($F4853,Lists!$A$2:$A$5,0)),ISNUMBER(MATCH($G4853,Lists!$B$2:$B$7,0)),OR($H4853="",$N4853&gt;0),OR($I4853="",$I4853="NR",$O4853&gt;0),IF(ISNUMBER($J4853),AND($J4853&gt;=0,$J4853=INT($J4853)),FALSE())),$J4853,0)</f>
        <v>0</v>
      </c>
      <c r="Q4853" s="64" t="n">
        <f aca="false">IF(AND($P4853&gt;0,$O4853&gt;0),$P4853,0)</f>
        <v>0</v>
      </c>
      <c r="R4853" s="64" t="n">
        <f aca="false">IF(AND($Q4853&gt;0,$O4853&gt;=AtRank),$Q4853,0)</f>
        <v>0</v>
      </c>
      <c r="S4853" s="64" t="n">
        <f aca="false">IF(AND($Q4853&gt;0,$O4853&gt;=AboveRank),$Q4853,0)</f>
        <v>0</v>
      </c>
      <c r="T4853" s="64" t="n">
        <f aca="false">IF($K4853="Less",$P4853,0)</f>
        <v>0</v>
      </c>
      <c r="U4853" s="64" t="n">
        <f aca="false">IF($K4853="Expected",$P4853,0)</f>
        <v>0</v>
      </c>
      <c r="V4853" s="64" t="n">
        <f aca="false">IF($K4853="Better",$P4853,0)</f>
        <v>0</v>
      </c>
      <c r="W4853" s="64" t="n">
        <f aca="false">IF($K4853="U – needs rule",$P4853,0)</f>
        <v>0</v>
      </c>
      <c r="X4853" s="64" t="n">
        <f aca="false">IF($K4853="No Start (attainment only)",$P4853,0)</f>
        <v>0</v>
      </c>
    </row>
    <row r="4854" customFormat="false" ht="15" hidden="false" customHeight="false" outlineLevel="0" collapsed="false">
      <c r="A4854" s="60"/>
      <c r="B4854" s="61" t="str">
        <f aca="false">IF($M4854=0,"",INDEX(Classes!$E$6:$E$420,$M4854))</f>
        <v/>
      </c>
      <c r="C4854" s="62" t="str">
        <f aca="false">IF($M4854=0,"",INDEX(Classes!$H$6:$H$420,$M4854))</f>
        <v/>
      </c>
      <c r="D4854" s="61" t="str">
        <f aca="false">IF($M4854=0,"",INDEX(Classes!$B$6:$B$420,$M4854))</f>
        <v/>
      </c>
      <c r="E4854" s="61" t="str">
        <f aca="false">IF($M4854=0,"",INDEX(Classes!$C$6:$C$420,$M4854))</f>
        <v/>
      </c>
      <c r="F4854" s="63"/>
      <c r="G4854" s="63"/>
      <c r="H4854" s="60"/>
      <c r="I4854" s="60"/>
      <c r="J4854" s="63"/>
      <c r="K4854" s="61" t="str">
        <f aca="false">IF($P4854=0,"",IF($F4854="Baseline","— Baseline",IF($O4854=0,"No result",IF($N4854=0,"No Start (attainment only)",IF(OR($N4854=1,$O4854=1),"U – needs rule",INDEX(MxBody,MATCH($I4854,MxCurr,0),MATCH($H4854,MxStart,0)))))))</f>
        <v/>
      </c>
      <c r="L4854" s="62" t="str">
        <f aca="false">IF(COUNTA($A4854,$F4854,$G4854,$H4854,$I4854,$J4854)=0,"",IF($M4854=0,"✖ كود الصف غير موجود",IF(ISNA(MATCH($F4854,Lists!$A$2:$A$5,0)),"✖ الفترة غير صحيحة",IF(ISNA(MATCH($G4854,Lists!$B$2:$B$7,0)),"✖ المجموعة غير صحيحة",IF(NOT(OR($H4854="",$N4854&gt;0)),"✖ Start غير صحيح",IF(NOT(OR($I4854="",$I4854="NR",$O4854&gt;0)),"✖ Current غير صحيح",IF(NOT(IF(ISNUMBER($J4854),AND($J4854&gt;=0,$J4854=INT($J4854)),FALSE())),"✖ العدد يجب أن يكون صحيحًا ≥ 0",IF(AND($F4854="Baseline",$H4854&lt;&gt;""),"⚠ Baseline: Start لا يدخل في التقدم",IF($K4854="No Start (attainment only)","ℹ تحصيل فقط (بدون Start)",IF($K4854="U – needs rule","ℹ حالة U تحتاج قاعدة معتمدة",IF($K4854="No result","ℹ بدون نتيجة (يُستبعد من التحصيل)","OK")))))))))))</f>
        <v/>
      </c>
      <c r="M4854" s="64" t="n">
        <f aca="false">IF($A4854="",0,IFERROR(MATCH($A4854,Classes!$A$6:$A$420,0),0))</f>
        <v>0</v>
      </c>
      <c r="N4854" s="64" t="n">
        <f aca="false">IF($H4854="",0,IFERROR(MATCH($H4854,GradeList,0),0))</f>
        <v>0</v>
      </c>
      <c r="O4854" s="64" t="n">
        <f aca="false">IF(OR($I4854="",$I4854="NR"),0,IFERROR(MATCH($I4854,GradeList,0),0))</f>
        <v>0</v>
      </c>
      <c r="P4854" s="64" t="n">
        <f aca="false">IF(AND($M4854&gt;0,ISNUMBER(MATCH($F4854,Lists!$A$2:$A$5,0)),ISNUMBER(MATCH($G4854,Lists!$B$2:$B$7,0)),OR($H4854="",$N4854&gt;0),OR($I4854="",$I4854="NR",$O4854&gt;0),IF(ISNUMBER($J4854),AND($J4854&gt;=0,$J4854=INT($J4854)),FALSE())),$J4854,0)</f>
        <v>0</v>
      </c>
      <c r="Q4854" s="64" t="n">
        <f aca="false">IF(AND($P4854&gt;0,$O4854&gt;0),$P4854,0)</f>
        <v>0</v>
      </c>
      <c r="R4854" s="64" t="n">
        <f aca="false">IF(AND($Q4854&gt;0,$O4854&gt;=AtRank),$Q4854,0)</f>
        <v>0</v>
      </c>
      <c r="S4854" s="64" t="n">
        <f aca="false">IF(AND($Q4854&gt;0,$O4854&gt;=AboveRank),$Q4854,0)</f>
        <v>0</v>
      </c>
      <c r="T4854" s="64" t="n">
        <f aca="false">IF($K4854="Less",$P4854,0)</f>
        <v>0</v>
      </c>
      <c r="U4854" s="64" t="n">
        <f aca="false">IF($K4854="Expected",$P4854,0)</f>
        <v>0</v>
      </c>
      <c r="V4854" s="64" t="n">
        <f aca="false">IF($K4854="Better",$P4854,0)</f>
        <v>0</v>
      </c>
      <c r="W4854" s="64" t="n">
        <f aca="false">IF($K4854="U – needs rule",$P4854,0)</f>
        <v>0</v>
      </c>
      <c r="X4854" s="64" t="n">
        <f aca="false">IF($K4854="No Start (attainment only)",$P4854,0)</f>
        <v>0</v>
      </c>
    </row>
    <row r="4855" customFormat="false" ht="15" hidden="false" customHeight="false" outlineLevel="0" collapsed="false">
      <c r="A4855" s="60"/>
      <c r="B4855" s="61" t="str">
        <f aca="false">IF($M4855=0,"",INDEX(Classes!$E$6:$E$420,$M4855))</f>
        <v/>
      </c>
      <c r="C4855" s="62" t="str">
        <f aca="false">IF($M4855=0,"",INDEX(Classes!$H$6:$H$420,$M4855))</f>
        <v/>
      </c>
      <c r="D4855" s="61" t="str">
        <f aca="false">IF($M4855=0,"",INDEX(Classes!$B$6:$B$420,$M4855))</f>
        <v/>
      </c>
      <c r="E4855" s="61" t="str">
        <f aca="false">IF($M4855=0,"",INDEX(Classes!$C$6:$C$420,$M4855))</f>
        <v/>
      </c>
      <c r="F4855" s="63"/>
      <c r="G4855" s="63"/>
      <c r="H4855" s="60"/>
      <c r="I4855" s="60"/>
      <c r="J4855" s="63"/>
      <c r="K4855" s="61" t="str">
        <f aca="false">IF($P4855=0,"",IF($F4855="Baseline","— Baseline",IF($O4855=0,"No result",IF($N4855=0,"No Start (attainment only)",IF(OR($N4855=1,$O4855=1),"U – needs rule",INDEX(MxBody,MATCH($I4855,MxCurr,0),MATCH($H4855,MxStart,0)))))))</f>
        <v/>
      </c>
      <c r="L4855" s="62" t="str">
        <f aca="false">IF(COUNTA($A4855,$F4855,$G4855,$H4855,$I4855,$J4855)=0,"",IF($M4855=0,"✖ كود الصف غير موجود",IF(ISNA(MATCH($F4855,Lists!$A$2:$A$5,0)),"✖ الفترة غير صحيحة",IF(ISNA(MATCH($G4855,Lists!$B$2:$B$7,0)),"✖ المجموعة غير صحيحة",IF(NOT(OR($H4855="",$N4855&gt;0)),"✖ Start غير صحيح",IF(NOT(OR($I4855="",$I4855="NR",$O4855&gt;0)),"✖ Current غير صحيح",IF(NOT(IF(ISNUMBER($J4855),AND($J4855&gt;=0,$J4855=INT($J4855)),FALSE())),"✖ العدد يجب أن يكون صحيحًا ≥ 0",IF(AND($F4855="Baseline",$H4855&lt;&gt;""),"⚠ Baseline: Start لا يدخل في التقدم",IF($K4855="No Start (attainment only)","ℹ تحصيل فقط (بدون Start)",IF($K4855="U – needs rule","ℹ حالة U تحتاج قاعدة معتمدة",IF($K4855="No result","ℹ بدون نتيجة (يُستبعد من التحصيل)","OK")))))))))))</f>
        <v/>
      </c>
      <c r="M4855" s="64" t="n">
        <f aca="false">IF($A4855="",0,IFERROR(MATCH($A4855,Classes!$A$6:$A$420,0),0))</f>
        <v>0</v>
      </c>
      <c r="N4855" s="64" t="n">
        <f aca="false">IF($H4855="",0,IFERROR(MATCH($H4855,GradeList,0),0))</f>
        <v>0</v>
      </c>
      <c r="O4855" s="64" t="n">
        <f aca="false">IF(OR($I4855="",$I4855="NR"),0,IFERROR(MATCH($I4855,GradeList,0),0))</f>
        <v>0</v>
      </c>
      <c r="P4855" s="64" t="n">
        <f aca="false">IF(AND($M4855&gt;0,ISNUMBER(MATCH($F4855,Lists!$A$2:$A$5,0)),ISNUMBER(MATCH($G4855,Lists!$B$2:$B$7,0)),OR($H4855="",$N4855&gt;0),OR($I4855="",$I4855="NR",$O4855&gt;0),IF(ISNUMBER($J4855),AND($J4855&gt;=0,$J4855=INT($J4855)),FALSE())),$J4855,0)</f>
        <v>0</v>
      </c>
      <c r="Q4855" s="64" t="n">
        <f aca="false">IF(AND($P4855&gt;0,$O4855&gt;0),$P4855,0)</f>
        <v>0</v>
      </c>
      <c r="R4855" s="64" t="n">
        <f aca="false">IF(AND($Q4855&gt;0,$O4855&gt;=AtRank),$Q4855,0)</f>
        <v>0</v>
      </c>
      <c r="S4855" s="64" t="n">
        <f aca="false">IF(AND($Q4855&gt;0,$O4855&gt;=AboveRank),$Q4855,0)</f>
        <v>0</v>
      </c>
      <c r="T4855" s="64" t="n">
        <f aca="false">IF($K4855="Less",$P4855,0)</f>
        <v>0</v>
      </c>
      <c r="U4855" s="64" t="n">
        <f aca="false">IF($K4855="Expected",$P4855,0)</f>
        <v>0</v>
      </c>
      <c r="V4855" s="64" t="n">
        <f aca="false">IF($K4855="Better",$P4855,0)</f>
        <v>0</v>
      </c>
      <c r="W4855" s="64" t="n">
        <f aca="false">IF($K4855="U – needs rule",$P4855,0)</f>
        <v>0</v>
      </c>
      <c r="X4855" s="64" t="n">
        <f aca="false">IF($K4855="No Start (attainment only)",$P4855,0)</f>
        <v>0</v>
      </c>
    </row>
    <row r="4856" customFormat="false" ht="15" hidden="false" customHeight="false" outlineLevel="0" collapsed="false">
      <c r="A4856" s="60"/>
      <c r="B4856" s="61" t="str">
        <f aca="false">IF($M4856=0,"",INDEX(Classes!$E$6:$E$420,$M4856))</f>
        <v/>
      </c>
      <c r="C4856" s="62" t="str">
        <f aca="false">IF($M4856=0,"",INDEX(Classes!$H$6:$H$420,$M4856))</f>
        <v/>
      </c>
      <c r="D4856" s="61" t="str">
        <f aca="false">IF($M4856=0,"",INDEX(Classes!$B$6:$B$420,$M4856))</f>
        <v/>
      </c>
      <c r="E4856" s="61" t="str">
        <f aca="false">IF($M4856=0,"",INDEX(Classes!$C$6:$C$420,$M4856))</f>
        <v/>
      </c>
      <c r="F4856" s="63"/>
      <c r="G4856" s="63"/>
      <c r="H4856" s="60"/>
      <c r="I4856" s="60"/>
      <c r="J4856" s="63"/>
      <c r="K4856" s="61" t="str">
        <f aca="false">IF($P4856=0,"",IF($F4856="Baseline","— Baseline",IF($O4856=0,"No result",IF($N4856=0,"No Start (attainment only)",IF(OR($N4856=1,$O4856=1),"U – needs rule",INDEX(MxBody,MATCH($I4856,MxCurr,0),MATCH($H4856,MxStart,0)))))))</f>
        <v/>
      </c>
      <c r="L4856" s="62" t="str">
        <f aca="false">IF(COUNTA($A4856,$F4856,$G4856,$H4856,$I4856,$J4856)=0,"",IF($M4856=0,"✖ كود الصف غير موجود",IF(ISNA(MATCH($F4856,Lists!$A$2:$A$5,0)),"✖ الفترة غير صحيحة",IF(ISNA(MATCH($G4856,Lists!$B$2:$B$7,0)),"✖ المجموعة غير صحيحة",IF(NOT(OR($H4856="",$N4856&gt;0)),"✖ Start غير صحيح",IF(NOT(OR($I4856="",$I4856="NR",$O4856&gt;0)),"✖ Current غير صحيح",IF(NOT(IF(ISNUMBER($J4856),AND($J4856&gt;=0,$J4856=INT($J4856)),FALSE())),"✖ العدد يجب أن يكون صحيحًا ≥ 0",IF(AND($F4856="Baseline",$H4856&lt;&gt;""),"⚠ Baseline: Start لا يدخل في التقدم",IF($K4856="No Start (attainment only)","ℹ تحصيل فقط (بدون Start)",IF($K4856="U – needs rule","ℹ حالة U تحتاج قاعدة معتمدة",IF($K4856="No result","ℹ بدون نتيجة (يُستبعد من التحصيل)","OK")))))))))))</f>
        <v/>
      </c>
      <c r="M4856" s="64" t="n">
        <f aca="false">IF($A4856="",0,IFERROR(MATCH($A4856,Classes!$A$6:$A$420,0),0))</f>
        <v>0</v>
      </c>
      <c r="N4856" s="64" t="n">
        <f aca="false">IF($H4856="",0,IFERROR(MATCH($H4856,GradeList,0),0))</f>
        <v>0</v>
      </c>
      <c r="O4856" s="64" t="n">
        <f aca="false">IF(OR($I4856="",$I4856="NR"),0,IFERROR(MATCH($I4856,GradeList,0),0))</f>
        <v>0</v>
      </c>
      <c r="P4856" s="64" t="n">
        <f aca="false">IF(AND($M4856&gt;0,ISNUMBER(MATCH($F4856,Lists!$A$2:$A$5,0)),ISNUMBER(MATCH($G4856,Lists!$B$2:$B$7,0)),OR($H4856="",$N4856&gt;0),OR($I4856="",$I4856="NR",$O4856&gt;0),IF(ISNUMBER($J4856),AND($J4856&gt;=0,$J4856=INT($J4856)),FALSE())),$J4856,0)</f>
        <v>0</v>
      </c>
      <c r="Q4856" s="64" t="n">
        <f aca="false">IF(AND($P4856&gt;0,$O4856&gt;0),$P4856,0)</f>
        <v>0</v>
      </c>
      <c r="R4856" s="64" t="n">
        <f aca="false">IF(AND($Q4856&gt;0,$O4856&gt;=AtRank),$Q4856,0)</f>
        <v>0</v>
      </c>
      <c r="S4856" s="64" t="n">
        <f aca="false">IF(AND($Q4856&gt;0,$O4856&gt;=AboveRank),$Q4856,0)</f>
        <v>0</v>
      </c>
      <c r="T4856" s="64" t="n">
        <f aca="false">IF($K4856="Less",$P4856,0)</f>
        <v>0</v>
      </c>
      <c r="U4856" s="64" t="n">
        <f aca="false">IF($K4856="Expected",$P4856,0)</f>
        <v>0</v>
      </c>
      <c r="V4856" s="64" t="n">
        <f aca="false">IF($K4856="Better",$P4856,0)</f>
        <v>0</v>
      </c>
      <c r="W4856" s="64" t="n">
        <f aca="false">IF($K4856="U – needs rule",$P4856,0)</f>
        <v>0</v>
      </c>
      <c r="X4856" s="64" t="n">
        <f aca="false">IF($K4856="No Start (attainment only)",$P4856,0)</f>
        <v>0</v>
      </c>
    </row>
    <row r="4857" customFormat="false" ht="15" hidden="false" customHeight="false" outlineLevel="0" collapsed="false">
      <c r="A4857" s="60"/>
      <c r="B4857" s="61" t="str">
        <f aca="false">IF($M4857=0,"",INDEX(Classes!$E$6:$E$420,$M4857))</f>
        <v/>
      </c>
      <c r="C4857" s="62" t="str">
        <f aca="false">IF($M4857=0,"",INDEX(Classes!$H$6:$H$420,$M4857))</f>
        <v/>
      </c>
      <c r="D4857" s="61" t="str">
        <f aca="false">IF($M4857=0,"",INDEX(Classes!$B$6:$B$420,$M4857))</f>
        <v/>
      </c>
      <c r="E4857" s="61" t="str">
        <f aca="false">IF($M4857=0,"",INDEX(Classes!$C$6:$C$420,$M4857))</f>
        <v/>
      </c>
      <c r="F4857" s="63"/>
      <c r="G4857" s="63"/>
      <c r="H4857" s="60"/>
      <c r="I4857" s="60"/>
      <c r="J4857" s="63"/>
      <c r="K4857" s="61" t="str">
        <f aca="false">IF($P4857=0,"",IF($F4857="Baseline","— Baseline",IF($O4857=0,"No result",IF($N4857=0,"No Start (attainment only)",IF(OR($N4857=1,$O4857=1),"U – needs rule",INDEX(MxBody,MATCH($I4857,MxCurr,0),MATCH($H4857,MxStart,0)))))))</f>
        <v/>
      </c>
      <c r="L4857" s="62" t="str">
        <f aca="false">IF(COUNTA($A4857,$F4857,$G4857,$H4857,$I4857,$J4857)=0,"",IF($M4857=0,"✖ كود الصف غير موجود",IF(ISNA(MATCH($F4857,Lists!$A$2:$A$5,0)),"✖ الفترة غير صحيحة",IF(ISNA(MATCH($G4857,Lists!$B$2:$B$7,0)),"✖ المجموعة غير صحيحة",IF(NOT(OR($H4857="",$N4857&gt;0)),"✖ Start غير صحيح",IF(NOT(OR($I4857="",$I4857="NR",$O4857&gt;0)),"✖ Current غير صحيح",IF(NOT(IF(ISNUMBER($J4857),AND($J4857&gt;=0,$J4857=INT($J4857)),FALSE())),"✖ العدد يجب أن يكون صحيحًا ≥ 0",IF(AND($F4857="Baseline",$H4857&lt;&gt;""),"⚠ Baseline: Start لا يدخل في التقدم",IF($K4857="No Start (attainment only)","ℹ تحصيل فقط (بدون Start)",IF($K4857="U – needs rule","ℹ حالة U تحتاج قاعدة معتمدة",IF($K4857="No result","ℹ بدون نتيجة (يُستبعد من التحصيل)","OK")))))))))))</f>
        <v/>
      </c>
      <c r="M4857" s="64" t="n">
        <f aca="false">IF($A4857="",0,IFERROR(MATCH($A4857,Classes!$A$6:$A$420,0),0))</f>
        <v>0</v>
      </c>
      <c r="N4857" s="64" t="n">
        <f aca="false">IF($H4857="",0,IFERROR(MATCH($H4857,GradeList,0),0))</f>
        <v>0</v>
      </c>
      <c r="O4857" s="64" t="n">
        <f aca="false">IF(OR($I4857="",$I4857="NR"),0,IFERROR(MATCH($I4857,GradeList,0),0))</f>
        <v>0</v>
      </c>
      <c r="P4857" s="64" t="n">
        <f aca="false">IF(AND($M4857&gt;0,ISNUMBER(MATCH($F4857,Lists!$A$2:$A$5,0)),ISNUMBER(MATCH($G4857,Lists!$B$2:$B$7,0)),OR($H4857="",$N4857&gt;0),OR($I4857="",$I4857="NR",$O4857&gt;0),IF(ISNUMBER($J4857),AND($J4857&gt;=0,$J4857=INT($J4857)),FALSE())),$J4857,0)</f>
        <v>0</v>
      </c>
      <c r="Q4857" s="64" t="n">
        <f aca="false">IF(AND($P4857&gt;0,$O4857&gt;0),$P4857,0)</f>
        <v>0</v>
      </c>
      <c r="R4857" s="64" t="n">
        <f aca="false">IF(AND($Q4857&gt;0,$O4857&gt;=AtRank),$Q4857,0)</f>
        <v>0</v>
      </c>
      <c r="S4857" s="64" t="n">
        <f aca="false">IF(AND($Q4857&gt;0,$O4857&gt;=AboveRank),$Q4857,0)</f>
        <v>0</v>
      </c>
      <c r="T4857" s="64" t="n">
        <f aca="false">IF($K4857="Less",$P4857,0)</f>
        <v>0</v>
      </c>
      <c r="U4857" s="64" t="n">
        <f aca="false">IF($K4857="Expected",$P4857,0)</f>
        <v>0</v>
      </c>
      <c r="V4857" s="64" t="n">
        <f aca="false">IF($K4857="Better",$P4857,0)</f>
        <v>0</v>
      </c>
      <c r="W4857" s="64" t="n">
        <f aca="false">IF($K4857="U – needs rule",$P4857,0)</f>
        <v>0</v>
      </c>
      <c r="X4857" s="64" t="n">
        <f aca="false">IF($K4857="No Start (attainment only)",$P4857,0)</f>
        <v>0</v>
      </c>
    </row>
    <row r="4858" customFormat="false" ht="15" hidden="false" customHeight="false" outlineLevel="0" collapsed="false">
      <c r="A4858" s="60"/>
      <c r="B4858" s="61" t="str">
        <f aca="false">IF($M4858=0,"",INDEX(Classes!$E$6:$E$420,$M4858))</f>
        <v/>
      </c>
      <c r="C4858" s="62" t="str">
        <f aca="false">IF($M4858=0,"",INDEX(Classes!$H$6:$H$420,$M4858))</f>
        <v/>
      </c>
      <c r="D4858" s="61" t="str">
        <f aca="false">IF($M4858=0,"",INDEX(Classes!$B$6:$B$420,$M4858))</f>
        <v/>
      </c>
      <c r="E4858" s="61" t="str">
        <f aca="false">IF($M4858=0,"",INDEX(Classes!$C$6:$C$420,$M4858))</f>
        <v/>
      </c>
      <c r="F4858" s="63"/>
      <c r="G4858" s="63"/>
      <c r="H4858" s="60"/>
      <c r="I4858" s="60"/>
      <c r="J4858" s="63"/>
      <c r="K4858" s="61" t="str">
        <f aca="false">IF($P4858=0,"",IF($F4858="Baseline","— Baseline",IF($O4858=0,"No result",IF($N4858=0,"No Start (attainment only)",IF(OR($N4858=1,$O4858=1),"U – needs rule",INDEX(MxBody,MATCH($I4858,MxCurr,0),MATCH($H4858,MxStart,0)))))))</f>
        <v/>
      </c>
      <c r="L4858" s="62" t="str">
        <f aca="false">IF(COUNTA($A4858,$F4858,$G4858,$H4858,$I4858,$J4858)=0,"",IF($M4858=0,"✖ كود الصف غير موجود",IF(ISNA(MATCH($F4858,Lists!$A$2:$A$5,0)),"✖ الفترة غير صحيحة",IF(ISNA(MATCH($G4858,Lists!$B$2:$B$7,0)),"✖ المجموعة غير صحيحة",IF(NOT(OR($H4858="",$N4858&gt;0)),"✖ Start غير صحيح",IF(NOT(OR($I4858="",$I4858="NR",$O4858&gt;0)),"✖ Current غير صحيح",IF(NOT(IF(ISNUMBER($J4858),AND($J4858&gt;=0,$J4858=INT($J4858)),FALSE())),"✖ العدد يجب أن يكون صحيحًا ≥ 0",IF(AND($F4858="Baseline",$H4858&lt;&gt;""),"⚠ Baseline: Start لا يدخل في التقدم",IF($K4858="No Start (attainment only)","ℹ تحصيل فقط (بدون Start)",IF($K4858="U – needs rule","ℹ حالة U تحتاج قاعدة معتمدة",IF($K4858="No result","ℹ بدون نتيجة (يُستبعد من التحصيل)","OK")))))))))))</f>
        <v/>
      </c>
      <c r="M4858" s="64" t="n">
        <f aca="false">IF($A4858="",0,IFERROR(MATCH($A4858,Classes!$A$6:$A$420,0),0))</f>
        <v>0</v>
      </c>
      <c r="N4858" s="64" t="n">
        <f aca="false">IF($H4858="",0,IFERROR(MATCH($H4858,GradeList,0),0))</f>
        <v>0</v>
      </c>
      <c r="O4858" s="64" t="n">
        <f aca="false">IF(OR($I4858="",$I4858="NR"),0,IFERROR(MATCH($I4858,GradeList,0),0))</f>
        <v>0</v>
      </c>
      <c r="P4858" s="64" t="n">
        <f aca="false">IF(AND($M4858&gt;0,ISNUMBER(MATCH($F4858,Lists!$A$2:$A$5,0)),ISNUMBER(MATCH($G4858,Lists!$B$2:$B$7,0)),OR($H4858="",$N4858&gt;0),OR($I4858="",$I4858="NR",$O4858&gt;0),IF(ISNUMBER($J4858),AND($J4858&gt;=0,$J4858=INT($J4858)),FALSE())),$J4858,0)</f>
        <v>0</v>
      </c>
      <c r="Q4858" s="64" t="n">
        <f aca="false">IF(AND($P4858&gt;0,$O4858&gt;0),$P4858,0)</f>
        <v>0</v>
      </c>
      <c r="R4858" s="64" t="n">
        <f aca="false">IF(AND($Q4858&gt;0,$O4858&gt;=AtRank),$Q4858,0)</f>
        <v>0</v>
      </c>
      <c r="S4858" s="64" t="n">
        <f aca="false">IF(AND($Q4858&gt;0,$O4858&gt;=AboveRank),$Q4858,0)</f>
        <v>0</v>
      </c>
      <c r="T4858" s="64" t="n">
        <f aca="false">IF($K4858="Less",$P4858,0)</f>
        <v>0</v>
      </c>
      <c r="U4858" s="64" t="n">
        <f aca="false">IF($K4858="Expected",$P4858,0)</f>
        <v>0</v>
      </c>
      <c r="V4858" s="64" t="n">
        <f aca="false">IF($K4858="Better",$P4858,0)</f>
        <v>0</v>
      </c>
      <c r="W4858" s="64" t="n">
        <f aca="false">IF($K4858="U – needs rule",$P4858,0)</f>
        <v>0</v>
      </c>
      <c r="X4858" s="64" t="n">
        <f aca="false">IF($K4858="No Start (attainment only)",$P4858,0)</f>
        <v>0</v>
      </c>
    </row>
    <row r="4859" customFormat="false" ht="15" hidden="false" customHeight="false" outlineLevel="0" collapsed="false">
      <c r="A4859" s="60"/>
      <c r="B4859" s="61" t="str">
        <f aca="false">IF($M4859=0,"",INDEX(Classes!$E$6:$E$420,$M4859))</f>
        <v/>
      </c>
      <c r="C4859" s="62" t="str">
        <f aca="false">IF($M4859=0,"",INDEX(Classes!$H$6:$H$420,$M4859))</f>
        <v/>
      </c>
      <c r="D4859" s="61" t="str">
        <f aca="false">IF($M4859=0,"",INDEX(Classes!$B$6:$B$420,$M4859))</f>
        <v/>
      </c>
      <c r="E4859" s="61" t="str">
        <f aca="false">IF($M4859=0,"",INDEX(Classes!$C$6:$C$420,$M4859))</f>
        <v/>
      </c>
      <c r="F4859" s="63"/>
      <c r="G4859" s="63"/>
      <c r="H4859" s="60"/>
      <c r="I4859" s="60"/>
      <c r="J4859" s="63"/>
      <c r="K4859" s="61" t="str">
        <f aca="false">IF($P4859=0,"",IF($F4859="Baseline","— Baseline",IF($O4859=0,"No result",IF($N4859=0,"No Start (attainment only)",IF(OR($N4859=1,$O4859=1),"U – needs rule",INDEX(MxBody,MATCH($I4859,MxCurr,0),MATCH($H4859,MxStart,0)))))))</f>
        <v/>
      </c>
      <c r="L4859" s="62" t="str">
        <f aca="false">IF(COUNTA($A4859,$F4859,$G4859,$H4859,$I4859,$J4859)=0,"",IF($M4859=0,"✖ كود الصف غير موجود",IF(ISNA(MATCH($F4859,Lists!$A$2:$A$5,0)),"✖ الفترة غير صحيحة",IF(ISNA(MATCH($G4859,Lists!$B$2:$B$7,0)),"✖ المجموعة غير صحيحة",IF(NOT(OR($H4859="",$N4859&gt;0)),"✖ Start غير صحيح",IF(NOT(OR($I4859="",$I4859="NR",$O4859&gt;0)),"✖ Current غير صحيح",IF(NOT(IF(ISNUMBER($J4859),AND($J4859&gt;=0,$J4859=INT($J4859)),FALSE())),"✖ العدد يجب أن يكون صحيحًا ≥ 0",IF(AND($F4859="Baseline",$H4859&lt;&gt;""),"⚠ Baseline: Start لا يدخل في التقدم",IF($K4859="No Start (attainment only)","ℹ تحصيل فقط (بدون Start)",IF($K4859="U – needs rule","ℹ حالة U تحتاج قاعدة معتمدة",IF($K4859="No result","ℹ بدون نتيجة (يُستبعد من التحصيل)","OK")))))))))))</f>
        <v/>
      </c>
      <c r="M4859" s="64" t="n">
        <f aca="false">IF($A4859="",0,IFERROR(MATCH($A4859,Classes!$A$6:$A$420,0),0))</f>
        <v>0</v>
      </c>
      <c r="N4859" s="64" t="n">
        <f aca="false">IF($H4859="",0,IFERROR(MATCH($H4859,GradeList,0),0))</f>
        <v>0</v>
      </c>
      <c r="O4859" s="64" t="n">
        <f aca="false">IF(OR($I4859="",$I4859="NR"),0,IFERROR(MATCH($I4859,GradeList,0),0))</f>
        <v>0</v>
      </c>
      <c r="P4859" s="64" t="n">
        <f aca="false">IF(AND($M4859&gt;0,ISNUMBER(MATCH($F4859,Lists!$A$2:$A$5,0)),ISNUMBER(MATCH($G4859,Lists!$B$2:$B$7,0)),OR($H4859="",$N4859&gt;0),OR($I4859="",$I4859="NR",$O4859&gt;0),IF(ISNUMBER($J4859),AND($J4859&gt;=0,$J4859=INT($J4859)),FALSE())),$J4859,0)</f>
        <v>0</v>
      </c>
      <c r="Q4859" s="64" t="n">
        <f aca="false">IF(AND($P4859&gt;0,$O4859&gt;0),$P4859,0)</f>
        <v>0</v>
      </c>
      <c r="R4859" s="64" t="n">
        <f aca="false">IF(AND($Q4859&gt;0,$O4859&gt;=AtRank),$Q4859,0)</f>
        <v>0</v>
      </c>
      <c r="S4859" s="64" t="n">
        <f aca="false">IF(AND($Q4859&gt;0,$O4859&gt;=AboveRank),$Q4859,0)</f>
        <v>0</v>
      </c>
      <c r="T4859" s="64" t="n">
        <f aca="false">IF($K4859="Less",$P4859,0)</f>
        <v>0</v>
      </c>
      <c r="U4859" s="64" t="n">
        <f aca="false">IF($K4859="Expected",$P4859,0)</f>
        <v>0</v>
      </c>
      <c r="V4859" s="64" t="n">
        <f aca="false">IF($K4859="Better",$P4859,0)</f>
        <v>0</v>
      </c>
      <c r="W4859" s="64" t="n">
        <f aca="false">IF($K4859="U – needs rule",$P4859,0)</f>
        <v>0</v>
      </c>
      <c r="X4859" s="64" t="n">
        <f aca="false">IF($K4859="No Start (attainment only)",$P4859,0)</f>
        <v>0</v>
      </c>
    </row>
    <row r="4860" customFormat="false" ht="15" hidden="false" customHeight="false" outlineLevel="0" collapsed="false">
      <c r="A4860" s="60"/>
      <c r="B4860" s="61" t="str">
        <f aca="false">IF($M4860=0,"",INDEX(Classes!$E$6:$E$420,$M4860))</f>
        <v/>
      </c>
      <c r="C4860" s="62" t="str">
        <f aca="false">IF($M4860=0,"",INDEX(Classes!$H$6:$H$420,$M4860))</f>
        <v/>
      </c>
      <c r="D4860" s="61" t="str">
        <f aca="false">IF($M4860=0,"",INDEX(Classes!$B$6:$B$420,$M4860))</f>
        <v/>
      </c>
      <c r="E4860" s="61" t="str">
        <f aca="false">IF($M4860=0,"",INDEX(Classes!$C$6:$C$420,$M4860))</f>
        <v/>
      </c>
      <c r="F4860" s="63"/>
      <c r="G4860" s="63"/>
      <c r="H4860" s="60"/>
      <c r="I4860" s="60"/>
      <c r="J4860" s="63"/>
      <c r="K4860" s="61" t="str">
        <f aca="false">IF($P4860=0,"",IF($F4860="Baseline","— Baseline",IF($O4860=0,"No result",IF($N4860=0,"No Start (attainment only)",IF(OR($N4860=1,$O4860=1),"U – needs rule",INDEX(MxBody,MATCH($I4860,MxCurr,0),MATCH($H4860,MxStart,0)))))))</f>
        <v/>
      </c>
      <c r="L4860" s="62" t="str">
        <f aca="false">IF(COUNTA($A4860,$F4860,$G4860,$H4860,$I4860,$J4860)=0,"",IF($M4860=0,"✖ كود الصف غير موجود",IF(ISNA(MATCH($F4860,Lists!$A$2:$A$5,0)),"✖ الفترة غير صحيحة",IF(ISNA(MATCH($G4860,Lists!$B$2:$B$7,0)),"✖ المجموعة غير صحيحة",IF(NOT(OR($H4860="",$N4860&gt;0)),"✖ Start غير صحيح",IF(NOT(OR($I4860="",$I4860="NR",$O4860&gt;0)),"✖ Current غير صحيح",IF(NOT(IF(ISNUMBER($J4860),AND($J4860&gt;=0,$J4860=INT($J4860)),FALSE())),"✖ العدد يجب أن يكون صحيحًا ≥ 0",IF(AND($F4860="Baseline",$H4860&lt;&gt;""),"⚠ Baseline: Start لا يدخل في التقدم",IF($K4860="No Start (attainment only)","ℹ تحصيل فقط (بدون Start)",IF($K4860="U – needs rule","ℹ حالة U تحتاج قاعدة معتمدة",IF($K4860="No result","ℹ بدون نتيجة (يُستبعد من التحصيل)","OK")))))))))))</f>
        <v/>
      </c>
      <c r="M4860" s="64" t="n">
        <f aca="false">IF($A4860="",0,IFERROR(MATCH($A4860,Classes!$A$6:$A$420,0),0))</f>
        <v>0</v>
      </c>
      <c r="N4860" s="64" t="n">
        <f aca="false">IF($H4860="",0,IFERROR(MATCH($H4860,GradeList,0),0))</f>
        <v>0</v>
      </c>
      <c r="O4860" s="64" t="n">
        <f aca="false">IF(OR($I4860="",$I4860="NR"),0,IFERROR(MATCH($I4860,GradeList,0),0))</f>
        <v>0</v>
      </c>
      <c r="P4860" s="64" t="n">
        <f aca="false">IF(AND($M4860&gt;0,ISNUMBER(MATCH($F4860,Lists!$A$2:$A$5,0)),ISNUMBER(MATCH($G4860,Lists!$B$2:$B$7,0)),OR($H4860="",$N4860&gt;0),OR($I4860="",$I4860="NR",$O4860&gt;0),IF(ISNUMBER($J4860),AND($J4860&gt;=0,$J4860=INT($J4860)),FALSE())),$J4860,0)</f>
        <v>0</v>
      </c>
      <c r="Q4860" s="64" t="n">
        <f aca="false">IF(AND($P4860&gt;0,$O4860&gt;0),$P4860,0)</f>
        <v>0</v>
      </c>
      <c r="R4860" s="64" t="n">
        <f aca="false">IF(AND($Q4860&gt;0,$O4860&gt;=AtRank),$Q4860,0)</f>
        <v>0</v>
      </c>
      <c r="S4860" s="64" t="n">
        <f aca="false">IF(AND($Q4860&gt;0,$O4860&gt;=AboveRank),$Q4860,0)</f>
        <v>0</v>
      </c>
      <c r="T4860" s="64" t="n">
        <f aca="false">IF($K4860="Less",$P4860,0)</f>
        <v>0</v>
      </c>
      <c r="U4860" s="64" t="n">
        <f aca="false">IF($K4860="Expected",$P4860,0)</f>
        <v>0</v>
      </c>
      <c r="V4860" s="64" t="n">
        <f aca="false">IF($K4860="Better",$P4860,0)</f>
        <v>0</v>
      </c>
      <c r="W4860" s="64" t="n">
        <f aca="false">IF($K4860="U – needs rule",$P4860,0)</f>
        <v>0</v>
      </c>
      <c r="X4860" s="64" t="n">
        <f aca="false">IF($K4860="No Start (attainment only)",$P4860,0)</f>
        <v>0</v>
      </c>
    </row>
    <row r="4861" customFormat="false" ht="15" hidden="false" customHeight="false" outlineLevel="0" collapsed="false">
      <c r="A4861" s="60"/>
      <c r="B4861" s="61" t="str">
        <f aca="false">IF($M4861=0,"",INDEX(Classes!$E$6:$E$420,$M4861))</f>
        <v/>
      </c>
      <c r="C4861" s="62" t="str">
        <f aca="false">IF($M4861=0,"",INDEX(Classes!$H$6:$H$420,$M4861))</f>
        <v/>
      </c>
      <c r="D4861" s="61" t="str">
        <f aca="false">IF($M4861=0,"",INDEX(Classes!$B$6:$B$420,$M4861))</f>
        <v/>
      </c>
      <c r="E4861" s="61" t="str">
        <f aca="false">IF($M4861=0,"",INDEX(Classes!$C$6:$C$420,$M4861))</f>
        <v/>
      </c>
      <c r="F4861" s="63"/>
      <c r="G4861" s="63"/>
      <c r="H4861" s="60"/>
      <c r="I4861" s="60"/>
      <c r="J4861" s="63"/>
      <c r="K4861" s="61" t="str">
        <f aca="false">IF($P4861=0,"",IF($F4861="Baseline","— Baseline",IF($O4861=0,"No result",IF($N4861=0,"No Start (attainment only)",IF(OR($N4861=1,$O4861=1),"U – needs rule",INDEX(MxBody,MATCH($I4861,MxCurr,0),MATCH($H4861,MxStart,0)))))))</f>
        <v/>
      </c>
      <c r="L4861" s="62" t="str">
        <f aca="false">IF(COUNTA($A4861,$F4861,$G4861,$H4861,$I4861,$J4861)=0,"",IF($M4861=0,"✖ كود الصف غير موجود",IF(ISNA(MATCH($F4861,Lists!$A$2:$A$5,0)),"✖ الفترة غير صحيحة",IF(ISNA(MATCH($G4861,Lists!$B$2:$B$7,0)),"✖ المجموعة غير صحيحة",IF(NOT(OR($H4861="",$N4861&gt;0)),"✖ Start غير صحيح",IF(NOT(OR($I4861="",$I4861="NR",$O4861&gt;0)),"✖ Current غير صحيح",IF(NOT(IF(ISNUMBER($J4861),AND($J4861&gt;=0,$J4861=INT($J4861)),FALSE())),"✖ العدد يجب أن يكون صحيحًا ≥ 0",IF(AND($F4861="Baseline",$H4861&lt;&gt;""),"⚠ Baseline: Start لا يدخل في التقدم",IF($K4861="No Start (attainment only)","ℹ تحصيل فقط (بدون Start)",IF($K4861="U – needs rule","ℹ حالة U تحتاج قاعدة معتمدة",IF($K4861="No result","ℹ بدون نتيجة (يُستبعد من التحصيل)","OK")))))))))))</f>
        <v/>
      </c>
      <c r="M4861" s="64" t="n">
        <f aca="false">IF($A4861="",0,IFERROR(MATCH($A4861,Classes!$A$6:$A$420,0),0))</f>
        <v>0</v>
      </c>
      <c r="N4861" s="64" t="n">
        <f aca="false">IF($H4861="",0,IFERROR(MATCH($H4861,GradeList,0),0))</f>
        <v>0</v>
      </c>
      <c r="O4861" s="64" t="n">
        <f aca="false">IF(OR($I4861="",$I4861="NR"),0,IFERROR(MATCH($I4861,GradeList,0),0))</f>
        <v>0</v>
      </c>
      <c r="P4861" s="64" t="n">
        <f aca="false">IF(AND($M4861&gt;0,ISNUMBER(MATCH($F4861,Lists!$A$2:$A$5,0)),ISNUMBER(MATCH($G4861,Lists!$B$2:$B$7,0)),OR($H4861="",$N4861&gt;0),OR($I4861="",$I4861="NR",$O4861&gt;0),IF(ISNUMBER($J4861),AND($J4861&gt;=0,$J4861=INT($J4861)),FALSE())),$J4861,0)</f>
        <v>0</v>
      </c>
      <c r="Q4861" s="64" t="n">
        <f aca="false">IF(AND($P4861&gt;0,$O4861&gt;0),$P4861,0)</f>
        <v>0</v>
      </c>
      <c r="R4861" s="64" t="n">
        <f aca="false">IF(AND($Q4861&gt;0,$O4861&gt;=AtRank),$Q4861,0)</f>
        <v>0</v>
      </c>
      <c r="S4861" s="64" t="n">
        <f aca="false">IF(AND($Q4861&gt;0,$O4861&gt;=AboveRank),$Q4861,0)</f>
        <v>0</v>
      </c>
      <c r="T4861" s="64" t="n">
        <f aca="false">IF($K4861="Less",$P4861,0)</f>
        <v>0</v>
      </c>
      <c r="U4861" s="64" t="n">
        <f aca="false">IF($K4861="Expected",$P4861,0)</f>
        <v>0</v>
      </c>
      <c r="V4861" s="64" t="n">
        <f aca="false">IF($K4861="Better",$P4861,0)</f>
        <v>0</v>
      </c>
      <c r="W4861" s="64" t="n">
        <f aca="false">IF($K4861="U – needs rule",$P4861,0)</f>
        <v>0</v>
      </c>
      <c r="X4861" s="64" t="n">
        <f aca="false">IF($K4861="No Start (attainment only)",$P4861,0)</f>
        <v>0</v>
      </c>
    </row>
    <row r="4862" customFormat="false" ht="15" hidden="false" customHeight="false" outlineLevel="0" collapsed="false">
      <c r="A4862" s="60"/>
      <c r="B4862" s="61" t="str">
        <f aca="false">IF($M4862=0,"",INDEX(Classes!$E$6:$E$420,$M4862))</f>
        <v/>
      </c>
      <c r="C4862" s="62" t="str">
        <f aca="false">IF($M4862=0,"",INDEX(Classes!$H$6:$H$420,$M4862))</f>
        <v/>
      </c>
      <c r="D4862" s="61" t="str">
        <f aca="false">IF($M4862=0,"",INDEX(Classes!$B$6:$B$420,$M4862))</f>
        <v/>
      </c>
      <c r="E4862" s="61" t="str">
        <f aca="false">IF($M4862=0,"",INDEX(Classes!$C$6:$C$420,$M4862))</f>
        <v/>
      </c>
      <c r="F4862" s="63"/>
      <c r="G4862" s="63"/>
      <c r="H4862" s="60"/>
      <c r="I4862" s="60"/>
      <c r="J4862" s="63"/>
      <c r="K4862" s="61" t="str">
        <f aca="false">IF($P4862=0,"",IF($F4862="Baseline","— Baseline",IF($O4862=0,"No result",IF($N4862=0,"No Start (attainment only)",IF(OR($N4862=1,$O4862=1),"U – needs rule",INDEX(MxBody,MATCH($I4862,MxCurr,0),MATCH($H4862,MxStart,0)))))))</f>
        <v/>
      </c>
      <c r="L4862" s="62" t="str">
        <f aca="false">IF(COUNTA($A4862,$F4862,$G4862,$H4862,$I4862,$J4862)=0,"",IF($M4862=0,"✖ كود الصف غير موجود",IF(ISNA(MATCH($F4862,Lists!$A$2:$A$5,0)),"✖ الفترة غير صحيحة",IF(ISNA(MATCH($G4862,Lists!$B$2:$B$7,0)),"✖ المجموعة غير صحيحة",IF(NOT(OR($H4862="",$N4862&gt;0)),"✖ Start غير صحيح",IF(NOT(OR($I4862="",$I4862="NR",$O4862&gt;0)),"✖ Current غير صحيح",IF(NOT(IF(ISNUMBER($J4862),AND($J4862&gt;=0,$J4862=INT($J4862)),FALSE())),"✖ العدد يجب أن يكون صحيحًا ≥ 0",IF(AND($F4862="Baseline",$H4862&lt;&gt;""),"⚠ Baseline: Start لا يدخل في التقدم",IF($K4862="No Start (attainment only)","ℹ تحصيل فقط (بدون Start)",IF($K4862="U – needs rule","ℹ حالة U تحتاج قاعدة معتمدة",IF($K4862="No result","ℹ بدون نتيجة (يُستبعد من التحصيل)","OK")))))))))))</f>
        <v/>
      </c>
      <c r="M4862" s="64" t="n">
        <f aca="false">IF($A4862="",0,IFERROR(MATCH($A4862,Classes!$A$6:$A$420,0),0))</f>
        <v>0</v>
      </c>
      <c r="N4862" s="64" t="n">
        <f aca="false">IF($H4862="",0,IFERROR(MATCH($H4862,GradeList,0),0))</f>
        <v>0</v>
      </c>
      <c r="O4862" s="64" t="n">
        <f aca="false">IF(OR($I4862="",$I4862="NR"),0,IFERROR(MATCH($I4862,GradeList,0),0))</f>
        <v>0</v>
      </c>
      <c r="P4862" s="64" t="n">
        <f aca="false">IF(AND($M4862&gt;0,ISNUMBER(MATCH($F4862,Lists!$A$2:$A$5,0)),ISNUMBER(MATCH($G4862,Lists!$B$2:$B$7,0)),OR($H4862="",$N4862&gt;0),OR($I4862="",$I4862="NR",$O4862&gt;0),IF(ISNUMBER($J4862),AND($J4862&gt;=0,$J4862=INT($J4862)),FALSE())),$J4862,0)</f>
        <v>0</v>
      </c>
      <c r="Q4862" s="64" t="n">
        <f aca="false">IF(AND($P4862&gt;0,$O4862&gt;0),$P4862,0)</f>
        <v>0</v>
      </c>
      <c r="R4862" s="64" t="n">
        <f aca="false">IF(AND($Q4862&gt;0,$O4862&gt;=AtRank),$Q4862,0)</f>
        <v>0</v>
      </c>
      <c r="S4862" s="64" t="n">
        <f aca="false">IF(AND($Q4862&gt;0,$O4862&gt;=AboveRank),$Q4862,0)</f>
        <v>0</v>
      </c>
      <c r="T4862" s="64" t="n">
        <f aca="false">IF($K4862="Less",$P4862,0)</f>
        <v>0</v>
      </c>
      <c r="U4862" s="64" t="n">
        <f aca="false">IF($K4862="Expected",$P4862,0)</f>
        <v>0</v>
      </c>
      <c r="V4862" s="64" t="n">
        <f aca="false">IF($K4862="Better",$P4862,0)</f>
        <v>0</v>
      </c>
      <c r="W4862" s="64" t="n">
        <f aca="false">IF($K4862="U – needs rule",$P4862,0)</f>
        <v>0</v>
      </c>
      <c r="X4862" s="64" t="n">
        <f aca="false">IF($K4862="No Start (attainment only)",$P4862,0)</f>
        <v>0</v>
      </c>
    </row>
    <row r="4863" customFormat="false" ht="15" hidden="false" customHeight="false" outlineLevel="0" collapsed="false">
      <c r="A4863" s="60"/>
      <c r="B4863" s="61" t="str">
        <f aca="false">IF($M4863=0,"",INDEX(Classes!$E$6:$E$420,$M4863))</f>
        <v/>
      </c>
      <c r="C4863" s="62" t="str">
        <f aca="false">IF($M4863=0,"",INDEX(Classes!$H$6:$H$420,$M4863))</f>
        <v/>
      </c>
      <c r="D4863" s="61" t="str">
        <f aca="false">IF($M4863=0,"",INDEX(Classes!$B$6:$B$420,$M4863))</f>
        <v/>
      </c>
      <c r="E4863" s="61" t="str">
        <f aca="false">IF($M4863=0,"",INDEX(Classes!$C$6:$C$420,$M4863))</f>
        <v/>
      </c>
      <c r="F4863" s="63"/>
      <c r="G4863" s="63"/>
      <c r="H4863" s="60"/>
      <c r="I4863" s="60"/>
      <c r="J4863" s="63"/>
      <c r="K4863" s="61" t="str">
        <f aca="false">IF($P4863=0,"",IF($F4863="Baseline","— Baseline",IF($O4863=0,"No result",IF($N4863=0,"No Start (attainment only)",IF(OR($N4863=1,$O4863=1),"U – needs rule",INDEX(MxBody,MATCH($I4863,MxCurr,0),MATCH($H4863,MxStart,0)))))))</f>
        <v/>
      </c>
      <c r="L4863" s="62" t="str">
        <f aca="false">IF(COUNTA($A4863,$F4863,$G4863,$H4863,$I4863,$J4863)=0,"",IF($M4863=0,"✖ كود الصف غير موجود",IF(ISNA(MATCH($F4863,Lists!$A$2:$A$5,0)),"✖ الفترة غير صحيحة",IF(ISNA(MATCH($G4863,Lists!$B$2:$B$7,0)),"✖ المجموعة غير صحيحة",IF(NOT(OR($H4863="",$N4863&gt;0)),"✖ Start غير صحيح",IF(NOT(OR($I4863="",$I4863="NR",$O4863&gt;0)),"✖ Current غير صحيح",IF(NOT(IF(ISNUMBER($J4863),AND($J4863&gt;=0,$J4863=INT($J4863)),FALSE())),"✖ العدد يجب أن يكون صحيحًا ≥ 0",IF(AND($F4863="Baseline",$H4863&lt;&gt;""),"⚠ Baseline: Start لا يدخل في التقدم",IF($K4863="No Start (attainment only)","ℹ تحصيل فقط (بدون Start)",IF($K4863="U – needs rule","ℹ حالة U تحتاج قاعدة معتمدة",IF($K4863="No result","ℹ بدون نتيجة (يُستبعد من التحصيل)","OK")))))))))))</f>
        <v/>
      </c>
      <c r="M4863" s="64" t="n">
        <f aca="false">IF($A4863="",0,IFERROR(MATCH($A4863,Classes!$A$6:$A$420,0),0))</f>
        <v>0</v>
      </c>
      <c r="N4863" s="64" t="n">
        <f aca="false">IF($H4863="",0,IFERROR(MATCH($H4863,GradeList,0),0))</f>
        <v>0</v>
      </c>
      <c r="O4863" s="64" t="n">
        <f aca="false">IF(OR($I4863="",$I4863="NR"),0,IFERROR(MATCH($I4863,GradeList,0),0))</f>
        <v>0</v>
      </c>
      <c r="P4863" s="64" t="n">
        <f aca="false">IF(AND($M4863&gt;0,ISNUMBER(MATCH($F4863,Lists!$A$2:$A$5,0)),ISNUMBER(MATCH($G4863,Lists!$B$2:$B$7,0)),OR($H4863="",$N4863&gt;0),OR($I4863="",$I4863="NR",$O4863&gt;0),IF(ISNUMBER($J4863),AND($J4863&gt;=0,$J4863=INT($J4863)),FALSE())),$J4863,0)</f>
        <v>0</v>
      </c>
      <c r="Q4863" s="64" t="n">
        <f aca="false">IF(AND($P4863&gt;0,$O4863&gt;0),$P4863,0)</f>
        <v>0</v>
      </c>
      <c r="R4863" s="64" t="n">
        <f aca="false">IF(AND($Q4863&gt;0,$O4863&gt;=AtRank),$Q4863,0)</f>
        <v>0</v>
      </c>
      <c r="S4863" s="64" t="n">
        <f aca="false">IF(AND($Q4863&gt;0,$O4863&gt;=AboveRank),$Q4863,0)</f>
        <v>0</v>
      </c>
      <c r="T4863" s="64" t="n">
        <f aca="false">IF($K4863="Less",$P4863,0)</f>
        <v>0</v>
      </c>
      <c r="U4863" s="64" t="n">
        <f aca="false">IF($K4863="Expected",$P4863,0)</f>
        <v>0</v>
      </c>
      <c r="V4863" s="64" t="n">
        <f aca="false">IF($K4863="Better",$P4863,0)</f>
        <v>0</v>
      </c>
      <c r="W4863" s="64" t="n">
        <f aca="false">IF($K4863="U – needs rule",$P4863,0)</f>
        <v>0</v>
      </c>
      <c r="X4863" s="64" t="n">
        <f aca="false">IF($K4863="No Start (attainment only)",$P4863,0)</f>
        <v>0</v>
      </c>
    </row>
    <row r="4864" customFormat="false" ht="15" hidden="false" customHeight="false" outlineLevel="0" collapsed="false">
      <c r="A4864" s="60"/>
      <c r="B4864" s="61" t="str">
        <f aca="false">IF($M4864=0,"",INDEX(Classes!$E$6:$E$420,$M4864))</f>
        <v/>
      </c>
      <c r="C4864" s="62" t="str">
        <f aca="false">IF($M4864=0,"",INDEX(Classes!$H$6:$H$420,$M4864))</f>
        <v/>
      </c>
      <c r="D4864" s="61" t="str">
        <f aca="false">IF($M4864=0,"",INDEX(Classes!$B$6:$B$420,$M4864))</f>
        <v/>
      </c>
      <c r="E4864" s="61" t="str">
        <f aca="false">IF($M4864=0,"",INDEX(Classes!$C$6:$C$420,$M4864))</f>
        <v/>
      </c>
      <c r="F4864" s="63"/>
      <c r="G4864" s="63"/>
      <c r="H4864" s="60"/>
      <c r="I4864" s="60"/>
      <c r="J4864" s="63"/>
      <c r="K4864" s="61" t="str">
        <f aca="false">IF($P4864=0,"",IF($F4864="Baseline","— Baseline",IF($O4864=0,"No result",IF($N4864=0,"No Start (attainment only)",IF(OR($N4864=1,$O4864=1),"U – needs rule",INDEX(MxBody,MATCH($I4864,MxCurr,0),MATCH($H4864,MxStart,0)))))))</f>
        <v/>
      </c>
      <c r="L4864" s="62" t="str">
        <f aca="false">IF(COUNTA($A4864,$F4864,$G4864,$H4864,$I4864,$J4864)=0,"",IF($M4864=0,"✖ كود الصف غير موجود",IF(ISNA(MATCH($F4864,Lists!$A$2:$A$5,0)),"✖ الفترة غير صحيحة",IF(ISNA(MATCH($G4864,Lists!$B$2:$B$7,0)),"✖ المجموعة غير صحيحة",IF(NOT(OR($H4864="",$N4864&gt;0)),"✖ Start غير صحيح",IF(NOT(OR($I4864="",$I4864="NR",$O4864&gt;0)),"✖ Current غير صحيح",IF(NOT(IF(ISNUMBER($J4864),AND($J4864&gt;=0,$J4864=INT($J4864)),FALSE())),"✖ العدد يجب أن يكون صحيحًا ≥ 0",IF(AND($F4864="Baseline",$H4864&lt;&gt;""),"⚠ Baseline: Start لا يدخل في التقدم",IF($K4864="No Start (attainment only)","ℹ تحصيل فقط (بدون Start)",IF($K4864="U – needs rule","ℹ حالة U تحتاج قاعدة معتمدة",IF($K4864="No result","ℹ بدون نتيجة (يُستبعد من التحصيل)","OK")))))))))))</f>
        <v/>
      </c>
      <c r="M4864" s="64" t="n">
        <f aca="false">IF($A4864="",0,IFERROR(MATCH($A4864,Classes!$A$6:$A$420,0),0))</f>
        <v>0</v>
      </c>
      <c r="N4864" s="64" t="n">
        <f aca="false">IF($H4864="",0,IFERROR(MATCH($H4864,GradeList,0),0))</f>
        <v>0</v>
      </c>
      <c r="O4864" s="64" t="n">
        <f aca="false">IF(OR($I4864="",$I4864="NR"),0,IFERROR(MATCH($I4864,GradeList,0),0))</f>
        <v>0</v>
      </c>
      <c r="P4864" s="64" t="n">
        <f aca="false">IF(AND($M4864&gt;0,ISNUMBER(MATCH($F4864,Lists!$A$2:$A$5,0)),ISNUMBER(MATCH($G4864,Lists!$B$2:$B$7,0)),OR($H4864="",$N4864&gt;0),OR($I4864="",$I4864="NR",$O4864&gt;0),IF(ISNUMBER($J4864),AND($J4864&gt;=0,$J4864=INT($J4864)),FALSE())),$J4864,0)</f>
        <v>0</v>
      </c>
      <c r="Q4864" s="64" t="n">
        <f aca="false">IF(AND($P4864&gt;0,$O4864&gt;0),$P4864,0)</f>
        <v>0</v>
      </c>
      <c r="R4864" s="64" t="n">
        <f aca="false">IF(AND($Q4864&gt;0,$O4864&gt;=AtRank),$Q4864,0)</f>
        <v>0</v>
      </c>
      <c r="S4864" s="64" t="n">
        <f aca="false">IF(AND($Q4864&gt;0,$O4864&gt;=AboveRank),$Q4864,0)</f>
        <v>0</v>
      </c>
      <c r="T4864" s="64" t="n">
        <f aca="false">IF($K4864="Less",$P4864,0)</f>
        <v>0</v>
      </c>
      <c r="U4864" s="64" t="n">
        <f aca="false">IF($K4864="Expected",$P4864,0)</f>
        <v>0</v>
      </c>
      <c r="V4864" s="64" t="n">
        <f aca="false">IF($K4864="Better",$P4864,0)</f>
        <v>0</v>
      </c>
      <c r="W4864" s="64" t="n">
        <f aca="false">IF($K4864="U – needs rule",$P4864,0)</f>
        <v>0</v>
      </c>
      <c r="X4864" s="64" t="n">
        <f aca="false">IF($K4864="No Start (attainment only)",$P4864,0)</f>
        <v>0</v>
      </c>
    </row>
    <row r="4865" customFormat="false" ht="15" hidden="false" customHeight="false" outlineLevel="0" collapsed="false">
      <c r="A4865" s="60"/>
      <c r="B4865" s="61" t="str">
        <f aca="false">IF($M4865=0,"",INDEX(Classes!$E$6:$E$420,$M4865))</f>
        <v/>
      </c>
      <c r="C4865" s="62" t="str">
        <f aca="false">IF($M4865=0,"",INDEX(Classes!$H$6:$H$420,$M4865))</f>
        <v/>
      </c>
      <c r="D4865" s="61" t="str">
        <f aca="false">IF($M4865=0,"",INDEX(Classes!$B$6:$B$420,$M4865))</f>
        <v/>
      </c>
      <c r="E4865" s="61" t="str">
        <f aca="false">IF($M4865=0,"",INDEX(Classes!$C$6:$C$420,$M4865))</f>
        <v/>
      </c>
      <c r="F4865" s="63"/>
      <c r="G4865" s="63"/>
      <c r="H4865" s="60"/>
      <c r="I4865" s="60"/>
      <c r="J4865" s="63"/>
      <c r="K4865" s="61" t="str">
        <f aca="false">IF($P4865=0,"",IF($F4865="Baseline","— Baseline",IF($O4865=0,"No result",IF($N4865=0,"No Start (attainment only)",IF(OR($N4865=1,$O4865=1),"U – needs rule",INDEX(MxBody,MATCH($I4865,MxCurr,0),MATCH($H4865,MxStart,0)))))))</f>
        <v/>
      </c>
      <c r="L4865" s="62" t="str">
        <f aca="false">IF(COUNTA($A4865,$F4865,$G4865,$H4865,$I4865,$J4865)=0,"",IF($M4865=0,"✖ كود الصف غير موجود",IF(ISNA(MATCH($F4865,Lists!$A$2:$A$5,0)),"✖ الفترة غير صحيحة",IF(ISNA(MATCH($G4865,Lists!$B$2:$B$7,0)),"✖ المجموعة غير صحيحة",IF(NOT(OR($H4865="",$N4865&gt;0)),"✖ Start غير صحيح",IF(NOT(OR($I4865="",$I4865="NR",$O4865&gt;0)),"✖ Current غير صحيح",IF(NOT(IF(ISNUMBER($J4865),AND($J4865&gt;=0,$J4865=INT($J4865)),FALSE())),"✖ العدد يجب أن يكون صحيحًا ≥ 0",IF(AND($F4865="Baseline",$H4865&lt;&gt;""),"⚠ Baseline: Start لا يدخل في التقدم",IF($K4865="No Start (attainment only)","ℹ تحصيل فقط (بدون Start)",IF($K4865="U – needs rule","ℹ حالة U تحتاج قاعدة معتمدة",IF($K4865="No result","ℹ بدون نتيجة (يُستبعد من التحصيل)","OK")))))))))))</f>
        <v/>
      </c>
      <c r="M4865" s="64" t="n">
        <f aca="false">IF($A4865="",0,IFERROR(MATCH($A4865,Classes!$A$6:$A$420,0),0))</f>
        <v>0</v>
      </c>
      <c r="N4865" s="64" t="n">
        <f aca="false">IF($H4865="",0,IFERROR(MATCH($H4865,GradeList,0),0))</f>
        <v>0</v>
      </c>
      <c r="O4865" s="64" t="n">
        <f aca="false">IF(OR($I4865="",$I4865="NR"),0,IFERROR(MATCH($I4865,GradeList,0),0))</f>
        <v>0</v>
      </c>
      <c r="P4865" s="64" t="n">
        <f aca="false">IF(AND($M4865&gt;0,ISNUMBER(MATCH($F4865,Lists!$A$2:$A$5,0)),ISNUMBER(MATCH($G4865,Lists!$B$2:$B$7,0)),OR($H4865="",$N4865&gt;0),OR($I4865="",$I4865="NR",$O4865&gt;0),IF(ISNUMBER($J4865),AND($J4865&gt;=0,$J4865=INT($J4865)),FALSE())),$J4865,0)</f>
        <v>0</v>
      </c>
      <c r="Q4865" s="64" t="n">
        <f aca="false">IF(AND($P4865&gt;0,$O4865&gt;0),$P4865,0)</f>
        <v>0</v>
      </c>
      <c r="R4865" s="64" t="n">
        <f aca="false">IF(AND($Q4865&gt;0,$O4865&gt;=AtRank),$Q4865,0)</f>
        <v>0</v>
      </c>
      <c r="S4865" s="64" t="n">
        <f aca="false">IF(AND($Q4865&gt;0,$O4865&gt;=AboveRank),$Q4865,0)</f>
        <v>0</v>
      </c>
      <c r="T4865" s="64" t="n">
        <f aca="false">IF($K4865="Less",$P4865,0)</f>
        <v>0</v>
      </c>
      <c r="U4865" s="64" t="n">
        <f aca="false">IF($K4865="Expected",$P4865,0)</f>
        <v>0</v>
      </c>
      <c r="V4865" s="64" t="n">
        <f aca="false">IF($K4865="Better",$P4865,0)</f>
        <v>0</v>
      </c>
      <c r="W4865" s="64" t="n">
        <f aca="false">IF($K4865="U – needs rule",$P4865,0)</f>
        <v>0</v>
      </c>
      <c r="X4865" s="64" t="n">
        <f aca="false">IF($K4865="No Start (attainment only)",$P4865,0)</f>
        <v>0</v>
      </c>
    </row>
    <row r="4866" customFormat="false" ht="15" hidden="false" customHeight="false" outlineLevel="0" collapsed="false">
      <c r="A4866" s="60"/>
      <c r="B4866" s="61" t="str">
        <f aca="false">IF($M4866=0,"",INDEX(Classes!$E$6:$E$420,$M4866))</f>
        <v/>
      </c>
      <c r="C4866" s="62" t="str">
        <f aca="false">IF($M4866=0,"",INDEX(Classes!$H$6:$H$420,$M4866))</f>
        <v/>
      </c>
      <c r="D4866" s="61" t="str">
        <f aca="false">IF($M4866=0,"",INDEX(Classes!$B$6:$B$420,$M4866))</f>
        <v/>
      </c>
      <c r="E4866" s="61" t="str">
        <f aca="false">IF($M4866=0,"",INDEX(Classes!$C$6:$C$420,$M4866))</f>
        <v/>
      </c>
      <c r="F4866" s="63"/>
      <c r="G4866" s="63"/>
      <c r="H4866" s="60"/>
      <c r="I4866" s="60"/>
      <c r="J4866" s="63"/>
      <c r="K4866" s="61" t="str">
        <f aca="false">IF($P4866=0,"",IF($F4866="Baseline","— Baseline",IF($O4866=0,"No result",IF($N4866=0,"No Start (attainment only)",IF(OR($N4866=1,$O4866=1),"U – needs rule",INDEX(MxBody,MATCH($I4866,MxCurr,0),MATCH($H4866,MxStart,0)))))))</f>
        <v/>
      </c>
      <c r="L4866" s="62" t="str">
        <f aca="false">IF(COUNTA($A4866,$F4866,$G4866,$H4866,$I4866,$J4866)=0,"",IF($M4866=0,"✖ كود الصف غير موجود",IF(ISNA(MATCH($F4866,Lists!$A$2:$A$5,0)),"✖ الفترة غير صحيحة",IF(ISNA(MATCH($G4866,Lists!$B$2:$B$7,0)),"✖ المجموعة غير صحيحة",IF(NOT(OR($H4866="",$N4866&gt;0)),"✖ Start غير صحيح",IF(NOT(OR($I4866="",$I4866="NR",$O4866&gt;0)),"✖ Current غير صحيح",IF(NOT(IF(ISNUMBER($J4866),AND($J4866&gt;=0,$J4866=INT($J4866)),FALSE())),"✖ العدد يجب أن يكون صحيحًا ≥ 0",IF(AND($F4866="Baseline",$H4866&lt;&gt;""),"⚠ Baseline: Start لا يدخل في التقدم",IF($K4866="No Start (attainment only)","ℹ تحصيل فقط (بدون Start)",IF($K4866="U – needs rule","ℹ حالة U تحتاج قاعدة معتمدة",IF($K4866="No result","ℹ بدون نتيجة (يُستبعد من التحصيل)","OK")))))))))))</f>
        <v/>
      </c>
      <c r="M4866" s="64" t="n">
        <f aca="false">IF($A4866="",0,IFERROR(MATCH($A4866,Classes!$A$6:$A$420,0),0))</f>
        <v>0</v>
      </c>
      <c r="N4866" s="64" t="n">
        <f aca="false">IF($H4866="",0,IFERROR(MATCH($H4866,GradeList,0),0))</f>
        <v>0</v>
      </c>
      <c r="O4866" s="64" t="n">
        <f aca="false">IF(OR($I4866="",$I4866="NR"),0,IFERROR(MATCH($I4866,GradeList,0),0))</f>
        <v>0</v>
      </c>
      <c r="P4866" s="64" t="n">
        <f aca="false">IF(AND($M4866&gt;0,ISNUMBER(MATCH($F4866,Lists!$A$2:$A$5,0)),ISNUMBER(MATCH($G4866,Lists!$B$2:$B$7,0)),OR($H4866="",$N4866&gt;0),OR($I4866="",$I4866="NR",$O4866&gt;0),IF(ISNUMBER($J4866),AND($J4866&gt;=0,$J4866=INT($J4866)),FALSE())),$J4866,0)</f>
        <v>0</v>
      </c>
      <c r="Q4866" s="64" t="n">
        <f aca="false">IF(AND($P4866&gt;0,$O4866&gt;0),$P4866,0)</f>
        <v>0</v>
      </c>
      <c r="R4866" s="64" t="n">
        <f aca="false">IF(AND($Q4866&gt;0,$O4866&gt;=AtRank),$Q4866,0)</f>
        <v>0</v>
      </c>
      <c r="S4866" s="64" t="n">
        <f aca="false">IF(AND($Q4866&gt;0,$O4866&gt;=AboveRank),$Q4866,0)</f>
        <v>0</v>
      </c>
      <c r="T4866" s="64" t="n">
        <f aca="false">IF($K4866="Less",$P4866,0)</f>
        <v>0</v>
      </c>
      <c r="U4866" s="64" t="n">
        <f aca="false">IF($K4866="Expected",$P4866,0)</f>
        <v>0</v>
      </c>
      <c r="V4866" s="64" t="n">
        <f aca="false">IF($K4866="Better",$P4866,0)</f>
        <v>0</v>
      </c>
      <c r="W4866" s="64" t="n">
        <f aca="false">IF($K4866="U – needs rule",$P4866,0)</f>
        <v>0</v>
      </c>
      <c r="X4866" s="64" t="n">
        <f aca="false">IF($K4866="No Start (attainment only)",$P4866,0)</f>
        <v>0</v>
      </c>
    </row>
    <row r="4867" customFormat="false" ht="15" hidden="false" customHeight="false" outlineLevel="0" collapsed="false">
      <c r="A4867" s="60"/>
      <c r="B4867" s="61" t="str">
        <f aca="false">IF($M4867=0,"",INDEX(Classes!$E$6:$E$420,$M4867))</f>
        <v/>
      </c>
      <c r="C4867" s="62" t="str">
        <f aca="false">IF($M4867=0,"",INDEX(Classes!$H$6:$H$420,$M4867))</f>
        <v/>
      </c>
      <c r="D4867" s="61" t="str">
        <f aca="false">IF($M4867=0,"",INDEX(Classes!$B$6:$B$420,$M4867))</f>
        <v/>
      </c>
      <c r="E4867" s="61" t="str">
        <f aca="false">IF($M4867=0,"",INDEX(Classes!$C$6:$C$420,$M4867))</f>
        <v/>
      </c>
      <c r="F4867" s="63"/>
      <c r="G4867" s="63"/>
      <c r="H4867" s="60"/>
      <c r="I4867" s="60"/>
      <c r="J4867" s="63"/>
      <c r="K4867" s="61" t="str">
        <f aca="false">IF($P4867=0,"",IF($F4867="Baseline","— Baseline",IF($O4867=0,"No result",IF($N4867=0,"No Start (attainment only)",IF(OR($N4867=1,$O4867=1),"U – needs rule",INDEX(MxBody,MATCH($I4867,MxCurr,0),MATCH($H4867,MxStart,0)))))))</f>
        <v/>
      </c>
      <c r="L4867" s="62" t="str">
        <f aca="false">IF(COUNTA($A4867,$F4867,$G4867,$H4867,$I4867,$J4867)=0,"",IF($M4867=0,"✖ كود الصف غير موجود",IF(ISNA(MATCH($F4867,Lists!$A$2:$A$5,0)),"✖ الفترة غير صحيحة",IF(ISNA(MATCH($G4867,Lists!$B$2:$B$7,0)),"✖ المجموعة غير صحيحة",IF(NOT(OR($H4867="",$N4867&gt;0)),"✖ Start غير صحيح",IF(NOT(OR($I4867="",$I4867="NR",$O4867&gt;0)),"✖ Current غير صحيح",IF(NOT(IF(ISNUMBER($J4867),AND($J4867&gt;=0,$J4867=INT($J4867)),FALSE())),"✖ العدد يجب أن يكون صحيحًا ≥ 0",IF(AND($F4867="Baseline",$H4867&lt;&gt;""),"⚠ Baseline: Start لا يدخل في التقدم",IF($K4867="No Start (attainment only)","ℹ تحصيل فقط (بدون Start)",IF($K4867="U – needs rule","ℹ حالة U تحتاج قاعدة معتمدة",IF($K4867="No result","ℹ بدون نتيجة (يُستبعد من التحصيل)","OK")))))))))))</f>
        <v/>
      </c>
      <c r="M4867" s="64" t="n">
        <f aca="false">IF($A4867="",0,IFERROR(MATCH($A4867,Classes!$A$6:$A$420,0),0))</f>
        <v>0</v>
      </c>
      <c r="N4867" s="64" t="n">
        <f aca="false">IF($H4867="",0,IFERROR(MATCH($H4867,GradeList,0),0))</f>
        <v>0</v>
      </c>
      <c r="O4867" s="64" t="n">
        <f aca="false">IF(OR($I4867="",$I4867="NR"),0,IFERROR(MATCH($I4867,GradeList,0),0))</f>
        <v>0</v>
      </c>
      <c r="P4867" s="64" t="n">
        <f aca="false">IF(AND($M4867&gt;0,ISNUMBER(MATCH($F4867,Lists!$A$2:$A$5,0)),ISNUMBER(MATCH($G4867,Lists!$B$2:$B$7,0)),OR($H4867="",$N4867&gt;0),OR($I4867="",$I4867="NR",$O4867&gt;0),IF(ISNUMBER($J4867),AND($J4867&gt;=0,$J4867=INT($J4867)),FALSE())),$J4867,0)</f>
        <v>0</v>
      </c>
      <c r="Q4867" s="64" t="n">
        <f aca="false">IF(AND($P4867&gt;0,$O4867&gt;0),$P4867,0)</f>
        <v>0</v>
      </c>
      <c r="R4867" s="64" t="n">
        <f aca="false">IF(AND($Q4867&gt;0,$O4867&gt;=AtRank),$Q4867,0)</f>
        <v>0</v>
      </c>
      <c r="S4867" s="64" t="n">
        <f aca="false">IF(AND($Q4867&gt;0,$O4867&gt;=AboveRank),$Q4867,0)</f>
        <v>0</v>
      </c>
      <c r="T4867" s="64" t="n">
        <f aca="false">IF($K4867="Less",$P4867,0)</f>
        <v>0</v>
      </c>
      <c r="U4867" s="64" t="n">
        <f aca="false">IF($K4867="Expected",$P4867,0)</f>
        <v>0</v>
      </c>
      <c r="V4867" s="64" t="n">
        <f aca="false">IF($K4867="Better",$P4867,0)</f>
        <v>0</v>
      </c>
      <c r="W4867" s="64" t="n">
        <f aca="false">IF($K4867="U – needs rule",$P4867,0)</f>
        <v>0</v>
      </c>
      <c r="X4867" s="64" t="n">
        <f aca="false">IF($K4867="No Start (attainment only)",$P4867,0)</f>
        <v>0</v>
      </c>
    </row>
    <row r="4868" customFormat="false" ht="15" hidden="false" customHeight="false" outlineLevel="0" collapsed="false">
      <c r="A4868" s="60"/>
      <c r="B4868" s="61" t="str">
        <f aca="false">IF($M4868=0,"",INDEX(Classes!$E$6:$E$420,$M4868))</f>
        <v/>
      </c>
      <c r="C4868" s="62" t="str">
        <f aca="false">IF($M4868=0,"",INDEX(Classes!$H$6:$H$420,$M4868))</f>
        <v/>
      </c>
      <c r="D4868" s="61" t="str">
        <f aca="false">IF($M4868=0,"",INDEX(Classes!$B$6:$B$420,$M4868))</f>
        <v/>
      </c>
      <c r="E4868" s="61" t="str">
        <f aca="false">IF($M4868=0,"",INDEX(Classes!$C$6:$C$420,$M4868))</f>
        <v/>
      </c>
      <c r="F4868" s="63"/>
      <c r="G4868" s="63"/>
      <c r="H4868" s="60"/>
      <c r="I4868" s="60"/>
      <c r="J4868" s="63"/>
      <c r="K4868" s="61" t="str">
        <f aca="false">IF($P4868=0,"",IF($F4868="Baseline","— Baseline",IF($O4868=0,"No result",IF($N4868=0,"No Start (attainment only)",IF(OR($N4868=1,$O4868=1),"U – needs rule",INDEX(MxBody,MATCH($I4868,MxCurr,0),MATCH($H4868,MxStart,0)))))))</f>
        <v/>
      </c>
      <c r="L4868" s="62" t="str">
        <f aca="false">IF(COUNTA($A4868,$F4868,$G4868,$H4868,$I4868,$J4868)=0,"",IF($M4868=0,"✖ كود الصف غير موجود",IF(ISNA(MATCH($F4868,Lists!$A$2:$A$5,0)),"✖ الفترة غير صحيحة",IF(ISNA(MATCH($G4868,Lists!$B$2:$B$7,0)),"✖ المجموعة غير صحيحة",IF(NOT(OR($H4868="",$N4868&gt;0)),"✖ Start غير صحيح",IF(NOT(OR($I4868="",$I4868="NR",$O4868&gt;0)),"✖ Current غير صحيح",IF(NOT(IF(ISNUMBER($J4868),AND($J4868&gt;=0,$J4868=INT($J4868)),FALSE())),"✖ العدد يجب أن يكون صحيحًا ≥ 0",IF(AND($F4868="Baseline",$H4868&lt;&gt;""),"⚠ Baseline: Start لا يدخل في التقدم",IF($K4868="No Start (attainment only)","ℹ تحصيل فقط (بدون Start)",IF($K4868="U – needs rule","ℹ حالة U تحتاج قاعدة معتمدة",IF($K4868="No result","ℹ بدون نتيجة (يُستبعد من التحصيل)","OK")))))))))))</f>
        <v/>
      </c>
      <c r="M4868" s="64" t="n">
        <f aca="false">IF($A4868="",0,IFERROR(MATCH($A4868,Classes!$A$6:$A$420,0),0))</f>
        <v>0</v>
      </c>
      <c r="N4868" s="64" t="n">
        <f aca="false">IF($H4868="",0,IFERROR(MATCH($H4868,GradeList,0),0))</f>
        <v>0</v>
      </c>
      <c r="O4868" s="64" t="n">
        <f aca="false">IF(OR($I4868="",$I4868="NR"),0,IFERROR(MATCH($I4868,GradeList,0),0))</f>
        <v>0</v>
      </c>
      <c r="P4868" s="64" t="n">
        <f aca="false">IF(AND($M4868&gt;0,ISNUMBER(MATCH($F4868,Lists!$A$2:$A$5,0)),ISNUMBER(MATCH($G4868,Lists!$B$2:$B$7,0)),OR($H4868="",$N4868&gt;0),OR($I4868="",$I4868="NR",$O4868&gt;0),IF(ISNUMBER($J4868),AND($J4868&gt;=0,$J4868=INT($J4868)),FALSE())),$J4868,0)</f>
        <v>0</v>
      </c>
      <c r="Q4868" s="64" t="n">
        <f aca="false">IF(AND($P4868&gt;0,$O4868&gt;0),$P4868,0)</f>
        <v>0</v>
      </c>
      <c r="R4868" s="64" t="n">
        <f aca="false">IF(AND($Q4868&gt;0,$O4868&gt;=AtRank),$Q4868,0)</f>
        <v>0</v>
      </c>
      <c r="S4868" s="64" t="n">
        <f aca="false">IF(AND($Q4868&gt;0,$O4868&gt;=AboveRank),$Q4868,0)</f>
        <v>0</v>
      </c>
      <c r="T4868" s="64" t="n">
        <f aca="false">IF($K4868="Less",$P4868,0)</f>
        <v>0</v>
      </c>
      <c r="U4868" s="64" t="n">
        <f aca="false">IF($K4868="Expected",$P4868,0)</f>
        <v>0</v>
      </c>
      <c r="V4868" s="64" t="n">
        <f aca="false">IF($K4868="Better",$P4868,0)</f>
        <v>0</v>
      </c>
      <c r="W4868" s="64" t="n">
        <f aca="false">IF($K4868="U – needs rule",$P4868,0)</f>
        <v>0</v>
      </c>
      <c r="X4868" s="64" t="n">
        <f aca="false">IF($K4868="No Start (attainment only)",$P4868,0)</f>
        <v>0</v>
      </c>
    </row>
    <row r="4869" customFormat="false" ht="15" hidden="false" customHeight="false" outlineLevel="0" collapsed="false">
      <c r="A4869" s="60"/>
      <c r="B4869" s="61" t="str">
        <f aca="false">IF($M4869=0,"",INDEX(Classes!$E$6:$E$420,$M4869))</f>
        <v/>
      </c>
      <c r="C4869" s="62" t="str">
        <f aca="false">IF($M4869=0,"",INDEX(Classes!$H$6:$H$420,$M4869))</f>
        <v/>
      </c>
      <c r="D4869" s="61" t="str">
        <f aca="false">IF($M4869=0,"",INDEX(Classes!$B$6:$B$420,$M4869))</f>
        <v/>
      </c>
      <c r="E4869" s="61" t="str">
        <f aca="false">IF($M4869=0,"",INDEX(Classes!$C$6:$C$420,$M4869))</f>
        <v/>
      </c>
      <c r="F4869" s="63"/>
      <c r="G4869" s="63"/>
      <c r="H4869" s="60"/>
      <c r="I4869" s="60"/>
      <c r="J4869" s="63"/>
      <c r="K4869" s="61" t="str">
        <f aca="false">IF($P4869=0,"",IF($F4869="Baseline","— Baseline",IF($O4869=0,"No result",IF($N4869=0,"No Start (attainment only)",IF(OR($N4869=1,$O4869=1),"U – needs rule",INDEX(MxBody,MATCH($I4869,MxCurr,0),MATCH($H4869,MxStart,0)))))))</f>
        <v/>
      </c>
      <c r="L4869" s="62" t="str">
        <f aca="false">IF(COUNTA($A4869,$F4869,$G4869,$H4869,$I4869,$J4869)=0,"",IF($M4869=0,"✖ كود الصف غير موجود",IF(ISNA(MATCH($F4869,Lists!$A$2:$A$5,0)),"✖ الفترة غير صحيحة",IF(ISNA(MATCH($G4869,Lists!$B$2:$B$7,0)),"✖ المجموعة غير صحيحة",IF(NOT(OR($H4869="",$N4869&gt;0)),"✖ Start غير صحيح",IF(NOT(OR($I4869="",$I4869="NR",$O4869&gt;0)),"✖ Current غير صحيح",IF(NOT(IF(ISNUMBER($J4869),AND($J4869&gt;=0,$J4869=INT($J4869)),FALSE())),"✖ العدد يجب أن يكون صحيحًا ≥ 0",IF(AND($F4869="Baseline",$H4869&lt;&gt;""),"⚠ Baseline: Start لا يدخل في التقدم",IF($K4869="No Start (attainment only)","ℹ تحصيل فقط (بدون Start)",IF($K4869="U – needs rule","ℹ حالة U تحتاج قاعدة معتمدة",IF($K4869="No result","ℹ بدون نتيجة (يُستبعد من التحصيل)","OK")))))))))))</f>
        <v/>
      </c>
      <c r="M4869" s="64" t="n">
        <f aca="false">IF($A4869="",0,IFERROR(MATCH($A4869,Classes!$A$6:$A$420,0),0))</f>
        <v>0</v>
      </c>
      <c r="N4869" s="64" t="n">
        <f aca="false">IF($H4869="",0,IFERROR(MATCH($H4869,GradeList,0),0))</f>
        <v>0</v>
      </c>
      <c r="O4869" s="64" t="n">
        <f aca="false">IF(OR($I4869="",$I4869="NR"),0,IFERROR(MATCH($I4869,GradeList,0),0))</f>
        <v>0</v>
      </c>
      <c r="P4869" s="64" t="n">
        <f aca="false">IF(AND($M4869&gt;0,ISNUMBER(MATCH($F4869,Lists!$A$2:$A$5,0)),ISNUMBER(MATCH($G4869,Lists!$B$2:$B$7,0)),OR($H4869="",$N4869&gt;0),OR($I4869="",$I4869="NR",$O4869&gt;0),IF(ISNUMBER($J4869),AND($J4869&gt;=0,$J4869=INT($J4869)),FALSE())),$J4869,0)</f>
        <v>0</v>
      </c>
      <c r="Q4869" s="64" t="n">
        <f aca="false">IF(AND($P4869&gt;0,$O4869&gt;0),$P4869,0)</f>
        <v>0</v>
      </c>
      <c r="R4869" s="64" t="n">
        <f aca="false">IF(AND($Q4869&gt;0,$O4869&gt;=AtRank),$Q4869,0)</f>
        <v>0</v>
      </c>
      <c r="S4869" s="64" t="n">
        <f aca="false">IF(AND($Q4869&gt;0,$O4869&gt;=AboveRank),$Q4869,0)</f>
        <v>0</v>
      </c>
      <c r="T4869" s="64" t="n">
        <f aca="false">IF($K4869="Less",$P4869,0)</f>
        <v>0</v>
      </c>
      <c r="U4869" s="64" t="n">
        <f aca="false">IF($K4869="Expected",$P4869,0)</f>
        <v>0</v>
      </c>
      <c r="V4869" s="64" t="n">
        <f aca="false">IF($K4869="Better",$P4869,0)</f>
        <v>0</v>
      </c>
      <c r="W4869" s="64" t="n">
        <f aca="false">IF($K4869="U – needs rule",$P4869,0)</f>
        <v>0</v>
      </c>
      <c r="X4869" s="64" t="n">
        <f aca="false">IF($K4869="No Start (attainment only)",$P4869,0)</f>
        <v>0</v>
      </c>
    </row>
    <row r="4870" customFormat="false" ht="15" hidden="false" customHeight="false" outlineLevel="0" collapsed="false">
      <c r="A4870" s="60"/>
      <c r="B4870" s="61" t="str">
        <f aca="false">IF($M4870=0,"",INDEX(Classes!$E$6:$E$420,$M4870))</f>
        <v/>
      </c>
      <c r="C4870" s="62" t="str">
        <f aca="false">IF($M4870=0,"",INDEX(Classes!$H$6:$H$420,$M4870))</f>
        <v/>
      </c>
      <c r="D4870" s="61" t="str">
        <f aca="false">IF($M4870=0,"",INDEX(Classes!$B$6:$B$420,$M4870))</f>
        <v/>
      </c>
      <c r="E4870" s="61" t="str">
        <f aca="false">IF($M4870=0,"",INDEX(Classes!$C$6:$C$420,$M4870))</f>
        <v/>
      </c>
      <c r="F4870" s="63"/>
      <c r="G4870" s="63"/>
      <c r="H4870" s="60"/>
      <c r="I4870" s="60"/>
      <c r="J4870" s="63"/>
      <c r="K4870" s="61" t="str">
        <f aca="false">IF($P4870=0,"",IF($F4870="Baseline","— Baseline",IF($O4870=0,"No result",IF($N4870=0,"No Start (attainment only)",IF(OR($N4870=1,$O4870=1),"U – needs rule",INDEX(MxBody,MATCH($I4870,MxCurr,0),MATCH($H4870,MxStart,0)))))))</f>
        <v/>
      </c>
      <c r="L4870" s="62" t="str">
        <f aca="false">IF(COUNTA($A4870,$F4870,$G4870,$H4870,$I4870,$J4870)=0,"",IF($M4870=0,"✖ كود الصف غير موجود",IF(ISNA(MATCH($F4870,Lists!$A$2:$A$5,0)),"✖ الفترة غير صحيحة",IF(ISNA(MATCH($G4870,Lists!$B$2:$B$7,0)),"✖ المجموعة غير صحيحة",IF(NOT(OR($H4870="",$N4870&gt;0)),"✖ Start غير صحيح",IF(NOT(OR($I4870="",$I4870="NR",$O4870&gt;0)),"✖ Current غير صحيح",IF(NOT(IF(ISNUMBER($J4870),AND($J4870&gt;=0,$J4870=INT($J4870)),FALSE())),"✖ العدد يجب أن يكون صحيحًا ≥ 0",IF(AND($F4870="Baseline",$H4870&lt;&gt;""),"⚠ Baseline: Start لا يدخل في التقدم",IF($K4870="No Start (attainment only)","ℹ تحصيل فقط (بدون Start)",IF($K4870="U – needs rule","ℹ حالة U تحتاج قاعدة معتمدة",IF($K4870="No result","ℹ بدون نتيجة (يُستبعد من التحصيل)","OK")))))))))))</f>
        <v/>
      </c>
      <c r="M4870" s="64" t="n">
        <f aca="false">IF($A4870="",0,IFERROR(MATCH($A4870,Classes!$A$6:$A$420,0),0))</f>
        <v>0</v>
      </c>
      <c r="N4870" s="64" t="n">
        <f aca="false">IF($H4870="",0,IFERROR(MATCH($H4870,GradeList,0),0))</f>
        <v>0</v>
      </c>
      <c r="O4870" s="64" t="n">
        <f aca="false">IF(OR($I4870="",$I4870="NR"),0,IFERROR(MATCH($I4870,GradeList,0),0))</f>
        <v>0</v>
      </c>
      <c r="P4870" s="64" t="n">
        <f aca="false">IF(AND($M4870&gt;0,ISNUMBER(MATCH($F4870,Lists!$A$2:$A$5,0)),ISNUMBER(MATCH($G4870,Lists!$B$2:$B$7,0)),OR($H4870="",$N4870&gt;0),OR($I4870="",$I4870="NR",$O4870&gt;0),IF(ISNUMBER($J4870),AND($J4870&gt;=0,$J4870=INT($J4870)),FALSE())),$J4870,0)</f>
        <v>0</v>
      </c>
      <c r="Q4870" s="64" t="n">
        <f aca="false">IF(AND($P4870&gt;0,$O4870&gt;0),$P4870,0)</f>
        <v>0</v>
      </c>
      <c r="R4870" s="64" t="n">
        <f aca="false">IF(AND($Q4870&gt;0,$O4870&gt;=AtRank),$Q4870,0)</f>
        <v>0</v>
      </c>
      <c r="S4870" s="64" t="n">
        <f aca="false">IF(AND($Q4870&gt;0,$O4870&gt;=AboveRank),$Q4870,0)</f>
        <v>0</v>
      </c>
      <c r="T4870" s="64" t="n">
        <f aca="false">IF($K4870="Less",$P4870,0)</f>
        <v>0</v>
      </c>
      <c r="U4870" s="64" t="n">
        <f aca="false">IF($K4870="Expected",$P4870,0)</f>
        <v>0</v>
      </c>
      <c r="V4870" s="64" t="n">
        <f aca="false">IF($K4870="Better",$P4870,0)</f>
        <v>0</v>
      </c>
      <c r="W4870" s="64" t="n">
        <f aca="false">IF($K4870="U – needs rule",$P4870,0)</f>
        <v>0</v>
      </c>
      <c r="X4870" s="64" t="n">
        <f aca="false">IF($K4870="No Start (attainment only)",$P4870,0)</f>
        <v>0</v>
      </c>
    </row>
    <row r="4871" customFormat="false" ht="15" hidden="false" customHeight="false" outlineLevel="0" collapsed="false">
      <c r="A4871" s="60"/>
      <c r="B4871" s="61" t="str">
        <f aca="false">IF($M4871=0,"",INDEX(Classes!$E$6:$E$420,$M4871))</f>
        <v/>
      </c>
      <c r="C4871" s="62" t="str">
        <f aca="false">IF($M4871=0,"",INDEX(Classes!$H$6:$H$420,$M4871))</f>
        <v/>
      </c>
      <c r="D4871" s="61" t="str">
        <f aca="false">IF($M4871=0,"",INDEX(Classes!$B$6:$B$420,$M4871))</f>
        <v/>
      </c>
      <c r="E4871" s="61" t="str">
        <f aca="false">IF($M4871=0,"",INDEX(Classes!$C$6:$C$420,$M4871))</f>
        <v/>
      </c>
      <c r="F4871" s="63"/>
      <c r="G4871" s="63"/>
      <c r="H4871" s="60"/>
      <c r="I4871" s="60"/>
      <c r="J4871" s="63"/>
      <c r="K4871" s="61" t="str">
        <f aca="false">IF($P4871=0,"",IF($F4871="Baseline","— Baseline",IF($O4871=0,"No result",IF($N4871=0,"No Start (attainment only)",IF(OR($N4871=1,$O4871=1),"U – needs rule",INDEX(MxBody,MATCH($I4871,MxCurr,0),MATCH($H4871,MxStart,0)))))))</f>
        <v/>
      </c>
      <c r="L4871" s="62" t="str">
        <f aca="false">IF(COUNTA($A4871,$F4871,$G4871,$H4871,$I4871,$J4871)=0,"",IF($M4871=0,"✖ كود الصف غير موجود",IF(ISNA(MATCH($F4871,Lists!$A$2:$A$5,0)),"✖ الفترة غير صحيحة",IF(ISNA(MATCH($G4871,Lists!$B$2:$B$7,0)),"✖ المجموعة غير صحيحة",IF(NOT(OR($H4871="",$N4871&gt;0)),"✖ Start غير صحيح",IF(NOT(OR($I4871="",$I4871="NR",$O4871&gt;0)),"✖ Current غير صحيح",IF(NOT(IF(ISNUMBER($J4871),AND($J4871&gt;=0,$J4871=INT($J4871)),FALSE())),"✖ العدد يجب أن يكون صحيحًا ≥ 0",IF(AND($F4871="Baseline",$H4871&lt;&gt;""),"⚠ Baseline: Start لا يدخل في التقدم",IF($K4871="No Start (attainment only)","ℹ تحصيل فقط (بدون Start)",IF($K4871="U – needs rule","ℹ حالة U تحتاج قاعدة معتمدة",IF($K4871="No result","ℹ بدون نتيجة (يُستبعد من التحصيل)","OK")))))))))))</f>
        <v/>
      </c>
      <c r="M4871" s="64" t="n">
        <f aca="false">IF($A4871="",0,IFERROR(MATCH($A4871,Classes!$A$6:$A$420,0),0))</f>
        <v>0</v>
      </c>
      <c r="N4871" s="64" t="n">
        <f aca="false">IF($H4871="",0,IFERROR(MATCH($H4871,GradeList,0),0))</f>
        <v>0</v>
      </c>
      <c r="O4871" s="64" t="n">
        <f aca="false">IF(OR($I4871="",$I4871="NR"),0,IFERROR(MATCH($I4871,GradeList,0),0))</f>
        <v>0</v>
      </c>
      <c r="P4871" s="64" t="n">
        <f aca="false">IF(AND($M4871&gt;0,ISNUMBER(MATCH($F4871,Lists!$A$2:$A$5,0)),ISNUMBER(MATCH($G4871,Lists!$B$2:$B$7,0)),OR($H4871="",$N4871&gt;0),OR($I4871="",$I4871="NR",$O4871&gt;0),IF(ISNUMBER($J4871),AND($J4871&gt;=0,$J4871=INT($J4871)),FALSE())),$J4871,0)</f>
        <v>0</v>
      </c>
      <c r="Q4871" s="64" t="n">
        <f aca="false">IF(AND($P4871&gt;0,$O4871&gt;0),$P4871,0)</f>
        <v>0</v>
      </c>
      <c r="R4871" s="64" t="n">
        <f aca="false">IF(AND($Q4871&gt;0,$O4871&gt;=AtRank),$Q4871,0)</f>
        <v>0</v>
      </c>
      <c r="S4871" s="64" t="n">
        <f aca="false">IF(AND($Q4871&gt;0,$O4871&gt;=AboveRank),$Q4871,0)</f>
        <v>0</v>
      </c>
      <c r="T4871" s="64" t="n">
        <f aca="false">IF($K4871="Less",$P4871,0)</f>
        <v>0</v>
      </c>
      <c r="U4871" s="64" t="n">
        <f aca="false">IF($K4871="Expected",$P4871,0)</f>
        <v>0</v>
      </c>
      <c r="V4871" s="64" t="n">
        <f aca="false">IF($K4871="Better",$P4871,0)</f>
        <v>0</v>
      </c>
      <c r="W4871" s="64" t="n">
        <f aca="false">IF($K4871="U – needs rule",$P4871,0)</f>
        <v>0</v>
      </c>
      <c r="X4871" s="64" t="n">
        <f aca="false">IF($K4871="No Start (attainment only)",$P4871,0)</f>
        <v>0</v>
      </c>
    </row>
    <row r="4872" customFormat="false" ht="15" hidden="false" customHeight="false" outlineLevel="0" collapsed="false">
      <c r="A4872" s="60"/>
      <c r="B4872" s="61" t="str">
        <f aca="false">IF($M4872=0,"",INDEX(Classes!$E$6:$E$420,$M4872))</f>
        <v/>
      </c>
      <c r="C4872" s="62" t="str">
        <f aca="false">IF($M4872=0,"",INDEX(Classes!$H$6:$H$420,$M4872))</f>
        <v/>
      </c>
      <c r="D4872" s="61" t="str">
        <f aca="false">IF($M4872=0,"",INDEX(Classes!$B$6:$B$420,$M4872))</f>
        <v/>
      </c>
      <c r="E4872" s="61" t="str">
        <f aca="false">IF($M4872=0,"",INDEX(Classes!$C$6:$C$420,$M4872))</f>
        <v/>
      </c>
      <c r="F4872" s="63"/>
      <c r="G4872" s="63"/>
      <c r="H4872" s="60"/>
      <c r="I4872" s="60"/>
      <c r="J4872" s="63"/>
      <c r="K4872" s="61" t="str">
        <f aca="false">IF($P4872=0,"",IF($F4872="Baseline","— Baseline",IF($O4872=0,"No result",IF($N4872=0,"No Start (attainment only)",IF(OR($N4872=1,$O4872=1),"U – needs rule",INDEX(MxBody,MATCH($I4872,MxCurr,0),MATCH($H4872,MxStart,0)))))))</f>
        <v/>
      </c>
      <c r="L4872" s="62" t="str">
        <f aca="false">IF(COUNTA($A4872,$F4872,$G4872,$H4872,$I4872,$J4872)=0,"",IF($M4872=0,"✖ كود الصف غير موجود",IF(ISNA(MATCH($F4872,Lists!$A$2:$A$5,0)),"✖ الفترة غير صحيحة",IF(ISNA(MATCH($G4872,Lists!$B$2:$B$7,0)),"✖ المجموعة غير صحيحة",IF(NOT(OR($H4872="",$N4872&gt;0)),"✖ Start غير صحيح",IF(NOT(OR($I4872="",$I4872="NR",$O4872&gt;0)),"✖ Current غير صحيح",IF(NOT(IF(ISNUMBER($J4872),AND($J4872&gt;=0,$J4872=INT($J4872)),FALSE())),"✖ العدد يجب أن يكون صحيحًا ≥ 0",IF(AND($F4872="Baseline",$H4872&lt;&gt;""),"⚠ Baseline: Start لا يدخل في التقدم",IF($K4872="No Start (attainment only)","ℹ تحصيل فقط (بدون Start)",IF($K4872="U – needs rule","ℹ حالة U تحتاج قاعدة معتمدة",IF($K4872="No result","ℹ بدون نتيجة (يُستبعد من التحصيل)","OK")))))))))))</f>
        <v/>
      </c>
      <c r="M4872" s="64" t="n">
        <f aca="false">IF($A4872="",0,IFERROR(MATCH($A4872,Classes!$A$6:$A$420,0),0))</f>
        <v>0</v>
      </c>
      <c r="N4872" s="64" t="n">
        <f aca="false">IF($H4872="",0,IFERROR(MATCH($H4872,GradeList,0),0))</f>
        <v>0</v>
      </c>
      <c r="O4872" s="64" t="n">
        <f aca="false">IF(OR($I4872="",$I4872="NR"),0,IFERROR(MATCH($I4872,GradeList,0),0))</f>
        <v>0</v>
      </c>
      <c r="P4872" s="64" t="n">
        <f aca="false">IF(AND($M4872&gt;0,ISNUMBER(MATCH($F4872,Lists!$A$2:$A$5,0)),ISNUMBER(MATCH($G4872,Lists!$B$2:$B$7,0)),OR($H4872="",$N4872&gt;0),OR($I4872="",$I4872="NR",$O4872&gt;0),IF(ISNUMBER($J4872),AND($J4872&gt;=0,$J4872=INT($J4872)),FALSE())),$J4872,0)</f>
        <v>0</v>
      </c>
      <c r="Q4872" s="64" t="n">
        <f aca="false">IF(AND($P4872&gt;0,$O4872&gt;0),$P4872,0)</f>
        <v>0</v>
      </c>
      <c r="R4872" s="64" t="n">
        <f aca="false">IF(AND($Q4872&gt;0,$O4872&gt;=AtRank),$Q4872,0)</f>
        <v>0</v>
      </c>
      <c r="S4872" s="64" t="n">
        <f aca="false">IF(AND($Q4872&gt;0,$O4872&gt;=AboveRank),$Q4872,0)</f>
        <v>0</v>
      </c>
      <c r="T4872" s="64" t="n">
        <f aca="false">IF($K4872="Less",$P4872,0)</f>
        <v>0</v>
      </c>
      <c r="U4872" s="64" t="n">
        <f aca="false">IF($K4872="Expected",$P4872,0)</f>
        <v>0</v>
      </c>
      <c r="V4872" s="64" t="n">
        <f aca="false">IF($K4872="Better",$P4872,0)</f>
        <v>0</v>
      </c>
      <c r="W4872" s="64" t="n">
        <f aca="false">IF($K4872="U – needs rule",$P4872,0)</f>
        <v>0</v>
      </c>
      <c r="X4872" s="64" t="n">
        <f aca="false">IF($K4872="No Start (attainment only)",$P4872,0)</f>
        <v>0</v>
      </c>
    </row>
    <row r="4873" customFormat="false" ht="15" hidden="false" customHeight="false" outlineLevel="0" collapsed="false">
      <c r="A4873" s="60"/>
      <c r="B4873" s="61" t="str">
        <f aca="false">IF($M4873=0,"",INDEX(Classes!$E$6:$E$420,$M4873))</f>
        <v/>
      </c>
      <c r="C4873" s="62" t="str">
        <f aca="false">IF($M4873=0,"",INDEX(Classes!$H$6:$H$420,$M4873))</f>
        <v/>
      </c>
      <c r="D4873" s="61" t="str">
        <f aca="false">IF($M4873=0,"",INDEX(Classes!$B$6:$B$420,$M4873))</f>
        <v/>
      </c>
      <c r="E4873" s="61" t="str">
        <f aca="false">IF($M4873=0,"",INDEX(Classes!$C$6:$C$420,$M4873))</f>
        <v/>
      </c>
      <c r="F4873" s="63"/>
      <c r="G4873" s="63"/>
      <c r="H4873" s="60"/>
      <c r="I4873" s="60"/>
      <c r="J4873" s="63"/>
      <c r="K4873" s="61" t="str">
        <f aca="false">IF($P4873=0,"",IF($F4873="Baseline","— Baseline",IF($O4873=0,"No result",IF($N4873=0,"No Start (attainment only)",IF(OR($N4873=1,$O4873=1),"U – needs rule",INDEX(MxBody,MATCH($I4873,MxCurr,0),MATCH($H4873,MxStart,0)))))))</f>
        <v/>
      </c>
      <c r="L4873" s="62" t="str">
        <f aca="false">IF(COUNTA($A4873,$F4873,$G4873,$H4873,$I4873,$J4873)=0,"",IF($M4873=0,"✖ كود الصف غير موجود",IF(ISNA(MATCH($F4873,Lists!$A$2:$A$5,0)),"✖ الفترة غير صحيحة",IF(ISNA(MATCH($G4873,Lists!$B$2:$B$7,0)),"✖ المجموعة غير صحيحة",IF(NOT(OR($H4873="",$N4873&gt;0)),"✖ Start غير صحيح",IF(NOT(OR($I4873="",$I4873="NR",$O4873&gt;0)),"✖ Current غير صحيح",IF(NOT(IF(ISNUMBER($J4873),AND($J4873&gt;=0,$J4873=INT($J4873)),FALSE())),"✖ العدد يجب أن يكون صحيحًا ≥ 0",IF(AND($F4873="Baseline",$H4873&lt;&gt;""),"⚠ Baseline: Start لا يدخل في التقدم",IF($K4873="No Start (attainment only)","ℹ تحصيل فقط (بدون Start)",IF($K4873="U – needs rule","ℹ حالة U تحتاج قاعدة معتمدة",IF($K4873="No result","ℹ بدون نتيجة (يُستبعد من التحصيل)","OK")))))))))))</f>
        <v/>
      </c>
      <c r="M4873" s="64" t="n">
        <f aca="false">IF($A4873="",0,IFERROR(MATCH($A4873,Classes!$A$6:$A$420,0),0))</f>
        <v>0</v>
      </c>
      <c r="N4873" s="64" t="n">
        <f aca="false">IF($H4873="",0,IFERROR(MATCH($H4873,GradeList,0),0))</f>
        <v>0</v>
      </c>
      <c r="O4873" s="64" t="n">
        <f aca="false">IF(OR($I4873="",$I4873="NR"),0,IFERROR(MATCH($I4873,GradeList,0),0))</f>
        <v>0</v>
      </c>
      <c r="P4873" s="64" t="n">
        <f aca="false">IF(AND($M4873&gt;0,ISNUMBER(MATCH($F4873,Lists!$A$2:$A$5,0)),ISNUMBER(MATCH($G4873,Lists!$B$2:$B$7,0)),OR($H4873="",$N4873&gt;0),OR($I4873="",$I4873="NR",$O4873&gt;0),IF(ISNUMBER($J4873),AND($J4873&gt;=0,$J4873=INT($J4873)),FALSE())),$J4873,0)</f>
        <v>0</v>
      </c>
      <c r="Q4873" s="64" t="n">
        <f aca="false">IF(AND($P4873&gt;0,$O4873&gt;0),$P4873,0)</f>
        <v>0</v>
      </c>
      <c r="R4873" s="64" t="n">
        <f aca="false">IF(AND($Q4873&gt;0,$O4873&gt;=AtRank),$Q4873,0)</f>
        <v>0</v>
      </c>
      <c r="S4873" s="64" t="n">
        <f aca="false">IF(AND($Q4873&gt;0,$O4873&gt;=AboveRank),$Q4873,0)</f>
        <v>0</v>
      </c>
      <c r="T4873" s="64" t="n">
        <f aca="false">IF($K4873="Less",$P4873,0)</f>
        <v>0</v>
      </c>
      <c r="U4873" s="64" t="n">
        <f aca="false">IF($K4873="Expected",$P4873,0)</f>
        <v>0</v>
      </c>
      <c r="V4873" s="64" t="n">
        <f aca="false">IF($K4873="Better",$P4873,0)</f>
        <v>0</v>
      </c>
      <c r="W4873" s="64" t="n">
        <f aca="false">IF($K4873="U – needs rule",$P4873,0)</f>
        <v>0</v>
      </c>
      <c r="X4873" s="64" t="n">
        <f aca="false">IF($K4873="No Start (attainment only)",$P4873,0)</f>
        <v>0</v>
      </c>
    </row>
    <row r="4874" customFormat="false" ht="15" hidden="false" customHeight="false" outlineLevel="0" collapsed="false">
      <c r="A4874" s="60"/>
      <c r="B4874" s="61" t="str">
        <f aca="false">IF($M4874=0,"",INDEX(Classes!$E$6:$E$420,$M4874))</f>
        <v/>
      </c>
      <c r="C4874" s="62" t="str">
        <f aca="false">IF($M4874=0,"",INDEX(Classes!$H$6:$H$420,$M4874))</f>
        <v/>
      </c>
      <c r="D4874" s="61" t="str">
        <f aca="false">IF($M4874=0,"",INDEX(Classes!$B$6:$B$420,$M4874))</f>
        <v/>
      </c>
      <c r="E4874" s="61" t="str">
        <f aca="false">IF($M4874=0,"",INDEX(Classes!$C$6:$C$420,$M4874))</f>
        <v/>
      </c>
      <c r="F4874" s="63"/>
      <c r="G4874" s="63"/>
      <c r="H4874" s="60"/>
      <c r="I4874" s="60"/>
      <c r="J4874" s="63"/>
      <c r="K4874" s="61" t="str">
        <f aca="false">IF($P4874=0,"",IF($F4874="Baseline","— Baseline",IF($O4874=0,"No result",IF($N4874=0,"No Start (attainment only)",IF(OR($N4874=1,$O4874=1),"U – needs rule",INDEX(MxBody,MATCH($I4874,MxCurr,0),MATCH($H4874,MxStart,0)))))))</f>
        <v/>
      </c>
      <c r="L4874" s="62" t="str">
        <f aca="false">IF(COUNTA($A4874,$F4874,$G4874,$H4874,$I4874,$J4874)=0,"",IF($M4874=0,"✖ كود الصف غير موجود",IF(ISNA(MATCH($F4874,Lists!$A$2:$A$5,0)),"✖ الفترة غير صحيحة",IF(ISNA(MATCH($G4874,Lists!$B$2:$B$7,0)),"✖ المجموعة غير صحيحة",IF(NOT(OR($H4874="",$N4874&gt;0)),"✖ Start غير صحيح",IF(NOT(OR($I4874="",$I4874="NR",$O4874&gt;0)),"✖ Current غير صحيح",IF(NOT(IF(ISNUMBER($J4874),AND($J4874&gt;=0,$J4874=INT($J4874)),FALSE())),"✖ العدد يجب أن يكون صحيحًا ≥ 0",IF(AND($F4874="Baseline",$H4874&lt;&gt;""),"⚠ Baseline: Start لا يدخل في التقدم",IF($K4874="No Start (attainment only)","ℹ تحصيل فقط (بدون Start)",IF($K4874="U – needs rule","ℹ حالة U تحتاج قاعدة معتمدة",IF($K4874="No result","ℹ بدون نتيجة (يُستبعد من التحصيل)","OK")))))))))))</f>
        <v/>
      </c>
      <c r="M4874" s="64" t="n">
        <f aca="false">IF($A4874="",0,IFERROR(MATCH($A4874,Classes!$A$6:$A$420,0),0))</f>
        <v>0</v>
      </c>
      <c r="N4874" s="64" t="n">
        <f aca="false">IF($H4874="",0,IFERROR(MATCH($H4874,GradeList,0),0))</f>
        <v>0</v>
      </c>
      <c r="O4874" s="64" t="n">
        <f aca="false">IF(OR($I4874="",$I4874="NR"),0,IFERROR(MATCH($I4874,GradeList,0),0))</f>
        <v>0</v>
      </c>
      <c r="P4874" s="64" t="n">
        <f aca="false">IF(AND($M4874&gt;0,ISNUMBER(MATCH($F4874,Lists!$A$2:$A$5,0)),ISNUMBER(MATCH($G4874,Lists!$B$2:$B$7,0)),OR($H4874="",$N4874&gt;0),OR($I4874="",$I4874="NR",$O4874&gt;0),IF(ISNUMBER($J4874),AND($J4874&gt;=0,$J4874=INT($J4874)),FALSE())),$J4874,0)</f>
        <v>0</v>
      </c>
      <c r="Q4874" s="64" t="n">
        <f aca="false">IF(AND($P4874&gt;0,$O4874&gt;0),$P4874,0)</f>
        <v>0</v>
      </c>
      <c r="R4874" s="64" t="n">
        <f aca="false">IF(AND($Q4874&gt;0,$O4874&gt;=AtRank),$Q4874,0)</f>
        <v>0</v>
      </c>
      <c r="S4874" s="64" t="n">
        <f aca="false">IF(AND($Q4874&gt;0,$O4874&gt;=AboveRank),$Q4874,0)</f>
        <v>0</v>
      </c>
      <c r="T4874" s="64" t="n">
        <f aca="false">IF($K4874="Less",$P4874,0)</f>
        <v>0</v>
      </c>
      <c r="U4874" s="64" t="n">
        <f aca="false">IF($K4874="Expected",$P4874,0)</f>
        <v>0</v>
      </c>
      <c r="V4874" s="64" t="n">
        <f aca="false">IF($K4874="Better",$P4874,0)</f>
        <v>0</v>
      </c>
      <c r="W4874" s="64" t="n">
        <f aca="false">IF($K4874="U – needs rule",$P4874,0)</f>
        <v>0</v>
      </c>
      <c r="X4874" s="64" t="n">
        <f aca="false">IF($K4874="No Start (attainment only)",$P4874,0)</f>
        <v>0</v>
      </c>
    </row>
    <row r="4875" customFormat="false" ht="15" hidden="false" customHeight="false" outlineLevel="0" collapsed="false">
      <c r="A4875" s="60"/>
      <c r="B4875" s="61" t="str">
        <f aca="false">IF($M4875=0,"",INDEX(Classes!$E$6:$E$420,$M4875))</f>
        <v/>
      </c>
      <c r="C4875" s="62" t="str">
        <f aca="false">IF($M4875=0,"",INDEX(Classes!$H$6:$H$420,$M4875))</f>
        <v/>
      </c>
      <c r="D4875" s="61" t="str">
        <f aca="false">IF($M4875=0,"",INDEX(Classes!$B$6:$B$420,$M4875))</f>
        <v/>
      </c>
      <c r="E4875" s="61" t="str">
        <f aca="false">IF($M4875=0,"",INDEX(Classes!$C$6:$C$420,$M4875))</f>
        <v/>
      </c>
      <c r="F4875" s="63"/>
      <c r="G4875" s="63"/>
      <c r="H4875" s="60"/>
      <c r="I4875" s="60"/>
      <c r="J4875" s="63"/>
      <c r="K4875" s="61" t="str">
        <f aca="false">IF($P4875=0,"",IF($F4875="Baseline","— Baseline",IF($O4875=0,"No result",IF($N4875=0,"No Start (attainment only)",IF(OR($N4875=1,$O4875=1),"U – needs rule",INDEX(MxBody,MATCH($I4875,MxCurr,0),MATCH($H4875,MxStart,0)))))))</f>
        <v/>
      </c>
      <c r="L4875" s="62" t="str">
        <f aca="false">IF(COUNTA($A4875,$F4875,$G4875,$H4875,$I4875,$J4875)=0,"",IF($M4875=0,"✖ كود الصف غير موجود",IF(ISNA(MATCH($F4875,Lists!$A$2:$A$5,0)),"✖ الفترة غير صحيحة",IF(ISNA(MATCH($G4875,Lists!$B$2:$B$7,0)),"✖ المجموعة غير صحيحة",IF(NOT(OR($H4875="",$N4875&gt;0)),"✖ Start غير صحيح",IF(NOT(OR($I4875="",$I4875="NR",$O4875&gt;0)),"✖ Current غير صحيح",IF(NOT(IF(ISNUMBER($J4875),AND($J4875&gt;=0,$J4875=INT($J4875)),FALSE())),"✖ العدد يجب أن يكون صحيحًا ≥ 0",IF(AND($F4875="Baseline",$H4875&lt;&gt;""),"⚠ Baseline: Start لا يدخل في التقدم",IF($K4875="No Start (attainment only)","ℹ تحصيل فقط (بدون Start)",IF($K4875="U – needs rule","ℹ حالة U تحتاج قاعدة معتمدة",IF($K4875="No result","ℹ بدون نتيجة (يُستبعد من التحصيل)","OK")))))))))))</f>
        <v/>
      </c>
      <c r="M4875" s="64" t="n">
        <f aca="false">IF($A4875="",0,IFERROR(MATCH($A4875,Classes!$A$6:$A$420,0),0))</f>
        <v>0</v>
      </c>
      <c r="N4875" s="64" t="n">
        <f aca="false">IF($H4875="",0,IFERROR(MATCH($H4875,GradeList,0),0))</f>
        <v>0</v>
      </c>
      <c r="O4875" s="64" t="n">
        <f aca="false">IF(OR($I4875="",$I4875="NR"),0,IFERROR(MATCH($I4875,GradeList,0),0))</f>
        <v>0</v>
      </c>
      <c r="P4875" s="64" t="n">
        <f aca="false">IF(AND($M4875&gt;0,ISNUMBER(MATCH($F4875,Lists!$A$2:$A$5,0)),ISNUMBER(MATCH($G4875,Lists!$B$2:$B$7,0)),OR($H4875="",$N4875&gt;0),OR($I4875="",$I4875="NR",$O4875&gt;0),IF(ISNUMBER($J4875),AND($J4875&gt;=0,$J4875=INT($J4875)),FALSE())),$J4875,0)</f>
        <v>0</v>
      </c>
      <c r="Q4875" s="64" t="n">
        <f aca="false">IF(AND($P4875&gt;0,$O4875&gt;0),$P4875,0)</f>
        <v>0</v>
      </c>
      <c r="R4875" s="64" t="n">
        <f aca="false">IF(AND($Q4875&gt;0,$O4875&gt;=AtRank),$Q4875,0)</f>
        <v>0</v>
      </c>
      <c r="S4875" s="64" t="n">
        <f aca="false">IF(AND($Q4875&gt;0,$O4875&gt;=AboveRank),$Q4875,0)</f>
        <v>0</v>
      </c>
      <c r="T4875" s="64" t="n">
        <f aca="false">IF($K4875="Less",$P4875,0)</f>
        <v>0</v>
      </c>
      <c r="U4875" s="64" t="n">
        <f aca="false">IF($K4875="Expected",$P4875,0)</f>
        <v>0</v>
      </c>
      <c r="V4875" s="64" t="n">
        <f aca="false">IF($K4875="Better",$P4875,0)</f>
        <v>0</v>
      </c>
      <c r="W4875" s="64" t="n">
        <f aca="false">IF($K4875="U – needs rule",$P4875,0)</f>
        <v>0</v>
      </c>
      <c r="X4875" s="64" t="n">
        <f aca="false">IF($K4875="No Start (attainment only)",$P4875,0)</f>
        <v>0</v>
      </c>
    </row>
    <row r="4876" customFormat="false" ht="15" hidden="false" customHeight="false" outlineLevel="0" collapsed="false">
      <c r="A4876" s="60"/>
      <c r="B4876" s="61" t="str">
        <f aca="false">IF($M4876=0,"",INDEX(Classes!$E$6:$E$420,$M4876))</f>
        <v/>
      </c>
      <c r="C4876" s="62" t="str">
        <f aca="false">IF($M4876=0,"",INDEX(Classes!$H$6:$H$420,$M4876))</f>
        <v/>
      </c>
      <c r="D4876" s="61" t="str">
        <f aca="false">IF($M4876=0,"",INDEX(Classes!$B$6:$B$420,$M4876))</f>
        <v/>
      </c>
      <c r="E4876" s="61" t="str">
        <f aca="false">IF($M4876=0,"",INDEX(Classes!$C$6:$C$420,$M4876))</f>
        <v/>
      </c>
      <c r="F4876" s="63"/>
      <c r="G4876" s="63"/>
      <c r="H4876" s="60"/>
      <c r="I4876" s="60"/>
      <c r="J4876" s="63"/>
      <c r="K4876" s="61" t="str">
        <f aca="false">IF($P4876=0,"",IF($F4876="Baseline","— Baseline",IF($O4876=0,"No result",IF($N4876=0,"No Start (attainment only)",IF(OR($N4876=1,$O4876=1),"U – needs rule",INDEX(MxBody,MATCH($I4876,MxCurr,0),MATCH($H4876,MxStart,0)))))))</f>
        <v/>
      </c>
      <c r="L4876" s="62" t="str">
        <f aca="false">IF(COUNTA($A4876,$F4876,$G4876,$H4876,$I4876,$J4876)=0,"",IF($M4876=0,"✖ كود الصف غير موجود",IF(ISNA(MATCH($F4876,Lists!$A$2:$A$5,0)),"✖ الفترة غير صحيحة",IF(ISNA(MATCH($G4876,Lists!$B$2:$B$7,0)),"✖ المجموعة غير صحيحة",IF(NOT(OR($H4876="",$N4876&gt;0)),"✖ Start غير صحيح",IF(NOT(OR($I4876="",$I4876="NR",$O4876&gt;0)),"✖ Current غير صحيح",IF(NOT(IF(ISNUMBER($J4876),AND($J4876&gt;=0,$J4876=INT($J4876)),FALSE())),"✖ العدد يجب أن يكون صحيحًا ≥ 0",IF(AND($F4876="Baseline",$H4876&lt;&gt;""),"⚠ Baseline: Start لا يدخل في التقدم",IF($K4876="No Start (attainment only)","ℹ تحصيل فقط (بدون Start)",IF($K4876="U – needs rule","ℹ حالة U تحتاج قاعدة معتمدة",IF($K4876="No result","ℹ بدون نتيجة (يُستبعد من التحصيل)","OK")))))))))))</f>
        <v/>
      </c>
      <c r="M4876" s="64" t="n">
        <f aca="false">IF($A4876="",0,IFERROR(MATCH($A4876,Classes!$A$6:$A$420,0),0))</f>
        <v>0</v>
      </c>
      <c r="N4876" s="64" t="n">
        <f aca="false">IF($H4876="",0,IFERROR(MATCH($H4876,GradeList,0),0))</f>
        <v>0</v>
      </c>
      <c r="O4876" s="64" t="n">
        <f aca="false">IF(OR($I4876="",$I4876="NR"),0,IFERROR(MATCH($I4876,GradeList,0),0))</f>
        <v>0</v>
      </c>
      <c r="P4876" s="64" t="n">
        <f aca="false">IF(AND($M4876&gt;0,ISNUMBER(MATCH($F4876,Lists!$A$2:$A$5,0)),ISNUMBER(MATCH($G4876,Lists!$B$2:$B$7,0)),OR($H4876="",$N4876&gt;0),OR($I4876="",$I4876="NR",$O4876&gt;0),IF(ISNUMBER($J4876),AND($J4876&gt;=0,$J4876=INT($J4876)),FALSE())),$J4876,0)</f>
        <v>0</v>
      </c>
      <c r="Q4876" s="64" t="n">
        <f aca="false">IF(AND($P4876&gt;0,$O4876&gt;0),$P4876,0)</f>
        <v>0</v>
      </c>
      <c r="R4876" s="64" t="n">
        <f aca="false">IF(AND($Q4876&gt;0,$O4876&gt;=AtRank),$Q4876,0)</f>
        <v>0</v>
      </c>
      <c r="S4876" s="64" t="n">
        <f aca="false">IF(AND($Q4876&gt;0,$O4876&gt;=AboveRank),$Q4876,0)</f>
        <v>0</v>
      </c>
      <c r="T4876" s="64" t="n">
        <f aca="false">IF($K4876="Less",$P4876,0)</f>
        <v>0</v>
      </c>
      <c r="U4876" s="64" t="n">
        <f aca="false">IF($K4876="Expected",$P4876,0)</f>
        <v>0</v>
      </c>
      <c r="V4876" s="64" t="n">
        <f aca="false">IF($K4876="Better",$P4876,0)</f>
        <v>0</v>
      </c>
      <c r="W4876" s="64" t="n">
        <f aca="false">IF($K4876="U – needs rule",$P4876,0)</f>
        <v>0</v>
      </c>
      <c r="X4876" s="64" t="n">
        <f aca="false">IF($K4876="No Start (attainment only)",$P4876,0)</f>
        <v>0</v>
      </c>
    </row>
    <row r="4877" customFormat="false" ht="15" hidden="false" customHeight="false" outlineLevel="0" collapsed="false">
      <c r="A4877" s="60"/>
      <c r="B4877" s="61" t="str">
        <f aca="false">IF($M4877=0,"",INDEX(Classes!$E$6:$E$420,$M4877))</f>
        <v/>
      </c>
      <c r="C4877" s="62" t="str">
        <f aca="false">IF($M4877=0,"",INDEX(Classes!$H$6:$H$420,$M4877))</f>
        <v/>
      </c>
      <c r="D4877" s="61" t="str">
        <f aca="false">IF($M4877=0,"",INDEX(Classes!$B$6:$B$420,$M4877))</f>
        <v/>
      </c>
      <c r="E4877" s="61" t="str">
        <f aca="false">IF($M4877=0,"",INDEX(Classes!$C$6:$C$420,$M4877))</f>
        <v/>
      </c>
      <c r="F4877" s="63"/>
      <c r="G4877" s="63"/>
      <c r="H4877" s="60"/>
      <c r="I4877" s="60"/>
      <c r="J4877" s="63"/>
      <c r="K4877" s="61" t="str">
        <f aca="false">IF($P4877=0,"",IF($F4877="Baseline","— Baseline",IF($O4877=0,"No result",IF($N4877=0,"No Start (attainment only)",IF(OR($N4877=1,$O4877=1),"U – needs rule",INDEX(MxBody,MATCH($I4877,MxCurr,0),MATCH($H4877,MxStart,0)))))))</f>
        <v/>
      </c>
      <c r="L4877" s="62" t="str">
        <f aca="false">IF(COUNTA($A4877,$F4877,$G4877,$H4877,$I4877,$J4877)=0,"",IF($M4877=0,"✖ كود الصف غير موجود",IF(ISNA(MATCH($F4877,Lists!$A$2:$A$5,0)),"✖ الفترة غير صحيحة",IF(ISNA(MATCH($G4877,Lists!$B$2:$B$7,0)),"✖ المجموعة غير صحيحة",IF(NOT(OR($H4877="",$N4877&gt;0)),"✖ Start غير صحيح",IF(NOT(OR($I4877="",$I4877="NR",$O4877&gt;0)),"✖ Current غير صحيح",IF(NOT(IF(ISNUMBER($J4877),AND($J4877&gt;=0,$J4877=INT($J4877)),FALSE())),"✖ العدد يجب أن يكون صحيحًا ≥ 0",IF(AND($F4877="Baseline",$H4877&lt;&gt;""),"⚠ Baseline: Start لا يدخل في التقدم",IF($K4877="No Start (attainment only)","ℹ تحصيل فقط (بدون Start)",IF($K4877="U – needs rule","ℹ حالة U تحتاج قاعدة معتمدة",IF($K4877="No result","ℹ بدون نتيجة (يُستبعد من التحصيل)","OK")))))))))))</f>
        <v/>
      </c>
      <c r="M4877" s="64" t="n">
        <f aca="false">IF($A4877="",0,IFERROR(MATCH($A4877,Classes!$A$6:$A$420,0),0))</f>
        <v>0</v>
      </c>
      <c r="N4877" s="64" t="n">
        <f aca="false">IF($H4877="",0,IFERROR(MATCH($H4877,GradeList,0),0))</f>
        <v>0</v>
      </c>
      <c r="O4877" s="64" t="n">
        <f aca="false">IF(OR($I4877="",$I4877="NR"),0,IFERROR(MATCH($I4877,GradeList,0),0))</f>
        <v>0</v>
      </c>
      <c r="P4877" s="64" t="n">
        <f aca="false">IF(AND($M4877&gt;0,ISNUMBER(MATCH($F4877,Lists!$A$2:$A$5,0)),ISNUMBER(MATCH($G4877,Lists!$B$2:$B$7,0)),OR($H4877="",$N4877&gt;0),OR($I4877="",$I4877="NR",$O4877&gt;0),IF(ISNUMBER($J4877),AND($J4877&gt;=0,$J4877=INT($J4877)),FALSE())),$J4877,0)</f>
        <v>0</v>
      </c>
      <c r="Q4877" s="64" t="n">
        <f aca="false">IF(AND($P4877&gt;0,$O4877&gt;0),$P4877,0)</f>
        <v>0</v>
      </c>
      <c r="R4877" s="64" t="n">
        <f aca="false">IF(AND($Q4877&gt;0,$O4877&gt;=AtRank),$Q4877,0)</f>
        <v>0</v>
      </c>
      <c r="S4877" s="64" t="n">
        <f aca="false">IF(AND($Q4877&gt;0,$O4877&gt;=AboveRank),$Q4877,0)</f>
        <v>0</v>
      </c>
      <c r="T4877" s="64" t="n">
        <f aca="false">IF($K4877="Less",$P4877,0)</f>
        <v>0</v>
      </c>
      <c r="U4877" s="64" t="n">
        <f aca="false">IF($K4877="Expected",$P4877,0)</f>
        <v>0</v>
      </c>
      <c r="V4877" s="64" t="n">
        <f aca="false">IF($K4877="Better",$P4877,0)</f>
        <v>0</v>
      </c>
      <c r="W4877" s="64" t="n">
        <f aca="false">IF($K4877="U – needs rule",$P4877,0)</f>
        <v>0</v>
      </c>
      <c r="X4877" s="64" t="n">
        <f aca="false">IF($K4877="No Start (attainment only)",$P4877,0)</f>
        <v>0</v>
      </c>
    </row>
    <row r="4878" customFormat="false" ht="15" hidden="false" customHeight="false" outlineLevel="0" collapsed="false">
      <c r="A4878" s="60"/>
      <c r="B4878" s="61" t="str">
        <f aca="false">IF($M4878=0,"",INDEX(Classes!$E$6:$E$420,$M4878))</f>
        <v/>
      </c>
      <c r="C4878" s="62" t="str">
        <f aca="false">IF($M4878=0,"",INDEX(Classes!$H$6:$H$420,$M4878))</f>
        <v/>
      </c>
      <c r="D4878" s="61" t="str">
        <f aca="false">IF($M4878=0,"",INDEX(Classes!$B$6:$B$420,$M4878))</f>
        <v/>
      </c>
      <c r="E4878" s="61" t="str">
        <f aca="false">IF($M4878=0,"",INDEX(Classes!$C$6:$C$420,$M4878))</f>
        <v/>
      </c>
      <c r="F4878" s="63"/>
      <c r="G4878" s="63"/>
      <c r="H4878" s="60"/>
      <c r="I4878" s="60"/>
      <c r="J4878" s="63"/>
      <c r="K4878" s="61" t="str">
        <f aca="false">IF($P4878=0,"",IF($F4878="Baseline","— Baseline",IF($O4878=0,"No result",IF($N4878=0,"No Start (attainment only)",IF(OR($N4878=1,$O4878=1),"U – needs rule",INDEX(MxBody,MATCH($I4878,MxCurr,0),MATCH($H4878,MxStart,0)))))))</f>
        <v/>
      </c>
      <c r="L4878" s="62" t="str">
        <f aca="false">IF(COUNTA($A4878,$F4878,$G4878,$H4878,$I4878,$J4878)=0,"",IF($M4878=0,"✖ كود الصف غير موجود",IF(ISNA(MATCH($F4878,Lists!$A$2:$A$5,0)),"✖ الفترة غير صحيحة",IF(ISNA(MATCH($G4878,Lists!$B$2:$B$7,0)),"✖ المجموعة غير صحيحة",IF(NOT(OR($H4878="",$N4878&gt;0)),"✖ Start غير صحيح",IF(NOT(OR($I4878="",$I4878="NR",$O4878&gt;0)),"✖ Current غير صحيح",IF(NOT(IF(ISNUMBER($J4878),AND($J4878&gt;=0,$J4878=INT($J4878)),FALSE())),"✖ العدد يجب أن يكون صحيحًا ≥ 0",IF(AND($F4878="Baseline",$H4878&lt;&gt;""),"⚠ Baseline: Start لا يدخل في التقدم",IF($K4878="No Start (attainment only)","ℹ تحصيل فقط (بدون Start)",IF($K4878="U – needs rule","ℹ حالة U تحتاج قاعدة معتمدة",IF($K4878="No result","ℹ بدون نتيجة (يُستبعد من التحصيل)","OK")))))))))))</f>
        <v/>
      </c>
      <c r="M4878" s="64" t="n">
        <f aca="false">IF($A4878="",0,IFERROR(MATCH($A4878,Classes!$A$6:$A$420,0),0))</f>
        <v>0</v>
      </c>
      <c r="N4878" s="64" t="n">
        <f aca="false">IF($H4878="",0,IFERROR(MATCH($H4878,GradeList,0),0))</f>
        <v>0</v>
      </c>
      <c r="O4878" s="64" t="n">
        <f aca="false">IF(OR($I4878="",$I4878="NR"),0,IFERROR(MATCH($I4878,GradeList,0),0))</f>
        <v>0</v>
      </c>
      <c r="P4878" s="64" t="n">
        <f aca="false">IF(AND($M4878&gt;0,ISNUMBER(MATCH($F4878,Lists!$A$2:$A$5,0)),ISNUMBER(MATCH($G4878,Lists!$B$2:$B$7,0)),OR($H4878="",$N4878&gt;0),OR($I4878="",$I4878="NR",$O4878&gt;0),IF(ISNUMBER($J4878),AND($J4878&gt;=0,$J4878=INT($J4878)),FALSE())),$J4878,0)</f>
        <v>0</v>
      </c>
      <c r="Q4878" s="64" t="n">
        <f aca="false">IF(AND($P4878&gt;0,$O4878&gt;0),$P4878,0)</f>
        <v>0</v>
      </c>
      <c r="R4878" s="64" t="n">
        <f aca="false">IF(AND($Q4878&gt;0,$O4878&gt;=AtRank),$Q4878,0)</f>
        <v>0</v>
      </c>
      <c r="S4878" s="64" t="n">
        <f aca="false">IF(AND($Q4878&gt;0,$O4878&gt;=AboveRank),$Q4878,0)</f>
        <v>0</v>
      </c>
      <c r="T4878" s="64" t="n">
        <f aca="false">IF($K4878="Less",$P4878,0)</f>
        <v>0</v>
      </c>
      <c r="U4878" s="64" t="n">
        <f aca="false">IF($K4878="Expected",$P4878,0)</f>
        <v>0</v>
      </c>
      <c r="V4878" s="64" t="n">
        <f aca="false">IF($K4878="Better",$P4878,0)</f>
        <v>0</v>
      </c>
      <c r="W4878" s="64" t="n">
        <f aca="false">IF($K4878="U – needs rule",$P4878,0)</f>
        <v>0</v>
      </c>
      <c r="X4878" s="64" t="n">
        <f aca="false">IF($K4878="No Start (attainment only)",$P4878,0)</f>
        <v>0</v>
      </c>
    </row>
    <row r="4879" customFormat="false" ht="15" hidden="false" customHeight="false" outlineLevel="0" collapsed="false">
      <c r="A4879" s="60"/>
      <c r="B4879" s="61" t="str">
        <f aca="false">IF($M4879=0,"",INDEX(Classes!$E$6:$E$420,$M4879))</f>
        <v/>
      </c>
      <c r="C4879" s="62" t="str">
        <f aca="false">IF($M4879=0,"",INDEX(Classes!$H$6:$H$420,$M4879))</f>
        <v/>
      </c>
      <c r="D4879" s="61" t="str">
        <f aca="false">IF($M4879=0,"",INDEX(Classes!$B$6:$B$420,$M4879))</f>
        <v/>
      </c>
      <c r="E4879" s="61" t="str">
        <f aca="false">IF($M4879=0,"",INDEX(Classes!$C$6:$C$420,$M4879))</f>
        <v/>
      </c>
      <c r="F4879" s="63"/>
      <c r="G4879" s="63"/>
      <c r="H4879" s="60"/>
      <c r="I4879" s="60"/>
      <c r="J4879" s="63"/>
      <c r="K4879" s="61" t="str">
        <f aca="false">IF($P4879=0,"",IF($F4879="Baseline","— Baseline",IF($O4879=0,"No result",IF($N4879=0,"No Start (attainment only)",IF(OR($N4879=1,$O4879=1),"U – needs rule",INDEX(MxBody,MATCH($I4879,MxCurr,0),MATCH($H4879,MxStart,0)))))))</f>
        <v/>
      </c>
      <c r="L4879" s="62" t="str">
        <f aca="false">IF(COUNTA($A4879,$F4879,$G4879,$H4879,$I4879,$J4879)=0,"",IF($M4879=0,"✖ كود الصف غير موجود",IF(ISNA(MATCH($F4879,Lists!$A$2:$A$5,0)),"✖ الفترة غير صحيحة",IF(ISNA(MATCH($G4879,Lists!$B$2:$B$7,0)),"✖ المجموعة غير صحيحة",IF(NOT(OR($H4879="",$N4879&gt;0)),"✖ Start غير صحيح",IF(NOT(OR($I4879="",$I4879="NR",$O4879&gt;0)),"✖ Current غير صحيح",IF(NOT(IF(ISNUMBER($J4879),AND($J4879&gt;=0,$J4879=INT($J4879)),FALSE())),"✖ العدد يجب أن يكون صحيحًا ≥ 0",IF(AND($F4879="Baseline",$H4879&lt;&gt;""),"⚠ Baseline: Start لا يدخل في التقدم",IF($K4879="No Start (attainment only)","ℹ تحصيل فقط (بدون Start)",IF($K4879="U – needs rule","ℹ حالة U تحتاج قاعدة معتمدة",IF($K4879="No result","ℹ بدون نتيجة (يُستبعد من التحصيل)","OK")))))))))))</f>
        <v/>
      </c>
      <c r="M4879" s="64" t="n">
        <f aca="false">IF($A4879="",0,IFERROR(MATCH($A4879,Classes!$A$6:$A$420,0),0))</f>
        <v>0</v>
      </c>
      <c r="N4879" s="64" t="n">
        <f aca="false">IF($H4879="",0,IFERROR(MATCH($H4879,GradeList,0),0))</f>
        <v>0</v>
      </c>
      <c r="O4879" s="64" t="n">
        <f aca="false">IF(OR($I4879="",$I4879="NR"),0,IFERROR(MATCH($I4879,GradeList,0),0))</f>
        <v>0</v>
      </c>
      <c r="P4879" s="64" t="n">
        <f aca="false">IF(AND($M4879&gt;0,ISNUMBER(MATCH($F4879,Lists!$A$2:$A$5,0)),ISNUMBER(MATCH($G4879,Lists!$B$2:$B$7,0)),OR($H4879="",$N4879&gt;0),OR($I4879="",$I4879="NR",$O4879&gt;0),IF(ISNUMBER($J4879),AND($J4879&gt;=0,$J4879=INT($J4879)),FALSE())),$J4879,0)</f>
        <v>0</v>
      </c>
      <c r="Q4879" s="64" t="n">
        <f aca="false">IF(AND($P4879&gt;0,$O4879&gt;0),$P4879,0)</f>
        <v>0</v>
      </c>
      <c r="R4879" s="64" t="n">
        <f aca="false">IF(AND($Q4879&gt;0,$O4879&gt;=AtRank),$Q4879,0)</f>
        <v>0</v>
      </c>
      <c r="S4879" s="64" t="n">
        <f aca="false">IF(AND($Q4879&gt;0,$O4879&gt;=AboveRank),$Q4879,0)</f>
        <v>0</v>
      </c>
      <c r="T4879" s="64" t="n">
        <f aca="false">IF($K4879="Less",$P4879,0)</f>
        <v>0</v>
      </c>
      <c r="U4879" s="64" t="n">
        <f aca="false">IF($K4879="Expected",$P4879,0)</f>
        <v>0</v>
      </c>
      <c r="V4879" s="64" t="n">
        <f aca="false">IF($K4879="Better",$P4879,0)</f>
        <v>0</v>
      </c>
      <c r="W4879" s="64" t="n">
        <f aca="false">IF($K4879="U – needs rule",$P4879,0)</f>
        <v>0</v>
      </c>
      <c r="X4879" s="64" t="n">
        <f aca="false">IF($K4879="No Start (attainment only)",$P4879,0)</f>
        <v>0</v>
      </c>
    </row>
    <row r="4880" customFormat="false" ht="15" hidden="false" customHeight="false" outlineLevel="0" collapsed="false">
      <c r="A4880" s="60"/>
      <c r="B4880" s="61" t="str">
        <f aca="false">IF($M4880=0,"",INDEX(Classes!$E$6:$E$420,$M4880))</f>
        <v/>
      </c>
      <c r="C4880" s="62" t="str">
        <f aca="false">IF($M4880=0,"",INDEX(Classes!$H$6:$H$420,$M4880))</f>
        <v/>
      </c>
      <c r="D4880" s="61" t="str">
        <f aca="false">IF($M4880=0,"",INDEX(Classes!$B$6:$B$420,$M4880))</f>
        <v/>
      </c>
      <c r="E4880" s="61" t="str">
        <f aca="false">IF($M4880=0,"",INDEX(Classes!$C$6:$C$420,$M4880))</f>
        <v/>
      </c>
      <c r="F4880" s="63"/>
      <c r="G4880" s="63"/>
      <c r="H4880" s="60"/>
      <c r="I4880" s="60"/>
      <c r="J4880" s="63"/>
      <c r="K4880" s="61" t="str">
        <f aca="false">IF($P4880=0,"",IF($F4880="Baseline","— Baseline",IF($O4880=0,"No result",IF($N4880=0,"No Start (attainment only)",IF(OR($N4880=1,$O4880=1),"U – needs rule",INDEX(MxBody,MATCH($I4880,MxCurr,0),MATCH($H4880,MxStart,0)))))))</f>
        <v/>
      </c>
      <c r="L4880" s="62" t="str">
        <f aca="false">IF(COUNTA($A4880,$F4880,$G4880,$H4880,$I4880,$J4880)=0,"",IF($M4880=0,"✖ كود الصف غير موجود",IF(ISNA(MATCH($F4880,Lists!$A$2:$A$5,0)),"✖ الفترة غير صحيحة",IF(ISNA(MATCH($G4880,Lists!$B$2:$B$7,0)),"✖ المجموعة غير صحيحة",IF(NOT(OR($H4880="",$N4880&gt;0)),"✖ Start غير صحيح",IF(NOT(OR($I4880="",$I4880="NR",$O4880&gt;0)),"✖ Current غير صحيح",IF(NOT(IF(ISNUMBER($J4880),AND($J4880&gt;=0,$J4880=INT($J4880)),FALSE())),"✖ العدد يجب أن يكون صحيحًا ≥ 0",IF(AND($F4880="Baseline",$H4880&lt;&gt;""),"⚠ Baseline: Start لا يدخل في التقدم",IF($K4880="No Start (attainment only)","ℹ تحصيل فقط (بدون Start)",IF($K4880="U – needs rule","ℹ حالة U تحتاج قاعدة معتمدة",IF($K4880="No result","ℹ بدون نتيجة (يُستبعد من التحصيل)","OK")))))))))))</f>
        <v/>
      </c>
      <c r="M4880" s="64" t="n">
        <f aca="false">IF($A4880="",0,IFERROR(MATCH($A4880,Classes!$A$6:$A$420,0),0))</f>
        <v>0</v>
      </c>
      <c r="N4880" s="64" t="n">
        <f aca="false">IF($H4880="",0,IFERROR(MATCH($H4880,GradeList,0),0))</f>
        <v>0</v>
      </c>
      <c r="O4880" s="64" t="n">
        <f aca="false">IF(OR($I4880="",$I4880="NR"),0,IFERROR(MATCH($I4880,GradeList,0),0))</f>
        <v>0</v>
      </c>
      <c r="P4880" s="64" t="n">
        <f aca="false">IF(AND($M4880&gt;0,ISNUMBER(MATCH($F4880,Lists!$A$2:$A$5,0)),ISNUMBER(MATCH($G4880,Lists!$B$2:$B$7,0)),OR($H4880="",$N4880&gt;0),OR($I4880="",$I4880="NR",$O4880&gt;0),IF(ISNUMBER($J4880),AND($J4880&gt;=0,$J4880=INT($J4880)),FALSE())),$J4880,0)</f>
        <v>0</v>
      </c>
      <c r="Q4880" s="64" t="n">
        <f aca="false">IF(AND($P4880&gt;0,$O4880&gt;0),$P4880,0)</f>
        <v>0</v>
      </c>
      <c r="R4880" s="64" t="n">
        <f aca="false">IF(AND($Q4880&gt;0,$O4880&gt;=AtRank),$Q4880,0)</f>
        <v>0</v>
      </c>
      <c r="S4880" s="64" t="n">
        <f aca="false">IF(AND($Q4880&gt;0,$O4880&gt;=AboveRank),$Q4880,0)</f>
        <v>0</v>
      </c>
      <c r="T4880" s="64" t="n">
        <f aca="false">IF($K4880="Less",$P4880,0)</f>
        <v>0</v>
      </c>
      <c r="U4880" s="64" t="n">
        <f aca="false">IF($K4880="Expected",$P4880,0)</f>
        <v>0</v>
      </c>
      <c r="V4880" s="64" t="n">
        <f aca="false">IF($K4880="Better",$P4880,0)</f>
        <v>0</v>
      </c>
      <c r="W4880" s="64" t="n">
        <f aca="false">IF($K4880="U – needs rule",$P4880,0)</f>
        <v>0</v>
      </c>
      <c r="X4880" s="64" t="n">
        <f aca="false">IF($K4880="No Start (attainment only)",$P4880,0)</f>
        <v>0</v>
      </c>
    </row>
    <row r="4881" customFormat="false" ht="15" hidden="false" customHeight="false" outlineLevel="0" collapsed="false">
      <c r="A4881" s="60"/>
      <c r="B4881" s="61" t="str">
        <f aca="false">IF($M4881=0,"",INDEX(Classes!$E$6:$E$420,$M4881))</f>
        <v/>
      </c>
      <c r="C4881" s="62" t="str">
        <f aca="false">IF($M4881=0,"",INDEX(Classes!$H$6:$H$420,$M4881))</f>
        <v/>
      </c>
      <c r="D4881" s="61" t="str">
        <f aca="false">IF($M4881=0,"",INDEX(Classes!$B$6:$B$420,$M4881))</f>
        <v/>
      </c>
      <c r="E4881" s="61" t="str">
        <f aca="false">IF($M4881=0,"",INDEX(Classes!$C$6:$C$420,$M4881))</f>
        <v/>
      </c>
      <c r="F4881" s="63"/>
      <c r="G4881" s="63"/>
      <c r="H4881" s="60"/>
      <c r="I4881" s="60"/>
      <c r="J4881" s="63"/>
      <c r="K4881" s="61" t="str">
        <f aca="false">IF($P4881=0,"",IF($F4881="Baseline","— Baseline",IF($O4881=0,"No result",IF($N4881=0,"No Start (attainment only)",IF(OR($N4881=1,$O4881=1),"U – needs rule",INDEX(MxBody,MATCH($I4881,MxCurr,0),MATCH($H4881,MxStart,0)))))))</f>
        <v/>
      </c>
      <c r="L4881" s="62" t="str">
        <f aca="false">IF(COUNTA($A4881,$F4881,$G4881,$H4881,$I4881,$J4881)=0,"",IF($M4881=0,"✖ كود الصف غير موجود",IF(ISNA(MATCH($F4881,Lists!$A$2:$A$5,0)),"✖ الفترة غير صحيحة",IF(ISNA(MATCH($G4881,Lists!$B$2:$B$7,0)),"✖ المجموعة غير صحيحة",IF(NOT(OR($H4881="",$N4881&gt;0)),"✖ Start غير صحيح",IF(NOT(OR($I4881="",$I4881="NR",$O4881&gt;0)),"✖ Current غير صحيح",IF(NOT(IF(ISNUMBER($J4881),AND($J4881&gt;=0,$J4881=INT($J4881)),FALSE())),"✖ العدد يجب أن يكون صحيحًا ≥ 0",IF(AND($F4881="Baseline",$H4881&lt;&gt;""),"⚠ Baseline: Start لا يدخل في التقدم",IF($K4881="No Start (attainment only)","ℹ تحصيل فقط (بدون Start)",IF($K4881="U – needs rule","ℹ حالة U تحتاج قاعدة معتمدة",IF($K4881="No result","ℹ بدون نتيجة (يُستبعد من التحصيل)","OK")))))))))))</f>
        <v/>
      </c>
      <c r="M4881" s="64" t="n">
        <f aca="false">IF($A4881="",0,IFERROR(MATCH($A4881,Classes!$A$6:$A$420,0),0))</f>
        <v>0</v>
      </c>
      <c r="N4881" s="64" t="n">
        <f aca="false">IF($H4881="",0,IFERROR(MATCH($H4881,GradeList,0),0))</f>
        <v>0</v>
      </c>
      <c r="O4881" s="64" t="n">
        <f aca="false">IF(OR($I4881="",$I4881="NR"),0,IFERROR(MATCH($I4881,GradeList,0),0))</f>
        <v>0</v>
      </c>
      <c r="P4881" s="64" t="n">
        <f aca="false">IF(AND($M4881&gt;0,ISNUMBER(MATCH($F4881,Lists!$A$2:$A$5,0)),ISNUMBER(MATCH($G4881,Lists!$B$2:$B$7,0)),OR($H4881="",$N4881&gt;0),OR($I4881="",$I4881="NR",$O4881&gt;0),IF(ISNUMBER($J4881),AND($J4881&gt;=0,$J4881=INT($J4881)),FALSE())),$J4881,0)</f>
        <v>0</v>
      </c>
      <c r="Q4881" s="64" t="n">
        <f aca="false">IF(AND($P4881&gt;0,$O4881&gt;0),$P4881,0)</f>
        <v>0</v>
      </c>
      <c r="R4881" s="64" t="n">
        <f aca="false">IF(AND($Q4881&gt;0,$O4881&gt;=AtRank),$Q4881,0)</f>
        <v>0</v>
      </c>
      <c r="S4881" s="64" t="n">
        <f aca="false">IF(AND($Q4881&gt;0,$O4881&gt;=AboveRank),$Q4881,0)</f>
        <v>0</v>
      </c>
      <c r="T4881" s="64" t="n">
        <f aca="false">IF($K4881="Less",$P4881,0)</f>
        <v>0</v>
      </c>
      <c r="U4881" s="64" t="n">
        <f aca="false">IF($K4881="Expected",$P4881,0)</f>
        <v>0</v>
      </c>
      <c r="V4881" s="64" t="n">
        <f aca="false">IF($K4881="Better",$P4881,0)</f>
        <v>0</v>
      </c>
      <c r="W4881" s="64" t="n">
        <f aca="false">IF($K4881="U – needs rule",$P4881,0)</f>
        <v>0</v>
      </c>
      <c r="X4881" s="64" t="n">
        <f aca="false">IF($K4881="No Start (attainment only)",$P4881,0)</f>
        <v>0</v>
      </c>
    </row>
    <row r="4882" customFormat="false" ht="15" hidden="false" customHeight="false" outlineLevel="0" collapsed="false">
      <c r="A4882" s="60"/>
      <c r="B4882" s="61" t="str">
        <f aca="false">IF($M4882=0,"",INDEX(Classes!$E$6:$E$420,$M4882))</f>
        <v/>
      </c>
      <c r="C4882" s="62" t="str">
        <f aca="false">IF($M4882=0,"",INDEX(Classes!$H$6:$H$420,$M4882))</f>
        <v/>
      </c>
      <c r="D4882" s="61" t="str">
        <f aca="false">IF($M4882=0,"",INDEX(Classes!$B$6:$B$420,$M4882))</f>
        <v/>
      </c>
      <c r="E4882" s="61" t="str">
        <f aca="false">IF($M4882=0,"",INDEX(Classes!$C$6:$C$420,$M4882))</f>
        <v/>
      </c>
      <c r="F4882" s="63"/>
      <c r="G4882" s="63"/>
      <c r="H4882" s="60"/>
      <c r="I4882" s="60"/>
      <c r="J4882" s="63"/>
      <c r="K4882" s="61" t="str">
        <f aca="false">IF($P4882=0,"",IF($F4882="Baseline","— Baseline",IF($O4882=0,"No result",IF($N4882=0,"No Start (attainment only)",IF(OR($N4882=1,$O4882=1),"U – needs rule",INDEX(MxBody,MATCH($I4882,MxCurr,0),MATCH($H4882,MxStart,0)))))))</f>
        <v/>
      </c>
      <c r="L4882" s="62" t="str">
        <f aca="false">IF(COUNTA($A4882,$F4882,$G4882,$H4882,$I4882,$J4882)=0,"",IF($M4882=0,"✖ كود الصف غير موجود",IF(ISNA(MATCH($F4882,Lists!$A$2:$A$5,0)),"✖ الفترة غير صحيحة",IF(ISNA(MATCH($G4882,Lists!$B$2:$B$7,0)),"✖ المجموعة غير صحيحة",IF(NOT(OR($H4882="",$N4882&gt;0)),"✖ Start غير صحيح",IF(NOT(OR($I4882="",$I4882="NR",$O4882&gt;0)),"✖ Current غير صحيح",IF(NOT(IF(ISNUMBER($J4882),AND($J4882&gt;=0,$J4882=INT($J4882)),FALSE())),"✖ العدد يجب أن يكون صحيحًا ≥ 0",IF(AND($F4882="Baseline",$H4882&lt;&gt;""),"⚠ Baseline: Start لا يدخل في التقدم",IF($K4882="No Start (attainment only)","ℹ تحصيل فقط (بدون Start)",IF($K4882="U – needs rule","ℹ حالة U تحتاج قاعدة معتمدة",IF($K4882="No result","ℹ بدون نتيجة (يُستبعد من التحصيل)","OK")))))))))))</f>
        <v/>
      </c>
      <c r="M4882" s="64" t="n">
        <f aca="false">IF($A4882="",0,IFERROR(MATCH($A4882,Classes!$A$6:$A$420,0),0))</f>
        <v>0</v>
      </c>
      <c r="N4882" s="64" t="n">
        <f aca="false">IF($H4882="",0,IFERROR(MATCH($H4882,GradeList,0),0))</f>
        <v>0</v>
      </c>
      <c r="O4882" s="64" t="n">
        <f aca="false">IF(OR($I4882="",$I4882="NR"),0,IFERROR(MATCH($I4882,GradeList,0),0))</f>
        <v>0</v>
      </c>
      <c r="P4882" s="64" t="n">
        <f aca="false">IF(AND($M4882&gt;0,ISNUMBER(MATCH($F4882,Lists!$A$2:$A$5,0)),ISNUMBER(MATCH($G4882,Lists!$B$2:$B$7,0)),OR($H4882="",$N4882&gt;0),OR($I4882="",$I4882="NR",$O4882&gt;0),IF(ISNUMBER($J4882),AND($J4882&gt;=0,$J4882=INT($J4882)),FALSE())),$J4882,0)</f>
        <v>0</v>
      </c>
      <c r="Q4882" s="64" t="n">
        <f aca="false">IF(AND($P4882&gt;0,$O4882&gt;0),$P4882,0)</f>
        <v>0</v>
      </c>
      <c r="R4882" s="64" t="n">
        <f aca="false">IF(AND($Q4882&gt;0,$O4882&gt;=AtRank),$Q4882,0)</f>
        <v>0</v>
      </c>
      <c r="S4882" s="64" t="n">
        <f aca="false">IF(AND($Q4882&gt;0,$O4882&gt;=AboveRank),$Q4882,0)</f>
        <v>0</v>
      </c>
      <c r="T4882" s="64" t="n">
        <f aca="false">IF($K4882="Less",$P4882,0)</f>
        <v>0</v>
      </c>
      <c r="U4882" s="64" t="n">
        <f aca="false">IF($K4882="Expected",$P4882,0)</f>
        <v>0</v>
      </c>
      <c r="V4882" s="64" t="n">
        <f aca="false">IF($K4882="Better",$P4882,0)</f>
        <v>0</v>
      </c>
      <c r="W4882" s="64" t="n">
        <f aca="false">IF($K4882="U – needs rule",$P4882,0)</f>
        <v>0</v>
      </c>
      <c r="X4882" s="64" t="n">
        <f aca="false">IF($K4882="No Start (attainment only)",$P4882,0)</f>
        <v>0</v>
      </c>
    </row>
    <row r="4883" customFormat="false" ht="15" hidden="false" customHeight="false" outlineLevel="0" collapsed="false">
      <c r="A4883" s="60"/>
      <c r="B4883" s="61" t="str">
        <f aca="false">IF($M4883=0,"",INDEX(Classes!$E$6:$E$420,$M4883))</f>
        <v/>
      </c>
      <c r="C4883" s="62" t="str">
        <f aca="false">IF($M4883=0,"",INDEX(Classes!$H$6:$H$420,$M4883))</f>
        <v/>
      </c>
      <c r="D4883" s="61" t="str">
        <f aca="false">IF($M4883=0,"",INDEX(Classes!$B$6:$B$420,$M4883))</f>
        <v/>
      </c>
      <c r="E4883" s="61" t="str">
        <f aca="false">IF($M4883=0,"",INDEX(Classes!$C$6:$C$420,$M4883))</f>
        <v/>
      </c>
      <c r="F4883" s="63"/>
      <c r="G4883" s="63"/>
      <c r="H4883" s="60"/>
      <c r="I4883" s="60"/>
      <c r="J4883" s="63"/>
      <c r="K4883" s="61" t="str">
        <f aca="false">IF($P4883=0,"",IF($F4883="Baseline","— Baseline",IF($O4883=0,"No result",IF($N4883=0,"No Start (attainment only)",IF(OR($N4883=1,$O4883=1),"U – needs rule",INDEX(MxBody,MATCH($I4883,MxCurr,0),MATCH($H4883,MxStart,0)))))))</f>
        <v/>
      </c>
      <c r="L4883" s="62" t="str">
        <f aca="false">IF(COUNTA($A4883,$F4883,$G4883,$H4883,$I4883,$J4883)=0,"",IF($M4883=0,"✖ كود الصف غير موجود",IF(ISNA(MATCH($F4883,Lists!$A$2:$A$5,0)),"✖ الفترة غير صحيحة",IF(ISNA(MATCH($G4883,Lists!$B$2:$B$7,0)),"✖ المجموعة غير صحيحة",IF(NOT(OR($H4883="",$N4883&gt;0)),"✖ Start غير صحيح",IF(NOT(OR($I4883="",$I4883="NR",$O4883&gt;0)),"✖ Current غير صحيح",IF(NOT(IF(ISNUMBER($J4883),AND($J4883&gt;=0,$J4883=INT($J4883)),FALSE())),"✖ العدد يجب أن يكون صحيحًا ≥ 0",IF(AND($F4883="Baseline",$H4883&lt;&gt;""),"⚠ Baseline: Start لا يدخل في التقدم",IF($K4883="No Start (attainment only)","ℹ تحصيل فقط (بدون Start)",IF($K4883="U – needs rule","ℹ حالة U تحتاج قاعدة معتمدة",IF($K4883="No result","ℹ بدون نتيجة (يُستبعد من التحصيل)","OK")))))))))))</f>
        <v/>
      </c>
      <c r="M4883" s="64" t="n">
        <f aca="false">IF($A4883="",0,IFERROR(MATCH($A4883,Classes!$A$6:$A$420,0),0))</f>
        <v>0</v>
      </c>
      <c r="N4883" s="64" t="n">
        <f aca="false">IF($H4883="",0,IFERROR(MATCH($H4883,GradeList,0),0))</f>
        <v>0</v>
      </c>
      <c r="O4883" s="64" t="n">
        <f aca="false">IF(OR($I4883="",$I4883="NR"),0,IFERROR(MATCH($I4883,GradeList,0),0))</f>
        <v>0</v>
      </c>
      <c r="P4883" s="64" t="n">
        <f aca="false">IF(AND($M4883&gt;0,ISNUMBER(MATCH($F4883,Lists!$A$2:$A$5,0)),ISNUMBER(MATCH($G4883,Lists!$B$2:$B$7,0)),OR($H4883="",$N4883&gt;0),OR($I4883="",$I4883="NR",$O4883&gt;0),IF(ISNUMBER($J4883),AND($J4883&gt;=0,$J4883=INT($J4883)),FALSE())),$J4883,0)</f>
        <v>0</v>
      </c>
      <c r="Q4883" s="64" t="n">
        <f aca="false">IF(AND($P4883&gt;0,$O4883&gt;0),$P4883,0)</f>
        <v>0</v>
      </c>
      <c r="R4883" s="64" t="n">
        <f aca="false">IF(AND($Q4883&gt;0,$O4883&gt;=AtRank),$Q4883,0)</f>
        <v>0</v>
      </c>
      <c r="S4883" s="64" t="n">
        <f aca="false">IF(AND($Q4883&gt;0,$O4883&gt;=AboveRank),$Q4883,0)</f>
        <v>0</v>
      </c>
      <c r="T4883" s="64" t="n">
        <f aca="false">IF($K4883="Less",$P4883,0)</f>
        <v>0</v>
      </c>
      <c r="U4883" s="64" t="n">
        <f aca="false">IF($K4883="Expected",$P4883,0)</f>
        <v>0</v>
      </c>
      <c r="V4883" s="64" t="n">
        <f aca="false">IF($K4883="Better",$P4883,0)</f>
        <v>0</v>
      </c>
      <c r="W4883" s="64" t="n">
        <f aca="false">IF($K4883="U – needs rule",$P4883,0)</f>
        <v>0</v>
      </c>
      <c r="X4883" s="64" t="n">
        <f aca="false">IF($K4883="No Start (attainment only)",$P4883,0)</f>
        <v>0</v>
      </c>
    </row>
    <row r="4884" customFormat="false" ht="15" hidden="false" customHeight="false" outlineLevel="0" collapsed="false">
      <c r="A4884" s="60"/>
      <c r="B4884" s="61" t="str">
        <f aca="false">IF($M4884=0,"",INDEX(Classes!$E$6:$E$420,$M4884))</f>
        <v/>
      </c>
      <c r="C4884" s="62" t="str">
        <f aca="false">IF($M4884=0,"",INDEX(Classes!$H$6:$H$420,$M4884))</f>
        <v/>
      </c>
      <c r="D4884" s="61" t="str">
        <f aca="false">IF($M4884=0,"",INDEX(Classes!$B$6:$B$420,$M4884))</f>
        <v/>
      </c>
      <c r="E4884" s="61" t="str">
        <f aca="false">IF($M4884=0,"",INDEX(Classes!$C$6:$C$420,$M4884))</f>
        <v/>
      </c>
      <c r="F4884" s="63"/>
      <c r="G4884" s="63"/>
      <c r="H4884" s="60"/>
      <c r="I4884" s="60"/>
      <c r="J4884" s="63"/>
      <c r="K4884" s="61" t="str">
        <f aca="false">IF($P4884=0,"",IF($F4884="Baseline","— Baseline",IF($O4884=0,"No result",IF($N4884=0,"No Start (attainment only)",IF(OR($N4884=1,$O4884=1),"U – needs rule",INDEX(MxBody,MATCH($I4884,MxCurr,0),MATCH($H4884,MxStart,0)))))))</f>
        <v/>
      </c>
      <c r="L4884" s="62" t="str">
        <f aca="false">IF(COUNTA($A4884,$F4884,$G4884,$H4884,$I4884,$J4884)=0,"",IF($M4884=0,"✖ كود الصف غير موجود",IF(ISNA(MATCH($F4884,Lists!$A$2:$A$5,0)),"✖ الفترة غير صحيحة",IF(ISNA(MATCH($G4884,Lists!$B$2:$B$7,0)),"✖ المجموعة غير صحيحة",IF(NOT(OR($H4884="",$N4884&gt;0)),"✖ Start غير صحيح",IF(NOT(OR($I4884="",$I4884="NR",$O4884&gt;0)),"✖ Current غير صحيح",IF(NOT(IF(ISNUMBER($J4884),AND($J4884&gt;=0,$J4884=INT($J4884)),FALSE())),"✖ العدد يجب أن يكون صحيحًا ≥ 0",IF(AND($F4884="Baseline",$H4884&lt;&gt;""),"⚠ Baseline: Start لا يدخل في التقدم",IF($K4884="No Start (attainment only)","ℹ تحصيل فقط (بدون Start)",IF($K4884="U – needs rule","ℹ حالة U تحتاج قاعدة معتمدة",IF($K4884="No result","ℹ بدون نتيجة (يُستبعد من التحصيل)","OK")))))))))))</f>
        <v/>
      </c>
      <c r="M4884" s="64" t="n">
        <f aca="false">IF($A4884="",0,IFERROR(MATCH($A4884,Classes!$A$6:$A$420,0),0))</f>
        <v>0</v>
      </c>
      <c r="N4884" s="64" t="n">
        <f aca="false">IF($H4884="",0,IFERROR(MATCH($H4884,GradeList,0),0))</f>
        <v>0</v>
      </c>
      <c r="O4884" s="64" t="n">
        <f aca="false">IF(OR($I4884="",$I4884="NR"),0,IFERROR(MATCH($I4884,GradeList,0),0))</f>
        <v>0</v>
      </c>
      <c r="P4884" s="64" t="n">
        <f aca="false">IF(AND($M4884&gt;0,ISNUMBER(MATCH($F4884,Lists!$A$2:$A$5,0)),ISNUMBER(MATCH($G4884,Lists!$B$2:$B$7,0)),OR($H4884="",$N4884&gt;0),OR($I4884="",$I4884="NR",$O4884&gt;0),IF(ISNUMBER($J4884),AND($J4884&gt;=0,$J4884=INT($J4884)),FALSE())),$J4884,0)</f>
        <v>0</v>
      </c>
      <c r="Q4884" s="64" t="n">
        <f aca="false">IF(AND($P4884&gt;0,$O4884&gt;0),$P4884,0)</f>
        <v>0</v>
      </c>
      <c r="R4884" s="64" t="n">
        <f aca="false">IF(AND($Q4884&gt;0,$O4884&gt;=AtRank),$Q4884,0)</f>
        <v>0</v>
      </c>
      <c r="S4884" s="64" t="n">
        <f aca="false">IF(AND($Q4884&gt;0,$O4884&gt;=AboveRank),$Q4884,0)</f>
        <v>0</v>
      </c>
      <c r="T4884" s="64" t="n">
        <f aca="false">IF($K4884="Less",$P4884,0)</f>
        <v>0</v>
      </c>
      <c r="U4884" s="64" t="n">
        <f aca="false">IF($K4884="Expected",$P4884,0)</f>
        <v>0</v>
      </c>
      <c r="V4884" s="64" t="n">
        <f aca="false">IF($K4884="Better",$P4884,0)</f>
        <v>0</v>
      </c>
      <c r="W4884" s="64" t="n">
        <f aca="false">IF($K4884="U – needs rule",$P4884,0)</f>
        <v>0</v>
      </c>
      <c r="X4884" s="64" t="n">
        <f aca="false">IF($K4884="No Start (attainment only)",$P4884,0)</f>
        <v>0</v>
      </c>
    </row>
    <row r="4885" customFormat="false" ht="15" hidden="false" customHeight="false" outlineLevel="0" collapsed="false">
      <c r="A4885" s="60"/>
      <c r="B4885" s="61" t="str">
        <f aca="false">IF($M4885=0,"",INDEX(Classes!$E$6:$E$420,$M4885))</f>
        <v/>
      </c>
      <c r="C4885" s="62" t="str">
        <f aca="false">IF($M4885=0,"",INDEX(Classes!$H$6:$H$420,$M4885))</f>
        <v/>
      </c>
      <c r="D4885" s="61" t="str">
        <f aca="false">IF($M4885=0,"",INDEX(Classes!$B$6:$B$420,$M4885))</f>
        <v/>
      </c>
      <c r="E4885" s="61" t="str">
        <f aca="false">IF($M4885=0,"",INDEX(Classes!$C$6:$C$420,$M4885))</f>
        <v/>
      </c>
      <c r="F4885" s="63"/>
      <c r="G4885" s="63"/>
      <c r="H4885" s="60"/>
      <c r="I4885" s="60"/>
      <c r="J4885" s="63"/>
      <c r="K4885" s="61" t="str">
        <f aca="false">IF($P4885=0,"",IF($F4885="Baseline","— Baseline",IF($O4885=0,"No result",IF($N4885=0,"No Start (attainment only)",IF(OR($N4885=1,$O4885=1),"U – needs rule",INDEX(MxBody,MATCH($I4885,MxCurr,0),MATCH($H4885,MxStart,0)))))))</f>
        <v/>
      </c>
      <c r="L4885" s="62" t="str">
        <f aca="false">IF(COUNTA($A4885,$F4885,$G4885,$H4885,$I4885,$J4885)=0,"",IF($M4885=0,"✖ كود الصف غير موجود",IF(ISNA(MATCH($F4885,Lists!$A$2:$A$5,0)),"✖ الفترة غير صحيحة",IF(ISNA(MATCH($G4885,Lists!$B$2:$B$7,0)),"✖ المجموعة غير صحيحة",IF(NOT(OR($H4885="",$N4885&gt;0)),"✖ Start غير صحيح",IF(NOT(OR($I4885="",$I4885="NR",$O4885&gt;0)),"✖ Current غير صحيح",IF(NOT(IF(ISNUMBER($J4885),AND($J4885&gt;=0,$J4885=INT($J4885)),FALSE())),"✖ العدد يجب أن يكون صحيحًا ≥ 0",IF(AND($F4885="Baseline",$H4885&lt;&gt;""),"⚠ Baseline: Start لا يدخل في التقدم",IF($K4885="No Start (attainment only)","ℹ تحصيل فقط (بدون Start)",IF($K4885="U – needs rule","ℹ حالة U تحتاج قاعدة معتمدة",IF($K4885="No result","ℹ بدون نتيجة (يُستبعد من التحصيل)","OK")))))))))))</f>
        <v/>
      </c>
      <c r="M4885" s="64" t="n">
        <f aca="false">IF($A4885="",0,IFERROR(MATCH($A4885,Classes!$A$6:$A$420,0),0))</f>
        <v>0</v>
      </c>
      <c r="N4885" s="64" t="n">
        <f aca="false">IF($H4885="",0,IFERROR(MATCH($H4885,GradeList,0),0))</f>
        <v>0</v>
      </c>
      <c r="O4885" s="64" t="n">
        <f aca="false">IF(OR($I4885="",$I4885="NR"),0,IFERROR(MATCH($I4885,GradeList,0),0))</f>
        <v>0</v>
      </c>
      <c r="P4885" s="64" t="n">
        <f aca="false">IF(AND($M4885&gt;0,ISNUMBER(MATCH($F4885,Lists!$A$2:$A$5,0)),ISNUMBER(MATCH($G4885,Lists!$B$2:$B$7,0)),OR($H4885="",$N4885&gt;0),OR($I4885="",$I4885="NR",$O4885&gt;0),IF(ISNUMBER($J4885),AND($J4885&gt;=0,$J4885=INT($J4885)),FALSE())),$J4885,0)</f>
        <v>0</v>
      </c>
      <c r="Q4885" s="64" t="n">
        <f aca="false">IF(AND($P4885&gt;0,$O4885&gt;0),$P4885,0)</f>
        <v>0</v>
      </c>
      <c r="R4885" s="64" t="n">
        <f aca="false">IF(AND($Q4885&gt;0,$O4885&gt;=AtRank),$Q4885,0)</f>
        <v>0</v>
      </c>
      <c r="S4885" s="64" t="n">
        <f aca="false">IF(AND($Q4885&gt;0,$O4885&gt;=AboveRank),$Q4885,0)</f>
        <v>0</v>
      </c>
      <c r="T4885" s="64" t="n">
        <f aca="false">IF($K4885="Less",$P4885,0)</f>
        <v>0</v>
      </c>
      <c r="U4885" s="64" t="n">
        <f aca="false">IF($K4885="Expected",$P4885,0)</f>
        <v>0</v>
      </c>
      <c r="V4885" s="64" t="n">
        <f aca="false">IF($K4885="Better",$P4885,0)</f>
        <v>0</v>
      </c>
      <c r="W4885" s="64" t="n">
        <f aca="false">IF($K4885="U – needs rule",$P4885,0)</f>
        <v>0</v>
      </c>
      <c r="X4885" s="64" t="n">
        <f aca="false">IF($K4885="No Start (attainment only)",$P4885,0)</f>
        <v>0</v>
      </c>
    </row>
    <row r="4886" customFormat="false" ht="15" hidden="false" customHeight="false" outlineLevel="0" collapsed="false">
      <c r="A4886" s="60"/>
      <c r="B4886" s="61" t="str">
        <f aca="false">IF($M4886=0,"",INDEX(Classes!$E$6:$E$420,$M4886))</f>
        <v/>
      </c>
      <c r="C4886" s="62" t="str">
        <f aca="false">IF($M4886=0,"",INDEX(Classes!$H$6:$H$420,$M4886))</f>
        <v/>
      </c>
      <c r="D4886" s="61" t="str">
        <f aca="false">IF($M4886=0,"",INDEX(Classes!$B$6:$B$420,$M4886))</f>
        <v/>
      </c>
      <c r="E4886" s="61" t="str">
        <f aca="false">IF($M4886=0,"",INDEX(Classes!$C$6:$C$420,$M4886))</f>
        <v/>
      </c>
      <c r="F4886" s="63"/>
      <c r="G4886" s="63"/>
      <c r="H4886" s="60"/>
      <c r="I4886" s="60"/>
      <c r="J4886" s="63"/>
      <c r="K4886" s="61" t="str">
        <f aca="false">IF($P4886=0,"",IF($F4886="Baseline","— Baseline",IF($O4886=0,"No result",IF($N4886=0,"No Start (attainment only)",IF(OR($N4886=1,$O4886=1),"U – needs rule",INDEX(MxBody,MATCH($I4886,MxCurr,0),MATCH($H4886,MxStart,0)))))))</f>
        <v/>
      </c>
      <c r="L4886" s="62" t="str">
        <f aca="false">IF(COUNTA($A4886,$F4886,$G4886,$H4886,$I4886,$J4886)=0,"",IF($M4886=0,"✖ كود الصف غير موجود",IF(ISNA(MATCH($F4886,Lists!$A$2:$A$5,0)),"✖ الفترة غير صحيحة",IF(ISNA(MATCH($G4886,Lists!$B$2:$B$7,0)),"✖ المجموعة غير صحيحة",IF(NOT(OR($H4886="",$N4886&gt;0)),"✖ Start غير صحيح",IF(NOT(OR($I4886="",$I4886="NR",$O4886&gt;0)),"✖ Current غير صحيح",IF(NOT(IF(ISNUMBER($J4886),AND($J4886&gt;=0,$J4886=INT($J4886)),FALSE())),"✖ العدد يجب أن يكون صحيحًا ≥ 0",IF(AND($F4886="Baseline",$H4886&lt;&gt;""),"⚠ Baseline: Start لا يدخل في التقدم",IF($K4886="No Start (attainment only)","ℹ تحصيل فقط (بدون Start)",IF($K4886="U – needs rule","ℹ حالة U تحتاج قاعدة معتمدة",IF($K4886="No result","ℹ بدون نتيجة (يُستبعد من التحصيل)","OK")))))))))))</f>
        <v/>
      </c>
      <c r="M4886" s="64" t="n">
        <f aca="false">IF($A4886="",0,IFERROR(MATCH($A4886,Classes!$A$6:$A$420,0),0))</f>
        <v>0</v>
      </c>
      <c r="N4886" s="64" t="n">
        <f aca="false">IF($H4886="",0,IFERROR(MATCH($H4886,GradeList,0),0))</f>
        <v>0</v>
      </c>
      <c r="O4886" s="64" t="n">
        <f aca="false">IF(OR($I4886="",$I4886="NR"),0,IFERROR(MATCH($I4886,GradeList,0),0))</f>
        <v>0</v>
      </c>
      <c r="P4886" s="64" t="n">
        <f aca="false">IF(AND($M4886&gt;0,ISNUMBER(MATCH($F4886,Lists!$A$2:$A$5,0)),ISNUMBER(MATCH($G4886,Lists!$B$2:$B$7,0)),OR($H4886="",$N4886&gt;0),OR($I4886="",$I4886="NR",$O4886&gt;0),IF(ISNUMBER($J4886),AND($J4886&gt;=0,$J4886=INT($J4886)),FALSE())),$J4886,0)</f>
        <v>0</v>
      </c>
      <c r="Q4886" s="64" t="n">
        <f aca="false">IF(AND($P4886&gt;0,$O4886&gt;0),$P4886,0)</f>
        <v>0</v>
      </c>
      <c r="R4886" s="64" t="n">
        <f aca="false">IF(AND($Q4886&gt;0,$O4886&gt;=AtRank),$Q4886,0)</f>
        <v>0</v>
      </c>
      <c r="S4886" s="64" t="n">
        <f aca="false">IF(AND($Q4886&gt;0,$O4886&gt;=AboveRank),$Q4886,0)</f>
        <v>0</v>
      </c>
      <c r="T4886" s="64" t="n">
        <f aca="false">IF($K4886="Less",$P4886,0)</f>
        <v>0</v>
      </c>
      <c r="U4886" s="64" t="n">
        <f aca="false">IF($K4886="Expected",$P4886,0)</f>
        <v>0</v>
      </c>
      <c r="V4886" s="64" t="n">
        <f aca="false">IF($K4886="Better",$P4886,0)</f>
        <v>0</v>
      </c>
      <c r="W4886" s="64" t="n">
        <f aca="false">IF($K4886="U – needs rule",$P4886,0)</f>
        <v>0</v>
      </c>
      <c r="X4886" s="64" t="n">
        <f aca="false">IF($K4886="No Start (attainment only)",$P4886,0)</f>
        <v>0</v>
      </c>
    </row>
    <row r="4887" customFormat="false" ht="15" hidden="false" customHeight="false" outlineLevel="0" collapsed="false">
      <c r="A4887" s="60"/>
      <c r="B4887" s="61" t="str">
        <f aca="false">IF($M4887=0,"",INDEX(Classes!$E$6:$E$420,$M4887))</f>
        <v/>
      </c>
      <c r="C4887" s="62" t="str">
        <f aca="false">IF($M4887=0,"",INDEX(Classes!$H$6:$H$420,$M4887))</f>
        <v/>
      </c>
      <c r="D4887" s="61" t="str">
        <f aca="false">IF($M4887=0,"",INDEX(Classes!$B$6:$B$420,$M4887))</f>
        <v/>
      </c>
      <c r="E4887" s="61" t="str">
        <f aca="false">IF($M4887=0,"",INDEX(Classes!$C$6:$C$420,$M4887))</f>
        <v/>
      </c>
      <c r="F4887" s="63"/>
      <c r="G4887" s="63"/>
      <c r="H4887" s="60"/>
      <c r="I4887" s="60"/>
      <c r="J4887" s="63"/>
      <c r="K4887" s="61" t="str">
        <f aca="false">IF($P4887=0,"",IF($F4887="Baseline","— Baseline",IF($O4887=0,"No result",IF($N4887=0,"No Start (attainment only)",IF(OR($N4887=1,$O4887=1),"U – needs rule",INDEX(MxBody,MATCH($I4887,MxCurr,0),MATCH($H4887,MxStart,0)))))))</f>
        <v/>
      </c>
      <c r="L4887" s="62" t="str">
        <f aca="false">IF(COUNTA($A4887,$F4887,$G4887,$H4887,$I4887,$J4887)=0,"",IF($M4887=0,"✖ كود الصف غير موجود",IF(ISNA(MATCH($F4887,Lists!$A$2:$A$5,0)),"✖ الفترة غير صحيحة",IF(ISNA(MATCH($G4887,Lists!$B$2:$B$7,0)),"✖ المجموعة غير صحيحة",IF(NOT(OR($H4887="",$N4887&gt;0)),"✖ Start غير صحيح",IF(NOT(OR($I4887="",$I4887="NR",$O4887&gt;0)),"✖ Current غير صحيح",IF(NOT(IF(ISNUMBER($J4887),AND($J4887&gt;=0,$J4887=INT($J4887)),FALSE())),"✖ العدد يجب أن يكون صحيحًا ≥ 0",IF(AND($F4887="Baseline",$H4887&lt;&gt;""),"⚠ Baseline: Start لا يدخل في التقدم",IF($K4887="No Start (attainment only)","ℹ تحصيل فقط (بدون Start)",IF($K4887="U – needs rule","ℹ حالة U تحتاج قاعدة معتمدة",IF($K4887="No result","ℹ بدون نتيجة (يُستبعد من التحصيل)","OK")))))))))))</f>
        <v/>
      </c>
      <c r="M4887" s="64" t="n">
        <f aca="false">IF($A4887="",0,IFERROR(MATCH($A4887,Classes!$A$6:$A$420,0),0))</f>
        <v>0</v>
      </c>
      <c r="N4887" s="64" t="n">
        <f aca="false">IF($H4887="",0,IFERROR(MATCH($H4887,GradeList,0),0))</f>
        <v>0</v>
      </c>
      <c r="O4887" s="64" t="n">
        <f aca="false">IF(OR($I4887="",$I4887="NR"),0,IFERROR(MATCH($I4887,GradeList,0),0))</f>
        <v>0</v>
      </c>
      <c r="P4887" s="64" t="n">
        <f aca="false">IF(AND($M4887&gt;0,ISNUMBER(MATCH($F4887,Lists!$A$2:$A$5,0)),ISNUMBER(MATCH($G4887,Lists!$B$2:$B$7,0)),OR($H4887="",$N4887&gt;0),OR($I4887="",$I4887="NR",$O4887&gt;0),IF(ISNUMBER($J4887),AND($J4887&gt;=0,$J4887=INT($J4887)),FALSE())),$J4887,0)</f>
        <v>0</v>
      </c>
      <c r="Q4887" s="64" t="n">
        <f aca="false">IF(AND($P4887&gt;0,$O4887&gt;0),$P4887,0)</f>
        <v>0</v>
      </c>
      <c r="R4887" s="64" t="n">
        <f aca="false">IF(AND($Q4887&gt;0,$O4887&gt;=AtRank),$Q4887,0)</f>
        <v>0</v>
      </c>
      <c r="S4887" s="64" t="n">
        <f aca="false">IF(AND($Q4887&gt;0,$O4887&gt;=AboveRank),$Q4887,0)</f>
        <v>0</v>
      </c>
      <c r="T4887" s="64" t="n">
        <f aca="false">IF($K4887="Less",$P4887,0)</f>
        <v>0</v>
      </c>
      <c r="U4887" s="64" t="n">
        <f aca="false">IF($K4887="Expected",$P4887,0)</f>
        <v>0</v>
      </c>
      <c r="V4887" s="64" t="n">
        <f aca="false">IF($K4887="Better",$P4887,0)</f>
        <v>0</v>
      </c>
      <c r="W4887" s="64" t="n">
        <f aca="false">IF($K4887="U – needs rule",$P4887,0)</f>
        <v>0</v>
      </c>
      <c r="X4887" s="64" t="n">
        <f aca="false">IF($K4887="No Start (attainment only)",$P4887,0)</f>
        <v>0</v>
      </c>
    </row>
    <row r="4888" customFormat="false" ht="15" hidden="false" customHeight="false" outlineLevel="0" collapsed="false">
      <c r="A4888" s="60"/>
      <c r="B4888" s="61" t="str">
        <f aca="false">IF($M4888=0,"",INDEX(Classes!$E$6:$E$420,$M4888))</f>
        <v/>
      </c>
      <c r="C4888" s="62" t="str">
        <f aca="false">IF($M4888=0,"",INDEX(Classes!$H$6:$H$420,$M4888))</f>
        <v/>
      </c>
      <c r="D4888" s="61" t="str">
        <f aca="false">IF($M4888=0,"",INDEX(Classes!$B$6:$B$420,$M4888))</f>
        <v/>
      </c>
      <c r="E4888" s="61" t="str">
        <f aca="false">IF($M4888=0,"",INDEX(Classes!$C$6:$C$420,$M4888))</f>
        <v/>
      </c>
      <c r="F4888" s="63"/>
      <c r="G4888" s="63"/>
      <c r="H4888" s="60"/>
      <c r="I4888" s="60"/>
      <c r="J4888" s="63"/>
      <c r="K4888" s="61" t="str">
        <f aca="false">IF($P4888=0,"",IF($F4888="Baseline","— Baseline",IF($O4888=0,"No result",IF($N4888=0,"No Start (attainment only)",IF(OR($N4888=1,$O4888=1),"U – needs rule",INDEX(MxBody,MATCH($I4888,MxCurr,0),MATCH($H4888,MxStart,0)))))))</f>
        <v/>
      </c>
      <c r="L4888" s="62" t="str">
        <f aca="false">IF(COUNTA($A4888,$F4888,$G4888,$H4888,$I4888,$J4888)=0,"",IF($M4888=0,"✖ كود الصف غير موجود",IF(ISNA(MATCH($F4888,Lists!$A$2:$A$5,0)),"✖ الفترة غير صحيحة",IF(ISNA(MATCH($G4888,Lists!$B$2:$B$7,0)),"✖ المجموعة غير صحيحة",IF(NOT(OR($H4888="",$N4888&gt;0)),"✖ Start غير صحيح",IF(NOT(OR($I4888="",$I4888="NR",$O4888&gt;0)),"✖ Current غير صحيح",IF(NOT(IF(ISNUMBER($J4888),AND($J4888&gt;=0,$J4888=INT($J4888)),FALSE())),"✖ العدد يجب أن يكون صحيحًا ≥ 0",IF(AND($F4888="Baseline",$H4888&lt;&gt;""),"⚠ Baseline: Start لا يدخل في التقدم",IF($K4888="No Start (attainment only)","ℹ تحصيل فقط (بدون Start)",IF($K4888="U – needs rule","ℹ حالة U تحتاج قاعدة معتمدة",IF($K4888="No result","ℹ بدون نتيجة (يُستبعد من التحصيل)","OK")))))))))))</f>
        <v/>
      </c>
      <c r="M4888" s="64" t="n">
        <f aca="false">IF($A4888="",0,IFERROR(MATCH($A4888,Classes!$A$6:$A$420,0),0))</f>
        <v>0</v>
      </c>
      <c r="N4888" s="64" t="n">
        <f aca="false">IF($H4888="",0,IFERROR(MATCH($H4888,GradeList,0),0))</f>
        <v>0</v>
      </c>
      <c r="O4888" s="64" t="n">
        <f aca="false">IF(OR($I4888="",$I4888="NR"),0,IFERROR(MATCH($I4888,GradeList,0),0))</f>
        <v>0</v>
      </c>
      <c r="P4888" s="64" t="n">
        <f aca="false">IF(AND($M4888&gt;0,ISNUMBER(MATCH($F4888,Lists!$A$2:$A$5,0)),ISNUMBER(MATCH($G4888,Lists!$B$2:$B$7,0)),OR($H4888="",$N4888&gt;0),OR($I4888="",$I4888="NR",$O4888&gt;0),IF(ISNUMBER($J4888),AND($J4888&gt;=0,$J4888=INT($J4888)),FALSE())),$J4888,0)</f>
        <v>0</v>
      </c>
      <c r="Q4888" s="64" t="n">
        <f aca="false">IF(AND($P4888&gt;0,$O4888&gt;0),$P4888,0)</f>
        <v>0</v>
      </c>
      <c r="R4888" s="64" t="n">
        <f aca="false">IF(AND($Q4888&gt;0,$O4888&gt;=AtRank),$Q4888,0)</f>
        <v>0</v>
      </c>
      <c r="S4888" s="64" t="n">
        <f aca="false">IF(AND($Q4888&gt;0,$O4888&gt;=AboveRank),$Q4888,0)</f>
        <v>0</v>
      </c>
      <c r="T4888" s="64" t="n">
        <f aca="false">IF($K4888="Less",$P4888,0)</f>
        <v>0</v>
      </c>
      <c r="U4888" s="64" t="n">
        <f aca="false">IF($K4888="Expected",$P4888,0)</f>
        <v>0</v>
      </c>
      <c r="V4888" s="64" t="n">
        <f aca="false">IF($K4888="Better",$P4888,0)</f>
        <v>0</v>
      </c>
      <c r="W4888" s="64" t="n">
        <f aca="false">IF($K4888="U – needs rule",$P4888,0)</f>
        <v>0</v>
      </c>
      <c r="X4888" s="64" t="n">
        <f aca="false">IF($K4888="No Start (attainment only)",$P4888,0)</f>
        <v>0</v>
      </c>
    </row>
    <row r="4889" customFormat="false" ht="15" hidden="false" customHeight="false" outlineLevel="0" collapsed="false">
      <c r="A4889" s="60"/>
      <c r="B4889" s="61" t="str">
        <f aca="false">IF($M4889=0,"",INDEX(Classes!$E$6:$E$420,$M4889))</f>
        <v/>
      </c>
      <c r="C4889" s="62" t="str">
        <f aca="false">IF($M4889=0,"",INDEX(Classes!$H$6:$H$420,$M4889))</f>
        <v/>
      </c>
      <c r="D4889" s="61" t="str">
        <f aca="false">IF($M4889=0,"",INDEX(Classes!$B$6:$B$420,$M4889))</f>
        <v/>
      </c>
      <c r="E4889" s="61" t="str">
        <f aca="false">IF($M4889=0,"",INDEX(Classes!$C$6:$C$420,$M4889))</f>
        <v/>
      </c>
      <c r="F4889" s="63"/>
      <c r="G4889" s="63"/>
      <c r="H4889" s="60"/>
      <c r="I4889" s="60"/>
      <c r="J4889" s="63"/>
      <c r="K4889" s="61" t="str">
        <f aca="false">IF($P4889=0,"",IF($F4889="Baseline","— Baseline",IF($O4889=0,"No result",IF($N4889=0,"No Start (attainment only)",IF(OR($N4889=1,$O4889=1),"U – needs rule",INDEX(MxBody,MATCH($I4889,MxCurr,0),MATCH($H4889,MxStart,0)))))))</f>
        <v/>
      </c>
      <c r="L4889" s="62" t="str">
        <f aca="false">IF(COUNTA($A4889,$F4889,$G4889,$H4889,$I4889,$J4889)=0,"",IF($M4889=0,"✖ كود الصف غير موجود",IF(ISNA(MATCH($F4889,Lists!$A$2:$A$5,0)),"✖ الفترة غير صحيحة",IF(ISNA(MATCH($G4889,Lists!$B$2:$B$7,0)),"✖ المجموعة غير صحيحة",IF(NOT(OR($H4889="",$N4889&gt;0)),"✖ Start غير صحيح",IF(NOT(OR($I4889="",$I4889="NR",$O4889&gt;0)),"✖ Current غير صحيح",IF(NOT(IF(ISNUMBER($J4889),AND($J4889&gt;=0,$J4889=INT($J4889)),FALSE())),"✖ العدد يجب أن يكون صحيحًا ≥ 0",IF(AND($F4889="Baseline",$H4889&lt;&gt;""),"⚠ Baseline: Start لا يدخل في التقدم",IF($K4889="No Start (attainment only)","ℹ تحصيل فقط (بدون Start)",IF($K4889="U – needs rule","ℹ حالة U تحتاج قاعدة معتمدة",IF($K4889="No result","ℹ بدون نتيجة (يُستبعد من التحصيل)","OK")))))))))))</f>
        <v/>
      </c>
      <c r="M4889" s="64" t="n">
        <f aca="false">IF($A4889="",0,IFERROR(MATCH($A4889,Classes!$A$6:$A$420,0),0))</f>
        <v>0</v>
      </c>
      <c r="N4889" s="64" t="n">
        <f aca="false">IF($H4889="",0,IFERROR(MATCH($H4889,GradeList,0),0))</f>
        <v>0</v>
      </c>
      <c r="O4889" s="64" t="n">
        <f aca="false">IF(OR($I4889="",$I4889="NR"),0,IFERROR(MATCH($I4889,GradeList,0),0))</f>
        <v>0</v>
      </c>
      <c r="P4889" s="64" t="n">
        <f aca="false">IF(AND($M4889&gt;0,ISNUMBER(MATCH($F4889,Lists!$A$2:$A$5,0)),ISNUMBER(MATCH($G4889,Lists!$B$2:$B$7,0)),OR($H4889="",$N4889&gt;0),OR($I4889="",$I4889="NR",$O4889&gt;0),IF(ISNUMBER($J4889),AND($J4889&gt;=0,$J4889=INT($J4889)),FALSE())),$J4889,0)</f>
        <v>0</v>
      </c>
      <c r="Q4889" s="64" t="n">
        <f aca="false">IF(AND($P4889&gt;0,$O4889&gt;0),$P4889,0)</f>
        <v>0</v>
      </c>
      <c r="R4889" s="64" t="n">
        <f aca="false">IF(AND($Q4889&gt;0,$O4889&gt;=AtRank),$Q4889,0)</f>
        <v>0</v>
      </c>
      <c r="S4889" s="64" t="n">
        <f aca="false">IF(AND($Q4889&gt;0,$O4889&gt;=AboveRank),$Q4889,0)</f>
        <v>0</v>
      </c>
      <c r="T4889" s="64" t="n">
        <f aca="false">IF($K4889="Less",$P4889,0)</f>
        <v>0</v>
      </c>
      <c r="U4889" s="64" t="n">
        <f aca="false">IF($K4889="Expected",$P4889,0)</f>
        <v>0</v>
      </c>
      <c r="V4889" s="64" t="n">
        <f aca="false">IF($K4889="Better",$P4889,0)</f>
        <v>0</v>
      </c>
      <c r="W4889" s="64" t="n">
        <f aca="false">IF($K4889="U – needs rule",$P4889,0)</f>
        <v>0</v>
      </c>
      <c r="X4889" s="64" t="n">
        <f aca="false">IF($K4889="No Start (attainment only)",$P4889,0)</f>
        <v>0</v>
      </c>
    </row>
    <row r="4890" customFormat="false" ht="15" hidden="false" customHeight="false" outlineLevel="0" collapsed="false">
      <c r="A4890" s="60"/>
      <c r="B4890" s="61" t="str">
        <f aca="false">IF($M4890=0,"",INDEX(Classes!$E$6:$E$420,$M4890))</f>
        <v/>
      </c>
      <c r="C4890" s="62" t="str">
        <f aca="false">IF($M4890=0,"",INDEX(Classes!$H$6:$H$420,$M4890))</f>
        <v/>
      </c>
      <c r="D4890" s="61" t="str">
        <f aca="false">IF($M4890=0,"",INDEX(Classes!$B$6:$B$420,$M4890))</f>
        <v/>
      </c>
      <c r="E4890" s="61" t="str">
        <f aca="false">IF($M4890=0,"",INDEX(Classes!$C$6:$C$420,$M4890))</f>
        <v/>
      </c>
      <c r="F4890" s="63"/>
      <c r="G4890" s="63"/>
      <c r="H4890" s="60"/>
      <c r="I4890" s="60"/>
      <c r="J4890" s="63"/>
      <c r="K4890" s="61" t="str">
        <f aca="false">IF($P4890=0,"",IF($F4890="Baseline","— Baseline",IF($O4890=0,"No result",IF($N4890=0,"No Start (attainment only)",IF(OR($N4890=1,$O4890=1),"U – needs rule",INDEX(MxBody,MATCH($I4890,MxCurr,0),MATCH($H4890,MxStart,0)))))))</f>
        <v/>
      </c>
      <c r="L4890" s="62" t="str">
        <f aca="false">IF(COUNTA($A4890,$F4890,$G4890,$H4890,$I4890,$J4890)=0,"",IF($M4890=0,"✖ كود الصف غير موجود",IF(ISNA(MATCH($F4890,Lists!$A$2:$A$5,0)),"✖ الفترة غير صحيحة",IF(ISNA(MATCH($G4890,Lists!$B$2:$B$7,0)),"✖ المجموعة غير صحيحة",IF(NOT(OR($H4890="",$N4890&gt;0)),"✖ Start غير صحيح",IF(NOT(OR($I4890="",$I4890="NR",$O4890&gt;0)),"✖ Current غير صحيح",IF(NOT(IF(ISNUMBER($J4890),AND($J4890&gt;=0,$J4890=INT($J4890)),FALSE())),"✖ العدد يجب أن يكون صحيحًا ≥ 0",IF(AND($F4890="Baseline",$H4890&lt;&gt;""),"⚠ Baseline: Start لا يدخل في التقدم",IF($K4890="No Start (attainment only)","ℹ تحصيل فقط (بدون Start)",IF($K4890="U – needs rule","ℹ حالة U تحتاج قاعدة معتمدة",IF($K4890="No result","ℹ بدون نتيجة (يُستبعد من التحصيل)","OK")))))))))))</f>
        <v/>
      </c>
      <c r="M4890" s="64" t="n">
        <f aca="false">IF($A4890="",0,IFERROR(MATCH($A4890,Classes!$A$6:$A$420,0),0))</f>
        <v>0</v>
      </c>
      <c r="N4890" s="64" t="n">
        <f aca="false">IF($H4890="",0,IFERROR(MATCH($H4890,GradeList,0),0))</f>
        <v>0</v>
      </c>
      <c r="O4890" s="64" t="n">
        <f aca="false">IF(OR($I4890="",$I4890="NR"),0,IFERROR(MATCH($I4890,GradeList,0),0))</f>
        <v>0</v>
      </c>
      <c r="P4890" s="64" t="n">
        <f aca="false">IF(AND($M4890&gt;0,ISNUMBER(MATCH($F4890,Lists!$A$2:$A$5,0)),ISNUMBER(MATCH($G4890,Lists!$B$2:$B$7,0)),OR($H4890="",$N4890&gt;0),OR($I4890="",$I4890="NR",$O4890&gt;0),IF(ISNUMBER($J4890),AND($J4890&gt;=0,$J4890=INT($J4890)),FALSE())),$J4890,0)</f>
        <v>0</v>
      </c>
      <c r="Q4890" s="64" t="n">
        <f aca="false">IF(AND($P4890&gt;0,$O4890&gt;0),$P4890,0)</f>
        <v>0</v>
      </c>
      <c r="R4890" s="64" t="n">
        <f aca="false">IF(AND($Q4890&gt;0,$O4890&gt;=AtRank),$Q4890,0)</f>
        <v>0</v>
      </c>
      <c r="S4890" s="64" t="n">
        <f aca="false">IF(AND($Q4890&gt;0,$O4890&gt;=AboveRank),$Q4890,0)</f>
        <v>0</v>
      </c>
      <c r="T4890" s="64" t="n">
        <f aca="false">IF($K4890="Less",$P4890,0)</f>
        <v>0</v>
      </c>
      <c r="U4890" s="64" t="n">
        <f aca="false">IF($K4890="Expected",$P4890,0)</f>
        <v>0</v>
      </c>
      <c r="V4890" s="64" t="n">
        <f aca="false">IF($K4890="Better",$P4890,0)</f>
        <v>0</v>
      </c>
      <c r="W4890" s="64" t="n">
        <f aca="false">IF($K4890="U – needs rule",$P4890,0)</f>
        <v>0</v>
      </c>
      <c r="X4890" s="64" t="n">
        <f aca="false">IF($K4890="No Start (attainment only)",$P4890,0)</f>
        <v>0</v>
      </c>
    </row>
    <row r="4891" customFormat="false" ht="15" hidden="false" customHeight="false" outlineLevel="0" collapsed="false">
      <c r="A4891" s="60"/>
      <c r="B4891" s="61" t="str">
        <f aca="false">IF($M4891=0,"",INDEX(Classes!$E$6:$E$420,$M4891))</f>
        <v/>
      </c>
      <c r="C4891" s="62" t="str">
        <f aca="false">IF($M4891=0,"",INDEX(Classes!$H$6:$H$420,$M4891))</f>
        <v/>
      </c>
      <c r="D4891" s="61" t="str">
        <f aca="false">IF($M4891=0,"",INDEX(Classes!$B$6:$B$420,$M4891))</f>
        <v/>
      </c>
      <c r="E4891" s="61" t="str">
        <f aca="false">IF($M4891=0,"",INDEX(Classes!$C$6:$C$420,$M4891))</f>
        <v/>
      </c>
      <c r="F4891" s="63"/>
      <c r="G4891" s="63"/>
      <c r="H4891" s="60"/>
      <c r="I4891" s="60"/>
      <c r="J4891" s="63"/>
      <c r="K4891" s="61" t="str">
        <f aca="false">IF($P4891=0,"",IF($F4891="Baseline","— Baseline",IF($O4891=0,"No result",IF($N4891=0,"No Start (attainment only)",IF(OR($N4891=1,$O4891=1),"U – needs rule",INDEX(MxBody,MATCH($I4891,MxCurr,0),MATCH($H4891,MxStart,0)))))))</f>
        <v/>
      </c>
      <c r="L4891" s="62" t="str">
        <f aca="false">IF(COUNTA($A4891,$F4891,$G4891,$H4891,$I4891,$J4891)=0,"",IF($M4891=0,"✖ كود الصف غير موجود",IF(ISNA(MATCH($F4891,Lists!$A$2:$A$5,0)),"✖ الفترة غير صحيحة",IF(ISNA(MATCH($G4891,Lists!$B$2:$B$7,0)),"✖ المجموعة غير صحيحة",IF(NOT(OR($H4891="",$N4891&gt;0)),"✖ Start غير صحيح",IF(NOT(OR($I4891="",$I4891="NR",$O4891&gt;0)),"✖ Current غير صحيح",IF(NOT(IF(ISNUMBER($J4891),AND($J4891&gt;=0,$J4891=INT($J4891)),FALSE())),"✖ العدد يجب أن يكون صحيحًا ≥ 0",IF(AND($F4891="Baseline",$H4891&lt;&gt;""),"⚠ Baseline: Start لا يدخل في التقدم",IF($K4891="No Start (attainment only)","ℹ تحصيل فقط (بدون Start)",IF($K4891="U – needs rule","ℹ حالة U تحتاج قاعدة معتمدة",IF($K4891="No result","ℹ بدون نتيجة (يُستبعد من التحصيل)","OK")))))))))))</f>
        <v/>
      </c>
      <c r="M4891" s="64" t="n">
        <f aca="false">IF($A4891="",0,IFERROR(MATCH($A4891,Classes!$A$6:$A$420,0),0))</f>
        <v>0</v>
      </c>
      <c r="N4891" s="64" t="n">
        <f aca="false">IF($H4891="",0,IFERROR(MATCH($H4891,GradeList,0),0))</f>
        <v>0</v>
      </c>
      <c r="O4891" s="64" t="n">
        <f aca="false">IF(OR($I4891="",$I4891="NR"),0,IFERROR(MATCH($I4891,GradeList,0),0))</f>
        <v>0</v>
      </c>
      <c r="P4891" s="64" t="n">
        <f aca="false">IF(AND($M4891&gt;0,ISNUMBER(MATCH($F4891,Lists!$A$2:$A$5,0)),ISNUMBER(MATCH($G4891,Lists!$B$2:$B$7,0)),OR($H4891="",$N4891&gt;0),OR($I4891="",$I4891="NR",$O4891&gt;0),IF(ISNUMBER($J4891),AND($J4891&gt;=0,$J4891=INT($J4891)),FALSE())),$J4891,0)</f>
        <v>0</v>
      </c>
      <c r="Q4891" s="64" t="n">
        <f aca="false">IF(AND($P4891&gt;0,$O4891&gt;0),$P4891,0)</f>
        <v>0</v>
      </c>
      <c r="R4891" s="64" t="n">
        <f aca="false">IF(AND($Q4891&gt;0,$O4891&gt;=AtRank),$Q4891,0)</f>
        <v>0</v>
      </c>
      <c r="S4891" s="64" t="n">
        <f aca="false">IF(AND($Q4891&gt;0,$O4891&gt;=AboveRank),$Q4891,0)</f>
        <v>0</v>
      </c>
      <c r="T4891" s="64" t="n">
        <f aca="false">IF($K4891="Less",$P4891,0)</f>
        <v>0</v>
      </c>
      <c r="U4891" s="64" t="n">
        <f aca="false">IF($K4891="Expected",$P4891,0)</f>
        <v>0</v>
      </c>
      <c r="V4891" s="64" t="n">
        <f aca="false">IF($K4891="Better",$P4891,0)</f>
        <v>0</v>
      </c>
      <c r="W4891" s="64" t="n">
        <f aca="false">IF($K4891="U – needs rule",$P4891,0)</f>
        <v>0</v>
      </c>
      <c r="X4891" s="64" t="n">
        <f aca="false">IF($K4891="No Start (attainment only)",$P4891,0)</f>
        <v>0</v>
      </c>
    </row>
    <row r="4892" customFormat="false" ht="15" hidden="false" customHeight="false" outlineLevel="0" collapsed="false">
      <c r="A4892" s="60"/>
      <c r="B4892" s="61" t="str">
        <f aca="false">IF($M4892=0,"",INDEX(Classes!$E$6:$E$420,$M4892))</f>
        <v/>
      </c>
      <c r="C4892" s="62" t="str">
        <f aca="false">IF($M4892=0,"",INDEX(Classes!$H$6:$H$420,$M4892))</f>
        <v/>
      </c>
      <c r="D4892" s="61" t="str">
        <f aca="false">IF($M4892=0,"",INDEX(Classes!$B$6:$B$420,$M4892))</f>
        <v/>
      </c>
      <c r="E4892" s="61" t="str">
        <f aca="false">IF($M4892=0,"",INDEX(Classes!$C$6:$C$420,$M4892))</f>
        <v/>
      </c>
      <c r="F4892" s="63"/>
      <c r="G4892" s="63"/>
      <c r="H4892" s="60"/>
      <c r="I4892" s="60"/>
      <c r="J4892" s="63"/>
      <c r="K4892" s="61" t="str">
        <f aca="false">IF($P4892=0,"",IF($F4892="Baseline","— Baseline",IF($O4892=0,"No result",IF($N4892=0,"No Start (attainment only)",IF(OR($N4892=1,$O4892=1),"U – needs rule",INDEX(MxBody,MATCH($I4892,MxCurr,0),MATCH($H4892,MxStart,0)))))))</f>
        <v/>
      </c>
      <c r="L4892" s="62" t="str">
        <f aca="false">IF(COUNTA($A4892,$F4892,$G4892,$H4892,$I4892,$J4892)=0,"",IF($M4892=0,"✖ كود الصف غير موجود",IF(ISNA(MATCH($F4892,Lists!$A$2:$A$5,0)),"✖ الفترة غير صحيحة",IF(ISNA(MATCH($G4892,Lists!$B$2:$B$7,0)),"✖ المجموعة غير صحيحة",IF(NOT(OR($H4892="",$N4892&gt;0)),"✖ Start غير صحيح",IF(NOT(OR($I4892="",$I4892="NR",$O4892&gt;0)),"✖ Current غير صحيح",IF(NOT(IF(ISNUMBER($J4892),AND($J4892&gt;=0,$J4892=INT($J4892)),FALSE())),"✖ العدد يجب أن يكون صحيحًا ≥ 0",IF(AND($F4892="Baseline",$H4892&lt;&gt;""),"⚠ Baseline: Start لا يدخل في التقدم",IF($K4892="No Start (attainment only)","ℹ تحصيل فقط (بدون Start)",IF($K4892="U – needs rule","ℹ حالة U تحتاج قاعدة معتمدة",IF($K4892="No result","ℹ بدون نتيجة (يُستبعد من التحصيل)","OK")))))))))))</f>
        <v/>
      </c>
      <c r="M4892" s="64" t="n">
        <f aca="false">IF($A4892="",0,IFERROR(MATCH($A4892,Classes!$A$6:$A$420,0),0))</f>
        <v>0</v>
      </c>
      <c r="N4892" s="64" t="n">
        <f aca="false">IF($H4892="",0,IFERROR(MATCH($H4892,GradeList,0),0))</f>
        <v>0</v>
      </c>
      <c r="O4892" s="64" t="n">
        <f aca="false">IF(OR($I4892="",$I4892="NR"),0,IFERROR(MATCH($I4892,GradeList,0),0))</f>
        <v>0</v>
      </c>
      <c r="P4892" s="64" t="n">
        <f aca="false">IF(AND($M4892&gt;0,ISNUMBER(MATCH($F4892,Lists!$A$2:$A$5,0)),ISNUMBER(MATCH($G4892,Lists!$B$2:$B$7,0)),OR($H4892="",$N4892&gt;0),OR($I4892="",$I4892="NR",$O4892&gt;0),IF(ISNUMBER($J4892),AND($J4892&gt;=0,$J4892=INT($J4892)),FALSE())),$J4892,0)</f>
        <v>0</v>
      </c>
      <c r="Q4892" s="64" t="n">
        <f aca="false">IF(AND($P4892&gt;0,$O4892&gt;0),$P4892,0)</f>
        <v>0</v>
      </c>
      <c r="R4892" s="64" t="n">
        <f aca="false">IF(AND($Q4892&gt;0,$O4892&gt;=AtRank),$Q4892,0)</f>
        <v>0</v>
      </c>
      <c r="S4892" s="64" t="n">
        <f aca="false">IF(AND($Q4892&gt;0,$O4892&gt;=AboveRank),$Q4892,0)</f>
        <v>0</v>
      </c>
      <c r="T4892" s="64" t="n">
        <f aca="false">IF($K4892="Less",$P4892,0)</f>
        <v>0</v>
      </c>
      <c r="U4892" s="64" t="n">
        <f aca="false">IF($K4892="Expected",$P4892,0)</f>
        <v>0</v>
      </c>
      <c r="V4892" s="64" t="n">
        <f aca="false">IF($K4892="Better",$P4892,0)</f>
        <v>0</v>
      </c>
      <c r="W4892" s="64" t="n">
        <f aca="false">IF($K4892="U – needs rule",$P4892,0)</f>
        <v>0</v>
      </c>
      <c r="X4892" s="64" t="n">
        <f aca="false">IF($K4892="No Start (attainment only)",$P4892,0)</f>
        <v>0</v>
      </c>
    </row>
    <row r="4893" customFormat="false" ht="15" hidden="false" customHeight="false" outlineLevel="0" collapsed="false">
      <c r="A4893" s="60"/>
      <c r="B4893" s="61" t="str">
        <f aca="false">IF($M4893=0,"",INDEX(Classes!$E$6:$E$420,$M4893))</f>
        <v/>
      </c>
      <c r="C4893" s="62" t="str">
        <f aca="false">IF($M4893=0,"",INDEX(Classes!$H$6:$H$420,$M4893))</f>
        <v/>
      </c>
      <c r="D4893" s="61" t="str">
        <f aca="false">IF($M4893=0,"",INDEX(Classes!$B$6:$B$420,$M4893))</f>
        <v/>
      </c>
      <c r="E4893" s="61" t="str">
        <f aca="false">IF($M4893=0,"",INDEX(Classes!$C$6:$C$420,$M4893))</f>
        <v/>
      </c>
      <c r="F4893" s="63"/>
      <c r="G4893" s="63"/>
      <c r="H4893" s="60"/>
      <c r="I4893" s="60"/>
      <c r="J4893" s="63"/>
      <c r="K4893" s="61" t="str">
        <f aca="false">IF($P4893=0,"",IF($F4893="Baseline","— Baseline",IF($O4893=0,"No result",IF($N4893=0,"No Start (attainment only)",IF(OR($N4893=1,$O4893=1),"U – needs rule",INDEX(MxBody,MATCH($I4893,MxCurr,0),MATCH($H4893,MxStart,0)))))))</f>
        <v/>
      </c>
      <c r="L4893" s="62" t="str">
        <f aca="false">IF(COUNTA($A4893,$F4893,$G4893,$H4893,$I4893,$J4893)=0,"",IF($M4893=0,"✖ كود الصف غير موجود",IF(ISNA(MATCH($F4893,Lists!$A$2:$A$5,0)),"✖ الفترة غير صحيحة",IF(ISNA(MATCH($G4893,Lists!$B$2:$B$7,0)),"✖ المجموعة غير صحيحة",IF(NOT(OR($H4893="",$N4893&gt;0)),"✖ Start غير صحيح",IF(NOT(OR($I4893="",$I4893="NR",$O4893&gt;0)),"✖ Current غير صحيح",IF(NOT(IF(ISNUMBER($J4893),AND($J4893&gt;=0,$J4893=INT($J4893)),FALSE())),"✖ العدد يجب أن يكون صحيحًا ≥ 0",IF(AND($F4893="Baseline",$H4893&lt;&gt;""),"⚠ Baseline: Start لا يدخل في التقدم",IF($K4893="No Start (attainment only)","ℹ تحصيل فقط (بدون Start)",IF($K4893="U – needs rule","ℹ حالة U تحتاج قاعدة معتمدة",IF($K4893="No result","ℹ بدون نتيجة (يُستبعد من التحصيل)","OK")))))))))))</f>
        <v/>
      </c>
      <c r="M4893" s="64" t="n">
        <f aca="false">IF($A4893="",0,IFERROR(MATCH($A4893,Classes!$A$6:$A$420,0),0))</f>
        <v>0</v>
      </c>
      <c r="N4893" s="64" t="n">
        <f aca="false">IF($H4893="",0,IFERROR(MATCH($H4893,GradeList,0),0))</f>
        <v>0</v>
      </c>
      <c r="O4893" s="64" t="n">
        <f aca="false">IF(OR($I4893="",$I4893="NR"),0,IFERROR(MATCH($I4893,GradeList,0),0))</f>
        <v>0</v>
      </c>
      <c r="P4893" s="64" t="n">
        <f aca="false">IF(AND($M4893&gt;0,ISNUMBER(MATCH($F4893,Lists!$A$2:$A$5,0)),ISNUMBER(MATCH($G4893,Lists!$B$2:$B$7,0)),OR($H4893="",$N4893&gt;0),OR($I4893="",$I4893="NR",$O4893&gt;0),IF(ISNUMBER($J4893),AND($J4893&gt;=0,$J4893=INT($J4893)),FALSE())),$J4893,0)</f>
        <v>0</v>
      </c>
      <c r="Q4893" s="64" t="n">
        <f aca="false">IF(AND($P4893&gt;0,$O4893&gt;0),$P4893,0)</f>
        <v>0</v>
      </c>
      <c r="R4893" s="64" t="n">
        <f aca="false">IF(AND($Q4893&gt;0,$O4893&gt;=AtRank),$Q4893,0)</f>
        <v>0</v>
      </c>
      <c r="S4893" s="64" t="n">
        <f aca="false">IF(AND($Q4893&gt;0,$O4893&gt;=AboveRank),$Q4893,0)</f>
        <v>0</v>
      </c>
      <c r="T4893" s="64" t="n">
        <f aca="false">IF($K4893="Less",$P4893,0)</f>
        <v>0</v>
      </c>
      <c r="U4893" s="64" t="n">
        <f aca="false">IF($K4893="Expected",$P4893,0)</f>
        <v>0</v>
      </c>
      <c r="V4893" s="64" t="n">
        <f aca="false">IF($K4893="Better",$P4893,0)</f>
        <v>0</v>
      </c>
      <c r="W4893" s="64" t="n">
        <f aca="false">IF($K4893="U – needs rule",$P4893,0)</f>
        <v>0</v>
      </c>
      <c r="X4893" s="64" t="n">
        <f aca="false">IF($K4893="No Start (attainment only)",$P4893,0)</f>
        <v>0</v>
      </c>
    </row>
    <row r="4894" customFormat="false" ht="15" hidden="false" customHeight="false" outlineLevel="0" collapsed="false">
      <c r="A4894" s="60"/>
      <c r="B4894" s="61" t="str">
        <f aca="false">IF($M4894=0,"",INDEX(Classes!$E$6:$E$420,$M4894))</f>
        <v/>
      </c>
      <c r="C4894" s="62" t="str">
        <f aca="false">IF($M4894=0,"",INDEX(Classes!$H$6:$H$420,$M4894))</f>
        <v/>
      </c>
      <c r="D4894" s="61" t="str">
        <f aca="false">IF($M4894=0,"",INDEX(Classes!$B$6:$B$420,$M4894))</f>
        <v/>
      </c>
      <c r="E4894" s="61" t="str">
        <f aca="false">IF($M4894=0,"",INDEX(Classes!$C$6:$C$420,$M4894))</f>
        <v/>
      </c>
      <c r="F4894" s="63"/>
      <c r="G4894" s="63"/>
      <c r="H4894" s="60"/>
      <c r="I4894" s="60"/>
      <c r="J4894" s="63"/>
      <c r="K4894" s="61" t="str">
        <f aca="false">IF($P4894=0,"",IF($F4894="Baseline","— Baseline",IF($O4894=0,"No result",IF($N4894=0,"No Start (attainment only)",IF(OR($N4894=1,$O4894=1),"U – needs rule",INDEX(MxBody,MATCH($I4894,MxCurr,0),MATCH($H4894,MxStart,0)))))))</f>
        <v/>
      </c>
      <c r="L4894" s="62" t="str">
        <f aca="false">IF(COUNTA($A4894,$F4894,$G4894,$H4894,$I4894,$J4894)=0,"",IF($M4894=0,"✖ كود الصف غير موجود",IF(ISNA(MATCH($F4894,Lists!$A$2:$A$5,0)),"✖ الفترة غير صحيحة",IF(ISNA(MATCH($G4894,Lists!$B$2:$B$7,0)),"✖ المجموعة غير صحيحة",IF(NOT(OR($H4894="",$N4894&gt;0)),"✖ Start غير صحيح",IF(NOT(OR($I4894="",$I4894="NR",$O4894&gt;0)),"✖ Current غير صحيح",IF(NOT(IF(ISNUMBER($J4894),AND($J4894&gt;=0,$J4894=INT($J4894)),FALSE())),"✖ العدد يجب أن يكون صحيحًا ≥ 0",IF(AND($F4894="Baseline",$H4894&lt;&gt;""),"⚠ Baseline: Start لا يدخل في التقدم",IF($K4894="No Start (attainment only)","ℹ تحصيل فقط (بدون Start)",IF($K4894="U – needs rule","ℹ حالة U تحتاج قاعدة معتمدة",IF($K4894="No result","ℹ بدون نتيجة (يُستبعد من التحصيل)","OK")))))))))))</f>
        <v/>
      </c>
      <c r="M4894" s="64" t="n">
        <f aca="false">IF($A4894="",0,IFERROR(MATCH($A4894,Classes!$A$6:$A$420,0),0))</f>
        <v>0</v>
      </c>
      <c r="N4894" s="64" t="n">
        <f aca="false">IF($H4894="",0,IFERROR(MATCH($H4894,GradeList,0),0))</f>
        <v>0</v>
      </c>
      <c r="O4894" s="64" t="n">
        <f aca="false">IF(OR($I4894="",$I4894="NR"),0,IFERROR(MATCH($I4894,GradeList,0),0))</f>
        <v>0</v>
      </c>
      <c r="P4894" s="64" t="n">
        <f aca="false">IF(AND($M4894&gt;0,ISNUMBER(MATCH($F4894,Lists!$A$2:$A$5,0)),ISNUMBER(MATCH($G4894,Lists!$B$2:$B$7,0)),OR($H4894="",$N4894&gt;0),OR($I4894="",$I4894="NR",$O4894&gt;0),IF(ISNUMBER($J4894),AND($J4894&gt;=0,$J4894=INT($J4894)),FALSE())),$J4894,0)</f>
        <v>0</v>
      </c>
      <c r="Q4894" s="64" t="n">
        <f aca="false">IF(AND($P4894&gt;0,$O4894&gt;0),$P4894,0)</f>
        <v>0</v>
      </c>
      <c r="R4894" s="64" t="n">
        <f aca="false">IF(AND($Q4894&gt;0,$O4894&gt;=AtRank),$Q4894,0)</f>
        <v>0</v>
      </c>
      <c r="S4894" s="64" t="n">
        <f aca="false">IF(AND($Q4894&gt;0,$O4894&gt;=AboveRank),$Q4894,0)</f>
        <v>0</v>
      </c>
      <c r="T4894" s="64" t="n">
        <f aca="false">IF($K4894="Less",$P4894,0)</f>
        <v>0</v>
      </c>
      <c r="U4894" s="64" t="n">
        <f aca="false">IF($K4894="Expected",$P4894,0)</f>
        <v>0</v>
      </c>
      <c r="V4894" s="64" t="n">
        <f aca="false">IF($K4894="Better",$P4894,0)</f>
        <v>0</v>
      </c>
      <c r="W4894" s="64" t="n">
        <f aca="false">IF($K4894="U – needs rule",$P4894,0)</f>
        <v>0</v>
      </c>
      <c r="X4894" s="64" t="n">
        <f aca="false">IF($K4894="No Start (attainment only)",$P4894,0)</f>
        <v>0</v>
      </c>
    </row>
    <row r="4895" customFormat="false" ht="15" hidden="false" customHeight="false" outlineLevel="0" collapsed="false">
      <c r="A4895" s="60"/>
      <c r="B4895" s="61" t="str">
        <f aca="false">IF($M4895=0,"",INDEX(Classes!$E$6:$E$420,$M4895))</f>
        <v/>
      </c>
      <c r="C4895" s="62" t="str">
        <f aca="false">IF($M4895=0,"",INDEX(Classes!$H$6:$H$420,$M4895))</f>
        <v/>
      </c>
      <c r="D4895" s="61" t="str">
        <f aca="false">IF($M4895=0,"",INDEX(Classes!$B$6:$B$420,$M4895))</f>
        <v/>
      </c>
      <c r="E4895" s="61" t="str">
        <f aca="false">IF($M4895=0,"",INDEX(Classes!$C$6:$C$420,$M4895))</f>
        <v/>
      </c>
      <c r="F4895" s="63"/>
      <c r="G4895" s="63"/>
      <c r="H4895" s="60"/>
      <c r="I4895" s="60"/>
      <c r="J4895" s="63"/>
      <c r="K4895" s="61" t="str">
        <f aca="false">IF($P4895=0,"",IF($F4895="Baseline","— Baseline",IF($O4895=0,"No result",IF($N4895=0,"No Start (attainment only)",IF(OR($N4895=1,$O4895=1),"U – needs rule",INDEX(MxBody,MATCH($I4895,MxCurr,0),MATCH($H4895,MxStart,0)))))))</f>
        <v/>
      </c>
      <c r="L4895" s="62" t="str">
        <f aca="false">IF(COUNTA($A4895,$F4895,$G4895,$H4895,$I4895,$J4895)=0,"",IF($M4895=0,"✖ كود الصف غير موجود",IF(ISNA(MATCH($F4895,Lists!$A$2:$A$5,0)),"✖ الفترة غير صحيحة",IF(ISNA(MATCH($G4895,Lists!$B$2:$B$7,0)),"✖ المجموعة غير صحيحة",IF(NOT(OR($H4895="",$N4895&gt;0)),"✖ Start غير صحيح",IF(NOT(OR($I4895="",$I4895="NR",$O4895&gt;0)),"✖ Current غير صحيح",IF(NOT(IF(ISNUMBER($J4895),AND($J4895&gt;=0,$J4895=INT($J4895)),FALSE())),"✖ العدد يجب أن يكون صحيحًا ≥ 0",IF(AND($F4895="Baseline",$H4895&lt;&gt;""),"⚠ Baseline: Start لا يدخل في التقدم",IF($K4895="No Start (attainment only)","ℹ تحصيل فقط (بدون Start)",IF($K4895="U – needs rule","ℹ حالة U تحتاج قاعدة معتمدة",IF($K4895="No result","ℹ بدون نتيجة (يُستبعد من التحصيل)","OK")))))))))))</f>
        <v/>
      </c>
      <c r="M4895" s="64" t="n">
        <f aca="false">IF($A4895="",0,IFERROR(MATCH($A4895,Classes!$A$6:$A$420,0),0))</f>
        <v>0</v>
      </c>
      <c r="N4895" s="64" t="n">
        <f aca="false">IF($H4895="",0,IFERROR(MATCH($H4895,GradeList,0),0))</f>
        <v>0</v>
      </c>
      <c r="O4895" s="64" t="n">
        <f aca="false">IF(OR($I4895="",$I4895="NR"),0,IFERROR(MATCH($I4895,GradeList,0),0))</f>
        <v>0</v>
      </c>
      <c r="P4895" s="64" t="n">
        <f aca="false">IF(AND($M4895&gt;0,ISNUMBER(MATCH($F4895,Lists!$A$2:$A$5,0)),ISNUMBER(MATCH($G4895,Lists!$B$2:$B$7,0)),OR($H4895="",$N4895&gt;0),OR($I4895="",$I4895="NR",$O4895&gt;0),IF(ISNUMBER($J4895),AND($J4895&gt;=0,$J4895=INT($J4895)),FALSE())),$J4895,0)</f>
        <v>0</v>
      </c>
      <c r="Q4895" s="64" t="n">
        <f aca="false">IF(AND($P4895&gt;0,$O4895&gt;0),$P4895,0)</f>
        <v>0</v>
      </c>
      <c r="R4895" s="64" t="n">
        <f aca="false">IF(AND($Q4895&gt;0,$O4895&gt;=AtRank),$Q4895,0)</f>
        <v>0</v>
      </c>
      <c r="S4895" s="64" t="n">
        <f aca="false">IF(AND($Q4895&gt;0,$O4895&gt;=AboveRank),$Q4895,0)</f>
        <v>0</v>
      </c>
      <c r="T4895" s="64" t="n">
        <f aca="false">IF($K4895="Less",$P4895,0)</f>
        <v>0</v>
      </c>
      <c r="U4895" s="64" t="n">
        <f aca="false">IF($K4895="Expected",$P4895,0)</f>
        <v>0</v>
      </c>
      <c r="V4895" s="64" t="n">
        <f aca="false">IF($K4895="Better",$P4895,0)</f>
        <v>0</v>
      </c>
      <c r="W4895" s="64" t="n">
        <f aca="false">IF($K4895="U – needs rule",$P4895,0)</f>
        <v>0</v>
      </c>
      <c r="X4895" s="64" t="n">
        <f aca="false">IF($K4895="No Start (attainment only)",$P4895,0)</f>
        <v>0</v>
      </c>
    </row>
    <row r="4896" customFormat="false" ht="15" hidden="false" customHeight="false" outlineLevel="0" collapsed="false">
      <c r="A4896" s="60"/>
      <c r="B4896" s="61" t="str">
        <f aca="false">IF($M4896=0,"",INDEX(Classes!$E$6:$E$420,$M4896))</f>
        <v/>
      </c>
      <c r="C4896" s="62" t="str">
        <f aca="false">IF($M4896=0,"",INDEX(Classes!$H$6:$H$420,$M4896))</f>
        <v/>
      </c>
      <c r="D4896" s="61" t="str">
        <f aca="false">IF($M4896=0,"",INDEX(Classes!$B$6:$B$420,$M4896))</f>
        <v/>
      </c>
      <c r="E4896" s="61" t="str">
        <f aca="false">IF($M4896=0,"",INDEX(Classes!$C$6:$C$420,$M4896))</f>
        <v/>
      </c>
      <c r="F4896" s="63"/>
      <c r="G4896" s="63"/>
      <c r="H4896" s="60"/>
      <c r="I4896" s="60"/>
      <c r="J4896" s="63"/>
      <c r="K4896" s="61" t="str">
        <f aca="false">IF($P4896=0,"",IF($F4896="Baseline","— Baseline",IF($O4896=0,"No result",IF($N4896=0,"No Start (attainment only)",IF(OR($N4896=1,$O4896=1),"U – needs rule",INDEX(MxBody,MATCH($I4896,MxCurr,0),MATCH($H4896,MxStart,0)))))))</f>
        <v/>
      </c>
      <c r="L4896" s="62" t="str">
        <f aca="false">IF(COUNTA($A4896,$F4896,$G4896,$H4896,$I4896,$J4896)=0,"",IF($M4896=0,"✖ كود الصف غير موجود",IF(ISNA(MATCH($F4896,Lists!$A$2:$A$5,0)),"✖ الفترة غير صحيحة",IF(ISNA(MATCH($G4896,Lists!$B$2:$B$7,0)),"✖ المجموعة غير صحيحة",IF(NOT(OR($H4896="",$N4896&gt;0)),"✖ Start غير صحيح",IF(NOT(OR($I4896="",$I4896="NR",$O4896&gt;0)),"✖ Current غير صحيح",IF(NOT(IF(ISNUMBER($J4896),AND($J4896&gt;=0,$J4896=INT($J4896)),FALSE())),"✖ العدد يجب أن يكون صحيحًا ≥ 0",IF(AND($F4896="Baseline",$H4896&lt;&gt;""),"⚠ Baseline: Start لا يدخل في التقدم",IF($K4896="No Start (attainment only)","ℹ تحصيل فقط (بدون Start)",IF($K4896="U – needs rule","ℹ حالة U تحتاج قاعدة معتمدة",IF($K4896="No result","ℹ بدون نتيجة (يُستبعد من التحصيل)","OK")))))))))))</f>
        <v/>
      </c>
      <c r="M4896" s="64" t="n">
        <f aca="false">IF($A4896="",0,IFERROR(MATCH($A4896,Classes!$A$6:$A$420,0),0))</f>
        <v>0</v>
      </c>
      <c r="N4896" s="64" t="n">
        <f aca="false">IF($H4896="",0,IFERROR(MATCH($H4896,GradeList,0),0))</f>
        <v>0</v>
      </c>
      <c r="O4896" s="64" t="n">
        <f aca="false">IF(OR($I4896="",$I4896="NR"),0,IFERROR(MATCH($I4896,GradeList,0),0))</f>
        <v>0</v>
      </c>
      <c r="P4896" s="64" t="n">
        <f aca="false">IF(AND($M4896&gt;0,ISNUMBER(MATCH($F4896,Lists!$A$2:$A$5,0)),ISNUMBER(MATCH($G4896,Lists!$B$2:$B$7,0)),OR($H4896="",$N4896&gt;0),OR($I4896="",$I4896="NR",$O4896&gt;0),IF(ISNUMBER($J4896),AND($J4896&gt;=0,$J4896=INT($J4896)),FALSE())),$J4896,0)</f>
        <v>0</v>
      </c>
      <c r="Q4896" s="64" t="n">
        <f aca="false">IF(AND($P4896&gt;0,$O4896&gt;0),$P4896,0)</f>
        <v>0</v>
      </c>
      <c r="R4896" s="64" t="n">
        <f aca="false">IF(AND($Q4896&gt;0,$O4896&gt;=AtRank),$Q4896,0)</f>
        <v>0</v>
      </c>
      <c r="S4896" s="64" t="n">
        <f aca="false">IF(AND($Q4896&gt;0,$O4896&gt;=AboveRank),$Q4896,0)</f>
        <v>0</v>
      </c>
      <c r="T4896" s="64" t="n">
        <f aca="false">IF($K4896="Less",$P4896,0)</f>
        <v>0</v>
      </c>
      <c r="U4896" s="64" t="n">
        <f aca="false">IF($K4896="Expected",$P4896,0)</f>
        <v>0</v>
      </c>
      <c r="V4896" s="64" t="n">
        <f aca="false">IF($K4896="Better",$P4896,0)</f>
        <v>0</v>
      </c>
      <c r="W4896" s="64" t="n">
        <f aca="false">IF($K4896="U – needs rule",$P4896,0)</f>
        <v>0</v>
      </c>
      <c r="X4896" s="64" t="n">
        <f aca="false">IF($K4896="No Start (attainment only)",$P4896,0)</f>
        <v>0</v>
      </c>
    </row>
    <row r="4897" customFormat="false" ht="15" hidden="false" customHeight="false" outlineLevel="0" collapsed="false">
      <c r="A4897" s="60"/>
      <c r="B4897" s="61" t="str">
        <f aca="false">IF($M4897=0,"",INDEX(Classes!$E$6:$E$420,$M4897))</f>
        <v/>
      </c>
      <c r="C4897" s="62" t="str">
        <f aca="false">IF($M4897=0,"",INDEX(Classes!$H$6:$H$420,$M4897))</f>
        <v/>
      </c>
      <c r="D4897" s="61" t="str">
        <f aca="false">IF($M4897=0,"",INDEX(Classes!$B$6:$B$420,$M4897))</f>
        <v/>
      </c>
      <c r="E4897" s="61" t="str">
        <f aca="false">IF($M4897=0,"",INDEX(Classes!$C$6:$C$420,$M4897))</f>
        <v/>
      </c>
      <c r="F4897" s="63"/>
      <c r="G4897" s="63"/>
      <c r="H4897" s="60"/>
      <c r="I4897" s="60"/>
      <c r="J4897" s="63"/>
      <c r="K4897" s="61" t="str">
        <f aca="false">IF($P4897=0,"",IF($F4897="Baseline","— Baseline",IF($O4897=0,"No result",IF($N4897=0,"No Start (attainment only)",IF(OR($N4897=1,$O4897=1),"U – needs rule",INDEX(MxBody,MATCH($I4897,MxCurr,0),MATCH($H4897,MxStart,0)))))))</f>
        <v/>
      </c>
      <c r="L4897" s="62" t="str">
        <f aca="false">IF(COUNTA($A4897,$F4897,$G4897,$H4897,$I4897,$J4897)=0,"",IF($M4897=0,"✖ كود الصف غير موجود",IF(ISNA(MATCH($F4897,Lists!$A$2:$A$5,0)),"✖ الفترة غير صحيحة",IF(ISNA(MATCH($G4897,Lists!$B$2:$B$7,0)),"✖ المجموعة غير صحيحة",IF(NOT(OR($H4897="",$N4897&gt;0)),"✖ Start غير صحيح",IF(NOT(OR($I4897="",$I4897="NR",$O4897&gt;0)),"✖ Current غير صحيح",IF(NOT(IF(ISNUMBER($J4897),AND($J4897&gt;=0,$J4897=INT($J4897)),FALSE())),"✖ العدد يجب أن يكون صحيحًا ≥ 0",IF(AND($F4897="Baseline",$H4897&lt;&gt;""),"⚠ Baseline: Start لا يدخل في التقدم",IF($K4897="No Start (attainment only)","ℹ تحصيل فقط (بدون Start)",IF($K4897="U – needs rule","ℹ حالة U تحتاج قاعدة معتمدة",IF($K4897="No result","ℹ بدون نتيجة (يُستبعد من التحصيل)","OK")))))))))))</f>
        <v/>
      </c>
      <c r="M4897" s="64" t="n">
        <f aca="false">IF($A4897="",0,IFERROR(MATCH($A4897,Classes!$A$6:$A$420,0),0))</f>
        <v>0</v>
      </c>
      <c r="N4897" s="64" t="n">
        <f aca="false">IF($H4897="",0,IFERROR(MATCH($H4897,GradeList,0),0))</f>
        <v>0</v>
      </c>
      <c r="O4897" s="64" t="n">
        <f aca="false">IF(OR($I4897="",$I4897="NR"),0,IFERROR(MATCH($I4897,GradeList,0),0))</f>
        <v>0</v>
      </c>
      <c r="P4897" s="64" t="n">
        <f aca="false">IF(AND($M4897&gt;0,ISNUMBER(MATCH($F4897,Lists!$A$2:$A$5,0)),ISNUMBER(MATCH($G4897,Lists!$B$2:$B$7,0)),OR($H4897="",$N4897&gt;0),OR($I4897="",$I4897="NR",$O4897&gt;0),IF(ISNUMBER($J4897),AND($J4897&gt;=0,$J4897=INT($J4897)),FALSE())),$J4897,0)</f>
        <v>0</v>
      </c>
      <c r="Q4897" s="64" t="n">
        <f aca="false">IF(AND($P4897&gt;0,$O4897&gt;0),$P4897,0)</f>
        <v>0</v>
      </c>
      <c r="R4897" s="64" t="n">
        <f aca="false">IF(AND($Q4897&gt;0,$O4897&gt;=AtRank),$Q4897,0)</f>
        <v>0</v>
      </c>
      <c r="S4897" s="64" t="n">
        <f aca="false">IF(AND($Q4897&gt;0,$O4897&gt;=AboveRank),$Q4897,0)</f>
        <v>0</v>
      </c>
      <c r="T4897" s="64" t="n">
        <f aca="false">IF($K4897="Less",$P4897,0)</f>
        <v>0</v>
      </c>
      <c r="U4897" s="64" t="n">
        <f aca="false">IF($K4897="Expected",$P4897,0)</f>
        <v>0</v>
      </c>
      <c r="V4897" s="64" t="n">
        <f aca="false">IF($K4897="Better",$P4897,0)</f>
        <v>0</v>
      </c>
      <c r="W4897" s="64" t="n">
        <f aca="false">IF($K4897="U – needs rule",$P4897,0)</f>
        <v>0</v>
      </c>
      <c r="X4897" s="64" t="n">
        <f aca="false">IF($K4897="No Start (attainment only)",$P4897,0)</f>
        <v>0</v>
      </c>
    </row>
    <row r="4898" customFormat="false" ht="15" hidden="false" customHeight="false" outlineLevel="0" collapsed="false">
      <c r="A4898" s="60"/>
      <c r="B4898" s="61" t="str">
        <f aca="false">IF($M4898=0,"",INDEX(Classes!$E$6:$E$420,$M4898))</f>
        <v/>
      </c>
      <c r="C4898" s="62" t="str">
        <f aca="false">IF($M4898=0,"",INDEX(Classes!$H$6:$H$420,$M4898))</f>
        <v/>
      </c>
      <c r="D4898" s="61" t="str">
        <f aca="false">IF($M4898=0,"",INDEX(Classes!$B$6:$B$420,$M4898))</f>
        <v/>
      </c>
      <c r="E4898" s="61" t="str">
        <f aca="false">IF($M4898=0,"",INDEX(Classes!$C$6:$C$420,$M4898))</f>
        <v/>
      </c>
      <c r="F4898" s="63"/>
      <c r="G4898" s="63"/>
      <c r="H4898" s="60"/>
      <c r="I4898" s="60"/>
      <c r="J4898" s="63"/>
      <c r="K4898" s="61" t="str">
        <f aca="false">IF($P4898=0,"",IF($F4898="Baseline","— Baseline",IF($O4898=0,"No result",IF($N4898=0,"No Start (attainment only)",IF(OR($N4898=1,$O4898=1),"U – needs rule",INDEX(MxBody,MATCH($I4898,MxCurr,0),MATCH($H4898,MxStart,0)))))))</f>
        <v/>
      </c>
      <c r="L4898" s="62" t="str">
        <f aca="false">IF(COUNTA($A4898,$F4898,$G4898,$H4898,$I4898,$J4898)=0,"",IF($M4898=0,"✖ كود الصف غير موجود",IF(ISNA(MATCH($F4898,Lists!$A$2:$A$5,0)),"✖ الفترة غير صحيحة",IF(ISNA(MATCH($G4898,Lists!$B$2:$B$7,0)),"✖ المجموعة غير صحيحة",IF(NOT(OR($H4898="",$N4898&gt;0)),"✖ Start غير صحيح",IF(NOT(OR($I4898="",$I4898="NR",$O4898&gt;0)),"✖ Current غير صحيح",IF(NOT(IF(ISNUMBER($J4898),AND($J4898&gt;=0,$J4898=INT($J4898)),FALSE())),"✖ العدد يجب أن يكون صحيحًا ≥ 0",IF(AND($F4898="Baseline",$H4898&lt;&gt;""),"⚠ Baseline: Start لا يدخل في التقدم",IF($K4898="No Start (attainment only)","ℹ تحصيل فقط (بدون Start)",IF($K4898="U – needs rule","ℹ حالة U تحتاج قاعدة معتمدة",IF($K4898="No result","ℹ بدون نتيجة (يُستبعد من التحصيل)","OK")))))))))))</f>
        <v/>
      </c>
      <c r="M4898" s="64" t="n">
        <f aca="false">IF($A4898="",0,IFERROR(MATCH($A4898,Classes!$A$6:$A$420,0),0))</f>
        <v>0</v>
      </c>
      <c r="N4898" s="64" t="n">
        <f aca="false">IF($H4898="",0,IFERROR(MATCH($H4898,GradeList,0),0))</f>
        <v>0</v>
      </c>
      <c r="O4898" s="64" t="n">
        <f aca="false">IF(OR($I4898="",$I4898="NR"),0,IFERROR(MATCH($I4898,GradeList,0),0))</f>
        <v>0</v>
      </c>
      <c r="P4898" s="64" t="n">
        <f aca="false">IF(AND($M4898&gt;0,ISNUMBER(MATCH($F4898,Lists!$A$2:$A$5,0)),ISNUMBER(MATCH($G4898,Lists!$B$2:$B$7,0)),OR($H4898="",$N4898&gt;0),OR($I4898="",$I4898="NR",$O4898&gt;0),IF(ISNUMBER($J4898),AND($J4898&gt;=0,$J4898=INT($J4898)),FALSE())),$J4898,0)</f>
        <v>0</v>
      </c>
      <c r="Q4898" s="64" t="n">
        <f aca="false">IF(AND($P4898&gt;0,$O4898&gt;0),$P4898,0)</f>
        <v>0</v>
      </c>
      <c r="R4898" s="64" t="n">
        <f aca="false">IF(AND($Q4898&gt;0,$O4898&gt;=AtRank),$Q4898,0)</f>
        <v>0</v>
      </c>
      <c r="S4898" s="64" t="n">
        <f aca="false">IF(AND($Q4898&gt;0,$O4898&gt;=AboveRank),$Q4898,0)</f>
        <v>0</v>
      </c>
      <c r="T4898" s="64" t="n">
        <f aca="false">IF($K4898="Less",$P4898,0)</f>
        <v>0</v>
      </c>
      <c r="U4898" s="64" t="n">
        <f aca="false">IF($K4898="Expected",$P4898,0)</f>
        <v>0</v>
      </c>
      <c r="V4898" s="64" t="n">
        <f aca="false">IF($K4898="Better",$P4898,0)</f>
        <v>0</v>
      </c>
      <c r="W4898" s="64" t="n">
        <f aca="false">IF($K4898="U – needs rule",$P4898,0)</f>
        <v>0</v>
      </c>
      <c r="X4898" s="64" t="n">
        <f aca="false">IF($K4898="No Start (attainment only)",$P4898,0)</f>
        <v>0</v>
      </c>
    </row>
    <row r="4899" customFormat="false" ht="15" hidden="false" customHeight="false" outlineLevel="0" collapsed="false">
      <c r="A4899" s="60"/>
      <c r="B4899" s="61" t="str">
        <f aca="false">IF($M4899=0,"",INDEX(Classes!$E$6:$E$420,$M4899))</f>
        <v/>
      </c>
      <c r="C4899" s="62" t="str">
        <f aca="false">IF($M4899=0,"",INDEX(Classes!$H$6:$H$420,$M4899))</f>
        <v/>
      </c>
      <c r="D4899" s="61" t="str">
        <f aca="false">IF($M4899=0,"",INDEX(Classes!$B$6:$B$420,$M4899))</f>
        <v/>
      </c>
      <c r="E4899" s="61" t="str">
        <f aca="false">IF($M4899=0,"",INDEX(Classes!$C$6:$C$420,$M4899))</f>
        <v/>
      </c>
      <c r="F4899" s="63"/>
      <c r="G4899" s="63"/>
      <c r="H4899" s="60"/>
      <c r="I4899" s="60"/>
      <c r="J4899" s="63"/>
      <c r="K4899" s="61" t="str">
        <f aca="false">IF($P4899=0,"",IF($F4899="Baseline","— Baseline",IF($O4899=0,"No result",IF($N4899=0,"No Start (attainment only)",IF(OR($N4899=1,$O4899=1),"U – needs rule",INDEX(MxBody,MATCH($I4899,MxCurr,0),MATCH($H4899,MxStart,0)))))))</f>
        <v/>
      </c>
      <c r="L4899" s="62" t="str">
        <f aca="false">IF(COUNTA($A4899,$F4899,$G4899,$H4899,$I4899,$J4899)=0,"",IF($M4899=0,"✖ كود الصف غير موجود",IF(ISNA(MATCH($F4899,Lists!$A$2:$A$5,0)),"✖ الفترة غير صحيحة",IF(ISNA(MATCH($G4899,Lists!$B$2:$B$7,0)),"✖ المجموعة غير صحيحة",IF(NOT(OR($H4899="",$N4899&gt;0)),"✖ Start غير صحيح",IF(NOT(OR($I4899="",$I4899="NR",$O4899&gt;0)),"✖ Current غير صحيح",IF(NOT(IF(ISNUMBER($J4899),AND($J4899&gt;=0,$J4899=INT($J4899)),FALSE())),"✖ العدد يجب أن يكون صحيحًا ≥ 0",IF(AND($F4899="Baseline",$H4899&lt;&gt;""),"⚠ Baseline: Start لا يدخل في التقدم",IF($K4899="No Start (attainment only)","ℹ تحصيل فقط (بدون Start)",IF($K4899="U – needs rule","ℹ حالة U تحتاج قاعدة معتمدة",IF($K4899="No result","ℹ بدون نتيجة (يُستبعد من التحصيل)","OK")))))))))))</f>
        <v/>
      </c>
      <c r="M4899" s="64" t="n">
        <f aca="false">IF($A4899="",0,IFERROR(MATCH($A4899,Classes!$A$6:$A$420,0),0))</f>
        <v>0</v>
      </c>
      <c r="N4899" s="64" t="n">
        <f aca="false">IF($H4899="",0,IFERROR(MATCH($H4899,GradeList,0),0))</f>
        <v>0</v>
      </c>
      <c r="O4899" s="64" t="n">
        <f aca="false">IF(OR($I4899="",$I4899="NR"),0,IFERROR(MATCH($I4899,GradeList,0),0))</f>
        <v>0</v>
      </c>
      <c r="P4899" s="64" t="n">
        <f aca="false">IF(AND($M4899&gt;0,ISNUMBER(MATCH($F4899,Lists!$A$2:$A$5,0)),ISNUMBER(MATCH($G4899,Lists!$B$2:$B$7,0)),OR($H4899="",$N4899&gt;0),OR($I4899="",$I4899="NR",$O4899&gt;0),IF(ISNUMBER($J4899),AND($J4899&gt;=0,$J4899=INT($J4899)),FALSE())),$J4899,0)</f>
        <v>0</v>
      </c>
      <c r="Q4899" s="64" t="n">
        <f aca="false">IF(AND($P4899&gt;0,$O4899&gt;0),$P4899,0)</f>
        <v>0</v>
      </c>
      <c r="R4899" s="64" t="n">
        <f aca="false">IF(AND($Q4899&gt;0,$O4899&gt;=AtRank),$Q4899,0)</f>
        <v>0</v>
      </c>
      <c r="S4899" s="64" t="n">
        <f aca="false">IF(AND($Q4899&gt;0,$O4899&gt;=AboveRank),$Q4899,0)</f>
        <v>0</v>
      </c>
      <c r="T4899" s="64" t="n">
        <f aca="false">IF($K4899="Less",$P4899,0)</f>
        <v>0</v>
      </c>
      <c r="U4899" s="64" t="n">
        <f aca="false">IF($K4899="Expected",$P4899,0)</f>
        <v>0</v>
      </c>
      <c r="V4899" s="64" t="n">
        <f aca="false">IF($K4899="Better",$P4899,0)</f>
        <v>0</v>
      </c>
      <c r="W4899" s="64" t="n">
        <f aca="false">IF($K4899="U – needs rule",$P4899,0)</f>
        <v>0</v>
      </c>
      <c r="X4899" s="64" t="n">
        <f aca="false">IF($K4899="No Start (attainment only)",$P4899,0)</f>
        <v>0</v>
      </c>
    </row>
    <row r="4900" customFormat="false" ht="15" hidden="false" customHeight="false" outlineLevel="0" collapsed="false">
      <c r="A4900" s="60"/>
      <c r="B4900" s="61" t="str">
        <f aca="false">IF($M4900=0,"",INDEX(Classes!$E$6:$E$420,$M4900))</f>
        <v/>
      </c>
      <c r="C4900" s="62" t="str">
        <f aca="false">IF($M4900=0,"",INDEX(Classes!$H$6:$H$420,$M4900))</f>
        <v/>
      </c>
      <c r="D4900" s="61" t="str">
        <f aca="false">IF($M4900=0,"",INDEX(Classes!$B$6:$B$420,$M4900))</f>
        <v/>
      </c>
      <c r="E4900" s="61" t="str">
        <f aca="false">IF($M4900=0,"",INDEX(Classes!$C$6:$C$420,$M4900))</f>
        <v/>
      </c>
      <c r="F4900" s="63"/>
      <c r="G4900" s="63"/>
      <c r="H4900" s="60"/>
      <c r="I4900" s="60"/>
      <c r="J4900" s="63"/>
      <c r="K4900" s="61" t="str">
        <f aca="false">IF($P4900=0,"",IF($F4900="Baseline","— Baseline",IF($O4900=0,"No result",IF($N4900=0,"No Start (attainment only)",IF(OR($N4900=1,$O4900=1),"U – needs rule",INDEX(MxBody,MATCH($I4900,MxCurr,0),MATCH($H4900,MxStart,0)))))))</f>
        <v/>
      </c>
      <c r="L4900" s="62" t="str">
        <f aca="false">IF(COUNTA($A4900,$F4900,$G4900,$H4900,$I4900,$J4900)=0,"",IF($M4900=0,"✖ كود الصف غير موجود",IF(ISNA(MATCH($F4900,Lists!$A$2:$A$5,0)),"✖ الفترة غير صحيحة",IF(ISNA(MATCH($G4900,Lists!$B$2:$B$7,0)),"✖ المجموعة غير صحيحة",IF(NOT(OR($H4900="",$N4900&gt;0)),"✖ Start غير صحيح",IF(NOT(OR($I4900="",$I4900="NR",$O4900&gt;0)),"✖ Current غير صحيح",IF(NOT(IF(ISNUMBER($J4900),AND($J4900&gt;=0,$J4900=INT($J4900)),FALSE())),"✖ العدد يجب أن يكون صحيحًا ≥ 0",IF(AND($F4900="Baseline",$H4900&lt;&gt;""),"⚠ Baseline: Start لا يدخل في التقدم",IF($K4900="No Start (attainment only)","ℹ تحصيل فقط (بدون Start)",IF($K4900="U – needs rule","ℹ حالة U تحتاج قاعدة معتمدة",IF($K4900="No result","ℹ بدون نتيجة (يُستبعد من التحصيل)","OK")))))))))))</f>
        <v/>
      </c>
      <c r="M4900" s="64" t="n">
        <f aca="false">IF($A4900="",0,IFERROR(MATCH($A4900,Classes!$A$6:$A$420,0),0))</f>
        <v>0</v>
      </c>
      <c r="N4900" s="64" t="n">
        <f aca="false">IF($H4900="",0,IFERROR(MATCH($H4900,GradeList,0),0))</f>
        <v>0</v>
      </c>
      <c r="O4900" s="64" t="n">
        <f aca="false">IF(OR($I4900="",$I4900="NR"),0,IFERROR(MATCH($I4900,GradeList,0),0))</f>
        <v>0</v>
      </c>
      <c r="P4900" s="64" t="n">
        <f aca="false">IF(AND($M4900&gt;0,ISNUMBER(MATCH($F4900,Lists!$A$2:$A$5,0)),ISNUMBER(MATCH($G4900,Lists!$B$2:$B$7,0)),OR($H4900="",$N4900&gt;0),OR($I4900="",$I4900="NR",$O4900&gt;0),IF(ISNUMBER($J4900),AND($J4900&gt;=0,$J4900=INT($J4900)),FALSE())),$J4900,0)</f>
        <v>0</v>
      </c>
      <c r="Q4900" s="64" t="n">
        <f aca="false">IF(AND($P4900&gt;0,$O4900&gt;0),$P4900,0)</f>
        <v>0</v>
      </c>
      <c r="R4900" s="64" t="n">
        <f aca="false">IF(AND($Q4900&gt;0,$O4900&gt;=AtRank),$Q4900,0)</f>
        <v>0</v>
      </c>
      <c r="S4900" s="64" t="n">
        <f aca="false">IF(AND($Q4900&gt;0,$O4900&gt;=AboveRank),$Q4900,0)</f>
        <v>0</v>
      </c>
      <c r="T4900" s="64" t="n">
        <f aca="false">IF($K4900="Less",$P4900,0)</f>
        <v>0</v>
      </c>
      <c r="U4900" s="64" t="n">
        <f aca="false">IF($K4900="Expected",$P4900,0)</f>
        <v>0</v>
      </c>
      <c r="V4900" s="64" t="n">
        <f aca="false">IF($K4900="Better",$P4900,0)</f>
        <v>0</v>
      </c>
      <c r="W4900" s="64" t="n">
        <f aca="false">IF($K4900="U – needs rule",$P4900,0)</f>
        <v>0</v>
      </c>
      <c r="X4900" s="64" t="n">
        <f aca="false">IF($K4900="No Start (attainment only)",$P4900,0)</f>
        <v>0</v>
      </c>
    </row>
    <row r="4901" customFormat="false" ht="15" hidden="false" customHeight="false" outlineLevel="0" collapsed="false">
      <c r="A4901" s="60"/>
      <c r="B4901" s="61" t="str">
        <f aca="false">IF($M4901=0,"",INDEX(Classes!$E$6:$E$420,$M4901))</f>
        <v/>
      </c>
      <c r="C4901" s="62" t="str">
        <f aca="false">IF($M4901=0,"",INDEX(Classes!$H$6:$H$420,$M4901))</f>
        <v/>
      </c>
      <c r="D4901" s="61" t="str">
        <f aca="false">IF($M4901=0,"",INDEX(Classes!$B$6:$B$420,$M4901))</f>
        <v/>
      </c>
      <c r="E4901" s="61" t="str">
        <f aca="false">IF($M4901=0,"",INDEX(Classes!$C$6:$C$420,$M4901))</f>
        <v/>
      </c>
      <c r="F4901" s="63"/>
      <c r="G4901" s="63"/>
      <c r="H4901" s="60"/>
      <c r="I4901" s="60"/>
      <c r="J4901" s="63"/>
      <c r="K4901" s="61" t="str">
        <f aca="false">IF($P4901=0,"",IF($F4901="Baseline","— Baseline",IF($O4901=0,"No result",IF($N4901=0,"No Start (attainment only)",IF(OR($N4901=1,$O4901=1),"U – needs rule",INDEX(MxBody,MATCH($I4901,MxCurr,0),MATCH($H4901,MxStart,0)))))))</f>
        <v/>
      </c>
      <c r="L4901" s="62" t="str">
        <f aca="false">IF(COUNTA($A4901,$F4901,$G4901,$H4901,$I4901,$J4901)=0,"",IF($M4901=0,"✖ كود الصف غير موجود",IF(ISNA(MATCH($F4901,Lists!$A$2:$A$5,0)),"✖ الفترة غير صحيحة",IF(ISNA(MATCH($G4901,Lists!$B$2:$B$7,0)),"✖ المجموعة غير صحيحة",IF(NOT(OR($H4901="",$N4901&gt;0)),"✖ Start غير صحيح",IF(NOT(OR($I4901="",$I4901="NR",$O4901&gt;0)),"✖ Current غير صحيح",IF(NOT(IF(ISNUMBER($J4901),AND($J4901&gt;=0,$J4901=INT($J4901)),FALSE())),"✖ العدد يجب أن يكون صحيحًا ≥ 0",IF(AND($F4901="Baseline",$H4901&lt;&gt;""),"⚠ Baseline: Start لا يدخل في التقدم",IF($K4901="No Start (attainment only)","ℹ تحصيل فقط (بدون Start)",IF($K4901="U – needs rule","ℹ حالة U تحتاج قاعدة معتمدة",IF($K4901="No result","ℹ بدون نتيجة (يُستبعد من التحصيل)","OK")))))))))))</f>
        <v/>
      </c>
      <c r="M4901" s="64" t="n">
        <f aca="false">IF($A4901="",0,IFERROR(MATCH($A4901,Classes!$A$6:$A$420,0),0))</f>
        <v>0</v>
      </c>
      <c r="N4901" s="64" t="n">
        <f aca="false">IF($H4901="",0,IFERROR(MATCH($H4901,GradeList,0),0))</f>
        <v>0</v>
      </c>
      <c r="O4901" s="64" t="n">
        <f aca="false">IF(OR($I4901="",$I4901="NR"),0,IFERROR(MATCH($I4901,GradeList,0),0))</f>
        <v>0</v>
      </c>
      <c r="P4901" s="64" t="n">
        <f aca="false">IF(AND($M4901&gt;0,ISNUMBER(MATCH($F4901,Lists!$A$2:$A$5,0)),ISNUMBER(MATCH($G4901,Lists!$B$2:$B$7,0)),OR($H4901="",$N4901&gt;0),OR($I4901="",$I4901="NR",$O4901&gt;0),IF(ISNUMBER($J4901),AND($J4901&gt;=0,$J4901=INT($J4901)),FALSE())),$J4901,0)</f>
        <v>0</v>
      </c>
      <c r="Q4901" s="64" t="n">
        <f aca="false">IF(AND($P4901&gt;0,$O4901&gt;0),$P4901,0)</f>
        <v>0</v>
      </c>
      <c r="R4901" s="64" t="n">
        <f aca="false">IF(AND($Q4901&gt;0,$O4901&gt;=AtRank),$Q4901,0)</f>
        <v>0</v>
      </c>
      <c r="S4901" s="64" t="n">
        <f aca="false">IF(AND($Q4901&gt;0,$O4901&gt;=AboveRank),$Q4901,0)</f>
        <v>0</v>
      </c>
      <c r="T4901" s="64" t="n">
        <f aca="false">IF($K4901="Less",$P4901,0)</f>
        <v>0</v>
      </c>
      <c r="U4901" s="64" t="n">
        <f aca="false">IF($K4901="Expected",$P4901,0)</f>
        <v>0</v>
      </c>
      <c r="V4901" s="64" t="n">
        <f aca="false">IF($K4901="Better",$P4901,0)</f>
        <v>0</v>
      </c>
      <c r="W4901" s="64" t="n">
        <f aca="false">IF($K4901="U – needs rule",$P4901,0)</f>
        <v>0</v>
      </c>
      <c r="X4901" s="64" t="n">
        <f aca="false">IF($K4901="No Start (attainment only)",$P4901,0)</f>
        <v>0</v>
      </c>
    </row>
    <row r="4902" customFormat="false" ht="15" hidden="false" customHeight="false" outlineLevel="0" collapsed="false">
      <c r="A4902" s="60"/>
      <c r="B4902" s="61" t="str">
        <f aca="false">IF($M4902=0,"",INDEX(Classes!$E$6:$E$420,$M4902))</f>
        <v/>
      </c>
      <c r="C4902" s="62" t="str">
        <f aca="false">IF($M4902=0,"",INDEX(Classes!$H$6:$H$420,$M4902))</f>
        <v/>
      </c>
      <c r="D4902" s="61" t="str">
        <f aca="false">IF($M4902=0,"",INDEX(Classes!$B$6:$B$420,$M4902))</f>
        <v/>
      </c>
      <c r="E4902" s="61" t="str">
        <f aca="false">IF($M4902=0,"",INDEX(Classes!$C$6:$C$420,$M4902))</f>
        <v/>
      </c>
      <c r="F4902" s="63"/>
      <c r="G4902" s="63"/>
      <c r="H4902" s="60"/>
      <c r="I4902" s="60"/>
      <c r="J4902" s="63"/>
      <c r="K4902" s="61" t="str">
        <f aca="false">IF($P4902=0,"",IF($F4902="Baseline","— Baseline",IF($O4902=0,"No result",IF($N4902=0,"No Start (attainment only)",IF(OR($N4902=1,$O4902=1),"U – needs rule",INDEX(MxBody,MATCH($I4902,MxCurr,0),MATCH($H4902,MxStart,0)))))))</f>
        <v/>
      </c>
      <c r="L4902" s="62" t="str">
        <f aca="false">IF(COUNTA($A4902,$F4902,$G4902,$H4902,$I4902,$J4902)=0,"",IF($M4902=0,"✖ كود الصف غير موجود",IF(ISNA(MATCH($F4902,Lists!$A$2:$A$5,0)),"✖ الفترة غير صحيحة",IF(ISNA(MATCH($G4902,Lists!$B$2:$B$7,0)),"✖ المجموعة غير صحيحة",IF(NOT(OR($H4902="",$N4902&gt;0)),"✖ Start غير صحيح",IF(NOT(OR($I4902="",$I4902="NR",$O4902&gt;0)),"✖ Current غير صحيح",IF(NOT(IF(ISNUMBER($J4902),AND($J4902&gt;=0,$J4902=INT($J4902)),FALSE())),"✖ العدد يجب أن يكون صحيحًا ≥ 0",IF(AND($F4902="Baseline",$H4902&lt;&gt;""),"⚠ Baseline: Start لا يدخل في التقدم",IF($K4902="No Start (attainment only)","ℹ تحصيل فقط (بدون Start)",IF($K4902="U – needs rule","ℹ حالة U تحتاج قاعدة معتمدة",IF($K4902="No result","ℹ بدون نتيجة (يُستبعد من التحصيل)","OK")))))))))))</f>
        <v/>
      </c>
      <c r="M4902" s="64" t="n">
        <f aca="false">IF($A4902="",0,IFERROR(MATCH($A4902,Classes!$A$6:$A$420,0),0))</f>
        <v>0</v>
      </c>
      <c r="N4902" s="64" t="n">
        <f aca="false">IF($H4902="",0,IFERROR(MATCH($H4902,GradeList,0),0))</f>
        <v>0</v>
      </c>
      <c r="O4902" s="64" t="n">
        <f aca="false">IF(OR($I4902="",$I4902="NR"),0,IFERROR(MATCH($I4902,GradeList,0),0))</f>
        <v>0</v>
      </c>
      <c r="P4902" s="64" t="n">
        <f aca="false">IF(AND($M4902&gt;0,ISNUMBER(MATCH($F4902,Lists!$A$2:$A$5,0)),ISNUMBER(MATCH($G4902,Lists!$B$2:$B$7,0)),OR($H4902="",$N4902&gt;0),OR($I4902="",$I4902="NR",$O4902&gt;0),IF(ISNUMBER($J4902),AND($J4902&gt;=0,$J4902=INT($J4902)),FALSE())),$J4902,0)</f>
        <v>0</v>
      </c>
      <c r="Q4902" s="64" t="n">
        <f aca="false">IF(AND($P4902&gt;0,$O4902&gt;0),$P4902,0)</f>
        <v>0</v>
      </c>
      <c r="R4902" s="64" t="n">
        <f aca="false">IF(AND($Q4902&gt;0,$O4902&gt;=AtRank),$Q4902,0)</f>
        <v>0</v>
      </c>
      <c r="S4902" s="64" t="n">
        <f aca="false">IF(AND($Q4902&gt;0,$O4902&gt;=AboveRank),$Q4902,0)</f>
        <v>0</v>
      </c>
      <c r="T4902" s="64" t="n">
        <f aca="false">IF($K4902="Less",$P4902,0)</f>
        <v>0</v>
      </c>
      <c r="U4902" s="64" t="n">
        <f aca="false">IF($K4902="Expected",$P4902,0)</f>
        <v>0</v>
      </c>
      <c r="V4902" s="64" t="n">
        <f aca="false">IF($K4902="Better",$P4902,0)</f>
        <v>0</v>
      </c>
      <c r="W4902" s="64" t="n">
        <f aca="false">IF($K4902="U – needs rule",$P4902,0)</f>
        <v>0</v>
      </c>
      <c r="X4902" s="64" t="n">
        <f aca="false">IF($K4902="No Start (attainment only)",$P4902,0)</f>
        <v>0</v>
      </c>
    </row>
    <row r="4903" customFormat="false" ht="15" hidden="false" customHeight="false" outlineLevel="0" collapsed="false">
      <c r="A4903" s="60"/>
      <c r="B4903" s="61" t="str">
        <f aca="false">IF($M4903=0,"",INDEX(Classes!$E$6:$E$420,$M4903))</f>
        <v/>
      </c>
      <c r="C4903" s="62" t="str">
        <f aca="false">IF($M4903=0,"",INDEX(Classes!$H$6:$H$420,$M4903))</f>
        <v/>
      </c>
      <c r="D4903" s="61" t="str">
        <f aca="false">IF($M4903=0,"",INDEX(Classes!$B$6:$B$420,$M4903))</f>
        <v/>
      </c>
      <c r="E4903" s="61" t="str">
        <f aca="false">IF($M4903=0,"",INDEX(Classes!$C$6:$C$420,$M4903))</f>
        <v/>
      </c>
      <c r="F4903" s="63"/>
      <c r="G4903" s="63"/>
      <c r="H4903" s="60"/>
      <c r="I4903" s="60"/>
      <c r="J4903" s="63"/>
      <c r="K4903" s="61" t="str">
        <f aca="false">IF($P4903=0,"",IF($F4903="Baseline","— Baseline",IF($O4903=0,"No result",IF($N4903=0,"No Start (attainment only)",IF(OR($N4903=1,$O4903=1),"U – needs rule",INDEX(MxBody,MATCH($I4903,MxCurr,0),MATCH($H4903,MxStart,0)))))))</f>
        <v/>
      </c>
      <c r="L4903" s="62" t="str">
        <f aca="false">IF(COUNTA($A4903,$F4903,$G4903,$H4903,$I4903,$J4903)=0,"",IF($M4903=0,"✖ كود الصف غير موجود",IF(ISNA(MATCH($F4903,Lists!$A$2:$A$5,0)),"✖ الفترة غير صحيحة",IF(ISNA(MATCH($G4903,Lists!$B$2:$B$7,0)),"✖ المجموعة غير صحيحة",IF(NOT(OR($H4903="",$N4903&gt;0)),"✖ Start غير صحيح",IF(NOT(OR($I4903="",$I4903="NR",$O4903&gt;0)),"✖ Current غير صحيح",IF(NOT(IF(ISNUMBER($J4903),AND($J4903&gt;=0,$J4903=INT($J4903)),FALSE())),"✖ العدد يجب أن يكون صحيحًا ≥ 0",IF(AND($F4903="Baseline",$H4903&lt;&gt;""),"⚠ Baseline: Start لا يدخل في التقدم",IF($K4903="No Start (attainment only)","ℹ تحصيل فقط (بدون Start)",IF($K4903="U – needs rule","ℹ حالة U تحتاج قاعدة معتمدة",IF($K4903="No result","ℹ بدون نتيجة (يُستبعد من التحصيل)","OK")))))))))))</f>
        <v/>
      </c>
      <c r="M4903" s="64" t="n">
        <f aca="false">IF($A4903="",0,IFERROR(MATCH($A4903,Classes!$A$6:$A$420,0),0))</f>
        <v>0</v>
      </c>
      <c r="N4903" s="64" t="n">
        <f aca="false">IF($H4903="",0,IFERROR(MATCH($H4903,GradeList,0),0))</f>
        <v>0</v>
      </c>
      <c r="O4903" s="64" t="n">
        <f aca="false">IF(OR($I4903="",$I4903="NR"),0,IFERROR(MATCH($I4903,GradeList,0),0))</f>
        <v>0</v>
      </c>
      <c r="P4903" s="64" t="n">
        <f aca="false">IF(AND($M4903&gt;0,ISNUMBER(MATCH($F4903,Lists!$A$2:$A$5,0)),ISNUMBER(MATCH($G4903,Lists!$B$2:$B$7,0)),OR($H4903="",$N4903&gt;0),OR($I4903="",$I4903="NR",$O4903&gt;0),IF(ISNUMBER($J4903),AND($J4903&gt;=0,$J4903=INT($J4903)),FALSE())),$J4903,0)</f>
        <v>0</v>
      </c>
      <c r="Q4903" s="64" t="n">
        <f aca="false">IF(AND($P4903&gt;0,$O4903&gt;0),$P4903,0)</f>
        <v>0</v>
      </c>
      <c r="R4903" s="64" t="n">
        <f aca="false">IF(AND($Q4903&gt;0,$O4903&gt;=AtRank),$Q4903,0)</f>
        <v>0</v>
      </c>
      <c r="S4903" s="64" t="n">
        <f aca="false">IF(AND($Q4903&gt;0,$O4903&gt;=AboveRank),$Q4903,0)</f>
        <v>0</v>
      </c>
      <c r="T4903" s="64" t="n">
        <f aca="false">IF($K4903="Less",$P4903,0)</f>
        <v>0</v>
      </c>
      <c r="U4903" s="64" t="n">
        <f aca="false">IF($K4903="Expected",$P4903,0)</f>
        <v>0</v>
      </c>
      <c r="V4903" s="64" t="n">
        <f aca="false">IF($K4903="Better",$P4903,0)</f>
        <v>0</v>
      </c>
      <c r="W4903" s="64" t="n">
        <f aca="false">IF($K4903="U – needs rule",$P4903,0)</f>
        <v>0</v>
      </c>
      <c r="X4903" s="64" t="n">
        <f aca="false">IF($K4903="No Start (attainment only)",$P4903,0)</f>
        <v>0</v>
      </c>
    </row>
    <row r="4904" customFormat="false" ht="15" hidden="false" customHeight="false" outlineLevel="0" collapsed="false">
      <c r="A4904" s="60"/>
      <c r="B4904" s="61" t="str">
        <f aca="false">IF($M4904=0,"",INDEX(Classes!$E$6:$E$420,$M4904))</f>
        <v/>
      </c>
      <c r="C4904" s="62" t="str">
        <f aca="false">IF($M4904=0,"",INDEX(Classes!$H$6:$H$420,$M4904))</f>
        <v/>
      </c>
      <c r="D4904" s="61" t="str">
        <f aca="false">IF($M4904=0,"",INDEX(Classes!$B$6:$B$420,$M4904))</f>
        <v/>
      </c>
      <c r="E4904" s="61" t="str">
        <f aca="false">IF($M4904=0,"",INDEX(Classes!$C$6:$C$420,$M4904))</f>
        <v/>
      </c>
      <c r="F4904" s="63"/>
      <c r="G4904" s="63"/>
      <c r="H4904" s="60"/>
      <c r="I4904" s="60"/>
      <c r="J4904" s="63"/>
      <c r="K4904" s="61" t="str">
        <f aca="false">IF($P4904=0,"",IF($F4904="Baseline","— Baseline",IF($O4904=0,"No result",IF($N4904=0,"No Start (attainment only)",IF(OR($N4904=1,$O4904=1),"U – needs rule",INDEX(MxBody,MATCH($I4904,MxCurr,0),MATCH($H4904,MxStart,0)))))))</f>
        <v/>
      </c>
      <c r="L4904" s="62" t="str">
        <f aca="false">IF(COUNTA($A4904,$F4904,$G4904,$H4904,$I4904,$J4904)=0,"",IF($M4904=0,"✖ كود الصف غير موجود",IF(ISNA(MATCH($F4904,Lists!$A$2:$A$5,0)),"✖ الفترة غير صحيحة",IF(ISNA(MATCH($G4904,Lists!$B$2:$B$7,0)),"✖ المجموعة غير صحيحة",IF(NOT(OR($H4904="",$N4904&gt;0)),"✖ Start غير صحيح",IF(NOT(OR($I4904="",$I4904="NR",$O4904&gt;0)),"✖ Current غير صحيح",IF(NOT(IF(ISNUMBER($J4904),AND($J4904&gt;=0,$J4904=INT($J4904)),FALSE())),"✖ العدد يجب أن يكون صحيحًا ≥ 0",IF(AND($F4904="Baseline",$H4904&lt;&gt;""),"⚠ Baseline: Start لا يدخل في التقدم",IF($K4904="No Start (attainment only)","ℹ تحصيل فقط (بدون Start)",IF($K4904="U – needs rule","ℹ حالة U تحتاج قاعدة معتمدة",IF($K4904="No result","ℹ بدون نتيجة (يُستبعد من التحصيل)","OK")))))))))))</f>
        <v/>
      </c>
      <c r="M4904" s="64" t="n">
        <f aca="false">IF($A4904="",0,IFERROR(MATCH($A4904,Classes!$A$6:$A$420,0),0))</f>
        <v>0</v>
      </c>
      <c r="N4904" s="64" t="n">
        <f aca="false">IF($H4904="",0,IFERROR(MATCH($H4904,GradeList,0),0))</f>
        <v>0</v>
      </c>
      <c r="O4904" s="64" t="n">
        <f aca="false">IF(OR($I4904="",$I4904="NR"),0,IFERROR(MATCH($I4904,GradeList,0),0))</f>
        <v>0</v>
      </c>
      <c r="P4904" s="64" t="n">
        <f aca="false">IF(AND($M4904&gt;0,ISNUMBER(MATCH($F4904,Lists!$A$2:$A$5,0)),ISNUMBER(MATCH($G4904,Lists!$B$2:$B$7,0)),OR($H4904="",$N4904&gt;0),OR($I4904="",$I4904="NR",$O4904&gt;0),IF(ISNUMBER($J4904),AND($J4904&gt;=0,$J4904=INT($J4904)),FALSE())),$J4904,0)</f>
        <v>0</v>
      </c>
      <c r="Q4904" s="64" t="n">
        <f aca="false">IF(AND($P4904&gt;0,$O4904&gt;0),$P4904,0)</f>
        <v>0</v>
      </c>
      <c r="R4904" s="64" t="n">
        <f aca="false">IF(AND($Q4904&gt;0,$O4904&gt;=AtRank),$Q4904,0)</f>
        <v>0</v>
      </c>
      <c r="S4904" s="64" t="n">
        <f aca="false">IF(AND($Q4904&gt;0,$O4904&gt;=AboveRank),$Q4904,0)</f>
        <v>0</v>
      </c>
      <c r="T4904" s="64" t="n">
        <f aca="false">IF($K4904="Less",$P4904,0)</f>
        <v>0</v>
      </c>
      <c r="U4904" s="64" t="n">
        <f aca="false">IF($K4904="Expected",$P4904,0)</f>
        <v>0</v>
      </c>
      <c r="V4904" s="64" t="n">
        <f aca="false">IF($K4904="Better",$P4904,0)</f>
        <v>0</v>
      </c>
      <c r="W4904" s="64" t="n">
        <f aca="false">IF($K4904="U – needs rule",$P4904,0)</f>
        <v>0</v>
      </c>
      <c r="X4904" s="64" t="n">
        <f aca="false">IF($K4904="No Start (attainment only)",$P4904,0)</f>
        <v>0</v>
      </c>
    </row>
    <row r="4905" customFormat="false" ht="15" hidden="false" customHeight="false" outlineLevel="0" collapsed="false">
      <c r="A4905" s="60"/>
      <c r="B4905" s="61" t="str">
        <f aca="false">IF($M4905=0,"",INDEX(Classes!$E$6:$E$420,$M4905))</f>
        <v/>
      </c>
      <c r="C4905" s="62" t="str">
        <f aca="false">IF($M4905=0,"",INDEX(Classes!$H$6:$H$420,$M4905))</f>
        <v/>
      </c>
      <c r="D4905" s="61" t="str">
        <f aca="false">IF($M4905=0,"",INDEX(Classes!$B$6:$B$420,$M4905))</f>
        <v/>
      </c>
      <c r="E4905" s="61" t="str">
        <f aca="false">IF($M4905=0,"",INDEX(Classes!$C$6:$C$420,$M4905))</f>
        <v/>
      </c>
      <c r="F4905" s="63"/>
      <c r="G4905" s="63"/>
      <c r="H4905" s="60"/>
      <c r="I4905" s="60"/>
      <c r="J4905" s="63"/>
      <c r="K4905" s="61" t="str">
        <f aca="false">IF($P4905=0,"",IF($F4905="Baseline","— Baseline",IF($O4905=0,"No result",IF($N4905=0,"No Start (attainment only)",IF(OR($N4905=1,$O4905=1),"U – needs rule",INDEX(MxBody,MATCH($I4905,MxCurr,0),MATCH($H4905,MxStart,0)))))))</f>
        <v/>
      </c>
      <c r="L4905" s="62" t="str">
        <f aca="false">IF(COUNTA($A4905,$F4905,$G4905,$H4905,$I4905,$J4905)=0,"",IF($M4905=0,"✖ كود الصف غير موجود",IF(ISNA(MATCH($F4905,Lists!$A$2:$A$5,0)),"✖ الفترة غير صحيحة",IF(ISNA(MATCH($G4905,Lists!$B$2:$B$7,0)),"✖ المجموعة غير صحيحة",IF(NOT(OR($H4905="",$N4905&gt;0)),"✖ Start غير صحيح",IF(NOT(OR($I4905="",$I4905="NR",$O4905&gt;0)),"✖ Current غير صحيح",IF(NOT(IF(ISNUMBER($J4905),AND($J4905&gt;=0,$J4905=INT($J4905)),FALSE())),"✖ العدد يجب أن يكون صحيحًا ≥ 0",IF(AND($F4905="Baseline",$H4905&lt;&gt;""),"⚠ Baseline: Start لا يدخل في التقدم",IF($K4905="No Start (attainment only)","ℹ تحصيل فقط (بدون Start)",IF($K4905="U – needs rule","ℹ حالة U تحتاج قاعدة معتمدة",IF($K4905="No result","ℹ بدون نتيجة (يُستبعد من التحصيل)","OK")))))))))))</f>
        <v/>
      </c>
      <c r="M4905" s="64" t="n">
        <f aca="false">IF($A4905="",0,IFERROR(MATCH($A4905,Classes!$A$6:$A$420,0),0))</f>
        <v>0</v>
      </c>
      <c r="N4905" s="64" t="n">
        <f aca="false">IF($H4905="",0,IFERROR(MATCH($H4905,GradeList,0),0))</f>
        <v>0</v>
      </c>
      <c r="O4905" s="64" t="n">
        <f aca="false">IF(OR($I4905="",$I4905="NR"),0,IFERROR(MATCH($I4905,GradeList,0),0))</f>
        <v>0</v>
      </c>
      <c r="P4905" s="64" t="n">
        <f aca="false">IF(AND($M4905&gt;0,ISNUMBER(MATCH($F4905,Lists!$A$2:$A$5,0)),ISNUMBER(MATCH($G4905,Lists!$B$2:$B$7,0)),OR($H4905="",$N4905&gt;0),OR($I4905="",$I4905="NR",$O4905&gt;0),IF(ISNUMBER($J4905),AND($J4905&gt;=0,$J4905=INT($J4905)),FALSE())),$J4905,0)</f>
        <v>0</v>
      </c>
      <c r="Q4905" s="64" t="n">
        <f aca="false">IF(AND($P4905&gt;0,$O4905&gt;0),$P4905,0)</f>
        <v>0</v>
      </c>
      <c r="R4905" s="64" t="n">
        <f aca="false">IF(AND($Q4905&gt;0,$O4905&gt;=AtRank),$Q4905,0)</f>
        <v>0</v>
      </c>
      <c r="S4905" s="64" t="n">
        <f aca="false">IF(AND($Q4905&gt;0,$O4905&gt;=AboveRank),$Q4905,0)</f>
        <v>0</v>
      </c>
      <c r="T4905" s="64" t="n">
        <f aca="false">IF($K4905="Less",$P4905,0)</f>
        <v>0</v>
      </c>
      <c r="U4905" s="64" t="n">
        <f aca="false">IF($K4905="Expected",$P4905,0)</f>
        <v>0</v>
      </c>
      <c r="V4905" s="64" t="n">
        <f aca="false">IF($K4905="Better",$P4905,0)</f>
        <v>0</v>
      </c>
      <c r="W4905" s="64" t="n">
        <f aca="false">IF($K4905="U – needs rule",$P4905,0)</f>
        <v>0</v>
      </c>
      <c r="X4905" s="64" t="n">
        <f aca="false">IF($K4905="No Start (attainment only)",$P4905,0)</f>
        <v>0</v>
      </c>
    </row>
    <row r="4906" customFormat="false" ht="15" hidden="false" customHeight="false" outlineLevel="0" collapsed="false">
      <c r="A4906" s="60"/>
      <c r="B4906" s="61" t="str">
        <f aca="false">IF($M4906=0,"",INDEX(Classes!$E$6:$E$420,$M4906))</f>
        <v/>
      </c>
      <c r="C4906" s="62" t="str">
        <f aca="false">IF($M4906=0,"",INDEX(Classes!$H$6:$H$420,$M4906))</f>
        <v/>
      </c>
      <c r="D4906" s="61" t="str">
        <f aca="false">IF($M4906=0,"",INDEX(Classes!$B$6:$B$420,$M4906))</f>
        <v/>
      </c>
      <c r="E4906" s="61" t="str">
        <f aca="false">IF($M4906=0,"",INDEX(Classes!$C$6:$C$420,$M4906))</f>
        <v/>
      </c>
      <c r="F4906" s="63"/>
      <c r="G4906" s="63"/>
      <c r="H4906" s="60"/>
      <c r="I4906" s="60"/>
      <c r="J4906" s="63"/>
      <c r="K4906" s="61" t="str">
        <f aca="false">IF($P4906=0,"",IF($F4906="Baseline","— Baseline",IF($O4906=0,"No result",IF($N4906=0,"No Start (attainment only)",IF(OR($N4906=1,$O4906=1),"U – needs rule",INDEX(MxBody,MATCH($I4906,MxCurr,0),MATCH($H4906,MxStart,0)))))))</f>
        <v/>
      </c>
      <c r="L4906" s="62" t="str">
        <f aca="false">IF(COUNTA($A4906,$F4906,$G4906,$H4906,$I4906,$J4906)=0,"",IF($M4906=0,"✖ كود الصف غير موجود",IF(ISNA(MATCH($F4906,Lists!$A$2:$A$5,0)),"✖ الفترة غير صحيحة",IF(ISNA(MATCH($G4906,Lists!$B$2:$B$7,0)),"✖ المجموعة غير صحيحة",IF(NOT(OR($H4906="",$N4906&gt;0)),"✖ Start غير صحيح",IF(NOT(OR($I4906="",$I4906="NR",$O4906&gt;0)),"✖ Current غير صحيح",IF(NOT(IF(ISNUMBER($J4906),AND($J4906&gt;=0,$J4906=INT($J4906)),FALSE())),"✖ العدد يجب أن يكون صحيحًا ≥ 0",IF(AND($F4906="Baseline",$H4906&lt;&gt;""),"⚠ Baseline: Start لا يدخل في التقدم",IF($K4906="No Start (attainment only)","ℹ تحصيل فقط (بدون Start)",IF($K4906="U – needs rule","ℹ حالة U تحتاج قاعدة معتمدة",IF($K4906="No result","ℹ بدون نتيجة (يُستبعد من التحصيل)","OK")))))))))))</f>
        <v/>
      </c>
      <c r="M4906" s="64" t="n">
        <f aca="false">IF($A4906="",0,IFERROR(MATCH($A4906,Classes!$A$6:$A$420,0),0))</f>
        <v>0</v>
      </c>
      <c r="N4906" s="64" t="n">
        <f aca="false">IF($H4906="",0,IFERROR(MATCH($H4906,GradeList,0),0))</f>
        <v>0</v>
      </c>
      <c r="O4906" s="64" t="n">
        <f aca="false">IF(OR($I4906="",$I4906="NR"),0,IFERROR(MATCH($I4906,GradeList,0),0))</f>
        <v>0</v>
      </c>
      <c r="P4906" s="64" t="n">
        <f aca="false">IF(AND($M4906&gt;0,ISNUMBER(MATCH($F4906,Lists!$A$2:$A$5,0)),ISNUMBER(MATCH($G4906,Lists!$B$2:$B$7,0)),OR($H4906="",$N4906&gt;0),OR($I4906="",$I4906="NR",$O4906&gt;0),IF(ISNUMBER($J4906),AND($J4906&gt;=0,$J4906=INT($J4906)),FALSE())),$J4906,0)</f>
        <v>0</v>
      </c>
      <c r="Q4906" s="64" t="n">
        <f aca="false">IF(AND($P4906&gt;0,$O4906&gt;0),$P4906,0)</f>
        <v>0</v>
      </c>
      <c r="R4906" s="64" t="n">
        <f aca="false">IF(AND($Q4906&gt;0,$O4906&gt;=AtRank),$Q4906,0)</f>
        <v>0</v>
      </c>
      <c r="S4906" s="64" t="n">
        <f aca="false">IF(AND($Q4906&gt;0,$O4906&gt;=AboveRank),$Q4906,0)</f>
        <v>0</v>
      </c>
      <c r="T4906" s="64" t="n">
        <f aca="false">IF($K4906="Less",$P4906,0)</f>
        <v>0</v>
      </c>
      <c r="U4906" s="64" t="n">
        <f aca="false">IF($K4906="Expected",$P4906,0)</f>
        <v>0</v>
      </c>
      <c r="V4906" s="64" t="n">
        <f aca="false">IF($K4906="Better",$P4906,0)</f>
        <v>0</v>
      </c>
      <c r="W4906" s="64" t="n">
        <f aca="false">IF($K4906="U – needs rule",$P4906,0)</f>
        <v>0</v>
      </c>
      <c r="X4906" s="64" t="n">
        <f aca="false">IF($K4906="No Start (attainment only)",$P4906,0)</f>
        <v>0</v>
      </c>
    </row>
    <row r="4907" customFormat="false" ht="15" hidden="false" customHeight="false" outlineLevel="0" collapsed="false">
      <c r="A4907" s="60"/>
      <c r="B4907" s="61" t="str">
        <f aca="false">IF($M4907=0,"",INDEX(Classes!$E$6:$E$420,$M4907))</f>
        <v/>
      </c>
      <c r="C4907" s="62" t="str">
        <f aca="false">IF($M4907=0,"",INDEX(Classes!$H$6:$H$420,$M4907))</f>
        <v/>
      </c>
      <c r="D4907" s="61" t="str">
        <f aca="false">IF($M4907=0,"",INDEX(Classes!$B$6:$B$420,$M4907))</f>
        <v/>
      </c>
      <c r="E4907" s="61" t="str">
        <f aca="false">IF($M4907=0,"",INDEX(Classes!$C$6:$C$420,$M4907))</f>
        <v/>
      </c>
      <c r="F4907" s="63"/>
      <c r="G4907" s="63"/>
      <c r="H4907" s="60"/>
      <c r="I4907" s="60"/>
      <c r="J4907" s="63"/>
      <c r="K4907" s="61" t="str">
        <f aca="false">IF($P4907=0,"",IF($F4907="Baseline","— Baseline",IF($O4907=0,"No result",IF($N4907=0,"No Start (attainment only)",IF(OR($N4907=1,$O4907=1),"U – needs rule",INDEX(MxBody,MATCH($I4907,MxCurr,0),MATCH($H4907,MxStart,0)))))))</f>
        <v/>
      </c>
      <c r="L4907" s="62" t="str">
        <f aca="false">IF(COUNTA($A4907,$F4907,$G4907,$H4907,$I4907,$J4907)=0,"",IF($M4907=0,"✖ كود الصف غير موجود",IF(ISNA(MATCH($F4907,Lists!$A$2:$A$5,0)),"✖ الفترة غير صحيحة",IF(ISNA(MATCH($G4907,Lists!$B$2:$B$7,0)),"✖ المجموعة غير صحيحة",IF(NOT(OR($H4907="",$N4907&gt;0)),"✖ Start غير صحيح",IF(NOT(OR($I4907="",$I4907="NR",$O4907&gt;0)),"✖ Current غير صحيح",IF(NOT(IF(ISNUMBER($J4907),AND($J4907&gt;=0,$J4907=INT($J4907)),FALSE())),"✖ العدد يجب أن يكون صحيحًا ≥ 0",IF(AND($F4907="Baseline",$H4907&lt;&gt;""),"⚠ Baseline: Start لا يدخل في التقدم",IF($K4907="No Start (attainment only)","ℹ تحصيل فقط (بدون Start)",IF($K4907="U – needs rule","ℹ حالة U تحتاج قاعدة معتمدة",IF($K4907="No result","ℹ بدون نتيجة (يُستبعد من التحصيل)","OK")))))))))))</f>
        <v/>
      </c>
      <c r="M4907" s="64" t="n">
        <f aca="false">IF($A4907="",0,IFERROR(MATCH($A4907,Classes!$A$6:$A$420,0),0))</f>
        <v>0</v>
      </c>
      <c r="N4907" s="64" t="n">
        <f aca="false">IF($H4907="",0,IFERROR(MATCH($H4907,GradeList,0),0))</f>
        <v>0</v>
      </c>
      <c r="O4907" s="64" t="n">
        <f aca="false">IF(OR($I4907="",$I4907="NR"),0,IFERROR(MATCH($I4907,GradeList,0),0))</f>
        <v>0</v>
      </c>
      <c r="P4907" s="64" t="n">
        <f aca="false">IF(AND($M4907&gt;0,ISNUMBER(MATCH($F4907,Lists!$A$2:$A$5,0)),ISNUMBER(MATCH($G4907,Lists!$B$2:$B$7,0)),OR($H4907="",$N4907&gt;0),OR($I4907="",$I4907="NR",$O4907&gt;0),IF(ISNUMBER($J4907),AND($J4907&gt;=0,$J4907=INT($J4907)),FALSE())),$J4907,0)</f>
        <v>0</v>
      </c>
      <c r="Q4907" s="64" t="n">
        <f aca="false">IF(AND($P4907&gt;0,$O4907&gt;0),$P4907,0)</f>
        <v>0</v>
      </c>
      <c r="R4907" s="64" t="n">
        <f aca="false">IF(AND($Q4907&gt;0,$O4907&gt;=AtRank),$Q4907,0)</f>
        <v>0</v>
      </c>
      <c r="S4907" s="64" t="n">
        <f aca="false">IF(AND($Q4907&gt;0,$O4907&gt;=AboveRank),$Q4907,0)</f>
        <v>0</v>
      </c>
      <c r="T4907" s="64" t="n">
        <f aca="false">IF($K4907="Less",$P4907,0)</f>
        <v>0</v>
      </c>
      <c r="U4907" s="64" t="n">
        <f aca="false">IF($K4907="Expected",$P4907,0)</f>
        <v>0</v>
      </c>
      <c r="V4907" s="64" t="n">
        <f aca="false">IF($K4907="Better",$P4907,0)</f>
        <v>0</v>
      </c>
      <c r="W4907" s="64" t="n">
        <f aca="false">IF($K4907="U – needs rule",$P4907,0)</f>
        <v>0</v>
      </c>
      <c r="X4907" s="64" t="n">
        <f aca="false">IF($K4907="No Start (attainment only)",$P4907,0)</f>
        <v>0</v>
      </c>
    </row>
    <row r="4908" customFormat="false" ht="15" hidden="false" customHeight="false" outlineLevel="0" collapsed="false">
      <c r="A4908" s="60"/>
      <c r="B4908" s="61" t="str">
        <f aca="false">IF($M4908=0,"",INDEX(Classes!$E$6:$E$420,$M4908))</f>
        <v/>
      </c>
      <c r="C4908" s="62" t="str">
        <f aca="false">IF($M4908=0,"",INDEX(Classes!$H$6:$H$420,$M4908))</f>
        <v/>
      </c>
      <c r="D4908" s="61" t="str">
        <f aca="false">IF($M4908=0,"",INDEX(Classes!$B$6:$B$420,$M4908))</f>
        <v/>
      </c>
      <c r="E4908" s="61" t="str">
        <f aca="false">IF($M4908=0,"",INDEX(Classes!$C$6:$C$420,$M4908))</f>
        <v/>
      </c>
      <c r="F4908" s="63"/>
      <c r="G4908" s="63"/>
      <c r="H4908" s="60"/>
      <c r="I4908" s="60"/>
      <c r="J4908" s="63"/>
      <c r="K4908" s="61" t="str">
        <f aca="false">IF($P4908=0,"",IF($F4908="Baseline","— Baseline",IF($O4908=0,"No result",IF($N4908=0,"No Start (attainment only)",IF(OR($N4908=1,$O4908=1),"U – needs rule",INDEX(MxBody,MATCH($I4908,MxCurr,0),MATCH($H4908,MxStart,0)))))))</f>
        <v/>
      </c>
      <c r="L4908" s="62" t="str">
        <f aca="false">IF(COUNTA($A4908,$F4908,$G4908,$H4908,$I4908,$J4908)=0,"",IF($M4908=0,"✖ كود الصف غير موجود",IF(ISNA(MATCH($F4908,Lists!$A$2:$A$5,0)),"✖ الفترة غير صحيحة",IF(ISNA(MATCH($G4908,Lists!$B$2:$B$7,0)),"✖ المجموعة غير صحيحة",IF(NOT(OR($H4908="",$N4908&gt;0)),"✖ Start غير صحيح",IF(NOT(OR($I4908="",$I4908="NR",$O4908&gt;0)),"✖ Current غير صحيح",IF(NOT(IF(ISNUMBER($J4908),AND($J4908&gt;=0,$J4908=INT($J4908)),FALSE())),"✖ العدد يجب أن يكون صحيحًا ≥ 0",IF(AND($F4908="Baseline",$H4908&lt;&gt;""),"⚠ Baseline: Start لا يدخل في التقدم",IF($K4908="No Start (attainment only)","ℹ تحصيل فقط (بدون Start)",IF($K4908="U – needs rule","ℹ حالة U تحتاج قاعدة معتمدة",IF($K4908="No result","ℹ بدون نتيجة (يُستبعد من التحصيل)","OK")))))))))))</f>
        <v/>
      </c>
      <c r="M4908" s="64" t="n">
        <f aca="false">IF($A4908="",0,IFERROR(MATCH($A4908,Classes!$A$6:$A$420,0),0))</f>
        <v>0</v>
      </c>
      <c r="N4908" s="64" t="n">
        <f aca="false">IF($H4908="",0,IFERROR(MATCH($H4908,GradeList,0),0))</f>
        <v>0</v>
      </c>
      <c r="O4908" s="64" t="n">
        <f aca="false">IF(OR($I4908="",$I4908="NR"),0,IFERROR(MATCH($I4908,GradeList,0),0))</f>
        <v>0</v>
      </c>
      <c r="P4908" s="64" t="n">
        <f aca="false">IF(AND($M4908&gt;0,ISNUMBER(MATCH($F4908,Lists!$A$2:$A$5,0)),ISNUMBER(MATCH($G4908,Lists!$B$2:$B$7,0)),OR($H4908="",$N4908&gt;0),OR($I4908="",$I4908="NR",$O4908&gt;0),IF(ISNUMBER($J4908),AND($J4908&gt;=0,$J4908=INT($J4908)),FALSE())),$J4908,0)</f>
        <v>0</v>
      </c>
      <c r="Q4908" s="64" t="n">
        <f aca="false">IF(AND($P4908&gt;0,$O4908&gt;0),$P4908,0)</f>
        <v>0</v>
      </c>
      <c r="R4908" s="64" t="n">
        <f aca="false">IF(AND($Q4908&gt;0,$O4908&gt;=AtRank),$Q4908,0)</f>
        <v>0</v>
      </c>
      <c r="S4908" s="64" t="n">
        <f aca="false">IF(AND($Q4908&gt;0,$O4908&gt;=AboveRank),$Q4908,0)</f>
        <v>0</v>
      </c>
      <c r="T4908" s="64" t="n">
        <f aca="false">IF($K4908="Less",$P4908,0)</f>
        <v>0</v>
      </c>
      <c r="U4908" s="64" t="n">
        <f aca="false">IF($K4908="Expected",$P4908,0)</f>
        <v>0</v>
      </c>
      <c r="V4908" s="64" t="n">
        <f aca="false">IF($K4908="Better",$P4908,0)</f>
        <v>0</v>
      </c>
      <c r="W4908" s="64" t="n">
        <f aca="false">IF($K4908="U – needs rule",$P4908,0)</f>
        <v>0</v>
      </c>
      <c r="X4908" s="64" t="n">
        <f aca="false">IF($K4908="No Start (attainment only)",$P4908,0)</f>
        <v>0</v>
      </c>
    </row>
    <row r="4909" customFormat="false" ht="15" hidden="false" customHeight="false" outlineLevel="0" collapsed="false">
      <c r="A4909" s="60"/>
      <c r="B4909" s="61" t="str">
        <f aca="false">IF($M4909=0,"",INDEX(Classes!$E$6:$E$420,$M4909))</f>
        <v/>
      </c>
      <c r="C4909" s="62" t="str">
        <f aca="false">IF($M4909=0,"",INDEX(Classes!$H$6:$H$420,$M4909))</f>
        <v/>
      </c>
      <c r="D4909" s="61" t="str">
        <f aca="false">IF($M4909=0,"",INDEX(Classes!$B$6:$B$420,$M4909))</f>
        <v/>
      </c>
      <c r="E4909" s="61" t="str">
        <f aca="false">IF($M4909=0,"",INDEX(Classes!$C$6:$C$420,$M4909))</f>
        <v/>
      </c>
      <c r="F4909" s="63"/>
      <c r="G4909" s="63"/>
      <c r="H4909" s="60"/>
      <c r="I4909" s="60"/>
      <c r="J4909" s="63"/>
      <c r="K4909" s="61" t="str">
        <f aca="false">IF($P4909=0,"",IF($F4909="Baseline","— Baseline",IF($O4909=0,"No result",IF($N4909=0,"No Start (attainment only)",IF(OR($N4909=1,$O4909=1),"U – needs rule",INDEX(MxBody,MATCH($I4909,MxCurr,0),MATCH($H4909,MxStart,0)))))))</f>
        <v/>
      </c>
      <c r="L4909" s="62" t="str">
        <f aca="false">IF(COUNTA($A4909,$F4909,$G4909,$H4909,$I4909,$J4909)=0,"",IF($M4909=0,"✖ كود الصف غير موجود",IF(ISNA(MATCH($F4909,Lists!$A$2:$A$5,0)),"✖ الفترة غير صحيحة",IF(ISNA(MATCH($G4909,Lists!$B$2:$B$7,0)),"✖ المجموعة غير صحيحة",IF(NOT(OR($H4909="",$N4909&gt;0)),"✖ Start غير صحيح",IF(NOT(OR($I4909="",$I4909="NR",$O4909&gt;0)),"✖ Current غير صحيح",IF(NOT(IF(ISNUMBER($J4909),AND($J4909&gt;=0,$J4909=INT($J4909)),FALSE())),"✖ العدد يجب أن يكون صحيحًا ≥ 0",IF(AND($F4909="Baseline",$H4909&lt;&gt;""),"⚠ Baseline: Start لا يدخل في التقدم",IF($K4909="No Start (attainment only)","ℹ تحصيل فقط (بدون Start)",IF($K4909="U – needs rule","ℹ حالة U تحتاج قاعدة معتمدة",IF($K4909="No result","ℹ بدون نتيجة (يُستبعد من التحصيل)","OK")))))))))))</f>
        <v/>
      </c>
      <c r="M4909" s="64" t="n">
        <f aca="false">IF($A4909="",0,IFERROR(MATCH($A4909,Classes!$A$6:$A$420,0),0))</f>
        <v>0</v>
      </c>
      <c r="N4909" s="64" t="n">
        <f aca="false">IF($H4909="",0,IFERROR(MATCH($H4909,GradeList,0),0))</f>
        <v>0</v>
      </c>
      <c r="O4909" s="64" t="n">
        <f aca="false">IF(OR($I4909="",$I4909="NR"),0,IFERROR(MATCH($I4909,GradeList,0),0))</f>
        <v>0</v>
      </c>
      <c r="P4909" s="64" t="n">
        <f aca="false">IF(AND($M4909&gt;0,ISNUMBER(MATCH($F4909,Lists!$A$2:$A$5,0)),ISNUMBER(MATCH($G4909,Lists!$B$2:$B$7,0)),OR($H4909="",$N4909&gt;0),OR($I4909="",$I4909="NR",$O4909&gt;0),IF(ISNUMBER($J4909),AND($J4909&gt;=0,$J4909=INT($J4909)),FALSE())),$J4909,0)</f>
        <v>0</v>
      </c>
      <c r="Q4909" s="64" t="n">
        <f aca="false">IF(AND($P4909&gt;0,$O4909&gt;0),$P4909,0)</f>
        <v>0</v>
      </c>
      <c r="R4909" s="64" t="n">
        <f aca="false">IF(AND($Q4909&gt;0,$O4909&gt;=AtRank),$Q4909,0)</f>
        <v>0</v>
      </c>
      <c r="S4909" s="64" t="n">
        <f aca="false">IF(AND($Q4909&gt;0,$O4909&gt;=AboveRank),$Q4909,0)</f>
        <v>0</v>
      </c>
      <c r="T4909" s="64" t="n">
        <f aca="false">IF($K4909="Less",$P4909,0)</f>
        <v>0</v>
      </c>
      <c r="U4909" s="64" t="n">
        <f aca="false">IF($K4909="Expected",$P4909,0)</f>
        <v>0</v>
      </c>
      <c r="V4909" s="64" t="n">
        <f aca="false">IF($K4909="Better",$P4909,0)</f>
        <v>0</v>
      </c>
      <c r="W4909" s="64" t="n">
        <f aca="false">IF($K4909="U – needs rule",$P4909,0)</f>
        <v>0</v>
      </c>
      <c r="X4909" s="64" t="n">
        <f aca="false">IF($K4909="No Start (attainment only)",$P4909,0)</f>
        <v>0</v>
      </c>
    </row>
    <row r="4910" customFormat="false" ht="15" hidden="false" customHeight="false" outlineLevel="0" collapsed="false">
      <c r="A4910" s="60"/>
      <c r="B4910" s="61" t="str">
        <f aca="false">IF($M4910=0,"",INDEX(Classes!$E$6:$E$420,$M4910))</f>
        <v/>
      </c>
      <c r="C4910" s="62" t="str">
        <f aca="false">IF($M4910=0,"",INDEX(Classes!$H$6:$H$420,$M4910))</f>
        <v/>
      </c>
      <c r="D4910" s="61" t="str">
        <f aca="false">IF($M4910=0,"",INDEX(Classes!$B$6:$B$420,$M4910))</f>
        <v/>
      </c>
      <c r="E4910" s="61" t="str">
        <f aca="false">IF($M4910=0,"",INDEX(Classes!$C$6:$C$420,$M4910))</f>
        <v/>
      </c>
      <c r="F4910" s="63"/>
      <c r="G4910" s="63"/>
      <c r="H4910" s="60"/>
      <c r="I4910" s="60"/>
      <c r="J4910" s="63"/>
      <c r="K4910" s="61" t="str">
        <f aca="false">IF($P4910=0,"",IF($F4910="Baseline","— Baseline",IF($O4910=0,"No result",IF($N4910=0,"No Start (attainment only)",IF(OR($N4910=1,$O4910=1),"U – needs rule",INDEX(MxBody,MATCH($I4910,MxCurr,0),MATCH($H4910,MxStart,0)))))))</f>
        <v/>
      </c>
      <c r="L4910" s="62" t="str">
        <f aca="false">IF(COUNTA($A4910,$F4910,$G4910,$H4910,$I4910,$J4910)=0,"",IF($M4910=0,"✖ كود الصف غير موجود",IF(ISNA(MATCH($F4910,Lists!$A$2:$A$5,0)),"✖ الفترة غير صحيحة",IF(ISNA(MATCH($G4910,Lists!$B$2:$B$7,0)),"✖ المجموعة غير صحيحة",IF(NOT(OR($H4910="",$N4910&gt;0)),"✖ Start غير صحيح",IF(NOT(OR($I4910="",$I4910="NR",$O4910&gt;0)),"✖ Current غير صحيح",IF(NOT(IF(ISNUMBER($J4910),AND($J4910&gt;=0,$J4910=INT($J4910)),FALSE())),"✖ العدد يجب أن يكون صحيحًا ≥ 0",IF(AND($F4910="Baseline",$H4910&lt;&gt;""),"⚠ Baseline: Start لا يدخل في التقدم",IF($K4910="No Start (attainment only)","ℹ تحصيل فقط (بدون Start)",IF($K4910="U – needs rule","ℹ حالة U تحتاج قاعدة معتمدة",IF($K4910="No result","ℹ بدون نتيجة (يُستبعد من التحصيل)","OK")))))))))))</f>
        <v/>
      </c>
      <c r="M4910" s="64" t="n">
        <f aca="false">IF($A4910="",0,IFERROR(MATCH($A4910,Classes!$A$6:$A$420,0),0))</f>
        <v>0</v>
      </c>
      <c r="N4910" s="64" t="n">
        <f aca="false">IF($H4910="",0,IFERROR(MATCH($H4910,GradeList,0),0))</f>
        <v>0</v>
      </c>
      <c r="O4910" s="64" t="n">
        <f aca="false">IF(OR($I4910="",$I4910="NR"),0,IFERROR(MATCH($I4910,GradeList,0),0))</f>
        <v>0</v>
      </c>
      <c r="P4910" s="64" t="n">
        <f aca="false">IF(AND($M4910&gt;0,ISNUMBER(MATCH($F4910,Lists!$A$2:$A$5,0)),ISNUMBER(MATCH($G4910,Lists!$B$2:$B$7,0)),OR($H4910="",$N4910&gt;0),OR($I4910="",$I4910="NR",$O4910&gt;0),IF(ISNUMBER($J4910),AND($J4910&gt;=0,$J4910=INT($J4910)),FALSE())),$J4910,0)</f>
        <v>0</v>
      </c>
      <c r="Q4910" s="64" t="n">
        <f aca="false">IF(AND($P4910&gt;0,$O4910&gt;0),$P4910,0)</f>
        <v>0</v>
      </c>
      <c r="R4910" s="64" t="n">
        <f aca="false">IF(AND($Q4910&gt;0,$O4910&gt;=AtRank),$Q4910,0)</f>
        <v>0</v>
      </c>
      <c r="S4910" s="64" t="n">
        <f aca="false">IF(AND($Q4910&gt;0,$O4910&gt;=AboveRank),$Q4910,0)</f>
        <v>0</v>
      </c>
      <c r="T4910" s="64" t="n">
        <f aca="false">IF($K4910="Less",$P4910,0)</f>
        <v>0</v>
      </c>
      <c r="U4910" s="64" t="n">
        <f aca="false">IF($K4910="Expected",$P4910,0)</f>
        <v>0</v>
      </c>
      <c r="V4910" s="64" t="n">
        <f aca="false">IF($K4910="Better",$P4910,0)</f>
        <v>0</v>
      </c>
      <c r="W4910" s="64" t="n">
        <f aca="false">IF($K4910="U – needs rule",$P4910,0)</f>
        <v>0</v>
      </c>
      <c r="X4910" s="64" t="n">
        <f aca="false">IF($K4910="No Start (attainment only)",$P4910,0)</f>
        <v>0</v>
      </c>
    </row>
    <row r="4911" customFormat="false" ht="15" hidden="false" customHeight="false" outlineLevel="0" collapsed="false">
      <c r="A4911" s="60"/>
      <c r="B4911" s="61" t="str">
        <f aca="false">IF($M4911=0,"",INDEX(Classes!$E$6:$E$420,$M4911))</f>
        <v/>
      </c>
      <c r="C4911" s="62" t="str">
        <f aca="false">IF($M4911=0,"",INDEX(Classes!$H$6:$H$420,$M4911))</f>
        <v/>
      </c>
      <c r="D4911" s="61" t="str">
        <f aca="false">IF($M4911=0,"",INDEX(Classes!$B$6:$B$420,$M4911))</f>
        <v/>
      </c>
      <c r="E4911" s="61" t="str">
        <f aca="false">IF($M4911=0,"",INDEX(Classes!$C$6:$C$420,$M4911))</f>
        <v/>
      </c>
      <c r="F4911" s="63"/>
      <c r="G4911" s="63"/>
      <c r="H4911" s="60"/>
      <c r="I4911" s="60"/>
      <c r="J4911" s="63"/>
      <c r="K4911" s="61" t="str">
        <f aca="false">IF($P4911=0,"",IF($F4911="Baseline","— Baseline",IF($O4911=0,"No result",IF($N4911=0,"No Start (attainment only)",IF(OR($N4911=1,$O4911=1),"U – needs rule",INDEX(MxBody,MATCH($I4911,MxCurr,0),MATCH($H4911,MxStart,0)))))))</f>
        <v/>
      </c>
      <c r="L4911" s="62" t="str">
        <f aca="false">IF(COUNTA($A4911,$F4911,$G4911,$H4911,$I4911,$J4911)=0,"",IF($M4911=0,"✖ كود الصف غير موجود",IF(ISNA(MATCH($F4911,Lists!$A$2:$A$5,0)),"✖ الفترة غير صحيحة",IF(ISNA(MATCH($G4911,Lists!$B$2:$B$7,0)),"✖ المجموعة غير صحيحة",IF(NOT(OR($H4911="",$N4911&gt;0)),"✖ Start غير صحيح",IF(NOT(OR($I4911="",$I4911="NR",$O4911&gt;0)),"✖ Current غير صحيح",IF(NOT(IF(ISNUMBER($J4911),AND($J4911&gt;=0,$J4911=INT($J4911)),FALSE())),"✖ العدد يجب أن يكون صحيحًا ≥ 0",IF(AND($F4911="Baseline",$H4911&lt;&gt;""),"⚠ Baseline: Start لا يدخل في التقدم",IF($K4911="No Start (attainment only)","ℹ تحصيل فقط (بدون Start)",IF($K4911="U – needs rule","ℹ حالة U تحتاج قاعدة معتمدة",IF($K4911="No result","ℹ بدون نتيجة (يُستبعد من التحصيل)","OK")))))))))))</f>
        <v/>
      </c>
      <c r="M4911" s="64" t="n">
        <f aca="false">IF($A4911="",0,IFERROR(MATCH($A4911,Classes!$A$6:$A$420,0),0))</f>
        <v>0</v>
      </c>
      <c r="N4911" s="64" t="n">
        <f aca="false">IF($H4911="",0,IFERROR(MATCH($H4911,GradeList,0),0))</f>
        <v>0</v>
      </c>
      <c r="O4911" s="64" t="n">
        <f aca="false">IF(OR($I4911="",$I4911="NR"),0,IFERROR(MATCH($I4911,GradeList,0),0))</f>
        <v>0</v>
      </c>
      <c r="P4911" s="64" t="n">
        <f aca="false">IF(AND($M4911&gt;0,ISNUMBER(MATCH($F4911,Lists!$A$2:$A$5,0)),ISNUMBER(MATCH($G4911,Lists!$B$2:$B$7,0)),OR($H4911="",$N4911&gt;0),OR($I4911="",$I4911="NR",$O4911&gt;0),IF(ISNUMBER($J4911),AND($J4911&gt;=0,$J4911=INT($J4911)),FALSE())),$J4911,0)</f>
        <v>0</v>
      </c>
      <c r="Q4911" s="64" t="n">
        <f aca="false">IF(AND($P4911&gt;0,$O4911&gt;0),$P4911,0)</f>
        <v>0</v>
      </c>
      <c r="R4911" s="64" t="n">
        <f aca="false">IF(AND($Q4911&gt;0,$O4911&gt;=AtRank),$Q4911,0)</f>
        <v>0</v>
      </c>
      <c r="S4911" s="64" t="n">
        <f aca="false">IF(AND($Q4911&gt;0,$O4911&gt;=AboveRank),$Q4911,0)</f>
        <v>0</v>
      </c>
      <c r="T4911" s="64" t="n">
        <f aca="false">IF($K4911="Less",$P4911,0)</f>
        <v>0</v>
      </c>
      <c r="U4911" s="64" t="n">
        <f aca="false">IF($K4911="Expected",$P4911,0)</f>
        <v>0</v>
      </c>
      <c r="V4911" s="64" t="n">
        <f aca="false">IF($K4911="Better",$P4911,0)</f>
        <v>0</v>
      </c>
      <c r="W4911" s="64" t="n">
        <f aca="false">IF($K4911="U – needs rule",$P4911,0)</f>
        <v>0</v>
      </c>
      <c r="X4911" s="64" t="n">
        <f aca="false">IF($K4911="No Start (attainment only)",$P4911,0)</f>
        <v>0</v>
      </c>
    </row>
    <row r="4912" customFormat="false" ht="15" hidden="false" customHeight="false" outlineLevel="0" collapsed="false">
      <c r="A4912" s="60"/>
      <c r="B4912" s="61" t="str">
        <f aca="false">IF($M4912=0,"",INDEX(Classes!$E$6:$E$420,$M4912))</f>
        <v/>
      </c>
      <c r="C4912" s="62" t="str">
        <f aca="false">IF($M4912=0,"",INDEX(Classes!$H$6:$H$420,$M4912))</f>
        <v/>
      </c>
      <c r="D4912" s="61" t="str">
        <f aca="false">IF($M4912=0,"",INDEX(Classes!$B$6:$B$420,$M4912))</f>
        <v/>
      </c>
      <c r="E4912" s="61" t="str">
        <f aca="false">IF($M4912=0,"",INDEX(Classes!$C$6:$C$420,$M4912))</f>
        <v/>
      </c>
      <c r="F4912" s="63"/>
      <c r="G4912" s="63"/>
      <c r="H4912" s="60"/>
      <c r="I4912" s="60"/>
      <c r="J4912" s="63"/>
      <c r="K4912" s="61" t="str">
        <f aca="false">IF($P4912=0,"",IF($F4912="Baseline","— Baseline",IF($O4912=0,"No result",IF($N4912=0,"No Start (attainment only)",IF(OR($N4912=1,$O4912=1),"U – needs rule",INDEX(MxBody,MATCH($I4912,MxCurr,0),MATCH($H4912,MxStart,0)))))))</f>
        <v/>
      </c>
      <c r="L4912" s="62" t="str">
        <f aca="false">IF(COUNTA($A4912,$F4912,$G4912,$H4912,$I4912,$J4912)=0,"",IF($M4912=0,"✖ كود الصف غير موجود",IF(ISNA(MATCH($F4912,Lists!$A$2:$A$5,0)),"✖ الفترة غير صحيحة",IF(ISNA(MATCH($G4912,Lists!$B$2:$B$7,0)),"✖ المجموعة غير صحيحة",IF(NOT(OR($H4912="",$N4912&gt;0)),"✖ Start غير صحيح",IF(NOT(OR($I4912="",$I4912="NR",$O4912&gt;0)),"✖ Current غير صحيح",IF(NOT(IF(ISNUMBER($J4912),AND($J4912&gt;=0,$J4912=INT($J4912)),FALSE())),"✖ العدد يجب أن يكون صحيحًا ≥ 0",IF(AND($F4912="Baseline",$H4912&lt;&gt;""),"⚠ Baseline: Start لا يدخل في التقدم",IF($K4912="No Start (attainment only)","ℹ تحصيل فقط (بدون Start)",IF($K4912="U – needs rule","ℹ حالة U تحتاج قاعدة معتمدة",IF($K4912="No result","ℹ بدون نتيجة (يُستبعد من التحصيل)","OK")))))))))))</f>
        <v/>
      </c>
      <c r="M4912" s="64" t="n">
        <f aca="false">IF($A4912="",0,IFERROR(MATCH($A4912,Classes!$A$6:$A$420,0),0))</f>
        <v>0</v>
      </c>
      <c r="N4912" s="64" t="n">
        <f aca="false">IF($H4912="",0,IFERROR(MATCH($H4912,GradeList,0),0))</f>
        <v>0</v>
      </c>
      <c r="O4912" s="64" t="n">
        <f aca="false">IF(OR($I4912="",$I4912="NR"),0,IFERROR(MATCH($I4912,GradeList,0),0))</f>
        <v>0</v>
      </c>
      <c r="P4912" s="64" t="n">
        <f aca="false">IF(AND($M4912&gt;0,ISNUMBER(MATCH($F4912,Lists!$A$2:$A$5,0)),ISNUMBER(MATCH($G4912,Lists!$B$2:$B$7,0)),OR($H4912="",$N4912&gt;0),OR($I4912="",$I4912="NR",$O4912&gt;0),IF(ISNUMBER($J4912),AND($J4912&gt;=0,$J4912=INT($J4912)),FALSE())),$J4912,0)</f>
        <v>0</v>
      </c>
      <c r="Q4912" s="64" t="n">
        <f aca="false">IF(AND($P4912&gt;0,$O4912&gt;0),$P4912,0)</f>
        <v>0</v>
      </c>
      <c r="R4912" s="64" t="n">
        <f aca="false">IF(AND($Q4912&gt;0,$O4912&gt;=AtRank),$Q4912,0)</f>
        <v>0</v>
      </c>
      <c r="S4912" s="64" t="n">
        <f aca="false">IF(AND($Q4912&gt;0,$O4912&gt;=AboveRank),$Q4912,0)</f>
        <v>0</v>
      </c>
      <c r="T4912" s="64" t="n">
        <f aca="false">IF($K4912="Less",$P4912,0)</f>
        <v>0</v>
      </c>
      <c r="U4912" s="64" t="n">
        <f aca="false">IF($K4912="Expected",$P4912,0)</f>
        <v>0</v>
      </c>
      <c r="V4912" s="64" t="n">
        <f aca="false">IF($K4912="Better",$P4912,0)</f>
        <v>0</v>
      </c>
      <c r="W4912" s="64" t="n">
        <f aca="false">IF($K4912="U – needs rule",$P4912,0)</f>
        <v>0</v>
      </c>
      <c r="X4912" s="64" t="n">
        <f aca="false">IF($K4912="No Start (attainment only)",$P4912,0)</f>
        <v>0</v>
      </c>
    </row>
    <row r="4913" customFormat="false" ht="15" hidden="false" customHeight="false" outlineLevel="0" collapsed="false">
      <c r="A4913" s="60"/>
      <c r="B4913" s="61" t="str">
        <f aca="false">IF($M4913=0,"",INDEX(Classes!$E$6:$E$420,$M4913))</f>
        <v/>
      </c>
      <c r="C4913" s="62" t="str">
        <f aca="false">IF($M4913=0,"",INDEX(Classes!$H$6:$H$420,$M4913))</f>
        <v/>
      </c>
      <c r="D4913" s="61" t="str">
        <f aca="false">IF($M4913=0,"",INDEX(Classes!$B$6:$B$420,$M4913))</f>
        <v/>
      </c>
      <c r="E4913" s="61" t="str">
        <f aca="false">IF($M4913=0,"",INDEX(Classes!$C$6:$C$420,$M4913))</f>
        <v/>
      </c>
      <c r="F4913" s="63"/>
      <c r="G4913" s="63"/>
      <c r="H4913" s="60"/>
      <c r="I4913" s="60"/>
      <c r="J4913" s="63"/>
      <c r="K4913" s="61" t="str">
        <f aca="false">IF($P4913=0,"",IF($F4913="Baseline","— Baseline",IF($O4913=0,"No result",IF($N4913=0,"No Start (attainment only)",IF(OR($N4913=1,$O4913=1),"U – needs rule",INDEX(MxBody,MATCH($I4913,MxCurr,0),MATCH($H4913,MxStart,0)))))))</f>
        <v/>
      </c>
      <c r="L4913" s="62" t="str">
        <f aca="false">IF(COUNTA($A4913,$F4913,$G4913,$H4913,$I4913,$J4913)=0,"",IF($M4913=0,"✖ كود الصف غير موجود",IF(ISNA(MATCH($F4913,Lists!$A$2:$A$5,0)),"✖ الفترة غير صحيحة",IF(ISNA(MATCH($G4913,Lists!$B$2:$B$7,0)),"✖ المجموعة غير صحيحة",IF(NOT(OR($H4913="",$N4913&gt;0)),"✖ Start غير صحيح",IF(NOT(OR($I4913="",$I4913="NR",$O4913&gt;0)),"✖ Current غير صحيح",IF(NOT(IF(ISNUMBER($J4913),AND($J4913&gt;=0,$J4913=INT($J4913)),FALSE())),"✖ العدد يجب أن يكون صحيحًا ≥ 0",IF(AND($F4913="Baseline",$H4913&lt;&gt;""),"⚠ Baseline: Start لا يدخل في التقدم",IF($K4913="No Start (attainment only)","ℹ تحصيل فقط (بدون Start)",IF($K4913="U – needs rule","ℹ حالة U تحتاج قاعدة معتمدة",IF($K4913="No result","ℹ بدون نتيجة (يُستبعد من التحصيل)","OK")))))))))))</f>
        <v/>
      </c>
      <c r="M4913" s="64" t="n">
        <f aca="false">IF($A4913="",0,IFERROR(MATCH($A4913,Classes!$A$6:$A$420,0),0))</f>
        <v>0</v>
      </c>
      <c r="N4913" s="64" t="n">
        <f aca="false">IF($H4913="",0,IFERROR(MATCH($H4913,GradeList,0),0))</f>
        <v>0</v>
      </c>
      <c r="O4913" s="64" t="n">
        <f aca="false">IF(OR($I4913="",$I4913="NR"),0,IFERROR(MATCH($I4913,GradeList,0),0))</f>
        <v>0</v>
      </c>
      <c r="P4913" s="64" t="n">
        <f aca="false">IF(AND($M4913&gt;0,ISNUMBER(MATCH($F4913,Lists!$A$2:$A$5,0)),ISNUMBER(MATCH($G4913,Lists!$B$2:$B$7,0)),OR($H4913="",$N4913&gt;0),OR($I4913="",$I4913="NR",$O4913&gt;0),IF(ISNUMBER($J4913),AND($J4913&gt;=0,$J4913=INT($J4913)),FALSE())),$J4913,0)</f>
        <v>0</v>
      </c>
      <c r="Q4913" s="64" t="n">
        <f aca="false">IF(AND($P4913&gt;0,$O4913&gt;0),$P4913,0)</f>
        <v>0</v>
      </c>
      <c r="R4913" s="64" t="n">
        <f aca="false">IF(AND($Q4913&gt;0,$O4913&gt;=AtRank),$Q4913,0)</f>
        <v>0</v>
      </c>
      <c r="S4913" s="64" t="n">
        <f aca="false">IF(AND($Q4913&gt;0,$O4913&gt;=AboveRank),$Q4913,0)</f>
        <v>0</v>
      </c>
      <c r="T4913" s="64" t="n">
        <f aca="false">IF($K4913="Less",$P4913,0)</f>
        <v>0</v>
      </c>
      <c r="U4913" s="64" t="n">
        <f aca="false">IF($K4913="Expected",$P4913,0)</f>
        <v>0</v>
      </c>
      <c r="V4913" s="64" t="n">
        <f aca="false">IF($K4913="Better",$P4913,0)</f>
        <v>0</v>
      </c>
      <c r="W4913" s="64" t="n">
        <f aca="false">IF($K4913="U – needs rule",$P4913,0)</f>
        <v>0</v>
      </c>
      <c r="X4913" s="64" t="n">
        <f aca="false">IF($K4913="No Start (attainment only)",$P4913,0)</f>
        <v>0</v>
      </c>
    </row>
    <row r="4914" customFormat="false" ht="15" hidden="false" customHeight="false" outlineLevel="0" collapsed="false">
      <c r="A4914" s="60"/>
      <c r="B4914" s="61" t="str">
        <f aca="false">IF($M4914=0,"",INDEX(Classes!$E$6:$E$420,$M4914))</f>
        <v/>
      </c>
      <c r="C4914" s="62" t="str">
        <f aca="false">IF($M4914=0,"",INDEX(Classes!$H$6:$H$420,$M4914))</f>
        <v/>
      </c>
      <c r="D4914" s="61" t="str">
        <f aca="false">IF($M4914=0,"",INDEX(Classes!$B$6:$B$420,$M4914))</f>
        <v/>
      </c>
      <c r="E4914" s="61" t="str">
        <f aca="false">IF($M4914=0,"",INDEX(Classes!$C$6:$C$420,$M4914))</f>
        <v/>
      </c>
      <c r="F4914" s="63"/>
      <c r="G4914" s="63"/>
      <c r="H4914" s="60"/>
      <c r="I4914" s="60"/>
      <c r="J4914" s="63"/>
      <c r="K4914" s="61" t="str">
        <f aca="false">IF($P4914=0,"",IF($F4914="Baseline","— Baseline",IF($O4914=0,"No result",IF($N4914=0,"No Start (attainment only)",IF(OR($N4914=1,$O4914=1),"U – needs rule",INDEX(MxBody,MATCH($I4914,MxCurr,0),MATCH($H4914,MxStart,0)))))))</f>
        <v/>
      </c>
      <c r="L4914" s="62" t="str">
        <f aca="false">IF(COUNTA($A4914,$F4914,$G4914,$H4914,$I4914,$J4914)=0,"",IF($M4914=0,"✖ كود الصف غير موجود",IF(ISNA(MATCH($F4914,Lists!$A$2:$A$5,0)),"✖ الفترة غير صحيحة",IF(ISNA(MATCH($G4914,Lists!$B$2:$B$7,0)),"✖ المجموعة غير صحيحة",IF(NOT(OR($H4914="",$N4914&gt;0)),"✖ Start غير صحيح",IF(NOT(OR($I4914="",$I4914="NR",$O4914&gt;0)),"✖ Current غير صحيح",IF(NOT(IF(ISNUMBER($J4914),AND($J4914&gt;=0,$J4914=INT($J4914)),FALSE())),"✖ العدد يجب أن يكون صحيحًا ≥ 0",IF(AND($F4914="Baseline",$H4914&lt;&gt;""),"⚠ Baseline: Start لا يدخل في التقدم",IF($K4914="No Start (attainment only)","ℹ تحصيل فقط (بدون Start)",IF($K4914="U – needs rule","ℹ حالة U تحتاج قاعدة معتمدة",IF($K4914="No result","ℹ بدون نتيجة (يُستبعد من التحصيل)","OK")))))))))))</f>
        <v/>
      </c>
      <c r="M4914" s="64" t="n">
        <f aca="false">IF($A4914="",0,IFERROR(MATCH($A4914,Classes!$A$6:$A$420,0),0))</f>
        <v>0</v>
      </c>
      <c r="N4914" s="64" t="n">
        <f aca="false">IF($H4914="",0,IFERROR(MATCH($H4914,GradeList,0),0))</f>
        <v>0</v>
      </c>
      <c r="O4914" s="64" t="n">
        <f aca="false">IF(OR($I4914="",$I4914="NR"),0,IFERROR(MATCH($I4914,GradeList,0),0))</f>
        <v>0</v>
      </c>
      <c r="P4914" s="64" t="n">
        <f aca="false">IF(AND($M4914&gt;0,ISNUMBER(MATCH($F4914,Lists!$A$2:$A$5,0)),ISNUMBER(MATCH($G4914,Lists!$B$2:$B$7,0)),OR($H4914="",$N4914&gt;0),OR($I4914="",$I4914="NR",$O4914&gt;0),IF(ISNUMBER($J4914),AND($J4914&gt;=0,$J4914=INT($J4914)),FALSE())),$J4914,0)</f>
        <v>0</v>
      </c>
      <c r="Q4914" s="64" t="n">
        <f aca="false">IF(AND($P4914&gt;0,$O4914&gt;0),$P4914,0)</f>
        <v>0</v>
      </c>
      <c r="R4914" s="64" t="n">
        <f aca="false">IF(AND($Q4914&gt;0,$O4914&gt;=AtRank),$Q4914,0)</f>
        <v>0</v>
      </c>
      <c r="S4914" s="64" t="n">
        <f aca="false">IF(AND($Q4914&gt;0,$O4914&gt;=AboveRank),$Q4914,0)</f>
        <v>0</v>
      </c>
      <c r="T4914" s="64" t="n">
        <f aca="false">IF($K4914="Less",$P4914,0)</f>
        <v>0</v>
      </c>
      <c r="U4914" s="64" t="n">
        <f aca="false">IF($K4914="Expected",$P4914,0)</f>
        <v>0</v>
      </c>
      <c r="V4914" s="64" t="n">
        <f aca="false">IF($K4914="Better",$P4914,0)</f>
        <v>0</v>
      </c>
      <c r="W4914" s="64" t="n">
        <f aca="false">IF($K4914="U – needs rule",$P4914,0)</f>
        <v>0</v>
      </c>
      <c r="X4914" s="64" t="n">
        <f aca="false">IF($K4914="No Start (attainment only)",$P4914,0)</f>
        <v>0</v>
      </c>
    </row>
    <row r="4915" customFormat="false" ht="15" hidden="false" customHeight="false" outlineLevel="0" collapsed="false">
      <c r="A4915" s="60"/>
      <c r="B4915" s="61" t="str">
        <f aca="false">IF($M4915=0,"",INDEX(Classes!$E$6:$E$420,$M4915))</f>
        <v/>
      </c>
      <c r="C4915" s="62" t="str">
        <f aca="false">IF($M4915=0,"",INDEX(Classes!$H$6:$H$420,$M4915))</f>
        <v/>
      </c>
      <c r="D4915" s="61" t="str">
        <f aca="false">IF($M4915=0,"",INDEX(Classes!$B$6:$B$420,$M4915))</f>
        <v/>
      </c>
      <c r="E4915" s="61" t="str">
        <f aca="false">IF($M4915=0,"",INDEX(Classes!$C$6:$C$420,$M4915))</f>
        <v/>
      </c>
      <c r="F4915" s="63"/>
      <c r="G4915" s="63"/>
      <c r="H4915" s="60"/>
      <c r="I4915" s="60"/>
      <c r="J4915" s="63"/>
      <c r="K4915" s="61" t="str">
        <f aca="false">IF($P4915=0,"",IF($F4915="Baseline","— Baseline",IF($O4915=0,"No result",IF($N4915=0,"No Start (attainment only)",IF(OR($N4915=1,$O4915=1),"U – needs rule",INDEX(MxBody,MATCH($I4915,MxCurr,0),MATCH($H4915,MxStart,0)))))))</f>
        <v/>
      </c>
      <c r="L4915" s="62" t="str">
        <f aca="false">IF(COUNTA($A4915,$F4915,$G4915,$H4915,$I4915,$J4915)=0,"",IF($M4915=0,"✖ كود الصف غير موجود",IF(ISNA(MATCH($F4915,Lists!$A$2:$A$5,0)),"✖ الفترة غير صحيحة",IF(ISNA(MATCH($G4915,Lists!$B$2:$B$7,0)),"✖ المجموعة غير صحيحة",IF(NOT(OR($H4915="",$N4915&gt;0)),"✖ Start غير صحيح",IF(NOT(OR($I4915="",$I4915="NR",$O4915&gt;0)),"✖ Current غير صحيح",IF(NOT(IF(ISNUMBER($J4915),AND($J4915&gt;=0,$J4915=INT($J4915)),FALSE())),"✖ العدد يجب أن يكون صحيحًا ≥ 0",IF(AND($F4915="Baseline",$H4915&lt;&gt;""),"⚠ Baseline: Start لا يدخل في التقدم",IF($K4915="No Start (attainment only)","ℹ تحصيل فقط (بدون Start)",IF($K4915="U – needs rule","ℹ حالة U تحتاج قاعدة معتمدة",IF($K4915="No result","ℹ بدون نتيجة (يُستبعد من التحصيل)","OK")))))))))))</f>
        <v/>
      </c>
      <c r="M4915" s="64" t="n">
        <f aca="false">IF($A4915="",0,IFERROR(MATCH($A4915,Classes!$A$6:$A$420,0),0))</f>
        <v>0</v>
      </c>
      <c r="N4915" s="64" t="n">
        <f aca="false">IF($H4915="",0,IFERROR(MATCH($H4915,GradeList,0),0))</f>
        <v>0</v>
      </c>
      <c r="O4915" s="64" t="n">
        <f aca="false">IF(OR($I4915="",$I4915="NR"),0,IFERROR(MATCH($I4915,GradeList,0),0))</f>
        <v>0</v>
      </c>
      <c r="P4915" s="64" t="n">
        <f aca="false">IF(AND($M4915&gt;0,ISNUMBER(MATCH($F4915,Lists!$A$2:$A$5,0)),ISNUMBER(MATCH($G4915,Lists!$B$2:$B$7,0)),OR($H4915="",$N4915&gt;0),OR($I4915="",$I4915="NR",$O4915&gt;0),IF(ISNUMBER($J4915),AND($J4915&gt;=0,$J4915=INT($J4915)),FALSE())),$J4915,0)</f>
        <v>0</v>
      </c>
      <c r="Q4915" s="64" t="n">
        <f aca="false">IF(AND($P4915&gt;0,$O4915&gt;0),$P4915,0)</f>
        <v>0</v>
      </c>
      <c r="R4915" s="64" t="n">
        <f aca="false">IF(AND($Q4915&gt;0,$O4915&gt;=AtRank),$Q4915,0)</f>
        <v>0</v>
      </c>
      <c r="S4915" s="64" t="n">
        <f aca="false">IF(AND($Q4915&gt;0,$O4915&gt;=AboveRank),$Q4915,0)</f>
        <v>0</v>
      </c>
      <c r="T4915" s="64" t="n">
        <f aca="false">IF($K4915="Less",$P4915,0)</f>
        <v>0</v>
      </c>
      <c r="U4915" s="64" t="n">
        <f aca="false">IF($K4915="Expected",$P4915,0)</f>
        <v>0</v>
      </c>
      <c r="V4915" s="64" t="n">
        <f aca="false">IF($K4915="Better",$P4915,0)</f>
        <v>0</v>
      </c>
      <c r="W4915" s="64" t="n">
        <f aca="false">IF($K4915="U – needs rule",$P4915,0)</f>
        <v>0</v>
      </c>
      <c r="X4915" s="64" t="n">
        <f aca="false">IF($K4915="No Start (attainment only)",$P4915,0)</f>
        <v>0</v>
      </c>
    </row>
    <row r="4916" customFormat="false" ht="15" hidden="false" customHeight="false" outlineLevel="0" collapsed="false">
      <c r="A4916" s="60"/>
      <c r="B4916" s="61" t="str">
        <f aca="false">IF($M4916=0,"",INDEX(Classes!$E$6:$E$420,$M4916))</f>
        <v/>
      </c>
      <c r="C4916" s="62" t="str">
        <f aca="false">IF($M4916=0,"",INDEX(Classes!$H$6:$H$420,$M4916))</f>
        <v/>
      </c>
      <c r="D4916" s="61" t="str">
        <f aca="false">IF($M4916=0,"",INDEX(Classes!$B$6:$B$420,$M4916))</f>
        <v/>
      </c>
      <c r="E4916" s="61" t="str">
        <f aca="false">IF($M4916=0,"",INDEX(Classes!$C$6:$C$420,$M4916))</f>
        <v/>
      </c>
      <c r="F4916" s="63"/>
      <c r="G4916" s="63"/>
      <c r="H4916" s="60"/>
      <c r="I4916" s="60"/>
      <c r="J4916" s="63"/>
      <c r="K4916" s="61" t="str">
        <f aca="false">IF($P4916=0,"",IF($F4916="Baseline","— Baseline",IF($O4916=0,"No result",IF($N4916=0,"No Start (attainment only)",IF(OR($N4916=1,$O4916=1),"U – needs rule",INDEX(MxBody,MATCH($I4916,MxCurr,0),MATCH($H4916,MxStart,0)))))))</f>
        <v/>
      </c>
      <c r="L4916" s="62" t="str">
        <f aca="false">IF(COUNTA($A4916,$F4916,$G4916,$H4916,$I4916,$J4916)=0,"",IF($M4916=0,"✖ كود الصف غير موجود",IF(ISNA(MATCH($F4916,Lists!$A$2:$A$5,0)),"✖ الفترة غير صحيحة",IF(ISNA(MATCH($G4916,Lists!$B$2:$B$7,0)),"✖ المجموعة غير صحيحة",IF(NOT(OR($H4916="",$N4916&gt;0)),"✖ Start غير صحيح",IF(NOT(OR($I4916="",$I4916="NR",$O4916&gt;0)),"✖ Current غير صحيح",IF(NOT(IF(ISNUMBER($J4916),AND($J4916&gt;=0,$J4916=INT($J4916)),FALSE())),"✖ العدد يجب أن يكون صحيحًا ≥ 0",IF(AND($F4916="Baseline",$H4916&lt;&gt;""),"⚠ Baseline: Start لا يدخل في التقدم",IF($K4916="No Start (attainment only)","ℹ تحصيل فقط (بدون Start)",IF($K4916="U – needs rule","ℹ حالة U تحتاج قاعدة معتمدة",IF($K4916="No result","ℹ بدون نتيجة (يُستبعد من التحصيل)","OK")))))))))))</f>
        <v/>
      </c>
      <c r="M4916" s="64" t="n">
        <f aca="false">IF($A4916="",0,IFERROR(MATCH($A4916,Classes!$A$6:$A$420,0),0))</f>
        <v>0</v>
      </c>
      <c r="N4916" s="64" t="n">
        <f aca="false">IF($H4916="",0,IFERROR(MATCH($H4916,GradeList,0),0))</f>
        <v>0</v>
      </c>
      <c r="O4916" s="64" t="n">
        <f aca="false">IF(OR($I4916="",$I4916="NR"),0,IFERROR(MATCH($I4916,GradeList,0),0))</f>
        <v>0</v>
      </c>
      <c r="P4916" s="64" t="n">
        <f aca="false">IF(AND($M4916&gt;0,ISNUMBER(MATCH($F4916,Lists!$A$2:$A$5,0)),ISNUMBER(MATCH($G4916,Lists!$B$2:$B$7,0)),OR($H4916="",$N4916&gt;0),OR($I4916="",$I4916="NR",$O4916&gt;0),IF(ISNUMBER($J4916),AND($J4916&gt;=0,$J4916=INT($J4916)),FALSE())),$J4916,0)</f>
        <v>0</v>
      </c>
      <c r="Q4916" s="64" t="n">
        <f aca="false">IF(AND($P4916&gt;0,$O4916&gt;0),$P4916,0)</f>
        <v>0</v>
      </c>
      <c r="R4916" s="64" t="n">
        <f aca="false">IF(AND($Q4916&gt;0,$O4916&gt;=AtRank),$Q4916,0)</f>
        <v>0</v>
      </c>
      <c r="S4916" s="64" t="n">
        <f aca="false">IF(AND($Q4916&gt;0,$O4916&gt;=AboveRank),$Q4916,0)</f>
        <v>0</v>
      </c>
      <c r="T4916" s="64" t="n">
        <f aca="false">IF($K4916="Less",$P4916,0)</f>
        <v>0</v>
      </c>
      <c r="U4916" s="64" t="n">
        <f aca="false">IF($K4916="Expected",$P4916,0)</f>
        <v>0</v>
      </c>
      <c r="V4916" s="64" t="n">
        <f aca="false">IF($K4916="Better",$P4916,0)</f>
        <v>0</v>
      </c>
      <c r="W4916" s="64" t="n">
        <f aca="false">IF($K4916="U – needs rule",$P4916,0)</f>
        <v>0</v>
      </c>
      <c r="X4916" s="64" t="n">
        <f aca="false">IF($K4916="No Start (attainment only)",$P4916,0)</f>
        <v>0</v>
      </c>
    </row>
    <row r="4917" customFormat="false" ht="15" hidden="false" customHeight="false" outlineLevel="0" collapsed="false">
      <c r="A4917" s="60"/>
      <c r="B4917" s="61" t="str">
        <f aca="false">IF($M4917=0,"",INDEX(Classes!$E$6:$E$420,$M4917))</f>
        <v/>
      </c>
      <c r="C4917" s="62" t="str">
        <f aca="false">IF($M4917=0,"",INDEX(Classes!$H$6:$H$420,$M4917))</f>
        <v/>
      </c>
      <c r="D4917" s="61" t="str">
        <f aca="false">IF($M4917=0,"",INDEX(Classes!$B$6:$B$420,$M4917))</f>
        <v/>
      </c>
      <c r="E4917" s="61" t="str">
        <f aca="false">IF($M4917=0,"",INDEX(Classes!$C$6:$C$420,$M4917))</f>
        <v/>
      </c>
      <c r="F4917" s="63"/>
      <c r="G4917" s="63"/>
      <c r="H4917" s="60"/>
      <c r="I4917" s="60"/>
      <c r="J4917" s="63"/>
      <c r="K4917" s="61" t="str">
        <f aca="false">IF($P4917=0,"",IF($F4917="Baseline","— Baseline",IF($O4917=0,"No result",IF($N4917=0,"No Start (attainment only)",IF(OR($N4917=1,$O4917=1),"U – needs rule",INDEX(MxBody,MATCH($I4917,MxCurr,0),MATCH($H4917,MxStart,0)))))))</f>
        <v/>
      </c>
      <c r="L4917" s="62" t="str">
        <f aca="false">IF(COUNTA($A4917,$F4917,$G4917,$H4917,$I4917,$J4917)=0,"",IF($M4917=0,"✖ كود الصف غير موجود",IF(ISNA(MATCH($F4917,Lists!$A$2:$A$5,0)),"✖ الفترة غير صحيحة",IF(ISNA(MATCH($G4917,Lists!$B$2:$B$7,0)),"✖ المجموعة غير صحيحة",IF(NOT(OR($H4917="",$N4917&gt;0)),"✖ Start غير صحيح",IF(NOT(OR($I4917="",$I4917="NR",$O4917&gt;0)),"✖ Current غير صحيح",IF(NOT(IF(ISNUMBER($J4917),AND($J4917&gt;=0,$J4917=INT($J4917)),FALSE())),"✖ العدد يجب أن يكون صحيحًا ≥ 0",IF(AND($F4917="Baseline",$H4917&lt;&gt;""),"⚠ Baseline: Start لا يدخل في التقدم",IF($K4917="No Start (attainment only)","ℹ تحصيل فقط (بدون Start)",IF($K4917="U – needs rule","ℹ حالة U تحتاج قاعدة معتمدة",IF($K4917="No result","ℹ بدون نتيجة (يُستبعد من التحصيل)","OK")))))))))))</f>
        <v/>
      </c>
      <c r="M4917" s="64" t="n">
        <f aca="false">IF($A4917="",0,IFERROR(MATCH($A4917,Classes!$A$6:$A$420,0),0))</f>
        <v>0</v>
      </c>
      <c r="N4917" s="64" t="n">
        <f aca="false">IF($H4917="",0,IFERROR(MATCH($H4917,GradeList,0),0))</f>
        <v>0</v>
      </c>
      <c r="O4917" s="64" t="n">
        <f aca="false">IF(OR($I4917="",$I4917="NR"),0,IFERROR(MATCH($I4917,GradeList,0),0))</f>
        <v>0</v>
      </c>
      <c r="P4917" s="64" t="n">
        <f aca="false">IF(AND($M4917&gt;0,ISNUMBER(MATCH($F4917,Lists!$A$2:$A$5,0)),ISNUMBER(MATCH($G4917,Lists!$B$2:$B$7,0)),OR($H4917="",$N4917&gt;0),OR($I4917="",$I4917="NR",$O4917&gt;0),IF(ISNUMBER($J4917),AND($J4917&gt;=0,$J4917=INT($J4917)),FALSE())),$J4917,0)</f>
        <v>0</v>
      </c>
      <c r="Q4917" s="64" t="n">
        <f aca="false">IF(AND($P4917&gt;0,$O4917&gt;0),$P4917,0)</f>
        <v>0</v>
      </c>
      <c r="R4917" s="64" t="n">
        <f aca="false">IF(AND($Q4917&gt;0,$O4917&gt;=AtRank),$Q4917,0)</f>
        <v>0</v>
      </c>
      <c r="S4917" s="64" t="n">
        <f aca="false">IF(AND($Q4917&gt;0,$O4917&gt;=AboveRank),$Q4917,0)</f>
        <v>0</v>
      </c>
      <c r="T4917" s="64" t="n">
        <f aca="false">IF($K4917="Less",$P4917,0)</f>
        <v>0</v>
      </c>
      <c r="U4917" s="64" t="n">
        <f aca="false">IF($K4917="Expected",$P4917,0)</f>
        <v>0</v>
      </c>
      <c r="V4917" s="64" t="n">
        <f aca="false">IF($K4917="Better",$P4917,0)</f>
        <v>0</v>
      </c>
      <c r="W4917" s="64" t="n">
        <f aca="false">IF($K4917="U – needs rule",$P4917,0)</f>
        <v>0</v>
      </c>
      <c r="X4917" s="64" t="n">
        <f aca="false">IF($K4917="No Start (attainment only)",$P4917,0)</f>
        <v>0</v>
      </c>
    </row>
    <row r="4918" customFormat="false" ht="15" hidden="false" customHeight="false" outlineLevel="0" collapsed="false">
      <c r="A4918" s="60"/>
      <c r="B4918" s="61" t="str">
        <f aca="false">IF($M4918=0,"",INDEX(Classes!$E$6:$E$420,$M4918))</f>
        <v/>
      </c>
      <c r="C4918" s="62" t="str">
        <f aca="false">IF($M4918=0,"",INDEX(Classes!$H$6:$H$420,$M4918))</f>
        <v/>
      </c>
      <c r="D4918" s="61" t="str">
        <f aca="false">IF($M4918=0,"",INDEX(Classes!$B$6:$B$420,$M4918))</f>
        <v/>
      </c>
      <c r="E4918" s="61" t="str">
        <f aca="false">IF($M4918=0,"",INDEX(Classes!$C$6:$C$420,$M4918))</f>
        <v/>
      </c>
      <c r="F4918" s="63"/>
      <c r="G4918" s="63"/>
      <c r="H4918" s="60"/>
      <c r="I4918" s="60"/>
      <c r="J4918" s="63"/>
      <c r="K4918" s="61" t="str">
        <f aca="false">IF($P4918=0,"",IF($F4918="Baseline","— Baseline",IF($O4918=0,"No result",IF($N4918=0,"No Start (attainment only)",IF(OR($N4918=1,$O4918=1),"U – needs rule",INDEX(MxBody,MATCH($I4918,MxCurr,0),MATCH($H4918,MxStart,0)))))))</f>
        <v/>
      </c>
      <c r="L4918" s="62" t="str">
        <f aca="false">IF(COUNTA($A4918,$F4918,$G4918,$H4918,$I4918,$J4918)=0,"",IF($M4918=0,"✖ كود الصف غير موجود",IF(ISNA(MATCH($F4918,Lists!$A$2:$A$5,0)),"✖ الفترة غير صحيحة",IF(ISNA(MATCH($G4918,Lists!$B$2:$B$7,0)),"✖ المجموعة غير صحيحة",IF(NOT(OR($H4918="",$N4918&gt;0)),"✖ Start غير صحيح",IF(NOT(OR($I4918="",$I4918="NR",$O4918&gt;0)),"✖ Current غير صحيح",IF(NOT(IF(ISNUMBER($J4918),AND($J4918&gt;=0,$J4918=INT($J4918)),FALSE())),"✖ العدد يجب أن يكون صحيحًا ≥ 0",IF(AND($F4918="Baseline",$H4918&lt;&gt;""),"⚠ Baseline: Start لا يدخل في التقدم",IF($K4918="No Start (attainment only)","ℹ تحصيل فقط (بدون Start)",IF($K4918="U – needs rule","ℹ حالة U تحتاج قاعدة معتمدة",IF($K4918="No result","ℹ بدون نتيجة (يُستبعد من التحصيل)","OK")))))))))))</f>
        <v/>
      </c>
      <c r="M4918" s="64" t="n">
        <f aca="false">IF($A4918="",0,IFERROR(MATCH($A4918,Classes!$A$6:$A$420,0),0))</f>
        <v>0</v>
      </c>
      <c r="N4918" s="64" t="n">
        <f aca="false">IF($H4918="",0,IFERROR(MATCH($H4918,GradeList,0),0))</f>
        <v>0</v>
      </c>
      <c r="O4918" s="64" t="n">
        <f aca="false">IF(OR($I4918="",$I4918="NR"),0,IFERROR(MATCH($I4918,GradeList,0),0))</f>
        <v>0</v>
      </c>
      <c r="P4918" s="64" t="n">
        <f aca="false">IF(AND($M4918&gt;0,ISNUMBER(MATCH($F4918,Lists!$A$2:$A$5,0)),ISNUMBER(MATCH($G4918,Lists!$B$2:$B$7,0)),OR($H4918="",$N4918&gt;0),OR($I4918="",$I4918="NR",$O4918&gt;0),IF(ISNUMBER($J4918),AND($J4918&gt;=0,$J4918=INT($J4918)),FALSE())),$J4918,0)</f>
        <v>0</v>
      </c>
      <c r="Q4918" s="64" t="n">
        <f aca="false">IF(AND($P4918&gt;0,$O4918&gt;0),$P4918,0)</f>
        <v>0</v>
      </c>
      <c r="R4918" s="64" t="n">
        <f aca="false">IF(AND($Q4918&gt;0,$O4918&gt;=AtRank),$Q4918,0)</f>
        <v>0</v>
      </c>
      <c r="S4918" s="64" t="n">
        <f aca="false">IF(AND($Q4918&gt;0,$O4918&gt;=AboveRank),$Q4918,0)</f>
        <v>0</v>
      </c>
      <c r="T4918" s="64" t="n">
        <f aca="false">IF($K4918="Less",$P4918,0)</f>
        <v>0</v>
      </c>
      <c r="U4918" s="64" t="n">
        <f aca="false">IF($K4918="Expected",$P4918,0)</f>
        <v>0</v>
      </c>
      <c r="V4918" s="64" t="n">
        <f aca="false">IF($K4918="Better",$P4918,0)</f>
        <v>0</v>
      </c>
      <c r="W4918" s="64" t="n">
        <f aca="false">IF($K4918="U – needs rule",$P4918,0)</f>
        <v>0</v>
      </c>
      <c r="X4918" s="64" t="n">
        <f aca="false">IF($K4918="No Start (attainment only)",$P4918,0)</f>
        <v>0</v>
      </c>
    </row>
    <row r="4919" customFormat="false" ht="15" hidden="false" customHeight="false" outlineLevel="0" collapsed="false">
      <c r="A4919" s="60"/>
      <c r="B4919" s="61" t="str">
        <f aca="false">IF($M4919=0,"",INDEX(Classes!$E$6:$E$420,$M4919))</f>
        <v/>
      </c>
      <c r="C4919" s="62" t="str">
        <f aca="false">IF($M4919=0,"",INDEX(Classes!$H$6:$H$420,$M4919))</f>
        <v/>
      </c>
      <c r="D4919" s="61" t="str">
        <f aca="false">IF($M4919=0,"",INDEX(Classes!$B$6:$B$420,$M4919))</f>
        <v/>
      </c>
      <c r="E4919" s="61" t="str">
        <f aca="false">IF($M4919=0,"",INDEX(Classes!$C$6:$C$420,$M4919))</f>
        <v/>
      </c>
      <c r="F4919" s="63"/>
      <c r="G4919" s="63"/>
      <c r="H4919" s="60"/>
      <c r="I4919" s="60"/>
      <c r="J4919" s="63"/>
      <c r="K4919" s="61" t="str">
        <f aca="false">IF($P4919=0,"",IF($F4919="Baseline","— Baseline",IF($O4919=0,"No result",IF($N4919=0,"No Start (attainment only)",IF(OR($N4919=1,$O4919=1),"U – needs rule",INDEX(MxBody,MATCH($I4919,MxCurr,0),MATCH($H4919,MxStart,0)))))))</f>
        <v/>
      </c>
      <c r="L4919" s="62" t="str">
        <f aca="false">IF(COUNTA($A4919,$F4919,$G4919,$H4919,$I4919,$J4919)=0,"",IF($M4919=0,"✖ كود الصف غير موجود",IF(ISNA(MATCH($F4919,Lists!$A$2:$A$5,0)),"✖ الفترة غير صحيحة",IF(ISNA(MATCH($G4919,Lists!$B$2:$B$7,0)),"✖ المجموعة غير صحيحة",IF(NOT(OR($H4919="",$N4919&gt;0)),"✖ Start غير صحيح",IF(NOT(OR($I4919="",$I4919="NR",$O4919&gt;0)),"✖ Current غير صحيح",IF(NOT(IF(ISNUMBER($J4919),AND($J4919&gt;=0,$J4919=INT($J4919)),FALSE())),"✖ العدد يجب أن يكون صحيحًا ≥ 0",IF(AND($F4919="Baseline",$H4919&lt;&gt;""),"⚠ Baseline: Start لا يدخل في التقدم",IF($K4919="No Start (attainment only)","ℹ تحصيل فقط (بدون Start)",IF($K4919="U – needs rule","ℹ حالة U تحتاج قاعدة معتمدة",IF($K4919="No result","ℹ بدون نتيجة (يُستبعد من التحصيل)","OK")))))))))))</f>
        <v/>
      </c>
      <c r="M4919" s="64" t="n">
        <f aca="false">IF($A4919="",0,IFERROR(MATCH($A4919,Classes!$A$6:$A$420,0),0))</f>
        <v>0</v>
      </c>
      <c r="N4919" s="64" t="n">
        <f aca="false">IF($H4919="",0,IFERROR(MATCH($H4919,GradeList,0),0))</f>
        <v>0</v>
      </c>
      <c r="O4919" s="64" t="n">
        <f aca="false">IF(OR($I4919="",$I4919="NR"),0,IFERROR(MATCH($I4919,GradeList,0),0))</f>
        <v>0</v>
      </c>
      <c r="P4919" s="64" t="n">
        <f aca="false">IF(AND($M4919&gt;0,ISNUMBER(MATCH($F4919,Lists!$A$2:$A$5,0)),ISNUMBER(MATCH($G4919,Lists!$B$2:$B$7,0)),OR($H4919="",$N4919&gt;0),OR($I4919="",$I4919="NR",$O4919&gt;0),IF(ISNUMBER($J4919),AND($J4919&gt;=0,$J4919=INT($J4919)),FALSE())),$J4919,0)</f>
        <v>0</v>
      </c>
      <c r="Q4919" s="64" t="n">
        <f aca="false">IF(AND($P4919&gt;0,$O4919&gt;0),$P4919,0)</f>
        <v>0</v>
      </c>
      <c r="R4919" s="64" t="n">
        <f aca="false">IF(AND($Q4919&gt;0,$O4919&gt;=AtRank),$Q4919,0)</f>
        <v>0</v>
      </c>
      <c r="S4919" s="64" t="n">
        <f aca="false">IF(AND($Q4919&gt;0,$O4919&gt;=AboveRank),$Q4919,0)</f>
        <v>0</v>
      </c>
      <c r="T4919" s="64" t="n">
        <f aca="false">IF($K4919="Less",$P4919,0)</f>
        <v>0</v>
      </c>
      <c r="U4919" s="64" t="n">
        <f aca="false">IF($K4919="Expected",$P4919,0)</f>
        <v>0</v>
      </c>
      <c r="V4919" s="64" t="n">
        <f aca="false">IF($K4919="Better",$P4919,0)</f>
        <v>0</v>
      </c>
      <c r="W4919" s="64" t="n">
        <f aca="false">IF($K4919="U – needs rule",$P4919,0)</f>
        <v>0</v>
      </c>
      <c r="X4919" s="64" t="n">
        <f aca="false">IF($K4919="No Start (attainment only)",$P4919,0)</f>
        <v>0</v>
      </c>
    </row>
    <row r="4920" customFormat="false" ht="15" hidden="false" customHeight="false" outlineLevel="0" collapsed="false">
      <c r="A4920" s="60"/>
      <c r="B4920" s="61" t="str">
        <f aca="false">IF($M4920=0,"",INDEX(Classes!$E$6:$E$420,$M4920))</f>
        <v/>
      </c>
      <c r="C4920" s="62" t="str">
        <f aca="false">IF($M4920=0,"",INDEX(Classes!$H$6:$H$420,$M4920))</f>
        <v/>
      </c>
      <c r="D4920" s="61" t="str">
        <f aca="false">IF($M4920=0,"",INDEX(Classes!$B$6:$B$420,$M4920))</f>
        <v/>
      </c>
      <c r="E4920" s="61" t="str">
        <f aca="false">IF($M4920=0,"",INDEX(Classes!$C$6:$C$420,$M4920))</f>
        <v/>
      </c>
      <c r="F4920" s="63"/>
      <c r="G4920" s="63"/>
      <c r="H4920" s="60"/>
      <c r="I4920" s="60"/>
      <c r="J4920" s="63"/>
      <c r="K4920" s="61" t="str">
        <f aca="false">IF($P4920=0,"",IF($F4920="Baseline","— Baseline",IF($O4920=0,"No result",IF($N4920=0,"No Start (attainment only)",IF(OR($N4920=1,$O4920=1),"U – needs rule",INDEX(MxBody,MATCH($I4920,MxCurr,0),MATCH($H4920,MxStart,0)))))))</f>
        <v/>
      </c>
      <c r="L4920" s="62" t="str">
        <f aca="false">IF(COUNTA($A4920,$F4920,$G4920,$H4920,$I4920,$J4920)=0,"",IF($M4920=0,"✖ كود الصف غير موجود",IF(ISNA(MATCH($F4920,Lists!$A$2:$A$5,0)),"✖ الفترة غير صحيحة",IF(ISNA(MATCH($G4920,Lists!$B$2:$B$7,0)),"✖ المجموعة غير صحيحة",IF(NOT(OR($H4920="",$N4920&gt;0)),"✖ Start غير صحيح",IF(NOT(OR($I4920="",$I4920="NR",$O4920&gt;0)),"✖ Current غير صحيح",IF(NOT(IF(ISNUMBER($J4920),AND($J4920&gt;=0,$J4920=INT($J4920)),FALSE())),"✖ العدد يجب أن يكون صحيحًا ≥ 0",IF(AND($F4920="Baseline",$H4920&lt;&gt;""),"⚠ Baseline: Start لا يدخل في التقدم",IF($K4920="No Start (attainment only)","ℹ تحصيل فقط (بدون Start)",IF($K4920="U – needs rule","ℹ حالة U تحتاج قاعدة معتمدة",IF($K4920="No result","ℹ بدون نتيجة (يُستبعد من التحصيل)","OK")))))))))))</f>
        <v/>
      </c>
      <c r="M4920" s="64" t="n">
        <f aca="false">IF($A4920="",0,IFERROR(MATCH($A4920,Classes!$A$6:$A$420,0),0))</f>
        <v>0</v>
      </c>
      <c r="N4920" s="64" t="n">
        <f aca="false">IF($H4920="",0,IFERROR(MATCH($H4920,GradeList,0),0))</f>
        <v>0</v>
      </c>
      <c r="O4920" s="64" t="n">
        <f aca="false">IF(OR($I4920="",$I4920="NR"),0,IFERROR(MATCH($I4920,GradeList,0),0))</f>
        <v>0</v>
      </c>
      <c r="P4920" s="64" t="n">
        <f aca="false">IF(AND($M4920&gt;0,ISNUMBER(MATCH($F4920,Lists!$A$2:$A$5,0)),ISNUMBER(MATCH($G4920,Lists!$B$2:$B$7,0)),OR($H4920="",$N4920&gt;0),OR($I4920="",$I4920="NR",$O4920&gt;0),IF(ISNUMBER($J4920),AND($J4920&gt;=0,$J4920=INT($J4920)),FALSE())),$J4920,0)</f>
        <v>0</v>
      </c>
      <c r="Q4920" s="64" t="n">
        <f aca="false">IF(AND($P4920&gt;0,$O4920&gt;0),$P4920,0)</f>
        <v>0</v>
      </c>
      <c r="R4920" s="64" t="n">
        <f aca="false">IF(AND($Q4920&gt;0,$O4920&gt;=AtRank),$Q4920,0)</f>
        <v>0</v>
      </c>
      <c r="S4920" s="64" t="n">
        <f aca="false">IF(AND($Q4920&gt;0,$O4920&gt;=AboveRank),$Q4920,0)</f>
        <v>0</v>
      </c>
      <c r="T4920" s="64" t="n">
        <f aca="false">IF($K4920="Less",$P4920,0)</f>
        <v>0</v>
      </c>
      <c r="U4920" s="64" t="n">
        <f aca="false">IF($K4920="Expected",$P4920,0)</f>
        <v>0</v>
      </c>
      <c r="V4920" s="64" t="n">
        <f aca="false">IF($K4920="Better",$P4920,0)</f>
        <v>0</v>
      </c>
      <c r="W4920" s="64" t="n">
        <f aca="false">IF($K4920="U – needs rule",$P4920,0)</f>
        <v>0</v>
      </c>
      <c r="X4920" s="64" t="n">
        <f aca="false">IF($K4920="No Start (attainment only)",$P4920,0)</f>
        <v>0</v>
      </c>
    </row>
    <row r="4921" customFormat="false" ht="15" hidden="false" customHeight="false" outlineLevel="0" collapsed="false">
      <c r="A4921" s="60"/>
      <c r="B4921" s="61" t="str">
        <f aca="false">IF($M4921=0,"",INDEX(Classes!$E$6:$E$420,$M4921))</f>
        <v/>
      </c>
      <c r="C4921" s="62" t="str">
        <f aca="false">IF($M4921=0,"",INDEX(Classes!$H$6:$H$420,$M4921))</f>
        <v/>
      </c>
      <c r="D4921" s="61" t="str">
        <f aca="false">IF($M4921=0,"",INDEX(Classes!$B$6:$B$420,$M4921))</f>
        <v/>
      </c>
      <c r="E4921" s="61" t="str">
        <f aca="false">IF($M4921=0,"",INDEX(Classes!$C$6:$C$420,$M4921))</f>
        <v/>
      </c>
      <c r="F4921" s="63"/>
      <c r="G4921" s="63"/>
      <c r="H4921" s="60"/>
      <c r="I4921" s="60"/>
      <c r="J4921" s="63"/>
      <c r="K4921" s="61" t="str">
        <f aca="false">IF($P4921=0,"",IF($F4921="Baseline","— Baseline",IF($O4921=0,"No result",IF($N4921=0,"No Start (attainment only)",IF(OR($N4921=1,$O4921=1),"U – needs rule",INDEX(MxBody,MATCH($I4921,MxCurr,0),MATCH($H4921,MxStart,0)))))))</f>
        <v/>
      </c>
      <c r="L4921" s="62" t="str">
        <f aca="false">IF(COUNTA($A4921,$F4921,$G4921,$H4921,$I4921,$J4921)=0,"",IF($M4921=0,"✖ كود الصف غير موجود",IF(ISNA(MATCH($F4921,Lists!$A$2:$A$5,0)),"✖ الفترة غير صحيحة",IF(ISNA(MATCH($G4921,Lists!$B$2:$B$7,0)),"✖ المجموعة غير صحيحة",IF(NOT(OR($H4921="",$N4921&gt;0)),"✖ Start غير صحيح",IF(NOT(OR($I4921="",$I4921="NR",$O4921&gt;0)),"✖ Current غير صحيح",IF(NOT(IF(ISNUMBER($J4921),AND($J4921&gt;=0,$J4921=INT($J4921)),FALSE())),"✖ العدد يجب أن يكون صحيحًا ≥ 0",IF(AND($F4921="Baseline",$H4921&lt;&gt;""),"⚠ Baseline: Start لا يدخل في التقدم",IF($K4921="No Start (attainment only)","ℹ تحصيل فقط (بدون Start)",IF($K4921="U – needs rule","ℹ حالة U تحتاج قاعدة معتمدة",IF($K4921="No result","ℹ بدون نتيجة (يُستبعد من التحصيل)","OK")))))))))))</f>
        <v/>
      </c>
      <c r="M4921" s="64" t="n">
        <f aca="false">IF($A4921="",0,IFERROR(MATCH($A4921,Classes!$A$6:$A$420,0),0))</f>
        <v>0</v>
      </c>
      <c r="N4921" s="64" t="n">
        <f aca="false">IF($H4921="",0,IFERROR(MATCH($H4921,GradeList,0),0))</f>
        <v>0</v>
      </c>
      <c r="O4921" s="64" t="n">
        <f aca="false">IF(OR($I4921="",$I4921="NR"),0,IFERROR(MATCH($I4921,GradeList,0),0))</f>
        <v>0</v>
      </c>
      <c r="P4921" s="64" t="n">
        <f aca="false">IF(AND($M4921&gt;0,ISNUMBER(MATCH($F4921,Lists!$A$2:$A$5,0)),ISNUMBER(MATCH($G4921,Lists!$B$2:$B$7,0)),OR($H4921="",$N4921&gt;0),OR($I4921="",$I4921="NR",$O4921&gt;0),IF(ISNUMBER($J4921),AND($J4921&gt;=0,$J4921=INT($J4921)),FALSE())),$J4921,0)</f>
        <v>0</v>
      </c>
      <c r="Q4921" s="64" t="n">
        <f aca="false">IF(AND($P4921&gt;0,$O4921&gt;0),$P4921,0)</f>
        <v>0</v>
      </c>
      <c r="R4921" s="64" t="n">
        <f aca="false">IF(AND($Q4921&gt;0,$O4921&gt;=AtRank),$Q4921,0)</f>
        <v>0</v>
      </c>
      <c r="S4921" s="64" t="n">
        <f aca="false">IF(AND($Q4921&gt;0,$O4921&gt;=AboveRank),$Q4921,0)</f>
        <v>0</v>
      </c>
      <c r="T4921" s="64" t="n">
        <f aca="false">IF($K4921="Less",$P4921,0)</f>
        <v>0</v>
      </c>
      <c r="U4921" s="64" t="n">
        <f aca="false">IF($K4921="Expected",$P4921,0)</f>
        <v>0</v>
      </c>
      <c r="V4921" s="64" t="n">
        <f aca="false">IF($K4921="Better",$P4921,0)</f>
        <v>0</v>
      </c>
      <c r="W4921" s="64" t="n">
        <f aca="false">IF($K4921="U – needs rule",$P4921,0)</f>
        <v>0</v>
      </c>
      <c r="X4921" s="64" t="n">
        <f aca="false">IF($K4921="No Start (attainment only)",$P4921,0)</f>
        <v>0</v>
      </c>
    </row>
    <row r="4922" customFormat="false" ht="15" hidden="false" customHeight="false" outlineLevel="0" collapsed="false">
      <c r="A4922" s="60"/>
      <c r="B4922" s="61" t="str">
        <f aca="false">IF($M4922=0,"",INDEX(Classes!$E$6:$E$420,$M4922))</f>
        <v/>
      </c>
      <c r="C4922" s="62" t="str">
        <f aca="false">IF($M4922=0,"",INDEX(Classes!$H$6:$H$420,$M4922))</f>
        <v/>
      </c>
      <c r="D4922" s="61" t="str">
        <f aca="false">IF($M4922=0,"",INDEX(Classes!$B$6:$B$420,$M4922))</f>
        <v/>
      </c>
      <c r="E4922" s="61" t="str">
        <f aca="false">IF($M4922=0,"",INDEX(Classes!$C$6:$C$420,$M4922))</f>
        <v/>
      </c>
      <c r="F4922" s="63"/>
      <c r="G4922" s="63"/>
      <c r="H4922" s="60"/>
      <c r="I4922" s="60"/>
      <c r="J4922" s="63"/>
      <c r="K4922" s="61" t="str">
        <f aca="false">IF($P4922=0,"",IF($F4922="Baseline","— Baseline",IF($O4922=0,"No result",IF($N4922=0,"No Start (attainment only)",IF(OR($N4922=1,$O4922=1),"U – needs rule",INDEX(MxBody,MATCH($I4922,MxCurr,0),MATCH($H4922,MxStart,0)))))))</f>
        <v/>
      </c>
      <c r="L4922" s="62" t="str">
        <f aca="false">IF(COUNTA($A4922,$F4922,$G4922,$H4922,$I4922,$J4922)=0,"",IF($M4922=0,"✖ كود الصف غير موجود",IF(ISNA(MATCH($F4922,Lists!$A$2:$A$5,0)),"✖ الفترة غير صحيحة",IF(ISNA(MATCH($G4922,Lists!$B$2:$B$7,0)),"✖ المجموعة غير صحيحة",IF(NOT(OR($H4922="",$N4922&gt;0)),"✖ Start غير صحيح",IF(NOT(OR($I4922="",$I4922="NR",$O4922&gt;0)),"✖ Current غير صحيح",IF(NOT(IF(ISNUMBER($J4922),AND($J4922&gt;=0,$J4922=INT($J4922)),FALSE())),"✖ العدد يجب أن يكون صحيحًا ≥ 0",IF(AND($F4922="Baseline",$H4922&lt;&gt;""),"⚠ Baseline: Start لا يدخل في التقدم",IF($K4922="No Start (attainment only)","ℹ تحصيل فقط (بدون Start)",IF($K4922="U – needs rule","ℹ حالة U تحتاج قاعدة معتمدة",IF($K4922="No result","ℹ بدون نتيجة (يُستبعد من التحصيل)","OK")))))))))))</f>
        <v/>
      </c>
      <c r="M4922" s="64" t="n">
        <f aca="false">IF($A4922="",0,IFERROR(MATCH($A4922,Classes!$A$6:$A$420,0),0))</f>
        <v>0</v>
      </c>
      <c r="N4922" s="64" t="n">
        <f aca="false">IF($H4922="",0,IFERROR(MATCH($H4922,GradeList,0),0))</f>
        <v>0</v>
      </c>
      <c r="O4922" s="64" t="n">
        <f aca="false">IF(OR($I4922="",$I4922="NR"),0,IFERROR(MATCH($I4922,GradeList,0),0))</f>
        <v>0</v>
      </c>
      <c r="P4922" s="64" t="n">
        <f aca="false">IF(AND($M4922&gt;0,ISNUMBER(MATCH($F4922,Lists!$A$2:$A$5,0)),ISNUMBER(MATCH($G4922,Lists!$B$2:$B$7,0)),OR($H4922="",$N4922&gt;0),OR($I4922="",$I4922="NR",$O4922&gt;0),IF(ISNUMBER($J4922),AND($J4922&gt;=0,$J4922=INT($J4922)),FALSE())),$J4922,0)</f>
        <v>0</v>
      </c>
      <c r="Q4922" s="64" t="n">
        <f aca="false">IF(AND($P4922&gt;0,$O4922&gt;0),$P4922,0)</f>
        <v>0</v>
      </c>
      <c r="R4922" s="64" t="n">
        <f aca="false">IF(AND($Q4922&gt;0,$O4922&gt;=AtRank),$Q4922,0)</f>
        <v>0</v>
      </c>
      <c r="S4922" s="64" t="n">
        <f aca="false">IF(AND($Q4922&gt;0,$O4922&gt;=AboveRank),$Q4922,0)</f>
        <v>0</v>
      </c>
      <c r="T4922" s="64" t="n">
        <f aca="false">IF($K4922="Less",$P4922,0)</f>
        <v>0</v>
      </c>
      <c r="U4922" s="64" t="n">
        <f aca="false">IF($K4922="Expected",$P4922,0)</f>
        <v>0</v>
      </c>
      <c r="V4922" s="64" t="n">
        <f aca="false">IF($K4922="Better",$P4922,0)</f>
        <v>0</v>
      </c>
      <c r="W4922" s="64" t="n">
        <f aca="false">IF($K4922="U – needs rule",$P4922,0)</f>
        <v>0</v>
      </c>
      <c r="X4922" s="64" t="n">
        <f aca="false">IF($K4922="No Start (attainment only)",$P4922,0)</f>
        <v>0</v>
      </c>
    </row>
    <row r="4923" customFormat="false" ht="15" hidden="false" customHeight="false" outlineLevel="0" collapsed="false">
      <c r="A4923" s="60"/>
      <c r="B4923" s="61" t="str">
        <f aca="false">IF($M4923=0,"",INDEX(Classes!$E$6:$E$420,$M4923))</f>
        <v/>
      </c>
      <c r="C4923" s="62" t="str">
        <f aca="false">IF($M4923=0,"",INDEX(Classes!$H$6:$H$420,$M4923))</f>
        <v/>
      </c>
      <c r="D4923" s="61" t="str">
        <f aca="false">IF($M4923=0,"",INDEX(Classes!$B$6:$B$420,$M4923))</f>
        <v/>
      </c>
      <c r="E4923" s="61" t="str">
        <f aca="false">IF($M4923=0,"",INDEX(Classes!$C$6:$C$420,$M4923))</f>
        <v/>
      </c>
      <c r="F4923" s="63"/>
      <c r="G4923" s="63"/>
      <c r="H4923" s="60"/>
      <c r="I4923" s="60"/>
      <c r="J4923" s="63"/>
      <c r="K4923" s="61" t="str">
        <f aca="false">IF($P4923=0,"",IF($F4923="Baseline","— Baseline",IF($O4923=0,"No result",IF($N4923=0,"No Start (attainment only)",IF(OR($N4923=1,$O4923=1),"U – needs rule",INDEX(MxBody,MATCH($I4923,MxCurr,0),MATCH($H4923,MxStart,0)))))))</f>
        <v/>
      </c>
      <c r="L4923" s="62" t="str">
        <f aca="false">IF(COUNTA($A4923,$F4923,$G4923,$H4923,$I4923,$J4923)=0,"",IF($M4923=0,"✖ كود الصف غير موجود",IF(ISNA(MATCH($F4923,Lists!$A$2:$A$5,0)),"✖ الفترة غير صحيحة",IF(ISNA(MATCH($G4923,Lists!$B$2:$B$7,0)),"✖ المجموعة غير صحيحة",IF(NOT(OR($H4923="",$N4923&gt;0)),"✖ Start غير صحيح",IF(NOT(OR($I4923="",$I4923="NR",$O4923&gt;0)),"✖ Current غير صحيح",IF(NOT(IF(ISNUMBER($J4923),AND($J4923&gt;=0,$J4923=INT($J4923)),FALSE())),"✖ العدد يجب أن يكون صحيحًا ≥ 0",IF(AND($F4923="Baseline",$H4923&lt;&gt;""),"⚠ Baseline: Start لا يدخل في التقدم",IF($K4923="No Start (attainment only)","ℹ تحصيل فقط (بدون Start)",IF($K4923="U – needs rule","ℹ حالة U تحتاج قاعدة معتمدة",IF($K4923="No result","ℹ بدون نتيجة (يُستبعد من التحصيل)","OK")))))))))))</f>
        <v/>
      </c>
      <c r="M4923" s="64" t="n">
        <f aca="false">IF($A4923="",0,IFERROR(MATCH($A4923,Classes!$A$6:$A$420,0),0))</f>
        <v>0</v>
      </c>
      <c r="N4923" s="64" t="n">
        <f aca="false">IF($H4923="",0,IFERROR(MATCH($H4923,GradeList,0),0))</f>
        <v>0</v>
      </c>
      <c r="O4923" s="64" t="n">
        <f aca="false">IF(OR($I4923="",$I4923="NR"),0,IFERROR(MATCH($I4923,GradeList,0),0))</f>
        <v>0</v>
      </c>
      <c r="P4923" s="64" t="n">
        <f aca="false">IF(AND($M4923&gt;0,ISNUMBER(MATCH($F4923,Lists!$A$2:$A$5,0)),ISNUMBER(MATCH($G4923,Lists!$B$2:$B$7,0)),OR($H4923="",$N4923&gt;0),OR($I4923="",$I4923="NR",$O4923&gt;0),IF(ISNUMBER($J4923),AND($J4923&gt;=0,$J4923=INT($J4923)),FALSE())),$J4923,0)</f>
        <v>0</v>
      </c>
      <c r="Q4923" s="64" t="n">
        <f aca="false">IF(AND($P4923&gt;0,$O4923&gt;0),$P4923,0)</f>
        <v>0</v>
      </c>
      <c r="R4923" s="64" t="n">
        <f aca="false">IF(AND($Q4923&gt;0,$O4923&gt;=AtRank),$Q4923,0)</f>
        <v>0</v>
      </c>
      <c r="S4923" s="64" t="n">
        <f aca="false">IF(AND($Q4923&gt;0,$O4923&gt;=AboveRank),$Q4923,0)</f>
        <v>0</v>
      </c>
      <c r="T4923" s="64" t="n">
        <f aca="false">IF($K4923="Less",$P4923,0)</f>
        <v>0</v>
      </c>
      <c r="U4923" s="64" t="n">
        <f aca="false">IF($K4923="Expected",$P4923,0)</f>
        <v>0</v>
      </c>
      <c r="V4923" s="64" t="n">
        <f aca="false">IF($K4923="Better",$P4923,0)</f>
        <v>0</v>
      </c>
      <c r="W4923" s="64" t="n">
        <f aca="false">IF($K4923="U – needs rule",$P4923,0)</f>
        <v>0</v>
      </c>
      <c r="X4923" s="64" t="n">
        <f aca="false">IF($K4923="No Start (attainment only)",$P4923,0)</f>
        <v>0</v>
      </c>
    </row>
    <row r="4924" customFormat="false" ht="15" hidden="false" customHeight="false" outlineLevel="0" collapsed="false">
      <c r="A4924" s="60"/>
      <c r="B4924" s="61" t="str">
        <f aca="false">IF($M4924=0,"",INDEX(Classes!$E$6:$E$420,$M4924))</f>
        <v/>
      </c>
      <c r="C4924" s="62" t="str">
        <f aca="false">IF($M4924=0,"",INDEX(Classes!$H$6:$H$420,$M4924))</f>
        <v/>
      </c>
      <c r="D4924" s="61" t="str">
        <f aca="false">IF($M4924=0,"",INDEX(Classes!$B$6:$B$420,$M4924))</f>
        <v/>
      </c>
      <c r="E4924" s="61" t="str">
        <f aca="false">IF($M4924=0,"",INDEX(Classes!$C$6:$C$420,$M4924))</f>
        <v/>
      </c>
      <c r="F4924" s="63"/>
      <c r="G4924" s="63"/>
      <c r="H4924" s="60"/>
      <c r="I4924" s="60"/>
      <c r="J4924" s="63"/>
      <c r="K4924" s="61" t="str">
        <f aca="false">IF($P4924=0,"",IF($F4924="Baseline","— Baseline",IF($O4924=0,"No result",IF($N4924=0,"No Start (attainment only)",IF(OR($N4924=1,$O4924=1),"U – needs rule",INDEX(MxBody,MATCH($I4924,MxCurr,0),MATCH($H4924,MxStart,0)))))))</f>
        <v/>
      </c>
      <c r="L4924" s="62" t="str">
        <f aca="false">IF(COUNTA($A4924,$F4924,$G4924,$H4924,$I4924,$J4924)=0,"",IF($M4924=0,"✖ كود الصف غير موجود",IF(ISNA(MATCH($F4924,Lists!$A$2:$A$5,0)),"✖ الفترة غير صحيحة",IF(ISNA(MATCH($G4924,Lists!$B$2:$B$7,0)),"✖ المجموعة غير صحيحة",IF(NOT(OR($H4924="",$N4924&gt;0)),"✖ Start غير صحيح",IF(NOT(OR($I4924="",$I4924="NR",$O4924&gt;0)),"✖ Current غير صحيح",IF(NOT(IF(ISNUMBER($J4924),AND($J4924&gt;=0,$J4924=INT($J4924)),FALSE())),"✖ العدد يجب أن يكون صحيحًا ≥ 0",IF(AND($F4924="Baseline",$H4924&lt;&gt;""),"⚠ Baseline: Start لا يدخل في التقدم",IF($K4924="No Start (attainment only)","ℹ تحصيل فقط (بدون Start)",IF($K4924="U – needs rule","ℹ حالة U تحتاج قاعدة معتمدة",IF($K4924="No result","ℹ بدون نتيجة (يُستبعد من التحصيل)","OK")))))))))))</f>
        <v/>
      </c>
      <c r="M4924" s="64" t="n">
        <f aca="false">IF($A4924="",0,IFERROR(MATCH($A4924,Classes!$A$6:$A$420,0),0))</f>
        <v>0</v>
      </c>
      <c r="N4924" s="64" t="n">
        <f aca="false">IF($H4924="",0,IFERROR(MATCH($H4924,GradeList,0),0))</f>
        <v>0</v>
      </c>
      <c r="O4924" s="64" t="n">
        <f aca="false">IF(OR($I4924="",$I4924="NR"),0,IFERROR(MATCH($I4924,GradeList,0),0))</f>
        <v>0</v>
      </c>
      <c r="P4924" s="64" t="n">
        <f aca="false">IF(AND($M4924&gt;0,ISNUMBER(MATCH($F4924,Lists!$A$2:$A$5,0)),ISNUMBER(MATCH($G4924,Lists!$B$2:$B$7,0)),OR($H4924="",$N4924&gt;0),OR($I4924="",$I4924="NR",$O4924&gt;0),IF(ISNUMBER($J4924),AND($J4924&gt;=0,$J4924=INT($J4924)),FALSE())),$J4924,0)</f>
        <v>0</v>
      </c>
      <c r="Q4924" s="64" t="n">
        <f aca="false">IF(AND($P4924&gt;0,$O4924&gt;0),$P4924,0)</f>
        <v>0</v>
      </c>
      <c r="R4924" s="64" t="n">
        <f aca="false">IF(AND($Q4924&gt;0,$O4924&gt;=AtRank),$Q4924,0)</f>
        <v>0</v>
      </c>
      <c r="S4924" s="64" t="n">
        <f aca="false">IF(AND($Q4924&gt;0,$O4924&gt;=AboveRank),$Q4924,0)</f>
        <v>0</v>
      </c>
      <c r="T4924" s="64" t="n">
        <f aca="false">IF($K4924="Less",$P4924,0)</f>
        <v>0</v>
      </c>
      <c r="U4924" s="64" t="n">
        <f aca="false">IF($K4924="Expected",$P4924,0)</f>
        <v>0</v>
      </c>
      <c r="V4924" s="64" t="n">
        <f aca="false">IF($K4924="Better",$P4924,0)</f>
        <v>0</v>
      </c>
      <c r="W4924" s="64" t="n">
        <f aca="false">IF($K4924="U – needs rule",$P4924,0)</f>
        <v>0</v>
      </c>
      <c r="X4924" s="64" t="n">
        <f aca="false">IF($K4924="No Start (attainment only)",$P4924,0)</f>
        <v>0</v>
      </c>
    </row>
    <row r="4925" customFormat="false" ht="15" hidden="false" customHeight="false" outlineLevel="0" collapsed="false">
      <c r="A4925" s="60"/>
      <c r="B4925" s="61" t="str">
        <f aca="false">IF($M4925=0,"",INDEX(Classes!$E$6:$E$420,$M4925))</f>
        <v/>
      </c>
      <c r="C4925" s="62" t="str">
        <f aca="false">IF($M4925=0,"",INDEX(Classes!$H$6:$H$420,$M4925))</f>
        <v/>
      </c>
      <c r="D4925" s="61" t="str">
        <f aca="false">IF($M4925=0,"",INDEX(Classes!$B$6:$B$420,$M4925))</f>
        <v/>
      </c>
      <c r="E4925" s="61" t="str">
        <f aca="false">IF($M4925=0,"",INDEX(Classes!$C$6:$C$420,$M4925))</f>
        <v/>
      </c>
      <c r="F4925" s="63"/>
      <c r="G4925" s="63"/>
      <c r="H4925" s="60"/>
      <c r="I4925" s="60"/>
      <c r="J4925" s="63"/>
      <c r="K4925" s="61" t="str">
        <f aca="false">IF($P4925=0,"",IF($F4925="Baseline","— Baseline",IF($O4925=0,"No result",IF($N4925=0,"No Start (attainment only)",IF(OR($N4925=1,$O4925=1),"U – needs rule",INDEX(MxBody,MATCH($I4925,MxCurr,0),MATCH($H4925,MxStart,0)))))))</f>
        <v/>
      </c>
      <c r="L4925" s="62" t="str">
        <f aca="false">IF(COUNTA($A4925,$F4925,$G4925,$H4925,$I4925,$J4925)=0,"",IF($M4925=0,"✖ كود الصف غير موجود",IF(ISNA(MATCH($F4925,Lists!$A$2:$A$5,0)),"✖ الفترة غير صحيحة",IF(ISNA(MATCH($G4925,Lists!$B$2:$B$7,0)),"✖ المجموعة غير صحيحة",IF(NOT(OR($H4925="",$N4925&gt;0)),"✖ Start غير صحيح",IF(NOT(OR($I4925="",$I4925="NR",$O4925&gt;0)),"✖ Current غير صحيح",IF(NOT(IF(ISNUMBER($J4925),AND($J4925&gt;=0,$J4925=INT($J4925)),FALSE())),"✖ العدد يجب أن يكون صحيحًا ≥ 0",IF(AND($F4925="Baseline",$H4925&lt;&gt;""),"⚠ Baseline: Start لا يدخل في التقدم",IF($K4925="No Start (attainment only)","ℹ تحصيل فقط (بدون Start)",IF($K4925="U – needs rule","ℹ حالة U تحتاج قاعدة معتمدة",IF($K4925="No result","ℹ بدون نتيجة (يُستبعد من التحصيل)","OK")))))))))))</f>
        <v/>
      </c>
      <c r="M4925" s="64" t="n">
        <f aca="false">IF($A4925="",0,IFERROR(MATCH($A4925,Classes!$A$6:$A$420,0),0))</f>
        <v>0</v>
      </c>
      <c r="N4925" s="64" t="n">
        <f aca="false">IF($H4925="",0,IFERROR(MATCH($H4925,GradeList,0),0))</f>
        <v>0</v>
      </c>
      <c r="O4925" s="64" t="n">
        <f aca="false">IF(OR($I4925="",$I4925="NR"),0,IFERROR(MATCH($I4925,GradeList,0),0))</f>
        <v>0</v>
      </c>
      <c r="P4925" s="64" t="n">
        <f aca="false">IF(AND($M4925&gt;0,ISNUMBER(MATCH($F4925,Lists!$A$2:$A$5,0)),ISNUMBER(MATCH($G4925,Lists!$B$2:$B$7,0)),OR($H4925="",$N4925&gt;0),OR($I4925="",$I4925="NR",$O4925&gt;0),IF(ISNUMBER($J4925),AND($J4925&gt;=0,$J4925=INT($J4925)),FALSE())),$J4925,0)</f>
        <v>0</v>
      </c>
      <c r="Q4925" s="64" t="n">
        <f aca="false">IF(AND($P4925&gt;0,$O4925&gt;0),$P4925,0)</f>
        <v>0</v>
      </c>
      <c r="R4925" s="64" t="n">
        <f aca="false">IF(AND($Q4925&gt;0,$O4925&gt;=AtRank),$Q4925,0)</f>
        <v>0</v>
      </c>
      <c r="S4925" s="64" t="n">
        <f aca="false">IF(AND($Q4925&gt;0,$O4925&gt;=AboveRank),$Q4925,0)</f>
        <v>0</v>
      </c>
      <c r="T4925" s="64" t="n">
        <f aca="false">IF($K4925="Less",$P4925,0)</f>
        <v>0</v>
      </c>
      <c r="U4925" s="64" t="n">
        <f aca="false">IF($K4925="Expected",$P4925,0)</f>
        <v>0</v>
      </c>
      <c r="V4925" s="64" t="n">
        <f aca="false">IF($K4925="Better",$P4925,0)</f>
        <v>0</v>
      </c>
      <c r="W4925" s="64" t="n">
        <f aca="false">IF($K4925="U – needs rule",$P4925,0)</f>
        <v>0</v>
      </c>
      <c r="X4925" s="64" t="n">
        <f aca="false">IF($K4925="No Start (attainment only)",$P4925,0)</f>
        <v>0</v>
      </c>
    </row>
    <row r="4926" customFormat="false" ht="15" hidden="false" customHeight="false" outlineLevel="0" collapsed="false">
      <c r="A4926" s="60"/>
      <c r="B4926" s="61" t="str">
        <f aca="false">IF($M4926=0,"",INDEX(Classes!$E$6:$E$420,$M4926))</f>
        <v/>
      </c>
      <c r="C4926" s="62" t="str">
        <f aca="false">IF($M4926=0,"",INDEX(Classes!$H$6:$H$420,$M4926))</f>
        <v/>
      </c>
      <c r="D4926" s="61" t="str">
        <f aca="false">IF($M4926=0,"",INDEX(Classes!$B$6:$B$420,$M4926))</f>
        <v/>
      </c>
      <c r="E4926" s="61" t="str">
        <f aca="false">IF($M4926=0,"",INDEX(Classes!$C$6:$C$420,$M4926))</f>
        <v/>
      </c>
      <c r="F4926" s="63"/>
      <c r="G4926" s="63"/>
      <c r="H4926" s="60"/>
      <c r="I4926" s="60"/>
      <c r="J4926" s="63"/>
      <c r="K4926" s="61" t="str">
        <f aca="false">IF($P4926=0,"",IF($F4926="Baseline","— Baseline",IF($O4926=0,"No result",IF($N4926=0,"No Start (attainment only)",IF(OR($N4926=1,$O4926=1),"U – needs rule",INDEX(MxBody,MATCH($I4926,MxCurr,0),MATCH($H4926,MxStart,0)))))))</f>
        <v/>
      </c>
      <c r="L4926" s="62" t="str">
        <f aca="false">IF(COUNTA($A4926,$F4926,$G4926,$H4926,$I4926,$J4926)=0,"",IF($M4926=0,"✖ كود الصف غير موجود",IF(ISNA(MATCH($F4926,Lists!$A$2:$A$5,0)),"✖ الفترة غير صحيحة",IF(ISNA(MATCH($G4926,Lists!$B$2:$B$7,0)),"✖ المجموعة غير صحيحة",IF(NOT(OR($H4926="",$N4926&gt;0)),"✖ Start غير صحيح",IF(NOT(OR($I4926="",$I4926="NR",$O4926&gt;0)),"✖ Current غير صحيح",IF(NOT(IF(ISNUMBER($J4926),AND($J4926&gt;=0,$J4926=INT($J4926)),FALSE())),"✖ العدد يجب أن يكون صحيحًا ≥ 0",IF(AND($F4926="Baseline",$H4926&lt;&gt;""),"⚠ Baseline: Start لا يدخل في التقدم",IF($K4926="No Start (attainment only)","ℹ تحصيل فقط (بدون Start)",IF($K4926="U – needs rule","ℹ حالة U تحتاج قاعدة معتمدة",IF($K4926="No result","ℹ بدون نتيجة (يُستبعد من التحصيل)","OK")))))))))))</f>
        <v/>
      </c>
      <c r="M4926" s="64" t="n">
        <f aca="false">IF($A4926="",0,IFERROR(MATCH($A4926,Classes!$A$6:$A$420,0),0))</f>
        <v>0</v>
      </c>
      <c r="N4926" s="64" t="n">
        <f aca="false">IF($H4926="",0,IFERROR(MATCH($H4926,GradeList,0),0))</f>
        <v>0</v>
      </c>
      <c r="O4926" s="64" t="n">
        <f aca="false">IF(OR($I4926="",$I4926="NR"),0,IFERROR(MATCH($I4926,GradeList,0),0))</f>
        <v>0</v>
      </c>
      <c r="P4926" s="64" t="n">
        <f aca="false">IF(AND($M4926&gt;0,ISNUMBER(MATCH($F4926,Lists!$A$2:$A$5,0)),ISNUMBER(MATCH($G4926,Lists!$B$2:$B$7,0)),OR($H4926="",$N4926&gt;0),OR($I4926="",$I4926="NR",$O4926&gt;0),IF(ISNUMBER($J4926),AND($J4926&gt;=0,$J4926=INT($J4926)),FALSE())),$J4926,0)</f>
        <v>0</v>
      </c>
      <c r="Q4926" s="64" t="n">
        <f aca="false">IF(AND($P4926&gt;0,$O4926&gt;0),$P4926,0)</f>
        <v>0</v>
      </c>
      <c r="R4926" s="64" t="n">
        <f aca="false">IF(AND($Q4926&gt;0,$O4926&gt;=AtRank),$Q4926,0)</f>
        <v>0</v>
      </c>
      <c r="S4926" s="64" t="n">
        <f aca="false">IF(AND($Q4926&gt;0,$O4926&gt;=AboveRank),$Q4926,0)</f>
        <v>0</v>
      </c>
      <c r="T4926" s="64" t="n">
        <f aca="false">IF($K4926="Less",$P4926,0)</f>
        <v>0</v>
      </c>
      <c r="U4926" s="64" t="n">
        <f aca="false">IF($K4926="Expected",$P4926,0)</f>
        <v>0</v>
      </c>
      <c r="V4926" s="64" t="n">
        <f aca="false">IF($K4926="Better",$P4926,0)</f>
        <v>0</v>
      </c>
      <c r="W4926" s="64" t="n">
        <f aca="false">IF($K4926="U – needs rule",$P4926,0)</f>
        <v>0</v>
      </c>
      <c r="X4926" s="64" t="n">
        <f aca="false">IF($K4926="No Start (attainment only)",$P4926,0)</f>
        <v>0</v>
      </c>
    </row>
    <row r="4927" customFormat="false" ht="15" hidden="false" customHeight="false" outlineLevel="0" collapsed="false">
      <c r="A4927" s="60"/>
      <c r="B4927" s="61" t="str">
        <f aca="false">IF($M4927=0,"",INDEX(Classes!$E$6:$E$420,$M4927))</f>
        <v/>
      </c>
      <c r="C4927" s="62" t="str">
        <f aca="false">IF($M4927=0,"",INDEX(Classes!$H$6:$H$420,$M4927))</f>
        <v/>
      </c>
      <c r="D4927" s="61" t="str">
        <f aca="false">IF($M4927=0,"",INDEX(Classes!$B$6:$B$420,$M4927))</f>
        <v/>
      </c>
      <c r="E4927" s="61" t="str">
        <f aca="false">IF($M4927=0,"",INDEX(Classes!$C$6:$C$420,$M4927))</f>
        <v/>
      </c>
      <c r="F4927" s="63"/>
      <c r="G4927" s="63"/>
      <c r="H4927" s="60"/>
      <c r="I4927" s="60"/>
      <c r="J4927" s="63"/>
      <c r="K4927" s="61" t="str">
        <f aca="false">IF($P4927=0,"",IF($F4927="Baseline","— Baseline",IF($O4927=0,"No result",IF($N4927=0,"No Start (attainment only)",IF(OR($N4927=1,$O4927=1),"U – needs rule",INDEX(MxBody,MATCH($I4927,MxCurr,0),MATCH($H4927,MxStart,0)))))))</f>
        <v/>
      </c>
      <c r="L4927" s="62" t="str">
        <f aca="false">IF(COUNTA($A4927,$F4927,$G4927,$H4927,$I4927,$J4927)=0,"",IF($M4927=0,"✖ كود الصف غير موجود",IF(ISNA(MATCH($F4927,Lists!$A$2:$A$5,0)),"✖ الفترة غير صحيحة",IF(ISNA(MATCH($G4927,Lists!$B$2:$B$7,0)),"✖ المجموعة غير صحيحة",IF(NOT(OR($H4927="",$N4927&gt;0)),"✖ Start غير صحيح",IF(NOT(OR($I4927="",$I4927="NR",$O4927&gt;0)),"✖ Current غير صحيح",IF(NOT(IF(ISNUMBER($J4927),AND($J4927&gt;=0,$J4927=INT($J4927)),FALSE())),"✖ العدد يجب أن يكون صحيحًا ≥ 0",IF(AND($F4927="Baseline",$H4927&lt;&gt;""),"⚠ Baseline: Start لا يدخل في التقدم",IF($K4927="No Start (attainment only)","ℹ تحصيل فقط (بدون Start)",IF($K4927="U – needs rule","ℹ حالة U تحتاج قاعدة معتمدة",IF($K4927="No result","ℹ بدون نتيجة (يُستبعد من التحصيل)","OK")))))))))))</f>
        <v/>
      </c>
      <c r="M4927" s="64" t="n">
        <f aca="false">IF($A4927="",0,IFERROR(MATCH($A4927,Classes!$A$6:$A$420,0),0))</f>
        <v>0</v>
      </c>
      <c r="N4927" s="64" t="n">
        <f aca="false">IF($H4927="",0,IFERROR(MATCH($H4927,GradeList,0),0))</f>
        <v>0</v>
      </c>
      <c r="O4927" s="64" t="n">
        <f aca="false">IF(OR($I4927="",$I4927="NR"),0,IFERROR(MATCH($I4927,GradeList,0),0))</f>
        <v>0</v>
      </c>
      <c r="P4927" s="64" t="n">
        <f aca="false">IF(AND($M4927&gt;0,ISNUMBER(MATCH($F4927,Lists!$A$2:$A$5,0)),ISNUMBER(MATCH($G4927,Lists!$B$2:$B$7,0)),OR($H4927="",$N4927&gt;0),OR($I4927="",$I4927="NR",$O4927&gt;0),IF(ISNUMBER($J4927),AND($J4927&gt;=0,$J4927=INT($J4927)),FALSE())),$J4927,0)</f>
        <v>0</v>
      </c>
      <c r="Q4927" s="64" t="n">
        <f aca="false">IF(AND($P4927&gt;0,$O4927&gt;0),$P4927,0)</f>
        <v>0</v>
      </c>
      <c r="R4927" s="64" t="n">
        <f aca="false">IF(AND($Q4927&gt;0,$O4927&gt;=AtRank),$Q4927,0)</f>
        <v>0</v>
      </c>
      <c r="S4927" s="64" t="n">
        <f aca="false">IF(AND($Q4927&gt;0,$O4927&gt;=AboveRank),$Q4927,0)</f>
        <v>0</v>
      </c>
      <c r="T4927" s="64" t="n">
        <f aca="false">IF($K4927="Less",$P4927,0)</f>
        <v>0</v>
      </c>
      <c r="U4927" s="64" t="n">
        <f aca="false">IF($K4927="Expected",$P4927,0)</f>
        <v>0</v>
      </c>
      <c r="V4927" s="64" t="n">
        <f aca="false">IF($K4927="Better",$P4927,0)</f>
        <v>0</v>
      </c>
      <c r="W4927" s="64" t="n">
        <f aca="false">IF($K4927="U – needs rule",$P4927,0)</f>
        <v>0</v>
      </c>
      <c r="X4927" s="64" t="n">
        <f aca="false">IF($K4927="No Start (attainment only)",$P4927,0)</f>
        <v>0</v>
      </c>
    </row>
    <row r="4928" customFormat="false" ht="15" hidden="false" customHeight="false" outlineLevel="0" collapsed="false">
      <c r="A4928" s="60"/>
      <c r="B4928" s="61" t="str">
        <f aca="false">IF($M4928=0,"",INDEX(Classes!$E$6:$E$420,$M4928))</f>
        <v/>
      </c>
      <c r="C4928" s="62" t="str">
        <f aca="false">IF($M4928=0,"",INDEX(Classes!$H$6:$H$420,$M4928))</f>
        <v/>
      </c>
      <c r="D4928" s="61" t="str">
        <f aca="false">IF($M4928=0,"",INDEX(Classes!$B$6:$B$420,$M4928))</f>
        <v/>
      </c>
      <c r="E4928" s="61" t="str">
        <f aca="false">IF($M4928=0,"",INDEX(Classes!$C$6:$C$420,$M4928))</f>
        <v/>
      </c>
      <c r="F4928" s="63"/>
      <c r="G4928" s="63"/>
      <c r="H4928" s="60"/>
      <c r="I4928" s="60"/>
      <c r="J4928" s="63"/>
      <c r="K4928" s="61" t="str">
        <f aca="false">IF($P4928=0,"",IF($F4928="Baseline","— Baseline",IF($O4928=0,"No result",IF($N4928=0,"No Start (attainment only)",IF(OR($N4928=1,$O4928=1),"U – needs rule",INDEX(MxBody,MATCH($I4928,MxCurr,0),MATCH($H4928,MxStart,0)))))))</f>
        <v/>
      </c>
      <c r="L4928" s="62" t="str">
        <f aca="false">IF(COUNTA($A4928,$F4928,$G4928,$H4928,$I4928,$J4928)=0,"",IF($M4928=0,"✖ كود الصف غير موجود",IF(ISNA(MATCH($F4928,Lists!$A$2:$A$5,0)),"✖ الفترة غير صحيحة",IF(ISNA(MATCH($G4928,Lists!$B$2:$B$7,0)),"✖ المجموعة غير صحيحة",IF(NOT(OR($H4928="",$N4928&gt;0)),"✖ Start غير صحيح",IF(NOT(OR($I4928="",$I4928="NR",$O4928&gt;0)),"✖ Current غير صحيح",IF(NOT(IF(ISNUMBER($J4928),AND($J4928&gt;=0,$J4928=INT($J4928)),FALSE())),"✖ العدد يجب أن يكون صحيحًا ≥ 0",IF(AND($F4928="Baseline",$H4928&lt;&gt;""),"⚠ Baseline: Start لا يدخل في التقدم",IF($K4928="No Start (attainment only)","ℹ تحصيل فقط (بدون Start)",IF($K4928="U – needs rule","ℹ حالة U تحتاج قاعدة معتمدة",IF($K4928="No result","ℹ بدون نتيجة (يُستبعد من التحصيل)","OK")))))))))))</f>
        <v/>
      </c>
      <c r="M4928" s="64" t="n">
        <f aca="false">IF($A4928="",0,IFERROR(MATCH($A4928,Classes!$A$6:$A$420,0),0))</f>
        <v>0</v>
      </c>
      <c r="N4928" s="64" t="n">
        <f aca="false">IF($H4928="",0,IFERROR(MATCH($H4928,GradeList,0),0))</f>
        <v>0</v>
      </c>
      <c r="O4928" s="64" t="n">
        <f aca="false">IF(OR($I4928="",$I4928="NR"),0,IFERROR(MATCH($I4928,GradeList,0),0))</f>
        <v>0</v>
      </c>
      <c r="P4928" s="64" t="n">
        <f aca="false">IF(AND($M4928&gt;0,ISNUMBER(MATCH($F4928,Lists!$A$2:$A$5,0)),ISNUMBER(MATCH($G4928,Lists!$B$2:$B$7,0)),OR($H4928="",$N4928&gt;0),OR($I4928="",$I4928="NR",$O4928&gt;0),IF(ISNUMBER($J4928),AND($J4928&gt;=0,$J4928=INT($J4928)),FALSE())),$J4928,0)</f>
        <v>0</v>
      </c>
      <c r="Q4928" s="64" t="n">
        <f aca="false">IF(AND($P4928&gt;0,$O4928&gt;0),$P4928,0)</f>
        <v>0</v>
      </c>
      <c r="R4928" s="64" t="n">
        <f aca="false">IF(AND($Q4928&gt;0,$O4928&gt;=AtRank),$Q4928,0)</f>
        <v>0</v>
      </c>
      <c r="S4928" s="64" t="n">
        <f aca="false">IF(AND($Q4928&gt;0,$O4928&gt;=AboveRank),$Q4928,0)</f>
        <v>0</v>
      </c>
      <c r="T4928" s="64" t="n">
        <f aca="false">IF($K4928="Less",$P4928,0)</f>
        <v>0</v>
      </c>
      <c r="U4928" s="64" t="n">
        <f aca="false">IF($K4928="Expected",$P4928,0)</f>
        <v>0</v>
      </c>
      <c r="V4928" s="64" t="n">
        <f aca="false">IF($K4928="Better",$P4928,0)</f>
        <v>0</v>
      </c>
      <c r="W4928" s="64" t="n">
        <f aca="false">IF($K4928="U – needs rule",$P4928,0)</f>
        <v>0</v>
      </c>
      <c r="X4928" s="64" t="n">
        <f aca="false">IF($K4928="No Start (attainment only)",$P4928,0)</f>
        <v>0</v>
      </c>
    </row>
    <row r="4929" customFormat="false" ht="15" hidden="false" customHeight="false" outlineLevel="0" collapsed="false">
      <c r="A4929" s="60"/>
      <c r="B4929" s="61" t="str">
        <f aca="false">IF($M4929=0,"",INDEX(Classes!$E$6:$E$420,$M4929))</f>
        <v/>
      </c>
      <c r="C4929" s="62" t="str">
        <f aca="false">IF($M4929=0,"",INDEX(Classes!$H$6:$H$420,$M4929))</f>
        <v/>
      </c>
      <c r="D4929" s="61" t="str">
        <f aca="false">IF($M4929=0,"",INDEX(Classes!$B$6:$B$420,$M4929))</f>
        <v/>
      </c>
      <c r="E4929" s="61" t="str">
        <f aca="false">IF($M4929=0,"",INDEX(Classes!$C$6:$C$420,$M4929))</f>
        <v/>
      </c>
      <c r="F4929" s="63"/>
      <c r="G4929" s="63"/>
      <c r="H4929" s="60"/>
      <c r="I4929" s="60"/>
      <c r="J4929" s="63"/>
      <c r="K4929" s="61" t="str">
        <f aca="false">IF($P4929=0,"",IF($F4929="Baseline","— Baseline",IF($O4929=0,"No result",IF($N4929=0,"No Start (attainment only)",IF(OR($N4929=1,$O4929=1),"U – needs rule",INDEX(MxBody,MATCH($I4929,MxCurr,0),MATCH($H4929,MxStart,0)))))))</f>
        <v/>
      </c>
      <c r="L4929" s="62" t="str">
        <f aca="false">IF(COUNTA($A4929,$F4929,$G4929,$H4929,$I4929,$J4929)=0,"",IF($M4929=0,"✖ كود الصف غير موجود",IF(ISNA(MATCH($F4929,Lists!$A$2:$A$5,0)),"✖ الفترة غير صحيحة",IF(ISNA(MATCH($G4929,Lists!$B$2:$B$7,0)),"✖ المجموعة غير صحيحة",IF(NOT(OR($H4929="",$N4929&gt;0)),"✖ Start غير صحيح",IF(NOT(OR($I4929="",$I4929="NR",$O4929&gt;0)),"✖ Current غير صحيح",IF(NOT(IF(ISNUMBER($J4929),AND($J4929&gt;=0,$J4929=INT($J4929)),FALSE())),"✖ العدد يجب أن يكون صحيحًا ≥ 0",IF(AND($F4929="Baseline",$H4929&lt;&gt;""),"⚠ Baseline: Start لا يدخل في التقدم",IF($K4929="No Start (attainment only)","ℹ تحصيل فقط (بدون Start)",IF($K4929="U – needs rule","ℹ حالة U تحتاج قاعدة معتمدة",IF($K4929="No result","ℹ بدون نتيجة (يُستبعد من التحصيل)","OK")))))))))))</f>
        <v/>
      </c>
      <c r="M4929" s="64" t="n">
        <f aca="false">IF($A4929="",0,IFERROR(MATCH($A4929,Classes!$A$6:$A$420,0),0))</f>
        <v>0</v>
      </c>
      <c r="N4929" s="64" t="n">
        <f aca="false">IF($H4929="",0,IFERROR(MATCH($H4929,GradeList,0),0))</f>
        <v>0</v>
      </c>
      <c r="O4929" s="64" t="n">
        <f aca="false">IF(OR($I4929="",$I4929="NR"),0,IFERROR(MATCH($I4929,GradeList,0),0))</f>
        <v>0</v>
      </c>
      <c r="P4929" s="64" t="n">
        <f aca="false">IF(AND($M4929&gt;0,ISNUMBER(MATCH($F4929,Lists!$A$2:$A$5,0)),ISNUMBER(MATCH($G4929,Lists!$B$2:$B$7,0)),OR($H4929="",$N4929&gt;0),OR($I4929="",$I4929="NR",$O4929&gt;0),IF(ISNUMBER($J4929),AND($J4929&gt;=0,$J4929=INT($J4929)),FALSE())),$J4929,0)</f>
        <v>0</v>
      </c>
      <c r="Q4929" s="64" t="n">
        <f aca="false">IF(AND($P4929&gt;0,$O4929&gt;0),$P4929,0)</f>
        <v>0</v>
      </c>
      <c r="R4929" s="64" t="n">
        <f aca="false">IF(AND($Q4929&gt;0,$O4929&gt;=AtRank),$Q4929,0)</f>
        <v>0</v>
      </c>
      <c r="S4929" s="64" t="n">
        <f aca="false">IF(AND($Q4929&gt;0,$O4929&gt;=AboveRank),$Q4929,0)</f>
        <v>0</v>
      </c>
      <c r="T4929" s="64" t="n">
        <f aca="false">IF($K4929="Less",$P4929,0)</f>
        <v>0</v>
      </c>
      <c r="U4929" s="64" t="n">
        <f aca="false">IF($K4929="Expected",$P4929,0)</f>
        <v>0</v>
      </c>
      <c r="V4929" s="64" t="n">
        <f aca="false">IF($K4929="Better",$P4929,0)</f>
        <v>0</v>
      </c>
      <c r="W4929" s="64" t="n">
        <f aca="false">IF($K4929="U – needs rule",$P4929,0)</f>
        <v>0</v>
      </c>
      <c r="X4929" s="64" t="n">
        <f aca="false">IF($K4929="No Start (attainment only)",$P4929,0)</f>
        <v>0</v>
      </c>
    </row>
    <row r="4930" customFormat="false" ht="15" hidden="false" customHeight="false" outlineLevel="0" collapsed="false">
      <c r="A4930" s="60"/>
      <c r="B4930" s="61" t="str">
        <f aca="false">IF($M4930=0,"",INDEX(Classes!$E$6:$E$420,$M4930))</f>
        <v/>
      </c>
      <c r="C4930" s="62" t="str">
        <f aca="false">IF($M4930=0,"",INDEX(Classes!$H$6:$H$420,$M4930))</f>
        <v/>
      </c>
      <c r="D4930" s="61" t="str">
        <f aca="false">IF($M4930=0,"",INDEX(Classes!$B$6:$B$420,$M4930))</f>
        <v/>
      </c>
      <c r="E4930" s="61" t="str">
        <f aca="false">IF($M4930=0,"",INDEX(Classes!$C$6:$C$420,$M4930))</f>
        <v/>
      </c>
      <c r="F4930" s="63"/>
      <c r="G4930" s="63"/>
      <c r="H4930" s="60"/>
      <c r="I4930" s="60"/>
      <c r="J4930" s="63"/>
      <c r="K4930" s="61" t="str">
        <f aca="false">IF($P4930=0,"",IF($F4930="Baseline","— Baseline",IF($O4930=0,"No result",IF($N4930=0,"No Start (attainment only)",IF(OR($N4930=1,$O4930=1),"U – needs rule",INDEX(MxBody,MATCH($I4930,MxCurr,0),MATCH($H4930,MxStart,0)))))))</f>
        <v/>
      </c>
      <c r="L4930" s="62" t="str">
        <f aca="false">IF(COUNTA($A4930,$F4930,$G4930,$H4930,$I4930,$J4930)=0,"",IF($M4930=0,"✖ كود الصف غير موجود",IF(ISNA(MATCH($F4930,Lists!$A$2:$A$5,0)),"✖ الفترة غير صحيحة",IF(ISNA(MATCH($G4930,Lists!$B$2:$B$7,0)),"✖ المجموعة غير صحيحة",IF(NOT(OR($H4930="",$N4930&gt;0)),"✖ Start غير صحيح",IF(NOT(OR($I4930="",$I4930="NR",$O4930&gt;0)),"✖ Current غير صحيح",IF(NOT(IF(ISNUMBER($J4930),AND($J4930&gt;=0,$J4930=INT($J4930)),FALSE())),"✖ العدد يجب أن يكون صحيحًا ≥ 0",IF(AND($F4930="Baseline",$H4930&lt;&gt;""),"⚠ Baseline: Start لا يدخل في التقدم",IF($K4930="No Start (attainment only)","ℹ تحصيل فقط (بدون Start)",IF($K4930="U – needs rule","ℹ حالة U تحتاج قاعدة معتمدة",IF($K4930="No result","ℹ بدون نتيجة (يُستبعد من التحصيل)","OK")))))))))))</f>
        <v/>
      </c>
      <c r="M4930" s="64" t="n">
        <f aca="false">IF($A4930="",0,IFERROR(MATCH($A4930,Classes!$A$6:$A$420,0),0))</f>
        <v>0</v>
      </c>
      <c r="N4930" s="64" t="n">
        <f aca="false">IF($H4930="",0,IFERROR(MATCH($H4930,GradeList,0),0))</f>
        <v>0</v>
      </c>
      <c r="O4930" s="64" t="n">
        <f aca="false">IF(OR($I4930="",$I4930="NR"),0,IFERROR(MATCH($I4930,GradeList,0),0))</f>
        <v>0</v>
      </c>
      <c r="P4930" s="64" t="n">
        <f aca="false">IF(AND($M4930&gt;0,ISNUMBER(MATCH($F4930,Lists!$A$2:$A$5,0)),ISNUMBER(MATCH($G4930,Lists!$B$2:$B$7,0)),OR($H4930="",$N4930&gt;0),OR($I4930="",$I4930="NR",$O4930&gt;0),IF(ISNUMBER($J4930),AND($J4930&gt;=0,$J4930=INT($J4930)),FALSE())),$J4930,0)</f>
        <v>0</v>
      </c>
      <c r="Q4930" s="64" t="n">
        <f aca="false">IF(AND($P4930&gt;0,$O4930&gt;0),$P4930,0)</f>
        <v>0</v>
      </c>
      <c r="R4930" s="64" t="n">
        <f aca="false">IF(AND($Q4930&gt;0,$O4930&gt;=AtRank),$Q4930,0)</f>
        <v>0</v>
      </c>
      <c r="S4930" s="64" t="n">
        <f aca="false">IF(AND($Q4930&gt;0,$O4930&gt;=AboveRank),$Q4930,0)</f>
        <v>0</v>
      </c>
      <c r="T4930" s="64" t="n">
        <f aca="false">IF($K4930="Less",$P4930,0)</f>
        <v>0</v>
      </c>
      <c r="U4930" s="64" t="n">
        <f aca="false">IF($K4930="Expected",$P4930,0)</f>
        <v>0</v>
      </c>
      <c r="V4930" s="64" t="n">
        <f aca="false">IF($K4930="Better",$P4930,0)</f>
        <v>0</v>
      </c>
      <c r="W4930" s="64" t="n">
        <f aca="false">IF($K4930="U – needs rule",$P4930,0)</f>
        <v>0</v>
      </c>
      <c r="X4930" s="64" t="n">
        <f aca="false">IF($K4930="No Start (attainment only)",$P4930,0)</f>
        <v>0</v>
      </c>
    </row>
    <row r="4931" customFormat="false" ht="15" hidden="false" customHeight="false" outlineLevel="0" collapsed="false">
      <c r="A4931" s="60"/>
      <c r="B4931" s="61" t="str">
        <f aca="false">IF($M4931=0,"",INDEX(Classes!$E$6:$E$420,$M4931))</f>
        <v/>
      </c>
      <c r="C4931" s="62" t="str">
        <f aca="false">IF($M4931=0,"",INDEX(Classes!$H$6:$H$420,$M4931))</f>
        <v/>
      </c>
      <c r="D4931" s="61" t="str">
        <f aca="false">IF($M4931=0,"",INDEX(Classes!$B$6:$B$420,$M4931))</f>
        <v/>
      </c>
      <c r="E4931" s="61" t="str">
        <f aca="false">IF($M4931=0,"",INDEX(Classes!$C$6:$C$420,$M4931))</f>
        <v/>
      </c>
      <c r="F4931" s="63"/>
      <c r="G4931" s="63"/>
      <c r="H4931" s="60"/>
      <c r="I4931" s="60"/>
      <c r="J4931" s="63"/>
      <c r="K4931" s="61" t="str">
        <f aca="false">IF($P4931=0,"",IF($F4931="Baseline","— Baseline",IF($O4931=0,"No result",IF($N4931=0,"No Start (attainment only)",IF(OR($N4931=1,$O4931=1),"U – needs rule",INDEX(MxBody,MATCH($I4931,MxCurr,0),MATCH($H4931,MxStart,0)))))))</f>
        <v/>
      </c>
      <c r="L4931" s="62" t="str">
        <f aca="false">IF(COUNTA($A4931,$F4931,$G4931,$H4931,$I4931,$J4931)=0,"",IF($M4931=0,"✖ كود الصف غير موجود",IF(ISNA(MATCH($F4931,Lists!$A$2:$A$5,0)),"✖ الفترة غير صحيحة",IF(ISNA(MATCH($G4931,Lists!$B$2:$B$7,0)),"✖ المجموعة غير صحيحة",IF(NOT(OR($H4931="",$N4931&gt;0)),"✖ Start غير صحيح",IF(NOT(OR($I4931="",$I4931="NR",$O4931&gt;0)),"✖ Current غير صحيح",IF(NOT(IF(ISNUMBER($J4931),AND($J4931&gt;=0,$J4931=INT($J4931)),FALSE())),"✖ العدد يجب أن يكون صحيحًا ≥ 0",IF(AND($F4931="Baseline",$H4931&lt;&gt;""),"⚠ Baseline: Start لا يدخل في التقدم",IF($K4931="No Start (attainment only)","ℹ تحصيل فقط (بدون Start)",IF($K4931="U – needs rule","ℹ حالة U تحتاج قاعدة معتمدة",IF($K4931="No result","ℹ بدون نتيجة (يُستبعد من التحصيل)","OK")))))))))))</f>
        <v/>
      </c>
      <c r="M4931" s="64" t="n">
        <f aca="false">IF($A4931="",0,IFERROR(MATCH($A4931,Classes!$A$6:$A$420,0),0))</f>
        <v>0</v>
      </c>
      <c r="N4931" s="64" t="n">
        <f aca="false">IF($H4931="",0,IFERROR(MATCH($H4931,GradeList,0),0))</f>
        <v>0</v>
      </c>
      <c r="O4931" s="64" t="n">
        <f aca="false">IF(OR($I4931="",$I4931="NR"),0,IFERROR(MATCH($I4931,GradeList,0),0))</f>
        <v>0</v>
      </c>
      <c r="P4931" s="64" t="n">
        <f aca="false">IF(AND($M4931&gt;0,ISNUMBER(MATCH($F4931,Lists!$A$2:$A$5,0)),ISNUMBER(MATCH($G4931,Lists!$B$2:$B$7,0)),OR($H4931="",$N4931&gt;0),OR($I4931="",$I4931="NR",$O4931&gt;0),IF(ISNUMBER($J4931),AND($J4931&gt;=0,$J4931=INT($J4931)),FALSE())),$J4931,0)</f>
        <v>0</v>
      </c>
      <c r="Q4931" s="64" t="n">
        <f aca="false">IF(AND($P4931&gt;0,$O4931&gt;0),$P4931,0)</f>
        <v>0</v>
      </c>
      <c r="R4931" s="64" t="n">
        <f aca="false">IF(AND($Q4931&gt;0,$O4931&gt;=AtRank),$Q4931,0)</f>
        <v>0</v>
      </c>
      <c r="S4931" s="64" t="n">
        <f aca="false">IF(AND($Q4931&gt;0,$O4931&gt;=AboveRank),$Q4931,0)</f>
        <v>0</v>
      </c>
      <c r="T4931" s="64" t="n">
        <f aca="false">IF($K4931="Less",$P4931,0)</f>
        <v>0</v>
      </c>
      <c r="U4931" s="64" t="n">
        <f aca="false">IF($K4931="Expected",$P4931,0)</f>
        <v>0</v>
      </c>
      <c r="V4931" s="64" t="n">
        <f aca="false">IF($K4931="Better",$P4931,0)</f>
        <v>0</v>
      </c>
      <c r="W4931" s="64" t="n">
        <f aca="false">IF($K4931="U – needs rule",$P4931,0)</f>
        <v>0</v>
      </c>
      <c r="X4931" s="64" t="n">
        <f aca="false">IF($K4931="No Start (attainment only)",$P4931,0)</f>
        <v>0</v>
      </c>
    </row>
    <row r="4932" customFormat="false" ht="15" hidden="false" customHeight="false" outlineLevel="0" collapsed="false">
      <c r="A4932" s="60"/>
      <c r="B4932" s="61" t="str">
        <f aca="false">IF($M4932=0,"",INDEX(Classes!$E$6:$E$420,$M4932))</f>
        <v/>
      </c>
      <c r="C4932" s="62" t="str">
        <f aca="false">IF($M4932=0,"",INDEX(Classes!$H$6:$H$420,$M4932))</f>
        <v/>
      </c>
      <c r="D4932" s="61" t="str">
        <f aca="false">IF($M4932=0,"",INDEX(Classes!$B$6:$B$420,$M4932))</f>
        <v/>
      </c>
      <c r="E4932" s="61" t="str">
        <f aca="false">IF($M4932=0,"",INDEX(Classes!$C$6:$C$420,$M4932))</f>
        <v/>
      </c>
      <c r="F4932" s="63"/>
      <c r="G4932" s="63"/>
      <c r="H4932" s="60"/>
      <c r="I4932" s="60"/>
      <c r="J4932" s="63"/>
      <c r="K4932" s="61" t="str">
        <f aca="false">IF($P4932=0,"",IF($F4932="Baseline","— Baseline",IF($O4932=0,"No result",IF($N4932=0,"No Start (attainment only)",IF(OR($N4932=1,$O4932=1),"U – needs rule",INDEX(MxBody,MATCH($I4932,MxCurr,0),MATCH($H4932,MxStart,0)))))))</f>
        <v/>
      </c>
      <c r="L4932" s="62" t="str">
        <f aca="false">IF(COUNTA($A4932,$F4932,$G4932,$H4932,$I4932,$J4932)=0,"",IF($M4932=0,"✖ كود الصف غير موجود",IF(ISNA(MATCH($F4932,Lists!$A$2:$A$5,0)),"✖ الفترة غير صحيحة",IF(ISNA(MATCH($G4932,Lists!$B$2:$B$7,0)),"✖ المجموعة غير صحيحة",IF(NOT(OR($H4932="",$N4932&gt;0)),"✖ Start غير صحيح",IF(NOT(OR($I4932="",$I4932="NR",$O4932&gt;0)),"✖ Current غير صحيح",IF(NOT(IF(ISNUMBER($J4932),AND($J4932&gt;=0,$J4932=INT($J4932)),FALSE())),"✖ العدد يجب أن يكون صحيحًا ≥ 0",IF(AND($F4932="Baseline",$H4932&lt;&gt;""),"⚠ Baseline: Start لا يدخل في التقدم",IF($K4932="No Start (attainment only)","ℹ تحصيل فقط (بدون Start)",IF($K4932="U – needs rule","ℹ حالة U تحتاج قاعدة معتمدة",IF($K4932="No result","ℹ بدون نتيجة (يُستبعد من التحصيل)","OK")))))))))))</f>
        <v/>
      </c>
      <c r="M4932" s="64" t="n">
        <f aca="false">IF($A4932="",0,IFERROR(MATCH($A4932,Classes!$A$6:$A$420,0),0))</f>
        <v>0</v>
      </c>
      <c r="N4932" s="64" t="n">
        <f aca="false">IF($H4932="",0,IFERROR(MATCH($H4932,GradeList,0),0))</f>
        <v>0</v>
      </c>
      <c r="O4932" s="64" t="n">
        <f aca="false">IF(OR($I4932="",$I4932="NR"),0,IFERROR(MATCH($I4932,GradeList,0),0))</f>
        <v>0</v>
      </c>
      <c r="P4932" s="64" t="n">
        <f aca="false">IF(AND($M4932&gt;0,ISNUMBER(MATCH($F4932,Lists!$A$2:$A$5,0)),ISNUMBER(MATCH($G4932,Lists!$B$2:$B$7,0)),OR($H4932="",$N4932&gt;0),OR($I4932="",$I4932="NR",$O4932&gt;0),IF(ISNUMBER($J4932),AND($J4932&gt;=0,$J4932=INT($J4932)),FALSE())),$J4932,0)</f>
        <v>0</v>
      </c>
      <c r="Q4932" s="64" t="n">
        <f aca="false">IF(AND($P4932&gt;0,$O4932&gt;0),$P4932,0)</f>
        <v>0</v>
      </c>
      <c r="R4932" s="64" t="n">
        <f aca="false">IF(AND($Q4932&gt;0,$O4932&gt;=AtRank),$Q4932,0)</f>
        <v>0</v>
      </c>
      <c r="S4932" s="64" t="n">
        <f aca="false">IF(AND($Q4932&gt;0,$O4932&gt;=AboveRank),$Q4932,0)</f>
        <v>0</v>
      </c>
      <c r="T4932" s="64" t="n">
        <f aca="false">IF($K4932="Less",$P4932,0)</f>
        <v>0</v>
      </c>
      <c r="U4932" s="64" t="n">
        <f aca="false">IF($K4932="Expected",$P4932,0)</f>
        <v>0</v>
      </c>
      <c r="V4932" s="64" t="n">
        <f aca="false">IF($K4932="Better",$P4932,0)</f>
        <v>0</v>
      </c>
      <c r="W4932" s="64" t="n">
        <f aca="false">IF($K4932="U – needs rule",$P4932,0)</f>
        <v>0</v>
      </c>
      <c r="X4932" s="64" t="n">
        <f aca="false">IF($K4932="No Start (attainment only)",$P4932,0)</f>
        <v>0</v>
      </c>
    </row>
    <row r="4933" customFormat="false" ht="15" hidden="false" customHeight="false" outlineLevel="0" collapsed="false">
      <c r="A4933" s="60"/>
      <c r="B4933" s="61" t="str">
        <f aca="false">IF($M4933=0,"",INDEX(Classes!$E$6:$E$420,$M4933))</f>
        <v/>
      </c>
      <c r="C4933" s="62" t="str">
        <f aca="false">IF($M4933=0,"",INDEX(Classes!$H$6:$H$420,$M4933))</f>
        <v/>
      </c>
      <c r="D4933" s="61" t="str">
        <f aca="false">IF($M4933=0,"",INDEX(Classes!$B$6:$B$420,$M4933))</f>
        <v/>
      </c>
      <c r="E4933" s="61" t="str">
        <f aca="false">IF($M4933=0,"",INDEX(Classes!$C$6:$C$420,$M4933))</f>
        <v/>
      </c>
      <c r="F4933" s="63"/>
      <c r="G4933" s="63"/>
      <c r="H4933" s="60"/>
      <c r="I4933" s="60"/>
      <c r="J4933" s="63"/>
      <c r="K4933" s="61" t="str">
        <f aca="false">IF($P4933=0,"",IF($F4933="Baseline","— Baseline",IF($O4933=0,"No result",IF($N4933=0,"No Start (attainment only)",IF(OR($N4933=1,$O4933=1),"U – needs rule",INDEX(MxBody,MATCH($I4933,MxCurr,0),MATCH($H4933,MxStart,0)))))))</f>
        <v/>
      </c>
      <c r="L4933" s="62" t="str">
        <f aca="false">IF(COUNTA($A4933,$F4933,$G4933,$H4933,$I4933,$J4933)=0,"",IF($M4933=0,"✖ كود الصف غير موجود",IF(ISNA(MATCH($F4933,Lists!$A$2:$A$5,0)),"✖ الفترة غير صحيحة",IF(ISNA(MATCH($G4933,Lists!$B$2:$B$7,0)),"✖ المجموعة غير صحيحة",IF(NOT(OR($H4933="",$N4933&gt;0)),"✖ Start غير صحيح",IF(NOT(OR($I4933="",$I4933="NR",$O4933&gt;0)),"✖ Current غير صحيح",IF(NOT(IF(ISNUMBER($J4933),AND($J4933&gt;=0,$J4933=INT($J4933)),FALSE())),"✖ العدد يجب أن يكون صحيحًا ≥ 0",IF(AND($F4933="Baseline",$H4933&lt;&gt;""),"⚠ Baseline: Start لا يدخل في التقدم",IF($K4933="No Start (attainment only)","ℹ تحصيل فقط (بدون Start)",IF($K4933="U – needs rule","ℹ حالة U تحتاج قاعدة معتمدة",IF($K4933="No result","ℹ بدون نتيجة (يُستبعد من التحصيل)","OK")))))))))))</f>
        <v/>
      </c>
      <c r="M4933" s="64" t="n">
        <f aca="false">IF($A4933="",0,IFERROR(MATCH($A4933,Classes!$A$6:$A$420,0),0))</f>
        <v>0</v>
      </c>
      <c r="N4933" s="64" t="n">
        <f aca="false">IF($H4933="",0,IFERROR(MATCH($H4933,GradeList,0),0))</f>
        <v>0</v>
      </c>
      <c r="O4933" s="64" t="n">
        <f aca="false">IF(OR($I4933="",$I4933="NR"),0,IFERROR(MATCH($I4933,GradeList,0),0))</f>
        <v>0</v>
      </c>
      <c r="P4933" s="64" t="n">
        <f aca="false">IF(AND($M4933&gt;0,ISNUMBER(MATCH($F4933,Lists!$A$2:$A$5,0)),ISNUMBER(MATCH($G4933,Lists!$B$2:$B$7,0)),OR($H4933="",$N4933&gt;0),OR($I4933="",$I4933="NR",$O4933&gt;0),IF(ISNUMBER($J4933),AND($J4933&gt;=0,$J4933=INT($J4933)),FALSE())),$J4933,0)</f>
        <v>0</v>
      </c>
      <c r="Q4933" s="64" t="n">
        <f aca="false">IF(AND($P4933&gt;0,$O4933&gt;0),$P4933,0)</f>
        <v>0</v>
      </c>
      <c r="R4933" s="64" t="n">
        <f aca="false">IF(AND($Q4933&gt;0,$O4933&gt;=AtRank),$Q4933,0)</f>
        <v>0</v>
      </c>
      <c r="S4933" s="64" t="n">
        <f aca="false">IF(AND($Q4933&gt;0,$O4933&gt;=AboveRank),$Q4933,0)</f>
        <v>0</v>
      </c>
      <c r="T4933" s="64" t="n">
        <f aca="false">IF($K4933="Less",$P4933,0)</f>
        <v>0</v>
      </c>
      <c r="U4933" s="64" t="n">
        <f aca="false">IF($K4933="Expected",$P4933,0)</f>
        <v>0</v>
      </c>
      <c r="V4933" s="64" t="n">
        <f aca="false">IF($K4933="Better",$P4933,0)</f>
        <v>0</v>
      </c>
      <c r="W4933" s="64" t="n">
        <f aca="false">IF($K4933="U – needs rule",$P4933,0)</f>
        <v>0</v>
      </c>
      <c r="X4933" s="64" t="n">
        <f aca="false">IF($K4933="No Start (attainment only)",$P4933,0)</f>
        <v>0</v>
      </c>
    </row>
    <row r="4934" customFormat="false" ht="15" hidden="false" customHeight="false" outlineLevel="0" collapsed="false">
      <c r="A4934" s="60"/>
      <c r="B4934" s="61" t="str">
        <f aca="false">IF($M4934=0,"",INDEX(Classes!$E$6:$E$420,$M4934))</f>
        <v/>
      </c>
      <c r="C4934" s="62" t="str">
        <f aca="false">IF($M4934=0,"",INDEX(Classes!$H$6:$H$420,$M4934))</f>
        <v/>
      </c>
      <c r="D4934" s="61" t="str">
        <f aca="false">IF($M4934=0,"",INDEX(Classes!$B$6:$B$420,$M4934))</f>
        <v/>
      </c>
      <c r="E4934" s="61" t="str">
        <f aca="false">IF($M4934=0,"",INDEX(Classes!$C$6:$C$420,$M4934))</f>
        <v/>
      </c>
      <c r="F4934" s="63"/>
      <c r="G4934" s="63"/>
      <c r="H4934" s="60"/>
      <c r="I4934" s="60"/>
      <c r="J4934" s="63"/>
      <c r="K4934" s="61" t="str">
        <f aca="false">IF($P4934=0,"",IF($F4934="Baseline","— Baseline",IF($O4934=0,"No result",IF($N4934=0,"No Start (attainment only)",IF(OR($N4934=1,$O4934=1),"U – needs rule",INDEX(MxBody,MATCH($I4934,MxCurr,0),MATCH($H4934,MxStart,0)))))))</f>
        <v/>
      </c>
      <c r="L4934" s="62" t="str">
        <f aca="false">IF(COUNTA($A4934,$F4934,$G4934,$H4934,$I4934,$J4934)=0,"",IF($M4934=0,"✖ كود الصف غير موجود",IF(ISNA(MATCH($F4934,Lists!$A$2:$A$5,0)),"✖ الفترة غير صحيحة",IF(ISNA(MATCH($G4934,Lists!$B$2:$B$7,0)),"✖ المجموعة غير صحيحة",IF(NOT(OR($H4934="",$N4934&gt;0)),"✖ Start غير صحيح",IF(NOT(OR($I4934="",$I4934="NR",$O4934&gt;0)),"✖ Current غير صحيح",IF(NOT(IF(ISNUMBER($J4934),AND($J4934&gt;=0,$J4934=INT($J4934)),FALSE())),"✖ العدد يجب أن يكون صحيحًا ≥ 0",IF(AND($F4934="Baseline",$H4934&lt;&gt;""),"⚠ Baseline: Start لا يدخل في التقدم",IF($K4934="No Start (attainment only)","ℹ تحصيل فقط (بدون Start)",IF($K4934="U – needs rule","ℹ حالة U تحتاج قاعدة معتمدة",IF($K4934="No result","ℹ بدون نتيجة (يُستبعد من التحصيل)","OK")))))))))))</f>
        <v/>
      </c>
      <c r="M4934" s="64" t="n">
        <f aca="false">IF($A4934="",0,IFERROR(MATCH($A4934,Classes!$A$6:$A$420,0),0))</f>
        <v>0</v>
      </c>
      <c r="N4934" s="64" t="n">
        <f aca="false">IF($H4934="",0,IFERROR(MATCH($H4934,GradeList,0),0))</f>
        <v>0</v>
      </c>
      <c r="O4934" s="64" t="n">
        <f aca="false">IF(OR($I4934="",$I4934="NR"),0,IFERROR(MATCH($I4934,GradeList,0),0))</f>
        <v>0</v>
      </c>
      <c r="P4934" s="64" t="n">
        <f aca="false">IF(AND($M4934&gt;0,ISNUMBER(MATCH($F4934,Lists!$A$2:$A$5,0)),ISNUMBER(MATCH($G4934,Lists!$B$2:$B$7,0)),OR($H4934="",$N4934&gt;0),OR($I4934="",$I4934="NR",$O4934&gt;0),IF(ISNUMBER($J4934),AND($J4934&gt;=0,$J4934=INT($J4934)),FALSE())),$J4934,0)</f>
        <v>0</v>
      </c>
      <c r="Q4934" s="64" t="n">
        <f aca="false">IF(AND($P4934&gt;0,$O4934&gt;0),$P4934,0)</f>
        <v>0</v>
      </c>
      <c r="R4934" s="64" t="n">
        <f aca="false">IF(AND($Q4934&gt;0,$O4934&gt;=AtRank),$Q4934,0)</f>
        <v>0</v>
      </c>
      <c r="S4934" s="64" t="n">
        <f aca="false">IF(AND($Q4934&gt;0,$O4934&gt;=AboveRank),$Q4934,0)</f>
        <v>0</v>
      </c>
      <c r="T4934" s="64" t="n">
        <f aca="false">IF($K4934="Less",$P4934,0)</f>
        <v>0</v>
      </c>
      <c r="U4934" s="64" t="n">
        <f aca="false">IF($K4934="Expected",$P4934,0)</f>
        <v>0</v>
      </c>
      <c r="V4934" s="64" t="n">
        <f aca="false">IF($K4934="Better",$P4934,0)</f>
        <v>0</v>
      </c>
      <c r="W4934" s="64" t="n">
        <f aca="false">IF($K4934="U – needs rule",$P4934,0)</f>
        <v>0</v>
      </c>
      <c r="X4934" s="64" t="n">
        <f aca="false">IF($K4934="No Start (attainment only)",$P4934,0)</f>
        <v>0</v>
      </c>
    </row>
    <row r="4935" customFormat="false" ht="15" hidden="false" customHeight="false" outlineLevel="0" collapsed="false">
      <c r="A4935" s="60"/>
      <c r="B4935" s="61" t="str">
        <f aca="false">IF($M4935=0,"",INDEX(Classes!$E$6:$E$420,$M4935))</f>
        <v/>
      </c>
      <c r="C4935" s="62" t="str">
        <f aca="false">IF($M4935=0,"",INDEX(Classes!$H$6:$H$420,$M4935))</f>
        <v/>
      </c>
      <c r="D4935" s="61" t="str">
        <f aca="false">IF($M4935=0,"",INDEX(Classes!$B$6:$B$420,$M4935))</f>
        <v/>
      </c>
      <c r="E4935" s="61" t="str">
        <f aca="false">IF($M4935=0,"",INDEX(Classes!$C$6:$C$420,$M4935))</f>
        <v/>
      </c>
      <c r="F4935" s="63"/>
      <c r="G4935" s="63"/>
      <c r="H4935" s="60"/>
      <c r="I4935" s="60"/>
      <c r="J4935" s="63"/>
      <c r="K4935" s="61" t="str">
        <f aca="false">IF($P4935=0,"",IF($F4935="Baseline","— Baseline",IF($O4935=0,"No result",IF($N4935=0,"No Start (attainment only)",IF(OR($N4935=1,$O4935=1),"U – needs rule",INDEX(MxBody,MATCH($I4935,MxCurr,0),MATCH($H4935,MxStart,0)))))))</f>
        <v/>
      </c>
      <c r="L4935" s="62" t="str">
        <f aca="false">IF(COUNTA($A4935,$F4935,$G4935,$H4935,$I4935,$J4935)=0,"",IF($M4935=0,"✖ كود الصف غير موجود",IF(ISNA(MATCH($F4935,Lists!$A$2:$A$5,0)),"✖ الفترة غير صحيحة",IF(ISNA(MATCH($G4935,Lists!$B$2:$B$7,0)),"✖ المجموعة غير صحيحة",IF(NOT(OR($H4935="",$N4935&gt;0)),"✖ Start غير صحيح",IF(NOT(OR($I4935="",$I4935="NR",$O4935&gt;0)),"✖ Current غير صحيح",IF(NOT(IF(ISNUMBER($J4935),AND($J4935&gt;=0,$J4935=INT($J4935)),FALSE())),"✖ العدد يجب أن يكون صحيحًا ≥ 0",IF(AND($F4935="Baseline",$H4935&lt;&gt;""),"⚠ Baseline: Start لا يدخل في التقدم",IF($K4935="No Start (attainment only)","ℹ تحصيل فقط (بدون Start)",IF($K4935="U – needs rule","ℹ حالة U تحتاج قاعدة معتمدة",IF($K4935="No result","ℹ بدون نتيجة (يُستبعد من التحصيل)","OK")))))))))))</f>
        <v/>
      </c>
      <c r="M4935" s="64" t="n">
        <f aca="false">IF($A4935="",0,IFERROR(MATCH($A4935,Classes!$A$6:$A$420,0),0))</f>
        <v>0</v>
      </c>
      <c r="N4935" s="64" t="n">
        <f aca="false">IF($H4935="",0,IFERROR(MATCH($H4935,GradeList,0),0))</f>
        <v>0</v>
      </c>
      <c r="O4935" s="64" t="n">
        <f aca="false">IF(OR($I4935="",$I4935="NR"),0,IFERROR(MATCH($I4935,GradeList,0),0))</f>
        <v>0</v>
      </c>
      <c r="P4935" s="64" t="n">
        <f aca="false">IF(AND($M4935&gt;0,ISNUMBER(MATCH($F4935,Lists!$A$2:$A$5,0)),ISNUMBER(MATCH($G4935,Lists!$B$2:$B$7,0)),OR($H4935="",$N4935&gt;0),OR($I4935="",$I4935="NR",$O4935&gt;0),IF(ISNUMBER($J4935),AND($J4935&gt;=0,$J4935=INT($J4935)),FALSE())),$J4935,0)</f>
        <v>0</v>
      </c>
      <c r="Q4935" s="64" t="n">
        <f aca="false">IF(AND($P4935&gt;0,$O4935&gt;0),$P4935,0)</f>
        <v>0</v>
      </c>
      <c r="R4935" s="64" t="n">
        <f aca="false">IF(AND($Q4935&gt;0,$O4935&gt;=AtRank),$Q4935,0)</f>
        <v>0</v>
      </c>
      <c r="S4935" s="64" t="n">
        <f aca="false">IF(AND($Q4935&gt;0,$O4935&gt;=AboveRank),$Q4935,0)</f>
        <v>0</v>
      </c>
      <c r="T4935" s="64" t="n">
        <f aca="false">IF($K4935="Less",$P4935,0)</f>
        <v>0</v>
      </c>
      <c r="U4935" s="64" t="n">
        <f aca="false">IF($K4935="Expected",$P4935,0)</f>
        <v>0</v>
      </c>
      <c r="V4935" s="64" t="n">
        <f aca="false">IF($K4935="Better",$P4935,0)</f>
        <v>0</v>
      </c>
      <c r="W4935" s="64" t="n">
        <f aca="false">IF($K4935="U – needs rule",$P4935,0)</f>
        <v>0</v>
      </c>
      <c r="X4935" s="64" t="n">
        <f aca="false">IF($K4935="No Start (attainment only)",$P4935,0)</f>
        <v>0</v>
      </c>
    </row>
    <row r="4936" customFormat="false" ht="15" hidden="false" customHeight="false" outlineLevel="0" collapsed="false">
      <c r="A4936" s="60"/>
      <c r="B4936" s="61" t="str">
        <f aca="false">IF($M4936=0,"",INDEX(Classes!$E$6:$E$420,$M4936))</f>
        <v/>
      </c>
      <c r="C4936" s="62" t="str">
        <f aca="false">IF($M4936=0,"",INDEX(Classes!$H$6:$H$420,$M4936))</f>
        <v/>
      </c>
      <c r="D4936" s="61" t="str">
        <f aca="false">IF($M4936=0,"",INDEX(Classes!$B$6:$B$420,$M4936))</f>
        <v/>
      </c>
      <c r="E4936" s="61" t="str">
        <f aca="false">IF($M4936=0,"",INDEX(Classes!$C$6:$C$420,$M4936))</f>
        <v/>
      </c>
      <c r="F4936" s="63"/>
      <c r="G4936" s="63"/>
      <c r="H4936" s="60"/>
      <c r="I4936" s="60"/>
      <c r="J4936" s="63"/>
      <c r="K4936" s="61" t="str">
        <f aca="false">IF($P4936=0,"",IF($F4936="Baseline","— Baseline",IF($O4936=0,"No result",IF($N4936=0,"No Start (attainment only)",IF(OR($N4936=1,$O4936=1),"U – needs rule",INDEX(MxBody,MATCH($I4936,MxCurr,0),MATCH($H4936,MxStart,0)))))))</f>
        <v/>
      </c>
      <c r="L4936" s="62" t="str">
        <f aca="false">IF(COUNTA($A4936,$F4936,$G4936,$H4936,$I4936,$J4936)=0,"",IF($M4936=0,"✖ كود الصف غير موجود",IF(ISNA(MATCH($F4936,Lists!$A$2:$A$5,0)),"✖ الفترة غير صحيحة",IF(ISNA(MATCH($G4936,Lists!$B$2:$B$7,0)),"✖ المجموعة غير صحيحة",IF(NOT(OR($H4936="",$N4936&gt;0)),"✖ Start غير صحيح",IF(NOT(OR($I4936="",$I4936="NR",$O4936&gt;0)),"✖ Current غير صحيح",IF(NOT(IF(ISNUMBER($J4936),AND($J4936&gt;=0,$J4936=INT($J4936)),FALSE())),"✖ العدد يجب أن يكون صحيحًا ≥ 0",IF(AND($F4936="Baseline",$H4936&lt;&gt;""),"⚠ Baseline: Start لا يدخل في التقدم",IF($K4936="No Start (attainment only)","ℹ تحصيل فقط (بدون Start)",IF($K4936="U – needs rule","ℹ حالة U تحتاج قاعدة معتمدة",IF($K4936="No result","ℹ بدون نتيجة (يُستبعد من التحصيل)","OK")))))))))))</f>
        <v/>
      </c>
      <c r="M4936" s="64" t="n">
        <f aca="false">IF($A4936="",0,IFERROR(MATCH($A4936,Classes!$A$6:$A$420,0),0))</f>
        <v>0</v>
      </c>
      <c r="N4936" s="64" t="n">
        <f aca="false">IF($H4936="",0,IFERROR(MATCH($H4936,GradeList,0),0))</f>
        <v>0</v>
      </c>
      <c r="O4936" s="64" t="n">
        <f aca="false">IF(OR($I4936="",$I4936="NR"),0,IFERROR(MATCH($I4936,GradeList,0),0))</f>
        <v>0</v>
      </c>
      <c r="P4936" s="64" t="n">
        <f aca="false">IF(AND($M4936&gt;0,ISNUMBER(MATCH($F4936,Lists!$A$2:$A$5,0)),ISNUMBER(MATCH($G4936,Lists!$B$2:$B$7,0)),OR($H4936="",$N4936&gt;0),OR($I4936="",$I4936="NR",$O4936&gt;0),IF(ISNUMBER($J4936),AND($J4936&gt;=0,$J4936=INT($J4936)),FALSE())),$J4936,0)</f>
        <v>0</v>
      </c>
      <c r="Q4936" s="64" t="n">
        <f aca="false">IF(AND($P4936&gt;0,$O4936&gt;0),$P4936,0)</f>
        <v>0</v>
      </c>
      <c r="R4936" s="64" t="n">
        <f aca="false">IF(AND($Q4936&gt;0,$O4936&gt;=AtRank),$Q4936,0)</f>
        <v>0</v>
      </c>
      <c r="S4936" s="64" t="n">
        <f aca="false">IF(AND($Q4936&gt;0,$O4936&gt;=AboveRank),$Q4936,0)</f>
        <v>0</v>
      </c>
      <c r="T4936" s="64" t="n">
        <f aca="false">IF($K4936="Less",$P4936,0)</f>
        <v>0</v>
      </c>
      <c r="U4936" s="64" t="n">
        <f aca="false">IF($K4936="Expected",$P4936,0)</f>
        <v>0</v>
      </c>
      <c r="V4936" s="64" t="n">
        <f aca="false">IF($K4936="Better",$P4936,0)</f>
        <v>0</v>
      </c>
      <c r="W4936" s="64" t="n">
        <f aca="false">IF($K4936="U – needs rule",$P4936,0)</f>
        <v>0</v>
      </c>
      <c r="X4936" s="64" t="n">
        <f aca="false">IF($K4936="No Start (attainment only)",$P4936,0)</f>
        <v>0</v>
      </c>
    </row>
    <row r="4937" customFormat="false" ht="15" hidden="false" customHeight="false" outlineLevel="0" collapsed="false">
      <c r="A4937" s="60"/>
      <c r="B4937" s="61" t="str">
        <f aca="false">IF($M4937=0,"",INDEX(Classes!$E$6:$E$420,$M4937))</f>
        <v/>
      </c>
      <c r="C4937" s="62" t="str">
        <f aca="false">IF($M4937=0,"",INDEX(Classes!$H$6:$H$420,$M4937))</f>
        <v/>
      </c>
      <c r="D4937" s="61" t="str">
        <f aca="false">IF($M4937=0,"",INDEX(Classes!$B$6:$B$420,$M4937))</f>
        <v/>
      </c>
      <c r="E4937" s="61" t="str">
        <f aca="false">IF($M4937=0,"",INDEX(Classes!$C$6:$C$420,$M4937))</f>
        <v/>
      </c>
      <c r="F4937" s="63"/>
      <c r="G4937" s="63"/>
      <c r="H4937" s="60"/>
      <c r="I4937" s="60"/>
      <c r="J4937" s="63"/>
      <c r="K4937" s="61" t="str">
        <f aca="false">IF($P4937=0,"",IF($F4937="Baseline","— Baseline",IF($O4937=0,"No result",IF($N4937=0,"No Start (attainment only)",IF(OR($N4937=1,$O4937=1),"U – needs rule",INDEX(MxBody,MATCH($I4937,MxCurr,0),MATCH($H4937,MxStart,0)))))))</f>
        <v/>
      </c>
      <c r="L4937" s="62" t="str">
        <f aca="false">IF(COUNTA($A4937,$F4937,$G4937,$H4937,$I4937,$J4937)=0,"",IF($M4937=0,"✖ كود الصف غير موجود",IF(ISNA(MATCH($F4937,Lists!$A$2:$A$5,0)),"✖ الفترة غير صحيحة",IF(ISNA(MATCH($G4937,Lists!$B$2:$B$7,0)),"✖ المجموعة غير صحيحة",IF(NOT(OR($H4937="",$N4937&gt;0)),"✖ Start غير صحيح",IF(NOT(OR($I4937="",$I4937="NR",$O4937&gt;0)),"✖ Current غير صحيح",IF(NOT(IF(ISNUMBER($J4937),AND($J4937&gt;=0,$J4937=INT($J4937)),FALSE())),"✖ العدد يجب أن يكون صحيحًا ≥ 0",IF(AND($F4937="Baseline",$H4937&lt;&gt;""),"⚠ Baseline: Start لا يدخل في التقدم",IF($K4937="No Start (attainment only)","ℹ تحصيل فقط (بدون Start)",IF($K4937="U – needs rule","ℹ حالة U تحتاج قاعدة معتمدة",IF($K4937="No result","ℹ بدون نتيجة (يُستبعد من التحصيل)","OK")))))))))))</f>
        <v/>
      </c>
      <c r="M4937" s="64" t="n">
        <f aca="false">IF($A4937="",0,IFERROR(MATCH($A4937,Classes!$A$6:$A$420,0),0))</f>
        <v>0</v>
      </c>
      <c r="N4937" s="64" t="n">
        <f aca="false">IF($H4937="",0,IFERROR(MATCH($H4937,GradeList,0),0))</f>
        <v>0</v>
      </c>
      <c r="O4937" s="64" t="n">
        <f aca="false">IF(OR($I4937="",$I4937="NR"),0,IFERROR(MATCH($I4937,GradeList,0),0))</f>
        <v>0</v>
      </c>
      <c r="P4937" s="64" t="n">
        <f aca="false">IF(AND($M4937&gt;0,ISNUMBER(MATCH($F4937,Lists!$A$2:$A$5,0)),ISNUMBER(MATCH($G4937,Lists!$B$2:$B$7,0)),OR($H4937="",$N4937&gt;0),OR($I4937="",$I4937="NR",$O4937&gt;0),IF(ISNUMBER($J4937),AND($J4937&gt;=0,$J4937=INT($J4937)),FALSE())),$J4937,0)</f>
        <v>0</v>
      </c>
      <c r="Q4937" s="64" t="n">
        <f aca="false">IF(AND($P4937&gt;0,$O4937&gt;0),$P4937,0)</f>
        <v>0</v>
      </c>
      <c r="R4937" s="64" t="n">
        <f aca="false">IF(AND($Q4937&gt;0,$O4937&gt;=AtRank),$Q4937,0)</f>
        <v>0</v>
      </c>
      <c r="S4937" s="64" t="n">
        <f aca="false">IF(AND($Q4937&gt;0,$O4937&gt;=AboveRank),$Q4937,0)</f>
        <v>0</v>
      </c>
      <c r="T4937" s="64" t="n">
        <f aca="false">IF($K4937="Less",$P4937,0)</f>
        <v>0</v>
      </c>
      <c r="U4937" s="64" t="n">
        <f aca="false">IF($K4937="Expected",$P4937,0)</f>
        <v>0</v>
      </c>
      <c r="V4937" s="64" t="n">
        <f aca="false">IF($K4937="Better",$P4937,0)</f>
        <v>0</v>
      </c>
      <c r="W4937" s="64" t="n">
        <f aca="false">IF($K4937="U – needs rule",$P4937,0)</f>
        <v>0</v>
      </c>
      <c r="X4937" s="64" t="n">
        <f aca="false">IF($K4937="No Start (attainment only)",$P4937,0)</f>
        <v>0</v>
      </c>
    </row>
    <row r="4938" customFormat="false" ht="15" hidden="false" customHeight="false" outlineLevel="0" collapsed="false">
      <c r="A4938" s="60"/>
      <c r="B4938" s="61" t="str">
        <f aca="false">IF($M4938=0,"",INDEX(Classes!$E$6:$E$420,$M4938))</f>
        <v/>
      </c>
      <c r="C4938" s="62" t="str">
        <f aca="false">IF($M4938=0,"",INDEX(Classes!$H$6:$H$420,$M4938))</f>
        <v/>
      </c>
      <c r="D4938" s="61" t="str">
        <f aca="false">IF($M4938=0,"",INDEX(Classes!$B$6:$B$420,$M4938))</f>
        <v/>
      </c>
      <c r="E4938" s="61" t="str">
        <f aca="false">IF($M4938=0,"",INDEX(Classes!$C$6:$C$420,$M4938))</f>
        <v/>
      </c>
      <c r="F4938" s="63"/>
      <c r="G4938" s="63"/>
      <c r="H4938" s="60"/>
      <c r="I4938" s="60"/>
      <c r="J4938" s="63"/>
      <c r="K4938" s="61" t="str">
        <f aca="false">IF($P4938=0,"",IF($F4938="Baseline","— Baseline",IF($O4938=0,"No result",IF($N4938=0,"No Start (attainment only)",IF(OR($N4938=1,$O4938=1),"U – needs rule",INDEX(MxBody,MATCH($I4938,MxCurr,0),MATCH($H4938,MxStart,0)))))))</f>
        <v/>
      </c>
      <c r="L4938" s="62" t="str">
        <f aca="false">IF(COUNTA($A4938,$F4938,$G4938,$H4938,$I4938,$J4938)=0,"",IF($M4938=0,"✖ كود الصف غير موجود",IF(ISNA(MATCH($F4938,Lists!$A$2:$A$5,0)),"✖ الفترة غير صحيحة",IF(ISNA(MATCH($G4938,Lists!$B$2:$B$7,0)),"✖ المجموعة غير صحيحة",IF(NOT(OR($H4938="",$N4938&gt;0)),"✖ Start غير صحيح",IF(NOT(OR($I4938="",$I4938="NR",$O4938&gt;0)),"✖ Current غير صحيح",IF(NOT(IF(ISNUMBER($J4938),AND($J4938&gt;=0,$J4938=INT($J4938)),FALSE())),"✖ العدد يجب أن يكون صحيحًا ≥ 0",IF(AND($F4938="Baseline",$H4938&lt;&gt;""),"⚠ Baseline: Start لا يدخل في التقدم",IF($K4938="No Start (attainment only)","ℹ تحصيل فقط (بدون Start)",IF($K4938="U – needs rule","ℹ حالة U تحتاج قاعدة معتمدة",IF($K4938="No result","ℹ بدون نتيجة (يُستبعد من التحصيل)","OK")))))))))))</f>
        <v/>
      </c>
      <c r="M4938" s="64" t="n">
        <f aca="false">IF($A4938="",0,IFERROR(MATCH($A4938,Classes!$A$6:$A$420,0),0))</f>
        <v>0</v>
      </c>
      <c r="N4938" s="64" t="n">
        <f aca="false">IF($H4938="",0,IFERROR(MATCH($H4938,GradeList,0),0))</f>
        <v>0</v>
      </c>
      <c r="O4938" s="64" t="n">
        <f aca="false">IF(OR($I4938="",$I4938="NR"),0,IFERROR(MATCH($I4938,GradeList,0),0))</f>
        <v>0</v>
      </c>
      <c r="P4938" s="64" t="n">
        <f aca="false">IF(AND($M4938&gt;0,ISNUMBER(MATCH($F4938,Lists!$A$2:$A$5,0)),ISNUMBER(MATCH($G4938,Lists!$B$2:$B$7,0)),OR($H4938="",$N4938&gt;0),OR($I4938="",$I4938="NR",$O4938&gt;0),IF(ISNUMBER($J4938),AND($J4938&gt;=0,$J4938=INT($J4938)),FALSE())),$J4938,0)</f>
        <v>0</v>
      </c>
      <c r="Q4938" s="64" t="n">
        <f aca="false">IF(AND($P4938&gt;0,$O4938&gt;0),$P4938,0)</f>
        <v>0</v>
      </c>
      <c r="R4938" s="64" t="n">
        <f aca="false">IF(AND($Q4938&gt;0,$O4938&gt;=AtRank),$Q4938,0)</f>
        <v>0</v>
      </c>
      <c r="S4938" s="64" t="n">
        <f aca="false">IF(AND($Q4938&gt;0,$O4938&gt;=AboveRank),$Q4938,0)</f>
        <v>0</v>
      </c>
      <c r="T4938" s="64" t="n">
        <f aca="false">IF($K4938="Less",$P4938,0)</f>
        <v>0</v>
      </c>
      <c r="U4938" s="64" t="n">
        <f aca="false">IF($K4938="Expected",$P4938,0)</f>
        <v>0</v>
      </c>
      <c r="V4938" s="64" t="n">
        <f aca="false">IF($K4938="Better",$P4938,0)</f>
        <v>0</v>
      </c>
      <c r="W4938" s="64" t="n">
        <f aca="false">IF($K4938="U – needs rule",$P4938,0)</f>
        <v>0</v>
      </c>
      <c r="X4938" s="64" t="n">
        <f aca="false">IF($K4938="No Start (attainment only)",$P4938,0)</f>
        <v>0</v>
      </c>
    </row>
    <row r="4939" customFormat="false" ht="15" hidden="false" customHeight="false" outlineLevel="0" collapsed="false">
      <c r="A4939" s="60"/>
      <c r="B4939" s="61" t="str">
        <f aca="false">IF($M4939=0,"",INDEX(Classes!$E$6:$E$420,$M4939))</f>
        <v/>
      </c>
      <c r="C4939" s="62" t="str">
        <f aca="false">IF($M4939=0,"",INDEX(Classes!$H$6:$H$420,$M4939))</f>
        <v/>
      </c>
      <c r="D4939" s="61" t="str">
        <f aca="false">IF($M4939=0,"",INDEX(Classes!$B$6:$B$420,$M4939))</f>
        <v/>
      </c>
      <c r="E4939" s="61" t="str">
        <f aca="false">IF($M4939=0,"",INDEX(Classes!$C$6:$C$420,$M4939))</f>
        <v/>
      </c>
      <c r="F4939" s="63"/>
      <c r="G4939" s="63"/>
      <c r="H4939" s="60"/>
      <c r="I4939" s="60"/>
      <c r="J4939" s="63"/>
      <c r="K4939" s="61" t="str">
        <f aca="false">IF($P4939=0,"",IF($F4939="Baseline","— Baseline",IF($O4939=0,"No result",IF($N4939=0,"No Start (attainment only)",IF(OR($N4939=1,$O4939=1),"U – needs rule",INDEX(MxBody,MATCH($I4939,MxCurr,0),MATCH($H4939,MxStart,0)))))))</f>
        <v/>
      </c>
      <c r="L4939" s="62" t="str">
        <f aca="false">IF(COUNTA($A4939,$F4939,$G4939,$H4939,$I4939,$J4939)=0,"",IF($M4939=0,"✖ كود الصف غير موجود",IF(ISNA(MATCH($F4939,Lists!$A$2:$A$5,0)),"✖ الفترة غير صحيحة",IF(ISNA(MATCH($G4939,Lists!$B$2:$B$7,0)),"✖ المجموعة غير صحيحة",IF(NOT(OR($H4939="",$N4939&gt;0)),"✖ Start غير صحيح",IF(NOT(OR($I4939="",$I4939="NR",$O4939&gt;0)),"✖ Current غير صحيح",IF(NOT(IF(ISNUMBER($J4939),AND($J4939&gt;=0,$J4939=INT($J4939)),FALSE())),"✖ العدد يجب أن يكون صحيحًا ≥ 0",IF(AND($F4939="Baseline",$H4939&lt;&gt;""),"⚠ Baseline: Start لا يدخل في التقدم",IF($K4939="No Start (attainment only)","ℹ تحصيل فقط (بدون Start)",IF($K4939="U – needs rule","ℹ حالة U تحتاج قاعدة معتمدة",IF($K4939="No result","ℹ بدون نتيجة (يُستبعد من التحصيل)","OK")))))))))))</f>
        <v/>
      </c>
      <c r="M4939" s="64" t="n">
        <f aca="false">IF($A4939="",0,IFERROR(MATCH($A4939,Classes!$A$6:$A$420,0),0))</f>
        <v>0</v>
      </c>
      <c r="N4939" s="64" t="n">
        <f aca="false">IF($H4939="",0,IFERROR(MATCH($H4939,GradeList,0),0))</f>
        <v>0</v>
      </c>
      <c r="O4939" s="64" t="n">
        <f aca="false">IF(OR($I4939="",$I4939="NR"),0,IFERROR(MATCH($I4939,GradeList,0),0))</f>
        <v>0</v>
      </c>
      <c r="P4939" s="64" t="n">
        <f aca="false">IF(AND($M4939&gt;0,ISNUMBER(MATCH($F4939,Lists!$A$2:$A$5,0)),ISNUMBER(MATCH($G4939,Lists!$B$2:$B$7,0)),OR($H4939="",$N4939&gt;0),OR($I4939="",$I4939="NR",$O4939&gt;0),IF(ISNUMBER($J4939),AND($J4939&gt;=0,$J4939=INT($J4939)),FALSE())),$J4939,0)</f>
        <v>0</v>
      </c>
      <c r="Q4939" s="64" t="n">
        <f aca="false">IF(AND($P4939&gt;0,$O4939&gt;0),$P4939,0)</f>
        <v>0</v>
      </c>
      <c r="R4939" s="64" t="n">
        <f aca="false">IF(AND($Q4939&gt;0,$O4939&gt;=AtRank),$Q4939,0)</f>
        <v>0</v>
      </c>
      <c r="S4939" s="64" t="n">
        <f aca="false">IF(AND($Q4939&gt;0,$O4939&gt;=AboveRank),$Q4939,0)</f>
        <v>0</v>
      </c>
      <c r="T4939" s="64" t="n">
        <f aca="false">IF($K4939="Less",$P4939,0)</f>
        <v>0</v>
      </c>
      <c r="U4939" s="64" t="n">
        <f aca="false">IF($K4939="Expected",$P4939,0)</f>
        <v>0</v>
      </c>
      <c r="V4939" s="64" t="n">
        <f aca="false">IF($K4939="Better",$P4939,0)</f>
        <v>0</v>
      </c>
      <c r="W4939" s="64" t="n">
        <f aca="false">IF($K4939="U – needs rule",$P4939,0)</f>
        <v>0</v>
      </c>
      <c r="X4939" s="64" t="n">
        <f aca="false">IF($K4939="No Start (attainment only)",$P4939,0)</f>
        <v>0</v>
      </c>
    </row>
    <row r="4940" customFormat="false" ht="15" hidden="false" customHeight="false" outlineLevel="0" collapsed="false">
      <c r="A4940" s="60"/>
      <c r="B4940" s="61" t="str">
        <f aca="false">IF($M4940=0,"",INDEX(Classes!$E$6:$E$420,$M4940))</f>
        <v/>
      </c>
      <c r="C4940" s="62" t="str">
        <f aca="false">IF($M4940=0,"",INDEX(Classes!$H$6:$H$420,$M4940))</f>
        <v/>
      </c>
      <c r="D4940" s="61" t="str">
        <f aca="false">IF($M4940=0,"",INDEX(Classes!$B$6:$B$420,$M4940))</f>
        <v/>
      </c>
      <c r="E4940" s="61" t="str">
        <f aca="false">IF($M4940=0,"",INDEX(Classes!$C$6:$C$420,$M4940))</f>
        <v/>
      </c>
      <c r="F4940" s="63"/>
      <c r="G4940" s="63"/>
      <c r="H4940" s="60"/>
      <c r="I4940" s="60"/>
      <c r="J4940" s="63"/>
      <c r="K4940" s="61" t="str">
        <f aca="false">IF($P4940=0,"",IF($F4940="Baseline","— Baseline",IF($O4940=0,"No result",IF($N4940=0,"No Start (attainment only)",IF(OR($N4940=1,$O4940=1),"U – needs rule",INDEX(MxBody,MATCH($I4940,MxCurr,0),MATCH($H4940,MxStart,0)))))))</f>
        <v/>
      </c>
      <c r="L4940" s="62" t="str">
        <f aca="false">IF(COUNTA($A4940,$F4940,$G4940,$H4940,$I4940,$J4940)=0,"",IF($M4940=0,"✖ كود الصف غير موجود",IF(ISNA(MATCH($F4940,Lists!$A$2:$A$5,0)),"✖ الفترة غير صحيحة",IF(ISNA(MATCH($G4940,Lists!$B$2:$B$7,0)),"✖ المجموعة غير صحيحة",IF(NOT(OR($H4940="",$N4940&gt;0)),"✖ Start غير صحيح",IF(NOT(OR($I4940="",$I4940="NR",$O4940&gt;0)),"✖ Current غير صحيح",IF(NOT(IF(ISNUMBER($J4940),AND($J4940&gt;=0,$J4940=INT($J4940)),FALSE())),"✖ العدد يجب أن يكون صحيحًا ≥ 0",IF(AND($F4940="Baseline",$H4940&lt;&gt;""),"⚠ Baseline: Start لا يدخل في التقدم",IF($K4940="No Start (attainment only)","ℹ تحصيل فقط (بدون Start)",IF($K4940="U – needs rule","ℹ حالة U تحتاج قاعدة معتمدة",IF($K4940="No result","ℹ بدون نتيجة (يُستبعد من التحصيل)","OK")))))))))))</f>
        <v/>
      </c>
      <c r="M4940" s="64" t="n">
        <f aca="false">IF($A4940="",0,IFERROR(MATCH($A4940,Classes!$A$6:$A$420,0),0))</f>
        <v>0</v>
      </c>
      <c r="N4940" s="64" t="n">
        <f aca="false">IF($H4940="",0,IFERROR(MATCH($H4940,GradeList,0),0))</f>
        <v>0</v>
      </c>
      <c r="O4940" s="64" t="n">
        <f aca="false">IF(OR($I4940="",$I4940="NR"),0,IFERROR(MATCH($I4940,GradeList,0),0))</f>
        <v>0</v>
      </c>
      <c r="P4940" s="64" t="n">
        <f aca="false">IF(AND($M4940&gt;0,ISNUMBER(MATCH($F4940,Lists!$A$2:$A$5,0)),ISNUMBER(MATCH($G4940,Lists!$B$2:$B$7,0)),OR($H4940="",$N4940&gt;0),OR($I4940="",$I4940="NR",$O4940&gt;0),IF(ISNUMBER($J4940),AND($J4940&gt;=0,$J4940=INT($J4940)),FALSE())),$J4940,0)</f>
        <v>0</v>
      </c>
      <c r="Q4940" s="64" t="n">
        <f aca="false">IF(AND($P4940&gt;0,$O4940&gt;0),$P4940,0)</f>
        <v>0</v>
      </c>
      <c r="R4940" s="64" t="n">
        <f aca="false">IF(AND($Q4940&gt;0,$O4940&gt;=AtRank),$Q4940,0)</f>
        <v>0</v>
      </c>
      <c r="S4940" s="64" t="n">
        <f aca="false">IF(AND($Q4940&gt;0,$O4940&gt;=AboveRank),$Q4940,0)</f>
        <v>0</v>
      </c>
      <c r="T4940" s="64" t="n">
        <f aca="false">IF($K4940="Less",$P4940,0)</f>
        <v>0</v>
      </c>
      <c r="U4940" s="64" t="n">
        <f aca="false">IF($K4940="Expected",$P4940,0)</f>
        <v>0</v>
      </c>
      <c r="V4940" s="64" t="n">
        <f aca="false">IF($K4940="Better",$P4940,0)</f>
        <v>0</v>
      </c>
      <c r="W4940" s="64" t="n">
        <f aca="false">IF($K4940="U – needs rule",$P4940,0)</f>
        <v>0</v>
      </c>
      <c r="X4940" s="64" t="n">
        <f aca="false">IF($K4940="No Start (attainment only)",$P4940,0)</f>
        <v>0</v>
      </c>
    </row>
    <row r="4941" customFormat="false" ht="15" hidden="false" customHeight="false" outlineLevel="0" collapsed="false">
      <c r="A4941" s="60"/>
      <c r="B4941" s="61" t="str">
        <f aca="false">IF($M4941=0,"",INDEX(Classes!$E$6:$E$420,$M4941))</f>
        <v/>
      </c>
      <c r="C4941" s="62" t="str">
        <f aca="false">IF($M4941=0,"",INDEX(Classes!$H$6:$H$420,$M4941))</f>
        <v/>
      </c>
      <c r="D4941" s="61" t="str">
        <f aca="false">IF($M4941=0,"",INDEX(Classes!$B$6:$B$420,$M4941))</f>
        <v/>
      </c>
      <c r="E4941" s="61" t="str">
        <f aca="false">IF($M4941=0,"",INDEX(Classes!$C$6:$C$420,$M4941))</f>
        <v/>
      </c>
      <c r="F4941" s="63"/>
      <c r="G4941" s="63"/>
      <c r="H4941" s="60"/>
      <c r="I4941" s="60"/>
      <c r="J4941" s="63"/>
      <c r="K4941" s="61" t="str">
        <f aca="false">IF($P4941=0,"",IF($F4941="Baseline","— Baseline",IF($O4941=0,"No result",IF($N4941=0,"No Start (attainment only)",IF(OR($N4941=1,$O4941=1),"U – needs rule",INDEX(MxBody,MATCH($I4941,MxCurr,0),MATCH($H4941,MxStart,0)))))))</f>
        <v/>
      </c>
      <c r="L4941" s="62" t="str">
        <f aca="false">IF(COUNTA($A4941,$F4941,$G4941,$H4941,$I4941,$J4941)=0,"",IF($M4941=0,"✖ كود الصف غير موجود",IF(ISNA(MATCH($F4941,Lists!$A$2:$A$5,0)),"✖ الفترة غير صحيحة",IF(ISNA(MATCH($G4941,Lists!$B$2:$B$7,0)),"✖ المجموعة غير صحيحة",IF(NOT(OR($H4941="",$N4941&gt;0)),"✖ Start غير صحيح",IF(NOT(OR($I4941="",$I4941="NR",$O4941&gt;0)),"✖ Current غير صحيح",IF(NOT(IF(ISNUMBER($J4941),AND($J4941&gt;=0,$J4941=INT($J4941)),FALSE())),"✖ العدد يجب أن يكون صحيحًا ≥ 0",IF(AND($F4941="Baseline",$H4941&lt;&gt;""),"⚠ Baseline: Start لا يدخل في التقدم",IF($K4941="No Start (attainment only)","ℹ تحصيل فقط (بدون Start)",IF($K4941="U – needs rule","ℹ حالة U تحتاج قاعدة معتمدة",IF($K4941="No result","ℹ بدون نتيجة (يُستبعد من التحصيل)","OK")))))))))))</f>
        <v/>
      </c>
      <c r="M4941" s="64" t="n">
        <f aca="false">IF($A4941="",0,IFERROR(MATCH($A4941,Classes!$A$6:$A$420,0),0))</f>
        <v>0</v>
      </c>
      <c r="N4941" s="64" t="n">
        <f aca="false">IF($H4941="",0,IFERROR(MATCH($H4941,GradeList,0),0))</f>
        <v>0</v>
      </c>
      <c r="O4941" s="64" t="n">
        <f aca="false">IF(OR($I4941="",$I4941="NR"),0,IFERROR(MATCH($I4941,GradeList,0),0))</f>
        <v>0</v>
      </c>
      <c r="P4941" s="64" t="n">
        <f aca="false">IF(AND($M4941&gt;0,ISNUMBER(MATCH($F4941,Lists!$A$2:$A$5,0)),ISNUMBER(MATCH($G4941,Lists!$B$2:$B$7,0)),OR($H4941="",$N4941&gt;0),OR($I4941="",$I4941="NR",$O4941&gt;0),IF(ISNUMBER($J4941),AND($J4941&gt;=0,$J4941=INT($J4941)),FALSE())),$J4941,0)</f>
        <v>0</v>
      </c>
      <c r="Q4941" s="64" t="n">
        <f aca="false">IF(AND($P4941&gt;0,$O4941&gt;0),$P4941,0)</f>
        <v>0</v>
      </c>
      <c r="R4941" s="64" t="n">
        <f aca="false">IF(AND($Q4941&gt;0,$O4941&gt;=AtRank),$Q4941,0)</f>
        <v>0</v>
      </c>
      <c r="S4941" s="64" t="n">
        <f aca="false">IF(AND($Q4941&gt;0,$O4941&gt;=AboveRank),$Q4941,0)</f>
        <v>0</v>
      </c>
      <c r="T4941" s="64" t="n">
        <f aca="false">IF($K4941="Less",$P4941,0)</f>
        <v>0</v>
      </c>
      <c r="U4941" s="64" t="n">
        <f aca="false">IF($K4941="Expected",$P4941,0)</f>
        <v>0</v>
      </c>
      <c r="V4941" s="64" t="n">
        <f aca="false">IF($K4941="Better",$P4941,0)</f>
        <v>0</v>
      </c>
      <c r="W4941" s="64" t="n">
        <f aca="false">IF($K4941="U – needs rule",$P4941,0)</f>
        <v>0</v>
      </c>
      <c r="X4941" s="64" t="n">
        <f aca="false">IF($K4941="No Start (attainment only)",$P4941,0)</f>
        <v>0</v>
      </c>
    </row>
    <row r="4942" customFormat="false" ht="15" hidden="false" customHeight="false" outlineLevel="0" collapsed="false">
      <c r="A4942" s="60"/>
      <c r="B4942" s="61" t="str">
        <f aca="false">IF($M4942=0,"",INDEX(Classes!$E$6:$E$420,$M4942))</f>
        <v/>
      </c>
      <c r="C4942" s="62" t="str">
        <f aca="false">IF($M4942=0,"",INDEX(Classes!$H$6:$H$420,$M4942))</f>
        <v/>
      </c>
      <c r="D4942" s="61" t="str">
        <f aca="false">IF($M4942=0,"",INDEX(Classes!$B$6:$B$420,$M4942))</f>
        <v/>
      </c>
      <c r="E4942" s="61" t="str">
        <f aca="false">IF($M4942=0,"",INDEX(Classes!$C$6:$C$420,$M4942))</f>
        <v/>
      </c>
      <c r="F4942" s="63"/>
      <c r="G4942" s="63"/>
      <c r="H4942" s="60"/>
      <c r="I4942" s="60"/>
      <c r="J4942" s="63"/>
      <c r="K4942" s="61" t="str">
        <f aca="false">IF($P4942=0,"",IF($F4942="Baseline","— Baseline",IF($O4942=0,"No result",IF($N4942=0,"No Start (attainment only)",IF(OR($N4942=1,$O4942=1),"U – needs rule",INDEX(MxBody,MATCH($I4942,MxCurr,0),MATCH($H4942,MxStart,0)))))))</f>
        <v/>
      </c>
      <c r="L4942" s="62" t="str">
        <f aca="false">IF(COUNTA($A4942,$F4942,$G4942,$H4942,$I4942,$J4942)=0,"",IF($M4942=0,"✖ كود الصف غير موجود",IF(ISNA(MATCH($F4942,Lists!$A$2:$A$5,0)),"✖ الفترة غير صحيحة",IF(ISNA(MATCH($G4942,Lists!$B$2:$B$7,0)),"✖ المجموعة غير صحيحة",IF(NOT(OR($H4942="",$N4942&gt;0)),"✖ Start غير صحيح",IF(NOT(OR($I4942="",$I4942="NR",$O4942&gt;0)),"✖ Current غير صحيح",IF(NOT(IF(ISNUMBER($J4942),AND($J4942&gt;=0,$J4942=INT($J4942)),FALSE())),"✖ العدد يجب أن يكون صحيحًا ≥ 0",IF(AND($F4942="Baseline",$H4942&lt;&gt;""),"⚠ Baseline: Start لا يدخل في التقدم",IF($K4942="No Start (attainment only)","ℹ تحصيل فقط (بدون Start)",IF($K4942="U – needs rule","ℹ حالة U تحتاج قاعدة معتمدة",IF($K4942="No result","ℹ بدون نتيجة (يُستبعد من التحصيل)","OK")))))))))))</f>
        <v/>
      </c>
      <c r="M4942" s="64" t="n">
        <f aca="false">IF($A4942="",0,IFERROR(MATCH($A4942,Classes!$A$6:$A$420,0),0))</f>
        <v>0</v>
      </c>
      <c r="N4942" s="64" t="n">
        <f aca="false">IF($H4942="",0,IFERROR(MATCH($H4942,GradeList,0),0))</f>
        <v>0</v>
      </c>
      <c r="O4942" s="64" t="n">
        <f aca="false">IF(OR($I4942="",$I4942="NR"),0,IFERROR(MATCH($I4942,GradeList,0),0))</f>
        <v>0</v>
      </c>
      <c r="P4942" s="64" t="n">
        <f aca="false">IF(AND($M4942&gt;0,ISNUMBER(MATCH($F4942,Lists!$A$2:$A$5,0)),ISNUMBER(MATCH($G4942,Lists!$B$2:$B$7,0)),OR($H4942="",$N4942&gt;0),OR($I4942="",$I4942="NR",$O4942&gt;0),IF(ISNUMBER($J4942),AND($J4942&gt;=0,$J4942=INT($J4942)),FALSE())),$J4942,0)</f>
        <v>0</v>
      </c>
      <c r="Q4942" s="64" t="n">
        <f aca="false">IF(AND($P4942&gt;0,$O4942&gt;0),$P4942,0)</f>
        <v>0</v>
      </c>
      <c r="R4942" s="64" t="n">
        <f aca="false">IF(AND($Q4942&gt;0,$O4942&gt;=AtRank),$Q4942,0)</f>
        <v>0</v>
      </c>
      <c r="S4942" s="64" t="n">
        <f aca="false">IF(AND($Q4942&gt;0,$O4942&gt;=AboveRank),$Q4942,0)</f>
        <v>0</v>
      </c>
      <c r="T4942" s="64" t="n">
        <f aca="false">IF($K4942="Less",$P4942,0)</f>
        <v>0</v>
      </c>
      <c r="U4942" s="64" t="n">
        <f aca="false">IF($K4942="Expected",$P4942,0)</f>
        <v>0</v>
      </c>
      <c r="V4942" s="64" t="n">
        <f aca="false">IF($K4942="Better",$P4942,0)</f>
        <v>0</v>
      </c>
      <c r="W4942" s="64" t="n">
        <f aca="false">IF($K4942="U – needs rule",$P4942,0)</f>
        <v>0</v>
      </c>
      <c r="X4942" s="64" t="n">
        <f aca="false">IF($K4942="No Start (attainment only)",$P4942,0)</f>
        <v>0</v>
      </c>
    </row>
    <row r="4943" customFormat="false" ht="15" hidden="false" customHeight="false" outlineLevel="0" collapsed="false">
      <c r="A4943" s="60"/>
      <c r="B4943" s="61" t="str">
        <f aca="false">IF($M4943=0,"",INDEX(Classes!$E$6:$E$420,$M4943))</f>
        <v/>
      </c>
      <c r="C4943" s="62" t="str">
        <f aca="false">IF($M4943=0,"",INDEX(Classes!$H$6:$H$420,$M4943))</f>
        <v/>
      </c>
      <c r="D4943" s="61" t="str">
        <f aca="false">IF($M4943=0,"",INDEX(Classes!$B$6:$B$420,$M4943))</f>
        <v/>
      </c>
      <c r="E4943" s="61" t="str">
        <f aca="false">IF($M4943=0,"",INDEX(Classes!$C$6:$C$420,$M4943))</f>
        <v/>
      </c>
      <c r="F4943" s="63"/>
      <c r="G4943" s="63"/>
      <c r="H4943" s="60"/>
      <c r="I4943" s="60"/>
      <c r="J4943" s="63"/>
      <c r="K4943" s="61" t="str">
        <f aca="false">IF($P4943=0,"",IF($F4943="Baseline","— Baseline",IF($O4943=0,"No result",IF($N4943=0,"No Start (attainment only)",IF(OR($N4943=1,$O4943=1),"U – needs rule",INDEX(MxBody,MATCH($I4943,MxCurr,0),MATCH($H4943,MxStart,0)))))))</f>
        <v/>
      </c>
      <c r="L4943" s="62" t="str">
        <f aca="false">IF(COUNTA($A4943,$F4943,$G4943,$H4943,$I4943,$J4943)=0,"",IF($M4943=0,"✖ كود الصف غير موجود",IF(ISNA(MATCH($F4943,Lists!$A$2:$A$5,0)),"✖ الفترة غير صحيحة",IF(ISNA(MATCH($G4943,Lists!$B$2:$B$7,0)),"✖ المجموعة غير صحيحة",IF(NOT(OR($H4943="",$N4943&gt;0)),"✖ Start غير صحيح",IF(NOT(OR($I4943="",$I4943="NR",$O4943&gt;0)),"✖ Current غير صحيح",IF(NOT(IF(ISNUMBER($J4943),AND($J4943&gt;=0,$J4943=INT($J4943)),FALSE())),"✖ العدد يجب أن يكون صحيحًا ≥ 0",IF(AND($F4943="Baseline",$H4943&lt;&gt;""),"⚠ Baseline: Start لا يدخل في التقدم",IF($K4943="No Start (attainment only)","ℹ تحصيل فقط (بدون Start)",IF($K4943="U – needs rule","ℹ حالة U تحتاج قاعدة معتمدة",IF($K4943="No result","ℹ بدون نتيجة (يُستبعد من التحصيل)","OK")))))))))))</f>
        <v/>
      </c>
      <c r="M4943" s="64" t="n">
        <f aca="false">IF($A4943="",0,IFERROR(MATCH($A4943,Classes!$A$6:$A$420,0),0))</f>
        <v>0</v>
      </c>
      <c r="N4943" s="64" t="n">
        <f aca="false">IF($H4943="",0,IFERROR(MATCH($H4943,GradeList,0),0))</f>
        <v>0</v>
      </c>
      <c r="O4943" s="64" t="n">
        <f aca="false">IF(OR($I4943="",$I4943="NR"),0,IFERROR(MATCH($I4943,GradeList,0),0))</f>
        <v>0</v>
      </c>
      <c r="P4943" s="64" t="n">
        <f aca="false">IF(AND($M4943&gt;0,ISNUMBER(MATCH($F4943,Lists!$A$2:$A$5,0)),ISNUMBER(MATCH($G4943,Lists!$B$2:$B$7,0)),OR($H4943="",$N4943&gt;0),OR($I4943="",$I4943="NR",$O4943&gt;0),IF(ISNUMBER($J4943),AND($J4943&gt;=0,$J4943=INT($J4943)),FALSE())),$J4943,0)</f>
        <v>0</v>
      </c>
      <c r="Q4943" s="64" t="n">
        <f aca="false">IF(AND($P4943&gt;0,$O4943&gt;0),$P4943,0)</f>
        <v>0</v>
      </c>
      <c r="R4943" s="64" t="n">
        <f aca="false">IF(AND($Q4943&gt;0,$O4943&gt;=AtRank),$Q4943,0)</f>
        <v>0</v>
      </c>
      <c r="S4943" s="64" t="n">
        <f aca="false">IF(AND($Q4943&gt;0,$O4943&gt;=AboveRank),$Q4943,0)</f>
        <v>0</v>
      </c>
      <c r="T4943" s="64" t="n">
        <f aca="false">IF($K4943="Less",$P4943,0)</f>
        <v>0</v>
      </c>
      <c r="U4943" s="64" t="n">
        <f aca="false">IF($K4943="Expected",$P4943,0)</f>
        <v>0</v>
      </c>
      <c r="V4943" s="64" t="n">
        <f aca="false">IF($K4943="Better",$P4943,0)</f>
        <v>0</v>
      </c>
      <c r="W4943" s="64" t="n">
        <f aca="false">IF($K4943="U – needs rule",$P4943,0)</f>
        <v>0</v>
      </c>
      <c r="X4943" s="64" t="n">
        <f aca="false">IF($K4943="No Start (attainment only)",$P4943,0)</f>
        <v>0</v>
      </c>
    </row>
    <row r="4944" customFormat="false" ht="15" hidden="false" customHeight="false" outlineLevel="0" collapsed="false">
      <c r="A4944" s="60"/>
      <c r="B4944" s="61" t="str">
        <f aca="false">IF($M4944=0,"",INDEX(Classes!$E$6:$E$420,$M4944))</f>
        <v/>
      </c>
      <c r="C4944" s="62" t="str">
        <f aca="false">IF($M4944=0,"",INDEX(Classes!$H$6:$H$420,$M4944))</f>
        <v/>
      </c>
      <c r="D4944" s="61" t="str">
        <f aca="false">IF($M4944=0,"",INDEX(Classes!$B$6:$B$420,$M4944))</f>
        <v/>
      </c>
      <c r="E4944" s="61" t="str">
        <f aca="false">IF($M4944=0,"",INDEX(Classes!$C$6:$C$420,$M4944))</f>
        <v/>
      </c>
      <c r="F4944" s="63"/>
      <c r="G4944" s="63"/>
      <c r="H4944" s="60"/>
      <c r="I4944" s="60"/>
      <c r="J4944" s="63"/>
      <c r="K4944" s="61" t="str">
        <f aca="false">IF($P4944=0,"",IF($F4944="Baseline","— Baseline",IF($O4944=0,"No result",IF($N4944=0,"No Start (attainment only)",IF(OR($N4944=1,$O4944=1),"U – needs rule",INDEX(MxBody,MATCH($I4944,MxCurr,0),MATCH($H4944,MxStart,0)))))))</f>
        <v/>
      </c>
      <c r="L4944" s="62" t="str">
        <f aca="false">IF(COUNTA($A4944,$F4944,$G4944,$H4944,$I4944,$J4944)=0,"",IF($M4944=0,"✖ كود الصف غير موجود",IF(ISNA(MATCH($F4944,Lists!$A$2:$A$5,0)),"✖ الفترة غير صحيحة",IF(ISNA(MATCH($G4944,Lists!$B$2:$B$7,0)),"✖ المجموعة غير صحيحة",IF(NOT(OR($H4944="",$N4944&gt;0)),"✖ Start غير صحيح",IF(NOT(OR($I4944="",$I4944="NR",$O4944&gt;0)),"✖ Current غير صحيح",IF(NOT(IF(ISNUMBER($J4944),AND($J4944&gt;=0,$J4944=INT($J4944)),FALSE())),"✖ العدد يجب أن يكون صحيحًا ≥ 0",IF(AND($F4944="Baseline",$H4944&lt;&gt;""),"⚠ Baseline: Start لا يدخل في التقدم",IF($K4944="No Start (attainment only)","ℹ تحصيل فقط (بدون Start)",IF($K4944="U – needs rule","ℹ حالة U تحتاج قاعدة معتمدة",IF($K4944="No result","ℹ بدون نتيجة (يُستبعد من التحصيل)","OK")))))))))))</f>
        <v/>
      </c>
      <c r="M4944" s="64" t="n">
        <f aca="false">IF($A4944="",0,IFERROR(MATCH($A4944,Classes!$A$6:$A$420,0),0))</f>
        <v>0</v>
      </c>
      <c r="N4944" s="64" t="n">
        <f aca="false">IF($H4944="",0,IFERROR(MATCH($H4944,GradeList,0),0))</f>
        <v>0</v>
      </c>
      <c r="O4944" s="64" t="n">
        <f aca="false">IF(OR($I4944="",$I4944="NR"),0,IFERROR(MATCH($I4944,GradeList,0),0))</f>
        <v>0</v>
      </c>
      <c r="P4944" s="64" t="n">
        <f aca="false">IF(AND($M4944&gt;0,ISNUMBER(MATCH($F4944,Lists!$A$2:$A$5,0)),ISNUMBER(MATCH($G4944,Lists!$B$2:$B$7,0)),OR($H4944="",$N4944&gt;0),OR($I4944="",$I4944="NR",$O4944&gt;0),IF(ISNUMBER($J4944),AND($J4944&gt;=0,$J4944=INT($J4944)),FALSE())),$J4944,0)</f>
        <v>0</v>
      </c>
      <c r="Q4944" s="64" t="n">
        <f aca="false">IF(AND($P4944&gt;0,$O4944&gt;0),$P4944,0)</f>
        <v>0</v>
      </c>
      <c r="R4944" s="64" t="n">
        <f aca="false">IF(AND($Q4944&gt;0,$O4944&gt;=AtRank),$Q4944,0)</f>
        <v>0</v>
      </c>
      <c r="S4944" s="64" t="n">
        <f aca="false">IF(AND($Q4944&gt;0,$O4944&gt;=AboveRank),$Q4944,0)</f>
        <v>0</v>
      </c>
      <c r="T4944" s="64" t="n">
        <f aca="false">IF($K4944="Less",$P4944,0)</f>
        <v>0</v>
      </c>
      <c r="U4944" s="64" t="n">
        <f aca="false">IF($K4944="Expected",$P4944,0)</f>
        <v>0</v>
      </c>
      <c r="V4944" s="64" t="n">
        <f aca="false">IF($K4944="Better",$P4944,0)</f>
        <v>0</v>
      </c>
      <c r="W4944" s="64" t="n">
        <f aca="false">IF($K4944="U – needs rule",$P4944,0)</f>
        <v>0</v>
      </c>
      <c r="X4944" s="64" t="n">
        <f aca="false">IF($K4944="No Start (attainment only)",$P4944,0)</f>
        <v>0</v>
      </c>
    </row>
    <row r="4945" customFormat="false" ht="15" hidden="false" customHeight="false" outlineLevel="0" collapsed="false">
      <c r="A4945" s="60"/>
      <c r="B4945" s="61" t="str">
        <f aca="false">IF($M4945=0,"",INDEX(Classes!$E$6:$E$420,$M4945))</f>
        <v/>
      </c>
      <c r="C4945" s="62" t="str">
        <f aca="false">IF($M4945=0,"",INDEX(Classes!$H$6:$H$420,$M4945))</f>
        <v/>
      </c>
      <c r="D4945" s="61" t="str">
        <f aca="false">IF($M4945=0,"",INDEX(Classes!$B$6:$B$420,$M4945))</f>
        <v/>
      </c>
      <c r="E4945" s="61" t="str">
        <f aca="false">IF($M4945=0,"",INDEX(Classes!$C$6:$C$420,$M4945))</f>
        <v/>
      </c>
      <c r="F4945" s="63"/>
      <c r="G4945" s="63"/>
      <c r="H4945" s="60"/>
      <c r="I4945" s="60"/>
      <c r="J4945" s="63"/>
      <c r="K4945" s="61" t="str">
        <f aca="false">IF($P4945=0,"",IF($F4945="Baseline","— Baseline",IF($O4945=0,"No result",IF($N4945=0,"No Start (attainment only)",IF(OR($N4945=1,$O4945=1),"U – needs rule",INDEX(MxBody,MATCH($I4945,MxCurr,0),MATCH($H4945,MxStart,0)))))))</f>
        <v/>
      </c>
      <c r="L4945" s="62" t="str">
        <f aca="false">IF(COUNTA($A4945,$F4945,$G4945,$H4945,$I4945,$J4945)=0,"",IF($M4945=0,"✖ كود الصف غير موجود",IF(ISNA(MATCH($F4945,Lists!$A$2:$A$5,0)),"✖ الفترة غير صحيحة",IF(ISNA(MATCH($G4945,Lists!$B$2:$B$7,0)),"✖ المجموعة غير صحيحة",IF(NOT(OR($H4945="",$N4945&gt;0)),"✖ Start غير صحيح",IF(NOT(OR($I4945="",$I4945="NR",$O4945&gt;0)),"✖ Current غير صحيح",IF(NOT(IF(ISNUMBER($J4945),AND($J4945&gt;=0,$J4945=INT($J4945)),FALSE())),"✖ العدد يجب أن يكون صحيحًا ≥ 0",IF(AND($F4945="Baseline",$H4945&lt;&gt;""),"⚠ Baseline: Start لا يدخل في التقدم",IF($K4945="No Start (attainment only)","ℹ تحصيل فقط (بدون Start)",IF($K4945="U – needs rule","ℹ حالة U تحتاج قاعدة معتمدة",IF($K4945="No result","ℹ بدون نتيجة (يُستبعد من التحصيل)","OK")))))))))))</f>
        <v/>
      </c>
      <c r="M4945" s="64" t="n">
        <f aca="false">IF($A4945="",0,IFERROR(MATCH($A4945,Classes!$A$6:$A$420,0),0))</f>
        <v>0</v>
      </c>
      <c r="N4945" s="64" t="n">
        <f aca="false">IF($H4945="",0,IFERROR(MATCH($H4945,GradeList,0),0))</f>
        <v>0</v>
      </c>
      <c r="O4945" s="64" t="n">
        <f aca="false">IF(OR($I4945="",$I4945="NR"),0,IFERROR(MATCH($I4945,GradeList,0),0))</f>
        <v>0</v>
      </c>
      <c r="P4945" s="64" t="n">
        <f aca="false">IF(AND($M4945&gt;0,ISNUMBER(MATCH($F4945,Lists!$A$2:$A$5,0)),ISNUMBER(MATCH($G4945,Lists!$B$2:$B$7,0)),OR($H4945="",$N4945&gt;0),OR($I4945="",$I4945="NR",$O4945&gt;0),IF(ISNUMBER($J4945),AND($J4945&gt;=0,$J4945=INT($J4945)),FALSE())),$J4945,0)</f>
        <v>0</v>
      </c>
      <c r="Q4945" s="64" t="n">
        <f aca="false">IF(AND($P4945&gt;0,$O4945&gt;0),$P4945,0)</f>
        <v>0</v>
      </c>
      <c r="R4945" s="64" t="n">
        <f aca="false">IF(AND($Q4945&gt;0,$O4945&gt;=AtRank),$Q4945,0)</f>
        <v>0</v>
      </c>
      <c r="S4945" s="64" t="n">
        <f aca="false">IF(AND($Q4945&gt;0,$O4945&gt;=AboveRank),$Q4945,0)</f>
        <v>0</v>
      </c>
      <c r="T4945" s="64" t="n">
        <f aca="false">IF($K4945="Less",$P4945,0)</f>
        <v>0</v>
      </c>
      <c r="U4945" s="64" t="n">
        <f aca="false">IF($K4945="Expected",$P4945,0)</f>
        <v>0</v>
      </c>
      <c r="V4945" s="64" t="n">
        <f aca="false">IF($K4945="Better",$P4945,0)</f>
        <v>0</v>
      </c>
      <c r="W4945" s="64" t="n">
        <f aca="false">IF($K4945="U – needs rule",$P4945,0)</f>
        <v>0</v>
      </c>
      <c r="X4945" s="64" t="n">
        <f aca="false">IF($K4945="No Start (attainment only)",$P4945,0)</f>
        <v>0</v>
      </c>
    </row>
    <row r="4946" customFormat="false" ht="15" hidden="false" customHeight="false" outlineLevel="0" collapsed="false">
      <c r="A4946" s="60"/>
      <c r="B4946" s="61" t="str">
        <f aca="false">IF($M4946=0,"",INDEX(Classes!$E$6:$E$420,$M4946))</f>
        <v/>
      </c>
      <c r="C4946" s="62" t="str">
        <f aca="false">IF($M4946=0,"",INDEX(Classes!$H$6:$H$420,$M4946))</f>
        <v/>
      </c>
      <c r="D4946" s="61" t="str">
        <f aca="false">IF($M4946=0,"",INDEX(Classes!$B$6:$B$420,$M4946))</f>
        <v/>
      </c>
      <c r="E4946" s="61" t="str">
        <f aca="false">IF($M4946=0,"",INDEX(Classes!$C$6:$C$420,$M4946))</f>
        <v/>
      </c>
      <c r="F4946" s="63"/>
      <c r="G4946" s="63"/>
      <c r="H4946" s="60"/>
      <c r="I4946" s="60"/>
      <c r="J4946" s="63"/>
      <c r="K4946" s="61" t="str">
        <f aca="false">IF($P4946=0,"",IF($F4946="Baseline","— Baseline",IF($O4946=0,"No result",IF($N4946=0,"No Start (attainment only)",IF(OR($N4946=1,$O4946=1),"U – needs rule",INDEX(MxBody,MATCH($I4946,MxCurr,0),MATCH($H4946,MxStart,0)))))))</f>
        <v/>
      </c>
      <c r="L4946" s="62" t="str">
        <f aca="false">IF(COUNTA($A4946,$F4946,$G4946,$H4946,$I4946,$J4946)=0,"",IF($M4946=0,"✖ كود الصف غير موجود",IF(ISNA(MATCH($F4946,Lists!$A$2:$A$5,0)),"✖ الفترة غير صحيحة",IF(ISNA(MATCH($G4946,Lists!$B$2:$B$7,0)),"✖ المجموعة غير صحيحة",IF(NOT(OR($H4946="",$N4946&gt;0)),"✖ Start غير صحيح",IF(NOT(OR($I4946="",$I4946="NR",$O4946&gt;0)),"✖ Current غير صحيح",IF(NOT(IF(ISNUMBER($J4946),AND($J4946&gt;=0,$J4946=INT($J4946)),FALSE())),"✖ العدد يجب أن يكون صحيحًا ≥ 0",IF(AND($F4946="Baseline",$H4946&lt;&gt;""),"⚠ Baseline: Start لا يدخل في التقدم",IF($K4946="No Start (attainment only)","ℹ تحصيل فقط (بدون Start)",IF($K4946="U – needs rule","ℹ حالة U تحتاج قاعدة معتمدة",IF($K4946="No result","ℹ بدون نتيجة (يُستبعد من التحصيل)","OK")))))))))))</f>
        <v/>
      </c>
      <c r="M4946" s="64" t="n">
        <f aca="false">IF($A4946="",0,IFERROR(MATCH($A4946,Classes!$A$6:$A$420,0),0))</f>
        <v>0</v>
      </c>
      <c r="N4946" s="64" t="n">
        <f aca="false">IF($H4946="",0,IFERROR(MATCH($H4946,GradeList,0),0))</f>
        <v>0</v>
      </c>
      <c r="O4946" s="64" t="n">
        <f aca="false">IF(OR($I4946="",$I4946="NR"),0,IFERROR(MATCH($I4946,GradeList,0),0))</f>
        <v>0</v>
      </c>
      <c r="P4946" s="64" t="n">
        <f aca="false">IF(AND($M4946&gt;0,ISNUMBER(MATCH($F4946,Lists!$A$2:$A$5,0)),ISNUMBER(MATCH($G4946,Lists!$B$2:$B$7,0)),OR($H4946="",$N4946&gt;0),OR($I4946="",$I4946="NR",$O4946&gt;0),IF(ISNUMBER($J4946),AND($J4946&gt;=0,$J4946=INT($J4946)),FALSE())),$J4946,0)</f>
        <v>0</v>
      </c>
      <c r="Q4946" s="64" t="n">
        <f aca="false">IF(AND($P4946&gt;0,$O4946&gt;0),$P4946,0)</f>
        <v>0</v>
      </c>
      <c r="R4946" s="64" t="n">
        <f aca="false">IF(AND($Q4946&gt;0,$O4946&gt;=AtRank),$Q4946,0)</f>
        <v>0</v>
      </c>
      <c r="S4946" s="64" t="n">
        <f aca="false">IF(AND($Q4946&gt;0,$O4946&gt;=AboveRank),$Q4946,0)</f>
        <v>0</v>
      </c>
      <c r="T4946" s="64" t="n">
        <f aca="false">IF($K4946="Less",$P4946,0)</f>
        <v>0</v>
      </c>
      <c r="U4946" s="64" t="n">
        <f aca="false">IF($K4946="Expected",$P4946,0)</f>
        <v>0</v>
      </c>
      <c r="V4946" s="64" t="n">
        <f aca="false">IF($K4946="Better",$P4946,0)</f>
        <v>0</v>
      </c>
      <c r="W4946" s="64" t="n">
        <f aca="false">IF($K4946="U – needs rule",$P4946,0)</f>
        <v>0</v>
      </c>
      <c r="X4946" s="64" t="n">
        <f aca="false">IF($K4946="No Start (attainment only)",$P4946,0)</f>
        <v>0</v>
      </c>
    </row>
    <row r="4947" customFormat="false" ht="15" hidden="false" customHeight="false" outlineLevel="0" collapsed="false">
      <c r="A4947" s="60"/>
      <c r="B4947" s="61" t="str">
        <f aca="false">IF($M4947=0,"",INDEX(Classes!$E$6:$E$420,$M4947))</f>
        <v/>
      </c>
      <c r="C4947" s="62" t="str">
        <f aca="false">IF($M4947=0,"",INDEX(Classes!$H$6:$H$420,$M4947))</f>
        <v/>
      </c>
      <c r="D4947" s="61" t="str">
        <f aca="false">IF($M4947=0,"",INDEX(Classes!$B$6:$B$420,$M4947))</f>
        <v/>
      </c>
      <c r="E4947" s="61" t="str">
        <f aca="false">IF($M4947=0,"",INDEX(Classes!$C$6:$C$420,$M4947))</f>
        <v/>
      </c>
      <c r="F4947" s="63"/>
      <c r="G4947" s="63"/>
      <c r="H4947" s="60"/>
      <c r="I4947" s="60"/>
      <c r="J4947" s="63"/>
      <c r="K4947" s="61" t="str">
        <f aca="false">IF($P4947=0,"",IF($F4947="Baseline","— Baseline",IF($O4947=0,"No result",IF($N4947=0,"No Start (attainment only)",IF(OR($N4947=1,$O4947=1),"U – needs rule",INDEX(MxBody,MATCH($I4947,MxCurr,0),MATCH($H4947,MxStart,0)))))))</f>
        <v/>
      </c>
      <c r="L4947" s="62" t="str">
        <f aca="false">IF(COUNTA($A4947,$F4947,$G4947,$H4947,$I4947,$J4947)=0,"",IF($M4947=0,"✖ كود الصف غير موجود",IF(ISNA(MATCH($F4947,Lists!$A$2:$A$5,0)),"✖ الفترة غير صحيحة",IF(ISNA(MATCH($G4947,Lists!$B$2:$B$7,0)),"✖ المجموعة غير صحيحة",IF(NOT(OR($H4947="",$N4947&gt;0)),"✖ Start غير صحيح",IF(NOT(OR($I4947="",$I4947="NR",$O4947&gt;0)),"✖ Current غير صحيح",IF(NOT(IF(ISNUMBER($J4947),AND($J4947&gt;=0,$J4947=INT($J4947)),FALSE())),"✖ العدد يجب أن يكون صحيحًا ≥ 0",IF(AND($F4947="Baseline",$H4947&lt;&gt;""),"⚠ Baseline: Start لا يدخل في التقدم",IF($K4947="No Start (attainment only)","ℹ تحصيل فقط (بدون Start)",IF($K4947="U – needs rule","ℹ حالة U تحتاج قاعدة معتمدة",IF($K4947="No result","ℹ بدون نتيجة (يُستبعد من التحصيل)","OK")))))))))))</f>
        <v/>
      </c>
      <c r="M4947" s="64" t="n">
        <f aca="false">IF($A4947="",0,IFERROR(MATCH($A4947,Classes!$A$6:$A$420,0),0))</f>
        <v>0</v>
      </c>
      <c r="N4947" s="64" t="n">
        <f aca="false">IF($H4947="",0,IFERROR(MATCH($H4947,GradeList,0),0))</f>
        <v>0</v>
      </c>
      <c r="O4947" s="64" t="n">
        <f aca="false">IF(OR($I4947="",$I4947="NR"),0,IFERROR(MATCH($I4947,GradeList,0),0))</f>
        <v>0</v>
      </c>
      <c r="P4947" s="64" t="n">
        <f aca="false">IF(AND($M4947&gt;0,ISNUMBER(MATCH($F4947,Lists!$A$2:$A$5,0)),ISNUMBER(MATCH($G4947,Lists!$B$2:$B$7,0)),OR($H4947="",$N4947&gt;0),OR($I4947="",$I4947="NR",$O4947&gt;0),IF(ISNUMBER($J4947),AND($J4947&gt;=0,$J4947=INT($J4947)),FALSE())),$J4947,0)</f>
        <v>0</v>
      </c>
      <c r="Q4947" s="64" t="n">
        <f aca="false">IF(AND($P4947&gt;0,$O4947&gt;0),$P4947,0)</f>
        <v>0</v>
      </c>
      <c r="R4947" s="64" t="n">
        <f aca="false">IF(AND($Q4947&gt;0,$O4947&gt;=AtRank),$Q4947,0)</f>
        <v>0</v>
      </c>
      <c r="S4947" s="64" t="n">
        <f aca="false">IF(AND($Q4947&gt;0,$O4947&gt;=AboveRank),$Q4947,0)</f>
        <v>0</v>
      </c>
      <c r="T4947" s="64" t="n">
        <f aca="false">IF($K4947="Less",$P4947,0)</f>
        <v>0</v>
      </c>
      <c r="U4947" s="64" t="n">
        <f aca="false">IF($K4947="Expected",$P4947,0)</f>
        <v>0</v>
      </c>
      <c r="V4947" s="64" t="n">
        <f aca="false">IF($K4947="Better",$P4947,0)</f>
        <v>0</v>
      </c>
      <c r="W4947" s="64" t="n">
        <f aca="false">IF($K4947="U – needs rule",$P4947,0)</f>
        <v>0</v>
      </c>
      <c r="X4947" s="64" t="n">
        <f aca="false">IF($K4947="No Start (attainment only)",$P4947,0)</f>
        <v>0</v>
      </c>
    </row>
    <row r="4948" customFormat="false" ht="15" hidden="false" customHeight="false" outlineLevel="0" collapsed="false">
      <c r="A4948" s="60"/>
      <c r="B4948" s="61" t="str">
        <f aca="false">IF($M4948=0,"",INDEX(Classes!$E$6:$E$420,$M4948))</f>
        <v/>
      </c>
      <c r="C4948" s="62" t="str">
        <f aca="false">IF($M4948=0,"",INDEX(Classes!$H$6:$H$420,$M4948))</f>
        <v/>
      </c>
      <c r="D4948" s="61" t="str">
        <f aca="false">IF($M4948=0,"",INDEX(Classes!$B$6:$B$420,$M4948))</f>
        <v/>
      </c>
      <c r="E4948" s="61" t="str">
        <f aca="false">IF($M4948=0,"",INDEX(Classes!$C$6:$C$420,$M4948))</f>
        <v/>
      </c>
      <c r="F4948" s="63"/>
      <c r="G4948" s="63"/>
      <c r="H4948" s="60"/>
      <c r="I4948" s="60"/>
      <c r="J4948" s="63"/>
      <c r="K4948" s="61" t="str">
        <f aca="false">IF($P4948=0,"",IF($F4948="Baseline","— Baseline",IF($O4948=0,"No result",IF($N4948=0,"No Start (attainment only)",IF(OR($N4948=1,$O4948=1),"U – needs rule",INDEX(MxBody,MATCH($I4948,MxCurr,0),MATCH($H4948,MxStart,0)))))))</f>
        <v/>
      </c>
      <c r="L4948" s="62" t="str">
        <f aca="false">IF(COUNTA($A4948,$F4948,$G4948,$H4948,$I4948,$J4948)=0,"",IF($M4948=0,"✖ كود الصف غير موجود",IF(ISNA(MATCH($F4948,Lists!$A$2:$A$5,0)),"✖ الفترة غير صحيحة",IF(ISNA(MATCH($G4948,Lists!$B$2:$B$7,0)),"✖ المجموعة غير صحيحة",IF(NOT(OR($H4948="",$N4948&gt;0)),"✖ Start غير صحيح",IF(NOT(OR($I4948="",$I4948="NR",$O4948&gt;0)),"✖ Current غير صحيح",IF(NOT(IF(ISNUMBER($J4948),AND($J4948&gt;=0,$J4948=INT($J4948)),FALSE())),"✖ العدد يجب أن يكون صحيحًا ≥ 0",IF(AND($F4948="Baseline",$H4948&lt;&gt;""),"⚠ Baseline: Start لا يدخل في التقدم",IF($K4948="No Start (attainment only)","ℹ تحصيل فقط (بدون Start)",IF($K4948="U – needs rule","ℹ حالة U تحتاج قاعدة معتمدة",IF($K4948="No result","ℹ بدون نتيجة (يُستبعد من التحصيل)","OK")))))))))))</f>
        <v/>
      </c>
      <c r="M4948" s="64" t="n">
        <f aca="false">IF($A4948="",0,IFERROR(MATCH($A4948,Classes!$A$6:$A$420,0),0))</f>
        <v>0</v>
      </c>
      <c r="N4948" s="64" t="n">
        <f aca="false">IF($H4948="",0,IFERROR(MATCH($H4948,GradeList,0),0))</f>
        <v>0</v>
      </c>
      <c r="O4948" s="64" t="n">
        <f aca="false">IF(OR($I4948="",$I4948="NR"),0,IFERROR(MATCH($I4948,GradeList,0),0))</f>
        <v>0</v>
      </c>
      <c r="P4948" s="64" t="n">
        <f aca="false">IF(AND($M4948&gt;0,ISNUMBER(MATCH($F4948,Lists!$A$2:$A$5,0)),ISNUMBER(MATCH($G4948,Lists!$B$2:$B$7,0)),OR($H4948="",$N4948&gt;0),OR($I4948="",$I4948="NR",$O4948&gt;0),IF(ISNUMBER($J4948),AND($J4948&gt;=0,$J4948=INT($J4948)),FALSE())),$J4948,0)</f>
        <v>0</v>
      </c>
      <c r="Q4948" s="64" t="n">
        <f aca="false">IF(AND($P4948&gt;0,$O4948&gt;0),$P4948,0)</f>
        <v>0</v>
      </c>
      <c r="R4948" s="64" t="n">
        <f aca="false">IF(AND($Q4948&gt;0,$O4948&gt;=AtRank),$Q4948,0)</f>
        <v>0</v>
      </c>
      <c r="S4948" s="64" t="n">
        <f aca="false">IF(AND($Q4948&gt;0,$O4948&gt;=AboveRank),$Q4948,0)</f>
        <v>0</v>
      </c>
      <c r="T4948" s="64" t="n">
        <f aca="false">IF($K4948="Less",$P4948,0)</f>
        <v>0</v>
      </c>
      <c r="U4948" s="64" t="n">
        <f aca="false">IF($K4948="Expected",$P4948,0)</f>
        <v>0</v>
      </c>
      <c r="V4948" s="64" t="n">
        <f aca="false">IF($K4948="Better",$P4948,0)</f>
        <v>0</v>
      </c>
      <c r="W4948" s="64" t="n">
        <f aca="false">IF($K4948="U – needs rule",$P4948,0)</f>
        <v>0</v>
      </c>
      <c r="X4948" s="64" t="n">
        <f aca="false">IF($K4948="No Start (attainment only)",$P4948,0)</f>
        <v>0</v>
      </c>
    </row>
    <row r="4949" customFormat="false" ht="15" hidden="false" customHeight="false" outlineLevel="0" collapsed="false">
      <c r="A4949" s="60"/>
      <c r="B4949" s="61" t="str">
        <f aca="false">IF($M4949=0,"",INDEX(Classes!$E$6:$E$420,$M4949))</f>
        <v/>
      </c>
      <c r="C4949" s="62" t="str">
        <f aca="false">IF($M4949=0,"",INDEX(Classes!$H$6:$H$420,$M4949))</f>
        <v/>
      </c>
      <c r="D4949" s="61" t="str">
        <f aca="false">IF($M4949=0,"",INDEX(Classes!$B$6:$B$420,$M4949))</f>
        <v/>
      </c>
      <c r="E4949" s="61" t="str">
        <f aca="false">IF($M4949=0,"",INDEX(Classes!$C$6:$C$420,$M4949))</f>
        <v/>
      </c>
      <c r="F4949" s="63"/>
      <c r="G4949" s="63"/>
      <c r="H4949" s="60"/>
      <c r="I4949" s="60"/>
      <c r="J4949" s="63"/>
      <c r="K4949" s="61" t="str">
        <f aca="false">IF($P4949=0,"",IF($F4949="Baseline","— Baseline",IF($O4949=0,"No result",IF($N4949=0,"No Start (attainment only)",IF(OR($N4949=1,$O4949=1),"U – needs rule",INDEX(MxBody,MATCH($I4949,MxCurr,0),MATCH($H4949,MxStart,0)))))))</f>
        <v/>
      </c>
      <c r="L4949" s="62" t="str">
        <f aca="false">IF(COUNTA($A4949,$F4949,$G4949,$H4949,$I4949,$J4949)=0,"",IF($M4949=0,"✖ كود الصف غير موجود",IF(ISNA(MATCH($F4949,Lists!$A$2:$A$5,0)),"✖ الفترة غير صحيحة",IF(ISNA(MATCH($G4949,Lists!$B$2:$B$7,0)),"✖ المجموعة غير صحيحة",IF(NOT(OR($H4949="",$N4949&gt;0)),"✖ Start غير صحيح",IF(NOT(OR($I4949="",$I4949="NR",$O4949&gt;0)),"✖ Current غير صحيح",IF(NOT(IF(ISNUMBER($J4949),AND($J4949&gt;=0,$J4949=INT($J4949)),FALSE())),"✖ العدد يجب أن يكون صحيحًا ≥ 0",IF(AND($F4949="Baseline",$H4949&lt;&gt;""),"⚠ Baseline: Start لا يدخل في التقدم",IF($K4949="No Start (attainment only)","ℹ تحصيل فقط (بدون Start)",IF($K4949="U – needs rule","ℹ حالة U تحتاج قاعدة معتمدة",IF($K4949="No result","ℹ بدون نتيجة (يُستبعد من التحصيل)","OK")))))))))))</f>
        <v/>
      </c>
      <c r="M4949" s="64" t="n">
        <f aca="false">IF($A4949="",0,IFERROR(MATCH($A4949,Classes!$A$6:$A$420,0),0))</f>
        <v>0</v>
      </c>
      <c r="N4949" s="64" t="n">
        <f aca="false">IF($H4949="",0,IFERROR(MATCH($H4949,GradeList,0),0))</f>
        <v>0</v>
      </c>
      <c r="O4949" s="64" t="n">
        <f aca="false">IF(OR($I4949="",$I4949="NR"),0,IFERROR(MATCH($I4949,GradeList,0),0))</f>
        <v>0</v>
      </c>
      <c r="P4949" s="64" t="n">
        <f aca="false">IF(AND($M4949&gt;0,ISNUMBER(MATCH($F4949,Lists!$A$2:$A$5,0)),ISNUMBER(MATCH($G4949,Lists!$B$2:$B$7,0)),OR($H4949="",$N4949&gt;0),OR($I4949="",$I4949="NR",$O4949&gt;0),IF(ISNUMBER($J4949),AND($J4949&gt;=0,$J4949=INT($J4949)),FALSE())),$J4949,0)</f>
        <v>0</v>
      </c>
      <c r="Q4949" s="64" t="n">
        <f aca="false">IF(AND($P4949&gt;0,$O4949&gt;0),$P4949,0)</f>
        <v>0</v>
      </c>
      <c r="R4949" s="64" t="n">
        <f aca="false">IF(AND($Q4949&gt;0,$O4949&gt;=AtRank),$Q4949,0)</f>
        <v>0</v>
      </c>
      <c r="S4949" s="64" t="n">
        <f aca="false">IF(AND($Q4949&gt;0,$O4949&gt;=AboveRank),$Q4949,0)</f>
        <v>0</v>
      </c>
      <c r="T4949" s="64" t="n">
        <f aca="false">IF($K4949="Less",$P4949,0)</f>
        <v>0</v>
      </c>
      <c r="U4949" s="64" t="n">
        <f aca="false">IF($K4949="Expected",$P4949,0)</f>
        <v>0</v>
      </c>
      <c r="V4949" s="64" t="n">
        <f aca="false">IF($K4949="Better",$P4949,0)</f>
        <v>0</v>
      </c>
      <c r="W4949" s="64" t="n">
        <f aca="false">IF($K4949="U – needs rule",$P4949,0)</f>
        <v>0</v>
      </c>
      <c r="X4949" s="64" t="n">
        <f aca="false">IF($K4949="No Start (attainment only)",$P4949,0)</f>
        <v>0</v>
      </c>
    </row>
    <row r="4950" customFormat="false" ht="15" hidden="false" customHeight="false" outlineLevel="0" collapsed="false">
      <c r="A4950" s="60"/>
      <c r="B4950" s="61" t="str">
        <f aca="false">IF($M4950=0,"",INDEX(Classes!$E$6:$E$420,$M4950))</f>
        <v/>
      </c>
      <c r="C4950" s="62" t="str">
        <f aca="false">IF($M4950=0,"",INDEX(Classes!$H$6:$H$420,$M4950))</f>
        <v/>
      </c>
      <c r="D4950" s="61" t="str">
        <f aca="false">IF($M4950=0,"",INDEX(Classes!$B$6:$B$420,$M4950))</f>
        <v/>
      </c>
      <c r="E4950" s="61" t="str">
        <f aca="false">IF($M4950=0,"",INDEX(Classes!$C$6:$C$420,$M4950))</f>
        <v/>
      </c>
      <c r="F4950" s="63"/>
      <c r="G4950" s="63"/>
      <c r="H4950" s="60"/>
      <c r="I4950" s="60"/>
      <c r="J4950" s="63"/>
      <c r="K4950" s="61" t="str">
        <f aca="false">IF($P4950=0,"",IF($F4950="Baseline","— Baseline",IF($O4950=0,"No result",IF($N4950=0,"No Start (attainment only)",IF(OR($N4950=1,$O4950=1),"U – needs rule",INDEX(MxBody,MATCH($I4950,MxCurr,0),MATCH($H4950,MxStart,0)))))))</f>
        <v/>
      </c>
      <c r="L4950" s="62" t="str">
        <f aca="false">IF(COUNTA($A4950,$F4950,$G4950,$H4950,$I4950,$J4950)=0,"",IF($M4950=0,"✖ كود الصف غير موجود",IF(ISNA(MATCH($F4950,Lists!$A$2:$A$5,0)),"✖ الفترة غير صحيحة",IF(ISNA(MATCH($G4950,Lists!$B$2:$B$7,0)),"✖ المجموعة غير صحيحة",IF(NOT(OR($H4950="",$N4950&gt;0)),"✖ Start غير صحيح",IF(NOT(OR($I4950="",$I4950="NR",$O4950&gt;0)),"✖ Current غير صحيح",IF(NOT(IF(ISNUMBER($J4950),AND($J4950&gt;=0,$J4950=INT($J4950)),FALSE())),"✖ العدد يجب أن يكون صحيحًا ≥ 0",IF(AND($F4950="Baseline",$H4950&lt;&gt;""),"⚠ Baseline: Start لا يدخل في التقدم",IF($K4950="No Start (attainment only)","ℹ تحصيل فقط (بدون Start)",IF($K4950="U – needs rule","ℹ حالة U تحتاج قاعدة معتمدة",IF($K4950="No result","ℹ بدون نتيجة (يُستبعد من التحصيل)","OK")))))))))))</f>
        <v/>
      </c>
      <c r="M4950" s="64" t="n">
        <f aca="false">IF($A4950="",0,IFERROR(MATCH($A4950,Classes!$A$6:$A$420,0),0))</f>
        <v>0</v>
      </c>
      <c r="N4950" s="64" t="n">
        <f aca="false">IF($H4950="",0,IFERROR(MATCH($H4950,GradeList,0),0))</f>
        <v>0</v>
      </c>
      <c r="O4950" s="64" t="n">
        <f aca="false">IF(OR($I4950="",$I4950="NR"),0,IFERROR(MATCH($I4950,GradeList,0),0))</f>
        <v>0</v>
      </c>
      <c r="P4950" s="64" t="n">
        <f aca="false">IF(AND($M4950&gt;0,ISNUMBER(MATCH($F4950,Lists!$A$2:$A$5,0)),ISNUMBER(MATCH($G4950,Lists!$B$2:$B$7,0)),OR($H4950="",$N4950&gt;0),OR($I4950="",$I4950="NR",$O4950&gt;0),IF(ISNUMBER($J4950),AND($J4950&gt;=0,$J4950=INT($J4950)),FALSE())),$J4950,0)</f>
        <v>0</v>
      </c>
      <c r="Q4950" s="64" t="n">
        <f aca="false">IF(AND($P4950&gt;0,$O4950&gt;0),$P4950,0)</f>
        <v>0</v>
      </c>
      <c r="R4950" s="64" t="n">
        <f aca="false">IF(AND($Q4950&gt;0,$O4950&gt;=AtRank),$Q4950,0)</f>
        <v>0</v>
      </c>
      <c r="S4950" s="64" t="n">
        <f aca="false">IF(AND($Q4950&gt;0,$O4950&gt;=AboveRank),$Q4950,0)</f>
        <v>0</v>
      </c>
      <c r="T4950" s="64" t="n">
        <f aca="false">IF($K4950="Less",$P4950,0)</f>
        <v>0</v>
      </c>
      <c r="U4950" s="64" t="n">
        <f aca="false">IF($K4950="Expected",$P4950,0)</f>
        <v>0</v>
      </c>
      <c r="V4950" s="64" t="n">
        <f aca="false">IF($K4950="Better",$P4950,0)</f>
        <v>0</v>
      </c>
      <c r="W4950" s="64" t="n">
        <f aca="false">IF($K4950="U – needs rule",$P4950,0)</f>
        <v>0</v>
      </c>
      <c r="X4950" s="64" t="n">
        <f aca="false">IF($K4950="No Start (attainment only)",$P4950,0)</f>
        <v>0</v>
      </c>
    </row>
    <row r="4951" customFormat="false" ht="15" hidden="false" customHeight="false" outlineLevel="0" collapsed="false">
      <c r="A4951" s="60"/>
      <c r="B4951" s="61" t="str">
        <f aca="false">IF($M4951=0,"",INDEX(Classes!$E$6:$E$420,$M4951))</f>
        <v/>
      </c>
      <c r="C4951" s="62" t="str">
        <f aca="false">IF($M4951=0,"",INDEX(Classes!$H$6:$H$420,$M4951))</f>
        <v/>
      </c>
      <c r="D4951" s="61" t="str">
        <f aca="false">IF($M4951=0,"",INDEX(Classes!$B$6:$B$420,$M4951))</f>
        <v/>
      </c>
      <c r="E4951" s="61" t="str">
        <f aca="false">IF($M4951=0,"",INDEX(Classes!$C$6:$C$420,$M4951))</f>
        <v/>
      </c>
      <c r="F4951" s="63"/>
      <c r="G4951" s="63"/>
      <c r="H4951" s="60"/>
      <c r="I4951" s="60"/>
      <c r="J4951" s="63"/>
      <c r="K4951" s="61" t="str">
        <f aca="false">IF($P4951=0,"",IF($F4951="Baseline","— Baseline",IF($O4951=0,"No result",IF($N4951=0,"No Start (attainment only)",IF(OR($N4951=1,$O4951=1),"U – needs rule",INDEX(MxBody,MATCH($I4951,MxCurr,0),MATCH($H4951,MxStart,0)))))))</f>
        <v/>
      </c>
      <c r="L4951" s="62" t="str">
        <f aca="false">IF(COUNTA($A4951,$F4951,$G4951,$H4951,$I4951,$J4951)=0,"",IF($M4951=0,"✖ كود الصف غير موجود",IF(ISNA(MATCH($F4951,Lists!$A$2:$A$5,0)),"✖ الفترة غير صحيحة",IF(ISNA(MATCH($G4951,Lists!$B$2:$B$7,0)),"✖ المجموعة غير صحيحة",IF(NOT(OR($H4951="",$N4951&gt;0)),"✖ Start غير صحيح",IF(NOT(OR($I4951="",$I4951="NR",$O4951&gt;0)),"✖ Current غير صحيح",IF(NOT(IF(ISNUMBER($J4951),AND($J4951&gt;=0,$J4951=INT($J4951)),FALSE())),"✖ العدد يجب أن يكون صحيحًا ≥ 0",IF(AND($F4951="Baseline",$H4951&lt;&gt;""),"⚠ Baseline: Start لا يدخل في التقدم",IF($K4951="No Start (attainment only)","ℹ تحصيل فقط (بدون Start)",IF($K4951="U – needs rule","ℹ حالة U تحتاج قاعدة معتمدة",IF($K4951="No result","ℹ بدون نتيجة (يُستبعد من التحصيل)","OK")))))))))))</f>
        <v/>
      </c>
      <c r="M4951" s="64" t="n">
        <f aca="false">IF($A4951="",0,IFERROR(MATCH($A4951,Classes!$A$6:$A$420,0),0))</f>
        <v>0</v>
      </c>
      <c r="N4951" s="64" t="n">
        <f aca="false">IF($H4951="",0,IFERROR(MATCH($H4951,GradeList,0),0))</f>
        <v>0</v>
      </c>
      <c r="O4951" s="64" t="n">
        <f aca="false">IF(OR($I4951="",$I4951="NR"),0,IFERROR(MATCH($I4951,GradeList,0),0))</f>
        <v>0</v>
      </c>
      <c r="P4951" s="64" t="n">
        <f aca="false">IF(AND($M4951&gt;0,ISNUMBER(MATCH($F4951,Lists!$A$2:$A$5,0)),ISNUMBER(MATCH($G4951,Lists!$B$2:$B$7,0)),OR($H4951="",$N4951&gt;0),OR($I4951="",$I4951="NR",$O4951&gt;0),IF(ISNUMBER($J4951),AND($J4951&gt;=0,$J4951=INT($J4951)),FALSE())),$J4951,0)</f>
        <v>0</v>
      </c>
      <c r="Q4951" s="64" t="n">
        <f aca="false">IF(AND($P4951&gt;0,$O4951&gt;0),$P4951,0)</f>
        <v>0</v>
      </c>
      <c r="R4951" s="64" t="n">
        <f aca="false">IF(AND($Q4951&gt;0,$O4951&gt;=AtRank),$Q4951,0)</f>
        <v>0</v>
      </c>
      <c r="S4951" s="64" t="n">
        <f aca="false">IF(AND($Q4951&gt;0,$O4951&gt;=AboveRank),$Q4951,0)</f>
        <v>0</v>
      </c>
      <c r="T4951" s="64" t="n">
        <f aca="false">IF($K4951="Less",$P4951,0)</f>
        <v>0</v>
      </c>
      <c r="U4951" s="64" t="n">
        <f aca="false">IF($K4951="Expected",$P4951,0)</f>
        <v>0</v>
      </c>
      <c r="V4951" s="64" t="n">
        <f aca="false">IF($K4951="Better",$P4951,0)</f>
        <v>0</v>
      </c>
      <c r="W4951" s="64" t="n">
        <f aca="false">IF($K4951="U – needs rule",$P4951,0)</f>
        <v>0</v>
      </c>
      <c r="X4951" s="64" t="n">
        <f aca="false">IF($K4951="No Start (attainment only)",$P4951,0)</f>
        <v>0</v>
      </c>
    </row>
    <row r="4952" customFormat="false" ht="15" hidden="false" customHeight="false" outlineLevel="0" collapsed="false">
      <c r="A4952" s="60"/>
      <c r="B4952" s="61" t="str">
        <f aca="false">IF($M4952=0,"",INDEX(Classes!$E$6:$E$420,$M4952))</f>
        <v/>
      </c>
      <c r="C4952" s="62" t="str">
        <f aca="false">IF($M4952=0,"",INDEX(Classes!$H$6:$H$420,$M4952))</f>
        <v/>
      </c>
      <c r="D4952" s="61" t="str">
        <f aca="false">IF($M4952=0,"",INDEX(Classes!$B$6:$B$420,$M4952))</f>
        <v/>
      </c>
      <c r="E4952" s="61" t="str">
        <f aca="false">IF($M4952=0,"",INDEX(Classes!$C$6:$C$420,$M4952))</f>
        <v/>
      </c>
      <c r="F4952" s="63"/>
      <c r="G4952" s="63"/>
      <c r="H4952" s="60"/>
      <c r="I4952" s="60"/>
      <c r="J4952" s="63"/>
      <c r="K4952" s="61" t="str">
        <f aca="false">IF($P4952=0,"",IF($F4952="Baseline","— Baseline",IF($O4952=0,"No result",IF($N4952=0,"No Start (attainment only)",IF(OR($N4952=1,$O4952=1),"U – needs rule",INDEX(MxBody,MATCH($I4952,MxCurr,0),MATCH($H4952,MxStart,0)))))))</f>
        <v/>
      </c>
      <c r="L4952" s="62" t="str">
        <f aca="false">IF(COUNTA($A4952,$F4952,$G4952,$H4952,$I4952,$J4952)=0,"",IF($M4952=0,"✖ كود الصف غير موجود",IF(ISNA(MATCH($F4952,Lists!$A$2:$A$5,0)),"✖ الفترة غير صحيحة",IF(ISNA(MATCH($G4952,Lists!$B$2:$B$7,0)),"✖ المجموعة غير صحيحة",IF(NOT(OR($H4952="",$N4952&gt;0)),"✖ Start غير صحيح",IF(NOT(OR($I4952="",$I4952="NR",$O4952&gt;0)),"✖ Current غير صحيح",IF(NOT(IF(ISNUMBER($J4952),AND($J4952&gt;=0,$J4952=INT($J4952)),FALSE())),"✖ العدد يجب أن يكون صحيحًا ≥ 0",IF(AND($F4952="Baseline",$H4952&lt;&gt;""),"⚠ Baseline: Start لا يدخل في التقدم",IF($K4952="No Start (attainment only)","ℹ تحصيل فقط (بدون Start)",IF($K4952="U – needs rule","ℹ حالة U تحتاج قاعدة معتمدة",IF($K4952="No result","ℹ بدون نتيجة (يُستبعد من التحصيل)","OK")))))))))))</f>
        <v/>
      </c>
      <c r="M4952" s="64" t="n">
        <f aca="false">IF($A4952="",0,IFERROR(MATCH($A4952,Classes!$A$6:$A$420,0),0))</f>
        <v>0</v>
      </c>
      <c r="N4952" s="64" t="n">
        <f aca="false">IF($H4952="",0,IFERROR(MATCH($H4952,GradeList,0),0))</f>
        <v>0</v>
      </c>
      <c r="O4952" s="64" t="n">
        <f aca="false">IF(OR($I4952="",$I4952="NR"),0,IFERROR(MATCH($I4952,GradeList,0),0))</f>
        <v>0</v>
      </c>
      <c r="P4952" s="64" t="n">
        <f aca="false">IF(AND($M4952&gt;0,ISNUMBER(MATCH($F4952,Lists!$A$2:$A$5,0)),ISNUMBER(MATCH($G4952,Lists!$B$2:$B$7,0)),OR($H4952="",$N4952&gt;0),OR($I4952="",$I4952="NR",$O4952&gt;0),IF(ISNUMBER($J4952),AND($J4952&gt;=0,$J4952=INT($J4952)),FALSE())),$J4952,0)</f>
        <v>0</v>
      </c>
      <c r="Q4952" s="64" t="n">
        <f aca="false">IF(AND($P4952&gt;0,$O4952&gt;0),$P4952,0)</f>
        <v>0</v>
      </c>
      <c r="R4952" s="64" t="n">
        <f aca="false">IF(AND($Q4952&gt;0,$O4952&gt;=AtRank),$Q4952,0)</f>
        <v>0</v>
      </c>
      <c r="S4952" s="64" t="n">
        <f aca="false">IF(AND($Q4952&gt;0,$O4952&gt;=AboveRank),$Q4952,0)</f>
        <v>0</v>
      </c>
      <c r="T4952" s="64" t="n">
        <f aca="false">IF($K4952="Less",$P4952,0)</f>
        <v>0</v>
      </c>
      <c r="U4952" s="64" t="n">
        <f aca="false">IF($K4952="Expected",$P4952,0)</f>
        <v>0</v>
      </c>
      <c r="V4952" s="64" t="n">
        <f aca="false">IF($K4952="Better",$P4952,0)</f>
        <v>0</v>
      </c>
      <c r="W4952" s="64" t="n">
        <f aca="false">IF($K4952="U – needs rule",$P4952,0)</f>
        <v>0</v>
      </c>
      <c r="X4952" s="64" t="n">
        <f aca="false">IF($K4952="No Start (attainment only)",$P4952,0)</f>
        <v>0</v>
      </c>
    </row>
    <row r="4953" customFormat="false" ht="15" hidden="false" customHeight="false" outlineLevel="0" collapsed="false">
      <c r="A4953" s="60"/>
      <c r="B4953" s="61" t="str">
        <f aca="false">IF($M4953=0,"",INDEX(Classes!$E$6:$E$420,$M4953))</f>
        <v/>
      </c>
      <c r="C4953" s="62" t="str">
        <f aca="false">IF($M4953=0,"",INDEX(Classes!$H$6:$H$420,$M4953))</f>
        <v/>
      </c>
      <c r="D4953" s="61" t="str">
        <f aca="false">IF($M4953=0,"",INDEX(Classes!$B$6:$B$420,$M4953))</f>
        <v/>
      </c>
      <c r="E4953" s="61" t="str">
        <f aca="false">IF($M4953=0,"",INDEX(Classes!$C$6:$C$420,$M4953))</f>
        <v/>
      </c>
      <c r="F4953" s="63"/>
      <c r="G4953" s="63"/>
      <c r="H4953" s="60"/>
      <c r="I4953" s="60"/>
      <c r="J4953" s="63"/>
      <c r="K4953" s="61" t="str">
        <f aca="false">IF($P4953=0,"",IF($F4953="Baseline","— Baseline",IF($O4953=0,"No result",IF($N4953=0,"No Start (attainment only)",IF(OR($N4953=1,$O4953=1),"U – needs rule",INDEX(MxBody,MATCH($I4953,MxCurr,0),MATCH($H4953,MxStart,0)))))))</f>
        <v/>
      </c>
      <c r="L4953" s="62" t="str">
        <f aca="false">IF(COUNTA($A4953,$F4953,$G4953,$H4953,$I4953,$J4953)=0,"",IF($M4953=0,"✖ كود الصف غير موجود",IF(ISNA(MATCH($F4953,Lists!$A$2:$A$5,0)),"✖ الفترة غير صحيحة",IF(ISNA(MATCH($G4953,Lists!$B$2:$B$7,0)),"✖ المجموعة غير صحيحة",IF(NOT(OR($H4953="",$N4953&gt;0)),"✖ Start غير صحيح",IF(NOT(OR($I4953="",$I4953="NR",$O4953&gt;0)),"✖ Current غير صحيح",IF(NOT(IF(ISNUMBER($J4953),AND($J4953&gt;=0,$J4953=INT($J4953)),FALSE())),"✖ العدد يجب أن يكون صحيحًا ≥ 0",IF(AND($F4953="Baseline",$H4953&lt;&gt;""),"⚠ Baseline: Start لا يدخل في التقدم",IF($K4953="No Start (attainment only)","ℹ تحصيل فقط (بدون Start)",IF($K4953="U – needs rule","ℹ حالة U تحتاج قاعدة معتمدة",IF($K4953="No result","ℹ بدون نتيجة (يُستبعد من التحصيل)","OK")))))))))))</f>
        <v/>
      </c>
      <c r="M4953" s="64" t="n">
        <f aca="false">IF($A4953="",0,IFERROR(MATCH($A4953,Classes!$A$6:$A$420,0),0))</f>
        <v>0</v>
      </c>
      <c r="N4953" s="64" t="n">
        <f aca="false">IF($H4953="",0,IFERROR(MATCH($H4953,GradeList,0),0))</f>
        <v>0</v>
      </c>
      <c r="O4953" s="64" t="n">
        <f aca="false">IF(OR($I4953="",$I4953="NR"),0,IFERROR(MATCH($I4953,GradeList,0),0))</f>
        <v>0</v>
      </c>
      <c r="P4953" s="64" t="n">
        <f aca="false">IF(AND($M4953&gt;0,ISNUMBER(MATCH($F4953,Lists!$A$2:$A$5,0)),ISNUMBER(MATCH($G4953,Lists!$B$2:$B$7,0)),OR($H4953="",$N4953&gt;0),OR($I4953="",$I4953="NR",$O4953&gt;0),IF(ISNUMBER($J4953),AND($J4953&gt;=0,$J4953=INT($J4953)),FALSE())),$J4953,0)</f>
        <v>0</v>
      </c>
      <c r="Q4953" s="64" t="n">
        <f aca="false">IF(AND($P4953&gt;0,$O4953&gt;0),$P4953,0)</f>
        <v>0</v>
      </c>
      <c r="R4953" s="64" t="n">
        <f aca="false">IF(AND($Q4953&gt;0,$O4953&gt;=AtRank),$Q4953,0)</f>
        <v>0</v>
      </c>
      <c r="S4953" s="64" t="n">
        <f aca="false">IF(AND($Q4953&gt;0,$O4953&gt;=AboveRank),$Q4953,0)</f>
        <v>0</v>
      </c>
      <c r="T4953" s="64" t="n">
        <f aca="false">IF($K4953="Less",$P4953,0)</f>
        <v>0</v>
      </c>
      <c r="U4953" s="64" t="n">
        <f aca="false">IF($K4953="Expected",$P4953,0)</f>
        <v>0</v>
      </c>
      <c r="V4953" s="64" t="n">
        <f aca="false">IF($K4953="Better",$P4953,0)</f>
        <v>0</v>
      </c>
      <c r="W4953" s="64" t="n">
        <f aca="false">IF($K4953="U – needs rule",$P4953,0)</f>
        <v>0</v>
      </c>
      <c r="X4953" s="64" t="n">
        <f aca="false">IF($K4953="No Start (attainment only)",$P4953,0)</f>
        <v>0</v>
      </c>
    </row>
    <row r="4954" customFormat="false" ht="15" hidden="false" customHeight="false" outlineLevel="0" collapsed="false">
      <c r="A4954" s="60"/>
      <c r="B4954" s="61" t="str">
        <f aca="false">IF($M4954=0,"",INDEX(Classes!$E$6:$E$420,$M4954))</f>
        <v/>
      </c>
      <c r="C4954" s="62" t="str">
        <f aca="false">IF($M4954=0,"",INDEX(Classes!$H$6:$H$420,$M4954))</f>
        <v/>
      </c>
      <c r="D4954" s="61" t="str">
        <f aca="false">IF($M4954=0,"",INDEX(Classes!$B$6:$B$420,$M4954))</f>
        <v/>
      </c>
      <c r="E4954" s="61" t="str">
        <f aca="false">IF($M4954=0,"",INDEX(Classes!$C$6:$C$420,$M4954))</f>
        <v/>
      </c>
      <c r="F4954" s="63"/>
      <c r="G4954" s="63"/>
      <c r="H4954" s="60"/>
      <c r="I4954" s="60"/>
      <c r="J4954" s="63"/>
      <c r="K4954" s="61" t="str">
        <f aca="false">IF($P4954=0,"",IF($F4954="Baseline","— Baseline",IF($O4954=0,"No result",IF($N4954=0,"No Start (attainment only)",IF(OR($N4954=1,$O4954=1),"U – needs rule",INDEX(MxBody,MATCH($I4954,MxCurr,0),MATCH($H4954,MxStart,0)))))))</f>
        <v/>
      </c>
      <c r="L4954" s="62" t="str">
        <f aca="false">IF(COUNTA($A4954,$F4954,$G4954,$H4954,$I4954,$J4954)=0,"",IF($M4954=0,"✖ كود الصف غير موجود",IF(ISNA(MATCH($F4954,Lists!$A$2:$A$5,0)),"✖ الفترة غير صحيحة",IF(ISNA(MATCH($G4954,Lists!$B$2:$B$7,0)),"✖ المجموعة غير صحيحة",IF(NOT(OR($H4954="",$N4954&gt;0)),"✖ Start غير صحيح",IF(NOT(OR($I4954="",$I4954="NR",$O4954&gt;0)),"✖ Current غير صحيح",IF(NOT(IF(ISNUMBER($J4954),AND($J4954&gt;=0,$J4954=INT($J4954)),FALSE())),"✖ العدد يجب أن يكون صحيحًا ≥ 0",IF(AND($F4954="Baseline",$H4954&lt;&gt;""),"⚠ Baseline: Start لا يدخل في التقدم",IF($K4954="No Start (attainment only)","ℹ تحصيل فقط (بدون Start)",IF($K4954="U – needs rule","ℹ حالة U تحتاج قاعدة معتمدة",IF($K4954="No result","ℹ بدون نتيجة (يُستبعد من التحصيل)","OK")))))))))))</f>
        <v/>
      </c>
      <c r="M4954" s="64" t="n">
        <f aca="false">IF($A4954="",0,IFERROR(MATCH($A4954,Classes!$A$6:$A$420,0),0))</f>
        <v>0</v>
      </c>
      <c r="N4954" s="64" t="n">
        <f aca="false">IF($H4954="",0,IFERROR(MATCH($H4954,GradeList,0),0))</f>
        <v>0</v>
      </c>
      <c r="O4954" s="64" t="n">
        <f aca="false">IF(OR($I4954="",$I4954="NR"),0,IFERROR(MATCH($I4954,GradeList,0),0))</f>
        <v>0</v>
      </c>
      <c r="P4954" s="64" t="n">
        <f aca="false">IF(AND($M4954&gt;0,ISNUMBER(MATCH($F4954,Lists!$A$2:$A$5,0)),ISNUMBER(MATCH($G4954,Lists!$B$2:$B$7,0)),OR($H4954="",$N4954&gt;0),OR($I4954="",$I4954="NR",$O4954&gt;0),IF(ISNUMBER($J4954),AND($J4954&gt;=0,$J4954=INT($J4954)),FALSE())),$J4954,0)</f>
        <v>0</v>
      </c>
      <c r="Q4954" s="64" t="n">
        <f aca="false">IF(AND($P4954&gt;0,$O4954&gt;0),$P4954,0)</f>
        <v>0</v>
      </c>
      <c r="R4954" s="64" t="n">
        <f aca="false">IF(AND($Q4954&gt;0,$O4954&gt;=AtRank),$Q4954,0)</f>
        <v>0</v>
      </c>
      <c r="S4954" s="64" t="n">
        <f aca="false">IF(AND($Q4954&gt;0,$O4954&gt;=AboveRank),$Q4954,0)</f>
        <v>0</v>
      </c>
      <c r="T4954" s="64" t="n">
        <f aca="false">IF($K4954="Less",$P4954,0)</f>
        <v>0</v>
      </c>
      <c r="U4954" s="64" t="n">
        <f aca="false">IF($K4954="Expected",$P4954,0)</f>
        <v>0</v>
      </c>
      <c r="V4954" s="64" t="n">
        <f aca="false">IF($K4954="Better",$P4954,0)</f>
        <v>0</v>
      </c>
      <c r="W4954" s="64" t="n">
        <f aca="false">IF($K4954="U – needs rule",$P4954,0)</f>
        <v>0</v>
      </c>
      <c r="X4954" s="64" t="n">
        <f aca="false">IF($K4954="No Start (attainment only)",$P4954,0)</f>
        <v>0</v>
      </c>
    </row>
    <row r="4955" customFormat="false" ht="15" hidden="false" customHeight="false" outlineLevel="0" collapsed="false">
      <c r="A4955" s="60"/>
      <c r="B4955" s="61" t="str">
        <f aca="false">IF($M4955=0,"",INDEX(Classes!$E$6:$E$420,$M4955))</f>
        <v/>
      </c>
      <c r="C4955" s="62" t="str">
        <f aca="false">IF($M4955=0,"",INDEX(Classes!$H$6:$H$420,$M4955))</f>
        <v/>
      </c>
      <c r="D4955" s="61" t="str">
        <f aca="false">IF($M4955=0,"",INDEX(Classes!$B$6:$B$420,$M4955))</f>
        <v/>
      </c>
      <c r="E4955" s="61" t="str">
        <f aca="false">IF($M4955=0,"",INDEX(Classes!$C$6:$C$420,$M4955))</f>
        <v/>
      </c>
      <c r="F4955" s="63"/>
      <c r="G4955" s="63"/>
      <c r="H4955" s="60"/>
      <c r="I4955" s="60"/>
      <c r="J4955" s="63"/>
      <c r="K4955" s="61" t="str">
        <f aca="false">IF($P4955=0,"",IF($F4955="Baseline","— Baseline",IF($O4955=0,"No result",IF($N4955=0,"No Start (attainment only)",IF(OR($N4955=1,$O4955=1),"U – needs rule",INDEX(MxBody,MATCH($I4955,MxCurr,0),MATCH($H4955,MxStart,0)))))))</f>
        <v/>
      </c>
      <c r="L4955" s="62" t="str">
        <f aca="false">IF(COUNTA($A4955,$F4955,$G4955,$H4955,$I4955,$J4955)=0,"",IF($M4955=0,"✖ كود الصف غير موجود",IF(ISNA(MATCH($F4955,Lists!$A$2:$A$5,0)),"✖ الفترة غير صحيحة",IF(ISNA(MATCH($G4955,Lists!$B$2:$B$7,0)),"✖ المجموعة غير صحيحة",IF(NOT(OR($H4955="",$N4955&gt;0)),"✖ Start غير صحيح",IF(NOT(OR($I4955="",$I4955="NR",$O4955&gt;0)),"✖ Current غير صحيح",IF(NOT(IF(ISNUMBER($J4955),AND($J4955&gt;=0,$J4955=INT($J4955)),FALSE())),"✖ العدد يجب أن يكون صحيحًا ≥ 0",IF(AND($F4955="Baseline",$H4955&lt;&gt;""),"⚠ Baseline: Start لا يدخل في التقدم",IF($K4955="No Start (attainment only)","ℹ تحصيل فقط (بدون Start)",IF($K4955="U – needs rule","ℹ حالة U تحتاج قاعدة معتمدة",IF($K4955="No result","ℹ بدون نتيجة (يُستبعد من التحصيل)","OK")))))))))))</f>
        <v/>
      </c>
      <c r="M4955" s="64" t="n">
        <f aca="false">IF($A4955="",0,IFERROR(MATCH($A4955,Classes!$A$6:$A$420,0),0))</f>
        <v>0</v>
      </c>
      <c r="N4955" s="64" t="n">
        <f aca="false">IF($H4955="",0,IFERROR(MATCH($H4955,GradeList,0),0))</f>
        <v>0</v>
      </c>
      <c r="O4955" s="64" t="n">
        <f aca="false">IF(OR($I4955="",$I4955="NR"),0,IFERROR(MATCH($I4955,GradeList,0),0))</f>
        <v>0</v>
      </c>
      <c r="P4955" s="64" t="n">
        <f aca="false">IF(AND($M4955&gt;0,ISNUMBER(MATCH($F4955,Lists!$A$2:$A$5,0)),ISNUMBER(MATCH($G4955,Lists!$B$2:$B$7,0)),OR($H4955="",$N4955&gt;0),OR($I4955="",$I4955="NR",$O4955&gt;0),IF(ISNUMBER($J4955),AND($J4955&gt;=0,$J4955=INT($J4955)),FALSE())),$J4955,0)</f>
        <v>0</v>
      </c>
      <c r="Q4955" s="64" t="n">
        <f aca="false">IF(AND($P4955&gt;0,$O4955&gt;0),$P4955,0)</f>
        <v>0</v>
      </c>
      <c r="R4955" s="64" t="n">
        <f aca="false">IF(AND($Q4955&gt;0,$O4955&gt;=AtRank),$Q4955,0)</f>
        <v>0</v>
      </c>
      <c r="S4955" s="64" t="n">
        <f aca="false">IF(AND($Q4955&gt;0,$O4955&gt;=AboveRank),$Q4955,0)</f>
        <v>0</v>
      </c>
      <c r="T4955" s="64" t="n">
        <f aca="false">IF($K4955="Less",$P4955,0)</f>
        <v>0</v>
      </c>
      <c r="U4955" s="64" t="n">
        <f aca="false">IF($K4955="Expected",$P4955,0)</f>
        <v>0</v>
      </c>
      <c r="V4955" s="64" t="n">
        <f aca="false">IF($K4955="Better",$P4955,0)</f>
        <v>0</v>
      </c>
      <c r="W4955" s="64" t="n">
        <f aca="false">IF($K4955="U – needs rule",$P4955,0)</f>
        <v>0</v>
      </c>
      <c r="X4955" s="64" t="n">
        <f aca="false">IF($K4955="No Start (attainment only)",$P4955,0)</f>
        <v>0</v>
      </c>
    </row>
    <row r="4956" customFormat="false" ht="15" hidden="false" customHeight="false" outlineLevel="0" collapsed="false">
      <c r="A4956" s="60"/>
      <c r="B4956" s="61" t="str">
        <f aca="false">IF($M4956=0,"",INDEX(Classes!$E$6:$E$420,$M4956))</f>
        <v/>
      </c>
      <c r="C4956" s="62" t="str">
        <f aca="false">IF($M4956=0,"",INDEX(Classes!$H$6:$H$420,$M4956))</f>
        <v/>
      </c>
      <c r="D4956" s="61" t="str">
        <f aca="false">IF($M4956=0,"",INDEX(Classes!$B$6:$B$420,$M4956))</f>
        <v/>
      </c>
      <c r="E4956" s="61" t="str">
        <f aca="false">IF($M4956=0,"",INDEX(Classes!$C$6:$C$420,$M4956))</f>
        <v/>
      </c>
      <c r="F4956" s="63"/>
      <c r="G4956" s="63"/>
      <c r="H4956" s="60"/>
      <c r="I4956" s="60"/>
      <c r="J4956" s="63"/>
      <c r="K4956" s="61" t="str">
        <f aca="false">IF($P4956=0,"",IF($F4956="Baseline","— Baseline",IF($O4956=0,"No result",IF($N4956=0,"No Start (attainment only)",IF(OR($N4956=1,$O4956=1),"U – needs rule",INDEX(MxBody,MATCH($I4956,MxCurr,0),MATCH($H4956,MxStart,0)))))))</f>
        <v/>
      </c>
      <c r="L4956" s="62" t="str">
        <f aca="false">IF(COUNTA($A4956,$F4956,$G4956,$H4956,$I4956,$J4956)=0,"",IF($M4956=0,"✖ كود الصف غير موجود",IF(ISNA(MATCH($F4956,Lists!$A$2:$A$5,0)),"✖ الفترة غير صحيحة",IF(ISNA(MATCH($G4956,Lists!$B$2:$B$7,0)),"✖ المجموعة غير صحيحة",IF(NOT(OR($H4956="",$N4956&gt;0)),"✖ Start غير صحيح",IF(NOT(OR($I4956="",$I4956="NR",$O4956&gt;0)),"✖ Current غير صحيح",IF(NOT(IF(ISNUMBER($J4956),AND($J4956&gt;=0,$J4956=INT($J4956)),FALSE())),"✖ العدد يجب أن يكون صحيحًا ≥ 0",IF(AND($F4956="Baseline",$H4956&lt;&gt;""),"⚠ Baseline: Start لا يدخل في التقدم",IF($K4956="No Start (attainment only)","ℹ تحصيل فقط (بدون Start)",IF($K4956="U – needs rule","ℹ حالة U تحتاج قاعدة معتمدة",IF($K4956="No result","ℹ بدون نتيجة (يُستبعد من التحصيل)","OK")))))))))))</f>
        <v/>
      </c>
      <c r="M4956" s="64" t="n">
        <f aca="false">IF($A4956="",0,IFERROR(MATCH($A4956,Classes!$A$6:$A$420,0),0))</f>
        <v>0</v>
      </c>
      <c r="N4956" s="64" t="n">
        <f aca="false">IF($H4956="",0,IFERROR(MATCH($H4956,GradeList,0),0))</f>
        <v>0</v>
      </c>
      <c r="O4956" s="64" t="n">
        <f aca="false">IF(OR($I4956="",$I4956="NR"),0,IFERROR(MATCH($I4956,GradeList,0),0))</f>
        <v>0</v>
      </c>
      <c r="P4956" s="64" t="n">
        <f aca="false">IF(AND($M4956&gt;0,ISNUMBER(MATCH($F4956,Lists!$A$2:$A$5,0)),ISNUMBER(MATCH($G4956,Lists!$B$2:$B$7,0)),OR($H4956="",$N4956&gt;0),OR($I4956="",$I4956="NR",$O4956&gt;0),IF(ISNUMBER($J4956),AND($J4956&gt;=0,$J4956=INT($J4956)),FALSE())),$J4956,0)</f>
        <v>0</v>
      </c>
      <c r="Q4956" s="64" t="n">
        <f aca="false">IF(AND($P4956&gt;0,$O4956&gt;0),$P4956,0)</f>
        <v>0</v>
      </c>
      <c r="R4956" s="64" t="n">
        <f aca="false">IF(AND($Q4956&gt;0,$O4956&gt;=AtRank),$Q4956,0)</f>
        <v>0</v>
      </c>
      <c r="S4956" s="64" t="n">
        <f aca="false">IF(AND($Q4956&gt;0,$O4956&gt;=AboveRank),$Q4956,0)</f>
        <v>0</v>
      </c>
      <c r="T4956" s="64" t="n">
        <f aca="false">IF($K4956="Less",$P4956,0)</f>
        <v>0</v>
      </c>
      <c r="U4956" s="64" t="n">
        <f aca="false">IF($K4956="Expected",$P4956,0)</f>
        <v>0</v>
      </c>
      <c r="V4956" s="64" t="n">
        <f aca="false">IF($K4956="Better",$P4956,0)</f>
        <v>0</v>
      </c>
      <c r="W4956" s="64" t="n">
        <f aca="false">IF($K4956="U – needs rule",$P4956,0)</f>
        <v>0</v>
      </c>
      <c r="X4956" s="64" t="n">
        <f aca="false">IF($K4956="No Start (attainment only)",$P4956,0)</f>
        <v>0</v>
      </c>
    </row>
    <row r="4957" customFormat="false" ht="15" hidden="false" customHeight="false" outlineLevel="0" collapsed="false">
      <c r="A4957" s="60"/>
      <c r="B4957" s="61" t="str">
        <f aca="false">IF($M4957=0,"",INDEX(Classes!$E$6:$E$420,$M4957))</f>
        <v/>
      </c>
      <c r="C4957" s="62" t="str">
        <f aca="false">IF($M4957=0,"",INDEX(Classes!$H$6:$H$420,$M4957))</f>
        <v/>
      </c>
      <c r="D4957" s="61" t="str">
        <f aca="false">IF($M4957=0,"",INDEX(Classes!$B$6:$B$420,$M4957))</f>
        <v/>
      </c>
      <c r="E4957" s="61" t="str">
        <f aca="false">IF($M4957=0,"",INDEX(Classes!$C$6:$C$420,$M4957))</f>
        <v/>
      </c>
      <c r="F4957" s="63"/>
      <c r="G4957" s="63"/>
      <c r="H4957" s="60"/>
      <c r="I4957" s="60"/>
      <c r="J4957" s="63"/>
      <c r="K4957" s="61" t="str">
        <f aca="false">IF($P4957=0,"",IF($F4957="Baseline","— Baseline",IF($O4957=0,"No result",IF($N4957=0,"No Start (attainment only)",IF(OR($N4957=1,$O4957=1),"U – needs rule",INDEX(MxBody,MATCH($I4957,MxCurr,0),MATCH($H4957,MxStart,0)))))))</f>
        <v/>
      </c>
      <c r="L4957" s="62" t="str">
        <f aca="false">IF(COUNTA($A4957,$F4957,$G4957,$H4957,$I4957,$J4957)=0,"",IF($M4957=0,"✖ كود الصف غير موجود",IF(ISNA(MATCH($F4957,Lists!$A$2:$A$5,0)),"✖ الفترة غير صحيحة",IF(ISNA(MATCH($G4957,Lists!$B$2:$B$7,0)),"✖ المجموعة غير صحيحة",IF(NOT(OR($H4957="",$N4957&gt;0)),"✖ Start غير صحيح",IF(NOT(OR($I4957="",$I4957="NR",$O4957&gt;0)),"✖ Current غير صحيح",IF(NOT(IF(ISNUMBER($J4957),AND($J4957&gt;=0,$J4957=INT($J4957)),FALSE())),"✖ العدد يجب أن يكون صحيحًا ≥ 0",IF(AND($F4957="Baseline",$H4957&lt;&gt;""),"⚠ Baseline: Start لا يدخل في التقدم",IF($K4957="No Start (attainment only)","ℹ تحصيل فقط (بدون Start)",IF($K4957="U – needs rule","ℹ حالة U تحتاج قاعدة معتمدة",IF($K4957="No result","ℹ بدون نتيجة (يُستبعد من التحصيل)","OK")))))))))))</f>
        <v/>
      </c>
      <c r="M4957" s="64" t="n">
        <f aca="false">IF($A4957="",0,IFERROR(MATCH($A4957,Classes!$A$6:$A$420,0),0))</f>
        <v>0</v>
      </c>
      <c r="N4957" s="64" t="n">
        <f aca="false">IF($H4957="",0,IFERROR(MATCH($H4957,GradeList,0),0))</f>
        <v>0</v>
      </c>
      <c r="O4957" s="64" t="n">
        <f aca="false">IF(OR($I4957="",$I4957="NR"),0,IFERROR(MATCH($I4957,GradeList,0),0))</f>
        <v>0</v>
      </c>
      <c r="P4957" s="64" t="n">
        <f aca="false">IF(AND($M4957&gt;0,ISNUMBER(MATCH($F4957,Lists!$A$2:$A$5,0)),ISNUMBER(MATCH($G4957,Lists!$B$2:$B$7,0)),OR($H4957="",$N4957&gt;0),OR($I4957="",$I4957="NR",$O4957&gt;0),IF(ISNUMBER($J4957),AND($J4957&gt;=0,$J4957=INT($J4957)),FALSE())),$J4957,0)</f>
        <v>0</v>
      </c>
      <c r="Q4957" s="64" t="n">
        <f aca="false">IF(AND($P4957&gt;0,$O4957&gt;0),$P4957,0)</f>
        <v>0</v>
      </c>
      <c r="R4957" s="64" t="n">
        <f aca="false">IF(AND($Q4957&gt;0,$O4957&gt;=AtRank),$Q4957,0)</f>
        <v>0</v>
      </c>
      <c r="S4957" s="64" t="n">
        <f aca="false">IF(AND($Q4957&gt;0,$O4957&gt;=AboveRank),$Q4957,0)</f>
        <v>0</v>
      </c>
      <c r="T4957" s="64" t="n">
        <f aca="false">IF($K4957="Less",$P4957,0)</f>
        <v>0</v>
      </c>
      <c r="U4957" s="64" t="n">
        <f aca="false">IF($K4957="Expected",$P4957,0)</f>
        <v>0</v>
      </c>
      <c r="V4957" s="64" t="n">
        <f aca="false">IF($K4957="Better",$P4957,0)</f>
        <v>0</v>
      </c>
      <c r="W4957" s="64" t="n">
        <f aca="false">IF($K4957="U – needs rule",$P4957,0)</f>
        <v>0</v>
      </c>
      <c r="X4957" s="64" t="n">
        <f aca="false">IF($K4957="No Start (attainment only)",$P4957,0)</f>
        <v>0</v>
      </c>
    </row>
    <row r="4958" customFormat="false" ht="15" hidden="false" customHeight="false" outlineLevel="0" collapsed="false">
      <c r="A4958" s="60"/>
      <c r="B4958" s="61" t="str">
        <f aca="false">IF($M4958=0,"",INDEX(Classes!$E$6:$E$420,$M4958))</f>
        <v/>
      </c>
      <c r="C4958" s="62" t="str">
        <f aca="false">IF($M4958=0,"",INDEX(Classes!$H$6:$H$420,$M4958))</f>
        <v/>
      </c>
      <c r="D4958" s="61" t="str">
        <f aca="false">IF($M4958=0,"",INDEX(Classes!$B$6:$B$420,$M4958))</f>
        <v/>
      </c>
      <c r="E4958" s="61" t="str">
        <f aca="false">IF($M4958=0,"",INDEX(Classes!$C$6:$C$420,$M4958))</f>
        <v/>
      </c>
      <c r="F4958" s="63"/>
      <c r="G4958" s="63"/>
      <c r="H4958" s="60"/>
      <c r="I4958" s="60"/>
      <c r="J4958" s="63"/>
      <c r="K4958" s="61" t="str">
        <f aca="false">IF($P4958=0,"",IF($F4958="Baseline","— Baseline",IF($O4958=0,"No result",IF($N4958=0,"No Start (attainment only)",IF(OR($N4958=1,$O4958=1),"U – needs rule",INDEX(MxBody,MATCH($I4958,MxCurr,0),MATCH($H4958,MxStart,0)))))))</f>
        <v/>
      </c>
      <c r="L4958" s="62" t="str">
        <f aca="false">IF(COUNTA($A4958,$F4958,$G4958,$H4958,$I4958,$J4958)=0,"",IF($M4958=0,"✖ كود الصف غير موجود",IF(ISNA(MATCH($F4958,Lists!$A$2:$A$5,0)),"✖ الفترة غير صحيحة",IF(ISNA(MATCH($G4958,Lists!$B$2:$B$7,0)),"✖ المجموعة غير صحيحة",IF(NOT(OR($H4958="",$N4958&gt;0)),"✖ Start غير صحيح",IF(NOT(OR($I4958="",$I4958="NR",$O4958&gt;0)),"✖ Current غير صحيح",IF(NOT(IF(ISNUMBER($J4958),AND($J4958&gt;=0,$J4958=INT($J4958)),FALSE())),"✖ العدد يجب أن يكون صحيحًا ≥ 0",IF(AND($F4958="Baseline",$H4958&lt;&gt;""),"⚠ Baseline: Start لا يدخل في التقدم",IF($K4958="No Start (attainment only)","ℹ تحصيل فقط (بدون Start)",IF($K4958="U – needs rule","ℹ حالة U تحتاج قاعدة معتمدة",IF($K4958="No result","ℹ بدون نتيجة (يُستبعد من التحصيل)","OK")))))))))))</f>
        <v/>
      </c>
      <c r="M4958" s="64" t="n">
        <f aca="false">IF($A4958="",0,IFERROR(MATCH($A4958,Classes!$A$6:$A$420,0),0))</f>
        <v>0</v>
      </c>
      <c r="N4958" s="64" t="n">
        <f aca="false">IF($H4958="",0,IFERROR(MATCH($H4958,GradeList,0),0))</f>
        <v>0</v>
      </c>
      <c r="O4958" s="64" t="n">
        <f aca="false">IF(OR($I4958="",$I4958="NR"),0,IFERROR(MATCH($I4958,GradeList,0),0))</f>
        <v>0</v>
      </c>
      <c r="P4958" s="64" t="n">
        <f aca="false">IF(AND($M4958&gt;0,ISNUMBER(MATCH($F4958,Lists!$A$2:$A$5,0)),ISNUMBER(MATCH($G4958,Lists!$B$2:$B$7,0)),OR($H4958="",$N4958&gt;0),OR($I4958="",$I4958="NR",$O4958&gt;0),IF(ISNUMBER($J4958),AND($J4958&gt;=0,$J4958=INT($J4958)),FALSE())),$J4958,0)</f>
        <v>0</v>
      </c>
      <c r="Q4958" s="64" t="n">
        <f aca="false">IF(AND($P4958&gt;0,$O4958&gt;0),$P4958,0)</f>
        <v>0</v>
      </c>
      <c r="R4958" s="64" t="n">
        <f aca="false">IF(AND($Q4958&gt;0,$O4958&gt;=AtRank),$Q4958,0)</f>
        <v>0</v>
      </c>
      <c r="S4958" s="64" t="n">
        <f aca="false">IF(AND($Q4958&gt;0,$O4958&gt;=AboveRank),$Q4958,0)</f>
        <v>0</v>
      </c>
      <c r="T4958" s="64" t="n">
        <f aca="false">IF($K4958="Less",$P4958,0)</f>
        <v>0</v>
      </c>
      <c r="U4958" s="64" t="n">
        <f aca="false">IF($K4958="Expected",$P4958,0)</f>
        <v>0</v>
      </c>
      <c r="V4958" s="64" t="n">
        <f aca="false">IF($K4958="Better",$P4958,0)</f>
        <v>0</v>
      </c>
      <c r="W4958" s="64" t="n">
        <f aca="false">IF($K4958="U – needs rule",$P4958,0)</f>
        <v>0</v>
      </c>
      <c r="X4958" s="64" t="n">
        <f aca="false">IF($K4958="No Start (attainment only)",$P4958,0)</f>
        <v>0</v>
      </c>
    </row>
    <row r="4959" customFormat="false" ht="15" hidden="false" customHeight="false" outlineLevel="0" collapsed="false">
      <c r="A4959" s="60"/>
      <c r="B4959" s="61" t="str">
        <f aca="false">IF($M4959=0,"",INDEX(Classes!$E$6:$E$420,$M4959))</f>
        <v/>
      </c>
      <c r="C4959" s="62" t="str">
        <f aca="false">IF($M4959=0,"",INDEX(Classes!$H$6:$H$420,$M4959))</f>
        <v/>
      </c>
      <c r="D4959" s="61" t="str">
        <f aca="false">IF($M4959=0,"",INDEX(Classes!$B$6:$B$420,$M4959))</f>
        <v/>
      </c>
      <c r="E4959" s="61" t="str">
        <f aca="false">IF($M4959=0,"",INDEX(Classes!$C$6:$C$420,$M4959))</f>
        <v/>
      </c>
      <c r="F4959" s="63"/>
      <c r="G4959" s="63"/>
      <c r="H4959" s="60"/>
      <c r="I4959" s="60"/>
      <c r="J4959" s="63"/>
      <c r="K4959" s="61" t="str">
        <f aca="false">IF($P4959=0,"",IF($F4959="Baseline","— Baseline",IF($O4959=0,"No result",IF($N4959=0,"No Start (attainment only)",IF(OR($N4959=1,$O4959=1),"U – needs rule",INDEX(MxBody,MATCH($I4959,MxCurr,0),MATCH($H4959,MxStart,0)))))))</f>
        <v/>
      </c>
      <c r="L4959" s="62" t="str">
        <f aca="false">IF(COUNTA($A4959,$F4959,$G4959,$H4959,$I4959,$J4959)=0,"",IF($M4959=0,"✖ كود الصف غير موجود",IF(ISNA(MATCH($F4959,Lists!$A$2:$A$5,0)),"✖ الفترة غير صحيحة",IF(ISNA(MATCH($G4959,Lists!$B$2:$B$7,0)),"✖ المجموعة غير صحيحة",IF(NOT(OR($H4959="",$N4959&gt;0)),"✖ Start غير صحيح",IF(NOT(OR($I4959="",$I4959="NR",$O4959&gt;0)),"✖ Current غير صحيح",IF(NOT(IF(ISNUMBER($J4959),AND($J4959&gt;=0,$J4959=INT($J4959)),FALSE())),"✖ العدد يجب أن يكون صحيحًا ≥ 0",IF(AND($F4959="Baseline",$H4959&lt;&gt;""),"⚠ Baseline: Start لا يدخل في التقدم",IF($K4959="No Start (attainment only)","ℹ تحصيل فقط (بدون Start)",IF($K4959="U – needs rule","ℹ حالة U تحتاج قاعدة معتمدة",IF($K4959="No result","ℹ بدون نتيجة (يُستبعد من التحصيل)","OK")))))))))))</f>
        <v/>
      </c>
      <c r="M4959" s="64" t="n">
        <f aca="false">IF($A4959="",0,IFERROR(MATCH($A4959,Classes!$A$6:$A$420,0),0))</f>
        <v>0</v>
      </c>
      <c r="N4959" s="64" t="n">
        <f aca="false">IF($H4959="",0,IFERROR(MATCH($H4959,GradeList,0),0))</f>
        <v>0</v>
      </c>
      <c r="O4959" s="64" t="n">
        <f aca="false">IF(OR($I4959="",$I4959="NR"),0,IFERROR(MATCH($I4959,GradeList,0),0))</f>
        <v>0</v>
      </c>
      <c r="P4959" s="64" t="n">
        <f aca="false">IF(AND($M4959&gt;0,ISNUMBER(MATCH($F4959,Lists!$A$2:$A$5,0)),ISNUMBER(MATCH($G4959,Lists!$B$2:$B$7,0)),OR($H4959="",$N4959&gt;0),OR($I4959="",$I4959="NR",$O4959&gt;0),IF(ISNUMBER($J4959),AND($J4959&gt;=0,$J4959=INT($J4959)),FALSE())),$J4959,0)</f>
        <v>0</v>
      </c>
      <c r="Q4959" s="64" t="n">
        <f aca="false">IF(AND($P4959&gt;0,$O4959&gt;0),$P4959,0)</f>
        <v>0</v>
      </c>
      <c r="R4959" s="64" t="n">
        <f aca="false">IF(AND($Q4959&gt;0,$O4959&gt;=AtRank),$Q4959,0)</f>
        <v>0</v>
      </c>
      <c r="S4959" s="64" t="n">
        <f aca="false">IF(AND($Q4959&gt;0,$O4959&gt;=AboveRank),$Q4959,0)</f>
        <v>0</v>
      </c>
      <c r="T4959" s="64" t="n">
        <f aca="false">IF($K4959="Less",$P4959,0)</f>
        <v>0</v>
      </c>
      <c r="U4959" s="64" t="n">
        <f aca="false">IF($K4959="Expected",$P4959,0)</f>
        <v>0</v>
      </c>
      <c r="V4959" s="64" t="n">
        <f aca="false">IF($K4959="Better",$P4959,0)</f>
        <v>0</v>
      </c>
      <c r="W4959" s="64" t="n">
        <f aca="false">IF($K4959="U – needs rule",$P4959,0)</f>
        <v>0</v>
      </c>
      <c r="X4959" s="64" t="n">
        <f aca="false">IF($K4959="No Start (attainment only)",$P4959,0)</f>
        <v>0</v>
      </c>
    </row>
    <row r="4960" customFormat="false" ht="15" hidden="false" customHeight="false" outlineLevel="0" collapsed="false">
      <c r="A4960" s="60"/>
      <c r="B4960" s="61" t="str">
        <f aca="false">IF($M4960=0,"",INDEX(Classes!$E$6:$E$420,$M4960))</f>
        <v/>
      </c>
      <c r="C4960" s="62" t="str">
        <f aca="false">IF($M4960=0,"",INDEX(Classes!$H$6:$H$420,$M4960))</f>
        <v/>
      </c>
      <c r="D4960" s="61" t="str">
        <f aca="false">IF($M4960=0,"",INDEX(Classes!$B$6:$B$420,$M4960))</f>
        <v/>
      </c>
      <c r="E4960" s="61" t="str">
        <f aca="false">IF($M4960=0,"",INDEX(Classes!$C$6:$C$420,$M4960))</f>
        <v/>
      </c>
      <c r="F4960" s="63"/>
      <c r="G4960" s="63"/>
      <c r="H4960" s="60"/>
      <c r="I4960" s="60"/>
      <c r="J4960" s="63"/>
      <c r="K4960" s="61" t="str">
        <f aca="false">IF($P4960=0,"",IF($F4960="Baseline","— Baseline",IF($O4960=0,"No result",IF($N4960=0,"No Start (attainment only)",IF(OR($N4960=1,$O4960=1),"U – needs rule",INDEX(MxBody,MATCH($I4960,MxCurr,0),MATCH($H4960,MxStart,0)))))))</f>
        <v/>
      </c>
      <c r="L4960" s="62" t="str">
        <f aca="false">IF(COUNTA($A4960,$F4960,$G4960,$H4960,$I4960,$J4960)=0,"",IF($M4960=0,"✖ كود الصف غير موجود",IF(ISNA(MATCH($F4960,Lists!$A$2:$A$5,0)),"✖ الفترة غير صحيحة",IF(ISNA(MATCH($G4960,Lists!$B$2:$B$7,0)),"✖ المجموعة غير صحيحة",IF(NOT(OR($H4960="",$N4960&gt;0)),"✖ Start غير صحيح",IF(NOT(OR($I4960="",$I4960="NR",$O4960&gt;0)),"✖ Current غير صحيح",IF(NOT(IF(ISNUMBER($J4960),AND($J4960&gt;=0,$J4960=INT($J4960)),FALSE())),"✖ العدد يجب أن يكون صحيحًا ≥ 0",IF(AND($F4960="Baseline",$H4960&lt;&gt;""),"⚠ Baseline: Start لا يدخل في التقدم",IF($K4960="No Start (attainment only)","ℹ تحصيل فقط (بدون Start)",IF($K4960="U – needs rule","ℹ حالة U تحتاج قاعدة معتمدة",IF($K4960="No result","ℹ بدون نتيجة (يُستبعد من التحصيل)","OK")))))))))))</f>
        <v/>
      </c>
      <c r="M4960" s="64" t="n">
        <f aca="false">IF($A4960="",0,IFERROR(MATCH($A4960,Classes!$A$6:$A$420,0),0))</f>
        <v>0</v>
      </c>
      <c r="N4960" s="64" t="n">
        <f aca="false">IF($H4960="",0,IFERROR(MATCH($H4960,GradeList,0),0))</f>
        <v>0</v>
      </c>
      <c r="O4960" s="64" t="n">
        <f aca="false">IF(OR($I4960="",$I4960="NR"),0,IFERROR(MATCH($I4960,GradeList,0),0))</f>
        <v>0</v>
      </c>
      <c r="P4960" s="64" t="n">
        <f aca="false">IF(AND($M4960&gt;0,ISNUMBER(MATCH($F4960,Lists!$A$2:$A$5,0)),ISNUMBER(MATCH($G4960,Lists!$B$2:$B$7,0)),OR($H4960="",$N4960&gt;0),OR($I4960="",$I4960="NR",$O4960&gt;0),IF(ISNUMBER($J4960),AND($J4960&gt;=0,$J4960=INT($J4960)),FALSE())),$J4960,0)</f>
        <v>0</v>
      </c>
      <c r="Q4960" s="64" t="n">
        <f aca="false">IF(AND($P4960&gt;0,$O4960&gt;0),$P4960,0)</f>
        <v>0</v>
      </c>
      <c r="R4960" s="64" t="n">
        <f aca="false">IF(AND($Q4960&gt;0,$O4960&gt;=AtRank),$Q4960,0)</f>
        <v>0</v>
      </c>
      <c r="S4960" s="64" t="n">
        <f aca="false">IF(AND($Q4960&gt;0,$O4960&gt;=AboveRank),$Q4960,0)</f>
        <v>0</v>
      </c>
      <c r="T4960" s="64" t="n">
        <f aca="false">IF($K4960="Less",$P4960,0)</f>
        <v>0</v>
      </c>
      <c r="U4960" s="64" t="n">
        <f aca="false">IF($K4960="Expected",$P4960,0)</f>
        <v>0</v>
      </c>
      <c r="V4960" s="64" t="n">
        <f aca="false">IF($K4960="Better",$P4960,0)</f>
        <v>0</v>
      </c>
      <c r="W4960" s="64" t="n">
        <f aca="false">IF($K4960="U – needs rule",$P4960,0)</f>
        <v>0</v>
      </c>
      <c r="X4960" s="64" t="n">
        <f aca="false">IF($K4960="No Start (attainment only)",$P4960,0)</f>
        <v>0</v>
      </c>
    </row>
    <row r="4961" customFormat="false" ht="15" hidden="false" customHeight="false" outlineLevel="0" collapsed="false">
      <c r="A4961" s="60"/>
      <c r="B4961" s="61" t="str">
        <f aca="false">IF($M4961=0,"",INDEX(Classes!$E$6:$E$420,$M4961))</f>
        <v/>
      </c>
      <c r="C4961" s="62" t="str">
        <f aca="false">IF($M4961=0,"",INDEX(Classes!$H$6:$H$420,$M4961))</f>
        <v/>
      </c>
      <c r="D4961" s="61" t="str">
        <f aca="false">IF($M4961=0,"",INDEX(Classes!$B$6:$B$420,$M4961))</f>
        <v/>
      </c>
      <c r="E4961" s="61" t="str">
        <f aca="false">IF($M4961=0,"",INDEX(Classes!$C$6:$C$420,$M4961))</f>
        <v/>
      </c>
      <c r="F4961" s="63"/>
      <c r="G4961" s="63"/>
      <c r="H4961" s="60"/>
      <c r="I4961" s="60"/>
      <c r="J4961" s="63"/>
      <c r="K4961" s="61" t="str">
        <f aca="false">IF($P4961=0,"",IF($F4961="Baseline","— Baseline",IF($O4961=0,"No result",IF($N4961=0,"No Start (attainment only)",IF(OR($N4961=1,$O4961=1),"U – needs rule",INDEX(MxBody,MATCH($I4961,MxCurr,0),MATCH($H4961,MxStart,0)))))))</f>
        <v/>
      </c>
      <c r="L4961" s="62" t="str">
        <f aca="false">IF(COUNTA($A4961,$F4961,$G4961,$H4961,$I4961,$J4961)=0,"",IF($M4961=0,"✖ كود الصف غير موجود",IF(ISNA(MATCH($F4961,Lists!$A$2:$A$5,0)),"✖ الفترة غير صحيحة",IF(ISNA(MATCH($G4961,Lists!$B$2:$B$7,0)),"✖ المجموعة غير صحيحة",IF(NOT(OR($H4961="",$N4961&gt;0)),"✖ Start غير صحيح",IF(NOT(OR($I4961="",$I4961="NR",$O4961&gt;0)),"✖ Current غير صحيح",IF(NOT(IF(ISNUMBER($J4961),AND($J4961&gt;=0,$J4961=INT($J4961)),FALSE())),"✖ العدد يجب أن يكون صحيحًا ≥ 0",IF(AND($F4961="Baseline",$H4961&lt;&gt;""),"⚠ Baseline: Start لا يدخل في التقدم",IF($K4961="No Start (attainment only)","ℹ تحصيل فقط (بدون Start)",IF($K4961="U – needs rule","ℹ حالة U تحتاج قاعدة معتمدة",IF($K4961="No result","ℹ بدون نتيجة (يُستبعد من التحصيل)","OK")))))))))))</f>
        <v/>
      </c>
      <c r="M4961" s="64" t="n">
        <f aca="false">IF($A4961="",0,IFERROR(MATCH($A4961,Classes!$A$6:$A$420,0),0))</f>
        <v>0</v>
      </c>
      <c r="N4961" s="64" t="n">
        <f aca="false">IF($H4961="",0,IFERROR(MATCH($H4961,GradeList,0),0))</f>
        <v>0</v>
      </c>
      <c r="O4961" s="64" t="n">
        <f aca="false">IF(OR($I4961="",$I4961="NR"),0,IFERROR(MATCH($I4961,GradeList,0),0))</f>
        <v>0</v>
      </c>
      <c r="P4961" s="64" t="n">
        <f aca="false">IF(AND($M4961&gt;0,ISNUMBER(MATCH($F4961,Lists!$A$2:$A$5,0)),ISNUMBER(MATCH($G4961,Lists!$B$2:$B$7,0)),OR($H4961="",$N4961&gt;0),OR($I4961="",$I4961="NR",$O4961&gt;0),IF(ISNUMBER($J4961),AND($J4961&gt;=0,$J4961=INT($J4961)),FALSE())),$J4961,0)</f>
        <v>0</v>
      </c>
      <c r="Q4961" s="64" t="n">
        <f aca="false">IF(AND($P4961&gt;0,$O4961&gt;0),$P4961,0)</f>
        <v>0</v>
      </c>
      <c r="R4961" s="64" t="n">
        <f aca="false">IF(AND($Q4961&gt;0,$O4961&gt;=AtRank),$Q4961,0)</f>
        <v>0</v>
      </c>
      <c r="S4961" s="64" t="n">
        <f aca="false">IF(AND($Q4961&gt;0,$O4961&gt;=AboveRank),$Q4961,0)</f>
        <v>0</v>
      </c>
      <c r="T4961" s="64" t="n">
        <f aca="false">IF($K4961="Less",$P4961,0)</f>
        <v>0</v>
      </c>
      <c r="U4961" s="64" t="n">
        <f aca="false">IF($K4961="Expected",$P4961,0)</f>
        <v>0</v>
      </c>
      <c r="V4961" s="64" t="n">
        <f aca="false">IF($K4961="Better",$P4961,0)</f>
        <v>0</v>
      </c>
      <c r="W4961" s="64" t="n">
        <f aca="false">IF($K4961="U – needs rule",$P4961,0)</f>
        <v>0</v>
      </c>
      <c r="X4961" s="64" t="n">
        <f aca="false">IF($K4961="No Start (attainment only)",$P4961,0)</f>
        <v>0</v>
      </c>
    </row>
    <row r="4962" customFormat="false" ht="15" hidden="false" customHeight="false" outlineLevel="0" collapsed="false">
      <c r="A4962" s="60"/>
      <c r="B4962" s="61" t="str">
        <f aca="false">IF($M4962=0,"",INDEX(Classes!$E$6:$E$420,$M4962))</f>
        <v/>
      </c>
      <c r="C4962" s="62" t="str">
        <f aca="false">IF($M4962=0,"",INDEX(Classes!$H$6:$H$420,$M4962))</f>
        <v/>
      </c>
      <c r="D4962" s="61" t="str">
        <f aca="false">IF($M4962=0,"",INDEX(Classes!$B$6:$B$420,$M4962))</f>
        <v/>
      </c>
      <c r="E4962" s="61" t="str">
        <f aca="false">IF($M4962=0,"",INDEX(Classes!$C$6:$C$420,$M4962))</f>
        <v/>
      </c>
      <c r="F4962" s="63"/>
      <c r="G4962" s="63"/>
      <c r="H4962" s="60"/>
      <c r="I4962" s="60"/>
      <c r="J4962" s="63"/>
      <c r="K4962" s="61" t="str">
        <f aca="false">IF($P4962=0,"",IF($F4962="Baseline","— Baseline",IF($O4962=0,"No result",IF($N4962=0,"No Start (attainment only)",IF(OR($N4962=1,$O4962=1),"U – needs rule",INDEX(MxBody,MATCH($I4962,MxCurr,0),MATCH($H4962,MxStart,0)))))))</f>
        <v/>
      </c>
      <c r="L4962" s="62" t="str">
        <f aca="false">IF(COUNTA($A4962,$F4962,$G4962,$H4962,$I4962,$J4962)=0,"",IF($M4962=0,"✖ كود الصف غير موجود",IF(ISNA(MATCH($F4962,Lists!$A$2:$A$5,0)),"✖ الفترة غير صحيحة",IF(ISNA(MATCH($G4962,Lists!$B$2:$B$7,0)),"✖ المجموعة غير صحيحة",IF(NOT(OR($H4962="",$N4962&gt;0)),"✖ Start غير صحيح",IF(NOT(OR($I4962="",$I4962="NR",$O4962&gt;0)),"✖ Current غير صحيح",IF(NOT(IF(ISNUMBER($J4962),AND($J4962&gt;=0,$J4962=INT($J4962)),FALSE())),"✖ العدد يجب أن يكون صحيحًا ≥ 0",IF(AND($F4962="Baseline",$H4962&lt;&gt;""),"⚠ Baseline: Start لا يدخل في التقدم",IF($K4962="No Start (attainment only)","ℹ تحصيل فقط (بدون Start)",IF($K4962="U – needs rule","ℹ حالة U تحتاج قاعدة معتمدة",IF($K4962="No result","ℹ بدون نتيجة (يُستبعد من التحصيل)","OK")))))))))))</f>
        <v/>
      </c>
      <c r="M4962" s="64" t="n">
        <f aca="false">IF($A4962="",0,IFERROR(MATCH($A4962,Classes!$A$6:$A$420,0),0))</f>
        <v>0</v>
      </c>
      <c r="N4962" s="64" t="n">
        <f aca="false">IF($H4962="",0,IFERROR(MATCH($H4962,GradeList,0),0))</f>
        <v>0</v>
      </c>
      <c r="O4962" s="64" t="n">
        <f aca="false">IF(OR($I4962="",$I4962="NR"),0,IFERROR(MATCH($I4962,GradeList,0),0))</f>
        <v>0</v>
      </c>
      <c r="P4962" s="64" t="n">
        <f aca="false">IF(AND($M4962&gt;0,ISNUMBER(MATCH($F4962,Lists!$A$2:$A$5,0)),ISNUMBER(MATCH($G4962,Lists!$B$2:$B$7,0)),OR($H4962="",$N4962&gt;0),OR($I4962="",$I4962="NR",$O4962&gt;0),IF(ISNUMBER($J4962),AND($J4962&gt;=0,$J4962=INT($J4962)),FALSE())),$J4962,0)</f>
        <v>0</v>
      </c>
      <c r="Q4962" s="64" t="n">
        <f aca="false">IF(AND($P4962&gt;0,$O4962&gt;0),$P4962,0)</f>
        <v>0</v>
      </c>
      <c r="R4962" s="64" t="n">
        <f aca="false">IF(AND($Q4962&gt;0,$O4962&gt;=AtRank),$Q4962,0)</f>
        <v>0</v>
      </c>
      <c r="S4962" s="64" t="n">
        <f aca="false">IF(AND($Q4962&gt;0,$O4962&gt;=AboveRank),$Q4962,0)</f>
        <v>0</v>
      </c>
      <c r="T4962" s="64" t="n">
        <f aca="false">IF($K4962="Less",$P4962,0)</f>
        <v>0</v>
      </c>
      <c r="U4962" s="64" t="n">
        <f aca="false">IF($K4962="Expected",$P4962,0)</f>
        <v>0</v>
      </c>
      <c r="V4962" s="64" t="n">
        <f aca="false">IF($K4962="Better",$P4962,0)</f>
        <v>0</v>
      </c>
      <c r="W4962" s="64" t="n">
        <f aca="false">IF($K4962="U – needs rule",$P4962,0)</f>
        <v>0</v>
      </c>
      <c r="X4962" s="64" t="n">
        <f aca="false">IF($K4962="No Start (attainment only)",$P4962,0)</f>
        <v>0</v>
      </c>
    </row>
    <row r="4963" customFormat="false" ht="15" hidden="false" customHeight="false" outlineLevel="0" collapsed="false">
      <c r="A4963" s="60"/>
      <c r="B4963" s="61" t="str">
        <f aca="false">IF($M4963=0,"",INDEX(Classes!$E$6:$E$420,$M4963))</f>
        <v/>
      </c>
      <c r="C4963" s="62" t="str">
        <f aca="false">IF($M4963=0,"",INDEX(Classes!$H$6:$H$420,$M4963))</f>
        <v/>
      </c>
      <c r="D4963" s="61" t="str">
        <f aca="false">IF($M4963=0,"",INDEX(Classes!$B$6:$B$420,$M4963))</f>
        <v/>
      </c>
      <c r="E4963" s="61" t="str">
        <f aca="false">IF($M4963=0,"",INDEX(Classes!$C$6:$C$420,$M4963))</f>
        <v/>
      </c>
      <c r="F4963" s="63"/>
      <c r="G4963" s="63"/>
      <c r="H4963" s="60"/>
      <c r="I4963" s="60"/>
      <c r="J4963" s="63"/>
      <c r="K4963" s="61" t="str">
        <f aca="false">IF($P4963=0,"",IF($F4963="Baseline","— Baseline",IF($O4963=0,"No result",IF($N4963=0,"No Start (attainment only)",IF(OR($N4963=1,$O4963=1),"U – needs rule",INDEX(MxBody,MATCH($I4963,MxCurr,0),MATCH($H4963,MxStart,0)))))))</f>
        <v/>
      </c>
      <c r="L4963" s="62" t="str">
        <f aca="false">IF(COUNTA($A4963,$F4963,$G4963,$H4963,$I4963,$J4963)=0,"",IF($M4963=0,"✖ كود الصف غير موجود",IF(ISNA(MATCH($F4963,Lists!$A$2:$A$5,0)),"✖ الفترة غير صحيحة",IF(ISNA(MATCH($G4963,Lists!$B$2:$B$7,0)),"✖ المجموعة غير صحيحة",IF(NOT(OR($H4963="",$N4963&gt;0)),"✖ Start غير صحيح",IF(NOT(OR($I4963="",$I4963="NR",$O4963&gt;0)),"✖ Current غير صحيح",IF(NOT(IF(ISNUMBER($J4963),AND($J4963&gt;=0,$J4963=INT($J4963)),FALSE())),"✖ العدد يجب أن يكون صحيحًا ≥ 0",IF(AND($F4963="Baseline",$H4963&lt;&gt;""),"⚠ Baseline: Start لا يدخل في التقدم",IF($K4963="No Start (attainment only)","ℹ تحصيل فقط (بدون Start)",IF($K4963="U – needs rule","ℹ حالة U تحتاج قاعدة معتمدة",IF($K4963="No result","ℹ بدون نتيجة (يُستبعد من التحصيل)","OK")))))))))))</f>
        <v/>
      </c>
      <c r="M4963" s="64" t="n">
        <f aca="false">IF($A4963="",0,IFERROR(MATCH($A4963,Classes!$A$6:$A$420,0),0))</f>
        <v>0</v>
      </c>
      <c r="N4963" s="64" t="n">
        <f aca="false">IF($H4963="",0,IFERROR(MATCH($H4963,GradeList,0),0))</f>
        <v>0</v>
      </c>
      <c r="O4963" s="64" t="n">
        <f aca="false">IF(OR($I4963="",$I4963="NR"),0,IFERROR(MATCH($I4963,GradeList,0),0))</f>
        <v>0</v>
      </c>
      <c r="P4963" s="64" t="n">
        <f aca="false">IF(AND($M4963&gt;0,ISNUMBER(MATCH($F4963,Lists!$A$2:$A$5,0)),ISNUMBER(MATCH($G4963,Lists!$B$2:$B$7,0)),OR($H4963="",$N4963&gt;0),OR($I4963="",$I4963="NR",$O4963&gt;0),IF(ISNUMBER($J4963),AND($J4963&gt;=0,$J4963=INT($J4963)),FALSE())),$J4963,0)</f>
        <v>0</v>
      </c>
      <c r="Q4963" s="64" t="n">
        <f aca="false">IF(AND($P4963&gt;0,$O4963&gt;0),$P4963,0)</f>
        <v>0</v>
      </c>
      <c r="R4963" s="64" t="n">
        <f aca="false">IF(AND($Q4963&gt;0,$O4963&gt;=AtRank),$Q4963,0)</f>
        <v>0</v>
      </c>
      <c r="S4963" s="64" t="n">
        <f aca="false">IF(AND($Q4963&gt;0,$O4963&gt;=AboveRank),$Q4963,0)</f>
        <v>0</v>
      </c>
      <c r="T4963" s="64" t="n">
        <f aca="false">IF($K4963="Less",$P4963,0)</f>
        <v>0</v>
      </c>
      <c r="U4963" s="64" t="n">
        <f aca="false">IF($K4963="Expected",$P4963,0)</f>
        <v>0</v>
      </c>
      <c r="V4963" s="64" t="n">
        <f aca="false">IF($K4963="Better",$P4963,0)</f>
        <v>0</v>
      </c>
      <c r="W4963" s="64" t="n">
        <f aca="false">IF($K4963="U – needs rule",$P4963,0)</f>
        <v>0</v>
      </c>
      <c r="X4963" s="64" t="n">
        <f aca="false">IF($K4963="No Start (attainment only)",$P4963,0)</f>
        <v>0</v>
      </c>
    </row>
    <row r="4964" customFormat="false" ht="15" hidden="false" customHeight="false" outlineLevel="0" collapsed="false">
      <c r="A4964" s="60"/>
      <c r="B4964" s="61" t="str">
        <f aca="false">IF($M4964=0,"",INDEX(Classes!$E$6:$E$420,$M4964))</f>
        <v/>
      </c>
      <c r="C4964" s="62" t="str">
        <f aca="false">IF($M4964=0,"",INDEX(Classes!$H$6:$H$420,$M4964))</f>
        <v/>
      </c>
      <c r="D4964" s="61" t="str">
        <f aca="false">IF($M4964=0,"",INDEX(Classes!$B$6:$B$420,$M4964))</f>
        <v/>
      </c>
      <c r="E4964" s="61" t="str">
        <f aca="false">IF($M4964=0,"",INDEX(Classes!$C$6:$C$420,$M4964))</f>
        <v/>
      </c>
      <c r="F4964" s="63"/>
      <c r="G4964" s="63"/>
      <c r="H4964" s="60"/>
      <c r="I4964" s="60"/>
      <c r="J4964" s="63"/>
      <c r="K4964" s="61" t="str">
        <f aca="false">IF($P4964=0,"",IF($F4964="Baseline","— Baseline",IF($O4964=0,"No result",IF($N4964=0,"No Start (attainment only)",IF(OR($N4964=1,$O4964=1),"U – needs rule",INDEX(MxBody,MATCH($I4964,MxCurr,0),MATCH($H4964,MxStart,0)))))))</f>
        <v/>
      </c>
      <c r="L4964" s="62" t="str">
        <f aca="false">IF(COUNTA($A4964,$F4964,$G4964,$H4964,$I4964,$J4964)=0,"",IF($M4964=0,"✖ كود الصف غير موجود",IF(ISNA(MATCH($F4964,Lists!$A$2:$A$5,0)),"✖ الفترة غير صحيحة",IF(ISNA(MATCH($G4964,Lists!$B$2:$B$7,0)),"✖ المجموعة غير صحيحة",IF(NOT(OR($H4964="",$N4964&gt;0)),"✖ Start غير صحيح",IF(NOT(OR($I4964="",$I4964="NR",$O4964&gt;0)),"✖ Current غير صحيح",IF(NOT(IF(ISNUMBER($J4964),AND($J4964&gt;=0,$J4964=INT($J4964)),FALSE())),"✖ العدد يجب أن يكون صحيحًا ≥ 0",IF(AND($F4964="Baseline",$H4964&lt;&gt;""),"⚠ Baseline: Start لا يدخل في التقدم",IF($K4964="No Start (attainment only)","ℹ تحصيل فقط (بدون Start)",IF($K4964="U – needs rule","ℹ حالة U تحتاج قاعدة معتمدة",IF($K4964="No result","ℹ بدون نتيجة (يُستبعد من التحصيل)","OK")))))))))))</f>
        <v/>
      </c>
      <c r="M4964" s="64" t="n">
        <f aca="false">IF($A4964="",0,IFERROR(MATCH($A4964,Classes!$A$6:$A$420,0),0))</f>
        <v>0</v>
      </c>
      <c r="N4964" s="64" t="n">
        <f aca="false">IF($H4964="",0,IFERROR(MATCH($H4964,GradeList,0),0))</f>
        <v>0</v>
      </c>
      <c r="O4964" s="64" t="n">
        <f aca="false">IF(OR($I4964="",$I4964="NR"),0,IFERROR(MATCH($I4964,GradeList,0),0))</f>
        <v>0</v>
      </c>
      <c r="P4964" s="64" t="n">
        <f aca="false">IF(AND($M4964&gt;0,ISNUMBER(MATCH($F4964,Lists!$A$2:$A$5,0)),ISNUMBER(MATCH($G4964,Lists!$B$2:$B$7,0)),OR($H4964="",$N4964&gt;0),OR($I4964="",$I4964="NR",$O4964&gt;0),IF(ISNUMBER($J4964),AND($J4964&gt;=0,$J4964=INT($J4964)),FALSE())),$J4964,0)</f>
        <v>0</v>
      </c>
      <c r="Q4964" s="64" t="n">
        <f aca="false">IF(AND($P4964&gt;0,$O4964&gt;0),$P4964,0)</f>
        <v>0</v>
      </c>
      <c r="R4964" s="64" t="n">
        <f aca="false">IF(AND($Q4964&gt;0,$O4964&gt;=AtRank),$Q4964,0)</f>
        <v>0</v>
      </c>
      <c r="S4964" s="64" t="n">
        <f aca="false">IF(AND($Q4964&gt;0,$O4964&gt;=AboveRank),$Q4964,0)</f>
        <v>0</v>
      </c>
      <c r="T4964" s="64" t="n">
        <f aca="false">IF($K4964="Less",$P4964,0)</f>
        <v>0</v>
      </c>
      <c r="U4964" s="64" t="n">
        <f aca="false">IF($K4964="Expected",$P4964,0)</f>
        <v>0</v>
      </c>
      <c r="V4964" s="64" t="n">
        <f aca="false">IF($K4964="Better",$P4964,0)</f>
        <v>0</v>
      </c>
      <c r="W4964" s="64" t="n">
        <f aca="false">IF($K4964="U – needs rule",$P4964,0)</f>
        <v>0</v>
      </c>
      <c r="X4964" s="64" t="n">
        <f aca="false">IF($K4964="No Start (attainment only)",$P4964,0)</f>
        <v>0</v>
      </c>
    </row>
    <row r="4965" customFormat="false" ht="15" hidden="false" customHeight="false" outlineLevel="0" collapsed="false">
      <c r="A4965" s="60"/>
      <c r="B4965" s="61" t="str">
        <f aca="false">IF($M4965=0,"",INDEX(Classes!$E$6:$E$420,$M4965))</f>
        <v/>
      </c>
      <c r="C4965" s="62" t="str">
        <f aca="false">IF($M4965=0,"",INDEX(Classes!$H$6:$H$420,$M4965))</f>
        <v/>
      </c>
      <c r="D4965" s="61" t="str">
        <f aca="false">IF($M4965=0,"",INDEX(Classes!$B$6:$B$420,$M4965))</f>
        <v/>
      </c>
      <c r="E4965" s="61" t="str">
        <f aca="false">IF($M4965=0,"",INDEX(Classes!$C$6:$C$420,$M4965))</f>
        <v/>
      </c>
      <c r="F4965" s="63"/>
      <c r="G4965" s="63"/>
      <c r="H4965" s="60"/>
      <c r="I4965" s="60"/>
      <c r="J4965" s="63"/>
      <c r="K4965" s="61" t="str">
        <f aca="false">IF($P4965=0,"",IF($F4965="Baseline","— Baseline",IF($O4965=0,"No result",IF($N4965=0,"No Start (attainment only)",IF(OR($N4965=1,$O4965=1),"U – needs rule",INDEX(MxBody,MATCH($I4965,MxCurr,0),MATCH($H4965,MxStart,0)))))))</f>
        <v/>
      </c>
      <c r="L4965" s="62" t="str">
        <f aca="false">IF(COUNTA($A4965,$F4965,$G4965,$H4965,$I4965,$J4965)=0,"",IF($M4965=0,"✖ كود الصف غير موجود",IF(ISNA(MATCH($F4965,Lists!$A$2:$A$5,0)),"✖ الفترة غير صحيحة",IF(ISNA(MATCH($G4965,Lists!$B$2:$B$7,0)),"✖ المجموعة غير صحيحة",IF(NOT(OR($H4965="",$N4965&gt;0)),"✖ Start غير صحيح",IF(NOT(OR($I4965="",$I4965="NR",$O4965&gt;0)),"✖ Current غير صحيح",IF(NOT(IF(ISNUMBER($J4965),AND($J4965&gt;=0,$J4965=INT($J4965)),FALSE())),"✖ العدد يجب أن يكون صحيحًا ≥ 0",IF(AND($F4965="Baseline",$H4965&lt;&gt;""),"⚠ Baseline: Start لا يدخل في التقدم",IF($K4965="No Start (attainment only)","ℹ تحصيل فقط (بدون Start)",IF($K4965="U – needs rule","ℹ حالة U تحتاج قاعدة معتمدة",IF($K4965="No result","ℹ بدون نتيجة (يُستبعد من التحصيل)","OK")))))))))))</f>
        <v/>
      </c>
      <c r="M4965" s="64" t="n">
        <f aca="false">IF($A4965="",0,IFERROR(MATCH($A4965,Classes!$A$6:$A$420,0),0))</f>
        <v>0</v>
      </c>
      <c r="N4965" s="64" t="n">
        <f aca="false">IF($H4965="",0,IFERROR(MATCH($H4965,GradeList,0),0))</f>
        <v>0</v>
      </c>
      <c r="O4965" s="64" t="n">
        <f aca="false">IF(OR($I4965="",$I4965="NR"),0,IFERROR(MATCH($I4965,GradeList,0),0))</f>
        <v>0</v>
      </c>
      <c r="P4965" s="64" t="n">
        <f aca="false">IF(AND($M4965&gt;0,ISNUMBER(MATCH($F4965,Lists!$A$2:$A$5,0)),ISNUMBER(MATCH($G4965,Lists!$B$2:$B$7,0)),OR($H4965="",$N4965&gt;0),OR($I4965="",$I4965="NR",$O4965&gt;0),IF(ISNUMBER($J4965),AND($J4965&gt;=0,$J4965=INT($J4965)),FALSE())),$J4965,0)</f>
        <v>0</v>
      </c>
      <c r="Q4965" s="64" t="n">
        <f aca="false">IF(AND($P4965&gt;0,$O4965&gt;0),$P4965,0)</f>
        <v>0</v>
      </c>
      <c r="R4965" s="64" t="n">
        <f aca="false">IF(AND($Q4965&gt;0,$O4965&gt;=AtRank),$Q4965,0)</f>
        <v>0</v>
      </c>
      <c r="S4965" s="64" t="n">
        <f aca="false">IF(AND($Q4965&gt;0,$O4965&gt;=AboveRank),$Q4965,0)</f>
        <v>0</v>
      </c>
      <c r="T4965" s="64" t="n">
        <f aca="false">IF($K4965="Less",$P4965,0)</f>
        <v>0</v>
      </c>
      <c r="U4965" s="64" t="n">
        <f aca="false">IF($K4965="Expected",$P4965,0)</f>
        <v>0</v>
      </c>
      <c r="V4965" s="64" t="n">
        <f aca="false">IF($K4965="Better",$P4965,0)</f>
        <v>0</v>
      </c>
      <c r="W4965" s="64" t="n">
        <f aca="false">IF($K4965="U – needs rule",$P4965,0)</f>
        <v>0</v>
      </c>
      <c r="X4965" s="64" t="n">
        <f aca="false">IF($K4965="No Start (attainment only)",$P4965,0)</f>
        <v>0</v>
      </c>
    </row>
    <row r="4966" customFormat="false" ht="15" hidden="false" customHeight="false" outlineLevel="0" collapsed="false">
      <c r="A4966" s="60"/>
      <c r="B4966" s="61" t="str">
        <f aca="false">IF($M4966=0,"",INDEX(Classes!$E$6:$E$420,$M4966))</f>
        <v/>
      </c>
      <c r="C4966" s="62" t="str">
        <f aca="false">IF($M4966=0,"",INDEX(Classes!$H$6:$H$420,$M4966))</f>
        <v/>
      </c>
      <c r="D4966" s="61" t="str">
        <f aca="false">IF($M4966=0,"",INDEX(Classes!$B$6:$B$420,$M4966))</f>
        <v/>
      </c>
      <c r="E4966" s="61" t="str">
        <f aca="false">IF($M4966=0,"",INDEX(Classes!$C$6:$C$420,$M4966))</f>
        <v/>
      </c>
      <c r="F4966" s="63"/>
      <c r="G4966" s="63"/>
      <c r="H4966" s="60"/>
      <c r="I4966" s="60"/>
      <c r="J4966" s="63"/>
      <c r="K4966" s="61" t="str">
        <f aca="false">IF($P4966=0,"",IF($F4966="Baseline","— Baseline",IF($O4966=0,"No result",IF($N4966=0,"No Start (attainment only)",IF(OR($N4966=1,$O4966=1),"U – needs rule",INDEX(MxBody,MATCH($I4966,MxCurr,0),MATCH($H4966,MxStart,0)))))))</f>
        <v/>
      </c>
      <c r="L4966" s="62" t="str">
        <f aca="false">IF(COUNTA($A4966,$F4966,$G4966,$H4966,$I4966,$J4966)=0,"",IF($M4966=0,"✖ كود الصف غير موجود",IF(ISNA(MATCH($F4966,Lists!$A$2:$A$5,0)),"✖ الفترة غير صحيحة",IF(ISNA(MATCH($G4966,Lists!$B$2:$B$7,0)),"✖ المجموعة غير صحيحة",IF(NOT(OR($H4966="",$N4966&gt;0)),"✖ Start غير صحيح",IF(NOT(OR($I4966="",$I4966="NR",$O4966&gt;0)),"✖ Current غير صحيح",IF(NOT(IF(ISNUMBER($J4966),AND($J4966&gt;=0,$J4966=INT($J4966)),FALSE())),"✖ العدد يجب أن يكون صحيحًا ≥ 0",IF(AND($F4966="Baseline",$H4966&lt;&gt;""),"⚠ Baseline: Start لا يدخل في التقدم",IF($K4966="No Start (attainment only)","ℹ تحصيل فقط (بدون Start)",IF($K4966="U – needs rule","ℹ حالة U تحتاج قاعدة معتمدة",IF($K4966="No result","ℹ بدون نتيجة (يُستبعد من التحصيل)","OK")))))))))))</f>
        <v/>
      </c>
      <c r="M4966" s="64" t="n">
        <f aca="false">IF($A4966="",0,IFERROR(MATCH($A4966,Classes!$A$6:$A$420,0),0))</f>
        <v>0</v>
      </c>
      <c r="N4966" s="64" t="n">
        <f aca="false">IF($H4966="",0,IFERROR(MATCH($H4966,GradeList,0),0))</f>
        <v>0</v>
      </c>
      <c r="O4966" s="64" t="n">
        <f aca="false">IF(OR($I4966="",$I4966="NR"),0,IFERROR(MATCH($I4966,GradeList,0),0))</f>
        <v>0</v>
      </c>
      <c r="P4966" s="64" t="n">
        <f aca="false">IF(AND($M4966&gt;0,ISNUMBER(MATCH($F4966,Lists!$A$2:$A$5,0)),ISNUMBER(MATCH($G4966,Lists!$B$2:$B$7,0)),OR($H4966="",$N4966&gt;0),OR($I4966="",$I4966="NR",$O4966&gt;0),IF(ISNUMBER($J4966),AND($J4966&gt;=0,$J4966=INT($J4966)),FALSE())),$J4966,0)</f>
        <v>0</v>
      </c>
      <c r="Q4966" s="64" t="n">
        <f aca="false">IF(AND($P4966&gt;0,$O4966&gt;0),$P4966,0)</f>
        <v>0</v>
      </c>
      <c r="R4966" s="64" t="n">
        <f aca="false">IF(AND($Q4966&gt;0,$O4966&gt;=AtRank),$Q4966,0)</f>
        <v>0</v>
      </c>
      <c r="S4966" s="64" t="n">
        <f aca="false">IF(AND($Q4966&gt;0,$O4966&gt;=AboveRank),$Q4966,0)</f>
        <v>0</v>
      </c>
      <c r="T4966" s="64" t="n">
        <f aca="false">IF($K4966="Less",$P4966,0)</f>
        <v>0</v>
      </c>
      <c r="U4966" s="64" t="n">
        <f aca="false">IF($K4966="Expected",$P4966,0)</f>
        <v>0</v>
      </c>
      <c r="V4966" s="64" t="n">
        <f aca="false">IF($K4966="Better",$P4966,0)</f>
        <v>0</v>
      </c>
      <c r="W4966" s="64" t="n">
        <f aca="false">IF($K4966="U – needs rule",$P4966,0)</f>
        <v>0</v>
      </c>
      <c r="X4966" s="64" t="n">
        <f aca="false">IF($K4966="No Start (attainment only)",$P4966,0)</f>
        <v>0</v>
      </c>
    </row>
    <row r="4967" customFormat="false" ht="15" hidden="false" customHeight="false" outlineLevel="0" collapsed="false">
      <c r="A4967" s="60"/>
      <c r="B4967" s="61" t="str">
        <f aca="false">IF($M4967=0,"",INDEX(Classes!$E$6:$E$420,$M4967))</f>
        <v/>
      </c>
      <c r="C4967" s="62" t="str">
        <f aca="false">IF($M4967=0,"",INDEX(Classes!$H$6:$H$420,$M4967))</f>
        <v/>
      </c>
      <c r="D4967" s="61" t="str">
        <f aca="false">IF($M4967=0,"",INDEX(Classes!$B$6:$B$420,$M4967))</f>
        <v/>
      </c>
      <c r="E4967" s="61" t="str">
        <f aca="false">IF($M4967=0,"",INDEX(Classes!$C$6:$C$420,$M4967))</f>
        <v/>
      </c>
      <c r="F4967" s="63"/>
      <c r="G4967" s="63"/>
      <c r="H4967" s="60"/>
      <c r="I4967" s="60"/>
      <c r="J4967" s="63"/>
      <c r="K4967" s="61" t="str">
        <f aca="false">IF($P4967=0,"",IF($F4967="Baseline","— Baseline",IF($O4967=0,"No result",IF($N4967=0,"No Start (attainment only)",IF(OR($N4967=1,$O4967=1),"U – needs rule",INDEX(MxBody,MATCH($I4967,MxCurr,0),MATCH($H4967,MxStart,0)))))))</f>
        <v/>
      </c>
      <c r="L4967" s="62" t="str">
        <f aca="false">IF(COUNTA($A4967,$F4967,$G4967,$H4967,$I4967,$J4967)=0,"",IF($M4967=0,"✖ كود الصف غير موجود",IF(ISNA(MATCH($F4967,Lists!$A$2:$A$5,0)),"✖ الفترة غير صحيحة",IF(ISNA(MATCH($G4967,Lists!$B$2:$B$7,0)),"✖ المجموعة غير صحيحة",IF(NOT(OR($H4967="",$N4967&gt;0)),"✖ Start غير صحيح",IF(NOT(OR($I4967="",$I4967="NR",$O4967&gt;0)),"✖ Current غير صحيح",IF(NOT(IF(ISNUMBER($J4967),AND($J4967&gt;=0,$J4967=INT($J4967)),FALSE())),"✖ العدد يجب أن يكون صحيحًا ≥ 0",IF(AND($F4967="Baseline",$H4967&lt;&gt;""),"⚠ Baseline: Start لا يدخل في التقدم",IF($K4967="No Start (attainment only)","ℹ تحصيل فقط (بدون Start)",IF($K4967="U – needs rule","ℹ حالة U تحتاج قاعدة معتمدة",IF($K4967="No result","ℹ بدون نتيجة (يُستبعد من التحصيل)","OK")))))))))))</f>
        <v/>
      </c>
      <c r="M4967" s="64" t="n">
        <f aca="false">IF($A4967="",0,IFERROR(MATCH($A4967,Classes!$A$6:$A$420,0),0))</f>
        <v>0</v>
      </c>
      <c r="N4967" s="64" t="n">
        <f aca="false">IF($H4967="",0,IFERROR(MATCH($H4967,GradeList,0),0))</f>
        <v>0</v>
      </c>
      <c r="O4967" s="64" t="n">
        <f aca="false">IF(OR($I4967="",$I4967="NR"),0,IFERROR(MATCH($I4967,GradeList,0),0))</f>
        <v>0</v>
      </c>
      <c r="P4967" s="64" t="n">
        <f aca="false">IF(AND($M4967&gt;0,ISNUMBER(MATCH($F4967,Lists!$A$2:$A$5,0)),ISNUMBER(MATCH($G4967,Lists!$B$2:$B$7,0)),OR($H4967="",$N4967&gt;0),OR($I4967="",$I4967="NR",$O4967&gt;0),IF(ISNUMBER($J4967),AND($J4967&gt;=0,$J4967=INT($J4967)),FALSE())),$J4967,0)</f>
        <v>0</v>
      </c>
      <c r="Q4967" s="64" t="n">
        <f aca="false">IF(AND($P4967&gt;0,$O4967&gt;0),$P4967,0)</f>
        <v>0</v>
      </c>
      <c r="R4967" s="64" t="n">
        <f aca="false">IF(AND($Q4967&gt;0,$O4967&gt;=AtRank),$Q4967,0)</f>
        <v>0</v>
      </c>
      <c r="S4967" s="64" t="n">
        <f aca="false">IF(AND($Q4967&gt;0,$O4967&gt;=AboveRank),$Q4967,0)</f>
        <v>0</v>
      </c>
      <c r="T4967" s="64" t="n">
        <f aca="false">IF($K4967="Less",$P4967,0)</f>
        <v>0</v>
      </c>
      <c r="U4967" s="64" t="n">
        <f aca="false">IF($K4967="Expected",$P4967,0)</f>
        <v>0</v>
      </c>
      <c r="V4967" s="64" t="n">
        <f aca="false">IF($K4967="Better",$P4967,0)</f>
        <v>0</v>
      </c>
      <c r="W4967" s="64" t="n">
        <f aca="false">IF($K4967="U – needs rule",$P4967,0)</f>
        <v>0</v>
      </c>
      <c r="X4967" s="64" t="n">
        <f aca="false">IF($K4967="No Start (attainment only)",$P4967,0)</f>
        <v>0</v>
      </c>
    </row>
    <row r="4968" customFormat="false" ht="15" hidden="false" customHeight="false" outlineLevel="0" collapsed="false">
      <c r="A4968" s="60"/>
      <c r="B4968" s="61" t="str">
        <f aca="false">IF($M4968=0,"",INDEX(Classes!$E$6:$E$420,$M4968))</f>
        <v/>
      </c>
      <c r="C4968" s="62" t="str">
        <f aca="false">IF($M4968=0,"",INDEX(Classes!$H$6:$H$420,$M4968))</f>
        <v/>
      </c>
      <c r="D4968" s="61" t="str">
        <f aca="false">IF($M4968=0,"",INDEX(Classes!$B$6:$B$420,$M4968))</f>
        <v/>
      </c>
      <c r="E4968" s="61" t="str">
        <f aca="false">IF($M4968=0,"",INDEX(Classes!$C$6:$C$420,$M4968))</f>
        <v/>
      </c>
      <c r="F4968" s="63"/>
      <c r="G4968" s="63"/>
      <c r="H4968" s="60"/>
      <c r="I4968" s="60"/>
      <c r="J4968" s="63"/>
      <c r="K4968" s="61" t="str">
        <f aca="false">IF($P4968=0,"",IF($F4968="Baseline","— Baseline",IF($O4968=0,"No result",IF($N4968=0,"No Start (attainment only)",IF(OR($N4968=1,$O4968=1),"U – needs rule",INDEX(MxBody,MATCH($I4968,MxCurr,0),MATCH($H4968,MxStart,0)))))))</f>
        <v/>
      </c>
      <c r="L4968" s="62" t="str">
        <f aca="false">IF(COUNTA($A4968,$F4968,$G4968,$H4968,$I4968,$J4968)=0,"",IF($M4968=0,"✖ كود الصف غير موجود",IF(ISNA(MATCH($F4968,Lists!$A$2:$A$5,0)),"✖ الفترة غير صحيحة",IF(ISNA(MATCH($G4968,Lists!$B$2:$B$7,0)),"✖ المجموعة غير صحيحة",IF(NOT(OR($H4968="",$N4968&gt;0)),"✖ Start غير صحيح",IF(NOT(OR($I4968="",$I4968="NR",$O4968&gt;0)),"✖ Current غير صحيح",IF(NOT(IF(ISNUMBER($J4968),AND($J4968&gt;=0,$J4968=INT($J4968)),FALSE())),"✖ العدد يجب أن يكون صحيحًا ≥ 0",IF(AND($F4968="Baseline",$H4968&lt;&gt;""),"⚠ Baseline: Start لا يدخل في التقدم",IF($K4968="No Start (attainment only)","ℹ تحصيل فقط (بدون Start)",IF($K4968="U – needs rule","ℹ حالة U تحتاج قاعدة معتمدة",IF($K4968="No result","ℹ بدون نتيجة (يُستبعد من التحصيل)","OK")))))))))))</f>
        <v/>
      </c>
      <c r="M4968" s="64" t="n">
        <f aca="false">IF($A4968="",0,IFERROR(MATCH($A4968,Classes!$A$6:$A$420,0),0))</f>
        <v>0</v>
      </c>
      <c r="N4968" s="64" t="n">
        <f aca="false">IF($H4968="",0,IFERROR(MATCH($H4968,GradeList,0),0))</f>
        <v>0</v>
      </c>
      <c r="O4968" s="64" t="n">
        <f aca="false">IF(OR($I4968="",$I4968="NR"),0,IFERROR(MATCH($I4968,GradeList,0),0))</f>
        <v>0</v>
      </c>
      <c r="P4968" s="64" t="n">
        <f aca="false">IF(AND($M4968&gt;0,ISNUMBER(MATCH($F4968,Lists!$A$2:$A$5,0)),ISNUMBER(MATCH($G4968,Lists!$B$2:$B$7,0)),OR($H4968="",$N4968&gt;0),OR($I4968="",$I4968="NR",$O4968&gt;0),IF(ISNUMBER($J4968),AND($J4968&gt;=0,$J4968=INT($J4968)),FALSE())),$J4968,0)</f>
        <v>0</v>
      </c>
      <c r="Q4968" s="64" t="n">
        <f aca="false">IF(AND($P4968&gt;0,$O4968&gt;0),$P4968,0)</f>
        <v>0</v>
      </c>
      <c r="R4968" s="64" t="n">
        <f aca="false">IF(AND($Q4968&gt;0,$O4968&gt;=AtRank),$Q4968,0)</f>
        <v>0</v>
      </c>
      <c r="S4968" s="64" t="n">
        <f aca="false">IF(AND($Q4968&gt;0,$O4968&gt;=AboveRank),$Q4968,0)</f>
        <v>0</v>
      </c>
      <c r="T4968" s="64" t="n">
        <f aca="false">IF($K4968="Less",$P4968,0)</f>
        <v>0</v>
      </c>
      <c r="U4968" s="64" t="n">
        <f aca="false">IF($K4968="Expected",$P4968,0)</f>
        <v>0</v>
      </c>
      <c r="V4968" s="64" t="n">
        <f aca="false">IF($K4968="Better",$P4968,0)</f>
        <v>0</v>
      </c>
      <c r="W4968" s="64" t="n">
        <f aca="false">IF($K4968="U – needs rule",$P4968,0)</f>
        <v>0</v>
      </c>
      <c r="X4968" s="64" t="n">
        <f aca="false">IF($K4968="No Start (attainment only)",$P4968,0)</f>
        <v>0</v>
      </c>
    </row>
    <row r="4969" customFormat="false" ht="15" hidden="false" customHeight="false" outlineLevel="0" collapsed="false">
      <c r="A4969" s="60"/>
      <c r="B4969" s="61" t="str">
        <f aca="false">IF($M4969=0,"",INDEX(Classes!$E$6:$E$420,$M4969))</f>
        <v/>
      </c>
      <c r="C4969" s="62" t="str">
        <f aca="false">IF($M4969=0,"",INDEX(Classes!$H$6:$H$420,$M4969))</f>
        <v/>
      </c>
      <c r="D4969" s="61" t="str">
        <f aca="false">IF($M4969=0,"",INDEX(Classes!$B$6:$B$420,$M4969))</f>
        <v/>
      </c>
      <c r="E4969" s="61" t="str">
        <f aca="false">IF($M4969=0,"",INDEX(Classes!$C$6:$C$420,$M4969))</f>
        <v/>
      </c>
      <c r="F4969" s="63"/>
      <c r="G4969" s="63"/>
      <c r="H4969" s="60"/>
      <c r="I4969" s="60"/>
      <c r="J4969" s="63"/>
      <c r="K4969" s="61" t="str">
        <f aca="false">IF($P4969=0,"",IF($F4969="Baseline","— Baseline",IF($O4969=0,"No result",IF($N4969=0,"No Start (attainment only)",IF(OR($N4969=1,$O4969=1),"U – needs rule",INDEX(MxBody,MATCH($I4969,MxCurr,0),MATCH($H4969,MxStart,0)))))))</f>
        <v/>
      </c>
      <c r="L4969" s="62" t="str">
        <f aca="false">IF(COUNTA($A4969,$F4969,$G4969,$H4969,$I4969,$J4969)=0,"",IF($M4969=0,"✖ كود الصف غير موجود",IF(ISNA(MATCH($F4969,Lists!$A$2:$A$5,0)),"✖ الفترة غير صحيحة",IF(ISNA(MATCH($G4969,Lists!$B$2:$B$7,0)),"✖ المجموعة غير صحيحة",IF(NOT(OR($H4969="",$N4969&gt;0)),"✖ Start غير صحيح",IF(NOT(OR($I4969="",$I4969="NR",$O4969&gt;0)),"✖ Current غير صحيح",IF(NOT(IF(ISNUMBER($J4969),AND($J4969&gt;=0,$J4969=INT($J4969)),FALSE())),"✖ العدد يجب أن يكون صحيحًا ≥ 0",IF(AND($F4969="Baseline",$H4969&lt;&gt;""),"⚠ Baseline: Start لا يدخل في التقدم",IF($K4969="No Start (attainment only)","ℹ تحصيل فقط (بدون Start)",IF($K4969="U – needs rule","ℹ حالة U تحتاج قاعدة معتمدة",IF($K4969="No result","ℹ بدون نتيجة (يُستبعد من التحصيل)","OK")))))))))))</f>
        <v/>
      </c>
      <c r="M4969" s="64" t="n">
        <f aca="false">IF($A4969="",0,IFERROR(MATCH($A4969,Classes!$A$6:$A$420,0),0))</f>
        <v>0</v>
      </c>
      <c r="N4969" s="64" t="n">
        <f aca="false">IF($H4969="",0,IFERROR(MATCH($H4969,GradeList,0),0))</f>
        <v>0</v>
      </c>
      <c r="O4969" s="64" t="n">
        <f aca="false">IF(OR($I4969="",$I4969="NR"),0,IFERROR(MATCH($I4969,GradeList,0),0))</f>
        <v>0</v>
      </c>
      <c r="P4969" s="64" t="n">
        <f aca="false">IF(AND($M4969&gt;0,ISNUMBER(MATCH($F4969,Lists!$A$2:$A$5,0)),ISNUMBER(MATCH($G4969,Lists!$B$2:$B$7,0)),OR($H4969="",$N4969&gt;0),OR($I4969="",$I4969="NR",$O4969&gt;0),IF(ISNUMBER($J4969),AND($J4969&gt;=0,$J4969=INT($J4969)),FALSE())),$J4969,0)</f>
        <v>0</v>
      </c>
      <c r="Q4969" s="64" t="n">
        <f aca="false">IF(AND($P4969&gt;0,$O4969&gt;0),$P4969,0)</f>
        <v>0</v>
      </c>
      <c r="R4969" s="64" t="n">
        <f aca="false">IF(AND($Q4969&gt;0,$O4969&gt;=AtRank),$Q4969,0)</f>
        <v>0</v>
      </c>
      <c r="S4969" s="64" t="n">
        <f aca="false">IF(AND($Q4969&gt;0,$O4969&gt;=AboveRank),$Q4969,0)</f>
        <v>0</v>
      </c>
      <c r="T4969" s="64" t="n">
        <f aca="false">IF($K4969="Less",$P4969,0)</f>
        <v>0</v>
      </c>
      <c r="U4969" s="64" t="n">
        <f aca="false">IF($K4969="Expected",$P4969,0)</f>
        <v>0</v>
      </c>
      <c r="V4969" s="64" t="n">
        <f aca="false">IF($K4969="Better",$P4969,0)</f>
        <v>0</v>
      </c>
      <c r="W4969" s="64" t="n">
        <f aca="false">IF($K4969="U – needs rule",$P4969,0)</f>
        <v>0</v>
      </c>
      <c r="X4969" s="64" t="n">
        <f aca="false">IF($K4969="No Start (attainment only)",$P4969,0)</f>
        <v>0</v>
      </c>
    </row>
    <row r="4970" customFormat="false" ht="15" hidden="false" customHeight="false" outlineLevel="0" collapsed="false">
      <c r="A4970" s="60"/>
      <c r="B4970" s="61" t="str">
        <f aca="false">IF($M4970=0,"",INDEX(Classes!$E$6:$E$420,$M4970))</f>
        <v/>
      </c>
      <c r="C4970" s="62" t="str">
        <f aca="false">IF($M4970=0,"",INDEX(Classes!$H$6:$H$420,$M4970))</f>
        <v/>
      </c>
      <c r="D4970" s="61" t="str">
        <f aca="false">IF($M4970=0,"",INDEX(Classes!$B$6:$B$420,$M4970))</f>
        <v/>
      </c>
      <c r="E4970" s="61" t="str">
        <f aca="false">IF($M4970=0,"",INDEX(Classes!$C$6:$C$420,$M4970))</f>
        <v/>
      </c>
      <c r="F4970" s="63"/>
      <c r="G4970" s="63"/>
      <c r="H4970" s="60"/>
      <c r="I4970" s="60"/>
      <c r="J4970" s="63"/>
      <c r="K4970" s="61" t="str">
        <f aca="false">IF($P4970=0,"",IF($F4970="Baseline","— Baseline",IF($O4970=0,"No result",IF($N4970=0,"No Start (attainment only)",IF(OR($N4970=1,$O4970=1),"U – needs rule",INDEX(MxBody,MATCH($I4970,MxCurr,0),MATCH($H4970,MxStart,0)))))))</f>
        <v/>
      </c>
      <c r="L4970" s="62" t="str">
        <f aca="false">IF(COUNTA($A4970,$F4970,$G4970,$H4970,$I4970,$J4970)=0,"",IF($M4970=0,"✖ كود الصف غير موجود",IF(ISNA(MATCH($F4970,Lists!$A$2:$A$5,0)),"✖ الفترة غير صحيحة",IF(ISNA(MATCH($G4970,Lists!$B$2:$B$7,0)),"✖ المجموعة غير صحيحة",IF(NOT(OR($H4970="",$N4970&gt;0)),"✖ Start غير صحيح",IF(NOT(OR($I4970="",$I4970="NR",$O4970&gt;0)),"✖ Current غير صحيح",IF(NOT(IF(ISNUMBER($J4970),AND($J4970&gt;=0,$J4970=INT($J4970)),FALSE())),"✖ العدد يجب أن يكون صحيحًا ≥ 0",IF(AND($F4970="Baseline",$H4970&lt;&gt;""),"⚠ Baseline: Start لا يدخل في التقدم",IF($K4970="No Start (attainment only)","ℹ تحصيل فقط (بدون Start)",IF($K4970="U – needs rule","ℹ حالة U تحتاج قاعدة معتمدة",IF($K4970="No result","ℹ بدون نتيجة (يُستبعد من التحصيل)","OK")))))))))))</f>
        <v/>
      </c>
      <c r="M4970" s="64" t="n">
        <f aca="false">IF($A4970="",0,IFERROR(MATCH($A4970,Classes!$A$6:$A$420,0),0))</f>
        <v>0</v>
      </c>
      <c r="N4970" s="64" t="n">
        <f aca="false">IF($H4970="",0,IFERROR(MATCH($H4970,GradeList,0),0))</f>
        <v>0</v>
      </c>
      <c r="O4970" s="64" t="n">
        <f aca="false">IF(OR($I4970="",$I4970="NR"),0,IFERROR(MATCH($I4970,GradeList,0),0))</f>
        <v>0</v>
      </c>
      <c r="P4970" s="64" t="n">
        <f aca="false">IF(AND($M4970&gt;0,ISNUMBER(MATCH($F4970,Lists!$A$2:$A$5,0)),ISNUMBER(MATCH($G4970,Lists!$B$2:$B$7,0)),OR($H4970="",$N4970&gt;0),OR($I4970="",$I4970="NR",$O4970&gt;0),IF(ISNUMBER($J4970),AND($J4970&gt;=0,$J4970=INT($J4970)),FALSE())),$J4970,0)</f>
        <v>0</v>
      </c>
      <c r="Q4970" s="64" t="n">
        <f aca="false">IF(AND($P4970&gt;0,$O4970&gt;0),$P4970,0)</f>
        <v>0</v>
      </c>
      <c r="R4970" s="64" t="n">
        <f aca="false">IF(AND($Q4970&gt;0,$O4970&gt;=AtRank),$Q4970,0)</f>
        <v>0</v>
      </c>
      <c r="S4970" s="64" t="n">
        <f aca="false">IF(AND($Q4970&gt;0,$O4970&gt;=AboveRank),$Q4970,0)</f>
        <v>0</v>
      </c>
      <c r="T4970" s="64" t="n">
        <f aca="false">IF($K4970="Less",$P4970,0)</f>
        <v>0</v>
      </c>
      <c r="U4970" s="64" t="n">
        <f aca="false">IF($K4970="Expected",$P4970,0)</f>
        <v>0</v>
      </c>
      <c r="V4970" s="64" t="n">
        <f aca="false">IF($K4970="Better",$P4970,0)</f>
        <v>0</v>
      </c>
      <c r="W4970" s="64" t="n">
        <f aca="false">IF($K4970="U – needs rule",$P4970,0)</f>
        <v>0</v>
      </c>
      <c r="X4970" s="64" t="n">
        <f aca="false">IF($K4970="No Start (attainment only)",$P4970,0)</f>
        <v>0</v>
      </c>
    </row>
    <row r="4971" customFormat="false" ht="15" hidden="false" customHeight="false" outlineLevel="0" collapsed="false">
      <c r="A4971" s="60"/>
      <c r="B4971" s="61" t="str">
        <f aca="false">IF($M4971=0,"",INDEX(Classes!$E$6:$E$420,$M4971))</f>
        <v/>
      </c>
      <c r="C4971" s="62" t="str">
        <f aca="false">IF($M4971=0,"",INDEX(Classes!$H$6:$H$420,$M4971))</f>
        <v/>
      </c>
      <c r="D4971" s="61" t="str">
        <f aca="false">IF($M4971=0,"",INDEX(Classes!$B$6:$B$420,$M4971))</f>
        <v/>
      </c>
      <c r="E4971" s="61" t="str">
        <f aca="false">IF($M4971=0,"",INDEX(Classes!$C$6:$C$420,$M4971))</f>
        <v/>
      </c>
      <c r="F4971" s="63"/>
      <c r="G4971" s="63"/>
      <c r="H4971" s="60"/>
      <c r="I4971" s="60"/>
      <c r="J4971" s="63"/>
      <c r="K4971" s="61" t="str">
        <f aca="false">IF($P4971=0,"",IF($F4971="Baseline","— Baseline",IF($O4971=0,"No result",IF($N4971=0,"No Start (attainment only)",IF(OR($N4971=1,$O4971=1),"U – needs rule",INDEX(MxBody,MATCH($I4971,MxCurr,0),MATCH($H4971,MxStart,0)))))))</f>
        <v/>
      </c>
      <c r="L4971" s="62" t="str">
        <f aca="false">IF(COUNTA($A4971,$F4971,$G4971,$H4971,$I4971,$J4971)=0,"",IF($M4971=0,"✖ كود الصف غير موجود",IF(ISNA(MATCH($F4971,Lists!$A$2:$A$5,0)),"✖ الفترة غير صحيحة",IF(ISNA(MATCH($G4971,Lists!$B$2:$B$7,0)),"✖ المجموعة غير صحيحة",IF(NOT(OR($H4971="",$N4971&gt;0)),"✖ Start غير صحيح",IF(NOT(OR($I4971="",$I4971="NR",$O4971&gt;0)),"✖ Current غير صحيح",IF(NOT(IF(ISNUMBER($J4971),AND($J4971&gt;=0,$J4971=INT($J4971)),FALSE())),"✖ العدد يجب أن يكون صحيحًا ≥ 0",IF(AND($F4971="Baseline",$H4971&lt;&gt;""),"⚠ Baseline: Start لا يدخل في التقدم",IF($K4971="No Start (attainment only)","ℹ تحصيل فقط (بدون Start)",IF($K4971="U – needs rule","ℹ حالة U تحتاج قاعدة معتمدة",IF($K4971="No result","ℹ بدون نتيجة (يُستبعد من التحصيل)","OK")))))))))))</f>
        <v/>
      </c>
      <c r="M4971" s="64" t="n">
        <f aca="false">IF($A4971="",0,IFERROR(MATCH($A4971,Classes!$A$6:$A$420,0),0))</f>
        <v>0</v>
      </c>
      <c r="N4971" s="64" t="n">
        <f aca="false">IF($H4971="",0,IFERROR(MATCH($H4971,GradeList,0),0))</f>
        <v>0</v>
      </c>
      <c r="O4971" s="64" t="n">
        <f aca="false">IF(OR($I4971="",$I4971="NR"),0,IFERROR(MATCH($I4971,GradeList,0),0))</f>
        <v>0</v>
      </c>
      <c r="P4971" s="64" t="n">
        <f aca="false">IF(AND($M4971&gt;0,ISNUMBER(MATCH($F4971,Lists!$A$2:$A$5,0)),ISNUMBER(MATCH($G4971,Lists!$B$2:$B$7,0)),OR($H4971="",$N4971&gt;0),OR($I4971="",$I4971="NR",$O4971&gt;0),IF(ISNUMBER($J4971),AND($J4971&gt;=0,$J4971=INT($J4971)),FALSE())),$J4971,0)</f>
        <v>0</v>
      </c>
      <c r="Q4971" s="64" t="n">
        <f aca="false">IF(AND($P4971&gt;0,$O4971&gt;0),$P4971,0)</f>
        <v>0</v>
      </c>
      <c r="R4971" s="64" t="n">
        <f aca="false">IF(AND($Q4971&gt;0,$O4971&gt;=AtRank),$Q4971,0)</f>
        <v>0</v>
      </c>
      <c r="S4971" s="64" t="n">
        <f aca="false">IF(AND($Q4971&gt;0,$O4971&gt;=AboveRank),$Q4971,0)</f>
        <v>0</v>
      </c>
      <c r="T4971" s="64" t="n">
        <f aca="false">IF($K4971="Less",$P4971,0)</f>
        <v>0</v>
      </c>
      <c r="U4971" s="64" t="n">
        <f aca="false">IF($K4971="Expected",$P4971,0)</f>
        <v>0</v>
      </c>
      <c r="V4971" s="64" t="n">
        <f aca="false">IF($K4971="Better",$P4971,0)</f>
        <v>0</v>
      </c>
      <c r="W4971" s="64" t="n">
        <f aca="false">IF($K4971="U – needs rule",$P4971,0)</f>
        <v>0</v>
      </c>
      <c r="X4971" s="64" t="n">
        <f aca="false">IF($K4971="No Start (attainment only)",$P4971,0)</f>
        <v>0</v>
      </c>
    </row>
    <row r="4972" customFormat="false" ht="15" hidden="false" customHeight="false" outlineLevel="0" collapsed="false">
      <c r="A4972" s="60"/>
      <c r="B4972" s="61" t="str">
        <f aca="false">IF($M4972=0,"",INDEX(Classes!$E$6:$E$420,$M4972))</f>
        <v/>
      </c>
      <c r="C4972" s="62" t="str">
        <f aca="false">IF($M4972=0,"",INDEX(Classes!$H$6:$H$420,$M4972))</f>
        <v/>
      </c>
      <c r="D4972" s="61" t="str">
        <f aca="false">IF($M4972=0,"",INDEX(Classes!$B$6:$B$420,$M4972))</f>
        <v/>
      </c>
      <c r="E4972" s="61" t="str">
        <f aca="false">IF($M4972=0,"",INDEX(Classes!$C$6:$C$420,$M4972))</f>
        <v/>
      </c>
      <c r="F4972" s="63"/>
      <c r="G4972" s="63"/>
      <c r="H4972" s="60"/>
      <c r="I4972" s="60"/>
      <c r="J4972" s="63"/>
      <c r="K4972" s="61" t="str">
        <f aca="false">IF($P4972=0,"",IF($F4972="Baseline","— Baseline",IF($O4972=0,"No result",IF($N4972=0,"No Start (attainment only)",IF(OR($N4972=1,$O4972=1),"U – needs rule",INDEX(MxBody,MATCH($I4972,MxCurr,0),MATCH($H4972,MxStart,0)))))))</f>
        <v/>
      </c>
      <c r="L4972" s="62" t="str">
        <f aca="false">IF(COUNTA($A4972,$F4972,$G4972,$H4972,$I4972,$J4972)=0,"",IF($M4972=0,"✖ كود الصف غير موجود",IF(ISNA(MATCH($F4972,Lists!$A$2:$A$5,0)),"✖ الفترة غير صحيحة",IF(ISNA(MATCH($G4972,Lists!$B$2:$B$7,0)),"✖ المجموعة غير صحيحة",IF(NOT(OR($H4972="",$N4972&gt;0)),"✖ Start غير صحيح",IF(NOT(OR($I4972="",$I4972="NR",$O4972&gt;0)),"✖ Current غير صحيح",IF(NOT(IF(ISNUMBER($J4972),AND($J4972&gt;=0,$J4972=INT($J4972)),FALSE())),"✖ العدد يجب أن يكون صحيحًا ≥ 0",IF(AND($F4972="Baseline",$H4972&lt;&gt;""),"⚠ Baseline: Start لا يدخل في التقدم",IF($K4972="No Start (attainment only)","ℹ تحصيل فقط (بدون Start)",IF($K4972="U – needs rule","ℹ حالة U تحتاج قاعدة معتمدة",IF($K4972="No result","ℹ بدون نتيجة (يُستبعد من التحصيل)","OK")))))))))))</f>
        <v/>
      </c>
      <c r="M4972" s="64" t="n">
        <f aca="false">IF($A4972="",0,IFERROR(MATCH($A4972,Classes!$A$6:$A$420,0),0))</f>
        <v>0</v>
      </c>
      <c r="N4972" s="64" t="n">
        <f aca="false">IF($H4972="",0,IFERROR(MATCH($H4972,GradeList,0),0))</f>
        <v>0</v>
      </c>
      <c r="O4972" s="64" t="n">
        <f aca="false">IF(OR($I4972="",$I4972="NR"),0,IFERROR(MATCH($I4972,GradeList,0),0))</f>
        <v>0</v>
      </c>
      <c r="P4972" s="64" t="n">
        <f aca="false">IF(AND($M4972&gt;0,ISNUMBER(MATCH($F4972,Lists!$A$2:$A$5,0)),ISNUMBER(MATCH($G4972,Lists!$B$2:$B$7,0)),OR($H4972="",$N4972&gt;0),OR($I4972="",$I4972="NR",$O4972&gt;0),IF(ISNUMBER($J4972),AND($J4972&gt;=0,$J4972=INT($J4972)),FALSE())),$J4972,0)</f>
        <v>0</v>
      </c>
      <c r="Q4972" s="64" t="n">
        <f aca="false">IF(AND($P4972&gt;0,$O4972&gt;0),$P4972,0)</f>
        <v>0</v>
      </c>
      <c r="R4972" s="64" t="n">
        <f aca="false">IF(AND($Q4972&gt;0,$O4972&gt;=AtRank),$Q4972,0)</f>
        <v>0</v>
      </c>
      <c r="S4972" s="64" t="n">
        <f aca="false">IF(AND($Q4972&gt;0,$O4972&gt;=AboveRank),$Q4972,0)</f>
        <v>0</v>
      </c>
      <c r="T4972" s="64" t="n">
        <f aca="false">IF($K4972="Less",$P4972,0)</f>
        <v>0</v>
      </c>
      <c r="U4972" s="64" t="n">
        <f aca="false">IF($K4972="Expected",$P4972,0)</f>
        <v>0</v>
      </c>
      <c r="V4972" s="64" t="n">
        <f aca="false">IF($K4972="Better",$P4972,0)</f>
        <v>0</v>
      </c>
      <c r="W4972" s="64" t="n">
        <f aca="false">IF($K4972="U – needs rule",$P4972,0)</f>
        <v>0</v>
      </c>
      <c r="X4972" s="64" t="n">
        <f aca="false">IF($K4972="No Start (attainment only)",$P4972,0)</f>
        <v>0</v>
      </c>
    </row>
    <row r="4973" customFormat="false" ht="15" hidden="false" customHeight="false" outlineLevel="0" collapsed="false">
      <c r="A4973" s="60"/>
      <c r="B4973" s="61" t="str">
        <f aca="false">IF($M4973=0,"",INDEX(Classes!$E$6:$E$420,$M4973))</f>
        <v/>
      </c>
      <c r="C4973" s="62" t="str">
        <f aca="false">IF($M4973=0,"",INDEX(Classes!$H$6:$H$420,$M4973))</f>
        <v/>
      </c>
      <c r="D4973" s="61" t="str">
        <f aca="false">IF($M4973=0,"",INDEX(Classes!$B$6:$B$420,$M4973))</f>
        <v/>
      </c>
      <c r="E4973" s="61" t="str">
        <f aca="false">IF($M4973=0,"",INDEX(Classes!$C$6:$C$420,$M4973))</f>
        <v/>
      </c>
      <c r="F4973" s="63"/>
      <c r="G4973" s="63"/>
      <c r="H4973" s="60"/>
      <c r="I4973" s="60"/>
      <c r="J4973" s="63"/>
      <c r="K4973" s="61" t="str">
        <f aca="false">IF($P4973=0,"",IF($F4973="Baseline","— Baseline",IF($O4973=0,"No result",IF($N4973=0,"No Start (attainment only)",IF(OR($N4973=1,$O4973=1),"U – needs rule",INDEX(MxBody,MATCH($I4973,MxCurr,0),MATCH($H4973,MxStart,0)))))))</f>
        <v/>
      </c>
      <c r="L4973" s="62" t="str">
        <f aca="false">IF(COUNTA($A4973,$F4973,$G4973,$H4973,$I4973,$J4973)=0,"",IF($M4973=0,"✖ كود الصف غير موجود",IF(ISNA(MATCH($F4973,Lists!$A$2:$A$5,0)),"✖ الفترة غير صحيحة",IF(ISNA(MATCH($G4973,Lists!$B$2:$B$7,0)),"✖ المجموعة غير صحيحة",IF(NOT(OR($H4973="",$N4973&gt;0)),"✖ Start غير صحيح",IF(NOT(OR($I4973="",$I4973="NR",$O4973&gt;0)),"✖ Current غير صحيح",IF(NOT(IF(ISNUMBER($J4973),AND($J4973&gt;=0,$J4973=INT($J4973)),FALSE())),"✖ العدد يجب أن يكون صحيحًا ≥ 0",IF(AND($F4973="Baseline",$H4973&lt;&gt;""),"⚠ Baseline: Start لا يدخل في التقدم",IF($K4973="No Start (attainment only)","ℹ تحصيل فقط (بدون Start)",IF($K4973="U – needs rule","ℹ حالة U تحتاج قاعدة معتمدة",IF($K4973="No result","ℹ بدون نتيجة (يُستبعد من التحصيل)","OK")))))))))))</f>
        <v/>
      </c>
      <c r="M4973" s="64" t="n">
        <f aca="false">IF($A4973="",0,IFERROR(MATCH($A4973,Classes!$A$6:$A$420,0),0))</f>
        <v>0</v>
      </c>
      <c r="N4973" s="64" t="n">
        <f aca="false">IF($H4973="",0,IFERROR(MATCH($H4973,GradeList,0),0))</f>
        <v>0</v>
      </c>
      <c r="O4973" s="64" t="n">
        <f aca="false">IF(OR($I4973="",$I4973="NR"),0,IFERROR(MATCH($I4973,GradeList,0),0))</f>
        <v>0</v>
      </c>
      <c r="P4973" s="64" t="n">
        <f aca="false">IF(AND($M4973&gt;0,ISNUMBER(MATCH($F4973,Lists!$A$2:$A$5,0)),ISNUMBER(MATCH($G4973,Lists!$B$2:$B$7,0)),OR($H4973="",$N4973&gt;0),OR($I4973="",$I4973="NR",$O4973&gt;0),IF(ISNUMBER($J4973),AND($J4973&gt;=0,$J4973=INT($J4973)),FALSE())),$J4973,0)</f>
        <v>0</v>
      </c>
      <c r="Q4973" s="64" t="n">
        <f aca="false">IF(AND($P4973&gt;0,$O4973&gt;0),$P4973,0)</f>
        <v>0</v>
      </c>
      <c r="R4973" s="64" t="n">
        <f aca="false">IF(AND($Q4973&gt;0,$O4973&gt;=AtRank),$Q4973,0)</f>
        <v>0</v>
      </c>
      <c r="S4973" s="64" t="n">
        <f aca="false">IF(AND($Q4973&gt;0,$O4973&gt;=AboveRank),$Q4973,0)</f>
        <v>0</v>
      </c>
      <c r="T4973" s="64" t="n">
        <f aca="false">IF($K4973="Less",$P4973,0)</f>
        <v>0</v>
      </c>
      <c r="U4973" s="64" t="n">
        <f aca="false">IF($K4973="Expected",$P4973,0)</f>
        <v>0</v>
      </c>
      <c r="V4973" s="64" t="n">
        <f aca="false">IF($K4973="Better",$P4973,0)</f>
        <v>0</v>
      </c>
      <c r="W4973" s="64" t="n">
        <f aca="false">IF($K4973="U – needs rule",$P4973,0)</f>
        <v>0</v>
      </c>
      <c r="X4973" s="64" t="n">
        <f aca="false">IF($K4973="No Start (attainment only)",$P4973,0)</f>
        <v>0</v>
      </c>
    </row>
    <row r="4974" customFormat="false" ht="15" hidden="false" customHeight="false" outlineLevel="0" collapsed="false">
      <c r="A4974" s="60"/>
      <c r="B4974" s="61" t="str">
        <f aca="false">IF($M4974=0,"",INDEX(Classes!$E$6:$E$420,$M4974))</f>
        <v/>
      </c>
      <c r="C4974" s="62" t="str">
        <f aca="false">IF($M4974=0,"",INDEX(Classes!$H$6:$H$420,$M4974))</f>
        <v/>
      </c>
      <c r="D4974" s="61" t="str">
        <f aca="false">IF($M4974=0,"",INDEX(Classes!$B$6:$B$420,$M4974))</f>
        <v/>
      </c>
      <c r="E4974" s="61" t="str">
        <f aca="false">IF($M4974=0,"",INDEX(Classes!$C$6:$C$420,$M4974))</f>
        <v/>
      </c>
      <c r="F4974" s="63"/>
      <c r="G4974" s="63"/>
      <c r="H4974" s="60"/>
      <c r="I4974" s="60"/>
      <c r="J4974" s="63"/>
      <c r="K4974" s="61" t="str">
        <f aca="false">IF($P4974=0,"",IF($F4974="Baseline","— Baseline",IF($O4974=0,"No result",IF($N4974=0,"No Start (attainment only)",IF(OR($N4974=1,$O4974=1),"U – needs rule",INDEX(MxBody,MATCH($I4974,MxCurr,0),MATCH($H4974,MxStart,0)))))))</f>
        <v/>
      </c>
      <c r="L4974" s="62" t="str">
        <f aca="false">IF(COUNTA($A4974,$F4974,$G4974,$H4974,$I4974,$J4974)=0,"",IF($M4974=0,"✖ كود الصف غير موجود",IF(ISNA(MATCH($F4974,Lists!$A$2:$A$5,0)),"✖ الفترة غير صحيحة",IF(ISNA(MATCH($G4974,Lists!$B$2:$B$7,0)),"✖ المجموعة غير صحيحة",IF(NOT(OR($H4974="",$N4974&gt;0)),"✖ Start غير صحيح",IF(NOT(OR($I4974="",$I4974="NR",$O4974&gt;0)),"✖ Current غير صحيح",IF(NOT(IF(ISNUMBER($J4974),AND($J4974&gt;=0,$J4974=INT($J4974)),FALSE())),"✖ العدد يجب أن يكون صحيحًا ≥ 0",IF(AND($F4974="Baseline",$H4974&lt;&gt;""),"⚠ Baseline: Start لا يدخل في التقدم",IF($K4974="No Start (attainment only)","ℹ تحصيل فقط (بدون Start)",IF($K4974="U – needs rule","ℹ حالة U تحتاج قاعدة معتمدة",IF($K4974="No result","ℹ بدون نتيجة (يُستبعد من التحصيل)","OK")))))))))))</f>
        <v/>
      </c>
      <c r="M4974" s="64" t="n">
        <f aca="false">IF($A4974="",0,IFERROR(MATCH($A4974,Classes!$A$6:$A$420,0),0))</f>
        <v>0</v>
      </c>
      <c r="N4974" s="64" t="n">
        <f aca="false">IF($H4974="",0,IFERROR(MATCH($H4974,GradeList,0),0))</f>
        <v>0</v>
      </c>
      <c r="O4974" s="64" t="n">
        <f aca="false">IF(OR($I4974="",$I4974="NR"),0,IFERROR(MATCH($I4974,GradeList,0),0))</f>
        <v>0</v>
      </c>
      <c r="P4974" s="64" t="n">
        <f aca="false">IF(AND($M4974&gt;0,ISNUMBER(MATCH($F4974,Lists!$A$2:$A$5,0)),ISNUMBER(MATCH($G4974,Lists!$B$2:$B$7,0)),OR($H4974="",$N4974&gt;0),OR($I4974="",$I4974="NR",$O4974&gt;0),IF(ISNUMBER($J4974),AND($J4974&gt;=0,$J4974=INT($J4974)),FALSE())),$J4974,0)</f>
        <v>0</v>
      </c>
      <c r="Q4974" s="64" t="n">
        <f aca="false">IF(AND($P4974&gt;0,$O4974&gt;0),$P4974,0)</f>
        <v>0</v>
      </c>
      <c r="R4974" s="64" t="n">
        <f aca="false">IF(AND($Q4974&gt;0,$O4974&gt;=AtRank),$Q4974,0)</f>
        <v>0</v>
      </c>
      <c r="S4974" s="64" t="n">
        <f aca="false">IF(AND($Q4974&gt;0,$O4974&gt;=AboveRank),$Q4974,0)</f>
        <v>0</v>
      </c>
      <c r="T4974" s="64" t="n">
        <f aca="false">IF($K4974="Less",$P4974,0)</f>
        <v>0</v>
      </c>
      <c r="U4974" s="64" t="n">
        <f aca="false">IF($K4974="Expected",$P4974,0)</f>
        <v>0</v>
      </c>
      <c r="V4974" s="64" t="n">
        <f aca="false">IF($K4974="Better",$P4974,0)</f>
        <v>0</v>
      </c>
      <c r="W4974" s="64" t="n">
        <f aca="false">IF($K4974="U – needs rule",$P4974,0)</f>
        <v>0</v>
      </c>
      <c r="X4974" s="64" t="n">
        <f aca="false">IF($K4974="No Start (attainment only)",$P4974,0)</f>
        <v>0</v>
      </c>
    </row>
    <row r="4975" customFormat="false" ht="15" hidden="false" customHeight="false" outlineLevel="0" collapsed="false">
      <c r="A4975" s="60"/>
      <c r="B4975" s="61" t="str">
        <f aca="false">IF($M4975=0,"",INDEX(Classes!$E$6:$E$420,$M4975))</f>
        <v/>
      </c>
      <c r="C4975" s="62" t="str">
        <f aca="false">IF($M4975=0,"",INDEX(Classes!$H$6:$H$420,$M4975))</f>
        <v/>
      </c>
      <c r="D4975" s="61" t="str">
        <f aca="false">IF($M4975=0,"",INDEX(Classes!$B$6:$B$420,$M4975))</f>
        <v/>
      </c>
      <c r="E4975" s="61" t="str">
        <f aca="false">IF($M4975=0,"",INDEX(Classes!$C$6:$C$420,$M4975))</f>
        <v/>
      </c>
      <c r="F4975" s="63"/>
      <c r="G4975" s="63"/>
      <c r="H4975" s="60"/>
      <c r="I4975" s="60"/>
      <c r="J4975" s="63"/>
      <c r="K4975" s="61" t="str">
        <f aca="false">IF($P4975=0,"",IF($F4975="Baseline","— Baseline",IF($O4975=0,"No result",IF($N4975=0,"No Start (attainment only)",IF(OR($N4975=1,$O4975=1),"U – needs rule",INDEX(MxBody,MATCH($I4975,MxCurr,0),MATCH($H4975,MxStart,0)))))))</f>
        <v/>
      </c>
      <c r="L4975" s="62" t="str">
        <f aca="false">IF(COUNTA($A4975,$F4975,$G4975,$H4975,$I4975,$J4975)=0,"",IF($M4975=0,"✖ كود الصف غير موجود",IF(ISNA(MATCH($F4975,Lists!$A$2:$A$5,0)),"✖ الفترة غير صحيحة",IF(ISNA(MATCH($G4975,Lists!$B$2:$B$7,0)),"✖ المجموعة غير صحيحة",IF(NOT(OR($H4975="",$N4975&gt;0)),"✖ Start غير صحيح",IF(NOT(OR($I4975="",$I4975="NR",$O4975&gt;0)),"✖ Current غير صحيح",IF(NOT(IF(ISNUMBER($J4975),AND($J4975&gt;=0,$J4975=INT($J4975)),FALSE())),"✖ العدد يجب أن يكون صحيحًا ≥ 0",IF(AND($F4975="Baseline",$H4975&lt;&gt;""),"⚠ Baseline: Start لا يدخل في التقدم",IF($K4975="No Start (attainment only)","ℹ تحصيل فقط (بدون Start)",IF($K4975="U – needs rule","ℹ حالة U تحتاج قاعدة معتمدة",IF($K4975="No result","ℹ بدون نتيجة (يُستبعد من التحصيل)","OK")))))))))))</f>
        <v/>
      </c>
      <c r="M4975" s="64" t="n">
        <f aca="false">IF($A4975="",0,IFERROR(MATCH($A4975,Classes!$A$6:$A$420,0),0))</f>
        <v>0</v>
      </c>
      <c r="N4975" s="64" t="n">
        <f aca="false">IF($H4975="",0,IFERROR(MATCH($H4975,GradeList,0),0))</f>
        <v>0</v>
      </c>
      <c r="O4975" s="64" t="n">
        <f aca="false">IF(OR($I4975="",$I4975="NR"),0,IFERROR(MATCH($I4975,GradeList,0),0))</f>
        <v>0</v>
      </c>
      <c r="P4975" s="64" t="n">
        <f aca="false">IF(AND($M4975&gt;0,ISNUMBER(MATCH($F4975,Lists!$A$2:$A$5,0)),ISNUMBER(MATCH($G4975,Lists!$B$2:$B$7,0)),OR($H4975="",$N4975&gt;0),OR($I4975="",$I4975="NR",$O4975&gt;0),IF(ISNUMBER($J4975),AND($J4975&gt;=0,$J4975=INT($J4975)),FALSE())),$J4975,0)</f>
        <v>0</v>
      </c>
      <c r="Q4975" s="64" t="n">
        <f aca="false">IF(AND($P4975&gt;0,$O4975&gt;0),$P4975,0)</f>
        <v>0</v>
      </c>
      <c r="R4975" s="64" t="n">
        <f aca="false">IF(AND($Q4975&gt;0,$O4975&gt;=AtRank),$Q4975,0)</f>
        <v>0</v>
      </c>
      <c r="S4975" s="64" t="n">
        <f aca="false">IF(AND($Q4975&gt;0,$O4975&gt;=AboveRank),$Q4975,0)</f>
        <v>0</v>
      </c>
      <c r="T4975" s="64" t="n">
        <f aca="false">IF($K4975="Less",$P4975,0)</f>
        <v>0</v>
      </c>
      <c r="U4975" s="64" t="n">
        <f aca="false">IF($K4975="Expected",$P4975,0)</f>
        <v>0</v>
      </c>
      <c r="V4975" s="64" t="n">
        <f aca="false">IF($K4975="Better",$P4975,0)</f>
        <v>0</v>
      </c>
      <c r="W4975" s="64" t="n">
        <f aca="false">IF($K4975="U – needs rule",$P4975,0)</f>
        <v>0</v>
      </c>
      <c r="X4975" s="64" t="n">
        <f aca="false">IF($K4975="No Start (attainment only)",$P4975,0)</f>
        <v>0</v>
      </c>
    </row>
    <row r="4976" customFormat="false" ht="15" hidden="false" customHeight="false" outlineLevel="0" collapsed="false">
      <c r="A4976" s="60"/>
      <c r="B4976" s="61" t="str">
        <f aca="false">IF($M4976=0,"",INDEX(Classes!$E$6:$E$420,$M4976))</f>
        <v/>
      </c>
      <c r="C4976" s="62" t="str">
        <f aca="false">IF($M4976=0,"",INDEX(Classes!$H$6:$H$420,$M4976))</f>
        <v/>
      </c>
      <c r="D4976" s="61" t="str">
        <f aca="false">IF($M4976=0,"",INDEX(Classes!$B$6:$B$420,$M4976))</f>
        <v/>
      </c>
      <c r="E4976" s="61" t="str">
        <f aca="false">IF($M4976=0,"",INDEX(Classes!$C$6:$C$420,$M4976))</f>
        <v/>
      </c>
      <c r="F4976" s="63"/>
      <c r="G4976" s="63"/>
      <c r="H4976" s="60"/>
      <c r="I4976" s="60"/>
      <c r="J4976" s="63"/>
      <c r="K4976" s="61" t="str">
        <f aca="false">IF($P4976=0,"",IF($F4976="Baseline","— Baseline",IF($O4976=0,"No result",IF($N4976=0,"No Start (attainment only)",IF(OR($N4976=1,$O4976=1),"U – needs rule",INDEX(MxBody,MATCH($I4976,MxCurr,0),MATCH($H4976,MxStart,0)))))))</f>
        <v/>
      </c>
      <c r="L4976" s="62" t="str">
        <f aca="false">IF(COUNTA($A4976,$F4976,$G4976,$H4976,$I4976,$J4976)=0,"",IF($M4976=0,"✖ كود الصف غير موجود",IF(ISNA(MATCH($F4976,Lists!$A$2:$A$5,0)),"✖ الفترة غير صحيحة",IF(ISNA(MATCH($G4976,Lists!$B$2:$B$7,0)),"✖ المجموعة غير صحيحة",IF(NOT(OR($H4976="",$N4976&gt;0)),"✖ Start غير صحيح",IF(NOT(OR($I4976="",$I4976="NR",$O4976&gt;0)),"✖ Current غير صحيح",IF(NOT(IF(ISNUMBER($J4976),AND($J4976&gt;=0,$J4976=INT($J4976)),FALSE())),"✖ العدد يجب أن يكون صحيحًا ≥ 0",IF(AND($F4976="Baseline",$H4976&lt;&gt;""),"⚠ Baseline: Start لا يدخل في التقدم",IF($K4976="No Start (attainment only)","ℹ تحصيل فقط (بدون Start)",IF($K4976="U – needs rule","ℹ حالة U تحتاج قاعدة معتمدة",IF($K4976="No result","ℹ بدون نتيجة (يُستبعد من التحصيل)","OK")))))))))))</f>
        <v/>
      </c>
      <c r="M4976" s="64" t="n">
        <f aca="false">IF($A4976="",0,IFERROR(MATCH($A4976,Classes!$A$6:$A$420,0),0))</f>
        <v>0</v>
      </c>
      <c r="N4976" s="64" t="n">
        <f aca="false">IF($H4976="",0,IFERROR(MATCH($H4976,GradeList,0),0))</f>
        <v>0</v>
      </c>
      <c r="O4976" s="64" t="n">
        <f aca="false">IF(OR($I4976="",$I4976="NR"),0,IFERROR(MATCH($I4976,GradeList,0),0))</f>
        <v>0</v>
      </c>
      <c r="P4976" s="64" t="n">
        <f aca="false">IF(AND($M4976&gt;0,ISNUMBER(MATCH($F4976,Lists!$A$2:$A$5,0)),ISNUMBER(MATCH($G4976,Lists!$B$2:$B$7,0)),OR($H4976="",$N4976&gt;0),OR($I4976="",$I4976="NR",$O4976&gt;0),IF(ISNUMBER($J4976),AND($J4976&gt;=0,$J4976=INT($J4976)),FALSE())),$J4976,0)</f>
        <v>0</v>
      </c>
      <c r="Q4976" s="64" t="n">
        <f aca="false">IF(AND($P4976&gt;0,$O4976&gt;0),$P4976,0)</f>
        <v>0</v>
      </c>
      <c r="R4976" s="64" t="n">
        <f aca="false">IF(AND($Q4976&gt;0,$O4976&gt;=AtRank),$Q4976,0)</f>
        <v>0</v>
      </c>
      <c r="S4976" s="64" t="n">
        <f aca="false">IF(AND($Q4976&gt;0,$O4976&gt;=AboveRank),$Q4976,0)</f>
        <v>0</v>
      </c>
      <c r="T4976" s="64" t="n">
        <f aca="false">IF($K4976="Less",$P4976,0)</f>
        <v>0</v>
      </c>
      <c r="U4976" s="64" t="n">
        <f aca="false">IF($K4976="Expected",$P4976,0)</f>
        <v>0</v>
      </c>
      <c r="V4976" s="64" t="n">
        <f aca="false">IF($K4976="Better",$P4976,0)</f>
        <v>0</v>
      </c>
      <c r="W4976" s="64" t="n">
        <f aca="false">IF($K4976="U – needs rule",$P4976,0)</f>
        <v>0</v>
      </c>
      <c r="X4976" s="64" t="n">
        <f aca="false">IF($K4976="No Start (attainment only)",$P4976,0)</f>
        <v>0</v>
      </c>
    </row>
    <row r="4977" customFormat="false" ht="15" hidden="false" customHeight="false" outlineLevel="0" collapsed="false">
      <c r="A4977" s="60"/>
      <c r="B4977" s="61" t="str">
        <f aca="false">IF($M4977=0,"",INDEX(Classes!$E$6:$E$420,$M4977))</f>
        <v/>
      </c>
      <c r="C4977" s="62" t="str">
        <f aca="false">IF($M4977=0,"",INDEX(Classes!$H$6:$H$420,$M4977))</f>
        <v/>
      </c>
      <c r="D4977" s="61" t="str">
        <f aca="false">IF($M4977=0,"",INDEX(Classes!$B$6:$B$420,$M4977))</f>
        <v/>
      </c>
      <c r="E4977" s="61" t="str">
        <f aca="false">IF($M4977=0,"",INDEX(Classes!$C$6:$C$420,$M4977))</f>
        <v/>
      </c>
      <c r="F4977" s="63"/>
      <c r="G4977" s="63"/>
      <c r="H4977" s="60"/>
      <c r="I4977" s="60"/>
      <c r="J4977" s="63"/>
      <c r="K4977" s="61" t="str">
        <f aca="false">IF($P4977=0,"",IF($F4977="Baseline","— Baseline",IF($O4977=0,"No result",IF($N4977=0,"No Start (attainment only)",IF(OR($N4977=1,$O4977=1),"U – needs rule",INDEX(MxBody,MATCH($I4977,MxCurr,0),MATCH($H4977,MxStart,0)))))))</f>
        <v/>
      </c>
      <c r="L4977" s="62" t="str">
        <f aca="false">IF(COUNTA($A4977,$F4977,$G4977,$H4977,$I4977,$J4977)=0,"",IF($M4977=0,"✖ كود الصف غير موجود",IF(ISNA(MATCH($F4977,Lists!$A$2:$A$5,0)),"✖ الفترة غير صحيحة",IF(ISNA(MATCH($G4977,Lists!$B$2:$B$7,0)),"✖ المجموعة غير صحيحة",IF(NOT(OR($H4977="",$N4977&gt;0)),"✖ Start غير صحيح",IF(NOT(OR($I4977="",$I4977="NR",$O4977&gt;0)),"✖ Current غير صحيح",IF(NOT(IF(ISNUMBER($J4977),AND($J4977&gt;=0,$J4977=INT($J4977)),FALSE())),"✖ العدد يجب أن يكون صحيحًا ≥ 0",IF(AND($F4977="Baseline",$H4977&lt;&gt;""),"⚠ Baseline: Start لا يدخل في التقدم",IF($K4977="No Start (attainment only)","ℹ تحصيل فقط (بدون Start)",IF($K4977="U – needs rule","ℹ حالة U تحتاج قاعدة معتمدة",IF($K4977="No result","ℹ بدون نتيجة (يُستبعد من التحصيل)","OK")))))))))))</f>
        <v/>
      </c>
      <c r="M4977" s="64" t="n">
        <f aca="false">IF($A4977="",0,IFERROR(MATCH($A4977,Classes!$A$6:$A$420,0),0))</f>
        <v>0</v>
      </c>
      <c r="N4977" s="64" t="n">
        <f aca="false">IF($H4977="",0,IFERROR(MATCH($H4977,GradeList,0),0))</f>
        <v>0</v>
      </c>
      <c r="O4977" s="64" t="n">
        <f aca="false">IF(OR($I4977="",$I4977="NR"),0,IFERROR(MATCH($I4977,GradeList,0),0))</f>
        <v>0</v>
      </c>
      <c r="P4977" s="64" t="n">
        <f aca="false">IF(AND($M4977&gt;0,ISNUMBER(MATCH($F4977,Lists!$A$2:$A$5,0)),ISNUMBER(MATCH($G4977,Lists!$B$2:$B$7,0)),OR($H4977="",$N4977&gt;0),OR($I4977="",$I4977="NR",$O4977&gt;0),IF(ISNUMBER($J4977),AND($J4977&gt;=0,$J4977=INT($J4977)),FALSE())),$J4977,0)</f>
        <v>0</v>
      </c>
      <c r="Q4977" s="64" t="n">
        <f aca="false">IF(AND($P4977&gt;0,$O4977&gt;0),$P4977,0)</f>
        <v>0</v>
      </c>
      <c r="R4977" s="64" t="n">
        <f aca="false">IF(AND($Q4977&gt;0,$O4977&gt;=AtRank),$Q4977,0)</f>
        <v>0</v>
      </c>
      <c r="S4977" s="64" t="n">
        <f aca="false">IF(AND($Q4977&gt;0,$O4977&gt;=AboveRank),$Q4977,0)</f>
        <v>0</v>
      </c>
      <c r="T4977" s="64" t="n">
        <f aca="false">IF($K4977="Less",$P4977,0)</f>
        <v>0</v>
      </c>
      <c r="U4977" s="64" t="n">
        <f aca="false">IF($K4977="Expected",$P4977,0)</f>
        <v>0</v>
      </c>
      <c r="V4977" s="64" t="n">
        <f aca="false">IF($K4977="Better",$P4977,0)</f>
        <v>0</v>
      </c>
      <c r="W4977" s="64" t="n">
        <f aca="false">IF($K4977="U – needs rule",$P4977,0)</f>
        <v>0</v>
      </c>
      <c r="X4977" s="64" t="n">
        <f aca="false">IF($K4977="No Start (attainment only)",$P4977,0)</f>
        <v>0</v>
      </c>
    </row>
    <row r="4978" customFormat="false" ht="15" hidden="false" customHeight="false" outlineLevel="0" collapsed="false">
      <c r="A4978" s="60"/>
      <c r="B4978" s="61" t="str">
        <f aca="false">IF($M4978=0,"",INDEX(Classes!$E$6:$E$420,$M4978))</f>
        <v/>
      </c>
      <c r="C4978" s="62" t="str">
        <f aca="false">IF($M4978=0,"",INDEX(Classes!$H$6:$H$420,$M4978))</f>
        <v/>
      </c>
      <c r="D4978" s="61" t="str">
        <f aca="false">IF($M4978=0,"",INDEX(Classes!$B$6:$B$420,$M4978))</f>
        <v/>
      </c>
      <c r="E4978" s="61" t="str">
        <f aca="false">IF($M4978=0,"",INDEX(Classes!$C$6:$C$420,$M4978))</f>
        <v/>
      </c>
      <c r="F4978" s="63"/>
      <c r="G4978" s="63"/>
      <c r="H4978" s="60"/>
      <c r="I4978" s="60"/>
      <c r="J4978" s="63"/>
      <c r="K4978" s="61" t="str">
        <f aca="false">IF($P4978=0,"",IF($F4978="Baseline","— Baseline",IF($O4978=0,"No result",IF($N4978=0,"No Start (attainment only)",IF(OR($N4978=1,$O4978=1),"U – needs rule",INDEX(MxBody,MATCH($I4978,MxCurr,0),MATCH($H4978,MxStart,0)))))))</f>
        <v/>
      </c>
      <c r="L4978" s="62" t="str">
        <f aca="false">IF(COUNTA($A4978,$F4978,$G4978,$H4978,$I4978,$J4978)=0,"",IF($M4978=0,"✖ كود الصف غير موجود",IF(ISNA(MATCH($F4978,Lists!$A$2:$A$5,0)),"✖ الفترة غير صحيحة",IF(ISNA(MATCH($G4978,Lists!$B$2:$B$7,0)),"✖ المجموعة غير صحيحة",IF(NOT(OR($H4978="",$N4978&gt;0)),"✖ Start غير صحيح",IF(NOT(OR($I4978="",$I4978="NR",$O4978&gt;0)),"✖ Current غير صحيح",IF(NOT(IF(ISNUMBER($J4978),AND($J4978&gt;=0,$J4978=INT($J4978)),FALSE())),"✖ العدد يجب أن يكون صحيحًا ≥ 0",IF(AND($F4978="Baseline",$H4978&lt;&gt;""),"⚠ Baseline: Start لا يدخل في التقدم",IF($K4978="No Start (attainment only)","ℹ تحصيل فقط (بدون Start)",IF($K4978="U – needs rule","ℹ حالة U تحتاج قاعدة معتمدة",IF($K4978="No result","ℹ بدون نتيجة (يُستبعد من التحصيل)","OK")))))))))))</f>
        <v/>
      </c>
      <c r="M4978" s="64" t="n">
        <f aca="false">IF($A4978="",0,IFERROR(MATCH($A4978,Classes!$A$6:$A$420,0),0))</f>
        <v>0</v>
      </c>
      <c r="N4978" s="64" t="n">
        <f aca="false">IF($H4978="",0,IFERROR(MATCH($H4978,GradeList,0),0))</f>
        <v>0</v>
      </c>
      <c r="O4978" s="64" t="n">
        <f aca="false">IF(OR($I4978="",$I4978="NR"),0,IFERROR(MATCH($I4978,GradeList,0),0))</f>
        <v>0</v>
      </c>
      <c r="P4978" s="64" t="n">
        <f aca="false">IF(AND($M4978&gt;0,ISNUMBER(MATCH($F4978,Lists!$A$2:$A$5,0)),ISNUMBER(MATCH($G4978,Lists!$B$2:$B$7,0)),OR($H4978="",$N4978&gt;0),OR($I4978="",$I4978="NR",$O4978&gt;0),IF(ISNUMBER($J4978),AND($J4978&gt;=0,$J4978=INT($J4978)),FALSE())),$J4978,0)</f>
        <v>0</v>
      </c>
      <c r="Q4978" s="64" t="n">
        <f aca="false">IF(AND($P4978&gt;0,$O4978&gt;0),$P4978,0)</f>
        <v>0</v>
      </c>
      <c r="R4978" s="64" t="n">
        <f aca="false">IF(AND($Q4978&gt;0,$O4978&gt;=AtRank),$Q4978,0)</f>
        <v>0</v>
      </c>
      <c r="S4978" s="64" t="n">
        <f aca="false">IF(AND($Q4978&gt;0,$O4978&gt;=AboveRank),$Q4978,0)</f>
        <v>0</v>
      </c>
      <c r="T4978" s="64" t="n">
        <f aca="false">IF($K4978="Less",$P4978,0)</f>
        <v>0</v>
      </c>
      <c r="U4978" s="64" t="n">
        <f aca="false">IF($K4978="Expected",$P4978,0)</f>
        <v>0</v>
      </c>
      <c r="V4978" s="64" t="n">
        <f aca="false">IF($K4978="Better",$P4978,0)</f>
        <v>0</v>
      </c>
      <c r="W4978" s="64" t="n">
        <f aca="false">IF($K4978="U – needs rule",$P4978,0)</f>
        <v>0</v>
      </c>
      <c r="X4978" s="64" t="n">
        <f aca="false">IF($K4978="No Start (attainment only)",$P4978,0)</f>
        <v>0</v>
      </c>
    </row>
    <row r="4979" customFormat="false" ht="15" hidden="false" customHeight="false" outlineLevel="0" collapsed="false">
      <c r="A4979" s="60"/>
      <c r="B4979" s="61" t="str">
        <f aca="false">IF($M4979=0,"",INDEX(Classes!$E$6:$E$420,$M4979))</f>
        <v/>
      </c>
      <c r="C4979" s="62" t="str">
        <f aca="false">IF($M4979=0,"",INDEX(Classes!$H$6:$H$420,$M4979))</f>
        <v/>
      </c>
      <c r="D4979" s="61" t="str">
        <f aca="false">IF($M4979=0,"",INDEX(Classes!$B$6:$B$420,$M4979))</f>
        <v/>
      </c>
      <c r="E4979" s="61" t="str">
        <f aca="false">IF($M4979=0,"",INDEX(Classes!$C$6:$C$420,$M4979))</f>
        <v/>
      </c>
      <c r="F4979" s="63"/>
      <c r="G4979" s="63"/>
      <c r="H4979" s="60"/>
      <c r="I4979" s="60"/>
      <c r="J4979" s="63"/>
      <c r="K4979" s="61" t="str">
        <f aca="false">IF($P4979=0,"",IF($F4979="Baseline","— Baseline",IF($O4979=0,"No result",IF($N4979=0,"No Start (attainment only)",IF(OR($N4979=1,$O4979=1),"U – needs rule",INDEX(MxBody,MATCH($I4979,MxCurr,0),MATCH($H4979,MxStart,0)))))))</f>
        <v/>
      </c>
      <c r="L4979" s="62" t="str">
        <f aca="false">IF(COUNTA($A4979,$F4979,$G4979,$H4979,$I4979,$J4979)=0,"",IF($M4979=0,"✖ كود الصف غير موجود",IF(ISNA(MATCH($F4979,Lists!$A$2:$A$5,0)),"✖ الفترة غير صحيحة",IF(ISNA(MATCH($G4979,Lists!$B$2:$B$7,0)),"✖ المجموعة غير صحيحة",IF(NOT(OR($H4979="",$N4979&gt;0)),"✖ Start غير صحيح",IF(NOT(OR($I4979="",$I4979="NR",$O4979&gt;0)),"✖ Current غير صحيح",IF(NOT(IF(ISNUMBER($J4979),AND($J4979&gt;=0,$J4979=INT($J4979)),FALSE())),"✖ العدد يجب أن يكون صحيحًا ≥ 0",IF(AND($F4979="Baseline",$H4979&lt;&gt;""),"⚠ Baseline: Start لا يدخل في التقدم",IF($K4979="No Start (attainment only)","ℹ تحصيل فقط (بدون Start)",IF($K4979="U – needs rule","ℹ حالة U تحتاج قاعدة معتمدة",IF($K4979="No result","ℹ بدون نتيجة (يُستبعد من التحصيل)","OK")))))))))))</f>
        <v/>
      </c>
      <c r="M4979" s="64" t="n">
        <f aca="false">IF($A4979="",0,IFERROR(MATCH($A4979,Classes!$A$6:$A$420,0),0))</f>
        <v>0</v>
      </c>
      <c r="N4979" s="64" t="n">
        <f aca="false">IF($H4979="",0,IFERROR(MATCH($H4979,GradeList,0),0))</f>
        <v>0</v>
      </c>
      <c r="O4979" s="64" t="n">
        <f aca="false">IF(OR($I4979="",$I4979="NR"),0,IFERROR(MATCH($I4979,GradeList,0),0))</f>
        <v>0</v>
      </c>
      <c r="P4979" s="64" t="n">
        <f aca="false">IF(AND($M4979&gt;0,ISNUMBER(MATCH($F4979,Lists!$A$2:$A$5,0)),ISNUMBER(MATCH($G4979,Lists!$B$2:$B$7,0)),OR($H4979="",$N4979&gt;0),OR($I4979="",$I4979="NR",$O4979&gt;0),IF(ISNUMBER($J4979),AND($J4979&gt;=0,$J4979=INT($J4979)),FALSE())),$J4979,0)</f>
        <v>0</v>
      </c>
      <c r="Q4979" s="64" t="n">
        <f aca="false">IF(AND($P4979&gt;0,$O4979&gt;0),$P4979,0)</f>
        <v>0</v>
      </c>
      <c r="R4979" s="64" t="n">
        <f aca="false">IF(AND($Q4979&gt;0,$O4979&gt;=AtRank),$Q4979,0)</f>
        <v>0</v>
      </c>
      <c r="S4979" s="64" t="n">
        <f aca="false">IF(AND($Q4979&gt;0,$O4979&gt;=AboveRank),$Q4979,0)</f>
        <v>0</v>
      </c>
      <c r="T4979" s="64" t="n">
        <f aca="false">IF($K4979="Less",$P4979,0)</f>
        <v>0</v>
      </c>
      <c r="U4979" s="64" t="n">
        <f aca="false">IF($K4979="Expected",$P4979,0)</f>
        <v>0</v>
      </c>
      <c r="V4979" s="64" t="n">
        <f aca="false">IF($K4979="Better",$P4979,0)</f>
        <v>0</v>
      </c>
      <c r="W4979" s="64" t="n">
        <f aca="false">IF($K4979="U – needs rule",$P4979,0)</f>
        <v>0</v>
      </c>
      <c r="X4979" s="64" t="n">
        <f aca="false">IF($K4979="No Start (attainment only)",$P4979,0)</f>
        <v>0</v>
      </c>
    </row>
    <row r="4980" customFormat="false" ht="15" hidden="false" customHeight="false" outlineLevel="0" collapsed="false">
      <c r="A4980" s="60"/>
      <c r="B4980" s="61" t="str">
        <f aca="false">IF($M4980=0,"",INDEX(Classes!$E$6:$E$420,$M4980))</f>
        <v/>
      </c>
      <c r="C4980" s="62" t="str">
        <f aca="false">IF($M4980=0,"",INDEX(Classes!$H$6:$H$420,$M4980))</f>
        <v/>
      </c>
      <c r="D4980" s="61" t="str">
        <f aca="false">IF($M4980=0,"",INDEX(Classes!$B$6:$B$420,$M4980))</f>
        <v/>
      </c>
      <c r="E4980" s="61" t="str">
        <f aca="false">IF($M4980=0,"",INDEX(Classes!$C$6:$C$420,$M4980))</f>
        <v/>
      </c>
      <c r="F4980" s="63"/>
      <c r="G4980" s="63"/>
      <c r="H4980" s="60"/>
      <c r="I4980" s="60"/>
      <c r="J4980" s="63"/>
      <c r="K4980" s="61" t="str">
        <f aca="false">IF($P4980=0,"",IF($F4980="Baseline","— Baseline",IF($O4980=0,"No result",IF($N4980=0,"No Start (attainment only)",IF(OR($N4980=1,$O4980=1),"U – needs rule",INDEX(MxBody,MATCH($I4980,MxCurr,0),MATCH($H4980,MxStart,0)))))))</f>
        <v/>
      </c>
      <c r="L4980" s="62" t="str">
        <f aca="false">IF(COUNTA($A4980,$F4980,$G4980,$H4980,$I4980,$J4980)=0,"",IF($M4980=0,"✖ كود الصف غير موجود",IF(ISNA(MATCH($F4980,Lists!$A$2:$A$5,0)),"✖ الفترة غير صحيحة",IF(ISNA(MATCH($G4980,Lists!$B$2:$B$7,0)),"✖ المجموعة غير صحيحة",IF(NOT(OR($H4980="",$N4980&gt;0)),"✖ Start غير صحيح",IF(NOT(OR($I4980="",$I4980="NR",$O4980&gt;0)),"✖ Current غير صحيح",IF(NOT(IF(ISNUMBER($J4980),AND($J4980&gt;=0,$J4980=INT($J4980)),FALSE())),"✖ العدد يجب أن يكون صحيحًا ≥ 0",IF(AND($F4980="Baseline",$H4980&lt;&gt;""),"⚠ Baseline: Start لا يدخل في التقدم",IF($K4980="No Start (attainment only)","ℹ تحصيل فقط (بدون Start)",IF($K4980="U – needs rule","ℹ حالة U تحتاج قاعدة معتمدة",IF($K4980="No result","ℹ بدون نتيجة (يُستبعد من التحصيل)","OK")))))))))))</f>
        <v/>
      </c>
      <c r="M4980" s="64" t="n">
        <f aca="false">IF($A4980="",0,IFERROR(MATCH($A4980,Classes!$A$6:$A$420,0),0))</f>
        <v>0</v>
      </c>
      <c r="N4980" s="64" t="n">
        <f aca="false">IF($H4980="",0,IFERROR(MATCH($H4980,GradeList,0),0))</f>
        <v>0</v>
      </c>
      <c r="O4980" s="64" t="n">
        <f aca="false">IF(OR($I4980="",$I4980="NR"),0,IFERROR(MATCH($I4980,GradeList,0),0))</f>
        <v>0</v>
      </c>
      <c r="P4980" s="64" t="n">
        <f aca="false">IF(AND($M4980&gt;0,ISNUMBER(MATCH($F4980,Lists!$A$2:$A$5,0)),ISNUMBER(MATCH($G4980,Lists!$B$2:$B$7,0)),OR($H4980="",$N4980&gt;0),OR($I4980="",$I4980="NR",$O4980&gt;0),IF(ISNUMBER($J4980),AND($J4980&gt;=0,$J4980=INT($J4980)),FALSE())),$J4980,0)</f>
        <v>0</v>
      </c>
      <c r="Q4980" s="64" t="n">
        <f aca="false">IF(AND($P4980&gt;0,$O4980&gt;0),$P4980,0)</f>
        <v>0</v>
      </c>
      <c r="R4980" s="64" t="n">
        <f aca="false">IF(AND($Q4980&gt;0,$O4980&gt;=AtRank),$Q4980,0)</f>
        <v>0</v>
      </c>
      <c r="S4980" s="64" t="n">
        <f aca="false">IF(AND($Q4980&gt;0,$O4980&gt;=AboveRank),$Q4980,0)</f>
        <v>0</v>
      </c>
      <c r="T4980" s="64" t="n">
        <f aca="false">IF($K4980="Less",$P4980,0)</f>
        <v>0</v>
      </c>
      <c r="U4980" s="64" t="n">
        <f aca="false">IF($K4980="Expected",$P4980,0)</f>
        <v>0</v>
      </c>
      <c r="V4980" s="64" t="n">
        <f aca="false">IF($K4980="Better",$P4980,0)</f>
        <v>0</v>
      </c>
      <c r="W4980" s="64" t="n">
        <f aca="false">IF($K4980="U – needs rule",$P4980,0)</f>
        <v>0</v>
      </c>
      <c r="X4980" s="64" t="n">
        <f aca="false">IF($K4980="No Start (attainment only)",$P4980,0)</f>
        <v>0</v>
      </c>
    </row>
    <row r="4981" customFormat="false" ht="15" hidden="false" customHeight="false" outlineLevel="0" collapsed="false">
      <c r="A4981" s="60"/>
      <c r="B4981" s="61" t="str">
        <f aca="false">IF($M4981=0,"",INDEX(Classes!$E$6:$E$420,$M4981))</f>
        <v/>
      </c>
      <c r="C4981" s="62" t="str">
        <f aca="false">IF($M4981=0,"",INDEX(Classes!$H$6:$H$420,$M4981))</f>
        <v/>
      </c>
      <c r="D4981" s="61" t="str">
        <f aca="false">IF($M4981=0,"",INDEX(Classes!$B$6:$B$420,$M4981))</f>
        <v/>
      </c>
      <c r="E4981" s="61" t="str">
        <f aca="false">IF($M4981=0,"",INDEX(Classes!$C$6:$C$420,$M4981))</f>
        <v/>
      </c>
      <c r="F4981" s="63"/>
      <c r="G4981" s="63"/>
      <c r="H4981" s="60"/>
      <c r="I4981" s="60"/>
      <c r="J4981" s="63"/>
      <c r="K4981" s="61" t="str">
        <f aca="false">IF($P4981=0,"",IF($F4981="Baseline","— Baseline",IF($O4981=0,"No result",IF($N4981=0,"No Start (attainment only)",IF(OR($N4981=1,$O4981=1),"U – needs rule",INDEX(MxBody,MATCH($I4981,MxCurr,0),MATCH($H4981,MxStart,0)))))))</f>
        <v/>
      </c>
      <c r="L4981" s="62" t="str">
        <f aca="false">IF(COUNTA($A4981,$F4981,$G4981,$H4981,$I4981,$J4981)=0,"",IF($M4981=0,"✖ كود الصف غير موجود",IF(ISNA(MATCH($F4981,Lists!$A$2:$A$5,0)),"✖ الفترة غير صحيحة",IF(ISNA(MATCH($G4981,Lists!$B$2:$B$7,0)),"✖ المجموعة غير صحيحة",IF(NOT(OR($H4981="",$N4981&gt;0)),"✖ Start غير صحيح",IF(NOT(OR($I4981="",$I4981="NR",$O4981&gt;0)),"✖ Current غير صحيح",IF(NOT(IF(ISNUMBER($J4981),AND($J4981&gt;=0,$J4981=INT($J4981)),FALSE())),"✖ العدد يجب أن يكون صحيحًا ≥ 0",IF(AND($F4981="Baseline",$H4981&lt;&gt;""),"⚠ Baseline: Start لا يدخل في التقدم",IF($K4981="No Start (attainment only)","ℹ تحصيل فقط (بدون Start)",IF($K4981="U – needs rule","ℹ حالة U تحتاج قاعدة معتمدة",IF($K4981="No result","ℹ بدون نتيجة (يُستبعد من التحصيل)","OK")))))))))))</f>
        <v/>
      </c>
      <c r="M4981" s="64" t="n">
        <f aca="false">IF($A4981="",0,IFERROR(MATCH($A4981,Classes!$A$6:$A$420,0),0))</f>
        <v>0</v>
      </c>
      <c r="N4981" s="64" t="n">
        <f aca="false">IF($H4981="",0,IFERROR(MATCH($H4981,GradeList,0),0))</f>
        <v>0</v>
      </c>
      <c r="O4981" s="64" t="n">
        <f aca="false">IF(OR($I4981="",$I4981="NR"),0,IFERROR(MATCH($I4981,GradeList,0),0))</f>
        <v>0</v>
      </c>
      <c r="P4981" s="64" t="n">
        <f aca="false">IF(AND($M4981&gt;0,ISNUMBER(MATCH($F4981,Lists!$A$2:$A$5,0)),ISNUMBER(MATCH($G4981,Lists!$B$2:$B$7,0)),OR($H4981="",$N4981&gt;0),OR($I4981="",$I4981="NR",$O4981&gt;0),IF(ISNUMBER($J4981),AND($J4981&gt;=0,$J4981=INT($J4981)),FALSE())),$J4981,0)</f>
        <v>0</v>
      </c>
      <c r="Q4981" s="64" t="n">
        <f aca="false">IF(AND($P4981&gt;0,$O4981&gt;0),$P4981,0)</f>
        <v>0</v>
      </c>
      <c r="R4981" s="64" t="n">
        <f aca="false">IF(AND($Q4981&gt;0,$O4981&gt;=AtRank),$Q4981,0)</f>
        <v>0</v>
      </c>
      <c r="S4981" s="64" t="n">
        <f aca="false">IF(AND($Q4981&gt;0,$O4981&gt;=AboveRank),$Q4981,0)</f>
        <v>0</v>
      </c>
      <c r="T4981" s="64" t="n">
        <f aca="false">IF($K4981="Less",$P4981,0)</f>
        <v>0</v>
      </c>
      <c r="U4981" s="64" t="n">
        <f aca="false">IF($K4981="Expected",$P4981,0)</f>
        <v>0</v>
      </c>
      <c r="V4981" s="64" t="n">
        <f aca="false">IF($K4981="Better",$P4981,0)</f>
        <v>0</v>
      </c>
      <c r="W4981" s="64" t="n">
        <f aca="false">IF($K4981="U – needs rule",$P4981,0)</f>
        <v>0</v>
      </c>
      <c r="X4981" s="64" t="n">
        <f aca="false">IF($K4981="No Start (attainment only)",$P4981,0)</f>
        <v>0</v>
      </c>
    </row>
    <row r="4982" customFormat="false" ht="15" hidden="false" customHeight="false" outlineLevel="0" collapsed="false">
      <c r="A4982" s="60"/>
      <c r="B4982" s="61" t="str">
        <f aca="false">IF($M4982=0,"",INDEX(Classes!$E$6:$E$420,$M4982))</f>
        <v/>
      </c>
      <c r="C4982" s="62" t="str">
        <f aca="false">IF($M4982=0,"",INDEX(Classes!$H$6:$H$420,$M4982))</f>
        <v/>
      </c>
      <c r="D4982" s="61" t="str">
        <f aca="false">IF($M4982=0,"",INDEX(Classes!$B$6:$B$420,$M4982))</f>
        <v/>
      </c>
      <c r="E4982" s="61" t="str">
        <f aca="false">IF($M4982=0,"",INDEX(Classes!$C$6:$C$420,$M4982))</f>
        <v/>
      </c>
      <c r="F4982" s="63"/>
      <c r="G4982" s="63"/>
      <c r="H4982" s="60"/>
      <c r="I4982" s="60"/>
      <c r="J4982" s="63"/>
      <c r="K4982" s="61" t="str">
        <f aca="false">IF($P4982=0,"",IF($F4982="Baseline","— Baseline",IF($O4982=0,"No result",IF($N4982=0,"No Start (attainment only)",IF(OR($N4982=1,$O4982=1),"U – needs rule",INDEX(MxBody,MATCH($I4982,MxCurr,0),MATCH($H4982,MxStart,0)))))))</f>
        <v/>
      </c>
      <c r="L4982" s="62" t="str">
        <f aca="false">IF(COUNTA($A4982,$F4982,$G4982,$H4982,$I4982,$J4982)=0,"",IF($M4982=0,"✖ كود الصف غير موجود",IF(ISNA(MATCH($F4982,Lists!$A$2:$A$5,0)),"✖ الفترة غير صحيحة",IF(ISNA(MATCH($G4982,Lists!$B$2:$B$7,0)),"✖ المجموعة غير صحيحة",IF(NOT(OR($H4982="",$N4982&gt;0)),"✖ Start غير صحيح",IF(NOT(OR($I4982="",$I4982="NR",$O4982&gt;0)),"✖ Current غير صحيح",IF(NOT(IF(ISNUMBER($J4982),AND($J4982&gt;=0,$J4982=INT($J4982)),FALSE())),"✖ العدد يجب أن يكون صحيحًا ≥ 0",IF(AND($F4982="Baseline",$H4982&lt;&gt;""),"⚠ Baseline: Start لا يدخل في التقدم",IF($K4982="No Start (attainment only)","ℹ تحصيل فقط (بدون Start)",IF($K4982="U – needs rule","ℹ حالة U تحتاج قاعدة معتمدة",IF($K4982="No result","ℹ بدون نتيجة (يُستبعد من التحصيل)","OK")))))))))))</f>
        <v/>
      </c>
      <c r="M4982" s="64" t="n">
        <f aca="false">IF($A4982="",0,IFERROR(MATCH($A4982,Classes!$A$6:$A$420,0),0))</f>
        <v>0</v>
      </c>
      <c r="N4982" s="64" t="n">
        <f aca="false">IF($H4982="",0,IFERROR(MATCH($H4982,GradeList,0),0))</f>
        <v>0</v>
      </c>
      <c r="O4982" s="64" t="n">
        <f aca="false">IF(OR($I4982="",$I4982="NR"),0,IFERROR(MATCH($I4982,GradeList,0),0))</f>
        <v>0</v>
      </c>
      <c r="P4982" s="64" t="n">
        <f aca="false">IF(AND($M4982&gt;0,ISNUMBER(MATCH($F4982,Lists!$A$2:$A$5,0)),ISNUMBER(MATCH($G4982,Lists!$B$2:$B$7,0)),OR($H4982="",$N4982&gt;0),OR($I4982="",$I4982="NR",$O4982&gt;0),IF(ISNUMBER($J4982),AND($J4982&gt;=0,$J4982=INT($J4982)),FALSE())),$J4982,0)</f>
        <v>0</v>
      </c>
      <c r="Q4982" s="64" t="n">
        <f aca="false">IF(AND($P4982&gt;0,$O4982&gt;0),$P4982,0)</f>
        <v>0</v>
      </c>
      <c r="R4982" s="64" t="n">
        <f aca="false">IF(AND($Q4982&gt;0,$O4982&gt;=AtRank),$Q4982,0)</f>
        <v>0</v>
      </c>
      <c r="S4982" s="64" t="n">
        <f aca="false">IF(AND($Q4982&gt;0,$O4982&gt;=AboveRank),$Q4982,0)</f>
        <v>0</v>
      </c>
      <c r="T4982" s="64" t="n">
        <f aca="false">IF($K4982="Less",$P4982,0)</f>
        <v>0</v>
      </c>
      <c r="U4982" s="64" t="n">
        <f aca="false">IF($K4982="Expected",$P4982,0)</f>
        <v>0</v>
      </c>
      <c r="V4982" s="64" t="n">
        <f aca="false">IF($K4982="Better",$P4982,0)</f>
        <v>0</v>
      </c>
      <c r="W4982" s="64" t="n">
        <f aca="false">IF($K4982="U – needs rule",$P4982,0)</f>
        <v>0</v>
      </c>
      <c r="X4982" s="64" t="n">
        <f aca="false">IF($K4982="No Start (attainment only)",$P4982,0)</f>
        <v>0</v>
      </c>
    </row>
    <row r="4983" customFormat="false" ht="15" hidden="false" customHeight="false" outlineLevel="0" collapsed="false">
      <c r="A4983" s="60"/>
      <c r="B4983" s="61" t="str">
        <f aca="false">IF($M4983=0,"",INDEX(Classes!$E$6:$E$420,$M4983))</f>
        <v/>
      </c>
      <c r="C4983" s="62" t="str">
        <f aca="false">IF($M4983=0,"",INDEX(Classes!$H$6:$H$420,$M4983))</f>
        <v/>
      </c>
      <c r="D4983" s="61" t="str">
        <f aca="false">IF($M4983=0,"",INDEX(Classes!$B$6:$B$420,$M4983))</f>
        <v/>
      </c>
      <c r="E4983" s="61" t="str">
        <f aca="false">IF($M4983=0,"",INDEX(Classes!$C$6:$C$420,$M4983))</f>
        <v/>
      </c>
      <c r="F4983" s="63"/>
      <c r="G4983" s="63"/>
      <c r="H4983" s="60"/>
      <c r="I4983" s="60"/>
      <c r="J4983" s="63"/>
      <c r="K4983" s="61" t="str">
        <f aca="false">IF($P4983=0,"",IF($F4983="Baseline","— Baseline",IF($O4983=0,"No result",IF($N4983=0,"No Start (attainment only)",IF(OR($N4983=1,$O4983=1),"U – needs rule",INDEX(MxBody,MATCH($I4983,MxCurr,0),MATCH($H4983,MxStart,0)))))))</f>
        <v/>
      </c>
      <c r="L4983" s="62" t="str">
        <f aca="false">IF(COUNTA($A4983,$F4983,$G4983,$H4983,$I4983,$J4983)=0,"",IF($M4983=0,"✖ كود الصف غير موجود",IF(ISNA(MATCH($F4983,Lists!$A$2:$A$5,0)),"✖ الفترة غير صحيحة",IF(ISNA(MATCH($G4983,Lists!$B$2:$B$7,0)),"✖ المجموعة غير صحيحة",IF(NOT(OR($H4983="",$N4983&gt;0)),"✖ Start غير صحيح",IF(NOT(OR($I4983="",$I4983="NR",$O4983&gt;0)),"✖ Current غير صحيح",IF(NOT(IF(ISNUMBER($J4983),AND($J4983&gt;=0,$J4983=INT($J4983)),FALSE())),"✖ العدد يجب أن يكون صحيحًا ≥ 0",IF(AND($F4983="Baseline",$H4983&lt;&gt;""),"⚠ Baseline: Start لا يدخل في التقدم",IF($K4983="No Start (attainment only)","ℹ تحصيل فقط (بدون Start)",IF($K4983="U – needs rule","ℹ حالة U تحتاج قاعدة معتمدة",IF($K4983="No result","ℹ بدون نتيجة (يُستبعد من التحصيل)","OK")))))))))))</f>
        <v/>
      </c>
      <c r="M4983" s="64" t="n">
        <f aca="false">IF($A4983="",0,IFERROR(MATCH($A4983,Classes!$A$6:$A$420,0),0))</f>
        <v>0</v>
      </c>
      <c r="N4983" s="64" t="n">
        <f aca="false">IF($H4983="",0,IFERROR(MATCH($H4983,GradeList,0),0))</f>
        <v>0</v>
      </c>
      <c r="O4983" s="64" t="n">
        <f aca="false">IF(OR($I4983="",$I4983="NR"),0,IFERROR(MATCH($I4983,GradeList,0),0))</f>
        <v>0</v>
      </c>
      <c r="P4983" s="64" t="n">
        <f aca="false">IF(AND($M4983&gt;0,ISNUMBER(MATCH($F4983,Lists!$A$2:$A$5,0)),ISNUMBER(MATCH($G4983,Lists!$B$2:$B$7,0)),OR($H4983="",$N4983&gt;0),OR($I4983="",$I4983="NR",$O4983&gt;0),IF(ISNUMBER($J4983),AND($J4983&gt;=0,$J4983=INT($J4983)),FALSE())),$J4983,0)</f>
        <v>0</v>
      </c>
      <c r="Q4983" s="64" t="n">
        <f aca="false">IF(AND($P4983&gt;0,$O4983&gt;0),$P4983,0)</f>
        <v>0</v>
      </c>
      <c r="R4983" s="64" t="n">
        <f aca="false">IF(AND($Q4983&gt;0,$O4983&gt;=AtRank),$Q4983,0)</f>
        <v>0</v>
      </c>
      <c r="S4983" s="64" t="n">
        <f aca="false">IF(AND($Q4983&gt;0,$O4983&gt;=AboveRank),$Q4983,0)</f>
        <v>0</v>
      </c>
      <c r="T4983" s="64" t="n">
        <f aca="false">IF($K4983="Less",$P4983,0)</f>
        <v>0</v>
      </c>
      <c r="U4983" s="64" t="n">
        <f aca="false">IF($K4983="Expected",$P4983,0)</f>
        <v>0</v>
      </c>
      <c r="V4983" s="64" t="n">
        <f aca="false">IF($K4983="Better",$P4983,0)</f>
        <v>0</v>
      </c>
      <c r="W4983" s="64" t="n">
        <f aca="false">IF($K4983="U – needs rule",$P4983,0)</f>
        <v>0</v>
      </c>
      <c r="X4983" s="64" t="n">
        <f aca="false">IF($K4983="No Start (attainment only)",$P4983,0)</f>
        <v>0</v>
      </c>
    </row>
    <row r="4984" customFormat="false" ht="15" hidden="false" customHeight="false" outlineLevel="0" collapsed="false">
      <c r="A4984" s="60"/>
      <c r="B4984" s="61" t="str">
        <f aca="false">IF($M4984=0,"",INDEX(Classes!$E$6:$E$420,$M4984))</f>
        <v/>
      </c>
      <c r="C4984" s="62" t="str">
        <f aca="false">IF($M4984=0,"",INDEX(Classes!$H$6:$H$420,$M4984))</f>
        <v/>
      </c>
      <c r="D4984" s="61" t="str">
        <f aca="false">IF($M4984=0,"",INDEX(Classes!$B$6:$B$420,$M4984))</f>
        <v/>
      </c>
      <c r="E4984" s="61" t="str">
        <f aca="false">IF($M4984=0,"",INDEX(Classes!$C$6:$C$420,$M4984))</f>
        <v/>
      </c>
      <c r="F4984" s="63"/>
      <c r="G4984" s="63"/>
      <c r="H4984" s="60"/>
      <c r="I4984" s="60"/>
      <c r="J4984" s="63"/>
      <c r="K4984" s="61" t="str">
        <f aca="false">IF($P4984=0,"",IF($F4984="Baseline","— Baseline",IF($O4984=0,"No result",IF($N4984=0,"No Start (attainment only)",IF(OR($N4984=1,$O4984=1),"U – needs rule",INDEX(MxBody,MATCH($I4984,MxCurr,0),MATCH($H4984,MxStart,0)))))))</f>
        <v/>
      </c>
      <c r="L4984" s="62" t="str">
        <f aca="false">IF(COUNTA($A4984,$F4984,$G4984,$H4984,$I4984,$J4984)=0,"",IF($M4984=0,"✖ كود الصف غير موجود",IF(ISNA(MATCH($F4984,Lists!$A$2:$A$5,0)),"✖ الفترة غير صحيحة",IF(ISNA(MATCH($G4984,Lists!$B$2:$B$7,0)),"✖ المجموعة غير صحيحة",IF(NOT(OR($H4984="",$N4984&gt;0)),"✖ Start غير صحيح",IF(NOT(OR($I4984="",$I4984="NR",$O4984&gt;0)),"✖ Current غير صحيح",IF(NOT(IF(ISNUMBER($J4984),AND($J4984&gt;=0,$J4984=INT($J4984)),FALSE())),"✖ العدد يجب أن يكون صحيحًا ≥ 0",IF(AND($F4984="Baseline",$H4984&lt;&gt;""),"⚠ Baseline: Start لا يدخل في التقدم",IF($K4984="No Start (attainment only)","ℹ تحصيل فقط (بدون Start)",IF($K4984="U – needs rule","ℹ حالة U تحتاج قاعدة معتمدة",IF($K4984="No result","ℹ بدون نتيجة (يُستبعد من التحصيل)","OK")))))))))))</f>
        <v/>
      </c>
      <c r="M4984" s="64" t="n">
        <f aca="false">IF($A4984="",0,IFERROR(MATCH($A4984,Classes!$A$6:$A$420,0),0))</f>
        <v>0</v>
      </c>
      <c r="N4984" s="64" t="n">
        <f aca="false">IF($H4984="",0,IFERROR(MATCH($H4984,GradeList,0),0))</f>
        <v>0</v>
      </c>
      <c r="O4984" s="64" t="n">
        <f aca="false">IF(OR($I4984="",$I4984="NR"),0,IFERROR(MATCH($I4984,GradeList,0),0))</f>
        <v>0</v>
      </c>
      <c r="P4984" s="64" t="n">
        <f aca="false">IF(AND($M4984&gt;0,ISNUMBER(MATCH($F4984,Lists!$A$2:$A$5,0)),ISNUMBER(MATCH($G4984,Lists!$B$2:$B$7,0)),OR($H4984="",$N4984&gt;0),OR($I4984="",$I4984="NR",$O4984&gt;0),IF(ISNUMBER($J4984),AND($J4984&gt;=0,$J4984=INT($J4984)),FALSE())),$J4984,0)</f>
        <v>0</v>
      </c>
      <c r="Q4984" s="64" t="n">
        <f aca="false">IF(AND($P4984&gt;0,$O4984&gt;0),$P4984,0)</f>
        <v>0</v>
      </c>
      <c r="R4984" s="64" t="n">
        <f aca="false">IF(AND($Q4984&gt;0,$O4984&gt;=AtRank),$Q4984,0)</f>
        <v>0</v>
      </c>
      <c r="S4984" s="64" t="n">
        <f aca="false">IF(AND($Q4984&gt;0,$O4984&gt;=AboveRank),$Q4984,0)</f>
        <v>0</v>
      </c>
      <c r="T4984" s="64" t="n">
        <f aca="false">IF($K4984="Less",$P4984,0)</f>
        <v>0</v>
      </c>
      <c r="U4984" s="64" t="n">
        <f aca="false">IF($K4984="Expected",$P4984,0)</f>
        <v>0</v>
      </c>
      <c r="V4984" s="64" t="n">
        <f aca="false">IF($K4984="Better",$P4984,0)</f>
        <v>0</v>
      </c>
      <c r="W4984" s="64" t="n">
        <f aca="false">IF($K4984="U – needs rule",$P4984,0)</f>
        <v>0</v>
      </c>
      <c r="X4984" s="64" t="n">
        <f aca="false">IF($K4984="No Start (attainment only)",$P4984,0)</f>
        <v>0</v>
      </c>
    </row>
    <row r="4985" customFormat="false" ht="15" hidden="false" customHeight="false" outlineLevel="0" collapsed="false">
      <c r="A4985" s="60"/>
      <c r="B4985" s="61" t="str">
        <f aca="false">IF($M4985=0,"",INDEX(Classes!$E$6:$E$420,$M4985))</f>
        <v/>
      </c>
      <c r="C4985" s="62" t="str">
        <f aca="false">IF($M4985=0,"",INDEX(Classes!$H$6:$H$420,$M4985))</f>
        <v/>
      </c>
      <c r="D4985" s="61" t="str">
        <f aca="false">IF($M4985=0,"",INDEX(Classes!$B$6:$B$420,$M4985))</f>
        <v/>
      </c>
      <c r="E4985" s="61" t="str">
        <f aca="false">IF($M4985=0,"",INDEX(Classes!$C$6:$C$420,$M4985))</f>
        <v/>
      </c>
      <c r="F4985" s="63"/>
      <c r="G4985" s="63"/>
      <c r="H4985" s="60"/>
      <c r="I4985" s="60"/>
      <c r="J4985" s="63"/>
      <c r="K4985" s="61" t="str">
        <f aca="false">IF($P4985=0,"",IF($F4985="Baseline","— Baseline",IF($O4985=0,"No result",IF($N4985=0,"No Start (attainment only)",IF(OR($N4985=1,$O4985=1),"U – needs rule",INDEX(MxBody,MATCH($I4985,MxCurr,0),MATCH($H4985,MxStart,0)))))))</f>
        <v/>
      </c>
      <c r="L4985" s="62" t="str">
        <f aca="false">IF(COUNTA($A4985,$F4985,$G4985,$H4985,$I4985,$J4985)=0,"",IF($M4985=0,"✖ كود الصف غير موجود",IF(ISNA(MATCH($F4985,Lists!$A$2:$A$5,0)),"✖ الفترة غير صحيحة",IF(ISNA(MATCH($G4985,Lists!$B$2:$B$7,0)),"✖ المجموعة غير صحيحة",IF(NOT(OR($H4985="",$N4985&gt;0)),"✖ Start غير صحيح",IF(NOT(OR($I4985="",$I4985="NR",$O4985&gt;0)),"✖ Current غير صحيح",IF(NOT(IF(ISNUMBER($J4985),AND($J4985&gt;=0,$J4985=INT($J4985)),FALSE())),"✖ العدد يجب أن يكون صحيحًا ≥ 0",IF(AND($F4985="Baseline",$H4985&lt;&gt;""),"⚠ Baseline: Start لا يدخل في التقدم",IF($K4985="No Start (attainment only)","ℹ تحصيل فقط (بدون Start)",IF($K4985="U – needs rule","ℹ حالة U تحتاج قاعدة معتمدة",IF($K4985="No result","ℹ بدون نتيجة (يُستبعد من التحصيل)","OK")))))))))))</f>
        <v/>
      </c>
      <c r="M4985" s="64" t="n">
        <f aca="false">IF($A4985="",0,IFERROR(MATCH($A4985,Classes!$A$6:$A$420,0),0))</f>
        <v>0</v>
      </c>
      <c r="N4985" s="64" t="n">
        <f aca="false">IF($H4985="",0,IFERROR(MATCH($H4985,GradeList,0),0))</f>
        <v>0</v>
      </c>
      <c r="O4985" s="64" t="n">
        <f aca="false">IF(OR($I4985="",$I4985="NR"),0,IFERROR(MATCH($I4985,GradeList,0),0))</f>
        <v>0</v>
      </c>
      <c r="P4985" s="64" t="n">
        <f aca="false">IF(AND($M4985&gt;0,ISNUMBER(MATCH($F4985,Lists!$A$2:$A$5,0)),ISNUMBER(MATCH($G4985,Lists!$B$2:$B$7,0)),OR($H4985="",$N4985&gt;0),OR($I4985="",$I4985="NR",$O4985&gt;0),IF(ISNUMBER($J4985),AND($J4985&gt;=0,$J4985=INT($J4985)),FALSE())),$J4985,0)</f>
        <v>0</v>
      </c>
      <c r="Q4985" s="64" t="n">
        <f aca="false">IF(AND($P4985&gt;0,$O4985&gt;0),$P4985,0)</f>
        <v>0</v>
      </c>
      <c r="R4985" s="64" t="n">
        <f aca="false">IF(AND($Q4985&gt;0,$O4985&gt;=AtRank),$Q4985,0)</f>
        <v>0</v>
      </c>
      <c r="S4985" s="64" t="n">
        <f aca="false">IF(AND($Q4985&gt;0,$O4985&gt;=AboveRank),$Q4985,0)</f>
        <v>0</v>
      </c>
      <c r="T4985" s="64" t="n">
        <f aca="false">IF($K4985="Less",$P4985,0)</f>
        <v>0</v>
      </c>
      <c r="U4985" s="64" t="n">
        <f aca="false">IF($K4985="Expected",$P4985,0)</f>
        <v>0</v>
      </c>
      <c r="V4985" s="64" t="n">
        <f aca="false">IF($K4985="Better",$P4985,0)</f>
        <v>0</v>
      </c>
      <c r="W4985" s="64" t="n">
        <f aca="false">IF($K4985="U – needs rule",$P4985,0)</f>
        <v>0</v>
      </c>
      <c r="X4985" s="64" t="n">
        <f aca="false">IF($K4985="No Start (attainment only)",$P4985,0)</f>
        <v>0</v>
      </c>
    </row>
    <row r="4986" customFormat="false" ht="15" hidden="false" customHeight="false" outlineLevel="0" collapsed="false">
      <c r="A4986" s="60"/>
      <c r="B4986" s="61" t="str">
        <f aca="false">IF($M4986=0,"",INDEX(Classes!$E$6:$E$420,$M4986))</f>
        <v/>
      </c>
      <c r="C4986" s="62" t="str">
        <f aca="false">IF($M4986=0,"",INDEX(Classes!$H$6:$H$420,$M4986))</f>
        <v/>
      </c>
      <c r="D4986" s="61" t="str">
        <f aca="false">IF($M4986=0,"",INDEX(Classes!$B$6:$B$420,$M4986))</f>
        <v/>
      </c>
      <c r="E4986" s="61" t="str">
        <f aca="false">IF($M4986=0,"",INDEX(Classes!$C$6:$C$420,$M4986))</f>
        <v/>
      </c>
      <c r="F4986" s="63"/>
      <c r="G4986" s="63"/>
      <c r="H4986" s="60"/>
      <c r="I4986" s="60"/>
      <c r="J4986" s="63"/>
      <c r="K4986" s="61" t="str">
        <f aca="false">IF($P4986=0,"",IF($F4986="Baseline","— Baseline",IF($O4986=0,"No result",IF($N4986=0,"No Start (attainment only)",IF(OR($N4986=1,$O4986=1),"U – needs rule",INDEX(MxBody,MATCH($I4986,MxCurr,0),MATCH($H4986,MxStart,0)))))))</f>
        <v/>
      </c>
      <c r="L4986" s="62" t="str">
        <f aca="false">IF(COUNTA($A4986,$F4986,$G4986,$H4986,$I4986,$J4986)=0,"",IF($M4986=0,"✖ كود الصف غير موجود",IF(ISNA(MATCH($F4986,Lists!$A$2:$A$5,0)),"✖ الفترة غير صحيحة",IF(ISNA(MATCH($G4986,Lists!$B$2:$B$7,0)),"✖ المجموعة غير صحيحة",IF(NOT(OR($H4986="",$N4986&gt;0)),"✖ Start غير صحيح",IF(NOT(OR($I4986="",$I4986="NR",$O4986&gt;0)),"✖ Current غير صحيح",IF(NOT(IF(ISNUMBER($J4986),AND($J4986&gt;=0,$J4986=INT($J4986)),FALSE())),"✖ العدد يجب أن يكون صحيحًا ≥ 0",IF(AND($F4986="Baseline",$H4986&lt;&gt;""),"⚠ Baseline: Start لا يدخل في التقدم",IF($K4986="No Start (attainment only)","ℹ تحصيل فقط (بدون Start)",IF($K4986="U – needs rule","ℹ حالة U تحتاج قاعدة معتمدة",IF($K4986="No result","ℹ بدون نتيجة (يُستبعد من التحصيل)","OK")))))))))))</f>
        <v/>
      </c>
      <c r="M4986" s="64" t="n">
        <f aca="false">IF($A4986="",0,IFERROR(MATCH($A4986,Classes!$A$6:$A$420,0),0))</f>
        <v>0</v>
      </c>
      <c r="N4986" s="64" t="n">
        <f aca="false">IF($H4986="",0,IFERROR(MATCH($H4986,GradeList,0),0))</f>
        <v>0</v>
      </c>
      <c r="O4986" s="64" t="n">
        <f aca="false">IF(OR($I4986="",$I4986="NR"),0,IFERROR(MATCH($I4986,GradeList,0),0))</f>
        <v>0</v>
      </c>
      <c r="P4986" s="64" t="n">
        <f aca="false">IF(AND($M4986&gt;0,ISNUMBER(MATCH($F4986,Lists!$A$2:$A$5,0)),ISNUMBER(MATCH($G4986,Lists!$B$2:$B$7,0)),OR($H4986="",$N4986&gt;0),OR($I4986="",$I4986="NR",$O4986&gt;0),IF(ISNUMBER($J4986),AND($J4986&gt;=0,$J4986=INT($J4986)),FALSE())),$J4986,0)</f>
        <v>0</v>
      </c>
      <c r="Q4986" s="64" t="n">
        <f aca="false">IF(AND($P4986&gt;0,$O4986&gt;0),$P4986,0)</f>
        <v>0</v>
      </c>
      <c r="R4986" s="64" t="n">
        <f aca="false">IF(AND($Q4986&gt;0,$O4986&gt;=AtRank),$Q4986,0)</f>
        <v>0</v>
      </c>
      <c r="S4986" s="64" t="n">
        <f aca="false">IF(AND($Q4986&gt;0,$O4986&gt;=AboveRank),$Q4986,0)</f>
        <v>0</v>
      </c>
      <c r="T4986" s="64" t="n">
        <f aca="false">IF($K4986="Less",$P4986,0)</f>
        <v>0</v>
      </c>
      <c r="U4986" s="64" t="n">
        <f aca="false">IF($K4986="Expected",$P4986,0)</f>
        <v>0</v>
      </c>
      <c r="V4986" s="64" t="n">
        <f aca="false">IF($K4986="Better",$P4986,0)</f>
        <v>0</v>
      </c>
      <c r="W4986" s="64" t="n">
        <f aca="false">IF($K4986="U – needs rule",$P4986,0)</f>
        <v>0</v>
      </c>
      <c r="X4986" s="64" t="n">
        <f aca="false">IF($K4986="No Start (attainment only)",$P4986,0)</f>
        <v>0</v>
      </c>
    </row>
    <row r="4987" customFormat="false" ht="15" hidden="false" customHeight="false" outlineLevel="0" collapsed="false">
      <c r="A4987" s="60"/>
      <c r="B4987" s="61" t="str">
        <f aca="false">IF($M4987=0,"",INDEX(Classes!$E$6:$E$420,$M4987))</f>
        <v/>
      </c>
      <c r="C4987" s="62" t="str">
        <f aca="false">IF($M4987=0,"",INDEX(Classes!$H$6:$H$420,$M4987))</f>
        <v/>
      </c>
      <c r="D4987" s="61" t="str">
        <f aca="false">IF($M4987=0,"",INDEX(Classes!$B$6:$B$420,$M4987))</f>
        <v/>
      </c>
      <c r="E4987" s="61" t="str">
        <f aca="false">IF($M4987=0,"",INDEX(Classes!$C$6:$C$420,$M4987))</f>
        <v/>
      </c>
      <c r="F4987" s="63"/>
      <c r="G4987" s="63"/>
      <c r="H4987" s="60"/>
      <c r="I4987" s="60"/>
      <c r="J4987" s="63"/>
      <c r="K4987" s="61" t="str">
        <f aca="false">IF($P4987=0,"",IF($F4987="Baseline","— Baseline",IF($O4987=0,"No result",IF($N4987=0,"No Start (attainment only)",IF(OR($N4987=1,$O4987=1),"U – needs rule",INDEX(MxBody,MATCH($I4987,MxCurr,0),MATCH($H4987,MxStart,0)))))))</f>
        <v/>
      </c>
      <c r="L4987" s="62" t="str">
        <f aca="false">IF(COUNTA($A4987,$F4987,$G4987,$H4987,$I4987,$J4987)=0,"",IF($M4987=0,"✖ كود الصف غير موجود",IF(ISNA(MATCH($F4987,Lists!$A$2:$A$5,0)),"✖ الفترة غير صحيحة",IF(ISNA(MATCH($G4987,Lists!$B$2:$B$7,0)),"✖ المجموعة غير صحيحة",IF(NOT(OR($H4987="",$N4987&gt;0)),"✖ Start غير صحيح",IF(NOT(OR($I4987="",$I4987="NR",$O4987&gt;0)),"✖ Current غير صحيح",IF(NOT(IF(ISNUMBER($J4987),AND($J4987&gt;=0,$J4987=INT($J4987)),FALSE())),"✖ العدد يجب أن يكون صحيحًا ≥ 0",IF(AND($F4987="Baseline",$H4987&lt;&gt;""),"⚠ Baseline: Start لا يدخل في التقدم",IF($K4987="No Start (attainment only)","ℹ تحصيل فقط (بدون Start)",IF($K4987="U – needs rule","ℹ حالة U تحتاج قاعدة معتمدة",IF($K4987="No result","ℹ بدون نتيجة (يُستبعد من التحصيل)","OK")))))))))))</f>
        <v/>
      </c>
      <c r="M4987" s="64" t="n">
        <f aca="false">IF($A4987="",0,IFERROR(MATCH($A4987,Classes!$A$6:$A$420,0),0))</f>
        <v>0</v>
      </c>
      <c r="N4987" s="64" t="n">
        <f aca="false">IF($H4987="",0,IFERROR(MATCH($H4987,GradeList,0),0))</f>
        <v>0</v>
      </c>
      <c r="O4987" s="64" t="n">
        <f aca="false">IF(OR($I4987="",$I4987="NR"),0,IFERROR(MATCH($I4987,GradeList,0),0))</f>
        <v>0</v>
      </c>
      <c r="P4987" s="64" t="n">
        <f aca="false">IF(AND($M4987&gt;0,ISNUMBER(MATCH($F4987,Lists!$A$2:$A$5,0)),ISNUMBER(MATCH($G4987,Lists!$B$2:$B$7,0)),OR($H4987="",$N4987&gt;0),OR($I4987="",$I4987="NR",$O4987&gt;0),IF(ISNUMBER($J4987),AND($J4987&gt;=0,$J4987=INT($J4987)),FALSE())),$J4987,0)</f>
        <v>0</v>
      </c>
      <c r="Q4987" s="64" t="n">
        <f aca="false">IF(AND($P4987&gt;0,$O4987&gt;0),$P4987,0)</f>
        <v>0</v>
      </c>
      <c r="R4987" s="64" t="n">
        <f aca="false">IF(AND($Q4987&gt;0,$O4987&gt;=AtRank),$Q4987,0)</f>
        <v>0</v>
      </c>
      <c r="S4987" s="64" t="n">
        <f aca="false">IF(AND($Q4987&gt;0,$O4987&gt;=AboveRank),$Q4987,0)</f>
        <v>0</v>
      </c>
      <c r="T4987" s="64" t="n">
        <f aca="false">IF($K4987="Less",$P4987,0)</f>
        <v>0</v>
      </c>
      <c r="U4987" s="64" t="n">
        <f aca="false">IF($K4987="Expected",$P4987,0)</f>
        <v>0</v>
      </c>
      <c r="V4987" s="64" t="n">
        <f aca="false">IF($K4987="Better",$P4987,0)</f>
        <v>0</v>
      </c>
      <c r="W4987" s="64" t="n">
        <f aca="false">IF($K4987="U – needs rule",$P4987,0)</f>
        <v>0</v>
      </c>
      <c r="X4987" s="64" t="n">
        <f aca="false">IF($K4987="No Start (attainment only)",$P4987,0)</f>
        <v>0</v>
      </c>
    </row>
    <row r="4988" customFormat="false" ht="15" hidden="false" customHeight="false" outlineLevel="0" collapsed="false">
      <c r="A4988" s="60"/>
      <c r="B4988" s="61" t="str">
        <f aca="false">IF($M4988=0,"",INDEX(Classes!$E$6:$E$420,$M4988))</f>
        <v/>
      </c>
      <c r="C4988" s="62" t="str">
        <f aca="false">IF($M4988=0,"",INDEX(Classes!$H$6:$H$420,$M4988))</f>
        <v/>
      </c>
      <c r="D4988" s="61" t="str">
        <f aca="false">IF($M4988=0,"",INDEX(Classes!$B$6:$B$420,$M4988))</f>
        <v/>
      </c>
      <c r="E4988" s="61" t="str">
        <f aca="false">IF($M4988=0,"",INDEX(Classes!$C$6:$C$420,$M4988))</f>
        <v/>
      </c>
      <c r="F4988" s="63"/>
      <c r="G4988" s="63"/>
      <c r="H4988" s="60"/>
      <c r="I4988" s="60"/>
      <c r="J4988" s="63"/>
      <c r="K4988" s="61" t="str">
        <f aca="false">IF($P4988=0,"",IF($F4988="Baseline","— Baseline",IF($O4988=0,"No result",IF($N4988=0,"No Start (attainment only)",IF(OR($N4988=1,$O4988=1),"U – needs rule",INDEX(MxBody,MATCH($I4988,MxCurr,0),MATCH($H4988,MxStart,0)))))))</f>
        <v/>
      </c>
      <c r="L4988" s="62" t="str">
        <f aca="false">IF(COUNTA($A4988,$F4988,$G4988,$H4988,$I4988,$J4988)=0,"",IF($M4988=0,"✖ كود الصف غير موجود",IF(ISNA(MATCH($F4988,Lists!$A$2:$A$5,0)),"✖ الفترة غير صحيحة",IF(ISNA(MATCH($G4988,Lists!$B$2:$B$7,0)),"✖ المجموعة غير صحيحة",IF(NOT(OR($H4988="",$N4988&gt;0)),"✖ Start غير صحيح",IF(NOT(OR($I4988="",$I4988="NR",$O4988&gt;0)),"✖ Current غير صحيح",IF(NOT(IF(ISNUMBER($J4988),AND($J4988&gt;=0,$J4988=INT($J4988)),FALSE())),"✖ العدد يجب أن يكون صحيحًا ≥ 0",IF(AND($F4988="Baseline",$H4988&lt;&gt;""),"⚠ Baseline: Start لا يدخل في التقدم",IF($K4988="No Start (attainment only)","ℹ تحصيل فقط (بدون Start)",IF($K4988="U – needs rule","ℹ حالة U تحتاج قاعدة معتمدة",IF($K4988="No result","ℹ بدون نتيجة (يُستبعد من التحصيل)","OK")))))))))))</f>
        <v/>
      </c>
      <c r="M4988" s="64" t="n">
        <f aca="false">IF($A4988="",0,IFERROR(MATCH($A4988,Classes!$A$6:$A$420,0),0))</f>
        <v>0</v>
      </c>
      <c r="N4988" s="64" t="n">
        <f aca="false">IF($H4988="",0,IFERROR(MATCH($H4988,GradeList,0),0))</f>
        <v>0</v>
      </c>
      <c r="O4988" s="64" t="n">
        <f aca="false">IF(OR($I4988="",$I4988="NR"),0,IFERROR(MATCH($I4988,GradeList,0),0))</f>
        <v>0</v>
      </c>
      <c r="P4988" s="64" t="n">
        <f aca="false">IF(AND($M4988&gt;0,ISNUMBER(MATCH($F4988,Lists!$A$2:$A$5,0)),ISNUMBER(MATCH($G4988,Lists!$B$2:$B$7,0)),OR($H4988="",$N4988&gt;0),OR($I4988="",$I4988="NR",$O4988&gt;0),IF(ISNUMBER($J4988),AND($J4988&gt;=0,$J4988=INT($J4988)),FALSE())),$J4988,0)</f>
        <v>0</v>
      </c>
      <c r="Q4988" s="64" t="n">
        <f aca="false">IF(AND($P4988&gt;0,$O4988&gt;0),$P4988,0)</f>
        <v>0</v>
      </c>
      <c r="R4988" s="64" t="n">
        <f aca="false">IF(AND($Q4988&gt;0,$O4988&gt;=AtRank),$Q4988,0)</f>
        <v>0</v>
      </c>
      <c r="S4988" s="64" t="n">
        <f aca="false">IF(AND($Q4988&gt;0,$O4988&gt;=AboveRank),$Q4988,0)</f>
        <v>0</v>
      </c>
      <c r="T4988" s="64" t="n">
        <f aca="false">IF($K4988="Less",$P4988,0)</f>
        <v>0</v>
      </c>
      <c r="U4988" s="64" t="n">
        <f aca="false">IF($K4988="Expected",$P4988,0)</f>
        <v>0</v>
      </c>
      <c r="V4988" s="64" t="n">
        <f aca="false">IF($K4988="Better",$P4988,0)</f>
        <v>0</v>
      </c>
      <c r="W4988" s="64" t="n">
        <f aca="false">IF($K4988="U – needs rule",$P4988,0)</f>
        <v>0</v>
      </c>
      <c r="X4988" s="64" t="n">
        <f aca="false">IF($K4988="No Start (attainment only)",$P4988,0)</f>
        <v>0</v>
      </c>
    </row>
    <row r="4989" customFormat="false" ht="15" hidden="false" customHeight="false" outlineLevel="0" collapsed="false">
      <c r="A4989" s="60"/>
      <c r="B4989" s="61" t="str">
        <f aca="false">IF($M4989=0,"",INDEX(Classes!$E$6:$E$420,$M4989))</f>
        <v/>
      </c>
      <c r="C4989" s="62" t="str">
        <f aca="false">IF($M4989=0,"",INDEX(Classes!$H$6:$H$420,$M4989))</f>
        <v/>
      </c>
      <c r="D4989" s="61" t="str">
        <f aca="false">IF($M4989=0,"",INDEX(Classes!$B$6:$B$420,$M4989))</f>
        <v/>
      </c>
      <c r="E4989" s="61" t="str">
        <f aca="false">IF($M4989=0,"",INDEX(Classes!$C$6:$C$420,$M4989))</f>
        <v/>
      </c>
      <c r="F4989" s="63"/>
      <c r="G4989" s="63"/>
      <c r="H4989" s="60"/>
      <c r="I4989" s="60"/>
      <c r="J4989" s="63"/>
      <c r="K4989" s="61" t="str">
        <f aca="false">IF($P4989=0,"",IF($F4989="Baseline","— Baseline",IF($O4989=0,"No result",IF($N4989=0,"No Start (attainment only)",IF(OR($N4989=1,$O4989=1),"U – needs rule",INDEX(MxBody,MATCH($I4989,MxCurr,0),MATCH($H4989,MxStart,0)))))))</f>
        <v/>
      </c>
      <c r="L4989" s="62" t="str">
        <f aca="false">IF(COUNTA($A4989,$F4989,$G4989,$H4989,$I4989,$J4989)=0,"",IF($M4989=0,"✖ كود الصف غير موجود",IF(ISNA(MATCH($F4989,Lists!$A$2:$A$5,0)),"✖ الفترة غير صحيحة",IF(ISNA(MATCH($G4989,Lists!$B$2:$B$7,0)),"✖ المجموعة غير صحيحة",IF(NOT(OR($H4989="",$N4989&gt;0)),"✖ Start غير صحيح",IF(NOT(OR($I4989="",$I4989="NR",$O4989&gt;0)),"✖ Current غير صحيح",IF(NOT(IF(ISNUMBER($J4989),AND($J4989&gt;=0,$J4989=INT($J4989)),FALSE())),"✖ العدد يجب أن يكون صحيحًا ≥ 0",IF(AND($F4989="Baseline",$H4989&lt;&gt;""),"⚠ Baseline: Start لا يدخل في التقدم",IF($K4989="No Start (attainment only)","ℹ تحصيل فقط (بدون Start)",IF($K4989="U – needs rule","ℹ حالة U تحتاج قاعدة معتمدة",IF($K4989="No result","ℹ بدون نتيجة (يُستبعد من التحصيل)","OK")))))))))))</f>
        <v/>
      </c>
      <c r="M4989" s="64" t="n">
        <f aca="false">IF($A4989="",0,IFERROR(MATCH($A4989,Classes!$A$6:$A$420,0),0))</f>
        <v>0</v>
      </c>
      <c r="N4989" s="64" t="n">
        <f aca="false">IF($H4989="",0,IFERROR(MATCH($H4989,GradeList,0),0))</f>
        <v>0</v>
      </c>
      <c r="O4989" s="64" t="n">
        <f aca="false">IF(OR($I4989="",$I4989="NR"),0,IFERROR(MATCH($I4989,GradeList,0),0))</f>
        <v>0</v>
      </c>
      <c r="P4989" s="64" t="n">
        <f aca="false">IF(AND($M4989&gt;0,ISNUMBER(MATCH($F4989,Lists!$A$2:$A$5,0)),ISNUMBER(MATCH($G4989,Lists!$B$2:$B$7,0)),OR($H4989="",$N4989&gt;0),OR($I4989="",$I4989="NR",$O4989&gt;0),IF(ISNUMBER($J4989),AND($J4989&gt;=0,$J4989=INT($J4989)),FALSE())),$J4989,0)</f>
        <v>0</v>
      </c>
      <c r="Q4989" s="64" t="n">
        <f aca="false">IF(AND($P4989&gt;0,$O4989&gt;0),$P4989,0)</f>
        <v>0</v>
      </c>
      <c r="R4989" s="64" t="n">
        <f aca="false">IF(AND($Q4989&gt;0,$O4989&gt;=AtRank),$Q4989,0)</f>
        <v>0</v>
      </c>
      <c r="S4989" s="64" t="n">
        <f aca="false">IF(AND($Q4989&gt;0,$O4989&gt;=AboveRank),$Q4989,0)</f>
        <v>0</v>
      </c>
      <c r="T4989" s="64" t="n">
        <f aca="false">IF($K4989="Less",$P4989,0)</f>
        <v>0</v>
      </c>
      <c r="U4989" s="64" t="n">
        <f aca="false">IF($K4989="Expected",$P4989,0)</f>
        <v>0</v>
      </c>
      <c r="V4989" s="64" t="n">
        <f aca="false">IF($K4989="Better",$P4989,0)</f>
        <v>0</v>
      </c>
      <c r="W4989" s="64" t="n">
        <f aca="false">IF($K4989="U – needs rule",$P4989,0)</f>
        <v>0</v>
      </c>
      <c r="X4989" s="64" t="n">
        <f aca="false">IF($K4989="No Start (attainment only)",$P4989,0)</f>
        <v>0</v>
      </c>
    </row>
    <row r="4990" customFormat="false" ht="15" hidden="false" customHeight="false" outlineLevel="0" collapsed="false">
      <c r="A4990" s="60"/>
      <c r="B4990" s="61" t="str">
        <f aca="false">IF($M4990=0,"",INDEX(Classes!$E$6:$E$420,$M4990))</f>
        <v/>
      </c>
      <c r="C4990" s="62" t="str">
        <f aca="false">IF($M4990=0,"",INDEX(Classes!$H$6:$H$420,$M4990))</f>
        <v/>
      </c>
      <c r="D4990" s="61" t="str">
        <f aca="false">IF($M4990=0,"",INDEX(Classes!$B$6:$B$420,$M4990))</f>
        <v/>
      </c>
      <c r="E4990" s="61" t="str">
        <f aca="false">IF($M4990=0,"",INDEX(Classes!$C$6:$C$420,$M4990))</f>
        <v/>
      </c>
      <c r="F4990" s="63"/>
      <c r="G4990" s="63"/>
      <c r="H4990" s="60"/>
      <c r="I4990" s="60"/>
      <c r="J4990" s="63"/>
      <c r="K4990" s="61" t="str">
        <f aca="false">IF($P4990=0,"",IF($F4990="Baseline","— Baseline",IF($O4990=0,"No result",IF($N4990=0,"No Start (attainment only)",IF(OR($N4990=1,$O4990=1),"U – needs rule",INDEX(MxBody,MATCH($I4990,MxCurr,0),MATCH($H4990,MxStart,0)))))))</f>
        <v/>
      </c>
      <c r="L4990" s="62" t="str">
        <f aca="false">IF(COUNTA($A4990,$F4990,$G4990,$H4990,$I4990,$J4990)=0,"",IF($M4990=0,"✖ كود الصف غير موجود",IF(ISNA(MATCH($F4990,Lists!$A$2:$A$5,0)),"✖ الفترة غير صحيحة",IF(ISNA(MATCH($G4990,Lists!$B$2:$B$7,0)),"✖ المجموعة غير صحيحة",IF(NOT(OR($H4990="",$N4990&gt;0)),"✖ Start غير صحيح",IF(NOT(OR($I4990="",$I4990="NR",$O4990&gt;0)),"✖ Current غير صحيح",IF(NOT(IF(ISNUMBER($J4990),AND($J4990&gt;=0,$J4990=INT($J4990)),FALSE())),"✖ العدد يجب أن يكون صحيحًا ≥ 0",IF(AND($F4990="Baseline",$H4990&lt;&gt;""),"⚠ Baseline: Start لا يدخل في التقدم",IF($K4990="No Start (attainment only)","ℹ تحصيل فقط (بدون Start)",IF($K4990="U – needs rule","ℹ حالة U تحتاج قاعدة معتمدة",IF($K4990="No result","ℹ بدون نتيجة (يُستبعد من التحصيل)","OK")))))))))))</f>
        <v/>
      </c>
      <c r="M4990" s="64" t="n">
        <f aca="false">IF($A4990="",0,IFERROR(MATCH($A4990,Classes!$A$6:$A$420,0),0))</f>
        <v>0</v>
      </c>
      <c r="N4990" s="64" t="n">
        <f aca="false">IF($H4990="",0,IFERROR(MATCH($H4990,GradeList,0),0))</f>
        <v>0</v>
      </c>
      <c r="O4990" s="64" t="n">
        <f aca="false">IF(OR($I4990="",$I4990="NR"),0,IFERROR(MATCH($I4990,GradeList,0),0))</f>
        <v>0</v>
      </c>
      <c r="P4990" s="64" t="n">
        <f aca="false">IF(AND($M4990&gt;0,ISNUMBER(MATCH($F4990,Lists!$A$2:$A$5,0)),ISNUMBER(MATCH($G4990,Lists!$B$2:$B$7,0)),OR($H4990="",$N4990&gt;0),OR($I4990="",$I4990="NR",$O4990&gt;0),IF(ISNUMBER($J4990),AND($J4990&gt;=0,$J4990=INT($J4990)),FALSE())),$J4990,0)</f>
        <v>0</v>
      </c>
      <c r="Q4990" s="64" t="n">
        <f aca="false">IF(AND($P4990&gt;0,$O4990&gt;0),$P4990,0)</f>
        <v>0</v>
      </c>
      <c r="R4990" s="64" t="n">
        <f aca="false">IF(AND($Q4990&gt;0,$O4990&gt;=AtRank),$Q4990,0)</f>
        <v>0</v>
      </c>
      <c r="S4990" s="64" t="n">
        <f aca="false">IF(AND($Q4990&gt;0,$O4990&gt;=AboveRank),$Q4990,0)</f>
        <v>0</v>
      </c>
      <c r="T4990" s="64" t="n">
        <f aca="false">IF($K4990="Less",$P4990,0)</f>
        <v>0</v>
      </c>
      <c r="U4990" s="64" t="n">
        <f aca="false">IF($K4990="Expected",$P4990,0)</f>
        <v>0</v>
      </c>
      <c r="V4990" s="64" t="n">
        <f aca="false">IF($K4990="Better",$P4990,0)</f>
        <v>0</v>
      </c>
      <c r="W4990" s="64" t="n">
        <f aca="false">IF($K4990="U – needs rule",$P4990,0)</f>
        <v>0</v>
      </c>
      <c r="X4990" s="64" t="n">
        <f aca="false">IF($K4990="No Start (attainment only)",$P4990,0)</f>
        <v>0</v>
      </c>
    </row>
    <row r="4991" customFormat="false" ht="15" hidden="false" customHeight="false" outlineLevel="0" collapsed="false">
      <c r="A4991" s="60"/>
      <c r="B4991" s="61" t="str">
        <f aca="false">IF($M4991=0,"",INDEX(Classes!$E$6:$E$420,$M4991))</f>
        <v/>
      </c>
      <c r="C4991" s="62" t="str">
        <f aca="false">IF($M4991=0,"",INDEX(Classes!$H$6:$H$420,$M4991))</f>
        <v/>
      </c>
      <c r="D4991" s="61" t="str">
        <f aca="false">IF($M4991=0,"",INDEX(Classes!$B$6:$B$420,$M4991))</f>
        <v/>
      </c>
      <c r="E4991" s="61" t="str">
        <f aca="false">IF($M4991=0,"",INDEX(Classes!$C$6:$C$420,$M4991))</f>
        <v/>
      </c>
      <c r="F4991" s="63"/>
      <c r="G4991" s="63"/>
      <c r="H4991" s="60"/>
      <c r="I4991" s="60"/>
      <c r="J4991" s="63"/>
      <c r="K4991" s="61" t="str">
        <f aca="false">IF($P4991=0,"",IF($F4991="Baseline","— Baseline",IF($O4991=0,"No result",IF($N4991=0,"No Start (attainment only)",IF(OR($N4991=1,$O4991=1),"U – needs rule",INDEX(MxBody,MATCH($I4991,MxCurr,0),MATCH($H4991,MxStart,0)))))))</f>
        <v/>
      </c>
      <c r="L4991" s="62" t="str">
        <f aca="false">IF(COUNTA($A4991,$F4991,$G4991,$H4991,$I4991,$J4991)=0,"",IF($M4991=0,"✖ كود الصف غير موجود",IF(ISNA(MATCH($F4991,Lists!$A$2:$A$5,0)),"✖ الفترة غير صحيحة",IF(ISNA(MATCH($G4991,Lists!$B$2:$B$7,0)),"✖ المجموعة غير صحيحة",IF(NOT(OR($H4991="",$N4991&gt;0)),"✖ Start غير صحيح",IF(NOT(OR($I4991="",$I4991="NR",$O4991&gt;0)),"✖ Current غير صحيح",IF(NOT(IF(ISNUMBER($J4991),AND($J4991&gt;=0,$J4991=INT($J4991)),FALSE())),"✖ العدد يجب أن يكون صحيحًا ≥ 0",IF(AND($F4991="Baseline",$H4991&lt;&gt;""),"⚠ Baseline: Start لا يدخل في التقدم",IF($K4991="No Start (attainment only)","ℹ تحصيل فقط (بدون Start)",IF($K4991="U – needs rule","ℹ حالة U تحتاج قاعدة معتمدة",IF($K4991="No result","ℹ بدون نتيجة (يُستبعد من التحصيل)","OK")))))))))))</f>
        <v/>
      </c>
      <c r="M4991" s="64" t="n">
        <f aca="false">IF($A4991="",0,IFERROR(MATCH($A4991,Classes!$A$6:$A$420,0),0))</f>
        <v>0</v>
      </c>
      <c r="N4991" s="64" t="n">
        <f aca="false">IF($H4991="",0,IFERROR(MATCH($H4991,GradeList,0),0))</f>
        <v>0</v>
      </c>
      <c r="O4991" s="64" t="n">
        <f aca="false">IF(OR($I4991="",$I4991="NR"),0,IFERROR(MATCH($I4991,GradeList,0),0))</f>
        <v>0</v>
      </c>
      <c r="P4991" s="64" t="n">
        <f aca="false">IF(AND($M4991&gt;0,ISNUMBER(MATCH($F4991,Lists!$A$2:$A$5,0)),ISNUMBER(MATCH($G4991,Lists!$B$2:$B$7,0)),OR($H4991="",$N4991&gt;0),OR($I4991="",$I4991="NR",$O4991&gt;0),IF(ISNUMBER($J4991),AND($J4991&gt;=0,$J4991=INT($J4991)),FALSE())),$J4991,0)</f>
        <v>0</v>
      </c>
      <c r="Q4991" s="64" t="n">
        <f aca="false">IF(AND($P4991&gt;0,$O4991&gt;0),$P4991,0)</f>
        <v>0</v>
      </c>
      <c r="R4991" s="64" t="n">
        <f aca="false">IF(AND($Q4991&gt;0,$O4991&gt;=AtRank),$Q4991,0)</f>
        <v>0</v>
      </c>
      <c r="S4991" s="64" t="n">
        <f aca="false">IF(AND($Q4991&gt;0,$O4991&gt;=AboveRank),$Q4991,0)</f>
        <v>0</v>
      </c>
      <c r="T4991" s="64" t="n">
        <f aca="false">IF($K4991="Less",$P4991,0)</f>
        <v>0</v>
      </c>
      <c r="U4991" s="64" t="n">
        <f aca="false">IF($K4991="Expected",$P4991,0)</f>
        <v>0</v>
      </c>
      <c r="V4991" s="64" t="n">
        <f aca="false">IF($K4991="Better",$P4991,0)</f>
        <v>0</v>
      </c>
      <c r="W4991" s="64" t="n">
        <f aca="false">IF($K4991="U – needs rule",$P4991,0)</f>
        <v>0</v>
      </c>
      <c r="X4991" s="64" t="n">
        <f aca="false">IF($K4991="No Start (attainment only)",$P4991,0)</f>
        <v>0</v>
      </c>
    </row>
    <row r="4992" customFormat="false" ht="15" hidden="false" customHeight="false" outlineLevel="0" collapsed="false">
      <c r="A4992" s="60"/>
      <c r="B4992" s="61" t="str">
        <f aca="false">IF($M4992=0,"",INDEX(Classes!$E$6:$E$420,$M4992))</f>
        <v/>
      </c>
      <c r="C4992" s="62" t="str">
        <f aca="false">IF($M4992=0,"",INDEX(Classes!$H$6:$H$420,$M4992))</f>
        <v/>
      </c>
      <c r="D4992" s="61" t="str">
        <f aca="false">IF($M4992=0,"",INDEX(Classes!$B$6:$B$420,$M4992))</f>
        <v/>
      </c>
      <c r="E4992" s="61" t="str">
        <f aca="false">IF($M4992=0,"",INDEX(Classes!$C$6:$C$420,$M4992))</f>
        <v/>
      </c>
      <c r="F4992" s="63"/>
      <c r="G4992" s="63"/>
      <c r="H4992" s="60"/>
      <c r="I4992" s="60"/>
      <c r="J4992" s="63"/>
      <c r="K4992" s="61" t="str">
        <f aca="false">IF($P4992=0,"",IF($F4992="Baseline","— Baseline",IF($O4992=0,"No result",IF($N4992=0,"No Start (attainment only)",IF(OR($N4992=1,$O4992=1),"U – needs rule",INDEX(MxBody,MATCH($I4992,MxCurr,0),MATCH($H4992,MxStart,0)))))))</f>
        <v/>
      </c>
      <c r="L4992" s="62" t="str">
        <f aca="false">IF(COUNTA($A4992,$F4992,$G4992,$H4992,$I4992,$J4992)=0,"",IF($M4992=0,"✖ كود الصف غير موجود",IF(ISNA(MATCH($F4992,Lists!$A$2:$A$5,0)),"✖ الفترة غير صحيحة",IF(ISNA(MATCH($G4992,Lists!$B$2:$B$7,0)),"✖ المجموعة غير صحيحة",IF(NOT(OR($H4992="",$N4992&gt;0)),"✖ Start غير صحيح",IF(NOT(OR($I4992="",$I4992="NR",$O4992&gt;0)),"✖ Current غير صحيح",IF(NOT(IF(ISNUMBER($J4992),AND($J4992&gt;=0,$J4992=INT($J4992)),FALSE())),"✖ العدد يجب أن يكون صحيحًا ≥ 0",IF(AND($F4992="Baseline",$H4992&lt;&gt;""),"⚠ Baseline: Start لا يدخل في التقدم",IF($K4992="No Start (attainment only)","ℹ تحصيل فقط (بدون Start)",IF($K4992="U – needs rule","ℹ حالة U تحتاج قاعدة معتمدة",IF($K4992="No result","ℹ بدون نتيجة (يُستبعد من التحصيل)","OK")))))))))))</f>
        <v/>
      </c>
      <c r="M4992" s="64" t="n">
        <f aca="false">IF($A4992="",0,IFERROR(MATCH($A4992,Classes!$A$6:$A$420,0),0))</f>
        <v>0</v>
      </c>
      <c r="N4992" s="64" t="n">
        <f aca="false">IF($H4992="",0,IFERROR(MATCH($H4992,GradeList,0),0))</f>
        <v>0</v>
      </c>
      <c r="O4992" s="64" t="n">
        <f aca="false">IF(OR($I4992="",$I4992="NR"),0,IFERROR(MATCH($I4992,GradeList,0),0))</f>
        <v>0</v>
      </c>
      <c r="P4992" s="64" t="n">
        <f aca="false">IF(AND($M4992&gt;0,ISNUMBER(MATCH($F4992,Lists!$A$2:$A$5,0)),ISNUMBER(MATCH($G4992,Lists!$B$2:$B$7,0)),OR($H4992="",$N4992&gt;0),OR($I4992="",$I4992="NR",$O4992&gt;0),IF(ISNUMBER($J4992),AND($J4992&gt;=0,$J4992=INT($J4992)),FALSE())),$J4992,0)</f>
        <v>0</v>
      </c>
      <c r="Q4992" s="64" t="n">
        <f aca="false">IF(AND($P4992&gt;0,$O4992&gt;0),$P4992,0)</f>
        <v>0</v>
      </c>
      <c r="R4992" s="64" t="n">
        <f aca="false">IF(AND($Q4992&gt;0,$O4992&gt;=AtRank),$Q4992,0)</f>
        <v>0</v>
      </c>
      <c r="S4992" s="64" t="n">
        <f aca="false">IF(AND($Q4992&gt;0,$O4992&gt;=AboveRank),$Q4992,0)</f>
        <v>0</v>
      </c>
      <c r="T4992" s="64" t="n">
        <f aca="false">IF($K4992="Less",$P4992,0)</f>
        <v>0</v>
      </c>
      <c r="U4992" s="64" t="n">
        <f aca="false">IF($K4992="Expected",$P4992,0)</f>
        <v>0</v>
      </c>
      <c r="V4992" s="64" t="n">
        <f aca="false">IF($K4992="Better",$P4992,0)</f>
        <v>0</v>
      </c>
      <c r="W4992" s="64" t="n">
        <f aca="false">IF($K4992="U – needs rule",$P4992,0)</f>
        <v>0</v>
      </c>
      <c r="X4992" s="64" t="n">
        <f aca="false">IF($K4992="No Start (attainment only)",$P4992,0)</f>
        <v>0</v>
      </c>
    </row>
    <row r="4993" customFormat="false" ht="15" hidden="false" customHeight="false" outlineLevel="0" collapsed="false">
      <c r="A4993" s="60"/>
      <c r="B4993" s="61" t="str">
        <f aca="false">IF($M4993=0,"",INDEX(Classes!$E$6:$E$420,$M4993))</f>
        <v/>
      </c>
      <c r="C4993" s="62" t="str">
        <f aca="false">IF($M4993=0,"",INDEX(Classes!$H$6:$H$420,$M4993))</f>
        <v/>
      </c>
      <c r="D4993" s="61" t="str">
        <f aca="false">IF($M4993=0,"",INDEX(Classes!$B$6:$B$420,$M4993))</f>
        <v/>
      </c>
      <c r="E4993" s="61" t="str">
        <f aca="false">IF($M4993=0,"",INDEX(Classes!$C$6:$C$420,$M4993))</f>
        <v/>
      </c>
      <c r="F4993" s="63"/>
      <c r="G4993" s="63"/>
      <c r="H4993" s="60"/>
      <c r="I4993" s="60"/>
      <c r="J4993" s="63"/>
      <c r="K4993" s="61" t="str">
        <f aca="false">IF($P4993=0,"",IF($F4993="Baseline","— Baseline",IF($O4993=0,"No result",IF($N4993=0,"No Start (attainment only)",IF(OR($N4993=1,$O4993=1),"U – needs rule",INDEX(MxBody,MATCH($I4993,MxCurr,0),MATCH($H4993,MxStart,0)))))))</f>
        <v/>
      </c>
      <c r="L4993" s="62" t="str">
        <f aca="false">IF(COUNTA($A4993,$F4993,$G4993,$H4993,$I4993,$J4993)=0,"",IF($M4993=0,"✖ كود الصف غير موجود",IF(ISNA(MATCH($F4993,Lists!$A$2:$A$5,0)),"✖ الفترة غير صحيحة",IF(ISNA(MATCH($G4993,Lists!$B$2:$B$7,0)),"✖ المجموعة غير صحيحة",IF(NOT(OR($H4993="",$N4993&gt;0)),"✖ Start غير صحيح",IF(NOT(OR($I4993="",$I4993="NR",$O4993&gt;0)),"✖ Current غير صحيح",IF(NOT(IF(ISNUMBER($J4993),AND($J4993&gt;=0,$J4993=INT($J4993)),FALSE())),"✖ العدد يجب أن يكون صحيحًا ≥ 0",IF(AND($F4993="Baseline",$H4993&lt;&gt;""),"⚠ Baseline: Start لا يدخل في التقدم",IF($K4993="No Start (attainment only)","ℹ تحصيل فقط (بدون Start)",IF($K4993="U – needs rule","ℹ حالة U تحتاج قاعدة معتمدة",IF($K4993="No result","ℹ بدون نتيجة (يُستبعد من التحصيل)","OK")))))))))))</f>
        <v/>
      </c>
      <c r="M4993" s="64" t="n">
        <f aca="false">IF($A4993="",0,IFERROR(MATCH($A4993,Classes!$A$6:$A$420,0),0))</f>
        <v>0</v>
      </c>
      <c r="N4993" s="64" t="n">
        <f aca="false">IF($H4993="",0,IFERROR(MATCH($H4993,GradeList,0),0))</f>
        <v>0</v>
      </c>
      <c r="O4993" s="64" t="n">
        <f aca="false">IF(OR($I4993="",$I4993="NR"),0,IFERROR(MATCH($I4993,GradeList,0),0))</f>
        <v>0</v>
      </c>
      <c r="P4993" s="64" t="n">
        <f aca="false">IF(AND($M4993&gt;0,ISNUMBER(MATCH($F4993,Lists!$A$2:$A$5,0)),ISNUMBER(MATCH($G4993,Lists!$B$2:$B$7,0)),OR($H4993="",$N4993&gt;0),OR($I4993="",$I4993="NR",$O4993&gt;0),IF(ISNUMBER($J4993),AND($J4993&gt;=0,$J4993=INT($J4993)),FALSE())),$J4993,0)</f>
        <v>0</v>
      </c>
      <c r="Q4993" s="64" t="n">
        <f aca="false">IF(AND($P4993&gt;0,$O4993&gt;0),$P4993,0)</f>
        <v>0</v>
      </c>
      <c r="R4993" s="64" t="n">
        <f aca="false">IF(AND($Q4993&gt;0,$O4993&gt;=AtRank),$Q4993,0)</f>
        <v>0</v>
      </c>
      <c r="S4993" s="64" t="n">
        <f aca="false">IF(AND($Q4993&gt;0,$O4993&gt;=AboveRank),$Q4993,0)</f>
        <v>0</v>
      </c>
      <c r="T4993" s="64" t="n">
        <f aca="false">IF($K4993="Less",$P4993,0)</f>
        <v>0</v>
      </c>
      <c r="U4993" s="64" t="n">
        <f aca="false">IF($K4993="Expected",$P4993,0)</f>
        <v>0</v>
      </c>
      <c r="V4993" s="64" t="n">
        <f aca="false">IF($K4993="Better",$P4993,0)</f>
        <v>0</v>
      </c>
      <c r="W4993" s="64" t="n">
        <f aca="false">IF($K4993="U – needs rule",$P4993,0)</f>
        <v>0</v>
      </c>
      <c r="X4993" s="64" t="n">
        <f aca="false">IF($K4993="No Start (attainment only)",$P4993,0)</f>
        <v>0</v>
      </c>
    </row>
    <row r="4994" customFormat="false" ht="15" hidden="false" customHeight="false" outlineLevel="0" collapsed="false">
      <c r="A4994" s="60"/>
      <c r="B4994" s="61" t="str">
        <f aca="false">IF($M4994=0,"",INDEX(Classes!$E$6:$E$420,$M4994))</f>
        <v/>
      </c>
      <c r="C4994" s="62" t="str">
        <f aca="false">IF($M4994=0,"",INDEX(Classes!$H$6:$H$420,$M4994))</f>
        <v/>
      </c>
      <c r="D4994" s="61" t="str">
        <f aca="false">IF($M4994=0,"",INDEX(Classes!$B$6:$B$420,$M4994))</f>
        <v/>
      </c>
      <c r="E4994" s="61" t="str">
        <f aca="false">IF($M4994=0,"",INDEX(Classes!$C$6:$C$420,$M4994))</f>
        <v/>
      </c>
      <c r="F4994" s="63"/>
      <c r="G4994" s="63"/>
      <c r="H4994" s="60"/>
      <c r="I4994" s="60"/>
      <c r="J4994" s="63"/>
      <c r="K4994" s="61" t="str">
        <f aca="false">IF($P4994=0,"",IF($F4994="Baseline","— Baseline",IF($O4994=0,"No result",IF($N4994=0,"No Start (attainment only)",IF(OR($N4994=1,$O4994=1),"U – needs rule",INDEX(MxBody,MATCH($I4994,MxCurr,0),MATCH($H4994,MxStart,0)))))))</f>
        <v/>
      </c>
      <c r="L4994" s="62" t="str">
        <f aca="false">IF(COUNTA($A4994,$F4994,$G4994,$H4994,$I4994,$J4994)=0,"",IF($M4994=0,"✖ كود الصف غير موجود",IF(ISNA(MATCH($F4994,Lists!$A$2:$A$5,0)),"✖ الفترة غير صحيحة",IF(ISNA(MATCH($G4994,Lists!$B$2:$B$7,0)),"✖ المجموعة غير صحيحة",IF(NOT(OR($H4994="",$N4994&gt;0)),"✖ Start غير صحيح",IF(NOT(OR($I4994="",$I4994="NR",$O4994&gt;0)),"✖ Current غير صحيح",IF(NOT(IF(ISNUMBER($J4994),AND($J4994&gt;=0,$J4994=INT($J4994)),FALSE())),"✖ العدد يجب أن يكون صحيحًا ≥ 0",IF(AND($F4994="Baseline",$H4994&lt;&gt;""),"⚠ Baseline: Start لا يدخل في التقدم",IF($K4994="No Start (attainment only)","ℹ تحصيل فقط (بدون Start)",IF($K4994="U – needs rule","ℹ حالة U تحتاج قاعدة معتمدة",IF($K4994="No result","ℹ بدون نتيجة (يُستبعد من التحصيل)","OK")))))))))))</f>
        <v/>
      </c>
      <c r="M4994" s="64" t="n">
        <f aca="false">IF($A4994="",0,IFERROR(MATCH($A4994,Classes!$A$6:$A$420,0),0))</f>
        <v>0</v>
      </c>
      <c r="N4994" s="64" t="n">
        <f aca="false">IF($H4994="",0,IFERROR(MATCH($H4994,GradeList,0),0))</f>
        <v>0</v>
      </c>
      <c r="O4994" s="64" t="n">
        <f aca="false">IF(OR($I4994="",$I4994="NR"),0,IFERROR(MATCH($I4994,GradeList,0),0))</f>
        <v>0</v>
      </c>
      <c r="P4994" s="64" t="n">
        <f aca="false">IF(AND($M4994&gt;0,ISNUMBER(MATCH($F4994,Lists!$A$2:$A$5,0)),ISNUMBER(MATCH($G4994,Lists!$B$2:$B$7,0)),OR($H4994="",$N4994&gt;0),OR($I4994="",$I4994="NR",$O4994&gt;0),IF(ISNUMBER($J4994),AND($J4994&gt;=0,$J4994=INT($J4994)),FALSE())),$J4994,0)</f>
        <v>0</v>
      </c>
      <c r="Q4994" s="64" t="n">
        <f aca="false">IF(AND($P4994&gt;0,$O4994&gt;0),$P4994,0)</f>
        <v>0</v>
      </c>
      <c r="R4994" s="64" t="n">
        <f aca="false">IF(AND($Q4994&gt;0,$O4994&gt;=AtRank),$Q4994,0)</f>
        <v>0</v>
      </c>
      <c r="S4994" s="64" t="n">
        <f aca="false">IF(AND($Q4994&gt;0,$O4994&gt;=AboveRank),$Q4994,0)</f>
        <v>0</v>
      </c>
      <c r="T4994" s="64" t="n">
        <f aca="false">IF($K4994="Less",$P4994,0)</f>
        <v>0</v>
      </c>
      <c r="U4994" s="64" t="n">
        <f aca="false">IF($K4994="Expected",$P4994,0)</f>
        <v>0</v>
      </c>
      <c r="V4994" s="64" t="n">
        <f aca="false">IF($K4994="Better",$P4994,0)</f>
        <v>0</v>
      </c>
      <c r="W4994" s="64" t="n">
        <f aca="false">IF($K4994="U – needs rule",$P4994,0)</f>
        <v>0</v>
      </c>
      <c r="X4994" s="64" t="n">
        <f aca="false">IF($K4994="No Start (attainment only)",$P4994,0)</f>
        <v>0</v>
      </c>
    </row>
    <row r="4995" customFormat="false" ht="15" hidden="false" customHeight="false" outlineLevel="0" collapsed="false">
      <c r="A4995" s="60"/>
      <c r="B4995" s="61" t="str">
        <f aca="false">IF($M4995=0,"",INDEX(Classes!$E$6:$E$420,$M4995))</f>
        <v/>
      </c>
      <c r="C4995" s="62" t="str">
        <f aca="false">IF($M4995=0,"",INDEX(Classes!$H$6:$H$420,$M4995))</f>
        <v/>
      </c>
      <c r="D4995" s="61" t="str">
        <f aca="false">IF($M4995=0,"",INDEX(Classes!$B$6:$B$420,$M4995))</f>
        <v/>
      </c>
      <c r="E4995" s="61" t="str">
        <f aca="false">IF($M4995=0,"",INDEX(Classes!$C$6:$C$420,$M4995))</f>
        <v/>
      </c>
      <c r="F4995" s="63"/>
      <c r="G4995" s="63"/>
      <c r="H4995" s="60"/>
      <c r="I4995" s="60"/>
      <c r="J4995" s="63"/>
      <c r="K4995" s="61" t="str">
        <f aca="false">IF($P4995=0,"",IF($F4995="Baseline","— Baseline",IF($O4995=0,"No result",IF($N4995=0,"No Start (attainment only)",IF(OR($N4995=1,$O4995=1),"U – needs rule",INDEX(MxBody,MATCH($I4995,MxCurr,0),MATCH($H4995,MxStart,0)))))))</f>
        <v/>
      </c>
      <c r="L4995" s="62" t="str">
        <f aca="false">IF(COUNTA($A4995,$F4995,$G4995,$H4995,$I4995,$J4995)=0,"",IF($M4995=0,"✖ كود الصف غير موجود",IF(ISNA(MATCH($F4995,Lists!$A$2:$A$5,0)),"✖ الفترة غير صحيحة",IF(ISNA(MATCH($G4995,Lists!$B$2:$B$7,0)),"✖ المجموعة غير صحيحة",IF(NOT(OR($H4995="",$N4995&gt;0)),"✖ Start غير صحيح",IF(NOT(OR($I4995="",$I4995="NR",$O4995&gt;0)),"✖ Current غير صحيح",IF(NOT(IF(ISNUMBER($J4995),AND($J4995&gt;=0,$J4995=INT($J4995)),FALSE())),"✖ العدد يجب أن يكون صحيحًا ≥ 0",IF(AND($F4995="Baseline",$H4995&lt;&gt;""),"⚠ Baseline: Start لا يدخل في التقدم",IF($K4995="No Start (attainment only)","ℹ تحصيل فقط (بدون Start)",IF($K4995="U – needs rule","ℹ حالة U تحتاج قاعدة معتمدة",IF($K4995="No result","ℹ بدون نتيجة (يُستبعد من التحصيل)","OK")))))))))))</f>
        <v/>
      </c>
      <c r="M4995" s="64" t="n">
        <f aca="false">IF($A4995="",0,IFERROR(MATCH($A4995,Classes!$A$6:$A$420,0),0))</f>
        <v>0</v>
      </c>
      <c r="N4995" s="64" t="n">
        <f aca="false">IF($H4995="",0,IFERROR(MATCH($H4995,GradeList,0),0))</f>
        <v>0</v>
      </c>
      <c r="O4995" s="64" t="n">
        <f aca="false">IF(OR($I4995="",$I4995="NR"),0,IFERROR(MATCH($I4995,GradeList,0),0))</f>
        <v>0</v>
      </c>
      <c r="P4995" s="64" t="n">
        <f aca="false">IF(AND($M4995&gt;0,ISNUMBER(MATCH($F4995,Lists!$A$2:$A$5,0)),ISNUMBER(MATCH($G4995,Lists!$B$2:$B$7,0)),OR($H4995="",$N4995&gt;0),OR($I4995="",$I4995="NR",$O4995&gt;0),IF(ISNUMBER($J4995),AND($J4995&gt;=0,$J4995=INT($J4995)),FALSE())),$J4995,0)</f>
        <v>0</v>
      </c>
      <c r="Q4995" s="64" t="n">
        <f aca="false">IF(AND($P4995&gt;0,$O4995&gt;0),$P4995,0)</f>
        <v>0</v>
      </c>
      <c r="R4995" s="64" t="n">
        <f aca="false">IF(AND($Q4995&gt;0,$O4995&gt;=AtRank),$Q4995,0)</f>
        <v>0</v>
      </c>
      <c r="S4995" s="64" t="n">
        <f aca="false">IF(AND($Q4995&gt;0,$O4995&gt;=AboveRank),$Q4995,0)</f>
        <v>0</v>
      </c>
      <c r="T4995" s="64" t="n">
        <f aca="false">IF($K4995="Less",$P4995,0)</f>
        <v>0</v>
      </c>
      <c r="U4995" s="64" t="n">
        <f aca="false">IF($K4995="Expected",$P4995,0)</f>
        <v>0</v>
      </c>
      <c r="V4995" s="64" t="n">
        <f aca="false">IF($K4995="Better",$P4995,0)</f>
        <v>0</v>
      </c>
      <c r="W4995" s="64" t="n">
        <f aca="false">IF($K4995="U – needs rule",$P4995,0)</f>
        <v>0</v>
      </c>
      <c r="X4995" s="64" t="n">
        <f aca="false">IF($K4995="No Start (attainment only)",$P4995,0)</f>
        <v>0</v>
      </c>
    </row>
    <row r="4996" customFormat="false" ht="15" hidden="false" customHeight="false" outlineLevel="0" collapsed="false">
      <c r="A4996" s="60"/>
      <c r="B4996" s="61" t="str">
        <f aca="false">IF($M4996=0,"",INDEX(Classes!$E$6:$E$420,$M4996))</f>
        <v/>
      </c>
      <c r="C4996" s="62" t="str">
        <f aca="false">IF($M4996=0,"",INDEX(Classes!$H$6:$H$420,$M4996))</f>
        <v/>
      </c>
      <c r="D4996" s="61" t="str">
        <f aca="false">IF($M4996=0,"",INDEX(Classes!$B$6:$B$420,$M4996))</f>
        <v/>
      </c>
      <c r="E4996" s="61" t="str">
        <f aca="false">IF($M4996=0,"",INDEX(Classes!$C$6:$C$420,$M4996))</f>
        <v/>
      </c>
      <c r="F4996" s="63"/>
      <c r="G4996" s="63"/>
      <c r="H4996" s="60"/>
      <c r="I4996" s="60"/>
      <c r="J4996" s="63"/>
      <c r="K4996" s="61" t="str">
        <f aca="false">IF($P4996=0,"",IF($F4996="Baseline","— Baseline",IF($O4996=0,"No result",IF($N4996=0,"No Start (attainment only)",IF(OR($N4996=1,$O4996=1),"U – needs rule",INDEX(MxBody,MATCH($I4996,MxCurr,0),MATCH($H4996,MxStart,0)))))))</f>
        <v/>
      </c>
      <c r="L4996" s="62" t="str">
        <f aca="false">IF(COUNTA($A4996,$F4996,$G4996,$H4996,$I4996,$J4996)=0,"",IF($M4996=0,"✖ كود الصف غير موجود",IF(ISNA(MATCH($F4996,Lists!$A$2:$A$5,0)),"✖ الفترة غير صحيحة",IF(ISNA(MATCH($G4996,Lists!$B$2:$B$7,0)),"✖ المجموعة غير صحيحة",IF(NOT(OR($H4996="",$N4996&gt;0)),"✖ Start غير صحيح",IF(NOT(OR($I4996="",$I4996="NR",$O4996&gt;0)),"✖ Current غير صحيح",IF(NOT(IF(ISNUMBER($J4996),AND($J4996&gt;=0,$J4996=INT($J4996)),FALSE())),"✖ العدد يجب أن يكون صحيحًا ≥ 0",IF(AND($F4996="Baseline",$H4996&lt;&gt;""),"⚠ Baseline: Start لا يدخل في التقدم",IF($K4996="No Start (attainment only)","ℹ تحصيل فقط (بدون Start)",IF($K4996="U – needs rule","ℹ حالة U تحتاج قاعدة معتمدة",IF($K4996="No result","ℹ بدون نتيجة (يُستبعد من التحصيل)","OK")))))))))))</f>
        <v/>
      </c>
      <c r="M4996" s="64" t="n">
        <f aca="false">IF($A4996="",0,IFERROR(MATCH($A4996,Classes!$A$6:$A$420,0),0))</f>
        <v>0</v>
      </c>
      <c r="N4996" s="64" t="n">
        <f aca="false">IF($H4996="",0,IFERROR(MATCH($H4996,GradeList,0),0))</f>
        <v>0</v>
      </c>
      <c r="O4996" s="64" t="n">
        <f aca="false">IF(OR($I4996="",$I4996="NR"),0,IFERROR(MATCH($I4996,GradeList,0),0))</f>
        <v>0</v>
      </c>
      <c r="P4996" s="64" t="n">
        <f aca="false">IF(AND($M4996&gt;0,ISNUMBER(MATCH($F4996,Lists!$A$2:$A$5,0)),ISNUMBER(MATCH($G4996,Lists!$B$2:$B$7,0)),OR($H4996="",$N4996&gt;0),OR($I4996="",$I4996="NR",$O4996&gt;0),IF(ISNUMBER($J4996),AND($J4996&gt;=0,$J4996=INT($J4996)),FALSE())),$J4996,0)</f>
        <v>0</v>
      </c>
      <c r="Q4996" s="64" t="n">
        <f aca="false">IF(AND($P4996&gt;0,$O4996&gt;0),$P4996,0)</f>
        <v>0</v>
      </c>
      <c r="R4996" s="64" t="n">
        <f aca="false">IF(AND($Q4996&gt;0,$O4996&gt;=AtRank),$Q4996,0)</f>
        <v>0</v>
      </c>
      <c r="S4996" s="64" t="n">
        <f aca="false">IF(AND($Q4996&gt;0,$O4996&gt;=AboveRank),$Q4996,0)</f>
        <v>0</v>
      </c>
      <c r="T4996" s="64" t="n">
        <f aca="false">IF($K4996="Less",$P4996,0)</f>
        <v>0</v>
      </c>
      <c r="U4996" s="64" t="n">
        <f aca="false">IF($K4996="Expected",$P4996,0)</f>
        <v>0</v>
      </c>
      <c r="V4996" s="64" t="n">
        <f aca="false">IF($K4996="Better",$P4996,0)</f>
        <v>0</v>
      </c>
      <c r="W4996" s="64" t="n">
        <f aca="false">IF($K4996="U – needs rule",$P4996,0)</f>
        <v>0</v>
      </c>
      <c r="X4996" s="64" t="n">
        <f aca="false">IF($K4996="No Start (attainment only)",$P4996,0)</f>
        <v>0</v>
      </c>
    </row>
    <row r="4997" customFormat="false" ht="15" hidden="false" customHeight="false" outlineLevel="0" collapsed="false">
      <c r="A4997" s="60"/>
      <c r="B4997" s="61" t="str">
        <f aca="false">IF($M4997=0,"",INDEX(Classes!$E$6:$E$420,$M4997))</f>
        <v/>
      </c>
      <c r="C4997" s="62" t="str">
        <f aca="false">IF($M4997=0,"",INDEX(Classes!$H$6:$H$420,$M4997))</f>
        <v/>
      </c>
      <c r="D4997" s="61" t="str">
        <f aca="false">IF($M4997=0,"",INDEX(Classes!$B$6:$B$420,$M4997))</f>
        <v/>
      </c>
      <c r="E4997" s="61" t="str">
        <f aca="false">IF($M4997=0,"",INDEX(Classes!$C$6:$C$420,$M4997))</f>
        <v/>
      </c>
      <c r="F4997" s="63"/>
      <c r="G4997" s="63"/>
      <c r="H4997" s="60"/>
      <c r="I4997" s="60"/>
      <c r="J4997" s="63"/>
      <c r="K4997" s="61" t="str">
        <f aca="false">IF($P4997=0,"",IF($F4997="Baseline","— Baseline",IF($O4997=0,"No result",IF($N4997=0,"No Start (attainment only)",IF(OR($N4997=1,$O4997=1),"U – needs rule",INDEX(MxBody,MATCH($I4997,MxCurr,0),MATCH($H4997,MxStart,0)))))))</f>
        <v/>
      </c>
      <c r="L4997" s="62" t="str">
        <f aca="false">IF(COUNTA($A4997,$F4997,$G4997,$H4997,$I4997,$J4997)=0,"",IF($M4997=0,"✖ كود الصف غير موجود",IF(ISNA(MATCH($F4997,Lists!$A$2:$A$5,0)),"✖ الفترة غير صحيحة",IF(ISNA(MATCH($G4997,Lists!$B$2:$B$7,0)),"✖ المجموعة غير صحيحة",IF(NOT(OR($H4997="",$N4997&gt;0)),"✖ Start غير صحيح",IF(NOT(OR($I4997="",$I4997="NR",$O4997&gt;0)),"✖ Current غير صحيح",IF(NOT(IF(ISNUMBER($J4997),AND($J4997&gt;=0,$J4997=INT($J4997)),FALSE())),"✖ العدد يجب أن يكون صحيحًا ≥ 0",IF(AND($F4997="Baseline",$H4997&lt;&gt;""),"⚠ Baseline: Start لا يدخل في التقدم",IF($K4997="No Start (attainment only)","ℹ تحصيل فقط (بدون Start)",IF($K4997="U – needs rule","ℹ حالة U تحتاج قاعدة معتمدة",IF($K4997="No result","ℹ بدون نتيجة (يُستبعد من التحصيل)","OK")))))))))))</f>
        <v/>
      </c>
      <c r="M4997" s="64" t="n">
        <f aca="false">IF($A4997="",0,IFERROR(MATCH($A4997,Classes!$A$6:$A$420,0),0))</f>
        <v>0</v>
      </c>
      <c r="N4997" s="64" t="n">
        <f aca="false">IF($H4997="",0,IFERROR(MATCH($H4997,GradeList,0),0))</f>
        <v>0</v>
      </c>
      <c r="O4997" s="64" t="n">
        <f aca="false">IF(OR($I4997="",$I4997="NR"),0,IFERROR(MATCH($I4997,GradeList,0),0))</f>
        <v>0</v>
      </c>
      <c r="P4997" s="64" t="n">
        <f aca="false">IF(AND($M4997&gt;0,ISNUMBER(MATCH($F4997,Lists!$A$2:$A$5,0)),ISNUMBER(MATCH($G4997,Lists!$B$2:$B$7,0)),OR($H4997="",$N4997&gt;0),OR($I4997="",$I4997="NR",$O4997&gt;0),IF(ISNUMBER($J4997),AND($J4997&gt;=0,$J4997=INT($J4997)),FALSE())),$J4997,0)</f>
        <v>0</v>
      </c>
      <c r="Q4997" s="64" t="n">
        <f aca="false">IF(AND($P4997&gt;0,$O4997&gt;0),$P4997,0)</f>
        <v>0</v>
      </c>
      <c r="R4997" s="64" t="n">
        <f aca="false">IF(AND($Q4997&gt;0,$O4997&gt;=AtRank),$Q4997,0)</f>
        <v>0</v>
      </c>
      <c r="S4997" s="64" t="n">
        <f aca="false">IF(AND($Q4997&gt;0,$O4997&gt;=AboveRank),$Q4997,0)</f>
        <v>0</v>
      </c>
      <c r="T4997" s="64" t="n">
        <f aca="false">IF($K4997="Less",$P4997,0)</f>
        <v>0</v>
      </c>
      <c r="U4997" s="64" t="n">
        <f aca="false">IF($K4997="Expected",$P4997,0)</f>
        <v>0</v>
      </c>
      <c r="V4997" s="64" t="n">
        <f aca="false">IF($K4997="Better",$P4997,0)</f>
        <v>0</v>
      </c>
      <c r="W4997" s="64" t="n">
        <f aca="false">IF($K4997="U – needs rule",$P4997,0)</f>
        <v>0</v>
      </c>
      <c r="X4997" s="64" t="n">
        <f aca="false">IF($K4997="No Start (attainment only)",$P4997,0)</f>
        <v>0</v>
      </c>
    </row>
    <row r="4998" customFormat="false" ht="15" hidden="false" customHeight="false" outlineLevel="0" collapsed="false">
      <c r="A4998" s="60"/>
      <c r="B4998" s="61" t="str">
        <f aca="false">IF($M4998=0,"",INDEX(Classes!$E$6:$E$420,$M4998))</f>
        <v/>
      </c>
      <c r="C4998" s="62" t="str">
        <f aca="false">IF($M4998=0,"",INDEX(Classes!$H$6:$H$420,$M4998))</f>
        <v/>
      </c>
      <c r="D4998" s="61" t="str">
        <f aca="false">IF($M4998=0,"",INDEX(Classes!$B$6:$B$420,$M4998))</f>
        <v/>
      </c>
      <c r="E4998" s="61" t="str">
        <f aca="false">IF($M4998=0,"",INDEX(Classes!$C$6:$C$420,$M4998))</f>
        <v/>
      </c>
      <c r="F4998" s="63"/>
      <c r="G4998" s="63"/>
      <c r="H4998" s="60"/>
      <c r="I4998" s="60"/>
      <c r="J4998" s="63"/>
      <c r="K4998" s="61" t="str">
        <f aca="false">IF($P4998=0,"",IF($F4998="Baseline","— Baseline",IF($O4998=0,"No result",IF($N4998=0,"No Start (attainment only)",IF(OR($N4998=1,$O4998=1),"U – needs rule",INDEX(MxBody,MATCH($I4998,MxCurr,0),MATCH($H4998,MxStart,0)))))))</f>
        <v/>
      </c>
      <c r="L4998" s="62" t="str">
        <f aca="false">IF(COUNTA($A4998,$F4998,$G4998,$H4998,$I4998,$J4998)=0,"",IF($M4998=0,"✖ كود الصف غير موجود",IF(ISNA(MATCH($F4998,Lists!$A$2:$A$5,0)),"✖ الفترة غير صحيحة",IF(ISNA(MATCH($G4998,Lists!$B$2:$B$7,0)),"✖ المجموعة غير صحيحة",IF(NOT(OR($H4998="",$N4998&gt;0)),"✖ Start غير صحيح",IF(NOT(OR($I4998="",$I4998="NR",$O4998&gt;0)),"✖ Current غير صحيح",IF(NOT(IF(ISNUMBER($J4998),AND($J4998&gt;=0,$J4998=INT($J4998)),FALSE())),"✖ العدد يجب أن يكون صحيحًا ≥ 0",IF(AND($F4998="Baseline",$H4998&lt;&gt;""),"⚠ Baseline: Start لا يدخل في التقدم",IF($K4998="No Start (attainment only)","ℹ تحصيل فقط (بدون Start)",IF($K4998="U – needs rule","ℹ حالة U تحتاج قاعدة معتمدة",IF($K4998="No result","ℹ بدون نتيجة (يُستبعد من التحصيل)","OK")))))))))))</f>
        <v/>
      </c>
      <c r="M4998" s="64" t="n">
        <f aca="false">IF($A4998="",0,IFERROR(MATCH($A4998,Classes!$A$6:$A$420,0),0))</f>
        <v>0</v>
      </c>
      <c r="N4998" s="64" t="n">
        <f aca="false">IF($H4998="",0,IFERROR(MATCH($H4998,GradeList,0),0))</f>
        <v>0</v>
      </c>
      <c r="O4998" s="64" t="n">
        <f aca="false">IF(OR($I4998="",$I4998="NR"),0,IFERROR(MATCH($I4998,GradeList,0),0))</f>
        <v>0</v>
      </c>
      <c r="P4998" s="64" t="n">
        <f aca="false">IF(AND($M4998&gt;0,ISNUMBER(MATCH($F4998,Lists!$A$2:$A$5,0)),ISNUMBER(MATCH($G4998,Lists!$B$2:$B$7,0)),OR($H4998="",$N4998&gt;0),OR($I4998="",$I4998="NR",$O4998&gt;0),IF(ISNUMBER($J4998),AND($J4998&gt;=0,$J4998=INT($J4998)),FALSE())),$J4998,0)</f>
        <v>0</v>
      </c>
      <c r="Q4998" s="64" t="n">
        <f aca="false">IF(AND($P4998&gt;0,$O4998&gt;0),$P4998,0)</f>
        <v>0</v>
      </c>
      <c r="R4998" s="64" t="n">
        <f aca="false">IF(AND($Q4998&gt;0,$O4998&gt;=AtRank),$Q4998,0)</f>
        <v>0</v>
      </c>
      <c r="S4998" s="64" t="n">
        <f aca="false">IF(AND($Q4998&gt;0,$O4998&gt;=AboveRank),$Q4998,0)</f>
        <v>0</v>
      </c>
      <c r="T4998" s="64" t="n">
        <f aca="false">IF($K4998="Less",$P4998,0)</f>
        <v>0</v>
      </c>
      <c r="U4998" s="64" t="n">
        <f aca="false">IF($K4998="Expected",$P4998,0)</f>
        <v>0</v>
      </c>
      <c r="V4998" s="64" t="n">
        <f aca="false">IF($K4998="Better",$P4998,0)</f>
        <v>0</v>
      </c>
      <c r="W4998" s="64" t="n">
        <f aca="false">IF($K4998="U – needs rule",$P4998,0)</f>
        <v>0</v>
      </c>
      <c r="X4998" s="64" t="n">
        <f aca="false">IF($K4998="No Start (attainment only)",$P4998,0)</f>
        <v>0</v>
      </c>
    </row>
    <row r="4999" customFormat="false" ht="15" hidden="false" customHeight="false" outlineLevel="0" collapsed="false">
      <c r="A4999" s="60"/>
      <c r="B4999" s="61" t="str">
        <f aca="false">IF($M4999=0,"",INDEX(Classes!$E$6:$E$420,$M4999))</f>
        <v/>
      </c>
      <c r="C4999" s="62" t="str">
        <f aca="false">IF($M4999=0,"",INDEX(Classes!$H$6:$H$420,$M4999))</f>
        <v/>
      </c>
      <c r="D4999" s="61" t="str">
        <f aca="false">IF($M4999=0,"",INDEX(Classes!$B$6:$B$420,$M4999))</f>
        <v/>
      </c>
      <c r="E4999" s="61" t="str">
        <f aca="false">IF($M4999=0,"",INDEX(Classes!$C$6:$C$420,$M4999))</f>
        <v/>
      </c>
      <c r="F4999" s="63"/>
      <c r="G4999" s="63"/>
      <c r="H4999" s="60"/>
      <c r="I4999" s="60"/>
      <c r="J4999" s="63"/>
      <c r="K4999" s="61" t="str">
        <f aca="false">IF($P4999=0,"",IF($F4999="Baseline","— Baseline",IF($O4999=0,"No result",IF($N4999=0,"No Start (attainment only)",IF(OR($N4999=1,$O4999=1),"U – needs rule",INDEX(MxBody,MATCH($I4999,MxCurr,0),MATCH($H4999,MxStart,0)))))))</f>
        <v/>
      </c>
      <c r="L4999" s="62" t="str">
        <f aca="false">IF(COUNTA($A4999,$F4999,$G4999,$H4999,$I4999,$J4999)=0,"",IF($M4999=0,"✖ كود الصف غير موجود",IF(ISNA(MATCH($F4999,Lists!$A$2:$A$5,0)),"✖ الفترة غير صحيحة",IF(ISNA(MATCH($G4999,Lists!$B$2:$B$7,0)),"✖ المجموعة غير صحيحة",IF(NOT(OR($H4999="",$N4999&gt;0)),"✖ Start غير صحيح",IF(NOT(OR($I4999="",$I4999="NR",$O4999&gt;0)),"✖ Current غير صحيح",IF(NOT(IF(ISNUMBER($J4999),AND($J4999&gt;=0,$J4999=INT($J4999)),FALSE())),"✖ العدد يجب أن يكون صحيحًا ≥ 0",IF(AND($F4999="Baseline",$H4999&lt;&gt;""),"⚠ Baseline: Start لا يدخل في التقدم",IF($K4999="No Start (attainment only)","ℹ تحصيل فقط (بدون Start)",IF($K4999="U – needs rule","ℹ حالة U تحتاج قاعدة معتمدة",IF($K4999="No result","ℹ بدون نتيجة (يُستبعد من التحصيل)","OK")))))))))))</f>
        <v/>
      </c>
      <c r="M4999" s="64" t="n">
        <f aca="false">IF($A4999="",0,IFERROR(MATCH($A4999,Classes!$A$6:$A$420,0),0))</f>
        <v>0</v>
      </c>
      <c r="N4999" s="64" t="n">
        <f aca="false">IF($H4999="",0,IFERROR(MATCH($H4999,GradeList,0),0))</f>
        <v>0</v>
      </c>
      <c r="O4999" s="64" t="n">
        <f aca="false">IF(OR($I4999="",$I4999="NR"),0,IFERROR(MATCH($I4999,GradeList,0),0))</f>
        <v>0</v>
      </c>
      <c r="P4999" s="64" t="n">
        <f aca="false">IF(AND($M4999&gt;0,ISNUMBER(MATCH($F4999,Lists!$A$2:$A$5,0)),ISNUMBER(MATCH($G4999,Lists!$B$2:$B$7,0)),OR($H4999="",$N4999&gt;0),OR($I4999="",$I4999="NR",$O4999&gt;0),IF(ISNUMBER($J4999),AND($J4999&gt;=0,$J4999=INT($J4999)),FALSE())),$J4999,0)</f>
        <v>0</v>
      </c>
      <c r="Q4999" s="64" t="n">
        <f aca="false">IF(AND($P4999&gt;0,$O4999&gt;0),$P4999,0)</f>
        <v>0</v>
      </c>
      <c r="R4999" s="64" t="n">
        <f aca="false">IF(AND($Q4999&gt;0,$O4999&gt;=AtRank),$Q4999,0)</f>
        <v>0</v>
      </c>
      <c r="S4999" s="64" t="n">
        <f aca="false">IF(AND($Q4999&gt;0,$O4999&gt;=AboveRank),$Q4999,0)</f>
        <v>0</v>
      </c>
      <c r="T4999" s="64" t="n">
        <f aca="false">IF($K4999="Less",$P4999,0)</f>
        <v>0</v>
      </c>
      <c r="U4999" s="64" t="n">
        <f aca="false">IF($K4999="Expected",$P4999,0)</f>
        <v>0</v>
      </c>
      <c r="V4999" s="64" t="n">
        <f aca="false">IF($K4999="Better",$P4999,0)</f>
        <v>0</v>
      </c>
      <c r="W4999" s="64" t="n">
        <f aca="false">IF($K4999="U – needs rule",$P4999,0)</f>
        <v>0</v>
      </c>
      <c r="X4999" s="64" t="n">
        <f aca="false">IF($K4999="No Start (attainment only)",$P4999,0)</f>
        <v>0</v>
      </c>
    </row>
    <row r="5000" customFormat="false" ht="15" hidden="false" customHeight="false" outlineLevel="0" collapsed="false">
      <c r="A5000" s="60"/>
      <c r="B5000" s="61" t="str">
        <f aca="false">IF($M5000=0,"",INDEX(Classes!$E$6:$E$420,$M5000))</f>
        <v/>
      </c>
      <c r="C5000" s="62" t="str">
        <f aca="false">IF($M5000=0,"",INDEX(Classes!$H$6:$H$420,$M5000))</f>
        <v/>
      </c>
      <c r="D5000" s="61" t="str">
        <f aca="false">IF($M5000=0,"",INDEX(Classes!$B$6:$B$420,$M5000))</f>
        <v/>
      </c>
      <c r="E5000" s="61" t="str">
        <f aca="false">IF($M5000=0,"",INDEX(Classes!$C$6:$C$420,$M5000))</f>
        <v/>
      </c>
      <c r="F5000" s="63"/>
      <c r="G5000" s="63"/>
      <c r="H5000" s="60"/>
      <c r="I5000" s="60"/>
      <c r="J5000" s="63"/>
      <c r="K5000" s="61" t="str">
        <f aca="false">IF($P5000=0,"",IF($F5000="Baseline","— Baseline",IF($O5000=0,"No result",IF($N5000=0,"No Start (attainment only)",IF(OR($N5000=1,$O5000=1),"U – needs rule",INDEX(MxBody,MATCH($I5000,MxCurr,0),MATCH($H5000,MxStart,0)))))))</f>
        <v/>
      </c>
      <c r="L5000" s="62" t="str">
        <f aca="false">IF(COUNTA($A5000,$F5000,$G5000,$H5000,$I5000,$J5000)=0,"",IF($M5000=0,"✖ كود الصف غير موجود",IF(ISNA(MATCH($F5000,Lists!$A$2:$A$5,0)),"✖ الفترة غير صحيحة",IF(ISNA(MATCH($G5000,Lists!$B$2:$B$7,0)),"✖ المجموعة غير صحيحة",IF(NOT(OR($H5000="",$N5000&gt;0)),"✖ Start غير صحيح",IF(NOT(OR($I5000="",$I5000="NR",$O5000&gt;0)),"✖ Current غير صحيح",IF(NOT(IF(ISNUMBER($J5000),AND($J5000&gt;=0,$J5000=INT($J5000)),FALSE())),"✖ العدد يجب أن يكون صحيحًا ≥ 0",IF(AND($F5000="Baseline",$H5000&lt;&gt;""),"⚠ Baseline: Start لا يدخل في التقدم",IF($K5000="No Start (attainment only)","ℹ تحصيل فقط (بدون Start)",IF($K5000="U – needs rule","ℹ حالة U تحتاج قاعدة معتمدة",IF($K5000="No result","ℹ بدون نتيجة (يُستبعد من التحصيل)","OK")))))))))))</f>
        <v/>
      </c>
      <c r="M5000" s="64" t="n">
        <f aca="false">IF($A5000="",0,IFERROR(MATCH($A5000,Classes!$A$6:$A$420,0),0))</f>
        <v>0</v>
      </c>
      <c r="N5000" s="64" t="n">
        <f aca="false">IF($H5000="",0,IFERROR(MATCH($H5000,GradeList,0),0))</f>
        <v>0</v>
      </c>
      <c r="O5000" s="64" t="n">
        <f aca="false">IF(OR($I5000="",$I5000="NR"),0,IFERROR(MATCH($I5000,GradeList,0),0))</f>
        <v>0</v>
      </c>
      <c r="P5000" s="64" t="n">
        <f aca="false">IF(AND($M5000&gt;0,ISNUMBER(MATCH($F5000,Lists!$A$2:$A$5,0)),ISNUMBER(MATCH($G5000,Lists!$B$2:$B$7,0)),OR($H5000="",$N5000&gt;0),OR($I5000="",$I5000="NR",$O5000&gt;0),IF(ISNUMBER($J5000),AND($J5000&gt;=0,$J5000=INT($J5000)),FALSE())),$J5000,0)</f>
        <v>0</v>
      </c>
      <c r="Q5000" s="64" t="n">
        <f aca="false">IF(AND($P5000&gt;0,$O5000&gt;0),$P5000,0)</f>
        <v>0</v>
      </c>
      <c r="R5000" s="64" t="n">
        <f aca="false">IF(AND($Q5000&gt;0,$O5000&gt;=AtRank),$Q5000,0)</f>
        <v>0</v>
      </c>
      <c r="S5000" s="64" t="n">
        <f aca="false">IF(AND($Q5000&gt;0,$O5000&gt;=AboveRank),$Q5000,0)</f>
        <v>0</v>
      </c>
      <c r="T5000" s="64" t="n">
        <f aca="false">IF($K5000="Less",$P5000,0)</f>
        <v>0</v>
      </c>
      <c r="U5000" s="64" t="n">
        <f aca="false">IF($K5000="Expected",$P5000,0)</f>
        <v>0</v>
      </c>
      <c r="V5000" s="64" t="n">
        <f aca="false">IF($K5000="Better",$P5000,0)</f>
        <v>0</v>
      </c>
      <c r="W5000" s="64" t="n">
        <f aca="false">IF($K5000="U – needs rule",$P5000,0)</f>
        <v>0</v>
      </c>
      <c r="X5000" s="64" t="n">
        <f aca="false">IF($K5000="No Start (attainment only)",$P5000,0)</f>
        <v>0</v>
      </c>
    </row>
    <row r="5001" customFormat="false" ht="15" hidden="false" customHeight="false" outlineLevel="0" collapsed="false">
      <c r="A5001" s="60"/>
      <c r="B5001" s="61" t="str">
        <f aca="false">IF($M5001=0,"",INDEX(Classes!$E$6:$E$420,$M5001))</f>
        <v/>
      </c>
      <c r="C5001" s="62" t="str">
        <f aca="false">IF($M5001=0,"",INDEX(Classes!$H$6:$H$420,$M5001))</f>
        <v/>
      </c>
      <c r="D5001" s="61" t="str">
        <f aca="false">IF($M5001=0,"",INDEX(Classes!$B$6:$B$420,$M5001))</f>
        <v/>
      </c>
      <c r="E5001" s="61" t="str">
        <f aca="false">IF($M5001=0,"",INDEX(Classes!$C$6:$C$420,$M5001))</f>
        <v/>
      </c>
      <c r="F5001" s="63"/>
      <c r="G5001" s="63"/>
      <c r="H5001" s="60"/>
      <c r="I5001" s="60"/>
      <c r="J5001" s="63"/>
      <c r="K5001" s="61" t="str">
        <f aca="false">IF($P5001=0,"",IF($F5001="Baseline","— Baseline",IF($O5001=0,"No result",IF($N5001=0,"No Start (attainment only)",IF(OR($N5001=1,$O5001=1),"U – needs rule",INDEX(MxBody,MATCH($I5001,MxCurr,0),MATCH($H5001,MxStart,0)))))))</f>
        <v/>
      </c>
      <c r="L5001" s="62" t="str">
        <f aca="false">IF(COUNTA($A5001,$F5001,$G5001,$H5001,$I5001,$J5001)=0,"",IF($M5001=0,"✖ كود الصف غير موجود",IF(ISNA(MATCH($F5001,Lists!$A$2:$A$5,0)),"✖ الفترة غير صحيحة",IF(ISNA(MATCH($G5001,Lists!$B$2:$B$7,0)),"✖ المجموعة غير صحيحة",IF(NOT(OR($H5001="",$N5001&gt;0)),"✖ Start غير صحيح",IF(NOT(OR($I5001="",$I5001="NR",$O5001&gt;0)),"✖ Current غير صحيح",IF(NOT(IF(ISNUMBER($J5001),AND($J5001&gt;=0,$J5001=INT($J5001)),FALSE())),"✖ العدد يجب أن يكون صحيحًا ≥ 0",IF(AND($F5001="Baseline",$H5001&lt;&gt;""),"⚠ Baseline: Start لا يدخل في التقدم",IF($K5001="No Start (attainment only)","ℹ تحصيل فقط (بدون Start)",IF($K5001="U – needs rule","ℹ حالة U تحتاج قاعدة معتمدة",IF($K5001="No result","ℹ بدون نتيجة (يُستبعد من التحصيل)","OK")))))))))))</f>
        <v/>
      </c>
      <c r="M5001" s="64" t="n">
        <f aca="false">IF($A5001="",0,IFERROR(MATCH($A5001,Classes!$A$6:$A$420,0),0))</f>
        <v>0</v>
      </c>
      <c r="N5001" s="64" t="n">
        <f aca="false">IF($H5001="",0,IFERROR(MATCH($H5001,GradeList,0),0))</f>
        <v>0</v>
      </c>
      <c r="O5001" s="64" t="n">
        <f aca="false">IF(OR($I5001="",$I5001="NR"),0,IFERROR(MATCH($I5001,GradeList,0),0))</f>
        <v>0</v>
      </c>
      <c r="P5001" s="64" t="n">
        <f aca="false">IF(AND($M5001&gt;0,ISNUMBER(MATCH($F5001,Lists!$A$2:$A$5,0)),ISNUMBER(MATCH($G5001,Lists!$B$2:$B$7,0)),OR($H5001="",$N5001&gt;0),OR($I5001="",$I5001="NR",$O5001&gt;0),IF(ISNUMBER($J5001),AND($J5001&gt;=0,$J5001=INT($J5001)),FALSE())),$J5001,0)</f>
        <v>0</v>
      </c>
      <c r="Q5001" s="64" t="n">
        <f aca="false">IF(AND($P5001&gt;0,$O5001&gt;0),$P5001,0)</f>
        <v>0</v>
      </c>
      <c r="R5001" s="64" t="n">
        <f aca="false">IF(AND($Q5001&gt;0,$O5001&gt;=AtRank),$Q5001,0)</f>
        <v>0</v>
      </c>
      <c r="S5001" s="64" t="n">
        <f aca="false">IF(AND($Q5001&gt;0,$O5001&gt;=AboveRank),$Q5001,0)</f>
        <v>0</v>
      </c>
      <c r="T5001" s="64" t="n">
        <f aca="false">IF($K5001="Less",$P5001,0)</f>
        <v>0</v>
      </c>
      <c r="U5001" s="64" t="n">
        <f aca="false">IF($K5001="Expected",$P5001,0)</f>
        <v>0</v>
      </c>
      <c r="V5001" s="64" t="n">
        <f aca="false">IF($K5001="Better",$P5001,0)</f>
        <v>0</v>
      </c>
      <c r="W5001" s="64" t="n">
        <f aca="false">IF($K5001="U – needs rule",$P5001,0)</f>
        <v>0</v>
      </c>
      <c r="X5001" s="64" t="n">
        <f aca="false">IF($K5001="No Start (attainment only)",$P5001,0)</f>
        <v>0</v>
      </c>
    </row>
    <row r="5002" customFormat="false" ht="15" hidden="false" customHeight="false" outlineLevel="0" collapsed="false">
      <c r="A5002" s="60"/>
      <c r="B5002" s="61" t="str">
        <f aca="false">IF($M5002=0,"",INDEX(Classes!$E$6:$E$420,$M5002))</f>
        <v/>
      </c>
      <c r="C5002" s="62" t="str">
        <f aca="false">IF($M5002=0,"",INDEX(Classes!$H$6:$H$420,$M5002))</f>
        <v/>
      </c>
      <c r="D5002" s="61" t="str">
        <f aca="false">IF($M5002=0,"",INDEX(Classes!$B$6:$B$420,$M5002))</f>
        <v/>
      </c>
      <c r="E5002" s="61" t="str">
        <f aca="false">IF($M5002=0,"",INDEX(Classes!$C$6:$C$420,$M5002))</f>
        <v/>
      </c>
      <c r="F5002" s="63"/>
      <c r="G5002" s="63"/>
      <c r="H5002" s="60"/>
      <c r="I5002" s="60"/>
      <c r="J5002" s="63"/>
      <c r="K5002" s="61" t="str">
        <f aca="false">IF($P5002=0,"",IF($F5002="Baseline","— Baseline",IF($O5002=0,"No result",IF($N5002=0,"No Start (attainment only)",IF(OR($N5002=1,$O5002=1),"U – needs rule",INDEX(MxBody,MATCH($I5002,MxCurr,0),MATCH($H5002,MxStart,0)))))))</f>
        <v/>
      </c>
      <c r="L5002" s="62" t="str">
        <f aca="false">IF(COUNTA($A5002,$F5002,$G5002,$H5002,$I5002,$J5002)=0,"",IF($M5002=0,"✖ كود الصف غير موجود",IF(ISNA(MATCH($F5002,Lists!$A$2:$A$5,0)),"✖ الفترة غير صحيحة",IF(ISNA(MATCH($G5002,Lists!$B$2:$B$7,0)),"✖ المجموعة غير صحيحة",IF(NOT(OR($H5002="",$N5002&gt;0)),"✖ Start غير صحيح",IF(NOT(OR($I5002="",$I5002="NR",$O5002&gt;0)),"✖ Current غير صحيح",IF(NOT(IF(ISNUMBER($J5002),AND($J5002&gt;=0,$J5002=INT($J5002)),FALSE())),"✖ العدد يجب أن يكون صحيحًا ≥ 0",IF(AND($F5002="Baseline",$H5002&lt;&gt;""),"⚠ Baseline: Start لا يدخل في التقدم",IF($K5002="No Start (attainment only)","ℹ تحصيل فقط (بدون Start)",IF($K5002="U – needs rule","ℹ حالة U تحتاج قاعدة معتمدة",IF($K5002="No result","ℹ بدون نتيجة (يُستبعد من التحصيل)","OK")))))))))))</f>
        <v/>
      </c>
      <c r="M5002" s="64" t="n">
        <f aca="false">IF($A5002="",0,IFERROR(MATCH($A5002,Classes!$A$6:$A$420,0),0))</f>
        <v>0</v>
      </c>
      <c r="N5002" s="64" t="n">
        <f aca="false">IF($H5002="",0,IFERROR(MATCH($H5002,GradeList,0),0))</f>
        <v>0</v>
      </c>
      <c r="O5002" s="64" t="n">
        <f aca="false">IF(OR($I5002="",$I5002="NR"),0,IFERROR(MATCH($I5002,GradeList,0),0))</f>
        <v>0</v>
      </c>
      <c r="P5002" s="64" t="n">
        <f aca="false">IF(AND($M5002&gt;0,ISNUMBER(MATCH($F5002,Lists!$A$2:$A$5,0)),ISNUMBER(MATCH($G5002,Lists!$B$2:$B$7,0)),OR($H5002="",$N5002&gt;0),OR($I5002="",$I5002="NR",$O5002&gt;0),IF(ISNUMBER($J5002),AND($J5002&gt;=0,$J5002=INT($J5002)),FALSE())),$J5002,0)</f>
        <v>0</v>
      </c>
      <c r="Q5002" s="64" t="n">
        <f aca="false">IF(AND($P5002&gt;0,$O5002&gt;0),$P5002,0)</f>
        <v>0</v>
      </c>
      <c r="R5002" s="64" t="n">
        <f aca="false">IF(AND($Q5002&gt;0,$O5002&gt;=AtRank),$Q5002,0)</f>
        <v>0</v>
      </c>
      <c r="S5002" s="64" t="n">
        <f aca="false">IF(AND($Q5002&gt;0,$O5002&gt;=AboveRank),$Q5002,0)</f>
        <v>0</v>
      </c>
      <c r="T5002" s="64" t="n">
        <f aca="false">IF($K5002="Less",$P5002,0)</f>
        <v>0</v>
      </c>
      <c r="U5002" s="64" t="n">
        <f aca="false">IF($K5002="Expected",$P5002,0)</f>
        <v>0</v>
      </c>
      <c r="V5002" s="64" t="n">
        <f aca="false">IF($K5002="Better",$P5002,0)</f>
        <v>0</v>
      </c>
      <c r="W5002" s="64" t="n">
        <f aca="false">IF($K5002="U – needs rule",$P5002,0)</f>
        <v>0</v>
      </c>
      <c r="X5002" s="64" t="n">
        <f aca="false">IF($K5002="No Start (attainment only)",$P5002,0)</f>
        <v>0</v>
      </c>
    </row>
    <row r="5003" customFormat="false" ht="15" hidden="false" customHeight="false" outlineLevel="0" collapsed="false">
      <c r="A5003" s="60"/>
      <c r="B5003" s="61" t="str">
        <f aca="false">IF($M5003=0,"",INDEX(Classes!$E$6:$E$420,$M5003))</f>
        <v/>
      </c>
      <c r="C5003" s="62" t="str">
        <f aca="false">IF($M5003=0,"",INDEX(Classes!$H$6:$H$420,$M5003))</f>
        <v/>
      </c>
      <c r="D5003" s="61" t="str">
        <f aca="false">IF($M5003=0,"",INDEX(Classes!$B$6:$B$420,$M5003))</f>
        <v/>
      </c>
      <c r="E5003" s="61" t="str">
        <f aca="false">IF($M5003=0,"",INDEX(Classes!$C$6:$C$420,$M5003))</f>
        <v/>
      </c>
      <c r="F5003" s="63"/>
      <c r="G5003" s="63"/>
      <c r="H5003" s="60"/>
      <c r="I5003" s="60"/>
      <c r="J5003" s="63"/>
      <c r="K5003" s="61" t="str">
        <f aca="false">IF($P5003=0,"",IF($F5003="Baseline","— Baseline",IF($O5003=0,"No result",IF($N5003=0,"No Start (attainment only)",IF(OR($N5003=1,$O5003=1),"U – needs rule",INDEX(MxBody,MATCH($I5003,MxCurr,0),MATCH($H5003,MxStart,0)))))))</f>
        <v/>
      </c>
      <c r="L5003" s="62" t="str">
        <f aca="false">IF(COUNTA($A5003,$F5003,$G5003,$H5003,$I5003,$J5003)=0,"",IF($M5003=0,"✖ كود الصف غير موجود",IF(ISNA(MATCH($F5003,Lists!$A$2:$A$5,0)),"✖ الفترة غير صحيحة",IF(ISNA(MATCH($G5003,Lists!$B$2:$B$7,0)),"✖ المجموعة غير صحيحة",IF(NOT(OR($H5003="",$N5003&gt;0)),"✖ Start غير صحيح",IF(NOT(OR($I5003="",$I5003="NR",$O5003&gt;0)),"✖ Current غير صحيح",IF(NOT(IF(ISNUMBER($J5003),AND($J5003&gt;=0,$J5003=INT($J5003)),FALSE())),"✖ العدد يجب أن يكون صحيحًا ≥ 0",IF(AND($F5003="Baseline",$H5003&lt;&gt;""),"⚠ Baseline: Start لا يدخل في التقدم",IF($K5003="No Start (attainment only)","ℹ تحصيل فقط (بدون Start)",IF($K5003="U – needs rule","ℹ حالة U تحتاج قاعدة معتمدة",IF($K5003="No result","ℹ بدون نتيجة (يُستبعد من التحصيل)","OK")))))))))))</f>
        <v/>
      </c>
      <c r="M5003" s="64" t="n">
        <f aca="false">IF($A5003="",0,IFERROR(MATCH($A5003,Classes!$A$6:$A$420,0),0))</f>
        <v>0</v>
      </c>
      <c r="N5003" s="64" t="n">
        <f aca="false">IF($H5003="",0,IFERROR(MATCH($H5003,GradeList,0),0))</f>
        <v>0</v>
      </c>
      <c r="O5003" s="64" t="n">
        <f aca="false">IF(OR($I5003="",$I5003="NR"),0,IFERROR(MATCH($I5003,GradeList,0),0))</f>
        <v>0</v>
      </c>
      <c r="P5003" s="64" t="n">
        <f aca="false">IF(AND($M5003&gt;0,ISNUMBER(MATCH($F5003,Lists!$A$2:$A$5,0)),ISNUMBER(MATCH($G5003,Lists!$B$2:$B$7,0)),OR($H5003="",$N5003&gt;0),OR($I5003="",$I5003="NR",$O5003&gt;0),IF(ISNUMBER($J5003),AND($J5003&gt;=0,$J5003=INT($J5003)),FALSE())),$J5003,0)</f>
        <v>0</v>
      </c>
      <c r="Q5003" s="64" t="n">
        <f aca="false">IF(AND($P5003&gt;0,$O5003&gt;0),$P5003,0)</f>
        <v>0</v>
      </c>
      <c r="R5003" s="64" t="n">
        <f aca="false">IF(AND($Q5003&gt;0,$O5003&gt;=AtRank),$Q5003,0)</f>
        <v>0</v>
      </c>
      <c r="S5003" s="64" t="n">
        <f aca="false">IF(AND($Q5003&gt;0,$O5003&gt;=AboveRank),$Q5003,0)</f>
        <v>0</v>
      </c>
      <c r="T5003" s="64" t="n">
        <f aca="false">IF($K5003="Less",$P5003,0)</f>
        <v>0</v>
      </c>
      <c r="U5003" s="64" t="n">
        <f aca="false">IF($K5003="Expected",$P5003,0)</f>
        <v>0</v>
      </c>
      <c r="V5003" s="64" t="n">
        <f aca="false">IF($K5003="Better",$P5003,0)</f>
        <v>0</v>
      </c>
      <c r="W5003" s="64" t="n">
        <f aca="false">IF($K5003="U – needs rule",$P5003,0)</f>
        <v>0</v>
      </c>
      <c r="X5003" s="64" t="n">
        <f aca="false">IF($K5003="No Start (attainment only)",$P5003,0)</f>
        <v>0</v>
      </c>
    </row>
    <row r="5004" customFormat="false" ht="15" hidden="false" customHeight="false" outlineLevel="0" collapsed="false">
      <c r="A5004" s="60"/>
      <c r="B5004" s="61" t="str">
        <f aca="false">IF($M5004=0,"",INDEX(Classes!$E$6:$E$420,$M5004))</f>
        <v/>
      </c>
      <c r="C5004" s="62" t="str">
        <f aca="false">IF($M5004=0,"",INDEX(Classes!$H$6:$H$420,$M5004))</f>
        <v/>
      </c>
      <c r="D5004" s="61" t="str">
        <f aca="false">IF($M5004=0,"",INDEX(Classes!$B$6:$B$420,$M5004))</f>
        <v/>
      </c>
      <c r="E5004" s="61" t="str">
        <f aca="false">IF($M5004=0,"",INDEX(Classes!$C$6:$C$420,$M5004))</f>
        <v/>
      </c>
      <c r="F5004" s="63"/>
      <c r="G5004" s="63"/>
      <c r="H5004" s="60"/>
      <c r="I5004" s="60"/>
      <c r="J5004" s="63"/>
      <c r="K5004" s="61" t="str">
        <f aca="false">IF($P5004=0,"",IF($F5004="Baseline","— Baseline",IF($O5004=0,"No result",IF($N5004=0,"No Start (attainment only)",IF(OR($N5004=1,$O5004=1),"U – needs rule",INDEX(MxBody,MATCH($I5004,MxCurr,0),MATCH($H5004,MxStart,0)))))))</f>
        <v/>
      </c>
      <c r="L5004" s="62" t="str">
        <f aca="false">IF(COUNTA($A5004,$F5004,$G5004,$H5004,$I5004,$J5004)=0,"",IF($M5004=0,"✖ كود الصف غير موجود",IF(ISNA(MATCH($F5004,Lists!$A$2:$A$5,0)),"✖ الفترة غير صحيحة",IF(ISNA(MATCH($G5004,Lists!$B$2:$B$7,0)),"✖ المجموعة غير صحيحة",IF(NOT(OR($H5004="",$N5004&gt;0)),"✖ Start غير صحيح",IF(NOT(OR($I5004="",$I5004="NR",$O5004&gt;0)),"✖ Current غير صحيح",IF(NOT(IF(ISNUMBER($J5004),AND($J5004&gt;=0,$J5004=INT($J5004)),FALSE())),"✖ العدد يجب أن يكون صحيحًا ≥ 0",IF(AND($F5004="Baseline",$H5004&lt;&gt;""),"⚠ Baseline: Start لا يدخل في التقدم",IF($K5004="No Start (attainment only)","ℹ تحصيل فقط (بدون Start)",IF($K5004="U – needs rule","ℹ حالة U تحتاج قاعدة معتمدة",IF($K5004="No result","ℹ بدون نتيجة (يُستبعد من التحصيل)","OK")))))))))))</f>
        <v/>
      </c>
      <c r="M5004" s="64" t="n">
        <f aca="false">IF($A5004="",0,IFERROR(MATCH($A5004,Classes!$A$6:$A$420,0),0))</f>
        <v>0</v>
      </c>
      <c r="N5004" s="64" t="n">
        <f aca="false">IF($H5004="",0,IFERROR(MATCH($H5004,GradeList,0),0))</f>
        <v>0</v>
      </c>
      <c r="O5004" s="64" t="n">
        <f aca="false">IF(OR($I5004="",$I5004="NR"),0,IFERROR(MATCH($I5004,GradeList,0),0))</f>
        <v>0</v>
      </c>
      <c r="P5004" s="64" t="n">
        <f aca="false">IF(AND($M5004&gt;0,ISNUMBER(MATCH($F5004,Lists!$A$2:$A$5,0)),ISNUMBER(MATCH($G5004,Lists!$B$2:$B$7,0)),OR($H5004="",$N5004&gt;0),OR($I5004="",$I5004="NR",$O5004&gt;0),IF(ISNUMBER($J5004),AND($J5004&gt;=0,$J5004=INT($J5004)),FALSE())),$J5004,0)</f>
        <v>0</v>
      </c>
      <c r="Q5004" s="64" t="n">
        <f aca="false">IF(AND($P5004&gt;0,$O5004&gt;0),$P5004,0)</f>
        <v>0</v>
      </c>
      <c r="R5004" s="64" t="n">
        <f aca="false">IF(AND($Q5004&gt;0,$O5004&gt;=AtRank),$Q5004,0)</f>
        <v>0</v>
      </c>
      <c r="S5004" s="64" t="n">
        <f aca="false">IF(AND($Q5004&gt;0,$O5004&gt;=AboveRank),$Q5004,0)</f>
        <v>0</v>
      </c>
      <c r="T5004" s="64" t="n">
        <f aca="false">IF($K5004="Less",$P5004,0)</f>
        <v>0</v>
      </c>
      <c r="U5004" s="64" t="n">
        <f aca="false">IF($K5004="Expected",$P5004,0)</f>
        <v>0</v>
      </c>
      <c r="V5004" s="64" t="n">
        <f aca="false">IF($K5004="Better",$P5004,0)</f>
        <v>0</v>
      </c>
      <c r="W5004" s="64" t="n">
        <f aca="false">IF($K5004="U – needs rule",$P5004,0)</f>
        <v>0</v>
      </c>
      <c r="X5004" s="64" t="n">
        <f aca="false">IF($K5004="No Start (attainment only)",$P5004,0)</f>
        <v>0</v>
      </c>
    </row>
  </sheetData>
  <sheetProtection sheet="true" formatColumns="false" formatRows="false" sort="false" autoFilter="false"/>
  <mergeCells count="2">
    <mergeCell ref="A1:L1"/>
    <mergeCell ref="A2:L2"/>
  </mergeCells>
  <conditionalFormatting sqref="K5:K5004">
    <cfRule type="cellIs" priority="2" operator="equal" aboveAverage="0" equalAverage="0" bottom="0" percent="0" rank="0" text="" dxfId="10">
      <formula>"Less"</formula>
    </cfRule>
    <cfRule type="cellIs" priority="3" operator="equal" aboveAverage="0" equalAverage="0" bottom="0" percent="0" rank="0" text="" dxfId="11">
      <formula>"Expected"</formula>
    </cfRule>
    <cfRule type="cellIs" priority="4" operator="equal" aboveAverage="0" equalAverage="0" bottom="0" percent="0" rank="0" text="" dxfId="12">
      <formula>"Better"</formula>
    </cfRule>
  </conditionalFormatting>
  <conditionalFormatting sqref="L5:L5004">
    <cfRule type="expression" priority="5" aboveAverage="0" equalAverage="0" bottom="0" percent="0" rank="0" text="" dxfId="13">
      <formula>LEFT($L5,1)="✖"</formula>
    </cfRule>
    <cfRule type="expression" priority="6" aboveAverage="0" equalAverage="0" bottom="0" percent="0" rank="0" text="" dxfId="14">
      <formula>LEFT($L5,1)="⚠"</formula>
    </cfRule>
    <cfRule type="expression" priority="7" aboveAverage="0" equalAverage="0" bottom="0" percent="0" rank="0" text="" dxfId="15">
      <formula>$L5="OK"</formula>
    </cfRule>
  </conditionalFormatting>
  <dataValidations count="6">
    <dataValidation allowBlank="true" error="كود صف غير موجود في ورقة Classes" errorStyle="stop" errorTitle="قيمة غير صحيحة" operator="between" showDropDown="false" showErrorMessage="true" showInputMessage="false" sqref="A5:A5004" type="list">
      <formula1>Classes!$A$6:$A$420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F5:F5004" type="list">
      <formula1>Lists!$A$2:$A$5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G5:G5004" type="list">
      <formula1>Lists!$B$2:$B$7</formula1>
      <formula2>0</formula2>
    </dataValidation>
    <dataValidation allowBlank="true" error="اختر علامة (اتركها فارغة إن لا توجد نقطة بداية)" errorStyle="stop" errorTitle="قيمة غير صحيحة" operator="between" showDropDown="false" showErrorMessage="true" showInputMessage="false" sqref="H5:H5004" type="list">
      <formula1>Lists!$C$2:$C$11</formula1>
      <formula2>0</formula2>
    </dataValidation>
    <dataValidation allowBlank="true" error="اختر علامة أو NR (لا نتيجة/غياب)" errorStyle="stop" errorTitle="قيمة غير صحيحة" operator="between" showDropDown="false" showErrorMessage="true" showInputMessage="false" sqref="I5:I5004" type="list">
      <formula1>Lists!$C$2:$C$12</formula1>
      <formula2>0</formula2>
    </dataValidation>
    <dataValidation allowBlank="true" error="العدد يجب أن يكون عددًا صحيحًا ≥ 0" errorStyle="stop" errorTitle="عدد غير صحيح" operator="greaterThanOrEqual" showDropDown="false" showErrorMessage="true" showInputMessage="false" sqref="J5:J500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9AA7"/>
    <pageSetUpPr fitToPage="true"/>
  </sheetPr>
  <dimension ref="A1:O6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4" min="3" style="0" width="13"/>
  </cols>
  <sheetData>
    <row r="1" customFormat="false" ht="24" hidden="false" customHeight="true" outlineLevel="0" collapsed="false">
      <c r="A1" s="1"/>
      <c r="B1" s="2" t="s">
        <v>254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customFormat="false" ht="24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</row>
    <row r="3" customFormat="false" ht="15" hidden="false" customHeight="true" outlineLevel="0" collapsed="false">
      <c r="A3" s="1"/>
      <c r="B3" s="3" t="s">
        <v>255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</row>
    <row r="4" customFormat="false" ht="19.5" hidden="false" customHeight="true" outlineLevel="0" collapsed="false">
      <c r="A4" s="1"/>
      <c r="B4" s="8" t="s">
        <v>87</v>
      </c>
      <c r="C4" s="8" t="s">
        <v>88</v>
      </c>
      <c r="D4" s="8" t="s">
        <v>89</v>
      </c>
      <c r="E4" s="8" t="s">
        <v>90</v>
      </c>
      <c r="F4" s="8" t="s">
        <v>91</v>
      </c>
      <c r="G4" s="9" t="s">
        <v>92</v>
      </c>
      <c r="H4" s="8" t="s">
        <v>93</v>
      </c>
      <c r="I4" s="8" t="s">
        <v>94</v>
      </c>
      <c r="J4" s="8" t="s">
        <v>95</v>
      </c>
      <c r="K4" s="8" t="s">
        <v>96</v>
      </c>
      <c r="L4" s="8" t="s">
        <v>97</v>
      </c>
      <c r="M4" s="8" t="s">
        <v>98</v>
      </c>
      <c r="N4" s="1"/>
      <c r="O4" s="1"/>
    </row>
    <row r="5" customFormat="false" ht="21.75" hidden="false" customHeight="true" outlineLevel="0" collapsed="false">
      <c r="A5" s="1"/>
      <c r="B5" s="4" t="s">
        <v>256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"/>
    </row>
    <row r="6" customFormat="false" ht="15" hidden="false" customHeight="true" outlineLevel="0" collapsed="false">
      <c r="A6" s="1"/>
      <c r="B6" s="65" t="s">
        <v>257</v>
      </c>
      <c r="C6" s="63" t="n">
        <v>40</v>
      </c>
      <c r="D6" s="1"/>
      <c r="E6" s="1"/>
      <c r="F6" s="66" t="s">
        <v>258</v>
      </c>
      <c r="G6" s="66"/>
      <c r="H6" s="66"/>
      <c r="I6" s="66"/>
      <c r="J6" s="66"/>
      <c r="K6" s="66"/>
      <c r="L6" s="66"/>
      <c r="M6" s="66"/>
      <c r="N6" s="66"/>
      <c r="O6" s="1"/>
    </row>
    <row r="7" customFormat="false" ht="15" hidden="false" customHeight="false" outlineLevel="0" collapsed="false">
      <c r="A7" s="1"/>
      <c r="B7" s="65" t="s">
        <v>259</v>
      </c>
      <c r="C7" s="67" t="n">
        <v>0.55</v>
      </c>
      <c r="D7" s="1"/>
      <c r="E7" s="1"/>
      <c r="F7" s="66"/>
      <c r="G7" s="66"/>
      <c r="H7" s="66"/>
      <c r="I7" s="66"/>
      <c r="J7" s="66"/>
      <c r="K7" s="66"/>
      <c r="L7" s="66"/>
      <c r="M7" s="66"/>
      <c r="N7" s="66"/>
      <c r="O7" s="1"/>
    </row>
    <row r="8" customFormat="false" ht="15" hidden="false" customHeight="false" outlineLevel="0" collapsed="false">
      <c r="A8" s="1"/>
      <c r="B8" s="65" t="s">
        <v>260</v>
      </c>
      <c r="C8" s="67" t="n">
        <v>0.93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customFormat="false" ht="15" hidden="false" customHeight="true" outlineLevel="0" collapsed="false">
      <c r="A9" s="1"/>
      <c r="B9" s="65" t="s">
        <v>261</v>
      </c>
      <c r="C9" s="68" t="s">
        <v>262</v>
      </c>
      <c r="D9" s="68"/>
      <c r="E9" s="68"/>
      <c r="F9" s="1"/>
      <c r="G9" s="1"/>
      <c r="H9" s="1"/>
      <c r="I9" s="1"/>
      <c r="J9" s="1"/>
      <c r="K9" s="1"/>
      <c r="L9" s="1"/>
      <c r="M9" s="1"/>
      <c r="N9" s="1"/>
      <c r="O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customFormat="false" ht="15" hidden="false" customHeight="false" outlineLevel="0" collapsed="false">
      <c r="A11" s="1"/>
      <c r="B11" s="65" t="s">
        <v>263</v>
      </c>
      <c r="C11" s="69" t="str">
        <f aca="false">IF(NOT(ISNUMBER(C6)),"أدخل عدد الطلاب",IF(OR(C6&lt;1,C6&lt;&gt;INT(C6)),"عدد الطلاب يجب أن يكون صحيحًا ≥ 1",IF(NOT(AND(ISNUMBER(C7),ISNUMBER(C8))),"أدخل النسبتين",IF(OR(C7&lt;0,C7&gt;1,C8&lt;0,C8&gt;1),"النسب بين 0% و100%",IF(C7&gt;C8,"غير ممكن: Above لا يمكن أن يتجاوز At &amp; Above","صالح ✔")))))</f>
        <v>صالح ✔</v>
      </c>
      <c r="D11" s="69"/>
      <c r="E11" s="69"/>
      <c r="F11" s="69"/>
      <c r="G11" s="69"/>
      <c r="H11" s="69"/>
      <c r="I11" s="1"/>
      <c r="J11" s="1"/>
      <c r="K11" s="1"/>
      <c r="L11" s="1"/>
      <c r="M11" s="1"/>
      <c r="N11" s="1"/>
      <c r="O11" s="1"/>
    </row>
    <row r="12" customFormat="false" ht="15" hidden="false" customHeight="false" outlineLevel="0" collapsed="false">
      <c r="A12" s="1"/>
      <c r="B12" s="70" t="s">
        <v>264</v>
      </c>
      <c r="C12" s="71" t="n">
        <f aca="false">IF(C11="صالح ✔",1,0)</f>
        <v>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customFormat="false" ht="15" hidden="false" customHeight="false" outlineLevel="0" collapsed="false">
      <c r="A13" s="1"/>
      <c r="B13" s="70" t="s">
        <v>265</v>
      </c>
      <c r="C13" s="71" t="n">
        <f aca="false">IF(C12&lt;&gt;1,0,IF(SUMPRODUCT(($G$22:$G$31=0)*($F$22:$F$31&gt;0))&gt;0,0,1))</f>
        <v>1</v>
      </c>
      <c r="D13" s="72" t="str">
        <f aca="false">IF(C12&lt;&gt;1,"",IF(C13=1,"التوزيع ✔","✖ أوزان إحدى الشرائح صفرية وفيها طلاب: عدّل الأوزان"))</f>
        <v>التوزيع ✔</v>
      </c>
      <c r="E13" s="72"/>
      <c r="F13" s="72"/>
      <c r="G13" s="72"/>
      <c r="H13" s="72"/>
      <c r="I13" s="1"/>
      <c r="J13" s="1"/>
      <c r="K13" s="1"/>
      <c r="L13" s="1"/>
      <c r="M13" s="1"/>
      <c r="N13" s="1"/>
      <c r="O13" s="1"/>
    </row>
    <row r="14" customFormat="false" ht="15" hidden="false" customHeight="false" outlineLevel="0" collapsed="false">
      <c r="A14" s="1"/>
      <c r="B14" s="65" t="s">
        <v>266</v>
      </c>
      <c r="C14" s="73" t="n">
        <f aca="false">IF(C12=1,IF(C9="أقرب نسبة ممكنة",ROUND(ROUND(C6*C7,9),0),ROUNDUP(ROUND(C6*C7,9),0)),0)</f>
        <v>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customFormat="false" ht="15" hidden="false" customHeight="false" outlineLevel="0" collapsed="false">
      <c r="A15" s="1"/>
      <c r="B15" s="65" t="s">
        <v>267</v>
      </c>
      <c r="C15" s="73" t="n">
        <f aca="false">IF(C12=1,IF(C9="أقرب نسبة ممكنة",ROUND(ROUND(C6*C8,9),0),ROUNDUP(ROUND(C6*C8,9),0)),0)</f>
        <v>37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customFormat="false" ht="15" hidden="false" customHeight="false" outlineLevel="0" collapsed="false">
      <c r="A16" s="1"/>
      <c r="B16" s="65" t="s">
        <v>268</v>
      </c>
      <c r="C16" s="73" t="n">
        <f aca="false">MAX(C14,C15)</f>
        <v>37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customFormat="false" ht="21.75" hidden="false" customHeight="true" outlineLevel="0" collapsed="false">
      <c r="A18" s="1"/>
      <c r="B18" s="4" t="s">
        <v>269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"/>
    </row>
    <row r="19" customFormat="false" ht="30" hidden="false" customHeight="true" outlineLevel="0" collapsed="false">
      <c r="A19" s="1"/>
      <c r="B19" s="66" t="s">
        <v>270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customFormat="false" ht="33.75" hidden="false" customHeight="true" outlineLevel="0" collapsed="false">
      <c r="A21" s="1"/>
      <c r="B21" s="37" t="s">
        <v>271</v>
      </c>
      <c r="C21" s="37" t="s">
        <v>272</v>
      </c>
      <c r="D21" s="37" t="s">
        <v>273</v>
      </c>
      <c r="E21" s="37" t="s">
        <v>274</v>
      </c>
      <c r="F21" s="37" t="s">
        <v>275</v>
      </c>
      <c r="G21" s="37" t="s">
        <v>276</v>
      </c>
      <c r="H21" s="37" t="s">
        <v>277</v>
      </c>
      <c r="I21" s="37" t="s">
        <v>278</v>
      </c>
      <c r="J21" s="37" t="s">
        <v>279</v>
      </c>
      <c r="K21" s="37" t="s">
        <v>280</v>
      </c>
      <c r="L21" s="37" t="s">
        <v>281</v>
      </c>
      <c r="M21" s="37" t="s">
        <v>282</v>
      </c>
      <c r="N21" s="37" t="s">
        <v>283</v>
      </c>
      <c r="O21" s="1"/>
    </row>
    <row r="22" customFormat="false" ht="15" hidden="false" customHeight="false" outlineLevel="0" collapsed="false">
      <c r="A22" s="1"/>
      <c r="B22" s="46" t="s">
        <v>196</v>
      </c>
      <c r="C22" s="42" t="n">
        <v>1</v>
      </c>
      <c r="D22" s="42" t="str">
        <f aca="false">IF(C22&gt;=AboveRank,"Above",IF(C22&gt;=AtRank,"At","Below"))</f>
        <v>Below</v>
      </c>
      <c r="E22" s="63" t="n">
        <v>0</v>
      </c>
      <c r="F22" s="42" t="n">
        <f aca="false">IF($C$12&lt;&gt;1,0,IF(D22="Above",$C$14,IF(D22="At",$C$16-$C$14,$C$6-$C$16)))</f>
        <v>3</v>
      </c>
      <c r="G22" s="42" t="n">
        <f aca="false">SUMIFS($E$22:$E$31,$D$22:$D$31,D22)</f>
        <v>100</v>
      </c>
      <c r="H22" s="74" t="n">
        <f aca="false">IF(G22=0,0,F22*E22/G22)</f>
        <v>0</v>
      </c>
      <c r="I22" s="42" t="n">
        <f aca="false">INT(ROUND(H22,9))</f>
        <v>0</v>
      </c>
      <c r="J22" s="74" t="n">
        <f aca="false">IF(E22&gt;0,ROUND(H22-I22,9),-1)</f>
        <v>-1</v>
      </c>
      <c r="K22" s="42" t="n">
        <f aca="false">F22-SUMIFS($I$22:$I$31,$D$22:$D$31,D22)</f>
        <v>2</v>
      </c>
      <c r="L22" s="42" t="n">
        <f aca="false">SUMPRODUCT(($D$22:$D$31=D22)*($J$22:$J$31&gt;J22))+SUMPRODUCT(($D$22:D22=D22)*($J$22:J22=J22))</f>
        <v>4</v>
      </c>
      <c r="M22" s="42" t="n">
        <f aca="false">IF(AND(E22&gt;0,L22&lt;=K22),1,0)</f>
        <v>0</v>
      </c>
      <c r="N22" s="75" t="n">
        <f aca="false">IF($C$13=1,I22+M22,0)</f>
        <v>0</v>
      </c>
      <c r="O22" s="1"/>
    </row>
    <row r="23" customFormat="false" ht="15" hidden="false" customHeight="false" outlineLevel="0" collapsed="false">
      <c r="A23" s="1"/>
      <c r="B23" s="46" t="s">
        <v>197</v>
      </c>
      <c r="C23" s="42" t="n">
        <v>2</v>
      </c>
      <c r="D23" s="42" t="str">
        <f aca="false">IF(C23&gt;=AboveRank,"Above",IF(C23&gt;=AtRank,"At","Below"))</f>
        <v>Below</v>
      </c>
      <c r="E23" s="63" t="n">
        <v>20</v>
      </c>
      <c r="F23" s="42" t="n">
        <f aca="false">IF($C$12&lt;&gt;1,0,IF(D23="Above",$C$14,IF(D23="At",$C$16-$C$14,$C$6-$C$16)))</f>
        <v>3</v>
      </c>
      <c r="G23" s="42" t="n">
        <f aca="false">SUMIFS($E$22:$E$31,$D$22:$D$31,D23)</f>
        <v>100</v>
      </c>
      <c r="H23" s="74" t="n">
        <f aca="false">IF(G23=0,0,F23*E23/G23)</f>
        <v>0.6</v>
      </c>
      <c r="I23" s="42" t="n">
        <f aca="false">INT(ROUND(H23,9))</f>
        <v>0</v>
      </c>
      <c r="J23" s="74" t="n">
        <f aca="false">IF(E23&gt;0,ROUND(H23-I23,9),-1)</f>
        <v>0.6</v>
      </c>
      <c r="K23" s="42" t="n">
        <f aca="false">F23-SUMIFS($I$22:$I$31,$D$22:$D$31,D23)</f>
        <v>2</v>
      </c>
      <c r="L23" s="42" t="n">
        <f aca="false">SUMPRODUCT(($D$22:$D$31=D23)*($J$22:$J$31&gt;J23))+SUMPRODUCT(($D$22:D23=D23)*($J$22:J23=J23))</f>
        <v>2</v>
      </c>
      <c r="M23" s="42" t="n">
        <f aca="false">IF(AND(E23&gt;0,L23&lt;=K23),1,0)</f>
        <v>1</v>
      </c>
      <c r="N23" s="75" t="n">
        <f aca="false">IF($C$13=1,I23+M23,0)</f>
        <v>1</v>
      </c>
      <c r="O23" s="1"/>
    </row>
    <row r="24" customFormat="false" ht="15" hidden="false" customHeight="false" outlineLevel="0" collapsed="false">
      <c r="A24" s="1"/>
      <c r="B24" s="46" t="s">
        <v>198</v>
      </c>
      <c r="C24" s="42" t="n">
        <v>3</v>
      </c>
      <c r="D24" s="42" t="str">
        <f aca="false">IF(C24&gt;=AboveRank,"Above",IF(C24&gt;=AtRank,"At","Below"))</f>
        <v>Below</v>
      </c>
      <c r="E24" s="63" t="n">
        <v>30</v>
      </c>
      <c r="F24" s="42" t="n">
        <f aca="false">IF($C$12&lt;&gt;1,0,IF(D24="Above",$C$14,IF(D24="At",$C$16-$C$14,$C$6-$C$16)))</f>
        <v>3</v>
      </c>
      <c r="G24" s="42" t="n">
        <f aca="false">SUMIFS($E$22:$E$31,$D$22:$D$31,D24)</f>
        <v>100</v>
      </c>
      <c r="H24" s="74" t="n">
        <f aca="false">IF(G24=0,0,F24*E24/G24)</f>
        <v>0.9</v>
      </c>
      <c r="I24" s="42" t="n">
        <f aca="false">INT(ROUND(H24,9))</f>
        <v>0</v>
      </c>
      <c r="J24" s="74" t="n">
        <f aca="false">IF(E24&gt;0,ROUND(H24-I24,9),-1)</f>
        <v>0.9</v>
      </c>
      <c r="K24" s="42" t="n">
        <f aca="false">F24-SUMIFS($I$22:$I$31,$D$22:$D$31,D24)</f>
        <v>2</v>
      </c>
      <c r="L24" s="42" t="n">
        <f aca="false">SUMPRODUCT(($D$22:$D$31=D24)*($J$22:$J$31&gt;J24))+SUMPRODUCT(($D$22:D24=D24)*($J$22:J24=J24))</f>
        <v>1</v>
      </c>
      <c r="M24" s="42" t="n">
        <f aca="false">IF(AND(E24&gt;0,L24&lt;=K24),1,0)</f>
        <v>1</v>
      </c>
      <c r="N24" s="75" t="n">
        <f aca="false">IF($C$13=1,I24+M24,0)</f>
        <v>1</v>
      </c>
      <c r="O24" s="1"/>
    </row>
    <row r="25" customFormat="false" ht="15" hidden="false" customHeight="false" outlineLevel="0" collapsed="false">
      <c r="A25" s="1"/>
      <c r="B25" s="46" t="s">
        <v>199</v>
      </c>
      <c r="C25" s="42" t="n">
        <v>4</v>
      </c>
      <c r="D25" s="42" t="str">
        <f aca="false">IF(C25&gt;=AboveRank,"Above",IF(C25&gt;=AtRank,"At","Below"))</f>
        <v>Below</v>
      </c>
      <c r="E25" s="63" t="n">
        <v>50</v>
      </c>
      <c r="F25" s="42" t="n">
        <f aca="false">IF($C$12&lt;&gt;1,0,IF(D25="Above",$C$14,IF(D25="At",$C$16-$C$14,$C$6-$C$16)))</f>
        <v>3</v>
      </c>
      <c r="G25" s="42" t="n">
        <f aca="false">SUMIFS($E$22:$E$31,$D$22:$D$31,D25)</f>
        <v>100</v>
      </c>
      <c r="H25" s="74" t="n">
        <f aca="false">IF(G25=0,0,F25*E25/G25)</f>
        <v>1.5</v>
      </c>
      <c r="I25" s="42" t="n">
        <f aca="false">INT(ROUND(H25,9))</f>
        <v>1</v>
      </c>
      <c r="J25" s="74" t="n">
        <f aca="false">IF(E25&gt;0,ROUND(H25-I25,9),-1)</f>
        <v>0.5</v>
      </c>
      <c r="K25" s="42" t="n">
        <f aca="false">F25-SUMIFS($I$22:$I$31,$D$22:$D$31,D25)</f>
        <v>2</v>
      </c>
      <c r="L25" s="42" t="n">
        <f aca="false">SUMPRODUCT(($D$22:$D$31=D25)*($J$22:$J$31&gt;J25))+SUMPRODUCT(($D$22:D25=D25)*($J$22:J25=J25))</f>
        <v>3</v>
      </c>
      <c r="M25" s="42" t="n">
        <f aca="false">IF(AND(E25&gt;0,L25&lt;=K25),1,0)</f>
        <v>0</v>
      </c>
      <c r="N25" s="75" t="n">
        <f aca="false">IF($C$13=1,I25+M25,0)</f>
        <v>1</v>
      </c>
      <c r="O25" s="1"/>
    </row>
    <row r="26" customFormat="false" ht="15" hidden="false" customHeight="false" outlineLevel="0" collapsed="false">
      <c r="A26" s="1"/>
      <c r="B26" s="46" t="s">
        <v>200</v>
      </c>
      <c r="C26" s="42" t="n">
        <v>5</v>
      </c>
      <c r="D26" s="42" t="str">
        <f aca="false">IF(C26&gt;=AboveRank,"Above",IF(C26&gt;=AtRank,"At","Below"))</f>
        <v>At</v>
      </c>
      <c r="E26" s="63" t="n">
        <v>60</v>
      </c>
      <c r="F26" s="42" t="n">
        <f aca="false">IF($C$12&lt;&gt;1,0,IF(D26="Above",$C$14,IF(D26="At",$C$16-$C$14,$C$6-$C$16)))</f>
        <v>15</v>
      </c>
      <c r="G26" s="42" t="n">
        <f aca="false">SUMIFS($E$22:$E$31,$D$22:$D$31,D26)</f>
        <v>100</v>
      </c>
      <c r="H26" s="74" t="n">
        <f aca="false">IF(G26=0,0,F26*E26/G26)</f>
        <v>9</v>
      </c>
      <c r="I26" s="42" t="n">
        <f aca="false">INT(ROUND(H26,9))</f>
        <v>9</v>
      </c>
      <c r="J26" s="74" t="n">
        <f aca="false">IF(E26&gt;0,ROUND(H26-I26,9),-1)</f>
        <v>0</v>
      </c>
      <c r="K26" s="42" t="n">
        <f aca="false">F26-SUMIFS($I$22:$I$31,$D$22:$D$31,D26)</f>
        <v>0</v>
      </c>
      <c r="L26" s="42" t="n">
        <f aca="false">SUMPRODUCT(($D$22:$D$31=D26)*($J$22:$J$31&gt;J26))+SUMPRODUCT(($D$22:D26=D26)*($J$22:J26=J26))</f>
        <v>1</v>
      </c>
      <c r="M26" s="42" t="n">
        <f aca="false">IF(AND(E26&gt;0,L26&lt;=K26),1,0)</f>
        <v>0</v>
      </c>
      <c r="N26" s="75" t="n">
        <f aca="false">IF($C$13=1,I26+M26,0)</f>
        <v>9</v>
      </c>
      <c r="O26" s="1"/>
    </row>
    <row r="27" customFormat="false" ht="15" hidden="false" customHeight="false" outlineLevel="0" collapsed="false">
      <c r="A27" s="1"/>
      <c r="B27" s="46" t="s">
        <v>201</v>
      </c>
      <c r="C27" s="42" t="n">
        <v>6</v>
      </c>
      <c r="D27" s="42" t="str">
        <f aca="false">IF(C27&gt;=AboveRank,"Above",IF(C27&gt;=AtRank,"At","Below"))</f>
        <v>At</v>
      </c>
      <c r="E27" s="63" t="n">
        <v>40</v>
      </c>
      <c r="F27" s="42" t="n">
        <f aca="false">IF($C$12&lt;&gt;1,0,IF(D27="Above",$C$14,IF(D27="At",$C$16-$C$14,$C$6-$C$16)))</f>
        <v>15</v>
      </c>
      <c r="G27" s="42" t="n">
        <f aca="false">SUMIFS($E$22:$E$31,$D$22:$D$31,D27)</f>
        <v>100</v>
      </c>
      <c r="H27" s="74" t="n">
        <f aca="false">IF(G27=0,0,F27*E27/G27)</f>
        <v>6</v>
      </c>
      <c r="I27" s="42" t="n">
        <f aca="false">INT(ROUND(H27,9))</f>
        <v>6</v>
      </c>
      <c r="J27" s="74" t="n">
        <f aca="false">IF(E27&gt;0,ROUND(H27-I27,9),-1)</f>
        <v>0</v>
      </c>
      <c r="K27" s="42" t="n">
        <f aca="false">F27-SUMIFS($I$22:$I$31,$D$22:$D$31,D27)</f>
        <v>0</v>
      </c>
      <c r="L27" s="42" t="n">
        <f aca="false">SUMPRODUCT(($D$22:$D$31=D27)*($J$22:$J$31&gt;J27))+SUMPRODUCT(($D$22:D27=D27)*($J$22:J27=J27))</f>
        <v>2</v>
      </c>
      <c r="M27" s="42" t="n">
        <f aca="false">IF(AND(E27&gt;0,L27&lt;=K27),1,0)</f>
        <v>0</v>
      </c>
      <c r="N27" s="75" t="n">
        <f aca="false">IF($C$13=1,I27+M27,0)</f>
        <v>6</v>
      </c>
      <c r="O27" s="1"/>
    </row>
    <row r="28" customFormat="false" ht="15" hidden="false" customHeight="false" outlineLevel="0" collapsed="false">
      <c r="A28" s="1"/>
      <c r="B28" s="46" t="s">
        <v>202</v>
      </c>
      <c r="C28" s="42" t="n">
        <v>7</v>
      </c>
      <c r="D28" s="42" t="str">
        <f aca="false">IF(C28&gt;=AboveRank,"Above",IF(C28&gt;=AtRank,"At","Below"))</f>
        <v>Above</v>
      </c>
      <c r="E28" s="63" t="n">
        <v>40</v>
      </c>
      <c r="F28" s="73" t="n">
        <f aca="false">IF($C$12&lt;&gt;1,0,IF(D28="Above",$C$14,IF(D28="At",$C$16-$C$14,$C$6-$C$16)))</f>
        <v>22</v>
      </c>
      <c r="G28" s="42" t="n">
        <f aca="false">SUMIFS($E$22:$E$31,$D$22:$D$31,D28)</f>
        <v>100</v>
      </c>
      <c r="H28" s="74" t="n">
        <f aca="false">IF(G28=0,0,F28*E28/G28)</f>
        <v>8.8</v>
      </c>
      <c r="I28" s="42" t="n">
        <f aca="false">INT(ROUND(H28,9))</f>
        <v>8</v>
      </c>
      <c r="J28" s="74" t="n">
        <f aca="false">IF(E28&gt;0,ROUND(H28-I28,9),-1)</f>
        <v>0.8</v>
      </c>
      <c r="K28" s="42" t="n">
        <f aca="false">F28-SUMIFS($I$22:$I$31,$D$22:$D$31,D28)</f>
        <v>2</v>
      </c>
      <c r="L28" s="42" t="n">
        <f aca="false">SUMPRODUCT(($D$22:$D$31=D28)*($J$22:$J$31&gt;J28))+SUMPRODUCT(($D$22:D28=D28)*($J$22:J28=J28))</f>
        <v>1</v>
      </c>
      <c r="M28" s="42" t="n">
        <f aca="false">IF(AND(E28&gt;0,L28&lt;=K28),1,0)</f>
        <v>1</v>
      </c>
      <c r="N28" s="75" t="n">
        <f aca="false">IF($C$13=1,I28+M28,0)</f>
        <v>9</v>
      </c>
      <c r="O28" s="1"/>
    </row>
    <row r="29" customFormat="false" ht="15" hidden="false" customHeight="false" outlineLevel="0" collapsed="false">
      <c r="A29" s="1"/>
      <c r="B29" s="46" t="s">
        <v>203</v>
      </c>
      <c r="C29" s="42" t="n">
        <v>8</v>
      </c>
      <c r="D29" s="42" t="str">
        <f aca="false">IF(C29&gt;=AboveRank,"Above",IF(C29&gt;=AtRank,"At","Below"))</f>
        <v>Above</v>
      </c>
      <c r="E29" s="63" t="n">
        <v>30</v>
      </c>
      <c r="F29" s="73" t="n">
        <f aca="false">IF($C$12&lt;&gt;1,0,IF(D29="Above",$C$14,IF(D29="At",$C$16-$C$14,$C$6-$C$16)))</f>
        <v>22</v>
      </c>
      <c r="G29" s="42" t="n">
        <f aca="false">SUMIFS($E$22:$E$31,$D$22:$D$31,D29)</f>
        <v>100</v>
      </c>
      <c r="H29" s="74" t="n">
        <f aca="false">IF(G29=0,0,F29*E29/G29)</f>
        <v>6.6</v>
      </c>
      <c r="I29" s="42" t="n">
        <f aca="false">INT(ROUND(H29,9))</f>
        <v>6</v>
      </c>
      <c r="J29" s="74" t="n">
        <f aca="false">IF(E29&gt;0,ROUND(H29-I29,9),-1)</f>
        <v>0.6</v>
      </c>
      <c r="K29" s="42" t="n">
        <f aca="false">F29-SUMIFS($I$22:$I$31,$D$22:$D$31,D29)</f>
        <v>2</v>
      </c>
      <c r="L29" s="42" t="n">
        <f aca="false">SUMPRODUCT(($D$22:$D$31=D29)*($J$22:$J$31&gt;J29))+SUMPRODUCT(($D$22:D29=D29)*($J$22:J29=J29))</f>
        <v>2</v>
      </c>
      <c r="M29" s="42" t="n">
        <f aca="false">IF(AND(E29&gt;0,L29&lt;=K29),1,0)</f>
        <v>1</v>
      </c>
      <c r="N29" s="75" t="n">
        <f aca="false">IF($C$13=1,I29+M29,0)</f>
        <v>7</v>
      </c>
      <c r="O29" s="1"/>
    </row>
    <row r="30" customFormat="false" ht="15" hidden="false" customHeight="false" outlineLevel="0" collapsed="false">
      <c r="A30" s="1"/>
      <c r="B30" s="46" t="s">
        <v>204</v>
      </c>
      <c r="C30" s="42" t="n">
        <v>9</v>
      </c>
      <c r="D30" s="42" t="str">
        <f aca="false">IF(C30&gt;=AboveRank,"Above",IF(C30&gt;=AtRank,"At","Below"))</f>
        <v>Above</v>
      </c>
      <c r="E30" s="63" t="n">
        <v>20</v>
      </c>
      <c r="F30" s="73" t="n">
        <f aca="false">IF($C$12&lt;&gt;1,0,IF(D30="Above",$C$14,IF(D30="At",$C$16-$C$14,$C$6-$C$16)))</f>
        <v>22</v>
      </c>
      <c r="G30" s="42" t="n">
        <f aca="false">SUMIFS($E$22:$E$31,$D$22:$D$31,D30)</f>
        <v>100</v>
      </c>
      <c r="H30" s="74" t="n">
        <f aca="false">IF(G30=0,0,F30*E30/G30)</f>
        <v>4.4</v>
      </c>
      <c r="I30" s="42" t="n">
        <f aca="false">INT(ROUND(H30,9))</f>
        <v>4</v>
      </c>
      <c r="J30" s="74" t="n">
        <f aca="false">IF(E30&gt;0,ROUND(H30-I30,9),-1)</f>
        <v>0.4</v>
      </c>
      <c r="K30" s="42" t="n">
        <f aca="false">F30-SUMIFS($I$22:$I$31,$D$22:$D$31,D30)</f>
        <v>2</v>
      </c>
      <c r="L30" s="42" t="n">
        <f aca="false">SUMPRODUCT(($D$22:$D$31=D30)*($J$22:$J$31&gt;J30))+SUMPRODUCT(($D$22:D30=D30)*($J$22:J30=J30))</f>
        <v>3</v>
      </c>
      <c r="M30" s="42" t="n">
        <f aca="false">IF(AND(E30&gt;0,L30&lt;=K30),1,0)</f>
        <v>0</v>
      </c>
      <c r="N30" s="75" t="n">
        <f aca="false">IF($C$13=1,I30+M30,0)</f>
        <v>4</v>
      </c>
      <c r="O30" s="1"/>
    </row>
    <row r="31" customFormat="false" ht="15" hidden="false" customHeight="false" outlineLevel="0" collapsed="false">
      <c r="A31" s="1"/>
      <c r="B31" s="46" t="s">
        <v>205</v>
      </c>
      <c r="C31" s="42" t="n">
        <v>10</v>
      </c>
      <c r="D31" s="42" t="str">
        <f aca="false">IF(C31&gt;=AboveRank,"Above",IF(C31&gt;=AtRank,"At","Below"))</f>
        <v>Above</v>
      </c>
      <c r="E31" s="63" t="n">
        <v>10</v>
      </c>
      <c r="F31" s="73" t="n">
        <f aca="false">IF($C$12&lt;&gt;1,0,IF(D31="Above",$C$14,IF(D31="At",$C$16-$C$14,$C$6-$C$16)))</f>
        <v>22</v>
      </c>
      <c r="G31" s="42" t="n">
        <f aca="false">SUMIFS($E$22:$E$31,$D$22:$D$31,D31)</f>
        <v>100</v>
      </c>
      <c r="H31" s="74" t="n">
        <f aca="false">IF(G31=0,0,F31*E31/G31)</f>
        <v>2.2</v>
      </c>
      <c r="I31" s="42" t="n">
        <f aca="false">INT(ROUND(H31,9))</f>
        <v>2</v>
      </c>
      <c r="J31" s="74" t="n">
        <f aca="false">IF(E31&gt;0,ROUND(H31-I31,9),-1)</f>
        <v>0.2</v>
      </c>
      <c r="K31" s="42" t="n">
        <f aca="false">F31-SUMIFS($I$22:$I$31,$D$22:$D$31,D31)</f>
        <v>2</v>
      </c>
      <c r="L31" s="42" t="n">
        <f aca="false">SUMPRODUCT(($D$22:$D$31=D31)*($J$22:$J$31&gt;J31))+SUMPRODUCT(($D$22:D31=D31)*($J$22:J31=J31))</f>
        <v>4</v>
      </c>
      <c r="M31" s="42" t="n">
        <f aca="false">IF(AND(E31&gt;0,L31&lt;=K31),1,0)</f>
        <v>0</v>
      </c>
      <c r="N31" s="75" t="n">
        <f aca="false">IF($C$13=1,I31+M31,0)</f>
        <v>2</v>
      </c>
      <c r="O31" s="1"/>
    </row>
    <row r="32" customFormat="false" ht="15" hidden="false" customHeight="false" outlineLevel="0" collapsed="false">
      <c r="A32" s="1"/>
      <c r="B32" s="43" t="s">
        <v>189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76" t="n">
        <f aca="false">SUM(N22:N31)</f>
        <v>40</v>
      </c>
      <c r="O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customFormat="false" ht="21.75" hidden="false" customHeight="true" outlineLevel="0" collapsed="false">
      <c r="A34" s="1"/>
      <c r="B34" s="4" t="s">
        <v>284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"/>
    </row>
    <row r="35" customFormat="false" ht="31.5" hidden="false" customHeight="true" outlineLevel="0" collapsed="false">
      <c r="A35" s="1"/>
      <c r="B35" s="37" t="s">
        <v>285</v>
      </c>
      <c r="C35" s="37" t="s">
        <v>286</v>
      </c>
      <c r="D35" s="37" t="s">
        <v>287</v>
      </c>
      <c r="E35" s="37" t="s">
        <v>288</v>
      </c>
      <c r="F35" s="37" t="s">
        <v>289</v>
      </c>
      <c r="G35" s="1"/>
      <c r="H35" s="1"/>
      <c r="I35" s="1"/>
      <c r="J35" s="1"/>
      <c r="K35" s="1"/>
      <c r="L35" s="1"/>
      <c r="M35" s="1"/>
      <c r="N35" s="1"/>
      <c r="O35" s="1"/>
    </row>
    <row r="36" customFormat="false" ht="15" hidden="false" customHeight="true" outlineLevel="0" collapsed="false">
      <c r="A36" s="1"/>
      <c r="B36" s="51" t="s">
        <v>14</v>
      </c>
      <c r="C36" s="40" t="n">
        <f aca="false">IF(C12=1,C8,"—")</f>
        <v>0.93</v>
      </c>
      <c r="D36" s="42" t="n">
        <f aca="false">IF(C13&lt;&gt;1,"—",SUMPRODUCT(($C$22:$C$31&gt;=AtRank)*$N$22:$N$31))</f>
        <v>37</v>
      </c>
      <c r="E36" s="40" t="n">
        <f aca="false">IF(C13&lt;&gt;1,"—",D36/C6)</f>
        <v>0.925</v>
      </c>
      <c r="F36" s="41" t="n">
        <f aca="false">IF(ISNUMBER(E36),E36-C8,"—")</f>
        <v>-0.005</v>
      </c>
      <c r="G36" s="66" t="s">
        <v>290</v>
      </c>
      <c r="H36" s="66"/>
      <c r="I36" s="66"/>
      <c r="J36" s="66"/>
      <c r="K36" s="66"/>
      <c r="L36" s="66"/>
      <c r="M36" s="66"/>
      <c r="N36" s="66"/>
      <c r="O36" s="1"/>
    </row>
    <row r="37" customFormat="false" ht="15" hidden="false" customHeight="false" outlineLevel="0" collapsed="false">
      <c r="A37" s="1"/>
      <c r="B37" s="51" t="s">
        <v>16</v>
      </c>
      <c r="C37" s="40" t="n">
        <f aca="false">IF(C12=1,C7,"—")</f>
        <v>0.55</v>
      </c>
      <c r="D37" s="42" t="n">
        <f aca="false">IF(C13&lt;&gt;1,"—",SUMPRODUCT(($C$22:$C$31&gt;=AboveRank)*$N$22:$N$31))</f>
        <v>22</v>
      </c>
      <c r="E37" s="40" t="n">
        <f aca="false">IF(C13&lt;&gt;1,"—",D37/C6)</f>
        <v>0.55</v>
      </c>
      <c r="F37" s="41" t="n">
        <f aca="false">IF(ISNUMBER(E37),E37-C7,"—")</f>
        <v>0</v>
      </c>
      <c r="G37" s="66"/>
      <c r="H37" s="66"/>
      <c r="I37" s="66"/>
      <c r="J37" s="66"/>
      <c r="K37" s="66"/>
      <c r="L37" s="66"/>
      <c r="M37" s="66"/>
      <c r="N37" s="66"/>
      <c r="O37" s="1"/>
    </row>
    <row r="38" customFormat="false" ht="15" hidden="false" customHeight="false" outlineLevel="0" collapsed="false">
      <c r="A38" s="1"/>
      <c r="B38" s="51" t="s">
        <v>291</v>
      </c>
      <c r="C38" s="77" t="str">
        <f aca="false">IF(C13&lt;&gt;1,"—",IF(C6=0,"لا توجد بيانات",IF(ROUND(E36,10)&lt;=KeyA_VW,"Very Weak",IF(ROUND(E36,10)&lt;KeyA_Weak,"Weak",IF(ROUND(E37,10)&lt;KeyA_Acc,"Acceptable",IF(ROUND(E37,10)&lt;=KeyA_Good,"Good",IF(ROUND(E37,10)&lt;KeyA_Out,"Very Good","Outstanding")))))))</f>
        <v>Good</v>
      </c>
      <c r="D38" s="77"/>
      <c r="E38" s="77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customFormat="false" ht="15" hidden="false" customHeight="false" outlineLevel="0" collapsed="false">
      <c r="A39" s="1"/>
      <c r="B39" s="51" t="s">
        <v>292</v>
      </c>
      <c r="C39" s="78" t="str">
        <f aca="false">IF(C13&lt;&gt;1,"—",IF(N32=C6,"✔ "&amp;N32&amp;" = "&amp;C6,"✖ لا يتطابق"))</f>
        <v>✔ 40 = 40</v>
      </c>
      <c r="D39" s="78"/>
      <c r="E39" s="78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sheetProtection sheet="true" formatColumns="false" formatRows="false" sort="false" autoFilter="false"/>
  <mergeCells count="13">
    <mergeCell ref="B1:N2"/>
    <mergeCell ref="B3:N3"/>
    <mergeCell ref="B5:N5"/>
    <mergeCell ref="F6:N7"/>
    <mergeCell ref="C9:E9"/>
    <mergeCell ref="C11:H11"/>
    <mergeCell ref="D13:H13"/>
    <mergeCell ref="B18:N18"/>
    <mergeCell ref="B19:N19"/>
    <mergeCell ref="B34:N34"/>
    <mergeCell ref="G36:N37"/>
    <mergeCell ref="C38:E38"/>
    <mergeCell ref="C39:E39"/>
  </mergeCells>
  <conditionalFormatting sqref="C38">
    <cfRule type="cellIs" priority="2" operator="equal" aboveAverage="0" equalAverage="0" bottom="0" percent="0" rank="0" text="" dxfId="0">
      <formula>"Outstanding"</formula>
    </cfRule>
    <cfRule type="cellIs" priority="3" operator="equal" aboveAverage="0" equalAverage="0" bottom="0" percent="0" rank="0" text="" dxfId="1">
      <formula>"Very Good"</formula>
    </cfRule>
    <cfRule type="cellIs" priority="4" operator="equal" aboveAverage="0" equalAverage="0" bottom="0" percent="0" rank="0" text="" dxfId="2">
      <formula>"Good"</formula>
    </cfRule>
    <cfRule type="cellIs" priority="5" operator="equal" aboveAverage="0" equalAverage="0" bottom="0" percent="0" rank="0" text="" dxfId="3">
      <formula>"Acceptable"</formula>
    </cfRule>
    <cfRule type="cellIs" priority="6" operator="equal" aboveAverage="0" equalAverage="0" bottom="0" percent="0" rank="0" text="" dxfId="4">
      <formula>"Weak"</formula>
    </cfRule>
    <cfRule type="cellIs" priority="7" operator="equal" aboveAverage="0" equalAverage="0" bottom="0" percent="0" rank="0" text="" dxfId="5">
      <formula>"Very Weak"</formula>
    </cfRule>
  </conditionalFormatting>
  <dataValidations count="3">
    <dataValidation allowBlank="true" error="اختر قيمة من القائمة" errorStyle="stop" errorTitle="قيمة غير صحيحة" operator="between" showDropDown="false" showErrorMessage="true" showInputMessage="false" sqref="C9" type="list">
      <formula1>Lists!$I$2:$I$3</formula1>
      <formula2>0</formula2>
    </dataValidation>
    <dataValidation allowBlank="true" error="عدد صحيح ≥ 1" errorStyle="stop" operator="greaterThanOrEqual" showDropDown="false" showErrorMessage="true" showInputMessage="false" sqref="C6" type="whole">
      <formula1>1</formula1>
      <formula2>0</formula2>
    </dataValidation>
    <dataValidation allowBlank="true" error="نسبة بين 0% و100%" errorStyle="stop" operator="between" showDropDown="false" showErrorMessage="true" showInputMessage="false" sqref="C7:C8" type="decimal">
      <formula1>0</formula1>
      <formula2>1</formula2>
    </dataValidation>
  </dataValidations>
  <hyperlinks>
    <hyperlink ref="B4" r:id="rId1" location="Guide!A1" display="الدليل"/>
    <hyperlink ref="C4" r:id="rId2" location="Dashboard!A1" display="اللوحة"/>
    <hyperlink ref="D4" r:id="rId3" location="Year_Panel!A1" display="لوحة الصف"/>
    <hyperlink ref="E4" r:id="rId4" location="Teacher_Report!A1" display="المعلمون"/>
    <hyperlink ref="F4" r:id="rId5" location="Data!A1" display="إدخال النتائج"/>
    <hyperlink ref="G4" r:id="rId6" location="Target_Attain!A1" display="هدف التحصيل"/>
    <hyperlink ref="H4" r:id="rId7" location="Target_Progress!A1" display="هدف التقدم"/>
    <hyperlink ref="I4" r:id="rId8" location="Settings!A1" display="الإعدادات"/>
    <hyperlink ref="J4" r:id="rId9" location="Progress_Matrix!A1" display="المصفوفة"/>
    <hyperlink ref="K4" r:id="rId10" location="Classes!A1" display="الصفوف"/>
    <hyperlink ref="L4" r:id="rId11" location="Checks!A1" display="فحوص"/>
    <hyperlink ref="M4" r:id="rId12" location="Tests!A1" display="اختبارا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9AA7"/>
    <pageSetUpPr fitToPage="true"/>
  </sheetPr>
  <dimension ref="A1:T1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9" min="3" style="0" width="12"/>
  </cols>
  <sheetData>
    <row r="1" customFormat="false" ht="24" hidden="false" customHeight="true" outlineLevel="0" collapsed="false">
      <c r="A1" s="1"/>
      <c r="B1" s="2" t="s">
        <v>293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1"/>
    </row>
    <row r="2" customFormat="false" ht="24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1"/>
    </row>
    <row r="3" customFormat="false" ht="15" hidden="false" customHeight="true" outlineLevel="0" collapsed="false">
      <c r="A3" s="1"/>
      <c r="B3" s="3" t="s">
        <v>294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1"/>
    </row>
    <row r="4" customFormat="false" ht="19.5" hidden="false" customHeight="true" outlineLevel="0" collapsed="false">
      <c r="A4" s="1"/>
      <c r="B4" s="8" t="s">
        <v>87</v>
      </c>
      <c r="C4" s="8" t="s">
        <v>88</v>
      </c>
      <c r="D4" s="8" t="s">
        <v>89</v>
      </c>
      <c r="E4" s="8" t="s">
        <v>90</v>
      </c>
      <c r="F4" s="8" t="s">
        <v>91</v>
      </c>
      <c r="G4" s="8" t="s">
        <v>92</v>
      </c>
      <c r="H4" s="9" t="s">
        <v>93</v>
      </c>
      <c r="I4" s="8" t="s">
        <v>94</v>
      </c>
      <c r="J4" s="8" t="s">
        <v>95</v>
      </c>
      <c r="K4" s="8" t="s">
        <v>96</v>
      </c>
      <c r="L4" s="8" t="s">
        <v>97</v>
      </c>
      <c r="M4" s="8" t="s">
        <v>98</v>
      </c>
      <c r="N4" s="1"/>
      <c r="O4" s="1"/>
      <c r="P4" s="1"/>
      <c r="Q4" s="1"/>
      <c r="R4" s="1"/>
      <c r="S4" s="1"/>
      <c r="T4" s="1"/>
    </row>
    <row r="5" customFormat="false" ht="21.75" hidden="false" customHeight="true" outlineLevel="0" collapsed="false">
      <c r="A5" s="1"/>
      <c r="B5" s="4" t="s">
        <v>256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1"/>
    </row>
    <row r="6" customFormat="false" ht="15" hidden="false" customHeight="true" outlineLevel="0" collapsed="false">
      <c r="A6" s="1"/>
      <c r="B6" s="65" t="s">
        <v>295</v>
      </c>
      <c r="C6" s="67" t="n">
        <v>0.4</v>
      </c>
      <c r="D6" s="1"/>
      <c r="E6" s="1"/>
      <c r="F6" s="66" t="s">
        <v>296</v>
      </c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1"/>
    </row>
    <row r="7" customFormat="false" ht="15" hidden="false" customHeight="false" outlineLevel="0" collapsed="false">
      <c r="A7" s="1"/>
      <c r="B7" s="65" t="s">
        <v>297</v>
      </c>
      <c r="C7" s="67" t="n">
        <v>0.85</v>
      </c>
      <c r="D7" s="1"/>
      <c r="E7" s="1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1"/>
    </row>
    <row r="8" customFormat="false" ht="15" hidden="false" customHeight="true" outlineLevel="0" collapsed="false">
      <c r="A8" s="1"/>
      <c r="B8" s="65" t="s">
        <v>261</v>
      </c>
      <c r="C8" s="68" t="s">
        <v>262</v>
      </c>
      <c r="D8" s="68"/>
      <c r="E8" s="68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1"/>
    </row>
    <row r="9" customFormat="false" ht="15" hidden="false" customHeight="false" outlineLevel="0" collapsed="false">
      <c r="A9" s="1"/>
      <c r="B9" s="65" t="s">
        <v>298</v>
      </c>
      <c r="C9" s="63" t="n">
        <v>3</v>
      </c>
      <c r="D9" s="1"/>
      <c r="E9" s="1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1"/>
    </row>
    <row r="10" customFormat="false" ht="15" hidden="false" customHeight="false" outlineLevel="0" collapsed="false">
      <c r="A10" s="1"/>
      <c r="B10" s="65" t="s">
        <v>299</v>
      </c>
      <c r="C10" s="63" t="n">
        <v>1</v>
      </c>
      <c r="D10" s="1"/>
      <c r="E10" s="1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customFormat="false" ht="21.75" hidden="false" customHeight="true" outlineLevel="0" collapsed="false">
      <c r="A12" s="1"/>
      <c r="B12" s="4" t="s">
        <v>300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"/>
    </row>
    <row r="13" customFormat="false" ht="33.75" hidden="false" customHeight="true" outlineLevel="0" collapsed="false">
      <c r="A13" s="1"/>
      <c r="B13" s="37" t="s">
        <v>301</v>
      </c>
      <c r="C13" s="37" t="s">
        <v>302</v>
      </c>
      <c r="D13" s="37" t="s">
        <v>303</v>
      </c>
      <c r="E13" s="37" t="s">
        <v>304</v>
      </c>
      <c r="F13" s="37" t="s">
        <v>305</v>
      </c>
      <c r="G13" s="37" t="s">
        <v>306</v>
      </c>
      <c r="H13" s="37" t="s">
        <v>307</v>
      </c>
      <c r="I13" s="37" t="s">
        <v>308</v>
      </c>
      <c r="J13" s="37" t="s">
        <v>309</v>
      </c>
      <c r="K13" s="37" t="s">
        <v>310</v>
      </c>
      <c r="L13" s="37" t="s">
        <v>311</v>
      </c>
      <c r="M13" s="37" t="s">
        <v>312</v>
      </c>
      <c r="N13" s="37" t="s">
        <v>313</v>
      </c>
      <c r="O13" s="37" t="s">
        <v>314</v>
      </c>
      <c r="P13" s="37" t="s">
        <v>315</v>
      </c>
      <c r="Q13" s="37" t="s">
        <v>316</v>
      </c>
      <c r="R13" s="37" t="s">
        <v>317</v>
      </c>
      <c r="S13" s="37" t="s">
        <v>318</v>
      </c>
      <c r="T13" s="1"/>
    </row>
    <row r="14" customFormat="false" ht="15" hidden="false" customHeight="false" outlineLevel="0" collapsed="false">
      <c r="A14" s="1"/>
      <c r="B14" s="46" t="str">
        <f aca="false">INDEX(MxStart,1,1)</f>
        <v>B</v>
      </c>
      <c r="C14" s="63" t="n">
        <v>1</v>
      </c>
      <c r="D14" s="42" t="n">
        <v>1</v>
      </c>
      <c r="E14" s="42" t="n">
        <f aca="false">Progress_Matrix!H20</f>
        <v>2</v>
      </c>
      <c r="F14" s="42" t="n">
        <f aca="false">Progress_Matrix!I20</f>
        <v>1</v>
      </c>
      <c r="G14" s="42" t="n">
        <f aca="false">Progress_Matrix!J20</f>
        <v>0</v>
      </c>
      <c r="H14" s="42" t="n">
        <f aca="false">IF(E14=0,"",IF(E14-$D14&lt;0,($D14-E14)*$C$9,(E14-$D14)*$C$10))</f>
        <v>1</v>
      </c>
      <c r="I14" s="42" t="n">
        <f aca="false">IF(F14=0,"",IF(F14-$D14&lt;0,($D14-F14)*$C$9,(F14-$D14)*$C$10))</f>
        <v>0</v>
      </c>
      <c r="J14" s="42" t="str">
        <f aca="false">IF(G14=0,"",IF(G14-$D14&lt;0,($D14-G14)*$C$9,(G14-$D14)*$C$10))</f>
        <v/>
      </c>
      <c r="K14" s="42" t="n">
        <f aca="false">IF(G14&gt;0,C14,0)</f>
        <v>0</v>
      </c>
      <c r="L14" s="42" t="n">
        <f aca="false">IF(OR(G14=0,I14=""),9999,ROUND(J14-I14,6))</f>
        <v>9999</v>
      </c>
      <c r="M14" s="42" t="n">
        <f aca="false">SUMPRODUCT(--($L$14:$L$22&lt;L14))+SUMPRODUCT(--($L$14:L14=L14))</f>
        <v>8</v>
      </c>
      <c r="N14" s="38" t="n">
        <f aca="false">IF(K14=0,0,MAX(0,MIN(K14,$C$33-SUMPRODUCT(($M$14:$M$22&lt;M14)*$K$14:$K$22))))</f>
        <v>0</v>
      </c>
      <c r="O14" s="42" t="n">
        <f aca="false">C14-N14</f>
        <v>1</v>
      </c>
      <c r="P14" s="42" t="n">
        <f aca="false">IF(OR(E14=0,I14=""),9999,ROUND(H14-I14,6))</f>
        <v>1</v>
      </c>
      <c r="Q14" s="42" t="n">
        <f aca="false">SUMPRODUCT(--($P$14:$P$22&lt;P14))+SUMPRODUCT(--($P$14:P14=P14))</f>
        <v>5</v>
      </c>
      <c r="R14" s="38" t="n">
        <f aca="false">IF(E14=0,0,MAX(0,MIN(O14,$C$34-SUMPRODUCT(($Q$14:$Q$22&lt;Q14)*$O$14:$O$22))))</f>
        <v>0</v>
      </c>
      <c r="S14" s="38" t="n">
        <f aca="false">C14-N14-R14</f>
        <v>1</v>
      </c>
      <c r="T14" s="1"/>
    </row>
    <row r="15" customFormat="false" ht="15" hidden="false" customHeight="false" outlineLevel="0" collapsed="false">
      <c r="A15" s="1"/>
      <c r="B15" s="46" t="str">
        <f aca="false">INDEX(MxStart,1,2)</f>
        <v>B+</v>
      </c>
      <c r="C15" s="63" t="n">
        <v>2</v>
      </c>
      <c r="D15" s="42" t="n">
        <v>2</v>
      </c>
      <c r="E15" s="42" t="n">
        <f aca="false">Progress_Matrix!H21</f>
        <v>3</v>
      </c>
      <c r="F15" s="42" t="n">
        <f aca="false">Progress_Matrix!I21</f>
        <v>2</v>
      </c>
      <c r="G15" s="42" t="n">
        <f aca="false">Progress_Matrix!J21</f>
        <v>0</v>
      </c>
      <c r="H15" s="42" t="n">
        <f aca="false">IF(E15=0,"",IF(E15-$D15&lt;0,($D15-E15)*$C$9,(E15-$D15)*$C$10))</f>
        <v>1</v>
      </c>
      <c r="I15" s="42" t="n">
        <f aca="false">IF(F15=0,"",IF(F15-$D15&lt;0,($D15-F15)*$C$9,(F15-$D15)*$C$10))</f>
        <v>0</v>
      </c>
      <c r="J15" s="42" t="str">
        <f aca="false">IF(G15=0,"",IF(G15-$D15&lt;0,($D15-G15)*$C$9,(G15-$D15)*$C$10))</f>
        <v/>
      </c>
      <c r="K15" s="42" t="n">
        <f aca="false">IF(G15&gt;0,C15,0)</f>
        <v>0</v>
      </c>
      <c r="L15" s="42" t="n">
        <f aca="false">IF(OR(G15=0,I15=""),9999,ROUND(J15-I15,6))</f>
        <v>9999</v>
      </c>
      <c r="M15" s="42" t="n">
        <f aca="false">SUMPRODUCT(--($L$14:$L$22&lt;L15))+SUMPRODUCT(--($L$14:L15=L15))</f>
        <v>9</v>
      </c>
      <c r="N15" s="38" t="n">
        <f aca="false">IF(K15=0,0,MAX(0,MIN(K15,$C$33-SUMPRODUCT(($M$14:$M$22&lt;M15)*$K$14:$K$22))))</f>
        <v>0</v>
      </c>
      <c r="O15" s="42" t="n">
        <f aca="false">C15-N15</f>
        <v>2</v>
      </c>
      <c r="P15" s="42" t="n">
        <f aca="false">IF(OR(E15=0,I15=""),9999,ROUND(H15-I15,6))</f>
        <v>1</v>
      </c>
      <c r="Q15" s="42" t="n">
        <f aca="false">SUMPRODUCT(--($P$14:$P$22&lt;P15))+SUMPRODUCT(--($P$14:P15=P15))</f>
        <v>6</v>
      </c>
      <c r="R15" s="38" t="n">
        <f aca="false">IF(E15=0,0,MAX(0,MIN(O15,$C$34-SUMPRODUCT(($Q$14:$Q$22&lt;Q15)*$O$14:$O$22))))</f>
        <v>0</v>
      </c>
      <c r="S15" s="38" t="n">
        <f aca="false">C15-N15-R15</f>
        <v>2</v>
      </c>
      <c r="T15" s="1"/>
    </row>
    <row r="16" customFormat="false" ht="15" hidden="false" customHeight="false" outlineLevel="0" collapsed="false">
      <c r="A16" s="1"/>
      <c r="B16" s="46" t="str">
        <f aca="false">INDEX(MxStart,1,3)</f>
        <v>T</v>
      </c>
      <c r="C16" s="63" t="n">
        <v>4</v>
      </c>
      <c r="D16" s="42" t="n">
        <v>3</v>
      </c>
      <c r="E16" s="42" t="n">
        <f aca="false">Progress_Matrix!H22</f>
        <v>4</v>
      </c>
      <c r="F16" s="42" t="n">
        <f aca="false">Progress_Matrix!I22</f>
        <v>3</v>
      </c>
      <c r="G16" s="42" t="n">
        <f aca="false">Progress_Matrix!J22</f>
        <v>2</v>
      </c>
      <c r="H16" s="42" t="n">
        <f aca="false">IF(E16=0,"",IF(E16-$D16&lt;0,($D16-E16)*$C$9,(E16-$D16)*$C$10))</f>
        <v>1</v>
      </c>
      <c r="I16" s="42" t="n">
        <f aca="false">IF(F16=0,"",IF(F16-$D16&lt;0,($D16-F16)*$C$9,(F16-$D16)*$C$10))</f>
        <v>0</v>
      </c>
      <c r="J16" s="42" t="n">
        <f aca="false">IF(G16=0,"",IF(G16-$D16&lt;0,($D16-G16)*$C$9,(G16-$D16)*$C$10))</f>
        <v>3</v>
      </c>
      <c r="K16" s="42" t="n">
        <f aca="false">IF(G16&gt;0,C16,0)</f>
        <v>4</v>
      </c>
      <c r="L16" s="42" t="n">
        <f aca="false">IF(OR(G16=0,I16=""),9999,ROUND(J16-I16,6))</f>
        <v>3</v>
      </c>
      <c r="M16" s="42" t="n">
        <f aca="false">SUMPRODUCT(--($L$14:$L$22&lt;L16))+SUMPRODUCT(--($L$14:L16=L16))</f>
        <v>1</v>
      </c>
      <c r="N16" s="38" t="n">
        <f aca="false">IF(K16=0,0,MAX(0,MIN(K16,$C$33-SUMPRODUCT(($M$14:$M$22&lt;M16)*$K$14:$K$22))))</f>
        <v>4</v>
      </c>
      <c r="O16" s="42" t="n">
        <f aca="false">C16-N16</f>
        <v>0</v>
      </c>
      <c r="P16" s="42" t="n">
        <f aca="false">IF(OR(E16=0,I16=""),9999,ROUND(H16-I16,6))</f>
        <v>1</v>
      </c>
      <c r="Q16" s="42" t="n">
        <f aca="false">SUMPRODUCT(--($P$14:$P$22&lt;P16))+SUMPRODUCT(--($P$14:P16=P16))</f>
        <v>7</v>
      </c>
      <c r="R16" s="38" t="n">
        <f aca="false">IF(E16=0,0,MAX(0,MIN(O16,$C$34-SUMPRODUCT(($Q$14:$Q$22&lt;Q16)*$O$14:$O$22))))</f>
        <v>0</v>
      </c>
      <c r="S16" s="38" t="n">
        <f aca="false">C16-N16-R16</f>
        <v>0</v>
      </c>
      <c r="T16" s="1"/>
    </row>
    <row r="17" customFormat="false" ht="15" hidden="false" customHeight="false" outlineLevel="0" collapsed="false">
      <c r="A17" s="1"/>
      <c r="B17" s="46" t="str">
        <f aca="false">INDEX(MxStart,1,4)</f>
        <v>AT</v>
      </c>
      <c r="C17" s="63" t="n">
        <v>8</v>
      </c>
      <c r="D17" s="42" t="n">
        <v>4</v>
      </c>
      <c r="E17" s="42" t="n">
        <f aca="false">Progress_Matrix!H23</f>
        <v>5</v>
      </c>
      <c r="F17" s="42" t="n">
        <f aca="false">Progress_Matrix!I23</f>
        <v>4</v>
      </c>
      <c r="G17" s="42" t="n">
        <f aca="false">Progress_Matrix!J23</f>
        <v>3</v>
      </c>
      <c r="H17" s="42" t="n">
        <f aca="false">IF(E17=0,"",IF(E17-$D17&lt;0,($D17-E17)*$C$9,(E17-$D17)*$C$10))</f>
        <v>1</v>
      </c>
      <c r="I17" s="42" t="n">
        <f aca="false">IF(F17=0,"",IF(F17-$D17&lt;0,($D17-F17)*$C$9,(F17-$D17)*$C$10))</f>
        <v>0</v>
      </c>
      <c r="J17" s="42" t="n">
        <f aca="false">IF(G17=0,"",IF(G17-$D17&lt;0,($D17-G17)*$C$9,(G17-$D17)*$C$10))</f>
        <v>3</v>
      </c>
      <c r="K17" s="42" t="n">
        <f aca="false">IF(G17&gt;0,C17,0)</f>
        <v>8</v>
      </c>
      <c r="L17" s="42" t="n">
        <f aca="false">IF(OR(G17=0,I17=""),9999,ROUND(J17-I17,6))</f>
        <v>3</v>
      </c>
      <c r="M17" s="42" t="n">
        <f aca="false">SUMPRODUCT(--($L$14:$L$22&lt;L17))+SUMPRODUCT(--($L$14:L17=L17))</f>
        <v>2</v>
      </c>
      <c r="N17" s="38" t="n">
        <f aca="false">IF(K17=0,0,MAX(0,MIN(K17,$C$33-SUMPRODUCT(($M$14:$M$22&lt;M17)*$K$14:$K$22))))</f>
        <v>2</v>
      </c>
      <c r="O17" s="42" t="n">
        <f aca="false">C17-N17</f>
        <v>6</v>
      </c>
      <c r="P17" s="42" t="n">
        <f aca="false">IF(OR(E17=0,I17=""),9999,ROUND(H17-I17,6))</f>
        <v>1</v>
      </c>
      <c r="Q17" s="42" t="n">
        <f aca="false">SUMPRODUCT(--($P$14:$P$22&lt;P17))+SUMPRODUCT(--($P$14:P17=P17))</f>
        <v>8</v>
      </c>
      <c r="R17" s="38" t="n">
        <f aca="false">IF(E17=0,0,MAX(0,MIN(O17,$C$34-SUMPRODUCT(($Q$14:$Q$22&lt;Q17)*$O$14:$O$22))))</f>
        <v>0</v>
      </c>
      <c r="S17" s="38" t="n">
        <f aca="false">C17-N17-R17</f>
        <v>6</v>
      </c>
      <c r="T17" s="1"/>
    </row>
    <row r="18" customFormat="false" ht="15" hidden="false" customHeight="false" outlineLevel="0" collapsed="false">
      <c r="A18" s="1"/>
      <c r="B18" s="46" t="str">
        <f aca="false">INDEX(MxStart,1,5)</f>
        <v>AT+</v>
      </c>
      <c r="C18" s="63" t="n">
        <v>7</v>
      </c>
      <c r="D18" s="42" t="n">
        <v>5</v>
      </c>
      <c r="E18" s="42" t="n">
        <f aca="false">Progress_Matrix!H24</f>
        <v>6</v>
      </c>
      <c r="F18" s="42" t="n">
        <f aca="false">Progress_Matrix!I24</f>
        <v>5</v>
      </c>
      <c r="G18" s="42" t="n">
        <f aca="false">Progress_Matrix!J24</f>
        <v>3</v>
      </c>
      <c r="H18" s="42" t="n">
        <f aca="false">IF(E18=0,"",IF(E18-$D18&lt;0,($D18-E18)*$C$9,(E18-$D18)*$C$10))</f>
        <v>1</v>
      </c>
      <c r="I18" s="42" t="n">
        <f aca="false">IF(F18=0,"",IF(F18-$D18&lt;0,($D18-F18)*$C$9,(F18-$D18)*$C$10))</f>
        <v>0</v>
      </c>
      <c r="J18" s="42" t="n">
        <f aca="false">IF(G18=0,"",IF(G18-$D18&lt;0,($D18-G18)*$C$9,(G18-$D18)*$C$10))</f>
        <v>6</v>
      </c>
      <c r="K18" s="42" t="n">
        <f aca="false">IF(G18&gt;0,C18,0)</f>
        <v>7</v>
      </c>
      <c r="L18" s="42" t="n">
        <f aca="false">IF(OR(G18=0,I18=""),9999,ROUND(J18-I18,6))</f>
        <v>6</v>
      </c>
      <c r="M18" s="42" t="n">
        <f aca="false">SUMPRODUCT(--($L$14:$L$22&lt;L18))+SUMPRODUCT(--($L$14:L18=L18))</f>
        <v>7</v>
      </c>
      <c r="N18" s="38" t="n">
        <f aca="false">IF(K18=0,0,MAX(0,MIN(K18,$C$33-SUMPRODUCT(($M$14:$M$22&lt;M18)*$K$14:$K$22))))</f>
        <v>0</v>
      </c>
      <c r="O18" s="42" t="n">
        <f aca="false">C18-N18</f>
        <v>7</v>
      </c>
      <c r="P18" s="42" t="n">
        <f aca="false">IF(OR(E18=0,I18=""),9999,ROUND(H18-I18,6))</f>
        <v>1</v>
      </c>
      <c r="Q18" s="42" t="n">
        <f aca="false">SUMPRODUCT(--($P$14:$P$22&lt;P18))+SUMPRODUCT(--($P$14:P18=P18))</f>
        <v>9</v>
      </c>
      <c r="R18" s="38" t="n">
        <f aca="false">IF(E18=0,0,MAX(0,MIN(O18,$C$34-SUMPRODUCT(($Q$14:$Q$22&lt;Q18)*$O$14:$O$22))))</f>
        <v>0</v>
      </c>
      <c r="S18" s="38" t="n">
        <f aca="false">C18-N18-R18</f>
        <v>7</v>
      </c>
      <c r="T18" s="1"/>
    </row>
    <row r="19" customFormat="false" ht="15" hidden="false" customHeight="false" outlineLevel="0" collapsed="false">
      <c r="A19" s="1"/>
      <c r="B19" s="46" t="str">
        <f aca="false">INDEX(MxStart,1,6)</f>
        <v>AB</v>
      </c>
      <c r="C19" s="63" t="n">
        <v>9</v>
      </c>
      <c r="D19" s="42" t="n">
        <v>6</v>
      </c>
      <c r="E19" s="42" t="n">
        <f aca="false">Progress_Matrix!H25</f>
        <v>6</v>
      </c>
      <c r="F19" s="42" t="n">
        <f aca="false">Progress_Matrix!I25</f>
        <v>5</v>
      </c>
      <c r="G19" s="42" t="n">
        <f aca="false">Progress_Matrix!J25</f>
        <v>4</v>
      </c>
      <c r="H19" s="42" t="n">
        <f aca="false">IF(E19=0,"",IF(E19-$D19&lt;0,($D19-E19)*$C$9,(E19-$D19)*$C$10))</f>
        <v>0</v>
      </c>
      <c r="I19" s="42" t="n">
        <f aca="false">IF(F19=0,"",IF(F19-$D19&lt;0,($D19-F19)*$C$9,(F19-$D19)*$C$10))</f>
        <v>3</v>
      </c>
      <c r="J19" s="42" t="n">
        <f aca="false">IF(G19=0,"",IF(G19-$D19&lt;0,($D19-G19)*$C$9,(G19-$D19)*$C$10))</f>
        <v>6</v>
      </c>
      <c r="K19" s="42" t="n">
        <f aca="false">IF(G19&gt;0,C19,0)</f>
        <v>9</v>
      </c>
      <c r="L19" s="42" t="n">
        <f aca="false">IF(OR(G19=0,I19=""),9999,ROUND(J19-I19,6))</f>
        <v>3</v>
      </c>
      <c r="M19" s="42" t="n">
        <f aca="false">SUMPRODUCT(--($L$14:$L$22&lt;L19))+SUMPRODUCT(--($L$14:L19=L19))</f>
        <v>3</v>
      </c>
      <c r="N19" s="38" t="n">
        <f aca="false">IF(K19=0,0,MAX(0,MIN(K19,$C$33-SUMPRODUCT(($M$14:$M$22&lt;M19)*$K$14:$K$22))))</f>
        <v>0</v>
      </c>
      <c r="O19" s="42" t="n">
        <f aca="false">C19-N19</f>
        <v>9</v>
      </c>
      <c r="P19" s="42" t="n">
        <f aca="false">IF(OR(E19=0,I19=""),9999,ROUND(H19-I19,6))</f>
        <v>-3</v>
      </c>
      <c r="Q19" s="42" t="n">
        <f aca="false">SUMPRODUCT(--($P$14:$P$22&lt;P19))+SUMPRODUCT(--($P$14:P19=P19))</f>
        <v>2</v>
      </c>
      <c r="R19" s="38" t="n">
        <f aca="false">IF(E19=0,0,MAX(0,MIN(O19,$C$34-SUMPRODUCT(($Q$14:$Q$22&lt;Q19)*$O$14:$O$22))))</f>
        <v>9</v>
      </c>
      <c r="S19" s="38" t="n">
        <f aca="false">C19-N19-R19</f>
        <v>0</v>
      </c>
      <c r="T19" s="1"/>
    </row>
    <row r="20" customFormat="false" ht="15" hidden="false" customHeight="false" outlineLevel="0" collapsed="false">
      <c r="A20" s="1"/>
      <c r="B20" s="46" t="str">
        <f aca="false">INDEX(MxStart,1,7)</f>
        <v>AB+</v>
      </c>
      <c r="C20" s="63" t="n">
        <v>5</v>
      </c>
      <c r="D20" s="42" t="n">
        <v>7</v>
      </c>
      <c r="E20" s="42" t="n">
        <f aca="false">Progress_Matrix!H26</f>
        <v>7</v>
      </c>
      <c r="F20" s="42" t="n">
        <f aca="false">Progress_Matrix!I26</f>
        <v>6</v>
      </c>
      <c r="G20" s="42" t="n">
        <f aca="false">Progress_Matrix!J26</f>
        <v>5</v>
      </c>
      <c r="H20" s="42" t="n">
        <f aca="false">IF(E20=0,"",IF(E20-$D20&lt;0,($D20-E20)*$C$9,(E20-$D20)*$C$10))</f>
        <v>0</v>
      </c>
      <c r="I20" s="42" t="n">
        <f aca="false">IF(F20=0,"",IF(F20-$D20&lt;0,($D20-F20)*$C$9,(F20-$D20)*$C$10))</f>
        <v>3</v>
      </c>
      <c r="J20" s="42" t="n">
        <f aca="false">IF(G20=0,"",IF(G20-$D20&lt;0,($D20-G20)*$C$9,(G20-$D20)*$C$10))</f>
        <v>6</v>
      </c>
      <c r="K20" s="42" t="n">
        <f aca="false">IF(G20&gt;0,C20,0)</f>
        <v>5</v>
      </c>
      <c r="L20" s="42" t="n">
        <f aca="false">IF(OR(G20=0,I20=""),9999,ROUND(J20-I20,6))</f>
        <v>3</v>
      </c>
      <c r="M20" s="42" t="n">
        <f aca="false">SUMPRODUCT(--($L$14:$L$22&lt;L20))+SUMPRODUCT(--($L$14:L20=L20))</f>
        <v>4</v>
      </c>
      <c r="N20" s="38" t="n">
        <f aca="false">IF(K20=0,0,MAX(0,MIN(K20,$C$33-SUMPRODUCT(($M$14:$M$22&lt;M20)*$K$14:$K$22))))</f>
        <v>0</v>
      </c>
      <c r="O20" s="42" t="n">
        <f aca="false">C20-N20</f>
        <v>5</v>
      </c>
      <c r="P20" s="42" t="n">
        <f aca="false">IF(OR(E20=0,I20=""),9999,ROUND(H20-I20,6))</f>
        <v>-3</v>
      </c>
      <c r="Q20" s="42" t="n">
        <f aca="false">SUMPRODUCT(--($P$14:$P$22&lt;P20))+SUMPRODUCT(--($P$14:P20=P20))</f>
        <v>3</v>
      </c>
      <c r="R20" s="38" t="n">
        <f aca="false">IF(E20=0,0,MAX(0,MIN(O20,$C$34-SUMPRODUCT(($Q$14:$Q$22&lt;Q20)*$O$14:$O$22))))</f>
        <v>5</v>
      </c>
      <c r="S20" s="38" t="n">
        <f aca="false">C20-N20-R20</f>
        <v>0</v>
      </c>
      <c r="T20" s="1"/>
    </row>
    <row r="21" customFormat="false" ht="15" hidden="false" customHeight="false" outlineLevel="0" collapsed="false">
      <c r="A21" s="1"/>
      <c r="B21" s="46" t="str">
        <f aca="false">INDEX(MxStart,1,8)</f>
        <v>GD</v>
      </c>
      <c r="C21" s="63" t="n">
        <v>3</v>
      </c>
      <c r="D21" s="42" t="n">
        <v>8</v>
      </c>
      <c r="E21" s="42" t="n">
        <f aca="false">Progress_Matrix!H27</f>
        <v>8</v>
      </c>
      <c r="F21" s="42" t="n">
        <f aca="false">Progress_Matrix!I27</f>
        <v>7</v>
      </c>
      <c r="G21" s="42" t="n">
        <f aca="false">Progress_Matrix!J27</f>
        <v>6</v>
      </c>
      <c r="H21" s="42" t="n">
        <f aca="false">IF(E21=0,"",IF(E21-$D21&lt;0,($D21-E21)*$C$9,(E21-$D21)*$C$10))</f>
        <v>0</v>
      </c>
      <c r="I21" s="42" t="n">
        <f aca="false">IF(F21=0,"",IF(F21-$D21&lt;0,($D21-F21)*$C$9,(F21-$D21)*$C$10))</f>
        <v>3</v>
      </c>
      <c r="J21" s="42" t="n">
        <f aca="false">IF(G21=0,"",IF(G21-$D21&lt;0,($D21-G21)*$C$9,(G21-$D21)*$C$10))</f>
        <v>6</v>
      </c>
      <c r="K21" s="42" t="n">
        <f aca="false">IF(G21&gt;0,C21,0)</f>
        <v>3</v>
      </c>
      <c r="L21" s="42" t="n">
        <f aca="false">IF(OR(G21=0,I21=""),9999,ROUND(J21-I21,6))</f>
        <v>3</v>
      </c>
      <c r="M21" s="42" t="n">
        <f aca="false">SUMPRODUCT(--($L$14:$L$22&lt;L21))+SUMPRODUCT(--($L$14:L21=L21))</f>
        <v>5</v>
      </c>
      <c r="N21" s="38" t="n">
        <f aca="false">IF(K21=0,0,MAX(0,MIN(K21,$C$33-SUMPRODUCT(($M$14:$M$22&lt;M21)*$K$14:$K$22))))</f>
        <v>0</v>
      </c>
      <c r="O21" s="42" t="n">
        <f aca="false">C21-N21</f>
        <v>3</v>
      </c>
      <c r="P21" s="42" t="n">
        <f aca="false">IF(OR(E21=0,I21=""),9999,ROUND(H21-I21,6))</f>
        <v>-3</v>
      </c>
      <c r="Q21" s="42" t="n">
        <f aca="false">SUMPRODUCT(--($P$14:$P$22&lt;P21))+SUMPRODUCT(--($P$14:P21=P21))</f>
        <v>4</v>
      </c>
      <c r="R21" s="38" t="n">
        <f aca="false">IF(E21=0,0,MAX(0,MIN(O21,$C$34-SUMPRODUCT(($Q$14:$Q$22&lt;Q21)*$O$14:$O$22))))</f>
        <v>1</v>
      </c>
      <c r="S21" s="38" t="n">
        <f aca="false">C21-N21-R21</f>
        <v>2</v>
      </c>
      <c r="T21" s="1"/>
    </row>
    <row r="22" customFormat="false" ht="15" hidden="false" customHeight="false" outlineLevel="0" collapsed="false">
      <c r="A22" s="1"/>
      <c r="B22" s="46" t="str">
        <f aca="false">INDEX(MxStart,1,9)</f>
        <v>GD+</v>
      </c>
      <c r="C22" s="63" t="n">
        <v>1</v>
      </c>
      <c r="D22" s="42" t="n">
        <v>9</v>
      </c>
      <c r="E22" s="42" t="n">
        <f aca="false">Progress_Matrix!H28</f>
        <v>9</v>
      </c>
      <c r="F22" s="42" t="n">
        <f aca="false">Progress_Matrix!I28</f>
        <v>7</v>
      </c>
      <c r="G22" s="42" t="n">
        <f aca="false">Progress_Matrix!J28</f>
        <v>6</v>
      </c>
      <c r="H22" s="42" t="n">
        <f aca="false">IF(E22=0,"",IF(E22-$D22&lt;0,($D22-E22)*$C$9,(E22-$D22)*$C$10))</f>
        <v>0</v>
      </c>
      <c r="I22" s="42" t="n">
        <f aca="false">IF(F22=0,"",IF(F22-$D22&lt;0,($D22-F22)*$C$9,(F22-$D22)*$C$10))</f>
        <v>6</v>
      </c>
      <c r="J22" s="42" t="n">
        <f aca="false">IF(G22=0,"",IF(G22-$D22&lt;0,($D22-G22)*$C$9,(G22-$D22)*$C$10))</f>
        <v>9</v>
      </c>
      <c r="K22" s="42" t="n">
        <f aca="false">IF(G22&gt;0,C22,0)</f>
        <v>1</v>
      </c>
      <c r="L22" s="42" t="n">
        <f aca="false">IF(OR(G22=0,I22=""),9999,ROUND(J22-I22,6))</f>
        <v>3</v>
      </c>
      <c r="M22" s="42" t="n">
        <f aca="false">SUMPRODUCT(--($L$14:$L$22&lt;L22))+SUMPRODUCT(--($L$14:L22=L22))</f>
        <v>6</v>
      </c>
      <c r="N22" s="38" t="n">
        <f aca="false">IF(K22=0,0,MAX(0,MIN(K22,$C$33-SUMPRODUCT(($M$14:$M$22&lt;M22)*$K$14:$K$22))))</f>
        <v>0</v>
      </c>
      <c r="O22" s="42" t="n">
        <f aca="false">C22-N22</f>
        <v>1</v>
      </c>
      <c r="P22" s="42" t="n">
        <f aca="false">IF(OR(E22=0,I22=""),9999,ROUND(H22-I22,6))</f>
        <v>-6</v>
      </c>
      <c r="Q22" s="42" t="n">
        <f aca="false">SUMPRODUCT(--($P$14:$P$22&lt;P22))+SUMPRODUCT(--($P$14:P22=P22))</f>
        <v>1</v>
      </c>
      <c r="R22" s="38" t="n">
        <f aca="false">IF(E22=0,0,MAX(0,MIN(O22,$C$34-SUMPRODUCT(($Q$14:$Q$22&lt;Q22)*$O$14:$O$22))))</f>
        <v>1</v>
      </c>
      <c r="S22" s="38" t="n">
        <f aca="false">C22-N22-R22</f>
        <v>0</v>
      </c>
      <c r="T22" s="1"/>
    </row>
    <row r="23" customFormat="false" ht="15" hidden="false" customHeight="false" outlineLevel="0" collapsed="false">
      <c r="A23" s="1"/>
      <c r="B23" s="43" t="s">
        <v>189</v>
      </c>
      <c r="C23" s="43" t="n">
        <f aca="false">SUM(C14:C22)</f>
        <v>40</v>
      </c>
      <c r="D23" s="1"/>
      <c r="E23" s="1"/>
      <c r="F23" s="1"/>
      <c r="G23" s="1"/>
      <c r="H23" s="1"/>
      <c r="I23" s="1"/>
      <c r="J23" s="1"/>
      <c r="K23" s="43" t="n">
        <f aca="false">SUM(K14:K22)</f>
        <v>37</v>
      </c>
      <c r="L23" s="1"/>
      <c r="M23" s="1"/>
      <c r="N23" s="43" t="n">
        <f aca="false">SUM(N14:N22)</f>
        <v>6</v>
      </c>
      <c r="O23" s="43" t="n">
        <f aca="false">SUM(O14:O22)</f>
        <v>34</v>
      </c>
      <c r="P23" s="1"/>
      <c r="Q23" s="1"/>
      <c r="R23" s="43" t="n">
        <f aca="false">SUM(R14:R22)</f>
        <v>16</v>
      </c>
      <c r="S23" s="43" t="n">
        <f aca="false">SUM(S14:S22)</f>
        <v>18</v>
      </c>
      <c r="T23" s="1"/>
    </row>
    <row r="24" customFormat="false" ht="15" hidden="false" customHeight="true" outlineLevel="0" collapsed="false">
      <c r="A24" s="1"/>
      <c r="B24" s="14" t="s">
        <v>319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"/>
      <c r="N24" s="1"/>
      <c r="O24" s="1"/>
      <c r="P24" s="1"/>
      <c r="Q24" s="1"/>
      <c r="R24" s="1"/>
      <c r="S24" s="1"/>
      <c r="T24" s="1"/>
    </row>
    <row r="25" customFormat="false" ht="21.75" hidden="false" customHeight="true" outlineLevel="0" collapsed="false">
      <c r="A25" s="1"/>
      <c r="B25" s="4" t="s">
        <v>320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1"/>
    </row>
    <row r="26" customFormat="false" ht="15" hidden="false" customHeight="false" outlineLevel="0" collapsed="false">
      <c r="A26" s="1"/>
      <c r="B26" s="65" t="s">
        <v>321</v>
      </c>
      <c r="C26" s="42" t="n">
        <f aca="false">SUM(C14:C22)</f>
        <v>40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customFormat="false" ht="15" hidden="false" customHeight="false" outlineLevel="0" collapsed="false">
      <c r="A27" s="1"/>
      <c r="B27" s="65" t="s">
        <v>263</v>
      </c>
      <c r="C27" s="69" t="str">
        <f aca="false">IF(NOT(AND(ISNUMBER(C6),ISNUMBER(C7))),"أدخل نسبتي الهدف",IF(OR(C6&lt;0,C6&gt;1,C7&lt;0,C7&gt;1),"النسب بين 0% و100%",IF(C6&gt;C7,"غير ممكن: Better لا يمكن أن يتجاوز Expected &amp; Better",IF(C26&lt;1,"أدخل أعداد الطلاب عند علامات البداية",IF(SUMPRODUCT((C14:C22&lt;0)+(C14:C22&lt;&gt;INT(C14:C22)))&gt;0,"الأعداد يجب أن تكون صحيحة غير سالبة","صالح ✔")))))</f>
        <v>صالح ✔</v>
      </c>
      <c r="D27" s="69"/>
      <c r="E27" s="69"/>
      <c r="F27" s="69"/>
      <c r="G27" s="69"/>
      <c r="H27" s="69"/>
      <c r="I27" s="69"/>
      <c r="J27" s="69"/>
      <c r="K27" s="69"/>
      <c r="L27" s="69"/>
      <c r="M27" s="1"/>
      <c r="N27" s="1"/>
      <c r="O27" s="1"/>
      <c r="P27" s="1"/>
      <c r="Q27" s="1"/>
      <c r="R27" s="1"/>
      <c r="S27" s="1"/>
      <c r="T27" s="1"/>
    </row>
    <row r="28" customFormat="false" ht="15" hidden="false" customHeight="false" outlineLevel="0" collapsed="false">
      <c r="A28" s="1"/>
      <c r="B28" s="65" t="s">
        <v>264</v>
      </c>
      <c r="C28" s="79" t="n">
        <f aca="false">IF(C27="صالح ✔",1,0)</f>
        <v>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customFormat="false" ht="15" hidden="false" customHeight="false" outlineLevel="0" collapsed="false">
      <c r="A29" s="1"/>
      <c r="B29" s="65" t="s">
        <v>322</v>
      </c>
      <c r="C29" s="42" t="n">
        <f aca="false">IF(C28=1,IF(C8="أقرب نسبة ممكنة",ROUND(ROUND(C26*C6,9),0),ROUNDUP(ROUND(C26*C6,9),0)),0)</f>
        <v>16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customFormat="false" ht="15" hidden="false" customHeight="false" outlineLevel="0" collapsed="false">
      <c r="A30" s="1"/>
      <c r="B30" s="65" t="s">
        <v>323</v>
      </c>
      <c r="C30" s="42" t="n">
        <f aca="false">IF(C28=1,IF(C8="أقرب نسبة ممكنة",ROUND(ROUND(C26*C7,9),0),ROUNDUP(ROUND(C26*C7,9),0)),0)</f>
        <v>34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A31" s="1"/>
      <c r="B31" s="65" t="s">
        <v>324</v>
      </c>
      <c r="C31" s="42" t="n">
        <f aca="false">SUMPRODUCT(($G$14:$G$22&gt;0)*$C$14:$C$22)</f>
        <v>37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A32" s="1"/>
      <c r="B32" s="65" t="s">
        <v>325</v>
      </c>
      <c r="C32" s="42" t="n">
        <f aca="false">IF(C28=1,MAX(C30,C29,C26-C31),0)</f>
        <v>34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A33" s="1"/>
      <c r="B33" s="65" t="s">
        <v>326</v>
      </c>
      <c r="C33" s="42" t="n">
        <f aca="false">IF(C28=1,C26-C32,0)</f>
        <v>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customFormat="false" ht="15" hidden="false" customHeight="false" outlineLevel="0" collapsed="false">
      <c r="A34" s="1"/>
      <c r="B34" s="65" t="s">
        <v>327</v>
      </c>
      <c r="C34" s="42" t="n">
        <f aca="false">IF(C28=1,MIN(C29,C32),0)</f>
        <v>16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customFormat="false" ht="15" hidden="false" customHeight="false" outlineLevel="0" collapsed="false">
      <c r="A35" s="1"/>
      <c r="B35" s="65" t="s">
        <v>328</v>
      </c>
      <c r="C35" s="42" t="n">
        <f aca="false">C32-C34</f>
        <v>18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customFormat="false" ht="15" hidden="false" customHeight="false" outlineLevel="0" collapsed="false">
      <c r="A36" s="1"/>
      <c r="B36" s="65" t="s">
        <v>329</v>
      </c>
      <c r="C36" s="80" t="str">
        <f aca="false">IF(C28&lt;&gt;1,C27,IF(C32&gt;MAX(C30,C29),"⚠ الهدف غير ممكن: لا توجد في المصفوفة خانة Less لمن يبدأ عند B أو B+ (عددهم "&amp;(C26-C31)&amp;" طالباً)، فأقل Expected &amp; Better ممكن = "&amp;TEXT(C32/C26,"0.0%")&amp;" بدل "&amp;TEXT(C7,"0.0%")&amp;". النتائج أدناه هي أقرب بديل ممكن.","ممكن ✔ — الهدف قابل للتحقيق بهذه الأعداد"))</f>
        <v>ممكن ✔ — الهدف قابل للتحقيق بهذه الأعداد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21.75" hidden="false" customHeight="true" outlineLevel="0" collapsed="false">
      <c r="A38" s="1"/>
      <c r="B38" s="4" t="s">
        <v>330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1"/>
    </row>
    <row r="39" customFormat="false" ht="31.5" hidden="false" customHeight="true" outlineLevel="0" collapsed="false">
      <c r="A39" s="1"/>
      <c r="B39" s="37" t="s">
        <v>301</v>
      </c>
      <c r="C39" s="37" t="s">
        <v>331</v>
      </c>
      <c r="D39" s="37" t="s">
        <v>332</v>
      </c>
      <c r="E39" s="37" t="s">
        <v>333</v>
      </c>
      <c r="F39" s="37" t="s">
        <v>334</v>
      </c>
      <c r="G39" s="37" t="s">
        <v>335</v>
      </c>
      <c r="H39" s="37" t="s">
        <v>336</v>
      </c>
      <c r="I39" s="37" t="s">
        <v>337</v>
      </c>
      <c r="J39" s="37" t="s">
        <v>338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customFormat="false" ht="15" hidden="false" customHeight="false" outlineLevel="0" collapsed="false">
      <c r="A40" s="1"/>
      <c r="B40" s="46" t="str">
        <f aca="false">B14</f>
        <v>B</v>
      </c>
      <c r="C40" s="42" t="s">
        <v>131</v>
      </c>
      <c r="D40" s="42" t="n">
        <f aca="false">E14</f>
        <v>2</v>
      </c>
      <c r="E40" s="46" t="str">
        <f aca="false">IF(D40=0,"—",INDEX(MxCurr,D40))</f>
        <v>B+</v>
      </c>
      <c r="F40" s="81" t="n">
        <f aca="false">R14</f>
        <v>0</v>
      </c>
      <c r="G40" s="82" t="n">
        <f aca="false">IF(D40=0,"",D40-1)</f>
        <v>1</v>
      </c>
      <c r="H40" s="42" t="str">
        <f aca="false">IF(D40=0,"—",INDEX(MxBody,D40,1))</f>
        <v>Better</v>
      </c>
      <c r="I40" s="42" t="str">
        <f aca="false">IF(D40=0,IF(F40=0,"OK","✖ لا خانة"),IF(H40=C40,"OK","✖ لا يطابق"))</f>
        <v>OK</v>
      </c>
      <c r="J40" s="83" t="str">
        <f aca="false">IF(AND(F40&gt;0,ISNUMBER(G40)),IF(G40&lt;0,"انخفاض ↓",""),"")</f>
        <v/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customFormat="false" ht="15" hidden="false" customHeight="false" outlineLevel="0" collapsed="false">
      <c r="A41" s="1"/>
      <c r="B41" s="46" t="str">
        <f aca="false">B14</f>
        <v>B</v>
      </c>
      <c r="C41" s="42" t="s">
        <v>121</v>
      </c>
      <c r="D41" s="42" t="n">
        <f aca="false">F14</f>
        <v>1</v>
      </c>
      <c r="E41" s="46" t="str">
        <f aca="false">IF(D41=0,"—",INDEX(MxCurr,D41))</f>
        <v>B</v>
      </c>
      <c r="F41" s="81" t="n">
        <f aca="false">S14</f>
        <v>1</v>
      </c>
      <c r="G41" s="82" t="n">
        <f aca="false">IF(D41=0,"",D41-1)</f>
        <v>0</v>
      </c>
      <c r="H41" s="42" t="str">
        <f aca="false">IF(D41=0,"—",INDEX(MxBody,D41,1))</f>
        <v>Expected</v>
      </c>
      <c r="I41" s="42" t="str">
        <f aca="false">IF(D41=0,IF(F41=0,"OK","✖ لا خانة"),IF(H41=C41,"OK","✖ لا يطابق"))</f>
        <v>OK</v>
      </c>
      <c r="J41" s="83" t="str">
        <f aca="false">IF(AND(F41&gt;0,ISNUMBER(G41)),IF(G41&lt;0,"انخفاض ↓",""),"")</f>
        <v/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A42" s="1"/>
      <c r="B42" s="46" t="str">
        <f aca="false">B14</f>
        <v>B</v>
      </c>
      <c r="C42" s="42" t="s">
        <v>129</v>
      </c>
      <c r="D42" s="42" t="n">
        <f aca="false">G14</f>
        <v>0</v>
      </c>
      <c r="E42" s="46" t="str">
        <f aca="false">IF(D42=0,"—",INDEX(MxCurr,D42))</f>
        <v>—</v>
      </c>
      <c r="F42" s="81" t="n">
        <f aca="false">N14</f>
        <v>0</v>
      </c>
      <c r="G42" s="82" t="str">
        <f aca="false">IF(D42=0,"",D42-1)</f>
        <v/>
      </c>
      <c r="H42" s="42" t="str">
        <f aca="false">IF(D42=0,"—",INDEX(MxBody,D42,1))</f>
        <v>—</v>
      </c>
      <c r="I42" s="42" t="str">
        <f aca="false">IF(D42=0,IF(F42=0,"OK","✖ لا خانة"),IF(H42=C42,"OK","✖ لا يطابق"))</f>
        <v>OK</v>
      </c>
      <c r="J42" s="83" t="str">
        <f aca="false">IF(AND(F42&gt;0,ISNUMBER(G42)),IF(G42&lt;0,"انخفاض ↓",""),"")</f>
        <v/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A43" s="1"/>
      <c r="B43" s="46" t="str">
        <f aca="false">B15</f>
        <v>B+</v>
      </c>
      <c r="C43" s="42" t="s">
        <v>131</v>
      </c>
      <c r="D43" s="42" t="n">
        <f aca="false">E15</f>
        <v>3</v>
      </c>
      <c r="E43" s="46" t="str">
        <f aca="false">IF(D43=0,"—",INDEX(MxCurr,D43))</f>
        <v>T</v>
      </c>
      <c r="F43" s="81" t="n">
        <f aca="false">R15</f>
        <v>0</v>
      </c>
      <c r="G43" s="82" t="n">
        <f aca="false">IF(D43=0,"",D43-2)</f>
        <v>1</v>
      </c>
      <c r="H43" s="42" t="str">
        <f aca="false">IF(D43=0,"—",INDEX(MxBody,D43,2))</f>
        <v>Better</v>
      </c>
      <c r="I43" s="42" t="str">
        <f aca="false">IF(D43=0,IF(F43=0,"OK","✖ لا خانة"),IF(H43=C43,"OK","✖ لا يطابق"))</f>
        <v>OK</v>
      </c>
      <c r="J43" s="83" t="str">
        <f aca="false">IF(AND(F43&gt;0,ISNUMBER(G43)),IF(G43&lt;0,"انخفاض ↓",""),"")</f>
        <v/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A44" s="1"/>
      <c r="B44" s="46" t="str">
        <f aca="false">B15</f>
        <v>B+</v>
      </c>
      <c r="C44" s="42" t="s">
        <v>121</v>
      </c>
      <c r="D44" s="42" t="n">
        <f aca="false">F15</f>
        <v>2</v>
      </c>
      <c r="E44" s="46" t="str">
        <f aca="false">IF(D44=0,"—",INDEX(MxCurr,D44))</f>
        <v>B+</v>
      </c>
      <c r="F44" s="81" t="n">
        <f aca="false">S15</f>
        <v>2</v>
      </c>
      <c r="G44" s="82" t="n">
        <f aca="false">IF(D44=0,"",D44-2)</f>
        <v>0</v>
      </c>
      <c r="H44" s="42" t="str">
        <f aca="false">IF(D44=0,"—",INDEX(MxBody,D44,2))</f>
        <v>Expected</v>
      </c>
      <c r="I44" s="42" t="str">
        <f aca="false">IF(D44=0,IF(F44=0,"OK","✖ لا خانة"),IF(H44=C44,"OK","✖ لا يطابق"))</f>
        <v>OK</v>
      </c>
      <c r="J44" s="83" t="str">
        <f aca="false">IF(AND(F44&gt;0,ISNUMBER(G44)),IF(G44&lt;0,"انخفاض ↓",""),"")</f>
        <v/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customFormat="false" ht="15" hidden="false" customHeight="false" outlineLevel="0" collapsed="false">
      <c r="A45" s="1"/>
      <c r="B45" s="46" t="str">
        <f aca="false">B15</f>
        <v>B+</v>
      </c>
      <c r="C45" s="42" t="s">
        <v>129</v>
      </c>
      <c r="D45" s="42" t="n">
        <f aca="false">G15</f>
        <v>0</v>
      </c>
      <c r="E45" s="46" t="str">
        <f aca="false">IF(D45=0,"—",INDEX(MxCurr,D45))</f>
        <v>—</v>
      </c>
      <c r="F45" s="81" t="n">
        <f aca="false">N15</f>
        <v>0</v>
      </c>
      <c r="G45" s="82" t="str">
        <f aca="false">IF(D45=0,"",D45-2)</f>
        <v/>
      </c>
      <c r="H45" s="42" t="str">
        <f aca="false">IF(D45=0,"—",INDEX(MxBody,D45,2))</f>
        <v>—</v>
      </c>
      <c r="I45" s="42" t="str">
        <f aca="false">IF(D45=0,IF(F45=0,"OK","✖ لا خانة"),IF(H45=C45,"OK","✖ لا يطابق"))</f>
        <v>OK</v>
      </c>
      <c r="J45" s="83" t="str">
        <f aca="false">IF(AND(F45&gt;0,ISNUMBER(G45)),IF(G45&lt;0,"انخفاض ↓",""),"")</f>
        <v/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customFormat="false" ht="15" hidden="false" customHeight="false" outlineLevel="0" collapsed="false">
      <c r="A46" s="1"/>
      <c r="B46" s="46" t="str">
        <f aca="false">B16</f>
        <v>T</v>
      </c>
      <c r="C46" s="42" t="s">
        <v>131</v>
      </c>
      <c r="D46" s="42" t="n">
        <f aca="false">E16</f>
        <v>4</v>
      </c>
      <c r="E46" s="46" t="str">
        <f aca="false">IF(D46=0,"—",INDEX(MxCurr,D46))</f>
        <v>AT</v>
      </c>
      <c r="F46" s="81" t="n">
        <f aca="false">R16</f>
        <v>0</v>
      </c>
      <c r="G46" s="82" t="n">
        <f aca="false">IF(D46=0,"",D46-3)</f>
        <v>1</v>
      </c>
      <c r="H46" s="42" t="str">
        <f aca="false">IF(D46=0,"—",INDEX(MxBody,D46,3))</f>
        <v>Better</v>
      </c>
      <c r="I46" s="42" t="str">
        <f aca="false">IF(D46=0,IF(F46=0,"OK","✖ لا خانة"),IF(H46=C46,"OK","✖ لا يطابق"))</f>
        <v>OK</v>
      </c>
      <c r="J46" s="83" t="str">
        <f aca="false">IF(AND(F46&gt;0,ISNUMBER(G46)),IF(G46&lt;0,"انخفاض ↓",""),"")</f>
        <v/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customFormat="false" ht="15" hidden="false" customHeight="false" outlineLevel="0" collapsed="false">
      <c r="A47" s="1"/>
      <c r="B47" s="46" t="str">
        <f aca="false">B16</f>
        <v>T</v>
      </c>
      <c r="C47" s="42" t="s">
        <v>121</v>
      </c>
      <c r="D47" s="42" t="n">
        <f aca="false">F16</f>
        <v>3</v>
      </c>
      <c r="E47" s="46" t="str">
        <f aca="false">IF(D47=0,"—",INDEX(MxCurr,D47))</f>
        <v>T</v>
      </c>
      <c r="F47" s="81" t="n">
        <f aca="false">S16</f>
        <v>0</v>
      </c>
      <c r="G47" s="82" t="n">
        <f aca="false">IF(D47=0,"",D47-3)</f>
        <v>0</v>
      </c>
      <c r="H47" s="42" t="str">
        <f aca="false">IF(D47=0,"—",INDEX(MxBody,D47,3))</f>
        <v>Expected</v>
      </c>
      <c r="I47" s="42" t="str">
        <f aca="false">IF(D47=0,IF(F47=0,"OK","✖ لا خانة"),IF(H47=C47,"OK","✖ لا يطابق"))</f>
        <v>OK</v>
      </c>
      <c r="J47" s="83" t="str">
        <f aca="false">IF(AND(F47&gt;0,ISNUMBER(G47)),IF(G47&lt;0,"انخفاض ↓",""),"")</f>
        <v/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customFormat="false" ht="15" hidden="false" customHeight="false" outlineLevel="0" collapsed="false">
      <c r="A48" s="1"/>
      <c r="B48" s="46" t="str">
        <f aca="false">B16</f>
        <v>T</v>
      </c>
      <c r="C48" s="42" t="s">
        <v>129</v>
      </c>
      <c r="D48" s="42" t="n">
        <f aca="false">G16</f>
        <v>2</v>
      </c>
      <c r="E48" s="46" t="str">
        <f aca="false">IF(D48=0,"—",INDEX(MxCurr,D48))</f>
        <v>B+</v>
      </c>
      <c r="F48" s="81" t="n">
        <f aca="false">N16</f>
        <v>4</v>
      </c>
      <c r="G48" s="82" t="n">
        <f aca="false">IF(D48=0,"",D48-3)</f>
        <v>-1</v>
      </c>
      <c r="H48" s="42" t="str">
        <f aca="false">IF(D48=0,"—",INDEX(MxBody,D48,3))</f>
        <v>Less</v>
      </c>
      <c r="I48" s="42" t="str">
        <f aca="false">IF(D48=0,IF(F48=0,"OK","✖ لا خانة"),IF(H48=C48,"OK","✖ لا يطابق"))</f>
        <v>OK</v>
      </c>
      <c r="J48" s="83" t="str">
        <f aca="false">IF(AND(F48&gt;0,ISNUMBER(G48)),IF(G48&lt;0,"انخفاض ↓",""),"")</f>
        <v>انخفاض ↓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customFormat="false" ht="15" hidden="false" customHeight="false" outlineLevel="0" collapsed="false">
      <c r="A49" s="1"/>
      <c r="B49" s="46" t="str">
        <f aca="false">B17</f>
        <v>AT</v>
      </c>
      <c r="C49" s="42" t="s">
        <v>131</v>
      </c>
      <c r="D49" s="42" t="n">
        <f aca="false">E17</f>
        <v>5</v>
      </c>
      <c r="E49" s="46" t="str">
        <f aca="false">IF(D49=0,"—",INDEX(MxCurr,D49))</f>
        <v>AT+</v>
      </c>
      <c r="F49" s="81" t="n">
        <f aca="false">R17</f>
        <v>0</v>
      </c>
      <c r="G49" s="82" t="n">
        <f aca="false">IF(D49=0,"",D49-4)</f>
        <v>1</v>
      </c>
      <c r="H49" s="42" t="str">
        <f aca="false">IF(D49=0,"—",INDEX(MxBody,D49,4))</f>
        <v>Better</v>
      </c>
      <c r="I49" s="42" t="str">
        <f aca="false">IF(D49=0,IF(F49=0,"OK","✖ لا خانة"),IF(H49=C49,"OK","✖ لا يطابق"))</f>
        <v>OK</v>
      </c>
      <c r="J49" s="83" t="str">
        <f aca="false">IF(AND(F49&gt;0,ISNUMBER(G49)),IF(G49&lt;0,"انخفاض ↓",""),"")</f>
        <v/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customFormat="false" ht="15" hidden="false" customHeight="false" outlineLevel="0" collapsed="false">
      <c r="A50" s="1"/>
      <c r="B50" s="46" t="str">
        <f aca="false">B17</f>
        <v>AT</v>
      </c>
      <c r="C50" s="42" t="s">
        <v>121</v>
      </c>
      <c r="D50" s="42" t="n">
        <f aca="false">F17</f>
        <v>4</v>
      </c>
      <c r="E50" s="46" t="str">
        <f aca="false">IF(D50=0,"—",INDEX(MxCurr,D50))</f>
        <v>AT</v>
      </c>
      <c r="F50" s="81" t="n">
        <f aca="false">S17</f>
        <v>6</v>
      </c>
      <c r="G50" s="82" t="n">
        <f aca="false">IF(D50=0,"",D50-4)</f>
        <v>0</v>
      </c>
      <c r="H50" s="42" t="str">
        <f aca="false">IF(D50=0,"—",INDEX(MxBody,D50,4))</f>
        <v>Expected</v>
      </c>
      <c r="I50" s="42" t="str">
        <f aca="false">IF(D50=0,IF(F50=0,"OK","✖ لا خانة"),IF(H50=C50,"OK","✖ لا يطابق"))</f>
        <v>OK</v>
      </c>
      <c r="J50" s="83" t="str">
        <f aca="false">IF(AND(F50&gt;0,ISNUMBER(G50)),IF(G50&lt;0,"انخفاض ↓",""),"")</f>
        <v/>
      </c>
      <c r="K50" s="1"/>
      <c r="L50" s="1"/>
      <c r="M50" s="1"/>
      <c r="N50" s="1"/>
      <c r="O50" s="1"/>
      <c r="P50" s="1"/>
      <c r="Q50" s="1"/>
      <c r="R50" s="1"/>
      <c r="S50" s="1"/>
      <c r="T50" s="1"/>
    </row>
    <row r="51" customFormat="false" ht="15" hidden="false" customHeight="false" outlineLevel="0" collapsed="false">
      <c r="A51" s="1"/>
      <c r="B51" s="46" t="str">
        <f aca="false">B17</f>
        <v>AT</v>
      </c>
      <c r="C51" s="42" t="s">
        <v>129</v>
      </c>
      <c r="D51" s="42" t="n">
        <f aca="false">G17</f>
        <v>3</v>
      </c>
      <c r="E51" s="46" t="str">
        <f aca="false">IF(D51=0,"—",INDEX(MxCurr,D51))</f>
        <v>T</v>
      </c>
      <c r="F51" s="81" t="n">
        <f aca="false">N17</f>
        <v>2</v>
      </c>
      <c r="G51" s="82" t="n">
        <f aca="false">IF(D51=0,"",D51-4)</f>
        <v>-1</v>
      </c>
      <c r="H51" s="42" t="str">
        <f aca="false">IF(D51=0,"—",INDEX(MxBody,D51,4))</f>
        <v>Less</v>
      </c>
      <c r="I51" s="42" t="str">
        <f aca="false">IF(D51=0,IF(F51=0,"OK","✖ لا خانة"),IF(H51=C51,"OK","✖ لا يطابق"))</f>
        <v>OK</v>
      </c>
      <c r="J51" s="83" t="str">
        <f aca="false">IF(AND(F51&gt;0,ISNUMBER(G51)),IF(G51&lt;0,"انخفاض ↓",""),"")</f>
        <v>انخفاض ↓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customFormat="false" ht="15" hidden="false" customHeight="false" outlineLevel="0" collapsed="false">
      <c r="A52" s="1"/>
      <c r="B52" s="46" t="str">
        <f aca="false">B18</f>
        <v>AT+</v>
      </c>
      <c r="C52" s="42" t="s">
        <v>131</v>
      </c>
      <c r="D52" s="42" t="n">
        <f aca="false">E18</f>
        <v>6</v>
      </c>
      <c r="E52" s="46" t="str">
        <f aca="false">IF(D52=0,"—",INDEX(MxCurr,D52))</f>
        <v>AB</v>
      </c>
      <c r="F52" s="81" t="n">
        <f aca="false">R18</f>
        <v>0</v>
      </c>
      <c r="G52" s="82" t="n">
        <f aca="false">IF(D52=0,"",D52-5)</f>
        <v>1</v>
      </c>
      <c r="H52" s="42" t="str">
        <f aca="false">IF(D52=0,"—",INDEX(MxBody,D52,5))</f>
        <v>Better</v>
      </c>
      <c r="I52" s="42" t="str">
        <f aca="false">IF(D52=0,IF(F52=0,"OK","✖ لا خانة"),IF(H52=C52,"OK","✖ لا يطابق"))</f>
        <v>OK</v>
      </c>
      <c r="J52" s="83" t="str">
        <f aca="false">IF(AND(F52&gt;0,ISNUMBER(G52)),IF(G52&lt;0,"انخفاض ↓",""),"")</f>
        <v/>
      </c>
      <c r="K52" s="1"/>
      <c r="L52" s="1"/>
      <c r="M52" s="1"/>
      <c r="N52" s="1"/>
      <c r="O52" s="1"/>
      <c r="P52" s="1"/>
      <c r="Q52" s="1"/>
      <c r="R52" s="1"/>
      <c r="S52" s="1"/>
      <c r="T52" s="1"/>
    </row>
    <row r="53" customFormat="false" ht="15" hidden="false" customHeight="false" outlineLevel="0" collapsed="false">
      <c r="A53" s="1"/>
      <c r="B53" s="46" t="str">
        <f aca="false">B18</f>
        <v>AT+</v>
      </c>
      <c r="C53" s="42" t="s">
        <v>121</v>
      </c>
      <c r="D53" s="42" t="n">
        <f aca="false">F18</f>
        <v>5</v>
      </c>
      <c r="E53" s="46" t="str">
        <f aca="false">IF(D53=0,"—",INDEX(MxCurr,D53))</f>
        <v>AT+</v>
      </c>
      <c r="F53" s="81" t="n">
        <f aca="false">S18</f>
        <v>7</v>
      </c>
      <c r="G53" s="82" t="n">
        <f aca="false">IF(D53=0,"",D53-5)</f>
        <v>0</v>
      </c>
      <c r="H53" s="42" t="str">
        <f aca="false">IF(D53=0,"—",INDEX(MxBody,D53,5))</f>
        <v>Expected</v>
      </c>
      <c r="I53" s="42" t="str">
        <f aca="false">IF(D53=0,IF(F53=0,"OK","✖ لا خانة"),IF(H53=C53,"OK","✖ لا يطابق"))</f>
        <v>OK</v>
      </c>
      <c r="J53" s="83" t="str">
        <f aca="false">IF(AND(F53&gt;0,ISNUMBER(G53)),IF(G53&lt;0,"انخفاض ↓",""),"")</f>
        <v/>
      </c>
      <c r="K53" s="1"/>
      <c r="L53" s="1"/>
      <c r="M53" s="1"/>
      <c r="N53" s="1"/>
      <c r="O53" s="1"/>
      <c r="P53" s="1"/>
      <c r="Q53" s="1"/>
      <c r="R53" s="1"/>
      <c r="S53" s="1"/>
      <c r="T53" s="1"/>
    </row>
    <row r="54" customFormat="false" ht="15" hidden="false" customHeight="false" outlineLevel="0" collapsed="false">
      <c r="A54" s="1"/>
      <c r="B54" s="46" t="str">
        <f aca="false">B18</f>
        <v>AT+</v>
      </c>
      <c r="C54" s="42" t="s">
        <v>129</v>
      </c>
      <c r="D54" s="42" t="n">
        <f aca="false">G18</f>
        <v>3</v>
      </c>
      <c r="E54" s="46" t="str">
        <f aca="false">IF(D54=0,"—",INDEX(MxCurr,D54))</f>
        <v>T</v>
      </c>
      <c r="F54" s="81" t="n">
        <f aca="false">N18</f>
        <v>0</v>
      </c>
      <c r="G54" s="82" t="n">
        <f aca="false">IF(D54=0,"",D54-5)</f>
        <v>-2</v>
      </c>
      <c r="H54" s="42" t="str">
        <f aca="false">IF(D54=0,"—",INDEX(MxBody,D54,5))</f>
        <v>Less</v>
      </c>
      <c r="I54" s="42" t="str">
        <f aca="false">IF(D54=0,IF(F54=0,"OK","✖ لا خانة"),IF(H54=C54,"OK","✖ لا يطابق"))</f>
        <v>OK</v>
      </c>
      <c r="J54" s="83" t="str">
        <f aca="false">IF(AND(F54&gt;0,ISNUMBER(G54)),IF(G54&lt;0,"انخفاض ↓",""),"")</f>
        <v/>
      </c>
      <c r="K54" s="1"/>
      <c r="L54" s="1"/>
      <c r="M54" s="1"/>
      <c r="N54" s="1"/>
      <c r="O54" s="1"/>
      <c r="P54" s="1"/>
      <c r="Q54" s="1"/>
      <c r="R54" s="1"/>
      <c r="S54" s="1"/>
      <c r="T54" s="1"/>
    </row>
    <row r="55" customFormat="false" ht="15" hidden="false" customHeight="false" outlineLevel="0" collapsed="false">
      <c r="A55" s="1"/>
      <c r="B55" s="46" t="str">
        <f aca="false">B19</f>
        <v>AB</v>
      </c>
      <c r="C55" s="42" t="s">
        <v>131</v>
      </c>
      <c r="D55" s="42" t="n">
        <f aca="false">E19</f>
        <v>6</v>
      </c>
      <c r="E55" s="46" t="str">
        <f aca="false">IF(D55=0,"—",INDEX(MxCurr,D55))</f>
        <v>AB</v>
      </c>
      <c r="F55" s="81" t="n">
        <f aca="false">R19</f>
        <v>9</v>
      </c>
      <c r="G55" s="82" t="n">
        <f aca="false">IF(D55=0,"",D55-6)</f>
        <v>0</v>
      </c>
      <c r="H55" s="42" t="str">
        <f aca="false">IF(D55=0,"—",INDEX(MxBody,D55,6))</f>
        <v>Better</v>
      </c>
      <c r="I55" s="42" t="str">
        <f aca="false">IF(D55=0,IF(F55=0,"OK","✖ لا خانة"),IF(H55=C55,"OK","✖ لا يطابق"))</f>
        <v>OK</v>
      </c>
      <c r="J55" s="83" t="str">
        <f aca="false">IF(AND(F55&gt;0,ISNUMBER(G55)),IF(G55&lt;0,"انخفاض ↓",""),"")</f>
        <v/>
      </c>
      <c r="K55" s="1"/>
      <c r="L55" s="1"/>
      <c r="M55" s="1"/>
      <c r="N55" s="1"/>
      <c r="O55" s="1"/>
      <c r="P55" s="1"/>
      <c r="Q55" s="1"/>
      <c r="R55" s="1"/>
      <c r="S55" s="1"/>
      <c r="T55" s="1"/>
    </row>
    <row r="56" customFormat="false" ht="15" hidden="false" customHeight="false" outlineLevel="0" collapsed="false">
      <c r="A56" s="1"/>
      <c r="B56" s="46" t="str">
        <f aca="false">B19</f>
        <v>AB</v>
      </c>
      <c r="C56" s="42" t="s">
        <v>121</v>
      </c>
      <c r="D56" s="42" t="n">
        <f aca="false">F19</f>
        <v>5</v>
      </c>
      <c r="E56" s="46" t="str">
        <f aca="false">IF(D56=0,"—",INDEX(MxCurr,D56))</f>
        <v>AT+</v>
      </c>
      <c r="F56" s="81" t="n">
        <f aca="false">S19</f>
        <v>0</v>
      </c>
      <c r="G56" s="82" t="n">
        <f aca="false">IF(D56=0,"",D56-6)</f>
        <v>-1</v>
      </c>
      <c r="H56" s="42" t="str">
        <f aca="false">IF(D56=0,"—",INDEX(MxBody,D56,6))</f>
        <v>Expected</v>
      </c>
      <c r="I56" s="42" t="str">
        <f aca="false">IF(D56=0,IF(F56=0,"OK","✖ لا خانة"),IF(H56=C56,"OK","✖ لا يطابق"))</f>
        <v>OK</v>
      </c>
      <c r="J56" s="83" t="str">
        <f aca="false">IF(AND(F56&gt;0,ISNUMBER(G56)),IF(G56&lt;0,"انخفاض ↓",""),"")</f>
        <v/>
      </c>
      <c r="K56" s="1"/>
      <c r="L56" s="1"/>
      <c r="M56" s="1"/>
      <c r="N56" s="1"/>
      <c r="O56" s="1"/>
      <c r="P56" s="1"/>
      <c r="Q56" s="1"/>
      <c r="R56" s="1"/>
      <c r="S56" s="1"/>
      <c r="T56" s="1"/>
    </row>
    <row r="57" customFormat="false" ht="15" hidden="false" customHeight="false" outlineLevel="0" collapsed="false">
      <c r="A57" s="1"/>
      <c r="B57" s="46" t="str">
        <f aca="false">B19</f>
        <v>AB</v>
      </c>
      <c r="C57" s="42" t="s">
        <v>129</v>
      </c>
      <c r="D57" s="42" t="n">
        <f aca="false">G19</f>
        <v>4</v>
      </c>
      <c r="E57" s="46" t="str">
        <f aca="false">IF(D57=0,"—",INDEX(MxCurr,D57))</f>
        <v>AT</v>
      </c>
      <c r="F57" s="81" t="n">
        <f aca="false">N19</f>
        <v>0</v>
      </c>
      <c r="G57" s="82" t="n">
        <f aca="false">IF(D57=0,"",D57-6)</f>
        <v>-2</v>
      </c>
      <c r="H57" s="42" t="str">
        <f aca="false">IF(D57=0,"—",INDEX(MxBody,D57,6))</f>
        <v>Less</v>
      </c>
      <c r="I57" s="42" t="str">
        <f aca="false">IF(D57=0,IF(F57=0,"OK","✖ لا خانة"),IF(H57=C57,"OK","✖ لا يطابق"))</f>
        <v>OK</v>
      </c>
      <c r="J57" s="83" t="str">
        <f aca="false">IF(AND(F57&gt;0,ISNUMBER(G57)),IF(G57&lt;0,"انخفاض ↓",""),"")</f>
        <v/>
      </c>
      <c r="K57" s="1"/>
      <c r="L57" s="1"/>
      <c r="M57" s="1"/>
      <c r="N57" s="1"/>
      <c r="O57" s="1"/>
      <c r="P57" s="1"/>
      <c r="Q57" s="1"/>
      <c r="R57" s="1"/>
      <c r="S57" s="1"/>
      <c r="T57" s="1"/>
    </row>
    <row r="58" customFormat="false" ht="15" hidden="false" customHeight="false" outlineLevel="0" collapsed="false">
      <c r="A58" s="1"/>
      <c r="B58" s="46" t="str">
        <f aca="false">B20</f>
        <v>AB+</v>
      </c>
      <c r="C58" s="42" t="s">
        <v>131</v>
      </c>
      <c r="D58" s="42" t="n">
        <f aca="false">E20</f>
        <v>7</v>
      </c>
      <c r="E58" s="46" t="str">
        <f aca="false">IF(D58=0,"—",INDEX(MxCurr,D58))</f>
        <v>AB+</v>
      </c>
      <c r="F58" s="81" t="n">
        <f aca="false">R20</f>
        <v>5</v>
      </c>
      <c r="G58" s="82" t="n">
        <f aca="false">IF(D58=0,"",D58-7)</f>
        <v>0</v>
      </c>
      <c r="H58" s="42" t="str">
        <f aca="false">IF(D58=0,"—",INDEX(MxBody,D58,7))</f>
        <v>Better</v>
      </c>
      <c r="I58" s="42" t="str">
        <f aca="false">IF(D58=0,IF(F58=0,"OK","✖ لا خانة"),IF(H58=C58,"OK","✖ لا يطابق"))</f>
        <v>OK</v>
      </c>
      <c r="J58" s="83" t="str">
        <f aca="false">IF(AND(F58&gt;0,ISNUMBER(G58)),IF(G58&lt;0,"انخفاض ↓",""),"")</f>
        <v/>
      </c>
      <c r="K58" s="1"/>
      <c r="L58" s="1"/>
      <c r="M58" s="1"/>
      <c r="N58" s="1"/>
      <c r="O58" s="1"/>
      <c r="P58" s="1"/>
      <c r="Q58" s="1"/>
      <c r="R58" s="1"/>
      <c r="S58" s="1"/>
      <c r="T58" s="1"/>
    </row>
    <row r="59" customFormat="false" ht="15" hidden="false" customHeight="false" outlineLevel="0" collapsed="false">
      <c r="A59" s="1"/>
      <c r="B59" s="46" t="str">
        <f aca="false">B20</f>
        <v>AB+</v>
      </c>
      <c r="C59" s="42" t="s">
        <v>121</v>
      </c>
      <c r="D59" s="42" t="n">
        <f aca="false">F20</f>
        <v>6</v>
      </c>
      <c r="E59" s="46" t="str">
        <f aca="false">IF(D59=0,"—",INDEX(MxCurr,D59))</f>
        <v>AB</v>
      </c>
      <c r="F59" s="81" t="n">
        <f aca="false">S20</f>
        <v>0</v>
      </c>
      <c r="G59" s="82" t="n">
        <f aca="false">IF(D59=0,"",D59-7)</f>
        <v>-1</v>
      </c>
      <c r="H59" s="42" t="str">
        <f aca="false">IF(D59=0,"—",INDEX(MxBody,D59,7))</f>
        <v>Expected</v>
      </c>
      <c r="I59" s="42" t="str">
        <f aca="false">IF(D59=0,IF(F59=0,"OK","✖ لا خانة"),IF(H59=C59,"OK","✖ لا يطابق"))</f>
        <v>OK</v>
      </c>
      <c r="J59" s="83" t="str">
        <f aca="false">IF(AND(F59&gt;0,ISNUMBER(G59)),IF(G59&lt;0,"انخفاض ↓",""),"")</f>
        <v/>
      </c>
      <c r="K59" s="1"/>
      <c r="L59" s="1"/>
      <c r="M59" s="1"/>
      <c r="N59" s="1"/>
      <c r="O59" s="1"/>
      <c r="P59" s="1"/>
      <c r="Q59" s="1"/>
      <c r="R59" s="1"/>
      <c r="S59" s="1"/>
      <c r="T59" s="1"/>
    </row>
    <row r="60" customFormat="false" ht="15" hidden="false" customHeight="false" outlineLevel="0" collapsed="false">
      <c r="A60" s="1"/>
      <c r="B60" s="46" t="str">
        <f aca="false">B20</f>
        <v>AB+</v>
      </c>
      <c r="C60" s="42" t="s">
        <v>129</v>
      </c>
      <c r="D60" s="42" t="n">
        <f aca="false">G20</f>
        <v>5</v>
      </c>
      <c r="E60" s="46" t="str">
        <f aca="false">IF(D60=0,"—",INDEX(MxCurr,D60))</f>
        <v>AT+</v>
      </c>
      <c r="F60" s="81" t="n">
        <f aca="false">N20</f>
        <v>0</v>
      </c>
      <c r="G60" s="82" t="n">
        <f aca="false">IF(D60=0,"",D60-7)</f>
        <v>-2</v>
      </c>
      <c r="H60" s="42" t="str">
        <f aca="false">IF(D60=0,"—",INDEX(MxBody,D60,7))</f>
        <v>Less</v>
      </c>
      <c r="I60" s="42" t="str">
        <f aca="false">IF(D60=0,IF(F60=0,"OK","✖ لا خانة"),IF(H60=C60,"OK","✖ لا يطابق"))</f>
        <v>OK</v>
      </c>
      <c r="J60" s="83" t="str">
        <f aca="false">IF(AND(F60&gt;0,ISNUMBER(G60)),IF(G60&lt;0,"انخفاض ↓",""),"")</f>
        <v/>
      </c>
      <c r="K60" s="1"/>
      <c r="L60" s="1"/>
      <c r="M60" s="1"/>
      <c r="N60" s="1"/>
      <c r="O60" s="1"/>
      <c r="P60" s="1"/>
      <c r="Q60" s="1"/>
      <c r="R60" s="1"/>
      <c r="S60" s="1"/>
      <c r="T60" s="1"/>
    </row>
    <row r="61" customFormat="false" ht="15" hidden="false" customHeight="false" outlineLevel="0" collapsed="false">
      <c r="A61" s="1"/>
      <c r="B61" s="46" t="str">
        <f aca="false">B21</f>
        <v>GD</v>
      </c>
      <c r="C61" s="42" t="s">
        <v>131</v>
      </c>
      <c r="D61" s="42" t="n">
        <f aca="false">E21</f>
        <v>8</v>
      </c>
      <c r="E61" s="46" t="str">
        <f aca="false">IF(D61=0,"—",INDEX(MxCurr,D61))</f>
        <v>GD</v>
      </c>
      <c r="F61" s="81" t="n">
        <f aca="false">R21</f>
        <v>1</v>
      </c>
      <c r="G61" s="82" t="n">
        <f aca="false">IF(D61=0,"",D61-8)</f>
        <v>0</v>
      </c>
      <c r="H61" s="42" t="str">
        <f aca="false">IF(D61=0,"—",INDEX(MxBody,D61,8))</f>
        <v>Better</v>
      </c>
      <c r="I61" s="42" t="str">
        <f aca="false">IF(D61=0,IF(F61=0,"OK","✖ لا خانة"),IF(H61=C61,"OK","✖ لا يطابق"))</f>
        <v>OK</v>
      </c>
      <c r="J61" s="83" t="str">
        <f aca="false">IF(AND(F61&gt;0,ISNUMBER(G61)),IF(G61&lt;0,"انخفاض ↓",""),"")</f>
        <v/>
      </c>
      <c r="K61" s="1"/>
      <c r="L61" s="1"/>
      <c r="M61" s="1"/>
      <c r="N61" s="1"/>
      <c r="O61" s="1"/>
      <c r="P61" s="1"/>
      <c r="Q61" s="1"/>
      <c r="R61" s="1"/>
      <c r="S61" s="1"/>
      <c r="T61" s="1"/>
    </row>
    <row r="62" customFormat="false" ht="15" hidden="false" customHeight="false" outlineLevel="0" collapsed="false">
      <c r="A62" s="1"/>
      <c r="B62" s="46" t="str">
        <f aca="false">B21</f>
        <v>GD</v>
      </c>
      <c r="C62" s="42" t="s">
        <v>121</v>
      </c>
      <c r="D62" s="42" t="n">
        <f aca="false">F21</f>
        <v>7</v>
      </c>
      <c r="E62" s="46" t="str">
        <f aca="false">IF(D62=0,"—",INDEX(MxCurr,D62))</f>
        <v>AB+</v>
      </c>
      <c r="F62" s="81" t="n">
        <f aca="false">S21</f>
        <v>2</v>
      </c>
      <c r="G62" s="82" t="n">
        <f aca="false">IF(D62=0,"",D62-8)</f>
        <v>-1</v>
      </c>
      <c r="H62" s="42" t="str">
        <f aca="false">IF(D62=0,"—",INDEX(MxBody,D62,8))</f>
        <v>Expected</v>
      </c>
      <c r="I62" s="42" t="str">
        <f aca="false">IF(D62=0,IF(F62=0,"OK","✖ لا خانة"),IF(H62=C62,"OK","✖ لا يطابق"))</f>
        <v>OK</v>
      </c>
      <c r="J62" s="83" t="str">
        <f aca="false">IF(AND(F62&gt;0,ISNUMBER(G62)),IF(G62&lt;0,"انخفاض ↓",""),"")</f>
        <v>انخفاض ↓</v>
      </c>
      <c r="K62" s="1"/>
      <c r="L62" s="1"/>
      <c r="M62" s="1"/>
      <c r="N62" s="1"/>
      <c r="O62" s="1"/>
      <c r="P62" s="1"/>
      <c r="Q62" s="1"/>
      <c r="R62" s="1"/>
      <c r="S62" s="1"/>
      <c r="T62" s="1"/>
    </row>
    <row r="63" customFormat="false" ht="15" hidden="false" customHeight="false" outlineLevel="0" collapsed="false">
      <c r="A63" s="1"/>
      <c r="B63" s="46" t="str">
        <f aca="false">B21</f>
        <v>GD</v>
      </c>
      <c r="C63" s="42" t="s">
        <v>129</v>
      </c>
      <c r="D63" s="42" t="n">
        <f aca="false">G21</f>
        <v>6</v>
      </c>
      <c r="E63" s="46" t="str">
        <f aca="false">IF(D63=0,"—",INDEX(MxCurr,D63))</f>
        <v>AB</v>
      </c>
      <c r="F63" s="81" t="n">
        <f aca="false">N21</f>
        <v>0</v>
      </c>
      <c r="G63" s="82" t="n">
        <f aca="false">IF(D63=0,"",D63-8)</f>
        <v>-2</v>
      </c>
      <c r="H63" s="42" t="str">
        <f aca="false">IF(D63=0,"—",INDEX(MxBody,D63,8))</f>
        <v>Less</v>
      </c>
      <c r="I63" s="42" t="str">
        <f aca="false">IF(D63=0,IF(F63=0,"OK","✖ لا خانة"),IF(H63=C63,"OK","✖ لا يطابق"))</f>
        <v>OK</v>
      </c>
      <c r="J63" s="83" t="str">
        <f aca="false">IF(AND(F63&gt;0,ISNUMBER(G63)),IF(G63&lt;0,"انخفاض ↓",""),"")</f>
        <v/>
      </c>
      <c r="K63" s="1"/>
      <c r="L63" s="1"/>
      <c r="M63" s="1"/>
      <c r="N63" s="1"/>
      <c r="O63" s="1"/>
      <c r="P63" s="1"/>
      <c r="Q63" s="1"/>
      <c r="R63" s="1"/>
      <c r="S63" s="1"/>
      <c r="T63" s="1"/>
    </row>
    <row r="64" customFormat="false" ht="15" hidden="false" customHeight="false" outlineLevel="0" collapsed="false">
      <c r="A64" s="1"/>
      <c r="B64" s="46" t="str">
        <f aca="false">B22</f>
        <v>GD+</v>
      </c>
      <c r="C64" s="42" t="s">
        <v>131</v>
      </c>
      <c r="D64" s="42" t="n">
        <f aca="false">E22</f>
        <v>9</v>
      </c>
      <c r="E64" s="46" t="str">
        <f aca="false">IF(D64=0,"—",INDEX(MxCurr,D64))</f>
        <v>GD+</v>
      </c>
      <c r="F64" s="81" t="n">
        <f aca="false">R22</f>
        <v>1</v>
      </c>
      <c r="G64" s="82" t="n">
        <f aca="false">IF(D64=0,"",D64-9)</f>
        <v>0</v>
      </c>
      <c r="H64" s="42" t="str">
        <f aca="false">IF(D64=0,"—",INDEX(MxBody,D64,9))</f>
        <v>Better</v>
      </c>
      <c r="I64" s="42" t="str">
        <f aca="false">IF(D64=0,IF(F64=0,"OK","✖ لا خانة"),IF(H64=C64,"OK","✖ لا يطابق"))</f>
        <v>OK</v>
      </c>
      <c r="J64" s="83" t="str">
        <f aca="false">IF(AND(F64&gt;0,ISNUMBER(G64)),IF(G64&lt;0,"انخفاض ↓",""),"")</f>
        <v/>
      </c>
      <c r="K64" s="1"/>
      <c r="L64" s="1"/>
      <c r="M64" s="1"/>
      <c r="N64" s="1"/>
      <c r="O64" s="1"/>
      <c r="P64" s="1"/>
      <c r="Q64" s="1"/>
      <c r="R64" s="1"/>
      <c r="S64" s="1"/>
      <c r="T64" s="1"/>
    </row>
    <row r="65" customFormat="false" ht="15" hidden="false" customHeight="false" outlineLevel="0" collapsed="false">
      <c r="A65" s="1"/>
      <c r="B65" s="46" t="str">
        <f aca="false">B22</f>
        <v>GD+</v>
      </c>
      <c r="C65" s="42" t="s">
        <v>121</v>
      </c>
      <c r="D65" s="42" t="n">
        <f aca="false">F22</f>
        <v>7</v>
      </c>
      <c r="E65" s="46" t="str">
        <f aca="false">IF(D65=0,"—",INDEX(MxCurr,D65))</f>
        <v>AB+</v>
      </c>
      <c r="F65" s="81" t="n">
        <f aca="false">S22</f>
        <v>0</v>
      </c>
      <c r="G65" s="82" t="n">
        <f aca="false">IF(D65=0,"",D65-9)</f>
        <v>-2</v>
      </c>
      <c r="H65" s="42" t="str">
        <f aca="false">IF(D65=0,"—",INDEX(MxBody,D65,9))</f>
        <v>Expected</v>
      </c>
      <c r="I65" s="42" t="str">
        <f aca="false">IF(D65=0,IF(F65=0,"OK","✖ لا خانة"),IF(H65=C65,"OK","✖ لا يطابق"))</f>
        <v>OK</v>
      </c>
      <c r="J65" s="83" t="str">
        <f aca="false">IF(AND(F65&gt;0,ISNUMBER(G65)),IF(G65&lt;0,"انخفاض ↓",""),"")</f>
        <v/>
      </c>
      <c r="K65" s="1"/>
      <c r="L65" s="1"/>
      <c r="M65" s="1"/>
      <c r="N65" s="1"/>
      <c r="O65" s="1"/>
      <c r="P65" s="1"/>
      <c r="Q65" s="1"/>
      <c r="R65" s="1"/>
      <c r="S65" s="1"/>
      <c r="T65" s="1"/>
    </row>
    <row r="66" customFormat="false" ht="15" hidden="false" customHeight="false" outlineLevel="0" collapsed="false">
      <c r="A66" s="1"/>
      <c r="B66" s="46" t="str">
        <f aca="false">B22</f>
        <v>GD+</v>
      </c>
      <c r="C66" s="42" t="s">
        <v>129</v>
      </c>
      <c r="D66" s="42" t="n">
        <f aca="false">G22</f>
        <v>6</v>
      </c>
      <c r="E66" s="46" t="str">
        <f aca="false">IF(D66=0,"—",INDEX(MxCurr,D66))</f>
        <v>AB</v>
      </c>
      <c r="F66" s="81" t="n">
        <f aca="false">N22</f>
        <v>0</v>
      </c>
      <c r="G66" s="82" t="n">
        <f aca="false">IF(D66=0,"",D66-9)</f>
        <v>-3</v>
      </c>
      <c r="H66" s="42" t="str">
        <f aca="false">IF(D66=0,"—",INDEX(MxBody,D66,9))</f>
        <v>Less</v>
      </c>
      <c r="I66" s="42" t="str">
        <f aca="false">IF(D66=0,IF(F66=0,"OK","✖ لا خانة"),IF(H66=C66,"OK","✖ لا يطابق"))</f>
        <v>OK</v>
      </c>
      <c r="J66" s="83" t="str">
        <f aca="false">IF(AND(F66&gt;0,ISNUMBER(G66)),IF(G66&lt;0,"انخفاض ↓",""),"")</f>
        <v/>
      </c>
      <c r="K66" s="1"/>
      <c r="L66" s="1"/>
      <c r="M66" s="1"/>
      <c r="N66" s="1"/>
      <c r="O66" s="1"/>
      <c r="P66" s="1"/>
      <c r="Q66" s="1"/>
      <c r="R66" s="1"/>
      <c r="S66" s="1"/>
      <c r="T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customFormat="false" ht="21.75" hidden="false" customHeight="true" outlineLevel="0" collapsed="false">
      <c r="A68" s="1"/>
      <c r="B68" s="4" t="s">
        <v>339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1"/>
    </row>
    <row r="69" customFormat="false" ht="31.5" hidden="false" customHeight="true" outlineLevel="0" collapsed="false">
      <c r="A69" s="1"/>
      <c r="B69" s="37" t="s">
        <v>340</v>
      </c>
      <c r="C69" s="37" t="s">
        <v>341</v>
      </c>
      <c r="D69" s="37" t="s">
        <v>207</v>
      </c>
      <c r="E69" s="37" t="s">
        <v>208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customFormat="false" ht="15" hidden="false" customHeight="false" outlineLevel="0" collapsed="false">
      <c r="A70" s="1"/>
      <c r="B70" s="46" t="str">
        <f aca="false">INDEX(MxCurr,1)</f>
        <v>B</v>
      </c>
      <c r="C70" s="42" t="n">
        <f aca="false">MATCH(B70,GradeList,0)</f>
        <v>2</v>
      </c>
      <c r="D70" s="42" t="n">
        <f aca="false">SUMIFS($F$40:$F$66,$E$40:$E$66,B70)</f>
        <v>1</v>
      </c>
      <c r="E70" s="40" t="n">
        <f aca="false">IF($C$26=0,"—",D70/$C$26)</f>
        <v>0.025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customFormat="false" ht="15" hidden="false" customHeight="false" outlineLevel="0" collapsed="false">
      <c r="A71" s="1"/>
      <c r="B71" s="46" t="str">
        <f aca="false">INDEX(MxCurr,2)</f>
        <v>B+</v>
      </c>
      <c r="C71" s="42" t="n">
        <f aca="false">MATCH(B71,GradeList,0)</f>
        <v>3</v>
      </c>
      <c r="D71" s="42" t="n">
        <f aca="false">SUMIFS($F$40:$F$66,$E$40:$E$66,B71)</f>
        <v>6</v>
      </c>
      <c r="E71" s="40" t="n">
        <f aca="false">IF($C$26=0,"—",D71/$C$26)</f>
        <v>0.15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customFormat="false" ht="15" hidden="false" customHeight="false" outlineLevel="0" collapsed="false">
      <c r="A72" s="1"/>
      <c r="B72" s="46" t="str">
        <f aca="false">INDEX(MxCurr,3)</f>
        <v>T</v>
      </c>
      <c r="C72" s="42" t="n">
        <f aca="false">MATCH(B72,GradeList,0)</f>
        <v>4</v>
      </c>
      <c r="D72" s="42" t="n">
        <f aca="false">SUMIFS($F$40:$F$66,$E$40:$E$66,B72)</f>
        <v>2</v>
      </c>
      <c r="E72" s="40" t="n">
        <f aca="false">IF($C$26=0,"—",D72/$C$26)</f>
        <v>0.05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customFormat="false" ht="15" hidden="false" customHeight="false" outlineLevel="0" collapsed="false">
      <c r="A73" s="1"/>
      <c r="B73" s="46" t="str">
        <f aca="false">INDEX(MxCurr,4)</f>
        <v>AT</v>
      </c>
      <c r="C73" s="42" t="n">
        <f aca="false">MATCH(B73,GradeList,0)</f>
        <v>5</v>
      </c>
      <c r="D73" s="42" t="n">
        <f aca="false">SUMIFS($F$40:$F$66,$E$40:$E$66,B73)</f>
        <v>6</v>
      </c>
      <c r="E73" s="40" t="n">
        <f aca="false">IF($C$26=0,"—",D73/$C$26)</f>
        <v>0.15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customFormat="false" ht="15" hidden="false" customHeight="false" outlineLevel="0" collapsed="false">
      <c r="A74" s="1"/>
      <c r="B74" s="46" t="str">
        <f aca="false">INDEX(MxCurr,5)</f>
        <v>AT+</v>
      </c>
      <c r="C74" s="42" t="n">
        <f aca="false">MATCH(B74,GradeList,0)</f>
        <v>6</v>
      </c>
      <c r="D74" s="42" t="n">
        <f aca="false">SUMIFS($F$40:$F$66,$E$40:$E$66,B74)</f>
        <v>7</v>
      </c>
      <c r="E74" s="40" t="n">
        <f aca="false">IF($C$26=0,"—",D74/$C$26)</f>
        <v>0.175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customFormat="false" ht="15" hidden="false" customHeight="false" outlineLevel="0" collapsed="false">
      <c r="A75" s="1"/>
      <c r="B75" s="46" t="str">
        <f aca="false">INDEX(MxCurr,6)</f>
        <v>AB</v>
      </c>
      <c r="C75" s="42" t="n">
        <f aca="false">MATCH(B75,GradeList,0)</f>
        <v>7</v>
      </c>
      <c r="D75" s="42" t="n">
        <f aca="false">SUMIFS($F$40:$F$66,$E$40:$E$66,B75)</f>
        <v>9</v>
      </c>
      <c r="E75" s="40" t="n">
        <f aca="false">IF($C$26=0,"—",D75/$C$26)</f>
        <v>0.225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customFormat="false" ht="15" hidden="false" customHeight="false" outlineLevel="0" collapsed="false">
      <c r="A76" s="1"/>
      <c r="B76" s="46" t="str">
        <f aca="false">INDEX(MxCurr,7)</f>
        <v>AB+</v>
      </c>
      <c r="C76" s="42" t="n">
        <f aca="false">MATCH(B76,GradeList,0)</f>
        <v>8</v>
      </c>
      <c r="D76" s="42" t="n">
        <f aca="false">SUMIFS($F$40:$F$66,$E$40:$E$66,B76)</f>
        <v>7</v>
      </c>
      <c r="E76" s="40" t="n">
        <f aca="false">IF($C$26=0,"—",D76/$C$26)</f>
        <v>0.175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customFormat="false" ht="15" hidden="false" customHeight="false" outlineLevel="0" collapsed="false">
      <c r="A77" s="1"/>
      <c r="B77" s="46" t="str">
        <f aca="false">INDEX(MxCurr,8)</f>
        <v>GD</v>
      </c>
      <c r="C77" s="42" t="n">
        <f aca="false">MATCH(B77,GradeList,0)</f>
        <v>9</v>
      </c>
      <c r="D77" s="42" t="n">
        <f aca="false">SUMIFS($F$40:$F$66,$E$40:$E$66,B77)</f>
        <v>1</v>
      </c>
      <c r="E77" s="40" t="n">
        <f aca="false">IF($C$26=0,"—",D77/$C$26)</f>
        <v>0.025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customFormat="false" ht="15" hidden="false" customHeight="false" outlineLevel="0" collapsed="false">
      <c r="A78" s="1"/>
      <c r="B78" s="46" t="str">
        <f aca="false">INDEX(MxCurr,9)</f>
        <v>GD+</v>
      </c>
      <c r="C78" s="42" t="n">
        <f aca="false">MATCH(B78,GradeList,0)</f>
        <v>10</v>
      </c>
      <c r="D78" s="42" t="n">
        <f aca="false">SUMIFS($F$40:$F$66,$E$40:$E$66,B78)</f>
        <v>1</v>
      </c>
      <c r="E78" s="40" t="n">
        <f aca="false">IF($C$26=0,"—",D78/$C$26)</f>
        <v>0.025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customFormat="false" ht="15" hidden="false" customHeight="false" outlineLevel="0" collapsed="false">
      <c r="A79" s="1"/>
      <c r="B79" s="43" t="s">
        <v>189</v>
      </c>
      <c r="C79" s="1"/>
      <c r="D79" s="43" t="n">
        <f aca="false">SUM(D70:D78)</f>
        <v>40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customFormat="false" ht="31.5" hidden="false" customHeight="true" outlineLevel="0" collapsed="false">
      <c r="A81" s="1"/>
      <c r="B81" s="37" t="s">
        <v>285</v>
      </c>
      <c r="C81" s="37" t="s">
        <v>286</v>
      </c>
      <c r="D81" s="37" t="s">
        <v>287</v>
      </c>
      <c r="E81" s="37" t="s">
        <v>288</v>
      </c>
      <c r="F81" s="37" t="s">
        <v>342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customFormat="false" ht="15" hidden="false" customHeight="false" outlineLevel="0" collapsed="false">
      <c r="A82" s="1"/>
      <c r="B82" s="51" t="s">
        <v>343</v>
      </c>
      <c r="C82" s="40" t="s">
        <v>226</v>
      </c>
      <c r="D82" s="42" t="n">
        <f aca="false">IF($C$28&lt;&gt;1,"—",SUMPRODUCT(($C$70:$C$78&gt;=AtRank)*$D$70:$D$78))</f>
        <v>31</v>
      </c>
      <c r="E82" s="40" t="n">
        <f aca="false">IF($C$28&lt;&gt;1,"—",D82/$C$26)</f>
        <v>0.775</v>
      </c>
      <c r="F82" s="41" t="str">
        <f aca="false">IF(AND(ISNUMBER(C82),ISNUMBER(E82)),E82-C82,"—")</f>
        <v>—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customFormat="false" ht="15" hidden="false" customHeight="false" outlineLevel="0" collapsed="false">
      <c r="A83" s="1"/>
      <c r="B83" s="51" t="s">
        <v>344</v>
      </c>
      <c r="C83" s="40" t="s">
        <v>226</v>
      </c>
      <c r="D83" s="42" t="n">
        <f aca="false">IF($C$28&lt;&gt;1,"—",SUMPRODUCT(($C$70:$C$78&gt;=AboveRank)*$D$70:$D$78))</f>
        <v>18</v>
      </c>
      <c r="E83" s="40" t="n">
        <f aca="false">IF($C$28&lt;&gt;1,"—",D83/$C$26)</f>
        <v>0.45</v>
      </c>
      <c r="F83" s="41" t="str">
        <f aca="false">IF(AND(ISNUMBER(C83),ISNUMBER(E83)),E83-C83,"—")</f>
        <v>—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customFormat="false" ht="15" hidden="false" customHeight="false" outlineLevel="0" collapsed="false">
      <c r="A84" s="1"/>
      <c r="B84" s="51" t="s">
        <v>120</v>
      </c>
      <c r="C84" s="40" t="s">
        <v>226</v>
      </c>
      <c r="D84" s="42" t="n">
        <f aca="false">IF($C$28&lt;&gt;1,"—",SUMIFS($F$40:$F$66,$H$40:$H$66,"Less"))</f>
        <v>6</v>
      </c>
      <c r="E84" s="40" t="n">
        <f aca="false">IF($C$28&lt;&gt;1,"—",D84/$C$26)</f>
        <v>0.15</v>
      </c>
      <c r="F84" s="41" t="str">
        <f aca="false">IF(AND(ISNUMBER(C84),ISNUMBER(E84)),E84-C84,"—")</f>
        <v>—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customFormat="false" ht="15" hidden="false" customHeight="false" outlineLevel="0" collapsed="false">
      <c r="A85" s="1"/>
      <c r="B85" s="51" t="s">
        <v>121</v>
      </c>
      <c r="C85" s="40" t="s">
        <v>226</v>
      </c>
      <c r="D85" s="42" t="n">
        <f aca="false">IF($C$28&lt;&gt;1,"—",SUMIFS($F$40:$F$66,$H$40:$H$66,"Expected"))</f>
        <v>18</v>
      </c>
      <c r="E85" s="40" t="n">
        <f aca="false">IF($C$28&lt;&gt;1,"—",D85/$C$26)</f>
        <v>0.45</v>
      </c>
      <c r="F85" s="41" t="str">
        <f aca="false">IF(AND(ISNUMBER(C85),ISNUMBER(E85)),E85-C85,"—")</f>
        <v>—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customFormat="false" ht="15" hidden="false" customHeight="false" outlineLevel="0" collapsed="false">
      <c r="A86" s="1"/>
      <c r="B86" s="51" t="s">
        <v>122</v>
      </c>
      <c r="C86" s="40" t="n">
        <f aca="false">IF(C28=1,C6,"—")</f>
        <v>0.4</v>
      </c>
      <c r="D86" s="42" t="n">
        <f aca="false">IF($C$28&lt;&gt;1,"—",SUMIFS($F$40:$F$66,$H$40:$H$66,"Better"))</f>
        <v>16</v>
      </c>
      <c r="E86" s="40" t="n">
        <f aca="false">IF($C$28&lt;&gt;1,"—",D86/$C$26)</f>
        <v>0.4</v>
      </c>
      <c r="F86" s="41" t="n">
        <f aca="false">IF(AND(ISNUMBER(C86),ISNUMBER(E86)),E86-C86,"—")</f>
        <v>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customFormat="false" ht="15" hidden="false" customHeight="false" outlineLevel="0" collapsed="false">
      <c r="A87" s="1"/>
      <c r="B87" s="51" t="s">
        <v>123</v>
      </c>
      <c r="C87" s="40" t="n">
        <f aca="false">IF(C28=1,C7,"—")</f>
        <v>0.85</v>
      </c>
      <c r="D87" s="42" t="n">
        <f aca="false">IF($C$28&lt;&gt;1,"—",SUMIFS($F$40:$F$66,$H$40:$H$66,"Expected")+SUMIFS($F$40:$F$66,$H$40:$H$66,"Better"))</f>
        <v>34</v>
      </c>
      <c r="E87" s="40" t="n">
        <f aca="false">IF($C$28&lt;&gt;1,"—",D87/$C$26)</f>
        <v>0.85</v>
      </c>
      <c r="F87" s="41" t="n">
        <f aca="false">IF(AND(ISNUMBER(C87),ISNUMBER(E87)),E87-C87,"—")</f>
        <v>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customFormat="false" ht="15" hidden="false" customHeight="false" outlineLevel="0" collapsed="false">
      <c r="A88" s="1"/>
      <c r="B88" s="51" t="s">
        <v>345</v>
      </c>
      <c r="C88" s="77" t="str">
        <f aca="false">IF(C28&lt;&gt;1,"—",IF(C26=0,"لا توجد بيانات",IF(ROUND(E82,10)&lt;=KeyA_VW,"Very Weak",IF(ROUND(E82,10)&lt;KeyA_Weak,"Weak",IF(ROUND(E83,10)&lt;KeyA_Acc,"Acceptable",IF(ROUND(E83,10)&lt;=KeyA_Good,"Good",IF(ROUND(E83,10)&lt;KeyA_Out,"Very Good","Outstanding")))))))</f>
        <v>Acceptable</v>
      </c>
      <c r="D88" s="77"/>
      <c r="E88" s="7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customFormat="false" ht="15" hidden="false" customHeight="false" outlineLevel="0" collapsed="false">
      <c r="A89" s="1"/>
      <c r="B89" s="51" t="s">
        <v>346</v>
      </c>
      <c r="C89" s="77" t="str">
        <f aca="false">IF(C28&lt;&gt;1,"—",IF(C26=0,"لا توجد بيانات",IF(ROUND(E87,10)&lt;=KeyP_VW,"Very Weak",IF(ROUND(E87,10)&lt;KeyP_Weak,"Weak",IF(ROUND(E86,10)&lt;KeyP_Acc,"Acceptable",IF(ROUND(E86,10)&lt;=KeyP_Good,"Good",IF(ROUND(E86,10)&lt;KeyP_Out,"Very Good","Outstanding")))))))</f>
        <v>Acceptable</v>
      </c>
      <c r="D89" s="77"/>
      <c r="E89" s="7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customFormat="false" ht="15" hidden="false" customHeight="false" outlineLevel="0" collapsed="false">
      <c r="A90" s="1"/>
      <c r="B90" s="51" t="s">
        <v>347</v>
      </c>
      <c r="C90" s="42" t="n">
        <f aca="false">IF(C28&lt;&gt;1,"—",SUMIFS($F$40:$F$66,$G$40:$G$66,"&lt;0"))</f>
        <v>8</v>
      </c>
      <c r="D90" s="14" t="str">
        <f aca="false">IF(ISNUMBER(C90),IF(C90&gt;0,"⚠ الانخفاض هنا مفروض من المصفوفة (Expected لمن بدأ عند AB فأعلى يعني علامة أقل). راجع عمود «انخفاض» أعلاه.","لا انخفاض"),"")</f>
        <v>⚠ الانخفاض هنا مفروض من المصفوفة (Expected لمن بدأ عند AB فأعلى يعني علامة أقل). راجع عمود «انخفاض» أعلاه.</v>
      </c>
      <c r="E90" s="14"/>
      <c r="F90" s="14"/>
      <c r="G90" s="14"/>
      <c r="H90" s="14"/>
      <c r="I90" s="14"/>
      <c r="J90" s="14"/>
      <c r="K90" s="14"/>
      <c r="L90" s="14"/>
      <c r="M90" s="1"/>
      <c r="N90" s="1"/>
      <c r="O90" s="1"/>
      <c r="P90" s="1"/>
      <c r="Q90" s="1"/>
      <c r="R90" s="1"/>
      <c r="S90" s="1"/>
      <c r="T90" s="1"/>
    </row>
    <row r="91" customFormat="false" ht="15" hidden="false" customHeight="false" outlineLevel="0" collapsed="false">
      <c r="A91" s="1"/>
      <c r="B91" s="51" t="s">
        <v>348</v>
      </c>
      <c r="C91" s="78" t="str">
        <f aca="false">IF(C28&lt;&gt;1,"—",IF(D79=C26,"✔ "&amp;D79&amp;" = "&amp;C26,"✖ لا يتطابق"))</f>
        <v>✔ 40 = 40</v>
      </c>
      <c r="D91" s="78"/>
      <c r="E91" s="7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sheetProtection sheet="true" formatColumns="false" formatRows="false" sort="false" autoFilter="false"/>
  <mergeCells count="16">
    <mergeCell ref="B1:S2"/>
    <mergeCell ref="B3:S3"/>
    <mergeCell ref="B5:S5"/>
    <mergeCell ref="F6:S10"/>
    <mergeCell ref="C8:E8"/>
    <mergeCell ref="B12:S12"/>
    <mergeCell ref="B24:L24"/>
    <mergeCell ref="B25:S25"/>
    <mergeCell ref="C27:L27"/>
    <mergeCell ref="C36:S36"/>
    <mergeCell ref="B38:S38"/>
    <mergeCell ref="B68:S68"/>
    <mergeCell ref="C88:E88"/>
    <mergeCell ref="C89:E89"/>
    <mergeCell ref="D90:L90"/>
    <mergeCell ref="C91:E91"/>
  </mergeCells>
  <conditionalFormatting sqref="C40:C66">
    <cfRule type="cellIs" priority="2" operator="equal" aboveAverage="0" equalAverage="0" bottom="0" percent="0" rank="0" text="" dxfId="10">
      <formula>"Less"</formula>
    </cfRule>
    <cfRule type="cellIs" priority="3" operator="equal" aboveAverage="0" equalAverage="0" bottom="0" percent="0" rank="0" text="" dxfId="11">
      <formula>"Expected"</formula>
    </cfRule>
    <cfRule type="cellIs" priority="4" operator="equal" aboveAverage="0" equalAverage="0" bottom="0" percent="0" rank="0" text="" dxfId="12">
      <formula>"Better"</formula>
    </cfRule>
  </conditionalFormatting>
  <conditionalFormatting sqref="H40:H66">
    <cfRule type="cellIs" priority="5" operator="equal" aboveAverage="0" equalAverage="0" bottom="0" percent="0" rank="0" text="" dxfId="10">
      <formula>"Less"</formula>
    </cfRule>
    <cfRule type="cellIs" priority="6" operator="equal" aboveAverage="0" equalAverage="0" bottom="0" percent="0" rank="0" text="" dxfId="11">
      <formula>"Expected"</formula>
    </cfRule>
    <cfRule type="cellIs" priority="7" operator="equal" aboveAverage="0" equalAverage="0" bottom="0" percent="0" rank="0" text="" dxfId="12">
      <formula>"Better"</formula>
    </cfRule>
  </conditionalFormatting>
  <conditionalFormatting sqref="B40:J66">
    <cfRule type="expression" priority="8" aboveAverage="0" equalAverage="0" bottom="0" percent="0" rank="0" text="" dxfId="16">
      <formula>$F40=0</formula>
    </cfRule>
  </conditionalFormatting>
  <conditionalFormatting sqref="C88:C89">
    <cfRule type="cellIs" priority="9" operator="equal" aboveAverage="0" equalAverage="0" bottom="0" percent="0" rank="0" text="" dxfId="0">
      <formula>"Outstanding"</formula>
    </cfRule>
    <cfRule type="cellIs" priority="10" operator="equal" aboveAverage="0" equalAverage="0" bottom="0" percent="0" rank="0" text="" dxfId="1">
      <formula>"Very Good"</formula>
    </cfRule>
    <cfRule type="cellIs" priority="11" operator="equal" aboveAverage="0" equalAverage="0" bottom="0" percent="0" rank="0" text="" dxfId="2">
      <formula>"Good"</formula>
    </cfRule>
    <cfRule type="cellIs" priority="12" operator="equal" aboveAverage="0" equalAverage="0" bottom="0" percent="0" rank="0" text="" dxfId="3">
      <formula>"Acceptable"</formula>
    </cfRule>
    <cfRule type="cellIs" priority="13" operator="equal" aboveAverage="0" equalAverage="0" bottom="0" percent="0" rank="0" text="" dxfId="4">
      <formula>"Weak"</formula>
    </cfRule>
    <cfRule type="cellIs" priority="14" operator="equal" aboveAverage="0" equalAverage="0" bottom="0" percent="0" rank="0" text="" dxfId="5">
      <formula>"Very Weak"</formula>
    </cfRule>
  </conditionalFormatting>
  <dataValidations count="3">
    <dataValidation allowBlank="true" error="نسبة بين 0% و100%" errorStyle="stop" operator="between" showDropDown="false" showErrorMessage="true" showInputMessage="false" sqref="C6:C7" type="decimal">
      <formula1>0</formula1>
      <formula2>1</formula2>
    </dataValidation>
    <dataValidation allowBlank="true" error="اختر قيمة من القائمة" errorStyle="stop" errorTitle="قيمة غير صحيحة" operator="between" showDropDown="false" showErrorMessage="true" showInputMessage="false" sqref="C8" type="list">
      <formula1>Lists!$I$2:$I$3</formula1>
      <formula2>0</formula2>
    </dataValidation>
    <dataValidation allowBlank="true" error="عدد صحيح ≥ 0" errorStyle="stop" operator="greaterThanOrEqual" showDropDown="false" showErrorMessage="true" showInputMessage="false" sqref="C14:C22" type="whole">
      <formula1>0</formula1>
      <formula2>0</formula2>
    </dataValidation>
  </dataValidations>
  <hyperlinks>
    <hyperlink ref="B4" r:id="rId1" location="Guide!A1" display="الدليل"/>
    <hyperlink ref="C4" r:id="rId2" location="Dashboard!A1" display="اللوحة"/>
    <hyperlink ref="D4" r:id="rId3" location="Year_Panel!A1" display="لوحة الصف"/>
    <hyperlink ref="E4" r:id="rId4" location="Teacher_Report!A1" display="المعلمون"/>
    <hyperlink ref="F4" r:id="rId5" location="Data!A1" display="إدخال النتائج"/>
    <hyperlink ref="G4" r:id="rId6" location="Target_Attain!A1" display="هدف التحصيل"/>
    <hyperlink ref="H4" r:id="rId7" location="Target_Progress!A1" display="هدف التقدم"/>
    <hyperlink ref="I4" r:id="rId8" location="Settings!A1" display="الإعدادات"/>
    <hyperlink ref="J4" r:id="rId9" location="Progress_Matrix!A1" display="المصفوفة"/>
    <hyperlink ref="K4" r:id="rId10" location="Classes!A1" display="الصفوف"/>
    <hyperlink ref="L4" r:id="rId11" location="Checks!A1" display="فحوص"/>
    <hyperlink ref="M4" r:id="rId12" location="Tests!A1" display="اختبارا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9AA7"/>
    <pageSetUpPr fitToPage="true"/>
  </sheetPr>
  <dimension ref="A1:M8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24" hidden="false" customHeight="true" outlineLevel="0" collapsed="false">
      <c r="A1" s="1"/>
      <c r="B1" s="2" t="s">
        <v>349</v>
      </c>
      <c r="C1" s="2"/>
      <c r="D1" s="2"/>
      <c r="E1" s="2"/>
      <c r="F1" s="2"/>
      <c r="G1" s="1"/>
    </row>
    <row r="2" customFormat="false" ht="24" hidden="false" customHeight="true" outlineLevel="0" collapsed="false">
      <c r="A2" s="1"/>
      <c r="B2" s="2"/>
      <c r="C2" s="2"/>
      <c r="D2" s="2"/>
      <c r="E2" s="2"/>
      <c r="F2" s="2"/>
      <c r="G2" s="1"/>
    </row>
    <row r="3" customFormat="false" ht="15" hidden="false" customHeight="true" outlineLevel="0" collapsed="false">
      <c r="A3" s="1"/>
      <c r="B3" s="3" t="s">
        <v>350</v>
      </c>
      <c r="C3" s="3"/>
      <c r="D3" s="3"/>
      <c r="E3" s="3"/>
      <c r="F3" s="3"/>
      <c r="G3" s="1"/>
    </row>
    <row r="4" customFormat="false" ht="19.5" hidden="false" customHeight="true" outlineLevel="0" collapsed="false">
      <c r="A4" s="1"/>
      <c r="B4" s="8" t="s">
        <v>87</v>
      </c>
      <c r="C4" s="8" t="s">
        <v>88</v>
      </c>
      <c r="D4" s="8" t="s">
        <v>89</v>
      </c>
      <c r="E4" s="8" t="s">
        <v>90</v>
      </c>
      <c r="F4" s="8" t="s">
        <v>91</v>
      </c>
      <c r="G4" s="8" t="s">
        <v>92</v>
      </c>
      <c r="H4" s="8" t="s">
        <v>93</v>
      </c>
      <c r="I4" s="9" t="s">
        <v>94</v>
      </c>
      <c r="J4" s="8" t="s">
        <v>95</v>
      </c>
      <c r="K4" s="8" t="s">
        <v>96</v>
      </c>
      <c r="L4" s="8" t="s">
        <v>97</v>
      </c>
      <c r="M4" s="8" t="s">
        <v>98</v>
      </c>
    </row>
    <row r="5" customFormat="false" ht="21.75" hidden="false" customHeight="true" outlineLevel="0" collapsed="false">
      <c r="A5" s="1"/>
      <c r="B5" s="4" t="s">
        <v>351</v>
      </c>
      <c r="C5" s="4"/>
      <c r="D5" s="4"/>
      <c r="E5" s="4"/>
      <c r="F5" s="4"/>
      <c r="G5" s="1"/>
    </row>
    <row r="6" customFormat="false" ht="15" hidden="false" customHeight="false" outlineLevel="0" collapsed="false">
      <c r="A6" s="1"/>
      <c r="B6" s="65" t="s">
        <v>352</v>
      </c>
      <c r="C6" s="84" t="s">
        <v>353</v>
      </c>
      <c r="D6" s="1"/>
      <c r="E6" s="1"/>
      <c r="F6" s="53" t="s">
        <v>354</v>
      </c>
      <c r="G6" s="1"/>
    </row>
    <row r="7" customFormat="false" ht="22.35" hidden="false" customHeight="false" outlineLevel="0" collapsed="false">
      <c r="A7" s="1"/>
      <c r="B7" s="65" t="s">
        <v>355</v>
      </c>
      <c r="C7" s="84" t="s">
        <v>356</v>
      </c>
      <c r="D7" s="1"/>
      <c r="E7" s="1"/>
      <c r="F7" s="53" t="s">
        <v>357</v>
      </c>
      <c r="G7" s="1"/>
    </row>
    <row r="8" customFormat="false" ht="15" hidden="false" customHeight="false" outlineLevel="0" collapsed="false">
      <c r="A8" s="1"/>
      <c r="B8" s="70" t="s">
        <v>358</v>
      </c>
      <c r="C8" s="71" t="n">
        <f aca="false">IF(C7="نعم",1,0)</f>
        <v>0</v>
      </c>
      <c r="D8" s="1"/>
      <c r="E8" s="1"/>
      <c r="F8" s="1"/>
      <c r="G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21.75" hidden="false" customHeight="true" outlineLevel="0" collapsed="false">
      <c r="A10" s="1"/>
      <c r="B10" s="4" t="s">
        <v>359</v>
      </c>
      <c r="C10" s="4"/>
      <c r="D10" s="4"/>
      <c r="E10" s="4"/>
      <c r="F10" s="4"/>
      <c r="G10" s="1"/>
    </row>
    <row r="11" customFormat="false" ht="15" hidden="false" customHeight="false" outlineLevel="0" collapsed="false">
      <c r="A11" s="1"/>
      <c r="B11" s="85" t="s">
        <v>360</v>
      </c>
      <c r="C11" s="85" t="s">
        <v>361</v>
      </c>
      <c r="D11" s="85" t="s">
        <v>362</v>
      </c>
      <c r="E11" s="85" t="s">
        <v>363</v>
      </c>
      <c r="F11" s="1"/>
      <c r="G11" s="1"/>
    </row>
    <row r="12" customFormat="false" ht="15" hidden="false" customHeight="false" outlineLevel="0" collapsed="false">
      <c r="A12" s="1"/>
      <c r="B12" s="46" t="s">
        <v>196</v>
      </c>
      <c r="C12" s="63" t="n">
        <v>0</v>
      </c>
      <c r="D12" s="42" t="n">
        <f aca="false">C13</f>
        <v>10</v>
      </c>
      <c r="E12" s="42" t="n">
        <v>1</v>
      </c>
      <c r="F12" s="1"/>
      <c r="G12" s="1"/>
    </row>
    <row r="13" customFormat="false" ht="15" hidden="false" customHeight="false" outlineLevel="0" collapsed="false">
      <c r="A13" s="1"/>
      <c r="B13" s="46" t="s">
        <v>197</v>
      </c>
      <c r="C13" s="63" t="n">
        <v>10</v>
      </c>
      <c r="D13" s="42" t="n">
        <f aca="false">C14</f>
        <v>20</v>
      </c>
      <c r="E13" s="42" t="n">
        <v>2</v>
      </c>
      <c r="F13" s="1"/>
      <c r="G13" s="1"/>
    </row>
    <row r="14" customFormat="false" ht="15" hidden="false" customHeight="false" outlineLevel="0" collapsed="false">
      <c r="A14" s="1"/>
      <c r="B14" s="46" t="s">
        <v>198</v>
      </c>
      <c r="C14" s="63" t="n">
        <v>20</v>
      </c>
      <c r="D14" s="42" t="n">
        <f aca="false">C15</f>
        <v>30</v>
      </c>
      <c r="E14" s="42" t="n">
        <v>3</v>
      </c>
      <c r="F14" s="1"/>
      <c r="G14" s="1"/>
    </row>
    <row r="15" customFormat="false" ht="15" hidden="false" customHeight="false" outlineLevel="0" collapsed="false">
      <c r="A15" s="1"/>
      <c r="B15" s="46" t="s">
        <v>199</v>
      </c>
      <c r="C15" s="63" t="n">
        <v>30</v>
      </c>
      <c r="D15" s="42" t="n">
        <f aca="false">C16</f>
        <v>40</v>
      </c>
      <c r="E15" s="42" t="n">
        <v>4</v>
      </c>
      <c r="F15" s="1"/>
      <c r="G15" s="1"/>
    </row>
    <row r="16" customFormat="false" ht="15" hidden="false" customHeight="false" outlineLevel="0" collapsed="false">
      <c r="A16" s="1"/>
      <c r="B16" s="46" t="s">
        <v>200</v>
      </c>
      <c r="C16" s="63" t="n">
        <v>40</v>
      </c>
      <c r="D16" s="42" t="n">
        <f aca="false">C17</f>
        <v>50</v>
      </c>
      <c r="E16" s="42" t="n">
        <v>5</v>
      </c>
      <c r="F16" s="1"/>
      <c r="G16" s="1"/>
    </row>
    <row r="17" customFormat="false" ht="15" hidden="false" customHeight="false" outlineLevel="0" collapsed="false">
      <c r="A17" s="1"/>
      <c r="B17" s="46" t="s">
        <v>201</v>
      </c>
      <c r="C17" s="63" t="n">
        <v>50</v>
      </c>
      <c r="D17" s="42" t="n">
        <f aca="false">C18</f>
        <v>60</v>
      </c>
      <c r="E17" s="42" t="n">
        <v>6</v>
      </c>
      <c r="F17" s="1"/>
      <c r="G17" s="1"/>
    </row>
    <row r="18" customFormat="false" ht="15" hidden="false" customHeight="false" outlineLevel="0" collapsed="false">
      <c r="A18" s="1"/>
      <c r="B18" s="46" t="s">
        <v>202</v>
      </c>
      <c r="C18" s="63" t="n">
        <v>60</v>
      </c>
      <c r="D18" s="42" t="n">
        <f aca="false">C19</f>
        <v>70</v>
      </c>
      <c r="E18" s="42" t="n">
        <v>7</v>
      </c>
      <c r="F18" s="1"/>
      <c r="G18" s="1"/>
    </row>
    <row r="19" customFormat="false" ht="15" hidden="false" customHeight="false" outlineLevel="0" collapsed="false">
      <c r="A19" s="1"/>
      <c r="B19" s="46" t="s">
        <v>203</v>
      </c>
      <c r="C19" s="63" t="n">
        <v>70</v>
      </c>
      <c r="D19" s="42" t="n">
        <f aca="false">C20</f>
        <v>80</v>
      </c>
      <c r="E19" s="42" t="n">
        <v>8</v>
      </c>
      <c r="F19" s="1"/>
      <c r="G19" s="1"/>
    </row>
    <row r="20" customFormat="false" ht="15" hidden="false" customHeight="false" outlineLevel="0" collapsed="false">
      <c r="A20" s="1"/>
      <c r="B20" s="46" t="s">
        <v>204</v>
      </c>
      <c r="C20" s="63" t="n">
        <v>80</v>
      </c>
      <c r="D20" s="42" t="n">
        <f aca="false">C21</f>
        <v>90</v>
      </c>
      <c r="E20" s="42" t="n">
        <v>9</v>
      </c>
      <c r="F20" s="53" t="s">
        <v>364</v>
      </c>
      <c r="G20" s="1"/>
    </row>
    <row r="21" customFormat="false" ht="15" hidden="false" customHeight="false" outlineLevel="0" collapsed="false">
      <c r="A21" s="1"/>
      <c r="B21" s="46" t="s">
        <v>205</v>
      </c>
      <c r="C21" s="63" t="n">
        <v>90</v>
      </c>
      <c r="D21" s="42" t="n">
        <v>100</v>
      </c>
      <c r="E21" s="42" t="n">
        <v>10</v>
      </c>
      <c r="F21" s="1"/>
      <c r="G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</row>
    <row r="23" customFormat="false" ht="15" hidden="false" customHeight="false" outlineLevel="0" collapsed="false">
      <c r="A23" s="1"/>
      <c r="B23" s="65" t="s">
        <v>365</v>
      </c>
      <c r="C23" s="84"/>
      <c r="D23" s="86" t="str">
        <f aca="false">IF(ISNUMBER(C23),IF(OR(C23&lt;0,C23&gt;100),"خارج النطاق",INDEX(GradeList,MATCH(C23,GradeMin,1))),"")</f>
        <v/>
      </c>
      <c r="E23" s="1"/>
      <c r="F23" s="1"/>
      <c r="G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</row>
    <row r="25" customFormat="false" ht="21.75" hidden="false" customHeight="true" outlineLevel="0" collapsed="false">
      <c r="A25" s="1"/>
      <c r="B25" s="4" t="s">
        <v>366</v>
      </c>
      <c r="C25" s="4"/>
      <c r="D25" s="4"/>
      <c r="E25" s="4"/>
      <c r="F25" s="4"/>
      <c r="G25" s="1"/>
    </row>
    <row r="26" customFormat="false" ht="15" hidden="false" customHeight="false" outlineLevel="0" collapsed="false">
      <c r="A26" s="1"/>
      <c r="B26" s="65" t="s">
        <v>367</v>
      </c>
      <c r="C26" s="60" t="s">
        <v>200</v>
      </c>
      <c r="D26" s="79" t="n">
        <f aca="false">MATCH(C26,GradeList,0)</f>
        <v>5</v>
      </c>
      <c r="E26" s="1"/>
      <c r="F26" s="53" t="s">
        <v>368</v>
      </c>
      <c r="G26" s="1"/>
    </row>
    <row r="27" customFormat="false" ht="15" hidden="false" customHeight="false" outlineLevel="0" collapsed="false">
      <c r="A27" s="1"/>
      <c r="B27" s="65" t="s">
        <v>369</v>
      </c>
      <c r="C27" s="60" t="s">
        <v>202</v>
      </c>
      <c r="D27" s="79" t="n">
        <f aca="false">MATCH(C27,GradeList,0)</f>
        <v>7</v>
      </c>
      <c r="E27" s="1"/>
      <c r="F27" s="53" t="s">
        <v>370</v>
      </c>
      <c r="G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</row>
    <row r="29" customFormat="false" ht="21.75" hidden="false" customHeight="true" outlineLevel="0" collapsed="false">
      <c r="A29" s="1"/>
      <c r="B29" s="4" t="s">
        <v>371</v>
      </c>
      <c r="C29" s="4"/>
      <c r="D29" s="4"/>
      <c r="E29" s="4"/>
      <c r="F29" s="4"/>
      <c r="G29" s="1"/>
    </row>
    <row r="30" customFormat="false" ht="15" hidden="false" customHeight="false" outlineLevel="0" collapsed="false">
      <c r="A30" s="1"/>
      <c r="B30" s="85" t="s">
        <v>372</v>
      </c>
      <c r="C30" s="85" t="s">
        <v>373</v>
      </c>
      <c r="D30" s="85" t="s">
        <v>374</v>
      </c>
      <c r="E30" s="1"/>
      <c r="F30" s="1"/>
      <c r="G30" s="1"/>
    </row>
    <row r="31" customFormat="false" ht="15" hidden="false" customHeight="false" outlineLevel="0" collapsed="false">
      <c r="A31" s="1"/>
      <c r="B31" s="87" t="s">
        <v>375</v>
      </c>
      <c r="C31" s="67" t="n">
        <v>0.15</v>
      </c>
      <c r="D31" s="71" t="s">
        <v>376</v>
      </c>
      <c r="E31" s="1"/>
      <c r="F31" s="1"/>
      <c r="G31" s="1"/>
    </row>
    <row r="32" customFormat="false" ht="15" hidden="false" customHeight="false" outlineLevel="0" collapsed="false">
      <c r="A32" s="1"/>
      <c r="B32" s="87" t="s">
        <v>377</v>
      </c>
      <c r="C32" s="67" t="n">
        <v>0.75</v>
      </c>
      <c r="D32" s="71" t="s">
        <v>378</v>
      </c>
      <c r="E32" s="1"/>
      <c r="F32" s="1"/>
      <c r="G32" s="1"/>
    </row>
    <row r="33" customFormat="false" ht="15" hidden="false" customHeight="false" outlineLevel="0" collapsed="false">
      <c r="A33" s="1"/>
      <c r="B33" s="87" t="s">
        <v>379</v>
      </c>
      <c r="C33" s="67" t="n">
        <v>0.5</v>
      </c>
      <c r="D33" s="71" t="s">
        <v>380</v>
      </c>
      <c r="E33" s="1"/>
      <c r="F33" s="1"/>
      <c r="G33" s="1"/>
    </row>
    <row r="34" customFormat="false" ht="23.85" hidden="false" customHeight="false" outlineLevel="0" collapsed="false">
      <c r="A34" s="1"/>
      <c r="B34" s="87" t="s">
        <v>381</v>
      </c>
      <c r="C34" s="67" t="n">
        <v>0.6</v>
      </c>
      <c r="D34" s="71" t="s">
        <v>382</v>
      </c>
      <c r="E34" s="1"/>
      <c r="F34" s="1"/>
      <c r="G34" s="1"/>
    </row>
    <row r="35" customFormat="false" ht="15" hidden="false" customHeight="false" outlineLevel="0" collapsed="false">
      <c r="A35" s="1"/>
      <c r="B35" s="87" t="s">
        <v>383</v>
      </c>
      <c r="C35" s="67" t="n">
        <v>0.75</v>
      </c>
      <c r="D35" s="71" t="s">
        <v>384</v>
      </c>
      <c r="E35" s="1"/>
      <c r="F35" s="1"/>
      <c r="G35" s="1"/>
    </row>
    <row r="36" customFormat="false" ht="15" hidden="false" customHeight="true" outlineLevel="0" collapsed="false">
      <c r="A36" s="1"/>
      <c r="B36" s="66" t="s">
        <v>385</v>
      </c>
      <c r="C36" s="66"/>
      <c r="D36" s="66"/>
      <c r="E36" s="66"/>
      <c r="F36" s="66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21.75" hidden="false" customHeight="true" outlineLevel="0" collapsed="false">
      <c r="A38" s="1"/>
      <c r="B38" s="4" t="s">
        <v>386</v>
      </c>
      <c r="C38" s="4"/>
      <c r="D38" s="4"/>
      <c r="E38" s="4"/>
      <c r="F38" s="4"/>
      <c r="G38" s="1"/>
    </row>
    <row r="39" customFormat="false" ht="15" hidden="false" customHeight="false" outlineLevel="0" collapsed="false">
      <c r="A39" s="1"/>
      <c r="B39" s="85" t="s">
        <v>372</v>
      </c>
      <c r="C39" s="85" t="s">
        <v>373</v>
      </c>
      <c r="D39" s="85" t="s">
        <v>374</v>
      </c>
      <c r="E39" s="1"/>
      <c r="F39" s="1"/>
      <c r="G39" s="1"/>
    </row>
    <row r="40" customFormat="false" ht="22.35" hidden="false" customHeight="false" outlineLevel="0" collapsed="false">
      <c r="A40" s="1"/>
      <c r="B40" s="87" t="s">
        <v>387</v>
      </c>
      <c r="C40" s="67" t="n">
        <v>0.15</v>
      </c>
      <c r="D40" s="71" t="s">
        <v>388</v>
      </c>
      <c r="E40" s="1"/>
      <c r="F40" s="88" t="s">
        <v>389</v>
      </c>
      <c r="G40" s="1"/>
    </row>
    <row r="41" customFormat="false" ht="23.85" hidden="false" customHeight="false" outlineLevel="0" collapsed="false">
      <c r="A41" s="1"/>
      <c r="B41" s="87" t="s">
        <v>390</v>
      </c>
      <c r="C41" s="67" t="n">
        <v>0.75</v>
      </c>
      <c r="D41" s="71" t="s">
        <v>391</v>
      </c>
      <c r="E41" s="1"/>
      <c r="F41" s="1"/>
      <c r="G41" s="1"/>
    </row>
    <row r="42" customFormat="false" ht="15" hidden="false" customHeight="false" outlineLevel="0" collapsed="false">
      <c r="A42" s="1"/>
      <c r="B42" s="87" t="s">
        <v>392</v>
      </c>
      <c r="C42" s="67" t="n">
        <v>0.5</v>
      </c>
      <c r="D42" s="71" t="s">
        <v>393</v>
      </c>
      <c r="E42" s="1"/>
      <c r="F42" s="1"/>
      <c r="G42" s="1"/>
    </row>
    <row r="43" customFormat="false" ht="23.85" hidden="false" customHeight="false" outlineLevel="0" collapsed="false">
      <c r="A43" s="1"/>
      <c r="B43" s="87" t="s">
        <v>394</v>
      </c>
      <c r="C43" s="67" t="n">
        <v>0.6</v>
      </c>
      <c r="D43" s="71" t="s">
        <v>395</v>
      </c>
      <c r="E43" s="1"/>
      <c r="F43" s="1"/>
      <c r="G43" s="1"/>
    </row>
    <row r="44" customFormat="false" ht="15" hidden="false" customHeight="false" outlineLevel="0" collapsed="false">
      <c r="A44" s="1"/>
      <c r="B44" s="87" t="s">
        <v>396</v>
      </c>
      <c r="C44" s="67" t="n">
        <v>0.75</v>
      </c>
      <c r="D44" s="71" t="s">
        <v>397</v>
      </c>
      <c r="E44" s="1"/>
      <c r="F44" s="1"/>
      <c r="G44" s="1"/>
    </row>
    <row r="45" customFormat="false" ht="15" hidden="false" customHeight="true" outlineLevel="0" collapsed="false">
      <c r="A45" s="1"/>
      <c r="B45" s="66" t="s">
        <v>398</v>
      </c>
      <c r="C45" s="66"/>
      <c r="D45" s="66"/>
      <c r="E45" s="66"/>
      <c r="F45" s="66"/>
      <c r="G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</row>
    <row r="47" customFormat="false" ht="21.75" hidden="false" customHeight="true" outlineLevel="0" collapsed="false">
      <c r="A47" s="1"/>
      <c r="B47" s="4" t="s">
        <v>399</v>
      </c>
      <c r="C47" s="4"/>
      <c r="D47" s="4"/>
      <c r="E47" s="4"/>
      <c r="F47" s="4"/>
      <c r="G47" s="1"/>
    </row>
    <row r="48" customFormat="false" ht="15" hidden="false" customHeight="false" outlineLevel="0" collapsed="false">
      <c r="A48" s="1"/>
      <c r="B48" s="89" t="s">
        <v>136</v>
      </c>
      <c r="C48" s="1"/>
      <c r="D48" s="1"/>
      <c r="E48" s="1"/>
      <c r="F48" s="1"/>
      <c r="G48" s="1"/>
    </row>
    <row r="49" customFormat="false" ht="15" hidden="false" customHeight="false" outlineLevel="0" collapsed="false">
      <c r="A49" s="1"/>
      <c r="B49" s="90" t="s">
        <v>138</v>
      </c>
      <c r="C49" s="1"/>
      <c r="D49" s="1"/>
      <c r="E49" s="1"/>
      <c r="F49" s="1"/>
      <c r="G49" s="1"/>
    </row>
    <row r="50" customFormat="false" ht="15" hidden="false" customHeight="false" outlineLevel="0" collapsed="false">
      <c r="A50" s="1"/>
      <c r="B50" s="91" t="s">
        <v>140</v>
      </c>
      <c r="C50" s="1"/>
      <c r="D50" s="1"/>
      <c r="E50" s="1"/>
      <c r="F50" s="1"/>
      <c r="G50" s="1"/>
    </row>
    <row r="51" customFormat="false" ht="15" hidden="false" customHeight="false" outlineLevel="0" collapsed="false">
      <c r="A51" s="1"/>
      <c r="B51" s="92" t="s">
        <v>142</v>
      </c>
      <c r="C51" s="1"/>
      <c r="D51" s="1"/>
      <c r="E51" s="1"/>
      <c r="F51" s="1"/>
      <c r="G51" s="1"/>
    </row>
    <row r="52" customFormat="false" ht="15" hidden="false" customHeight="false" outlineLevel="0" collapsed="false">
      <c r="A52" s="1"/>
      <c r="B52" s="93" t="s">
        <v>144</v>
      </c>
      <c r="C52" s="1"/>
      <c r="D52" s="1"/>
      <c r="E52" s="1"/>
      <c r="F52" s="1"/>
      <c r="G52" s="1"/>
    </row>
    <row r="53" customFormat="false" ht="15" hidden="false" customHeight="false" outlineLevel="0" collapsed="false">
      <c r="A53" s="1"/>
      <c r="B53" s="94" t="s">
        <v>146</v>
      </c>
      <c r="C53" s="1"/>
      <c r="D53" s="1"/>
      <c r="E53" s="1"/>
      <c r="F53" s="1"/>
      <c r="G53" s="1"/>
    </row>
    <row r="54" customFormat="false" ht="21.75" hidden="false" customHeight="true" outlineLevel="0" collapsed="false">
      <c r="A54" s="1"/>
      <c r="B54" s="4" t="s">
        <v>400</v>
      </c>
      <c r="C54" s="4"/>
      <c r="D54" s="4"/>
      <c r="E54" s="4"/>
      <c r="F54" s="4"/>
      <c r="G54" s="1"/>
    </row>
    <row r="55" customFormat="false" ht="15" hidden="false" customHeight="false" outlineLevel="0" collapsed="false">
      <c r="A55" s="1"/>
      <c r="B55" s="85" t="s">
        <v>401</v>
      </c>
      <c r="C55" s="85" t="s">
        <v>402</v>
      </c>
      <c r="D55" s="85" t="s">
        <v>338</v>
      </c>
      <c r="E55" s="1"/>
      <c r="F55" s="1"/>
      <c r="G55" s="1"/>
    </row>
    <row r="56" customFormat="false" ht="15" hidden="false" customHeight="false" outlineLevel="0" collapsed="false">
      <c r="A56" s="1"/>
      <c r="B56" s="63" t="s">
        <v>403</v>
      </c>
      <c r="C56" s="84" t="s">
        <v>404</v>
      </c>
      <c r="D56" s="95"/>
      <c r="E56" s="1"/>
      <c r="F56" s="1"/>
      <c r="G56" s="1"/>
    </row>
    <row r="57" customFormat="false" ht="15" hidden="false" customHeight="false" outlineLevel="0" collapsed="false">
      <c r="A57" s="1"/>
      <c r="B57" s="63" t="s">
        <v>405</v>
      </c>
      <c r="C57" s="84" t="s">
        <v>406</v>
      </c>
      <c r="D57" s="95"/>
      <c r="E57" s="1"/>
      <c r="F57" s="1"/>
      <c r="G57" s="1"/>
    </row>
    <row r="58" customFormat="false" ht="15" hidden="false" customHeight="false" outlineLevel="0" collapsed="false">
      <c r="A58" s="1"/>
      <c r="B58" s="63" t="s">
        <v>407</v>
      </c>
      <c r="C58" s="84" t="s">
        <v>408</v>
      </c>
      <c r="D58" s="95"/>
      <c r="E58" s="1"/>
      <c r="F58" s="1"/>
      <c r="G58" s="1"/>
    </row>
    <row r="59" customFormat="false" ht="15" hidden="false" customHeight="false" outlineLevel="0" collapsed="false">
      <c r="A59" s="1"/>
      <c r="B59" s="63" t="s">
        <v>409</v>
      </c>
      <c r="C59" s="84" t="s">
        <v>410</v>
      </c>
      <c r="D59" s="95"/>
      <c r="E59" s="1"/>
      <c r="F59" s="1"/>
      <c r="G59" s="1"/>
    </row>
    <row r="60" customFormat="false" ht="22.35" hidden="false" customHeight="false" outlineLevel="0" collapsed="false">
      <c r="A60" s="1"/>
      <c r="B60" s="63" t="s">
        <v>411</v>
      </c>
      <c r="C60" s="84" t="s">
        <v>412</v>
      </c>
      <c r="D60" s="95" t="s">
        <v>413</v>
      </c>
      <c r="E60" s="1"/>
      <c r="F60" s="1"/>
      <c r="G60" s="1"/>
    </row>
    <row r="61" customFormat="false" ht="15" hidden="false" customHeight="false" outlineLevel="0" collapsed="false">
      <c r="A61" s="1"/>
      <c r="B61" s="63"/>
      <c r="C61" s="84"/>
      <c r="D61" s="1"/>
      <c r="E61" s="1"/>
      <c r="F61" s="1"/>
      <c r="G61" s="1"/>
    </row>
    <row r="62" customFormat="false" ht="15" hidden="false" customHeight="false" outlineLevel="0" collapsed="false">
      <c r="A62" s="1"/>
      <c r="B62" s="63"/>
      <c r="C62" s="84"/>
      <c r="D62" s="1"/>
      <c r="E62" s="1"/>
      <c r="F62" s="1"/>
      <c r="G62" s="1"/>
    </row>
    <row r="63" customFormat="false" ht="15" hidden="false" customHeight="false" outlineLevel="0" collapsed="false">
      <c r="A63" s="1"/>
      <c r="B63" s="63"/>
      <c r="C63" s="84"/>
      <c r="D63" s="1"/>
      <c r="E63" s="1"/>
      <c r="F63" s="1"/>
      <c r="G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</row>
    <row r="65" customFormat="false" ht="30" hidden="false" customHeight="true" outlineLevel="0" collapsed="false">
      <c r="A65" s="1"/>
      <c r="B65" s="66" t="s">
        <v>414</v>
      </c>
      <c r="C65" s="66"/>
      <c r="D65" s="66"/>
      <c r="E65" s="66"/>
      <c r="F65" s="66"/>
      <c r="G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</row>
  </sheetData>
  <sheetProtection sheet="true" formatColumns="false" formatRows="false" sort="false" autoFilter="false"/>
  <mergeCells count="12">
    <mergeCell ref="B1:F2"/>
    <mergeCell ref="B3:F3"/>
    <mergeCell ref="B5:F5"/>
    <mergeCell ref="B10:F10"/>
    <mergeCell ref="B25:F25"/>
    <mergeCell ref="B29:F29"/>
    <mergeCell ref="B36:F36"/>
    <mergeCell ref="B38:F38"/>
    <mergeCell ref="B45:F45"/>
    <mergeCell ref="B47:F47"/>
    <mergeCell ref="B54:F54"/>
    <mergeCell ref="B65:F65"/>
  </mergeCells>
  <dataValidations count="2">
    <dataValidation allowBlank="true" error="اختر قيمة من القائمة" errorStyle="stop" errorTitle="قيمة غير صحيحة" operator="between" showDropDown="false" showErrorMessage="true" showInputMessage="false" sqref="C7" type="list">
      <formula1>Lists!$H$2:$H$3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C26:C27" type="list">
      <formula1>Settings!$B$12:$B$21</formula1>
      <formula2>0</formula2>
    </dataValidation>
  </dataValidations>
  <hyperlinks>
    <hyperlink ref="B4" r:id="rId1" location="Guide!A1" display="الدليل"/>
    <hyperlink ref="C4" r:id="rId2" location="Dashboard!A1" display="اللوحة"/>
    <hyperlink ref="D4" r:id="rId3" location="Year_Panel!A1" display="لوحة الصف"/>
    <hyperlink ref="E4" r:id="rId4" location="Teacher_Report!A1" display="المعلمون"/>
    <hyperlink ref="F4" r:id="rId5" location="Data!A1" display="إدخال النتائج"/>
    <hyperlink ref="G4" r:id="rId6" location="Target_Attain!A1" display="هدف التحصيل"/>
    <hyperlink ref="H4" r:id="rId7" location="Target_Progress!A1" display="هدف التقدم"/>
    <hyperlink ref="I4" r:id="rId8" location="Settings!A1" display="الإعدادات"/>
    <hyperlink ref="J4" r:id="rId9" location="Progress_Matrix!A1" display="المصفوفة"/>
    <hyperlink ref="K4" r:id="rId10" location="Classes!A1" display="الصفوف"/>
    <hyperlink ref="L4" r:id="rId11" location="Checks!A1" display="فحوص"/>
    <hyperlink ref="M4" r:id="rId12" location="Tests!A1" display="اختبارا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9AA7"/>
    <pageSetUpPr fitToPage="true"/>
  </sheetPr>
  <dimension ref="A1:N5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1" min="3" style="0" width="11"/>
    <col collapsed="false" customWidth="true" hidden="false" outlineLevel="0" max="12" min="12" style="0" width="4"/>
    <col collapsed="false" customWidth="true" hidden="false" outlineLevel="0" max="13" min="13" style="0" width="40"/>
  </cols>
  <sheetData>
    <row r="1" customFormat="false" ht="24" hidden="false" customHeight="true" outlineLevel="0" collapsed="false">
      <c r="A1" s="1"/>
      <c r="B1" s="2" t="s">
        <v>415</v>
      </c>
      <c r="C1" s="2"/>
      <c r="D1" s="2"/>
      <c r="E1" s="2"/>
      <c r="F1" s="2"/>
      <c r="G1" s="2"/>
      <c r="H1" s="2"/>
      <c r="I1" s="2"/>
      <c r="J1" s="2"/>
      <c r="K1" s="2"/>
      <c r="L1" s="1"/>
      <c r="M1" s="1"/>
      <c r="N1" s="1"/>
    </row>
    <row r="2" customFormat="false" ht="24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15" hidden="false" customHeight="true" outlineLevel="0" collapsed="false">
      <c r="A3" s="1"/>
      <c r="B3" s="3" t="s">
        <v>416</v>
      </c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</row>
    <row r="4" customFormat="false" ht="19.5" hidden="false" customHeight="true" outlineLevel="0" collapsed="false">
      <c r="A4" s="1"/>
      <c r="B4" s="8" t="s">
        <v>87</v>
      </c>
      <c r="C4" s="8" t="s">
        <v>88</v>
      </c>
      <c r="D4" s="8" t="s">
        <v>89</v>
      </c>
      <c r="E4" s="8" t="s">
        <v>90</v>
      </c>
      <c r="F4" s="8" t="s">
        <v>91</v>
      </c>
      <c r="G4" s="8" t="s">
        <v>92</v>
      </c>
      <c r="H4" s="8" t="s">
        <v>93</v>
      </c>
      <c r="I4" s="8" t="s">
        <v>94</v>
      </c>
      <c r="J4" s="9" t="s">
        <v>95</v>
      </c>
      <c r="K4" s="8" t="s">
        <v>96</v>
      </c>
      <c r="L4" s="8" t="s">
        <v>97</v>
      </c>
      <c r="M4" s="8" t="s">
        <v>98</v>
      </c>
      <c r="N4" s="1"/>
    </row>
    <row r="5" customFormat="false" ht="15" hidden="false" customHeight="false" outlineLevel="0" collapsed="false">
      <c r="A5" s="1"/>
      <c r="B5" s="85" t="s">
        <v>417</v>
      </c>
      <c r="C5" s="96" t="s">
        <v>197</v>
      </c>
      <c r="D5" s="96" t="s">
        <v>198</v>
      </c>
      <c r="E5" s="96" t="s">
        <v>199</v>
      </c>
      <c r="F5" s="96" t="s">
        <v>200</v>
      </c>
      <c r="G5" s="96" t="s">
        <v>201</v>
      </c>
      <c r="H5" s="96" t="s">
        <v>202</v>
      </c>
      <c r="I5" s="96" t="s">
        <v>203</v>
      </c>
      <c r="J5" s="96" t="s">
        <v>204</v>
      </c>
      <c r="K5" s="96" t="s">
        <v>205</v>
      </c>
      <c r="L5" s="1"/>
      <c r="M5" s="85" t="s">
        <v>418</v>
      </c>
      <c r="N5" s="1"/>
    </row>
    <row r="6" customFormat="false" ht="15" hidden="false" customHeight="false" outlineLevel="0" collapsed="false">
      <c r="A6" s="1"/>
      <c r="B6" s="96" t="s">
        <v>197</v>
      </c>
      <c r="C6" s="63" t="s">
        <v>121</v>
      </c>
      <c r="D6" s="63" t="s">
        <v>121</v>
      </c>
      <c r="E6" s="63" t="s">
        <v>129</v>
      </c>
      <c r="F6" s="63" t="s">
        <v>129</v>
      </c>
      <c r="G6" s="63" t="s">
        <v>129</v>
      </c>
      <c r="H6" s="63" t="s">
        <v>129</v>
      </c>
      <c r="I6" s="63" t="s">
        <v>129</v>
      </c>
      <c r="J6" s="63" t="s">
        <v>129</v>
      </c>
      <c r="K6" s="63" t="s">
        <v>129</v>
      </c>
      <c r="L6" s="1"/>
      <c r="M6" s="97" t="s">
        <v>120</v>
      </c>
      <c r="N6" s="1"/>
    </row>
    <row r="7" customFormat="false" ht="15" hidden="false" customHeight="false" outlineLevel="0" collapsed="false">
      <c r="A7" s="1"/>
      <c r="B7" s="96" t="s">
        <v>198</v>
      </c>
      <c r="C7" s="63" t="s">
        <v>131</v>
      </c>
      <c r="D7" s="63" t="s">
        <v>121</v>
      </c>
      <c r="E7" s="63" t="s">
        <v>129</v>
      </c>
      <c r="F7" s="63" t="s">
        <v>129</v>
      </c>
      <c r="G7" s="63" t="s">
        <v>129</v>
      </c>
      <c r="H7" s="63" t="s">
        <v>129</v>
      </c>
      <c r="I7" s="63" t="s">
        <v>129</v>
      </c>
      <c r="J7" s="63" t="s">
        <v>129</v>
      </c>
      <c r="K7" s="63" t="s">
        <v>129</v>
      </c>
      <c r="L7" s="1"/>
      <c r="M7" s="98" t="s">
        <v>121</v>
      </c>
      <c r="N7" s="1"/>
    </row>
    <row r="8" customFormat="false" ht="15" hidden="false" customHeight="false" outlineLevel="0" collapsed="false">
      <c r="A8" s="1"/>
      <c r="B8" s="96" t="s">
        <v>199</v>
      </c>
      <c r="C8" s="63" t="s">
        <v>131</v>
      </c>
      <c r="D8" s="63" t="s">
        <v>131</v>
      </c>
      <c r="E8" s="63" t="s">
        <v>121</v>
      </c>
      <c r="F8" s="63" t="s">
        <v>129</v>
      </c>
      <c r="G8" s="63" t="s">
        <v>129</v>
      </c>
      <c r="H8" s="63" t="s">
        <v>129</v>
      </c>
      <c r="I8" s="63" t="s">
        <v>129</v>
      </c>
      <c r="J8" s="63" t="s">
        <v>129</v>
      </c>
      <c r="K8" s="63" t="s">
        <v>129</v>
      </c>
      <c r="L8" s="1"/>
      <c r="M8" s="99" t="s">
        <v>122</v>
      </c>
      <c r="N8" s="1"/>
    </row>
    <row r="9" customFormat="false" ht="15" hidden="false" customHeight="false" outlineLevel="0" collapsed="false">
      <c r="A9" s="1"/>
      <c r="B9" s="96" t="s">
        <v>200</v>
      </c>
      <c r="C9" s="63" t="s">
        <v>131</v>
      </c>
      <c r="D9" s="63" t="s">
        <v>131</v>
      </c>
      <c r="E9" s="63" t="s">
        <v>131</v>
      </c>
      <c r="F9" s="63" t="s">
        <v>121</v>
      </c>
      <c r="G9" s="63" t="s">
        <v>121</v>
      </c>
      <c r="H9" s="63" t="s">
        <v>129</v>
      </c>
      <c r="I9" s="63" t="s">
        <v>129</v>
      </c>
      <c r="J9" s="63" t="s">
        <v>129</v>
      </c>
      <c r="K9" s="63" t="s">
        <v>129</v>
      </c>
      <c r="L9" s="1"/>
      <c r="M9" s="1"/>
      <c r="N9" s="1"/>
    </row>
    <row r="10" customFormat="false" ht="15" hidden="false" customHeight="false" outlineLevel="0" collapsed="false">
      <c r="A10" s="1"/>
      <c r="B10" s="96" t="s">
        <v>201</v>
      </c>
      <c r="C10" s="63" t="s">
        <v>131</v>
      </c>
      <c r="D10" s="63" t="s">
        <v>131</v>
      </c>
      <c r="E10" s="63" t="s">
        <v>131</v>
      </c>
      <c r="F10" s="63" t="s">
        <v>131</v>
      </c>
      <c r="G10" s="63" t="s">
        <v>121</v>
      </c>
      <c r="H10" s="63" t="s">
        <v>121</v>
      </c>
      <c r="I10" s="63" t="s">
        <v>129</v>
      </c>
      <c r="J10" s="63" t="s">
        <v>129</v>
      </c>
      <c r="K10" s="63" t="s">
        <v>129</v>
      </c>
      <c r="L10" s="1"/>
      <c r="M10" s="1"/>
      <c r="N10" s="1"/>
    </row>
    <row r="11" customFormat="false" ht="15" hidden="false" customHeight="false" outlineLevel="0" collapsed="false">
      <c r="A11" s="1"/>
      <c r="B11" s="96" t="s">
        <v>202</v>
      </c>
      <c r="C11" s="63" t="s">
        <v>131</v>
      </c>
      <c r="D11" s="63" t="s">
        <v>131</v>
      </c>
      <c r="E11" s="63" t="s">
        <v>131</v>
      </c>
      <c r="F11" s="63" t="s">
        <v>131</v>
      </c>
      <c r="G11" s="63" t="s">
        <v>131</v>
      </c>
      <c r="H11" s="63" t="s">
        <v>131</v>
      </c>
      <c r="I11" s="63" t="s">
        <v>121</v>
      </c>
      <c r="J11" s="63" t="s">
        <v>129</v>
      </c>
      <c r="K11" s="63" t="s">
        <v>129</v>
      </c>
      <c r="L11" s="1"/>
      <c r="M11" s="1"/>
      <c r="N11" s="1"/>
    </row>
    <row r="12" customFormat="false" ht="15" hidden="false" customHeight="false" outlineLevel="0" collapsed="false">
      <c r="A12" s="1"/>
      <c r="B12" s="96" t="s">
        <v>203</v>
      </c>
      <c r="C12" s="63" t="s">
        <v>131</v>
      </c>
      <c r="D12" s="63" t="s">
        <v>131</v>
      </c>
      <c r="E12" s="63" t="s">
        <v>131</v>
      </c>
      <c r="F12" s="63" t="s">
        <v>131</v>
      </c>
      <c r="G12" s="63" t="s">
        <v>131</v>
      </c>
      <c r="H12" s="63" t="s">
        <v>131</v>
      </c>
      <c r="I12" s="63" t="s">
        <v>131</v>
      </c>
      <c r="J12" s="63" t="s">
        <v>121</v>
      </c>
      <c r="K12" s="63" t="s">
        <v>121</v>
      </c>
      <c r="L12" s="1"/>
      <c r="M12" s="1"/>
      <c r="N12" s="1"/>
    </row>
    <row r="13" customFormat="false" ht="15" hidden="false" customHeight="false" outlineLevel="0" collapsed="false">
      <c r="A13" s="1"/>
      <c r="B13" s="96" t="s">
        <v>204</v>
      </c>
      <c r="C13" s="63" t="s">
        <v>131</v>
      </c>
      <c r="D13" s="63" t="s">
        <v>131</v>
      </c>
      <c r="E13" s="63" t="s">
        <v>131</v>
      </c>
      <c r="F13" s="63" t="s">
        <v>131</v>
      </c>
      <c r="G13" s="63" t="s">
        <v>131</v>
      </c>
      <c r="H13" s="63" t="s">
        <v>131</v>
      </c>
      <c r="I13" s="63" t="s">
        <v>131</v>
      </c>
      <c r="J13" s="63" t="s">
        <v>131</v>
      </c>
      <c r="K13" s="63" t="s">
        <v>131</v>
      </c>
      <c r="L13" s="1"/>
      <c r="M13" s="1"/>
      <c r="N13" s="1"/>
    </row>
    <row r="14" customFormat="false" ht="15" hidden="false" customHeight="false" outlineLevel="0" collapsed="false">
      <c r="A14" s="1"/>
      <c r="B14" s="96" t="s">
        <v>205</v>
      </c>
      <c r="C14" s="63" t="s">
        <v>131</v>
      </c>
      <c r="D14" s="63" t="s">
        <v>131</v>
      </c>
      <c r="E14" s="63" t="s">
        <v>131</v>
      </c>
      <c r="F14" s="63" t="s">
        <v>131</v>
      </c>
      <c r="G14" s="63" t="s">
        <v>131</v>
      </c>
      <c r="H14" s="63" t="s">
        <v>131</v>
      </c>
      <c r="I14" s="63" t="s">
        <v>131</v>
      </c>
      <c r="J14" s="63" t="s">
        <v>131</v>
      </c>
      <c r="K14" s="63" t="s">
        <v>131</v>
      </c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31.5" hidden="false" customHeight="true" outlineLevel="0" collapsed="false">
      <c r="A16" s="1"/>
      <c r="B16" s="14" t="s">
        <v>419</v>
      </c>
      <c r="C16" s="14"/>
      <c r="D16" s="14"/>
      <c r="E16" s="14"/>
      <c r="F16" s="14"/>
      <c r="G16" s="14"/>
      <c r="H16" s="14"/>
      <c r="I16" s="14"/>
      <c r="J16" s="14"/>
      <c r="K16" s="14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21.75" hidden="false" customHeight="true" outlineLevel="0" collapsed="false">
      <c r="A18" s="1"/>
      <c r="B18" s="4" t="s">
        <v>420</v>
      </c>
      <c r="C18" s="4"/>
      <c r="D18" s="4"/>
      <c r="E18" s="4"/>
      <c r="F18" s="4"/>
      <c r="G18" s="4"/>
      <c r="H18" s="4"/>
      <c r="I18" s="4"/>
      <c r="J18" s="4"/>
      <c r="K18" s="4"/>
      <c r="L18" s="1"/>
      <c r="M18" s="1"/>
      <c r="N18" s="1"/>
    </row>
    <row r="19" customFormat="false" ht="27.75" hidden="false" customHeight="true" outlineLevel="0" collapsed="false">
      <c r="A19" s="1"/>
      <c r="B19" s="58" t="s">
        <v>421</v>
      </c>
      <c r="C19" s="58" t="s">
        <v>303</v>
      </c>
      <c r="D19" s="58" t="s">
        <v>422</v>
      </c>
      <c r="E19" s="58" t="s">
        <v>423</v>
      </c>
      <c r="F19" s="58" t="s">
        <v>424</v>
      </c>
      <c r="G19" s="58" t="s">
        <v>425</v>
      </c>
      <c r="H19" s="58" t="s">
        <v>426</v>
      </c>
      <c r="I19" s="58" t="s">
        <v>427</v>
      </c>
      <c r="J19" s="58" t="s">
        <v>428</v>
      </c>
      <c r="K19" s="1"/>
      <c r="L19" s="1"/>
      <c r="M19" s="1"/>
      <c r="N19" s="1"/>
    </row>
    <row r="20" customFormat="false" ht="15" hidden="false" customHeight="false" outlineLevel="0" collapsed="false">
      <c r="A20" s="1"/>
      <c r="B20" s="46" t="str">
        <f aca="false">INDEX(MxStart,1,1)</f>
        <v>B</v>
      </c>
      <c r="C20" s="42" t="n">
        <v>1</v>
      </c>
      <c r="D20" s="42" t="n">
        <f aca="false">IFERROR(MATCH("Better",INDEX(MxBody,0,1),0),0)</f>
        <v>2</v>
      </c>
      <c r="E20" s="42" t="n">
        <f aca="false">IFERROR(MATCH("Expected",INDEX(MxBody,0,1),0),0)</f>
        <v>1</v>
      </c>
      <c r="F20" s="42" t="n">
        <f aca="false">IF(E20=0,0,E20+COUNTIF(INDEX(MxBody,0,1),"Expected")-1)</f>
        <v>1</v>
      </c>
      <c r="G20" s="42" t="n">
        <f aca="false">SUMPRODUCT(MAX((INDEX(MxBody,0,1)="Less")*$C$20:$C$28))</f>
        <v>0</v>
      </c>
      <c r="H20" s="42" t="n">
        <f aca="false">IF(D20=0,0,MAX(C20,D20))</f>
        <v>2</v>
      </c>
      <c r="I20" s="42" t="n">
        <f aca="false">IF(E20=0,0,IF(AND(C20&gt;=E20,C20&lt;=F20),C20,IF(F20&lt;C20,F20,E20)))</f>
        <v>1</v>
      </c>
      <c r="J20" s="42" t="n">
        <f aca="false">G20</f>
        <v>0</v>
      </c>
      <c r="K20" s="1"/>
      <c r="L20" s="1"/>
      <c r="M20" s="1"/>
      <c r="N20" s="1"/>
    </row>
    <row r="21" customFormat="false" ht="15" hidden="false" customHeight="false" outlineLevel="0" collapsed="false">
      <c r="A21" s="1"/>
      <c r="B21" s="46" t="str">
        <f aca="false">INDEX(MxStart,1,2)</f>
        <v>B+</v>
      </c>
      <c r="C21" s="42" t="n">
        <v>2</v>
      </c>
      <c r="D21" s="42" t="n">
        <f aca="false">IFERROR(MATCH("Better",INDEX(MxBody,0,2),0),0)</f>
        <v>3</v>
      </c>
      <c r="E21" s="42" t="n">
        <f aca="false">IFERROR(MATCH("Expected",INDEX(MxBody,0,2),0),0)</f>
        <v>1</v>
      </c>
      <c r="F21" s="42" t="n">
        <f aca="false">IF(E21=0,0,E21+COUNTIF(INDEX(MxBody,0,2),"Expected")-1)</f>
        <v>2</v>
      </c>
      <c r="G21" s="42" t="n">
        <f aca="false">SUMPRODUCT(MAX((INDEX(MxBody,0,2)="Less")*$C$20:$C$28))</f>
        <v>0</v>
      </c>
      <c r="H21" s="42" t="n">
        <f aca="false">IF(D21=0,0,MAX(C21,D21))</f>
        <v>3</v>
      </c>
      <c r="I21" s="42" t="n">
        <f aca="false">IF(E21=0,0,IF(AND(C21&gt;=E21,C21&lt;=F21),C21,IF(F21&lt;C21,F21,E21)))</f>
        <v>2</v>
      </c>
      <c r="J21" s="42" t="n">
        <f aca="false">G21</f>
        <v>0</v>
      </c>
      <c r="K21" s="1"/>
      <c r="L21" s="1"/>
      <c r="M21" s="1"/>
      <c r="N21" s="1"/>
    </row>
    <row r="22" customFormat="false" ht="15" hidden="false" customHeight="false" outlineLevel="0" collapsed="false">
      <c r="A22" s="1"/>
      <c r="B22" s="46" t="str">
        <f aca="false">INDEX(MxStart,1,3)</f>
        <v>T</v>
      </c>
      <c r="C22" s="42" t="n">
        <v>3</v>
      </c>
      <c r="D22" s="42" t="n">
        <f aca="false">IFERROR(MATCH("Better",INDEX(MxBody,0,3),0),0)</f>
        <v>4</v>
      </c>
      <c r="E22" s="42" t="n">
        <f aca="false">IFERROR(MATCH("Expected",INDEX(MxBody,0,3),0),0)</f>
        <v>3</v>
      </c>
      <c r="F22" s="42" t="n">
        <f aca="false">IF(E22=0,0,E22+COUNTIF(INDEX(MxBody,0,3),"Expected")-1)</f>
        <v>3</v>
      </c>
      <c r="G22" s="42" t="n">
        <f aca="false">SUMPRODUCT(MAX((INDEX(MxBody,0,3)="Less")*$C$20:$C$28))</f>
        <v>2</v>
      </c>
      <c r="H22" s="42" t="n">
        <f aca="false">IF(D22=0,0,MAX(C22,D22))</f>
        <v>4</v>
      </c>
      <c r="I22" s="42" t="n">
        <f aca="false">IF(E22=0,0,IF(AND(C22&gt;=E22,C22&lt;=F22),C22,IF(F22&lt;C22,F22,E22)))</f>
        <v>3</v>
      </c>
      <c r="J22" s="42" t="n">
        <f aca="false">G22</f>
        <v>2</v>
      </c>
      <c r="K22" s="1"/>
      <c r="L22" s="1"/>
      <c r="M22" s="1"/>
      <c r="N22" s="1"/>
    </row>
    <row r="23" customFormat="false" ht="15" hidden="false" customHeight="false" outlineLevel="0" collapsed="false">
      <c r="A23" s="1"/>
      <c r="B23" s="46" t="str">
        <f aca="false">INDEX(MxStart,1,4)</f>
        <v>AT</v>
      </c>
      <c r="C23" s="42" t="n">
        <v>4</v>
      </c>
      <c r="D23" s="42" t="n">
        <f aca="false">IFERROR(MATCH("Better",INDEX(MxBody,0,4),0),0)</f>
        <v>5</v>
      </c>
      <c r="E23" s="42" t="n">
        <f aca="false">IFERROR(MATCH("Expected",INDEX(MxBody,0,4),0),0)</f>
        <v>4</v>
      </c>
      <c r="F23" s="42" t="n">
        <f aca="false">IF(E23=0,0,E23+COUNTIF(INDEX(MxBody,0,4),"Expected")-1)</f>
        <v>4</v>
      </c>
      <c r="G23" s="42" t="n">
        <f aca="false">SUMPRODUCT(MAX((INDEX(MxBody,0,4)="Less")*$C$20:$C$28))</f>
        <v>3</v>
      </c>
      <c r="H23" s="42" t="n">
        <f aca="false">IF(D23=0,0,MAX(C23,D23))</f>
        <v>5</v>
      </c>
      <c r="I23" s="42" t="n">
        <f aca="false">IF(E23=0,0,IF(AND(C23&gt;=E23,C23&lt;=F23),C23,IF(F23&lt;C23,F23,E23)))</f>
        <v>4</v>
      </c>
      <c r="J23" s="42" t="n">
        <f aca="false">G23</f>
        <v>3</v>
      </c>
      <c r="K23" s="1"/>
      <c r="L23" s="1"/>
      <c r="M23" s="1"/>
      <c r="N23" s="1"/>
    </row>
    <row r="24" customFormat="false" ht="15" hidden="false" customHeight="false" outlineLevel="0" collapsed="false">
      <c r="A24" s="1"/>
      <c r="B24" s="46" t="str">
        <f aca="false">INDEX(MxStart,1,5)</f>
        <v>AT+</v>
      </c>
      <c r="C24" s="42" t="n">
        <v>5</v>
      </c>
      <c r="D24" s="42" t="n">
        <f aca="false">IFERROR(MATCH("Better",INDEX(MxBody,0,5),0),0)</f>
        <v>6</v>
      </c>
      <c r="E24" s="42" t="n">
        <f aca="false">IFERROR(MATCH("Expected",INDEX(MxBody,0,5),0),0)</f>
        <v>4</v>
      </c>
      <c r="F24" s="42" t="n">
        <f aca="false">IF(E24=0,0,E24+COUNTIF(INDEX(MxBody,0,5),"Expected")-1)</f>
        <v>5</v>
      </c>
      <c r="G24" s="42" t="n">
        <f aca="false">SUMPRODUCT(MAX((INDEX(MxBody,0,5)="Less")*$C$20:$C$28))</f>
        <v>3</v>
      </c>
      <c r="H24" s="42" t="n">
        <f aca="false">IF(D24=0,0,MAX(C24,D24))</f>
        <v>6</v>
      </c>
      <c r="I24" s="42" t="n">
        <f aca="false">IF(E24=0,0,IF(AND(C24&gt;=E24,C24&lt;=F24),C24,IF(F24&lt;C24,F24,E24)))</f>
        <v>5</v>
      </c>
      <c r="J24" s="42" t="n">
        <f aca="false">G24</f>
        <v>3</v>
      </c>
      <c r="K24" s="1"/>
      <c r="L24" s="1"/>
      <c r="M24" s="1"/>
      <c r="N24" s="1"/>
    </row>
    <row r="25" customFormat="false" ht="15" hidden="false" customHeight="false" outlineLevel="0" collapsed="false">
      <c r="A25" s="1"/>
      <c r="B25" s="46" t="str">
        <f aca="false">INDEX(MxStart,1,6)</f>
        <v>AB</v>
      </c>
      <c r="C25" s="42" t="n">
        <v>6</v>
      </c>
      <c r="D25" s="42" t="n">
        <f aca="false">IFERROR(MATCH("Better",INDEX(MxBody,0,6),0),0)</f>
        <v>6</v>
      </c>
      <c r="E25" s="42" t="n">
        <f aca="false">IFERROR(MATCH("Expected",INDEX(MxBody,0,6),0),0)</f>
        <v>5</v>
      </c>
      <c r="F25" s="42" t="n">
        <f aca="false">IF(E25=0,0,E25+COUNTIF(INDEX(MxBody,0,6),"Expected")-1)</f>
        <v>5</v>
      </c>
      <c r="G25" s="42" t="n">
        <f aca="false">SUMPRODUCT(MAX((INDEX(MxBody,0,6)="Less")*$C$20:$C$28))</f>
        <v>4</v>
      </c>
      <c r="H25" s="42" t="n">
        <f aca="false">IF(D25=0,0,MAX(C25,D25))</f>
        <v>6</v>
      </c>
      <c r="I25" s="42" t="n">
        <f aca="false">IF(E25=0,0,IF(AND(C25&gt;=E25,C25&lt;=F25),C25,IF(F25&lt;C25,F25,E25)))</f>
        <v>5</v>
      </c>
      <c r="J25" s="42" t="n">
        <f aca="false">G25</f>
        <v>4</v>
      </c>
      <c r="K25" s="1"/>
      <c r="L25" s="1"/>
      <c r="M25" s="1"/>
      <c r="N25" s="1"/>
    </row>
    <row r="26" customFormat="false" ht="15" hidden="false" customHeight="false" outlineLevel="0" collapsed="false">
      <c r="A26" s="1"/>
      <c r="B26" s="46" t="str">
        <f aca="false">INDEX(MxStart,1,7)</f>
        <v>AB+</v>
      </c>
      <c r="C26" s="42" t="n">
        <v>7</v>
      </c>
      <c r="D26" s="42" t="n">
        <f aca="false">IFERROR(MATCH("Better",INDEX(MxBody,0,7),0),0)</f>
        <v>7</v>
      </c>
      <c r="E26" s="42" t="n">
        <f aca="false">IFERROR(MATCH("Expected",INDEX(MxBody,0,7),0),0)</f>
        <v>6</v>
      </c>
      <c r="F26" s="42" t="n">
        <f aca="false">IF(E26=0,0,E26+COUNTIF(INDEX(MxBody,0,7),"Expected")-1)</f>
        <v>6</v>
      </c>
      <c r="G26" s="42" t="n">
        <f aca="false">SUMPRODUCT(MAX((INDEX(MxBody,0,7)="Less")*$C$20:$C$28))</f>
        <v>5</v>
      </c>
      <c r="H26" s="42" t="n">
        <f aca="false">IF(D26=0,0,MAX(C26,D26))</f>
        <v>7</v>
      </c>
      <c r="I26" s="42" t="n">
        <f aca="false">IF(E26=0,0,IF(AND(C26&gt;=E26,C26&lt;=F26),C26,IF(F26&lt;C26,F26,E26)))</f>
        <v>6</v>
      </c>
      <c r="J26" s="42" t="n">
        <f aca="false">G26</f>
        <v>5</v>
      </c>
      <c r="K26" s="1"/>
      <c r="L26" s="1"/>
      <c r="M26" s="1"/>
      <c r="N26" s="1"/>
    </row>
    <row r="27" customFormat="false" ht="15" hidden="false" customHeight="false" outlineLevel="0" collapsed="false">
      <c r="A27" s="1"/>
      <c r="B27" s="46" t="str">
        <f aca="false">INDEX(MxStart,1,8)</f>
        <v>GD</v>
      </c>
      <c r="C27" s="42" t="n">
        <v>8</v>
      </c>
      <c r="D27" s="42" t="n">
        <f aca="false">IFERROR(MATCH("Better",INDEX(MxBody,0,8),0),0)</f>
        <v>8</v>
      </c>
      <c r="E27" s="42" t="n">
        <f aca="false">IFERROR(MATCH("Expected",INDEX(MxBody,0,8),0),0)</f>
        <v>7</v>
      </c>
      <c r="F27" s="42" t="n">
        <f aca="false">IF(E27=0,0,E27+COUNTIF(INDEX(MxBody,0,8),"Expected")-1)</f>
        <v>7</v>
      </c>
      <c r="G27" s="42" t="n">
        <f aca="false">SUMPRODUCT(MAX((INDEX(MxBody,0,8)="Less")*$C$20:$C$28))</f>
        <v>6</v>
      </c>
      <c r="H27" s="42" t="n">
        <f aca="false">IF(D27=0,0,MAX(C27,D27))</f>
        <v>8</v>
      </c>
      <c r="I27" s="42" t="n">
        <f aca="false">IF(E27=0,0,IF(AND(C27&gt;=E27,C27&lt;=F27),C27,IF(F27&lt;C27,F27,E27)))</f>
        <v>7</v>
      </c>
      <c r="J27" s="42" t="n">
        <f aca="false">G27</f>
        <v>6</v>
      </c>
      <c r="K27" s="1"/>
      <c r="L27" s="1"/>
      <c r="M27" s="1"/>
      <c r="N27" s="1"/>
    </row>
    <row r="28" customFormat="false" ht="15" hidden="false" customHeight="false" outlineLevel="0" collapsed="false">
      <c r="A28" s="1"/>
      <c r="B28" s="46" t="str">
        <f aca="false">INDEX(MxStart,1,9)</f>
        <v>GD+</v>
      </c>
      <c r="C28" s="42" t="n">
        <v>9</v>
      </c>
      <c r="D28" s="42" t="n">
        <f aca="false">IFERROR(MATCH("Better",INDEX(MxBody,0,9),0),0)</f>
        <v>8</v>
      </c>
      <c r="E28" s="42" t="n">
        <f aca="false">IFERROR(MATCH("Expected",INDEX(MxBody,0,9),0),0)</f>
        <v>7</v>
      </c>
      <c r="F28" s="42" t="n">
        <f aca="false">IF(E28=0,0,E28+COUNTIF(INDEX(MxBody,0,9),"Expected")-1)</f>
        <v>7</v>
      </c>
      <c r="G28" s="42" t="n">
        <f aca="false">SUMPRODUCT(MAX((INDEX(MxBody,0,9)="Less")*$C$20:$C$28))</f>
        <v>6</v>
      </c>
      <c r="H28" s="42" t="n">
        <f aca="false">IF(D28=0,0,MAX(C28,D28))</f>
        <v>9</v>
      </c>
      <c r="I28" s="42" t="n">
        <f aca="false">IF(E28=0,0,IF(AND(C28&gt;=E28,C28&lt;=F28),C28,IF(F28&lt;C28,F28,E28)))</f>
        <v>7</v>
      </c>
      <c r="J28" s="42" t="n">
        <f aca="false">G28</f>
        <v>6</v>
      </c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30" hidden="false" customHeight="true" outlineLevel="0" collapsed="false">
      <c r="A30" s="1"/>
      <c r="B30" s="66" t="s">
        <v>429</v>
      </c>
      <c r="C30" s="66"/>
      <c r="D30" s="66"/>
      <c r="E30" s="66"/>
      <c r="F30" s="66"/>
      <c r="G30" s="66"/>
      <c r="H30" s="66"/>
      <c r="I30" s="66"/>
      <c r="J30" s="66"/>
      <c r="K30" s="66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</sheetData>
  <sheetProtection sheet="true" formatColumns="false" formatRows="false" sort="false" autoFilter="false"/>
  <mergeCells count="5">
    <mergeCell ref="B1:K2"/>
    <mergeCell ref="B3:K3"/>
    <mergeCell ref="B16:K16"/>
    <mergeCell ref="B18:K18"/>
    <mergeCell ref="B30:K30"/>
  </mergeCells>
  <conditionalFormatting sqref="C6:K14">
    <cfRule type="cellIs" priority="2" operator="equal" aboveAverage="0" equalAverage="0" bottom="0" percent="0" rank="0" text="" dxfId="10">
      <formula>"Less"</formula>
    </cfRule>
    <cfRule type="cellIs" priority="3" operator="equal" aboveAverage="0" equalAverage="0" bottom="0" percent="0" rank="0" text="" dxfId="11">
      <formula>"Expected"</formula>
    </cfRule>
    <cfRule type="cellIs" priority="4" operator="equal" aboveAverage="0" equalAverage="0" bottom="0" percent="0" rank="0" text="" dxfId="12">
      <formula>"Better"</formula>
    </cfRule>
  </conditionalFormatting>
  <dataValidations count="1">
    <dataValidation allowBlank="true" error="اختر قيمة من القائمة" errorStyle="stop" errorTitle="قيمة غير صحيحة" operator="between" showDropDown="false" showErrorMessage="true" showInputMessage="false" sqref="C6:K14" type="list">
      <formula1>"Less,Expected,Better"</formula1>
      <formula2>0</formula2>
    </dataValidation>
  </dataValidations>
  <hyperlinks>
    <hyperlink ref="B4" r:id="rId1" location="Guide!A1" display="الدليل"/>
    <hyperlink ref="C4" r:id="rId2" location="Dashboard!A1" display="اللوحة"/>
    <hyperlink ref="D4" r:id="rId3" location="Year_Panel!A1" display="لوحة الصف"/>
    <hyperlink ref="E4" r:id="rId4" location="Teacher_Report!A1" display="المعلمون"/>
    <hyperlink ref="F4" r:id="rId5" location="Data!A1" display="إدخال النتائج"/>
    <hyperlink ref="G4" r:id="rId6" location="Target_Attain!A1" display="هدف التحصيل"/>
    <hyperlink ref="H4" r:id="rId7" location="Target_Progress!A1" display="هدف التقدم"/>
    <hyperlink ref="I4" r:id="rId8" location="Settings!A1" display="الإعدادات"/>
    <hyperlink ref="J4" r:id="rId9" location="Progress_Matrix!A1" display="المصفوفة"/>
    <hyperlink ref="K4" r:id="rId10" location="Classes!A1" display="الصفوف"/>
    <hyperlink ref="L4" r:id="rId11" location="Checks!A1" display="فحوص"/>
    <hyperlink ref="M4" r:id="rId12" location="Tests!A1" display="اختبارا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8B8"/>
    <pageSetUpPr fitToPage="true"/>
  </sheetPr>
  <dimension ref="A1:I42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4"/>
    <col collapsed="false" customWidth="true" hidden="false" outlineLevel="0" max="9" min="9" style="0" width="52"/>
  </cols>
  <sheetData>
    <row r="1" customFormat="false" ht="126.85" hidden="false" customHeight="false" outlineLevel="0" collapsed="false">
      <c r="A1" s="100" t="s">
        <v>430</v>
      </c>
    </row>
    <row r="2" customFormat="false" ht="95.5" hidden="false" customHeight="false" outlineLevel="0" collapsed="false">
      <c r="A2" s="101" t="s">
        <v>431</v>
      </c>
    </row>
    <row r="5" customFormat="false" ht="23.85" hidden="false" customHeight="false" outlineLevel="0" collapsed="false">
      <c r="A5" s="85" t="s">
        <v>432</v>
      </c>
      <c r="B5" s="85" t="s">
        <v>101</v>
      </c>
      <c r="C5" s="85" t="s">
        <v>433</v>
      </c>
      <c r="D5" s="85" t="s">
        <v>434</v>
      </c>
      <c r="E5" s="85" t="s">
        <v>435</v>
      </c>
      <c r="F5" s="85" t="s">
        <v>436</v>
      </c>
      <c r="G5" s="85" t="s">
        <v>437</v>
      </c>
      <c r="H5" s="85" t="s">
        <v>438</v>
      </c>
      <c r="I5" s="85" t="s">
        <v>439</v>
      </c>
    </row>
    <row r="6" customFormat="false" ht="15" hidden="false" customHeight="false" outlineLevel="0" collapsed="false">
      <c r="A6" s="60" t="s">
        <v>440</v>
      </c>
      <c r="B6" s="102" t="str">
        <f aca="false">IF(A6="","","Year "&amp;VALUE(MID(A6,2,2)))</f>
        <v>Year 2</v>
      </c>
      <c r="C6" s="102" t="str">
        <f aca="false">IF(A6="","",MID(A6,4,FIND("/",A6)-4))</f>
        <v>af</v>
      </c>
      <c r="D6" s="102" t="str">
        <f aca="false">IF(A6="","",MID(A6,FIND("/",A6)+1,2))</f>
        <v>Aa</v>
      </c>
      <c r="E6" s="103" t="str">
        <f aca="false">IF(A6="","",IFERROR(INDEX(SubjName,MATCH(D6,SubjCode,0)),"؟ رمز مادة غير معرّف في Settings"))</f>
        <v>Arabic A</v>
      </c>
      <c r="F6" s="102" t="str">
        <f aca="false">IF(A6="","",MID(A6,FIND("/",A6)+1,10))</f>
        <v>Aa1</v>
      </c>
      <c r="G6" s="63" t="s">
        <v>441</v>
      </c>
      <c r="H6" s="103" t="str">
        <f aca="false">IF(A6="","",IF(G6="","غير محدد (Unassigned)",IFERROR(INDEX(Teachers!$C$6:$C$75,MATCH(G6,Teachers!$A$6:$A$75,0)),"؟ كود معلم غير موجود")))</f>
        <v>Ms Aya Soliman Eid</v>
      </c>
      <c r="I6" s="104" t="s">
        <v>442</v>
      </c>
    </row>
    <row r="7" customFormat="false" ht="15" hidden="false" customHeight="false" outlineLevel="0" collapsed="false">
      <c r="A7" s="60" t="s">
        <v>443</v>
      </c>
      <c r="B7" s="102" t="str">
        <f aca="false">IF(A7="","","Year "&amp;VALUE(MID(A7,2,2)))</f>
        <v>Year 2</v>
      </c>
      <c r="C7" s="102" t="str">
        <f aca="false">IF(A7="","",MID(A7,4,FIND("/",A7)-4))</f>
        <v>af</v>
      </c>
      <c r="D7" s="102" t="str">
        <f aca="false">IF(A7="","",MID(A7,FIND("/",A7)+1,2))</f>
        <v>Aa</v>
      </c>
      <c r="E7" s="103" t="str">
        <f aca="false">IF(A7="","",IFERROR(INDEX(SubjName,MATCH(D7,SubjCode,0)),"؟ رمز مادة غير معرّف في Settings"))</f>
        <v>Arabic A</v>
      </c>
      <c r="F7" s="102" t="str">
        <f aca="false">IF(A7="","",MID(A7,FIND("/",A7)+1,10))</f>
        <v>Aa2</v>
      </c>
      <c r="G7" s="63" t="s">
        <v>444</v>
      </c>
      <c r="H7" s="103" t="str">
        <f aca="false">IF(A7="","",IF(G7="","غير محدد (Unassigned)",IFERROR(INDEX(Teachers!$C$6:$C$75,MATCH(G7,Teachers!$A$6:$A$75,0)),"؟ كود معلم غير موجود")))</f>
        <v>Ms Maheer El Waraki</v>
      </c>
      <c r="I7" s="104" t="s">
        <v>442</v>
      </c>
    </row>
    <row r="8" customFormat="false" ht="15" hidden="false" customHeight="false" outlineLevel="0" collapsed="false">
      <c r="A8" s="60" t="s">
        <v>445</v>
      </c>
      <c r="B8" s="102" t="str">
        <f aca="false">IF(A8="","","Year "&amp;VALUE(MID(A8,2,2)))</f>
        <v>Year 2</v>
      </c>
      <c r="C8" s="102" t="str">
        <f aca="false">IF(A8="","",MID(A8,4,FIND("/",A8)-4))</f>
        <v>af</v>
      </c>
      <c r="D8" s="102" t="str">
        <f aca="false">IF(A8="","",MID(A8,FIND("/",A8)+1,2))</f>
        <v>Ab</v>
      </c>
      <c r="E8" s="103" t="str">
        <f aca="false">IF(A8="","",IFERROR(INDEX(SubjName,MATCH(D8,SubjCode,0)),"؟ رمز مادة غير معرّف في Settings"))</f>
        <v>Arabic B</v>
      </c>
      <c r="F8" s="102" t="str">
        <f aca="false">IF(A8="","",MID(A8,FIND("/",A8)+1,10))</f>
        <v>Ab1</v>
      </c>
      <c r="G8" s="63" t="s">
        <v>446</v>
      </c>
      <c r="H8" s="103" t="str">
        <f aca="false">IF(A8="","",IF(G8="","غير محدد (Unassigned)",IFERROR(INDEX(Teachers!$C$6:$C$75,MATCH(G8,Teachers!$A$6:$A$75,0)),"؟ كود معلم غير موجود")))</f>
        <v>Ms AssmaaM AbdelhakimAli</v>
      </c>
      <c r="I8" s="104" t="s">
        <v>442</v>
      </c>
    </row>
    <row r="9" customFormat="false" ht="15" hidden="false" customHeight="false" outlineLevel="0" collapsed="false">
      <c r="A9" s="60" t="s">
        <v>447</v>
      </c>
      <c r="B9" s="102" t="str">
        <f aca="false">IF(A9="","","Year "&amp;VALUE(MID(A9,2,2)))</f>
        <v>Year 2</v>
      </c>
      <c r="C9" s="102" t="str">
        <f aca="false">IF(A9="","",MID(A9,4,FIND("/",A9)-4))</f>
        <v>af</v>
      </c>
      <c r="D9" s="102" t="str">
        <f aca="false">IF(A9="","",MID(A9,FIND("/",A9)+1,2))</f>
        <v>Ab</v>
      </c>
      <c r="E9" s="103" t="str">
        <f aca="false">IF(A9="","",IFERROR(INDEX(SubjName,MATCH(D9,SubjCode,0)),"؟ رمز مادة غير معرّف في Settings"))</f>
        <v>Arabic B</v>
      </c>
      <c r="F9" s="102" t="str">
        <f aca="false">IF(A9="","",MID(A9,FIND("/",A9)+1,10))</f>
        <v>Ab2</v>
      </c>
      <c r="G9" s="63" t="s">
        <v>448</v>
      </c>
      <c r="H9" s="103" t="str">
        <f aca="false">IF(A9="","",IF(G9="","غير محدد (Unassigned)",IFERROR(INDEX(Teachers!$C$6:$C$75,MATCH(G9,Teachers!$A$6:$A$75,0)),"؟ كود معلم غير موجود")))</f>
        <v>Ms Rahma Ewais Salem</v>
      </c>
      <c r="I9" s="104" t="s">
        <v>442</v>
      </c>
    </row>
    <row r="10" customFormat="false" ht="15" hidden="false" customHeight="false" outlineLevel="0" collapsed="false">
      <c r="A10" s="60" t="s">
        <v>449</v>
      </c>
      <c r="B10" s="102" t="str">
        <f aca="false">IF(A10="","","Year "&amp;VALUE(MID(A10,2,2)))</f>
        <v>Year 2</v>
      </c>
      <c r="C10" s="102" t="str">
        <f aca="false">IF(A10="","",MID(A10,4,FIND("/",A10)-4))</f>
        <v>af</v>
      </c>
      <c r="D10" s="102" t="str">
        <f aca="false">IF(A10="","",MID(A10,FIND("/",A10)+1,2))</f>
        <v>Ab</v>
      </c>
      <c r="E10" s="103" t="str">
        <f aca="false">IF(A10="","",IFERROR(INDEX(SubjName,MATCH(D10,SubjCode,0)),"؟ رمز مادة غير معرّف في Settings"))</f>
        <v>Arabic B</v>
      </c>
      <c r="F10" s="102" t="str">
        <f aca="false">IF(A10="","",MID(A10,FIND("/",A10)+1,10))</f>
        <v>Ab3</v>
      </c>
      <c r="G10" s="63" t="s">
        <v>450</v>
      </c>
      <c r="H10" s="103" t="str">
        <f aca="false">IF(A10="","",IF(G10="","غير محدد (Unassigned)",IFERROR(INDEX(Teachers!$C$6:$C$75,MATCH(G10,Teachers!$A$6:$A$75,0)),"؟ كود معلم غير موجود")))</f>
        <v>Ms MonaAhmedAtef Hussein</v>
      </c>
      <c r="I10" s="104" t="s">
        <v>442</v>
      </c>
    </row>
    <row r="11" customFormat="false" ht="15" hidden="false" customHeight="false" outlineLevel="0" collapsed="false">
      <c r="A11" s="60" t="s">
        <v>451</v>
      </c>
      <c r="B11" s="102" t="str">
        <f aca="false">IF(A11="","","Year "&amp;VALUE(MID(A11,2,2)))</f>
        <v>Year 2</v>
      </c>
      <c r="C11" s="102" t="str">
        <f aca="false">IF(A11="","",MID(A11,4,FIND("/",A11)-4))</f>
        <v>af</v>
      </c>
      <c r="D11" s="102" t="str">
        <f aca="false">IF(A11="","",MID(A11,FIND("/",A11)+1,2))</f>
        <v>Ab</v>
      </c>
      <c r="E11" s="103" t="str">
        <f aca="false">IF(A11="","",IFERROR(INDEX(SubjName,MATCH(D11,SubjCode,0)),"؟ رمز مادة غير معرّف في Settings"))</f>
        <v>Arabic B</v>
      </c>
      <c r="F11" s="102" t="str">
        <f aca="false">IF(A11="","",MID(A11,FIND("/",A11)+1,10))</f>
        <v>Ab4</v>
      </c>
      <c r="G11" s="63" t="s">
        <v>452</v>
      </c>
      <c r="H11" s="103" t="str">
        <f aca="false">IF(A11="","",IF(G11="","غير محدد (Unassigned)",IFERROR(INDEX(Teachers!$C$6:$C$75,MATCH(G11,Teachers!$A$6:$A$75,0)),"؟ كود معلم غير موجود")))</f>
        <v>Ms Mai Rabie Mohamed</v>
      </c>
      <c r="I11" s="104" t="s">
        <v>442</v>
      </c>
    </row>
    <row r="12" customFormat="false" ht="15" hidden="false" customHeight="false" outlineLevel="0" collapsed="false">
      <c r="A12" s="60" t="s">
        <v>453</v>
      </c>
      <c r="B12" s="102" t="str">
        <f aca="false">IF(A12="","","Year "&amp;VALUE(MID(A12,2,2)))</f>
        <v>Year 2</v>
      </c>
      <c r="C12" s="102" t="str">
        <f aca="false">IF(A12="","",MID(A12,4,FIND("/",A12)-4))</f>
        <v>af</v>
      </c>
      <c r="D12" s="102" t="str">
        <f aca="false">IF(A12="","",MID(A12,FIND("/",A12)+1,2))</f>
        <v>Ab</v>
      </c>
      <c r="E12" s="103" t="str">
        <f aca="false">IF(A12="","",IFERROR(INDEX(SubjName,MATCH(D12,SubjCode,0)),"؟ رمز مادة غير معرّف في Settings"))</f>
        <v>Arabic B</v>
      </c>
      <c r="F12" s="102" t="str">
        <f aca="false">IF(A12="","",MID(A12,FIND("/",A12)+1,10))</f>
        <v>Ab5</v>
      </c>
      <c r="G12" s="63" t="s">
        <v>454</v>
      </c>
      <c r="H12" s="103" t="str">
        <f aca="false">IF(A12="","",IF(G12="","غير محدد (Unassigned)",IFERROR(INDEX(Teachers!$C$6:$C$75,MATCH(G12,Teachers!$A$6:$A$75,0)),"؟ كود معلم غير موجود")))</f>
        <v>Mr Ahmed Sabry Soliman</v>
      </c>
      <c r="I12" s="104" t="s">
        <v>442</v>
      </c>
    </row>
    <row r="13" customFormat="false" ht="15" hidden="false" customHeight="false" outlineLevel="0" collapsed="false">
      <c r="A13" s="60" t="s">
        <v>455</v>
      </c>
      <c r="B13" s="102" t="str">
        <f aca="false">IF(A13="","","Year "&amp;VALUE(MID(A13,2,2)))</f>
        <v>Year 2</v>
      </c>
      <c r="C13" s="102" t="str">
        <f aca="false">IF(A13="","",MID(A13,4,FIND("/",A13)-4))</f>
        <v>af</v>
      </c>
      <c r="D13" s="102" t="str">
        <f aca="false">IF(A13="","",MID(A13,FIND("/",A13)+1,2))</f>
        <v>Ua</v>
      </c>
      <c r="E13" s="103" t="str">
        <f aca="false">IF(A13="","",IFERROR(INDEX(SubjName,MATCH(D13,SubjCode,0)),"؟ رمز مادة غير معرّف في Settings"))</f>
        <v>Ua (اسم المادة غير مؤكد)</v>
      </c>
      <c r="F13" s="102" t="str">
        <f aca="false">IF(A13="","",MID(A13,FIND("/",A13)+1,10))</f>
        <v>Ua1</v>
      </c>
      <c r="G13" s="63" t="s">
        <v>456</v>
      </c>
      <c r="H13" s="103" t="str">
        <f aca="false">IF(A13="","",IF(G13="","غير محدد (Unassigned)",IFERROR(INDEX(Teachers!$C$6:$C$75,MATCH(G13,Teachers!$A$6:$A$75,0)),"؟ كود معلم غير موجود")))</f>
        <v>Ms Hanaa Ferky Awadain</v>
      </c>
      <c r="I13" s="104" t="s">
        <v>442</v>
      </c>
    </row>
    <row r="14" customFormat="false" ht="15" hidden="false" customHeight="false" outlineLevel="0" collapsed="false">
      <c r="A14" s="60" t="s">
        <v>457</v>
      </c>
      <c r="B14" s="102" t="str">
        <f aca="false">IF(A14="","","Year "&amp;VALUE(MID(A14,2,2)))</f>
        <v>Year 2</v>
      </c>
      <c r="C14" s="102" t="str">
        <f aca="false">IF(A14="","",MID(A14,4,FIND("/",A14)-4))</f>
        <v>af</v>
      </c>
      <c r="D14" s="102" t="str">
        <f aca="false">IF(A14="","",MID(A14,FIND("/",A14)+1,2))</f>
        <v>Ua</v>
      </c>
      <c r="E14" s="103" t="str">
        <f aca="false">IF(A14="","",IFERROR(INDEX(SubjName,MATCH(D14,SubjCode,0)),"؟ رمز مادة غير معرّف في Settings"))</f>
        <v>Ua (اسم المادة غير مؤكد)</v>
      </c>
      <c r="F14" s="102" t="str">
        <f aca="false">IF(A14="","",MID(A14,FIND("/",A14)+1,10))</f>
        <v>Ua2</v>
      </c>
      <c r="G14" s="63" t="s">
        <v>458</v>
      </c>
      <c r="H14" s="103" t="str">
        <f aca="false">IF(A14="","",IF(G14="","غير محدد (Unassigned)",IFERROR(INDEX(Teachers!$C$6:$C$75,MATCH(G14,Teachers!$A$6:$A$75,0)),"؟ كود معلم غير موجود")))</f>
        <v>Mr Abdou Ghazy</v>
      </c>
      <c r="I14" s="104" t="s">
        <v>442</v>
      </c>
    </row>
    <row r="15" customFormat="false" ht="15" hidden="false" customHeight="false" outlineLevel="0" collapsed="false">
      <c r="A15" s="60" t="s">
        <v>459</v>
      </c>
      <c r="B15" s="102" t="str">
        <f aca="false">IF(A15="","","Year "&amp;VALUE(MID(A15,2,2)))</f>
        <v>Year 2</v>
      </c>
      <c r="C15" s="102" t="str">
        <f aca="false">IF(A15="","",MID(A15,4,FIND("/",A15)-4))</f>
        <v>ai</v>
      </c>
      <c r="D15" s="102" t="str">
        <f aca="false">IF(A15="","",MID(A15,FIND("/",A15)+1,2))</f>
        <v>Ia</v>
      </c>
      <c r="E15" s="103" t="str">
        <f aca="false">IF(A15="","",IFERROR(INDEX(SubjName,MATCH(D15,SubjCode,0)),"؟ رمز مادة غير معرّف في Settings"))</f>
        <v>Islamic A</v>
      </c>
      <c r="F15" s="102" t="str">
        <f aca="false">IF(A15="","",MID(A15,FIND("/",A15)+1,10))</f>
        <v>Ia1</v>
      </c>
      <c r="G15" s="63" t="s">
        <v>460</v>
      </c>
      <c r="H15" s="103" t="str">
        <f aca="false">IF(A15="","",IF(G15="","غير محدد (Unassigned)",IFERROR(INDEX(Teachers!$C$6:$C$75,MATCH(G15,Teachers!$A$6:$A$75,0)),"؟ كود معلم غير موجود")))</f>
        <v>Mr Ahmad Abdan</v>
      </c>
      <c r="I15" s="104" t="s">
        <v>442</v>
      </c>
    </row>
    <row r="16" customFormat="false" ht="15" hidden="false" customHeight="false" outlineLevel="0" collapsed="false">
      <c r="A16" s="60" t="s">
        <v>461</v>
      </c>
      <c r="B16" s="102" t="str">
        <f aca="false">IF(A16="","","Year "&amp;VALUE(MID(A16,2,2)))</f>
        <v>Year 2</v>
      </c>
      <c r="C16" s="102" t="str">
        <f aca="false">IF(A16="","",MID(A16,4,FIND("/",A16)-4))</f>
        <v>ai</v>
      </c>
      <c r="D16" s="102" t="str">
        <f aca="false">IF(A16="","",MID(A16,FIND("/",A16)+1,2))</f>
        <v>Ia</v>
      </c>
      <c r="E16" s="103" t="str">
        <f aca="false">IF(A16="","",IFERROR(INDEX(SubjName,MATCH(D16,SubjCode,0)),"؟ رمز مادة غير معرّف في Settings"))</f>
        <v>Islamic A</v>
      </c>
      <c r="F16" s="102" t="str">
        <f aca="false">IF(A16="","",MID(A16,FIND("/",A16)+1,10))</f>
        <v>Ia2</v>
      </c>
      <c r="G16" s="63" t="s">
        <v>462</v>
      </c>
      <c r="H16" s="103" t="str">
        <f aca="false">IF(A16="","",IF(G16="","غير محدد (Unassigned)",IFERROR(INDEX(Teachers!$C$6:$C$75,MATCH(G16,Teachers!$A$6:$A$75,0)),"؟ كود معلم غير موجود")))</f>
        <v>Mr Noureldin Badawy</v>
      </c>
      <c r="I16" s="104" t="s">
        <v>442</v>
      </c>
    </row>
    <row r="17" customFormat="false" ht="15" hidden="false" customHeight="false" outlineLevel="0" collapsed="false">
      <c r="A17" s="60" t="s">
        <v>463</v>
      </c>
      <c r="B17" s="102" t="str">
        <f aca="false">IF(A17="","","Year "&amp;VALUE(MID(A17,2,2)))</f>
        <v>Year 2</v>
      </c>
      <c r="C17" s="102" t="str">
        <f aca="false">IF(A17="","",MID(A17,4,FIND("/",A17)-4))</f>
        <v>ai</v>
      </c>
      <c r="D17" s="102" t="str">
        <f aca="false">IF(A17="","",MID(A17,FIND("/",A17)+1,2))</f>
        <v>Ib</v>
      </c>
      <c r="E17" s="103" t="str">
        <f aca="false">IF(A17="","",IFERROR(INDEX(SubjName,MATCH(D17,SubjCode,0)),"؟ رمز مادة غير معرّف في Settings"))</f>
        <v>Islamic B</v>
      </c>
      <c r="F17" s="102" t="str">
        <f aca="false">IF(A17="","",MID(A17,FIND("/",A17)+1,10))</f>
        <v>Ib1</v>
      </c>
      <c r="G17" s="63" t="s">
        <v>464</v>
      </c>
      <c r="H17" s="103" t="str">
        <f aca="false">IF(A17="","",IF(G17="","غير محدد (Unassigned)",IFERROR(INDEX(Teachers!$C$6:$C$75,MATCH(G17,Teachers!$A$6:$A$75,0)),"؟ كود معلم غير موجود")))</f>
        <v>Mr Hassan FathyR Mohamed</v>
      </c>
      <c r="I17" s="104" t="s">
        <v>442</v>
      </c>
    </row>
    <row r="18" customFormat="false" ht="15" hidden="false" customHeight="false" outlineLevel="0" collapsed="false">
      <c r="A18" s="60" t="s">
        <v>465</v>
      </c>
      <c r="B18" s="102" t="str">
        <f aca="false">IF(A18="","","Year "&amp;VALUE(MID(A18,2,2)))</f>
        <v>Year 2</v>
      </c>
      <c r="C18" s="102" t="str">
        <f aca="false">IF(A18="","",MID(A18,4,FIND("/",A18)-4))</f>
        <v>ai</v>
      </c>
      <c r="D18" s="102" t="str">
        <f aca="false">IF(A18="","",MID(A18,FIND("/",A18)+1,2))</f>
        <v>Ib</v>
      </c>
      <c r="E18" s="103" t="str">
        <f aca="false">IF(A18="","",IFERROR(INDEX(SubjName,MATCH(D18,SubjCode,0)),"؟ رمز مادة غير معرّف في Settings"))</f>
        <v>Islamic B</v>
      </c>
      <c r="F18" s="102" t="str">
        <f aca="false">IF(A18="","",MID(A18,FIND("/",A18)+1,10))</f>
        <v>Ib2</v>
      </c>
      <c r="G18" s="63" t="s">
        <v>466</v>
      </c>
      <c r="H18" s="103" t="str">
        <f aca="false">IF(A18="","",IF(G18="","غير محدد (Unassigned)",IFERROR(INDEX(Teachers!$C$6:$C$75,MATCH(G18,Teachers!$A$6:$A$75,0)),"؟ كود معلم غير موجود")))</f>
        <v>Ms Aya Kalash</v>
      </c>
      <c r="I18" s="104" t="s">
        <v>442</v>
      </c>
    </row>
    <row r="19" customFormat="false" ht="15" hidden="false" customHeight="false" outlineLevel="0" collapsed="false">
      <c r="A19" s="60" t="s">
        <v>467</v>
      </c>
      <c r="B19" s="102" t="str">
        <f aca="false">IF(A19="","","Year "&amp;VALUE(MID(A19,2,2)))</f>
        <v>Year 2</v>
      </c>
      <c r="C19" s="102" t="str">
        <f aca="false">IF(A19="","",MID(A19,4,FIND("/",A19)-4))</f>
        <v>ai</v>
      </c>
      <c r="D19" s="102" t="str">
        <f aca="false">IF(A19="","",MID(A19,FIND("/",A19)+1,2))</f>
        <v>Ib</v>
      </c>
      <c r="E19" s="103" t="str">
        <f aca="false">IF(A19="","",IFERROR(INDEX(SubjName,MATCH(D19,SubjCode,0)),"؟ رمز مادة غير معرّف في Settings"))</f>
        <v>Islamic B</v>
      </c>
      <c r="F19" s="102" t="str">
        <f aca="false">IF(A19="","",MID(A19,FIND("/",A19)+1,10))</f>
        <v>Ib3</v>
      </c>
      <c r="G19" s="63" t="s">
        <v>468</v>
      </c>
      <c r="H19" s="103" t="str">
        <f aca="false">IF(A19="","",IF(G19="","غير محدد (Unassigned)",IFERROR(INDEX(Teachers!$C$6:$C$75,MATCH(G19,Teachers!$A$6:$A$75,0)),"؟ كود معلم غير موجود")))</f>
        <v>Mr Ubaid Ameer Husain</v>
      </c>
      <c r="I19" s="104" t="s">
        <v>442</v>
      </c>
    </row>
    <row r="20" customFormat="false" ht="15" hidden="false" customHeight="false" outlineLevel="0" collapsed="false">
      <c r="A20" s="60" t="s">
        <v>469</v>
      </c>
      <c r="B20" s="102" t="str">
        <f aca="false">IF(A20="","","Year "&amp;VALUE(MID(A20,2,2)))</f>
        <v>Year 2</v>
      </c>
      <c r="C20" s="102" t="str">
        <f aca="false">IF(A20="","",MID(A20,4,FIND("/",A20)-4))</f>
        <v>gl</v>
      </c>
      <c r="D20" s="102" t="str">
        <f aca="false">IF(A20="","",MID(A20,FIND("/",A20)+1,2))</f>
        <v>Aa</v>
      </c>
      <c r="E20" s="103" t="str">
        <f aca="false">IF(A20="","",IFERROR(INDEX(SubjName,MATCH(D20,SubjCode,0)),"؟ رمز مادة غير معرّف في Settings"))</f>
        <v>Arabic A</v>
      </c>
      <c r="F20" s="102" t="str">
        <f aca="false">IF(A20="","",MID(A20,FIND("/",A20)+1,10))</f>
        <v>Aa1</v>
      </c>
      <c r="G20" s="63" t="s">
        <v>441</v>
      </c>
      <c r="H20" s="103" t="str">
        <f aca="false">IF(A20="","",IF(G20="","غير محدد (Unassigned)",IFERROR(INDEX(Teachers!$C$6:$C$75,MATCH(G20,Teachers!$A$6:$A$75,0)),"؟ كود معلم غير موجود")))</f>
        <v>Ms Aya Soliman Eid</v>
      </c>
      <c r="I20" s="104" t="s">
        <v>442</v>
      </c>
    </row>
    <row r="21" customFormat="false" ht="15" hidden="false" customHeight="false" outlineLevel="0" collapsed="false">
      <c r="A21" s="60" t="s">
        <v>470</v>
      </c>
      <c r="B21" s="102" t="str">
        <f aca="false">IF(A21="","","Year "&amp;VALUE(MID(A21,2,2)))</f>
        <v>Year 2</v>
      </c>
      <c r="C21" s="102" t="str">
        <f aca="false">IF(A21="","",MID(A21,4,FIND("/",A21)-4))</f>
        <v>gl</v>
      </c>
      <c r="D21" s="102" t="str">
        <f aca="false">IF(A21="","",MID(A21,FIND("/",A21)+1,2))</f>
        <v>Aa</v>
      </c>
      <c r="E21" s="103" t="str">
        <f aca="false">IF(A21="","",IFERROR(INDEX(SubjName,MATCH(D21,SubjCode,0)),"؟ رمز مادة غير معرّف في Settings"))</f>
        <v>Arabic A</v>
      </c>
      <c r="F21" s="102" t="str">
        <f aca="false">IF(A21="","",MID(A21,FIND("/",A21)+1,10))</f>
        <v>Aa2</v>
      </c>
      <c r="G21" s="63" t="s">
        <v>444</v>
      </c>
      <c r="H21" s="103" t="str">
        <f aca="false">IF(A21="","",IF(G21="","غير محدد (Unassigned)",IFERROR(INDEX(Teachers!$C$6:$C$75,MATCH(G21,Teachers!$A$6:$A$75,0)),"؟ كود معلم غير موجود")))</f>
        <v>Ms Maheer El Waraki</v>
      </c>
      <c r="I21" s="104" t="s">
        <v>442</v>
      </c>
    </row>
    <row r="22" customFormat="false" ht="15" hidden="false" customHeight="false" outlineLevel="0" collapsed="false">
      <c r="A22" s="60" t="s">
        <v>471</v>
      </c>
      <c r="B22" s="102" t="str">
        <f aca="false">IF(A22="","","Year "&amp;VALUE(MID(A22,2,2)))</f>
        <v>Year 2</v>
      </c>
      <c r="C22" s="102" t="str">
        <f aca="false">IF(A22="","",MID(A22,4,FIND("/",A22)-4))</f>
        <v>gl</v>
      </c>
      <c r="D22" s="102" t="str">
        <f aca="false">IF(A22="","",MID(A22,FIND("/",A22)+1,2))</f>
        <v>Ab</v>
      </c>
      <c r="E22" s="103" t="str">
        <f aca="false">IF(A22="","",IFERROR(INDEX(SubjName,MATCH(D22,SubjCode,0)),"؟ رمز مادة غير معرّف في Settings"))</f>
        <v>Arabic B</v>
      </c>
      <c r="F22" s="102" t="str">
        <f aca="false">IF(A22="","",MID(A22,FIND("/",A22)+1,10))</f>
        <v>Ab1</v>
      </c>
      <c r="G22" s="63" t="s">
        <v>446</v>
      </c>
      <c r="H22" s="103" t="str">
        <f aca="false">IF(A22="","",IF(G22="","غير محدد (Unassigned)",IFERROR(INDEX(Teachers!$C$6:$C$75,MATCH(G22,Teachers!$A$6:$A$75,0)),"؟ كود معلم غير موجود")))</f>
        <v>Ms AssmaaM AbdelhakimAli</v>
      </c>
      <c r="I22" s="104" t="s">
        <v>442</v>
      </c>
    </row>
    <row r="23" customFormat="false" ht="15" hidden="false" customHeight="false" outlineLevel="0" collapsed="false">
      <c r="A23" s="60" t="s">
        <v>472</v>
      </c>
      <c r="B23" s="102" t="str">
        <f aca="false">IF(A23="","","Year "&amp;VALUE(MID(A23,2,2)))</f>
        <v>Year 2</v>
      </c>
      <c r="C23" s="102" t="str">
        <f aca="false">IF(A23="","",MID(A23,4,FIND("/",A23)-4))</f>
        <v>gl</v>
      </c>
      <c r="D23" s="102" t="str">
        <f aca="false">IF(A23="","",MID(A23,FIND("/",A23)+1,2))</f>
        <v>Ab</v>
      </c>
      <c r="E23" s="103" t="str">
        <f aca="false">IF(A23="","",IFERROR(INDEX(SubjName,MATCH(D23,SubjCode,0)),"؟ رمز مادة غير معرّف في Settings"))</f>
        <v>Arabic B</v>
      </c>
      <c r="F23" s="102" t="str">
        <f aca="false">IF(A23="","",MID(A23,FIND("/",A23)+1,10))</f>
        <v>Ab2</v>
      </c>
      <c r="G23" s="63" t="s">
        <v>448</v>
      </c>
      <c r="H23" s="103" t="str">
        <f aca="false">IF(A23="","",IF(G23="","غير محدد (Unassigned)",IFERROR(INDEX(Teachers!$C$6:$C$75,MATCH(G23,Teachers!$A$6:$A$75,0)),"؟ كود معلم غير موجود")))</f>
        <v>Ms Rahma Ewais Salem</v>
      </c>
      <c r="I23" s="104" t="s">
        <v>442</v>
      </c>
    </row>
    <row r="24" customFormat="false" ht="15" hidden="false" customHeight="false" outlineLevel="0" collapsed="false">
      <c r="A24" s="60" t="s">
        <v>473</v>
      </c>
      <c r="B24" s="102" t="str">
        <f aca="false">IF(A24="","","Year "&amp;VALUE(MID(A24,2,2)))</f>
        <v>Year 2</v>
      </c>
      <c r="C24" s="102" t="str">
        <f aca="false">IF(A24="","",MID(A24,4,FIND("/",A24)-4))</f>
        <v>gl</v>
      </c>
      <c r="D24" s="102" t="str">
        <f aca="false">IF(A24="","",MID(A24,FIND("/",A24)+1,2))</f>
        <v>Ab</v>
      </c>
      <c r="E24" s="103" t="str">
        <f aca="false">IF(A24="","",IFERROR(INDEX(SubjName,MATCH(D24,SubjCode,0)),"؟ رمز مادة غير معرّف في Settings"))</f>
        <v>Arabic B</v>
      </c>
      <c r="F24" s="102" t="str">
        <f aca="false">IF(A24="","",MID(A24,FIND("/",A24)+1,10))</f>
        <v>Ab3</v>
      </c>
      <c r="G24" s="63" t="s">
        <v>474</v>
      </c>
      <c r="H24" s="103" t="str">
        <f aca="false">IF(A24="","",IF(G24="","غير محدد (Unassigned)",IFERROR(INDEX(Teachers!$C$6:$C$75,MATCH(G24,Teachers!$A$6:$A$75,0)),"؟ كود معلم غير موجود")))</f>
        <v>Ms Hiba Alzaidi</v>
      </c>
      <c r="I24" s="104" t="s">
        <v>442</v>
      </c>
    </row>
    <row r="25" customFormat="false" ht="15" hidden="false" customHeight="false" outlineLevel="0" collapsed="false">
      <c r="A25" s="60" t="s">
        <v>475</v>
      </c>
      <c r="B25" s="102" t="str">
        <f aca="false">IF(A25="","","Year "&amp;VALUE(MID(A25,2,2)))</f>
        <v>Year 2</v>
      </c>
      <c r="C25" s="102" t="str">
        <f aca="false">IF(A25="","",MID(A25,4,FIND("/",A25)-4))</f>
        <v>gl</v>
      </c>
      <c r="D25" s="102" t="str">
        <f aca="false">IF(A25="","",MID(A25,FIND("/",A25)+1,2))</f>
        <v>Ab</v>
      </c>
      <c r="E25" s="103" t="str">
        <f aca="false">IF(A25="","",IFERROR(INDEX(SubjName,MATCH(D25,SubjCode,0)),"؟ رمز مادة غير معرّف في Settings"))</f>
        <v>Arabic B</v>
      </c>
      <c r="F25" s="102" t="str">
        <f aca="false">IF(A25="","",MID(A25,FIND("/",A25)+1,10))</f>
        <v>Ab4</v>
      </c>
      <c r="G25" s="63" t="s">
        <v>476</v>
      </c>
      <c r="H25" s="103" t="str">
        <f aca="false">IF(A25="","",IF(G25="","غير محدد (Unassigned)",IFERROR(INDEX(Teachers!$C$6:$C$75,MATCH(G25,Teachers!$A$6:$A$75,0)),"؟ كود معلم غير موجود")))</f>
        <v>Mr WalidAhmed Elsherbini</v>
      </c>
      <c r="I25" s="104" t="s">
        <v>442</v>
      </c>
    </row>
    <row r="26" customFormat="false" ht="15" hidden="false" customHeight="false" outlineLevel="0" collapsed="false">
      <c r="A26" s="60" t="s">
        <v>477</v>
      </c>
      <c r="B26" s="102" t="str">
        <f aca="false">IF(A26="","","Year "&amp;VALUE(MID(A26,2,2)))</f>
        <v>Year 2</v>
      </c>
      <c r="C26" s="102" t="str">
        <f aca="false">IF(A26="","",MID(A26,4,FIND("/",A26)-4))</f>
        <v>gl</v>
      </c>
      <c r="D26" s="102" t="str">
        <f aca="false">IF(A26="","",MID(A26,FIND("/",A26)+1,2))</f>
        <v>Ua</v>
      </c>
      <c r="E26" s="103" t="str">
        <f aca="false">IF(A26="","",IFERROR(INDEX(SubjName,MATCH(D26,SubjCode,0)),"؟ رمز مادة غير معرّف في Settings"))</f>
        <v>Ua (اسم المادة غير مؤكد)</v>
      </c>
      <c r="F26" s="102" t="str">
        <f aca="false">IF(A26="","",MID(A26,FIND("/",A26)+1,10))</f>
        <v>Ua1</v>
      </c>
      <c r="G26" s="63" t="s">
        <v>456</v>
      </c>
      <c r="H26" s="103" t="str">
        <f aca="false">IF(A26="","",IF(G26="","غير محدد (Unassigned)",IFERROR(INDEX(Teachers!$C$6:$C$75,MATCH(G26,Teachers!$A$6:$A$75,0)),"؟ كود معلم غير موجود")))</f>
        <v>Ms Hanaa Ferky Awadain</v>
      </c>
      <c r="I26" s="104" t="s">
        <v>442</v>
      </c>
    </row>
    <row r="27" customFormat="false" ht="15" hidden="false" customHeight="false" outlineLevel="0" collapsed="false">
      <c r="A27" s="60" t="s">
        <v>478</v>
      </c>
      <c r="B27" s="102" t="str">
        <f aca="false">IF(A27="","","Year "&amp;VALUE(MID(A27,2,2)))</f>
        <v>Year 2</v>
      </c>
      <c r="C27" s="102" t="str">
        <f aca="false">IF(A27="","",MID(A27,4,FIND("/",A27)-4))</f>
        <v>gl</v>
      </c>
      <c r="D27" s="102" t="str">
        <f aca="false">IF(A27="","",MID(A27,FIND("/",A27)+1,2))</f>
        <v>Ua</v>
      </c>
      <c r="E27" s="103" t="str">
        <f aca="false">IF(A27="","",IFERROR(INDEX(SubjName,MATCH(D27,SubjCode,0)),"؟ رمز مادة غير معرّف في Settings"))</f>
        <v>Ua (اسم المادة غير مؤكد)</v>
      </c>
      <c r="F27" s="102" t="str">
        <f aca="false">IF(A27="","",MID(A27,FIND("/",A27)+1,10))</f>
        <v>Ua2</v>
      </c>
      <c r="G27" s="63" t="s">
        <v>458</v>
      </c>
      <c r="H27" s="103" t="str">
        <f aca="false">IF(A27="","",IF(G27="","غير محدد (Unassigned)",IFERROR(INDEX(Teachers!$C$6:$C$75,MATCH(G27,Teachers!$A$6:$A$75,0)),"؟ كود معلم غير موجود")))</f>
        <v>Mr Abdou Ghazy</v>
      </c>
      <c r="I27" s="104" t="s">
        <v>442</v>
      </c>
    </row>
    <row r="28" customFormat="false" ht="15" hidden="false" customHeight="false" outlineLevel="0" collapsed="false">
      <c r="A28" s="60" t="s">
        <v>479</v>
      </c>
      <c r="B28" s="102" t="str">
        <f aca="false">IF(A28="","","Year "&amp;VALUE(MID(A28,2,2)))</f>
        <v>Year 2</v>
      </c>
      <c r="C28" s="102" t="str">
        <f aca="false">IF(A28="","",MID(A28,4,FIND("/",A28)-4))</f>
        <v>jr</v>
      </c>
      <c r="D28" s="102" t="str">
        <f aca="false">IF(A28="","",MID(A28,FIND("/",A28)+1,2))</f>
        <v>Ia</v>
      </c>
      <c r="E28" s="103" t="str">
        <f aca="false">IF(A28="","",IFERROR(INDEX(SubjName,MATCH(D28,SubjCode,0)),"؟ رمز مادة غير معرّف في Settings"))</f>
        <v>Islamic A</v>
      </c>
      <c r="F28" s="102" t="str">
        <f aca="false">IF(A28="","",MID(A28,FIND("/",A28)+1,10))</f>
        <v>Ia1</v>
      </c>
      <c r="G28" s="63" t="s">
        <v>460</v>
      </c>
      <c r="H28" s="103" t="str">
        <f aca="false">IF(A28="","",IF(G28="","غير محدد (Unassigned)",IFERROR(INDEX(Teachers!$C$6:$C$75,MATCH(G28,Teachers!$A$6:$A$75,0)),"؟ كود معلم غير موجود")))</f>
        <v>Mr Ahmad Abdan</v>
      </c>
      <c r="I28" s="104" t="s">
        <v>442</v>
      </c>
    </row>
    <row r="29" customFormat="false" ht="15" hidden="false" customHeight="false" outlineLevel="0" collapsed="false">
      <c r="A29" s="60" t="s">
        <v>480</v>
      </c>
      <c r="B29" s="102" t="str">
        <f aca="false">IF(A29="","","Year "&amp;VALUE(MID(A29,2,2)))</f>
        <v>Year 2</v>
      </c>
      <c r="C29" s="102" t="str">
        <f aca="false">IF(A29="","",MID(A29,4,FIND("/",A29)-4))</f>
        <v>jr</v>
      </c>
      <c r="D29" s="102" t="str">
        <f aca="false">IF(A29="","",MID(A29,FIND("/",A29)+1,2))</f>
        <v>Ia</v>
      </c>
      <c r="E29" s="103" t="str">
        <f aca="false">IF(A29="","",IFERROR(INDEX(SubjName,MATCH(D29,SubjCode,0)),"؟ رمز مادة غير معرّف في Settings"))</f>
        <v>Islamic A</v>
      </c>
      <c r="F29" s="102" t="str">
        <f aca="false">IF(A29="","",MID(A29,FIND("/",A29)+1,10))</f>
        <v>Ia2</v>
      </c>
      <c r="G29" s="63" t="s">
        <v>481</v>
      </c>
      <c r="H29" s="103" t="str">
        <f aca="false">IF(A29="","",IF(G29="","غير محدد (Unassigned)",IFERROR(INDEX(Teachers!$C$6:$C$75,MATCH(G29,Teachers!$A$6:$A$75,0)),"؟ كود معلم غير موجود")))</f>
        <v>Mr Abdelrahman ElSheikh</v>
      </c>
      <c r="I29" s="104" t="s">
        <v>442</v>
      </c>
    </row>
    <row r="30" customFormat="false" ht="15" hidden="false" customHeight="false" outlineLevel="0" collapsed="false">
      <c r="A30" s="60" t="s">
        <v>482</v>
      </c>
      <c r="B30" s="102" t="str">
        <f aca="false">IF(A30="","","Year "&amp;VALUE(MID(A30,2,2)))</f>
        <v>Year 2</v>
      </c>
      <c r="C30" s="102" t="str">
        <f aca="false">IF(A30="","",MID(A30,4,FIND("/",A30)-4))</f>
        <v>jr</v>
      </c>
      <c r="D30" s="102" t="str">
        <f aca="false">IF(A30="","",MID(A30,FIND("/",A30)+1,2))</f>
        <v>Ib</v>
      </c>
      <c r="E30" s="103" t="str">
        <f aca="false">IF(A30="","",IFERROR(INDEX(SubjName,MATCH(D30,SubjCode,0)),"؟ رمز مادة غير معرّف في Settings"))</f>
        <v>Islamic B</v>
      </c>
      <c r="F30" s="102" t="str">
        <f aca="false">IF(A30="","",MID(A30,FIND("/",A30)+1,10))</f>
        <v>Ib1</v>
      </c>
      <c r="G30" s="63" t="s">
        <v>464</v>
      </c>
      <c r="H30" s="103" t="str">
        <f aca="false">IF(A30="","",IF(G30="","غير محدد (Unassigned)",IFERROR(INDEX(Teachers!$C$6:$C$75,MATCH(G30,Teachers!$A$6:$A$75,0)),"؟ كود معلم غير موجود")))</f>
        <v>Mr Hassan FathyR Mohamed</v>
      </c>
      <c r="I30" s="104" t="s">
        <v>442</v>
      </c>
    </row>
    <row r="31" customFormat="false" ht="15" hidden="false" customHeight="false" outlineLevel="0" collapsed="false">
      <c r="A31" s="60" t="s">
        <v>483</v>
      </c>
      <c r="B31" s="102" t="str">
        <f aca="false">IF(A31="","","Year "&amp;VALUE(MID(A31,2,2)))</f>
        <v>Year 2</v>
      </c>
      <c r="C31" s="102" t="str">
        <f aca="false">IF(A31="","",MID(A31,4,FIND("/",A31)-4))</f>
        <v>jr</v>
      </c>
      <c r="D31" s="102" t="str">
        <f aca="false">IF(A31="","",MID(A31,FIND("/",A31)+1,2))</f>
        <v>Ib</v>
      </c>
      <c r="E31" s="103" t="str">
        <f aca="false">IF(A31="","",IFERROR(INDEX(SubjName,MATCH(D31,SubjCode,0)),"؟ رمز مادة غير معرّف في Settings"))</f>
        <v>Islamic B</v>
      </c>
      <c r="F31" s="102" t="str">
        <f aca="false">IF(A31="","",MID(A31,FIND("/",A31)+1,10))</f>
        <v>Ib2</v>
      </c>
      <c r="G31" s="63" t="s">
        <v>466</v>
      </c>
      <c r="H31" s="103" t="str">
        <f aca="false">IF(A31="","",IF(G31="","غير محدد (Unassigned)",IFERROR(INDEX(Teachers!$C$6:$C$75,MATCH(G31,Teachers!$A$6:$A$75,0)),"؟ كود معلم غير موجود")))</f>
        <v>Ms Aya Kalash</v>
      </c>
      <c r="I31" s="104" t="s">
        <v>442</v>
      </c>
    </row>
    <row r="32" customFormat="false" ht="15" hidden="false" customHeight="false" outlineLevel="0" collapsed="false">
      <c r="A32" s="60" t="s">
        <v>484</v>
      </c>
      <c r="B32" s="102" t="str">
        <f aca="false">IF(A32="","","Year "&amp;VALUE(MID(A32,2,2)))</f>
        <v>Year 2</v>
      </c>
      <c r="C32" s="102" t="str">
        <f aca="false">IF(A32="","",MID(A32,4,FIND("/",A32)-4))</f>
        <v>jr</v>
      </c>
      <c r="D32" s="102" t="str">
        <f aca="false">IF(A32="","",MID(A32,FIND("/",A32)+1,2))</f>
        <v>Ib</v>
      </c>
      <c r="E32" s="103" t="str">
        <f aca="false">IF(A32="","",IFERROR(INDEX(SubjName,MATCH(D32,SubjCode,0)),"؟ رمز مادة غير معرّف في Settings"))</f>
        <v>Islamic B</v>
      </c>
      <c r="F32" s="102" t="str">
        <f aca="false">IF(A32="","",MID(A32,FIND("/",A32)+1,10))</f>
        <v>Ib3</v>
      </c>
      <c r="G32" s="63" t="s">
        <v>468</v>
      </c>
      <c r="H32" s="103" t="str">
        <f aca="false">IF(A32="","",IF(G32="","غير محدد (Unassigned)",IFERROR(INDEX(Teachers!$C$6:$C$75,MATCH(G32,Teachers!$A$6:$A$75,0)),"؟ كود معلم غير موجود")))</f>
        <v>Mr Ubaid Ameer Husain</v>
      </c>
      <c r="I32" s="104" t="s">
        <v>442</v>
      </c>
    </row>
    <row r="33" customFormat="false" ht="15" hidden="false" customHeight="false" outlineLevel="0" collapsed="false">
      <c r="A33" s="60" t="s">
        <v>485</v>
      </c>
      <c r="B33" s="102" t="str">
        <f aca="false">IF(A33="","","Year "&amp;VALUE(MID(A33,2,2)))</f>
        <v>Year 2</v>
      </c>
      <c r="C33" s="102" t="str">
        <f aca="false">IF(A33="","",MID(A33,4,FIND("/",A33)-4))</f>
        <v>mr</v>
      </c>
      <c r="D33" s="102" t="str">
        <f aca="false">IF(A33="","",MID(A33,FIND("/",A33)+1,2))</f>
        <v>Aa</v>
      </c>
      <c r="E33" s="103" t="str">
        <f aca="false">IF(A33="","",IFERROR(INDEX(SubjName,MATCH(D33,SubjCode,0)),"؟ رمز مادة غير معرّف في Settings"))</f>
        <v>Arabic A</v>
      </c>
      <c r="F33" s="102" t="str">
        <f aca="false">IF(A33="","",MID(A33,FIND("/",A33)+1,10))</f>
        <v>Aa1</v>
      </c>
      <c r="G33" s="63" t="s">
        <v>441</v>
      </c>
      <c r="H33" s="103" t="str">
        <f aca="false">IF(A33="","",IF(G33="","غير محدد (Unassigned)",IFERROR(INDEX(Teachers!$C$6:$C$75,MATCH(G33,Teachers!$A$6:$A$75,0)),"؟ كود معلم غير موجود")))</f>
        <v>Ms Aya Soliman Eid</v>
      </c>
      <c r="I33" s="104" t="s">
        <v>442</v>
      </c>
    </row>
    <row r="34" customFormat="false" ht="15" hidden="false" customHeight="false" outlineLevel="0" collapsed="false">
      <c r="A34" s="60" t="s">
        <v>486</v>
      </c>
      <c r="B34" s="102" t="str">
        <f aca="false">IF(A34="","","Year "&amp;VALUE(MID(A34,2,2)))</f>
        <v>Year 2</v>
      </c>
      <c r="C34" s="102" t="str">
        <f aca="false">IF(A34="","",MID(A34,4,FIND("/",A34)-4))</f>
        <v>mr</v>
      </c>
      <c r="D34" s="102" t="str">
        <f aca="false">IF(A34="","",MID(A34,FIND("/",A34)+1,2))</f>
        <v>Aa</v>
      </c>
      <c r="E34" s="103" t="str">
        <f aca="false">IF(A34="","",IFERROR(INDEX(SubjName,MATCH(D34,SubjCode,0)),"؟ رمز مادة غير معرّف في Settings"))</f>
        <v>Arabic A</v>
      </c>
      <c r="F34" s="102" t="str">
        <f aca="false">IF(A34="","",MID(A34,FIND("/",A34)+1,10))</f>
        <v>Aa2</v>
      </c>
      <c r="G34" s="63" t="s">
        <v>444</v>
      </c>
      <c r="H34" s="103" t="str">
        <f aca="false">IF(A34="","",IF(G34="","غير محدد (Unassigned)",IFERROR(INDEX(Teachers!$C$6:$C$75,MATCH(G34,Teachers!$A$6:$A$75,0)),"؟ كود معلم غير موجود")))</f>
        <v>Ms Maheer El Waraki</v>
      </c>
      <c r="I34" s="104" t="s">
        <v>442</v>
      </c>
    </row>
    <row r="35" customFormat="false" ht="15" hidden="false" customHeight="false" outlineLevel="0" collapsed="false">
      <c r="A35" s="60" t="s">
        <v>487</v>
      </c>
      <c r="B35" s="102" t="str">
        <f aca="false">IF(A35="","","Year "&amp;VALUE(MID(A35,2,2)))</f>
        <v>Year 2</v>
      </c>
      <c r="C35" s="102" t="str">
        <f aca="false">IF(A35="","",MID(A35,4,FIND("/",A35)-4))</f>
        <v>mr</v>
      </c>
      <c r="D35" s="102" t="str">
        <f aca="false">IF(A35="","",MID(A35,FIND("/",A35)+1,2))</f>
        <v>Ab</v>
      </c>
      <c r="E35" s="103" t="str">
        <f aca="false">IF(A35="","",IFERROR(INDEX(SubjName,MATCH(D35,SubjCode,0)),"؟ رمز مادة غير معرّف في Settings"))</f>
        <v>Arabic B</v>
      </c>
      <c r="F35" s="102" t="str">
        <f aca="false">IF(A35="","",MID(A35,FIND("/",A35)+1,10))</f>
        <v>Ab1</v>
      </c>
      <c r="G35" s="63" t="s">
        <v>446</v>
      </c>
      <c r="H35" s="103" t="str">
        <f aca="false">IF(A35="","",IF(G35="","غير محدد (Unassigned)",IFERROR(INDEX(Teachers!$C$6:$C$75,MATCH(G35,Teachers!$A$6:$A$75,0)),"؟ كود معلم غير موجود")))</f>
        <v>Ms AssmaaM AbdelhakimAli</v>
      </c>
      <c r="I35" s="104" t="s">
        <v>442</v>
      </c>
    </row>
    <row r="36" customFormat="false" ht="15" hidden="false" customHeight="false" outlineLevel="0" collapsed="false">
      <c r="A36" s="60" t="s">
        <v>488</v>
      </c>
      <c r="B36" s="102" t="str">
        <f aca="false">IF(A36="","","Year "&amp;VALUE(MID(A36,2,2)))</f>
        <v>Year 2</v>
      </c>
      <c r="C36" s="102" t="str">
        <f aca="false">IF(A36="","",MID(A36,4,FIND("/",A36)-4))</f>
        <v>mr</v>
      </c>
      <c r="D36" s="102" t="str">
        <f aca="false">IF(A36="","",MID(A36,FIND("/",A36)+1,2))</f>
        <v>Ab</v>
      </c>
      <c r="E36" s="103" t="str">
        <f aca="false">IF(A36="","",IFERROR(INDEX(SubjName,MATCH(D36,SubjCode,0)),"؟ رمز مادة غير معرّف في Settings"))</f>
        <v>Arabic B</v>
      </c>
      <c r="F36" s="102" t="str">
        <f aca="false">IF(A36="","",MID(A36,FIND("/",A36)+1,10))</f>
        <v>Ab2</v>
      </c>
      <c r="G36" s="63" t="s">
        <v>450</v>
      </c>
      <c r="H36" s="103" t="str">
        <f aca="false">IF(A36="","",IF(G36="","غير محدد (Unassigned)",IFERROR(INDEX(Teachers!$C$6:$C$75,MATCH(G36,Teachers!$A$6:$A$75,0)),"؟ كود معلم غير موجود")))</f>
        <v>Ms MonaAhmedAtef Hussein</v>
      </c>
      <c r="I36" s="104" t="s">
        <v>442</v>
      </c>
    </row>
    <row r="37" customFormat="false" ht="15" hidden="false" customHeight="false" outlineLevel="0" collapsed="false">
      <c r="A37" s="60" t="s">
        <v>489</v>
      </c>
      <c r="B37" s="102" t="str">
        <f aca="false">IF(A37="","","Year "&amp;VALUE(MID(A37,2,2)))</f>
        <v>Year 2</v>
      </c>
      <c r="C37" s="102" t="str">
        <f aca="false">IF(A37="","",MID(A37,4,FIND("/",A37)-4))</f>
        <v>mr</v>
      </c>
      <c r="D37" s="102" t="str">
        <f aca="false">IF(A37="","",MID(A37,FIND("/",A37)+1,2))</f>
        <v>Ab</v>
      </c>
      <c r="E37" s="103" t="str">
        <f aca="false">IF(A37="","",IFERROR(INDEX(SubjName,MATCH(D37,SubjCode,0)),"؟ رمز مادة غير معرّف في Settings"))</f>
        <v>Arabic B</v>
      </c>
      <c r="F37" s="102" t="str">
        <f aca="false">IF(A37="","",MID(A37,FIND("/",A37)+1,10))</f>
        <v>Ab3</v>
      </c>
      <c r="G37" s="63" t="s">
        <v>474</v>
      </c>
      <c r="H37" s="103" t="str">
        <f aca="false">IF(A37="","",IF(G37="","غير محدد (Unassigned)",IFERROR(INDEX(Teachers!$C$6:$C$75,MATCH(G37,Teachers!$A$6:$A$75,0)),"؟ كود معلم غير موجود")))</f>
        <v>Ms Hiba Alzaidi</v>
      </c>
      <c r="I37" s="104" t="s">
        <v>442</v>
      </c>
    </row>
    <row r="38" customFormat="false" ht="15" hidden="false" customHeight="false" outlineLevel="0" collapsed="false">
      <c r="A38" s="60" t="s">
        <v>490</v>
      </c>
      <c r="B38" s="102" t="str">
        <f aca="false">IF(A38="","","Year "&amp;VALUE(MID(A38,2,2)))</f>
        <v>Year 2</v>
      </c>
      <c r="C38" s="102" t="str">
        <f aca="false">IF(A38="","",MID(A38,4,FIND("/",A38)-4))</f>
        <v>mr</v>
      </c>
      <c r="D38" s="102" t="str">
        <f aca="false">IF(A38="","",MID(A38,FIND("/",A38)+1,2))</f>
        <v>Ab</v>
      </c>
      <c r="E38" s="103" t="str">
        <f aca="false">IF(A38="","",IFERROR(INDEX(SubjName,MATCH(D38,SubjCode,0)),"؟ رمز مادة غير معرّف في Settings"))</f>
        <v>Arabic B</v>
      </c>
      <c r="F38" s="102" t="str">
        <f aca="false">IF(A38="","",MID(A38,FIND("/",A38)+1,10))</f>
        <v>Ab4</v>
      </c>
      <c r="G38" s="63" t="s">
        <v>491</v>
      </c>
      <c r="H38" s="103" t="str">
        <f aca="false">IF(A38="","",IF(G38="","غير محدد (Unassigned)",IFERROR(INDEX(Teachers!$C$6:$C$75,MATCH(G38,Teachers!$A$6:$A$75,0)),"؟ كود معلم غير موجود")))</f>
        <v>Ms Rana Ashraf Elkhir</v>
      </c>
      <c r="I38" s="104" t="s">
        <v>442</v>
      </c>
    </row>
    <row r="39" customFormat="false" ht="15" hidden="false" customHeight="false" outlineLevel="0" collapsed="false">
      <c r="A39" s="60" t="s">
        <v>492</v>
      </c>
      <c r="B39" s="102" t="str">
        <f aca="false">IF(A39="","","Year "&amp;VALUE(MID(A39,2,2)))</f>
        <v>Year 2</v>
      </c>
      <c r="C39" s="102" t="str">
        <f aca="false">IF(A39="","",MID(A39,4,FIND("/",A39)-4))</f>
        <v>mr</v>
      </c>
      <c r="D39" s="102" t="str">
        <f aca="false">IF(A39="","",MID(A39,FIND("/",A39)+1,2))</f>
        <v>Ua</v>
      </c>
      <c r="E39" s="103" t="str">
        <f aca="false">IF(A39="","",IFERROR(INDEX(SubjName,MATCH(D39,SubjCode,0)),"؟ رمز مادة غير معرّف في Settings"))</f>
        <v>Ua (اسم المادة غير مؤكد)</v>
      </c>
      <c r="F39" s="102" t="str">
        <f aca="false">IF(A39="","",MID(A39,FIND("/",A39)+1,10))</f>
        <v>Ua1</v>
      </c>
      <c r="G39" s="63" t="s">
        <v>456</v>
      </c>
      <c r="H39" s="103" t="str">
        <f aca="false">IF(A39="","",IF(G39="","غير محدد (Unassigned)",IFERROR(INDEX(Teachers!$C$6:$C$75,MATCH(G39,Teachers!$A$6:$A$75,0)),"؟ كود معلم غير موجود")))</f>
        <v>Ms Hanaa Ferky Awadain</v>
      </c>
      <c r="I39" s="104" t="s">
        <v>442</v>
      </c>
    </row>
    <row r="40" customFormat="false" ht="15" hidden="false" customHeight="false" outlineLevel="0" collapsed="false">
      <c r="A40" s="60" t="s">
        <v>493</v>
      </c>
      <c r="B40" s="102" t="str">
        <f aca="false">IF(A40="","","Year "&amp;VALUE(MID(A40,2,2)))</f>
        <v>Year 2</v>
      </c>
      <c r="C40" s="102" t="str">
        <f aca="false">IF(A40="","",MID(A40,4,FIND("/",A40)-4))</f>
        <v>mr</v>
      </c>
      <c r="D40" s="102" t="str">
        <f aca="false">IF(A40="","",MID(A40,FIND("/",A40)+1,2))</f>
        <v>Ua</v>
      </c>
      <c r="E40" s="103" t="str">
        <f aca="false">IF(A40="","",IFERROR(INDEX(SubjName,MATCH(D40,SubjCode,0)),"؟ رمز مادة غير معرّف في Settings"))</f>
        <v>Ua (اسم المادة غير مؤكد)</v>
      </c>
      <c r="F40" s="102" t="str">
        <f aca="false">IF(A40="","",MID(A40,FIND("/",A40)+1,10))</f>
        <v>Ua2</v>
      </c>
      <c r="G40" s="63" t="s">
        <v>458</v>
      </c>
      <c r="H40" s="103" t="str">
        <f aca="false">IF(A40="","",IF(G40="","غير محدد (Unassigned)",IFERROR(INDEX(Teachers!$C$6:$C$75,MATCH(G40,Teachers!$A$6:$A$75,0)),"؟ كود معلم غير موجود")))</f>
        <v>Mr Abdou Ghazy</v>
      </c>
      <c r="I40" s="104" t="s">
        <v>442</v>
      </c>
    </row>
    <row r="41" customFormat="false" ht="15" hidden="false" customHeight="false" outlineLevel="0" collapsed="false">
      <c r="A41" s="60" t="s">
        <v>494</v>
      </c>
      <c r="B41" s="102" t="str">
        <f aca="false">IF(A41="","","Year "&amp;VALUE(MID(A41,2,2)))</f>
        <v>Year 3</v>
      </c>
      <c r="C41" s="102" t="str">
        <f aca="false">IF(A41="","",MID(A41,4,FIND("/",A41)-4))</f>
        <v>ae</v>
      </c>
      <c r="D41" s="102" t="str">
        <f aca="false">IF(A41="","",MID(A41,FIND("/",A41)+1,2))</f>
        <v>Aa</v>
      </c>
      <c r="E41" s="103" t="str">
        <f aca="false">IF(A41="","",IFERROR(INDEX(SubjName,MATCH(D41,SubjCode,0)),"؟ رمز مادة غير معرّف في Settings"))</f>
        <v>Arabic A</v>
      </c>
      <c r="F41" s="102" t="str">
        <f aca="false">IF(A41="","",MID(A41,FIND("/",A41)+1,10))</f>
        <v>Aa1</v>
      </c>
      <c r="G41" s="63" t="s">
        <v>495</v>
      </c>
      <c r="H41" s="103" t="str">
        <f aca="false">IF(A41="","",IF(G41="","غير محدد (Unassigned)",IFERROR(INDEX(Teachers!$C$6:$C$75,MATCH(G41,Teachers!$A$6:$A$75,0)),"؟ كود معلم غير موجود")))</f>
        <v>Ms Eman Rabea</v>
      </c>
      <c r="I41" s="104" t="s">
        <v>442</v>
      </c>
    </row>
    <row r="42" customFormat="false" ht="15" hidden="false" customHeight="false" outlineLevel="0" collapsed="false">
      <c r="A42" s="60" t="s">
        <v>496</v>
      </c>
      <c r="B42" s="102" t="str">
        <f aca="false">IF(A42="","","Year "&amp;VALUE(MID(A42,2,2)))</f>
        <v>Year 3</v>
      </c>
      <c r="C42" s="102" t="str">
        <f aca="false">IF(A42="","",MID(A42,4,FIND("/",A42)-4))</f>
        <v>ae</v>
      </c>
      <c r="D42" s="102" t="str">
        <f aca="false">IF(A42="","",MID(A42,FIND("/",A42)+1,2))</f>
        <v>Aa</v>
      </c>
      <c r="E42" s="103" t="str">
        <f aca="false">IF(A42="","",IFERROR(INDEX(SubjName,MATCH(D42,SubjCode,0)),"؟ رمز مادة غير معرّف في Settings"))</f>
        <v>Arabic A</v>
      </c>
      <c r="F42" s="102" t="str">
        <f aca="false">IF(A42="","",MID(A42,FIND("/",A42)+1,10))</f>
        <v>Aa2</v>
      </c>
      <c r="G42" s="63" t="s">
        <v>497</v>
      </c>
      <c r="H42" s="103" t="str">
        <f aca="false">IF(A42="","",IF(G42="","غير محدد (Unassigned)",IFERROR(INDEX(Teachers!$C$6:$C$75,MATCH(G42,Teachers!$A$6:$A$75,0)),"؟ كود معلم غير موجود")))</f>
        <v>Ms Asmaa A Emara</v>
      </c>
      <c r="I42" s="104" t="s">
        <v>442</v>
      </c>
    </row>
    <row r="43" customFormat="false" ht="15" hidden="false" customHeight="false" outlineLevel="0" collapsed="false">
      <c r="A43" s="60" t="s">
        <v>498</v>
      </c>
      <c r="B43" s="102" t="str">
        <f aca="false">IF(A43="","","Year "&amp;VALUE(MID(A43,2,2)))</f>
        <v>Year 3</v>
      </c>
      <c r="C43" s="102" t="str">
        <f aca="false">IF(A43="","",MID(A43,4,FIND("/",A43)-4))</f>
        <v>ae</v>
      </c>
      <c r="D43" s="102" t="str">
        <f aca="false">IF(A43="","",MID(A43,FIND("/",A43)+1,2))</f>
        <v>Ab</v>
      </c>
      <c r="E43" s="103" t="str">
        <f aca="false">IF(A43="","",IFERROR(INDEX(SubjName,MATCH(D43,SubjCode,0)),"؟ رمز مادة غير معرّف في Settings"))</f>
        <v>Arabic B</v>
      </c>
      <c r="F43" s="102" t="str">
        <f aca="false">IF(A43="","",MID(A43,FIND("/",A43)+1,10))</f>
        <v>Ab1</v>
      </c>
      <c r="G43" s="63" t="s">
        <v>499</v>
      </c>
      <c r="H43" s="103" t="str">
        <f aca="false">IF(A43="","",IF(G43="","غير محدد (Unassigned)",IFERROR(INDEX(Teachers!$C$6:$C$75,MATCH(G43,Teachers!$A$6:$A$75,0)),"؟ كود معلم غير موجود")))</f>
        <v>Ms RemondaElsaid  Bahnas</v>
      </c>
      <c r="I43" s="104" t="s">
        <v>442</v>
      </c>
    </row>
    <row r="44" customFormat="false" ht="15" hidden="false" customHeight="false" outlineLevel="0" collapsed="false">
      <c r="A44" s="60" t="s">
        <v>500</v>
      </c>
      <c r="B44" s="102" t="str">
        <f aca="false">IF(A44="","","Year "&amp;VALUE(MID(A44,2,2)))</f>
        <v>Year 3</v>
      </c>
      <c r="C44" s="102" t="str">
        <f aca="false">IF(A44="","",MID(A44,4,FIND("/",A44)-4))</f>
        <v>ae</v>
      </c>
      <c r="D44" s="102" t="str">
        <f aca="false">IF(A44="","",MID(A44,FIND("/",A44)+1,2))</f>
        <v>Ab</v>
      </c>
      <c r="E44" s="103" t="str">
        <f aca="false">IF(A44="","",IFERROR(INDEX(SubjName,MATCH(D44,SubjCode,0)),"؟ رمز مادة غير معرّف في Settings"))</f>
        <v>Arabic B</v>
      </c>
      <c r="F44" s="102" t="str">
        <f aca="false">IF(A44="","",MID(A44,FIND("/",A44)+1,10))</f>
        <v>Ab2</v>
      </c>
      <c r="G44" s="63" t="s">
        <v>501</v>
      </c>
      <c r="H44" s="103" t="str">
        <f aca="false">IF(A44="","",IF(G44="","غير محدد (Unassigned)",IFERROR(INDEX(Teachers!$C$6:$C$75,MATCH(G44,Teachers!$A$6:$A$75,0)),"؟ كود معلم غير موجود")))</f>
        <v>Ms Sabrin  Kottb</v>
      </c>
      <c r="I44" s="104" t="s">
        <v>442</v>
      </c>
    </row>
    <row r="45" customFormat="false" ht="15" hidden="false" customHeight="false" outlineLevel="0" collapsed="false">
      <c r="A45" s="60" t="s">
        <v>502</v>
      </c>
      <c r="B45" s="102" t="str">
        <f aca="false">IF(A45="","","Year "&amp;VALUE(MID(A45,2,2)))</f>
        <v>Year 3</v>
      </c>
      <c r="C45" s="102" t="str">
        <f aca="false">IF(A45="","",MID(A45,4,FIND("/",A45)-4))</f>
        <v>ae</v>
      </c>
      <c r="D45" s="102" t="str">
        <f aca="false">IF(A45="","",MID(A45,FIND("/",A45)+1,2))</f>
        <v>Ab</v>
      </c>
      <c r="E45" s="103" t="str">
        <f aca="false">IF(A45="","",IFERROR(INDEX(SubjName,MATCH(D45,SubjCode,0)),"؟ رمز مادة غير معرّف في Settings"))</f>
        <v>Arabic B</v>
      </c>
      <c r="F45" s="102" t="str">
        <f aca="false">IF(A45="","",MID(A45,FIND("/",A45)+1,10))</f>
        <v>Ab3</v>
      </c>
      <c r="G45" s="63" t="s">
        <v>446</v>
      </c>
      <c r="H45" s="103" t="str">
        <f aca="false">IF(A45="","",IF(G45="","غير محدد (Unassigned)",IFERROR(INDEX(Teachers!$C$6:$C$75,MATCH(G45,Teachers!$A$6:$A$75,0)),"؟ كود معلم غير موجود")))</f>
        <v>Ms AssmaaM AbdelhakimAli</v>
      </c>
      <c r="I45" s="104" t="s">
        <v>442</v>
      </c>
    </row>
    <row r="46" customFormat="false" ht="15" hidden="false" customHeight="false" outlineLevel="0" collapsed="false">
      <c r="A46" s="60" t="s">
        <v>503</v>
      </c>
      <c r="B46" s="102" t="str">
        <f aca="false">IF(A46="","","Year "&amp;VALUE(MID(A46,2,2)))</f>
        <v>Year 3</v>
      </c>
      <c r="C46" s="102" t="str">
        <f aca="false">IF(A46="","",MID(A46,4,FIND("/",A46)-4))</f>
        <v>ae</v>
      </c>
      <c r="D46" s="102" t="str">
        <f aca="false">IF(A46="","",MID(A46,FIND("/",A46)+1,2))</f>
        <v>Ab</v>
      </c>
      <c r="E46" s="103" t="str">
        <f aca="false">IF(A46="","",IFERROR(INDEX(SubjName,MATCH(D46,SubjCode,0)),"؟ رمز مادة غير معرّف في Settings"))</f>
        <v>Arabic B</v>
      </c>
      <c r="F46" s="102" t="str">
        <f aca="false">IF(A46="","",MID(A46,FIND("/",A46)+1,10))</f>
        <v>Ab4</v>
      </c>
      <c r="G46" s="63" t="s">
        <v>504</v>
      </c>
      <c r="H46" s="103" t="str">
        <f aca="false">IF(A46="","",IF(G46="","غير محدد (Unassigned)",IFERROR(INDEX(Teachers!$C$6:$C$75,MATCH(G46,Teachers!$A$6:$A$75,0)),"؟ كود معلم غير موجود")))</f>
        <v>Ms MinaJamal Al-Qaradagh</v>
      </c>
      <c r="I46" s="104" t="s">
        <v>442</v>
      </c>
    </row>
    <row r="47" customFormat="false" ht="15" hidden="false" customHeight="false" outlineLevel="0" collapsed="false">
      <c r="A47" s="60" t="s">
        <v>505</v>
      </c>
      <c r="B47" s="102" t="str">
        <f aca="false">IF(A47="","","Year "&amp;VALUE(MID(A47,2,2)))</f>
        <v>Year 3</v>
      </c>
      <c r="C47" s="102" t="str">
        <f aca="false">IF(A47="","",MID(A47,4,FIND("/",A47)-4))</f>
        <v>ae</v>
      </c>
      <c r="D47" s="102" t="str">
        <f aca="false">IF(A47="","",MID(A47,FIND("/",A47)+1,2))</f>
        <v>Ua</v>
      </c>
      <c r="E47" s="103" t="str">
        <f aca="false">IF(A47="","",IFERROR(INDEX(SubjName,MATCH(D47,SubjCode,0)),"؟ رمز مادة غير معرّف في Settings"))</f>
        <v>Ua (اسم المادة غير مؤكد)</v>
      </c>
      <c r="F47" s="102" t="str">
        <f aca="false">IF(A47="","",MID(A47,FIND("/",A47)+1,10))</f>
        <v>Ua1</v>
      </c>
      <c r="G47" s="63" t="s">
        <v>456</v>
      </c>
      <c r="H47" s="103" t="str">
        <f aca="false">IF(A47="","",IF(G47="","غير محدد (Unassigned)",IFERROR(INDEX(Teachers!$C$6:$C$75,MATCH(G47,Teachers!$A$6:$A$75,0)),"؟ كود معلم غير موجود")))</f>
        <v>Ms Hanaa Ferky Awadain</v>
      </c>
      <c r="I47" s="104" t="s">
        <v>442</v>
      </c>
    </row>
    <row r="48" customFormat="false" ht="15" hidden="false" customHeight="false" outlineLevel="0" collapsed="false">
      <c r="A48" s="60" t="s">
        <v>506</v>
      </c>
      <c r="B48" s="102" t="str">
        <f aca="false">IF(A48="","","Year "&amp;VALUE(MID(A48,2,2)))</f>
        <v>Year 3</v>
      </c>
      <c r="C48" s="102" t="str">
        <f aca="false">IF(A48="","",MID(A48,4,FIND("/",A48)-4))</f>
        <v>ae</v>
      </c>
      <c r="D48" s="102" t="str">
        <f aca="false">IF(A48="","",MID(A48,FIND("/",A48)+1,2))</f>
        <v>Ua</v>
      </c>
      <c r="E48" s="103" t="str">
        <f aca="false">IF(A48="","",IFERROR(INDEX(SubjName,MATCH(D48,SubjCode,0)),"؟ رمز مادة غير معرّف في Settings"))</f>
        <v>Ua (اسم المادة غير مؤكد)</v>
      </c>
      <c r="F48" s="102" t="str">
        <f aca="false">IF(A48="","",MID(A48,FIND("/",A48)+1,10))</f>
        <v>Ua2</v>
      </c>
      <c r="G48" s="63" t="s">
        <v>458</v>
      </c>
      <c r="H48" s="103" t="str">
        <f aca="false">IF(A48="","",IF(G48="","غير محدد (Unassigned)",IFERROR(INDEX(Teachers!$C$6:$C$75,MATCH(G48,Teachers!$A$6:$A$75,0)),"؟ كود معلم غير موجود")))</f>
        <v>Mr Abdou Ghazy</v>
      </c>
      <c r="I48" s="104" t="s">
        <v>442</v>
      </c>
    </row>
    <row r="49" customFormat="false" ht="15" hidden="false" customHeight="false" outlineLevel="0" collapsed="false">
      <c r="A49" s="60" t="s">
        <v>507</v>
      </c>
      <c r="B49" s="102" t="str">
        <f aca="false">IF(A49="","","Year "&amp;VALUE(MID(A49,2,2)))</f>
        <v>Year 3</v>
      </c>
      <c r="C49" s="102" t="str">
        <f aca="false">IF(A49="","",MID(A49,4,FIND("/",A49)-4))</f>
        <v>ah</v>
      </c>
      <c r="D49" s="102" t="str">
        <f aca="false">IF(A49="","",MID(A49,FIND("/",A49)+1,2))</f>
        <v>Ia</v>
      </c>
      <c r="E49" s="103" t="str">
        <f aca="false">IF(A49="","",IFERROR(INDEX(SubjName,MATCH(D49,SubjCode,0)),"؟ رمز مادة غير معرّف في Settings"))</f>
        <v>Islamic A</v>
      </c>
      <c r="F49" s="102" t="str">
        <f aca="false">IF(A49="","",MID(A49,FIND("/",A49)+1,10))</f>
        <v>Ia1</v>
      </c>
      <c r="G49" s="63" t="s">
        <v>481</v>
      </c>
      <c r="H49" s="103" t="str">
        <f aca="false">IF(A49="","",IF(G49="","غير محدد (Unassigned)",IFERROR(INDEX(Teachers!$C$6:$C$75,MATCH(G49,Teachers!$A$6:$A$75,0)),"؟ كود معلم غير موجود")))</f>
        <v>Mr Abdelrahman ElSheikh</v>
      </c>
      <c r="I49" s="104" t="s">
        <v>442</v>
      </c>
    </row>
    <row r="50" customFormat="false" ht="15" hidden="false" customHeight="false" outlineLevel="0" collapsed="false">
      <c r="A50" s="60" t="s">
        <v>508</v>
      </c>
      <c r="B50" s="102" t="str">
        <f aca="false">IF(A50="","","Year "&amp;VALUE(MID(A50,2,2)))</f>
        <v>Year 3</v>
      </c>
      <c r="C50" s="102" t="str">
        <f aca="false">IF(A50="","",MID(A50,4,FIND("/",A50)-4))</f>
        <v>ah</v>
      </c>
      <c r="D50" s="102" t="str">
        <f aca="false">IF(A50="","",MID(A50,FIND("/",A50)+1,2))</f>
        <v>Ia</v>
      </c>
      <c r="E50" s="103" t="str">
        <f aca="false">IF(A50="","",IFERROR(INDEX(SubjName,MATCH(D50,SubjCode,0)),"؟ رمز مادة غير معرّف في Settings"))</f>
        <v>Islamic A</v>
      </c>
      <c r="F50" s="102" t="str">
        <f aca="false">IF(A50="","",MID(A50,FIND("/",A50)+1,10))</f>
        <v>Ia2</v>
      </c>
      <c r="G50" s="63" t="s">
        <v>462</v>
      </c>
      <c r="H50" s="103" t="str">
        <f aca="false">IF(A50="","",IF(G50="","غير محدد (Unassigned)",IFERROR(INDEX(Teachers!$C$6:$C$75,MATCH(G50,Teachers!$A$6:$A$75,0)),"؟ كود معلم غير موجود")))</f>
        <v>Mr Noureldin Badawy</v>
      </c>
      <c r="I50" s="104" t="s">
        <v>442</v>
      </c>
    </row>
    <row r="51" customFormat="false" ht="15" hidden="false" customHeight="false" outlineLevel="0" collapsed="false">
      <c r="A51" s="60" t="s">
        <v>509</v>
      </c>
      <c r="B51" s="102" t="str">
        <f aca="false">IF(A51="","","Year "&amp;VALUE(MID(A51,2,2)))</f>
        <v>Year 3</v>
      </c>
      <c r="C51" s="102" t="str">
        <f aca="false">IF(A51="","",MID(A51,4,FIND("/",A51)-4))</f>
        <v>ah</v>
      </c>
      <c r="D51" s="102" t="str">
        <f aca="false">IF(A51="","",MID(A51,FIND("/",A51)+1,2))</f>
        <v>Ia</v>
      </c>
      <c r="E51" s="103" t="str">
        <f aca="false">IF(A51="","",IFERROR(INDEX(SubjName,MATCH(D51,SubjCode,0)),"؟ رمز مادة غير معرّف في Settings"))</f>
        <v>Islamic A</v>
      </c>
      <c r="F51" s="102" t="str">
        <f aca="false">IF(A51="","",MID(A51,FIND("/",A51)+1,10))</f>
        <v>Ia3</v>
      </c>
      <c r="G51" s="63" t="s">
        <v>460</v>
      </c>
      <c r="H51" s="103" t="str">
        <f aca="false">IF(A51="","",IF(G51="","غير محدد (Unassigned)",IFERROR(INDEX(Teachers!$C$6:$C$75,MATCH(G51,Teachers!$A$6:$A$75,0)),"؟ كود معلم غير موجود")))</f>
        <v>Mr Ahmad Abdan</v>
      </c>
      <c r="I51" s="104" t="s">
        <v>442</v>
      </c>
    </row>
    <row r="52" customFormat="false" ht="15" hidden="false" customHeight="false" outlineLevel="0" collapsed="false">
      <c r="A52" s="60" t="s">
        <v>510</v>
      </c>
      <c r="B52" s="102" t="str">
        <f aca="false">IF(A52="","","Year "&amp;VALUE(MID(A52,2,2)))</f>
        <v>Year 3</v>
      </c>
      <c r="C52" s="102" t="str">
        <f aca="false">IF(A52="","",MID(A52,4,FIND("/",A52)-4))</f>
        <v>ah</v>
      </c>
      <c r="D52" s="102" t="str">
        <f aca="false">IF(A52="","",MID(A52,FIND("/",A52)+1,2))</f>
        <v>Ib</v>
      </c>
      <c r="E52" s="103" t="str">
        <f aca="false">IF(A52="","",IFERROR(INDEX(SubjName,MATCH(D52,SubjCode,0)),"؟ رمز مادة غير معرّف في Settings"))</f>
        <v>Islamic B</v>
      </c>
      <c r="F52" s="102" t="str">
        <f aca="false">IF(A52="","",MID(A52,FIND("/",A52)+1,10))</f>
        <v>Ib1</v>
      </c>
      <c r="G52" s="63" t="s">
        <v>464</v>
      </c>
      <c r="H52" s="103" t="str">
        <f aca="false">IF(A52="","",IF(G52="","غير محدد (Unassigned)",IFERROR(INDEX(Teachers!$C$6:$C$75,MATCH(G52,Teachers!$A$6:$A$75,0)),"؟ كود معلم غير موجود")))</f>
        <v>Mr Hassan FathyR Mohamed</v>
      </c>
      <c r="I52" s="104" t="s">
        <v>442</v>
      </c>
    </row>
    <row r="53" customFormat="false" ht="15" hidden="false" customHeight="false" outlineLevel="0" collapsed="false">
      <c r="A53" s="60" t="s">
        <v>511</v>
      </c>
      <c r="B53" s="102" t="str">
        <f aca="false">IF(A53="","","Year "&amp;VALUE(MID(A53,2,2)))</f>
        <v>Year 3</v>
      </c>
      <c r="C53" s="102" t="str">
        <f aca="false">IF(A53="","",MID(A53,4,FIND("/",A53)-4))</f>
        <v>ah</v>
      </c>
      <c r="D53" s="102" t="str">
        <f aca="false">IF(A53="","",MID(A53,FIND("/",A53)+1,2))</f>
        <v>Ib</v>
      </c>
      <c r="E53" s="103" t="str">
        <f aca="false">IF(A53="","",IFERROR(INDEX(SubjName,MATCH(D53,SubjCode,0)),"؟ رمز مادة غير معرّف في Settings"))</f>
        <v>Islamic B</v>
      </c>
      <c r="F53" s="102" t="str">
        <f aca="false">IF(A53="","",MID(A53,FIND("/",A53)+1,10))</f>
        <v>Ib2</v>
      </c>
      <c r="G53" s="63" t="s">
        <v>466</v>
      </c>
      <c r="H53" s="103" t="str">
        <f aca="false">IF(A53="","",IF(G53="","غير محدد (Unassigned)",IFERROR(INDEX(Teachers!$C$6:$C$75,MATCH(G53,Teachers!$A$6:$A$75,0)),"؟ كود معلم غير موجود")))</f>
        <v>Ms Aya Kalash</v>
      </c>
      <c r="I53" s="104" t="s">
        <v>442</v>
      </c>
    </row>
    <row r="54" customFormat="false" ht="15" hidden="false" customHeight="false" outlineLevel="0" collapsed="false">
      <c r="A54" s="60" t="s">
        <v>512</v>
      </c>
      <c r="B54" s="102" t="str">
        <f aca="false">IF(A54="","","Year "&amp;VALUE(MID(A54,2,2)))</f>
        <v>Year 3</v>
      </c>
      <c r="C54" s="102" t="str">
        <f aca="false">IF(A54="","",MID(A54,4,FIND("/",A54)-4))</f>
        <v>ah</v>
      </c>
      <c r="D54" s="102" t="str">
        <f aca="false">IF(A54="","",MID(A54,FIND("/",A54)+1,2))</f>
        <v>Ib</v>
      </c>
      <c r="E54" s="103" t="str">
        <f aca="false">IF(A54="","",IFERROR(INDEX(SubjName,MATCH(D54,SubjCode,0)),"؟ رمز مادة غير معرّف في Settings"))</f>
        <v>Islamic B</v>
      </c>
      <c r="F54" s="102" t="str">
        <f aca="false">IF(A54="","",MID(A54,FIND("/",A54)+1,10))</f>
        <v>Ib3</v>
      </c>
      <c r="G54" s="63" t="s">
        <v>468</v>
      </c>
      <c r="H54" s="103" t="str">
        <f aca="false">IF(A54="","",IF(G54="","غير محدد (Unassigned)",IFERROR(INDEX(Teachers!$C$6:$C$75,MATCH(G54,Teachers!$A$6:$A$75,0)),"؟ كود معلم غير موجود")))</f>
        <v>Mr Ubaid Ameer Husain</v>
      </c>
      <c r="I54" s="104" t="s">
        <v>442</v>
      </c>
    </row>
    <row r="55" customFormat="false" ht="15" hidden="false" customHeight="false" outlineLevel="0" collapsed="false">
      <c r="A55" s="60" t="s">
        <v>513</v>
      </c>
      <c r="B55" s="102" t="str">
        <f aca="false">IF(A55="","","Year "&amp;VALUE(MID(A55,2,2)))</f>
        <v>Year 3</v>
      </c>
      <c r="C55" s="102" t="str">
        <f aca="false">IF(A55="","",MID(A55,4,FIND("/",A55)-4))</f>
        <v>fj</v>
      </c>
      <c r="D55" s="102" t="str">
        <f aca="false">IF(A55="","",MID(A55,FIND("/",A55)+1,2))</f>
        <v>Aa</v>
      </c>
      <c r="E55" s="103" t="str">
        <f aca="false">IF(A55="","",IFERROR(INDEX(SubjName,MATCH(D55,SubjCode,0)),"؟ رمز مادة غير معرّف في Settings"))</f>
        <v>Arabic A</v>
      </c>
      <c r="F55" s="102" t="str">
        <f aca="false">IF(A55="","",MID(A55,FIND("/",A55)+1,10))</f>
        <v>Aa1</v>
      </c>
      <c r="G55" s="63" t="s">
        <v>495</v>
      </c>
      <c r="H55" s="103" t="str">
        <f aca="false">IF(A55="","",IF(G55="","غير محدد (Unassigned)",IFERROR(INDEX(Teachers!$C$6:$C$75,MATCH(G55,Teachers!$A$6:$A$75,0)),"؟ كود معلم غير موجود")))</f>
        <v>Ms Eman Rabea</v>
      </c>
      <c r="I55" s="104" t="s">
        <v>442</v>
      </c>
    </row>
    <row r="56" customFormat="false" ht="15" hidden="false" customHeight="false" outlineLevel="0" collapsed="false">
      <c r="A56" s="60" t="s">
        <v>514</v>
      </c>
      <c r="B56" s="102" t="str">
        <f aca="false">IF(A56="","","Year "&amp;VALUE(MID(A56,2,2)))</f>
        <v>Year 3</v>
      </c>
      <c r="C56" s="102" t="str">
        <f aca="false">IF(A56="","",MID(A56,4,FIND("/",A56)-4))</f>
        <v>fj</v>
      </c>
      <c r="D56" s="102" t="str">
        <f aca="false">IF(A56="","",MID(A56,FIND("/",A56)+1,2))</f>
        <v>Aa</v>
      </c>
      <c r="E56" s="103" t="str">
        <f aca="false">IF(A56="","",IFERROR(INDEX(SubjName,MATCH(D56,SubjCode,0)),"؟ رمز مادة غير معرّف في Settings"))</f>
        <v>Arabic A</v>
      </c>
      <c r="F56" s="102" t="str">
        <f aca="false">IF(A56="","",MID(A56,FIND("/",A56)+1,10))</f>
        <v>Aa2</v>
      </c>
      <c r="G56" s="63" t="s">
        <v>497</v>
      </c>
      <c r="H56" s="103" t="str">
        <f aca="false">IF(A56="","",IF(G56="","غير محدد (Unassigned)",IFERROR(INDEX(Teachers!$C$6:$C$75,MATCH(G56,Teachers!$A$6:$A$75,0)),"؟ كود معلم غير موجود")))</f>
        <v>Ms Asmaa A Emara</v>
      </c>
      <c r="I56" s="104" t="s">
        <v>442</v>
      </c>
    </row>
    <row r="57" customFormat="false" ht="15" hidden="false" customHeight="false" outlineLevel="0" collapsed="false">
      <c r="A57" s="60" t="s">
        <v>515</v>
      </c>
      <c r="B57" s="102" t="str">
        <f aca="false">IF(A57="","","Year "&amp;VALUE(MID(A57,2,2)))</f>
        <v>Year 3</v>
      </c>
      <c r="C57" s="102" t="str">
        <f aca="false">IF(A57="","",MID(A57,4,FIND("/",A57)-4))</f>
        <v>fj</v>
      </c>
      <c r="D57" s="102" t="str">
        <f aca="false">IF(A57="","",MID(A57,FIND("/",A57)+1,2))</f>
        <v>Ab</v>
      </c>
      <c r="E57" s="103" t="str">
        <f aca="false">IF(A57="","",IFERROR(INDEX(SubjName,MATCH(D57,SubjCode,0)),"؟ رمز مادة غير معرّف في Settings"))</f>
        <v>Arabic B</v>
      </c>
      <c r="F57" s="102" t="str">
        <f aca="false">IF(A57="","",MID(A57,FIND("/",A57)+1,10))</f>
        <v>Ab1</v>
      </c>
      <c r="G57" s="63" t="s">
        <v>499</v>
      </c>
      <c r="H57" s="103" t="str">
        <f aca="false">IF(A57="","",IF(G57="","غير محدد (Unassigned)",IFERROR(INDEX(Teachers!$C$6:$C$75,MATCH(G57,Teachers!$A$6:$A$75,0)),"؟ كود معلم غير موجود")))</f>
        <v>Ms RemondaElsaid  Bahnas</v>
      </c>
      <c r="I57" s="104" t="s">
        <v>442</v>
      </c>
    </row>
    <row r="58" customFormat="false" ht="15" hidden="false" customHeight="false" outlineLevel="0" collapsed="false">
      <c r="A58" s="60" t="s">
        <v>516</v>
      </c>
      <c r="B58" s="102" t="str">
        <f aca="false">IF(A58="","","Year "&amp;VALUE(MID(A58,2,2)))</f>
        <v>Year 3</v>
      </c>
      <c r="C58" s="102" t="str">
        <f aca="false">IF(A58="","",MID(A58,4,FIND("/",A58)-4))</f>
        <v>fj</v>
      </c>
      <c r="D58" s="102" t="str">
        <f aca="false">IF(A58="","",MID(A58,FIND("/",A58)+1,2))</f>
        <v>Ab</v>
      </c>
      <c r="E58" s="103" t="str">
        <f aca="false">IF(A58="","",IFERROR(INDEX(SubjName,MATCH(D58,SubjCode,0)),"؟ رمز مادة غير معرّف في Settings"))</f>
        <v>Arabic B</v>
      </c>
      <c r="F58" s="102" t="str">
        <f aca="false">IF(A58="","",MID(A58,FIND("/",A58)+1,10))</f>
        <v>Ab2</v>
      </c>
      <c r="G58" s="63" t="s">
        <v>501</v>
      </c>
      <c r="H58" s="103" t="str">
        <f aca="false">IF(A58="","",IF(G58="","غير محدد (Unassigned)",IFERROR(INDEX(Teachers!$C$6:$C$75,MATCH(G58,Teachers!$A$6:$A$75,0)),"؟ كود معلم غير موجود")))</f>
        <v>Ms Sabrin  Kottb</v>
      </c>
      <c r="I58" s="104" t="s">
        <v>442</v>
      </c>
    </row>
    <row r="59" customFormat="false" ht="15" hidden="false" customHeight="false" outlineLevel="0" collapsed="false">
      <c r="A59" s="60" t="s">
        <v>517</v>
      </c>
      <c r="B59" s="102" t="str">
        <f aca="false">IF(A59="","","Year "&amp;VALUE(MID(A59,2,2)))</f>
        <v>Year 3</v>
      </c>
      <c r="C59" s="102" t="str">
        <f aca="false">IF(A59="","",MID(A59,4,FIND("/",A59)-4))</f>
        <v>fj</v>
      </c>
      <c r="D59" s="102" t="str">
        <f aca="false">IF(A59="","",MID(A59,FIND("/",A59)+1,2))</f>
        <v>Ab</v>
      </c>
      <c r="E59" s="103" t="str">
        <f aca="false">IF(A59="","",IFERROR(INDEX(SubjName,MATCH(D59,SubjCode,0)),"؟ رمز مادة غير معرّف في Settings"))</f>
        <v>Arabic B</v>
      </c>
      <c r="F59" s="102" t="str">
        <f aca="false">IF(A59="","",MID(A59,FIND("/",A59)+1,10))</f>
        <v>Ab3</v>
      </c>
      <c r="G59" s="63" t="s">
        <v>518</v>
      </c>
      <c r="H59" s="103" t="str">
        <f aca="false">IF(A59="","",IF(G59="","غير محدد (Unassigned)",IFERROR(INDEX(Teachers!$C$6:$C$75,MATCH(G59,Teachers!$A$6:$A$75,0)),"؟ كود معلم غير موجود")))</f>
        <v>Ms Mennatallah A Mohamed</v>
      </c>
      <c r="I59" s="104" t="s">
        <v>442</v>
      </c>
    </row>
    <row r="60" customFormat="false" ht="15" hidden="false" customHeight="false" outlineLevel="0" collapsed="false">
      <c r="A60" s="60" t="s">
        <v>519</v>
      </c>
      <c r="B60" s="102" t="str">
        <f aca="false">IF(A60="","","Year "&amp;VALUE(MID(A60,2,2)))</f>
        <v>Year 3</v>
      </c>
      <c r="C60" s="102" t="str">
        <f aca="false">IF(A60="","",MID(A60,4,FIND("/",A60)-4))</f>
        <v>fj</v>
      </c>
      <c r="D60" s="102" t="str">
        <f aca="false">IF(A60="","",MID(A60,FIND("/",A60)+1,2))</f>
        <v>Ab</v>
      </c>
      <c r="E60" s="103" t="str">
        <f aca="false">IF(A60="","",IFERROR(INDEX(SubjName,MATCH(D60,SubjCode,0)),"؟ رمز مادة غير معرّف في Settings"))</f>
        <v>Arabic B</v>
      </c>
      <c r="F60" s="102" t="str">
        <f aca="false">IF(A60="","",MID(A60,FIND("/",A60)+1,10))</f>
        <v>Ab4</v>
      </c>
      <c r="G60" s="63" t="s">
        <v>504</v>
      </c>
      <c r="H60" s="103" t="str">
        <f aca="false">IF(A60="","",IF(G60="","غير محدد (Unassigned)",IFERROR(INDEX(Teachers!$C$6:$C$75,MATCH(G60,Teachers!$A$6:$A$75,0)),"؟ كود معلم غير موجود")))</f>
        <v>Ms MinaJamal Al-Qaradagh</v>
      </c>
      <c r="I60" s="104" t="s">
        <v>442</v>
      </c>
    </row>
    <row r="61" customFormat="false" ht="15" hidden="false" customHeight="false" outlineLevel="0" collapsed="false">
      <c r="A61" s="60" t="s">
        <v>520</v>
      </c>
      <c r="B61" s="102" t="str">
        <f aca="false">IF(A61="","","Year "&amp;VALUE(MID(A61,2,2)))</f>
        <v>Year 3</v>
      </c>
      <c r="C61" s="102" t="str">
        <f aca="false">IF(A61="","",MID(A61,4,FIND("/",A61)-4))</f>
        <v>fj</v>
      </c>
      <c r="D61" s="102" t="str">
        <f aca="false">IF(A61="","",MID(A61,FIND("/",A61)+1,2))</f>
        <v>Ua</v>
      </c>
      <c r="E61" s="103" t="str">
        <f aca="false">IF(A61="","",IFERROR(INDEX(SubjName,MATCH(D61,SubjCode,0)),"؟ رمز مادة غير معرّف في Settings"))</f>
        <v>Ua (اسم المادة غير مؤكد)</v>
      </c>
      <c r="F61" s="102" t="str">
        <f aca="false">IF(A61="","",MID(A61,FIND("/",A61)+1,10))</f>
        <v>Ua1</v>
      </c>
      <c r="G61" s="63" t="s">
        <v>456</v>
      </c>
      <c r="H61" s="103" t="str">
        <f aca="false">IF(A61="","",IF(G61="","غير محدد (Unassigned)",IFERROR(INDEX(Teachers!$C$6:$C$75,MATCH(G61,Teachers!$A$6:$A$75,0)),"؟ كود معلم غير موجود")))</f>
        <v>Ms Hanaa Ferky Awadain</v>
      </c>
      <c r="I61" s="104" t="s">
        <v>442</v>
      </c>
    </row>
    <row r="62" customFormat="false" ht="15" hidden="false" customHeight="false" outlineLevel="0" collapsed="false">
      <c r="A62" s="60" t="s">
        <v>521</v>
      </c>
      <c r="B62" s="102" t="str">
        <f aca="false">IF(A62="","","Year "&amp;VALUE(MID(A62,2,2)))</f>
        <v>Year 3</v>
      </c>
      <c r="C62" s="102" t="str">
        <f aca="false">IF(A62="","",MID(A62,4,FIND("/",A62)-4))</f>
        <v>fj</v>
      </c>
      <c r="D62" s="102" t="str">
        <f aca="false">IF(A62="","",MID(A62,FIND("/",A62)+1,2))</f>
        <v>Ua</v>
      </c>
      <c r="E62" s="103" t="str">
        <f aca="false">IF(A62="","",IFERROR(INDEX(SubjName,MATCH(D62,SubjCode,0)),"؟ رمز مادة غير معرّف في Settings"))</f>
        <v>Ua (اسم المادة غير مؤكد)</v>
      </c>
      <c r="F62" s="102" t="str">
        <f aca="false">IF(A62="","",MID(A62,FIND("/",A62)+1,10))</f>
        <v>Ua2</v>
      </c>
      <c r="G62" s="63" t="s">
        <v>458</v>
      </c>
      <c r="H62" s="103" t="str">
        <f aca="false">IF(A62="","",IF(G62="","غير محدد (Unassigned)",IFERROR(INDEX(Teachers!$C$6:$C$75,MATCH(G62,Teachers!$A$6:$A$75,0)),"؟ كود معلم غير موجود")))</f>
        <v>Mr Abdou Ghazy</v>
      </c>
      <c r="I62" s="104" t="s">
        <v>442</v>
      </c>
    </row>
    <row r="63" customFormat="false" ht="15" hidden="false" customHeight="false" outlineLevel="0" collapsed="false">
      <c r="A63" s="60" t="s">
        <v>522</v>
      </c>
      <c r="B63" s="102" t="str">
        <f aca="false">IF(A63="","","Year "&amp;VALUE(MID(A63,2,2)))</f>
        <v>Year 3</v>
      </c>
      <c r="C63" s="102" t="str">
        <f aca="false">IF(A63="","",MID(A63,4,FIND("/",A63)-4))</f>
        <v>ip</v>
      </c>
      <c r="D63" s="102" t="str">
        <f aca="false">IF(A63="","",MID(A63,FIND("/",A63)+1,2))</f>
        <v>Ia</v>
      </c>
      <c r="E63" s="103" t="str">
        <f aca="false">IF(A63="","",IFERROR(INDEX(SubjName,MATCH(D63,SubjCode,0)),"؟ رمز مادة غير معرّف في Settings"))</f>
        <v>Islamic A</v>
      </c>
      <c r="F63" s="102" t="str">
        <f aca="false">IF(A63="","",MID(A63,FIND("/",A63)+1,10))</f>
        <v>Ia1</v>
      </c>
      <c r="G63" s="63" t="s">
        <v>460</v>
      </c>
      <c r="H63" s="103" t="str">
        <f aca="false">IF(A63="","",IF(G63="","غير محدد (Unassigned)",IFERROR(INDEX(Teachers!$C$6:$C$75,MATCH(G63,Teachers!$A$6:$A$75,0)),"؟ كود معلم غير موجود")))</f>
        <v>Mr Ahmad Abdan</v>
      </c>
      <c r="I63" s="104" t="s">
        <v>442</v>
      </c>
    </row>
    <row r="64" customFormat="false" ht="15" hidden="false" customHeight="false" outlineLevel="0" collapsed="false">
      <c r="A64" s="60" t="s">
        <v>523</v>
      </c>
      <c r="B64" s="102" t="str">
        <f aca="false">IF(A64="","","Year "&amp;VALUE(MID(A64,2,2)))</f>
        <v>Year 3</v>
      </c>
      <c r="C64" s="102" t="str">
        <f aca="false">IF(A64="","",MID(A64,4,FIND("/",A64)-4))</f>
        <v>ip</v>
      </c>
      <c r="D64" s="102" t="str">
        <f aca="false">IF(A64="","",MID(A64,FIND("/",A64)+1,2))</f>
        <v>Ia</v>
      </c>
      <c r="E64" s="103" t="str">
        <f aca="false">IF(A64="","",IFERROR(INDEX(SubjName,MATCH(D64,SubjCode,0)),"؟ رمز مادة غير معرّف في Settings"))</f>
        <v>Islamic A</v>
      </c>
      <c r="F64" s="102" t="str">
        <f aca="false">IF(A64="","",MID(A64,FIND("/",A64)+1,10))</f>
        <v>Ia2</v>
      </c>
      <c r="G64" s="63" t="s">
        <v>462</v>
      </c>
      <c r="H64" s="103" t="str">
        <f aca="false">IF(A64="","",IF(G64="","غير محدد (Unassigned)",IFERROR(INDEX(Teachers!$C$6:$C$75,MATCH(G64,Teachers!$A$6:$A$75,0)),"؟ كود معلم غير موجود")))</f>
        <v>Mr Noureldin Badawy</v>
      </c>
      <c r="I64" s="104" t="s">
        <v>442</v>
      </c>
    </row>
    <row r="65" customFormat="false" ht="15" hidden="false" customHeight="false" outlineLevel="0" collapsed="false">
      <c r="A65" s="60" t="s">
        <v>524</v>
      </c>
      <c r="B65" s="102" t="str">
        <f aca="false">IF(A65="","","Year "&amp;VALUE(MID(A65,2,2)))</f>
        <v>Year 3</v>
      </c>
      <c r="C65" s="102" t="str">
        <f aca="false">IF(A65="","",MID(A65,4,FIND("/",A65)-4))</f>
        <v>ip</v>
      </c>
      <c r="D65" s="102" t="str">
        <f aca="false">IF(A65="","",MID(A65,FIND("/",A65)+1,2))</f>
        <v>Ib</v>
      </c>
      <c r="E65" s="103" t="str">
        <f aca="false">IF(A65="","",IFERROR(INDEX(SubjName,MATCH(D65,SubjCode,0)),"؟ رمز مادة غير معرّف في Settings"))</f>
        <v>Islamic B</v>
      </c>
      <c r="F65" s="102" t="str">
        <f aca="false">IF(A65="","",MID(A65,FIND("/",A65)+1,10))</f>
        <v>Ib1</v>
      </c>
      <c r="G65" s="63" t="s">
        <v>464</v>
      </c>
      <c r="H65" s="103" t="str">
        <f aca="false">IF(A65="","",IF(G65="","غير محدد (Unassigned)",IFERROR(INDEX(Teachers!$C$6:$C$75,MATCH(G65,Teachers!$A$6:$A$75,0)),"؟ كود معلم غير موجود")))</f>
        <v>Mr Hassan FathyR Mohamed</v>
      </c>
      <c r="I65" s="104" t="s">
        <v>442</v>
      </c>
    </row>
    <row r="66" customFormat="false" ht="15" hidden="false" customHeight="false" outlineLevel="0" collapsed="false">
      <c r="A66" s="60" t="s">
        <v>525</v>
      </c>
      <c r="B66" s="102" t="str">
        <f aca="false">IF(A66="","","Year "&amp;VALUE(MID(A66,2,2)))</f>
        <v>Year 3</v>
      </c>
      <c r="C66" s="102" t="str">
        <f aca="false">IF(A66="","",MID(A66,4,FIND("/",A66)-4))</f>
        <v>ip</v>
      </c>
      <c r="D66" s="102" t="str">
        <f aca="false">IF(A66="","",MID(A66,FIND("/",A66)+1,2))</f>
        <v>Ib</v>
      </c>
      <c r="E66" s="103" t="str">
        <f aca="false">IF(A66="","",IFERROR(INDEX(SubjName,MATCH(D66,SubjCode,0)),"؟ رمز مادة غير معرّف في Settings"))</f>
        <v>Islamic B</v>
      </c>
      <c r="F66" s="102" t="str">
        <f aca="false">IF(A66="","",MID(A66,FIND("/",A66)+1,10))</f>
        <v>Ib2</v>
      </c>
      <c r="G66" s="63" t="s">
        <v>466</v>
      </c>
      <c r="H66" s="103" t="str">
        <f aca="false">IF(A66="","",IF(G66="","غير محدد (Unassigned)",IFERROR(INDEX(Teachers!$C$6:$C$75,MATCH(G66,Teachers!$A$6:$A$75,0)),"؟ كود معلم غير موجود")))</f>
        <v>Ms Aya Kalash</v>
      </c>
      <c r="I66" s="104" t="s">
        <v>442</v>
      </c>
    </row>
    <row r="67" customFormat="false" ht="15" hidden="false" customHeight="false" outlineLevel="0" collapsed="false">
      <c r="A67" s="60" t="s">
        <v>526</v>
      </c>
      <c r="B67" s="102" t="str">
        <f aca="false">IF(A67="","","Year "&amp;VALUE(MID(A67,2,2)))</f>
        <v>Year 3</v>
      </c>
      <c r="C67" s="102" t="str">
        <f aca="false">IF(A67="","",MID(A67,4,FIND("/",A67)-4))</f>
        <v>ip</v>
      </c>
      <c r="D67" s="102" t="str">
        <f aca="false">IF(A67="","",MID(A67,FIND("/",A67)+1,2))</f>
        <v>Ib</v>
      </c>
      <c r="E67" s="103" t="str">
        <f aca="false">IF(A67="","",IFERROR(INDEX(SubjName,MATCH(D67,SubjCode,0)),"؟ رمز مادة غير معرّف في Settings"))</f>
        <v>Islamic B</v>
      </c>
      <c r="F67" s="102" t="str">
        <f aca="false">IF(A67="","",MID(A67,FIND("/",A67)+1,10))</f>
        <v>Ib3</v>
      </c>
      <c r="G67" s="63" t="s">
        <v>468</v>
      </c>
      <c r="H67" s="103" t="str">
        <f aca="false">IF(A67="","",IF(G67="","غير محدد (Unassigned)",IFERROR(INDEX(Teachers!$C$6:$C$75,MATCH(G67,Teachers!$A$6:$A$75,0)),"؟ كود معلم غير موجود")))</f>
        <v>Mr Ubaid Ameer Husain</v>
      </c>
      <c r="I67" s="104" t="s">
        <v>442</v>
      </c>
    </row>
    <row r="68" customFormat="false" ht="15" hidden="false" customHeight="false" outlineLevel="0" collapsed="false">
      <c r="A68" s="60" t="s">
        <v>527</v>
      </c>
      <c r="B68" s="102" t="str">
        <f aca="false">IF(A68="","","Year "&amp;VALUE(MID(A68,2,2)))</f>
        <v>Year 3</v>
      </c>
      <c r="C68" s="102" t="str">
        <f aca="false">IF(A68="","",MID(A68,4,FIND("/",A68)-4))</f>
        <v>kp</v>
      </c>
      <c r="D68" s="102" t="str">
        <f aca="false">IF(A68="","",MID(A68,FIND("/",A68)+1,2))</f>
        <v>Aa</v>
      </c>
      <c r="E68" s="103" t="str">
        <f aca="false">IF(A68="","",IFERROR(INDEX(SubjName,MATCH(D68,SubjCode,0)),"؟ رمز مادة غير معرّف في Settings"))</f>
        <v>Arabic A</v>
      </c>
      <c r="F68" s="102" t="str">
        <f aca="false">IF(A68="","",MID(A68,FIND("/",A68)+1,10))</f>
        <v>Aa1</v>
      </c>
      <c r="G68" s="63" t="s">
        <v>441</v>
      </c>
      <c r="H68" s="103" t="str">
        <f aca="false">IF(A68="","",IF(G68="","غير محدد (Unassigned)",IFERROR(INDEX(Teachers!$C$6:$C$75,MATCH(G68,Teachers!$A$6:$A$75,0)),"؟ كود معلم غير موجود")))</f>
        <v>Ms Aya Soliman Eid</v>
      </c>
      <c r="I68" s="104" t="s">
        <v>442</v>
      </c>
    </row>
    <row r="69" customFormat="false" ht="15" hidden="false" customHeight="false" outlineLevel="0" collapsed="false">
      <c r="A69" s="60" t="s">
        <v>528</v>
      </c>
      <c r="B69" s="102" t="str">
        <f aca="false">IF(A69="","","Year "&amp;VALUE(MID(A69,2,2)))</f>
        <v>Year 3</v>
      </c>
      <c r="C69" s="102" t="str">
        <f aca="false">IF(A69="","",MID(A69,4,FIND("/",A69)-4))</f>
        <v>kp</v>
      </c>
      <c r="D69" s="102" t="str">
        <f aca="false">IF(A69="","",MID(A69,FIND("/",A69)+1,2))</f>
        <v>Aa</v>
      </c>
      <c r="E69" s="103" t="str">
        <f aca="false">IF(A69="","",IFERROR(INDEX(SubjName,MATCH(D69,SubjCode,0)),"؟ رمز مادة غير معرّف في Settings"))</f>
        <v>Arabic A</v>
      </c>
      <c r="F69" s="102" t="str">
        <f aca="false">IF(A69="","",MID(A69,FIND("/",A69)+1,10))</f>
        <v>Aa2</v>
      </c>
      <c r="G69" s="63" t="s">
        <v>444</v>
      </c>
      <c r="H69" s="103" t="str">
        <f aca="false">IF(A69="","",IF(G69="","غير محدد (Unassigned)",IFERROR(INDEX(Teachers!$C$6:$C$75,MATCH(G69,Teachers!$A$6:$A$75,0)),"؟ كود معلم غير موجود")))</f>
        <v>Ms Maheer El Waraki</v>
      </c>
      <c r="I69" s="104" t="s">
        <v>442</v>
      </c>
    </row>
    <row r="70" customFormat="false" ht="15" hidden="false" customHeight="false" outlineLevel="0" collapsed="false">
      <c r="A70" s="60" t="s">
        <v>529</v>
      </c>
      <c r="B70" s="102" t="str">
        <f aca="false">IF(A70="","","Year "&amp;VALUE(MID(A70,2,2)))</f>
        <v>Year 3</v>
      </c>
      <c r="C70" s="102" t="str">
        <f aca="false">IF(A70="","",MID(A70,4,FIND("/",A70)-4))</f>
        <v>kp</v>
      </c>
      <c r="D70" s="102" t="str">
        <f aca="false">IF(A70="","",MID(A70,FIND("/",A70)+1,2))</f>
        <v>Ab</v>
      </c>
      <c r="E70" s="103" t="str">
        <f aca="false">IF(A70="","",IFERROR(INDEX(SubjName,MATCH(D70,SubjCode,0)),"؟ رمز مادة غير معرّف في Settings"))</f>
        <v>Arabic B</v>
      </c>
      <c r="F70" s="102" t="str">
        <f aca="false">IF(A70="","",MID(A70,FIND("/",A70)+1,10))</f>
        <v>Ab1</v>
      </c>
      <c r="G70" s="63" t="s">
        <v>499</v>
      </c>
      <c r="H70" s="103" t="str">
        <f aca="false">IF(A70="","",IF(G70="","غير محدد (Unassigned)",IFERROR(INDEX(Teachers!$C$6:$C$75,MATCH(G70,Teachers!$A$6:$A$75,0)),"؟ كود معلم غير موجود")))</f>
        <v>Ms RemondaElsaid  Bahnas</v>
      </c>
      <c r="I70" s="104" t="s">
        <v>442</v>
      </c>
    </row>
    <row r="71" customFormat="false" ht="15" hidden="false" customHeight="false" outlineLevel="0" collapsed="false">
      <c r="A71" s="60" t="s">
        <v>530</v>
      </c>
      <c r="B71" s="102" t="str">
        <f aca="false">IF(A71="","","Year "&amp;VALUE(MID(A71,2,2)))</f>
        <v>Year 3</v>
      </c>
      <c r="C71" s="102" t="str">
        <f aca="false">IF(A71="","",MID(A71,4,FIND("/",A71)-4))</f>
        <v>kp</v>
      </c>
      <c r="D71" s="102" t="str">
        <f aca="false">IF(A71="","",MID(A71,FIND("/",A71)+1,2))</f>
        <v>Ab</v>
      </c>
      <c r="E71" s="103" t="str">
        <f aca="false">IF(A71="","",IFERROR(INDEX(SubjName,MATCH(D71,SubjCode,0)),"؟ رمز مادة غير معرّف في Settings"))</f>
        <v>Arabic B</v>
      </c>
      <c r="F71" s="102" t="str">
        <f aca="false">IF(A71="","",MID(A71,FIND("/",A71)+1,10))</f>
        <v>Ab2</v>
      </c>
      <c r="G71" s="63" t="s">
        <v>501</v>
      </c>
      <c r="H71" s="103" t="str">
        <f aca="false">IF(A71="","",IF(G71="","غير محدد (Unassigned)",IFERROR(INDEX(Teachers!$C$6:$C$75,MATCH(G71,Teachers!$A$6:$A$75,0)),"؟ كود معلم غير موجود")))</f>
        <v>Ms Sabrin  Kottb</v>
      </c>
      <c r="I71" s="104" t="s">
        <v>442</v>
      </c>
    </row>
    <row r="72" customFormat="false" ht="15" hidden="false" customHeight="false" outlineLevel="0" collapsed="false">
      <c r="A72" s="60" t="s">
        <v>531</v>
      </c>
      <c r="B72" s="102" t="str">
        <f aca="false">IF(A72="","","Year "&amp;VALUE(MID(A72,2,2)))</f>
        <v>Year 3</v>
      </c>
      <c r="C72" s="102" t="str">
        <f aca="false">IF(A72="","",MID(A72,4,FIND("/",A72)-4))</f>
        <v>kp</v>
      </c>
      <c r="D72" s="102" t="str">
        <f aca="false">IF(A72="","",MID(A72,FIND("/",A72)+1,2))</f>
        <v>Ab</v>
      </c>
      <c r="E72" s="103" t="str">
        <f aca="false">IF(A72="","",IFERROR(INDEX(SubjName,MATCH(D72,SubjCode,0)),"؟ رمز مادة غير معرّف في Settings"))</f>
        <v>Arabic B</v>
      </c>
      <c r="F72" s="102" t="str">
        <f aca="false">IF(A72="","",MID(A72,FIND("/",A72)+1,10))</f>
        <v>Ab3</v>
      </c>
      <c r="G72" s="63" t="s">
        <v>446</v>
      </c>
      <c r="H72" s="103" t="str">
        <f aca="false">IF(A72="","",IF(G72="","غير محدد (Unassigned)",IFERROR(INDEX(Teachers!$C$6:$C$75,MATCH(G72,Teachers!$A$6:$A$75,0)),"؟ كود معلم غير موجود")))</f>
        <v>Ms AssmaaM AbdelhakimAli</v>
      </c>
      <c r="I72" s="104" t="s">
        <v>442</v>
      </c>
    </row>
    <row r="73" customFormat="false" ht="15" hidden="false" customHeight="false" outlineLevel="0" collapsed="false">
      <c r="A73" s="60" t="s">
        <v>532</v>
      </c>
      <c r="B73" s="102" t="str">
        <f aca="false">IF(A73="","","Year "&amp;VALUE(MID(A73,2,2)))</f>
        <v>Year 3</v>
      </c>
      <c r="C73" s="102" t="str">
        <f aca="false">IF(A73="","",MID(A73,4,FIND("/",A73)-4))</f>
        <v>kp</v>
      </c>
      <c r="D73" s="102" t="str">
        <f aca="false">IF(A73="","",MID(A73,FIND("/",A73)+1,2))</f>
        <v>Ab</v>
      </c>
      <c r="E73" s="103" t="str">
        <f aca="false">IF(A73="","",IFERROR(INDEX(SubjName,MATCH(D73,SubjCode,0)),"؟ رمز مادة غير معرّف في Settings"))</f>
        <v>Arabic B</v>
      </c>
      <c r="F73" s="102" t="str">
        <f aca="false">IF(A73="","",MID(A73,FIND("/",A73)+1,10))</f>
        <v>Ab4</v>
      </c>
      <c r="G73" s="63" t="s">
        <v>504</v>
      </c>
      <c r="H73" s="103" t="str">
        <f aca="false">IF(A73="","",IF(G73="","غير محدد (Unassigned)",IFERROR(INDEX(Teachers!$C$6:$C$75,MATCH(G73,Teachers!$A$6:$A$75,0)),"؟ كود معلم غير موجود")))</f>
        <v>Ms MinaJamal Al-Qaradagh</v>
      </c>
      <c r="I73" s="104" t="s">
        <v>442</v>
      </c>
    </row>
    <row r="74" customFormat="false" ht="15" hidden="false" customHeight="false" outlineLevel="0" collapsed="false">
      <c r="A74" s="60" t="s">
        <v>533</v>
      </c>
      <c r="B74" s="102" t="str">
        <f aca="false">IF(A74="","","Year "&amp;VALUE(MID(A74,2,2)))</f>
        <v>Year 3</v>
      </c>
      <c r="C74" s="102" t="str">
        <f aca="false">IF(A74="","",MID(A74,4,FIND("/",A74)-4))</f>
        <v>kp</v>
      </c>
      <c r="D74" s="102" t="str">
        <f aca="false">IF(A74="","",MID(A74,FIND("/",A74)+1,2))</f>
        <v>Ua</v>
      </c>
      <c r="E74" s="103" t="str">
        <f aca="false">IF(A74="","",IFERROR(INDEX(SubjName,MATCH(D74,SubjCode,0)),"؟ رمز مادة غير معرّف في Settings"))</f>
        <v>Ua (اسم المادة غير مؤكد)</v>
      </c>
      <c r="F74" s="102" t="str">
        <f aca="false">IF(A74="","",MID(A74,FIND("/",A74)+1,10))</f>
        <v>Ua1</v>
      </c>
      <c r="G74" s="63" t="s">
        <v>456</v>
      </c>
      <c r="H74" s="103" t="str">
        <f aca="false">IF(A74="","",IF(G74="","غير محدد (Unassigned)",IFERROR(INDEX(Teachers!$C$6:$C$75,MATCH(G74,Teachers!$A$6:$A$75,0)),"؟ كود معلم غير موجود")))</f>
        <v>Ms Hanaa Ferky Awadain</v>
      </c>
      <c r="I74" s="104" t="s">
        <v>442</v>
      </c>
    </row>
    <row r="75" customFormat="false" ht="15" hidden="false" customHeight="false" outlineLevel="0" collapsed="false">
      <c r="A75" s="60" t="s">
        <v>534</v>
      </c>
      <c r="B75" s="102" t="str">
        <f aca="false">IF(A75="","","Year "&amp;VALUE(MID(A75,2,2)))</f>
        <v>Year 3</v>
      </c>
      <c r="C75" s="102" t="str">
        <f aca="false">IF(A75="","",MID(A75,4,FIND("/",A75)-4))</f>
        <v>kp</v>
      </c>
      <c r="D75" s="102" t="str">
        <f aca="false">IF(A75="","",MID(A75,FIND("/",A75)+1,2))</f>
        <v>Ua</v>
      </c>
      <c r="E75" s="103" t="str">
        <f aca="false">IF(A75="","",IFERROR(INDEX(SubjName,MATCH(D75,SubjCode,0)),"؟ رمز مادة غير معرّف في Settings"))</f>
        <v>Ua (اسم المادة غير مؤكد)</v>
      </c>
      <c r="F75" s="102" t="str">
        <f aca="false">IF(A75="","",MID(A75,FIND("/",A75)+1,10))</f>
        <v>Ua2</v>
      </c>
      <c r="G75" s="63" t="s">
        <v>458</v>
      </c>
      <c r="H75" s="103" t="str">
        <f aca="false">IF(A75="","",IF(G75="","غير محدد (Unassigned)",IFERROR(INDEX(Teachers!$C$6:$C$75,MATCH(G75,Teachers!$A$6:$A$75,0)),"؟ كود معلم غير موجود")))</f>
        <v>Mr Abdou Ghazy</v>
      </c>
      <c r="I75" s="104" t="s">
        <v>442</v>
      </c>
    </row>
    <row r="76" customFormat="false" ht="15" hidden="false" customHeight="false" outlineLevel="0" collapsed="false">
      <c r="A76" s="60" t="s">
        <v>535</v>
      </c>
      <c r="B76" s="102" t="str">
        <f aca="false">IF(A76="","","Year "&amp;VALUE(MID(A76,2,2)))</f>
        <v>Year 4</v>
      </c>
      <c r="C76" s="102" t="str">
        <f aca="false">IF(A76="","",MID(A76,4,FIND("/",A76)-4))</f>
        <v>ae</v>
      </c>
      <c r="D76" s="102" t="str">
        <f aca="false">IF(A76="","",MID(A76,FIND("/",A76)+1,2))</f>
        <v>Aa</v>
      </c>
      <c r="E76" s="103" t="str">
        <f aca="false">IF(A76="","",IFERROR(INDEX(SubjName,MATCH(D76,SubjCode,0)),"؟ رمز مادة غير معرّف في Settings"))</f>
        <v>Arabic A</v>
      </c>
      <c r="F76" s="102" t="str">
        <f aca="false">IF(A76="","",MID(A76,FIND("/",A76)+1,10))</f>
        <v>Aa1</v>
      </c>
      <c r="G76" s="63" t="s">
        <v>536</v>
      </c>
      <c r="H76" s="103" t="str">
        <f aca="false">IF(A76="","",IF(G76="","غير محدد (Unassigned)",IFERROR(INDEX(Teachers!$C$6:$C$75,MATCH(G76,Teachers!$A$6:$A$75,0)),"؟ كود معلم غير موجود")))</f>
        <v>Mr Helmi Abdelgawad</v>
      </c>
      <c r="I76" s="104" t="s">
        <v>442</v>
      </c>
    </row>
    <row r="77" customFormat="false" ht="15" hidden="false" customHeight="false" outlineLevel="0" collapsed="false">
      <c r="A77" s="60" t="s">
        <v>537</v>
      </c>
      <c r="B77" s="102" t="str">
        <f aca="false">IF(A77="","","Year "&amp;VALUE(MID(A77,2,2)))</f>
        <v>Year 4</v>
      </c>
      <c r="C77" s="102" t="str">
        <f aca="false">IF(A77="","",MID(A77,4,FIND("/",A77)-4))</f>
        <v>ae</v>
      </c>
      <c r="D77" s="102" t="str">
        <f aca="false">IF(A77="","",MID(A77,FIND("/",A77)+1,2))</f>
        <v>Aa</v>
      </c>
      <c r="E77" s="103" t="str">
        <f aca="false">IF(A77="","",IFERROR(INDEX(SubjName,MATCH(D77,SubjCode,0)),"؟ رمز مادة غير معرّف في Settings"))</f>
        <v>Arabic A</v>
      </c>
      <c r="F77" s="102" t="str">
        <f aca="false">IF(A77="","",MID(A77,FIND("/",A77)+1,10))</f>
        <v>Aa2</v>
      </c>
      <c r="G77" s="63" t="s">
        <v>538</v>
      </c>
      <c r="H77" s="103" t="str">
        <f aca="false">IF(A77="","",IF(G77="","غير محدد (Unassigned)",IFERROR(INDEX(Teachers!$C$6:$C$75,MATCH(G77,Teachers!$A$6:$A$75,0)),"؟ كود معلم غير موجود")))</f>
        <v>Ms Hend Shaban</v>
      </c>
      <c r="I77" s="104" t="s">
        <v>442</v>
      </c>
    </row>
    <row r="78" customFormat="false" ht="15" hidden="false" customHeight="false" outlineLevel="0" collapsed="false">
      <c r="A78" s="60" t="s">
        <v>539</v>
      </c>
      <c r="B78" s="102" t="str">
        <f aca="false">IF(A78="","","Year "&amp;VALUE(MID(A78,2,2)))</f>
        <v>Year 4</v>
      </c>
      <c r="C78" s="102" t="str">
        <f aca="false">IF(A78="","",MID(A78,4,FIND("/",A78)-4))</f>
        <v>ae</v>
      </c>
      <c r="D78" s="102" t="str">
        <f aca="false">IF(A78="","",MID(A78,FIND("/",A78)+1,2))</f>
        <v>Ab</v>
      </c>
      <c r="E78" s="103" t="str">
        <f aca="false">IF(A78="","",IFERROR(INDEX(SubjName,MATCH(D78,SubjCode,0)),"؟ رمز مادة غير معرّف في Settings"))</f>
        <v>Arabic B</v>
      </c>
      <c r="F78" s="102" t="str">
        <f aca="false">IF(A78="","",MID(A78,FIND("/",A78)+1,10))</f>
        <v>Ab1</v>
      </c>
      <c r="G78" s="63" t="s">
        <v>499</v>
      </c>
      <c r="H78" s="103" t="str">
        <f aca="false">IF(A78="","",IF(G78="","غير محدد (Unassigned)",IFERROR(INDEX(Teachers!$C$6:$C$75,MATCH(G78,Teachers!$A$6:$A$75,0)),"؟ كود معلم غير موجود")))</f>
        <v>Ms RemondaElsaid  Bahnas</v>
      </c>
      <c r="I78" s="104" t="s">
        <v>442</v>
      </c>
    </row>
    <row r="79" customFormat="false" ht="15" hidden="false" customHeight="false" outlineLevel="0" collapsed="false">
      <c r="A79" s="60" t="s">
        <v>540</v>
      </c>
      <c r="B79" s="102" t="str">
        <f aca="false">IF(A79="","","Year "&amp;VALUE(MID(A79,2,2)))</f>
        <v>Year 4</v>
      </c>
      <c r="C79" s="102" t="str">
        <f aca="false">IF(A79="","",MID(A79,4,FIND("/",A79)-4))</f>
        <v>ae</v>
      </c>
      <c r="D79" s="102" t="str">
        <f aca="false">IF(A79="","",MID(A79,FIND("/",A79)+1,2))</f>
        <v>Ab</v>
      </c>
      <c r="E79" s="103" t="str">
        <f aca="false">IF(A79="","",IFERROR(INDEX(SubjName,MATCH(D79,SubjCode,0)),"؟ رمز مادة غير معرّف في Settings"))</f>
        <v>Arabic B</v>
      </c>
      <c r="F79" s="102" t="str">
        <f aca="false">IF(A79="","",MID(A79,FIND("/",A79)+1,10))</f>
        <v>Ab2</v>
      </c>
      <c r="G79" s="63" t="s">
        <v>501</v>
      </c>
      <c r="H79" s="103" t="str">
        <f aca="false">IF(A79="","",IF(G79="","غير محدد (Unassigned)",IFERROR(INDEX(Teachers!$C$6:$C$75,MATCH(G79,Teachers!$A$6:$A$75,0)),"؟ كود معلم غير موجود")))</f>
        <v>Ms Sabrin  Kottb</v>
      </c>
      <c r="I79" s="104" t="s">
        <v>442</v>
      </c>
    </row>
    <row r="80" customFormat="false" ht="15" hidden="false" customHeight="false" outlineLevel="0" collapsed="false">
      <c r="A80" s="60" t="s">
        <v>541</v>
      </c>
      <c r="B80" s="102" t="str">
        <f aca="false">IF(A80="","","Year "&amp;VALUE(MID(A80,2,2)))</f>
        <v>Year 4</v>
      </c>
      <c r="C80" s="102" t="str">
        <f aca="false">IF(A80="","",MID(A80,4,FIND("/",A80)-4))</f>
        <v>ae</v>
      </c>
      <c r="D80" s="102" t="str">
        <f aca="false">IF(A80="","",MID(A80,FIND("/",A80)+1,2))</f>
        <v>Ab</v>
      </c>
      <c r="E80" s="103" t="str">
        <f aca="false">IF(A80="","",IFERROR(INDEX(SubjName,MATCH(D80,SubjCode,0)),"؟ رمز مادة غير معرّف في Settings"))</f>
        <v>Arabic B</v>
      </c>
      <c r="F80" s="102" t="str">
        <f aca="false">IF(A80="","",MID(A80,FIND("/",A80)+1,10))</f>
        <v>Ab3</v>
      </c>
      <c r="G80" s="63" t="s">
        <v>542</v>
      </c>
      <c r="H80" s="103" t="str">
        <f aca="false">IF(A80="","",IF(G80="","غير محدد (Unassigned)",IFERROR(INDEX(Teachers!$C$6:$C$75,MATCH(G80,Teachers!$A$6:$A$75,0)),"؟ كود معلم غير موجود")))</f>
        <v>Ms Rafah  Al Kanj</v>
      </c>
      <c r="I80" s="104" t="s">
        <v>442</v>
      </c>
    </row>
    <row r="81" customFormat="false" ht="15" hidden="false" customHeight="false" outlineLevel="0" collapsed="false">
      <c r="A81" s="60" t="s">
        <v>543</v>
      </c>
      <c r="B81" s="102" t="str">
        <f aca="false">IF(A81="","","Year "&amp;VALUE(MID(A81,2,2)))</f>
        <v>Year 4</v>
      </c>
      <c r="C81" s="102" t="str">
        <f aca="false">IF(A81="","",MID(A81,4,FIND("/",A81)-4))</f>
        <v>ae</v>
      </c>
      <c r="D81" s="102" t="str">
        <f aca="false">IF(A81="","",MID(A81,FIND("/",A81)+1,2))</f>
        <v>Ab</v>
      </c>
      <c r="E81" s="103" t="str">
        <f aca="false">IF(A81="","",IFERROR(INDEX(SubjName,MATCH(D81,SubjCode,0)),"؟ رمز مادة غير معرّف في Settings"))</f>
        <v>Arabic B</v>
      </c>
      <c r="F81" s="102" t="str">
        <f aca="false">IF(A81="","",MID(A81,FIND("/",A81)+1,10))</f>
        <v>Ab4</v>
      </c>
      <c r="G81" s="63" t="s">
        <v>518</v>
      </c>
      <c r="H81" s="103" t="str">
        <f aca="false">IF(A81="","",IF(G81="","غير محدد (Unassigned)",IFERROR(INDEX(Teachers!$C$6:$C$75,MATCH(G81,Teachers!$A$6:$A$75,0)),"؟ كود معلم غير موجود")))</f>
        <v>Ms Mennatallah A Mohamed</v>
      </c>
      <c r="I81" s="104" t="s">
        <v>442</v>
      </c>
    </row>
    <row r="82" customFormat="false" ht="15" hidden="false" customHeight="false" outlineLevel="0" collapsed="false">
      <c r="A82" s="60" t="s">
        <v>544</v>
      </c>
      <c r="B82" s="102" t="str">
        <f aca="false">IF(A82="","","Year "&amp;VALUE(MID(A82,2,2)))</f>
        <v>Year 4</v>
      </c>
      <c r="C82" s="102" t="str">
        <f aca="false">IF(A82="","",MID(A82,4,FIND("/",A82)-4))</f>
        <v>ae</v>
      </c>
      <c r="D82" s="102" t="str">
        <f aca="false">IF(A82="","",MID(A82,FIND("/",A82)+1,2))</f>
        <v>Ua</v>
      </c>
      <c r="E82" s="103" t="str">
        <f aca="false">IF(A82="","",IFERROR(INDEX(SubjName,MATCH(D82,SubjCode,0)),"؟ رمز مادة غير معرّف في Settings"))</f>
        <v>Ua (اسم المادة غير مؤكد)</v>
      </c>
      <c r="F82" s="102" t="str">
        <f aca="false">IF(A82="","",MID(A82,FIND("/",A82)+1,10))</f>
        <v>Ua1</v>
      </c>
      <c r="G82" s="63" t="s">
        <v>456</v>
      </c>
      <c r="H82" s="103" t="str">
        <f aca="false">IF(A82="","",IF(G82="","غير محدد (Unassigned)",IFERROR(INDEX(Teachers!$C$6:$C$75,MATCH(G82,Teachers!$A$6:$A$75,0)),"؟ كود معلم غير موجود")))</f>
        <v>Ms Hanaa Ferky Awadain</v>
      </c>
      <c r="I82" s="104" t="s">
        <v>442</v>
      </c>
    </row>
    <row r="83" customFormat="false" ht="15" hidden="false" customHeight="false" outlineLevel="0" collapsed="false">
      <c r="A83" s="60" t="s">
        <v>545</v>
      </c>
      <c r="B83" s="102" t="str">
        <f aca="false">IF(A83="","","Year "&amp;VALUE(MID(A83,2,2)))</f>
        <v>Year 4</v>
      </c>
      <c r="C83" s="102" t="str">
        <f aca="false">IF(A83="","",MID(A83,4,FIND("/",A83)-4))</f>
        <v>ae</v>
      </c>
      <c r="D83" s="102" t="str">
        <f aca="false">IF(A83="","",MID(A83,FIND("/",A83)+1,2))</f>
        <v>Ua</v>
      </c>
      <c r="E83" s="103" t="str">
        <f aca="false">IF(A83="","",IFERROR(INDEX(SubjName,MATCH(D83,SubjCode,0)),"؟ رمز مادة غير معرّف في Settings"))</f>
        <v>Ua (اسم المادة غير مؤكد)</v>
      </c>
      <c r="F83" s="102" t="str">
        <f aca="false">IF(A83="","",MID(A83,FIND("/",A83)+1,10))</f>
        <v>Ua2</v>
      </c>
      <c r="G83" s="63" t="s">
        <v>458</v>
      </c>
      <c r="H83" s="103" t="str">
        <f aca="false">IF(A83="","",IF(G83="","غير محدد (Unassigned)",IFERROR(INDEX(Teachers!$C$6:$C$75,MATCH(G83,Teachers!$A$6:$A$75,0)),"؟ كود معلم غير موجود")))</f>
        <v>Mr Abdou Ghazy</v>
      </c>
      <c r="I83" s="104" t="s">
        <v>442</v>
      </c>
    </row>
    <row r="84" customFormat="false" ht="15" hidden="false" customHeight="false" outlineLevel="0" collapsed="false">
      <c r="A84" s="60" t="s">
        <v>546</v>
      </c>
      <c r="B84" s="102" t="str">
        <f aca="false">IF(A84="","","Year "&amp;VALUE(MID(A84,2,2)))</f>
        <v>Year 4</v>
      </c>
      <c r="C84" s="102" t="str">
        <f aca="false">IF(A84="","",MID(A84,4,FIND("/",A84)-4))</f>
        <v>ah</v>
      </c>
      <c r="D84" s="102" t="str">
        <f aca="false">IF(A84="","",MID(A84,FIND("/",A84)+1,2))</f>
        <v>Ia</v>
      </c>
      <c r="E84" s="103" t="str">
        <f aca="false">IF(A84="","",IFERROR(INDEX(SubjName,MATCH(D84,SubjCode,0)),"؟ رمز مادة غير معرّف في Settings"))</f>
        <v>Islamic A</v>
      </c>
      <c r="F84" s="102" t="str">
        <f aca="false">IF(A84="","",MID(A84,FIND("/",A84)+1,10))</f>
        <v>Ia1</v>
      </c>
      <c r="G84" s="63" t="s">
        <v>481</v>
      </c>
      <c r="H84" s="103" t="str">
        <f aca="false">IF(A84="","",IF(G84="","غير محدد (Unassigned)",IFERROR(INDEX(Teachers!$C$6:$C$75,MATCH(G84,Teachers!$A$6:$A$75,0)),"؟ كود معلم غير موجود")))</f>
        <v>Mr Abdelrahman ElSheikh</v>
      </c>
      <c r="I84" s="104" t="s">
        <v>442</v>
      </c>
    </row>
    <row r="85" customFormat="false" ht="15" hidden="false" customHeight="false" outlineLevel="0" collapsed="false">
      <c r="A85" s="60" t="s">
        <v>547</v>
      </c>
      <c r="B85" s="102" t="str">
        <f aca="false">IF(A85="","","Year "&amp;VALUE(MID(A85,2,2)))</f>
        <v>Year 4</v>
      </c>
      <c r="C85" s="102" t="str">
        <f aca="false">IF(A85="","",MID(A85,4,FIND("/",A85)-4))</f>
        <v>ah</v>
      </c>
      <c r="D85" s="102" t="str">
        <f aca="false">IF(A85="","",MID(A85,FIND("/",A85)+1,2))</f>
        <v>Ia</v>
      </c>
      <c r="E85" s="103" t="str">
        <f aca="false">IF(A85="","",IFERROR(INDEX(SubjName,MATCH(D85,SubjCode,0)),"؟ رمز مادة غير معرّف في Settings"))</f>
        <v>Islamic A</v>
      </c>
      <c r="F85" s="102" t="str">
        <f aca="false">IF(A85="","",MID(A85,FIND("/",A85)+1,10))</f>
        <v>Ia2</v>
      </c>
      <c r="G85" s="63" t="s">
        <v>462</v>
      </c>
      <c r="H85" s="103" t="str">
        <f aca="false">IF(A85="","",IF(G85="","غير محدد (Unassigned)",IFERROR(INDEX(Teachers!$C$6:$C$75,MATCH(G85,Teachers!$A$6:$A$75,0)),"؟ كود معلم غير موجود")))</f>
        <v>Mr Noureldin Badawy</v>
      </c>
      <c r="I85" s="104" t="s">
        <v>442</v>
      </c>
    </row>
    <row r="86" customFormat="false" ht="15" hidden="false" customHeight="false" outlineLevel="0" collapsed="false">
      <c r="A86" s="60" t="s">
        <v>548</v>
      </c>
      <c r="B86" s="102" t="str">
        <f aca="false">IF(A86="","","Year "&amp;VALUE(MID(A86,2,2)))</f>
        <v>Year 4</v>
      </c>
      <c r="C86" s="102" t="str">
        <f aca="false">IF(A86="","",MID(A86,4,FIND("/",A86)-4))</f>
        <v>ah</v>
      </c>
      <c r="D86" s="102" t="str">
        <f aca="false">IF(A86="","",MID(A86,FIND("/",A86)+1,2))</f>
        <v>Ia</v>
      </c>
      <c r="E86" s="103" t="str">
        <f aca="false">IF(A86="","",IFERROR(INDEX(SubjName,MATCH(D86,SubjCode,0)),"؟ رمز مادة غير معرّف في Settings"))</f>
        <v>Islamic A</v>
      </c>
      <c r="F86" s="102" t="str">
        <f aca="false">IF(A86="","",MID(A86,FIND("/",A86)+1,10))</f>
        <v>Ia3</v>
      </c>
      <c r="G86" s="63" t="s">
        <v>460</v>
      </c>
      <c r="H86" s="103" t="str">
        <f aca="false">IF(A86="","",IF(G86="","غير محدد (Unassigned)",IFERROR(INDEX(Teachers!$C$6:$C$75,MATCH(G86,Teachers!$A$6:$A$75,0)),"؟ كود معلم غير موجود")))</f>
        <v>Mr Ahmad Abdan</v>
      </c>
      <c r="I86" s="104" t="s">
        <v>442</v>
      </c>
    </row>
    <row r="87" customFormat="false" ht="15" hidden="false" customHeight="false" outlineLevel="0" collapsed="false">
      <c r="A87" s="60" t="s">
        <v>549</v>
      </c>
      <c r="B87" s="102" t="str">
        <f aca="false">IF(A87="","","Year "&amp;VALUE(MID(A87,2,2)))</f>
        <v>Year 4</v>
      </c>
      <c r="C87" s="102" t="str">
        <f aca="false">IF(A87="","",MID(A87,4,FIND("/",A87)-4))</f>
        <v>ah</v>
      </c>
      <c r="D87" s="102" t="str">
        <f aca="false">IF(A87="","",MID(A87,FIND("/",A87)+1,2))</f>
        <v>Ib</v>
      </c>
      <c r="E87" s="103" t="str">
        <f aca="false">IF(A87="","",IFERROR(INDEX(SubjName,MATCH(D87,SubjCode,0)),"؟ رمز مادة غير معرّف في Settings"))</f>
        <v>Islamic B</v>
      </c>
      <c r="F87" s="102" t="str">
        <f aca="false">IF(A87="","",MID(A87,FIND("/",A87)+1,10))</f>
        <v>Ib1</v>
      </c>
      <c r="G87" s="63" t="s">
        <v>464</v>
      </c>
      <c r="H87" s="103" t="str">
        <f aca="false">IF(A87="","",IF(G87="","غير محدد (Unassigned)",IFERROR(INDEX(Teachers!$C$6:$C$75,MATCH(G87,Teachers!$A$6:$A$75,0)),"؟ كود معلم غير موجود")))</f>
        <v>Mr Hassan FathyR Mohamed</v>
      </c>
      <c r="I87" s="104" t="s">
        <v>442</v>
      </c>
    </row>
    <row r="88" customFormat="false" ht="15" hidden="false" customHeight="false" outlineLevel="0" collapsed="false">
      <c r="A88" s="60" t="s">
        <v>550</v>
      </c>
      <c r="B88" s="102" t="str">
        <f aca="false">IF(A88="","","Year "&amp;VALUE(MID(A88,2,2)))</f>
        <v>Year 4</v>
      </c>
      <c r="C88" s="102" t="str">
        <f aca="false">IF(A88="","",MID(A88,4,FIND("/",A88)-4))</f>
        <v>ah</v>
      </c>
      <c r="D88" s="102" t="str">
        <f aca="false">IF(A88="","",MID(A88,FIND("/",A88)+1,2))</f>
        <v>Ib</v>
      </c>
      <c r="E88" s="103" t="str">
        <f aca="false">IF(A88="","",IFERROR(INDEX(SubjName,MATCH(D88,SubjCode,0)),"؟ رمز مادة غير معرّف في Settings"))</f>
        <v>Islamic B</v>
      </c>
      <c r="F88" s="102" t="str">
        <f aca="false">IF(A88="","",MID(A88,FIND("/",A88)+1,10))</f>
        <v>Ib2</v>
      </c>
      <c r="G88" s="63" t="s">
        <v>466</v>
      </c>
      <c r="H88" s="103" t="str">
        <f aca="false">IF(A88="","",IF(G88="","غير محدد (Unassigned)",IFERROR(INDEX(Teachers!$C$6:$C$75,MATCH(G88,Teachers!$A$6:$A$75,0)),"؟ كود معلم غير موجود")))</f>
        <v>Ms Aya Kalash</v>
      </c>
      <c r="I88" s="104" t="s">
        <v>442</v>
      </c>
    </row>
    <row r="89" customFormat="false" ht="15" hidden="false" customHeight="false" outlineLevel="0" collapsed="false">
      <c r="A89" s="60" t="s">
        <v>551</v>
      </c>
      <c r="B89" s="102" t="str">
        <f aca="false">IF(A89="","","Year "&amp;VALUE(MID(A89,2,2)))</f>
        <v>Year 4</v>
      </c>
      <c r="C89" s="102" t="str">
        <f aca="false">IF(A89="","",MID(A89,4,FIND("/",A89)-4))</f>
        <v>ah</v>
      </c>
      <c r="D89" s="102" t="str">
        <f aca="false">IF(A89="","",MID(A89,FIND("/",A89)+1,2))</f>
        <v>Ib</v>
      </c>
      <c r="E89" s="103" t="str">
        <f aca="false">IF(A89="","",IFERROR(INDEX(SubjName,MATCH(D89,SubjCode,0)),"؟ رمز مادة غير معرّف في Settings"))</f>
        <v>Islamic B</v>
      </c>
      <c r="F89" s="102" t="str">
        <f aca="false">IF(A89="","",MID(A89,FIND("/",A89)+1,10))</f>
        <v>Ib3</v>
      </c>
      <c r="G89" s="63" t="s">
        <v>468</v>
      </c>
      <c r="H89" s="103" t="str">
        <f aca="false">IF(A89="","",IF(G89="","غير محدد (Unassigned)",IFERROR(INDEX(Teachers!$C$6:$C$75,MATCH(G89,Teachers!$A$6:$A$75,0)),"؟ كود معلم غير موجود")))</f>
        <v>Mr Ubaid Ameer Husain</v>
      </c>
      <c r="I89" s="104" t="s">
        <v>442</v>
      </c>
    </row>
    <row r="90" customFormat="false" ht="15" hidden="false" customHeight="false" outlineLevel="0" collapsed="false">
      <c r="A90" s="60" t="s">
        <v>552</v>
      </c>
      <c r="B90" s="102" t="str">
        <f aca="false">IF(A90="","","Year "&amp;VALUE(MID(A90,2,2)))</f>
        <v>Year 4</v>
      </c>
      <c r="C90" s="102" t="str">
        <f aca="false">IF(A90="","",MID(A90,4,FIND("/",A90)-4))</f>
        <v>fj</v>
      </c>
      <c r="D90" s="102" t="str">
        <f aca="false">IF(A90="","",MID(A90,FIND("/",A90)+1,2))</f>
        <v>Aa</v>
      </c>
      <c r="E90" s="103" t="str">
        <f aca="false">IF(A90="","",IFERROR(INDEX(SubjName,MATCH(D90,SubjCode,0)),"؟ رمز مادة غير معرّف في Settings"))</f>
        <v>Arabic A</v>
      </c>
      <c r="F90" s="102" t="str">
        <f aca="false">IF(A90="","",MID(A90,FIND("/",A90)+1,10))</f>
        <v>Aa1</v>
      </c>
      <c r="G90" s="63" t="s">
        <v>495</v>
      </c>
      <c r="H90" s="103" t="str">
        <f aca="false">IF(A90="","",IF(G90="","غير محدد (Unassigned)",IFERROR(INDEX(Teachers!$C$6:$C$75,MATCH(G90,Teachers!$A$6:$A$75,0)),"؟ كود معلم غير موجود")))</f>
        <v>Ms Eman Rabea</v>
      </c>
      <c r="I90" s="104" t="s">
        <v>442</v>
      </c>
    </row>
    <row r="91" customFormat="false" ht="15" hidden="false" customHeight="false" outlineLevel="0" collapsed="false">
      <c r="A91" s="60" t="s">
        <v>553</v>
      </c>
      <c r="B91" s="102" t="str">
        <f aca="false">IF(A91="","","Year "&amp;VALUE(MID(A91,2,2)))</f>
        <v>Year 4</v>
      </c>
      <c r="C91" s="102" t="str">
        <f aca="false">IF(A91="","",MID(A91,4,FIND("/",A91)-4))</f>
        <v>fj</v>
      </c>
      <c r="D91" s="102" t="str">
        <f aca="false">IF(A91="","",MID(A91,FIND("/",A91)+1,2))</f>
        <v>Aa</v>
      </c>
      <c r="E91" s="103" t="str">
        <f aca="false">IF(A91="","",IFERROR(INDEX(SubjName,MATCH(D91,SubjCode,0)),"؟ رمز مادة غير معرّف في Settings"))</f>
        <v>Arabic A</v>
      </c>
      <c r="F91" s="102" t="str">
        <f aca="false">IF(A91="","",MID(A91,FIND("/",A91)+1,10))</f>
        <v>Aa2</v>
      </c>
      <c r="G91" s="63" t="s">
        <v>497</v>
      </c>
      <c r="H91" s="103" t="str">
        <f aca="false">IF(A91="","",IF(G91="","غير محدد (Unassigned)",IFERROR(INDEX(Teachers!$C$6:$C$75,MATCH(G91,Teachers!$A$6:$A$75,0)),"؟ كود معلم غير موجود")))</f>
        <v>Ms Asmaa A Emara</v>
      </c>
      <c r="I91" s="104" t="s">
        <v>442</v>
      </c>
    </row>
    <row r="92" customFormat="false" ht="15" hidden="false" customHeight="false" outlineLevel="0" collapsed="false">
      <c r="A92" s="60" t="s">
        <v>554</v>
      </c>
      <c r="B92" s="102" t="str">
        <f aca="false">IF(A92="","","Year "&amp;VALUE(MID(A92,2,2)))</f>
        <v>Year 4</v>
      </c>
      <c r="C92" s="102" t="str">
        <f aca="false">IF(A92="","",MID(A92,4,FIND("/",A92)-4))</f>
        <v>fj</v>
      </c>
      <c r="D92" s="102" t="str">
        <f aca="false">IF(A92="","",MID(A92,FIND("/",A92)+1,2))</f>
        <v>Ab</v>
      </c>
      <c r="E92" s="103" t="str">
        <f aca="false">IF(A92="","",IFERROR(INDEX(SubjName,MATCH(D92,SubjCode,0)),"؟ رمز مادة غير معرّف في Settings"))</f>
        <v>Arabic B</v>
      </c>
      <c r="F92" s="102" t="str">
        <f aca="false">IF(A92="","",MID(A92,FIND("/",A92)+1,10))</f>
        <v>Ab1</v>
      </c>
      <c r="G92" s="63" t="s">
        <v>504</v>
      </c>
      <c r="H92" s="103" t="str">
        <f aca="false">IF(A92="","",IF(G92="","غير محدد (Unassigned)",IFERROR(INDEX(Teachers!$C$6:$C$75,MATCH(G92,Teachers!$A$6:$A$75,0)),"؟ كود معلم غير موجود")))</f>
        <v>Ms MinaJamal Al-Qaradagh</v>
      </c>
      <c r="I92" s="104" t="s">
        <v>442</v>
      </c>
    </row>
    <row r="93" customFormat="false" ht="15" hidden="false" customHeight="false" outlineLevel="0" collapsed="false">
      <c r="A93" s="60" t="s">
        <v>555</v>
      </c>
      <c r="B93" s="102" t="str">
        <f aca="false">IF(A93="","","Year "&amp;VALUE(MID(A93,2,2)))</f>
        <v>Year 4</v>
      </c>
      <c r="C93" s="102" t="str">
        <f aca="false">IF(A93="","",MID(A93,4,FIND("/",A93)-4))</f>
        <v>fj</v>
      </c>
      <c r="D93" s="102" t="str">
        <f aca="false">IF(A93="","",MID(A93,FIND("/",A93)+1,2))</f>
        <v>Ab</v>
      </c>
      <c r="E93" s="103" t="str">
        <f aca="false">IF(A93="","",IFERROR(INDEX(SubjName,MATCH(D93,SubjCode,0)),"؟ رمز مادة غير معرّف في Settings"))</f>
        <v>Arabic B</v>
      </c>
      <c r="F93" s="102" t="str">
        <f aca="false">IF(A93="","",MID(A93,FIND("/",A93)+1,10))</f>
        <v>Ab2</v>
      </c>
      <c r="G93" s="63" t="s">
        <v>501</v>
      </c>
      <c r="H93" s="103" t="str">
        <f aca="false">IF(A93="","",IF(G93="","غير محدد (Unassigned)",IFERROR(INDEX(Teachers!$C$6:$C$75,MATCH(G93,Teachers!$A$6:$A$75,0)),"؟ كود معلم غير موجود")))</f>
        <v>Ms Sabrin  Kottb</v>
      </c>
      <c r="I93" s="104" t="s">
        <v>442</v>
      </c>
    </row>
    <row r="94" customFormat="false" ht="15" hidden="false" customHeight="false" outlineLevel="0" collapsed="false">
      <c r="A94" s="60" t="s">
        <v>556</v>
      </c>
      <c r="B94" s="102" t="str">
        <f aca="false">IF(A94="","","Year "&amp;VALUE(MID(A94,2,2)))</f>
        <v>Year 4</v>
      </c>
      <c r="C94" s="102" t="str">
        <f aca="false">IF(A94="","",MID(A94,4,FIND("/",A94)-4))</f>
        <v>fj</v>
      </c>
      <c r="D94" s="102" t="str">
        <f aca="false">IF(A94="","",MID(A94,FIND("/",A94)+1,2))</f>
        <v>Ab</v>
      </c>
      <c r="E94" s="103" t="str">
        <f aca="false">IF(A94="","",IFERROR(INDEX(SubjName,MATCH(D94,SubjCode,0)),"؟ رمز مادة غير معرّف في Settings"))</f>
        <v>Arabic B</v>
      </c>
      <c r="F94" s="102" t="str">
        <f aca="false">IF(A94="","",MID(A94,FIND("/",A94)+1,10))</f>
        <v>Ab3</v>
      </c>
      <c r="G94" s="63" t="s">
        <v>542</v>
      </c>
      <c r="H94" s="103" t="str">
        <f aca="false">IF(A94="","",IF(G94="","غير محدد (Unassigned)",IFERROR(INDEX(Teachers!$C$6:$C$75,MATCH(G94,Teachers!$A$6:$A$75,0)),"؟ كود معلم غير موجود")))</f>
        <v>Ms Rafah  Al Kanj</v>
      </c>
      <c r="I94" s="104" t="s">
        <v>442</v>
      </c>
    </row>
    <row r="95" customFormat="false" ht="15" hidden="false" customHeight="false" outlineLevel="0" collapsed="false">
      <c r="A95" s="60" t="s">
        <v>557</v>
      </c>
      <c r="B95" s="102" t="str">
        <f aca="false">IF(A95="","","Year "&amp;VALUE(MID(A95,2,2)))</f>
        <v>Year 4</v>
      </c>
      <c r="C95" s="102" t="str">
        <f aca="false">IF(A95="","",MID(A95,4,FIND("/",A95)-4))</f>
        <v>fj</v>
      </c>
      <c r="D95" s="102" t="str">
        <f aca="false">IF(A95="","",MID(A95,FIND("/",A95)+1,2))</f>
        <v>Ab</v>
      </c>
      <c r="E95" s="103" t="str">
        <f aca="false">IF(A95="","",IFERROR(INDEX(SubjName,MATCH(D95,SubjCode,0)),"؟ رمز مادة غير معرّف في Settings"))</f>
        <v>Arabic B</v>
      </c>
      <c r="F95" s="102" t="str">
        <f aca="false">IF(A95="","",MID(A95,FIND("/",A95)+1,10))</f>
        <v>Ab4</v>
      </c>
      <c r="G95" s="63" t="s">
        <v>518</v>
      </c>
      <c r="H95" s="103" t="str">
        <f aca="false">IF(A95="","",IF(G95="","غير محدد (Unassigned)",IFERROR(INDEX(Teachers!$C$6:$C$75,MATCH(G95,Teachers!$A$6:$A$75,0)),"؟ كود معلم غير موجود")))</f>
        <v>Ms Mennatallah A Mohamed</v>
      </c>
      <c r="I95" s="104" t="s">
        <v>442</v>
      </c>
    </row>
    <row r="96" customFormat="false" ht="15" hidden="false" customHeight="false" outlineLevel="0" collapsed="false">
      <c r="A96" s="60" t="s">
        <v>558</v>
      </c>
      <c r="B96" s="102" t="str">
        <f aca="false">IF(A96="","","Year "&amp;VALUE(MID(A96,2,2)))</f>
        <v>Year 4</v>
      </c>
      <c r="C96" s="102" t="str">
        <f aca="false">IF(A96="","",MID(A96,4,FIND("/",A96)-4))</f>
        <v>fj</v>
      </c>
      <c r="D96" s="102" t="str">
        <f aca="false">IF(A96="","",MID(A96,FIND("/",A96)+1,2))</f>
        <v>Ua</v>
      </c>
      <c r="E96" s="103" t="str">
        <f aca="false">IF(A96="","",IFERROR(INDEX(SubjName,MATCH(D96,SubjCode,0)),"؟ رمز مادة غير معرّف في Settings"))</f>
        <v>Ua (اسم المادة غير مؤكد)</v>
      </c>
      <c r="F96" s="102" t="str">
        <f aca="false">IF(A96="","",MID(A96,FIND("/",A96)+1,10))</f>
        <v>Ua1</v>
      </c>
      <c r="G96" s="63" t="s">
        <v>456</v>
      </c>
      <c r="H96" s="103" t="str">
        <f aca="false">IF(A96="","",IF(G96="","غير محدد (Unassigned)",IFERROR(INDEX(Teachers!$C$6:$C$75,MATCH(G96,Teachers!$A$6:$A$75,0)),"؟ كود معلم غير موجود")))</f>
        <v>Ms Hanaa Ferky Awadain</v>
      </c>
      <c r="I96" s="104" t="s">
        <v>442</v>
      </c>
    </row>
    <row r="97" customFormat="false" ht="15" hidden="false" customHeight="false" outlineLevel="0" collapsed="false">
      <c r="A97" s="60" t="s">
        <v>559</v>
      </c>
      <c r="B97" s="102" t="str">
        <f aca="false">IF(A97="","","Year "&amp;VALUE(MID(A97,2,2)))</f>
        <v>Year 4</v>
      </c>
      <c r="C97" s="102" t="str">
        <f aca="false">IF(A97="","",MID(A97,4,FIND("/",A97)-4))</f>
        <v>fj</v>
      </c>
      <c r="D97" s="102" t="str">
        <f aca="false">IF(A97="","",MID(A97,FIND("/",A97)+1,2))</f>
        <v>Ua</v>
      </c>
      <c r="E97" s="103" t="str">
        <f aca="false">IF(A97="","",IFERROR(INDEX(SubjName,MATCH(D97,SubjCode,0)),"؟ رمز مادة غير معرّف في Settings"))</f>
        <v>Ua (اسم المادة غير مؤكد)</v>
      </c>
      <c r="F97" s="102" t="str">
        <f aca="false">IF(A97="","",MID(A97,FIND("/",A97)+1,10))</f>
        <v>Ua2</v>
      </c>
      <c r="G97" s="63" t="s">
        <v>458</v>
      </c>
      <c r="H97" s="103" t="str">
        <f aca="false">IF(A97="","",IF(G97="","غير محدد (Unassigned)",IFERROR(INDEX(Teachers!$C$6:$C$75,MATCH(G97,Teachers!$A$6:$A$75,0)),"؟ كود معلم غير موجود")))</f>
        <v>Mr Abdou Ghazy</v>
      </c>
      <c r="I97" s="104" t="s">
        <v>442</v>
      </c>
    </row>
    <row r="98" customFormat="false" ht="15" hidden="false" customHeight="false" outlineLevel="0" collapsed="false">
      <c r="A98" s="60" t="s">
        <v>560</v>
      </c>
      <c r="B98" s="102" t="str">
        <f aca="false">IF(A98="","","Year "&amp;VALUE(MID(A98,2,2)))</f>
        <v>Year 4</v>
      </c>
      <c r="C98" s="102" t="str">
        <f aca="false">IF(A98="","",MID(A98,4,FIND("/",A98)-4))</f>
        <v>ip</v>
      </c>
      <c r="D98" s="102" t="str">
        <f aca="false">IF(A98="","",MID(A98,FIND("/",A98)+1,2))</f>
        <v>Ia</v>
      </c>
      <c r="E98" s="103" t="str">
        <f aca="false">IF(A98="","",IFERROR(INDEX(SubjName,MATCH(D98,SubjCode,0)),"؟ رمز مادة غير معرّف في Settings"))</f>
        <v>Islamic A</v>
      </c>
      <c r="F98" s="102" t="str">
        <f aca="false">IF(A98="","",MID(A98,FIND("/",A98)+1,10))</f>
        <v>Ia1</v>
      </c>
      <c r="G98" s="63" t="s">
        <v>460</v>
      </c>
      <c r="H98" s="103" t="str">
        <f aca="false">IF(A98="","",IF(G98="","غير محدد (Unassigned)",IFERROR(INDEX(Teachers!$C$6:$C$75,MATCH(G98,Teachers!$A$6:$A$75,0)),"؟ كود معلم غير موجود")))</f>
        <v>Mr Ahmad Abdan</v>
      </c>
      <c r="I98" s="104" t="s">
        <v>442</v>
      </c>
    </row>
    <row r="99" customFormat="false" ht="15" hidden="false" customHeight="false" outlineLevel="0" collapsed="false">
      <c r="A99" s="60" t="s">
        <v>561</v>
      </c>
      <c r="B99" s="102" t="str">
        <f aca="false">IF(A99="","","Year "&amp;VALUE(MID(A99,2,2)))</f>
        <v>Year 4</v>
      </c>
      <c r="C99" s="102" t="str">
        <f aca="false">IF(A99="","",MID(A99,4,FIND("/",A99)-4))</f>
        <v>ip</v>
      </c>
      <c r="D99" s="102" t="str">
        <f aca="false">IF(A99="","",MID(A99,FIND("/",A99)+1,2))</f>
        <v>Ia</v>
      </c>
      <c r="E99" s="103" t="str">
        <f aca="false">IF(A99="","",IFERROR(INDEX(SubjName,MATCH(D99,SubjCode,0)),"؟ رمز مادة غير معرّف في Settings"))</f>
        <v>Islamic A</v>
      </c>
      <c r="F99" s="102" t="str">
        <f aca="false">IF(A99="","",MID(A99,FIND("/",A99)+1,10))</f>
        <v>Ia2</v>
      </c>
      <c r="G99" s="63" t="s">
        <v>462</v>
      </c>
      <c r="H99" s="103" t="str">
        <f aca="false">IF(A99="","",IF(G99="","غير محدد (Unassigned)",IFERROR(INDEX(Teachers!$C$6:$C$75,MATCH(G99,Teachers!$A$6:$A$75,0)),"؟ كود معلم غير موجود")))</f>
        <v>Mr Noureldin Badawy</v>
      </c>
      <c r="I99" s="104" t="s">
        <v>442</v>
      </c>
    </row>
    <row r="100" customFormat="false" ht="15" hidden="false" customHeight="false" outlineLevel="0" collapsed="false">
      <c r="A100" s="60" t="s">
        <v>562</v>
      </c>
      <c r="B100" s="102" t="str">
        <f aca="false">IF(A100="","","Year "&amp;VALUE(MID(A100,2,2)))</f>
        <v>Year 4</v>
      </c>
      <c r="C100" s="102" t="str">
        <f aca="false">IF(A100="","",MID(A100,4,FIND("/",A100)-4))</f>
        <v>ip</v>
      </c>
      <c r="D100" s="102" t="str">
        <f aca="false">IF(A100="","",MID(A100,FIND("/",A100)+1,2))</f>
        <v>Ia</v>
      </c>
      <c r="E100" s="103" t="str">
        <f aca="false">IF(A100="","",IFERROR(INDEX(SubjName,MATCH(D100,SubjCode,0)),"؟ رمز مادة غير معرّف في Settings"))</f>
        <v>Islamic A</v>
      </c>
      <c r="F100" s="102" t="str">
        <f aca="false">IF(A100="","",MID(A100,FIND("/",A100)+1,10))</f>
        <v>Ia3</v>
      </c>
      <c r="G100" s="63" t="s">
        <v>481</v>
      </c>
      <c r="H100" s="103" t="str">
        <f aca="false">IF(A100="","",IF(G100="","غير محدد (Unassigned)",IFERROR(INDEX(Teachers!$C$6:$C$75,MATCH(G100,Teachers!$A$6:$A$75,0)),"؟ كود معلم غير موجود")))</f>
        <v>Mr Abdelrahman ElSheikh</v>
      </c>
      <c r="I100" s="104" t="s">
        <v>442</v>
      </c>
    </row>
    <row r="101" customFormat="false" ht="15" hidden="false" customHeight="false" outlineLevel="0" collapsed="false">
      <c r="A101" s="60" t="s">
        <v>563</v>
      </c>
      <c r="B101" s="102" t="str">
        <f aca="false">IF(A101="","","Year "&amp;VALUE(MID(A101,2,2)))</f>
        <v>Year 4</v>
      </c>
      <c r="C101" s="102" t="str">
        <f aca="false">IF(A101="","",MID(A101,4,FIND("/",A101)-4))</f>
        <v>ip</v>
      </c>
      <c r="D101" s="102" t="str">
        <f aca="false">IF(A101="","",MID(A101,FIND("/",A101)+1,2))</f>
        <v>Ib</v>
      </c>
      <c r="E101" s="103" t="str">
        <f aca="false">IF(A101="","",IFERROR(INDEX(SubjName,MATCH(D101,SubjCode,0)),"؟ رمز مادة غير معرّف في Settings"))</f>
        <v>Islamic B</v>
      </c>
      <c r="F101" s="102" t="str">
        <f aca="false">IF(A101="","",MID(A101,FIND("/",A101)+1,10))</f>
        <v>Ib1</v>
      </c>
      <c r="G101" s="63" t="s">
        <v>464</v>
      </c>
      <c r="H101" s="103" t="str">
        <f aca="false">IF(A101="","",IF(G101="","غير محدد (Unassigned)",IFERROR(INDEX(Teachers!$C$6:$C$75,MATCH(G101,Teachers!$A$6:$A$75,0)),"؟ كود معلم غير موجود")))</f>
        <v>Mr Hassan FathyR Mohamed</v>
      </c>
      <c r="I101" s="104" t="s">
        <v>442</v>
      </c>
    </row>
    <row r="102" customFormat="false" ht="15" hidden="false" customHeight="false" outlineLevel="0" collapsed="false">
      <c r="A102" s="60" t="s">
        <v>564</v>
      </c>
      <c r="B102" s="102" t="str">
        <f aca="false">IF(A102="","","Year "&amp;VALUE(MID(A102,2,2)))</f>
        <v>Year 4</v>
      </c>
      <c r="C102" s="102" t="str">
        <f aca="false">IF(A102="","",MID(A102,4,FIND("/",A102)-4))</f>
        <v>ip</v>
      </c>
      <c r="D102" s="102" t="str">
        <f aca="false">IF(A102="","",MID(A102,FIND("/",A102)+1,2))</f>
        <v>Ib</v>
      </c>
      <c r="E102" s="103" t="str">
        <f aca="false">IF(A102="","",IFERROR(INDEX(SubjName,MATCH(D102,SubjCode,0)),"؟ رمز مادة غير معرّف في Settings"))</f>
        <v>Islamic B</v>
      </c>
      <c r="F102" s="102" t="str">
        <f aca="false">IF(A102="","",MID(A102,FIND("/",A102)+1,10))</f>
        <v>Ib2</v>
      </c>
      <c r="G102" s="63" t="s">
        <v>466</v>
      </c>
      <c r="H102" s="103" t="str">
        <f aca="false">IF(A102="","",IF(G102="","غير محدد (Unassigned)",IFERROR(INDEX(Teachers!$C$6:$C$75,MATCH(G102,Teachers!$A$6:$A$75,0)),"؟ كود معلم غير موجود")))</f>
        <v>Ms Aya Kalash</v>
      </c>
      <c r="I102" s="104" t="s">
        <v>442</v>
      </c>
    </row>
    <row r="103" customFormat="false" ht="15" hidden="false" customHeight="false" outlineLevel="0" collapsed="false">
      <c r="A103" s="60" t="s">
        <v>565</v>
      </c>
      <c r="B103" s="102" t="str">
        <f aca="false">IF(A103="","","Year "&amp;VALUE(MID(A103,2,2)))</f>
        <v>Year 4</v>
      </c>
      <c r="C103" s="102" t="str">
        <f aca="false">IF(A103="","",MID(A103,4,FIND("/",A103)-4))</f>
        <v>ip</v>
      </c>
      <c r="D103" s="102" t="str">
        <f aca="false">IF(A103="","",MID(A103,FIND("/",A103)+1,2))</f>
        <v>Ib</v>
      </c>
      <c r="E103" s="103" t="str">
        <f aca="false">IF(A103="","",IFERROR(INDEX(SubjName,MATCH(D103,SubjCode,0)),"؟ رمز مادة غير معرّف في Settings"))</f>
        <v>Islamic B</v>
      </c>
      <c r="F103" s="102" t="str">
        <f aca="false">IF(A103="","",MID(A103,FIND("/",A103)+1,10))</f>
        <v>Ib3</v>
      </c>
      <c r="G103" s="63" t="s">
        <v>468</v>
      </c>
      <c r="H103" s="103" t="str">
        <f aca="false">IF(A103="","",IF(G103="","غير محدد (Unassigned)",IFERROR(INDEX(Teachers!$C$6:$C$75,MATCH(G103,Teachers!$A$6:$A$75,0)),"؟ كود معلم غير موجود")))</f>
        <v>Mr Ubaid Ameer Husain</v>
      </c>
      <c r="I103" s="104" t="s">
        <v>442</v>
      </c>
    </row>
    <row r="104" customFormat="false" ht="15" hidden="false" customHeight="false" outlineLevel="0" collapsed="false">
      <c r="A104" s="60" t="s">
        <v>566</v>
      </c>
      <c r="B104" s="102" t="str">
        <f aca="false">IF(A104="","","Year "&amp;VALUE(MID(A104,2,2)))</f>
        <v>Year 4</v>
      </c>
      <c r="C104" s="102" t="str">
        <f aca="false">IF(A104="","",MID(A104,4,FIND("/",A104)-4))</f>
        <v>kp</v>
      </c>
      <c r="D104" s="102" t="str">
        <f aca="false">IF(A104="","",MID(A104,FIND("/",A104)+1,2))</f>
        <v>Aa</v>
      </c>
      <c r="E104" s="103" t="str">
        <f aca="false">IF(A104="","",IFERROR(INDEX(SubjName,MATCH(D104,SubjCode,0)),"؟ رمز مادة غير معرّف في Settings"))</f>
        <v>Arabic A</v>
      </c>
      <c r="F104" s="102" t="str">
        <f aca="false">IF(A104="","",MID(A104,FIND("/",A104)+1,10))</f>
        <v>Aa1</v>
      </c>
      <c r="G104" s="63" t="s">
        <v>495</v>
      </c>
      <c r="H104" s="103" t="str">
        <f aca="false">IF(A104="","",IF(G104="","غير محدد (Unassigned)",IFERROR(INDEX(Teachers!$C$6:$C$75,MATCH(G104,Teachers!$A$6:$A$75,0)),"؟ كود معلم غير موجود")))</f>
        <v>Ms Eman Rabea</v>
      </c>
      <c r="I104" s="104" t="s">
        <v>442</v>
      </c>
    </row>
    <row r="105" customFormat="false" ht="15" hidden="false" customHeight="false" outlineLevel="0" collapsed="false">
      <c r="A105" s="60" t="s">
        <v>567</v>
      </c>
      <c r="B105" s="102" t="str">
        <f aca="false">IF(A105="","","Year "&amp;VALUE(MID(A105,2,2)))</f>
        <v>Year 4</v>
      </c>
      <c r="C105" s="102" t="str">
        <f aca="false">IF(A105="","",MID(A105,4,FIND("/",A105)-4))</f>
        <v>kp</v>
      </c>
      <c r="D105" s="102" t="str">
        <f aca="false">IF(A105="","",MID(A105,FIND("/",A105)+1,2))</f>
        <v>Aa</v>
      </c>
      <c r="E105" s="103" t="str">
        <f aca="false">IF(A105="","",IFERROR(INDEX(SubjName,MATCH(D105,SubjCode,0)),"؟ رمز مادة غير معرّف في Settings"))</f>
        <v>Arabic A</v>
      </c>
      <c r="F105" s="102" t="str">
        <f aca="false">IF(A105="","",MID(A105,FIND("/",A105)+1,10))</f>
        <v>Aa2</v>
      </c>
      <c r="G105" s="63" t="s">
        <v>497</v>
      </c>
      <c r="H105" s="103" t="str">
        <f aca="false">IF(A105="","",IF(G105="","غير محدد (Unassigned)",IFERROR(INDEX(Teachers!$C$6:$C$75,MATCH(G105,Teachers!$A$6:$A$75,0)),"؟ كود معلم غير موجود")))</f>
        <v>Ms Asmaa A Emara</v>
      </c>
      <c r="I105" s="104" t="s">
        <v>442</v>
      </c>
    </row>
    <row r="106" customFormat="false" ht="15" hidden="false" customHeight="false" outlineLevel="0" collapsed="false">
      <c r="A106" s="60" t="s">
        <v>568</v>
      </c>
      <c r="B106" s="102" t="str">
        <f aca="false">IF(A106="","","Year "&amp;VALUE(MID(A106,2,2)))</f>
        <v>Year 4</v>
      </c>
      <c r="C106" s="102" t="str">
        <f aca="false">IF(A106="","",MID(A106,4,FIND("/",A106)-4))</f>
        <v>kp</v>
      </c>
      <c r="D106" s="102" t="str">
        <f aca="false">IF(A106="","",MID(A106,FIND("/",A106)+1,2))</f>
        <v>Ab</v>
      </c>
      <c r="E106" s="103" t="str">
        <f aca="false">IF(A106="","",IFERROR(INDEX(SubjName,MATCH(D106,SubjCode,0)),"؟ رمز مادة غير معرّف في Settings"))</f>
        <v>Arabic B</v>
      </c>
      <c r="F106" s="102" t="str">
        <f aca="false">IF(A106="","",MID(A106,FIND("/",A106)+1,10))</f>
        <v>Ab1</v>
      </c>
      <c r="G106" s="63" t="s">
        <v>446</v>
      </c>
      <c r="H106" s="103" t="str">
        <f aca="false">IF(A106="","",IF(G106="","غير محدد (Unassigned)",IFERROR(INDEX(Teachers!$C$6:$C$75,MATCH(G106,Teachers!$A$6:$A$75,0)),"؟ كود معلم غير موجود")))</f>
        <v>Ms AssmaaM AbdelhakimAli</v>
      </c>
      <c r="I106" s="104" t="s">
        <v>442</v>
      </c>
    </row>
    <row r="107" customFormat="false" ht="15" hidden="false" customHeight="false" outlineLevel="0" collapsed="false">
      <c r="A107" s="60" t="s">
        <v>569</v>
      </c>
      <c r="B107" s="102" t="str">
        <f aca="false">IF(A107="","","Year "&amp;VALUE(MID(A107,2,2)))</f>
        <v>Year 4</v>
      </c>
      <c r="C107" s="102" t="str">
        <f aca="false">IF(A107="","",MID(A107,4,FIND("/",A107)-4))</f>
        <v>kp</v>
      </c>
      <c r="D107" s="102" t="str">
        <f aca="false">IF(A107="","",MID(A107,FIND("/",A107)+1,2))</f>
        <v>Ab</v>
      </c>
      <c r="E107" s="103" t="str">
        <f aca="false">IF(A107="","",IFERROR(INDEX(SubjName,MATCH(D107,SubjCode,0)),"؟ رمز مادة غير معرّف في Settings"))</f>
        <v>Arabic B</v>
      </c>
      <c r="F107" s="102" t="str">
        <f aca="false">IF(A107="","",MID(A107,FIND("/",A107)+1,10))</f>
        <v>Ab2</v>
      </c>
      <c r="G107" s="63" t="s">
        <v>501</v>
      </c>
      <c r="H107" s="103" t="str">
        <f aca="false">IF(A107="","",IF(G107="","غير محدد (Unassigned)",IFERROR(INDEX(Teachers!$C$6:$C$75,MATCH(G107,Teachers!$A$6:$A$75,0)),"؟ كود معلم غير موجود")))</f>
        <v>Ms Sabrin  Kottb</v>
      </c>
      <c r="I107" s="104" t="s">
        <v>442</v>
      </c>
    </row>
    <row r="108" customFormat="false" ht="15" hidden="false" customHeight="false" outlineLevel="0" collapsed="false">
      <c r="A108" s="60" t="s">
        <v>570</v>
      </c>
      <c r="B108" s="102" t="str">
        <f aca="false">IF(A108="","","Year "&amp;VALUE(MID(A108,2,2)))</f>
        <v>Year 4</v>
      </c>
      <c r="C108" s="102" t="str">
        <f aca="false">IF(A108="","",MID(A108,4,FIND("/",A108)-4))</f>
        <v>kp</v>
      </c>
      <c r="D108" s="102" t="str">
        <f aca="false">IF(A108="","",MID(A108,FIND("/",A108)+1,2))</f>
        <v>Ab</v>
      </c>
      <c r="E108" s="103" t="str">
        <f aca="false">IF(A108="","",IFERROR(INDEX(SubjName,MATCH(D108,SubjCode,0)),"؟ رمز مادة غير معرّف في Settings"))</f>
        <v>Arabic B</v>
      </c>
      <c r="F108" s="102" t="str">
        <f aca="false">IF(A108="","",MID(A108,FIND("/",A108)+1,10))</f>
        <v>Ab3</v>
      </c>
      <c r="G108" s="63" t="s">
        <v>499</v>
      </c>
      <c r="H108" s="103" t="str">
        <f aca="false">IF(A108="","",IF(G108="","غير محدد (Unassigned)",IFERROR(INDEX(Teachers!$C$6:$C$75,MATCH(G108,Teachers!$A$6:$A$75,0)),"؟ كود معلم غير موجود")))</f>
        <v>Ms RemondaElsaid  Bahnas</v>
      </c>
      <c r="I108" s="104" t="s">
        <v>442</v>
      </c>
    </row>
    <row r="109" customFormat="false" ht="15" hidden="false" customHeight="false" outlineLevel="0" collapsed="false">
      <c r="A109" s="60" t="s">
        <v>571</v>
      </c>
      <c r="B109" s="102" t="str">
        <f aca="false">IF(A109="","","Year "&amp;VALUE(MID(A109,2,2)))</f>
        <v>Year 4</v>
      </c>
      <c r="C109" s="102" t="str">
        <f aca="false">IF(A109="","",MID(A109,4,FIND("/",A109)-4))</f>
        <v>kp</v>
      </c>
      <c r="D109" s="102" t="str">
        <f aca="false">IF(A109="","",MID(A109,FIND("/",A109)+1,2))</f>
        <v>Ab</v>
      </c>
      <c r="E109" s="103" t="str">
        <f aca="false">IF(A109="","",IFERROR(INDEX(SubjName,MATCH(D109,SubjCode,0)),"؟ رمز مادة غير معرّف في Settings"))</f>
        <v>Arabic B</v>
      </c>
      <c r="F109" s="102" t="str">
        <f aca="false">IF(A109="","",MID(A109,FIND("/",A109)+1,10))</f>
        <v>Ab4</v>
      </c>
      <c r="G109" s="63" t="s">
        <v>518</v>
      </c>
      <c r="H109" s="103" t="str">
        <f aca="false">IF(A109="","",IF(G109="","غير محدد (Unassigned)",IFERROR(INDEX(Teachers!$C$6:$C$75,MATCH(G109,Teachers!$A$6:$A$75,0)),"؟ كود معلم غير موجود")))</f>
        <v>Ms Mennatallah A Mohamed</v>
      </c>
      <c r="I109" s="104" t="s">
        <v>442</v>
      </c>
    </row>
    <row r="110" customFormat="false" ht="15" hidden="false" customHeight="false" outlineLevel="0" collapsed="false">
      <c r="A110" s="60" t="s">
        <v>572</v>
      </c>
      <c r="B110" s="102" t="str">
        <f aca="false">IF(A110="","","Year "&amp;VALUE(MID(A110,2,2)))</f>
        <v>Year 4</v>
      </c>
      <c r="C110" s="102" t="str">
        <f aca="false">IF(A110="","",MID(A110,4,FIND("/",A110)-4))</f>
        <v>kp</v>
      </c>
      <c r="D110" s="102" t="str">
        <f aca="false">IF(A110="","",MID(A110,FIND("/",A110)+1,2))</f>
        <v>Ab</v>
      </c>
      <c r="E110" s="103" t="str">
        <f aca="false">IF(A110="","",IFERROR(INDEX(SubjName,MATCH(D110,SubjCode,0)),"؟ رمز مادة غير معرّف في Settings"))</f>
        <v>Arabic B</v>
      </c>
      <c r="F110" s="102" t="str">
        <f aca="false">IF(A110="","",MID(A110,FIND("/",A110)+1,10))</f>
        <v>Ab5</v>
      </c>
      <c r="G110" s="63" t="s">
        <v>454</v>
      </c>
      <c r="H110" s="103" t="str">
        <f aca="false">IF(A110="","",IF(G110="","غير محدد (Unassigned)",IFERROR(INDEX(Teachers!$C$6:$C$75,MATCH(G110,Teachers!$A$6:$A$75,0)),"؟ كود معلم غير موجود")))</f>
        <v>Mr Ahmed Sabry Soliman</v>
      </c>
      <c r="I110" s="104" t="s">
        <v>442</v>
      </c>
    </row>
    <row r="111" customFormat="false" ht="15" hidden="false" customHeight="false" outlineLevel="0" collapsed="false">
      <c r="A111" s="60" t="s">
        <v>573</v>
      </c>
      <c r="B111" s="102" t="str">
        <f aca="false">IF(A111="","","Year "&amp;VALUE(MID(A111,2,2)))</f>
        <v>Year 4</v>
      </c>
      <c r="C111" s="102" t="str">
        <f aca="false">IF(A111="","",MID(A111,4,FIND("/",A111)-4))</f>
        <v>kp</v>
      </c>
      <c r="D111" s="102" t="str">
        <f aca="false">IF(A111="","",MID(A111,FIND("/",A111)+1,2))</f>
        <v>Ua</v>
      </c>
      <c r="E111" s="103" t="str">
        <f aca="false">IF(A111="","",IFERROR(INDEX(SubjName,MATCH(D111,SubjCode,0)),"؟ رمز مادة غير معرّف في Settings"))</f>
        <v>Ua (اسم المادة غير مؤكد)</v>
      </c>
      <c r="F111" s="102" t="str">
        <f aca="false">IF(A111="","",MID(A111,FIND("/",A111)+1,10))</f>
        <v>Ua1</v>
      </c>
      <c r="G111" s="63" t="s">
        <v>456</v>
      </c>
      <c r="H111" s="103" t="str">
        <f aca="false">IF(A111="","",IF(G111="","غير محدد (Unassigned)",IFERROR(INDEX(Teachers!$C$6:$C$75,MATCH(G111,Teachers!$A$6:$A$75,0)),"؟ كود معلم غير موجود")))</f>
        <v>Ms Hanaa Ferky Awadain</v>
      </c>
      <c r="I111" s="104" t="s">
        <v>442</v>
      </c>
    </row>
    <row r="112" customFormat="false" ht="15" hidden="false" customHeight="false" outlineLevel="0" collapsed="false">
      <c r="A112" s="60" t="s">
        <v>574</v>
      </c>
      <c r="B112" s="102" t="str">
        <f aca="false">IF(A112="","","Year "&amp;VALUE(MID(A112,2,2)))</f>
        <v>Year 4</v>
      </c>
      <c r="C112" s="102" t="str">
        <f aca="false">IF(A112="","",MID(A112,4,FIND("/",A112)-4))</f>
        <v>kp</v>
      </c>
      <c r="D112" s="102" t="str">
        <f aca="false">IF(A112="","",MID(A112,FIND("/",A112)+1,2))</f>
        <v>Ua</v>
      </c>
      <c r="E112" s="103" t="str">
        <f aca="false">IF(A112="","",IFERROR(INDEX(SubjName,MATCH(D112,SubjCode,0)),"؟ رمز مادة غير معرّف في Settings"))</f>
        <v>Ua (اسم المادة غير مؤكد)</v>
      </c>
      <c r="F112" s="102" t="str">
        <f aca="false">IF(A112="","",MID(A112,FIND("/",A112)+1,10))</f>
        <v>Ua2</v>
      </c>
      <c r="G112" s="63" t="s">
        <v>458</v>
      </c>
      <c r="H112" s="103" t="str">
        <f aca="false">IF(A112="","",IF(G112="","غير محدد (Unassigned)",IFERROR(INDEX(Teachers!$C$6:$C$75,MATCH(G112,Teachers!$A$6:$A$75,0)),"؟ كود معلم غير موجود")))</f>
        <v>Mr Abdou Ghazy</v>
      </c>
      <c r="I112" s="104" t="s">
        <v>442</v>
      </c>
    </row>
    <row r="113" customFormat="false" ht="15" hidden="false" customHeight="false" outlineLevel="0" collapsed="false">
      <c r="A113" s="60" t="s">
        <v>575</v>
      </c>
      <c r="B113" s="102" t="str">
        <f aca="false">IF(A113="","","Year "&amp;VALUE(MID(A113,2,2)))</f>
        <v>Year 5</v>
      </c>
      <c r="C113" s="102" t="str">
        <f aca="false">IF(A113="","",MID(A113,4,FIND("/",A113)-4))</f>
        <v>ae</v>
      </c>
      <c r="D113" s="102" t="str">
        <f aca="false">IF(A113="","",MID(A113,FIND("/",A113)+1,2))</f>
        <v>Aa</v>
      </c>
      <c r="E113" s="103" t="str">
        <f aca="false">IF(A113="","",IFERROR(INDEX(SubjName,MATCH(D113,SubjCode,0)),"؟ رمز مادة غير معرّف في Settings"))</f>
        <v>Arabic A</v>
      </c>
      <c r="F113" s="102" t="str">
        <f aca="false">IF(A113="","",MID(A113,FIND("/",A113)+1,10))</f>
        <v>Aa1</v>
      </c>
      <c r="G113" s="63" t="s">
        <v>536</v>
      </c>
      <c r="H113" s="103" t="str">
        <f aca="false">IF(A113="","",IF(G113="","غير محدد (Unassigned)",IFERROR(INDEX(Teachers!$C$6:$C$75,MATCH(G113,Teachers!$A$6:$A$75,0)),"؟ كود معلم غير موجود")))</f>
        <v>Mr Helmi Abdelgawad</v>
      </c>
      <c r="I113" s="104" t="s">
        <v>442</v>
      </c>
    </row>
    <row r="114" customFormat="false" ht="15" hidden="false" customHeight="false" outlineLevel="0" collapsed="false">
      <c r="A114" s="60" t="s">
        <v>576</v>
      </c>
      <c r="B114" s="102" t="str">
        <f aca="false">IF(A114="","","Year "&amp;VALUE(MID(A114,2,2)))</f>
        <v>Year 5</v>
      </c>
      <c r="C114" s="102" t="str">
        <f aca="false">IF(A114="","",MID(A114,4,FIND("/",A114)-4))</f>
        <v>ae</v>
      </c>
      <c r="D114" s="102" t="str">
        <f aca="false">IF(A114="","",MID(A114,FIND("/",A114)+1,2))</f>
        <v>Aa</v>
      </c>
      <c r="E114" s="103" t="str">
        <f aca="false">IF(A114="","",IFERROR(INDEX(SubjName,MATCH(D114,SubjCode,0)),"؟ رمز مادة غير معرّف في Settings"))</f>
        <v>Arabic A</v>
      </c>
      <c r="F114" s="102" t="str">
        <f aca="false">IF(A114="","",MID(A114,FIND("/",A114)+1,10))</f>
        <v>Aa2</v>
      </c>
      <c r="G114" s="63" t="s">
        <v>538</v>
      </c>
      <c r="H114" s="103" t="str">
        <f aca="false">IF(A114="","",IF(G114="","غير محدد (Unassigned)",IFERROR(INDEX(Teachers!$C$6:$C$75,MATCH(G114,Teachers!$A$6:$A$75,0)),"؟ كود معلم غير موجود")))</f>
        <v>Ms Hend Shaban</v>
      </c>
      <c r="I114" s="104" t="s">
        <v>442</v>
      </c>
    </row>
    <row r="115" customFormat="false" ht="15" hidden="false" customHeight="false" outlineLevel="0" collapsed="false">
      <c r="A115" s="60" t="s">
        <v>577</v>
      </c>
      <c r="B115" s="102" t="str">
        <f aca="false">IF(A115="","","Year "&amp;VALUE(MID(A115,2,2)))</f>
        <v>Year 5</v>
      </c>
      <c r="C115" s="102" t="str">
        <f aca="false">IF(A115="","",MID(A115,4,FIND("/",A115)-4))</f>
        <v>ae</v>
      </c>
      <c r="D115" s="102" t="str">
        <f aca="false">IF(A115="","",MID(A115,FIND("/",A115)+1,2))</f>
        <v>Ab</v>
      </c>
      <c r="E115" s="103" t="str">
        <f aca="false">IF(A115="","",IFERROR(INDEX(SubjName,MATCH(D115,SubjCode,0)),"؟ رمز مادة غير معرّف في Settings"))</f>
        <v>Arabic B</v>
      </c>
      <c r="F115" s="102" t="str">
        <f aca="false">IF(A115="","",MID(A115,FIND("/",A115)+1,10))</f>
        <v>Ab1</v>
      </c>
      <c r="G115" s="63" t="s">
        <v>578</v>
      </c>
      <c r="H115" s="103" t="str">
        <f aca="false">IF(A115="","",IF(G115="","غير محدد (Unassigned)",IFERROR(INDEX(Teachers!$C$6:$C$75,MATCH(G115,Teachers!$A$6:$A$75,0)),"؟ كود معلم غير موجود")))</f>
        <v>Ms Eman Elnasharty</v>
      </c>
      <c r="I115" s="104" t="s">
        <v>442</v>
      </c>
    </row>
    <row r="116" customFormat="false" ht="15" hidden="false" customHeight="false" outlineLevel="0" collapsed="false">
      <c r="A116" s="60" t="s">
        <v>579</v>
      </c>
      <c r="B116" s="102" t="str">
        <f aca="false">IF(A116="","","Year "&amp;VALUE(MID(A116,2,2)))</f>
        <v>Year 5</v>
      </c>
      <c r="C116" s="102" t="str">
        <f aca="false">IF(A116="","",MID(A116,4,FIND("/",A116)-4))</f>
        <v>ae</v>
      </c>
      <c r="D116" s="102" t="str">
        <f aca="false">IF(A116="","",MID(A116,FIND("/",A116)+1,2))</f>
        <v>Ab</v>
      </c>
      <c r="E116" s="103" t="str">
        <f aca="false">IF(A116="","",IFERROR(INDEX(SubjName,MATCH(D116,SubjCode,0)),"؟ رمز مادة غير معرّف في Settings"))</f>
        <v>Arabic B</v>
      </c>
      <c r="F116" s="102" t="str">
        <f aca="false">IF(A116="","",MID(A116,FIND("/",A116)+1,10))</f>
        <v>Ab2</v>
      </c>
      <c r="G116" s="63" t="s">
        <v>580</v>
      </c>
      <c r="H116" s="103" t="str">
        <f aca="false">IF(A116="","",IF(G116="","غير محدد (Unassigned)",IFERROR(INDEX(Teachers!$C$6:$C$75,MATCH(G116,Teachers!$A$6:$A$75,0)),"؟ كود معلم غير موجود")))</f>
        <v>Ms Menatalla ElBakary</v>
      </c>
      <c r="I116" s="104" t="s">
        <v>442</v>
      </c>
    </row>
    <row r="117" customFormat="false" ht="15" hidden="false" customHeight="false" outlineLevel="0" collapsed="false">
      <c r="A117" s="60" t="s">
        <v>581</v>
      </c>
      <c r="B117" s="102" t="str">
        <f aca="false">IF(A117="","","Year "&amp;VALUE(MID(A117,2,2)))</f>
        <v>Year 5</v>
      </c>
      <c r="C117" s="102" t="str">
        <f aca="false">IF(A117="","",MID(A117,4,FIND("/",A117)-4))</f>
        <v>ae</v>
      </c>
      <c r="D117" s="102" t="str">
        <f aca="false">IF(A117="","",MID(A117,FIND("/",A117)+1,2))</f>
        <v>Ab</v>
      </c>
      <c r="E117" s="103" t="str">
        <f aca="false">IF(A117="","",IFERROR(INDEX(SubjName,MATCH(D117,SubjCode,0)),"؟ رمز مادة غير معرّف في Settings"))</f>
        <v>Arabic B</v>
      </c>
      <c r="F117" s="102" t="str">
        <f aca="false">IF(A117="","",MID(A117,FIND("/",A117)+1,10))</f>
        <v>Ab3</v>
      </c>
      <c r="G117" s="63" t="s">
        <v>542</v>
      </c>
      <c r="H117" s="103" t="str">
        <f aca="false">IF(A117="","",IF(G117="","غير محدد (Unassigned)",IFERROR(INDEX(Teachers!$C$6:$C$75,MATCH(G117,Teachers!$A$6:$A$75,0)),"؟ كود معلم غير موجود")))</f>
        <v>Ms Rafah  Al Kanj</v>
      </c>
      <c r="I117" s="104" t="s">
        <v>442</v>
      </c>
    </row>
    <row r="118" customFormat="false" ht="15" hidden="false" customHeight="false" outlineLevel="0" collapsed="false">
      <c r="A118" s="60" t="s">
        <v>582</v>
      </c>
      <c r="B118" s="102" t="str">
        <f aca="false">IF(A118="","","Year "&amp;VALUE(MID(A118,2,2)))</f>
        <v>Year 5</v>
      </c>
      <c r="C118" s="102" t="str">
        <f aca="false">IF(A118="","",MID(A118,4,FIND("/",A118)-4))</f>
        <v>ae</v>
      </c>
      <c r="D118" s="102" t="str">
        <f aca="false">IF(A118="","",MID(A118,FIND("/",A118)+1,2))</f>
        <v>Ab</v>
      </c>
      <c r="E118" s="103" t="str">
        <f aca="false">IF(A118="","",IFERROR(INDEX(SubjName,MATCH(D118,SubjCode,0)),"؟ رمز مادة غير معرّف في Settings"))</f>
        <v>Arabic B</v>
      </c>
      <c r="F118" s="102" t="str">
        <f aca="false">IF(A118="","",MID(A118,FIND("/",A118)+1,10))</f>
        <v>Ab4</v>
      </c>
      <c r="G118" s="63" t="s">
        <v>518</v>
      </c>
      <c r="H118" s="103" t="str">
        <f aca="false">IF(A118="","",IF(G118="","غير محدد (Unassigned)",IFERROR(INDEX(Teachers!$C$6:$C$75,MATCH(G118,Teachers!$A$6:$A$75,0)),"؟ كود معلم غير موجود")))</f>
        <v>Ms Mennatallah A Mohamed</v>
      </c>
      <c r="I118" s="104" t="s">
        <v>442</v>
      </c>
    </row>
    <row r="119" customFormat="false" ht="15" hidden="false" customHeight="false" outlineLevel="0" collapsed="false">
      <c r="A119" s="60" t="s">
        <v>583</v>
      </c>
      <c r="B119" s="102" t="str">
        <f aca="false">IF(A119="","","Year "&amp;VALUE(MID(A119,2,2)))</f>
        <v>Year 5</v>
      </c>
      <c r="C119" s="102" t="str">
        <f aca="false">IF(A119="","",MID(A119,4,FIND("/",A119)-4))</f>
        <v>ae</v>
      </c>
      <c r="D119" s="102" t="str">
        <f aca="false">IF(A119="","",MID(A119,FIND("/",A119)+1,2))</f>
        <v>Ua</v>
      </c>
      <c r="E119" s="103" t="str">
        <f aca="false">IF(A119="","",IFERROR(INDEX(SubjName,MATCH(D119,SubjCode,0)),"؟ رمز مادة غير معرّف في Settings"))</f>
        <v>Ua (اسم المادة غير مؤكد)</v>
      </c>
      <c r="F119" s="102" t="str">
        <f aca="false">IF(A119="","",MID(A119,FIND("/",A119)+1,10))</f>
        <v>Ua1</v>
      </c>
      <c r="G119" s="63" t="s">
        <v>456</v>
      </c>
      <c r="H119" s="103" t="str">
        <f aca="false">IF(A119="","",IF(G119="","غير محدد (Unassigned)",IFERROR(INDEX(Teachers!$C$6:$C$75,MATCH(G119,Teachers!$A$6:$A$75,0)),"؟ كود معلم غير موجود")))</f>
        <v>Ms Hanaa Ferky Awadain</v>
      </c>
      <c r="I119" s="104" t="s">
        <v>442</v>
      </c>
    </row>
    <row r="120" customFormat="false" ht="15" hidden="false" customHeight="false" outlineLevel="0" collapsed="false">
      <c r="A120" s="60" t="s">
        <v>584</v>
      </c>
      <c r="B120" s="102" t="str">
        <f aca="false">IF(A120="","","Year "&amp;VALUE(MID(A120,2,2)))</f>
        <v>Year 5</v>
      </c>
      <c r="C120" s="102" t="str">
        <f aca="false">IF(A120="","",MID(A120,4,FIND("/",A120)-4))</f>
        <v>ae</v>
      </c>
      <c r="D120" s="102" t="str">
        <f aca="false">IF(A120="","",MID(A120,FIND("/",A120)+1,2))</f>
        <v>Ua</v>
      </c>
      <c r="E120" s="103" t="str">
        <f aca="false">IF(A120="","",IFERROR(INDEX(SubjName,MATCH(D120,SubjCode,0)),"؟ رمز مادة غير معرّف في Settings"))</f>
        <v>Ua (اسم المادة غير مؤكد)</v>
      </c>
      <c r="F120" s="102" t="str">
        <f aca="false">IF(A120="","",MID(A120,FIND("/",A120)+1,10))</f>
        <v>Ua2</v>
      </c>
      <c r="G120" s="63" t="s">
        <v>458</v>
      </c>
      <c r="H120" s="103" t="str">
        <f aca="false">IF(A120="","",IF(G120="","غير محدد (Unassigned)",IFERROR(INDEX(Teachers!$C$6:$C$75,MATCH(G120,Teachers!$A$6:$A$75,0)),"؟ كود معلم غير موجود")))</f>
        <v>Mr Abdou Ghazy</v>
      </c>
      <c r="I120" s="104" t="s">
        <v>442</v>
      </c>
    </row>
    <row r="121" customFormat="false" ht="15" hidden="false" customHeight="false" outlineLevel="0" collapsed="false">
      <c r="A121" s="60" t="s">
        <v>585</v>
      </c>
      <c r="B121" s="102" t="str">
        <f aca="false">IF(A121="","","Year "&amp;VALUE(MID(A121,2,2)))</f>
        <v>Year 5</v>
      </c>
      <c r="C121" s="102" t="str">
        <f aca="false">IF(A121="","",MID(A121,4,FIND("/",A121)-4))</f>
        <v>ah</v>
      </c>
      <c r="D121" s="102" t="str">
        <f aca="false">IF(A121="","",MID(A121,FIND("/",A121)+1,2))</f>
        <v>Ia</v>
      </c>
      <c r="E121" s="103" t="str">
        <f aca="false">IF(A121="","",IFERROR(INDEX(SubjName,MATCH(D121,SubjCode,0)),"؟ رمز مادة غير معرّف في Settings"))</f>
        <v>Islamic A</v>
      </c>
      <c r="F121" s="102" t="str">
        <f aca="false">IF(A121="","",MID(A121,FIND("/",A121)+1,10))</f>
        <v>Ia1</v>
      </c>
      <c r="G121" s="63" t="s">
        <v>460</v>
      </c>
      <c r="H121" s="103" t="str">
        <f aca="false">IF(A121="","",IF(G121="","غير محدد (Unassigned)",IFERROR(INDEX(Teachers!$C$6:$C$75,MATCH(G121,Teachers!$A$6:$A$75,0)),"؟ كود معلم غير موجود")))</f>
        <v>Mr Ahmad Abdan</v>
      </c>
      <c r="I121" s="104" t="s">
        <v>442</v>
      </c>
    </row>
    <row r="122" customFormat="false" ht="15" hidden="false" customHeight="false" outlineLevel="0" collapsed="false">
      <c r="A122" s="60" t="s">
        <v>586</v>
      </c>
      <c r="B122" s="102" t="str">
        <f aca="false">IF(A122="","","Year "&amp;VALUE(MID(A122,2,2)))</f>
        <v>Year 5</v>
      </c>
      <c r="C122" s="102" t="str">
        <f aca="false">IF(A122="","",MID(A122,4,FIND("/",A122)-4))</f>
        <v>ah</v>
      </c>
      <c r="D122" s="102" t="str">
        <f aca="false">IF(A122="","",MID(A122,FIND("/",A122)+1,2))</f>
        <v>Ia</v>
      </c>
      <c r="E122" s="103" t="str">
        <f aca="false">IF(A122="","",IFERROR(INDEX(SubjName,MATCH(D122,SubjCode,0)),"؟ رمز مادة غير معرّف في Settings"))</f>
        <v>Islamic A</v>
      </c>
      <c r="F122" s="102" t="str">
        <f aca="false">IF(A122="","",MID(A122,FIND("/",A122)+1,10))</f>
        <v>Ia2</v>
      </c>
      <c r="G122" s="63" t="s">
        <v>481</v>
      </c>
      <c r="H122" s="103" t="str">
        <f aca="false">IF(A122="","",IF(G122="","غير محدد (Unassigned)",IFERROR(INDEX(Teachers!$C$6:$C$75,MATCH(G122,Teachers!$A$6:$A$75,0)),"؟ كود معلم غير موجود")))</f>
        <v>Mr Abdelrahman ElSheikh</v>
      </c>
      <c r="I122" s="104" t="s">
        <v>442</v>
      </c>
    </row>
    <row r="123" customFormat="false" ht="15" hidden="false" customHeight="false" outlineLevel="0" collapsed="false">
      <c r="A123" s="60" t="s">
        <v>587</v>
      </c>
      <c r="B123" s="102" t="str">
        <f aca="false">IF(A123="","","Year "&amp;VALUE(MID(A123,2,2)))</f>
        <v>Year 5</v>
      </c>
      <c r="C123" s="102" t="str">
        <f aca="false">IF(A123="","",MID(A123,4,FIND("/",A123)-4))</f>
        <v>ah</v>
      </c>
      <c r="D123" s="102" t="str">
        <f aca="false">IF(A123="","",MID(A123,FIND("/",A123)+1,2))</f>
        <v>Ib</v>
      </c>
      <c r="E123" s="103" t="str">
        <f aca="false">IF(A123="","",IFERROR(INDEX(SubjName,MATCH(D123,SubjCode,0)),"؟ رمز مادة غير معرّف في Settings"))</f>
        <v>Islamic B</v>
      </c>
      <c r="F123" s="102" t="str">
        <f aca="false">IF(A123="","",MID(A123,FIND("/",A123)+1,10))</f>
        <v>Ib1</v>
      </c>
      <c r="G123" s="63" t="s">
        <v>464</v>
      </c>
      <c r="H123" s="103" t="str">
        <f aca="false">IF(A123="","",IF(G123="","غير محدد (Unassigned)",IFERROR(INDEX(Teachers!$C$6:$C$75,MATCH(G123,Teachers!$A$6:$A$75,0)),"؟ كود معلم غير موجود")))</f>
        <v>Mr Hassan FathyR Mohamed</v>
      </c>
      <c r="I123" s="104" t="s">
        <v>442</v>
      </c>
    </row>
    <row r="124" customFormat="false" ht="15" hidden="false" customHeight="false" outlineLevel="0" collapsed="false">
      <c r="A124" s="60" t="s">
        <v>588</v>
      </c>
      <c r="B124" s="102" t="str">
        <f aca="false">IF(A124="","","Year "&amp;VALUE(MID(A124,2,2)))</f>
        <v>Year 5</v>
      </c>
      <c r="C124" s="102" t="str">
        <f aca="false">IF(A124="","",MID(A124,4,FIND("/",A124)-4))</f>
        <v>ah</v>
      </c>
      <c r="D124" s="102" t="str">
        <f aca="false">IF(A124="","",MID(A124,FIND("/",A124)+1,2))</f>
        <v>Ib</v>
      </c>
      <c r="E124" s="103" t="str">
        <f aca="false">IF(A124="","",IFERROR(INDEX(SubjName,MATCH(D124,SubjCode,0)),"؟ رمز مادة غير معرّف في Settings"))</f>
        <v>Islamic B</v>
      </c>
      <c r="F124" s="102" t="str">
        <f aca="false">IF(A124="","",MID(A124,FIND("/",A124)+1,10))</f>
        <v>Ib2</v>
      </c>
      <c r="G124" s="63" t="s">
        <v>466</v>
      </c>
      <c r="H124" s="103" t="str">
        <f aca="false">IF(A124="","",IF(G124="","غير محدد (Unassigned)",IFERROR(INDEX(Teachers!$C$6:$C$75,MATCH(G124,Teachers!$A$6:$A$75,0)),"؟ كود معلم غير موجود")))</f>
        <v>Ms Aya Kalash</v>
      </c>
      <c r="I124" s="104" t="s">
        <v>442</v>
      </c>
    </row>
    <row r="125" customFormat="false" ht="15" hidden="false" customHeight="false" outlineLevel="0" collapsed="false">
      <c r="A125" s="60" t="s">
        <v>589</v>
      </c>
      <c r="B125" s="102" t="str">
        <f aca="false">IF(A125="","","Year "&amp;VALUE(MID(A125,2,2)))</f>
        <v>Year 5</v>
      </c>
      <c r="C125" s="102" t="str">
        <f aca="false">IF(A125="","",MID(A125,4,FIND("/",A125)-4))</f>
        <v>ah</v>
      </c>
      <c r="D125" s="102" t="str">
        <f aca="false">IF(A125="","",MID(A125,FIND("/",A125)+1,2))</f>
        <v>Ib</v>
      </c>
      <c r="E125" s="103" t="str">
        <f aca="false">IF(A125="","",IFERROR(INDEX(SubjName,MATCH(D125,SubjCode,0)),"؟ رمز مادة غير معرّف في Settings"))</f>
        <v>Islamic B</v>
      </c>
      <c r="F125" s="102" t="str">
        <f aca="false">IF(A125="","",MID(A125,FIND("/",A125)+1,10))</f>
        <v>Ib3</v>
      </c>
      <c r="G125" s="63" t="s">
        <v>468</v>
      </c>
      <c r="H125" s="103" t="str">
        <f aca="false">IF(A125="","",IF(G125="","غير محدد (Unassigned)",IFERROR(INDEX(Teachers!$C$6:$C$75,MATCH(G125,Teachers!$A$6:$A$75,0)),"؟ كود معلم غير موجود")))</f>
        <v>Mr Ubaid Ameer Husain</v>
      </c>
      <c r="I125" s="104" t="s">
        <v>442</v>
      </c>
    </row>
    <row r="126" customFormat="false" ht="15" hidden="false" customHeight="false" outlineLevel="0" collapsed="false">
      <c r="A126" s="60" t="s">
        <v>590</v>
      </c>
      <c r="B126" s="102" t="str">
        <f aca="false">IF(A126="","","Year "&amp;VALUE(MID(A126,2,2)))</f>
        <v>Year 5</v>
      </c>
      <c r="C126" s="102" t="str">
        <f aca="false">IF(A126="","",MID(A126,4,FIND("/",A126)-4))</f>
        <v>fj</v>
      </c>
      <c r="D126" s="102" t="str">
        <f aca="false">IF(A126="","",MID(A126,FIND("/",A126)+1,2))</f>
        <v>Aa</v>
      </c>
      <c r="E126" s="103" t="str">
        <f aca="false">IF(A126="","",IFERROR(INDEX(SubjName,MATCH(D126,SubjCode,0)),"؟ رمز مادة غير معرّف في Settings"))</f>
        <v>Arabic A</v>
      </c>
      <c r="F126" s="102" t="str">
        <f aca="false">IF(A126="","",MID(A126,FIND("/",A126)+1,10))</f>
        <v>Aa1</v>
      </c>
      <c r="G126" s="63" t="s">
        <v>536</v>
      </c>
      <c r="H126" s="103" t="str">
        <f aca="false">IF(A126="","",IF(G126="","غير محدد (Unassigned)",IFERROR(INDEX(Teachers!$C$6:$C$75,MATCH(G126,Teachers!$A$6:$A$75,0)),"؟ كود معلم غير موجود")))</f>
        <v>Mr Helmi Abdelgawad</v>
      </c>
      <c r="I126" s="104" t="s">
        <v>442</v>
      </c>
    </row>
    <row r="127" customFormat="false" ht="15" hidden="false" customHeight="false" outlineLevel="0" collapsed="false">
      <c r="A127" s="60" t="s">
        <v>591</v>
      </c>
      <c r="B127" s="102" t="str">
        <f aca="false">IF(A127="","","Year "&amp;VALUE(MID(A127,2,2)))</f>
        <v>Year 5</v>
      </c>
      <c r="C127" s="102" t="str">
        <f aca="false">IF(A127="","",MID(A127,4,FIND("/",A127)-4))</f>
        <v>fj</v>
      </c>
      <c r="D127" s="102" t="str">
        <f aca="false">IF(A127="","",MID(A127,FIND("/",A127)+1,2))</f>
        <v>Aa</v>
      </c>
      <c r="E127" s="103" t="str">
        <f aca="false">IF(A127="","",IFERROR(INDEX(SubjName,MATCH(D127,SubjCode,0)),"؟ رمز مادة غير معرّف في Settings"))</f>
        <v>Arabic A</v>
      </c>
      <c r="F127" s="102" t="str">
        <f aca="false">IF(A127="","",MID(A127,FIND("/",A127)+1,10))</f>
        <v>Aa2</v>
      </c>
      <c r="G127" s="63" t="s">
        <v>538</v>
      </c>
      <c r="H127" s="103" t="str">
        <f aca="false">IF(A127="","",IF(G127="","غير محدد (Unassigned)",IFERROR(INDEX(Teachers!$C$6:$C$75,MATCH(G127,Teachers!$A$6:$A$75,0)),"؟ كود معلم غير موجود")))</f>
        <v>Ms Hend Shaban</v>
      </c>
      <c r="I127" s="104" t="s">
        <v>442</v>
      </c>
    </row>
    <row r="128" customFormat="false" ht="15" hidden="false" customHeight="false" outlineLevel="0" collapsed="false">
      <c r="A128" s="60" t="s">
        <v>592</v>
      </c>
      <c r="B128" s="102" t="str">
        <f aca="false">IF(A128="","","Year "&amp;VALUE(MID(A128,2,2)))</f>
        <v>Year 5</v>
      </c>
      <c r="C128" s="102" t="str">
        <f aca="false">IF(A128="","",MID(A128,4,FIND("/",A128)-4))</f>
        <v>fj</v>
      </c>
      <c r="D128" s="102" t="str">
        <f aca="false">IF(A128="","",MID(A128,FIND("/",A128)+1,2))</f>
        <v>Ab</v>
      </c>
      <c r="E128" s="103" t="str">
        <f aca="false">IF(A128="","",IFERROR(INDEX(SubjName,MATCH(D128,SubjCode,0)),"؟ رمز مادة غير معرّف في Settings"))</f>
        <v>Arabic B</v>
      </c>
      <c r="F128" s="102" t="str">
        <f aca="false">IF(A128="","",MID(A128,FIND("/",A128)+1,10))</f>
        <v>Ab1</v>
      </c>
      <c r="G128" s="63" t="s">
        <v>578</v>
      </c>
      <c r="H128" s="103" t="str">
        <f aca="false">IF(A128="","",IF(G128="","غير محدد (Unassigned)",IFERROR(INDEX(Teachers!$C$6:$C$75,MATCH(G128,Teachers!$A$6:$A$75,0)),"؟ كود معلم غير موجود")))</f>
        <v>Ms Eman Elnasharty</v>
      </c>
      <c r="I128" s="104" t="s">
        <v>442</v>
      </c>
    </row>
    <row r="129" customFormat="false" ht="15" hidden="false" customHeight="false" outlineLevel="0" collapsed="false">
      <c r="A129" s="60" t="s">
        <v>593</v>
      </c>
      <c r="B129" s="102" t="str">
        <f aca="false">IF(A129="","","Year "&amp;VALUE(MID(A129,2,2)))</f>
        <v>Year 5</v>
      </c>
      <c r="C129" s="102" t="str">
        <f aca="false">IF(A129="","",MID(A129,4,FIND("/",A129)-4))</f>
        <v>fj</v>
      </c>
      <c r="D129" s="102" t="str">
        <f aca="false">IF(A129="","",MID(A129,FIND("/",A129)+1,2))</f>
        <v>Ab</v>
      </c>
      <c r="E129" s="103" t="str">
        <f aca="false">IF(A129="","",IFERROR(INDEX(SubjName,MATCH(D129,SubjCode,0)),"؟ رمز مادة غير معرّف في Settings"))</f>
        <v>Arabic B</v>
      </c>
      <c r="F129" s="102" t="str">
        <f aca="false">IF(A129="","",MID(A129,FIND("/",A129)+1,10))</f>
        <v>Ab2</v>
      </c>
      <c r="G129" s="63" t="s">
        <v>580</v>
      </c>
      <c r="H129" s="103" t="str">
        <f aca="false">IF(A129="","",IF(G129="","غير محدد (Unassigned)",IFERROR(INDEX(Teachers!$C$6:$C$75,MATCH(G129,Teachers!$A$6:$A$75,0)),"؟ كود معلم غير موجود")))</f>
        <v>Ms Menatalla ElBakary</v>
      </c>
      <c r="I129" s="104" t="s">
        <v>442</v>
      </c>
    </row>
    <row r="130" customFormat="false" ht="15" hidden="false" customHeight="false" outlineLevel="0" collapsed="false">
      <c r="A130" s="60" t="s">
        <v>594</v>
      </c>
      <c r="B130" s="102" t="str">
        <f aca="false">IF(A130="","","Year "&amp;VALUE(MID(A130,2,2)))</f>
        <v>Year 5</v>
      </c>
      <c r="C130" s="102" t="str">
        <f aca="false">IF(A130="","",MID(A130,4,FIND("/",A130)-4))</f>
        <v>fj</v>
      </c>
      <c r="D130" s="102" t="str">
        <f aca="false">IF(A130="","",MID(A130,FIND("/",A130)+1,2))</f>
        <v>Ab</v>
      </c>
      <c r="E130" s="103" t="str">
        <f aca="false">IF(A130="","",IFERROR(INDEX(SubjName,MATCH(D130,SubjCode,0)),"؟ رمز مادة غير معرّف في Settings"))</f>
        <v>Arabic B</v>
      </c>
      <c r="F130" s="102" t="str">
        <f aca="false">IF(A130="","",MID(A130,FIND("/",A130)+1,10))</f>
        <v>Ab3</v>
      </c>
      <c r="G130" s="63" t="s">
        <v>518</v>
      </c>
      <c r="H130" s="103" t="str">
        <f aca="false">IF(A130="","",IF(G130="","غير محدد (Unassigned)",IFERROR(INDEX(Teachers!$C$6:$C$75,MATCH(G130,Teachers!$A$6:$A$75,0)),"؟ كود معلم غير موجود")))</f>
        <v>Ms Mennatallah A Mohamed</v>
      </c>
      <c r="I130" s="104" t="s">
        <v>442</v>
      </c>
    </row>
    <row r="131" customFormat="false" ht="15" hidden="false" customHeight="false" outlineLevel="0" collapsed="false">
      <c r="A131" s="60" t="s">
        <v>595</v>
      </c>
      <c r="B131" s="102" t="str">
        <f aca="false">IF(A131="","","Year "&amp;VALUE(MID(A131,2,2)))</f>
        <v>Year 5</v>
      </c>
      <c r="C131" s="102" t="str">
        <f aca="false">IF(A131="","",MID(A131,4,FIND("/",A131)-4))</f>
        <v>fj</v>
      </c>
      <c r="D131" s="102" t="str">
        <f aca="false">IF(A131="","",MID(A131,FIND("/",A131)+1,2))</f>
        <v>Ab</v>
      </c>
      <c r="E131" s="103" t="str">
        <f aca="false">IF(A131="","",IFERROR(INDEX(SubjName,MATCH(D131,SubjCode,0)),"؟ رمز مادة غير معرّف في Settings"))</f>
        <v>Arabic B</v>
      </c>
      <c r="F131" s="102" t="str">
        <f aca="false">IF(A131="","",MID(A131,FIND("/",A131)+1,10))</f>
        <v>Ab4</v>
      </c>
      <c r="G131" s="63" t="s">
        <v>596</v>
      </c>
      <c r="H131" s="103" t="str">
        <f aca="false">IF(A131="","",IF(G131="","غير محدد (Unassigned)",IFERROR(INDEX(Teachers!$C$6:$C$75,MATCH(G131,Teachers!$A$6:$A$75,0)),"؟ كود معلم غير موجود")))</f>
        <v>Ms Manar Mehanna</v>
      </c>
      <c r="I131" s="104" t="s">
        <v>442</v>
      </c>
    </row>
    <row r="132" customFormat="false" ht="15" hidden="false" customHeight="false" outlineLevel="0" collapsed="false">
      <c r="A132" s="60" t="s">
        <v>597</v>
      </c>
      <c r="B132" s="102" t="str">
        <f aca="false">IF(A132="","","Year "&amp;VALUE(MID(A132,2,2)))</f>
        <v>Year 5</v>
      </c>
      <c r="C132" s="102" t="str">
        <f aca="false">IF(A132="","",MID(A132,4,FIND("/",A132)-4))</f>
        <v>fj</v>
      </c>
      <c r="D132" s="102" t="str">
        <f aca="false">IF(A132="","",MID(A132,FIND("/",A132)+1,2))</f>
        <v>Ua</v>
      </c>
      <c r="E132" s="103" t="str">
        <f aca="false">IF(A132="","",IFERROR(INDEX(SubjName,MATCH(D132,SubjCode,0)),"؟ رمز مادة غير معرّف في Settings"))</f>
        <v>Ua (اسم المادة غير مؤكد)</v>
      </c>
      <c r="F132" s="102" t="str">
        <f aca="false">IF(A132="","",MID(A132,FIND("/",A132)+1,10))</f>
        <v>Ua1</v>
      </c>
      <c r="G132" s="63" t="s">
        <v>456</v>
      </c>
      <c r="H132" s="103" t="str">
        <f aca="false">IF(A132="","",IF(G132="","غير محدد (Unassigned)",IFERROR(INDEX(Teachers!$C$6:$C$75,MATCH(G132,Teachers!$A$6:$A$75,0)),"؟ كود معلم غير موجود")))</f>
        <v>Ms Hanaa Ferky Awadain</v>
      </c>
      <c r="I132" s="104" t="s">
        <v>442</v>
      </c>
    </row>
    <row r="133" customFormat="false" ht="15" hidden="false" customHeight="false" outlineLevel="0" collapsed="false">
      <c r="A133" s="60" t="s">
        <v>598</v>
      </c>
      <c r="B133" s="102" t="str">
        <f aca="false">IF(A133="","","Year "&amp;VALUE(MID(A133,2,2)))</f>
        <v>Year 5</v>
      </c>
      <c r="C133" s="102" t="str">
        <f aca="false">IF(A133="","",MID(A133,4,FIND("/",A133)-4))</f>
        <v>fj</v>
      </c>
      <c r="D133" s="102" t="str">
        <f aca="false">IF(A133="","",MID(A133,FIND("/",A133)+1,2))</f>
        <v>Ua</v>
      </c>
      <c r="E133" s="103" t="str">
        <f aca="false">IF(A133="","",IFERROR(INDEX(SubjName,MATCH(D133,SubjCode,0)),"؟ رمز مادة غير معرّف في Settings"))</f>
        <v>Ua (اسم المادة غير مؤكد)</v>
      </c>
      <c r="F133" s="102" t="str">
        <f aca="false">IF(A133="","",MID(A133,FIND("/",A133)+1,10))</f>
        <v>Ua2</v>
      </c>
      <c r="G133" s="63" t="s">
        <v>458</v>
      </c>
      <c r="H133" s="103" t="str">
        <f aca="false">IF(A133="","",IF(G133="","غير محدد (Unassigned)",IFERROR(INDEX(Teachers!$C$6:$C$75,MATCH(G133,Teachers!$A$6:$A$75,0)),"؟ كود معلم غير موجود")))</f>
        <v>Mr Abdou Ghazy</v>
      </c>
      <c r="I133" s="104" t="s">
        <v>442</v>
      </c>
    </row>
    <row r="134" customFormat="false" ht="15" hidden="false" customHeight="false" outlineLevel="0" collapsed="false">
      <c r="A134" s="60" t="s">
        <v>599</v>
      </c>
      <c r="B134" s="102" t="str">
        <f aca="false">IF(A134="","","Year "&amp;VALUE(MID(A134,2,2)))</f>
        <v>Year 5</v>
      </c>
      <c r="C134" s="102" t="str">
        <f aca="false">IF(A134="","",MID(A134,4,FIND("/",A134)-4))</f>
        <v>ip</v>
      </c>
      <c r="D134" s="102" t="str">
        <f aca="false">IF(A134="","",MID(A134,FIND("/",A134)+1,2))</f>
        <v>Ia</v>
      </c>
      <c r="E134" s="103" t="str">
        <f aca="false">IF(A134="","",IFERROR(INDEX(SubjName,MATCH(D134,SubjCode,0)),"؟ رمز مادة غير معرّف في Settings"))</f>
        <v>Islamic A</v>
      </c>
      <c r="F134" s="102" t="str">
        <f aca="false">IF(A134="","",MID(A134,FIND("/",A134)+1,10))</f>
        <v>Ia1</v>
      </c>
      <c r="G134" s="63" t="s">
        <v>460</v>
      </c>
      <c r="H134" s="103" t="str">
        <f aca="false">IF(A134="","",IF(G134="","غير محدد (Unassigned)",IFERROR(INDEX(Teachers!$C$6:$C$75,MATCH(G134,Teachers!$A$6:$A$75,0)),"؟ كود معلم غير موجود")))</f>
        <v>Mr Ahmad Abdan</v>
      </c>
      <c r="I134" s="104" t="s">
        <v>442</v>
      </c>
    </row>
    <row r="135" customFormat="false" ht="15" hidden="false" customHeight="false" outlineLevel="0" collapsed="false">
      <c r="A135" s="60" t="s">
        <v>600</v>
      </c>
      <c r="B135" s="102" t="str">
        <f aca="false">IF(A135="","","Year "&amp;VALUE(MID(A135,2,2)))</f>
        <v>Year 5</v>
      </c>
      <c r="C135" s="102" t="str">
        <f aca="false">IF(A135="","",MID(A135,4,FIND("/",A135)-4))</f>
        <v>ip</v>
      </c>
      <c r="D135" s="102" t="str">
        <f aca="false">IF(A135="","",MID(A135,FIND("/",A135)+1,2))</f>
        <v>Ia</v>
      </c>
      <c r="E135" s="103" t="str">
        <f aca="false">IF(A135="","",IFERROR(INDEX(SubjName,MATCH(D135,SubjCode,0)),"؟ رمز مادة غير معرّف في Settings"))</f>
        <v>Islamic A</v>
      </c>
      <c r="F135" s="102" t="str">
        <f aca="false">IF(A135="","",MID(A135,FIND("/",A135)+1,10))</f>
        <v>Ia2</v>
      </c>
      <c r="G135" s="63" t="s">
        <v>481</v>
      </c>
      <c r="H135" s="103" t="str">
        <f aca="false">IF(A135="","",IF(G135="","غير محدد (Unassigned)",IFERROR(INDEX(Teachers!$C$6:$C$75,MATCH(G135,Teachers!$A$6:$A$75,0)),"؟ كود معلم غير موجود")))</f>
        <v>Mr Abdelrahman ElSheikh</v>
      </c>
      <c r="I135" s="104" t="s">
        <v>442</v>
      </c>
    </row>
    <row r="136" customFormat="false" ht="15" hidden="false" customHeight="false" outlineLevel="0" collapsed="false">
      <c r="A136" s="60" t="s">
        <v>601</v>
      </c>
      <c r="B136" s="102" t="str">
        <f aca="false">IF(A136="","","Year "&amp;VALUE(MID(A136,2,2)))</f>
        <v>Year 5</v>
      </c>
      <c r="C136" s="102" t="str">
        <f aca="false">IF(A136="","",MID(A136,4,FIND("/",A136)-4))</f>
        <v>ip</v>
      </c>
      <c r="D136" s="102" t="str">
        <f aca="false">IF(A136="","",MID(A136,FIND("/",A136)+1,2))</f>
        <v>Ia</v>
      </c>
      <c r="E136" s="103" t="str">
        <f aca="false">IF(A136="","",IFERROR(INDEX(SubjName,MATCH(D136,SubjCode,0)),"؟ رمز مادة غير معرّف في Settings"))</f>
        <v>Islamic A</v>
      </c>
      <c r="F136" s="102" t="str">
        <f aca="false">IF(A136="","",MID(A136,FIND("/",A136)+1,10))</f>
        <v>Ia3</v>
      </c>
      <c r="G136" s="63" t="s">
        <v>462</v>
      </c>
      <c r="H136" s="103" t="str">
        <f aca="false">IF(A136="","",IF(G136="","غير محدد (Unassigned)",IFERROR(INDEX(Teachers!$C$6:$C$75,MATCH(G136,Teachers!$A$6:$A$75,0)),"؟ كود معلم غير موجود")))</f>
        <v>Mr Noureldin Badawy</v>
      </c>
      <c r="I136" s="104" t="s">
        <v>442</v>
      </c>
    </row>
    <row r="137" customFormat="false" ht="15" hidden="false" customHeight="false" outlineLevel="0" collapsed="false">
      <c r="A137" s="60" t="s">
        <v>602</v>
      </c>
      <c r="B137" s="102" t="str">
        <f aca="false">IF(A137="","","Year "&amp;VALUE(MID(A137,2,2)))</f>
        <v>Year 5</v>
      </c>
      <c r="C137" s="102" t="str">
        <f aca="false">IF(A137="","",MID(A137,4,FIND("/",A137)-4))</f>
        <v>ip</v>
      </c>
      <c r="D137" s="102" t="str">
        <f aca="false">IF(A137="","",MID(A137,FIND("/",A137)+1,2))</f>
        <v>Ib</v>
      </c>
      <c r="E137" s="103" t="str">
        <f aca="false">IF(A137="","",IFERROR(INDEX(SubjName,MATCH(D137,SubjCode,0)),"؟ رمز مادة غير معرّف في Settings"))</f>
        <v>Islamic B</v>
      </c>
      <c r="F137" s="102" t="str">
        <f aca="false">IF(A137="","",MID(A137,FIND("/",A137)+1,10))</f>
        <v>Ib1</v>
      </c>
      <c r="G137" s="63" t="s">
        <v>464</v>
      </c>
      <c r="H137" s="103" t="str">
        <f aca="false">IF(A137="","",IF(G137="","غير محدد (Unassigned)",IFERROR(INDEX(Teachers!$C$6:$C$75,MATCH(G137,Teachers!$A$6:$A$75,0)),"؟ كود معلم غير موجود")))</f>
        <v>Mr Hassan FathyR Mohamed</v>
      </c>
      <c r="I137" s="104" t="s">
        <v>442</v>
      </c>
    </row>
    <row r="138" customFormat="false" ht="15" hidden="false" customHeight="false" outlineLevel="0" collapsed="false">
      <c r="A138" s="60" t="s">
        <v>603</v>
      </c>
      <c r="B138" s="102" t="str">
        <f aca="false">IF(A138="","","Year "&amp;VALUE(MID(A138,2,2)))</f>
        <v>Year 5</v>
      </c>
      <c r="C138" s="102" t="str">
        <f aca="false">IF(A138="","",MID(A138,4,FIND("/",A138)-4))</f>
        <v>ip</v>
      </c>
      <c r="D138" s="102" t="str">
        <f aca="false">IF(A138="","",MID(A138,FIND("/",A138)+1,2))</f>
        <v>Ib</v>
      </c>
      <c r="E138" s="103" t="str">
        <f aca="false">IF(A138="","",IFERROR(INDEX(SubjName,MATCH(D138,SubjCode,0)),"؟ رمز مادة غير معرّف في Settings"))</f>
        <v>Islamic B</v>
      </c>
      <c r="F138" s="102" t="str">
        <f aca="false">IF(A138="","",MID(A138,FIND("/",A138)+1,10))</f>
        <v>Ib2</v>
      </c>
      <c r="G138" s="63" t="s">
        <v>466</v>
      </c>
      <c r="H138" s="103" t="str">
        <f aca="false">IF(A138="","",IF(G138="","غير محدد (Unassigned)",IFERROR(INDEX(Teachers!$C$6:$C$75,MATCH(G138,Teachers!$A$6:$A$75,0)),"؟ كود معلم غير موجود")))</f>
        <v>Ms Aya Kalash</v>
      </c>
      <c r="I138" s="104" t="s">
        <v>442</v>
      </c>
    </row>
    <row r="139" customFormat="false" ht="15" hidden="false" customHeight="false" outlineLevel="0" collapsed="false">
      <c r="A139" s="60" t="s">
        <v>604</v>
      </c>
      <c r="B139" s="102" t="str">
        <f aca="false">IF(A139="","","Year "&amp;VALUE(MID(A139,2,2)))</f>
        <v>Year 5</v>
      </c>
      <c r="C139" s="102" t="str">
        <f aca="false">IF(A139="","",MID(A139,4,FIND("/",A139)-4))</f>
        <v>ip</v>
      </c>
      <c r="D139" s="102" t="str">
        <f aca="false">IF(A139="","",MID(A139,FIND("/",A139)+1,2))</f>
        <v>Ib</v>
      </c>
      <c r="E139" s="103" t="str">
        <f aca="false">IF(A139="","",IFERROR(INDEX(SubjName,MATCH(D139,SubjCode,0)),"؟ رمز مادة غير معرّف في Settings"))</f>
        <v>Islamic B</v>
      </c>
      <c r="F139" s="102" t="str">
        <f aca="false">IF(A139="","",MID(A139,FIND("/",A139)+1,10))</f>
        <v>Ib3</v>
      </c>
      <c r="G139" s="63" t="s">
        <v>468</v>
      </c>
      <c r="H139" s="103" t="str">
        <f aca="false">IF(A139="","",IF(G139="","غير محدد (Unassigned)",IFERROR(INDEX(Teachers!$C$6:$C$75,MATCH(G139,Teachers!$A$6:$A$75,0)),"؟ كود معلم غير موجود")))</f>
        <v>Mr Ubaid Ameer Husain</v>
      </c>
      <c r="I139" s="104" t="s">
        <v>442</v>
      </c>
    </row>
    <row r="140" customFormat="false" ht="15" hidden="false" customHeight="false" outlineLevel="0" collapsed="false">
      <c r="A140" s="60" t="s">
        <v>605</v>
      </c>
      <c r="B140" s="102" t="str">
        <f aca="false">IF(A140="","","Year "&amp;VALUE(MID(A140,2,2)))</f>
        <v>Year 5</v>
      </c>
      <c r="C140" s="102" t="str">
        <f aca="false">IF(A140="","",MID(A140,4,FIND("/",A140)-4))</f>
        <v>kp</v>
      </c>
      <c r="D140" s="102" t="str">
        <f aca="false">IF(A140="","",MID(A140,FIND("/",A140)+1,2))</f>
        <v>Aa</v>
      </c>
      <c r="E140" s="103" t="str">
        <f aca="false">IF(A140="","",IFERROR(INDEX(SubjName,MATCH(D140,SubjCode,0)),"؟ رمز مادة غير معرّف في Settings"))</f>
        <v>Arabic A</v>
      </c>
      <c r="F140" s="102" t="str">
        <f aca="false">IF(A140="","",MID(A140,FIND("/",A140)+1,10))</f>
        <v>Aa1</v>
      </c>
      <c r="G140" s="63" t="s">
        <v>536</v>
      </c>
      <c r="H140" s="103" t="str">
        <f aca="false">IF(A140="","",IF(G140="","غير محدد (Unassigned)",IFERROR(INDEX(Teachers!$C$6:$C$75,MATCH(G140,Teachers!$A$6:$A$75,0)),"؟ كود معلم غير موجود")))</f>
        <v>Mr Helmi Abdelgawad</v>
      </c>
      <c r="I140" s="104" t="s">
        <v>442</v>
      </c>
    </row>
    <row r="141" customFormat="false" ht="15" hidden="false" customHeight="false" outlineLevel="0" collapsed="false">
      <c r="A141" s="60" t="s">
        <v>606</v>
      </c>
      <c r="B141" s="102" t="str">
        <f aca="false">IF(A141="","","Year "&amp;VALUE(MID(A141,2,2)))</f>
        <v>Year 5</v>
      </c>
      <c r="C141" s="102" t="str">
        <f aca="false">IF(A141="","",MID(A141,4,FIND("/",A141)-4))</f>
        <v>kp</v>
      </c>
      <c r="D141" s="102" t="str">
        <f aca="false">IF(A141="","",MID(A141,FIND("/",A141)+1,2))</f>
        <v>Aa</v>
      </c>
      <c r="E141" s="103" t="str">
        <f aca="false">IF(A141="","",IFERROR(INDEX(SubjName,MATCH(D141,SubjCode,0)),"؟ رمز مادة غير معرّف في Settings"))</f>
        <v>Arabic A</v>
      </c>
      <c r="F141" s="102" t="str">
        <f aca="false">IF(A141="","",MID(A141,FIND("/",A141)+1,10))</f>
        <v>Aa2</v>
      </c>
      <c r="G141" s="63" t="s">
        <v>538</v>
      </c>
      <c r="H141" s="103" t="str">
        <f aca="false">IF(A141="","",IF(G141="","غير محدد (Unassigned)",IFERROR(INDEX(Teachers!$C$6:$C$75,MATCH(G141,Teachers!$A$6:$A$75,0)),"؟ كود معلم غير موجود")))</f>
        <v>Ms Hend Shaban</v>
      </c>
      <c r="I141" s="104" t="s">
        <v>442</v>
      </c>
    </row>
    <row r="142" customFormat="false" ht="15" hidden="false" customHeight="false" outlineLevel="0" collapsed="false">
      <c r="A142" s="60" t="s">
        <v>607</v>
      </c>
      <c r="B142" s="102" t="str">
        <f aca="false">IF(A142="","","Year "&amp;VALUE(MID(A142,2,2)))</f>
        <v>Year 5</v>
      </c>
      <c r="C142" s="102" t="str">
        <f aca="false">IF(A142="","",MID(A142,4,FIND("/",A142)-4))</f>
        <v>kp</v>
      </c>
      <c r="D142" s="102" t="str">
        <f aca="false">IF(A142="","",MID(A142,FIND("/",A142)+1,2))</f>
        <v>Aa</v>
      </c>
      <c r="E142" s="103" t="str">
        <f aca="false">IF(A142="","",IFERROR(INDEX(SubjName,MATCH(D142,SubjCode,0)),"؟ رمز مادة غير معرّف في Settings"))</f>
        <v>Arabic A</v>
      </c>
      <c r="F142" s="102" t="str">
        <f aca="false">IF(A142="","",MID(A142,FIND("/",A142)+1,10))</f>
        <v>Aa3</v>
      </c>
      <c r="G142" s="63"/>
      <c r="H142" s="103" t="str">
        <f aca="false">IF(A142="","",IF(G142="","غير محدد (Unassigned)",IFERROR(INDEX(Teachers!$C$6:$C$75,MATCH(G142,Teachers!$A$6:$A$75,0)),"؟ كود معلم غير موجود")))</f>
        <v>غير محدد (Unassigned)</v>
      </c>
      <c r="I142" s="105" t="s">
        <v>608</v>
      </c>
    </row>
    <row r="143" customFormat="false" ht="15" hidden="false" customHeight="false" outlineLevel="0" collapsed="false">
      <c r="A143" s="60" t="s">
        <v>609</v>
      </c>
      <c r="B143" s="102" t="str">
        <f aca="false">IF(A143="","","Year "&amp;VALUE(MID(A143,2,2)))</f>
        <v>Year 5</v>
      </c>
      <c r="C143" s="102" t="str">
        <f aca="false">IF(A143="","",MID(A143,4,FIND("/",A143)-4))</f>
        <v>kp</v>
      </c>
      <c r="D143" s="102" t="str">
        <f aca="false">IF(A143="","",MID(A143,FIND("/",A143)+1,2))</f>
        <v>Ab</v>
      </c>
      <c r="E143" s="103" t="str">
        <f aca="false">IF(A143="","",IFERROR(INDEX(SubjName,MATCH(D143,SubjCode,0)),"؟ رمز مادة غير معرّف في Settings"))</f>
        <v>Arabic B</v>
      </c>
      <c r="F143" s="102" t="str">
        <f aca="false">IF(A143="","",MID(A143,FIND("/",A143)+1,10))</f>
        <v>Ab1</v>
      </c>
      <c r="G143" s="63" t="s">
        <v>578</v>
      </c>
      <c r="H143" s="103" t="str">
        <f aca="false">IF(A143="","",IF(G143="","غير محدد (Unassigned)",IFERROR(INDEX(Teachers!$C$6:$C$75,MATCH(G143,Teachers!$A$6:$A$75,0)),"؟ كود معلم غير موجود")))</f>
        <v>Ms Eman Elnasharty</v>
      </c>
      <c r="I143" s="104" t="s">
        <v>442</v>
      </c>
    </row>
    <row r="144" customFormat="false" ht="15" hidden="false" customHeight="false" outlineLevel="0" collapsed="false">
      <c r="A144" s="60" t="s">
        <v>610</v>
      </c>
      <c r="B144" s="102" t="str">
        <f aca="false">IF(A144="","","Year "&amp;VALUE(MID(A144,2,2)))</f>
        <v>Year 5</v>
      </c>
      <c r="C144" s="102" t="str">
        <f aca="false">IF(A144="","",MID(A144,4,FIND("/",A144)-4))</f>
        <v>kp</v>
      </c>
      <c r="D144" s="102" t="str">
        <f aca="false">IF(A144="","",MID(A144,FIND("/",A144)+1,2))</f>
        <v>Ab</v>
      </c>
      <c r="E144" s="103" t="str">
        <f aca="false">IF(A144="","",IFERROR(INDEX(SubjName,MATCH(D144,SubjCode,0)),"؟ رمز مادة غير معرّف في Settings"))</f>
        <v>Arabic B</v>
      </c>
      <c r="F144" s="102" t="str">
        <f aca="false">IF(A144="","",MID(A144,FIND("/",A144)+1,10))</f>
        <v>Ab2</v>
      </c>
      <c r="G144" s="63" t="s">
        <v>580</v>
      </c>
      <c r="H144" s="103" t="str">
        <f aca="false">IF(A144="","",IF(G144="","غير محدد (Unassigned)",IFERROR(INDEX(Teachers!$C$6:$C$75,MATCH(G144,Teachers!$A$6:$A$75,0)),"؟ كود معلم غير موجود")))</f>
        <v>Ms Menatalla ElBakary</v>
      </c>
      <c r="I144" s="104" t="s">
        <v>442</v>
      </c>
    </row>
    <row r="145" customFormat="false" ht="15" hidden="false" customHeight="false" outlineLevel="0" collapsed="false">
      <c r="A145" s="60" t="s">
        <v>611</v>
      </c>
      <c r="B145" s="102" t="str">
        <f aca="false">IF(A145="","","Year "&amp;VALUE(MID(A145,2,2)))</f>
        <v>Year 5</v>
      </c>
      <c r="C145" s="102" t="str">
        <f aca="false">IF(A145="","",MID(A145,4,FIND("/",A145)-4))</f>
        <v>kp</v>
      </c>
      <c r="D145" s="102" t="str">
        <f aca="false">IF(A145="","",MID(A145,FIND("/",A145)+1,2))</f>
        <v>Ab</v>
      </c>
      <c r="E145" s="103" t="str">
        <f aca="false">IF(A145="","",IFERROR(INDEX(SubjName,MATCH(D145,SubjCode,0)),"؟ رمز مادة غير معرّف في Settings"))</f>
        <v>Arabic B</v>
      </c>
      <c r="F145" s="102" t="str">
        <f aca="false">IF(A145="","",MID(A145,FIND("/",A145)+1,10))</f>
        <v>Ab3</v>
      </c>
      <c r="G145" s="63" t="s">
        <v>499</v>
      </c>
      <c r="H145" s="103" t="str">
        <f aca="false">IF(A145="","",IF(G145="","غير محدد (Unassigned)",IFERROR(INDEX(Teachers!$C$6:$C$75,MATCH(G145,Teachers!$A$6:$A$75,0)),"؟ كود معلم غير موجود")))</f>
        <v>Ms RemondaElsaid  Bahnas</v>
      </c>
      <c r="I145" s="104" t="s">
        <v>442</v>
      </c>
    </row>
    <row r="146" customFormat="false" ht="15" hidden="false" customHeight="false" outlineLevel="0" collapsed="false">
      <c r="A146" s="60" t="s">
        <v>612</v>
      </c>
      <c r="B146" s="102" t="str">
        <f aca="false">IF(A146="","","Year "&amp;VALUE(MID(A146,2,2)))</f>
        <v>Year 5</v>
      </c>
      <c r="C146" s="102" t="str">
        <f aca="false">IF(A146="","",MID(A146,4,FIND("/",A146)-4))</f>
        <v>kp</v>
      </c>
      <c r="D146" s="102" t="str">
        <f aca="false">IF(A146="","",MID(A146,FIND("/",A146)+1,2))</f>
        <v>Ab</v>
      </c>
      <c r="E146" s="103" t="str">
        <f aca="false">IF(A146="","",IFERROR(INDEX(SubjName,MATCH(D146,SubjCode,0)),"؟ رمز مادة غير معرّف في Settings"))</f>
        <v>Arabic B</v>
      </c>
      <c r="F146" s="102" t="str">
        <f aca="false">IF(A146="","",MID(A146,FIND("/",A146)+1,10))</f>
        <v>Ab4</v>
      </c>
      <c r="G146" s="63" t="s">
        <v>596</v>
      </c>
      <c r="H146" s="103" t="str">
        <f aca="false">IF(A146="","",IF(G146="","غير محدد (Unassigned)",IFERROR(INDEX(Teachers!$C$6:$C$75,MATCH(G146,Teachers!$A$6:$A$75,0)),"؟ كود معلم غير موجود")))</f>
        <v>Ms Manar Mehanna</v>
      </c>
      <c r="I146" s="104" t="s">
        <v>442</v>
      </c>
    </row>
    <row r="147" customFormat="false" ht="15" hidden="false" customHeight="false" outlineLevel="0" collapsed="false">
      <c r="A147" s="60" t="s">
        <v>613</v>
      </c>
      <c r="B147" s="102" t="str">
        <f aca="false">IF(A147="","","Year "&amp;VALUE(MID(A147,2,2)))</f>
        <v>Year 5</v>
      </c>
      <c r="C147" s="102" t="str">
        <f aca="false">IF(A147="","",MID(A147,4,FIND("/",A147)-4))</f>
        <v>kp</v>
      </c>
      <c r="D147" s="102" t="str">
        <f aca="false">IF(A147="","",MID(A147,FIND("/",A147)+1,2))</f>
        <v>Ua</v>
      </c>
      <c r="E147" s="103" t="str">
        <f aca="false">IF(A147="","",IFERROR(INDEX(SubjName,MATCH(D147,SubjCode,0)),"؟ رمز مادة غير معرّف في Settings"))</f>
        <v>Ua (اسم المادة غير مؤكد)</v>
      </c>
      <c r="F147" s="102" t="str">
        <f aca="false">IF(A147="","",MID(A147,FIND("/",A147)+1,10))</f>
        <v>Ua1</v>
      </c>
      <c r="G147" s="63" t="s">
        <v>456</v>
      </c>
      <c r="H147" s="103" t="str">
        <f aca="false">IF(A147="","",IF(G147="","غير محدد (Unassigned)",IFERROR(INDEX(Teachers!$C$6:$C$75,MATCH(G147,Teachers!$A$6:$A$75,0)),"؟ كود معلم غير موجود")))</f>
        <v>Ms Hanaa Ferky Awadain</v>
      </c>
      <c r="I147" s="104" t="s">
        <v>442</v>
      </c>
    </row>
    <row r="148" customFormat="false" ht="15" hidden="false" customHeight="false" outlineLevel="0" collapsed="false">
      <c r="A148" s="60" t="s">
        <v>614</v>
      </c>
      <c r="B148" s="102" t="str">
        <f aca="false">IF(A148="","","Year "&amp;VALUE(MID(A148,2,2)))</f>
        <v>Year 5</v>
      </c>
      <c r="C148" s="102" t="str">
        <f aca="false">IF(A148="","",MID(A148,4,FIND("/",A148)-4))</f>
        <v>kp</v>
      </c>
      <c r="D148" s="102" t="str">
        <f aca="false">IF(A148="","",MID(A148,FIND("/",A148)+1,2))</f>
        <v>Ua</v>
      </c>
      <c r="E148" s="103" t="str">
        <f aca="false">IF(A148="","",IFERROR(INDEX(SubjName,MATCH(D148,SubjCode,0)),"؟ رمز مادة غير معرّف في Settings"))</f>
        <v>Ua (اسم المادة غير مؤكد)</v>
      </c>
      <c r="F148" s="102" t="str">
        <f aca="false">IF(A148="","",MID(A148,FIND("/",A148)+1,10))</f>
        <v>Ua2</v>
      </c>
      <c r="G148" s="63" t="s">
        <v>458</v>
      </c>
      <c r="H148" s="103" t="str">
        <f aca="false">IF(A148="","",IF(G148="","غير محدد (Unassigned)",IFERROR(INDEX(Teachers!$C$6:$C$75,MATCH(G148,Teachers!$A$6:$A$75,0)),"؟ كود معلم غير موجود")))</f>
        <v>Mr Abdou Ghazy</v>
      </c>
      <c r="I148" s="104" t="s">
        <v>442</v>
      </c>
    </row>
    <row r="149" customFormat="false" ht="15" hidden="false" customHeight="false" outlineLevel="0" collapsed="false">
      <c r="A149" s="60" t="s">
        <v>615</v>
      </c>
      <c r="B149" s="102" t="str">
        <f aca="false">IF(A149="","","Year "&amp;VALUE(MID(A149,2,2)))</f>
        <v>Year 5</v>
      </c>
      <c r="C149" s="102" t="str">
        <f aca="false">IF(A149="","",MID(A149,4,FIND("/",A149)-4))</f>
        <v>kp</v>
      </c>
      <c r="D149" s="102" t="str">
        <f aca="false">IF(A149="","",MID(A149,FIND("/",A149)+1,2))</f>
        <v>Ua</v>
      </c>
      <c r="E149" s="103" t="str">
        <f aca="false">IF(A149="","",IFERROR(INDEX(SubjName,MATCH(D149,SubjCode,0)),"؟ رمز مادة غير معرّف في Settings"))</f>
        <v>Ua (اسم المادة غير مؤكد)</v>
      </c>
      <c r="F149" s="102" t="str">
        <f aca="false">IF(A149="","",MID(A149,FIND("/",A149)+1,10))</f>
        <v>Ua3</v>
      </c>
      <c r="G149" s="63" t="s">
        <v>616</v>
      </c>
      <c r="H149" s="103" t="str">
        <f aca="false">IF(A149="","",IF(G149="","غير محدد (Unassigned)",IFERROR(INDEX(Teachers!$C$6:$C$75,MATCH(G149,Teachers!$A$6:$A$75,0)),"؟ كود معلم غير موجود")))</f>
        <v>Mr Wajdi Al Najjad</v>
      </c>
      <c r="I149" s="104" t="s">
        <v>442</v>
      </c>
    </row>
    <row r="150" customFormat="false" ht="15" hidden="false" customHeight="false" outlineLevel="0" collapsed="false">
      <c r="A150" s="60" t="s">
        <v>617</v>
      </c>
      <c r="B150" s="102" t="str">
        <f aca="false">IF(A150="","","Year "&amp;VALUE(MID(A150,2,2)))</f>
        <v>Year 6</v>
      </c>
      <c r="C150" s="102" t="str">
        <f aca="false">IF(A150="","",MID(A150,4,FIND("/",A150)-4))</f>
        <v>ae</v>
      </c>
      <c r="D150" s="102" t="str">
        <f aca="false">IF(A150="","",MID(A150,FIND("/",A150)+1,2))</f>
        <v>Aa</v>
      </c>
      <c r="E150" s="103" t="str">
        <f aca="false">IF(A150="","",IFERROR(INDEX(SubjName,MATCH(D150,SubjCode,0)),"؟ رمز مادة غير معرّف في Settings"))</f>
        <v>Arabic A</v>
      </c>
      <c r="F150" s="102" t="str">
        <f aca="false">IF(A150="","",MID(A150,FIND("/",A150)+1,10))</f>
        <v>Aa1</v>
      </c>
      <c r="G150" s="63" t="s">
        <v>618</v>
      </c>
      <c r="H150" s="103" t="str">
        <f aca="false">IF(A150="","",IF(G150="","غير محدد (Unassigned)",IFERROR(INDEX(Teachers!$C$6:$C$75,MATCH(G150,Teachers!$A$6:$A$75,0)),"؟ كود معلم غير موجود")))</f>
        <v>Ms Aliaa Refaat Soliman</v>
      </c>
      <c r="I150" s="104" t="s">
        <v>442</v>
      </c>
    </row>
    <row r="151" customFormat="false" ht="15" hidden="false" customHeight="false" outlineLevel="0" collapsed="false">
      <c r="A151" s="60" t="s">
        <v>619</v>
      </c>
      <c r="B151" s="102" t="str">
        <f aca="false">IF(A151="","","Year "&amp;VALUE(MID(A151,2,2)))</f>
        <v>Year 6</v>
      </c>
      <c r="C151" s="102" t="str">
        <f aca="false">IF(A151="","",MID(A151,4,FIND("/",A151)-4))</f>
        <v>ae</v>
      </c>
      <c r="D151" s="102" t="str">
        <f aca="false">IF(A151="","",MID(A151,FIND("/",A151)+1,2))</f>
        <v>Aa</v>
      </c>
      <c r="E151" s="103" t="str">
        <f aca="false">IF(A151="","",IFERROR(INDEX(SubjName,MATCH(D151,SubjCode,0)),"؟ رمز مادة غير معرّف في Settings"))</f>
        <v>Arabic A</v>
      </c>
      <c r="F151" s="102" t="str">
        <f aca="false">IF(A151="","",MID(A151,FIND("/",A151)+1,10))</f>
        <v>Aa2</v>
      </c>
      <c r="G151" s="63" t="s">
        <v>620</v>
      </c>
      <c r="H151" s="103" t="str">
        <f aca="false">IF(A151="","",IF(G151="","غير محدد (Unassigned)",IFERROR(INDEX(Teachers!$C$6:$C$75,MATCH(G151,Teachers!$A$6:$A$75,0)),"؟ كود معلم غير موجود")))</f>
        <v>Mr Ramy Fathy Hussein</v>
      </c>
      <c r="I151" s="104" t="s">
        <v>442</v>
      </c>
    </row>
    <row r="152" customFormat="false" ht="15" hidden="false" customHeight="false" outlineLevel="0" collapsed="false">
      <c r="A152" s="60" t="s">
        <v>621</v>
      </c>
      <c r="B152" s="102" t="str">
        <f aca="false">IF(A152="","","Year "&amp;VALUE(MID(A152,2,2)))</f>
        <v>Year 6</v>
      </c>
      <c r="C152" s="102" t="str">
        <f aca="false">IF(A152="","",MID(A152,4,FIND("/",A152)-4))</f>
        <v>ae</v>
      </c>
      <c r="D152" s="102" t="str">
        <f aca="false">IF(A152="","",MID(A152,FIND("/",A152)+1,2))</f>
        <v>Ab</v>
      </c>
      <c r="E152" s="103" t="str">
        <f aca="false">IF(A152="","",IFERROR(INDEX(SubjName,MATCH(D152,SubjCode,0)),"؟ رمز مادة غير معرّف في Settings"))</f>
        <v>Arabic B</v>
      </c>
      <c r="F152" s="102" t="str">
        <f aca="false">IF(A152="","",MID(A152,FIND("/",A152)+1,10))</f>
        <v>Ab1</v>
      </c>
      <c r="G152" s="63" t="s">
        <v>578</v>
      </c>
      <c r="H152" s="103" t="str">
        <f aca="false">IF(A152="","",IF(G152="","غير محدد (Unassigned)",IFERROR(INDEX(Teachers!$C$6:$C$75,MATCH(G152,Teachers!$A$6:$A$75,0)),"؟ كود معلم غير موجود")))</f>
        <v>Ms Eman Elnasharty</v>
      </c>
      <c r="I152" s="104" t="s">
        <v>442</v>
      </c>
    </row>
    <row r="153" customFormat="false" ht="15" hidden="false" customHeight="false" outlineLevel="0" collapsed="false">
      <c r="A153" s="60" t="s">
        <v>622</v>
      </c>
      <c r="B153" s="102" t="str">
        <f aca="false">IF(A153="","","Year "&amp;VALUE(MID(A153,2,2)))</f>
        <v>Year 6</v>
      </c>
      <c r="C153" s="102" t="str">
        <f aca="false">IF(A153="","",MID(A153,4,FIND("/",A153)-4))</f>
        <v>ae</v>
      </c>
      <c r="D153" s="102" t="str">
        <f aca="false">IF(A153="","",MID(A153,FIND("/",A153)+1,2))</f>
        <v>Ab</v>
      </c>
      <c r="E153" s="103" t="str">
        <f aca="false">IF(A153="","",IFERROR(INDEX(SubjName,MATCH(D153,SubjCode,0)),"؟ رمز مادة غير معرّف في Settings"))</f>
        <v>Arabic B</v>
      </c>
      <c r="F153" s="102" t="str">
        <f aca="false">IF(A153="","",MID(A153,FIND("/",A153)+1,10))</f>
        <v>Ab2</v>
      </c>
      <c r="G153" s="63" t="s">
        <v>580</v>
      </c>
      <c r="H153" s="103" t="str">
        <f aca="false">IF(A153="","",IF(G153="","غير محدد (Unassigned)",IFERROR(INDEX(Teachers!$C$6:$C$75,MATCH(G153,Teachers!$A$6:$A$75,0)),"؟ كود معلم غير موجود")))</f>
        <v>Ms Menatalla ElBakary</v>
      </c>
      <c r="I153" s="104" t="s">
        <v>442</v>
      </c>
    </row>
    <row r="154" customFormat="false" ht="15" hidden="false" customHeight="false" outlineLevel="0" collapsed="false">
      <c r="A154" s="60" t="s">
        <v>623</v>
      </c>
      <c r="B154" s="102" t="str">
        <f aca="false">IF(A154="","","Year "&amp;VALUE(MID(A154,2,2)))</f>
        <v>Year 6</v>
      </c>
      <c r="C154" s="102" t="str">
        <f aca="false">IF(A154="","",MID(A154,4,FIND("/",A154)-4))</f>
        <v>ae</v>
      </c>
      <c r="D154" s="102" t="str">
        <f aca="false">IF(A154="","",MID(A154,FIND("/",A154)+1,2))</f>
        <v>Ab</v>
      </c>
      <c r="E154" s="103" t="str">
        <f aca="false">IF(A154="","",IFERROR(INDEX(SubjName,MATCH(D154,SubjCode,0)),"؟ رمز مادة غير معرّف في Settings"))</f>
        <v>Arabic B</v>
      </c>
      <c r="F154" s="102" t="str">
        <f aca="false">IF(A154="","",MID(A154,FIND("/",A154)+1,10))</f>
        <v>Ab3</v>
      </c>
      <c r="G154" s="63" t="s">
        <v>542</v>
      </c>
      <c r="H154" s="103" t="str">
        <f aca="false">IF(A154="","",IF(G154="","غير محدد (Unassigned)",IFERROR(INDEX(Teachers!$C$6:$C$75,MATCH(G154,Teachers!$A$6:$A$75,0)),"؟ كود معلم غير موجود")))</f>
        <v>Ms Rafah  Al Kanj</v>
      </c>
      <c r="I154" s="104" t="s">
        <v>442</v>
      </c>
    </row>
    <row r="155" customFormat="false" ht="15" hidden="false" customHeight="false" outlineLevel="0" collapsed="false">
      <c r="A155" s="60" t="s">
        <v>624</v>
      </c>
      <c r="B155" s="102" t="str">
        <f aca="false">IF(A155="","","Year "&amp;VALUE(MID(A155,2,2)))</f>
        <v>Year 6</v>
      </c>
      <c r="C155" s="102" t="str">
        <f aca="false">IF(A155="","",MID(A155,4,FIND("/",A155)-4))</f>
        <v>ae</v>
      </c>
      <c r="D155" s="102" t="str">
        <f aca="false">IF(A155="","",MID(A155,FIND("/",A155)+1,2))</f>
        <v>Ab</v>
      </c>
      <c r="E155" s="103" t="str">
        <f aca="false">IF(A155="","",IFERROR(INDEX(SubjName,MATCH(D155,SubjCode,0)),"؟ رمز مادة غير معرّف في Settings"))</f>
        <v>Arabic B</v>
      </c>
      <c r="F155" s="102" t="str">
        <f aca="false">IF(A155="","",MID(A155,FIND("/",A155)+1,10))</f>
        <v>Ab4</v>
      </c>
      <c r="G155" s="63" t="s">
        <v>596</v>
      </c>
      <c r="H155" s="103" t="str">
        <f aca="false">IF(A155="","",IF(G155="","غير محدد (Unassigned)",IFERROR(INDEX(Teachers!$C$6:$C$75,MATCH(G155,Teachers!$A$6:$A$75,0)),"؟ كود معلم غير موجود")))</f>
        <v>Ms Manar Mehanna</v>
      </c>
      <c r="I155" s="104" t="s">
        <v>442</v>
      </c>
    </row>
    <row r="156" customFormat="false" ht="15" hidden="false" customHeight="false" outlineLevel="0" collapsed="false">
      <c r="A156" s="60" t="s">
        <v>625</v>
      </c>
      <c r="B156" s="102" t="str">
        <f aca="false">IF(A156="","","Year "&amp;VALUE(MID(A156,2,2)))</f>
        <v>Year 6</v>
      </c>
      <c r="C156" s="102" t="str">
        <f aca="false">IF(A156="","",MID(A156,4,FIND("/",A156)-4))</f>
        <v>ae</v>
      </c>
      <c r="D156" s="102" t="str">
        <f aca="false">IF(A156="","",MID(A156,FIND("/",A156)+1,2))</f>
        <v>Ua</v>
      </c>
      <c r="E156" s="103" t="str">
        <f aca="false">IF(A156="","",IFERROR(INDEX(SubjName,MATCH(D156,SubjCode,0)),"؟ رمز مادة غير معرّف في Settings"))</f>
        <v>Ua (اسم المادة غير مؤكد)</v>
      </c>
      <c r="F156" s="102" t="str">
        <f aca="false">IF(A156="","",MID(A156,FIND("/",A156)+1,10))</f>
        <v>Ua1</v>
      </c>
      <c r="G156" s="63" t="s">
        <v>456</v>
      </c>
      <c r="H156" s="103" t="str">
        <f aca="false">IF(A156="","",IF(G156="","غير محدد (Unassigned)",IFERROR(INDEX(Teachers!$C$6:$C$75,MATCH(G156,Teachers!$A$6:$A$75,0)),"؟ كود معلم غير موجود")))</f>
        <v>Ms Hanaa Ferky Awadain</v>
      </c>
      <c r="I156" s="104" t="s">
        <v>442</v>
      </c>
    </row>
    <row r="157" customFormat="false" ht="15" hidden="false" customHeight="false" outlineLevel="0" collapsed="false">
      <c r="A157" s="60" t="s">
        <v>626</v>
      </c>
      <c r="B157" s="102" t="str">
        <f aca="false">IF(A157="","","Year "&amp;VALUE(MID(A157,2,2)))</f>
        <v>Year 6</v>
      </c>
      <c r="C157" s="102" t="str">
        <f aca="false">IF(A157="","",MID(A157,4,FIND("/",A157)-4))</f>
        <v>ae</v>
      </c>
      <c r="D157" s="102" t="str">
        <f aca="false">IF(A157="","",MID(A157,FIND("/",A157)+1,2))</f>
        <v>Ua</v>
      </c>
      <c r="E157" s="103" t="str">
        <f aca="false">IF(A157="","",IFERROR(INDEX(SubjName,MATCH(D157,SubjCode,0)),"؟ رمز مادة غير معرّف في Settings"))</f>
        <v>Ua (اسم المادة غير مؤكد)</v>
      </c>
      <c r="F157" s="102" t="str">
        <f aca="false">IF(A157="","",MID(A157,FIND("/",A157)+1,10))</f>
        <v>Ua2</v>
      </c>
      <c r="G157" s="63" t="s">
        <v>458</v>
      </c>
      <c r="H157" s="103" t="str">
        <f aca="false">IF(A157="","",IF(G157="","غير محدد (Unassigned)",IFERROR(INDEX(Teachers!$C$6:$C$75,MATCH(G157,Teachers!$A$6:$A$75,0)),"؟ كود معلم غير موجود")))</f>
        <v>Mr Abdou Ghazy</v>
      </c>
      <c r="I157" s="104" t="s">
        <v>442</v>
      </c>
    </row>
    <row r="158" customFormat="false" ht="15" hidden="false" customHeight="false" outlineLevel="0" collapsed="false">
      <c r="A158" s="60" t="s">
        <v>627</v>
      </c>
      <c r="B158" s="102" t="str">
        <f aca="false">IF(A158="","","Year "&amp;VALUE(MID(A158,2,2)))</f>
        <v>Year 6</v>
      </c>
      <c r="C158" s="102" t="str">
        <f aca="false">IF(A158="","",MID(A158,4,FIND("/",A158)-4))</f>
        <v>ah</v>
      </c>
      <c r="D158" s="102" t="str">
        <f aca="false">IF(A158="","",MID(A158,FIND("/",A158)+1,2))</f>
        <v>Ia</v>
      </c>
      <c r="E158" s="103" t="str">
        <f aca="false">IF(A158="","",IFERROR(INDEX(SubjName,MATCH(D158,SubjCode,0)),"؟ رمز مادة غير معرّف في Settings"))</f>
        <v>Islamic A</v>
      </c>
      <c r="F158" s="102" t="str">
        <f aca="false">IF(A158="","",MID(A158,FIND("/",A158)+1,10))</f>
        <v>Ia1</v>
      </c>
      <c r="G158" s="63" t="s">
        <v>481</v>
      </c>
      <c r="H158" s="103" t="str">
        <f aca="false">IF(A158="","",IF(G158="","غير محدد (Unassigned)",IFERROR(INDEX(Teachers!$C$6:$C$75,MATCH(G158,Teachers!$A$6:$A$75,0)),"؟ كود معلم غير موجود")))</f>
        <v>Mr Abdelrahman ElSheikh</v>
      </c>
      <c r="I158" s="104" t="s">
        <v>442</v>
      </c>
    </row>
    <row r="159" customFormat="false" ht="15" hidden="false" customHeight="false" outlineLevel="0" collapsed="false">
      <c r="A159" s="60" t="s">
        <v>628</v>
      </c>
      <c r="B159" s="102" t="str">
        <f aca="false">IF(A159="","","Year "&amp;VALUE(MID(A159,2,2)))</f>
        <v>Year 6</v>
      </c>
      <c r="C159" s="102" t="str">
        <f aca="false">IF(A159="","",MID(A159,4,FIND("/",A159)-4))</f>
        <v>ah</v>
      </c>
      <c r="D159" s="102" t="str">
        <f aca="false">IF(A159="","",MID(A159,FIND("/",A159)+1,2))</f>
        <v>Ia</v>
      </c>
      <c r="E159" s="103" t="str">
        <f aca="false">IF(A159="","",IFERROR(INDEX(SubjName,MATCH(D159,SubjCode,0)),"؟ رمز مادة غير معرّف في Settings"))</f>
        <v>Islamic A</v>
      </c>
      <c r="F159" s="102" t="str">
        <f aca="false">IF(A159="","",MID(A159,FIND("/",A159)+1,10))</f>
        <v>Ia2</v>
      </c>
      <c r="G159" s="63" t="s">
        <v>462</v>
      </c>
      <c r="H159" s="103" t="str">
        <f aca="false">IF(A159="","",IF(G159="","غير محدد (Unassigned)",IFERROR(INDEX(Teachers!$C$6:$C$75,MATCH(G159,Teachers!$A$6:$A$75,0)),"؟ كود معلم غير موجود")))</f>
        <v>Mr Noureldin Badawy</v>
      </c>
      <c r="I159" s="104" t="s">
        <v>442</v>
      </c>
    </row>
    <row r="160" customFormat="false" ht="15" hidden="false" customHeight="false" outlineLevel="0" collapsed="false">
      <c r="A160" s="60" t="s">
        <v>629</v>
      </c>
      <c r="B160" s="102" t="str">
        <f aca="false">IF(A160="","","Year "&amp;VALUE(MID(A160,2,2)))</f>
        <v>Year 6</v>
      </c>
      <c r="C160" s="102" t="str">
        <f aca="false">IF(A160="","",MID(A160,4,FIND("/",A160)-4))</f>
        <v>ah</v>
      </c>
      <c r="D160" s="102" t="str">
        <f aca="false">IF(A160="","",MID(A160,FIND("/",A160)+1,2))</f>
        <v>Ib</v>
      </c>
      <c r="E160" s="103" t="str">
        <f aca="false">IF(A160="","",IFERROR(INDEX(SubjName,MATCH(D160,SubjCode,0)),"؟ رمز مادة غير معرّف في Settings"))</f>
        <v>Islamic B</v>
      </c>
      <c r="F160" s="102" t="str">
        <f aca="false">IF(A160="","",MID(A160,FIND("/",A160)+1,10))</f>
        <v>Ib1</v>
      </c>
      <c r="G160" s="63" t="s">
        <v>464</v>
      </c>
      <c r="H160" s="103" t="str">
        <f aca="false">IF(A160="","",IF(G160="","غير محدد (Unassigned)",IFERROR(INDEX(Teachers!$C$6:$C$75,MATCH(G160,Teachers!$A$6:$A$75,0)),"؟ كود معلم غير موجود")))</f>
        <v>Mr Hassan FathyR Mohamed</v>
      </c>
      <c r="I160" s="104" t="s">
        <v>442</v>
      </c>
    </row>
    <row r="161" customFormat="false" ht="15" hidden="false" customHeight="false" outlineLevel="0" collapsed="false">
      <c r="A161" s="60" t="s">
        <v>630</v>
      </c>
      <c r="B161" s="102" t="str">
        <f aca="false">IF(A161="","","Year "&amp;VALUE(MID(A161,2,2)))</f>
        <v>Year 6</v>
      </c>
      <c r="C161" s="102" t="str">
        <f aca="false">IF(A161="","",MID(A161,4,FIND("/",A161)-4))</f>
        <v>ah</v>
      </c>
      <c r="D161" s="102" t="str">
        <f aca="false">IF(A161="","",MID(A161,FIND("/",A161)+1,2))</f>
        <v>Ib</v>
      </c>
      <c r="E161" s="103" t="str">
        <f aca="false">IF(A161="","",IFERROR(INDEX(SubjName,MATCH(D161,SubjCode,0)),"؟ رمز مادة غير معرّف في Settings"))</f>
        <v>Islamic B</v>
      </c>
      <c r="F161" s="102" t="str">
        <f aca="false">IF(A161="","",MID(A161,FIND("/",A161)+1,10))</f>
        <v>Ib2</v>
      </c>
      <c r="G161" s="63" t="s">
        <v>466</v>
      </c>
      <c r="H161" s="103" t="str">
        <f aca="false">IF(A161="","",IF(G161="","غير محدد (Unassigned)",IFERROR(INDEX(Teachers!$C$6:$C$75,MATCH(G161,Teachers!$A$6:$A$75,0)),"؟ كود معلم غير موجود")))</f>
        <v>Ms Aya Kalash</v>
      </c>
      <c r="I161" s="104" t="s">
        <v>442</v>
      </c>
    </row>
    <row r="162" customFormat="false" ht="15" hidden="false" customHeight="false" outlineLevel="0" collapsed="false">
      <c r="A162" s="60" t="s">
        <v>631</v>
      </c>
      <c r="B162" s="102" t="str">
        <f aca="false">IF(A162="","","Year "&amp;VALUE(MID(A162,2,2)))</f>
        <v>Year 6</v>
      </c>
      <c r="C162" s="102" t="str">
        <f aca="false">IF(A162="","",MID(A162,4,FIND("/",A162)-4))</f>
        <v>ah</v>
      </c>
      <c r="D162" s="102" t="str">
        <f aca="false">IF(A162="","",MID(A162,FIND("/",A162)+1,2))</f>
        <v>Ib</v>
      </c>
      <c r="E162" s="103" t="str">
        <f aca="false">IF(A162="","",IFERROR(INDEX(SubjName,MATCH(D162,SubjCode,0)),"؟ رمز مادة غير معرّف في Settings"))</f>
        <v>Islamic B</v>
      </c>
      <c r="F162" s="102" t="str">
        <f aca="false">IF(A162="","",MID(A162,FIND("/",A162)+1,10))</f>
        <v>Ib3</v>
      </c>
      <c r="G162" s="63" t="s">
        <v>468</v>
      </c>
      <c r="H162" s="103" t="str">
        <f aca="false">IF(A162="","",IF(G162="","غير محدد (Unassigned)",IFERROR(INDEX(Teachers!$C$6:$C$75,MATCH(G162,Teachers!$A$6:$A$75,0)),"؟ كود معلم غير موجود")))</f>
        <v>Mr Ubaid Ameer Husain</v>
      </c>
      <c r="I162" s="104" t="s">
        <v>442</v>
      </c>
    </row>
    <row r="163" customFormat="false" ht="15" hidden="false" customHeight="false" outlineLevel="0" collapsed="false">
      <c r="A163" s="60" t="s">
        <v>632</v>
      </c>
      <c r="B163" s="102" t="str">
        <f aca="false">IF(A163="","","Year "&amp;VALUE(MID(A163,2,2)))</f>
        <v>Year 6</v>
      </c>
      <c r="C163" s="102" t="str">
        <f aca="false">IF(A163="","",MID(A163,4,FIND("/",A163)-4))</f>
        <v>fj</v>
      </c>
      <c r="D163" s="102" t="str">
        <f aca="false">IF(A163="","",MID(A163,FIND("/",A163)+1,2))</f>
        <v>Aa</v>
      </c>
      <c r="E163" s="103" t="str">
        <f aca="false">IF(A163="","",IFERROR(INDEX(SubjName,MATCH(D163,SubjCode,0)),"؟ رمز مادة غير معرّف في Settings"))</f>
        <v>Arabic A</v>
      </c>
      <c r="F163" s="102" t="str">
        <f aca="false">IF(A163="","",MID(A163,FIND("/",A163)+1,10))</f>
        <v>Aa1</v>
      </c>
      <c r="G163" s="63" t="s">
        <v>618</v>
      </c>
      <c r="H163" s="103" t="str">
        <f aca="false">IF(A163="","",IF(G163="","غير محدد (Unassigned)",IFERROR(INDEX(Teachers!$C$6:$C$75,MATCH(G163,Teachers!$A$6:$A$75,0)),"؟ كود معلم غير موجود")))</f>
        <v>Ms Aliaa Refaat Soliman</v>
      </c>
      <c r="I163" s="104" t="s">
        <v>442</v>
      </c>
    </row>
    <row r="164" customFormat="false" ht="15" hidden="false" customHeight="false" outlineLevel="0" collapsed="false">
      <c r="A164" s="60" t="s">
        <v>633</v>
      </c>
      <c r="B164" s="102" t="str">
        <f aca="false">IF(A164="","","Year "&amp;VALUE(MID(A164,2,2)))</f>
        <v>Year 6</v>
      </c>
      <c r="C164" s="102" t="str">
        <f aca="false">IF(A164="","",MID(A164,4,FIND("/",A164)-4))</f>
        <v>fj</v>
      </c>
      <c r="D164" s="102" t="str">
        <f aca="false">IF(A164="","",MID(A164,FIND("/",A164)+1,2))</f>
        <v>Aa</v>
      </c>
      <c r="E164" s="103" t="str">
        <f aca="false">IF(A164="","",IFERROR(INDEX(SubjName,MATCH(D164,SubjCode,0)),"؟ رمز مادة غير معرّف في Settings"))</f>
        <v>Arabic A</v>
      </c>
      <c r="F164" s="102" t="str">
        <f aca="false">IF(A164="","",MID(A164,FIND("/",A164)+1,10))</f>
        <v>Aa2</v>
      </c>
      <c r="G164" s="63" t="s">
        <v>620</v>
      </c>
      <c r="H164" s="103" t="str">
        <f aca="false">IF(A164="","",IF(G164="","غير محدد (Unassigned)",IFERROR(INDEX(Teachers!$C$6:$C$75,MATCH(G164,Teachers!$A$6:$A$75,0)),"؟ كود معلم غير موجود")))</f>
        <v>Mr Ramy Fathy Hussein</v>
      </c>
      <c r="I164" s="104" t="s">
        <v>442</v>
      </c>
    </row>
    <row r="165" customFormat="false" ht="15" hidden="false" customHeight="false" outlineLevel="0" collapsed="false">
      <c r="A165" s="60" t="s">
        <v>634</v>
      </c>
      <c r="B165" s="102" t="str">
        <f aca="false">IF(A165="","","Year "&amp;VALUE(MID(A165,2,2)))</f>
        <v>Year 6</v>
      </c>
      <c r="C165" s="102" t="str">
        <f aca="false">IF(A165="","",MID(A165,4,FIND("/",A165)-4))</f>
        <v>fj</v>
      </c>
      <c r="D165" s="102" t="str">
        <f aca="false">IF(A165="","",MID(A165,FIND("/",A165)+1,2))</f>
        <v>Ab</v>
      </c>
      <c r="E165" s="103" t="str">
        <f aca="false">IF(A165="","",IFERROR(INDEX(SubjName,MATCH(D165,SubjCode,0)),"؟ رمز مادة غير معرّف في Settings"))</f>
        <v>Arabic B</v>
      </c>
      <c r="F165" s="102" t="str">
        <f aca="false">IF(A165="","",MID(A165,FIND("/",A165)+1,10))</f>
        <v>Ab1</v>
      </c>
      <c r="G165" s="63" t="s">
        <v>578</v>
      </c>
      <c r="H165" s="103" t="str">
        <f aca="false">IF(A165="","",IF(G165="","غير محدد (Unassigned)",IFERROR(INDEX(Teachers!$C$6:$C$75,MATCH(G165,Teachers!$A$6:$A$75,0)),"؟ كود معلم غير موجود")))</f>
        <v>Ms Eman Elnasharty</v>
      </c>
      <c r="I165" s="104" t="s">
        <v>442</v>
      </c>
    </row>
    <row r="166" customFormat="false" ht="15" hidden="false" customHeight="false" outlineLevel="0" collapsed="false">
      <c r="A166" s="60" t="s">
        <v>635</v>
      </c>
      <c r="B166" s="102" t="str">
        <f aca="false">IF(A166="","","Year "&amp;VALUE(MID(A166,2,2)))</f>
        <v>Year 6</v>
      </c>
      <c r="C166" s="102" t="str">
        <f aca="false">IF(A166="","",MID(A166,4,FIND("/",A166)-4))</f>
        <v>fj</v>
      </c>
      <c r="D166" s="102" t="str">
        <f aca="false">IF(A166="","",MID(A166,FIND("/",A166)+1,2))</f>
        <v>Ab</v>
      </c>
      <c r="E166" s="103" t="str">
        <f aca="false">IF(A166="","",IFERROR(INDEX(SubjName,MATCH(D166,SubjCode,0)),"؟ رمز مادة غير معرّف في Settings"))</f>
        <v>Arabic B</v>
      </c>
      <c r="F166" s="102" t="str">
        <f aca="false">IF(A166="","",MID(A166,FIND("/",A166)+1,10))</f>
        <v>Ab2</v>
      </c>
      <c r="G166" s="63" t="s">
        <v>580</v>
      </c>
      <c r="H166" s="103" t="str">
        <f aca="false">IF(A166="","",IF(G166="","غير محدد (Unassigned)",IFERROR(INDEX(Teachers!$C$6:$C$75,MATCH(G166,Teachers!$A$6:$A$75,0)),"؟ كود معلم غير موجود")))</f>
        <v>Ms Menatalla ElBakary</v>
      </c>
      <c r="I166" s="104" t="s">
        <v>442</v>
      </c>
    </row>
    <row r="167" customFormat="false" ht="15" hidden="false" customHeight="false" outlineLevel="0" collapsed="false">
      <c r="A167" s="60" t="s">
        <v>636</v>
      </c>
      <c r="B167" s="102" t="str">
        <f aca="false">IF(A167="","","Year "&amp;VALUE(MID(A167,2,2)))</f>
        <v>Year 6</v>
      </c>
      <c r="C167" s="102" t="str">
        <f aca="false">IF(A167="","",MID(A167,4,FIND("/",A167)-4))</f>
        <v>fj</v>
      </c>
      <c r="D167" s="102" t="str">
        <f aca="false">IF(A167="","",MID(A167,FIND("/",A167)+1,2))</f>
        <v>Ab</v>
      </c>
      <c r="E167" s="103" t="str">
        <f aca="false">IF(A167="","",IFERROR(INDEX(SubjName,MATCH(D167,SubjCode,0)),"؟ رمز مادة غير معرّف في Settings"))</f>
        <v>Arabic B</v>
      </c>
      <c r="F167" s="102" t="str">
        <f aca="false">IF(A167="","",MID(A167,FIND("/",A167)+1,10))</f>
        <v>Ab3</v>
      </c>
      <c r="G167" s="63" t="s">
        <v>542</v>
      </c>
      <c r="H167" s="103" t="str">
        <f aca="false">IF(A167="","",IF(G167="","غير محدد (Unassigned)",IFERROR(INDEX(Teachers!$C$6:$C$75,MATCH(G167,Teachers!$A$6:$A$75,0)),"؟ كود معلم غير موجود")))</f>
        <v>Ms Rafah  Al Kanj</v>
      </c>
      <c r="I167" s="104" t="s">
        <v>442</v>
      </c>
    </row>
    <row r="168" customFormat="false" ht="15" hidden="false" customHeight="false" outlineLevel="0" collapsed="false">
      <c r="A168" s="60" t="s">
        <v>637</v>
      </c>
      <c r="B168" s="102" t="str">
        <f aca="false">IF(A168="","","Year "&amp;VALUE(MID(A168,2,2)))</f>
        <v>Year 6</v>
      </c>
      <c r="C168" s="102" t="str">
        <f aca="false">IF(A168="","",MID(A168,4,FIND("/",A168)-4))</f>
        <v>fj</v>
      </c>
      <c r="D168" s="102" t="str">
        <f aca="false">IF(A168="","",MID(A168,FIND("/",A168)+1,2))</f>
        <v>Ab</v>
      </c>
      <c r="E168" s="103" t="str">
        <f aca="false">IF(A168="","",IFERROR(INDEX(SubjName,MATCH(D168,SubjCode,0)),"؟ رمز مادة غير معرّف في Settings"))</f>
        <v>Arabic B</v>
      </c>
      <c r="F168" s="102" t="str">
        <f aca="false">IF(A168="","",MID(A168,FIND("/",A168)+1,10))</f>
        <v>Ab4</v>
      </c>
      <c r="G168" s="63" t="s">
        <v>596</v>
      </c>
      <c r="H168" s="103" t="str">
        <f aca="false">IF(A168="","",IF(G168="","غير محدد (Unassigned)",IFERROR(INDEX(Teachers!$C$6:$C$75,MATCH(G168,Teachers!$A$6:$A$75,0)),"؟ كود معلم غير موجود")))</f>
        <v>Ms Manar Mehanna</v>
      </c>
      <c r="I168" s="104" t="s">
        <v>442</v>
      </c>
    </row>
    <row r="169" customFormat="false" ht="15" hidden="false" customHeight="false" outlineLevel="0" collapsed="false">
      <c r="A169" s="60" t="s">
        <v>638</v>
      </c>
      <c r="B169" s="102" t="str">
        <f aca="false">IF(A169="","","Year "&amp;VALUE(MID(A169,2,2)))</f>
        <v>Year 6</v>
      </c>
      <c r="C169" s="102" t="str">
        <f aca="false">IF(A169="","",MID(A169,4,FIND("/",A169)-4))</f>
        <v>fj</v>
      </c>
      <c r="D169" s="102" t="str">
        <f aca="false">IF(A169="","",MID(A169,FIND("/",A169)+1,2))</f>
        <v>Ua</v>
      </c>
      <c r="E169" s="103" t="str">
        <f aca="false">IF(A169="","",IFERROR(INDEX(SubjName,MATCH(D169,SubjCode,0)),"؟ رمز مادة غير معرّف في Settings"))</f>
        <v>Ua (اسم المادة غير مؤكد)</v>
      </c>
      <c r="F169" s="102" t="str">
        <f aca="false">IF(A169="","",MID(A169,FIND("/",A169)+1,10))</f>
        <v>Ua1</v>
      </c>
      <c r="G169" s="63" t="s">
        <v>456</v>
      </c>
      <c r="H169" s="103" t="str">
        <f aca="false">IF(A169="","",IF(G169="","غير محدد (Unassigned)",IFERROR(INDEX(Teachers!$C$6:$C$75,MATCH(G169,Teachers!$A$6:$A$75,0)),"؟ كود معلم غير موجود")))</f>
        <v>Ms Hanaa Ferky Awadain</v>
      </c>
      <c r="I169" s="104" t="s">
        <v>442</v>
      </c>
    </row>
    <row r="170" customFormat="false" ht="15" hidden="false" customHeight="false" outlineLevel="0" collapsed="false">
      <c r="A170" s="60" t="s">
        <v>639</v>
      </c>
      <c r="B170" s="102" t="str">
        <f aca="false">IF(A170="","","Year "&amp;VALUE(MID(A170,2,2)))</f>
        <v>Year 6</v>
      </c>
      <c r="C170" s="102" t="str">
        <f aca="false">IF(A170="","",MID(A170,4,FIND("/",A170)-4))</f>
        <v>fj</v>
      </c>
      <c r="D170" s="102" t="str">
        <f aca="false">IF(A170="","",MID(A170,FIND("/",A170)+1,2))</f>
        <v>Ua</v>
      </c>
      <c r="E170" s="103" t="str">
        <f aca="false">IF(A170="","",IFERROR(INDEX(SubjName,MATCH(D170,SubjCode,0)),"؟ رمز مادة غير معرّف في Settings"))</f>
        <v>Ua (اسم المادة غير مؤكد)</v>
      </c>
      <c r="F170" s="102" t="str">
        <f aca="false">IF(A170="","",MID(A170,FIND("/",A170)+1,10))</f>
        <v>Ua2</v>
      </c>
      <c r="G170" s="63" t="s">
        <v>458</v>
      </c>
      <c r="H170" s="103" t="str">
        <f aca="false">IF(A170="","",IF(G170="","غير محدد (Unassigned)",IFERROR(INDEX(Teachers!$C$6:$C$75,MATCH(G170,Teachers!$A$6:$A$75,0)),"؟ كود معلم غير موجود")))</f>
        <v>Mr Abdou Ghazy</v>
      </c>
      <c r="I170" s="104" t="s">
        <v>442</v>
      </c>
    </row>
    <row r="171" customFormat="false" ht="15" hidden="false" customHeight="false" outlineLevel="0" collapsed="false">
      <c r="A171" s="60" t="s">
        <v>640</v>
      </c>
      <c r="B171" s="102" t="str">
        <f aca="false">IF(A171="","","Year "&amp;VALUE(MID(A171,2,2)))</f>
        <v>Year 6</v>
      </c>
      <c r="C171" s="102" t="str">
        <f aca="false">IF(A171="","",MID(A171,4,FIND("/",A171)-4))</f>
        <v>ip</v>
      </c>
      <c r="D171" s="102" t="str">
        <f aca="false">IF(A171="","",MID(A171,FIND("/",A171)+1,2))</f>
        <v>Ia</v>
      </c>
      <c r="E171" s="103" t="str">
        <f aca="false">IF(A171="","",IFERROR(INDEX(SubjName,MATCH(D171,SubjCode,0)),"؟ رمز مادة غير معرّف في Settings"))</f>
        <v>Islamic A</v>
      </c>
      <c r="F171" s="102" t="str">
        <f aca="false">IF(A171="","",MID(A171,FIND("/",A171)+1,10))</f>
        <v>Ia1</v>
      </c>
      <c r="G171" s="63" t="s">
        <v>481</v>
      </c>
      <c r="H171" s="103" t="str">
        <f aca="false">IF(A171="","",IF(G171="","غير محدد (Unassigned)",IFERROR(INDEX(Teachers!$C$6:$C$75,MATCH(G171,Teachers!$A$6:$A$75,0)),"؟ كود معلم غير موجود")))</f>
        <v>Mr Abdelrahman ElSheikh</v>
      </c>
      <c r="I171" s="104" t="s">
        <v>442</v>
      </c>
    </row>
    <row r="172" customFormat="false" ht="15" hidden="false" customHeight="false" outlineLevel="0" collapsed="false">
      <c r="A172" s="60" t="s">
        <v>641</v>
      </c>
      <c r="B172" s="102" t="str">
        <f aca="false">IF(A172="","","Year "&amp;VALUE(MID(A172,2,2)))</f>
        <v>Year 6</v>
      </c>
      <c r="C172" s="102" t="str">
        <f aca="false">IF(A172="","",MID(A172,4,FIND("/",A172)-4))</f>
        <v>ip</v>
      </c>
      <c r="D172" s="102" t="str">
        <f aca="false">IF(A172="","",MID(A172,FIND("/",A172)+1,2))</f>
        <v>Ia</v>
      </c>
      <c r="E172" s="103" t="str">
        <f aca="false">IF(A172="","",IFERROR(INDEX(SubjName,MATCH(D172,SubjCode,0)),"؟ رمز مادة غير معرّف في Settings"))</f>
        <v>Islamic A</v>
      </c>
      <c r="F172" s="102" t="str">
        <f aca="false">IF(A172="","",MID(A172,FIND("/",A172)+1,10))</f>
        <v>Ia2</v>
      </c>
      <c r="G172" s="63" t="s">
        <v>462</v>
      </c>
      <c r="H172" s="103" t="str">
        <f aca="false">IF(A172="","",IF(G172="","غير محدد (Unassigned)",IFERROR(INDEX(Teachers!$C$6:$C$75,MATCH(G172,Teachers!$A$6:$A$75,0)),"؟ كود معلم غير موجود")))</f>
        <v>Mr Noureldin Badawy</v>
      </c>
      <c r="I172" s="104" t="s">
        <v>442</v>
      </c>
    </row>
    <row r="173" customFormat="false" ht="15" hidden="false" customHeight="false" outlineLevel="0" collapsed="false">
      <c r="A173" s="60" t="s">
        <v>642</v>
      </c>
      <c r="B173" s="102" t="str">
        <f aca="false">IF(A173="","","Year "&amp;VALUE(MID(A173,2,2)))</f>
        <v>Year 6</v>
      </c>
      <c r="C173" s="102" t="str">
        <f aca="false">IF(A173="","",MID(A173,4,FIND("/",A173)-4))</f>
        <v>ip</v>
      </c>
      <c r="D173" s="102" t="str">
        <f aca="false">IF(A173="","",MID(A173,FIND("/",A173)+1,2))</f>
        <v>Ib</v>
      </c>
      <c r="E173" s="103" t="str">
        <f aca="false">IF(A173="","",IFERROR(INDEX(SubjName,MATCH(D173,SubjCode,0)),"؟ رمز مادة غير معرّف في Settings"))</f>
        <v>Islamic B</v>
      </c>
      <c r="F173" s="102" t="str">
        <f aca="false">IF(A173="","",MID(A173,FIND("/",A173)+1,10))</f>
        <v>Ib1</v>
      </c>
      <c r="G173" s="63" t="s">
        <v>464</v>
      </c>
      <c r="H173" s="103" t="str">
        <f aca="false">IF(A173="","",IF(G173="","غير محدد (Unassigned)",IFERROR(INDEX(Teachers!$C$6:$C$75,MATCH(G173,Teachers!$A$6:$A$75,0)),"؟ كود معلم غير موجود")))</f>
        <v>Mr Hassan FathyR Mohamed</v>
      </c>
      <c r="I173" s="104" t="s">
        <v>442</v>
      </c>
    </row>
    <row r="174" customFormat="false" ht="15" hidden="false" customHeight="false" outlineLevel="0" collapsed="false">
      <c r="A174" s="60" t="s">
        <v>643</v>
      </c>
      <c r="B174" s="102" t="str">
        <f aca="false">IF(A174="","","Year "&amp;VALUE(MID(A174,2,2)))</f>
        <v>Year 6</v>
      </c>
      <c r="C174" s="102" t="str">
        <f aca="false">IF(A174="","",MID(A174,4,FIND("/",A174)-4))</f>
        <v>ip</v>
      </c>
      <c r="D174" s="102" t="str">
        <f aca="false">IF(A174="","",MID(A174,FIND("/",A174)+1,2))</f>
        <v>Ib</v>
      </c>
      <c r="E174" s="103" t="str">
        <f aca="false">IF(A174="","",IFERROR(INDEX(SubjName,MATCH(D174,SubjCode,0)),"؟ رمز مادة غير معرّف في Settings"))</f>
        <v>Islamic B</v>
      </c>
      <c r="F174" s="102" t="str">
        <f aca="false">IF(A174="","",MID(A174,FIND("/",A174)+1,10))</f>
        <v>Ib2</v>
      </c>
      <c r="G174" s="63" t="s">
        <v>466</v>
      </c>
      <c r="H174" s="103" t="str">
        <f aca="false">IF(A174="","",IF(G174="","غير محدد (Unassigned)",IFERROR(INDEX(Teachers!$C$6:$C$75,MATCH(G174,Teachers!$A$6:$A$75,0)),"؟ كود معلم غير موجود")))</f>
        <v>Ms Aya Kalash</v>
      </c>
      <c r="I174" s="104" t="s">
        <v>442</v>
      </c>
    </row>
    <row r="175" customFormat="false" ht="15" hidden="false" customHeight="false" outlineLevel="0" collapsed="false">
      <c r="A175" s="60" t="s">
        <v>644</v>
      </c>
      <c r="B175" s="102" t="str">
        <f aca="false">IF(A175="","","Year "&amp;VALUE(MID(A175,2,2)))</f>
        <v>Year 6</v>
      </c>
      <c r="C175" s="102" t="str">
        <f aca="false">IF(A175="","",MID(A175,4,FIND("/",A175)-4))</f>
        <v>ip</v>
      </c>
      <c r="D175" s="102" t="str">
        <f aca="false">IF(A175="","",MID(A175,FIND("/",A175)+1,2))</f>
        <v>Ib</v>
      </c>
      <c r="E175" s="103" t="str">
        <f aca="false">IF(A175="","",IFERROR(INDEX(SubjName,MATCH(D175,SubjCode,0)),"؟ رمز مادة غير معرّف في Settings"))</f>
        <v>Islamic B</v>
      </c>
      <c r="F175" s="102" t="str">
        <f aca="false">IF(A175="","",MID(A175,FIND("/",A175)+1,10))</f>
        <v>Ib3</v>
      </c>
      <c r="G175" s="63" t="s">
        <v>468</v>
      </c>
      <c r="H175" s="103" t="str">
        <f aca="false">IF(A175="","",IF(G175="","غير محدد (Unassigned)",IFERROR(INDEX(Teachers!$C$6:$C$75,MATCH(G175,Teachers!$A$6:$A$75,0)),"؟ كود معلم غير موجود")))</f>
        <v>Mr Ubaid Ameer Husain</v>
      </c>
      <c r="I175" s="104" t="s">
        <v>442</v>
      </c>
    </row>
    <row r="176" customFormat="false" ht="15" hidden="false" customHeight="false" outlineLevel="0" collapsed="false">
      <c r="A176" s="60" t="s">
        <v>645</v>
      </c>
      <c r="B176" s="102" t="str">
        <f aca="false">IF(A176="","","Year "&amp;VALUE(MID(A176,2,2)))</f>
        <v>Year 6</v>
      </c>
      <c r="C176" s="102" t="str">
        <f aca="false">IF(A176="","",MID(A176,4,FIND("/",A176)-4))</f>
        <v>kp</v>
      </c>
      <c r="D176" s="102" t="str">
        <f aca="false">IF(A176="","",MID(A176,FIND("/",A176)+1,2))</f>
        <v>Aa</v>
      </c>
      <c r="E176" s="103" t="str">
        <f aca="false">IF(A176="","",IFERROR(INDEX(SubjName,MATCH(D176,SubjCode,0)),"؟ رمز مادة غير معرّف في Settings"))</f>
        <v>Arabic A</v>
      </c>
      <c r="F176" s="102" t="str">
        <f aca="false">IF(A176="","",MID(A176,FIND("/",A176)+1,10))</f>
        <v>Aa1</v>
      </c>
      <c r="G176" s="63" t="s">
        <v>618</v>
      </c>
      <c r="H176" s="103" t="str">
        <f aca="false">IF(A176="","",IF(G176="","غير محدد (Unassigned)",IFERROR(INDEX(Teachers!$C$6:$C$75,MATCH(G176,Teachers!$A$6:$A$75,0)),"؟ كود معلم غير موجود")))</f>
        <v>Ms Aliaa Refaat Soliman</v>
      </c>
      <c r="I176" s="104" t="s">
        <v>442</v>
      </c>
    </row>
    <row r="177" customFormat="false" ht="15" hidden="false" customHeight="false" outlineLevel="0" collapsed="false">
      <c r="A177" s="60" t="s">
        <v>646</v>
      </c>
      <c r="B177" s="102" t="str">
        <f aca="false">IF(A177="","","Year "&amp;VALUE(MID(A177,2,2)))</f>
        <v>Year 6</v>
      </c>
      <c r="C177" s="102" t="str">
        <f aca="false">IF(A177="","",MID(A177,4,FIND("/",A177)-4))</f>
        <v>kp</v>
      </c>
      <c r="D177" s="102" t="str">
        <f aca="false">IF(A177="","",MID(A177,FIND("/",A177)+1,2))</f>
        <v>Aa</v>
      </c>
      <c r="E177" s="103" t="str">
        <f aca="false">IF(A177="","",IFERROR(INDEX(SubjName,MATCH(D177,SubjCode,0)),"؟ رمز مادة غير معرّف في Settings"))</f>
        <v>Arabic A</v>
      </c>
      <c r="F177" s="102" t="str">
        <f aca="false">IF(A177="","",MID(A177,FIND("/",A177)+1,10))</f>
        <v>Aa2</v>
      </c>
      <c r="G177" s="63" t="s">
        <v>620</v>
      </c>
      <c r="H177" s="103" t="str">
        <f aca="false">IF(A177="","",IF(G177="","غير محدد (Unassigned)",IFERROR(INDEX(Teachers!$C$6:$C$75,MATCH(G177,Teachers!$A$6:$A$75,0)),"؟ كود معلم غير موجود")))</f>
        <v>Mr Ramy Fathy Hussein</v>
      </c>
      <c r="I177" s="104" t="s">
        <v>442</v>
      </c>
    </row>
    <row r="178" customFormat="false" ht="15" hidden="false" customHeight="false" outlineLevel="0" collapsed="false">
      <c r="A178" s="60" t="s">
        <v>647</v>
      </c>
      <c r="B178" s="102" t="str">
        <f aca="false">IF(A178="","","Year "&amp;VALUE(MID(A178,2,2)))</f>
        <v>Year 6</v>
      </c>
      <c r="C178" s="102" t="str">
        <f aca="false">IF(A178="","",MID(A178,4,FIND("/",A178)-4))</f>
        <v>kp</v>
      </c>
      <c r="D178" s="102" t="str">
        <f aca="false">IF(A178="","",MID(A178,FIND("/",A178)+1,2))</f>
        <v>Ab</v>
      </c>
      <c r="E178" s="103" t="str">
        <f aca="false">IF(A178="","",IFERROR(INDEX(SubjName,MATCH(D178,SubjCode,0)),"؟ رمز مادة غير معرّف في Settings"))</f>
        <v>Arabic B</v>
      </c>
      <c r="F178" s="102" t="str">
        <f aca="false">IF(A178="","",MID(A178,FIND("/",A178)+1,10))</f>
        <v>Ab1</v>
      </c>
      <c r="G178" s="63" t="s">
        <v>578</v>
      </c>
      <c r="H178" s="103" t="str">
        <f aca="false">IF(A178="","",IF(G178="","غير محدد (Unassigned)",IFERROR(INDEX(Teachers!$C$6:$C$75,MATCH(G178,Teachers!$A$6:$A$75,0)),"؟ كود معلم غير موجود")))</f>
        <v>Ms Eman Elnasharty</v>
      </c>
      <c r="I178" s="104" t="s">
        <v>442</v>
      </c>
    </row>
    <row r="179" customFormat="false" ht="15" hidden="false" customHeight="false" outlineLevel="0" collapsed="false">
      <c r="A179" s="60" t="s">
        <v>648</v>
      </c>
      <c r="B179" s="102" t="str">
        <f aca="false">IF(A179="","","Year "&amp;VALUE(MID(A179,2,2)))</f>
        <v>Year 6</v>
      </c>
      <c r="C179" s="102" t="str">
        <f aca="false">IF(A179="","",MID(A179,4,FIND("/",A179)-4))</f>
        <v>kp</v>
      </c>
      <c r="D179" s="102" t="str">
        <f aca="false">IF(A179="","",MID(A179,FIND("/",A179)+1,2))</f>
        <v>Ab</v>
      </c>
      <c r="E179" s="103" t="str">
        <f aca="false">IF(A179="","",IFERROR(INDEX(SubjName,MATCH(D179,SubjCode,0)),"؟ رمز مادة غير معرّف في Settings"))</f>
        <v>Arabic B</v>
      </c>
      <c r="F179" s="102" t="str">
        <f aca="false">IF(A179="","",MID(A179,FIND("/",A179)+1,10))</f>
        <v>Ab2</v>
      </c>
      <c r="G179" s="63" t="s">
        <v>580</v>
      </c>
      <c r="H179" s="103" t="str">
        <f aca="false">IF(A179="","",IF(G179="","غير محدد (Unassigned)",IFERROR(INDEX(Teachers!$C$6:$C$75,MATCH(G179,Teachers!$A$6:$A$75,0)),"؟ كود معلم غير موجود")))</f>
        <v>Ms Menatalla ElBakary</v>
      </c>
      <c r="I179" s="104" t="s">
        <v>442</v>
      </c>
    </row>
    <row r="180" customFormat="false" ht="15" hidden="false" customHeight="false" outlineLevel="0" collapsed="false">
      <c r="A180" s="60" t="s">
        <v>649</v>
      </c>
      <c r="B180" s="102" t="str">
        <f aca="false">IF(A180="","","Year "&amp;VALUE(MID(A180,2,2)))</f>
        <v>Year 6</v>
      </c>
      <c r="C180" s="102" t="str">
        <f aca="false">IF(A180="","",MID(A180,4,FIND("/",A180)-4))</f>
        <v>kp</v>
      </c>
      <c r="D180" s="102" t="str">
        <f aca="false">IF(A180="","",MID(A180,FIND("/",A180)+1,2))</f>
        <v>Ab</v>
      </c>
      <c r="E180" s="103" t="str">
        <f aca="false">IF(A180="","",IFERROR(INDEX(SubjName,MATCH(D180,SubjCode,0)),"؟ رمز مادة غير معرّف في Settings"))</f>
        <v>Arabic B</v>
      </c>
      <c r="F180" s="102" t="str">
        <f aca="false">IF(A180="","",MID(A180,FIND("/",A180)+1,10))</f>
        <v>Ab3</v>
      </c>
      <c r="G180" s="63" t="s">
        <v>542</v>
      </c>
      <c r="H180" s="103" t="str">
        <f aca="false">IF(A180="","",IF(G180="","غير محدد (Unassigned)",IFERROR(INDEX(Teachers!$C$6:$C$75,MATCH(G180,Teachers!$A$6:$A$75,0)),"؟ كود معلم غير موجود")))</f>
        <v>Ms Rafah  Al Kanj</v>
      </c>
      <c r="I180" s="104" t="s">
        <v>442</v>
      </c>
    </row>
    <row r="181" customFormat="false" ht="15" hidden="false" customHeight="false" outlineLevel="0" collapsed="false">
      <c r="A181" s="60" t="s">
        <v>650</v>
      </c>
      <c r="B181" s="102" t="str">
        <f aca="false">IF(A181="","","Year "&amp;VALUE(MID(A181,2,2)))</f>
        <v>Year 6</v>
      </c>
      <c r="C181" s="102" t="str">
        <f aca="false">IF(A181="","",MID(A181,4,FIND("/",A181)-4))</f>
        <v>kp</v>
      </c>
      <c r="D181" s="102" t="str">
        <f aca="false">IF(A181="","",MID(A181,FIND("/",A181)+1,2))</f>
        <v>Ab</v>
      </c>
      <c r="E181" s="103" t="str">
        <f aca="false">IF(A181="","",IFERROR(INDEX(SubjName,MATCH(D181,SubjCode,0)),"؟ رمز مادة غير معرّف في Settings"))</f>
        <v>Arabic B</v>
      </c>
      <c r="F181" s="102" t="str">
        <f aca="false">IF(A181="","",MID(A181,FIND("/",A181)+1,10))</f>
        <v>Ab4</v>
      </c>
      <c r="G181" s="63" t="s">
        <v>596</v>
      </c>
      <c r="H181" s="103" t="str">
        <f aca="false">IF(A181="","",IF(G181="","غير محدد (Unassigned)",IFERROR(INDEX(Teachers!$C$6:$C$75,MATCH(G181,Teachers!$A$6:$A$75,0)),"؟ كود معلم غير موجود")))</f>
        <v>Ms Manar Mehanna</v>
      </c>
      <c r="I181" s="104" t="s">
        <v>442</v>
      </c>
    </row>
    <row r="182" customFormat="false" ht="15" hidden="false" customHeight="false" outlineLevel="0" collapsed="false">
      <c r="A182" s="60" t="s">
        <v>651</v>
      </c>
      <c r="B182" s="102" t="str">
        <f aca="false">IF(A182="","","Year "&amp;VALUE(MID(A182,2,2)))</f>
        <v>Year 6</v>
      </c>
      <c r="C182" s="102" t="str">
        <f aca="false">IF(A182="","",MID(A182,4,FIND("/",A182)-4))</f>
        <v>kp</v>
      </c>
      <c r="D182" s="102" t="str">
        <f aca="false">IF(A182="","",MID(A182,FIND("/",A182)+1,2))</f>
        <v>Ua</v>
      </c>
      <c r="E182" s="103" t="str">
        <f aca="false">IF(A182="","",IFERROR(INDEX(SubjName,MATCH(D182,SubjCode,0)),"؟ رمز مادة غير معرّف في Settings"))</f>
        <v>Ua (اسم المادة غير مؤكد)</v>
      </c>
      <c r="F182" s="102" t="str">
        <f aca="false">IF(A182="","",MID(A182,FIND("/",A182)+1,10))</f>
        <v>Ua1</v>
      </c>
      <c r="G182" s="63" t="s">
        <v>456</v>
      </c>
      <c r="H182" s="103" t="str">
        <f aca="false">IF(A182="","",IF(G182="","غير محدد (Unassigned)",IFERROR(INDEX(Teachers!$C$6:$C$75,MATCH(G182,Teachers!$A$6:$A$75,0)),"؟ كود معلم غير موجود")))</f>
        <v>Ms Hanaa Ferky Awadain</v>
      </c>
      <c r="I182" s="104" t="s">
        <v>442</v>
      </c>
    </row>
    <row r="183" customFormat="false" ht="15" hidden="false" customHeight="false" outlineLevel="0" collapsed="false">
      <c r="A183" s="60" t="s">
        <v>652</v>
      </c>
      <c r="B183" s="102" t="str">
        <f aca="false">IF(A183="","","Year "&amp;VALUE(MID(A183,2,2)))</f>
        <v>Year 6</v>
      </c>
      <c r="C183" s="102" t="str">
        <f aca="false">IF(A183="","",MID(A183,4,FIND("/",A183)-4))</f>
        <v>kp</v>
      </c>
      <c r="D183" s="102" t="str">
        <f aca="false">IF(A183="","",MID(A183,FIND("/",A183)+1,2))</f>
        <v>Ua</v>
      </c>
      <c r="E183" s="103" t="str">
        <f aca="false">IF(A183="","",IFERROR(INDEX(SubjName,MATCH(D183,SubjCode,0)),"؟ رمز مادة غير معرّف في Settings"))</f>
        <v>Ua (اسم المادة غير مؤكد)</v>
      </c>
      <c r="F183" s="102" t="str">
        <f aca="false">IF(A183="","",MID(A183,FIND("/",A183)+1,10))</f>
        <v>Ua2</v>
      </c>
      <c r="G183" s="63" t="s">
        <v>458</v>
      </c>
      <c r="H183" s="103" t="str">
        <f aca="false">IF(A183="","",IF(G183="","غير محدد (Unassigned)",IFERROR(INDEX(Teachers!$C$6:$C$75,MATCH(G183,Teachers!$A$6:$A$75,0)),"؟ كود معلم غير موجود")))</f>
        <v>Mr Abdou Ghazy</v>
      </c>
      <c r="I183" s="104" t="s">
        <v>442</v>
      </c>
    </row>
    <row r="184" customFormat="false" ht="15" hidden="false" customHeight="false" outlineLevel="0" collapsed="false">
      <c r="A184" s="60" t="s">
        <v>653</v>
      </c>
      <c r="B184" s="102" t="str">
        <f aca="false">IF(A184="","","Year "&amp;VALUE(MID(A184,2,2)))</f>
        <v>Year 7</v>
      </c>
      <c r="C184" s="102" t="str">
        <f aca="false">IF(A184="","",MID(A184,4,FIND("/",A184)-4))</f>
        <v>ae</v>
      </c>
      <c r="D184" s="102" t="str">
        <f aca="false">IF(A184="","",MID(A184,FIND("/",A184)+1,2))</f>
        <v>Aa</v>
      </c>
      <c r="E184" s="103" t="str">
        <f aca="false">IF(A184="","",IFERROR(INDEX(SubjName,MATCH(D184,SubjCode,0)),"؟ رمز مادة غير معرّف في Settings"))</f>
        <v>Arabic A</v>
      </c>
      <c r="F184" s="102" t="str">
        <f aca="false">IF(A184="","",MID(A184,FIND("/",A184)+1,10))</f>
        <v>Aa1</v>
      </c>
      <c r="G184" s="63" t="s">
        <v>654</v>
      </c>
      <c r="H184" s="103" t="str">
        <f aca="false">IF(A184="","",IF(G184="","غير محدد (Unassigned)",IFERROR(INDEX(Teachers!$C$6:$C$75,MATCH(G184,Teachers!$A$6:$A$75,0)),"؟ كود معلم غير موجود")))</f>
        <v>Ms Soad Ahmed Mohamed</v>
      </c>
      <c r="I184" s="104" t="s">
        <v>442</v>
      </c>
    </row>
    <row r="185" customFormat="false" ht="15" hidden="false" customHeight="false" outlineLevel="0" collapsed="false">
      <c r="A185" s="60" t="s">
        <v>655</v>
      </c>
      <c r="B185" s="102" t="str">
        <f aca="false">IF(A185="","","Year "&amp;VALUE(MID(A185,2,2)))</f>
        <v>Year 7</v>
      </c>
      <c r="C185" s="102" t="str">
        <f aca="false">IF(A185="","",MID(A185,4,FIND("/",A185)-4))</f>
        <v>ae</v>
      </c>
      <c r="D185" s="102" t="str">
        <f aca="false">IF(A185="","",MID(A185,FIND("/",A185)+1,2))</f>
        <v>Aa</v>
      </c>
      <c r="E185" s="103" t="str">
        <f aca="false">IF(A185="","",IFERROR(INDEX(SubjName,MATCH(D185,SubjCode,0)),"؟ رمز مادة غير معرّف في Settings"))</f>
        <v>Arabic A</v>
      </c>
      <c r="F185" s="102" t="str">
        <f aca="false">IF(A185="","",MID(A185,FIND("/",A185)+1,10))</f>
        <v>Aa2</v>
      </c>
      <c r="G185" s="63" t="s">
        <v>656</v>
      </c>
      <c r="H185" s="103" t="str">
        <f aca="false">IF(A185="","",IF(G185="","غير محدد (Unassigned)",IFERROR(INDEX(Teachers!$C$6:$C$75,MATCH(G185,Teachers!$A$6:$A$75,0)),"؟ كود معلم غير موجود")))</f>
        <v>Mr Ahmed Aldusoky</v>
      </c>
      <c r="I185" s="104" t="s">
        <v>442</v>
      </c>
    </row>
    <row r="186" customFormat="false" ht="15" hidden="false" customHeight="false" outlineLevel="0" collapsed="false">
      <c r="A186" s="60" t="s">
        <v>657</v>
      </c>
      <c r="B186" s="102" t="str">
        <f aca="false">IF(A186="","","Year "&amp;VALUE(MID(A186,2,2)))</f>
        <v>Year 7</v>
      </c>
      <c r="C186" s="102" t="str">
        <f aca="false">IF(A186="","",MID(A186,4,FIND("/",A186)-4))</f>
        <v>ae</v>
      </c>
      <c r="D186" s="102" t="str">
        <f aca="false">IF(A186="","",MID(A186,FIND("/",A186)+1,2))</f>
        <v>Ab</v>
      </c>
      <c r="E186" s="103" t="str">
        <f aca="false">IF(A186="","",IFERROR(INDEX(SubjName,MATCH(D186,SubjCode,0)),"؟ رمز مادة غير معرّف في Settings"))</f>
        <v>Arabic B</v>
      </c>
      <c r="F186" s="102" t="str">
        <f aca="false">IF(A186="","",MID(A186,FIND("/",A186)+1,10))</f>
        <v>Ab1</v>
      </c>
      <c r="G186" s="63" t="s">
        <v>658</v>
      </c>
      <c r="H186" s="103" t="str">
        <f aca="false">IF(A186="","",IF(G186="","غير محدد (Unassigned)",IFERROR(INDEX(Teachers!$C$6:$C$75,MATCH(G186,Teachers!$A$6:$A$75,0)),"؟ كود معلم غير موجود")))</f>
        <v>Ms Mona M Abobaker</v>
      </c>
      <c r="I186" s="104" t="s">
        <v>442</v>
      </c>
    </row>
    <row r="187" customFormat="false" ht="15" hidden="false" customHeight="false" outlineLevel="0" collapsed="false">
      <c r="A187" s="60" t="s">
        <v>659</v>
      </c>
      <c r="B187" s="102" t="str">
        <f aca="false">IF(A187="","","Year "&amp;VALUE(MID(A187,2,2)))</f>
        <v>Year 7</v>
      </c>
      <c r="C187" s="102" t="str">
        <f aca="false">IF(A187="","",MID(A187,4,FIND("/",A187)-4))</f>
        <v>ae</v>
      </c>
      <c r="D187" s="102" t="str">
        <f aca="false">IF(A187="","",MID(A187,FIND("/",A187)+1,2))</f>
        <v>Ab</v>
      </c>
      <c r="E187" s="103" t="str">
        <f aca="false">IF(A187="","",IFERROR(INDEX(SubjName,MATCH(D187,SubjCode,0)),"؟ رمز مادة غير معرّف في Settings"))</f>
        <v>Arabic B</v>
      </c>
      <c r="F187" s="102" t="str">
        <f aca="false">IF(A187="","",MID(A187,FIND("/",A187)+1,10))</f>
        <v>Ab2</v>
      </c>
      <c r="G187" s="63" t="s">
        <v>660</v>
      </c>
      <c r="H187" s="103" t="str">
        <f aca="false">IF(A187="","",IF(G187="","غير محدد (Unassigned)",IFERROR(INDEX(Teachers!$C$6:$C$75,MATCH(G187,Teachers!$A$6:$A$75,0)),"؟ كود معلم غير موجود")))</f>
        <v>Mr Kareem Mohamed</v>
      </c>
      <c r="I187" s="104" t="s">
        <v>442</v>
      </c>
    </row>
    <row r="188" customFormat="false" ht="15" hidden="false" customHeight="false" outlineLevel="0" collapsed="false">
      <c r="A188" s="60" t="s">
        <v>661</v>
      </c>
      <c r="B188" s="102" t="str">
        <f aca="false">IF(A188="","","Year "&amp;VALUE(MID(A188,2,2)))</f>
        <v>Year 7</v>
      </c>
      <c r="C188" s="102" t="str">
        <f aca="false">IF(A188="","",MID(A188,4,FIND("/",A188)-4))</f>
        <v>ae</v>
      </c>
      <c r="D188" s="102" t="str">
        <f aca="false">IF(A188="","",MID(A188,FIND("/",A188)+1,2))</f>
        <v>Ab</v>
      </c>
      <c r="E188" s="103" t="str">
        <f aca="false">IF(A188="","",IFERROR(INDEX(SubjName,MATCH(D188,SubjCode,0)),"؟ رمز مادة غير معرّف في Settings"))</f>
        <v>Arabic B</v>
      </c>
      <c r="F188" s="102" t="str">
        <f aca="false">IF(A188="","",MID(A188,FIND("/",A188)+1,10))</f>
        <v>Ab3</v>
      </c>
      <c r="G188" s="63" t="s">
        <v>662</v>
      </c>
      <c r="H188" s="103" t="str">
        <f aca="false">IF(A188="","",IF(G188="","غير محدد (Unassigned)",IFERROR(INDEX(Teachers!$C$6:$C$75,MATCH(G188,Teachers!$A$6:$A$75,0)),"؟ كود معلم غير موجود")))</f>
        <v>Mr MohammedSaber Mohamme</v>
      </c>
      <c r="I188" s="104" t="s">
        <v>442</v>
      </c>
    </row>
    <row r="189" customFormat="false" ht="15" hidden="false" customHeight="false" outlineLevel="0" collapsed="false">
      <c r="A189" s="60" t="s">
        <v>663</v>
      </c>
      <c r="B189" s="102" t="str">
        <f aca="false">IF(A189="","","Year "&amp;VALUE(MID(A189,2,2)))</f>
        <v>Year 7</v>
      </c>
      <c r="C189" s="102" t="str">
        <f aca="false">IF(A189="","",MID(A189,4,FIND("/",A189)-4))</f>
        <v>ae</v>
      </c>
      <c r="D189" s="102" t="str">
        <f aca="false">IF(A189="","",MID(A189,FIND("/",A189)+1,2))</f>
        <v>Ab</v>
      </c>
      <c r="E189" s="103" t="str">
        <f aca="false">IF(A189="","",IFERROR(INDEX(SubjName,MATCH(D189,SubjCode,0)),"؟ رمز مادة غير معرّف في Settings"))</f>
        <v>Arabic B</v>
      </c>
      <c r="F189" s="102" t="str">
        <f aca="false">IF(A189="","",MID(A189,FIND("/",A189)+1,10))</f>
        <v>Ab4</v>
      </c>
      <c r="G189" s="63" t="s">
        <v>664</v>
      </c>
      <c r="H189" s="103" t="str">
        <f aca="false">IF(A189="","",IF(G189="","غير محدد (Unassigned)",IFERROR(INDEX(Teachers!$C$6:$C$75,MATCH(G189,Teachers!$A$6:$A$75,0)),"؟ كود معلم غير موجود")))</f>
        <v>Mr Mohamed Amin Mounes</v>
      </c>
      <c r="I189" s="104" t="s">
        <v>442</v>
      </c>
    </row>
    <row r="190" customFormat="false" ht="15" hidden="false" customHeight="false" outlineLevel="0" collapsed="false">
      <c r="A190" s="60" t="s">
        <v>665</v>
      </c>
      <c r="B190" s="102" t="str">
        <f aca="false">IF(A190="","","Year "&amp;VALUE(MID(A190,2,2)))</f>
        <v>Year 7</v>
      </c>
      <c r="C190" s="102" t="str">
        <f aca="false">IF(A190="","",MID(A190,4,FIND("/",A190)-4))</f>
        <v>ae</v>
      </c>
      <c r="D190" s="102" t="str">
        <f aca="false">IF(A190="","",MID(A190,FIND("/",A190)+1,2))</f>
        <v>Ua</v>
      </c>
      <c r="E190" s="103" t="str">
        <f aca="false">IF(A190="","",IFERROR(INDEX(SubjName,MATCH(D190,SubjCode,0)),"؟ رمز مادة غير معرّف في Settings"))</f>
        <v>Ua (اسم المادة غير مؤكد)</v>
      </c>
      <c r="F190" s="102" t="str">
        <f aca="false">IF(A190="","",MID(A190,FIND("/",A190)+1,10))</f>
        <v>Ua1</v>
      </c>
      <c r="G190" s="63" t="s">
        <v>456</v>
      </c>
      <c r="H190" s="103" t="str">
        <f aca="false">IF(A190="","",IF(G190="","غير محدد (Unassigned)",IFERROR(INDEX(Teachers!$C$6:$C$75,MATCH(G190,Teachers!$A$6:$A$75,0)),"؟ كود معلم غير موجود")))</f>
        <v>Ms Hanaa Ferky Awadain</v>
      </c>
      <c r="I190" s="104" t="s">
        <v>442</v>
      </c>
    </row>
    <row r="191" customFormat="false" ht="15" hidden="false" customHeight="false" outlineLevel="0" collapsed="false">
      <c r="A191" s="60" t="s">
        <v>666</v>
      </c>
      <c r="B191" s="102" t="str">
        <f aca="false">IF(A191="","","Year "&amp;VALUE(MID(A191,2,2)))</f>
        <v>Year 7</v>
      </c>
      <c r="C191" s="102" t="str">
        <f aca="false">IF(A191="","",MID(A191,4,FIND("/",A191)-4))</f>
        <v>ae</v>
      </c>
      <c r="D191" s="102" t="str">
        <f aca="false">IF(A191="","",MID(A191,FIND("/",A191)+1,2))</f>
        <v>Ua</v>
      </c>
      <c r="E191" s="103" t="str">
        <f aca="false">IF(A191="","",IFERROR(INDEX(SubjName,MATCH(D191,SubjCode,0)),"؟ رمز مادة غير معرّف في Settings"))</f>
        <v>Ua (اسم المادة غير مؤكد)</v>
      </c>
      <c r="F191" s="102" t="str">
        <f aca="false">IF(A191="","",MID(A191,FIND("/",A191)+1,10))</f>
        <v>Ua2</v>
      </c>
      <c r="G191" s="63" t="s">
        <v>458</v>
      </c>
      <c r="H191" s="103" t="str">
        <f aca="false">IF(A191="","",IF(G191="","غير محدد (Unassigned)",IFERROR(INDEX(Teachers!$C$6:$C$75,MATCH(G191,Teachers!$A$6:$A$75,0)),"؟ كود معلم غير موجود")))</f>
        <v>Mr Abdou Ghazy</v>
      </c>
      <c r="I191" s="104" t="s">
        <v>442</v>
      </c>
    </row>
    <row r="192" customFormat="false" ht="15" hidden="false" customHeight="false" outlineLevel="0" collapsed="false">
      <c r="A192" s="60" t="s">
        <v>667</v>
      </c>
      <c r="B192" s="102" t="str">
        <f aca="false">IF(A192="","","Year "&amp;VALUE(MID(A192,2,2)))</f>
        <v>Year 7</v>
      </c>
      <c r="C192" s="102" t="str">
        <f aca="false">IF(A192="","",MID(A192,4,FIND("/",A192)-4))</f>
        <v>ah</v>
      </c>
      <c r="D192" s="102" t="str">
        <f aca="false">IF(A192="","",MID(A192,FIND("/",A192)+1,2))</f>
        <v>Ia</v>
      </c>
      <c r="E192" s="103" t="str">
        <f aca="false">IF(A192="","",IFERROR(INDEX(SubjName,MATCH(D192,SubjCode,0)),"؟ رمز مادة غير معرّف في Settings"))</f>
        <v>Islamic A</v>
      </c>
      <c r="F192" s="102" t="str">
        <f aca="false">IF(A192="","",MID(A192,FIND("/",A192)+1,10))</f>
        <v>Ia1</v>
      </c>
      <c r="G192" s="63" t="s">
        <v>668</v>
      </c>
      <c r="H192" s="103" t="str">
        <f aca="false">IF(A192="","",IF(G192="","غير محدد (Unassigned)",IFERROR(INDEX(Teachers!$C$6:$C$75,MATCH(G192,Teachers!$A$6:$A$75,0)),"؟ كود معلم غير موجود")))</f>
        <v>Mr Elsayed A M Hassan</v>
      </c>
      <c r="I192" s="104" t="s">
        <v>442</v>
      </c>
    </row>
    <row r="193" customFormat="false" ht="15" hidden="false" customHeight="false" outlineLevel="0" collapsed="false">
      <c r="A193" s="60" t="s">
        <v>669</v>
      </c>
      <c r="B193" s="102" t="str">
        <f aca="false">IF(A193="","","Year "&amp;VALUE(MID(A193,2,2)))</f>
        <v>Year 7</v>
      </c>
      <c r="C193" s="102" t="str">
        <f aca="false">IF(A193="","",MID(A193,4,FIND("/",A193)-4))</f>
        <v>ah</v>
      </c>
      <c r="D193" s="102" t="str">
        <f aca="false">IF(A193="","",MID(A193,FIND("/",A193)+1,2))</f>
        <v>Ia</v>
      </c>
      <c r="E193" s="103" t="str">
        <f aca="false">IF(A193="","",IFERROR(INDEX(SubjName,MATCH(D193,SubjCode,0)),"؟ رمز مادة غير معرّف في Settings"))</f>
        <v>Islamic A</v>
      </c>
      <c r="F193" s="102" t="str">
        <f aca="false">IF(A193="","",MID(A193,FIND("/",A193)+1,10))</f>
        <v>Ia2</v>
      </c>
      <c r="G193" s="63" t="s">
        <v>670</v>
      </c>
      <c r="H193" s="103" t="str">
        <f aca="false">IF(A193="","",IF(G193="","غير محدد (Unassigned)",IFERROR(INDEX(Teachers!$C$6:$C$75,MATCH(G193,Teachers!$A$6:$A$75,0)),"؟ كود معلم غير موجود")))</f>
        <v>Mr Yaseen Ahmed Zaki</v>
      </c>
      <c r="I193" s="104" t="s">
        <v>442</v>
      </c>
    </row>
    <row r="194" customFormat="false" ht="15" hidden="false" customHeight="false" outlineLevel="0" collapsed="false">
      <c r="A194" s="60" t="s">
        <v>671</v>
      </c>
      <c r="B194" s="102" t="str">
        <f aca="false">IF(A194="","","Year "&amp;VALUE(MID(A194,2,2)))</f>
        <v>Year 7</v>
      </c>
      <c r="C194" s="102" t="str">
        <f aca="false">IF(A194="","",MID(A194,4,FIND("/",A194)-4))</f>
        <v>ah</v>
      </c>
      <c r="D194" s="102" t="str">
        <f aca="false">IF(A194="","",MID(A194,FIND("/",A194)+1,2))</f>
        <v>Ib</v>
      </c>
      <c r="E194" s="103" t="str">
        <f aca="false">IF(A194="","",IFERROR(INDEX(SubjName,MATCH(D194,SubjCode,0)),"؟ رمز مادة غير معرّف في Settings"))</f>
        <v>Islamic B</v>
      </c>
      <c r="F194" s="102" t="str">
        <f aca="false">IF(A194="","",MID(A194,FIND("/",A194)+1,10))</f>
        <v>Ib1</v>
      </c>
      <c r="G194" s="63" t="s">
        <v>672</v>
      </c>
      <c r="H194" s="103" t="str">
        <f aca="false">IF(A194="","",IF(G194="","غير محدد (Unassigned)",IFERROR(INDEX(Teachers!$C$6:$C$75,MATCH(G194,Teachers!$A$6:$A$75,0)),"؟ كود معلم غير موجود")))</f>
        <v>Mr Mahmoud Ahmed Naeem</v>
      </c>
      <c r="I194" s="104" t="s">
        <v>442</v>
      </c>
    </row>
    <row r="195" customFormat="false" ht="15" hidden="false" customHeight="false" outlineLevel="0" collapsed="false">
      <c r="A195" s="60" t="s">
        <v>673</v>
      </c>
      <c r="B195" s="102" t="str">
        <f aca="false">IF(A195="","","Year "&amp;VALUE(MID(A195,2,2)))</f>
        <v>Year 7</v>
      </c>
      <c r="C195" s="102" t="str">
        <f aca="false">IF(A195="","",MID(A195,4,FIND("/",A195)-4))</f>
        <v>ah</v>
      </c>
      <c r="D195" s="102" t="str">
        <f aca="false">IF(A195="","",MID(A195,FIND("/",A195)+1,2))</f>
        <v>Ib</v>
      </c>
      <c r="E195" s="103" t="str">
        <f aca="false">IF(A195="","",IFERROR(INDEX(SubjName,MATCH(D195,SubjCode,0)),"؟ رمز مادة غير معرّف في Settings"))</f>
        <v>Islamic B</v>
      </c>
      <c r="F195" s="102" t="str">
        <f aca="false">IF(A195="","",MID(A195,FIND("/",A195)+1,10))</f>
        <v>Ib2</v>
      </c>
      <c r="G195" s="63" t="s">
        <v>674</v>
      </c>
      <c r="H195" s="103" t="str">
        <f aca="false">IF(A195="","",IF(G195="","غير محدد (Unassigned)",IFERROR(INDEX(Teachers!$C$6:$C$75,MATCH(G195,Teachers!$A$6:$A$75,0)),"؟ كود معلم غير موجود")))</f>
        <v>Mr Aamer Gebreel</v>
      </c>
      <c r="I195" s="104" t="s">
        <v>442</v>
      </c>
    </row>
    <row r="196" customFormat="false" ht="15" hidden="false" customHeight="false" outlineLevel="0" collapsed="false">
      <c r="A196" s="60" t="s">
        <v>675</v>
      </c>
      <c r="B196" s="102" t="str">
        <f aca="false">IF(A196="","","Year "&amp;VALUE(MID(A196,2,2)))</f>
        <v>Year 7</v>
      </c>
      <c r="C196" s="102" t="str">
        <f aca="false">IF(A196="","",MID(A196,4,FIND("/",A196)-4))</f>
        <v>ah</v>
      </c>
      <c r="D196" s="102" t="str">
        <f aca="false">IF(A196="","",MID(A196,FIND("/",A196)+1,2))</f>
        <v>Ib</v>
      </c>
      <c r="E196" s="103" t="str">
        <f aca="false">IF(A196="","",IFERROR(INDEX(SubjName,MATCH(D196,SubjCode,0)),"؟ رمز مادة غير معرّف في Settings"))</f>
        <v>Islamic B</v>
      </c>
      <c r="F196" s="102" t="str">
        <f aca="false">IF(A196="","",MID(A196,FIND("/",A196)+1,10))</f>
        <v>Ib3</v>
      </c>
      <c r="G196" s="63" t="s">
        <v>676</v>
      </c>
      <c r="H196" s="103" t="str">
        <f aca="false">IF(A196="","",IF(G196="","غير محدد (Unassigned)",IFERROR(INDEX(Teachers!$C$6:$C$75,MATCH(G196,Teachers!$A$6:$A$75,0)),"؟ كود معلم غير موجود")))</f>
        <v>Mr Mahmoud Owais Hafiz</v>
      </c>
      <c r="I196" s="104" t="s">
        <v>442</v>
      </c>
    </row>
    <row r="197" customFormat="false" ht="15" hidden="false" customHeight="false" outlineLevel="0" collapsed="false">
      <c r="A197" s="60" t="s">
        <v>677</v>
      </c>
      <c r="B197" s="102" t="str">
        <f aca="false">IF(A197="","","Year "&amp;VALUE(MID(A197,2,2)))</f>
        <v>Year 7</v>
      </c>
      <c r="C197" s="102" t="str">
        <f aca="false">IF(A197="","",MID(A197,4,FIND("/",A197)-4))</f>
        <v>fj</v>
      </c>
      <c r="D197" s="102" t="str">
        <f aca="false">IF(A197="","",MID(A197,FIND("/",A197)+1,2))</f>
        <v>Aa</v>
      </c>
      <c r="E197" s="103" t="str">
        <f aca="false">IF(A197="","",IFERROR(INDEX(SubjName,MATCH(D197,SubjCode,0)),"؟ رمز مادة غير معرّف في Settings"))</f>
        <v>Arabic A</v>
      </c>
      <c r="F197" s="102" t="str">
        <f aca="false">IF(A197="","",MID(A197,FIND("/",A197)+1,10))</f>
        <v>Aa1</v>
      </c>
      <c r="G197" s="63" t="s">
        <v>654</v>
      </c>
      <c r="H197" s="103" t="str">
        <f aca="false">IF(A197="","",IF(G197="","غير محدد (Unassigned)",IFERROR(INDEX(Teachers!$C$6:$C$75,MATCH(G197,Teachers!$A$6:$A$75,0)),"؟ كود معلم غير موجود")))</f>
        <v>Ms Soad Ahmed Mohamed</v>
      </c>
      <c r="I197" s="104" t="s">
        <v>442</v>
      </c>
    </row>
    <row r="198" customFormat="false" ht="15" hidden="false" customHeight="false" outlineLevel="0" collapsed="false">
      <c r="A198" s="60" t="s">
        <v>678</v>
      </c>
      <c r="B198" s="102" t="str">
        <f aca="false">IF(A198="","","Year "&amp;VALUE(MID(A198,2,2)))</f>
        <v>Year 7</v>
      </c>
      <c r="C198" s="102" t="str">
        <f aca="false">IF(A198="","",MID(A198,4,FIND("/",A198)-4))</f>
        <v>fj</v>
      </c>
      <c r="D198" s="102" t="str">
        <f aca="false">IF(A198="","",MID(A198,FIND("/",A198)+1,2))</f>
        <v>Aa</v>
      </c>
      <c r="E198" s="103" t="str">
        <f aca="false">IF(A198="","",IFERROR(INDEX(SubjName,MATCH(D198,SubjCode,0)),"؟ رمز مادة غير معرّف في Settings"))</f>
        <v>Arabic A</v>
      </c>
      <c r="F198" s="102" t="str">
        <f aca="false">IF(A198="","",MID(A198,FIND("/",A198)+1,10))</f>
        <v>Aa2</v>
      </c>
      <c r="G198" s="63" t="s">
        <v>656</v>
      </c>
      <c r="H198" s="103" t="str">
        <f aca="false">IF(A198="","",IF(G198="","غير محدد (Unassigned)",IFERROR(INDEX(Teachers!$C$6:$C$75,MATCH(G198,Teachers!$A$6:$A$75,0)),"؟ كود معلم غير موجود")))</f>
        <v>Mr Ahmed Aldusoky</v>
      </c>
      <c r="I198" s="104" t="s">
        <v>442</v>
      </c>
    </row>
    <row r="199" customFormat="false" ht="15" hidden="false" customHeight="false" outlineLevel="0" collapsed="false">
      <c r="A199" s="60" t="s">
        <v>679</v>
      </c>
      <c r="B199" s="102" t="str">
        <f aca="false">IF(A199="","","Year "&amp;VALUE(MID(A199,2,2)))</f>
        <v>Year 7</v>
      </c>
      <c r="C199" s="102" t="str">
        <f aca="false">IF(A199="","",MID(A199,4,FIND("/",A199)-4))</f>
        <v>fj</v>
      </c>
      <c r="D199" s="102" t="str">
        <f aca="false">IF(A199="","",MID(A199,FIND("/",A199)+1,2))</f>
        <v>Ab</v>
      </c>
      <c r="E199" s="103" t="str">
        <f aca="false">IF(A199="","",IFERROR(INDEX(SubjName,MATCH(D199,SubjCode,0)),"؟ رمز مادة غير معرّف في Settings"))</f>
        <v>Arabic B</v>
      </c>
      <c r="F199" s="102" t="str">
        <f aca="false">IF(A199="","",MID(A199,FIND("/",A199)+1,10))</f>
        <v>Ab1</v>
      </c>
      <c r="G199" s="63" t="s">
        <v>658</v>
      </c>
      <c r="H199" s="103" t="str">
        <f aca="false">IF(A199="","",IF(G199="","غير محدد (Unassigned)",IFERROR(INDEX(Teachers!$C$6:$C$75,MATCH(G199,Teachers!$A$6:$A$75,0)),"؟ كود معلم غير موجود")))</f>
        <v>Ms Mona M Abobaker</v>
      </c>
      <c r="I199" s="104" t="s">
        <v>442</v>
      </c>
    </row>
    <row r="200" customFormat="false" ht="15" hidden="false" customHeight="false" outlineLevel="0" collapsed="false">
      <c r="A200" s="60" t="s">
        <v>680</v>
      </c>
      <c r="B200" s="102" t="str">
        <f aca="false">IF(A200="","","Year "&amp;VALUE(MID(A200,2,2)))</f>
        <v>Year 7</v>
      </c>
      <c r="C200" s="102" t="str">
        <f aca="false">IF(A200="","",MID(A200,4,FIND("/",A200)-4))</f>
        <v>fj</v>
      </c>
      <c r="D200" s="102" t="str">
        <f aca="false">IF(A200="","",MID(A200,FIND("/",A200)+1,2))</f>
        <v>Ab</v>
      </c>
      <c r="E200" s="103" t="str">
        <f aca="false">IF(A200="","",IFERROR(INDEX(SubjName,MATCH(D200,SubjCode,0)),"؟ رمز مادة غير معرّف في Settings"))</f>
        <v>Arabic B</v>
      </c>
      <c r="F200" s="102" t="str">
        <f aca="false">IF(A200="","",MID(A200,FIND("/",A200)+1,10))</f>
        <v>Ab2</v>
      </c>
      <c r="G200" s="63" t="s">
        <v>660</v>
      </c>
      <c r="H200" s="103" t="str">
        <f aca="false">IF(A200="","",IF(G200="","غير محدد (Unassigned)",IFERROR(INDEX(Teachers!$C$6:$C$75,MATCH(G200,Teachers!$A$6:$A$75,0)),"؟ كود معلم غير موجود")))</f>
        <v>Mr Kareem Mohamed</v>
      </c>
      <c r="I200" s="104" t="s">
        <v>442</v>
      </c>
    </row>
    <row r="201" customFormat="false" ht="15" hidden="false" customHeight="false" outlineLevel="0" collapsed="false">
      <c r="A201" s="60" t="s">
        <v>681</v>
      </c>
      <c r="B201" s="102" t="str">
        <f aca="false">IF(A201="","","Year "&amp;VALUE(MID(A201,2,2)))</f>
        <v>Year 7</v>
      </c>
      <c r="C201" s="102" t="str">
        <f aca="false">IF(A201="","",MID(A201,4,FIND("/",A201)-4))</f>
        <v>fj</v>
      </c>
      <c r="D201" s="102" t="str">
        <f aca="false">IF(A201="","",MID(A201,FIND("/",A201)+1,2))</f>
        <v>Ab</v>
      </c>
      <c r="E201" s="103" t="str">
        <f aca="false">IF(A201="","",IFERROR(INDEX(SubjName,MATCH(D201,SubjCode,0)),"؟ رمز مادة غير معرّف في Settings"))</f>
        <v>Arabic B</v>
      </c>
      <c r="F201" s="102" t="str">
        <f aca="false">IF(A201="","",MID(A201,FIND("/",A201)+1,10))</f>
        <v>Ab3</v>
      </c>
      <c r="G201" s="63" t="s">
        <v>662</v>
      </c>
      <c r="H201" s="103" t="str">
        <f aca="false">IF(A201="","",IF(G201="","غير محدد (Unassigned)",IFERROR(INDEX(Teachers!$C$6:$C$75,MATCH(G201,Teachers!$A$6:$A$75,0)),"؟ كود معلم غير موجود")))</f>
        <v>Mr MohammedSaber Mohamme</v>
      </c>
      <c r="I201" s="104" t="s">
        <v>442</v>
      </c>
    </row>
    <row r="202" customFormat="false" ht="15" hidden="false" customHeight="false" outlineLevel="0" collapsed="false">
      <c r="A202" s="60" t="s">
        <v>682</v>
      </c>
      <c r="B202" s="102" t="str">
        <f aca="false">IF(A202="","","Year "&amp;VALUE(MID(A202,2,2)))</f>
        <v>Year 7</v>
      </c>
      <c r="C202" s="102" t="str">
        <f aca="false">IF(A202="","",MID(A202,4,FIND("/",A202)-4))</f>
        <v>fj</v>
      </c>
      <c r="D202" s="102" t="str">
        <f aca="false">IF(A202="","",MID(A202,FIND("/",A202)+1,2))</f>
        <v>Ab</v>
      </c>
      <c r="E202" s="103" t="str">
        <f aca="false">IF(A202="","",IFERROR(INDEX(SubjName,MATCH(D202,SubjCode,0)),"؟ رمز مادة غير معرّف في Settings"))</f>
        <v>Arabic B</v>
      </c>
      <c r="F202" s="102" t="str">
        <f aca="false">IF(A202="","",MID(A202,FIND("/",A202)+1,10))</f>
        <v>Ab4</v>
      </c>
      <c r="G202" s="63" t="s">
        <v>664</v>
      </c>
      <c r="H202" s="103" t="str">
        <f aca="false">IF(A202="","",IF(G202="","غير محدد (Unassigned)",IFERROR(INDEX(Teachers!$C$6:$C$75,MATCH(G202,Teachers!$A$6:$A$75,0)),"؟ كود معلم غير موجود")))</f>
        <v>Mr Mohamed Amin Mounes</v>
      </c>
      <c r="I202" s="104" t="s">
        <v>442</v>
      </c>
    </row>
    <row r="203" customFormat="false" ht="15" hidden="false" customHeight="false" outlineLevel="0" collapsed="false">
      <c r="A203" s="60" t="s">
        <v>683</v>
      </c>
      <c r="B203" s="102" t="str">
        <f aca="false">IF(A203="","","Year "&amp;VALUE(MID(A203,2,2)))</f>
        <v>Year 7</v>
      </c>
      <c r="C203" s="102" t="str">
        <f aca="false">IF(A203="","",MID(A203,4,FIND("/",A203)-4))</f>
        <v>fj</v>
      </c>
      <c r="D203" s="102" t="str">
        <f aca="false">IF(A203="","",MID(A203,FIND("/",A203)+1,2))</f>
        <v>Ua</v>
      </c>
      <c r="E203" s="103" t="str">
        <f aca="false">IF(A203="","",IFERROR(INDEX(SubjName,MATCH(D203,SubjCode,0)),"؟ رمز مادة غير معرّف في Settings"))</f>
        <v>Ua (اسم المادة غير مؤكد)</v>
      </c>
      <c r="F203" s="102" t="str">
        <f aca="false">IF(A203="","",MID(A203,FIND("/",A203)+1,10))</f>
        <v>Ua1</v>
      </c>
      <c r="G203" s="63" t="s">
        <v>456</v>
      </c>
      <c r="H203" s="103" t="str">
        <f aca="false">IF(A203="","",IF(G203="","غير محدد (Unassigned)",IFERROR(INDEX(Teachers!$C$6:$C$75,MATCH(G203,Teachers!$A$6:$A$75,0)),"؟ كود معلم غير موجود")))</f>
        <v>Ms Hanaa Ferky Awadain</v>
      </c>
      <c r="I203" s="104" t="s">
        <v>442</v>
      </c>
    </row>
    <row r="204" customFormat="false" ht="15" hidden="false" customHeight="false" outlineLevel="0" collapsed="false">
      <c r="A204" s="60" t="s">
        <v>684</v>
      </c>
      <c r="B204" s="102" t="str">
        <f aca="false">IF(A204="","","Year "&amp;VALUE(MID(A204,2,2)))</f>
        <v>Year 7</v>
      </c>
      <c r="C204" s="102" t="str">
        <f aca="false">IF(A204="","",MID(A204,4,FIND("/",A204)-4))</f>
        <v>fj</v>
      </c>
      <c r="D204" s="102" t="str">
        <f aca="false">IF(A204="","",MID(A204,FIND("/",A204)+1,2))</f>
        <v>Ua</v>
      </c>
      <c r="E204" s="103" t="str">
        <f aca="false">IF(A204="","",IFERROR(INDEX(SubjName,MATCH(D204,SubjCode,0)),"؟ رمز مادة غير معرّف في Settings"))</f>
        <v>Ua (اسم المادة غير مؤكد)</v>
      </c>
      <c r="F204" s="102" t="str">
        <f aca="false">IF(A204="","",MID(A204,FIND("/",A204)+1,10))</f>
        <v>Ua2</v>
      </c>
      <c r="G204" s="63" t="s">
        <v>458</v>
      </c>
      <c r="H204" s="103" t="str">
        <f aca="false">IF(A204="","",IF(G204="","غير محدد (Unassigned)",IFERROR(INDEX(Teachers!$C$6:$C$75,MATCH(G204,Teachers!$A$6:$A$75,0)),"؟ كود معلم غير موجود")))</f>
        <v>Mr Abdou Ghazy</v>
      </c>
      <c r="I204" s="104" t="s">
        <v>442</v>
      </c>
    </row>
    <row r="205" customFormat="false" ht="15" hidden="false" customHeight="false" outlineLevel="0" collapsed="false">
      <c r="A205" s="60" t="s">
        <v>685</v>
      </c>
      <c r="B205" s="102" t="str">
        <f aca="false">IF(A205="","","Year "&amp;VALUE(MID(A205,2,2)))</f>
        <v>Year 7</v>
      </c>
      <c r="C205" s="102" t="str">
        <f aca="false">IF(A205="","",MID(A205,4,FIND("/",A205)-4))</f>
        <v>io</v>
      </c>
      <c r="D205" s="102" t="str">
        <f aca="false">IF(A205="","",MID(A205,FIND("/",A205)+1,2))</f>
        <v>Ia</v>
      </c>
      <c r="E205" s="103" t="str">
        <f aca="false">IF(A205="","",IFERROR(INDEX(SubjName,MATCH(D205,SubjCode,0)),"؟ رمز مادة غير معرّف في Settings"))</f>
        <v>Islamic A</v>
      </c>
      <c r="F205" s="102" t="str">
        <f aca="false">IF(A205="","",MID(A205,FIND("/",A205)+1,10))</f>
        <v>Ia1</v>
      </c>
      <c r="G205" s="63" t="s">
        <v>668</v>
      </c>
      <c r="H205" s="103" t="str">
        <f aca="false">IF(A205="","",IF(G205="","غير محدد (Unassigned)",IFERROR(INDEX(Teachers!$C$6:$C$75,MATCH(G205,Teachers!$A$6:$A$75,0)),"؟ كود معلم غير موجود")))</f>
        <v>Mr Elsayed A M Hassan</v>
      </c>
      <c r="I205" s="104" t="s">
        <v>442</v>
      </c>
    </row>
    <row r="206" customFormat="false" ht="15" hidden="false" customHeight="false" outlineLevel="0" collapsed="false">
      <c r="A206" s="60" t="s">
        <v>686</v>
      </c>
      <c r="B206" s="102" t="str">
        <f aca="false">IF(A206="","","Year "&amp;VALUE(MID(A206,2,2)))</f>
        <v>Year 7</v>
      </c>
      <c r="C206" s="102" t="str">
        <f aca="false">IF(A206="","",MID(A206,4,FIND("/",A206)-4))</f>
        <v>io</v>
      </c>
      <c r="D206" s="102" t="str">
        <f aca="false">IF(A206="","",MID(A206,FIND("/",A206)+1,2))</f>
        <v>Ia</v>
      </c>
      <c r="E206" s="103" t="str">
        <f aca="false">IF(A206="","",IFERROR(INDEX(SubjName,MATCH(D206,SubjCode,0)),"؟ رمز مادة غير معرّف في Settings"))</f>
        <v>Islamic A</v>
      </c>
      <c r="F206" s="102" t="str">
        <f aca="false">IF(A206="","",MID(A206,FIND("/",A206)+1,10))</f>
        <v>Ia2</v>
      </c>
      <c r="G206" s="63" t="s">
        <v>670</v>
      </c>
      <c r="H206" s="103" t="str">
        <f aca="false">IF(A206="","",IF(G206="","غير محدد (Unassigned)",IFERROR(INDEX(Teachers!$C$6:$C$75,MATCH(G206,Teachers!$A$6:$A$75,0)),"؟ كود معلم غير موجود")))</f>
        <v>Mr Yaseen Ahmed Zaki</v>
      </c>
      <c r="I206" s="104" t="s">
        <v>442</v>
      </c>
    </row>
    <row r="207" customFormat="false" ht="15" hidden="false" customHeight="false" outlineLevel="0" collapsed="false">
      <c r="A207" s="60" t="s">
        <v>687</v>
      </c>
      <c r="B207" s="102" t="str">
        <f aca="false">IF(A207="","","Year "&amp;VALUE(MID(A207,2,2)))</f>
        <v>Year 7</v>
      </c>
      <c r="C207" s="102" t="str">
        <f aca="false">IF(A207="","",MID(A207,4,FIND("/",A207)-4))</f>
        <v>io</v>
      </c>
      <c r="D207" s="102" t="str">
        <f aca="false">IF(A207="","",MID(A207,FIND("/",A207)+1,2))</f>
        <v>Ib</v>
      </c>
      <c r="E207" s="103" t="str">
        <f aca="false">IF(A207="","",IFERROR(INDEX(SubjName,MATCH(D207,SubjCode,0)),"؟ رمز مادة غير معرّف في Settings"))</f>
        <v>Islamic B</v>
      </c>
      <c r="F207" s="102" t="str">
        <f aca="false">IF(A207="","",MID(A207,FIND("/",A207)+1,10))</f>
        <v>Ib1</v>
      </c>
      <c r="G207" s="63" t="s">
        <v>672</v>
      </c>
      <c r="H207" s="103" t="str">
        <f aca="false">IF(A207="","",IF(G207="","غير محدد (Unassigned)",IFERROR(INDEX(Teachers!$C$6:$C$75,MATCH(G207,Teachers!$A$6:$A$75,0)),"؟ كود معلم غير موجود")))</f>
        <v>Mr Mahmoud Ahmed Naeem</v>
      </c>
      <c r="I207" s="104" t="s">
        <v>442</v>
      </c>
    </row>
    <row r="208" customFormat="false" ht="15" hidden="false" customHeight="false" outlineLevel="0" collapsed="false">
      <c r="A208" s="60" t="s">
        <v>688</v>
      </c>
      <c r="B208" s="102" t="str">
        <f aca="false">IF(A208="","","Year "&amp;VALUE(MID(A208,2,2)))</f>
        <v>Year 7</v>
      </c>
      <c r="C208" s="102" t="str">
        <f aca="false">IF(A208="","",MID(A208,4,FIND("/",A208)-4))</f>
        <v>io</v>
      </c>
      <c r="D208" s="102" t="str">
        <f aca="false">IF(A208="","",MID(A208,FIND("/",A208)+1,2))</f>
        <v>Ib</v>
      </c>
      <c r="E208" s="103" t="str">
        <f aca="false">IF(A208="","",IFERROR(INDEX(SubjName,MATCH(D208,SubjCode,0)),"؟ رمز مادة غير معرّف في Settings"))</f>
        <v>Islamic B</v>
      </c>
      <c r="F208" s="102" t="str">
        <f aca="false">IF(A208="","",MID(A208,FIND("/",A208)+1,10))</f>
        <v>Ib2</v>
      </c>
      <c r="G208" s="63" t="s">
        <v>674</v>
      </c>
      <c r="H208" s="103" t="str">
        <f aca="false">IF(A208="","",IF(G208="","غير محدد (Unassigned)",IFERROR(INDEX(Teachers!$C$6:$C$75,MATCH(G208,Teachers!$A$6:$A$75,0)),"؟ كود معلم غير موجود")))</f>
        <v>Mr Aamer Gebreel</v>
      </c>
      <c r="I208" s="104" t="s">
        <v>442</v>
      </c>
    </row>
    <row r="209" customFormat="false" ht="15" hidden="false" customHeight="false" outlineLevel="0" collapsed="false">
      <c r="A209" s="60" t="s">
        <v>689</v>
      </c>
      <c r="B209" s="102" t="str">
        <f aca="false">IF(A209="","","Year "&amp;VALUE(MID(A209,2,2)))</f>
        <v>Year 7</v>
      </c>
      <c r="C209" s="102" t="str">
        <f aca="false">IF(A209="","",MID(A209,4,FIND("/",A209)-4))</f>
        <v>io</v>
      </c>
      <c r="D209" s="102" t="str">
        <f aca="false">IF(A209="","",MID(A209,FIND("/",A209)+1,2))</f>
        <v>Ib</v>
      </c>
      <c r="E209" s="103" t="str">
        <f aca="false">IF(A209="","",IFERROR(INDEX(SubjName,MATCH(D209,SubjCode,0)),"؟ رمز مادة غير معرّف في Settings"))</f>
        <v>Islamic B</v>
      </c>
      <c r="F209" s="102" t="str">
        <f aca="false">IF(A209="","",MID(A209,FIND("/",A209)+1,10))</f>
        <v>Ib3</v>
      </c>
      <c r="G209" s="63" t="s">
        <v>676</v>
      </c>
      <c r="H209" s="103" t="str">
        <f aca="false">IF(A209="","",IF(G209="","غير محدد (Unassigned)",IFERROR(INDEX(Teachers!$C$6:$C$75,MATCH(G209,Teachers!$A$6:$A$75,0)),"؟ كود معلم غير موجود")))</f>
        <v>Mr Mahmoud Owais Hafiz</v>
      </c>
      <c r="I209" s="104" t="s">
        <v>442</v>
      </c>
    </row>
    <row r="210" customFormat="false" ht="15" hidden="false" customHeight="false" outlineLevel="0" collapsed="false">
      <c r="A210" s="60" t="s">
        <v>690</v>
      </c>
      <c r="B210" s="102" t="str">
        <f aca="false">IF(A210="","","Year "&amp;VALUE(MID(A210,2,2)))</f>
        <v>Year 7</v>
      </c>
      <c r="C210" s="102" t="str">
        <f aca="false">IF(A210="","",MID(A210,4,FIND("/",A210)-4))</f>
        <v>ko</v>
      </c>
      <c r="D210" s="102" t="str">
        <f aca="false">IF(A210="","",MID(A210,FIND("/",A210)+1,2))</f>
        <v>Aa</v>
      </c>
      <c r="E210" s="103" t="str">
        <f aca="false">IF(A210="","",IFERROR(INDEX(SubjName,MATCH(D210,SubjCode,0)),"؟ رمز مادة غير معرّف في Settings"))</f>
        <v>Arabic A</v>
      </c>
      <c r="F210" s="102" t="str">
        <f aca="false">IF(A210="","",MID(A210,FIND("/",A210)+1,10))</f>
        <v>Aa1</v>
      </c>
      <c r="G210" s="63" t="s">
        <v>654</v>
      </c>
      <c r="H210" s="103" t="str">
        <f aca="false">IF(A210="","",IF(G210="","غير محدد (Unassigned)",IFERROR(INDEX(Teachers!$C$6:$C$75,MATCH(G210,Teachers!$A$6:$A$75,0)),"؟ كود معلم غير موجود")))</f>
        <v>Ms Soad Ahmed Mohamed</v>
      </c>
      <c r="I210" s="104" t="s">
        <v>442</v>
      </c>
    </row>
    <row r="211" customFormat="false" ht="15" hidden="false" customHeight="false" outlineLevel="0" collapsed="false">
      <c r="A211" s="60" t="s">
        <v>691</v>
      </c>
      <c r="B211" s="102" t="str">
        <f aca="false">IF(A211="","","Year "&amp;VALUE(MID(A211,2,2)))</f>
        <v>Year 7</v>
      </c>
      <c r="C211" s="102" t="str">
        <f aca="false">IF(A211="","",MID(A211,4,FIND("/",A211)-4))</f>
        <v>ko</v>
      </c>
      <c r="D211" s="102" t="str">
        <f aca="false">IF(A211="","",MID(A211,FIND("/",A211)+1,2))</f>
        <v>Aa</v>
      </c>
      <c r="E211" s="103" t="str">
        <f aca="false">IF(A211="","",IFERROR(INDEX(SubjName,MATCH(D211,SubjCode,0)),"؟ رمز مادة غير معرّف في Settings"))</f>
        <v>Arabic A</v>
      </c>
      <c r="F211" s="102" t="str">
        <f aca="false">IF(A211="","",MID(A211,FIND("/",A211)+1,10))</f>
        <v>Aa2</v>
      </c>
      <c r="G211" s="63" t="s">
        <v>656</v>
      </c>
      <c r="H211" s="103" t="str">
        <f aca="false">IF(A211="","",IF(G211="","غير محدد (Unassigned)",IFERROR(INDEX(Teachers!$C$6:$C$75,MATCH(G211,Teachers!$A$6:$A$75,0)),"؟ كود معلم غير موجود")))</f>
        <v>Mr Ahmed Aldusoky</v>
      </c>
      <c r="I211" s="104" t="s">
        <v>442</v>
      </c>
    </row>
    <row r="212" customFormat="false" ht="15" hidden="false" customHeight="false" outlineLevel="0" collapsed="false">
      <c r="A212" s="60" t="s">
        <v>692</v>
      </c>
      <c r="B212" s="102" t="str">
        <f aca="false">IF(A212="","","Year "&amp;VALUE(MID(A212,2,2)))</f>
        <v>Year 7</v>
      </c>
      <c r="C212" s="102" t="str">
        <f aca="false">IF(A212="","",MID(A212,4,FIND("/",A212)-4))</f>
        <v>ko</v>
      </c>
      <c r="D212" s="102" t="str">
        <f aca="false">IF(A212="","",MID(A212,FIND("/",A212)+1,2))</f>
        <v>Ab</v>
      </c>
      <c r="E212" s="103" t="str">
        <f aca="false">IF(A212="","",IFERROR(INDEX(SubjName,MATCH(D212,SubjCode,0)),"؟ رمز مادة غير معرّف في Settings"))</f>
        <v>Arabic B</v>
      </c>
      <c r="F212" s="102" t="str">
        <f aca="false">IF(A212="","",MID(A212,FIND("/",A212)+1,10))</f>
        <v>Ab1</v>
      </c>
      <c r="G212" s="63" t="s">
        <v>658</v>
      </c>
      <c r="H212" s="103" t="str">
        <f aca="false">IF(A212="","",IF(G212="","غير محدد (Unassigned)",IFERROR(INDEX(Teachers!$C$6:$C$75,MATCH(G212,Teachers!$A$6:$A$75,0)),"؟ كود معلم غير موجود")))</f>
        <v>Ms Mona M Abobaker</v>
      </c>
      <c r="I212" s="104" t="s">
        <v>442</v>
      </c>
    </row>
    <row r="213" customFormat="false" ht="15" hidden="false" customHeight="false" outlineLevel="0" collapsed="false">
      <c r="A213" s="60" t="s">
        <v>693</v>
      </c>
      <c r="B213" s="102" t="str">
        <f aca="false">IF(A213="","","Year "&amp;VALUE(MID(A213,2,2)))</f>
        <v>Year 7</v>
      </c>
      <c r="C213" s="102" t="str">
        <f aca="false">IF(A213="","",MID(A213,4,FIND("/",A213)-4))</f>
        <v>ko</v>
      </c>
      <c r="D213" s="102" t="str">
        <f aca="false">IF(A213="","",MID(A213,FIND("/",A213)+1,2))</f>
        <v>Ab</v>
      </c>
      <c r="E213" s="103" t="str">
        <f aca="false">IF(A213="","",IFERROR(INDEX(SubjName,MATCH(D213,SubjCode,0)),"؟ رمز مادة غير معرّف في Settings"))</f>
        <v>Arabic B</v>
      </c>
      <c r="F213" s="102" t="str">
        <f aca="false">IF(A213="","",MID(A213,FIND("/",A213)+1,10))</f>
        <v>Ab2</v>
      </c>
      <c r="G213" s="63" t="s">
        <v>660</v>
      </c>
      <c r="H213" s="103" t="str">
        <f aca="false">IF(A213="","",IF(G213="","غير محدد (Unassigned)",IFERROR(INDEX(Teachers!$C$6:$C$75,MATCH(G213,Teachers!$A$6:$A$75,0)),"؟ كود معلم غير موجود")))</f>
        <v>Mr Kareem Mohamed</v>
      </c>
      <c r="I213" s="104" t="s">
        <v>442</v>
      </c>
    </row>
    <row r="214" customFormat="false" ht="15" hidden="false" customHeight="false" outlineLevel="0" collapsed="false">
      <c r="A214" s="60" t="s">
        <v>694</v>
      </c>
      <c r="B214" s="102" t="str">
        <f aca="false">IF(A214="","","Year "&amp;VALUE(MID(A214,2,2)))</f>
        <v>Year 7</v>
      </c>
      <c r="C214" s="102" t="str">
        <f aca="false">IF(A214="","",MID(A214,4,FIND("/",A214)-4))</f>
        <v>ko</v>
      </c>
      <c r="D214" s="102" t="str">
        <f aca="false">IF(A214="","",MID(A214,FIND("/",A214)+1,2))</f>
        <v>Ab</v>
      </c>
      <c r="E214" s="103" t="str">
        <f aca="false">IF(A214="","",IFERROR(INDEX(SubjName,MATCH(D214,SubjCode,0)),"؟ رمز مادة غير معرّف في Settings"))</f>
        <v>Arabic B</v>
      </c>
      <c r="F214" s="102" t="str">
        <f aca="false">IF(A214="","",MID(A214,FIND("/",A214)+1,10))</f>
        <v>Ab3</v>
      </c>
      <c r="G214" s="63" t="s">
        <v>662</v>
      </c>
      <c r="H214" s="103" t="str">
        <f aca="false">IF(A214="","",IF(G214="","غير محدد (Unassigned)",IFERROR(INDEX(Teachers!$C$6:$C$75,MATCH(G214,Teachers!$A$6:$A$75,0)),"؟ كود معلم غير موجود")))</f>
        <v>Mr MohammedSaber Mohamme</v>
      </c>
      <c r="I214" s="104" t="s">
        <v>442</v>
      </c>
    </row>
    <row r="215" customFormat="false" ht="15" hidden="false" customHeight="false" outlineLevel="0" collapsed="false">
      <c r="A215" s="60" t="s">
        <v>695</v>
      </c>
      <c r="B215" s="102" t="str">
        <f aca="false">IF(A215="","","Year "&amp;VALUE(MID(A215,2,2)))</f>
        <v>Year 7</v>
      </c>
      <c r="C215" s="102" t="str">
        <f aca="false">IF(A215="","",MID(A215,4,FIND("/",A215)-4))</f>
        <v>ko</v>
      </c>
      <c r="D215" s="102" t="str">
        <f aca="false">IF(A215="","",MID(A215,FIND("/",A215)+1,2))</f>
        <v>Ab</v>
      </c>
      <c r="E215" s="103" t="str">
        <f aca="false">IF(A215="","",IFERROR(INDEX(SubjName,MATCH(D215,SubjCode,0)),"؟ رمز مادة غير معرّف في Settings"))</f>
        <v>Arabic B</v>
      </c>
      <c r="F215" s="102" t="str">
        <f aca="false">IF(A215="","",MID(A215,FIND("/",A215)+1,10))</f>
        <v>Ab4</v>
      </c>
      <c r="G215" s="63" t="s">
        <v>664</v>
      </c>
      <c r="H215" s="103" t="str">
        <f aca="false">IF(A215="","",IF(G215="","غير محدد (Unassigned)",IFERROR(INDEX(Teachers!$C$6:$C$75,MATCH(G215,Teachers!$A$6:$A$75,0)),"؟ كود معلم غير موجود")))</f>
        <v>Mr Mohamed Amin Mounes</v>
      </c>
      <c r="I215" s="104" t="s">
        <v>442</v>
      </c>
    </row>
    <row r="216" customFormat="false" ht="15" hidden="false" customHeight="false" outlineLevel="0" collapsed="false">
      <c r="A216" s="60" t="s">
        <v>696</v>
      </c>
      <c r="B216" s="102" t="str">
        <f aca="false">IF(A216="","","Year "&amp;VALUE(MID(A216,2,2)))</f>
        <v>Year 7</v>
      </c>
      <c r="C216" s="102" t="str">
        <f aca="false">IF(A216="","",MID(A216,4,FIND("/",A216)-4))</f>
        <v>ko</v>
      </c>
      <c r="D216" s="102" t="str">
        <f aca="false">IF(A216="","",MID(A216,FIND("/",A216)+1,2))</f>
        <v>Ua</v>
      </c>
      <c r="E216" s="103" t="str">
        <f aca="false">IF(A216="","",IFERROR(INDEX(SubjName,MATCH(D216,SubjCode,0)),"؟ رمز مادة غير معرّف في Settings"))</f>
        <v>Ua (اسم المادة غير مؤكد)</v>
      </c>
      <c r="F216" s="102" t="str">
        <f aca="false">IF(A216="","",MID(A216,FIND("/",A216)+1,10))</f>
        <v>Ua1</v>
      </c>
      <c r="G216" s="63" t="s">
        <v>456</v>
      </c>
      <c r="H216" s="103" t="str">
        <f aca="false">IF(A216="","",IF(G216="","غير محدد (Unassigned)",IFERROR(INDEX(Teachers!$C$6:$C$75,MATCH(G216,Teachers!$A$6:$A$75,0)),"؟ كود معلم غير موجود")))</f>
        <v>Ms Hanaa Ferky Awadain</v>
      </c>
      <c r="I216" s="104" t="s">
        <v>442</v>
      </c>
    </row>
    <row r="217" customFormat="false" ht="15" hidden="false" customHeight="false" outlineLevel="0" collapsed="false">
      <c r="A217" s="60" t="s">
        <v>697</v>
      </c>
      <c r="B217" s="102" t="str">
        <f aca="false">IF(A217="","","Year "&amp;VALUE(MID(A217,2,2)))</f>
        <v>Year 7</v>
      </c>
      <c r="C217" s="102" t="str">
        <f aca="false">IF(A217="","",MID(A217,4,FIND("/",A217)-4))</f>
        <v>ko</v>
      </c>
      <c r="D217" s="102" t="str">
        <f aca="false">IF(A217="","",MID(A217,FIND("/",A217)+1,2))</f>
        <v>Ua</v>
      </c>
      <c r="E217" s="103" t="str">
        <f aca="false">IF(A217="","",IFERROR(INDEX(SubjName,MATCH(D217,SubjCode,0)),"؟ رمز مادة غير معرّف في Settings"))</f>
        <v>Ua (اسم المادة غير مؤكد)</v>
      </c>
      <c r="F217" s="102" t="str">
        <f aca="false">IF(A217="","",MID(A217,FIND("/",A217)+1,10))</f>
        <v>Ua2</v>
      </c>
      <c r="G217" s="63" t="s">
        <v>458</v>
      </c>
      <c r="H217" s="103" t="str">
        <f aca="false">IF(A217="","",IF(G217="","غير محدد (Unassigned)",IFERROR(INDEX(Teachers!$C$6:$C$75,MATCH(G217,Teachers!$A$6:$A$75,0)),"؟ كود معلم غير موجود")))</f>
        <v>Mr Abdou Ghazy</v>
      </c>
      <c r="I217" s="104" t="s">
        <v>442</v>
      </c>
    </row>
    <row r="218" customFormat="false" ht="15" hidden="false" customHeight="false" outlineLevel="0" collapsed="false">
      <c r="A218" s="60" t="s">
        <v>698</v>
      </c>
      <c r="B218" s="102" t="str">
        <f aca="false">IF(A218="","","Year "&amp;VALUE(MID(A218,2,2)))</f>
        <v>Year 8</v>
      </c>
      <c r="C218" s="102" t="str">
        <f aca="false">IF(A218="","",MID(A218,4,FIND("/",A218)-4))</f>
        <v>ae</v>
      </c>
      <c r="D218" s="102" t="str">
        <f aca="false">IF(A218="","",MID(A218,FIND("/",A218)+1,2))</f>
        <v>Aa</v>
      </c>
      <c r="E218" s="103" t="str">
        <f aca="false">IF(A218="","",IFERROR(INDEX(SubjName,MATCH(D218,SubjCode,0)),"؟ رمز مادة غير معرّف في Settings"))</f>
        <v>Arabic A</v>
      </c>
      <c r="F218" s="102" t="str">
        <f aca="false">IF(A218="","",MID(A218,FIND("/",A218)+1,10))</f>
        <v>Aa1</v>
      </c>
      <c r="G218" s="63" t="s">
        <v>654</v>
      </c>
      <c r="H218" s="103" t="str">
        <f aca="false">IF(A218="","",IF(G218="","غير محدد (Unassigned)",IFERROR(INDEX(Teachers!$C$6:$C$75,MATCH(G218,Teachers!$A$6:$A$75,0)),"؟ كود معلم غير موجود")))</f>
        <v>Ms Soad Ahmed Mohamed</v>
      </c>
      <c r="I218" s="104" t="s">
        <v>442</v>
      </c>
    </row>
    <row r="219" customFormat="false" ht="15" hidden="false" customHeight="false" outlineLevel="0" collapsed="false">
      <c r="A219" s="60" t="s">
        <v>699</v>
      </c>
      <c r="B219" s="102" t="str">
        <f aca="false">IF(A219="","","Year "&amp;VALUE(MID(A219,2,2)))</f>
        <v>Year 8</v>
      </c>
      <c r="C219" s="102" t="str">
        <f aca="false">IF(A219="","",MID(A219,4,FIND("/",A219)-4))</f>
        <v>ae</v>
      </c>
      <c r="D219" s="102" t="str">
        <f aca="false">IF(A219="","",MID(A219,FIND("/",A219)+1,2))</f>
        <v>Aa</v>
      </c>
      <c r="E219" s="103" t="str">
        <f aca="false">IF(A219="","",IFERROR(INDEX(SubjName,MATCH(D219,SubjCode,0)),"؟ رمز مادة غير معرّف في Settings"))</f>
        <v>Arabic A</v>
      </c>
      <c r="F219" s="102" t="str">
        <f aca="false">IF(A219="","",MID(A219,FIND("/",A219)+1,10))</f>
        <v>Aa2</v>
      </c>
      <c r="G219" s="63" t="s">
        <v>656</v>
      </c>
      <c r="H219" s="103" t="str">
        <f aca="false">IF(A219="","",IF(G219="","غير محدد (Unassigned)",IFERROR(INDEX(Teachers!$C$6:$C$75,MATCH(G219,Teachers!$A$6:$A$75,0)),"؟ كود معلم غير موجود")))</f>
        <v>Mr Ahmed Aldusoky</v>
      </c>
      <c r="I219" s="104" t="s">
        <v>442</v>
      </c>
    </row>
    <row r="220" customFormat="false" ht="15" hidden="false" customHeight="false" outlineLevel="0" collapsed="false">
      <c r="A220" s="60" t="s">
        <v>700</v>
      </c>
      <c r="B220" s="102" t="str">
        <f aca="false">IF(A220="","","Year "&amp;VALUE(MID(A220,2,2)))</f>
        <v>Year 8</v>
      </c>
      <c r="C220" s="102" t="str">
        <f aca="false">IF(A220="","",MID(A220,4,FIND("/",A220)-4))</f>
        <v>ae</v>
      </c>
      <c r="D220" s="102" t="str">
        <f aca="false">IF(A220="","",MID(A220,FIND("/",A220)+1,2))</f>
        <v>Ab</v>
      </c>
      <c r="E220" s="103" t="str">
        <f aca="false">IF(A220="","",IFERROR(INDEX(SubjName,MATCH(D220,SubjCode,0)),"؟ رمز مادة غير معرّف في Settings"))</f>
        <v>Arabic B</v>
      </c>
      <c r="F220" s="102" t="str">
        <f aca="false">IF(A220="","",MID(A220,FIND("/",A220)+1,10))</f>
        <v>Ab1</v>
      </c>
      <c r="G220" s="63" t="s">
        <v>658</v>
      </c>
      <c r="H220" s="103" t="str">
        <f aca="false">IF(A220="","",IF(G220="","غير محدد (Unassigned)",IFERROR(INDEX(Teachers!$C$6:$C$75,MATCH(G220,Teachers!$A$6:$A$75,0)),"؟ كود معلم غير موجود")))</f>
        <v>Ms Mona M Abobaker</v>
      </c>
      <c r="I220" s="104" t="s">
        <v>442</v>
      </c>
    </row>
    <row r="221" customFormat="false" ht="15" hidden="false" customHeight="false" outlineLevel="0" collapsed="false">
      <c r="A221" s="60" t="s">
        <v>701</v>
      </c>
      <c r="B221" s="102" t="str">
        <f aca="false">IF(A221="","","Year "&amp;VALUE(MID(A221,2,2)))</f>
        <v>Year 8</v>
      </c>
      <c r="C221" s="102" t="str">
        <f aca="false">IF(A221="","",MID(A221,4,FIND("/",A221)-4))</f>
        <v>ae</v>
      </c>
      <c r="D221" s="102" t="str">
        <f aca="false">IF(A221="","",MID(A221,FIND("/",A221)+1,2))</f>
        <v>Ab</v>
      </c>
      <c r="E221" s="103" t="str">
        <f aca="false">IF(A221="","",IFERROR(INDEX(SubjName,MATCH(D221,SubjCode,0)),"؟ رمز مادة غير معرّف في Settings"))</f>
        <v>Arabic B</v>
      </c>
      <c r="F221" s="102" t="str">
        <f aca="false">IF(A221="","",MID(A221,FIND("/",A221)+1,10))</f>
        <v>Ab2</v>
      </c>
      <c r="G221" s="63" t="s">
        <v>662</v>
      </c>
      <c r="H221" s="103" t="str">
        <f aca="false">IF(A221="","",IF(G221="","غير محدد (Unassigned)",IFERROR(INDEX(Teachers!$C$6:$C$75,MATCH(G221,Teachers!$A$6:$A$75,0)),"؟ كود معلم غير موجود")))</f>
        <v>Mr MohammedSaber Mohamme</v>
      </c>
      <c r="I221" s="104" t="s">
        <v>442</v>
      </c>
    </row>
    <row r="222" customFormat="false" ht="15" hidden="false" customHeight="false" outlineLevel="0" collapsed="false">
      <c r="A222" s="60" t="s">
        <v>702</v>
      </c>
      <c r="B222" s="102" t="str">
        <f aca="false">IF(A222="","","Year "&amp;VALUE(MID(A222,2,2)))</f>
        <v>Year 8</v>
      </c>
      <c r="C222" s="102" t="str">
        <f aca="false">IF(A222="","",MID(A222,4,FIND("/",A222)-4))</f>
        <v>ae</v>
      </c>
      <c r="D222" s="102" t="str">
        <f aca="false">IF(A222="","",MID(A222,FIND("/",A222)+1,2))</f>
        <v>Ab</v>
      </c>
      <c r="E222" s="103" t="str">
        <f aca="false">IF(A222="","",IFERROR(INDEX(SubjName,MATCH(D222,SubjCode,0)),"؟ رمز مادة غير معرّف في Settings"))</f>
        <v>Arabic B</v>
      </c>
      <c r="F222" s="102" t="str">
        <f aca="false">IF(A222="","",MID(A222,FIND("/",A222)+1,10))</f>
        <v>Ab3</v>
      </c>
      <c r="G222" s="63" t="s">
        <v>703</v>
      </c>
      <c r="H222" s="103" t="str">
        <f aca="false">IF(A222="","",IF(G222="","غير محدد (Unassigned)",IFERROR(INDEX(Teachers!$C$6:$C$75,MATCH(G222,Teachers!$A$6:$A$75,0)),"؟ كود معلم غير موجود")))</f>
        <v>Ms Shaymaa Elnabarawy</v>
      </c>
      <c r="I222" s="104" t="s">
        <v>442</v>
      </c>
    </row>
    <row r="223" customFormat="false" ht="15" hidden="false" customHeight="false" outlineLevel="0" collapsed="false">
      <c r="A223" s="60" t="s">
        <v>704</v>
      </c>
      <c r="B223" s="102" t="str">
        <f aca="false">IF(A223="","","Year "&amp;VALUE(MID(A223,2,2)))</f>
        <v>Year 8</v>
      </c>
      <c r="C223" s="102" t="str">
        <f aca="false">IF(A223="","",MID(A223,4,FIND("/",A223)-4))</f>
        <v>ae</v>
      </c>
      <c r="D223" s="102" t="str">
        <f aca="false">IF(A223="","",MID(A223,FIND("/",A223)+1,2))</f>
        <v>Ab</v>
      </c>
      <c r="E223" s="103" t="str">
        <f aca="false">IF(A223="","",IFERROR(INDEX(SubjName,MATCH(D223,SubjCode,0)),"؟ رمز مادة غير معرّف في Settings"))</f>
        <v>Arabic B</v>
      </c>
      <c r="F223" s="102" t="str">
        <f aca="false">IF(A223="","",MID(A223,FIND("/",A223)+1,10))</f>
        <v>Ab4</v>
      </c>
      <c r="G223" s="63" t="s">
        <v>664</v>
      </c>
      <c r="H223" s="103" t="str">
        <f aca="false">IF(A223="","",IF(G223="","غير محدد (Unassigned)",IFERROR(INDEX(Teachers!$C$6:$C$75,MATCH(G223,Teachers!$A$6:$A$75,0)),"؟ كود معلم غير موجود")))</f>
        <v>Mr Mohamed Amin Mounes</v>
      </c>
      <c r="I223" s="104" t="s">
        <v>442</v>
      </c>
    </row>
    <row r="224" customFormat="false" ht="15" hidden="false" customHeight="false" outlineLevel="0" collapsed="false">
      <c r="A224" s="60" t="s">
        <v>705</v>
      </c>
      <c r="B224" s="102" t="str">
        <f aca="false">IF(A224="","","Year "&amp;VALUE(MID(A224,2,2)))</f>
        <v>Year 8</v>
      </c>
      <c r="C224" s="102" t="str">
        <f aca="false">IF(A224="","",MID(A224,4,FIND("/",A224)-4))</f>
        <v>ae</v>
      </c>
      <c r="D224" s="102" t="str">
        <f aca="false">IF(A224="","",MID(A224,FIND("/",A224)+1,2))</f>
        <v>Ua</v>
      </c>
      <c r="E224" s="103" t="str">
        <f aca="false">IF(A224="","",IFERROR(INDEX(SubjName,MATCH(D224,SubjCode,0)),"؟ رمز مادة غير معرّف في Settings"))</f>
        <v>Ua (اسم المادة غير مؤكد)</v>
      </c>
      <c r="F224" s="102" t="str">
        <f aca="false">IF(A224="","",MID(A224,FIND("/",A224)+1,10))</f>
        <v>Ua1</v>
      </c>
      <c r="G224" s="63" t="s">
        <v>456</v>
      </c>
      <c r="H224" s="103" t="str">
        <f aca="false">IF(A224="","",IF(G224="","غير محدد (Unassigned)",IFERROR(INDEX(Teachers!$C$6:$C$75,MATCH(G224,Teachers!$A$6:$A$75,0)),"؟ كود معلم غير موجود")))</f>
        <v>Ms Hanaa Ferky Awadain</v>
      </c>
      <c r="I224" s="104" t="s">
        <v>442</v>
      </c>
    </row>
    <row r="225" customFormat="false" ht="15" hidden="false" customHeight="false" outlineLevel="0" collapsed="false">
      <c r="A225" s="60" t="s">
        <v>706</v>
      </c>
      <c r="B225" s="102" t="str">
        <f aca="false">IF(A225="","","Year "&amp;VALUE(MID(A225,2,2)))</f>
        <v>Year 8</v>
      </c>
      <c r="C225" s="102" t="str">
        <f aca="false">IF(A225="","",MID(A225,4,FIND("/",A225)-4))</f>
        <v>ae</v>
      </c>
      <c r="D225" s="102" t="str">
        <f aca="false">IF(A225="","",MID(A225,FIND("/",A225)+1,2))</f>
        <v>Ua</v>
      </c>
      <c r="E225" s="103" t="str">
        <f aca="false">IF(A225="","",IFERROR(INDEX(SubjName,MATCH(D225,SubjCode,0)),"؟ رمز مادة غير معرّف في Settings"))</f>
        <v>Ua (اسم المادة غير مؤكد)</v>
      </c>
      <c r="F225" s="102" t="str">
        <f aca="false">IF(A225="","",MID(A225,FIND("/",A225)+1,10))</f>
        <v>Ua2</v>
      </c>
      <c r="G225" s="63" t="s">
        <v>458</v>
      </c>
      <c r="H225" s="103" t="str">
        <f aca="false">IF(A225="","",IF(G225="","غير محدد (Unassigned)",IFERROR(INDEX(Teachers!$C$6:$C$75,MATCH(G225,Teachers!$A$6:$A$75,0)),"؟ كود معلم غير موجود")))</f>
        <v>Mr Abdou Ghazy</v>
      </c>
      <c r="I225" s="104" t="s">
        <v>442</v>
      </c>
    </row>
    <row r="226" customFormat="false" ht="15" hidden="false" customHeight="false" outlineLevel="0" collapsed="false">
      <c r="A226" s="60" t="s">
        <v>707</v>
      </c>
      <c r="B226" s="102" t="str">
        <f aca="false">IF(A226="","","Year "&amp;VALUE(MID(A226,2,2)))</f>
        <v>Year 8</v>
      </c>
      <c r="C226" s="102" t="str">
        <f aca="false">IF(A226="","",MID(A226,4,FIND("/",A226)-4))</f>
        <v>ah</v>
      </c>
      <c r="D226" s="102" t="str">
        <f aca="false">IF(A226="","",MID(A226,FIND("/",A226)+1,2))</f>
        <v>Ia</v>
      </c>
      <c r="E226" s="103" t="str">
        <f aca="false">IF(A226="","",IFERROR(INDEX(SubjName,MATCH(D226,SubjCode,0)),"؟ رمز مادة غير معرّف في Settings"))</f>
        <v>Islamic A</v>
      </c>
      <c r="F226" s="102" t="str">
        <f aca="false">IF(A226="","",MID(A226,FIND("/",A226)+1,10))</f>
        <v>Ia1</v>
      </c>
      <c r="G226" s="63" t="s">
        <v>668</v>
      </c>
      <c r="H226" s="103" t="str">
        <f aca="false">IF(A226="","",IF(G226="","غير محدد (Unassigned)",IFERROR(INDEX(Teachers!$C$6:$C$75,MATCH(G226,Teachers!$A$6:$A$75,0)),"؟ كود معلم غير موجود")))</f>
        <v>Mr Elsayed A M Hassan</v>
      </c>
      <c r="I226" s="104" t="s">
        <v>442</v>
      </c>
    </row>
    <row r="227" customFormat="false" ht="15" hidden="false" customHeight="false" outlineLevel="0" collapsed="false">
      <c r="A227" s="60" t="s">
        <v>708</v>
      </c>
      <c r="B227" s="102" t="str">
        <f aca="false">IF(A227="","","Year "&amp;VALUE(MID(A227,2,2)))</f>
        <v>Year 8</v>
      </c>
      <c r="C227" s="102" t="str">
        <f aca="false">IF(A227="","",MID(A227,4,FIND("/",A227)-4))</f>
        <v>ah</v>
      </c>
      <c r="D227" s="102" t="str">
        <f aca="false">IF(A227="","",MID(A227,FIND("/",A227)+1,2))</f>
        <v>Ia</v>
      </c>
      <c r="E227" s="103" t="str">
        <f aca="false">IF(A227="","",IFERROR(INDEX(SubjName,MATCH(D227,SubjCode,0)),"؟ رمز مادة غير معرّف في Settings"))</f>
        <v>Islamic A</v>
      </c>
      <c r="F227" s="102" t="str">
        <f aca="false">IF(A227="","",MID(A227,FIND("/",A227)+1,10))</f>
        <v>Ia2</v>
      </c>
      <c r="G227" s="63" t="s">
        <v>670</v>
      </c>
      <c r="H227" s="103" t="str">
        <f aca="false">IF(A227="","",IF(G227="","غير محدد (Unassigned)",IFERROR(INDEX(Teachers!$C$6:$C$75,MATCH(G227,Teachers!$A$6:$A$75,0)),"؟ كود معلم غير موجود")))</f>
        <v>Mr Yaseen Ahmed Zaki</v>
      </c>
      <c r="I227" s="104" t="s">
        <v>442</v>
      </c>
    </row>
    <row r="228" customFormat="false" ht="15" hidden="false" customHeight="false" outlineLevel="0" collapsed="false">
      <c r="A228" s="60" t="s">
        <v>709</v>
      </c>
      <c r="B228" s="102" t="str">
        <f aca="false">IF(A228="","","Year "&amp;VALUE(MID(A228,2,2)))</f>
        <v>Year 8</v>
      </c>
      <c r="C228" s="102" t="str">
        <f aca="false">IF(A228="","",MID(A228,4,FIND("/",A228)-4))</f>
        <v>ah</v>
      </c>
      <c r="D228" s="102" t="str">
        <f aca="false">IF(A228="","",MID(A228,FIND("/",A228)+1,2))</f>
        <v>Ib</v>
      </c>
      <c r="E228" s="103" t="str">
        <f aca="false">IF(A228="","",IFERROR(INDEX(SubjName,MATCH(D228,SubjCode,0)),"؟ رمز مادة غير معرّف في Settings"))</f>
        <v>Islamic B</v>
      </c>
      <c r="F228" s="102" t="str">
        <f aca="false">IF(A228="","",MID(A228,FIND("/",A228)+1,10))</f>
        <v>Ib1</v>
      </c>
      <c r="G228" s="63" t="s">
        <v>672</v>
      </c>
      <c r="H228" s="103" t="str">
        <f aca="false">IF(A228="","",IF(G228="","غير محدد (Unassigned)",IFERROR(INDEX(Teachers!$C$6:$C$75,MATCH(G228,Teachers!$A$6:$A$75,0)),"؟ كود معلم غير موجود")))</f>
        <v>Mr Mahmoud Ahmed Naeem</v>
      </c>
      <c r="I228" s="104" t="s">
        <v>442</v>
      </c>
    </row>
    <row r="229" customFormat="false" ht="15" hidden="false" customHeight="false" outlineLevel="0" collapsed="false">
      <c r="A229" s="60" t="s">
        <v>710</v>
      </c>
      <c r="B229" s="102" t="str">
        <f aca="false">IF(A229="","","Year "&amp;VALUE(MID(A229,2,2)))</f>
        <v>Year 8</v>
      </c>
      <c r="C229" s="102" t="str">
        <f aca="false">IF(A229="","",MID(A229,4,FIND("/",A229)-4))</f>
        <v>ah</v>
      </c>
      <c r="D229" s="102" t="str">
        <f aca="false">IF(A229="","",MID(A229,FIND("/",A229)+1,2))</f>
        <v>Ib</v>
      </c>
      <c r="E229" s="103" t="str">
        <f aca="false">IF(A229="","",IFERROR(INDEX(SubjName,MATCH(D229,SubjCode,0)),"؟ رمز مادة غير معرّف في Settings"))</f>
        <v>Islamic B</v>
      </c>
      <c r="F229" s="102" t="str">
        <f aca="false">IF(A229="","",MID(A229,FIND("/",A229)+1,10))</f>
        <v>Ib2</v>
      </c>
      <c r="G229" s="63" t="s">
        <v>674</v>
      </c>
      <c r="H229" s="103" t="str">
        <f aca="false">IF(A229="","",IF(G229="","غير محدد (Unassigned)",IFERROR(INDEX(Teachers!$C$6:$C$75,MATCH(G229,Teachers!$A$6:$A$75,0)),"؟ كود معلم غير موجود")))</f>
        <v>Mr Aamer Gebreel</v>
      </c>
      <c r="I229" s="104" t="s">
        <v>442</v>
      </c>
    </row>
    <row r="230" customFormat="false" ht="15" hidden="false" customHeight="false" outlineLevel="0" collapsed="false">
      <c r="A230" s="60" t="s">
        <v>711</v>
      </c>
      <c r="B230" s="102" t="str">
        <f aca="false">IF(A230="","","Year "&amp;VALUE(MID(A230,2,2)))</f>
        <v>Year 8</v>
      </c>
      <c r="C230" s="102" t="str">
        <f aca="false">IF(A230="","",MID(A230,4,FIND("/",A230)-4))</f>
        <v>ah</v>
      </c>
      <c r="D230" s="102" t="str">
        <f aca="false">IF(A230="","",MID(A230,FIND("/",A230)+1,2))</f>
        <v>Ib</v>
      </c>
      <c r="E230" s="103" t="str">
        <f aca="false">IF(A230="","",IFERROR(INDEX(SubjName,MATCH(D230,SubjCode,0)),"؟ رمز مادة غير معرّف في Settings"))</f>
        <v>Islamic B</v>
      </c>
      <c r="F230" s="102" t="str">
        <f aca="false">IF(A230="","",MID(A230,FIND("/",A230)+1,10))</f>
        <v>Ib3</v>
      </c>
      <c r="G230" s="63" t="s">
        <v>676</v>
      </c>
      <c r="H230" s="103" t="str">
        <f aca="false">IF(A230="","",IF(G230="","غير محدد (Unassigned)",IFERROR(INDEX(Teachers!$C$6:$C$75,MATCH(G230,Teachers!$A$6:$A$75,0)),"؟ كود معلم غير موجود")))</f>
        <v>Mr Mahmoud Owais Hafiz</v>
      </c>
      <c r="I230" s="104" t="s">
        <v>442</v>
      </c>
    </row>
    <row r="231" customFormat="false" ht="15" hidden="false" customHeight="false" outlineLevel="0" collapsed="false">
      <c r="A231" s="60" t="s">
        <v>712</v>
      </c>
      <c r="B231" s="102" t="str">
        <f aca="false">IF(A231="","","Year "&amp;VALUE(MID(A231,2,2)))</f>
        <v>Year 8</v>
      </c>
      <c r="C231" s="102" t="str">
        <f aca="false">IF(A231="","",MID(A231,4,FIND("/",A231)-4))</f>
        <v>fj</v>
      </c>
      <c r="D231" s="102" t="str">
        <f aca="false">IF(A231="","",MID(A231,FIND("/",A231)+1,2))</f>
        <v>Aa</v>
      </c>
      <c r="E231" s="103" t="str">
        <f aca="false">IF(A231="","",IFERROR(INDEX(SubjName,MATCH(D231,SubjCode,0)),"؟ رمز مادة غير معرّف في Settings"))</f>
        <v>Arabic A</v>
      </c>
      <c r="F231" s="102" t="str">
        <f aca="false">IF(A231="","",MID(A231,FIND("/",A231)+1,10))</f>
        <v>Aa1</v>
      </c>
      <c r="G231" s="63" t="s">
        <v>654</v>
      </c>
      <c r="H231" s="103" t="str">
        <f aca="false">IF(A231="","",IF(G231="","غير محدد (Unassigned)",IFERROR(INDEX(Teachers!$C$6:$C$75,MATCH(G231,Teachers!$A$6:$A$75,0)),"؟ كود معلم غير موجود")))</f>
        <v>Ms Soad Ahmed Mohamed</v>
      </c>
      <c r="I231" s="104" t="s">
        <v>442</v>
      </c>
    </row>
    <row r="232" customFormat="false" ht="15" hidden="false" customHeight="false" outlineLevel="0" collapsed="false">
      <c r="A232" s="60" t="s">
        <v>713</v>
      </c>
      <c r="B232" s="102" t="str">
        <f aca="false">IF(A232="","","Year "&amp;VALUE(MID(A232,2,2)))</f>
        <v>Year 8</v>
      </c>
      <c r="C232" s="102" t="str">
        <f aca="false">IF(A232="","",MID(A232,4,FIND("/",A232)-4))</f>
        <v>fj</v>
      </c>
      <c r="D232" s="102" t="str">
        <f aca="false">IF(A232="","",MID(A232,FIND("/",A232)+1,2))</f>
        <v>Aa</v>
      </c>
      <c r="E232" s="103" t="str">
        <f aca="false">IF(A232="","",IFERROR(INDEX(SubjName,MATCH(D232,SubjCode,0)),"؟ رمز مادة غير معرّف في Settings"))</f>
        <v>Arabic A</v>
      </c>
      <c r="F232" s="102" t="str">
        <f aca="false">IF(A232="","",MID(A232,FIND("/",A232)+1,10))</f>
        <v>Aa2</v>
      </c>
      <c r="G232" s="63" t="s">
        <v>656</v>
      </c>
      <c r="H232" s="103" t="str">
        <f aca="false">IF(A232="","",IF(G232="","غير محدد (Unassigned)",IFERROR(INDEX(Teachers!$C$6:$C$75,MATCH(G232,Teachers!$A$6:$A$75,0)),"؟ كود معلم غير موجود")))</f>
        <v>Mr Ahmed Aldusoky</v>
      </c>
      <c r="I232" s="104" t="s">
        <v>442</v>
      </c>
    </row>
    <row r="233" customFormat="false" ht="15" hidden="false" customHeight="false" outlineLevel="0" collapsed="false">
      <c r="A233" s="60" t="s">
        <v>714</v>
      </c>
      <c r="B233" s="102" t="str">
        <f aca="false">IF(A233="","","Year "&amp;VALUE(MID(A233,2,2)))</f>
        <v>Year 8</v>
      </c>
      <c r="C233" s="102" t="str">
        <f aca="false">IF(A233="","",MID(A233,4,FIND("/",A233)-4))</f>
        <v>fj</v>
      </c>
      <c r="D233" s="102" t="str">
        <f aca="false">IF(A233="","",MID(A233,FIND("/",A233)+1,2))</f>
        <v>Ab</v>
      </c>
      <c r="E233" s="103" t="str">
        <f aca="false">IF(A233="","",IFERROR(INDEX(SubjName,MATCH(D233,SubjCode,0)),"؟ رمز مادة غير معرّف في Settings"))</f>
        <v>Arabic B</v>
      </c>
      <c r="F233" s="102" t="str">
        <f aca="false">IF(A233="","",MID(A233,FIND("/",A233)+1,10))</f>
        <v>Ab1</v>
      </c>
      <c r="G233" s="63" t="s">
        <v>658</v>
      </c>
      <c r="H233" s="103" t="str">
        <f aca="false">IF(A233="","",IF(G233="","غير محدد (Unassigned)",IFERROR(INDEX(Teachers!$C$6:$C$75,MATCH(G233,Teachers!$A$6:$A$75,0)),"؟ كود معلم غير موجود")))</f>
        <v>Ms Mona M Abobaker</v>
      </c>
      <c r="I233" s="104" t="s">
        <v>442</v>
      </c>
    </row>
    <row r="234" customFormat="false" ht="15" hidden="false" customHeight="false" outlineLevel="0" collapsed="false">
      <c r="A234" s="60" t="s">
        <v>715</v>
      </c>
      <c r="B234" s="102" t="str">
        <f aca="false">IF(A234="","","Year "&amp;VALUE(MID(A234,2,2)))</f>
        <v>Year 8</v>
      </c>
      <c r="C234" s="102" t="str">
        <f aca="false">IF(A234="","",MID(A234,4,FIND("/",A234)-4))</f>
        <v>fj</v>
      </c>
      <c r="D234" s="102" t="str">
        <f aca="false">IF(A234="","",MID(A234,FIND("/",A234)+1,2))</f>
        <v>Ab</v>
      </c>
      <c r="E234" s="103" t="str">
        <f aca="false">IF(A234="","",IFERROR(INDEX(SubjName,MATCH(D234,SubjCode,0)),"؟ رمز مادة غير معرّف في Settings"))</f>
        <v>Arabic B</v>
      </c>
      <c r="F234" s="102" t="str">
        <f aca="false">IF(A234="","",MID(A234,FIND("/",A234)+1,10))</f>
        <v>Ab2</v>
      </c>
      <c r="G234" s="63" t="s">
        <v>662</v>
      </c>
      <c r="H234" s="103" t="str">
        <f aca="false">IF(A234="","",IF(G234="","غير محدد (Unassigned)",IFERROR(INDEX(Teachers!$C$6:$C$75,MATCH(G234,Teachers!$A$6:$A$75,0)),"؟ كود معلم غير موجود")))</f>
        <v>Mr MohammedSaber Mohamme</v>
      </c>
      <c r="I234" s="104" t="s">
        <v>442</v>
      </c>
    </row>
    <row r="235" customFormat="false" ht="15" hidden="false" customHeight="false" outlineLevel="0" collapsed="false">
      <c r="A235" s="60" t="s">
        <v>716</v>
      </c>
      <c r="B235" s="102" t="str">
        <f aca="false">IF(A235="","","Year "&amp;VALUE(MID(A235,2,2)))</f>
        <v>Year 8</v>
      </c>
      <c r="C235" s="102" t="str">
        <f aca="false">IF(A235="","",MID(A235,4,FIND("/",A235)-4))</f>
        <v>fj</v>
      </c>
      <c r="D235" s="102" t="str">
        <f aca="false">IF(A235="","",MID(A235,FIND("/",A235)+1,2))</f>
        <v>Ab</v>
      </c>
      <c r="E235" s="103" t="str">
        <f aca="false">IF(A235="","",IFERROR(INDEX(SubjName,MATCH(D235,SubjCode,0)),"؟ رمز مادة غير معرّف في Settings"))</f>
        <v>Arabic B</v>
      </c>
      <c r="F235" s="102" t="str">
        <f aca="false">IF(A235="","",MID(A235,FIND("/",A235)+1,10))</f>
        <v>Ab3</v>
      </c>
      <c r="G235" s="63" t="s">
        <v>717</v>
      </c>
      <c r="H235" s="103" t="str">
        <f aca="false">IF(A235="","",IF(G235="","غير محدد (Unassigned)",IFERROR(INDEX(Teachers!$C$6:$C$75,MATCH(G235,Teachers!$A$6:$A$75,0)),"؟ كود معلم غير موجود")))</f>
        <v>Mr Yahia FouadHossni</v>
      </c>
      <c r="I235" s="104" t="s">
        <v>442</v>
      </c>
    </row>
    <row r="236" customFormat="false" ht="15" hidden="false" customHeight="false" outlineLevel="0" collapsed="false">
      <c r="A236" s="60" t="s">
        <v>718</v>
      </c>
      <c r="B236" s="102" t="str">
        <f aca="false">IF(A236="","","Year "&amp;VALUE(MID(A236,2,2)))</f>
        <v>Year 8</v>
      </c>
      <c r="C236" s="102" t="str">
        <f aca="false">IF(A236="","",MID(A236,4,FIND("/",A236)-4))</f>
        <v>fj</v>
      </c>
      <c r="D236" s="102" t="str">
        <f aca="false">IF(A236="","",MID(A236,FIND("/",A236)+1,2))</f>
        <v>Ab</v>
      </c>
      <c r="E236" s="103" t="str">
        <f aca="false">IF(A236="","",IFERROR(INDEX(SubjName,MATCH(D236,SubjCode,0)),"؟ رمز مادة غير معرّف في Settings"))</f>
        <v>Arabic B</v>
      </c>
      <c r="F236" s="102" t="str">
        <f aca="false">IF(A236="","",MID(A236,FIND("/",A236)+1,10))</f>
        <v>Ab4</v>
      </c>
      <c r="G236" s="63" t="s">
        <v>664</v>
      </c>
      <c r="H236" s="103" t="str">
        <f aca="false">IF(A236="","",IF(G236="","غير محدد (Unassigned)",IFERROR(INDEX(Teachers!$C$6:$C$75,MATCH(G236,Teachers!$A$6:$A$75,0)),"؟ كود معلم غير موجود")))</f>
        <v>Mr Mohamed Amin Mounes</v>
      </c>
      <c r="I236" s="104" t="s">
        <v>442</v>
      </c>
    </row>
    <row r="237" customFormat="false" ht="15" hidden="false" customHeight="false" outlineLevel="0" collapsed="false">
      <c r="A237" s="60" t="s">
        <v>719</v>
      </c>
      <c r="B237" s="102" t="str">
        <f aca="false">IF(A237="","","Year "&amp;VALUE(MID(A237,2,2)))</f>
        <v>Year 8</v>
      </c>
      <c r="C237" s="102" t="str">
        <f aca="false">IF(A237="","",MID(A237,4,FIND("/",A237)-4))</f>
        <v>fj</v>
      </c>
      <c r="D237" s="102" t="str">
        <f aca="false">IF(A237="","",MID(A237,FIND("/",A237)+1,2))</f>
        <v>Ua</v>
      </c>
      <c r="E237" s="103" t="str">
        <f aca="false">IF(A237="","",IFERROR(INDEX(SubjName,MATCH(D237,SubjCode,0)),"؟ رمز مادة غير معرّف في Settings"))</f>
        <v>Ua (اسم المادة غير مؤكد)</v>
      </c>
      <c r="F237" s="102" t="str">
        <f aca="false">IF(A237="","",MID(A237,FIND("/",A237)+1,10))</f>
        <v>Ua1</v>
      </c>
      <c r="G237" s="63" t="s">
        <v>456</v>
      </c>
      <c r="H237" s="103" t="str">
        <f aca="false">IF(A237="","",IF(G237="","غير محدد (Unassigned)",IFERROR(INDEX(Teachers!$C$6:$C$75,MATCH(G237,Teachers!$A$6:$A$75,0)),"؟ كود معلم غير موجود")))</f>
        <v>Ms Hanaa Ferky Awadain</v>
      </c>
      <c r="I237" s="104" t="s">
        <v>442</v>
      </c>
    </row>
    <row r="238" customFormat="false" ht="15" hidden="false" customHeight="false" outlineLevel="0" collapsed="false">
      <c r="A238" s="60" t="s">
        <v>720</v>
      </c>
      <c r="B238" s="102" t="str">
        <f aca="false">IF(A238="","","Year "&amp;VALUE(MID(A238,2,2)))</f>
        <v>Year 8</v>
      </c>
      <c r="C238" s="102" t="str">
        <f aca="false">IF(A238="","",MID(A238,4,FIND("/",A238)-4))</f>
        <v>fj</v>
      </c>
      <c r="D238" s="102" t="str">
        <f aca="false">IF(A238="","",MID(A238,FIND("/",A238)+1,2))</f>
        <v>Ua</v>
      </c>
      <c r="E238" s="103" t="str">
        <f aca="false">IF(A238="","",IFERROR(INDEX(SubjName,MATCH(D238,SubjCode,0)),"؟ رمز مادة غير معرّف في Settings"))</f>
        <v>Ua (اسم المادة غير مؤكد)</v>
      </c>
      <c r="F238" s="102" t="str">
        <f aca="false">IF(A238="","",MID(A238,FIND("/",A238)+1,10))</f>
        <v>Ua2</v>
      </c>
      <c r="G238" s="63" t="s">
        <v>458</v>
      </c>
      <c r="H238" s="103" t="str">
        <f aca="false">IF(A238="","",IF(G238="","غير محدد (Unassigned)",IFERROR(INDEX(Teachers!$C$6:$C$75,MATCH(G238,Teachers!$A$6:$A$75,0)),"؟ كود معلم غير موجود")))</f>
        <v>Mr Abdou Ghazy</v>
      </c>
      <c r="I238" s="104" t="s">
        <v>442</v>
      </c>
    </row>
    <row r="239" customFormat="false" ht="15" hidden="false" customHeight="false" outlineLevel="0" collapsed="false">
      <c r="A239" s="60" t="s">
        <v>721</v>
      </c>
      <c r="B239" s="102" t="str">
        <f aca="false">IF(A239="","","Year "&amp;VALUE(MID(A239,2,2)))</f>
        <v>Year 8</v>
      </c>
      <c r="C239" s="102" t="str">
        <f aca="false">IF(A239="","",MID(A239,4,FIND("/",A239)-4))</f>
        <v>io</v>
      </c>
      <c r="D239" s="102" t="str">
        <f aca="false">IF(A239="","",MID(A239,FIND("/",A239)+1,2))</f>
        <v>Ia</v>
      </c>
      <c r="E239" s="103" t="str">
        <f aca="false">IF(A239="","",IFERROR(INDEX(SubjName,MATCH(D239,SubjCode,0)),"؟ رمز مادة غير معرّف في Settings"))</f>
        <v>Islamic A</v>
      </c>
      <c r="F239" s="102" t="str">
        <f aca="false">IF(A239="","",MID(A239,FIND("/",A239)+1,10))</f>
        <v>Ia1</v>
      </c>
      <c r="G239" s="63" t="s">
        <v>668</v>
      </c>
      <c r="H239" s="103" t="str">
        <f aca="false">IF(A239="","",IF(G239="","غير محدد (Unassigned)",IFERROR(INDEX(Teachers!$C$6:$C$75,MATCH(G239,Teachers!$A$6:$A$75,0)),"؟ كود معلم غير موجود")))</f>
        <v>Mr Elsayed A M Hassan</v>
      </c>
      <c r="I239" s="104" t="s">
        <v>442</v>
      </c>
    </row>
    <row r="240" customFormat="false" ht="15" hidden="false" customHeight="false" outlineLevel="0" collapsed="false">
      <c r="A240" s="60" t="s">
        <v>722</v>
      </c>
      <c r="B240" s="102" t="str">
        <f aca="false">IF(A240="","","Year "&amp;VALUE(MID(A240,2,2)))</f>
        <v>Year 8</v>
      </c>
      <c r="C240" s="102" t="str">
        <f aca="false">IF(A240="","",MID(A240,4,FIND("/",A240)-4))</f>
        <v>io</v>
      </c>
      <c r="D240" s="102" t="str">
        <f aca="false">IF(A240="","",MID(A240,FIND("/",A240)+1,2))</f>
        <v>Ia</v>
      </c>
      <c r="E240" s="103" t="str">
        <f aca="false">IF(A240="","",IFERROR(INDEX(SubjName,MATCH(D240,SubjCode,0)),"؟ رمز مادة غير معرّف في Settings"))</f>
        <v>Islamic A</v>
      </c>
      <c r="F240" s="102" t="str">
        <f aca="false">IF(A240="","",MID(A240,FIND("/",A240)+1,10))</f>
        <v>Ia2</v>
      </c>
      <c r="G240" s="63" t="s">
        <v>723</v>
      </c>
      <c r="H240" s="103" t="str">
        <f aca="false">IF(A240="","",IF(G240="","غير محدد (Unassigned)",IFERROR(INDEX(Teachers!$C$6:$C$75,MATCH(G240,Teachers!$A$6:$A$75,0)),"؟ كود معلم غير موجود")))</f>
        <v>Ms Ola Alhaj Ali</v>
      </c>
      <c r="I240" s="104" t="s">
        <v>442</v>
      </c>
    </row>
    <row r="241" customFormat="false" ht="15" hidden="false" customHeight="false" outlineLevel="0" collapsed="false">
      <c r="A241" s="60" t="s">
        <v>724</v>
      </c>
      <c r="B241" s="102" t="str">
        <f aca="false">IF(A241="","","Year "&amp;VALUE(MID(A241,2,2)))</f>
        <v>Year 8</v>
      </c>
      <c r="C241" s="102" t="str">
        <f aca="false">IF(A241="","",MID(A241,4,FIND("/",A241)-4))</f>
        <v>io</v>
      </c>
      <c r="D241" s="102" t="str">
        <f aca="false">IF(A241="","",MID(A241,FIND("/",A241)+1,2))</f>
        <v>Ib</v>
      </c>
      <c r="E241" s="103" t="str">
        <f aca="false">IF(A241="","",IFERROR(INDEX(SubjName,MATCH(D241,SubjCode,0)),"؟ رمز مادة غير معرّف في Settings"))</f>
        <v>Islamic B</v>
      </c>
      <c r="F241" s="102" t="str">
        <f aca="false">IF(A241="","",MID(A241,FIND("/",A241)+1,10))</f>
        <v>Ib1</v>
      </c>
      <c r="G241" s="63" t="s">
        <v>672</v>
      </c>
      <c r="H241" s="103" t="str">
        <f aca="false">IF(A241="","",IF(G241="","غير محدد (Unassigned)",IFERROR(INDEX(Teachers!$C$6:$C$75,MATCH(G241,Teachers!$A$6:$A$75,0)),"؟ كود معلم غير موجود")))</f>
        <v>Mr Mahmoud Ahmed Naeem</v>
      </c>
      <c r="I241" s="104" t="s">
        <v>442</v>
      </c>
    </row>
    <row r="242" customFormat="false" ht="15" hidden="false" customHeight="false" outlineLevel="0" collapsed="false">
      <c r="A242" s="60" t="s">
        <v>725</v>
      </c>
      <c r="B242" s="102" t="str">
        <f aca="false">IF(A242="","","Year "&amp;VALUE(MID(A242,2,2)))</f>
        <v>Year 8</v>
      </c>
      <c r="C242" s="102" t="str">
        <f aca="false">IF(A242="","",MID(A242,4,FIND("/",A242)-4))</f>
        <v>io</v>
      </c>
      <c r="D242" s="102" t="str">
        <f aca="false">IF(A242="","",MID(A242,FIND("/",A242)+1,2))</f>
        <v>Ib</v>
      </c>
      <c r="E242" s="103" t="str">
        <f aca="false">IF(A242="","",IFERROR(INDEX(SubjName,MATCH(D242,SubjCode,0)),"؟ رمز مادة غير معرّف في Settings"))</f>
        <v>Islamic B</v>
      </c>
      <c r="F242" s="102" t="str">
        <f aca="false">IF(A242="","",MID(A242,FIND("/",A242)+1,10))</f>
        <v>Ib2</v>
      </c>
      <c r="G242" s="63" t="s">
        <v>674</v>
      </c>
      <c r="H242" s="103" t="str">
        <f aca="false">IF(A242="","",IF(G242="","غير محدد (Unassigned)",IFERROR(INDEX(Teachers!$C$6:$C$75,MATCH(G242,Teachers!$A$6:$A$75,0)),"؟ كود معلم غير موجود")))</f>
        <v>Mr Aamer Gebreel</v>
      </c>
      <c r="I242" s="104" t="s">
        <v>442</v>
      </c>
    </row>
    <row r="243" customFormat="false" ht="15" hidden="false" customHeight="false" outlineLevel="0" collapsed="false">
      <c r="A243" s="60" t="s">
        <v>726</v>
      </c>
      <c r="B243" s="102" t="str">
        <f aca="false">IF(A243="","","Year "&amp;VALUE(MID(A243,2,2)))</f>
        <v>Year 8</v>
      </c>
      <c r="C243" s="102" t="str">
        <f aca="false">IF(A243="","",MID(A243,4,FIND("/",A243)-4))</f>
        <v>io</v>
      </c>
      <c r="D243" s="102" t="str">
        <f aca="false">IF(A243="","",MID(A243,FIND("/",A243)+1,2))</f>
        <v>Ib</v>
      </c>
      <c r="E243" s="103" t="str">
        <f aca="false">IF(A243="","",IFERROR(INDEX(SubjName,MATCH(D243,SubjCode,0)),"؟ رمز مادة غير معرّف في Settings"))</f>
        <v>Islamic B</v>
      </c>
      <c r="F243" s="102" t="str">
        <f aca="false">IF(A243="","",MID(A243,FIND("/",A243)+1,10))</f>
        <v>Ib3</v>
      </c>
      <c r="G243" s="63" t="s">
        <v>676</v>
      </c>
      <c r="H243" s="103" t="str">
        <f aca="false">IF(A243="","",IF(G243="","غير محدد (Unassigned)",IFERROR(INDEX(Teachers!$C$6:$C$75,MATCH(G243,Teachers!$A$6:$A$75,0)),"؟ كود معلم غير موجود")))</f>
        <v>Mr Mahmoud Owais Hafiz</v>
      </c>
      <c r="I243" s="104" t="s">
        <v>442</v>
      </c>
    </row>
    <row r="244" customFormat="false" ht="15" hidden="false" customHeight="false" outlineLevel="0" collapsed="false">
      <c r="A244" s="60" t="s">
        <v>727</v>
      </c>
      <c r="B244" s="102" t="str">
        <f aca="false">IF(A244="","","Year "&amp;VALUE(MID(A244,2,2)))</f>
        <v>Year 8</v>
      </c>
      <c r="C244" s="102" t="str">
        <f aca="false">IF(A244="","",MID(A244,4,FIND("/",A244)-4))</f>
        <v>ko</v>
      </c>
      <c r="D244" s="102" t="str">
        <f aca="false">IF(A244="","",MID(A244,FIND("/",A244)+1,2))</f>
        <v>Aa</v>
      </c>
      <c r="E244" s="103" t="str">
        <f aca="false">IF(A244="","",IFERROR(INDEX(SubjName,MATCH(D244,SubjCode,0)),"؟ رمز مادة غير معرّف في Settings"))</f>
        <v>Arabic A</v>
      </c>
      <c r="F244" s="102" t="str">
        <f aca="false">IF(A244="","",MID(A244,FIND("/",A244)+1,10))</f>
        <v>Aa1</v>
      </c>
      <c r="G244" s="63" t="s">
        <v>654</v>
      </c>
      <c r="H244" s="103" t="str">
        <f aca="false">IF(A244="","",IF(G244="","غير محدد (Unassigned)",IFERROR(INDEX(Teachers!$C$6:$C$75,MATCH(G244,Teachers!$A$6:$A$75,0)),"؟ كود معلم غير موجود")))</f>
        <v>Ms Soad Ahmed Mohamed</v>
      </c>
      <c r="I244" s="104" t="s">
        <v>442</v>
      </c>
    </row>
    <row r="245" customFormat="false" ht="15" hidden="false" customHeight="false" outlineLevel="0" collapsed="false">
      <c r="A245" s="60" t="s">
        <v>728</v>
      </c>
      <c r="B245" s="102" t="str">
        <f aca="false">IF(A245="","","Year "&amp;VALUE(MID(A245,2,2)))</f>
        <v>Year 8</v>
      </c>
      <c r="C245" s="102" t="str">
        <f aca="false">IF(A245="","",MID(A245,4,FIND("/",A245)-4))</f>
        <v>ko</v>
      </c>
      <c r="D245" s="102" t="str">
        <f aca="false">IF(A245="","",MID(A245,FIND("/",A245)+1,2))</f>
        <v>Aa</v>
      </c>
      <c r="E245" s="103" t="str">
        <f aca="false">IF(A245="","",IFERROR(INDEX(SubjName,MATCH(D245,SubjCode,0)),"؟ رمز مادة غير معرّف في Settings"))</f>
        <v>Arabic A</v>
      </c>
      <c r="F245" s="102" t="str">
        <f aca="false">IF(A245="","",MID(A245,FIND("/",A245)+1,10))</f>
        <v>Aa2</v>
      </c>
      <c r="G245" s="63" t="s">
        <v>656</v>
      </c>
      <c r="H245" s="103" t="str">
        <f aca="false">IF(A245="","",IF(G245="","غير محدد (Unassigned)",IFERROR(INDEX(Teachers!$C$6:$C$75,MATCH(G245,Teachers!$A$6:$A$75,0)),"؟ كود معلم غير موجود")))</f>
        <v>Mr Ahmed Aldusoky</v>
      </c>
      <c r="I245" s="104" t="s">
        <v>442</v>
      </c>
    </row>
    <row r="246" customFormat="false" ht="15" hidden="false" customHeight="false" outlineLevel="0" collapsed="false">
      <c r="A246" s="60" t="s">
        <v>729</v>
      </c>
      <c r="B246" s="102" t="str">
        <f aca="false">IF(A246="","","Year "&amp;VALUE(MID(A246,2,2)))</f>
        <v>Year 8</v>
      </c>
      <c r="C246" s="102" t="str">
        <f aca="false">IF(A246="","",MID(A246,4,FIND("/",A246)-4))</f>
        <v>ko</v>
      </c>
      <c r="D246" s="102" t="str">
        <f aca="false">IF(A246="","",MID(A246,FIND("/",A246)+1,2))</f>
        <v>Ab</v>
      </c>
      <c r="E246" s="103" t="str">
        <f aca="false">IF(A246="","",IFERROR(INDEX(SubjName,MATCH(D246,SubjCode,0)),"؟ رمز مادة غير معرّف في Settings"))</f>
        <v>Arabic B</v>
      </c>
      <c r="F246" s="102" t="str">
        <f aca="false">IF(A246="","",MID(A246,FIND("/",A246)+1,10))</f>
        <v>Ab1</v>
      </c>
      <c r="G246" s="63" t="s">
        <v>662</v>
      </c>
      <c r="H246" s="103" t="str">
        <f aca="false">IF(A246="","",IF(G246="","غير محدد (Unassigned)",IFERROR(INDEX(Teachers!$C$6:$C$75,MATCH(G246,Teachers!$A$6:$A$75,0)),"؟ كود معلم غير موجود")))</f>
        <v>Mr MohammedSaber Mohamme</v>
      </c>
      <c r="I246" s="104" t="s">
        <v>442</v>
      </c>
    </row>
    <row r="247" customFormat="false" ht="15" hidden="false" customHeight="false" outlineLevel="0" collapsed="false">
      <c r="A247" s="60" t="s">
        <v>730</v>
      </c>
      <c r="B247" s="102" t="str">
        <f aca="false">IF(A247="","","Year "&amp;VALUE(MID(A247,2,2)))</f>
        <v>Year 8</v>
      </c>
      <c r="C247" s="102" t="str">
        <f aca="false">IF(A247="","",MID(A247,4,FIND("/",A247)-4))</f>
        <v>ko</v>
      </c>
      <c r="D247" s="102" t="str">
        <f aca="false">IF(A247="","",MID(A247,FIND("/",A247)+1,2))</f>
        <v>Ab</v>
      </c>
      <c r="E247" s="103" t="str">
        <f aca="false">IF(A247="","",IFERROR(INDEX(SubjName,MATCH(D247,SubjCode,0)),"؟ رمز مادة غير معرّف في Settings"))</f>
        <v>Arabic B</v>
      </c>
      <c r="F247" s="102" t="str">
        <f aca="false">IF(A247="","",MID(A247,FIND("/",A247)+1,10))</f>
        <v>Ab2</v>
      </c>
      <c r="G247" s="63" t="s">
        <v>731</v>
      </c>
      <c r="H247" s="103" t="str">
        <f aca="false">IF(A247="","",IF(G247="","غير محدد (Unassigned)",IFERROR(INDEX(Teachers!$C$6:$C$75,MATCH(G247,Teachers!$A$6:$A$75,0)),"؟ كود معلم غير موجود")))</f>
        <v>Ms Maha M A Mannaa</v>
      </c>
      <c r="I247" s="104" t="s">
        <v>442</v>
      </c>
    </row>
    <row r="248" customFormat="false" ht="15" hidden="false" customHeight="false" outlineLevel="0" collapsed="false">
      <c r="A248" s="60" t="s">
        <v>732</v>
      </c>
      <c r="B248" s="102" t="str">
        <f aca="false">IF(A248="","","Year "&amp;VALUE(MID(A248,2,2)))</f>
        <v>Year 8</v>
      </c>
      <c r="C248" s="102" t="str">
        <f aca="false">IF(A248="","",MID(A248,4,FIND("/",A248)-4))</f>
        <v>ko</v>
      </c>
      <c r="D248" s="102" t="str">
        <f aca="false">IF(A248="","",MID(A248,FIND("/",A248)+1,2))</f>
        <v>Ab</v>
      </c>
      <c r="E248" s="103" t="str">
        <f aca="false">IF(A248="","",IFERROR(INDEX(SubjName,MATCH(D248,SubjCode,0)),"؟ رمز مادة غير معرّف في Settings"))</f>
        <v>Arabic B</v>
      </c>
      <c r="F248" s="102" t="str">
        <f aca="false">IF(A248="","",MID(A248,FIND("/",A248)+1,10))</f>
        <v>Ab3</v>
      </c>
      <c r="G248" s="63" t="s">
        <v>717</v>
      </c>
      <c r="H248" s="103" t="str">
        <f aca="false">IF(A248="","",IF(G248="","غير محدد (Unassigned)",IFERROR(INDEX(Teachers!$C$6:$C$75,MATCH(G248,Teachers!$A$6:$A$75,0)),"؟ كود معلم غير موجود")))</f>
        <v>Mr Yahia FouadHossni</v>
      </c>
      <c r="I248" s="104" t="s">
        <v>442</v>
      </c>
    </row>
    <row r="249" customFormat="false" ht="15" hidden="false" customHeight="false" outlineLevel="0" collapsed="false">
      <c r="A249" s="60" t="s">
        <v>733</v>
      </c>
      <c r="B249" s="102" t="str">
        <f aca="false">IF(A249="","","Year "&amp;VALUE(MID(A249,2,2)))</f>
        <v>Year 8</v>
      </c>
      <c r="C249" s="102" t="str">
        <f aca="false">IF(A249="","",MID(A249,4,FIND("/",A249)-4))</f>
        <v>ko</v>
      </c>
      <c r="D249" s="102" t="str">
        <f aca="false">IF(A249="","",MID(A249,FIND("/",A249)+1,2))</f>
        <v>Ab</v>
      </c>
      <c r="E249" s="103" t="str">
        <f aca="false">IF(A249="","",IFERROR(INDEX(SubjName,MATCH(D249,SubjCode,0)),"؟ رمز مادة غير معرّف في Settings"))</f>
        <v>Arabic B</v>
      </c>
      <c r="F249" s="102" t="str">
        <f aca="false">IF(A249="","",MID(A249,FIND("/",A249)+1,10))</f>
        <v>Ab4</v>
      </c>
      <c r="G249" s="63" t="s">
        <v>703</v>
      </c>
      <c r="H249" s="103" t="str">
        <f aca="false">IF(A249="","",IF(G249="","غير محدد (Unassigned)",IFERROR(INDEX(Teachers!$C$6:$C$75,MATCH(G249,Teachers!$A$6:$A$75,0)),"؟ كود معلم غير موجود")))</f>
        <v>Ms Shaymaa Elnabarawy</v>
      </c>
      <c r="I249" s="104" t="s">
        <v>442</v>
      </c>
    </row>
    <row r="250" customFormat="false" ht="15" hidden="false" customHeight="false" outlineLevel="0" collapsed="false">
      <c r="A250" s="60" t="s">
        <v>734</v>
      </c>
      <c r="B250" s="102" t="str">
        <f aca="false">IF(A250="","","Year "&amp;VALUE(MID(A250,2,2)))</f>
        <v>Year 8</v>
      </c>
      <c r="C250" s="102" t="str">
        <f aca="false">IF(A250="","",MID(A250,4,FIND("/",A250)-4))</f>
        <v>ko</v>
      </c>
      <c r="D250" s="102" t="str">
        <f aca="false">IF(A250="","",MID(A250,FIND("/",A250)+1,2))</f>
        <v>Ua</v>
      </c>
      <c r="E250" s="103" t="str">
        <f aca="false">IF(A250="","",IFERROR(INDEX(SubjName,MATCH(D250,SubjCode,0)),"؟ رمز مادة غير معرّف في Settings"))</f>
        <v>Ua (اسم المادة غير مؤكد)</v>
      </c>
      <c r="F250" s="102" t="str">
        <f aca="false">IF(A250="","",MID(A250,FIND("/",A250)+1,10))</f>
        <v>Ua1</v>
      </c>
      <c r="G250" s="63" t="s">
        <v>456</v>
      </c>
      <c r="H250" s="103" t="str">
        <f aca="false">IF(A250="","",IF(G250="","غير محدد (Unassigned)",IFERROR(INDEX(Teachers!$C$6:$C$75,MATCH(G250,Teachers!$A$6:$A$75,0)),"؟ كود معلم غير موجود")))</f>
        <v>Ms Hanaa Ferky Awadain</v>
      </c>
      <c r="I250" s="104" t="s">
        <v>442</v>
      </c>
    </row>
    <row r="251" customFormat="false" ht="15" hidden="false" customHeight="false" outlineLevel="0" collapsed="false">
      <c r="A251" s="60" t="s">
        <v>735</v>
      </c>
      <c r="B251" s="102" t="str">
        <f aca="false">IF(A251="","","Year "&amp;VALUE(MID(A251,2,2)))</f>
        <v>Year 8</v>
      </c>
      <c r="C251" s="102" t="str">
        <f aca="false">IF(A251="","",MID(A251,4,FIND("/",A251)-4))</f>
        <v>ko</v>
      </c>
      <c r="D251" s="102" t="str">
        <f aca="false">IF(A251="","",MID(A251,FIND("/",A251)+1,2))</f>
        <v>Ua</v>
      </c>
      <c r="E251" s="103" t="str">
        <f aca="false">IF(A251="","",IFERROR(INDEX(SubjName,MATCH(D251,SubjCode,0)),"؟ رمز مادة غير معرّف في Settings"))</f>
        <v>Ua (اسم المادة غير مؤكد)</v>
      </c>
      <c r="F251" s="102" t="str">
        <f aca="false">IF(A251="","",MID(A251,FIND("/",A251)+1,10))</f>
        <v>Ua2</v>
      </c>
      <c r="G251" s="63" t="s">
        <v>458</v>
      </c>
      <c r="H251" s="103" t="str">
        <f aca="false">IF(A251="","",IF(G251="","غير محدد (Unassigned)",IFERROR(INDEX(Teachers!$C$6:$C$75,MATCH(G251,Teachers!$A$6:$A$75,0)),"؟ كود معلم غير موجود")))</f>
        <v>Mr Abdou Ghazy</v>
      </c>
      <c r="I251" s="104" t="s">
        <v>442</v>
      </c>
    </row>
    <row r="252" customFormat="false" ht="15" hidden="false" customHeight="false" outlineLevel="0" collapsed="false">
      <c r="A252" s="60" t="s">
        <v>736</v>
      </c>
      <c r="B252" s="102" t="str">
        <f aca="false">IF(A252="","","Year "&amp;VALUE(MID(A252,2,2)))</f>
        <v>Year 9</v>
      </c>
      <c r="C252" s="102" t="str">
        <f aca="false">IF(A252="","",MID(A252,4,FIND("/",A252)-4))</f>
        <v>ae</v>
      </c>
      <c r="D252" s="102" t="str">
        <f aca="false">IF(A252="","",MID(A252,FIND("/",A252)+1,2))</f>
        <v>Aa</v>
      </c>
      <c r="E252" s="103" t="str">
        <f aca="false">IF(A252="","",IFERROR(INDEX(SubjName,MATCH(D252,SubjCode,0)),"؟ رمز مادة غير معرّف في Settings"))</f>
        <v>Arabic A</v>
      </c>
      <c r="F252" s="102" t="str">
        <f aca="false">IF(A252="","",MID(A252,FIND("/",A252)+1,10))</f>
        <v>Aa1</v>
      </c>
      <c r="G252" s="63" t="s">
        <v>737</v>
      </c>
      <c r="H252" s="103" t="str">
        <f aca="false">IF(A252="","",IF(G252="","غير محدد (Unassigned)",IFERROR(INDEX(Teachers!$C$6:$C$75,MATCH(G252,Teachers!$A$6:$A$75,0)),"؟ كود معلم غير موجود")))</f>
        <v>Mr Ahmed AbdelmonemElsye</v>
      </c>
      <c r="I252" s="104" t="s">
        <v>442</v>
      </c>
    </row>
    <row r="253" customFormat="false" ht="15" hidden="false" customHeight="false" outlineLevel="0" collapsed="false">
      <c r="A253" s="60" t="s">
        <v>738</v>
      </c>
      <c r="B253" s="102" t="str">
        <f aca="false">IF(A253="","","Year "&amp;VALUE(MID(A253,2,2)))</f>
        <v>Year 9</v>
      </c>
      <c r="C253" s="102" t="str">
        <f aca="false">IF(A253="","",MID(A253,4,FIND("/",A253)-4))</f>
        <v>ae</v>
      </c>
      <c r="D253" s="102" t="str">
        <f aca="false">IF(A253="","",MID(A253,FIND("/",A253)+1,2))</f>
        <v>Aa</v>
      </c>
      <c r="E253" s="103" t="str">
        <f aca="false">IF(A253="","",IFERROR(INDEX(SubjName,MATCH(D253,SubjCode,0)),"؟ رمز مادة غير معرّف في Settings"))</f>
        <v>Arabic A</v>
      </c>
      <c r="F253" s="102" t="str">
        <f aca="false">IF(A253="","",MID(A253,FIND("/",A253)+1,10))</f>
        <v>Aa2</v>
      </c>
      <c r="G253" s="63" t="s">
        <v>739</v>
      </c>
      <c r="H253" s="103" t="str">
        <f aca="false">IF(A253="","",IF(G253="","غير محدد (Unassigned)",IFERROR(INDEX(Teachers!$C$6:$C$75,MATCH(G253,Teachers!$A$6:$A$75,0)),"؟ كود معلم غير موجود")))</f>
        <v>Mr Elsaid A Eltantawi</v>
      </c>
      <c r="I253" s="104" t="s">
        <v>442</v>
      </c>
    </row>
    <row r="254" customFormat="false" ht="15" hidden="false" customHeight="false" outlineLevel="0" collapsed="false">
      <c r="A254" s="60" t="s">
        <v>740</v>
      </c>
      <c r="B254" s="102" t="str">
        <f aca="false">IF(A254="","","Year "&amp;VALUE(MID(A254,2,2)))</f>
        <v>Year 9</v>
      </c>
      <c r="C254" s="102" t="str">
        <f aca="false">IF(A254="","",MID(A254,4,FIND("/",A254)-4))</f>
        <v>ae</v>
      </c>
      <c r="D254" s="102" t="str">
        <f aca="false">IF(A254="","",MID(A254,FIND("/",A254)+1,2))</f>
        <v>Ab</v>
      </c>
      <c r="E254" s="103" t="str">
        <f aca="false">IF(A254="","",IFERROR(INDEX(SubjName,MATCH(D254,SubjCode,0)),"؟ رمز مادة غير معرّف في Settings"))</f>
        <v>Arabic B</v>
      </c>
      <c r="F254" s="102" t="str">
        <f aca="false">IF(A254="","",MID(A254,FIND("/",A254)+1,10))</f>
        <v>Ab1</v>
      </c>
      <c r="G254" s="63" t="s">
        <v>741</v>
      </c>
      <c r="H254" s="103" t="str">
        <f aca="false">IF(A254="","",IF(G254="","غير محدد (Unassigned)",IFERROR(INDEX(Teachers!$C$6:$C$75,MATCH(G254,Teachers!$A$6:$A$75,0)),"؟ كود معلم غير موجود")))</f>
        <v>Ms Shaimaa  Abdelrahman</v>
      </c>
      <c r="I254" s="104" t="s">
        <v>442</v>
      </c>
    </row>
    <row r="255" customFormat="false" ht="15" hidden="false" customHeight="false" outlineLevel="0" collapsed="false">
      <c r="A255" s="60" t="s">
        <v>742</v>
      </c>
      <c r="B255" s="102" t="str">
        <f aca="false">IF(A255="","","Year "&amp;VALUE(MID(A255,2,2)))</f>
        <v>Year 9</v>
      </c>
      <c r="C255" s="102" t="str">
        <f aca="false">IF(A255="","",MID(A255,4,FIND("/",A255)-4))</f>
        <v>ae</v>
      </c>
      <c r="D255" s="102" t="str">
        <f aca="false">IF(A255="","",MID(A255,FIND("/",A255)+1,2))</f>
        <v>Ab</v>
      </c>
      <c r="E255" s="103" t="str">
        <f aca="false">IF(A255="","",IFERROR(INDEX(SubjName,MATCH(D255,SubjCode,0)),"؟ رمز مادة غير معرّف في Settings"))</f>
        <v>Arabic B</v>
      </c>
      <c r="F255" s="102" t="str">
        <f aca="false">IF(A255="","",MID(A255,FIND("/",A255)+1,10))</f>
        <v>Ab2</v>
      </c>
      <c r="G255" s="63" t="s">
        <v>731</v>
      </c>
      <c r="H255" s="103" t="str">
        <f aca="false">IF(A255="","",IF(G255="","غير محدد (Unassigned)",IFERROR(INDEX(Teachers!$C$6:$C$75,MATCH(G255,Teachers!$A$6:$A$75,0)),"؟ كود معلم غير موجود")))</f>
        <v>Ms Maha M A Mannaa</v>
      </c>
      <c r="I255" s="104" t="s">
        <v>442</v>
      </c>
    </row>
    <row r="256" customFormat="false" ht="15" hidden="false" customHeight="false" outlineLevel="0" collapsed="false">
      <c r="A256" s="60" t="s">
        <v>743</v>
      </c>
      <c r="B256" s="102" t="str">
        <f aca="false">IF(A256="","","Year "&amp;VALUE(MID(A256,2,2)))</f>
        <v>Year 9</v>
      </c>
      <c r="C256" s="102" t="str">
        <f aca="false">IF(A256="","",MID(A256,4,FIND("/",A256)-4))</f>
        <v>ae</v>
      </c>
      <c r="D256" s="102" t="str">
        <f aca="false">IF(A256="","",MID(A256,FIND("/",A256)+1,2))</f>
        <v>Ab</v>
      </c>
      <c r="E256" s="103" t="str">
        <f aca="false">IF(A256="","",IFERROR(INDEX(SubjName,MATCH(D256,SubjCode,0)),"؟ رمز مادة غير معرّف في Settings"))</f>
        <v>Arabic B</v>
      </c>
      <c r="F256" s="102" t="str">
        <f aca="false">IF(A256="","",MID(A256,FIND("/",A256)+1,10))</f>
        <v>Ab3</v>
      </c>
      <c r="G256" s="63" t="s">
        <v>717</v>
      </c>
      <c r="H256" s="103" t="str">
        <f aca="false">IF(A256="","",IF(G256="","غير محدد (Unassigned)",IFERROR(INDEX(Teachers!$C$6:$C$75,MATCH(G256,Teachers!$A$6:$A$75,0)),"؟ كود معلم غير موجود")))</f>
        <v>Mr Yahia FouadHossni</v>
      </c>
      <c r="I256" s="104" t="s">
        <v>442</v>
      </c>
    </row>
    <row r="257" customFormat="false" ht="15" hidden="false" customHeight="false" outlineLevel="0" collapsed="false">
      <c r="A257" s="60" t="s">
        <v>744</v>
      </c>
      <c r="B257" s="102" t="str">
        <f aca="false">IF(A257="","","Year "&amp;VALUE(MID(A257,2,2)))</f>
        <v>Year 9</v>
      </c>
      <c r="C257" s="102" t="str">
        <f aca="false">IF(A257="","",MID(A257,4,FIND("/",A257)-4))</f>
        <v>ae</v>
      </c>
      <c r="D257" s="102" t="str">
        <f aca="false">IF(A257="","",MID(A257,FIND("/",A257)+1,2))</f>
        <v>Ab</v>
      </c>
      <c r="E257" s="103" t="str">
        <f aca="false">IF(A257="","",IFERROR(INDEX(SubjName,MATCH(D257,SubjCode,0)),"؟ رمز مادة غير معرّف في Settings"))</f>
        <v>Arabic B</v>
      </c>
      <c r="F257" s="102" t="str">
        <f aca="false">IF(A257="","",MID(A257,FIND("/",A257)+1,10))</f>
        <v>Ab4</v>
      </c>
      <c r="G257" s="63" t="s">
        <v>703</v>
      </c>
      <c r="H257" s="103" t="str">
        <f aca="false">IF(A257="","",IF(G257="","غير محدد (Unassigned)",IFERROR(INDEX(Teachers!$C$6:$C$75,MATCH(G257,Teachers!$A$6:$A$75,0)),"؟ كود معلم غير موجود")))</f>
        <v>Ms Shaymaa Elnabarawy</v>
      </c>
      <c r="I257" s="104" t="s">
        <v>442</v>
      </c>
    </row>
    <row r="258" customFormat="false" ht="15" hidden="false" customHeight="false" outlineLevel="0" collapsed="false">
      <c r="A258" s="60" t="s">
        <v>745</v>
      </c>
      <c r="B258" s="102" t="str">
        <f aca="false">IF(A258="","","Year "&amp;VALUE(MID(A258,2,2)))</f>
        <v>Year 9</v>
      </c>
      <c r="C258" s="102" t="str">
        <f aca="false">IF(A258="","",MID(A258,4,FIND("/",A258)-4))</f>
        <v>ae</v>
      </c>
      <c r="D258" s="102" t="str">
        <f aca="false">IF(A258="","",MID(A258,FIND("/",A258)+1,2))</f>
        <v>Ua</v>
      </c>
      <c r="E258" s="103" t="str">
        <f aca="false">IF(A258="","",IFERROR(INDEX(SubjName,MATCH(D258,SubjCode,0)),"؟ رمز مادة غير معرّف في Settings"))</f>
        <v>Ua (اسم المادة غير مؤكد)</v>
      </c>
      <c r="F258" s="102" t="str">
        <f aca="false">IF(A258="","",MID(A258,FIND("/",A258)+1,10))</f>
        <v>Ua1</v>
      </c>
      <c r="G258" s="63" t="s">
        <v>456</v>
      </c>
      <c r="H258" s="103" t="str">
        <f aca="false">IF(A258="","",IF(G258="","غير محدد (Unassigned)",IFERROR(INDEX(Teachers!$C$6:$C$75,MATCH(G258,Teachers!$A$6:$A$75,0)),"؟ كود معلم غير موجود")))</f>
        <v>Ms Hanaa Ferky Awadain</v>
      </c>
      <c r="I258" s="104" t="s">
        <v>442</v>
      </c>
    </row>
    <row r="259" customFormat="false" ht="15" hidden="false" customHeight="false" outlineLevel="0" collapsed="false">
      <c r="A259" s="60" t="s">
        <v>746</v>
      </c>
      <c r="B259" s="102" t="str">
        <f aca="false">IF(A259="","","Year "&amp;VALUE(MID(A259,2,2)))</f>
        <v>Year 9</v>
      </c>
      <c r="C259" s="102" t="str">
        <f aca="false">IF(A259="","",MID(A259,4,FIND("/",A259)-4))</f>
        <v>ae</v>
      </c>
      <c r="D259" s="102" t="str">
        <f aca="false">IF(A259="","",MID(A259,FIND("/",A259)+1,2))</f>
        <v>Ua</v>
      </c>
      <c r="E259" s="103" t="str">
        <f aca="false">IF(A259="","",IFERROR(INDEX(SubjName,MATCH(D259,SubjCode,0)),"؟ رمز مادة غير معرّف في Settings"))</f>
        <v>Ua (اسم المادة غير مؤكد)</v>
      </c>
      <c r="F259" s="102" t="str">
        <f aca="false">IF(A259="","",MID(A259,FIND("/",A259)+1,10))</f>
        <v>Ua2</v>
      </c>
      <c r="G259" s="63" t="s">
        <v>458</v>
      </c>
      <c r="H259" s="103" t="str">
        <f aca="false">IF(A259="","",IF(G259="","غير محدد (Unassigned)",IFERROR(INDEX(Teachers!$C$6:$C$75,MATCH(G259,Teachers!$A$6:$A$75,0)),"؟ كود معلم غير موجود")))</f>
        <v>Mr Abdou Ghazy</v>
      </c>
      <c r="I259" s="104" t="s">
        <v>442</v>
      </c>
    </row>
    <row r="260" customFormat="false" ht="15" hidden="false" customHeight="false" outlineLevel="0" collapsed="false">
      <c r="A260" s="60" t="s">
        <v>747</v>
      </c>
      <c r="B260" s="102" t="str">
        <f aca="false">IF(A260="","","Year "&amp;VALUE(MID(A260,2,2)))</f>
        <v>Year 9</v>
      </c>
      <c r="C260" s="102" t="str">
        <f aca="false">IF(A260="","",MID(A260,4,FIND("/",A260)-4))</f>
        <v>ah</v>
      </c>
      <c r="D260" s="102" t="str">
        <f aca="false">IF(A260="","",MID(A260,FIND("/",A260)+1,2))</f>
        <v>Ia</v>
      </c>
      <c r="E260" s="103" t="str">
        <f aca="false">IF(A260="","",IFERROR(INDEX(SubjName,MATCH(D260,SubjCode,0)),"؟ رمز مادة غير معرّف في Settings"))</f>
        <v>Islamic A</v>
      </c>
      <c r="F260" s="102" t="str">
        <f aca="false">IF(A260="","",MID(A260,FIND("/",A260)+1,10))</f>
        <v>Ia1</v>
      </c>
      <c r="G260" s="63" t="s">
        <v>723</v>
      </c>
      <c r="H260" s="103" t="str">
        <f aca="false">IF(A260="","",IF(G260="","غير محدد (Unassigned)",IFERROR(INDEX(Teachers!$C$6:$C$75,MATCH(G260,Teachers!$A$6:$A$75,0)),"؟ كود معلم غير موجود")))</f>
        <v>Ms Ola Alhaj Ali</v>
      </c>
      <c r="I260" s="104" t="s">
        <v>442</v>
      </c>
    </row>
    <row r="261" customFormat="false" ht="15" hidden="false" customHeight="false" outlineLevel="0" collapsed="false">
      <c r="A261" s="60" t="s">
        <v>748</v>
      </c>
      <c r="B261" s="102" t="str">
        <f aca="false">IF(A261="","","Year "&amp;VALUE(MID(A261,2,2)))</f>
        <v>Year 9</v>
      </c>
      <c r="C261" s="102" t="str">
        <f aca="false">IF(A261="","",MID(A261,4,FIND("/",A261)-4))</f>
        <v>ah</v>
      </c>
      <c r="D261" s="102" t="str">
        <f aca="false">IF(A261="","",MID(A261,FIND("/",A261)+1,2))</f>
        <v>Ia</v>
      </c>
      <c r="E261" s="103" t="str">
        <f aca="false">IF(A261="","",IFERROR(INDEX(SubjName,MATCH(D261,SubjCode,0)),"؟ رمز مادة غير معرّف في Settings"))</f>
        <v>Islamic A</v>
      </c>
      <c r="F261" s="102" t="str">
        <f aca="false">IF(A261="","",MID(A261,FIND("/",A261)+1,10))</f>
        <v>Ia2</v>
      </c>
      <c r="G261" s="63" t="s">
        <v>670</v>
      </c>
      <c r="H261" s="103" t="str">
        <f aca="false">IF(A261="","",IF(G261="","غير محدد (Unassigned)",IFERROR(INDEX(Teachers!$C$6:$C$75,MATCH(G261,Teachers!$A$6:$A$75,0)),"؟ كود معلم غير موجود")))</f>
        <v>Mr Yaseen Ahmed Zaki</v>
      </c>
      <c r="I261" s="104" t="s">
        <v>442</v>
      </c>
    </row>
    <row r="262" customFormat="false" ht="15" hidden="false" customHeight="false" outlineLevel="0" collapsed="false">
      <c r="A262" s="60" t="s">
        <v>749</v>
      </c>
      <c r="B262" s="102" t="str">
        <f aca="false">IF(A262="","","Year "&amp;VALUE(MID(A262,2,2)))</f>
        <v>Year 9</v>
      </c>
      <c r="C262" s="102" t="str">
        <f aca="false">IF(A262="","",MID(A262,4,FIND("/",A262)-4))</f>
        <v>ah</v>
      </c>
      <c r="D262" s="102" t="str">
        <f aca="false">IF(A262="","",MID(A262,FIND("/",A262)+1,2))</f>
        <v>Ia</v>
      </c>
      <c r="E262" s="103" t="str">
        <f aca="false">IF(A262="","",IFERROR(INDEX(SubjName,MATCH(D262,SubjCode,0)),"؟ رمز مادة غير معرّف في Settings"))</f>
        <v>Islamic A</v>
      </c>
      <c r="F262" s="102" t="str">
        <f aca="false">IF(A262="","",MID(A262,FIND("/",A262)+1,10))</f>
        <v>Ia3</v>
      </c>
      <c r="G262" s="63" t="s">
        <v>668</v>
      </c>
      <c r="H262" s="103" t="str">
        <f aca="false">IF(A262="","",IF(G262="","غير محدد (Unassigned)",IFERROR(INDEX(Teachers!$C$6:$C$75,MATCH(G262,Teachers!$A$6:$A$75,0)),"؟ كود معلم غير موجود")))</f>
        <v>Mr Elsayed A M Hassan</v>
      </c>
      <c r="I262" s="104" t="s">
        <v>442</v>
      </c>
    </row>
    <row r="263" customFormat="false" ht="15" hidden="false" customHeight="false" outlineLevel="0" collapsed="false">
      <c r="A263" s="60" t="s">
        <v>750</v>
      </c>
      <c r="B263" s="102" t="str">
        <f aca="false">IF(A263="","","Year "&amp;VALUE(MID(A263,2,2)))</f>
        <v>Year 9</v>
      </c>
      <c r="C263" s="102" t="str">
        <f aca="false">IF(A263="","",MID(A263,4,FIND("/",A263)-4))</f>
        <v>ah</v>
      </c>
      <c r="D263" s="102" t="str">
        <f aca="false">IF(A263="","",MID(A263,FIND("/",A263)+1,2))</f>
        <v>Ib</v>
      </c>
      <c r="E263" s="103" t="str">
        <f aca="false">IF(A263="","",IFERROR(INDEX(SubjName,MATCH(D263,SubjCode,0)),"؟ رمز مادة غير معرّف في Settings"))</f>
        <v>Islamic B</v>
      </c>
      <c r="F263" s="102" t="str">
        <f aca="false">IF(A263="","",MID(A263,FIND("/",A263)+1,10))</f>
        <v>Ib1</v>
      </c>
      <c r="G263" s="63" t="s">
        <v>751</v>
      </c>
      <c r="H263" s="103" t="str">
        <f aca="false">IF(A263="","",IF(G263="","غير محدد (Unassigned)",IFERROR(INDEX(Teachers!$C$6:$C$75,MATCH(G263,Teachers!$A$6:$A$75,0)),"؟ كود معلم غير موجود")))</f>
        <v>Ms Areig Khalil</v>
      </c>
      <c r="I263" s="104" t="s">
        <v>442</v>
      </c>
    </row>
    <row r="264" customFormat="false" ht="15" hidden="false" customHeight="false" outlineLevel="0" collapsed="false">
      <c r="A264" s="60" t="s">
        <v>752</v>
      </c>
      <c r="B264" s="102" t="str">
        <f aca="false">IF(A264="","","Year "&amp;VALUE(MID(A264,2,2)))</f>
        <v>Year 9</v>
      </c>
      <c r="C264" s="102" t="str">
        <f aca="false">IF(A264="","",MID(A264,4,FIND("/",A264)-4))</f>
        <v>ah</v>
      </c>
      <c r="D264" s="102" t="str">
        <f aca="false">IF(A264="","",MID(A264,FIND("/",A264)+1,2))</f>
        <v>Ib</v>
      </c>
      <c r="E264" s="103" t="str">
        <f aca="false">IF(A264="","",IFERROR(INDEX(SubjName,MATCH(D264,SubjCode,0)),"؟ رمز مادة غير معرّف في Settings"))</f>
        <v>Islamic B</v>
      </c>
      <c r="F264" s="102" t="str">
        <f aca="false">IF(A264="","",MID(A264,FIND("/",A264)+1,10))</f>
        <v>Ib2</v>
      </c>
      <c r="G264" s="63" t="s">
        <v>674</v>
      </c>
      <c r="H264" s="103" t="str">
        <f aca="false">IF(A264="","",IF(G264="","غير محدد (Unassigned)",IFERROR(INDEX(Teachers!$C$6:$C$75,MATCH(G264,Teachers!$A$6:$A$75,0)),"؟ كود معلم غير موجود")))</f>
        <v>Mr Aamer Gebreel</v>
      </c>
      <c r="I264" s="104" t="s">
        <v>442</v>
      </c>
    </row>
    <row r="265" customFormat="false" ht="15" hidden="false" customHeight="false" outlineLevel="0" collapsed="false">
      <c r="A265" s="60" t="s">
        <v>753</v>
      </c>
      <c r="B265" s="102" t="str">
        <f aca="false">IF(A265="","","Year "&amp;VALUE(MID(A265,2,2)))</f>
        <v>Year 9</v>
      </c>
      <c r="C265" s="102" t="str">
        <f aca="false">IF(A265="","",MID(A265,4,FIND("/",A265)-4))</f>
        <v>ah</v>
      </c>
      <c r="D265" s="102" t="str">
        <f aca="false">IF(A265="","",MID(A265,FIND("/",A265)+1,2))</f>
        <v>Ib</v>
      </c>
      <c r="E265" s="103" t="str">
        <f aca="false">IF(A265="","",IFERROR(INDEX(SubjName,MATCH(D265,SubjCode,0)),"؟ رمز مادة غير معرّف في Settings"))</f>
        <v>Islamic B</v>
      </c>
      <c r="F265" s="102" t="str">
        <f aca="false">IF(A265="","",MID(A265,FIND("/",A265)+1,10))</f>
        <v>Ib3</v>
      </c>
      <c r="G265" s="63" t="s">
        <v>676</v>
      </c>
      <c r="H265" s="103" t="str">
        <f aca="false">IF(A265="","",IF(G265="","غير محدد (Unassigned)",IFERROR(INDEX(Teachers!$C$6:$C$75,MATCH(G265,Teachers!$A$6:$A$75,0)),"؟ كود معلم غير موجود")))</f>
        <v>Mr Mahmoud Owais Hafiz</v>
      </c>
      <c r="I265" s="104" t="s">
        <v>442</v>
      </c>
    </row>
    <row r="266" customFormat="false" ht="15" hidden="false" customHeight="false" outlineLevel="0" collapsed="false">
      <c r="A266" s="60" t="s">
        <v>754</v>
      </c>
      <c r="B266" s="102" t="str">
        <f aca="false">IF(A266="","","Year "&amp;VALUE(MID(A266,2,2)))</f>
        <v>Year 9</v>
      </c>
      <c r="C266" s="102" t="str">
        <f aca="false">IF(A266="","",MID(A266,4,FIND("/",A266)-4))</f>
        <v>fj</v>
      </c>
      <c r="D266" s="102" t="str">
        <f aca="false">IF(A266="","",MID(A266,FIND("/",A266)+1,2))</f>
        <v>Aa</v>
      </c>
      <c r="E266" s="103" t="str">
        <f aca="false">IF(A266="","",IFERROR(INDEX(SubjName,MATCH(D266,SubjCode,0)),"؟ رمز مادة غير معرّف في Settings"))</f>
        <v>Arabic A</v>
      </c>
      <c r="F266" s="102" t="str">
        <f aca="false">IF(A266="","",MID(A266,FIND("/",A266)+1,10))</f>
        <v>Aa1</v>
      </c>
      <c r="G266" s="63" t="s">
        <v>737</v>
      </c>
      <c r="H266" s="103" t="str">
        <f aca="false">IF(A266="","",IF(G266="","غير محدد (Unassigned)",IFERROR(INDEX(Teachers!$C$6:$C$75,MATCH(G266,Teachers!$A$6:$A$75,0)),"؟ كود معلم غير موجود")))</f>
        <v>Mr Ahmed AbdelmonemElsye</v>
      </c>
      <c r="I266" s="104" t="s">
        <v>442</v>
      </c>
    </row>
    <row r="267" customFormat="false" ht="15" hidden="false" customHeight="false" outlineLevel="0" collapsed="false">
      <c r="A267" s="60" t="s">
        <v>755</v>
      </c>
      <c r="B267" s="102" t="str">
        <f aca="false">IF(A267="","","Year "&amp;VALUE(MID(A267,2,2)))</f>
        <v>Year 9</v>
      </c>
      <c r="C267" s="102" t="str">
        <f aca="false">IF(A267="","",MID(A267,4,FIND("/",A267)-4))</f>
        <v>fj</v>
      </c>
      <c r="D267" s="102" t="str">
        <f aca="false">IF(A267="","",MID(A267,FIND("/",A267)+1,2))</f>
        <v>Aa</v>
      </c>
      <c r="E267" s="103" t="str">
        <f aca="false">IF(A267="","",IFERROR(INDEX(SubjName,MATCH(D267,SubjCode,0)),"؟ رمز مادة غير معرّف في Settings"))</f>
        <v>Arabic A</v>
      </c>
      <c r="F267" s="102" t="str">
        <f aca="false">IF(A267="","",MID(A267,FIND("/",A267)+1,10))</f>
        <v>Aa2</v>
      </c>
      <c r="G267" s="63" t="s">
        <v>739</v>
      </c>
      <c r="H267" s="103" t="str">
        <f aca="false">IF(A267="","",IF(G267="","غير محدد (Unassigned)",IFERROR(INDEX(Teachers!$C$6:$C$75,MATCH(G267,Teachers!$A$6:$A$75,0)),"؟ كود معلم غير موجود")))</f>
        <v>Mr Elsaid A Eltantawi</v>
      </c>
      <c r="I267" s="104" t="s">
        <v>442</v>
      </c>
    </row>
    <row r="268" customFormat="false" ht="15" hidden="false" customHeight="false" outlineLevel="0" collapsed="false">
      <c r="A268" s="60" t="s">
        <v>756</v>
      </c>
      <c r="B268" s="102" t="str">
        <f aca="false">IF(A268="","","Year "&amp;VALUE(MID(A268,2,2)))</f>
        <v>Year 9</v>
      </c>
      <c r="C268" s="102" t="str">
        <f aca="false">IF(A268="","",MID(A268,4,FIND("/",A268)-4))</f>
        <v>fj</v>
      </c>
      <c r="D268" s="102" t="str">
        <f aca="false">IF(A268="","",MID(A268,FIND("/",A268)+1,2))</f>
        <v>Ab</v>
      </c>
      <c r="E268" s="103" t="str">
        <f aca="false">IF(A268="","",IFERROR(INDEX(SubjName,MATCH(D268,SubjCode,0)),"؟ رمز مادة غير معرّف في Settings"))</f>
        <v>Arabic B</v>
      </c>
      <c r="F268" s="102" t="str">
        <f aca="false">IF(A268="","",MID(A268,FIND("/",A268)+1,10))</f>
        <v>Ab1</v>
      </c>
      <c r="G268" s="63" t="s">
        <v>741</v>
      </c>
      <c r="H268" s="103" t="str">
        <f aca="false">IF(A268="","",IF(G268="","غير محدد (Unassigned)",IFERROR(INDEX(Teachers!$C$6:$C$75,MATCH(G268,Teachers!$A$6:$A$75,0)),"؟ كود معلم غير موجود")))</f>
        <v>Ms Shaimaa  Abdelrahman</v>
      </c>
      <c r="I268" s="104" t="s">
        <v>442</v>
      </c>
    </row>
    <row r="269" customFormat="false" ht="15" hidden="false" customHeight="false" outlineLevel="0" collapsed="false">
      <c r="A269" s="60" t="s">
        <v>757</v>
      </c>
      <c r="B269" s="102" t="str">
        <f aca="false">IF(A269="","","Year "&amp;VALUE(MID(A269,2,2)))</f>
        <v>Year 9</v>
      </c>
      <c r="C269" s="102" t="str">
        <f aca="false">IF(A269="","",MID(A269,4,FIND("/",A269)-4))</f>
        <v>fj</v>
      </c>
      <c r="D269" s="102" t="str">
        <f aca="false">IF(A269="","",MID(A269,FIND("/",A269)+1,2))</f>
        <v>Ab</v>
      </c>
      <c r="E269" s="103" t="str">
        <f aca="false">IF(A269="","",IFERROR(INDEX(SubjName,MATCH(D269,SubjCode,0)),"؟ رمز مادة غير معرّف في Settings"))</f>
        <v>Arabic B</v>
      </c>
      <c r="F269" s="102" t="str">
        <f aca="false">IF(A269="","",MID(A269,FIND("/",A269)+1,10))</f>
        <v>Ab2</v>
      </c>
      <c r="G269" s="63"/>
      <c r="H269" s="103" t="str">
        <f aca="false">IF(A269="","",IF(G269="","غير محدد (Unassigned)",IFERROR(INDEX(Teachers!$C$6:$C$75,MATCH(G269,Teachers!$A$6:$A$75,0)),"؟ كود معلم غير موجود")))</f>
        <v>غير محدد (Unassigned)</v>
      </c>
      <c r="I269" s="105" t="s">
        <v>758</v>
      </c>
    </row>
    <row r="270" customFormat="false" ht="15" hidden="false" customHeight="false" outlineLevel="0" collapsed="false">
      <c r="A270" s="60" t="s">
        <v>759</v>
      </c>
      <c r="B270" s="102" t="str">
        <f aca="false">IF(A270="","","Year "&amp;VALUE(MID(A270,2,2)))</f>
        <v>Year 9</v>
      </c>
      <c r="C270" s="102" t="str">
        <f aca="false">IF(A270="","",MID(A270,4,FIND("/",A270)-4))</f>
        <v>fj</v>
      </c>
      <c r="D270" s="102" t="str">
        <f aca="false">IF(A270="","",MID(A270,FIND("/",A270)+1,2))</f>
        <v>Ab</v>
      </c>
      <c r="E270" s="103" t="str">
        <f aca="false">IF(A270="","",IFERROR(INDEX(SubjName,MATCH(D270,SubjCode,0)),"؟ رمز مادة غير معرّف في Settings"))</f>
        <v>Arabic B</v>
      </c>
      <c r="F270" s="102" t="str">
        <f aca="false">IF(A270="","",MID(A270,FIND("/",A270)+1,10))</f>
        <v>Ab3</v>
      </c>
      <c r="G270" s="63" t="s">
        <v>717</v>
      </c>
      <c r="H270" s="103" t="str">
        <f aca="false">IF(A270="","",IF(G270="","غير محدد (Unassigned)",IFERROR(INDEX(Teachers!$C$6:$C$75,MATCH(G270,Teachers!$A$6:$A$75,0)),"؟ كود معلم غير موجود")))</f>
        <v>Mr Yahia FouadHossni</v>
      </c>
      <c r="I270" s="104" t="s">
        <v>442</v>
      </c>
    </row>
    <row r="271" customFormat="false" ht="15" hidden="false" customHeight="false" outlineLevel="0" collapsed="false">
      <c r="A271" s="60" t="s">
        <v>760</v>
      </c>
      <c r="B271" s="102" t="str">
        <f aca="false">IF(A271="","","Year "&amp;VALUE(MID(A271,2,2)))</f>
        <v>Year 9</v>
      </c>
      <c r="C271" s="102" t="str">
        <f aca="false">IF(A271="","",MID(A271,4,FIND("/",A271)-4))</f>
        <v>fj</v>
      </c>
      <c r="D271" s="102" t="str">
        <f aca="false">IF(A271="","",MID(A271,FIND("/",A271)+1,2))</f>
        <v>Ab</v>
      </c>
      <c r="E271" s="103" t="str">
        <f aca="false">IF(A271="","",IFERROR(INDEX(SubjName,MATCH(D271,SubjCode,0)),"؟ رمز مادة غير معرّف في Settings"))</f>
        <v>Arabic B</v>
      </c>
      <c r="F271" s="102" t="str">
        <f aca="false">IF(A271="","",MID(A271,FIND("/",A271)+1,10))</f>
        <v>Ab4</v>
      </c>
      <c r="G271" s="63" t="s">
        <v>703</v>
      </c>
      <c r="H271" s="103" t="str">
        <f aca="false">IF(A271="","",IF(G271="","غير محدد (Unassigned)",IFERROR(INDEX(Teachers!$C$6:$C$75,MATCH(G271,Teachers!$A$6:$A$75,0)),"؟ كود معلم غير موجود")))</f>
        <v>Ms Shaymaa Elnabarawy</v>
      </c>
      <c r="I271" s="104" t="s">
        <v>442</v>
      </c>
    </row>
    <row r="272" customFormat="false" ht="15" hidden="false" customHeight="false" outlineLevel="0" collapsed="false">
      <c r="A272" s="60" t="s">
        <v>761</v>
      </c>
      <c r="B272" s="102" t="str">
        <f aca="false">IF(A272="","","Year "&amp;VALUE(MID(A272,2,2)))</f>
        <v>Year 9</v>
      </c>
      <c r="C272" s="102" t="str">
        <f aca="false">IF(A272="","",MID(A272,4,FIND("/",A272)-4))</f>
        <v>fj</v>
      </c>
      <c r="D272" s="102" t="str">
        <f aca="false">IF(A272="","",MID(A272,FIND("/",A272)+1,2))</f>
        <v>Ua</v>
      </c>
      <c r="E272" s="103" t="str">
        <f aca="false">IF(A272="","",IFERROR(INDEX(SubjName,MATCH(D272,SubjCode,0)),"؟ رمز مادة غير معرّف في Settings"))</f>
        <v>Ua (اسم المادة غير مؤكد)</v>
      </c>
      <c r="F272" s="102" t="str">
        <f aca="false">IF(A272="","",MID(A272,FIND("/",A272)+1,10))</f>
        <v>Ua1</v>
      </c>
      <c r="G272" s="63" t="s">
        <v>456</v>
      </c>
      <c r="H272" s="103" t="str">
        <f aca="false">IF(A272="","",IF(G272="","غير محدد (Unassigned)",IFERROR(INDEX(Teachers!$C$6:$C$75,MATCH(G272,Teachers!$A$6:$A$75,0)),"؟ كود معلم غير موجود")))</f>
        <v>Ms Hanaa Ferky Awadain</v>
      </c>
      <c r="I272" s="104" t="s">
        <v>442</v>
      </c>
    </row>
    <row r="273" customFormat="false" ht="15" hidden="false" customHeight="false" outlineLevel="0" collapsed="false">
      <c r="A273" s="60" t="s">
        <v>762</v>
      </c>
      <c r="B273" s="102" t="str">
        <f aca="false">IF(A273="","","Year "&amp;VALUE(MID(A273,2,2)))</f>
        <v>Year 9</v>
      </c>
      <c r="C273" s="102" t="str">
        <f aca="false">IF(A273="","",MID(A273,4,FIND("/",A273)-4))</f>
        <v>fj</v>
      </c>
      <c r="D273" s="102" t="str">
        <f aca="false">IF(A273="","",MID(A273,FIND("/",A273)+1,2))</f>
        <v>Ua</v>
      </c>
      <c r="E273" s="103" t="str">
        <f aca="false">IF(A273="","",IFERROR(INDEX(SubjName,MATCH(D273,SubjCode,0)),"؟ رمز مادة غير معرّف في Settings"))</f>
        <v>Ua (اسم المادة غير مؤكد)</v>
      </c>
      <c r="F273" s="102" t="str">
        <f aca="false">IF(A273="","",MID(A273,FIND("/",A273)+1,10))</f>
        <v>Ua2</v>
      </c>
      <c r="G273" s="63" t="s">
        <v>458</v>
      </c>
      <c r="H273" s="103" t="str">
        <f aca="false">IF(A273="","",IF(G273="","غير محدد (Unassigned)",IFERROR(INDEX(Teachers!$C$6:$C$75,MATCH(G273,Teachers!$A$6:$A$75,0)),"؟ كود معلم غير موجود")))</f>
        <v>Mr Abdou Ghazy</v>
      </c>
      <c r="I273" s="104" t="s">
        <v>442</v>
      </c>
    </row>
    <row r="274" customFormat="false" ht="15" hidden="false" customHeight="false" outlineLevel="0" collapsed="false">
      <c r="A274" s="60" t="s">
        <v>763</v>
      </c>
      <c r="B274" s="102" t="str">
        <f aca="false">IF(A274="","","Year "&amp;VALUE(MID(A274,2,2)))</f>
        <v>Year 9</v>
      </c>
      <c r="C274" s="102" t="str">
        <f aca="false">IF(A274="","",MID(A274,4,FIND("/",A274)-4))</f>
        <v>io</v>
      </c>
      <c r="D274" s="102" t="str">
        <f aca="false">IF(A274="","",MID(A274,FIND("/",A274)+1,2))</f>
        <v>Ia</v>
      </c>
      <c r="E274" s="103" t="str">
        <f aca="false">IF(A274="","",IFERROR(INDEX(SubjName,MATCH(D274,SubjCode,0)),"؟ رمز مادة غير معرّف في Settings"))</f>
        <v>Islamic A</v>
      </c>
      <c r="F274" s="102" t="str">
        <f aca="false">IF(A274="","",MID(A274,FIND("/",A274)+1,10))</f>
        <v>Ia1</v>
      </c>
      <c r="G274" s="63" t="s">
        <v>723</v>
      </c>
      <c r="H274" s="103" t="str">
        <f aca="false">IF(A274="","",IF(G274="","غير محدد (Unassigned)",IFERROR(INDEX(Teachers!$C$6:$C$75,MATCH(G274,Teachers!$A$6:$A$75,0)),"؟ كود معلم غير موجود")))</f>
        <v>Ms Ola Alhaj Ali</v>
      </c>
      <c r="I274" s="104" t="s">
        <v>442</v>
      </c>
    </row>
    <row r="275" customFormat="false" ht="15" hidden="false" customHeight="false" outlineLevel="0" collapsed="false">
      <c r="A275" s="60" t="s">
        <v>764</v>
      </c>
      <c r="B275" s="102" t="str">
        <f aca="false">IF(A275="","","Year "&amp;VALUE(MID(A275,2,2)))</f>
        <v>Year 9</v>
      </c>
      <c r="C275" s="102" t="str">
        <f aca="false">IF(A275="","",MID(A275,4,FIND("/",A275)-4))</f>
        <v>io</v>
      </c>
      <c r="D275" s="102" t="str">
        <f aca="false">IF(A275="","",MID(A275,FIND("/",A275)+1,2))</f>
        <v>Ia</v>
      </c>
      <c r="E275" s="103" t="str">
        <f aca="false">IF(A275="","",IFERROR(INDEX(SubjName,MATCH(D275,SubjCode,0)),"؟ رمز مادة غير معرّف في Settings"))</f>
        <v>Islamic A</v>
      </c>
      <c r="F275" s="102" t="str">
        <f aca="false">IF(A275="","",MID(A275,FIND("/",A275)+1,10))</f>
        <v>Ia2</v>
      </c>
      <c r="G275" s="63" t="s">
        <v>670</v>
      </c>
      <c r="H275" s="103" t="str">
        <f aca="false">IF(A275="","",IF(G275="","غير محدد (Unassigned)",IFERROR(INDEX(Teachers!$C$6:$C$75,MATCH(G275,Teachers!$A$6:$A$75,0)),"؟ كود معلم غير موجود")))</f>
        <v>Mr Yaseen Ahmed Zaki</v>
      </c>
      <c r="I275" s="104" t="s">
        <v>442</v>
      </c>
    </row>
    <row r="276" customFormat="false" ht="15" hidden="false" customHeight="false" outlineLevel="0" collapsed="false">
      <c r="A276" s="60" t="s">
        <v>765</v>
      </c>
      <c r="B276" s="102" t="str">
        <f aca="false">IF(A276="","","Year "&amp;VALUE(MID(A276,2,2)))</f>
        <v>Year 9</v>
      </c>
      <c r="C276" s="102" t="str">
        <f aca="false">IF(A276="","",MID(A276,4,FIND("/",A276)-4))</f>
        <v>io</v>
      </c>
      <c r="D276" s="102" t="str">
        <f aca="false">IF(A276="","",MID(A276,FIND("/",A276)+1,2))</f>
        <v>Ib</v>
      </c>
      <c r="E276" s="103" t="str">
        <f aca="false">IF(A276="","",IFERROR(INDEX(SubjName,MATCH(D276,SubjCode,0)),"؟ رمز مادة غير معرّف في Settings"))</f>
        <v>Islamic B</v>
      </c>
      <c r="F276" s="102" t="str">
        <f aca="false">IF(A276="","",MID(A276,FIND("/",A276)+1,10))</f>
        <v>Ib1</v>
      </c>
      <c r="G276" s="63" t="s">
        <v>751</v>
      </c>
      <c r="H276" s="103" t="str">
        <f aca="false">IF(A276="","",IF(G276="","غير محدد (Unassigned)",IFERROR(INDEX(Teachers!$C$6:$C$75,MATCH(G276,Teachers!$A$6:$A$75,0)),"؟ كود معلم غير موجود")))</f>
        <v>Ms Areig Khalil</v>
      </c>
      <c r="I276" s="104" t="s">
        <v>442</v>
      </c>
    </row>
    <row r="277" customFormat="false" ht="15" hidden="false" customHeight="false" outlineLevel="0" collapsed="false">
      <c r="A277" s="60" t="s">
        <v>766</v>
      </c>
      <c r="B277" s="102" t="str">
        <f aca="false">IF(A277="","","Year "&amp;VALUE(MID(A277,2,2)))</f>
        <v>Year 9</v>
      </c>
      <c r="C277" s="102" t="str">
        <f aca="false">IF(A277="","",MID(A277,4,FIND("/",A277)-4))</f>
        <v>io</v>
      </c>
      <c r="D277" s="102" t="str">
        <f aca="false">IF(A277="","",MID(A277,FIND("/",A277)+1,2))</f>
        <v>Ib</v>
      </c>
      <c r="E277" s="103" t="str">
        <f aca="false">IF(A277="","",IFERROR(INDEX(SubjName,MATCH(D277,SubjCode,0)),"؟ رمز مادة غير معرّف في Settings"))</f>
        <v>Islamic B</v>
      </c>
      <c r="F277" s="102" t="str">
        <f aca="false">IF(A277="","",MID(A277,FIND("/",A277)+1,10))</f>
        <v>Ib2</v>
      </c>
      <c r="G277" s="63" t="s">
        <v>674</v>
      </c>
      <c r="H277" s="103" t="str">
        <f aca="false">IF(A277="","",IF(G277="","غير محدد (Unassigned)",IFERROR(INDEX(Teachers!$C$6:$C$75,MATCH(G277,Teachers!$A$6:$A$75,0)),"؟ كود معلم غير موجود")))</f>
        <v>Mr Aamer Gebreel</v>
      </c>
      <c r="I277" s="104" t="s">
        <v>442</v>
      </c>
    </row>
    <row r="278" customFormat="false" ht="15" hidden="false" customHeight="false" outlineLevel="0" collapsed="false">
      <c r="A278" s="60" t="s">
        <v>767</v>
      </c>
      <c r="B278" s="102" t="str">
        <f aca="false">IF(A278="","","Year "&amp;VALUE(MID(A278,2,2)))</f>
        <v>Year 9</v>
      </c>
      <c r="C278" s="102" t="str">
        <f aca="false">IF(A278="","",MID(A278,4,FIND("/",A278)-4))</f>
        <v>io</v>
      </c>
      <c r="D278" s="102" t="str">
        <f aca="false">IF(A278="","",MID(A278,FIND("/",A278)+1,2))</f>
        <v>Ib</v>
      </c>
      <c r="E278" s="103" t="str">
        <f aca="false">IF(A278="","",IFERROR(INDEX(SubjName,MATCH(D278,SubjCode,0)),"؟ رمز مادة غير معرّف في Settings"))</f>
        <v>Islamic B</v>
      </c>
      <c r="F278" s="102" t="str">
        <f aca="false">IF(A278="","",MID(A278,FIND("/",A278)+1,10))</f>
        <v>Ib3</v>
      </c>
      <c r="G278" s="63" t="s">
        <v>676</v>
      </c>
      <c r="H278" s="103" t="str">
        <f aca="false">IF(A278="","",IF(G278="","غير محدد (Unassigned)",IFERROR(INDEX(Teachers!$C$6:$C$75,MATCH(G278,Teachers!$A$6:$A$75,0)),"؟ كود معلم غير موجود")))</f>
        <v>Mr Mahmoud Owais Hafiz</v>
      </c>
      <c r="I278" s="104" t="s">
        <v>442</v>
      </c>
    </row>
    <row r="279" customFormat="false" ht="15" hidden="false" customHeight="false" outlineLevel="0" collapsed="false">
      <c r="A279" s="60" t="s">
        <v>768</v>
      </c>
      <c r="B279" s="102" t="str">
        <f aca="false">IF(A279="","","Year "&amp;VALUE(MID(A279,2,2)))</f>
        <v>Year 9</v>
      </c>
      <c r="C279" s="102" t="str">
        <f aca="false">IF(A279="","",MID(A279,4,FIND("/",A279)-4))</f>
        <v>ko</v>
      </c>
      <c r="D279" s="102" t="str">
        <f aca="false">IF(A279="","",MID(A279,FIND("/",A279)+1,2))</f>
        <v>Aa</v>
      </c>
      <c r="E279" s="103" t="str">
        <f aca="false">IF(A279="","",IFERROR(INDEX(SubjName,MATCH(D279,SubjCode,0)),"؟ رمز مادة غير معرّف في Settings"))</f>
        <v>Arabic A</v>
      </c>
      <c r="F279" s="102" t="str">
        <f aca="false">IF(A279="","",MID(A279,FIND("/",A279)+1,10))</f>
        <v>Aa1</v>
      </c>
      <c r="G279" s="63" t="s">
        <v>737</v>
      </c>
      <c r="H279" s="103" t="str">
        <f aca="false">IF(A279="","",IF(G279="","غير محدد (Unassigned)",IFERROR(INDEX(Teachers!$C$6:$C$75,MATCH(G279,Teachers!$A$6:$A$75,0)),"؟ كود معلم غير موجود")))</f>
        <v>Mr Ahmed AbdelmonemElsye</v>
      </c>
      <c r="I279" s="104" t="s">
        <v>442</v>
      </c>
    </row>
    <row r="280" customFormat="false" ht="15" hidden="false" customHeight="false" outlineLevel="0" collapsed="false">
      <c r="A280" s="60" t="s">
        <v>769</v>
      </c>
      <c r="B280" s="102" t="str">
        <f aca="false">IF(A280="","","Year "&amp;VALUE(MID(A280,2,2)))</f>
        <v>Year 9</v>
      </c>
      <c r="C280" s="102" t="str">
        <f aca="false">IF(A280="","",MID(A280,4,FIND("/",A280)-4))</f>
        <v>ko</v>
      </c>
      <c r="D280" s="102" t="str">
        <f aca="false">IF(A280="","",MID(A280,FIND("/",A280)+1,2))</f>
        <v>Aa</v>
      </c>
      <c r="E280" s="103" t="str">
        <f aca="false">IF(A280="","",IFERROR(INDEX(SubjName,MATCH(D280,SubjCode,0)),"؟ رمز مادة غير معرّف في Settings"))</f>
        <v>Arabic A</v>
      </c>
      <c r="F280" s="102" t="str">
        <f aca="false">IF(A280="","",MID(A280,FIND("/",A280)+1,10))</f>
        <v>Aa2</v>
      </c>
      <c r="G280" s="63" t="s">
        <v>739</v>
      </c>
      <c r="H280" s="103" t="str">
        <f aca="false">IF(A280="","",IF(G280="","غير محدد (Unassigned)",IFERROR(INDEX(Teachers!$C$6:$C$75,MATCH(G280,Teachers!$A$6:$A$75,0)),"؟ كود معلم غير موجود")))</f>
        <v>Mr Elsaid A Eltantawi</v>
      </c>
      <c r="I280" s="104" t="s">
        <v>442</v>
      </c>
    </row>
    <row r="281" customFormat="false" ht="15" hidden="false" customHeight="false" outlineLevel="0" collapsed="false">
      <c r="A281" s="60" t="s">
        <v>770</v>
      </c>
      <c r="B281" s="102" t="str">
        <f aca="false">IF(A281="","","Year "&amp;VALUE(MID(A281,2,2)))</f>
        <v>Year 9</v>
      </c>
      <c r="C281" s="102" t="str">
        <f aca="false">IF(A281="","",MID(A281,4,FIND("/",A281)-4))</f>
        <v>ko</v>
      </c>
      <c r="D281" s="102" t="str">
        <f aca="false">IF(A281="","",MID(A281,FIND("/",A281)+1,2))</f>
        <v>Ab</v>
      </c>
      <c r="E281" s="103" t="str">
        <f aca="false">IF(A281="","",IFERROR(INDEX(SubjName,MATCH(D281,SubjCode,0)),"؟ رمز مادة غير معرّف في Settings"))</f>
        <v>Arabic B</v>
      </c>
      <c r="F281" s="102" t="str">
        <f aca="false">IF(A281="","",MID(A281,FIND("/",A281)+1,10))</f>
        <v>Ab1</v>
      </c>
      <c r="G281" s="63"/>
      <c r="H281" s="103" t="str">
        <f aca="false">IF(A281="","",IF(G281="","غير محدد (Unassigned)",IFERROR(INDEX(Teachers!$C$6:$C$75,MATCH(G281,Teachers!$A$6:$A$75,0)),"؟ كود معلم غير موجود")))</f>
        <v>غير محدد (Unassigned)</v>
      </c>
      <c r="I281" s="105" t="s">
        <v>771</v>
      </c>
    </row>
    <row r="282" customFormat="false" ht="15" hidden="false" customHeight="false" outlineLevel="0" collapsed="false">
      <c r="A282" s="60" t="s">
        <v>772</v>
      </c>
      <c r="B282" s="102" t="str">
        <f aca="false">IF(A282="","","Year "&amp;VALUE(MID(A282,2,2)))</f>
        <v>Year 9</v>
      </c>
      <c r="C282" s="102" t="str">
        <f aca="false">IF(A282="","",MID(A282,4,FIND("/",A282)-4))</f>
        <v>ko</v>
      </c>
      <c r="D282" s="102" t="str">
        <f aca="false">IF(A282="","",MID(A282,FIND("/",A282)+1,2))</f>
        <v>Ab</v>
      </c>
      <c r="E282" s="103" t="str">
        <f aca="false">IF(A282="","",IFERROR(INDEX(SubjName,MATCH(D282,SubjCode,0)),"؟ رمز مادة غير معرّف في Settings"))</f>
        <v>Arabic B</v>
      </c>
      <c r="F282" s="102" t="str">
        <f aca="false">IF(A282="","",MID(A282,FIND("/",A282)+1,10))</f>
        <v>Ab2</v>
      </c>
      <c r="G282" s="63" t="s">
        <v>731</v>
      </c>
      <c r="H282" s="103" t="str">
        <f aca="false">IF(A282="","",IF(G282="","غير محدد (Unassigned)",IFERROR(INDEX(Teachers!$C$6:$C$75,MATCH(G282,Teachers!$A$6:$A$75,0)),"؟ كود معلم غير موجود")))</f>
        <v>Ms Maha M A Mannaa</v>
      </c>
      <c r="I282" s="104" t="s">
        <v>442</v>
      </c>
    </row>
    <row r="283" customFormat="false" ht="15" hidden="false" customHeight="false" outlineLevel="0" collapsed="false">
      <c r="A283" s="60" t="s">
        <v>773</v>
      </c>
      <c r="B283" s="102" t="str">
        <f aca="false">IF(A283="","","Year "&amp;VALUE(MID(A283,2,2)))</f>
        <v>Year 9</v>
      </c>
      <c r="C283" s="102" t="str">
        <f aca="false">IF(A283="","",MID(A283,4,FIND("/",A283)-4))</f>
        <v>ko</v>
      </c>
      <c r="D283" s="102" t="str">
        <f aca="false">IF(A283="","",MID(A283,FIND("/",A283)+1,2))</f>
        <v>Ab</v>
      </c>
      <c r="E283" s="103" t="str">
        <f aca="false">IF(A283="","",IFERROR(INDEX(SubjName,MATCH(D283,SubjCode,0)),"؟ رمز مادة غير معرّف في Settings"))</f>
        <v>Arabic B</v>
      </c>
      <c r="F283" s="102" t="str">
        <f aca="false">IF(A283="","",MID(A283,FIND("/",A283)+1,10))</f>
        <v>Ab3</v>
      </c>
      <c r="G283" s="63" t="s">
        <v>717</v>
      </c>
      <c r="H283" s="103" t="str">
        <f aca="false">IF(A283="","",IF(G283="","غير محدد (Unassigned)",IFERROR(INDEX(Teachers!$C$6:$C$75,MATCH(G283,Teachers!$A$6:$A$75,0)),"؟ كود معلم غير موجود")))</f>
        <v>Mr Yahia FouadHossni</v>
      </c>
      <c r="I283" s="104" t="s">
        <v>442</v>
      </c>
    </row>
    <row r="284" customFormat="false" ht="15" hidden="false" customHeight="false" outlineLevel="0" collapsed="false">
      <c r="A284" s="60" t="s">
        <v>774</v>
      </c>
      <c r="B284" s="102" t="str">
        <f aca="false">IF(A284="","","Year "&amp;VALUE(MID(A284,2,2)))</f>
        <v>Year 9</v>
      </c>
      <c r="C284" s="102" t="str">
        <f aca="false">IF(A284="","",MID(A284,4,FIND("/",A284)-4))</f>
        <v>ko</v>
      </c>
      <c r="D284" s="102" t="str">
        <f aca="false">IF(A284="","",MID(A284,FIND("/",A284)+1,2))</f>
        <v>Ab</v>
      </c>
      <c r="E284" s="103" t="str">
        <f aca="false">IF(A284="","",IFERROR(INDEX(SubjName,MATCH(D284,SubjCode,0)),"؟ رمز مادة غير معرّف في Settings"))</f>
        <v>Arabic B</v>
      </c>
      <c r="F284" s="102" t="str">
        <f aca="false">IF(A284="","",MID(A284,FIND("/",A284)+1,10))</f>
        <v>Ab4</v>
      </c>
      <c r="G284" s="63" t="s">
        <v>703</v>
      </c>
      <c r="H284" s="103" t="str">
        <f aca="false">IF(A284="","",IF(G284="","غير محدد (Unassigned)",IFERROR(INDEX(Teachers!$C$6:$C$75,MATCH(G284,Teachers!$A$6:$A$75,0)),"؟ كود معلم غير موجود")))</f>
        <v>Ms Shaymaa Elnabarawy</v>
      </c>
      <c r="I284" s="104" t="s">
        <v>442</v>
      </c>
    </row>
    <row r="285" customFormat="false" ht="15" hidden="false" customHeight="false" outlineLevel="0" collapsed="false">
      <c r="A285" s="60" t="s">
        <v>775</v>
      </c>
      <c r="B285" s="102" t="str">
        <f aca="false">IF(A285="","","Year "&amp;VALUE(MID(A285,2,2)))</f>
        <v>Year 9</v>
      </c>
      <c r="C285" s="102" t="str">
        <f aca="false">IF(A285="","",MID(A285,4,FIND("/",A285)-4))</f>
        <v>ko</v>
      </c>
      <c r="D285" s="102" t="str">
        <f aca="false">IF(A285="","",MID(A285,FIND("/",A285)+1,2))</f>
        <v>Ua</v>
      </c>
      <c r="E285" s="103" t="str">
        <f aca="false">IF(A285="","",IFERROR(INDEX(SubjName,MATCH(D285,SubjCode,0)),"؟ رمز مادة غير معرّف في Settings"))</f>
        <v>Ua (اسم المادة غير مؤكد)</v>
      </c>
      <c r="F285" s="102" t="str">
        <f aca="false">IF(A285="","",MID(A285,FIND("/",A285)+1,10))</f>
        <v>Ua1</v>
      </c>
      <c r="G285" s="63" t="s">
        <v>456</v>
      </c>
      <c r="H285" s="103" t="str">
        <f aca="false">IF(A285="","",IF(G285="","غير محدد (Unassigned)",IFERROR(INDEX(Teachers!$C$6:$C$75,MATCH(G285,Teachers!$A$6:$A$75,0)),"؟ كود معلم غير موجود")))</f>
        <v>Ms Hanaa Ferky Awadain</v>
      </c>
      <c r="I285" s="104" t="s">
        <v>442</v>
      </c>
    </row>
    <row r="286" customFormat="false" ht="15" hidden="false" customHeight="false" outlineLevel="0" collapsed="false">
      <c r="A286" s="60" t="s">
        <v>776</v>
      </c>
      <c r="B286" s="102" t="str">
        <f aca="false">IF(A286="","","Year "&amp;VALUE(MID(A286,2,2)))</f>
        <v>Year 9</v>
      </c>
      <c r="C286" s="102" t="str">
        <f aca="false">IF(A286="","",MID(A286,4,FIND("/",A286)-4))</f>
        <v>ko</v>
      </c>
      <c r="D286" s="102" t="str">
        <f aca="false">IF(A286="","",MID(A286,FIND("/",A286)+1,2))</f>
        <v>Ua</v>
      </c>
      <c r="E286" s="103" t="str">
        <f aca="false">IF(A286="","",IFERROR(INDEX(SubjName,MATCH(D286,SubjCode,0)),"؟ رمز مادة غير معرّف في Settings"))</f>
        <v>Ua (اسم المادة غير مؤكد)</v>
      </c>
      <c r="F286" s="102" t="str">
        <f aca="false">IF(A286="","",MID(A286,FIND("/",A286)+1,10))</f>
        <v>Ua2</v>
      </c>
      <c r="G286" s="63" t="s">
        <v>458</v>
      </c>
      <c r="H286" s="103" t="str">
        <f aca="false">IF(A286="","",IF(G286="","غير محدد (Unassigned)",IFERROR(INDEX(Teachers!$C$6:$C$75,MATCH(G286,Teachers!$A$6:$A$75,0)),"؟ كود معلم غير موجود")))</f>
        <v>Mr Abdou Ghazy</v>
      </c>
      <c r="I286" s="104" t="s">
        <v>442</v>
      </c>
    </row>
    <row r="287" customFormat="false" ht="15" hidden="false" customHeight="false" outlineLevel="0" collapsed="false">
      <c r="A287" s="60" t="s">
        <v>777</v>
      </c>
      <c r="B287" s="102" t="str">
        <f aca="false">IF(A287="","","Year "&amp;VALUE(MID(A287,2,2)))</f>
        <v>Year 10</v>
      </c>
      <c r="C287" s="102" t="str">
        <f aca="false">IF(A287="","",MID(A287,4,FIND("/",A287)-4))</f>
        <v>ah</v>
      </c>
      <c r="D287" s="102" t="str">
        <f aca="false">IF(A287="","",MID(A287,FIND("/",A287)+1,2))</f>
        <v>Aa</v>
      </c>
      <c r="E287" s="103" t="str">
        <f aca="false">IF(A287="","",IFERROR(INDEX(SubjName,MATCH(D287,SubjCode,0)),"؟ رمز مادة غير معرّف في Settings"))</f>
        <v>Arabic A</v>
      </c>
      <c r="F287" s="102" t="str">
        <f aca="false">IF(A287="","",MID(A287,FIND("/",A287)+1,10))</f>
        <v>Aa1</v>
      </c>
      <c r="G287" s="63" t="s">
        <v>778</v>
      </c>
      <c r="H287" s="103" t="str">
        <f aca="false">IF(A287="","",IF(G287="","غير محدد (Unassigned)",IFERROR(INDEX(Teachers!$C$6:$C$75,MATCH(G287,Teachers!$A$6:$A$75,0)),"؟ كود معلم غير موجود")))</f>
        <v>Mr Ayman Bobo</v>
      </c>
      <c r="I287" s="104" t="s">
        <v>442</v>
      </c>
    </row>
    <row r="288" customFormat="false" ht="15" hidden="false" customHeight="false" outlineLevel="0" collapsed="false">
      <c r="A288" s="60" t="s">
        <v>779</v>
      </c>
      <c r="B288" s="102" t="str">
        <f aca="false">IF(A288="","","Year "&amp;VALUE(MID(A288,2,2)))</f>
        <v>Year 10</v>
      </c>
      <c r="C288" s="102" t="str">
        <f aca="false">IF(A288="","",MID(A288,4,FIND("/",A288)-4))</f>
        <v>ah</v>
      </c>
      <c r="D288" s="102" t="str">
        <f aca="false">IF(A288="","",MID(A288,FIND("/",A288)+1,2))</f>
        <v>Aa</v>
      </c>
      <c r="E288" s="103" t="str">
        <f aca="false">IF(A288="","",IFERROR(INDEX(SubjName,MATCH(D288,SubjCode,0)),"؟ رمز مادة غير معرّف في Settings"))</f>
        <v>Arabic A</v>
      </c>
      <c r="F288" s="102" t="str">
        <f aca="false">IF(A288="","",MID(A288,FIND("/",A288)+1,10))</f>
        <v>Aa2</v>
      </c>
      <c r="G288" s="63" t="s">
        <v>737</v>
      </c>
      <c r="H288" s="103" t="str">
        <f aca="false">IF(A288="","",IF(G288="","غير محدد (Unassigned)",IFERROR(INDEX(Teachers!$C$6:$C$75,MATCH(G288,Teachers!$A$6:$A$75,0)),"؟ كود معلم غير موجود")))</f>
        <v>Mr Ahmed AbdelmonemElsye</v>
      </c>
      <c r="I288" s="104" t="s">
        <v>442</v>
      </c>
    </row>
    <row r="289" customFormat="false" ht="15" hidden="false" customHeight="false" outlineLevel="0" collapsed="false">
      <c r="A289" s="60" t="s">
        <v>780</v>
      </c>
      <c r="B289" s="102" t="str">
        <f aca="false">IF(A289="","","Year "&amp;VALUE(MID(A289,2,2)))</f>
        <v>Year 10</v>
      </c>
      <c r="C289" s="102" t="str">
        <f aca="false">IF(A289="","",MID(A289,4,FIND("/",A289)-4))</f>
        <v>ah</v>
      </c>
      <c r="D289" s="102" t="str">
        <f aca="false">IF(A289="","",MID(A289,FIND("/",A289)+1,2))</f>
        <v>Aa</v>
      </c>
      <c r="E289" s="103" t="str">
        <f aca="false">IF(A289="","",IFERROR(INDEX(SubjName,MATCH(D289,SubjCode,0)),"؟ رمز مادة غير معرّف في Settings"))</f>
        <v>Arabic A</v>
      </c>
      <c r="F289" s="102" t="str">
        <f aca="false">IF(A289="","",MID(A289,FIND("/",A289)+1,10))</f>
        <v>Aa3</v>
      </c>
      <c r="G289" s="63" t="s">
        <v>781</v>
      </c>
      <c r="H289" s="103" t="str">
        <f aca="false">IF(A289="","",IF(G289="","غير محدد (Unassigned)",IFERROR(INDEX(Teachers!$C$6:$C$75,MATCH(G289,Teachers!$A$6:$A$75,0)),"؟ كود معلم غير موجود")))</f>
        <v>Mr Aly Abdelmonem Hasan</v>
      </c>
      <c r="I289" s="104" t="s">
        <v>442</v>
      </c>
    </row>
    <row r="290" customFormat="false" ht="15" hidden="false" customHeight="false" outlineLevel="0" collapsed="false">
      <c r="A290" s="60" t="s">
        <v>782</v>
      </c>
      <c r="B290" s="102" t="str">
        <f aca="false">IF(A290="","","Year "&amp;VALUE(MID(A290,2,2)))</f>
        <v>Year 10</v>
      </c>
      <c r="C290" s="102" t="str">
        <f aca="false">IF(A290="","",MID(A290,4,FIND("/",A290)-4))</f>
        <v>ah</v>
      </c>
      <c r="D290" s="102" t="str">
        <f aca="false">IF(A290="","",MID(A290,FIND("/",A290)+1,2))</f>
        <v>Ab</v>
      </c>
      <c r="E290" s="103" t="str">
        <f aca="false">IF(A290="","",IFERROR(INDEX(SubjName,MATCH(D290,SubjCode,0)),"؟ رمز مادة غير معرّف في Settings"))</f>
        <v>Arabic B</v>
      </c>
      <c r="F290" s="102" t="str">
        <f aca="false">IF(A290="","",MID(A290,FIND("/",A290)+1,10))</f>
        <v>Ab1</v>
      </c>
      <c r="G290" s="63" t="s">
        <v>658</v>
      </c>
      <c r="H290" s="103" t="str">
        <f aca="false">IF(A290="","",IF(G290="","غير محدد (Unassigned)",IFERROR(INDEX(Teachers!$C$6:$C$75,MATCH(G290,Teachers!$A$6:$A$75,0)),"؟ كود معلم غير موجود")))</f>
        <v>Ms Mona M Abobaker</v>
      </c>
      <c r="I290" s="104" t="s">
        <v>442</v>
      </c>
    </row>
    <row r="291" customFormat="false" ht="15" hidden="false" customHeight="false" outlineLevel="0" collapsed="false">
      <c r="A291" s="60" t="s">
        <v>783</v>
      </c>
      <c r="B291" s="102" t="str">
        <f aca="false">IF(A291="","","Year "&amp;VALUE(MID(A291,2,2)))</f>
        <v>Year 10</v>
      </c>
      <c r="C291" s="102" t="str">
        <f aca="false">IF(A291="","",MID(A291,4,FIND("/",A291)-4))</f>
        <v>ah</v>
      </c>
      <c r="D291" s="102" t="str">
        <f aca="false">IF(A291="","",MID(A291,FIND("/",A291)+1,2))</f>
        <v>Ab</v>
      </c>
      <c r="E291" s="103" t="str">
        <f aca="false">IF(A291="","",IFERROR(INDEX(SubjName,MATCH(D291,SubjCode,0)),"؟ رمز مادة غير معرّف في Settings"))</f>
        <v>Arabic B</v>
      </c>
      <c r="F291" s="102" t="str">
        <f aca="false">IF(A291="","",MID(A291,FIND("/",A291)+1,10))</f>
        <v>Ab2</v>
      </c>
      <c r="G291" s="63" t="s">
        <v>731</v>
      </c>
      <c r="H291" s="103" t="str">
        <f aca="false">IF(A291="","",IF(G291="","غير محدد (Unassigned)",IFERROR(INDEX(Teachers!$C$6:$C$75,MATCH(G291,Teachers!$A$6:$A$75,0)),"؟ كود معلم غير موجود")))</f>
        <v>Ms Maha M A Mannaa</v>
      </c>
      <c r="I291" s="104" t="s">
        <v>442</v>
      </c>
    </row>
    <row r="292" customFormat="false" ht="15" hidden="false" customHeight="false" outlineLevel="0" collapsed="false">
      <c r="A292" s="60" t="s">
        <v>784</v>
      </c>
      <c r="B292" s="102" t="str">
        <f aca="false">IF(A292="","","Year "&amp;VALUE(MID(A292,2,2)))</f>
        <v>Year 10</v>
      </c>
      <c r="C292" s="102" t="str">
        <f aca="false">IF(A292="","",MID(A292,4,FIND("/",A292)-4))</f>
        <v>ah</v>
      </c>
      <c r="D292" s="102" t="str">
        <f aca="false">IF(A292="","",MID(A292,FIND("/",A292)+1,2))</f>
        <v>Ab</v>
      </c>
      <c r="E292" s="103" t="str">
        <f aca="false">IF(A292="","",IFERROR(INDEX(SubjName,MATCH(D292,SubjCode,0)),"؟ رمز مادة غير معرّف في Settings"))</f>
        <v>Arabic B</v>
      </c>
      <c r="F292" s="102" t="str">
        <f aca="false">IF(A292="","",MID(A292,FIND("/",A292)+1,10))</f>
        <v>Ab3</v>
      </c>
      <c r="G292" s="63" t="s">
        <v>662</v>
      </c>
      <c r="H292" s="103" t="str">
        <f aca="false">IF(A292="","",IF(G292="","غير محدد (Unassigned)",IFERROR(INDEX(Teachers!$C$6:$C$75,MATCH(G292,Teachers!$A$6:$A$75,0)),"؟ كود معلم غير موجود")))</f>
        <v>Mr MohammedSaber Mohamme</v>
      </c>
      <c r="I292" s="104" t="s">
        <v>442</v>
      </c>
    </row>
    <row r="293" customFormat="false" ht="15" hidden="false" customHeight="false" outlineLevel="0" collapsed="false">
      <c r="A293" s="60" t="s">
        <v>785</v>
      </c>
      <c r="B293" s="102" t="str">
        <f aca="false">IF(A293="","","Year "&amp;VALUE(MID(A293,2,2)))</f>
        <v>Year 10</v>
      </c>
      <c r="C293" s="102" t="str">
        <f aca="false">IF(A293="","",MID(A293,4,FIND("/",A293)-4))</f>
        <v>ah</v>
      </c>
      <c r="D293" s="102" t="str">
        <f aca="false">IF(A293="","",MID(A293,FIND("/",A293)+1,2))</f>
        <v>Ab</v>
      </c>
      <c r="E293" s="103" t="str">
        <f aca="false">IF(A293="","",IFERROR(INDEX(SubjName,MATCH(D293,SubjCode,0)),"؟ رمز مادة غير معرّف في Settings"))</f>
        <v>Arabic B</v>
      </c>
      <c r="F293" s="102" t="str">
        <f aca="false">IF(A293="","",MID(A293,FIND("/",A293)+1,10))</f>
        <v>Ab4</v>
      </c>
      <c r="G293" s="63" t="s">
        <v>717</v>
      </c>
      <c r="H293" s="103" t="str">
        <f aca="false">IF(A293="","",IF(G293="","غير محدد (Unassigned)",IFERROR(INDEX(Teachers!$C$6:$C$75,MATCH(G293,Teachers!$A$6:$A$75,0)),"؟ كود معلم غير موجود")))</f>
        <v>Mr Yahia FouadHossni</v>
      </c>
      <c r="I293" s="104" t="s">
        <v>442</v>
      </c>
    </row>
    <row r="294" customFormat="false" ht="15" hidden="false" customHeight="false" outlineLevel="0" collapsed="false">
      <c r="A294" s="60" t="s">
        <v>786</v>
      </c>
      <c r="B294" s="102" t="str">
        <f aca="false">IF(A294="","","Year "&amp;VALUE(MID(A294,2,2)))</f>
        <v>Year 10</v>
      </c>
      <c r="C294" s="102" t="str">
        <f aca="false">IF(A294="","",MID(A294,4,FIND("/",A294)-4))</f>
        <v>ah</v>
      </c>
      <c r="D294" s="102" t="str">
        <f aca="false">IF(A294="","",MID(A294,FIND("/",A294)+1,2))</f>
        <v>Ab</v>
      </c>
      <c r="E294" s="103" t="str">
        <f aca="false">IF(A294="","",IFERROR(INDEX(SubjName,MATCH(D294,SubjCode,0)),"؟ رمز مادة غير معرّف في Settings"))</f>
        <v>Arabic B</v>
      </c>
      <c r="F294" s="102" t="str">
        <f aca="false">IF(A294="","",MID(A294,FIND("/",A294)+1,10))</f>
        <v>Ab5</v>
      </c>
      <c r="G294" s="63" t="s">
        <v>703</v>
      </c>
      <c r="H294" s="103" t="str">
        <f aca="false">IF(A294="","",IF(G294="","غير محدد (Unassigned)",IFERROR(INDEX(Teachers!$C$6:$C$75,MATCH(G294,Teachers!$A$6:$A$75,0)),"؟ كود معلم غير موجود")))</f>
        <v>Ms Shaymaa Elnabarawy</v>
      </c>
      <c r="I294" s="104" t="s">
        <v>442</v>
      </c>
    </row>
    <row r="295" customFormat="false" ht="15" hidden="false" customHeight="false" outlineLevel="0" collapsed="false">
      <c r="A295" s="60" t="s">
        <v>787</v>
      </c>
      <c r="B295" s="102" t="str">
        <f aca="false">IF(A295="","","Year "&amp;VALUE(MID(A295,2,2)))</f>
        <v>Year 10</v>
      </c>
      <c r="C295" s="102" t="str">
        <f aca="false">IF(A295="","",MID(A295,4,FIND("/",A295)-4))</f>
        <v>ah</v>
      </c>
      <c r="D295" s="102" t="str">
        <f aca="false">IF(A295="","",MID(A295,FIND("/",A295)+1,2))</f>
        <v>Ab</v>
      </c>
      <c r="E295" s="103" t="str">
        <f aca="false">IF(A295="","",IFERROR(INDEX(SubjName,MATCH(D295,SubjCode,0)),"؟ رمز مادة غير معرّف في Settings"))</f>
        <v>Arabic B</v>
      </c>
      <c r="F295" s="102" t="str">
        <f aca="false">IF(A295="","",MID(A295,FIND("/",A295)+1,10))</f>
        <v>Ab6</v>
      </c>
      <c r="G295" s="63" t="s">
        <v>664</v>
      </c>
      <c r="H295" s="103" t="str">
        <f aca="false">IF(A295="","",IF(G295="","غير محدد (Unassigned)",IFERROR(INDEX(Teachers!$C$6:$C$75,MATCH(G295,Teachers!$A$6:$A$75,0)),"؟ كود معلم غير موجود")))</f>
        <v>Mr Mohamed Amin Mounes</v>
      </c>
      <c r="I295" s="104" t="s">
        <v>442</v>
      </c>
    </row>
    <row r="296" customFormat="false" ht="15" hidden="false" customHeight="false" outlineLevel="0" collapsed="false">
      <c r="A296" s="60" t="s">
        <v>788</v>
      </c>
      <c r="B296" s="102" t="str">
        <f aca="false">IF(A296="","","Year "&amp;VALUE(MID(A296,2,2)))</f>
        <v>Year 10</v>
      </c>
      <c r="C296" s="102" t="str">
        <f aca="false">IF(A296="","",MID(A296,4,FIND("/",A296)-4))</f>
        <v>ah</v>
      </c>
      <c r="D296" s="102" t="str">
        <f aca="false">IF(A296="","",MID(A296,FIND("/",A296)+1,2))</f>
        <v>Ia</v>
      </c>
      <c r="E296" s="103" t="str">
        <f aca="false">IF(A296="","",IFERROR(INDEX(SubjName,MATCH(D296,SubjCode,0)),"؟ رمز مادة غير معرّف في Settings"))</f>
        <v>Islamic A</v>
      </c>
      <c r="F296" s="102" t="str">
        <f aca="false">IF(A296="","",MID(A296,FIND("/",A296)+1,10))</f>
        <v>Ia1</v>
      </c>
      <c r="G296" s="63" t="s">
        <v>723</v>
      </c>
      <c r="H296" s="103" t="str">
        <f aca="false">IF(A296="","",IF(G296="","غير محدد (Unassigned)",IFERROR(INDEX(Teachers!$C$6:$C$75,MATCH(G296,Teachers!$A$6:$A$75,0)),"؟ كود معلم غير موجود")))</f>
        <v>Ms Ola Alhaj Ali</v>
      </c>
      <c r="I296" s="104" t="s">
        <v>442</v>
      </c>
    </row>
    <row r="297" customFormat="false" ht="15" hidden="false" customHeight="false" outlineLevel="0" collapsed="false">
      <c r="A297" s="60" t="s">
        <v>789</v>
      </c>
      <c r="B297" s="102" t="str">
        <f aca="false">IF(A297="","","Year "&amp;VALUE(MID(A297,2,2)))</f>
        <v>Year 10</v>
      </c>
      <c r="C297" s="102" t="str">
        <f aca="false">IF(A297="","",MID(A297,4,FIND("/",A297)-4))</f>
        <v>ah</v>
      </c>
      <c r="D297" s="102" t="str">
        <f aca="false">IF(A297="","",MID(A297,FIND("/",A297)+1,2))</f>
        <v>Ia</v>
      </c>
      <c r="E297" s="103" t="str">
        <f aca="false">IF(A297="","",IFERROR(INDEX(SubjName,MATCH(D297,SubjCode,0)),"؟ رمز مادة غير معرّف في Settings"))</f>
        <v>Islamic A</v>
      </c>
      <c r="F297" s="102" t="str">
        <f aca="false">IF(A297="","",MID(A297,FIND("/",A297)+1,10))</f>
        <v>Ia2</v>
      </c>
      <c r="G297" s="63" t="s">
        <v>668</v>
      </c>
      <c r="H297" s="103" t="str">
        <f aca="false">IF(A297="","",IF(G297="","غير محدد (Unassigned)",IFERROR(INDEX(Teachers!$C$6:$C$75,MATCH(G297,Teachers!$A$6:$A$75,0)),"؟ كود معلم غير موجود")))</f>
        <v>Mr Elsayed A M Hassan</v>
      </c>
      <c r="I297" s="104" t="s">
        <v>442</v>
      </c>
    </row>
    <row r="298" customFormat="false" ht="15" hidden="false" customHeight="false" outlineLevel="0" collapsed="false">
      <c r="A298" s="60" t="s">
        <v>790</v>
      </c>
      <c r="B298" s="102" t="str">
        <f aca="false">IF(A298="","","Year "&amp;VALUE(MID(A298,2,2)))</f>
        <v>Year 10</v>
      </c>
      <c r="C298" s="102" t="str">
        <f aca="false">IF(A298="","",MID(A298,4,FIND("/",A298)-4))</f>
        <v>ah</v>
      </c>
      <c r="D298" s="102" t="str">
        <f aca="false">IF(A298="","",MID(A298,FIND("/",A298)+1,2))</f>
        <v>Ib</v>
      </c>
      <c r="E298" s="103" t="str">
        <f aca="false">IF(A298="","",IFERROR(INDEX(SubjName,MATCH(D298,SubjCode,0)),"؟ رمز مادة غير معرّف في Settings"))</f>
        <v>Islamic B</v>
      </c>
      <c r="F298" s="102" t="str">
        <f aca="false">IF(A298="","",MID(A298,FIND("/",A298)+1,10))</f>
        <v>Ib1</v>
      </c>
      <c r="G298" s="63" t="s">
        <v>751</v>
      </c>
      <c r="H298" s="103" t="str">
        <f aca="false">IF(A298="","",IF(G298="","غير محدد (Unassigned)",IFERROR(INDEX(Teachers!$C$6:$C$75,MATCH(G298,Teachers!$A$6:$A$75,0)),"؟ كود معلم غير موجود")))</f>
        <v>Ms Areig Khalil</v>
      </c>
      <c r="I298" s="104" t="s">
        <v>442</v>
      </c>
    </row>
    <row r="299" customFormat="false" ht="15" hidden="false" customHeight="false" outlineLevel="0" collapsed="false">
      <c r="A299" s="60" t="s">
        <v>791</v>
      </c>
      <c r="B299" s="102" t="str">
        <f aca="false">IF(A299="","","Year "&amp;VALUE(MID(A299,2,2)))</f>
        <v>Year 10</v>
      </c>
      <c r="C299" s="102" t="str">
        <f aca="false">IF(A299="","",MID(A299,4,FIND("/",A299)-4))</f>
        <v>ah</v>
      </c>
      <c r="D299" s="102" t="str">
        <f aca="false">IF(A299="","",MID(A299,FIND("/",A299)+1,2))</f>
        <v>Ib</v>
      </c>
      <c r="E299" s="103" t="str">
        <f aca="false">IF(A299="","",IFERROR(INDEX(SubjName,MATCH(D299,SubjCode,0)),"؟ رمز مادة غير معرّف في Settings"))</f>
        <v>Islamic B</v>
      </c>
      <c r="F299" s="102" t="str">
        <f aca="false">IF(A299="","",MID(A299,FIND("/",A299)+1,10))</f>
        <v>Ib2</v>
      </c>
      <c r="G299" s="63" t="s">
        <v>674</v>
      </c>
      <c r="H299" s="103" t="str">
        <f aca="false">IF(A299="","",IF(G299="","غير محدد (Unassigned)",IFERROR(INDEX(Teachers!$C$6:$C$75,MATCH(G299,Teachers!$A$6:$A$75,0)),"؟ كود معلم غير موجود")))</f>
        <v>Mr Aamer Gebreel</v>
      </c>
      <c r="I299" s="104" t="s">
        <v>442</v>
      </c>
    </row>
    <row r="300" customFormat="false" ht="15" hidden="false" customHeight="false" outlineLevel="0" collapsed="false">
      <c r="A300" s="60" t="s">
        <v>792</v>
      </c>
      <c r="B300" s="102" t="str">
        <f aca="false">IF(A300="","","Year "&amp;VALUE(MID(A300,2,2)))</f>
        <v>Year 10</v>
      </c>
      <c r="C300" s="102" t="str">
        <f aca="false">IF(A300="","",MID(A300,4,FIND("/",A300)-4))</f>
        <v>ah</v>
      </c>
      <c r="D300" s="102" t="str">
        <f aca="false">IF(A300="","",MID(A300,FIND("/",A300)+1,2))</f>
        <v>Ib</v>
      </c>
      <c r="E300" s="103" t="str">
        <f aca="false">IF(A300="","",IFERROR(INDEX(SubjName,MATCH(D300,SubjCode,0)),"؟ رمز مادة غير معرّف في Settings"))</f>
        <v>Islamic B</v>
      </c>
      <c r="F300" s="102" t="str">
        <f aca="false">IF(A300="","",MID(A300,FIND("/",A300)+1,10))</f>
        <v>Ib3</v>
      </c>
      <c r="G300" s="63" t="s">
        <v>676</v>
      </c>
      <c r="H300" s="103" t="str">
        <f aca="false">IF(A300="","",IF(G300="","غير محدد (Unassigned)",IFERROR(INDEX(Teachers!$C$6:$C$75,MATCH(G300,Teachers!$A$6:$A$75,0)),"؟ كود معلم غير موجود")))</f>
        <v>Mr Mahmoud Owais Hafiz</v>
      </c>
      <c r="I300" s="104" t="s">
        <v>442</v>
      </c>
    </row>
    <row r="301" customFormat="false" ht="15" hidden="false" customHeight="false" outlineLevel="0" collapsed="false">
      <c r="A301" s="60" t="s">
        <v>793</v>
      </c>
      <c r="B301" s="102" t="str">
        <f aca="false">IF(A301="","","Year "&amp;VALUE(MID(A301,2,2)))</f>
        <v>Year 10</v>
      </c>
      <c r="C301" s="102" t="str">
        <f aca="false">IF(A301="","",MID(A301,4,FIND("/",A301)-4))</f>
        <v>ah</v>
      </c>
      <c r="D301" s="102" t="str">
        <f aca="false">IF(A301="","",MID(A301,FIND("/",A301)+1,2))</f>
        <v>Ua</v>
      </c>
      <c r="E301" s="103" t="str">
        <f aca="false">IF(A301="","",IFERROR(INDEX(SubjName,MATCH(D301,SubjCode,0)),"؟ رمز مادة غير معرّف في Settings"))</f>
        <v>Ua (اسم المادة غير مؤكد)</v>
      </c>
      <c r="F301" s="102" t="str">
        <f aca="false">IF(A301="","",MID(A301,FIND("/",A301)+1,10))</f>
        <v>Ua1</v>
      </c>
      <c r="G301" s="63" t="s">
        <v>456</v>
      </c>
      <c r="H301" s="103" t="str">
        <f aca="false">IF(A301="","",IF(G301="","غير محدد (Unassigned)",IFERROR(INDEX(Teachers!$C$6:$C$75,MATCH(G301,Teachers!$A$6:$A$75,0)),"؟ كود معلم غير موجود")))</f>
        <v>Ms Hanaa Ferky Awadain</v>
      </c>
      <c r="I301" s="104" t="s">
        <v>442</v>
      </c>
    </row>
    <row r="302" customFormat="false" ht="15" hidden="false" customHeight="false" outlineLevel="0" collapsed="false">
      <c r="A302" s="60" t="s">
        <v>794</v>
      </c>
      <c r="B302" s="102" t="str">
        <f aca="false">IF(A302="","","Year "&amp;VALUE(MID(A302,2,2)))</f>
        <v>Year 10</v>
      </c>
      <c r="C302" s="102" t="str">
        <f aca="false">IF(A302="","",MID(A302,4,FIND("/",A302)-4))</f>
        <v>ah</v>
      </c>
      <c r="D302" s="102" t="str">
        <f aca="false">IF(A302="","",MID(A302,FIND("/",A302)+1,2))</f>
        <v>Ua</v>
      </c>
      <c r="E302" s="103" t="str">
        <f aca="false">IF(A302="","",IFERROR(INDEX(SubjName,MATCH(D302,SubjCode,0)),"؟ رمز مادة غير معرّف في Settings"))</f>
        <v>Ua (اسم المادة غير مؤكد)</v>
      </c>
      <c r="F302" s="102" t="str">
        <f aca="false">IF(A302="","",MID(A302,FIND("/",A302)+1,10))</f>
        <v>Ua2</v>
      </c>
      <c r="G302" s="63" t="s">
        <v>458</v>
      </c>
      <c r="H302" s="103" t="str">
        <f aca="false">IF(A302="","",IF(G302="","غير محدد (Unassigned)",IFERROR(INDEX(Teachers!$C$6:$C$75,MATCH(G302,Teachers!$A$6:$A$75,0)),"؟ كود معلم غير موجود")))</f>
        <v>Mr Abdou Ghazy</v>
      </c>
      <c r="I302" s="104" t="s">
        <v>442</v>
      </c>
    </row>
    <row r="303" customFormat="false" ht="15" hidden="false" customHeight="false" outlineLevel="0" collapsed="false">
      <c r="A303" s="60" t="s">
        <v>795</v>
      </c>
      <c r="B303" s="102" t="str">
        <f aca="false">IF(A303="","","Year "&amp;VALUE(MID(A303,2,2)))</f>
        <v>Year 10</v>
      </c>
      <c r="C303" s="102" t="str">
        <f aca="false">IF(A303="","",MID(A303,4,FIND("/",A303)-4))</f>
        <v>ah</v>
      </c>
      <c r="D303" s="102" t="str">
        <f aca="false">IF(A303="","",MID(A303,FIND("/",A303)+1,2))</f>
        <v>Ua</v>
      </c>
      <c r="E303" s="103" t="str">
        <f aca="false">IF(A303="","",IFERROR(INDEX(SubjName,MATCH(D303,SubjCode,0)),"؟ رمز مادة غير معرّف في Settings"))</f>
        <v>Ua (اسم المادة غير مؤكد)</v>
      </c>
      <c r="F303" s="102" t="str">
        <f aca="false">IF(A303="","",MID(A303,FIND("/",A303)+1,10))</f>
        <v>Ua3</v>
      </c>
      <c r="G303" s="63" t="s">
        <v>616</v>
      </c>
      <c r="H303" s="103" t="str">
        <f aca="false">IF(A303="","",IF(G303="","غير محدد (Unassigned)",IFERROR(INDEX(Teachers!$C$6:$C$75,MATCH(G303,Teachers!$A$6:$A$75,0)),"؟ كود معلم غير موجود")))</f>
        <v>Mr Wajdi Al Najjad</v>
      </c>
      <c r="I303" s="104" t="s">
        <v>442</v>
      </c>
    </row>
    <row r="304" customFormat="false" ht="15" hidden="false" customHeight="false" outlineLevel="0" collapsed="false">
      <c r="A304" s="60" t="s">
        <v>796</v>
      </c>
      <c r="B304" s="102" t="str">
        <f aca="false">IF(A304="","","Year "&amp;VALUE(MID(A304,2,2)))</f>
        <v>Year 10</v>
      </c>
      <c r="C304" s="102" t="str">
        <f aca="false">IF(A304="","",MID(A304,4,FIND("/",A304)-4))</f>
        <v>ip</v>
      </c>
      <c r="D304" s="102" t="str">
        <f aca="false">IF(A304="","",MID(A304,FIND("/",A304)+1,2))</f>
        <v>Aa</v>
      </c>
      <c r="E304" s="103" t="str">
        <f aca="false">IF(A304="","",IFERROR(INDEX(SubjName,MATCH(D304,SubjCode,0)),"؟ رمز مادة غير معرّف في Settings"))</f>
        <v>Arabic A</v>
      </c>
      <c r="F304" s="102" t="str">
        <f aca="false">IF(A304="","",MID(A304,FIND("/",A304)+1,10))</f>
        <v>Aa1</v>
      </c>
      <c r="G304" s="63" t="s">
        <v>778</v>
      </c>
      <c r="H304" s="103" t="str">
        <f aca="false">IF(A304="","",IF(G304="","غير محدد (Unassigned)",IFERROR(INDEX(Teachers!$C$6:$C$75,MATCH(G304,Teachers!$A$6:$A$75,0)),"؟ كود معلم غير موجود")))</f>
        <v>Mr Ayman Bobo</v>
      </c>
      <c r="I304" s="104" t="s">
        <v>442</v>
      </c>
    </row>
    <row r="305" customFormat="false" ht="15" hidden="false" customHeight="false" outlineLevel="0" collapsed="false">
      <c r="A305" s="60" t="s">
        <v>797</v>
      </c>
      <c r="B305" s="102" t="str">
        <f aca="false">IF(A305="","","Year "&amp;VALUE(MID(A305,2,2)))</f>
        <v>Year 10</v>
      </c>
      <c r="C305" s="102" t="str">
        <f aca="false">IF(A305="","",MID(A305,4,FIND("/",A305)-4))</f>
        <v>ip</v>
      </c>
      <c r="D305" s="102" t="str">
        <f aca="false">IF(A305="","",MID(A305,FIND("/",A305)+1,2))</f>
        <v>Aa</v>
      </c>
      <c r="E305" s="103" t="str">
        <f aca="false">IF(A305="","",IFERROR(INDEX(SubjName,MATCH(D305,SubjCode,0)),"؟ رمز مادة غير معرّف في Settings"))</f>
        <v>Arabic A</v>
      </c>
      <c r="F305" s="102" t="str">
        <f aca="false">IF(A305="","",MID(A305,FIND("/",A305)+1,10))</f>
        <v>Aa2</v>
      </c>
      <c r="G305" s="63" t="s">
        <v>739</v>
      </c>
      <c r="H305" s="103" t="str">
        <f aca="false">IF(A305="","",IF(G305="","غير محدد (Unassigned)",IFERROR(INDEX(Teachers!$C$6:$C$75,MATCH(G305,Teachers!$A$6:$A$75,0)),"؟ كود معلم غير موجود")))</f>
        <v>Mr Elsaid A Eltantawi</v>
      </c>
      <c r="I305" s="104" t="s">
        <v>442</v>
      </c>
    </row>
    <row r="306" customFormat="false" ht="15" hidden="false" customHeight="false" outlineLevel="0" collapsed="false">
      <c r="A306" s="60" t="s">
        <v>798</v>
      </c>
      <c r="B306" s="102" t="str">
        <f aca="false">IF(A306="","","Year "&amp;VALUE(MID(A306,2,2)))</f>
        <v>Year 10</v>
      </c>
      <c r="C306" s="102" t="str">
        <f aca="false">IF(A306="","",MID(A306,4,FIND("/",A306)-4))</f>
        <v>ip</v>
      </c>
      <c r="D306" s="102" t="str">
        <f aca="false">IF(A306="","",MID(A306,FIND("/",A306)+1,2))</f>
        <v>Aa</v>
      </c>
      <c r="E306" s="103" t="str">
        <f aca="false">IF(A306="","",IFERROR(INDEX(SubjName,MATCH(D306,SubjCode,0)),"؟ رمز مادة غير معرّف في Settings"))</f>
        <v>Arabic A</v>
      </c>
      <c r="F306" s="102" t="str">
        <f aca="false">IF(A306="","",MID(A306,FIND("/",A306)+1,10))</f>
        <v>Aa3</v>
      </c>
      <c r="G306" s="63" t="s">
        <v>737</v>
      </c>
      <c r="H306" s="103" t="str">
        <f aca="false">IF(A306="","",IF(G306="","غير محدد (Unassigned)",IFERROR(INDEX(Teachers!$C$6:$C$75,MATCH(G306,Teachers!$A$6:$A$75,0)),"؟ كود معلم غير موجود")))</f>
        <v>Mr Ahmed AbdelmonemElsye</v>
      </c>
      <c r="I306" s="104" t="s">
        <v>442</v>
      </c>
    </row>
    <row r="307" customFormat="false" ht="15" hidden="false" customHeight="false" outlineLevel="0" collapsed="false">
      <c r="A307" s="60" t="s">
        <v>799</v>
      </c>
      <c r="B307" s="102" t="str">
        <f aca="false">IF(A307="","","Year "&amp;VALUE(MID(A307,2,2)))</f>
        <v>Year 10</v>
      </c>
      <c r="C307" s="102" t="str">
        <f aca="false">IF(A307="","",MID(A307,4,FIND("/",A307)-4))</f>
        <v>ip</v>
      </c>
      <c r="D307" s="102" t="str">
        <f aca="false">IF(A307="","",MID(A307,FIND("/",A307)+1,2))</f>
        <v>Ab</v>
      </c>
      <c r="E307" s="103" t="str">
        <f aca="false">IF(A307="","",IFERROR(INDEX(SubjName,MATCH(D307,SubjCode,0)),"؟ رمز مادة غير معرّف في Settings"))</f>
        <v>Arabic B</v>
      </c>
      <c r="F307" s="102" t="str">
        <f aca="false">IF(A307="","",MID(A307,FIND("/",A307)+1,10))</f>
        <v>Ab1</v>
      </c>
      <c r="G307" s="63" t="s">
        <v>658</v>
      </c>
      <c r="H307" s="103" t="str">
        <f aca="false">IF(A307="","",IF(G307="","غير محدد (Unassigned)",IFERROR(INDEX(Teachers!$C$6:$C$75,MATCH(G307,Teachers!$A$6:$A$75,0)),"؟ كود معلم غير موجود")))</f>
        <v>Ms Mona M Abobaker</v>
      </c>
      <c r="I307" s="104" t="s">
        <v>442</v>
      </c>
    </row>
    <row r="308" customFormat="false" ht="15" hidden="false" customHeight="false" outlineLevel="0" collapsed="false">
      <c r="A308" s="60" t="s">
        <v>800</v>
      </c>
      <c r="B308" s="102" t="str">
        <f aca="false">IF(A308="","","Year "&amp;VALUE(MID(A308,2,2)))</f>
        <v>Year 10</v>
      </c>
      <c r="C308" s="102" t="str">
        <f aca="false">IF(A308="","",MID(A308,4,FIND("/",A308)-4))</f>
        <v>ip</v>
      </c>
      <c r="D308" s="102" t="str">
        <f aca="false">IF(A308="","",MID(A308,FIND("/",A308)+1,2))</f>
        <v>Ab</v>
      </c>
      <c r="E308" s="103" t="str">
        <f aca="false">IF(A308="","",IFERROR(INDEX(SubjName,MATCH(D308,SubjCode,0)),"؟ رمز مادة غير معرّف في Settings"))</f>
        <v>Arabic B</v>
      </c>
      <c r="F308" s="102" t="str">
        <f aca="false">IF(A308="","",MID(A308,FIND("/",A308)+1,10))</f>
        <v>Ab2</v>
      </c>
      <c r="G308" s="63" t="s">
        <v>731</v>
      </c>
      <c r="H308" s="103" t="str">
        <f aca="false">IF(A308="","",IF(G308="","غير محدد (Unassigned)",IFERROR(INDEX(Teachers!$C$6:$C$75,MATCH(G308,Teachers!$A$6:$A$75,0)),"؟ كود معلم غير موجود")))</f>
        <v>Ms Maha M A Mannaa</v>
      </c>
      <c r="I308" s="104" t="s">
        <v>442</v>
      </c>
    </row>
    <row r="309" customFormat="false" ht="15" hidden="false" customHeight="false" outlineLevel="0" collapsed="false">
      <c r="A309" s="60" t="s">
        <v>801</v>
      </c>
      <c r="B309" s="102" t="str">
        <f aca="false">IF(A309="","","Year "&amp;VALUE(MID(A309,2,2)))</f>
        <v>Year 10</v>
      </c>
      <c r="C309" s="102" t="str">
        <f aca="false">IF(A309="","",MID(A309,4,FIND("/",A309)-4))</f>
        <v>ip</v>
      </c>
      <c r="D309" s="102" t="str">
        <f aca="false">IF(A309="","",MID(A309,FIND("/",A309)+1,2))</f>
        <v>Ab</v>
      </c>
      <c r="E309" s="103" t="str">
        <f aca="false">IF(A309="","",IFERROR(INDEX(SubjName,MATCH(D309,SubjCode,0)),"؟ رمز مادة غير معرّف في Settings"))</f>
        <v>Arabic B</v>
      </c>
      <c r="F309" s="102" t="str">
        <f aca="false">IF(A309="","",MID(A309,FIND("/",A309)+1,10))</f>
        <v>Ab3</v>
      </c>
      <c r="G309" s="63" t="s">
        <v>660</v>
      </c>
      <c r="H309" s="103" t="str">
        <f aca="false">IF(A309="","",IF(G309="","غير محدد (Unassigned)",IFERROR(INDEX(Teachers!$C$6:$C$75,MATCH(G309,Teachers!$A$6:$A$75,0)),"؟ كود معلم غير موجود")))</f>
        <v>Mr Kareem Mohamed</v>
      </c>
      <c r="I309" s="104" t="s">
        <v>442</v>
      </c>
    </row>
    <row r="310" customFormat="false" ht="15" hidden="false" customHeight="false" outlineLevel="0" collapsed="false">
      <c r="A310" s="60" t="s">
        <v>802</v>
      </c>
      <c r="B310" s="102" t="str">
        <f aca="false">IF(A310="","","Year "&amp;VALUE(MID(A310,2,2)))</f>
        <v>Year 10</v>
      </c>
      <c r="C310" s="102" t="str">
        <f aca="false">IF(A310="","",MID(A310,4,FIND("/",A310)-4))</f>
        <v>ip</v>
      </c>
      <c r="D310" s="102" t="str">
        <f aca="false">IF(A310="","",MID(A310,FIND("/",A310)+1,2))</f>
        <v>Ab</v>
      </c>
      <c r="E310" s="103" t="str">
        <f aca="false">IF(A310="","",IFERROR(INDEX(SubjName,MATCH(D310,SubjCode,0)),"؟ رمز مادة غير معرّف في Settings"))</f>
        <v>Arabic B</v>
      </c>
      <c r="F310" s="102" t="str">
        <f aca="false">IF(A310="","",MID(A310,FIND("/",A310)+1,10))</f>
        <v>Ab4</v>
      </c>
      <c r="G310" s="63" t="s">
        <v>717</v>
      </c>
      <c r="H310" s="103" t="str">
        <f aca="false">IF(A310="","",IF(G310="","غير محدد (Unassigned)",IFERROR(INDEX(Teachers!$C$6:$C$75,MATCH(G310,Teachers!$A$6:$A$75,0)),"؟ كود معلم غير موجود")))</f>
        <v>Mr Yahia FouadHossni</v>
      </c>
      <c r="I310" s="104" t="s">
        <v>442</v>
      </c>
    </row>
    <row r="311" customFormat="false" ht="15" hidden="false" customHeight="false" outlineLevel="0" collapsed="false">
      <c r="A311" s="60" t="s">
        <v>803</v>
      </c>
      <c r="B311" s="102" t="str">
        <f aca="false">IF(A311="","","Year "&amp;VALUE(MID(A311,2,2)))</f>
        <v>Year 10</v>
      </c>
      <c r="C311" s="102" t="str">
        <f aca="false">IF(A311="","",MID(A311,4,FIND("/",A311)-4))</f>
        <v>ip</v>
      </c>
      <c r="D311" s="102" t="str">
        <f aca="false">IF(A311="","",MID(A311,FIND("/",A311)+1,2))</f>
        <v>Ab</v>
      </c>
      <c r="E311" s="103" t="str">
        <f aca="false">IF(A311="","",IFERROR(INDEX(SubjName,MATCH(D311,SubjCode,0)),"؟ رمز مادة غير معرّف في Settings"))</f>
        <v>Arabic B</v>
      </c>
      <c r="F311" s="102" t="str">
        <f aca="false">IF(A311="","",MID(A311,FIND("/",A311)+1,10))</f>
        <v>Ab5</v>
      </c>
      <c r="G311" s="63" t="s">
        <v>703</v>
      </c>
      <c r="H311" s="103" t="str">
        <f aca="false">IF(A311="","",IF(G311="","غير محدد (Unassigned)",IFERROR(INDEX(Teachers!$C$6:$C$75,MATCH(G311,Teachers!$A$6:$A$75,0)),"؟ كود معلم غير موجود")))</f>
        <v>Ms Shaymaa Elnabarawy</v>
      </c>
      <c r="I311" s="104" t="s">
        <v>442</v>
      </c>
    </row>
    <row r="312" customFormat="false" ht="15" hidden="false" customHeight="false" outlineLevel="0" collapsed="false">
      <c r="A312" s="60" t="s">
        <v>804</v>
      </c>
      <c r="B312" s="102" t="str">
        <f aca="false">IF(A312="","","Year "&amp;VALUE(MID(A312,2,2)))</f>
        <v>Year 10</v>
      </c>
      <c r="C312" s="102" t="str">
        <f aca="false">IF(A312="","",MID(A312,4,FIND("/",A312)-4))</f>
        <v>ip</v>
      </c>
      <c r="D312" s="102" t="str">
        <f aca="false">IF(A312="","",MID(A312,FIND("/",A312)+1,2))</f>
        <v>Ab</v>
      </c>
      <c r="E312" s="103" t="str">
        <f aca="false">IF(A312="","",IFERROR(INDEX(SubjName,MATCH(D312,SubjCode,0)),"؟ رمز مادة غير معرّف في Settings"))</f>
        <v>Arabic B</v>
      </c>
      <c r="F312" s="102" t="str">
        <f aca="false">IF(A312="","",MID(A312,FIND("/",A312)+1,10))</f>
        <v>Ab6</v>
      </c>
      <c r="G312" s="63" t="s">
        <v>664</v>
      </c>
      <c r="H312" s="103" t="str">
        <f aca="false">IF(A312="","",IF(G312="","غير محدد (Unassigned)",IFERROR(INDEX(Teachers!$C$6:$C$75,MATCH(G312,Teachers!$A$6:$A$75,0)),"؟ كود معلم غير موجود")))</f>
        <v>Mr Mohamed Amin Mounes</v>
      </c>
      <c r="I312" s="104" t="s">
        <v>442</v>
      </c>
    </row>
    <row r="313" customFormat="false" ht="15" hidden="false" customHeight="false" outlineLevel="0" collapsed="false">
      <c r="A313" s="60" t="s">
        <v>805</v>
      </c>
      <c r="B313" s="102" t="str">
        <f aca="false">IF(A313="","","Year "&amp;VALUE(MID(A313,2,2)))</f>
        <v>Year 10</v>
      </c>
      <c r="C313" s="102" t="str">
        <f aca="false">IF(A313="","",MID(A313,4,FIND("/",A313)-4))</f>
        <v>ip</v>
      </c>
      <c r="D313" s="102" t="str">
        <f aca="false">IF(A313="","",MID(A313,FIND("/",A313)+1,2))</f>
        <v>Ia</v>
      </c>
      <c r="E313" s="103" t="str">
        <f aca="false">IF(A313="","",IFERROR(INDEX(SubjName,MATCH(D313,SubjCode,0)),"؟ رمز مادة غير معرّف في Settings"))</f>
        <v>Islamic A</v>
      </c>
      <c r="F313" s="102" t="str">
        <f aca="false">IF(A313="","",MID(A313,FIND("/",A313)+1,10))</f>
        <v>Ia1</v>
      </c>
      <c r="G313" s="63" t="s">
        <v>723</v>
      </c>
      <c r="H313" s="103" t="str">
        <f aca="false">IF(A313="","",IF(G313="","غير محدد (Unassigned)",IFERROR(INDEX(Teachers!$C$6:$C$75,MATCH(G313,Teachers!$A$6:$A$75,0)),"؟ كود معلم غير موجود")))</f>
        <v>Ms Ola Alhaj Ali</v>
      </c>
      <c r="I313" s="104" t="s">
        <v>442</v>
      </c>
    </row>
    <row r="314" customFormat="false" ht="15" hidden="false" customHeight="false" outlineLevel="0" collapsed="false">
      <c r="A314" s="60" t="s">
        <v>806</v>
      </c>
      <c r="B314" s="102" t="str">
        <f aca="false">IF(A314="","","Year "&amp;VALUE(MID(A314,2,2)))</f>
        <v>Year 10</v>
      </c>
      <c r="C314" s="102" t="str">
        <f aca="false">IF(A314="","",MID(A314,4,FIND("/",A314)-4))</f>
        <v>ip</v>
      </c>
      <c r="D314" s="102" t="str">
        <f aca="false">IF(A314="","",MID(A314,FIND("/",A314)+1,2))</f>
        <v>Ia</v>
      </c>
      <c r="E314" s="103" t="str">
        <f aca="false">IF(A314="","",IFERROR(INDEX(SubjName,MATCH(D314,SubjCode,0)),"؟ رمز مادة غير معرّف في Settings"))</f>
        <v>Islamic A</v>
      </c>
      <c r="F314" s="102" t="str">
        <f aca="false">IF(A314="","",MID(A314,FIND("/",A314)+1,10))</f>
        <v>Ia2</v>
      </c>
      <c r="G314" s="63" t="s">
        <v>668</v>
      </c>
      <c r="H314" s="103" t="str">
        <f aca="false">IF(A314="","",IF(G314="","غير محدد (Unassigned)",IFERROR(INDEX(Teachers!$C$6:$C$75,MATCH(G314,Teachers!$A$6:$A$75,0)),"؟ كود معلم غير موجود")))</f>
        <v>Mr Elsayed A M Hassan</v>
      </c>
      <c r="I314" s="104" t="s">
        <v>442</v>
      </c>
    </row>
    <row r="315" customFormat="false" ht="15" hidden="false" customHeight="false" outlineLevel="0" collapsed="false">
      <c r="A315" s="60" t="s">
        <v>807</v>
      </c>
      <c r="B315" s="102" t="str">
        <f aca="false">IF(A315="","","Year "&amp;VALUE(MID(A315,2,2)))</f>
        <v>Year 10</v>
      </c>
      <c r="C315" s="102" t="str">
        <f aca="false">IF(A315="","",MID(A315,4,FIND("/",A315)-4))</f>
        <v>ip</v>
      </c>
      <c r="D315" s="102" t="str">
        <f aca="false">IF(A315="","",MID(A315,FIND("/",A315)+1,2))</f>
        <v>Ib</v>
      </c>
      <c r="E315" s="103" t="str">
        <f aca="false">IF(A315="","",IFERROR(INDEX(SubjName,MATCH(D315,SubjCode,0)),"؟ رمز مادة غير معرّف في Settings"))</f>
        <v>Islamic B</v>
      </c>
      <c r="F315" s="102" t="str">
        <f aca="false">IF(A315="","",MID(A315,FIND("/",A315)+1,10))</f>
        <v>Ib1</v>
      </c>
      <c r="G315" s="63" t="s">
        <v>672</v>
      </c>
      <c r="H315" s="103" t="str">
        <f aca="false">IF(A315="","",IF(G315="","غير محدد (Unassigned)",IFERROR(INDEX(Teachers!$C$6:$C$75,MATCH(G315,Teachers!$A$6:$A$75,0)),"؟ كود معلم غير موجود")))</f>
        <v>Mr Mahmoud Ahmed Naeem</v>
      </c>
      <c r="I315" s="104" t="s">
        <v>442</v>
      </c>
    </row>
    <row r="316" customFormat="false" ht="15" hidden="false" customHeight="false" outlineLevel="0" collapsed="false">
      <c r="A316" s="60" t="s">
        <v>808</v>
      </c>
      <c r="B316" s="102" t="str">
        <f aca="false">IF(A316="","","Year "&amp;VALUE(MID(A316,2,2)))</f>
        <v>Year 10</v>
      </c>
      <c r="C316" s="102" t="str">
        <f aca="false">IF(A316="","",MID(A316,4,FIND("/",A316)-4))</f>
        <v>ip</v>
      </c>
      <c r="D316" s="102" t="str">
        <f aca="false">IF(A316="","",MID(A316,FIND("/",A316)+1,2))</f>
        <v>Ib</v>
      </c>
      <c r="E316" s="103" t="str">
        <f aca="false">IF(A316="","",IFERROR(INDEX(SubjName,MATCH(D316,SubjCode,0)),"؟ رمز مادة غير معرّف في Settings"))</f>
        <v>Islamic B</v>
      </c>
      <c r="F316" s="102" t="str">
        <f aca="false">IF(A316="","",MID(A316,FIND("/",A316)+1,10))</f>
        <v>Ib2</v>
      </c>
      <c r="G316" s="63" t="s">
        <v>674</v>
      </c>
      <c r="H316" s="103" t="str">
        <f aca="false">IF(A316="","",IF(G316="","غير محدد (Unassigned)",IFERROR(INDEX(Teachers!$C$6:$C$75,MATCH(G316,Teachers!$A$6:$A$75,0)),"؟ كود معلم غير موجود")))</f>
        <v>Mr Aamer Gebreel</v>
      </c>
      <c r="I316" s="104" t="s">
        <v>442</v>
      </c>
    </row>
    <row r="317" customFormat="false" ht="15" hidden="false" customHeight="false" outlineLevel="0" collapsed="false">
      <c r="A317" s="60" t="s">
        <v>809</v>
      </c>
      <c r="B317" s="102" t="str">
        <f aca="false">IF(A317="","","Year "&amp;VALUE(MID(A317,2,2)))</f>
        <v>Year 10</v>
      </c>
      <c r="C317" s="102" t="str">
        <f aca="false">IF(A317="","",MID(A317,4,FIND("/",A317)-4))</f>
        <v>ip</v>
      </c>
      <c r="D317" s="102" t="str">
        <f aca="false">IF(A317="","",MID(A317,FIND("/",A317)+1,2))</f>
        <v>Ib</v>
      </c>
      <c r="E317" s="103" t="str">
        <f aca="false">IF(A317="","",IFERROR(INDEX(SubjName,MATCH(D317,SubjCode,0)),"؟ رمز مادة غير معرّف في Settings"))</f>
        <v>Islamic B</v>
      </c>
      <c r="F317" s="102" t="str">
        <f aca="false">IF(A317="","",MID(A317,FIND("/",A317)+1,10))</f>
        <v>Ib3</v>
      </c>
      <c r="G317" s="63" t="s">
        <v>676</v>
      </c>
      <c r="H317" s="103" t="str">
        <f aca="false">IF(A317="","",IF(G317="","غير محدد (Unassigned)",IFERROR(INDEX(Teachers!$C$6:$C$75,MATCH(G317,Teachers!$A$6:$A$75,0)),"؟ كود معلم غير موجود")))</f>
        <v>Mr Mahmoud Owais Hafiz</v>
      </c>
      <c r="I317" s="104" t="s">
        <v>442</v>
      </c>
    </row>
    <row r="318" customFormat="false" ht="15" hidden="false" customHeight="false" outlineLevel="0" collapsed="false">
      <c r="A318" s="60" t="s">
        <v>810</v>
      </c>
      <c r="B318" s="102" t="str">
        <f aca="false">IF(A318="","","Year "&amp;VALUE(MID(A318,2,2)))</f>
        <v>Year 10</v>
      </c>
      <c r="C318" s="102" t="str">
        <f aca="false">IF(A318="","",MID(A318,4,FIND("/",A318)-4))</f>
        <v>ip</v>
      </c>
      <c r="D318" s="102" t="str">
        <f aca="false">IF(A318="","",MID(A318,FIND("/",A318)+1,2))</f>
        <v>Ua</v>
      </c>
      <c r="E318" s="103" t="str">
        <f aca="false">IF(A318="","",IFERROR(INDEX(SubjName,MATCH(D318,SubjCode,0)),"؟ رمز مادة غير معرّف في Settings"))</f>
        <v>Ua (اسم المادة غير مؤكد)</v>
      </c>
      <c r="F318" s="102" t="str">
        <f aca="false">IF(A318="","",MID(A318,FIND("/",A318)+1,10))</f>
        <v>Ua1</v>
      </c>
      <c r="G318" s="63" t="s">
        <v>456</v>
      </c>
      <c r="H318" s="103" t="str">
        <f aca="false">IF(A318="","",IF(G318="","غير محدد (Unassigned)",IFERROR(INDEX(Teachers!$C$6:$C$75,MATCH(G318,Teachers!$A$6:$A$75,0)),"؟ كود معلم غير موجود")))</f>
        <v>Ms Hanaa Ferky Awadain</v>
      </c>
      <c r="I318" s="104" t="s">
        <v>442</v>
      </c>
    </row>
    <row r="319" customFormat="false" ht="15" hidden="false" customHeight="false" outlineLevel="0" collapsed="false">
      <c r="A319" s="60" t="s">
        <v>811</v>
      </c>
      <c r="B319" s="102" t="str">
        <f aca="false">IF(A319="","","Year "&amp;VALUE(MID(A319,2,2)))</f>
        <v>Year 10</v>
      </c>
      <c r="C319" s="102" t="str">
        <f aca="false">IF(A319="","",MID(A319,4,FIND("/",A319)-4))</f>
        <v>ip</v>
      </c>
      <c r="D319" s="102" t="str">
        <f aca="false">IF(A319="","",MID(A319,FIND("/",A319)+1,2))</f>
        <v>Ua</v>
      </c>
      <c r="E319" s="103" t="str">
        <f aca="false">IF(A319="","",IFERROR(INDEX(SubjName,MATCH(D319,SubjCode,0)),"؟ رمز مادة غير معرّف في Settings"))</f>
        <v>Ua (اسم المادة غير مؤكد)</v>
      </c>
      <c r="F319" s="102" t="str">
        <f aca="false">IF(A319="","",MID(A319,FIND("/",A319)+1,10))</f>
        <v>Ua2</v>
      </c>
      <c r="G319" s="63" t="s">
        <v>458</v>
      </c>
      <c r="H319" s="103" t="str">
        <f aca="false">IF(A319="","",IF(G319="","غير محدد (Unassigned)",IFERROR(INDEX(Teachers!$C$6:$C$75,MATCH(G319,Teachers!$A$6:$A$75,0)),"؟ كود معلم غير موجود")))</f>
        <v>Mr Abdou Ghazy</v>
      </c>
      <c r="I319" s="104" t="s">
        <v>442</v>
      </c>
    </row>
    <row r="320" customFormat="false" ht="15" hidden="false" customHeight="false" outlineLevel="0" collapsed="false">
      <c r="A320" s="60" t="s">
        <v>812</v>
      </c>
      <c r="B320" s="102" t="str">
        <f aca="false">IF(A320="","","Year "&amp;VALUE(MID(A320,2,2)))</f>
        <v>Year 10</v>
      </c>
      <c r="C320" s="102" t="str">
        <f aca="false">IF(A320="","",MID(A320,4,FIND("/",A320)-4))</f>
        <v>ip</v>
      </c>
      <c r="D320" s="102" t="str">
        <f aca="false">IF(A320="","",MID(A320,FIND("/",A320)+1,2))</f>
        <v>Ua</v>
      </c>
      <c r="E320" s="103" t="str">
        <f aca="false">IF(A320="","",IFERROR(INDEX(SubjName,MATCH(D320,SubjCode,0)),"؟ رمز مادة غير معرّف في Settings"))</f>
        <v>Ua (اسم المادة غير مؤكد)</v>
      </c>
      <c r="F320" s="102" t="str">
        <f aca="false">IF(A320="","",MID(A320,FIND("/",A320)+1,10))</f>
        <v>Ua3</v>
      </c>
      <c r="G320" s="63" t="s">
        <v>616</v>
      </c>
      <c r="H320" s="103" t="str">
        <f aca="false">IF(A320="","",IF(G320="","غير محدد (Unassigned)",IFERROR(INDEX(Teachers!$C$6:$C$75,MATCH(G320,Teachers!$A$6:$A$75,0)),"؟ كود معلم غير موجود")))</f>
        <v>Mr Wajdi Al Najjad</v>
      </c>
      <c r="I320" s="104" t="s">
        <v>442</v>
      </c>
    </row>
    <row r="321" customFormat="false" ht="15" hidden="false" customHeight="false" outlineLevel="0" collapsed="false">
      <c r="A321" s="60" t="s">
        <v>813</v>
      </c>
      <c r="B321" s="102" t="str">
        <f aca="false">IF(A321="","","Year "&amp;VALUE(MID(A321,2,2)))</f>
        <v>Year 11</v>
      </c>
      <c r="C321" s="102" t="str">
        <f aca="false">IF(A321="","",MID(A321,4,FIND("/",A321)-4))</f>
        <v>ag</v>
      </c>
      <c r="D321" s="102" t="str">
        <f aca="false">IF(A321="","",MID(A321,FIND("/",A321)+1,2))</f>
        <v>Aa</v>
      </c>
      <c r="E321" s="103" t="str">
        <f aca="false">IF(A321="","",IFERROR(INDEX(SubjName,MATCH(D321,SubjCode,0)),"؟ رمز مادة غير معرّف في Settings"))</f>
        <v>Arabic A</v>
      </c>
      <c r="F321" s="102" t="str">
        <f aca="false">IF(A321="","",MID(A321,FIND("/",A321)+1,10))</f>
        <v>Aa1</v>
      </c>
      <c r="G321" s="63" t="s">
        <v>778</v>
      </c>
      <c r="H321" s="103" t="str">
        <f aca="false">IF(A321="","",IF(G321="","غير محدد (Unassigned)",IFERROR(INDEX(Teachers!$C$6:$C$75,MATCH(G321,Teachers!$A$6:$A$75,0)),"؟ كود معلم غير موجود")))</f>
        <v>Mr Ayman Bobo</v>
      </c>
      <c r="I321" s="104" t="s">
        <v>442</v>
      </c>
    </row>
    <row r="322" customFormat="false" ht="15" hidden="false" customHeight="false" outlineLevel="0" collapsed="false">
      <c r="A322" s="60" t="s">
        <v>814</v>
      </c>
      <c r="B322" s="102" t="str">
        <f aca="false">IF(A322="","","Year "&amp;VALUE(MID(A322,2,2)))</f>
        <v>Year 11</v>
      </c>
      <c r="C322" s="102" t="str">
        <f aca="false">IF(A322="","",MID(A322,4,FIND("/",A322)-4))</f>
        <v>ag</v>
      </c>
      <c r="D322" s="102" t="str">
        <f aca="false">IF(A322="","",MID(A322,FIND("/",A322)+1,2))</f>
        <v>Aa</v>
      </c>
      <c r="E322" s="103" t="str">
        <f aca="false">IF(A322="","",IFERROR(INDEX(SubjName,MATCH(D322,SubjCode,0)),"؟ رمز مادة غير معرّف في Settings"))</f>
        <v>Arabic A</v>
      </c>
      <c r="F322" s="102" t="str">
        <f aca="false">IF(A322="","",MID(A322,FIND("/",A322)+1,10))</f>
        <v>Aa2</v>
      </c>
      <c r="G322" s="63" t="s">
        <v>739</v>
      </c>
      <c r="H322" s="103" t="str">
        <f aca="false">IF(A322="","",IF(G322="","غير محدد (Unassigned)",IFERROR(INDEX(Teachers!$C$6:$C$75,MATCH(G322,Teachers!$A$6:$A$75,0)),"؟ كود معلم غير موجود")))</f>
        <v>Mr Elsaid A Eltantawi</v>
      </c>
      <c r="I322" s="104" t="s">
        <v>442</v>
      </c>
    </row>
    <row r="323" customFormat="false" ht="15" hidden="false" customHeight="false" outlineLevel="0" collapsed="false">
      <c r="A323" s="60" t="s">
        <v>815</v>
      </c>
      <c r="B323" s="102" t="str">
        <f aca="false">IF(A323="","","Year "&amp;VALUE(MID(A323,2,2)))</f>
        <v>Year 11</v>
      </c>
      <c r="C323" s="102" t="str">
        <f aca="false">IF(A323="","",MID(A323,4,FIND("/",A323)-4))</f>
        <v>ag</v>
      </c>
      <c r="D323" s="102" t="str">
        <f aca="false">IF(A323="","",MID(A323,FIND("/",A323)+1,2))</f>
        <v>Aa</v>
      </c>
      <c r="E323" s="103" t="str">
        <f aca="false">IF(A323="","",IFERROR(INDEX(SubjName,MATCH(D323,SubjCode,0)),"؟ رمز مادة غير معرّف في Settings"))</f>
        <v>Arabic A</v>
      </c>
      <c r="F323" s="102" t="str">
        <f aca="false">IF(A323="","",MID(A323,FIND("/",A323)+1,10))</f>
        <v>Aa3</v>
      </c>
      <c r="G323" s="63" t="s">
        <v>816</v>
      </c>
      <c r="H323" s="103" t="str">
        <f aca="false">IF(A323="","",IF(G323="","غير محدد (Unassigned)",IFERROR(INDEX(Teachers!$C$6:$C$75,MATCH(G323,Teachers!$A$6:$A$75,0)),"؟ كود معلم غير موجود")))</f>
        <v>Mr Elsayed M E Youssef</v>
      </c>
      <c r="I323" s="104" t="s">
        <v>442</v>
      </c>
    </row>
    <row r="324" customFormat="false" ht="15" hidden="false" customHeight="false" outlineLevel="0" collapsed="false">
      <c r="A324" s="60" t="s">
        <v>817</v>
      </c>
      <c r="B324" s="102" t="str">
        <f aca="false">IF(A324="","","Year "&amp;VALUE(MID(A324,2,2)))</f>
        <v>Year 11</v>
      </c>
      <c r="C324" s="102" t="str">
        <f aca="false">IF(A324="","",MID(A324,4,FIND("/",A324)-4))</f>
        <v>ag</v>
      </c>
      <c r="D324" s="102" t="str">
        <f aca="false">IF(A324="","",MID(A324,FIND("/",A324)+1,2))</f>
        <v>Ia</v>
      </c>
      <c r="E324" s="103" t="str">
        <f aca="false">IF(A324="","",IFERROR(INDEX(SubjName,MATCH(D324,SubjCode,0)),"؟ رمز مادة غير معرّف في Settings"))</f>
        <v>Islamic A</v>
      </c>
      <c r="F324" s="102" t="str">
        <f aca="false">IF(A324="","",MID(A324,FIND("/",A324)+1,10))</f>
        <v>Ia1</v>
      </c>
      <c r="G324" s="63" t="s">
        <v>670</v>
      </c>
      <c r="H324" s="103" t="str">
        <f aca="false">IF(A324="","",IF(G324="","غير محدد (Unassigned)",IFERROR(INDEX(Teachers!$C$6:$C$75,MATCH(G324,Teachers!$A$6:$A$75,0)),"؟ كود معلم غير موجود")))</f>
        <v>Mr Yaseen Ahmed Zaki</v>
      </c>
      <c r="I324" s="104" t="s">
        <v>442</v>
      </c>
    </row>
    <row r="325" customFormat="false" ht="15" hidden="false" customHeight="false" outlineLevel="0" collapsed="false">
      <c r="A325" s="60" t="s">
        <v>818</v>
      </c>
      <c r="B325" s="102" t="str">
        <f aca="false">IF(A325="","","Year "&amp;VALUE(MID(A325,2,2)))</f>
        <v>Year 11</v>
      </c>
      <c r="C325" s="102" t="str">
        <f aca="false">IF(A325="","",MID(A325,4,FIND("/",A325)-4))</f>
        <v>ag</v>
      </c>
      <c r="D325" s="102" t="str">
        <f aca="false">IF(A325="","",MID(A325,FIND("/",A325)+1,2))</f>
        <v>Ia</v>
      </c>
      <c r="E325" s="103" t="str">
        <f aca="false">IF(A325="","",IFERROR(INDEX(SubjName,MATCH(D325,SubjCode,0)),"؟ رمز مادة غير معرّف في Settings"))</f>
        <v>Islamic A</v>
      </c>
      <c r="F325" s="102" t="str">
        <f aca="false">IF(A325="","",MID(A325,FIND("/",A325)+1,10))</f>
        <v>Ia2</v>
      </c>
      <c r="G325" s="63" t="s">
        <v>668</v>
      </c>
      <c r="H325" s="103" t="str">
        <f aca="false">IF(A325="","",IF(G325="","غير محدد (Unassigned)",IFERROR(INDEX(Teachers!$C$6:$C$75,MATCH(G325,Teachers!$A$6:$A$75,0)),"؟ كود معلم غير موجود")))</f>
        <v>Mr Elsayed A M Hassan</v>
      </c>
      <c r="I325" s="104" t="s">
        <v>442</v>
      </c>
    </row>
    <row r="326" customFormat="false" ht="15" hidden="false" customHeight="false" outlineLevel="0" collapsed="false">
      <c r="A326" s="60" t="s">
        <v>819</v>
      </c>
      <c r="B326" s="102" t="str">
        <f aca="false">IF(A326="","","Year "&amp;VALUE(MID(A326,2,2)))</f>
        <v>Year 11</v>
      </c>
      <c r="C326" s="102" t="str">
        <f aca="false">IF(A326="","",MID(A326,4,FIND("/",A326)-4))</f>
        <v>ag</v>
      </c>
      <c r="D326" s="102" t="str">
        <f aca="false">IF(A326="","",MID(A326,FIND("/",A326)+1,2))</f>
        <v>Ib</v>
      </c>
      <c r="E326" s="103" t="str">
        <f aca="false">IF(A326="","",IFERROR(INDEX(SubjName,MATCH(D326,SubjCode,0)),"؟ رمز مادة غير معرّف في Settings"))</f>
        <v>Islamic B</v>
      </c>
      <c r="F326" s="102" t="str">
        <f aca="false">IF(A326="","",MID(A326,FIND("/",A326)+1,10))</f>
        <v>Ib1</v>
      </c>
      <c r="G326" s="63" t="s">
        <v>723</v>
      </c>
      <c r="H326" s="103" t="str">
        <f aca="false">IF(A326="","",IF(G326="","غير محدد (Unassigned)",IFERROR(INDEX(Teachers!$C$6:$C$75,MATCH(G326,Teachers!$A$6:$A$75,0)),"؟ كود معلم غير موجود")))</f>
        <v>Ms Ola Alhaj Ali</v>
      </c>
      <c r="I326" s="104" t="s">
        <v>442</v>
      </c>
    </row>
    <row r="327" customFormat="false" ht="15" hidden="false" customHeight="false" outlineLevel="0" collapsed="false">
      <c r="A327" s="60" t="s">
        <v>820</v>
      </c>
      <c r="B327" s="102" t="str">
        <f aca="false">IF(A327="","","Year "&amp;VALUE(MID(A327,2,2)))</f>
        <v>Year 11</v>
      </c>
      <c r="C327" s="102" t="str">
        <f aca="false">IF(A327="","",MID(A327,4,FIND("/",A327)-4))</f>
        <v>ag</v>
      </c>
      <c r="D327" s="102" t="str">
        <f aca="false">IF(A327="","",MID(A327,FIND("/",A327)+1,2))</f>
        <v>Ib</v>
      </c>
      <c r="E327" s="103" t="str">
        <f aca="false">IF(A327="","",IFERROR(INDEX(SubjName,MATCH(D327,SubjCode,0)),"؟ رمز مادة غير معرّف في Settings"))</f>
        <v>Islamic B</v>
      </c>
      <c r="F327" s="102" t="str">
        <f aca="false">IF(A327="","",MID(A327,FIND("/",A327)+1,10))</f>
        <v>Ib2</v>
      </c>
      <c r="G327" s="63" t="s">
        <v>674</v>
      </c>
      <c r="H327" s="103" t="str">
        <f aca="false">IF(A327="","",IF(G327="","غير محدد (Unassigned)",IFERROR(INDEX(Teachers!$C$6:$C$75,MATCH(G327,Teachers!$A$6:$A$75,0)),"؟ كود معلم غير موجود")))</f>
        <v>Mr Aamer Gebreel</v>
      </c>
      <c r="I327" s="104" t="s">
        <v>442</v>
      </c>
    </row>
    <row r="328" customFormat="false" ht="15" hidden="false" customHeight="false" outlineLevel="0" collapsed="false">
      <c r="A328" s="60" t="s">
        <v>821</v>
      </c>
      <c r="B328" s="102" t="str">
        <f aca="false">IF(A328="","","Year "&amp;VALUE(MID(A328,2,2)))</f>
        <v>Year 11</v>
      </c>
      <c r="C328" s="102" t="str">
        <f aca="false">IF(A328="","",MID(A328,4,FIND("/",A328)-4))</f>
        <v>ag</v>
      </c>
      <c r="D328" s="102" t="str">
        <f aca="false">IF(A328="","",MID(A328,FIND("/",A328)+1,2))</f>
        <v>Ib</v>
      </c>
      <c r="E328" s="103" t="str">
        <f aca="false">IF(A328="","",IFERROR(INDEX(SubjName,MATCH(D328,SubjCode,0)),"؟ رمز مادة غير معرّف في Settings"))</f>
        <v>Islamic B</v>
      </c>
      <c r="F328" s="102" t="str">
        <f aca="false">IF(A328="","",MID(A328,FIND("/",A328)+1,10))</f>
        <v>Ib3</v>
      </c>
      <c r="G328" s="63" t="s">
        <v>676</v>
      </c>
      <c r="H328" s="103" t="str">
        <f aca="false">IF(A328="","",IF(G328="","غير محدد (Unassigned)",IFERROR(INDEX(Teachers!$C$6:$C$75,MATCH(G328,Teachers!$A$6:$A$75,0)),"؟ كود معلم غير موجود")))</f>
        <v>Mr Mahmoud Owais Hafiz</v>
      </c>
      <c r="I328" s="104" t="s">
        <v>442</v>
      </c>
    </row>
    <row r="329" customFormat="false" ht="15" hidden="false" customHeight="false" outlineLevel="0" collapsed="false">
      <c r="A329" s="60" t="s">
        <v>822</v>
      </c>
      <c r="B329" s="102" t="str">
        <f aca="false">IF(A329="","","Year "&amp;VALUE(MID(A329,2,2)))</f>
        <v>Year 11</v>
      </c>
      <c r="C329" s="102" t="str">
        <f aca="false">IF(A329="","",MID(A329,4,FIND("/",A329)-4))</f>
        <v>ho</v>
      </c>
      <c r="D329" s="102" t="str">
        <f aca="false">IF(A329="","",MID(A329,FIND("/",A329)+1,2))</f>
        <v>Aa</v>
      </c>
      <c r="E329" s="103" t="str">
        <f aca="false">IF(A329="","",IFERROR(INDEX(SubjName,MATCH(D329,SubjCode,0)),"؟ رمز مادة غير معرّف في Settings"))</f>
        <v>Arabic A</v>
      </c>
      <c r="F329" s="102" t="str">
        <f aca="false">IF(A329="","",MID(A329,FIND("/",A329)+1,10))</f>
        <v>Aa1</v>
      </c>
      <c r="G329" s="63" t="s">
        <v>778</v>
      </c>
      <c r="H329" s="103" t="str">
        <f aca="false">IF(A329="","",IF(G329="","غير محدد (Unassigned)",IFERROR(INDEX(Teachers!$C$6:$C$75,MATCH(G329,Teachers!$A$6:$A$75,0)),"؟ كود معلم غير موجود")))</f>
        <v>Mr Ayman Bobo</v>
      </c>
      <c r="I329" s="104" t="s">
        <v>442</v>
      </c>
    </row>
    <row r="330" customFormat="false" ht="15" hidden="false" customHeight="false" outlineLevel="0" collapsed="false">
      <c r="A330" s="60" t="s">
        <v>823</v>
      </c>
      <c r="B330" s="102" t="str">
        <f aca="false">IF(A330="","","Year "&amp;VALUE(MID(A330,2,2)))</f>
        <v>Year 11</v>
      </c>
      <c r="C330" s="102" t="str">
        <f aca="false">IF(A330="","",MID(A330,4,FIND("/",A330)-4))</f>
        <v>ho</v>
      </c>
      <c r="D330" s="102" t="str">
        <f aca="false">IF(A330="","",MID(A330,FIND("/",A330)+1,2))</f>
        <v>Aa</v>
      </c>
      <c r="E330" s="103" t="str">
        <f aca="false">IF(A330="","",IFERROR(INDEX(SubjName,MATCH(D330,SubjCode,0)),"؟ رمز مادة غير معرّف في Settings"))</f>
        <v>Arabic A</v>
      </c>
      <c r="F330" s="102" t="str">
        <f aca="false">IF(A330="","",MID(A330,FIND("/",A330)+1,10))</f>
        <v>Aa2</v>
      </c>
      <c r="G330" s="63" t="s">
        <v>739</v>
      </c>
      <c r="H330" s="103" t="str">
        <f aca="false">IF(A330="","",IF(G330="","غير محدد (Unassigned)",IFERROR(INDEX(Teachers!$C$6:$C$75,MATCH(G330,Teachers!$A$6:$A$75,0)),"؟ كود معلم غير موجود")))</f>
        <v>Mr Elsaid A Eltantawi</v>
      </c>
      <c r="I330" s="104" t="s">
        <v>442</v>
      </c>
    </row>
    <row r="331" customFormat="false" ht="15" hidden="false" customHeight="false" outlineLevel="0" collapsed="false">
      <c r="A331" s="60" t="s">
        <v>824</v>
      </c>
      <c r="B331" s="102" t="str">
        <f aca="false">IF(A331="","","Year "&amp;VALUE(MID(A331,2,2)))</f>
        <v>Year 11</v>
      </c>
      <c r="C331" s="102" t="str">
        <f aca="false">IF(A331="","",MID(A331,4,FIND("/",A331)-4))</f>
        <v>ho</v>
      </c>
      <c r="D331" s="102" t="str">
        <f aca="false">IF(A331="","",MID(A331,FIND("/",A331)+1,2))</f>
        <v>Aa</v>
      </c>
      <c r="E331" s="103" t="str">
        <f aca="false">IF(A331="","",IFERROR(INDEX(SubjName,MATCH(D331,SubjCode,0)),"؟ رمز مادة غير معرّف في Settings"))</f>
        <v>Arabic A</v>
      </c>
      <c r="F331" s="102" t="str">
        <f aca="false">IF(A331="","",MID(A331,FIND("/",A331)+1,10))</f>
        <v>Aa3</v>
      </c>
      <c r="G331" s="63" t="s">
        <v>781</v>
      </c>
      <c r="H331" s="103" t="str">
        <f aca="false">IF(A331="","",IF(G331="","غير محدد (Unassigned)",IFERROR(INDEX(Teachers!$C$6:$C$75,MATCH(G331,Teachers!$A$6:$A$75,0)),"؟ كود معلم غير موجود")))</f>
        <v>Mr Aly Abdelmonem Hasan</v>
      </c>
      <c r="I331" s="104" t="s">
        <v>442</v>
      </c>
    </row>
    <row r="332" customFormat="false" ht="15" hidden="false" customHeight="false" outlineLevel="0" collapsed="false">
      <c r="A332" s="60" t="s">
        <v>825</v>
      </c>
      <c r="B332" s="102" t="str">
        <f aca="false">IF(A332="","","Year "&amp;VALUE(MID(A332,2,2)))</f>
        <v>Year 11</v>
      </c>
      <c r="C332" s="102" t="str">
        <f aca="false">IF(A332="","",MID(A332,4,FIND("/",A332)-4))</f>
        <v>ho</v>
      </c>
      <c r="D332" s="102" t="str">
        <f aca="false">IF(A332="","",MID(A332,FIND("/",A332)+1,2))</f>
        <v>Ia</v>
      </c>
      <c r="E332" s="103" t="str">
        <f aca="false">IF(A332="","",IFERROR(INDEX(SubjName,MATCH(D332,SubjCode,0)),"؟ رمز مادة غير معرّف في Settings"))</f>
        <v>Islamic A</v>
      </c>
      <c r="F332" s="102" t="str">
        <f aca="false">IF(A332="","",MID(A332,FIND("/",A332)+1,10))</f>
        <v>Ia1</v>
      </c>
      <c r="G332" s="63" t="s">
        <v>723</v>
      </c>
      <c r="H332" s="103" t="str">
        <f aca="false">IF(A332="","",IF(G332="","غير محدد (Unassigned)",IFERROR(INDEX(Teachers!$C$6:$C$75,MATCH(G332,Teachers!$A$6:$A$75,0)),"؟ كود معلم غير موجود")))</f>
        <v>Ms Ola Alhaj Ali</v>
      </c>
      <c r="I332" s="104" t="s">
        <v>442</v>
      </c>
    </row>
    <row r="333" customFormat="false" ht="15" hidden="false" customHeight="false" outlineLevel="0" collapsed="false">
      <c r="A333" s="60" t="s">
        <v>826</v>
      </c>
      <c r="B333" s="102" t="str">
        <f aca="false">IF(A333="","","Year "&amp;VALUE(MID(A333,2,2)))</f>
        <v>Year 11</v>
      </c>
      <c r="C333" s="102" t="str">
        <f aca="false">IF(A333="","",MID(A333,4,FIND("/",A333)-4))</f>
        <v>ho</v>
      </c>
      <c r="D333" s="102" t="str">
        <f aca="false">IF(A333="","",MID(A333,FIND("/",A333)+1,2))</f>
        <v>Ia</v>
      </c>
      <c r="E333" s="103" t="str">
        <f aca="false">IF(A333="","",IFERROR(INDEX(SubjName,MATCH(D333,SubjCode,0)),"؟ رمز مادة غير معرّف في Settings"))</f>
        <v>Islamic A</v>
      </c>
      <c r="F333" s="102" t="str">
        <f aca="false">IF(A333="","",MID(A333,FIND("/",A333)+1,10))</f>
        <v>Ia2</v>
      </c>
      <c r="G333" s="63" t="s">
        <v>668</v>
      </c>
      <c r="H333" s="103" t="str">
        <f aca="false">IF(A333="","",IF(G333="","غير محدد (Unassigned)",IFERROR(INDEX(Teachers!$C$6:$C$75,MATCH(G333,Teachers!$A$6:$A$75,0)),"؟ كود معلم غير موجود")))</f>
        <v>Mr Elsayed A M Hassan</v>
      </c>
      <c r="I333" s="104" t="s">
        <v>442</v>
      </c>
    </row>
    <row r="334" customFormat="false" ht="15" hidden="false" customHeight="false" outlineLevel="0" collapsed="false">
      <c r="A334" s="60" t="s">
        <v>827</v>
      </c>
      <c r="B334" s="102" t="str">
        <f aca="false">IF(A334="","","Year "&amp;VALUE(MID(A334,2,2)))</f>
        <v>Year 11</v>
      </c>
      <c r="C334" s="102" t="str">
        <f aca="false">IF(A334="","",MID(A334,4,FIND("/",A334)-4))</f>
        <v>ho</v>
      </c>
      <c r="D334" s="102" t="str">
        <f aca="false">IF(A334="","",MID(A334,FIND("/",A334)+1,2))</f>
        <v>Ia</v>
      </c>
      <c r="E334" s="103" t="str">
        <f aca="false">IF(A334="","",IFERROR(INDEX(SubjName,MATCH(D334,SubjCode,0)),"؟ رمز مادة غير معرّف في Settings"))</f>
        <v>Islamic A</v>
      </c>
      <c r="F334" s="102" t="str">
        <f aca="false">IF(A334="","",MID(A334,FIND("/",A334)+1,10))</f>
        <v>Ia3</v>
      </c>
      <c r="G334" s="63" t="s">
        <v>670</v>
      </c>
      <c r="H334" s="103" t="str">
        <f aca="false">IF(A334="","",IF(G334="","غير محدد (Unassigned)",IFERROR(INDEX(Teachers!$C$6:$C$75,MATCH(G334,Teachers!$A$6:$A$75,0)),"؟ كود معلم غير موجود")))</f>
        <v>Mr Yaseen Ahmed Zaki</v>
      </c>
      <c r="I334" s="104" t="s">
        <v>442</v>
      </c>
    </row>
    <row r="335" customFormat="false" ht="15" hidden="false" customHeight="false" outlineLevel="0" collapsed="false">
      <c r="A335" s="60" t="s">
        <v>828</v>
      </c>
      <c r="B335" s="102" t="str">
        <f aca="false">IF(A335="","","Year "&amp;VALUE(MID(A335,2,2)))</f>
        <v>Year 11</v>
      </c>
      <c r="C335" s="102" t="str">
        <f aca="false">IF(A335="","",MID(A335,4,FIND("/",A335)-4))</f>
        <v>ho</v>
      </c>
      <c r="D335" s="102" t="str">
        <f aca="false">IF(A335="","",MID(A335,FIND("/",A335)+1,2))</f>
        <v>Ib</v>
      </c>
      <c r="E335" s="103" t="str">
        <f aca="false">IF(A335="","",IFERROR(INDEX(SubjName,MATCH(D335,SubjCode,0)),"؟ رمز مادة غير معرّف في Settings"))</f>
        <v>Islamic B</v>
      </c>
      <c r="F335" s="102" t="str">
        <f aca="false">IF(A335="","",MID(A335,FIND("/",A335)+1,10))</f>
        <v>Ib1</v>
      </c>
      <c r="G335" s="63" t="s">
        <v>751</v>
      </c>
      <c r="H335" s="103" t="str">
        <f aca="false">IF(A335="","",IF(G335="","غير محدد (Unassigned)",IFERROR(INDEX(Teachers!$C$6:$C$75,MATCH(G335,Teachers!$A$6:$A$75,0)),"؟ كود معلم غير موجود")))</f>
        <v>Ms Areig Khalil</v>
      </c>
      <c r="I335" s="104" t="s">
        <v>442</v>
      </c>
    </row>
    <row r="336" customFormat="false" ht="15" hidden="false" customHeight="false" outlineLevel="0" collapsed="false">
      <c r="A336" s="60" t="s">
        <v>829</v>
      </c>
      <c r="B336" s="102" t="str">
        <f aca="false">IF(A336="","","Year "&amp;VALUE(MID(A336,2,2)))</f>
        <v>Year 11</v>
      </c>
      <c r="C336" s="102" t="str">
        <f aca="false">IF(A336="","",MID(A336,4,FIND("/",A336)-4))</f>
        <v>ho</v>
      </c>
      <c r="D336" s="102" t="str">
        <f aca="false">IF(A336="","",MID(A336,FIND("/",A336)+1,2))</f>
        <v>Ib</v>
      </c>
      <c r="E336" s="103" t="str">
        <f aca="false">IF(A336="","",IFERROR(INDEX(SubjName,MATCH(D336,SubjCode,0)),"؟ رمز مادة غير معرّف في Settings"))</f>
        <v>Islamic B</v>
      </c>
      <c r="F336" s="102" t="str">
        <f aca="false">IF(A336="","",MID(A336,FIND("/",A336)+1,10))</f>
        <v>Ib2</v>
      </c>
      <c r="G336" s="63" t="s">
        <v>674</v>
      </c>
      <c r="H336" s="103" t="str">
        <f aca="false">IF(A336="","",IF(G336="","غير محدد (Unassigned)",IFERROR(INDEX(Teachers!$C$6:$C$75,MATCH(G336,Teachers!$A$6:$A$75,0)),"؟ كود معلم غير موجود")))</f>
        <v>Mr Aamer Gebreel</v>
      </c>
      <c r="I336" s="104" t="s">
        <v>442</v>
      </c>
    </row>
    <row r="337" customFormat="false" ht="15" hidden="false" customHeight="false" outlineLevel="0" collapsed="false">
      <c r="A337" s="60" t="s">
        <v>830</v>
      </c>
      <c r="B337" s="102" t="str">
        <f aca="false">IF(A337="","","Year "&amp;VALUE(MID(A337,2,2)))</f>
        <v>Year 11</v>
      </c>
      <c r="C337" s="102" t="str">
        <f aca="false">IF(A337="","",MID(A337,4,FIND("/",A337)-4))</f>
        <v>ho</v>
      </c>
      <c r="D337" s="102" t="str">
        <f aca="false">IF(A337="","",MID(A337,FIND("/",A337)+1,2))</f>
        <v>Ib</v>
      </c>
      <c r="E337" s="103" t="str">
        <f aca="false">IF(A337="","",IFERROR(INDEX(SubjName,MATCH(D337,SubjCode,0)),"؟ رمز مادة غير معرّف في Settings"))</f>
        <v>Islamic B</v>
      </c>
      <c r="F337" s="102" t="str">
        <f aca="false">IF(A337="","",MID(A337,FIND("/",A337)+1,10))</f>
        <v>Ib3</v>
      </c>
      <c r="G337" s="63" t="s">
        <v>672</v>
      </c>
      <c r="H337" s="103" t="str">
        <f aca="false">IF(A337="","",IF(G337="","غير محدد (Unassigned)",IFERROR(INDEX(Teachers!$C$6:$C$75,MATCH(G337,Teachers!$A$6:$A$75,0)),"؟ كود معلم غير موجود")))</f>
        <v>Mr Mahmoud Ahmed Naeem</v>
      </c>
      <c r="I337" s="104" t="s">
        <v>442</v>
      </c>
    </row>
    <row r="338" customFormat="false" ht="15" hidden="false" customHeight="false" outlineLevel="0" collapsed="false">
      <c r="A338" s="60" t="s">
        <v>831</v>
      </c>
      <c r="B338" s="102" t="str">
        <f aca="false">IF(A338="","","Year "&amp;VALUE(MID(A338,2,2)))</f>
        <v>Year 12</v>
      </c>
      <c r="C338" s="102" t="str">
        <f aca="false">IF(A338="","",MID(A338,4,FIND("/",A338)-4))</f>
        <v>5</v>
      </c>
      <c r="D338" s="102" t="str">
        <f aca="false">IF(A338="","",MID(A338,FIND("/",A338)+1,2))</f>
        <v>Aa</v>
      </c>
      <c r="E338" s="103" t="str">
        <f aca="false">IF(A338="","",IFERROR(INDEX(SubjName,MATCH(D338,SubjCode,0)),"؟ رمز مادة غير معرّف في Settings"))</f>
        <v>Arabic A</v>
      </c>
      <c r="F338" s="102" t="str">
        <f aca="false">IF(A338="","",MID(A338,FIND("/",A338)+1,10))</f>
        <v>Aa1</v>
      </c>
      <c r="G338" s="63" t="s">
        <v>778</v>
      </c>
      <c r="H338" s="103" t="str">
        <f aca="false">IF(A338="","",IF(G338="","غير محدد (Unassigned)",IFERROR(INDEX(Teachers!$C$6:$C$75,MATCH(G338,Teachers!$A$6:$A$75,0)),"؟ كود معلم غير موجود")))</f>
        <v>Mr Ayman Bobo</v>
      </c>
      <c r="I338" s="104" t="s">
        <v>442</v>
      </c>
    </row>
    <row r="339" customFormat="false" ht="15" hidden="false" customHeight="false" outlineLevel="0" collapsed="false">
      <c r="A339" s="60" t="s">
        <v>832</v>
      </c>
      <c r="B339" s="102" t="str">
        <f aca="false">IF(A339="","","Year "&amp;VALUE(MID(A339,2,2)))</f>
        <v>Year 12</v>
      </c>
      <c r="C339" s="102" t="str">
        <f aca="false">IF(A339="","",MID(A339,4,FIND("/",A339)-4))</f>
        <v>5</v>
      </c>
      <c r="D339" s="102" t="str">
        <f aca="false">IF(A339="","",MID(A339,FIND("/",A339)+1,2))</f>
        <v>Aa</v>
      </c>
      <c r="E339" s="103" t="str">
        <f aca="false">IF(A339="","",IFERROR(INDEX(SubjName,MATCH(D339,SubjCode,0)),"؟ رمز مادة غير معرّف في Settings"))</f>
        <v>Arabic A</v>
      </c>
      <c r="F339" s="102" t="str">
        <f aca="false">IF(A339="","",MID(A339,FIND("/",A339)+1,10))</f>
        <v>Aa2</v>
      </c>
      <c r="G339" s="63" t="s">
        <v>739</v>
      </c>
      <c r="H339" s="103" t="str">
        <f aca="false">IF(A339="","",IF(G339="","غير محدد (Unassigned)",IFERROR(INDEX(Teachers!$C$6:$C$75,MATCH(G339,Teachers!$A$6:$A$75,0)),"؟ كود معلم غير موجود")))</f>
        <v>Mr Elsaid A Eltantawi</v>
      </c>
      <c r="I339" s="104" t="s">
        <v>442</v>
      </c>
    </row>
    <row r="340" customFormat="false" ht="15" hidden="false" customHeight="false" outlineLevel="0" collapsed="false">
      <c r="A340" s="60" t="s">
        <v>833</v>
      </c>
      <c r="B340" s="102" t="str">
        <f aca="false">IF(A340="","","Year "&amp;VALUE(MID(A340,2,2)))</f>
        <v>Year 12</v>
      </c>
      <c r="C340" s="102" t="str">
        <f aca="false">IF(A340="","",MID(A340,4,FIND("/",A340)-4))</f>
        <v>5</v>
      </c>
      <c r="D340" s="102" t="str">
        <f aca="false">IF(A340="","",MID(A340,FIND("/",A340)+1,2))</f>
        <v>Aa</v>
      </c>
      <c r="E340" s="103" t="str">
        <f aca="false">IF(A340="","",IFERROR(INDEX(SubjName,MATCH(D340,SubjCode,0)),"؟ رمز مادة غير معرّف في Settings"))</f>
        <v>Arabic A</v>
      </c>
      <c r="F340" s="102" t="str">
        <f aca="false">IF(A340="","",MID(A340,FIND("/",A340)+1,10))</f>
        <v>Aa3</v>
      </c>
      <c r="G340" s="63" t="s">
        <v>781</v>
      </c>
      <c r="H340" s="103" t="str">
        <f aca="false">IF(A340="","",IF(G340="","غير محدد (Unassigned)",IFERROR(INDEX(Teachers!$C$6:$C$75,MATCH(G340,Teachers!$A$6:$A$75,0)),"؟ كود معلم غير موجود")))</f>
        <v>Mr Aly Abdelmonem Hasan</v>
      </c>
      <c r="I340" s="104" t="s">
        <v>442</v>
      </c>
    </row>
    <row r="341" customFormat="false" ht="15" hidden="false" customHeight="false" outlineLevel="0" collapsed="false">
      <c r="A341" s="60" t="s">
        <v>834</v>
      </c>
      <c r="B341" s="102" t="str">
        <f aca="false">IF(A341="","","Year "&amp;VALUE(MID(A341,2,2)))</f>
        <v>Year 12</v>
      </c>
      <c r="C341" s="102" t="str">
        <f aca="false">IF(A341="","",MID(A341,4,FIND("/",A341)-4))</f>
        <v>5</v>
      </c>
      <c r="D341" s="102" t="str">
        <f aca="false">IF(A341="","",MID(A341,FIND("/",A341)+1,2))</f>
        <v>Aa</v>
      </c>
      <c r="E341" s="103" t="str">
        <f aca="false">IF(A341="","",IFERROR(INDEX(SubjName,MATCH(D341,SubjCode,0)),"؟ رمز مادة غير معرّف في Settings"))</f>
        <v>Arabic A</v>
      </c>
      <c r="F341" s="102" t="str">
        <f aca="false">IF(A341="","",MID(A341,FIND("/",A341)+1,10))</f>
        <v>Aa4</v>
      </c>
      <c r="G341" s="63" t="s">
        <v>816</v>
      </c>
      <c r="H341" s="103" t="str">
        <f aca="false">IF(A341="","",IF(G341="","غير محدد (Unassigned)",IFERROR(INDEX(Teachers!$C$6:$C$75,MATCH(G341,Teachers!$A$6:$A$75,0)),"؟ كود معلم غير موجود")))</f>
        <v>Mr Elsayed M E Youssef</v>
      </c>
      <c r="I341" s="104" t="s">
        <v>442</v>
      </c>
    </row>
    <row r="342" customFormat="false" ht="15" hidden="false" customHeight="false" outlineLevel="0" collapsed="false">
      <c r="A342" s="60" t="s">
        <v>835</v>
      </c>
      <c r="B342" s="102" t="str">
        <f aca="false">IF(A342="","","Year "&amp;VALUE(MID(A342,2,2)))</f>
        <v>Year 12</v>
      </c>
      <c r="C342" s="102" t="str">
        <f aca="false">IF(A342="","",MID(A342,4,FIND("/",A342)-4))</f>
        <v>6</v>
      </c>
      <c r="D342" s="102" t="str">
        <f aca="false">IF(A342="","",MID(A342,FIND("/",A342)+1,2))</f>
        <v>Ia</v>
      </c>
      <c r="E342" s="103" t="str">
        <f aca="false">IF(A342="","",IFERROR(INDEX(SubjName,MATCH(D342,SubjCode,0)),"؟ رمز مادة غير معرّف في Settings"))</f>
        <v>Islamic A</v>
      </c>
      <c r="F342" s="102" t="str">
        <f aca="false">IF(A342="","",MID(A342,FIND("/",A342)+1,10))</f>
        <v>Ia1</v>
      </c>
      <c r="G342" s="63" t="s">
        <v>723</v>
      </c>
      <c r="H342" s="103" t="str">
        <f aca="false">IF(A342="","",IF(G342="","غير محدد (Unassigned)",IFERROR(INDEX(Teachers!$C$6:$C$75,MATCH(G342,Teachers!$A$6:$A$75,0)),"؟ كود معلم غير موجود")))</f>
        <v>Ms Ola Alhaj Ali</v>
      </c>
      <c r="I342" s="104" t="s">
        <v>442</v>
      </c>
    </row>
    <row r="343" customFormat="false" ht="15" hidden="false" customHeight="false" outlineLevel="0" collapsed="false">
      <c r="A343" s="60" t="s">
        <v>836</v>
      </c>
      <c r="B343" s="102" t="str">
        <f aca="false">IF(A343="","","Year "&amp;VALUE(MID(A343,2,2)))</f>
        <v>Year 12</v>
      </c>
      <c r="C343" s="102" t="str">
        <f aca="false">IF(A343="","",MID(A343,4,FIND("/",A343)-4))</f>
        <v>6</v>
      </c>
      <c r="D343" s="102" t="str">
        <f aca="false">IF(A343="","",MID(A343,FIND("/",A343)+1,2))</f>
        <v>Ia</v>
      </c>
      <c r="E343" s="103" t="str">
        <f aca="false">IF(A343="","",IFERROR(INDEX(SubjName,MATCH(D343,SubjCode,0)),"؟ رمز مادة غير معرّف في Settings"))</f>
        <v>Islamic A</v>
      </c>
      <c r="F343" s="102" t="str">
        <f aca="false">IF(A343="","",MID(A343,FIND("/",A343)+1,10))</f>
        <v>Ia2</v>
      </c>
      <c r="G343" s="63" t="s">
        <v>668</v>
      </c>
      <c r="H343" s="103" t="str">
        <f aca="false">IF(A343="","",IF(G343="","غير محدد (Unassigned)",IFERROR(INDEX(Teachers!$C$6:$C$75,MATCH(G343,Teachers!$A$6:$A$75,0)),"؟ كود معلم غير موجود")))</f>
        <v>Mr Elsayed A M Hassan</v>
      </c>
      <c r="I343" s="104" t="s">
        <v>442</v>
      </c>
    </row>
    <row r="344" customFormat="false" ht="15" hidden="false" customHeight="false" outlineLevel="0" collapsed="false">
      <c r="A344" s="60" t="s">
        <v>837</v>
      </c>
      <c r="B344" s="102" t="str">
        <f aca="false">IF(A344="","","Year "&amp;VALUE(MID(A344,2,2)))</f>
        <v>Year 12</v>
      </c>
      <c r="C344" s="102" t="str">
        <f aca="false">IF(A344="","",MID(A344,4,FIND("/",A344)-4))</f>
        <v>6</v>
      </c>
      <c r="D344" s="102" t="str">
        <f aca="false">IF(A344="","",MID(A344,FIND("/",A344)+1,2))</f>
        <v>Ia</v>
      </c>
      <c r="E344" s="103" t="str">
        <f aca="false">IF(A344="","",IFERROR(INDEX(SubjName,MATCH(D344,SubjCode,0)),"؟ رمز مادة غير معرّف في Settings"))</f>
        <v>Islamic A</v>
      </c>
      <c r="F344" s="102" t="str">
        <f aca="false">IF(A344="","",MID(A344,FIND("/",A344)+1,10))</f>
        <v>Ia3</v>
      </c>
      <c r="G344" s="63" t="s">
        <v>670</v>
      </c>
      <c r="H344" s="103" t="str">
        <f aca="false">IF(A344="","",IF(G344="","غير محدد (Unassigned)",IFERROR(INDEX(Teachers!$C$6:$C$75,MATCH(G344,Teachers!$A$6:$A$75,0)),"؟ كود معلم غير موجود")))</f>
        <v>Mr Yaseen Ahmed Zaki</v>
      </c>
      <c r="I344" s="104" t="s">
        <v>442</v>
      </c>
    </row>
    <row r="345" customFormat="false" ht="15" hidden="false" customHeight="false" outlineLevel="0" collapsed="false">
      <c r="A345" s="60" t="s">
        <v>838</v>
      </c>
      <c r="B345" s="102" t="str">
        <f aca="false">IF(A345="","","Year "&amp;VALUE(MID(A345,2,2)))</f>
        <v>Year 12</v>
      </c>
      <c r="C345" s="102" t="str">
        <f aca="false">IF(A345="","",MID(A345,4,FIND("/",A345)-4))</f>
        <v>6</v>
      </c>
      <c r="D345" s="102" t="str">
        <f aca="false">IF(A345="","",MID(A345,FIND("/",A345)+1,2))</f>
        <v>Ib</v>
      </c>
      <c r="E345" s="103" t="str">
        <f aca="false">IF(A345="","",IFERROR(INDEX(SubjName,MATCH(D345,SubjCode,0)),"؟ رمز مادة غير معرّف في Settings"))</f>
        <v>Islamic B</v>
      </c>
      <c r="F345" s="102" t="str">
        <f aca="false">IF(A345="","",MID(A345,FIND("/",A345)+1,10))</f>
        <v>Ib1</v>
      </c>
      <c r="G345" s="63" t="s">
        <v>751</v>
      </c>
      <c r="H345" s="103" t="str">
        <f aca="false">IF(A345="","",IF(G345="","غير محدد (Unassigned)",IFERROR(INDEX(Teachers!$C$6:$C$75,MATCH(G345,Teachers!$A$6:$A$75,0)),"؟ كود معلم غير موجود")))</f>
        <v>Ms Areig Khalil</v>
      </c>
      <c r="I345" s="104" t="s">
        <v>442</v>
      </c>
    </row>
    <row r="346" customFormat="false" ht="15" hidden="false" customHeight="false" outlineLevel="0" collapsed="false">
      <c r="A346" s="60" t="s">
        <v>839</v>
      </c>
      <c r="B346" s="102" t="str">
        <f aca="false">IF(A346="","","Year "&amp;VALUE(MID(A346,2,2)))</f>
        <v>Year 12</v>
      </c>
      <c r="C346" s="102" t="str">
        <f aca="false">IF(A346="","",MID(A346,4,FIND("/",A346)-4))</f>
        <v>6</v>
      </c>
      <c r="D346" s="102" t="str">
        <f aca="false">IF(A346="","",MID(A346,FIND("/",A346)+1,2))</f>
        <v>Ib</v>
      </c>
      <c r="E346" s="103" t="str">
        <f aca="false">IF(A346="","",IFERROR(INDEX(SubjName,MATCH(D346,SubjCode,0)),"؟ رمز مادة غير معرّف في Settings"))</f>
        <v>Islamic B</v>
      </c>
      <c r="F346" s="102" t="str">
        <f aca="false">IF(A346="","",MID(A346,FIND("/",A346)+1,10))</f>
        <v>Ib2</v>
      </c>
      <c r="G346" s="63" t="s">
        <v>674</v>
      </c>
      <c r="H346" s="103" t="str">
        <f aca="false">IF(A346="","",IF(G346="","غير محدد (Unassigned)",IFERROR(INDEX(Teachers!$C$6:$C$75,MATCH(G346,Teachers!$A$6:$A$75,0)),"؟ كود معلم غير موجود")))</f>
        <v>Mr Aamer Gebreel</v>
      </c>
      <c r="I346" s="104" t="s">
        <v>442</v>
      </c>
    </row>
    <row r="347" customFormat="false" ht="15" hidden="false" customHeight="false" outlineLevel="0" collapsed="false">
      <c r="A347" s="60" t="s">
        <v>840</v>
      </c>
      <c r="B347" s="102" t="str">
        <f aca="false">IF(A347="","","Year "&amp;VALUE(MID(A347,2,2)))</f>
        <v>Year 12</v>
      </c>
      <c r="C347" s="102" t="str">
        <f aca="false">IF(A347="","",MID(A347,4,FIND("/",A347)-4))</f>
        <v>6</v>
      </c>
      <c r="D347" s="102" t="str">
        <f aca="false">IF(A347="","",MID(A347,FIND("/",A347)+1,2))</f>
        <v>Ib</v>
      </c>
      <c r="E347" s="103" t="str">
        <f aca="false">IF(A347="","",IFERROR(INDEX(SubjName,MATCH(D347,SubjCode,0)),"؟ رمز مادة غير معرّف في Settings"))</f>
        <v>Islamic B</v>
      </c>
      <c r="F347" s="102" t="str">
        <f aca="false">IF(A347="","",MID(A347,FIND("/",A347)+1,10))</f>
        <v>Ib3</v>
      </c>
      <c r="G347" s="63" t="s">
        <v>676</v>
      </c>
      <c r="H347" s="103" t="str">
        <f aca="false">IF(A347="","",IF(G347="","غير محدد (Unassigned)",IFERROR(INDEX(Teachers!$C$6:$C$75,MATCH(G347,Teachers!$A$6:$A$75,0)),"؟ كود معلم غير موجود")))</f>
        <v>Mr Mahmoud Owais Hafiz</v>
      </c>
      <c r="I347" s="104" t="s">
        <v>442</v>
      </c>
    </row>
    <row r="348" customFormat="false" ht="15" hidden="false" customHeight="false" outlineLevel="0" collapsed="false">
      <c r="A348" s="60" t="s">
        <v>841</v>
      </c>
      <c r="B348" s="102" t="str">
        <f aca="false">IF(A348="","","Year "&amp;VALUE(MID(A348,2,2)))</f>
        <v>Year 12</v>
      </c>
      <c r="C348" s="102" t="str">
        <f aca="false">IF(A348="","",MID(A348,4,FIND("/",A348)-4))</f>
        <v>6</v>
      </c>
      <c r="D348" s="102" t="str">
        <f aca="false">IF(A348="","",MID(A348,FIND("/",A348)+1,2))</f>
        <v>Ib</v>
      </c>
      <c r="E348" s="103" t="str">
        <f aca="false">IF(A348="","",IFERROR(INDEX(SubjName,MATCH(D348,SubjCode,0)),"؟ رمز مادة غير معرّف في Settings"))</f>
        <v>Islamic B</v>
      </c>
      <c r="F348" s="102" t="str">
        <f aca="false">IF(A348="","",MID(A348,FIND("/",A348)+1,10))</f>
        <v>Ib4</v>
      </c>
      <c r="G348" s="63" t="s">
        <v>672</v>
      </c>
      <c r="H348" s="103" t="str">
        <f aca="false">IF(A348="","",IF(G348="","غير محدد (Unassigned)",IFERROR(INDEX(Teachers!$C$6:$C$75,MATCH(G348,Teachers!$A$6:$A$75,0)),"؟ كود معلم غير موجود")))</f>
        <v>Mr Mahmoud Ahmed Naeem</v>
      </c>
      <c r="I348" s="104" t="s">
        <v>442</v>
      </c>
    </row>
    <row r="349" customFormat="false" ht="15" hidden="false" customHeight="false" outlineLevel="0" collapsed="false">
      <c r="A349" s="60" t="s">
        <v>842</v>
      </c>
      <c r="B349" s="102" t="str">
        <f aca="false">IF(A349="","","Year "&amp;VALUE(MID(A349,2,2)))</f>
        <v>Year 12</v>
      </c>
      <c r="C349" s="102" t="str">
        <f aca="false">IF(A349="","",MID(A349,4,FIND("/",A349)-4))</f>
        <v>6</v>
      </c>
      <c r="D349" s="102" t="str">
        <f aca="false">IF(A349="","",MID(A349,FIND("/",A349)+1,2))</f>
        <v>Ib</v>
      </c>
      <c r="E349" s="103" t="str">
        <f aca="false">IF(A349="","",IFERROR(INDEX(SubjName,MATCH(D349,SubjCode,0)),"؟ رمز مادة غير معرّف في Settings"))</f>
        <v>Islamic B</v>
      </c>
      <c r="F349" s="102" t="str">
        <f aca="false">IF(A349="","",MID(A349,FIND("/",A349)+1,10))</f>
        <v>Ib5</v>
      </c>
      <c r="G349" s="63" t="s">
        <v>843</v>
      </c>
      <c r="H349" s="103" t="str">
        <f aca="false">IF(A349="","",IF(G349="","غير محدد (Unassigned)",IFERROR(INDEX(Teachers!$C$6:$C$75,MATCH(G349,Teachers!$A$6:$A$75,0)),"؟ كود معلم غير موجود")))</f>
        <v>Unassigned (Islamic B vacancy)</v>
      </c>
      <c r="I349" s="104" t="s">
        <v>442</v>
      </c>
    </row>
    <row r="350" customFormat="false" ht="15" hidden="false" customHeight="false" outlineLevel="0" collapsed="false">
      <c r="A350" s="60" t="s">
        <v>844</v>
      </c>
      <c r="B350" s="102" t="str">
        <f aca="false">IF(A350="","","Year "&amp;VALUE(MID(A350,2,2)))</f>
        <v>Year 13</v>
      </c>
      <c r="C350" s="102" t="str">
        <f aca="false">IF(A350="","",MID(A350,4,FIND("/",A350)-4))</f>
        <v>5</v>
      </c>
      <c r="D350" s="102" t="str">
        <f aca="false">IF(A350="","",MID(A350,FIND("/",A350)+1,2))</f>
        <v>Aa</v>
      </c>
      <c r="E350" s="103" t="str">
        <f aca="false">IF(A350="","",IFERROR(INDEX(SubjName,MATCH(D350,SubjCode,0)),"؟ رمز مادة غير معرّف في Settings"))</f>
        <v>Arabic A</v>
      </c>
      <c r="F350" s="102" t="str">
        <f aca="false">IF(A350="","",MID(A350,FIND("/",A350)+1,10))</f>
        <v>Aa1</v>
      </c>
      <c r="G350" s="63" t="s">
        <v>778</v>
      </c>
      <c r="H350" s="103" t="str">
        <f aca="false">IF(A350="","",IF(G350="","غير محدد (Unassigned)",IFERROR(INDEX(Teachers!$C$6:$C$75,MATCH(G350,Teachers!$A$6:$A$75,0)),"؟ كود معلم غير موجود")))</f>
        <v>Mr Ayman Bobo</v>
      </c>
      <c r="I350" s="104" t="s">
        <v>442</v>
      </c>
    </row>
    <row r="351" customFormat="false" ht="15" hidden="false" customHeight="false" outlineLevel="0" collapsed="false">
      <c r="A351" s="60" t="s">
        <v>845</v>
      </c>
      <c r="B351" s="102" t="str">
        <f aca="false">IF(A351="","","Year "&amp;VALUE(MID(A351,2,2)))</f>
        <v>Year 13</v>
      </c>
      <c r="C351" s="102" t="str">
        <f aca="false">IF(A351="","",MID(A351,4,FIND("/",A351)-4))</f>
        <v>5</v>
      </c>
      <c r="D351" s="102" t="str">
        <f aca="false">IF(A351="","",MID(A351,FIND("/",A351)+1,2))</f>
        <v>Aa</v>
      </c>
      <c r="E351" s="103" t="str">
        <f aca="false">IF(A351="","",IFERROR(INDEX(SubjName,MATCH(D351,SubjCode,0)),"؟ رمز مادة غير معرّف في Settings"))</f>
        <v>Arabic A</v>
      </c>
      <c r="F351" s="102" t="str">
        <f aca="false">IF(A351="","",MID(A351,FIND("/",A351)+1,10))</f>
        <v>Aa2</v>
      </c>
      <c r="G351" s="63" t="s">
        <v>816</v>
      </c>
      <c r="H351" s="103" t="str">
        <f aca="false">IF(A351="","",IF(G351="","غير محدد (Unassigned)",IFERROR(INDEX(Teachers!$C$6:$C$75,MATCH(G351,Teachers!$A$6:$A$75,0)),"؟ كود معلم غير موجود")))</f>
        <v>Mr Elsayed M E Youssef</v>
      </c>
      <c r="I351" s="104" t="s">
        <v>442</v>
      </c>
    </row>
    <row r="352" customFormat="false" ht="15" hidden="false" customHeight="false" outlineLevel="0" collapsed="false">
      <c r="A352" s="60" t="s">
        <v>846</v>
      </c>
      <c r="B352" s="102" t="str">
        <f aca="false">IF(A352="","","Year "&amp;VALUE(MID(A352,2,2)))</f>
        <v>Year 13</v>
      </c>
      <c r="C352" s="102" t="str">
        <f aca="false">IF(A352="","",MID(A352,4,FIND("/",A352)-4))</f>
        <v>5</v>
      </c>
      <c r="D352" s="102" t="str">
        <f aca="false">IF(A352="","",MID(A352,FIND("/",A352)+1,2))</f>
        <v>Aa</v>
      </c>
      <c r="E352" s="103" t="str">
        <f aca="false">IF(A352="","",IFERROR(INDEX(SubjName,MATCH(D352,SubjCode,0)),"؟ رمز مادة غير معرّف في Settings"))</f>
        <v>Arabic A</v>
      </c>
      <c r="F352" s="102" t="str">
        <f aca="false">IF(A352="","",MID(A352,FIND("/",A352)+1,10))</f>
        <v>Aa3</v>
      </c>
      <c r="G352" s="63" t="s">
        <v>781</v>
      </c>
      <c r="H352" s="103" t="str">
        <f aca="false">IF(A352="","",IF(G352="","غير محدد (Unassigned)",IFERROR(INDEX(Teachers!$C$6:$C$75,MATCH(G352,Teachers!$A$6:$A$75,0)),"؟ كود معلم غير موجود")))</f>
        <v>Mr Aly Abdelmonem Hasan</v>
      </c>
      <c r="I352" s="104" t="s">
        <v>442</v>
      </c>
    </row>
    <row r="353" customFormat="false" ht="15" hidden="false" customHeight="false" outlineLevel="0" collapsed="false">
      <c r="A353" s="60" t="s">
        <v>847</v>
      </c>
      <c r="B353" s="102" t="str">
        <f aca="false">IF(A353="","","Year "&amp;VALUE(MID(A353,2,2)))</f>
        <v>Year 13</v>
      </c>
      <c r="C353" s="102" t="str">
        <f aca="false">IF(A353="","",MID(A353,4,FIND("/",A353)-4))</f>
        <v>6</v>
      </c>
      <c r="D353" s="102" t="str">
        <f aca="false">IF(A353="","",MID(A353,FIND("/",A353)+1,2))</f>
        <v>Ia</v>
      </c>
      <c r="E353" s="103" t="str">
        <f aca="false">IF(A353="","",IFERROR(INDEX(SubjName,MATCH(D353,SubjCode,0)),"؟ رمز مادة غير معرّف في Settings"))</f>
        <v>Islamic A</v>
      </c>
      <c r="F353" s="102" t="str">
        <f aca="false">IF(A353="","",MID(A353,FIND("/",A353)+1,10))</f>
        <v>Ia1</v>
      </c>
      <c r="G353" s="63" t="s">
        <v>723</v>
      </c>
      <c r="H353" s="103" t="str">
        <f aca="false">IF(A353="","",IF(G353="","غير محدد (Unassigned)",IFERROR(INDEX(Teachers!$C$6:$C$75,MATCH(G353,Teachers!$A$6:$A$75,0)),"؟ كود معلم غير موجود")))</f>
        <v>Ms Ola Alhaj Ali</v>
      </c>
      <c r="I353" s="104" t="s">
        <v>442</v>
      </c>
    </row>
    <row r="354" customFormat="false" ht="15" hidden="false" customHeight="false" outlineLevel="0" collapsed="false">
      <c r="A354" s="60" t="s">
        <v>848</v>
      </c>
      <c r="B354" s="102" t="str">
        <f aca="false">IF(A354="","","Year "&amp;VALUE(MID(A354,2,2)))</f>
        <v>Year 13</v>
      </c>
      <c r="C354" s="102" t="str">
        <f aca="false">IF(A354="","",MID(A354,4,FIND("/",A354)-4))</f>
        <v>6</v>
      </c>
      <c r="D354" s="102" t="str">
        <f aca="false">IF(A354="","",MID(A354,FIND("/",A354)+1,2))</f>
        <v>Ia</v>
      </c>
      <c r="E354" s="103" t="str">
        <f aca="false">IF(A354="","",IFERROR(INDEX(SubjName,MATCH(D354,SubjCode,0)),"؟ رمز مادة غير معرّف في Settings"))</f>
        <v>Islamic A</v>
      </c>
      <c r="F354" s="102" t="str">
        <f aca="false">IF(A354="","",MID(A354,FIND("/",A354)+1,10))</f>
        <v>Ia2</v>
      </c>
      <c r="G354" s="63" t="s">
        <v>668</v>
      </c>
      <c r="H354" s="103" t="str">
        <f aca="false">IF(A354="","",IF(G354="","غير محدد (Unassigned)",IFERROR(INDEX(Teachers!$C$6:$C$75,MATCH(G354,Teachers!$A$6:$A$75,0)),"؟ كود معلم غير موجود")))</f>
        <v>Mr Elsayed A M Hassan</v>
      </c>
      <c r="I354" s="104" t="s">
        <v>442</v>
      </c>
    </row>
    <row r="355" customFormat="false" ht="15" hidden="false" customHeight="false" outlineLevel="0" collapsed="false">
      <c r="A355" s="60" t="s">
        <v>849</v>
      </c>
      <c r="B355" s="102" t="str">
        <f aca="false">IF(A355="","","Year "&amp;VALUE(MID(A355,2,2)))</f>
        <v>Year 13</v>
      </c>
      <c r="C355" s="102" t="str">
        <f aca="false">IF(A355="","",MID(A355,4,FIND("/",A355)-4))</f>
        <v>6</v>
      </c>
      <c r="D355" s="102" t="str">
        <f aca="false">IF(A355="","",MID(A355,FIND("/",A355)+1,2))</f>
        <v>Ia</v>
      </c>
      <c r="E355" s="103" t="str">
        <f aca="false">IF(A355="","",IFERROR(INDEX(SubjName,MATCH(D355,SubjCode,0)),"؟ رمز مادة غير معرّف في Settings"))</f>
        <v>Islamic A</v>
      </c>
      <c r="F355" s="102" t="str">
        <f aca="false">IF(A355="","",MID(A355,FIND("/",A355)+1,10))</f>
        <v>Ia3</v>
      </c>
      <c r="G355" s="63" t="s">
        <v>670</v>
      </c>
      <c r="H355" s="103" t="str">
        <f aca="false">IF(A355="","",IF(G355="","غير محدد (Unassigned)",IFERROR(INDEX(Teachers!$C$6:$C$75,MATCH(G355,Teachers!$A$6:$A$75,0)),"؟ كود معلم غير موجود")))</f>
        <v>Mr Yaseen Ahmed Zaki</v>
      </c>
      <c r="I355" s="104" t="s">
        <v>442</v>
      </c>
    </row>
    <row r="356" customFormat="false" ht="15" hidden="false" customHeight="false" outlineLevel="0" collapsed="false">
      <c r="A356" s="60" t="s">
        <v>850</v>
      </c>
      <c r="B356" s="102" t="str">
        <f aca="false">IF(A356="","","Year "&amp;VALUE(MID(A356,2,2)))</f>
        <v>Year 13</v>
      </c>
      <c r="C356" s="102" t="str">
        <f aca="false">IF(A356="","",MID(A356,4,FIND("/",A356)-4))</f>
        <v>6</v>
      </c>
      <c r="D356" s="102" t="str">
        <f aca="false">IF(A356="","",MID(A356,FIND("/",A356)+1,2))</f>
        <v>Ib</v>
      </c>
      <c r="E356" s="103" t="str">
        <f aca="false">IF(A356="","",IFERROR(INDEX(SubjName,MATCH(D356,SubjCode,0)),"؟ رمز مادة غير معرّف في Settings"))</f>
        <v>Islamic B</v>
      </c>
      <c r="F356" s="102" t="str">
        <f aca="false">IF(A356="","",MID(A356,FIND("/",A356)+1,10))</f>
        <v>Ib1</v>
      </c>
      <c r="G356" s="63" t="s">
        <v>751</v>
      </c>
      <c r="H356" s="103" t="str">
        <f aca="false">IF(A356="","",IF(G356="","غير محدد (Unassigned)",IFERROR(INDEX(Teachers!$C$6:$C$75,MATCH(G356,Teachers!$A$6:$A$75,0)),"؟ كود معلم غير موجود")))</f>
        <v>Ms Areig Khalil</v>
      </c>
      <c r="I356" s="104" t="s">
        <v>442</v>
      </c>
    </row>
    <row r="357" customFormat="false" ht="15" hidden="false" customHeight="false" outlineLevel="0" collapsed="false">
      <c r="A357" s="60" t="s">
        <v>851</v>
      </c>
      <c r="B357" s="102" t="str">
        <f aca="false">IF(A357="","","Year "&amp;VALUE(MID(A357,2,2)))</f>
        <v>Year 13</v>
      </c>
      <c r="C357" s="102" t="str">
        <f aca="false">IF(A357="","",MID(A357,4,FIND("/",A357)-4))</f>
        <v>6</v>
      </c>
      <c r="D357" s="102" t="str">
        <f aca="false">IF(A357="","",MID(A357,FIND("/",A357)+1,2))</f>
        <v>Ib</v>
      </c>
      <c r="E357" s="103" t="str">
        <f aca="false">IF(A357="","",IFERROR(INDEX(SubjName,MATCH(D357,SubjCode,0)),"؟ رمز مادة غير معرّف في Settings"))</f>
        <v>Islamic B</v>
      </c>
      <c r="F357" s="102" t="str">
        <f aca="false">IF(A357="","",MID(A357,FIND("/",A357)+1,10))</f>
        <v>Ib2</v>
      </c>
      <c r="G357" s="63" t="s">
        <v>674</v>
      </c>
      <c r="H357" s="103" t="str">
        <f aca="false">IF(A357="","",IF(G357="","غير محدد (Unassigned)",IFERROR(INDEX(Teachers!$C$6:$C$75,MATCH(G357,Teachers!$A$6:$A$75,0)),"؟ كود معلم غير موجود")))</f>
        <v>Mr Aamer Gebreel</v>
      </c>
      <c r="I357" s="104" t="s">
        <v>442</v>
      </c>
    </row>
    <row r="358" customFormat="false" ht="15" hidden="false" customHeight="false" outlineLevel="0" collapsed="false">
      <c r="A358" s="60" t="s">
        <v>852</v>
      </c>
      <c r="B358" s="102" t="str">
        <f aca="false">IF(A358="","","Year "&amp;VALUE(MID(A358,2,2)))</f>
        <v>Year 13</v>
      </c>
      <c r="C358" s="102" t="str">
        <f aca="false">IF(A358="","",MID(A358,4,FIND("/",A358)-4))</f>
        <v>6</v>
      </c>
      <c r="D358" s="102" t="str">
        <f aca="false">IF(A358="","",MID(A358,FIND("/",A358)+1,2))</f>
        <v>Ib</v>
      </c>
      <c r="E358" s="103" t="str">
        <f aca="false">IF(A358="","",IFERROR(INDEX(SubjName,MATCH(D358,SubjCode,0)),"؟ رمز مادة غير معرّف في Settings"))</f>
        <v>Islamic B</v>
      </c>
      <c r="F358" s="102" t="str">
        <f aca="false">IF(A358="","",MID(A358,FIND("/",A358)+1,10))</f>
        <v>Ib3</v>
      </c>
      <c r="G358" s="63" t="s">
        <v>676</v>
      </c>
      <c r="H358" s="103" t="str">
        <f aca="false">IF(A358="","",IF(G358="","غير محدد (Unassigned)",IFERROR(INDEX(Teachers!$C$6:$C$75,MATCH(G358,Teachers!$A$6:$A$75,0)),"؟ كود معلم غير موجود")))</f>
        <v>Mr Mahmoud Owais Hafiz</v>
      </c>
      <c r="I358" s="104" t="s">
        <v>442</v>
      </c>
    </row>
    <row r="359" customFormat="false" ht="15" hidden="false" customHeight="false" outlineLevel="0" collapsed="false">
      <c r="A359" s="60" t="s">
        <v>853</v>
      </c>
      <c r="B359" s="102" t="str">
        <f aca="false">IF(A359="","","Year "&amp;VALUE(MID(A359,2,2)))</f>
        <v>Year 13</v>
      </c>
      <c r="C359" s="102" t="str">
        <f aca="false">IF(A359="","",MID(A359,4,FIND("/",A359)-4))</f>
        <v>6</v>
      </c>
      <c r="D359" s="102" t="str">
        <f aca="false">IF(A359="","",MID(A359,FIND("/",A359)+1,2))</f>
        <v>Ib</v>
      </c>
      <c r="E359" s="103" t="str">
        <f aca="false">IF(A359="","",IFERROR(INDEX(SubjName,MATCH(D359,SubjCode,0)),"؟ رمز مادة غير معرّف في Settings"))</f>
        <v>Islamic B</v>
      </c>
      <c r="F359" s="102" t="str">
        <f aca="false">IF(A359="","",MID(A359,FIND("/",A359)+1,10))</f>
        <v>Ib4</v>
      </c>
      <c r="G359" s="63" t="s">
        <v>672</v>
      </c>
      <c r="H359" s="103" t="str">
        <f aca="false">IF(A359="","",IF(G359="","غير محدد (Unassigned)",IFERROR(INDEX(Teachers!$C$6:$C$75,MATCH(G359,Teachers!$A$6:$A$75,0)),"؟ كود معلم غير موجود")))</f>
        <v>Mr Mahmoud Ahmed Naeem</v>
      </c>
      <c r="I359" s="104" t="s">
        <v>442</v>
      </c>
    </row>
    <row r="360" customFormat="false" ht="15" hidden="false" customHeight="false" outlineLevel="0" collapsed="false">
      <c r="A360" s="60"/>
      <c r="B360" s="102" t="str">
        <f aca="false">IF(A360="","","Year "&amp;VALUE(MID(A360,2,2)))</f>
        <v/>
      </c>
      <c r="C360" s="102" t="str">
        <f aca="false">IF(A360="","",MID(A360,4,FIND("/",A360)-4))</f>
        <v/>
      </c>
      <c r="D360" s="102" t="str">
        <f aca="false">IF(A360="","",MID(A360,FIND("/",A360)+1,2))</f>
        <v/>
      </c>
      <c r="E360" s="103" t="str">
        <f aca="false">IF(A360="","",IFERROR(INDEX(SubjName,MATCH(D360,SubjCode,0)),"؟ رمز مادة غير معرّف في Settings"))</f>
        <v/>
      </c>
      <c r="F360" s="102" t="str">
        <f aca="false">IF(A360="","",MID(A360,FIND("/",A360)+1,10))</f>
        <v/>
      </c>
      <c r="G360" s="63"/>
      <c r="H360" s="103" t="str">
        <f aca="false">IF(A360="","",IF(G360="","غير محدد (Unassigned)",IFERROR(INDEX(Teachers!$C$6:$C$75,MATCH(G360,Teachers!$A$6:$A$75,0)),"؟ كود معلم غير موجود")))</f>
        <v/>
      </c>
      <c r="I360" s="104"/>
    </row>
    <row r="361" customFormat="false" ht="15" hidden="false" customHeight="false" outlineLevel="0" collapsed="false">
      <c r="A361" s="60"/>
      <c r="B361" s="102" t="str">
        <f aca="false">IF(A361="","","Year "&amp;VALUE(MID(A361,2,2)))</f>
        <v/>
      </c>
      <c r="C361" s="102" t="str">
        <f aca="false">IF(A361="","",MID(A361,4,FIND("/",A361)-4))</f>
        <v/>
      </c>
      <c r="D361" s="102" t="str">
        <f aca="false">IF(A361="","",MID(A361,FIND("/",A361)+1,2))</f>
        <v/>
      </c>
      <c r="E361" s="103" t="str">
        <f aca="false">IF(A361="","",IFERROR(INDEX(SubjName,MATCH(D361,SubjCode,0)),"؟ رمز مادة غير معرّف في Settings"))</f>
        <v/>
      </c>
      <c r="F361" s="102" t="str">
        <f aca="false">IF(A361="","",MID(A361,FIND("/",A361)+1,10))</f>
        <v/>
      </c>
      <c r="G361" s="63"/>
      <c r="H361" s="103" t="str">
        <f aca="false">IF(A361="","",IF(G361="","غير محدد (Unassigned)",IFERROR(INDEX(Teachers!$C$6:$C$75,MATCH(G361,Teachers!$A$6:$A$75,0)),"؟ كود معلم غير موجود")))</f>
        <v/>
      </c>
      <c r="I361" s="104"/>
    </row>
    <row r="362" customFormat="false" ht="15" hidden="false" customHeight="false" outlineLevel="0" collapsed="false">
      <c r="A362" s="60"/>
      <c r="B362" s="102" t="str">
        <f aca="false">IF(A362="","","Year "&amp;VALUE(MID(A362,2,2)))</f>
        <v/>
      </c>
      <c r="C362" s="102" t="str">
        <f aca="false">IF(A362="","",MID(A362,4,FIND("/",A362)-4))</f>
        <v/>
      </c>
      <c r="D362" s="102" t="str">
        <f aca="false">IF(A362="","",MID(A362,FIND("/",A362)+1,2))</f>
        <v/>
      </c>
      <c r="E362" s="103" t="str">
        <f aca="false">IF(A362="","",IFERROR(INDEX(SubjName,MATCH(D362,SubjCode,0)),"؟ رمز مادة غير معرّف في Settings"))</f>
        <v/>
      </c>
      <c r="F362" s="102" t="str">
        <f aca="false">IF(A362="","",MID(A362,FIND("/",A362)+1,10))</f>
        <v/>
      </c>
      <c r="G362" s="63"/>
      <c r="H362" s="103" t="str">
        <f aca="false">IF(A362="","",IF(G362="","غير محدد (Unassigned)",IFERROR(INDEX(Teachers!$C$6:$C$75,MATCH(G362,Teachers!$A$6:$A$75,0)),"؟ كود معلم غير موجود")))</f>
        <v/>
      </c>
      <c r="I362" s="104"/>
    </row>
    <row r="363" customFormat="false" ht="15" hidden="false" customHeight="false" outlineLevel="0" collapsed="false">
      <c r="A363" s="60"/>
      <c r="B363" s="102" t="str">
        <f aca="false">IF(A363="","","Year "&amp;VALUE(MID(A363,2,2)))</f>
        <v/>
      </c>
      <c r="C363" s="102" t="str">
        <f aca="false">IF(A363="","",MID(A363,4,FIND("/",A363)-4))</f>
        <v/>
      </c>
      <c r="D363" s="102" t="str">
        <f aca="false">IF(A363="","",MID(A363,FIND("/",A363)+1,2))</f>
        <v/>
      </c>
      <c r="E363" s="103" t="str">
        <f aca="false">IF(A363="","",IFERROR(INDEX(SubjName,MATCH(D363,SubjCode,0)),"؟ رمز مادة غير معرّف في Settings"))</f>
        <v/>
      </c>
      <c r="F363" s="102" t="str">
        <f aca="false">IF(A363="","",MID(A363,FIND("/",A363)+1,10))</f>
        <v/>
      </c>
      <c r="G363" s="63"/>
      <c r="H363" s="103" t="str">
        <f aca="false">IF(A363="","",IF(G363="","غير محدد (Unassigned)",IFERROR(INDEX(Teachers!$C$6:$C$75,MATCH(G363,Teachers!$A$6:$A$75,0)),"؟ كود معلم غير موجود")))</f>
        <v/>
      </c>
      <c r="I363" s="104"/>
    </row>
    <row r="364" customFormat="false" ht="15" hidden="false" customHeight="false" outlineLevel="0" collapsed="false">
      <c r="A364" s="60"/>
      <c r="B364" s="102" t="str">
        <f aca="false">IF(A364="","","Year "&amp;VALUE(MID(A364,2,2)))</f>
        <v/>
      </c>
      <c r="C364" s="102" t="str">
        <f aca="false">IF(A364="","",MID(A364,4,FIND("/",A364)-4))</f>
        <v/>
      </c>
      <c r="D364" s="102" t="str">
        <f aca="false">IF(A364="","",MID(A364,FIND("/",A364)+1,2))</f>
        <v/>
      </c>
      <c r="E364" s="103" t="str">
        <f aca="false">IF(A364="","",IFERROR(INDEX(SubjName,MATCH(D364,SubjCode,0)),"؟ رمز مادة غير معرّف في Settings"))</f>
        <v/>
      </c>
      <c r="F364" s="102" t="str">
        <f aca="false">IF(A364="","",MID(A364,FIND("/",A364)+1,10))</f>
        <v/>
      </c>
      <c r="G364" s="63"/>
      <c r="H364" s="103" t="str">
        <f aca="false">IF(A364="","",IF(G364="","غير محدد (Unassigned)",IFERROR(INDEX(Teachers!$C$6:$C$75,MATCH(G364,Teachers!$A$6:$A$75,0)),"؟ كود معلم غير موجود")))</f>
        <v/>
      </c>
      <c r="I364" s="104"/>
    </row>
    <row r="365" customFormat="false" ht="15" hidden="false" customHeight="false" outlineLevel="0" collapsed="false">
      <c r="A365" s="60"/>
      <c r="B365" s="102" t="str">
        <f aca="false">IF(A365="","","Year "&amp;VALUE(MID(A365,2,2)))</f>
        <v/>
      </c>
      <c r="C365" s="102" t="str">
        <f aca="false">IF(A365="","",MID(A365,4,FIND("/",A365)-4))</f>
        <v/>
      </c>
      <c r="D365" s="102" t="str">
        <f aca="false">IF(A365="","",MID(A365,FIND("/",A365)+1,2))</f>
        <v/>
      </c>
      <c r="E365" s="103" t="str">
        <f aca="false">IF(A365="","",IFERROR(INDEX(SubjName,MATCH(D365,SubjCode,0)),"؟ رمز مادة غير معرّف في Settings"))</f>
        <v/>
      </c>
      <c r="F365" s="102" t="str">
        <f aca="false">IF(A365="","",MID(A365,FIND("/",A365)+1,10))</f>
        <v/>
      </c>
      <c r="G365" s="63"/>
      <c r="H365" s="103" t="str">
        <f aca="false">IF(A365="","",IF(G365="","غير محدد (Unassigned)",IFERROR(INDEX(Teachers!$C$6:$C$75,MATCH(G365,Teachers!$A$6:$A$75,0)),"؟ كود معلم غير موجود")))</f>
        <v/>
      </c>
      <c r="I365" s="104"/>
    </row>
    <row r="366" customFormat="false" ht="15" hidden="false" customHeight="false" outlineLevel="0" collapsed="false">
      <c r="A366" s="60"/>
      <c r="B366" s="102" t="str">
        <f aca="false">IF(A366="","","Year "&amp;VALUE(MID(A366,2,2)))</f>
        <v/>
      </c>
      <c r="C366" s="102" t="str">
        <f aca="false">IF(A366="","",MID(A366,4,FIND("/",A366)-4))</f>
        <v/>
      </c>
      <c r="D366" s="102" t="str">
        <f aca="false">IF(A366="","",MID(A366,FIND("/",A366)+1,2))</f>
        <v/>
      </c>
      <c r="E366" s="103" t="str">
        <f aca="false">IF(A366="","",IFERROR(INDEX(SubjName,MATCH(D366,SubjCode,0)),"؟ رمز مادة غير معرّف في Settings"))</f>
        <v/>
      </c>
      <c r="F366" s="102" t="str">
        <f aca="false">IF(A366="","",MID(A366,FIND("/",A366)+1,10))</f>
        <v/>
      </c>
      <c r="G366" s="63"/>
      <c r="H366" s="103" t="str">
        <f aca="false">IF(A366="","",IF(G366="","غير محدد (Unassigned)",IFERROR(INDEX(Teachers!$C$6:$C$75,MATCH(G366,Teachers!$A$6:$A$75,0)),"؟ كود معلم غير موجود")))</f>
        <v/>
      </c>
      <c r="I366" s="104"/>
    </row>
    <row r="367" customFormat="false" ht="15" hidden="false" customHeight="false" outlineLevel="0" collapsed="false">
      <c r="A367" s="60"/>
      <c r="B367" s="102" t="str">
        <f aca="false">IF(A367="","","Year "&amp;VALUE(MID(A367,2,2)))</f>
        <v/>
      </c>
      <c r="C367" s="102" t="str">
        <f aca="false">IF(A367="","",MID(A367,4,FIND("/",A367)-4))</f>
        <v/>
      </c>
      <c r="D367" s="102" t="str">
        <f aca="false">IF(A367="","",MID(A367,FIND("/",A367)+1,2))</f>
        <v/>
      </c>
      <c r="E367" s="103" t="str">
        <f aca="false">IF(A367="","",IFERROR(INDEX(SubjName,MATCH(D367,SubjCode,0)),"؟ رمز مادة غير معرّف في Settings"))</f>
        <v/>
      </c>
      <c r="F367" s="102" t="str">
        <f aca="false">IF(A367="","",MID(A367,FIND("/",A367)+1,10))</f>
        <v/>
      </c>
      <c r="G367" s="63"/>
      <c r="H367" s="103" t="str">
        <f aca="false">IF(A367="","",IF(G367="","غير محدد (Unassigned)",IFERROR(INDEX(Teachers!$C$6:$C$75,MATCH(G367,Teachers!$A$6:$A$75,0)),"؟ كود معلم غير موجود")))</f>
        <v/>
      </c>
      <c r="I367" s="104"/>
    </row>
    <row r="368" customFormat="false" ht="15" hidden="false" customHeight="false" outlineLevel="0" collapsed="false">
      <c r="A368" s="60"/>
      <c r="B368" s="102" t="str">
        <f aca="false">IF(A368="","","Year "&amp;VALUE(MID(A368,2,2)))</f>
        <v/>
      </c>
      <c r="C368" s="102" t="str">
        <f aca="false">IF(A368="","",MID(A368,4,FIND("/",A368)-4))</f>
        <v/>
      </c>
      <c r="D368" s="102" t="str">
        <f aca="false">IF(A368="","",MID(A368,FIND("/",A368)+1,2))</f>
        <v/>
      </c>
      <c r="E368" s="103" t="str">
        <f aca="false">IF(A368="","",IFERROR(INDEX(SubjName,MATCH(D368,SubjCode,0)),"؟ رمز مادة غير معرّف في Settings"))</f>
        <v/>
      </c>
      <c r="F368" s="102" t="str">
        <f aca="false">IF(A368="","",MID(A368,FIND("/",A368)+1,10))</f>
        <v/>
      </c>
      <c r="G368" s="63"/>
      <c r="H368" s="103" t="str">
        <f aca="false">IF(A368="","",IF(G368="","غير محدد (Unassigned)",IFERROR(INDEX(Teachers!$C$6:$C$75,MATCH(G368,Teachers!$A$6:$A$75,0)),"؟ كود معلم غير موجود")))</f>
        <v/>
      </c>
      <c r="I368" s="104"/>
    </row>
    <row r="369" customFormat="false" ht="15" hidden="false" customHeight="false" outlineLevel="0" collapsed="false">
      <c r="A369" s="60"/>
      <c r="B369" s="102" t="str">
        <f aca="false">IF(A369="","","Year "&amp;VALUE(MID(A369,2,2)))</f>
        <v/>
      </c>
      <c r="C369" s="102" t="str">
        <f aca="false">IF(A369="","",MID(A369,4,FIND("/",A369)-4))</f>
        <v/>
      </c>
      <c r="D369" s="102" t="str">
        <f aca="false">IF(A369="","",MID(A369,FIND("/",A369)+1,2))</f>
        <v/>
      </c>
      <c r="E369" s="103" t="str">
        <f aca="false">IF(A369="","",IFERROR(INDEX(SubjName,MATCH(D369,SubjCode,0)),"؟ رمز مادة غير معرّف في Settings"))</f>
        <v/>
      </c>
      <c r="F369" s="102" t="str">
        <f aca="false">IF(A369="","",MID(A369,FIND("/",A369)+1,10))</f>
        <v/>
      </c>
      <c r="G369" s="63"/>
      <c r="H369" s="103" t="str">
        <f aca="false">IF(A369="","",IF(G369="","غير محدد (Unassigned)",IFERROR(INDEX(Teachers!$C$6:$C$75,MATCH(G369,Teachers!$A$6:$A$75,0)),"؟ كود معلم غير موجود")))</f>
        <v/>
      </c>
      <c r="I369" s="104"/>
    </row>
    <row r="370" customFormat="false" ht="15" hidden="false" customHeight="false" outlineLevel="0" collapsed="false">
      <c r="A370" s="60"/>
      <c r="B370" s="102" t="str">
        <f aca="false">IF(A370="","","Year "&amp;VALUE(MID(A370,2,2)))</f>
        <v/>
      </c>
      <c r="C370" s="102" t="str">
        <f aca="false">IF(A370="","",MID(A370,4,FIND("/",A370)-4))</f>
        <v/>
      </c>
      <c r="D370" s="102" t="str">
        <f aca="false">IF(A370="","",MID(A370,FIND("/",A370)+1,2))</f>
        <v/>
      </c>
      <c r="E370" s="103" t="str">
        <f aca="false">IF(A370="","",IFERROR(INDEX(SubjName,MATCH(D370,SubjCode,0)),"؟ رمز مادة غير معرّف في Settings"))</f>
        <v/>
      </c>
      <c r="F370" s="102" t="str">
        <f aca="false">IF(A370="","",MID(A370,FIND("/",A370)+1,10))</f>
        <v/>
      </c>
      <c r="G370" s="63"/>
      <c r="H370" s="103" t="str">
        <f aca="false">IF(A370="","",IF(G370="","غير محدد (Unassigned)",IFERROR(INDEX(Teachers!$C$6:$C$75,MATCH(G370,Teachers!$A$6:$A$75,0)),"؟ كود معلم غير موجود")))</f>
        <v/>
      </c>
      <c r="I370" s="104"/>
    </row>
    <row r="371" customFormat="false" ht="15" hidden="false" customHeight="false" outlineLevel="0" collapsed="false">
      <c r="A371" s="60"/>
      <c r="B371" s="102" t="str">
        <f aca="false">IF(A371="","","Year "&amp;VALUE(MID(A371,2,2)))</f>
        <v/>
      </c>
      <c r="C371" s="102" t="str">
        <f aca="false">IF(A371="","",MID(A371,4,FIND("/",A371)-4))</f>
        <v/>
      </c>
      <c r="D371" s="102" t="str">
        <f aca="false">IF(A371="","",MID(A371,FIND("/",A371)+1,2))</f>
        <v/>
      </c>
      <c r="E371" s="103" t="str">
        <f aca="false">IF(A371="","",IFERROR(INDEX(SubjName,MATCH(D371,SubjCode,0)),"؟ رمز مادة غير معرّف في Settings"))</f>
        <v/>
      </c>
      <c r="F371" s="102" t="str">
        <f aca="false">IF(A371="","",MID(A371,FIND("/",A371)+1,10))</f>
        <v/>
      </c>
      <c r="G371" s="63"/>
      <c r="H371" s="103" t="str">
        <f aca="false">IF(A371="","",IF(G371="","غير محدد (Unassigned)",IFERROR(INDEX(Teachers!$C$6:$C$75,MATCH(G371,Teachers!$A$6:$A$75,0)),"؟ كود معلم غير موجود")))</f>
        <v/>
      </c>
      <c r="I371" s="104"/>
    </row>
    <row r="372" customFormat="false" ht="15" hidden="false" customHeight="false" outlineLevel="0" collapsed="false">
      <c r="A372" s="60"/>
      <c r="B372" s="102" t="str">
        <f aca="false">IF(A372="","","Year "&amp;VALUE(MID(A372,2,2)))</f>
        <v/>
      </c>
      <c r="C372" s="102" t="str">
        <f aca="false">IF(A372="","",MID(A372,4,FIND("/",A372)-4))</f>
        <v/>
      </c>
      <c r="D372" s="102" t="str">
        <f aca="false">IF(A372="","",MID(A372,FIND("/",A372)+1,2))</f>
        <v/>
      </c>
      <c r="E372" s="103" t="str">
        <f aca="false">IF(A372="","",IFERROR(INDEX(SubjName,MATCH(D372,SubjCode,0)),"؟ رمز مادة غير معرّف في Settings"))</f>
        <v/>
      </c>
      <c r="F372" s="102" t="str">
        <f aca="false">IF(A372="","",MID(A372,FIND("/",A372)+1,10))</f>
        <v/>
      </c>
      <c r="G372" s="63"/>
      <c r="H372" s="103" t="str">
        <f aca="false">IF(A372="","",IF(G372="","غير محدد (Unassigned)",IFERROR(INDEX(Teachers!$C$6:$C$75,MATCH(G372,Teachers!$A$6:$A$75,0)),"؟ كود معلم غير موجود")))</f>
        <v/>
      </c>
      <c r="I372" s="104"/>
    </row>
    <row r="373" customFormat="false" ht="15" hidden="false" customHeight="false" outlineLevel="0" collapsed="false">
      <c r="A373" s="60"/>
      <c r="B373" s="102" t="str">
        <f aca="false">IF(A373="","","Year "&amp;VALUE(MID(A373,2,2)))</f>
        <v/>
      </c>
      <c r="C373" s="102" t="str">
        <f aca="false">IF(A373="","",MID(A373,4,FIND("/",A373)-4))</f>
        <v/>
      </c>
      <c r="D373" s="102" t="str">
        <f aca="false">IF(A373="","",MID(A373,FIND("/",A373)+1,2))</f>
        <v/>
      </c>
      <c r="E373" s="103" t="str">
        <f aca="false">IF(A373="","",IFERROR(INDEX(SubjName,MATCH(D373,SubjCode,0)),"؟ رمز مادة غير معرّف في Settings"))</f>
        <v/>
      </c>
      <c r="F373" s="102" t="str">
        <f aca="false">IF(A373="","",MID(A373,FIND("/",A373)+1,10))</f>
        <v/>
      </c>
      <c r="G373" s="63"/>
      <c r="H373" s="103" t="str">
        <f aca="false">IF(A373="","",IF(G373="","غير محدد (Unassigned)",IFERROR(INDEX(Teachers!$C$6:$C$75,MATCH(G373,Teachers!$A$6:$A$75,0)),"؟ كود معلم غير موجود")))</f>
        <v/>
      </c>
      <c r="I373" s="104"/>
    </row>
    <row r="374" customFormat="false" ht="15" hidden="false" customHeight="false" outlineLevel="0" collapsed="false">
      <c r="A374" s="60"/>
      <c r="B374" s="102" t="str">
        <f aca="false">IF(A374="","","Year "&amp;VALUE(MID(A374,2,2)))</f>
        <v/>
      </c>
      <c r="C374" s="102" t="str">
        <f aca="false">IF(A374="","",MID(A374,4,FIND("/",A374)-4))</f>
        <v/>
      </c>
      <c r="D374" s="102" t="str">
        <f aca="false">IF(A374="","",MID(A374,FIND("/",A374)+1,2))</f>
        <v/>
      </c>
      <c r="E374" s="103" t="str">
        <f aca="false">IF(A374="","",IFERROR(INDEX(SubjName,MATCH(D374,SubjCode,0)),"؟ رمز مادة غير معرّف في Settings"))</f>
        <v/>
      </c>
      <c r="F374" s="102" t="str">
        <f aca="false">IF(A374="","",MID(A374,FIND("/",A374)+1,10))</f>
        <v/>
      </c>
      <c r="G374" s="63"/>
      <c r="H374" s="103" t="str">
        <f aca="false">IF(A374="","",IF(G374="","غير محدد (Unassigned)",IFERROR(INDEX(Teachers!$C$6:$C$75,MATCH(G374,Teachers!$A$6:$A$75,0)),"؟ كود معلم غير موجود")))</f>
        <v/>
      </c>
      <c r="I374" s="104"/>
    </row>
    <row r="375" customFormat="false" ht="15" hidden="false" customHeight="false" outlineLevel="0" collapsed="false">
      <c r="A375" s="60"/>
      <c r="B375" s="102" t="str">
        <f aca="false">IF(A375="","","Year "&amp;VALUE(MID(A375,2,2)))</f>
        <v/>
      </c>
      <c r="C375" s="102" t="str">
        <f aca="false">IF(A375="","",MID(A375,4,FIND("/",A375)-4))</f>
        <v/>
      </c>
      <c r="D375" s="102" t="str">
        <f aca="false">IF(A375="","",MID(A375,FIND("/",A375)+1,2))</f>
        <v/>
      </c>
      <c r="E375" s="103" t="str">
        <f aca="false">IF(A375="","",IFERROR(INDEX(SubjName,MATCH(D375,SubjCode,0)),"؟ رمز مادة غير معرّف في Settings"))</f>
        <v/>
      </c>
      <c r="F375" s="102" t="str">
        <f aca="false">IF(A375="","",MID(A375,FIND("/",A375)+1,10))</f>
        <v/>
      </c>
      <c r="G375" s="63"/>
      <c r="H375" s="103" t="str">
        <f aca="false">IF(A375="","",IF(G375="","غير محدد (Unassigned)",IFERROR(INDEX(Teachers!$C$6:$C$75,MATCH(G375,Teachers!$A$6:$A$75,0)),"؟ كود معلم غير موجود")))</f>
        <v/>
      </c>
      <c r="I375" s="104"/>
    </row>
    <row r="376" customFormat="false" ht="15" hidden="false" customHeight="false" outlineLevel="0" collapsed="false">
      <c r="A376" s="60"/>
      <c r="B376" s="102" t="str">
        <f aca="false">IF(A376="","","Year "&amp;VALUE(MID(A376,2,2)))</f>
        <v/>
      </c>
      <c r="C376" s="102" t="str">
        <f aca="false">IF(A376="","",MID(A376,4,FIND("/",A376)-4))</f>
        <v/>
      </c>
      <c r="D376" s="102" t="str">
        <f aca="false">IF(A376="","",MID(A376,FIND("/",A376)+1,2))</f>
        <v/>
      </c>
      <c r="E376" s="103" t="str">
        <f aca="false">IF(A376="","",IFERROR(INDEX(SubjName,MATCH(D376,SubjCode,0)),"؟ رمز مادة غير معرّف في Settings"))</f>
        <v/>
      </c>
      <c r="F376" s="102" t="str">
        <f aca="false">IF(A376="","",MID(A376,FIND("/",A376)+1,10))</f>
        <v/>
      </c>
      <c r="G376" s="63"/>
      <c r="H376" s="103" t="str">
        <f aca="false">IF(A376="","",IF(G376="","غير محدد (Unassigned)",IFERROR(INDEX(Teachers!$C$6:$C$75,MATCH(G376,Teachers!$A$6:$A$75,0)),"؟ كود معلم غير موجود")))</f>
        <v/>
      </c>
      <c r="I376" s="104"/>
    </row>
    <row r="377" customFormat="false" ht="15" hidden="false" customHeight="false" outlineLevel="0" collapsed="false">
      <c r="A377" s="60"/>
      <c r="B377" s="102" t="str">
        <f aca="false">IF(A377="","","Year "&amp;VALUE(MID(A377,2,2)))</f>
        <v/>
      </c>
      <c r="C377" s="102" t="str">
        <f aca="false">IF(A377="","",MID(A377,4,FIND("/",A377)-4))</f>
        <v/>
      </c>
      <c r="D377" s="102" t="str">
        <f aca="false">IF(A377="","",MID(A377,FIND("/",A377)+1,2))</f>
        <v/>
      </c>
      <c r="E377" s="103" t="str">
        <f aca="false">IF(A377="","",IFERROR(INDEX(SubjName,MATCH(D377,SubjCode,0)),"؟ رمز مادة غير معرّف في Settings"))</f>
        <v/>
      </c>
      <c r="F377" s="102" t="str">
        <f aca="false">IF(A377="","",MID(A377,FIND("/",A377)+1,10))</f>
        <v/>
      </c>
      <c r="G377" s="63"/>
      <c r="H377" s="103" t="str">
        <f aca="false">IF(A377="","",IF(G377="","غير محدد (Unassigned)",IFERROR(INDEX(Teachers!$C$6:$C$75,MATCH(G377,Teachers!$A$6:$A$75,0)),"؟ كود معلم غير موجود")))</f>
        <v/>
      </c>
      <c r="I377" s="104"/>
    </row>
    <row r="378" customFormat="false" ht="15" hidden="false" customHeight="false" outlineLevel="0" collapsed="false">
      <c r="A378" s="60"/>
      <c r="B378" s="102" t="str">
        <f aca="false">IF(A378="","","Year "&amp;VALUE(MID(A378,2,2)))</f>
        <v/>
      </c>
      <c r="C378" s="102" t="str">
        <f aca="false">IF(A378="","",MID(A378,4,FIND("/",A378)-4))</f>
        <v/>
      </c>
      <c r="D378" s="102" t="str">
        <f aca="false">IF(A378="","",MID(A378,FIND("/",A378)+1,2))</f>
        <v/>
      </c>
      <c r="E378" s="103" t="str">
        <f aca="false">IF(A378="","",IFERROR(INDEX(SubjName,MATCH(D378,SubjCode,0)),"؟ رمز مادة غير معرّف في Settings"))</f>
        <v/>
      </c>
      <c r="F378" s="102" t="str">
        <f aca="false">IF(A378="","",MID(A378,FIND("/",A378)+1,10))</f>
        <v/>
      </c>
      <c r="G378" s="63"/>
      <c r="H378" s="103" t="str">
        <f aca="false">IF(A378="","",IF(G378="","غير محدد (Unassigned)",IFERROR(INDEX(Teachers!$C$6:$C$75,MATCH(G378,Teachers!$A$6:$A$75,0)),"؟ كود معلم غير موجود")))</f>
        <v/>
      </c>
      <c r="I378" s="104"/>
    </row>
    <row r="379" customFormat="false" ht="15" hidden="false" customHeight="false" outlineLevel="0" collapsed="false">
      <c r="A379" s="60"/>
      <c r="B379" s="102" t="str">
        <f aca="false">IF(A379="","","Year "&amp;VALUE(MID(A379,2,2)))</f>
        <v/>
      </c>
      <c r="C379" s="102" t="str">
        <f aca="false">IF(A379="","",MID(A379,4,FIND("/",A379)-4))</f>
        <v/>
      </c>
      <c r="D379" s="102" t="str">
        <f aca="false">IF(A379="","",MID(A379,FIND("/",A379)+1,2))</f>
        <v/>
      </c>
      <c r="E379" s="103" t="str">
        <f aca="false">IF(A379="","",IFERROR(INDEX(SubjName,MATCH(D379,SubjCode,0)),"؟ رمز مادة غير معرّف في Settings"))</f>
        <v/>
      </c>
      <c r="F379" s="102" t="str">
        <f aca="false">IF(A379="","",MID(A379,FIND("/",A379)+1,10))</f>
        <v/>
      </c>
      <c r="G379" s="63"/>
      <c r="H379" s="103" t="str">
        <f aca="false">IF(A379="","",IF(G379="","غير محدد (Unassigned)",IFERROR(INDEX(Teachers!$C$6:$C$75,MATCH(G379,Teachers!$A$6:$A$75,0)),"؟ كود معلم غير موجود")))</f>
        <v/>
      </c>
      <c r="I379" s="104"/>
    </row>
    <row r="380" customFormat="false" ht="15" hidden="false" customHeight="false" outlineLevel="0" collapsed="false">
      <c r="A380" s="60"/>
      <c r="B380" s="102" t="str">
        <f aca="false">IF(A380="","","Year "&amp;VALUE(MID(A380,2,2)))</f>
        <v/>
      </c>
      <c r="C380" s="102" t="str">
        <f aca="false">IF(A380="","",MID(A380,4,FIND("/",A380)-4))</f>
        <v/>
      </c>
      <c r="D380" s="102" t="str">
        <f aca="false">IF(A380="","",MID(A380,FIND("/",A380)+1,2))</f>
        <v/>
      </c>
      <c r="E380" s="103" t="str">
        <f aca="false">IF(A380="","",IFERROR(INDEX(SubjName,MATCH(D380,SubjCode,0)),"؟ رمز مادة غير معرّف في Settings"))</f>
        <v/>
      </c>
      <c r="F380" s="102" t="str">
        <f aca="false">IF(A380="","",MID(A380,FIND("/",A380)+1,10))</f>
        <v/>
      </c>
      <c r="G380" s="63"/>
      <c r="H380" s="103" t="str">
        <f aca="false">IF(A380="","",IF(G380="","غير محدد (Unassigned)",IFERROR(INDEX(Teachers!$C$6:$C$75,MATCH(G380,Teachers!$A$6:$A$75,0)),"؟ كود معلم غير موجود")))</f>
        <v/>
      </c>
      <c r="I380" s="104"/>
    </row>
    <row r="381" customFormat="false" ht="15" hidden="false" customHeight="false" outlineLevel="0" collapsed="false">
      <c r="A381" s="60"/>
      <c r="B381" s="102" t="str">
        <f aca="false">IF(A381="","","Year "&amp;VALUE(MID(A381,2,2)))</f>
        <v/>
      </c>
      <c r="C381" s="102" t="str">
        <f aca="false">IF(A381="","",MID(A381,4,FIND("/",A381)-4))</f>
        <v/>
      </c>
      <c r="D381" s="102" t="str">
        <f aca="false">IF(A381="","",MID(A381,FIND("/",A381)+1,2))</f>
        <v/>
      </c>
      <c r="E381" s="103" t="str">
        <f aca="false">IF(A381="","",IFERROR(INDEX(SubjName,MATCH(D381,SubjCode,0)),"؟ رمز مادة غير معرّف في Settings"))</f>
        <v/>
      </c>
      <c r="F381" s="102" t="str">
        <f aca="false">IF(A381="","",MID(A381,FIND("/",A381)+1,10))</f>
        <v/>
      </c>
      <c r="G381" s="63"/>
      <c r="H381" s="103" t="str">
        <f aca="false">IF(A381="","",IF(G381="","غير محدد (Unassigned)",IFERROR(INDEX(Teachers!$C$6:$C$75,MATCH(G381,Teachers!$A$6:$A$75,0)),"؟ كود معلم غير موجود")))</f>
        <v/>
      </c>
      <c r="I381" s="104"/>
    </row>
    <row r="382" customFormat="false" ht="15" hidden="false" customHeight="false" outlineLevel="0" collapsed="false">
      <c r="A382" s="60"/>
      <c r="B382" s="102" t="str">
        <f aca="false">IF(A382="","","Year "&amp;VALUE(MID(A382,2,2)))</f>
        <v/>
      </c>
      <c r="C382" s="102" t="str">
        <f aca="false">IF(A382="","",MID(A382,4,FIND("/",A382)-4))</f>
        <v/>
      </c>
      <c r="D382" s="102" t="str">
        <f aca="false">IF(A382="","",MID(A382,FIND("/",A382)+1,2))</f>
        <v/>
      </c>
      <c r="E382" s="103" t="str">
        <f aca="false">IF(A382="","",IFERROR(INDEX(SubjName,MATCH(D382,SubjCode,0)),"؟ رمز مادة غير معرّف في Settings"))</f>
        <v/>
      </c>
      <c r="F382" s="102" t="str">
        <f aca="false">IF(A382="","",MID(A382,FIND("/",A382)+1,10))</f>
        <v/>
      </c>
      <c r="G382" s="63"/>
      <c r="H382" s="103" t="str">
        <f aca="false">IF(A382="","",IF(G382="","غير محدد (Unassigned)",IFERROR(INDEX(Teachers!$C$6:$C$75,MATCH(G382,Teachers!$A$6:$A$75,0)),"؟ كود معلم غير موجود")))</f>
        <v/>
      </c>
      <c r="I382" s="104"/>
    </row>
    <row r="383" customFormat="false" ht="15" hidden="false" customHeight="false" outlineLevel="0" collapsed="false">
      <c r="A383" s="60"/>
      <c r="B383" s="102" t="str">
        <f aca="false">IF(A383="","","Year "&amp;VALUE(MID(A383,2,2)))</f>
        <v/>
      </c>
      <c r="C383" s="102" t="str">
        <f aca="false">IF(A383="","",MID(A383,4,FIND("/",A383)-4))</f>
        <v/>
      </c>
      <c r="D383" s="102" t="str">
        <f aca="false">IF(A383="","",MID(A383,FIND("/",A383)+1,2))</f>
        <v/>
      </c>
      <c r="E383" s="103" t="str">
        <f aca="false">IF(A383="","",IFERROR(INDEX(SubjName,MATCH(D383,SubjCode,0)),"؟ رمز مادة غير معرّف في Settings"))</f>
        <v/>
      </c>
      <c r="F383" s="102" t="str">
        <f aca="false">IF(A383="","",MID(A383,FIND("/",A383)+1,10))</f>
        <v/>
      </c>
      <c r="G383" s="63"/>
      <c r="H383" s="103" t="str">
        <f aca="false">IF(A383="","",IF(G383="","غير محدد (Unassigned)",IFERROR(INDEX(Teachers!$C$6:$C$75,MATCH(G383,Teachers!$A$6:$A$75,0)),"؟ كود معلم غير موجود")))</f>
        <v/>
      </c>
      <c r="I383" s="104"/>
    </row>
    <row r="384" customFormat="false" ht="15" hidden="false" customHeight="false" outlineLevel="0" collapsed="false">
      <c r="A384" s="60"/>
      <c r="B384" s="102" t="str">
        <f aca="false">IF(A384="","","Year "&amp;VALUE(MID(A384,2,2)))</f>
        <v/>
      </c>
      <c r="C384" s="102" t="str">
        <f aca="false">IF(A384="","",MID(A384,4,FIND("/",A384)-4))</f>
        <v/>
      </c>
      <c r="D384" s="102" t="str">
        <f aca="false">IF(A384="","",MID(A384,FIND("/",A384)+1,2))</f>
        <v/>
      </c>
      <c r="E384" s="103" t="str">
        <f aca="false">IF(A384="","",IFERROR(INDEX(SubjName,MATCH(D384,SubjCode,0)),"؟ رمز مادة غير معرّف في Settings"))</f>
        <v/>
      </c>
      <c r="F384" s="102" t="str">
        <f aca="false">IF(A384="","",MID(A384,FIND("/",A384)+1,10))</f>
        <v/>
      </c>
      <c r="G384" s="63"/>
      <c r="H384" s="103" t="str">
        <f aca="false">IF(A384="","",IF(G384="","غير محدد (Unassigned)",IFERROR(INDEX(Teachers!$C$6:$C$75,MATCH(G384,Teachers!$A$6:$A$75,0)),"؟ كود معلم غير موجود")))</f>
        <v/>
      </c>
      <c r="I384" s="104"/>
    </row>
    <row r="385" customFormat="false" ht="15" hidden="false" customHeight="false" outlineLevel="0" collapsed="false">
      <c r="A385" s="60"/>
      <c r="B385" s="102" t="str">
        <f aca="false">IF(A385="","","Year "&amp;VALUE(MID(A385,2,2)))</f>
        <v/>
      </c>
      <c r="C385" s="102" t="str">
        <f aca="false">IF(A385="","",MID(A385,4,FIND("/",A385)-4))</f>
        <v/>
      </c>
      <c r="D385" s="102" t="str">
        <f aca="false">IF(A385="","",MID(A385,FIND("/",A385)+1,2))</f>
        <v/>
      </c>
      <c r="E385" s="103" t="str">
        <f aca="false">IF(A385="","",IFERROR(INDEX(SubjName,MATCH(D385,SubjCode,0)),"؟ رمز مادة غير معرّف في Settings"))</f>
        <v/>
      </c>
      <c r="F385" s="102" t="str">
        <f aca="false">IF(A385="","",MID(A385,FIND("/",A385)+1,10))</f>
        <v/>
      </c>
      <c r="G385" s="63"/>
      <c r="H385" s="103" t="str">
        <f aca="false">IF(A385="","",IF(G385="","غير محدد (Unassigned)",IFERROR(INDEX(Teachers!$C$6:$C$75,MATCH(G385,Teachers!$A$6:$A$75,0)),"؟ كود معلم غير موجود")))</f>
        <v/>
      </c>
      <c r="I385" s="104"/>
    </row>
    <row r="386" customFormat="false" ht="15" hidden="false" customHeight="false" outlineLevel="0" collapsed="false">
      <c r="A386" s="60"/>
      <c r="B386" s="102" t="str">
        <f aca="false">IF(A386="","","Year "&amp;VALUE(MID(A386,2,2)))</f>
        <v/>
      </c>
      <c r="C386" s="102" t="str">
        <f aca="false">IF(A386="","",MID(A386,4,FIND("/",A386)-4))</f>
        <v/>
      </c>
      <c r="D386" s="102" t="str">
        <f aca="false">IF(A386="","",MID(A386,FIND("/",A386)+1,2))</f>
        <v/>
      </c>
      <c r="E386" s="103" t="str">
        <f aca="false">IF(A386="","",IFERROR(INDEX(SubjName,MATCH(D386,SubjCode,0)),"؟ رمز مادة غير معرّف في Settings"))</f>
        <v/>
      </c>
      <c r="F386" s="102" t="str">
        <f aca="false">IF(A386="","",MID(A386,FIND("/",A386)+1,10))</f>
        <v/>
      </c>
      <c r="G386" s="63"/>
      <c r="H386" s="103" t="str">
        <f aca="false">IF(A386="","",IF(G386="","غير محدد (Unassigned)",IFERROR(INDEX(Teachers!$C$6:$C$75,MATCH(G386,Teachers!$A$6:$A$75,0)),"؟ كود معلم غير موجود")))</f>
        <v/>
      </c>
      <c r="I386" s="104"/>
    </row>
    <row r="387" customFormat="false" ht="15" hidden="false" customHeight="false" outlineLevel="0" collapsed="false">
      <c r="A387" s="60"/>
      <c r="B387" s="102" t="str">
        <f aca="false">IF(A387="","","Year "&amp;VALUE(MID(A387,2,2)))</f>
        <v/>
      </c>
      <c r="C387" s="102" t="str">
        <f aca="false">IF(A387="","",MID(A387,4,FIND("/",A387)-4))</f>
        <v/>
      </c>
      <c r="D387" s="102" t="str">
        <f aca="false">IF(A387="","",MID(A387,FIND("/",A387)+1,2))</f>
        <v/>
      </c>
      <c r="E387" s="103" t="str">
        <f aca="false">IF(A387="","",IFERROR(INDEX(SubjName,MATCH(D387,SubjCode,0)),"؟ رمز مادة غير معرّف في Settings"))</f>
        <v/>
      </c>
      <c r="F387" s="102" t="str">
        <f aca="false">IF(A387="","",MID(A387,FIND("/",A387)+1,10))</f>
        <v/>
      </c>
      <c r="G387" s="63"/>
      <c r="H387" s="103" t="str">
        <f aca="false">IF(A387="","",IF(G387="","غير محدد (Unassigned)",IFERROR(INDEX(Teachers!$C$6:$C$75,MATCH(G387,Teachers!$A$6:$A$75,0)),"؟ كود معلم غير موجود")))</f>
        <v/>
      </c>
      <c r="I387" s="104"/>
    </row>
    <row r="388" customFormat="false" ht="15" hidden="false" customHeight="false" outlineLevel="0" collapsed="false">
      <c r="A388" s="60"/>
      <c r="B388" s="102" t="str">
        <f aca="false">IF(A388="","","Year "&amp;VALUE(MID(A388,2,2)))</f>
        <v/>
      </c>
      <c r="C388" s="102" t="str">
        <f aca="false">IF(A388="","",MID(A388,4,FIND("/",A388)-4))</f>
        <v/>
      </c>
      <c r="D388" s="102" t="str">
        <f aca="false">IF(A388="","",MID(A388,FIND("/",A388)+1,2))</f>
        <v/>
      </c>
      <c r="E388" s="103" t="str">
        <f aca="false">IF(A388="","",IFERROR(INDEX(SubjName,MATCH(D388,SubjCode,0)),"؟ رمز مادة غير معرّف في Settings"))</f>
        <v/>
      </c>
      <c r="F388" s="102" t="str">
        <f aca="false">IF(A388="","",MID(A388,FIND("/",A388)+1,10))</f>
        <v/>
      </c>
      <c r="G388" s="63"/>
      <c r="H388" s="103" t="str">
        <f aca="false">IF(A388="","",IF(G388="","غير محدد (Unassigned)",IFERROR(INDEX(Teachers!$C$6:$C$75,MATCH(G388,Teachers!$A$6:$A$75,0)),"؟ كود معلم غير موجود")))</f>
        <v/>
      </c>
      <c r="I388" s="104"/>
    </row>
    <row r="389" customFormat="false" ht="15" hidden="false" customHeight="false" outlineLevel="0" collapsed="false">
      <c r="A389" s="60"/>
      <c r="B389" s="102" t="str">
        <f aca="false">IF(A389="","","Year "&amp;VALUE(MID(A389,2,2)))</f>
        <v/>
      </c>
      <c r="C389" s="102" t="str">
        <f aca="false">IF(A389="","",MID(A389,4,FIND("/",A389)-4))</f>
        <v/>
      </c>
      <c r="D389" s="102" t="str">
        <f aca="false">IF(A389="","",MID(A389,FIND("/",A389)+1,2))</f>
        <v/>
      </c>
      <c r="E389" s="103" t="str">
        <f aca="false">IF(A389="","",IFERROR(INDEX(SubjName,MATCH(D389,SubjCode,0)),"؟ رمز مادة غير معرّف في Settings"))</f>
        <v/>
      </c>
      <c r="F389" s="102" t="str">
        <f aca="false">IF(A389="","",MID(A389,FIND("/",A389)+1,10))</f>
        <v/>
      </c>
      <c r="G389" s="63"/>
      <c r="H389" s="103" t="str">
        <f aca="false">IF(A389="","",IF(G389="","غير محدد (Unassigned)",IFERROR(INDEX(Teachers!$C$6:$C$75,MATCH(G389,Teachers!$A$6:$A$75,0)),"؟ كود معلم غير موجود")))</f>
        <v/>
      </c>
      <c r="I389" s="104"/>
    </row>
    <row r="390" customFormat="false" ht="15" hidden="false" customHeight="false" outlineLevel="0" collapsed="false">
      <c r="A390" s="60"/>
      <c r="B390" s="102" t="str">
        <f aca="false">IF(A390="","","Year "&amp;VALUE(MID(A390,2,2)))</f>
        <v/>
      </c>
      <c r="C390" s="102" t="str">
        <f aca="false">IF(A390="","",MID(A390,4,FIND("/",A390)-4))</f>
        <v/>
      </c>
      <c r="D390" s="102" t="str">
        <f aca="false">IF(A390="","",MID(A390,FIND("/",A390)+1,2))</f>
        <v/>
      </c>
      <c r="E390" s="103" t="str">
        <f aca="false">IF(A390="","",IFERROR(INDEX(SubjName,MATCH(D390,SubjCode,0)),"؟ رمز مادة غير معرّف في Settings"))</f>
        <v/>
      </c>
      <c r="F390" s="102" t="str">
        <f aca="false">IF(A390="","",MID(A390,FIND("/",A390)+1,10))</f>
        <v/>
      </c>
      <c r="G390" s="63"/>
      <c r="H390" s="103" t="str">
        <f aca="false">IF(A390="","",IF(G390="","غير محدد (Unassigned)",IFERROR(INDEX(Teachers!$C$6:$C$75,MATCH(G390,Teachers!$A$6:$A$75,0)),"؟ كود معلم غير موجود")))</f>
        <v/>
      </c>
      <c r="I390" s="104"/>
    </row>
    <row r="391" customFormat="false" ht="15" hidden="false" customHeight="false" outlineLevel="0" collapsed="false">
      <c r="A391" s="60"/>
      <c r="B391" s="102" t="str">
        <f aca="false">IF(A391="","","Year "&amp;VALUE(MID(A391,2,2)))</f>
        <v/>
      </c>
      <c r="C391" s="102" t="str">
        <f aca="false">IF(A391="","",MID(A391,4,FIND("/",A391)-4))</f>
        <v/>
      </c>
      <c r="D391" s="102" t="str">
        <f aca="false">IF(A391="","",MID(A391,FIND("/",A391)+1,2))</f>
        <v/>
      </c>
      <c r="E391" s="103" t="str">
        <f aca="false">IF(A391="","",IFERROR(INDEX(SubjName,MATCH(D391,SubjCode,0)),"؟ رمز مادة غير معرّف في Settings"))</f>
        <v/>
      </c>
      <c r="F391" s="102" t="str">
        <f aca="false">IF(A391="","",MID(A391,FIND("/",A391)+1,10))</f>
        <v/>
      </c>
      <c r="G391" s="63"/>
      <c r="H391" s="103" t="str">
        <f aca="false">IF(A391="","",IF(G391="","غير محدد (Unassigned)",IFERROR(INDEX(Teachers!$C$6:$C$75,MATCH(G391,Teachers!$A$6:$A$75,0)),"؟ كود معلم غير موجود")))</f>
        <v/>
      </c>
      <c r="I391" s="104"/>
    </row>
    <row r="392" customFormat="false" ht="15" hidden="false" customHeight="false" outlineLevel="0" collapsed="false">
      <c r="A392" s="60"/>
      <c r="B392" s="102" t="str">
        <f aca="false">IF(A392="","","Year "&amp;VALUE(MID(A392,2,2)))</f>
        <v/>
      </c>
      <c r="C392" s="102" t="str">
        <f aca="false">IF(A392="","",MID(A392,4,FIND("/",A392)-4))</f>
        <v/>
      </c>
      <c r="D392" s="102" t="str">
        <f aca="false">IF(A392="","",MID(A392,FIND("/",A392)+1,2))</f>
        <v/>
      </c>
      <c r="E392" s="103" t="str">
        <f aca="false">IF(A392="","",IFERROR(INDEX(SubjName,MATCH(D392,SubjCode,0)),"؟ رمز مادة غير معرّف في Settings"))</f>
        <v/>
      </c>
      <c r="F392" s="102" t="str">
        <f aca="false">IF(A392="","",MID(A392,FIND("/",A392)+1,10))</f>
        <v/>
      </c>
      <c r="G392" s="63"/>
      <c r="H392" s="103" t="str">
        <f aca="false">IF(A392="","",IF(G392="","غير محدد (Unassigned)",IFERROR(INDEX(Teachers!$C$6:$C$75,MATCH(G392,Teachers!$A$6:$A$75,0)),"؟ كود معلم غير موجود")))</f>
        <v/>
      </c>
      <c r="I392" s="104"/>
    </row>
    <row r="393" customFormat="false" ht="15" hidden="false" customHeight="false" outlineLevel="0" collapsed="false">
      <c r="A393" s="60"/>
      <c r="B393" s="102" t="str">
        <f aca="false">IF(A393="","","Year "&amp;VALUE(MID(A393,2,2)))</f>
        <v/>
      </c>
      <c r="C393" s="102" t="str">
        <f aca="false">IF(A393="","",MID(A393,4,FIND("/",A393)-4))</f>
        <v/>
      </c>
      <c r="D393" s="102" t="str">
        <f aca="false">IF(A393="","",MID(A393,FIND("/",A393)+1,2))</f>
        <v/>
      </c>
      <c r="E393" s="103" t="str">
        <f aca="false">IF(A393="","",IFERROR(INDEX(SubjName,MATCH(D393,SubjCode,0)),"؟ رمز مادة غير معرّف في Settings"))</f>
        <v/>
      </c>
      <c r="F393" s="102" t="str">
        <f aca="false">IF(A393="","",MID(A393,FIND("/",A393)+1,10))</f>
        <v/>
      </c>
      <c r="G393" s="63"/>
      <c r="H393" s="103" t="str">
        <f aca="false">IF(A393="","",IF(G393="","غير محدد (Unassigned)",IFERROR(INDEX(Teachers!$C$6:$C$75,MATCH(G393,Teachers!$A$6:$A$75,0)),"؟ كود معلم غير موجود")))</f>
        <v/>
      </c>
      <c r="I393" s="104"/>
    </row>
    <row r="394" customFormat="false" ht="15" hidden="false" customHeight="false" outlineLevel="0" collapsed="false">
      <c r="A394" s="60"/>
      <c r="B394" s="102" t="str">
        <f aca="false">IF(A394="","","Year "&amp;VALUE(MID(A394,2,2)))</f>
        <v/>
      </c>
      <c r="C394" s="102" t="str">
        <f aca="false">IF(A394="","",MID(A394,4,FIND("/",A394)-4))</f>
        <v/>
      </c>
      <c r="D394" s="102" t="str">
        <f aca="false">IF(A394="","",MID(A394,FIND("/",A394)+1,2))</f>
        <v/>
      </c>
      <c r="E394" s="103" t="str">
        <f aca="false">IF(A394="","",IFERROR(INDEX(SubjName,MATCH(D394,SubjCode,0)),"؟ رمز مادة غير معرّف في Settings"))</f>
        <v/>
      </c>
      <c r="F394" s="102" t="str">
        <f aca="false">IF(A394="","",MID(A394,FIND("/",A394)+1,10))</f>
        <v/>
      </c>
      <c r="G394" s="63"/>
      <c r="H394" s="103" t="str">
        <f aca="false">IF(A394="","",IF(G394="","غير محدد (Unassigned)",IFERROR(INDEX(Teachers!$C$6:$C$75,MATCH(G394,Teachers!$A$6:$A$75,0)),"؟ كود معلم غير موجود")))</f>
        <v/>
      </c>
      <c r="I394" s="104"/>
    </row>
    <row r="395" customFormat="false" ht="15" hidden="false" customHeight="false" outlineLevel="0" collapsed="false">
      <c r="A395" s="60"/>
      <c r="B395" s="102" t="str">
        <f aca="false">IF(A395="","","Year "&amp;VALUE(MID(A395,2,2)))</f>
        <v/>
      </c>
      <c r="C395" s="102" t="str">
        <f aca="false">IF(A395="","",MID(A395,4,FIND("/",A395)-4))</f>
        <v/>
      </c>
      <c r="D395" s="102" t="str">
        <f aca="false">IF(A395="","",MID(A395,FIND("/",A395)+1,2))</f>
        <v/>
      </c>
      <c r="E395" s="103" t="str">
        <f aca="false">IF(A395="","",IFERROR(INDEX(SubjName,MATCH(D395,SubjCode,0)),"؟ رمز مادة غير معرّف في Settings"))</f>
        <v/>
      </c>
      <c r="F395" s="102" t="str">
        <f aca="false">IF(A395="","",MID(A395,FIND("/",A395)+1,10))</f>
        <v/>
      </c>
      <c r="G395" s="63"/>
      <c r="H395" s="103" t="str">
        <f aca="false">IF(A395="","",IF(G395="","غير محدد (Unassigned)",IFERROR(INDEX(Teachers!$C$6:$C$75,MATCH(G395,Teachers!$A$6:$A$75,0)),"؟ كود معلم غير موجود")))</f>
        <v/>
      </c>
      <c r="I395" s="104"/>
    </row>
    <row r="396" customFormat="false" ht="15" hidden="false" customHeight="false" outlineLevel="0" collapsed="false">
      <c r="A396" s="60"/>
      <c r="B396" s="102" t="str">
        <f aca="false">IF(A396="","","Year "&amp;VALUE(MID(A396,2,2)))</f>
        <v/>
      </c>
      <c r="C396" s="102" t="str">
        <f aca="false">IF(A396="","",MID(A396,4,FIND("/",A396)-4))</f>
        <v/>
      </c>
      <c r="D396" s="102" t="str">
        <f aca="false">IF(A396="","",MID(A396,FIND("/",A396)+1,2))</f>
        <v/>
      </c>
      <c r="E396" s="103" t="str">
        <f aca="false">IF(A396="","",IFERROR(INDEX(SubjName,MATCH(D396,SubjCode,0)),"؟ رمز مادة غير معرّف في Settings"))</f>
        <v/>
      </c>
      <c r="F396" s="102" t="str">
        <f aca="false">IF(A396="","",MID(A396,FIND("/",A396)+1,10))</f>
        <v/>
      </c>
      <c r="G396" s="63"/>
      <c r="H396" s="103" t="str">
        <f aca="false">IF(A396="","",IF(G396="","غير محدد (Unassigned)",IFERROR(INDEX(Teachers!$C$6:$C$75,MATCH(G396,Teachers!$A$6:$A$75,0)),"؟ كود معلم غير موجود")))</f>
        <v/>
      </c>
      <c r="I396" s="104"/>
    </row>
    <row r="397" customFormat="false" ht="15" hidden="false" customHeight="false" outlineLevel="0" collapsed="false">
      <c r="A397" s="60"/>
      <c r="B397" s="102" t="str">
        <f aca="false">IF(A397="","","Year "&amp;VALUE(MID(A397,2,2)))</f>
        <v/>
      </c>
      <c r="C397" s="102" t="str">
        <f aca="false">IF(A397="","",MID(A397,4,FIND("/",A397)-4))</f>
        <v/>
      </c>
      <c r="D397" s="102" t="str">
        <f aca="false">IF(A397="","",MID(A397,FIND("/",A397)+1,2))</f>
        <v/>
      </c>
      <c r="E397" s="103" t="str">
        <f aca="false">IF(A397="","",IFERROR(INDEX(SubjName,MATCH(D397,SubjCode,0)),"؟ رمز مادة غير معرّف في Settings"))</f>
        <v/>
      </c>
      <c r="F397" s="102" t="str">
        <f aca="false">IF(A397="","",MID(A397,FIND("/",A397)+1,10))</f>
        <v/>
      </c>
      <c r="G397" s="63"/>
      <c r="H397" s="103" t="str">
        <f aca="false">IF(A397="","",IF(G397="","غير محدد (Unassigned)",IFERROR(INDEX(Teachers!$C$6:$C$75,MATCH(G397,Teachers!$A$6:$A$75,0)),"؟ كود معلم غير موجود")))</f>
        <v/>
      </c>
      <c r="I397" s="104"/>
    </row>
    <row r="398" customFormat="false" ht="15" hidden="false" customHeight="false" outlineLevel="0" collapsed="false">
      <c r="A398" s="60"/>
      <c r="B398" s="102" t="str">
        <f aca="false">IF(A398="","","Year "&amp;VALUE(MID(A398,2,2)))</f>
        <v/>
      </c>
      <c r="C398" s="102" t="str">
        <f aca="false">IF(A398="","",MID(A398,4,FIND("/",A398)-4))</f>
        <v/>
      </c>
      <c r="D398" s="102" t="str">
        <f aca="false">IF(A398="","",MID(A398,FIND("/",A398)+1,2))</f>
        <v/>
      </c>
      <c r="E398" s="103" t="str">
        <f aca="false">IF(A398="","",IFERROR(INDEX(SubjName,MATCH(D398,SubjCode,0)),"؟ رمز مادة غير معرّف في Settings"))</f>
        <v/>
      </c>
      <c r="F398" s="102" t="str">
        <f aca="false">IF(A398="","",MID(A398,FIND("/",A398)+1,10))</f>
        <v/>
      </c>
      <c r="G398" s="63"/>
      <c r="H398" s="103" t="str">
        <f aca="false">IF(A398="","",IF(G398="","غير محدد (Unassigned)",IFERROR(INDEX(Teachers!$C$6:$C$75,MATCH(G398,Teachers!$A$6:$A$75,0)),"؟ كود معلم غير موجود")))</f>
        <v/>
      </c>
      <c r="I398" s="104"/>
    </row>
    <row r="399" customFormat="false" ht="15" hidden="false" customHeight="false" outlineLevel="0" collapsed="false">
      <c r="A399" s="60"/>
      <c r="B399" s="102" t="str">
        <f aca="false">IF(A399="","","Year "&amp;VALUE(MID(A399,2,2)))</f>
        <v/>
      </c>
      <c r="C399" s="102" t="str">
        <f aca="false">IF(A399="","",MID(A399,4,FIND("/",A399)-4))</f>
        <v/>
      </c>
      <c r="D399" s="102" t="str">
        <f aca="false">IF(A399="","",MID(A399,FIND("/",A399)+1,2))</f>
        <v/>
      </c>
      <c r="E399" s="103" t="str">
        <f aca="false">IF(A399="","",IFERROR(INDEX(SubjName,MATCH(D399,SubjCode,0)),"؟ رمز مادة غير معرّف في Settings"))</f>
        <v/>
      </c>
      <c r="F399" s="102" t="str">
        <f aca="false">IF(A399="","",MID(A399,FIND("/",A399)+1,10))</f>
        <v/>
      </c>
      <c r="G399" s="63"/>
      <c r="H399" s="103" t="str">
        <f aca="false">IF(A399="","",IF(G399="","غير محدد (Unassigned)",IFERROR(INDEX(Teachers!$C$6:$C$75,MATCH(G399,Teachers!$A$6:$A$75,0)),"؟ كود معلم غير موجود")))</f>
        <v/>
      </c>
      <c r="I399" s="104"/>
    </row>
    <row r="400" customFormat="false" ht="15" hidden="false" customHeight="false" outlineLevel="0" collapsed="false">
      <c r="A400" s="60"/>
      <c r="B400" s="102" t="str">
        <f aca="false">IF(A400="","","Year "&amp;VALUE(MID(A400,2,2)))</f>
        <v/>
      </c>
      <c r="C400" s="102" t="str">
        <f aca="false">IF(A400="","",MID(A400,4,FIND("/",A400)-4))</f>
        <v/>
      </c>
      <c r="D400" s="102" t="str">
        <f aca="false">IF(A400="","",MID(A400,FIND("/",A400)+1,2))</f>
        <v/>
      </c>
      <c r="E400" s="103" t="str">
        <f aca="false">IF(A400="","",IFERROR(INDEX(SubjName,MATCH(D400,SubjCode,0)),"؟ رمز مادة غير معرّف في Settings"))</f>
        <v/>
      </c>
      <c r="F400" s="102" t="str">
        <f aca="false">IF(A400="","",MID(A400,FIND("/",A400)+1,10))</f>
        <v/>
      </c>
      <c r="G400" s="63"/>
      <c r="H400" s="103" t="str">
        <f aca="false">IF(A400="","",IF(G400="","غير محدد (Unassigned)",IFERROR(INDEX(Teachers!$C$6:$C$75,MATCH(G400,Teachers!$A$6:$A$75,0)),"؟ كود معلم غير موجود")))</f>
        <v/>
      </c>
      <c r="I400" s="104"/>
    </row>
    <row r="401" customFormat="false" ht="15" hidden="false" customHeight="false" outlineLevel="0" collapsed="false">
      <c r="A401" s="60"/>
      <c r="B401" s="102" t="str">
        <f aca="false">IF(A401="","","Year "&amp;VALUE(MID(A401,2,2)))</f>
        <v/>
      </c>
      <c r="C401" s="102" t="str">
        <f aca="false">IF(A401="","",MID(A401,4,FIND("/",A401)-4))</f>
        <v/>
      </c>
      <c r="D401" s="102" t="str">
        <f aca="false">IF(A401="","",MID(A401,FIND("/",A401)+1,2))</f>
        <v/>
      </c>
      <c r="E401" s="103" t="str">
        <f aca="false">IF(A401="","",IFERROR(INDEX(SubjName,MATCH(D401,SubjCode,0)),"؟ رمز مادة غير معرّف في Settings"))</f>
        <v/>
      </c>
      <c r="F401" s="102" t="str">
        <f aca="false">IF(A401="","",MID(A401,FIND("/",A401)+1,10))</f>
        <v/>
      </c>
      <c r="G401" s="63"/>
      <c r="H401" s="103" t="str">
        <f aca="false">IF(A401="","",IF(G401="","غير محدد (Unassigned)",IFERROR(INDEX(Teachers!$C$6:$C$75,MATCH(G401,Teachers!$A$6:$A$75,0)),"؟ كود معلم غير موجود")))</f>
        <v/>
      </c>
      <c r="I401" s="104"/>
    </row>
    <row r="402" customFormat="false" ht="15" hidden="false" customHeight="false" outlineLevel="0" collapsed="false">
      <c r="A402" s="60"/>
      <c r="B402" s="102" t="str">
        <f aca="false">IF(A402="","","Year "&amp;VALUE(MID(A402,2,2)))</f>
        <v/>
      </c>
      <c r="C402" s="102" t="str">
        <f aca="false">IF(A402="","",MID(A402,4,FIND("/",A402)-4))</f>
        <v/>
      </c>
      <c r="D402" s="102" t="str">
        <f aca="false">IF(A402="","",MID(A402,FIND("/",A402)+1,2))</f>
        <v/>
      </c>
      <c r="E402" s="103" t="str">
        <f aca="false">IF(A402="","",IFERROR(INDEX(SubjName,MATCH(D402,SubjCode,0)),"؟ رمز مادة غير معرّف في Settings"))</f>
        <v/>
      </c>
      <c r="F402" s="102" t="str">
        <f aca="false">IF(A402="","",MID(A402,FIND("/",A402)+1,10))</f>
        <v/>
      </c>
      <c r="G402" s="63"/>
      <c r="H402" s="103" t="str">
        <f aca="false">IF(A402="","",IF(G402="","غير محدد (Unassigned)",IFERROR(INDEX(Teachers!$C$6:$C$75,MATCH(G402,Teachers!$A$6:$A$75,0)),"؟ كود معلم غير موجود")))</f>
        <v/>
      </c>
      <c r="I402" s="104"/>
    </row>
    <row r="403" customFormat="false" ht="15" hidden="false" customHeight="false" outlineLevel="0" collapsed="false">
      <c r="A403" s="60"/>
      <c r="B403" s="102" t="str">
        <f aca="false">IF(A403="","","Year "&amp;VALUE(MID(A403,2,2)))</f>
        <v/>
      </c>
      <c r="C403" s="102" t="str">
        <f aca="false">IF(A403="","",MID(A403,4,FIND("/",A403)-4))</f>
        <v/>
      </c>
      <c r="D403" s="102" t="str">
        <f aca="false">IF(A403="","",MID(A403,FIND("/",A403)+1,2))</f>
        <v/>
      </c>
      <c r="E403" s="103" t="str">
        <f aca="false">IF(A403="","",IFERROR(INDEX(SubjName,MATCH(D403,SubjCode,0)),"؟ رمز مادة غير معرّف في Settings"))</f>
        <v/>
      </c>
      <c r="F403" s="102" t="str">
        <f aca="false">IF(A403="","",MID(A403,FIND("/",A403)+1,10))</f>
        <v/>
      </c>
      <c r="G403" s="63"/>
      <c r="H403" s="103" t="str">
        <f aca="false">IF(A403="","",IF(G403="","غير محدد (Unassigned)",IFERROR(INDEX(Teachers!$C$6:$C$75,MATCH(G403,Teachers!$A$6:$A$75,0)),"؟ كود معلم غير موجود")))</f>
        <v/>
      </c>
      <c r="I403" s="104"/>
    </row>
    <row r="404" customFormat="false" ht="15" hidden="false" customHeight="false" outlineLevel="0" collapsed="false">
      <c r="A404" s="60"/>
      <c r="B404" s="102" t="str">
        <f aca="false">IF(A404="","","Year "&amp;VALUE(MID(A404,2,2)))</f>
        <v/>
      </c>
      <c r="C404" s="102" t="str">
        <f aca="false">IF(A404="","",MID(A404,4,FIND("/",A404)-4))</f>
        <v/>
      </c>
      <c r="D404" s="102" t="str">
        <f aca="false">IF(A404="","",MID(A404,FIND("/",A404)+1,2))</f>
        <v/>
      </c>
      <c r="E404" s="103" t="str">
        <f aca="false">IF(A404="","",IFERROR(INDEX(SubjName,MATCH(D404,SubjCode,0)),"؟ رمز مادة غير معرّف في Settings"))</f>
        <v/>
      </c>
      <c r="F404" s="102" t="str">
        <f aca="false">IF(A404="","",MID(A404,FIND("/",A404)+1,10))</f>
        <v/>
      </c>
      <c r="G404" s="63"/>
      <c r="H404" s="103" t="str">
        <f aca="false">IF(A404="","",IF(G404="","غير محدد (Unassigned)",IFERROR(INDEX(Teachers!$C$6:$C$75,MATCH(G404,Teachers!$A$6:$A$75,0)),"؟ كود معلم غير موجود")))</f>
        <v/>
      </c>
      <c r="I404" s="104"/>
    </row>
    <row r="405" customFormat="false" ht="15" hidden="false" customHeight="false" outlineLevel="0" collapsed="false">
      <c r="A405" s="60"/>
      <c r="B405" s="102" t="str">
        <f aca="false">IF(A405="","","Year "&amp;VALUE(MID(A405,2,2)))</f>
        <v/>
      </c>
      <c r="C405" s="102" t="str">
        <f aca="false">IF(A405="","",MID(A405,4,FIND("/",A405)-4))</f>
        <v/>
      </c>
      <c r="D405" s="102" t="str">
        <f aca="false">IF(A405="","",MID(A405,FIND("/",A405)+1,2))</f>
        <v/>
      </c>
      <c r="E405" s="103" t="str">
        <f aca="false">IF(A405="","",IFERROR(INDEX(SubjName,MATCH(D405,SubjCode,0)),"؟ رمز مادة غير معرّف في Settings"))</f>
        <v/>
      </c>
      <c r="F405" s="102" t="str">
        <f aca="false">IF(A405="","",MID(A405,FIND("/",A405)+1,10))</f>
        <v/>
      </c>
      <c r="G405" s="63"/>
      <c r="H405" s="103" t="str">
        <f aca="false">IF(A405="","",IF(G405="","غير محدد (Unassigned)",IFERROR(INDEX(Teachers!$C$6:$C$75,MATCH(G405,Teachers!$A$6:$A$75,0)),"؟ كود معلم غير موجود")))</f>
        <v/>
      </c>
      <c r="I405" s="104"/>
    </row>
    <row r="406" customFormat="false" ht="15" hidden="false" customHeight="false" outlineLevel="0" collapsed="false">
      <c r="A406" s="60"/>
      <c r="B406" s="102" t="str">
        <f aca="false">IF(A406="","","Year "&amp;VALUE(MID(A406,2,2)))</f>
        <v/>
      </c>
      <c r="C406" s="102" t="str">
        <f aca="false">IF(A406="","",MID(A406,4,FIND("/",A406)-4))</f>
        <v/>
      </c>
      <c r="D406" s="102" t="str">
        <f aca="false">IF(A406="","",MID(A406,FIND("/",A406)+1,2))</f>
        <v/>
      </c>
      <c r="E406" s="103" t="str">
        <f aca="false">IF(A406="","",IFERROR(INDEX(SubjName,MATCH(D406,SubjCode,0)),"؟ رمز مادة غير معرّف في Settings"))</f>
        <v/>
      </c>
      <c r="F406" s="102" t="str">
        <f aca="false">IF(A406="","",MID(A406,FIND("/",A406)+1,10))</f>
        <v/>
      </c>
      <c r="G406" s="63"/>
      <c r="H406" s="103" t="str">
        <f aca="false">IF(A406="","",IF(G406="","غير محدد (Unassigned)",IFERROR(INDEX(Teachers!$C$6:$C$75,MATCH(G406,Teachers!$A$6:$A$75,0)),"؟ كود معلم غير موجود")))</f>
        <v/>
      </c>
      <c r="I406" s="104"/>
    </row>
    <row r="407" customFormat="false" ht="15" hidden="false" customHeight="false" outlineLevel="0" collapsed="false">
      <c r="A407" s="60"/>
      <c r="B407" s="102" t="str">
        <f aca="false">IF(A407="","","Year "&amp;VALUE(MID(A407,2,2)))</f>
        <v/>
      </c>
      <c r="C407" s="102" t="str">
        <f aca="false">IF(A407="","",MID(A407,4,FIND("/",A407)-4))</f>
        <v/>
      </c>
      <c r="D407" s="102" t="str">
        <f aca="false">IF(A407="","",MID(A407,FIND("/",A407)+1,2))</f>
        <v/>
      </c>
      <c r="E407" s="103" t="str">
        <f aca="false">IF(A407="","",IFERROR(INDEX(SubjName,MATCH(D407,SubjCode,0)),"؟ رمز مادة غير معرّف في Settings"))</f>
        <v/>
      </c>
      <c r="F407" s="102" t="str">
        <f aca="false">IF(A407="","",MID(A407,FIND("/",A407)+1,10))</f>
        <v/>
      </c>
      <c r="G407" s="63"/>
      <c r="H407" s="103" t="str">
        <f aca="false">IF(A407="","",IF(G407="","غير محدد (Unassigned)",IFERROR(INDEX(Teachers!$C$6:$C$75,MATCH(G407,Teachers!$A$6:$A$75,0)),"؟ كود معلم غير موجود")))</f>
        <v/>
      </c>
      <c r="I407" s="104"/>
    </row>
    <row r="408" customFormat="false" ht="15" hidden="false" customHeight="false" outlineLevel="0" collapsed="false">
      <c r="A408" s="60"/>
      <c r="B408" s="102" t="str">
        <f aca="false">IF(A408="","","Year "&amp;VALUE(MID(A408,2,2)))</f>
        <v/>
      </c>
      <c r="C408" s="102" t="str">
        <f aca="false">IF(A408="","",MID(A408,4,FIND("/",A408)-4))</f>
        <v/>
      </c>
      <c r="D408" s="102" t="str">
        <f aca="false">IF(A408="","",MID(A408,FIND("/",A408)+1,2))</f>
        <v/>
      </c>
      <c r="E408" s="103" t="str">
        <f aca="false">IF(A408="","",IFERROR(INDEX(SubjName,MATCH(D408,SubjCode,0)),"؟ رمز مادة غير معرّف في Settings"))</f>
        <v/>
      </c>
      <c r="F408" s="102" t="str">
        <f aca="false">IF(A408="","",MID(A408,FIND("/",A408)+1,10))</f>
        <v/>
      </c>
      <c r="G408" s="63"/>
      <c r="H408" s="103" t="str">
        <f aca="false">IF(A408="","",IF(G408="","غير محدد (Unassigned)",IFERROR(INDEX(Teachers!$C$6:$C$75,MATCH(G408,Teachers!$A$6:$A$75,0)),"؟ كود معلم غير موجود")))</f>
        <v/>
      </c>
      <c r="I408" s="104"/>
    </row>
    <row r="409" customFormat="false" ht="15" hidden="false" customHeight="false" outlineLevel="0" collapsed="false">
      <c r="A409" s="60"/>
      <c r="B409" s="102" t="str">
        <f aca="false">IF(A409="","","Year "&amp;VALUE(MID(A409,2,2)))</f>
        <v/>
      </c>
      <c r="C409" s="102" t="str">
        <f aca="false">IF(A409="","",MID(A409,4,FIND("/",A409)-4))</f>
        <v/>
      </c>
      <c r="D409" s="102" t="str">
        <f aca="false">IF(A409="","",MID(A409,FIND("/",A409)+1,2))</f>
        <v/>
      </c>
      <c r="E409" s="103" t="str">
        <f aca="false">IF(A409="","",IFERROR(INDEX(SubjName,MATCH(D409,SubjCode,0)),"؟ رمز مادة غير معرّف في Settings"))</f>
        <v/>
      </c>
      <c r="F409" s="102" t="str">
        <f aca="false">IF(A409="","",MID(A409,FIND("/",A409)+1,10))</f>
        <v/>
      </c>
      <c r="G409" s="63"/>
      <c r="H409" s="103" t="str">
        <f aca="false">IF(A409="","",IF(G409="","غير محدد (Unassigned)",IFERROR(INDEX(Teachers!$C$6:$C$75,MATCH(G409,Teachers!$A$6:$A$75,0)),"؟ كود معلم غير موجود")))</f>
        <v/>
      </c>
      <c r="I409" s="104"/>
    </row>
    <row r="410" customFormat="false" ht="15" hidden="false" customHeight="false" outlineLevel="0" collapsed="false">
      <c r="A410" s="60"/>
      <c r="B410" s="102" t="str">
        <f aca="false">IF(A410="","","Year "&amp;VALUE(MID(A410,2,2)))</f>
        <v/>
      </c>
      <c r="C410" s="102" t="str">
        <f aca="false">IF(A410="","",MID(A410,4,FIND("/",A410)-4))</f>
        <v/>
      </c>
      <c r="D410" s="102" t="str">
        <f aca="false">IF(A410="","",MID(A410,FIND("/",A410)+1,2))</f>
        <v/>
      </c>
      <c r="E410" s="103" t="str">
        <f aca="false">IF(A410="","",IFERROR(INDEX(SubjName,MATCH(D410,SubjCode,0)),"؟ رمز مادة غير معرّف في Settings"))</f>
        <v/>
      </c>
      <c r="F410" s="102" t="str">
        <f aca="false">IF(A410="","",MID(A410,FIND("/",A410)+1,10))</f>
        <v/>
      </c>
      <c r="G410" s="63"/>
      <c r="H410" s="103" t="str">
        <f aca="false">IF(A410="","",IF(G410="","غير محدد (Unassigned)",IFERROR(INDEX(Teachers!$C$6:$C$75,MATCH(G410,Teachers!$A$6:$A$75,0)),"؟ كود معلم غير موجود")))</f>
        <v/>
      </c>
      <c r="I410" s="104"/>
    </row>
    <row r="411" customFormat="false" ht="15" hidden="false" customHeight="false" outlineLevel="0" collapsed="false">
      <c r="A411" s="60"/>
      <c r="B411" s="102" t="str">
        <f aca="false">IF(A411="","","Year "&amp;VALUE(MID(A411,2,2)))</f>
        <v/>
      </c>
      <c r="C411" s="102" t="str">
        <f aca="false">IF(A411="","",MID(A411,4,FIND("/",A411)-4))</f>
        <v/>
      </c>
      <c r="D411" s="102" t="str">
        <f aca="false">IF(A411="","",MID(A411,FIND("/",A411)+1,2))</f>
        <v/>
      </c>
      <c r="E411" s="103" t="str">
        <f aca="false">IF(A411="","",IFERROR(INDEX(SubjName,MATCH(D411,SubjCode,0)),"؟ رمز مادة غير معرّف في Settings"))</f>
        <v/>
      </c>
      <c r="F411" s="102" t="str">
        <f aca="false">IF(A411="","",MID(A411,FIND("/",A411)+1,10))</f>
        <v/>
      </c>
      <c r="G411" s="63"/>
      <c r="H411" s="103" t="str">
        <f aca="false">IF(A411="","",IF(G411="","غير محدد (Unassigned)",IFERROR(INDEX(Teachers!$C$6:$C$75,MATCH(G411,Teachers!$A$6:$A$75,0)),"؟ كود معلم غير موجود")))</f>
        <v/>
      </c>
      <c r="I411" s="104"/>
    </row>
    <row r="412" customFormat="false" ht="15" hidden="false" customHeight="false" outlineLevel="0" collapsed="false">
      <c r="A412" s="60"/>
      <c r="B412" s="102" t="str">
        <f aca="false">IF(A412="","","Year "&amp;VALUE(MID(A412,2,2)))</f>
        <v/>
      </c>
      <c r="C412" s="102" t="str">
        <f aca="false">IF(A412="","",MID(A412,4,FIND("/",A412)-4))</f>
        <v/>
      </c>
      <c r="D412" s="102" t="str">
        <f aca="false">IF(A412="","",MID(A412,FIND("/",A412)+1,2))</f>
        <v/>
      </c>
      <c r="E412" s="103" t="str">
        <f aca="false">IF(A412="","",IFERROR(INDEX(SubjName,MATCH(D412,SubjCode,0)),"؟ رمز مادة غير معرّف في Settings"))</f>
        <v/>
      </c>
      <c r="F412" s="102" t="str">
        <f aca="false">IF(A412="","",MID(A412,FIND("/",A412)+1,10))</f>
        <v/>
      </c>
      <c r="G412" s="63"/>
      <c r="H412" s="103" t="str">
        <f aca="false">IF(A412="","",IF(G412="","غير محدد (Unassigned)",IFERROR(INDEX(Teachers!$C$6:$C$75,MATCH(G412,Teachers!$A$6:$A$75,0)),"؟ كود معلم غير موجود")))</f>
        <v/>
      </c>
      <c r="I412" s="104"/>
    </row>
    <row r="413" customFormat="false" ht="15" hidden="false" customHeight="false" outlineLevel="0" collapsed="false">
      <c r="A413" s="60"/>
      <c r="B413" s="102" t="str">
        <f aca="false">IF(A413="","","Year "&amp;VALUE(MID(A413,2,2)))</f>
        <v/>
      </c>
      <c r="C413" s="102" t="str">
        <f aca="false">IF(A413="","",MID(A413,4,FIND("/",A413)-4))</f>
        <v/>
      </c>
      <c r="D413" s="102" t="str">
        <f aca="false">IF(A413="","",MID(A413,FIND("/",A413)+1,2))</f>
        <v/>
      </c>
      <c r="E413" s="103" t="str">
        <f aca="false">IF(A413="","",IFERROR(INDEX(SubjName,MATCH(D413,SubjCode,0)),"؟ رمز مادة غير معرّف في Settings"))</f>
        <v/>
      </c>
      <c r="F413" s="102" t="str">
        <f aca="false">IF(A413="","",MID(A413,FIND("/",A413)+1,10))</f>
        <v/>
      </c>
      <c r="G413" s="63"/>
      <c r="H413" s="103" t="str">
        <f aca="false">IF(A413="","",IF(G413="","غير محدد (Unassigned)",IFERROR(INDEX(Teachers!$C$6:$C$75,MATCH(G413,Teachers!$A$6:$A$75,0)),"؟ كود معلم غير موجود")))</f>
        <v/>
      </c>
      <c r="I413" s="104"/>
    </row>
    <row r="414" customFormat="false" ht="15" hidden="false" customHeight="false" outlineLevel="0" collapsed="false">
      <c r="A414" s="60"/>
      <c r="B414" s="102" t="str">
        <f aca="false">IF(A414="","","Year "&amp;VALUE(MID(A414,2,2)))</f>
        <v/>
      </c>
      <c r="C414" s="102" t="str">
        <f aca="false">IF(A414="","",MID(A414,4,FIND("/",A414)-4))</f>
        <v/>
      </c>
      <c r="D414" s="102" t="str">
        <f aca="false">IF(A414="","",MID(A414,FIND("/",A414)+1,2))</f>
        <v/>
      </c>
      <c r="E414" s="103" t="str">
        <f aca="false">IF(A414="","",IFERROR(INDEX(SubjName,MATCH(D414,SubjCode,0)),"؟ رمز مادة غير معرّف في Settings"))</f>
        <v/>
      </c>
      <c r="F414" s="102" t="str">
        <f aca="false">IF(A414="","",MID(A414,FIND("/",A414)+1,10))</f>
        <v/>
      </c>
      <c r="G414" s="63"/>
      <c r="H414" s="103" t="str">
        <f aca="false">IF(A414="","",IF(G414="","غير محدد (Unassigned)",IFERROR(INDEX(Teachers!$C$6:$C$75,MATCH(G414,Teachers!$A$6:$A$75,0)),"؟ كود معلم غير موجود")))</f>
        <v/>
      </c>
      <c r="I414" s="104"/>
    </row>
    <row r="415" customFormat="false" ht="15" hidden="false" customHeight="false" outlineLevel="0" collapsed="false">
      <c r="A415" s="60"/>
      <c r="B415" s="102" t="str">
        <f aca="false">IF(A415="","","Year "&amp;VALUE(MID(A415,2,2)))</f>
        <v/>
      </c>
      <c r="C415" s="102" t="str">
        <f aca="false">IF(A415="","",MID(A415,4,FIND("/",A415)-4))</f>
        <v/>
      </c>
      <c r="D415" s="102" t="str">
        <f aca="false">IF(A415="","",MID(A415,FIND("/",A415)+1,2))</f>
        <v/>
      </c>
      <c r="E415" s="103" t="str">
        <f aca="false">IF(A415="","",IFERROR(INDEX(SubjName,MATCH(D415,SubjCode,0)),"؟ رمز مادة غير معرّف في Settings"))</f>
        <v/>
      </c>
      <c r="F415" s="102" t="str">
        <f aca="false">IF(A415="","",MID(A415,FIND("/",A415)+1,10))</f>
        <v/>
      </c>
      <c r="G415" s="63"/>
      <c r="H415" s="103" t="str">
        <f aca="false">IF(A415="","",IF(G415="","غير محدد (Unassigned)",IFERROR(INDEX(Teachers!$C$6:$C$75,MATCH(G415,Teachers!$A$6:$A$75,0)),"؟ كود معلم غير موجود")))</f>
        <v/>
      </c>
      <c r="I415" s="104"/>
    </row>
    <row r="416" customFormat="false" ht="15" hidden="false" customHeight="false" outlineLevel="0" collapsed="false">
      <c r="A416" s="60"/>
      <c r="B416" s="102" t="str">
        <f aca="false">IF(A416="","","Year "&amp;VALUE(MID(A416,2,2)))</f>
        <v/>
      </c>
      <c r="C416" s="102" t="str">
        <f aca="false">IF(A416="","",MID(A416,4,FIND("/",A416)-4))</f>
        <v/>
      </c>
      <c r="D416" s="102" t="str">
        <f aca="false">IF(A416="","",MID(A416,FIND("/",A416)+1,2))</f>
        <v/>
      </c>
      <c r="E416" s="103" t="str">
        <f aca="false">IF(A416="","",IFERROR(INDEX(SubjName,MATCH(D416,SubjCode,0)),"؟ رمز مادة غير معرّف في Settings"))</f>
        <v/>
      </c>
      <c r="F416" s="102" t="str">
        <f aca="false">IF(A416="","",MID(A416,FIND("/",A416)+1,10))</f>
        <v/>
      </c>
      <c r="G416" s="63"/>
      <c r="H416" s="103" t="str">
        <f aca="false">IF(A416="","",IF(G416="","غير محدد (Unassigned)",IFERROR(INDEX(Teachers!$C$6:$C$75,MATCH(G416,Teachers!$A$6:$A$75,0)),"؟ كود معلم غير موجود")))</f>
        <v/>
      </c>
      <c r="I416" s="104"/>
    </row>
    <row r="417" customFormat="false" ht="15" hidden="false" customHeight="false" outlineLevel="0" collapsed="false">
      <c r="A417" s="60"/>
      <c r="B417" s="102" t="str">
        <f aca="false">IF(A417="","","Year "&amp;VALUE(MID(A417,2,2)))</f>
        <v/>
      </c>
      <c r="C417" s="102" t="str">
        <f aca="false">IF(A417="","",MID(A417,4,FIND("/",A417)-4))</f>
        <v/>
      </c>
      <c r="D417" s="102" t="str">
        <f aca="false">IF(A417="","",MID(A417,FIND("/",A417)+1,2))</f>
        <v/>
      </c>
      <c r="E417" s="103" t="str">
        <f aca="false">IF(A417="","",IFERROR(INDEX(SubjName,MATCH(D417,SubjCode,0)),"؟ رمز مادة غير معرّف في Settings"))</f>
        <v/>
      </c>
      <c r="F417" s="102" t="str">
        <f aca="false">IF(A417="","",MID(A417,FIND("/",A417)+1,10))</f>
        <v/>
      </c>
      <c r="G417" s="63"/>
      <c r="H417" s="103" t="str">
        <f aca="false">IF(A417="","",IF(G417="","غير محدد (Unassigned)",IFERROR(INDEX(Teachers!$C$6:$C$75,MATCH(G417,Teachers!$A$6:$A$75,0)),"؟ كود معلم غير موجود")))</f>
        <v/>
      </c>
      <c r="I417" s="104"/>
    </row>
    <row r="418" customFormat="false" ht="15" hidden="false" customHeight="false" outlineLevel="0" collapsed="false">
      <c r="A418" s="60"/>
      <c r="B418" s="102" t="str">
        <f aca="false">IF(A418="","","Year "&amp;VALUE(MID(A418,2,2)))</f>
        <v/>
      </c>
      <c r="C418" s="102" t="str">
        <f aca="false">IF(A418="","",MID(A418,4,FIND("/",A418)-4))</f>
        <v/>
      </c>
      <c r="D418" s="102" t="str">
        <f aca="false">IF(A418="","",MID(A418,FIND("/",A418)+1,2))</f>
        <v/>
      </c>
      <c r="E418" s="103" t="str">
        <f aca="false">IF(A418="","",IFERROR(INDEX(SubjName,MATCH(D418,SubjCode,0)),"؟ رمز مادة غير معرّف في Settings"))</f>
        <v/>
      </c>
      <c r="F418" s="102" t="str">
        <f aca="false">IF(A418="","",MID(A418,FIND("/",A418)+1,10))</f>
        <v/>
      </c>
      <c r="G418" s="63"/>
      <c r="H418" s="103" t="str">
        <f aca="false">IF(A418="","",IF(G418="","غير محدد (Unassigned)",IFERROR(INDEX(Teachers!$C$6:$C$75,MATCH(G418,Teachers!$A$6:$A$75,0)),"؟ كود معلم غير موجود")))</f>
        <v/>
      </c>
      <c r="I418" s="104"/>
    </row>
    <row r="419" customFormat="false" ht="15" hidden="false" customHeight="false" outlineLevel="0" collapsed="false">
      <c r="A419" s="60"/>
      <c r="B419" s="102" t="str">
        <f aca="false">IF(A419="","","Year "&amp;VALUE(MID(A419,2,2)))</f>
        <v/>
      </c>
      <c r="C419" s="102" t="str">
        <f aca="false">IF(A419="","",MID(A419,4,FIND("/",A419)-4))</f>
        <v/>
      </c>
      <c r="D419" s="102" t="str">
        <f aca="false">IF(A419="","",MID(A419,FIND("/",A419)+1,2))</f>
        <v/>
      </c>
      <c r="E419" s="103" t="str">
        <f aca="false">IF(A419="","",IFERROR(INDEX(SubjName,MATCH(D419,SubjCode,0)),"؟ رمز مادة غير معرّف في Settings"))</f>
        <v/>
      </c>
      <c r="F419" s="102" t="str">
        <f aca="false">IF(A419="","",MID(A419,FIND("/",A419)+1,10))</f>
        <v/>
      </c>
      <c r="G419" s="63"/>
      <c r="H419" s="103" t="str">
        <f aca="false">IF(A419="","",IF(G419="","غير محدد (Unassigned)",IFERROR(INDEX(Teachers!$C$6:$C$75,MATCH(G419,Teachers!$A$6:$A$75,0)),"؟ كود معلم غير موجود")))</f>
        <v/>
      </c>
      <c r="I419" s="104"/>
    </row>
    <row r="420" customFormat="false" ht="15" hidden="false" customHeight="false" outlineLevel="0" collapsed="false">
      <c r="A420" s="60"/>
      <c r="B420" s="102" t="str">
        <f aca="false">IF(A420="","","Year "&amp;VALUE(MID(A420,2,2)))</f>
        <v/>
      </c>
      <c r="C420" s="102" t="str">
        <f aca="false">IF(A420="","",MID(A420,4,FIND("/",A420)-4))</f>
        <v/>
      </c>
      <c r="D420" s="102" t="str">
        <f aca="false">IF(A420="","",MID(A420,FIND("/",A420)+1,2))</f>
        <v/>
      </c>
      <c r="E420" s="103" t="str">
        <f aca="false">IF(A420="","",IFERROR(INDEX(SubjName,MATCH(D420,SubjCode,0)),"؟ رمز مادة غير معرّف في Settings"))</f>
        <v/>
      </c>
      <c r="F420" s="102" t="str">
        <f aca="false">IF(A420="","",MID(A420,FIND("/",A420)+1,10))</f>
        <v/>
      </c>
      <c r="G420" s="63"/>
      <c r="H420" s="103" t="str">
        <f aca="false">IF(A420="","",IF(G420="","غير محدد (Unassigned)",IFERROR(INDEX(Teachers!$C$6:$C$75,MATCH(G420,Teachers!$A$6:$A$75,0)),"؟ كود معلم غير موجود")))</f>
        <v/>
      </c>
      <c r="I420" s="104"/>
    </row>
  </sheetData>
  <sheetProtection sheet="true" formatColumns="false" formatRows="false" sort="false" autoFilter="false"/>
  <autoFilter ref="A5:I420"/>
  <dataValidations count="1">
    <dataValidation allowBlank="true" error="اختر كود معلم من ورقة Teachers" errorStyle="stop" errorTitle="قيمة غير صحيحة" operator="between" showDropDown="false" showErrorMessage="true" showInputMessage="false" sqref="G6:G420" type="list">
      <formula1>Teachers!$A$6:$A$75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8B8"/>
    <pageSetUpPr fitToPage="true"/>
  </sheetPr>
  <dimension ref="A1:G7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73.85" hidden="false" customHeight="false" outlineLevel="0" collapsed="false">
      <c r="A1" s="100" t="s">
        <v>854</v>
      </c>
    </row>
    <row r="2" customFormat="false" ht="116.4" hidden="false" customHeight="false" outlineLevel="0" collapsed="false">
      <c r="A2" s="101" t="s">
        <v>855</v>
      </c>
    </row>
    <row r="5" customFormat="false" ht="15" hidden="false" customHeight="false" outlineLevel="0" collapsed="false">
      <c r="A5" s="85" t="s">
        <v>856</v>
      </c>
      <c r="B5" s="85" t="s">
        <v>857</v>
      </c>
      <c r="C5" s="85" t="s">
        <v>858</v>
      </c>
      <c r="D5" s="85" t="s">
        <v>221</v>
      </c>
      <c r="E5" s="85" t="s">
        <v>859</v>
      </c>
      <c r="F5" s="85" t="s">
        <v>860</v>
      </c>
      <c r="G5" s="85" t="s">
        <v>338</v>
      </c>
    </row>
    <row r="6" customFormat="false" ht="15" hidden="false" customHeight="false" outlineLevel="0" collapsed="false">
      <c r="A6" s="63" t="s">
        <v>656</v>
      </c>
      <c r="B6" s="106" t="s">
        <v>861</v>
      </c>
      <c r="C6" s="84" t="s">
        <v>861</v>
      </c>
      <c r="D6" s="102" t="s">
        <v>403</v>
      </c>
      <c r="E6" s="102" t="n">
        <v>28</v>
      </c>
      <c r="F6" s="102" t="n">
        <f aca="false">IF(A6="","",COUNTIF(Classes!$G$6:$G$420,A6))</f>
        <v>6</v>
      </c>
    </row>
    <row r="7" customFormat="false" ht="15" hidden="false" customHeight="false" outlineLevel="0" collapsed="false">
      <c r="A7" s="63" t="s">
        <v>737</v>
      </c>
      <c r="B7" s="106" t="s">
        <v>862</v>
      </c>
      <c r="C7" s="84" t="s">
        <v>862</v>
      </c>
      <c r="D7" s="102" t="s">
        <v>403</v>
      </c>
      <c r="E7" s="102" t="n">
        <v>29</v>
      </c>
      <c r="F7" s="102" t="n">
        <f aca="false">IF(A7="","",COUNTIF(Classes!$G$6:$G$420,A7))</f>
        <v>5</v>
      </c>
    </row>
    <row r="8" customFormat="false" ht="15" hidden="false" customHeight="false" outlineLevel="0" collapsed="false">
      <c r="A8" s="63" t="s">
        <v>781</v>
      </c>
      <c r="B8" s="106" t="s">
        <v>863</v>
      </c>
      <c r="C8" s="84" t="s">
        <v>863</v>
      </c>
      <c r="D8" s="102" t="s">
        <v>403</v>
      </c>
      <c r="E8" s="102" t="n">
        <v>30</v>
      </c>
      <c r="F8" s="102" t="n">
        <f aca="false">IF(A8="","",COUNTIF(Classes!$G$6:$G$420,A8))</f>
        <v>4</v>
      </c>
    </row>
    <row r="9" customFormat="false" ht="15" hidden="false" customHeight="false" outlineLevel="0" collapsed="false">
      <c r="A9" s="63" t="s">
        <v>618</v>
      </c>
      <c r="B9" s="106" t="s">
        <v>864</v>
      </c>
      <c r="C9" s="84" t="s">
        <v>864</v>
      </c>
      <c r="D9" s="102" t="s">
        <v>403</v>
      </c>
      <c r="E9" s="102" t="n">
        <v>21</v>
      </c>
      <c r="F9" s="102" t="n">
        <f aca="false">IF(A9="","",COUNTIF(Classes!$G$6:$G$420,A9))</f>
        <v>3</v>
      </c>
    </row>
    <row r="10" customFormat="false" ht="15" hidden="false" customHeight="false" outlineLevel="0" collapsed="false">
      <c r="A10" s="63" t="s">
        <v>497</v>
      </c>
      <c r="B10" s="106" t="s">
        <v>865</v>
      </c>
      <c r="C10" s="84" t="s">
        <v>865</v>
      </c>
      <c r="D10" s="102" t="s">
        <v>403</v>
      </c>
      <c r="E10" s="102" t="n">
        <v>24</v>
      </c>
      <c r="F10" s="102" t="n">
        <f aca="false">IF(A10="","",COUNTIF(Classes!$G$6:$G$420,A10))</f>
        <v>4</v>
      </c>
    </row>
    <row r="11" customFormat="false" ht="15" hidden="false" customHeight="false" outlineLevel="0" collapsed="false">
      <c r="A11" s="63" t="s">
        <v>778</v>
      </c>
      <c r="B11" s="106" t="s">
        <v>866</v>
      </c>
      <c r="C11" s="84" t="s">
        <v>866</v>
      </c>
      <c r="D11" s="102" t="s">
        <v>403</v>
      </c>
      <c r="E11" s="102" t="n">
        <v>31</v>
      </c>
      <c r="F11" s="102" t="n">
        <f aca="false">IF(A11="","",COUNTIF(Classes!$G$6:$G$420,A11))</f>
        <v>6</v>
      </c>
    </row>
    <row r="12" customFormat="false" ht="15" hidden="false" customHeight="false" outlineLevel="0" collapsed="false">
      <c r="A12" s="63" t="s">
        <v>441</v>
      </c>
      <c r="B12" s="106" t="s">
        <v>867</v>
      </c>
      <c r="C12" s="84" t="s">
        <v>867</v>
      </c>
      <c r="D12" s="102" t="s">
        <v>403</v>
      </c>
      <c r="E12" s="102" t="n">
        <v>24</v>
      </c>
      <c r="F12" s="102" t="n">
        <f aca="false">IF(A12="","",COUNTIF(Classes!$G$6:$G$420,A12))</f>
        <v>4</v>
      </c>
    </row>
    <row r="13" customFormat="false" ht="15" hidden="false" customHeight="false" outlineLevel="0" collapsed="false">
      <c r="A13" s="63" t="s">
        <v>816</v>
      </c>
      <c r="B13" s="106" t="s">
        <v>868</v>
      </c>
      <c r="C13" s="84" t="s">
        <v>868</v>
      </c>
      <c r="D13" s="102" t="s">
        <v>403</v>
      </c>
      <c r="E13" s="102" t="n">
        <v>17</v>
      </c>
      <c r="F13" s="102" t="n">
        <f aca="false">IF(A13="","",COUNTIF(Classes!$G$6:$G$420,A13))</f>
        <v>3</v>
      </c>
    </row>
    <row r="14" customFormat="false" ht="15" hidden="false" customHeight="false" outlineLevel="0" collapsed="false">
      <c r="A14" s="63" t="s">
        <v>739</v>
      </c>
      <c r="B14" s="106" t="s">
        <v>869</v>
      </c>
      <c r="C14" s="84" t="s">
        <v>869</v>
      </c>
      <c r="D14" s="102" t="s">
        <v>403</v>
      </c>
      <c r="E14" s="102" t="n">
        <v>35</v>
      </c>
      <c r="F14" s="102" t="n">
        <f aca="false">IF(A14="","",COUNTIF(Classes!$G$6:$G$420,A14))</f>
        <v>7</v>
      </c>
    </row>
    <row r="15" customFormat="false" ht="15" hidden="false" customHeight="false" outlineLevel="0" collapsed="false">
      <c r="A15" s="63" t="s">
        <v>495</v>
      </c>
      <c r="B15" s="106" t="s">
        <v>870</v>
      </c>
      <c r="C15" s="84" t="s">
        <v>870</v>
      </c>
      <c r="D15" s="102" t="s">
        <v>403</v>
      </c>
      <c r="E15" s="102" t="n">
        <v>24</v>
      </c>
      <c r="F15" s="102" t="n">
        <f aca="false">IF(A15="","",COUNTIF(Classes!$G$6:$G$420,A15))</f>
        <v>4</v>
      </c>
    </row>
    <row r="16" customFormat="false" ht="15" hidden="false" customHeight="false" outlineLevel="0" collapsed="false">
      <c r="A16" s="63" t="s">
        <v>536</v>
      </c>
      <c r="B16" s="106" t="s">
        <v>871</v>
      </c>
      <c r="C16" s="84" t="s">
        <v>871</v>
      </c>
      <c r="D16" s="102" t="s">
        <v>403</v>
      </c>
      <c r="E16" s="102" t="n">
        <v>24</v>
      </c>
      <c r="F16" s="102" t="n">
        <f aca="false">IF(A16="","",COUNTIF(Classes!$G$6:$G$420,A16))</f>
        <v>4</v>
      </c>
    </row>
    <row r="17" customFormat="false" ht="15" hidden="false" customHeight="false" outlineLevel="0" collapsed="false">
      <c r="A17" s="63" t="s">
        <v>538</v>
      </c>
      <c r="B17" s="106" t="s">
        <v>872</v>
      </c>
      <c r="C17" s="84" t="s">
        <v>872</v>
      </c>
      <c r="D17" s="102" t="s">
        <v>403</v>
      </c>
      <c r="E17" s="102" t="n">
        <v>24</v>
      </c>
      <c r="F17" s="102" t="n">
        <f aca="false">IF(A17="","",COUNTIF(Classes!$G$6:$G$420,A17))</f>
        <v>4</v>
      </c>
    </row>
    <row r="18" customFormat="false" ht="15" hidden="false" customHeight="false" outlineLevel="0" collapsed="false">
      <c r="A18" s="63" t="s">
        <v>444</v>
      </c>
      <c r="B18" s="106" t="s">
        <v>873</v>
      </c>
      <c r="C18" s="84" t="s">
        <v>873</v>
      </c>
      <c r="D18" s="102" t="s">
        <v>403</v>
      </c>
      <c r="E18" s="102" t="n">
        <v>24</v>
      </c>
      <c r="F18" s="102" t="n">
        <f aca="false">IF(A18="","",COUNTIF(Classes!$G$6:$G$420,A18))</f>
        <v>4</v>
      </c>
    </row>
    <row r="19" customFormat="false" ht="15" hidden="false" customHeight="false" outlineLevel="0" collapsed="false">
      <c r="A19" s="63" t="s">
        <v>620</v>
      </c>
      <c r="B19" s="106" t="s">
        <v>874</v>
      </c>
      <c r="C19" s="84" t="s">
        <v>874</v>
      </c>
      <c r="D19" s="102" t="s">
        <v>403</v>
      </c>
      <c r="E19" s="102" t="n">
        <v>18</v>
      </c>
      <c r="F19" s="102" t="n">
        <f aca="false">IF(A19="","",COUNTIF(Classes!$G$6:$G$420,A19))</f>
        <v>3</v>
      </c>
    </row>
    <row r="20" customFormat="false" ht="15" hidden="false" customHeight="false" outlineLevel="0" collapsed="false">
      <c r="A20" s="63" t="s">
        <v>654</v>
      </c>
      <c r="B20" s="106" t="s">
        <v>875</v>
      </c>
      <c r="C20" s="84" t="s">
        <v>875</v>
      </c>
      <c r="D20" s="102" t="s">
        <v>403</v>
      </c>
      <c r="E20" s="102" t="n">
        <v>32</v>
      </c>
      <c r="F20" s="102" t="n">
        <f aca="false">IF(A20="","",COUNTIF(Classes!$G$6:$G$420,A20))</f>
        <v>6</v>
      </c>
    </row>
    <row r="21" customFormat="false" ht="15" hidden="false" customHeight="false" outlineLevel="0" collapsed="false">
      <c r="A21" s="63" t="s">
        <v>446</v>
      </c>
      <c r="B21" s="106" t="s">
        <v>876</v>
      </c>
      <c r="C21" s="84" t="s">
        <v>876</v>
      </c>
      <c r="D21" s="102" t="s">
        <v>405</v>
      </c>
      <c r="E21" s="102" t="n">
        <v>24</v>
      </c>
      <c r="F21" s="102" t="n">
        <f aca="false">IF(A21="","",COUNTIF(Classes!$G$6:$G$420,A21))</f>
        <v>6</v>
      </c>
    </row>
    <row r="22" customFormat="false" ht="15" hidden="false" customHeight="false" outlineLevel="0" collapsed="false">
      <c r="A22" s="63" t="s">
        <v>454</v>
      </c>
      <c r="B22" s="106" t="s">
        <v>877</v>
      </c>
      <c r="C22" s="84" t="s">
        <v>877</v>
      </c>
      <c r="D22" s="102" t="s">
        <v>405</v>
      </c>
      <c r="E22" s="102" t="n">
        <v>14</v>
      </c>
      <c r="F22" s="102" t="n">
        <f aca="false">IF(A22="","",COUNTIF(Classes!$G$6:$G$420,A22))</f>
        <v>2</v>
      </c>
    </row>
    <row r="23" customFormat="false" ht="15" hidden="false" customHeight="false" outlineLevel="0" collapsed="false">
      <c r="A23" s="63" t="s">
        <v>578</v>
      </c>
      <c r="B23" s="106" t="s">
        <v>878</v>
      </c>
      <c r="C23" s="84" t="s">
        <v>878</v>
      </c>
      <c r="D23" s="102" t="s">
        <v>405</v>
      </c>
      <c r="E23" s="102" t="n">
        <v>24</v>
      </c>
      <c r="F23" s="102" t="n">
        <f aca="false">IF(A23="","",COUNTIF(Classes!$G$6:$G$420,A23))</f>
        <v>6</v>
      </c>
    </row>
    <row r="24" customFormat="false" ht="15" hidden="false" customHeight="false" outlineLevel="0" collapsed="false">
      <c r="A24" s="63" t="s">
        <v>660</v>
      </c>
      <c r="B24" s="106" t="s">
        <v>879</v>
      </c>
      <c r="C24" s="84" t="s">
        <v>879</v>
      </c>
      <c r="D24" s="102" t="s">
        <v>405</v>
      </c>
      <c r="E24" s="102" t="n">
        <v>18</v>
      </c>
      <c r="F24" s="102" t="n">
        <f aca="false">IF(A24="","",COUNTIF(Classes!$G$6:$G$420,A24))</f>
        <v>4</v>
      </c>
    </row>
    <row r="25" customFormat="false" ht="15" hidden="false" customHeight="false" outlineLevel="0" collapsed="false">
      <c r="A25" s="63" t="s">
        <v>518</v>
      </c>
      <c r="B25" s="106" t="s">
        <v>880</v>
      </c>
      <c r="C25" s="84" t="s">
        <v>880</v>
      </c>
      <c r="D25" s="102" t="s">
        <v>405</v>
      </c>
      <c r="E25" s="102" t="n">
        <v>24</v>
      </c>
      <c r="F25" s="102" t="n">
        <f aca="false">IF(A25="","",COUNTIF(Classes!$G$6:$G$420,A25))</f>
        <v>6</v>
      </c>
    </row>
    <row r="26" customFormat="false" ht="15" hidden="false" customHeight="false" outlineLevel="0" collapsed="false">
      <c r="A26" s="63" t="s">
        <v>580</v>
      </c>
      <c r="B26" s="106" t="s">
        <v>881</v>
      </c>
      <c r="C26" s="84" t="s">
        <v>881</v>
      </c>
      <c r="D26" s="102" t="s">
        <v>405</v>
      </c>
      <c r="E26" s="102" t="n">
        <v>24</v>
      </c>
      <c r="F26" s="102" t="n">
        <f aca="false">IF(A26="","",COUNTIF(Classes!$G$6:$G$420,A26))</f>
        <v>6</v>
      </c>
    </row>
    <row r="27" customFormat="false" ht="15" hidden="false" customHeight="false" outlineLevel="0" collapsed="false">
      <c r="A27" s="63" t="s">
        <v>596</v>
      </c>
      <c r="B27" s="106" t="s">
        <v>882</v>
      </c>
      <c r="C27" s="84" t="s">
        <v>882</v>
      </c>
      <c r="D27" s="102" t="s">
        <v>405</v>
      </c>
      <c r="E27" s="102" t="n">
        <v>20</v>
      </c>
      <c r="F27" s="102" t="n">
        <f aca="false">IF(A27="","",COUNTIF(Classes!$G$6:$G$420,A27))</f>
        <v>5</v>
      </c>
    </row>
    <row r="28" customFormat="false" ht="15" hidden="false" customHeight="false" outlineLevel="0" collapsed="false">
      <c r="A28" s="63" t="s">
        <v>731</v>
      </c>
      <c r="B28" s="106" t="s">
        <v>883</v>
      </c>
      <c r="C28" s="84" t="s">
        <v>883</v>
      </c>
      <c r="D28" s="102" t="s">
        <v>405</v>
      </c>
      <c r="E28" s="102" t="n">
        <v>27</v>
      </c>
      <c r="F28" s="102" t="n">
        <f aca="false">IF(A28="","",COUNTIF(Classes!$G$6:$G$420,A28))</f>
        <v>5</v>
      </c>
    </row>
    <row r="29" customFormat="false" ht="15" hidden="false" customHeight="false" outlineLevel="0" collapsed="false">
      <c r="A29" s="63" t="s">
        <v>664</v>
      </c>
      <c r="B29" s="106" t="s">
        <v>884</v>
      </c>
      <c r="C29" s="84" t="s">
        <v>884</v>
      </c>
      <c r="D29" s="102" t="s">
        <v>405</v>
      </c>
      <c r="E29" s="102" t="n">
        <v>34</v>
      </c>
      <c r="F29" s="102" t="n">
        <f aca="false">IF(A29="","",COUNTIF(Classes!$G$6:$G$420,A29))</f>
        <v>7</v>
      </c>
    </row>
    <row r="30" customFormat="false" ht="15" hidden="false" customHeight="false" outlineLevel="0" collapsed="false">
      <c r="A30" s="63" t="s">
        <v>658</v>
      </c>
      <c r="B30" s="106" t="s">
        <v>885</v>
      </c>
      <c r="C30" s="84" t="s">
        <v>885</v>
      </c>
      <c r="D30" s="102" t="s">
        <v>405</v>
      </c>
      <c r="E30" s="102" t="n">
        <v>34</v>
      </c>
      <c r="F30" s="102" t="n">
        <f aca="false">IF(A30="","",COUNTIF(Classes!$G$6:$G$420,A30))</f>
        <v>7</v>
      </c>
    </row>
    <row r="31" customFormat="false" ht="15" hidden="false" customHeight="false" outlineLevel="0" collapsed="false">
      <c r="A31" s="63" t="s">
        <v>662</v>
      </c>
      <c r="B31" s="106" t="s">
        <v>886</v>
      </c>
      <c r="C31" s="84" t="s">
        <v>886</v>
      </c>
      <c r="D31" s="102" t="s">
        <v>405</v>
      </c>
      <c r="E31" s="102" t="n">
        <v>33</v>
      </c>
      <c r="F31" s="102" t="n">
        <f aca="false">IF(A31="","",COUNTIF(Classes!$G$6:$G$420,A31))</f>
        <v>7</v>
      </c>
    </row>
    <row r="32" customFormat="false" ht="15" hidden="false" customHeight="false" outlineLevel="0" collapsed="false">
      <c r="A32" s="63" t="s">
        <v>542</v>
      </c>
      <c r="B32" s="106" t="s">
        <v>887</v>
      </c>
      <c r="C32" s="84" t="s">
        <v>887</v>
      </c>
      <c r="D32" s="102" t="s">
        <v>405</v>
      </c>
      <c r="E32" s="102" t="n">
        <v>24</v>
      </c>
      <c r="F32" s="102" t="n">
        <f aca="false">IF(A32="","",COUNTIF(Classes!$G$6:$G$420,A32))</f>
        <v>6</v>
      </c>
    </row>
    <row r="33" customFormat="false" ht="15" hidden="false" customHeight="false" outlineLevel="0" collapsed="false">
      <c r="A33" s="63" t="s">
        <v>499</v>
      </c>
      <c r="B33" s="106" t="s">
        <v>888</v>
      </c>
      <c r="C33" s="84" t="s">
        <v>888</v>
      </c>
      <c r="D33" s="102" t="s">
        <v>405</v>
      </c>
      <c r="E33" s="102" t="n">
        <v>24</v>
      </c>
      <c r="F33" s="102" t="n">
        <f aca="false">IF(A33="","",COUNTIF(Classes!$G$6:$G$420,A33))</f>
        <v>6</v>
      </c>
    </row>
    <row r="34" customFormat="false" ht="15" hidden="false" customHeight="false" outlineLevel="0" collapsed="false">
      <c r="A34" s="63" t="s">
        <v>741</v>
      </c>
      <c r="B34" s="106" t="s">
        <v>889</v>
      </c>
      <c r="C34" s="84" t="s">
        <v>889</v>
      </c>
      <c r="D34" s="102" t="s">
        <v>405</v>
      </c>
      <c r="E34" s="102" t="n">
        <v>11</v>
      </c>
      <c r="F34" s="102" t="n">
        <f aca="false">IF(A34="","",COUNTIF(Classes!$G$6:$G$420,A34))</f>
        <v>2</v>
      </c>
    </row>
    <row r="35" customFormat="false" ht="15" hidden="false" customHeight="false" outlineLevel="0" collapsed="false">
      <c r="A35" s="63" t="s">
        <v>703</v>
      </c>
      <c r="B35" s="106" t="s">
        <v>890</v>
      </c>
      <c r="C35" s="84" t="s">
        <v>890</v>
      </c>
      <c r="D35" s="102" t="s">
        <v>405</v>
      </c>
      <c r="E35" s="102" t="n">
        <v>35</v>
      </c>
      <c r="F35" s="102" t="n">
        <f aca="false">IF(A35="","",COUNTIF(Classes!$G$6:$G$420,A35))</f>
        <v>7</v>
      </c>
    </row>
    <row r="36" customFormat="false" ht="15" hidden="false" customHeight="false" outlineLevel="0" collapsed="false">
      <c r="A36" s="63" t="s">
        <v>501</v>
      </c>
      <c r="B36" s="106" t="s">
        <v>891</v>
      </c>
      <c r="C36" s="84" t="s">
        <v>891</v>
      </c>
      <c r="D36" s="102" t="s">
        <v>405</v>
      </c>
      <c r="E36" s="102" t="n">
        <v>24</v>
      </c>
      <c r="F36" s="102" t="n">
        <f aca="false">IF(A36="","",COUNTIF(Classes!$G$6:$G$420,A36))</f>
        <v>6</v>
      </c>
    </row>
    <row r="37" customFormat="false" ht="15" hidden="false" customHeight="false" outlineLevel="0" collapsed="false">
      <c r="A37" s="63" t="s">
        <v>717</v>
      </c>
      <c r="B37" s="106" t="s">
        <v>892</v>
      </c>
      <c r="C37" s="84" t="s">
        <v>892</v>
      </c>
      <c r="D37" s="102" t="s">
        <v>405</v>
      </c>
      <c r="E37" s="102" t="n">
        <v>35</v>
      </c>
      <c r="F37" s="102" t="n">
        <f aca="false">IF(A37="","",COUNTIF(Classes!$G$6:$G$420,A37))</f>
        <v>7</v>
      </c>
    </row>
    <row r="38" customFormat="false" ht="15" hidden="false" customHeight="false" outlineLevel="0" collapsed="false">
      <c r="A38" s="63" t="s">
        <v>893</v>
      </c>
      <c r="B38" s="106" t="s">
        <v>894</v>
      </c>
      <c r="C38" s="84" t="s">
        <v>894</v>
      </c>
      <c r="D38" s="102" t="s">
        <v>895</v>
      </c>
      <c r="E38" s="102" t="n">
        <v>15</v>
      </c>
      <c r="F38" s="102" t="n">
        <f aca="false">IF(A38="","",COUNTIF(Classes!$G$6:$G$420,A38))</f>
        <v>0</v>
      </c>
    </row>
    <row r="39" customFormat="false" ht="15" hidden="false" customHeight="false" outlineLevel="0" collapsed="false">
      <c r="A39" s="63" t="s">
        <v>474</v>
      </c>
      <c r="B39" s="106" t="s">
        <v>896</v>
      </c>
      <c r="C39" s="84" t="s">
        <v>896</v>
      </c>
      <c r="D39" s="102" t="s">
        <v>895</v>
      </c>
      <c r="E39" s="102" t="n">
        <v>20</v>
      </c>
      <c r="F39" s="102" t="n">
        <f aca="false">IF(A39="","",COUNTIF(Classes!$G$6:$G$420,A39))</f>
        <v>2</v>
      </c>
    </row>
    <row r="40" customFormat="false" ht="15" hidden="false" customHeight="false" outlineLevel="0" collapsed="false">
      <c r="A40" s="63" t="s">
        <v>504</v>
      </c>
      <c r="B40" s="106" t="s">
        <v>897</v>
      </c>
      <c r="C40" s="84" t="s">
        <v>897</v>
      </c>
      <c r="D40" s="102" t="s">
        <v>895</v>
      </c>
      <c r="E40" s="102" t="n">
        <v>24</v>
      </c>
      <c r="F40" s="102" t="n">
        <f aca="false">IF(A40="","",COUNTIF(Classes!$G$6:$G$420,A40))</f>
        <v>4</v>
      </c>
    </row>
    <row r="41" customFormat="false" ht="15" hidden="false" customHeight="false" outlineLevel="0" collapsed="false">
      <c r="A41" s="63" t="s">
        <v>450</v>
      </c>
      <c r="B41" s="106" t="s">
        <v>898</v>
      </c>
      <c r="C41" s="84" t="s">
        <v>898</v>
      </c>
      <c r="D41" s="102" t="s">
        <v>895</v>
      </c>
      <c r="E41" s="102" t="n">
        <v>20</v>
      </c>
      <c r="F41" s="102" t="n">
        <f aca="false">IF(A41="","",COUNTIF(Classes!$G$6:$G$420,A41))</f>
        <v>2</v>
      </c>
    </row>
    <row r="42" customFormat="false" ht="15" hidden="false" customHeight="false" outlineLevel="0" collapsed="false">
      <c r="A42" s="63" t="s">
        <v>452</v>
      </c>
      <c r="B42" s="106" t="s">
        <v>899</v>
      </c>
      <c r="C42" s="84" t="s">
        <v>899</v>
      </c>
      <c r="D42" s="102" t="s">
        <v>895</v>
      </c>
      <c r="E42" s="102" t="n">
        <v>19</v>
      </c>
      <c r="F42" s="102" t="n">
        <f aca="false">IF(A42="","",COUNTIF(Classes!$G$6:$G$420,A42))</f>
        <v>1</v>
      </c>
    </row>
    <row r="43" customFormat="false" ht="15" hidden="false" customHeight="false" outlineLevel="0" collapsed="false">
      <c r="A43" s="63" t="s">
        <v>900</v>
      </c>
      <c r="B43" s="106" t="s">
        <v>901</v>
      </c>
      <c r="C43" s="84" t="s">
        <v>901</v>
      </c>
      <c r="D43" s="102" t="s">
        <v>895</v>
      </c>
      <c r="E43" s="102" t="n">
        <v>12</v>
      </c>
      <c r="F43" s="102" t="n">
        <f aca="false">IF(A43="","",COUNTIF(Classes!$G$6:$G$420,A43))</f>
        <v>0</v>
      </c>
    </row>
    <row r="44" customFormat="false" ht="15" hidden="false" customHeight="false" outlineLevel="0" collapsed="false">
      <c r="A44" s="63" t="s">
        <v>448</v>
      </c>
      <c r="B44" s="106" t="s">
        <v>902</v>
      </c>
      <c r="C44" s="84" t="s">
        <v>902</v>
      </c>
      <c r="D44" s="102" t="s">
        <v>895</v>
      </c>
      <c r="E44" s="102" t="n">
        <v>20</v>
      </c>
      <c r="F44" s="102" t="n">
        <f aca="false">IF(A44="","",COUNTIF(Classes!$G$6:$G$420,A44))</f>
        <v>2</v>
      </c>
    </row>
    <row r="45" customFormat="false" ht="15" hidden="false" customHeight="false" outlineLevel="0" collapsed="false">
      <c r="A45" s="63" t="s">
        <v>491</v>
      </c>
      <c r="B45" s="106" t="s">
        <v>903</v>
      </c>
      <c r="C45" s="84" t="s">
        <v>903</v>
      </c>
      <c r="D45" s="102" t="s">
        <v>895</v>
      </c>
      <c r="E45" s="102" t="n">
        <v>19</v>
      </c>
      <c r="F45" s="102" t="n">
        <f aca="false">IF(A45="","",COUNTIF(Classes!$G$6:$G$420,A45))</f>
        <v>1</v>
      </c>
    </row>
    <row r="46" customFormat="false" ht="15" hidden="false" customHeight="false" outlineLevel="0" collapsed="false">
      <c r="A46" s="63" t="s">
        <v>904</v>
      </c>
      <c r="B46" s="106" t="s">
        <v>905</v>
      </c>
      <c r="C46" s="84" t="s">
        <v>905</v>
      </c>
      <c r="D46" s="102" t="s">
        <v>895</v>
      </c>
      <c r="E46" s="102" t="n">
        <v>15</v>
      </c>
      <c r="F46" s="102" t="n">
        <f aca="false">IF(A46="","",COUNTIF(Classes!$G$6:$G$420,A46))</f>
        <v>0</v>
      </c>
    </row>
    <row r="47" customFormat="false" ht="15" hidden="false" customHeight="false" outlineLevel="0" collapsed="false">
      <c r="A47" s="63" t="s">
        <v>476</v>
      </c>
      <c r="B47" s="106" t="s">
        <v>906</v>
      </c>
      <c r="C47" s="84" t="s">
        <v>906</v>
      </c>
      <c r="D47" s="102" t="s">
        <v>895</v>
      </c>
      <c r="E47" s="102" t="n">
        <v>19</v>
      </c>
      <c r="F47" s="102" t="n">
        <f aca="false">IF(A47="","",COUNTIF(Classes!$G$6:$G$420,A47))</f>
        <v>1</v>
      </c>
    </row>
    <row r="48" customFormat="false" ht="15" hidden="false" customHeight="false" outlineLevel="0" collapsed="false">
      <c r="A48" s="63" t="s">
        <v>616</v>
      </c>
      <c r="B48" s="106" t="s">
        <v>907</v>
      </c>
      <c r="C48" s="84" t="s">
        <v>907</v>
      </c>
      <c r="D48" s="102" t="s">
        <v>895</v>
      </c>
      <c r="E48" s="102" t="n">
        <v>21</v>
      </c>
      <c r="F48" s="102" t="n">
        <f aca="false">IF(A48="","",COUNTIF(Classes!$G$6:$G$420,A48))</f>
        <v>3</v>
      </c>
    </row>
    <row r="49" customFormat="false" ht="15" hidden="false" customHeight="false" outlineLevel="0" collapsed="false">
      <c r="A49" s="63" t="s">
        <v>460</v>
      </c>
      <c r="B49" s="106" t="s">
        <v>908</v>
      </c>
      <c r="C49" s="84" t="s">
        <v>908</v>
      </c>
      <c r="D49" s="102" t="s">
        <v>407</v>
      </c>
      <c r="E49" s="102" t="n">
        <v>22</v>
      </c>
      <c r="F49" s="102" t="n">
        <f aca="false">IF(A49="","",COUNTIF(Classes!$G$6:$G$420,A49))</f>
        <v>8</v>
      </c>
    </row>
    <row r="50" customFormat="false" ht="15" hidden="false" customHeight="false" outlineLevel="0" collapsed="false">
      <c r="A50" s="63" t="s">
        <v>481</v>
      </c>
      <c r="B50" s="106" t="s">
        <v>909</v>
      </c>
      <c r="C50" s="84" t="s">
        <v>909</v>
      </c>
      <c r="D50" s="102" t="s">
        <v>407</v>
      </c>
      <c r="E50" s="102" t="n">
        <v>20</v>
      </c>
      <c r="F50" s="102" t="n">
        <f aca="false">IF(A50="","",COUNTIF(Classes!$G$6:$G$420,A50))</f>
        <v>8</v>
      </c>
    </row>
    <row r="51" customFormat="false" ht="15" hidden="false" customHeight="false" outlineLevel="0" collapsed="false">
      <c r="A51" s="63" t="s">
        <v>910</v>
      </c>
      <c r="B51" s="106" t="s">
        <v>911</v>
      </c>
      <c r="C51" s="84" t="s">
        <v>911</v>
      </c>
      <c r="D51" s="102" t="s">
        <v>407</v>
      </c>
      <c r="E51" s="102" t="n">
        <v>20</v>
      </c>
      <c r="F51" s="102" t="n">
        <f aca="false">IF(A51="","",COUNTIF(Classes!$G$6:$G$420,A51))</f>
        <v>0</v>
      </c>
    </row>
    <row r="52" customFormat="false" ht="15" hidden="false" customHeight="false" outlineLevel="0" collapsed="false">
      <c r="A52" s="63" t="s">
        <v>668</v>
      </c>
      <c r="B52" s="106" t="s">
        <v>912</v>
      </c>
      <c r="C52" s="84" t="s">
        <v>912</v>
      </c>
      <c r="D52" s="102" t="s">
        <v>407</v>
      </c>
      <c r="E52" s="102" t="n">
        <v>24</v>
      </c>
      <c r="F52" s="102" t="n">
        <f aca="false">IF(A52="","",COUNTIF(Classes!$G$6:$G$420,A52))</f>
        <v>11</v>
      </c>
    </row>
    <row r="53" customFormat="false" ht="15" hidden="false" customHeight="false" outlineLevel="0" collapsed="false">
      <c r="A53" s="63" t="s">
        <v>462</v>
      </c>
      <c r="B53" s="106" t="s">
        <v>913</v>
      </c>
      <c r="C53" s="84" t="s">
        <v>913</v>
      </c>
      <c r="D53" s="102" t="s">
        <v>407</v>
      </c>
      <c r="E53" s="102" t="n">
        <v>21</v>
      </c>
      <c r="F53" s="102" t="n">
        <f aca="false">IF(A53="","",COUNTIF(Classes!$G$6:$G$420,A53))</f>
        <v>8</v>
      </c>
    </row>
    <row r="54" customFormat="false" ht="15" hidden="false" customHeight="false" outlineLevel="0" collapsed="false">
      <c r="A54" s="63" t="s">
        <v>723</v>
      </c>
      <c r="B54" s="106" t="s">
        <v>914</v>
      </c>
      <c r="C54" s="84" t="s">
        <v>914</v>
      </c>
      <c r="D54" s="102" t="s">
        <v>407</v>
      </c>
      <c r="E54" s="102" t="n">
        <v>26</v>
      </c>
      <c r="F54" s="102" t="n">
        <f aca="false">IF(A54="","",COUNTIF(Classes!$G$6:$G$420,A54))</f>
        <v>9</v>
      </c>
    </row>
    <row r="55" customFormat="false" ht="15" hidden="false" customHeight="false" outlineLevel="0" collapsed="false">
      <c r="A55" s="63" t="s">
        <v>670</v>
      </c>
      <c r="B55" s="106" t="s">
        <v>915</v>
      </c>
      <c r="C55" s="84" t="s">
        <v>915</v>
      </c>
      <c r="D55" s="102" t="s">
        <v>407</v>
      </c>
      <c r="E55" s="102" t="n">
        <v>27</v>
      </c>
      <c r="F55" s="102" t="n">
        <f aca="false">IF(A55="","",COUNTIF(Classes!$G$6:$G$420,A55))</f>
        <v>9</v>
      </c>
    </row>
    <row r="56" customFormat="false" ht="15" hidden="false" customHeight="false" outlineLevel="0" collapsed="false">
      <c r="A56" s="63" t="s">
        <v>674</v>
      </c>
      <c r="B56" s="106" t="s">
        <v>916</v>
      </c>
      <c r="C56" s="84" t="s">
        <v>916</v>
      </c>
      <c r="D56" s="102" t="s">
        <v>409</v>
      </c>
      <c r="E56" s="102" t="n">
        <v>32</v>
      </c>
      <c r="F56" s="102" t="n">
        <f aca="false">IF(A56="","",COUNTIF(Classes!$G$6:$G$420,A56))</f>
        <v>12</v>
      </c>
    </row>
    <row r="57" customFormat="false" ht="15" hidden="false" customHeight="false" outlineLevel="0" collapsed="false">
      <c r="A57" s="63" t="s">
        <v>751</v>
      </c>
      <c r="B57" s="106" t="s">
        <v>917</v>
      </c>
      <c r="C57" s="84" t="s">
        <v>917</v>
      </c>
      <c r="D57" s="102" t="s">
        <v>409</v>
      </c>
      <c r="E57" s="102" t="n">
        <v>15</v>
      </c>
      <c r="F57" s="102" t="n">
        <f aca="false">IF(A57="","",COUNTIF(Classes!$G$6:$G$420,A57))</f>
        <v>6</v>
      </c>
    </row>
    <row r="58" customFormat="false" ht="15" hidden="false" customHeight="false" outlineLevel="0" collapsed="false">
      <c r="A58" s="63" t="s">
        <v>918</v>
      </c>
      <c r="B58" s="106" t="s">
        <v>919</v>
      </c>
      <c r="C58" s="84" t="s">
        <v>919</v>
      </c>
      <c r="D58" s="102" t="s">
        <v>409</v>
      </c>
      <c r="E58" s="102" t="n">
        <v>20</v>
      </c>
      <c r="F58" s="102" t="n">
        <f aca="false">IF(A58="","",COUNTIF(Classes!$G$6:$G$420,A58))</f>
        <v>0</v>
      </c>
    </row>
    <row r="59" customFormat="false" ht="15" hidden="false" customHeight="false" outlineLevel="0" collapsed="false">
      <c r="A59" s="63" t="s">
        <v>466</v>
      </c>
      <c r="B59" s="106" t="s">
        <v>920</v>
      </c>
      <c r="C59" s="84" t="s">
        <v>920</v>
      </c>
      <c r="D59" s="102" t="s">
        <v>409</v>
      </c>
      <c r="E59" s="102" t="n">
        <v>26</v>
      </c>
      <c r="F59" s="102" t="n">
        <f aca="false">IF(A59="","",COUNTIF(Classes!$G$6:$G$420,A59))</f>
        <v>10</v>
      </c>
    </row>
    <row r="60" customFormat="false" ht="15" hidden="false" customHeight="false" outlineLevel="0" collapsed="false">
      <c r="A60" s="63" t="s">
        <v>464</v>
      </c>
      <c r="B60" s="106" t="s">
        <v>921</v>
      </c>
      <c r="C60" s="84" t="s">
        <v>921</v>
      </c>
      <c r="D60" s="102" t="s">
        <v>409</v>
      </c>
      <c r="E60" s="102" t="n">
        <v>26</v>
      </c>
      <c r="F60" s="102" t="n">
        <f aca="false">IF(A60="","",COUNTIF(Classes!$G$6:$G$420,A60))</f>
        <v>10</v>
      </c>
    </row>
    <row r="61" customFormat="false" ht="15" hidden="false" customHeight="false" outlineLevel="0" collapsed="false">
      <c r="A61" s="63" t="s">
        <v>676</v>
      </c>
      <c r="B61" s="106" t="s">
        <v>922</v>
      </c>
      <c r="C61" s="84" t="s">
        <v>922</v>
      </c>
      <c r="D61" s="102" t="s">
        <v>409</v>
      </c>
      <c r="E61" s="102" t="n">
        <v>30</v>
      </c>
      <c r="F61" s="102" t="n">
        <f aca="false">IF(A61="","",COUNTIF(Classes!$G$6:$G$420,A61))</f>
        <v>11</v>
      </c>
    </row>
    <row r="62" customFormat="false" ht="15" hidden="false" customHeight="false" outlineLevel="0" collapsed="false">
      <c r="A62" s="63" t="s">
        <v>672</v>
      </c>
      <c r="B62" s="106" t="s">
        <v>923</v>
      </c>
      <c r="C62" s="84" t="s">
        <v>923</v>
      </c>
      <c r="D62" s="102" t="s">
        <v>409</v>
      </c>
      <c r="E62" s="102" t="n">
        <v>18</v>
      </c>
      <c r="F62" s="102" t="n">
        <f aca="false">IF(A62="","",COUNTIF(Classes!$G$6:$G$420,A62))</f>
        <v>8</v>
      </c>
    </row>
    <row r="63" customFormat="false" ht="15" hidden="false" customHeight="false" outlineLevel="0" collapsed="false">
      <c r="A63" s="63" t="s">
        <v>468</v>
      </c>
      <c r="B63" s="106" t="s">
        <v>924</v>
      </c>
      <c r="C63" s="84" t="s">
        <v>924</v>
      </c>
      <c r="D63" s="102" t="s">
        <v>409</v>
      </c>
      <c r="E63" s="102" t="n">
        <v>26</v>
      </c>
      <c r="F63" s="102" t="n">
        <f aca="false">IF(A63="","",COUNTIF(Classes!$G$6:$G$420,A63))</f>
        <v>10</v>
      </c>
    </row>
    <row r="64" customFormat="false" ht="15" hidden="false" customHeight="false" outlineLevel="0" collapsed="false">
      <c r="A64" s="63" t="s">
        <v>843</v>
      </c>
      <c r="B64" s="106" t="s">
        <v>925</v>
      </c>
      <c r="C64" s="84" t="s">
        <v>926</v>
      </c>
      <c r="D64" s="102" t="s">
        <v>409</v>
      </c>
      <c r="E64" s="102" t="n">
        <v>10</v>
      </c>
      <c r="F64" s="102" t="n">
        <f aca="false">IF(A64="","",COUNTIF(Classes!$G$6:$G$420,A64))</f>
        <v>1</v>
      </c>
      <c r="G64" s="105" t="s">
        <v>927</v>
      </c>
    </row>
    <row r="65" customFormat="false" ht="15" hidden="false" customHeight="false" outlineLevel="0" collapsed="false">
      <c r="A65" s="63" t="s">
        <v>458</v>
      </c>
      <c r="B65" s="106" t="s">
        <v>928</v>
      </c>
      <c r="C65" s="84" t="s">
        <v>928</v>
      </c>
      <c r="D65" s="102" t="s">
        <v>411</v>
      </c>
      <c r="E65" s="102" t="n">
        <v>26</v>
      </c>
      <c r="F65" s="102" t="n">
        <f aca="false">IF(A65="","",COUNTIF(Classes!$G$6:$G$420,A65))</f>
        <v>26</v>
      </c>
    </row>
    <row r="66" customFormat="false" ht="15" hidden="false" customHeight="false" outlineLevel="0" collapsed="false">
      <c r="A66" s="63" t="s">
        <v>456</v>
      </c>
      <c r="B66" s="106" t="s">
        <v>929</v>
      </c>
      <c r="C66" s="84" t="s">
        <v>929</v>
      </c>
      <c r="D66" s="102" t="s">
        <v>411</v>
      </c>
      <c r="E66" s="102" t="n">
        <v>26</v>
      </c>
      <c r="F66" s="102" t="n">
        <f aca="false">IF(A66="","",COUNTIF(Classes!$G$6:$G$420,A66))</f>
        <v>26</v>
      </c>
    </row>
    <row r="67" customFormat="false" ht="15" hidden="false" customHeight="false" outlineLevel="0" collapsed="false">
      <c r="A67" s="63"/>
      <c r="C67" s="84"/>
      <c r="F67" s="102" t="str">
        <f aca="false">IF(A67="","",COUNTIF(Classes!$G$6:$G$420,A67))</f>
        <v/>
      </c>
    </row>
    <row r="68" customFormat="false" ht="15" hidden="false" customHeight="false" outlineLevel="0" collapsed="false">
      <c r="A68" s="63"/>
      <c r="C68" s="84"/>
      <c r="F68" s="102" t="str">
        <f aca="false">IF(A68="","",COUNTIF(Classes!$G$6:$G$420,A68))</f>
        <v/>
      </c>
    </row>
    <row r="69" customFormat="false" ht="15" hidden="false" customHeight="false" outlineLevel="0" collapsed="false">
      <c r="A69" s="63"/>
      <c r="C69" s="84"/>
      <c r="F69" s="102" t="str">
        <f aca="false">IF(A69="","",COUNTIF(Classes!$G$6:$G$420,A69))</f>
        <v/>
      </c>
    </row>
    <row r="70" customFormat="false" ht="15" hidden="false" customHeight="false" outlineLevel="0" collapsed="false">
      <c r="A70" s="63"/>
      <c r="C70" s="84"/>
      <c r="F70" s="102" t="str">
        <f aca="false">IF(A70="","",COUNTIF(Classes!$G$6:$G$420,A70))</f>
        <v/>
      </c>
    </row>
    <row r="71" customFormat="false" ht="15" hidden="false" customHeight="false" outlineLevel="0" collapsed="false">
      <c r="A71" s="63"/>
      <c r="C71" s="84"/>
      <c r="F71" s="102" t="str">
        <f aca="false">IF(A71="","",COUNTIF(Classes!$G$6:$G$420,A71))</f>
        <v/>
      </c>
    </row>
    <row r="72" customFormat="false" ht="15" hidden="false" customHeight="false" outlineLevel="0" collapsed="false">
      <c r="A72" s="63"/>
      <c r="C72" s="84"/>
      <c r="F72" s="102" t="str">
        <f aca="false">IF(A72="","",COUNTIF(Classes!$G$6:$G$420,A72))</f>
        <v/>
      </c>
    </row>
    <row r="73" customFormat="false" ht="15" hidden="false" customHeight="false" outlineLevel="0" collapsed="false">
      <c r="A73" s="63"/>
      <c r="C73" s="84"/>
      <c r="F73" s="102" t="str">
        <f aca="false">IF(A73="","",COUNTIF(Classes!$G$6:$G$420,A73))</f>
        <v/>
      </c>
    </row>
    <row r="74" customFormat="false" ht="15" hidden="false" customHeight="false" outlineLevel="0" collapsed="false">
      <c r="A74" s="63"/>
      <c r="C74" s="84"/>
      <c r="F74" s="102" t="str">
        <f aca="false">IF(A74="","",COUNTIF(Classes!$G$6:$G$420,A74))</f>
        <v/>
      </c>
    </row>
    <row r="75" customFormat="false" ht="15" hidden="false" customHeight="false" outlineLevel="0" collapsed="false">
      <c r="A75" s="63"/>
      <c r="C75" s="84"/>
      <c r="F75" s="102" t="str">
        <f aca="false">IF(A75="","",COUNTIF(Classes!$G$6:$G$420,A75))</f>
        <v/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8B8"/>
    <pageSetUpPr fitToPage="true"/>
  </sheetPr>
  <dimension ref="A1:Q7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6" min="4" style="0" width="11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1" min="10" style="0" width="13"/>
    <col collapsed="false" customWidth="true" hidden="false" outlineLevel="0" max="12" min="12" style="0" width="46"/>
    <col collapsed="false" customWidth="true" hidden="true" outlineLevel="0" max="13" min="13" style="0" width="3"/>
    <col collapsed="false" customWidth="true" hidden="false" outlineLevel="0" max="17" min="17" style="0" width="14"/>
  </cols>
  <sheetData>
    <row r="1" customFormat="false" ht="24" hidden="false" customHeight="true" outlineLevel="0" collapsed="false">
      <c r="A1" s="1"/>
      <c r="B1" s="2" t="s">
        <v>930</v>
      </c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</row>
    <row r="2" customFormat="false" ht="24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</row>
    <row r="3" customFormat="false" ht="15" hidden="false" customHeight="true" outlineLevel="0" collapsed="false">
      <c r="A3" s="1"/>
      <c r="B3" s="3" t="s">
        <v>931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</row>
    <row r="4" customFormat="false" ht="19.5" hidden="false" customHeight="true" outlineLevel="0" collapsed="false">
      <c r="A4" s="1"/>
      <c r="B4" s="8" t="s">
        <v>87</v>
      </c>
      <c r="C4" s="8" t="s">
        <v>88</v>
      </c>
      <c r="D4" s="8" t="s">
        <v>89</v>
      </c>
      <c r="E4" s="8" t="s">
        <v>90</v>
      </c>
      <c r="F4" s="8" t="s">
        <v>91</v>
      </c>
      <c r="G4" s="8" t="s">
        <v>92</v>
      </c>
      <c r="H4" s="8" t="s">
        <v>93</v>
      </c>
      <c r="I4" s="8" t="s">
        <v>94</v>
      </c>
      <c r="J4" s="8" t="s">
        <v>95</v>
      </c>
      <c r="K4" s="8" t="s">
        <v>96</v>
      </c>
      <c r="L4" s="9" t="s">
        <v>97</v>
      </c>
      <c r="M4" s="8" t="s">
        <v>98</v>
      </c>
      <c r="N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15" hidden="false" customHeight="false" outlineLevel="0" collapsed="false">
      <c r="A6" s="1"/>
      <c r="B6" s="65" t="s">
        <v>932</v>
      </c>
      <c r="C6" s="107" t="n">
        <f aca="false">COUNTIF(Data!$L$5:$L$5004,"✖*")</f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Q6" s="12" t="str">
        <f aca="false">IF(B11="الكل (All)","*",B11)</f>
        <v>*</v>
      </c>
    </row>
    <row r="7" customFormat="false" ht="15" hidden="false" customHeight="false" outlineLevel="0" collapsed="false">
      <c r="A7" s="1"/>
      <c r="B7" s="65" t="s">
        <v>933</v>
      </c>
      <c r="C7" s="107" t="n">
        <f aca="false">COUNTIF($L$14:$L$61,"⚠*")+COUNTIF(Data!$L$5:$L$5004,"⚠*")</f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15" hidden="false" customHeight="false" outlineLevel="0" collapsed="false">
      <c r="A8" s="1"/>
      <c r="B8" s="65" t="s">
        <v>934</v>
      </c>
      <c r="C8" s="107" t="n">
        <f aca="false">COUNTIF(مثال_Example!$L$5:$L$804,"✖*")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5" hidden="false" customHeight="true" outlineLevel="0" collapsed="false">
      <c r="A10" s="1"/>
      <c r="B10" s="11" t="s">
        <v>100</v>
      </c>
      <c r="C10" s="1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true" outlineLevel="0" collapsed="false">
      <c r="A11" s="1"/>
      <c r="B11" s="108" t="s">
        <v>106</v>
      </c>
      <c r="C11" s="108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customFormat="false" ht="30" hidden="false" customHeight="true" outlineLevel="0" collapsed="false">
      <c r="A13" s="1"/>
      <c r="B13" s="37" t="s">
        <v>935</v>
      </c>
      <c r="C13" s="37" t="s">
        <v>936</v>
      </c>
      <c r="D13" s="37" t="s">
        <v>937</v>
      </c>
      <c r="E13" s="37" t="s">
        <v>938</v>
      </c>
      <c r="F13" s="37" t="s">
        <v>939</v>
      </c>
      <c r="G13" s="37" t="s">
        <v>940</v>
      </c>
      <c r="H13" s="37" t="s">
        <v>941</v>
      </c>
      <c r="I13" s="37" t="s">
        <v>942</v>
      </c>
      <c r="J13" s="37" t="s">
        <v>943</v>
      </c>
      <c r="K13" s="37" t="s">
        <v>944</v>
      </c>
      <c r="L13" s="37" t="s">
        <v>945</v>
      </c>
      <c r="M13" s="1"/>
      <c r="N13" s="1"/>
    </row>
    <row r="14" customFormat="false" ht="15" hidden="false" customHeight="false" outlineLevel="0" collapsed="false">
      <c r="A14" s="1"/>
      <c r="B14" s="42" t="s">
        <v>171</v>
      </c>
      <c r="C14" s="42" t="s">
        <v>162</v>
      </c>
      <c r="D14" s="39" t="n">
        <f aca="false">(SUMIFS(Data!$Q$5:$Q$5004,Data!$B$5:$B$5004,$Q$6,Data!$D$5:$D$5004,$B14,Data!$F$5:$F$5004,$C14,Data!$G$5:$G$5004,"إجمالي الصف (All)")+ExOn*SUMIFS(مثال_Example!$Q$5:$Q$804,مثال_Example!$B$5:$B$804,$Q$6,مثال_Example!$D$5:$D$804,$B14,مثال_Example!$F$5:$F$804,$C14,مثال_Example!$G$5:$G$804,"إجمالي الصف (All)"))</f>
        <v>0</v>
      </c>
      <c r="E14" s="39" t="n">
        <f aca="false">(SUMIFS(Data!$Q$5:$Q$5004,Data!$B$5:$B$5004,$Q$6,Data!$D$5:$D$5004,$B14,Data!$F$5:$F$5004,$C14,Data!$G$5:$G$5004,"الأولاد (Boys)")+ExOn*SUMIFS(مثال_Example!$Q$5:$Q$804,مثال_Example!$B$5:$B$804,$Q$6,مثال_Example!$D$5:$D$804,$B14,مثال_Example!$F$5:$F$804,$C14,مثال_Example!$G$5:$G$804,"الأولاد (Boys)"))</f>
        <v>0</v>
      </c>
      <c r="F14" s="39" t="n">
        <f aca="false">(SUMIFS(Data!$Q$5:$Q$5004,Data!$B$5:$B$5004,$Q$6,Data!$D$5:$D$5004,$B14,Data!$F$5:$F$5004,$C14,Data!$G$5:$G$5004,"البنات (Girls)")+ExOn*SUMIFS(مثال_Example!$Q$5:$Q$804,مثال_Example!$B$5:$B$804,$Q$6,مثال_Example!$D$5:$D$804,$B14,مثال_Example!$F$5:$F$804,$C14,مثال_Example!$G$5:$G$804,"البنات (Girls)"))</f>
        <v>0</v>
      </c>
      <c r="G14" s="39" t="n">
        <f aca="false">E14+F14</f>
        <v>0</v>
      </c>
      <c r="H14" s="39" t="n">
        <f aca="false">(SUMIFS(Data!$Q$5:$Q$5004,Data!$B$5:$B$5004,$Q$6,Data!$D$5:$D$5004,$B14,Data!$F$5:$F$5004,$C14,Data!$G$5:$G$5004,"SEND")+ExOn*SUMIFS(مثال_Example!$Q$5:$Q$804,مثال_Example!$B$5:$B$804,$Q$6,مثال_Example!$D$5:$D$804,$B14,مثال_Example!$F$5:$F$804,$C14,مثال_Example!$G$5:$G$804,"SEND"))</f>
        <v>0</v>
      </c>
      <c r="I14" s="39" t="n">
        <f aca="false">(SUMIFS(Data!$Q$5:$Q$5004,Data!$B$5:$B$5004,$Q$6,Data!$D$5:$D$5004,$B14,Data!$F$5:$F$5004,$C14,Data!$G$5:$G$5004,"Gifted &amp; Talented")+ExOn*SUMIFS(مثال_Example!$Q$5:$Q$804,مثال_Example!$B$5:$B$804,$Q$6,مثال_Example!$D$5:$D$804,$B14,مثال_Example!$F$5:$F$804,$C14,مثال_Example!$G$5:$G$804,"Gifted &amp; Talented"))</f>
        <v>0</v>
      </c>
      <c r="J14" s="39" t="n">
        <f aca="false">(SUMIFS(Data!$Q$5:$Q$5004,Data!$B$5:$B$5004,$Q$6,Data!$D$5:$D$5004,$B14,Data!$F$5:$F$5004,$C14,Data!$G$5:$G$5004,"الإماراتيون (Emirati)")+ExOn*SUMIFS(مثال_Example!$Q$5:$Q$804,مثال_Example!$B$5:$B$804,$Q$6,مثال_Example!$D$5:$D$804,$B14,مثال_Example!$F$5:$F$804,$C14,مثال_Example!$G$5:$G$804,"الإماراتيون (Emirati)"))</f>
        <v>0</v>
      </c>
      <c r="K14" s="39" t="n">
        <f aca="false">(SUMIFS(Data!$T$5:$T$5004,Data!$B$5:$B$5004,$Q$6,Data!$D$5:$D$5004,$B14,Data!$F$5:$F$5004,$C14,Data!$G$5:$G$5004,"إجمالي الصف (All)")+ExOn*SUMIFS(مثال_Example!$T$5:$T$804,مثال_Example!$B$5:$B$804,$Q$6,مثال_Example!$D$5:$D$804,$B14,مثال_Example!$F$5:$F$804,$C14,مثال_Example!$G$5:$G$804,"إجمالي الصف (All)"))+(SUMIFS(Data!$U$5:$U$5004,Data!$B$5:$B$5004,$Q$6,Data!$D$5:$D$5004,$B14,Data!$F$5:$F$5004,$C14,Data!$G$5:$G$5004,"إجمالي الصف (All)")+ExOn*SUMIFS(مثال_Example!$U$5:$U$804,مثال_Example!$B$5:$B$804,$Q$6,مثال_Example!$D$5:$D$804,$B14,مثال_Example!$F$5:$F$804,$C14,مثال_Example!$G$5:$G$804,"إجمالي الصف (All)"))+(SUMIFS(Data!$V$5:$V$5004,Data!$B$5:$B$5004,$Q$6,Data!$D$5:$D$5004,$B14,Data!$F$5:$F$5004,$C14,Data!$G$5:$G$5004,"إجمالي الصف (All)")+ExOn*SUMIFS(مثال_Example!$V$5:$V$804,مثال_Example!$B$5:$B$804,$Q$6,مثال_Example!$D$5:$D$804,$B14,مثال_Example!$F$5:$F$804,$C14,مثال_Example!$G$5:$G$804,"إجمالي الصف (All)"))</f>
        <v>0</v>
      </c>
      <c r="L14" s="109" t="str">
        <f aca="false">IF(D14=0,IF(M14="","",M14),IF(M14="","OK",M14))</f>
        <v/>
      </c>
      <c r="M14" s="110" t="str">
        <f aca="false">IF(D14=0,IF(E14+F14+H14+I14+J14&gt;0,"⚠ مجموعات بلا إجمالي",""),TRIM(IF(AND(G14&gt;0,G14&lt;&gt;D14),"⚠ الأولاد+البنات ≠ الإجمالي · ","")&amp;IF(H14&gt;D14,"⚠ SEND &gt; الإجمالي · ","")&amp;IF(I14&gt;D14,"⚠ G&amp;T &gt; الإجمالي · ","")&amp;IF(J14&gt;D14,"⚠ الإماراتيون &gt; الإجمالي · ","")&amp;IF(K14&gt;D14,"⚠ حالات التقدم &gt; النتائج · ","")))</f>
        <v/>
      </c>
      <c r="N14" s="1"/>
    </row>
    <row r="15" customFormat="false" ht="15" hidden="false" customHeight="false" outlineLevel="0" collapsed="false">
      <c r="A15" s="1"/>
      <c r="B15" s="42" t="s">
        <v>171</v>
      </c>
      <c r="C15" s="42" t="s">
        <v>107</v>
      </c>
      <c r="D15" s="39" t="n">
        <f aca="false">(SUMIFS(Data!$Q$5:$Q$5004,Data!$B$5:$B$5004,$Q$6,Data!$D$5:$D$5004,$B15,Data!$F$5:$F$5004,$C15,Data!$G$5:$G$5004,"إجمالي الصف (All)")+ExOn*SUMIFS(مثال_Example!$Q$5:$Q$804,مثال_Example!$B$5:$B$804,$Q$6,مثال_Example!$D$5:$D$804,$B15,مثال_Example!$F$5:$F$804,$C15,مثال_Example!$G$5:$G$804,"إجمالي الصف (All)"))</f>
        <v>0</v>
      </c>
      <c r="E15" s="39" t="n">
        <f aca="false">(SUMIFS(Data!$Q$5:$Q$5004,Data!$B$5:$B$5004,$Q$6,Data!$D$5:$D$5004,$B15,Data!$F$5:$F$5004,$C15,Data!$G$5:$G$5004,"الأولاد (Boys)")+ExOn*SUMIFS(مثال_Example!$Q$5:$Q$804,مثال_Example!$B$5:$B$804,$Q$6,مثال_Example!$D$5:$D$804,$B15,مثال_Example!$F$5:$F$804,$C15,مثال_Example!$G$5:$G$804,"الأولاد (Boys)"))</f>
        <v>0</v>
      </c>
      <c r="F15" s="39" t="n">
        <f aca="false">(SUMIFS(Data!$Q$5:$Q$5004,Data!$B$5:$B$5004,$Q$6,Data!$D$5:$D$5004,$B15,Data!$F$5:$F$5004,$C15,Data!$G$5:$G$5004,"البنات (Girls)")+ExOn*SUMIFS(مثال_Example!$Q$5:$Q$804,مثال_Example!$B$5:$B$804,$Q$6,مثال_Example!$D$5:$D$804,$B15,مثال_Example!$F$5:$F$804,$C15,مثال_Example!$G$5:$G$804,"البنات (Girls)"))</f>
        <v>0</v>
      </c>
      <c r="G15" s="39" t="n">
        <f aca="false">E15+F15</f>
        <v>0</v>
      </c>
      <c r="H15" s="39" t="n">
        <f aca="false">(SUMIFS(Data!$Q$5:$Q$5004,Data!$B$5:$B$5004,$Q$6,Data!$D$5:$D$5004,$B15,Data!$F$5:$F$5004,$C15,Data!$G$5:$G$5004,"SEND")+ExOn*SUMIFS(مثال_Example!$Q$5:$Q$804,مثال_Example!$B$5:$B$804,$Q$6,مثال_Example!$D$5:$D$804,$B15,مثال_Example!$F$5:$F$804,$C15,مثال_Example!$G$5:$G$804,"SEND"))</f>
        <v>0</v>
      </c>
      <c r="I15" s="39" t="n">
        <f aca="false">(SUMIFS(Data!$Q$5:$Q$5004,Data!$B$5:$B$5004,$Q$6,Data!$D$5:$D$5004,$B15,Data!$F$5:$F$5004,$C15,Data!$G$5:$G$5004,"Gifted &amp; Talented")+ExOn*SUMIFS(مثال_Example!$Q$5:$Q$804,مثال_Example!$B$5:$B$804,$Q$6,مثال_Example!$D$5:$D$804,$B15,مثال_Example!$F$5:$F$804,$C15,مثال_Example!$G$5:$G$804,"Gifted &amp; Talented"))</f>
        <v>0</v>
      </c>
      <c r="J15" s="39" t="n">
        <f aca="false">(SUMIFS(Data!$Q$5:$Q$5004,Data!$B$5:$B$5004,$Q$6,Data!$D$5:$D$5004,$B15,Data!$F$5:$F$5004,$C15,Data!$G$5:$G$5004,"الإماراتيون (Emirati)")+ExOn*SUMIFS(مثال_Example!$Q$5:$Q$804,مثال_Example!$B$5:$B$804,$Q$6,مثال_Example!$D$5:$D$804,$B15,مثال_Example!$F$5:$F$804,$C15,مثال_Example!$G$5:$G$804,"الإماراتيون (Emirati)"))</f>
        <v>0</v>
      </c>
      <c r="K15" s="39" t="n">
        <f aca="false">(SUMIFS(Data!$T$5:$T$5004,Data!$B$5:$B$5004,$Q$6,Data!$D$5:$D$5004,$B15,Data!$F$5:$F$5004,$C15,Data!$G$5:$G$5004,"إجمالي الصف (All)")+ExOn*SUMIFS(مثال_Example!$T$5:$T$804,مثال_Example!$B$5:$B$804,$Q$6,مثال_Example!$D$5:$D$804,$B15,مثال_Example!$F$5:$F$804,$C15,مثال_Example!$G$5:$G$804,"إجمالي الصف (All)"))+(SUMIFS(Data!$U$5:$U$5004,Data!$B$5:$B$5004,$Q$6,Data!$D$5:$D$5004,$B15,Data!$F$5:$F$5004,$C15,Data!$G$5:$G$5004,"إجمالي الصف (All)")+ExOn*SUMIFS(مثال_Example!$U$5:$U$804,مثال_Example!$B$5:$B$804,$Q$6,مثال_Example!$D$5:$D$804,$B15,مثال_Example!$F$5:$F$804,$C15,مثال_Example!$G$5:$G$804,"إجمالي الصف (All)"))+(SUMIFS(Data!$V$5:$V$5004,Data!$B$5:$B$5004,$Q$6,Data!$D$5:$D$5004,$B15,Data!$F$5:$F$5004,$C15,Data!$G$5:$G$5004,"إجمالي الصف (All)")+ExOn*SUMIFS(مثال_Example!$V$5:$V$804,مثال_Example!$B$5:$B$804,$Q$6,مثال_Example!$D$5:$D$804,$B15,مثال_Example!$F$5:$F$804,$C15,مثال_Example!$G$5:$G$804,"إجمالي الصف (All)"))</f>
        <v>0</v>
      </c>
      <c r="L15" s="109" t="str">
        <f aca="false">IF(D15=0,IF(M15="","",M15),IF(M15="","OK",M15))</f>
        <v/>
      </c>
      <c r="M15" s="110" t="str">
        <f aca="false">IF(D15=0,IF(E15+F15+H15+I15+J15&gt;0,"⚠ مجموعات بلا إجمالي",""),TRIM(IF(AND(G15&gt;0,G15&lt;&gt;D15),"⚠ الأولاد+البنات ≠ الإجمالي · ","")&amp;IF(H15&gt;D15,"⚠ SEND &gt; الإجمالي · ","")&amp;IF(I15&gt;D15,"⚠ G&amp;T &gt; الإجمالي · ","")&amp;IF(J15&gt;D15,"⚠ الإماراتيون &gt; الإجمالي · ","")&amp;IF(K15&gt;D15,"⚠ حالات التقدم &gt; النتائج · ","")))</f>
        <v/>
      </c>
      <c r="N15" s="1"/>
    </row>
    <row r="16" customFormat="false" ht="15" hidden="false" customHeight="false" outlineLevel="0" collapsed="false">
      <c r="A16" s="1"/>
      <c r="B16" s="42" t="s">
        <v>171</v>
      </c>
      <c r="C16" s="42" t="s">
        <v>163</v>
      </c>
      <c r="D16" s="39" t="n">
        <f aca="false">(SUMIFS(Data!$Q$5:$Q$5004,Data!$B$5:$B$5004,$Q$6,Data!$D$5:$D$5004,$B16,Data!$F$5:$F$5004,$C16,Data!$G$5:$G$5004,"إجمالي الصف (All)")+ExOn*SUMIFS(مثال_Example!$Q$5:$Q$804,مثال_Example!$B$5:$B$804,$Q$6,مثال_Example!$D$5:$D$804,$B16,مثال_Example!$F$5:$F$804,$C16,مثال_Example!$G$5:$G$804,"إجمالي الصف (All)"))</f>
        <v>0</v>
      </c>
      <c r="E16" s="39" t="n">
        <f aca="false">(SUMIFS(Data!$Q$5:$Q$5004,Data!$B$5:$B$5004,$Q$6,Data!$D$5:$D$5004,$B16,Data!$F$5:$F$5004,$C16,Data!$G$5:$G$5004,"الأولاد (Boys)")+ExOn*SUMIFS(مثال_Example!$Q$5:$Q$804,مثال_Example!$B$5:$B$804,$Q$6,مثال_Example!$D$5:$D$804,$B16,مثال_Example!$F$5:$F$804,$C16,مثال_Example!$G$5:$G$804,"الأولاد (Boys)"))</f>
        <v>0</v>
      </c>
      <c r="F16" s="39" t="n">
        <f aca="false">(SUMIFS(Data!$Q$5:$Q$5004,Data!$B$5:$B$5004,$Q$6,Data!$D$5:$D$5004,$B16,Data!$F$5:$F$5004,$C16,Data!$G$5:$G$5004,"البنات (Girls)")+ExOn*SUMIFS(مثال_Example!$Q$5:$Q$804,مثال_Example!$B$5:$B$804,$Q$6,مثال_Example!$D$5:$D$804,$B16,مثال_Example!$F$5:$F$804,$C16,مثال_Example!$G$5:$G$804,"البنات (Girls)"))</f>
        <v>0</v>
      </c>
      <c r="G16" s="39" t="n">
        <f aca="false">E16+F16</f>
        <v>0</v>
      </c>
      <c r="H16" s="39" t="n">
        <f aca="false">(SUMIFS(Data!$Q$5:$Q$5004,Data!$B$5:$B$5004,$Q$6,Data!$D$5:$D$5004,$B16,Data!$F$5:$F$5004,$C16,Data!$G$5:$G$5004,"SEND")+ExOn*SUMIFS(مثال_Example!$Q$5:$Q$804,مثال_Example!$B$5:$B$804,$Q$6,مثال_Example!$D$5:$D$804,$B16,مثال_Example!$F$5:$F$804,$C16,مثال_Example!$G$5:$G$804,"SEND"))</f>
        <v>0</v>
      </c>
      <c r="I16" s="39" t="n">
        <f aca="false">(SUMIFS(Data!$Q$5:$Q$5004,Data!$B$5:$B$5004,$Q$6,Data!$D$5:$D$5004,$B16,Data!$F$5:$F$5004,$C16,Data!$G$5:$G$5004,"Gifted &amp; Talented")+ExOn*SUMIFS(مثال_Example!$Q$5:$Q$804,مثال_Example!$B$5:$B$804,$Q$6,مثال_Example!$D$5:$D$804,$B16,مثال_Example!$F$5:$F$804,$C16,مثال_Example!$G$5:$G$804,"Gifted &amp; Talented"))</f>
        <v>0</v>
      </c>
      <c r="J16" s="39" t="n">
        <f aca="false">(SUMIFS(Data!$Q$5:$Q$5004,Data!$B$5:$B$5004,$Q$6,Data!$D$5:$D$5004,$B16,Data!$F$5:$F$5004,$C16,Data!$G$5:$G$5004,"الإماراتيون (Emirati)")+ExOn*SUMIFS(مثال_Example!$Q$5:$Q$804,مثال_Example!$B$5:$B$804,$Q$6,مثال_Example!$D$5:$D$804,$B16,مثال_Example!$F$5:$F$804,$C16,مثال_Example!$G$5:$G$804,"الإماراتيون (Emirati)"))</f>
        <v>0</v>
      </c>
      <c r="K16" s="39" t="n">
        <f aca="false">(SUMIFS(Data!$T$5:$T$5004,Data!$B$5:$B$5004,$Q$6,Data!$D$5:$D$5004,$B16,Data!$F$5:$F$5004,$C16,Data!$G$5:$G$5004,"إجمالي الصف (All)")+ExOn*SUMIFS(مثال_Example!$T$5:$T$804,مثال_Example!$B$5:$B$804,$Q$6,مثال_Example!$D$5:$D$804,$B16,مثال_Example!$F$5:$F$804,$C16,مثال_Example!$G$5:$G$804,"إجمالي الصف (All)"))+(SUMIFS(Data!$U$5:$U$5004,Data!$B$5:$B$5004,$Q$6,Data!$D$5:$D$5004,$B16,Data!$F$5:$F$5004,$C16,Data!$G$5:$G$5004,"إجمالي الصف (All)")+ExOn*SUMIFS(مثال_Example!$U$5:$U$804,مثال_Example!$B$5:$B$804,$Q$6,مثال_Example!$D$5:$D$804,$B16,مثال_Example!$F$5:$F$804,$C16,مثال_Example!$G$5:$G$804,"إجمالي الصف (All)"))+(SUMIFS(Data!$V$5:$V$5004,Data!$B$5:$B$5004,$Q$6,Data!$D$5:$D$5004,$B16,Data!$F$5:$F$5004,$C16,Data!$G$5:$G$5004,"إجمالي الصف (All)")+ExOn*SUMIFS(مثال_Example!$V$5:$V$804,مثال_Example!$B$5:$B$804,$Q$6,مثال_Example!$D$5:$D$804,$B16,مثال_Example!$F$5:$F$804,$C16,مثال_Example!$G$5:$G$804,"إجمالي الصف (All)"))</f>
        <v>0</v>
      </c>
      <c r="L16" s="109" t="str">
        <f aca="false">IF(D16=0,IF(M16="","",M16),IF(M16="","OK",M16))</f>
        <v/>
      </c>
      <c r="M16" s="110" t="str">
        <f aca="false">IF(D16=0,IF(E16+F16+H16+I16+J16&gt;0,"⚠ مجموعات بلا إجمالي",""),TRIM(IF(AND(G16&gt;0,G16&lt;&gt;D16),"⚠ الأولاد+البنات ≠ الإجمالي · ","")&amp;IF(H16&gt;D16,"⚠ SEND &gt; الإجمالي · ","")&amp;IF(I16&gt;D16,"⚠ G&amp;T &gt; الإجمالي · ","")&amp;IF(J16&gt;D16,"⚠ الإماراتيون &gt; الإجمالي · ","")&amp;IF(K16&gt;D16,"⚠ حالات التقدم &gt; النتائج · ","")))</f>
        <v/>
      </c>
      <c r="N16" s="1"/>
    </row>
    <row r="17" customFormat="false" ht="15" hidden="false" customHeight="false" outlineLevel="0" collapsed="false">
      <c r="A17" s="1"/>
      <c r="B17" s="42" t="s">
        <v>171</v>
      </c>
      <c r="C17" s="42" t="s">
        <v>164</v>
      </c>
      <c r="D17" s="39" t="n">
        <f aca="false">(SUMIFS(Data!$Q$5:$Q$5004,Data!$B$5:$B$5004,$Q$6,Data!$D$5:$D$5004,$B17,Data!$F$5:$F$5004,$C17,Data!$G$5:$G$5004,"إجمالي الصف (All)")+ExOn*SUMIFS(مثال_Example!$Q$5:$Q$804,مثال_Example!$B$5:$B$804,$Q$6,مثال_Example!$D$5:$D$804,$B17,مثال_Example!$F$5:$F$804,$C17,مثال_Example!$G$5:$G$804,"إجمالي الصف (All)"))</f>
        <v>0</v>
      </c>
      <c r="E17" s="39" t="n">
        <f aca="false">(SUMIFS(Data!$Q$5:$Q$5004,Data!$B$5:$B$5004,$Q$6,Data!$D$5:$D$5004,$B17,Data!$F$5:$F$5004,$C17,Data!$G$5:$G$5004,"الأولاد (Boys)")+ExOn*SUMIFS(مثال_Example!$Q$5:$Q$804,مثال_Example!$B$5:$B$804,$Q$6,مثال_Example!$D$5:$D$804,$B17,مثال_Example!$F$5:$F$804,$C17,مثال_Example!$G$5:$G$804,"الأولاد (Boys)"))</f>
        <v>0</v>
      </c>
      <c r="F17" s="39" t="n">
        <f aca="false">(SUMIFS(Data!$Q$5:$Q$5004,Data!$B$5:$B$5004,$Q$6,Data!$D$5:$D$5004,$B17,Data!$F$5:$F$5004,$C17,Data!$G$5:$G$5004,"البنات (Girls)")+ExOn*SUMIFS(مثال_Example!$Q$5:$Q$804,مثال_Example!$B$5:$B$804,$Q$6,مثال_Example!$D$5:$D$804,$B17,مثال_Example!$F$5:$F$804,$C17,مثال_Example!$G$5:$G$804,"البنات (Girls)"))</f>
        <v>0</v>
      </c>
      <c r="G17" s="39" t="n">
        <f aca="false">E17+F17</f>
        <v>0</v>
      </c>
      <c r="H17" s="39" t="n">
        <f aca="false">(SUMIFS(Data!$Q$5:$Q$5004,Data!$B$5:$B$5004,$Q$6,Data!$D$5:$D$5004,$B17,Data!$F$5:$F$5004,$C17,Data!$G$5:$G$5004,"SEND")+ExOn*SUMIFS(مثال_Example!$Q$5:$Q$804,مثال_Example!$B$5:$B$804,$Q$6,مثال_Example!$D$5:$D$804,$B17,مثال_Example!$F$5:$F$804,$C17,مثال_Example!$G$5:$G$804,"SEND"))</f>
        <v>0</v>
      </c>
      <c r="I17" s="39" t="n">
        <f aca="false">(SUMIFS(Data!$Q$5:$Q$5004,Data!$B$5:$B$5004,$Q$6,Data!$D$5:$D$5004,$B17,Data!$F$5:$F$5004,$C17,Data!$G$5:$G$5004,"Gifted &amp; Talented")+ExOn*SUMIFS(مثال_Example!$Q$5:$Q$804,مثال_Example!$B$5:$B$804,$Q$6,مثال_Example!$D$5:$D$804,$B17,مثال_Example!$F$5:$F$804,$C17,مثال_Example!$G$5:$G$804,"Gifted &amp; Talented"))</f>
        <v>0</v>
      </c>
      <c r="J17" s="39" t="n">
        <f aca="false">(SUMIFS(Data!$Q$5:$Q$5004,Data!$B$5:$B$5004,$Q$6,Data!$D$5:$D$5004,$B17,Data!$F$5:$F$5004,$C17,Data!$G$5:$G$5004,"الإماراتيون (Emirati)")+ExOn*SUMIFS(مثال_Example!$Q$5:$Q$804,مثال_Example!$B$5:$B$804,$Q$6,مثال_Example!$D$5:$D$804,$B17,مثال_Example!$F$5:$F$804,$C17,مثال_Example!$G$5:$G$804,"الإماراتيون (Emirati)"))</f>
        <v>0</v>
      </c>
      <c r="K17" s="39" t="n">
        <f aca="false">(SUMIFS(Data!$T$5:$T$5004,Data!$B$5:$B$5004,$Q$6,Data!$D$5:$D$5004,$B17,Data!$F$5:$F$5004,$C17,Data!$G$5:$G$5004,"إجمالي الصف (All)")+ExOn*SUMIFS(مثال_Example!$T$5:$T$804,مثال_Example!$B$5:$B$804,$Q$6,مثال_Example!$D$5:$D$804,$B17,مثال_Example!$F$5:$F$804,$C17,مثال_Example!$G$5:$G$804,"إجمالي الصف (All)"))+(SUMIFS(Data!$U$5:$U$5004,Data!$B$5:$B$5004,$Q$6,Data!$D$5:$D$5004,$B17,Data!$F$5:$F$5004,$C17,Data!$G$5:$G$5004,"إجمالي الصف (All)")+ExOn*SUMIFS(مثال_Example!$U$5:$U$804,مثال_Example!$B$5:$B$804,$Q$6,مثال_Example!$D$5:$D$804,$B17,مثال_Example!$F$5:$F$804,$C17,مثال_Example!$G$5:$G$804,"إجمالي الصف (All)"))+(SUMIFS(Data!$V$5:$V$5004,Data!$B$5:$B$5004,$Q$6,Data!$D$5:$D$5004,$B17,Data!$F$5:$F$5004,$C17,Data!$G$5:$G$5004,"إجمالي الصف (All)")+ExOn*SUMIFS(مثال_Example!$V$5:$V$804,مثال_Example!$B$5:$B$804,$Q$6,مثال_Example!$D$5:$D$804,$B17,مثال_Example!$F$5:$F$804,$C17,مثال_Example!$G$5:$G$804,"إجمالي الصف (All)"))</f>
        <v>0</v>
      </c>
      <c r="L17" s="109" t="str">
        <f aca="false">IF(D17=0,IF(M17="","",M17),IF(M17="","OK",M17))</f>
        <v/>
      </c>
      <c r="M17" s="110" t="str">
        <f aca="false">IF(D17=0,IF(E17+F17+H17+I17+J17&gt;0,"⚠ مجموعات بلا إجمالي",""),TRIM(IF(AND(G17&gt;0,G17&lt;&gt;D17),"⚠ الأولاد+البنات ≠ الإجمالي · ","")&amp;IF(H17&gt;D17,"⚠ SEND &gt; الإجمالي · ","")&amp;IF(I17&gt;D17,"⚠ G&amp;T &gt; الإجمالي · ","")&amp;IF(J17&gt;D17,"⚠ الإماراتيون &gt; الإجمالي · ","")&amp;IF(K17&gt;D17,"⚠ حالات التقدم &gt; النتائج · ","")))</f>
        <v/>
      </c>
      <c r="N17" s="1"/>
    </row>
    <row r="18" customFormat="false" ht="15" hidden="false" customHeight="false" outlineLevel="0" collapsed="false">
      <c r="A18" s="1"/>
      <c r="B18" s="42" t="s">
        <v>172</v>
      </c>
      <c r="C18" s="42" t="s">
        <v>162</v>
      </c>
      <c r="D18" s="39" t="n">
        <f aca="false">(SUMIFS(Data!$Q$5:$Q$5004,Data!$B$5:$B$5004,$Q$6,Data!$D$5:$D$5004,$B18,Data!$F$5:$F$5004,$C18,Data!$G$5:$G$5004,"إجمالي الصف (All)")+ExOn*SUMIFS(مثال_Example!$Q$5:$Q$804,مثال_Example!$B$5:$B$804,$Q$6,مثال_Example!$D$5:$D$804,$B18,مثال_Example!$F$5:$F$804,$C18,مثال_Example!$G$5:$G$804,"إجمالي الصف (All)"))</f>
        <v>0</v>
      </c>
      <c r="E18" s="39" t="n">
        <f aca="false">(SUMIFS(Data!$Q$5:$Q$5004,Data!$B$5:$B$5004,$Q$6,Data!$D$5:$D$5004,$B18,Data!$F$5:$F$5004,$C18,Data!$G$5:$G$5004,"الأولاد (Boys)")+ExOn*SUMIFS(مثال_Example!$Q$5:$Q$804,مثال_Example!$B$5:$B$804,$Q$6,مثال_Example!$D$5:$D$804,$B18,مثال_Example!$F$5:$F$804,$C18,مثال_Example!$G$5:$G$804,"الأولاد (Boys)"))</f>
        <v>0</v>
      </c>
      <c r="F18" s="39" t="n">
        <f aca="false">(SUMIFS(Data!$Q$5:$Q$5004,Data!$B$5:$B$5004,$Q$6,Data!$D$5:$D$5004,$B18,Data!$F$5:$F$5004,$C18,Data!$G$5:$G$5004,"البنات (Girls)")+ExOn*SUMIFS(مثال_Example!$Q$5:$Q$804,مثال_Example!$B$5:$B$804,$Q$6,مثال_Example!$D$5:$D$804,$B18,مثال_Example!$F$5:$F$804,$C18,مثال_Example!$G$5:$G$804,"البنات (Girls)"))</f>
        <v>0</v>
      </c>
      <c r="G18" s="39" t="n">
        <f aca="false">E18+F18</f>
        <v>0</v>
      </c>
      <c r="H18" s="39" t="n">
        <f aca="false">(SUMIFS(Data!$Q$5:$Q$5004,Data!$B$5:$B$5004,$Q$6,Data!$D$5:$D$5004,$B18,Data!$F$5:$F$5004,$C18,Data!$G$5:$G$5004,"SEND")+ExOn*SUMIFS(مثال_Example!$Q$5:$Q$804,مثال_Example!$B$5:$B$804,$Q$6,مثال_Example!$D$5:$D$804,$B18,مثال_Example!$F$5:$F$804,$C18,مثال_Example!$G$5:$G$804,"SEND"))</f>
        <v>0</v>
      </c>
      <c r="I18" s="39" t="n">
        <f aca="false">(SUMIFS(Data!$Q$5:$Q$5004,Data!$B$5:$B$5004,$Q$6,Data!$D$5:$D$5004,$B18,Data!$F$5:$F$5004,$C18,Data!$G$5:$G$5004,"Gifted &amp; Talented")+ExOn*SUMIFS(مثال_Example!$Q$5:$Q$804,مثال_Example!$B$5:$B$804,$Q$6,مثال_Example!$D$5:$D$804,$B18,مثال_Example!$F$5:$F$804,$C18,مثال_Example!$G$5:$G$804,"Gifted &amp; Talented"))</f>
        <v>0</v>
      </c>
      <c r="J18" s="39" t="n">
        <f aca="false">(SUMIFS(Data!$Q$5:$Q$5004,Data!$B$5:$B$5004,$Q$6,Data!$D$5:$D$5004,$B18,Data!$F$5:$F$5004,$C18,Data!$G$5:$G$5004,"الإماراتيون (Emirati)")+ExOn*SUMIFS(مثال_Example!$Q$5:$Q$804,مثال_Example!$B$5:$B$804,$Q$6,مثال_Example!$D$5:$D$804,$B18,مثال_Example!$F$5:$F$804,$C18,مثال_Example!$G$5:$G$804,"الإماراتيون (Emirati)"))</f>
        <v>0</v>
      </c>
      <c r="K18" s="39" t="n">
        <f aca="false">(SUMIFS(Data!$T$5:$T$5004,Data!$B$5:$B$5004,$Q$6,Data!$D$5:$D$5004,$B18,Data!$F$5:$F$5004,$C18,Data!$G$5:$G$5004,"إجمالي الصف (All)")+ExOn*SUMIFS(مثال_Example!$T$5:$T$804,مثال_Example!$B$5:$B$804,$Q$6,مثال_Example!$D$5:$D$804,$B18,مثال_Example!$F$5:$F$804,$C18,مثال_Example!$G$5:$G$804,"إجمالي الصف (All)"))+(SUMIFS(Data!$U$5:$U$5004,Data!$B$5:$B$5004,$Q$6,Data!$D$5:$D$5004,$B18,Data!$F$5:$F$5004,$C18,Data!$G$5:$G$5004,"إجمالي الصف (All)")+ExOn*SUMIFS(مثال_Example!$U$5:$U$804,مثال_Example!$B$5:$B$804,$Q$6,مثال_Example!$D$5:$D$804,$B18,مثال_Example!$F$5:$F$804,$C18,مثال_Example!$G$5:$G$804,"إجمالي الصف (All)"))+(SUMIFS(Data!$V$5:$V$5004,Data!$B$5:$B$5004,$Q$6,Data!$D$5:$D$5004,$B18,Data!$F$5:$F$5004,$C18,Data!$G$5:$G$5004,"إجمالي الصف (All)")+ExOn*SUMIFS(مثال_Example!$V$5:$V$804,مثال_Example!$B$5:$B$804,$Q$6,مثال_Example!$D$5:$D$804,$B18,مثال_Example!$F$5:$F$804,$C18,مثال_Example!$G$5:$G$804,"إجمالي الصف (All)"))</f>
        <v>0</v>
      </c>
      <c r="L18" s="109" t="str">
        <f aca="false">IF(D18=0,IF(M18="","",M18),IF(M18="","OK",M18))</f>
        <v/>
      </c>
      <c r="M18" s="110" t="str">
        <f aca="false">IF(D18=0,IF(E18+F18+H18+I18+J18&gt;0,"⚠ مجموعات بلا إجمالي",""),TRIM(IF(AND(G18&gt;0,G18&lt;&gt;D18),"⚠ الأولاد+البنات ≠ الإجمالي · ","")&amp;IF(H18&gt;D18,"⚠ SEND &gt; الإجمالي · ","")&amp;IF(I18&gt;D18,"⚠ G&amp;T &gt; الإجمالي · ","")&amp;IF(J18&gt;D18,"⚠ الإماراتيون &gt; الإجمالي · ","")&amp;IF(K18&gt;D18,"⚠ حالات التقدم &gt; النتائج · ","")))</f>
        <v/>
      </c>
      <c r="N18" s="1"/>
    </row>
    <row r="19" customFormat="false" ht="15" hidden="false" customHeight="false" outlineLevel="0" collapsed="false">
      <c r="A19" s="1"/>
      <c r="B19" s="42" t="s">
        <v>172</v>
      </c>
      <c r="C19" s="42" t="s">
        <v>107</v>
      </c>
      <c r="D19" s="39" t="n">
        <f aca="false">(SUMIFS(Data!$Q$5:$Q$5004,Data!$B$5:$B$5004,$Q$6,Data!$D$5:$D$5004,$B19,Data!$F$5:$F$5004,$C19,Data!$G$5:$G$5004,"إجمالي الصف (All)")+ExOn*SUMIFS(مثال_Example!$Q$5:$Q$804,مثال_Example!$B$5:$B$804,$Q$6,مثال_Example!$D$5:$D$804,$B19,مثال_Example!$F$5:$F$804,$C19,مثال_Example!$G$5:$G$804,"إجمالي الصف (All)"))</f>
        <v>0</v>
      </c>
      <c r="E19" s="39" t="n">
        <f aca="false">(SUMIFS(Data!$Q$5:$Q$5004,Data!$B$5:$B$5004,$Q$6,Data!$D$5:$D$5004,$B19,Data!$F$5:$F$5004,$C19,Data!$G$5:$G$5004,"الأولاد (Boys)")+ExOn*SUMIFS(مثال_Example!$Q$5:$Q$804,مثال_Example!$B$5:$B$804,$Q$6,مثال_Example!$D$5:$D$804,$B19,مثال_Example!$F$5:$F$804,$C19,مثال_Example!$G$5:$G$804,"الأولاد (Boys)"))</f>
        <v>0</v>
      </c>
      <c r="F19" s="39" t="n">
        <f aca="false">(SUMIFS(Data!$Q$5:$Q$5004,Data!$B$5:$B$5004,$Q$6,Data!$D$5:$D$5004,$B19,Data!$F$5:$F$5004,$C19,Data!$G$5:$G$5004,"البنات (Girls)")+ExOn*SUMIFS(مثال_Example!$Q$5:$Q$804,مثال_Example!$B$5:$B$804,$Q$6,مثال_Example!$D$5:$D$804,$B19,مثال_Example!$F$5:$F$804,$C19,مثال_Example!$G$5:$G$804,"البنات (Girls)"))</f>
        <v>0</v>
      </c>
      <c r="G19" s="39" t="n">
        <f aca="false">E19+F19</f>
        <v>0</v>
      </c>
      <c r="H19" s="39" t="n">
        <f aca="false">(SUMIFS(Data!$Q$5:$Q$5004,Data!$B$5:$B$5004,$Q$6,Data!$D$5:$D$5004,$B19,Data!$F$5:$F$5004,$C19,Data!$G$5:$G$5004,"SEND")+ExOn*SUMIFS(مثال_Example!$Q$5:$Q$804,مثال_Example!$B$5:$B$804,$Q$6,مثال_Example!$D$5:$D$804,$B19,مثال_Example!$F$5:$F$804,$C19,مثال_Example!$G$5:$G$804,"SEND"))</f>
        <v>0</v>
      </c>
      <c r="I19" s="39" t="n">
        <f aca="false">(SUMIFS(Data!$Q$5:$Q$5004,Data!$B$5:$B$5004,$Q$6,Data!$D$5:$D$5004,$B19,Data!$F$5:$F$5004,$C19,Data!$G$5:$G$5004,"Gifted &amp; Talented")+ExOn*SUMIFS(مثال_Example!$Q$5:$Q$804,مثال_Example!$B$5:$B$804,$Q$6,مثال_Example!$D$5:$D$804,$B19,مثال_Example!$F$5:$F$804,$C19,مثال_Example!$G$5:$G$804,"Gifted &amp; Talented"))</f>
        <v>0</v>
      </c>
      <c r="J19" s="39" t="n">
        <f aca="false">(SUMIFS(Data!$Q$5:$Q$5004,Data!$B$5:$B$5004,$Q$6,Data!$D$5:$D$5004,$B19,Data!$F$5:$F$5004,$C19,Data!$G$5:$G$5004,"الإماراتيون (Emirati)")+ExOn*SUMIFS(مثال_Example!$Q$5:$Q$804,مثال_Example!$B$5:$B$804,$Q$6,مثال_Example!$D$5:$D$804,$B19,مثال_Example!$F$5:$F$804,$C19,مثال_Example!$G$5:$G$804,"الإماراتيون (Emirati)"))</f>
        <v>0</v>
      </c>
      <c r="K19" s="39" t="n">
        <f aca="false">(SUMIFS(Data!$T$5:$T$5004,Data!$B$5:$B$5004,$Q$6,Data!$D$5:$D$5004,$B19,Data!$F$5:$F$5004,$C19,Data!$G$5:$G$5004,"إجمالي الصف (All)")+ExOn*SUMIFS(مثال_Example!$T$5:$T$804,مثال_Example!$B$5:$B$804,$Q$6,مثال_Example!$D$5:$D$804,$B19,مثال_Example!$F$5:$F$804,$C19,مثال_Example!$G$5:$G$804,"إجمالي الصف (All)"))+(SUMIFS(Data!$U$5:$U$5004,Data!$B$5:$B$5004,$Q$6,Data!$D$5:$D$5004,$B19,Data!$F$5:$F$5004,$C19,Data!$G$5:$G$5004,"إجمالي الصف (All)")+ExOn*SUMIFS(مثال_Example!$U$5:$U$804,مثال_Example!$B$5:$B$804,$Q$6,مثال_Example!$D$5:$D$804,$B19,مثال_Example!$F$5:$F$804,$C19,مثال_Example!$G$5:$G$804,"إجمالي الصف (All)"))+(SUMIFS(Data!$V$5:$V$5004,Data!$B$5:$B$5004,$Q$6,Data!$D$5:$D$5004,$B19,Data!$F$5:$F$5004,$C19,Data!$G$5:$G$5004,"إجمالي الصف (All)")+ExOn*SUMIFS(مثال_Example!$V$5:$V$804,مثال_Example!$B$5:$B$804,$Q$6,مثال_Example!$D$5:$D$804,$B19,مثال_Example!$F$5:$F$804,$C19,مثال_Example!$G$5:$G$804,"إجمالي الصف (All)"))</f>
        <v>0</v>
      </c>
      <c r="L19" s="109" t="str">
        <f aca="false">IF(D19=0,IF(M19="","",M19),IF(M19="","OK",M19))</f>
        <v/>
      </c>
      <c r="M19" s="110" t="str">
        <f aca="false">IF(D19=0,IF(E19+F19+H19+I19+J19&gt;0,"⚠ مجموعات بلا إجمالي",""),TRIM(IF(AND(G19&gt;0,G19&lt;&gt;D19),"⚠ الأولاد+البنات ≠ الإجمالي · ","")&amp;IF(H19&gt;D19,"⚠ SEND &gt; الإجمالي · ","")&amp;IF(I19&gt;D19,"⚠ G&amp;T &gt; الإجمالي · ","")&amp;IF(J19&gt;D19,"⚠ الإماراتيون &gt; الإجمالي · ","")&amp;IF(K19&gt;D19,"⚠ حالات التقدم &gt; النتائج · ","")))</f>
        <v/>
      </c>
      <c r="N19" s="1"/>
    </row>
    <row r="20" customFormat="false" ht="15" hidden="false" customHeight="false" outlineLevel="0" collapsed="false">
      <c r="A20" s="1"/>
      <c r="B20" s="42" t="s">
        <v>172</v>
      </c>
      <c r="C20" s="42" t="s">
        <v>163</v>
      </c>
      <c r="D20" s="39" t="n">
        <f aca="false">(SUMIFS(Data!$Q$5:$Q$5004,Data!$B$5:$B$5004,$Q$6,Data!$D$5:$D$5004,$B20,Data!$F$5:$F$5004,$C20,Data!$G$5:$G$5004,"إجمالي الصف (All)")+ExOn*SUMIFS(مثال_Example!$Q$5:$Q$804,مثال_Example!$B$5:$B$804,$Q$6,مثال_Example!$D$5:$D$804,$B20,مثال_Example!$F$5:$F$804,$C20,مثال_Example!$G$5:$G$804,"إجمالي الصف (All)"))</f>
        <v>0</v>
      </c>
      <c r="E20" s="39" t="n">
        <f aca="false">(SUMIFS(Data!$Q$5:$Q$5004,Data!$B$5:$B$5004,$Q$6,Data!$D$5:$D$5004,$B20,Data!$F$5:$F$5004,$C20,Data!$G$5:$G$5004,"الأولاد (Boys)")+ExOn*SUMIFS(مثال_Example!$Q$5:$Q$804,مثال_Example!$B$5:$B$804,$Q$6,مثال_Example!$D$5:$D$804,$B20,مثال_Example!$F$5:$F$804,$C20,مثال_Example!$G$5:$G$804,"الأولاد (Boys)"))</f>
        <v>0</v>
      </c>
      <c r="F20" s="39" t="n">
        <f aca="false">(SUMIFS(Data!$Q$5:$Q$5004,Data!$B$5:$B$5004,$Q$6,Data!$D$5:$D$5004,$B20,Data!$F$5:$F$5004,$C20,Data!$G$5:$G$5004,"البنات (Girls)")+ExOn*SUMIFS(مثال_Example!$Q$5:$Q$804,مثال_Example!$B$5:$B$804,$Q$6,مثال_Example!$D$5:$D$804,$B20,مثال_Example!$F$5:$F$804,$C20,مثال_Example!$G$5:$G$804,"البنات (Girls)"))</f>
        <v>0</v>
      </c>
      <c r="G20" s="39" t="n">
        <f aca="false">E20+F20</f>
        <v>0</v>
      </c>
      <c r="H20" s="39" t="n">
        <f aca="false">(SUMIFS(Data!$Q$5:$Q$5004,Data!$B$5:$B$5004,$Q$6,Data!$D$5:$D$5004,$B20,Data!$F$5:$F$5004,$C20,Data!$G$5:$G$5004,"SEND")+ExOn*SUMIFS(مثال_Example!$Q$5:$Q$804,مثال_Example!$B$5:$B$804,$Q$6,مثال_Example!$D$5:$D$804,$B20,مثال_Example!$F$5:$F$804,$C20,مثال_Example!$G$5:$G$804,"SEND"))</f>
        <v>0</v>
      </c>
      <c r="I20" s="39" t="n">
        <f aca="false">(SUMIFS(Data!$Q$5:$Q$5004,Data!$B$5:$B$5004,$Q$6,Data!$D$5:$D$5004,$B20,Data!$F$5:$F$5004,$C20,Data!$G$5:$G$5004,"Gifted &amp; Talented")+ExOn*SUMIFS(مثال_Example!$Q$5:$Q$804,مثال_Example!$B$5:$B$804,$Q$6,مثال_Example!$D$5:$D$804,$B20,مثال_Example!$F$5:$F$804,$C20,مثال_Example!$G$5:$G$804,"Gifted &amp; Talented"))</f>
        <v>0</v>
      </c>
      <c r="J20" s="39" t="n">
        <f aca="false">(SUMIFS(Data!$Q$5:$Q$5004,Data!$B$5:$B$5004,$Q$6,Data!$D$5:$D$5004,$B20,Data!$F$5:$F$5004,$C20,Data!$G$5:$G$5004,"الإماراتيون (Emirati)")+ExOn*SUMIFS(مثال_Example!$Q$5:$Q$804,مثال_Example!$B$5:$B$804,$Q$6,مثال_Example!$D$5:$D$804,$B20,مثال_Example!$F$5:$F$804,$C20,مثال_Example!$G$5:$G$804,"الإماراتيون (Emirati)"))</f>
        <v>0</v>
      </c>
      <c r="K20" s="39" t="n">
        <f aca="false">(SUMIFS(Data!$T$5:$T$5004,Data!$B$5:$B$5004,$Q$6,Data!$D$5:$D$5004,$B20,Data!$F$5:$F$5004,$C20,Data!$G$5:$G$5004,"إجمالي الصف (All)")+ExOn*SUMIFS(مثال_Example!$T$5:$T$804,مثال_Example!$B$5:$B$804,$Q$6,مثال_Example!$D$5:$D$804,$B20,مثال_Example!$F$5:$F$804,$C20,مثال_Example!$G$5:$G$804,"إجمالي الصف (All)"))+(SUMIFS(Data!$U$5:$U$5004,Data!$B$5:$B$5004,$Q$6,Data!$D$5:$D$5004,$B20,Data!$F$5:$F$5004,$C20,Data!$G$5:$G$5004,"إجمالي الصف (All)")+ExOn*SUMIFS(مثال_Example!$U$5:$U$804,مثال_Example!$B$5:$B$804,$Q$6,مثال_Example!$D$5:$D$804,$B20,مثال_Example!$F$5:$F$804,$C20,مثال_Example!$G$5:$G$804,"إجمالي الصف (All)"))+(SUMIFS(Data!$V$5:$V$5004,Data!$B$5:$B$5004,$Q$6,Data!$D$5:$D$5004,$B20,Data!$F$5:$F$5004,$C20,Data!$G$5:$G$5004,"إجمالي الصف (All)")+ExOn*SUMIFS(مثال_Example!$V$5:$V$804,مثال_Example!$B$5:$B$804,$Q$6,مثال_Example!$D$5:$D$804,$B20,مثال_Example!$F$5:$F$804,$C20,مثال_Example!$G$5:$G$804,"إجمالي الصف (All)"))</f>
        <v>0</v>
      </c>
      <c r="L20" s="109" t="str">
        <f aca="false">IF(D20=0,IF(M20="","",M20),IF(M20="","OK",M20))</f>
        <v/>
      </c>
      <c r="M20" s="110" t="str">
        <f aca="false">IF(D20=0,IF(E20+F20+H20+I20+J20&gt;0,"⚠ مجموعات بلا إجمالي",""),TRIM(IF(AND(G20&gt;0,G20&lt;&gt;D20),"⚠ الأولاد+البنات ≠ الإجمالي · ","")&amp;IF(H20&gt;D20,"⚠ SEND &gt; الإجمالي · ","")&amp;IF(I20&gt;D20,"⚠ G&amp;T &gt; الإجمالي · ","")&amp;IF(J20&gt;D20,"⚠ الإماراتيون &gt; الإجمالي · ","")&amp;IF(K20&gt;D20,"⚠ حالات التقدم &gt; النتائج · ","")))</f>
        <v/>
      </c>
      <c r="N20" s="1"/>
    </row>
    <row r="21" customFormat="false" ht="15" hidden="false" customHeight="false" outlineLevel="0" collapsed="false">
      <c r="A21" s="1"/>
      <c r="B21" s="42" t="s">
        <v>172</v>
      </c>
      <c r="C21" s="42" t="s">
        <v>164</v>
      </c>
      <c r="D21" s="39" t="n">
        <f aca="false">(SUMIFS(Data!$Q$5:$Q$5004,Data!$B$5:$B$5004,$Q$6,Data!$D$5:$D$5004,$B21,Data!$F$5:$F$5004,$C21,Data!$G$5:$G$5004,"إجمالي الصف (All)")+ExOn*SUMIFS(مثال_Example!$Q$5:$Q$804,مثال_Example!$B$5:$B$804,$Q$6,مثال_Example!$D$5:$D$804,$B21,مثال_Example!$F$5:$F$804,$C21,مثال_Example!$G$5:$G$804,"إجمالي الصف (All)"))</f>
        <v>0</v>
      </c>
      <c r="E21" s="39" t="n">
        <f aca="false">(SUMIFS(Data!$Q$5:$Q$5004,Data!$B$5:$B$5004,$Q$6,Data!$D$5:$D$5004,$B21,Data!$F$5:$F$5004,$C21,Data!$G$5:$G$5004,"الأولاد (Boys)")+ExOn*SUMIFS(مثال_Example!$Q$5:$Q$804,مثال_Example!$B$5:$B$804,$Q$6,مثال_Example!$D$5:$D$804,$B21,مثال_Example!$F$5:$F$804,$C21,مثال_Example!$G$5:$G$804,"الأولاد (Boys)"))</f>
        <v>0</v>
      </c>
      <c r="F21" s="39" t="n">
        <f aca="false">(SUMIFS(Data!$Q$5:$Q$5004,Data!$B$5:$B$5004,$Q$6,Data!$D$5:$D$5004,$B21,Data!$F$5:$F$5004,$C21,Data!$G$5:$G$5004,"البنات (Girls)")+ExOn*SUMIFS(مثال_Example!$Q$5:$Q$804,مثال_Example!$B$5:$B$804,$Q$6,مثال_Example!$D$5:$D$804,$B21,مثال_Example!$F$5:$F$804,$C21,مثال_Example!$G$5:$G$804,"البنات (Girls)"))</f>
        <v>0</v>
      </c>
      <c r="G21" s="39" t="n">
        <f aca="false">E21+F21</f>
        <v>0</v>
      </c>
      <c r="H21" s="39" t="n">
        <f aca="false">(SUMIFS(Data!$Q$5:$Q$5004,Data!$B$5:$B$5004,$Q$6,Data!$D$5:$D$5004,$B21,Data!$F$5:$F$5004,$C21,Data!$G$5:$G$5004,"SEND")+ExOn*SUMIFS(مثال_Example!$Q$5:$Q$804,مثال_Example!$B$5:$B$804,$Q$6,مثال_Example!$D$5:$D$804,$B21,مثال_Example!$F$5:$F$804,$C21,مثال_Example!$G$5:$G$804,"SEND"))</f>
        <v>0</v>
      </c>
      <c r="I21" s="39" t="n">
        <f aca="false">(SUMIFS(Data!$Q$5:$Q$5004,Data!$B$5:$B$5004,$Q$6,Data!$D$5:$D$5004,$B21,Data!$F$5:$F$5004,$C21,Data!$G$5:$G$5004,"Gifted &amp; Talented")+ExOn*SUMIFS(مثال_Example!$Q$5:$Q$804,مثال_Example!$B$5:$B$804,$Q$6,مثال_Example!$D$5:$D$804,$B21,مثال_Example!$F$5:$F$804,$C21,مثال_Example!$G$5:$G$804,"Gifted &amp; Talented"))</f>
        <v>0</v>
      </c>
      <c r="J21" s="39" t="n">
        <f aca="false">(SUMIFS(Data!$Q$5:$Q$5004,Data!$B$5:$B$5004,$Q$6,Data!$D$5:$D$5004,$B21,Data!$F$5:$F$5004,$C21,Data!$G$5:$G$5004,"الإماراتيون (Emirati)")+ExOn*SUMIFS(مثال_Example!$Q$5:$Q$804,مثال_Example!$B$5:$B$804,$Q$6,مثال_Example!$D$5:$D$804,$B21,مثال_Example!$F$5:$F$804,$C21,مثال_Example!$G$5:$G$804,"الإماراتيون (Emirati)"))</f>
        <v>0</v>
      </c>
      <c r="K21" s="39" t="n">
        <f aca="false">(SUMIFS(Data!$T$5:$T$5004,Data!$B$5:$B$5004,$Q$6,Data!$D$5:$D$5004,$B21,Data!$F$5:$F$5004,$C21,Data!$G$5:$G$5004,"إجمالي الصف (All)")+ExOn*SUMIFS(مثال_Example!$T$5:$T$804,مثال_Example!$B$5:$B$804,$Q$6,مثال_Example!$D$5:$D$804,$B21,مثال_Example!$F$5:$F$804,$C21,مثال_Example!$G$5:$G$804,"إجمالي الصف (All)"))+(SUMIFS(Data!$U$5:$U$5004,Data!$B$5:$B$5004,$Q$6,Data!$D$5:$D$5004,$B21,Data!$F$5:$F$5004,$C21,Data!$G$5:$G$5004,"إجمالي الصف (All)")+ExOn*SUMIFS(مثال_Example!$U$5:$U$804,مثال_Example!$B$5:$B$804,$Q$6,مثال_Example!$D$5:$D$804,$B21,مثال_Example!$F$5:$F$804,$C21,مثال_Example!$G$5:$G$804,"إجمالي الصف (All)"))+(SUMIFS(Data!$V$5:$V$5004,Data!$B$5:$B$5004,$Q$6,Data!$D$5:$D$5004,$B21,Data!$F$5:$F$5004,$C21,Data!$G$5:$G$5004,"إجمالي الصف (All)")+ExOn*SUMIFS(مثال_Example!$V$5:$V$804,مثال_Example!$B$5:$B$804,$Q$6,مثال_Example!$D$5:$D$804,$B21,مثال_Example!$F$5:$F$804,$C21,مثال_Example!$G$5:$G$804,"إجمالي الصف (All)"))</f>
        <v>0</v>
      </c>
      <c r="L21" s="109" t="str">
        <f aca="false">IF(D21=0,IF(M21="","",M21),IF(M21="","OK",M21))</f>
        <v/>
      </c>
      <c r="M21" s="110" t="str">
        <f aca="false">IF(D21=0,IF(E21+F21+H21+I21+J21&gt;0,"⚠ مجموعات بلا إجمالي",""),TRIM(IF(AND(G21&gt;0,G21&lt;&gt;D21),"⚠ الأولاد+البنات ≠ الإجمالي · ","")&amp;IF(H21&gt;D21,"⚠ SEND &gt; الإجمالي · ","")&amp;IF(I21&gt;D21,"⚠ G&amp;T &gt; الإجمالي · ","")&amp;IF(J21&gt;D21,"⚠ الإماراتيون &gt; الإجمالي · ","")&amp;IF(K21&gt;D21,"⚠ حالات التقدم &gt; النتائج · ","")))</f>
        <v/>
      </c>
      <c r="N21" s="1"/>
    </row>
    <row r="22" customFormat="false" ht="15" hidden="false" customHeight="false" outlineLevel="0" collapsed="false">
      <c r="A22" s="1"/>
      <c r="B22" s="42" t="s">
        <v>173</v>
      </c>
      <c r="C22" s="42" t="s">
        <v>162</v>
      </c>
      <c r="D22" s="39" t="n">
        <f aca="false">(SUMIFS(Data!$Q$5:$Q$5004,Data!$B$5:$B$5004,$Q$6,Data!$D$5:$D$5004,$B22,Data!$F$5:$F$5004,$C22,Data!$G$5:$G$5004,"إجمالي الصف (All)")+ExOn*SUMIFS(مثال_Example!$Q$5:$Q$804,مثال_Example!$B$5:$B$804,$Q$6,مثال_Example!$D$5:$D$804,$B22,مثال_Example!$F$5:$F$804,$C22,مثال_Example!$G$5:$G$804,"إجمالي الصف (All)"))</f>
        <v>0</v>
      </c>
      <c r="E22" s="39" t="n">
        <f aca="false">(SUMIFS(Data!$Q$5:$Q$5004,Data!$B$5:$B$5004,$Q$6,Data!$D$5:$D$5004,$B22,Data!$F$5:$F$5004,$C22,Data!$G$5:$G$5004,"الأولاد (Boys)")+ExOn*SUMIFS(مثال_Example!$Q$5:$Q$804,مثال_Example!$B$5:$B$804,$Q$6,مثال_Example!$D$5:$D$804,$B22,مثال_Example!$F$5:$F$804,$C22,مثال_Example!$G$5:$G$804,"الأولاد (Boys)"))</f>
        <v>0</v>
      </c>
      <c r="F22" s="39" t="n">
        <f aca="false">(SUMIFS(Data!$Q$5:$Q$5004,Data!$B$5:$B$5004,$Q$6,Data!$D$5:$D$5004,$B22,Data!$F$5:$F$5004,$C22,Data!$G$5:$G$5004,"البنات (Girls)")+ExOn*SUMIFS(مثال_Example!$Q$5:$Q$804,مثال_Example!$B$5:$B$804,$Q$6,مثال_Example!$D$5:$D$804,$B22,مثال_Example!$F$5:$F$804,$C22,مثال_Example!$G$5:$G$804,"البنات (Girls)"))</f>
        <v>0</v>
      </c>
      <c r="G22" s="39" t="n">
        <f aca="false">E22+F22</f>
        <v>0</v>
      </c>
      <c r="H22" s="39" t="n">
        <f aca="false">(SUMIFS(Data!$Q$5:$Q$5004,Data!$B$5:$B$5004,$Q$6,Data!$D$5:$D$5004,$B22,Data!$F$5:$F$5004,$C22,Data!$G$5:$G$5004,"SEND")+ExOn*SUMIFS(مثال_Example!$Q$5:$Q$804,مثال_Example!$B$5:$B$804,$Q$6,مثال_Example!$D$5:$D$804,$B22,مثال_Example!$F$5:$F$804,$C22,مثال_Example!$G$5:$G$804,"SEND"))</f>
        <v>0</v>
      </c>
      <c r="I22" s="39" t="n">
        <f aca="false">(SUMIFS(Data!$Q$5:$Q$5004,Data!$B$5:$B$5004,$Q$6,Data!$D$5:$D$5004,$B22,Data!$F$5:$F$5004,$C22,Data!$G$5:$G$5004,"Gifted &amp; Talented")+ExOn*SUMIFS(مثال_Example!$Q$5:$Q$804,مثال_Example!$B$5:$B$804,$Q$6,مثال_Example!$D$5:$D$804,$B22,مثال_Example!$F$5:$F$804,$C22,مثال_Example!$G$5:$G$804,"Gifted &amp; Talented"))</f>
        <v>0</v>
      </c>
      <c r="J22" s="39" t="n">
        <f aca="false">(SUMIFS(Data!$Q$5:$Q$5004,Data!$B$5:$B$5004,$Q$6,Data!$D$5:$D$5004,$B22,Data!$F$5:$F$5004,$C22,Data!$G$5:$G$5004,"الإماراتيون (Emirati)")+ExOn*SUMIFS(مثال_Example!$Q$5:$Q$804,مثال_Example!$B$5:$B$804,$Q$6,مثال_Example!$D$5:$D$804,$B22,مثال_Example!$F$5:$F$804,$C22,مثال_Example!$G$5:$G$804,"الإماراتيون (Emirati)"))</f>
        <v>0</v>
      </c>
      <c r="K22" s="39" t="n">
        <f aca="false">(SUMIFS(Data!$T$5:$T$5004,Data!$B$5:$B$5004,$Q$6,Data!$D$5:$D$5004,$B22,Data!$F$5:$F$5004,$C22,Data!$G$5:$G$5004,"إجمالي الصف (All)")+ExOn*SUMIFS(مثال_Example!$T$5:$T$804,مثال_Example!$B$5:$B$804,$Q$6,مثال_Example!$D$5:$D$804,$B22,مثال_Example!$F$5:$F$804,$C22,مثال_Example!$G$5:$G$804,"إجمالي الصف (All)"))+(SUMIFS(Data!$U$5:$U$5004,Data!$B$5:$B$5004,$Q$6,Data!$D$5:$D$5004,$B22,Data!$F$5:$F$5004,$C22,Data!$G$5:$G$5004,"إجمالي الصف (All)")+ExOn*SUMIFS(مثال_Example!$U$5:$U$804,مثال_Example!$B$5:$B$804,$Q$6,مثال_Example!$D$5:$D$804,$B22,مثال_Example!$F$5:$F$804,$C22,مثال_Example!$G$5:$G$804,"إجمالي الصف (All)"))+(SUMIFS(Data!$V$5:$V$5004,Data!$B$5:$B$5004,$Q$6,Data!$D$5:$D$5004,$B22,Data!$F$5:$F$5004,$C22,Data!$G$5:$G$5004,"إجمالي الصف (All)")+ExOn*SUMIFS(مثال_Example!$V$5:$V$804,مثال_Example!$B$5:$B$804,$Q$6,مثال_Example!$D$5:$D$804,$B22,مثال_Example!$F$5:$F$804,$C22,مثال_Example!$G$5:$G$804,"إجمالي الصف (All)"))</f>
        <v>0</v>
      </c>
      <c r="L22" s="109" t="str">
        <f aca="false">IF(D22=0,IF(M22="","",M22),IF(M22="","OK",M22))</f>
        <v/>
      </c>
      <c r="M22" s="110" t="str">
        <f aca="false">IF(D22=0,IF(E22+F22+H22+I22+J22&gt;0,"⚠ مجموعات بلا إجمالي",""),TRIM(IF(AND(G22&gt;0,G22&lt;&gt;D22),"⚠ الأولاد+البنات ≠ الإجمالي · ","")&amp;IF(H22&gt;D22,"⚠ SEND &gt; الإجمالي · ","")&amp;IF(I22&gt;D22,"⚠ G&amp;T &gt; الإجمالي · ","")&amp;IF(J22&gt;D22,"⚠ الإماراتيون &gt; الإجمالي · ","")&amp;IF(K22&gt;D22,"⚠ حالات التقدم &gt; النتائج · ","")))</f>
        <v/>
      </c>
      <c r="N22" s="1"/>
    </row>
    <row r="23" customFormat="false" ht="15" hidden="false" customHeight="false" outlineLevel="0" collapsed="false">
      <c r="A23" s="1"/>
      <c r="B23" s="42" t="s">
        <v>173</v>
      </c>
      <c r="C23" s="42" t="s">
        <v>107</v>
      </c>
      <c r="D23" s="39" t="n">
        <f aca="false">(SUMIFS(Data!$Q$5:$Q$5004,Data!$B$5:$B$5004,$Q$6,Data!$D$5:$D$5004,$B23,Data!$F$5:$F$5004,$C23,Data!$G$5:$G$5004,"إجمالي الصف (All)")+ExOn*SUMIFS(مثال_Example!$Q$5:$Q$804,مثال_Example!$B$5:$B$804,$Q$6,مثال_Example!$D$5:$D$804,$B23,مثال_Example!$F$5:$F$804,$C23,مثال_Example!$G$5:$G$804,"إجمالي الصف (All)"))</f>
        <v>0</v>
      </c>
      <c r="E23" s="39" t="n">
        <f aca="false">(SUMIFS(Data!$Q$5:$Q$5004,Data!$B$5:$B$5004,$Q$6,Data!$D$5:$D$5004,$B23,Data!$F$5:$F$5004,$C23,Data!$G$5:$G$5004,"الأولاد (Boys)")+ExOn*SUMIFS(مثال_Example!$Q$5:$Q$804,مثال_Example!$B$5:$B$804,$Q$6,مثال_Example!$D$5:$D$804,$B23,مثال_Example!$F$5:$F$804,$C23,مثال_Example!$G$5:$G$804,"الأولاد (Boys)"))</f>
        <v>0</v>
      </c>
      <c r="F23" s="39" t="n">
        <f aca="false">(SUMIFS(Data!$Q$5:$Q$5004,Data!$B$5:$B$5004,$Q$6,Data!$D$5:$D$5004,$B23,Data!$F$5:$F$5004,$C23,Data!$G$5:$G$5004,"البنات (Girls)")+ExOn*SUMIFS(مثال_Example!$Q$5:$Q$804,مثال_Example!$B$5:$B$804,$Q$6,مثال_Example!$D$5:$D$804,$B23,مثال_Example!$F$5:$F$804,$C23,مثال_Example!$G$5:$G$804,"البنات (Girls)"))</f>
        <v>0</v>
      </c>
      <c r="G23" s="39" t="n">
        <f aca="false">E23+F23</f>
        <v>0</v>
      </c>
      <c r="H23" s="39" t="n">
        <f aca="false">(SUMIFS(Data!$Q$5:$Q$5004,Data!$B$5:$B$5004,$Q$6,Data!$D$5:$D$5004,$B23,Data!$F$5:$F$5004,$C23,Data!$G$5:$G$5004,"SEND")+ExOn*SUMIFS(مثال_Example!$Q$5:$Q$804,مثال_Example!$B$5:$B$804,$Q$6,مثال_Example!$D$5:$D$804,$B23,مثال_Example!$F$5:$F$804,$C23,مثال_Example!$G$5:$G$804,"SEND"))</f>
        <v>0</v>
      </c>
      <c r="I23" s="39" t="n">
        <f aca="false">(SUMIFS(Data!$Q$5:$Q$5004,Data!$B$5:$B$5004,$Q$6,Data!$D$5:$D$5004,$B23,Data!$F$5:$F$5004,$C23,Data!$G$5:$G$5004,"Gifted &amp; Talented")+ExOn*SUMIFS(مثال_Example!$Q$5:$Q$804,مثال_Example!$B$5:$B$804,$Q$6,مثال_Example!$D$5:$D$804,$B23,مثال_Example!$F$5:$F$804,$C23,مثال_Example!$G$5:$G$804,"Gifted &amp; Talented"))</f>
        <v>0</v>
      </c>
      <c r="J23" s="39" t="n">
        <f aca="false">(SUMIFS(Data!$Q$5:$Q$5004,Data!$B$5:$B$5004,$Q$6,Data!$D$5:$D$5004,$B23,Data!$F$5:$F$5004,$C23,Data!$G$5:$G$5004,"الإماراتيون (Emirati)")+ExOn*SUMIFS(مثال_Example!$Q$5:$Q$804,مثال_Example!$B$5:$B$804,$Q$6,مثال_Example!$D$5:$D$804,$B23,مثال_Example!$F$5:$F$804,$C23,مثال_Example!$G$5:$G$804,"الإماراتيون (Emirati)"))</f>
        <v>0</v>
      </c>
      <c r="K23" s="39" t="n">
        <f aca="false">(SUMIFS(Data!$T$5:$T$5004,Data!$B$5:$B$5004,$Q$6,Data!$D$5:$D$5004,$B23,Data!$F$5:$F$5004,$C23,Data!$G$5:$G$5004,"إجمالي الصف (All)")+ExOn*SUMIFS(مثال_Example!$T$5:$T$804,مثال_Example!$B$5:$B$804,$Q$6,مثال_Example!$D$5:$D$804,$B23,مثال_Example!$F$5:$F$804,$C23,مثال_Example!$G$5:$G$804,"إجمالي الصف (All)"))+(SUMIFS(Data!$U$5:$U$5004,Data!$B$5:$B$5004,$Q$6,Data!$D$5:$D$5004,$B23,Data!$F$5:$F$5004,$C23,Data!$G$5:$G$5004,"إجمالي الصف (All)")+ExOn*SUMIFS(مثال_Example!$U$5:$U$804,مثال_Example!$B$5:$B$804,$Q$6,مثال_Example!$D$5:$D$804,$B23,مثال_Example!$F$5:$F$804,$C23,مثال_Example!$G$5:$G$804,"إجمالي الصف (All)"))+(SUMIFS(Data!$V$5:$V$5004,Data!$B$5:$B$5004,$Q$6,Data!$D$5:$D$5004,$B23,Data!$F$5:$F$5004,$C23,Data!$G$5:$G$5004,"إجمالي الصف (All)")+ExOn*SUMIFS(مثال_Example!$V$5:$V$804,مثال_Example!$B$5:$B$804,$Q$6,مثال_Example!$D$5:$D$804,$B23,مثال_Example!$F$5:$F$804,$C23,مثال_Example!$G$5:$G$804,"إجمالي الصف (All)"))</f>
        <v>0</v>
      </c>
      <c r="L23" s="109" t="str">
        <f aca="false">IF(D23=0,IF(M23="","",M23),IF(M23="","OK",M23))</f>
        <v/>
      </c>
      <c r="M23" s="110" t="str">
        <f aca="false">IF(D23=0,IF(E23+F23+H23+I23+J23&gt;0,"⚠ مجموعات بلا إجمالي",""),TRIM(IF(AND(G23&gt;0,G23&lt;&gt;D23),"⚠ الأولاد+البنات ≠ الإجمالي · ","")&amp;IF(H23&gt;D23,"⚠ SEND &gt; الإجمالي · ","")&amp;IF(I23&gt;D23,"⚠ G&amp;T &gt; الإجمالي · ","")&amp;IF(J23&gt;D23,"⚠ الإماراتيون &gt; الإجمالي · ","")&amp;IF(K23&gt;D23,"⚠ حالات التقدم &gt; النتائج · ","")))</f>
        <v/>
      </c>
      <c r="N23" s="1"/>
    </row>
    <row r="24" customFormat="false" ht="15" hidden="false" customHeight="false" outlineLevel="0" collapsed="false">
      <c r="A24" s="1"/>
      <c r="B24" s="42" t="s">
        <v>173</v>
      </c>
      <c r="C24" s="42" t="s">
        <v>163</v>
      </c>
      <c r="D24" s="39" t="n">
        <f aca="false">(SUMIFS(Data!$Q$5:$Q$5004,Data!$B$5:$B$5004,$Q$6,Data!$D$5:$D$5004,$B24,Data!$F$5:$F$5004,$C24,Data!$G$5:$G$5004,"إجمالي الصف (All)")+ExOn*SUMIFS(مثال_Example!$Q$5:$Q$804,مثال_Example!$B$5:$B$804,$Q$6,مثال_Example!$D$5:$D$804,$B24,مثال_Example!$F$5:$F$804,$C24,مثال_Example!$G$5:$G$804,"إجمالي الصف (All)"))</f>
        <v>0</v>
      </c>
      <c r="E24" s="39" t="n">
        <f aca="false">(SUMIFS(Data!$Q$5:$Q$5004,Data!$B$5:$B$5004,$Q$6,Data!$D$5:$D$5004,$B24,Data!$F$5:$F$5004,$C24,Data!$G$5:$G$5004,"الأولاد (Boys)")+ExOn*SUMIFS(مثال_Example!$Q$5:$Q$804,مثال_Example!$B$5:$B$804,$Q$6,مثال_Example!$D$5:$D$804,$B24,مثال_Example!$F$5:$F$804,$C24,مثال_Example!$G$5:$G$804,"الأولاد (Boys)"))</f>
        <v>0</v>
      </c>
      <c r="F24" s="39" t="n">
        <f aca="false">(SUMIFS(Data!$Q$5:$Q$5004,Data!$B$5:$B$5004,$Q$6,Data!$D$5:$D$5004,$B24,Data!$F$5:$F$5004,$C24,Data!$G$5:$G$5004,"البنات (Girls)")+ExOn*SUMIFS(مثال_Example!$Q$5:$Q$804,مثال_Example!$B$5:$B$804,$Q$6,مثال_Example!$D$5:$D$804,$B24,مثال_Example!$F$5:$F$804,$C24,مثال_Example!$G$5:$G$804,"البنات (Girls)"))</f>
        <v>0</v>
      </c>
      <c r="G24" s="39" t="n">
        <f aca="false">E24+F24</f>
        <v>0</v>
      </c>
      <c r="H24" s="39" t="n">
        <f aca="false">(SUMIFS(Data!$Q$5:$Q$5004,Data!$B$5:$B$5004,$Q$6,Data!$D$5:$D$5004,$B24,Data!$F$5:$F$5004,$C24,Data!$G$5:$G$5004,"SEND")+ExOn*SUMIFS(مثال_Example!$Q$5:$Q$804,مثال_Example!$B$5:$B$804,$Q$6,مثال_Example!$D$5:$D$804,$B24,مثال_Example!$F$5:$F$804,$C24,مثال_Example!$G$5:$G$804,"SEND"))</f>
        <v>0</v>
      </c>
      <c r="I24" s="39" t="n">
        <f aca="false">(SUMIFS(Data!$Q$5:$Q$5004,Data!$B$5:$B$5004,$Q$6,Data!$D$5:$D$5004,$B24,Data!$F$5:$F$5004,$C24,Data!$G$5:$G$5004,"Gifted &amp; Talented")+ExOn*SUMIFS(مثال_Example!$Q$5:$Q$804,مثال_Example!$B$5:$B$804,$Q$6,مثال_Example!$D$5:$D$804,$B24,مثال_Example!$F$5:$F$804,$C24,مثال_Example!$G$5:$G$804,"Gifted &amp; Talented"))</f>
        <v>0</v>
      </c>
      <c r="J24" s="39" t="n">
        <f aca="false">(SUMIFS(Data!$Q$5:$Q$5004,Data!$B$5:$B$5004,$Q$6,Data!$D$5:$D$5004,$B24,Data!$F$5:$F$5004,$C24,Data!$G$5:$G$5004,"الإماراتيون (Emirati)")+ExOn*SUMIFS(مثال_Example!$Q$5:$Q$804,مثال_Example!$B$5:$B$804,$Q$6,مثال_Example!$D$5:$D$804,$B24,مثال_Example!$F$5:$F$804,$C24,مثال_Example!$G$5:$G$804,"الإماراتيون (Emirati)"))</f>
        <v>0</v>
      </c>
      <c r="K24" s="39" t="n">
        <f aca="false">(SUMIFS(Data!$T$5:$T$5004,Data!$B$5:$B$5004,$Q$6,Data!$D$5:$D$5004,$B24,Data!$F$5:$F$5004,$C24,Data!$G$5:$G$5004,"إجمالي الصف (All)")+ExOn*SUMIFS(مثال_Example!$T$5:$T$804,مثال_Example!$B$5:$B$804,$Q$6,مثال_Example!$D$5:$D$804,$B24,مثال_Example!$F$5:$F$804,$C24,مثال_Example!$G$5:$G$804,"إجمالي الصف (All)"))+(SUMIFS(Data!$U$5:$U$5004,Data!$B$5:$B$5004,$Q$6,Data!$D$5:$D$5004,$B24,Data!$F$5:$F$5004,$C24,Data!$G$5:$G$5004,"إجمالي الصف (All)")+ExOn*SUMIFS(مثال_Example!$U$5:$U$804,مثال_Example!$B$5:$B$804,$Q$6,مثال_Example!$D$5:$D$804,$B24,مثال_Example!$F$5:$F$804,$C24,مثال_Example!$G$5:$G$804,"إجمالي الصف (All)"))+(SUMIFS(Data!$V$5:$V$5004,Data!$B$5:$B$5004,$Q$6,Data!$D$5:$D$5004,$B24,Data!$F$5:$F$5004,$C24,Data!$G$5:$G$5004,"إجمالي الصف (All)")+ExOn*SUMIFS(مثال_Example!$V$5:$V$804,مثال_Example!$B$5:$B$804,$Q$6,مثال_Example!$D$5:$D$804,$B24,مثال_Example!$F$5:$F$804,$C24,مثال_Example!$G$5:$G$804,"إجمالي الصف (All)"))</f>
        <v>0</v>
      </c>
      <c r="L24" s="109" t="str">
        <f aca="false">IF(D24=0,IF(M24="","",M24),IF(M24="","OK",M24))</f>
        <v/>
      </c>
      <c r="M24" s="110" t="str">
        <f aca="false">IF(D24=0,IF(E24+F24+H24+I24+J24&gt;0,"⚠ مجموعات بلا إجمالي",""),TRIM(IF(AND(G24&gt;0,G24&lt;&gt;D24),"⚠ الأولاد+البنات ≠ الإجمالي · ","")&amp;IF(H24&gt;D24,"⚠ SEND &gt; الإجمالي · ","")&amp;IF(I24&gt;D24,"⚠ G&amp;T &gt; الإجمالي · ","")&amp;IF(J24&gt;D24,"⚠ الإماراتيون &gt; الإجمالي · ","")&amp;IF(K24&gt;D24,"⚠ حالات التقدم &gt; النتائج · ","")))</f>
        <v/>
      </c>
      <c r="N24" s="1"/>
    </row>
    <row r="25" customFormat="false" ht="15" hidden="false" customHeight="false" outlineLevel="0" collapsed="false">
      <c r="A25" s="1"/>
      <c r="B25" s="42" t="s">
        <v>173</v>
      </c>
      <c r="C25" s="42" t="s">
        <v>164</v>
      </c>
      <c r="D25" s="39" t="n">
        <f aca="false">(SUMIFS(Data!$Q$5:$Q$5004,Data!$B$5:$B$5004,$Q$6,Data!$D$5:$D$5004,$B25,Data!$F$5:$F$5004,$C25,Data!$G$5:$G$5004,"إجمالي الصف (All)")+ExOn*SUMIFS(مثال_Example!$Q$5:$Q$804,مثال_Example!$B$5:$B$804,$Q$6,مثال_Example!$D$5:$D$804,$B25,مثال_Example!$F$5:$F$804,$C25,مثال_Example!$G$5:$G$804,"إجمالي الصف (All)"))</f>
        <v>0</v>
      </c>
      <c r="E25" s="39" t="n">
        <f aca="false">(SUMIFS(Data!$Q$5:$Q$5004,Data!$B$5:$B$5004,$Q$6,Data!$D$5:$D$5004,$B25,Data!$F$5:$F$5004,$C25,Data!$G$5:$G$5004,"الأولاد (Boys)")+ExOn*SUMIFS(مثال_Example!$Q$5:$Q$804,مثال_Example!$B$5:$B$804,$Q$6,مثال_Example!$D$5:$D$804,$B25,مثال_Example!$F$5:$F$804,$C25,مثال_Example!$G$5:$G$804,"الأولاد (Boys)"))</f>
        <v>0</v>
      </c>
      <c r="F25" s="39" t="n">
        <f aca="false">(SUMIFS(Data!$Q$5:$Q$5004,Data!$B$5:$B$5004,$Q$6,Data!$D$5:$D$5004,$B25,Data!$F$5:$F$5004,$C25,Data!$G$5:$G$5004,"البنات (Girls)")+ExOn*SUMIFS(مثال_Example!$Q$5:$Q$804,مثال_Example!$B$5:$B$804,$Q$6,مثال_Example!$D$5:$D$804,$B25,مثال_Example!$F$5:$F$804,$C25,مثال_Example!$G$5:$G$804,"البنات (Girls)"))</f>
        <v>0</v>
      </c>
      <c r="G25" s="39" t="n">
        <f aca="false">E25+F25</f>
        <v>0</v>
      </c>
      <c r="H25" s="39" t="n">
        <f aca="false">(SUMIFS(Data!$Q$5:$Q$5004,Data!$B$5:$B$5004,$Q$6,Data!$D$5:$D$5004,$B25,Data!$F$5:$F$5004,$C25,Data!$G$5:$G$5004,"SEND")+ExOn*SUMIFS(مثال_Example!$Q$5:$Q$804,مثال_Example!$B$5:$B$804,$Q$6,مثال_Example!$D$5:$D$804,$B25,مثال_Example!$F$5:$F$804,$C25,مثال_Example!$G$5:$G$804,"SEND"))</f>
        <v>0</v>
      </c>
      <c r="I25" s="39" t="n">
        <f aca="false">(SUMIFS(Data!$Q$5:$Q$5004,Data!$B$5:$B$5004,$Q$6,Data!$D$5:$D$5004,$B25,Data!$F$5:$F$5004,$C25,Data!$G$5:$G$5004,"Gifted &amp; Talented")+ExOn*SUMIFS(مثال_Example!$Q$5:$Q$804,مثال_Example!$B$5:$B$804,$Q$6,مثال_Example!$D$5:$D$804,$B25,مثال_Example!$F$5:$F$804,$C25,مثال_Example!$G$5:$G$804,"Gifted &amp; Talented"))</f>
        <v>0</v>
      </c>
      <c r="J25" s="39" t="n">
        <f aca="false">(SUMIFS(Data!$Q$5:$Q$5004,Data!$B$5:$B$5004,$Q$6,Data!$D$5:$D$5004,$B25,Data!$F$5:$F$5004,$C25,Data!$G$5:$G$5004,"الإماراتيون (Emirati)")+ExOn*SUMIFS(مثال_Example!$Q$5:$Q$804,مثال_Example!$B$5:$B$804,$Q$6,مثال_Example!$D$5:$D$804,$B25,مثال_Example!$F$5:$F$804,$C25,مثال_Example!$G$5:$G$804,"الإماراتيون (Emirati)"))</f>
        <v>0</v>
      </c>
      <c r="K25" s="39" t="n">
        <f aca="false">(SUMIFS(Data!$T$5:$T$5004,Data!$B$5:$B$5004,$Q$6,Data!$D$5:$D$5004,$B25,Data!$F$5:$F$5004,$C25,Data!$G$5:$G$5004,"إجمالي الصف (All)")+ExOn*SUMIFS(مثال_Example!$T$5:$T$804,مثال_Example!$B$5:$B$804,$Q$6,مثال_Example!$D$5:$D$804,$B25,مثال_Example!$F$5:$F$804,$C25,مثال_Example!$G$5:$G$804,"إجمالي الصف (All)"))+(SUMIFS(Data!$U$5:$U$5004,Data!$B$5:$B$5004,$Q$6,Data!$D$5:$D$5004,$B25,Data!$F$5:$F$5004,$C25,Data!$G$5:$G$5004,"إجمالي الصف (All)")+ExOn*SUMIFS(مثال_Example!$U$5:$U$804,مثال_Example!$B$5:$B$804,$Q$6,مثال_Example!$D$5:$D$804,$B25,مثال_Example!$F$5:$F$804,$C25,مثال_Example!$G$5:$G$804,"إجمالي الصف (All)"))+(SUMIFS(Data!$V$5:$V$5004,Data!$B$5:$B$5004,$Q$6,Data!$D$5:$D$5004,$B25,Data!$F$5:$F$5004,$C25,Data!$G$5:$G$5004,"إجمالي الصف (All)")+ExOn*SUMIFS(مثال_Example!$V$5:$V$804,مثال_Example!$B$5:$B$804,$Q$6,مثال_Example!$D$5:$D$804,$B25,مثال_Example!$F$5:$F$804,$C25,مثال_Example!$G$5:$G$804,"إجمالي الصف (All)"))</f>
        <v>0</v>
      </c>
      <c r="L25" s="109" t="str">
        <f aca="false">IF(D25=0,IF(M25="","",M25),IF(M25="","OK",M25))</f>
        <v/>
      </c>
      <c r="M25" s="110" t="str">
        <f aca="false">IF(D25=0,IF(E25+F25+H25+I25+J25&gt;0,"⚠ مجموعات بلا إجمالي",""),TRIM(IF(AND(G25&gt;0,G25&lt;&gt;D25),"⚠ الأولاد+البنات ≠ الإجمالي · ","")&amp;IF(H25&gt;D25,"⚠ SEND &gt; الإجمالي · ","")&amp;IF(I25&gt;D25,"⚠ G&amp;T &gt; الإجمالي · ","")&amp;IF(J25&gt;D25,"⚠ الإماراتيون &gt; الإجمالي · ","")&amp;IF(K25&gt;D25,"⚠ حالات التقدم &gt; النتائج · ","")))</f>
        <v/>
      </c>
      <c r="N25" s="1"/>
    </row>
    <row r="26" customFormat="false" ht="15" hidden="false" customHeight="false" outlineLevel="0" collapsed="false">
      <c r="A26" s="1"/>
      <c r="B26" s="42" t="s">
        <v>174</v>
      </c>
      <c r="C26" s="42" t="s">
        <v>162</v>
      </c>
      <c r="D26" s="39" t="n">
        <f aca="false">(SUMIFS(Data!$Q$5:$Q$5004,Data!$B$5:$B$5004,$Q$6,Data!$D$5:$D$5004,$B26,Data!$F$5:$F$5004,$C26,Data!$G$5:$G$5004,"إجمالي الصف (All)")+ExOn*SUMIFS(مثال_Example!$Q$5:$Q$804,مثال_Example!$B$5:$B$804,$Q$6,مثال_Example!$D$5:$D$804,$B26,مثال_Example!$F$5:$F$804,$C26,مثال_Example!$G$5:$G$804,"إجمالي الصف (All)"))</f>
        <v>0</v>
      </c>
      <c r="E26" s="39" t="n">
        <f aca="false">(SUMIFS(Data!$Q$5:$Q$5004,Data!$B$5:$B$5004,$Q$6,Data!$D$5:$D$5004,$B26,Data!$F$5:$F$5004,$C26,Data!$G$5:$G$5004,"الأولاد (Boys)")+ExOn*SUMIFS(مثال_Example!$Q$5:$Q$804,مثال_Example!$B$5:$B$804,$Q$6,مثال_Example!$D$5:$D$804,$B26,مثال_Example!$F$5:$F$804,$C26,مثال_Example!$G$5:$G$804,"الأولاد (Boys)"))</f>
        <v>0</v>
      </c>
      <c r="F26" s="39" t="n">
        <f aca="false">(SUMIFS(Data!$Q$5:$Q$5004,Data!$B$5:$B$5004,$Q$6,Data!$D$5:$D$5004,$B26,Data!$F$5:$F$5004,$C26,Data!$G$5:$G$5004,"البنات (Girls)")+ExOn*SUMIFS(مثال_Example!$Q$5:$Q$804,مثال_Example!$B$5:$B$804,$Q$6,مثال_Example!$D$5:$D$804,$B26,مثال_Example!$F$5:$F$804,$C26,مثال_Example!$G$5:$G$804,"البنات (Girls)"))</f>
        <v>0</v>
      </c>
      <c r="G26" s="39" t="n">
        <f aca="false">E26+F26</f>
        <v>0</v>
      </c>
      <c r="H26" s="39" t="n">
        <f aca="false">(SUMIFS(Data!$Q$5:$Q$5004,Data!$B$5:$B$5004,$Q$6,Data!$D$5:$D$5004,$B26,Data!$F$5:$F$5004,$C26,Data!$G$5:$G$5004,"SEND")+ExOn*SUMIFS(مثال_Example!$Q$5:$Q$804,مثال_Example!$B$5:$B$804,$Q$6,مثال_Example!$D$5:$D$804,$B26,مثال_Example!$F$5:$F$804,$C26,مثال_Example!$G$5:$G$804,"SEND"))</f>
        <v>0</v>
      </c>
      <c r="I26" s="39" t="n">
        <f aca="false">(SUMIFS(Data!$Q$5:$Q$5004,Data!$B$5:$B$5004,$Q$6,Data!$D$5:$D$5004,$B26,Data!$F$5:$F$5004,$C26,Data!$G$5:$G$5004,"Gifted &amp; Talented")+ExOn*SUMIFS(مثال_Example!$Q$5:$Q$804,مثال_Example!$B$5:$B$804,$Q$6,مثال_Example!$D$5:$D$804,$B26,مثال_Example!$F$5:$F$804,$C26,مثال_Example!$G$5:$G$804,"Gifted &amp; Talented"))</f>
        <v>0</v>
      </c>
      <c r="J26" s="39" t="n">
        <f aca="false">(SUMIFS(Data!$Q$5:$Q$5004,Data!$B$5:$B$5004,$Q$6,Data!$D$5:$D$5004,$B26,Data!$F$5:$F$5004,$C26,Data!$G$5:$G$5004,"الإماراتيون (Emirati)")+ExOn*SUMIFS(مثال_Example!$Q$5:$Q$804,مثال_Example!$B$5:$B$804,$Q$6,مثال_Example!$D$5:$D$804,$B26,مثال_Example!$F$5:$F$804,$C26,مثال_Example!$G$5:$G$804,"الإماراتيون (Emirati)"))</f>
        <v>0</v>
      </c>
      <c r="K26" s="39" t="n">
        <f aca="false">(SUMIFS(Data!$T$5:$T$5004,Data!$B$5:$B$5004,$Q$6,Data!$D$5:$D$5004,$B26,Data!$F$5:$F$5004,$C26,Data!$G$5:$G$5004,"إجمالي الصف (All)")+ExOn*SUMIFS(مثال_Example!$T$5:$T$804,مثال_Example!$B$5:$B$804,$Q$6,مثال_Example!$D$5:$D$804,$B26,مثال_Example!$F$5:$F$804,$C26,مثال_Example!$G$5:$G$804,"إجمالي الصف (All)"))+(SUMIFS(Data!$U$5:$U$5004,Data!$B$5:$B$5004,$Q$6,Data!$D$5:$D$5004,$B26,Data!$F$5:$F$5004,$C26,Data!$G$5:$G$5004,"إجمالي الصف (All)")+ExOn*SUMIFS(مثال_Example!$U$5:$U$804,مثال_Example!$B$5:$B$804,$Q$6,مثال_Example!$D$5:$D$804,$B26,مثال_Example!$F$5:$F$804,$C26,مثال_Example!$G$5:$G$804,"إجمالي الصف (All)"))+(SUMIFS(Data!$V$5:$V$5004,Data!$B$5:$B$5004,$Q$6,Data!$D$5:$D$5004,$B26,Data!$F$5:$F$5004,$C26,Data!$G$5:$G$5004,"إجمالي الصف (All)")+ExOn*SUMIFS(مثال_Example!$V$5:$V$804,مثال_Example!$B$5:$B$804,$Q$6,مثال_Example!$D$5:$D$804,$B26,مثال_Example!$F$5:$F$804,$C26,مثال_Example!$G$5:$G$804,"إجمالي الصف (All)"))</f>
        <v>0</v>
      </c>
      <c r="L26" s="109" t="str">
        <f aca="false">IF(D26=0,IF(M26="","",M26),IF(M26="","OK",M26))</f>
        <v/>
      </c>
      <c r="M26" s="110" t="str">
        <f aca="false">IF(D26=0,IF(E26+F26+H26+I26+J26&gt;0,"⚠ مجموعات بلا إجمالي",""),TRIM(IF(AND(G26&gt;0,G26&lt;&gt;D26),"⚠ الأولاد+البنات ≠ الإجمالي · ","")&amp;IF(H26&gt;D26,"⚠ SEND &gt; الإجمالي · ","")&amp;IF(I26&gt;D26,"⚠ G&amp;T &gt; الإجمالي · ","")&amp;IF(J26&gt;D26,"⚠ الإماراتيون &gt; الإجمالي · ","")&amp;IF(K26&gt;D26,"⚠ حالات التقدم &gt; النتائج · ","")))</f>
        <v/>
      </c>
      <c r="N26" s="1"/>
    </row>
    <row r="27" customFormat="false" ht="15" hidden="false" customHeight="false" outlineLevel="0" collapsed="false">
      <c r="A27" s="1"/>
      <c r="B27" s="42" t="s">
        <v>174</v>
      </c>
      <c r="C27" s="42" t="s">
        <v>107</v>
      </c>
      <c r="D27" s="39" t="n">
        <f aca="false">(SUMIFS(Data!$Q$5:$Q$5004,Data!$B$5:$B$5004,$Q$6,Data!$D$5:$D$5004,$B27,Data!$F$5:$F$5004,$C27,Data!$G$5:$G$5004,"إجمالي الصف (All)")+ExOn*SUMIFS(مثال_Example!$Q$5:$Q$804,مثال_Example!$B$5:$B$804,$Q$6,مثال_Example!$D$5:$D$804,$B27,مثال_Example!$F$5:$F$804,$C27,مثال_Example!$G$5:$G$804,"إجمالي الصف (All)"))</f>
        <v>0</v>
      </c>
      <c r="E27" s="39" t="n">
        <f aca="false">(SUMIFS(Data!$Q$5:$Q$5004,Data!$B$5:$B$5004,$Q$6,Data!$D$5:$D$5004,$B27,Data!$F$5:$F$5004,$C27,Data!$G$5:$G$5004,"الأولاد (Boys)")+ExOn*SUMIFS(مثال_Example!$Q$5:$Q$804,مثال_Example!$B$5:$B$804,$Q$6,مثال_Example!$D$5:$D$804,$B27,مثال_Example!$F$5:$F$804,$C27,مثال_Example!$G$5:$G$804,"الأولاد (Boys)"))</f>
        <v>0</v>
      </c>
      <c r="F27" s="39" t="n">
        <f aca="false">(SUMIFS(Data!$Q$5:$Q$5004,Data!$B$5:$B$5004,$Q$6,Data!$D$5:$D$5004,$B27,Data!$F$5:$F$5004,$C27,Data!$G$5:$G$5004,"البنات (Girls)")+ExOn*SUMIFS(مثال_Example!$Q$5:$Q$804,مثال_Example!$B$5:$B$804,$Q$6,مثال_Example!$D$5:$D$804,$B27,مثال_Example!$F$5:$F$804,$C27,مثال_Example!$G$5:$G$804,"البنات (Girls)"))</f>
        <v>0</v>
      </c>
      <c r="G27" s="39" t="n">
        <f aca="false">E27+F27</f>
        <v>0</v>
      </c>
      <c r="H27" s="39" t="n">
        <f aca="false">(SUMIFS(Data!$Q$5:$Q$5004,Data!$B$5:$B$5004,$Q$6,Data!$D$5:$D$5004,$B27,Data!$F$5:$F$5004,$C27,Data!$G$5:$G$5004,"SEND")+ExOn*SUMIFS(مثال_Example!$Q$5:$Q$804,مثال_Example!$B$5:$B$804,$Q$6,مثال_Example!$D$5:$D$804,$B27,مثال_Example!$F$5:$F$804,$C27,مثال_Example!$G$5:$G$804,"SEND"))</f>
        <v>0</v>
      </c>
      <c r="I27" s="39" t="n">
        <f aca="false">(SUMIFS(Data!$Q$5:$Q$5004,Data!$B$5:$B$5004,$Q$6,Data!$D$5:$D$5004,$B27,Data!$F$5:$F$5004,$C27,Data!$G$5:$G$5004,"Gifted &amp; Talented")+ExOn*SUMIFS(مثال_Example!$Q$5:$Q$804,مثال_Example!$B$5:$B$804,$Q$6,مثال_Example!$D$5:$D$804,$B27,مثال_Example!$F$5:$F$804,$C27,مثال_Example!$G$5:$G$804,"Gifted &amp; Talented"))</f>
        <v>0</v>
      </c>
      <c r="J27" s="39" t="n">
        <f aca="false">(SUMIFS(Data!$Q$5:$Q$5004,Data!$B$5:$B$5004,$Q$6,Data!$D$5:$D$5004,$B27,Data!$F$5:$F$5004,$C27,Data!$G$5:$G$5004,"الإماراتيون (Emirati)")+ExOn*SUMIFS(مثال_Example!$Q$5:$Q$804,مثال_Example!$B$5:$B$804,$Q$6,مثال_Example!$D$5:$D$804,$B27,مثال_Example!$F$5:$F$804,$C27,مثال_Example!$G$5:$G$804,"الإماراتيون (Emirati)"))</f>
        <v>0</v>
      </c>
      <c r="K27" s="39" t="n">
        <f aca="false">(SUMIFS(Data!$T$5:$T$5004,Data!$B$5:$B$5004,$Q$6,Data!$D$5:$D$5004,$B27,Data!$F$5:$F$5004,$C27,Data!$G$5:$G$5004,"إجمالي الصف (All)")+ExOn*SUMIFS(مثال_Example!$T$5:$T$804,مثال_Example!$B$5:$B$804,$Q$6,مثال_Example!$D$5:$D$804,$B27,مثال_Example!$F$5:$F$804,$C27,مثال_Example!$G$5:$G$804,"إجمالي الصف (All)"))+(SUMIFS(Data!$U$5:$U$5004,Data!$B$5:$B$5004,$Q$6,Data!$D$5:$D$5004,$B27,Data!$F$5:$F$5004,$C27,Data!$G$5:$G$5004,"إجمالي الصف (All)")+ExOn*SUMIFS(مثال_Example!$U$5:$U$804,مثال_Example!$B$5:$B$804,$Q$6,مثال_Example!$D$5:$D$804,$B27,مثال_Example!$F$5:$F$804,$C27,مثال_Example!$G$5:$G$804,"إجمالي الصف (All)"))+(SUMIFS(Data!$V$5:$V$5004,Data!$B$5:$B$5004,$Q$6,Data!$D$5:$D$5004,$B27,Data!$F$5:$F$5004,$C27,Data!$G$5:$G$5004,"إجمالي الصف (All)")+ExOn*SUMIFS(مثال_Example!$V$5:$V$804,مثال_Example!$B$5:$B$804,$Q$6,مثال_Example!$D$5:$D$804,$B27,مثال_Example!$F$5:$F$804,$C27,مثال_Example!$G$5:$G$804,"إجمالي الصف (All)"))</f>
        <v>0</v>
      </c>
      <c r="L27" s="109" t="str">
        <f aca="false">IF(D27=0,IF(M27="","",M27),IF(M27="","OK",M27))</f>
        <v/>
      </c>
      <c r="M27" s="110" t="str">
        <f aca="false">IF(D27=0,IF(E27+F27+H27+I27+J27&gt;0,"⚠ مجموعات بلا إجمالي",""),TRIM(IF(AND(G27&gt;0,G27&lt;&gt;D27),"⚠ الأولاد+البنات ≠ الإجمالي · ","")&amp;IF(H27&gt;D27,"⚠ SEND &gt; الإجمالي · ","")&amp;IF(I27&gt;D27,"⚠ G&amp;T &gt; الإجمالي · ","")&amp;IF(J27&gt;D27,"⚠ الإماراتيون &gt; الإجمالي · ","")&amp;IF(K27&gt;D27,"⚠ حالات التقدم &gt; النتائج · ","")))</f>
        <v/>
      </c>
      <c r="N27" s="1"/>
    </row>
    <row r="28" customFormat="false" ht="15" hidden="false" customHeight="false" outlineLevel="0" collapsed="false">
      <c r="A28" s="1"/>
      <c r="B28" s="42" t="s">
        <v>174</v>
      </c>
      <c r="C28" s="42" t="s">
        <v>163</v>
      </c>
      <c r="D28" s="39" t="n">
        <f aca="false">(SUMIFS(Data!$Q$5:$Q$5004,Data!$B$5:$B$5004,$Q$6,Data!$D$5:$D$5004,$B28,Data!$F$5:$F$5004,$C28,Data!$G$5:$G$5004,"إجمالي الصف (All)")+ExOn*SUMIFS(مثال_Example!$Q$5:$Q$804,مثال_Example!$B$5:$B$804,$Q$6,مثال_Example!$D$5:$D$804,$B28,مثال_Example!$F$5:$F$804,$C28,مثال_Example!$G$5:$G$804,"إجمالي الصف (All)"))</f>
        <v>0</v>
      </c>
      <c r="E28" s="39" t="n">
        <f aca="false">(SUMIFS(Data!$Q$5:$Q$5004,Data!$B$5:$B$5004,$Q$6,Data!$D$5:$D$5004,$B28,Data!$F$5:$F$5004,$C28,Data!$G$5:$G$5004,"الأولاد (Boys)")+ExOn*SUMIFS(مثال_Example!$Q$5:$Q$804,مثال_Example!$B$5:$B$804,$Q$6,مثال_Example!$D$5:$D$804,$B28,مثال_Example!$F$5:$F$804,$C28,مثال_Example!$G$5:$G$804,"الأولاد (Boys)"))</f>
        <v>0</v>
      </c>
      <c r="F28" s="39" t="n">
        <f aca="false">(SUMIFS(Data!$Q$5:$Q$5004,Data!$B$5:$B$5004,$Q$6,Data!$D$5:$D$5004,$B28,Data!$F$5:$F$5004,$C28,Data!$G$5:$G$5004,"البنات (Girls)")+ExOn*SUMIFS(مثال_Example!$Q$5:$Q$804,مثال_Example!$B$5:$B$804,$Q$6,مثال_Example!$D$5:$D$804,$B28,مثال_Example!$F$5:$F$804,$C28,مثال_Example!$G$5:$G$804,"البنات (Girls)"))</f>
        <v>0</v>
      </c>
      <c r="G28" s="39" t="n">
        <f aca="false">E28+F28</f>
        <v>0</v>
      </c>
      <c r="H28" s="39" t="n">
        <f aca="false">(SUMIFS(Data!$Q$5:$Q$5004,Data!$B$5:$B$5004,$Q$6,Data!$D$5:$D$5004,$B28,Data!$F$5:$F$5004,$C28,Data!$G$5:$G$5004,"SEND")+ExOn*SUMIFS(مثال_Example!$Q$5:$Q$804,مثال_Example!$B$5:$B$804,$Q$6,مثال_Example!$D$5:$D$804,$B28,مثال_Example!$F$5:$F$804,$C28,مثال_Example!$G$5:$G$804,"SEND"))</f>
        <v>0</v>
      </c>
      <c r="I28" s="39" t="n">
        <f aca="false">(SUMIFS(Data!$Q$5:$Q$5004,Data!$B$5:$B$5004,$Q$6,Data!$D$5:$D$5004,$B28,Data!$F$5:$F$5004,$C28,Data!$G$5:$G$5004,"Gifted &amp; Talented")+ExOn*SUMIFS(مثال_Example!$Q$5:$Q$804,مثال_Example!$B$5:$B$804,$Q$6,مثال_Example!$D$5:$D$804,$B28,مثال_Example!$F$5:$F$804,$C28,مثال_Example!$G$5:$G$804,"Gifted &amp; Talented"))</f>
        <v>0</v>
      </c>
      <c r="J28" s="39" t="n">
        <f aca="false">(SUMIFS(Data!$Q$5:$Q$5004,Data!$B$5:$B$5004,$Q$6,Data!$D$5:$D$5004,$B28,Data!$F$5:$F$5004,$C28,Data!$G$5:$G$5004,"الإماراتيون (Emirati)")+ExOn*SUMIFS(مثال_Example!$Q$5:$Q$804,مثال_Example!$B$5:$B$804,$Q$6,مثال_Example!$D$5:$D$804,$B28,مثال_Example!$F$5:$F$804,$C28,مثال_Example!$G$5:$G$804,"الإماراتيون (Emirati)"))</f>
        <v>0</v>
      </c>
      <c r="K28" s="39" t="n">
        <f aca="false">(SUMIFS(Data!$T$5:$T$5004,Data!$B$5:$B$5004,$Q$6,Data!$D$5:$D$5004,$B28,Data!$F$5:$F$5004,$C28,Data!$G$5:$G$5004,"إجمالي الصف (All)")+ExOn*SUMIFS(مثال_Example!$T$5:$T$804,مثال_Example!$B$5:$B$804,$Q$6,مثال_Example!$D$5:$D$804,$B28,مثال_Example!$F$5:$F$804,$C28,مثال_Example!$G$5:$G$804,"إجمالي الصف (All)"))+(SUMIFS(Data!$U$5:$U$5004,Data!$B$5:$B$5004,$Q$6,Data!$D$5:$D$5004,$B28,Data!$F$5:$F$5004,$C28,Data!$G$5:$G$5004,"إجمالي الصف (All)")+ExOn*SUMIFS(مثال_Example!$U$5:$U$804,مثال_Example!$B$5:$B$804,$Q$6,مثال_Example!$D$5:$D$804,$B28,مثال_Example!$F$5:$F$804,$C28,مثال_Example!$G$5:$G$804,"إجمالي الصف (All)"))+(SUMIFS(Data!$V$5:$V$5004,Data!$B$5:$B$5004,$Q$6,Data!$D$5:$D$5004,$B28,Data!$F$5:$F$5004,$C28,Data!$G$5:$G$5004,"إجمالي الصف (All)")+ExOn*SUMIFS(مثال_Example!$V$5:$V$804,مثال_Example!$B$5:$B$804,$Q$6,مثال_Example!$D$5:$D$804,$B28,مثال_Example!$F$5:$F$804,$C28,مثال_Example!$G$5:$G$804,"إجمالي الصف (All)"))</f>
        <v>0</v>
      </c>
      <c r="L28" s="109" t="str">
        <f aca="false">IF(D28=0,IF(M28="","",M28),IF(M28="","OK",M28))</f>
        <v/>
      </c>
      <c r="M28" s="110" t="str">
        <f aca="false">IF(D28=0,IF(E28+F28+H28+I28+J28&gt;0,"⚠ مجموعات بلا إجمالي",""),TRIM(IF(AND(G28&gt;0,G28&lt;&gt;D28),"⚠ الأولاد+البنات ≠ الإجمالي · ","")&amp;IF(H28&gt;D28,"⚠ SEND &gt; الإجمالي · ","")&amp;IF(I28&gt;D28,"⚠ G&amp;T &gt; الإجمالي · ","")&amp;IF(J28&gt;D28,"⚠ الإماراتيون &gt; الإجمالي · ","")&amp;IF(K28&gt;D28,"⚠ حالات التقدم &gt; النتائج · ","")))</f>
        <v/>
      </c>
      <c r="N28" s="1"/>
    </row>
    <row r="29" customFormat="false" ht="15" hidden="false" customHeight="false" outlineLevel="0" collapsed="false">
      <c r="A29" s="1"/>
      <c r="B29" s="42" t="s">
        <v>174</v>
      </c>
      <c r="C29" s="42" t="s">
        <v>164</v>
      </c>
      <c r="D29" s="39" t="n">
        <f aca="false">(SUMIFS(Data!$Q$5:$Q$5004,Data!$B$5:$B$5004,$Q$6,Data!$D$5:$D$5004,$B29,Data!$F$5:$F$5004,$C29,Data!$G$5:$G$5004,"إجمالي الصف (All)")+ExOn*SUMIFS(مثال_Example!$Q$5:$Q$804,مثال_Example!$B$5:$B$804,$Q$6,مثال_Example!$D$5:$D$804,$B29,مثال_Example!$F$5:$F$804,$C29,مثال_Example!$G$5:$G$804,"إجمالي الصف (All)"))</f>
        <v>0</v>
      </c>
      <c r="E29" s="39" t="n">
        <f aca="false">(SUMIFS(Data!$Q$5:$Q$5004,Data!$B$5:$B$5004,$Q$6,Data!$D$5:$D$5004,$B29,Data!$F$5:$F$5004,$C29,Data!$G$5:$G$5004,"الأولاد (Boys)")+ExOn*SUMIFS(مثال_Example!$Q$5:$Q$804,مثال_Example!$B$5:$B$804,$Q$6,مثال_Example!$D$5:$D$804,$B29,مثال_Example!$F$5:$F$804,$C29,مثال_Example!$G$5:$G$804,"الأولاد (Boys)"))</f>
        <v>0</v>
      </c>
      <c r="F29" s="39" t="n">
        <f aca="false">(SUMIFS(Data!$Q$5:$Q$5004,Data!$B$5:$B$5004,$Q$6,Data!$D$5:$D$5004,$B29,Data!$F$5:$F$5004,$C29,Data!$G$5:$G$5004,"البنات (Girls)")+ExOn*SUMIFS(مثال_Example!$Q$5:$Q$804,مثال_Example!$B$5:$B$804,$Q$6,مثال_Example!$D$5:$D$804,$B29,مثال_Example!$F$5:$F$804,$C29,مثال_Example!$G$5:$G$804,"البنات (Girls)"))</f>
        <v>0</v>
      </c>
      <c r="G29" s="39" t="n">
        <f aca="false">E29+F29</f>
        <v>0</v>
      </c>
      <c r="H29" s="39" t="n">
        <f aca="false">(SUMIFS(Data!$Q$5:$Q$5004,Data!$B$5:$B$5004,$Q$6,Data!$D$5:$D$5004,$B29,Data!$F$5:$F$5004,$C29,Data!$G$5:$G$5004,"SEND")+ExOn*SUMIFS(مثال_Example!$Q$5:$Q$804,مثال_Example!$B$5:$B$804,$Q$6,مثال_Example!$D$5:$D$804,$B29,مثال_Example!$F$5:$F$804,$C29,مثال_Example!$G$5:$G$804,"SEND"))</f>
        <v>0</v>
      </c>
      <c r="I29" s="39" t="n">
        <f aca="false">(SUMIFS(Data!$Q$5:$Q$5004,Data!$B$5:$B$5004,$Q$6,Data!$D$5:$D$5004,$B29,Data!$F$5:$F$5004,$C29,Data!$G$5:$G$5004,"Gifted &amp; Talented")+ExOn*SUMIFS(مثال_Example!$Q$5:$Q$804,مثال_Example!$B$5:$B$804,$Q$6,مثال_Example!$D$5:$D$804,$B29,مثال_Example!$F$5:$F$804,$C29,مثال_Example!$G$5:$G$804,"Gifted &amp; Talented"))</f>
        <v>0</v>
      </c>
      <c r="J29" s="39" t="n">
        <f aca="false">(SUMIFS(Data!$Q$5:$Q$5004,Data!$B$5:$B$5004,$Q$6,Data!$D$5:$D$5004,$B29,Data!$F$5:$F$5004,$C29,Data!$G$5:$G$5004,"الإماراتيون (Emirati)")+ExOn*SUMIFS(مثال_Example!$Q$5:$Q$804,مثال_Example!$B$5:$B$804,$Q$6,مثال_Example!$D$5:$D$804,$B29,مثال_Example!$F$5:$F$804,$C29,مثال_Example!$G$5:$G$804,"الإماراتيون (Emirati)"))</f>
        <v>0</v>
      </c>
      <c r="K29" s="39" t="n">
        <f aca="false">(SUMIFS(Data!$T$5:$T$5004,Data!$B$5:$B$5004,$Q$6,Data!$D$5:$D$5004,$B29,Data!$F$5:$F$5004,$C29,Data!$G$5:$G$5004,"إجمالي الصف (All)")+ExOn*SUMIFS(مثال_Example!$T$5:$T$804,مثال_Example!$B$5:$B$804,$Q$6,مثال_Example!$D$5:$D$804,$B29,مثال_Example!$F$5:$F$804,$C29,مثال_Example!$G$5:$G$804,"إجمالي الصف (All)"))+(SUMIFS(Data!$U$5:$U$5004,Data!$B$5:$B$5004,$Q$6,Data!$D$5:$D$5004,$B29,Data!$F$5:$F$5004,$C29,Data!$G$5:$G$5004,"إجمالي الصف (All)")+ExOn*SUMIFS(مثال_Example!$U$5:$U$804,مثال_Example!$B$5:$B$804,$Q$6,مثال_Example!$D$5:$D$804,$B29,مثال_Example!$F$5:$F$804,$C29,مثال_Example!$G$5:$G$804,"إجمالي الصف (All)"))+(SUMIFS(Data!$V$5:$V$5004,Data!$B$5:$B$5004,$Q$6,Data!$D$5:$D$5004,$B29,Data!$F$5:$F$5004,$C29,Data!$G$5:$G$5004,"إجمالي الصف (All)")+ExOn*SUMIFS(مثال_Example!$V$5:$V$804,مثال_Example!$B$5:$B$804,$Q$6,مثال_Example!$D$5:$D$804,$B29,مثال_Example!$F$5:$F$804,$C29,مثال_Example!$G$5:$G$804,"إجمالي الصف (All)"))</f>
        <v>0</v>
      </c>
      <c r="L29" s="109" t="str">
        <f aca="false">IF(D29=0,IF(M29="","",M29),IF(M29="","OK",M29))</f>
        <v/>
      </c>
      <c r="M29" s="110" t="str">
        <f aca="false">IF(D29=0,IF(E29+F29+H29+I29+J29&gt;0,"⚠ مجموعات بلا إجمالي",""),TRIM(IF(AND(G29&gt;0,G29&lt;&gt;D29),"⚠ الأولاد+البنات ≠ الإجمالي · ","")&amp;IF(H29&gt;D29,"⚠ SEND &gt; الإجمالي · ","")&amp;IF(I29&gt;D29,"⚠ G&amp;T &gt; الإجمالي · ","")&amp;IF(J29&gt;D29,"⚠ الإماراتيون &gt; الإجمالي · ","")&amp;IF(K29&gt;D29,"⚠ حالات التقدم &gt; النتائج · ","")))</f>
        <v/>
      </c>
      <c r="N29" s="1"/>
    </row>
    <row r="30" customFormat="false" ht="15" hidden="false" customHeight="false" outlineLevel="0" collapsed="false">
      <c r="A30" s="1"/>
      <c r="B30" s="42" t="s">
        <v>175</v>
      </c>
      <c r="C30" s="42" t="s">
        <v>162</v>
      </c>
      <c r="D30" s="39" t="n">
        <f aca="false">(SUMIFS(Data!$Q$5:$Q$5004,Data!$B$5:$B$5004,$Q$6,Data!$D$5:$D$5004,$B30,Data!$F$5:$F$5004,$C30,Data!$G$5:$G$5004,"إجمالي الصف (All)")+ExOn*SUMIFS(مثال_Example!$Q$5:$Q$804,مثال_Example!$B$5:$B$804,$Q$6,مثال_Example!$D$5:$D$804,$B30,مثال_Example!$F$5:$F$804,$C30,مثال_Example!$G$5:$G$804,"إجمالي الصف (All)"))</f>
        <v>0</v>
      </c>
      <c r="E30" s="39" t="n">
        <f aca="false">(SUMIFS(Data!$Q$5:$Q$5004,Data!$B$5:$B$5004,$Q$6,Data!$D$5:$D$5004,$B30,Data!$F$5:$F$5004,$C30,Data!$G$5:$G$5004,"الأولاد (Boys)")+ExOn*SUMIFS(مثال_Example!$Q$5:$Q$804,مثال_Example!$B$5:$B$804,$Q$6,مثال_Example!$D$5:$D$804,$B30,مثال_Example!$F$5:$F$804,$C30,مثال_Example!$G$5:$G$804,"الأولاد (Boys)"))</f>
        <v>0</v>
      </c>
      <c r="F30" s="39" t="n">
        <f aca="false">(SUMIFS(Data!$Q$5:$Q$5004,Data!$B$5:$B$5004,$Q$6,Data!$D$5:$D$5004,$B30,Data!$F$5:$F$5004,$C30,Data!$G$5:$G$5004,"البنات (Girls)")+ExOn*SUMIFS(مثال_Example!$Q$5:$Q$804,مثال_Example!$B$5:$B$804,$Q$6,مثال_Example!$D$5:$D$804,$B30,مثال_Example!$F$5:$F$804,$C30,مثال_Example!$G$5:$G$804,"البنات (Girls)"))</f>
        <v>0</v>
      </c>
      <c r="G30" s="39" t="n">
        <f aca="false">E30+F30</f>
        <v>0</v>
      </c>
      <c r="H30" s="39" t="n">
        <f aca="false">(SUMIFS(Data!$Q$5:$Q$5004,Data!$B$5:$B$5004,$Q$6,Data!$D$5:$D$5004,$B30,Data!$F$5:$F$5004,$C30,Data!$G$5:$G$5004,"SEND")+ExOn*SUMIFS(مثال_Example!$Q$5:$Q$804,مثال_Example!$B$5:$B$804,$Q$6,مثال_Example!$D$5:$D$804,$B30,مثال_Example!$F$5:$F$804,$C30,مثال_Example!$G$5:$G$804,"SEND"))</f>
        <v>0</v>
      </c>
      <c r="I30" s="39" t="n">
        <f aca="false">(SUMIFS(Data!$Q$5:$Q$5004,Data!$B$5:$B$5004,$Q$6,Data!$D$5:$D$5004,$B30,Data!$F$5:$F$5004,$C30,Data!$G$5:$G$5004,"Gifted &amp; Talented")+ExOn*SUMIFS(مثال_Example!$Q$5:$Q$804,مثال_Example!$B$5:$B$804,$Q$6,مثال_Example!$D$5:$D$804,$B30,مثال_Example!$F$5:$F$804,$C30,مثال_Example!$G$5:$G$804,"Gifted &amp; Talented"))</f>
        <v>0</v>
      </c>
      <c r="J30" s="39" t="n">
        <f aca="false">(SUMIFS(Data!$Q$5:$Q$5004,Data!$B$5:$B$5004,$Q$6,Data!$D$5:$D$5004,$B30,Data!$F$5:$F$5004,$C30,Data!$G$5:$G$5004,"الإماراتيون (Emirati)")+ExOn*SUMIFS(مثال_Example!$Q$5:$Q$804,مثال_Example!$B$5:$B$804,$Q$6,مثال_Example!$D$5:$D$804,$B30,مثال_Example!$F$5:$F$804,$C30,مثال_Example!$G$5:$G$804,"الإماراتيون (Emirati)"))</f>
        <v>0</v>
      </c>
      <c r="K30" s="39" t="n">
        <f aca="false">(SUMIFS(Data!$T$5:$T$5004,Data!$B$5:$B$5004,$Q$6,Data!$D$5:$D$5004,$B30,Data!$F$5:$F$5004,$C30,Data!$G$5:$G$5004,"إجمالي الصف (All)")+ExOn*SUMIFS(مثال_Example!$T$5:$T$804,مثال_Example!$B$5:$B$804,$Q$6,مثال_Example!$D$5:$D$804,$B30,مثال_Example!$F$5:$F$804,$C30,مثال_Example!$G$5:$G$804,"إجمالي الصف (All)"))+(SUMIFS(Data!$U$5:$U$5004,Data!$B$5:$B$5004,$Q$6,Data!$D$5:$D$5004,$B30,Data!$F$5:$F$5004,$C30,Data!$G$5:$G$5004,"إجمالي الصف (All)")+ExOn*SUMIFS(مثال_Example!$U$5:$U$804,مثال_Example!$B$5:$B$804,$Q$6,مثال_Example!$D$5:$D$804,$B30,مثال_Example!$F$5:$F$804,$C30,مثال_Example!$G$5:$G$804,"إجمالي الصف (All)"))+(SUMIFS(Data!$V$5:$V$5004,Data!$B$5:$B$5004,$Q$6,Data!$D$5:$D$5004,$B30,Data!$F$5:$F$5004,$C30,Data!$G$5:$G$5004,"إجمالي الصف (All)")+ExOn*SUMIFS(مثال_Example!$V$5:$V$804,مثال_Example!$B$5:$B$804,$Q$6,مثال_Example!$D$5:$D$804,$B30,مثال_Example!$F$5:$F$804,$C30,مثال_Example!$G$5:$G$804,"إجمالي الصف (All)"))</f>
        <v>0</v>
      </c>
      <c r="L30" s="109" t="str">
        <f aca="false">IF(D30=0,IF(M30="","",M30),IF(M30="","OK",M30))</f>
        <v/>
      </c>
      <c r="M30" s="110" t="str">
        <f aca="false">IF(D30=0,IF(E30+F30+H30+I30+J30&gt;0,"⚠ مجموعات بلا إجمالي",""),TRIM(IF(AND(G30&gt;0,G30&lt;&gt;D30),"⚠ الأولاد+البنات ≠ الإجمالي · ","")&amp;IF(H30&gt;D30,"⚠ SEND &gt; الإجمالي · ","")&amp;IF(I30&gt;D30,"⚠ G&amp;T &gt; الإجمالي · ","")&amp;IF(J30&gt;D30,"⚠ الإماراتيون &gt; الإجمالي · ","")&amp;IF(K30&gt;D30,"⚠ حالات التقدم &gt; النتائج · ","")))</f>
        <v/>
      </c>
      <c r="N30" s="1"/>
    </row>
    <row r="31" customFormat="false" ht="15" hidden="false" customHeight="false" outlineLevel="0" collapsed="false">
      <c r="A31" s="1"/>
      <c r="B31" s="42" t="s">
        <v>175</v>
      </c>
      <c r="C31" s="42" t="s">
        <v>107</v>
      </c>
      <c r="D31" s="39" t="n">
        <f aca="false">(SUMIFS(Data!$Q$5:$Q$5004,Data!$B$5:$B$5004,$Q$6,Data!$D$5:$D$5004,$B31,Data!$F$5:$F$5004,$C31,Data!$G$5:$G$5004,"إجمالي الصف (All)")+ExOn*SUMIFS(مثال_Example!$Q$5:$Q$804,مثال_Example!$B$5:$B$804,$Q$6,مثال_Example!$D$5:$D$804,$B31,مثال_Example!$F$5:$F$804,$C31,مثال_Example!$G$5:$G$804,"إجمالي الصف (All)"))</f>
        <v>0</v>
      </c>
      <c r="E31" s="39" t="n">
        <f aca="false">(SUMIFS(Data!$Q$5:$Q$5004,Data!$B$5:$B$5004,$Q$6,Data!$D$5:$D$5004,$B31,Data!$F$5:$F$5004,$C31,Data!$G$5:$G$5004,"الأولاد (Boys)")+ExOn*SUMIFS(مثال_Example!$Q$5:$Q$804,مثال_Example!$B$5:$B$804,$Q$6,مثال_Example!$D$5:$D$804,$B31,مثال_Example!$F$5:$F$804,$C31,مثال_Example!$G$5:$G$804,"الأولاد (Boys)"))</f>
        <v>0</v>
      </c>
      <c r="F31" s="39" t="n">
        <f aca="false">(SUMIFS(Data!$Q$5:$Q$5004,Data!$B$5:$B$5004,$Q$6,Data!$D$5:$D$5004,$B31,Data!$F$5:$F$5004,$C31,Data!$G$5:$G$5004,"البنات (Girls)")+ExOn*SUMIFS(مثال_Example!$Q$5:$Q$804,مثال_Example!$B$5:$B$804,$Q$6,مثال_Example!$D$5:$D$804,$B31,مثال_Example!$F$5:$F$804,$C31,مثال_Example!$G$5:$G$804,"البنات (Girls)"))</f>
        <v>0</v>
      </c>
      <c r="G31" s="39" t="n">
        <f aca="false">E31+F31</f>
        <v>0</v>
      </c>
      <c r="H31" s="39" t="n">
        <f aca="false">(SUMIFS(Data!$Q$5:$Q$5004,Data!$B$5:$B$5004,$Q$6,Data!$D$5:$D$5004,$B31,Data!$F$5:$F$5004,$C31,Data!$G$5:$G$5004,"SEND")+ExOn*SUMIFS(مثال_Example!$Q$5:$Q$804,مثال_Example!$B$5:$B$804,$Q$6,مثال_Example!$D$5:$D$804,$B31,مثال_Example!$F$5:$F$804,$C31,مثال_Example!$G$5:$G$804,"SEND"))</f>
        <v>0</v>
      </c>
      <c r="I31" s="39" t="n">
        <f aca="false">(SUMIFS(Data!$Q$5:$Q$5004,Data!$B$5:$B$5004,$Q$6,Data!$D$5:$D$5004,$B31,Data!$F$5:$F$5004,$C31,Data!$G$5:$G$5004,"Gifted &amp; Talented")+ExOn*SUMIFS(مثال_Example!$Q$5:$Q$804,مثال_Example!$B$5:$B$804,$Q$6,مثال_Example!$D$5:$D$804,$B31,مثال_Example!$F$5:$F$804,$C31,مثال_Example!$G$5:$G$804,"Gifted &amp; Talented"))</f>
        <v>0</v>
      </c>
      <c r="J31" s="39" t="n">
        <f aca="false">(SUMIFS(Data!$Q$5:$Q$5004,Data!$B$5:$B$5004,$Q$6,Data!$D$5:$D$5004,$B31,Data!$F$5:$F$5004,$C31,Data!$G$5:$G$5004,"الإماراتيون (Emirati)")+ExOn*SUMIFS(مثال_Example!$Q$5:$Q$804,مثال_Example!$B$5:$B$804,$Q$6,مثال_Example!$D$5:$D$804,$B31,مثال_Example!$F$5:$F$804,$C31,مثال_Example!$G$5:$G$804,"الإماراتيون (Emirati)"))</f>
        <v>0</v>
      </c>
      <c r="K31" s="39" t="n">
        <f aca="false">(SUMIFS(Data!$T$5:$T$5004,Data!$B$5:$B$5004,$Q$6,Data!$D$5:$D$5004,$B31,Data!$F$5:$F$5004,$C31,Data!$G$5:$G$5004,"إجمالي الصف (All)")+ExOn*SUMIFS(مثال_Example!$T$5:$T$804,مثال_Example!$B$5:$B$804,$Q$6,مثال_Example!$D$5:$D$804,$B31,مثال_Example!$F$5:$F$804,$C31,مثال_Example!$G$5:$G$804,"إجمالي الصف (All)"))+(SUMIFS(Data!$U$5:$U$5004,Data!$B$5:$B$5004,$Q$6,Data!$D$5:$D$5004,$B31,Data!$F$5:$F$5004,$C31,Data!$G$5:$G$5004,"إجمالي الصف (All)")+ExOn*SUMIFS(مثال_Example!$U$5:$U$804,مثال_Example!$B$5:$B$804,$Q$6,مثال_Example!$D$5:$D$804,$B31,مثال_Example!$F$5:$F$804,$C31,مثال_Example!$G$5:$G$804,"إجمالي الصف (All)"))+(SUMIFS(Data!$V$5:$V$5004,Data!$B$5:$B$5004,$Q$6,Data!$D$5:$D$5004,$B31,Data!$F$5:$F$5004,$C31,Data!$G$5:$G$5004,"إجمالي الصف (All)")+ExOn*SUMIFS(مثال_Example!$V$5:$V$804,مثال_Example!$B$5:$B$804,$Q$6,مثال_Example!$D$5:$D$804,$B31,مثال_Example!$F$5:$F$804,$C31,مثال_Example!$G$5:$G$804,"إجمالي الصف (All)"))</f>
        <v>0</v>
      </c>
      <c r="L31" s="109" t="str">
        <f aca="false">IF(D31=0,IF(M31="","",M31),IF(M31="","OK",M31))</f>
        <v/>
      </c>
      <c r="M31" s="110" t="str">
        <f aca="false">IF(D31=0,IF(E31+F31+H31+I31+J31&gt;0,"⚠ مجموعات بلا إجمالي",""),TRIM(IF(AND(G31&gt;0,G31&lt;&gt;D31),"⚠ الأولاد+البنات ≠ الإجمالي · ","")&amp;IF(H31&gt;D31,"⚠ SEND &gt; الإجمالي · ","")&amp;IF(I31&gt;D31,"⚠ G&amp;T &gt; الإجمالي · ","")&amp;IF(J31&gt;D31,"⚠ الإماراتيون &gt; الإجمالي · ","")&amp;IF(K31&gt;D31,"⚠ حالات التقدم &gt; النتائج · ","")))</f>
        <v/>
      </c>
      <c r="N31" s="1"/>
    </row>
    <row r="32" customFormat="false" ht="15" hidden="false" customHeight="false" outlineLevel="0" collapsed="false">
      <c r="A32" s="1"/>
      <c r="B32" s="42" t="s">
        <v>175</v>
      </c>
      <c r="C32" s="42" t="s">
        <v>163</v>
      </c>
      <c r="D32" s="39" t="n">
        <f aca="false">(SUMIFS(Data!$Q$5:$Q$5004,Data!$B$5:$B$5004,$Q$6,Data!$D$5:$D$5004,$B32,Data!$F$5:$F$5004,$C32,Data!$G$5:$G$5004,"إجمالي الصف (All)")+ExOn*SUMIFS(مثال_Example!$Q$5:$Q$804,مثال_Example!$B$5:$B$804,$Q$6,مثال_Example!$D$5:$D$804,$B32,مثال_Example!$F$5:$F$804,$C32,مثال_Example!$G$5:$G$804,"إجمالي الصف (All)"))</f>
        <v>0</v>
      </c>
      <c r="E32" s="39" t="n">
        <f aca="false">(SUMIFS(Data!$Q$5:$Q$5004,Data!$B$5:$B$5004,$Q$6,Data!$D$5:$D$5004,$B32,Data!$F$5:$F$5004,$C32,Data!$G$5:$G$5004,"الأولاد (Boys)")+ExOn*SUMIFS(مثال_Example!$Q$5:$Q$804,مثال_Example!$B$5:$B$804,$Q$6,مثال_Example!$D$5:$D$804,$B32,مثال_Example!$F$5:$F$804,$C32,مثال_Example!$G$5:$G$804,"الأولاد (Boys)"))</f>
        <v>0</v>
      </c>
      <c r="F32" s="39" t="n">
        <f aca="false">(SUMIFS(Data!$Q$5:$Q$5004,Data!$B$5:$B$5004,$Q$6,Data!$D$5:$D$5004,$B32,Data!$F$5:$F$5004,$C32,Data!$G$5:$G$5004,"البنات (Girls)")+ExOn*SUMIFS(مثال_Example!$Q$5:$Q$804,مثال_Example!$B$5:$B$804,$Q$6,مثال_Example!$D$5:$D$804,$B32,مثال_Example!$F$5:$F$804,$C32,مثال_Example!$G$5:$G$804,"البنات (Girls)"))</f>
        <v>0</v>
      </c>
      <c r="G32" s="39" t="n">
        <f aca="false">E32+F32</f>
        <v>0</v>
      </c>
      <c r="H32" s="39" t="n">
        <f aca="false">(SUMIFS(Data!$Q$5:$Q$5004,Data!$B$5:$B$5004,$Q$6,Data!$D$5:$D$5004,$B32,Data!$F$5:$F$5004,$C32,Data!$G$5:$G$5004,"SEND")+ExOn*SUMIFS(مثال_Example!$Q$5:$Q$804,مثال_Example!$B$5:$B$804,$Q$6,مثال_Example!$D$5:$D$804,$B32,مثال_Example!$F$5:$F$804,$C32,مثال_Example!$G$5:$G$804,"SEND"))</f>
        <v>0</v>
      </c>
      <c r="I32" s="39" t="n">
        <f aca="false">(SUMIFS(Data!$Q$5:$Q$5004,Data!$B$5:$B$5004,$Q$6,Data!$D$5:$D$5004,$B32,Data!$F$5:$F$5004,$C32,Data!$G$5:$G$5004,"Gifted &amp; Talented")+ExOn*SUMIFS(مثال_Example!$Q$5:$Q$804,مثال_Example!$B$5:$B$804,$Q$6,مثال_Example!$D$5:$D$804,$B32,مثال_Example!$F$5:$F$804,$C32,مثال_Example!$G$5:$G$804,"Gifted &amp; Talented"))</f>
        <v>0</v>
      </c>
      <c r="J32" s="39" t="n">
        <f aca="false">(SUMIFS(Data!$Q$5:$Q$5004,Data!$B$5:$B$5004,$Q$6,Data!$D$5:$D$5004,$B32,Data!$F$5:$F$5004,$C32,Data!$G$5:$G$5004,"الإماراتيون (Emirati)")+ExOn*SUMIFS(مثال_Example!$Q$5:$Q$804,مثال_Example!$B$5:$B$804,$Q$6,مثال_Example!$D$5:$D$804,$B32,مثال_Example!$F$5:$F$804,$C32,مثال_Example!$G$5:$G$804,"الإماراتيون (Emirati)"))</f>
        <v>0</v>
      </c>
      <c r="K32" s="39" t="n">
        <f aca="false">(SUMIFS(Data!$T$5:$T$5004,Data!$B$5:$B$5004,$Q$6,Data!$D$5:$D$5004,$B32,Data!$F$5:$F$5004,$C32,Data!$G$5:$G$5004,"إجمالي الصف (All)")+ExOn*SUMIFS(مثال_Example!$T$5:$T$804,مثال_Example!$B$5:$B$804,$Q$6,مثال_Example!$D$5:$D$804,$B32,مثال_Example!$F$5:$F$804,$C32,مثال_Example!$G$5:$G$804,"إجمالي الصف (All)"))+(SUMIFS(Data!$U$5:$U$5004,Data!$B$5:$B$5004,$Q$6,Data!$D$5:$D$5004,$B32,Data!$F$5:$F$5004,$C32,Data!$G$5:$G$5004,"إجمالي الصف (All)")+ExOn*SUMIFS(مثال_Example!$U$5:$U$804,مثال_Example!$B$5:$B$804,$Q$6,مثال_Example!$D$5:$D$804,$B32,مثال_Example!$F$5:$F$804,$C32,مثال_Example!$G$5:$G$804,"إجمالي الصف (All)"))+(SUMIFS(Data!$V$5:$V$5004,Data!$B$5:$B$5004,$Q$6,Data!$D$5:$D$5004,$B32,Data!$F$5:$F$5004,$C32,Data!$G$5:$G$5004,"إجمالي الصف (All)")+ExOn*SUMIFS(مثال_Example!$V$5:$V$804,مثال_Example!$B$5:$B$804,$Q$6,مثال_Example!$D$5:$D$804,$B32,مثال_Example!$F$5:$F$804,$C32,مثال_Example!$G$5:$G$804,"إجمالي الصف (All)"))</f>
        <v>0</v>
      </c>
      <c r="L32" s="109" t="str">
        <f aca="false">IF(D32=0,IF(M32="","",M32),IF(M32="","OK",M32))</f>
        <v/>
      </c>
      <c r="M32" s="110" t="str">
        <f aca="false">IF(D32=0,IF(E32+F32+H32+I32+J32&gt;0,"⚠ مجموعات بلا إجمالي",""),TRIM(IF(AND(G32&gt;0,G32&lt;&gt;D32),"⚠ الأولاد+البنات ≠ الإجمالي · ","")&amp;IF(H32&gt;D32,"⚠ SEND &gt; الإجمالي · ","")&amp;IF(I32&gt;D32,"⚠ G&amp;T &gt; الإجمالي · ","")&amp;IF(J32&gt;D32,"⚠ الإماراتيون &gt; الإجمالي · ","")&amp;IF(K32&gt;D32,"⚠ حالات التقدم &gt; النتائج · ","")))</f>
        <v/>
      </c>
      <c r="N32" s="1"/>
    </row>
    <row r="33" customFormat="false" ht="15" hidden="false" customHeight="false" outlineLevel="0" collapsed="false">
      <c r="A33" s="1"/>
      <c r="B33" s="42" t="s">
        <v>175</v>
      </c>
      <c r="C33" s="42" t="s">
        <v>164</v>
      </c>
      <c r="D33" s="39" t="n">
        <f aca="false">(SUMIFS(Data!$Q$5:$Q$5004,Data!$B$5:$B$5004,$Q$6,Data!$D$5:$D$5004,$B33,Data!$F$5:$F$5004,$C33,Data!$G$5:$G$5004,"إجمالي الصف (All)")+ExOn*SUMIFS(مثال_Example!$Q$5:$Q$804,مثال_Example!$B$5:$B$804,$Q$6,مثال_Example!$D$5:$D$804,$B33,مثال_Example!$F$5:$F$804,$C33,مثال_Example!$G$5:$G$804,"إجمالي الصف (All)"))</f>
        <v>0</v>
      </c>
      <c r="E33" s="39" t="n">
        <f aca="false">(SUMIFS(Data!$Q$5:$Q$5004,Data!$B$5:$B$5004,$Q$6,Data!$D$5:$D$5004,$B33,Data!$F$5:$F$5004,$C33,Data!$G$5:$G$5004,"الأولاد (Boys)")+ExOn*SUMIFS(مثال_Example!$Q$5:$Q$804,مثال_Example!$B$5:$B$804,$Q$6,مثال_Example!$D$5:$D$804,$B33,مثال_Example!$F$5:$F$804,$C33,مثال_Example!$G$5:$G$804,"الأولاد (Boys)"))</f>
        <v>0</v>
      </c>
      <c r="F33" s="39" t="n">
        <f aca="false">(SUMIFS(Data!$Q$5:$Q$5004,Data!$B$5:$B$5004,$Q$6,Data!$D$5:$D$5004,$B33,Data!$F$5:$F$5004,$C33,Data!$G$5:$G$5004,"البنات (Girls)")+ExOn*SUMIFS(مثال_Example!$Q$5:$Q$804,مثال_Example!$B$5:$B$804,$Q$6,مثال_Example!$D$5:$D$804,$B33,مثال_Example!$F$5:$F$804,$C33,مثال_Example!$G$5:$G$804,"البنات (Girls)"))</f>
        <v>0</v>
      </c>
      <c r="G33" s="39" t="n">
        <f aca="false">E33+F33</f>
        <v>0</v>
      </c>
      <c r="H33" s="39" t="n">
        <f aca="false">(SUMIFS(Data!$Q$5:$Q$5004,Data!$B$5:$B$5004,$Q$6,Data!$D$5:$D$5004,$B33,Data!$F$5:$F$5004,$C33,Data!$G$5:$G$5004,"SEND")+ExOn*SUMIFS(مثال_Example!$Q$5:$Q$804,مثال_Example!$B$5:$B$804,$Q$6,مثال_Example!$D$5:$D$804,$B33,مثال_Example!$F$5:$F$804,$C33,مثال_Example!$G$5:$G$804,"SEND"))</f>
        <v>0</v>
      </c>
      <c r="I33" s="39" t="n">
        <f aca="false">(SUMIFS(Data!$Q$5:$Q$5004,Data!$B$5:$B$5004,$Q$6,Data!$D$5:$D$5004,$B33,Data!$F$5:$F$5004,$C33,Data!$G$5:$G$5004,"Gifted &amp; Talented")+ExOn*SUMIFS(مثال_Example!$Q$5:$Q$804,مثال_Example!$B$5:$B$804,$Q$6,مثال_Example!$D$5:$D$804,$B33,مثال_Example!$F$5:$F$804,$C33,مثال_Example!$G$5:$G$804,"Gifted &amp; Talented"))</f>
        <v>0</v>
      </c>
      <c r="J33" s="39" t="n">
        <f aca="false">(SUMIFS(Data!$Q$5:$Q$5004,Data!$B$5:$B$5004,$Q$6,Data!$D$5:$D$5004,$B33,Data!$F$5:$F$5004,$C33,Data!$G$5:$G$5004,"الإماراتيون (Emirati)")+ExOn*SUMIFS(مثال_Example!$Q$5:$Q$804,مثال_Example!$B$5:$B$804,$Q$6,مثال_Example!$D$5:$D$804,$B33,مثال_Example!$F$5:$F$804,$C33,مثال_Example!$G$5:$G$804,"الإماراتيون (Emirati)"))</f>
        <v>0</v>
      </c>
      <c r="K33" s="39" t="n">
        <f aca="false">(SUMIFS(Data!$T$5:$T$5004,Data!$B$5:$B$5004,$Q$6,Data!$D$5:$D$5004,$B33,Data!$F$5:$F$5004,$C33,Data!$G$5:$G$5004,"إجمالي الصف (All)")+ExOn*SUMIFS(مثال_Example!$T$5:$T$804,مثال_Example!$B$5:$B$804,$Q$6,مثال_Example!$D$5:$D$804,$B33,مثال_Example!$F$5:$F$804,$C33,مثال_Example!$G$5:$G$804,"إجمالي الصف (All)"))+(SUMIFS(Data!$U$5:$U$5004,Data!$B$5:$B$5004,$Q$6,Data!$D$5:$D$5004,$B33,Data!$F$5:$F$5004,$C33,Data!$G$5:$G$5004,"إجمالي الصف (All)")+ExOn*SUMIFS(مثال_Example!$U$5:$U$804,مثال_Example!$B$5:$B$804,$Q$6,مثال_Example!$D$5:$D$804,$B33,مثال_Example!$F$5:$F$804,$C33,مثال_Example!$G$5:$G$804,"إجمالي الصف (All)"))+(SUMIFS(Data!$V$5:$V$5004,Data!$B$5:$B$5004,$Q$6,Data!$D$5:$D$5004,$B33,Data!$F$5:$F$5004,$C33,Data!$G$5:$G$5004,"إجمالي الصف (All)")+ExOn*SUMIFS(مثال_Example!$V$5:$V$804,مثال_Example!$B$5:$B$804,$Q$6,مثال_Example!$D$5:$D$804,$B33,مثال_Example!$F$5:$F$804,$C33,مثال_Example!$G$5:$G$804,"إجمالي الصف (All)"))</f>
        <v>0</v>
      </c>
      <c r="L33" s="109" t="str">
        <f aca="false">IF(D33=0,IF(M33="","",M33),IF(M33="","OK",M33))</f>
        <v/>
      </c>
      <c r="M33" s="110" t="str">
        <f aca="false">IF(D33=0,IF(E33+F33+H33+I33+J33&gt;0,"⚠ مجموعات بلا إجمالي",""),TRIM(IF(AND(G33&gt;0,G33&lt;&gt;D33),"⚠ الأولاد+البنات ≠ الإجمالي · ","")&amp;IF(H33&gt;D33,"⚠ SEND &gt; الإجمالي · ","")&amp;IF(I33&gt;D33,"⚠ G&amp;T &gt; الإجمالي · ","")&amp;IF(J33&gt;D33,"⚠ الإماراتيون &gt; الإجمالي · ","")&amp;IF(K33&gt;D33,"⚠ حالات التقدم &gt; النتائج · ","")))</f>
        <v/>
      </c>
      <c r="N33" s="1"/>
    </row>
    <row r="34" customFormat="false" ht="15" hidden="false" customHeight="false" outlineLevel="0" collapsed="false">
      <c r="A34" s="1"/>
      <c r="B34" s="42" t="s">
        <v>176</v>
      </c>
      <c r="C34" s="42" t="s">
        <v>162</v>
      </c>
      <c r="D34" s="39" t="n">
        <f aca="false">(SUMIFS(Data!$Q$5:$Q$5004,Data!$B$5:$B$5004,$Q$6,Data!$D$5:$D$5004,$B34,Data!$F$5:$F$5004,$C34,Data!$G$5:$G$5004,"إجمالي الصف (All)")+ExOn*SUMIFS(مثال_Example!$Q$5:$Q$804,مثال_Example!$B$5:$B$804,$Q$6,مثال_Example!$D$5:$D$804,$B34,مثال_Example!$F$5:$F$804,$C34,مثال_Example!$G$5:$G$804,"إجمالي الصف (All)"))</f>
        <v>0</v>
      </c>
      <c r="E34" s="39" t="n">
        <f aca="false">(SUMIFS(Data!$Q$5:$Q$5004,Data!$B$5:$B$5004,$Q$6,Data!$D$5:$D$5004,$B34,Data!$F$5:$F$5004,$C34,Data!$G$5:$G$5004,"الأولاد (Boys)")+ExOn*SUMIFS(مثال_Example!$Q$5:$Q$804,مثال_Example!$B$5:$B$804,$Q$6,مثال_Example!$D$5:$D$804,$B34,مثال_Example!$F$5:$F$804,$C34,مثال_Example!$G$5:$G$804,"الأولاد (Boys)"))</f>
        <v>0</v>
      </c>
      <c r="F34" s="39" t="n">
        <f aca="false">(SUMIFS(Data!$Q$5:$Q$5004,Data!$B$5:$B$5004,$Q$6,Data!$D$5:$D$5004,$B34,Data!$F$5:$F$5004,$C34,Data!$G$5:$G$5004,"البنات (Girls)")+ExOn*SUMIFS(مثال_Example!$Q$5:$Q$804,مثال_Example!$B$5:$B$804,$Q$6,مثال_Example!$D$5:$D$804,$B34,مثال_Example!$F$5:$F$804,$C34,مثال_Example!$G$5:$G$804,"البنات (Girls)"))</f>
        <v>0</v>
      </c>
      <c r="G34" s="39" t="n">
        <f aca="false">E34+F34</f>
        <v>0</v>
      </c>
      <c r="H34" s="39" t="n">
        <f aca="false">(SUMIFS(Data!$Q$5:$Q$5004,Data!$B$5:$B$5004,$Q$6,Data!$D$5:$D$5004,$B34,Data!$F$5:$F$5004,$C34,Data!$G$5:$G$5004,"SEND")+ExOn*SUMIFS(مثال_Example!$Q$5:$Q$804,مثال_Example!$B$5:$B$804,$Q$6,مثال_Example!$D$5:$D$804,$B34,مثال_Example!$F$5:$F$804,$C34,مثال_Example!$G$5:$G$804,"SEND"))</f>
        <v>0</v>
      </c>
      <c r="I34" s="39" t="n">
        <f aca="false">(SUMIFS(Data!$Q$5:$Q$5004,Data!$B$5:$B$5004,$Q$6,Data!$D$5:$D$5004,$B34,Data!$F$5:$F$5004,$C34,Data!$G$5:$G$5004,"Gifted &amp; Talented")+ExOn*SUMIFS(مثال_Example!$Q$5:$Q$804,مثال_Example!$B$5:$B$804,$Q$6,مثال_Example!$D$5:$D$804,$B34,مثال_Example!$F$5:$F$804,$C34,مثال_Example!$G$5:$G$804,"Gifted &amp; Talented"))</f>
        <v>0</v>
      </c>
      <c r="J34" s="39" t="n">
        <f aca="false">(SUMIFS(Data!$Q$5:$Q$5004,Data!$B$5:$B$5004,$Q$6,Data!$D$5:$D$5004,$B34,Data!$F$5:$F$5004,$C34,Data!$G$5:$G$5004,"الإماراتيون (Emirati)")+ExOn*SUMIFS(مثال_Example!$Q$5:$Q$804,مثال_Example!$B$5:$B$804,$Q$6,مثال_Example!$D$5:$D$804,$B34,مثال_Example!$F$5:$F$804,$C34,مثال_Example!$G$5:$G$804,"الإماراتيون (Emirati)"))</f>
        <v>0</v>
      </c>
      <c r="K34" s="39" t="n">
        <f aca="false">(SUMIFS(Data!$T$5:$T$5004,Data!$B$5:$B$5004,$Q$6,Data!$D$5:$D$5004,$B34,Data!$F$5:$F$5004,$C34,Data!$G$5:$G$5004,"إجمالي الصف (All)")+ExOn*SUMIFS(مثال_Example!$T$5:$T$804,مثال_Example!$B$5:$B$804,$Q$6,مثال_Example!$D$5:$D$804,$B34,مثال_Example!$F$5:$F$804,$C34,مثال_Example!$G$5:$G$804,"إجمالي الصف (All)"))+(SUMIFS(Data!$U$5:$U$5004,Data!$B$5:$B$5004,$Q$6,Data!$D$5:$D$5004,$B34,Data!$F$5:$F$5004,$C34,Data!$G$5:$G$5004,"إجمالي الصف (All)")+ExOn*SUMIFS(مثال_Example!$U$5:$U$804,مثال_Example!$B$5:$B$804,$Q$6,مثال_Example!$D$5:$D$804,$B34,مثال_Example!$F$5:$F$804,$C34,مثال_Example!$G$5:$G$804,"إجمالي الصف (All)"))+(SUMIFS(Data!$V$5:$V$5004,Data!$B$5:$B$5004,$Q$6,Data!$D$5:$D$5004,$B34,Data!$F$5:$F$5004,$C34,Data!$G$5:$G$5004,"إجمالي الصف (All)")+ExOn*SUMIFS(مثال_Example!$V$5:$V$804,مثال_Example!$B$5:$B$804,$Q$6,مثال_Example!$D$5:$D$804,$B34,مثال_Example!$F$5:$F$804,$C34,مثال_Example!$G$5:$G$804,"إجمالي الصف (All)"))</f>
        <v>0</v>
      </c>
      <c r="L34" s="109" t="str">
        <f aca="false">IF(D34=0,IF(M34="","",M34),IF(M34="","OK",M34))</f>
        <v/>
      </c>
      <c r="M34" s="110" t="str">
        <f aca="false">IF(D34=0,IF(E34+F34+H34+I34+J34&gt;0,"⚠ مجموعات بلا إجمالي",""),TRIM(IF(AND(G34&gt;0,G34&lt;&gt;D34),"⚠ الأولاد+البنات ≠ الإجمالي · ","")&amp;IF(H34&gt;D34,"⚠ SEND &gt; الإجمالي · ","")&amp;IF(I34&gt;D34,"⚠ G&amp;T &gt; الإجمالي · ","")&amp;IF(J34&gt;D34,"⚠ الإماراتيون &gt; الإجمالي · ","")&amp;IF(K34&gt;D34,"⚠ حالات التقدم &gt; النتائج · ","")))</f>
        <v/>
      </c>
      <c r="N34" s="1"/>
    </row>
    <row r="35" customFormat="false" ht="15" hidden="false" customHeight="false" outlineLevel="0" collapsed="false">
      <c r="A35" s="1"/>
      <c r="B35" s="42" t="s">
        <v>176</v>
      </c>
      <c r="C35" s="42" t="s">
        <v>107</v>
      </c>
      <c r="D35" s="39" t="n">
        <f aca="false">(SUMIFS(Data!$Q$5:$Q$5004,Data!$B$5:$B$5004,$Q$6,Data!$D$5:$D$5004,$B35,Data!$F$5:$F$5004,$C35,Data!$G$5:$G$5004,"إجمالي الصف (All)")+ExOn*SUMIFS(مثال_Example!$Q$5:$Q$804,مثال_Example!$B$5:$B$804,$Q$6,مثال_Example!$D$5:$D$804,$B35,مثال_Example!$F$5:$F$804,$C35,مثال_Example!$G$5:$G$804,"إجمالي الصف (All)"))</f>
        <v>0</v>
      </c>
      <c r="E35" s="39" t="n">
        <f aca="false">(SUMIFS(Data!$Q$5:$Q$5004,Data!$B$5:$B$5004,$Q$6,Data!$D$5:$D$5004,$B35,Data!$F$5:$F$5004,$C35,Data!$G$5:$G$5004,"الأولاد (Boys)")+ExOn*SUMIFS(مثال_Example!$Q$5:$Q$804,مثال_Example!$B$5:$B$804,$Q$6,مثال_Example!$D$5:$D$804,$B35,مثال_Example!$F$5:$F$804,$C35,مثال_Example!$G$5:$G$804,"الأولاد (Boys)"))</f>
        <v>0</v>
      </c>
      <c r="F35" s="39" t="n">
        <f aca="false">(SUMIFS(Data!$Q$5:$Q$5004,Data!$B$5:$B$5004,$Q$6,Data!$D$5:$D$5004,$B35,Data!$F$5:$F$5004,$C35,Data!$G$5:$G$5004,"البنات (Girls)")+ExOn*SUMIFS(مثال_Example!$Q$5:$Q$804,مثال_Example!$B$5:$B$804,$Q$6,مثال_Example!$D$5:$D$804,$B35,مثال_Example!$F$5:$F$804,$C35,مثال_Example!$G$5:$G$804,"البنات (Girls)"))</f>
        <v>0</v>
      </c>
      <c r="G35" s="39" t="n">
        <f aca="false">E35+F35</f>
        <v>0</v>
      </c>
      <c r="H35" s="39" t="n">
        <f aca="false">(SUMIFS(Data!$Q$5:$Q$5004,Data!$B$5:$B$5004,$Q$6,Data!$D$5:$D$5004,$B35,Data!$F$5:$F$5004,$C35,Data!$G$5:$G$5004,"SEND")+ExOn*SUMIFS(مثال_Example!$Q$5:$Q$804,مثال_Example!$B$5:$B$804,$Q$6,مثال_Example!$D$5:$D$804,$B35,مثال_Example!$F$5:$F$804,$C35,مثال_Example!$G$5:$G$804,"SEND"))</f>
        <v>0</v>
      </c>
      <c r="I35" s="39" t="n">
        <f aca="false">(SUMIFS(Data!$Q$5:$Q$5004,Data!$B$5:$B$5004,$Q$6,Data!$D$5:$D$5004,$B35,Data!$F$5:$F$5004,$C35,Data!$G$5:$G$5004,"Gifted &amp; Talented")+ExOn*SUMIFS(مثال_Example!$Q$5:$Q$804,مثال_Example!$B$5:$B$804,$Q$6,مثال_Example!$D$5:$D$804,$B35,مثال_Example!$F$5:$F$804,$C35,مثال_Example!$G$5:$G$804,"Gifted &amp; Talented"))</f>
        <v>0</v>
      </c>
      <c r="J35" s="39" t="n">
        <f aca="false">(SUMIFS(Data!$Q$5:$Q$5004,Data!$B$5:$B$5004,$Q$6,Data!$D$5:$D$5004,$B35,Data!$F$5:$F$5004,$C35,Data!$G$5:$G$5004,"الإماراتيون (Emirati)")+ExOn*SUMIFS(مثال_Example!$Q$5:$Q$804,مثال_Example!$B$5:$B$804,$Q$6,مثال_Example!$D$5:$D$804,$B35,مثال_Example!$F$5:$F$804,$C35,مثال_Example!$G$5:$G$804,"الإماراتيون (Emirati)"))</f>
        <v>0</v>
      </c>
      <c r="K35" s="39" t="n">
        <f aca="false">(SUMIFS(Data!$T$5:$T$5004,Data!$B$5:$B$5004,$Q$6,Data!$D$5:$D$5004,$B35,Data!$F$5:$F$5004,$C35,Data!$G$5:$G$5004,"إجمالي الصف (All)")+ExOn*SUMIFS(مثال_Example!$T$5:$T$804,مثال_Example!$B$5:$B$804,$Q$6,مثال_Example!$D$5:$D$804,$B35,مثال_Example!$F$5:$F$804,$C35,مثال_Example!$G$5:$G$804,"إجمالي الصف (All)"))+(SUMIFS(Data!$U$5:$U$5004,Data!$B$5:$B$5004,$Q$6,Data!$D$5:$D$5004,$B35,Data!$F$5:$F$5004,$C35,Data!$G$5:$G$5004,"إجمالي الصف (All)")+ExOn*SUMIFS(مثال_Example!$U$5:$U$804,مثال_Example!$B$5:$B$804,$Q$6,مثال_Example!$D$5:$D$804,$B35,مثال_Example!$F$5:$F$804,$C35,مثال_Example!$G$5:$G$804,"إجمالي الصف (All)"))+(SUMIFS(Data!$V$5:$V$5004,Data!$B$5:$B$5004,$Q$6,Data!$D$5:$D$5004,$B35,Data!$F$5:$F$5004,$C35,Data!$G$5:$G$5004,"إجمالي الصف (All)")+ExOn*SUMIFS(مثال_Example!$V$5:$V$804,مثال_Example!$B$5:$B$804,$Q$6,مثال_Example!$D$5:$D$804,$B35,مثال_Example!$F$5:$F$804,$C35,مثال_Example!$G$5:$G$804,"إجمالي الصف (All)"))</f>
        <v>0</v>
      </c>
      <c r="L35" s="109" t="str">
        <f aca="false">IF(D35=0,IF(M35="","",M35),IF(M35="","OK",M35))</f>
        <v/>
      </c>
      <c r="M35" s="110" t="str">
        <f aca="false">IF(D35=0,IF(E35+F35+H35+I35+J35&gt;0,"⚠ مجموعات بلا إجمالي",""),TRIM(IF(AND(G35&gt;0,G35&lt;&gt;D35),"⚠ الأولاد+البنات ≠ الإجمالي · ","")&amp;IF(H35&gt;D35,"⚠ SEND &gt; الإجمالي · ","")&amp;IF(I35&gt;D35,"⚠ G&amp;T &gt; الإجمالي · ","")&amp;IF(J35&gt;D35,"⚠ الإماراتيون &gt; الإجمالي · ","")&amp;IF(K35&gt;D35,"⚠ حالات التقدم &gt; النتائج · ","")))</f>
        <v/>
      </c>
      <c r="N35" s="1"/>
    </row>
    <row r="36" customFormat="false" ht="15" hidden="false" customHeight="false" outlineLevel="0" collapsed="false">
      <c r="A36" s="1"/>
      <c r="B36" s="42" t="s">
        <v>176</v>
      </c>
      <c r="C36" s="42" t="s">
        <v>163</v>
      </c>
      <c r="D36" s="39" t="n">
        <f aca="false">(SUMIFS(Data!$Q$5:$Q$5004,Data!$B$5:$B$5004,$Q$6,Data!$D$5:$D$5004,$B36,Data!$F$5:$F$5004,$C36,Data!$G$5:$G$5004,"إجمالي الصف (All)")+ExOn*SUMIFS(مثال_Example!$Q$5:$Q$804,مثال_Example!$B$5:$B$804,$Q$6,مثال_Example!$D$5:$D$804,$B36,مثال_Example!$F$5:$F$804,$C36,مثال_Example!$G$5:$G$804,"إجمالي الصف (All)"))</f>
        <v>0</v>
      </c>
      <c r="E36" s="39" t="n">
        <f aca="false">(SUMIFS(Data!$Q$5:$Q$5004,Data!$B$5:$B$5004,$Q$6,Data!$D$5:$D$5004,$B36,Data!$F$5:$F$5004,$C36,Data!$G$5:$G$5004,"الأولاد (Boys)")+ExOn*SUMIFS(مثال_Example!$Q$5:$Q$804,مثال_Example!$B$5:$B$804,$Q$6,مثال_Example!$D$5:$D$804,$B36,مثال_Example!$F$5:$F$804,$C36,مثال_Example!$G$5:$G$804,"الأولاد (Boys)"))</f>
        <v>0</v>
      </c>
      <c r="F36" s="39" t="n">
        <f aca="false">(SUMIFS(Data!$Q$5:$Q$5004,Data!$B$5:$B$5004,$Q$6,Data!$D$5:$D$5004,$B36,Data!$F$5:$F$5004,$C36,Data!$G$5:$G$5004,"البنات (Girls)")+ExOn*SUMIFS(مثال_Example!$Q$5:$Q$804,مثال_Example!$B$5:$B$804,$Q$6,مثال_Example!$D$5:$D$804,$B36,مثال_Example!$F$5:$F$804,$C36,مثال_Example!$G$5:$G$804,"البنات (Girls)"))</f>
        <v>0</v>
      </c>
      <c r="G36" s="39" t="n">
        <f aca="false">E36+F36</f>
        <v>0</v>
      </c>
      <c r="H36" s="39" t="n">
        <f aca="false">(SUMIFS(Data!$Q$5:$Q$5004,Data!$B$5:$B$5004,$Q$6,Data!$D$5:$D$5004,$B36,Data!$F$5:$F$5004,$C36,Data!$G$5:$G$5004,"SEND")+ExOn*SUMIFS(مثال_Example!$Q$5:$Q$804,مثال_Example!$B$5:$B$804,$Q$6,مثال_Example!$D$5:$D$804,$B36,مثال_Example!$F$5:$F$804,$C36,مثال_Example!$G$5:$G$804,"SEND"))</f>
        <v>0</v>
      </c>
      <c r="I36" s="39" t="n">
        <f aca="false">(SUMIFS(Data!$Q$5:$Q$5004,Data!$B$5:$B$5004,$Q$6,Data!$D$5:$D$5004,$B36,Data!$F$5:$F$5004,$C36,Data!$G$5:$G$5004,"Gifted &amp; Talented")+ExOn*SUMIFS(مثال_Example!$Q$5:$Q$804,مثال_Example!$B$5:$B$804,$Q$6,مثال_Example!$D$5:$D$804,$B36,مثال_Example!$F$5:$F$804,$C36,مثال_Example!$G$5:$G$804,"Gifted &amp; Talented"))</f>
        <v>0</v>
      </c>
      <c r="J36" s="39" t="n">
        <f aca="false">(SUMIFS(Data!$Q$5:$Q$5004,Data!$B$5:$B$5004,$Q$6,Data!$D$5:$D$5004,$B36,Data!$F$5:$F$5004,$C36,Data!$G$5:$G$5004,"الإماراتيون (Emirati)")+ExOn*SUMIFS(مثال_Example!$Q$5:$Q$804,مثال_Example!$B$5:$B$804,$Q$6,مثال_Example!$D$5:$D$804,$B36,مثال_Example!$F$5:$F$804,$C36,مثال_Example!$G$5:$G$804,"الإماراتيون (Emirati)"))</f>
        <v>0</v>
      </c>
      <c r="K36" s="39" t="n">
        <f aca="false">(SUMIFS(Data!$T$5:$T$5004,Data!$B$5:$B$5004,$Q$6,Data!$D$5:$D$5004,$B36,Data!$F$5:$F$5004,$C36,Data!$G$5:$G$5004,"إجمالي الصف (All)")+ExOn*SUMIFS(مثال_Example!$T$5:$T$804,مثال_Example!$B$5:$B$804,$Q$6,مثال_Example!$D$5:$D$804,$B36,مثال_Example!$F$5:$F$804,$C36,مثال_Example!$G$5:$G$804,"إجمالي الصف (All)"))+(SUMIFS(Data!$U$5:$U$5004,Data!$B$5:$B$5004,$Q$6,Data!$D$5:$D$5004,$B36,Data!$F$5:$F$5004,$C36,Data!$G$5:$G$5004,"إجمالي الصف (All)")+ExOn*SUMIFS(مثال_Example!$U$5:$U$804,مثال_Example!$B$5:$B$804,$Q$6,مثال_Example!$D$5:$D$804,$B36,مثال_Example!$F$5:$F$804,$C36,مثال_Example!$G$5:$G$804,"إجمالي الصف (All)"))+(SUMIFS(Data!$V$5:$V$5004,Data!$B$5:$B$5004,$Q$6,Data!$D$5:$D$5004,$B36,Data!$F$5:$F$5004,$C36,Data!$G$5:$G$5004,"إجمالي الصف (All)")+ExOn*SUMIFS(مثال_Example!$V$5:$V$804,مثال_Example!$B$5:$B$804,$Q$6,مثال_Example!$D$5:$D$804,$B36,مثال_Example!$F$5:$F$804,$C36,مثال_Example!$G$5:$G$804,"إجمالي الصف (All)"))</f>
        <v>0</v>
      </c>
      <c r="L36" s="109" t="str">
        <f aca="false">IF(D36=0,IF(M36="","",M36),IF(M36="","OK",M36))</f>
        <v/>
      </c>
      <c r="M36" s="110" t="str">
        <f aca="false">IF(D36=0,IF(E36+F36+H36+I36+J36&gt;0,"⚠ مجموعات بلا إجمالي",""),TRIM(IF(AND(G36&gt;0,G36&lt;&gt;D36),"⚠ الأولاد+البنات ≠ الإجمالي · ","")&amp;IF(H36&gt;D36,"⚠ SEND &gt; الإجمالي · ","")&amp;IF(I36&gt;D36,"⚠ G&amp;T &gt; الإجمالي · ","")&amp;IF(J36&gt;D36,"⚠ الإماراتيون &gt; الإجمالي · ","")&amp;IF(K36&gt;D36,"⚠ حالات التقدم &gt; النتائج · ","")))</f>
        <v/>
      </c>
      <c r="N36" s="1"/>
    </row>
    <row r="37" customFormat="false" ht="15" hidden="false" customHeight="false" outlineLevel="0" collapsed="false">
      <c r="A37" s="1"/>
      <c r="B37" s="42" t="s">
        <v>176</v>
      </c>
      <c r="C37" s="42" t="s">
        <v>164</v>
      </c>
      <c r="D37" s="39" t="n">
        <f aca="false">(SUMIFS(Data!$Q$5:$Q$5004,Data!$B$5:$B$5004,$Q$6,Data!$D$5:$D$5004,$B37,Data!$F$5:$F$5004,$C37,Data!$G$5:$G$5004,"إجمالي الصف (All)")+ExOn*SUMIFS(مثال_Example!$Q$5:$Q$804,مثال_Example!$B$5:$B$804,$Q$6,مثال_Example!$D$5:$D$804,$B37,مثال_Example!$F$5:$F$804,$C37,مثال_Example!$G$5:$G$804,"إجمالي الصف (All)"))</f>
        <v>0</v>
      </c>
      <c r="E37" s="39" t="n">
        <f aca="false">(SUMIFS(Data!$Q$5:$Q$5004,Data!$B$5:$B$5004,$Q$6,Data!$D$5:$D$5004,$B37,Data!$F$5:$F$5004,$C37,Data!$G$5:$G$5004,"الأولاد (Boys)")+ExOn*SUMIFS(مثال_Example!$Q$5:$Q$804,مثال_Example!$B$5:$B$804,$Q$6,مثال_Example!$D$5:$D$804,$B37,مثال_Example!$F$5:$F$804,$C37,مثال_Example!$G$5:$G$804,"الأولاد (Boys)"))</f>
        <v>0</v>
      </c>
      <c r="F37" s="39" t="n">
        <f aca="false">(SUMIFS(Data!$Q$5:$Q$5004,Data!$B$5:$B$5004,$Q$6,Data!$D$5:$D$5004,$B37,Data!$F$5:$F$5004,$C37,Data!$G$5:$G$5004,"البنات (Girls)")+ExOn*SUMIFS(مثال_Example!$Q$5:$Q$804,مثال_Example!$B$5:$B$804,$Q$6,مثال_Example!$D$5:$D$804,$B37,مثال_Example!$F$5:$F$804,$C37,مثال_Example!$G$5:$G$804,"البنات (Girls)"))</f>
        <v>0</v>
      </c>
      <c r="G37" s="39" t="n">
        <f aca="false">E37+F37</f>
        <v>0</v>
      </c>
      <c r="H37" s="39" t="n">
        <f aca="false">(SUMIFS(Data!$Q$5:$Q$5004,Data!$B$5:$B$5004,$Q$6,Data!$D$5:$D$5004,$B37,Data!$F$5:$F$5004,$C37,Data!$G$5:$G$5004,"SEND")+ExOn*SUMIFS(مثال_Example!$Q$5:$Q$804,مثال_Example!$B$5:$B$804,$Q$6,مثال_Example!$D$5:$D$804,$B37,مثال_Example!$F$5:$F$804,$C37,مثال_Example!$G$5:$G$804,"SEND"))</f>
        <v>0</v>
      </c>
      <c r="I37" s="39" t="n">
        <f aca="false">(SUMIFS(Data!$Q$5:$Q$5004,Data!$B$5:$B$5004,$Q$6,Data!$D$5:$D$5004,$B37,Data!$F$5:$F$5004,$C37,Data!$G$5:$G$5004,"Gifted &amp; Talented")+ExOn*SUMIFS(مثال_Example!$Q$5:$Q$804,مثال_Example!$B$5:$B$804,$Q$6,مثال_Example!$D$5:$D$804,$B37,مثال_Example!$F$5:$F$804,$C37,مثال_Example!$G$5:$G$804,"Gifted &amp; Talented"))</f>
        <v>0</v>
      </c>
      <c r="J37" s="39" t="n">
        <f aca="false">(SUMIFS(Data!$Q$5:$Q$5004,Data!$B$5:$B$5004,$Q$6,Data!$D$5:$D$5004,$B37,Data!$F$5:$F$5004,$C37,Data!$G$5:$G$5004,"الإماراتيون (Emirati)")+ExOn*SUMIFS(مثال_Example!$Q$5:$Q$804,مثال_Example!$B$5:$B$804,$Q$6,مثال_Example!$D$5:$D$804,$B37,مثال_Example!$F$5:$F$804,$C37,مثال_Example!$G$5:$G$804,"الإماراتيون (Emirati)"))</f>
        <v>0</v>
      </c>
      <c r="K37" s="39" t="n">
        <f aca="false">(SUMIFS(Data!$T$5:$T$5004,Data!$B$5:$B$5004,$Q$6,Data!$D$5:$D$5004,$B37,Data!$F$5:$F$5004,$C37,Data!$G$5:$G$5004,"إجمالي الصف (All)")+ExOn*SUMIFS(مثال_Example!$T$5:$T$804,مثال_Example!$B$5:$B$804,$Q$6,مثال_Example!$D$5:$D$804,$B37,مثال_Example!$F$5:$F$804,$C37,مثال_Example!$G$5:$G$804,"إجمالي الصف (All)"))+(SUMIFS(Data!$U$5:$U$5004,Data!$B$5:$B$5004,$Q$6,Data!$D$5:$D$5004,$B37,Data!$F$5:$F$5004,$C37,Data!$G$5:$G$5004,"إجمالي الصف (All)")+ExOn*SUMIFS(مثال_Example!$U$5:$U$804,مثال_Example!$B$5:$B$804,$Q$6,مثال_Example!$D$5:$D$804,$B37,مثال_Example!$F$5:$F$804,$C37,مثال_Example!$G$5:$G$804,"إجمالي الصف (All)"))+(SUMIFS(Data!$V$5:$V$5004,Data!$B$5:$B$5004,$Q$6,Data!$D$5:$D$5004,$B37,Data!$F$5:$F$5004,$C37,Data!$G$5:$G$5004,"إجمالي الصف (All)")+ExOn*SUMIFS(مثال_Example!$V$5:$V$804,مثال_Example!$B$5:$B$804,$Q$6,مثال_Example!$D$5:$D$804,$B37,مثال_Example!$F$5:$F$804,$C37,مثال_Example!$G$5:$G$804,"إجمالي الصف (All)"))</f>
        <v>0</v>
      </c>
      <c r="L37" s="109" t="str">
        <f aca="false">IF(D37=0,IF(M37="","",M37),IF(M37="","OK",M37))</f>
        <v/>
      </c>
      <c r="M37" s="110" t="str">
        <f aca="false">IF(D37=0,IF(E37+F37+H37+I37+J37&gt;0,"⚠ مجموعات بلا إجمالي",""),TRIM(IF(AND(G37&gt;0,G37&lt;&gt;D37),"⚠ الأولاد+البنات ≠ الإجمالي · ","")&amp;IF(H37&gt;D37,"⚠ SEND &gt; الإجمالي · ","")&amp;IF(I37&gt;D37,"⚠ G&amp;T &gt; الإجمالي · ","")&amp;IF(J37&gt;D37,"⚠ الإماراتيون &gt; الإجمالي · ","")&amp;IF(K37&gt;D37,"⚠ حالات التقدم &gt; النتائج · ","")))</f>
        <v/>
      </c>
      <c r="N37" s="1"/>
    </row>
    <row r="38" customFormat="false" ht="15" hidden="false" customHeight="false" outlineLevel="0" collapsed="false">
      <c r="A38" s="1"/>
      <c r="B38" s="42" t="s">
        <v>177</v>
      </c>
      <c r="C38" s="42" t="s">
        <v>162</v>
      </c>
      <c r="D38" s="39" t="n">
        <f aca="false">(SUMIFS(Data!$Q$5:$Q$5004,Data!$B$5:$B$5004,$Q$6,Data!$D$5:$D$5004,$B38,Data!$F$5:$F$5004,$C38,Data!$G$5:$G$5004,"إجمالي الصف (All)")+ExOn*SUMIFS(مثال_Example!$Q$5:$Q$804,مثال_Example!$B$5:$B$804,$Q$6,مثال_Example!$D$5:$D$804,$B38,مثال_Example!$F$5:$F$804,$C38,مثال_Example!$G$5:$G$804,"إجمالي الصف (All)"))</f>
        <v>0</v>
      </c>
      <c r="E38" s="39" t="n">
        <f aca="false">(SUMIFS(Data!$Q$5:$Q$5004,Data!$B$5:$B$5004,$Q$6,Data!$D$5:$D$5004,$B38,Data!$F$5:$F$5004,$C38,Data!$G$5:$G$5004,"الأولاد (Boys)")+ExOn*SUMIFS(مثال_Example!$Q$5:$Q$804,مثال_Example!$B$5:$B$804,$Q$6,مثال_Example!$D$5:$D$804,$B38,مثال_Example!$F$5:$F$804,$C38,مثال_Example!$G$5:$G$804,"الأولاد (Boys)"))</f>
        <v>0</v>
      </c>
      <c r="F38" s="39" t="n">
        <f aca="false">(SUMIFS(Data!$Q$5:$Q$5004,Data!$B$5:$B$5004,$Q$6,Data!$D$5:$D$5004,$B38,Data!$F$5:$F$5004,$C38,Data!$G$5:$G$5004,"البنات (Girls)")+ExOn*SUMIFS(مثال_Example!$Q$5:$Q$804,مثال_Example!$B$5:$B$804,$Q$6,مثال_Example!$D$5:$D$804,$B38,مثال_Example!$F$5:$F$804,$C38,مثال_Example!$G$5:$G$804,"البنات (Girls)"))</f>
        <v>0</v>
      </c>
      <c r="G38" s="39" t="n">
        <f aca="false">E38+F38</f>
        <v>0</v>
      </c>
      <c r="H38" s="39" t="n">
        <f aca="false">(SUMIFS(Data!$Q$5:$Q$5004,Data!$B$5:$B$5004,$Q$6,Data!$D$5:$D$5004,$B38,Data!$F$5:$F$5004,$C38,Data!$G$5:$G$5004,"SEND")+ExOn*SUMIFS(مثال_Example!$Q$5:$Q$804,مثال_Example!$B$5:$B$804,$Q$6,مثال_Example!$D$5:$D$804,$B38,مثال_Example!$F$5:$F$804,$C38,مثال_Example!$G$5:$G$804,"SEND"))</f>
        <v>0</v>
      </c>
      <c r="I38" s="39" t="n">
        <f aca="false">(SUMIFS(Data!$Q$5:$Q$5004,Data!$B$5:$B$5004,$Q$6,Data!$D$5:$D$5004,$B38,Data!$F$5:$F$5004,$C38,Data!$G$5:$G$5004,"Gifted &amp; Talented")+ExOn*SUMIFS(مثال_Example!$Q$5:$Q$804,مثال_Example!$B$5:$B$804,$Q$6,مثال_Example!$D$5:$D$804,$B38,مثال_Example!$F$5:$F$804,$C38,مثال_Example!$G$5:$G$804,"Gifted &amp; Talented"))</f>
        <v>0</v>
      </c>
      <c r="J38" s="39" t="n">
        <f aca="false">(SUMIFS(Data!$Q$5:$Q$5004,Data!$B$5:$B$5004,$Q$6,Data!$D$5:$D$5004,$B38,Data!$F$5:$F$5004,$C38,Data!$G$5:$G$5004,"الإماراتيون (Emirati)")+ExOn*SUMIFS(مثال_Example!$Q$5:$Q$804,مثال_Example!$B$5:$B$804,$Q$6,مثال_Example!$D$5:$D$804,$B38,مثال_Example!$F$5:$F$804,$C38,مثال_Example!$G$5:$G$804,"الإماراتيون (Emirati)"))</f>
        <v>0</v>
      </c>
      <c r="K38" s="39" t="n">
        <f aca="false">(SUMIFS(Data!$T$5:$T$5004,Data!$B$5:$B$5004,$Q$6,Data!$D$5:$D$5004,$B38,Data!$F$5:$F$5004,$C38,Data!$G$5:$G$5004,"إجمالي الصف (All)")+ExOn*SUMIFS(مثال_Example!$T$5:$T$804,مثال_Example!$B$5:$B$804,$Q$6,مثال_Example!$D$5:$D$804,$B38,مثال_Example!$F$5:$F$804,$C38,مثال_Example!$G$5:$G$804,"إجمالي الصف (All)"))+(SUMIFS(Data!$U$5:$U$5004,Data!$B$5:$B$5004,$Q$6,Data!$D$5:$D$5004,$B38,Data!$F$5:$F$5004,$C38,Data!$G$5:$G$5004,"إجمالي الصف (All)")+ExOn*SUMIFS(مثال_Example!$U$5:$U$804,مثال_Example!$B$5:$B$804,$Q$6,مثال_Example!$D$5:$D$804,$B38,مثال_Example!$F$5:$F$804,$C38,مثال_Example!$G$5:$G$804,"إجمالي الصف (All)"))+(SUMIFS(Data!$V$5:$V$5004,Data!$B$5:$B$5004,$Q$6,Data!$D$5:$D$5004,$B38,Data!$F$5:$F$5004,$C38,Data!$G$5:$G$5004,"إجمالي الصف (All)")+ExOn*SUMIFS(مثال_Example!$V$5:$V$804,مثال_Example!$B$5:$B$804,$Q$6,مثال_Example!$D$5:$D$804,$B38,مثال_Example!$F$5:$F$804,$C38,مثال_Example!$G$5:$G$804,"إجمالي الصف (All)"))</f>
        <v>0</v>
      </c>
      <c r="L38" s="109" t="str">
        <f aca="false">IF(D38=0,IF(M38="","",M38),IF(M38="","OK",M38))</f>
        <v/>
      </c>
      <c r="M38" s="110" t="str">
        <f aca="false">IF(D38=0,IF(E38+F38+H38+I38+J38&gt;0,"⚠ مجموعات بلا إجمالي",""),TRIM(IF(AND(G38&gt;0,G38&lt;&gt;D38),"⚠ الأولاد+البنات ≠ الإجمالي · ","")&amp;IF(H38&gt;D38,"⚠ SEND &gt; الإجمالي · ","")&amp;IF(I38&gt;D38,"⚠ G&amp;T &gt; الإجمالي · ","")&amp;IF(J38&gt;D38,"⚠ الإماراتيون &gt; الإجمالي · ","")&amp;IF(K38&gt;D38,"⚠ حالات التقدم &gt; النتائج · ","")))</f>
        <v/>
      </c>
      <c r="N38" s="1"/>
    </row>
    <row r="39" customFormat="false" ht="15" hidden="false" customHeight="false" outlineLevel="0" collapsed="false">
      <c r="A39" s="1"/>
      <c r="B39" s="42" t="s">
        <v>177</v>
      </c>
      <c r="C39" s="42" t="s">
        <v>107</v>
      </c>
      <c r="D39" s="39" t="n">
        <f aca="false">(SUMIFS(Data!$Q$5:$Q$5004,Data!$B$5:$B$5004,$Q$6,Data!$D$5:$D$5004,$B39,Data!$F$5:$F$5004,$C39,Data!$G$5:$G$5004,"إجمالي الصف (All)")+ExOn*SUMIFS(مثال_Example!$Q$5:$Q$804,مثال_Example!$B$5:$B$804,$Q$6,مثال_Example!$D$5:$D$804,$B39,مثال_Example!$F$5:$F$804,$C39,مثال_Example!$G$5:$G$804,"إجمالي الصف (All)"))</f>
        <v>0</v>
      </c>
      <c r="E39" s="39" t="n">
        <f aca="false">(SUMIFS(Data!$Q$5:$Q$5004,Data!$B$5:$B$5004,$Q$6,Data!$D$5:$D$5004,$B39,Data!$F$5:$F$5004,$C39,Data!$G$5:$G$5004,"الأولاد (Boys)")+ExOn*SUMIFS(مثال_Example!$Q$5:$Q$804,مثال_Example!$B$5:$B$804,$Q$6,مثال_Example!$D$5:$D$804,$B39,مثال_Example!$F$5:$F$804,$C39,مثال_Example!$G$5:$G$804,"الأولاد (Boys)"))</f>
        <v>0</v>
      </c>
      <c r="F39" s="39" t="n">
        <f aca="false">(SUMIFS(Data!$Q$5:$Q$5004,Data!$B$5:$B$5004,$Q$6,Data!$D$5:$D$5004,$B39,Data!$F$5:$F$5004,$C39,Data!$G$5:$G$5004,"البنات (Girls)")+ExOn*SUMIFS(مثال_Example!$Q$5:$Q$804,مثال_Example!$B$5:$B$804,$Q$6,مثال_Example!$D$5:$D$804,$B39,مثال_Example!$F$5:$F$804,$C39,مثال_Example!$G$5:$G$804,"البنات (Girls)"))</f>
        <v>0</v>
      </c>
      <c r="G39" s="39" t="n">
        <f aca="false">E39+F39</f>
        <v>0</v>
      </c>
      <c r="H39" s="39" t="n">
        <f aca="false">(SUMIFS(Data!$Q$5:$Q$5004,Data!$B$5:$B$5004,$Q$6,Data!$D$5:$D$5004,$B39,Data!$F$5:$F$5004,$C39,Data!$G$5:$G$5004,"SEND")+ExOn*SUMIFS(مثال_Example!$Q$5:$Q$804,مثال_Example!$B$5:$B$804,$Q$6,مثال_Example!$D$5:$D$804,$B39,مثال_Example!$F$5:$F$804,$C39,مثال_Example!$G$5:$G$804,"SEND"))</f>
        <v>0</v>
      </c>
      <c r="I39" s="39" t="n">
        <f aca="false">(SUMIFS(Data!$Q$5:$Q$5004,Data!$B$5:$B$5004,$Q$6,Data!$D$5:$D$5004,$B39,Data!$F$5:$F$5004,$C39,Data!$G$5:$G$5004,"Gifted &amp; Talented")+ExOn*SUMIFS(مثال_Example!$Q$5:$Q$804,مثال_Example!$B$5:$B$804,$Q$6,مثال_Example!$D$5:$D$804,$B39,مثال_Example!$F$5:$F$804,$C39,مثال_Example!$G$5:$G$804,"Gifted &amp; Talented"))</f>
        <v>0</v>
      </c>
      <c r="J39" s="39" t="n">
        <f aca="false">(SUMIFS(Data!$Q$5:$Q$5004,Data!$B$5:$B$5004,$Q$6,Data!$D$5:$D$5004,$B39,Data!$F$5:$F$5004,$C39,Data!$G$5:$G$5004,"الإماراتيون (Emirati)")+ExOn*SUMIFS(مثال_Example!$Q$5:$Q$804,مثال_Example!$B$5:$B$804,$Q$6,مثال_Example!$D$5:$D$804,$B39,مثال_Example!$F$5:$F$804,$C39,مثال_Example!$G$5:$G$804,"الإماراتيون (Emirati)"))</f>
        <v>0</v>
      </c>
      <c r="K39" s="39" t="n">
        <f aca="false">(SUMIFS(Data!$T$5:$T$5004,Data!$B$5:$B$5004,$Q$6,Data!$D$5:$D$5004,$B39,Data!$F$5:$F$5004,$C39,Data!$G$5:$G$5004,"إجمالي الصف (All)")+ExOn*SUMIFS(مثال_Example!$T$5:$T$804,مثال_Example!$B$5:$B$804,$Q$6,مثال_Example!$D$5:$D$804,$B39,مثال_Example!$F$5:$F$804,$C39,مثال_Example!$G$5:$G$804,"إجمالي الصف (All)"))+(SUMIFS(Data!$U$5:$U$5004,Data!$B$5:$B$5004,$Q$6,Data!$D$5:$D$5004,$B39,Data!$F$5:$F$5004,$C39,Data!$G$5:$G$5004,"إجمالي الصف (All)")+ExOn*SUMIFS(مثال_Example!$U$5:$U$804,مثال_Example!$B$5:$B$804,$Q$6,مثال_Example!$D$5:$D$804,$B39,مثال_Example!$F$5:$F$804,$C39,مثال_Example!$G$5:$G$804,"إجمالي الصف (All)"))+(SUMIFS(Data!$V$5:$V$5004,Data!$B$5:$B$5004,$Q$6,Data!$D$5:$D$5004,$B39,Data!$F$5:$F$5004,$C39,Data!$G$5:$G$5004,"إجمالي الصف (All)")+ExOn*SUMIFS(مثال_Example!$V$5:$V$804,مثال_Example!$B$5:$B$804,$Q$6,مثال_Example!$D$5:$D$804,$B39,مثال_Example!$F$5:$F$804,$C39,مثال_Example!$G$5:$G$804,"إجمالي الصف (All)"))</f>
        <v>0</v>
      </c>
      <c r="L39" s="109" t="str">
        <f aca="false">IF(D39=0,IF(M39="","",M39),IF(M39="","OK",M39))</f>
        <v/>
      </c>
      <c r="M39" s="110" t="str">
        <f aca="false">IF(D39=0,IF(E39+F39+H39+I39+J39&gt;0,"⚠ مجموعات بلا إجمالي",""),TRIM(IF(AND(G39&gt;0,G39&lt;&gt;D39),"⚠ الأولاد+البنات ≠ الإجمالي · ","")&amp;IF(H39&gt;D39,"⚠ SEND &gt; الإجمالي · ","")&amp;IF(I39&gt;D39,"⚠ G&amp;T &gt; الإجمالي · ","")&amp;IF(J39&gt;D39,"⚠ الإماراتيون &gt; الإجمالي · ","")&amp;IF(K39&gt;D39,"⚠ حالات التقدم &gt; النتائج · ","")))</f>
        <v/>
      </c>
      <c r="N39" s="1"/>
    </row>
    <row r="40" customFormat="false" ht="15" hidden="false" customHeight="false" outlineLevel="0" collapsed="false">
      <c r="A40" s="1"/>
      <c r="B40" s="42" t="s">
        <v>177</v>
      </c>
      <c r="C40" s="42" t="s">
        <v>163</v>
      </c>
      <c r="D40" s="39" t="n">
        <f aca="false">(SUMIFS(Data!$Q$5:$Q$5004,Data!$B$5:$B$5004,$Q$6,Data!$D$5:$D$5004,$B40,Data!$F$5:$F$5004,$C40,Data!$G$5:$G$5004,"إجمالي الصف (All)")+ExOn*SUMIFS(مثال_Example!$Q$5:$Q$804,مثال_Example!$B$5:$B$804,$Q$6,مثال_Example!$D$5:$D$804,$B40,مثال_Example!$F$5:$F$804,$C40,مثال_Example!$G$5:$G$804,"إجمالي الصف (All)"))</f>
        <v>0</v>
      </c>
      <c r="E40" s="39" t="n">
        <f aca="false">(SUMIFS(Data!$Q$5:$Q$5004,Data!$B$5:$B$5004,$Q$6,Data!$D$5:$D$5004,$B40,Data!$F$5:$F$5004,$C40,Data!$G$5:$G$5004,"الأولاد (Boys)")+ExOn*SUMIFS(مثال_Example!$Q$5:$Q$804,مثال_Example!$B$5:$B$804,$Q$6,مثال_Example!$D$5:$D$804,$B40,مثال_Example!$F$5:$F$804,$C40,مثال_Example!$G$5:$G$804,"الأولاد (Boys)"))</f>
        <v>0</v>
      </c>
      <c r="F40" s="39" t="n">
        <f aca="false">(SUMIFS(Data!$Q$5:$Q$5004,Data!$B$5:$B$5004,$Q$6,Data!$D$5:$D$5004,$B40,Data!$F$5:$F$5004,$C40,Data!$G$5:$G$5004,"البنات (Girls)")+ExOn*SUMIFS(مثال_Example!$Q$5:$Q$804,مثال_Example!$B$5:$B$804,$Q$6,مثال_Example!$D$5:$D$804,$B40,مثال_Example!$F$5:$F$804,$C40,مثال_Example!$G$5:$G$804,"البنات (Girls)"))</f>
        <v>0</v>
      </c>
      <c r="G40" s="39" t="n">
        <f aca="false">E40+F40</f>
        <v>0</v>
      </c>
      <c r="H40" s="39" t="n">
        <f aca="false">(SUMIFS(Data!$Q$5:$Q$5004,Data!$B$5:$B$5004,$Q$6,Data!$D$5:$D$5004,$B40,Data!$F$5:$F$5004,$C40,Data!$G$5:$G$5004,"SEND")+ExOn*SUMIFS(مثال_Example!$Q$5:$Q$804,مثال_Example!$B$5:$B$804,$Q$6,مثال_Example!$D$5:$D$804,$B40,مثال_Example!$F$5:$F$804,$C40,مثال_Example!$G$5:$G$804,"SEND"))</f>
        <v>0</v>
      </c>
      <c r="I40" s="39" t="n">
        <f aca="false">(SUMIFS(Data!$Q$5:$Q$5004,Data!$B$5:$B$5004,$Q$6,Data!$D$5:$D$5004,$B40,Data!$F$5:$F$5004,$C40,Data!$G$5:$G$5004,"Gifted &amp; Talented")+ExOn*SUMIFS(مثال_Example!$Q$5:$Q$804,مثال_Example!$B$5:$B$804,$Q$6,مثال_Example!$D$5:$D$804,$B40,مثال_Example!$F$5:$F$804,$C40,مثال_Example!$G$5:$G$804,"Gifted &amp; Talented"))</f>
        <v>0</v>
      </c>
      <c r="J40" s="39" t="n">
        <f aca="false">(SUMIFS(Data!$Q$5:$Q$5004,Data!$B$5:$B$5004,$Q$6,Data!$D$5:$D$5004,$B40,Data!$F$5:$F$5004,$C40,Data!$G$5:$G$5004,"الإماراتيون (Emirati)")+ExOn*SUMIFS(مثال_Example!$Q$5:$Q$804,مثال_Example!$B$5:$B$804,$Q$6,مثال_Example!$D$5:$D$804,$B40,مثال_Example!$F$5:$F$804,$C40,مثال_Example!$G$5:$G$804,"الإماراتيون (Emirati)"))</f>
        <v>0</v>
      </c>
      <c r="K40" s="39" t="n">
        <f aca="false">(SUMIFS(Data!$T$5:$T$5004,Data!$B$5:$B$5004,$Q$6,Data!$D$5:$D$5004,$B40,Data!$F$5:$F$5004,$C40,Data!$G$5:$G$5004,"إجمالي الصف (All)")+ExOn*SUMIFS(مثال_Example!$T$5:$T$804,مثال_Example!$B$5:$B$804,$Q$6,مثال_Example!$D$5:$D$804,$B40,مثال_Example!$F$5:$F$804,$C40,مثال_Example!$G$5:$G$804,"إجمالي الصف (All)"))+(SUMIFS(Data!$U$5:$U$5004,Data!$B$5:$B$5004,$Q$6,Data!$D$5:$D$5004,$B40,Data!$F$5:$F$5004,$C40,Data!$G$5:$G$5004,"إجمالي الصف (All)")+ExOn*SUMIFS(مثال_Example!$U$5:$U$804,مثال_Example!$B$5:$B$804,$Q$6,مثال_Example!$D$5:$D$804,$B40,مثال_Example!$F$5:$F$804,$C40,مثال_Example!$G$5:$G$804,"إجمالي الصف (All)"))+(SUMIFS(Data!$V$5:$V$5004,Data!$B$5:$B$5004,$Q$6,Data!$D$5:$D$5004,$B40,Data!$F$5:$F$5004,$C40,Data!$G$5:$G$5004,"إجمالي الصف (All)")+ExOn*SUMIFS(مثال_Example!$V$5:$V$804,مثال_Example!$B$5:$B$804,$Q$6,مثال_Example!$D$5:$D$804,$B40,مثال_Example!$F$5:$F$804,$C40,مثال_Example!$G$5:$G$804,"إجمالي الصف (All)"))</f>
        <v>0</v>
      </c>
      <c r="L40" s="109" t="str">
        <f aca="false">IF(D40=0,IF(M40="","",M40),IF(M40="","OK",M40))</f>
        <v/>
      </c>
      <c r="M40" s="110" t="str">
        <f aca="false">IF(D40=0,IF(E40+F40+H40+I40+J40&gt;0,"⚠ مجموعات بلا إجمالي",""),TRIM(IF(AND(G40&gt;0,G40&lt;&gt;D40),"⚠ الأولاد+البنات ≠ الإجمالي · ","")&amp;IF(H40&gt;D40,"⚠ SEND &gt; الإجمالي · ","")&amp;IF(I40&gt;D40,"⚠ G&amp;T &gt; الإجمالي · ","")&amp;IF(J40&gt;D40,"⚠ الإماراتيون &gt; الإجمالي · ","")&amp;IF(K40&gt;D40,"⚠ حالات التقدم &gt; النتائج · ","")))</f>
        <v/>
      </c>
      <c r="N40" s="1"/>
    </row>
    <row r="41" customFormat="false" ht="15" hidden="false" customHeight="false" outlineLevel="0" collapsed="false">
      <c r="A41" s="1"/>
      <c r="B41" s="42" t="s">
        <v>177</v>
      </c>
      <c r="C41" s="42" t="s">
        <v>164</v>
      </c>
      <c r="D41" s="39" t="n">
        <f aca="false">(SUMIFS(Data!$Q$5:$Q$5004,Data!$B$5:$B$5004,$Q$6,Data!$D$5:$D$5004,$B41,Data!$F$5:$F$5004,$C41,Data!$G$5:$G$5004,"إجمالي الصف (All)")+ExOn*SUMIFS(مثال_Example!$Q$5:$Q$804,مثال_Example!$B$5:$B$804,$Q$6,مثال_Example!$D$5:$D$804,$B41,مثال_Example!$F$5:$F$804,$C41,مثال_Example!$G$5:$G$804,"إجمالي الصف (All)"))</f>
        <v>0</v>
      </c>
      <c r="E41" s="39" t="n">
        <f aca="false">(SUMIFS(Data!$Q$5:$Q$5004,Data!$B$5:$B$5004,$Q$6,Data!$D$5:$D$5004,$B41,Data!$F$5:$F$5004,$C41,Data!$G$5:$G$5004,"الأولاد (Boys)")+ExOn*SUMIFS(مثال_Example!$Q$5:$Q$804,مثال_Example!$B$5:$B$804,$Q$6,مثال_Example!$D$5:$D$804,$B41,مثال_Example!$F$5:$F$804,$C41,مثال_Example!$G$5:$G$804,"الأولاد (Boys)"))</f>
        <v>0</v>
      </c>
      <c r="F41" s="39" t="n">
        <f aca="false">(SUMIFS(Data!$Q$5:$Q$5004,Data!$B$5:$B$5004,$Q$6,Data!$D$5:$D$5004,$B41,Data!$F$5:$F$5004,$C41,Data!$G$5:$G$5004,"البنات (Girls)")+ExOn*SUMIFS(مثال_Example!$Q$5:$Q$804,مثال_Example!$B$5:$B$804,$Q$6,مثال_Example!$D$5:$D$804,$B41,مثال_Example!$F$5:$F$804,$C41,مثال_Example!$G$5:$G$804,"البنات (Girls)"))</f>
        <v>0</v>
      </c>
      <c r="G41" s="39" t="n">
        <f aca="false">E41+F41</f>
        <v>0</v>
      </c>
      <c r="H41" s="39" t="n">
        <f aca="false">(SUMIFS(Data!$Q$5:$Q$5004,Data!$B$5:$B$5004,$Q$6,Data!$D$5:$D$5004,$B41,Data!$F$5:$F$5004,$C41,Data!$G$5:$G$5004,"SEND")+ExOn*SUMIFS(مثال_Example!$Q$5:$Q$804,مثال_Example!$B$5:$B$804,$Q$6,مثال_Example!$D$5:$D$804,$B41,مثال_Example!$F$5:$F$804,$C41,مثال_Example!$G$5:$G$804,"SEND"))</f>
        <v>0</v>
      </c>
      <c r="I41" s="39" t="n">
        <f aca="false">(SUMIFS(Data!$Q$5:$Q$5004,Data!$B$5:$B$5004,$Q$6,Data!$D$5:$D$5004,$B41,Data!$F$5:$F$5004,$C41,Data!$G$5:$G$5004,"Gifted &amp; Talented")+ExOn*SUMIFS(مثال_Example!$Q$5:$Q$804,مثال_Example!$B$5:$B$804,$Q$6,مثال_Example!$D$5:$D$804,$B41,مثال_Example!$F$5:$F$804,$C41,مثال_Example!$G$5:$G$804,"Gifted &amp; Talented"))</f>
        <v>0</v>
      </c>
      <c r="J41" s="39" t="n">
        <f aca="false">(SUMIFS(Data!$Q$5:$Q$5004,Data!$B$5:$B$5004,$Q$6,Data!$D$5:$D$5004,$B41,Data!$F$5:$F$5004,$C41,Data!$G$5:$G$5004,"الإماراتيون (Emirati)")+ExOn*SUMIFS(مثال_Example!$Q$5:$Q$804,مثال_Example!$B$5:$B$804,$Q$6,مثال_Example!$D$5:$D$804,$B41,مثال_Example!$F$5:$F$804,$C41,مثال_Example!$G$5:$G$804,"الإماراتيون (Emirati)"))</f>
        <v>0</v>
      </c>
      <c r="K41" s="39" t="n">
        <f aca="false">(SUMIFS(Data!$T$5:$T$5004,Data!$B$5:$B$5004,$Q$6,Data!$D$5:$D$5004,$B41,Data!$F$5:$F$5004,$C41,Data!$G$5:$G$5004,"إجمالي الصف (All)")+ExOn*SUMIFS(مثال_Example!$T$5:$T$804,مثال_Example!$B$5:$B$804,$Q$6,مثال_Example!$D$5:$D$804,$B41,مثال_Example!$F$5:$F$804,$C41,مثال_Example!$G$5:$G$804,"إجمالي الصف (All)"))+(SUMIFS(Data!$U$5:$U$5004,Data!$B$5:$B$5004,$Q$6,Data!$D$5:$D$5004,$B41,Data!$F$5:$F$5004,$C41,Data!$G$5:$G$5004,"إجمالي الصف (All)")+ExOn*SUMIFS(مثال_Example!$U$5:$U$804,مثال_Example!$B$5:$B$804,$Q$6,مثال_Example!$D$5:$D$804,$B41,مثال_Example!$F$5:$F$804,$C41,مثال_Example!$G$5:$G$804,"إجمالي الصف (All)"))+(SUMIFS(Data!$V$5:$V$5004,Data!$B$5:$B$5004,$Q$6,Data!$D$5:$D$5004,$B41,Data!$F$5:$F$5004,$C41,Data!$G$5:$G$5004,"إجمالي الصف (All)")+ExOn*SUMIFS(مثال_Example!$V$5:$V$804,مثال_Example!$B$5:$B$804,$Q$6,مثال_Example!$D$5:$D$804,$B41,مثال_Example!$F$5:$F$804,$C41,مثال_Example!$G$5:$G$804,"إجمالي الصف (All)"))</f>
        <v>0</v>
      </c>
      <c r="L41" s="109" t="str">
        <f aca="false">IF(D41=0,IF(M41="","",M41),IF(M41="","OK",M41))</f>
        <v/>
      </c>
      <c r="M41" s="110" t="str">
        <f aca="false">IF(D41=0,IF(E41+F41+H41+I41+J41&gt;0,"⚠ مجموعات بلا إجمالي",""),TRIM(IF(AND(G41&gt;0,G41&lt;&gt;D41),"⚠ الأولاد+البنات ≠ الإجمالي · ","")&amp;IF(H41&gt;D41,"⚠ SEND &gt; الإجمالي · ","")&amp;IF(I41&gt;D41,"⚠ G&amp;T &gt; الإجمالي · ","")&amp;IF(J41&gt;D41,"⚠ الإماراتيون &gt; الإجمالي · ","")&amp;IF(K41&gt;D41,"⚠ حالات التقدم &gt; النتائج · ","")))</f>
        <v/>
      </c>
      <c r="N41" s="1"/>
    </row>
    <row r="42" customFormat="false" ht="15" hidden="false" customHeight="false" outlineLevel="0" collapsed="false">
      <c r="A42" s="1"/>
      <c r="B42" s="42" t="s">
        <v>178</v>
      </c>
      <c r="C42" s="42" t="s">
        <v>162</v>
      </c>
      <c r="D42" s="39" t="n">
        <f aca="false">(SUMIFS(Data!$Q$5:$Q$5004,Data!$B$5:$B$5004,$Q$6,Data!$D$5:$D$5004,$B42,Data!$F$5:$F$5004,$C42,Data!$G$5:$G$5004,"إجمالي الصف (All)")+ExOn*SUMIFS(مثال_Example!$Q$5:$Q$804,مثال_Example!$B$5:$B$804,$Q$6,مثال_Example!$D$5:$D$804,$B42,مثال_Example!$F$5:$F$804,$C42,مثال_Example!$G$5:$G$804,"إجمالي الصف (All)"))</f>
        <v>0</v>
      </c>
      <c r="E42" s="39" t="n">
        <f aca="false">(SUMIFS(Data!$Q$5:$Q$5004,Data!$B$5:$B$5004,$Q$6,Data!$D$5:$D$5004,$B42,Data!$F$5:$F$5004,$C42,Data!$G$5:$G$5004,"الأولاد (Boys)")+ExOn*SUMIFS(مثال_Example!$Q$5:$Q$804,مثال_Example!$B$5:$B$804,$Q$6,مثال_Example!$D$5:$D$804,$B42,مثال_Example!$F$5:$F$804,$C42,مثال_Example!$G$5:$G$804,"الأولاد (Boys)"))</f>
        <v>0</v>
      </c>
      <c r="F42" s="39" t="n">
        <f aca="false">(SUMIFS(Data!$Q$5:$Q$5004,Data!$B$5:$B$5004,$Q$6,Data!$D$5:$D$5004,$B42,Data!$F$5:$F$5004,$C42,Data!$G$5:$G$5004,"البنات (Girls)")+ExOn*SUMIFS(مثال_Example!$Q$5:$Q$804,مثال_Example!$B$5:$B$804,$Q$6,مثال_Example!$D$5:$D$804,$B42,مثال_Example!$F$5:$F$804,$C42,مثال_Example!$G$5:$G$804,"البنات (Girls)"))</f>
        <v>0</v>
      </c>
      <c r="G42" s="39" t="n">
        <f aca="false">E42+F42</f>
        <v>0</v>
      </c>
      <c r="H42" s="39" t="n">
        <f aca="false">(SUMIFS(Data!$Q$5:$Q$5004,Data!$B$5:$B$5004,$Q$6,Data!$D$5:$D$5004,$B42,Data!$F$5:$F$5004,$C42,Data!$G$5:$G$5004,"SEND")+ExOn*SUMIFS(مثال_Example!$Q$5:$Q$804,مثال_Example!$B$5:$B$804,$Q$6,مثال_Example!$D$5:$D$804,$B42,مثال_Example!$F$5:$F$804,$C42,مثال_Example!$G$5:$G$804,"SEND"))</f>
        <v>0</v>
      </c>
      <c r="I42" s="39" t="n">
        <f aca="false">(SUMIFS(Data!$Q$5:$Q$5004,Data!$B$5:$B$5004,$Q$6,Data!$D$5:$D$5004,$B42,Data!$F$5:$F$5004,$C42,Data!$G$5:$G$5004,"Gifted &amp; Talented")+ExOn*SUMIFS(مثال_Example!$Q$5:$Q$804,مثال_Example!$B$5:$B$804,$Q$6,مثال_Example!$D$5:$D$804,$B42,مثال_Example!$F$5:$F$804,$C42,مثال_Example!$G$5:$G$804,"Gifted &amp; Talented"))</f>
        <v>0</v>
      </c>
      <c r="J42" s="39" t="n">
        <f aca="false">(SUMIFS(Data!$Q$5:$Q$5004,Data!$B$5:$B$5004,$Q$6,Data!$D$5:$D$5004,$B42,Data!$F$5:$F$5004,$C42,Data!$G$5:$G$5004,"الإماراتيون (Emirati)")+ExOn*SUMIFS(مثال_Example!$Q$5:$Q$804,مثال_Example!$B$5:$B$804,$Q$6,مثال_Example!$D$5:$D$804,$B42,مثال_Example!$F$5:$F$804,$C42,مثال_Example!$G$5:$G$804,"الإماراتيون (Emirati)"))</f>
        <v>0</v>
      </c>
      <c r="K42" s="39" t="n">
        <f aca="false">(SUMIFS(Data!$T$5:$T$5004,Data!$B$5:$B$5004,$Q$6,Data!$D$5:$D$5004,$B42,Data!$F$5:$F$5004,$C42,Data!$G$5:$G$5004,"إجمالي الصف (All)")+ExOn*SUMIFS(مثال_Example!$T$5:$T$804,مثال_Example!$B$5:$B$804,$Q$6,مثال_Example!$D$5:$D$804,$B42,مثال_Example!$F$5:$F$804,$C42,مثال_Example!$G$5:$G$804,"إجمالي الصف (All)"))+(SUMIFS(Data!$U$5:$U$5004,Data!$B$5:$B$5004,$Q$6,Data!$D$5:$D$5004,$B42,Data!$F$5:$F$5004,$C42,Data!$G$5:$G$5004,"إجمالي الصف (All)")+ExOn*SUMIFS(مثال_Example!$U$5:$U$804,مثال_Example!$B$5:$B$804,$Q$6,مثال_Example!$D$5:$D$804,$B42,مثال_Example!$F$5:$F$804,$C42,مثال_Example!$G$5:$G$804,"إجمالي الصف (All)"))+(SUMIFS(Data!$V$5:$V$5004,Data!$B$5:$B$5004,$Q$6,Data!$D$5:$D$5004,$B42,Data!$F$5:$F$5004,$C42,Data!$G$5:$G$5004,"إجمالي الصف (All)")+ExOn*SUMIFS(مثال_Example!$V$5:$V$804,مثال_Example!$B$5:$B$804,$Q$6,مثال_Example!$D$5:$D$804,$B42,مثال_Example!$F$5:$F$804,$C42,مثال_Example!$G$5:$G$804,"إجمالي الصف (All)"))</f>
        <v>0</v>
      </c>
      <c r="L42" s="109" t="str">
        <f aca="false">IF(D42=0,IF(M42="","",M42),IF(M42="","OK",M42))</f>
        <v/>
      </c>
      <c r="M42" s="110" t="str">
        <f aca="false">IF(D42=0,IF(E42+F42+H42+I42+J42&gt;0,"⚠ مجموعات بلا إجمالي",""),TRIM(IF(AND(G42&gt;0,G42&lt;&gt;D42),"⚠ الأولاد+البنات ≠ الإجمالي · ","")&amp;IF(H42&gt;D42,"⚠ SEND &gt; الإجمالي · ","")&amp;IF(I42&gt;D42,"⚠ G&amp;T &gt; الإجمالي · ","")&amp;IF(J42&gt;D42,"⚠ الإماراتيون &gt; الإجمالي · ","")&amp;IF(K42&gt;D42,"⚠ حالات التقدم &gt; النتائج · ","")))</f>
        <v/>
      </c>
      <c r="N42" s="1"/>
    </row>
    <row r="43" customFormat="false" ht="15" hidden="false" customHeight="false" outlineLevel="0" collapsed="false">
      <c r="A43" s="1"/>
      <c r="B43" s="42" t="s">
        <v>178</v>
      </c>
      <c r="C43" s="42" t="s">
        <v>107</v>
      </c>
      <c r="D43" s="39" t="n">
        <f aca="false">(SUMIFS(Data!$Q$5:$Q$5004,Data!$B$5:$B$5004,$Q$6,Data!$D$5:$D$5004,$B43,Data!$F$5:$F$5004,$C43,Data!$G$5:$G$5004,"إجمالي الصف (All)")+ExOn*SUMIFS(مثال_Example!$Q$5:$Q$804,مثال_Example!$B$5:$B$804,$Q$6,مثال_Example!$D$5:$D$804,$B43,مثال_Example!$F$5:$F$804,$C43,مثال_Example!$G$5:$G$804,"إجمالي الصف (All)"))</f>
        <v>0</v>
      </c>
      <c r="E43" s="39" t="n">
        <f aca="false">(SUMIFS(Data!$Q$5:$Q$5004,Data!$B$5:$B$5004,$Q$6,Data!$D$5:$D$5004,$B43,Data!$F$5:$F$5004,$C43,Data!$G$5:$G$5004,"الأولاد (Boys)")+ExOn*SUMIFS(مثال_Example!$Q$5:$Q$804,مثال_Example!$B$5:$B$804,$Q$6,مثال_Example!$D$5:$D$804,$B43,مثال_Example!$F$5:$F$804,$C43,مثال_Example!$G$5:$G$804,"الأولاد (Boys)"))</f>
        <v>0</v>
      </c>
      <c r="F43" s="39" t="n">
        <f aca="false">(SUMIFS(Data!$Q$5:$Q$5004,Data!$B$5:$B$5004,$Q$6,Data!$D$5:$D$5004,$B43,Data!$F$5:$F$5004,$C43,Data!$G$5:$G$5004,"البنات (Girls)")+ExOn*SUMIFS(مثال_Example!$Q$5:$Q$804,مثال_Example!$B$5:$B$804,$Q$6,مثال_Example!$D$5:$D$804,$B43,مثال_Example!$F$5:$F$804,$C43,مثال_Example!$G$5:$G$804,"البنات (Girls)"))</f>
        <v>0</v>
      </c>
      <c r="G43" s="39" t="n">
        <f aca="false">E43+F43</f>
        <v>0</v>
      </c>
      <c r="H43" s="39" t="n">
        <f aca="false">(SUMIFS(Data!$Q$5:$Q$5004,Data!$B$5:$B$5004,$Q$6,Data!$D$5:$D$5004,$B43,Data!$F$5:$F$5004,$C43,Data!$G$5:$G$5004,"SEND")+ExOn*SUMIFS(مثال_Example!$Q$5:$Q$804,مثال_Example!$B$5:$B$804,$Q$6,مثال_Example!$D$5:$D$804,$B43,مثال_Example!$F$5:$F$804,$C43,مثال_Example!$G$5:$G$804,"SEND"))</f>
        <v>0</v>
      </c>
      <c r="I43" s="39" t="n">
        <f aca="false">(SUMIFS(Data!$Q$5:$Q$5004,Data!$B$5:$B$5004,$Q$6,Data!$D$5:$D$5004,$B43,Data!$F$5:$F$5004,$C43,Data!$G$5:$G$5004,"Gifted &amp; Talented")+ExOn*SUMIFS(مثال_Example!$Q$5:$Q$804,مثال_Example!$B$5:$B$804,$Q$6,مثال_Example!$D$5:$D$804,$B43,مثال_Example!$F$5:$F$804,$C43,مثال_Example!$G$5:$G$804,"Gifted &amp; Talented"))</f>
        <v>0</v>
      </c>
      <c r="J43" s="39" t="n">
        <f aca="false">(SUMIFS(Data!$Q$5:$Q$5004,Data!$B$5:$B$5004,$Q$6,Data!$D$5:$D$5004,$B43,Data!$F$5:$F$5004,$C43,Data!$G$5:$G$5004,"الإماراتيون (Emirati)")+ExOn*SUMIFS(مثال_Example!$Q$5:$Q$804,مثال_Example!$B$5:$B$804,$Q$6,مثال_Example!$D$5:$D$804,$B43,مثال_Example!$F$5:$F$804,$C43,مثال_Example!$G$5:$G$804,"الإماراتيون (Emirati)"))</f>
        <v>0</v>
      </c>
      <c r="K43" s="39" t="n">
        <f aca="false">(SUMIFS(Data!$T$5:$T$5004,Data!$B$5:$B$5004,$Q$6,Data!$D$5:$D$5004,$B43,Data!$F$5:$F$5004,$C43,Data!$G$5:$G$5004,"إجمالي الصف (All)")+ExOn*SUMIFS(مثال_Example!$T$5:$T$804,مثال_Example!$B$5:$B$804,$Q$6,مثال_Example!$D$5:$D$804,$B43,مثال_Example!$F$5:$F$804,$C43,مثال_Example!$G$5:$G$804,"إجمالي الصف (All)"))+(SUMIFS(Data!$U$5:$U$5004,Data!$B$5:$B$5004,$Q$6,Data!$D$5:$D$5004,$B43,Data!$F$5:$F$5004,$C43,Data!$G$5:$G$5004,"إجمالي الصف (All)")+ExOn*SUMIFS(مثال_Example!$U$5:$U$804,مثال_Example!$B$5:$B$804,$Q$6,مثال_Example!$D$5:$D$804,$B43,مثال_Example!$F$5:$F$804,$C43,مثال_Example!$G$5:$G$804,"إجمالي الصف (All)"))+(SUMIFS(Data!$V$5:$V$5004,Data!$B$5:$B$5004,$Q$6,Data!$D$5:$D$5004,$B43,Data!$F$5:$F$5004,$C43,Data!$G$5:$G$5004,"إجمالي الصف (All)")+ExOn*SUMIFS(مثال_Example!$V$5:$V$804,مثال_Example!$B$5:$B$804,$Q$6,مثال_Example!$D$5:$D$804,$B43,مثال_Example!$F$5:$F$804,$C43,مثال_Example!$G$5:$G$804,"إجمالي الصف (All)"))</f>
        <v>0</v>
      </c>
      <c r="L43" s="109" t="str">
        <f aca="false">IF(D43=0,IF(M43="","",M43),IF(M43="","OK",M43))</f>
        <v/>
      </c>
      <c r="M43" s="110" t="str">
        <f aca="false">IF(D43=0,IF(E43+F43+H43+I43+J43&gt;0,"⚠ مجموعات بلا إجمالي",""),TRIM(IF(AND(G43&gt;0,G43&lt;&gt;D43),"⚠ الأولاد+البنات ≠ الإجمالي · ","")&amp;IF(H43&gt;D43,"⚠ SEND &gt; الإجمالي · ","")&amp;IF(I43&gt;D43,"⚠ G&amp;T &gt; الإجمالي · ","")&amp;IF(J43&gt;D43,"⚠ الإماراتيون &gt; الإجمالي · ","")&amp;IF(K43&gt;D43,"⚠ حالات التقدم &gt; النتائج · ","")))</f>
        <v/>
      </c>
      <c r="N43" s="1"/>
    </row>
    <row r="44" customFormat="false" ht="15" hidden="false" customHeight="false" outlineLevel="0" collapsed="false">
      <c r="A44" s="1"/>
      <c r="B44" s="42" t="s">
        <v>178</v>
      </c>
      <c r="C44" s="42" t="s">
        <v>163</v>
      </c>
      <c r="D44" s="39" t="n">
        <f aca="false">(SUMIFS(Data!$Q$5:$Q$5004,Data!$B$5:$B$5004,$Q$6,Data!$D$5:$D$5004,$B44,Data!$F$5:$F$5004,$C44,Data!$G$5:$G$5004,"إجمالي الصف (All)")+ExOn*SUMIFS(مثال_Example!$Q$5:$Q$804,مثال_Example!$B$5:$B$804,$Q$6,مثال_Example!$D$5:$D$804,$B44,مثال_Example!$F$5:$F$804,$C44,مثال_Example!$G$5:$G$804,"إجمالي الصف (All)"))</f>
        <v>0</v>
      </c>
      <c r="E44" s="39" t="n">
        <f aca="false">(SUMIFS(Data!$Q$5:$Q$5004,Data!$B$5:$B$5004,$Q$6,Data!$D$5:$D$5004,$B44,Data!$F$5:$F$5004,$C44,Data!$G$5:$G$5004,"الأولاد (Boys)")+ExOn*SUMIFS(مثال_Example!$Q$5:$Q$804,مثال_Example!$B$5:$B$804,$Q$6,مثال_Example!$D$5:$D$804,$B44,مثال_Example!$F$5:$F$804,$C44,مثال_Example!$G$5:$G$804,"الأولاد (Boys)"))</f>
        <v>0</v>
      </c>
      <c r="F44" s="39" t="n">
        <f aca="false">(SUMIFS(Data!$Q$5:$Q$5004,Data!$B$5:$B$5004,$Q$6,Data!$D$5:$D$5004,$B44,Data!$F$5:$F$5004,$C44,Data!$G$5:$G$5004,"البنات (Girls)")+ExOn*SUMIFS(مثال_Example!$Q$5:$Q$804,مثال_Example!$B$5:$B$804,$Q$6,مثال_Example!$D$5:$D$804,$B44,مثال_Example!$F$5:$F$804,$C44,مثال_Example!$G$5:$G$804,"البنات (Girls)"))</f>
        <v>0</v>
      </c>
      <c r="G44" s="39" t="n">
        <f aca="false">E44+F44</f>
        <v>0</v>
      </c>
      <c r="H44" s="39" t="n">
        <f aca="false">(SUMIFS(Data!$Q$5:$Q$5004,Data!$B$5:$B$5004,$Q$6,Data!$D$5:$D$5004,$B44,Data!$F$5:$F$5004,$C44,Data!$G$5:$G$5004,"SEND")+ExOn*SUMIFS(مثال_Example!$Q$5:$Q$804,مثال_Example!$B$5:$B$804,$Q$6,مثال_Example!$D$5:$D$804,$B44,مثال_Example!$F$5:$F$804,$C44,مثال_Example!$G$5:$G$804,"SEND"))</f>
        <v>0</v>
      </c>
      <c r="I44" s="39" t="n">
        <f aca="false">(SUMIFS(Data!$Q$5:$Q$5004,Data!$B$5:$B$5004,$Q$6,Data!$D$5:$D$5004,$B44,Data!$F$5:$F$5004,$C44,Data!$G$5:$G$5004,"Gifted &amp; Talented")+ExOn*SUMIFS(مثال_Example!$Q$5:$Q$804,مثال_Example!$B$5:$B$804,$Q$6,مثال_Example!$D$5:$D$804,$B44,مثال_Example!$F$5:$F$804,$C44,مثال_Example!$G$5:$G$804,"Gifted &amp; Talented"))</f>
        <v>0</v>
      </c>
      <c r="J44" s="39" t="n">
        <f aca="false">(SUMIFS(Data!$Q$5:$Q$5004,Data!$B$5:$B$5004,$Q$6,Data!$D$5:$D$5004,$B44,Data!$F$5:$F$5004,$C44,Data!$G$5:$G$5004,"الإماراتيون (Emirati)")+ExOn*SUMIFS(مثال_Example!$Q$5:$Q$804,مثال_Example!$B$5:$B$804,$Q$6,مثال_Example!$D$5:$D$804,$B44,مثال_Example!$F$5:$F$804,$C44,مثال_Example!$G$5:$G$804,"الإماراتيون (Emirati)"))</f>
        <v>0</v>
      </c>
      <c r="K44" s="39" t="n">
        <f aca="false">(SUMIFS(Data!$T$5:$T$5004,Data!$B$5:$B$5004,$Q$6,Data!$D$5:$D$5004,$B44,Data!$F$5:$F$5004,$C44,Data!$G$5:$G$5004,"إجمالي الصف (All)")+ExOn*SUMIFS(مثال_Example!$T$5:$T$804,مثال_Example!$B$5:$B$804,$Q$6,مثال_Example!$D$5:$D$804,$B44,مثال_Example!$F$5:$F$804,$C44,مثال_Example!$G$5:$G$804,"إجمالي الصف (All)"))+(SUMIFS(Data!$U$5:$U$5004,Data!$B$5:$B$5004,$Q$6,Data!$D$5:$D$5004,$B44,Data!$F$5:$F$5004,$C44,Data!$G$5:$G$5004,"إجمالي الصف (All)")+ExOn*SUMIFS(مثال_Example!$U$5:$U$804,مثال_Example!$B$5:$B$804,$Q$6,مثال_Example!$D$5:$D$804,$B44,مثال_Example!$F$5:$F$804,$C44,مثال_Example!$G$5:$G$804,"إجمالي الصف (All)"))+(SUMIFS(Data!$V$5:$V$5004,Data!$B$5:$B$5004,$Q$6,Data!$D$5:$D$5004,$B44,Data!$F$5:$F$5004,$C44,Data!$G$5:$G$5004,"إجمالي الصف (All)")+ExOn*SUMIFS(مثال_Example!$V$5:$V$804,مثال_Example!$B$5:$B$804,$Q$6,مثال_Example!$D$5:$D$804,$B44,مثال_Example!$F$5:$F$804,$C44,مثال_Example!$G$5:$G$804,"إجمالي الصف (All)"))</f>
        <v>0</v>
      </c>
      <c r="L44" s="109" t="str">
        <f aca="false">IF(D44=0,IF(M44="","",M44),IF(M44="","OK",M44))</f>
        <v/>
      </c>
      <c r="M44" s="110" t="str">
        <f aca="false">IF(D44=0,IF(E44+F44+H44+I44+J44&gt;0,"⚠ مجموعات بلا إجمالي",""),TRIM(IF(AND(G44&gt;0,G44&lt;&gt;D44),"⚠ الأولاد+البنات ≠ الإجمالي · ","")&amp;IF(H44&gt;D44,"⚠ SEND &gt; الإجمالي · ","")&amp;IF(I44&gt;D44,"⚠ G&amp;T &gt; الإجمالي · ","")&amp;IF(J44&gt;D44,"⚠ الإماراتيون &gt; الإجمالي · ","")&amp;IF(K44&gt;D44,"⚠ حالات التقدم &gt; النتائج · ","")))</f>
        <v/>
      </c>
      <c r="N44" s="1"/>
    </row>
    <row r="45" customFormat="false" ht="15" hidden="false" customHeight="false" outlineLevel="0" collapsed="false">
      <c r="A45" s="1"/>
      <c r="B45" s="42" t="s">
        <v>178</v>
      </c>
      <c r="C45" s="42" t="s">
        <v>164</v>
      </c>
      <c r="D45" s="39" t="n">
        <f aca="false">(SUMIFS(Data!$Q$5:$Q$5004,Data!$B$5:$B$5004,$Q$6,Data!$D$5:$D$5004,$B45,Data!$F$5:$F$5004,$C45,Data!$G$5:$G$5004,"إجمالي الصف (All)")+ExOn*SUMIFS(مثال_Example!$Q$5:$Q$804,مثال_Example!$B$5:$B$804,$Q$6,مثال_Example!$D$5:$D$804,$B45,مثال_Example!$F$5:$F$804,$C45,مثال_Example!$G$5:$G$804,"إجمالي الصف (All)"))</f>
        <v>0</v>
      </c>
      <c r="E45" s="39" t="n">
        <f aca="false">(SUMIFS(Data!$Q$5:$Q$5004,Data!$B$5:$B$5004,$Q$6,Data!$D$5:$D$5004,$B45,Data!$F$5:$F$5004,$C45,Data!$G$5:$G$5004,"الأولاد (Boys)")+ExOn*SUMIFS(مثال_Example!$Q$5:$Q$804,مثال_Example!$B$5:$B$804,$Q$6,مثال_Example!$D$5:$D$804,$B45,مثال_Example!$F$5:$F$804,$C45,مثال_Example!$G$5:$G$804,"الأولاد (Boys)"))</f>
        <v>0</v>
      </c>
      <c r="F45" s="39" t="n">
        <f aca="false">(SUMIFS(Data!$Q$5:$Q$5004,Data!$B$5:$B$5004,$Q$6,Data!$D$5:$D$5004,$B45,Data!$F$5:$F$5004,$C45,Data!$G$5:$G$5004,"البنات (Girls)")+ExOn*SUMIFS(مثال_Example!$Q$5:$Q$804,مثال_Example!$B$5:$B$804,$Q$6,مثال_Example!$D$5:$D$804,$B45,مثال_Example!$F$5:$F$804,$C45,مثال_Example!$G$5:$G$804,"البنات (Girls)"))</f>
        <v>0</v>
      </c>
      <c r="G45" s="39" t="n">
        <f aca="false">E45+F45</f>
        <v>0</v>
      </c>
      <c r="H45" s="39" t="n">
        <f aca="false">(SUMIFS(Data!$Q$5:$Q$5004,Data!$B$5:$B$5004,$Q$6,Data!$D$5:$D$5004,$B45,Data!$F$5:$F$5004,$C45,Data!$G$5:$G$5004,"SEND")+ExOn*SUMIFS(مثال_Example!$Q$5:$Q$804,مثال_Example!$B$5:$B$804,$Q$6,مثال_Example!$D$5:$D$804,$B45,مثال_Example!$F$5:$F$804,$C45,مثال_Example!$G$5:$G$804,"SEND"))</f>
        <v>0</v>
      </c>
      <c r="I45" s="39" t="n">
        <f aca="false">(SUMIFS(Data!$Q$5:$Q$5004,Data!$B$5:$B$5004,$Q$6,Data!$D$5:$D$5004,$B45,Data!$F$5:$F$5004,$C45,Data!$G$5:$G$5004,"Gifted &amp; Talented")+ExOn*SUMIFS(مثال_Example!$Q$5:$Q$804,مثال_Example!$B$5:$B$804,$Q$6,مثال_Example!$D$5:$D$804,$B45,مثال_Example!$F$5:$F$804,$C45,مثال_Example!$G$5:$G$804,"Gifted &amp; Talented"))</f>
        <v>0</v>
      </c>
      <c r="J45" s="39" t="n">
        <f aca="false">(SUMIFS(Data!$Q$5:$Q$5004,Data!$B$5:$B$5004,$Q$6,Data!$D$5:$D$5004,$B45,Data!$F$5:$F$5004,$C45,Data!$G$5:$G$5004,"الإماراتيون (Emirati)")+ExOn*SUMIFS(مثال_Example!$Q$5:$Q$804,مثال_Example!$B$5:$B$804,$Q$6,مثال_Example!$D$5:$D$804,$B45,مثال_Example!$F$5:$F$804,$C45,مثال_Example!$G$5:$G$804,"الإماراتيون (Emirati)"))</f>
        <v>0</v>
      </c>
      <c r="K45" s="39" t="n">
        <f aca="false">(SUMIFS(Data!$T$5:$T$5004,Data!$B$5:$B$5004,$Q$6,Data!$D$5:$D$5004,$B45,Data!$F$5:$F$5004,$C45,Data!$G$5:$G$5004,"إجمالي الصف (All)")+ExOn*SUMIFS(مثال_Example!$T$5:$T$804,مثال_Example!$B$5:$B$804,$Q$6,مثال_Example!$D$5:$D$804,$B45,مثال_Example!$F$5:$F$804,$C45,مثال_Example!$G$5:$G$804,"إجمالي الصف (All)"))+(SUMIFS(Data!$U$5:$U$5004,Data!$B$5:$B$5004,$Q$6,Data!$D$5:$D$5004,$B45,Data!$F$5:$F$5004,$C45,Data!$G$5:$G$5004,"إجمالي الصف (All)")+ExOn*SUMIFS(مثال_Example!$U$5:$U$804,مثال_Example!$B$5:$B$804,$Q$6,مثال_Example!$D$5:$D$804,$B45,مثال_Example!$F$5:$F$804,$C45,مثال_Example!$G$5:$G$804,"إجمالي الصف (All)"))+(SUMIFS(Data!$V$5:$V$5004,Data!$B$5:$B$5004,$Q$6,Data!$D$5:$D$5004,$B45,Data!$F$5:$F$5004,$C45,Data!$G$5:$G$5004,"إجمالي الصف (All)")+ExOn*SUMIFS(مثال_Example!$V$5:$V$804,مثال_Example!$B$5:$B$804,$Q$6,مثال_Example!$D$5:$D$804,$B45,مثال_Example!$F$5:$F$804,$C45,مثال_Example!$G$5:$G$804,"إجمالي الصف (All)"))</f>
        <v>0</v>
      </c>
      <c r="L45" s="109" t="str">
        <f aca="false">IF(D45=0,IF(M45="","",M45),IF(M45="","OK",M45))</f>
        <v/>
      </c>
      <c r="M45" s="110" t="str">
        <f aca="false">IF(D45=0,IF(E45+F45+H45+I45+J45&gt;0,"⚠ مجموعات بلا إجمالي",""),TRIM(IF(AND(G45&gt;0,G45&lt;&gt;D45),"⚠ الأولاد+البنات ≠ الإجمالي · ","")&amp;IF(H45&gt;D45,"⚠ SEND &gt; الإجمالي · ","")&amp;IF(I45&gt;D45,"⚠ G&amp;T &gt; الإجمالي · ","")&amp;IF(J45&gt;D45,"⚠ الإماراتيون &gt; الإجمالي · ","")&amp;IF(K45&gt;D45,"⚠ حالات التقدم &gt; النتائج · ","")))</f>
        <v/>
      </c>
      <c r="N45" s="1"/>
    </row>
    <row r="46" customFormat="false" ht="15" hidden="false" customHeight="false" outlineLevel="0" collapsed="false">
      <c r="A46" s="1"/>
      <c r="B46" s="42" t="s">
        <v>179</v>
      </c>
      <c r="C46" s="42" t="s">
        <v>162</v>
      </c>
      <c r="D46" s="39" t="n">
        <f aca="false">(SUMIFS(Data!$Q$5:$Q$5004,Data!$B$5:$B$5004,$Q$6,Data!$D$5:$D$5004,$B46,Data!$F$5:$F$5004,$C46,Data!$G$5:$G$5004,"إجمالي الصف (All)")+ExOn*SUMIFS(مثال_Example!$Q$5:$Q$804,مثال_Example!$B$5:$B$804,$Q$6,مثال_Example!$D$5:$D$804,$B46,مثال_Example!$F$5:$F$804,$C46,مثال_Example!$G$5:$G$804,"إجمالي الصف (All)"))</f>
        <v>0</v>
      </c>
      <c r="E46" s="39" t="n">
        <f aca="false">(SUMIFS(Data!$Q$5:$Q$5004,Data!$B$5:$B$5004,$Q$6,Data!$D$5:$D$5004,$B46,Data!$F$5:$F$5004,$C46,Data!$G$5:$G$5004,"الأولاد (Boys)")+ExOn*SUMIFS(مثال_Example!$Q$5:$Q$804,مثال_Example!$B$5:$B$804,$Q$6,مثال_Example!$D$5:$D$804,$B46,مثال_Example!$F$5:$F$804,$C46,مثال_Example!$G$5:$G$804,"الأولاد (Boys)"))</f>
        <v>0</v>
      </c>
      <c r="F46" s="39" t="n">
        <f aca="false">(SUMIFS(Data!$Q$5:$Q$5004,Data!$B$5:$B$5004,$Q$6,Data!$D$5:$D$5004,$B46,Data!$F$5:$F$5004,$C46,Data!$G$5:$G$5004,"البنات (Girls)")+ExOn*SUMIFS(مثال_Example!$Q$5:$Q$804,مثال_Example!$B$5:$B$804,$Q$6,مثال_Example!$D$5:$D$804,$B46,مثال_Example!$F$5:$F$804,$C46,مثال_Example!$G$5:$G$804,"البنات (Girls)"))</f>
        <v>0</v>
      </c>
      <c r="G46" s="39" t="n">
        <f aca="false">E46+F46</f>
        <v>0</v>
      </c>
      <c r="H46" s="39" t="n">
        <f aca="false">(SUMIFS(Data!$Q$5:$Q$5004,Data!$B$5:$B$5004,$Q$6,Data!$D$5:$D$5004,$B46,Data!$F$5:$F$5004,$C46,Data!$G$5:$G$5004,"SEND")+ExOn*SUMIFS(مثال_Example!$Q$5:$Q$804,مثال_Example!$B$5:$B$804,$Q$6,مثال_Example!$D$5:$D$804,$B46,مثال_Example!$F$5:$F$804,$C46,مثال_Example!$G$5:$G$804,"SEND"))</f>
        <v>0</v>
      </c>
      <c r="I46" s="39" t="n">
        <f aca="false">(SUMIFS(Data!$Q$5:$Q$5004,Data!$B$5:$B$5004,$Q$6,Data!$D$5:$D$5004,$B46,Data!$F$5:$F$5004,$C46,Data!$G$5:$G$5004,"Gifted &amp; Talented")+ExOn*SUMIFS(مثال_Example!$Q$5:$Q$804,مثال_Example!$B$5:$B$804,$Q$6,مثال_Example!$D$5:$D$804,$B46,مثال_Example!$F$5:$F$804,$C46,مثال_Example!$G$5:$G$804,"Gifted &amp; Talented"))</f>
        <v>0</v>
      </c>
      <c r="J46" s="39" t="n">
        <f aca="false">(SUMIFS(Data!$Q$5:$Q$5004,Data!$B$5:$B$5004,$Q$6,Data!$D$5:$D$5004,$B46,Data!$F$5:$F$5004,$C46,Data!$G$5:$G$5004,"الإماراتيون (Emirati)")+ExOn*SUMIFS(مثال_Example!$Q$5:$Q$804,مثال_Example!$B$5:$B$804,$Q$6,مثال_Example!$D$5:$D$804,$B46,مثال_Example!$F$5:$F$804,$C46,مثال_Example!$G$5:$G$804,"الإماراتيون (Emirati)"))</f>
        <v>0</v>
      </c>
      <c r="K46" s="39" t="n">
        <f aca="false">(SUMIFS(Data!$T$5:$T$5004,Data!$B$5:$B$5004,$Q$6,Data!$D$5:$D$5004,$B46,Data!$F$5:$F$5004,$C46,Data!$G$5:$G$5004,"إجمالي الصف (All)")+ExOn*SUMIFS(مثال_Example!$T$5:$T$804,مثال_Example!$B$5:$B$804,$Q$6,مثال_Example!$D$5:$D$804,$B46,مثال_Example!$F$5:$F$804,$C46,مثال_Example!$G$5:$G$804,"إجمالي الصف (All)"))+(SUMIFS(Data!$U$5:$U$5004,Data!$B$5:$B$5004,$Q$6,Data!$D$5:$D$5004,$B46,Data!$F$5:$F$5004,$C46,Data!$G$5:$G$5004,"إجمالي الصف (All)")+ExOn*SUMIFS(مثال_Example!$U$5:$U$804,مثال_Example!$B$5:$B$804,$Q$6,مثال_Example!$D$5:$D$804,$B46,مثال_Example!$F$5:$F$804,$C46,مثال_Example!$G$5:$G$804,"إجمالي الصف (All)"))+(SUMIFS(Data!$V$5:$V$5004,Data!$B$5:$B$5004,$Q$6,Data!$D$5:$D$5004,$B46,Data!$F$5:$F$5004,$C46,Data!$G$5:$G$5004,"إجمالي الصف (All)")+ExOn*SUMIFS(مثال_Example!$V$5:$V$804,مثال_Example!$B$5:$B$804,$Q$6,مثال_Example!$D$5:$D$804,$B46,مثال_Example!$F$5:$F$804,$C46,مثال_Example!$G$5:$G$804,"إجمالي الصف (All)"))</f>
        <v>0</v>
      </c>
      <c r="L46" s="109" t="str">
        <f aca="false">IF(D46=0,IF(M46="","",M46),IF(M46="","OK",M46))</f>
        <v/>
      </c>
      <c r="M46" s="110" t="str">
        <f aca="false">IF(D46=0,IF(E46+F46+H46+I46+J46&gt;0,"⚠ مجموعات بلا إجمالي",""),TRIM(IF(AND(G46&gt;0,G46&lt;&gt;D46),"⚠ الأولاد+البنات ≠ الإجمالي · ","")&amp;IF(H46&gt;D46,"⚠ SEND &gt; الإجمالي · ","")&amp;IF(I46&gt;D46,"⚠ G&amp;T &gt; الإجمالي · ","")&amp;IF(J46&gt;D46,"⚠ الإماراتيون &gt; الإجمالي · ","")&amp;IF(K46&gt;D46,"⚠ حالات التقدم &gt; النتائج · ","")))</f>
        <v/>
      </c>
      <c r="N46" s="1"/>
    </row>
    <row r="47" customFormat="false" ht="15" hidden="false" customHeight="false" outlineLevel="0" collapsed="false">
      <c r="A47" s="1"/>
      <c r="B47" s="42" t="s">
        <v>179</v>
      </c>
      <c r="C47" s="42" t="s">
        <v>107</v>
      </c>
      <c r="D47" s="39" t="n">
        <f aca="false">(SUMIFS(Data!$Q$5:$Q$5004,Data!$B$5:$B$5004,$Q$6,Data!$D$5:$D$5004,$B47,Data!$F$5:$F$5004,$C47,Data!$G$5:$G$5004,"إجمالي الصف (All)")+ExOn*SUMIFS(مثال_Example!$Q$5:$Q$804,مثال_Example!$B$5:$B$804,$Q$6,مثال_Example!$D$5:$D$804,$B47,مثال_Example!$F$5:$F$804,$C47,مثال_Example!$G$5:$G$804,"إجمالي الصف (All)"))</f>
        <v>0</v>
      </c>
      <c r="E47" s="39" t="n">
        <f aca="false">(SUMIFS(Data!$Q$5:$Q$5004,Data!$B$5:$B$5004,$Q$6,Data!$D$5:$D$5004,$B47,Data!$F$5:$F$5004,$C47,Data!$G$5:$G$5004,"الأولاد (Boys)")+ExOn*SUMIFS(مثال_Example!$Q$5:$Q$804,مثال_Example!$B$5:$B$804,$Q$6,مثال_Example!$D$5:$D$804,$B47,مثال_Example!$F$5:$F$804,$C47,مثال_Example!$G$5:$G$804,"الأولاد (Boys)"))</f>
        <v>0</v>
      </c>
      <c r="F47" s="39" t="n">
        <f aca="false">(SUMIFS(Data!$Q$5:$Q$5004,Data!$B$5:$B$5004,$Q$6,Data!$D$5:$D$5004,$B47,Data!$F$5:$F$5004,$C47,Data!$G$5:$G$5004,"البنات (Girls)")+ExOn*SUMIFS(مثال_Example!$Q$5:$Q$804,مثال_Example!$B$5:$B$804,$Q$6,مثال_Example!$D$5:$D$804,$B47,مثال_Example!$F$5:$F$804,$C47,مثال_Example!$G$5:$G$804,"البنات (Girls)"))</f>
        <v>0</v>
      </c>
      <c r="G47" s="39" t="n">
        <f aca="false">E47+F47</f>
        <v>0</v>
      </c>
      <c r="H47" s="39" t="n">
        <f aca="false">(SUMIFS(Data!$Q$5:$Q$5004,Data!$B$5:$B$5004,$Q$6,Data!$D$5:$D$5004,$B47,Data!$F$5:$F$5004,$C47,Data!$G$5:$G$5004,"SEND")+ExOn*SUMIFS(مثال_Example!$Q$5:$Q$804,مثال_Example!$B$5:$B$804,$Q$6,مثال_Example!$D$5:$D$804,$B47,مثال_Example!$F$5:$F$804,$C47,مثال_Example!$G$5:$G$804,"SEND"))</f>
        <v>0</v>
      </c>
      <c r="I47" s="39" t="n">
        <f aca="false">(SUMIFS(Data!$Q$5:$Q$5004,Data!$B$5:$B$5004,$Q$6,Data!$D$5:$D$5004,$B47,Data!$F$5:$F$5004,$C47,Data!$G$5:$G$5004,"Gifted &amp; Talented")+ExOn*SUMIFS(مثال_Example!$Q$5:$Q$804,مثال_Example!$B$5:$B$804,$Q$6,مثال_Example!$D$5:$D$804,$B47,مثال_Example!$F$5:$F$804,$C47,مثال_Example!$G$5:$G$804,"Gifted &amp; Talented"))</f>
        <v>0</v>
      </c>
      <c r="J47" s="39" t="n">
        <f aca="false">(SUMIFS(Data!$Q$5:$Q$5004,Data!$B$5:$B$5004,$Q$6,Data!$D$5:$D$5004,$B47,Data!$F$5:$F$5004,$C47,Data!$G$5:$G$5004,"الإماراتيون (Emirati)")+ExOn*SUMIFS(مثال_Example!$Q$5:$Q$804,مثال_Example!$B$5:$B$804,$Q$6,مثال_Example!$D$5:$D$804,$B47,مثال_Example!$F$5:$F$804,$C47,مثال_Example!$G$5:$G$804,"الإماراتيون (Emirati)"))</f>
        <v>0</v>
      </c>
      <c r="K47" s="39" t="n">
        <f aca="false">(SUMIFS(Data!$T$5:$T$5004,Data!$B$5:$B$5004,$Q$6,Data!$D$5:$D$5004,$B47,Data!$F$5:$F$5004,$C47,Data!$G$5:$G$5004,"إجمالي الصف (All)")+ExOn*SUMIFS(مثال_Example!$T$5:$T$804,مثال_Example!$B$5:$B$804,$Q$6,مثال_Example!$D$5:$D$804,$B47,مثال_Example!$F$5:$F$804,$C47,مثال_Example!$G$5:$G$804,"إجمالي الصف (All)"))+(SUMIFS(Data!$U$5:$U$5004,Data!$B$5:$B$5004,$Q$6,Data!$D$5:$D$5004,$B47,Data!$F$5:$F$5004,$C47,Data!$G$5:$G$5004,"إجمالي الصف (All)")+ExOn*SUMIFS(مثال_Example!$U$5:$U$804,مثال_Example!$B$5:$B$804,$Q$6,مثال_Example!$D$5:$D$804,$B47,مثال_Example!$F$5:$F$804,$C47,مثال_Example!$G$5:$G$804,"إجمالي الصف (All)"))+(SUMIFS(Data!$V$5:$V$5004,Data!$B$5:$B$5004,$Q$6,Data!$D$5:$D$5004,$B47,Data!$F$5:$F$5004,$C47,Data!$G$5:$G$5004,"إجمالي الصف (All)")+ExOn*SUMIFS(مثال_Example!$V$5:$V$804,مثال_Example!$B$5:$B$804,$Q$6,مثال_Example!$D$5:$D$804,$B47,مثال_Example!$F$5:$F$804,$C47,مثال_Example!$G$5:$G$804,"إجمالي الصف (All)"))</f>
        <v>0</v>
      </c>
      <c r="L47" s="109" t="str">
        <f aca="false">IF(D47=0,IF(M47="","",M47),IF(M47="","OK",M47))</f>
        <v/>
      </c>
      <c r="M47" s="110" t="str">
        <f aca="false">IF(D47=0,IF(E47+F47+H47+I47+J47&gt;0,"⚠ مجموعات بلا إجمالي",""),TRIM(IF(AND(G47&gt;0,G47&lt;&gt;D47),"⚠ الأولاد+البنات ≠ الإجمالي · ","")&amp;IF(H47&gt;D47,"⚠ SEND &gt; الإجمالي · ","")&amp;IF(I47&gt;D47,"⚠ G&amp;T &gt; الإجمالي · ","")&amp;IF(J47&gt;D47,"⚠ الإماراتيون &gt; الإجمالي · ","")&amp;IF(K47&gt;D47,"⚠ حالات التقدم &gt; النتائج · ","")))</f>
        <v/>
      </c>
      <c r="N47" s="1"/>
    </row>
    <row r="48" customFormat="false" ht="15" hidden="false" customHeight="false" outlineLevel="0" collapsed="false">
      <c r="A48" s="1"/>
      <c r="B48" s="42" t="s">
        <v>179</v>
      </c>
      <c r="C48" s="42" t="s">
        <v>163</v>
      </c>
      <c r="D48" s="39" t="n">
        <f aca="false">(SUMIFS(Data!$Q$5:$Q$5004,Data!$B$5:$B$5004,$Q$6,Data!$D$5:$D$5004,$B48,Data!$F$5:$F$5004,$C48,Data!$G$5:$G$5004,"إجمالي الصف (All)")+ExOn*SUMIFS(مثال_Example!$Q$5:$Q$804,مثال_Example!$B$5:$B$804,$Q$6,مثال_Example!$D$5:$D$804,$B48,مثال_Example!$F$5:$F$804,$C48,مثال_Example!$G$5:$G$804,"إجمالي الصف (All)"))</f>
        <v>0</v>
      </c>
      <c r="E48" s="39" t="n">
        <f aca="false">(SUMIFS(Data!$Q$5:$Q$5004,Data!$B$5:$B$5004,$Q$6,Data!$D$5:$D$5004,$B48,Data!$F$5:$F$5004,$C48,Data!$G$5:$G$5004,"الأولاد (Boys)")+ExOn*SUMIFS(مثال_Example!$Q$5:$Q$804,مثال_Example!$B$5:$B$804,$Q$6,مثال_Example!$D$5:$D$804,$B48,مثال_Example!$F$5:$F$804,$C48,مثال_Example!$G$5:$G$804,"الأولاد (Boys)"))</f>
        <v>0</v>
      </c>
      <c r="F48" s="39" t="n">
        <f aca="false">(SUMIFS(Data!$Q$5:$Q$5004,Data!$B$5:$B$5004,$Q$6,Data!$D$5:$D$5004,$B48,Data!$F$5:$F$5004,$C48,Data!$G$5:$G$5004,"البنات (Girls)")+ExOn*SUMIFS(مثال_Example!$Q$5:$Q$804,مثال_Example!$B$5:$B$804,$Q$6,مثال_Example!$D$5:$D$804,$B48,مثال_Example!$F$5:$F$804,$C48,مثال_Example!$G$5:$G$804,"البنات (Girls)"))</f>
        <v>0</v>
      </c>
      <c r="G48" s="39" t="n">
        <f aca="false">E48+F48</f>
        <v>0</v>
      </c>
      <c r="H48" s="39" t="n">
        <f aca="false">(SUMIFS(Data!$Q$5:$Q$5004,Data!$B$5:$B$5004,$Q$6,Data!$D$5:$D$5004,$B48,Data!$F$5:$F$5004,$C48,Data!$G$5:$G$5004,"SEND")+ExOn*SUMIFS(مثال_Example!$Q$5:$Q$804,مثال_Example!$B$5:$B$804,$Q$6,مثال_Example!$D$5:$D$804,$B48,مثال_Example!$F$5:$F$804,$C48,مثال_Example!$G$5:$G$804,"SEND"))</f>
        <v>0</v>
      </c>
      <c r="I48" s="39" t="n">
        <f aca="false">(SUMIFS(Data!$Q$5:$Q$5004,Data!$B$5:$B$5004,$Q$6,Data!$D$5:$D$5004,$B48,Data!$F$5:$F$5004,$C48,Data!$G$5:$G$5004,"Gifted &amp; Talented")+ExOn*SUMIFS(مثال_Example!$Q$5:$Q$804,مثال_Example!$B$5:$B$804,$Q$6,مثال_Example!$D$5:$D$804,$B48,مثال_Example!$F$5:$F$804,$C48,مثال_Example!$G$5:$G$804,"Gifted &amp; Talented"))</f>
        <v>0</v>
      </c>
      <c r="J48" s="39" t="n">
        <f aca="false">(SUMIFS(Data!$Q$5:$Q$5004,Data!$B$5:$B$5004,$Q$6,Data!$D$5:$D$5004,$B48,Data!$F$5:$F$5004,$C48,Data!$G$5:$G$5004,"الإماراتيون (Emirati)")+ExOn*SUMIFS(مثال_Example!$Q$5:$Q$804,مثال_Example!$B$5:$B$804,$Q$6,مثال_Example!$D$5:$D$804,$B48,مثال_Example!$F$5:$F$804,$C48,مثال_Example!$G$5:$G$804,"الإماراتيون (Emirati)"))</f>
        <v>0</v>
      </c>
      <c r="K48" s="39" t="n">
        <f aca="false">(SUMIFS(Data!$T$5:$T$5004,Data!$B$5:$B$5004,$Q$6,Data!$D$5:$D$5004,$B48,Data!$F$5:$F$5004,$C48,Data!$G$5:$G$5004,"إجمالي الصف (All)")+ExOn*SUMIFS(مثال_Example!$T$5:$T$804,مثال_Example!$B$5:$B$804,$Q$6,مثال_Example!$D$5:$D$804,$B48,مثال_Example!$F$5:$F$804,$C48,مثال_Example!$G$5:$G$804,"إجمالي الصف (All)"))+(SUMIFS(Data!$U$5:$U$5004,Data!$B$5:$B$5004,$Q$6,Data!$D$5:$D$5004,$B48,Data!$F$5:$F$5004,$C48,Data!$G$5:$G$5004,"إجمالي الصف (All)")+ExOn*SUMIFS(مثال_Example!$U$5:$U$804,مثال_Example!$B$5:$B$804,$Q$6,مثال_Example!$D$5:$D$804,$B48,مثال_Example!$F$5:$F$804,$C48,مثال_Example!$G$5:$G$804,"إجمالي الصف (All)"))+(SUMIFS(Data!$V$5:$V$5004,Data!$B$5:$B$5004,$Q$6,Data!$D$5:$D$5004,$B48,Data!$F$5:$F$5004,$C48,Data!$G$5:$G$5004,"إجمالي الصف (All)")+ExOn*SUMIFS(مثال_Example!$V$5:$V$804,مثال_Example!$B$5:$B$804,$Q$6,مثال_Example!$D$5:$D$804,$B48,مثال_Example!$F$5:$F$804,$C48,مثال_Example!$G$5:$G$804,"إجمالي الصف (All)"))</f>
        <v>0</v>
      </c>
      <c r="L48" s="109" t="str">
        <f aca="false">IF(D48=0,IF(M48="","",M48),IF(M48="","OK",M48))</f>
        <v/>
      </c>
      <c r="M48" s="110" t="str">
        <f aca="false">IF(D48=0,IF(E48+F48+H48+I48+J48&gt;0,"⚠ مجموعات بلا إجمالي",""),TRIM(IF(AND(G48&gt;0,G48&lt;&gt;D48),"⚠ الأولاد+البنات ≠ الإجمالي · ","")&amp;IF(H48&gt;D48,"⚠ SEND &gt; الإجمالي · ","")&amp;IF(I48&gt;D48,"⚠ G&amp;T &gt; الإجمالي · ","")&amp;IF(J48&gt;D48,"⚠ الإماراتيون &gt; الإجمالي · ","")&amp;IF(K48&gt;D48,"⚠ حالات التقدم &gt; النتائج · ","")))</f>
        <v/>
      </c>
      <c r="N48" s="1"/>
    </row>
    <row r="49" customFormat="false" ht="15" hidden="false" customHeight="false" outlineLevel="0" collapsed="false">
      <c r="A49" s="1"/>
      <c r="B49" s="42" t="s">
        <v>179</v>
      </c>
      <c r="C49" s="42" t="s">
        <v>164</v>
      </c>
      <c r="D49" s="39" t="n">
        <f aca="false">(SUMIFS(Data!$Q$5:$Q$5004,Data!$B$5:$B$5004,$Q$6,Data!$D$5:$D$5004,$B49,Data!$F$5:$F$5004,$C49,Data!$G$5:$G$5004,"إجمالي الصف (All)")+ExOn*SUMIFS(مثال_Example!$Q$5:$Q$804,مثال_Example!$B$5:$B$804,$Q$6,مثال_Example!$D$5:$D$804,$B49,مثال_Example!$F$5:$F$804,$C49,مثال_Example!$G$5:$G$804,"إجمالي الصف (All)"))</f>
        <v>0</v>
      </c>
      <c r="E49" s="39" t="n">
        <f aca="false">(SUMIFS(Data!$Q$5:$Q$5004,Data!$B$5:$B$5004,$Q$6,Data!$D$5:$D$5004,$B49,Data!$F$5:$F$5004,$C49,Data!$G$5:$G$5004,"الأولاد (Boys)")+ExOn*SUMIFS(مثال_Example!$Q$5:$Q$804,مثال_Example!$B$5:$B$804,$Q$6,مثال_Example!$D$5:$D$804,$B49,مثال_Example!$F$5:$F$804,$C49,مثال_Example!$G$5:$G$804,"الأولاد (Boys)"))</f>
        <v>0</v>
      </c>
      <c r="F49" s="39" t="n">
        <f aca="false">(SUMIFS(Data!$Q$5:$Q$5004,Data!$B$5:$B$5004,$Q$6,Data!$D$5:$D$5004,$B49,Data!$F$5:$F$5004,$C49,Data!$G$5:$G$5004,"البنات (Girls)")+ExOn*SUMIFS(مثال_Example!$Q$5:$Q$804,مثال_Example!$B$5:$B$804,$Q$6,مثال_Example!$D$5:$D$804,$B49,مثال_Example!$F$5:$F$804,$C49,مثال_Example!$G$5:$G$804,"البنات (Girls)"))</f>
        <v>0</v>
      </c>
      <c r="G49" s="39" t="n">
        <f aca="false">E49+F49</f>
        <v>0</v>
      </c>
      <c r="H49" s="39" t="n">
        <f aca="false">(SUMIFS(Data!$Q$5:$Q$5004,Data!$B$5:$B$5004,$Q$6,Data!$D$5:$D$5004,$B49,Data!$F$5:$F$5004,$C49,Data!$G$5:$G$5004,"SEND")+ExOn*SUMIFS(مثال_Example!$Q$5:$Q$804,مثال_Example!$B$5:$B$804,$Q$6,مثال_Example!$D$5:$D$804,$B49,مثال_Example!$F$5:$F$804,$C49,مثال_Example!$G$5:$G$804,"SEND"))</f>
        <v>0</v>
      </c>
      <c r="I49" s="39" t="n">
        <f aca="false">(SUMIFS(Data!$Q$5:$Q$5004,Data!$B$5:$B$5004,$Q$6,Data!$D$5:$D$5004,$B49,Data!$F$5:$F$5004,$C49,Data!$G$5:$G$5004,"Gifted &amp; Talented")+ExOn*SUMIFS(مثال_Example!$Q$5:$Q$804,مثال_Example!$B$5:$B$804,$Q$6,مثال_Example!$D$5:$D$804,$B49,مثال_Example!$F$5:$F$804,$C49,مثال_Example!$G$5:$G$804,"Gifted &amp; Talented"))</f>
        <v>0</v>
      </c>
      <c r="J49" s="39" t="n">
        <f aca="false">(SUMIFS(Data!$Q$5:$Q$5004,Data!$B$5:$B$5004,$Q$6,Data!$D$5:$D$5004,$B49,Data!$F$5:$F$5004,$C49,Data!$G$5:$G$5004,"الإماراتيون (Emirati)")+ExOn*SUMIFS(مثال_Example!$Q$5:$Q$804,مثال_Example!$B$5:$B$804,$Q$6,مثال_Example!$D$5:$D$804,$B49,مثال_Example!$F$5:$F$804,$C49,مثال_Example!$G$5:$G$804,"الإماراتيون (Emirati)"))</f>
        <v>0</v>
      </c>
      <c r="K49" s="39" t="n">
        <f aca="false">(SUMIFS(Data!$T$5:$T$5004,Data!$B$5:$B$5004,$Q$6,Data!$D$5:$D$5004,$B49,Data!$F$5:$F$5004,$C49,Data!$G$5:$G$5004,"إجمالي الصف (All)")+ExOn*SUMIFS(مثال_Example!$T$5:$T$804,مثال_Example!$B$5:$B$804,$Q$6,مثال_Example!$D$5:$D$804,$B49,مثال_Example!$F$5:$F$804,$C49,مثال_Example!$G$5:$G$804,"إجمالي الصف (All)"))+(SUMIFS(Data!$U$5:$U$5004,Data!$B$5:$B$5004,$Q$6,Data!$D$5:$D$5004,$B49,Data!$F$5:$F$5004,$C49,Data!$G$5:$G$5004,"إجمالي الصف (All)")+ExOn*SUMIFS(مثال_Example!$U$5:$U$804,مثال_Example!$B$5:$B$804,$Q$6,مثال_Example!$D$5:$D$804,$B49,مثال_Example!$F$5:$F$804,$C49,مثال_Example!$G$5:$G$804,"إجمالي الصف (All)"))+(SUMIFS(Data!$V$5:$V$5004,Data!$B$5:$B$5004,$Q$6,Data!$D$5:$D$5004,$B49,Data!$F$5:$F$5004,$C49,Data!$G$5:$G$5004,"إجمالي الصف (All)")+ExOn*SUMIFS(مثال_Example!$V$5:$V$804,مثال_Example!$B$5:$B$804,$Q$6,مثال_Example!$D$5:$D$804,$B49,مثال_Example!$F$5:$F$804,$C49,مثال_Example!$G$5:$G$804,"إجمالي الصف (All)"))</f>
        <v>0</v>
      </c>
      <c r="L49" s="109" t="str">
        <f aca="false">IF(D49=0,IF(M49="","",M49),IF(M49="","OK",M49))</f>
        <v/>
      </c>
      <c r="M49" s="110" t="str">
        <f aca="false">IF(D49=0,IF(E49+F49+H49+I49+J49&gt;0,"⚠ مجموعات بلا إجمالي",""),TRIM(IF(AND(G49&gt;0,G49&lt;&gt;D49),"⚠ الأولاد+البنات ≠ الإجمالي · ","")&amp;IF(H49&gt;D49,"⚠ SEND &gt; الإجمالي · ","")&amp;IF(I49&gt;D49,"⚠ G&amp;T &gt; الإجمالي · ","")&amp;IF(J49&gt;D49,"⚠ الإماراتيون &gt; الإجمالي · ","")&amp;IF(K49&gt;D49,"⚠ حالات التقدم &gt; النتائج · ","")))</f>
        <v/>
      </c>
      <c r="N49" s="1"/>
    </row>
    <row r="50" customFormat="false" ht="15" hidden="false" customHeight="false" outlineLevel="0" collapsed="false">
      <c r="A50" s="1"/>
      <c r="B50" s="42" t="s">
        <v>180</v>
      </c>
      <c r="C50" s="42" t="s">
        <v>162</v>
      </c>
      <c r="D50" s="39" t="n">
        <f aca="false">(SUMIFS(Data!$Q$5:$Q$5004,Data!$B$5:$B$5004,$Q$6,Data!$D$5:$D$5004,$B50,Data!$F$5:$F$5004,$C50,Data!$G$5:$G$5004,"إجمالي الصف (All)")+ExOn*SUMIFS(مثال_Example!$Q$5:$Q$804,مثال_Example!$B$5:$B$804,$Q$6,مثال_Example!$D$5:$D$804,$B50,مثال_Example!$F$5:$F$804,$C50,مثال_Example!$G$5:$G$804,"إجمالي الصف (All)"))</f>
        <v>0</v>
      </c>
      <c r="E50" s="39" t="n">
        <f aca="false">(SUMIFS(Data!$Q$5:$Q$5004,Data!$B$5:$B$5004,$Q$6,Data!$D$5:$D$5004,$B50,Data!$F$5:$F$5004,$C50,Data!$G$5:$G$5004,"الأولاد (Boys)")+ExOn*SUMIFS(مثال_Example!$Q$5:$Q$804,مثال_Example!$B$5:$B$804,$Q$6,مثال_Example!$D$5:$D$804,$B50,مثال_Example!$F$5:$F$804,$C50,مثال_Example!$G$5:$G$804,"الأولاد (Boys)"))</f>
        <v>0</v>
      </c>
      <c r="F50" s="39" t="n">
        <f aca="false">(SUMIFS(Data!$Q$5:$Q$5004,Data!$B$5:$B$5004,$Q$6,Data!$D$5:$D$5004,$B50,Data!$F$5:$F$5004,$C50,Data!$G$5:$G$5004,"البنات (Girls)")+ExOn*SUMIFS(مثال_Example!$Q$5:$Q$804,مثال_Example!$B$5:$B$804,$Q$6,مثال_Example!$D$5:$D$804,$B50,مثال_Example!$F$5:$F$804,$C50,مثال_Example!$G$5:$G$804,"البنات (Girls)"))</f>
        <v>0</v>
      </c>
      <c r="G50" s="39" t="n">
        <f aca="false">E50+F50</f>
        <v>0</v>
      </c>
      <c r="H50" s="39" t="n">
        <f aca="false">(SUMIFS(Data!$Q$5:$Q$5004,Data!$B$5:$B$5004,$Q$6,Data!$D$5:$D$5004,$B50,Data!$F$5:$F$5004,$C50,Data!$G$5:$G$5004,"SEND")+ExOn*SUMIFS(مثال_Example!$Q$5:$Q$804,مثال_Example!$B$5:$B$804,$Q$6,مثال_Example!$D$5:$D$804,$B50,مثال_Example!$F$5:$F$804,$C50,مثال_Example!$G$5:$G$804,"SEND"))</f>
        <v>0</v>
      </c>
      <c r="I50" s="39" t="n">
        <f aca="false">(SUMIFS(Data!$Q$5:$Q$5004,Data!$B$5:$B$5004,$Q$6,Data!$D$5:$D$5004,$B50,Data!$F$5:$F$5004,$C50,Data!$G$5:$G$5004,"Gifted &amp; Talented")+ExOn*SUMIFS(مثال_Example!$Q$5:$Q$804,مثال_Example!$B$5:$B$804,$Q$6,مثال_Example!$D$5:$D$804,$B50,مثال_Example!$F$5:$F$804,$C50,مثال_Example!$G$5:$G$804,"Gifted &amp; Talented"))</f>
        <v>0</v>
      </c>
      <c r="J50" s="39" t="n">
        <f aca="false">(SUMIFS(Data!$Q$5:$Q$5004,Data!$B$5:$B$5004,$Q$6,Data!$D$5:$D$5004,$B50,Data!$F$5:$F$5004,$C50,Data!$G$5:$G$5004,"الإماراتيون (Emirati)")+ExOn*SUMIFS(مثال_Example!$Q$5:$Q$804,مثال_Example!$B$5:$B$804,$Q$6,مثال_Example!$D$5:$D$804,$B50,مثال_Example!$F$5:$F$804,$C50,مثال_Example!$G$5:$G$804,"الإماراتيون (Emirati)"))</f>
        <v>0</v>
      </c>
      <c r="K50" s="39" t="n">
        <f aca="false">(SUMIFS(Data!$T$5:$T$5004,Data!$B$5:$B$5004,$Q$6,Data!$D$5:$D$5004,$B50,Data!$F$5:$F$5004,$C50,Data!$G$5:$G$5004,"إجمالي الصف (All)")+ExOn*SUMIFS(مثال_Example!$T$5:$T$804,مثال_Example!$B$5:$B$804,$Q$6,مثال_Example!$D$5:$D$804,$B50,مثال_Example!$F$5:$F$804,$C50,مثال_Example!$G$5:$G$804,"إجمالي الصف (All)"))+(SUMIFS(Data!$U$5:$U$5004,Data!$B$5:$B$5004,$Q$6,Data!$D$5:$D$5004,$B50,Data!$F$5:$F$5004,$C50,Data!$G$5:$G$5004,"إجمالي الصف (All)")+ExOn*SUMIFS(مثال_Example!$U$5:$U$804,مثال_Example!$B$5:$B$804,$Q$6,مثال_Example!$D$5:$D$804,$B50,مثال_Example!$F$5:$F$804,$C50,مثال_Example!$G$5:$G$804,"إجمالي الصف (All)"))+(SUMIFS(Data!$V$5:$V$5004,Data!$B$5:$B$5004,$Q$6,Data!$D$5:$D$5004,$B50,Data!$F$5:$F$5004,$C50,Data!$G$5:$G$5004,"إجمالي الصف (All)")+ExOn*SUMIFS(مثال_Example!$V$5:$V$804,مثال_Example!$B$5:$B$804,$Q$6,مثال_Example!$D$5:$D$804,$B50,مثال_Example!$F$5:$F$804,$C50,مثال_Example!$G$5:$G$804,"إجمالي الصف (All)"))</f>
        <v>0</v>
      </c>
      <c r="L50" s="109" t="str">
        <f aca="false">IF(D50=0,IF(M50="","",M50),IF(M50="","OK",M50))</f>
        <v/>
      </c>
      <c r="M50" s="110" t="str">
        <f aca="false">IF(D50=0,IF(E50+F50+H50+I50+J50&gt;0,"⚠ مجموعات بلا إجمالي",""),TRIM(IF(AND(G50&gt;0,G50&lt;&gt;D50),"⚠ الأولاد+البنات ≠ الإجمالي · ","")&amp;IF(H50&gt;D50,"⚠ SEND &gt; الإجمالي · ","")&amp;IF(I50&gt;D50,"⚠ G&amp;T &gt; الإجمالي · ","")&amp;IF(J50&gt;D50,"⚠ الإماراتيون &gt; الإجمالي · ","")&amp;IF(K50&gt;D50,"⚠ حالات التقدم &gt; النتائج · ","")))</f>
        <v/>
      </c>
      <c r="N50" s="1"/>
    </row>
    <row r="51" customFormat="false" ht="15" hidden="false" customHeight="false" outlineLevel="0" collapsed="false">
      <c r="A51" s="1"/>
      <c r="B51" s="42" t="s">
        <v>180</v>
      </c>
      <c r="C51" s="42" t="s">
        <v>107</v>
      </c>
      <c r="D51" s="39" t="n">
        <f aca="false">(SUMIFS(Data!$Q$5:$Q$5004,Data!$B$5:$B$5004,$Q$6,Data!$D$5:$D$5004,$B51,Data!$F$5:$F$5004,$C51,Data!$G$5:$G$5004,"إجمالي الصف (All)")+ExOn*SUMIFS(مثال_Example!$Q$5:$Q$804,مثال_Example!$B$5:$B$804,$Q$6,مثال_Example!$D$5:$D$804,$B51,مثال_Example!$F$5:$F$804,$C51,مثال_Example!$G$5:$G$804,"إجمالي الصف (All)"))</f>
        <v>0</v>
      </c>
      <c r="E51" s="39" t="n">
        <f aca="false">(SUMIFS(Data!$Q$5:$Q$5004,Data!$B$5:$B$5004,$Q$6,Data!$D$5:$D$5004,$B51,Data!$F$5:$F$5004,$C51,Data!$G$5:$G$5004,"الأولاد (Boys)")+ExOn*SUMIFS(مثال_Example!$Q$5:$Q$804,مثال_Example!$B$5:$B$804,$Q$6,مثال_Example!$D$5:$D$804,$B51,مثال_Example!$F$5:$F$804,$C51,مثال_Example!$G$5:$G$804,"الأولاد (Boys)"))</f>
        <v>0</v>
      </c>
      <c r="F51" s="39" t="n">
        <f aca="false">(SUMIFS(Data!$Q$5:$Q$5004,Data!$B$5:$B$5004,$Q$6,Data!$D$5:$D$5004,$B51,Data!$F$5:$F$5004,$C51,Data!$G$5:$G$5004,"البنات (Girls)")+ExOn*SUMIFS(مثال_Example!$Q$5:$Q$804,مثال_Example!$B$5:$B$804,$Q$6,مثال_Example!$D$5:$D$804,$B51,مثال_Example!$F$5:$F$804,$C51,مثال_Example!$G$5:$G$804,"البنات (Girls)"))</f>
        <v>0</v>
      </c>
      <c r="G51" s="39" t="n">
        <f aca="false">E51+F51</f>
        <v>0</v>
      </c>
      <c r="H51" s="39" t="n">
        <f aca="false">(SUMIFS(Data!$Q$5:$Q$5004,Data!$B$5:$B$5004,$Q$6,Data!$D$5:$D$5004,$B51,Data!$F$5:$F$5004,$C51,Data!$G$5:$G$5004,"SEND")+ExOn*SUMIFS(مثال_Example!$Q$5:$Q$804,مثال_Example!$B$5:$B$804,$Q$6,مثال_Example!$D$5:$D$804,$B51,مثال_Example!$F$5:$F$804,$C51,مثال_Example!$G$5:$G$804,"SEND"))</f>
        <v>0</v>
      </c>
      <c r="I51" s="39" t="n">
        <f aca="false">(SUMIFS(Data!$Q$5:$Q$5004,Data!$B$5:$B$5004,$Q$6,Data!$D$5:$D$5004,$B51,Data!$F$5:$F$5004,$C51,Data!$G$5:$G$5004,"Gifted &amp; Talented")+ExOn*SUMIFS(مثال_Example!$Q$5:$Q$804,مثال_Example!$B$5:$B$804,$Q$6,مثال_Example!$D$5:$D$804,$B51,مثال_Example!$F$5:$F$804,$C51,مثال_Example!$G$5:$G$804,"Gifted &amp; Talented"))</f>
        <v>0</v>
      </c>
      <c r="J51" s="39" t="n">
        <f aca="false">(SUMIFS(Data!$Q$5:$Q$5004,Data!$B$5:$B$5004,$Q$6,Data!$D$5:$D$5004,$B51,Data!$F$5:$F$5004,$C51,Data!$G$5:$G$5004,"الإماراتيون (Emirati)")+ExOn*SUMIFS(مثال_Example!$Q$5:$Q$804,مثال_Example!$B$5:$B$804,$Q$6,مثال_Example!$D$5:$D$804,$B51,مثال_Example!$F$5:$F$804,$C51,مثال_Example!$G$5:$G$804,"الإماراتيون (Emirati)"))</f>
        <v>0</v>
      </c>
      <c r="K51" s="39" t="n">
        <f aca="false">(SUMIFS(Data!$T$5:$T$5004,Data!$B$5:$B$5004,$Q$6,Data!$D$5:$D$5004,$B51,Data!$F$5:$F$5004,$C51,Data!$G$5:$G$5004,"إجمالي الصف (All)")+ExOn*SUMIFS(مثال_Example!$T$5:$T$804,مثال_Example!$B$5:$B$804,$Q$6,مثال_Example!$D$5:$D$804,$B51,مثال_Example!$F$5:$F$804,$C51,مثال_Example!$G$5:$G$804,"إجمالي الصف (All)"))+(SUMIFS(Data!$U$5:$U$5004,Data!$B$5:$B$5004,$Q$6,Data!$D$5:$D$5004,$B51,Data!$F$5:$F$5004,$C51,Data!$G$5:$G$5004,"إجمالي الصف (All)")+ExOn*SUMIFS(مثال_Example!$U$5:$U$804,مثال_Example!$B$5:$B$804,$Q$6,مثال_Example!$D$5:$D$804,$B51,مثال_Example!$F$5:$F$804,$C51,مثال_Example!$G$5:$G$804,"إجمالي الصف (All)"))+(SUMIFS(Data!$V$5:$V$5004,Data!$B$5:$B$5004,$Q$6,Data!$D$5:$D$5004,$B51,Data!$F$5:$F$5004,$C51,Data!$G$5:$G$5004,"إجمالي الصف (All)")+ExOn*SUMIFS(مثال_Example!$V$5:$V$804,مثال_Example!$B$5:$B$804,$Q$6,مثال_Example!$D$5:$D$804,$B51,مثال_Example!$F$5:$F$804,$C51,مثال_Example!$G$5:$G$804,"إجمالي الصف (All)"))</f>
        <v>0</v>
      </c>
      <c r="L51" s="109" t="str">
        <f aca="false">IF(D51=0,IF(M51="","",M51),IF(M51="","OK",M51))</f>
        <v/>
      </c>
      <c r="M51" s="110" t="str">
        <f aca="false">IF(D51=0,IF(E51+F51+H51+I51+J51&gt;0,"⚠ مجموعات بلا إجمالي",""),TRIM(IF(AND(G51&gt;0,G51&lt;&gt;D51),"⚠ الأولاد+البنات ≠ الإجمالي · ","")&amp;IF(H51&gt;D51,"⚠ SEND &gt; الإجمالي · ","")&amp;IF(I51&gt;D51,"⚠ G&amp;T &gt; الإجمالي · ","")&amp;IF(J51&gt;D51,"⚠ الإماراتيون &gt; الإجمالي · ","")&amp;IF(K51&gt;D51,"⚠ حالات التقدم &gt; النتائج · ","")))</f>
        <v/>
      </c>
      <c r="N51" s="1"/>
    </row>
    <row r="52" customFormat="false" ht="15" hidden="false" customHeight="false" outlineLevel="0" collapsed="false">
      <c r="A52" s="1"/>
      <c r="B52" s="42" t="s">
        <v>180</v>
      </c>
      <c r="C52" s="42" t="s">
        <v>163</v>
      </c>
      <c r="D52" s="39" t="n">
        <f aca="false">(SUMIFS(Data!$Q$5:$Q$5004,Data!$B$5:$B$5004,$Q$6,Data!$D$5:$D$5004,$B52,Data!$F$5:$F$5004,$C52,Data!$G$5:$G$5004,"إجمالي الصف (All)")+ExOn*SUMIFS(مثال_Example!$Q$5:$Q$804,مثال_Example!$B$5:$B$804,$Q$6,مثال_Example!$D$5:$D$804,$B52,مثال_Example!$F$5:$F$804,$C52,مثال_Example!$G$5:$G$804,"إجمالي الصف (All)"))</f>
        <v>0</v>
      </c>
      <c r="E52" s="39" t="n">
        <f aca="false">(SUMIFS(Data!$Q$5:$Q$5004,Data!$B$5:$B$5004,$Q$6,Data!$D$5:$D$5004,$B52,Data!$F$5:$F$5004,$C52,Data!$G$5:$G$5004,"الأولاد (Boys)")+ExOn*SUMIFS(مثال_Example!$Q$5:$Q$804,مثال_Example!$B$5:$B$804,$Q$6,مثال_Example!$D$5:$D$804,$B52,مثال_Example!$F$5:$F$804,$C52,مثال_Example!$G$5:$G$804,"الأولاد (Boys)"))</f>
        <v>0</v>
      </c>
      <c r="F52" s="39" t="n">
        <f aca="false">(SUMIFS(Data!$Q$5:$Q$5004,Data!$B$5:$B$5004,$Q$6,Data!$D$5:$D$5004,$B52,Data!$F$5:$F$5004,$C52,Data!$G$5:$G$5004,"البنات (Girls)")+ExOn*SUMIFS(مثال_Example!$Q$5:$Q$804,مثال_Example!$B$5:$B$804,$Q$6,مثال_Example!$D$5:$D$804,$B52,مثال_Example!$F$5:$F$804,$C52,مثال_Example!$G$5:$G$804,"البنات (Girls)"))</f>
        <v>0</v>
      </c>
      <c r="G52" s="39" t="n">
        <f aca="false">E52+F52</f>
        <v>0</v>
      </c>
      <c r="H52" s="39" t="n">
        <f aca="false">(SUMIFS(Data!$Q$5:$Q$5004,Data!$B$5:$B$5004,$Q$6,Data!$D$5:$D$5004,$B52,Data!$F$5:$F$5004,$C52,Data!$G$5:$G$5004,"SEND")+ExOn*SUMIFS(مثال_Example!$Q$5:$Q$804,مثال_Example!$B$5:$B$804,$Q$6,مثال_Example!$D$5:$D$804,$B52,مثال_Example!$F$5:$F$804,$C52,مثال_Example!$G$5:$G$804,"SEND"))</f>
        <v>0</v>
      </c>
      <c r="I52" s="39" t="n">
        <f aca="false">(SUMIFS(Data!$Q$5:$Q$5004,Data!$B$5:$B$5004,$Q$6,Data!$D$5:$D$5004,$B52,Data!$F$5:$F$5004,$C52,Data!$G$5:$G$5004,"Gifted &amp; Talented")+ExOn*SUMIFS(مثال_Example!$Q$5:$Q$804,مثال_Example!$B$5:$B$804,$Q$6,مثال_Example!$D$5:$D$804,$B52,مثال_Example!$F$5:$F$804,$C52,مثال_Example!$G$5:$G$804,"Gifted &amp; Talented"))</f>
        <v>0</v>
      </c>
      <c r="J52" s="39" t="n">
        <f aca="false">(SUMIFS(Data!$Q$5:$Q$5004,Data!$B$5:$B$5004,$Q$6,Data!$D$5:$D$5004,$B52,Data!$F$5:$F$5004,$C52,Data!$G$5:$G$5004,"الإماراتيون (Emirati)")+ExOn*SUMIFS(مثال_Example!$Q$5:$Q$804,مثال_Example!$B$5:$B$804,$Q$6,مثال_Example!$D$5:$D$804,$B52,مثال_Example!$F$5:$F$804,$C52,مثال_Example!$G$5:$G$804,"الإماراتيون (Emirati)"))</f>
        <v>0</v>
      </c>
      <c r="K52" s="39" t="n">
        <f aca="false">(SUMIFS(Data!$T$5:$T$5004,Data!$B$5:$B$5004,$Q$6,Data!$D$5:$D$5004,$B52,Data!$F$5:$F$5004,$C52,Data!$G$5:$G$5004,"إجمالي الصف (All)")+ExOn*SUMIFS(مثال_Example!$T$5:$T$804,مثال_Example!$B$5:$B$804,$Q$6,مثال_Example!$D$5:$D$804,$B52,مثال_Example!$F$5:$F$804,$C52,مثال_Example!$G$5:$G$804,"إجمالي الصف (All)"))+(SUMIFS(Data!$U$5:$U$5004,Data!$B$5:$B$5004,$Q$6,Data!$D$5:$D$5004,$B52,Data!$F$5:$F$5004,$C52,Data!$G$5:$G$5004,"إجمالي الصف (All)")+ExOn*SUMIFS(مثال_Example!$U$5:$U$804,مثال_Example!$B$5:$B$804,$Q$6,مثال_Example!$D$5:$D$804,$B52,مثال_Example!$F$5:$F$804,$C52,مثال_Example!$G$5:$G$804,"إجمالي الصف (All)"))+(SUMIFS(Data!$V$5:$V$5004,Data!$B$5:$B$5004,$Q$6,Data!$D$5:$D$5004,$B52,Data!$F$5:$F$5004,$C52,Data!$G$5:$G$5004,"إجمالي الصف (All)")+ExOn*SUMIFS(مثال_Example!$V$5:$V$804,مثال_Example!$B$5:$B$804,$Q$6,مثال_Example!$D$5:$D$804,$B52,مثال_Example!$F$5:$F$804,$C52,مثال_Example!$G$5:$G$804,"إجمالي الصف (All)"))</f>
        <v>0</v>
      </c>
      <c r="L52" s="109" t="str">
        <f aca="false">IF(D52=0,IF(M52="","",M52),IF(M52="","OK",M52))</f>
        <v/>
      </c>
      <c r="M52" s="110" t="str">
        <f aca="false">IF(D52=0,IF(E52+F52+H52+I52+J52&gt;0,"⚠ مجموعات بلا إجمالي",""),TRIM(IF(AND(G52&gt;0,G52&lt;&gt;D52),"⚠ الأولاد+البنات ≠ الإجمالي · ","")&amp;IF(H52&gt;D52,"⚠ SEND &gt; الإجمالي · ","")&amp;IF(I52&gt;D52,"⚠ G&amp;T &gt; الإجمالي · ","")&amp;IF(J52&gt;D52,"⚠ الإماراتيون &gt; الإجمالي · ","")&amp;IF(K52&gt;D52,"⚠ حالات التقدم &gt; النتائج · ","")))</f>
        <v/>
      </c>
      <c r="N52" s="1"/>
    </row>
    <row r="53" customFormat="false" ht="15" hidden="false" customHeight="false" outlineLevel="0" collapsed="false">
      <c r="A53" s="1"/>
      <c r="B53" s="42" t="s">
        <v>180</v>
      </c>
      <c r="C53" s="42" t="s">
        <v>164</v>
      </c>
      <c r="D53" s="39" t="n">
        <f aca="false">(SUMIFS(Data!$Q$5:$Q$5004,Data!$B$5:$B$5004,$Q$6,Data!$D$5:$D$5004,$B53,Data!$F$5:$F$5004,$C53,Data!$G$5:$G$5004,"إجمالي الصف (All)")+ExOn*SUMIFS(مثال_Example!$Q$5:$Q$804,مثال_Example!$B$5:$B$804,$Q$6,مثال_Example!$D$5:$D$804,$B53,مثال_Example!$F$5:$F$804,$C53,مثال_Example!$G$5:$G$804,"إجمالي الصف (All)"))</f>
        <v>0</v>
      </c>
      <c r="E53" s="39" t="n">
        <f aca="false">(SUMIFS(Data!$Q$5:$Q$5004,Data!$B$5:$B$5004,$Q$6,Data!$D$5:$D$5004,$B53,Data!$F$5:$F$5004,$C53,Data!$G$5:$G$5004,"الأولاد (Boys)")+ExOn*SUMIFS(مثال_Example!$Q$5:$Q$804,مثال_Example!$B$5:$B$804,$Q$6,مثال_Example!$D$5:$D$804,$B53,مثال_Example!$F$5:$F$804,$C53,مثال_Example!$G$5:$G$804,"الأولاد (Boys)"))</f>
        <v>0</v>
      </c>
      <c r="F53" s="39" t="n">
        <f aca="false">(SUMIFS(Data!$Q$5:$Q$5004,Data!$B$5:$B$5004,$Q$6,Data!$D$5:$D$5004,$B53,Data!$F$5:$F$5004,$C53,Data!$G$5:$G$5004,"البنات (Girls)")+ExOn*SUMIFS(مثال_Example!$Q$5:$Q$804,مثال_Example!$B$5:$B$804,$Q$6,مثال_Example!$D$5:$D$804,$B53,مثال_Example!$F$5:$F$804,$C53,مثال_Example!$G$5:$G$804,"البنات (Girls)"))</f>
        <v>0</v>
      </c>
      <c r="G53" s="39" t="n">
        <f aca="false">E53+F53</f>
        <v>0</v>
      </c>
      <c r="H53" s="39" t="n">
        <f aca="false">(SUMIFS(Data!$Q$5:$Q$5004,Data!$B$5:$B$5004,$Q$6,Data!$D$5:$D$5004,$B53,Data!$F$5:$F$5004,$C53,Data!$G$5:$G$5004,"SEND")+ExOn*SUMIFS(مثال_Example!$Q$5:$Q$804,مثال_Example!$B$5:$B$804,$Q$6,مثال_Example!$D$5:$D$804,$B53,مثال_Example!$F$5:$F$804,$C53,مثال_Example!$G$5:$G$804,"SEND"))</f>
        <v>0</v>
      </c>
      <c r="I53" s="39" t="n">
        <f aca="false">(SUMIFS(Data!$Q$5:$Q$5004,Data!$B$5:$B$5004,$Q$6,Data!$D$5:$D$5004,$B53,Data!$F$5:$F$5004,$C53,Data!$G$5:$G$5004,"Gifted &amp; Talented")+ExOn*SUMIFS(مثال_Example!$Q$5:$Q$804,مثال_Example!$B$5:$B$804,$Q$6,مثال_Example!$D$5:$D$804,$B53,مثال_Example!$F$5:$F$804,$C53,مثال_Example!$G$5:$G$804,"Gifted &amp; Talented"))</f>
        <v>0</v>
      </c>
      <c r="J53" s="39" t="n">
        <f aca="false">(SUMIFS(Data!$Q$5:$Q$5004,Data!$B$5:$B$5004,$Q$6,Data!$D$5:$D$5004,$B53,Data!$F$5:$F$5004,$C53,Data!$G$5:$G$5004,"الإماراتيون (Emirati)")+ExOn*SUMIFS(مثال_Example!$Q$5:$Q$804,مثال_Example!$B$5:$B$804,$Q$6,مثال_Example!$D$5:$D$804,$B53,مثال_Example!$F$5:$F$804,$C53,مثال_Example!$G$5:$G$804,"الإماراتيون (Emirati)"))</f>
        <v>0</v>
      </c>
      <c r="K53" s="39" t="n">
        <f aca="false">(SUMIFS(Data!$T$5:$T$5004,Data!$B$5:$B$5004,$Q$6,Data!$D$5:$D$5004,$B53,Data!$F$5:$F$5004,$C53,Data!$G$5:$G$5004,"إجمالي الصف (All)")+ExOn*SUMIFS(مثال_Example!$T$5:$T$804,مثال_Example!$B$5:$B$804,$Q$6,مثال_Example!$D$5:$D$804,$B53,مثال_Example!$F$5:$F$804,$C53,مثال_Example!$G$5:$G$804,"إجمالي الصف (All)"))+(SUMIFS(Data!$U$5:$U$5004,Data!$B$5:$B$5004,$Q$6,Data!$D$5:$D$5004,$B53,Data!$F$5:$F$5004,$C53,Data!$G$5:$G$5004,"إجمالي الصف (All)")+ExOn*SUMIFS(مثال_Example!$U$5:$U$804,مثال_Example!$B$5:$B$804,$Q$6,مثال_Example!$D$5:$D$804,$B53,مثال_Example!$F$5:$F$804,$C53,مثال_Example!$G$5:$G$804,"إجمالي الصف (All)"))+(SUMIFS(Data!$V$5:$V$5004,Data!$B$5:$B$5004,$Q$6,Data!$D$5:$D$5004,$B53,Data!$F$5:$F$5004,$C53,Data!$G$5:$G$5004,"إجمالي الصف (All)")+ExOn*SUMIFS(مثال_Example!$V$5:$V$804,مثال_Example!$B$5:$B$804,$Q$6,مثال_Example!$D$5:$D$804,$B53,مثال_Example!$F$5:$F$804,$C53,مثال_Example!$G$5:$G$804,"إجمالي الصف (All)"))</f>
        <v>0</v>
      </c>
      <c r="L53" s="109" t="str">
        <f aca="false">IF(D53=0,IF(M53="","",M53),IF(M53="","OK",M53))</f>
        <v/>
      </c>
      <c r="M53" s="110" t="str">
        <f aca="false">IF(D53=0,IF(E53+F53+H53+I53+J53&gt;0,"⚠ مجموعات بلا إجمالي",""),TRIM(IF(AND(G53&gt;0,G53&lt;&gt;D53),"⚠ الأولاد+البنات ≠ الإجمالي · ","")&amp;IF(H53&gt;D53,"⚠ SEND &gt; الإجمالي · ","")&amp;IF(I53&gt;D53,"⚠ G&amp;T &gt; الإجمالي · ","")&amp;IF(J53&gt;D53,"⚠ الإماراتيون &gt; الإجمالي · ","")&amp;IF(K53&gt;D53,"⚠ حالات التقدم &gt; النتائج · ","")))</f>
        <v/>
      </c>
      <c r="N53" s="1"/>
    </row>
    <row r="54" customFormat="false" ht="15" hidden="false" customHeight="false" outlineLevel="0" collapsed="false">
      <c r="A54" s="1"/>
      <c r="B54" s="42" t="s">
        <v>181</v>
      </c>
      <c r="C54" s="42" t="s">
        <v>162</v>
      </c>
      <c r="D54" s="39" t="n">
        <f aca="false">(SUMIFS(Data!$Q$5:$Q$5004,Data!$B$5:$B$5004,$Q$6,Data!$D$5:$D$5004,$B54,Data!$F$5:$F$5004,$C54,Data!$G$5:$G$5004,"إجمالي الصف (All)")+ExOn*SUMIFS(مثال_Example!$Q$5:$Q$804,مثال_Example!$B$5:$B$804,$Q$6,مثال_Example!$D$5:$D$804,$B54,مثال_Example!$F$5:$F$804,$C54,مثال_Example!$G$5:$G$804,"إجمالي الصف (All)"))</f>
        <v>0</v>
      </c>
      <c r="E54" s="39" t="n">
        <f aca="false">(SUMIFS(Data!$Q$5:$Q$5004,Data!$B$5:$B$5004,$Q$6,Data!$D$5:$D$5004,$B54,Data!$F$5:$F$5004,$C54,Data!$G$5:$G$5004,"الأولاد (Boys)")+ExOn*SUMIFS(مثال_Example!$Q$5:$Q$804,مثال_Example!$B$5:$B$804,$Q$6,مثال_Example!$D$5:$D$804,$B54,مثال_Example!$F$5:$F$804,$C54,مثال_Example!$G$5:$G$804,"الأولاد (Boys)"))</f>
        <v>0</v>
      </c>
      <c r="F54" s="39" t="n">
        <f aca="false">(SUMIFS(Data!$Q$5:$Q$5004,Data!$B$5:$B$5004,$Q$6,Data!$D$5:$D$5004,$B54,Data!$F$5:$F$5004,$C54,Data!$G$5:$G$5004,"البنات (Girls)")+ExOn*SUMIFS(مثال_Example!$Q$5:$Q$804,مثال_Example!$B$5:$B$804,$Q$6,مثال_Example!$D$5:$D$804,$B54,مثال_Example!$F$5:$F$804,$C54,مثال_Example!$G$5:$G$804,"البنات (Girls)"))</f>
        <v>0</v>
      </c>
      <c r="G54" s="39" t="n">
        <f aca="false">E54+F54</f>
        <v>0</v>
      </c>
      <c r="H54" s="39" t="n">
        <f aca="false">(SUMIFS(Data!$Q$5:$Q$5004,Data!$B$5:$B$5004,$Q$6,Data!$D$5:$D$5004,$B54,Data!$F$5:$F$5004,$C54,Data!$G$5:$G$5004,"SEND")+ExOn*SUMIFS(مثال_Example!$Q$5:$Q$804,مثال_Example!$B$5:$B$804,$Q$6,مثال_Example!$D$5:$D$804,$B54,مثال_Example!$F$5:$F$804,$C54,مثال_Example!$G$5:$G$804,"SEND"))</f>
        <v>0</v>
      </c>
      <c r="I54" s="39" t="n">
        <f aca="false">(SUMIFS(Data!$Q$5:$Q$5004,Data!$B$5:$B$5004,$Q$6,Data!$D$5:$D$5004,$B54,Data!$F$5:$F$5004,$C54,Data!$G$5:$G$5004,"Gifted &amp; Talented")+ExOn*SUMIFS(مثال_Example!$Q$5:$Q$804,مثال_Example!$B$5:$B$804,$Q$6,مثال_Example!$D$5:$D$804,$B54,مثال_Example!$F$5:$F$804,$C54,مثال_Example!$G$5:$G$804,"Gifted &amp; Talented"))</f>
        <v>0</v>
      </c>
      <c r="J54" s="39" t="n">
        <f aca="false">(SUMIFS(Data!$Q$5:$Q$5004,Data!$B$5:$B$5004,$Q$6,Data!$D$5:$D$5004,$B54,Data!$F$5:$F$5004,$C54,Data!$G$5:$G$5004,"الإماراتيون (Emirati)")+ExOn*SUMIFS(مثال_Example!$Q$5:$Q$804,مثال_Example!$B$5:$B$804,$Q$6,مثال_Example!$D$5:$D$804,$B54,مثال_Example!$F$5:$F$804,$C54,مثال_Example!$G$5:$G$804,"الإماراتيون (Emirati)"))</f>
        <v>0</v>
      </c>
      <c r="K54" s="39" t="n">
        <f aca="false">(SUMIFS(Data!$T$5:$T$5004,Data!$B$5:$B$5004,$Q$6,Data!$D$5:$D$5004,$B54,Data!$F$5:$F$5004,$C54,Data!$G$5:$G$5004,"إجمالي الصف (All)")+ExOn*SUMIFS(مثال_Example!$T$5:$T$804,مثال_Example!$B$5:$B$804,$Q$6,مثال_Example!$D$5:$D$804,$B54,مثال_Example!$F$5:$F$804,$C54,مثال_Example!$G$5:$G$804,"إجمالي الصف (All)"))+(SUMIFS(Data!$U$5:$U$5004,Data!$B$5:$B$5004,$Q$6,Data!$D$5:$D$5004,$B54,Data!$F$5:$F$5004,$C54,Data!$G$5:$G$5004,"إجمالي الصف (All)")+ExOn*SUMIFS(مثال_Example!$U$5:$U$804,مثال_Example!$B$5:$B$804,$Q$6,مثال_Example!$D$5:$D$804,$B54,مثال_Example!$F$5:$F$804,$C54,مثال_Example!$G$5:$G$804,"إجمالي الصف (All)"))+(SUMIFS(Data!$V$5:$V$5004,Data!$B$5:$B$5004,$Q$6,Data!$D$5:$D$5004,$B54,Data!$F$5:$F$5004,$C54,Data!$G$5:$G$5004,"إجمالي الصف (All)")+ExOn*SUMIFS(مثال_Example!$V$5:$V$804,مثال_Example!$B$5:$B$804,$Q$6,مثال_Example!$D$5:$D$804,$B54,مثال_Example!$F$5:$F$804,$C54,مثال_Example!$G$5:$G$804,"إجمالي الصف (All)"))</f>
        <v>0</v>
      </c>
      <c r="L54" s="109" t="str">
        <f aca="false">IF(D54=0,IF(M54="","",M54),IF(M54="","OK",M54))</f>
        <v/>
      </c>
      <c r="M54" s="110" t="str">
        <f aca="false">IF(D54=0,IF(E54+F54+H54+I54+J54&gt;0,"⚠ مجموعات بلا إجمالي",""),TRIM(IF(AND(G54&gt;0,G54&lt;&gt;D54),"⚠ الأولاد+البنات ≠ الإجمالي · ","")&amp;IF(H54&gt;D54,"⚠ SEND &gt; الإجمالي · ","")&amp;IF(I54&gt;D54,"⚠ G&amp;T &gt; الإجمالي · ","")&amp;IF(J54&gt;D54,"⚠ الإماراتيون &gt; الإجمالي · ","")&amp;IF(K54&gt;D54,"⚠ حالات التقدم &gt; النتائج · ","")))</f>
        <v/>
      </c>
      <c r="N54" s="1"/>
    </row>
    <row r="55" customFormat="false" ht="15" hidden="false" customHeight="false" outlineLevel="0" collapsed="false">
      <c r="A55" s="1"/>
      <c r="B55" s="42" t="s">
        <v>181</v>
      </c>
      <c r="C55" s="42" t="s">
        <v>107</v>
      </c>
      <c r="D55" s="39" t="n">
        <f aca="false">(SUMIFS(Data!$Q$5:$Q$5004,Data!$B$5:$B$5004,$Q$6,Data!$D$5:$D$5004,$B55,Data!$F$5:$F$5004,$C55,Data!$G$5:$G$5004,"إجمالي الصف (All)")+ExOn*SUMIFS(مثال_Example!$Q$5:$Q$804,مثال_Example!$B$5:$B$804,$Q$6,مثال_Example!$D$5:$D$804,$B55,مثال_Example!$F$5:$F$804,$C55,مثال_Example!$G$5:$G$804,"إجمالي الصف (All)"))</f>
        <v>0</v>
      </c>
      <c r="E55" s="39" t="n">
        <f aca="false">(SUMIFS(Data!$Q$5:$Q$5004,Data!$B$5:$B$5004,$Q$6,Data!$D$5:$D$5004,$B55,Data!$F$5:$F$5004,$C55,Data!$G$5:$G$5004,"الأولاد (Boys)")+ExOn*SUMIFS(مثال_Example!$Q$5:$Q$804,مثال_Example!$B$5:$B$804,$Q$6,مثال_Example!$D$5:$D$804,$B55,مثال_Example!$F$5:$F$804,$C55,مثال_Example!$G$5:$G$804,"الأولاد (Boys)"))</f>
        <v>0</v>
      </c>
      <c r="F55" s="39" t="n">
        <f aca="false">(SUMIFS(Data!$Q$5:$Q$5004,Data!$B$5:$B$5004,$Q$6,Data!$D$5:$D$5004,$B55,Data!$F$5:$F$5004,$C55,Data!$G$5:$G$5004,"البنات (Girls)")+ExOn*SUMIFS(مثال_Example!$Q$5:$Q$804,مثال_Example!$B$5:$B$804,$Q$6,مثال_Example!$D$5:$D$804,$B55,مثال_Example!$F$5:$F$804,$C55,مثال_Example!$G$5:$G$804,"البنات (Girls)"))</f>
        <v>0</v>
      </c>
      <c r="G55" s="39" t="n">
        <f aca="false">E55+F55</f>
        <v>0</v>
      </c>
      <c r="H55" s="39" t="n">
        <f aca="false">(SUMIFS(Data!$Q$5:$Q$5004,Data!$B$5:$B$5004,$Q$6,Data!$D$5:$D$5004,$B55,Data!$F$5:$F$5004,$C55,Data!$G$5:$G$5004,"SEND")+ExOn*SUMIFS(مثال_Example!$Q$5:$Q$804,مثال_Example!$B$5:$B$804,$Q$6,مثال_Example!$D$5:$D$804,$B55,مثال_Example!$F$5:$F$804,$C55,مثال_Example!$G$5:$G$804,"SEND"))</f>
        <v>0</v>
      </c>
      <c r="I55" s="39" t="n">
        <f aca="false">(SUMIFS(Data!$Q$5:$Q$5004,Data!$B$5:$B$5004,$Q$6,Data!$D$5:$D$5004,$B55,Data!$F$5:$F$5004,$C55,Data!$G$5:$G$5004,"Gifted &amp; Talented")+ExOn*SUMIFS(مثال_Example!$Q$5:$Q$804,مثال_Example!$B$5:$B$804,$Q$6,مثال_Example!$D$5:$D$804,$B55,مثال_Example!$F$5:$F$804,$C55,مثال_Example!$G$5:$G$804,"Gifted &amp; Talented"))</f>
        <v>0</v>
      </c>
      <c r="J55" s="39" t="n">
        <f aca="false">(SUMIFS(Data!$Q$5:$Q$5004,Data!$B$5:$B$5004,$Q$6,Data!$D$5:$D$5004,$B55,Data!$F$5:$F$5004,$C55,Data!$G$5:$G$5004,"الإماراتيون (Emirati)")+ExOn*SUMIFS(مثال_Example!$Q$5:$Q$804,مثال_Example!$B$5:$B$804,$Q$6,مثال_Example!$D$5:$D$804,$B55,مثال_Example!$F$5:$F$804,$C55,مثال_Example!$G$5:$G$804,"الإماراتيون (Emirati)"))</f>
        <v>0</v>
      </c>
      <c r="K55" s="39" t="n">
        <f aca="false">(SUMIFS(Data!$T$5:$T$5004,Data!$B$5:$B$5004,$Q$6,Data!$D$5:$D$5004,$B55,Data!$F$5:$F$5004,$C55,Data!$G$5:$G$5004,"إجمالي الصف (All)")+ExOn*SUMIFS(مثال_Example!$T$5:$T$804,مثال_Example!$B$5:$B$804,$Q$6,مثال_Example!$D$5:$D$804,$B55,مثال_Example!$F$5:$F$804,$C55,مثال_Example!$G$5:$G$804,"إجمالي الصف (All)"))+(SUMIFS(Data!$U$5:$U$5004,Data!$B$5:$B$5004,$Q$6,Data!$D$5:$D$5004,$B55,Data!$F$5:$F$5004,$C55,Data!$G$5:$G$5004,"إجمالي الصف (All)")+ExOn*SUMIFS(مثال_Example!$U$5:$U$804,مثال_Example!$B$5:$B$804,$Q$6,مثال_Example!$D$5:$D$804,$B55,مثال_Example!$F$5:$F$804,$C55,مثال_Example!$G$5:$G$804,"إجمالي الصف (All)"))+(SUMIFS(Data!$V$5:$V$5004,Data!$B$5:$B$5004,$Q$6,Data!$D$5:$D$5004,$B55,Data!$F$5:$F$5004,$C55,Data!$G$5:$G$5004,"إجمالي الصف (All)")+ExOn*SUMIFS(مثال_Example!$V$5:$V$804,مثال_Example!$B$5:$B$804,$Q$6,مثال_Example!$D$5:$D$804,$B55,مثال_Example!$F$5:$F$804,$C55,مثال_Example!$G$5:$G$804,"إجمالي الصف (All)"))</f>
        <v>0</v>
      </c>
      <c r="L55" s="109" t="str">
        <f aca="false">IF(D55=0,IF(M55="","",M55),IF(M55="","OK",M55))</f>
        <v/>
      </c>
      <c r="M55" s="110" t="str">
        <f aca="false">IF(D55=0,IF(E55+F55+H55+I55+J55&gt;0,"⚠ مجموعات بلا إجمالي",""),TRIM(IF(AND(G55&gt;0,G55&lt;&gt;D55),"⚠ الأولاد+البنات ≠ الإجمالي · ","")&amp;IF(H55&gt;D55,"⚠ SEND &gt; الإجمالي · ","")&amp;IF(I55&gt;D55,"⚠ G&amp;T &gt; الإجمالي · ","")&amp;IF(J55&gt;D55,"⚠ الإماراتيون &gt; الإجمالي · ","")&amp;IF(K55&gt;D55,"⚠ حالات التقدم &gt; النتائج · ","")))</f>
        <v/>
      </c>
      <c r="N55" s="1"/>
    </row>
    <row r="56" customFormat="false" ht="15" hidden="false" customHeight="false" outlineLevel="0" collapsed="false">
      <c r="A56" s="1"/>
      <c r="B56" s="42" t="s">
        <v>181</v>
      </c>
      <c r="C56" s="42" t="s">
        <v>163</v>
      </c>
      <c r="D56" s="39" t="n">
        <f aca="false">(SUMIFS(Data!$Q$5:$Q$5004,Data!$B$5:$B$5004,$Q$6,Data!$D$5:$D$5004,$B56,Data!$F$5:$F$5004,$C56,Data!$G$5:$G$5004,"إجمالي الصف (All)")+ExOn*SUMIFS(مثال_Example!$Q$5:$Q$804,مثال_Example!$B$5:$B$804,$Q$6,مثال_Example!$D$5:$D$804,$B56,مثال_Example!$F$5:$F$804,$C56,مثال_Example!$G$5:$G$804,"إجمالي الصف (All)"))</f>
        <v>0</v>
      </c>
      <c r="E56" s="39" t="n">
        <f aca="false">(SUMIFS(Data!$Q$5:$Q$5004,Data!$B$5:$B$5004,$Q$6,Data!$D$5:$D$5004,$B56,Data!$F$5:$F$5004,$C56,Data!$G$5:$G$5004,"الأولاد (Boys)")+ExOn*SUMIFS(مثال_Example!$Q$5:$Q$804,مثال_Example!$B$5:$B$804,$Q$6,مثال_Example!$D$5:$D$804,$B56,مثال_Example!$F$5:$F$804,$C56,مثال_Example!$G$5:$G$804,"الأولاد (Boys)"))</f>
        <v>0</v>
      </c>
      <c r="F56" s="39" t="n">
        <f aca="false">(SUMIFS(Data!$Q$5:$Q$5004,Data!$B$5:$B$5004,$Q$6,Data!$D$5:$D$5004,$B56,Data!$F$5:$F$5004,$C56,Data!$G$5:$G$5004,"البنات (Girls)")+ExOn*SUMIFS(مثال_Example!$Q$5:$Q$804,مثال_Example!$B$5:$B$804,$Q$6,مثال_Example!$D$5:$D$804,$B56,مثال_Example!$F$5:$F$804,$C56,مثال_Example!$G$5:$G$804,"البنات (Girls)"))</f>
        <v>0</v>
      </c>
      <c r="G56" s="39" t="n">
        <f aca="false">E56+F56</f>
        <v>0</v>
      </c>
      <c r="H56" s="39" t="n">
        <f aca="false">(SUMIFS(Data!$Q$5:$Q$5004,Data!$B$5:$B$5004,$Q$6,Data!$D$5:$D$5004,$B56,Data!$F$5:$F$5004,$C56,Data!$G$5:$G$5004,"SEND")+ExOn*SUMIFS(مثال_Example!$Q$5:$Q$804,مثال_Example!$B$5:$B$804,$Q$6,مثال_Example!$D$5:$D$804,$B56,مثال_Example!$F$5:$F$804,$C56,مثال_Example!$G$5:$G$804,"SEND"))</f>
        <v>0</v>
      </c>
      <c r="I56" s="39" t="n">
        <f aca="false">(SUMIFS(Data!$Q$5:$Q$5004,Data!$B$5:$B$5004,$Q$6,Data!$D$5:$D$5004,$B56,Data!$F$5:$F$5004,$C56,Data!$G$5:$G$5004,"Gifted &amp; Talented")+ExOn*SUMIFS(مثال_Example!$Q$5:$Q$804,مثال_Example!$B$5:$B$804,$Q$6,مثال_Example!$D$5:$D$804,$B56,مثال_Example!$F$5:$F$804,$C56,مثال_Example!$G$5:$G$804,"Gifted &amp; Talented"))</f>
        <v>0</v>
      </c>
      <c r="J56" s="39" t="n">
        <f aca="false">(SUMIFS(Data!$Q$5:$Q$5004,Data!$B$5:$B$5004,$Q$6,Data!$D$5:$D$5004,$B56,Data!$F$5:$F$5004,$C56,Data!$G$5:$G$5004,"الإماراتيون (Emirati)")+ExOn*SUMIFS(مثال_Example!$Q$5:$Q$804,مثال_Example!$B$5:$B$804,$Q$6,مثال_Example!$D$5:$D$804,$B56,مثال_Example!$F$5:$F$804,$C56,مثال_Example!$G$5:$G$804,"الإماراتيون (Emirati)"))</f>
        <v>0</v>
      </c>
      <c r="K56" s="39" t="n">
        <f aca="false">(SUMIFS(Data!$T$5:$T$5004,Data!$B$5:$B$5004,$Q$6,Data!$D$5:$D$5004,$B56,Data!$F$5:$F$5004,$C56,Data!$G$5:$G$5004,"إجمالي الصف (All)")+ExOn*SUMIFS(مثال_Example!$T$5:$T$804,مثال_Example!$B$5:$B$804,$Q$6,مثال_Example!$D$5:$D$804,$B56,مثال_Example!$F$5:$F$804,$C56,مثال_Example!$G$5:$G$804,"إجمالي الصف (All)"))+(SUMIFS(Data!$U$5:$U$5004,Data!$B$5:$B$5004,$Q$6,Data!$D$5:$D$5004,$B56,Data!$F$5:$F$5004,$C56,Data!$G$5:$G$5004,"إجمالي الصف (All)")+ExOn*SUMIFS(مثال_Example!$U$5:$U$804,مثال_Example!$B$5:$B$804,$Q$6,مثال_Example!$D$5:$D$804,$B56,مثال_Example!$F$5:$F$804,$C56,مثال_Example!$G$5:$G$804,"إجمالي الصف (All)"))+(SUMIFS(Data!$V$5:$V$5004,Data!$B$5:$B$5004,$Q$6,Data!$D$5:$D$5004,$B56,Data!$F$5:$F$5004,$C56,Data!$G$5:$G$5004,"إجمالي الصف (All)")+ExOn*SUMIFS(مثال_Example!$V$5:$V$804,مثال_Example!$B$5:$B$804,$Q$6,مثال_Example!$D$5:$D$804,$B56,مثال_Example!$F$5:$F$804,$C56,مثال_Example!$G$5:$G$804,"إجمالي الصف (All)"))</f>
        <v>0</v>
      </c>
      <c r="L56" s="109" t="str">
        <f aca="false">IF(D56=0,IF(M56="","",M56),IF(M56="","OK",M56))</f>
        <v/>
      </c>
      <c r="M56" s="110" t="str">
        <f aca="false">IF(D56=0,IF(E56+F56+H56+I56+J56&gt;0,"⚠ مجموعات بلا إجمالي",""),TRIM(IF(AND(G56&gt;0,G56&lt;&gt;D56),"⚠ الأولاد+البنات ≠ الإجمالي · ","")&amp;IF(H56&gt;D56,"⚠ SEND &gt; الإجمالي · ","")&amp;IF(I56&gt;D56,"⚠ G&amp;T &gt; الإجمالي · ","")&amp;IF(J56&gt;D56,"⚠ الإماراتيون &gt; الإجمالي · ","")&amp;IF(K56&gt;D56,"⚠ حالات التقدم &gt; النتائج · ","")))</f>
        <v/>
      </c>
      <c r="N56" s="1"/>
    </row>
    <row r="57" customFormat="false" ht="15" hidden="false" customHeight="false" outlineLevel="0" collapsed="false">
      <c r="A57" s="1"/>
      <c r="B57" s="42" t="s">
        <v>181</v>
      </c>
      <c r="C57" s="42" t="s">
        <v>164</v>
      </c>
      <c r="D57" s="39" t="n">
        <f aca="false">(SUMIFS(Data!$Q$5:$Q$5004,Data!$B$5:$B$5004,$Q$6,Data!$D$5:$D$5004,$B57,Data!$F$5:$F$5004,$C57,Data!$G$5:$G$5004,"إجمالي الصف (All)")+ExOn*SUMIFS(مثال_Example!$Q$5:$Q$804,مثال_Example!$B$5:$B$804,$Q$6,مثال_Example!$D$5:$D$804,$B57,مثال_Example!$F$5:$F$804,$C57,مثال_Example!$G$5:$G$804,"إجمالي الصف (All)"))</f>
        <v>0</v>
      </c>
      <c r="E57" s="39" t="n">
        <f aca="false">(SUMIFS(Data!$Q$5:$Q$5004,Data!$B$5:$B$5004,$Q$6,Data!$D$5:$D$5004,$B57,Data!$F$5:$F$5004,$C57,Data!$G$5:$G$5004,"الأولاد (Boys)")+ExOn*SUMIFS(مثال_Example!$Q$5:$Q$804,مثال_Example!$B$5:$B$804,$Q$6,مثال_Example!$D$5:$D$804,$B57,مثال_Example!$F$5:$F$804,$C57,مثال_Example!$G$5:$G$804,"الأولاد (Boys)"))</f>
        <v>0</v>
      </c>
      <c r="F57" s="39" t="n">
        <f aca="false">(SUMIFS(Data!$Q$5:$Q$5004,Data!$B$5:$B$5004,$Q$6,Data!$D$5:$D$5004,$B57,Data!$F$5:$F$5004,$C57,Data!$G$5:$G$5004,"البنات (Girls)")+ExOn*SUMIFS(مثال_Example!$Q$5:$Q$804,مثال_Example!$B$5:$B$804,$Q$6,مثال_Example!$D$5:$D$804,$B57,مثال_Example!$F$5:$F$804,$C57,مثال_Example!$G$5:$G$804,"البنات (Girls)"))</f>
        <v>0</v>
      </c>
      <c r="G57" s="39" t="n">
        <f aca="false">E57+F57</f>
        <v>0</v>
      </c>
      <c r="H57" s="39" t="n">
        <f aca="false">(SUMIFS(Data!$Q$5:$Q$5004,Data!$B$5:$B$5004,$Q$6,Data!$D$5:$D$5004,$B57,Data!$F$5:$F$5004,$C57,Data!$G$5:$G$5004,"SEND")+ExOn*SUMIFS(مثال_Example!$Q$5:$Q$804,مثال_Example!$B$5:$B$804,$Q$6,مثال_Example!$D$5:$D$804,$B57,مثال_Example!$F$5:$F$804,$C57,مثال_Example!$G$5:$G$804,"SEND"))</f>
        <v>0</v>
      </c>
      <c r="I57" s="39" t="n">
        <f aca="false">(SUMIFS(Data!$Q$5:$Q$5004,Data!$B$5:$B$5004,$Q$6,Data!$D$5:$D$5004,$B57,Data!$F$5:$F$5004,$C57,Data!$G$5:$G$5004,"Gifted &amp; Talented")+ExOn*SUMIFS(مثال_Example!$Q$5:$Q$804,مثال_Example!$B$5:$B$804,$Q$6,مثال_Example!$D$5:$D$804,$B57,مثال_Example!$F$5:$F$804,$C57,مثال_Example!$G$5:$G$804,"Gifted &amp; Talented"))</f>
        <v>0</v>
      </c>
      <c r="J57" s="39" t="n">
        <f aca="false">(SUMIFS(Data!$Q$5:$Q$5004,Data!$B$5:$B$5004,$Q$6,Data!$D$5:$D$5004,$B57,Data!$F$5:$F$5004,$C57,Data!$G$5:$G$5004,"الإماراتيون (Emirati)")+ExOn*SUMIFS(مثال_Example!$Q$5:$Q$804,مثال_Example!$B$5:$B$804,$Q$6,مثال_Example!$D$5:$D$804,$B57,مثال_Example!$F$5:$F$804,$C57,مثال_Example!$G$5:$G$804,"الإماراتيون (Emirati)"))</f>
        <v>0</v>
      </c>
      <c r="K57" s="39" t="n">
        <f aca="false">(SUMIFS(Data!$T$5:$T$5004,Data!$B$5:$B$5004,$Q$6,Data!$D$5:$D$5004,$B57,Data!$F$5:$F$5004,$C57,Data!$G$5:$G$5004,"إجمالي الصف (All)")+ExOn*SUMIFS(مثال_Example!$T$5:$T$804,مثال_Example!$B$5:$B$804,$Q$6,مثال_Example!$D$5:$D$804,$B57,مثال_Example!$F$5:$F$804,$C57,مثال_Example!$G$5:$G$804,"إجمالي الصف (All)"))+(SUMIFS(Data!$U$5:$U$5004,Data!$B$5:$B$5004,$Q$6,Data!$D$5:$D$5004,$B57,Data!$F$5:$F$5004,$C57,Data!$G$5:$G$5004,"إجمالي الصف (All)")+ExOn*SUMIFS(مثال_Example!$U$5:$U$804,مثال_Example!$B$5:$B$804,$Q$6,مثال_Example!$D$5:$D$804,$B57,مثال_Example!$F$5:$F$804,$C57,مثال_Example!$G$5:$G$804,"إجمالي الصف (All)"))+(SUMIFS(Data!$V$5:$V$5004,Data!$B$5:$B$5004,$Q$6,Data!$D$5:$D$5004,$B57,Data!$F$5:$F$5004,$C57,Data!$G$5:$G$5004,"إجمالي الصف (All)")+ExOn*SUMIFS(مثال_Example!$V$5:$V$804,مثال_Example!$B$5:$B$804,$Q$6,مثال_Example!$D$5:$D$804,$B57,مثال_Example!$F$5:$F$804,$C57,مثال_Example!$G$5:$G$804,"إجمالي الصف (All)"))</f>
        <v>0</v>
      </c>
      <c r="L57" s="109" t="str">
        <f aca="false">IF(D57=0,IF(M57="","",M57),IF(M57="","OK",M57))</f>
        <v/>
      </c>
      <c r="M57" s="110" t="str">
        <f aca="false">IF(D57=0,IF(E57+F57+H57+I57+J57&gt;0,"⚠ مجموعات بلا إجمالي",""),TRIM(IF(AND(G57&gt;0,G57&lt;&gt;D57),"⚠ الأولاد+البنات ≠ الإجمالي · ","")&amp;IF(H57&gt;D57,"⚠ SEND &gt; الإجمالي · ","")&amp;IF(I57&gt;D57,"⚠ G&amp;T &gt; الإجمالي · ","")&amp;IF(J57&gt;D57,"⚠ الإماراتيون &gt; الإجمالي · ","")&amp;IF(K57&gt;D57,"⚠ حالات التقدم &gt; النتائج · ","")))</f>
        <v/>
      </c>
      <c r="N57" s="1"/>
    </row>
    <row r="58" customFormat="false" ht="15" hidden="false" customHeight="false" outlineLevel="0" collapsed="false">
      <c r="A58" s="1"/>
      <c r="B58" s="42" t="s">
        <v>182</v>
      </c>
      <c r="C58" s="42" t="s">
        <v>162</v>
      </c>
      <c r="D58" s="39" t="n">
        <f aca="false">(SUMIFS(Data!$Q$5:$Q$5004,Data!$B$5:$B$5004,$Q$6,Data!$D$5:$D$5004,$B58,Data!$F$5:$F$5004,$C58,Data!$G$5:$G$5004,"إجمالي الصف (All)")+ExOn*SUMIFS(مثال_Example!$Q$5:$Q$804,مثال_Example!$B$5:$B$804,$Q$6,مثال_Example!$D$5:$D$804,$B58,مثال_Example!$F$5:$F$804,$C58,مثال_Example!$G$5:$G$804,"إجمالي الصف (All)"))</f>
        <v>0</v>
      </c>
      <c r="E58" s="39" t="n">
        <f aca="false">(SUMIFS(Data!$Q$5:$Q$5004,Data!$B$5:$B$5004,$Q$6,Data!$D$5:$D$5004,$B58,Data!$F$5:$F$5004,$C58,Data!$G$5:$G$5004,"الأولاد (Boys)")+ExOn*SUMIFS(مثال_Example!$Q$5:$Q$804,مثال_Example!$B$5:$B$804,$Q$6,مثال_Example!$D$5:$D$804,$B58,مثال_Example!$F$5:$F$804,$C58,مثال_Example!$G$5:$G$804,"الأولاد (Boys)"))</f>
        <v>0</v>
      </c>
      <c r="F58" s="39" t="n">
        <f aca="false">(SUMIFS(Data!$Q$5:$Q$5004,Data!$B$5:$B$5004,$Q$6,Data!$D$5:$D$5004,$B58,Data!$F$5:$F$5004,$C58,Data!$G$5:$G$5004,"البنات (Girls)")+ExOn*SUMIFS(مثال_Example!$Q$5:$Q$804,مثال_Example!$B$5:$B$804,$Q$6,مثال_Example!$D$5:$D$804,$B58,مثال_Example!$F$5:$F$804,$C58,مثال_Example!$G$5:$G$804,"البنات (Girls)"))</f>
        <v>0</v>
      </c>
      <c r="G58" s="39" t="n">
        <f aca="false">E58+F58</f>
        <v>0</v>
      </c>
      <c r="H58" s="39" t="n">
        <f aca="false">(SUMIFS(Data!$Q$5:$Q$5004,Data!$B$5:$B$5004,$Q$6,Data!$D$5:$D$5004,$B58,Data!$F$5:$F$5004,$C58,Data!$G$5:$G$5004,"SEND")+ExOn*SUMIFS(مثال_Example!$Q$5:$Q$804,مثال_Example!$B$5:$B$804,$Q$6,مثال_Example!$D$5:$D$804,$B58,مثال_Example!$F$5:$F$804,$C58,مثال_Example!$G$5:$G$804,"SEND"))</f>
        <v>0</v>
      </c>
      <c r="I58" s="39" t="n">
        <f aca="false">(SUMIFS(Data!$Q$5:$Q$5004,Data!$B$5:$B$5004,$Q$6,Data!$D$5:$D$5004,$B58,Data!$F$5:$F$5004,$C58,Data!$G$5:$G$5004,"Gifted &amp; Talented")+ExOn*SUMIFS(مثال_Example!$Q$5:$Q$804,مثال_Example!$B$5:$B$804,$Q$6,مثال_Example!$D$5:$D$804,$B58,مثال_Example!$F$5:$F$804,$C58,مثال_Example!$G$5:$G$804,"Gifted &amp; Talented"))</f>
        <v>0</v>
      </c>
      <c r="J58" s="39" t="n">
        <f aca="false">(SUMIFS(Data!$Q$5:$Q$5004,Data!$B$5:$B$5004,$Q$6,Data!$D$5:$D$5004,$B58,Data!$F$5:$F$5004,$C58,Data!$G$5:$G$5004,"الإماراتيون (Emirati)")+ExOn*SUMIFS(مثال_Example!$Q$5:$Q$804,مثال_Example!$B$5:$B$804,$Q$6,مثال_Example!$D$5:$D$804,$B58,مثال_Example!$F$5:$F$804,$C58,مثال_Example!$G$5:$G$804,"الإماراتيون (Emirati)"))</f>
        <v>0</v>
      </c>
      <c r="K58" s="39" t="n">
        <f aca="false">(SUMIFS(Data!$T$5:$T$5004,Data!$B$5:$B$5004,$Q$6,Data!$D$5:$D$5004,$B58,Data!$F$5:$F$5004,$C58,Data!$G$5:$G$5004,"إجمالي الصف (All)")+ExOn*SUMIFS(مثال_Example!$T$5:$T$804,مثال_Example!$B$5:$B$804,$Q$6,مثال_Example!$D$5:$D$804,$B58,مثال_Example!$F$5:$F$804,$C58,مثال_Example!$G$5:$G$804,"إجمالي الصف (All)"))+(SUMIFS(Data!$U$5:$U$5004,Data!$B$5:$B$5004,$Q$6,Data!$D$5:$D$5004,$B58,Data!$F$5:$F$5004,$C58,Data!$G$5:$G$5004,"إجمالي الصف (All)")+ExOn*SUMIFS(مثال_Example!$U$5:$U$804,مثال_Example!$B$5:$B$804,$Q$6,مثال_Example!$D$5:$D$804,$B58,مثال_Example!$F$5:$F$804,$C58,مثال_Example!$G$5:$G$804,"إجمالي الصف (All)"))+(SUMIFS(Data!$V$5:$V$5004,Data!$B$5:$B$5004,$Q$6,Data!$D$5:$D$5004,$B58,Data!$F$5:$F$5004,$C58,Data!$G$5:$G$5004,"إجمالي الصف (All)")+ExOn*SUMIFS(مثال_Example!$V$5:$V$804,مثال_Example!$B$5:$B$804,$Q$6,مثال_Example!$D$5:$D$804,$B58,مثال_Example!$F$5:$F$804,$C58,مثال_Example!$G$5:$G$804,"إجمالي الصف (All)"))</f>
        <v>0</v>
      </c>
      <c r="L58" s="109" t="str">
        <f aca="false">IF(D58=0,IF(M58="","",M58),IF(M58="","OK",M58))</f>
        <v/>
      </c>
      <c r="M58" s="110" t="str">
        <f aca="false">IF(D58=0,IF(E58+F58+H58+I58+J58&gt;0,"⚠ مجموعات بلا إجمالي",""),TRIM(IF(AND(G58&gt;0,G58&lt;&gt;D58),"⚠ الأولاد+البنات ≠ الإجمالي · ","")&amp;IF(H58&gt;D58,"⚠ SEND &gt; الإجمالي · ","")&amp;IF(I58&gt;D58,"⚠ G&amp;T &gt; الإجمالي · ","")&amp;IF(J58&gt;D58,"⚠ الإماراتيون &gt; الإجمالي · ","")&amp;IF(K58&gt;D58,"⚠ حالات التقدم &gt; النتائج · ","")))</f>
        <v/>
      </c>
      <c r="N58" s="1"/>
    </row>
    <row r="59" customFormat="false" ht="15" hidden="false" customHeight="false" outlineLevel="0" collapsed="false">
      <c r="A59" s="1"/>
      <c r="B59" s="42" t="s">
        <v>182</v>
      </c>
      <c r="C59" s="42" t="s">
        <v>107</v>
      </c>
      <c r="D59" s="39" t="n">
        <f aca="false">(SUMIFS(Data!$Q$5:$Q$5004,Data!$B$5:$B$5004,$Q$6,Data!$D$5:$D$5004,$B59,Data!$F$5:$F$5004,$C59,Data!$G$5:$G$5004,"إجمالي الصف (All)")+ExOn*SUMIFS(مثال_Example!$Q$5:$Q$804,مثال_Example!$B$5:$B$804,$Q$6,مثال_Example!$D$5:$D$804,$B59,مثال_Example!$F$5:$F$804,$C59,مثال_Example!$G$5:$G$804,"إجمالي الصف (All)"))</f>
        <v>0</v>
      </c>
      <c r="E59" s="39" t="n">
        <f aca="false">(SUMIFS(Data!$Q$5:$Q$5004,Data!$B$5:$B$5004,$Q$6,Data!$D$5:$D$5004,$B59,Data!$F$5:$F$5004,$C59,Data!$G$5:$G$5004,"الأولاد (Boys)")+ExOn*SUMIFS(مثال_Example!$Q$5:$Q$804,مثال_Example!$B$5:$B$804,$Q$6,مثال_Example!$D$5:$D$804,$B59,مثال_Example!$F$5:$F$804,$C59,مثال_Example!$G$5:$G$804,"الأولاد (Boys)"))</f>
        <v>0</v>
      </c>
      <c r="F59" s="39" t="n">
        <f aca="false">(SUMIFS(Data!$Q$5:$Q$5004,Data!$B$5:$B$5004,$Q$6,Data!$D$5:$D$5004,$B59,Data!$F$5:$F$5004,$C59,Data!$G$5:$G$5004,"البنات (Girls)")+ExOn*SUMIFS(مثال_Example!$Q$5:$Q$804,مثال_Example!$B$5:$B$804,$Q$6,مثال_Example!$D$5:$D$804,$B59,مثال_Example!$F$5:$F$804,$C59,مثال_Example!$G$5:$G$804,"البنات (Girls)"))</f>
        <v>0</v>
      </c>
      <c r="G59" s="39" t="n">
        <f aca="false">E59+F59</f>
        <v>0</v>
      </c>
      <c r="H59" s="39" t="n">
        <f aca="false">(SUMIFS(Data!$Q$5:$Q$5004,Data!$B$5:$B$5004,$Q$6,Data!$D$5:$D$5004,$B59,Data!$F$5:$F$5004,$C59,Data!$G$5:$G$5004,"SEND")+ExOn*SUMIFS(مثال_Example!$Q$5:$Q$804,مثال_Example!$B$5:$B$804,$Q$6,مثال_Example!$D$5:$D$804,$B59,مثال_Example!$F$5:$F$804,$C59,مثال_Example!$G$5:$G$804,"SEND"))</f>
        <v>0</v>
      </c>
      <c r="I59" s="39" t="n">
        <f aca="false">(SUMIFS(Data!$Q$5:$Q$5004,Data!$B$5:$B$5004,$Q$6,Data!$D$5:$D$5004,$B59,Data!$F$5:$F$5004,$C59,Data!$G$5:$G$5004,"Gifted &amp; Talented")+ExOn*SUMIFS(مثال_Example!$Q$5:$Q$804,مثال_Example!$B$5:$B$804,$Q$6,مثال_Example!$D$5:$D$804,$B59,مثال_Example!$F$5:$F$804,$C59,مثال_Example!$G$5:$G$804,"Gifted &amp; Talented"))</f>
        <v>0</v>
      </c>
      <c r="J59" s="39" t="n">
        <f aca="false">(SUMIFS(Data!$Q$5:$Q$5004,Data!$B$5:$B$5004,$Q$6,Data!$D$5:$D$5004,$B59,Data!$F$5:$F$5004,$C59,Data!$G$5:$G$5004,"الإماراتيون (Emirati)")+ExOn*SUMIFS(مثال_Example!$Q$5:$Q$804,مثال_Example!$B$5:$B$804,$Q$6,مثال_Example!$D$5:$D$804,$B59,مثال_Example!$F$5:$F$804,$C59,مثال_Example!$G$5:$G$804,"الإماراتيون (Emirati)"))</f>
        <v>0</v>
      </c>
      <c r="K59" s="39" t="n">
        <f aca="false">(SUMIFS(Data!$T$5:$T$5004,Data!$B$5:$B$5004,$Q$6,Data!$D$5:$D$5004,$B59,Data!$F$5:$F$5004,$C59,Data!$G$5:$G$5004,"إجمالي الصف (All)")+ExOn*SUMIFS(مثال_Example!$T$5:$T$804,مثال_Example!$B$5:$B$804,$Q$6,مثال_Example!$D$5:$D$804,$B59,مثال_Example!$F$5:$F$804,$C59,مثال_Example!$G$5:$G$804,"إجمالي الصف (All)"))+(SUMIFS(Data!$U$5:$U$5004,Data!$B$5:$B$5004,$Q$6,Data!$D$5:$D$5004,$B59,Data!$F$5:$F$5004,$C59,Data!$G$5:$G$5004,"إجمالي الصف (All)")+ExOn*SUMIFS(مثال_Example!$U$5:$U$804,مثال_Example!$B$5:$B$804,$Q$6,مثال_Example!$D$5:$D$804,$B59,مثال_Example!$F$5:$F$804,$C59,مثال_Example!$G$5:$G$804,"إجمالي الصف (All)"))+(SUMIFS(Data!$V$5:$V$5004,Data!$B$5:$B$5004,$Q$6,Data!$D$5:$D$5004,$B59,Data!$F$5:$F$5004,$C59,Data!$G$5:$G$5004,"إجمالي الصف (All)")+ExOn*SUMIFS(مثال_Example!$V$5:$V$804,مثال_Example!$B$5:$B$804,$Q$6,مثال_Example!$D$5:$D$804,$B59,مثال_Example!$F$5:$F$804,$C59,مثال_Example!$G$5:$G$804,"إجمالي الصف (All)"))</f>
        <v>0</v>
      </c>
      <c r="L59" s="109" t="str">
        <f aca="false">IF(D59=0,IF(M59="","",M59),IF(M59="","OK",M59))</f>
        <v/>
      </c>
      <c r="M59" s="110" t="str">
        <f aca="false">IF(D59=0,IF(E59+F59+H59+I59+J59&gt;0,"⚠ مجموعات بلا إجمالي",""),TRIM(IF(AND(G59&gt;0,G59&lt;&gt;D59),"⚠ الأولاد+البنات ≠ الإجمالي · ","")&amp;IF(H59&gt;D59,"⚠ SEND &gt; الإجمالي · ","")&amp;IF(I59&gt;D59,"⚠ G&amp;T &gt; الإجمالي · ","")&amp;IF(J59&gt;D59,"⚠ الإماراتيون &gt; الإجمالي · ","")&amp;IF(K59&gt;D59,"⚠ حالات التقدم &gt; النتائج · ","")))</f>
        <v/>
      </c>
      <c r="N59" s="1"/>
    </row>
    <row r="60" customFormat="false" ht="15" hidden="false" customHeight="false" outlineLevel="0" collapsed="false">
      <c r="A60" s="1"/>
      <c r="B60" s="42" t="s">
        <v>182</v>
      </c>
      <c r="C60" s="42" t="s">
        <v>163</v>
      </c>
      <c r="D60" s="39" t="n">
        <f aca="false">(SUMIFS(Data!$Q$5:$Q$5004,Data!$B$5:$B$5004,$Q$6,Data!$D$5:$D$5004,$B60,Data!$F$5:$F$5004,$C60,Data!$G$5:$G$5004,"إجمالي الصف (All)")+ExOn*SUMIFS(مثال_Example!$Q$5:$Q$804,مثال_Example!$B$5:$B$804,$Q$6,مثال_Example!$D$5:$D$804,$B60,مثال_Example!$F$5:$F$804,$C60,مثال_Example!$G$5:$G$804,"إجمالي الصف (All)"))</f>
        <v>0</v>
      </c>
      <c r="E60" s="39" t="n">
        <f aca="false">(SUMIFS(Data!$Q$5:$Q$5004,Data!$B$5:$B$5004,$Q$6,Data!$D$5:$D$5004,$B60,Data!$F$5:$F$5004,$C60,Data!$G$5:$G$5004,"الأولاد (Boys)")+ExOn*SUMIFS(مثال_Example!$Q$5:$Q$804,مثال_Example!$B$5:$B$804,$Q$6,مثال_Example!$D$5:$D$804,$B60,مثال_Example!$F$5:$F$804,$C60,مثال_Example!$G$5:$G$804,"الأولاد (Boys)"))</f>
        <v>0</v>
      </c>
      <c r="F60" s="39" t="n">
        <f aca="false">(SUMIFS(Data!$Q$5:$Q$5004,Data!$B$5:$B$5004,$Q$6,Data!$D$5:$D$5004,$B60,Data!$F$5:$F$5004,$C60,Data!$G$5:$G$5004,"البنات (Girls)")+ExOn*SUMIFS(مثال_Example!$Q$5:$Q$804,مثال_Example!$B$5:$B$804,$Q$6,مثال_Example!$D$5:$D$804,$B60,مثال_Example!$F$5:$F$804,$C60,مثال_Example!$G$5:$G$804,"البنات (Girls)"))</f>
        <v>0</v>
      </c>
      <c r="G60" s="39" t="n">
        <f aca="false">E60+F60</f>
        <v>0</v>
      </c>
      <c r="H60" s="39" t="n">
        <f aca="false">(SUMIFS(Data!$Q$5:$Q$5004,Data!$B$5:$B$5004,$Q$6,Data!$D$5:$D$5004,$B60,Data!$F$5:$F$5004,$C60,Data!$G$5:$G$5004,"SEND")+ExOn*SUMIFS(مثال_Example!$Q$5:$Q$804,مثال_Example!$B$5:$B$804,$Q$6,مثال_Example!$D$5:$D$804,$B60,مثال_Example!$F$5:$F$804,$C60,مثال_Example!$G$5:$G$804,"SEND"))</f>
        <v>0</v>
      </c>
      <c r="I60" s="39" t="n">
        <f aca="false">(SUMIFS(Data!$Q$5:$Q$5004,Data!$B$5:$B$5004,$Q$6,Data!$D$5:$D$5004,$B60,Data!$F$5:$F$5004,$C60,Data!$G$5:$G$5004,"Gifted &amp; Talented")+ExOn*SUMIFS(مثال_Example!$Q$5:$Q$804,مثال_Example!$B$5:$B$804,$Q$6,مثال_Example!$D$5:$D$804,$B60,مثال_Example!$F$5:$F$804,$C60,مثال_Example!$G$5:$G$804,"Gifted &amp; Talented"))</f>
        <v>0</v>
      </c>
      <c r="J60" s="39" t="n">
        <f aca="false">(SUMIFS(Data!$Q$5:$Q$5004,Data!$B$5:$B$5004,$Q$6,Data!$D$5:$D$5004,$B60,Data!$F$5:$F$5004,$C60,Data!$G$5:$G$5004,"الإماراتيون (Emirati)")+ExOn*SUMIFS(مثال_Example!$Q$5:$Q$804,مثال_Example!$B$5:$B$804,$Q$6,مثال_Example!$D$5:$D$804,$B60,مثال_Example!$F$5:$F$804,$C60,مثال_Example!$G$5:$G$804,"الإماراتيون (Emirati)"))</f>
        <v>0</v>
      </c>
      <c r="K60" s="39" t="n">
        <f aca="false">(SUMIFS(Data!$T$5:$T$5004,Data!$B$5:$B$5004,$Q$6,Data!$D$5:$D$5004,$B60,Data!$F$5:$F$5004,$C60,Data!$G$5:$G$5004,"إجمالي الصف (All)")+ExOn*SUMIFS(مثال_Example!$T$5:$T$804,مثال_Example!$B$5:$B$804,$Q$6,مثال_Example!$D$5:$D$804,$B60,مثال_Example!$F$5:$F$804,$C60,مثال_Example!$G$5:$G$804,"إجمالي الصف (All)"))+(SUMIFS(Data!$U$5:$U$5004,Data!$B$5:$B$5004,$Q$6,Data!$D$5:$D$5004,$B60,Data!$F$5:$F$5004,$C60,Data!$G$5:$G$5004,"إجمالي الصف (All)")+ExOn*SUMIFS(مثال_Example!$U$5:$U$804,مثال_Example!$B$5:$B$804,$Q$6,مثال_Example!$D$5:$D$804,$B60,مثال_Example!$F$5:$F$804,$C60,مثال_Example!$G$5:$G$804,"إجمالي الصف (All)"))+(SUMIFS(Data!$V$5:$V$5004,Data!$B$5:$B$5004,$Q$6,Data!$D$5:$D$5004,$B60,Data!$F$5:$F$5004,$C60,Data!$G$5:$G$5004,"إجمالي الصف (All)")+ExOn*SUMIFS(مثال_Example!$V$5:$V$804,مثال_Example!$B$5:$B$804,$Q$6,مثال_Example!$D$5:$D$804,$B60,مثال_Example!$F$5:$F$804,$C60,مثال_Example!$G$5:$G$804,"إجمالي الصف (All)"))</f>
        <v>0</v>
      </c>
      <c r="L60" s="109" t="str">
        <f aca="false">IF(D60=0,IF(M60="","",M60),IF(M60="","OK",M60))</f>
        <v/>
      </c>
      <c r="M60" s="110" t="str">
        <f aca="false">IF(D60=0,IF(E60+F60+H60+I60+J60&gt;0,"⚠ مجموعات بلا إجمالي",""),TRIM(IF(AND(G60&gt;0,G60&lt;&gt;D60),"⚠ الأولاد+البنات ≠ الإجمالي · ","")&amp;IF(H60&gt;D60,"⚠ SEND &gt; الإجمالي · ","")&amp;IF(I60&gt;D60,"⚠ G&amp;T &gt; الإجمالي · ","")&amp;IF(J60&gt;D60,"⚠ الإماراتيون &gt; الإجمالي · ","")&amp;IF(K60&gt;D60,"⚠ حالات التقدم &gt; النتائج · ","")))</f>
        <v/>
      </c>
      <c r="N60" s="1"/>
    </row>
    <row r="61" customFormat="false" ht="15" hidden="false" customHeight="false" outlineLevel="0" collapsed="false">
      <c r="A61" s="1"/>
      <c r="B61" s="42" t="s">
        <v>182</v>
      </c>
      <c r="C61" s="42" t="s">
        <v>164</v>
      </c>
      <c r="D61" s="39" t="n">
        <f aca="false">(SUMIFS(Data!$Q$5:$Q$5004,Data!$B$5:$B$5004,$Q$6,Data!$D$5:$D$5004,$B61,Data!$F$5:$F$5004,$C61,Data!$G$5:$G$5004,"إجمالي الصف (All)")+ExOn*SUMIFS(مثال_Example!$Q$5:$Q$804,مثال_Example!$B$5:$B$804,$Q$6,مثال_Example!$D$5:$D$804,$B61,مثال_Example!$F$5:$F$804,$C61,مثال_Example!$G$5:$G$804,"إجمالي الصف (All)"))</f>
        <v>0</v>
      </c>
      <c r="E61" s="39" t="n">
        <f aca="false">(SUMIFS(Data!$Q$5:$Q$5004,Data!$B$5:$B$5004,$Q$6,Data!$D$5:$D$5004,$B61,Data!$F$5:$F$5004,$C61,Data!$G$5:$G$5004,"الأولاد (Boys)")+ExOn*SUMIFS(مثال_Example!$Q$5:$Q$804,مثال_Example!$B$5:$B$804,$Q$6,مثال_Example!$D$5:$D$804,$B61,مثال_Example!$F$5:$F$804,$C61,مثال_Example!$G$5:$G$804,"الأولاد (Boys)"))</f>
        <v>0</v>
      </c>
      <c r="F61" s="39" t="n">
        <f aca="false">(SUMIFS(Data!$Q$5:$Q$5004,Data!$B$5:$B$5004,$Q$6,Data!$D$5:$D$5004,$B61,Data!$F$5:$F$5004,$C61,Data!$G$5:$G$5004,"البنات (Girls)")+ExOn*SUMIFS(مثال_Example!$Q$5:$Q$804,مثال_Example!$B$5:$B$804,$Q$6,مثال_Example!$D$5:$D$804,$B61,مثال_Example!$F$5:$F$804,$C61,مثال_Example!$G$5:$G$804,"البنات (Girls)"))</f>
        <v>0</v>
      </c>
      <c r="G61" s="39" t="n">
        <f aca="false">E61+F61</f>
        <v>0</v>
      </c>
      <c r="H61" s="39" t="n">
        <f aca="false">(SUMIFS(Data!$Q$5:$Q$5004,Data!$B$5:$B$5004,$Q$6,Data!$D$5:$D$5004,$B61,Data!$F$5:$F$5004,$C61,Data!$G$5:$G$5004,"SEND")+ExOn*SUMIFS(مثال_Example!$Q$5:$Q$804,مثال_Example!$B$5:$B$804,$Q$6,مثال_Example!$D$5:$D$804,$B61,مثال_Example!$F$5:$F$804,$C61,مثال_Example!$G$5:$G$804,"SEND"))</f>
        <v>0</v>
      </c>
      <c r="I61" s="39" t="n">
        <f aca="false">(SUMIFS(Data!$Q$5:$Q$5004,Data!$B$5:$B$5004,$Q$6,Data!$D$5:$D$5004,$B61,Data!$F$5:$F$5004,$C61,Data!$G$5:$G$5004,"Gifted &amp; Talented")+ExOn*SUMIFS(مثال_Example!$Q$5:$Q$804,مثال_Example!$B$5:$B$804,$Q$6,مثال_Example!$D$5:$D$804,$B61,مثال_Example!$F$5:$F$804,$C61,مثال_Example!$G$5:$G$804,"Gifted &amp; Talented"))</f>
        <v>0</v>
      </c>
      <c r="J61" s="39" t="n">
        <f aca="false">(SUMIFS(Data!$Q$5:$Q$5004,Data!$B$5:$B$5004,$Q$6,Data!$D$5:$D$5004,$B61,Data!$F$5:$F$5004,$C61,Data!$G$5:$G$5004,"الإماراتيون (Emirati)")+ExOn*SUMIFS(مثال_Example!$Q$5:$Q$804,مثال_Example!$B$5:$B$804,$Q$6,مثال_Example!$D$5:$D$804,$B61,مثال_Example!$F$5:$F$804,$C61,مثال_Example!$G$5:$G$804,"الإماراتيون (Emirati)"))</f>
        <v>0</v>
      </c>
      <c r="K61" s="39" t="n">
        <f aca="false">(SUMIFS(Data!$T$5:$T$5004,Data!$B$5:$B$5004,$Q$6,Data!$D$5:$D$5004,$B61,Data!$F$5:$F$5004,$C61,Data!$G$5:$G$5004,"إجمالي الصف (All)")+ExOn*SUMIFS(مثال_Example!$T$5:$T$804,مثال_Example!$B$5:$B$804,$Q$6,مثال_Example!$D$5:$D$804,$B61,مثال_Example!$F$5:$F$804,$C61,مثال_Example!$G$5:$G$804,"إجمالي الصف (All)"))+(SUMIFS(Data!$U$5:$U$5004,Data!$B$5:$B$5004,$Q$6,Data!$D$5:$D$5004,$B61,Data!$F$5:$F$5004,$C61,Data!$G$5:$G$5004,"إجمالي الصف (All)")+ExOn*SUMIFS(مثال_Example!$U$5:$U$804,مثال_Example!$B$5:$B$804,$Q$6,مثال_Example!$D$5:$D$804,$B61,مثال_Example!$F$5:$F$804,$C61,مثال_Example!$G$5:$G$804,"إجمالي الصف (All)"))+(SUMIFS(Data!$V$5:$V$5004,Data!$B$5:$B$5004,$Q$6,Data!$D$5:$D$5004,$B61,Data!$F$5:$F$5004,$C61,Data!$G$5:$G$5004,"إجمالي الصف (All)")+ExOn*SUMIFS(مثال_Example!$V$5:$V$804,مثال_Example!$B$5:$B$804,$Q$6,مثال_Example!$D$5:$D$804,$B61,مثال_Example!$F$5:$F$804,$C61,مثال_Example!$G$5:$G$804,"إجمالي الصف (All)"))</f>
        <v>0</v>
      </c>
      <c r="L61" s="109" t="str">
        <f aca="false">IF(D61=0,IF(M61="","",M61),IF(M61="","OK",M61))</f>
        <v/>
      </c>
      <c r="M61" s="110" t="str">
        <f aca="false">IF(D61=0,IF(E61+F61+H61+I61+J61&gt;0,"⚠ مجموعات بلا إجمالي",""),TRIM(IF(AND(G61&gt;0,G61&lt;&gt;D61),"⚠ الأولاد+البنات ≠ الإجمالي · ","")&amp;IF(H61&gt;D61,"⚠ SEND &gt; الإجمالي · ","")&amp;IF(I61&gt;D61,"⚠ G&amp;T &gt; الإجمالي · ","")&amp;IF(J61&gt;D61,"⚠ الإماراتيون &gt; الإجمالي · ","")&amp;IF(K61&gt;D61,"⚠ حالات التقدم &gt; النتائج · ","")))</f>
        <v/>
      </c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sheetProtection sheet="true" formatColumns="false" formatRows="false" sort="false" autoFilter="false"/>
  <mergeCells count="4">
    <mergeCell ref="B1:L2"/>
    <mergeCell ref="B3:L3"/>
    <mergeCell ref="B10:C10"/>
    <mergeCell ref="B11:C11"/>
  </mergeCells>
  <conditionalFormatting sqref="L14:L61">
    <cfRule type="expression" priority="2" aboveAverage="0" equalAverage="0" bottom="0" percent="0" rank="0" text="" dxfId="23">
      <formula>LEFT($L14,1)="⚠"</formula>
    </cfRule>
    <cfRule type="expression" priority="3" aboveAverage="0" equalAverage="0" bottom="0" percent="0" rank="0" text="" dxfId="15">
      <formula>$L14="OK"</formula>
    </cfRule>
  </conditionalFormatting>
  <dataValidations count="1">
    <dataValidation allowBlank="true" error="اختر قيمة من القائمة" errorStyle="stop" errorTitle="قيمة غير صحيحة" operator="between" showDropDown="false" showErrorMessage="true" showInputMessage="false" sqref="B11" type="list">
      <formula1>Lists!$E$2:$E$10</formula1>
      <formula2>0</formula2>
    </dataValidation>
  </dataValidations>
  <hyperlinks>
    <hyperlink ref="B4" r:id="rId1" location="Guide!A1" display="الدليل"/>
    <hyperlink ref="C4" r:id="rId2" location="Dashboard!A1" display="اللوحة"/>
    <hyperlink ref="D4" r:id="rId3" location="Year_Panel!A1" display="لوحة الصف"/>
    <hyperlink ref="E4" r:id="rId4" location="Teacher_Report!A1" display="المعلمون"/>
    <hyperlink ref="F4" r:id="rId5" location="Data!A1" display="إدخال النتائج"/>
    <hyperlink ref="G4" r:id="rId6" location="Target_Attain!A1" display="هدف التحصيل"/>
    <hyperlink ref="H4" r:id="rId7" location="Target_Progress!A1" display="هدف التقدم"/>
    <hyperlink ref="I4" r:id="rId8" location="Settings!A1" display="الإعدادات"/>
    <hyperlink ref="J4" r:id="rId9" location="Progress_Matrix!A1" display="المصفوفة"/>
    <hyperlink ref="K4" r:id="rId10" location="Classes!A1" display="الصفوف"/>
    <hyperlink ref="L4" r:id="rId11" location="Checks!A1" display="فحوص"/>
    <hyperlink ref="M4" r:id="rId12" location="Tests!A1" display="اختبارا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8B8"/>
    <pageSetUpPr fitToPage="true"/>
  </sheetPr>
  <dimension ref="A1:N14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58"/>
    <col collapsed="false" customWidth="true" hidden="false" outlineLevel="0" max="5" min="4" style="0" width="16"/>
    <col collapsed="false" customWidth="true" hidden="false" outlineLevel="0" max="7" min="6" style="0" width="18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3" min="11" style="0" width="12"/>
  </cols>
  <sheetData>
    <row r="1" customFormat="false" ht="24" hidden="false" customHeight="true" outlineLevel="0" collapsed="false">
      <c r="A1" s="1"/>
      <c r="B1" s="2" t="s">
        <v>946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</row>
    <row r="3" customFormat="false" ht="15" hidden="false" customHeight="true" outlineLevel="0" collapsed="false">
      <c r="A3" s="1"/>
      <c r="B3" s="3" t="s">
        <v>947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</row>
    <row r="4" customFormat="false" ht="19.5" hidden="false" customHeight="true" outlineLevel="0" collapsed="false">
      <c r="A4" s="1"/>
      <c r="B4" s="8" t="s">
        <v>87</v>
      </c>
      <c r="C4" s="8" t="s">
        <v>88</v>
      </c>
      <c r="D4" s="8" t="s">
        <v>89</v>
      </c>
      <c r="E4" s="8" t="s">
        <v>90</v>
      </c>
      <c r="F4" s="8" t="s">
        <v>91</v>
      </c>
      <c r="G4" s="8" t="s">
        <v>92</v>
      </c>
      <c r="H4" s="8" t="s">
        <v>93</v>
      </c>
      <c r="I4" s="8" t="s">
        <v>94</v>
      </c>
      <c r="J4" s="8" t="s">
        <v>95</v>
      </c>
      <c r="K4" s="8" t="s">
        <v>96</v>
      </c>
      <c r="L4" s="8" t="s">
        <v>97</v>
      </c>
      <c r="M4" s="9" t="s">
        <v>98</v>
      </c>
      <c r="N4" s="1"/>
    </row>
    <row r="5" customFormat="false" ht="15" hidden="false" customHeight="false" outlineLevel="0" collapsed="false">
      <c r="A5" s="1"/>
      <c r="B5" s="111" t="s">
        <v>948</v>
      </c>
      <c r="C5" s="111" t="str">
        <f aca="false">COUNTIF(H8:H115,"PASS")&amp;" ناجح من "&amp;(COUNTIF(H8:H115,"PASS")+COUNTIF(H8:H115,"FAIL"))&amp;" · فاشل: "&amp;COUNTIF(H8:H115,"FAIL")</f>
        <v>101 ناجح من 101 · فاشل: 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31.5" hidden="false" customHeight="true" outlineLevel="0" collapsed="false">
      <c r="A7" s="1"/>
      <c r="B7" s="37" t="s">
        <v>949</v>
      </c>
      <c r="C7" s="37" t="s">
        <v>950</v>
      </c>
      <c r="D7" s="37" t="s">
        <v>951</v>
      </c>
      <c r="E7" s="37" t="s">
        <v>952</v>
      </c>
      <c r="F7" s="37" t="s">
        <v>953</v>
      </c>
      <c r="G7" s="37" t="s">
        <v>954</v>
      </c>
      <c r="H7" s="37" t="s">
        <v>955</v>
      </c>
      <c r="I7" s="1"/>
      <c r="J7" s="112" t="s">
        <v>956</v>
      </c>
      <c r="K7" s="112" t="s">
        <v>425</v>
      </c>
      <c r="L7" s="112" t="s">
        <v>424</v>
      </c>
      <c r="M7" s="112" t="s">
        <v>422</v>
      </c>
      <c r="N7" s="1"/>
    </row>
    <row r="8" customFormat="false" ht="15" hidden="false" customHeight="true" outlineLevel="0" collapsed="false">
      <c r="A8" s="1"/>
      <c r="B8" s="113" t="s">
        <v>957</v>
      </c>
      <c r="C8" s="113"/>
      <c r="D8" s="113"/>
      <c r="E8" s="113"/>
      <c r="F8" s="113"/>
      <c r="G8" s="113"/>
      <c r="H8" s="113"/>
      <c r="I8" s="1"/>
      <c r="J8" s="114" t="s">
        <v>197</v>
      </c>
      <c r="K8" s="42" t="n">
        <v>0</v>
      </c>
      <c r="L8" s="42" t="n">
        <v>1</v>
      </c>
      <c r="M8" s="42" t="n">
        <v>2</v>
      </c>
      <c r="N8" s="1"/>
    </row>
    <row r="9" customFormat="false" ht="15" hidden="false" customHeight="false" outlineLevel="0" collapsed="false">
      <c r="A9" s="1"/>
      <c r="B9" s="42" t="n">
        <v>1</v>
      </c>
      <c r="C9" s="109" t="s">
        <v>958</v>
      </c>
      <c r="D9" s="115" t="n">
        <v>0</v>
      </c>
      <c r="E9" s="115"/>
      <c r="F9" s="115" t="s">
        <v>196</v>
      </c>
      <c r="G9" s="115" t="str">
        <f aca="false">INDEX(GradeList,MATCH(D9,GradeMin,1))</f>
        <v>U</v>
      </c>
      <c r="H9" s="38" t="str">
        <f aca="false">IF(AND(ISNUMBER(F9),ISNUMBER(G9)),IF(ABS(F9-G9)&lt;0.000000001,"PASS","FAIL"),IF(G9=F9,"PASS","FAIL"))</f>
        <v>PASS</v>
      </c>
      <c r="I9" s="1"/>
      <c r="J9" s="114" t="s">
        <v>198</v>
      </c>
      <c r="K9" s="42" t="n">
        <v>0</v>
      </c>
      <c r="L9" s="42" t="n">
        <v>2</v>
      </c>
      <c r="M9" s="42" t="n">
        <v>3</v>
      </c>
      <c r="N9" s="1"/>
    </row>
    <row r="10" customFormat="false" ht="15" hidden="false" customHeight="false" outlineLevel="0" collapsed="false">
      <c r="A10" s="1"/>
      <c r="B10" s="42" t="n">
        <v>2</v>
      </c>
      <c r="C10" s="109" t="s">
        <v>958</v>
      </c>
      <c r="D10" s="115" t="n">
        <v>9.99</v>
      </c>
      <c r="E10" s="115"/>
      <c r="F10" s="115" t="s">
        <v>196</v>
      </c>
      <c r="G10" s="115" t="str">
        <f aca="false">INDEX(GradeList,MATCH(D10,GradeMin,1))</f>
        <v>U</v>
      </c>
      <c r="H10" s="38" t="str">
        <f aca="false">IF(AND(ISNUMBER(F10),ISNUMBER(G10)),IF(ABS(F10-G10)&lt;0.000000001,"PASS","FAIL"),IF(G10=F10,"PASS","FAIL"))</f>
        <v>PASS</v>
      </c>
      <c r="I10" s="1"/>
      <c r="J10" s="114" t="s">
        <v>199</v>
      </c>
      <c r="K10" s="42" t="n">
        <v>2</v>
      </c>
      <c r="L10" s="42" t="n">
        <v>3</v>
      </c>
      <c r="M10" s="42" t="n">
        <v>4</v>
      </c>
      <c r="N10" s="1"/>
    </row>
    <row r="11" customFormat="false" ht="15" hidden="false" customHeight="false" outlineLevel="0" collapsed="false">
      <c r="A11" s="1"/>
      <c r="B11" s="42" t="n">
        <v>3</v>
      </c>
      <c r="C11" s="109" t="s">
        <v>958</v>
      </c>
      <c r="D11" s="115" t="n">
        <v>10</v>
      </c>
      <c r="E11" s="115"/>
      <c r="F11" s="115" t="s">
        <v>197</v>
      </c>
      <c r="G11" s="115" t="str">
        <f aca="false">INDEX(GradeList,MATCH(D11,GradeMin,1))</f>
        <v>B</v>
      </c>
      <c r="H11" s="38" t="str">
        <f aca="false">IF(AND(ISNUMBER(F11),ISNUMBER(G11)),IF(ABS(F11-G11)&lt;0.000000001,"PASS","FAIL"),IF(G11=F11,"PASS","FAIL"))</f>
        <v>PASS</v>
      </c>
      <c r="I11" s="1"/>
      <c r="J11" s="114" t="s">
        <v>200</v>
      </c>
      <c r="K11" s="42" t="n">
        <v>3</v>
      </c>
      <c r="L11" s="42" t="n">
        <v>4</v>
      </c>
      <c r="M11" s="42" t="n">
        <v>5</v>
      </c>
      <c r="N11" s="1"/>
    </row>
    <row r="12" customFormat="false" ht="15" hidden="false" customHeight="false" outlineLevel="0" collapsed="false">
      <c r="A12" s="1"/>
      <c r="B12" s="42" t="n">
        <v>4</v>
      </c>
      <c r="C12" s="109" t="s">
        <v>958</v>
      </c>
      <c r="D12" s="115" t="n">
        <v>19.99</v>
      </c>
      <c r="E12" s="115"/>
      <c r="F12" s="115" t="s">
        <v>197</v>
      </c>
      <c r="G12" s="115" t="str">
        <f aca="false">INDEX(GradeList,MATCH(D12,GradeMin,1))</f>
        <v>B</v>
      </c>
      <c r="H12" s="38" t="str">
        <f aca="false">IF(AND(ISNUMBER(F12),ISNUMBER(G12)),IF(ABS(F12-G12)&lt;0.000000001,"PASS","FAIL"),IF(G12=F12,"PASS","FAIL"))</f>
        <v>PASS</v>
      </c>
      <c r="I12" s="1"/>
      <c r="J12" s="114" t="s">
        <v>201</v>
      </c>
      <c r="K12" s="42" t="n">
        <v>3</v>
      </c>
      <c r="L12" s="42" t="n">
        <v>5</v>
      </c>
      <c r="M12" s="42" t="n">
        <v>6</v>
      </c>
      <c r="N12" s="1"/>
    </row>
    <row r="13" customFormat="false" ht="15" hidden="false" customHeight="false" outlineLevel="0" collapsed="false">
      <c r="A13" s="1"/>
      <c r="B13" s="42" t="n">
        <v>5</v>
      </c>
      <c r="C13" s="109" t="s">
        <v>958</v>
      </c>
      <c r="D13" s="115" t="n">
        <v>20</v>
      </c>
      <c r="E13" s="115"/>
      <c r="F13" s="115" t="s">
        <v>198</v>
      </c>
      <c r="G13" s="115" t="str">
        <f aca="false">INDEX(GradeList,MATCH(D13,GradeMin,1))</f>
        <v>B+</v>
      </c>
      <c r="H13" s="38" t="str">
        <f aca="false">IF(AND(ISNUMBER(F13),ISNUMBER(G13)),IF(ABS(F13-G13)&lt;0.000000001,"PASS","FAIL"),IF(G13=F13,"PASS","FAIL"))</f>
        <v>PASS</v>
      </c>
      <c r="I13" s="1"/>
      <c r="J13" s="114" t="s">
        <v>202</v>
      </c>
      <c r="K13" s="42" t="n">
        <v>4</v>
      </c>
      <c r="L13" s="42" t="n">
        <v>5</v>
      </c>
      <c r="M13" s="42" t="n">
        <v>6</v>
      </c>
      <c r="N13" s="1"/>
    </row>
    <row r="14" customFormat="false" ht="15" hidden="false" customHeight="false" outlineLevel="0" collapsed="false">
      <c r="A14" s="1"/>
      <c r="B14" s="42" t="n">
        <v>6</v>
      </c>
      <c r="C14" s="109" t="s">
        <v>958</v>
      </c>
      <c r="D14" s="115" t="n">
        <v>29.99</v>
      </c>
      <c r="E14" s="115"/>
      <c r="F14" s="115" t="s">
        <v>198</v>
      </c>
      <c r="G14" s="115" t="str">
        <f aca="false">INDEX(GradeList,MATCH(D14,GradeMin,1))</f>
        <v>B+</v>
      </c>
      <c r="H14" s="38" t="str">
        <f aca="false">IF(AND(ISNUMBER(F14),ISNUMBER(G14)),IF(ABS(F14-G14)&lt;0.000000001,"PASS","FAIL"),IF(G14=F14,"PASS","FAIL"))</f>
        <v>PASS</v>
      </c>
      <c r="I14" s="1"/>
      <c r="J14" s="114" t="s">
        <v>203</v>
      </c>
      <c r="K14" s="42" t="n">
        <v>5</v>
      </c>
      <c r="L14" s="42" t="n">
        <v>6</v>
      </c>
      <c r="M14" s="42" t="n">
        <v>7</v>
      </c>
      <c r="N14" s="1"/>
    </row>
    <row r="15" customFormat="false" ht="15" hidden="false" customHeight="false" outlineLevel="0" collapsed="false">
      <c r="A15" s="1"/>
      <c r="B15" s="42" t="n">
        <v>7</v>
      </c>
      <c r="C15" s="109" t="s">
        <v>958</v>
      </c>
      <c r="D15" s="115" t="n">
        <v>30</v>
      </c>
      <c r="E15" s="115"/>
      <c r="F15" s="115" t="s">
        <v>199</v>
      </c>
      <c r="G15" s="115" t="str">
        <f aca="false">INDEX(GradeList,MATCH(D15,GradeMin,1))</f>
        <v>T</v>
      </c>
      <c r="H15" s="38" t="str">
        <f aca="false">IF(AND(ISNUMBER(F15),ISNUMBER(G15)),IF(ABS(F15-G15)&lt;0.000000001,"PASS","FAIL"),IF(G15=F15,"PASS","FAIL"))</f>
        <v>PASS</v>
      </c>
      <c r="I15" s="1"/>
      <c r="J15" s="114" t="s">
        <v>204</v>
      </c>
      <c r="K15" s="42" t="n">
        <v>6</v>
      </c>
      <c r="L15" s="42" t="n">
        <v>7</v>
      </c>
      <c r="M15" s="42" t="n">
        <v>8</v>
      </c>
      <c r="N15" s="1"/>
    </row>
    <row r="16" customFormat="false" ht="15" hidden="false" customHeight="false" outlineLevel="0" collapsed="false">
      <c r="A16" s="1"/>
      <c r="B16" s="42" t="n">
        <v>8</v>
      </c>
      <c r="C16" s="109" t="s">
        <v>958</v>
      </c>
      <c r="D16" s="115" t="n">
        <v>39.99</v>
      </c>
      <c r="E16" s="115"/>
      <c r="F16" s="115" t="s">
        <v>199</v>
      </c>
      <c r="G16" s="115" t="str">
        <f aca="false">INDEX(GradeList,MATCH(D16,GradeMin,1))</f>
        <v>T</v>
      </c>
      <c r="H16" s="38" t="str">
        <f aca="false">IF(AND(ISNUMBER(F16),ISNUMBER(G16)),IF(ABS(F16-G16)&lt;0.000000001,"PASS","FAIL"),IF(G16=F16,"PASS","FAIL"))</f>
        <v>PASS</v>
      </c>
      <c r="I16" s="1"/>
      <c r="J16" s="114" t="s">
        <v>205</v>
      </c>
      <c r="K16" s="42" t="n">
        <v>6</v>
      </c>
      <c r="L16" s="42" t="n">
        <v>7</v>
      </c>
      <c r="M16" s="42" t="n">
        <v>8</v>
      </c>
      <c r="N16" s="1"/>
    </row>
    <row r="17" customFormat="false" ht="15" hidden="false" customHeight="false" outlineLevel="0" collapsed="false">
      <c r="A17" s="1"/>
      <c r="B17" s="42" t="n">
        <v>9</v>
      </c>
      <c r="C17" s="109" t="s">
        <v>958</v>
      </c>
      <c r="D17" s="115" t="n">
        <v>40</v>
      </c>
      <c r="E17" s="115"/>
      <c r="F17" s="115" t="s">
        <v>200</v>
      </c>
      <c r="G17" s="115" t="str">
        <f aca="false">INDEX(GradeList,MATCH(D17,GradeMin,1))</f>
        <v>AT</v>
      </c>
      <c r="H17" s="38" t="str">
        <f aca="false">IF(AND(ISNUMBER(F17),ISNUMBER(G17)),IF(ABS(F17-G17)&lt;0.000000001,"PASS","FAIL"),IF(G17=F17,"PASS","FAIL"))</f>
        <v>PASS</v>
      </c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42" t="n">
        <v>10</v>
      </c>
      <c r="C18" s="109" t="s">
        <v>958</v>
      </c>
      <c r="D18" s="115" t="n">
        <v>49.99</v>
      </c>
      <c r="E18" s="115"/>
      <c r="F18" s="115" t="s">
        <v>200</v>
      </c>
      <c r="G18" s="115" t="str">
        <f aca="false">INDEX(GradeList,MATCH(D18,GradeMin,1))</f>
        <v>AT</v>
      </c>
      <c r="H18" s="38" t="str">
        <f aca="false">IF(AND(ISNUMBER(F18),ISNUMBER(G18)),IF(ABS(F18-G18)&lt;0.000000001,"PASS","FAIL"),IF(G18=F18,"PASS","FAIL"))</f>
        <v>PASS</v>
      </c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42" t="n">
        <v>11</v>
      </c>
      <c r="C19" s="109" t="s">
        <v>958</v>
      </c>
      <c r="D19" s="115" t="n">
        <v>50</v>
      </c>
      <c r="E19" s="115"/>
      <c r="F19" s="115" t="s">
        <v>201</v>
      </c>
      <c r="G19" s="115" t="str">
        <f aca="false">INDEX(GradeList,MATCH(D19,GradeMin,1))</f>
        <v>AT+</v>
      </c>
      <c r="H19" s="38" t="str">
        <f aca="false">IF(AND(ISNUMBER(F19),ISNUMBER(G19)),IF(ABS(F19-G19)&lt;0.000000001,"PASS","FAIL"),IF(G19=F19,"PASS","FAIL"))</f>
        <v>PASS</v>
      </c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42" t="n">
        <v>12</v>
      </c>
      <c r="C20" s="109" t="s">
        <v>958</v>
      </c>
      <c r="D20" s="115" t="n">
        <v>59.99</v>
      </c>
      <c r="E20" s="115"/>
      <c r="F20" s="115" t="s">
        <v>201</v>
      </c>
      <c r="G20" s="115" t="str">
        <f aca="false">INDEX(GradeList,MATCH(D20,GradeMin,1))</f>
        <v>AT+</v>
      </c>
      <c r="H20" s="38" t="str">
        <f aca="false">IF(AND(ISNUMBER(F20),ISNUMBER(G20)),IF(ABS(F20-G20)&lt;0.000000001,"PASS","FAIL"),IF(G20=F20,"PASS","FAIL"))</f>
        <v>PASS</v>
      </c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42" t="n">
        <v>13</v>
      </c>
      <c r="C21" s="109" t="s">
        <v>958</v>
      </c>
      <c r="D21" s="115" t="n">
        <v>60</v>
      </c>
      <c r="E21" s="115"/>
      <c r="F21" s="115" t="s">
        <v>202</v>
      </c>
      <c r="G21" s="115" t="str">
        <f aca="false">INDEX(GradeList,MATCH(D21,GradeMin,1))</f>
        <v>AB</v>
      </c>
      <c r="H21" s="38" t="str">
        <f aca="false">IF(AND(ISNUMBER(F21),ISNUMBER(G21)),IF(ABS(F21-G21)&lt;0.000000001,"PASS","FAIL"),IF(G21=F21,"PASS","FAIL"))</f>
        <v>PASS</v>
      </c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42" t="n">
        <v>14</v>
      </c>
      <c r="C22" s="109" t="s">
        <v>958</v>
      </c>
      <c r="D22" s="115" t="n">
        <v>69.99</v>
      </c>
      <c r="E22" s="115"/>
      <c r="F22" s="115" t="s">
        <v>202</v>
      </c>
      <c r="G22" s="115" t="str">
        <f aca="false">INDEX(GradeList,MATCH(D22,GradeMin,1))</f>
        <v>AB</v>
      </c>
      <c r="H22" s="38" t="str">
        <f aca="false">IF(AND(ISNUMBER(F22),ISNUMBER(G22)),IF(ABS(F22-G22)&lt;0.000000001,"PASS","FAIL"),IF(G22=F22,"PASS","FAIL"))</f>
        <v>PASS</v>
      </c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42" t="n">
        <v>15</v>
      </c>
      <c r="C23" s="109" t="s">
        <v>958</v>
      </c>
      <c r="D23" s="115" t="n">
        <v>70</v>
      </c>
      <c r="E23" s="115"/>
      <c r="F23" s="115" t="s">
        <v>203</v>
      </c>
      <c r="G23" s="115" t="str">
        <f aca="false">INDEX(GradeList,MATCH(D23,GradeMin,1))</f>
        <v>AB+</v>
      </c>
      <c r="H23" s="38" t="str">
        <f aca="false">IF(AND(ISNUMBER(F23),ISNUMBER(G23)),IF(ABS(F23-G23)&lt;0.000000001,"PASS","FAIL"),IF(G23=F23,"PASS","FAIL"))</f>
        <v>PASS</v>
      </c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42" t="n">
        <v>16</v>
      </c>
      <c r="C24" s="109" t="s">
        <v>958</v>
      </c>
      <c r="D24" s="115" t="n">
        <v>79.99</v>
      </c>
      <c r="E24" s="115"/>
      <c r="F24" s="115" t="s">
        <v>203</v>
      </c>
      <c r="G24" s="115" t="str">
        <f aca="false">INDEX(GradeList,MATCH(D24,GradeMin,1))</f>
        <v>AB+</v>
      </c>
      <c r="H24" s="38" t="str">
        <f aca="false">IF(AND(ISNUMBER(F24),ISNUMBER(G24)),IF(ABS(F24-G24)&lt;0.000000001,"PASS","FAIL"),IF(G24=F24,"PASS","FAIL"))</f>
        <v>PASS</v>
      </c>
      <c r="I24" s="1"/>
      <c r="J24" s="1"/>
      <c r="K24" s="1"/>
      <c r="L24" s="1"/>
      <c r="M24" s="1"/>
      <c r="N24" s="1"/>
    </row>
    <row r="25" customFormat="false" ht="15" hidden="false" customHeight="false" outlineLevel="0" collapsed="false">
      <c r="A25" s="1"/>
      <c r="B25" s="42" t="n">
        <v>17</v>
      </c>
      <c r="C25" s="109" t="s">
        <v>958</v>
      </c>
      <c r="D25" s="115" t="n">
        <v>80</v>
      </c>
      <c r="E25" s="115"/>
      <c r="F25" s="115" t="s">
        <v>204</v>
      </c>
      <c r="G25" s="115" t="str">
        <f aca="false">INDEX(GradeList,MATCH(D25,GradeMin,1))</f>
        <v>GD</v>
      </c>
      <c r="H25" s="38" t="str">
        <f aca="false">IF(AND(ISNUMBER(F25),ISNUMBER(G25)),IF(ABS(F25-G25)&lt;0.000000001,"PASS","FAIL"),IF(G25=F25,"PASS","FAIL"))</f>
        <v>PASS</v>
      </c>
      <c r="I25" s="1"/>
      <c r="J25" s="1"/>
      <c r="K25" s="1"/>
      <c r="L25" s="1"/>
      <c r="M25" s="1"/>
      <c r="N25" s="1"/>
    </row>
    <row r="26" customFormat="false" ht="15" hidden="false" customHeight="false" outlineLevel="0" collapsed="false">
      <c r="A26" s="1"/>
      <c r="B26" s="42" t="n">
        <v>18</v>
      </c>
      <c r="C26" s="109" t="s">
        <v>958</v>
      </c>
      <c r="D26" s="115" t="n">
        <v>89.99</v>
      </c>
      <c r="E26" s="115"/>
      <c r="F26" s="115" t="s">
        <v>204</v>
      </c>
      <c r="G26" s="115" t="str">
        <f aca="false">INDEX(GradeList,MATCH(D26,GradeMin,1))</f>
        <v>GD</v>
      </c>
      <c r="H26" s="38" t="str">
        <f aca="false">IF(AND(ISNUMBER(F26),ISNUMBER(G26)),IF(ABS(F26-G26)&lt;0.000000001,"PASS","FAIL"),IF(G26=F26,"PASS","FAIL"))</f>
        <v>PASS</v>
      </c>
      <c r="I26" s="1"/>
      <c r="J26" s="1"/>
      <c r="K26" s="1"/>
      <c r="L26" s="1"/>
      <c r="M26" s="1"/>
      <c r="N26" s="1"/>
    </row>
    <row r="27" customFormat="false" ht="15" hidden="false" customHeight="false" outlineLevel="0" collapsed="false">
      <c r="A27" s="1"/>
      <c r="B27" s="42" t="n">
        <v>19</v>
      </c>
      <c r="C27" s="109" t="s">
        <v>958</v>
      </c>
      <c r="D27" s="115" t="n">
        <v>90</v>
      </c>
      <c r="E27" s="115"/>
      <c r="F27" s="115" t="s">
        <v>205</v>
      </c>
      <c r="G27" s="115" t="str">
        <f aca="false">INDEX(GradeList,MATCH(D27,GradeMin,1))</f>
        <v>GD+</v>
      </c>
      <c r="H27" s="38" t="str">
        <f aca="false">IF(AND(ISNUMBER(F27),ISNUMBER(G27)),IF(ABS(F27-G27)&lt;0.000000001,"PASS","FAIL"),IF(G27=F27,"PASS","FAIL"))</f>
        <v>PASS</v>
      </c>
      <c r="I27" s="1"/>
      <c r="J27" s="1"/>
      <c r="K27" s="1"/>
      <c r="L27" s="1"/>
      <c r="M27" s="1"/>
      <c r="N27" s="1"/>
    </row>
    <row r="28" customFormat="false" ht="15" hidden="false" customHeight="false" outlineLevel="0" collapsed="false">
      <c r="A28" s="1"/>
      <c r="B28" s="42" t="n">
        <v>20</v>
      </c>
      <c r="C28" s="109" t="s">
        <v>958</v>
      </c>
      <c r="D28" s="115" t="n">
        <v>100</v>
      </c>
      <c r="E28" s="115"/>
      <c r="F28" s="115" t="s">
        <v>205</v>
      </c>
      <c r="G28" s="115" t="str">
        <f aca="false">INDEX(GradeList,MATCH(D28,GradeMin,1))</f>
        <v>GD+</v>
      </c>
      <c r="H28" s="38" t="str">
        <f aca="false">IF(AND(ISNUMBER(F28),ISNUMBER(G28)),IF(ABS(F28-G28)&lt;0.000000001,"PASS","FAIL"),IF(G28=F28,"PASS","FAIL"))</f>
        <v>PASS</v>
      </c>
      <c r="I28" s="1"/>
      <c r="J28" s="1"/>
      <c r="K28" s="1"/>
      <c r="L28" s="1"/>
      <c r="M28" s="1"/>
      <c r="N28" s="1"/>
    </row>
    <row r="29" customFormat="false" ht="15" hidden="false" customHeight="true" outlineLevel="0" collapsed="false">
      <c r="A29" s="1"/>
      <c r="B29" s="113" t="s">
        <v>959</v>
      </c>
      <c r="C29" s="113"/>
      <c r="D29" s="113"/>
      <c r="E29" s="113"/>
      <c r="F29" s="113"/>
      <c r="G29" s="113"/>
      <c r="H29" s="113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42" t="n">
        <v>21</v>
      </c>
      <c r="C30" s="109" t="s">
        <v>960</v>
      </c>
      <c r="D30" s="115" t="s">
        <v>200</v>
      </c>
      <c r="E30" s="115" t="s">
        <v>200</v>
      </c>
      <c r="F30" s="115" t="s">
        <v>121</v>
      </c>
      <c r="G30" s="115" t="str">
        <f aca="false">INDEX(MxBody,MATCH(E30,MxCurr,0),MATCH(D30,MxStart,0))</f>
        <v>Expected</v>
      </c>
      <c r="H30" s="38" t="str">
        <f aca="false">IF(AND(ISNUMBER(F30),ISNUMBER(G30)),IF(ABS(F30-G30)&lt;0.000000001,"PASS","FAIL"),IF(G30=F30,"PASS","FAIL"))</f>
        <v>PASS</v>
      </c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42" t="n">
        <v>22</v>
      </c>
      <c r="C31" s="109" t="s">
        <v>960</v>
      </c>
      <c r="D31" s="115" t="s">
        <v>200</v>
      </c>
      <c r="E31" s="115" t="s">
        <v>201</v>
      </c>
      <c r="F31" s="115" t="s">
        <v>131</v>
      </c>
      <c r="G31" s="115" t="str">
        <f aca="false">INDEX(MxBody,MATCH(E31,MxCurr,0),MATCH(D31,MxStart,0))</f>
        <v>Better</v>
      </c>
      <c r="H31" s="38" t="str">
        <f aca="false">IF(AND(ISNUMBER(F31),ISNUMBER(G31)),IF(ABS(F31-G31)&lt;0.000000001,"PASS","FAIL"),IF(G31=F31,"PASS","FAIL"))</f>
        <v>PASS</v>
      </c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42" t="n">
        <v>23</v>
      </c>
      <c r="C32" s="109" t="s">
        <v>960</v>
      </c>
      <c r="D32" s="115" t="s">
        <v>203</v>
      </c>
      <c r="E32" s="115" t="s">
        <v>202</v>
      </c>
      <c r="F32" s="115" t="s">
        <v>121</v>
      </c>
      <c r="G32" s="115" t="str">
        <f aca="false">INDEX(MxBody,MATCH(E32,MxCurr,0),MATCH(D32,MxStart,0))</f>
        <v>Expected</v>
      </c>
      <c r="H32" s="38" t="str">
        <f aca="false">IF(AND(ISNUMBER(F32),ISNUMBER(G32)),IF(ABS(F32-G32)&lt;0.000000001,"PASS","FAIL"),IF(G32=F32,"PASS","FAIL"))</f>
        <v>PASS</v>
      </c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42" t="n">
        <v>24</v>
      </c>
      <c r="C33" s="109" t="s">
        <v>960</v>
      </c>
      <c r="D33" s="115" t="s">
        <v>203</v>
      </c>
      <c r="E33" s="115" t="s">
        <v>203</v>
      </c>
      <c r="F33" s="115" t="s">
        <v>131</v>
      </c>
      <c r="G33" s="115" t="str">
        <f aca="false">INDEX(MxBody,MATCH(E33,MxCurr,0),MATCH(D33,MxStart,0))</f>
        <v>Better</v>
      </c>
      <c r="H33" s="38" t="str">
        <f aca="false">IF(AND(ISNUMBER(F33),ISNUMBER(G33)),IF(ABS(F33-G33)&lt;0.000000001,"PASS","FAIL"),IF(G33=F33,"PASS","FAIL"))</f>
        <v>PASS</v>
      </c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42" t="n">
        <v>25</v>
      </c>
      <c r="C34" s="109" t="s">
        <v>960</v>
      </c>
      <c r="D34" s="115" t="s">
        <v>204</v>
      </c>
      <c r="E34" s="115" t="s">
        <v>204</v>
      </c>
      <c r="F34" s="115" t="s">
        <v>131</v>
      </c>
      <c r="G34" s="115" t="str">
        <f aca="false">INDEX(MxBody,MATCH(E34,MxCurr,0),MATCH(D34,MxStart,0))</f>
        <v>Better</v>
      </c>
      <c r="H34" s="38" t="str">
        <f aca="false">IF(AND(ISNUMBER(F34),ISNUMBER(G34)),IF(ABS(F34-G34)&lt;0.000000001,"PASS","FAIL"),IF(G34=F34,"PASS","FAIL"))</f>
        <v>PASS</v>
      </c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42" t="n">
        <v>26</v>
      </c>
      <c r="C35" s="109" t="s">
        <v>960</v>
      </c>
      <c r="D35" s="115" t="s">
        <v>205</v>
      </c>
      <c r="E35" s="115" t="s">
        <v>205</v>
      </c>
      <c r="F35" s="115" t="s">
        <v>131</v>
      </c>
      <c r="G35" s="115" t="str">
        <f aca="false">INDEX(MxBody,MATCH(E35,MxCurr,0),MATCH(D35,MxStart,0))</f>
        <v>Better</v>
      </c>
      <c r="H35" s="38" t="str">
        <f aca="false">IF(AND(ISNUMBER(F35),ISNUMBER(G35)),IF(ABS(F35-G35)&lt;0.000000001,"PASS","FAIL"),IF(G35=F35,"PASS","FAIL"))</f>
        <v>PASS</v>
      </c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42" t="n">
        <v>27</v>
      </c>
      <c r="C36" s="109" t="s">
        <v>960</v>
      </c>
      <c r="D36" s="115" t="s">
        <v>200</v>
      </c>
      <c r="E36" s="115" t="s">
        <v>199</v>
      </c>
      <c r="F36" s="115" t="s">
        <v>129</v>
      </c>
      <c r="G36" s="115" t="str">
        <f aca="false">INDEX(MxBody,MATCH(E36,MxCurr,0),MATCH(D36,MxStart,0))</f>
        <v>Less</v>
      </c>
      <c r="H36" s="38" t="str">
        <f aca="false">IF(AND(ISNUMBER(F36),ISNUMBER(G36)),IF(ABS(F36-G36)&lt;0.000000001,"PASS","FAIL"),IF(G36=F36,"PASS","FAIL"))</f>
        <v>PASS</v>
      </c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42" t="n">
        <v>28</v>
      </c>
      <c r="C37" s="109" t="s">
        <v>960</v>
      </c>
      <c r="D37" s="115" t="s">
        <v>197</v>
      </c>
      <c r="E37" s="115" t="s">
        <v>197</v>
      </c>
      <c r="F37" s="115" t="s">
        <v>121</v>
      </c>
      <c r="G37" s="115" t="str">
        <f aca="false">INDEX(MxBody,MATCH(E37,MxCurr,0),MATCH(D37,MxStart,0))</f>
        <v>Expected</v>
      </c>
      <c r="H37" s="38" t="str">
        <f aca="false">IF(AND(ISNUMBER(F37),ISNUMBER(G37)),IF(ABS(F37-G37)&lt;0.000000001,"PASS","FAIL"),IF(G37=F37,"PASS","FAIL"))</f>
        <v>PASS</v>
      </c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42" t="n">
        <v>29</v>
      </c>
      <c r="C38" s="109" t="s">
        <v>960</v>
      </c>
      <c r="D38" s="115" t="s">
        <v>197</v>
      </c>
      <c r="E38" s="115" t="s">
        <v>198</v>
      </c>
      <c r="F38" s="115" t="s">
        <v>131</v>
      </c>
      <c r="G38" s="115" t="str">
        <f aca="false">INDEX(MxBody,MATCH(E38,MxCurr,0),MATCH(D38,MxStart,0))</f>
        <v>Better</v>
      </c>
      <c r="H38" s="38" t="str">
        <f aca="false">IF(AND(ISNUMBER(F38),ISNUMBER(G38)),IF(ABS(F38-G38)&lt;0.000000001,"PASS","FAIL"),IF(G38=F38,"PASS","FAIL"))</f>
        <v>PASS</v>
      </c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42" t="n">
        <v>30</v>
      </c>
      <c r="C39" s="109" t="s">
        <v>960</v>
      </c>
      <c r="D39" s="115" t="s">
        <v>198</v>
      </c>
      <c r="E39" s="115" t="s">
        <v>197</v>
      </c>
      <c r="F39" s="115" t="s">
        <v>121</v>
      </c>
      <c r="G39" s="115" t="str">
        <f aca="false">INDEX(MxBody,MATCH(E39,MxCurr,0),MATCH(D39,MxStart,0))</f>
        <v>Expected</v>
      </c>
      <c r="H39" s="38" t="str">
        <f aca="false">IF(AND(ISNUMBER(F39),ISNUMBER(G39)),IF(ABS(F39-G39)&lt;0.000000001,"PASS","FAIL"),IF(G39=F39,"PASS","FAIL"))</f>
        <v>PASS</v>
      </c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42" t="n">
        <v>31</v>
      </c>
      <c r="C40" s="109" t="s">
        <v>960</v>
      </c>
      <c r="D40" s="115" t="s">
        <v>199</v>
      </c>
      <c r="E40" s="115" t="s">
        <v>198</v>
      </c>
      <c r="F40" s="115" t="s">
        <v>129</v>
      </c>
      <c r="G40" s="115" t="str">
        <f aca="false">INDEX(MxBody,MATCH(E40,MxCurr,0),MATCH(D40,MxStart,0))</f>
        <v>Less</v>
      </c>
      <c r="H40" s="38" t="str">
        <f aca="false">IF(AND(ISNUMBER(F40),ISNUMBER(G40)),IF(ABS(F40-G40)&lt;0.000000001,"PASS","FAIL"),IF(G40=F40,"PASS","FAIL"))</f>
        <v>PASS</v>
      </c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42" t="n">
        <v>32</v>
      </c>
      <c r="C41" s="109" t="s">
        <v>960</v>
      </c>
      <c r="D41" s="115" t="s">
        <v>199</v>
      </c>
      <c r="E41" s="115" t="s">
        <v>199</v>
      </c>
      <c r="F41" s="115" t="s">
        <v>121</v>
      </c>
      <c r="G41" s="115" t="str">
        <f aca="false">INDEX(MxBody,MATCH(E41,MxCurr,0),MATCH(D41,MxStart,0))</f>
        <v>Expected</v>
      </c>
      <c r="H41" s="38" t="str">
        <f aca="false">IF(AND(ISNUMBER(F41),ISNUMBER(G41)),IF(ABS(F41-G41)&lt;0.000000001,"PASS","FAIL"),IF(G41=F41,"PASS","FAIL"))</f>
        <v>PASS</v>
      </c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42" t="n">
        <v>33</v>
      </c>
      <c r="C42" s="109" t="s">
        <v>960</v>
      </c>
      <c r="D42" s="115" t="s">
        <v>201</v>
      </c>
      <c r="E42" s="115" t="s">
        <v>200</v>
      </c>
      <c r="F42" s="115" t="s">
        <v>121</v>
      </c>
      <c r="G42" s="115" t="str">
        <f aca="false">INDEX(MxBody,MATCH(E42,MxCurr,0),MATCH(D42,MxStart,0))</f>
        <v>Expected</v>
      </c>
      <c r="H42" s="38" t="str">
        <f aca="false">IF(AND(ISNUMBER(F42),ISNUMBER(G42)),IF(ABS(F42-G42)&lt;0.000000001,"PASS","FAIL"),IF(G42=F42,"PASS","FAIL"))</f>
        <v>PASS</v>
      </c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42" t="n">
        <v>34</v>
      </c>
      <c r="C43" s="109" t="s">
        <v>960</v>
      </c>
      <c r="D43" s="115" t="s">
        <v>201</v>
      </c>
      <c r="E43" s="115" t="s">
        <v>199</v>
      </c>
      <c r="F43" s="115" t="s">
        <v>129</v>
      </c>
      <c r="G43" s="115" t="str">
        <f aca="false">INDEX(MxBody,MATCH(E43,MxCurr,0),MATCH(D43,MxStart,0))</f>
        <v>Less</v>
      </c>
      <c r="H43" s="38" t="str">
        <f aca="false">IF(AND(ISNUMBER(F43),ISNUMBER(G43)),IF(ABS(F43-G43)&lt;0.000000001,"PASS","FAIL"),IF(G43=F43,"PASS","FAIL"))</f>
        <v>PASS</v>
      </c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42" t="n">
        <v>35</v>
      </c>
      <c r="C44" s="109" t="s">
        <v>960</v>
      </c>
      <c r="D44" s="115" t="s">
        <v>202</v>
      </c>
      <c r="E44" s="115" t="s">
        <v>201</v>
      </c>
      <c r="F44" s="115" t="s">
        <v>121</v>
      </c>
      <c r="G44" s="115" t="str">
        <f aca="false">INDEX(MxBody,MATCH(E44,MxCurr,0),MATCH(D44,MxStart,0))</f>
        <v>Expected</v>
      </c>
      <c r="H44" s="38" t="str">
        <f aca="false">IF(AND(ISNUMBER(F44),ISNUMBER(G44)),IF(ABS(F44-G44)&lt;0.000000001,"PASS","FAIL"),IF(G44=F44,"PASS","FAIL"))</f>
        <v>PASS</v>
      </c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42" t="n">
        <v>36</v>
      </c>
      <c r="C45" s="109" t="s">
        <v>960</v>
      </c>
      <c r="D45" s="115" t="s">
        <v>202</v>
      </c>
      <c r="E45" s="115" t="s">
        <v>202</v>
      </c>
      <c r="F45" s="115" t="s">
        <v>131</v>
      </c>
      <c r="G45" s="115" t="str">
        <f aca="false">INDEX(MxBody,MATCH(E45,MxCurr,0),MATCH(D45,MxStart,0))</f>
        <v>Better</v>
      </c>
      <c r="H45" s="38" t="str">
        <f aca="false">IF(AND(ISNUMBER(F45),ISNUMBER(G45)),IF(ABS(F45-G45)&lt;0.000000001,"PASS","FAIL"),IF(G45=F45,"PASS","FAIL"))</f>
        <v>PASS</v>
      </c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42" t="n">
        <v>37</v>
      </c>
      <c r="C46" s="109" t="s">
        <v>960</v>
      </c>
      <c r="D46" s="115" t="s">
        <v>202</v>
      </c>
      <c r="E46" s="115" t="s">
        <v>200</v>
      </c>
      <c r="F46" s="115" t="s">
        <v>129</v>
      </c>
      <c r="G46" s="115" t="str">
        <f aca="false">INDEX(MxBody,MATCH(E46,MxCurr,0),MATCH(D46,MxStart,0))</f>
        <v>Less</v>
      </c>
      <c r="H46" s="38" t="str">
        <f aca="false">IF(AND(ISNUMBER(F46),ISNUMBER(G46)),IF(ABS(F46-G46)&lt;0.000000001,"PASS","FAIL"),IF(G46=F46,"PASS","FAIL"))</f>
        <v>PASS</v>
      </c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42" t="n">
        <v>38</v>
      </c>
      <c r="C47" s="109" t="s">
        <v>960</v>
      </c>
      <c r="D47" s="115" t="s">
        <v>203</v>
      </c>
      <c r="E47" s="115" t="s">
        <v>201</v>
      </c>
      <c r="F47" s="115" t="s">
        <v>129</v>
      </c>
      <c r="G47" s="115" t="str">
        <f aca="false">INDEX(MxBody,MATCH(E47,MxCurr,0),MATCH(D47,MxStart,0))</f>
        <v>Less</v>
      </c>
      <c r="H47" s="38" t="str">
        <f aca="false">IF(AND(ISNUMBER(F47),ISNUMBER(G47)),IF(ABS(F47-G47)&lt;0.000000001,"PASS","FAIL"),IF(G47=F47,"PASS","FAIL"))</f>
        <v>PASS</v>
      </c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42" t="n">
        <v>39</v>
      </c>
      <c r="C48" s="109" t="s">
        <v>960</v>
      </c>
      <c r="D48" s="115" t="s">
        <v>204</v>
      </c>
      <c r="E48" s="115" t="s">
        <v>203</v>
      </c>
      <c r="F48" s="115" t="s">
        <v>121</v>
      </c>
      <c r="G48" s="115" t="str">
        <f aca="false">INDEX(MxBody,MATCH(E48,MxCurr,0),MATCH(D48,MxStart,0))</f>
        <v>Expected</v>
      </c>
      <c r="H48" s="38" t="str">
        <f aca="false">IF(AND(ISNUMBER(F48),ISNUMBER(G48)),IF(ABS(F48-G48)&lt;0.000000001,"PASS","FAIL"),IF(G48=F48,"PASS","FAIL"))</f>
        <v>PASS</v>
      </c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42" t="n">
        <v>40</v>
      </c>
      <c r="C49" s="109" t="s">
        <v>960</v>
      </c>
      <c r="D49" s="115" t="s">
        <v>204</v>
      </c>
      <c r="E49" s="115" t="s">
        <v>202</v>
      </c>
      <c r="F49" s="115" t="s">
        <v>129</v>
      </c>
      <c r="G49" s="115" t="str">
        <f aca="false">INDEX(MxBody,MATCH(E49,MxCurr,0),MATCH(D49,MxStart,0))</f>
        <v>Less</v>
      </c>
      <c r="H49" s="38" t="str">
        <f aca="false">IF(AND(ISNUMBER(F49),ISNUMBER(G49)),IF(ABS(F49-G49)&lt;0.000000001,"PASS","FAIL"),IF(G49=F49,"PASS","FAIL"))</f>
        <v>PASS</v>
      </c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42" t="n">
        <v>41</v>
      </c>
      <c r="C50" s="109" t="s">
        <v>960</v>
      </c>
      <c r="D50" s="115" t="s">
        <v>205</v>
      </c>
      <c r="E50" s="115" t="s">
        <v>203</v>
      </c>
      <c r="F50" s="115" t="s">
        <v>121</v>
      </c>
      <c r="G50" s="115" t="str">
        <f aca="false">INDEX(MxBody,MATCH(E50,MxCurr,0),MATCH(D50,MxStart,0))</f>
        <v>Expected</v>
      </c>
      <c r="H50" s="38" t="str">
        <f aca="false">IF(AND(ISNUMBER(F50),ISNUMBER(G50)),IF(ABS(F50-G50)&lt;0.000000001,"PASS","FAIL"),IF(G50=F50,"PASS","FAIL"))</f>
        <v>PASS</v>
      </c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42" t="n">
        <v>42</v>
      </c>
      <c r="C51" s="109" t="s">
        <v>960</v>
      </c>
      <c r="D51" s="115" t="s">
        <v>205</v>
      </c>
      <c r="E51" s="115" t="s">
        <v>204</v>
      </c>
      <c r="F51" s="115" t="s">
        <v>131</v>
      </c>
      <c r="G51" s="115" t="str">
        <f aca="false">INDEX(MxBody,MATCH(E51,MxCurr,0),MATCH(D51,MxStart,0))</f>
        <v>Better</v>
      </c>
      <c r="H51" s="38" t="str">
        <f aca="false">IF(AND(ISNUMBER(F51),ISNUMBER(G51)),IF(ABS(F51-G51)&lt;0.000000001,"PASS","FAIL"),IF(G51=F51,"PASS","FAIL"))</f>
        <v>PASS</v>
      </c>
      <c r="I51" s="1"/>
      <c r="J51" s="1"/>
      <c r="K51" s="1"/>
      <c r="L51" s="1"/>
      <c r="M51" s="1"/>
      <c r="N51" s="1"/>
    </row>
    <row r="52" customFormat="false" ht="15" hidden="false" customHeight="true" outlineLevel="0" collapsed="false">
      <c r="A52" s="1"/>
      <c r="B52" s="113" t="s">
        <v>961</v>
      </c>
      <c r="C52" s="113"/>
      <c r="D52" s="113"/>
      <c r="E52" s="113"/>
      <c r="F52" s="113"/>
      <c r="G52" s="113"/>
      <c r="H52" s="113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42" t="n">
        <v>43</v>
      </c>
      <c r="C53" s="109" t="s">
        <v>962</v>
      </c>
      <c r="D53" s="115" t="s">
        <v>197</v>
      </c>
      <c r="E53" s="115"/>
      <c r="F53" s="115" t="n">
        <v>0</v>
      </c>
      <c r="G53" s="115" t="n">
        <f aca="false">SUMPRODUCT(--((2-(INDEX(MxBody,0,1)="Less")+(INDEX(MxBody,0,1)="Better"))&lt;&gt;(2-(Progress_Matrix!$C$20:$C$28&lt;=$K$8)+(Progress_Matrix!$C$20:$C$28&gt;=$M$8))))</f>
        <v>0</v>
      </c>
      <c r="H53" s="38" t="str">
        <f aca="false">IF(AND(ISNUMBER(F53),ISNUMBER(G53)),IF(ABS(F53-G53)&lt;0.000000001,"PASS","FAIL"),IF(G53=F53,"PASS","FAIL"))</f>
        <v>PASS</v>
      </c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42" t="n">
        <v>44</v>
      </c>
      <c r="C54" s="109" t="s">
        <v>963</v>
      </c>
      <c r="D54" s="115" t="s">
        <v>198</v>
      </c>
      <c r="E54" s="115"/>
      <c r="F54" s="115" t="n">
        <v>0</v>
      </c>
      <c r="G54" s="115" t="n">
        <f aca="false">SUMPRODUCT(--((2-(INDEX(MxBody,0,2)="Less")+(INDEX(MxBody,0,2)="Better"))&lt;&gt;(2-(Progress_Matrix!$C$20:$C$28&lt;=$K$9)+(Progress_Matrix!$C$20:$C$28&gt;=$M$9))))</f>
        <v>0</v>
      </c>
      <c r="H54" s="38" t="str">
        <f aca="false">IF(AND(ISNUMBER(F54),ISNUMBER(G54)),IF(ABS(F54-G54)&lt;0.000000001,"PASS","FAIL"),IF(G54=F54,"PASS","FAIL"))</f>
        <v>PASS</v>
      </c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42" t="n">
        <v>45</v>
      </c>
      <c r="C55" s="109" t="s">
        <v>964</v>
      </c>
      <c r="D55" s="115" t="s">
        <v>199</v>
      </c>
      <c r="E55" s="115"/>
      <c r="F55" s="115" t="n">
        <v>0</v>
      </c>
      <c r="G55" s="115" t="n">
        <f aca="false">SUMPRODUCT(--((2-(INDEX(MxBody,0,3)="Less")+(INDEX(MxBody,0,3)="Better"))&lt;&gt;(2-(Progress_Matrix!$C$20:$C$28&lt;=$K$10)+(Progress_Matrix!$C$20:$C$28&gt;=$M$10))))</f>
        <v>0</v>
      </c>
      <c r="H55" s="38" t="str">
        <f aca="false">IF(AND(ISNUMBER(F55),ISNUMBER(G55)),IF(ABS(F55-G55)&lt;0.000000001,"PASS","FAIL"),IF(G55=F55,"PASS","FAIL"))</f>
        <v>PASS</v>
      </c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42" t="n">
        <v>46</v>
      </c>
      <c r="C56" s="109" t="s">
        <v>965</v>
      </c>
      <c r="D56" s="115" t="s">
        <v>200</v>
      </c>
      <c r="E56" s="115"/>
      <c r="F56" s="115" t="n">
        <v>0</v>
      </c>
      <c r="G56" s="115" t="n">
        <f aca="false">SUMPRODUCT(--((2-(INDEX(MxBody,0,4)="Less")+(INDEX(MxBody,0,4)="Better"))&lt;&gt;(2-(Progress_Matrix!$C$20:$C$28&lt;=$K$11)+(Progress_Matrix!$C$20:$C$28&gt;=$M$11))))</f>
        <v>0</v>
      </c>
      <c r="H56" s="38" t="str">
        <f aca="false">IF(AND(ISNUMBER(F56),ISNUMBER(G56)),IF(ABS(F56-G56)&lt;0.000000001,"PASS","FAIL"),IF(G56=F56,"PASS","FAIL"))</f>
        <v>PASS</v>
      </c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42" t="n">
        <v>47</v>
      </c>
      <c r="C57" s="109" t="s">
        <v>966</v>
      </c>
      <c r="D57" s="115" t="s">
        <v>201</v>
      </c>
      <c r="E57" s="115"/>
      <c r="F57" s="115" t="n">
        <v>0</v>
      </c>
      <c r="G57" s="115" t="n">
        <f aca="false">SUMPRODUCT(--((2-(INDEX(MxBody,0,5)="Less")+(INDEX(MxBody,0,5)="Better"))&lt;&gt;(2-(Progress_Matrix!$C$20:$C$28&lt;=$K$12)+(Progress_Matrix!$C$20:$C$28&gt;=$M$12))))</f>
        <v>0</v>
      </c>
      <c r="H57" s="38" t="str">
        <f aca="false">IF(AND(ISNUMBER(F57),ISNUMBER(G57)),IF(ABS(F57-G57)&lt;0.000000001,"PASS","FAIL"),IF(G57=F57,"PASS","FAIL"))</f>
        <v>PASS</v>
      </c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42" t="n">
        <v>48</v>
      </c>
      <c r="C58" s="109" t="s">
        <v>967</v>
      </c>
      <c r="D58" s="115" t="s">
        <v>202</v>
      </c>
      <c r="E58" s="115"/>
      <c r="F58" s="115" t="n">
        <v>0</v>
      </c>
      <c r="G58" s="115" t="n">
        <f aca="false">SUMPRODUCT(--((2-(INDEX(MxBody,0,6)="Less")+(INDEX(MxBody,0,6)="Better"))&lt;&gt;(2-(Progress_Matrix!$C$20:$C$28&lt;=$K$13)+(Progress_Matrix!$C$20:$C$28&gt;=$M$13))))</f>
        <v>0</v>
      </c>
      <c r="H58" s="38" t="str">
        <f aca="false">IF(AND(ISNUMBER(F58),ISNUMBER(G58)),IF(ABS(F58-G58)&lt;0.000000001,"PASS","FAIL"),IF(G58=F58,"PASS","FAIL"))</f>
        <v>PASS</v>
      </c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42" t="n">
        <v>49</v>
      </c>
      <c r="C59" s="109" t="s">
        <v>968</v>
      </c>
      <c r="D59" s="115" t="s">
        <v>203</v>
      </c>
      <c r="E59" s="115"/>
      <c r="F59" s="115" t="n">
        <v>0</v>
      </c>
      <c r="G59" s="115" t="n">
        <f aca="false">SUMPRODUCT(--((2-(INDEX(MxBody,0,7)="Less")+(INDEX(MxBody,0,7)="Better"))&lt;&gt;(2-(Progress_Matrix!$C$20:$C$28&lt;=$K$14)+(Progress_Matrix!$C$20:$C$28&gt;=$M$14))))</f>
        <v>0</v>
      </c>
      <c r="H59" s="38" t="str">
        <f aca="false">IF(AND(ISNUMBER(F59),ISNUMBER(G59)),IF(ABS(F59-G59)&lt;0.000000001,"PASS","FAIL"),IF(G59=F59,"PASS","FAIL"))</f>
        <v>PASS</v>
      </c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42" t="n">
        <v>50</v>
      </c>
      <c r="C60" s="109" t="s">
        <v>969</v>
      </c>
      <c r="D60" s="115" t="s">
        <v>204</v>
      </c>
      <c r="E60" s="115"/>
      <c r="F60" s="115" t="n">
        <v>0</v>
      </c>
      <c r="G60" s="115" t="n">
        <f aca="false">SUMPRODUCT(--((2-(INDEX(MxBody,0,8)="Less")+(INDEX(MxBody,0,8)="Better"))&lt;&gt;(2-(Progress_Matrix!$C$20:$C$28&lt;=$K$15)+(Progress_Matrix!$C$20:$C$28&gt;=$M$15))))</f>
        <v>0</v>
      </c>
      <c r="H60" s="38" t="str">
        <f aca="false">IF(AND(ISNUMBER(F60),ISNUMBER(G60)),IF(ABS(F60-G60)&lt;0.000000001,"PASS","FAIL"),IF(G60=F60,"PASS","FAIL"))</f>
        <v>PASS</v>
      </c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42" t="n">
        <v>51</v>
      </c>
      <c r="C61" s="109" t="s">
        <v>970</v>
      </c>
      <c r="D61" s="115" t="s">
        <v>205</v>
      </c>
      <c r="E61" s="115"/>
      <c r="F61" s="115" t="n">
        <v>0</v>
      </c>
      <c r="G61" s="115" t="n">
        <f aca="false">SUMPRODUCT(--((2-(INDEX(MxBody,0,9)="Less")+(INDEX(MxBody,0,9)="Better"))&lt;&gt;(2-(Progress_Matrix!$C$20:$C$28&lt;=$K$16)+(Progress_Matrix!$C$20:$C$28&gt;=$M$16))))</f>
        <v>0</v>
      </c>
      <c r="H61" s="38" t="str">
        <f aca="false">IF(AND(ISNUMBER(F61),ISNUMBER(G61)),IF(ABS(F61-G61)&lt;0.000000001,"PASS","FAIL"),IF(G61=F61,"PASS","FAIL"))</f>
        <v>PASS</v>
      </c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42" t="n">
        <v>52</v>
      </c>
      <c r="C62" s="109" t="s">
        <v>971</v>
      </c>
      <c r="D62" s="115" t="s">
        <v>197</v>
      </c>
      <c r="E62" s="115"/>
      <c r="F62" s="115" t="n">
        <v>0</v>
      </c>
      <c r="G62" s="115" t="n">
        <f aca="false">SUMPRODUCT(--(((INDEX(MxBody,2,1):INDEX(MxBody,9,1)="Better")*3+(INDEX(MxBody,2,1):INDEX(MxBody,9,1)="Expected")*2+(INDEX(MxBody,2,1):INDEX(MxBody,9,1)="Less"))&lt;((INDEX(MxBody,1,1):INDEX(MxBody,8,1)="Better")*3+(INDEX(MxBody,1,1):INDEX(MxBody,8,1)="Expected")*2+(INDEX(MxBody,1,1):INDEX(MxBody,8,1)="Less"))))</f>
        <v>0</v>
      </c>
      <c r="H62" s="38" t="str">
        <f aca="false">IF(AND(ISNUMBER(F62),ISNUMBER(G62)),IF(ABS(F62-G62)&lt;0.000000001,"PASS","FAIL"),IF(G62=F62,"PASS","FAIL"))</f>
        <v>PASS</v>
      </c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42" t="n">
        <v>53</v>
      </c>
      <c r="C63" s="109" t="s">
        <v>972</v>
      </c>
      <c r="D63" s="115" t="s">
        <v>198</v>
      </c>
      <c r="E63" s="115"/>
      <c r="F63" s="115" t="n">
        <v>0</v>
      </c>
      <c r="G63" s="115" t="n">
        <f aca="false">SUMPRODUCT(--(((INDEX(MxBody,2,2):INDEX(MxBody,9,2)="Better")*3+(INDEX(MxBody,2,2):INDEX(MxBody,9,2)="Expected")*2+(INDEX(MxBody,2,2):INDEX(MxBody,9,2)="Less"))&lt;((INDEX(MxBody,1,2):INDEX(MxBody,8,2)="Better")*3+(INDEX(MxBody,1,2):INDEX(MxBody,8,2)="Expected")*2+(INDEX(MxBody,1,2):INDEX(MxBody,8,2)="Less"))))</f>
        <v>0</v>
      </c>
      <c r="H63" s="38" t="str">
        <f aca="false">IF(AND(ISNUMBER(F63),ISNUMBER(G63)),IF(ABS(F63-G63)&lt;0.000000001,"PASS","FAIL"),IF(G63=F63,"PASS","FAIL"))</f>
        <v>PASS</v>
      </c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42" t="n">
        <v>54</v>
      </c>
      <c r="C64" s="109" t="s">
        <v>973</v>
      </c>
      <c r="D64" s="115" t="s">
        <v>199</v>
      </c>
      <c r="E64" s="115"/>
      <c r="F64" s="115" t="n">
        <v>0</v>
      </c>
      <c r="G64" s="115" t="n">
        <f aca="false">SUMPRODUCT(--(((INDEX(MxBody,2,3):INDEX(MxBody,9,3)="Better")*3+(INDEX(MxBody,2,3):INDEX(MxBody,9,3)="Expected")*2+(INDEX(MxBody,2,3):INDEX(MxBody,9,3)="Less"))&lt;((INDEX(MxBody,1,3):INDEX(MxBody,8,3)="Better")*3+(INDEX(MxBody,1,3):INDEX(MxBody,8,3)="Expected")*2+(INDEX(MxBody,1,3):INDEX(MxBody,8,3)="Less"))))</f>
        <v>0</v>
      </c>
      <c r="H64" s="38" t="str">
        <f aca="false">IF(AND(ISNUMBER(F64),ISNUMBER(G64)),IF(ABS(F64-G64)&lt;0.000000001,"PASS","FAIL"),IF(G64=F64,"PASS","FAIL"))</f>
        <v>PASS</v>
      </c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42" t="n">
        <v>55</v>
      </c>
      <c r="C65" s="109" t="s">
        <v>974</v>
      </c>
      <c r="D65" s="115" t="s">
        <v>200</v>
      </c>
      <c r="E65" s="115"/>
      <c r="F65" s="115" t="n">
        <v>0</v>
      </c>
      <c r="G65" s="115" t="n">
        <f aca="false">SUMPRODUCT(--(((INDEX(MxBody,2,4):INDEX(MxBody,9,4)="Better")*3+(INDEX(MxBody,2,4):INDEX(MxBody,9,4)="Expected")*2+(INDEX(MxBody,2,4):INDEX(MxBody,9,4)="Less"))&lt;((INDEX(MxBody,1,4):INDEX(MxBody,8,4)="Better")*3+(INDEX(MxBody,1,4):INDEX(MxBody,8,4)="Expected")*2+(INDEX(MxBody,1,4):INDEX(MxBody,8,4)="Less"))))</f>
        <v>0</v>
      </c>
      <c r="H65" s="38" t="str">
        <f aca="false">IF(AND(ISNUMBER(F65),ISNUMBER(G65)),IF(ABS(F65-G65)&lt;0.000000001,"PASS","FAIL"),IF(G65=F65,"PASS","FAIL"))</f>
        <v>PASS</v>
      </c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42" t="n">
        <v>56</v>
      </c>
      <c r="C66" s="109" t="s">
        <v>975</v>
      </c>
      <c r="D66" s="115" t="s">
        <v>201</v>
      </c>
      <c r="E66" s="115"/>
      <c r="F66" s="115" t="n">
        <v>0</v>
      </c>
      <c r="G66" s="115" t="n">
        <f aca="false">SUMPRODUCT(--(((INDEX(MxBody,2,5):INDEX(MxBody,9,5)="Better")*3+(INDEX(MxBody,2,5):INDEX(MxBody,9,5)="Expected")*2+(INDEX(MxBody,2,5):INDEX(MxBody,9,5)="Less"))&lt;((INDEX(MxBody,1,5):INDEX(MxBody,8,5)="Better")*3+(INDEX(MxBody,1,5):INDEX(MxBody,8,5)="Expected")*2+(INDEX(MxBody,1,5):INDEX(MxBody,8,5)="Less"))))</f>
        <v>0</v>
      </c>
      <c r="H66" s="38" t="str">
        <f aca="false">IF(AND(ISNUMBER(F66),ISNUMBER(G66)),IF(ABS(F66-G66)&lt;0.000000001,"PASS","FAIL"),IF(G66=F66,"PASS","FAIL"))</f>
        <v>PASS</v>
      </c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42" t="n">
        <v>57</v>
      </c>
      <c r="C67" s="109" t="s">
        <v>976</v>
      </c>
      <c r="D67" s="115" t="s">
        <v>202</v>
      </c>
      <c r="E67" s="115"/>
      <c r="F67" s="115" t="n">
        <v>0</v>
      </c>
      <c r="G67" s="115" t="n">
        <f aca="false">SUMPRODUCT(--(((INDEX(MxBody,2,6):INDEX(MxBody,9,6)="Better")*3+(INDEX(MxBody,2,6):INDEX(MxBody,9,6)="Expected")*2+(INDEX(MxBody,2,6):INDEX(MxBody,9,6)="Less"))&lt;((INDEX(MxBody,1,6):INDEX(MxBody,8,6)="Better")*3+(INDEX(MxBody,1,6):INDEX(MxBody,8,6)="Expected")*2+(INDEX(MxBody,1,6):INDEX(MxBody,8,6)="Less"))))</f>
        <v>0</v>
      </c>
      <c r="H67" s="38" t="str">
        <f aca="false">IF(AND(ISNUMBER(F67),ISNUMBER(G67)),IF(ABS(F67-G67)&lt;0.000000001,"PASS","FAIL"),IF(G67=F67,"PASS","FAIL"))</f>
        <v>PASS</v>
      </c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42" t="n">
        <v>58</v>
      </c>
      <c r="C68" s="109" t="s">
        <v>977</v>
      </c>
      <c r="D68" s="115" t="s">
        <v>203</v>
      </c>
      <c r="E68" s="115"/>
      <c r="F68" s="115" t="n">
        <v>0</v>
      </c>
      <c r="G68" s="115" t="n">
        <f aca="false">SUMPRODUCT(--(((INDEX(MxBody,2,7):INDEX(MxBody,9,7)="Better")*3+(INDEX(MxBody,2,7):INDEX(MxBody,9,7)="Expected")*2+(INDEX(MxBody,2,7):INDEX(MxBody,9,7)="Less"))&lt;((INDEX(MxBody,1,7):INDEX(MxBody,8,7)="Better")*3+(INDEX(MxBody,1,7):INDEX(MxBody,8,7)="Expected")*2+(INDEX(MxBody,1,7):INDEX(MxBody,8,7)="Less"))))</f>
        <v>0</v>
      </c>
      <c r="H68" s="38" t="str">
        <f aca="false">IF(AND(ISNUMBER(F68),ISNUMBER(G68)),IF(ABS(F68-G68)&lt;0.000000001,"PASS","FAIL"),IF(G68=F68,"PASS","FAIL"))</f>
        <v>PASS</v>
      </c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42" t="n">
        <v>59</v>
      </c>
      <c r="C69" s="109" t="s">
        <v>978</v>
      </c>
      <c r="D69" s="115" t="s">
        <v>204</v>
      </c>
      <c r="E69" s="115"/>
      <c r="F69" s="115" t="n">
        <v>0</v>
      </c>
      <c r="G69" s="115" t="n">
        <f aca="false">SUMPRODUCT(--(((INDEX(MxBody,2,8):INDEX(MxBody,9,8)="Better")*3+(INDEX(MxBody,2,8):INDEX(MxBody,9,8)="Expected")*2+(INDEX(MxBody,2,8):INDEX(MxBody,9,8)="Less"))&lt;((INDEX(MxBody,1,8):INDEX(MxBody,8,8)="Better")*3+(INDEX(MxBody,1,8):INDEX(MxBody,8,8)="Expected")*2+(INDEX(MxBody,1,8):INDEX(MxBody,8,8)="Less"))))</f>
        <v>0</v>
      </c>
      <c r="H69" s="38" t="str">
        <f aca="false">IF(AND(ISNUMBER(F69),ISNUMBER(G69)),IF(ABS(F69-G69)&lt;0.000000001,"PASS","FAIL"),IF(G69=F69,"PASS","FAIL"))</f>
        <v>PASS</v>
      </c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42" t="n">
        <v>60</v>
      </c>
      <c r="C70" s="109" t="s">
        <v>979</v>
      </c>
      <c r="D70" s="115" t="s">
        <v>205</v>
      </c>
      <c r="E70" s="115"/>
      <c r="F70" s="115" t="n">
        <v>0</v>
      </c>
      <c r="G70" s="115" t="n">
        <f aca="false">SUMPRODUCT(--(((INDEX(MxBody,2,9):INDEX(MxBody,9,9)="Better")*3+(INDEX(MxBody,2,9):INDEX(MxBody,9,9)="Expected")*2+(INDEX(MxBody,2,9):INDEX(MxBody,9,9)="Less"))&lt;((INDEX(MxBody,1,9):INDEX(MxBody,8,9)="Better")*3+(INDEX(MxBody,1,9):INDEX(MxBody,8,9)="Expected")*2+(INDEX(MxBody,1,9):INDEX(MxBody,8,9)="Less"))))</f>
        <v>0</v>
      </c>
      <c r="H70" s="38" t="str">
        <f aca="false">IF(AND(ISNUMBER(F70),ISNUMBER(G70)),IF(ABS(F70-G70)&lt;0.000000001,"PASS","FAIL"),IF(G70=F70,"PASS","FAIL"))</f>
        <v>PASS</v>
      </c>
      <c r="I70" s="1"/>
      <c r="J70" s="1"/>
      <c r="K70" s="1"/>
      <c r="L70" s="1"/>
      <c r="M70" s="1"/>
      <c r="N70" s="1"/>
    </row>
    <row r="71" customFormat="false" ht="15" hidden="false" customHeight="false" outlineLevel="0" collapsed="false">
      <c r="A71" s="1"/>
      <c r="B71" s="42" t="n">
        <v>61</v>
      </c>
      <c r="C71" s="109" t="s">
        <v>980</v>
      </c>
      <c r="D71" s="115"/>
      <c r="E71" s="115"/>
      <c r="F71" s="115" t="n">
        <v>81</v>
      </c>
      <c r="G71" s="115" t="n">
        <f aca="false">COUNTIF(MxBody,"Less")+COUNTIF(MxBody,"Expected")+COUNTIF(MxBody,"Better")</f>
        <v>81</v>
      </c>
      <c r="H71" s="38" t="str">
        <f aca="false">IF(AND(ISNUMBER(F71),ISNUMBER(G71)),IF(ABS(F71-G71)&lt;0.000000001,"PASS","FAIL"),IF(G71=F71,"PASS","FAIL"))</f>
        <v>PASS</v>
      </c>
      <c r="I71" s="1"/>
      <c r="J71" s="1"/>
      <c r="K71" s="1"/>
      <c r="L71" s="1"/>
      <c r="M71" s="1"/>
      <c r="N71" s="1"/>
    </row>
    <row r="72" customFormat="false" ht="15" hidden="false" customHeight="false" outlineLevel="0" collapsed="false">
      <c r="A72" s="1"/>
      <c r="B72" s="42" t="n">
        <v>62</v>
      </c>
      <c r="C72" s="109" t="s">
        <v>981</v>
      </c>
      <c r="D72" s="115"/>
      <c r="E72" s="115"/>
      <c r="F72" s="115" t="n">
        <v>0</v>
      </c>
      <c r="G72" s="115" t="n">
        <f aca="false">COUNTIF(INDEX(MxBody,0,1),"Less")+COUNTIF(INDEX(MxBody,0,2),"Less")</f>
        <v>0</v>
      </c>
      <c r="H72" s="38" t="str">
        <f aca="false">IF(AND(ISNUMBER(F72),ISNUMBER(G72)),IF(ABS(F72-G72)&lt;0.000000001,"PASS","FAIL"),IF(G72=F72,"PASS","FAIL"))</f>
        <v>PASS</v>
      </c>
      <c r="I72" s="1"/>
      <c r="J72" s="1"/>
      <c r="K72" s="1"/>
      <c r="L72" s="1"/>
      <c r="M72" s="1"/>
      <c r="N72" s="1"/>
    </row>
    <row r="73" customFormat="false" ht="15" hidden="false" customHeight="true" outlineLevel="0" collapsed="false">
      <c r="A73" s="1"/>
      <c r="B73" s="113" t="s">
        <v>982</v>
      </c>
      <c r="C73" s="113"/>
      <c r="D73" s="113"/>
      <c r="E73" s="113"/>
      <c r="F73" s="113"/>
      <c r="G73" s="113"/>
      <c r="H73" s="113"/>
      <c r="I73" s="1"/>
      <c r="J73" s="1"/>
      <c r="K73" s="1"/>
      <c r="L73" s="1"/>
      <c r="M73" s="1"/>
      <c r="N73" s="1"/>
    </row>
    <row r="74" customFormat="false" ht="15" hidden="false" customHeight="false" outlineLevel="0" collapsed="false">
      <c r="A74" s="1"/>
      <c r="B74" s="42" t="n">
        <v>63</v>
      </c>
      <c r="C74" s="109" t="s">
        <v>983</v>
      </c>
      <c r="D74" s="116" t="n">
        <v>0.15</v>
      </c>
      <c r="E74" s="116" t="n">
        <v>0</v>
      </c>
      <c r="F74" s="115" t="s">
        <v>146</v>
      </c>
      <c r="G74" s="115" t="str">
        <f aca="false">IF(1=0,"لا توجد بيانات",IF(ROUND(D74,10)&lt;=KeyA_VW,"Very Weak",IF(ROUND(D74,10)&lt;KeyA_Weak,"Weak",IF(ROUND(E74,10)&lt;KeyA_Acc,"Acceptable",IF(ROUND(E74,10)&lt;=KeyA_Good,"Good",IF(ROUND(E74,10)&lt;KeyA_Out,"Very Good","Outstanding"))))))</f>
        <v>Very Weak</v>
      </c>
      <c r="H74" s="38" t="str">
        <f aca="false">IF(AND(ISNUMBER(F74),ISNUMBER(G74)),IF(ABS(F74-G74)&lt;0.000000001,"PASS","FAIL"),IF(G74=F74,"PASS","FAIL"))</f>
        <v>PASS</v>
      </c>
      <c r="I74" s="1"/>
      <c r="J74" s="1"/>
      <c r="K74" s="1"/>
      <c r="L74" s="1"/>
      <c r="M74" s="1"/>
      <c r="N74" s="1"/>
    </row>
    <row r="75" customFormat="false" ht="15" hidden="false" customHeight="false" outlineLevel="0" collapsed="false">
      <c r="A75" s="1"/>
      <c r="B75" s="42" t="n">
        <v>64</v>
      </c>
      <c r="C75" s="109" t="s">
        <v>983</v>
      </c>
      <c r="D75" s="116" t="n">
        <v>0.1501</v>
      </c>
      <c r="E75" s="116" t="n">
        <v>0</v>
      </c>
      <c r="F75" s="115" t="s">
        <v>144</v>
      </c>
      <c r="G75" s="115" t="str">
        <f aca="false">IF(1=0,"لا توجد بيانات",IF(ROUND(D75,10)&lt;=KeyA_VW,"Very Weak",IF(ROUND(D75,10)&lt;KeyA_Weak,"Weak",IF(ROUND(E75,10)&lt;KeyA_Acc,"Acceptable",IF(ROUND(E75,10)&lt;=KeyA_Good,"Good",IF(ROUND(E75,10)&lt;KeyA_Out,"Very Good","Outstanding"))))))</f>
        <v>Weak</v>
      </c>
      <c r="H75" s="38" t="str">
        <f aca="false">IF(AND(ISNUMBER(F75),ISNUMBER(G75)),IF(ABS(F75-G75)&lt;0.000000001,"PASS","FAIL"),IF(G75=F75,"PASS","FAIL"))</f>
        <v>PASS</v>
      </c>
      <c r="I75" s="1"/>
      <c r="J75" s="1"/>
      <c r="K75" s="1"/>
      <c r="L75" s="1"/>
      <c r="M75" s="1"/>
      <c r="N75" s="1"/>
    </row>
    <row r="76" customFormat="false" ht="15" hidden="false" customHeight="false" outlineLevel="0" collapsed="false">
      <c r="A76" s="1"/>
      <c r="B76" s="42" t="n">
        <v>65</v>
      </c>
      <c r="C76" s="109" t="s">
        <v>983</v>
      </c>
      <c r="D76" s="116" t="n">
        <v>0</v>
      </c>
      <c r="E76" s="116" t="n">
        <v>0</v>
      </c>
      <c r="F76" s="115" t="s">
        <v>146</v>
      </c>
      <c r="G76" s="115" t="str">
        <f aca="false">IF(1=0,"لا توجد بيانات",IF(ROUND(D76,10)&lt;=KeyA_VW,"Very Weak",IF(ROUND(D76,10)&lt;KeyA_Weak,"Weak",IF(ROUND(E76,10)&lt;KeyA_Acc,"Acceptable",IF(ROUND(E76,10)&lt;=KeyA_Good,"Good",IF(ROUND(E76,10)&lt;KeyA_Out,"Very Good","Outstanding"))))))</f>
        <v>Very Weak</v>
      </c>
      <c r="H76" s="38" t="str">
        <f aca="false">IF(AND(ISNUMBER(F76),ISNUMBER(G76)),IF(ABS(F76-G76)&lt;0.000000001,"PASS","FAIL"),IF(G76=F76,"PASS","FAIL"))</f>
        <v>PASS</v>
      </c>
      <c r="I76" s="1"/>
      <c r="J76" s="1"/>
      <c r="K76" s="1"/>
      <c r="L76" s="1"/>
      <c r="M76" s="1"/>
      <c r="N76" s="1"/>
    </row>
    <row r="77" customFormat="false" ht="15" hidden="false" customHeight="false" outlineLevel="0" collapsed="false">
      <c r="A77" s="1"/>
      <c r="B77" s="42" t="n">
        <v>66</v>
      </c>
      <c r="C77" s="109" t="s">
        <v>983</v>
      </c>
      <c r="D77" s="116" t="n">
        <v>0.74</v>
      </c>
      <c r="E77" s="116" t="n">
        <v>0.7</v>
      </c>
      <c r="F77" s="115" t="s">
        <v>144</v>
      </c>
      <c r="G77" s="115" t="str">
        <f aca="false">IF(1=0,"لا توجد بيانات",IF(ROUND(D77,10)&lt;=KeyA_VW,"Very Weak",IF(ROUND(D77,10)&lt;KeyA_Weak,"Weak",IF(ROUND(E77,10)&lt;KeyA_Acc,"Acceptable",IF(ROUND(E77,10)&lt;=KeyA_Good,"Good",IF(ROUND(E77,10)&lt;KeyA_Out,"Very Good","Outstanding"))))))</f>
        <v>Weak</v>
      </c>
      <c r="H77" s="38" t="str">
        <f aca="false">IF(AND(ISNUMBER(F77),ISNUMBER(G77)),IF(ABS(F77-G77)&lt;0.000000001,"PASS","FAIL"),IF(G77=F77,"PASS","FAIL"))</f>
        <v>PASS</v>
      </c>
      <c r="I77" s="1"/>
      <c r="J77" s="1"/>
      <c r="K77" s="1"/>
      <c r="L77" s="1"/>
      <c r="M77" s="1"/>
      <c r="N77" s="1"/>
    </row>
    <row r="78" customFormat="false" ht="15" hidden="false" customHeight="false" outlineLevel="0" collapsed="false">
      <c r="A78" s="1"/>
      <c r="B78" s="42" t="n">
        <v>67</v>
      </c>
      <c r="C78" s="109" t="s">
        <v>983</v>
      </c>
      <c r="D78" s="116" t="n">
        <v>0.7499</v>
      </c>
      <c r="E78" s="116" t="n">
        <v>0.7</v>
      </c>
      <c r="F78" s="115" t="s">
        <v>144</v>
      </c>
      <c r="G78" s="115" t="str">
        <f aca="false">IF(1=0,"لا توجد بيانات",IF(ROUND(D78,10)&lt;=KeyA_VW,"Very Weak",IF(ROUND(D78,10)&lt;KeyA_Weak,"Weak",IF(ROUND(E78,10)&lt;KeyA_Acc,"Acceptable",IF(ROUND(E78,10)&lt;=KeyA_Good,"Good",IF(ROUND(E78,10)&lt;KeyA_Out,"Very Good","Outstanding"))))))</f>
        <v>Weak</v>
      </c>
      <c r="H78" s="38" t="str">
        <f aca="false">IF(AND(ISNUMBER(F78),ISNUMBER(G78)),IF(ABS(F78-G78)&lt;0.000000001,"PASS","FAIL"),IF(G78=F78,"PASS","FAIL"))</f>
        <v>PASS</v>
      </c>
      <c r="I78" s="1"/>
      <c r="J78" s="1"/>
      <c r="K78" s="1"/>
      <c r="L78" s="1"/>
      <c r="M78" s="1"/>
      <c r="N78" s="1"/>
    </row>
    <row r="79" customFormat="false" ht="15" hidden="false" customHeight="false" outlineLevel="0" collapsed="false">
      <c r="A79" s="1"/>
      <c r="B79" s="42" t="n">
        <v>68</v>
      </c>
      <c r="C79" s="109" t="s">
        <v>983</v>
      </c>
      <c r="D79" s="116" t="n">
        <v>0.75</v>
      </c>
      <c r="E79" s="116" t="n">
        <v>0.4999</v>
      </c>
      <c r="F79" s="115" t="s">
        <v>142</v>
      </c>
      <c r="G79" s="115" t="str">
        <f aca="false">IF(1=0,"لا توجد بيانات",IF(ROUND(D79,10)&lt;=KeyA_VW,"Very Weak",IF(ROUND(D79,10)&lt;KeyA_Weak,"Weak",IF(ROUND(E79,10)&lt;KeyA_Acc,"Acceptable",IF(ROUND(E79,10)&lt;=KeyA_Good,"Good",IF(ROUND(E79,10)&lt;KeyA_Out,"Very Good","Outstanding"))))))</f>
        <v>Acceptable</v>
      </c>
      <c r="H79" s="38" t="str">
        <f aca="false">IF(AND(ISNUMBER(F79),ISNUMBER(G79)),IF(ABS(F79-G79)&lt;0.000000001,"PASS","FAIL"),IF(G79=F79,"PASS","FAIL"))</f>
        <v>PASS</v>
      </c>
      <c r="I79" s="1"/>
      <c r="J79" s="1"/>
      <c r="K79" s="1"/>
      <c r="L79" s="1"/>
      <c r="M79" s="1"/>
      <c r="N79" s="1"/>
    </row>
    <row r="80" customFormat="false" ht="15" hidden="false" customHeight="false" outlineLevel="0" collapsed="false">
      <c r="A80" s="1"/>
      <c r="B80" s="42" t="n">
        <v>69</v>
      </c>
      <c r="C80" s="109" t="s">
        <v>983</v>
      </c>
      <c r="D80" s="116" t="n">
        <v>0.75</v>
      </c>
      <c r="E80" s="116" t="n">
        <v>0.5</v>
      </c>
      <c r="F80" s="115" t="s">
        <v>140</v>
      </c>
      <c r="G80" s="115" t="str">
        <f aca="false">IF(1=0,"لا توجد بيانات",IF(ROUND(D80,10)&lt;=KeyA_VW,"Very Weak",IF(ROUND(D80,10)&lt;KeyA_Weak,"Weak",IF(ROUND(E80,10)&lt;KeyA_Acc,"Acceptable",IF(ROUND(E80,10)&lt;=KeyA_Good,"Good",IF(ROUND(E80,10)&lt;KeyA_Out,"Very Good","Outstanding"))))))</f>
        <v>Good</v>
      </c>
      <c r="H80" s="38" t="str">
        <f aca="false">IF(AND(ISNUMBER(F80),ISNUMBER(G80)),IF(ABS(F80-G80)&lt;0.000000001,"PASS","FAIL"),IF(G80=F80,"PASS","FAIL"))</f>
        <v>PASS</v>
      </c>
      <c r="I80" s="1"/>
      <c r="J80" s="1"/>
      <c r="K80" s="1"/>
      <c r="L80" s="1"/>
      <c r="M80" s="1"/>
      <c r="N80" s="1"/>
    </row>
    <row r="81" customFormat="false" ht="15" hidden="false" customHeight="false" outlineLevel="0" collapsed="false">
      <c r="A81" s="1"/>
      <c r="B81" s="42" t="n">
        <v>70</v>
      </c>
      <c r="C81" s="109" t="s">
        <v>983</v>
      </c>
      <c r="D81" s="116" t="n">
        <v>0.8</v>
      </c>
      <c r="E81" s="116" t="n">
        <v>0.6</v>
      </c>
      <c r="F81" s="115" t="s">
        <v>140</v>
      </c>
      <c r="G81" s="115" t="str">
        <f aca="false">IF(1=0,"لا توجد بيانات",IF(ROUND(D81,10)&lt;=KeyA_VW,"Very Weak",IF(ROUND(D81,10)&lt;KeyA_Weak,"Weak",IF(ROUND(E81,10)&lt;KeyA_Acc,"Acceptable",IF(ROUND(E81,10)&lt;=KeyA_Good,"Good",IF(ROUND(E81,10)&lt;KeyA_Out,"Very Good","Outstanding"))))))</f>
        <v>Good</v>
      </c>
      <c r="H81" s="38" t="str">
        <f aca="false">IF(AND(ISNUMBER(F81),ISNUMBER(G81)),IF(ABS(F81-G81)&lt;0.000000001,"PASS","FAIL"),IF(G81=F81,"PASS","FAIL"))</f>
        <v>PASS</v>
      </c>
      <c r="I81" s="1"/>
      <c r="J81" s="1"/>
      <c r="K81" s="1"/>
      <c r="L81" s="1"/>
      <c r="M81" s="1"/>
      <c r="N81" s="1"/>
    </row>
    <row r="82" customFormat="false" ht="15" hidden="false" customHeight="false" outlineLevel="0" collapsed="false">
      <c r="A82" s="1"/>
      <c r="B82" s="42" t="n">
        <v>71</v>
      </c>
      <c r="C82" s="109" t="s">
        <v>983</v>
      </c>
      <c r="D82" s="116" t="n">
        <v>0.8</v>
      </c>
      <c r="E82" s="116" t="n">
        <v>0.6001</v>
      </c>
      <c r="F82" s="115" t="s">
        <v>138</v>
      </c>
      <c r="G82" s="115" t="str">
        <f aca="false">IF(1=0,"لا توجد بيانات",IF(ROUND(D82,10)&lt;=KeyA_VW,"Very Weak",IF(ROUND(D82,10)&lt;KeyA_Weak,"Weak",IF(ROUND(E82,10)&lt;KeyA_Acc,"Acceptable",IF(ROUND(E82,10)&lt;=KeyA_Good,"Good",IF(ROUND(E82,10)&lt;KeyA_Out,"Very Good","Outstanding"))))))</f>
        <v>Very Good</v>
      </c>
      <c r="H82" s="38" t="str">
        <f aca="false">IF(AND(ISNUMBER(F82),ISNUMBER(G82)),IF(ABS(F82-G82)&lt;0.000000001,"PASS","FAIL"),IF(G82=F82,"PASS","FAIL"))</f>
        <v>PASS</v>
      </c>
      <c r="I82" s="1"/>
      <c r="J82" s="1"/>
      <c r="K82" s="1"/>
      <c r="L82" s="1"/>
      <c r="M82" s="1"/>
      <c r="N82" s="1"/>
    </row>
    <row r="83" customFormat="false" ht="15" hidden="false" customHeight="false" outlineLevel="0" collapsed="false">
      <c r="A83" s="1"/>
      <c r="B83" s="42" t="n">
        <v>72</v>
      </c>
      <c r="C83" s="109" t="s">
        <v>983</v>
      </c>
      <c r="D83" s="116" t="n">
        <v>0.8</v>
      </c>
      <c r="E83" s="116" t="n">
        <v>0.7499</v>
      </c>
      <c r="F83" s="115" t="s">
        <v>138</v>
      </c>
      <c r="G83" s="115" t="str">
        <f aca="false">IF(1=0,"لا توجد بيانات",IF(ROUND(D83,10)&lt;=KeyA_VW,"Very Weak",IF(ROUND(D83,10)&lt;KeyA_Weak,"Weak",IF(ROUND(E83,10)&lt;KeyA_Acc,"Acceptable",IF(ROUND(E83,10)&lt;=KeyA_Good,"Good",IF(ROUND(E83,10)&lt;KeyA_Out,"Very Good","Outstanding"))))))</f>
        <v>Very Good</v>
      </c>
      <c r="H83" s="38" t="str">
        <f aca="false">IF(AND(ISNUMBER(F83),ISNUMBER(G83)),IF(ABS(F83-G83)&lt;0.000000001,"PASS","FAIL"),IF(G83=F83,"PASS","FAIL"))</f>
        <v>PASS</v>
      </c>
      <c r="I83" s="1"/>
      <c r="J83" s="1"/>
      <c r="K83" s="1"/>
      <c r="L83" s="1"/>
      <c r="M83" s="1"/>
      <c r="N83" s="1"/>
    </row>
    <row r="84" customFormat="false" ht="15" hidden="false" customHeight="false" outlineLevel="0" collapsed="false">
      <c r="A84" s="1"/>
      <c r="B84" s="42" t="n">
        <v>73</v>
      </c>
      <c r="C84" s="109" t="s">
        <v>983</v>
      </c>
      <c r="D84" s="116" t="n">
        <v>0.8</v>
      </c>
      <c r="E84" s="116" t="n">
        <v>0.75</v>
      </c>
      <c r="F84" s="115" t="s">
        <v>136</v>
      </c>
      <c r="G84" s="115" t="str">
        <f aca="false">IF(1=0,"لا توجد بيانات",IF(ROUND(D84,10)&lt;=KeyA_VW,"Very Weak",IF(ROUND(D84,10)&lt;KeyA_Weak,"Weak",IF(ROUND(E84,10)&lt;KeyA_Acc,"Acceptable",IF(ROUND(E84,10)&lt;=KeyA_Good,"Good",IF(ROUND(E84,10)&lt;KeyA_Out,"Very Good","Outstanding"))))))</f>
        <v>Outstanding</v>
      </c>
      <c r="H84" s="38" t="str">
        <f aca="false">IF(AND(ISNUMBER(F84),ISNUMBER(G84)),IF(ABS(F84-G84)&lt;0.000000001,"PASS","FAIL"),IF(G84=F84,"PASS","FAIL"))</f>
        <v>PASS</v>
      </c>
      <c r="I84" s="1"/>
      <c r="J84" s="1"/>
      <c r="K84" s="1"/>
      <c r="L84" s="1"/>
      <c r="M84" s="1"/>
      <c r="N84" s="1"/>
    </row>
    <row r="85" customFormat="false" ht="15" hidden="false" customHeight="false" outlineLevel="0" collapsed="false">
      <c r="A85" s="1"/>
      <c r="B85" s="42" t="n">
        <v>74</v>
      </c>
      <c r="C85" s="109" t="s">
        <v>983</v>
      </c>
      <c r="D85" s="116" t="n">
        <v>0.95</v>
      </c>
      <c r="E85" s="116" t="n">
        <v>0.9</v>
      </c>
      <c r="F85" s="115" t="s">
        <v>136</v>
      </c>
      <c r="G85" s="115" t="str">
        <f aca="false">IF(1=0,"لا توجد بيانات",IF(ROUND(D85,10)&lt;=KeyA_VW,"Very Weak",IF(ROUND(D85,10)&lt;KeyA_Weak,"Weak",IF(ROUND(E85,10)&lt;KeyA_Acc,"Acceptable",IF(ROUND(E85,10)&lt;=KeyA_Good,"Good",IF(ROUND(E85,10)&lt;KeyA_Out,"Very Good","Outstanding"))))))</f>
        <v>Outstanding</v>
      </c>
      <c r="H85" s="38" t="str">
        <f aca="false">IF(AND(ISNUMBER(F85),ISNUMBER(G85)),IF(ABS(F85-G85)&lt;0.000000001,"PASS","FAIL"),IF(G85=F85,"PASS","FAIL"))</f>
        <v>PASS</v>
      </c>
      <c r="I85" s="1"/>
      <c r="J85" s="1"/>
      <c r="K85" s="1"/>
      <c r="L85" s="1"/>
      <c r="M85" s="1"/>
      <c r="N85" s="1"/>
    </row>
    <row r="86" customFormat="false" ht="15" hidden="false" customHeight="false" outlineLevel="0" collapsed="false">
      <c r="A86" s="1"/>
      <c r="B86" s="42" t="n">
        <v>75</v>
      </c>
      <c r="C86" s="109" t="s">
        <v>983</v>
      </c>
      <c r="D86" s="116" t="n">
        <v>0.93</v>
      </c>
      <c r="E86" s="116" t="n">
        <v>0.55</v>
      </c>
      <c r="F86" s="115" t="s">
        <v>140</v>
      </c>
      <c r="G86" s="115" t="str">
        <f aca="false">IF(1=0,"لا توجد بيانات",IF(ROUND(D86,10)&lt;=KeyA_VW,"Very Weak",IF(ROUND(D86,10)&lt;KeyA_Weak,"Weak",IF(ROUND(E86,10)&lt;KeyA_Acc,"Acceptable",IF(ROUND(E86,10)&lt;=KeyA_Good,"Good",IF(ROUND(E86,10)&lt;KeyA_Out,"Very Good","Outstanding"))))))</f>
        <v>Good</v>
      </c>
      <c r="H86" s="38" t="str">
        <f aca="false">IF(AND(ISNUMBER(F86),ISNUMBER(G86)),IF(ABS(F86-G86)&lt;0.000000001,"PASS","FAIL"),IF(G86=F86,"PASS","FAIL"))</f>
        <v>PASS</v>
      </c>
      <c r="I86" s="1"/>
      <c r="J86" s="1"/>
      <c r="K86" s="1"/>
      <c r="L86" s="1"/>
      <c r="M86" s="1"/>
      <c r="N86" s="1"/>
    </row>
    <row r="87" customFormat="false" ht="15" hidden="false" customHeight="false" outlineLevel="0" collapsed="false">
      <c r="A87" s="1"/>
      <c r="B87" s="42" t="n">
        <v>76</v>
      </c>
      <c r="C87" s="109" t="s">
        <v>983</v>
      </c>
      <c r="D87" s="116" t="n">
        <v>1</v>
      </c>
      <c r="E87" s="116" t="n">
        <v>1</v>
      </c>
      <c r="F87" s="115" t="s">
        <v>136</v>
      </c>
      <c r="G87" s="115" t="str">
        <f aca="false">IF(1=0,"لا توجد بيانات",IF(ROUND(D87,10)&lt;=KeyA_VW,"Very Weak",IF(ROUND(D87,10)&lt;KeyA_Weak,"Weak",IF(ROUND(E87,10)&lt;KeyA_Acc,"Acceptable",IF(ROUND(E87,10)&lt;=KeyA_Good,"Good",IF(ROUND(E87,10)&lt;KeyA_Out,"Very Good","Outstanding"))))))</f>
        <v>Outstanding</v>
      </c>
      <c r="H87" s="38" t="str">
        <f aca="false">IF(AND(ISNUMBER(F87),ISNUMBER(G87)),IF(ABS(F87-G87)&lt;0.000000001,"PASS","FAIL"),IF(G87=F87,"PASS","FAIL"))</f>
        <v>PASS</v>
      </c>
      <c r="I87" s="1"/>
      <c r="J87" s="1"/>
      <c r="K87" s="1"/>
      <c r="L87" s="1"/>
      <c r="M87" s="1"/>
      <c r="N87" s="1"/>
    </row>
    <row r="88" customFormat="false" ht="15" hidden="false" customHeight="false" outlineLevel="0" collapsed="false">
      <c r="A88" s="1"/>
      <c r="B88" s="42" t="n">
        <v>77</v>
      </c>
      <c r="C88" s="109" t="s">
        <v>984</v>
      </c>
      <c r="D88" s="115" t="n">
        <v>0.9</v>
      </c>
      <c r="E88" s="115" t="n">
        <v>0.55</v>
      </c>
      <c r="F88" s="115" t="s">
        <v>140</v>
      </c>
      <c r="G88" s="115" t="str">
        <f aca="false">IF(1=0,"لا توجد بيانات",IF(ROUND(D88,10)&lt;=KeyP_VW,"Very Weak",IF(ROUND(D88,10)&lt;KeyP_Weak,"Weak",IF(ROUND(E88,10)&lt;KeyP_Acc,"Acceptable",IF(ROUND(E88,10)&lt;=KeyP_Good,"Good",IF(ROUND(E88,10)&lt;KeyP_Out,"Very Good","Outstanding"))))))</f>
        <v>Good</v>
      </c>
      <c r="H88" s="38" t="str">
        <f aca="false">IF(AND(ISNUMBER(F88),ISNUMBER(G88)),IF(ABS(F88-G88)&lt;0.000000001,"PASS","FAIL"),IF(G88=F88,"PASS","FAIL"))</f>
        <v>PASS</v>
      </c>
      <c r="I88" s="1"/>
      <c r="J88" s="1"/>
      <c r="K88" s="1"/>
      <c r="L88" s="1"/>
      <c r="M88" s="1"/>
      <c r="N88" s="1"/>
    </row>
    <row r="89" customFormat="false" ht="15" hidden="false" customHeight="false" outlineLevel="0" collapsed="false">
      <c r="A89" s="1"/>
      <c r="B89" s="42" t="n">
        <v>78</v>
      </c>
      <c r="C89" s="109" t="s">
        <v>985</v>
      </c>
      <c r="D89" s="115"/>
      <c r="E89" s="115"/>
      <c r="F89" s="115" t="s">
        <v>986</v>
      </c>
      <c r="G89" s="115" t="str">
        <f aca="false">IF(0=0,"لا توجد بيانات",IF(ROUND(0,10)&lt;=KeyA_VW,"Very Weak",IF(ROUND(0,10)&lt;KeyA_Weak,"Weak",IF(ROUND(0,10)&lt;KeyA_Acc,"Acceptable",IF(ROUND(0,10)&lt;=KeyA_Good,"Good",IF(ROUND(0,10)&lt;KeyA_Out,"Very Good","Outstanding"))))))</f>
        <v>لا توجد بيانات</v>
      </c>
      <c r="H89" s="38" t="str">
        <f aca="false">IF(AND(ISNUMBER(F89),ISNUMBER(G89)),IF(ABS(F89-G89)&lt;0.000000001,"PASS","FAIL"),IF(G89=F89,"PASS","FAIL"))</f>
        <v>PASS</v>
      </c>
      <c r="I89" s="1"/>
      <c r="J89" s="1"/>
      <c r="K89" s="1"/>
      <c r="L89" s="1"/>
      <c r="M89" s="1"/>
      <c r="N89" s="1"/>
    </row>
    <row r="90" customFormat="false" ht="15" hidden="false" customHeight="true" outlineLevel="0" collapsed="false">
      <c r="A90" s="1"/>
      <c r="B90" s="113" t="s">
        <v>987</v>
      </c>
      <c r="C90" s="113"/>
      <c r="D90" s="113"/>
      <c r="E90" s="113"/>
      <c r="F90" s="113"/>
      <c r="G90" s="113"/>
      <c r="H90" s="113"/>
      <c r="I90" s="1"/>
      <c r="J90" s="1"/>
      <c r="K90" s="1"/>
      <c r="L90" s="1"/>
      <c r="M90" s="1"/>
      <c r="N90" s="1"/>
    </row>
    <row r="91" customFormat="false" ht="15" hidden="false" customHeight="false" outlineLevel="0" collapsed="false">
      <c r="A91" s="1"/>
      <c r="B91" s="42" t="n">
        <v>79</v>
      </c>
      <c r="C91" s="109" t="s">
        <v>988</v>
      </c>
      <c r="D91" s="115" t="n">
        <v>40</v>
      </c>
      <c r="E91" s="115" t="n">
        <v>0.55</v>
      </c>
      <c r="F91" s="115" t="n">
        <v>22</v>
      </c>
      <c r="G91" s="115" t="n">
        <f aca="false">ROUND(ROUND(D91*E91,9),0)</f>
        <v>22</v>
      </c>
      <c r="H91" s="38" t="str">
        <f aca="false">IF(AND(ISNUMBER(F91),ISNUMBER(G91)),IF(ABS(F91-G91)&lt;0.000000001,"PASS","FAIL"),IF(G91=F91,"PASS","FAIL"))</f>
        <v>PASS</v>
      </c>
      <c r="I91" s="1"/>
      <c r="J91" s="1"/>
      <c r="K91" s="1"/>
      <c r="L91" s="1"/>
      <c r="M91" s="1"/>
      <c r="N91" s="1"/>
    </row>
    <row r="92" customFormat="false" ht="15" hidden="false" customHeight="false" outlineLevel="0" collapsed="false">
      <c r="A92" s="1"/>
      <c r="B92" s="42" t="n">
        <v>80</v>
      </c>
      <c r="C92" s="109" t="s">
        <v>989</v>
      </c>
      <c r="D92" s="115" t="n">
        <v>40</v>
      </c>
      <c r="E92" s="115" t="n">
        <v>0.93</v>
      </c>
      <c r="F92" s="115" t="n">
        <v>37</v>
      </c>
      <c r="G92" s="115" t="n">
        <f aca="false">ROUND(ROUND(D92*E92,9),0)</f>
        <v>37</v>
      </c>
      <c r="H92" s="38" t="str">
        <f aca="false">IF(AND(ISNUMBER(F92),ISNUMBER(G92)),IF(ABS(F92-G92)&lt;0.000000001,"PASS","FAIL"),IF(G92=F92,"PASS","FAIL"))</f>
        <v>PASS</v>
      </c>
      <c r="I92" s="1"/>
      <c r="J92" s="1"/>
      <c r="K92" s="1"/>
      <c r="L92" s="1"/>
      <c r="M92" s="1"/>
      <c r="N92" s="1"/>
    </row>
    <row r="93" customFormat="false" ht="15" hidden="false" customHeight="false" outlineLevel="0" collapsed="false">
      <c r="A93" s="1"/>
      <c r="B93" s="42" t="n">
        <v>81</v>
      </c>
      <c r="C93" s="109" t="s">
        <v>990</v>
      </c>
      <c r="D93" s="115" t="n">
        <v>40</v>
      </c>
      <c r="E93" s="115" t="n">
        <v>0.93</v>
      </c>
      <c r="F93" s="115" t="n">
        <v>38</v>
      </c>
      <c r="G93" s="115" t="n">
        <f aca="false">ROUNDUP(ROUND(D93*E93,9),0)</f>
        <v>38</v>
      </c>
      <c r="H93" s="38" t="str">
        <f aca="false">IF(AND(ISNUMBER(F93),ISNUMBER(G93)),IF(ABS(F93-G93)&lt;0.000000001,"PASS","FAIL"),IF(G93=F93,"PASS","FAIL"))</f>
        <v>PASS</v>
      </c>
      <c r="I93" s="1"/>
      <c r="J93" s="1"/>
      <c r="K93" s="1"/>
      <c r="L93" s="1"/>
      <c r="M93" s="1"/>
      <c r="N93" s="1"/>
    </row>
    <row r="94" customFormat="false" ht="15" hidden="false" customHeight="false" outlineLevel="0" collapsed="false">
      <c r="A94" s="1"/>
      <c r="B94" s="42" t="n">
        <v>82</v>
      </c>
      <c r="C94" s="109" t="s">
        <v>991</v>
      </c>
      <c r="D94" s="115" t="n">
        <v>40</v>
      </c>
      <c r="E94" s="115" t="n">
        <v>0.55</v>
      </c>
      <c r="F94" s="115" t="n">
        <v>22</v>
      </c>
      <c r="G94" s="115" t="n">
        <f aca="false">ROUNDUP(ROUND(D94*E94,9),0)</f>
        <v>22</v>
      </c>
      <c r="H94" s="38" t="str">
        <f aca="false">IF(AND(ISNUMBER(F94),ISNUMBER(G94)),IF(ABS(F94-G94)&lt;0.000000001,"PASS","FAIL"),IF(G94=F94,"PASS","FAIL"))</f>
        <v>PASS</v>
      </c>
      <c r="I94" s="1"/>
      <c r="J94" s="1"/>
      <c r="K94" s="1"/>
      <c r="L94" s="1"/>
      <c r="M94" s="1"/>
      <c r="N94" s="1"/>
    </row>
    <row r="95" customFormat="false" ht="15" hidden="false" customHeight="false" outlineLevel="0" collapsed="false">
      <c r="A95" s="1"/>
      <c r="B95" s="42" t="n">
        <v>83</v>
      </c>
      <c r="C95" s="109" t="s">
        <v>992</v>
      </c>
      <c r="D95" s="115" t="n">
        <v>25</v>
      </c>
      <c r="E95" s="115" t="n">
        <v>0.95</v>
      </c>
      <c r="F95" s="115" t="n">
        <v>24</v>
      </c>
      <c r="G95" s="115" t="n">
        <f aca="false">ROUND(ROUND(D95*E95,9),0)</f>
        <v>24</v>
      </c>
      <c r="H95" s="38" t="str">
        <f aca="false">IF(AND(ISNUMBER(F95),ISNUMBER(G95)),IF(ABS(F95-G95)&lt;0.000000001,"PASS","FAIL"),IF(G95=F95,"PASS","FAIL"))</f>
        <v>PASS</v>
      </c>
      <c r="I95" s="1"/>
      <c r="J95" s="1"/>
      <c r="K95" s="1"/>
      <c r="L95" s="1"/>
      <c r="M95" s="1"/>
      <c r="N95" s="1"/>
    </row>
    <row r="96" customFormat="false" ht="15" hidden="false" customHeight="false" outlineLevel="0" collapsed="false">
      <c r="A96" s="1"/>
      <c r="B96" s="42" t="n">
        <v>84</v>
      </c>
      <c r="C96" s="109" t="s">
        <v>993</v>
      </c>
      <c r="D96" s="115" t="n">
        <v>0.6</v>
      </c>
      <c r="E96" s="115" t="n">
        <v>0.5</v>
      </c>
      <c r="F96" s="115" t="s">
        <v>994</v>
      </c>
      <c r="G96" s="115" t="str">
        <f aca="false">IF(D96&gt;E96,"غير ممكن","ممكن")</f>
        <v>غير ممكن</v>
      </c>
      <c r="H96" s="38" t="str">
        <f aca="false">IF(AND(ISNUMBER(F96),ISNUMBER(G96)),IF(ABS(F96-G96)&lt;0.000000001,"PASS","FAIL"),IF(G96=F96,"PASS","FAIL"))</f>
        <v>PASS</v>
      </c>
      <c r="I96" s="1"/>
      <c r="J96" s="1"/>
      <c r="K96" s="1"/>
      <c r="L96" s="1"/>
      <c r="M96" s="1"/>
      <c r="N96" s="1"/>
    </row>
    <row r="97" customFormat="false" ht="15" hidden="false" customHeight="false" outlineLevel="0" collapsed="false">
      <c r="A97" s="1"/>
      <c r="B97" s="42" t="n">
        <v>85</v>
      </c>
      <c r="C97" s="109" t="s">
        <v>995</v>
      </c>
      <c r="D97" s="115" t="n">
        <v>0</v>
      </c>
      <c r="E97" s="115"/>
      <c r="F97" s="115" t="s">
        <v>996</v>
      </c>
      <c r="G97" s="115" t="str">
        <f aca="false">IF(OR(D97&lt;1,D97&lt;&gt;INT(D97)),"غير صالح","صالح")</f>
        <v>غير صالح</v>
      </c>
      <c r="H97" s="38" t="str">
        <f aca="false">IF(AND(ISNUMBER(F97),ISNUMBER(G97)),IF(ABS(F97-G97)&lt;0.000000001,"PASS","FAIL"),IF(G97=F97,"PASS","FAIL"))</f>
        <v>PASS</v>
      </c>
      <c r="I97" s="1"/>
      <c r="J97" s="1"/>
      <c r="K97" s="1"/>
      <c r="L97" s="1"/>
      <c r="M97" s="1"/>
      <c r="N97" s="1"/>
    </row>
    <row r="98" customFormat="false" ht="15" hidden="false" customHeight="true" outlineLevel="0" collapsed="false">
      <c r="A98" s="1"/>
      <c r="B98" s="113" t="s">
        <v>997</v>
      </c>
      <c r="C98" s="113"/>
      <c r="D98" s="113"/>
      <c r="E98" s="113"/>
      <c r="F98" s="113"/>
      <c r="G98" s="113"/>
      <c r="H98" s="113"/>
      <c r="I98" s="1"/>
      <c r="J98" s="1"/>
      <c r="K98" s="1"/>
      <c r="L98" s="1"/>
      <c r="M98" s="1"/>
      <c r="N98" s="1"/>
    </row>
    <row r="99" customFormat="false" ht="15" hidden="false" customHeight="false" outlineLevel="0" collapsed="false">
      <c r="A99" s="1"/>
      <c r="B99" s="42" t="n">
        <v>86</v>
      </c>
      <c r="C99" s="109" t="s">
        <v>998</v>
      </c>
      <c r="D99" s="115"/>
      <c r="E99" s="115"/>
      <c r="F99" s="115" t="n">
        <f aca="false">IF(Target_Attain!C13=1,Target_Attain!C6,0)</f>
        <v>40</v>
      </c>
      <c r="G99" s="115" t="n">
        <f aca="false">IF(Target_Attain!C13=1,Target_Attain!N32,0)</f>
        <v>40</v>
      </c>
      <c r="H99" s="38" t="str">
        <f aca="false">IF(AND(ISNUMBER(F99),ISNUMBER(G99)),IF(ABS(F99-G99)&lt;0.000000001,"PASS","FAIL"),IF(G99=F99,"PASS","FAIL"))</f>
        <v>PASS</v>
      </c>
      <c r="I99" s="1"/>
      <c r="J99" s="1"/>
      <c r="K99" s="1"/>
      <c r="L99" s="1"/>
      <c r="M99" s="1"/>
      <c r="N99" s="1"/>
    </row>
    <row r="100" customFormat="false" ht="15" hidden="false" customHeight="false" outlineLevel="0" collapsed="false">
      <c r="A100" s="1"/>
      <c r="B100" s="42" t="n">
        <v>87</v>
      </c>
      <c r="C100" s="109" t="s">
        <v>999</v>
      </c>
      <c r="D100" s="115"/>
      <c r="E100" s="115"/>
      <c r="F100" s="115" t="n">
        <v>0</v>
      </c>
      <c r="G100" s="115" t="n">
        <f aca="false">SUMPRODUCT((Target_Attain!N22:N31&lt;0)+(Target_Attain!N22:N31&lt;&gt;INT(Target_Attain!N22:N31)))</f>
        <v>0</v>
      </c>
      <c r="H100" s="38" t="str">
        <f aca="false">IF(AND(ISNUMBER(F100),ISNUMBER(G100)),IF(ABS(F100-G100)&lt;0.000000001,"PASS","FAIL"),IF(G100=F100,"PASS","FAIL"))</f>
        <v>PASS</v>
      </c>
      <c r="I100" s="1"/>
      <c r="J100" s="1"/>
      <c r="K100" s="1"/>
      <c r="L100" s="1"/>
      <c r="M100" s="1"/>
      <c r="N100" s="1"/>
    </row>
    <row r="101" customFormat="false" ht="15" hidden="false" customHeight="false" outlineLevel="0" collapsed="false">
      <c r="A101" s="1"/>
      <c r="B101" s="42" t="n">
        <v>88</v>
      </c>
      <c r="C101" s="109" t="s">
        <v>1000</v>
      </c>
      <c r="D101" s="115"/>
      <c r="E101" s="115"/>
      <c r="F101" s="117" t="b">
        <f aca="false">TRUE()</f>
        <v>1</v>
      </c>
      <c r="G101" s="117" t="b">
        <f aca="false">IF(Target_Attain!C13=1,Target_Attain!D37&lt;=Target_Attain!D36,TRUE())</f>
        <v>1</v>
      </c>
      <c r="H101" s="38" t="str">
        <f aca="false">IF(AND(ISNUMBER(F101),ISNUMBER(G101)),IF(ABS(F101-G101)&lt;0.000000001,"PASS","FAIL"),IF(G101=F101,"PASS","FAIL"))</f>
        <v>PASS</v>
      </c>
      <c r="I101" s="1"/>
      <c r="J101" s="1"/>
      <c r="K101" s="1"/>
      <c r="L101" s="1"/>
      <c r="M101" s="1"/>
      <c r="N101" s="1"/>
    </row>
    <row r="102" customFormat="false" ht="15" hidden="false" customHeight="false" outlineLevel="0" collapsed="false">
      <c r="A102" s="1"/>
      <c r="B102" s="42" t="n">
        <v>89</v>
      </c>
      <c r="C102" s="109" t="s">
        <v>1001</v>
      </c>
      <c r="D102" s="115"/>
      <c r="E102" s="115"/>
      <c r="F102" s="115" t="n">
        <f aca="false">Target_Progress!C26</f>
        <v>40</v>
      </c>
      <c r="G102" s="115" t="n">
        <f aca="false">Target_Progress!D79</f>
        <v>40</v>
      </c>
      <c r="H102" s="38" t="str">
        <f aca="false">IF(AND(ISNUMBER(F102),ISNUMBER(G102)),IF(ABS(F102-G102)&lt;0.000000001,"PASS","FAIL"),IF(G102=F102,"PASS","FAIL"))</f>
        <v>PASS</v>
      </c>
      <c r="I102" s="1"/>
      <c r="J102" s="1"/>
      <c r="K102" s="1"/>
      <c r="L102" s="1"/>
      <c r="M102" s="1"/>
      <c r="N102" s="1"/>
    </row>
    <row r="103" customFormat="false" ht="15" hidden="false" customHeight="false" outlineLevel="0" collapsed="false">
      <c r="A103" s="1"/>
      <c r="B103" s="42" t="n">
        <v>90</v>
      </c>
      <c r="C103" s="109" t="s">
        <v>1002</v>
      </c>
      <c r="D103" s="115"/>
      <c r="E103" s="115"/>
      <c r="F103" s="115" t="n">
        <v>0</v>
      </c>
      <c r="G103" s="115" t="n">
        <f aca="false">COUNTIF(Target_Progress!I40:I66,"✖*")</f>
        <v>0</v>
      </c>
      <c r="H103" s="38" t="str">
        <f aca="false">IF(AND(ISNUMBER(F103),ISNUMBER(G103)),IF(ABS(F103-G103)&lt;0.000000001,"PASS","FAIL"),IF(G103=F103,"PASS","FAIL"))</f>
        <v>PASS</v>
      </c>
      <c r="I103" s="1"/>
      <c r="J103" s="1"/>
      <c r="K103" s="1"/>
      <c r="L103" s="1"/>
      <c r="M103" s="1"/>
      <c r="N103" s="1"/>
    </row>
    <row r="104" customFormat="false" ht="15" hidden="false" customHeight="false" outlineLevel="0" collapsed="false">
      <c r="A104" s="1"/>
      <c r="B104" s="42" t="n">
        <v>91</v>
      </c>
      <c r="C104" s="109" t="s">
        <v>1003</v>
      </c>
      <c r="D104" s="115"/>
      <c r="E104" s="115"/>
      <c r="F104" s="115" t="n">
        <v>0</v>
      </c>
      <c r="G104" s="115" t="n">
        <f aca="false">SUMPRODUCT(ABS(Target_Progress!C14:C22-Target_Progress!N14:N22-Target_Progress!R14:R22-Target_Progress!S14:S22))</f>
        <v>0</v>
      </c>
      <c r="H104" s="38" t="str">
        <f aca="false">IF(AND(ISNUMBER(F104),ISNUMBER(G104)),IF(ABS(F104-G104)&lt;0.000000001,"PASS","FAIL"),IF(G104=F104,"PASS","FAIL"))</f>
        <v>PASS</v>
      </c>
      <c r="I104" s="1"/>
      <c r="J104" s="1"/>
      <c r="K104" s="1"/>
      <c r="L104" s="1"/>
      <c r="M104" s="1"/>
      <c r="N104" s="1"/>
    </row>
    <row r="105" customFormat="false" ht="15" hidden="false" customHeight="false" outlineLevel="0" collapsed="false">
      <c r="A105" s="1"/>
      <c r="B105" s="42" t="n">
        <v>92</v>
      </c>
      <c r="C105" s="109" t="s">
        <v>1004</v>
      </c>
      <c r="D105" s="115"/>
      <c r="E105" s="115"/>
      <c r="F105" s="115" t="n">
        <v>0</v>
      </c>
      <c r="G105" s="115" t="n">
        <f aca="false">SUMPRODUCT((Target_Progress!N14:N22&lt;0)+(Target_Progress!R14:R22&lt;0)+(Target_Progress!S14:S22&lt;0))</f>
        <v>0</v>
      </c>
      <c r="H105" s="38" t="str">
        <f aca="false">IF(AND(ISNUMBER(F105),ISNUMBER(G105)),IF(ABS(F105-G105)&lt;0.000000001,"PASS","FAIL"),IF(G105=F105,"PASS","FAIL"))</f>
        <v>PASS</v>
      </c>
      <c r="I105" s="1"/>
      <c r="J105" s="1"/>
      <c r="K105" s="1"/>
      <c r="L105" s="1"/>
      <c r="M105" s="1"/>
      <c r="N105" s="1"/>
    </row>
    <row r="106" customFormat="false" ht="15" hidden="false" customHeight="true" outlineLevel="0" collapsed="false">
      <c r="A106" s="1"/>
      <c r="B106" s="113" t="s">
        <v>1005</v>
      </c>
      <c r="C106" s="113"/>
      <c r="D106" s="113"/>
      <c r="E106" s="113"/>
      <c r="F106" s="113"/>
      <c r="G106" s="113"/>
      <c r="H106" s="113"/>
      <c r="I106" s="1"/>
      <c r="J106" s="1"/>
      <c r="K106" s="1"/>
      <c r="L106" s="1"/>
      <c r="M106" s="1"/>
      <c r="N106" s="1"/>
    </row>
    <row r="107" customFormat="false" ht="15" hidden="false" customHeight="false" outlineLevel="0" collapsed="false">
      <c r="A107" s="1"/>
      <c r="B107" s="42" t="n">
        <v>93</v>
      </c>
      <c r="C107" s="109" t="s">
        <v>1006</v>
      </c>
      <c r="D107" s="115"/>
      <c r="E107" s="115"/>
      <c r="F107" s="115" t="n">
        <v>0</v>
      </c>
      <c r="G107" s="115" t="n">
        <f aca="false">SUMIFS(مثال_Example!$Q$5:$Q$804,مثال_Example!$I$5:$I$804,"NR")</f>
        <v>0</v>
      </c>
      <c r="H107" s="38" t="str">
        <f aca="false">IF(AND(ISNUMBER(F107),ISNUMBER(G107)),IF(ABS(F107-G107)&lt;0.000000001,"PASS","FAIL"),IF(G107=F107,"PASS","FAIL"))</f>
        <v>PASS</v>
      </c>
      <c r="I107" s="1"/>
      <c r="J107" s="1"/>
      <c r="K107" s="1"/>
      <c r="L107" s="1"/>
      <c r="M107" s="1"/>
      <c r="N107" s="1"/>
    </row>
    <row r="108" customFormat="false" ht="15" hidden="false" customHeight="false" outlineLevel="0" collapsed="false">
      <c r="A108" s="1"/>
      <c r="B108" s="42" t="n">
        <v>94</v>
      </c>
      <c r="C108" s="109" t="s">
        <v>1007</v>
      </c>
      <c r="D108" s="115"/>
      <c r="E108" s="115"/>
      <c r="F108" s="117" t="b">
        <f aca="false">TRUE()</f>
        <v>1</v>
      </c>
      <c r="G108" s="117" t="b">
        <f aca="false">SUMIFS(مثال_Example!$P$5:$P$804,مثال_Example!$I$5:$I$804,"NR")&gt;0</f>
        <v>1</v>
      </c>
      <c r="H108" s="38" t="str">
        <f aca="false">IF(AND(ISNUMBER(F108),ISNUMBER(G108)),IF(ABS(F108-G108)&lt;0.000000001,"PASS","FAIL"),IF(G108=F108,"PASS","FAIL"))</f>
        <v>PASS</v>
      </c>
      <c r="I108" s="1"/>
      <c r="J108" s="1"/>
      <c r="K108" s="1"/>
      <c r="L108" s="1"/>
      <c r="M108" s="1"/>
      <c r="N108" s="1"/>
    </row>
    <row r="109" customFormat="false" ht="15" hidden="false" customHeight="false" outlineLevel="0" collapsed="false">
      <c r="A109" s="1"/>
      <c r="B109" s="42" t="n">
        <v>95</v>
      </c>
      <c r="C109" s="109" t="s">
        <v>1008</v>
      </c>
      <c r="D109" s="115"/>
      <c r="E109" s="115"/>
      <c r="F109" s="117" t="b">
        <f aca="false">TRUE()</f>
        <v>1</v>
      </c>
      <c r="G109" s="117" t="b">
        <f aca="false">SUMIFS(مثال_Example!$Q$5:$Q$804,مثال_Example!$I$5:$I$804,"U")&gt;0</f>
        <v>1</v>
      </c>
      <c r="H109" s="38" t="str">
        <f aca="false">IF(AND(ISNUMBER(F109),ISNUMBER(G109)),IF(ABS(F109-G109)&lt;0.000000001,"PASS","FAIL"),IF(G109=F109,"PASS","FAIL"))</f>
        <v>PASS</v>
      </c>
      <c r="I109" s="1"/>
      <c r="J109" s="1"/>
      <c r="K109" s="1"/>
      <c r="L109" s="1"/>
      <c r="M109" s="1"/>
      <c r="N109" s="1"/>
    </row>
    <row r="110" customFormat="false" ht="15" hidden="false" customHeight="false" outlineLevel="0" collapsed="false">
      <c r="A110" s="1"/>
      <c r="B110" s="42" t="n">
        <v>96</v>
      </c>
      <c r="C110" s="109" t="s">
        <v>1009</v>
      </c>
      <c r="D110" s="115"/>
      <c r="E110" s="115"/>
      <c r="F110" s="115" t="n">
        <v>0</v>
      </c>
      <c r="G110" s="115" t="n">
        <f aca="false">SUMIFS(مثال_Example!$T$5:$T$804,مثال_Example!$I$5:$I$804,"U")+SUMIFS(مثال_Example!$U$5:$U$804,مثال_Example!$I$5:$I$804,"U")+SUMIFS(مثال_Example!$V$5:$V$804,مثال_Example!$I$5:$I$804,"U")</f>
        <v>0</v>
      </c>
      <c r="H110" s="38" t="str">
        <f aca="false">IF(AND(ISNUMBER(F110),ISNUMBER(G110)),IF(ABS(F110-G110)&lt;0.000000001,"PASS","FAIL"),IF(G110=F110,"PASS","FAIL"))</f>
        <v>PASS</v>
      </c>
      <c r="I110" s="1"/>
      <c r="J110" s="1"/>
      <c r="K110" s="1"/>
      <c r="L110" s="1"/>
      <c r="M110" s="1"/>
      <c r="N110" s="1"/>
    </row>
    <row r="111" customFormat="false" ht="15" hidden="false" customHeight="false" outlineLevel="0" collapsed="false">
      <c r="A111" s="1"/>
      <c r="B111" s="42" t="n">
        <v>97</v>
      </c>
      <c r="C111" s="109" t="s">
        <v>1010</v>
      </c>
      <c r="D111" s="115"/>
      <c r="E111" s="115"/>
      <c r="F111" s="117" t="b">
        <f aca="false">TRUE()</f>
        <v>1</v>
      </c>
      <c r="G111" s="117" t="b">
        <f aca="false">SUM(مثال_Example!$W$5:$W$804)&gt;0</f>
        <v>1</v>
      </c>
      <c r="H111" s="38" t="str">
        <f aca="false">IF(AND(ISNUMBER(F111),ISNUMBER(G111)),IF(ABS(F111-G111)&lt;0.000000001,"PASS","FAIL"),IF(G111=F111,"PASS","FAIL"))</f>
        <v>PASS</v>
      </c>
      <c r="I111" s="1"/>
      <c r="J111" s="1"/>
      <c r="K111" s="1"/>
      <c r="L111" s="1"/>
      <c r="M111" s="1"/>
      <c r="N111" s="1"/>
    </row>
    <row r="112" customFormat="false" ht="15" hidden="false" customHeight="false" outlineLevel="0" collapsed="false">
      <c r="A112" s="1"/>
      <c r="B112" s="42" t="n">
        <v>98</v>
      </c>
      <c r="C112" s="109" t="s">
        <v>1011</v>
      </c>
      <c r="D112" s="115"/>
      <c r="E112" s="115"/>
      <c r="F112" s="117" t="b">
        <f aca="false">TRUE()</f>
        <v>1</v>
      </c>
      <c r="G112" s="117" t="b">
        <f aca="false">AND(SUM(مثال_Example!$X$5:$X$804)&gt;0,SUMIFS(مثال_Example!$T$5:$T$804,مثال_Example!$K$5:$K$804,"No Start (attainment only)")=0,SUMIFS(مثال_Example!$Q$5:$Q$804,مثال_Example!$K$5:$K$804,"No Start (attainment only)")&gt;0)</f>
        <v>1</v>
      </c>
      <c r="H112" s="38" t="str">
        <f aca="false">IF(AND(ISNUMBER(F112),ISNUMBER(G112)),IF(ABS(F112-G112)&lt;0.000000001,"PASS","FAIL"),IF(G112=F112,"PASS","FAIL"))</f>
        <v>PASS</v>
      </c>
      <c r="I112" s="1"/>
      <c r="J112" s="1"/>
      <c r="K112" s="1"/>
      <c r="L112" s="1"/>
      <c r="M112" s="1"/>
      <c r="N112" s="1"/>
    </row>
    <row r="113" customFormat="false" ht="15" hidden="false" customHeight="false" outlineLevel="0" collapsed="false">
      <c r="A113" s="1"/>
      <c r="B113" s="42" t="n">
        <v>99</v>
      </c>
      <c r="C113" s="109" t="s">
        <v>1012</v>
      </c>
      <c r="D113" s="115"/>
      <c r="E113" s="115"/>
      <c r="F113" s="115" t="n">
        <v>0</v>
      </c>
      <c r="G113" s="115" t="n">
        <f aca="false">SUMIFS(مثال_Example!$T$5:$T$804,مثال_Example!$F$5:$F$804,"Baseline")+SUMIFS(مثال_Example!$U$5:$U$804,مثال_Example!$F$5:$F$804,"Baseline")+SUMIFS(مثال_Example!$V$5:$V$804,مثال_Example!$F$5:$F$804,"Baseline")</f>
        <v>0</v>
      </c>
      <c r="H113" s="38" t="str">
        <f aca="false">IF(AND(ISNUMBER(F113),ISNUMBER(G113)),IF(ABS(F113-G113)&lt;0.000000001,"PASS","FAIL"),IF(G113=F113,"PASS","FAIL"))</f>
        <v>PASS</v>
      </c>
      <c r="I113" s="1"/>
      <c r="J113" s="1"/>
      <c r="K113" s="1"/>
      <c r="L113" s="1"/>
      <c r="M113" s="1"/>
      <c r="N113" s="1"/>
    </row>
    <row r="114" customFormat="false" ht="15" hidden="false" customHeight="false" outlineLevel="0" collapsed="false">
      <c r="A114" s="1"/>
      <c r="B114" s="42" t="n">
        <v>100</v>
      </c>
      <c r="C114" s="109" t="s">
        <v>932</v>
      </c>
      <c r="D114" s="115"/>
      <c r="E114" s="115"/>
      <c r="F114" s="115" t="n">
        <v>0</v>
      </c>
      <c r="G114" s="115" t="n">
        <f aca="false">Checks!C6</f>
        <v>0</v>
      </c>
      <c r="H114" s="38" t="str">
        <f aca="false">IF(AND(ISNUMBER(F114),ISNUMBER(G114)),IF(ABS(F114-G114)&lt;0.000000001,"PASS","FAIL"),IF(G114=F114,"PASS","FAIL"))</f>
        <v>PASS</v>
      </c>
      <c r="I114" s="1"/>
      <c r="J114" s="1"/>
      <c r="K114" s="1"/>
      <c r="L114" s="1"/>
      <c r="M114" s="1"/>
      <c r="N114" s="1"/>
    </row>
    <row r="115" customFormat="false" ht="15" hidden="false" customHeight="false" outlineLevel="0" collapsed="false">
      <c r="A115" s="1"/>
      <c r="B115" s="42" t="n">
        <v>101</v>
      </c>
      <c r="C115" s="109" t="s">
        <v>934</v>
      </c>
      <c r="D115" s="115"/>
      <c r="E115" s="115"/>
      <c r="F115" s="115" t="n">
        <v>0</v>
      </c>
      <c r="G115" s="115" t="n">
        <f aca="false">Checks!C8</f>
        <v>0</v>
      </c>
      <c r="H115" s="38" t="str">
        <f aca="false">IF(AND(ISNUMBER(F115),ISNUMBER(G115)),IF(ABS(F115-G115)&lt;0.000000001,"PASS","FAIL"),IF(G115=F115,"PASS","FAIL"))</f>
        <v>PASS</v>
      </c>
      <c r="I115" s="1"/>
      <c r="J115" s="1"/>
      <c r="K115" s="1"/>
      <c r="L115" s="1"/>
      <c r="M115" s="1"/>
      <c r="N115" s="1"/>
    </row>
    <row r="116" customFormat="false" ht="1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customFormat="false" ht="1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customFormat="false" ht="1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customFormat="false" ht="1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customFormat="false" ht="1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customFormat="false" ht="1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customFormat="false" ht="1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customFormat="false" ht="1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customFormat="false" ht="1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customFormat="false" ht="1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customFormat="false" ht="1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customFormat="false" ht="1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customFormat="false" ht="1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customFormat="false" ht="1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customFormat="false" ht="1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customFormat="false" ht="1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customFormat="false" ht="1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customFormat="false" ht="1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customFormat="false" ht="1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customFormat="false" ht="1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customFormat="false" ht="1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customFormat="false" ht="1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customFormat="false" ht="1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customFormat="false" ht="1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customFormat="false" ht="1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sheetProtection sheet="true" formatColumns="false" formatRows="false" sort="false" autoFilter="false"/>
  <mergeCells count="9">
    <mergeCell ref="B1:H2"/>
    <mergeCell ref="B3:H3"/>
    <mergeCell ref="B8:H8"/>
    <mergeCell ref="B29:H29"/>
    <mergeCell ref="B52:H52"/>
    <mergeCell ref="B73:H73"/>
    <mergeCell ref="B90:H90"/>
    <mergeCell ref="B98:H98"/>
    <mergeCell ref="B106:H106"/>
  </mergeCells>
  <conditionalFormatting sqref="H8:H115">
    <cfRule type="cellIs" priority="2" operator="equal" aboveAverage="0" equalAverage="0" bottom="0" percent="0" rank="0" text="" dxfId="24">
      <formula>"PASS"</formula>
    </cfRule>
    <cfRule type="cellIs" priority="3" operator="equal" aboveAverage="0" equalAverage="0" bottom="0" percent="0" rank="0" text="" dxfId="13">
      <formula>"FAIL"</formula>
    </cfRule>
  </conditionalFormatting>
  <hyperlinks>
    <hyperlink ref="B4" r:id="rId1" location="Guide!A1" display="الدليل"/>
    <hyperlink ref="C4" r:id="rId2" location="Dashboard!A1" display="اللوحة"/>
    <hyperlink ref="D4" r:id="rId3" location="Year_Panel!A1" display="لوحة الصف"/>
    <hyperlink ref="E4" r:id="rId4" location="Teacher_Report!A1" display="المعلمون"/>
    <hyperlink ref="F4" r:id="rId5" location="Data!A1" display="إدخال النتائج"/>
    <hyperlink ref="G4" r:id="rId6" location="Target_Attain!A1" display="هدف التحصيل"/>
    <hyperlink ref="H4" r:id="rId7" location="Target_Progress!A1" display="هدف التقدم"/>
    <hyperlink ref="I4" r:id="rId8" location="Settings!A1" display="الإعدادات"/>
    <hyperlink ref="J4" r:id="rId9" location="Progress_Matrix!A1" display="المصفوفة"/>
    <hyperlink ref="K4" r:id="rId10" location="Classes!A1" display="الصفوف"/>
    <hyperlink ref="L4" r:id="rId11" location="Checks!A1" display="فحوص"/>
    <hyperlink ref="M4" r:id="rId12" location="Tests!A1" display="اختبارات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true"/>
  </sheetPr>
  <dimension ref="A1:X8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2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26"/>
    <col collapsed="false" customWidth="true" hidden="false" outlineLevel="0" max="12" min="12" style="0" width="34"/>
    <col collapsed="false" customWidth="true" hidden="true" outlineLevel="0" max="24" min="13" style="0" width="13"/>
  </cols>
  <sheetData>
    <row r="1" customFormat="false" ht="30" hidden="false" customHeight="true" outlineLevel="0" collapsed="false">
      <c r="A1" s="118" t="s">
        <v>1013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</row>
    <row r="2" customFormat="false" ht="36" hidden="false" customHeight="true" outlineLevel="0" collapsed="false">
      <c r="A2" s="55" t="s">
        <v>1014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customFormat="false" ht="15" hidden="false" customHeight="false" outlineLevel="0" collapsed="false">
      <c r="A3" s="56" t="s">
        <v>230</v>
      </c>
      <c r="B3" s="57" t="s">
        <v>231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33.75" hidden="false" customHeight="true" outlineLevel="0" collapsed="false">
      <c r="A4" s="58" t="s">
        <v>232</v>
      </c>
      <c r="B4" s="58" t="s">
        <v>233</v>
      </c>
      <c r="C4" s="58" t="s">
        <v>220</v>
      </c>
      <c r="D4" s="58" t="s">
        <v>234</v>
      </c>
      <c r="E4" s="58" t="s">
        <v>235</v>
      </c>
      <c r="F4" s="58" t="s">
        <v>150</v>
      </c>
      <c r="G4" s="58" t="s">
        <v>236</v>
      </c>
      <c r="H4" s="58" t="s">
        <v>237</v>
      </c>
      <c r="I4" s="58" t="s">
        <v>238</v>
      </c>
      <c r="J4" s="58" t="s">
        <v>239</v>
      </c>
      <c r="K4" s="58" t="s">
        <v>240</v>
      </c>
      <c r="L4" s="58" t="s">
        <v>241</v>
      </c>
      <c r="M4" s="59" t="s">
        <v>242</v>
      </c>
      <c r="N4" s="59" t="s">
        <v>243</v>
      </c>
      <c r="O4" s="59" t="s">
        <v>244</v>
      </c>
      <c r="P4" s="59" t="s">
        <v>245</v>
      </c>
      <c r="Q4" s="59" t="s">
        <v>246</v>
      </c>
      <c r="R4" s="59" t="s">
        <v>247</v>
      </c>
      <c r="S4" s="59" t="s">
        <v>248</v>
      </c>
      <c r="T4" s="59" t="s">
        <v>249</v>
      </c>
      <c r="U4" s="59" t="s">
        <v>250</v>
      </c>
      <c r="V4" s="59" t="s">
        <v>251</v>
      </c>
      <c r="W4" s="59" t="s">
        <v>252</v>
      </c>
      <c r="X4" s="59" t="s">
        <v>253</v>
      </c>
    </row>
    <row r="5" customFormat="false" ht="15" hidden="false" customHeight="false" outlineLevel="0" collapsed="false">
      <c r="A5" s="60" t="s">
        <v>777</v>
      </c>
      <c r="B5" s="61" t="str">
        <f aca="false">IF($M5=0,"",INDEX(Classes!$E$6:$E$420,$M5))</f>
        <v>Arabic A</v>
      </c>
      <c r="C5" s="62" t="str">
        <f aca="false">IF($M5=0,"",INDEX(Classes!$H$6:$H$420,$M5))</f>
        <v>Mr Ayman Bobo</v>
      </c>
      <c r="D5" s="61" t="str">
        <f aca="false">IF($M5=0,"",INDEX(Classes!$B$6:$B$420,$M5))</f>
        <v>Year 10</v>
      </c>
      <c r="E5" s="61" t="str">
        <f aca="false">IF($M5=0,"",INDEX(Classes!$C$6:$C$420,$M5))</f>
        <v>ah</v>
      </c>
      <c r="F5" s="63" t="s">
        <v>162</v>
      </c>
      <c r="G5" s="63" t="s">
        <v>108</v>
      </c>
      <c r="H5" s="60"/>
      <c r="I5" s="60" t="s">
        <v>202</v>
      </c>
      <c r="J5" s="63" t="n">
        <v>8</v>
      </c>
      <c r="K5" s="61" t="str">
        <f aca="false">IF($P5=0,"",IF($F5="Baseline","— Baseline",IF($O5=0,"No result",IF($N5=0,"No Start (attainment only)",IF(OR($N5=1,$O5=1),"U – needs rule",INDEX(MxBody,MATCH($I5,MxCurr,0),MATCH($H5,MxStart,0)))))))</f>
        <v>— Baseline</v>
      </c>
      <c r="L5" s="62" t="str">
        <f aca="false">IF(COUNTA($A5,$F5,$G5,$H5,$I5,$J5)=0,"",IF($M5=0,"✖ كود الصف غير موجود",IF(ISNA(MATCH($F5,Lists!$A$2:$A$5,0)),"✖ الفترة غير صحيحة",IF(ISNA(MATCH($G5,Lists!$B$2:$B$7,0)),"✖ المجموعة غير صحيحة",IF(NOT(OR($H5="",$N5&gt;0)),"✖ Start غير صحيح",IF(NOT(OR($I5="",$I5="NR",$O5&gt;0)),"✖ Current غير صحيح",IF(NOT(IF(ISNUMBER($J5),AND($J5&gt;=0,$J5=INT($J5)),FALSE())),"✖ العدد يجب أن يكون صحيحًا ≥ 0",IF(AND($F5="Baseline",$H5&lt;&gt;""),"⚠ Baseline: Start لا يدخل في التقدم",IF($K5="No Start (attainment only)","ℹ تحصيل فقط (بدون Start)",IF($K5="U – needs rule","ℹ حالة U تحتاج قاعدة معتمدة",IF($K5="No result","ℹ بدون نتيجة (يُستبعد من التحصيل)","OK")))))))))))</f>
        <v>OK</v>
      </c>
      <c r="M5" s="64" t="n">
        <f aca="false">IF($A5="",0,IFERROR(MATCH($A5,Classes!$A$6:$A$420,0),0))</f>
        <v>282</v>
      </c>
      <c r="N5" s="64" t="n">
        <f aca="false">IF($H5="",0,IFERROR(MATCH($H5,GradeList,0),0))</f>
        <v>0</v>
      </c>
      <c r="O5" s="64" t="n">
        <f aca="false">IF(OR($I5="",$I5="NR"),0,IFERROR(MATCH($I5,GradeList,0),0))</f>
        <v>7</v>
      </c>
      <c r="P5" s="64" t="n">
        <f aca="false">IF(AND($M5&gt;0,ISNUMBER(MATCH($F5,Lists!$A$2:$A$5,0)),ISNUMBER(MATCH($G5,Lists!$B$2:$B$7,0)),OR($H5="",$N5&gt;0),OR($I5="",$I5="NR",$O5&gt;0),IF(ISNUMBER($J5),AND($J5&gt;=0,$J5=INT($J5)),FALSE())),$J5,0)</f>
        <v>8</v>
      </c>
      <c r="Q5" s="64" t="n">
        <f aca="false">IF(AND($P5&gt;0,$O5&gt;0),$P5,0)</f>
        <v>8</v>
      </c>
      <c r="R5" s="64" t="n">
        <f aca="false">IF(AND($Q5&gt;0,$O5&gt;=AtRank),$Q5,0)</f>
        <v>8</v>
      </c>
      <c r="S5" s="64" t="n">
        <f aca="false">IF(AND($Q5&gt;0,$O5&gt;=AboveRank),$Q5,0)</f>
        <v>8</v>
      </c>
      <c r="T5" s="64" t="n">
        <f aca="false">IF($K5="Less",$P5,0)</f>
        <v>0</v>
      </c>
      <c r="U5" s="64" t="n">
        <f aca="false">IF($K5="Expected",$P5,0)</f>
        <v>0</v>
      </c>
      <c r="V5" s="64" t="n">
        <f aca="false">IF($K5="Better",$P5,0)</f>
        <v>0</v>
      </c>
      <c r="W5" s="64" t="n">
        <f aca="false">IF($K5="U – needs rule",$P5,0)</f>
        <v>0</v>
      </c>
      <c r="X5" s="64" t="n">
        <f aca="false">IF($K5="No Start (attainment only)",$P5,0)</f>
        <v>0</v>
      </c>
    </row>
    <row r="6" customFormat="false" ht="15" hidden="false" customHeight="false" outlineLevel="0" collapsed="false">
      <c r="A6" s="60" t="s">
        <v>777</v>
      </c>
      <c r="B6" s="61" t="str">
        <f aca="false">IF($M6=0,"",INDEX(Classes!$E$6:$E$420,$M6))</f>
        <v>Arabic A</v>
      </c>
      <c r="C6" s="62" t="str">
        <f aca="false">IF($M6=0,"",INDEX(Classes!$H$6:$H$420,$M6))</f>
        <v>Mr Ayman Bobo</v>
      </c>
      <c r="D6" s="61" t="str">
        <f aca="false">IF($M6=0,"",INDEX(Classes!$B$6:$B$420,$M6))</f>
        <v>Year 10</v>
      </c>
      <c r="E6" s="61" t="str">
        <f aca="false">IF($M6=0,"",INDEX(Classes!$C$6:$C$420,$M6))</f>
        <v>ah</v>
      </c>
      <c r="F6" s="63" t="s">
        <v>162</v>
      </c>
      <c r="G6" s="63" t="s">
        <v>108</v>
      </c>
      <c r="H6" s="60"/>
      <c r="I6" s="60" t="s">
        <v>203</v>
      </c>
      <c r="J6" s="63" t="n">
        <v>7</v>
      </c>
      <c r="K6" s="61" t="str">
        <f aca="false">IF($P6=0,"",IF($F6="Baseline","— Baseline",IF($O6=0,"No result",IF($N6=0,"No Start (attainment only)",IF(OR($N6=1,$O6=1),"U – needs rule",INDEX(MxBody,MATCH($I6,MxCurr,0),MATCH($H6,MxStart,0)))))))</f>
        <v>— Baseline</v>
      </c>
      <c r="L6" s="62" t="str">
        <f aca="false">IF(COUNTA($A6,$F6,$G6,$H6,$I6,$J6)=0,"",IF($M6=0,"✖ كود الصف غير موجود",IF(ISNA(MATCH($F6,Lists!$A$2:$A$5,0)),"✖ الفترة غير صحيحة",IF(ISNA(MATCH($G6,Lists!$B$2:$B$7,0)),"✖ المجموعة غير صحيحة",IF(NOT(OR($H6="",$N6&gt;0)),"✖ Start غير صحيح",IF(NOT(OR($I6="",$I6="NR",$O6&gt;0)),"✖ Current غير صحيح",IF(NOT(IF(ISNUMBER($J6),AND($J6&gt;=0,$J6=INT($J6)),FALSE())),"✖ العدد يجب أن يكون صحيحًا ≥ 0",IF(AND($F6="Baseline",$H6&lt;&gt;""),"⚠ Baseline: Start لا يدخل في التقدم",IF($K6="No Start (attainment only)","ℹ تحصيل فقط (بدون Start)",IF($K6="U – needs rule","ℹ حالة U تحتاج قاعدة معتمدة",IF($K6="No result","ℹ بدون نتيجة (يُستبعد من التحصيل)","OK")))))))))))</f>
        <v>OK</v>
      </c>
      <c r="M6" s="64" t="n">
        <f aca="false">IF($A6="",0,IFERROR(MATCH($A6,Classes!$A$6:$A$420,0),0))</f>
        <v>282</v>
      </c>
      <c r="N6" s="64" t="n">
        <f aca="false">IF($H6="",0,IFERROR(MATCH($H6,GradeList,0),0))</f>
        <v>0</v>
      </c>
      <c r="O6" s="64" t="n">
        <f aca="false">IF(OR($I6="",$I6="NR"),0,IFERROR(MATCH($I6,GradeList,0),0))</f>
        <v>8</v>
      </c>
      <c r="P6" s="64" t="n">
        <f aca="false">IF(AND($M6&gt;0,ISNUMBER(MATCH($F6,Lists!$A$2:$A$5,0)),ISNUMBER(MATCH($G6,Lists!$B$2:$B$7,0)),OR($H6="",$N6&gt;0),OR($I6="",$I6="NR",$O6&gt;0),IF(ISNUMBER($J6),AND($J6&gt;=0,$J6=INT($J6)),FALSE())),$J6,0)</f>
        <v>7</v>
      </c>
      <c r="Q6" s="64" t="n">
        <f aca="false">IF(AND($P6&gt;0,$O6&gt;0),$P6,0)</f>
        <v>7</v>
      </c>
      <c r="R6" s="64" t="n">
        <f aca="false">IF(AND($Q6&gt;0,$O6&gt;=AtRank),$Q6,0)</f>
        <v>7</v>
      </c>
      <c r="S6" s="64" t="n">
        <f aca="false">IF(AND($Q6&gt;0,$O6&gt;=AboveRank),$Q6,0)</f>
        <v>7</v>
      </c>
      <c r="T6" s="64" t="n">
        <f aca="false">IF($K6="Less",$P6,0)</f>
        <v>0</v>
      </c>
      <c r="U6" s="64" t="n">
        <f aca="false">IF($K6="Expected",$P6,0)</f>
        <v>0</v>
      </c>
      <c r="V6" s="64" t="n">
        <f aca="false">IF($K6="Better",$P6,0)</f>
        <v>0</v>
      </c>
      <c r="W6" s="64" t="n">
        <f aca="false">IF($K6="U – needs rule",$P6,0)</f>
        <v>0</v>
      </c>
      <c r="X6" s="64" t="n">
        <f aca="false">IF($K6="No Start (attainment only)",$P6,0)</f>
        <v>0</v>
      </c>
    </row>
    <row r="7" customFormat="false" ht="15" hidden="false" customHeight="false" outlineLevel="0" collapsed="false">
      <c r="A7" s="60" t="s">
        <v>777</v>
      </c>
      <c r="B7" s="61" t="str">
        <f aca="false">IF($M7=0,"",INDEX(Classes!$E$6:$E$420,$M7))</f>
        <v>Arabic A</v>
      </c>
      <c r="C7" s="62" t="str">
        <f aca="false">IF($M7=0,"",INDEX(Classes!$H$6:$H$420,$M7))</f>
        <v>Mr Ayman Bobo</v>
      </c>
      <c r="D7" s="61" t="str">
        <f aca="false">IF($M7=0,"",INDEX(Classes!$B$6:$B$420,$M7))</f>
        <v>Year 10</v>
      </c>
      <c r="E7" s="61" t="str">
        <f aca="false">IF($M7=0,"",INDEX(Classes!$C$6:$C$420,$M7))</f>
        <v>ah</v>
      </c>
      <c r="F7" s="63" t="s">
        <v>162</v>
      </c>
      <c r="G7" s="63" t="s">
        <v>108</v>
      </c>
      <c r="H7" s="60"/>
      <c r="I7" s="60" t="s">
        <v>200</v>
      </c>
      <c r="J7" s="63" t="n">
        <v>2</v>
      </c>
      <c r="K7" s="61" t="str">
        <f aca="false">IF($P7=0,"",IF($F7="Baseline","— Baseline",IF($O7=0,"No result",IF($N7=0,"No Start (attainment only)",IF(OR($N7=1,$O7=1),"U – needs rule",INDEX(MxBody,MATCH($I7,MxCurr,0),MATCH($H7,MxStart,0)))))))</f>
        <v>— Baseline</v>
      </c>
      <c r="L7" s="62" t="str">
        <f aca="false">IF(COUNTA($A7,$F7,$G7,$H7,$I7,$J7)=0,"",IF($M7=0,"✖ كود الصف غير موجود",IF(ISNA(MATCH($F7,Lists!$A$2:$A$5,0)),"✖ الفترة غير صحيحة",IF(ISNA(MATCH($G7,Lists!$B$2:$B$7,0)),"✖ المجموعة غير صحيحة",IF(NOT(OR($H7="",$N7&gt;0)),"✖ Start غير صحيح",IF(NOT(OR($I7="",$I7="NR",$O7&gt;0)),"✖ Current غير صحيح",IF(NOT(IF(ISNUMBER($J7),AND($J7&gt;=0,$J7=INT($J7)),FALSE())),"✖ العدد يجب أن يكون صحيحًا ≥ 0",IF(AND($F7="Baseline",$H7&lt;&gt;""),"⚠ Baseline: Start لا يدخل في التقدم",IF($K7="No Start (attainment only)","ℹ تحصيل فقط (بدون Start)",IF($K7="U – needs rule","ℹ حالة U تحتاج قاعدة معتمدة",IF($K7="No result","ℹ بدون نتيجة (يُستبعد من التحصيل)","OK")))))))))))</f>
        <v>OK</v>
      </c>
      <c r="M7" s="64" t="n">
        <f aca="false">IF($A7="",0,IFERROR(MATCH($A7,Classes!$A$6:$A$420,0),0))</f>
        <v>282</v>
      </c>
      <c r="N7" s="64" t="n">
        <f aca="false">IF($H7="",0,IFERROR(MATCH($H7,GradeList,0),0))</f>
        <v>0</v>
      </c>
      <c r="O7" s="64" t="n">
        <f aca="false">IF(OR($I7="",$I7="NR"),0,IFERROR(MATCH($I7,GradeList,0),0))</f>
        <v>5</v>
      </c>
      <c r="P7" s="64" t="n">
        <f aca="false">IF(AND($M7&gt;0,ISNUMBER(MATCH($F7,Lists!$A$2:$A$5,0)),ISNUMBER(MATCH($G7,Lists!$B$2:$B$7,0)),OR($H7="",$N7&gt;0),OR($I7="",$I7="NR",$O7&gt;0),IF(ISNUMBER($J7),AND($J7&gt;=0,$J7=INT($J7)),FALSE())),$J7,0)</f>
        <v>2</v>
      </c>
      <c r="Q7" s="64" t="n">
        <f aca="false">IF(AND($P7&gt;0,$O7&gt;0),$P7,0)</f>
        <v>2</v>
      </c>
      <c r="R7" s="64" t="n">
        <f aca="false">IF(AND($Q7&gt;0,$O7&gt;=AtRank),$Q7,0)</f>
        <v>2</v>
      </c>
      <c r="S7" s="64" t="n">
        <f aca="false">IF(AND($Q7&gt;0,$O7&gt;=AboveRank),$Q7,0)</f>
        <v>0</v>
      </c>
      <c r="T7" s="64" t="n">
        <f aca="false">IF($K7="Less",$P7,0)</f>
        <v>0</v>
      </c>
      <c r="U7" s="64" t="n">
        <f aca="false">IF($K7="Expected",$P7,0)</f>
        <v>0</v>
      </c>
      <c r="V7" s="64" t="n">
        <f aca="false">IF($K7="Better",$P7,0)</f>
        <v>0</v>
      </c>
      <c r="W7" s="64" t="n">
        <f aca="false">IF($K7="U – needs rule",$P7,0)</f>
        <v>0</v>
      </c>
      <c r="X7" s="64" t="n">
        <f aca="false">IF($K7="No Start (attainment only)",$P7,0)</f>
        <v>0</v>
      </c>
    </row>
    <row r="8" customFormat="false" ht="15" hidden="false" customHeight="false" outlineLevel="0" collapsed="false">
      <c r="A8" s="60" t="s">
        <v>777</v>
      </c>
      <c r="B8" s="61" t="str">
        <f aca="false">IF($M8=0,"",INDEX(Classes!$E$6:$E$420,$M8))</f>
        <v>Arabic A</v>
      </c>
      <c r="C8" s="62" t="str">
        <f aca="false">IF($M8=0,"",INDEX(Classes!$H$6:$H$420,$M8))</f>
        <v>Mr Ayman Bobo</v>
      </c>
      <c r="D8" s="61" t="str">
        <f aca="false">IF($M8=0,"",INDEX(Classes!$B$6:$B$420,$M8))</f>
        <v>Year 10</v>
      </c>
      <c r="E8" s="61" t="str">
        <f aca="false">IF($M8=0,"",INDEX(Classes!$C$6:$C$420,$M8))</f>
        <v>ah</v>
      </c>
      <c r="F8" s="63" t="s">
        <v>162</v>
      </c>
      <c r="G8" s="63" t="s">
        <v>108</v>
      </c>
      <c r="H8" s="60"/>
      <c r="I8" s="60" t="s">
        <v>201</v>
      </c>
      <c r="J8" s="63" t="n">
        <v>1</v>
      </c>
      <c r="K8" s="61" t="str">
        <f aca="false">IF($P8=0,"",IF($F8="Baseline","— Baseline",IF($O8=0,"No result",IF($N8=0,"No Start (attainment only)",IF(OR($N8=1,$O8=1),"U – needs rule",INDEX(MxBody,MATCH($I8,MxCurr,0),MATCH($H8,MxStart,0)))))))</f>
        <v>— Baseline</v>
      </c>
      <c r="L8" s="62" t="str">
        <f aca="false">IF(COUNTA($A8,$F8,$G8,$H8,$I8,$J8)=0,"",IF($M8=0,"✖ كود الصف غير موجود",IF(ISNA(MATCH($F8,Lists!$A$2:$A$5,0)),"✖ الفترة غير صحيحة",IF(ISNA(MATCH($G8,Lists!$B$2:$B$7,0)),"✖ المجموعة غير صحيحة",IF(NOT(OR($H8="",$N8&gt;0)),"✖ Start غير صحيح",IF(NOT(OR($I8="",$I8="NR",$O8&gt;0)),"✖ Current غير صحيح",IF(NOT(IF(ISNUMBER($J8),AND($J8&gt;=0,$J8=INT($J8)),FALSE())),"✖ العدد يجب أن يكون صحيحًا ≥ 0",IF(AND($F8="Baseline",$H8&lt;&gt;""),"⚠ Baseline: Start لا يدخل في التقدم",IF($K8="No Start (attainment only)","ℹ تحصيل فقط (بدون Start)",IF($K8="U – needs rule","ℹ حالة U تحتاج قاعدة معتمدة",IF($K8="No result","ℹ بدون نتيجة (يُستبعد من التحصيل)","OK")))))))))))</f>
        <v>OK</v>
      </c>
      <c r="M8" s="64" t="n">
        <f aca="false">IF($A8="",0,IFERROR(MATCH($A8,Classes!$A$6:$A$420,0),0))</f>
        <v>282</v>
      </c>
      <c r="N8" s="64" t="n">
        <f aca="false">IF($H8="",0,IFERROR(MATCH($H8,GradeList,0),0))</f>
        <v>0</v>
      </c>
      <c r="O8" s="64" t="n">
        <f aca="false">IF(OR($I8="",$I8="NR"),0,IFERROR(MATCH($I8,GradeList,0),0))</f>
        <v>6</v>
      </c>
      <c r="P8" s="64" t="n">
        <f aca="false">IF(AND($M8&gt;0,ISNUMBER(MATCH($F8,Lists!$A$2:$A$5,0)),ISNUMBER(MATCH($G8,Lists!$B$2:$B$7,0)),OR($H8="",$N8&gt;0),OR($I8="",$I8="NR",$O8&gt;0),IF(ISNUMBER($J8),AND($J8&gt;=0,$J8=INT($J8)),FALSE())),$J8,0)</f>
        <v>1</v>
      </c>
      <c r="Q8" s="64" t="n">
        <f aca="false">IF(AND($P8&gt;0,$O8&gt;0),$P8,0)</f>
        <v>1</v>
      </c>
      <c r="R8" s="64" t="n">
        <f aca="false">IF(AND($Q8&gt;0,$O8&gt;=AtRank),$Q8,0)</f>
        <v>1</v>
      </c>
      <c r="S8" s="64" t="n">
        <f aca="false">IF(AND($Q8&gt;0,$O8&gt;=AboveRank),$Q8,0)</f>
        <v>0</v>
      </c>
      <c r="T8" s="64" t="n">
        <f aca="false">IF($K8="Less",$P8,0)</f>
        <v>0</v>
      </c>
      <c r="U8" s="64" t="n">
        <f aca="false">IF($K8="Expected",$P8,0)</f>
        <v>0</v>
      </c>
      <c r="V8" s="64" t="n">
        <f aca="false">IF($K8="Better",$P8,0)</f>
        <v>0</v>
      </c>
      <c r="W8" s="64" t="n">
        <f aca="false">IF($K8="U – needs rule",$P8,0)</f>
        <v>0</v>
      </c>
      <c r="X8" s="64" t="n">
        <f aca="false">IF($K8="No Start (attainment only)",$P8,0)</f>
        <v>0</v>
      </c>
    </row>
    <row r="9" customFormat="false" ht="15" hidden="false" customHeight="false" outlineLevel="0" collapsed="false">
      <c r="A9" s="60" t="s">
        <v>777</v>
      </c>
      <c r="B9" s="61" t="str">
        <f aca="false">IF($M9=0,"",INDEX(Classes!$E$6:$E$420,$M9))</f>
        <v>Arabic A</v>
      </c>
      <c r="C9" s="62" t="str">
        <f aca="false">IF($M9=0,"",INDEX(Classes!$H$6:$H$420,$M9))</f>
        <v>Mr Ayman Bobo</v>
      </c>
      <c r="D9" s="61" t="str">
        <f aca="false">IF($M9=0,"",INDEX(Classes!$B$6:$B$420,$M9))</f>
        <v>Year 10</v>
      </c>
      <c r="E9" s="61" t="str">
        <f aca="false">IF($M9=0,"",INDEX(Classes!$C$6:$C$420,$M9))</f>
        <v>ah</v>
      </c>
      <c r="F9" s="63" t="s">
        <v>162</v>
      </c>
      <c r="G9" s="63" t="s">
        <v>108</v>
      </c>
      <c r="H9" s="60"/>
      <c r="I9" s="60" t="s">
        <v>204</v>
      </c>
      <c r="J9" s="63" t="n">
        <v>4</v>
      </c>
      <c r="K9" s="61" t="str">
        <f aca="false">IF($P9=0,"",IF($F9="Baseline","— Baseline",IF($O9=0,"No result",IF($N9=0,"No Start (attainment only)",IF(OR($N9=1,$O9=1),"U – needs rule",INDEX(MxBody,MATCH($I9,MxCurr,0),MATCH($H9,MxStart,0)))))))</f>
        <v>— Baseline</v>
      </c>
      <c r="L9" s="62" t="str">
        <f aca="false">IF(COUNTA($A9,$F9,$G9,$H9,$I9,$J9)=0,"",IF($M9=0,"✖ كود الصف غير موجود",IF(ISNA(MATCH($F9,Lists!$A$2:$A$5,0)),"✖ الفترة غير صحيحة",IF(ISNA(MATCH($G9,Lists!$B$2:$B$7,0)),"✖ المجموعة غير صحيحة",IF(NOT(OR($H9="",$N9&gt;0)),"✖ Start غير صحيح",IF(NOT(OR($I9="",$I9="NR",$O9&gt;0)),"✖ Current غير صحيح",IF(NOT(IF(ISNUMBER($J9),AND($J9&gt;=0,$J9=INT($J9)),FALSE())),"✖ العدد يجب أن يكون صحيحًا ≥ 0",IF(AND($F9="Baseline",$H9&lt;&gt;""),"⚠ Baseline: Start لا يدخل في التقدم",IF($K9="No Start (attainment only)","ℹ تحصيل فقط (بدون Start)",IF($K9="U – needs rule","ℹ حالة U تحتاج قاعدة معتمدة",IF($K9="No result","ℹ بدون نتيجة (يُستبعد من التحصيل)","OK")))))))))))</f>
        <v>OK</v>
      </c>
      <c r="M9" s="64" t="n">
        <f aca="false">IF($A9="",0,IFERROR(MATCH($A9,Classes!$A$6:$A$420,0),0))</f>
        <v>282</v>
      </c>
      <c r="N9" s="64" t="n">
        <f aca="false">IF($H9="",0,IFERROR(MATCH($H9,GradeList,0),0))</f>
        <v>0</v>
      </c>
      <c r="O9" s="64" t="n">
        <f aca="false">IF(OR($I9="",$I9="NR"),0,IFERROR(MATCH($I9,GradeList,0),0))</f>
        <v>9</v>
      </c>
      <c r="P9" s="64" t="n">
        <f aca="false">IF(AND($M9&gt;0,ISNUMBER(MATCH($F9,Lists!$A$2:$A$5,0)),ISNUMBER(MATCH($G9,Lists!$B$2:$B$7,0)),OR($H9="",$N9&gt;0),OR($I9="",$I9="NR",$O9&gt;0),IF(ISNUMBER($J9),AND($J9&gt;=0,$J9=INT($J9)),FALSE())),$J9,0)</f>
        <v>4</v>
      </c>
      <c r="Q9" s="64" t="n">
        <f aca="false">IF(AND($P9&gt;0,$O9&gt;0),$P9,0)</f>
        <v>4</v>
      </c>
      <c r="R9" s="64" t="n">
        <f aca="false">IF(AND($Q9&gt;0,$O9&gt;=AtRank),$Q9,0)</f>
        <v>4</v>
      </c>
      <c r="S9" s="64" t="n">
        <f aca="false">IF(AND($Q9&gt;0,$O9&gt;=AboveRank),$Q9,0)</f>
        <v>4</v>
      </c>
      <c r="T9" s="64" t="n">
        <f aca="false">IF($K9="Less",$P9,0)</f>
        <v>0</v>
      </c>
      <c r="U9" s="64" t="n">
        <f aca="false">IF($K9="Expected",$P9,0)</f>
        <v>0</v>
      </c>
      <c r="V9" s="64" t="n">
        <f aca="false">IF($K9="Better",$P9,0)</f>
        <v>0</v>
      </c>
      <c r="W9" s="64" t="n">
        <f aca="false">IF($K9="U – needs rule",$P9,0)</f>
        <v>0</v>
      </c>
      <c r="X9" s="64" t="n">
        <f aca="false">IF($K9="No Start (attainment only)",$P9,0)</f>
        <v>0</v>
      </c>
    </row>
    <row r="10" customFormat="false" ht="15" hidden="false" customHeight="false" outlineLevel="0" collapsed="false">
      <c r="A10" s="60" t="s">
        <v>777</v>
      </c>
      <c r="B10" s="61" t="str">
        <f aca="false">IF($M10=0,"",INDEX(Classes!$E$6:$E$420,$M10))</f>
        <v>Arabic A</v>
      </c>
      <c r="C10" s="62" t="str">
        <f aca="false">IF($M10=0,"",INDEX(Classes!$H$6:$H$420,$M10))</f>
        <v>Mr Ayman Bobo</v>
      </c>
      <c r="D10" s="61" t="str">
        <f aca="false">IF($M10=0,"",INDEX(Classes!$B$6:$B$420,$M10))</f>
        <v>Year 10</v>
      </c>
      <c r="E10" s="61" t="str">
        <f aca="false">IF($M10=0,"",INDEX(Classes!$C$6:$C$420,$M10))</f>
        <v>ah</v>
      </c>
      <c r="F10" s="63" t="s">
        <v>162</v>
      </c>
      <c r="G10" s="63" t="s">
        <v>108</v>
      </c>
      <c r="H10" s="60"/>
      <c r="I10" s="60" t="s">
        <v>205</v>
      </c>
      <c r="J10" s="63" t="n">
        <v>2</v>
      </c>
      <c r="K10" s="61" t="str">
        <f aca="false">IF($P10=0,"",IF($F10="Baseline","— Baseline",IF($O10=0,"No result",IF($N10=0,"No Start (attainment only)",IF(OR($N10=1,$O10=1),"U – needs rule",INDEX(MxBody,MATCH($I10,MxCurr,0),MATCH($H10,MxStart,0)))))))</f>
        <v>— Baseline</v>
      </c>
      <c r="L10" s="62" t="str">
        <f aca="false">IF(COUNTA($A10,$F10,$G10,$H10,$I10,$J10)=0,"",IF($M10=0,"✖ كود الصف غير موجود",IF(ISNA(MATCH($F10,Lists!$A$2:$A$5,0)),"✖ الفترة غير صحيحة",IF(ISNA(MATCH($G10,Lists!$B$2:$B$7,0)),"✖ المجموعة غير صحيحة",IF(NOT(OR($H10="",$N10&gt;0)),"✖ Start غير صحيح",IF(NOT(OR($I10="",$I10="NR",$O10&gt;0)),"✖ Current غير صحيح",IF(NOT(IF(ISNUMBER($J10),AND($J10&gt;=0,$J10=INT($J10)),FALSE())),"✖ العدد يجب أن يكون صحيحًا ≥ 0",IF(AND($F10="Baseline",$H10&lt;&gt;""),"⚠ Baseline: Start لا يدخل في التقدم",IF($K10="No Start (attainment only)","ℹ تحصيل فقط (بدون Start)",IF($K10="U – needs rule","ℹ حالة U تحتاج قاعدة معتمدة",IF($K10="No result","ℹ بدون نتيجة (يُستبعد من التحصيل)","OK")))))))))))</f>
        <v>OK</v>
      </c>
      <c r="M10" s="64" t="n">
        <f aca="false">IF($A10="",0,IFERROR(MATCH($A10,Classes!$A$6:$A$420,0),0))</f>
        <v>282</v>
      </c>
      <c r="N10" s="64" t="n">
        <f aca="false">IF($H10="",0,IFERROR(MATCH($H10,GradeList,0),0))</f>
        <v>0</v>
      </c>
      <c r="O10" s="64" t="n">
        <f aca="false">IF(OR($I10="",$I10="NR"),0,IFERROR(MATCH($I10,GradeList,0),0))</f>
        <v>10</v>
      </c>
      <c r="P10" s="64" t="n">
        <f aca="false">IF(AND($M10&gt;0,ISNUMBER(MATCH($F10,Lists!$A$2:$A$5,0)),ISNUMBER(MATCH($G10,Lists!$B$2:$B$7,0)),OR($H10="",$N10&gt;0),OR($I10="",$I10="NR",$O10&gt;0),IF(ISNUMBER($J10),AND($J10&gt;=0,$J10=INT($J10)),FALSE())),$J10,0)</f>
        <v>2</v>
      </c>
      <c r="Q10" s="64" t="n">
        <f aca="false">IF(AND($P10&gt;0,$O10&gt;0),$P10,0)</f>
        <v>2</v>
      </c>
      <c r="R10" s="64" t="n">
        <f aca="false">IF(AND($Q10&gt;0,$O10&gt;=AtRank),$Q10,0)</f>
        <v>2</v>
      </c>
      <c r="S10" s="64" t="n">
        <f aca="false">IF(AND($Q10&gt;0,$O10&gt;=AboveRank),$Q10,0)</f>
        <v>2</v>
      </c>
      <c r="T10" s="64" t="n">
        <f aca="false">IF($K10="Less",$P10,0)</f>
        <v>0</v>
      </c>
      <c r="U10" s="64" t="n">
        <f aca="false">IF($K10="Expected",$P10,0)</f>
        <v>0</v>
      </c>
      <c r="V10" s="64" t="n">
        <f aca="false">IF($K10="Better",$P10,0)</f>
        <v>0</v>
      </c>
      <c r="W10" s="64" t="n">
        <f aca="false">IF($K10="U – needs rule",$P10,0)</f>
        <v>0</v>
      </c>
      <c r="X10" s="64" t="n">
        <f aca="false">IF($K10="No Start (attainment only)",$P10,0)</f>
        <v>0</v>
      </c>
    </row>
    <row r="11" customFormat="false" ht="15" hidden="false" customHeight="false" outlineLevel="0" collapsed="false">
      <c r="A11" s="60" t="s">
        <v>777</v>
      </c>
      <c r="B11" s="61" t="str">
        <f aca="false">IF($M11=0,"",INDEX(Classes!$E$6:$E$420,$M11))</f>
        <v>Arabic A</v>
      </c>
      <c r="C11" s="62" t="str">
        <f aca="false">IF($M11=0,"",INDEX(Classes!$H$6:$H$420,$M11))</f>
        <v>Mr Ayman Bobo</v>
      </c>
      <c r="D11" s="61" t="str">
        <f aca="false">IF($M11=0,"",INDEX(Classes!$B$6:$B$420,$M11))</f>
        <v>Year 10</v>
      </c>
      <c r="E11" s="61" t="str">
        <f aca="false">IF($M11=0,"",INDEX(Classes!$C$6:$C$420,$M11))</f>
        <v>ah</v>
      </c>
      <c r="F11" s="63" t="s">
        <v>162</v>
      </c>
      <c r="G11" s="63" t="s">
        <v>1015</v>
      </c>
      <c r="H11" s="60"/>
      <c r="I11" s="60" t="s">
        <v>202</v>
      </c>
      <c r="J11" s="63" t="n">
        <v>5</v>
      </c>
      <c r="K11" s="61" t="str">
        <f aca="false">IF($P11=0,"",IF($F11="Baseline","— Baseline",IF($O11=0,"No result",IF($N11=0,"No Start (attainment only)",IF(OR($N11=1,$O11=1),"U – needs rule",INDEX(MxBody,MATCH($I11,MxCurr,0),MATCH($H11,MxStart,0)))))))</f>
        <v>— Baseline</v>
      </c>
      <c r="L11" s="62" t="str">
        <f aca="false">IF(COUNTA($A11,$F11,$G11,$H11,$I11,$J11)=0,"",IF($M11=0,"✖ كود الصف غير موجود",IF(ISNA(MATCH($F11,Lists!$A$2:$A$5,0)),"✖ الفترة غير صحيحة",IF(ISNA(MATCH($G11,Lists!$B$2:$B$7,0)),"✖ المجموعة غير صحيحة",IF(NOT(OR($H11="",$N11&gt;0)),"✖ Start غير صحيح",IF(NOT(OR($I11="",$I11="NR",$O11&gt;0)),"✖ Current غير صحيح",IF(NOT(IF(ISNUMBER($J11),AND($J11&gt;=0,$J11=INT($J11)),FALSE())),"✖ العدد يجب أن يكون صحيحًا ≥ 0",IF(AND($F11="Baseline",$H11&lt;&gt;""),"⚠ Baseline: Start لا يدخل في التقدم",IF($K11="No Start (attainment only)","ℹ تحصيل فقط (بدون Start)",IF($K11="U – needs rule","ℹ حالة U تحتاج قاعدة معتمدة",IF($K11="No result","ℹ بدون نتيجة (يُستبعد من التحصيل)","OK")))))))))))</f>
        <v>OK</v>
      </c>
      <c r="M11" s="64" t="n">
        <f aca="false">IF($A11="",0,IFERROR(MATCH($A11,Classes!$A$6:$A$420,0),0))</f>
        <v>282</v>
      </c>
      <c r="N11" s="64" t="n">
        <f aca="false">IF($H11="",0,IFERROR(MATCH($H11,GradeList,0),0))</f>
        <v>0</v>
      </c>
      <c r="O11" s="64" t="n">
        <f aca="false">IF(OR($I11="",$I11="NR"),0,IFERROR(MATCH($I11,GradeList,0),0))</f>
        <v>7</v>
      </c>
      <c r="P11" s="64" t="n">
        <f aca="false">IF(AND($M11&gt;0,ISNUMBER(MATCH($F11,Lists!$A$2:$A$5,0)),ISNUMBER(MATCH($G11,Lists!$B$2:$B$7,0)),OR($H11="",$N11&gt;0),OR($I11="",$I11="NR",$O11&gt;0),IF(ISNUMBER($J11),AND($J11&gt;=0,$J11=INT($J11)),FALSE())),$J11,0)</f>
        <v>5</v>
      </c>
      <c r="Q11" s="64" t="n">
        <f aca="false">IF(AND($P11&gt;0,$O11&gt;0),$P11,0)</f>
        <v>5</v>
      </c>
      <c r="R11" s="64" t="n">
        <f aca="false">IF(AND($Q11&gt;0,$O11&gt;=AtRank),$Q11,0)</f>
        <v>5</v>
      </c>
      <c r="S11" s="64" t="n">
        <f aca="false">IF(AND($Q11&gt;0,$O11&gt;=AboveRank),$Q11,0)</f>
        <v>5</v>
      </c>
      <c r="T11" s="64" t="n">
        <f aca="false">IF($K11="Less",$P11,0)</f>
        <v>0</v>
      </c>
      <c r="U11" s="64" t="n">
        <f aca="false">IF($K11="Expected",$P11,0)</f>
        <v>0</v>
      </c>
      <c r="V11" s="64" t="n">
        <f aca="false">IF($K11="Better",$P11,0)</f>
        <v>0</v>
      </c>
      <c r="W11" s="64" t="n">
        <f aca="false">IF($K11="U – needs rule",$P11,0)</f>
        <v>0</v>
      </c>
      <c r="X11" s="64" t="n">
        <f aca="false">IF($K11="No Start (attainment only)",$P11,0)</f>
        <v>0</v>
      </c>
    </row>
    <row r="12" customFormat="false" ht="15" hidden="false" customHeight="false" outlineLevel="0" collapsed="false">
      <c r="A12" s="60" t="s">
        <v>777</v>
      </c>
      <c r="B12" s="61" t="str">
        <f aca="false">IF($M12=0,"",INDEX(Classes!$E$6:$E$420,$M12))</f>
        <v>Arabic A</v>
      </c>
      <c r="C12" s="62" t="str">
        <f aca="false">IF($M12=0,"",INDEX(Classes!$H$6:$H$420,$M12))</f>
        <v>Mr Ayman Bobo</v>
      </c>
      <c r="D12" s="61" t="str">
        <f aca="false">IF($M12=0,"",INDEX(Classes!$B$6:$B$420,$M12))</f>
        <v>Year 10</v>
      </c>
      <c r="E12" s="61" t="str">
        <f aca="false">IF($M12=0,"",INDEX(Classes!$C$6:$C$420,$M12))</f>
        <v>ah</v>
      </c>
      <c r="F12" s="63" t="s">
        <v>162</v>
      </c>
      <c r="G12" s="63" t="s">
        <v>1015</v>
      </c>
      <c r="H12" s="60"/>
      <c r="I12" s="60" t="s">
        <v>203</v>
      </c>
      <c r="J12" s="63" t="n">
        <v>3</v>
      </c>
      <c r="K12" s="61" t="str">
        <f aca="false">IF($P12=0,"",IF($F12="Baseline","— Baseline",IF($O12=0,"No result",IF($N12=0,"No Start (attainment only)",IF(OR($N12=1,$O12=1),"U – needs rule",INDEX(MxBody,MATCH($I12,MxCurr,0),MATCH($H12,MxStart,0)))))))</f>
        <v>— Baseline</v>
      </c>
      <c r="L12" s="62" t="str">
        <f aca="false">IF(COUNTA($A12,$F12,$G12,$H12,$I12,$J12)=0,"",IF($M12=0,"✖ كود الصف غير موجود",IF(ISNA(MATCH($F12,Lists!$A$2:$A$5,0)),"✖ الفترة غير صحيحة",IF(ISNA(MATCH($G12,Lists!$B$2:$B$7,0)),"✖ المجموعة غير صحيحة",IF(NOT(OR($H12="",$N12&gt;0)),"✖ Start غير صحيح",IF(NOT(OR($I12="",$I12="NR",$O12&gt;0)),"✖ Current غير صحيح",IF(NOT(IF(ISNUMBER($J12),AND($J12&gt;=0,$J12=INT($J12)),FALSE())),"✖ العدد يجب أن يكون صحيحًا ≥ 0",IF(AND($F12="Baseline",$H12&lt;&gt;""),"⚠ Baseline: Start لا يدخل في التقدم",IF($K12="No Start (attainment only)","ℹ تحصيل فقط (بدون Start)",IF($K12="U – needs rule","ℹ حالة U تحتاج قاعدة معتمدة",IF($K12="No result","ℹ بدون نتيجة (يُستبعد من التحصيل)","OK")))))))))))</f>
        <v>OK</v>
      </c>
      <c r="M12" s="64" t="n">
        <f aca="false">IF($A12="",0,IFERROR(MATCH($A12,Classes!$A$6:$A$420,0),0))</f>
        <v>282</v>
      </c>
      <c r="N12" s="64" t="n">
        <f aca="false">IF($H12="",0,IFERROR(MATCH($H12,GradeList,0),0))</f>
        <v>0</v>
      </c>
      <c r="O12" s="64" t="n">
        <f aca="false">IF(OR($I12="",$I12="NR"),0,IFERROR(MATCH($I12,GradeList,0),0))</f>
        <v>8</v>
      </c>
      <c r="P12" s="64" t="n">
        <f aca="false">IF(AND($M12&gt;0,ISNUMBER(MATCH($F12,Lists!$A$2:$A$5,0)),ISNUMBER(MATCH($G12,Lists!$B$2:$B$7,0)),OR($H12="",$N12&gt;0),OR($I12="",$I12="NR",$O12&gt;0),IF(ISNUMBER($J12),AND($J12&gt;=0,$J12=INT($J12)),FALSE())),$J12,0)</f>
        <v>3</v>
      </c>
      <c r="Q12" s="64" t="n">
        <f aca="false">IF(AND($P12&gt;0,$O12&gt;0),$P12,0)</f>
        <v>3</v>
      </c>
      <c r="R12" s="64" t="n">
        <f aca="false">IF(AND($Q12&gt;0,$O12&gt;=AtRank),$Q12,0)</f>
        <v>3</v>
      </c>
      <c r="S12" s="64" t="n">
        <f aca="false">IF(AND($Q12&gt;0,$O12&gt;=AboveRank),$Q12,0)</f>
        <v>3</v>
      </c>
      <c r="T12" s="64" t="n">
        <f aca="false">IF($K12="Less",$P12,0)</f>
        <v>0</v>
      </c>
      <c r="U12" s="64" t="n">
        <f aca="false">IF($K12="Expected",$P12,0)</f>
        <v>0</v>
      </c>
      <c r="V12" s="64" t="n">
        <f aca="false">IF($K12="Better",$P12,0)</f>
        <v>0</v>
      </c>
      <c r="W12" s="64" t="n">
        <f aca="false">IF($K12="U – needs rule",$P12,0)</f>
        <v>0</v>
      </c>
      <c r="X12" s="64" t="n">
        <f aca="false">IF($K12="No Start (attainment only)",$P12,0)</f>
        <v>0</v>
      </c>
    </row>
    <row r="13" customFormat="false" ht="15" hidden="false" customHeight="false" outlineLevel="0" collapsed="false">
      <c r="A13" s="60" t="s">
        <v>777</v>
      </c>
      <c r="B13" s="61" t="str">
        <f aca="false">IF($M13=0,"",INDEX(Classes!$E$6:$E$420,$M13))</f>
        <v>Arabic A</v>
      </c>
      <c r="C13" s="62" t="str">
        <f aca="false">IF($M13=0,"",INDEX(Classes!$H$6:$H$420,$M13))</f>
        <v>Mr Ayman Bobo</v>
      </c>
      <c r="D13" s="61" t="str">
        <f aca="false">IF($M13=0,"",INDEX(Classes!$B$6:$B$420,$M13))</f>
        <v>Year 10</v>
      </c>
      <c r="E13" s="61" t="str">
        <f aca="false">IF($M13=0,"",INDEX(Classes!$C$6:$C$420,$M13))</f>
        <v>ah</v>
      </c>
      <c r="F13" s="63" t="s">
        <v>162</v>
      </c>
      <c r="G13" s="63" t="s">
        <v>1015</v>
      </c>
      <c r="H13" s="60"/>
      <c r="I13" s="60" t="s">
        <v>200</v>
      </c>
      <c r="J13" s="63" t="n">
        <v>2</v>
      </c>
      <c r="K13" s="61" t="str">
        <f aca="false">IF($P13=0,"",IF($F13="Baseline","— Baseline",IF($O13=0,"No result",IF($N13=0,"No Start (attainment only)",IF(OR($N13=1,$O13=1),"U – needs rule",INDEX(MxBody,MATCH($I13,MxCurr,0),MATCH($H13,MxStart,0)))))))</f>
        <v>— Baseline</v>
      </c>
      <c r="L13" s="62" t="str">
        <f aca="false">IF(COUNTA($A13,$F13,$G13,$H13,$I13,$J13)=0,"",IF($M13=0,"✖ كود الصف غير موجود",IF(ISNA(MATCH($F13,Lists!$A$2:$A$5,0)),"✖ الفترة غير صحيحة",IF(ISNA(MATCH($G13,Lists!$B$2:$B$7,0)),"✖ المجموعة غير صحيحة",IF(NOT(OR($H13="",$N13&gt;0)),"✖ Start غير صحيح",IF(NOT(OR($I13="",$I13="NR",$O13&gt;0)),"✖ Current غير صحيح",IF(NOT(IF(ISNUMBER($J13),AND($J13&gt;=0,$J13=INT($J13)),FALSE())),"✖ العدد يجب أن يكون صحيحًا ≥ 0",IF(AND($F13="Baseline",$H13&lt;&gt;""),"⚠ Baseline: Start لا يدخل في التقدم",IF($K13="No Start (attainment only)","ℹ تحصيل فقط (بدون Start)",IF($K13="U – needs rule","ℹ حالة U تحتاج قاعدة معتمدة",IF($K13="No result","ℹ بدون نتيجة (يُستبعد من التحصيل)","OK")))))))))))</f>
        <v>OK</v>
      </c>
      <c r="M13" s="64" t="n">
        <f aca="false">IF($A13="",0,IFERROR(MATCH($A13,Classes!$A$6:$A$420,0),0))</f>
        <v>282</v>
      </c>
      <c r="N13" s="64" t="n">
        <f aca="false">IF($H13="",0,IFERROR(MATCH($H13,GradeList,0),0))</f>
        <v>0</v>
      </c>
      <c r="O13" s="64" t="n">
        <f aca="false">IF(OR($I13="",$I13="NR"),0,IFERROR(MATCH($I13,GradeList,0),0))</f>
        <v>5</v>
      </c>
      <c r="P13" s="64" t="n">
        <f aca="false">IF(AND($M13&gt;0,ISNUMBER(MATCH($F13,Lists!$A$2:$A$5,0)),ISNUMBER(MATCH($G13,Lists!$B$2:$B$7,0)),OR($H13="",$N13&gt;0),OR($I13="",$I13="NR",$O13&gt;0),IF(ISNUMBER($J13),AND($J13&gt;=0,$J13=INT($J13)),FALSE())),$J13,0)</f>
        <v>2</v>
      </c>
      <c r="Q13" s="64" t="n">
        <f aca="false">IF(AND($P13&gt;0,$O13&gt;0),$P13,0)</f>
        <v>2</v>
      </c>
      <c r="R13" s="64" t="n">
        <f aca="false">IF(AND($Q13&gt;0,$O13&gt;=AtRank),$Q13,0)</f>
        <v>2</v>
      </c>
      <c r="S13" s="64" t="n">
        <f aca="false">IF(AND($Q13&gt;0,$O13&gt;=AboveRank),$Q13,0)</f>
        <v>0</v>
      </c>
      <c r="T13" s="64" t="n">
        <f aca="false">IF($K13="Less",$P13,0)</f>
        <v>0</v>
      </c>
      <c r="U13" s="64" t="n">
        <f aca="false">IF($K13="Expected",$P13,0)</f>
        <v>0</v>
      </c>
      <c r="V13" s="64" t="n">
        <f aca="false">IF($K13="Better",$P13,0)</f>
        <v>0</v>
      </c>
      <c r="W13" s="64" t="n">
        <f aca="false">IF($K13="U – needs rule",$P13,0)</f>
        <v>0</v>
      </c>
      <c r="X13" s="64" t="n">
        <f aca="false">IF($K13="No Start (attainment only)",$P13,0)</f>
        <v>0</v>
      </c>
    </row>
    <row r="14" customFormat="false" ht="15" hidden="false" customHeight="false" outlineLevel="0" collapsed="false">
      <c r="A14" s="60" t="s">
        <v>777</v>
      </c>
      <c r="B14" s="61" t="str">
        <f aca="false">IF($M14=0,"",INDEX(Classes!$E$6:$E$420,$M14))</f>
        <v>Arabic A</v>
      </c>
      <c r="C14" s="62" t="str">
        <f aca="false">IF($M14=0,"",INDEX(Classes!$H$6:$H$420,$M14))</f>
        <v>Mr Ayman Bobo</v>
      </c>
      <c r="D14" s="61" t="str">
        <f aca="false">IF($M14=0,"",INDEX(Classes!$B$6:$B$420,$M14))</f>
        <v>Year 10</v>
      </c>
      <c r="E14" s="61" t="str">
        <f aca="false">IF($M14=0,"",INDEX(Classes!$C$6:$C$420,$M14))</f>
        <v>ah</v>
      </c>
      <c r="F14" s="63" t="s">
        <v>162</v>
      </c>
      <c r="G14" s="63" t="s">
        <v>1015</v>
      </c>
      <c r="H14" s="60"/>
      <c r="I14" s="60" t="s">
        <v>204</v>
      </c>
      <c r="J14" s="63" t="n">
        <v>2</v>
      </c>
      <c r="K14" s="61" t="str">
        <f aca="false">IF($P14=0,"",IF($F14="Baseline","— Baseline",IF($O14=0,"No result",IF($N14=0,"No Start (attainment only)",IF(OR($N14=1,$O14=1),"U – needs rule",INDEX(MxBody,MATCH($I14,MxCurr,0),MATCH($H14,MxStart,0)))))))</f>
        <v>— Baseline</v>
      </c>
      <c r="L14" s="62" t="str">
        <f aca="false">IF(COUNTA($A14,$F14,$G14,$H14,$I14,$J14)=0,"",IF($M14=0,"✖ كود الصف غير موجود",IF(ISNA(MATCH($F14,Lists!$A$2:$A$5,0)),"✖ الفترة غير صحيحة",IF(ISNA(MATCH($G14,Lists!$B$2:$B$7,0)),"✖ المجموعة غير صحيحة",IF(NOT(OR($H14="",$N14&gt;0)),"✖ Start غير صحيح",IF(NOT(OR($I14="",$I14="NR",$O14&gt;0)),"✖ Current غير صحيح",IF(NOT(IF(ISNUMBER($J14),AND($J14&gt;=0,$J14=INT($J14)),FALSE())),"✖ العدد يجب أن يكون صحيحًا ≥ 0",IF(AND($F14="Baseline",$H14&lt;&gt;""),"⚠ Baseline: Start لا يدخل في التقدم",IF($K14="No Start (attainment only)","ℹ تحصيل فقط (بدون Start)",IF($K14="U – needs rule","ℹ حالة U تحتاج قاعدة معتمدة",IF($K14="No result","ℹ بدون نتيجة (يُستبعد من التحصيل)","OK")))))))))))</f>
        <v>OK</v>
      </c>
      <c r="M14" s="64" t="n">
        <f aca="false">IF($A14="",0,IFERROR(MATCH($A14,Classes!$A$6:$A$420,0),0))</f>
        <v>282</v>
      </c>
      <c r="N14" s="64" t="n">
        <f aca="false">IF($H14="",0,IFERROR(MATCH($H14,GradeList,0),0))</f>
        <v>0</v>
      </c>
      <c r="O14" s="64" t="n">
        <f aca="false">IF(OR($I14="",$I14="NR"),0,IFERROR(MATCH($I14,GradeList,0),0))</f>
        <v>9</v>
      </c>
      <c r="P14" s="64" t="n">
        <f aca="false">IF(AND($M14&gt;0,ISNUMBER(MATCH($F14,Lists!$A$2:$A$5,0)),ISNUMBER(MATCH($G14,Lists!$B$2:$B$7,0)),OR($H14="",$N14&gt;0),OR($I14="",$I14="NR",$O14&gt;0),IF(ISNUMBER($J14),AND($J14&gt;=0,$J14=INT($J14)),FALSE())),$J14,0)</f>
        <v>2</v>
      </c>
      <c r="Q14" s="64" t="n">
        <f aca="false">IF(AND($P14&gt;0,$O14&gt;0),$P14,0)</f>
        <v>2</v>
      </c>
      <c r="R14" s="64" t="n">
        <f aca="false">IF(AND($Q14&gt;0,$O14&gt;=AtRank),$Q14,0)</f>
        <v>2</v>
      </c>
      <c r="S14" s="64" t="n">
        <f aca="false">IF(AND($Q14&gt;0,$O14&gt;=AboveRank),$Q14,0)</f>
        <v>2</v>
      </c>
      <c r="T14" s="64" t="n">
        <f aca="false">IF($K14="Less",$P14,0)</f>
        <v>0</v>
      </c>
      <c r="U14" s="64" t="n">
        <f aca="false">IF($K14="Expected",$P14,0)</f>
        <v>0</v>
      </c>
      <c r="V14" s="64" t="n">
        <f aca="false">IF($K14="Better",$P14,0)</f>
        <v>0</v>
      </c>
      <c r="W14" s="64" t="n">
        <f aca="false">IF($K14="U – needs rule",$P14,0)</f>
        <v>0</v>
      </c>
      <c r="X14" s="64" t="n">
        <f aca="false">IF($K14="No Start (attainment only)",$P14,0)</f>
        <v>0</v>
      </c>
    </row>
    <row r="15" customFormat="false" ht="15" hidden="false" customHeight="false" outlineLevel="0" collapsed="false">
      <c r="A15" s="60" t="s">
        <v>777</v>
      </c>
      <c r="B15" s="61" t="str">
        <f aca="false">IF($M15=0,"",INDEX(Classes!$E$6:$E$420,$M15))</f>
        <v>Arabic A</v>
      </c>
      <c r="C15" s="62" t="str">
        <f aca="false">IF($M15=0,"",INDEX(Classes!$H$6:$H$420,$M15))</f>
        <v>Mr Ayman Bobo</v>
      </c>
      <c r="D15" s="61" t="str">
        <f aca="false">IF($M15=0,"",INDEX(Classes!$B$6:$B$420,$M15))</f>
        <v>Year 10</v>
      </c>
      <c r="E15" s="61" t="str">
        <f aca="false">IF($M15=0,"",INDEX(Classes!$C$6:$C$420,$M15))</f>
        <v>ah</v>
      </c>
      <c r="F15" s="63" t="s">
        <v>162</v>
      </c>
      <c r="G15" s="63" t="s">
        <v>1015</v>
      </c>
      <c r="H15" s="60"/>
      <c r="I15" s="60" t="s">
        <v>205</v>
      </c>
      <c r="J15" s="63" t="n">
        <v>1</v>
      </c>
      <c r="K15" s="61" t="str">
        <f aca="false">IF($P15=0,"",IF($F15="Baseline","— Baseline",IF($O15=0,"No result",IF($N15=0,"No Start (attainment only)",IF(OR($N15=1,$O15=1),"U – needs rule",INDEX(MxBody,MATCH($I15,MxCurr,0),MATCH($H15,MxStart,0)))))))</f>
        <v>— Baseline</v>
      </c>
      <c r="L15" s="62" t="str">
        <f aca="false">IF(COUNTA($A15,$F15,$G15,$H15,$I15,$J15)=0,"",IF($M15=0,"✖ كود الصف غير موجود",IF(ISNA(MATCH($F15,Lists!$A$2:$A$5,0)),"✖ الفترة غير صحيحة",IF(ISNA(MATCH($G15,Lists!$B$2:$B$7,0)),"✖ المجموعة غير صحيحة",IF(NOT(OR($H15="",$N15&gt;0)),"✖ Start غير صحيح",IF(NOT(OR($I15="",$I15="NR",$O15&gt;0)),"✖ Current غير صحيح",IF(NOT(IF(ISNUMBER($J15),AND($J15&gt;=0,$J15=INT($J15)),FALSE())),"✖ العدد يجب أن يكون صحيحًا ≥ 0",IF(AND($F15="Baseline",$H15&lt;&gt;""),"⚠ Baseline: Start لا يدخل في التقدم",IF($K15="No Start (attainment only)","ℹ تحصيل فقط (بدون Start)",IF($K15="U – needs rule","ℹ حالة U تحتاج قاعدة معتمدة",IF($K15="No result","ℹ بدون نتيجة (يُستبعد من التحصيل)","OK")))))))))))</f>
        <v>OK</v>
      </c>
      <c r="M15" s="64" t="n">
        <f aca="false">IF($A15="",0,IFERROR(MATCH($A15,Classes!$A$6:$A$420,0),0))</f>
        <v>282</v>
      </c>
      <c r="N15" s="64" t="n">
        <f aca="false">IF($H15="",0,IFERROR(MATCH($H15,GradeList,0),0))</f>
        <v>0</v>
      </c>
      <c r="O15" s="64" t="n">
        <f aca="false">IF(OR($I15="",$I15="NR"),0,IFERROR(MATCH($I15,GradeList,0),0))</f>
        <v>10</v>
      </c>
      <c r="P15" s="64" t="n">
        <f aca="false">IF(AND($M15&gt;0,ISNUMBER(MATCH($F15,Lists!$A$2:$A$5,0)),ISNUMBER(MATCH($G15,Lists!$B$2:$B$7,0)),OR($H15="",$N15&gt;0),OR($I15="",$I15="NR",$O15&gt;0),IF(ISNUMBER($J15),AND($J15&gt;=0,$J15=INT($J15)),FALSE())),$J15,0)</f>
        <v>1</v>
      </c>
      <c r="Q15" s="64" t="n">
        <f aca="false">IF(AND($P15&gt;0,$O15&gt;0),$P15,0)</f>
        <v>1</v>
      </c>
      <c r="R15" s="64" t="n">
        <f aca="false">IF(AND($Q15&gt;0,$O15&gt;=AtRank),$Q15,0)</f>
        <v>1</v>
      </c>
      <c r="S15" s="64" t="n">
        <f aca="false">IF(AND($Q15&gt;0,$O15&gt;=AboveRank),$Q15,0)</f>
        <v>1</v>
      </c>
      <c r="T15" s="64" t="n">
        <f aca="false">IF($K15="Less",$P15,0)</f>
        <v>0</v>
      </c>
      <c r="U15" s="64" t="n">
        <f aca="false">IF($K15="Expected",$P15,0)</f>
        <v>0</v>
      </c>
      <c r="V15" s="64" t="n">
        <f aca="false">IF($K15="Better",$P15,0)</f>
        <v>0</v>
      </c>
      <c r="W15" s="64" t="n">
        <f aca="false">IF($K15="U – needs rule",$P15,0)</f>
        <v>0</v>
      </c>
      <c r="X15" s="64" t="n">
        <f aca="false">IF($K15="No Start (attainment only)",$P15,0)</f>
        <v>0</v>
      </c>
    </row>
    <row r="16" customFormat="false" ht="15" hidden="false" customHeight="false" outlineLevel="0" collapsed="false">
      <c r="A16" s="60" t="s">
        <v>777</v>
      </c>
      <c r="B16" s="61" t="str">
        <f aca="false">IF($M16=0,"",INDEX(Classes!$E$6:$E$420,$M16))</f>
        <v>Arabic A</v>
      </c>
      <c r="C16" s="62" t="str">
        <f aca="false">IF($M16=0,"",INDEX(Classes!$H$6:$H$420,$M16))</f>
        <v>Mr Ayman Bobo</v>
      </c>
      <c r="D16" s="61" t="str">
        <f aca="false">IF($M16=0,"",INDEX(Classes!$B$6:$B$420,$M16))</f>
        <v>Year 10</v>
      </c>
      <c r="E16" s="61" t="str">
        <f aca="false">IF($M16=0,"",INDEX(Classes!$C$6:$C$420,$M16))</f>
        <v>ah</v>
      </c>
      <c r="F16" s="63" t="s">
        <v>162</v>
      </c>
      <c r="G16" s="63" t="s">
        <v>1016</v>
      </c>
      <c r="H16" s="60"/>
      <c r="I16" s="60" t="s">
        <v>202</v>
      </c>
      <c r="J16" s="63" t="n">
        <v>3</v>
      </c>
      <c r="K16" s="61" t="str">
        <f aca="false">IF($P16=0,"",IF($F16="Baseline","— Baseline",IF($O16=0,"No result",IF($N16=0,"No Start (attainment only)",IF(OR($N16=1,$O16=1),"U – needs rule",INDEX(MxBody,MATCH($I16,MxCurr,0),MATCH($H16,MxStart,0)))))))</f>
        <v>— Baseline</v>
      </c>
      <c r="L16" s="62" t="str">
        <f aca="false">IF(COUNTA($A16,$F16,$G16,$H16,$I16,$J16)=0,"",IF($M16=0,"✖ كود الصف غير موجود",IF(ISNA(MATCH($F16,Lists!$A$2:$A$5,0)),"✖ الفترة غير صحيحة",IF(ISNA(MATCH($G16,Lists!$B$2:$B$7,0)),"✖ المجموعة غير صحيحة",IF(NOT(OR($H16="",$N16&gt;0)),"✖ Start غير صحيح",IF(NOT(OR($I16="",$I16="NR",$O16&gt;0)),"✖ Current غير صحيح",IF(NOT(IF(ISNUMBER($J16),AND($J16&gt;=0,$J16=INT($J16)),FALSE())),"✖ العدد يجب أن يكون صحيحًا ≥ 0",IF(AND($F16="Baseline",$H16&lt;&gt;""),"⚠ Baseline: Start لا يدخل في التقدم",IF($K16="No Start (attainment only)","ℹ تحصيل فقط (بدون Start)",IF($K16="U – needs rule","ℹ حالة U تحتاج قاعدة معتمدة",IF($K16="No result","ℹ بدون نتيجة (يُستبعد من التحصيل)","OK")))))))))))</f>
        <v>OK</v>
      </c>
      <c r="M16" s="64" t="n">
        <f aca="false">IF($A16="",0,IFERROR(MATCH($A16,Classes!$A$6:$A$420,0),0))</f>
        <v>282</v>
      </c>
      <c r="N16" s="64" t="n">
        <f aca="false">IF($H16="",0,IFERROR(MATCH($H16,GradeList,0),0))</f>
        <v>0</v>
      </c>
      <c r="O16" s="64" t="n">
        <f aca="false">IF(OR($I16="",$I16="NR"),0,IFERROR(MATCH($I16,GradeList,0),0))</f>
        <v>7</v>
      </c>
      <c r="P16" s="64" t="n">
        <f aca="false">IF(AND($M16&gt;0,ISNUMBER(MATCH($F16,Lists!$A$2:$A$5,0)),ISNUMBER(MATCH($G16,Lists!$B$2:$B$7,0)),OR($H16="",$N16&gt;0),OR($I16="",$I16="NR",$O16&gt;0),IF(ISNUMBER($J16),AND($J16&gt;=0,$J16=INT($J16)),FALSE())),$J16,0)</f>
        <v>3</v>
      </c>
      <c r="Q16" s="64" t="n">
        <f aca="false">IF(AND($P16&gt;0,$O16&gt;0),$P16,0)</f>
        <v>3</v>
      </c>
      <c r="R16" s="64" t="n">
        <f aca="false">IF(AND($Q16&gt;0,$O16&gt;=AtRank),$Q16,0)</f>
        <v>3</v>
      </c>
      <c r="S16" s="64" t="n">
        <f aca="false">IF(AND($Q16&gt;0,$O16&gt;=AboveRank),$Q16,0)</f>
        <v>3</v>
      </c>
      <c r="T16" s="64" t="n">
        <f aca="false">IF($K16="Less",$P16,0)</f>
        <v>0</v>
      </c>
      <c r="U16" s="64" t="n">
        <f aca="false">IF($K16="Expected",$P16,0)</f>
        <v>0</v>
      </c>
      <c r="V16" s="64" t="n">
        <f aca="false">IF($K16="Better",$P16,0)</f>
        <v>0</v>
      </c>
      <c r="W16" s="64" t="n">
        <f aca="false">IF($K16="U – needs rule",$P16,0)</f>
        <v>0</v>
      </c>
      <c r="X16" s="64" t="n">
        <f aca="false">IF($K16="No Start (attainment only)",$P16,0)</f>
        <v>0</v>
      </c>
    </row>
    <row r="17" customFormat="false" ht="15" hidden="false" customHeight="false" outlineLevel="0" collapsed="false">
      <c r="A17" s="60" t="s">
        <v>777</v>
      </c>
      <c r="B17" s="61" t="str">
        <f aca="false">IF($M17=0,"",INDEX(Classes!$E$6:$E$420,$M17))</f>
        <v>Arabic A</v>
      </c>
      <c r="C17" s="62" t="str">
        <f aca="false">IF($M17=0,"",INDEX(Classes!$H$6:$H$420,$M17))</f>
        <v>Mr Ayman Bobo</v>
      </c>
      <c r="D17" s="61" t="str">
        <f aca="false">IF($M17=0,"",INDEX(Classes!$B$6:$B$420,$M17))</f>
        <v>Year 10</v>
      </c>
      <c r="E17" s="61" t="str">
        <f aca="false">IF($M17=0,"",INDEX(Classes!$C$6:$C$420,$M17))</f>
        <v>ah</v>
      </c>
      <c r="F17" s="63" t="s">
        <v>162</v>
      </c>
      <c r="G17" s="63" t="s">
        <v>1016</v>
      </c>
      <c r="H17" s="60"/>
      <c r="I17" s="60" t="s">
        <v>203</v>
      </c>
      <c r="J17" s="63" t="n">
        <v>4</v>
      </c>
      <c r="K17" s="61" t="str">
        <f aca="false">IF($P17=0,"",IF($F17="Baseline","— Baseline",IF($O17=0,"No result",IF($N17=0,"No Start (attainment only)",IF(OR($N17=1,$O17=1),"U – needs rule",INDEX(MxBody,MATCH($I17,MxCurr,0),MATCH($H17,MxStart,0)))))))</f>
        <v>— Baseline</v>
      </c>
      <c r="L17" s="62" t="str">
        <f aca="false">IF(COUNTA($A17,$F17,$G17,$H17,$I17,$J17)=0,"",IF($M17=0,"✖ كود الصف غير موجود",IF(ISNA(MATCH($F17,Lists!$A$2:$A$5,0)),"✖ الفترة غير صحيحة",IF(ISNA(MATCH($G17,Lists!$B$2:$B$7,0)),"✖ المجموعة غير صحيحة",IF(NOT(OR($H17="",$N17&gt;0)),"✖ Start غير صحيح",IF(NOT(OR($I17="",$I17="NR",$O17&gt;0)),"✖ Current غير صحيح",IF(NOT(IF(ISNUMBER($J17),AND($J17&gt;=0,$J17=INT($J17)),FALSE())),"✖ العدد يجب أن يكون صحيحًا ≥ 0",IF(AND($F17="Baseline",$H17&lt;&gt;""),"⚠ Baseline: Start لا يدخل في التقدم",IF($K17="No Start (attainment only)","ℹ تحصيل فقط (بدون Start)",IF($K17="U – needs rule","ℹ حالة U تحتاج قاعدة معتمدة",IF($K17="No result","ℹ بدون نتيجة (يُستبعد من التحصيل)","OK")))))))))))</f>
        <v>OK</v>
      </c>
      <c r="M17" s="64" t="n">
        <f aca="false">IF($A17="",0,IFERROR(MATCH($A17,Classes!$A$6:$A$420,0),0))</f>
        <v>282</v>
      </c>
      <c r="N17" s="64" t="n">
        <f aca="false">IF($H17="",0,IFERROR(MATCH($H17,GradeList,0),0))</f>
        <v>0</v>
      </c>
      <c r="O17" s="64" t="n">
        <f aca="false">IF(OR($I17="",$I17="NR"),0,IFERROR(MATCH($I17,GradeList,0),0))</f>
        <v>8</v>
      </c>
      <c r="P17" s="64" t="n">
        <f aca="false">IF(AND($M17&gt;0,ISNUMBER(MATCH($F17,Lists!$A$2:$A$5,0)),ISNUMBER(MATCH($G17,Lists!$B$2:$B$7,0)),OR($H17="",$N17&gt;0),OR($I17="",$I17="NR",$O17&gt;0),IF(ISNUMBER($J17),AND($J17&gt;=0,$J17=INT($J17)),FALSE())),$J17,0)</f>
        <v>4</v>
      </c>
      <c r="Q17" s="64" t="n">
        <f aca="false">IF(AND($P17&gt;0,$O17&gt;0),$P17,0)</f>
        <v>4</v>
      </c>
      <c r="R17" s="64" t="n">
        <f aca="false">IF(AND($Q17&gt;0,$O17&gt;=AtRank),$Q17,0)</f>
        <v>4</v>
      </c>
      <c r="S17" s="64" t="n">
        <f aca="false">IF(AND($Q17&gt;0,$O17&gt;=AboveRank),$Q17,0)</f>
        <v>4</v>
      </c>
      <c r="T17" s="64" t="n">
        <f aca="false">IF($K17="Less",$P17,0)</f>
        <v>0</v>
      </c>
      <c r="U17" s="64" t="n">
        <f aca="false">IF($K17="Expected",$P17,0)</f>
        <v>0</v>
      </c>
      <c r="V17" s="64" t="n">
        <f aca="false">IF($K17="Better",$P17,0)</f>
        <v>0</v>
      </c>
      <c r="W17" s="64" t="n">
        <f aca="false">IF($K17="U – needs rule",$P17,0)</f>
        <v>0</v>
      </c>
      <c r="X17" s="64" t="n">
        <f aca="false">IF($K17="No Start (attainment only)",$P17,0)</f>
        <v>0</v>
      </c>
    </row>
    <row r="18" customFormat="false" ht="15" hidden="false" customHeight="false" outlineLevel="0" collapsed="false">
      <c r="A18" s="60" t="s">
        <v>777</v>
      </c>
      <c r="B18" s="61" t="str">
        <f aca="false">IF($M18=0,"",INDEX(Classes!$E$6:$E$420,$M18))</f>
        <v>Arabic A</v>
      </c>
      <c r="C18" s="62" t="str">
        <f aca="false">IF($M18=0,"",INDEX(Classes!$H$6:$H$420,$M18))</f>
        <v>Mr Ayman Bobo</v>
      </c>
      <c r="D18" s="61" t="str">
        <f aca="false">IF($M18=0,"",INDEX(Classes!$B$6:$B$420,$M18))</f>
        <v>Year 10</v>
      </c>
      <c r="E18" s="61" t="str">
        <f aca="false">IF($M18=0,"",INDEX(Classes!$C$6:$C$420,$M18))</f>
        <v>ah</v>
      </c>
      <c r="F18" s="63" t="s">
        <v>162</v>
      </c>
      <c r="G18" s="63" t="s">
        <v>1016</v>
      </c>
      <c r="H18" s="60"/>
      <c r="I18" s="60" t="s">
        <v>201</v>
      </c>
      <c r="J18" s="63" t="n">
        <v>1</v>
      </c>
      <c r="K18" s="61" t="str">
        <f aca="false">IF($P18=0,"",IF($F18="Baseline","— Baseline",IF($O18=0,"No result",IF($N18=0,"No Start (attainment only)",IF(OR($N18=1,$O18=1),"U – needs rule",INDEX(MxBody,MATCH($I18,MxCurr,0),MATCH($H18,MxStart,0)))))))</f>
        <v>— Baseline</v>
      </c>
      <c r="L18" s="62" t="str">
        <f aca="false">IF(COUNTA($A18,$F18,$G18,$H18,$I18,$J18)=0,"",IF($M18=0,"✖ كود الصف غير موجود",IF(ISNA(MATCH($F18,Lists!$A$2:$A$5,0)),"✖ الفترة غير صحيحة",IF(ISNA(MATCH($G18,Lists!$B$2:$B$7,0)),"✖ المجموعة غير صحيحة",IF(NOT(OR($H18="",$N18&gt;0)),"✖ Start غير صحيح",IF(NOT(OR($I18="",$I18="NR",$O18&gt;0)),"✖ Current غير صحيح",IF(NOT(IF(ISNUMBER($J18),AND($J18&gt;=0,$J18=INT($J18)),FALSE())),"✖ العدد يجب أن يكون صحيحًا ≥ 0",IF(AND($F18="Baseline",$H18&lt;&gt;""),"⚠ Baseline: Start لا يدخل في التقدم",IF($K18="No Start (attainment only)","ℹ تحصيل فقط (بدون Start)",IF($K18="U – needs rule","ℹ حالة U تحتاج قاعدة معتمدة",IF($K18="No result","ℹ بدون نتيجة (يُستبعد من التحصيل)","OK")))))))))))</f>
        <v>OK</v>
      </c>
      <c r="M18" s="64" t="n">
        <f aca="false">IF($A18="",0,IFERROR(MATCH($A18,Classes!$A$6:$A$420,0),0))</f>
        <v>282</v>
      </c>
      <c r="N18" s="64" t="n">
        <f aca="false">IF($H18="",0,IFERROR(MATCH($H18,GradeList,0),0))</f>
        <v>0</v>
      </c>
      <c r="O18" s="64" t="n">
        <f aca="false">IF(OR($I18="",$I18="NR"),0,IFERROR(MATCH($I18,GradeList,0),0))</f>
        <v>6</v>
      </c>
      <c r="P18" s="64" t="n">
        <f aca="false">IF(AND($M18&gt;0,ISNUMBER(MATCH($F18,Lists!$A$2:$A$5,0)),ISNUMBER(MATCH($G18,Lists!$B$2:$B$7,0)),OR($H18="",$N18&gt;0),OR($I18="",$I18="NR",$O18&gt;0),IF(ISNUMBER($J18),AND($J18&gt;=0,$J18=INT($J18)),FALSE())),$J18,0)</f>
        <v>1</v>
      </c>
      <c r="Q18" s="64" t="n">
        <f aca="false">IF(AND($P18&gt;0,$O18&gt;0),$P18,0)</f>
        <v>1</v>
      </c>
      <c r="R18" s="64" t="n">
        <f aca="false">IF(AND($Q18&gt;0,$O18&gt;=AtRank),$Q18,0)</f>
        <v>1</v>
      </c>
      <c r="S18" s="64" t="n">
        <f aca="false">IF(AND($Q18&gt;0,$O18&gt;=AboveRank),$Q18,0)</f>
        <v>0</v>
      </c>
      <c r="T18" s="64" t="n">
        <f aca="false">IF($K18="Less",$P18,0)</f>
        <v>0</v>
      </c>
      <c r="U18" s="64" t="n">
        <f aca="false">IF($K18="Expected",$P18,0)</f>
        <v>0</v>
      </c>
      <c r="V18" s="64" t="n">
        <f aca="false">IF($K18="Better",$P18,0)</f>
        <v>0</v>
      </c>
      <c r="W18" s="64" t="n">
        <f aca="false">IF($K18="U – needs rule",$P18,0)</f>
        <v>0</v>
      </c>
      <c r="X18" s="64" t="n">
        <f aca="false">IF($K18="No Start (attainment only)",$P18,0)</f>
        <v>0</v>
      </c>
    </row>
    <row r="19" customFormat="false" ht="15" hidden="false" customHeight="false" outlineLevel="0" collapsed="false">
      <c r="A19" s="60" t="s">
        <v>777</v>
      </c>
      <c r="B19" s="61" t="str">
        <f aca="false">IF($M19=0,"",INDEX(Classes!$E$6:$E$420,$M19))</f>
        <v>Arabic A</v>
      </c>
      <c r="C19" s="62" t="str">
        <f aca="false">IF($M19=0,"",INDEX(Classes!$H$6:$H$420,$M19))</f>
        <v>Mr Ayman Bobo</v>
      </c>
      <c r="D19" s="61" t="str">
        <f aca="false">IF($M19=0,"",INDEX(Classes!$B$6:$B$420,$M19))</f>
        <v>Year 10</v>
      </c>
      <c r="E19" s="61" t="str">
        <f aca="false">IF($M19=0,"",INDEX(Classes!$C$6:$C$420,$M19))</f>
        <v>ah</v>
      </c>
      <c r="F19" s="63" t="s">
        <v>162</v>
      </c>
      <c r="G19" s="63" t="s">
        <v>1016</v>
      </c>
      <c r="H19" s="60"/>
      <c r="I19" s="60" t="s">
        <v>204</v>
      </c>
      <c r="J19" s="63" t="n">
        <v>2</v>
      </c>
      <c r="K19" s="61" t="str">
        <f aca="false">IF($P19=0,"",IF($F19="Baseline","— Baseline",IF($O19=0,"No result",IF($N19=0,"No Start (attainment only)",IF(OR($N19=1,$O19=1),"U – needs rule",INDEX(MxBody,MATCH($I19,MxCurr,0),MATCH($H19,MxStart,0)))))))</f>
        <v>— Baseline</v>
      </c>
      <c r="L19" s="62" t="str">
        <f aca="false">IF(COUNTA($A19,$F19,$G19,$H19,$I19,$J19)=0,"",IF($M19=0,"✖ كود الصف غير موجود",IF(ISNA(MATCH($F19,Lists!$A$2:$A$5,0)),"✖ الفترة غير صحيحة",IF(ISNA(MATCH($G19,Lists!$B$2:$B$7,0)),"✖ المجموعة غير صحيحة",IF(NOT(OR($H19="",$N19&gt;0)),"✖ Start غير صحيح",IF(NOT(OR($I19="",$I19="NR",$O19&gt;0)),"✖ Current غير صحيح",IF(NOT(IF(ISNUMBER($J19),AND($J19&gt;=0,$J19=INT($J19)),FALSE())),"✖ العدد يجب أن يكون صحيحًا ≥ 0",IF(AND($F19="Baseline",$H19&lt;&gt;""),"⚠ Baseline: Start لا يدخل في التقدم",IF($K19="No Start (attainment only)","ℹ تحصيل فقط (بدون Start)",IF($K19="U – needs rule","ℹ حالة U تحتاج قاعدة معتمدة",IF($K19="No result","ℹ بدون نتيجة (يُستبعد من التحصيل)","OK")))))))))))</f>
        <v>OK</v>
      </c>
      <c r="M19" s="64" t="n">
        <f aca="false">IF($A19="",0,IFERROR(MATCH($A19,Classes!$A$6:$A$420,0),0))</f>
        <v>282</v>
      </c>
      <c r="N19" s="64" t="n">
        <f aca="false">IF($H19="",0,IFERROR(MATCH($H19,GradeList,0),0))</f>
        <v>0</v>
      </c>
      <c r="O19" s="64" t="n">
        <f aca="false">IF(OR($I19="",$I19="NR"),0,IFERROR(MATCH($I19,GradeList,0),0))</f>
        <v>9</v>
      </c>
      <c r="P19" s="64" t="n">
        <f aca="false">IF(AND($M19&gt;0,ISNUMBER(MATCH($F19,Lists!$A$2:$A$5,0)),ISNUMBER(MATCH($G19,Lists!$B$2:$B$7,0)),OR($H19="",$N19&gt;0),OR($I19="",$I19="NR",$O19&gt;0),IF(ISNUMBER($J19),AND($J19&gt;=0,$J19=INT($J19)),FALSE())),$J19,0)</f>
        <v>2</v>
      </c>
      <c r="Q19" s="64" t="n">
        <f aca="false">IF(AND($P19&gt;0,$O19&gt;0),$P19,0)</f>
        <v>2</v>
      </c>
      <c r="R19" s="64" t="n">
        <f aca="false">IF(AND($Q19&gt;0,$O19&gt;=AtRank),$Q19,0)</f>
        <v>2</v>
      </c>
      <c r="S19" s="64" t="n">
        <f aca="false">IF(AND($Q19&gt;0,$O19&gt;=AboveRank),$Q19,0)</f>
        <v>2</v>
      </c>
      <c r="T19" s="64" t="n">
        <f aca="false">IF($K19="Less",$P19,0)</f>
        <v>0</v>
      </c>
      <c r="U19" s="64" t="n">
        <f aca="false">IF($K19="Expected",$P19,0)</f>
        <v>0</v>
      </c>
      <c r="V19" s="64" t="n">
        <f aca="false">IF($K19="Better",$P19,0)</f>
        <v>0</v>
      </c>
      <c r="W19" s="64" t="n">
        <f aca="false">IF($K19="U – needs rule",$P19,0)</f>
        <v>0</v>
      </c>
      <c r="X19" s="64" t="n">
        <f aca="false">IF($K19="No Start (attainment only)",$P19,0)</f>
        <v>0</v>
      </c>
    </row>
    <row r="20" customFormat="false" ht="15" hidden="false" customHeight="false" outlineLevel="0" collapsed="false">
      <c r="A20" s="60" t="s">
        <v>777</v>
      </c>
      <c r="B20" s="61" t="str">
        <f aca="false">IF($M20=0,"",INDEX(Classes!$E$6:$E$420,$M20))</f>
        <v>Arabic A</v>
      </c>
      <c r="C20" s="62" t="str">
        <f aca="false">IF($M20=0,"",INDEX(Classes!$H$6:$H$420,$M20))</f>
        <v>Mr Ayman Bobo</v>
      </c>
      <c r="D20" s="61" t="str">
        <f aca="false">IF($M20=0,"",INDEX(Classes!$B$6:$B$420,$M20))</f>
        <v>Year 10</v>
      </c>
      <c r="E20" s="61" t="str">
        <f aca="false">IF($M20=0,"",INDEX(Classes!$C$6:$C$420,$M20))</f>
        <v>ah</v>
      </c>
      <c r="F20" s="63" t="s">
        <v>162</v>
      </c>
      <c r="G20" s="63" t="s">
        <v>1016</v>
      </c>
      <c r="H20" s="60"/>
      <c r="I20" s="60" t="s">
        <v>205</v>
      </c>
      <c r="J20" s="63" t="n">
        <v>1</v>
      </c>
      <c r="K20" s="61" t="str">
        <f aca="false">IF($P20=0,"",IF($F20="Baseline","— Baseline",IF($O20=0,"No result",IF($N20=0,"No Start (attainment only)",IF(OR($N20=1,$O20=1),"U – needs rule",INDEX(MxBody,MATCH($I20,MxCurr,0),MATCH($H20,MxStart,0)))))))</f>
        <v>— Baseline</v>
      </c>
      <c r="L20" s="62" t="str">
        <f aca="false">IF(COUNTA($A20,$F20,$G20,$H20,$I20,$J20)=0,"",IF($M20=0,"✖ كود الصف غير موجود",IF(ISNA(MATCH($F20,Lists!$A$2:$A$5,0)),"✖ الفترة غير صحيحة",IF(ISNA(MATCH($G20,Lists!$B$2:$B$7,0)),"✖ المجموعة غير صحيحة",IF(NOT(OR($H20="",$N20&gt;0)),"✖ Start غير صحيح",IF(NOT(OR($I20="",$I20="NR",$O20&gt;0)),"✖ Current غير صحيح",IF(NOT(IF(ISNUMBER($J20),AND($J20&gt;=0,$J20=INT($J20)),FALSE())),"✖ العدد يجب أن يكون صحيحًا ≥ 0",IF(AND($F20="Baseline",$H20&lt;&gt;""),"⚠ Baseline: Start لا يدخل في التقدم",IF($K20="No Start (attainment only)","ℹ تحصيل فقط (بدون Start)",IF($K20="U – needs rule","ℹ حالة U تحتاج قاعدة معتمدة",IF($K20="No result","ℹ بدون نتيجة (يُستبعد من التحصيل)","OK")))))))))))</f>
        <v>OK</v>
      </c>
      <c r="M20" s="64" t="n">
        <f aca="false">IF($A20="",0,IFERROR(MATCH($A20,Classes!$A$6:$A$420,0),0))</f>
        <v>282</v>
      </c>
      <c r="N20" s="64" t="n">
        <f aca="false">IF($H20="",0,IFERROR(MATCH($H20,GradeList,0),0))</f>
        <v>0</v>
      </c>
      <c r="O20" s="64" t="n">
        <f aca="false">IF(OR($I20="",$I20="NR"),0,IFERROR(MATCH($I20,GradeList,0),0))</f>
        <v>10</v>
      </c>
      <c r="P20" s="64" t="n">
        <f aca="false">IF(AND($M20&gt;0,ISNUMBER(MATCH($F20,Lists!$A$2:$A$5,0)),ISNUMBER(MATCH($G20,Lists!$B$2:$B$7,0)),OR($H20="",$N20&gt;0),OR($I20="",$I20="NR",$O20&gt;0),IF(ISNUMBER($J20),AND($J20&gt;=0,$J20=INT($J20)),FALSE())),$J20,0)</f>
        <v>1</v>
      </c>
      <c r="Q20" s="64" t="n">
        <f aca="false">IF(AND($P20&gt;0,$O20&gt;0),$P20,0)</f>
        <v>1</v>
      </c>
      <c r="R20" s="64" t="n">
        <f aca="false">IF(AND($Q20&gt;0,$O20&gt;=AtRank),$Q20,0)</f>
        <v>1</v>
      </c>
      <c r="S20" s="64" t="n">
        <f aca="false">IF(AND($Q20&gt;0,$O20&gt;=AboveRank),$Q20,0)</f>
        <v>1</v>
      </c>
      <c r="T20" s="64" t="n">
        <f aca="false">IF($K20="Less",$P20,0)</f>
        <v>0</v>
      </c>
      <c r="U20" s="64" t="n">
        <f aca="false">IF($K20="Expected",$P20,0)</f>
        <v>0</v>
      </c>
      <c r="V20" s="64" t="n">
        <f aca="false">IF($K20="Better",$P20,0)</f>
        <v>0</v>
      </c>
      <c r="W20" s="64" t="n">
        <f aca="false">IF($K20="U – needs rule",$P20,0)</f>
        <v>0</v>
      </c>
      <c r="X20" s="64" t="n">
        <f aca="false">IF($K20="No Start (attainment only)",$P20,0)</f>
        <v>0</v>
      </c>
    </row>
    <row r="21" customFormat="false" ht="15" hidden="false" customHeight="false" outlineLevel="0" collapsed="false">
      <c r="A21" s="60" t="s">
        <v>777</v>
      </c>
      <c r="B21" s="61" t="str">
        <f aca="false">IF($M21=0,"",INDEX(Classes!$E$6:$E$420,$M21))</f>
        <v>Arabic A</v>
      </c>
      <c r="C21" s="62" t="str">
        <f aca="false">IF($M21=0,"",INDEX(Classes!$H$6:$H$420,$M21))</f>
        <v>Mr Ayman Bobo</v>
      </c>
      <c r="D21" s="61" t="str">
        <f aca="false">IF($M21=0,"",INDEX(Classes!$B$6:$B$420,$M21))</f>
        <v>Year 10</v>
      </c>
      <c r="E21" s="61" t="str">
        <f aca="false">IF($M21=0,"",INDEX(Classes!$C$6:$C$420,$M21))</f>
        <v>ah</v>
      </c>
      <c r="F21" s="63" t="s">
        <v>162</v>
      </c>
      <c r="G21" s="63" t="s">
        <v>941</v>
      </c>
      <c r="H21" s="60"/>
      <c r="I21" s="60" t="s">
        <v>202</v>
      </c>
      <c r="J21" s="63" t="n">
        <v>3</v>
      </c>
      <c r="K21" s="61" t="str">
        <f aca="false">IF($P21=0,"",IF($F21="Baseline","— Baseline",IF($O21=0,"No result",IF($N21=0,"No Start (attainment only)",IF(OR($N21=1,$O21=1),"U – needs rule",INDEX(MxBody,MATCH($I21,MxCurr,0),MATCH($H21,MxStart,0)))))))</f>
        <v>— Baseline</v>
      </c>
      <c r="L21" s="62" t="str">
        <f aca="false">IF(COUNTA($A21,$F21,$G21,$H21,$I21,$J21)=0,"",IF($M21=0,"✖ كود الصف غير موجود",IF(ISNA(MATCH($F21,Lists!$A$2:$A$5,0)),"✖ الفترة غير صحيحة",IF(ISNA(MATCH($G21,Lists!$B$2:$B$7,0)),"✖ المجموعة غير صحيحة",IF(NOT(OR($H21="",$N21&gt;0)),"✖ Start غير صحيح",IF(NOT(OR($I21="",$I21="NR",$O21&gt;0)),"✖ Current غير صحيح",IF(NOT(IF(ISNUMBER($J21),AND($J21&gt;=0,$J21=INT($J21)),FALSE())),"✖ العدد يجب أن يكون صحيحًا ≥ 0",IF(AND($F21="Baseline",$H21&lt;&gt;""),"⚠ Baseline: Start لا يدخل في التقدم",IF($K21="No Start (attainment only)","ℹ تحصيل فقط (بدون Start)",IF($K21="U – needs rule","ℹ حالة U تحتاج قاعدة معتمدة",IF($K21="No result","ℹ بدون نتيجة (يُستبعد من التحصيل)","OK")))))))))))</f>
        <v>OK</v>
      </c>
      <c r="M21" s="64" t="n">
        <f aca="false">IF($A21="",0,IFERROR(MATCH($A21,Classes!$A$6:$A$420,0),0))</f>
        <v>282</v>
      </c>
      <c r="N21" s="64" t="n">
        <f aca="false">IF($H21="",0,IFERROR(MATCH($H21,GradeList,0),0))</f>
        <v>0</v>
      </c>
      <c r="O21" s="64" t="n">
        <f aca="false">IF(OR($I21="",$I21="NR"),0,IFERROR(MATCH($I21,GradeList,0),0))</f>
        <v>7</v>
      </c>
      <c r="P21" s="64" t="n">
        <f aca="false">IF(AND($M21&gt;0,ISNUMBER(MATCH($F21,Lists!$A$2:$A$5,0)),ISNUMBER(MATCH($G21,Lists!$B$2:$B$7,0)),OR($H21="",$N21&gt;0),OR($I21="",$I21="NR",$O21&gt;0),IF(ISNUMBER($J21),AND($J21&gt;=0,$J21=INT($J21)),FALSE())),$J21,0)</f>
        <v>3</v>
      </c>
      <c r="Q21" s="64" t="n">
        <f aca="false">IF(AND($P21&gt;0,$O21&gt;0),$P21,0)</f>
        <v>3</v>
      </c>
      <c r="R21" s="64" t="n">
        <f aca="false">IF(AND($Q21&gt;0,$O21&gt;=AtRank),$Q21,0)</f>
        <v>3</v>
      </c>
      <c r="S21" s="64" t="n">
        <f aca="false">IF(AND($Q21&gt;0,$O21&gt;=AboveRank),$Q21,0)</f>
        <v>3</v>
      </c>
      <c r="T21" s="64" t="n">
        <f aca="false">IF($K21="Less",$P21,0)</f>
        <v>0</v>
      </c>
      <c r="U21" s="64" t="n">
        <f aca="false">IF($K21="Expected",$P21,0)</f>
        <v>0</v>
      </c>
      <c r="V21" s="64" t="n">
        <f aca="false">IF($K21="Better",$P21,0)</f>
        <v>0</v>
      </c>
      <c r="W21" s="64" t="n">
        <f aca="false">IF($K21="U – needs rule",$P21,0)</f>
        <v>0</v>
      </c>
      <c r="X21" s="64" t="n">
        <f aca="false">IF($K21="No Start (attainment only)",$P21,0)</f>
        <v>0</v>
      </c>
    </row>
    <row r="22" customFormat="false" ht="15" hidden="false" customHeight="false" outlineLevel="0" collapsed="false">
      <c r="A22" s="60" t="s">
        <v>777</v>
      </c>
      <c r="B22" s="61" t="str">
        <f aca="false">IF($M22=0,"",INDEX(Classes!$E$6:$E$420,$M22))</f>
        <v>Arabic A</v>
      </c>
      <c r="C22" s="62" t="str">
        <f aca="false">IF($M22=0,"",INDEX(Classes!$H$6:$H$420,$M22))</f>
        <v>Mr Ayman Bobo</v>
      </c>
      <c r="D22" s="61" t="str">
        <f aca="false">IF($M22=0,"",INDEX(Classes!$B$6:$B$420,$M22))</f>
        <v>Year 10</v>
      </c>
      <c r="E22" s="61" t="str">
        <f aca="false">IF($M22=0,"",INDEX(Classes!$C$6:$C$420,$M22))</f>
        <v>ah</v>
      </c>
      <c r="F22" s="63" t="s">
        <v>162</v>
      </c>
      <c r="G22" s="63" t="s">
        <v>941</v>
      </c>
      <c r="H22" s="60"/>
      <c r="I22" s="60" t="s">
        <v>203</v>
      </c>
      <c r="J22" s="63" t="n">
        <v>1</v>
      </c>
      <c r="K22" s="61" t="str">
        <f aca="false">IF($P22=0,"",IF($F22="Baseline","— Baseline",IF($O22=0,"No result",IF($N22=0,"No Start (attainment only)",IF(OR($N22=1,$O22=1),"U – needs rule",INDEX(MxBody,MATCH($I22,MxCurr,0),MATCH($H22,MxStart,0)))))))</f>
        <v>— Baseline</v>
      </c>
      <c r="L22" s="62" t="str">
        <f aca="false">IF(COUNTA($A22,$F22,$G22,$H22,$I22,$J22)=0,"",IF($M22=0,"✖ كود الصف غير موجود",IF(ISNA(MATCH($F22,Lists!$A$2:$A$5,0)),"✖ الفترة غير صحيحة",IF(ISNA(MATCH($G22,Lists!$B$2:$B$7,0)),"✖ المجموعة غير صحيحة",IF(NOT(OR($H22="",$N22&gt;0)),"✖ Start غير صحيح",IF(NOT(OR($I22="",$I22="NR",$O22&gt;0)),"✖ Current غير صحيح",IF(NOT(IF(ISNUMBER($J22),AND($J22&gt;=0,$J22=INT($J22)),FALSE())),"✖ العدد يجب أن يكون صحيحًا ≥ 0",IF(AND($F22="Baseline",$H22&lt;&gt;""),"⚠ Baseline: Start لا يدخل في التقدم",IF($K22="No Start (attainment only)","ℹ تحصيل فقط (بدون Start)",IF($K22="U – needs rule","ℹ حالة U تحتاج قاعدة معتمدة",IF($K22="No result","ℹ بدون نتيجة (يُستبعد من التحصيل)","OK")))))))))))</f>
        <v>OK</v>
      </c>
      <c r="M22" s="64" t="n">
        <f aca="false">IF($A22="",0,IFERROR(MATCH($A22,Classes!$A$6:$A$420,0),0))</f>
        <v>282</v>
      </c>
      <c r="N22" s="64" t="n">
        <f aca="false">IF($H22="",0,IFERROR(MATCH($H22,GradeList,0),0))</f>
        <v>0</v>
      </c>
      <c r="O22" s="64" t="n">
        <f aca="false">IF(OR($I22="",$I22="NR"),0,IFERROR(MATCH($I22,GradeList,0),0))</f>
        <v>8</v>
      </c>
      <c r="P22" s="64" t="n">
        <f aca="false">IF(AND($M22&gt;0,ISNUMBER(MATCH($F22,Lists!$A$2:$A$5,0)),ISNUMBER(MATCH($G22,Lists!$B$2:$B$7,0)),OR($H22="",$N22&gt;0),OR($I22="",$I22="NR",$O22&gt;0),IF(ISNUMBER($J22),AND($J22&gt;=0,$J22=INT($J22)),FALSE())),$J22,0)</f>
        <v>1</v>
      </c>
      <c r="Q22" s="64" t="n">
        <f aca="false">IF(AND($P22&gt;0,$O22&gt;0),$P22,0)</f>
        <v>1</v>
      </c>
      <c r="R22" s="64" t="n">
        <f aca="false">IF(AND($Q22&gt;0,$O22&gt;=AtRank),$Q22,0)</f>
        <v>1</v>
      </c>
      <c r="S22" s="64" t="n">
        <f aca="false">IF(AND($Q22&gt;0,$O22&gt;=AboveRank),$Q22,0)</f>
        <v>1</v>
      </c>
      <c r="T22" s="64" t="n">
        <f aca="false">IF($K22="Less",$P22,0)</f>
        <v>0</v>
      </c>
      <c r="U22" s="64" t="n">
        <f aca="false">IF($K22="Expected",$P22,0)</f>
        <v>0</v>
      </c>
      <c r="V22" s="64" t="n">
        <f aca="false">IF($K22="Better",$P22,0)</f>
        <v>0</v>
      </c>
      <c r="W22" s="64" t="n">
        <f aca="false">IF($K22="U – needs rule",$P22,0)</f>
        <v>0</v>
      </c>
      <c r="X22" s="64" t="n">
        <f aca="false">IF($K22="No Start (attainment only)",$P22,0)</f>
        <v>0</v>
      </c>
    </row>
    <row r="23" customFormat="false" ht="15" hidden="false" customHeight="false" outlineLevel="0" collapsed="false">
      <c r="A23" s="60" t="s">
        <v>777</v>
      </c>
      <c r="B23" s="61" t="str">
        <f aca="false">IF($M23=0,"",INDEX(Classes!$E$6:$E$420,$M23))</f>
        <v>Arabic A</v>
      </c>
      <c r="C23" s="62" t="str">
        <f aca="false">IF($M23=0,"",INDEX(Classes!$H$6:$H$420,$M23))</f>
        <v>Mr Ayman Bobo</v>
      </c>
      <c r="D23" s="61" t="str">
        <f aca="false">IF($M23=0,"",INDEX(Classes!$B$6:$B$420,$M23))</f>
        <v>Year 10</v>
      </c>
      <c r="E23" s="61" t="str">
        <f aca="false">IF($M23=0,"",INDEX(Classes!$C$6:$C$420,$M23))</f>
        <v>ah</v>
      </c>
      <c r="F23" s="63" t="s">
        <v>162</v>
      </c>
      <c r="G23" s="63" t="s">
        <v>1017</v>
      </c>
      <c r="H23" s="60"/>
      <c r="I23" s="60" t="s">
        <v>202</v>
      </c>
      <c r="J23" s="63" t="n">
        <v>2</v>
      </c>
      <c r="K23" s="61" t="str">
        <f aca="false">IF($P23=0,"",IF($F23="Baseline","— Baseline",IF($O23=0,"No result",IF($N23=0,"No Start (attainment only)",IF(OR($N23=1,$O23=1),"U – needs rule",INDEX(MxBody,MATCH($I23,MxCurr,0),MATCH($H23,MxStart,0)))))))</f>
        <v>— Baseline</v>
      </c>
      <c r="L23" s="62" t="str">
        <f aca="false">IF(COUNTA($A23,$F23,$G23,$H23,$I23,$J23)=0,"",IF($M23=0,"✖ كود الصف غير موجود",IF(ISNA(MATCH($F23,Lists!$A$2:$A$5,0)),"✖ الفترة غير صحيحة",IF(ISNA(MATCH($G23,Lists!$B$2:$B$7,0)),"✖ المجموعة غير صحيحة",IF(NOT(OR($H23="",$N23&gt;0)),"✖ Start غير صحيح",IF(NOT(OR($I23="",$I23="NR",$O23&gt;0)),"✖ Current غير صحيح",IF(NOT(IF(ISNUMBER($J23),AND($J23&gt;=0,$J23=INT($J23)),FALSE())),"✖ العدد يجب أن يكون صحيحًا ≥ 0",IF(AND($F23="Baseline",$H23&lt;&gt;""),"⚠ Baseline: Start لا يدخل في التقدم",IF($K23="No Start (attainment only)","ℹ تحصيل فقط (بدون Start)",IF($K23="U – needs rule","ℹ حالة U تحتاج قاعدة معتمدة",IF($K23="No result","ℹ بدون نتيجة (يُستبعد من التحصيل)","OK")))))))))))</f>
        <v>OK</v>
      </c>
      <c r="M23" s="64" t="n">
        <f aca="false">IF($A23="",0,IFERROR(MATCH($A23,Classes!$A$6:$A$420,0),0))</f>
        <v>282</v>
      </c>
      <c r="N23" s="64" t="n">
        <f aca="false">IF($H23="",0,IFERROR(MATCH($H23,GradeList,0),0))</f>
        <v>0</v>
      </c>
      <c r="O23" s="64" t="n">
        <f aca="false">IF(OR($I23="",$I23="NR"),0,IFERROR(MATCH($I23,GradeList,0),0))</f>
        <v>7</v>
      </c>
      <c r="P23" s="64" t="n">
        <f aca="false">IF(AND($M23&gt;0,ISNUMBER(MATCH($F23,Lists!$A$2:$A$5,0)),ISNUMBER(MATCH($G23,Lists!$B$2:$B$7,0)),OR($H23="",$N23&gt;0),OR($I23="",$I23="NR",$O23&gt;0),IF(ISNUMBER($J23),AND($J23&gt;=0,$J23=INT($J23)),FALSE())),$J23,0)</f>
        <v>2</v>
      </c>
      <c r="Q23" s="64" t="n">
        <f aca="false">IF(AND($P23&gt;0,$O23&gt;0),$P23,0)</f>
        <v>2</v>
      </c>
      <c r="R23" s="64" t="n">
        <f aca="false">IF(AND($Q23&gt;0,$O23&gt;=AtRank),$Q23,0)</f>
        <v>2</v>
      </c>
      <c r="S23" s="64" t="n">
        <f aca="false">IF(AND($Q23&gt;0,$O23&gt;=AboveRank),$Q23,0)</f>
        <v>2</v>
      </c>
      <c r="T23" s="64" t="n">
        <f aca="false">IF($K23="Less",$P23,0)</f>
        <v>0</v>
      </c>
      <c r="U23" s="64" t="n">
        <f aca="false">IF($K23="Expected",$P23,0)</f>
        <v>0</v>
      </c>
      <c r="V23" s="64" t="n">
        <f aca="false">IF($K23="Better",$P23,0)</f>
        <v>0</v>
      </c>
      <c r="W23" s="64" t="n">
        <f aca="false">IF($K23="U – needs rule",$P23,0)</f>
        <v>0</v>
      </c>
      <c r="X23" s="64" t="n">
        <f aca="false">IF($K23="No Start (attainment only)",$P23,0)</f>
        <v>0</v>
      </c>
    </row>
    <row r="24" customFormat="false" ht="15" hidden="false" customHeight="false" outlineLevel="0" collapsed="false">
      <c r="A24" s="60" t="s">
        <v>777</v>
      </c>
      <c r="B24" s="61" t="str">
        <f aca="false">IF($M24=0,"",INDEX(Classes!$E$6:$E$420,$M24))</f>
        <v>Arabic A</v>
      </c>
      <c r="C24" s="62" t="str">
        <f aca="false">IF($M24=0,"",INDEX(Classes!$H$6:$H$420,$M24))</f>
        <v>Mr Ayman Bobo</v>
      </c>
      <c r="D24" s="61" t="str">
        <f aca="false">IF($M24=0,"",INDEX(Classes!$B$6:$B$420,$M24))</f>
        <v>Year 10</v>
      </c>
      <c r="E24" s="61" t="str">
        <f aca="false">IF($M24=0,"",INDEX(Classes!$C$6:$C$420,$M24))</f>
        <v>ah</v>
      </c>
      <c r="F24" s="63" t="s">
        <v>162</v>
      </c>
      <c r="G24" s="63" t="s">
        <v>1017</v>
      </c>
      <c r="H24" s="60"/>
      <c r="I24" s="60" t="s">
        <v>200</v>
      </c>
      <c r="J24" s="63" t="n">
        <v>1</v>
      </c>
      <c r="K24" s="61" t="str">
        <f aca="false">IF($P24=0,"",IF($F24="Baseline","— Baseline",IF($O24=0,"No result",IF($N24=0,"No Start (attainment only)",IF(OR($N24=1,$O24=1),"U – needs rule",INDEX(MxBody,MATCH($I24,MxCurr,0),MATCH($H24,MxStart,0)))))))</f>
        <v>— Baseline</v>
      </c>
      <c r="L24" s="62" t="str">
        <f aca="false">IF(COUNTA($A24,$F24,$G24,$H24,$I24,$J24)=0,"",IF($M24=0,"✖ كود الصف غير موجود",IF(ISNA(MATCH($F24,Lists!$A$2:$A$5,0)),"✖ الفترة غير صحيحة",IF(ISNA(MATCH($G24,Lists!$B$2:$B$7,0)),"✖ المجموعة غير صحيحة",IF(NOT(OR($H24="",$N24&gt;0)),"✖ Start غير صحيح",IF(NOT(OR($I24="",$I24="NR",$O24&gt;0)),"✖ Current غير صحيح",IF(NOT(IF(ISNUMBER($J24),AND($J24&gt;=0,$J24=INT($J24)),FALSE())),"✖ العدد يجب أن يكون صحيحًا ≥ 0",IF(AND($F24="Baseline",$H24&lt;&gt;""),"⚠ Baseline: Start لا يدخل في التقدم",IF($K24="No Start (attainment only)","ℹ تحصيل فقط (بدون Start)",IF($K24="U – needs rule","ℹ حالة U تحتاج قاعدة معتمدة",IF($K24="No result","ℹ بدون نتيجة (يُستبعد من التحصيل)","OK")))))))))))</f>
        <v>OK</v>
      </c>
      <c r="M24" s="64" t="n">
        <f aca="false">IF($A24="",0,IFERROR(MATCH($A24,Classes!$A$6:$A$420,0),0))</f>
        <v>282</v>
      </c>
      <c r="N24" s="64" t="n">
        <f aca="false">IF($H24="",0,IFERROR(MATCH($H24,GradeList,0),0))</f>
        <v>0</v>
      </c>
      <c r="O24" s="64" t="n">
        <f aca="false">IF(OR($I24="",$I24="NR"),0,IFERROR(MATCH($I24,GradeList,0),0))</f>
        <v>5</v>
      </c>
      <c r="P24" s="64" t="n">
        <f aca="false">IF(AND($M24&gt;0,ISNUMBER(MATCH($F24,Lists!$A$2:$A$5,0)),ISNUMBER(MATCH($G24,Lists!$B$2:$B$7,0)),OR($H24="",$N24&gt;0),OR($I24="",$I24="NR",$O24&gt;0),IF(ISNUMBER($J24),AND($J24&gt;=0,$J24=INT($J24)),FALSE())),$J24,0)</f>
        <v>1</v>
      </c>
      <c r="Q24" s="64" t="n">
        <f aca="false">IF(AND($P24&gt;0,$O24&gt;0),$P24,0)</f>
        <v>1</v>
      </c>
      <c r="R24" s="64" t="n">
        <f aca="false">IF(AND($Q24&gt;0,$O24&gt;=AtRank),$Q24,0)</f>
        <v>1</v>
      </c>
      <c r="S24" s="64" t="n">
        <f aca="false">IF(AND($Q24&gt;0,$O24&gt;=AboveRank),$Q24,0)</f>
        <v>0</v>
      </c>
      <c r="T24" s="64" t="n">
        <f aca="false">IF($K24="Less",$P24,0)</f>
        <v>0</v>
      </c>
      <c r="U24" s="64" t="n">
        <f aca="false">IF($K24="Expected",$P24,0)</f>
        <v>0</v>
      </c>
      <c r="V24" s="64" t="n">
        <f aca="false">IF($K24="Better",$P24,0)</f>
        <v>0</v>
      </c>
      <c r="W24" s="64" t="n">
        <f aca="false">IF($K24="U – needs rule",$P24,0)</f>
        <v>0</v>
      </c>
      <c r="X24" s="64" t="n">
        <f aca="false">IF($K24="No Start (attainment only)",$P24,0)</f>
        <v>0</v>
      </c>
    </row>
    <row r="25" customFormat="false" ht="15" hidden="false" customHeight="false" outlineLevel="0" collapsed="false">
      <c r="A25" s="60" t="s">
        <v>777</v>
      </c>
      <c r="B25" s="61" t="str">
        <f aca="false">IF($M25=0,"",INDEX(Classes!$E$6:$E$420,$M25))</f>
        <v>Arabic A</v>
      </c>
      <c r="C25" s="62" t="str">
        <f aca="false">IF($M25=0,"",INDEX(Classes!$H$6:$H$420,$M25))</f>
        <v>Mr Ayman Bobo</v>
      </c>
      <c r="D25" s="61" t="str">
        <f aca="false">IF($M25=0,"",INDEX(Classes!$B$6:$B$420,$M25))</f>
        <v>Year 10</v>
      </c>
      <c r="E25" s="61" t="str">
        <f aca="false">IF($M25=0,"",INDEX(Classes!$C$6:$C$420,$M25))</f>
        <v>ah</v>
      </c>
      <c r="F25" s="63" t="s">
        <v>162</v>
      </c>
      <c r="G25" s="63" t="s">
        <v>1017</v>
      </c>
      <c r="H25" s="60"/>
      <c r="I25" s="60" t="s">
        <v>204</v>
      </c>
      <c r="J25" s="63" t="n">
        <v>2</v>
      </c>
      <c r="K25" s="61" t="str">
        <f aca="false">IF($P25=0,"",IF($F25="Baseline","— Baseline",IF($O25=0,"No result",IF($N25=0,"No Start (attainment only)",IF(OR($N25=1,$O25=1),"U – needs rule",INDEX(MxBody,MATCH($I25,MxCurr,0),MATCH($H25,MxStart,0)))))))</f>
        <v>— Baseline</v>
      </c>
      <c r="L25" s="62" t="str">
        <f aca="false">IF(COUNTA($A25,$F25,$G25,$H25,$I25,$J25)=0,"",IF($M25=0,"✖ كود الصف غير موجود",IF(ISNA(MATCH($F25,Lists!$A$2:$A$5,0)),"✖ الفترة غير صحيحة",IF(ISNA(MATCH($G25,Lists!$B$2:$B$7,0)),"✖ المجموعة غير صحيحة",IF(NOT(OR($H25="",$N25&gt;0)),"✖ Start غير صحيح",IF(NOT(OR($I25="",$I25="NR",$O25&gt;0)),"✖ Current غير صحيح",IF(NOT(IF(ISNUMBER($J25),AND($J25&gt;=0,$J25=INT($J25)),FALSE())),"✖ العدد يجب أن يكون صحيحًا ≥ 0",IF(AND($F25="Baseline",$H25&lt;&gt;""),"⚠ Baseline: Start لا يدخل في التقدم",IF($K25="No Start (attainment only)","ℹ تحصيل فقط (بدون Start)",IF($K25="U – needs rule","ℹ حالة U تحتاج قاعدة معتمدة",IF($K25="No result","ℹ بدون نتيجة (يُستبعد من التحصيل)","OK")))))))))))</f>
        <v>OK</v>
      </c>
      <c r="M25" s="64" t="n">
        <f aca="false">IF($A25="",0,IFERROR(MATCH($A25,Classes!$A$6:$A$420,0),0))</f>
        <v>282</v>
      </c>
      <c r="N25" s="64" t="n">
        <f aca="false">IF($H25="",0,IFERROR(MATCH($H25,GradeList,0),0))</f>
        <v>0</v>
      </c>
      <c r="O25" s="64" t="n">
        <f aca="false">IF(OR($I25="",$I25="NR"),0,IFERROR(MATCH($I25,GradeList,0),0))</f>
        <v>9</v>
      </c>
      <c r="P25" s="64" t="n">
        <f aca="false">IF(AND($M25&gt;0,ISNUMBER(MATCH($F25,Lists!$A$2:$A$5,0)),ISNUMBER(MATCH($G25,Lists!$B$2:$B$7,0)),OR($H25="",$N25&gt;0),OR($I25="",$I25="NR",$O25&gt;0),IF(ISNUMBER($J25),AND($J25&gt;=0,$J25=INT($J25)),FALSE())),$J25,0)</f>
        <v>2</v>
      </c>
      <c r="Q25" s="64" t="n">
        <f aca="false">IF(AND($P25&gt;0,$O25&gt;0),$P25,0)</f>
        <v>2</v>
      </c>
      <c r="R25" s="64" t="n">
        <f aca="false">IF(AND($Q25&gt;0,$O25&gt;=AtRank),$Q25,0)</f>
        <v>2</v>
      </c>
      <c r="S25" s="64" t="n">
        <f aca="false">IF(AND($Q25&gt;0,$O25&gt;=AboveRank),$Q25,0)</f>
        <v>2</v>
      </c>
      <c r="T25" s="64" t="n">
        <f aca="false">IF($K25="Less",$P25,0)</f>
        <v>0</v>
      </c>
      <c r="U25" s="64" t="n">
        <f aca="false">IF($K25="Expected",$P25,0)</f>
        <v>0</v>
      </c>
      <c r="V25" s="64" t="n">
        <f aca="false">IF($K25="Better",$P25,0)</f>
        <v>0</v>
      </c>
      <c r="W25" s="64" t="n">
        <f aca="false">IF($K25="U – needs rule",$P25,0)</f>
        <v>0</v>
      </c>
      <c r="X25" s="64" t="n">
        <f aca="false">IF($K25="No Start (attainment only)",$P25,0)</f>
        <v>0</v>
      </c>
    </row>
    <row r="26" customFormat="false" ht="15" hidden="false" customHeight="false" outlineLevel="0" collapsed="false">
      <c r="A26" s="60" t="s">
        <v>777</v>
      </c>
      <c r="B26" s="61" t="str">
        <f aca="false">IF($M26=0,"",INDEX(Classes!$E$6:$E$420,$M26))</f>
        <v>Arabic A</v>
      </c>
      <c r="C26" s="62" t="str">
        <f aca="false">IF($M26=0,"",INDEX(Classes!$H$6:$H$420,$M26))</f>
        <v>Mr Ayman Bobo</v>
      </c>
      <c r="D26" s="61" t="str">
        <f aca="false">IF($M26=0,"",INDEX(Classes!$B$6:$B$420,$M26))</f>
        <v>Year 10</v>
      </c>
      <c r="E26" s="61" t="str">
        <f aca="false">IF($M26=0,"",INDEX(Classes!$C$6:$C$420,$M26))</f>
        <v>ah</v>
      </c>
      <c r="F26" s="63" t="s">
        <v>162</v>
      </c>
      <c r="G26" s="63" t="s">
        <v>1017</v>
      </c>
      <c r="H26" s="60"/>
      <c r="I26" s="60" t="s">
        <v>205</v>
      </c>
      <c r="J26" s="63" t="n">
        <v>1</v>
      </c>
      <c r="K26" s="61" t="str">
        <f aca="false">IF($P26=0,"",IF($F26="Baseline","— Baseline",IF($O26=0,"No result",IF($N26=0,"No Start (attainment only)",IF(OR($N26=1,$O26=1),"U – needs rule",INDEX(MxBody,MATCH($I26,MxCurr,0),MATCH($H26,MxStart,0)))))))</f>
        <v>— Baseline</v>
      </c>
      <c r="L26" s="62" t="str">
        <f aca="false">IF(COUNTA($A26,$F26,$G26,$H26,$I26,$J26)=0,"",IF($M26=0,"✖ كود الصف غير موجود",IF(ISNA(MATCH($F26,Lists!$A$2:$A$5,0)),"✖ الفترة غير صحيحة",IF(ISNA(MATCH($G26,Lists!$B$2:$B$7,0)),"✖ المجموعة غير صحيحة",IF(NOT(OR($H26="",$N26&gt;0)),"✖ Start غير صحيح",IF(NOT(OR($I26="",$I26="NR",$O26&gt;0)),"✖ Current غير صحيح",IF(NOT(IF(ISNUMBER($J26),AND($J26&gt;=0,$J26=INT($J26)),FALSE())),"✖ العدد يجب أن يكون صحيحًا ≥ 0",IF(AND($F26="Baseline",$H26&lt;&gt;""),"⚠ Baseline: Start لا يدخل في التقدم",IF($K26="No Start (attainment only)","ℹ تحصيل فقط (بدون Start)",IF($K26="U – needs rule","ℹ حالة U تحتاج قاعدة معتمدة",IF($K26="No result","ℹ بدون نتيجة (يُستبعد من التحصيل)","OK")))))))))))</f>
        <v>OK</v>
      </c>
      <c r="M26" s="64" t="n">
        <f aca="false">IF($A26="",0,IFERROR(MATCH($A26,Classes!$A$6:$A$420,0),0))</f>
        <v>282</v>
      </c>
      <c r="N26" s="64" t="n">
        <f aca="false">IF($H26="",0,IFERROR(MATCH($H26,GradeList,0),0))</f>
        <v>0</v>
      </c>
      <c r="O26" s="64" t="n">
        <f aca="false">IF(OR($I26="",$I26="NR"),0,IFERROR(MATCH($I26,GradeList,0),0))</f>
        <v>10</v>
      </c>
      <c r="P26" s="64" t="n">
        <f aca="false">IF(AND($M26&gt;0,ISNUMBER(MATCH($F26,Lists!$A$2:$A$5,0)),ISNUMBER(MATCH($G26,Lists!$B$2:$B$7,0)),OR($H26="",$N26&gt;0),OR($I26="",$I26="NR",$O26&gt;0),IF(ISNUMBER($J26),AND($J26&gt;=0,$J26=INT($J26)),FALSE())),$J26,0)</f>
        <v>1</v>
      </c>
      <c r="Q26" s="64" t="n">
        <f aca="false">IF(AND($P26&gt;0,$O26&gt;0),$P26,0)</f>
        <v>1</v>
      </c>
      <c r="R26" s="64" t="n">
        <f aca="false">IF(AND($Q26&gt;0,$O26&gt;=AtRank),$Q26,0)</f>
        <v>1</v>
      </c>
      <c r="S26" s="64" t="n">
        <f aca="false">IF(AND($Q26&gt;0,$O26&gt;=AboveRank),$Q26,0)</f>
        <v>1</v>
      </c>
      <c r="T26" s="64" t="n">
        <f aca="false">IF($K26="Less",$P26,0)</f>
        <v>0</v>
      </c>
      <c r="U26" s="64" t="n">
        <f aca="false">IF($K26="Expected",$P26,0)</f>
        <v>0</v>
      </c>
      <c r="V26" s="64" t="n">
        <f aca="false">IF($K26="Better",$P26,0)</f>
        <v>0</v>
      </c>
      <c r="W26" s="64" t="n">
        <f aca="false">IF($K26="U – needs rule",$P26,0)</f>
        <v>0</v>
      </c>
      <c r="X26" s="64" t="n">
        <f aca="false">IF($K26="No Start (attainment only)",$P26,0)</f>
        <v>0</v>
      </c>
    </row>
    <row r="27" customFormat="false" ht="15" hidden="false" customHeight="false" outlineLevel="0" collapsed="false">
      <c r="A27" s="60" t="s">
        <v>777</v>
      </c>
      <c r="B27" s="61" t="str">
        <f aca="false">IF($M27=0,"",INDEX(Classes!$E$6:$E$420,$M27))</f>
        <v>Arabic A</v>
      </c>
      <c r="C27" s="62" t="str">
        <f aca="false">IF($M27=0,"",INDEX(Classes!$H$6:$H$420,$M27))</f>
        <v>Mr Ayman Bobo</v>
      </c>
      <c r="D27" s="61" t="str">
        <f aca="false">IF($M27=0,"",INDEX(Classes!$B$6:$B$420,$M27))</f>
        <v>Year 10</v>
      </c>
      <c r="E27" s="61" t="str">
        <f aca="false">IF($M27=0,"",INDEX(Classes!$C$6:$C$420,$M27))</f>
        <v>ah</v>
      </c>
      <c r="F27" s="63" t="s">
        <v>162</v>
      </c>
      <c r="G27" s="63" t="s">
        <v>1018</v>
      </c>
      <c r="H27" s="60"/>
      <c r="I27" s="60" t="s">
        <v>202</v>
      </c>
      <c r="J27" s="63" t="n">
        <v>2</v>
      </c>
      <c r="K27" s="61" t="str">
        <f aca="false">IF($P27=0,"",IF($F27="Baseline","— Baseline",IF($O27=0,"No result",IF($N27=0,"No Start (attainment only)",IF(OR($N27=1,$O27=1),"U – needs rule",INDEX(MxBody,MATCH($I27,MxCurr,0),MATCH($H27,MxStart,0)))))))</f>
        <v>— Baseline</v>
      </c>
      <c r="L27" s="62" t="str">
        <f aca="false">IF(COUNTA($A27,$F27,$G27,$H27,$I27,$J27)=0,"",IF($M27=0,"✖ كود الصف غير موجود",IF(ISNA(MATCH($F27,Lists!$A$2:$A$5,0)),"✖ الفترة غير صحيحة",IF(ISNA(MATCH($G27,Lists!$B$2:$B$7,0)),"✖ المجموعة غير صحيحة",IF(NOT(OR($H27="",$N27&gt;0)),"✖ Start غير صحيح",IF(NOT(OR($I27="",$I27="NR",$O27&gt;0)),"✖ Current غير صحيح",IF(NOT(IF(ISNUMBER($J27),AND($J27&gt;=0,$J27=INT($J27)),FALSE())),"✖ العدد يجب أن يكون صحيحًا ≥ 0",IF(AND($F27="Baseline",$H27&lt;&gt;""),"⚠ Baseline: Start لا يدخل في التقدم",IF($K27="No Start (attainment only)","ℹ تحصيل فقط (بدون Start)",IF($K27="U – needs rule","ℹ حالة U تحتاج قاعدة معتمدة",IF($K27="No result","ℹ بدون نتيجة (يُستبعد من التحصيل)","OK")))))))))))</f>
        <v>OK</v>
      </c>
      <c r="M27" s="64" t="n">
        <f aca="false">IF($A27="",0,IFERROR(MATCH($A27,Classes!$A$6:$A$420,0),0))</f>
        <v>282</v>
      </c>
      <c r="N27" s="64" t="n">
        <f aca="false">IF($H27="",0,IFERROR(MATCH($H27,GradeList,0),0))</f>
        <v>0</v>
      </c>
      <c r="O27" s="64" t="n">
        <f aca="false">IF(OR($I27="",$I27="NR"),0,IFERROR(MATCH($I27,GradeList,0),0))</f>
        <v>7</v>
      </c>
      <c r="P27" s="64" t="n">
        <f aca="false">IF(AND($M27&gt;0,ISNUMBER(MATCH($F27,Lists!$A$2:$A$5,0)),ISNUMBER(MATCH($G27,Lists!$B$2:$B$7,0)),OR($H27="",$N27&gt;0),OR($I27="",$I27="NR",$O27&gt;0),IF(ISNUMBER($J27),AND($J27&gt;=0,$J27=INT($J27)),FALSE())),$J27,0)</f>
        <v>2</v>
      </c>
      <c r="Q27" s="64" t="n">
        <f aca="false">IF(AND($P27&gt;0,$O27&gt;0),$P27,0)</f>
        <v>2</v>
      </c>
      <c r="R27" s="64" t="n">
        <f aca="false">IF(AND($Q27&gt;0,$O27&gt;=AtRank),$Q27,0)</f>
        <v>2</v>
      </c>
      <c r="S27" s="64" t="n">
        <f aca="false">IF(AND($Q27&gt;0,$O27&gt;=AboveRank),$Q27,0)</f>
        <v>2</v>
      </c>
      <c r="T27" s="64" t="n">
        <f aca="false">IF($K27="Less",$P27,0)</f>
        <v>0</v>
      </c>
      <c r="U27" s="64" t="n">
        <f aca="false">IF($K27="Expected",$P27,0)</f>
        <v>0</v>
      </c>
      <c r="V27" s="64" t="n">
        <f aca="false">IF($K27="Better",$P27,0)</f>
        <v>0</v>
      </c>
      <c r="W27" s="64" t="n">
        <f aca="false">IF($K27="U – needs rule",$P27,0)</f>
        <v>0</v>
      </c>
      <c r="X27" s="64" t="n">
        <f aca="false">IF($K27="No Start (attainment only)",$P27,0)</f>
        <v>0</v>
      </c>
    </row>
    <row r="28" customFormat="false" ht="15" hidden="false" customHeight="false" outlineLevel="0" collapsed="false">
      <c r="A28" s="60" t="s">
        <v>777</v>
      </c>
      <c r="B28" s="61" t="str">
        <f aca="false">IF($M28=0,"",INDEX(Classes!$E$6:$E$420,$M28))</f>
        <v>Arabic A</v>
      </c>
      <c r="C28" s="62" t="str">
        <f aca="false">IF($M28=0,"",INDEX(Classes!$H$6:$H$420,$M28))</f>
        <v>Mr Ayman Bobo</v>
      </c>
      <c r="D28" s="61" t="str">
        <f aca="false">IF($M28=0,"",INDEX(Classes!$B$6:$B$420,$M28))</f>
        <v>Year 10</v>
      </c>
      <c r="E28" s="61" t="str">
        <f aca="false">IF($M28=0,"",INDEX(Classes!$C$6:$C$420,$M28))</f>
        <v>ah</v>
      </c>
      <c r="F28" s="63" t="s">
        <v>162</v>
      </c>
      <c r="G28" s="63" t="s">
        <v>1018</v>
      </c>
      <c r="H28" s="60"/>
      <c r="I28" s="60" t="s">
        <v>203</v>
      </c>
      <c r="J28" s="63" t="n">
        <v>3</v>
      </c>
      <c r="K28" s="61" t="str">
        <f aca="false">IF($P28=0,"",IF($F28="Baseline","— Baseline",IF($O28=0,"No result",IF($N28=0,"No Start (attainment only)",IF(OR($N28=1,$O28=1),"U – needs rule",INDEX(MxBody,MATCH($I28,MxCurr,0),MATCH($H28,MxStart,0)))))))</f>
        <v>— Baseline</v>
      </c>
      <c r="L28" s="62" t="str">
        <f aca="false">IF(COUNTA($A28,$F28,$G28,$H28,$I28,$J28)=0,"",IF($M28=0,"✖ كود الصف غير موجود",IF(ISNA(MATCH($F28,Lists!$A$2:$A$5,0)),"✖ الفترة غير صحيحة",IF(ISNA(MATCH($G28,Lists!$B$2:$B$7,0)),"✖ المجموعة غير صحيحة",IF(NOT(OR($H28="",$N28&gt;0)),"✖ Start غير صحيح",IF(NOT(OR($I28="",$I28="NR",$O28&gt;0)),"✖ Current غير صحيح",IF(NOT(IF(ISNUMBER($J28),AND($J28&gt;=0,$J28=INT($J28)),FALSE())),"✖ العدد يجب أن يكون صحيحًا ≥ 0",IF(AND($F28="Baseline",$H28&lt;&gt;""),"⚠ Baseline: Start لا يدخل في التقدم",IF($K28="No Start (attainment only)","ℹ تحصيل فقط (بدون Start)",IF($K28="U – needs rule","ℹ حالة U تحتاج قاعدة معتمدة",IF($K28="No result","ℹ بدون نتيجة (يُستبعد من التحصيل)","OK")))))))))))</f>
        <v>OK</v>
      </c>
      <c r="M28" s="64" t="n">
        <f aca="false">IF($A28="",0,IFERROR(MATCH($A28,Classes!$A$6:$A$420,0),0))</f>
        <v>282</v>
      </c>
      <c r="N28" s="64" t="n">
        <f aca="false">IF($H28="",0,IFERROR(MATCH($H28,GradeList,0),0))</f>
        <v>0</v>
      </c>
      <c r="O28" s="64" t="n">
        <f aca="false">IF(OR($I28="",$I28="NR"),0,IFERROR(MATCH($I28,GradeList,0),0))</f>
        <v>8</v>
      </c>
      <c r="P28" s="64" t="n">
        <f aca="false">IF(AND($M28&gt;0,ISNUMBER(MATCH($F28,Lists!$A$2:$A$5,0)),ISNUMBER(MATCH($G28,Lists!$B$2:$B$7,0)),OR($H28="",$N28&gt;0),OR($I28="",$I28="NR",$O28&gt;0),IF(ISNUMBER($J28),AND($J28&gt;=0,$J28=INT($J28)),FALSE())),$J28,0)</f>
        <v>3</v>
      </c>
      <c r="Q28" s="64" t="n">
        <f aca="false">IF(AND($P28&gt;0,$O28&gt;0),$P28,0)</f>
        <v>3</v>
      </c>
      <c r="R28" s="64" t="n">
        <f aca="false">IF(AND($Q28&gt;0,$O28&gt;=AtRank),$Q28,0)</f>
        <v>3</v>
      </c>
      <c r="S28" s="64" t="n">
        <f aca="false">IF(AND($Q28&gt;0,$O28&gt;=AboveRank),$Q28,0)</f>
        <v>3</v>
      </c>
      <c r="T28" s="64" t="n">
        <f aca="false">IF($K28="Less",$P28,0)</f>
        <v>0</v>
      </c>
      <c r="U28" s="64" t="n">
        <f aca="false">IF($K28="Expected",$P28,0)</f>
        <v>0</v>
      </c>
      <c r="V28" s="64" t="n">
        <f aca="false">IF($K28="Better",$P28,0)</f>
        <v>0</v>
      </c>
      <c r="W28" s="64" t="n">
        <f aca="false">IF($K28="U – needs rule",$P28,0)</f>
        <v>0</v>
      </c>
      <c r="X28" s="64" t="n">
        <f aca="false">IF($K28="No Start (attainment only)",$P28,0)</f>
        <v>0</v>
      </c>
    </row>
    <row r="29" customFormat="false" ht="15" hidden="false" customHeight="false" outlineLevel="0" collapsed="false">
      <c r="A29" s="60" t="s">
        <v>777</v>
      </c>
      <c r="B29" s="61" t="str">
        <f aca="false">IF($M29=0,"",INDEX(Classes!$E$6:$E$420,$M29))</f>
        <v>Arabic A</v>
      </c>
      <c r="C29" s="62" t="str">
        <f aca="false">IF($M29=0,"",INDEX(Classes!$H$6:$H$420,$M29))</f>
        <v>Mr Ayman Bobo</v>
      </c>
      <c r="D29" s="61" t="str">
        <f aca="false">IF($M29=0,"",INDEX(Classes!$B$6:$B$420,$M29))</f>
        <v>Year 10</v>
      </c>
      <c r="E29" s="61" t="str">
        <f aca="false">IF($M29=0,"",INDEX(Classes!$C$6:$C$420,$M29))</f>
        <v>ah</v>
      </c>
      <c r="F29" s="63" t="s">
        <v>162</v>
      </c>
      <c r="G29" s="63" t="s">
        <v>1018</v>
      </c>
      <c r="H29" s="60"/>
      <c r="I29" s="60" t="s">
        <v>200</v>
      </c>
      <c r="J29" s="63" t="n">
        <v>1</v>
      </c>
      <c r="K29" s="61" t="str">
        <f aca="false">IF($P29=0,"",IF($F29="Baseline","— Baseline",IF($O29=0,"No result",IF($N29=0,"No Start (attainment only)",IF(OR($N29=1,$O29=1),"U – needs rule",INDEX(MxBody,MATCH($I29,MxCurr,0),MATCH($H29,MxStart,0)))))))</f>
        <v>— Baseline</v>
      </c>
      <c r="L29" s="62" t="str">
        <f aca="false">IF(COUNTA($A29,$F29,$G29,$H29,$I29,$J29)=0,"",IF($M29=0,"✖ كود الصف غير موجود",IF(ISNA(MATCH($F29,Lists!$A$2:$A$5,0)),"✖ الفترة غير صحيحة",IF(ISNA(MATCH($G29,Lists!$B$2:$B$7,0)),"✖ المجموعة غير صحيحة",IF(NOT(OR($H29="",$N29&gt;0)),"✖ Start غير صحيح",IF(NOT(OR($I29="",$I29="NR",$O29&gt;0)),"✖ Current غير صحيح",IF(NOT(IF(ISNUMBER($J29),AND($J29&gt;=0,$J29=INT($J29)),FALSE())),"✖ العدد يجب أن يكون صحيحًا ≥ 0",IF(AND($F29="Baseline",$H29&lt;&gt;""),"⚠ Baseline: Start لا يدخل في التقدم",IF($K29="No Start (attainment only)","ℹ تحصيل فقط (بدون Start)",IF($K29="U – needs rule","ℹ حالة U تحتاج قاعدة معتمدة",IF($K29="No result","ℹ بدون نتيجة (يُستبعد من التحصيل)","OK")))))))))))</f>
        <v>OK</v>
      </c>
      <c r="M29" s="64" t="n">
        <f aca="false">IF($A29="",0,IFERROR(MATCH($A29,Classes!$A$6:$A$420,0),0))</f>
        <v>282</v>
      </c>
      <c r="N29" s="64" t="n">
        <f aca="false">IF($H29="",0,IFERROR(MATCH($H29,GradeList,0),0))</f>
        <v>0</v>
      </c>
      <c r="O29" s="64" t="n">
        <f aca="false">IF(OR($I29="",$I29="NR"),0,IFERROR(MATCH($I29,GradeList,0),0))</f>
        <v>5</v>
      </c>
      <c r="P29" s="64" t="n">
        <f aca="false">IF(AND($M29&gt;0,ISNUMBER(MATCH($F29,Lists!$A$2:$A$5,0)),ISNUMBER(MATCH($G29,Lists!$B$2:$B$7,0)),OR($H29="",$N29&gt;0),OR($I29="",$I29="NR",$O29&gt;0),IF(ISNUMBER($J29),AND($J29&gt;=0,$J29=INT($J29)),FALSE())),$J29,0)</f>
        <v>1</v>
      </c>
      <c r="Q29" s="64" t="n">
        <f aca="false">IF(AND($P29&gt;0,$O29&gt;0),$P29,0)</f>
        <v>1</v>
      </c>
      <c r="R29" s="64" t="n">
        <f aca="false">IF(AND($Q29&gt;0,$O29&gt;=AtRank),$Q29,0)</f>
        <v>1</v>
      </c>
      <c r="S29" s="64" t="n">
        <f aca="false">IF(AND($Q29&gt;0,$O29&gt;=AboveRank),$Q29,0)</f>
        <v>0</v>
      </c>
      <c r="T29" s="64" t="n">
        <f aca="false">IF($K29="Less",$P29,0)</f>
        <v>0</v>
      </c>
      <c r="U29" s="64" t="n">
        <f aca="false">IF($K29="Expected",$P29,0)</f>
        <v>0</v>
      </c>
      <c r="V29" s="64" t="n">
        <f aca="false">IF($K29="Better",$P29,0)</f>
        <v>0</v>
      </c>
      <c r="W29" s="64" t="n">
        <f aca="false">IF($K29="U – needs rule",$P29,0)</f>
        <v>0</v>
      </c>
      <c r="X29" s="64" t="n">
        <f aca="false">IF($K29="No Start (attainment only)",$P29,0)</f>
        <v>0</v>
      </c>
    </row>
    <row r="30" customFormat="false" ht="15" hidden="false" customHeight="false" outlineLevel="0" collapsed="false">
      <c r="A30" s="60" t="s">
        <v>777</v>
      </c>
      <c r="B30" s="61" t="str">
        <f aca="false">IF($M30=0,"",INDEX(Classes!$E$6:$E$420,$M30))</f>
        <v>Arabic A</v>
      </c>
      <c r="C30" s="62" t="str">
        <f aca="false">IF($M30=0,"",INDEX(Classes!$H$6:$H$420,$M30))</f>
        <v>Mr Ayman Bobo</v>
      </c>
      <c r="D30" s="61" t="str">
        <f aca="false">IF($M30=0,"",INDEX(Classes!$B$6:$B$420,$M30))</f>
        <v>Year 10</v>
      </c>
      <c r="E30" s="61" t="str">
        <f aca="false">IF($M30=0,"",INDEX(Classes!$C$6:$C$420,$M30))</f>
        <v>ah</v>
      </c>
      <c r="F30" s="63" t="s">
        <v>162</v>
      </c>
      <c r="G30" s="63" t="s">
        <v>1018</v>
      </c>
      <c r="H30" s="60"/>
      <c r="I30" s="60" t="s">
        <v>201</v>
      </c>
      <c r="J30" s="63" t="n">
        <v>1</v>
      </c>
      <c r="K30" s="61" t="str">
        <f aca="false">IF($P30=0,"",IF($F30="Baseline","— Baseline",IF($O30=0,"No result",IF($N30=0,"No Start (attainment only)",IF(OR($N30=1,$O30=1),"U – needs rule",INDEX(MxBody,MATCH($I30,MxCurr,0),MATCH($H30,MxStart,0)))))))</f>
        <v>— Baseline</v>
      </c>
      <c r="L30" s="62" t="str">
        <f aca="false">IF(COUNTA($A30,$F30,$G30,$H30,$I30,$J30)=0,"",IF($M30=0,"✖ كود الصف غير موجود",IF(ISNA(MATCH($F30,Lists!$A$2:$A$5,0)),"✖ الفترة غير صحيحة",IF(ISNA(MATCH($G30,Lists!$B$2:$B$7,0)),"✖ المجموعة غير صحيحة",IF(NOT(OR($H30="",$N30&gt;0)),"✖ Start غير صحيح",IF(NOT(OR($I30="",$I30="NR",$O30&gt;0)),"✖ Current غير صحيح",IF(NOT(IF(ISNUMBER($J30),AND($J30&gt;=0,$J30=INT($J30)),FALSE())),"✖ العدد يجب أن يكون صحيحًا ≥ 0",IF(AND($F30="Baseline",$H30&lt;&gt;""),"⚠ Baseline: Start لا يدخل في التقدم",IF($K30="No Start (attainment only)","ℹ تحصيل فقط (بدون Start)",IF($K30="U – needs rule","ℹ حالة U تحتاج قاعدة معتمدة",IF($K30="No result","ℹ بدون نتيجة (يُستبعد من التحصيل)","OK")))))))))))</f>
        <v>OK</v>
      </c>
      <c r="M30" s="64" t="n">
        <f aca="false">IF($A30="",0,IFERROR(MATCH($A30,Classes!$A$6:$A$420,0),0))</f>
        <v>282</v>
      </c>
      <c r="N30" s="64" t="n">
        <f aca="false">IF($H30="",0,IFERROR(MATCH($H30,GradeList,0),0))</f>
        <v>0</v>
      </c>
      <c r="O30" s="64" t="n">
        <f aca="false">IF(OR($I30="",$I30="NR"),0,IFERROR(MATCH($I30,GradeList,0),0))</f>
        <v>6</v>
      </c>
      <c r="P30" s="64" t="n">
        <f aca="false">IF(AND($M30&gt;0,ISNUMBER(MATCH($F30,Lists!$A$2:$A$5,0)),ISNUMBER(MATCH($G30,Lists!$B$2:$B$7,0)),OR($H30="",$N30&gt;0),OR($I30="",$I30="NR",$O30&gt;0),IF(ISNUMBER($J30),AND($J30&gt;=0,$J30=INT($J30)),FALSE())),$J30,0)</f>
        <v>1</v>
      </c>
      <c r="Q30" s="64" t="n">
        <f aca="false">IF(AND($P30&gt;0,$O30&gt;0),$P30,0)</f>
        <v>1</v>
      </c>
      <c r="R30" s="64" t="n">
        <f aca="false">IF(AND($Q30&gt;0,$O30&gt;=AtRank),$Q30,0)</f>
        <v>1</v>
      </c>
      <c r="S30" s="64" t="n">
        <f aca="false">IF(AND($Q30&gt;0,$O30&gt;=AboveRank),$Q30,0)</f>
        <v>0</v>
      </c>
      <c r="T30" s="64" t="n">
        <f aca="false">IF($K30="Less",$P30,0)</f>
        <v>0</v>
      </c>
      <c r="U30" s="64" t="n">
        <f aca="false">IF($K30="Expected",$P30,0)</f>
        <v>0</v>
      </c>
      <c r="V30" s="64" t="n">
        <f aca="false">IF($K30="Better",$P30,0)</f>
        <v>0</v>
      </c>
      <c r="W30" s="64" t="n">
        <f aca="false">IF($K30="U – needs rule",$P30,0)</f>
        <v>0</v>
      </c>
      <c r="X30" s="64" t="n">
        <f aca="false">IF($K30="No Start (attainment only)",$P30,0)</f>
        <v>0</v>
      </c>
    </row>
    <row r="31" customFormat="false" ht="15" hidden="false" customHeight="false" outlineLevel="0" collapsed="false">
      <c r="A31" s="60" t="s">
        <v>777</v>
      </c>
      <c r="B31" s="61" t="str">
        <f aca="false">IF($M31=0,"",INDEX(Classes!$E$6:$E$420,$M31))</f>
        <v>Arabic A</v>
      </c>
      <c r="C31" s="62" t="str">
        <f aca="false">IF($M31=0,"",INDEX(Classes!$H$6:$H$420,$M31))</f>
        <v>Mr Ayman Bobo</v>
      </c>
      <c r="D31" s="61" t="str">
        <f aca="false">IF($M31=0,"",INDEX(Classes!$B$6:$B$420,$M31))</f>
        <v>Year 10</v>
      </c>
      <c r="E31" s="61" t="str">
        <f aca="false">IF($M31=0,"",INDEX(Classes!$C$6:$C$420,$M31))</f>
        <v>ah</v>
      </c>
      <c r="F31" s="63" t="s">
        <v>162</v>
      </c>
      <c r="G31" s="63" t="s">
        <v>1018</v>
      </c>
      <c r="H31" s="60"/>
      <c r="I31" s="60" t="s">
        <v>204</v>
      </c>
      <c r="J31" s="63" t="n">
        <v>2</v>
      </c>
      <c r="K31" s="61" t="str">
        <f aca="false">IF($P31=0,"",IF($F31="Baseline","— Baseline",IF($O31=0,"No result",IF($N31=0,"No Start (attainment only)",IF(OR($N31=1,$O31=1),"U – needs rule",INDEX(MxBody,MATCH($I31,MxCurr,0),MATCH($H31,MxStart,0)))))))</f>
        <v>— Baseline</v>
      </c>
      <c r="L31" s="62" t="str">
        <f aca="false">IF(COUNTA($A31,$F31,$G31,$H31,$I31,$J31)=0,"",IF($M31=0,"✖ كود الصف غير موجود",IF(ISNA(MATCH($F31,Lists!$A$2:$A$5,0)),"✖ الفترة غير صحيحة",IF(ISNA(MATCH($G31,Lists!$B$2:$B$7,0)),"✖ المجموعة غير صحيحة",IF(NOT(OR($H31="",$N31&gt;0)),"✖ Start غير صحيح",IF(NOT(OR($I31="",$I31="NR",$O31&gt;0)),"✖ Current غير صحيح",IF(NOT(IF(ISNUMBER($J31),AND($J31&gt;=0,$J31=INT($J31)),FALSE())),"✖ العدد يجب أن يكون صحيحًا ≥ 0",IF(AND($F31="Baseline",$H31&lt;&gt;""),"⚠ Baseline: Start لا يدخل في التقدم",IF($K31="No Start (attainment only)","ℹ تحصيل فقط (بدون Start)",IF($K31="U – needs rule","ℹ حالة U تحتاج قاعدة معتمدة",IF($K31="No result","ℹ بدون نتيجة (يُستبعد من التحصيل)","OK")))))))))))</f>
        <v>OK</v>
      </c>
      <c r="M31" s="64" t="n">
        <f aca="false">IF($A31="",0,IFERROR(MATCH($A31,Classes!$A$6:$A$420,0),0))</f>
        <v>282</v>
      </c>
      <c r="N31" s="64" t="n">
        <f aca="false">IF($H31="",0,IFERROR(MATCH($H31,GradeList,0),0))</f>
        <v>0</v>
      </c>
      <c r="O31" s="64" t="n">
        <f aca="false">IF(OR($I31="",$I31="NR"),0,IFERROR(MATCH($I31,GradeList,0),0))</f>
        <v>9</v>
      </c>
      <c r="P31" s="64" t="n">
        <f aca="false">IF(AND($M31&gt;0,ISNUMBER(MATCH($F31,Lists!$A$2:$A$5,0)),ISNUMBER(MATCH($G31,Lists!$B$2:$B$7,0)),OR($H31="",$N31&gt;0),OR($I31="",$I31="NR",$O31&gt;0),IF(ISNUMBER($J31),AND($J31&gt;=0,$J31=INT($J31)),FALSE())),$J31,0)</f>
        <v>2</v>
      </c>
      <c r="Q31" s="64" t="n">
        <f aca="false">IF(AND($P31&gt;0,$O31&gt;0),$P31,0)</f>
        <v>2</v>
      </c>
      <c r="R31" s="64" t="n">
        <f aca="false">IF(AND($Q31&gt;0,$O31&gt;=AtRank),$Q31,0)</f>
        <v>2</v>
      </c>
      <c r="S31" s="64" t="n">
        <f aca="false">IF(AND($Q31&gt;0,$O31&gt;=AboveRank),$Q31,0)</f>
        <v>2</v>
      </c>
      <c r="T31" s="64" t="n">
        <f aca="false">IF($K31="Less",$P31,0)</f>
        <v>0</v>
      </c>
      <c r="U31" s="64" t="n">
        <f aca="false">IF($K31="Expected",$P31,0)</f>
        <v>0</v>
      </c>
      <c r="V31" s="64" t="n">
        <f aca="false">IF($K31="Better",$P31,0)</f>
        <v>0</v>
      </c>
      <c r="W31" s="64" t="n">
        <f aca="false">IF($K31="U – needs rule",$P31,0)</f>
        <v>0</v>
      </c>
      <c r="X31" s="64" t="n">
        <f aca="false">IF($K31="No Start (attainment only)",$P31,0)</f>
        <v>0</v>
      </c>
    </row>
    <row r="32" customFormat="false" ht="15" hidden="false" customHeight="false" outlineLevel="0" collapsed="false">
      <c r="A32" s="60" t="s">
        <v>777</v>
      </c>
      <c r="B32" s="61" t="str">
        <f aca="false">IF($M32=0,"",INDEX(Classes!$E$6:$E$420,$M32))</f>
        <v>Arabic A</v>
      </c>
      <c r="C32" s="62" t="str">
        <f aca="false">IF($M32=0,"",INDEX(Classes!$H$6:$H$420,$M32))</f>
        <v>Mr Ayman Bobo</v>
      </c>
      <c r="D32" s="61" t="str">
        <f aca="false">IF($M32=0,"",INDEX(Classes!$B$6:$B$420,$M32))</f>
        <v>Year 10</v>
      </c>
      <c r="E32" s="61" t="str">
        <f aca="false">IF($M32=0,"",INDEX(Classes!$C$6:$C$420,$M32))</f>
        <v>ah</v>
      </c>
      <c r="F32" s="63" t="s">
        <v>162</v>
      </c>
      <c r="G32" s="63" t="s">
        <v>1018</v>
      </c>
      <c r="H32" s="60"/>
      <c r="I32" s="60" t="s">
        <v>205</v>
      </c>
      <c r="J32" s="63" t="n">
        <v>1</v>
      </c>
      <c r="K32" s="61" t="str">
        <f aca="false">IF($P32=0,"",IF($F32="Baseline","— Baseline",IF($O32=0,"No result",IF($N32=0,"No Start (attainment only)",IF(OR($N32=1,$O32=1),"U – needs rule",INDEX(MxBody,MATCH($I32,MxCurr,0),MATCH($H32,MxStart,0)))))))</f>
        <v>— Baseline</v>
      </c>
      <c r="L32" s="62" t="str">
        <f aca="false">IF(COUNTA($A32,$F32,$G32,$H32,$I32,$J32)=0,"",IF($M32=0,"✖ كود الصف غير موجود",IF(ISNA(MATCH($F32,Lists!$A$2:$A$5,0)),"✖ الفترة غير صحيحة",IF(ISNA(MATCH($G32,Lists!$B$2:$B$7,0)),"✖ المجموعة غير صحيحة",IF(NOT(OR($H32="",$N32&gt;0)),"✖ Start غير صحيح",IF(NOT(OR($I32="",$I32="NR",$O32&gt;0)),"✖ Current غير صحيح",IF(NOT(IF(ISNUMBER($J32),AND($J32&gt;=0,$J32=INT($J32)),FALSE())),"✖ العدد يجب أن يكون صحيحًا ≥ 0",IF(AND($F32="Baseline",$H32&lt;&gt;""),"⚠ Baseline: Start لا يدخل في التقدم",IF($K32="No Start (attainment only)","ℹ تحصيل فقط (بدون Start)",IF($K32="U – needs rule","ℹ حالة U تحتاج قاعدة معتمدة",IF($K32="No result","ℹ بدون نتيجة (يُستبعد من التحصيل)","OK")))))))))))</f>
        <v>OK</v>
      </c>
      <c r="M32" s="64" t="n">
        <f aca="false">IF($A32="",0,IFERROR(MATCH($A32,Classes!$A$6:$A$420,0),0))</f>
        <v>282</v>
      </c>
      <c r="N32" s="64" t="n">
        <f aca="false">IF($H32="",0,IFERROR(MATCH($H32,GradeList,0),0))</f>
        <v>0</v>
      </c>
      <c r="O32" s="64" t="n">
        <f aca="false">IF(OR($I32="",$I32="NR"),0,IFERROR(MATCH($I32,GradeList,0),0))</f>
        <v>10</v>
      </c>
      <c r="P32" s="64" t="n">
        <f aca="false">IF(AND($M32&gt;0,ISNUMBER(MATCH($F32,Lists!$A$2:$A$5,0)),ISNUMBER(MATCH($G32,Lists!$B$2:$B$7,0)),OR($H32="",$N32&gt;0),OR($I32="",$I32="NR",$O32&gt;0),IF(ISNUMBER($J32),AND($J32&gt;=0,$J32=INT($J32)),FALSE())),$J32,0)</f>
        <v>1</v>
      </c>
      <c r="Q32" s="64" t="n">
        <f aca="false">IF(AND($P32&gt;0,$O32&gt;0),$P32,0)</f>
        <v>1</v>
      </c>
      <c r="R32" s="64" t="n">
        <f aca="false">IF(AND($Q32&gt;0,$O32&gt;=AtRank),$Q32,0)</f>
        <v>1</v>
      </c>
      <c r="S32" s="64" t="n">
        <f aca="false">IF(AND($Q32&gt;0,$O32&gt;=AboveRank),$Q32,0)</f>
        <v>1</v>
      </c>
      <c r="T32" s="64" t="n">
        <f aca="false">IF($K32="Less",$P32,0)</f>
        <v>0</v>
      </c>
      <c r="U32" s="64" t="n">
        <f aca="false">IF($K32="Expected",$P32,0)</f>
        <v>0</v>
      </c>
      <c r="V32" s="64" t="n">
        <f aca="false">IF($K32="Better",$P32,0)</f>
        <v>0</v>
      </c>
      <c r="W32" s="64" t="n">
        <f aca="false">IF($K32="U – needs rule",$P32,0)</f>
        <v>0</v>
      </c>
      <c r="X32" s="64" t="n">
        <f aca="false">IF($K32="No Start (attainment only)",$P32,0)</f>
        <v>0</v>
      </c>
    </row>
    <row r="33" customFormat="false" ht="15" hidden="false" customHeight="false" outlineLevel="0" collapsed="false">
      <c r="A33" s="60" t="s">
        <v>777</v>
      </c>
      <c r="B33" s="61" t="str">
        <f aca="false">IF($M33=0,"",INDEX(Classes!$E$6:$E$420,$M33))</f>
        <v>Arabic A</v>
      </c>
      <c r="C33" s="62" t="str">
        <f aca="false">IF($M33=0,"",INDEX(Classes!$H$6:$H$420,$M33))</f>
        <v>Mr Ayman Bobo</v>
      </c>
      <c r="D33" s="61" t="str">
        <f aca="false">IF($M33=0,"",INDEX(Classes!$B$6:$B$420,$M33))</f>
        <v>Year 10</v>
      </c>
      <c r="E33" s="61" t="str">
        <f aca="false">IF($M33=0,"",INDEX(Classes!$C$6:$C$420,$M33))</f>
        <v>ah</v>
      </c>
      <c r="F33" s="63" t="s">
        <v>107</v>
      </c>
      <c r="G33" s="63" t="s">
        <v>108</v>
      </c>
      <c r="H33" s="60"/>
      <c r="I33" s="60" t="s">
        <v>202</v>
      </c>
      <c r="J33" s="63" t="n">
        <v>1</v>
      </c>
      <c r="K33" s="61" t="str">
        <f aca="false">IF($P33=0,"",IF($F33="Baseline","— Baseline",IF($O33=0,"No result",IF($N33=0,"No Start (attainment only)",IF(OR($N33=1,$O33=1),"U – needs rule",INDEX(MxBody,MATCH($I33,MxCurr,0),MATCH($H33,MxStart,0)))))))</f>
        <v>No Start (attainment only)</v>
      </c>
      <c r="L33" s="62" t="str">
        <f aca="false">IF(COUNTA($A33,$F33,$G33,$H33,$I33,$J33)=0,"",IF($M33=0,"✖ كود الصف غير موجود",IF(ISNA(MATCH($F33,Lists!$A$2:$A$5,0)),"✖ الفترة غير صحيحة",IF(ISNA(MATCH($G33,Lists!$B$2:$B$7,0)),"✖ المجموعة غير صحيحة",IF(NOT(OR($H33="",$N33&gt;0)),"✖ Start غير صحيح",IF(NOT(OR($I33="",$I33="NR",$O33&gt;0)),"✖ Current غير صحيح",IF(NOT(IF(ISNUMBER($J33),AND($J33&gt;=0,$J33=INT($J33)),FALSE())),"✖ العدد يجب أن يكون صحيحًا ≥ 0",IF(AND($F33="Baseline",$H33&lt;&gt;""),"⚠ Baseline: Start لا يدخل في التقدم",IF($K33="No Start (attainment only)","ℹ تحصيل فقط (بدون Start)",IF($K33="U – needs rule","ℹ حالة U تحتاج قاعدة معتمدة",IF($K33="No result","ℹ بدون نتيجة (يُستبعد من التحصيل)","OK")))))))))))</f>
        <v>ℹ تحصيل فقط (بدون Start)</v>
      </c>
      <c r="M33" s="64" t="n">
        <f aca="false">IF($A33="",0,IFERROR(MATCH($A33,Classes!$A$6:$A$420,0),0))</f>
        <v>282</v>
      </c>
      <c r="N33" s="64" t="n">
        <f aca="false">IF($H33="",0,IFERROR(MATCH($H33,GradeList,0),0))</f>
        <v>0</v>
      </c>
      <c r="O33" s="64" t="n">
        <f aca="false">IF(OR($I33="",$I33="NR"),0,IFERROR(MATCH($I33,GradeList,0),0))</f>
        <v>7</v>
      </c>
      <c r="P33" s="64" t="n">
        <f aca="false">IF(AND($M33&gt;0,ISNUMBER(MATCH($F33,Lists!$A$2:$A$5,0)),ISNUMBER(MATCH($G33,Lists!$B$2:$B$7,0)),OR($H33="",$N33&gt;0),OR($I33="",$I33="NR",$O33&gt;0),IF(ISNUMBER($J33),AND($J33&gt;=0,$J33=INT($J33)),FALSE())),$J33,0)</f>
        <v>1</v>
      </c>
      <c r="Q33" s="64" t="n">
        <f aca="false">IF(AND($P33&gt;0,$O33&gt;0),$P33,0)</f>
        <v>1</v>
      </c>
      <c r="R33" s="64" t="n">
        <f aca="false">IF(AND($Q33&gt;0,$O33&gt;=AtRank),$Q33,0)</f>
        <v>1</v>
      </c>
      <c r="S33" s="64" t="n">
        <f aca="false">IF(AND($Q33&gt;0,$O33&gt;=AboveRank),$Q33,0)</f>
        <v>1</v>
      </c>
      <c r="T33" s="64" t="n">
        <f aca="false">IF($K33="Less",$P33,0)</f>
        <v>0</v>
      </c>
      <c r="U33" s="64" t="n">
        <f aca="false">IF($K33="Expected",$P33,0)</f>
        <v>0</v>
      </c>
      <c r="V33" s="64" t="n">
        <f aca="false">IF($K33="Better",$P33,0)</f>
        <v>0</v>
      </c>
      <c r="W33" s="64" t="n">
        <f aca="false">IF($K33="U – needs rule",$P33,0)</f>
        <v>0</v>
      </c>
      <c r="X33" s="64" t="n">
        <f aca="false">IF($K33="No Start (attainment only)",$P33,0)</f>
        <v>1</v>
      </c>
    </row>
    <row r="34" customFormat="false" ht="15" hidden="false" customHeight="false" outlineLevel="0" collapsed="false">
      <c r="A34" s="60" t="s">
        <v>777</v>
      </c>
      <c r="B34" s="61" t="str">
        <f aca="false">IF($M34=0,"",INDEX(Classes!$E$6:$E$420,$M34))</f>
        <v>Arabic A</v>
      </c>
      <c r="C34" s="62" t="str">
        <f aca="false">IF($M34=0,"",INDEX(Classes!$H$6:$H$420,$M34))</f>
        <v>Mr Ayman Bobo</v>
      </c>
      <c r="D34" s="61" t="str">
        <f aca="false">IF($M34=0,"",INDEX(Classes!$B$6:$B$420,$M34))</f>
        <v>Year 10</v>
      </c>
      <c r="E34" s="61" t="str">
        <f aca="false">IF($M34=0,"",INDEX(Classes!$C$6:$C$420,$M34))</f>
        <v>ah</v>
      </c>
      <c r="F34" s="63" t="s">
        <v>107</v>
      </c>
      <c r="G34" s="63" t="s">
        <v>108</v>
      </c>
      <c r="H34" s="60" t="s">
        <v>202</v>
      </c>
      <c r="I34" s="60" t="s">
        <v>202</v>
      </c>
      <c r="J34" s="63" t="n">
        <v>2</v>
      </c>
      <c r="K34" s="61" t="str">
        <f aca="false">IF($P34=0,"",IF($F34="Baseline","— Baseline",IF($O34=0,"No result",IF($N34=0,"No Start (attainment only)",IF(OR($N34=1,$O34=1),"U – needs rule",INDEX(MxBody,MATCH($I34,MxCurr,0),MATCH($H34,MxStart,0)))))))</f>
        <v>Better</v>
      </c>
      <c r="L34" s="62" t="str">
        <f aca="false">IF(COUNTA($A34,$F34,$G34,$H34,$I34,$J34)=0,"",IF($M34=0,"✖ كود الصف غير موجود",IF(ISNA(MATCH($F34,Lists!$A$2:$A$5,0)),"✖ الفترة غير صحيحة",IF(ISNA(MATCH($G34,Lists!$B$2:$B$7,0)),"✖ المجموعة غير صحيحة",IF(NOT(OR($H34="",$N34&gt;0)),"✖ Start غير صحيح",IF(NOT(OR($I34="",$I34="NR",$O34&gt;0)),"✖ Current غير صحيح",IF(NOT(IF(ISNUMBER($J34),AND($J34&gt;=0,$J34=INT($J34)),FALSE())),"✖ العدد يجب أن يكون صحيحًا ≥ 0",IF(AND($F34="Baseline",$H34&lt;&gt;""),"⚠ Baseline: Start لا يدخل في التقدم",IF($K34="No Start (attainment only)","ℹ تحصيل فقط (بدون Start)",IF($K34="U – needs rule","ℹ حالة U تحتاج قاعدة معتمدة",IF($K34="No result","ℹ بدون نتيجة (يُستبعد من التحصيل)","OK")))))))))))</f>
        <v>OK</v>
      </c>
      <c r="M34" s="64" t="n">
        <f aca="false">IF($A34="",0,IFERROR(MATCH($A34,Classes!$A$6:$A$420,0),0))</f>
        <v>282</v>
      </c>
      <c r="N34" s="64" t="n">
        <f aca="false">IF($H34="",0,IFERROR(MATCH($H34,GradeList,0),0))</f>
        <v>7</v>
      </c>
      <c r="O34" s="64" t="n">
        <f aca="false">IF(OR($I34="",$I34="NR"),0,IFERROR(MATCH($I34,GradeList,0),0))</f>
        <v>7</v>
      </c>
      <c r="P34" s="64" t="n">
        <f aca="false">IF(AND($M34&gt;0,ISNUMBER(MATCH($F34,Lists!$A$2:$A$5,0)),ISNUMBER(MATCH($G34,Lists!$B$2:$B$7,0)),OR($H34="",$N34&gt;0),OR($I34="",$I34="NR",$O34&gt;0),IF(ISNUMBER($J34),AND($J34&gt;=0,$J34=INT($J34)),FALSE())),$J34,0)</f>
        <v>2</v>
      </c>
      <c r="Q34" s="64" t="n">
        <f aca="false">IF(AND($P34&gt;0,$O34&gt;0),$P34,0)</f>
        <v>2</v>
      </c>
      <c r="R34" s="64" t="n">
        <f aca="false">IF(AND($Q34&gt;0,$O34&gt;=AtRank),$Q34,0)</f>
        <v>2</v>
      </c>
      <c r="S34" s="64" t="n">
        <f aca="false">IF(AND($Q34&gt;0,$O34&gt;=AboveRank),$Q34,0)</f>
        <v>2</v>
      </c>
      <c r="T34" s="64" t="n">
        <f aca="false">IF($K34="Less",$P34,0)</f>
        <v>0</v>
      </c>
      <c r="U34" s="64" t="n">
        <f aca="false">IF($K34="Expected",$P34,0)</f>
        <v>0</v>
      </c>
      <c r="V34" s="64" t="n">
        <f aca="false">IF($K34="Better",$P34,0)</f>
        <v>2</v>
      </c>
      <c r="W34" s="64" t="n">
        <f aca="false">IF($K34="U – needs rule",$P34,0)</f>
        <v>0</v>
      </c>
      <c r="X34" s="64" t="n">
        <f aca="false">IF($K34="No Start (attainment only)",$P34,0)</f>
        <v>0</v>
      </c>
    </row>
    <row r="35" customFormat="false" ht="15" hidden="false" customHeight="false" outlineLevel="0" collapsed="false">
      <c r="A35" s="60" t="s">
        <v>777</v>
      </c>
      <c r="B35" s="61" t="str">
        <f aca="false">IF($M35=0,"",INDEX(Classes!$E$6:$E$420,$M35))</f>
        <v>Arabic A</v>
      </c>
      <c r="C35" s="62" t="str">
        <f aca="false">IF($M35=0,"",INDEX(Classes!$H$6:$H$420,$M35))</f>
        <v>Mr Ayman Bobo</v>
      </c>
      <c r="D35" s="61" t="str">
        <f aca="false">IF($M35=0,"",INDEX(Classes!$B$6:$B$420,$M35))</f>
        <v>Year 10</v>
      </c>
      <c r="E35" s="61" t="str">
        <f aca="false">IF($M35=0,"",INDEX(Classes!$C$6:$C$420,$M35))</f>
        <v>ah</v>
      </c>
      <c r="F35" s="63" t="s">
        <v>107</v>
      </c>
      <c r="G35" s="63" t="s">
        <v>108</v>
      </c>
      <c r="H35" s="60" t="s">
        <v>202</v>
      </c>
      <c r="I35" s="60" t="s">
        <v>203</v>
      </c>
      <c r="J35" s="63" t="n">
        <v>3</v>
      </c>
      <c r="K35" s="61" t="str">
        <f aca="false">IF($P35=0,"",IF($F35="Baseline","— Baseline",IF($O35=0,"No result",IF($N35=0,"No Start (attainment only)",IF(OR($N35=1,$O35=1),"U – needs rule",INDEX(MxBody,MATCH($I35,MxCurr,0),MATCH($H35,MxStart,0)))))))</f>
        <v>Better</v>
      </c>
      <c r="L35" s="62" t="str">
        <f aca="false">IF(COUNTA($A35,$F35,$G35,$H35,$I35,$J35)=0,"",IF($M35=0,"✖ كود الصف غير موجود",IF(ISNA(MATCH($F35,Lists!$A$2:$A$5,0)),"✖ الفترة غير صحيحة",IF(ISNA(MATCH($G35,Lists!$B$2:$B$7,0)),"✖ المجموعة غير صحيحة",IF(NOT(OR($H35="",$N35&gt;0)),"✖ Start غير صحيح",IF(NOT(OR($I35="",$I35="NR",$O35&gt;0)),"✖ Current غير صحيح",IF(NOT(IF(ISNUMBER($J35),AND($J35&gt;=0,$J35=INT($J35)),FALSE())),"✖ العدد يجب أن يكون صحيحًا ≥ 0",IF(AND($F35="Baseline",$H35&lt;&gt;""),"⚠ Baseline: Start لا يدخل في التقدم",IF($K35="No Start (attainment only)","ℹ تحصيل فقط (بدون Start)",IF($K35="U – needs rule","ℹ حالة U تحتاج قاعدة معتمدة",IF($K35="No result","ℹ بدون نتيجة (يُستبعد من التحصيل)","OK")))))))))))</f>
        <v>OK</v>
      </c>
      <c r="M35" s="64" t="n">
        <f aca="false">IF($A35="",0,IFERROR(MATCH($A35,Classes!$A$6:$A$420,0),0))</f>
        <v>282</v>
      </c>
      <c r="N35" s="64" t="n">
        <f aca="false">IF($H35="",0,IFERROR(MATCH($H35,GradeList,0),0))</f>
        <v>7</v>
      </c>
      <c r="O35" s="64" t="n">
        <f aca="false">IF(OR($I35="",$I35="NR"),0,IFERROR(MATCH($I35,GradeList,0),0))</f>
        <v>8</v>
      </c>
      <c r="P35" s="64" t="n">
        <f aca="false">IF(AND($M35&gt;0,ISNUMBER(MATCH($F35,Lists!$A$2:$A$5,0)),ISNUMBER(MATCH($G35,Lists!$B$2:$B$7,0)),OR($H35="",$N35&gt;0),OR($I35="",$I35="NR",$O35&gt;0),IF(ISNUMBER($J35),AND($J35&gt;=0,$J35=INT($J35)),FALSE())),$J35,0)</f>
        <v>3</v>
      </c>
      <c r="Q35" s="64" t="n">
        <f aca="false">IF(AND($P35&gt;0,$O35&gt;0),$P35,0)</f>
        <v>3</v>
      </c>
      <c r="R35" s="64" t="n">
        <f aca="false">IF(AND($Q35&gt;0,$O35&gt;=AtRank),$Q35,0)</f>
        <v>3</v>
      </c>
      <c r="S35" s="64" t="n">
        <f aca="false">IF(AND($Q35&gt;0,$O35&gt;=AboveRank),$Q35,0)</f>
        <v>3</v>
      </c>
      <c r="T35" s="64" t="n">
        <f aca="false">IF($K35="Less",$P35,0)</f>
        <v>0</v>
      </c>
      <c r="U35" s="64" t="n">
        <f aca="false">IF($K35="Expected",$P35,0)</f>
        <v>0</v>
      </c>
      <c r="V35" s="64" t="n">
        <f aca="false">IF($K35="Better",$P35,0)</f>
        <v>3</v>
      </c>
      <c r="W35" s="64" t="n">
        <f aca="false">IF($K35="U – needs rule",$P35,0)</f>
        <v>0</v>
      </c>
      <c r="X35" s="64" t="n">
        <f aca="false">IF($K35="No Start (attainment only)",$P35,0)</f>
        <v>0</v>
      </c>
    </row>
    <row r="36" customFormat="false" ht="15" hidden="false" customHeight="false" outlineLevel="0" collapsed="false">
      <c r="A36" s="60" t="s">
        <v>777</v>
      </c>
      <c r="B36" s="61" t="str">
        <f aca="false">IF($M36=0,"",INDEX(Classes!$E$6:$E$420,$M36))</f>
        <v>Arabic A</v>
      </c>
      <c r="C36" s="62" t="str">
        <f aca="false">IF($M36=0,"",INDEX(Classes!$H$6:$H$420,$M36))</f>
        <v>Mr Ayman Bobo</v>
      </c>
      <c r="D36" s="61" t="str">
        <f aca="false">IF($M36=0,"",INDEX(Classes!$B$6:$B$420,$M36))</f>
        <v>Year 10</v>
      </c>
      <c r="E36" s="61" t="str">
        <f aca="false">IF($M36=0,"",INDEX(Classes!$C$6:$C$420,$M36))</f>
        <v>ah</v>
      </c>
      <c r="F36" s="63" t="s">
        <v>107</v>
      </c>
      <c r="G36" s="63" t="s">
        <v>108</v>
      </c>
      <c r="H36" s="60" t="s">
        <v>202</v>
      </c>
      <c r="I36" s="60" t="s">
        <v>201</v>
      </c>
      <c r="J36" s="63" t="n">
        <v>2</v>
      </c>
      <c r="K36" s="61" t="str">
        <f aca="false">IF($P36=0,"",IF($F36="Baseline","— Baseline",IF($O36=0,"No result",IF($N36=0,"No Start (attainment only)",IF(OR($N36=1,$O36=1),"U – needs rule",INDEX(MxBody,MATCH($I36,MxCurr,0),MATCH($H36,MxStart,0)))))))</f>
        <v>Expected</v>
      </c>
      <c r="L36" s="62" t="str">
        <f aca="false">IF(COUNTA($A36,$F36,$G36,$H36,$I36,$J36)=0,"",IF($M36=0,"✖ كود الصف غير موجود",IF(ISNA(MATCH($F36,Lists!$A$2:$A$5,0)),"✖ الفترة غير صحيحة",IF(ISNA(MATCH($G36,Lists!$B$2:$B$7,0)),"✖ المجموعة غير صحيحة",IF(NOT(OR($H36="",$N36&gt;0)),"✖ Start غير صحيح",IF(NOT(OR($I36="",$I36="NR",$O36&gt;0)),"✖ Current غير صحيح",IF(NOT(IF(ISNUMBER($J36),AND($J36&gt;=0,$J36=INT($J36)),FALSE())),"✖ العدد يجب أن يكون صحيحًا ≥ 0",IF(AND($F36="Baseline",$H36&lt;&gt;""),"⚠ Baseline: Start لا يدخل في التقدم",IF($K36="No Start (attainment only)","ℹ تحصيل فقط (بدون Start)",IF($K36="U – needs rule","ℹ حالة U تحتاج قاعدة معتمدة",IF($K36="No result","ℹ بدون نتيجة (يُستبعد من التحصيل)","OK")))))))))))</f>
        <v>OK</v>
      </c>
      <c r="M36" s="64" t="n">
        <f aca="false">IF($A36="",0,IFERROR(MATCH($A36,Classes!$A$6:$A$420,0),0))</f>
        <v>282</v>
      </c>
      <c r="N36" s="64" t="n">
        <f aca="false">IF($H36="",0,IFERROR(MATCH($H36,GradeList,0),0))</f>
        <v>7</v>
      </c>
      <c r="O36" s="64" t="n">
        <f aca="false">IF(OR($I36="",$I36="NR"),0,IFERROR(MATCH($I36,GradeList,0),0))</f>
        <v>6</v>
      </c>
      <c r="P36" s="64" t="n">
        <f aca="false">IF(AND($M36&gt;0,ISNUMBER(MATCH($F36,Lists!$A$2:$A$5,0)),ISNUMBER(MATCH($G36,Lists!$B$2:$B$7,0)),OR($H36="",$N36&gt;0),OR($I36="",$I36="NR",$O36&gt;0),IF(ISNUMBER($J36),AND($J36&gt;=0,$J36=INT($J36)),FALSE())),$J36,0)</f>
        <v>2</v>
      </c>
      <c r="Q36" s="64" t="n">
        <f aca="false">IF(AND($P36&gt;0,$O36&gt;0),$P36,0)</f>
        <v>2</v>
      </c>
      <c r="R36" s="64" t="n">
        <f aca="false">IF(AND($Q36&gt;0,$O36&gt;=AtRank),$Q36,0)</f>
        <v>2</v>
      </c>
      <c r="S36" s="64" t="n">
        <f aca="false">IF(AND($Q36&gt;0,$O36&gt;=AboveRank),$Q36,0)</f>
        <v>0</v>
      </c>
      <c r="T36" s="64" t="n">
        <f aca="false">IF($K36="Less",$P36,0)</f>
        <v>0</v>
      </c>
      <c r="U36" s="64" t="n">
        <f aca="false">IF($K36="Expected",$P36,0)</f>
        <v>2</v>
      </c>
      <c r="V36" s="64" t="n">
        <f aca="false">IF($K36="Better",$P36,0)</f>
        <v>0</v>
      </c>
      <c r="W36" s="64" t="n">
        <f aca="false">IF($K36="U – needs rule",$P36,0)</f>
        <v>0</v>
      </c>
      <c r="X36" s="64" t="n">
        <f aca="false">IF($K36="No Start (attainment only)",$P36,0)</f>
        <v>0</v>
      </c>
    </row>
    <row r="37" customFormat="false" ht="15" hidden="false" customHeight="false" outlineLevel="0" collapsed="false">
      <c r="A37" s="60" t="s">
        <v>777</v>
      </c>
      <c r="B37" s="61" t="str">
        <f aca="false">IF($M37=0,"",INDEX(Classes!$E$6:$E$420,$M37))</f>
        <v>Arabic A</v>
      </c>
      <c r="C37" s="62" t="str">
        <f aca="false">IF($M37=0,"",INDEX(Classes!$H$6:$H$420,$M37))</f>
        <v>Mr Ayman Bobo</v>
      </c>
      <c r="D37" s="61" t="str">
        <f aca="false">IF($M37=0,"",INDEX(Classes!$B$6:$B$420,$M37))</f>
        <v>Year 10</v>
      </c>
      <c r="E37" s="61" t="str">
        <f aca="false">IF($M37=0,"",INDEX(Classes!$C$6:$C$420,$M37))</f>
        <v>ah</v>
      </c>
      <c r="F37" s="63" t="s">
        <v>107</v>
      </c>
      <c r="G37" s="63" t="s">
        <v>108</v>
      </c>
      <c r="H37" s="60" t="s">
        <v>202</v>
      </c>
      <c r="I37" s="60" t="s">
        <v>1019</v>
      </c>
      <c r="J37" s="63" t="n">
        <v>1</v>
      </c>
      <c r="K37" s="61" t="str">
        <f aca="false">IF($P37=0,"",IF($F37="Baseline","— Baseline",IF($O37=0,"No result",IF($N37=0,"No Start (attainment only)",IF(OR($N37=1,$O37=1),"U – needs rule",INDEX(MxBody,MATCH($I37,MxCurr,0),MATCH($H37,MxStart,0)))))))</f>
        <v>No result</v>
      </c>
      <c r="L37" s="62" t="str">
        <f aca="false">IF(COUNTA($A37,$F37,$G37,$H37,$I37,$J37)=0,"",IF($M37=0,"✖ كود الصف غير موجود",IF(ISNA(MATCH($F37,Lists!$A$2:$A$5,0)),"✖ الفترة غير صحيحة",IF(ISNA(MATCH($G37,Lists!$B$2:$B$7,0)),"✖ المجموعة غير صحيحة",IF(NOT(OR($H37="",$N37&gt;0)),"✖ Start غير صحيح",IF(NOT(OR($I37="",$I37="NR",$O37&gt;0)),"✖ Current غير صحيح",IF(NOT(IF(ISNUMBER($J37),AND($J37&gt;=0,$J37=INT($J37)),FALSE())),"✖ العدد يجب أن يكون صحيحًا ≥ 0",IF(AND($F37="Baseline",$H37&lt;&gt;""),"⚠ Baseline: Start لا يدخل في التقدم",IF($K37="No Start (attainment only)","ℹ تحصيل فقط (بدون Start)",IF($K37="U – needs rule","ℹ حالة U تحتاج قاعدة معتمدة",IF($K37="No result","ℹ بدون نتيجة (يُستبعد من التحصيل)","OK")))))))))))</f>
        <v>ℹ بدون نتيجة (يُستبعد من التحصيل)</v>
      </c>
      <c r="M37" s="64" t="n">
        <f aca="false">IF($A37="",0,IFERROR(MATCH($A37,Classes!$A$6:$A$420,0),0))</f>
        <v>282</v>
      </c>
      <c r="N37" s="64" t="n">
        <f aca="false">IF($H37="",0,IFERROR(MATCH($H37,GradeList,0),0))</f>
        <v>7</v>
      </c>
      <c r="O37" s="64" t="n">
        <f aca="false">IF(OR($I37="",$I37="NR"),0,IFERROR(MATCH($I37,GradeList,0),0))</f>
        <v>0</v>
      </c>
      <c r="P37" s="64" t="n">
        <f aca="false">IF(AND($M37&gt;0,ISNUMBER(MATCH($F37,Lists!$A$2:$A$5,0)),ISNUMBER(MATCH($G37,Lists!$B$2:$B$7,0)),OR($H37="",$N37&gt;0),OR($I37="",$I37="NR",$O37&gt;0),IF(ISNUMBER($J37),AND($J37&gt;=0,$J37=INT($J37)),FALSE())),$J37,0)</f>
        <v>1</v>
      </c>
      <c r="Q37" s="64" t="n">
        <f aca="false">IF(AND($P37&gt;0,$O37&gt;0),$P37,0)</f>
        <v>0</v>
      </c>
      <c r="R37" s="64" t="n">
        <f aca="false">IF(AND($Q37&gt;0,$O37&gt;=AtRank),$Q37,0)</f>
        <v>0</v>
      </c>
      <c r="S37" s="64" t="n">
        <f aca="false">IF(AND($Q37&gt;0,$O37&gt;=AboveRank),$Q37,0)</f>
        <v>0</v>
      </c>
      <c r="T37" s="64" t="n">
        <f aca="false">IF($K37="Less",$P37,0)</f>
        <v>0</v>
      </c>
      <c r="U37" s="64" t="n">
        <f aca="false">IF($K37="Expected",$P37,0)</f>
        <v>0</v>
      </c>
      <c r="V37" s="64" t="n">
        <f aca="false">IF($K37="Better",$P37,0)</f>
        <v>0</v>
      </c>
      <c r="W37" s="64" t="n">
        <f aca="false">IF($K37="U – needs rule",$P37,0)</f>
        <v>0</v>
      </c>
      <c r="X37" s="64" t="n">
        <f aca="false">IF($K37="No Start (attainment only)",$P37,0)</f>
        <v>0</v>
      </c>
    </row>
    <row r="38" customFormat="false" ht="15" hidden="false" customHeight="false" outlineLevel="0" collapsed="false">
      <c r="A38" s="60" t="s">
        <v>777</v>
      </c>
      <c r="B38" s="61" t="str">
        <f aca="false">IF($M38=0,"",INDEX(Classes!$E$6:$E$420,$M38))</f>
        <v>Arabic A</v>
      </c>
      <c r="C38" s="62" t="str">
        <f aca="false">IF($M38=0,"",INDEX(Classes!$H$6:$H$420,$M38))</f>
        <v>Mr Ayman Bobo</v>
      </c>
      <c r="D38" s="61" t="str">
        <f aca="false">IF($M38=0,"",INDEX(Classes!$B$6:$B$420,$M38))</f>
        <v>Year 10</v>
      </c>
      <c r="E38" s="61" t="str">
        <f aca="false">IF($M38=0,"",INDEX(Classes!$C$6:$C$420,$M38))</f>
        <v>ah</v>
      </c>
      <c r="F38" s="63" t="s">
        <v>107</v>
      </c>
      <c r="G38" s="63" t="s">
        <v>108</v>
      </c>
      <c r="H38" s="60" t="s">
        <v>203</v>
      </c>
      <c r="I38" s="60" t="s">
        <v>202</v>
      </c>
      <c r="J38" s="63" t="n">
        <v>2</v>
      </c>
      <c r="K38" s="61" t="str">
        <f aca="false">IF($P38=0,"",IF($F38="Baseline","— Baseline",IF($O38=0,"No result",IF($N38=0,"No Start (attainment only)",IF(OR($N38=1,$O38=1),"U – needs rule",INDEX(MxBody,MATCH($I38,MxCurr,0),MATCH($H38,MxStart,0)))))))</f>
        <v>Expected</v>
      </c>
      <c r="L38" s="62" t="str">
        <f aca="false">IF(COUNTA($A38,$F38,$G38,$H38,$I38,$J38)=0,"",IF($M38=0,"✖ كود الصف غير موجود",IF(ISNA(MATCH($F38,Lists!$A$2:$A$5,0)),"✖ الفترة غير صحيحة",IF(ISNA(MATCH($G38,Lists!$B$2:$B$7,0)),"✖ المجموعة غير صحيحة",IF(NOT(OR($H38="",$N38&gt;0)),"✖ Start غير صحيح",IF(NOT(OR($I38="",$I38="NR",$O38&gt;0)),"✖ Current غير صحيح",IF(NOT(IF(ISNUMBER($J38),AND($J38&gt;=0,$J38=INT($J38)),FALSE())),"✖ العدد يجب أن يكون صحيحًا ≥ 0",IF(AND($F38="Baseline",$H38&lt;&gt;""),"⚠ Baseline: Start لا يدخل في التقدم",IF($K38="No Start (attainment only)","ℹ تحصيل فقط (بدون Start)",IF($K38="U – needs rule","ℹ حالة U تحتاج قاعدة معتمدة",IF($K38="No result","ℹ بدون نتيجة (يُستبعد من التحصيل)","OK")))))))))))</f>
        <v>OK</v>
      </c>
      <c r="M38" s="64" t="n">
        <f aca="false">IF($A38="",0,IFERROR(MATCH($A38,Classes!$A$6:$A$420,0),0))</f>
        <v>282</v>
      </c>
      <c r="N38" s="64" t="n">
        <f aca="false">IF($H38="",0,IFERROR(MATCH($H38,GradeList,0),0))</f>
        <v>8</v>
      </c>
      <c r="O38" s="64" t="n">
        <f aca="false">IF(OR($I38="",$I38="NR"),0,IFERROR(MATCH($I38,GradeList,0),0))</f>
        <v>7</v>
      </c>
      <c r="P38" s="64" t="n">
        <f aca="false">IF(AND($M38&gt;0,ISNUMBER(MATCH($F38,Lists!$A$2:$A$5,0)),ISNUMBER(MATCH($G38,Lists!$B$2:$B$7,0)),OR($H38="",$N38&gt;0),OR($I38="",$I38="NR",$O38&gt;0),IF(ISNUMBER($J38),AND($J38&gt;=0,$J38=INT($J38)),FALSE())),$J38,0)</f>
        <v>2</v>
      </c>
      <c r="Q38" s="64" t="n">
        <f aca="false">IF(AND($P38&gt;0,$O38&gt;0),$P38,0)</f>
        <v>2</v>
      </c>
      <c r="R38" s="64" t="n">
        <f aca="false">IF(AND($Q38&gt;0,$O38&gt;=AtRank),$Q38,0)</f>
        <v>2</v>
      </c>
      <c r="S38" s="64" t="n">
        <f aca="false">IF(AND($Q38&gt;0,$O38&gt;=AboveRank),$Q38,0)</f>
        <v>2</v>
      </c>
      <c r="T38" s="64" t="n">
        <f aca="false">IF($K38="Less",$P38,0)</f>
        <v>0</v>
      </c>
      <c r="U38" s="64" t="n">
        <f aca="false">IF($K38="Expected",$P38,0)</f>
        <v>2</v>
      </c>
      <c r="V38" s="64" t="n">
        <f aca="false">IF($K38="Better",$P38,0)</f>
        <v>0</v>
      </c>
      <c r="W38" s="64" t="n">
        <f aca="false">IF($K38="U – needs rule",$P38,0)</f>
        <v>0</v>
      </c>
      <c r="X38" s="64" t="n">
        <f aca="false">IF($K38="No Start (attainment only)",$P38,0)</f>
        <v>0</v>
      </c>
    </row>
    <row r="39" customFormat="false" ht="15" hidden="false" customHeight="false" outlineLevel="0" collapsed="false">
      <c r="A39" s="60" t="s">
        <v>777</v>
      </c>
      <c r="B39" s="61" t="str">
        <f aca="false">IF($M39=0,"",INDEX(Classes!$E$6:$E$420,$M39))</f>
        <v>Arabic A</v>
      </c>
      <c r="C39" s="62" t="str">
        <f aca="false">IF($M39=0,"",INDEX(Classes!$H$6:$H$420,$M39))</f>
        <v>Mr Ayman Bobo</v>
      </c>
      <c r="D39" s="61" t="str">
        <f aca="false">IF($M39=0,"",INDEX(Classes!$B$6:$B$420,$M39))</f>
        <v>Year 10</v>
      </c>
      <c r="E39" s="61" t="str">
        <f aca="false">IF($M39=0,"",INDEX(Classes!$C$6:$C$420,$M39))</f>
        <v>ah</v>
      </c>
      <c r="F39" s="63" t="s">
        <v>107</v>
      </c>
      <c r="G39" s="63" t="s">
        <v>108</v>
      </c>
      <c r="H39" s="60" t="s">
        <v>203</v>
      </c>
      <c r="I39" s="60" t="s">
        <v>203</v>
      </c>
      <c r="J39" s="63" t="n">
        <v>2</v>
      </c>
      <c r="K39" s="61" t="str">
        <f aca="false">IF($P39=0,"",IF($F39="Baseline","— Baseline",IF($O39=0,"No result",IF($N39=0,"No Start (attainment only)",IF(OR($N39=1,$O39=1),"U – needs rule",INDEX(MxBody,MATCH($I39,MxCurr,0),MATCH($H39,MxStart,0)))))))</f>
        <v>Better</v>
      </c>
      <c r="L39" s="62" t="str">
        <f aca="false">IF(COUNTA($A39,$F39,$G39,$H39,$I39,$J39)=0,"",IF($M39=0,"✖ كود الصف غير موجود",IF(ISNA(MATCH($F39,Lists!$A$2:$A$5,0)),"✖ الفترة غير صحيحة",IF(ISNA(MATCH($G39,Lists!$B$2:$B$7,0)),"✖ المجموعة غير صحيحة",IF(NOT(OR($H39="",$N39&gt;0)),"✖ Start غير صحيح",IF(NOT(OR($I39="",$I39="NR",$O39&gt;0)),"✖ Current غير صحيح",IF(NOT(IF(ISNUMBER($J39),AND($J39&gt;=0,$J39=INT($J39)),FALSE())),"✖ العدد يجب أن يكون صحيحًا ≥ 0",IF(AND($F39="Baseline",$H39&lt;&gt;""),"⚠ Baseline: Start لا يدخل في التقدم",IF($K39="No Start (attainment only)","ℹ تحصيل فقط (بدون Start)",IF($K39="U – needs rule","ℹ حالة U تحتاج قاعدة معتمدة",IF($K39="No result","ℹ بدون نتيجة (يُستبعد من التحصيل)","OK")))))))))))</f>
        <v>OK</v>
      </c>
      <c r="M39" s="64" t="n">
        <f aca="false">IF($A39="",0,IFERROR(MATCH($A39,Classes!$A$6:$A$420,0),0))</f>
        <v>282</v>
      </c>
      <c r="N39" s="64" t="n">
        <f aca="false">IF($H39="",0,IFERROR(MATCH($H39,GradeList,0),0))</f>
        <v>8</v>
      </c>
      <c r="O39" s="64" t="n">
        <f aca="false">IF(OR($I39="",$I39="NR"),0,IFERROR(MATCH($I39,GradeList,0),0))</f>
        <v>8</v>
      </c>
      <c r="P39" s="64" t="n">
        <f aca="false">IF(AND($M39&gt;0,ISNUMBER(MATCH($F39,Lists!$A$2:$A$5,0)),ISNUMBER(MATCH($G39,Lists!$B$2:$B$7,0)),OR($H39="",$N39&gt;0),OR($I39="",$I39="NR",$O39&gt;0),IF(ISNUMBER($J39),AND($J39&gt;=0,$J39=INT($J39)),FALSE())),$J39,0)</f>
        <v>2</v>
      </c>
      <c r="Q39" s="64" t="n">
        <f aca="false">IF(AND($P39&gt;0,$O39&gt;0),$P39,0)</f>
        <v>2</v>
      </c>
      <c r="R39" s="64" t="n">
        <f aca="false">IF(AND($Q39&gt;0,$O39&gt;=AtRank),$Q39,0)</f>
        <v>2</v>
      </c>
      <c r="S39" s="64" t="n">
        <f aca="false">IF(AND($Q39&gt;0,$O39&gt;=AboveRank),$Q39,0)</f>
        <v>2</v>
      </c>
      <c r="T39" s="64" t="n">
        <f aca="false">IF($K39="Less",$P39,0)</f>
        <v>0</v>
      </c>
      <c r="U39" s="64" t="n">
        <f aca="false">IF($K39="Expected",$P39,0)</f>
        <v>0</v>
      </c>
      <c r="V39" s="64" t="n">
        <f aca="false">IF($K39="Better",$P39,0)</f>
        <v>2</v>
      </c>
      <c r="W39" s="64" t="n">
        <f aca="false">IF($K39="U – needs rule",$P39,0)</f>
        <v>0</v>
      </c>
      <c r="X39" s="64" t="n">
        <f aca="false">IF($K39="No Start (attainment only)",$P39,0)</f>
        <v>0</v>
      </c>
    </row>
    <row r="40" customFormat="false" ht="15" hidden="false" customHeight="false" outlineLevel="0" collapsed="false">
      <c r="A40" s="60" t="s">
        <v>777</v>
      </c>
      <c r="B40" s="61" t="str">
        <f aca="false">IF($M40=0,"",INDEX(Classes!$E$6:$E$420,$M40))</f>
        <v>Arabic A</v>
      </c>
      <c r="C40" s="62" t="str">
        <f aca="false">IF($M40=0,"",INDEX(Classes!$H$6:$H$420,$M40))</f>
        <v>Mr Ayman Bobo</v>
      </c>
      <c r="D40" s="61" t="str">
        <f aca="false">IF($M40=0,"",INDEX(Classes!$B$6:$B$420,$M40))</f>
        <v>Year 10</v>
      </c>
      <c r="E40" s="61" t="str">
        <f aca="false">IF($M40=0,"",INDEX(Classes!$C$6:$C$420,$M40))</f>
        <v>ah</v>
      </c>
      <c r="F40" s="63" t="s">
        <v>107</v>
      </c>
      <c r="G40" s="63" t="s">
        <v>108</v>
      </c>
      <c r="H40" s="60" t="s">
        <v>203</v>
      </c>
      <c r="I40" s="60" t="s">
        <v>204</v>
      </c>
      <c r="J40" s="63" t="n">
        <v>2</v>
      </c>
      <c r="K40" s="61" t="str">
        <f aca="false">IF($P40=0,"",IF($F40="Baseline","— Baseline",IF($O40=0,"No result",IF($N40=0,"No Start (attainment only)",IF(OR($N40=1,$O40=1),"U – needs rule",INDEX(MxBody,MATCH($I40,MxCurr,0),MATCH($H40,MxStart,0)))))))</f>
        <v>Better</v>
      </c>
      <c r="L40" s="62" t="str">
        <f aca="false">IF(COUNTA($A40,$F40,$G40,$H40,$I40,$J40)=0,"",IF($M40=0,"✖ كود الصف غير موجود",IF(ISNA(MATCH($F40,Lists!$A$2:$A$5,0)),"✖ الفترة غير صحيحة",IF(ISNA(MATCH($G40,Lists!$B$2:$B$7,0)),"✖ المجموعة غير صحيحة",IF(NOT(OR($H40="",$N40&gt;0)),"✖ Start غير صحيح",IF(NOT(OR($I40="",$I40="NR",$O40&gt;0)),"✖ Current غير صحيح",IF(NOT(IF(ISNUMBER($J40),AND($J40&gt;=0,$J40=INT($J40)),FALSE())),"✖ العدد يجب أن يكون صحيحًا ≥ 0",IF(AND($F40="Baseline",$H40&lt;&gt;""),"⚠ Baseline: Start لا يدخل في التقدم",IF($K40="No Start (attainment only)","ℹ تحصيل فقط (بدون Start)",IF($K40="U – needs rule","ℹ حالة U تحتاج قاعدة معتمدة",IF($K40="No result","ℹ بدون نتيجة (يُستبعد من التحصيل)","OK")))))))))))</f>
        <v>OK</v>
      </c>
      <c r="M40" s="64" t="n">
        <f aca="false">IF($A40="",0,IFERROR(MATCH($A40,Classes!$A$6:$A$420,0),0))</f>
        <v>282</v>
      </c>
      <c r="N40" s="64" t="n">
        <f aca="false">IF($H40="",0,IFERROR(MATCH($H40,GradeList,0),0))</f>
        <v>8</v>
      </c>
      <c r="O40" s="64" t="n">
        <f aca="false">IF(OR($I40="",$I40="NR"),0,IFERROR(MATCH($I40,GradeList,0),0))</f>
        <v>9</v>
      </c>
      <c r="P40" s="64" t="n">
        <f aca="false">IF(AND($M40&gt;0,ISNUMBER(MATCH($F40,Lists!$A$2:$A$5,0)),ISNUMBER(MATCH($G40,Lists!$B$2:$B$7,0)),OR($H40="",$N40&gt;0),OR($I40="",$I40="NR",$O40&gt;0),IF(ISNUMBER($J40),AND($J40&gt;=0,$J40=INT($J40)),FALSE())),$J40,0)</f>
        <v>2</v>
      </c>
      <c r="Q40" s="64" t="n">
        <f aca="false">IF(AND($P40&gt;0,$O40&gt;0),$P40,0)</f>
        <v>2</v>
      </c>
      <c r="R40" s="64" t="n">
        <f aca="false">IF(AND($Q40&gt;0,$O40&gt;=AtRank),$Q40,0)</f>
        <v>2</v>
      </c>
      <c r="S40" s="64" t="n">
        <f aca="false">IF(AND($Q40&gt;0,$O40&gt;=AboveRank),$Q40,0)</f>
        <v>2</v>
      </c>
      <c r="T40" s="64" t="n">
        <f aca="false">IF($K40="Less",$P40,0)</f>
        <v>0</v>
      </c>
      <c r="U40" s="64" t="n">
        <f aca="false">IF($K40="Expected",$P40,0)</f>
        <v>0</v>
      </c>
      <c r="V40" s="64" t="n">
        <f aca="false">IF($K40="Better",$P40,0)</f>
        <v>2</v>
      </c>
      <c r="W40" s="64" t="n">
        <f aca="false">IF($K40="U – needs rule",$P40,0)</f>
        <v>0</v>
      </c>
      <c r="X40" s="64" t="n">
        <f aca="false">IF($K40="No Start (attainment only)",$P40,0)</f>
        <v>0</v>
      </c>
    </row>
    <row r="41" customFormat="false" ht="15" hidden="false" customHeight="false" outlineLevel="0" collapsed="false">
      <c r="A41" s="60" t="s">
        <v>777</v>
      </c>
      <c r="B41" s="61" t="str">
        <f aca="false">IF($M41=0,"",INDEX(Classes!$E$6:$E$420,$M41))</f>
        <v>Arabic A</v>
      </c>
      <c r="C41" s="62" t="str">
        <f aca="false">IF($M41=0,"",INDEX(Classes!$H$6:$H$420,$M41))</f>
        <v>Mr Ayman Bobo</v>
      </c>
      <c r="D41" s="61" t="str">
        <f aca="false">IF($M41=0,"",INDEX(Classes!$B$6:$B$420,$M41))</f>
        <v>Year 10</v>
      </c>
      <c r="E41" s="61" t="str">
        <f aca="false">IF($M41=0,"",INDEX(Classes!$C$6:$C$420,$M41))</f>
        <v>ah</v>
      </c>
      <c r="F41" s="63" t="s">
        <v>107</v>
      </c>
      <c r="G41" s="63" t="s">
        <v>108</v>
      </c>
      <c r="H41" s="60" t="s">
        <v>200</v>
      </c>
      <c r="I41" s="60" t="s">
        <v>201</v>
      </c>
      <c r="J41" s="63" t="n">
        <v>1</v>
      </c>
      <c r="K41" s="61" t="str">
        <f aca="false">IF($P41=0,"",IF($F41="Baseline","— Baseline",IF($O41=0,"No result",IF($N41=0,"No Start (attainment only)",IF(OR($N41=1,$O41=1),"U – needs rule",INDEX(MxBody,MATCH($I41,MxCurr,0),MATCH($H41,MxStart,0)))))))</f>
        <v>Better</v>
      </c>
      <c r="L41" s="62" t="str">
        <f aca="false">IF(COUNTA($A41,$F41,$G41,$H41,$I41,$J41)=0,"",IF($M41=0,"✖ كود الصف غير موجود",IF(ISNA(MATCH($F41,Lists!$A$2:$A$5,0)),"✖ الفترة غير صحيحة",IF(ISNA(MATCH($G41,Lists!$B$2:$B$7,0)),"✖ المجموعة غير صحيحة",IF(NOT(OR($H41="",$N41&gt;0)),"✖ Start غير صحيح",IF(NOT(OR($I41="",$I41="NR",$O41&gt;0)),"✖ Current غير صحيح",IF(NOT(IF(ISNUMBER($J41),AND($J41&gt;=0,$J41=INT($J41)),FALSE())),"✖ العدد يجب أن يكون صحيحًا ≥ 0",IF(AND($F41="Baseline",$H41&lt;&gt;""),"⚠ Baseline: Start لا يدخل في التقدم",IF($K41="No Start (attainment only)","ℹ تحصيل فقط (بدون Start)",IF($K41="U – needs rule","ℹ حالة U تحتاج قاعدة معتمدة",IF($K41="No result","ℹ بدون نتيجة (يُستبعد من التحصيل)","OK")))))))))))</f>
        <v>OK</v>
      </c>
      <c r="M41" s="64" t="n">
        <f aca="false">IF($A41="",0,IFERROR(MATCH($A41,Classes!$A$6:$A$420,0),0))</f>
        <v>282</v>
      </c>
      <c r="N41" s="64" t="n">
        <f aca="false">IF($H41="",0,IFERROR(MATCH($H41,GradeList,0),0))</f>
        <v>5</v>
      </c>
      <c r="O41" s="64" t="n">
        <f aca="false">IF(OR($I41="",$I41="NR"),0,IFERROR(MATCH($I41,GradeList,0),0))</f>
        <v>6</v>
      </c>
      <c r="P41" s="64" t="n">
        <f aca="false">IF(AND($M41&gt;0,ISNUMBER(MATCH($F41,Lists!$A$2:$A$5,0)),ISNUMBER(MATCH($G41,Lists!$B$2:$B$7,0)),OR($H41="",$N41&gt;0),OR($I41="",$I41="NR",$O41&gt;0),IF(ISNUMBER($J41),AND($J41&gt;=0,$J41=INT($J41)),FALSE())),$J41,0)</f>
        <v>1</v>
      </c>
      <c r="Q41" s="64" t="n">
        <f aca="false">IF(AND($P41&gt;0,$O41&gt;0),$P41,0)</f>
        <v>1</v>
      </c>
      <c r="R41" s="64" t="n">
        <f aca="false">IF(AND($Q41&gt;0,$O41&gt;=AtRank),$Q41,0)</f>
        <v>1</v>
      </c>
      <c r="S41" s="64" t="n">
        <f aca="false">IF(AND($Q41&gt;0,$O41&gt;=AboveRank),$Q41,0)</f>
        <v>0</v>
      </c>
      <c r="T41" s="64" t="n">
        <f aca="false">IF($K41="Less",$P41,0)</f>
        <v>0</v>
      </c>
      <c r="U41" s="64" t="n">
        <f aca="false">IF($K41="Expected",$P41,0)</f>
        <v>0</v>
      </c>
      <c r="V41" s="64" t="n">
        <f aca="false">IF($K41="Better",$P41,0)</f>
        <v>1</v>
      </c>
      <c r="W41" s="64" t="n">
        <f aca="false">IF($K41="U – needs rule",$P41,0)</f>
        <v>0</v>
      </c>
      <c r="X41" s="64" t="n">
        <f aca="false">IF($K41="No Start (attainment only)",$P41,0)</f>
        <v>0</v>
      </c>
    </row>
    <row r="42" customFormat="false" ht="15" hidden="false" customHeight="false" outlineLevel="0" collapsed="false">
      <c r="A42" s="60" t="s">
        <v>777</v>
      </c>
      <c r="B42" s="61" t="str">
        <f aca="false">IF($M42=0,"",INDEX(Classes!$E$6:$E$420,$M42))</f>
        <v>Arabic A</v>
      </c>
      <c r="C42" s="62" t="str">
        <f aca="false">IF($M42=0,"",INDEX(Classes!$H$6:$H$420,$M42))</f>
        <v>Mr Ayman Bobo</v>
      </c>
      <c r="D42" s="61" t="str">
        <f aca="false">IF($M42=0,"",INDEX(Classes!$B$6:$B$420,$M42))</f>
        <v>Year 10</v>
      </c>
      <c r="E42" s="61" t="str">
        <f aca="false">IF($M42=0,"",INDEX(Classes!$C$6:$C$420,$M42))</f>
        <v>ah</v>
      </c>
      <c r="F42" s="63" t="s">
        <v>107</v>
      </c>
      <c r="G42" s="63" t="s">
        <v>108</v>
      </c>
      <c r="H42" s="60" t="s">
        <v>200</v>
      </c>
      <c r="I42" s="60" t="s">
        <v>196</v>
      </c>
      <c r="J42" s="63" t="n">
        <v>1</v>
      </c>
      <c r="K42" s="61" t="str">
        <f aca="false">IF($P42=0,"",IF($F42="Baseline","— Baseline",IF($O42=0,"No result",IF($N42=0,"No Start (attainment only)",IF(OR($N42=1,$O42=1),"U – needs rule",INDEX(MxBody,MATCH($I42,MxCurr,0),MATCH($H42,MxStart,0)))))))</f>
        <v>U – needs rule</v>
      </c>
      <c r="L42" s="62" t="str">
        <f aca="false">IF(COUNTA($A42,$F42,$G42,$H42,$I42,$J42)=0,"",IF($M42=0,"✖ كود الصف غير موجود",IF(ISNA(MATCH($F42,Lists!$A$2:$A$5,0)),"✖ الفترة غير صحيحة",IF(ISNA(MATCH($G42,Lists!$B$2:$B$7,0)),"✖ المجموعة غير صحيحة",IF(NOT(OR($H42="",$N42&gt;0)),"✖ Start غير صحيح",IF(NOT(OR($I42="",$I42="NR",$O42&gt;0)),"✖ Current غير صحيح",IF(NOT(IF(ISNUMBER($J42),AND($J42&gt;=0,$J42=INT($J42)),FALSE())),"✖ العدد يجب أن يكون صحيحًا ≥ 0",IF(AND($F42="Baseline",$H42&lt;&gt;""),"⚠ Baseline: Start لا يدخل في التقدم",IF($K42="No Start (attainment only)","ℹ تحصيل فقط (بدون Start)",IF($K42="U – needs rule","ℹ حالة U تحتاج قاعدة معتمدة",IF($K42="No result","ℹ بدون نتيجة (يُستبعد من التحصيل)","OK")))))))))))</f>
        <v>ℹ حالة U تحتاج قاعدة معتمدة</v>
      </c>
      <c r="M42" s="64" t="n">
        <f aca="false">IF($A42="",0,IFERROR(MATCH($A42,Classes!$A$6:$A$420,0),0))</f>
        <v>282</v>
      </c>
      <c r="N42" s="64" t="n">
        <f aca="false">IF($H42="",0,IFERROR(MATCH($H42,GradeList,0),0))</f>
        <v>5</v>
      </c>
      <c r="O42" s="64" t="n">
        <f aca="false">IF(OR($I42="",$I42="NR"),0,IFERROR(MATCH($I42,GradeList,0),0))</f>
        <v>1</v>
      </c>
      <c r="P42" s="64" t="n">
        <f aca="false">IF(AND($M42&gt;0,ISNUMBER(MATCH($F42,Lists!$A$2:$A$5,0)),ISNUMBER(MATCH($G42,Lists!$B$2:$B$7,0)),OR($H42="",$N42&gt;0),OR($I42="",$I42="NR",$O42&gt;0),IF(ISNUMBER($J42),AND($J42&gt;=0,$J42=INT($J42)),FALSE())),$J42,0)</f>
        <v>1</v>
      </c>
      <c r="Q42" s="64" t="n">
        <f aca="false">IF(AND($P42&gt;0,$O42&gt;0),$P42,0)</f>
        <v>1</v>
      </c>
      <c r="R42" s="64" t="n">
        <f aca="false">IF(AND($Q42&gt;0,$O42&gt;=AtRank),$Q42,0)</f>
        <v>0</v>
      </c>
      <c r="S42" s="64" t="n">
        <f aca="false">IF(AND($Q42&gt;0,$O42&gt;=AboveRank),$Q42,0)</f>
        <v>0</v>
      </c>
      <c r="T42" s="64" t="n">
        <f aca="false">IF($K42="Less",$P42,0)</f>
        <v>0</v>
      </c>
      <c r="U42" s="64" t="n">
        <f aca="false">IF($K42="Expected",$P42,0)</f>
        <v>0</v>
      </c>
      <c r="V42" s="64" t="n">
        <f aca="false">IF($K42="Better",$P42,0)</f>
        <v>0</v>
      </c>
      <c r="W42" s="64" t="n">
        <f aca="false">IF($K42="U – needs rule",$P42,0)</f>
        <v>1</v>
      </c>
      <c r="X42" s="64" t="n">
        <f aca="false">IF($K42="No Start (attainment only)",$P42,0)</f>
        <v>0</v>
      </c>
    </row>
    <row r="43" customFormat="false" ht="15" hidden="false" customHeight="false" outlineLevel="0" collapsed="false">
      <c r="A43" s="60" t="s">
        <v>777</v>
      </c>
      <c r="B43" s="61" t="str">
        <f aca="false">IF($M43=0,"",INDEX(Classes!$E$6:$E$420,$M43))</f>
        <v>Arabic A</v>
      </c>
      <c r="C43" s="62" t="str">
        <f aca="false">IF($M43=0,"",INDEX(Classes!$H$6:$H$420,$M43))</f>
        <v>Mr Ayman Bobo</v>
      </c>
      <c r="D43" s="61" t="str">
        <f aca="false">IF($M43=0,"",INDEX(Classes!$B$6:$B$420,$M43))</f>
        <v>Year 10</v>
      </c>
      <c r="E43" s="61" t="str">
        <f aca="false">IF($M43=0,"",INDEX(Classes!$C$6:$C$420,$M43))</f>
        <v>ah</v>
      </c>
      <c r="F43" s="63" t="s">
        <v>107</v>
      </c>
      <c r="G43" s="63" t="s">
        <v>108</v>
      </c>
      <c r="H43" s="60" t="s">
        <v>201</v>
      </c>
      <c r="I43" s="60" t="s">
        <v>202</v>
      </c>
      <c r="J43" s="63" t="n">
        <v>1</v>
      </c>
      <c r="K43" s="61" t="str">
        <f aca="false">IF($P43=0,"",IF($F43="Baseline","— Baseline",IF($O43=0,"No result",IF($N43=0,"No Start (attainment only)",IF(OR($N43=1,$O43=1),"U – needs rule",INDEX(MxBody,MATCH($I43,MxCurr,0),MATCH($H43,MxStart,0)))))))</f>
        <v>Better</v>
      </c>
      <c r="L43" s="62" t="str">
        <f aca="false">IF(COUNTA($A43,$F43,$G43,$H43,$I43,$J43)=0,"",IF($M43=0,"✖ كود الصف غير موجود",IF(ISNA(MATCH($F43,Lists!$A$2:$A$5,0)),"✖ الفترة غير صحيحة",IF(ISNA(MATCH($G43,Lists!$B$2:$B$7,0)),"✖ المجموعة غير صحيحة",IF(NOT(OR($H43="",$N43&gt;0)),"✖ Start غير صحيح",IF(NOT(OR($I43="",$I43="NR",$O43&gt;0)),"✖ Current غير صحيح",IF(NOT(IF(ISNUMBER($J43),AND($J43&gt;=0,$J43=INT($J43)),FALSE())),"✖ العدد يجب أن يكون صحيحًا ≥ 0",IF(AND($F43="Baseline",$H43&lt;&gt;""),"⚠ Baseline: Start لا يدخل في التقدم",IF($K43="No Start (attainment only)","ℹ تحصيل فقط (بدون Start)",IF($K43="U – needs rule","ℹ حالة U تحتاج قاعدة معتمدة",IF($K43="No result","ℹ بدون نتيجة (يُستبعد من التحصيل)","OK")))))))))))</f>
        <v>OK</v>
      </c>
      <c r="M43" s="64" t="n">
        <f aca="false">IF($A43="",0,IFERROR(MATCH($A43,Classes!$A$6:$A$420,0),0))</f>
        <v>282</v>
      </c>
      <c r="N43" s="64" t="n">
        <f aca="false">IF($H43="",0,IFERROR(MATCH($H43,GradeList,0),0))</f>
        <v>6</v>
      </c>
      <c r="O43" s="64" t="n">
        <f aca="false">IF(OR($I43="",$I43="NR"),0,IFERROR(MATCH($I43,GradeList,0),0))</f>
        <v>7</v>
      </c>
      <c r="P43" s="64" t="n">
        <f aca="false">IF(AND($M43&gt;0,ISNUMBER(MATCH($F43,Lists!$A$2:$A$5,0)),ISNUMBER(MATCH($G43,Lists!$B$2:$B$7,0)),OR($H43="",$N43&gt;0),OR($I43="",$I43="NR",$O43&gt;0),IF(ISNUMBER($J43),AND($J43&gt;=0,$J43=INT($J43)),FALSE())),$J43,0)</f>
        <v>1</v>
      </c>
      <c r="Q43" s="64" t="n">
        <f aca="false">IF(AND($P43&gt;0,$O43&gt;0),$P43,0)</f>
        <v>1</v>
      </c>
      <c r="R43" s="64" t="n">
        <f aca="false">IF(AND($Q43&gt;0,$O43&gt;=AtRank),$Q43,0)</f>
        <v>1</v>
      </c>
      <c r="S43" s="64" t="n">
        <f aca="false">IF(AND($Q43&gt;0,$O43&gt;=AboveRank),$Q43,0)</f>
        <v>1</v>
      </c>
      <c r="T43" s="64" t="n">
        <f aca="false">IF($K43="Less",$P43,0)</f>
        <v>0</v>
      </c>
      <c r="U43" s="64" t="n">
        <f aca="false">IF($K43="Expected",$P43,0)</f>
        <v>0</v>
      </c>
      <c r="V43" s="64" t="n">
        <f aca="false">IF($K43="Better",$P43,0)</f>
        <v>1</v>
      </c>
      <c r="W43" s="64" t="n">
        <f aca="false">IF($K43="U – needs rule",$P43,0)</f>
        <v>0</v>
      </c>
      <c r="X43" s="64" t="n">
        <f aca="false">IF($K43="No Start (attainment only)",$P43,0)</f>
        <v>0</v>
      </c>
    </row>
    <row r="44" customFormat="false" ht="15" hidden="false" customHeight="false" outlineLevel="0" collapsed="false">
      <c r="A44" s="60" t="s">
        <v>777</v>
      </c>
      <c r="B44" s="61" t="str">
        <f aca="false">IF($M44=0,"",INDEX(Classes!$E$6:$E$420,$M44))</f>
        <v>Arabic A</v>
      </c>
      <c r="C44" s="62" t="str">
        <f aca="false">IF($M44=0,"",INDEX(Classes!$H$6:$H$420,$M44))</f>
        <v>Mr Ayman Bobo</v>
      </c>
      <c r="D44" s="61" t="str">
        <f aca="false">IF($M44=0,"",INDEX(Classes!$B$6:$B$420,$M44))</f>
        <v>Year 10</v>
      </c>
      <c r="E44" s="61" t="str">
        <f aca="false">IF($M44=0,"",INDEX(Classes!$C$6:$C$420,$M44))</f>
        <v>ah</v>
      </c>
      <c r="F44" s="63" t="s">
        <v>107</v>
      </c>
      <c r="G44" s="63" t="s">
        <v>108</v>
      </c>
      <c r="H44" s="60" t="s">
        <v>204</v>
      </c>
      <c r="I44" s="60" t="s">
        <v>205</v>
      </c>
      <c r="J44" s="63" t="n">
        <v>4</v>
      </c>
      <c r="K44" s="61" t="str">
        <f aca="false">IF($P44=0,"",IF($F44="Baseline","— Baseline",IF($O44=0,"No result",IF($N44=0,"No Start (attainment only)",IF(OR($N44=1,$O44=1),"U – needs rule",INDEX(MxBody,MATCH($I44,MxCurr,0),MATCH($H44,MxStart,0)))))))</f>
        <v>Better</v>
      </c>
      <c r="L44" s="62" t="str">
        <f aca="false">IF(COUNTA($A44,$F44,$G44,$H44,$I44,$J44)=0,"",IF($M44=0,"✖ كود الصف غير موجود",IF(ISNA(MATCH($F44,Lists!$A$2:$A$5,0)),"✖ الفترة غير صحيحة",IF(ISNA(MATCH($G44,Lists!$B$2:$B$7,0)),"✖ المجموعة غير صحيحة",IF(NOT(OR($H44="",$N44&gt;0)),"✖ Start غير صحيح",IF(NOT(OR($I44="",$I44="NR",$O44&gt;0)),"✖ Current غير صحيح",IF(NOT(IF(ISNUMBER($J44),AND($J44&gt;=0,$J44=INT($J44)),FALSE())),"✖ العدد يجب أن يكون صحيحًا ≥ 0",IF(AND($F44="Baseline",$H44&lt;&gt;""),"⚠ Baseline: Start لا يدخل في التقدم",IF($K44="No Start (attainment only)","ℹ تحصيل فقط (بدون Start)",IF($K44="U – needs rule","ℹ حالة U تحتاج قاعدة معتمدة",IF($K44="No result","ℹ بدون نتيجة (يُستبعد من التحصيل)","OK")))))))))))</f>
        <v>OK</v>
      </c>
      <c r="M44" s="64" t="n">
        <f aca="false">IF($A44="",0,IFERROR(MATCH($A44,Classes!$A$6:$A$420,0),0))</f>
        <v>282</v>
      </c>
      <c r="N44" s="64" t="n">
        <f aca="false">IF($H44="",0,IFERROR(MATCH($H44,GradeList,0),0))</f>
        <v>9</v>
      </c>
      <c r="O44" s="64" t="n">
        <f aca="false">IF(OR($I44="",$I44="NR"),0,IFERROR(MATCH($I44,GradeList,0),0))</f>
        <v>10</v>
      </c>
      <c r="P44" s="64" t="n">
        <f aca="false">IF(AND($M44&gt;0,ISNUMBER(MATCH($F44,Lists!$A$2:$A$5,0)),ISNUMBER(MATCH($G44,Lists!$B$2:$B$7,0)),OR($H44="",$N44&gt;0),OR($I44="",$I44="NR",$O44&gt;0),IF(ISNUMBER($J44),AND($J44&gt;=0,$J44=INT($J44)),FALSE())),$J44,0)</f>
        <v>4</v>
      </c>
      <c r="Q44" s="64" t="n">
        <f aca="false">IF(AND($P44&gt;0,$O44&gt;0),$P44,0)</f>
        <v>4</v>
      </c>
      <c r="R44" s="64" t="n">
        <f aca="false">IF(AND($Q44&gt;0,$O44&gt;=AtRank),$Q44,0)</f>
        <v>4</v>
      </c>
      <c r="S44" s="64" t="n">
        <f aca="false">IF(AND($Q44&gt;0,$O44&gt;=AboveRank),$Q44,0)</f>
        <v>4</v>
      </c>
      <c r="T44" s="64" t="n">
        <f aca="false">IF($K44="Less",$P44,0)</f>
        <v>0</v>
      </c>
      <c r="U44" s="64" t="n">
        <f aca="false">IF($K44="Expected",$P44,0)</f>
        <v>0</v>
      </c>
      <c r="V44" s="64" t="n">
        <f aca="false">IF($K44="Better",$P44,0)</f>
        <v>4</v>
      </c>
      <c r="W44" s="64" t="n">
        <f aca="false">IF($K44="U – needs rule",$P44,0)</f>
        <v>0</v>
      </c>
      <c r="X44" s="64" t="n">
        <f aca="false">IF($K44="No Start (attainment only)",$P44,0)</f>
        <v>0</v>
      </c>
    </row>
    <row r="45" customFormat="false" ht="15" hidden="false" customHeight="false" outlineLevel="0" collapsed="false">
      <c r="A45" s="60" t="s">
        <v>777</v>
      </c>
      <c r="B45" s="61" t="str">
        <f aca="false">IF($M45=0,"",INDEX(Classes!$E$6:$E$420,$M45))</f>
        <v>Arabic A</v>
      </c>
      <c r="C45" s="62" t="str">
        <f aca="false">IF($M45=0,"",INDEX(Classes!$H$6:$H$420,$M45))</f>
        <v>Mr Ayman Bobo</v>
      </c>
      <c r="D45" s="61" t="str">
        <f aca="false">IF($M45=0,"",INDEX(Classes!$B$6:$B$420,$M45))</f>
        <v>Year 10</v>
      </c>
      <c r="E45" s="61" t="str">
        <f aca="false">IF($M45=0,"",INDEX(Classes!$C$6:$C$420,$M45))</f>
        <v>ah</v>
      </c>
      <c r="F45" s="63" t="s">
        <v>107</v>
      </c>
      <c r="G45" s="63" t="s">
        <v>108</v>
      </c>
      <c r="H45" s="60" t="s">
        <v>205</v>
      </c>
      <c r="I45" s="60" t="s">
        <v>205</v>
      </c>
      <c r="J45" s="63" t="n">
        <v>2</v>
      </c>
      <c r="K45" s="61" t="str">
        <f aca="false">IF($P45=0,"",IF($F45="Baseline","— Baseline",IF($O45=0,"No result",IF($N45=0,"No Start (attainment only)",IF(OR($N45=1,$O45=1),"U – needs rule",INDEX(MxBody,MATCH($I45,MxCurr,0),MATCH($H45,MxStart,0)))))))</f>
        <v>Better</v>
      </c>
      <c r="L45" s="62" t="str">
        <f aca="false">IF(COUNTA($A45,$F45,$G45,$H45,$I45,$J45)=0,"",IF($M45=0,"✖ كود الصف غير موجود",IF(ISNA(MATCH($F45,Lists!$A$2:$A$5,0)),"✖ الفترة غير صحيحة",IF(ISNA(MATCH($G45,Lists!$B$2:$B$7,0)),"✖ المجموعة غير صحيحة",IF(NOT(OR($H45="",$N45&gt;0)),"✖ Start غير صحيح",IF(NOT(OR($I45="",$I45="NR",$O45&gt;0)),"✖ Current غير صحيح",IF(NOT(IF(ISNUMBER($J45),AND($J45&gt;=0,$J45=INT($J45)),FALSE())),"✖ العدد يجب أن يكون صحيحًا ≥ 0",IF(AND($F45="Baseline",$H45&lt;&gt;""),"⚠ Baseline: Start لا يدخل في التقدم",IF($K45="No Start (attainment only)","ℹ تحصيل فقط (بدون Start)",IF($K45="U – needs rule","ℹ حالة U تحتاج قاعدة معتمدة",IF($K45="No result","ℹ بدون نتيجة (يُستبعد من التحصيل)","OK")))))))))))</f>
        <v>OK</v>
      </c>
      <c r="M45" s="64" t="n">
        <f aca="false">IF($A45="",0,IFERROR(MATCH($A45,Classes!$A$6:$A$420,0),0))</f>
        <v>282</v>
      </c>
      <c r="N45" s="64" t="n">
        <f aca="false">IF($H45="",0,IFERROR(MATCH($H45,GradeList,0),0))</f>
        <v>10</v>
      </c>
      <c r="O45" s="64" t="n">
        <f aca="false">IF(OR($I45="",$I45="NR"),0,IFERROR(MATCH($I45,GradeList,0),0))</f>
        <v>10</v>
      </c>
      <c r="P45" s="64" t="n">
        <f aca="false">IF(AND($M45&gt;0,ISNUMBER(MATCH($F45,Lists!$A$2:$A$5,0)),ISNUMBER(MATCH($G45,Lists!$B$2:$B$7,0)),OR($H45="",$N45&gt;0),OR($I45="",$I45="NR",$O45&gt;0),IF(ISNUMBER($J45),AND($J45&gt;=0,$J45=INT($J45)),FALSE())),$J45,0)</f>
        <v>2</v>
      </c>
      <c r="Q45" s="64" t="n">
        <f aca="false">IF(AND($P45&gt;0,$O45&gt;0),$P45,0)</f>
        <v>2</v>
      </c>
      <c r="R45" s="64" t="n">
        <f aca="false">IF(AND($Q45&gt;0,$O45&gt;=AtRank),$Q45,0)</f>
        <v>2</v>
      </c>
      <c r="S45" s="64" t="n">
        <f aca="false">IF(AND($Q45&gt;0,$O45&gt;=AboveRank),$Q45,0)</f>
        <v>2</v>
      </c>
      <c r="T45" s="64" t="n">
        <f aca="false">IF($K45="Less",$P45,0)</f>
        <v>0</v>
      </c>
      <c r="U45" s="64" t="n">
        <f aca="false">IF($K45="Expected",$P45,0)</f>
        <v>0</v>
      </c>
      <c r="V45" s="64" t="n">
        <f aca="false">IF($K45="Better",$P45,0)</f>
        <v>2</v>
      </c>
      <c r="W45" s="64" t="n">
        <f aca="false">IF($K45="U – needs rule",$P45,0)</f>
        <v>0</v>
      </c>
      <c r="X45" s="64" t="n">
        <f aca="false">IF($K45="No Start (attainment only)",$P45,0)</f>
        <v>0</v>
      </c>
    </row>
    <row r="46" customFormat="false" ht="15" hidden="false" customHeight="false" outlineLevel="0" collapsed="false">
      <c r="A46" s="60" t="s">
        <v>777</v>
      </c>
      <c r="B46" s="61" t="str">
        <f aca="false">IF($M46=0,"",INDEX(Classes!$E$6:$E$420,$M46))</f>
        <v>Arabic A</v>
      </c>
      <c r="C46" s="62" t="str">
        <f aca="false">IF($M46=0,"",INDEX(Classes!$H$6:$H$420,$M46))</f>
        <v>Mr Ayman Bobo</v>
      </c>
      <c r="D46" s="61" t="str">
        <f aca="false">IF($M46=0,"",INDEX(Classes!$B$6:$B$420,$M46))</f>
        <v>Year 10</v>
      </c>
      <c r="E46" s="61" t="str">
        <f aca="false">IF($M46=0,"",INDEX(Classes!$C$6:$C$420,$M46))</f>
        <v>ah</v>
      </c>
      <c r="F46" s="63" t="s">
        <v>107</v>
      </c>
      <c r="G46" s="63" t="s">
        <v>1015</v>
      </c>
      <c r="H46" s="60"/>
      <c r="I46" s="60" t="s">
        <v>202</v>
      </c>
      <c r="J46" s="63" t="n">
        <v>1</v>
      </c>
      <c r="K46" s="61" t="str">
        <f aca="false">IF($P46=0,"",IF($F46="Baseline","— Baseline",IF($O46=0,"No result",IF($N46=0,"No Start (attainment only)",IF(OR($N46=1,$O46=1),"U – needs rule",INDEX(MxBody,MATCH($I46,MxCurr,0),MATCH($H46,MxStart,0)))))))</f>
        <v>No Start (attainment only)</v>
      </c>
      <c r="L46" s="62" t="str">
        <f aca="false">IF(COUNTA($A46,$F46,$G46,$H46,$I46,$J46)=0,"",IF($M46=0,"✖ كود الصف غير موجود",IF(ISNA(MATCH($F46,Lists!$A$2:$A$5,0)),"✖ الفترة غير صحيحة",IF(ISNA(MATCH($G46,Lists!$B$2:$B$7,0)),"✖ المجموعة غير صحيحة",IF(NOT(OR($H46="",$N46&gt;0)),"✖ Start غير صحيح",IF(NOT(OR($I46="",$I46="NR",$O46&gt;0)),"✖ Current غير صحيح",IF(NOT(IF(ISNUMBER($J46),AND($J46&gt;=0,$J46=INT($J46)),FALSE())),"✖ العدد يجب أن يكون صحيحًا ≥ 0",IF(AND($F46="Baseline",$H46&lt;&gt;""),"⚠ Baseline: Start لا يدخل في التقدم",IF($K46="No Start (attainment only)","ℹ تحصيل فقط (بدون Start)",IF($K46="U – needs rule","ℹ حالة U تحتاج قاعدة معتمدة",IF($K46="No result","ℹ بدون نتيجة (يُستبعد من التحصيل)","OK")))))))))))</f>
        <v>ℹ تحصيل فقط (بدون Start)</v>
      </c>
      <c r="M46" s="64" t="n">
        <f aca="false">IF($A46="",0,IFERROR(MATCH($A46,Classes!$A$6:$A$420,0),0))</f>
        <v>282</v>
      </c>
      <c r="N46" s="64" t="n">
        <f aca="false">IF($H46="",0,IFERROR(MATCH($H46,GradeList,0),0))</f>
        <v>0</v>
      </c>
      <c r="O46" s="64" t="n">
        <f aca="false">IF(OR($I46="",$I46="NR"),0,IFERROR(MATCH($I46,GradeList,0),0))</f>
        <v>7</v>
      </c>
      <c r="P46" s="64" t="n">
        <f aca="false">IF(AND($M46&gt;0,ISNUMBER(MATCH($F46,Lists!$A$2:$A$5,0)),ISNUMBER(MATCH($G46,Lists!$B$2:$B$7,0)),OR($H46="",$N46&gt;0),OR($I46="",$I46="NR",$O46&gt;0),IF(ISNUMBER($J46),AND($J46&gt;=0,$J46=INT($J46)),FALSE())),$J46,0)</f>
        <v>1</v>
      </c>
      <c r="Q46" s="64" t="n">
        <f aca="false">IF(AND($P46&gt;0,$O46&gt;0),$P46,0)</f>
        <v>1</v>
      </c>
      <c r="R46" s="64" t="n">
        <f aca="false">IF(AND($Q46&gt;0,$O46&gt;=AtRank),$Q46,0)</f>
        <v>1</v>
      </c>
      <c r="S46" s="64" t="n">
        <f aca="false">IF(AND($Q46&gt;0,$O46&gt;=AboveRank),$Q46,0)</f>
        <v>1</v>
      </c>
      <c r="T46" s="64" t="n">
        <f aca="false">IF($K46="Less",$P46,0)</f>
        <v>0</v>
      </c>
      <c r="U46" s="64" t="n">
        <f aca="false">IF($K46="Expected",$P46,0)</f>
        <v>0</v>
      </c>
      <c r="V46" s="64" t="n">
        <f aca="false">IF($K46="Better",$P46,0)</f>
        <v>0</v>
      </c>
      <c r="W46" s="64" t="n">
        <f aca="false">IF($K46="U – needs rule",$P46,0)</f>
        <v>0</v>
      </c>
      <c r="X46" s="64" t="n">
        <f aca="false">IF($K46="No Start (attainment only)",$P46,0)</f>
        <v>1</v>
      </c>
    </row>
    <row r="47" customFormat="false" ht="15" hidden="false" customHeight="false" outlineLevel="0" collapsed="false">
      <c r="A47" s="60" t="s">
        <v>777</v>
      </c>
      <c r="B47" s="61" t="str">
        <f aca="false">IF($M47=0,"",INDEX(Classes!$E$6:$E$420,$M47))</f>
        <v>Arabic A</v>
      </c>
      <c r="C47" s="62" t="str">
        <f aca="false">IF($M47=0,"",INDEX(Classes!$H$6:$H$420,$M47))</f>
        <v>Mr Ayman Bobo</v>
      </c>
      <c r="D47" s="61" t="str">
        <f aca="false">IF($M47=0,"",INDEX(Classes!$B$6:$B$420,$M47))</f>
        <v>Year 10</v>
      </c>
      <c r="E47" s="61" t="str">
        <f aca="false">IF($M47=0,"",INDEX(Classes!$C$6:$C$420,$M47))</f>
        <v>ah</v>
      </c>
      <c r="F47" s="63" t="s">
        <v>107</v>
      </c>
      <c r="G47" s="63" t="s">
        <v>1015</v>
      </c>
      <c r="H47" s="60" t="s">
        <v>202</v>
      </c>
      <c r="I47" s="60" t="s">
        <v>202</v>
      </c>
      <c r="J47" s="63" t="n">
        <v>1</v>
      </c>
      <c r="K47" s="61" t="str">
        <f aca="false">IF($P47=0,"",IF($F47="Baseline","— Baseline",IF($O47=0,"No result",IF($N47=0,"No Start (attainment only)",IF(OR($N47=1,$O47=1),"U – needs rule",INDEX(MxBody,MATCH($I47,MxCurr,0),MATCH($H47,MxStart,0)))))))</f>
        <v>Better</v>
      </c>
      <c r="L47" s="62" t="str">
        <f aca="false">IF(COUNTA($A47,$F47,$G47,$H47,$I47,$J47)=0,"",IF($M47=0,"✖ كود الصف غير موجود",IF(ISNA(MATCH($F47,Lists!$A$2:$A$5,0)),"✖ الفترة غير صحيحة",IF(ISNA(MATCH($G47,Lists!$B$2:$B$7,0)),"✖ المجموعة غير صحيحة",IF(NOT(OR($H47="",$N47&gt;0)),"✖ Start غير صحيح",IF(NOT(OR($I47="",$I47="NR",$O47&gt;0)),"✖ Current غير صحيح",IF(NOT(IF(ISNUMBER($J47),AND($J47&gt;=0,$J47=INT($J47)),FALSE())),"✖ العدد يجب أن يكون صحيحًا ≥ 0",IF(AND($F47="Baseline",$H47&lt;&gt;""),"⚠ Baseline: Start لا يدخل في التقدم",IF($K47="No Start (attainment only)","ℹ تحصيل فقط (بدون Start)",IF($K47="U – needs rule","ℹ حالة U تحتاج قاعدة معتمدة",IF($K47="No result","ℹ بدون نتيجة (يُستبعد من التحصيل)","OK")))))))))))</f>
        <v>OK</v>
      </c>
      <c r="M47" s="64" t="n">
        <f aca="false">IF($A47="",0,IFERROR(MATCH($A47,Classes!$A$6:$A$420,0),0))</f>
        <v>282</v>
      </c>
      <c r="N47" s="64" t="n">
        <f aca="false">IF($H47="",0,IFERROR(MATCH($H47,GradeList,0),0))</f>
        <v>7</v>
      </c>
      <c r="O47" s="64" t="n">
        <f aca="false">IF(OR($I47="",$I47="NR"),0,IFERROR(MATCH($I47,GradeList,0),0))</f>
        <v>7</v>
      </c>
      <c r="P47" s="64" t="n">
        <f aca="false">IF(AND($M47&gt;0,ISNUMBER(MATCH($F47,Lists!$A$2:$A$5,0)),ISNUMBER(MATCH($G47,Lists!$B$2:$B$7,0)),OR($H47="",$N47&gt;0),OR($I47="",$I47="NR",$O47&gt;0),IF(ISNUMBER($J47),AND($J47&gt;=0,$J47=INT($J47)),FALSE())),$J47,0)</f>
        <v>1</v>
      </c>
      <c r="Q47" s="64" t="n">
        <f aca="false">IF(AND($P47&gt;0,$O47&gt;0),$P47,0)</f>
        <v>1</v>
      </c>
      <c r="R47" s="64" t="n">
        <f aca="false">IF(AND($Q47&gt;0,$O47&gt;=AtRank),$Q47,0)</f>
        <v>1</v>
      </c>
      <c r="S47" s="64" t="n">
        <f aca="false">IF(AND($Q47&gt;0,$O47&gt;=AboveRank),$Q47,0)</f>
        <v>1</v>
      </c>
      <c r="T47" s="64" t="n">
        <f aca="false">IF($K47="Less",$P47,0)</f>
        <v>0</v>
      </c>
      <c r="U47" s="64" t="n">
        <f aca="false">IF($K47="Expected",$P47,0)</f>
        <v>0</v>
      </c>
      <c r="V47" s="64" t="n">
        <f aca="false">IF($K47="Better",$P47,0)</f>
        <v>1</v>
      </c>
      <c r="W47" s="64" t="n">
        <f aca="false">IF($K47="U – needs rule",$P47,0)</f>
        <v>0</v>
      </c>
      <c r="X47" s="64" t="n">
        <f aca="false">IF($K47="No Start (attainment only)",$P47,0)</f>
        <v>0</v>
      </c>
    </row>
    <row r="48" customFormat="false" ht="15" hidden="false" customHeight="false" outlineLevel="0" collapsed="false">
      <c r="A48" s="60" t="s">
        <v>777</v>
      </c>
      <c r="B48" s="61" t="str">
        <f aca="false">IF($M48=0,"",INDEX(Classes!$E$6:$E$420,$M48))</f>
        <v>Arabic A</v>
      </c>
      <c r="C48" s="62" t="str">
        <f aca="false">IF($M48=0,"",INDEX(Classes!$H$6:$H$420,$M48))</f>
        <v>Mr Ayman Bobo</v>
      </c>
      <c r="D48" s="61" t="str">
        <f aca="false">IF($M48=0,"",INDEX(Classes!$B$6:$B$420,$M48))</f>
        <v>Year 10</v>
      </c>
      <c r="E48" s="61" t="str">
        <f aca="false">IF($M48=0,"",INDEX(Classes!$C$6:$C$420,$M48))</f>
        <v>ah</v>
      </c>
      <c r="F48" s="63" t="s">
        <v>107</v>
      </c>
      <c r="G48" s="63" t="s">
        <v>1015</v>
      </c>
      <c r="H48" s="60" t="s">
        <v>202</v>
      </c>
      <c r="I48" s="60" t="s">
        <v>203</v>
      </c>
      <c r="J48" s="63" t="n">
        <v>2</v>
      </c>
      <c r="K48" s="61" t="str">
        <f aca="false">IF($P48=0,"",IF($F48="Baseline","— Baseline",IF($O48=0,"No result",IF($N48=0,"No Start (attainment only)",IF(OR($N48=1,$O48=1),"U – needs rule",INDEX(MxBody,MATCH($I48,MxCurr,0),MATCH($H48,MxStart,0)))))))</f>
        <v>Better</v>
      </c>
      <c r="L48" s="62" t="str">
        <f aca="false">IF(COUNTA($A48,$F48,$G48,$H48,$I48,$J48)=0,"",IF($M48=0,"✖ كود الصف غير موجود",IF(ISNA(MATCH($F48,Lists!$A$2:$A$5,0)),"✖ الفترة غير صحيحة",IF(ISNA(MATCH($G48,Lists!$B$2:$B$7,0)),"✖ المجموعة غير صحيحة",IF(NOT(OR($H48="",$N48&gt;0)),"✖ Start غير صحيح",IF(NOT(OR($I48="",$I48="NR",$O48&gt;0)),"✖ Current غير صحيح",IF(NOT(IF(ISNUMBER($J48),AND($J48&gt;=0,$J48=INT($J48)),FALSE())),"✖ العدد يجب أن يكون صحيحًا ≥ 0",IF(AND($F48="Baseline",$H48&lt;&gt;""),"⚠ Baseline: Start لا يدخل في التقدم",IF($K48="No Start (attainment only)","ℹ تحصيل فقط (بدون Start)",IF($K48="U – needs rule","ℹ حالة U تحتاج قاعدة معتمدة",IF($K48="No result","ℹ بدون نتيجة (يُستبعد من التحصيل)","OK")))))))))))</f>
        <v>OK</v>
      </c>
      <c r="M48" s="64" t="n">
        <f aca="false">IF($A48="",0,IFERROR(MATCH($A48,Classes!$A$6:$A$420,0),0))</f>
        <v>282</v>
      </c>
      <c r="N48" s="64" t="n">
        <f aca="false">IF($H48="",0,IFERROR(MATCH($H48,GradeList,0),0))</f>
        <v>7</v>
      </c>
      <c r="O48" s="64" t="n">
        <f aca="false">IF(OR($I48="",$I48="NR"),0,IFERROR(MATCH($I48,GradeList,0),0))</f>
        <v>8</v>
      </c>
      <c r="P48" s="64" t="n">
        <f aca="false">IF(AND($M48&gt;0,ISNUMBER(MATCH($F48,Lists!$A$2:$A$5,0)),ISNUMBER(MATCH($G48,Lists!$B$2:$B$7,0)),OR($H48="",$N48&gt;0),OR($I48="",$I48="NR",$O48&gt;0),IF(ISNUMBER($J48),AND($J48&gt;=0,$J48=INT($J48)),FALSE())),$J48,0)</f>
        <v>2</v>
      </c>
      <c r="Q48" s="64" t="n">
        <f aca="false">IF(AND($P48&gt;0,$O48&gt;0),$P48,0)</f>
        <v>2</v>
      </c>
      <c r="R48" s="64" t="n">
        <f aca="false">IF(AND($Q48&gt;0,$O48&gt;=AtRank),$Q48,0)</f>
        <v>2</v>
      </c>
      <c r="S48" s="64" t="n">
        <f aca="false">IF(AND($Q48&gt;0,$O48&gt;=AboveRank),$Q48,0)</f>
        <v>2</v>
      </c>
      <c r="T48" s="64" t="n">
        <f aca="false">IF($K48="Less",$P48,0)</f>
        <v>0</v>
      </c>
      <c r="U48" s="64" t="n">
        <f aca="false">IF($K48="Expected",$P48,0)</f>
        <v>0</v>
      </c>
      <c r="V48" s="64" t="n">
        <f aca="false">IF($K48="Better",$P48,0)</f>
        <v>2</v>
      </c>
      <c r="W48" s="64" t="n">
        <f aca="false">IF($K48="U – needs rule",$P48,0)</f>
        <v>0</v>
      </c>
      <c r="X48" s="64" t="n">
        <f aca="false">IF($K48="No Start (attainment only)",$P48,0)</f>
        <v>0</v>
      </c>
    </row>
    <row r="49" customFormat="false" ht="15" hidden="false" customHeight="false" outlineLevel="0" collapsed="false">
      <c r="A49" s="60" t="s">
        <v>777</v>
      </c>
      <c r="B49" s="61" t="str">
        <f aca="false">IF($M49=0,"",INDEX(Classes!$E$6:$E$420,$M49))</f>
        <v>Arabic A</v>
      </c>
      <c r="C49" s="62" t="str">
        <f aca="false">IF($M49=0,"",INDEX(Classes!$H$6:$H$420,$M49))</f>
        <v>Mr Ayman Bobo</v>
      </c>
      <c r="D49" s="61" t="str">
        <f aca="false">IF($M49=0,"",INDEX(Classes!$B$6:$B$420,$M49))</f>
        <v>Year 10</v>
      </c>
      <c r="E49" s="61" t="str">
        <f aca="false">IF($M49=0,"",INDEX(Classes!$C$6:$C$420,$M49))</f>
        <v>ah</v>
      </c>
      <c r="F49" s="63" t="s">
        <v>107</v>
      </c>
      <c r="G49" s="63" t="s">
        <v>1015</v>
      </c>
      <c r="H49" s="60" t="s">
        <v>202</v>
      </c>
      <c r="I49" s="60" t="s">
        <v>201</v>
      </c>
      <c r="J49" s="63" t="n">
        <v>1</v>
      </c>
      <c r="K49" s="61" t="str">
        <f aca="false">IF($P49=0,"",IF($F49="Baseline","— Baseline",IF($O49=0,"No result",IF($N49=0,"No Start (attainment only)",IF(OR($N49=1,$O49=1),"U – needs rule",INDEX(MxBody,MATCH($I49,MxCurr,0),MATCH($H49,MxStart,0)))))))</f>
        <v>Expected</v>
      </c>
      <c r="L49" s="62" t="str">
        <f aca="false">IF(COUNTA($A49,$F49,$G49,$H49,$I49,$J49)=0,"",IF($M49=0,"✖ كود الصف غير موجود",IF(ISNA(MATCH($F49,Lists!$A$2:$A$5,0)),"✖ الفترة غير صحيحة",IF(ISNA(MATCH($G49,Lists!$B$2:$B$7,0)),"✖ المجموعة غير صحيحة",IF(NOT(OR($H49="",$N49&gt;0)),"✖ Start غير صحيح",IF(NOT(OR($I49="",$I49="NR",$O49&gt;0)),"✖ Current غير صحيح",IF(NOT(IF(ISNUMBER($J49),AND($J49&gt;=0,$J49=INT($J49)),FALSE())),"✖ العدد يجب أن يكون صحيحًا ≥ 0",IF(AND($F49="Baseline",$H49&lt;&gt;""),"⚠ Baseline: Start لا يدخل في التقدم",IF($K49="No Start (attainment only)","ℹ تحصيل فقط (بدون Start)",IF($K49="U – needs rule","ℹ حالة U تحتاج قاعدة معتمدة",IF($K49="No result","ℹ بدون نتيجة (يُستبعد من التحصيل)","OK")))))))))))</f>
        <v>OK</v>
      </c>
      <c r="M49" s="64" t="n">
        <f aca="false">IF($A49="",0,IFERROR(MATCH($A49,Classes!$A$6:$A$420,0),0))</f>
        <v>282</v>
      </c>
      <c r="N49" s="64" t="n">
        <f aca="false">IF($H49="",0,IFERROR(MATCH($H49,GradeList,0),0))</f>
        <v>7</v>
      </c>
      <c r="O49" s="64" t="n">
        <f aca="false">IF(OR($I49="",$I49="NR"),0,IFERROR(MATCH($I49,GradeList,0),0))</f>
        <v>6</v>
      </c>
      <c r="P49" s="64" t="n">
        <f aca="false">IF(AND($M49&gt;0,ISNUMBER(MATCH($F49,Lists!$A$2:$A$5,0)),ISNUMBER(MATCH($G49,Lists!$B$2:$B$7,0)),OR($H49="",$N49&gt;0),OR($I49="",$I49="NR",$O49&gt;0),IF(ISNUMBER($J49),AND($J49&gt;=0,$J49=INT($J49)),FALSE())),$J49,0)</f>
        <v>1</v>
      </c>
      <c r="Q49" s="64" t="n">
        <f aca="false">IF(AND($P49&gt;0,$O49&gt;0),$P49,0)</f>
        <v>1</v>
      </c>
      <c r="R49" s="64" t="n">
        <f aca="false">IF(AND($Q49&gt;0,$O49&gt;=AtRank),$Q49,0)</f>
        <v>1</v>
      </c>
      <c r="S49" s="64" t="n">
        <f aca="false">IF(AND($Q49&gt;0,$O49&gt;=AboveRank),$Q49,0)</f>
        <v>0</v>
      </c>
      <c r="T49" s="64" t="n">
        <f aca="false">IF($K49="Less",$P49,0)</f>
        <v>0</v>
      </c>
      <c r="U49" s="64" t="n">
        <f aca="false">IF($K49="Expected",$P49,0)</f>
        <v>1</v>
      </c>
      <c r="V49" s="64" t="n">
        <f aca="false">IF($K49="Better",$P49,0)</f>
        <v>0</v>
      </c>
      <c r="W49" s="64" t="n">
        <f aca="false">IF($K49="U – needs rule",$P49,0)</f>
        <v>0</v>
      </c>
      <c r="X49" s="64" t="n">
        <f aca="false">IF($K49="No Start (attainment only)",$P49,0)</f>
        <v>0</v>
      </c>
    </row>
    <row r="50" customFormat="false" ht="15" hidden="false" customHeight="false" outlineLevel="0" collapsed="false">
      <c r="A50" s="60" t="s">
        <v>777</v>
      </c>
      <c r="B50" s="61" t="str">
        <f aca="false">IF($M50=0,"",INDEX(Classes!$E$6:$E$420,$M50))</f>
        <v>Arabic A</v>
      </c>
      <c r="C50" s="62" t="str">
        <f aca="false">IF($M50=0,"",INDEX(Classes!$H$6:$H$420,$M50))</f>
        <v>Mr Ayman Bobo</v>
      </c>
      <c r="D50" s="61" t="str">
        <f aca="false">IF($M50=0,"",INDEX(Classes!$B$6:$B$420,$M50))</f>
        <v>Year 10</v>
      </c>
      <c r="E50" s="61" t="str">
        <f aca="false">IF($M50=0,"",INDEX(Classes!$C$6:$C$420,$M50))</f>
        <v>ah</v>
      </c>
      <c r="F50" s="63" t="s">
        <v>107</v>
      </c>
      <c r="G50" s="63" t="s">
        <v>1015</v>
      </c>
      <c r="H50" s="60" t="s">
        <v>202</v>
      </c>
      <c r="I50" s="60" t="s">
        <v>1019</v>
      </c>
      <c r="J50" s="63" t="n">
        <v>1</v>
      </c>
      <c r="K50" s="61" t="str">
        <f aca="false">IF($P50=0,"",IF($F50="Baseline","— Baseline",IF($O50=0,"No result",IF($N50=0,"No Start (attainment only)",IF(OR($N50=1,$O50=1),"U – needs rule",INDEX(MxBody,MATCH($I50,MxCurr,0),MATCH($H50,MxStart,0)))))))</f>
        <v>No result</v>
      </c>
      <c r="L50" s="62" t="str">
        <f aca="false">IF(COUNTA($A50,$F50,$G50,$H50,$I50,$J50)=0,"",IF($M50=0,"✖ كود الصف غير موجود",IF(ISNA(MATCH($F50,Lists!$A$2:$A$5,0)),"✖ الفترة غير صحيحة",IF(ISNA(MATCH($G50,Lists!$B$2:$B$7,0)),"✖ المجموعة غير صحيحة",IF(NOT(OR($H50="",$N50&gt;0)),"✖ Start غير صحيح",IF(NOT(OR($I50="",$I50="NR",$O50&gt;0)),"✖ Current غير صحيح",IF(NOT(IF(ISNUMBER($J50),AND($J50&gt;=0,$J50=INT($J50)),FALSE())),"✖ العدد يجب أن يكون صحيحًا ≥ 0",IF(AND($F50="Baseline",$H50&lt;&gt;""),"⚠ Baseline: Start لا يدخل في التقدم",IF($K50="No Start (attainment only)","ℹ تحصيل فقط (بدون Start)",IF($K50="U – needs rule","ℹ حالة U تحتاج قاعدة معتمدة",IF($K50="No result","ℹ بدون نتيجة (يُستبعد من التحصيل)","OK")))))))))))</f>
        <v>ℹ بدون نتيجة (يُستبعد من التحصيل)</v>
      </c>
      <c r="M50" s="64" t="n">
        <f aca="false">IF($A50="",0,IFERROR(MATCH($A50,Classes!$A$6:$A$420,0),0))</f>
        <v>282</v>
      </c>
      <c r="N50" s="64" t="n">
        <f aca="false">IF($H50="",0,IFERROR(MATCH($H50,GradeList,0),0))</f>
        <v>7</v>
      </c>
      <c r="O50" s="64" t="n">
        <f aca="false">IF(OR($I50="",$I50="NR"),0,IFERROR(MATCH($I50,GradeList,0),0))</f>
        <v>0</v>
      </c>
      <c r="P50" s="64" t="n">
        <f aca="false">IF(AND($M50&gt;0,ISNUMBER(MATCH($F50,Lists!$A$2:$A$5,0)),ISNUMBER(MATCH($G50,Lists!$B$2:$B$7,0)),OR($H50="",$N50&gt;0),OR($I50="",$I50="NR",$O50&gt;0),IF(ISNUMBER($J50),AND($J50&gt;=0,$J50=INT($J50)),FALSE())),$J50,0)</f>
        <v>1</v>
      </c>
      <c r="Q50" s="64" t="n">
        <f aca="false">IF(AND($P50&gt;0,$O50&gt;0),$P50,0)</f>
        <v>0</v>
      </c>
      <c r="R50" s="64" t="n">
        <f aca="false">IF(AND($Q50&gt;0,$O50&gt;=AtRank),$Q50,0)</f>
        <v>0</v>
      </c>
      <c r="S50" s="64" t="n">
        <f aca="false">IF(AND($Q50&gt;0,$O50&gt;=AboveRank),$Q50,0)</f>
        <v>0</v>
      </c>
      <c r="T50" s="64" t="n">
        <f aca="false">IF($K50="Less",$P50,0)</f>
        <v>0</v>
      </c>
      <c r="U50" s="64" t="n">
        <f aca="false">IF($K50="Expected",$P50,0)</f>
        <v>0</v>
      </c>
      <c r="V50" s="64" t="n">
        <f aca="false">IF($K50="Better",$P50,0)</f>
        <v>0</v>
      </c>
      <c r="W50" s="64" t="n">
        <f aca="false">IF($K50="U – needs rule",$P50,0)</f>
        <v>0</v>
      </c>
      <c r="X50" s="64" t="n">
        <f aca="false">IF($K50="No Start (attainment only)",$P50,0)</f>
        <v>0</v>
      </c>
    </row>
    <row r="51" customFormat="false" ht="15" hidden="false" customHeight="false" outlineLevel="0" collapsed="false">
      <c r="A51" s="60" t="s">
        <v>777</v>
      </c>
      <c r="B51" s="61" t="str">
        <f aca="false">IF($M51=0,"",INDEX(Classes!$E$6:$E$420,$M51))</f>
        <v>Arabic A</v>
      </c>
      <c r="C51" s="62" t="str">
        <f aca="false">IF($M51=0,"",INDEX(Classes!$H$6:$H$420,$M51))</f>
        <v>Mr Ayman Bobo</v>
      </c>
      <c r="D51" s="61" t="str">
        <f aca="false">IF($M51=0,"",INDEX(Classes!$B$6:$B$420,$M51))</f>
        <v>Year 10</v>
      </c>
      <c r="E51" s="61" t="str">
        <f aca="false">IF($M51=0,"",INDEX(Classes!$C$6:$C$420,$M51))</f>
        <v>ah</v>
      </c>
      <c r="F51" s="63" t="s">
        <v>107</v>
      </c>
      <c r="G51" s="63" t="s">
        <v>1015</v>
      </c>
      <c r="H51" s="60" t="s">
        <v>203</v>
      </c>
      <c r="I51" s="60" t="s">
        <v>202</v>
      </c>
      <c r="J51" s="63" t="n">
        <v>1</v>
      </c>
      <c r="K51" s="61" t="str">
        <f aca="false">IF($P51=0,"",IF($F51="Baseline","— Baseline",IF($O51=0,"No result",IF($N51=0,"No Start (attainment only)",IF(OR($N51=1,$O51=1),"U – needs rule",INDEX(MxBody,MATCH($I51,MxCurr,0),MATCH($H51,MxStart,0)))))))</f>
        <v>Expected</v>
      </c>
      <c r="L51" s="62" t="str">
        <f aca="false">IF(COUNTA($A51,$F51,$G51,$H51,$I51,$J51)=0,"",IF($M51=0,"✖ كود الصف غير موجود",IF(ISNA(MATCH($F51,Lists!$A$2:$A$5,0)),"✖ الفترة غير صحيحة",IF(ISNA(MATCH($G51,Lists!$B$2:$B$7,0)),"✖ المجموعة غير صحيحة",IF(NOT(OR($H51="",$N51&gt;0)),"✖ Start غير صحيح",IF(NOT(OR($I51="",$I51="NR",$O51&gt;0)),"✖ Current غير صحيح",IF(NOT(IF(ISNUMBER($J51),AND($J51&gt;=0,$J51=INT($J51)),FALSE())),"✖ العدد يجب أن يكون صحيحًا ≥ 0",IF(AND($F51="Baseline",$H51&lt;&gt;""),"⚠ Baseline: Start لا يدخل في التقدم",IF($K51="No Start (attainment only)","ℹ تحصيل فقط (بدون Start)",IF($K51="U – needs rule","ℹ حالة U تحتاج قاعدة معتمدة",IF($K51="No result","ℹ بدون نتيجة (يُستبعد من التحصيل)","OK")))))))))))</f>
        <v>OK</v>
      </c>
      <c r="M51" s="64" t="n">
        <f aca="false">IF($A51="",0,IFERROR(MATCH($A51,Classes!$A$6:$A$420,0),0))</f>
        <v>282</v>
      </c>
      <c r="N51" s="64" t="n">
        <f aca="false">IF($H51="",0,IFERROR(MATCH($H51,GradeList,0),0))</f>
        <v>8</v>
      </c>
      <c r="O51" s="64" t="n">
        <f aca="false">IF(OR($I51="",$I51="NR"),0,IFERROR(MATCH($I51,GradeList,0),0))</f>
        <v>7</v>
      </c>
      <c r="P51" s="64" t="n">
        <f aca="false">IF(AND($M51&gt;0,ISNUMBER(MATCH($F51,Lists!$A$2:$A$5,0)),ISNUMBER(MATCH($G51,Lists!$B$2:$B$7,0)),OR($H51="",$N51&gt;0),OR($I51="",$I51="NR",$O51&gt;0),IF(ISNUMBER($J51),AND($J51&gt;=0,$J51=INT($J51)),FALSE())),$J51,0)</f>
        <v>1</v>
      </c>
      <c r="Q51" s="64" t="n">
        <f aca="false">IF(AND($P51&gt;0,$O51&gt;0),$P51,0)</f>
        <v>1</v>
      </c>
      <c r="R51" s="64" t="n">
        <f aca="false">IF(AND($Q51&gt;0,$O51&gt;=AtRank),$Q51,0)</f>
        <v>1</v>
      </c>
      <c r="S51" s="64" t="n">
        <f aca="false">IF(AND($Q51&gt;0,$O51&gt;=AboveRank),$Q51,0)</f>
        <v>1</v>
      </c>
      <c r="T51" s="64" t="n">
        <f aca="false">IF($K51="Less",$P51,0)</f>
        <v>0</v>
      </c>
      <c r="U51" s="64" t="n">
        <f aca="false">IF($K51="Expected",$P51,0)</f>
        <v>1</v>
      </c>
      <c r="V51" s="64" t="n">
        <f aca="false">IF($K51="Better",$P51,0)</f>
        <v>0</v>
      </c>
      <c r="W51" s="64" t="n">
        <f aca="false">IF($K51="U – needs rule",$P51,0)</f>
        <v>0</v>
      </c>
      <c r="X51" s="64" t="n">
        <f aca="false">IF($K51="No Start (attainment only)",$P51,0)</f>
        <v>0</v>
      </c>
    </row>
    <row r="52" customFormat="false" ht="15" hidden="false" customHeight="false" outlineLevel="0" collapsed="false">
      <c r="A52" s="60" t="s">
        <v>777</v>
      </c>
      <c r="B52" s="61" t="str">
        <f aca="false">IF($M52=0,"",INDEX(Classes!$E$6:$E$420,$M52))</f>
        <v>Arabic A</v>
      </c>
      <c r="C52" s="62" t="str">
        <f aca="false">IF($M52=0,"",INDEX(Classes!$H$6:$H$420,$M52))</f>
        <v>Mr Ayman Bobo</v>
      </c>
      <c r="D52" s="61" t="str">
        <f aca="false">IF($M52=0,"",INDEX(Classes!$B$6:$B$420,$M52))</f>
        <v>Year 10</v>
      </c>
      <c r="E52" s="61" t="str">
        <f aca="false">IF($M52=0,"",INDEX(Classes!$C$6:$C$420,$M52))</f>
        <v>ah</v>
      </c>
      <c r="F52" s="63" t="s">
        <v>107</v>
      </c>
      <c r="G52" s="63" t="s">
        <v>1015</v>
      </c>
      <c r="H52" s="60" t="s">
        <v>203</v>
      </c>
      <c r="I52" s="60" t="s">
        <v>204</v>
      </c>
      <c r="J52" s="63" t="n">
        <v>1</v>
      </c>
      <c r="K52" s="61" t="str">
        <f aca="false">IF($P52=0,"",IF($F52="Baseline","— Baseline",IF($O52=0,"No result",IF($N52=0,"No Start (attainment only)",IF(OR($N52=1,$O52=1),"U – needs rule",INDEX(MxBody,MATCH($I52,MxCurr,0),MATCH($H52,MxStart,0)))))))</f>
        <v>Better</v>
      </c>
      <c r="L52" s="62" t="str">
        <f aca="false">IF(COUNTA($A52,$F52,$G52,$H52,$I52,$J52)=0,"",IF($M52=0,"✖ كود الصف غير موجود",IF(ISNA(MATCH($F52,Lists!$A$2:$A$5,0)),"✖ الفترة غير صحيحة",IF(ISNA(MATCH($G52,Lists!$B$2:$B$7,0)),"✖ المجموعة غير صحيحة",IF(NOT(OR($H52="",$N52&gt;0)),"✖ Start غير صحيح",IF(NOT(OR($I52="",$I52="NR",$O52&gt;0)),"✖ Current غير صحيح",IF(NOT(IF(ISNUMBER($J52),AND($J52&gt;=0,$J52=INT($J52)),FALSE())),"✖ العدد يجب أن يكون صحيحًا ≥ 0",IF(AND($F52="Baseline",$H52&lt;&gt;""),"⚠ Baseline: Start لا يدخل في التقدم",IF($K52="No Start (attainment only)","ℹ تحصيل فقط (بدون Start)",IF($K52="U – needs rule","ℹ حالة U تحتاج قاعدة معتمدة",IF($K52="No result","ℹ بدون نتيجة (يُستبعد من التحصيل)","OK")))))))))))</f>
        <v>OK</v>
      </c>
      <c r="M52" s="64" t="n">
        <f aca="false">IF($A52="",0,IFERROR(MATCH($A52,Classes!$A$6:$A$420,0),0))</f>
        <v>282</v>
      </c>
      <c r="N52" s="64" t="n">
        <f aca="false">IF($H52="",0,IFERROR(MATCH($H52,GradeList,0),0))</f>
        <v>8</v>
      </c>
      <c r="O52" s="64" t="n">
        <f aca="false">IF(OR($I52="",$I52="NR"),0,IFERROR(MATCH($I52,GradeList,0),0))</f>
        <v>9</v>
      </c>
      <c r="P52" s="64" t="n">
        <f aca="false">IF(AND($M52&gt;0,ISNUMBER(MATCH($F52,Lists!$A$2:$A$5,0)),ISNUMBER(MATCH($G52,Lists!$B$2:$B$7,0)),OR($H52="",$N52&gt;0),OR($I52="",$I52="NR",$O52&gt;0),IF(ISNUMBER($J52),AND($J52&gt;=0,$J52=INT($J52)),FALSE())),$J52,0)</f>
        <v>1</v>
      </c>
      <c r="Q52" s="64" t="n">
        <f aca="false">IF(AND($P52&gt;0,$O52&gt;0),$P52,0)</f>
        <v>1</v>
      </c>
      <c r="R52" s="64" t="n">
        <f aca="false">IF(AND($Q52&gt;0,$O52&gt;=AtRank),$Q52,0)</f>
        <v>1</v>
      </c>
      <c r="S52" s="64" t="n">
        <f aca="false">IF(AND($Q52&gt;0,$O52&gt;=AboveRank),$Q52,0)</f>
        <v>1</v>
      </c>
      <c r="T52" s="64" t="n">
        <f aca="false">IF($K52="Less",$P52,0)</f>
        <v>0</v>
      </c>
      <c r="U52" s="64" t="n">
        <f aca="false">IF($K52="Expected",$P52,0)</f>
        <v>0</v>
      </c>
      <c r="V52" s="64" t="n">
        <f aca="false">IF($K52="Better",$P52,0)</f>
        <v>1</v>
      </c>
      <c r="W52" s="64" t="n">
        <f aca="false">IF($K52="U – needs rule",$P52,0)</f>
        <v>0</v>
      </c>
      <c r="X52" s="64" t="n">
        <f aca="false">IF($K52="No Start (attainment only)",$P52,0)</f>
        <v>0</v>
      </c>
    </row>
    <row r="53" customFormat="false" ht="15" hidden="false" customHeight="false" outlineLevel="0" collapsed="false">
      <c r="A53" s="60" t="s">
        <v>777</v>
      </c>
      <c r="B53" s="61" t="str">
        <f aca="false">IF($M53=0,"",INDEX(Classes!$E$6:$E$420,$M53))</f>
        <v>Arabic A</v>
      </c>
      <c r="C53" s="62" t="str">
        <f aca="false">IF($M53=0,"",INDEX(Classes!$H$6:$H$420,$M53))</f>
        <v>Mr Ayman Bobo</v>
      </c>
      <c r="D53" s="61" t="str">
        <f aca="false">IF($M53=0,"",INDEX(Classes!$B$6:$B$420,$M53))</f>
        <v>Year 10</v>
      </c>
      <c r="E53" s="61" t="str">
        <f aca="false">IF($M53=0,"",INDEX(Classes!$C$6:$C$420,$M53))</f>
        <v>ah</v>
      </c>
      <c r="F53" s="63" t="s">
        <v>107</v>
      </c>
      <c r="G53" s="63" t="s">
        <v>1015</v>
      </c>
      <c r="H53" s="60" t="s">
        <v>200</v>
      </c>
      <c r="I53" s="60" t="s">
        <v>201</v>
      </c>
      <c r="J53" s="63" t="n">
        <v>1</v>
      </c>
      <c r="K53" s="61" t="str">
        <f aca="false">IF($P53=0,"",IF($F53="Baseline","— Baseline",IF($O53=0,"No result",IF($N53=0,"No Start (attainment only)",IF(OR($N53=1,$O53=1),"U – needs rule",INDEX(MxBody,MATCH($I53,MxCurr,0),MATCH($H53,MxStart,0)))))))</f>
        <v>Better</v>
      </c>
      <c r="L53" s="62" t="str">
        <f aca="false">IF(COUNTA($A53,$F53,$G53,$H53,$I53,$J53)=0,"",IF($M53=0,"✖ كود الصف غير موجود",IF(ISNA(MATCH($F53,Lists!$A$2:$A$5,0)),"✖ الفترة غير صحيحة",IF(ISNA(MATCH($G53,Lists!$B$2:$B$7,0)),"✖ المجموعة غير صحيحة",IF(NOT(OR($H53="",$N53&gt;0)),"✖ Start غير صحيح",IF(NOT(OR($I53="",$I53="NR",$O53&gt;0)),"✖ Current غير صحيح",IF(NOT(IF(ISNUMBER($J53),AND($J53&gt;=0,$J53=INT($J53)),FALSE())),"✖ العدد يجب أن يكون صحيحًا ≥ 0",IF(AND($F53="Baseline",$H53&lt;&gt;""),"⚠ Baseline: Start لا يدخل في التقدم",IF($K53="No Start (attainment only)","ℹ تحصيل فقط (بدون Start)",IF($K53="U – needs rule","ℹ حالة U تحتاج قاعدة معتمدة",IF($K53="No result","ℹ بدون نتيجة (يُستبعد من التحصيل)","OK")))))))))))</f>
        <v>OK</v>
      </c>
      <c r="M53" s="64" t="n">
        <f aca="false">IF($A53="",0,IFERROR(MATCH($A53,Classes!$A$6:$A$420,0),0))</f>
        <v>282</v>
      </c>
      <c r="N53" s="64" t="n">
        <f aca="false">IF($H53="",0,IFERROR(MATCH($H53,GradeList,0),0))</f>
        <v>5</v>
      </c>
      <c r="O53" s="64" t="n">
        <f aca="false">IF(OR($I53="",$I53="NR"),0,IFERROR(MATCH($I53,GradeList,0),0))</f>
        <v>6</v>
      </c>
      <c r="P53" s="64" t="n">
        <f aca="false">IF(AND($M53&gt;0,ISNUMBER(MATCH($F53,Lists!$A$2:$A$5,0)),ISNUMBER(MATCH($G53,Lists!$B$2:$B$7,0)),OR($H53="",$N53&gt;0),OR($I53="",$I53="NR",$O53&gt;0),IF(ISNUMBER($J53),AND($J53&gt;=0,$J53=INT($J53)),FALSE())),$J53,0)</f>
        <v>1</v>
      </c>
      <c r="Q53" s="64" t="n">
        <f aca="false">IF(AND($P53&gt;0,$O53&gt;0),$P53,0)</f>
        <v>1</v>
      </c>
      <c r="R53" s="64" t="n">
        <f aca="false">IF(AND($Q53&gt;0,$O53&gt;=AtRank),$Q53,0)</f>
        <v>1</v>
      </c>
      <c r="S53" s="64" t="n">
        <f aca="false">IF(AND($Q53&gt;0,$O53&gt;=AboveRank),$Q53,0)</f>
        <v>0</v>
      </c>
      <c r="T53" s="64" t="n">
        <f aca="false">IF($K53="Less",$P53,0)</f>
        <v>0</v>
      </c>
      <c r="U53" s="64" t="n">
        <f aca="false">IF($K53="Expected",$P53,0)</f>
        <v>0</v>
      </c>
      <c r="V53" s="64" t="n">
        <f aca="false">IF($K53="Better",$P53,0)</f>
        <v>1</v>
      </c>
      <c r="W53" s="64" t="n">
        <f aca="false">IF($K53="U – needs rule",$P53,0)</f>
        <v>0</v>
      </c>
      <c r="X53" s="64" t="n">
        <f aca="false">IF($K53="No Start (attainment only)",$P53,0)</f>
        <v>0</v>
      </c>
    </row>
    <row r="54" customFormat="false" ht="15" hidden="false" customHeight="false" outlineLevel="0" collapsed="false">
      <c r="A54" s="60" t="s">
        <v>777</v>
      </c>
      <c r="B54" s="61" t="str">
        <f aca="false">IF($M54=0,"",INDEX(Classes!$E$6:$E$420,$M54))</f>
        <v>Arabic A</v>
      </c>
      <c r="C54" s="62" t="str">
        <f aca="false">IF($M54=0,"",INDEX(Classes!$H$6:$H$420,$M54))</f>
        <v>Mr Ayman Bobo</v>
      </c>
      <c r="D54" s="61" t="str">
        <f aca="false">IF($M54=0,"",INDEX(Classes!$B$6:$B$420,$M54))</f>
        <v>Year 10</v>
      </c>
      <c r="E54" s="61" t="str">
        <f aca="false">IF($M54=0,"",INDEX(Classes!$C$6:$C$420,$M54))</f>
        <v>ah</v>
      </c>
      <c r="F54" s="63" t="s">
        <v>107</v>
      </c>
      <c r="G54" s="63" t="s">
        <v>1015</v>
      </c>
      <c r="H54" s="60" t="s">
        <v>200</v>
      </c>
      <c r="I54" s="60" t="s">
        <v>196</v>
      </c>
      <c r="J54" s="63" t="n">
        <v>1</v>
      </c>
      <c r="K54" s="61" t="str">
        <f aca="false">IF($P54=0,"",IF($F54="Baseline","— Baseline",IF($O54=0,"No result",IF($N54=0,"No Start (attainment only)",IF(OR($N54=1,$O54=1),"U – needs rule",INDEX(MxBody,MATCH($I54,MxCurr,0),MATCH($H54,MxStart,0)))))))</f>
        <v>U – needs rule</v>
      </c>
      <c r="L54" s="62" t="str">
        <f aca="false">IF(COUNTA($A54,$F54,$G54,$H54,$I54,$J54)=0,"",IF($M54=0,"✖ كود الصف غير موجود",IF(ISNA(MATCH($F54,Lists!$A$2:$A$5,0)),"✖ الفترة غير صحيحة",IF(ISNA(MATCH($G54,Lists!$B$2:$B$7,0)),"✖ المجموعة غير صحيحة",IF(NOT(OR($H54="",$N54&gt;0)),"✖ Start غير صحيح",IF(NOT(OR($I54="",$I54="NR",$O54&gt;0)),"✖ Current غير صحيح",IF(NOT(IF(ISNUMBER($J54),AND($J54&gt;=0,$J54=INT($J54)),FALSE())),"✖ العدد يجب أن يكون صحيحًا ≥ 0",IF(AND($F54="Baseline",$H54&lt;&gt;""),"⚠ Baseline: Start لا يدخل في التقدم",IF($K54="No Start (attainment only)","ℹ تحصيل فقط (بدون Start)",IF($K54="U – needs rule","ℹ حالة U تحتاج قاعدة معتمدة",IF($K54="No result","ℹ بدون نتيجة (يُستبعد من التحصيل)","OK")))))))))))</f>
        <v>ℹ حالة U تحتاج قاعدة معتمدة</v>
      </c>
      <c r="M54" s="64" t="n">
        <f aca="false">IF($A54="",0,IFERROR(MATCH($A54,Classes!$A$6:$A$420,0),0))</f>
        <v>282</v>
      </c>
      <c r="N54" s="64" t="n">
        <f aca="false">IF($H54="",0,IFERROR(MATCH($H54,GradeList,0),0))</f>
        <v>5</v>
      </c>
      <c r="O54" s="64" t="n">
        <f aca="false">IF(OR($I54="",$I54="NR"),0,IFERROR(MATCH($I54,GradeList,0),0))</f>
        <v>1</v>
      </c>
      <c r="P54" s="64" t="n">
        <f aca="false">IF(AND($M54&gt;0,ISNUMBER(MATCH($F54,Lists!$A$2:$A$5,0)),ISNUMBER(MATCH($G54,Lists!$B$2:$B$7,0)),OR($H54="",$N54&gt;0),OR($I54="",$I54="NR",$O54&gt;0),IF(ISNUMBER($J54),AND($J54&gt;=0,$J54=INT($J54)),FALSE())),$J54,0)</f>
        <v>1</v>
      </c>
      <c r="Q54" s="64" t="n">
        <f aca="false">IF(AND($P54&gt;0,$O54&gt;0),$P54,0)</f>
        <v>1</v>
      </c>
      <c r="R54" s="64" t="n">
        <f aca="false">IF(AND($Q54&gt;0,$O54&gt;=AtRank),$Q54,0)</f>
        <v>0</v>
      </c>
      <c r="S54" s="64" t="n">
        <f aca="false">IF(AND($Q54&gt;0,$O54&gt;=AboveRank),$Q54,0)</f>
        <v>0</v>
      </c>
      <c r="T54" s="64" t="n">
        <f aca="false">IF($K54="Less",$P54,0)</f>
        <v>0</v>
      </c>
      <c r="U54" s="64" t="n">
        <f aca="false">IF($K54="Expected",$P54,0)</f>
        <v>0</v>
      </c>
      <c r="V54" s="64" t="n">
        <f aca="false">IF($K54="Better",$P54,0)</f>
        <v>0</v>
      </c>
      <c r="W54" s="64" t="n">
        <f aca="false">IF($K54="U – needs rule",$P54,0)</f>
        <v>1</v>
      </c>
      <c r="X54" s="64" t="n">
        <f aca="false">IF($K54="No Start (attainment only)",$P54,0)</f>
        <v>0</v>
      </c>
    </row>
    <row r="55" customFormat="false" ht="15" hidden="false" customHeight="false" outlineLevel="0" collapsed="false">
      <c r="A55" s="60" t="s">
        <v>777</v>
      </c>
      <c r="B55" s="61" t="str">
        <f aca="false">IF($M55=0,"",INDEX(Classes!$E$6:$E$420,$M55))</f>
        <v>Arabic A</v>
      </c>
      <c r="C55" s="62" t="str">
        <f aca="false">IF($M55=0,"",INDEX(Classes!$H$6:$H$420,$M55))</f>
        <v>Mr Ayman Bobo</v>
      </c>
      <c r="D55" s="61" t="str">
        <f aca="false">IF($M55=0,"",INDEX(Classes!$B$6:$B$420,$M55))</f>
        <v>Year 10</v>
      </c>
      <c r="E55" s="61" t="str">
        <f aca="false">IF($M55=0,"",INDEX(Classes!$C$6:$C$420,$M55))</f>
        <v>ah</v>
      </c>
      <c r="F55" s="63" t="s">
        <v>107</v>
      </c>
      <c r="G55" s="63" t="s">
        <v>1015</v>
      </c>
      <c r="H55" s="60" t="s">
        <v>204</v>
      </c>
      <c r="I55" s="60" t="s">
        <v>205</v>
      </c>
      <c r="J55" s="63" t="n">
        <v>2</v>
      </c>
      <c r="K55" s="61" t="str">
        <f aca="false">IF($P55=0,"",IF($F55="Baseline","— Baseline",IF($O55=0,"No result",IF($N55=0,"No Start (attainment only)",IF(OR($N55=1,$O55=1),"U – needs rule",INDEX(MxBody,MATCH($I55,MxCurr,0),MATCH($H55,MxStart,0)))))))</f>
        <v>Better</v>
      </c>
      <c r="L55" s="62" t="str">
        <f aca="false">IF(COUNTA($A55,$F55,$G55,$H55,$I55,$J55)=0,"",IF($M55=0,"✖ كود الصف غير موجود",IF(ISNA(MATCH($F55,Lists!$A$2:$A$5,0)),"✖ الفترة غير صحيحة",IF(ISNA(MATCH($G55,Lists!$B$2:$B$7,0)),"✖ المجموعة غير صحيحة",IF(NOT(OR($H55="",$N55&gt;0)),"✖ Start غير صحيح",IF(NOT(OR($I55="",$I55="NR",$O55&gt;0)),"✖ Current غير صحيح",IF(NOT(IF(ISNUMBER($J55),AND($J55&gt;=0,$J55=INT($J55)),FALSE())),"✖ العدد يجب أن يكون صحيحًا ≥ 0",IF(AND($F55="Baseline",$H55&lt;&gt;""),"⚠ Baseline: Start لا يدخل في التقدم",IF($K55="No Start (attainment only)","ℹ تحصيل فقط (بدون Start)",IF($K55="U – needs rule","ℹ حالة U تحتاج قاعدة معتمدة",IF($K55="No result","ℹ بدون نتيجة (يُستبعد من التحصيل)","OK")))))))))))</f>
        <v>OK</v>
      </c>
      <c r="M55" s="64" t="n">
        <f aca="false">IF($A55="",0,IFERROR(MATCH($A55,Classes!$A$6:$A$420,0),0))</f>
        <v>282</v>
      </c>
      <c r="N55" s="64" t="n">
        <f aca="false">IF($H55="",0,IFERROR(MATCH($H55,GradeList,0),0))</f>
        <v>9</v>
      </c>
      <c r="O55" s="64" t="n">
        <f aca="false">IF(OR($I55="",$I55="NR"),0,IFERROR(MATCH($I55,GradeList,0),0))</f>
        <v>10</v>
      </c>
      <c r="P55" s="64" t="n">
        <f aca="false">IF(AND($M55&gt;0,ISNUMBER(MATCH($F55,Lists!$A$2:$A$5,0)),ISNUMBER(MATCH($G55,Lists!$B$2:$B$7,0)),OR($H55="",$N55&gt;0),OR($I55="",$I55="NR",$O55&gt;0),IF(ISNUMBER($J55),AND($J55&gt;=0,$J55=INT($J55)),FALSE())),$J55,0)</f>
        <v>2</v>
      </c>
      <c r="Q55" s="64" t="n">
        <f aca="false">IF(AND($P55&gt;0,$O55&gt;0),$P55,0)</f>
        <v>2</v>
      </c>
      <c r="R55" s="64" t="n">
        <f aca="false">IF(AND($Q55&gt;0,$O55&gt;=AtRank),$Q55,0)</f>
        <v>2</v>
      </c>
      <c r="S55" s="64" t="n">
        <f aca="false">IF(AND($Q55&gt;0,$O55&gt;=AboveRank),$Q55,0)</f>
        <v>2</v>
      </c>
      <c r="T55" s="64" t="n">
        <f aca="false">IF($K55="Less",$P55,0)</f>
        <v>0</v>
      </c>
      <c r="U55" s="64" t="n">
        <f aca="false">IF($K55="Expected",$P55,0)</f>
        <v>0</v>
      </c>
      <c r="V55" s="64" t="n">
        <f aca="false">IF($K55="Better",$P55,0)</f>
        <v>2</v>
      </c>
      <c r="W55" s="64" t="n">
        <f aca="false">IF($K55="U – needs rule",$P55,0)</f>
        <v>0</v>
      </c>
      <c r="X55" s="64" t="n">
        <f aca="false">IF($K55="No Start (attainment only)",$P55,0)</f>
        <v>0</v>
      </c>
    </row>
    <row r="56" customFormat="false" ht="15" hidden="false" customHeight="false" outlineLevel="0" collapsed="false">
      <c r="A56" s="60" t="s">
        <v>777</v>
      </c>
      <c r="B56" s="61" t="str">
        <f aca="false">IF($M56=0,"",INDEX(Classes!$E$6:$E$420,$M56))</f>
        <v>Arabic A</v>
      </c>
      <c r="C56" s="62" t="str">
        <f aca="false">IF($M56=0,"",INDEX(Classes!$H$6:$H$420,$M56))</f>
        <v>Mr Ayman Bobo</v>
      </c>
      <c r="D56" s="61" t="str">
        <f aca="false">IF($M56=0,"",INDEX(Classes!$B$6:$B$420,$M56))</f>
        <v>Year 10</v>
      </c>
      <c r="E56" s="61" t="str">
        <f aca="false">IF($M56=0,"",INDEX(Classes!$C$6:$C$420,$M56))</f>
        <v>ah</v>
      </c>
      <c r="F56" s="63" t="s">
        <v>107</v>
      </c>
      <c r="G56" s="63" t="s">
        <v>1015</v>
      </c>
      <c r="H56" s="60" t="s">
        <v>205</v>
      </c>
      <c r="I56" s="60" t="s">
        <v>205</v>
      </c>
      <c r="J56" s="63" t="n">
        <v>1</v>
      </c>
      <c r="K56" s="61" t="str">
        <f aca="false">IF($P56=0,"",IF($F56="Baseline","— Baseline",IF($O56=0,"No result",IF($N56=0,"No Start (attainment only)",IF(OR($N56=1,$O56=1),"U – needs rule",INDEX(MxBody,MATCH($I56,MxCurr,0),MATCH($H56,MxStart,0)))))))</f>
        <v>Better</v>
      </c>
      <c r="L56" s="62" t="str">
        <f aca="false">IF(COUNTA($A56,$F56,$G56,$H56,$I56,$J56)=0,"",IF($M56=0,"✖ كود الصف غير موجود",IF(ISNA(MATCH($F56,Lists!$A$2:$A$5,0)),"✖ الفترة غير صحيحة",IF(ISNA(MATCH($G56,Lists!$B$2:$B$7,0)),"✖ المجموعة غير صحيحة",IF(NOT(OR($H56="",$N56&gt;0)),"✖ Start غير صحيح",IF(NOT(OR($I56="",$I56="NR",$O56&gt;0)),"✖ Current غير صحيح",IF(NOT(IF(ISNUMBER($J56),AND($J56&gt;=0,$J56=INT($J56)),FALSE())),"✖ العدد يجب أن يكون صحيحًا ≥ 0",IF(AND($F56="Baseline",$H56&lt;&gt;""),"⚠ Baseline: Start لا يدخل في التقدم",IF($K56="No Start (attainment only)","ℹ تحصيل فقط (بدون Start)",IF($K56="U – needs rule","ℹ حالة U تحتاج قاعدة معتمدة",IF($K56="No result","ℹ بدون نتيجة (يُستبعد من التحصيل)","OK")))))))))))</f>
        <v>OK</v>
      </c>
      <c r="M56" s="64" t="n">
        <f aca="false">IF($A56="",0,IFERROR(MATCH($A56,Classes!$A$6:$A$420,0),0))</f>
        <v>282</v>
      </c>
      <c r="N56" s="64" t="n">
        <f aca="false">IF($H56="",0,IFERROR(MATCH($H56,GradeList,0),0))</f>
        <v>10</v>
      </c>
      <c r="O56" s="64" t="n">
        <f aca="false">IF(OR($I56="",$I56="NR"),0,IFERROR(MATCH($I56,GradeList,0),0))</f>
        <v>10</v>
      </c>
      <c r="P56" s="64" t="n">
        <f aca="false">IF(AND($M56&gt;0,ISNUMBER(MATCH($F56,Lists!$A$2:$A$5,0)),ISNUMBER(MATCH($G56,Lists!$B$2:$B$7,0)),OR($H56="",$N56&gt;0),OR($I56="",$I56="NR",$O56&gt;0),IF(ISNUMBER($J56),AND($J56&gt;=0,$J56=INT($J56)),FALSE())),$J56,0)</f>
        <v>1</v>
      </c>
      <c r="Q56" s="64" t="n">
        <f aca="false">IF(AND($P56&gt;0,$O56&gt;0),$P56,0)</f>
        <v>1</v>
      </c>
      <c r="R56" s="64" t="n">
        <f aca="false">IF(AND($Q56&gt;0,$O56&gt;=AtRank),$Q56,0)</f>
        <v>1</v>
      </c>
      <c r="S56" s="64" t="n">
        <f aca="false">IF(AND($Q56&gt;0,$O56&gt;=AboveRank),$Q56,0)</f>
        <v>1</v>
      </c>
      <c r="T56" s="64" t="n">
        <f aca="false">IF($K56="Less",$P56,0)</f>
        <v>0</v>
      </c>
      <c r="U56" s="64" t="n">
        <f aca="false">IF($K56="Expected",$P56,0)</f>
        <v>0</v>
      </c>
      <c r="V56" s="64" t="n">
        <f aca="false">IF($K56="Better",$P56,0)</f>
        <v>1</v>
      </c>
      <c r="W56" s="64" t="n">
        <f aca="false">IF($K56="U – needs rule",$P56,0)</f>
        <v>0</v>
      </c>
      <c r="X56" s="64" t="n">
        <f aca="false">IF($K56="No Start (attainment only)",$P56,0)</f>
        <v>0</v>
      </c>
    </row>
    <row r="57" customFormat="false" ht="15" hidden="false" customHeight="false" outlineLevel="0" collapsed="false">
      <c r="A57" s="60" t="s">
        <v>777</v>
      </c>
      <c r="B57" s="61" t="str">
        <f aca="false">IF($M57=0,"",INDEX(Classes!$E$6:$E$420,$M57))</f>
        <v>Arabic A</v>
      </c>
      <c r="C57" s="62" t="str">
        <f aca="false">IF($M57=0,"",INDEX(Classes!$H$6:$H$420,$M57))</f>
        <v>Mr Ayman Bobo</v>
      </c>
      <c r="D57" s="61" t="str">
        <f aca="false">IF($M57=0,"",INDEX(Classes!$B$6:$B$420,$M57))</f>
        <v>Year 10</v>
      </c>
      <c r="E57" s="61" t="str">
        <f aca="false">IF($M57=0,"",INDEX(Classes!$C$6:$C$420,$M57))</f>
        <v>ah</v>
      </c>
      <c r="F57" s="63" t="s">
        <v>107</v>
      </c>
      <c r="G57" s="63" t="s">
        <v>1016</v>
      </c>
      <c r="H57" s="60" t="s">
        <v>202</v>
      </c>
      <c r="I57" s="60" t="s">
        <v>202</v>
      </c>
      <c r="J57" s="63" t="n">
        <v>1</v>
      </c>
      <c r="K57" s="61" t="str">
        <f aca="false">IF($P57=0,"",IF($F57="Baseline","— Baseline",IF($O57=0,"No result",IF($N57=0,"No Start (attainment only)",IF(OR($N57=1,$O57=1),"U – needs rule",INDEX(MxBody,MATCH($I57,MxCurr,0),MATCH($H57,MxStart,0)))))))</f>
        <v>Better</v>
      </c>
      <c r="L57" s="62" t="str">
        <f aca="false">IF(COUNTA($A57,$F57,$G57,$H57,$I57,$J57)=0,"",IF($M57=0,"✖ كود الصف غير موجود",IF(ISNA(MATCH($F57,Lists!$A$2:$A$5,0)),"✖ الفترة غير صحيحة",IF(ISNA(MATCH($G57,Lists!$B$2:$B$7,0)),"✖ المجموعة غير صحيحة",IF(NOT(OR($H57="",$N57&gt;0)),"✖ Start غير صحيح",IF(NOT(OR($I57="",$I57="NR",$O57&gt;0)),"✖ Current غير صحيح",IF(NOT(IF(ISNUMBER($J57),AND($J57&gt;=0,$J57=INT($J57)),FALSE())),"✖ العدد يجب أن يكون صحيحًا ≥ 0",IF(AND($F57="Baseline",$H57&lt;&gt;""),"⚠ Baseline: Start لا يدخل في التقدم",IF($K57="No Start (attainment only)","ℹ تحصيل فقط (بدون Start)",IF($K57="U – needs rule","ℹ حالة U تحتاج قاعدة معتمدة",IF($K57="No result","ℹ بدون نتيجة (يُستبعد من التحصيل)","OK")))))))))))</f>
        <v>OK</v>
      </c>
      <c r="M57" s="64" t="n">
        <f aca="false">IF($A57="",0,IFERROR(MATCH($A57,Classes!$A$6:$A$420,0),0))</f>
        <v>282</v>
      </c>
      <c r="N57" s="64" t="n">
        <f aca="false">IF($H57="",0,IFERROR(MATCH($H57,GradeList,0),0))</f>
        <v>7</v>
      </c>
      <c r="O57" s="64" t="n">
        <f aca="false">IF(OR($I57="",$I57="NR"),0,IFERROR(MATCH($I57,GradeList,0),0))</f>
        <v>7</v>
      </c>
      <c r="P57" s="64" t="n">
        <f aca="false">IF(AND($M57&gt;0,ISNUMBER(MATCH($F57,Lists!$A$2:$A$5,0)),ISNUMBER(MATCH($G57,Lists!$B$2:$B$7,0)),OR($H57="",$N57&gt;0),OR($I57="",$I57="NR",$O57&gt;0),IF(ISNUMBER($J57),AND($J57&gt;=0,$J57=INT($J57)),FALSE())),$J57,0)</f>
        <v>1</v>
      </c>
      <c r="Q57" s="64" t="n">
        <f aca="false">IF(AND($P57&gt;0,$O57&gt;0),$P57,0)</f>
        <v>1</v>
      </c>
      <c r="R57" s="64" t="n">
        <f aca="false">IF(AND($Q57&gt;0,$O57&gt;=AtRank),$Q57,0)</f>
        <v>1</v>
      </c>
      <c r="S57" s="64" t="n">
        <f aca="false">IF(AND($Q57&gt;0,$O57&gt;=AboveRank),$Q57,0)</f>
        <v>1</v>
      </c>
      <c r="T57" s="64" t="n">
        <f aca="false">IF($K57="Less",$P57,0)</f>
        <v>0</v>
      </c>
      <c r="U57" s="64" t="n">
        <f aca="false">IF($K57="Expected",$P57,0)</f>
        <v>0</v>
      </c>
      <c r="V57" s="64" t="n">
        <f aca="false">IF($K57="Better",$P57,0)</f>
        <v>1</v>
      </c>
      <c r="W57" s="64" t="n">
        <f aca="false">IF($K57="U – needs rule",$P57,0)</f>
        <v>0</v>
      </c>
      <c r="X57" s="64" t="n">
        <f aca="false">IF($K57="No Start (attainment only)",$P57,0)</f>
        <v>0</v>
      </c>
    </row>
    <row r="58" customFormat="false" ht="15" hidden="false" customHeight="false" outlineLevel="0" collapsed="false">
      <c r="A58" s="60" t="s">
        <v>777</v>
      </c>
      <c r="B58" s="61" t="str">
        <f aca="false">IF($M58=0,"",INDEX(Classes!$E$6:$E$420,$M58))</f>
        <v>Arabic A</v>
      </c>
      <c r="C58" s="62" t="str">
        <f aca="false">IF($M58=0,"",INDEX(Classes!$H$6:$H$420,$M58))</f>
        <v>Mr Ayman Bobo</v>
      </c>
      <c r="D58" s="61" t="str">
        <f aca="false">IF($M58=0,"",INDEX(Classes!$B$6:$B$420,$M58))</f>
        <v>Year 10</v>
      </c>
      <c r="E58" s="61" t="str">
        <f aca="false">IF($M58=0,"",INDEX(Classes!$C$6:$C$420,$M58))</f>
        <v>ah</v>
      </c>
      <c r="F58" s="63" t="s">
        <v>107</v>
      </c>
      <c r="G58" s="63" t="s">
        <v>1016</v>
      </c>
      <c r="H58" s="60" t="s">
        <v>202</v>
      </c>
      <c r="I58" s="60" t="s">
        <v>203</v>
      </c>
      <c r="J58" s="63" t="n">
        <v>1</v>
      </c>
      <c r="K58" s="61" t="str">
        <f aca="false">IF($P58=0,"",IF($F58="Baseline","— Baseline",IF($O58=0,"No result",IF($N58=0,"No Start (attainment only)",IF(OR($N58=1,$O58=1),"U – needs rule",INDEX(MxBody,MATCH($I58,MxCurr,0),MATCH($H58,MxStart,0)))))))</f>
        <v>Better</v>
      </c>
      <c r="L58" s="62" t="str">
        <f aca="false">IF(COUNTA($A58,$F58,$G58,$H58,$I58,$J58)=0,"",IF($M58=0,"✖ كود الصف غير موجود",IF(ISNA(MATCH($F58,Lists!$A$2:$A$5,0)),"✖ الفترة غير صحيحة",IF(ISNA(MATCH($G58,Lists!$B$2:$B$7,0)),"✖ المجموعة غير صحيحة",IF(NOT(OR($H58="",$N58&gt;0)),"✖ Start غير صحيح",IF(NOT(OR($I58="",$I58="NR",$O58&gt;0)),"✖ Current غير صحيح",IF(NOT(IF(ISNUMBER($J58),AND($J58&gt;=0,$J58=INT($J58)),FALSE())),"✖ العدد يجب أن يكون صحيحًا ≥ 0",IF(AND($F58="Baseline",$H58&lt;&gt;""),"⚠ Baseline: Start لا يدخل في التقدم",IF($K58="No Start (attainment only)","ℹ تحصيل فقط (بدون Start)",IF($K58="U – needs rule","ℹ حالة U تحتاج قاعدة معتمدة",IF($K58="No result","ℹ بدون نتيجة (يُستبعد من التحصيل)","OK")))))))))))</f>
        <v>OK</v>
      </c>
      <c r="M58" s="64" t="n">
        <f aca="false">IF($A58="",0,IFERROR(MATCH($A58,Classes!$A$6:$A$420,0),0))</f>
        <v>282</v>
      </c>
      <c r="N58" s="64" t="n">
        <f aca="false">IF($H58="",0,IFERROR(MATCH($H58,GradeList,0),0))</f>
        <v>7</v>
      </c>
      <c r="O58" s="64" t="n">
        <f aca="false">IF(OR($I58="",$I58="NR"),0,IFERROR(MATCH($I58,GradeList,0),0))</f>
        <v>8</v>
      </c>
      <c r="P58" s="64" t="n">
        <f aca="false">IF(AND($M58&gt;0,ISNUMBER(MATCH($F58,Lists!$A$2:$A$5,0)),ISNUMBER(MATCH($G58,Lists!$B$2:$B$7,0)),OR($H58="",$N58&gt;0),OR($I58="",$I58="NR",$O58&gt;0),IF(ISNUMBER($J58),AND($J58&gt;=0,$J58=INT($J58)),FALSE())),$J58,0)</f>
        <v>1</v>
      </c>
      <c r="Q58" s="64" t="n">
        <f aca="false">IF(AND($P58&gt;0,$O58&gt;0),$P58,0)</f>
        <v>1</v>
      </c>
      <c r="R58" s="64" t="n">
        <f aca="false">IF(AND($Q58&gt;0,$O58&gt;=AtRank),$Q58,0)</f>
        <v>1</v>
      </c>
      <c r="S58" s="64" t="n">
        <f aca="false">IF(AND($Q58&gt;0,$O58&gt;=AboveRank),$Q58,0)</f>
        <v>1</v>
      </c>
      <c r="T58" s="64" t="n">
        <f aca="false">IF($K58="Less",$P58,0)</f>
        <v>0</v>
      </c>
      <c r="U58" s="64" t="n">
        <f aca="false">IF($K58="Expected",$P58,0)</f>
        <v>0</v>
      </c>
      <c r="V58" s="64" t="n">
        <f aca="false">IF($K58="Better",$P58,0)</f>
        <v>1</v>
      </c>
      <c r="W58" s="64" t="n">
        <f aca="false">IF($K58="U – needs rule",$P58,0)</f>
        <v>0</v>
      </c>
      <c r="X58" s="64" t="n">
        <f aca="false">IF($K58="No Start (attainment only)",$P58,0)</f>
        <v>0</v>
      </c>
    </row>
    <row r="59" customFormat="false" ht="15" hidden="false" customHeight="false" outlineLevel="0" collapsed="false">
      <c r="A59" s="60" t="s">
        <v>777</v>
      </c>
      <c r="B59" s="61" t="str">
        <f aca="false">IF($M59=0,"",INDEX(Classes!$E$6:$E$420,$M59))</f>
        <v>Arabic A</v>
      </c>
      <c r="C59" s="62" t="str">
        <f aca="false">IF($M59=0,"",INDEX(Classes!$H$6:$H$420,$M59))</f>
        <v>Mr Ayman Bobo</v>
      </c>
      <c r="D59" s="61" t="str">
        <f aca="false">IF($M59=0,"",INDEX(Classes!$B$6:$B$420,$M59))</f>
        <v>Year 10</v>
      </c>
      <c r="E59" s="61" t="str">
        <f aca="false">IF($M59=0,"",INDEX(Classes!$C$6:$C$420,$M59))</f>
        <v>ah</v>
      </c>
      <c r="F59" s="63" t="s">
        <v>107</v>
      </c>
      <c r="G59" s="63" t="s">
        <v>1016</v>
      </c>
      <c r="H59" s="60" t="s">
        <v>202</v>
      </c>
      <c r="I59" s="60" t="s">
        <v>201</v>
      </c>
      <c r="J59" s="63" t="n">
        <v>1</v>
      </c>
      <c r="K59" s="61" t="str">
        <f aca="false">IF($P59=0,"",IF($F59="Baseline","— Baseline",IF($O59=0,"No result",IF($N59=0,"No Start (attainment only)",IF(OR($N59=1,$O59=1),"U – needs rule",INDEX(MxBody,MATCH($I59,MxCurr,0),MATCH($H59,MxStart,0)))))))</f>
        <v>Expected</v>
      </c>
      <c r="L59" s="62" t="str">
        <f aca="false">IF(COUNTA($A59,$F59,$G59,$H59,$I59,$J59)=0,"",IF($M59=0,"✖ كود الصف غير موجود",IF(ISNA(MATCH($F59,Lists!$A$2:$A$5,0)),"✖ الفترة غير صحيحة",IF(ISNA(MATCH($G59,Lists!$B$2:$B$7,0)),"✖ المجموعة غير صحيحة",IF(NOT(OR($H59="",$N59&gt;0)),"✖ Start غير صحيح",IF(NOT(OR($I59="",$I59="NR",$O59&gt;0)),"✖ Current غير صحيح",IF(NOT(IF(ISNUMBER($J59),AND($J59&gt;=0,$J59=INT($J59)),FALSE())),"✖ العدد يجب أن يكون صحيحًا ≥ 0",IF(AND($F59="Baseline",$H59&lt;&gt;""),"⚠ Baseline: Start لا يدخل في التقدم",IF($K59="No Start (attainment only)","ℹ تحصيل فقط (بدون Start)",IF($K59="U – needs rule","ℹ حالة U تحتاج قاعدة معتمدة",IF($K59="No result","ℹ بدون نتيجة (يُستبعد من التحصيل)","OK")))))))))))</f>
        <v>OK</v>
      </c>
      <c r="M59" s="64" t="n">
        <f aca="false">IF($A59="",0,IFERROR(MATCH($A59,Classes!$A$6:$A$420,0),0))</f>
        <v>282</v>
      </c>
      <c r="N59" s="64" t="n">
        <f aca="false">IF($H59="",0,IFERROR(MATCH($H59,GradeList,0),0))</f>
        <v>7</v>
      </c>
      <c r="O59" s="64" t="n">
        <f aca="false">IF(OR($I59="",$I59="NR"),0,IFERROR(MATCH($I59,GradeList,0),0))</f>
        <v>6</v>
      </c>
      <c r="P59" s="64" t="n">
        <f aca="false">IF(AND($M59&gt;0,ISNUMBER(MATCH($F59,Lists!$A$2:$A$5,0)),ISNUMBER(MATCH($G59,Lists!$B$2:$B$7,0)),OR($H59="",$N59&gt;0),OR($I59="",$I59="NR",$O59&gt;0),IF(ISNUMBER($J59),AND($J59&gt;=0,$J59=INT($J59)),FALSE())),$J59,0)</f>
        <v>1</v>
      </c>
      <c r="Q59" s="64" t="n">
        <f aca="false">IF(AND($P59&gt;0,$O59&gt;0),$P59,0)</f>
        <v>1</v>
      </c>
      <c r="R59" s="64" t="n">
        <f aca="false">IF(AND($Q59&gt;0,$O59&gt;=AtRank),$Q59,0)</f>
        <v>1</v>
      </c>
      <c r="S59" s="64" t="n">
        <f aca="false">IF(AND($Q59&gt;0,$O59&gt;=AboveRank),$Q59,0)</f>
        <v>0</v>
      </c>
      <c r="T59" s="64" t="n">
        <f aca="false">IF($K59="Less",$P59,0)</f>
        <v>0</v>
      </c>
      <c r="U59" s="64" t="n">
        <f aca="false">IF($K59="Expected",$P59,0)</f>
        <v>1</v>
      </c>
      <c r="V59" s="64" t="n">
        <f aca="false">IF($K59="Better",$P59,0)</f>
        <v>0</v>
      </c>
      <c r="W59" s="64" t="n">
        <f aca="false">IF($K59="U – needs rule",$P59,0)</f>
        <v>0</v>
      </c>
      <c r="X59" s="64" t="n">
        <f aca="false">IF($K59="No Start (attainment only)",$P59,0)</f>
        <v>0</v>
      </c>
    </row>
    <row r="60" customFormat="false" ht="15" hidden="false" customHeight="false" outlineLevel="0" collapsed="false">
      <c r="A60" s="60" t="s">
        <v>777</v>
      </c>
      <c r="B60" s="61" t="str">
        <f aca="false">IF($M60=0,"",INDEX(Classes!$E$6:$E$420,$M60))</f>
        <v>Arabic A</v>
      </c>
      <c r="C60" s="62" t="str">
        <f aca="false">IF($M60=0,"",INDEX(Classes!$H$6:$H$420,$M60))</f>
        <v>Mr Ayman Bobo</v>
      </c>
      <c r="D60" s="61" t="str">
        <f aca="false">IF($M60=0,"",INDEX(Classes!$B$6:$B$420,$M60))</f>
        <v>Year 10</v>
      </c>
      <c r="E60" s="61" t="str">
        <f aca="false">IF($M60=0,"",INDEX(Classes!$C$6:$C$420,$M60))</f>
        <v>ah</v>
      </c>
      <c r="F60" s="63" t="s">
        <v>107</v>
      </c>
      <c r="G60" s="63" t="s">
        <v>1016</v>
      </c>
      <c r="H60" s="60" t="s">
        <v>203</v>
      </c>
      <c r="I60" s="60" t="s">
        <v>202</v>
      </c>
      <c r="J60" s="63" t="n">
        <v>1</v>
      </c>
      <c r="K60" s="61" t="str">
        <f aca="false">IF($P60=0,"",IF($F60="Baseline","— Baseline",IF($O60=0,"No result",IF($N60=0,"No Start (attainment only)",IF(OR($N60=1,$O60=1),"U – needs rule",INDEX(MxBody,MATCH($I60,MxCurr,0),MATCH($H60,MxStart,0)))))))</f>
        <v>Expected</v>
      </c>
      <c r="L60" s="62" t="str">
        <f aca="false">IF(COUNTA($A60,$F60,$G60,$H60,$I60,$J60)=0,"",IF($M60=0,"✖ كود الصف غير موجود",IF(ISNA(MATCH($F60,Lists!$A$2:$A$5,0)),"✖ الفترة غير صحيحة",IF(ISNA(MATCH($G60,Lists!$B$2:$B$7,0)),"✖ المجموعة غير صحيحة",IF(NOT(OR($H60="",$N60&gt;0)),"✖ Start غير صحيح",IF(NOT(OR($I60="",$I60="NR",$O60&gt;0)),"✖ Current غير صحيح",IF(NOT(IF(ISNUMBER($J60),AND($J60&gt;=0,$J60=INT($J60)),FALSE())),"✖ العدد يجب أن يكون صحيحًا ≥ 0",IF(AND($F60="Baseline",$H60&lt;&gt;""),"⚠ Baseline: Start لا يدخل في التقدم",IF($K60="No Start (attainment only)","ℹ تحصيل فقط (بدون Start)",IF($K60="U – needs rule","ℹ حالة U تحتاج قاعدة معتمدة",IF($K60="No result","ℹ بدون نتيجة (يُستبعد من التحصيل)","OK")))))))))))</f>
        <v>OK</v>
      </c>
      <c r="M60" s="64" t="n">
        <f aca="false">IF($A60="",0,IFERROR(MATCH($A60,Classes!$A$6:$A$420,0),0))</f>
        <v>282</v>
      </c>
      <c r="N60" s="64" t="n">
        <f aca="false">IF($H60="",0,IFERROR(MATCH($H60,GradeList,0),0))</f>
        <v>8</v>
      </c>
      <c r="O60" s="64" t="n">
        <f aca="false">IF(OR($I60="",$I60="NR"),0,IFERROR(MATCH($I60,GradeList,0),0))</f>
        <v>7</v>
      </c>
      <c r="P60" s="64" t="n">
        <f aca="false">IF(AND($M60&gt;0,ISNUMBER(MATCH($F60,Lists!$A$2:$A$5,0)),ISNUMBER(MATCH($G60,Lists!$B$2:$B$7,0)),OR($H60="",$N60&gt;0),OR($I60="",$I60="NR",$O60&gt;0),IF(ISNUMBER($J60),AND($J60&gt;=0,$J60=INT($J60)),FALSE())),$J60,0)</f>
        <v>1</v>
      </c>
      <c r="Q60" s="64" t="n">
        <f aca="false">IF(AND($P60&gt;0,$O60&gt;0),$P60,0)</f>
        <v>1</v>
      </c>
      <c r="R60" s="64" t="n">
        <f aca="false">IF(AND($Q60&gt;0,$O60&gt;=AtRank),$Q60,0)</f>
        <v>1</v>
      </c>
      <c r="S60" s="64" t="n">
        <f aca="false">IF(AND($Q60&gt;0,$O60&gt;=AboveRank),$Q60,0)</f>
        <v>1</v>
      </c>
      <c r="T60" s="64" t="n">
        <f aca="false">IF($K60="Less",$P60,0)</f>
        <v>0</v>
      </c>
      <c r="U60" s="64" t="n">
        <f aca="false">IF($K60="Expected",$P60,0)</f>
        <v>1</v>
      </c>
      <c r="V60" s="64" t="n">
        <f aca="false">IF($K60="Better",$P60,0)</f>
        <v>0</v>
      </c>
      <c r="W60" s="64" t="n">
        <f aca="false">IF($K60="U – needs rule",$P60,0)</f>
        <v>0</v>
      </c>
      <c r="X60" s="64" t="n">
        <f aca="false">IF($K60="No Start (attainment only)",$P60,0)</f>
        <v>0</v>
      </c>
    </row>
    <row r="61" customFormat="false" ht="15" hidden="false" customHeight="false" outlineLevel="0" collapsed="false">
      <c r="A61" s="60" t="s">
        <v>777</v>
      </c>
      <c r="B61" s="61" t="str">
        <f aca="false">IF($M61=0,"",INDEX(Classes!$E$6:$E$420,$M61))</f>
        <v>Arabic A</v>
      </c>
      <c r="C61" s="62" t="str">
        <f aca="false">IF($M61=0,"",INDEX(Classes!$H$6:$H$420,$M61))</f>
        <v>Mr Ayman Bobo</v>
      </c>
      <c r="D61" s="61" t="str">
        <f aca="false">IF($M61=0,"",INDEX(Classes!$B$6:$B$420,$M61))</f>
        <v>Year 10</v>
      </c>
      <c r="E61" s="61" t="str">
        <f aca="false">IF($M61=0,"",INDEX(Classes!$C$6:$C$420,$M61))</f>
        <v>ah</v>
      </c>
      <c r="F61" s="63" t="s">
        <v>107</v>
      </c>
      <c r="G61" s="63" t="s">
        <v>1016</v>
      </c>
      <c r="H61" s="60" t="s">
        <v>203</v>
      </c>
      <c r="I61" s="60" t="s">
        <v>203</v>
      </c>
      <c r="J61" s="63" t="n">
        <v>2</v>
      </c>
      <c r="K61" s="61" t="str">
        <f aca="false">IF($P61=0,"",IF($F61="Baseline","— Baseline",IF($O61=0,"No result",IF($N61=0,"No Start (attainment only)",IF(OR($N61=1,$O61=1),"U – needs rule",INDEX(MxBody,MATCH($I61,MxCurr,0),MATCH($H61,MxStart,0)))))))</f>
        <v>Better</v>
      </c>
      <c r="L61" s="62" t="str">
        <f aca="false">IF(COUNTA($A61,$F61,$G61,$H61,$I61,$J61)=0,"",IF($M61=0,"✖ كود الصف غير موجود",IF(ISNA(MATCH($F61,Lists!$A$2:$A$5,0)),"✖ الفترة غير صحيحة",IF(ISNA(MATCH($G61,Lists!$B$2:$B$7,0)),"✖ المجموعة غير صحيحة",IF(NOT(OR($H61="",$N61&gt;0)),"✖ Start غير صحيح",IF(NOT(OR($I61="",$I61="NR",$O61&gt;0)),"✖ Current غير صحيح",IF(NOT(IF(ISNUMBER($J61),AND($J61&gt;=0,$J61=INT($J61)),FALSE())),"✖ العدد يجب أن يكون صحيحًا ≥ 0",IF(AND($F61="Baseline",$H61&lt;&gt;""),"⚠ Baseline: Start لا يدخل في التقدم",IF($K61="No Start (attainment only)","ℹ تحصيل فقط (بدون Start)",IF($K61="U – needs rule","ℹ حالة U تحتاج قاعدة معتمدة",IF($K61="No result","ℹ بدون نتيجة (يُستبعد من التحصيل)","OK")))))))))))</f>
        <v>OK</v>
      </c>
      <c r="M61" s="64" t="n">
        <f aca="false">IF($A61="",0,IFERROR(MATCH($A61,Classes!$A$6:$A$420,0),0))</f>
        <v>282</v>
      </c>
      <c r="N61" s="64" t="n">
        <f aca="false">IF($H61="",0,IFERROR(MATCH($H61,GradeList,0),0))</f>
        <v>8</v>
      </c>
      <c r="O61" s="64" t="n">
        <f aca="false">IF(OR($I61="",$I61="NR"),0,IFERROR(MATCH($I61,GradeList,0),0))</f>
        <v>8</v>
      </c>
      <c r="P61" s="64" t="n">
        <f aca="false">IF(AND($M61&gt;0,ISNUMBER(MATCH($F61,Lists!$A$2:$A$5,0)),ISNUMBER(MATCH($G61,Lists!$B$2:$B$7,0)),OR($H61="",$N61&gt;0),OR($I61="",$I61="NR",$O61&gt;0),IF(ISNUMBER($J61),AND($J61&gt;=0,$J61=INT($J61)),FALSE())),$J61,0)</f>
        <v>2</v>
      </c>
      <c r="Q61" s="64" t="n">
        <f aca="false">IF(AND($P61&gt;0,$O61&gt;0),$P61,0)</f>
        <v>2</v>
      </c>
      <c r="R61" s="64" t="n">
        <f aca="false">IF(AND($Q61&gt;0,$O61&gt;=AtRank),$Q61,0)</f>
        <v>2</v>
      </c>
      <c r="S61" s="64" t="n">
        <f aca="false">IF(AND($Q61&gt;0,$O61&gt;=AboveRank),$Q61,0)</f>
        <v>2</v>
      </c>
      <c r="T61" s="64" t="n">
        <f aca="false">IF($K61="Less",$P61,0)</f>
        <v>0</v>
      </c>
      <c r="U61" s="64" t="n">
        <f aca="false">IF($K61="Expected",$P61,0)</f>
        <v>0</v>
      </c>
      <c r="V61" s="64" t="n">
        <f aca="false">IF($K61="Better",$P61,0)</f>
        <v>2</v>
      </c>
      <c r="W61" s="64" t="n">
        <f aca="false">IF($K61="U – needs rule",$P61,0)</f>
        <v>0</v>
      </c>
      <c r="X61" s="64" t="n">
        <f aca="false">IF($K61="No Start (attainment only)",$P61,0)</f>
        <v>0</v>
      </c>
    </row>
    <row r="62" customFormat="false" ht="15" hidden="false" customHeight="false" outlineLevel="0" collapsed="false">
      <c r="A62" s="60" t="s">
        <v>777</v>
      </c>
      <c r="B62" s="61" t="str">
        <f aca="false">IF($M62=0,"",INDEX(Classes!$E$6:$E$420,$M62))</f>
        <v>Arabic A</v>
      </c>
      <c r="C62" s="62" t="str">
        <f aca="false">IF($M62=0,"",INDEX(Classes!$H$6:$H$420,$M62))</f>
        <v>Mr Ayman Bobo</v>
      </c>
      <c r="D62" s="61" t="str">
        <f aca="false">IF($M62=0,"",INDEX(Classes!$B$6:$B$420,$M62))</f>
        <v>Year 10</v>
      </c>
      <c r="E62" s="61" t="str">
        <f aca="false">IF($M62=0,"",INDEX(Classes!$C$6:$C$420,$M62))</f>
        <v>ah</v>
      </c>
      <c r="F62" s="63" t="s">
        <v>107</v>
      </c>
      <c r="G62" s="63" t="s">
        <v>1016</v>
      </c>
      <c r="H62" s="60" t="s">
        <v>203</v>
      </c>
      <c r="I62" s="60" t="s">
        <v>204</v>
      </c>
      <c r="J62" s="63" t="n">
        <v>1</v>
      </c>
      <c r="K62" s="61" t="str">
        <f aca="false">IF($P62=0,"",IF($F62="Baseline","— Baseline",IF($O62=0,"No result",IF($N62=0,"No Start (attainment only)",IF(OR($N62=1,$O62=1),"U – needs rule",INDEX(MxBody,MATCH($I62,MxCurr,0),MATCH($H62,MxStart,0)))))))</f>
        <v>Better</v>
      </c>
      <c r="L62" s="62" t="str">
        <f aca="false">IF(COUNTA($A62,$F62,$G62,$H62,$I62,$J62)=0,"",IF($M62=0,"✖ كود الصف غير موجود",IF(ISNA(MATCH($F62,Lists!$A$2:$A$5,0)),"✖ الفترة غير صحيحة",IF(ISNA(MATCH($G62,Lists!$B$2:$B$7,0)),"✖ المجموعة غير صحيحة",IF(NOT(OR($H62="",$N62&gt;0)),"✖ Start غير صحيح",IF(NOT(OR($I62="",$I62="NR",$O62&gt;0)),"✖ Current غير صحيح",IF(NOT(IF(ISNUMBER($J62),AND($J62&gt;=0,$J62=INT($J62)),FALSE())),"✖ العدد يجب أن يكون صحيحًا ≥ 0",IF(AND($F62="Baseline",$H62&lt;&gt;""),"⚠ Baseline: Start لا يدخل في التقدم",IF($K62="No Start (attainment only)","ℹ تحصيل فقط (بدون Start)",IF($K62="U – needs rule","ℹ حالة U تحتاج قاعدة معتمدة",IF($K62="No result","ℹ بدون نتيجة (يُستبعد من التحصيل)","OK")))))))))))</f>
        <v>OK</v>
      </c>
      <c r="M62" s="64" t="n">
        <f aca="false">IF($A62="",0,IFERROR(MATCH($A62,Classes!$A$6:$A$420,0),0))</f>
        <v>282</v>
      </c>
      <c r="N62" s="64" t="n">
        <f aca="false">IF($H62="",0,IFERROR(MATCH($H62,GradeList,0),0))</f>
        <v>8</v>
      </c>
      <c r="O62" s="64" t="n">
        <f aca="false">IF(OR($I62="",$I62="NR"),0,IFERROR(MATCH($I62,GradeList,0),0))</f>
        <v>9</v>
      </c>
      <c r="P62" s="64" t="n">
        <f aca="false">IF(AND($M62&gt;0,ISNUMBER(MATCH($F62,Lists!$A$2:$A$5,0)),ISNUMBER(MATCH($G62,Lists!$B$2:$B$7,0)),OR($H62="",$N62&gt;0),OR($I62="",$I62="NR",$O62&gt;0),IF(ISNUMBER($J62),AND($J62&gt;=0,$J62=INT($J62)),FALSE())),$J62,0)</f>
        <v>1</v>
      </c>
      <c r="Q62" s="64" t="n">
        <f aca="false">IF(AND($P62&gt;0,$O62&gt;0),$P62,0)</f>
        <v>1</v>
      </c>
      <c r="R62" s="64" t="n">
        <f aca="false">IF(AND($Q62&gt;0,$O62&gt;=AtRank),$Q62,0)</f>
        <v>1</v>
      </c>
      <c r="S62" s="64" t="n">
        <f aca="false">IF(AND($Q62&gt;0,$O62&gt;=AboveRank),$Q62,0)</f>
        <v>1</v>
      </c>
      <c r="T62" s="64" t="n">
        <f aca="false">IF($K62="Less",$P62,0)</f>
        <v>0</v>
      </c>
      <c r="U62" s="64" t="n">
        <f aca="false">IF($K62="Expected",$P62,0)</f>
        <v>0</v>
      </c>
      <c r="V62" s="64" t="n">
        <f aca="false">IF($K62="Better",$P62,0)</f>
        <v>1</v>
      </c>
      <c r="W62" s="64" t="n">
        <f aca="false">IF($K62="U – needs rule",$P62,0)</f>
        <v>0</v>
      </c>
      <c r="X62" s="64" t="n">
        <f aca="false">IF($K62="No Start (attainment only)",$P62,0)</f>
        <v>0</v>
      </c>
    </row>
    <row r="63" customFormat="false" ht="15" hidden="false" customHeight="false" outlineLevel="0" collapsed="false">
      <c r="A63" s="60" t="s">
        <v>777</v>
      </c>
      <c r="B63" s="61" t="str">
        <f aca="false">IF($M63=0,"",INDEX(Classes!$E$6:$E$420,$M63))</f>
        <v>Arabic A</v>
      </c>
      <c r="C63" s="62" t="str">
        <f aca="false">IF($M63=0,"",INDEX(Classes!$H$6:$H$420,$M63))</f>
        <v>Mr Ayman Bobo</v>
      </c>
      <c r="D63" s="61" t="str">
        <f aca="false">IF($M63=0,"",INDEX(Classes!$B$6:$B$420,$M63))</f>
        <v>Year 10</v>
      </c>
      <c r="E63" s="61" t="str">
        <f aca="false">IF($M63=0,"",INDEX(Classes!$C$6:$C$420,$M63))</f>
        <v>ah</v>
      </c>
      <c r="F63" s="63" t="s">
        <v>107</v>
      </c>
      <c r="G63" s="63" t="s">
        <v>1016</v>
      </c>
      <c r="H63" s="60" t="s">
        <v>201</v>
      </c>
      <c r="I63" s="60" t="s">
        <v>202</v>
      </c>
      <c r="J63" s="63" t="n">
        <v>1</v>
      </c>
      <c r="K63" s="61" t="str">
        <f aca="false">IF($P63=0,"",IF($F63="Baseline","— Baseline",IF($O63=0,"No result",IF($N63=0,"No Start (attainment only)",IF(OR($N63=1,$O63=1),"U – needs rule",INDEX(MxBody,MATCH($I63,MxCurr,0),MATCH($H63,MxStart,0)))))))</f>
        <v>Better</v>
      </c>
      <c r="L63" s="62" t="str">
        <f aca="false">IF(COUNTA($A63,$F63,$G63,$H63,$I63,$J63)=0,"",IF($M63=0,"✖ كود الصف غير موجود",IF(ISNA(MATCH($F63,Lists!$A$2:$A$5,0)),"✖ الفترة غير صحيحة",IF(ISNA(MATCH($G63,Lists!$B$2:$B$7,0)),"✖ المجموعة غير صحيحة",IF(NOT(OR($H63="",$N63&gt;0)),"✖ Start غير صحيح",IF(NOT(OR($I63="",$I63="NR",$O63&gt;0)),"✖ Current غير صحيح",IF(NOT(IF(ISNUMBER($J63),AND($J63&gt;=0,$J63=INT($J63)),FALSE())),"✖ العدد يجب أن يكون صحيحًا ≥ 0",IF(AND($F63="Baseline",$H63&lt;&gt;""),"⚠ Baseline: Start لا يدخل في التقدم",IF($K63="No Start (attainment only)","ℹ تحصيل فقط (بدون Start)",IF($K63="U – needs rule","ℹ حالة U تحتاج قاعدة معتمدة",IF($K63="No result","ℹ بدون نتيجة (يُستبعد من التحصيل)","OK")))))))))))</f>
        <v>OK</v>
      </c>
      <c r="M63" s="64" t="n">
        <f aca="false">IF($A63="",0,IFERROR(MATCH($A63,Classes!$A$6:$A$420,0),0))</f>
        <v>282</v>
      </c>
      <c r="N63" s="64" t="n">
        <f aca="false">IF($H63="",0,IFERROR(MATCH($H63,GradeList,0),0))</f>
        <v>6</v>
      </c>
      <c r="O63" s="64" t="n">
        <f aca="false">IF(OR($I63="",$I63="NR"),0,IFERROR(MATCH($I63,GradeList,0),0))</f>
        <v>7</v>
      </c>
      <c r="P63" s="64" t="n">
        <f aca="false">IF(AND($M63&gt;0,ISNUMBER(MATCH($F63,Lists!$A$2:$A$5,0)),ISNUMBER(MATCH($G63,Lists!$B$2:$B$7,0)),OR($H63="",$N63&gt;0),OR($I63="",$I63="NR",$O63&gt;0),IF(ISNUMBER($J63),AND($J63&gt;=0,$J63=INT($J63)),FALSE())),$J63,0)</f>
        <v>1</v>
      </c>
      <c r="Q63" s="64" t="n">
        <f aca="false">IF(AND($P63&gt;0,$O63&gt;0),$P63,0)</f>
        <v>1</v>
      </c>
      <c r="R63" s="64" t="n">
        <f aca="false">IF(AND($Q63&gt;0,$O63&gt;=AtRank),$Q63,0)</f>
        <v>1</v>
      </c>
      <c r="S63" s="64" t="n">
        <f aca="false">IF(AND($Q63&gt;0,$O63&gt;=AboveRank),$Q63,0)</f>
        <v>1</v>
      </c>
      <c r="T63" s="64" t="n">
        <f aca="false">IF($K63="Less",$P63,0)</f>
        <v>0</v>
      </c>
      <c r="U63" s="64" t="n">
        <f aca="false">IF($K63="Expected",$P63,0)</f>
        <v>0</v>
      </c>
      <c r="V63" s="64" t="n">
        <f aca="false">IF($K63="Better",$P63,0)</f>
        <v>1</v>
      </c>
      <c r="W63" s="64" t="n">
        <f aca="false">IF($K63="U – needs rule",$P63,0)</f>
        <v>0</v>
      </c>
      <c r="X63" s="64" t="n">
        <f aca="false">IF($K63="No Start (attainment only)",$P63,0)</f>
        <v>0</v>
      </c>
    </row>
    <row r="64" customFormat="false" ht="15" hidden="false" customHeight="false" outlineLevel="0" collapsed="false">
      <c r="A64" s="60" t="s">
        <v>777</v>
      </c>
      <c r="B64" s="61" t="str">
        <f aca="false">IF($M64=0,"",INDEX(Classes!$E$6:$E$420,$M64))</f>
        <v>Arabic A</v>
      </c>
      <c r="C64" s="62" t="str">
        <f aca="false">IF($M64=0,"",INDEX(Classes!$H$6:$H$420,$M64))</f>
        <v>Mr Ayman Bobo</v>
      </c>
      <c r="D64" s="61" t="str">
        <f aca="false">IF($M64=0,"",INDEX(Classes!$B$6:$B$420,$M64))</f>
        <v>Year 10</v>
      </c>
      <c r="E64" s="61" t="str">
        <f aca="false">IF($M64=0,"",INDEX(Classes!$C$6:$C$420,$M64))</f>
        <v>ah</v>
      </c>
      <c r="F64" s="63" t="s">
        <v>107</v>
      </c>
      <c r="G64" s="63" t="s">
        <v>1016</v>
      </c>
      <c r="H64" s="60" t="s">
        <v>204</v>
      </c>
      <c r="I64" s="60" t="s">
        <v>205</v>
      </c>
      <c r="J64" s="63" t="n">
        <v>2</v>
      </c>
      <c r="K64" s="61" t="str">
        <f aca="false">IF($P64=0,"",IF($F64="Baseline","— Baseline",IF($O64=0,"No result",IF($N64=0,"No Start (attainment only)",IF(OR($N64=1,$O64=1),"U – needs rule",INDEX(MxBody,MATCH($I64,MxCurr,0),MATCH($H64,MxStart,0)))))))</f>
        <v>Better</v>
      </c>
      <c r="L64" s="62" t="str">
        <f aca="false">IF(COUNTA($A64,$F64,$G64,$H64,$I64,$J64)=0,"",IF($M64=0,"✖ كود الصف غير موجود",IF(ISNA(MATCH($F64,Lists!$A$2:$A$5,0)),"✖ الفترة غير صحيحة",IF(ISNA(MATCH($G64,Lists!$B$2:$B$7,0)),"✖ المجموعة غير صحيحة",IF(NOT(OR($H64="",$N64&gt;0)),"✖ Start غير صحيح",IF(NOT(OR($I64="",$I64="NR",$O64&gt;0)),"✖ Current غير صحيح",IF(NOT(IF(ISNUMBER($J64),AND($J64&gt;=0,$J64=INT($J64)),FALSE())),"✖ العدد يجب أن يكون صحيحًا ≥ 0",IF(AND($F64="Baseline",$H64&lt;&gt;""),"⚠ Baseline: Start لا يدخل في التقدم",IF($K64="No Start (attainment only)","ℹ تحصيل فقط (بدون Start)",IF($K64="U – needs rule","ℹ حالة U تحتاج قاعدة معتمدة",IF($K64="No result","ℹ بدون نتيجة (يُستبعد من التحصيل)","OK")))))))))))</f>
        <v>OK</v>
      </c>
      <c r="M64" s="64" t="n">
        <f aca="false">IF($A64="",0,IFERROR(MATCH($A64,Classes!$A$6:$A$420,0),0))</f>
        <v>282</v>
      </c>
      <c r="N64" s="64" t="n">
        <f aca="false">IF($H64="",0,IFERROR(MATCH($H64,GradeList,0),0))</f>
        <v>9</v>
      </c>
      <c r="O64" s="64" t="n">
        <f aca="false">IF(OR($I64="",$I64="NR"),0,IFERROR(MATCH($I64,GradeList,0),0))</f>
        <v>10</v>
      </c>
      <c r="P64" s="64" t="n">
        <f aca="false">IF(AND($M64&gt;0,ISNUMBER(MATCH($F64,Lists!$A$2:$A$5,0)),ISNUMBER(MATCH($G64,Lists!$B$2:$B$7,0)),OR($H64="",$N64&gt;0),OR($I64="",$I64="NR",$O64&gt;0),IF(ISNUMBER($J64),AND($J64&gt;=0,$J64=INT($J64)),FALSE())),$J64,0)</f>
        <v>2</v>
      </c>
      <c r="Q64" s="64" t="n">
        <f aca="false">IF(AND($P64&gt;0,$O64&gt;0),$P64,0)</f>
        <v>2</v>
      </c>
      <c r="R64" s="64" t="n">
        <f aca="false">IF(AND($Q64&gt;0,$O64&gt;=AtRank),$Q64,0)</f>
        <v>2</v>
      </c>
      <c r="S64" s="64" t="n">
        <f aca="false">IF(AND($Q64&gt;0,$O64&gt;=AboveRank),$Q64,0)</f>
        <v>2</v>
      </c>
      <c r="T64" s="64" t="n">
        <f aca="false">IF($K64="Less",$P64,0)</f>
        <v>0</v>
      </c>
      <c r="U64" s="64" t="n">
        <f aca="false">IF($K64="Expected",$P64,0)</f>
        <v>0</v>
      </c>
      <c r="V64" s="64" t="n">
        <f aca="false">IF($K64="Better",$P64,0)</f>
        <v>2</v>
      </c>
      <c r="W64" s="64" t="n">
        <f aca="false">IF($K64="U – needs rule",$P64,0)</f>
        <v>0</v>
      </c>
      <c r="X64" s="64" t="n">
        <f aca="false">IF($K64="No Start (attainment only)",$P64,0)</f>
        <v>0</v>
      </c>
    </row>
    <row r="65" customFormat="false" ht="15" hidden="false" customHeight="false" outlineLevel="0" collapsed="false">
      <c r="A65" s="60" t="s">
        <v>777</v>
      </c>
      <c r="B65" s="61" t="str">
        <f aca="false">IF($M65=0,"",INDEX(Classes!$E$6:$E$420,$M65))</f>
        <v>Arabic A</v>
      </c>
      <c r="C65" s="62" t="str">
        <f aca="false">IF($M65=0,"",INDEX(Classes!$H$6:$H$420,$M65))</f>
        <v>Mr Ayman Bobo</v>
      </c>
      <c r="D65" s="61" t="str">
        <f aca="false">IF($M65=0,"",INDEX(Classes!$B$6:$B$420,$M65))</f>
        <v>Year 10</v>
      </c>
      <c r="E65" s="61" t="str">
        <f aca="false">IF($M65=0,"",INDEX(Classes!$C$6:$C$420,$M65))</f>
        <v>ah</v>
      </c>
      <c r="F65" s="63" t="s">
        <v>107</v>
      </c>
      <c r="G65" s="63" t="s">
        <v>1016</v>
      </c>
      <c r="H65" s="60" t="s">
        <v>205</v>
      </c>
      <c r="I65" s="60" t="s">
        <v>205</v>
      </c>
      <c r="J65" s="63" t="n">
        <v>1</v>
      </c>
      <c r="K65" s="61" t="str">
        <f aca="false">IF($P65=0,"",IF($F65="Baseline","— Baseline",IF($O65=0,"No result",IF($N65=0,"No Start (attainment only)",IF(OR($N65=1,$O65=1),"U – needs rule",INDEX(MxBody,MATCH($I65,MxCurr,0),MATCH($H65,MxStart,0)))))))</f>
        <v>Better</v>
      </c>
      <c r="L65" s="62" t="str">
        <f aca="false">IF(COUNTA($A65,$F65,$G65,$H65,$I65,$J65)=0,"",IF($M65=0,"✖ كود الصف غير موجود",IF(ISNA(MATCH($F65,Lists!$A$2:$A$5,0)),"✖ الفترة غير صحيحة",IF(ISNA(MATCH($G65,Lists!$B$2:$B$7,0)),"✖ المجموعة غير صحيحة",IF(NOT(OR($H65="",$N65&gt;0)),"✖ Start غير صحيح",IF(NOT(OR($I65="",$I65="NR",$O65&gt;0)),"✖ Current غير صحيح",IF(NOT(IF(ISNUMBER($J65),AND($J65&gt;=0,$J65=INT($J65)),FALSE())),"✖ العدد يجب أن يكون صحيحًا ≥ 0",IF(AND($F65="Baseline",$H65&lt;&gt;""),"⚠ Baseline: Start لا يدخل في التقدم",IF($K65="No Start (attainment only)","ℹ تحصيل فقط (بدون Start)",IF($K65="U – needs rule","ℹ حالة U تحتاج قاعدة معتمدة",IF($K65="No result","ℹ بدون نتيجة (يُستبعد من التحصيل)","OK")))))))))))</f>
        <v>OK</v>
      </c>
      <c r="M65" s="64" t="n">
        <f aca="false">IF($A65="",0,IFERROR(MATCH($A65,Classes!$A$6:$A$420,0),0))</f>
        <v>282</v>
      </c>
      <c r="N65" s="64" t="n">
        <f aca="false">IF($H65="",0,IFERROR(MATCH($H65,GradeList,0),0))</f>
        <v>10</v>
      </c>
      <c r="O65" s="64" t="n">
        <f aca="false">IF(OR($I65="",$I65="NR"),0,IFERROR(MATCH($I65,GradeList,0),0))</f>
        <v>10</v>
      </c>
      <c r="P65" s="64" t="n">
        <f aca="false">IF(AND($M65&gt;0,ISNUMBER(MATCH($F65,Lists!$A$2:$A$5,0)),ISNUMBER(MATCH($G65,Lists!$B$2:$B$7,0)),OR($H65="",$N65&gt;0),OR($I65="",$I65="NR",$O65&gt;0),IF(ISNUMBER($J65),AND($J65&gt;=0,$J65=INT($J65)),FALSE())),$J65,0)</f>
        <v>1</v>
      </c>
      <c r="Q65" s="64" t="n">
        <f aca="false">IF(AND($P65&gt;0,$O65&gt;0),$P65,0)</f>
        <v>1</v>
      </c>
      <c r="R65" s="64" t="n">
        <f aca="false">IF(AND($Q65&gt;0,$O65&gt;=AtRank),$Q65,0)</f>
        <v>1</v>
      </c>
      <c r="S65" s="64" t="n">
        <f aca="false">IF(AND($Q65&gt;0,$O65&gt;=AboveRank),$Q65,0)</f>
        <v>1</v>
      </c>
      <c r="T65" s="64" t="n">
        <f aca="false">IF($K65="Less",$P65,0)</f>
        <v>0</v>
      </c>
      <c r="U65" s="64" t="n">
        <f aca="false">IF($K65="Expected",$P65,0)</f>
        <v>0</v>
      </c>
      <c r="V65" s="64" t="n">
        <f aca="false">IF($K65="Better",$P65,0)</f>
        <v>1</v>
      </c>
      <c r="W65" s="64" t="n">
        <f aca="false">IF($K65="U – needs rule",$P65,0)</f>
        <v>0</v>
      </c>
      <c r="X65" s="64" t="n">
        <f aca="false">IF($K65="No Start (attainment only)",$P65,0)</f>
        <v>0</v>
      </c>
    </row>
    <row r="66" customFormat="false" ht="15" hidden="false" customHeight="false" outlineLevel="0" collapsed="false">
      <c r="A66" s="60" t="s">
        <v>777</v>
      </c>
      <c r="B66" s="61" t="str">
        <f aca="false">IF($M66=0,"",INDEX(Classes!$E$6:$E$420,$M66))</f>
        <v>Arabic A</v>
      </c>
      <c r="C66" s="62" t="str">
        <f aca="false">IF($M66=0,"",INDEX(Classes!$H$6:$H$420,$M66))</f>
        <v>Mr Ayman Bobo</v>
      </c>
      <c r="D66" s="61" t="str">
        <f aca="false">IF($M66=0,"",INDEX(Classes!$B$6:$B$420,$M66))</f>
        <v>Year 10</v>
      </c>
      <c r="E66" s="61" t="str">
        <f aca="false">IF($M66=0,"",INDEX(Classes!$C$6:$C$420,$M66))</f>
        <v>ah</v>
      </c>
      <c r="F66" s="63" t="s">
        <v>107</v>
      </c>
      <c r="G66" s="63" t="s">
        <v>941</v>
      </c>
      <c r="H66" s="60" t="s">
        <v>202</v>
      </c>
      <c r="I66" s="60" t="s">
        <v>202</v>
      </c>
      <c r="J66" s="63" t="n">
        <v>2</v>
      </c>
      <c r="K66" s="61" t="str">
        <f aca="false">IF($P66=0,"",IF($F66="Baseline","— Baseline",IF($O66=0,"No result",IF($N66=0,"No Start (attainment only)",IF(OR($N66=1,$O66=1),"U – needs rule",INDEX(MxBody,MATCH($I66,MxCurr,0),MATCH($H66,MxStart,0)))))))</f>
        <v>Better</v>
      </c>
      <c r="L66" s="62" t="str">
        <f aca="false">IF(COUNTA($A66,$F66,$G66,$H66,$I66,$J66)=0,"",IF($M66=0,"✖ كود الصف غير موجود",IF(ISNA(MATCH($F66,Lists!$A$2:$A$5,0)),"✖ الفترة غير صحيحة",IF(ISNA(MATCH($G66,Lists!$B$2:$B$7,0)),"✖ المجموعة غير صحيحة",IF(NOT(OR($H66="",$N66&gt;0)),"✖ Start غير صحيح",IF(NOT(OR($I66="",$I66="NR",$O66&gt;0)),"✖ Current غير صحيح",IF(NOT(IF(ISNUMBER($J66),AND($J66&gt;=0,$J66=INT($J66)),FALSE())),"✖ العدد يجب أن يكون صحيحًا ≥ 0",IF(AND($F66="Baseline",$H66&lt;&gt;""),"⚠ Baseline: Start لا يدخل في التقدم",IF($K66="No Start (attainment only)","ℹ تحصيل فقط (بدون Start)",IF($K66="U – needs rule","ℹ حالة U تحتاج قاعدة معتمدة",IF($K66="No result","ℹ بدون نتيجة (يُستبعد من التحصيل)","OK")))))))))))</f>
        <v>OK</v>
      </c>
      <c r="M66" s="64" t="n">
        <f aca="false">IF($A66="",0,IFERROR(MATCH($A66,Classes!$A$6:$A$420,0),0))</f>
        <v>282</v>
      </c>
      <c r="N66" s="64" t="n">
        <f aca="false">IF($H66="",0,IFERROR(MATCH($H66,GradeList,0),0))</f>
        <v>7</v>
      </c>
      <c r="O66" s="64" t="n">
        <f aca="false">IF(OR($I66="",$I66="NR"),0,IFERROR(MATCH($I66,GradeList,0),0))</f>
        <v>7</v>
      </c>
      <c r="P66" s="64" t="n">
        <f aca="false">IF(AND($M66&gt;0,ISNUMBER(MATCH($F66,Lists!$A$2:$A$5,0)),ISNUMBER(MATCH($G66,Lists!$B$2:$B$7,0)),OR($H66="",$N66&gt;0),OR($I66="",$I66="NR",$O66&gt;0),IF(ISNUMBER($J66),AND($J66&gt;=0,$J66=INT($J66)),FALSE())),$J66,0)</f>
        <v>2</v>
      </c>
      <c r="Q66" s="64" t="n">
        <f aca="false">IF(AND($P66&gt;0,$O66&gt;0),$P66,0)</f>
        <v>2</v>
      </c>
      <c r="R66" s="64" t="n">
        <f aca="false">IF(AND($Q66&gt;0,$O66&gt;=AtRank),$Q66,0)</f>
        <v>2</v>
      </c>
      <c r="S66" s="64" t="n">
        <f aca="false">IF(AND($Q66&gt;0,$O66&gt;=AboveRank),$Q66,0)</f>
        <v>2</v>
      </c>
      <c r="T66" s="64" t="n">
        <f aca="false">IF($K66="Less",$P66,0)</f>
        <v>0</v>
      </c>
      <c r="U66" s="64" t="n">
        <f aca="false">IF($K66="Expected",$P66,0)</f>
        <v>0</v>
      </c>
      <c r="V66" s="64" t="n">
        <f aca="false">IF($K66="Better",$P66,0)</f>
        <v>2</v>
      </c>
      <c r="W66" s="64" t="n">
        <f aca="false">IF($K66="U – needs rule",$P66,0)</f>
        <v>0</v>
      </c>
      <c r="X66" s="64" t="n">
        <f aca="false">IF($K66="No Start (attainment only)",$P66,0)</f>
        <v>0</v>
      </c>
    </row>
    <row r="67" customFormat="false" ht="15" hidden="false" customHeight="false" outlineLevel="0" collapsed="false">
      <c r="A67" s="60" t="s">
        <v>777</v>
      </c>
      <c r="B67" s="61" t="str">
        <f aca="false">IF($M67=0,"",INDEX(Classes!$E$6:$E$420,$M67))</f>
        <v>Arabic A</v>
      </c>
      <c r="C67" s="62" t="str">
        <f aca="false">IF($M67=0,"",INDEX(Classes!$H$6:$H$420,$M67))</f>
        <v>Mr Ayman Bobo</v>
      </c>
      <c r="D67" s="61" t="str">
        <f aca="false">IF($M67=0,"",INDEX(Classes!$B$6:$B$420,$M67))</f>
        <v>Year 10</v>
      </c>
      <c r="E67" s="61" t="str">
        <f aca="false">IF($M67=0,"",INDEX(Classes!$C$6:$C$420,$M67))</f>
        <v>ah</v>
      </c>
      <c r="F67" s="63" t="s">
        <v>107</v>
      </c>
      <c r="G67" s="63" t="s">
        <v>941</v>
      </c>
      <c r="H67" s="60" t="s">
        <v>202</v>
      </c>
      <c r="I67" s="60" t="s">
        <v>203</v>
      </c>
      <c r="J67" s="63" t="n">
        <v>1</v>
      </c>
      <c r="K67" s="61" t="str">
        <f aca="false">IF($P67=0,"",IF($F67="Baseline","— Baseline",IF($O67=0,"No result",IF($N67=0,"No Start (attainment only)",IF(OR($N67=1,$O67=1),"U – needs rule",INDEX(MxBody,MATCH($I67,MxCurr,0),MATCH($H67,MxStart,0)))))))</f>
        <v>Better</v>
      </c>
      <c r="L67" s="62" t="str">
        <f aca="false">IF(COUNTA($A67,$F67,$G67,$H67,$I67,$J67)=0,"",IF($M67=0,"✖ كود الصف غير موجود",IF(ISNA(MATCH($F67,Lists!$A$2:$A$5,0)),"✖ الفترة غير صحيحة",IF(ISNA(MATCH($G67,Lists!$B$2:$B$7,0)),"✖ المجموعة غير صحيحة",IF(NOT(OR($H67="",$N67&gt;0)),"✖ Start غير صحيح",IF(NOT(OR($I67="",$I67="NR",$O67&gt;0)),"✖ Current غير صحيح",IF(NOT(IF(ISNUMBER($J67),AND($J67&gt;=0,$J67=INT($J67)),FALSE())),"✖ العدد يجب أن يكون صحيحًا ≥ 0",IF(AND($F67="Baseline",$H67&lt;&gt;""),"⚠ Baseline: Start لا يدخل في التقدم",IF($K67="No Start (attainment only)","ℹ تحصيل فقط (بدون Start)",IF($K67="U – needs rule","ℹ حالة U تحتاج قاعدة معتمدة",IF($K67="No result","ℹ بدون نتيجة (يُستبعد من التحصيل)","OK")))))))))))</f>
        <v>OK</v>
      </c>
      <c r="M67" s="64" t="n">
        <f aca="false">IF($A67="",0,IFERROR(MATCH($A67,Classes!$A$6:$A$420,0),0))</f>
        <v>282</v>
      </c>
      <c r="N67" s="64" t="n">
        <f aca="false">IF($H67="",0,IFERROR(MATCH($H67,GradeList,0),0))</f>
        <v>7</v>
      </c>
      <c r="O67" s="64" t="n">
        <f aca="false">IF(OR($I67="",$I67="NR"),0,IFERROR(MATCH($I67,GradeList,0),0))</f>
        <v>8</v>
      </c>
      <c r="P67" s="64" t="n">
        <f aca="false">IF(AND($M67&gt;0,ISNUMBER(MATCH($F67,Lists!$A$2:$A$5,0)),ISNUMBER(MATCH($G67,Lists!$B$2:$B$7,0)),OR($H67="",$N67&gt;0),OR($I67="",$I67="NR",$O67&gt;0),IF(ISNUMBER($J67),AND($J67&gt;=0,$J67=INT($J67)),FALSE())),$J67,0)</f>
        <v>1</v>
      </c>
      <c r="Q67" s="64" t="n">
        <f aca="false">IF(AND($P67&gt;0,$O67&gt;0),$P67,0)</f>
        <v>1</v>
      </c>
      <c r="R67" s="64" t="n">
        <f aca="false">IF(AND($Q67&gt;0,$O67&gt;=AtRank),$Q67,0)</f>
        <v>1</v>
      </c>
      <c r="S67" s="64" t="n">
        <f aca="false">IF(AND($Q67&gt;0,$O67&gt;=AboveRank),$Q67,0)</f>
        <v>1</v>
      </c>
      <c r="T67" s="64" t="n">
        <f aca="false">IF($K67="Less",$P67,0)</f>
        <v>0</v>
      </c>
      <c r="U67" s="64" t="n">
        <f aca="false">IF($K67="Expected",$P67,0)</f>
        <v>0</v>
      </c>
      <c r="V67" s="64" t="n">
        <f aca="false">IF($K67="Better",$P67,0)</f>
        <v>1</v>
      </c>
      <c r="W67" s="64" t="n">
        <f aca="false">IF($K67="U – needs rule",$P67,0)</f>
        <v>0</v>
      </c>
      <c r="X67" s="64" t="n">
        <f aca="false">IF($K67="No Start (attainment only)",$P67,0)</f>
        <v>0</v>
      </c>
    </row>
    <row r="68" customFormat="false" ht="15" hidden="false" customHeight="false" outlineLevel="0" collapsed="false">
      <c r="A68" s="60" t="s">
        <v>777</v>
      </c>
      <c r="B68" s="61" t="str">
        <f aca="false">IF($M68=0,"",INDEX(Classes!$E$6:$E$420,$M68))</f>
        <v>Arabic A</v>
      </c>
      <c r="C68" s="62" t="str">
        <f aca="false">IF($M68=0,"",INDEX(Classes!$H$6:$H$420,$M68))</f>
        <v>Mr Ayman Bobo</v>
      </c>
      <c r="D68" s="61" t="str">
        <f aca="false">IF($M68=0,"",INDEX(Classes!$B$6:$B$420,$M68))</f>
        <v>Year 10</v>
      </c>
      <c r="E68" s="61" t="str">
        <f aca="false">IF($M68=0,"",INDEX(Classes!$C$6:$C$420,$M68))</f>
        <v>ah</v>
      </c>
      <c r="F68" s="63" t="s">
        <v>107</v>
      </c>
      <c r="G68" s="63" t="s">
        <v>941</v>
      </c>
      <c r="H68" s="60" t="s">
        <v>203</v>
      </c>
      <c r="I68" s="60" t="s">
        <v>204</v>
      </c>
      <c r="J68" s="63" t="n">
        <v>1</v>
      </c>
      <c r="K68" s="61" t="str">
        <f aca="false">IF($P68=0,"",IF($F68="Baseline","— Baseline",IF($O68=0,"No result",IF($N68=0,"No Start (attainment only)",IF(OR($N68=1,$O68=1),"U – needs rule",INDEX(MxBody,MATCH($I68,MxCurr,0),MATCH($H68,MxStart,0)))))))</f>
        <v>Better</v>
      </c>
      <c r="L68" s="62" t="str">
        <f aca="false">IF(COUNTA($A68,$F68,$G68,$H68,$I68,$J68)=0,"",IF($M68=0,"✖ كود الصف غير موجود",IF(ISNA(MATCH($F68,Lists!$A$2:$A$5,0)),"✖ الفترة غير صحيحة",IF(ISNA(MATCH($G68,Lists!$B$2:$B$7,0)),"✖ المجموعة غير صحيحة",IF(NOT(OR($H68="",$N68&gt;0)),"✖ Start غير صحيح",IF(NOT(OR($I68="",$I68="NR",$O68&gt;0)),"✖ Current غير صحيح",IF(NOT(IF(ISNUMBER($J68),AND($J68&gt;=0,$J68=INT($J68)),FALSE())),"✖ العدد يجب أن يكون صحيحًا ≥ 0",IF(AND($F68="Baseline",$H68&lt;&gt;""),"⚠ Baseline: Start لا يدخل في التقدم",IF($K68="No Start (attainment only)","ℹ تحصيل فقط (بدون Start)",IF($K68="U – needs rule","ℹ حالة U تحتاج قاعدة معتمدة",IF($K68="No result","ℹ بدون نتيجة (يُستبعد من التحصيل)","OK")))))))))))</f>
        <v>OK</v>
      </c>
      <c r="M68" s="64" t="n">
        <f aca="false">IF($A68="",0,IFERROR(MATCH($A68,Classes!$A$6:$A$420,0),0))</f>
        <v>282</v>
      </c>
      <c r="N68" s="64" t="n">
        <f aca="false">IF($H68="",0,IFERROR(MATCH($H68,GradeList,0),0))</f>
        <v>8</v>
      </c>
      <c r="O68" s="64" t="n">
        <f aca="false">IF(OR($I68="",$I68="NR"),0,IFERROR(MATCH($I68,GradeList,0),0))</f>
        <v>9</v>
      </c>
      <c r="P68" s="64" t="n">
        <f aca="false">IF(AND($M68&gt;0,ISNUMBER(MATCH($F68,Lists!$A$2:$A$5,0)),ISNUMBER(MATCH($G68,Lists!$B$2:$B$7,0)),OR($H68="",$N68&gt;0),OR($I68="",$I68="NR",$O68&gt;0),IF(ISNUMBER($J68),AND($J68&gt;=0,$J68=INT($J68)),FALSE())),$J68,0)</f>
        <v>1</v>
      </c>
      <c r="Q68" s="64" t="n">
        <f aca="false">IF(AND($P68&gt;0,$O68&gt;0),$P68,0)</f>
        <v>1</v>
      </c>
      <c r="R68" s="64" t="n">
        <f aca="false">IF(AND($Q68&gt;0,$O68&gt;=AtRank),$Q68,0)</f>
        <v>1</v>
      </c>
      <c r="S68" s="64" t="n">
        <f aca="false">IF(AND($Q68&gt;0,$O68&gt;=AboveRank),$Q68,0)</f>
        <v>1</v>
      </c>
      <c r="T68" s="64" t="n">
        <f aca="false">IF($K68="Less",$P68,0)</f>
        <v>0</v>
      </c>
      <c r="U68" s="64" t="n">
        <f aca="false">IF($K68="Expected",$P68,0)</f>
        <v>0</v>
      </c>
      <c r="V68" s="64" t="n">
        <f aca="false">IF($K68="Better",$P68,0)</f>
        <v>1</v>
      </c>
      <c r="W68" s="64" t="n">
        <f aca="false">IF($K68="U – needs rule",$P68,0)</f>
        <v>0</v>
      </c>
      <c r="X68" s="64" t="n">
        <f aca="false">IF($K68="No Start (attainment only)",$P68,0)</f>
        <v>0</v>
      </c>
    </row>
    <row r="69" customFormat="false" ht="15" hidden="false" customHeight="false" outlineLevel="0" collapsed="false">
      <c r="A69" s="60" t="s">
        <v>777</v>
      </c>
      <c r="B69" s="61" t="str">
        <f aca="false">IF($M69=0,"",INDEX(Classes!$E$6:$E$420,$M69))</f>
        <v>Arabic A</v>
      </c>
      <c r="C69" s="62" t="str">
        <f aca="false">IF($M69=0,"",INDEX(Classes!$H$6:$H$420,$M69))</f>
        <v>Mr Ayman Bobo</v>
      </c>
      <c r="D69" s="61" t="str">
        <f aca="false">IF($M69=0,"",INDEX(Classes!$B$6:$B$420,$M69))</f>
        <v>Year 10</v>
      </c>
      <c r="E69" s="61" t="str">
        <f aca="false">IF($M69=0,"",INDEX(Classes!$C$6:$C$420,$M69))</f>
        <v>ah</v>
      </c>
      <c r="F69" s="63" t="s">
        <v>107</v>
      </c>
      <c r="G69" s="63" t="s">
        <v>1017</v>
      </c>
      <c r="H69" s="60" t="s">
        <v>202</v>
      </c>
      <c r="I69" s="60" t="s">
        <v>202</v>
      </c>
      <c r="J69" s="63" t="n">
        <v>1</v>
      </c>
      <c r="K69" s="61" t="str">
        <f aca="false">IF($P69=0,"",IF($F69="Baseline","— Baseline",IF($O69=0,"No result",IF($N69=0,"No Start (attainment only)",IF(OR($N69=1,$O69=1),"U – needs rule",INDEX(MxBody,MATCH($I69,MxCurr,0),MATCH($H69,MxStart,0)))))))</f>
        <v>Better</v>
      </c>
      <c r="L69" s="62" t="str">
        <f aca="false">IF(COUNTA($A69,$F69,$G69,$H69,$I69,$J69)=0,"",IF($M69=0,"✖ كود الصف غير موجود",IF(ISNA(MATCH($F69,Lists!$A$2:$A$5,0)),"✖ الفترة غير صحيحة",IF(ISNA(MATCH($G69,Lists!$B$2:$B$7,0)),"✖ المجموعة غير صحيحة",IF(NOT(OR($H69="",$N69&gt;0)),"✖ Start غير صحيح",IF(NOT(OR($I69="",$I69="NR",$O69&gt;0)),"✖ Current غير صحيح",IF(NOT(IF(ISNUMBER($J69),AND($J69&gt;=0,$J69=INT($J69)),FALSE())),"✖ العدد يجب أن يكون صحيحًا ≥ 0",IF(AND($F69="Baseline",$H69&lt;&gt;""),"⚠ Baseline: Start لا يدخل في التقدم",IF($K69="No Start (attainment only)","ℹ تحصيل فقط (بدون Start)",IF($K69="U – needs rule","ℹ حالة U تحتاج قاعدة معتمدة",IF($K69="No result","ℹ بدون نتيجة (يُستبعد من التحصيل)","OK")))))))))))</f>
        <v>OK</v>
      </c>
      <c r="M69" s="64" t="n">
        <f aca="false">IF($A69="",0,IFERROR(MATCH($A69,Classes!$A$6:$A$420,0),0))</f>
        <v>282</v>
      </c>
      <c r="N69" s="64" t="n">
        <f aca="false">IF($H69="",0,IFERROR(MATCH($H69,GradeList,0),0))</f>
        <v>7</v>
      </c>
      <c r="O69" s="64" t="n">
        <f aca="false">IF(OR($I69="",$I69="NR"),0,IFERROR(MATCH($I69,GradeList,0),0))</f>
        <v>7</v>
      </c>
      <c r="P69" s="64" t="n">
        <f aca="false">IF(AND($M69&gt;0,ISNUMBER(MATCH($F69,Lists!$A$2:$A$5,0)),ISNUMBER(MATCH($G69,Lists!$B$2:$B$7,0)),OR($H69="",$N69&gt;0),OR($I69="",$I69="NR",$O69&gt;0),IF(ISNUMBER($J69),AND($J69&gt;=0,$J69=INT($J69)),FALSE())),$J69,0)</f>
        <v>1</v>
      </c>
      <c r="Q69" s="64" t="n">
        <f aca="false">IF(AND($P69&gt;0,$O69&gt;0),$P69,0)</f>
        <v>1</v>
      </c>
      <c r="R69" s="64" t="n">
        <f aca="false">IF(AND($Q69&gt;0,$O69&gt;=AtRank),$Q69,0)</f>
        <v>1</v>
      </c>
      <c r="S69" s="64" t="n">
        <f aca="false">IF(AND($Q69&gt;0,$O69&gt;=AboveRank),$Q69,0)</f>
        <v>1</v>
      </c>
      <c r="T69" s="64" t="n">
        <f aca="false">IF($K69="Less",$P69,0)</f>
        <v>0</v>
      </c>
      <c r="U69" s="64" t="n">
        <f aca="false">IF($K69="Expected",$P69,0)</f>
        <v>0</v>
      </c>
      <c r="V69" s="64" t="n">
        <f aca="false">IF($K69="Better",$P69,0)</f>
        <v>1</v>
      </c>
      <c r="W69" s="64" t="n">
        <f aca="false">IF($K69="U – needs rule",$P69,0)</f>
        <v>0</v>
      </c>
      <c r="X69" s="64" t="n">
        <f aca="false">IF($K69="No Start (attainment only)",$P69,0)</f>
        <v>0</v>
      </c>
    </row>
    <row r="70" customFormat="false" ht="15" hidden="false" customHeight="false" outlineLevel="0" collapsed="false">
      <c r="A70" s="60" t="s">
        <v>777</v>
      </c>
      <c r="B70" s="61" t="str">
        <f aca="false">IF($M70=0,"",INDEX(Classes!$E$6:$E$420,$M70))</f>
        <v>Arabic A</v>
      </c>
      <c r="C70" s="62" t="str">
        <f aca="false">IF($M70=0,"",INDEX(Classes!$H$6:$H$420,$M70))</f>
        <v>Mr Ayman Bobo</v>
      </c>
      <c r="D70" s="61" t="str">
        <f aca="false">IF($M70=0,"",INDEX(Classes!$B$6:$B$420,$M70))</f>
        <v>Year 10</v>
      </c>
      <c r="E70" s="61" t="str">
        <f aca="false">IF($M70=0,"",INDEX(Classes!$C$6:$C$420,$M70))</f>
        <v>ah</v>
      </c>
      <c r="F70" s="63" t="s">
        <v>107</v>
      </c>
      <c r="G70" s="63" t="s">
        <v>1017</v>
      </c>
      <c r="H70" s="60" t="s">
        <v>202</v>
      </c>
      <c r="I70" s="60" t="s">
        <v>203</v>
      </c>
      <c r="J70" s="63" t="n">
        <v>1</v>
      </c>
      <c r="K70" s="61" t="str">
        <f aca="false">IF($P70=0,"",IF($F70="Baseline","— Baseline",IF($O70=0,"No result",IF($N70=0,"No Start (attainment only)",IF(OR($N70=1,$O70=1),"U – needs rule",INDEX(MxBody,MATCH($I70,MxCurr,0),MATCH($H70,MxStart,0)))))))</f>
        <v>Better</v>
      </c>
      <c r="L70" s="62" t="str">
        <f aca="false">IF(COUNTA($A70,$F70,$G70,$H70,$I70,$J70)=0,"",IF($M70=0,"✖ كود الصف غير موجود",IF(ISNA(MATCH($F70,Lists!$A$2:$A$5,0)),"✖ الفترة غير صحيحة",IF(ISNA(MATCH($G70,Lists!$B$2:$B$7,0)),"✖ المجموعة غير صحيحة",IF(NOT(OR($H70="",$N70&gt;0)),"✖ Start غير صحيح",IF(NOT(OR($I70="",$I70="NR",$O70&gt;0)),"✖ Current غير صحيح",IF(NOT(IF(ISNUMBER($J70),AND($J70&gt;=0,$J70=INT($J70)),FALSE())),"✖ العدد يجب أن يكون صحيحًا ≥ 0",IF(AND($F70="Baseline",$H70&lt;&gt;""),"⚠ Baseline: Start لا يدخل في التقدم",IF($K70="No Start (attainment only)","ℹ تحصيل فقط (بدون Start)",IF($K70="U – needs rule","ℹ حالة U تحتاج قاعدة معتمدة",IF($K70="No result","ℹ بدون نتيجة (يُستبعد من التحصيل)","OK")))))))))))</f>
        <v>OK</v>
      </c>
      <c r="M70" s="64" t="n">
        <f aca="false">IF($A70="",0,IFERROR(MATCH($A70,Classes!$A$6:$A$420,0),0))</f>
        <v>282</v>
      </c>
      <c r="N70" s="64" t="n">
        <f aca="false">IF($H70="",0,IFERROR(MATCH($H70,GradeList,0),0))</f>
        <v>7</v>
      </c>
      <c r="O70" s="64" t="n">
        <f aca="false">IF(OR($I70="",$I70="NR"),0,IFERROR(MATCH($I70,GradeList,0),0))</f>
        <v>8</v>
      </c>
      <c r="P70" s="64" t="n">
        <f aca="false">IF(AND($M70&gt;0,ISNUMBER(MATCH($F70,Lists!$A$2:$A$5,0)),ISNUMBER(MATCH($G70,Lists!$B$2:$B$7,0)),OR($H70="",$N70&gt;0),OR($I70="",$I70="NR",$O70&gt;0),IF(ISNUMBER($J70),AND($J70&gt;=0,$J70=INT($J70)),FALSE())),$J70,0)</f>
        <v>1</v>
      </c>
      <c r="Q70" s="64" t="n">
        <f aca="false">IF(AND($P70&gt;0,$O70&gt;0),$P70,0)</f>
        <v>1</v>
      </c>
      <c r="R70" s="64" t="n">
        <f aca="false">IF(AND($Q70&gt;0,$O70&gt;=AtRank),$Q70,0)</f>
        <v>1</v>
      </c>
      <c r="S70" s="64" t="n">
        <f aca="false">IF(AND($Q70&gt;0,$O70&gt;=AboveRank),$Q70,0)</f>
        <v>1</v>
      </c>
      <c r="T70" s="64" t="n">
        <f aca="false">IF($K70="Less",$P70,0)</f>
        <v>0</v>
      </c>
      <c r="U70" s="64" t="n">
        <f aca="false">IF($K70="Expected",$P70,0)</f>
        <v>0</v>
      </c>
      <c r="V70" s="64" t="n">
        <f aca="false">IF($K70="Better",$P70,0)</f>
        <v>1</v>
      </c>
      <c r="W70" s="64" t="n">
        <f aca="false">IF($K70="U – needs rule",$P70,0)</f>
        <v>0</v>
      </c>
      <c r="X70" s="64" t="n">
        <f aca="false">IF($K70="No Start (attainment only)",$P70,0)</f>
        <v>0</v>
      </c>
    </row>
    <row r="71" customFormat="false" ht="15" hidden="false" customHeight="false" outlineLevel="0" collapsed="false">
      <c r="A71" s="60" t="s">
        <v>777</v>
      </c>
      <c r="B71" s="61" t="str">
        <f aca="false">IF($M71=0,"",INDEX(Classes!$E$6:$E$420,$M71))</f>
        <v>Arabic A</v>
      </c>
      <c r="C71" s="62" t="str">
        <f aca="false">IF($M71=0,"",INDEX(Classes!$H$6:$H$420,$M71))</f>
        <v>Mr Ayman Bobo</v>
      </c>
      <c r="D71" s="61" t="str">
        <f aca="false">IF($M71=0,"",INDEX(Classes!$B$6:$B$420,$M71))</f>
        <v>Year 10</v>
      </c>
      <c r="E71" s="61" t="str">
        <f aca="false">IF($M71=0,"",INDEX(Classes!$C$6:$C$420,$M71))</f>
        <v>ah</v>
      </c>
      <c r="F71" s="63" t="s">
        <v>107</v>
      </c>
      <c r="G71" s="63" t="s">
        <v>1017</v>
      </c>
      <c r="H71" s="60" t="s">
        <v>200</v>
      </c>
      <c r="I71" s="60" t="s">
        <v>201</v>
      </c>
      <c r="J71" s="63" t="n">
        <v>1</v>
      </c>
      <c r="K71" s="61" t="str">
        <f aca="false">IF($P71=0,"",IF($F71="Baseline","— Baseline",IF($O71=0,"No result",IF($N71=0,"No Start (attainment only)",IF(OR($N71=1,$O71=1),"U – needs rule",INDEX(MxBody,MATCH($I71,MxCurr,0),MATCH($H71,MxStart,0)))))))</f>
        <v>Better</v>
      </c>
      <c r="L71" s="62" t="str">
        <f aca="false">IF(COUNTA($A71,$F71,$G71,$H71,$I71,$J71)=0,"",IF($M71=0,"✖ كود الصف غير موجود",IF(ISNA(MATCH($F71,Lists!$A$2:$A$5,0)),"✖ الفترة غير صحيحة",IF(ISNA(MATCH($G71,Lists!$B$2:$B$7,0)),"✖ المجموعة غير صحيحة",IF(NOT(OR($H71="",$N71&gt;0)),"✖ Start غير صحيح",IF(NOT(OR($I71="",$I71="NR",$O71&gt;0)),"✖ Current غير صحيح",IF(NOT(IF(ISNUMBER($J71),AND($J71&gt;=0,$J71=INT($J71)),FALSE())),"✖ العدد يجب أن يكون صحيحًا ≥ 0",IF(AND($F71="Baseline",$H71&lt;&gt;""),"⚠ Baseline: Start لا يدخل في التقدم",IF($K71="No Start (attainment only)","ℹ تحصيل فقط (بدون Start)",IF($K71="U – needs rule","ℹ حالة U تحتاج قاعدة معتمدة",IF($K71="No result","ℹ بدون نتيجة (يُستبعد من التحصيل)","OK")))))))))))</f>
        <v>OK</v>
      </c>
      <c r="M71" s="64" t="n">
        <f aca="false">IF($A71="",0,IFERROR(MATCH($A71,Classes!$A$6:$A$420,0),0))</f>
        <v>282</v>
      </c>
      <c r="N71" s="64" t="n">
        <f aca="false">IF($H71="",0,IFERROR(MATCH($H71,GradeList,0),0))</f>
        <v>5</v>
      </c>
      <c r="O71" s="64" t="n">
        <f aca="false">IF(OR($I71="",$I71="NR"),0,IFERROR(MATCH($I71,GradeList,0),0))</f>
        <v>6</v>
      </c>
      <c r="P71" s="64" t="n">
        <f aca="false">IF(AND($M71&gt;0,ISNUMBER(MATCH($F71,Lists!$A$2:$A$5,0)),ISNUMBER(MATCH($G71,Lists!$B$2:$B$7,0)),OR($H71="",$N71&gt;0),OR($I71="",$I71="NR",$O71&gt;0),IF(ISNUMBER($J71),AND($J71&gt;=0,$J71=INT($J71)),FALSE())),$J71,0)</f>
        <v>1</v>
      </c>
      <c r="Q71" s="64" t="n">
        <f aca="false">IF(AND($P71&gt;0,$O71&gt;0),$P71,0)</f>
        <v>1</v>
      </c>
      <c r="R71" s="64" t="n">
        <f aca="false">IF(AND($Q71&gt;0,$O71&gt;=AtRank),$Q71,0)</f>
        <v>1</v>
      </c>
      <c r="S71" s="64" t="n">
        <f aca="false">IF(AND($Q71&gt;0,$O71&gt;=AboveRank),$Q71,0)</f>
        <v>0</v>
      </c>
      <c r="T71" s="64" t="n">
        <f aca="false">IF($K71="Less",$P71,0)</f>
        <v>0</v>
      </c>
      <c r="U71" s="64" t="n">
        <f aca="false">IF($K71="Expected",$P71,0)</f>
        <v>0</v>
      </c>
      <c r="V71" s="64" t="n">
        <f aca="false">IF($K71="Better",$P71,0)</f>
        <v>1</v>
      </c>
      <c r="W71" s="64" t="n">
        <f aca="false">IF($K71="U – needs rule",$P71,0)</f>
        <v>0</v>
      </c>
      <c r="X71" s="64" t="n">
        <f aca="false">IF($K71="No Start (attainment only)",$P71,0)</f>
        <v>0</v>
      </c>
    </row>
    <row r="72" customFormat="false" ht="15" hidden="false" customHeight="false" outlineLevel="0" collapsed="false">
      <c r="A72" s="60" t="s">
        <v>777</v>
      </c>
      <c r="B72" s="61" t="str">
        <f aca="false">IF($M72=0,"",INDEX(Classes!$E$6:$E$420,$M72))</f>
        <v>Arabic A</v>
      </c>
      <c r="C72" s="62" t="str">
        <f aca="false">IF($M72=0,"",INDEX(Classes!$H$6:$H$420,$M72))</f>
        <v>Mr Ayman Bobo</v>
      </c>
      <c r="D72" s="61" t="str">
        <f aca="false">IF($M72=0,"",INDEX(Classes!$B$6:$B$420,$M72))</f>
        <v>Year 10</v>
      </c>
      <c r="E72" s="61" t="str">
        <f aca="false">IF($M72=0,"",INDEX(Classes!$C$6:$C$420,$M72))</f>
        <v>ah</v>
      </c>
      <c r="F72" s="63" t="s">
        <v>107</v>
      </c>
      <c r="G72" s="63" t="s">
        <v>1017</v>
      </c>
      <c r="H72" s="60" t="s">
        <v>204</v>
      </c>
      <c r="I72" s="60" t="s">
        <v>205</v>
      </c>
      <c r="J72" s="63" t="n">
        <v>2</v>
      </c>
      <c r="K72" s="61" t="str">
        <f aca="false">IF($P72=0,"",IF($F72="Baseline","— Baseline",IF($O72=0,"No result",IF($N72=0,"No Start (attainment only)",IF(OR($N72=1,$O72=1),"U – needs rule",INDEX(MxBody,MATCH($I72,MxCurr,0),MATCH($H72,MxStart,0)))))))</f>
        <v>Better</v>
      </c>
      <c r="L72" s="62" t="str">
        <f aca="false">IF(COUNTA($A72,$F72,$G72,$H72,$I72,$J72)=0,"",IF($M72=0,"✖ كود الصف غير موجود",IF(ISNA(MATCH($F72,Lists!$A$2:$A$5,0)),"✖ الفترة غير صحيحة",IF(ISNA(MATCH($G72,Lists!$B$2:$B$7,0)),"✖ المجموعة غير صحيحة",IF(NOT(OR($H72="",$N72&gt;0)),"✖ Start غير صحيح",IF(NOT(OR($I72="",$I72="NR",$O72&gt;0)),"✖ Current غير صحيح",IF(NOT(IF(ISNUMBER($J72),AND($J72&gt;=0,$J72=INT($J72)),FALSE())),"✖ العدد يجب أن يكون صحيحًا ≥ 0",IF(AND($F72="Baseline",$H72&lt;&gt;""),"⚠ Baseline: Start لا يدخل في التقدم",IF($K72="No Start (attainment only)","ℹ تحصيل فقط (بدون Start)",IF($K72="U – needs rule","ℹ حالة U تحتاج قاعدة معتمدة",IF($K72="No result","ℹ بدون نتيجة (يُستبعد من التحصيل)","OK")))))))))))</f>
        <v>OK</v>
      </c>
      <c r="M72" s="64" t="n">
        <f aca="false">IF($A72="",0,IFERROR(MATCH($A72,Classes!$A$6:$A$420,0),0))</f>
        <v>282</v>
      </c>
      <c r="N72" s="64" t="n">
        <f aca="false">IF($H72="",0,IFERROR(MATCH($H72,GradeList,0),0))</f>
        <v>9</v>
      </c>
      <c r="O72" s="64" t="n">
        <f aca="false">IF(OR($I72="",$I72="NR"),0,IFERROR(MATCH($I72,GradeList,0),0))</f>
        <v>10</v>
      </c>
      <c r="P72" s="64" t="n">
        <f aca="false">IF(AND($M72&gt;0,ISNUMBER(MATCH($F72,Lists!$A$2:$A$5,0)),ISNUMBER(MATCH($G72,Lists!$B$2:$B$7,0)),OR($H72="",$N72&gt;0),OR($I72="",$I72="NR",$O72&gt;0),IF(ISNUMBER($J72),AND($J72&gt;=0,$J72=INT($J72)),FALSE())),$J72,0)</f>
        <v>2</v>
      </c>
      <c r="Q72" s="64" t="n">
        <f aca="false">IF(AND($P72&gt;0,$O72&gt;0),$P72,0)</f>
        <v>2</v>
      </c>
      <c r="R72" s="64" t="n">
        <f aca="false">IF(AND($Q72&gt;0,$O72&gt;=AtRank),$Q72,0)</f>
        <v>2</v>
      </c>
      <c r="S72" s="64" t="n">
        <f aca="false">IF(AND($Q72&gt;0,$O72&gt;=AboveRank),$Q72,0)</f>
        <v>2</v>
      </c>
      <c r="T72" s="64" t="n">
        <f aca="false">IF($K72="Less",$P72,0)</f>
        <v>0</v>
      </c>
      <c r="U72" s="64" t="n">
        <f aca="false">IF($K72="Expected",$P72,0)</f>
        <v>0</v>
      </c>
      <c r="V72" s="64" t="n">
        <f aca="false">IF($K72="Better",$P72,0)</f>
        <v>2</v>
      </c>
      <c r="W72" s="64" t="n">
        <f aca="false">IF($K72="U – needs rule",$P72,0)</f>
        <v>0</v>
      </c>
      <c r="X72" s="64" t="n">
        <f aca="false">IF($K72="No Start (attainment only)",$P72,0)</f>
        <v>0</v>
      </c>
    </row>
    <row r="73" customFormat="false" ht="15" hidden="false" customHeight="false" outlineLevel="0" collapsed="false">
      <c r="A73" s="60" t="s">
        <v>777</v>
      </c>
      <c r="B73" s="61" t="str">
        <f aca="false">IF($M73=0,"",INDEX(Classes!$E$6:$E$420,$M73))</f>
        <v>Arabic A</v>
      </c>
      <c r="C73" s="62" t="str">
        <f aca="false">IF($M73=0,"",INDEX(Classes!$H$6:$H$420,$M73))</f>
        <v>Mr Ayman Bobo</v>
      </c>
      <c r="D73" s="61" t="str">
        <f aca="false">IF($M73=0,"",INDEX(Classes!$B$6:$B$420,$M73))</f>
        <v>Year 10</v>
      </c>
      <c r="E73" s="61" t="str">
        <f aca="false">IF($M73=0,"",INDEX(Classes!$C$6:$C$420,$M73))</f>
        <v>ah</v>
      </c>
      <c r="F73" s="63" t="s">
        <v>107</v>
      </c>
      <c r="G73" s="63" t="s">
        <v>1017</v>
      </c>
      <c r="H73" s="60" t="s">
        <v>205</v>
      </c>
      <c r="I73" s="60" t="s">
        <v>205</v>
      </c>
      <c r="J73" s="63" t="n">
        <v>1</v>
      </c>
      <c r="K73" s="61" t="str">
        <f aca="false">IF($P73=0,"",IF($F73="Baseline","— Baseline",IF($O73=0,"No result",IF($N73=0,"No Start (attainment only)",IF(OR($N73=1,$O73=1),"U – needs rule",INDEX(MxBody,MATCH($I73,MxCurr,0),MATCH($H73,MxStart,0)))))))</f>
        <v>Better</v>
      </c>
      <c r="L73" s="62" t="str">
        <f aca="false">IF(COUNTA($A73,$F73,$G73,$H73,$I73,$J73)=0,"",IF($M73=0,"✖ كود الصف غير موجود",IF(ISNA(MATCH($F73,Lists!$A$2:$A$5,0)),"✖ الفترة غير صحيحة",IF(ISNA(MATCH($G73,Lists!$B$2:$B$7,0)),"✖ المجموعة غير صحيحة",IF(NOT(OR($H73="",$N73&gt;0)),"✖ Start غير صحيح",IF(NOT(OR($I73="",$I73="NR",$O73&gt;0)),"✖ Current غير صحيح",IF(NOT(IF(ISNUMBER($J73),AND($J73&gt;=0,$J73=INT($J73)),FALSE())),"✖ العدد يجب أن يكون صحيحًا ≥ 0",IF(AND($F73="Baseline",$H73&lt;&gt;""),"⚠ Baseline: Start لا يدخل في التقدم",IF($K73="No Start (attainment only)","ℹ تحصيل فقط (بدون Start)",IF($K73="U – needs rule","ℹ حالة U تحتاج قاعدة معتمدة",IF($K73="No result","ℹ بدون نتيجة (يُستبعد من التحصيل)","OK")))))))))))</f>
        <v>OK</v>
      </c>
      <c r="M73" s="64" t="n">
        <f aca="false">IF($A73="",0,IFERROR(MATCH($A73,Classes!$A$6:$A$420,0),0))</f>
        <v>282</v>
      </c>
      <c r="N73" s="64" t="n">
        <f aca="false">IF($H73="",0,IFERROR(MATCH($H73,GradeList,0),0))</f>
        <v>10</v>
      </c>
      <c r="O73" s="64" t="n">
        <f aca="false">IF(OR($I73="",$I73="NR"),0,IFERROR(MATCH($I73,GradeList,0),0))</f>
        <v>10</v>
      </c>
      <c r="P73" s="64" t="n">
        <f aca="false">IF(AND($M73&gt;0,ISNUMBER(MATCH($F73,Lists!$A$2:$A$5,0)),ISNUMBER(MATCH($G73,Lists!$B$2:$B$7,0)),OR($H73="",$N73&gt;0),OR($I73="",$I73="NR",$O73&gt;0),IF(ISNUMBER($J73),AND($J73&gt;=0,$J73=INT($J73)),FALSE())),$J73,0)</f>
        <v>1</v>
      </c>
      <c r="Q73" s="64" t="n">
        <f aca="false">IF(AND($P73&gt;0,$O73&gt;0),$P73,0)</f>
        <v>1</v>
      </c>
      <c r="R73" s="64" t="n">
        <f aca="false">IF(AND($Q73&gt;0,$O73&gt;=AtRank),$Q73,0)</f>
        <v>1</v>
      </c>
      <c r="S73" s="64" t="n">
        <f aca="false">IF(AND($Q73&gt;0,$O73&gt;=AboveRank),$Q73,0)</f>
        <v>1</v>
      </c>
      <c r="T73" s="64" t="n">
        <f aca="false">IF($K73="Less",$P73,0)</f>
        <v>0</v>
      </c>
      <c r="U73" s="64" t="n">
        <f aca="false">IF($K73="Expected",$P73,0)</f>
        <v>0</v>
      </c>
      <c r="V73" s="64" t="n">
        <f aca="false">IF($K73="Better",$P73,0)</f>
        <v>1</v>
      </c>
      <c r="W73" s="64" t="n">
        <f aca="false">IF($K73="U – needs rule",$P73,0)</f>
        <v>0</v>
      </c>
      <c r="X73" s="64" t="n">
        <f aca="false">IF($K73="No Start (attainment only)",$P73,0)</f>
        <v>0</v>
      </c>
    </row>
    <row r="74" customFormat="false" ht="15" hidden="false" customHeight="false" outlineLevel="0" collapsed="false">
      <c r="A74" s="60" t="s">
        <v>777</v>
      </c>
      <c r="B74" s="61" t="str">
        <f aca="false">IF($M74=0,"",INDEX(Classes!$E$6:$E$420,$M74))</f>
        <v>Arabic A</v>
      </c>
      <c r="C74" s="62" t="str">
        <f aca="false">IF($M74=0,"",INDEX(Classes!$H$6:$H$420,$M74))</f>
        <v>Mr Ayman Bobo</v>
      </c>
      <c r="D74" s="61" t="str">
        <f aca="false">IF($M74=0,"",INDEX(Classes!$B$6:$B$420,$M74))</f>
        <v>Year 10</v>
      </c>
      <c r="E74" s="61" t="str">
        <f aca="false">IF($M74=0,"",INDEX(Classes!$C$6:$C$420,$M74))</f>
        <v>ah</v>
      </c>
      <c r="F74" s="63" t="s">
        <v>107</v>
      </c>
      <c r="G74" s="63" t="s">
        <v>1018</v>
      </c>
      <c r="H74" s="60" t="s">
        <v>202</v>
      </c>
      <c r="I74" s="60" t="s">
        <v>202</v>
      </c>
      <c r="J74" s="63" t="n">
        <v>1</v>
      </c>
      <c r="K74" s="61" t="str">
        <f aca="false">IF($P74=0,"",IF($F74="Baseline","— Baseline",IF($O74=0,"No result",IF($N74=0,"No Start (attainment only)",IF(OR($N74=1,$O74=1),"U – needs rule",INDEX(MxBody,MATCH($I74,MxCurr,0),MATCH($H74,MxStart,0)))))))</f>
        <v>Better</v>
      </c>
      <c r="L74" s="62" t="str">
        <f aca="false">IF(COUNTA($A74,$F74,$G74,$H74,$I74,$J74)=0,"",IF($M74=0,"✖ كود الصف غير موجود",IF(ISNA(MATCH($F74,Lists!$A$2:$A$5,0)),"✖ الفترة غير صحيحة",IF(ISNA(MATCH($G74,Lists!$B$2:$B$7,0)),"✖ المجموعة غير صحيحة",IF(NOT(OR($H74="",$N74&gt;0)),"✖ Start غير صحيح",IF(NOT(OR($I74="",$I74="NR",$O74&gt;0)),"✖ Current غير صحيح",IF(NOT(IF(ISNUMBER($J74),AND($J74&gt;=0,$J74=INT($J74)),FALSE())),"✖ العدد يجب أن يكون صحيحًا ≥ 0",IF(AND($F74="Baseline",$H74&lt;&gt;""),"⚠ Baseline: Start لا يدخل في التقدم",IF($K74="No Start (attainment only)","ℹ تحصيل فقط (بدون Start)",IF($K74="U – needs rule","ℹ حالة U تحتاج قاعدة معتمدة",IF($K74="No result","ℹ بدون نتيجة (يُستبعد من التحصيل)","OK")))))))))))</f>
        <v>OK</v>
      </c>
      <c r="M74" s="64" t="n">
        <f aca="false">IF($A74="",0,IFERROR(MATCH($A74,Classes!$A$6:$A$420,0),0))</f>
        <v>282</v>
      </c>
      <c r="N74" s="64" t="n">
        <f aca="false">IF($H74="",0,IFERROR(MATCH($H74,GradeList,0),0))</f>
        <v>7</v>
      </c>
      <c r="O74" s="64" t="n">
        <f aca="false">IF(OR($I74="",$I74="NR"),0,IFERROR(MATCH($I74,GradeList,0),0))</f>
        <v>7</v>
      </c>
      <c r="P74" s="64" t="n">
        <f aca="false">IF(AND($M74&gt;0,ISNUMBER(MATCH($F74,Lists!$A$2:$A$5,0)),ISNUMBER(MATCH($G74,Lists!$B$2:$B$7,0)),OR($H74="",$N74&gt;0),OR($I74="",$I74="NR",$O74&gt;0),IF(ISNUMBER($J74),AND($J74&gt;=0,$J74=INT($J74)),FALSE())),$J74,0)</f>
        <v>1</v>
      </c>
      <c r="Q74" s="64" t="n">
        <f aca="false">IF(AND($P74&gt;0,$O74&gt;0),$P74,0)</f>
        <v>1</v>
      </c>
      <c r="R74" s="64" t="n">
        <f aca="false">IF(AND($Q74&gt;0,$O74&gt;=AtRank),$Q74,0)</f>
        <v>1</v>
      </c>
      <c r="S74" s="64" t="n">
        <f aca="false">IF(AND($Q74&gt;0,$O74&gt;=AboveRank),$Q74,0)</f>
        <v>1</v>
      </c>
      <c r="T74" s="64" t="n">
        <f aca="false">IF($K74="Less",$P74,0)</f>
        <v>0</v>
      </c>
      <c r="U74" s="64" t="n">
        <f aca="false">IF($K74="Expected",$P74,0)</f>
        <v>0</v>
      </c>
      <c r="V74" s="64" t="n">
        <f aca="false">IF($K74="Better",$P74,0)</f>
        <v>1</v>
      </c>
      <c r="W74" s="64" t="n">
        <f aca="false">IF($K74="U – needs rule",$P74,0)</f>
        <v>0</v>
      </c>
      <c r="X74" s="64" t="n">
        <f aca="false">IF($K74="No Start (attainment only)",$P74,0)</f>
        <v>0</v>
      </c>
    </row>
    <row r="75" customFormat="false" ht="15" hidden="false" customHeight="false" outlineLevel="0" collapsed="false">
      <c r="A75" s="60" t="s">
        <v>777</v>
      </c>
      <c r="B75" s="61" t="str">
        <f aca="false">IF($M75=0,"",INDEX(Classes!$E$6:$E$420,$M75))</f>
        <v>Arabic A</v>
      </c>
      <c r="C75" s="62" t="str">
        <f aca="false">IF($M75=0,"",INDEX(Classes!$H$6:$H$420,$M75))</f>
        <v>Mr Ayman Bobo</v>
      </c>
      <c r="D75" s="61" t="str">
        <f aca="false">IF($M75=0,"",INDEX(Classes!$B$6:$B$420,$M75))</f>
        <v>Year 10</v>
      </c>
      <c r="E75" s="61" t="str">
        <f aca="false">IF($M75=0,"",INDEX(Classes!$C$6:$C$420,$M75))</f>
        <v>ah</v>
      </c>
      <c r="F75" s="63" t="s">
        <v>107</v>
      </c>
      <c r="G75" s="63" t="s">
        <v>1018</v>
      </c>
      <c r="H75" s="60" t="s">
        <v>202</v>
      </c>
      <c r="I75" s="60" t="s">
        <v>203</v>
      </c>
      <c r="J75" s="63" t="n">
        <v>1</v>
      </c>
      <c r="K75" s="61" t="str">
        <f aca="false">IF($P75=0,"",IF($F75="Baseline","— Baseline",IF($O75=0,"No result",IF($N75=0,"No Start (attainment only)",IF(OR($N75=1,$O75=1),"U – needs rule",INDEX(MxBody,MATCH($I75,MxCurr,0),MATCH($H75,MxStart,0)))))))</f>
        <v>Better</v>
      </c>
      <c r="L75" s="62" t="str">
        <f aca="false">IF(COUNTA($A75,$F75,$G75,$H75,$I75,$J75)=0,"",IF($M75=0,"✖ كود الصف غير موجود",IF(ISNA(MATCH($F75,Lists!$A$2:$A$5,0)),"✖ الفترة غير صحيحة",IF(ISNA(MATCH($G75,Lists!$B$2:$B$7,0)),"✖ المجموعة غير صحيحة",IF(NOT(OR($H75="",$N75&gt;0)),"✖ Start غير صحيح",IF(NOT(OR($I75="",$I75="NR",$O75&gt;0)),"✖ Current غير صحيح",IF(NOT(IF(ISNUMBER($J75),AND($J75&gt;=0,$J75=INT($J75)),FALSE())),"✖ العدد يجب أن يكون صحيحًا ≥ 0",IF(AND($F75="Baseline",$H75&lt;&gt;""),"⚠ Baseline: Start لا يدخل في التقدم",IF($K75="No Start (attainment only)","ℹ تحصيل فقط (بدون Start)",IF($K75="U – needs rule","ℹ حالة U تحتاج قاعدة معتمدة",IF($K75="No result","ℹ بدون نتيجة (يُستبعد من التحصيل)","OK")))))))))))</f>
        <v>OK</v>
      </c>
      <c r="M75" s="64" t="n">
        <f aca="false">IF($A75="",0,IFERROR(MATCH($A75,Classes!$A$6:$A$420,0),0))</f>
        <v>282</v>
      </c>
      <c r="N75" s="64" t="n">
        <f aca="false">IF($H75="",0,IFERROR(MATCH($H75,GradeList,0),0))</f>
        <v>7</v>
      </c>
      <c r="O75" s="64" t="n">
        <f aca="false">IF(OR($I75="",$I75="NR"),0,IFERROR(MATCH($I75,GradeList,0),0))</f>
        <v>8</v>
      </c>
      <c r="P75" s="64" t="n">
        <f aca="false">IF(AND($M75&gt;0,ISNUMBER(MATCH($F75,Lists!$A$2:$A$5,0)),ISNUMBER(MATCH($G75,Lists!$B$2:$B$7,0)),OR($H75="",$N75&gt;0),OR($I75="",$I75="NR",$O75&gt;0),IF(ISNUMBER($J75),AND($J75&gt;=0,$J75=INT($J75)),FALSE())),$J75,0)</f>
        <v>1</v>
      </c>
      <c r="Q75" s="64" t="n">
        <f aca="false">IF(AND($P75&gt;0,$O75&gt;0),$P75,0)</f>
        <v>1</v>
      </c>
      <c r="R75" s="64" t="n">
        <f aca="false">IF(AND($Q75&gt;0,$O75&gt;=AtRank),$Q75,0)</f>
        <v>1</v>
      </c>
      <c r="S75" s="64" t="n">
        <f aca="false">IF(AND($Q75&gt;0,$O75&gt;=AboveRank),$Q75,0)</f>
        <v>1</v>
      </c>
      <c r="T75" s="64" t="n">
        <f aca="false">IF($K75="Less",$P75,0)</f>
        <v>0</v>
      </c>
      <c r="U75" s="64" t="n">
        <f aca="false">IF($K75="Expected",$P75,0)</f>
        <v>0</v>
      </c>
      <c r="V75" s="64" t="n">
        <f aca="false">IF($K75="Better",$P75,0)</f>
        <v>1</v>
      </c>
      <c r="W75" s="64" t="n">
        <f aca="false">IF($K75="U – needs rule",$P75,0)</f>
        <v>0</v>
      </c>
      <c r="X75" s="64" t="n">
        <f aca="false">IF($K75="No Start (attainment only)",$P75,0)</f>
        <v>0</v>
      </c>
    </row>
    <row r="76" customFormat="false" ht="15" hidden="false" customHeight="false" outlineLevel="0" collapsed="false">
      <c r="A76" s="60" t="s">
        <v>777</v>
      </c>
      <c r="B76" s="61" t="str">
        <f aca="false">IF($M76=0,"",INDEX(Classes!$E$6:$E$420,$M76))</f>
        <v>Arabic A</v>
      </c>
      <c r="C76" s="62" t="str">
        <f aca="false">IF($M76=0,"",INDEX(Classes!$H$6:$H$420,$M76))</f>
        <v>Mr Ayman Bobo</v>
      </c>
      <c r="D76" s="61" t="str">
        <f aca="false">IF($M76=0,"",INDEX(Classes!$B$6:$B$420,$M76))</f>
        <v>Year 10</v>
      </c>
      <c r="E76" s="61" t="str">
        <f aca="false">IF($M76=0,"",INDEX(Classes!$C$6:$C$420,$M76))</f>
        <v>ah</v>
      </c>
      <c r="F76" s="63" t="s">
        <v>107</v>
      </c>
      <c r="G76" s="63" t="s">
        <v>1018</v>
      </c>
      <c r="H76" s="60" t="s">
        <v>203</v>
      </c>
      <c r="I76" s="60" t="s">
        <v>202</v>
      </c>
      <c r="J76" s="63" t="n">
        <v>1</v>
      </c>
      <c r="K76" s="61" t="str">
        <f aca="false">IF($P76=0,"",IF($F76="Baseline","— Baseline",IF($O76=0,"No result",IF($N76=0,"No Start (attainment only)",IF(OR($N76=1,$O76=1),"U – needs rule",INDEX(MxBody,MATCH($I76,MxCurr,0),MATCH($H76,MxStart,0)))))))</f>
        <v>Expected</v>
      </c>
      <c r="L76" s="62" t="str">
        <f aca="false">IF(COUNTA($A76,$F76,$G76,$H76,$I76,$J76)=0,"",IF($M76=0,"✖ كود الصف غير موجود",IF(ISNA(MATCH($F76,Lists!$A$2:$A$5,0)),"✖ الفترة غير صحيحة",IF(ISNA(MATCH($G76,Lists!$B$2:$B$7,0)),"✖ المجموعة غير صحيحة",IF(NOT(OR($H76="",$N76&gt;0)),"✖ Start غير صحيح",IF(NOT(OR($I76="",$I76="NR",$O76&gt;0)),"✖ Current غير صحيح",IF(NOT(IF(ISNUMBER($J76),AND($J76&gt;=0,$J76=INT($J76)),FALSE())),"✖ العدد يجب أن يكون صحيحًا ≥ 0",IF(AND($F76="Baseline",$H76&lt;&gt;""),"⚠ Baseline: Start لا يدخل في التقدم",IF($K76="No Start (attainment only)","ℹ تحصيل فقط (بدون Start)",IF($K76="U – needs rule","ℹ حالة U تحتاج قاعدة معتمدة",IF($K76="No result","ℹ بدون نتيجة (يُستبعد من التحصيل)","OK")))))))))))</f>
        <v>OK</v>
      </c>
      <c r="M76" s="64" t="n">
        <f aca="false">IF($A76="",0,IFERROR(MATCH($A76,Classes!$A$6:$A$420,0),0))</f>
        <v>282</v>
      </c>
      <c r="N76" s="64" t="n">
        <f aca="false">IF($H76="",0,IFERROR(MATCH($H76,GradeList,0),0))</f>
        <v>8</v>
      </c>
      <c r="O76" s="64" t="n">
        <f aca="false">IF(OR($I76="",$I76="NR"),0,IFERROR(MATCH($I76,GradeList,0),0))</f>
        <v>7</v>
      </c>
      <c r="P76" s="64" t="n">
        <f aca="false">IF(AND($M76&gt;0,ISNUMBER(MATCH($F76,Lists!$A$2:$A$5,0)),ISNUMBER(MATCH($G76,Lists!$B$2:$B$7,0)),OR($H76="",$N76&gt;0),OR($I76="",$I76="NR",$O76&gt;0),IF(ISNUMBER($J76),AND($J76&gt;=0,$J76=INT($J76)),FALSE())),$J76,0)</f>
        <v>1</v>
      </c>
      <c r="Q76" s="64" t="n">
        <f aca="false">IF(AND($P76&gt;0,$O76&gt;0),$P76,0)</f>
        <v>1</v>
      </c>
      <c r="R76" s="64" t="n">
        <f aca="false">IF(AND($Q76&gt;0,$O76&gt;=AtRank),$Q76,0)</f>
        <v>1</v>
      </c>
      <c r="S76" s="64" t="n">
        <f aca="false">IF(AND($Q76&gt;0,$O76&gt;=AboveRank),$Q76,0)</f>
        <v>1</v>
      </c>
      <c r="T76" s="64" t="n">
        <f aca="false">IF($K76="Less",$P76,0)</f>
        <v>0</v>
      </c>
      <c r="U76" s="64" t="n">
        <f aca="false">IF($K76="Expected",$P76,0)</f>
        <v>1</v>
      </c>
      <c r="V76" s="64" t="n">
        <f aca="false">IF($K76="Better",$P76,0)</f>
        <v>0</v>
      </c>
      <c r="W76" s="64" t="n">
        <f aca="false">IF($K76="U – needs rule",$P76,0)</f>
        <v>0</v>
      </c>
      <c r="X76" s="64" t="n">
        <f aca="false">IF($K76="No Start (attainment only)",$P76,0)</f>
        <v>0</v>
      </c>
    </row>
    <row r="77" customFormat="false" ht="15" hidden="false" customHeight="false" outlineLevel="0" collapsed="false">
      <c r="A77" s="60" t="s">
        <v>777</v>
      </c>
      <c r="B77" s="61" t="str">
        <f aca="false">IF($M77=0,"",INDEX(Classes!$E$6:$E$420,$M77))</f>
        <v>Arabic A</v>
      </c>
      <c r="C77" s="62" t="str">
        <f aca="false">IF($M77=0,"",INDEX(Classes!$H$6:$H$420,$M77))</f>
        <v>Mr Ayman Bobo</v>
      </c>
      <c r="D77" s="61" t="str">
        <f aca="false">IF($M77=0,"",INDEX(Classes!$B$6:$B$420,$M77))</f>
        <v>Year 10</v>
      </c>
      <c r="E77" s="61" t="str">
        <f aca="false">IF($M77=0,"",INDEX(Classes!$C$6:$C$420,$M77))</f>
        <v>ah</v>
      </c>
      <c r="F77" s="63" t="s">
        <v>107</v>
      </c>
      <c r="G77" s="63" t="s">
        <v>1018</v>
      </c>
      <c r="H77" s="60" t="s">
        <v>203</v>
      </c>
      <c r="I77" s="60" t="s">
        <v>203</v>
      </c>
      <c r="J77" s="63" t="n">
        <v>1</v>
      </c>
      <c r="K77" s="61" t="str">
        <f aca="false">IF($P77=0,"",IF($F77="Baseline","— Baseline",IF($O77=0,"No result",IF($N77=0,"No Start (attainment only)",IF(OR($N77=1,$O77=1),"U – needs rule",INDEX(MxBody,MATCH($I77,MxCurr,0),MATCH($H77,MxStart,0)))))))</f>
        <v>Better</v>
      </c>
      <c r="L77" s="62" t="str">
        <f aca="false">IF(COUNTA($A77,$F77,$G77,$H77,$I77,$J77)=0,"",IF($M77=0,"✖ كود الصف غير موجود",IF(ISNA(MATCH($F77,Lists!$A$2:$A$5,0)),"✖ الفترة غير صحيحة",IF(ISNA(MATCH($G77,Lists!$B$2:$B$7,0)),"✖ المجموعة غير صحيحة",IF(NOT(OR($H77="",$N77&gt;0)),"✖ Start غير صحيح",IF(NOT(OR($I77="",$I77="NR",$O77&gt;0)),"✖ Current غير صحيح",IF(NOT(IF(ISNUMBER($J77),AND($J77&gt;=0,$J77=INT($J77)),FALSE())),"✖ العدد يجب أن يكون صحيحًا ≥ 0",IF(AND($F77="Baseline",$H77&lt;&gt;""),"⚠ Baseline: Start لا يدخل في التقدم",IF($K77="No Start (attainment only)","ℹ تحصيل فقط (بدون Start)",IF($K77="U – needs rule","ℹ حالة U تحتاج قاعدة معتمدة",IF($K77="No result","ℹ بدون نتيجة (يُستبعد من التحصيل)","OK")))))))))))</f>
        <v>OK</v>
      </c>
      <c r="M77" s="64" t="n">
        <f aca="false">IF($A77="",0,IFERROR(MATCH($A77,Classes!$A$6:$A$420,0),0))</f>
        <v>282</v>
      </c>
      <c r="N77" s="64" t="n">
        <f aca="false">IF($H77="",0,IFERROR(MATCH($H77,GradeList,0),0))</f>
        <v>8</v>
      </c>
      <c r="O77" s="64" t="n">
        <f aca="false">IF(OR($I77="",$I77="NR"),0,IFERROR(MATCH($I77,GradeList,0),0))</f>
        <v>8</v>
      </c>
      <c r="P77" s="64" t="n">
        <f aca="false">IF(AND($M77&gt;0,ISNUMBER(MATCH($F77,Lists!$A$2:$A$5,0)),ISNUMBER(MATCH($G77,Lists!$B$2:$B$7,0)),OR($H77="",$N77&gt;0),OR($I77="",$I77="NR",$O77&gt;0),IF(ISNUMBER($J77),AND($J77&gt;=0,$J77=INT($J77)),FALSE())),$J77,0)</f>
        <v>1</v>
      </c>
      <c r="Q77" s="64" t="n">
        <f aca="false">IF(AND($P77&gt;0,$O77&gt;0),$P77,0)</f>
        <v>1</v>
      </c>
      <c r="R77" s="64" t="n">
        <f aca="false">IF(AND($Q77&gt;0,$O77&gt;=AtRank),$Q77,0)</f>
        <v>1</v>
      </c>
      <c r="S77" s="64" t="n">
        <f aca="false">IF(AND($Q77&gt;0,$O77&gt;=AboveRank),$Q77,0)</f>
        <v>1</v>
      </c>
      <c r="T77" s="64" t="n">
        <f aca="false">IF($K77="Less",$P77,0)</f>
        <v>0</v>
      </c>
      <c r="U77" s="64" t="n">
        <f aca="false">IF($K77="Expected",$P77,0)</f>
        <v>0</v>
      </c>
      <c r="V77" s="64" t="n">
        <f aca="false">IF($K77="Better",$P77,0)</f>
        <v>1</v>
      </c>
      <c r="W77" s="64" t="n">
        <f aca="false">IF($K77="U – needs rule",$P77,0)</f>
        <v>0</v>
      </c>
      <c r="X77" s="64" t="n">
        <f aca="false">IF($K77="No Start (attainment only)",$P77,0)</f>
        <v>0</v>
      </c>
    </row>
    <row r="78" customFormat="false" ht="15" hidden="false" customHeight="false" outlineLevel="0" collapsed="false">
      <c r="A78" s="60" t="s">
        <v>777</v>
      </c>
      <c r="B78" s="61" t="str">
        <f aca="false">IF($M78=0,"",INDEX(Classes!$E$6:$E$420,$M78))</f>
        <v>Arabic A</v>
      </c>
      <c r="C78" s="62" t="str">
        <f aca="false">IF($M78=0,"",INDEX(Classes!$H$6:$H$420,$M78))</f>
        <v>Mr Ayman Bobo</v>
      </c>
      <c r="D78" s="61" t="str">
        <f aca="false">IF($M78=0,"",INDEX(Classes!$B$6:$B$420,$M78))</f>
        <v>Year 10</v>
      </c>
      <c r="E78" s="61" t="str">
        <f aca="false">IF($M78=0,"",INDEX(Classes!$C$6:$C$420,$M78))</f>
        <v>ah</v>
      </c>
      <c r="F78" s="63" t="s">
        <v>107</v>
      </c>
      <c r="G78" s="63" t="s">
        <v>1018</v>
      </c>
      <c r="H78" s="60" t="s">
        <v>203</v>
      </c>
      <c r="I78" s="60" t="s">
        <v>204</v>
      </c>
      <c r="J78" s="63" t="n">
        <v>1</v>
      </c>
      <c r="K78" s="61" t="str">
        <f aca="false">IF($P78=0,"",IF($F78="Baseline","— Baseline",IF($O78=0,"No result",IF($N78=0,"No Start (attainment only)",IF(OR($N78=1,$O78=1),"U – needs rule",INDEX(MxBody,MATCH($I78,MxCurr,0),MATCH($H78,MxStart,0)))))))</f>
        <v>Better</v>
      </c>
      <c r="L78" s="62" t="str">
        <f aca="false">IF(COUNTA($A78,$F78,$G78,$H78,$I78,$J78)=0,"",IF($M78=0,"✖ كود الصف غير موجود",IF(ISNA(MATCH($F78,Lists!$A$2:$A$5,0)),"✖ الفترة غير صحيحة",IF(ISNA(MATCH($G78,Lists!$B$2:$B$7,0)),"✖ المجموعة غير صحيحة",IF(NOT(OR($H78="",$N78&gt;0)),"✖ Start غير صحيح",IF(NOT(OR($I78="",$I78="NR",$O78&gt;0)),"✖ Current غير صحيح",IF(NOT(IF(ISNUMBER($J78),AND($J78&gt;=0,$J78=INT($J78)),FALSE())),"✖ العدد يجب أن يكون صحيحًا ≥ 0",IF(AND($F78="Baseline",$H78&lt;&gt;""),"⚠ Baseline: Start لا يدخل في التقدم",IF($K78="No Start (attainment only)","ℹ تحصيل فقط (بدون Start)",IF($K78="U – needs rule","ℹ حالة U تحتاج قاعدة معتمدة",IF($K78="No result","ℹ بدون نتيجة (يُستبعد من التحصيل)","OK")))))))))))</f>
        <v>OK</v>
      </c>
      <c r="M78" s="64" t="n">
        <f aca="false">IF($A78="",0,IFERROR(MATCH($A78,Classes!$A$6:$A$420,0),0))</f>
        <v>282</v>
      </c>
      <c r="N78" s="64" t="n">
        <f aca="false">IF($H78="",0,IFERROR(MATCH($H78,GradeList,0),0))</f>
        <v>8</v>
      </c>
      <c r="O78" s="64" t="n">
        <f aca="false">IF(OR($I78="",$I78="NR"),0,IFERROR(MATCH($I78,GradeList,0),0))</f>
        <v>9</v>
      </c>
      <c r="P78" s="64" t="n">
        <f aca="false">IF(AND($M78&gt;0,ISNUMBER(MATCH($F78,Lists!$A$2:$A$5,0)),ISNUMBER(MATCH($G78,Lists!$B$2:$B$7,0)),OR($H78="",$N78&gt;0),OR($I78="",$I78="NR",$O78&gt;0),IF(ISNUMBER($J78),AND($J78&gt;=0,$J78=INT($J78)),FALSE())),$J78,0)</f>
        <v>1</v>
      </c>
      <c r="Q78" s="64" t="n">
        <f aca="false">IF(AND($P78&gt;0,$O78&gt;0),$P78,0)</f>
        <v>1</v>
      </c>
      <c r="R78" s="64" t="n">
        <f aca="false">IF(AND($Q78&gt;0,$O78&gt;=AtRank),$Q78,0)</f>
        <v>1</v>
      </c>
      <c r="S78" s="64" t="n">
        <f aca="false">IF(AND($Q78&gt;0,$O78&gt;=AboveRank),$Q78,0)</f>
        <v>1</v>
      </c>
      <c r="T78" s="64" t="n">
        <f aca="false">IF($K78="Less",$P78,0)</f>
        <v>0</v>
      </c>
      <c r="U78" s="64" t="n">
        <f aca="false">IF($K78="Expected",$P78,0)</f>
        <v>0</v>
      </c>
      <c r="V78" s="64" t="n">
        <f aca="false">IF($K78="Better",$P78,0)</f>
        <v>1</v>
      </c>
      <c r="W78" s="64" t="n">
        <f aca="false">IF($K78="U – needs rule",$P78,0)</f>
        <v>0</v>
      </c>
      <c r="X78" s="64" t="n">
        <f aca="false">IF($K78="No Start (attainment only)",$P78,0)</f>
        <v>0</v>
      </c>
    </row>
    <row r="79" customFormat="false" ht="15" hidden="false" customHeight="false" outlineLevel="0" collapsed="false">
      <c r="A79" s="60" t="s">
        <v>777</v>
      </c>
      <c r="B79" s="61" t="str">
        <f aca="false">IF($M79=0,"",INDEX(Classes!$E$6:$E$420,$M79))</f>
        <v>Arabic A</v>
      </c>
      <c r="C79" s="62" t="str">
        <f aca="false">IF($M79=0,"",INDEX(Classes!$H$6:$H$420,$M79))</f>
        <v>Mr Ayman Bobo</v>
      </c>
      <c r="D79" s="61" t="str">
        <f aca="false">IF($M79=0,"",INDEX(Classes!$B$6:$B$420,$M79))</f>
        <v>Year 10</v>
      </c>
      <c r="E79" s="61" t="str">
        <f aca="false">IF($M79=0,"",INDEX(Classes!$C$6:$C$420,$M79))</f>
        <v>ah</v>
      </c>
      <c r="F79" s="63" t="s">
        <v>107</v>
      </c>
      <c r="G79" s="63" t="s">
        <v>1018</v>
      </c>
      <c r="H79" s="60" t="s">
        <v>200</v>
      </c>
      <c r="I79" s="60" t="s">
        <v>201</v>
      </c>
      <c r="J79" s="63" t="n">
        <v>1</v>
      </c>
      <c r="K79" s="61" t="str">
        <f aca="false">IF($P79=0,"",IF($F79="Baseline","— Baseline",IF($O79=0,"No result",IF($N79=0,"No Start (attainment only)",IF(OR($N79=1,$O79=1),"U – needs rule",INDEX(MxBody,MATCH($I79,MxCurr,0),MATCH($H79,MxStart,0)))))))</f>
        <v>Better</v>
      </c>
      <c r="L79" s="62" t="str">
        <f aca="false">IF(COUNTA($A79,$F79,$G79,$H79,$I79,$J79)=0,"",IF($M79=0,"✖ كود الصف غير موجود",IF(ISNA(MATCH($F79,Lists!$A$2:$A$5,0)),"✖ الفترة غير صحيحة",IF(ISNA(MATCH($G79,Lists!$B$2:$B$7,0)),"✖ المجموعة غير صحيحة",IF(NOT(OR($H79="",$N79&gt;0)),"✖ Start غير صحيح",IF(NOT(OR($I79="",$I79="NR",$O79&gt;0)),"✖ Current غير صحيح",IF(NOT(IF(ISNUMBER($J79),AND($J79&gt;=0,$J79=INT($J79)),FALSE())),"✖ العدد يجب أن يكون صحيحًا ≥ 0",IF(AND($F79="Baseline",$H79&lt;&gt;""),"⚠ Baseline: Start لا يدخل في التقدم",IF($K79="No Start (attainment only)","ℹ تحصيل فقط (بدون Start)",IF($K79="U – needs rule","ℹ حالة U تحتاج قاعدة معتمدة",IF($K79="No result","ℹ بدون نتيجة (يُستبعد من التحصيل)","OK")))))))))))</f>
        <v>OK</v>
      </c>
      <c r="M79" s="64" t="n">
        <f aca="false">IF($A79="",0,IFERROR(MATCH($A79,Classes!$A$6:$A$420,0),0))</f>
        <v>282</v>
      </c>
      <c r="N79" s="64" t="n">
        <f aca="false">IF($H79="",0,IFERROR(MATCH($H79,GradeList,0),0))</f>
        <v>5</v>
      </c>
      <c r="O79" s="64" t="n">
        <f aca="false">IF(OR($I79="",$I79="NR"),0,IFERROR(MATCH($I79,GradeList,0),0))</f>
        <v>6</v>
      </c>
      <c r="P79" s="64" t="n">
        <f aca="false">IF(AND($M79&gt;0,ISNUMBER(MATCH($F79,Lists!$A$2:$A$5,0)),ISNUMBER(MATCH($G79,Lists!$B$2:$B$7,0)),OR($H79="",$N79&gt;0),OR($I79="",$I79="NR",$O79&gt;0),IF(ISNUMBER($J79),AND($J79&gt;=0,$J79=INT($J79)),FALSE())),$J79,0)</f>
        <v>1</v>
      </c>
      <c r="Q79" s="64" t="n">
        <f aca="false">IF(AND($P79&gt;0,$O79&gt;0),$P79,0)</f>
        <v>1</v>
      </c>
      <c r="R79" s="64" t="n">
        <f aca="false">IF(AND($Q79&gt;0,$O79&gt;=AtRank),$Q79,0)</f>
        <v>1</v>
      </c>
      <c r="S79" s="64" t="n">
        <f aca="false">IF(AND($Q79&gt;0,$O79&gt;=AboveRank),$Q79,0)</f>
        <v>0</v>
      </c>
      <c r="T79" s="64" t="n">
        <f aca="false">IF($K79="Less",$P79,0)</f>
        <v>0</v>
      </c>
      <c r="U79" s="64" t="n">
        <f aca="false">IF($K79="Expected",$P79,0)</f>
        <v>0</v>
      </c>
      <c r="V79" s="64" t="n">
        <f aca="false">IF($K79="Better",$P79,0)</f>
        <v>1</v>
      </c>
      <c r="W79" s="64" t="n">
        <f aca="false">IF($K79="U – needs rule",$P79,0)</f>
        <v>0</v>
      </c>
      <c r="X79" s="64" t="n">
        <f aca="false">IF($K79="No Start (attainment only)",$P79,0)</f>
        <v>0</v>
      </c>
    </row>
    <row r="80" customFormat="false" ht="15" hidden="false" customHeight="false" outlineLevel="0" collapsed="false">
      <c r="A80" s="60" t="s">
        <v>777</v>
      </c>
      <c r="B80" s="61" t="str">
        <f aca="false">IF($M80=0,"",INDEX(Classes!$E$6:$E$420,$M80))</f>
        <v>Arabic A</v>
      </c>
      <c r="C80" s="62" t="str">
        <f aca="false">IF($M80=0,"",INDEX(Classes!$H$6:$H$420,$M80))</f>
        <v>Mr Ayman Bobo</v>
      </c>
      <c r="D80" s="61" t="str">
        <f aca="false">IF($M80=0,"",INDEX(Classes!$B$6:$B$420,$M80))</f>
        <v>Year 10</v>
      </c>
      <c r="E80" s="61" t="str">
        <f aca="false">IF($M80=0,"",INDEX(Classes!$C$6:$C$420,$M80))</f>
        <v>ah</v>
      </c>
      <c r="F80" s="63" t="s">
        <v>107</v>
      </c>
      <c r="G80" s="63" t="s">
        <v>1018</v>
      </c>
      <c r="H80" s="60" t="s">
        <v>201</v>
      </c>
      <c r="I80" s="60" t="s">
        <v>202</v>
      </c>
      <c r="J80" s="63" t="n">
        <v>1</v>
      </c>
      <c r="K80" s="61" t="str">
        <f aca="false">IF($P80=0,"",IF($F80="Baseline","— Baseline",IF($O80=0,"No result",IF($N80=0,"No Start (attainment only)",IF(OR($N80=1,$O80=1),"U – needs rule",INDEX(MxBody,MATCH($I80,MxCurr,0),MATCH($H80,MxStart,0)))))))</f>
        <v>Better</v>
      </c>
      <c r="L80" s="62" t="str">
        <f aca="false">IF(COUNTA($A80,$F80,$G80,$H80,$I80,$J80)=0,"",IF($M80=0,"✖ كود الصف غير موجود",IF(ISNA(MATCH($F80,Lists!$A$2:$A$5,0)),"✖ الفترة غير صحيحة",IF(ISNA(MATCH($G80,Lists!$B$2:$B$7,0)),"✖ المجموعة غير صحيحة",IF(NOT(OR($H80="",$N80&gt;0)),"✖ Start غير صحيح",IF(NOT(OR($I80="",$I80="NR",$O80&gt;0)),"✖ Current غير صحيح",IF(NOT(IF(ISNUMBER($J80),AND($J80&gt;=0,$J80=INT($J80)),FALSE())),"✖ العدد يجب أن يكون صحيحًا ≥ 0",IF(AND($F80="Baseline",$H80&lt;&gt;""),"⚠ Baseline: Start لا يدخل في التقدم",IF($K80="No Start (attainment only)","ℹ تحصيل فقط (بدون Start)",IF($K80="U – needs rule","ℹ حالة U تحتاج قاعدة معتمدة",IF($K80="No result","ℹ بدون نتيجة (يُستبعد من التحصيل)","OK")))))))))))</f>
        <v>OK</v>
      </c>
      <c r="M80" s="64" t="n">
        <f aca="false">IF($A80="",0,IFERROR(MATCH($A80,Classes!$A$6:$A$420,0),0))</f>
        <v>282</v>
      </c>
      <c r="N80" s="64" t="n">
        <f aca="false">IF($H80="",0,IFERROR(MATCH($H80,GradeList,0),0))</f>
        <v>6</v>
      </c>
      <c r="O80" s="64" t="n">
        <f aca="false">IF(OR($I80="",$I80="NR"),0,IFERROR(MATCH($I80,GradeList,0),0))</f>
        <v>7</v>
      </c>
      <c r="P80" s="64" t="n">
        <f aca="false">IF(AND($M80&gt;0,ISNUMBER(MATCH($F80,Lists!$A$2:$A$5,0)),ISNUMBER(MATCH($G80,Lists!$B$2:$B$7,0)),OR($H80="",$N80&gt;0),OR($I80="",$I80="NR",$O80&gt;0),IF(ISNUMBER($J80),AND($J80&gt;=0,$J80=INT($J80)),FALSE())),$J80,0)</f>
        <v>1</v>
      </c>
      <c r="Q80" s="64" t="n">
        <f aca="false">IF(AND($P80&gt;0,$O80&gt;0),$P80,0)</f>
        <v>1</v>
      </c>
      <c r="R80" s="64" t="n">
        <f aca="false">IF(AND($Q80&gt;0,$O80&gt;=AtRank),$Q80,0)</f>
        <v>1</v>
      </c>
      <c r="S80" s="64" t="n">
        <f aca="false">IF(AND($Q80&gt;0,$O80&gt;=AboveRank),$Q80,0)</f>
        <v>1</v>
      </c>
      <c r="T80" s="64" t="n">
        <f aca="false">IF($K80="Less",$P80,0)</f>
        <v>0</v>
      </c>
      <c r="U80" s="64" t="n">
        <f aca="false">IF($K80="Expected",$P80,0)</f>
        <v>0</v>
      </c>
      <c r="V80" s="64" t="n">
        <f aca="false">IF($K80="Better",$P80,0)</f>
        <v>1</v>
      </c>
      <c r="W80" s="64" t="n">
        <f aca="false">IF($K80="U – needs rule",$P80,0)</f>
        <v>0</v>
      </c>
      <c r="X80" s="64" t="n">
        <f aca="false">IF($K80="No Start (attainment only)",$P80,0)</f>
        <v>0</v>
      </c>
    </row>
    <row r="81" customFormat="false" ht="15" hidden="false" customHeight="false" outlineLevel="0" collapsed="false">
      <c r="A81" s="60" t="s">
        <v>777</v>
      </c>
      <c r="B81" s="61" t="str">
        <f aca="false">IF($M81=0,"",INDEX(Classes!$E$6:$E$420,$M81))</f>
        <v>Arabic A</v>
      </c>
      <c r="C81" s="62" t="str">
        <f aca="false">IF($M81=0,"",INDEX(Classes!$H$6:$H$420,$M81))</f>
        <v>Mr Ayman Bobo</v>
      </c>
      <c r="D81" s="61" t="str">
        <f aca="false">IF($M81=0,"",INDEX(Classes!$B$6:$B$420,$M81))</f>
        <v>Year 10</v>
      </c>
      <c r="E81" s="61" t="str">
        <f aca="false">IF($M81=0,"",INDEX(Classes!$C$6:$C$420,$M81))</f>
        <v>ah</v>
      </c>
      <c r="F81" s="63" t="s">
        <v>107</v>
      </c>
      <c r="G81" s="63" t="s">
        <v>1018</v>
      </c>
      <c r="H81" s="60" t="s">
        <v>204</v>
      </c>
      <c r="I81" s="60" t="s">
        <v>205</v>
      </c>
      <c r="J81" s="63" t="n">
        <v>2</v>
      </c>
      <c r="K81" s="61" t="str">
        <f aca="false">IF($P81=0,"",IF($F81="Baseline","— Baseline",IF($O81=0,"No result",IF($N81=0,"No Start (attainment only)",IF(OR($N81=1,$O81=1),"U – needs rule",INDEX(MxBody,MATCH($I81,MxCurr,0),MATCH($H81,MxStart,0)))))))</f>
        <v>Better</v>
      </c>
      <c r="L81" s="62" t="str">
        <f aca="false">IF(COUNTA($A81,$F81,$G81,$H81,$I81,$J81)=0,"",IF($M81=0,"✖ كود الصف غير موجود",IF(ISNA(MATCH($F81,Lists!$A$2:$A$5,0)),"✖ الفترة غير صحيحة",IF(ISNA(MATCH($G81,Lists!$B$2:$B$7,0)),"✖ المجموعة غير صحيحة",IF(NOT(OR($H81="",$N81&gt;0)),"✖ Start غير صحيح",IF(NOT(OR($I81="",$I81="NR",$O81&gt;0)),"✖ Current غير صحيح",IF(NOT(IF(ISNUMBER($J81),AND($J81&gt;=0,$J81=INT($J81)),FALSE())),"✖ العدد يجب أن يكون صحيحًا ≥ 0",IF(AND($F81="Baseline",$H81&lt;&gt;""),"⚠ Baseline: Start لا يدخل في التقدم",IF($K81="No Start (attainment only)","ℹ تحصيل فقط (بدون Start)",IF($K81="U – needs rule","ℹ حالة U تحتاج قاعدة معتمدة",IF($K81="No result","ℹ بدون نتيجة (يُستبعد من التحصيل)","OK")))))))))))</f>
        <v>OK</v>
      </c>
      <c r="M81" s="64" t="n">
        <f aca="false">IF($A81="",0,IFERROR(MATCH($A81,Classes!$A$6:$A$420,0),0))</f>
        <v>282</v>
      </c>
      <c r="N81" s="64" t="n">
        <f aca="false">IF($H81="",0,IFERROR(MATCH($H81,GradeList,0),0))</f>
        <v>9</v>
      </c>
      <c r="O81" s="64" t="n">
        <f aca="false">IF(OR($I81="",$I81="NR"),0,IFERROR(MATCH($I81,GradeList,0),0))</f>
        <v>10</v>
      </c>
      <c r="P81" s="64" t="n">
        <f aca="false">IF(AND($M81&gt;0,ISNUMBER(MATCH($F81,Lists!$A$2:$A$5,0)),ISNUMBER(MATCH($G81,Lists!$B$2:$B$7,0)),OR($H81="",$N81&gt;0),OR($I81="",$I81="NR",$O81&gt;0),IF(ISNUMBER($J81),AND($J81&gt;=0,$J81=INT($J81)),FALSE())),$J81,0)</f>
        <v>2</v>
      </c>
      <c r="Q81" s="64" t="n">
        <f aca="false">IF(AND($P81&gt;0,$O81&gt;0),$P81,0)</f>
        <v>2</v>
      </c>
      <c r="R81" s="64" t="n">
        <f aca="false">IF(AND($Q81&gt;0,$O81&gt;=AtRank),$Q81,0)</f>
        <v>2</v>
      </c>
      <c r="S81" s="64" t="n">
        <f aca="false">IF(AND($Q81&gt;0,$O81&gt;=AboveRank),$Q81,0)</f>
        <v>2</v>
      </c>
      <c r="T81" s="64" t="n">
        <f aca="false">IF($K81="Less",$P81,0)</f>
        <v>0</v>
      </c>
      <c r="U81" s="64" t="n">
        <f aca="false">IF($K81="Expected",$P81,0)</f>
        <v>0</v>
      </c>
      <c r="V81" s="64" t="n">
        <f aca="false">IF($K81="Better",$P81,0)</f>
        <v>2</v>
      </c>
      <c r="W81" s="64" t="n">
        <f aca="false">IF($K81="U – needs rule",$P81,0)</f>
        <v>0</v>
      </c>
      <c r="X81" s="64" t="n">
        <f aca="false">IF($K81="No Start (attainment only)",$P81,0)</f>
        <v>0</v>
      </c>
    </row>
    <row r="82" customFormat="false" ht="15" hidden="false" customHeight="false" outlineLevel="0" collapsed="false">
      <c r="A82" s="60" t="s">
        <v>777</v>
      </c>
      <c r="B82" s="61" t="str">
        <f aca="false">IF($M82=0,"",INDEX(Classes!$E$6:$E$420,$M82))</f>
        <v>Arabic A</v>
      </c>
      <c r="C82" s="62" t="str">
        <f aca="false">IF($M82=0,"",INDEX(Classes!$H$6:$H$420,$M82))</f>
        <v>Mr Ayman Bobo</v>
      </c>
      <c r="D82" s="61" t="str">
        <f aca="false">IF($M82=0,"",INDEX(Classes!$B$6:$B$420,$M82))</f>
        <v>Year 10</v>
      </c>
      <c r="E82" s="61" t="str">
        <f aca="false">IF($M82=0,"",INDEX(Classes!$C$6:$C$420,$M82))</f>
        <v>ah</v>
      </c>
      <c r="F82" s="63" t="s">
        <v>107</v>
      </c>
      <c r="G82" s="63" t="s">
        <v>1018</v>
      </c>
      <c r="H82" s="60" t="s">
        <v>205</v>
      </c>
      <c r="I82" s="60" t="s">
        <v>205</v>
      </c>
      <c r="J82" s="63" t="n">
        <v>1</v>
      </c>
      <c r="K82" s="61" t="str">
        <f aca="false">IF($P82=0,"",IF($F82="Baseline","— Baseline",IF($O82=0,"No result",IF($N82=0,"No Start (attainment only)",IF(OR($N82=1,$O82=1),"U – needs rule",INDEX(MxBody,MATCH($I82,MxCurr,0),MATCH($H82,MxStart,0)))))))</f>
        <v>Better</v>
      </c>
      <c r="L82" s="62" t="str">
        <f aca="false">IF(COUNTA($A82,$F82,$G82,$H82,$I82,$J82)=0,"",IF($M82=0,"✖ كود الصف غير موجود",IF(ISNA(MATCH($F82,Lists!$A$2:$A$5,0)),"✖ الفترة غير صحيحة",IF(ISNA(MATCH($G82,Lists!$B$2:$B$7,0)),"✖ المجموعة غير صحيحة",IF(NOT(OR($H82="",$N82&gt;0)),"✖ Start غير صحيح",IF(NOT(OR($I82="",$I82="NR",$O82&gt;0)),"✖ Current غير صحيح",IF(NOT(IF(ISNUMBER($J82),AND($J82&gt;=0,$J82=INT($J82)),FALSE())),"✖ العدد يجب أن يكون صحيحًا ≥ 0",IF(AND($F82="Baseline",$H82&lt;&gt;""),"⚠ Baseline: Start لا يدخل في التقدم",IF($K82="No Start (attainment only)","ℹ تحصيل فقط (بدون Start)",IF($K82="U – needs rule","ℹ حالة U تحتاج قاعدة معتمدة",IF($K82="No result","ℹ بدون نتيجة (يُستبعد من التحصيل)","OK")))))))))))</f>
        <v>OK</v>
      </c>
      <c r="M82" s="64" t="n">
        <f aca="false">IF($A82="",0,IFERROR(MATCH($A82,Classes!$A$6:$A$420,0),0))</f>
        <v>282</v>
      </c>
      <c r="N82" s="64" t="n">
        <f aca="false">IF($H82="",0,IFERROR(MATCH($H82,GradeList,0),0))</f>
        <v>10</v>
      </c>
      <c r="O82" s="64" t="n">
        <f aca="false">IF(OR($I82="",$I82="NR"),0,IFERROR(MATCH($I82,GradeList,0),0))</f>
        <v>10</v>
      </c>
      <c r="P82" s="64" t="n">
        <f aca="false">IF(AND($M82&gt;0,ISNUMBER(MATCH($F82,Lists!$A$2:$A$5,0)),ISNUMBER(MATCH($G82,Lists!$B$2:$B$7,0)),OR($H82="",$N82&gt;0),OR($I82="",$I82="NR",$O82&gt;0),IF(ISNUMBER($J82),AND($J82&gt;=0,$J82=INT($J82)),FALSE())),$J82,0)</f>
        <v>1</v>
      </c>
      <c r="Q82" s="64" t="n">
        <f aca="false">IF(AND($P82&gt;0,$O82&gt;0),$P82,0)</f>
        <v>1</v>
      </c>
      <c r="R82" s="64" t="n">
        <f aca="false">IF(AND($Q82&gt;0,$O82&gt;=AtRank),$Q82,0)</f>
        <v>1</v>
      </c>
      <c r="S82" s="64" t="n">
        <f aca="false">IF(AND($Q82&gt;0,$O82&gt;=AboveRank),$Q82,0)</f>
        <v>1</v>
      </c>
      <c r="T82" s="64" t="n">
        <f aca="false">IF($K82="Less",$P82,0)</f>
        <v>0</v>
      </c>
      <c r="U82" s="64" t="n">
        <f aca="false">IF($K82="Expected",$P82,0)</f>
        <v>0</v>
      </c>
      <c r="V82" s="64" t="n">
        <f aca="false">IF($K82="Better",$P82,0)</f>
        <v>1</v>
      </c>
      <c r="W82" s="64" t="n">
        <f aca="false">IF($K82="U – needs rule",$P82,0)</f>
        <v>0</v>
      </c>
      <c r="X82" s="64" t="n">
        <f aca="false">IF($K82="No Start (attainment only)",$P82,0)</f>
        <v>0</v>
      </c>
    </row>
    <row r="83" customFormat="false" ht="15" hidden="false" customHeight="false" outlineLevel="0" collapsed="false">
      <c r="A83" s="60" t="s">
        <v>777</v>
      </c>
      <c r="B83" s="61" t="str">
        <f aca="false">IF($M83=0,"",INDEX(Classes!$E$6:$E$420,$M83))</f>
        <v>Arabic A</v>
      </c>
      <c r="C83" s="62" t="str">
        <f aca="false">IF($M83=0,"",INDEX(Classes!$H$6:$H$420,$M83))</f>
        <v>Mr Ayman Bobo</v>
      </c>
      <c r="D83" s="61" t="str">
        <f aca="false">IF($M83=0,"",INDEX(Classes!$B$6:$B$420,$M83))</f>
        <v>Year 10</v>
      </c>
      <c r="E83" s="61" t="str">
        <f aca="false">IF($M83=0,"",INDEX(Classes!$C$6:$C$420,$M83))</f>
        <v>ah</v>
      </c>
      <c r="F83" s="63" t="s">
        <v>163</v>
      </c>
      <c r="G83" s="63" t="s">
        <v>108</v>
      </c>
      <c r="H83" s="60" t="s">
        <v>202</v>
      </c>
      <c r="I83" s="60" t="s">
        <v>202</v>
      </c>
      <c r="J83" s="63" t="n">
        <v>3</v>
      </c>
      <c r="K83" s="61" t="str">
        <f aca="false">IF($P83=0,"",IF($F83="Baseline","— Baseline",IF($O83=0,"No result",IF($N83=0,"No Start (attainment only)",IF(OR($N83=1,$O83=1),"U – needs rule",INDEX(MxBody,MATCH($I83,MxCurr,0),MATCH($H83,MxStart,0)))))))</f>
        <v>Better</v>
      </c>
      <c r="L83" s="62" t="str">
        <f aca="false">IF(COUNTA($A83,$F83,$G83,$H83,$I83,$J83)=0,"",IF($M83=0,"✖ كود الصف غير موجود",IF(ISNA(MATCH($F83,Lists!$A$2:$A$5,0)),"✖ الفترة غير صحيحة",IF(ISNA(MATCH($G83,Lists!$B$2:$B$7,0)),"✖ المجموعة غير صحيحة",IF(NOT(OR($H83="",$N83&gt;0)),"✖ Start غير صحيح",IF(NOT(OR($I83="",$I83="NR",$O83&gt;0)),"✖ Current غير صحيح",IF(NOT(IF(ISNUMBER($J83),AND($J83&gt;=0,$J83=INT($J83)),FALSE())),"✖ العدد يجب أن يكون صحيحًا ≥ 0",IF(AND($F83="Baseline",$H83&lt;&gt;""),"⚠ Baseline: Start لا يدخل في التقدم",IF($K83="No Start (attainment only)","ℹ تحصيل فقط (بدون Start)",IF($K83="U – needs rule","ℹ حالة U تحتاج قاعدة معتمدة",IF($K83="No result","ℹ بدون نتيجة (يُستبعد من التحصيل)","OK")))))))))))</f>
        <v>OK</v>
      </c>
      <c r="M83" s="64" t="n">
        <f aca="false">IF($A83="",0,IFERROR(MATCH($A83,Classes!$A$6:$A$420,0),0))</f>
        <v>282</v>
      </c>
      <c r="N83" s="64" t="n">
        <f aca="false">IF($H83="",0,IFERROR(MATCH($H83,GradeList,0),0))</f>
        <v>7</v>
      </c>
      <c r="O83" s="64" t="n">
        <f aca="false">IF(OR($I83="",$I83="NR"),0,IFERROR(MATCH($I83,GradeList,0),0))</f>
        <v>7</v>
      </c>
      <c r="P83" s="64" t="n">
        <f aca="false">IF(AND($M83&gt;0,ISNUMBER(MATCH($F83,Lists!$A$2:$A$5,0)),ISNUMBER(MATCH($G83,Lists!$B$2:$B$7,0)),OR($H83="",$N83&gt;0),OR($I83="",$I83="NR",$O83&gt;0),IF(ISNUMBER($J83),AND($J83&gt;=0,$J83=INT($J83)),FALSE())),$J83,0)</f>
        <v>3</v>
      </c>
      <c r="Q83" s="64" t="n">
        <f aca="false">IF(AND($P83&gt;0,$O83&gt;0),$P83,0)</f>
        <v>3</v>
      </c>
      <c r="R83" s="64" t="n">
        <f aca="false">IF(AND($Q83&gt;0,$O83&gt;=AtRank),$Q83,0)</f>
        <v>3</v>
      </c>
      <c r="S83" s="64" t="n">
        <f aca="false">IF(AND($Q83&gt;0,$O83&gt;=AboveRank),$Q83,0)</f>
        <v>3</v>
      </c>
      <c r="T83" s="64" t="n">
        <f aca="false">IF($K83="Less",$P83,0)</f>
        <v>0</v>
      </c>
      <c r="U83" s="64" t="n">
        <f aca="false">IF($K83="Expected",$P83,0)</f>
        <v>0</v>
      </c>
      <c r="V83" s="64" t="n">
        <f aca="false">IF($K83="Better",$P83,0)</f>
        <v>3</v>
      </c>
      <c r="W83" s="64" t="n">
        <f aca="false">IF($K83="U – needs rule",$P83,0)</f>
        <v>0</v>
      </c>
      <c r="X83" s="64" t="n">
        <f aca="false">IF($K83="No Start (attainment only)",$P83,0)</f>
        <v>0</v>
      </c>
    </row>
    <row r="84" customFormat="false" ht="15" hidden="false" customHeight="false" outlineLevel="0" collapsed="false">
      <c r="A84" s="60" t="s">
        <v>777</v>
      </c>
      <c r="B84" s="61" t="str">
        <f aca="false">IF($M84=0,"",INDEX(Classes!$E$6:$E$420,$M84))</f>
        <v>Arabic A</v>
      </c>
      <c r="C84" s="62" t="str">
        <f aca="false">IF($M84=0,"",INDEX(Classes!$H$6:$H$420,$M84))</f>
        <v>Mr Ayman Bobo</v>
      </c>
      <c r="D84" s="61" t="str">
        <f aca="false">IF($M84=0,"",INDEX(Classes!$B$6:$B$420,$M84))</f>
        <v>Year 10</v>
      </c>
      <c r="E84" s="61" t="str">
        <f aca="false">IF($M84=0,"",INDEX(Classes!$C$6:$C$420,$M84))</f>
        <v>ah</v>
      </c>
      <c r="F84" s="63" t="s">
        <v>163</v>
      </c>
      <c r="G84" s="63" t="s">
        <v>108</v>
      </c>
      <c r="H84" s="60" t="s">
        <v>202</v>
      </c>
      <c r="I84" s="60" t="s">
        <v>203</v>
      </c>
      <c r="J84" s="63" t="n">
        <v>2</v>
      </c>
      <c r="K84" s="61" t="str">
        <f aca="false">IF($P84=0,"",IF($F84="Baseline","— Baseline",IF($O84=0,"No result",IF($N84=0,"No Start (attainment only)",IF(OR($N84=1,$O84=1),"U – needs rule",INDEX(MxBody,MATCH($I84,MxCurr,0),MATCH($H84,MxStart,0)))))))</f>
        <v>Better</v>
      </c>
      <c r="L84" s="62" t="str">
        <f aca="false">IF(COUNTA($A84,$F84,$G84,$H84,$I84,$J84)=0,"",IF($M84=0,"✖ كود الصف غير موجود",IF(ISNA(MATCH($F84,Lists!$A$2:$A$5,0)),"✖ الفترة غير صحيحة",IF(ISNA(MATCH($G84,Lists!$B$2:$B$7,0)),"✖ المجموعة غير صحيحة",IF(NOT(OR($H84="",$N84&gt;0)),"✖ Start غير صحيح",IF(NOT(OR($I84="",$I84="NR",$O84&gt;0)),"✖ Current غير صحيح",IF(NOT(IF(ISNUMBER($J84),AND($J84&gt;=0,$J84=INT($J84)),FALSE())),"✖ العدد يجب أن يكون صحيحًا ≥ 0",IF(AND($F84="Baseline",$H84&lt;&gt;""),"⚠ Baseline: Start لا يدخل في التقدم",IF($K84="No Start (attainment only)","ℹ تحصيل فقط (بدون Start)",IF($K84="U – needs rule","ℹ حالة U تحتاج قاعدة معتمدة",IF($K84="No result","ℹ بدون نتيجة (يُستبعد من التحصيل)","OK")))))))))))</f>
        <v>OK</v>
      </c>
      <c r="M84" s="64" t="n">
        <f aca="false">IF($A84="",0,IFERROR(MATCH($A84,Classes!$A$6:$A$420,0),0))</f>
        <v>282</v>
      </c>
      <c r="N84" s="64" t="n">
        <f aca="false">IF($H84="",0,IFERROR(MATCH($H84,GradeList,0),0))</f>
        <v>7</v>
      </c>
      <c r="O84" s="64" t="n">
        <f aca="false">IF(OR($I84="",$I84="NR"),0,IFERROR(MATCH($I84,GradeList,0),0))</f>
        <v>8</v>
      </c>
      <c r="P84" s="64" t="n">
        <f aca="false">IF(AND($M84&gt;0,ISNUMBER(MATCH($F84,Lists!$A$2:$A$5,0)),ISNUMBER(MATCH($G84,Lists!$B$2:$B$7,0)),OR($H84="",$N84&gt;0),OR($I84="",$I84="NR",$O84&gt;0),IF(ISNUMBER($J84),AND($J84&gt;=0,$J84=INT($J84)),FALSE())),$J84,0)</f>
        <v>2</v>
      </c>
      <c r="Q84" s="64" t="n">
        <f aca="false">IF(AND($P84&gt;0,$O84&gt;0),$P84,0)</f>
        <v>2</v>
      </c>
      <c r="R84" s="64" t="n">
        <f aca="false">IF(AND($Q84&gt;0,$O84&gt;=AtRank),$Q84,0)</f>
        <v>2</v>
      </c>
      <c r="S84" s="64" t="n">
        <f aca="false">IF(AND($Q84&gt;0,$O84&gt;=AboveRank),$Q84,0)</f>
        <v>2</v>
      </c>
      <c r="T84" s="64" t="n">
        <f aca="false">IF($K84="Less",$P84,0)</f>
        <v>0</v>
      </c>
      <c r="U84" s="64" t="n">
        <f aca="false">IF($K84="Expected",$P84,0)</f>
        <v>0</v>
      </c>
      <c r="V84" s="64" t="n">
        <f aca="false">IF($K84="Better",$P84,0)</f>
        <v>2</v>
      </c>
      <c r="W84" s="64" t="n">
        <f aca="false">IF($K84="U – needs rule",$P84,0)</f>
        <v>0</v>
      </c>
      <c r="X84" s="64" t="n">
        <f aca="false">IF($K84="No Start (attainment only)",$P84,0)</f>
        <v>0</v>
      </c>
    </row>
    <row r="85" customFormat="false" ht="15" hidden="false" customHeight="false" outlineLevel="0" collapsed="false">
      <c r="A85" s="60" t="s">
        <v>777</v>
      </c>
      <c r="B85" s="61" t="str">
        <f aca="false">IF($M85=0,"",INDEX(Classes!$E$6:$E$420,$M85))</f>
        <v>Arabic A</v>
      </c>
      <c r="C85" s="62" t="str">
        <f aca="false">IF($M85=0,"",INDEX(Classes!$H$6:$H$420,$M85))</f>
        <v>Mr Ayman Bobo</v>
      </c>
      <c r="D85" s="61" t="str">
        <f aca="false">IF($M85=0,"",INDEX(Classes!$B$6:$B$420,$M85))</f>
        <v>Year 10</v>
      </c>
      <c r="E85" s="61" t="str">
        <f aca="false">IF($M85=0,"",INDEX(Classes!$C$6:$C$420,$M85))</f>
        <v>ah</v>
      </c>
      <c r="F85" s="63" t="s">
        <v>163</v>
      </c>
      <c r="G85" s="63" t="s">
        <v>108</v>
      </c>
      <c r="H85" s="60" t="s">
        <v>202</v>
      </c>
      <c r="I85" s="60" t="s">
        <v>204</v>
      </c>
      <c r="J85" s="63" t="n">
        <v>2</v>
      </c>
      <c r="K85" s="61" t="str">
        <f aca="false">IF($P85=0,"",IF($F85="Baseline","— Baseline",IF($O85=0,"No result",IF($N85=0,"No Start (attainment only)",IF(OR($N85=1,$O85=1),"U – needs rule",INDEX(MxBody,MATCH($I85,MxCurr,0),MATCH($H85,MxStart,0)))))))</f>
        <v>Better</v>
      </c>
      <c r="L85" s="62" t="str">
        <f aca="false">IF(COUNTA($A85,$F85,$G85,$H85,$I85,$J85)=0,"",IF($M85=0,"✖ كود الصف غير موجود",IF(ISNA(MATCH($F85,Lists!$A$2:$A$5,0)),"✖ الفترة غير صحيحة",IF(ISNA(MATCH($G85,Lists!$B$2:$B$7,0)),"✖ المجموعة غير صحيحة",IF(NOT(OR($H85="",$N85&gt;0)),"✖ Start غير صحيح",IF(NOT(OR($I85="",$I85="NR",$O85&gt;0)),"✖ Current غير صحيح",IF(NOT(IF(ISNUMBER($J85),AND($J85&gt;=0,$J85=INT($J85)),FALSE())),"✖ العدد يجب أن يكون صحيحًا ≥ 0",IF(AND($F85="Baseline",$H85&lt;&gt;""),"⚠ Baseline: Start لا يدخل في التقدم",IF($K85="No Start (attainment only)","ℹ تحصيل فقط (بدون Start)",IF($K85="U – needs rule","ℹ حالة U تحتاج قاعدة معتمدة",IF($K85="No result","ℹ بدون نتيجة (يُستبعد من التحصيل)","OK")))))))))))</f>
        <v>OK</v>
      </c>
      <c r="M85" s="64" t="n">
        <f aca="false">IF($A85="",0,IFERROR(MATCH($A85,Classes!$A$6:$A$420,0),0))</f>
        <v>282</v>
      </c>
      <c r="N85" s="64" t="n">
        <f aca="false">IF($H85="",0,IFERROR(MATCH($H85,GradeList,0),0))</f>
        <v>7</v>
      </c>
      <c r="O85" s="64" t="n">
        <f aca="false">IF(OR($I85="",$I85="NR"),0,IFERROR(MATCH($I85,GradeList,0),0))</f>
        <v>9</v>
      </c>
      <c r="P85" s="64" t="n">
        <f aca="false">IF(AND($M85&gt;0,ISNUMBER(MATCH($F85,Lists!$A$2:$A$5,0)),ISNUMBER(MATCH($G85,Lists!$B$2:$B$7,0)),OR($H85="",$N85&gt;0),OR($I85="",$I85="NR",$O85&gt;0),IF(ISNUMBER($J85),AND($J85&gt;=0,$J85=INT($J85)),FALSE())),$J85,0)</f>
        <v>2</v>
      </c>
      <c r="Q85" s="64" t="n">
        <f aca="false">IF(AND($P85&gt;0,$O85&gt;0),$P85,0)</f>
        <v>2</v>
      </c>
      <c r="R85" s="64" t="n">
        <f aca="false">IF(AND($Q85&gt;0,$O85&gt;=AtRank),$Q85,0)</f>
        <v>2</v>
      </c>
      <c r="S85" s="64" t="n">
        <f aca="false">IF(AND($Q85&gt;0,$O85&gt;=AboveRank),$Q85,0)</f>
        <v>2</v>
      </c>
      <c r="T85" s="64" t="n">
        <f aca="false">IF($K85="Less",$P85,0)</f>
        <v>0</v>
      </c>
      <c r="U85" s="64" t="n">
        <f aca="false">IF($K85="Expected",$P85,0)</f>
        <v>0</v>
      </c>
      <c r="V85" s="64" t="n">
        <f aca="false">IF($K85="Better",$P85,0)</f>
        <v>2</v>
      </c>
      <c r="W85" s="64" t="n">
        <f aca="false">IF($K85="U – needs rule",$P85,0)</f>
        <v>0</v>
      </c>
      <c r="X85" s="64" t="n">
        <f aca="false">IF($K85="No Start (attainment only)",$P85,0)</f>
        <v>0</v>
      </c>
    </row>
    <row r="86" customFormat="false" ht="15" hidden="false" customHeight="false" outlineLevel="0" collapsed="false">
      <c r="A86" s="60" t="s">
        <v>777</v>
      </c>
      <c r="B86" s="61" t="str">
        <f aca="false">IF($M86=0,"",INDEX(Classes!$E$6:$E$420,$M86))</f>
        <v>Arabic A</v>
      </c>
      <c r="C86" s="62" t="str">
        <f aca="false">IF($M86=0,"",INDEX(Classes!$H$6:$H$420,$M86))</f>
        <v>Mr Ayman Bobo</v>
      </c>
      <c r="D86" s="61" t="str">
        <f aca="false">IF($M86=0,"",INDEX(Classes!$B$6:$B$420,$M86))</f>
        <v>Year 10</v>
      </c>
      <c r="E86" s="61" t="str">
        <f aca="false">IF($M86=0,"",INDEX(Classes!$C$6:$C$420,$M86))</f>
        <v>ah</v>
      </c>
      <c r="F86" s="63" t="s">
        <v>163</v>
      </c>
      <c r="G86" s="63" t="s">
        <v>108</v>
      </c>
      <c r="H86" s="60" t="s">
        <v>203</v>
      </c>
      <c r="I86" s="60" t="s">
        <v>203</v>
      </c>
      <c r="J86" s="63" t="n">
        <v>3</v>
      </c>
      <c r="K86" s="61" t="str">
        <f aca="false">IF($P86=0,"",IF($F86="Baseline","— Baseline",IF($O86=0,"No result",IF($N86=0,"No Start (attainment only)",IF(OR($N86=1,$O86=1),"U – needs rule",INDEX(MxBody,MATCH($I86,MxCurr,0),MATCH($H86,MxStart,0)))))))</f>
        <v>Better</v>
      </c>
      <c r="L86" s="62" t="str">
        <f aca="false">IF(COUNTA($A86,$F86,$G86,$H86,$I86,$J86)=0,"",IF($M86=0,"✖ كود الصف غير موجود",IF(ISNA(MATCH($F86,Lists!$A$2:$A$5,0)),"✖ الفترة غير صحيحة",IF(ISNA(MATCH($G86,Lists!$B$2:$B$7,0)),"✖ المجموعة غير صحيحة",IF(NOT(OR($H86="",$N86&gt;0)),"✖ Start غير صحيح",IF(NOT(OR($I86="",$I86="NR",$O86&gt;0)),"✖ Current غير صحيح",IF(NOT(IF(ISNUMBER($J86),AND($J86&gt;=0,$J86=INT($J86)),FALSE())),"✖ العدد يجب أن يكون صحيحًا ≥ 0",IF(AND($F86="Baseline",$H86&lt;&gt;""),"⚠ Baseline: Start لا يدخل في التقدم",IF($K86="No Start (attainment only)","ℹ تحصيل فقط (بدون Start)",IF($K86="U – needs rule","ℹ حالة U تحتاج قاعدة معتمدة",IF($K86="No result","ℹ بدون نتيجة (يُستبعد من التحصيل)","OK")))))))))))</f>
        <v>OK</v>
      </c>
      <c r="M86" s="64" t="n">
        <f aca="false">IF($A86="",0,IFERROR(MATCH($A86,Classes!$A$6:$A$420,0),0))</f>
        <v>282</v>
      </c>
      <c r="N86" s="64" t="n">
        <f aca="false">IF($H86="",0,IFERROR(MATCH($H86,GradeList,0),0))</f>
        <v>8</v>
      </c>
      <c r="O86" s="64" t="n">
        <f aca="false">IF(OR($I86="",$I86="NR"),0,IFERROR(MATCH($I86,GradeList,0),0))</f>
        <v>8</v>
      </c>
      <c r="P86" s="64" t="n">
        <f aca="false">IF(AND($M86&gt;0,ISNUMBER(MATCH($F86,Lists!$A$2:$A$5,0)),ISNUMBER(MATCH($G86,Lists!$B$2:$B$7,0)),OR($H86="",$N86&gt;0),OR($I86="",$I86="NR",$O86&gt;0),IF(ISNUMBER($J86),AND($J86&gt;=0,$J86=INT($J86)),FALSE())),$J86,0)</f>
        <v>3</v>
      </c>
      <c r="Q86" s="64" t="n">
        <f aca="false">IF(AND($P86&gt;0,$O86&gt;0),$P86,0)</f>
        <v>3</v>
      </c>
      <c r="R86" s="64" t="n">
        <f aca="false">IF(AND($Q86&gt;0,$O86&gt;=AtRank),$Q86,0)</f>
        <v>3</v>
      </c>
      <c r="S86" s="64" t="n">
        <f aca="false">IF(AND($Q86&gt;0,$O86&gt;=AboveRank),$Q86,0)</f>
        <v>3</v>
      </c>
      <c r="T86" s="64" t="n">
        <f aca="false">IF($K86="Less",$P86,0)</f>
        <v>0</v>
      </c>
      <c r="U86" s="64" t="n">
        <f aca="false">IF($K86="Expected",$P86,0)</f>
        <v>0</v>
      </c>
      <c r="V86" s="64" t="n">
        <f aca="false">IF($K86="Better",$P86,0)</f>
        <v>3</v>
      </c>
      <c r="W86" s="64" t="n">
        <f aca="false">IF($K86="U – needs rule",$P86,0)</f>
        <v>0</v>
      </c>
      <c r="X86" s="64" t="n">
        <f aca="false">IF($K86="No Start (attainment only)",$P86,0)</f>
        <v>0</v>
      </c>
    </row>
    <row r="87" customFormat="false" ht="15" hidden="false" customHeight="false" outlineLevel="0" collapsed="false">
      <c r="A87" s="60" t="s">
        <v>777</v>
      </c>
      <c r="B87" s="61" t="str">
        <f aca="false">IF($M87=0,"",INDEX(Classes!$E$6:$E$420,$M87))</f>
        <v>Arabic A</v>
      </c>
      <c r="C87" s="62" t="str">
        <f aca="false">IF($M87=0,"",INDEX(Classes!$H$6:$H$420,$M87))</f>
        <v>Mr Ayman Bobo</v>
      </c>
      <c r="D87" s="61" t="str">
        <f aca="false">IF($M87=0,"",INDEX(Classes!$B$6:$B$420,$M87))</f>
        <v>Year 10</v>
      </c>
      <c r="E87" s="61" t="str">
        <f aca="false">IF($M87=0,"",INDEX(Classes!$C$6:$C$420,$M87))</f>
        <v>ah</v>
      </c>
      <c r="F87" s="63" t="s">
        <v>163</v>
      </c>
      <c r="G87" s="63" t="s">
        <v>108</v>
      </c>
      <c r="H87" s="60" t="s">
        <v>203</v>
      </c>
      <c r="I87" s="60" t="s">
        <v>201</v>
      </c>
      <c r="J87" s="63" t="n">
        <v>2</v>
      </c>
      <c r="K87" s="61" t="str">
        <f aca="false">IF($P87=0,"",IF($F87="Baseline","— Baseline",IF($O87=0,"No result",IF($N87=0,"No Start (attainment only)",IF(OR($N87=1,$O87=1),"U – needs rule",INDEX(MxBody,MATCH($I87,MxCurr,0),MATCH($H87,MxStart,0)))))))</f>
        <v>Less</v>
      </c>
      <c r="L87" s="62" t="str">
        <f aca="false">IF(COUNTA($A87,$F87,$G87,$H87,$I87,$J87)=0,"",IF($M87=0,"✖ كود الصف غير موجود",IF(ISNA(MATCH($F87,Lists!$A$2:$A$5,0)),"✖ الفترة غير صحيحة",IF(ISNA(MATCH($G87,Lists!$B$2:$B$7,0)),"✖ المجموعة غير صحيحة",IF(NOT(OR($H87="",$N87&gt;0)),"✖ Start غير صحيح",IF(NOT(OR($I87="",$I87="NR",$O87&gt;0)),"✖ Current غير صحيح",IF(NOT(IF(ISNUMBER($J87),AND($J87&gt;=0,$J87=INT($J87)),FALSE())),"✖ العدد يجب أن يكون صحيحًا ≥ 0",IF(AND($F87="Baseline",$H87&lt;&gt;""),"⚠ Baseline: Start لا يدخل في التقدم",IF($K87="No Start (attainment only)","ℹ تحصيل فقط (بدون Start)",IF($K87="U – needs rule","ℹ حالة U تحتاج قاعدة معتمدة",IF($K87="No result","ℹ بدون نتيجة (يُستبعد من التحصيل)","OK")))))))))))</f>
        <v>OK</v>
      </c>
      <c r="M87" s="64" t="n">
        <f aca="false">IF($A87="",0,IFERROR(MATCH($A87,Classes!$A$6:$A$420,0),0))</f>
        <v>282</v>
      </c>
      <c r="N87" s="64" t="n">
        <f aca="false">IF($H87="",0,IFERROR(MATCH($H87,GradeList,0),0))</f>
        <v>8</v>
      </c>
      <c r="O87" s="64" t="n">
        <f aca="false">IF(OR($I87="",$I87="NR"),0,IFERROR(MATCH($I87,GradeList,0),0))</f>
        <v>6</v>
      </c>
      <c r="P87" s="64" t="n">
        <f aca="false">IF(AND($M87&gt;0,ISNUMBER(MATCH($F87,Lists!$A$2:$A$5,0)),ISNUMBER(MATCH($G87,Lists!$B$2:$B$7,0)),OR($H87="",$N87&gt;0),OR($I87="",$I87="NR",$O87&gt;0),IF(ISNUMBER($J87),AND($J87&gt;=0,$J87=INT($J87)),FALSE())),$J87,0)</f>
        <v>2</v>
      </c>
      <c r="Q87" s="64" t="n">
        <f aca="false">IF(AND($P87&gt;0,$O87&gt;0),$P87,0)</f>
        <v>2</v>
      </c>
      <c r="R87" s="64" t="n">
        <f aca="false">IF(AND($Q87&gt;0,$O87&gt;=AtRank),$Q87,0)</f>
        <v>2</v>
      </c>
      <c r="S87" s="64" t="n">
        <f aca="false">IF(AND($Q87&gt;0,$O87&gt;=AboveRank),$Q87,0)</f>
        <v>0</v>
      </c>
      <c r="T87" s="64" t="n">
        <f aca="false">IF($K87="Less",$P87,0)</f>
        <v>2</v>
      </c>
      <c r="U87" s="64" t="n">
        <f aca="false">IF($K87="Expected",$P87,0)</f>
        <v>0</v>
      </c>
      <c r="V87" s="64" t="n">
        <f aca="false">IF($K87="Better",$P87,0)</f>
        <v>0</v>
      </c>
      <c r="W87" s="64" t="n">
        <f aca="false">IF($K87="U – needs rule",$P87,0)</f>
        <v>0</v>
      </c>
      <c r="X87" s="64" t="n">
        <f aca="false">IF($K87="No Start (attainment only)",$P87,0)</f>
        <v>0</v>
      </c>
    </row>
    <row r="88" customFormat="false" ht="15" hidden="false" customHeight="false" outlineLevel="0" collapsed="false">
      <c r="A88" s="60" t="s">
        <v>777</v>
      </c>
      <c r="B88" s="61" t="str">
        <f aca="false">IF($M88=0,"",INDEX(Classes!$E$6:$E$420,$M88))</f>
        <v>Arabic A</v>
      </c>
      <c r="C88" s="62" t="str">
        <f aca="false">IF($M88=0,"",INDEX(Classes!$H$6:$H$420,$M88))</f>
        <v>Mr Ayman Bobo</v>
      </c>
      <c r="D88" s="61" t="str">
        <f aca="false">IF($M88=0,"",INDEX(Classes!$B$6:$B$420,$M88))</f>
        <v>Year 10</v>
      </c>
      <c r="E88" s="61" t="str">
        <f aca="false">IF($M88=0,"",INDEX(Classes!$C$6:$C$420,$M88))</f>
        <v>ah</v>
      </c>
      <c r="F88" s="63" t="s">
        <v>163</v>
      </c>
      <c r="G88" s="63" t="s">
        <v>108</v>
      </c>
      <c r="H88" s="60" t="s">
        <v>203</v>
      </c>
      <c r="I88" s="60" t="s">
        <v>205</v>
      </c>
      <c r="J88" s="63" t="n">
        <v>1</v>
      </c>
      <c r="K88" s="61" t="str">
        <f aca="false">IF($P88=0,"",IF($F88="Baseline","— Baseline",IF($O88=0,"No result",IF($N88=0,"No Start (attainment only)",IF(OR($N88=1,$O88=1),"U – needs rule",INDEX(MxBody,MATCH($I88,MxCurr,0),MATCH($H88,MxStart,0)))))))</f>
        <v>Better</v>
      </c>
      <c r="L88" s="62" t="str">
        <f aca="false">IF(COUNTA($A88,$F88,$G88,$H88,$I88,$J88)=0,"",IF($M88=0,"✖ كود الصف غير موجود",IF(ISNA(MATCH($F88,Lists!$A$2:$A$5,0)),"✖ الفترة غير صحيحة",IF(ISNA(MATCH($G88,Lists!$B$2:$B$7,0)),"✖ المجموعة غير صحيحة",IF(NOT(OR($H88="",$N88&gt;0)),"✖ Start غير صحيح",IF(NOT(OR($I88="",$I88="NR",$O88&gt;0)),"✖ Current غير صحيح",IF(NOT(IF(ISNUMBER($J88),AND($J88&gt;=0,$J88=INT($J88)),FALSE())),"✖ العدد يجب أن يكون صحيحًا ≥ 0",IF(AND($F88="Baseline",$H88&lt;&gt;""),"⚠ Baseline: Start لا يدخل في التقدم",IF($K88="No Start (attainment only)","ℹ تحصيل فقط (بدون Start)",IF($K88="U – needs rule","ℹ حالة U تحتاج قاعدة معتمدة",IF($K88="No result","ℹ بدون نتيجة (يُستبعد من التحصيل)","OK")))))))))))</f>
        <v>OK</v>
      </c>
      <c r="M88" s="64" t="n">
        <f aca="false">IF($A88="",0,IFERROR(MATCH($A88,Classes!$A$6:$A$420,0),0))</f>
        <v>282</v>
      </c>
      <c r="N88" s="64" t="n">
        <f aca="false">IF($H88="",0,IFERROR(MATCH($H88,GradeList,0),0))</f>
        <v>8</v>
      </c>
      <c r="O88" s="64" t="n">
        <f aca="false">IF(OR($I88="",$I88="NR"),0,IFERROR(MATCH($I88,GradeList,0),0))</f>
        <v>10</v>
      </c>
      <c r="P88" s="64" t="n">
        <f aca="false">IF(AND($M88&gt;0,ISNUMBER(MATCH($F88,Lists!$A$2:$A$5,0)),ISNUMBER(MATCH($G88,Lists!$B$2:$B$7,0)),OR($H88="",$N88&gt;0),OR($I88="",$I88="NR",$O88&gt;0),IF(ISNUMBER($J88),AND($J88&gt;=0,$J88=INT($J88)),FALSE())),$J88,0)</f>
        <v>1</v>
      </c>
      <c r="Q88" s="64" t="n">
        <f aca="false">IF(AND($P88&gt;0,$O88&gt;0),$P88,0)</f>
        <v>1</v>
      </c>
      <c r="R88" s="64" t="n">
        <f aca="false">IF(AND($Q88&gt;0,$O88&gt;=AtRank),$Q88,0)</f>
        <v>1</v>
      </c>
      <c r="S88" s="64" t="n">
        <f aca="false">IF(AND($Q88&gt;0,$O88&gt;=AboveRank),$Q88,0)</f>
        <v>1</v>
      </c>
      <c r="T88" s="64" t="n">
        <f aca="false">IF($K88="Less",$P88,0)</f>
        <v>0</v>
      </c>
      <c r="U88" s="64" t="n">
        <f aca="false">IF($K88="Expected",$P88,0)</f>
        <v>0</v>
      </c>
      <c r="V88" s="64" t="n">
        <f aca="false">IF($K88="Better",$P88,0)</f>
        <v>1</v>
      </c>
      <c r="W88" s="64" t="n">
        <f aca="false">IF($K88="U – needs rule",$P88,0)</f>
        <v>0</v>
      </c>
      <c r="X88" s="64" t="n">
        <f aca="false">IF($K88="No Start (attainment only)",$P88,0)</f>
        <v>0</v>
      </c>
    </row>
    <row r="89" customFormat="false" ht="15" hidden="false" customHeight="false" outlineLevel="0" collapsed="false">
      <c r="A89" s="60" t="s">
        <v>777</v>
      </c>
      <c r="B89" s="61" t="str">
        <f aca="false">IF($M89=0,"",INDEX(Classes!$E$6:$E$420,$M89))</f>
        <v>Arabic A</v>
      </c>
      <c r="C89" s="62" t="str">
        <f aca="false">IF($M89=0,"",INDEX(Classes!$H$6:$H$420,$M89))</f>
        <v>Mr Ayman Bobo</v>
      </c>
      <c r="D89" s="61" t="str">
        <f aca="false">IF($M89=0,"",INDEX(Classes!$B$6:$B$420,$M89))</f>
        <v>Year 10</v>
      </c>
      <c r="E89" s="61" t="str">
        <f aca="false">IF($M89=0,"",INDEX(Classes!$C$6:$C$420,$M89))</f>
        <v>ah</v>
      </c>
      <c r="F89" s="63" t="s">
        <v>163</v>
      </c>
      <c r="G89" s="63" t="s">
        <v>108</v>
      </c>
      <c r="H89" s="60" t="s">
        <v>200</v>
      </c>
      <c r="I89" s="60" t="s">
        <v>200</v>
      </c>
      <c r="J89" s="63" t="n">
        <v>1</v>
      </c>
      <c r="K89" s="61" t="str">
        <f aca="false">IF($P89=0,"",IF($F89="Baseline","— Baseline",IF($O89=0,"No result",IF($N89=0,"No Start (attainment only)",IF(OR($N89=1,$O89=1),"U – needs rule",INDEX(MxBody,MATCH($I89,MxCurr,0),MATCH($H89,MxStart,0)))))))</f>
        <v>Expected</v>
      </c>
      <c r="L89" s="62" t="str">
        <f aca="false">IF(COUNTA($A89,$F89,$G89,$H89,$I89,$J89)=0,"",IF($M89=0,"✖ كود الصف غير موجود",IF(ISNA(MATCH($F89,Lists!$A$2:$A$5,0)),"✖ الفترة غير صحيحة",IF(ISNA(MATCH($G89,Lists!$B$2:$B$7,0)),"✖ المجموعة غير صحيحة",IF(NOT(OR($H89="",$N89&gt;0)),"✖ Start غير صحيح",IF(NOT(OR($I89="",$I89="NR",$O89&gt;0)),"✖ Current غير صحيح",IF(NOT(IF(ISNUMBER($J89),AND($J89&gt;=0,$J89=INT($J89)),FALSE())),"✖ العدد يجب أن يكون صحيحًا ≥ 0",IF(AND($F89="Baseline",$H89&lt;&gt;""),"⚠ Baseline: Start لا يدخل في التقدم",IF($K89="No Start (attainment only)","ℹ تحصيل فقط (بدون Start)",IF($K89="U – needs rule","ℹ حالة U تحتاج قاعدة معتمدة",IF($K89="No result","ℹ بدون نتيجة (يُستبعد من التحصيل)","OK")))))))))))</f>
        <v>OK</v>
      </c>
      <c r="M89" s="64" t="n">
        <f aca="false">IF($A89="",0,IFERROR(MATCH($A89,Classes!$A$6:$A$420,0),0))</f>
        <v>282</v>
      </c>
      <c r="N89" s="64" t="n">
        <f aca="false">IF($H89="",0,IFERROR(MATCH($H89,GradeList,0),0))</f>
        <v>5</v>
      </c>
      <c r="O89" s="64" t="n">
        <f aca="false">IF(OR($I89="",$I89="NR"),0,IFERROR(MATCH($I89,GradeList,0),0))</f>
        <v>5</v>
      </c>
      <c r="P89" s="64" t="n">
        <f aca="false">IF(AND($M89&gt;0,ISNUMBER(MATCH($F89,Lists!$A$2:$A$5,0)),ISNUMBER(MATCH($G89,Lists!$B$2:$B$7,0)),OR($H89="",$N89&gt;0),OR($I89="",$I89="NR",$O89&gt;0),IF(ISNUMBER($J89),AND($J89&gt;=0,$J89=INT($J89)),FALSE())),$J89,0)</f>
        <v>1</v>
      </c>
      <c r="Q89" s="64" t="n">
        <f aca="false">IF(AND($P89&gt;0,$O89&gt;0),$P89,0)</f>
        <v>1</v>
      </c>
      <c r="R89" s="64" t="n">
        <f aca="false">IF(AND($Q89&gt;0,$O89&gt;=AtRank),$Q89,0)</f>
        <v>1</v>
      </c>
      <c r="S89" s="64" t="n">
        <f aca="false">IF(AND($Q89&gt;0,$O89&gt;=AboveRank),$Q89,0)</f>
        <v>0</v>
      </c>
      <c r="T89" s="64" t="n">
        <f aca="false">IF($K89="Less",$P89,0)</f>
        <v>0</v>
      </c>
      <c r="U89" s="64" t="n">
        <f aca="false">IF($K89="Expected",$P89,0)</f>
        <v>1</v>
      </c>
      <c r="V89" s="64" t="n">
        <f aca="false">IF($K89="Better",$P89,0)</f>
        <v>0</v>
      </c>
      <c r="W89" s="64" t="n">
        <f aca="false">IF($K89="U – needs rule",$P89,0)</f>
        <v>0</v>
      </c>
      <c r="X89" s="64" t="n">
        <f aca="false">IF($K89="No Start (attainment only)",$P89,0)</f>
        <v>0</v>
      </c>
    </row>
    <row r="90" customFormat="false" ht="15" hidden="false" customHeight="false" outlineLevel="0" collapsed="false">
      <c r="A90" s="60" t="s">
        <v>777</v>
      </c>
      <c r="B90" s="61" t="str">
        <f aca="false">IF($M90=0,"",INDEX(Classes!$E$6:$E$420,$M90))</f>
        <v>Arabic A</v>
      </c>
      <c r="C90" s="62" t="str">
        <f aca="false">IF($M90=0,"",INDEX(Classes!$H$6:$H$420,$M90))</f>
        <v>Mr Ayman Bobo</v>
      </c>
      <c r="D90" s="61" t="str">
        <f aca="false">IF($M90=0,"",INDEX(Classes!$B$6:$B$420,$M90))</f>
        <v>Year 10</v>
      </c>
      <c r="E90" s="61" t="str">
        <f aca="false">IF($M90=0,"",INDEX(Classes!$C$6:$C$420,$M90))</f>
        <v>ah</v>
      </c>
      <c r="F90" s="63" t="s">
        <v>163</v>
      </c>
      <c r="G90" s="63" t="s">
        <v>108</v>
      </c>
      <c r="H90" s="60" t="s">
        <v>201</v>
      </c>
      <c r="I90" s="60" t="s">
        <v>201</v>
      </c>
      <c r="J90" s="63" t="n">
        <v>1</v>
      </c>
      <c r="K90" s="61" t="str">
        <f aca="false">IF($P90=0,"",IF($F90="Baseline","— Baseline",IF($O90=0,"No result",IF($N90=0,"No Start (attainment only)",IF(OR($N90=1,$O90=1),"U – needs rule",INDEX(MxBody,MATCH($I90,MxCurr,0),MATCH($H90,MxStart,0)))))))</f>
        <v>Expected</v>
      </c>
      <c r="L90" s="62" t="str">
        <f aca="false">IF(COUNTA($A90,$F90,$G90,$H90,$I90,$J90)=0,"",IF($M90=0,"✖ كود الصف غير موجود",IF(ISNA(MATCH($F90,Lists!$A$2:$A$5,0)),"✖ الفترة غير صحيحة",IF(ISNA(MATCH($G90,Lists!$B$2:$B$7,0)),"✖ المجموعة غير صحيحة",IF(NOT(OR($H90="",$N90&gt;0)),"✖ Start غير صحيح",IF(NOT(OR($I90="",$I90="NR",$O90&gt;0)),"✖ Current غير صحيح",IF(NOT(IF(ISNUMBER($J90),AND($J90&gt;=0,$J90=INT($J90)),FALSE())),"✖ العدد يجب أن يكون صحيحًا ≥ 0",IF(AND($F90="Baseline",$H90&lt;&gt;""),"⚠ Baseline: Start لا يدخل في التقدم",IF($K90="No Start (attainment only)","ℹ تحصيل فقط (بدون Start)",IF($K90="U – needs rule","ℹ حالة U تحتاج قاعدة معتمدة",IF($K90="No result","ℹ بدون نتيجة (يُستبعد من التحصيل)","OK")))))))))))</f>
        <v>OK</v>
      </c>
      <c r="M90" s="64" t="n">
        <f aca="false">IF($A90="",0,IFERROR(MATCH($A90,Classes!$A$6:$A$420,0),0))</f>
        <v>282</v>
      </c>
      <c r="N90" s="64" t="n">
        <f aca="false">IF($H90="",0,IFERROR(MATCH($H90,GradeList,0),0))</f>
        <v>6</v>
      </c>
      <c r="O90" s="64" t="n">
        <f aca="false">IF(OR($I90="",$I90="NR"),0,IFERROR(MATCH($I90,GradeList,0),0))</f>
        <v>6</v>
      </c>
      <c r="P90" s="64" t="n">
        <f aca="false">IF(AND($M90&gt;0,ISNUMBER(MATCH($F90,Lists!$A$2:$A$5,0)),ISNUMBER(MATCH($G90,Lists!$B$2:$B$7,0)),OR($H90="",$N90&gt;0),OR($I90="",$I90="NR",$O90&gt;0),IF(ISNUMBER($J90),AND($J90&gt;=0,$J90=INT($J90)),FALSE())),$J90,0)</f>
        <v>1</v>
      </c>
      <c r="Q90" s="64" t="n">
        <f aca="false">IF(AND($P90&gt;0,$O90&gt;0),$P90,0)</f>
        <v>1</v>
      </c>
      <c r="R90" s="64" t="n">
        <f aca="false">IF(AND($Q90&gt;0,$O90&gt;=AtRank),$Q90,0)</f>
        <v>1</v>
      </c>
      <c r="S90" s="64" t="n">
        <f aca="false">IF(AND($Q90&gt;0,$O90&gt;=AboveRank),$Q90,0)</f>
        <v>0</v>
      </c>
      <c r="T90" s="64" t="n">
        <f aca="false">IF($K90="Less",$P90,0)</f>
        <v>0</v>
      </c>
      <c r="U90" s="64" t="n">
        <f aca="false">IF($K90="Expected",$P90,0)</f>
        <v>1</v>
      </c>
      <c r="V90" s="64" t="n">
        <f aca="false">IF($K90="Better",$P90,0)</f>
        <v>0</v>
      </c>
      <c r="W90" s="64" t="n">
        <f aca="false">IF($K90="U – needs rule",$P90,0)</f>
        <v>0</v>
      </c>
      <c r="X90" s="64" t="n">
        <f aca="false">IF($K90="No Start (attainment only)",$P90,0)</f>
        <v>0</v>
      </c>
    </row>
    <row r="91" customFormat="false" ht="15" hidden="false" customHeight="false" outlineLevel="0" collapsed="false">
      <c r="A91" s="60" t="s">
        <v>777</v>
      </c>
      <c r="B91" s="61" t="str">
        <f aca="false">IF($M91=0,"",INDEX(Classes!$E$6:$E$420,$M91))</f>
        <v>Arabic A</v>
      </c>
      <c r="C91" s="62" t="str">
        <f aca="false">IF($M91=0,"",INDEX(Classes!$H$6:$H$420,$M91))</f>
        <v>Mr Ayman Bobo</v>
      </c>
      <c r="D91" s="61" t="str">
        <f aca="false">IF($M91=0,"",INDEX(Classes!$B$6:$B$420,$M91))</f>
        <v>Year 10</v>
      </c>
      <c r="E91" s="61" t="str">
        <f aca="false">IF($M91=0,"",INDEX(Classes!$C$6:$C$420,$M91))</f>
        <v>ah</v>
      </c>
      <c r="F91" s="63" t="s">
        <v>163</v>
      </c>
      <c r="G91" s="63" t="s">
        <v>108</v>
      </c>
      <c r="H91" s="60" t="s">
        <v>204</v>
      </c>
      <c r="I91" s="60" t="s">
        <v>204</v>
      </c>
      <c r="J91" s="63" t="n">
        <v>1</v>
      </c>
      <c r="K91" s="61" t="str">
        <f aca="false">IF($P91=0,"",IF($F91="Baseline","— Baseline",IF($O91=0,"No result",IF($N91=0,"No Start (attainment only)",IF(OR($N91=1,$O91=1),"U – needs rule",INDEX(MxBody,MATCH($I91,MxCurr,0),MATCH($H91,MxStart,0)))))))</f>
        <v>Better</v>
      </c>
      <c r="L91" s="62" t="str">
        <f aca="false">IF(COUNTA($A91,$F91,$G91,$H91,$I91,$J91)=0,"",IF($M91=0,"✖ كود الصف غير موجود",IF(ISNA(MATCH($F91,Lists!$A$2:$A$5,0)),"✖ الفترة غير صحيحة",IF(ISNA(MATCH($G91,Lists!$B$2:$B$7,0)),"✖ المجموعة غير صحيحة",IF(NOT(OR($H91="",$N91&gt;0)),"✖ Start غير صحيح",IF(NOT(OR($I91="",$I91="NR",$O91&gt;0)),"✖ Current غير صحيح",IF(NOT(IF(ISNUMBER($J91),AND($J91&gt;=0,$J91=INT($J91)),FALSE())),"✖ العدد يجب أن يكون صحيحًا ≥ 0",IF(AND($F91="Baseline",$H91&lt;&gt;""),"⚠ Baseline: Start لا يدخل في التقدم",IF($K91="No Start (attainment only)","ℹ تحصيل فقط (بدون Start)",IF($K91="U – needs rule","ℹ حالة U تحتاج قاعدة معتمدة",IF($K91="No result","ℹ بدون نتيجة (يُستبعد من التحصيل)","OK")))))))))))</f>
        <v>OK</v>
      </c>
      <c r="M91" s="64" t="n">
        <f aca="false">IF($A91="",0,IFERROR(MATCH($A91,Classes!$A$6:$A$420,0),0))</f>
        <v>282</v>
      </c>
      <c r="N91" s="64" t="n">
        <f aca="false">IF($H91="",0,IFERROR(MATCH($H91,GradeList,0),0))</f>
        <v>9</v>
      </c>
      <c r="O91" s="64" t="n">
        <f aca="false">IF(OR($I91="",$I91="NR"),0,IFERROR(MATCH($I91,GradeList,0),0))</f>
        <v>9</v>
      </c>
      <c r="P91" s="64" t="n">
        <f aca="false">IF(AND($M91&gt;0,ISNUMBER(MATCH($F91,Lists!$A$2:$A$5,0)),ISNUMBER(MATCH($G91,Lists!$B$2:$B$7,0)),OR($H91="",$N91&gt;0),OR($I91="",$I91="NR",$O91&gt;0),IF(ISNUMBER($J91),AND($J91&gt;=0,$J91=INT($J91)),FALSE())),$J91,0)</f>
        <v>1</v>
      </c>
      <c r="Q91" s="64" t="n">
        <f aca="false">IF(AND($P91&gt;0,$O91&gt;0),$P91,0)</f>
        <v>1</v>
      </c>
      <c r="R91" s="64" t="n">
        <f aca="false">IF(AND($Q91&gt;0,$O91&gt;=AtRank),$Q91,0)</f>
        <v>1</v>
      </c>
      <c r="S91" s="64" t="n">
        <f aca="false">IF(AND($Q91&gt;0,$O91&gt;=AboveRank),$Q91,0)</f>
        <v>1</v>
      </c>
      <c r="T91" s="64" t="n">
        <f aca="false">IF($K91="Less",$P91,0)</f>
        <v>0</v>
      </c>
      <c r="U91" s="64" t="n">
        <f aca="false">IF($K91="Expected",$P91,0)</f>
        <v>0</v>
      </c>
      <c r="V91" s="64" t="n">
        <f aca="false">IF($K91="Better",$P91,0)</f>
        <v>1</v>
      </c>
      <c r="W91" s="64" t="n">
        <f aca="false">IF($K91="U – needs rule",$P91,0)</f>
        <v>0</v>
      </c>
      <c r="X91" s="64" t="n">
        <f aca="false">IF($K91="No Start (attainment only)",$P91,0)</f>
        <v>0</v>
      </c>
    </row>
    <row r="92" customFormat="false" ht="15" hidden="false" customHeight="false" outlineLevel="0" collapsed="false">
      <c r="A92" s="60" t="s">
        <v>777</v>
      </c>
      <c r="B92" s="61" t="str">
        <f aca="false">IF($M92=0,"",INDEX(Classes!$E$6:$E$420,$M92))</f>
        <v>Arabic A</v>
      </c>
      <c r="C92" s="62" t="str">
        <f aca="false">IF($M92=0,"",INDEX(Classes!$H$6:$H$420,$M92))</f>
        <v>Mr Ayman Bobo</v>
      </c>
      <c r="D92" s="61" t="str">
        <f aca="false">IF($M92=0,"",INDEX(Classes!$B$6:$B$420,$M92))</f>
        <v>Year 10</v>
      </c>
      <c r="E92" s="61" t="str">
        <f aca="false">IF($M92=0,"",INDEX(Classes!$C$6:$C$420,$M92))</f>
        <v>ah</v>
      </c>
      <c r="F92" s="63" t="s">
        <v>163</v>
      </c>
      <c r="G92" s="63" t="s">
        <v>108</v>
      </c>
      <c r="H92" s="60" t="s">
        <v>204</v>
      </c>
      <c r="I92" s="60" t="s">
        <v>205</v>
      </c>
      <c r="J92" s="63" t="n">
        <v>3</v>
      </c>
      <c r="K92" s="61" t="str">
        <f aca="false">IF($P92=0,"",IF($F92="Baseline","— Baseline",IF($O92=0,"No result",IF($N92=0,"No Start (attainment only)",IF(OR($N92=1,$O92=1),"U – needs rule",INDEX(MxBody,MATCH($I92,MxCurr,0),MATCH($H92,MxStart,0)))))))</f>
        <v>Better</v>
      </c>
      <c r="L92" s="62" t="str">
        <f aca="false">IF(COUNTA($A92,$F92,$G92,$H92,$I92,$J92)=0,"",IF($M92=0,"✖ كود الصف غير موجود",IF(ISNA(MATCH($F92,Lists!$A$2:$A$5,0)),"✖ الفترة غير صحيحة",IF(ISNA(MATCH($G92,Lists!$B$2:$B$7,0)),"✖ المجموعة غير صحيحة",IF(NOT(OR($H92="",$N92&gt;0)),"✖ Start غير صحيح",IF(NOT(OR($I92="",$I92="NR",$O92&gt;0)),"✖ Current غير صحيح",IF(NOT(IF(ISNUMBER($J92),AND($J92&gt;=0,$J92=INT($J92)),FALSE())),"✖ العدد يجب أن يكون صحيحًا ≥ 0",IF(AND($F92="Baseline",$H92&lt;&gt;""),"⚠ Baseline: Start لا يدخل في التقدم",IF($K92="No Start (attainment only)","ℹ تحصيل فقط (بدون Start)",IF($K92="U – needs rule","ℹ حالة U تحتاج قاعدة معتمدة",IF($K92="No result","ℹ بدون نتيجة (يُستبعد من التحصيل)","OK")))))))))))</f>
        <v>OK</v>
      </c>
      <c r="M92" s="64" t="n">
        <f aca="false">IF($A92="",0,IFERROR(MATCH($A92,Classes!$A$6:$A$420,0),0))</f>
        <v>282</v>
      </c>
      <c r="N92" s="64" t="n">
        <f aca="false">IF($H92="",0,IFERROR(MATCH($H92,GradeList,0),0))</f>
        <v>9</v>
      </c>
      <c r="O92" s="64" t="n">
        <f aca="false">IF(OR($I92="",$I92="NR"),0,IFERROR(MATCH($I92,GradeList,0),0))</f>
        <v>10</v>
      </c>
      <c r="P92" s="64" t="n">
        <f aca="false">IF(AND($M92&gt;0,ISNUMBER(MATCH($F92,Lists!$A$2:$A$5,0)),ISNUMBER(MATCH($G92,Lists!$B$2:$B$7,0)),OR($H92="",$N92&gt;0),OR($I92="",$I92="NR",$O92&gt;0),IF(ISNUMBER($J92),AND($J92&gt;=0,$J92=INT($J92)),FALSE())),$J92,0)</f>
        <v>3</v>
      </c>
      <c r="Q92" s="64" t="n">
        <f aca="false">IF(AND($P92&gt;0,$O92&gt;0),$P92,0)</f>
        <v>3</v>
      </c>
      <c r="R92" s="64" t="n">
        <f aca="false">IF(AND($Q92&gt;0,$O92&gt;=AtRank),$Q92,0)</f>
        <v>3</v>
      </c>
      <c r="S92" s="64" t="n">
        <f aca="false">IF(AND($Q92&gt;0,$O92&gt;=AboveRank),$Q92,0)</f>
        <v>3</v>
      </c>
      <c r="T92" s="64" t="n">
        <f aca="false">IF($K92="Less",$P92,0)</f>
        <v>0</v>
      </c>
      <c r="U92" s="64" t="n">
        <f aca="false">IF($K92="Expected",$P92,0)</f>
        <v>0</v>
      </c>
      <c r="V92" s="64" t="n">
        <f aca="false">IF($K92="Better",$P92,0)</f>
        <v>3</v>
      </c>
      <c r="W92" s="64" t="n">
        <f aca="false">IF($K92="U – needs rule",$P92,0)</f>
        <v>0</v>
      </c>
      <c r="X92" s="64" t="n">
        <f aca="false">IF($K92="No Start (attainment only)",$P92,0)</f>
        <v>0</v>
      </c>
    </row>
    <row r="93" customFormat="false" ht="15" hidden="false" customHeight="false" outlineLevel="0" collapsed="false">
      <c r="A93" s="60" t="s">
        <v>777</v>
      </c>
      <c r="B93" s="61" t="str">
        <f aca="false">IF($M93=0,"",INDEX(Classes!$E$6:$E$420,$M93))</f>
        <v>Arabic A</v>
      </c>
      <c r="C93" s="62" t="str">
        <f aca="false">IF($M93=0,"",INDEX(Classes!$H$6:$H$420,$M93))</f>
        <v>Mr Ayman Bobo</v>
      </c>
      <c r="D93" s="61" t="str">
        <f aca="false">IF($M93=0,"",INDEX(Classes!$B$6:$B$420,$M93))</f>
        <v>Year 10</v>
      </c>
      <c r="E93" s="61" t="str">
        <f aca="false">IF($M93=0,"",INDEX(Classes!$C$6:$C$420,$M93))</f>
        <v>ah</v>
      </c>
      <c r="F93" s="63" t="s">
        <v>163</v>
      </c>
      <c r="G93" s="63" t="s">
        <v>108</v>
      </c>
      <c r="H93" s="60" t="s">
        <v>205</v>
      </c>
      <c r="I93" s="60" t="s">
        <v>205</v>
      </c>
      <c r="J93" s="63" t="n">
        <v>2</v>
      </c>
      <c r="K93" s="61" t="str">
        <f aca="false">IF($P93=0,"",IF($F93="Baseline","— Baseline",IF($O93=0,"No result",IF($N93=0,"No Start (attainment only)",IF(OR($N93=1,$O93=1),"U – needs rule",INDEX(MxBody,MATCH($I93,MxCurr,0),MATCH($H93,MxStart,0)))))))</f>
        <v>Better</v>
      </c>
      <c r="L93" s="62" t="str">
        <f aca="false">IF(COUNTA($A93,$F93,$G93,$H93,$I93,$J93)=0,"",IF($M93=0,"✖ كود الصف غير موجود",IF(ISNA(MATCH($F93,Lists!$A$2:$A$5,0)),"✖ الفترة غير صحيحة",IF(ISNA(MATCH($G93,Lists!$B$2:$B$7,0)),"✖ المجموعة غير صحيحة",IF(NOT(OR($H93="",$N93&gt;0)),"✖ Start غير صحيح",IF(NOT(OR($I93="",$I93="NR",$O93&gt;0)),"✖ Current غير صحيح",IF(NOT(IF(ISNUMBER($J93),AND($J93&gt;=0,$J93=INT($J93)),FALSE())),"✖ العدد يجب أن يكون صحيحًا ≥ 0",IF(AND($F93="Baseline",$H93&lt;&gt;""),"⚠ Baseline: Start لا يدخل في التقدم",IF($K93="No Start (attainment only)","ℹ تحصيل فقط (بدون Start)",IF($K93="U – needs rule","ℹ حالة U تحتاج قاعدة معتمدة",IF($K93="No result","ℹ بدون نتيجة (يُستبعد من التحصيل)","OK")))))))))))</f>
        <v>OK</v>
      </c>
      <c r="M93" s="64" t="n">
        <f aca="false">IF($A93="",0,IFERROR(MATCH($A93,Classes!$A$6:$A$420,0),0))</f>
        <v>282</v>
      </c>
      <c r="N93" s="64" t="n">
        <f aca="false">IF($H93="",0,IFERROR(MATCH($H93,GradeList,0),0))</f>
        <v>10</v>
      </c>
      <c r="O93" s="64" t="n">
        <f aca="false">IF(OR($I93="",$I93="NR"),0,IFERROR(MATCH($I93,GradeList,0),0))</f>
        <v>10</v>
      </c>
      <c r="P93" s="64" t="n">
        <f aca="false">IF(AND($M93&gt;0,ISNUMBER(MATCH($F93,Lists!$A$2:$A$5,0)),ISNUMBER(MATCH($G93,Lists!$B$2:$B$7,0)),OR($H93="",$N93&gt;0),OR($I93="",$I93="NR",$O93&gt;0),IF(ISNUMBER($J93),AND($J93&gt;=0,$J93=INT($J93)),FALSE())),$J93,0)</f>
        <v>2</v>
      </c>
      <c r="Q93" s="64" t="n">
        <f aca="false">IF(AND($P93&gt;0,$O93&gt;0),$P93,0)</f>
        <v>2</v>
      </c>
      <c r="R93" s="64" t="n">
        <f aca="false">IF(AND($Q93&gt;0,$O93&gt;=AtRank),$Q93,0)</f>
        <v>2</v>
      </c>
      <c r="S93" s="64" t="n">
        <f aca="false">IF(AND($Q93&gt;0,$O93&gt;=AboveRank),$Q93,0)</f>
        <v>2</v>
      </c>
      <c r="T93" s="64" t="n">
        <f aca="false">IF($K93="Less",$P93,0)</f>
        <v>0</v>
      </c>
      <c r="U93" s="64" t="n">
        <f aca="false">IF($K93="Expected",$P93,0)</f>
        <v>0</v>
      </c>
      <c r="V93" s="64" t="n">
        <f aca="false">IF($K93="Better",$P93,0)</f>
        <v>2</v>
      </c>
      <c r="W93" s="64" t="n">
        <f aca="false">IF($K93="U – needs rule",$P93,0)</f>
        <v>0</v>
      </c>
      <c r="X93" s="64" t="n">
        <f aca="false">IF($K93="No Start (attainment only)",$P93,0)</f>
        <v>0</v>
      </c>
    </row>
    <row r="94" customFormat="false" ht="15" hidden="false" customHeight="false" outlineLevel="0" collapsed="false">
      <c r="A94" s="60" t="s">
        <v>777</v>
      </c>
      <c r="B94" s="61" t="str">
        <f aca="false">IF($M94=0,"",INDEX(Classes!$E$6:$E$420,$M94))</f>
        <v>Arabic A</v>
      </c>
      <c r="C94" s="62" t="str">
        <f aca="false">IF($M94=0,"",INDEX(Classes!$H$6:$H$420,$M94))</f>
        <v>Mr Ayman Bobo</v>
      </c>
      <c r="D94" s="61" t="str">
        <f aca="false">IF($M94=0,"",INDEX(Classes!$B$6:$B$420,$M94))</f>
        <v>Year 10</v>
      </c>
      <c r="E94" s="61" t="str">
        <f aca="false">IF($M94=0,"",INDEX(Classes!$C$6:$C$420,$M94))</f>
        <v>ah</v>
      </c>
      <c r="F94" s="63" t="s">
        <v>163</v>
      </c>
      <c r="G94" s="63" t="s">
        <v>1015</v>
      </c>
      <c r="H94" s="60" t="s">
        <v>202</v>
      </c>
      <c r="I94" s="60" t="s">
        <v>202</v>
      </c>
      <c r="J94" s="63" t="n">
        <v>1</v>
      </c>
      <c r="K94" s="61" t="str">
        <f aca="false">IF($P94=0,"",IF($F94="Baseline","— Baseline",IF($O94=0,"No result",IF($N94=0,"No Start (attainment only)",IF(OR($N94=1,$O94=1),"U – needs rule",INDEX(MxBody,MATCH($I94,MxCurr,0),MATCH($H94,MxStart,0)))))))</f>
        <v>Better</v>
      </c>
      <c r="L94" s="62" t="str">
        <f aca="false">IF(COUNTA($A94,$F94,$G94,$H94,$I94,$J94)=0,"",IF($M94=0,"✖ كود الصف غير موجود",IF(ISNA(MATCH($F94,Lists!$A$2:$A$5,0)),"✖ الفترة غير صحيحة",IF(ISNA(MATCH($G94,Lists!$B$2:$B$7,0)),"✖ المجموعة غير صحيحة",IF(NOT(OR($H94="",$N94&gt;0)),"✖ Start غير صحيح",IF(NOT(OR($I94="",$I94="NR",$O94&gt;0)),"✖ Current غير صحيح",IF(NOT(IF(ISNUMBER($J94),AND($J94&gt;=0,$J94=INT($J94)),FALSE())),"✖ العدد يجب أن يكون صحيحًا ≥ 0",IF(AND($F94="Baseline",$H94&lt;&gt;""),"⚠ Baseline: Start لا يدخل في التقدم",IF($K94="No Start (attainment only)","ℹ تحصيل فقط (بدون Start)",IF($K94="U – needs rule","ℹ حالة U تحتاج قاعدة معتمدة",IF($K94="No result","ℹ بدون نتيجة (يُستبعد من التحصيل)","OK")))))))))))</f>
        <v>OK</v>
      </c>
      <c r="M94" s="64" t="n">
        <f aca="false">IF($A94="",0,IFERROR(MATCH($A94,Classes!$A$6:$A$420,0),0))</f>
        <v>282</v>
      </c>
      <c r="N94" s="64" t="n">
        <f aca="false">IF($H94="",0,IFERROR(MATCH($H94,GradeList,0),0))</f>
        <v>7</v>
      </c>
      <c r="O94" s="64" t="n">
        <f aca="false">IF(OR($I94="",$I94="NR"),0,IFERROR(MATCH($I94,GradeList,0),0))</f>
        <v>7</v>
      </c>
      <c r="P94" s="64" t="n">
        <f aca="false">IF(AND($M94&gt;0,ISNUMBER(MATCH($F94,Lists!$A$2:$A$5,0)),ISNUMBER(MATCH($G94,Lists!$B$2:$B$7,0)),OR($H94="",$N94&gt;0),OR($I94="",$I94="NR",$O94&gt;0),IF(ISNUMBER($J94),AND($J94&gt;=0,$J94=INT($J94)),FALSE())),$J94,0)</f>
        <v>1</v>
      </c>
      <c r="Q94" s="64" t="n">
        <f aca="false">IF(AND($P94&gt;0,$O94&gt;0),$P94,0)</f>
        <v>1</v>
      </c>
      <c r="R94" s="64" t="n">
        <f aca="false">IF(AND($Q94&gt;0,$O94&gt;=AtRank),$Q94,0)</f>
        <v>1</v>
      </c>
      <c r="S94" s="64" t="n">
        <f aca="false">IF(AND($Q94&gt;0,$O94&gt;=AboveRank),$Q94,0)</f>
        <v>1</v>
      </c>
      <c r="T94" s="64" t="n">
        <f aca="false">IF($K94="Less",$P94,0)</f>
        <v>0</v>
      </c>
      <c r="U94" s="64" t="n">
        <f aca="false">IF($K94="Expected",$P94,0)</f>
        <v>0</v>
      </c>
      <c r="V94" s="64" t="n">
        <f aca="false">IF($K94="Better",$P94,0)</f>
        <v>1</v>
      </c>
      <c r="W94" s="64" t="n">
        <f aca="false">IF($K94="U – needs rule",$P94,0)</f>
        <v>0</v>
      </c>
      <c r="X94" s="64" t="n">
        <f aca="false">IF($K94="No Start (attainment only)",$P94,0)</f>
        <v>0</v>
      </c>
    </row>
    <row r="95" customFormat="false" ht="15" hidden="false" customHeight="false" outlineLevel="0" collapsed="false">
      <c r="A95" s="60" t="s">
        <v>777</v>
      </c>
      <c r="B95" s="61" t="str">
        <f aca="false">IF($M95=0,"",INDEX(Classes!$E$6:$E$420,$M95))</f>
        <v>Arabic A</v>
      </c>
      <c r="C95" s="62" t="str">
        <f aca="false">IF($M95=0,"",INDEX(Classes!$H$6:$H$420,$M95))</f>
        <v>Mr Ayman Bobo</v>
      </c>
      <c r="D95" s="61" t="str">
        <f aca="false">IF($M95=0,"",INDEX(Classes!$B$6:$B$420,$M95))</f>
        <v>Year 10</v>
      </c>
      <c r="E95" s="61" t="str">
        <f aca="false">IF($M95=0,"",INDEX(Classes!$C$6:$C$420,$M95))</f>
        <v>ah</v>
      </c>
      <c r="F95" s="63" t="s">
        <v>163</v>
      </c>
      <c r="G95" s="63" t="s">
        <v>1015</v>
      </c>
      <c r="H95" s="60" t="s">
        <v>202</v>
      </c>
      <c r="I95" s="60" t="s">
        <v>203</v>
      </c>
      <c r="J95" s="63" t="n">
        <v>1</v>
      </c>
      <c r="K95" s="61" t="str">
        <f aca="false">IF($P95=0,"",IF($F95="Baseline","— Baseline",IF($O95=0,"No result",IF($N95=0,"No Start (attainment only)",IF(OR($N95=1,$O95=1),"U – needs rule",INDEX(MxBody,MATCH($I95,MxCurr,0),MATCH($H95,MxStart,0)))))))</f>
        <v>Better</v>
      </c>
      <c r="L95" s="62" t="str">
        <f aca="false">IF(COUNTA($A95,$F95,$G95,$H95,$I95,$J95)=0,"",IF($M95=0,"✖ كود الصف غير موجود",IF(ISNA(MATCH($F95,Lists!$A$2:$A$5,0)),"✖ الفترة غير صحيحة",IF(ISNA(MATCH($G95,Lists!$B$2:$B$7,0)),"✖ المجموعة غير صحيحة",IF(NOT(OR($H95="",$N95&gt;0)),"✖ Start غير صحيح",IF(NOT(OR($I95="",$I95="NR",$O95&gt;0)),"✖ Current غير صحيح",IF(NOT(IF(ISNUMBER($J95),AND($J95&gt;=0,$J95=INT($J95)),FALSE())),"✖ العدد يجب أن يكون صحيحًا ≥ 0",IF(AND($F95="Baseline",$H95&lt;&gt;""),"⚠ Baseline: Start لا يدخل في التقدم",IF($K95="No Start (attainment only)","ℹ تحصيل فقط (بدون Start)",IF($K95="U – needs rule","ℹ حالة U تحتاج قاعدة معتمدة",IF($K95="No result","ℹ بدون نتيجة (يُستبعد من التحصيل)","OK")))))))))))</f>
        <v>OK</v>
      </c>
      <c r="M95" s="64" t="n">
        <f aca="false">IF($A95="",0,IFERROR(MATCH($A95,Classes!$A$6:$A$420,0),0))</f>
        <v>282</v>
      </c>
      <c r="N95" s="64" t="n">
        <f aca="false">IF($H95="",0,IFERROR(MATCH($H95,GradeList,0),0))</f>
        <v>7</v>
      </c>
      <c r="O95" s="64" t="n">
        <f aca="false">IF(OR($I95="",$I95="NR"),0,IFERROR(MATCH($I95,GradeList,0),0))</f>
        <v>8</v>
      </c>
      <c r="P95" s="64" t="n">
        <f aca="false">IF(AND($M95&gt;0,ISNUMBER(MATCH($F95,Lists!$A$2:$A$5,0)),ISNUMBER(MATCH($G95,Lists!$B$2:$B$7,0)),OR($H95="",$N95&gt;0),OR($I95="",$I95="NR",$O95&gt;0),IF(ISNUMBER($J95),AND($J95&gt;=0,$J95=INT($J95)),FALSE())),$J95,0)</f>
        <v>1</v>
      </c>
      <c r="Q95" s="64" t="n">
        <f aca="false">IF(AND($P95&gt;0,$O95&gt;0),$P95,0)</f>
        <v>1</v>
      </c>
      <c r="R95" s="64" t="n">
        <f aca="false">IF(AND($Q95&gt;0,$O95&gt;=AtRank),$Q95,0)</f>
        <v>1</v>
      </c>
      <c r="S95" s="64" t="n">
        <f aca="false">IF(AND($Q95&gt;0,$O95&gt;=AboveRank),$Q95,0)</f>
        <v>1</v>
      </c>
      <c r="T95" s="64" t="n">
        <f aca="false">IF($K95="Less",$P95,0)</f>
        <v>0</v>
      </c>
      <c r="U95" s="64" t="n">
        <f aca="false">IF($K95="Expected",$P95,0)</f>
        <v>0</v>
      </c>
      <c r="V95" s="64" t="n">
        <f aca="false">IF($K95="Better",$P95,0)</f>
        <v>1</v>
      </c>
      <c r="W95" s="64" t="n">
        <f aca="false">IF($K95="U – needs rule",$P95,0)</f>
        <v>0</v>
      </c>
      <c r="X95" s="64" t="n">
        <f aca="false">IF($K95="No Start (attainment only)",$P95,0)</f>
        <v>0</v>
      </c>
    </row>
    <row r="96" customFormat="false" ht="15" hidden="false" customHeight="false" outlineLevel="0" collapsed="false">
      <c r="A96" s="60" t="s">
        <v>777</v>
      </c>
      <c r="B96" s="61" t="str">
        <f aca="false">IF($M96=0,"",INDEX(Classes!$E$6:$E$420,$M96))</f>
        <v>Arabic A</v>
      </c>
      <c r="C96" s="62" t="str">
        <f aca="false">IF($M96=0,"",INDEX(Classes!$H$6:$H$420,$M96))</f>
        <v>Mr Ayman Bobo</v>
      </c>
      <c r="D96" s="61" t="str">
        <f aca="false">IF($M96=0,"",INDEX(Classes!$B$6:$B$420,$M96))</f>
        <v>Year 10</v>
      </c>
      <c r="E96" s="61" t="str">
        <f aca="false">IF($M96=0,"",INDEX(Classes!$C$6:$C$420,$M96))</f>
        <v>ah</v>
      </c>
      <c r="F96" s="63" t="s">
        <v>163</v>
      </c>
      <c r="G96" s="63" t="s">
        <v>1015</v>
      </c>
      <c r="H96" s="60" t="s">
        <v>202</v>
      </c>
      <c r="I96" s="60" t="s">
        <v>204</v>
      </c>
      <c r="J96" s="63" t="n">
        <v>2</v>
      </c>
      <c r="K96" s="61" t="str">
        <f aca="false">IF($P96=0,"",IF($F96="Baseline","— Baseline",IF($O96=0,"No result",IF($N96=0,"No Start (attainment only)",IF(OR($N96=1,$O96=1),"U – needs rule",INDEX(MxBody,MATCH($I96,MxCurr,0),MATCH($H96,MxStart,0)))))))</f>
        <v>Better</v>
      </c>
      <c r="L96" s="62" t="str">
        <f aca="false">IF(COUNTA($A96,$F96,$G96,$H96,$I96,$J96)=0,"",IF($M96=0,"✖ كود الصف غير موجود",IF(ISNA(MATCH($F96,Lists!$A$2:$A$5,0)),"✖ الفترة غير صحيحة",IF(ISNA(MATCH($G96,Lists!$B$2:$B$7,0)),"✖ المجموعة غير صحيحة",IF(NOT(OR($H96="",$N96&gt;0)),"✖ Start غير صحيح",IF(NOT(OR($I96="",$I96="NR",$O96&gt;0)),"✖ Current غير صحيح",IF(NOT(IF(ISNUMBER($J96),AND($J96&gt;=0,$J96=INT($J96)),FALSE())),"✖ العدد يجب أن يكون صحيحًا ≥ 0",IF(AND($F96="Baseline",$H96&lt;&gt;""),"⚠ Baseline: Start لا يدخل في التقدم",IF($K96="No Start (attainment only)","ℹ تحصيل فقط (بدون Start)",IF($K96="U – needs rule","ℹ حالة U تحتاج قاعدة معتمدة",IF($K96="No result","ℹ بدون نتيجة (يُستبعد من التحصيل)","OK")))))))))))</f>
        <v>OK</v>
      </c>
      <c r="M96" s="64" t="n">
        <f aca="false">IF($A96="",0,IFERROR(MATCH($A96,Classes!$A$6:$A$420,0),0))</f>
        <v>282</v>
      </c>
      <c r="N96" s="64" t="n">
        <f aca="false">IF($H96="",0,IFERROR(MATCH($H96,GradeList,0),0))</f>
        <v>7</v>
      </c>
      <c r="O96" s="64" t="n">
        <f aca="false">IF(OR($I96="",$I96="NR"),0,IFERROR(MATCH($I96,GradeList,0),0))</f>
        <v>9</v>
      </c>
      <c r="P96" s="64" t="n">
        <f aca="false">IF(AND($M96&gt;0,ISNUMBER(MATCH($F96,Lists!$A$2:$A$5,0)),ISNUMBER(MATCH($G96,Lists!$B$2:$B$7,0)),OR($H96="",$N96&gt;0),OR($I96="",$I96="NR",$O96&gt;0),IF(ISNUMBER($J96),AND($J96&gt;=0,$J96=INT($J96)),FALSE())),$J96,0)</f>
        <v>2</v>
      </c>
      <c r="Q96" s="64" t="n">
        <f aca="false">IF(AND($P96&gt;0,$O96&gt;0),$P96,0)</f>
        <v>2</v>
      </c>
      <c r="R96" s="64" t="n">
        <f aca="false">IF(AND($Q96&gt;0,$O96&gt;=AtRank),$Q96,0)</f>
        <v>2</v>
      </c>
      <c r="S96" s="64" t="n">
        <f aca="false">IF(AND($Q96&gt;0,$O96&gt;=AboveRank),$Q96,0)</f>
        <v>2</v>
      </c>
      <c r="T96" s="64" t="n">
        <f aca="false">IF($K96="Less",$P96,0)</f>
        <v>0</v>
      </c>
      <c r="U96" s="64" t="n">
        <f aca="false">IF($K96="Expected",$P96,0)</f>
        <v>0</v>
      </c>
      <c r="V96" s="64" t="n">
        <f aca="false">IF($K96="Better",$P96,0)</f>
        <v>2</v>
      </c>
      <c r="W96" s="64" t="n">
        <f aca="false">IF($K96="U – needs rule",$P96,0)</f>
        <v>0</v>
      </c>
      <c r="X96" s="64" t="n">
        <f aca="false">IF($K96="No Start (attainment only)",$P96,0)</f>
        <v>0</v>
      </c>
    </row>
    <row r="97" customFormat="false" ht="15" hidden="false" customHeight="false" outlineLevel="0" collapsed="false">
      <c r="A97" s="60" t="s">
        <v>777</v>
      </c>
      <c r="B97" s="61" t="str">
        <f aca="false">IF($M97=0,"",INDEX(Classes!$E$6:$E$420,$M97))</f>
        <v>Arabic A</v>
      </c>
      <c r="C97" s="62" t="str">
        <f aca="false">IF($M97=0,"",INDEX(Classes!$H$6:$H$420,$M97))</f>
        <v>Mr Ayman Bobo</v>
      </c>
      <c r="D97" s="61" t="str">
        <f aca="false">IF($M97=0,"",INDEX(Classes!$B$6:$B$420,$M97))</f>
        <v>Year 10</v>
      </c>
      <c r="E97" s="61" t="str">
        <f aca="false">IF($M97=0,"",INDEX(Classes!$C$6:$C$420,$M97))</f>
        <v>ah</v>
      </c>
      <c r="F97" s="63" t="s">
        <v>163</v>
      </c>
      <c r="G97" s="63" t="s">
        <v>1015</v>
      </c>
      <c r="H97" s="60" t="s">
        <v>203</v>
      </c>
      <c r="I97" s="60" t="s">
        <v>203</v>
      </c>
      <c r="J97" s="63" t="n">
        <v>1</v>
      </c>
      <c r="K97" s="61" t="str">
        <f aca="false">IF($P97=0,"",IF($F97="Baseline","— Baseline",IF($O97=0,"No result",IF($N97=0,"No Start (attainment only)",IF(OR($N97=1,$O97=1),"U – needs rule",INDEX(MxBody,MATCH($I97,MxCurr,0),MATCH($H97,MxStart,0)))))))</f>
        <v>Better</v>
      </c>
      <c r="L97" s="62" t="str">
        <f aca="false">IF(COUNTA($A97,$F97,$G97,$H97,$I97,$J97)=0,"",IF($M97=0,"✖ كود الصف غير موجود",IF(ISNA(MATCH($F97,Lists!$A$2:$A$5,0)),"✖ الفترة غير صحيحة",IF(ISNA(MATCH($G97,Lists!$B$2:$B$7,0)),"✖ المجموعة غير صحيحة",IF(NOT(OR($H97="",$N97&gt;0)),"✖ Start غير صحيح",IF(NOT(OR($I97="",$I97="NR",$O97&gt;0)),"✖ Current غير صحيح",IF(NOT(IF(ISNUMBER($J97),AND($J97&gt;=0,$J97=INT($J97)),FALSE())),"✖ العدد يجب أن يكون صحيحًا ≥ 0",IF(AND($F97="Baseline",$H97&lt;&gt;""),"⚠ Baseline: Start لا يدخل في التقدم",IF($K97="No Start (attainment only)","ℹ تحصيل فقط (بدون Start)",IF($K97="U – needs rule","ℹ حالة U تحتاج قاعدة معتمدة",IF($K97="No result","ℹ بدون نتيجة (يُستبعد من التحصيل)","OK")))))))))))</f>
        <v>OK</v>
      </c>
      <c r="M97" s="64" t="n">
        <f aca="false">IF($A97="",0,IFERROR(MATCH($A97,Classes!$A$6:$A$420,0),0))</f>
        <v>282</v>
      </c>
      <c r="N97" s="64" t="n">
        <f aca="false">IF($H97="",0,IFERROR(MATCH($H97,GradeList,0),0))</f>
        <v>8</v>
      </c>
      <c r="O97" s="64" t="n">
        <f aca="false">IF(OR($I97="",$I97="NR"),0,IFERROR(MATCH($I97,GradeList,0),0))</f>
        <v>8</v>
      </c>
      <c r="P97" s="64" t="n">
        <f aca="false">IF(AND($M97&gt;0,ISNUMBER(MATCH($F97,Lists!$A$2:$A$5,0)),ISNUMBER(MATCH($G97,Lists!$B$2:$B$7,0)),OR($H97="",$N97&gt;0),OR($I97="",$I97="NR",$O97&gt;0),IF(ISNUMBER($J97),AND($J97&gt;=0,$J97=INT($J97)),FALSE())),$J97,0)</f>
        <v>1</v>
      </c>
      <c r="Q97" s="64" t="n">
        <f aca="false">IF(AND($P97&gt;0,$O97&gt;0),$P97,0)</f>
        <v>1</v>
      </c>
      <c r="R97" s="64" t="n">
        <f aca="false">IF(AND($Q97&gt;0,$O97&gt;=AtRank),$Q97,0)</f>
        <v>1</v>
      </c>
      <c r="S97" s="64" t="n">
        <f aca="false">IF(AND($Q97&gt;0,$O97&gt;=AboveRank),$Q97,0)</f>
        <v>1</v>
      </c>
      <c r="T97" s="64" t="n">
        <f aca="false">IF($K97="Less",$P97,0)</f>
        <v>0</v>
      </c>
      <c r="U97" s="64" t="n">
        <f aca="false">IF($K97="Expected",$P97,0)</f>
        <v>0</v>
      </c>
      <c r="V97" s="64" t="n">
        <f aca="false">IF($K97="Better",$P97,0)</f>
        <v>1</v>
      </c>
      <c r="W97" s="64" t="n">
        <f aca="false">IF($K97="U – needs rule",$P97,0)</f>
        <v>0</v>
      </c>
      <c r="X97" s="64" t="n">
        <f aca="false">IF($K97="No Start (attainment only)",$P97,0)</f>
        <v>0</v>
      </c>
    </row>
    <row r="98" customFormat="false" ht="15" hidden="false" customHeight="false" outlineLevel="0" collapsed="false">
      <c r="A98" s="60" t="s">
        <v>777</v>
      </c>
      <c r="B98" s="61" t="str">
        <f aca="false">IF($M98=0,"",INDEX(Classes!$E$6:$E$420,$M98))</f>
        <v>Arabic A</v>
      </c>
      <c r="C98" s="62" t="str">
        <f aca="false">IF($M98=0,"",INDEX(Classes!$H$6:$H$420,$M98))</f>
        <v>Mr Ayman Bobo</v>
      </c>
      <c r="D98" s="61" t="str">
        <f aca="false">IF($M98=0,"",INDEX(Classes!$B$6:$B$420,$M98))</f>
        <v>Year 10</v>
      </c>
      <c r="E98" s="61" t="str">
        <f aca="false">IF($M98=0,"",INDEX(Classes!$C$6:$C$420,$M98))</f>
        <v>ah</v>
      </c>
      <c r="F98" s="63" t="s">
        <v>163</v>
      </c>
      <c r="G98" s="63" t="s">
        <v>1015</v>
      </c>
      <c r="H98" s="60" t="s">
        <v>203</v>
      </c>
      <c r="I98" s="60" t="s">
        <v>201</v>
      </c>
      <c r="J98" s="63" t="n">
        <v>1</v>
      </c>
      <c r="K98" s="61" t="str">
        <f aca="false">IF($P98=0,"",IF($F98="Baseline","— Baseline",IF($O98=0,"No result",IF($N98=0,"No Start (attainment only)",IF(OR($N98=1,$O98=1),"U – needs rule",INDEX(MxBody,MATCH($I98,MxCurr,0),MATCH($H98,MxStart,0)))))))</f>
        <v>Less</v>
      </c>
      <c r="L98" s="62" t="str">
        <f aca="false">IF(COUNTA($A98,$F98,$G98,$H98,$I98,$J98)=0,"",IF($M98=0,"✖ كود الصف غير موجود",IF(ISNA(MATCH($F98,Lists!$A$2:$A$5,0)),"✖ الفترة غير صحيحة",IF(ISNA(MATCH($G98,Lists!$B$2:$B$7,0)),"✖ المجموعة غير صحيحة",IF(NOT(OR($H98="",$N98&gt;0)),"✖ Start غير صحيح",IF(NOT(OR($I98="",$I98="NR",$O98&gt;0)),"✖ Current غير صحيح",IF(NOT(IF(ISNUMBER($J98),AND($J98&gt;=0,$J98=INT($J98)),FALSE())),"✖ العدد يجب أن يكون صحيحًا ≥ 0",IF(AND($F98="Baseline",$H98&lt;&gt;""),"⚠ Baseline: Start لا يدخل في التقدم",IF($K98="No Start (attainment only)","ℹ تحصيل فقط (بدون Start)",IF($K98="U – needs rule","ℹ حالة U تحتاج قاعدة معتمدة",IF($K98="No result","ℹ بدون نتيجة (يُستبعد من التحصيل)","OK")))))))))))</f>
        <v>OK</v>
      </c>
      <c r="M98" s="64" t="n">
        <f aca="false">IF($A98="",0,IFERROR(MATCH($A98,Classes!$A$6:$A$420,0),0))</f>
        <v>282</v>
      </c>
      <c r="N98" s="64" t="n">
        <f aca="false">IF($H98="",0,IFERROR(MATCH($H98,GradeList,0),0))</f>
        <v>8</v>
      </c>
      <c r="O98" s="64" t="n">
        <f aca="false">IF(OR($I98="",$I98="NR"),0,IFERROR(MATCH($I98,GradeList,0),0))</f>
        <v>6</v>
      </c>
      <c r="P98" s="64" t="n">
        <f aca="false">IF(AND($M98&gt;0,ISNUMBER(MATCH($F98,Lists!$A$2:$A$5,0)),ISNUMBER(MATCH($G98,Lists!$B$2:$B$7,0)),OR($H98="",$N98&gt;0),OR($I98="",$I98="NR",$O98&gt;0),IF(ISNUMBER($J98),AND($J98&gt;=0,$J98=INT($J98)),FALSE())),$J98,0)</f>
        <v>1</v>
      </c>
      <c r="Q98" s="64" t="n">
        <f aca="false">IF(AND($P98&gt;0,$O98&gt;0),$P98,0)</f>
        <v>1</v>
      </c>
      <c r="R98" s="64" t="n">
        <f aca="false">IF(AND($Q98&gt;0,$O98&gt;=AtRank),$Q98,0)</f>
        <v>1</v>
      </c>
      <c r="S98" s="64" t="n">
        <f aca="false">IF(AND($Q98&gt;0,$O98&gt;=AboveRank),$Q98,0)</f>
        <v>0</v>
      </c>
      <c r="T98" s="64" t="n">
        <f aca="false">IF($K98="Less",$P98,0)</f>
        <v>1</v>
      </c>
      <c r="U98" s="64" t="n">
        <f aca="false">IF($K98="Expected",$P98,0)</f>
        <v>0</v>
      </c>
      <c r="V98" s="64" t="n">
        <f aca="false">IF($K98="Better",$P98,0)</f>
        <v>0</v>
      </c>
      <c r="W98" s="64" t="n">
        <f aca="false">IF($K98="U – needs rule",$P98,0)</f>
        <v>0</v>
      </c>
      <c r="X98" s="64" t="n">
        <f aca="false">IF($K98="No Start (attainment only)",$P98,0)</f>
        <v>0</v>
      </c>
    </row>
    <row r="99" customFormat="false" ht="15" hidden="false" customHeight="false" outlineLevel="0" collapsed="false">
      <c r="A99" s="60" t="s">
        <v>777</v>
      </c>
      <c r="B99" s="61" t="str">
        <f aca="false">IF($M99=0,"",INDEX(Classes!$E$6:$E$420,$M99))</f>
        <v>Arabic A</v>
      </c>
      <c r="C99" s="62" t="str">
        <f aca="false">IF($M99=0,"",INDEX(Classes!$H$6:$H$420,$M99))</f>
        <v>Mr Ayman Bobo</v>
      </c>
      <c r="D99" s="61" t="str">
        <f aca="false">IF($M99=0,"",INDEX(Classes!$B$6:$B$420,$M99))</f>
        <v>Year 10</v>
      </c>
      <c r="E99" s="61" t="str">
        <f aca="false">IF($M99=0,"",INDEX(Classes!$C$6:$C$420,$M99))</f>
        <v>ah</v>
      </c>
      <c r="F99" s="63" t="s">
        <v>163</v>
      </c>
      <c r="G99" s="63" t="s">
        <v>1015</v>
      </c>
      <c r="H99" s="60" t="s">
        <v>200</v>
      </c>
      <c r="I99" s="60" t="s">
        <v>200</v>
      </c>
      <c r="J99" s="63" t="n">
        <v>1</v>
      </c>
      <c r="K99" s="61" t="str">
        <f aca="false">IF($P99=0,"",IF($F99="Baseline","— Baseline",IF($O99=0,"No result",IF($N99=0,"No Start (attainment only)",IF(OR($N99=1,$O99=1),"U – needs rule",INDEX(MxBody,MATCH($I99,MxCurr,0),MATCH($H99,MxStart,0)))))))</f>
        <v>Expected</v>
      </c>
      <c r="L99" s="62" t="str">
        <f aca="false">IF(COUNTA($A99,$F99,$G99,$H99,$I99,$J99)=0,"",IF($M99=0,"✖ كود الصف غير موجود",IF(ISNA(MATCH($F99,Lists!$A$2:$A$5,0)),"✖ الفترة غير صحيحة",IF(ISNA(MATCH($G99,Lists!$B$2:$B$7,0)),"✖ المجموعة غير صحيحة",IF(NOT(OR($H99="",$N99&gt;0)),"✖ Start غير صحيح",IF(NOT(OR($I99="",$I99="NR",$O99&gt;0)),"✖ Current غير صحيح",IF(NOT(IF(ISNUMBER($J99),AND($J99&gt;=0,$J99=INT($J99)),FALSE())),"✖ العدد يجب أن يكون صحيحًا ≥ 0",IF(AND($F99="Baseline",$H99&lt;&gt;""),"⚠ Baseline: Start لا يدخل في التقدم",IF($K99="No Start (attainment only)","ℹ تحصيل فقط (بدون Start)",IF($K99="U – needs rule","ℹ حالة U تحتاج قاعدة معتمدة",IF($K99="No result","ℹ بدون نتيجة (يُستبعد من التحصيل)","OK")))))))))))</f>
        <v>OK</v>
      </c>
      <c r="M99" s="64" t="n">
        <f aca="false">IF($A99="",0,IFERROR(MATCH($A99,Classes!$A$6:$A$420,0),0))</f>
        <v>282</v>
      </c>
      <c r="N99" s="64" t="n">
        <f aca="false">IF($H99="",0,IFERROR(MATCH($H99,GradeList,0),0))</f>
        <v>5</v>
      </c>
      <c r="O99" s="64" t="n">
        <f aca="false">IF(OR($I99="",$I99="NR"),0,IFERROR(MATCH($I99,GradeList,0),0))</f>
        <v>5</v>
      </c>
      <c r="P99" s="64" t="n">
        <f aca="false">IF(AND($M99&gt;0,ISNUMBER(MATCH($F99,Lists!$A$2:$A$5,0)),ISNUMBER(MATCH($G99,Lists!$B$2:$B$7,0)),OR($H99="",$N99&gt;0),OR($I99="",$I99="NR",$O99&gt;0),IF(ISNUMBER($J99),AND($J99&gt;=0,$J99=INT($J99)),FALSE())),$J99,0)</f>
        <v>1</v>
      </c>
      <c r="Q99" s="64" t="n">
        <f aca="false">IF(AND($P99&gt;0,$O99&gt;0),$P99,0)</f>
        <v>1</v>
      </c>
      <c r="R99" s="64" t="n">
        <f aca="false">IF(AND($Q99&gt;0,$O99&gt;=AtRank),$Q99,0)</f>
        <v>1</v>
      </c>
      <c r="S99" s="64" t="n">
        <f aca="false">IF(AND($Q99&gt;0,$O99&gt;=AboveRank),$Q99,0)</f>
        <v>0</v>
      </c>
      <c r="T99" s="64" t="n">
        <f aca="false">IF($K99="Less",$P99,0)</f>
        <v>0</v>
      </c>
      <c r="U99" s="64" t="n">
        <f aca="false">IF($K99="Expected",$P99,0)</f>
        <v>1</v>
      </c>
      <c r="V99" s="64" t="n">
        <f aca="false">IF($K99="Better",$P99,0)</f>
        <v>0</v>
      </c>
      <c r="W99" s="64" t="n">
        <f aca="false">IF($K99="U – needs rule",$P99,0)</f>
        <v>0</v>
      </c>
      <c r="X99" s="64" t="n">
        <f aca="false">IF($K99="No Start (attainment only)",$P99,0)</f>
        <v>0</v>
      </c>
    </row>
    <row r="100" customFormat="false" ht="15" hidden="false" customHeight="false" outlineLevel="0" collapsed="false">
      <c r="A100" s="60" t="s">
        <v>777</v>
      </c>
      <c r="B100" s="61" t="str">
        <f aca="false">IF($M100=0,"",INDEX(Classes!$E$6:$E$420,$M100))</f>
        <v>Arabic A</v>
      </c>
      <c r="C100" s="62" t="str">
        <f aca="false">IF($M100=0,"",INDEX(Classes!$H$6:$H$420,$M100))</f>
        <v>Mr Ayman Bobo</v>
      </c>
      <c r="D100" s="61" t="str">
        <f aca="false">IF($M100=0,"",INDEX(Classes!$B$6:$B$420,$M100))</f>
        <v>Year 10</v>
      </c>
      <c r="E100" s="61" t="str">
        <f aca="false">IF($M100=0,"",INDEX(Classes!$C$6:$C$420,$M100))</f>
        <v>ah</v>
      </c>
      <c r="F100" s="63" t="s">
        <v>163</v>
      </c>
      <c r="G100" s="63" t="s">
        <v>1015</v>
      </c>
      <c r="H100" s="60" t="s">
        <v>204</v>
      </c>
      <c r="I100" s="60" t="s">
        <v>204</v>
      </c>
      <c r="J100" s="63" t="n">
        <v>1</v>
      </c>
      <c r="K100" s="61" t="str">
        <f aca="false">IF($P100=0,"",IF($F100="Baseline","— Baseline",IF($O100=0,"No result",IF($N100=0,"No Start (attainment only)",IF(OR($N100=1,$O100=1),"U – needs rule",INDEX(MxBody,MATCH($I100,MxCurr,0),MATCH($H100,MxStart,0)))))))</f>
        <v>Better</v>
      </c>
      <c r="L100" s="62" t="str">
        <f aca="false">IF(COUNTA($A100,$F100,$G100,$H100,$I100,$J100)=0,"",IF($M100=0,"✖ كود الصف غير موجود",IF(ISNA(MATCH($F100,Lists!$A$2:$A$5,0)),"✖ الفترة غير صحيحة",IF(ISNA(MATCH($G100,Lists!$B$2:$B$7,0)),"✖ المجموعة غير صحيحة",IF(NOT(OR($H100="",$N100&gt;0)),"✖ Start غير صحيح",IF(NOT(OR($I100="",$I100="NR",$O100&gt;0)),"✖ Current غير صحيح",IF(NOT(IF(ISNUMBER($J100),AND($J100&gt;=0,$J100=INT($J100)),FALSE())),"✖ العدد يجب أن يكون صحيحًا ≥ 0",IF(AND($F100="Baseline",$H100&lt;&gt;""),"⚠ Baseline: Start لا يدخل في التقدم",IF($K100="No Start (attainment only)","ℹ تحصيل فقط (بدون Start)",IF($K100="U – needs rule","ℹ حالة U تحتاج قاعدة معتمدة",IF($K100="No result","ℹ بدون نتيجة (يُستبعد من التحصيل)","OK")))))))))))</f>
        <v>OK</v>
      </c>
      <c r="M100" s="64" t="n">
        <f aca="false">IF($A100="",0,IFERROR(MATCH($A100,Classes!$A$6:$A$420,0),0))</f>
        <v>282</v>
      </c>
      <c r="N100" s="64" t="n">
        <f aca="false">IF($H100="",0,IFERROR(MATCH($H100,GradeList,0),0))</f>
        <v>9</v>
      </c>
      <c r="O100" s="64" t="n">
        <f aca="false">IF(OR($I100="",$I100="NR"),0,IFERROR(MATCH($I100,GradeList,0),0))</f>
        <v>9</v>
      </c>
      <c r="P100" s="64" t="n">
        <f aca="false">IF(AND($M100&gt;0,ISNUMBER(MATCH($F100,Lists!$A$2:$A$5,0)),ISNUMBER(MATCH($G100,Lists!$B$2:$B$7,0)),OR($H100="",$N100&gt;0),OR($I100="",$I100="NR",$O100&gt;0),IF(ISNUMBER($J100),AND($J100&gt;=0,$J100=INT($J100)),FALSE())),$J100,0)</f>
        <v>1</v>
      </c>
      <c r="Q100" s="64" t="n">
        <f aca="false">IF(AND($P100&gt;0,$O100&gt;0),$P100,0)</f>
        <v>1</v>
      </c>
      <c r="R100" s="64" t="n">
        <f aca="false">IF(AND($Q100&gt;0,$O100&gt;=AtRank),$Q100,0)</f>
        <v>1</v>
      </c>
      <c r="S100" s="64" t="n">
        <f aca="false">IF(AND($Q100&gt;0,$O100&gt;=AboveRank),$Q100,0)</f>
        <v>1</v>
      </c>
      <c r="T100" s="64" t="n">
        <f aca="false">IF($K100="Less",$P100,0)</f>
        <v>0</v>
      </c>
      <c r="U100" s="64" t="n">
        <f aca="false">IF($K100="Expected",$P100,0)</f>
        <v>0</v>
      </c>
      <c r="V100" s="64" t="n">
        <f aca="false">IF($K100="Better",$P100,0)</f>
        <v>1</v>
      </c>
      <c r="W100" s="64" t="n">
        <f aca="false">IF($K100="U – needs rule",$P100,0)</f>
        <v>0</v>
      </c>
      <c r="X100" s="64" t="n">
        <f aca="false">IF($K100="No Start (attainment only)",$P100,0)</f>
        <v>0</v>
      </c>
    </row>
    <row r="101" customFormat="false" ht="15" hidden="false" customHeight="false" outlineLevel="0" collapsed="false">
      <c r="A101" s="60" t="s">
        <v>777</v>
      </c>
      <c r="B101" s="61" t="str">
        <f aca="false">IF($M101=0,"",INDEX(Classes!$E$6:$E$420,$M101))</f>
        <v>Arabic A</v>
      </c>
      <c r="C101" s="62" t="str">
        <f aca="false">IF($M101=0,"",INDEX(Classes!$H$6:$H$420,$M101))</f>
        <v>Mr Ayman Bobo</v>
      </c>
      <c r="D101" s="61" t="str">
        <f aca="false">IF($M101=0,"",INDEX(Classes!$B$6:$B$420,$M101))</f>
        <v>Year 10</v>
      </c>
      <c r="E101" s="61" t="str">
        <f aca="false">IF($M101=0,"",INDEX(Classes!$C$6:$C$420,$M101))</f>
        <v>ah</v>
      </c>
      <c r="F101" s="63" t="s">
        <v>163</v>
      </c>
      <c r="G101" s="63" t="s">
        <v>1015</v>
      </c>
      <c r="H101" s="60" t="s">
        <v>204</v>
      </c>
      <c r="I101" s="60" t="s">
        <v>205</v>
      </c>
      <c r="J101" s="63" t="n">
        <v>1</v>
      </c>
      <c r="K101" s="61" t="str">
        <f aca="false">IF($P101=0,"",IF($F101="Baseline","— Baseline",IF($O101=0,"No result",IF($N101=0,"No Start (attainment only)",IF(OR($N101=1,$O101=1),"U – needs rule",INDEX(MxBody,MATCH($I101,MxCurr,0),MATCH($H101,MxStart,0)))))))</f>
        <v>Better</v>
      </c>
      <c r="L101" s="62" t="str">
        <f aca="false">IF(COUNTA($A101,$F101,$G101,$H101,$I101,$J101)=0,"",IF($M101=0,"✖ كود الصف غير موجود",IF(ISNA(MATCH($F101,Lists!$A$2:$A$5,0)),"✖ الفترة غير صحيحة",IF(ISNA(MATCH($G101,Lists!$B$2:$B$7,0)),"✖ المجموعة غير صحيحة",IF(NOT(OR($H101="",$N101&gt;0)),"✖ Start غير صحيح",IF(NOT(OR($I101="",$I101="NR",$O101&gt;0)),"✖ Current غير صحيح",IF(NOT(IF(ISNUMBER($J101),AND($J101&gt;=0,$J101=INT($J101)),FALSE())),"✖ العدد يجب أن يكون صحيحًا ≥ 0",IF(AND($F101="Baseline",$H101&lt;&gt;""),"⚠ Baseline: Start لا يدخل في التقدم",IF($K101="No Start (attainment only)","ℹ تحصيل فقط (بدون Start)",IF($K101="U – needs rule","ℹ حالة U تحتاج قاعدة معتمدة",IF($K101="No result","ℹ بدون نتيجة (يُستبعد من التحصيل)","OK")))))))))))</f>
        <v>OK</v>
      </c>
      <c r="M101" s="64" t="n">
        <f aca="false">IF($A101="",0,IFERROR(MATCH($A101,Classes!$A$6:$A$420,0),0))</f>
        <v>282</v>
      </c>
      <c r="N101" s="64" t="n">
        <f aca="false">IF($H101="",0,IFERROR(MATCH($H101,GradeList,0),0))</f>
        <v>9</v>
      </c>
      <c r="O101" s="64" t="n">
        <f aca="false">IF(OR($I101="",$I101="NR"),0,IFERROR(MATCH($I101,GradeList,0),0))</f>
        <v>10</v>
      </c>
      <c r="P101" s="64" t="n">
        <f aca="false">IF(AND($M101&gt;0,ISNUMBER(MATCH($F101,Lists!$A$2:$A$5,0)),ISNUMBER(MATCH($G101,Lists!$B$2:$B$7,0)),OR($H101="",$N101&gt;0),OR($I101="",$I101="NR",$O101&gt;0),IF(ISNUMBER($J101),AND($J101&gt;=0,$J101=INT($J101)),FALSE())),$J101,0)</f>
        <v>1</v>
      </c>
      <c r="Q101" s="64" t="n">
        <f aca="false">IF(AND($P101&gt;0,$O101&gt;0),$P101,0)</f>
        <v>1</v>
      </c>
      <c r="R101" s="64" t="n">
        <f aca="false">IF(AND($Q101&gt;0,$O101&gt;=AtRank),$Q101,0)</f>
        <v>1</v>
      </c>
      <c r="S101" s="64" t="n">
        <f aca="false">IF(AND($Q101&gt;0,$O101&gt;=AboveRank),$Q101,0)</f>
        <v>1</v>
      </c>
      <c r="T101" s="64" t="n">
        <f aca="false">IF($K101="Less",$P101,0)</f>
        <v>0</v>
      </c>
      <c r="U101" s="64" t="n">
        <f aca="false">IF($K101="Expected",$P101,0)</f>
        <v>0</v>
      </c>
      <c r="V101" s="64" t="n">
        <f aca="false">IF($K101="Better",$P101,0)</f>
        <v>1</v>
      </c>
      <c r="W101" s="64" t="n">
        <f aca="false">IF($K101="U – needs rule",$P101,0)</f>
        <v>0</v>
      </c>
      <c r="X101" s="64" t="n">
        <f aca="false">IF($K101="No Start (attainment only)",$P101,0)</f>
        <v>0</v>
      </c>
    </row>
    <row r="102" customFormat="false" ht="15" hidden="false" customHeight="false" outlineLevel="0" collapsed="false">
      <c r="A102" s="60" t="s">
        <v>777</v>
      </c>
      <c r="B102" s="61" t="str">
        <f aca="false">IF($M102=0,"",INDEX(Classes!$E$6:$E$420,$M102))</f>
        <v>Arabic A</v>
      </c>
      <c r="C102" s="62" t="str">
        <f aca="false">IF($M102=0,"",INDEX(Classes!$H$6:$H$420,$M102))</f>
        <v>Mr Ayman Bobo</v>
      </c>
      <c r="D102" s="61" t="str">
        <f aca="false">IF($M102=0,"",INDEX(Classes!$B$6:$B$420,$M102))</f>
        <v>Year 10</v>
      </c>
      <c r="E102" s="61" t="str">
        <f aca="false">IF($M102=0,"",INDEX(Classes!$C$6:$C$420,$M102))</f>
        <v>ah</v>
      </c>
      <c r="F102" s="63" t="s">
        <v>163</v>
      </c>
      <c r="G102" s="63" t="s">
        <v>1015</v>
      </c>
      <c r="H102" s="60" t="s">
        <v>205</v>
      </c>
      <c r="I102" s="60" t="s">
        <v>205</v>
      </c>
      <c r="J102" s="63" t="n">
        <v>1</v>
      </c>
      <c r="K102" s="61" t="str">
        <f aca="false">IF($P102=0,"",IF($F102="Baseline","— Baseline",IF($O102=0,"No result",IF($N102=0,"No Start (attainment only)",IF(OR($N102=1,$O102=1),"U – needs rule",INDEX(MxBody,MATCH($I102,MxCurr,0),MATCH($H102,MxStart,0)))))))</f>
        <v>Better</v>
      </c>
      <c r="L102" s="62" t="str">
        <f aca="false">IF(COUNTA($A102,$F102,$G102,$H102,$I102,$J102)=0,"",IF($M102=0,"✖ كود الصف غير موجود",IF(ISNA(MATCH($F102,Lists!$A$2:$A$5,0)),"✖ الفترة غير صحيحة",IF(ISNA(MATCH($G102,Lists!$B$2:$B$7,0)),"✖ المجموعة غير صحيحة",IF(NOT(OR($H102="",$N102&gt;0)),"✖ Start غير صحيح",IF(NOT(OR($I102="",$I102="NR",$O102&gt;0)),"✖ Current غير صحيح",IF(NOT(IF(ISNUMBER($J102),AND($J102&gt;=0,$J102=INT($J102)),FALSE())),"✖ العدد يجب أن يكون صحيحًا ≥ 0",IF(AND($F102="Baseline",$H102&lt;&gt;""),"⚠ Baseline: Start لا يدخل في التقدم",IF($K102="No Start (attainment only)","ℹ تحصيل فقط (بدون Start)",IF($K102="U – needs rule","ℹ حالة U تحتاج قاعدة معتمدة",IF($K102="No result","ℹ بدون نتيجة (يُستبعد من التحصيل)","OK")))))))))))</f>
        <v>OK</v>
      </c>
      <c r="M102" s="64" t="n">
        <f aca="false">IF($A102="",0,IFERROR(MATCH($A102,Classes!$A$6:$A$420,0),0))</f>
        <v>282</v>
      </c>
      <c r="N102" s="64" t="n">
        <f aca="false">IF($H102="",0,IFERROR(MATCH($H102,GradeList,0),0))</f>
        <v>10</v>
      </c>
      <c r="O102" s="64" t="n">
        <f aca="false">IF(OR($I102="",$I102="NR"),0,IFERROR(MATCH($I102,GradeList,0),0))</f>
        <v>10</v>
      </c>
      <c r="P102" s="64" t="n">
        <f aca="false">IF(AND($M102&gt;0,ISNUMBER(MATCH($F102,Lists!$A$2:$A$5,0)),ISNUMBER(MATCH($G102,Lists!$B$2:$B$7,0)),OR($H102="",$N102&gt;0),OR($I102="",$I102="NR",$O102&gt;0),IF(ISNUMBER($J102),AND($J102&gt;=0,$J102=INT($J102)),FALSE())),$J102,0)</f>
        <v>1</v>
      </c>
      <c r="Q102" s="64" t="n">
        <f aca="false">IF(AND($P102&gt;0,$O102&gt;0),$P102,0)</f>
        <v>1</v>
      </c>
      <c r="R102" s="64" t="n">
        <f aca="false">IF(AND($Q102&gt;0,$O102&gt;=AtRank),$Q102,0)</f>
        <v>1</v>
      </c>
      <c r="S102" s="64" t="n">
        <f aca="false">IF(AND($Q102&gt;0,$O102&gt;=AboveRank),$Q102,0)</f>
        <v>1</v>
      </c>
      <c r="T102" s="64" t="n">
        <f aca="false">IF($K102="Less",$P102,0)</f>
        <v>0</v>
      </c>
      <c r="U102" s="64" t="n">
        <f aca="false">IF($K102="Expected",$P102,0)</f>
        <v>0</v>
      </c>
      <c r="V102" s="64" t="n">
        <f aca="false">IF($K102="Better",$P102,0)</f>
        <v>1</v>
      </c>
      <c r="W102" s="64" t="n">
        <f aca="false">IF($K102="U – needs rule",$P102,0)</f>
        <v>0</v>
      </c>
      <c r="X102" s="64" t="n">
        <f aca="false">IF($K102="No Start (attainment only)",$P102,0)</f>
        <v>0</v>
      </c>
    </row>
    <row r="103" customFormat="false" ht="15" hidden="false" customHeight="false" outlineLevel="0" collapsed="false">
      <c r="A103" s="60" t="s">
        <v>777</v>
      </c>
      <c r="B103" s="61" t="str">
        <f aca="false">IF($M103=0,"",INDEX(Classes!$E$6:$E$420,$M103))</f>
        <v>Arabic A</v>
      </c>
      <c r="C103" s="62" t="str">
        <f aca="false">IF($M103=0,"",INDEX(Classes!$H$6:$H$420,$M103))</f>
        <v>Mr Ayman Bobo</v>
      </c>
      <c r="D103" s="61" t="str">
        <f aca="false">IF($M103=0,"",INDEX(Classes!$B$6:$B$420,$M103))</f>
        <v>Year 10</v>
      </c>
      <c r="E103" s="61" t="str">
        <f aca="false">IF($M103=0,"",INDEX(Classes!$C$6:$C$420,$M103))</f>
        <v>ah</v>
      </c>
      <c r="F103" s="63" t="s">
        <v>163</v>
      </c>
      <c r="G103" s="63" t="s">
        <v>1016</v>
      </c>
      <c r="H103" s="60" t="s">
        <v>202</v>
      </c>
      <c r="I103" s="60" t="s">
        <v>202</v>
      </c>
      <c r="J103" s="63" t="n">
        <v>2</v>
      </c>
      <c r="K103" s="61" t="str">
        <f aca="false">IF($P103=0,"",IF($F103="Baseline","— Baseline",IF($O103=0,"No result",IF($N103=0,"No Start (attainment only)",IF(OR($N103=1,$O103=1),"U – needs rule",INDEX(MxBody,MATCH($I103,MxCurr,0),MATCH($H103,MxStart,0)))))))</f>
        <v>Better</v>
      </c>
      <c r="L103" s="62" t="str">
        <f aca="false">IF(COUNTA($A103,$F103,$G103,$H103,$I103,$J103)=0,"",IF($M103=0,"✖ كود الصف غير موجود",IF(ISNA(MATCH($F103,Lists!$A$2:$A$5,0)),"✖ الفترة غير صحيحة",IF(ISNA(MATCH($G103,Lists!$B$2:$B$7,0)),"✖ المجموعة غير صحيحة",IF(NOT(OR($H103="",$N103&gt;0)),"✖ Start غير صحيح",IF(NOT(OR($I103="",$I103="NR",$O103&gt;0)),"✖ Current غير صحيح",IF(NOT(IF(ISNUMBER($J103),AND($J103&gt;=0,$J103=INT($J103)),FALSE())),"✖ العدد يجب أن يكون صحيحًا ≥ 0",IF(AND($F103="Baseline",$H103&lt;&gt;""),"⚠ Baseline: Start لا يدخل في التقدم",IF($K103="No Start (attainment only)","ℹ تحصيل فقط (بدون Start)",IF($K103="U – needs rule","ℹ حالة U تحتاج قاعدة معتمدة",IF($K103="No result","ℹ بدون نتيجة (يُستبعد من التحصيل)","OK")))))))))))</f>
        <v>OK</v>
      </c>
      <c r="M103" s="64" t="n">
        <f aca="false">IF($A103="",0,IFERROR(MATCH($A103,Classes!$A$6:$A$420,0),0))</f>
        <v>282</v>
      </c>
      <c r="N103" s="64" t="n">
        <f aca="false">IF($H103="",0,IFERROR(MATCH($H103,GradeList,0),0))</f>
        <v>7</v>
      </c>
      <c r="O103" s="64" t="n">
        <f aca="false">IF(OR($I103="",$I103="NR"),0,IFERROR(MATCH($I103,GradeList,0),0))</f>
        <v>7</v>
      </c>
      <c r="P103" s="64" t="n">
        <f aca="false">IF(AND($M103&gt;0,ISNUMBER(MATCH($F103,Lists!$A$2:$A$5,0)),ISNUMBER(MATCH($G103,Lists!$B$2:$B$7,0)),OR($H103="",$N103&gt;0),OR($I103="",$I103="NR",$O103&gt;0),IF(ISNUMBER($J103),AND($J103&gt;=0,$J103=INT($J103)),FALSE())),$J103,0)</f>
        <v>2</v>
      </c>
      <c r="Q103" s="64" t="n">
        <f aca="false">IF(AND($P103&gt;0,$O103&gt;0),$P103,0)</f>
        <v>2</v>
      </c>
      <c r="R103" s="64" t="n">
        <f aca="false">IF(AND($Q103&gt;0,$O103&gt;=AtRank),$Q103,0)</f>
        <v>2</v>
      </c>
      <c r="S103" s="64" t="n">
        <f aca="false">IF(AND($Q103&gt;0,$O103&gt;=AboveRank),$Q103,0)</f>
        <v>2</v>
      </c>
      <c r="T103" s="64" t="n">
        <f aca="false">IF($K103="Less",$P103,0)</f>
        <v>0</v>
      </c>
      <c r="U103" s="64" t="n">
        <f aca="false">IF($K103="Expected",$P103,0)</f>
        <v>0</v>
      </c>
      <c r="V103" s="64" t="n">
        <f aca="false">IF($K103="Better",$P103,0)</f>
        <v>2</v>
      </c>
      <c r="W103" s="64" t="n">
        <f aca="false">IF($K103="U – needs rule",$P103,0)</f>
        <v>0</v>
      </c>
      <c r="X103" s="64" t="n">
        <f aca="false">IF($K103="No Start (attainment only)",$P103,0)</f>
        <v>0</v>
      </c>
    </row>
    <row r="104" customFormat="false" ht="15" hidden="false" customHeight="false" outlineLevel="0" collapsed="false">
      <c r="A104" s="60" t="s">
        <v>777</v>
      </c>
      <c r="B104" s="61" t="str">
        <f aca="false">IF($M104=0,"",INDEX(Classes!$E$6:$E$420,$M104))</f>
        <v>Arabic A</v>
      </c>
      <c r="C104" s="62" t="str">
        <f aca="false">IF($M104=0,"",INDEX(Classes!$H$6:$H$420,$M104))</f>
        <v>Mr Ayman Bobo</v>
      </c>
      <c r="D104" s="61" t="str">
        <f aca="false">IF($M104=0,"",INDEX(Classes!$B$6:$B$420,$M104))</f>
        <v>Year 10</v>
      </c>
      <c r="E104" s="61" t="str">
        <f aca="false">IF($M104=0,"",INDEX(Classes!$C$6:$C$420,$M104))</f>
        <v>ah</v>
      </c>
      <c r="F104" s="63" t="s">
        <v>163</v>
      </c>
      <c r="G104" s="63" t="s">
        <v>1016</v>
      </c>
      <c r="H104" s="60" t="s">
        <v>202</v>
      </c>
      <c r="I104" s="60" t="s">
        <v>203</v>
      </c>
      <c r="J104" s="63" t="n">
        <v>1</v>
      </c>
      <c r="K104" s="61" t="str">
        <f aca="false">IF($P104=0,"",IF($F104="Baseline","— Baseline",IF($O104=0,"No result",IF($N104=0,"No Start (attainment only)",IF(OR($N104=1,$O104=1),"U – needs rule",INDEX(MxBody,MATCH($I104,MxCurr,0),MATCH($H104,MxStart,0)))))))</f>
        <v>Better</v>
      </c>
      <c r="L104" s="62" t="str">
        <f aca="false">IF(COUNTA($A104,$F104,$G104,$H104,$I104,$J104)=0,"",IF($M104=0,"✖ كود الصف غير موجود",IF(ISNA(MATCH($F104,Lists!$A$2:$A$5,0)),"✖ الفترة غير صحيحة",IF(ISNA(MATCH($G104,Lists!$B$2:$B$7,0)),"✖ المجموعة غير صحيحة",IF(NOT(OR($H104="",$N104&gt;0)),"✖ Start غير صحيح",IF(NOT(OR($I104="",$I104="NR",$O104&gt;0)),"✖ Current غير صحيح",IF(NOT(IF(ISNUMBER($J104),AND($J104&gt;=0,$J104=INT($J104)),FALSE())),"✖ العدد يجب أن يكون صحيحًا ≥ 0",IF(AND($F104="Baseline",$H104&lt;&gt;""),"⚠ Baseline: Start لا يدخل في التقدم",IF($K104="No Start (attainment only)","ℹ تحصيل فقط (بدون Start)",IF($K104="U – needs rule","ℹ حالة U تحتاج قاعدة معتمدة",IF($K104="No result","ℹ بدون نتيجة (يُستبعد من التحصيل)","OK")))))))))))</f>
        <v>OK</v>
      </c>
      <c r="M104" s="64" t="n">
        <f aca="false">IF($A104="",0,IFERROR(MATCH($A104,Classes!$A$6:$A$420,0),0))</f>
        <v>282</v>
      </c>
      <c r="N104" s="64" t="n">
        <f aca="false">IF($H104="",0,IFERROR(MATCH($H104,GradeList,0),0))</f>
        <v>7</v>
      </c>
      <c r="O104" s="64" t="n">
        <f aca="false">IF(OR($I104="",$I104="NR"),0,IFERROR(MATCH($I104,GradeList,0),0))</f>
        <v>8</v>
      </c>
      <c r="P104" s="64" t="n">
        <f aca="false">IF(AND($M104&gt;0,ISNUMBER(MATCH($F104,Lists!$A$2:$A$5,0)),ISNUMBER(MATCH($G104,Lists!$B$2:$B$7,0)),OR($H104="",$N104&gt;0),OR($I104="",$I104="NR",$O104&gt;0),IF(ISNUMBER($J104),AND($J104&gt;=0,$J104=INT($J104)),FALSE())),$J104,0)</f>
        <v>1</v>
      </c>
      <c r="Q104" s="64" t="n">
        <f aca="false">IF(AND($P104&gt;0,$O104&gt;0),$P104,0)</f>
        <v>1</v>
      </c>
      <c r="R104" s="64" t="n">
        <f aca="false">IF(AND($Q104&gt;0,$O104&gt;=AtRank),$Q104,0)</f>
        <v>1</v>
      </c>
      <c r="S104" s="64" t="n">
        <f aca="false">IF(AND($Q104&gt;0,$O104&gt;=AboveRank),$Q104,0)</f>
        <v>1</v>
      </c>
      <c r="T104" s="64" t="n">
        <f aca="false">IF($K104="Less",$P104,0)</f>
        <v>0</v>
      </c>
      <c r="U104" s="64" t="n">
        <f aca="false">IF($K104="Expected",$P104,0)</f>
        <v>0</v>
      </c>
      <c r="V104" s="64" t="n">
        <f aca="false">IF($K104="Better",$P104,0)</f>
        <v>1</v>
      </c>
      <c r="W104" s="64" t="n">
        <f aca="false">IF($K104="U – needs rule",$P104,0)</f>
        <v>0</v>
      </c>
      <c r="X104" s="64" t="n">
        <f aca="false">IF($K104="No Start (attainment only)",$P104,0)</f>
        <v>0</v>
      </c>
    </row>
    <row r="105" customFormat="false" ht="15" hidden="false" customHeight="false" outlineLevel="0" collapsed="false">
      <c r="A105" s="60" t="s">
        <v>777</v>
      </c>
      <c r="B105" s="61" t="str">
        <f aca="false">IF($M105=0,"",INDEX(Classes!$E$6:$E$420,$M105))</f>
        <v>Arabic A</v>
      </c>
      <c r="C105" s="62" t="str">
        <f aca="false">IF($M105=0,"",INDEX(Classes!$H$6:$H$420,$M105))</f>
        <v>Mr Ayman Bobo</v>
      </c>
      <c r="D105" s="61" t="str">
        <f aca="false">IF($M105=0,"",INDEX(Classes!$B$6:$B$420,$M105))</f>
        <v>Year 10</v>
      </c>
      <c r="E105" s="61" t="str">
        <f aca="false">IF($M105=0,"",INDEX(Classes!$C$6:$C$420,$M105))</f>
        <v>ah</v>
      </c>
      <c r="F105" s="63" t="s">
        <v>163</v>
      </c>
      <c r="G105" s="63" t="s">
        <v>1016</v>
      </c>
      <c r="H105" s="60" t="s">
        <v>203</v>
      </c>
      <c r="I105" s="60" t="s">
        <v>203</v>
      </c>
      <c r="J105" s="63" t="n">
        <v>2</v>
      </c>
      <c r="K105" s="61" t="str">
        <f aca="false">IF($P105=0,"",IF($F105="Baseline","— Baseline",IF($O105=0,"No result",IF($N105=0,"No Start (attainment only)",IF(OR($N105=1,$O105=1),"U – needs rule",INDEX(MxBody,MATCH($I105,MxCurr,0),MATCH($H105,MxStart,0)))))))</f>
        <v>Better</v>
      </c>
      <c r="L105" s="62" t="str">
        <f aca="false">IF(COUNTA($A105,$F105,$G105,$H105,$I105,$J105)=0,"",IF($M105=0,"✖ كود الصف غير موجود",IF(ISNA(MATCH($F105,Lists!$A$2:$A$5,0)),"✖ الفترة غير صحيحة",IF(ISNA(MATCH($G105,Lists!$B$2:$B$7,0)),"✖ المجموعة غير صحيحة",IF(NOT(OR($H105="",$N105&gt;0)),"✖ Start غير صحيح",IF(NOT(OR($I105="",$I105="NR",$O105&gt;0)),"✖ Current غير صحيح",IF(NOT(IF(ISNUMBER($J105),AND($J105&gt;=0,$J105=INT($J105)),FALSE())),"✖ العدد يجب أن يكون صحيحًا ≥ 0",IF(AND($F105="Baseline",$H105&lt;&gt;""),"⚠ Baseline: Start لا يدخل في التقدم",IF($K105="No Start (attainment only)","ℹ تحصيل فقط (بدون Start)",IF($K105="U – needs rule","ℹ حالة U تحتاج قاعدة معتمدة",IF($K105="No result","ℹ بدون نتيجة (يُستبعد من التحصيل)","OK")))))))))))</f>
        <v>OK</v>
      </c>
      <c r="M105" s="64" t="n">
        <f aca="false">IF($A105="",0,IFERROR(MATCH($A105,Classes!$A$6:$A$420,0),0))</f>
        <v>282</v>
      </c>
      <c r="N105" s="64" t="n">
        <f aca="false">IF($H105="",0,IFERROR(MATCH($H105,GradeList,0),0))</f>
        <v>8</v>
      </c>
      <c r="O105" s="64" t="n">
        <f aca="false">IF(OR($I105="",$I105="NR"),0,IFERROR(MATCH($I105,GradeList,0),0))</f>
        <v>8</v>
      </c>
      <c r="P105" s="64" t="n">
        <f aca="false">IF(AND($M105&gt;0,ISNUMBER(MATCH($F105,Lists!$A$2:$A$5,0)),ISNUMBER(MATCH($G105,Lists!$B$2:$B$7,0)),OR($H105="",$N105&gt;0),OR($I105="",$I105="NR",$O105&gt;0),IF(ISNUMBER($J105),AND($J105&gt;=0,$J105=INT($J105)),FALSE())),$J105,0)</f>
        <v>2</v>
      </c>
      <c r="Q105" s="64" t="n">
        <f aca="false">IF(AND($P105&gt;0,$O105&gt;0),$P105,0)</f>
        <v>2</v>
      </c>
      <c r="R105" s="64" t="n">
        <f aca="false">IF(AND($Q105&gt;0,$O105&gt;=AtRank),$Q105,0)</f>
        <v>2</v>
      </c>
      <c r="S105" s="64" t="n">
        <f aca="false">IF(AND($Q105&gt;0,$O105&gt;=AboveRank),$Q105,0)</f>
        <v>2</v>
      </c>
      <c r="T105" s="64" t="n">
        <f aca="false">IF($K105="Less",$P105,0)</f>
        <v>0</v>
      </c>
      <c r="U105" s="64" t="n">
        <f aca="false">IF($K105="Expected",$P105,0)</f>
        <v>0</v>
      </c>
      <c r="V105" s="64" t="n">
        <f aca="false">IF($K105="Better",$P105,0)</f>
        <v>2</v>
      </c>
      <c r="W105" s="64" t="n">
        <f aca="false">IF($K105="U – needs rule",$P105,0)</f>
        <v>0</v>
      </c>
      <c r="X105" s="64" t="n">
        <f aca="false">IF($K105="No Start (attainment only)",$P105,0)</f>
        <v>0</v>
      </c>
    </row>
    <row r="106" customFormat="false" ht="15" hidden="false" customHeight="false" outlineLevel="0" collapsed="false">
      <c r="A106" s="60" t="s">
        <v>777</v>
      </c>
      <c r="B106" s="61" t="str">
        <f aca="false">IF($M106=0,"",INDEX(Classes!$E$6:$E$420,$M106))</f>
        <v>Arabic A</v>
      </c>
      <c r="C106" s="62" t="str">
        <f aca="false">IF($M106=0,"",INDEX(Classes!$H$6:$H$420,$M106))</f>
        <v>Mr Ayman Bobo</v>
      </c>
      <c r="D106" s="61" t="str">
        <f aca="false">IF($M106=0,"",INDEX(Classes!$B$6:$B$420,$M106))</f>
        <v>Year 10</v>
      </c>
      <c r="E106" s="61" t="str">
        <f aca="false">IF($M106=0,"",INDEX(Classes!$C$6:$C$420,$M106))</f>
        <v>ah</v>
      </c>
      <c r="F106" s="63" t="s">
        <v>163</v>
      </c>
      <c r="G106" s="63" t="s">
        <v>1016</v>
      </c>
      <c r="H106" s="60" t="s">
        <v>203</v>
      </c>
      <c r="I106" s="60" t="s">
        <v>201</v>
      </c>
      <c r="J106" s="63" t="n">
        <v>1</v>
      </c>
      <c r="K106" s="61" t="str">
        <f aca="false">IF($P106=0,"",IF($F106="Baseline","— Baseline",IF($O106=0,"No result",IF($N106=0,"No Start (attainment only)",IF(OR($N106=1,$O106=1),"U – needs rule",INDEX(MxBody,MATCH($I106,MxCurr,0),MATCH($H106,MxStart,0)))))))</f>
        <v>Less</v>
      </c>
      <c r="L106" s="62" t="str">
        <f aca="false">IF(COUNTA($A106,$F106,$G106,$H106,$I106,$J106)=0,"",IF($M106=0,"✖ كود الصف غير موجود",IF(ISNA(MATCH($F106,Lists!$A$2:$A$5,0)),"✖ الفترة غير صحيحة",IF(ISNA(MATCH($G106,Lists!$B$2:$B$7,0)),"✖ المجموعة غير صحيحة",IF(NOT(OR($H106="",$N106&gt;0)),"✖ Start غير صحيح",IF(NOT(OR($I106="",$I106="NR",$O106&gt;0)),"✖ Current غير صحيح",IF(NOT(IF(ISNUMBER($J106),AND($J106&gt;=0,$J106=INT($J106)),FALSE())),"✖ العدد يجب أن يكون صحيحًا ≥ 0",IF(AND($F106="Baseline",$H106&lt;&gt;""),"⚠ Baseline: Start لا يدخل في التقدم",IF($K106="No Start (attainment only)","ℹ تحصيل فقط (بدون Start)",IF($K106="U – needs rule","ℹ حالة U تحتاج قاعدة معتمدة",IF($K106="No result","ℹ بدون نتيجة (يُستبعد من التحصيل)","OK")))))))))))</f>
        <v>OK</v>
      </c>
      <c r="M106" s="64" t="n">
        <f aca="false">IF($A106="",0,IFERROR(MATCH($A106,Classes!$A$6:$A$420,0),0))</f>
        <v>282</v>
      </c>
      <c r="N106" s="64" t="n">
        <f aca="false">IF($H106="",0,IFERROR(MATCH($H106,GradeList,0),0))</f>
        <v>8</v>
      </c>
      <c r="O106" s="64" t="n">
        <f aca="false">IF(OR($I106="",$I106="NR"),0,IFERROR(MATCH($I106,GradeList,0),0))</f>
        <v>6</v>
      </c>
      <c r="P106" s="64" t="n">
        <f aca="false">IF(AND($M106&gt;0,ISNUMBER(MATCH($F106,Lists!$A$2:$A$5,0)),ISNUMBER(MATCH($G106,Lists!$B$2:$B$7,0)),OR($H106="",$N106&gt;0),OR($I106="",$I106="NR",$O106&gt;0),IF(ISNUMBER($J106),AND($J106&gt;=0,$J106=INT($J106)),FALSE())),$J106,0)</f>
        <v>1</v>
      </c>
      <c r="Q106" s="64" t="n">
        <f aca="false">IF(AND($P106&gt;0,$O106&gt;0),$P106,0)</f>
        <v>1</v>
      </c>
      <c r="R106" s="64" t="n">
        <f aca="false">IF(AND($Q106&gt;0,$O106&gt;=AtRank),$Q106,0)</f>
        <v>1</v>
      </c>
      <c r="S106" s="64" t="n">
        <f aca="false">IF(AND($Q106&gt;0,$O106&gt;=AboveRank),$Q106,0)</f>
        <v>0</v>
      </c>
      <c r="T106" s="64" t="n">
        <f aca="false">IF($K106="Less",$P106,0)</f>
        <v>1</v>
      </c>
      <c r="U106" s="64" t="n">
        <f aca="false">IF($K106="Expected",$P106,0)</f>
        <v>0</v>
      </c>
      <c r="V106" s="64" t="n">
        <f aca="false">IF($K106="Better",$P106,0)</f>
        <v>0</v>
      </c>
      <c r="W106" s="64" t="n">
        <f aca="false">IF($K106="U – needs rule",$P106,0)</f>
        <v>0</v>
      </c>
      <c r="X106" s="64" t="n">
        <f aca="false">IF($K106="No Start (attainment only)",$P106,0)</f>
        <v>0</v>
      </c>
    </row>
    <row r="107" customFormat="false" ht="15" hidden="false" customHeight="false" outlineLevel="0" collapsed="false">
      <c r="A107" s="60" t="s">
        <v>777</v>
      </c>
      <c r="B107" s="61" t="str">
        <f aca="false">IF($M107=0,"",INDEX(Classes!$E$6:$E$420,$M107))</f>
        <v>Arabic A</v>
      </c>
      <c r="C107" s="62" t="str">
        <f aca="false">IF($M107=0,"",INDEX(Classes!$H$6:$H$420,$M107))</f>
        <v>Mr Ayman Bobo</v>
      </c>
      <c r="D107" s="61" t="str">
        <f aca="false">IF($M107=0,"",INDEX(Classes!$B$6:$B$420,$M107))</f>
        <v>Year 10</v>
      </c>
      <c r="E107" s="61" t="str">
        <f aca="false">IF($M107=0,"",INDEX(Classes!$C$6:$C$420,$M107))</f>
        <v>ah</v>
      </c>
      <c r="F107" s="63" t="s">
        <v>163</v>
      </c>
      <c r="G107" s="63" t="s">
        <v>1016</v>
      </c>
      <c r="H107" s="60" t="s">
        <v>203</v>
      </c>
      <c r="I107" s="60" t="s">
        <v>205</v>
      </c>
      <c r="J107" s="63" t="n">
        <v>1</v>
      </c>
      <c r="K107" s="61" t="str">
        <f aca="false">IF($P107=0,"",IF($F107="Baseline","— Baseline",IF($O107=0,"No result",IF($N107=0,"No Start (attainment only)",IF(OR($N107=1,$O107=1),"U – needs rule",INDEX(MxBody,MATCH($I107,MxCurr,0),MATCH($H107,MxStart,0)))))))</f>
        <v>Better</v>
      </c>
      <c r="L107" s="62" t="str">
        <f aca="false">IF(COUNTA($A107,$F107,$G107,$H107,$I107,$J107)=0,"",IF($M107=0,"✖ كود الصف غير موجود",IF(ISNA(MATCH($F107,Lists!$A$2:$A$5,0)),"✖ الفترة غير صحيحة",IF(ISNA(MATCH($G107,Lists!$B$2:$B$7,0)),"✖ المجموعة غير صحيحة",IF(NOT(OR($H107="",$N107&gt;0)),"✖ Start غير صحيح",IF(NOT(OR($I107="",$I107="NR",$O107&gt;0)),"✖ Current غير صحيح",IF(NOT(IF(ISNUMBER($J107),AND($J107&gt;=0,$J107=INT($J107)),FALSE())),"✖ العدد يجب أن يكون صحيحًا ≥ 0",IF(AND($F107="Baseline",$H107&lt;&gt;""),"⚠ Baseline: Start لا يدخل في التقدم",IF($K107="No Start (attainment only)","ℹ تحصيل فقط (بدون Start)",IF($K107="U – needs rule","ℹ حالة U تحتاج قاعدة معتمدة",IF($K107="No result","ℹ بدون نتيجة (يُستبعد من التحصيل)","OK")))))))))))</f>
        <v>OK</v>
      </c>
      <c r="M107" s="64" t="n">
        <f aca="false">IF($A107="",0,IFERROR(MATCH($A107,Classes!$A$6:$A$420,0),0))</f>
        <v>282</v>
      </c>
      <c r="N107" s="64" t="n">
        <f aca="false">IF($H107="",0,IFERROR(MATCH($H107,GradeList,0),0))</f>
        <v>8</v>
      </c>
      <c r="O107" s="64" t="n">
        <f aca="false">IF(OR($I107="",$I107="NR"),0,IFERROR(MATCH($I107,GradeList,0),0))</f>
        <v>10</v>
      </c>
      <c r="P107" s="64" t="n">
        <f aca="false">IF(AND($M107&gt;0,ISNUMBER(MATCH($F107,Lists!$A$2:$A$5,0)),ISNUMBER(MATCH($G107,Lists!$B$2:$B$7,0)),OR($H107="",$N107&gt;0),OR($I107="",$I107="NR",$O107&gt;0),IF(ISNUMBER($J107),AND($J107&gt;=0,$J107=INT($J107)),FALSE())),$J107,0)</f>
        <v>1</v>
      </c>
      <c r="Q107" s="64" t="n">
        <f aca="false">IF(AND($P107&gt;0,$O107&gt;0),$P107,0)</f>
        <v>1</v>
      </c>
      <c r="R107" s="64" t="n">
        <f aca="false">IF(AND($Q107&gt;0,$O107&gt;=AtRank),$Q107,0)</f>
        <v>1</v>
      </c>
      <c r="S107" s="64" t="n">
        <f aca="false">IF(AND($Q107&gt;0,$O107&gt;=AboveRank),$Q107,0)</f>
        <v>1</v>
      </c>
      <c r="T107" s="64" t="n">
        <f aca="false">IF($K107="Less",$P107,0)</f>
        <v>0</v>
      </c>
      <c r="U107" s="64" t="n">
        <f aca="false">IF($K107="Expected",$P107,0)</f>
        <v>0</v>
      </c>
      <c r="V107" s="64" t="n">
        <f aca="false">IF($K107="Better",$P107,0)</f>
        <v>1</v>
      </c>
      <c r="W107" s="64" t="n">
        <f aca="false">IF($K107="U – needs rule",$P107,0)</f>
        <v>0</v>
      </c>
      <c r="X107" s="64" t="n">
        <f aca="false">IF($K107="No Start (attainment only)",$P107,0)</f>
        <v>0</v>
      </c>
    </row>
    <row r="108" customFormat="false" ht="15" hidden="false" customHeight="false" outlineLevel="0" collapsed="false">
      <c r="A108" s="60" t="s">
        <v>777</v>
      </c>
      <c r="B108" s="61" t="str">
        <f aca="false">IF($M108=0,"",INDEX(Classes!$E$6:$E$420,$M108))</f>
        <v>Arabic A</v>
      </c>
      <c r="C108" s="62" t="str">
        <f aca="false">IF($M108=0,"",INDEX(Classes!$H$6:$H$420,$M108))</f>
        <v>Mr Ayman Bobo</v>
      </c>
      <c r="D108" s="61" t="str">
        <f aca="false">IF($M108=0,"",INDEX(Classes!$B$6:$B$420,$M108))</f>
        <v>Year 10</v>
      </c>
      <c r="E108" s="61" t="str">
        <f aca="false">IF($M108=0,"",INDEX(Classes!$C$6:$C$420,$M108))</f>
        <v>ah</v>
      </c>
      <c r="F108" s="63" t="s">
        <v>163</v>
      </c>
      <c r="G108" s="63" t="s">
        <v>1016</v>
      </c>
      <c r="H108" s="60" t="s">
        <v>201</v>
      </c>
      <c r="I108" s="60" t="s">
        <v>201</v>
      </c>
      <c r="J108" s="63" t="n">
        <v>1</v>
      </c>
      <c r="K108" s="61" t="str">
        <f aca="false">IF($P108=0,"",IF($F108="Baseline","— Baseline",IF($O108=0,"No result",IF($N108=0,"No Start (attainment only)",IF(OR($N108=1,$O108=1),"U – needs rule",INDEX(MxBody,MATCH($I108,MxCurr,0),MATCH($H108,MxStart,0)))))))</f>
        <v>Expected</v>
      </c>
      <c r="L108" s="62" t="str">
        <f aca="false">IF(COUNTA($A108,$F108,$G108,$H108,$I108,$J108)=0,"",IF($M108=0,"✖ كود الصف غير موجود",IF(ISNA(MATCH($F108,Lists!$A$2:$A$5,0)),"✖ الفترة غير صحيحة",IF(ISNA(MATCH($G108,Lists!$B$2:$B$7,0)),"✖ المجموعة غير صحيحة",IF(NOT(OR($H108="",$N108&gt;0)),"✖ Start غير صحيح",IF(NOT(OR($I108="",$I108="NR",$O108&gt;0)),"✖ Current غير صحيح",IF(NOT(IF(ISNUMBER($J108),AND($J108&gt;=0,$J108=INT($J108)),FALSE())),"✖ العدد يجب أن يكون صحيحًا ≥ 0",IF(AND($F108="Baseline",$H108&lt;&gt;""),"⚠ Baseline: Start لا يدخل في التقدم",IF($K108="No Start (attainment only)","ℹ تحصيل فقط (بدون Start)",IF($K108="U – needs rule","ℹ حالة U تحتاج قاعدة معتمدة",IF($K108="No result","ℹ بدون نتيجة (يُستبعد من التحصيل)","OK")))))))))))</f>
        <v>OK</v>
      </c>
      <c r="M108" s="64" t="n">
        <f aca="false">IF($A108="",0,IFERROR(MATCH($A108,Classes!$A$6:$A$420,0),0))</f>
        <v>282</v>
      </c>
      <c r="N108" s="64" t="n">
        <f aca="false">IF($H108="",0,IFERROR(MATCH($H108,GradeList,0),0))</f>
        <v>6</v>
      </c>
      <c r="O108" s="64" t="n">
        <f aca="false">IF(OR($I108="",$I108="NR"),0,IFERROR(MATCH($I108,GradeList,0),0))</f>
        <v>6</v>
      </c>
      <c r="P108" s="64" t="n">
        <f aca="false">IF(AND($M108&gt;0,ISNUMBER(MATCH($F108,Lists!$A$2:$A$5,0)),ISNUMBER(MATCH($G108,Lists!$B$2:$B$7,0)),OR($H108="",$N108&gt;0),OR($I108="",$I108="NR",$O108&gt;0),IF(ISNUMBER($J108),AND($J108&gt;=0,$J108=INT($J108)),FALSE())),$J108,0)</f>
        <v>1</v>
      </c>
      <c r="Q108" s="64" t="n">
        <f aca="false">IF(AND($P108&gt;0,$O108&gt;0),$P108,0)</f>
        <v>1</v>
      </c>
      <c r="R108" s="64" t="n">
        <f aca="false">IF(AND($Q108&gt;0,$O108&gt;=AtRank),$Q108,0)</f>
        <v>1</v>
      </c>
      <c r="S108" s="64" t="n">
        <f aca="false">IF(AND($Q108&gt;0,$O108&gt;=AboveRank),$Q108,0)</f>
        <v>0</v>
      </c>
      <c r="T108" s="64" t="n">
        <f aca="false">IF($K108="Less",$P108,0)</f>
        <v>0</v>
      </c>
      <c r="U108" s="64" t="n">
        <f aca="false">IF($K108="Expected",$P108,0)</f>
        <v>1</v>
      </c>
      <c r="V108" s="64" t="n">
        <f aca="false">IF($K108="Better",$P108,0)</f>
        <v>0</v>
      </c>
      <c r="W108" s="64" t="n">
        <f aca="false">IF($K108="U – needs rule",$P108,0)</f>
        <v>0</v>
      </c>
      <c r="X108" s="64" t="n">
        <f aca="false">IF($K108="No Start (attainment only)",$P108,0)</f>
        <v>0</v>
      </c>
    </row>
    <row r="109" customFormat="false" ht="15" hidden="false" customHeight="false" outlineLevel="0" collapsed="false">
      <c r="A109" s="60" t="s">
        <v>777</v>
      </c>
      <c r="B109" s="61" t="str">
        <f aca="false">IF($M109=0,"",INDEX(Classes!$E$6:$E$420,$M109))</f>
        <v>Arabic A</v>
      </c>
      <c r="C109" s="62" t="str">
        <f aca="false">IF($M109=0,"",INDEX(Classes!$H$6:$H$420,$M109))</f>
        <v>Mr Ayman Bobo</v>
      </c>
      <c r="D109" s="61" t="str">
        <f aca="false">IF($M109=0,"",INDEX(Classes!$B$6:$B$420,$M109))</f>
        <v>Year 10</v>
      </c>
      <c r="E109" s="61" t="str">
        <f aca="false">IF($M109=0,"",INDEX(Classes!$C$6:$C$420,$M109))</f>
        <v>ah</v>
      </c>
      <c r="F109" s="63" t="s">
        <v>163</v>
      </c>
      <c r="G109" s="63" t="s">
        <v>1016</v>
      </c>
      <c r="H109" s="60" t="s">
        <v>204</v>
      </c>
      <c r="I109" s="60" t="s">
        <v>205</v>
      </c>
      <c r="J109" s="63" t="n">
        <v>2</v>
      </c>
      <c r="K109" s="61" t="str">
        <f aca="false">IF($P109=0,"",IF($F109="Baseline","— Baseline",IF($O109=0,"No result",IF($N109=0,"No Start (attainment only)",IF(OR($N109=1,$O109=1),"U – needs rule",INDEX(MxBody,MATCH($I109,MxCurr,0),MATCH($H109,MxStart,0)))))))</f>
        <v>Better</v>
      </c>
      <c r="L109" s="62" t="str">
        <f aca="false">IF(COUNTA($A109,$F109,$G109,$H109,$I109,$J109)=0,"",IF($M109=0,"✖ كود الصف غير موجود",IF(ISNA(MATCH($F109,Lists!$A$2:$A$5,0)),"✖ الفترة غير صحيحة",IF(ISNA(MATCH($G109,Lists!$B$2:$B$7,0)),"✖ المجموعة غير صحيحة",IF(NOT(OR($H109="",$N109&gt;0)),"✖ Start غير صحيح",IF(NOT(OR($I109="",$I109="NR",$O109&gt;0)),"✖ Current غير صحيح",IF(NOT(IF(ISNUMBER($J109),AND($J109&gt;=0,$J109=INT($J109)),FALSE())),"✖ العدد يجب أن يكون صحيحًا ≥ 0",IF(AND($F109="Baseline",$H109&lt;&gt;""),"⚠ Baseline: Start لا يدخل في التقدم",IF($K109="No Start (attainment only)","ℹ تحصيل فقط (بدون Start)",IF($K109="U – needs rule","ℹ حالة U تحتاج قاعدة معتمدة",IF($K109="No result","ℹ بدون نتيجة (يُستبعد من التحصيل)","OK")))))))))))</f>
        <v>OK</v>
      </c>
      <c r="M109" s="64" t="n">
        <f aca="false">IF($A109="",0,IFERROR(MATCH($A109,Classes!$A$6:$A$420,0),0))</f>
        <v>282</v>
      </c>
      <c r="N109" s="64" t="n">
        <f aca="false">IF($H109="",0,IFERROR(MATCH($H109,GradeList,0),0))</f>
        <v>9</v>
      </c>
      <c r="O109" s="64" t="n">
        <f aca="false">IF(OR($I109="",$I109="NR"),0,IFERROR(MATCH($I109,GradeList,0),0))</f>
        <v>10</v>
      </c>
      <c r="P109" s="64" t="n">
        <f aca="false">IF(AND($M109&gt;0,ISNUMBER(MATCH($F109,Lists!$A$2:$A$5,0)),ISNUMBER(MATCH($G109,Lists!$B$2:$B$7,0)),OR($H109="",$N109&gt;0),OR($I109="",$I109="NR",$O109&gt;0),IF(ISNUMBER($J109),AND($J109&gt;=0,$J109=INT($J109)),FALSE())),$J109,0)</f>
        <v>2</v>
      </c>
      <c r="Q109" s="64" t="n">
        <f aca="false">IF(AND($P109&gt;0,$O109&gt;0),$P109,0)</f>
        <v>2</v>
      </c>
      <c r="R109" s="64" t="n">
        <f aca="false">IF(AND($Q109&gt;0,$O109&gt;=AtRank),$Q109,0)</f>
        <v>2</v>
      </c>
      <c r="S109" s="64" t="n">
        <f aca="false">IF(AND($Q109&gt;0,$O109&gt;=AboveRank),$Q109,0)</f>
        <v>2</v>
      </c>
      <c r="T109" s="64" t="n">
        <f aca="false">IF($K109="Less",$P109,0)</f>
        <v>0</v>
      </c>
      <c r="U109" s="64" t="n">
        <f aca="false">IF($K109="Expected",$P109,0)</f>
        <v>0</v>
      </c>
      <c r="V109" s="64" t="n">
        <f aca="false">IF($K109="Better",$P109,0)</f>
        <v>2</v>
      </c>
      <c r="W109" s="64" t="n">
        <f aca="false">IF($K109="U – needs rule",$P109,0)</f>
        <v>0</v>
      </c>
      <c r="X109" s="64" t="n">
        <f aca="false">IF($K109="No Start (attainment only)",$P109,0)</f>
        <v>0</v>
      </c>
    </row>
    <row r="110" customFormat="false" ht="15" hidden="false" customHeight="false" outlineLevel="0" collapsed="false">
      <c r="A110" s="60" t="s">
        <v>777</v>
      </c>
      <c r="B110" s="61" t="str">
        <f aca="false">IF($M110=0,"",INDEX(Classes!$E$6:$E$420,$M110))</f>
        <v>Arabic A</v>
      </c>
      <c r="C110" s="62" t="str">
        <f aca="false">IF($M110=0,"",INDEX(Classes!$H$6:$H$420,$M110))</f>
        <v>Mr Ayman Bobo</v>
      </c>
      <c r="D110" s="61" t="str">
        <f aca="false">IF($M110=0,"",INDEX(Classes!$B$6:$B$420,$M110))</f>
        <v>Year 10</v>
      </c>
      <c r="E110" s="61" t="str">
        <f aca="false">IF($M110=0,"",INDEX(Classes!$C$6:$C$420,$M110))</f>
        <v>ah</v>
      </c>
      <c r="F110" s="63" t="s">
        <v>163</v>
      </c>
      <c r="G110" s="63" t="s">
        <v>1016</v>
      </c>
      <c r="H110" s="60" t="s">
        <v>205</v>
      </c>
      <c r="I110" s="60" t="s">
        <v>205</v>
      </c>
      <c r="J110" s="63" t="n">
        <v>1</v>
      </c>
      <c r="K110" s="61" t="str">
        <f aca="false">IF($P110=0,"",IF($F110="Baseline","— Baseline",IF($O110=0,"No result",IF($N110=0,"No Start (attainment only)",IF(OR($N110=1,$O110=1),"U – needs rule",INDEX(MxBody,MATCH($I110,MxCurr,0),MATCH($H110,MxStart,0)))))))</f>
        <v>Better</v>
      </c>
      <c r="L110" s="62" t="str">
        <f aca="false">IF(COUNTA($A110,$F110,$G110,$H110,$I110,$J110)=0,"",IF($M110=0,"✖ كود الصف غير موجود",IF(ISNA(MATCH($F110,Lists!$A$2:$A$5,0)),"✖ الفترة غير صحيحة",IF(ISNA(MATCH($G110,Lists!$B$2:$B$7,0)),"✖ المجموعة غير صحيحة",IF(NOT(OR($H110="",$N110&gt;0)),"✖ Start غير صحيح",IF(NOT(OR($I110="",$I110="NR",$O110&gt;0)),"✖ Current غير صحيح",IF(NOT(IF(ISNUMBER($J110),AND($J110&gt;=0,$J110=INT($J110)),FALSE())),"✖ العدد يجب أن يكون صحيحًا ≥ 0",IF(AND($F110="Baseline",$H110&lt;&gt;""),"⚠ Baseline: Start لا يدخل في التقدم",IF($K110="No Start (attainment only)","ℹ تحصيل فقط (بدون Start)",IF($K110="U – needs rule","ℹ حالة U تحتاج قاعدة معتمدة",IF($K110="No result","ℹ بدون نتيجة (يُستبعد من التحصيل)","OK")))))))))))</f>
        <v>OK</v>
      </c>
      <c r="M110" s="64" t="n">
        <f aca="false">IF($A110="",0,IFERROR(MATCH($A110,Classes!$A$6:$A$420,0),0))</f>
        <v>282</v>
      </c>
      <c r="N110" s="64" t="n">
        <f aca="false">IF($H110="",0,IFERROR(MATCH($H110,GradeList,0),0))</f>
        <v>10</v>
      </c>
      <c r="O110" s="64" t="n">
        <f aca="false">IF(OR($I110="",$I110="NR"),0,IFERROR(MATCH($I110,GradeList,0),0))</f>
        <v>10</v>
      </c>
      <c r="P110" s="64" t="n">
        <f aca="false">IF(AND($M110&gt;0,ISNUMBER(MATCH($F110,Lists!$A$2:$A$5,0)),ISNUMBER(MATCH($G110,Lists!$B$2:$B$7,0)),OR($H110="",$N110&gt;0),OR($I110="",$I110="NR",$O110&gt;0),IF(ISNUMBER($J110),AND($J110&gt;=0,$J110=INT($J110)),FALSE())),$J110,0)</f>
        <v>1</v>
      </c>
      <c r="Q110" s="64" t="n">
        <f aca="false">IF(AND($P110&gt;0,$O110&gt;0),$P110,0)</f>
        <v>1</v>
      </c>
      <c r="R110" s="64" t="n">
        <f aca="false">IF(AND($Q110&gt;0,$O110&gt;=AtRank),$Q110,0)</f>
        <v>1</v>
      </c>
      <c r="S110" s="64" t="n">
        <f aca="false">IF(AND($Q110&gt;0,$O110&gt;=AboveRank),$Q110,0)</f>
        <v>1</v>
      </c>
      <c r="T110" s="64" t="n">
        <f aca="false">IF($K110="Less",$P110,0)</f>
        <v>0</v>
      </c>
      <c r="U110" s="64" t="n">
        <f aca="false">IF($K110="Expected",$P110,0)</f>
        <v>0</v>
      </c>
      <c r="V110" s="64" t="n">
        <f aca="false">IF($K110="Better",$P110,0)</f>
        <v>1</v>
      </c>
      <c r="W110" s="64" t="n">
        <f aca="false">IF($K110="U – needs rule",$P110,0)</f>
        <v>0</v>
      </c>
      <c r="X110" s="64" t="n">
        <f aca="false">IF($K110="No Start (attainment only)",$P110,0)</f>
        <v>0</v>
      </c>
    </row>
    <row r="111" customFormat="false" ht="15" hidden="false" customHeight="false" outlineLevel="0" collapsed="false">
      <c r="A111" s="60" t="s">
        <v>777</v>
      </c>
      <c r="B111" s="61" t="str">
        <f aca="false">IF($M111=0,"",INDEX(Classes!$E$6:$E$420,$M111))</f>
        <v>Arabic A</v>
      </c>
      <c r="C111" s="62" t="str">
        <f aca="false">IF($M111=0,"",INDEX(Classes!$H$6:$H$420,$M111))</f>
        <v>Mr Ayman Bobo</v>
      </c>
      <c r="D111" s="61" t="str">
        <f aca="false">IF($M111=0,"",INDEX(Classes!$B$6:$B$420,$M111))</f>
        <v>Year 10</v>
      </c>
      <c r="E111" s="61" t="str">
        <f aca="false">IF($M111=0,"",INDEX(Classes!$C$6:$C$420,$M111))</f>
        <v>ah</v>
      </c>
      <c r="F111" s="63" t="s">
        <v>163</v>
      </c>
      <c r="G111" s="63" t="s">
        <v>941</v>
      </c>
      <c r="H111" s="60" t="s">
        <v>202</v>
      </c>
      <c r="I111" s="60" t="s">
        <v>203</v>
      </c>
      <c r="J111" s="63" t="n">
        <v>2</v>
      </c>
      <c r="K111" s="61" t="str">
        <f aca="false">IF($P111=0,"",IF($F111="Baseline","— Baseline",IF($O111=0,"No result",IF($N111=0,"No Start (attainment only)",IF(OR($N111=1,$O111=1),"U – needs rule",INDEX(MxBody,MATCH($I111,MxCurr,0),MATCH($H111,MxStart,0)))))))</f>
        <v>Better</v>
      </c>
      <c r="L111" s="62" t="str">
        <f aca="false">IF(COUNTA($A111,$F111,$G111,$H111,$I111,$J111)=0,"",IF($M111=0,"✖ كود الصف غير موجود",IF(ISNA(MATCH($F111,Lists!$A$2:$A$5,0)),"✖ الفترة غير صحيحة",IF(ISNA(MATCH($G111,Lists!$B$2:$B$7,0)),"✖ المجموعة غير صحيحة",IF(NOT(OR($H111="",$N111&gt;0)),"✖ Start غير صحيح",IF(NOT(OR($I111="",$I111="NR",$O111&gt;0)),"✖ Current غير صحيح",IF(NOT(IF(ISNUMBER($J111),AND($J111&gt;=0,$J111=INT($J111)),FALSE())),"✖ العدد يجب أن يكون صحيحًا ≥ 0",IF(AND($F111="Baseline",$H111&lt;&gt;""),"⚠ Baseline: Start لا يدخل في التقدم",IF($K111="No Start (attainment only)","ℹ تحصيل فقط (بدون Start)",IF($K111="U – needs rule","ℹ حالة U تحتاج قاعدة معتمدة",IF($K111="No result","ℹ بدون نتيجة (يُستبعد من التحصيل)","OK")))))))))))</f>
        <v>OK</v>
      </c>
      <c r="M111" s="64" t="n">
        <f aca="false">IF($A111="",0,IFERROR(MATCH($A111,Classes!$A$6:$A$420,0),0))</f>
        <v>282</v>
      </c>
      <c r="N111" s="64" t="n">
        <f aca="false">IF($H111="",0,IFERROR(MATCH($H111,GradeList,0),0))</f>
        <v>7</v>
      </c>
      <c r="O111" s="64" t="n">
        <f aca="false">IF(OR($I111="",$I111="NR"),0,IFERROR(MATCH($I111,GradeList,0),0))</f>
        <v>8</v>
      </c>
      <c r="P111" s="64" t="n">
        <f aca="false">IF(AND($M111&gt;0,ISNUMBER(MATCH($F111,Lists!$A$2:$A$5,0)),ISNUMBER(MATCH($G111,Lists!$B$2:$B$7,0)),OR($H111="",$N111&gt;0),OR($I111="",$I111="NR",$O111&gt;0),IF(ISNUMBER($J111),AND($J111&gt;=0,$J111=INT($J111)),FALSE())),$J111,0)</f>
        <v>2</v>
      </c>
      <c r="Q111" s="64" t="n">
        <f aca="false">IF(AND($P111&gt;0,$O111&gt;0),$P111,0)</f>
        <v>2</v>
      </c>
      <c r="R111" s="64" t="n">
        <f aca="false">IF(AND($Q111&gt;0,$O111&gt;=AtRank),$Q111,0)</f>
        <v>2</v>
      </c>
      <c r="S111" s="64" t="n">
        <f aca="false">IF(AND($Q111&gt;0,$O111&gt;=AboveRank),$Q111,0)</f>
        <v>2</v>
      </c>
      <c r="T111" s="64" t="n">
        <f aca="false">IF($K111="Less",$P111,0)</f>
        <v>0</v>
      </c>
      <c r="U111" s="64" t="n">
        <f aca="false">IF($K111="Expected",$P111,0)</f>
        <v>0</v>
      </c>
      <c r="V111" s="64" t="n">
        <f aca="false">IF($K111="Better",$P111,0)</f>
        <v>2</v>
      </c>
      <c r="W111" s="64" t="n">
        <f aca="false">IF($K111="U – needs rule",$P111,0)</f>
        <v>0</v>
      </c>
      <c r="X111" s="64" t="n">
        <f aca="false">IF($K111="No Start (attainment only)",$P111,0)</f>
        <v>0</v>
      </c>
    </row>
    <row r="112" customFormat="false" ht="15" hidden="false" customHeight="false" outlineLevel="0" collapsed="false">
      <c r="A112" s="60" t="s">
        <v>777</v>
      </c>
      <c r="B112" s="61" t="str">
        <f aca="false">IF($M112=0,"",INDEX(Classes!$E$6:$E$420,$M112))</f>
        <v>Arabic A</v>
      </c>
      <c r="C112" s="62" t="str">
        <f aca="false">IF($M112=0,"",INDEX(Classes!$H$6:$H$420,$M112))</f>
        <v>Mr Ayman Bobo</v>
      </c>
      <c r="D112" s="61" t="str">
        <f aca="false">IF($M112=0,"",INDEX(Classes!$B$6:$B$420,$M112))</f>
        <v>Year 10</v>
      </c>
      <c r="E112" s="61" t="str">
        <f aca="false">IF($M112=0,"",INDEX(Classes!$C$6:$C$420,$M112))</f>
        <v>ah</v>
      </c>
      <c r="F112" s="63" t="s">
        <v>163</v>
      </c>
      <c r="G112" s="63" t="s">
        <v>941</v>
      </c>
      <c r="H112" s="60" t="s">
        <v>202</v>
      </c>
      <c r="I112" s="60" t="s">
        <v>204</v>
      </c>
      <c r="J112" s="63" t="n">
        <v>1</v>
      </c>
      <c r="K112" s="61" t="str">
        <f aca="false">IF($P112=0,"",IF($F112="Baseline","— Baseline",IF($O112=0,"No result",IF($N112=0,"No Start (attainment only)",IF(OR($N112=1,$O112=1),"U – needs rule",INDEX(MxBody,MATCH($I112,MxCurr,0),MATCH($H112,MxStart,0)))))))</f>
        <v>Better</v>
      </c>
      <c r="L112" s="62" t="str">
        <f aca="false">IF(COUNTA($A112,$F112,$G112,$H112,$I112,$J112)=0,"",IF($M112=0,"✖ كود الصف غير موجود",IF(ISNA(MATCH($F112,Lists!$A$2:$A$5,0)),"✖ الفترة غير صحيحة",IF(ISNA(MATCH($G112,Lists!$B$2:$B$7,0)),"✖ المجموعة غير صحيحة",IF(NOT(OR($H112="",$N112&gt;0)),"✖ Start غير صحيح",IF(NOT(OR($I112="",$I112="NR",$O112&gt;0)),"✖ Current غير صحيح",IF(NOT(IF(ISNUMBER($J112),AND($J112&gt;=0,$J112=INT($J112)),FALSE())),"✖ العدد يجب أن يكون صحيحًا ≥ 0",IF(AND($F112="Baseline",$H112&lt;&gt;""),"⚠ Baseline: Start لا يدخل في التقدم",IF($K112="No Start (attainment only)","ℹ تحصيل فقط (بدون Start)",IF($K112="U – needs rule","ℹ حالة U تحتاج قاعدة معتمدة",IF($K112="No result","ℹ بدون نتيجة (يُستبعد من التحصيل)","OK")))))))))))</f>
        <v>OK</v>
      </c>
      <c r="M112" s="64" t="n">
        <f aca="false">IF($A112="",0,IFERROR(MATCH($A112,Classes!$A$6:$A$420,0),0))</f>
        <v>282</v>
      </c>
      <c r="N112" s="64" t="n">
        <f aca="false">IF($H112="",0,IFERROR(MATCH($H112,GradeList,0),0))</f>
        <v>7</v>
      </c>
      <c r="O112" s="64" t="n">
        <f aca="false">IF(OR($I112="",$I112="NR"),0,IFERROR(MATCH($I112,GradeList,0),0))</f>
        <v>9</v>
      </c>
      <c r="P112" s="64" t="n">
        <f aca="false">IF(AND($M112&gt;0,ISNUMBER(MATCH($F112,Lists!$A$2:$A$5,0)),ISNUMBER(MATCH($G112,Lists!$B$2:$B$7,0)),OR($H112="",$N112&gt;0),OR($I112="",$I112="NR",$O112&gt;0),IF(ISNUMBER($J112),AND($J112&gt;=0,$J112=INT($J112)),FALSE())),$J112,0)</f>
        <v>1</v>
      </c>
      <c r="Q112" s="64" t="n">
        <f aca="false">IF(AND($P112&gt;0,$O112&gt;0),$P112,0)</f>
        <v>1</v>
      </c>
      <c r="R112" s="64" t="n">
        <f aca="false">IF(AND($Q112&gt;0,$O112&gt;=AtRank),$Q112,0)</f>
        <v>1</v>
      </c>
      <c r="S112" s="64" t="n">
        <f aca="false">IF(AND($Q112&gt;0,$O112&gt;=AboveRank),$Q112,0)</f>
        <v>1</v>
      </c>
      <c r="T112" s="64" t="n">
        <f aca="false">IF($K112="Less",$P112,0)</f>
        <v>0</v>
      </c>
      <c r="U112" s="64" t="n">
        <f aca="false">IF($K112="Expected",$P112,0)</f>
        <v>0</v>
      </c>
      <c r="V112" s="64" t="n">
        <f aca="false">IF($K112="Better",$P112,0)</f>
        <v>1</v>
      </c>
      <c r="W112" s="64" t="n">
        <f aca="false">IF($K112="U – needs rule",$P112,0)</f>
        <v>0</v>
      </c>
      <c r="X112" s="64" t="n">
        <f aca="false">IF($K112="No Start (attainment only)",$P112,0)</f>
        <v>0</v>
      </c>
    </row>
    <row r="113" customFormat="false" ht="15" hidden="false" customHeight="false" outlineLevel="0" collapsed="false">
      <c r="A113" s="60" t="s">
        <v>777</v>
      </c>
      <c r="B113" s="61" t="str">
        <f aca="false">IF($M113=0,"",INDEX(Classes!$E$6:$E$420,$M113))</f>
        <v>Arabic A</v>
      </c>
      <c r="C113" s="62" t="str">
        <f aca="false">IF($M113=0,"",INDEX(Classes!$H$6:$H$420,$M113))</f>
        <v>Mr Ayman Bobo</v>
      </c>
      <c r="D113" s="61" t="str">
        <f aca="false">IF($M113=0,"",INDEX(Classes!$B$6:$B$420,$M113))</f>
        <v>Year 10</v>
      </c>
      <c r="E113" s="61" t="str">
        <f aca="false">IF($M113=0,"",INDEX(Classes!$C$6:$C$420,$M113))</f>
        <v>ah</v>
      </c>
      <c r="F113" s="63" t="s">
        <v>163</v>
      </c>
      <c r="G113" s="63" t="s">
        <v>941</v>
      </c>
      <c r="H113" s="60" t="s">
        <v>203</v>
      </c>
      <c r="I113" s="60" t="s">
        <v>203</v>
      </c>
      <c r="J113" s="63" t="n">
        <v>1</v>
      </c>
      <c r="K113" s="61" t="str">
        <f aca="false">IF($P113=0,"",IF($F113="Baseline","— Baseline",IF($O113=0,"No result",IF($N113=0,"No Start (attainment only)",IF(OR($N113=1,$O113=1),"U – needs rule",INDEX(MxBody,MATCH($I113,MxCurr,0),MATCH($H113,MxStart,0)))))))</f>
        <v>Better</v>
      </c>
      <c r="L113" s="62" t="str">
        <f aca="false">IF(COUNTA($A113,$F113,$G113,$H113,$I113,$J113)=0,"",IF($M113=0,"✖ كود الصف غير موجود",IF(ISNA(MATCH($F113,Lists!$A$2:$A$5,0)),"✖ الفترة غير صحيحة",IF(ISNA(MATCH($G113,Lists!$B$2:$B$7,0)),"✖ المجموعة غير صحيحة",IF(NOT(OR($H113="",$N113&gt;0)),"✖ Start غير صحيح",IF(NOT(OR($I113="",$I113="NR",$O113&gt;0)),"✖ Current غير صحيح",IF(NOT(IF(ISNUMBER($J113),AND($J113&gt;=0,$J113=INT($J113)),FALSE())),"✖ العدد يجب أن يكون صحيحًا ≥ 0",IF(AND($F113="Baseline",$H113&lt;&gt;""),"⚠ Baseline: Start لا يدخل في التقدم",IF($K113="No Start (attainment only)","ℹ تحصيل فقط (بدون Start)",IF($K113="U – needs rule","ℹ حالة U تحتاج قاعدة معتمدة",IF($K113="No result","ℹ بدون نتيجة (يُستبعد من التحصيل)","OK")))))))))))</f>
        <v>OK</v>
      </c>
      <c r="M113" s="64" t="n">
        <f aca="false">IF($A113="",0,IFERROR(MATCH($A113,Classes!$A$6:$A$420,0),0))</f>
        <v>282</v>
      </c>
      <c r="N113" s="64" t="n">
        <f aca="false">IF($H113="",0,IFERROR(MATCH($H113,GradeList,0),0))</f>
        <v>8</v>
      </c>
      <c r="O113" s="64" t="n">
        <f aca="false">IF(OR($I113="",$I113="NR"),0,IFERROR(MATCH($I113,GradeList,0),0))</f>
        <v>8</v>
      </c>
      <c r="P113" s="64" t="n">
        <f aca="false">IF(AND($M113&gt;0,ISNUMBER(MATCH($F113,Lists!$A$2:$A$5,0)),ISNUMBER(MATCH($G113,Lists!$B$2:$B$7,0)),OR($H113="",$N113&gt;0),OR($I113="",$I113="NR",$O113&gt;0),IF(ISNUMBER($J113),AND($J113&gt;=0,$J113=INT($J113)),FALSE())),$J113,0)</f>
        <v>1</v>
      </c>
      <c r="Q113" s="64" t="n">
        <f aca="false">IF(AND($P113&gt;0,$O113&gt;0),$P113,0)</f>
        <v>1</v>
      </c>
      <c r="R113" s="64" t="n">
        <f aca="false">IF(AND($Q113&gt;0,$O113&gt;=AtRank),$Q113,0)</f>
        <v>1</v>
      </c>
      <c r="S113" s="64" t="n">
        <f aca="false">IF(AND($Q113&gt;0,$O113&gt;=AboveRank),$Q113,0)</f>
        <v>1</v>
      </c>
      <c r="T113" s="64" t="n">
        <f aca="false">IF($K113="Less",$P113,0)</f>
        <v>0</v>
      </c>
      <c r="U113" s="64" t="n">
        <f aca="false">IF($K113="Expected",$P113,0)</f>
        <v>0</v>
      </c>
      <c r="V113" s="64" t="n">
        <f aca="false">IF($K113="Better",$P113,0)</f>
        <v>1</v>
      </c>
      <c r="W113" s="64" t="n">
        <f aca="false">IF($K113="U – needs rule",$P113,0)</f>
        <v>0</v>
      </c>
      <c r="X113" s="64" t="n">
        <f aca="false">IF($K113="No Start (attainment only)",$P113,0)</f>
        <v>0</v>
      </c>
    </row>
    <row r="114" customFormat="false" ht="15" hidden="false" customHeight="false" outlineLevel="0" collapsed="false">
      <c r="A114" s="60" t="s">
        <v>777</v>
      </c>
      <c r="B114" s="61" t="str">
        <f aca="false">IF($M114=0,"",INDEX(Classes!$E$6:$E$420,$M114))</f>
        <v>Arabic A</v>
      </c>
      <c r="C114" s="62" t="str">
        <f aca="false">IF($M114=0,"",INDEX(Classes!$H$6:$H$420,$M114))</f>
        <v>Mr Ayman Bobo</v>
      </c>
      <c r="D114" s="61" t="str">
        <f aca="false">IF($M114=0,"",INDEX(Classes!$B$6:$B$420,$M114))</f>
        <v>Year 10</v>
      </c>
      <c r="E114" s="61" t="str">
        <f aca="false">IF($M114=0,"",INDEX(Classes!$C$6:$C$420,$M114))</f>
        <v>ah</v>
      </c>
      <c r="F114" s="63" t="s">
        <v>163</v>
      </c>
      <c r="G114" s="63" t="s">
        <v>1017</v>
      </c>
      <c r="H114" s="60" t="s">
        <v>202</v>
      </c>
      <c r="I114" s="60" t="s">
        <v>203</v>
      </c>
      <c r="J114" s="63" t="n">
        <v>1</v>
      </c>
      <c r="K114" s="61" t="str">
        <f aca="false">IF($P114=0,"",IF($F114="Baseline","— Baseline",IF($O114=0,"No result",IF($N114=0,"No Start (attainment only)",IF(OR($N114=1,$O114=1),"U – needs rule",INDEX(MxBody,MATCH($I114,MxCurr,0),MATCH($H114,MxStart,0)))))))</f>
        <v>Better</v>
      </c>
      <c r="L114" s="62" t="str">
        <f aca="false">IF(COUNTA($A114,$F114,$G114,$H114,$I114,$J114)=0,"",IF($M114=0,"✖ كود الصف غير موجود",IF(ISNA(MATCH($F114,Lists!$A$2:$A$5,0)),"✖ الفترة غير صحيحة",IF(ISNA(MATCH($G114,Lists!$B$2:$B$7,0)),"✖ المجموعة غير صحيحة",IF(NOT(OR($H114="",$N114&gt;0)),"✖ Start غير صحيح",IF(NOT(OR($I114="",$I114="NR",$O114&gt;0)),"✖ Current غير صحيح",IF(NOT(IF(ISNUMBER($J114),AND($J114&gt;=0,$J114=INT($J114)),FALSE())),"✖ العدد يجب أن يكون صحيحًا ≥ 0",IF(AND($F114="Baseline",$H114&lt;&gt;""),"⚠ Baseline: Start لا يدخل في التقدم",IF($K114="No Start (attainment only)","ℹ تحصيل فقط (بدون Start)",IF($K114="U – needs rule","ℹ حالة U تحتاج قاعدة معتمدة",IF($K114="No result","ℹ بدون نتيجة (يُستبعد من التحصيل)","OK")))))))))))</f>
        <v>OK</v>
      </c>
      <c r="M114" s="64" t="n">
        <f aca="false">IF($A114="",0,IFERROR(MATCH($A114,Classes!$A$6:$A$420,0),0))</f>
        <v>282</v>
      </c>
      <c r="N114" s="64" t="n">
        <f aca="false">IF($H114="",0,IFERROR(MATCH($H114,GradeList,0),0))</f>
        <v>7</v>
      </c>
      <c r="O114" s="64" t="n">
        <f aca="false">IF(OR($I114="",$I114="NR"),0,IFERROR(MATCH($I114,GradeList,0),0))</f>
        <v>8</v>
      </c>
      <c r="P114" s="64" t="n">
        <f aca="false">IF(AND($M114&gt;0,ISNUMBER(MATCH($F114,Lists!$A$2:$A$5,0)),ISNUMBER(MATCH($G114,Lists!$B$2:$B$7,0)),OR($H114="",$N114&gt;0),OR($I114="",$I114="NR",$O114&gt;0),IF(ISNUMBER($J114),AND($J114&gt;=0,$J114=INT($J114)),FALSE())),$J114,0)</f>
        <v>1</v>
      </c>
      <c r="Q114" s="64" t="n">
        <f aca="false">IF(AND($P114&gt;0,$O114&gt;0),$P114,0)</f>
        <v>1</v>
      </c>
      <c r="R114" s="64" t="n">
        <f aca="false">IF(AND($Q114&gt;0,$O114&gt;=AtRank),$Q114,0)</f>
        <v>1</v>
      </c>
      <c r="S114" s="64" t="n">
        <f aca="false">IF(AND($Q114&gt;0,$O114&gt;=AboveRank),$Q114,0)</f>
        <v>1</v>
      </c>
      <c r="T114" s="64" t="n">
        <f aca="false">IF($K114="Less",$P114,0)</f>
        <v>0</v>
      </c>
      <c r="U114" s="64" t="n">
        <f aca="false">IF($K114="Expected",$P114,0)</f>
        <v>0</v>
      </c>
      <c r="V114" s="64" t="n">
        <f aca="false">IF($K114="Better",$P114,0)</f>
        <v>1</v>
      </c>
      <c r="W114" s="64" t="n">
        <f aca="false">IF($K114="U – needs rule",$P114,0)</f>
        <v>0</v>
      </c>
      <c r="X114" s="64" t="n">
        <f aca="false">IF($K114="No Start (attainment only)",$P114,0)</f>
        <v>0</v>
      </c>
    </row>
    <row r="115" customFormat="false" ht="15" hidden="false" customHeight="false" outlineLevel="0" collapsed="false">
      <c r="A115" s="60" t="s">
        <v>777</v>
      </c>
      <c r="B115" s="61" t="str">
        <f aca="false">IF($M115=0,"",INDEX(Classes!$E$6:$E$420,$M115))</f>
        <v>Arabic A</v>
      </c>
      <c r="C115" s="62" t="str">
        <f aca="false">IF($M115=0,"",INDEX(Classes!$H$6:$H$420,$M115))</f>
        <v>Mr Ayman Bobo</v>
      </c>
      <c r="D115" s="61" t="str">
        <f aca="false">IF($M115=0,"",INDEX(Classes!$B$6:$B$420,$M115))</f>
        <v>Year 10</v>
      </c>
      <c r="E115" s="61" t="str">
        <f aca="false">IF($M115=0,"",INDEX(Classes!$C$6:$C$420,$M115))</f>
        <v>ah</v>
      </c>
      <c r="F115" s="63" t="s">
        <v>163</v>
      </c>
      <c r="G115" s="63" t="s">
        <v>1017</v>
      </c>
      <c r="H115" s="60" t="s">
        <v>202</v>
      </c>
      <c r="I115" s="60" t="s">
        <v>204</v>
      </c>
      <c r="J115" s="63" t="n">
        <v>1</v>
      </c>
      <c r="K115" s="61" t="str">
        <f aca="false">IF($P115=0,"",IF($F115="Baseline","— Baseline",IF($O115=0,"No result",IF($N115=0,"No Start (attainment only)",IF(OR($N115=1,$O115=1),"U – needs rule",INDEX(MxBody,MATCH($I115,MxCurr,0),MATCH($H115,MxStart,0)))))))</f>
        <v>Better</v>
      </c>
      <c r="L115" s="62" t="str">
        <f aca="false">IF(COUNTA($A115,$F115,$G115,$H115,$I115,$J115)=0,"",IF($M115=0,"✖ كود الصف غير موجود",IF(ISNA(MATCH($F115,Lists!$A$2:$A$5,0)),"✖ الفترة غير صحيحة",IF(ISNA(MATCH($G115,Lists!$B$2:$B$7,0)),"✖ المجموعة غير صحيحة",IF(NOT(OR($H115="",$N115&gt;0)),"✖ Start غير صحيح",IF(NOT(OR($I115="",$I115="NR",$O115&gt;0)),"✖ Current غير صحيح",IF(NOT(IF(ISNUMBER($J115),AND($J115&gt;=0,$J115=INT($J115)),FALSE())),"✖ العدد يجب أن يكون صحيحًا ≥ 0",IF(AND($F115="Baseline",$H115&lt;&gt;""),"⚠ Baseline: Start لا يدخل في التقدم",IF($K115="No Start (attainment only)","ℹ تحصيل فقط (بدون Start)",IF($K115="U – needs rule","ℹ حالة U تحتاج قاعدة معتمدة",IF($K115="No result","ℹ بدون نتيجة (يُستبعد من التحصيل)","OK")))))))))))</f>
        <v>OK</v>
      </c>
      <c r="M115" s="64" t="n">
        <f aca="false">IF($A115="",0,IFERROR(MATCH($A115,Classes!$A$6:$A$420,0),0))</f>
        <v>282</v>
      </c>
      <c r="N115" s="64" t="n">
        <f aca="false">IF($H115="",0,IFERROR(MATCH($H115,GradeList,0),0))</f>
        <v>7</v>
      </c>
      <c r="O115" s="64" t="n">
        <f aca="false">IF(OR($I115="",$I115="NR"),0,IFERROR(MATCH($I115,GradeList,0),0))</f>
        <v>9</v>
      </c>
      <c r="P115" s="64" t="n">
        <f aca="false">IF(AND($M115&gt;0,ISNUMBER(MATCH($F115,Lists!$A$2:$A$5,0)),ISNUMBER(MATCH($G115,Lists!$B$2:$B$7,0)),OR($H115="",$N115&gt;0),OR($I115="",$I115="NR",$O115&gt;0),IF(ISNUMBER($J115),AND($J115&gt;=0,$J115=INT($J115)),FALSE())),$J115,0)</f>
        <v>1</v>
      </c>
      <c r="Q115" s="64" t="n">
        <f aca="false">IF(AND($P115&gt;0,$O115&gt;0),$P115,0)</f>
        <v>1</v>
      </c>
      <c r="R115" s="64" t="n">
        <f aca="false">IF(AND($Q115&gt;0,$O115&gt;=AtRank),$Q115,0)</f>
        <v>1</v>
      </c>
      <c r="S115" s="64" t="n">
        <f aca="false">IF(AND($Q115&gt;0,$O115&gt;=AboveRank),$Q115,0)</f>
        <v>1</v>
      </c>
      <c r="T115" s="64" t="n">
        <f aca="false">IF($K115="Less",$P115,0)</f>
        <v>0</v>
      </c>
      <c r="U115" s="64" t="n">
        <f aca="false">IF($K115="Expected",$P115,0)</f>
        <v>0</v>
      </c>
      <c r="V115" s="64" t="n">
        <f aca="false">IF($K115="Better",$P115,0)</f>
        <v>1</v>
      </c>
      <c r="W115" s="64" t="n">
        <f aca="false">IF($K115="U – needs rule",$P115,0)</f>
        <v>0</v>
      </c>
      <c r="X115" s="64" t="n">
        <f aca="false">IF($K115="No Start (attainment only)",$P115,0)</f>
        <v>0</v>
      </c>
    </row>
    <row r="116" customFormat="false" ht="15" hidden="false" customHeight="false" outlineLevel="0" collapsed="false">
      <c r="A116" s="60" t="s">
        <v>777</v>
      </c>
      <c r="B116" s="61" t="str">
        <f aca="false">IF($M116=0,"",INDEX(Classes!$E$6:$E$420,$M116))</f>
        <v>Arabic A</v>
      </c>
      <c r="C116" s="62" t="str">
        <f aca="false">IF($M116=0,"",INDEX(Classes!$H$6:$H$420,$M116))</f>
        <v>Mr Ayman Bobo</v>
      </c>
      <c r="D116" s="61" t="str">
        <f aca="false">IF($M116=0,"",INDEX(Classes!$B$6:$B$420,$M116))</f>
        <v>Year 10</v>
      </c>
      <c r="E116" s="61" t="str">
        <f aca="false">IF($M116=0,"",INDEX(Classes!$C$6:$C$420,$M116))</f>
        <v>ah</v>
      </c>
      <c r="F116" s="63" t="s">
        <v>163</v>
      </c>
      <c r="G116" s="63" t="s">
        <v>1017</v>
      </c>
      <c r="H116" s="60" t="s">
        <v>200</v>
      </c>
      <c r="I116" s="60" t="s">
        <v>200</v>
      </c>
      <c r="J116" s="63" t="n">
        <v>1</v>
      </c>
      <c r="K116" s="61" t="str">
        <f aca="false">IF($P116=0,"",IF($F116="Baseline","— Baseline",IF($O116=0,"No result",IF($N116=0,"No Start (attainment only)",IF(OR($N116=1,$O116=1),"U – needs rule",INDEX(MxBody,MATCH($I116,MxCurr,0),MATCH($H116,MxStart,0)))))))</f>
        <v>Expected</v>
      </c>
      <c r="L116" s="62" t="str">
        <f aca="false">IF(COUNTA($A116,$F116,$G116,$H116,$I116,$J116)=0,"",IF($M116=0,"✖ كود الصف غير موجود",IF(ISNA(MATCH($F116,Lists!$A$2:$A$5,0)),"✖ الفترة غير صحيحة",IF(ISNA(MATCH($G116,Lists!$B$2:$B$7,0)),"✖ المجموعة غير صحيحة",IF(NOT(OR($H116="",$N116&gt;0)),"✖ Start غير صحيح",IF(NOT(OR($I116="",$I116="NR",$O116&gt;0)),"✖ Current غير صحيح",IF(NOT(IF(ISNUMBER($J116),AND($J116&gt;=0,$J116=INT($J116)),FALSE())),"✖ العدد يجب أن يكون صحيحًا ≥ 0",IF(AND($F116="Baseline",$H116&lt;&gt;""),"⚠ Baseline: Start لا يدخل في التقدم",IF($K116="No Start (attainment only)","ℹ تحصيل فقط (بدون Start)",IF($K116="U – needs rule","ℹ حالة U تحتاج قاعدة معتمدة",IF($K116="No result","ℹ بدون نتيجة (يُستبعد من التحصيل)","OK")))))))))))</f>
        <v>OK</v>
      </c>
      <c r="M116" s="64" t="n">
        <f aca="false">IF($A116="",0,IFERROR(MATCH($A116,Classes!$A$6:$A$420,0),0))</f>
        <v>282</v>
      </c>
      <c r="N116" s="64" t="n">
        <f aca="false">IF($H116="",0,IFERROR(MATCH($H116,GradeList,0),0))</f>
        <v>5</v>
      </c>
      <c r="O116" s="64" t="n">
        <f aca="false">IF(OR($I116="",$I116="NR"),0,IFERROR(MATCH($I116,GradeList,0),0))</f>
        <v>5</v>
      </c>
      <c r="P116" s="64" t="n">
        <f aca="false">IF(AND($M116&gt;0,ISNUMBER(MATCH($F116,Lists!$A$2:$A$5,0)),ISNUMBER(MATCH($G116,Lists!$B$2:$B$7,0)),OR($H116="",$N116&gt;0),OR($I116="",$I116="NR",$O116&gt;0),IF(ISNUMBER($J116),AND($J116&gt;=0,$J116=INT($J116)),FALSE())),$J116,0)</f>
        <v>1</v>
      </c>
      <c r="Q116" s="64" t="n">
        <f aca="false">IF(AND($P116&gt;0,$O116&gt;0),$P116,0)</f>
        <v>1</v>
      </c>
      <c r="R116" s="64" t="n">
        <f aca="false">IF(AND($Q116&gt;0,$O116&gt;=AtRank),$Q116,0)</f>
        <v>1</v>
      </c>
      <c r="S116" s="64" t="n">
        <f aca="false">IF(AND($Q116&gt;0,$O116&gt;=AboveRank),$Q116,0)</f>
        <v>0</v>
      </c>
      <c r="T116" s="64" t="n">
        <f aca="false">IF($K116="Less",$P116,0)</f>
        <v>0</v>
      </c>
      <c r="U116" s="64" t="n">
        <f aca="false">IF($K116="Expected",$P116,0)</f>
        <v>1</v>
      </c>
      <c r="V116" s="64" t="n">
        <f aca="false">IF($K116="Better",$P116,0)</f>
        <v>0</v>
      </c>
      <c r="W116" s="64" t="n">
        <f aca="false">IF($K116="U – needs rule",$P116,0)</f>
        <v>0</v>
      </c>
      <c r="X116" s="64" t="n">
        <f aca="false">IF($K116="No Start (attainment only)",$P116,0)</f>
        <v>0</v>
      </c>
    </row>
    <row r="117" customFormat="false" ht="15" hidden="false" customHeight="false" outlineLevel="0" collapsed="false">
      <c r="A117" s="60" t="s">
        <v>777</v>
      </c>
      <c r="B117" s="61" t="str">
        <f aca="false">IF($M117=0,"",INDEX(Classes!$E$6:$E$420,$M117))</f>
        <v>Arabic A</v>
      </c>
      <c r="C117" s="62" t="str">
        <f aca="false">IF($M117=0,"",INDEX(Classes!$H$6:$H$420,$M117))</f>
        <v>Mr Ayman Bobo</v>
      </c>
      <c r="D117" s="61" t="str">
        <f aca="false">IF($M117=0,"",INDEX(Classes!$B$6:$B$420,$M117))</f>
        <v>Year 10</v>
      </c>
      <c r="E117" s="61" t="str">
        <f aca="false">IF($M117=0,"",INDEX(Classes!$C$6:$C$420,$M117))</f>
        <v>ah</v>
      </c>
      <c r="F117" s="63" t="s">
        <v>163</v>
      </c>
      <c r="G117" s="63" t="s">
        <v>1017</v>
      </c>
      <c r="H117" s="60" t="s">
        <v>204</v>
      </c>
      <c r="I117" s="60" t="s">
        <v>204</v>
      </c>
      <c r="J117" s="63" t="n">
        <v>1</v>
      </c>
      <c r="K117" s="61" t="str">
        <f aca="false">IF($P117=0,"",IF($F117="Baseline","— Baseline",IF($O117=0,"No result",IF($N117=0,"No Start (attainment only)",IF(OR($N117=1,$O117=1),"U – needs rule",INDEX(MxBody,MATCH($I117,MxCurr,0),MATCH($H117,MxStart,0)))))))</f>
        <v>Better</v>
      </c>
      <c r="L117" s="62" t="str">
        <f aca="false">IF(COUNTA($A117,$F117,$G117,$H117,$I117,$J117)=0,"",IF($M117=0,"✖ كود الصف غير موجود",IF(ISNA(MATCH($F117,Lists!$A$2:$A$5,0)),"✖ الفترة غير صحيحة",IF(ISNA(MATCH($G117,Lists!$B$2:$B$7,0)),"✖ المجموعة غير صحيحة",IF(NOT(OR($H117="",$N117&gt;0)),"✖ Start غير صحيح",IF(NOT(OR($I117="",$I117="NR",$O117&gt;0)),"✖ Current غير صحيح",IF(NOT(IF(ISNUMBER($J117),AND($J117&gt;=0,$J117=INT($J117)),FALSE())),"✖ العدد يجب أن يكون صحيحًا ≥ 0",IF(AND($F117="Baseline",$H117&lt;&gt;""),"⚠ Baseline: Start لا يدخل في التقدم",IF($K117="No Start (attainment only)","ℹ تحصيل فقط (بدون Start)",IF($K117="U – needs rule","ℹ حالة U تحتاج قاعدة معتمدة",IF($K117="No result","ℹ بدون نتيجة (يُستبعد من التحصيل)","OK")))))))))))</f>
        <v>OK</v>
      </c>
      <c r="M117" s="64" t="n">
        <f aca="false">IF($A117="",0,IFERROR(MATCH($A117,Classes!$A$6:$A$420,0),0))</f>
        <v>282</v>
      </c>
      <c r="N117" s="64" t="n">
        <f aca="false">IF($H117="",0,IFERROR(MATCH($H117,GradeList,0),0))</f>
        <v>9</v>
      </c>
      <c r="O117" s="64" t="n">
        <f aca="false">IF(OR($I117="",$I117="NR"),0,IFERROR(MATCH($I117,GradeList,0),0))</f>
        <v>9</v>
      </c>
      <c r="P117" s="64" t="n">
        <f aca="false">IF(AND($M117&gt;0,ISNUMBER(MATCH($F117,Lists!$A$2:$A$5,0)),ISNUMBER(MATCH($G117,Lists!$B$2:$B$7,0)),OR($H117="",$N117&gt;0),OR($I117="",$I117="NR",$O117&gt;0),IF(ISNUMBER($J117),AND($J117&gt;=0,$J117=INT($J117)),FALSE())),$J117,0)</f>
        <v>1</v>
      </c>
      <c r="Q117" s="64" t="n">
        <f aca="false">IF(AND($P117&gt;0,$O117&gt;0),$P117,0)</f>
        <v>1</v>
      </c>
      <c r="R117" s="64" t="n">
        <f aca="false">IF(AND($Q117&gt;0,$O117&gt;=AtRank),$Q117,0)</f>
        <v>1</v>
      </c>
      <c r="S117" s="64" t="n">
        <f aca="false">IF(AND($Q117&gt;0,$O117&gt;=AboveRank),$Q117,0)</f>
        <v>1</v>
      </c>
      <c r="T117" s="64" t="n">
        <f aca="false">IF($K117="Less",$P117,0)</f>
        <v>0</v>
      </c>
      <c r="U117" s="64" t="n">
        <f aca="false">IF($K117="Expected",$P117,0)</f>
        <v>0</v>
      </c>
      <c r="V117" s="64" t="n">
        <f aca="false">IF($K117="Better",$P117,0)</f>
        <v>1</v>
      </c>
      <c r="W117" s="64" t="n">
        <f aca="false">IF($K117="U – needs rule",$P117,0)</f>
        <v>0</v>
      </c>
      <c r="X117" s="64" t="n">
        <f aca="false">IF($K117="No Start (attainment only)",$P117,0)</f>
        <v>0</v>
      </c>
    </row>
    <row r="118" customFormat="false" ht="15" hidden="false" customHeight="false" outlineLevel="0" collapsed="false">
      <c r="A118" s="60" t="s">
        <v>777</v>
      </c>
      <c r="B118" s="61" t="str">
        <f aca="false">IF($M118=0,"",INDEX(Classes!$E$6:$E$420,$M118))</f>
        <v>Arabic A</v>
      </c>
      <c r="C118" s="62" t="str">
        <f aca="false">IF($M118=0,"",INDEX(Classes!$H$6:$H$420,$M118))</f>
        <v>Mr Ayman Bobo</v>
      </c>
      <c r="D118" s="61" t="str">
        <f aca="false">IF($M118=0,"",INDEX(Classes!$B$6:$B$420,$M118))</f>
        <v>Year 10</v>
      </c>
      <c r="E118" s="61" t="str">
        <f aca="false">IF($M118=0,"",INDEX(Classes!$C$6:$C$420,$M118))</f>
        <v>ah</v>
      </c>
      <c r="F118" s="63" t="s">
        <v>163</v>
      </c>
      <c r="G118" s="63" t="s">
        <v>1017</v>
      </c>
      <c r="H118" s="60" t="s">
        <v>204</v>
      </c>
      <c r="I118" s="60" t="s">
        <v>205</v>
      </c>
      <c r="J118" s="63" t="n">
        <v>1</v>
      </c>
      <c r="K118" s="61" t="str">
        <f aca="false">IF($P118=0,"",IF($F118="Baseline","— Baseline",IF($O118=0,"No result",IF($N118=0,"No Start (attainment only)",IF(OR($N118=1,$O118=1),"U – needs rule",INDEX(MxBody,MATCH($I118,MxCurr,0),MATCH($H118,MxStart,0)))))))</f>
        <v>Better</v>
      </c>
      <c r="L118" s="62" t="str">
        <f aca="false">IF(COUNTA($A118,$F118,$G118,$H118,$I118,$J118)=0,"",IF($M118=0,"✖ كود الصف غير موجود",IF(ISNA(MATCH($F118,Lists!$A$2:$A$5,0)),"✖ الفترة غير صحيحة",IF(ISNA(MATCH($G118,Lists!$B$2:$B$7,0)),"✖ المجموعة غير صحيحة",IF(NOT(OR($H118="",$N118&gt;0)),"✖ Start غير صحيح",IF(NOT(OR($I118="",$I118="NR",$O118&gt;0)),"✖ Current غير صحيح",IF(NOT(IF(ISNUMBER($J118),AND($J118&gt;=0,$J118=INT($J118)),FALSE())),"✖ العدد يجب أن يكون صحيحًا ≥ 0",IF(AND($F118="Baseline",$H118&lt;&gt;""),"⚠ Baseline: Start لا يدخل في التقدم",IF($K118="No Start (attainment only)","ℹ تحصيل فقط (بدون Start)",IF($K118="U – needs rule","ℹ حالة U تحتاج قاعدة معتمدة",IF($K118="No result","ℹ بدون نتيجة (يُستبعد من التحصيل)","OK")))))))))))</f>
        <v>OK</v>
      </c>
      <c r="M118" s="64" t="n">
        <f aca="false">IF($A118="",0,IFERROR(MATCH($A118,Classes!$A$6:$A$420,0),0))</f>
        <v>282</v>
      </c>
      <c r="N118" s="64" t="n">
        <f aca="false">IF($H118="",0,IFERROR(MATCH($H118,GradeList,0),0))</f>
        <v>9</v>
      </c>
      <c r="O118" s="64" t="n">
        <f aca="false">IF(OR($I118="",$I118="NR"),0,IFERROR(MATCH($I118,GradeList,0),0))</f>
        <v>10</v>
      </c>
      <c r="P118" s="64" t="n">
        <f aca="false">IF(AND($M118&gt;0,ISNUMBER(MATCH($F118,Lists!$A$2:$A$5,0)),ISNUMBER(MATCH($G118,Lists!$B$2:$B$7,0)),OR($H118="",$N118&gt;0),OR($I118="",$I118="NR",$O118&gt;0),IF(ISNUMBER($J118),AND($J118&gt;=0,$J118=INT($J118)),FALSE())),$J118,0)</f>
        <v>1</v>
      </c>
      <c r="Q118" s="64" t="n">
        <f aca="false">IF(AND($P118&gt;0,$O118&gt;0),$P118,0)</f>
        <v>1</v>
      </c>
      <c r="R118" s="64" t="n">
        <f aca="false">IF(AND($Q118&gt;0,$O118&gt;=AtRank),$Q118,0)</f>
        <v>1</v>
      </c>
      <c r="S118" s="64" t="n">
        <f aca="false">IF(AND($Q118&gt;0,$O118&gt;=AboveRank),$Q118,0)</f>
        <v>1</v>
      </c>
      <c r="T118" s="64" t="n">
        <f aca="false">IF($K118="Less",$P118,0)</f>
        <v>0</v>
      </c>
      <c r="U118" s="64" t="n">
        <f aca="false">IF($K118="Expected",$P118,0)</f>
        <v>0</v>
      </c>
      <c r="V118" s="64" t="n">
        <f aca="false">IF($K118="Better",$P118,0)</f>
        <v>1</v>
      </c>
      <c r="W118" s="64" t="n">
        <f aca="false">IF($K118="U – needs rule",$P118,0)</f>
        <v>0</v>
      </c>
      <c r="X118" s="64" t="n">
        <f aca="false">IF($K118="No Start (attainment only)",$P118,0)</f>
        <v>0</v>
      </c>
    </row>
    <row r="119" customFormat="false" ht="15" hidden="false" customHeight="false" outlineLevel="0" collapsed="false">
      <c r="A119" s="60" t="s">
        <v>777</v>
      </c>
      <c r="B119" s="61" t="str">
        <f aca="false">IF($M119=0,"",INDEX(Classes!$E$6:$E$420,$M119))</f>
        <v>Arabic A</v>
      </c>
      <c r="C119" s="62" t="str">
        <f aca="false">IF($M119=0,"",INDEX(Classes!$H$6:$H$420,$M119))</f>
        <v>Mr Ayman Bobo</v>
      </c>
      <c r="D119" s="61" t="str">
        <f aca="false">IF($M119=0,"",INDEX(Classes!$B$6:$B$420,$M119))</f>
        <v>Year 10</v>
      </c>
      <c r="E119" s="61" t="str">
        <f aca="false">IF($M119=0,"",INDEX(Classes!$C$6:$C$420,$M119))</f>
        <v>ah</v>
      </c>
      <c r="F119" s="63" t="s">
        <v>163</v>
      </c>
      <c r="G119" s="63" t="s">
        <v>1017</v>
      </c>
      <c r="H119" s="60" t="s">
        <v>205</v>
      </c>
      <c r="I119" s="60" t="s">
        <v>205</v>
      </c>
      <c r="J119" s="63" t="n">
        <v>1</v>
      </c>
      <c r="K119" s="61" t="str">
        <f aca="false">IF($P119=0,"",IF($F119="Baseline","— Baseline",IF($O119=0,"No result",IF($N119=0,"No Start (attainment only)",IF(OR($N119=1,$O119=1),"U – needs rule",INDEX(MxBody,MATCH($I119,MxCurr,0),MATCH($H119,MxStart,0)))))))</f>
        <v>Better</v>
      </c>
      <c r="L119" s="62" t="str">
        <f aca="false">IF(COUNTA($A119,$F119,$G119,$H119,$I119,$J119)=0,"",IF($M119=0,"✖ كود الصف غير موجود",IF(ISNA(MATCH($F119,Lists!$A$2:$A$5,0)),"✖ الفترة غير صحيحة",IF(ISNA(MATCH($G119,Lists!$B$2:$B$7,0)),"✖ المجموعة غير صحيحة",IF(NOT(OR($H119="",$N119&gt;0)),"✖ Start غير صحيح",IF(NOT(OR($I119="",$I119="NR",$O119&gt;0)),"✖ Current غير صحيح",IF(NOT(IF(ISNUMBER($J119),AND($J119&gt;=0,$J119=INT($J119)),FALSE())),"✖ العدد يجب أن يكون صحيحًا ≥ 0",IF(AND($F119="Baseline",$H119&lt;&gt;""),"⚠ Baseline: Start لا يدخل في التقدم",IF($K119="No Start (attainment only)","ℹ تحصيل فقط (بدون Start)",IF($K119="U – needs rule","ℹ حالة U تحتاج قاعدة معتمدة",IF($K119="No result","ℹ بدون نتيجة (يُستبعد من التحصيل)","OK")))))))))))</f>
        <v>OK</v>
      </c>
      <c r="M119" s="64" t="n">
        <f aca="false">IF($A119="",0,IFERROR(MATCH($A119,Classes!$A$6:$A$420,0),0))</f>
        <v>282</v>
      </c>
      <c r="N119" s="64" t="n">
        <f aca="false">IF($H119="",0,IFERROR(MATCH($H119,GradeList,0),0))</f>
        <v>10</v>
      </c>
      <c r="O119" s="64" t="n">
        <f aca="false">IF(OR($I119="",$I119="NR"),0,IFERROR(MATCH($I119,GradeList,0),0))</f>
        <v>10</v>
      </c>
      <c r="P119" s="64" t="n">
        <f aca="false">IF(AND($M119&gt;0,ISNUMBER(MATCH($F119,Lists!$A$2:$A$5,0)),ISNUMBER(MATCH($G119,Lists!$B$2:$B$7,0)),OR($H119="",$N119&gt;0),OR($I119="",$I119="NR",$O119&gt;0),IF(ISNUMBER($J119),AND($J119&gt;=0,$J119=INT($J119)),FALSE())),$J119,0)</f>
        <v>1</v>
      </c>
      <c r="Q119" s="64" t="n">
        <f aca="false">IF(AND($P119&gt;0,$O119&gt;0),$P119,0)</f>
        <v>1</v>
      </c>
      <c r="R119" s="64" t="n">
        <f aca="false">IF(AND($Q119&gt;0,$O119&gt;=AtRank),$Q119,0)</f>
        <v>1</v>
      </c>
      <c r="S119" s="64" t="n">
        <f aca="false">IF(AND($Q119&gt;0,$O119&gt;=AboveRank),$Q119,0)</f>
        <v>1</v>
      </c>
      <c r="T119" s="64" t="n">
        <f aca="false">IF($K119="Less",$P119,0)</f>
        <v>0</v>
      </c>
      <c r="U119" s="64" t="n">
        <f aca="false">IF($K119="Expected",$P119,0)</f>
        <v>0</v>
      </c>
      <c r="V119" s="64" t="n">
        <f aca="false">IF($K119="Better",$P119,0)</f>
        <v>1</v>
      </c>
      <c r="W119" s="64" t="n">
        <f aca="false">IF($K119="U – needs rule",$P119,0)</f>
        <v>0</v>
      </c>
      <c r="X119" s="64" t="n">
        <f aca="false">IF($K119="No Start (attainment only)",$P119,0)</f>
        <v>0</v>
      </c>
    </row>
    <row r="120" customFormat="false" ht="15" hidden="false" customHeight="false" outlineLevel="0" collapsed="false">
      <c r="A120" s="60" t="s">
        <v>777</v>
      </c>
      <c r="B120" s="61" t="str">
        <f aca="false">IF($M120=0,"",INDEX(Classes!$E$6:$E$420,$M120))</f>
        <v>Arabic A</v>
      </c>
      <c r="C120" s="62" t="str">
        <f aca="false">IF($M120=0,"",INDEX(Classes!$H$6:$H$420,$M120))</f>
        <v>Mr Ayman Bobo</v>
      </c>
      <c r="D120" s="61" t="str">
        <f aca="false">IF($M120=0,"",INDEX(Classes!$B$6:$B$420,$M120))</f>
        <v>Year 10</v>
      </c>
      <c r="E120" s="61" t="str">
        <f aca="false">IF($M120=0,"",INDEX(Classes!$C$6:$C$420,$M120))</f>
        <v>ah</v>
      </c>
      <c r="F120" s="63" t="s">
        <v>163</v>
      </c>
      <c r="G120" s="63" t="s">
        <v>1018</v>
      </c>
      <c r="H120" s="60" t="s">
        <v>202</v>
      </c>
      <c r="I120" s="60" t="s">
        <v>203</v>
      </c>
      <c r="J120" s="63" t="n">
        <v>1</v>
      </c>
      <c r="K120" s="61" t="str">
        <f aca="false">IF($P120=0,"",IF($F120="Baseline","— Baseline",IF($O120=0,"No result",IF($N120=0,"No Start (attainment only)",IF(OR($N120=1,$O120=1),"U – needs rule",INDEX(MxBody,MATCH($I120,MxCurr,0),MATCH($H120,MxStart,0)))))))</f>
        <v>Better</v>
      </c>
      <c r="L120" s="62" t="str">
        <f aca="false">IF(COUNTA($A120,$F120,$G120,$H120,$I120,$J120)=0,"",IF($M120=0,"✖ كود الصف غير موجود",IF(ISNA(MATCH($F120,Lists!$A$2:$A$5,0)),"✖ الفترة غير صحيحة",IF(ISNA(MATCH($G120,Lists!$B$2:$B$7,0)),"✖ المجموعة غير صحيحة",IF(NOT(OR($H120="",$N120&gt;0)),"✖ Start غير صحيح",IF(NOT(OR($I120="",$I120="NR",$O120&gt;0)),"✖ Current غير صحيح",IF(NOT(IF(ISNUMBER($J120),AND($J120&gt;=0,$J120=INT($J120)),FALSE())),"✖ العدد يجب أن يكون صحيحًا ≥ 0",IF(AND($F120="Baseline",$H120&lt;&gt;""),"⚠ Baseline: Start لا يدخل في التقدم",IF($K120="No Start (attainment only)","ℹ تحصيل فقط (بدون Start)",IF($K120="U – needs rule","ℹ حالة U تحتاج قاعدة معتمدة",IF($K120="No result","ℹ بدون نتيجة (يُستبعد من التحصيل)","OK")))))))))))</f>
        <v>OK</v>
      </c>
      <c r="M120" s="64" t="n">
        <f aca="false">IF($A120="",0,IFERROR(MATCH($A120,Classes!$A$6:$A$420,0),0))</f>
        <v>282</v>
      </c>
      <c r="N120" s="64" t="n">
        <f aca="false">IF($H120="",0,IFERROR(MATCH($H120,GradeList,0),0))</f>
        <v>7</v>
      </c>
      <c r="O120" s="64" t="n">
        <f aca="false">IF(OR($I120="",$I120="NR"),0,IFERROR(MATCH($I120,GradeList,0),0))</f>
        <v>8</v>
      </c>
      <c r="P120" s="64" t="n">
        <f aca="false">IF(AND($M120&gt;0,ISNUMBER(MATCH($F120,Lists!$A$2:$A$5,0)),ISNUMBER(MATCH($G120,Lists!$B$2:$B$7,0)),OR($H120="",$N120&gt;0),OR($I120="",$I120="NR",$O120&gt;0),IF(ISNUMBER($J120),AND($J120&gt;=0,$J120=INT($J120)),FALSE())),$J120,0)</f>
        <v>1</v>
      </c>
      <c r="Q120" s="64" t="n">
        <f aca="false">IF(AND($P120&gt;0,$O120&gt;0),$P120,0)</f>
        <v>1</v>
      </c>
      <c r="R120" s="64" t="n">
        <f aca="false">IF(AND($Q120&gt;0,$O120&gt;=AtRank),$Q120,0)</f>
        <v>1</v>
      </c>
      <c r="S120" s="64" t="n">
        <f aca="false">IF(AND($Q120&gt;0,$O120&gt;=AboveRank),$Q120,0)</f>
        <v>1</v>
      </c>
      <c r="T120" s="64" t="n">
        <f aca="false">IF($K120="Less",$P120,0)</f>
        <v>0</v>
      </c>
      <c r="U120" s="64" t="n">
        <f aca="false">IF($K120="Expected",$P120,0)</f>
        <v>0</v>
      </c>
      <c r="V120" s="64" t="n">
        <f aca="false">IF($K120="Better",$P120,0)</f>
        <v>1</v>
      </c>
      <c r="W120" s="64" t="n">
        <f aca="false">IF($K120="U – needs rule",$P120,0)</f>
        <v>0</v>
      </c>
      <c r="X120" s="64" t="n">
        <f aca="false">IF($K120="No Start (attainment only)",$P120,0)</f>
        <v>0</v>
      </c>
    </row>
    <row r="121" customFormat="false" ht="15" hidden="false" customHeight="false" outlineLevel="0" collapsed="false">
      <c r="A121" s="60" t="s">
        <v>777</v>
      </c>
      <c r="B121" s="61" t="str">
        <f aca="false">IF($M121=0,"",INDEX(Classes!$E$6:$E$420,$M121))</f>
        <v>Arabic A</v>
      </c>
      <c r="C121" s="62" t="str">
        <f aca="false">IF($M121=0,"",INDEX(Classes!$H$6:$H$420,$M121))</f>
        <v>Mr Ayman Bobo</v>
      </c>
      <c r="D121" s="61" t="str">
        <f aca="false">IF($M121=0,"",INDEX(Classes!$B$6:$B$420,$M121))</f>
        <v>Year 10</v>
      </c>
      <c r="E121" s="61" t="str">
        <f aca="false">IF($M121=0,"",INDEX(Classes!$C$6:$C$420,$M121))</f>
        <v>ah</v>
      </c>
      <c r="F121" s="63" t="s">
        <v>163</v>
      </c>
      <c r="G121" s="63" t="s">
        <v>1018</v>
      </c>
      <c r="H121" s="60" t="s">
        <v>202</v>
      </c>
      <c r="I121" s="60" t="s">
        <v>204</v>
      </c>
      <c r="J121" s="63" t="n">
        <v>1</v>
      </c>
      <c r="K121" s="61" t="str">
        <f aca="false">IF($P121=0,"",IF($F121="Baseline","— Baseline",IF($O121=0,"No result",IF($N121=0,"No Start (attainment only)",IF(OR($N121=1,$O121=1),"U – needs rule",INDEX(MxBody,MATCH($I121,MxCurr,0),MATCH($H121,MxStart,0)))))))</f>
        <v>Better</v>
      </c>
      <c r="L121" s="62" t="str">
        <f aca="false">IF(COUNTA($A121,$F121,$G121,$H121,$I121,$J121)=0,"",IF($M121=0,"✖ كود الصف غير موجود",IF(ISNA(MATCH($F121,Lists!$A$2:$A$5,0)),"✖ الفترة غير صحيحة",IF(ISNA(MATCH($G121,Lists!$B$2:$B$7,0)),"✖ المجموعة غير صحيحة",IF(NOT(OR($H121="",$N121&gt;0)),"✖ Start غير صحيح",IF(NOT(OR($I121="",$I121="NR",$O121&gt;0)),"✖ Current غير صحيح",IF(NOT(IF(ISNUMBER($J121),AND($J121&gt;=0,$J121=INT($J121)),FALSE())),"✖ العدد يجب أن يكون صحيحًا ≥ 0",IF(AND($F121="Baseline",$H121&lt;&gt;""),"⚠ Baseline: Start لا يدخل في التقدم",IF($K121="No Start (attainment only)","ℹ تحصيل فقط (بدون Start)",IF($K121="U – needs rule","ℹ حالة U تحتاج قاعدة معتمدة",IF($K121="No result","ℹ بدون نتيجة (يُستبعد من التحصيل)","OK")))))))))))</f>
        <v>OK</v>
      </c>
      <c r="M121" s="64" t="n">
        <f aca="false">IF($A121="",0,IFERROR(MATCH($A121,Classes!$A$6:$A$420,0),0))</f>
        <v>282</v>
      </c>
      <c r="N121" s="64" t="n">
        <f aca="false">IF($H121="",0,IFERROR(MATCH($H121,GradeList,0),0))</f>
        <v>7</v>
      </c>
      <c r="O121" s="64" t="n">
        <f aca="false">IF(OR($I121="",$I121="NR"),0,IFERROR(MATCH($I121,GradeList,0),0))</f>
        <v>9</v>
      </c>
      <c r="P121" s="64" t="n">
        <f aca="false">IF(AND($M121&gt;0,ISNUMBER(MATCH($F121,Lists!$A$2:$A$5,0)),ISNUMBER(MATCH($G121,Lists!$B$2:$B$7,0)),OR($H121="",$N121&gt;0),OR($I121="",$I121="NR",$O121&gt;0),IF(ISNUMBER($J121),AND($J121&gt;=0,$J121=INT($J121)),FALSE())),$J121,0)</f>
        <v>1</v>
      </c>
      <c r="Q121" s="64" t="n">
        <f aca="false">IF(AND($P121&gt;0,$O121&gt;0),$P121,0)</f>
        <v>1</v>
      </c>
      <c r="R121" s="64" t="n">
        <f aca="false">IF(AND($Q121&gt;0,$O121&gt;=AtRank),$Q121,0)</f>
        <v>1</v>
      </c>
      <c r="S121" s="64" t="n">
        <f aca="false">IF(AND($Q121&gt;0,$O121&gt;=AboveRank),$Q121,0)</f>
        <v>1</v>
      </c>
      <c r="T121" s="64" t="n">
        <f aca="false">IF($K121="Less",$P121,0)</f>
        <v>0</v>
      </c>
      <c r="U121" s="64" t="n">
        <f aca="false">IF($K121="Expected",$P121,0)</f>
        <v>0</v>
      </c>
      <c r="V121" s="64" t="n">
        <f aca="false">IF($K121="Better",$P121,0)</f>
        <v>1</v>
      </c>
      <c r="W121" s="64" t="n">
        <f aca="false">IF($K121="U – needs rule",$P121,0)</f>
        <v>0</v>
      </c>
      <c r="X121" s="64" t="n">
        <f aca="false">IF($K121="No Start (attainment only)",$P121,0)</f>
        <v>0</v>
      </c>
    </row>
    <row r="122" customFormat="false" ht="15" hidden="false" customHeight="false" outlineLevel="0" collapsed="false">
      <c r="A122" s="60" t="s">
        <v>777</v>
      </c>
      <c r="B122" s="61" t="str">
        <f aca="false">IF($M122=0,"",INDEX(Classes!$E$6:$E$420,$M122))</f>
        <v>Arabic A</v>
      </c>
      <c r="C122" s="62" t="str">
        <f aca="false">IF($M122=0,"",INDEX(Classes!$H$6:$H$420,$M122))</f>
        <v>Mr Ayman Bobo</v>
      </c>
      <c r="D122" s="61" t="str">
        <f aca="false">IF($M122=0,"",INDEX(Classes!$B$6:$B$420,$M122))</f>
        <v>Year 10</v>
      </c>
      <c r="E122" s="61" t="str">
        <f aca="false">IF($M122=0,"",INDEX(Classes!$C$6:$C$420,$M122))</f>
        <v>ah</v>
      </c>
      <c r="F122" s="63" t="s">
        <v>163</v>
      </c>
      <c r="G122" s="63" t="s">
        <v>1018</v>
      </c>
      <c r="H122" s="60" t="s">
        <v>203</v>
      </c>
      <c r="I122" s="60" t="s">
        <v>203</v>
      </c>
      <c r="J122" s="63" t="n">
        <v>2</v>
      </c>
      <c r="K122" s="61" t="str">
        <f aca="false">IF($P122=0,"",IF($F122="Baseline","— Baseline",IF($O122=0,"No result",IF($N122=0,"No Start (attainment only)",IF(OR($N122=1,$O122=1),"U – needs rule",INDEX(MxBody,MATCH($I122,MxCurr,0),MATCH($H122,MxStart,0)))))))</f>
        <v>Better</v>
      </c>
      <c r="L122" s="62" t="str">
        <f aca="false">IF(COUNTA($A122,$F122,$G122,$H122,$I122,$J122)=0,"",IF($M122=0,"✖ كود الصف غير موجود",IF(ISNA(MATCH($F122,Lists!$A$2:$A$5,0)),"✖ الفترة غير صحيحة",IF(ISNA(MATCH($G122,Lists!$B$2:$B$7,0)),"✖ المجموعة غير صحيحة",IF(NOT(OR($H122="",$N122&gt;0)),"✖ Start غير صحيح",IF(NOT(OR($I122="",$I122="NR",$O122&gt;0)),"✖ Current غير صحيح",IF(NOT(IF(ISNUMBER($J122),AND($J122&gt;=0,$J122=INT($J122)),FALSE())),"✖ العدد يجب أن يكون صحيحًا ≥ 0",IF(AND($F122="Baseline",$H122&lt;&gt;""),"⚠ Baseline: Start لا يدخل في التقدم",IF($K122="No Start (attainment only)","ℹ تحصيل فقط (بدون Start)",IF($K122="U – needs rule","ℹ حالة U تحتاج قاعدة معتمدة",IF($K122="No result","ℹ بدون نتيجة (يُستبعد من التحصيل)","OK")))))))))))</f>
        <v>OK</v>
      </c>
      <c r="M122" s="64" t="n">
        <f aca="false">IF($A122="",0,IFERROR(MATCH($A122,Classes!$A$6:$A$420,0),0))</f>
        <v>282</v>
      </c>
      <c r="N122" s="64" t="n">
        <f aca="false">IF($H122="",0,IFERROR(MATCH($H122,GradeList,0),0))</f>
        <v>8</v>
      </c>
      <c r="O122" s="64" t="n">
        <f aca="false">IF(OR($I122="",$I122="NR"),0,IFERROR(MATCH($I122,GradeList,0),0))</f>
        <v>8</v>
      </c>
      <c r="P122" s="64" t="n">
        <f aca="false">IF(AND($M122&gt;0,ISNUMBER(MATCH($F122,Lists!$A$2:$A$5,0)),ISNUMBER(MATCH($G122,Lists!$B$2:$B$7,0)),OR($H122="",$N122&gt;0),OR($I122="",$I122="NR",$O122&gt;0),IF(ISNUMBER($J122),AND($J122&gt;=0,$J122=INT($J122)),FALSE())),$J122,0)</f>
        <v>2</v>
      </c>
      <c r="Q122" s="64" t="n">
        <f aca="false">IF(AND($P122&gt;0,$O122&gt;0),$P122,0)</f>
        <v>2</v>
      </c>
      <c r="R122" s="64" t="n">
        <f aca="false">IF(AND($Q122&gt;0,$O122&gt;=AtRank),$Q122,0)</f>
        <v>2</v>
      </c>
      <c r="S122" s="64" t="n">
        <f aca="false">IF(AND($Q122&gt;0,$O122&gt;=AboveRank),$Q122,0)</f>
        <v>2</v>
      </c>
      <c r="T122" s="64" t="n">
        <f aca="false">IF($K122="Less",$P122,0)</f>
        <v>0</v>
      </c>
      <c r="U122" s="64" t="n">
        <f aca="false">IF($K122="Expected",$P122,0)</f>
        <v>0</v>
      </c>
      <c r="V122" s="64" t="n">
        <f aca="false">IF($K122="Better",$P122,0)</f>
        <v>2</v>
      </c>
      <c r="W122" s="64" t="n">
        <f aca="false">IF($K122="U – needs rule",$P122,0)</f>
        <v>0</v>
      </c>
      <c r="X122" s="64" t="n">
        <f aca="false">IF($K122="No Start (attainment only)",$P122,0)</f>
        <v>0</v>
      </c>
    </row>
    <row r="123" customFormat="false" ht="15" hidden="false" customHeight="false" outlineLevel="0" collapsed="false">
      <c r="A123" s="60" t="s">
        <v>777</v>
      </c>
      <c r="B123" s="61" t="str">
        <f aca="false">IF($M123=0,"",INDEX(Classes!$E$6:$E$420,$M123))</f>
        <v>Arabic A</v>
      </c>
      <c r="C123" s="62" t="str">
        <f aca="false">IF($M123=0,"",INDEX(Classes!$H$6:$H$420,$M123))</f>
        <v>Mr Ayman Bobo</v>
      </c>
      <c r="D123" s="61" t="str">
        <f aca="false">IF($M123=0,"",INDEX(Classes!$B$6:$B$420,$M123))</f>
        <v>Year 10</v>
      </c>
      <c r="E123" s="61" t="str">
        <f aca="false">IF($M123=0,"",INDEX(Classes!$C$6:$C$420,$M123))</f>
        <v>ah</v>
      </c>
      <c r="F123" s="63" t="s">
        <v>163</v>
      </c>
      <c r="G123" s="63" t="s">
        <v>1018</v>
      </c>
      <c r="H123" s="60" t="s">
        <v>203</v>
      </c>
      <c r="I123" s="60" t="s">
        <v>201</v>
      </c>
      <c r="J123" s="63" t="n">
        <v>1</v>
      </c>
      <c r="K123" s="61" t="str">
        <f aca="false">IF($P123=0,"",IF($F123="Baseline","— Baseline",IF($O123=0,"No result",IF($N123=0,"No Start (attainment only)",IF(OR($N123=1,$O123=1),"U – needs rule",INDEX(MxBody,MATCH($I123,MxCurr,0),MATCH($H123,MxStart,0)))))))</f>
        <v>Less</v>
      </c>
      <c r="L123" s="62" t="str">
        <f aca="false">IF(COUNTA($A123,$F123,$G123,$H123,$I123,$J123)=0,"",IF($M123=0,"✖ كود الصف غير موجود",IF(ISNA(MATCH($F123,Lists!$A$2:$A$5,0)),"✖ الفترة غير صحيحة",IF(ISNA(MATCH($G123,Lists!$B$2:$B$7,0)),"✖ المجموعة غير صحيحة",IF(NOT(OR($H123="",$N123&gt;0)),"✖ Start غير صحيح",IF(NOT(OR($I123="",$I123="NR",$O123&gt;0)),"✖ Current غير صحيح",IF(NOT(IF(ISNUMBER($J123),AND($J123&gt;=0,$J123=INT($J123)),FALSE())),"✖ العدد يجب أن يكون صحيحًا ≥ 0",IF(AND($F123="Baseline",$H123&lt;&gt;""),"⚠ Baseline: Start لا يدخل في التقدم",IF($K123="No Start (attainment only)","ℹ تحصيل فقط (بدون Start)",IF($K123="U – needs rule","ℹ حالة U تحتاج قاعدة معتمدة",IF($K123="No result","ℹ بدون نتيجة (يُستبعد من التحصيل)","OK")))))))))))</f>
        <v>OK</v>
      </c>
      <c r="M123" s="64" t="n">
        <f aca="false">IF($A123="",0,IFERROR(MATCH($A123,Classes!$A$6:$A$420,0),0))</f>
        <v>282</v>
      </c>
      <c r="N123" s="64" t="n">
        <f aca="false">IF($H123="",0,IFERROR(MATCH($H123,GradeList,0),0))</f>
        <v>8</v>
      </c>
      <c r="O123" s="64" t="n">
        <f aca="false">IF(OR($I123="",$I123="NR"),0,IFERROR(MATCH($I123,GradeList,0),0))</f>
        <v>6</v>
      </c>
      <c r="P123" s="64" t="n">
        <f aca="false">IF(AND($M123&gt;0,ISNUMBER(MATCH($F123,Lists!$A$2:$A$5,0)),ISNUMBER(MATCH($G123,Lists!$B$2:$B$7,0)),OR($H123="",$N123&gt;0),OR($I123="",$I123="NR",$O123&gt;0),IF(ISNUMBER($J123),AND($J123&gt;=0,$J123=INT($J123)),FALSE())),$J123,0)</f>
        <v>1</v>
      </c>
      <c r="Q123" s="64" t="n">
        <f aca="false">IF(AND($P123&gt;0,$O123&gt;0),$P123,0)</f>
        <v>1</v>
      </c>
      <c r="R123" s="64" t="n">
        <f aca="false">IF(AND($Q123&gt;0,$O123&gt;=AtRank),$Q123,0)</f>
        <v>1</v>
      </c>
      <c r="S123" s="64" t="n">
        <f aca="false">IF(AND($Q123&gt;0,$O123&gt;=AboveRank),$Q123,0)</f>
        <v>0</v>
      </c>
      <c r="T123" s="64" t="n">
        <f aca="false">IF($K123="Less",$P123,0)</f>
        <v>1</v>
      </c>
      <c r="U123" s="64" t="n">
        <f aca="false">IF($K123="Expected",$P123,0)</f>
        <v>0</v>
      </c>
      <c r="V123" s="64" t="n">
        <f aca="false">IF($K123="Better",$P123,0)</f>
        <v>0</v>
      </c>
      <c r="W123" s="64" t="n">
        <f aca="false">IF($K123="U – needs rule",$P123,0)</f>
        <v>0</v>
      </c>
      <c r="X123" s="64" t="n">
        <f aca="false">IF($K123="No Start (attainment only)",$P123,0)</f>
        <v>0</v>
      </c>
    </row>
    <row r="124" customFormat="false" ht="15" hidden="false" customHeight="false" outlineLevel="0" collapsed="false">
      <c r="A124" s="60" t="s">
        <v>777</v>
      </c>
      <c r="B124" s="61" t="str">
        <f aca="false">IF($M124=0,"",INDEX(Classes!$E$6:$E$420,$M124))</f>
        <v>Arabic A</v>
      </c>
      <c r="C124" s="62" t="str">
        <f aca="false">IF($M124=0,"",INDEX(Classes!$H$6:$H$420,$M124))</f>
        <v>Mr Ayman Bobo</v>
      </c>
      <c r="D124" s="61" t="str">
        <f aca="false">IF($M124=0,"",INDEX(Classes!$B$6:$B$420,$M124))</f>
        <v>Year 10</v>
      </c>
      <c r="E124" s="61" t="str">
        <f aca="false">IF($M124=0,"",INDEX(Classes!$C$6:$C$420,$M124))</f>
        <v>ah</v>
      </c>
      <c r="F124" s="63" t="s">
        <v>163</v>
      </c>
      <c r="G124" s="63" t="s">
        <v>1018</v>
      </c>
      <c r="H124" s="60" t="s">
        <v>200</v>
      </c>
      <c r="I124" s="60" t="s">
        <v>200</v>
      </c>
      <c r="J124" s="63" t="n">
        <v>1</v>
      </c>
      <c r="K124" s="61" t="str">
        <f aca="false">IF($P124=0,"",IF($F124="Baseline","— Baseline",IF($O124=0,"No result",IF($N124=0,"No Start (attainment only)",IF(OR($N124=1,$O124=1),"U – needs rule",INDEX(MxBody,MATCH($I124,MxCurr,0),MATCH($H124,MxStart,0)))))))</f>
        <v>Expected</v>
      </c>
      <c r="L124" s="62" t="str">
        <f aca="false">IF(COUNTA($A124,$F124,$G124,$H124,$I124,$J124)=0,"",IF($M124=0,"✖ كود الصف غير موجود",IF(ISNA(MATCH($F124,Lists!$A$2:$A$5,0)),"✖ الفترة غير صحيحة",IF(ISNA(MATCH($G124,Lists!$B$2:$B$7,0)),"✖ المجموعة غير صحيحة",IF(NOT(OR($H124="",$N124&gt;0)),"✖ Start غير صحيح",IF(NOT(OR($I124="",$I124="NR",$O124&gt;0)),"✖ Current غير صحيح",IF(NOT(IF(ISNUMBER($J124),AND($J124&gt;=0,$J124=INT($J124)),FALSE())),"✖ العدد يجب أن يكون صحيحًا ≥ 0",IF(AND($F124="Baseline",$H124&lt;&gt;""),"⚠ Baseline: Start لا يدخل في التقدم",IF($K124="No Start (attainment only)","ℹ تحصيل فقط (بدون Start)",IF($K124="U – needs rule","ℹ حالة U تحتاج قاعدة معتمدة",IF($K124="No result","ℹ بدون نتيجة (يُستبعد من التحصيل)","OK")))))))))))</f>
        <v>OK</v>
      </c>
      <c r="M124" s="64" t="n">
        <f aca="false">IF($A124="",0,IFERROR(MATCH($A124,Classes!$A$6:$A$420,0),0))</f>
        <v>282</v>
      </c>
      <c r="N124" s="64" t="n">
        <f aca="false">IF($H124="",0,IFERROR(MATCH($H124,GradeList,0),0))</f>
        <v>5</v>
      </c>
      <c r="O124" s="64" t="n">
        <f aca="false">IF(OR($I124="",$I124="NR"),0,IFERROR(MATCH($I124,GradeList,0),0))</f>
        <v>5</v>
      </c>
      <c r="P124" s="64" t="n">
        <f aca="false">IF(AND($M124&gt;0,ISNUMBER(MATCH($F124,Lists!$A$2:$A$5,0)),ISNUMBER(MATCH($G124,Lists!$B$2:$B$7,0)),OR($H124="",$N124&gt;0),OR($I124="",$I124="NR",$O124&gt;0),IF(ISNUMBER($J124),AND($J124&gt;=0,$J124=INT($J124)),FALSE())),$J124,0)</f>
        <v>1</v>
      </c>
      <c r="Q124" s="64" t="n">
        <f aca="false">IF(AND($P124&gt;0,$O124&gt;0),$P124,0)</f>
        <v>1</v>
      </c>
      <c r="R124" s="64" t="n">
        <f aca="false">IF(AND($Q124&gt;0,$O124&gt;=AtRank),$Q124,0)</f>
        <v>1</v>
      </c>
      <c r="S124" s="64" t="n">
        <f aca="false">IF(AND($Q124&gt;0,$O124&gt;=AboveRank),$Q124,0)</f>
        <v>0</v>
      </c>
      <c r="T124" s="64" t="n">
        <f aca="false">IF($K124="Less",$P124,0)</f>
        <v>0</v>
      </c>
      <c r="U124" s="64" t="n">
        <f aca="false">IF($K124="Expected",$P124,0)</f>
        <v>1</v>
      </c>
      <c r="V124" s="64" t="n">
        <f aca="false">IF($K124="Better",$P124,0)</f>
        <v>0</v>
      </c>
      <c r="W124" s="64" t="n">
        <f aca="false">IF($K124="U – needs rule",$P124,0)</f>
        <v>0</v>
      </c>
      <c r="X124" s="64" t="n">
        <f aca="false">IF($K124="No Start (attainment only)",$P124,0)</f>
        <v>0</v>
      </c>
    </row>
    <row r="125" customFormat="false" ht="15" hidden="false" customHeight="false" outlineLevel="0" collapsed="false">
      <c r="A125" s="60" t="s">
        <v>777</v>
      </c>
      <c r="B125" s="61" t="str">
        <f aca="false">IF($M125=0,"",INDEX(Classes!$E$6:$E$420,$M125))</f>
        <v>Arabic A</v>
      </c>
      <c r="C125" s="62" t="str">
        <f aca="false">IF($M125=0,"",INDEX(Classes!$H$6:$H$420,$M125))</f>
        <v>Mr Ayman Bobo</v>
      </c>
      <c r="D125" s="61" t="str">
        <f aca="false">IF($M125=0,"",INDEX(Classes!$B$6:$B$420,$M125))</f>
        <v>Year 10</v>
      </c>
      <c r="E125" s="61" t="str">
        <f aca="false">IF($M125=0,"",INDEX(Classes!$C$6:$C$420,$M125))</f>
        <v>ah</v>
      </c>
      <c r="F125" s="63" t="s">
        <v>163</v>
      </c>
      <c r="G125" s="63" t="s">
        <v>1018</v>
      </c>
      <c r="H125" s="60" t="s">
        <v>201</v>
      </c>
      <c r="I125" s="60" t="s">
        <v>201</v>
      </c>
      <c r="J125" s="63" t="n">
        <v>1</v>
      </c>
      <c r="K125" s="61" t="str">
        <f aca="false">IF($P125=0,"",IF($F125="Baseline","— Baseline",IF($O125=0,"No result",IF($N125=0,"No Start (attainment only)",IF(OR($N125=1,$O125=1),"U – needs rule",INDEX(MxBody,MATCH($I125,MxCurr,0),MATCH($H125,MxStart,0)))))))</f>
        <v>Expected</v>
      </c>
      <c r="L125" s="62" t="str">
        <f aca="false">IF(COUNTA($A125,$F125,$G125,$H125,$I125,$J125)=0,"",IF($M125=0,"✖ كود الصف غير موجود",IF(ISNA(MATCH($F125,Lists!$A$2:$A$5,0)),"✖ الفترة غير صحيحة",IF(ISNA(MATCH($G125,Lists!$B$2:$B$7,0)),"✖ المجموعة غير صحيحة",IF(NOT(OR($H125="",$N125&gt;0)),"✖ Start غير صحيح",IF(NOT(OR($I125="",$I125="NR",$O125&gt;0)),"✖ Current غير صحيح",IF(NOT(IF(ISNUMBER($J125),AND($J125&gt;=0,$J125=INT($J125)),FALSE())),"✖ العدد يجب أن يكون صحيحًا ≥ 0",IF(AND($F125="Baseline",$H125&lt;&gt;""),"⚠ Baseline: Start لا يدخل في التقدم",IF($K125="No Start (attainment only)","ℹ تحصيل فقط (بدون Start)",IF($K125="U – needs rule","ℹ حالة U تحتاج قاعدة معتمدة",IF($K125="No result","ℹ بدون نتيجة (يُستبعد من التحصيل)","OK")))))))))))</f>
        <v>OK</v>
      </c>
      <c r="M125" s="64" t="n">
        <f aca="false">IF($A125="",0,IFERROR(MATCH($A125,Classes!$A$6:$A$420,0),0))</f>
        <v>282</v>
      </c>
      <c r="N125" s="64" t="n">
        <f aca="false">IF($H125="",0,IFERROR(MATCH($H125,GradeList,0),0))</f>
        <v>6</v>
      </c>
      <c r="O125" s="64" t="n">
        <f aca="false">IF(OR($I125="",$I125="NR"),0,IFERROR(MATCH($I125,GradeList,0),0))</f>
        <v>6</v>
      </c>
      <c r="P125" s="64" t="n">
        <f aca="false">IF(AND($M125&gt;0,ISNUMBER(MATCH($F125,Lists!$A$2:$A$5,0)),ISNUMBER(MATCH($G125,Lists!$B$2:$B$7,0)),OR($H125="",$N125&gt;0),OR($I125="",$I125="NR",$O125&gt;0),IF(ISNUMBER($J125),AND($J125&gt;=0,$J125=INT($J125)),FALSE())),$J125,0)</f>
        <v>1</v>
      </c>
      <c r="Q125" s="64" t="n">
        <f aca="false">IF(AND($P125&gt;0,$O125&gt;0),$P125,0)</f>
        <v>1</v>
      </c>
      <c r="R125" s="64" t="n">
        <f aca="false">IF(AND($Q125&gt;0,$O125&gt;=AtRank),$Q125,0)</f>
        <v>1</v>
      </c>
      <c r="S125" s="64" t="n">
        <f aca="false">IF(AND($Q125&gt;0,$O125&gt;=AboveRank),$Q125,0)</f>
        <v>0</v>
      </c>
      <c r="T125" s="64" t="n">
        <f aca="false">IF($K125="Less",$P125,0)</f>
        <v>0</v>
      </c>
      <c r="U125" s="64" t="n">
        <f aca="false">IF($K125="Expected",$P125,0)</f>
        <v>1</v>
      </c>
      <c r="V125" s="64" t="n">
        <f aca="false">IF($K125="Better",$P125,0)</f>
        <v>0</v>
      </c>
      <c r="W125" s="64" t="n">
        <f aca="false">IF($K125="U – needs rule",$P125,0)</f>
        <v>0</v>
      </c>
      <c r="X125" s="64" t="n">
        <f aca="false">IF($K125="No Start (attainment only)",$P125,0)</f>
        <v>0</v>
      </c>
    </row>
    <row r="126" customFormat="false" ht="15" hidden="false" customHeight="false" outlineLevel="0" collapsed="false">
      <c r="A126" s="60" t="s">
        <v>777</v>
      </c>
      <c r="B126" s="61" t="str">
        <f aca="false">IF($M126=0,"",INDEX(Classes!$E$6:$E$420,$M126))</f>
        <v>Arabic A</v>
      </c>
      <c r="C126" s="62" t="str">
        <f aca="false">IF($M126=0,"",INDEX(Classes!$H$6:$H$420,$M126))</f>
        <v>Mr Ayman Bobo</v>
      </c>
      <c r="D126" s="61" t="str">
        <f aca="false">IF($M126=0,"",INDEX(Classes!$B$6:$B$420,$M126))</f>
        <v>Year 10</v>
      </c>
      <c r="E126" s="61" t="str">
        <f aca="false">IF($M126=0,"",INDEX(Classes!$C$6:$C$420,$M126))</f>
        <v>ah</v>
      </c>
      <c r="F126" s="63" t="s">
        <v>163</v>
      </c>
      <c r="G126" s="63" t="s">
        <v>1018</v>
      </c>
      <c r="H126" s="60" t="s">
        <v>204</v>
      </c>
      <c r="I126" s="60" t="s">
        <v>204</v>
      </c>
      <c r="J126" s="63" t="n">
        <v>1</v>
      </c>
      <c r="K126" s="61" t="str">
        <f aca="false">IF($P126=0,"",IF($F126="Baseline","— Baseline",IF($O126=0,"No result",IF($N126=0,"No Start (attainment only)",IF(OR($N126=1,$O126=1),"U – needs rule",INDEX(MxBody,MATCH($I126,MxCurr,0),MATCH($H126,MxStart,0)))))))</f>
        <v>Better</v>
      </c>
      <c r="L126" s="62" t="str">
        <f aca="false">IF(COUNTA($A126,$F126,$G126,$H126,$I126,$J126)=0,"",IF($M126=0,"✖ كود الصف غير موجود",IF(ISNA(MATCH($F126,Lists!$A$2:$A$5,0)),"✖ الفترة غير صحيحة",IF(ISNA(MATCH($G126,Lists!$B$2:$B$7,0)),"✖ المجموعة غير صحيحة",IF(NOT(OR($H126="",$N126&gt;0)),"✖ Start غير صحيح",IF(NOT(OR($I126="",$I126="NR",$O126&gt;0)),"✖ Current غير صحيح",IF(NOT(IF(ISNUMBER($J126),AND($J126&gt;=0,$J126=INT($J126)),FALSE())),"✖ العدد يجب أن يكون صحيحًا ≥ 0",IF(AND($F126="Baseline",$H126&lt;&gt;""),"⚠ Baseline: Start لا يدخل في التقدم",IF($K126="No Start (attainment only)","ℹ تحصيل فقط (بدون Start)",IF($K126="U – needs rule","ℹ حالة U تحتاج قاعدة معتمدة",IF($K126="No result","ℹ بدون نتيجة (يُستبعد من التحصيل)","OK")))))))))))</f>
        <v>OK</v>
      </c>
      <c r="M126" s="64" t="n">
        <f aca="false">IF($A126="",0,IFERROR(MATCH($A126,Classes!$A$6:$A$420,0),0))</f>
        <v>282</v>
      </c>
      <c r="N126" s="64" t="n">
        <f aca="false">IF($H126="",0,IFERROR(MATCH($H126,GradeList,0),0))</f>
        <v>9</v>
      </c>
      <c r="O126" s="64" t="n">
        <f aca="false">IF(OR($I126="",$I126="NR"),0,IFERROR(MATCH($I126,GradeList,0),0))</f>
        <v>9</v>
      </c>
      <c r="P126" s="64" t="n">
        <f aca="false">IF(AND($M126&gt;0,ISNUMBER(MATCH($F126,Lists!$A$2:$A$5,0)),ISNUMBER(MATCH($G126,Lists!$B$2:$B$7,0)),OR($H126="",$N126&gt;0),OR($I126="",$I126="NR",$O126&gt;0),IF(ISNUMBER($J126),AND($J126&gt;=0,$J126=INT($J126)),FALSE())),$J126,0)</f>
        <v>1</v>
      </c>
      <c r="Q126" s="64" t="n">
        <f aca="false">IF(AND($P126&gt;0,$O126&gt;0),$P126,0)</f>
        <v>1</v>
      </c>
      <c r="R126" s="64" t="n">
        <f aca="false">IF(AND($Q126&gt;0,$O126&gt;=AtRank),$Q126,0)</f>
        <v>1</v>
      </c>
      <c r="S126" s="64" t="n">
        <f aca="false">IF(AND($Q126&gt;0,$O126&gt;=AboveRank),$Q126,0)</f>
        <v>1</v>
      </c>
      <c r="T126" s="64" t="n">
        <f aca="false">IF($K126="Less",$P126,0)</f>
        <v>0</v>
      </c>
      <c r="U126" s="64" t="n">
        <f aca="false">IF($K126="Expected",$P126,0)</f>
        <v>0</v>
      </c>
      <c r="V126" s="64" t="n">
        <f aca="false">IF($K126="Better",$P126,0)</f>
        <v>1</v>
      </c>
      <c r="W126" s="64" t="n">
        <f aca="false">IF($K126="U – needs rule",$P126,0)</f>
        <v>0</v>
      </c>
      <c r="X126" s="64" t="n">
        <f aca="false">IF($K126="No Start (attainment only)",$P126,0)</f>
        <v>0</v>
      </c>
    </row>
    <row r="127" customFormat="false" ht="15" hidden="false" customHeight="false" outlineLevel="0" collapsed="false">
      <c r="A127" s="60" t="s">
        <v>777</v>
      </c>
      <c r="B127" s="61" t="str">
        <f aca="false">IF($M127=0,"",INDEX(Classes!$E$6:$E$420,$M127))</f>
        <v>Arabic A</v>
      </c>
      <c r="C127" s="62" t="str">
        <f aca="false">IF($M127=0,"",INDEX(Classes!$H$6:$H$420,$M127))</f>
        <v>Mr Ayman Bobo</v>
      </c>
      <c r="D127" s="61" t="str">
        <f aca="false">IF($M127=0,"",INDEX(Classes!$B$6:$B$420,$M127))</f>
        <v>Year 10</v>
      </c>
      <c r="E127" s="61" t="str">
        <f aca="false">IF($M127=0,"",INDEX(Classes!$C$6:$C$420,$M127))</f>
        <v>ah</v>
      </c>
      <c r="F127" s="63" t="s">
        <v>163</v>
      </c>
      <c r="G127" s="63" t="s">
        <v>1018</v>
      </c>
      <c r="H127" s="60" t="s">
        <v>204</v>
      </c>
      <c r="I127" s="60" t="s">
        <v>205</v>
      </c>
      <c r="J127" s="63" t="n">
        <v>1</v>
      </c>
      <c r="K127" s="61" t="str">
        <f aca="false">IF($P127=0,"",IF($F127="Baseline","— Baseline",IF($O127=0,"No result",IF($N127=0,"No Start (attainment only)",IF(OR($N127=1,$O127=1),"U – needs rule",INDEX(MxBody,MATCH($I127,MxCurr,0),MATCH($H127,MxStart,0)))))))</f>
        <v>Better</v>
      </c>
      <c r="L127" s="62" t="str">
        <f aca="false">IF(COUNTA($A127,$F127,$G127,$H127,$I127,$J127)=0,"",IF($M127=0,"✖ كود الصف غير موجود",IF(ISNA(MATCH($F127,Lists!$A$2:$A$5,0)),"✖ الفترة غير صحيحة",IF(ISNA(MATCH($G127,Lists!$B$2:$B$7,0)),"✖ المجموعة غير صحيحة",IF(NOT(OR($H127="",$N127&gt;0)),"✖ Start غير صحيح",IF(NOT(OR($I127="",$I127="NR",$O127&gt;0)),"✖ Current غير صحيح",IF(NOT(IF(ISNUMBER($J127),AND($J127&gt;=0,$J127=INT($J127)),FALSE())),"✖ العدد يجب أن يكون صحيحًا ≥ 0",IF(AND($F127="Baseline",$H127&lt;&gt;""),"⚠ Baseline: Start لا يدخل في التقدم",IF($K127="No Start (attainment only)","ℹ تحصيل فقط (بدون Start)",IF($K127="U – needs rule","ℹ حالة U تحتاج قاعدة معتمدة",IF($K127="No result","ℹ بدون نتيجة (يُستبعد من التحصيل)","OK")))))))))))</f>
        <v>OK</v>
      </c>
      <c r="M127" s="64" t="n">
        <f aca="false">IF($A127="",0,IFERROR(MATCH($A127,Classes!$A$6:$A$420,0),0))</f>
        <v>282</v>
      </c>
      <c r="N127" s="64" t="n">
        <f aca="false">IF($H127="",0,IFERROR(MATCH($H127,GradeList,0),0))</f>
        <v>9</v>
      </c>
      <c r="O127" s="64" t="n">
        <f aca="false">IF(OR($I127="",$I127="NR"),0,IFERROR(MATCH($I127,GradeList,0),0))</f>
        <v>10</v>
      </c>
      <c r="P127" s="64" t="n">
        <f aca="false">IF(AND($M127&gt;0,ISNUMBER(MATCH($F127,Lists!$A$2:$A$5,0)),ISNUMBER(MATCH($G127,Lists!$B$2:$B$7,0)),OR($H127="",$N127&gt;0),OR($I127="",$I127="NR",$O127&gt;0),IF(ISNUMBER($J127),AND($J127&gt;=0,$J127=INT($J127)),FALSE())),$J127,0)</f>
        <v>1</v>
      </c>
      <c r="Q127" s="64" t="n">
        <f aca="false">IF(AND($P127&gt;0,$O127&gt;0),$P127,0)</f>
        <v>1</v>
      </c>
      <c r="R127" s="64" t="n">
        <f aca="false">IF(AND($Q127&gt;0,$O127&gt;=AtRank),$Q127,0)</f>
        <v>1</v>
      </c>
      <c r="S127" s="64" t="n">
        <f aca="false">IF(AND($Q127&gt;0,$O127&gt;=AboveRank),$Q127,0)</f>
        <v>1</v>
      </c>
      <c r="T127" s="64" t="n">
        <f aca="false">IF($K127="Less",$P127,0)</f>
        <v>0</v>
      </c>
      <c r="U127" s="64" t="n">
        <f aca="false">IF($K127="Expected",$P127,0)</f>
        <v>0</v>
      </c>
      <c r="V127" s="64" t="n">
        <f aca="false">IF($K127="Better",$P127,0)</f>
        <v>1</v>
      </c>
      <c r="W127" s="64" t="n">
        <f aca="false">IF($K127="U – needs rule",$P127,0)</f>
        <v>0</v>
      </c>
      <c r="X127" s="64" t="n">
        <f aca="false">IF($K127="No Start (attainment only)",$P127,0)</f>
        <v>0</v>
      </c>
    </row>
    <row r="128" customFormat="false" ht="15" hidden="false" customHeight="false" outlineLevel="0" collapsed="false">
      <c r="A128" s="60" t="s">
        <v>777</v>
      </c>
      <c r="B128" s="61" t="str">
        <f aca="false">IF($M128=0,"",INDEX(Classes!$E$6:$E$420,$M128))</f>
        <v>Arabic A</v>
      </c>
      <c r="C128" s="62" t="str">
        <f aca="false">IF($M128=0,"",INDEX(Classes!$H$6:$H$420,$M128))</f>
        <v>Mr Ayman Bobo</v>
      </c>
      <c r="D128" s="61" t="str">
        <f aca="false">IF($M128=0,"",INDEX(Classes!$B$6:$B$420,$M128))</f>
        <v>Year 10</v>
      </c>
      <c r="E128" s="61" t="str">
        <f aca="false">IF($M128=0,"",INDEX(Classes!$C$6:$C$420,$M128))</f>
        <v>ah</v>
      </c>
      <c r="F128" s="63" t="s">
        <v>163</v>
      </c>
      <c r="G128" s="63" t="s">
        <v>1018</v>
      </c>
      <c r="H128" s="60" t="s">
        <v>205</v>
      </c>
      <c r="I128" s="60" t="s">
        <v>205</v>
      </c>
      <c r="J128" s="63" t="n">
        <v>1</v>
      </c>
      <c r="K128" s="61" t="str">
        <f aca="false">IF($P128=0,"",IF($F128="Baseline","— Baseline",IF($O128=0,"No result",IF($N128=0,"No Start (attainment only)",IF(OR($N128=1,$O128=1),"U – needs rule",INDEX(MxBody,MATCH($I128,MxCurr,0),MATCH($H128,MxStart,0)))))))</f>
        <v>Better</v>
      </c>
      <c r="L128" s="62" t="str">
        <f aca="false">IF(COUNTA($A128,$F128,$G128,$H128,$I128,$J128)=0,"",IF($M128=0,"✖ كود الصف غير موجود",IF(ISNA(MATCH($F128,Lists!$A$2:$A$5,0)),"✖ الفترة غير صحيحة",IF(ISNA(MATCH($G128,Lists!$B$2:$B$7,0)),"✖ المجموعة غير صحيحة",IF(NOT(OR($H128="",$N128&gt;0)),"✖ Start غير صحيح",IF(NOT(OR($I128="",$I128="NR",$O128&gt;0)),"✖ Current غير صحيح",IF(NOT(IF(ISNUMBER($J128),AND($J128&gt;=0,$J128=INT($J128)),FALSE())),"✖ العدد يجب أن يكون صحيحًا ≥ 0",IF(AND($F128="Baseline",$H128&lt;&gt;""),"⚠ Baseline: Start لا يدخل في التقدم",IF($K128="No Start (attainment only)","ℹ تحصيل فقط (بدون Start)",IF($K128="U – needs rule","ℹ حالة U تحتاج قاعدة معتمدة",IF($K128="No result","ℹ بدون نتيجة (يُستبعد من التحصيل)","OK")))))))))))</f>
        <v>OK</v>
      </c>
      <c r="M128" s="64" t="n">
        <f aca="false">IF($A128="",0,IFERROR(MATCH($A128,Classes!$A$6:$A$420,0),0))</f>
        <v>282</v>
      </c>
      <c r="N128" s="64" t="n">
        <f aca="false">IF($H128="",0,IFERROR(MATCH($H128,GradeList,0),0))</f>
        <v>10</v>
      </c>
      <c r="O128" s="64" t="n">
        <f aca="false">IF(OR($I128="",$I128="NR"),0,IFERROR(MATCH($I128,GradeList,0),0))</f>
        <v>10</v>
      </c>
      <c r="P128" s="64" t="n">
        <f aca="false">IF(AND($M128&gt;0,ISNUMBER(MATCH($F128,Lists!$A$2:$A$5,0)),ISNUMBER(MATCH($G128,Lists!$B$2:$B$7,0)),OR($H128="",$N128&gt;0),OR($I128="",$I128="NR",$O128&gt;0),IF(ISNUMBER($J128),AND($J128&gt;=0,$J128=INT($J128)),FALSE())),$J128,0)</f>
        <v>1</v>
      </c>
      <c r="Q128" s="64" t="n">
        <f aca="false">IF(AND($P128&gt;0,$O128&gt;0),$P128,0)</f>
        <v>1</v>
      </c>
      <c r="R128" s="64" t="n">
        <f aca="false">IF(AND($Q128&gt;0,$O128&gt;=AtRank),$Q128,0)</f>
        <v>1</v>
      </c>
      <c r="S128" s="64" t="n">
        <f aca="false">IF(AND($Q128&gt;0,$O128&gt;=AboveRank),$Q128,0)</f>
        <v>1</v>
      </c>
      <c r="T128" s="64" t="n">
        <f aca="false">IF($K128="Less",$P128,0)</f>
        <v>0</v>
      </c>
      <c r="U128" s="64" t="n">
        <f aca="false">IF($K128="Expected",$P128,0)</f>
        <v>0</v>
      </c>
      <c r="V128" s="64" t="n">
        <f aca="false">IF($K128="Better",$P128,0)</f>
        <v>1</v>
      </c>
      <c r="W128" s="64" t="n">
        <f aca="false">IF($K128="U – needs rule",$P128,0)</f>
        <v>0</v>
      </c>
      <c r="X128" s="64" t="n">
        <f aca="false">IF($K128="No Start (attainment only)",$P128,0)</f>
        <v>0</v>
      </c>
    </row>
    <row r="129" customFormat="false" ht="15" hidden="false" customHeight="false" outlineLevel="0" collapsed="false">
      <c r="A129" s="60" t="s">
        <v>779</v>
      </c>
      <c r="B129" s="61" t="str">
        <f aca="false">IF($M129=0,"",INDEX(Classes!$E$6:$E$420,$M129))</f>
        <v>Arabic A</v>
      </c>
      <c r="C129" s="62" t="str">
        <f aca="false">IF($M129=0,"",INDEX(Classes!$H$6:$H$420,$M129))</f>
        <v>Mr Ahmed AbdelmonemElsye</v>
      </c>
      <c r="D129" s="61" t="str">
        <f aca="false">IF($M129=0,"",INDEX(Classes!$B$6:$B$420,$M129))</f>
        <v>Year 10</v>
      </c>
      <c r="E129" s="61" t="str">
        <f aca="false">IF($M129=0,"",INDEX(Classes!$C$6:$C$420,$M129))</f>
        <v>ah</v>
      </c>
      <c r="F129" s="63" t="s">
        <v>162</v>
      </c>
      <c r="G129" s="63" t="s">
        <v>108</v>
      </c>
      <c r="H129" s="60"/>
      <c r="I129" s="60" t="s">
        <v>202</v>
      </c>
      <c r="J129" s="63" t="n">
        <v>2</v>
      </c>
      <c r="K129" s="61" t="str">
        <f aca="false">IF($P129=0,"",IF($F129="Baseline","— Baseline",IF($O129=0,"No result",IF($N129=0,"No Start (attainment only)",IF(OR($N129=1,$O129=1),"U – needs rule",INDEX(MxBody,MATCH($I129,MxCurr,0),MATCH($H129,MxStart,0)))))))</f>
        <v>— Baseline</v>
      </c>
      <c r="L129" s="62" t="str">
        <f aca="false">IF(COUNTA($A129,$F129,$G129,$H129,$I129,$J129)=0,"",IF($M129=0,"✖ كود الصف غير موجود",IF(ISNA(MATCH($F129,Lists!$A$2:$A$5,0)),"✖ الفترة غير صحيحة",IF(ISNA(MATCH($G129,Lists!$B$2:$B$7,0)),"✖ المجموعة غير صحيحة",IF(NOT(OR($H129="",$N129&gt;0)),"✖ Start غير صحيح",IF(NOT(OR($I129="",$I129="NR",$O129&gt;0)),"✖ Current غير صحيح",IF(NOT(IF(ISNUMBER($J129),AND($J129&gt;=0,$J129=INT($J129)),FALSE())),"✖ العدد يجب أن يكون صحيحًا ≥ 0",IF(AND($F129="Baseline",$H129&lt;&gt;""),"⚠ Baseline: Start لا يدخل في التقدم",IF($K129="No Start (attainment only)","ℹ تحصيل فقط (بدون Start)",IF($K129="U – needs rule","ℹ حالة U تحتاج قاعدة معتمدة",IF($K129="No result","ℹ بدون نتيجة (يُستبعد من التحصيل)","OK")))))))))))</f>
        <v>OK</v>
      </c>
      <c r="M129" s="64" t="n">
        <f aca="false">IF($A129="",0,IFERROR(MATCH($A129,Classes!$A$6:$A$420,0),0))</f>
        <v>283</v>
      </c>
      <c r="N129" s="64" t="n">
        <f aca="false">IF($H129="",0,IFERROR(MATCH($H129,GradeList,0),0))</f>
        <v>0</v>
      </c>
      <c r="O129" s="64" t="n">
        <f aca="false">IF(OR($I129="",$I129="NR"),0,IFERROR(MATCH($I129,GradeList,0),0))</f>
        <v>7</v>
      </c>
      <c r="P129" s="64" t="n">
        <f aca="false">IF(AND($M129&gt;0,ISNUMBER(MATCH($F129,Lists!$A$2:$A$5,0)),ISNUMBER(MATCH($G129,Lists!$B$2:$B$7,0)),OR($H129="",$N129&gt;0),OR($I129="",$I129="NR",$O129&gt;0),IF(ISNUMBER($J129),AND($J129&gt;=0,$J129=INT($J129)),FALSE())),$J129,0)</f>
        <v>2</v>
      </c>
      <c r="Q129" s="64" t="n">
        <f aca="false">IF(AND($P129&gt;0,$O129&gt;0),$P129,0)</f>
        <v>2</v>
      </c>
      <c r="R129" s="64" t="n">
        <f aca="false">IF(AND($Q129&gt;0,$O129&gt;=AtRank),$Q129,0)</f>
        <v>2</v>
      </c>
      <c r="S129" s="64" t="n">
        <f aca="false">IF(AND($Q129&gt;0,$O129&gt;=AboveRank),$Q129,0)</f>
        <v>2</v>
      </c>
      <c r="T129" s="64" t="n">
        <f aca="false">IF($K129="Less",$P129,0)</f>
        <v>0</v>
      </c>
      <c r="U129" s="64" t="n">
        <f aca="false">IF($K129="Expected",$P129,0)</f>
        <v>0</v>
      </c>
      <c r="V129" s="64" t="n">
        <f aca="false">IF($K129="Better",$P129,0)</f>
        <v>0</v>
      </c>
      <c r="W129" s="64" t="n">
        <f aca="false">IF($K129="U – needs rule",$P129,0)</f>
        <v>0</v>
      </c>
      <c r="X129" s="64" t="n">
        <f aca="false">IF($K129="No Start (attainment only)",$P129,0)</f>
        <v>0</v>
      </c>
    </row>
    <row r="130" customFormat="false" ht="15" hidden="false" customHeight="false" outlineLevel="0" collapsed="false">
      <c r="A130" s="60" t="s">
        <v>779</v>
      </c>
      <c r="B130" s="61" t="str">
        <f aca="false">IF($M130=0,"",INDEX(Classes!$E$6:$E$420,$M130))</f>
        <v>Arabic A</v>
      </c>
      <c r="C130" s="62" t="str">
        <f aca="false">IF($M130=0,"",INDEX(Classes!$H$6:$H$420,$M130))</f>
        <v>Mr Ahmed AbdelmonemElsye</v>
      </c>
      <c r="D130" s="61" t="str">
        <f aca="false">IF($M130=0,"",INDEX(Classes!$B$6:$B$420,$M130))</f>
        <v>Year 10</v>
      </c>
      <c r="E130" s="61" t="str">
        <f aca="false">IF($M130=0,"",INDEX(Classes!$C$6:$C$420,$M130))</f>
        <v>ah</v>
      </c>
      <c r="F130" s="63" t="s">
        <v>162</v>
      </c>
      <c r="G130" s="63" t="s">
        <v>108</v>
      </c>
      <c r="H130" s="60"/>
      <c r="I130" s="60" t="s">
        <v>203</v>
      </c>
      <c r="J130" s="63" t="n">
        <v>4</v>
      </c>
      <c r="K130" s="61" t="str">
        <f aca="false">IF($P130=0,"",IF($F130="Baseline","— Baseline",IF($O130=0,"No result",IF($N130=0,"No Start (attainment only)",IF(OR($N130=1,$O130=1),"U – needs rule",INDEX(MxBody,MATCH($I130,MxCurr,0),MATCH($H130,MxStart,0)))))))</f>
        <v>— Baseline</v>
      </c>
      <c r="L130" s="62" t="str">
        <f aca="false">IF(COUNTA($A130,$F130,$G130,$H130,$I130,$J130)=0,"",IF($M130=0,"✖ كود الصف غير موجود",IF(ISNA(MATCH($F130,Lists!$A$2:$A$5,0)),"✖ الفترة غير صحيحة",IF(ISNA(MATCH($G130,Lists!$B$2:$B$7,0)),"✖ المجموعة غير صحيحة",IF(NOT(OR($H130="",$N130&gt;0)),"✖ Start غير صحيح",IF(NOT(OR($I130="",$I130="NR",$O130&gt;0)),"✖ Current غير صحيح",IF(NOT(IF(ISNUMBER($J130),AND($J130&gt;=0,$J130=INT($J130)),FALSE())),"✖ العدد يجب أن يكون صحيحًا ≥ 0",IF(AND($F130="Baseline",$H130&lt;&gt;""),"⚠ Baseline: Start لا يدخل في التقدم",IF($K130="No Start (attainment only)","ℹ تحصيل فقط (بدون Start)",IF($K130="U – needs rule","ℹ حالة U تحتاج قاعدة معتمدة",IF($K130="No result","ℹ بدون نتيجة (يُستبعد من التحصيل)","OK")))))))))))</f>
        <v>OK</v>
      </c>
      <c r="M130" s="64" t="n">
        <f aca="false">IF($A130="",0,IFERROR(MATCH($A130,Classes!$A$6:$A$420,0),0))</f>
        <v>283</v>
      </c>
      <c r="N130" s="64" t="n">
        <f aca="false">IF($H130="",0,IFERROR(MATCH($H130,GradeList,0),0))</f>
        <v>0</v>
      </c>
      <c r="O130" s="64" t="n">
        <f aca="false">IF(OR($I130="",$I130="NR"),0,IFERROR(MATCH($I130,GradeList,0),0))</f>
        <v>8</v>
      </c>
      <c r="P130" s="64" t="n">
        <f aca="false">IF(AND($M130&gt;0,ISNUMBER(MATCH($F130,Lists!$A$2:$A$5,0)),ISNUMBER(MATCH($G130,Lists!$B$2:$B$7,0)),OR($H130="",$N130&gt;0),OR($I130="",$I130="NR",$O130&gt;0),IF(ISNUMBER($J130),AND($J130&gt;=0,$J130=INT($J130)),FALSE())),$J130,0)</f>
        <v>4</v>
      </c>
      <c r="Q130" s="64" t="n">
        <f aca="false">IF(AND($P130&gt;0,$O130&gt;0),$P130,0)</f>
        <v>4</v>
      </c>
      <c r="R130" s="64" t="n">
        <f aca="false">IF(AND($Q130&gt;0,$O130&gt;=AtRank),$Q130,0)</f>
        <v>4</v>
      </c>
      <c r="S130" s="64" t="n">
        <f aca="false">IF(AND($Q130&gt;0,$O130&gt;=AboveRank),$Q130,0)</f>
        <v>4</v>
      </c>
      <c r="T130" s="64" t="n">
        <f aca="false">IF($K130="Less",$P130,0)</f>
        <v>0</v>
      </c>
      <c r="U130" s="64" t="n">
        <f aca="false">IF($K130="Expected",$P130,0)</f>
        <v>0</v>
      </c>
      <c r="V130" s="64" t="n">
        <f aca="false">IF($K130="Better",$P130,0)</f>
        <v>0</v>
      </c>
      <c r="W130" s="64" t="n">
        <f aca="false">IF($K130="U – needs rule",$P130,0)</f>
        <v>0</v>
      </c>
      <c r="X130" s="64" t="n">
        <f aca="false">IF($K130="No Start (attainment only)",$P130,0)</f>
        <v>0</v>
      </c>
    </row>
    <row r="131" customFormat="false" ht="15" hidden="false" customHeight="false" outlineLevel="0" collapsed="false">
      <c r="A131" s="60" t="s">
        <v>779</v>
      </c>
      <c r="B131" s="61" t="str">
        <f aca="false">IF($M131=0,"",INDEX(Classes!$E$6:$E$420,$M131))</f>
        <v>Arabic A</v>
      </c>
      <c r="C131" s="62" t="str">
        <f aca="false">IF($M131=0,"",INDEX(Classes!$H$6:$H$420,$M131))</f>
        <v>Mr Ahmed AbdelmonemElsye</v>
      </c>
      <c r="D131" s="61" t="str">
        <f aca="false">IF($M131=0,"",INDEX(Classes!$B$6:$B$420,$M131))</f>
        <v>Year 10</v>
      </c>
      <c r="E131" s="61" t="str">
        <f aca="false">IF($M131=0,"",INDEX(Classes!$C$6:$C$420,$M131))</f>
        <v>ah</v>
      </c>
      <c r="F131" s="63" t="s">
        <v>162</v>
      </c>
      <c r="G131" s="63" t="s">
        <v>108</v>
      </c>
      <c r="H131" s="60"/>
      <c r="I131" s="60" t="s">
        <v>200</v>
      </c>
      <c r="J131" s="63" t="n">
        <v>5</v>
      </c>
      <c r="K131" s="61" t="str">
        <f aca="false">IF($P131=0,"",IF($F131="Baseline","— Baseline",IF($O131=0,"No result",IF($N131=0,"No Start (attainment only)",IF(OR($N131=1,$O131=1),"U – needs rule",INDEX(MxBody,MATCH($I131,MxCurr,0),MATCH($H131,MxStart,0)))))))</f>
        <v>— Baseline</v>
      </c>
      <c r="L131" s="62" t="str">
        <f aca="false">IF(COUNTA($A131,$F131,$G131,$H131,$I131,$J131)=0,"",IF($M131=0,"✖ كود الصف غير موجود",IF(ISNA(MATCH($F131,Lists!$A$2:$A$5,0)),"✖ الفترة غير صحيحة",IF(ISNA(MATCH($G131,Lists!$B$2:$B$7,0)),"✖ المجموعة غير صحيحة",IF(NOT(OR($H131="",$N131&gt;0)),"✖ Start غير صحيح",IF(NOT(OR($I131="",$I131="NR",$O131&gt;0)),"✖ Current غير صحيح",IF(NOT(IF(ISNUMBER($J131),AND($J131&gt;=0,$J131=INT($J131)),FALSE())),"✖ العدد يجب أن يكون صحيحًا ≥ 0",IF(AND($F131="Baseline",$H131&lt;&gt;""),"⚠ Baseline: Start لا يدخل في التقدم",IF($K131="No Start (attainment only)","ℹ تحصيل فقط (بدون Start)",IF($K131="U – needs rule","ℹ حالة U تحتاج قاعدة معتمدة",IF($K131="No result","ℹ بدون نتيجة (يُستبعد من التحصيل)","OK")))))))))))</f>
        <v>OK</v>
      </c>
      <c r="M131" s="64" t="n">
        <f aca="false">IF($A131="",0,IFERROR(MATCH($A131,Classes!$A$6:$A$420,0),0))</f>
        <v>283</v>
      </c>
      <c r="N131" s="64" t="n">
        <f aca="false">IF($H131="",0,IFERROR(MATCH($H131,GradeList,0),0))</f>
        <v>0</v>
      </c>
      <c r="O131" s="64" t="n">
        <f aca="false">IF(OR($I131="",$I131="NR"),0,IFERROR(MATCH($I131,GradeList,0),0))</f>
        <v>5</v>
      </c>
      <c r="P131" s="64" t="n">
        <f aca="false">IF(AND($M131&gt;0,ISNUMBER(MATCH($F131,Lists!$A$2:$A$5,0)),ISNUMBER(MATCH($G131,Lists!$B$2:$B$7,0)),OR($H131="",$N131&gt;0),OR($I131="",$I131="NR",$O131&gt;0),IF(ISNUMBER($J131),AND($J131&gt;=0,$J131=INT($J131)),FALSE())),$J131,0)</f>
        <v>5</v>
      </c>
      <c r="Q131" s="64" t="n">
        <f aca="false">IF(AND($P131&gt;0,$O131&gt;0),$P131,0)</f>
        <v>5</v>
      </c>
      <c r="R131" s="64" t="n">
        <f aca="false">IF(AND($Q131&gt;0,$O131&gt;=AtRank),$Q131,0)</f>
        <v>5</v>
      </c>
      <c r="S131" s="64" t="n">
        <f aca="false">IF(AND($Q131&gt;0,$O131&gt;=AboveRank),$Q131,0)</f>
        <v>0</v>
      </c>
      <c r="T131" s="64" t="n">
        <f aca="false">IF($K131="Less",$P131,0)</f>
        <v>0</v>
      </c>
      <c r="U131" s="64" t="n">
        <f aca="false">IF($K131="Expected",$P131,0)</f>
        <v>0</v>
      </c>
      <c r="V131" s="64" t="n">
        <f aca="false">IF($K131="Better",$P131,0)</f>
        <v>0</v>
      </c>
      <c r="W131" s="64" t="n">
        <f aca="false">IF($K131="U – needs rule",$P131,0)</f>
        <v>0</v>
      </c>
      <c r="X131" s="64" t="n">
        <f aca="false">IF($K131="No Start (attainment only)",$P131,0)</f>
        <v>0</v>
      </c>
    </row>
    <row r="132" customFormat="false" ht="15" hidden="false" customHeight="false" outlineLevel="0" collapsed="false">
      <c r="A132" s="60" t="s">
        <v>779</v>
      </c>
      <c r="B132" s="61" t="str">
        <f aca="false">IF($M132=0,"",INDEX(Classes!$E$6:$E$420,$M132))</f>
        <v>Arabic A</v>
      </c>
      <c r="C132" s="62" t="str">
        <f aca="false">IF($M132=0,"",INDEX(Classes!$H$6:$H$420,$M132))</f>
        <v>Mr Ahmed AbdelmonemElsye</v>
      </c>
      <c r="D132" s="61" t="str">
        <f aca="false">IF($M132=0,"",INDEX(Classes!$B$6:$B$420,$M132))</f>
        <v>Year 10</v>
      </c>
      <c r="E132" s="61" t="str">
        <f aca="false">IF($M132=0,"",INDEX(Classes!$C$6:$C$420,$M132))</f>
        <v>ah</v>
      </c>
      <c r="F132" s="63" t="s">
        <v>162</v>
      </c>
      <c r="G132" s="63" t="s">
        <v>108</v>
      </c>
      <c r="H132" s="60"/>
      <c r="I132" s="60" t="s">
        <v>201</v>
      </c>
      <c r="J132" s="63" t="n">
        <v>5</v>
      </c>
      <c r="K132" s="61" t="str">
        <f aca="false">IF($P132=0,"",IF($F132="Baseline","— Baseline",IF($O132=0,"No result",IF($N132=0,"No Start (attainment only)",IF(OR($N132=1,$O132=1),"U – needs rule",INDEX(MxBody,MATCH($I132,MxCurr,0),MATCH($H132,MxStart,0)))))))</f>
        <v>— Baseline</v>
      </c>
      <c r="L132" s="62" t="str">
        <f aca="false">IF(COUNTA($A132,$F132,$G132,$H132,$I132,$J132)=0,"",IF($M132=0,"✖ كود الصف غير موجود",IF(ISNA(MATCH($F132,Lists!$A$2:$A$5,0)),"✖ الفترة غير صحيحة",IF(ISNA(MATCH($G132,Lists!$B$2:$B$7,0)),"✖ المجموعة غير صحيحة",IF(NOT(OR($H132="",$N132&gt;0)),"✖ Start غير صحيح",IF(NOT(OR($I132="",$I132="NR",$O132&gt;0)),"✖ Current غير صحيح",IF(NOT(IF(ISNUMBER($J132),AND($J132&gt;=0,$J132=INT($J132)),FALSE())),"✖ العدد يجب أن يكون صحيحًا ≥ 0",IF(AND($F132="Baseline",$H132&lt;&gt;""),"⚠ Baseline: Start لا يدخل في التقدم",IF($K132="No Start (attainment only)","ℹ تحصيل فقط (بدون Start)",IF($K132="U – needs rule","ℹ حالة U تحتاج قاعدة معتمدة",IF($K132="No result","ℹ بدون نتيجة (يُستبعد من التحصيل)","OK")))))))))))</f>
        <v>OK</v>
      </c>
      <c r="M132" s="64" t="n">
        <f aca="false">IF($A132="",0,IFERROR(MATCH($A132,Classes!$A$6:$A$420,0),0))</f>
        <v>283</v>
      </c>
      <c r="N132" s="64" t="n">
        <f aca="false">IF($H132="",0,IFERROR(MATCH($H132,GradeList,0),0))</f>
        <v>0</v>
      </c>
      <c r="O132" s="64" t="n">
        <f aca="false">IF(OR($I132="",$I132="NR"),0,IFERROR(MATCH($I132,GradeList,0),0))</f>
        <v>6</v>
      </c>
      <c r="P132" s="64" t="n">
        <f aca="false">IF(AND($M132&gt;0,ISNUMBER(MATCH($F132,Lists!$A$2:$A$5,0)),ISNUMBER(MATCH($G132,Lists!$B$2:$B$7,0)),OR($H132="",$N132&gt;0),OR($I132="",$I132="NR",$O132&gt;0),IF(ISNUMBER($J132),AND($J132&gt;=0,$J132=INT($J132)),FALSE())),$J132,0)</f>
        <v>5</v>
      </c>
      <c r="Q132" s="64" t="n">
        <f aca="false">IF(AND($P132&gt;0,$O132&gt;0),$P132,0)</f>
        <v>5</v>
      </c>
      <c r="R132" s="64" t="n">
        <f aca="false">IF(AND($Q132&gt;0,$O132&gt;=AtRank),$Q132,0)</f>
        <v>5</v>
      </c>
      <c r="S132" s="64" t="n">
        <f aca="false">IF(AND($Q132&gt;0,$O132&gt;=AboveRank),$Q132,0)</f>
        <v>0</v>
      </c>
      <c r="T132" s="64" t="n">
        <f aca="false">IF($K132="Less",$P132,0)</f>
        <v>0</v>
      </c>
      <c r="U132" s="64" t="n">
        <f aca="false">IF($K132="Expected",$P132,0)</f>
        <v>0</v>
      </c>
      <c r="V132" s="64" t="n">
        <f aca="false">IF($K132="Better",$P132,0)</f>
        <v>0</v>
      </c>
      <c r="W132" s="64" t="n">
        <f aca="false">IF($K132="U – needs rule",$P132,0)</f>
        <v>0</v>
      </c>
      <c r="X132" s="64" t="n">
        <f aca="false">IF($K132="No Start (attainment only)",$P132,0)</f>
        <v>0</v>
      </c>
    </row>
    <row r="133" customFormat="false" ht="15" hidden="false" customHeight="false" outlineLevel="0" collapsed="false">
      <c r="A133" s="60" t="s">
        <v>779</v>
      </c>
      <c r="B133" s="61" t="str">
        <f aca="false">IF($M133=0,"",INDEX(Classes!$E$6:$E$420,$M133))</f>
        <v>Arabic A</v>
      </c>
      <c r="C133" s="62" t="str">
        <f aca="false">IF($M133=0,"",INDEX(Classes!$H$6:$H$420,$M133))</f>
        <v>Mr Ahmed AbdelmonemElsye</v>
      </c>
      <c r="D133" s="61" t="str">
        <f aca="false">IF($M133=0,"",INDEX(Classes!$B$6:$B$420,$M133))</f>
        <v>Year 10</v>
      </c>
      <c r="E133" s="61" t="str">
        <f aca="false">IF($M133=0,"",INDEX(Classes!$C$6:$C$420,$M133))</f>
        <v>ah</v>
      </c>
      <c r="F133" s="63" t="s">
        <v>162</v>
      </c>
      <c r="G133" s="63" t="s">
        <v>108</v>
      </c>
      <c r="H133" s="60"/>
      <c r="I133" s="60" t="s">
        <v>198</v>
      </c>
      <c r="J133" s="63" t="n">
        <v>1</v>
      </c>
      <c r="K133" s="61" t="str">
        <f aca="false">IF($P133=0,"",IF($F133="Baseline","— Baseline",IF($O133=0,"No result",IF($N133=0,"No Start (attainment only)",IF(OR($N133=1,$O133=1),"U – needs rule",INDEX(MxBody,MATCH($I133,MxCurr,0),MATCH($H133,MxStart,0)))))))</f>
        <v>— Baseline</v>
      </c>
      <c r="L133" s="62" t="str">
        <f aca="false">IF(COUNTA($A133,$F133,$G133,$H133,$I133,$J133)=0,"",IF($M133=0,"✖ كود الصف غير موجود",IF(ISNA(MATCH($F133,Lists!$A$2:$A$5,0)),"✖ الفترة غير صحيحة",IF(ISNA(MATCH($G133,Lists!$B$2:$B$7,0)),"✖ المجموعة غير صحيحة",IF(NOT(OR($H133="",$N133&gt;0)),"✖ Start غير صحيح",IF(NOT(OR($I133="",$I133="NR",$O133&gt;0)),"✖ Current غير صحيح",IF(NOT(IF(ISNUMBER($J133),AND($J133&gt;=0,$J133=INT($J133)),FALSE())),"✖ العدد يجب أن يكون صحيحًا ≥ 0",IF(AND($F133="Baseline",$H133&lt;&gt;""),"⚠ Baseline: Start لا يدخل في التقدم",IF($K133="No Start (attainment only)","ℹ تحصيل فقط (بدون Start)",IF($K133="U – needs rule","ℹ حالة U تحتاج قاعدة معتمدة",IF($K133="No result","ℹ بدون نتيجة (يُستبعد من التحصيل)","OK")))))))))))</f>
        <v>OK</v>
      </c>
      <c r="M133" s="64" t="n">
        <f aca="false">IF($A133="",0,IFERROR(MATCH($A133,Classes!$A$6:$A$420,0),0))</f>
        <v>283</v>
      </c>
      <c r="N133" s="64" t="n">
        <f aca="false">IF($H133="",0,IFERROR(MATCH($H133,GradeList,0),0))</f>
        <v>0</v>
      </c>
      <c r="O133" s="64" t="n">
        <f aca="false">IF(OR($I133="",$I133="NR"),0,IFERROR(MATCH($I133,GradeList,0),0))</f>
        <v>3</v>
      </c>
      <c r="P133" s="64" t="n">
        <f aca="false">IF(AND($M133&gt;0,ISNUMBER(MATCH($F133,Lists!$A$2:$A$5,0)),ISNUMBER(MATCH($G133,Lists!$B$2:$B$7,0)),OR($H133="",$N133&gt;0),OR($I133="",$I133="NR",$O133&gt;0),IF(ISNUMBER($J133),AND($J133&gt;=0,$J133=INT($J133)),FALSE())),$J133,0)</f>
        <v>1</v>
      </c>
      <c r="Q133" s="64" t="n">
        <f aca="false">IF(AND($P133&gt;0,$O133&gt;0),$P133,0)</f>
        <v>1</v>
      </c>
      <c r="R133" s="64" t="n">
        <f aca="false">IF(AND($Q133&gt;0,$O133&gt;=AtRank),$Q133,0)</f>
        <v>0</v>
      </c>
      <c r="S133" s="64" t="n">
        <f aca="false">IF(AND($Q133&gt;0,$O133&gt;=AboveRank),$Q133,0)</f>
        <v>0</v>
      </c>
      <c r="T133" s="64" t="n">
        <f aca="false">IF($K133="Less",$P133,0)</f>
        <v>0</v>
      </c>
      <c r="U133" s="64" t="n">
        <f aca="false">IF($K133="Expected",$P133,0)</f>
        <v>0</v>
      </c>
      <c r="V133" s="64" t="n">
        <f aca="false">IF($K133="Better",$P133,0)</f>
        <v>0</v>
      </c>
      <c r="W133" s="64" t="n">
        <f aca="false">IF($K133="U – needs rule",$P133,0)</f>
        <v>0</v>
      </c>
      <c r="X133" s="64" t="n">
        <f aca="false">IF($K133="No Start (attainment only)",$P133,0)</f>
        <v>0</v>
      </c>
    </row>
    <row r="134" customFormat="false" ht="15" hidden="false" customHeight="false" outlineLevel="0" collapsed="false">
      <c r="A134" s="60" t="s">
        <v>779</v>
      </c>
      <c r="B134" s="61" t="str">
        <f aca="false">IF($M134=0,"",INDEX(Classes!$E$6:$E$420,$M134))</f>
        <v>Arabic A</v>
      </c>
      <c r="C134" s="62" t="str">
        <f aca="false">IF($M134=0,"",INDEX(Classes!$H$6:$H$420,$M134))</f>
        <v>Mr Ahmed AbdelmonemElsye</v>
      </c>
      <c r="D134" s="61" t="str">
        <f aca="false">IF($M134=0,"",INDEX(Classes!$B$6:$B$420,$M134))</f>
        <v>Year 10</v>
      </c>
      <c r="E134" s="61" t="str">
        <f aca="false">IF($M134=0,"",INDEX(Classes!$C$6:$C$420,$M134))</f>
        <v>ah</v>
      </c>
      <c r="F134" s="63" t="s">
        <v>162</v>
      </c>
      <c r="G134" s="63" t="s">
        <v>108</v>
      </c>
      <c r="H134" s="60"/>
      <c r="I134" s="60" t="s">
        <v>204</v>
      </c>
      <c r="J134" s="63" t="n">
        <v>2</v>
      </c>
      <c r="K134" s="61" t="str">
        <f aca="false">IF($P134=0,"",IF($F134="Baseline","— Baseline",IF($O134=0,"No result",IF($N134=0,"No Start (attainment only)",IF(OR($N134=1,$O134=1),"U – needs rule",INDEX(MxBody,MATCH($I134,MxCurr,0),MATCH($H134,MxStart,0)))))))</f>
        <v>— Baseline</v>
      </c>
      <c r="L134" s="62" t="str">
        <f aca="false">IF(COUNTA($A134,$F134,$G134,$H134,$I134,$J134)=0,"",IF($M134=0,"✖ كود الصف غير موجود",IF(ISNA(MATCH($F134,Lists!$A$2:$A$5,0)),"✖ الفترة غير صحيحة",IF(ISNA(MATCH($G134,Lists!$B$2:$B$7,0)),"✖ المجموعة غير صحيحة",IF(NOT(OR($H134="",$N134&gt;0)),"✖ Start غير صحيح",IF(NOT(OR($I134="",$I134="NR",$O134&gt;0)),"✖ Current غير صحيح",IF(NOT(IF(ISNUMBER($J134),AND($J134&gt;=0,$J134=INT($J134)),FALSE())),"✖ العدد يجب أن يكون صحيحًا ≥ 0",IF(AND($F134="Baseline",$H134&lt;&gt;""),"⚠ Baseline: Start لا يدخل في التقدم",IF($K134="No Start (attainment only)","ℹ تحصيل فقط (بدون Start)",IF($K134="U – needs rule","ℹ حالة U تحتاج قاعدة معتمدة",IF($K134="No result","ℹ بدون نتيجة (يُستبعد من التحصيل)","OK")))))))))))</f>
        <v>OK</v>
      </c>
      <c r="M134" s="64" t="n">
        <f aca="false">IF($A134="",0,IFERROR(MATCH($A134,Classes!$A$6:$A$420,0),0))</f>
        <v>283</v>
      </c>
      <c r="N134" s="64" t="n">
        <f aca="false">IF($H134="",0,IFERROR(MATCH($H134,GradeList,0),0))</f>
        <v>0</v>
      </c>
      <c r="O134" s="64" t="n">
        <f aca="false">IF(OR($I134="",$I134="NR"),0,IFERROR(MATCH($I134,GradeList,0),0))</f>
        <v>9</v>
      </c>
      <c r="P134" s="64" t="n">
        <f aca="false">IF(AND($M134&gt;0,ISNUMBER(MATCH($F134,Lists!$A$2:$A$5,0)),ISNUMBER(MATCH($G134,Lists!$B$2:$B$7,0)),OR($H134="",$N134&gt;0),OR($I134="",$I134="NR",$O134&gt;0),IF(ISNUMBER($J134),AND($J134&gt;=0,$J134=INT($J134)),FALSE())),$J134,0)</f>
        <v>2</v>
      </c>
      <c r="Q134" s="64" t="n">
        <f aca="false">IF(AND($P134&gt;0,$O134&gt;0),$P134,0)</f>
        <v>2</v>
      </c>
      <c r="R134" s="64" t="n">
        <f aca="false">IF(AND($Q134&gt;0,$O134&gt;=AtRank),$Q134,0)</f>
        <v>2</v>
      </c>
      <c r="S134" s="64" t="n">
        <f aca="false">IF(AND($Q134&gt;0,$O134&gt;=AboveRank),$Q134,0)</f>
        <v>2</v>
      </c>
      <c r="T134" s="64" t="n">
        <f aca="false">IF($K134="Less",$P134,0)</f>
        <v>0</v>
      </c>
      <c r="U134" s="64" t="n">
        <f aca="false">IF($K134="Expected",$P134,0)</f>
        <v>0</v>
      </c>
      <c r="V134" s="64" t="n">
        <f aca="false">IF($K134="Better",$P134,0)</f>
        <v>0</v>
      </c>
      <c r="W134" s="64" t="n">
        <f aca="false">IF($K134="U – needs rule",$P134,0)</f>
        <v>0</v>
      </c>
      <c r="X134" s="64" t="n">
        <f aca="false">IF($K134="No Start (attainment only)",$P134,0)</f>
        <v>0</v>
      </c>
    </row>
    <row r="135" customFormat="false" ht="15" hidden="false" customHeight="false" outlineLevel="0" collapsed="false">
      <c r="A135" s="60" t="s">
        <v>779</v>
      </c>
      <c r="B135" s="61" t="str">
        <f aca="false">IF($M135=0,"",INDEX(Classes!$E$6:$E$420,$M135))</f>
        <v>Arabic A</v>
      </c>
      <c r="C135" s="62" t="str">
        <f aca="false">IF($M135=0,"",INDEX(Classes!$H$6:$H$420,$M135))</f>
        <v>Mr Ahmed AbdelmonemElsye</v>
      </c>
      <c r="D135" s="61" t="str">
        <f aca="false">IF($M135=0,"",INDEX(Classes!$B$6:$B$420,$M135))</f>
        <v>Year 10</v>
      </c>
      <c r="E135" s="61" t="str">
        <f aca="false">IF($M135=0,"",INDEX(Classes!$C$6:$C$420,$M135))</f>
        <v>ah</v>
      </c>
      <c r="F135" s="63" t="s">
        <v>162</v>
      </c>
      <c r="G135" s="63" t="s">
        <v>108</v>
      </c>
      <c r="H135" s="60"/>
      <c r="I135" s="60" t="s">
        <v>199</v>
      </c>
      <c r="J135" s="63" t="n">
        <v>3</v>
      </c>
      <c r="K135" s="61" t="str">
        <f aca="false">IF($P135=0,"",IF($F135="Baseline","— Baseline",IF($O135=0,"No result",IF($N135=0,"No Start (attainment only)",IF(OR($N135=1,$O135=1),"U – needs rule",INDEX(MxBody,MATCH($I135,MxCurr,0),MATCH($H135,MxStart,0)))))))</f>
        <v>— Baseline</v>
      </c>
      <c r="L135" s="62" t="str">
        <f aca="false">IF(COUNTA($A135,$F135,$G135,$H135,$I135,$J135)=0,"",IF($M135=0,"✖ كود الصف غير موجود",IF(ISNA(MATCH($F135,Lists!$A$2:$A$5,0)),"✖ الفترة غير صحيحة",IF(ISNA(MATCH($G135,Lists!$B$2:$B$7,0)),"✖ المجموعة غير صحيحة",IF(NOT(OR($H135="",$N135&gt;0)),"✖ Start غير صحيح",IF(NOT(OR($I135="",$I135="NR",$O135&gt;0)),"✖ Current غير صحيح",IF(NOT(IF(ISNUMBER($J135),AND($J135&gt;=0,$J135=INT($J135)),FALSE())),"✖ العدد يجب أن يكون صحيحًا ≥ 0",IF(AND($F135="Baseline",$H135&lt;&gt;""),"⚠ Baseline: Start لا يدخل في التقدم",IF($K135="No Start (attainment only)","ℹ تحصيل فقط (بدون Start)",IF($K135="U – needs rule","ℹ حالة U تحتاج قاعدة معتمدة",IF($K135="No result","ℹ بدون نتيجة (يُستبعد من التحصيل)","OK")))))))))))</f>
        <v>OK</v>
      </c>
      <c r="M135" s="64" t="n">
        <f aca="false">IF($A135="",0,IFERROR(MATCH($A135,Classes!$A$6:$A$420,0),0))</f>
        <v>283</v>
      </c>
      <c r="N135" s="64" t="n">
        <f aca="false">IF($H135="",0,IFERROR(MATCH($H135,GradeList,0),0))</f>
        <v>0</v>
      </c>
      <c r="O135" s="64" t="n">
        <f aca="false">IF(OR($I135="",$I135="NR"),0,IFERROR(MATCH($I135,GradeList,0),0))</f>
        <v>4</v>
      </c>
      <c r="P135" s="64" t="n">
        <f aca="false">IF(AND($M135&gt;0,ISNUMBER(MATCH($F135,Lists!$A$2:$A$5,0)),ISNUMBER(MATCH($G135,Lists!$B$2:$B$7,0)),OR($H135="",$N135&gt;0),OR($I135="",$I135="NR",$O135&gt;0),IF(ISNUMBER($J135),AND($J135&gt;=0,$J135=INT($J135)),FALSE())),$J135,0)</f>
        <v>3</v>
      </c>
      <c r="Q135" s="64" t="n">
        <f aca="false">IF(AND($P135&gt;0,$O135&gt;0),$P135,0)</f>
        <v>3</v>
      </c>
      <c r="R135" s="64" t="n">
        <f aca="false">IF(AND($Q135&gt;0,$O135&gt;=AtRank),$Q135,0)</f>
        <v>0</v>
      </c>
      <c r="S135" s="64" t="n">
        <f aca="false">IF(AND($Q135&gt;0,$O135&gt;=AboveRank),$Q135,0)</f>
        <v>0</v>
      </c>
      <c r="T135" s="64" t="n">
        <f aca="false">IF($K135="Less",$P135,0)</f>
        <v>0</v>
      </c>
      <c r="U135" s="64" t="n">
        <f aca="false">IF($K135="Expected",$P135,0)</f>
        <v>0</v>
      </c>
      <c r="V135" s="64" t="n">
        <f aca="false">IF($K135="Better",$P135,0)</f>
        <v>0</v>
      </c>
      <c r="W135" s="64" t="n">
        <f aca="false">IF($K135="U – needs rule",$P135,0)</f>
        <v>0</v>
      </c>
      <c r="X135" s="64" t="n">
        <f aca="false">IF($K135="No Start (attainment only)",$P135,0)</f>
        <v>0</v>
      </c>
    </row>
    <row r="136" customFormat="false" ht="15" hidden="false" customHeight="false" outlineLevel="0" collapsed="false">
      <c r="A136" s="60" t="s">
        <v>779</v>
      </c>
      <c r="B136" s="61" t="str">
        <f aca="false">IF($M136=0,"",INDEX(Classes!$E$6:$E$420,$M136))</f>
        <v>Arabic A</v>
      </c>
      <c r="C136" s="62" t="str">
        <f aca="false">IF($M136=0,"",INDEX(Classes!$H$6:$H$420,$M136))</f>
        <v>Mr Ahmed AbdelmonemElsye</v>
      </c>
      <c r="D136" s="61" t="str">
        <f aca="false">IF($M136=0,"",INDEX(Classes!$B$6:$B$420,$M136))</f>
        <v>Year 10</v>
      </c>
      <c r="E136" s="61" t="str">
        <f aca="false">IF($M136=0,"",INDEX(Classes!$C$6:$C$420,$M136))</f>
        <v>ah</v>
      </c>
      <c r="F136" s="63" t="s">
        <v>162</v>
      </c>
      <c r="G136" s="63" t="s">
        <v>1015</v>
      </c>
      <c r="H136" s="60"/>
      <c r="I136" s="60" t="s">
        <v>202</v>
      </c>
      <c r="J136" s="63" t="n">
        <v>1</v>
      </c>
      <c r="K136" s="61" t="str">
        <f aca="false">IF($P136=0,"",IF($F136="Baseline","— Baseline",IF($O136=0,"No result",IF($N136=0,"No Start (attainment only)",IF(OR($N136=1,$O136=1),"U – needs rule",INDEX(MxBody,MATCH($I136,MxCurr,0),MATCH($H136,MxStart,0)))))))</f>
        <v>— Baseline</v>
      </c>
      <c r="L136" s="62" t="str">
        <f aca="false">IF(COUNTA($A136,$F136,$G136,$H136,$I136,$J136)=0,"",IF($M136=0,"✖ كود الصف غير موجود",IF(ISNA(MATCH($F136,Lists!$A$2:$A$5,0)),"✖ الفترة غير صحيحة",IF(ISNA(MATCH($G136,Lists!$B$2:$B$7,0)),"✖ المجموعة غير صحيحة",IF(NOT(OR($H136="",$N136&gt;0)),"✖ Start غير صحيح",IF(NOT(OR($I136="",$I136="NR",$O136&gt;0)),"✖ Current غير صحيح",IF(NOT(IF(ISNUMBER($J136),AND($J136&gt;=0,$J136=INT($J136)),FALSE())),"✖ العدد يجب أن يكون صحيحًا ≥ 0",IF(AND($F136="Baseline",$H136&lt;&gt;""),"⚠ Baseline: Start لا يدخل في التقدم",IF($K136="No Start (attainment only)","ℹ تحصيل فقط (بدون Start)",IF($K136="U – needs rule","ℹ حالة U تحتاج قاعدة معتمدة",IF($K136="No result","ℹ بدون نتيجة (يُستبعد من التحصيل)","OK")))))))))))</f>
        <v>OK</v>
      </c>
      <c r="M136" s="64" t="n">
        <f aca="false">IF($A136="",0,IFERROR(MATCH($A136,Classes!$A$6:$A$420,0),0))</f>
        <v>283</v>
      </c>
      <c r="N136" s="64" t="n">
        <f aca="false">IF($H136="",0,IFERROR(MATCH($H136,GradeList,0),0))</f>
        <v>0</v>
      </c>
      <c r="O136" s="64" t="n">
        <f aca="false">IF(OR($I136="",$I136="NR"),0,IFERROR(MATCH($I136,GradeList,0),0))</f>
        <v>7</v>
      </c>
      <c r="P136" s="64" t="n">
        <f aca="false">IF(AND($M136&gt;0,ISNUMBER(MATCH($F136,Lists!$A$2:$A$5,0)),ISNUMBER(MATCH($G136,Lists!$B$2:$B$7,0)),OR($H136="",$N136&gt;0),OR($I136="",$I136="NR",$O136&gt;0),IF(ISNUMBER($J136),AND($J136&gt;=0,$J136=INT($J136)),FALSE())),$J136,0)</f>
        <v>1</v>
      </c>
      <c r="Q136" s="64" t="n">
        <f aca="false">IF(AND($P136&gt;0,$O136&gt;0),$P136,0)</f>
        <v>1</v>
      </c>
      <c r="R136" s="64" t="n">
        <f aca="false">IF(AND($Q136&gt;0,$O136&gt;=AtRank),$Q136,0)</f>
        <v>1</v>
      </c>
      <c r="S136" s="64" t="n">
        <f aca="false">IF(AND($Q136&gt;0,$O136&gt;=AboveRank),$Q136,0)</f>
        <v>1</v>
      </c>
      <c r="T136" s="64" t="n">
        <f aca="false">IF($K136="Less",$P136,0)</f>
        <v>0</v>
      </c>
      <c r="U136" s="64" t="n">
        <f aca="false">IF($K136="Expected",$P136,0)</f>
        <v>0</v>
      </c>
      <c r="V136" s="64" t="n">
        <f aca="false">IF($K136="Better",$P136,0)</f>
        <v>0</v>
      </c>
      <c r="W136" s="64" t="n">
        <f aca="false">IF($K136="U – needs rule",$P136,0)</f>
        <v>0</v>
      </c>
      <c r="X136" s="64" t="n">
        <f aca="false">IF($K136="No Start (attainment only)",$P136,0)</f>
        <v>0</v>
      </c>
    </row>
    <row r="137" customFormat="false" ht="15" hidden="false" customHeight="false" outlineLevel="0" collapsed="false">
      <c r="A137" s="60" t="s">
        <v>779</v>
      </c>
      <c r="B137" s="61" t="str">
        <f aca="false">IF($M137=0,"",INDEX(Classes!$E$6:$E$420,$M137))</f>
        <v>Arabic A</v>
      </c>
      <c r="C137" s="62" t="str">
        <f aca="false">IF($M137=0,"",INDEX(Classes!$H$6:$H$420,$M137))</f>
        <v>Mr Ahmed AbdelmonemElsye</v>
      </c>
      <c r="D137" s="61" t="str">
        <f aca="false">IF($M137=0,"",INDEX(Classes!$B$6:$B$420,$M137))</f>
        <v>Year 10</v>
      </c>
      <c r="E137" s="61" t="str">
        <f aca="false">IF($M137=0,"",INDEX(Classes!$C$6:$C$420,$M137))</f>
        <v>ah</v>
      </c>
      <c r="F137" s="63" t="s">
        <v>162</v>
      </c>
      <c r="G137" s="63" t="s">
        <v>1015</v>
      </c>
      <c r="H137" s="60"/>
      <c r="I137" s="60" t="s">
        <v>203</v>
      </c>
      <c r="J137" s="63" t="n">
        <v>2</v>
      </c>
      <c r="K137" s="61" t="str">
        <f aca="false">IF($P137=0,"",IF($F137="Baseline","— Baseline",IF($O137=0,"No result",IF($N137=0,"No Start (attainment only)",IF(OR($N137=1,$O137=1),"U – needs rule",INDEX(MxBody,MATCH($I137,MxCurr,0),MATCH($H137,MxStart,0)))))))</f>
        <v>— Baseline</v>
      </c>
      <c r="L137" s="62" t="str">
        <f aca="false">IF(COUNTA($A137,$F137,$G137,$H137,$I137,$J137)=0,"",IF($M137=0,"✖ كود الصف غير موجود",IF(ISNA(MATCH($F137,Lists!$A$2:$A$5,0)),"✖ الفترة غير صحيحة",IF(ISNA(MATCH($G137,Lists!$B$2:$B$7,0)),"✖ المجموعة غير صحيحة",IF(NOT(OR($H137="",$N137&gt;0)),"✖ Start غير صحيح",IF(NOT(OR($I137="",$I137="NR",$O137&gt;0)),"✖ Current غير صحيح",IF(NOT(IF(ISNUMBER($J137),AND($J137&gt;=0,$J137=INT($J137)),FALSE())),"✖ العدد يجب أن يكون صحيحًا ≥ 0",IF(AND($F137="Baseline",$H137&lt;&gt;""),"⚠ Baseline: Start لا يدخل في التقدم",IF($K137="No Start (attainment only)","ℹ تحصيل فقط (بدون Start)",IF($K137="U – needs rule","ℹ حالة U تحتاج قاعدة معتمدة",IF($K137="No result","ℹ بدون نتيجة (يُستبعد من التحصيل)","OK")))))))))))</f>
        <v>OK</v>
      </c>
      <c r="M137" s="64" t="n">
        <f aca="false">IF($A137="",0,IFERROR(MATCH($A137,Classes!$A$6:$A$420,0),0))</f>
        <v>283</v>
      </c>
      <c r="N137" s="64" t="n">
        <f aca="false">IF($H137="",0,IFERROR(MATCH($H137,GradeList,0),0))</f>
        <v>0</v>
      </c>
      <c r="O137" s="64" t="n">
        <f aca="false">IF(OR($I137="",$I137="NR"),0,IFERROR(MATCH($I137,GradeList,0),0))</f>
        <v>8</v>
      </c>
      <c r="P137" s="64" t="n">
        <f aca="false">IF(AND($M137&gt;0,ISNUMBER(MATCH($F137,Lists!$A$2:$A$5,0)),ISNUMBER(MATCH($G137,Lists!$B$2:$B$7,0)),OR($H137="",$N137&gt;0),OR($I137="",$I137="NR",$O137&gt;0),IF(ISNUMBER($J137),AND($J137&gt;=0,$J137=INT($J137)),FALSE())),$J137,0)</f>
        <v>2</v>
      </c>
      <c r="Q137" s="64" t="n">
        <f aca="false">IF(AND($P137&gt;0,$O137&gt;0),$P137,0)</f>
        <v>2</v>
      </c>
      <c r="R137" s="64" t="n">
        <f aca="false">IF(AND($Q137&gt;0,$O137&gt;=AtRank),$Q137,0)</f>
        <v>2</v>
      </c>
      <c r="S137" s="64" t="n">
        <f aca="false">IF(AND($Q137&gt;0,$O137&gt;=AboveRank),$Q137,0)</f>
        <v>2</v>
      </c>
      <c r="T137" s="64" t="n">
        <f aca="false">IF($K137="Less",$P137,0)</f>
        <v>0</v>
      </c>
      <c r="U137" s="64" t="n">
        <f aca="false">IF($K137="Expected",$P137,0)</f>
        <v>0</v>
      </c>
      <c r="V137" s="64" t="n">
        <f aca="false">IF($K137="Better",$P137,0)</f>
        <v>0</v>
      </c>
      <c r="W137" s="64" t="n">
        <f aca="false">IF($K137="U – needs rule",$P137,0)</f>
        <v>0</v>
      </c>
      <c r="X137" s="64" t="n">
        <f aca="false">IF($K137="No Start (attainment only)",$P137,0)</f>
        <v>0</v>
      </c>
    </row>
    <row r="138" customFormat="false" ht="15" hidden="false" customHeight="false" outlineLevel="0" collapsed="false">
      <c r="A138" s="60" t="s">
        <v>779</v>
      </c>
      <c r="B138" s="61" t="str">
        <f aca="false">IF($M138=0,"",INDEX(Classes!$E$6:$E$420,$M138))</f>
        <v>Arabic A</v>
      </c>
      <c r="C138" s="62" t="str">
        <f aca="false">IF($M138=0,"",INDEX(Classes!$H$6:$H$420,$M138))</f>
        <v>Mr Ahmed AbdelmonemElsye</v>
      </c>
      <c r="D138" s="61" t="str">
        <f aca="false">IF($M138=0,"",INDEX(Classes!$B$6:$B$420,$M138))</f>
        <v>Year 10</v>
      </c>
      <c r="E138" s="61" t="str">
        <f aca="false">IF($M138=0,"",INDEX(Classes!$C$6:$C$420,$M138))</f>
        <v>ah</v>
      </c>
      <c r="F138" s="63" t="s">
        <v>162</v>
      </c>
      <c r="G138" s="63" t="s">
        <v>1015</v>
      </c>
      <c r="H138" s="60"/>
      <c r="I138" s="60" t="s">
        <v>200</v>
      </c>
      <c r="J138" s="63" t="n">
        <v>2</v>
      </c>
      <c r="K138" s="61" t="str">
        <f aca="false">IF($P138=0,"",IF($F138="Baseline","— Baseline",IF($O138=0,"No result",IF($N138=0,"No Start (attainment only)",IF(OR($N138=1,$O138=1),"U – needs rule",INDEX(MxBody,MATCH($I138,MxCurr,0),MATCH($H138,MxStart,0)))))))</f>
        <v>— Baseline</v>
      </c>
      <c r="L138" s="62" t="str">
        <f aca="false">IF(COUNTA($A138,$F138,$G138,$H138,$I138,$J138)=0,"",IF($M138=0,"✖ كود الصف غير موجود",IF(ISNA(MATCH($F138,Lists!$A$2:$A$5,0)),"✖ الفترة غير صحيحة",IF(ISNA(MATCH($G138,Lists!$B$2:$B$7,0)),"✖ المجموعة غير صحيحة",IF(NOT(OR($H138="",$N138&gt;0)),"✖ Start غير صحيح",IF(NOT(OR($I138="",$I138="NR",$O138&gt;0)),"✖ Current غير صحيح",IF(NOT(IF(ISNUMBER($J138),AND($J138&gt;=0,$J138=INT($J138)),FALSE())),"✖ العدد يجب أن يكون صحيحًا ≥ 0",IF(AND($F138="Baseline",$H138&lt;&gt;""),"⚠ Baseline: Start لا يدخل في التقدم",IF($K138="No Start (attainment only)","ℹ تحصيل فقط (بدون Start)",IF($K138="U – needs rule","ℹ حالة U تحتاج قاعدة معتمدة",IF($K138="No result","ℹ بدون نتيجة (يُستبعد من التحصيل)","OK")))))))))))</f>
        <v>OK</v>
      </c>
      <c r="M138" s="64" t="n">
        <f aca="false">IF($A138="",0,IFERROR(MATCH($A138,Classes!$A$6:$A$420,0),0))</f>
        <v>283</v>
      </c>
      <c r="N138" s="64" t="n">
        <f aca="false">IF($H138="",0,IFERROR(MATCH($H138,GradeList,0),0))</f>
        <v>0</v>
      </c>
      <c r="O138" s="64" t="n">
        <f aca="false">IF(OR($I138="",$I138="NR"),0,IFERROR(MATCH($I138,GradeList,0),0))</f>
        <v>5</v>
      </c>
      <c r="P138" s="64" t="n">
        <f aca="false">IF(AND($M138&gt;0,ISNUMBER(MATCH($F138,Lists!$A$2:$A$5,0)),ISNUMBER(MATCH($G138,Lists!$B$2:$B$7,0)),OR($H138="",$N138&gt;0),OR($I138="",$I138="NR",$O138&gt;0),IF(ISNUMBER($J138),AND($J138&gt;=0,$J138=INT($J138)),FALSE())),$J138,0)</f>
        <v>2</v>
      </c>
      <c r="Q138" s="64" t="n">
        <f aca="false">IF(AND($P138&gt;0,$O138&gt;0),$P138,0)</f>
        <v>2</v>
      </c>
      <c r="R138" s="64" t="n">
        <f aca="false">IF(AND($Q138&gt;0,$O138&gt;=AtRank),$Q138,0)</f>
        <v>2</v>
      </c>
      <c r="S138" s="64" t="n">
        <f aca="false">IF(AND($Q138&gt;0,$O138&gt;=AboveRank),$Q138,0)</f>
        <v>0</v>
      </c>
      <c r="T138" s="64" t="n">
        <f aca="false">IF($K138="Less",$P138,0)</f>
        <v>0</v>
      </c>
      <c r="U138" s="64" t="n">
        <f aca="false">IF($K138="Expected",$P138,0)</f>
        <v>0</v>
      </c>
      <c r="V138" s="64" t="n">
        <f aca="false">IF($K138="Better",$P138,0)</f>
        <v>0</v>
      </c>
      <c r="W138" s="64" t="n">
        <f aca="false">IF($K138="U – needs rule",$P138,0)</f>
        <v>0</v>
      </c>
      <c r="X138" s="64" t="n">
        <f aca="false">IF($K138="No Start (attainment only)",$P138,0)</f>
        <v>0</v>
      </c>
    </row>
    <row r="139" customFormat="false" ht="15" hidden="false" customHeight="false" outlineLevel="0" collapsed="false">
      <c r="A139" s="60" t="s">
        <v>779</v>
      </c>
      <c r="B139" s="61" t="str">
        <f aca="false">IF($M139=0,"",INDEX(Classes!$E$6:$E$420,$M139))</f>
        <v>Arabic A</v>
      </c>
      <c r="C139" s="62" t="str">
        <f aca="false">IF($M139=0,"",INDEX(Classes!$H$6:$H$420,$M139))</f>
        <v>Mr Ahmed AbdelmonemElsye</v>
      </c>
      <c r="D139" s="61" t="str">
        <f aca="false">IF($M139=0,"",INDEX(Classes!$B$6:$B$420,$M139))</f>
        <v>Year 10</v>
      </c>
      <c r="E139" s="61" t="str">
        <f aca="false">IF($M139=0,"",INDEX(Classes!$C$6:$C$420,$M139))</f>
        <v>ah</v>
      </c>
      <c r="F139" s="63" t="s">
        <v>162</v>
      </c>
      <c r="G139" s="63" t="s">
        <v>1015</v>
      </c>
      <c r="H139" s="60"/>
      <c r="I139" s="60" t="s">
        <v>201</v>
      </c>
      <c r="J139" s="63" t="n">
        <v>1</v>
      </c>
      <c r="K139" s="61" t="str">
        <f aca="false">IF($P139=0,"",IF($F139="Baseline","— Baseline",IF($O139=0,"No result",IF($N139=0,"No Start (attainment only)",IF(OR($N139=1,$O139=1),"U – needs rule",INDEX(MxBody,MATCH($I139,MxCurr,0),MATCH($H139,MxStart,0)))))))</f>
        <v>— Baseline</v>
      </c>
      <c r="L139" s="62" t="str">
        <f aca="false">IF(COUNTA($A139,$F139,$G139,$H139,$I139,$J139)=0,"",IF($M139=0,"✖ كود الصف غير موجود",IF(ISNA(MATCH($F139,Lists!$A$2:$A$5,0)),"✖ الفترة غير صحيحة",IF(ISNA(MATCH($G139,Lists!$B$2:$B$7,0)),"✖ المجموعة غير صحيحة",IF(NOT(OR($H139="",$N139&gt;0)),"✖ Start غير صحيح",IF(NOT(OR($I139="",$I139="NR",$O139&gt;0)),"✖ Current غير صحيح",IF(NOT(IF(ISNUMBER($J139),AND($J139&gt;=0,$J139=INT($J139)),FALSE())),"✖ العدد يجب أن يكون صحيحًا ≥ 0",IF(AND($F139="Baseline",$H139&lt;&gt;""),"⚠ Baseline: Start لا يدخل في التقدم",IF($K139="No Start (attainment only)","ℹ تحصيل فقط (بدون Start)",IF($K139="U – needs rule","ℹ حالة U تحتاج قاعدة معتمدة",IF($K139="No result","ℹ بدون نتيجة (يُستبعد من التحصيل)","OK")))))))))))</f>
        <v>OK</v>
      </c>
      <c r="M139" s="64" t="n">
        <f aca="false">IF($A139="",0,IFERROR(MATCH($A139,Classes!$A$6:$A$420,0),0))</f>
        <v>283</v>
      </c>
      <c r="N139" s="64" t="n">
        <f aca="false">IF($H139="",0,IFERROR(MATCH($H139,GradeList,0),0))</f>
        <v>0</v>
      </c>
      <c r="O139" s="64" t="n">
        <f aca="false">IF(OR($I139="",$I139="NR"),0,IFERROR(MATCH($I139,GradeList,0),0))</f>
        <v>6</v>
      </c>
      <c r="P139" s="64" t="n">
        <f aca="false">IF(AND($M139&gt;0,ISNUMBER(MATCH($F139,Lists!$A$2:$A$5,0)),ISNUMBER(MATCH($G139,Lists!$B$2:$B$7,0)),OR($H139="",$N139&gt;0),OR($I139="",$I139="NR",$O139&gt;0),IF(ISNUMBER($J139),AND($J139&gt;=0,$J139=INT($J139)),FALSE())),$J139,0)</f>
        <v>1</v>
      </c>
      <c r="Q139" s="64" t="n">
        <f aca="false">IF(AND($P139&gt;0,$O139&gt;0),$P139,0)</f>
        <v>1</v>
      </c>
      <c r="R139" s="64" t="n">
        <f aca="false">IF(AND($Q139&gt;0,$O139&gt;=AtRank),$Q139,0)</f>
        <v>1</v>
      </c>
      <c r="S139" s="64" t="n">
        <f aca="false">IF(AND($Q139&gt;0,$O139&gt;=AboveRank),$Q139,0)</f>
        <v>0</v>
      </c>
      <c r="T139" s="64" t="n">
        <f aca="false">IF($K139="Less",$P139,0)</f>
        <v>0</v>
      </c>
      <c r="U139" s="64" t="n">
        <f aca="false">IF($K139="Expected",$P139,0)</f>
        <v>0</v>
      </c>
      <c r="V139" s="64" t="n">
        <f aca="false">IF($K139="Better",$P139,0)</f>
        <v>0</v>
      </c>
      <c r="W139" s="64" t="n">
        <f aca="false">IF($K139="U – needs rule",$P139,0)</f>
        <v>0</v>
      </c>
      <c r="X139" s="64" t="n">
        <f aca="false">IF($K139="No Start (attainment only)",$P139,0)</f>
        <v>0</v>
      </c>
    </row>
    <row r="140" customFormat="false" ht="15" hidden="false" customHeight="false" outlineLevel="0" collapsed="false">
      <c r="A140" s="60" t="s">
        <v>779</v>
      </c>
      <c r="B140" s="61" t="str">
        <f aca="false">IF($M140=0,"",INDEX(Classes!$E$6:$E$420,$M140))</f>
        <v>Arabic A</v>
      </c>
      <c r="C140" s="62" t="str">
        <f aca="false">IF($M140=0,"",INDEX(Classes!$H$6:$H$420,$M140))</f>
        <v>Mr Ahmed AbdelmonemElsye</v>
      </c>
      <c r="D140" s="61" t="str">
        <f aca="false">IF($M140=0,"",INDEX(Classes!$B$6:$B$420,$M140))</f>
        <v>Year 10</v>
      </c>
      <c r="E140" s="61" t="str">
        <f aca="false">IF($M140=0,"",INDEX(Classes!$C$6:$C$420,$M140))</f>
        <v>ah</v>
      </c>
      <c r="F140" s="63" t="s">
        <v>162</v>
      </c>
      <c r="G140" s="63" t="s">
        <v>1015</v>
      </c>
      <c r="H140" s="60"/>
      <c r="I140" s="60" t="s">
        <v>199</v>
      </c>
      <c r="J140" s="63" t="n">
        <v>2</v>
      </c>
      <c r="K140" s="61" t="str">
        <f aca="false">IF($P140=0,"",IF($F140="Baseline","— Baseline",IF($O140=0,"No result",IF($N140=0,"No Start (attainment only)",IF(OR($N140=1,$O140=1),"U – needs rule",INDEX(MxBody,MATCH($I140,MxCurr,0),MATCH($H140,MxStart,0)))))))</f>
        <v>— Baseline</v>
      </c>
      <c r="L140" s="62" t="str">
        <f aca="false">IF(COUNTA($A140,$F140,$G140,$H140,$I140,$J140)=0,"",IF($M140=0,"✖ كود الصف غير موجود",IF(ISNA(MATCH($F140,Lists!$A$2:$A$5,0)),"✖ الفترة غير صحيحة",IF(ISNA(MATCH($G140,Lists!$B$2:$B$7,0)),"✖ المجموعة غير صحيحة",IF(NOT(OR($H140="",$N140&gt;0)),"✖ Start غير صحيح",IF(NOT(OR($I140="",$I140="NR",$O140&gt;0)),"✖ Current غير صحيح",IF(NOT(IF(ISNUMBER($J140),AND($J140&gt;=0,$J140=INT($J140)),FALSE())),"✖ العدد يجب أن يكون صحيحًا ≥ 0",IF(AND($F140="Baseline",$H140&lt;&gt;""),"⚠ Baseline: Start لا يدخل في التقدم",IF($K140="No Start (attainment only)","ℹ تحصيل فقط (بدون Start)",IF($K140="U – needs rule","ℹ حالة U تحتاج قاعدة معتمدة",IF($K140="No result","ℹ بدون نتيجة (يُستبعد من التحصيل)","OK")))))))))))</f>
        <v>OK</v>
      </c>
      <c r="M140" s="64" t="n">
        <f aca="false">IF($A140="",0,IFERROR(MATCH($A140,Classes!$A$6:$A$420,0),0))</f>
        <v>283</v>
      </c>
      <c r="N140" s="64" t="n">
        <f aca="false">IF($H140="",0,IFERROR(MATCH($H140,GradeList,0),0))</f>
        <v>0</v>
      </c>
      <c r="O140" s="64" t="n">
        <f aca="false">IF(OR($I140="",$I140="NR"),0,IFERROR(MATCH($I140,GradeList,0),0))</f>
        <v>4</v>
      </c>
      <c r="P140" s="64" t="n">
        <f aca="false">IF(AND($M140&gt;0,ISNUMBER(MATCH($F140,Lists!$A$2:$A$5,0)),ISNUMBER(MATCH($G140,Lists!$B$2:$B$7,0)),OR($H140="",$N140&gt;0),OR($I140="",$I140="NR",$O140&gt;0),IF(ISNUMBER($J140),AND($J140&gt;=0,$J140=INT($J140)),FALSE())),$J140,0)</f>
        <v>2</v>
      </c>
      <c r="Q140" s="64" t="n">
        <f aca="false">IF(AND($P140&gt;0,$O140&gt;0),$P140,0)</f>
        <v>2</v>
      </c>
      <c r="R140" s="64" t="n">
        <f aca="false">IF(AND($Q140&gt;0,$O140&gt;=AtRank),$Q140,0)</f>
        <v>0</v>
      </c>
      <c r="S140" s="64" t="n">
        <f aca="false">IF(AND($Q140&gt;0,$O140&gt;=AboveRank),$Q140,0)</f>
        <v>0</v>
      </c>
      <c r="T140" s="64" t="n">
        <f aca="false">IF($K140="Less",$P140,0)</f>
        <v>0</v>
      </c>
      <c r="U140" s="64" t="n">
        <f aca="false">IF($K140="Expected",$P140,0)</f>
        <v>0</v>
      </c>
      <c r="V140" s="64" t="n">
        <f aca="false">IF($K140="Better",$P140,0)</f>
        <v>0</v>
      </c>
      <c r="W140" s="64" t="n">
        <f aca="false">IF($K140="U – needs rule",$P140,0)</f>
        <v>0</v>
      </c>
      <c r="X140" s="64" t="n">
        <f aca="false">IF($K140="No Start (attainment only)",$P140,0)</f>
        <v>0</v>
      </c>
    </row>
    <row r="141" customFormat="false" ht="15" hidden="false" customHeight="false" outlineLevel="0" collapsed="false">
      <c r="A141" s="60" t="s">
        <v>779</v>
      </c>
      <c r="B141" s="61" t="str">
        <f aca="false">IF($M141=0,"",INDEX(Classes!$E$6:$E$420,$M141))</f>
        <v>Arabic A</v>
      </c>
      <c r="C141" s="62" t="str">
        <f aca="false">IF($M141=0,"",INDEX(Classes!$H$6:$H$420,$M141))</f>
        <v>Mr Ahmed AbdelmonemElsye</v>
      </c>
      <c r="D141" s="61" t="str">
        <f aca="false">IF($M141=0,"",INDEX(Classes!$B$6:$B$420,$M141))</f>
        <v>Year 10</v>
      </c>
      <c r="E141" s="61" t="str">
        <f aca="false">IF($M141=0,"",INDEX(Classes!$C$6:$C$420,$M141))</f>
        <v>ah</v>
      </c>
      <c r="F141" s="63" t="s">
        <v>162</v>
      </c>
      <c r="G141" s="63" t="s">
        <v>1016</v>
      </c>
      <c r="H141" s="60"/>
      <c r="I141" s="60" t="s">
        <v>202</v>
      </c>
      <c r="J141" s="63" t="n">
        <v>1</v>
      </c>
      <c r="K141" s="61" t="str">
        <f aca="false">IF($P141=0,"",IF($F141="Baseline","— Baseline",IF($O141=0,"No result",IF($N141=0,"No Start (attainment only)",IF(OR($N141=1,$O141=1),"U – needs rule",INDEX(MxBody,MATCH($I141,MxCurr,0),MATCH($H141,MxStart,0)))))))</f>
        <v>— Baseline</v>
      </c>
      <c r="L141" s="62" t="str">
        <f aca="false">IF(COUNTA($A141,$F141,$G141,$H141,$I141,$J141)=0,"",IF($M141=0,"✖ كود الصف غير موجود",IF(ISNA(MATCH($F141,Lists!$A$2:$A$5,0)),"✖ الفترة غير صحيحة",IF(ISNA(MATCH($G141,Lists!$B$2:$B$7,0)),"✖ المجموعة غير صحيحة",IF(NOT(OR($H141="",$N141&gt;0)),"✖ Start غير صحيح",IF(NOT(OR($I141="",$I141="NR",$O141&gt;0)),"✖ Current غير صحيح",IF(NOT(IF(ISNUMBER($J141),AND($J141&gt;=0,$J141=INT($J141)),FALSE())),"✖ العدد يجب أن يكون صحيحًا ≥ 0",IF(AND($F141="Baseline",$H141&lt;&gt;""),"⚠ Baseline: Start لا يدخل في التقدم",IF($K141="No Start (attainment only)","ℹ تحصيل فقط (بدون Start)",IF($K141="U – needs rule","ℹ حالة U تحتاج قاعدة معتمدة",IF($K141="No result","ℹ بدون نتيجة (يُستبعد من التحصيل)","OK")))))))))))</f>
        <v>OK</v>
      </c>
      <c r="M141" s="64" t="n">
        <f aca="false">IF($A141="",0,IFERROR(MATCH($A141,Classes!$A$6:$A$420,0),0))</f>
        <v>283</v>
      </c>
      <c r="N141" s="64" t="n">
        <f aca="false">IF($H141="",0,IFERROR(MATCH($H141,GradeList,0),0))</f>
        <v>0</v>
      </c>
      <c r="O141" s="64" t="n">
        <f aca="false">IF(OR($I141="",$I141="NR"),0,IFERROR(MATCH($I141,GradeList,0),0))</f>
        <v>7</v>
      </c>
      <c r="P141" s="64" t="n">
        <f aca="false">IF(AND($M141&gt;0,ISNUMBER(MATCH($F141,Lists!$A$2:$A$5,0)),ISNUMBER(MATCH($G141,Lists!$B$2:$B$7,0)),OR($H141="",$N141&gt;0),OR($I141="",$I141="NR",$O141&gt;0),IF(ISNUMBER($J141),AND($J141&gt;=0,$J141=INT($J141)),FALSE())),$J141,0)</f>
        <v>1</v>
      </c>
      <c r="Q141" s="64" t="n">
        <f aca="false">IF(AND($P141&gt;0,$O141&gt;0),$P141,0)</f>
        <v>1</v>
      </c>
      <c r="R141" s="64" t="n">
        <f aca="false">IF(AND($Q141&gt;0,$O141&gt;=AtRank),$Q141,0)</f>
        <v>1</v>
      </c>
      <c r="S141" s="64" t="n">
        <f aca="false">IF(AND($Q141&gt;0,$O141&gt;=AboveRank),$Q141,0)</f>
        <v>1</v>
      </c>
      <c r="T141" s="64" t="n">
        <f aca="false">IF($K141="Less",$P141,0)</f>
        <v>0</v>
      </c>
      <c r="U141" s="64" t="n">
        <f aca="false">IF($K141="Expected",$P141,0)</f>
        <v>0</v>
      </c>
      <c r="V141" s="64" t="n">
        <f aca="false">IF($K141="Better",$P141,0)</f>
        <v>0</v>
      </c>
      <c r="W141" s="64" t="n">
        <f aca="false">IF($K141="U – needs rule",$P141,0)</f>
        <v>0</v>
      </c>
      <c r="X141" s="64" t="n">
        <f aca="false">IF($K141="No Start (attainment only)",$P141,0)</f>
        <v>0</v>
      </c>
    </row>
    <row r="142" customFormat="false" ht="15" hidden="false" customHeight="false" outlineLevel="0" collapsed="false">
      <c r="A142" s="60" t="s">
        <v>779</v>
      </c>
      <c r="B142" s="61" t="str">
        <f aca="false">IF($M142=0,"",INDEX(Classes!$E$6:$E$420,$M142))</f>
        <v>Arabic A</v>
      </c>
      <c r="C142" s="62" t="str">
        <f aca="false">IF($M142=0,"",INDEX(Classes!$H$6:$H$420,$M142))</f>
        <v>Mr Ahmed AbdelmonemElsye</v>
      </c>
      <c r="D142" s="61" t="str">
        <f aca="false">IF($M142=0,"",INDEX(Classes!$B$6:$B$420,$M142))</f>
        <v>Year 10</v>
      </c>
      <c r="E142" s="61" t="str">
        <f aca="false">IF($M142=0,"",INDEX(Classes!$C$6:$C$420,$M142))</f>
        <v>ah</v>
      </c>
      <c r="F142" s="63" t="s">
        <v>162</v>
      </c>
      <c r="G142" s="63" t="s">
        <v>1016</v>
      </c>
      <c r="H142" s="60"/>
      <c r="I142" s="60" t="s">
        <v>203</v>
      </c>
      <c r="J142" s="63" t="n">
        <v>2</v>
      </c>
      <c r="K142" s="61" t="str">
        <f aca="false">IF($P142=0,"",IF($F142="Baseline","— Baseline",IF($O142=0,"No result",IF($N142=0,"No Start (attainment only)",IF(OR($N142=1,$O142=1),"U – needs rule",INDEX(MxBody,MATCH($I142,MxCurr,0),MATCH($H142,MxStart,0)))))))</f>
        <v>— Baseline</v>
      </c>
      <c r="L142" s="62" t="str">
        <f aca="false">IF(COUNTA($A142,$F142,$G142,$H142,$I142,$J142)=0,"",IF($M142=0,"✖ كود الصف غير موجود",IF(ISNA(MATCH($F142,Lists!$A$2:$A$5,0)),"✖ الفترة غير صحيحة",IF(ISNA(MATCH($G142,Lists!$B$2:$B$7,0)),"✖ المجموعة غير صحيحة",IF(NOT(OR($H142="",$N142&gt;0)),"✖ Start غير صحيح",IF(NOT(OR($I142="",$I142="NR",$O142&gt;0)),"✖ Current غير صحيح",IF(NOT(IF(ISNUMBER($J142),AND($J142&gt;=0,$J142=INT($J142)),FALSE())),"✖ العدد يجب أن يكون صحيحًا ≥ 0",IF(AND($F142="Baseline",$H142&lt;&gt;""),"⚠ Baseline: Start لا يدخل في التقدم",IF($K142="No Start (attainment only)","ℹ تحصيل فقط (بدون Start)",IF($K142="U – needs rule","ℹ حالة U تحتاج قاعدة معتمدة",IF($K142="No result","ℹ بدون نتيجة (يُستبعد من التحصيل)","OK")))))))))))</f>
        <v>OK</v>
      </c>
      <c r="M142" s="64" t="n">
        <f aca="false">IF($A142="",0,IFERROR(MATCH($A142,Classes!$A$6:$A$420,0),0))</f>
        <v>283</v>
      </c>
      <c r="N142" s="64" t="n">
        <f aca="false">IF($H142="",0,IFERROR(MATCH($H142,GradeList,0),0))</f>
        <v>0</v>
      </c>
      <c r="O142" s="64" t="n">
        <f aca="false">IF(OR($I142="",$I142="NR"),0,IFERROR(MATCH($I142,GradeList,0),0))</f>
        <v>8</v>
      </c>
      <c r="P142" s="64" t="n">
        <f aca="false">IF(AND($M142&gt;0,ISNUMBER(MATCH($F142,Lists!$A$2:$A$5,0)),ISNUMBER(MATCH($G142,Lists!$B$2:$B$7,0)),OR($H142="",$N142&gt;0),OR($I142="",$I142="NR",$O142&gt;0),IF(ISNUMBER($J142),AND($J142&gt;=0,$J142=INT($J142)),FALSE())),$J142,0)</f>
        <v>2</v>
      </c>
      <c r="Q142" s="64" t="n">
        <f aca="false">IF(AND($P142&gt;0,$O142&gt;0),$P142,0)</f>
        <v>2</v>
      </c>
      <c r="R142" s="64" t="n">
        <f aca="false">IF(AND($Q142&gt;0,$O142&gt;=AtRank),$Q142,0)</f>
        <v>2</v>
      </c>
      <c r="S142" s="64" t="n">
        <f aca="false">IF(AND($Q142&gt;0,$O142&gt;=AboveRank),$Q142,0)</f>
        <v>2</v>
      </c>
      <c r="T142" s="64" t="n">
        <f aca="false">IF($K142="Less",$P142,0)</f>
        <v>0</v>
      </c>
      <c r="U142" s="64" t="n">
        <f aca="false">IF($K142="Expected",$P142,0)</f>
        <v>0</v>
      </c>
      <c r="V142" s="64" t="n">
        <f aca="false">IF($K142="Better",$P142,0)</f>
        <v>0</v>
      </c>
      <c r="W142" s="64" t="n">
        <f aca="false">IF($K142="U – needs rule",$P142,0)</f>
        <v>0</v>
      </c>
      <c r="X142" s="64" t="n">
        <f aca="false">IF($K142="No Start (attainment only)",$P142,0)</f>
        <v>0</v>
      </c>
    </row>
    <row r="143" customFormat="false" ht="15" hidden="false" customHeight="false" outlineLevel="0" collapsed="false">
      <c r="A143" s="60" t="s">
        <v>779</v>
      </c>
      <c r="B143" s="61" t="str">
        <f aca="false">IF($M143=0,"",INDEX(Classes!$E$6:$E$420,$M143))</f>
        <v>Arabic A</v>
      </c>
      <c r="C143" s="62" t="str">
        <f aca="false">IF($M143=0,"",INDEX(Classes!$H$6:$H$420,$M143))</f>
        <v>Mr Ahmed AbdelmonemElsye</v>
      </c>
      <c r="D143" s="61" t="str">
        <f aca="false">IF($M143=0,"",INDEX(Classes!$B$6:$B$420,$M143))</f>
        <v>Year 10</v>
      </c>
      <c r="E143" s="61" t="str">
        <f aca="false">IF($M143=0,"",INDEX(Classes!$C$6:$C$420,$M143))</f>
        <v>ah</v>
      </c>
      <c r="F143" s="63" t="s">
        <v>162</v>
      </c>
      <c r="G143" s="63" t="s">
        <v>1016</v>
      </c>
      <c r="H143" s="60"/>
      <c r="I143" s="60" t="s">
        <v>200</v>
      </c>
      <c r="J143" s="63" t="n">
        <v>3</v>
      </c>
      <c r="K143" s="61" t="str">
        <f aca="false">IF($P143=0,"",IF($F143="Baseline","— Baseline",IF($O143=0,"No result",IF($N143=0,"No Start (attainment only)",IF(OR($N143=1,$O143=1),"U – needs rule",INDEX(MxBody,MATCH($I143,MxCurr,0),MATCH($H143,MxStart,0)))))))</f>
        <v>— Baseline</v>
      </c>
      <c r="L143" s="62" t="str">
        <f aca="false">IF(COUNTA($A143,$F143,$G143,$H143,$I143,$J143)=0,"",IF($M143=0,"✖ كود الصف غير موجود",IF(ISNA(MATCH($F143,Lists!$A$2:$A$5,0)),"✖ الفترة غير صحيحة",IF(ISNA(MATCH($G143,Lists!$B$2:$B$7,0)),"✖ المجموعة غير صحيحة",IF(NOT(OR($H143="",$N143&gt;0)),"✖ Start غير صحيح",IF(NOT(OR($I143="",$I143="NR",$O143&gt;0)),"✖ Current غير صحيح",IF(NOT(IF(ISNUMBER($J143),AND($J143&gt;=0,$J143=INT($J143)),FALSE())),"✖ العدد يجب أن يكون صحيحًا ≥ 0",IF(AND($F143="Baseline",$H143&lt;&gt;""),"⚠ Baseline: Start لا يدخل في التقدم",IF($K143="No Start (attainment only)","ℹ تحصيل فقط (بدون Start)",IF($K143="U – needs rule","ℹ حالة U تحتاج قاعدة معتمدة",IF($K143="No result","ℹ بدون نتيجة (يُستبعد من التحصيل)","OK")))))))))))</f>
        <v>OK</v>
      </c>
      <c r="M143" s="64" t="n">
        <f aca="false">IF($A143="",0,IFERROR(MATCH($A143,Classes!$A$6:$A$420,0),0))</f>
        <v>283</v>
      </c>
      <c r="N143" s="64" t="n">
        <f aca="false">IF($H143="",0,IFERROR(MATCH($H143,GradeList,0),0))</f>
        <v>0</v>
      </c>
      <c r="O143" s="64" t="n">
        <f aca="false">IF(OR($I143="",$I143="NR"),0,IFERROR(MATCH($I143,GradeList,0),0))</f>
        <v>5</v>
      </c>
      <c r="P143" s="64" t="n">
        <f aca="false">IF(AND($M143&gt;0,ISNUMBER(MATCH($F143,Lists!$A$2:$A$5,0)),ISNUMBER(MATCH($G143,Lists!$B$2:$B$7,0)),OR($H143="",$N143&gt;0),OR($I143="",$I143="NR",$O143&gt;0),IF(ISNUMBER($J143),AND($J143&gt;=0,$J143=INT($J143)),FALSE())),$J143,0)</f>
        <v>3</v>
      </c>
      <c r="Q143" s="64" t="n">
        <f aca="false">IF(AND($P143&gt;0,$O143&gt;0),$P143,0)</f>
        <v>3</v>
      </c>
      <c r="R143" s="64" t="n">
        <f aca="false">IF(AND($Q143&gt;0,$O143&gt;=AtRank),$Q143,0)</f>
        <v>3</v>
      </c>
      <c r="S143" s="64" t="n">
        <f aca="false">IF(AND($Q143&gt;0,$O143&gt;=AboveRank),$Q143,0)</f>
        <v>0</v>
      </c>
      <c r="T143" s="64" t="n">
        <f aca="false">IF($K143="Less",$P143,0)</f>
        <v>0</v>
      </c>
      <c r="U143" s="64" t="n">
        <f aca="false">IF($K143="Expected",$P143,0)</f>
        <v>0</v>
      </c>
      <c r="V143" s="64" t="n">
        <f aca="false">IF($K143="Better",$P143,0)</f>
        <v>0</v>
      </c>
      <c r="W143" s="64" t="n">
        <f aca="false">IF($K143="U – needs rule",$P143,0)</f>
        <v>0</v>
      </c>
      <c r="X143" s="64" t="n">
        <f aca="false">IF($K143="No Start (attainment only)",$P143,0)</f>
        <v>0</v>
      </c>
    </row>
    <row r="144" customFormat="false" ht="15" hidden="false" customHeight="false" outlineLevel="0" collapsed="false">
      <c r="A144" s="60" t="s">
        <v>779</v>
      </c>
      <c r="B144" s="61" t="str">
        <f aca="false">IF($M144=0,"",INDEX(Classes!$E$6:$E$420,$M144))</f>
        <v>Arabic A</v>
      </c>
      <c r="C144" s="62" t="str">
        <f aca="false">IF($M144=0,"",INDEX(Classes!$H$6:$H$420,$M144))</f>
        <v>Mr Ahmed AbdelmonemElsye</v>
      </c>
      <c r="D144" s="61" t="str">
        <f aca="false">IF($M144=0,"",INDEX(Classes!$B$6:$B$420,$M144))</f>
        <v>Year 10</v>
      </c>
      <c r="E144" s="61" t="str">
        <f aca="false">IF($M144=0,"",INDEX(Classes!$C$6:$C$420,$M144))</f>
        <v>ah</v>
      </c>
      <c r="F144" s="63" t="s">
        <v>162</v>
      </c>
      <c r="G144" s="63" t="s">
        <v>1016</v>
      </c>
      <c r="H144" s="60"/>
      <c r="I144" s="60" t="s">
        <v>201</v>
      </c>
      <c r="J144" s="63" t="n">
        <v>4</v>
      </c>
      <c r="K144" s="61" t="str">
        <f aca="false">IF($P144=0,"",IF($F144="Baseline","— Baseline",IF($O144=0,"No result",IF($N144=0,"No Start (attainment only)",IF(OR($N144=1,$O144=1),"U – needs rule",INDEX(MxBody,MATCH($I144,MxCurr,0),MATCH($H144,MxStart,0)))))))</f>
        <v>— Baseline</v>
      </c>
      <c r="L144" s="62" t="str">
        <f aca="false">IF(COUNTA($A144,$F144,$G144,$H144,$I144,$J144)=0,"",IF($M144=0,"✖ كود الصف غير موجود",IF(ISNA(MATCH($F144,Lists!$A$2:$A$5,0)),"✖ الفترة غير صحيحة",IF(ISNA(MATCH($G144,Lists!$B$2:$B$7,0)),"✖ المجموعة غير صحيحة",IF(NOT(OR($H144="",$N144&gt;0)),"✖ Start غير صحيح",IF(NOT(OR($I144="",$I144="NR",$O144&gt;0)),"✖ Current غير صحيح",IF(NOT(IF(ISNUMBER($J144),AND($J144&gt;=0,$J144=INT($J144)),FALSE())),"✖ العدد يجب أن يكون صحيحًا ≥ 0",IF(AND($F144="Baseline",$H144&lt;&gt;""),"⚠ Baseline: Start لا يدخل في التقدم",IF($K144="No Start (attainment only)","ℹ تحصيل فقط (بدون Start)",IF($K144="U – needs rule","ℹ حالة U تحتاج قاعدة معتمدة",IF($K144="No result","ℹ بدون نتيجة (يُستبعد من التحصيل)","OK")))))))))))</f>
        <v>OK</v>
      </c>
      <c r="M144" s="64" t="n">
        <f aca="false">IF($A144="",0,IFERROR(MATCH($A144,Classes!$A$6:$A$420,0),0))</f>
        <v>283</v>
      </c>
      <c r="N144" s="64" t="n">
        <f aca="false">IF($H144="",0,IFERROR(MATCH($H144,GradeList,0),0))</f>
        <v>0</v>
      </c>
      <c r="O144" s="64" t="n">
        <f aca="false">IF(OR($I144="",$I144="NR"),0,IFERROR(MATCH($I144,GradeList,0),0))</f>
        <v>6</v>
      </c>
      <c r="P144" s="64" t="n">
        <f aca="false">IF(AND($M144&gt;0,ISNUMBER(MATCH($F144,Lists!$A$2:$A$5,0)),ISNUMBER(MATCH($G144,Lists!$B$2:$B$7,0)),OR($H144="",$N144&gt;0),OR($I144="",$I144="NR",$O144&gt;0),IF(ISNUMBER($J144),AND($J144&gt;=0,$J144=INT($J144)),FALSE())),$J144,0)</f>
        <v>4</v>
      </c>
      <c r="Q144" s="64" t="n">
        <f aca="false">IF(AND($P144&gt;0,$O144&gt;0),$P144,0)</f>
        <v>4</v>
      </c>
      <c r="R144" s="64" t="n">
        <f aca="false">IF(AND($Q144&gt;0,$O144&gt;=AtRank),$Q144,0)</f>
        <v>4</v>
      </c>
      <c r="S144" s="64" t="n">
        <f aca="false">IF(AND($Q144&gt;0,$O144&gt;=AboveRank),$Q144,0)</f>
        <v>0</v>
      </c>
      <c r="T144" s="64" t="n">
        <f aca="false">IF($K144="Less",$P144,0)</f>
        <v>0</v>
      </c>
      <c r="U144" s="64" t="n">
        <f aca="false">IF($K144="Expected",$P144,0)</f>
        <v>0</v>
      </c>
      <c r="V144" s="64" t="n">
        <f aca="false">IF($K144="Better",$P144,0)</f>
        <v>0</v>
      </c>
      <c r="W144" s="64" t="n">
        <f aca="false">IF($K144="U – needs rule",$P144,0)</f>
        <v>0</v>
      </c>
      <c r="X144" s="64" t="n">
        <f aca="false">IF($K144="No Start (attainment only)",$P144,0)</f>
        <v>0</v>
      </c>
    </row>
    <row r="145" customFormat="false" ht="15" hidden="false" customHeight="false" outlineLevel="0" collapsed="false">
      <c r="A145" s="60" t="s">
        <v>779</v>
      </c>
      <c r="B145" s="61" t="str">
        <f aca="false">IF($M145=0,"",INDEX(Classes!$E$6:$E$420,$M145))</f>
        <v>Arabic A</v>
      </c>
      <c r="C145" s="62" t="str">
        <f aca="false">IF($M145=0,"",INDEX(Classes!$H$6:$H$420,$M145))</f>
        <v>Mr Ahmed AbdelmonemElsye</v>
      </c>
      <c r="D145" s="61" t="str">
        <f aca="false">IF($M145=0,"",INDEX(Classes!$B$6:$B$420,$M145))</f>
        <v>Year 10</v>
      </c>
      <c r="E145" s="61" t="str">
        <f aca="false">IF($M145=0,"",INDEX(Classes!$C$6:$C$420,$M145))</f>
        <v>ah</v>
      </c>
      <c r="F145" s="63" t="s">
        <v>162</v>
      </c>
      <c r="G145" s="63" t="s">
        <v>1016</v>
      </c>
      <c r="H145" s="60"/>
      <c r="I145" s="60" t="s">
        <v>198</v>
      </c>
      <c r="J145" s="63" t="n">
        <v>1</v>
      </c>
      <c r="K145" s="61" t="str">
        <f aca="false">IF($P145=0,"",IF($F145="Baseline","— Baseline",IF($O145=0,"No result",IF($N145=0,"No Start (attainment only)",IF(OR($N145=1,$O145=1),"U – needs rule",INDEX(MxBody,MATCH($I145,MxCurr,0),MATCH($H145,MxStart,0)))))))</f>
        <v>— Baseline</v>
      </c>
      <c r="L145" s="62" t="str">
        <f aca="false">IF(COUNTA($A145,$F145,$G145,$H145,$I145,$J145)=0,"",IF($M145=0,"✖ كود الصف غير موجود",IF(ISNA(MATCH($F145,Lists!$A$2:$A$5,0)),"✖ الفترة غير صحيحة",IF(ISNA(MATCH($G145,Lists!$B$2:$B$7,0)),"✖ المجموعة غير صحيحة",IF(NOT(OR($H145="",$N145&gt;0)),"✖ Start غير صحيح",IF(NOT(OR($I145="",$I145="NR",$O145&gt;0)),"✖ Current غير صحيح",IF(NOT(IF(ISNUMBER($J145),AND($J145&gt;=0,$J145=INT($J145)),FALSE())),"✖ العدد يجب أن يكون صحيحًا ≥ 0",IF(AND($F145="Baseline",$H145&lt;&gt;""),"⚠ Baseline: Start لا يدخل في التقدم",IF($K145="No Start (attainment only)","ℹ تحصيل فقط (بدون Start)",IF($K145="U – needs rule","ℹ حالة U تحتاج قاعدة معتمدة",IF($K145="No result","ℹ بدون نتيجة (يُستبعد من التحصيل)","OK")))))))))))</f>
        <v>OK</v>
      </c>
      <c r="M145" s="64" t="n">
        <f aca="false">IF($A145="",0,IFERROR(MATCH($A145,Classes!$A$6:$A$420,0),0))</f>
        <v>283</v>
      </c>
      <c r="N145" s="64" t="n">
        <f aca="false">IF($H145="",0,IFERROR(MATCH($H145,GradeList,0),0))</f>
        <v>0</v>
      </c>
      <c r="O145" s="64" t="n">
        <f aca="false">IF(OR($I145="",$I145="NR"),0,IFERROR(MATCH($I145,GradeList,0),0))</f>
        <v>3</v>
      </c>
      <c r="P145" s="64" t="n">
        <f aca="false">IF(AND($M145&gt;0,ISNUMBER(MATCH($F145,Lists!$A$2:$A$5,0)),ISNUMBER(MATCH($G145,Lists!$B$2:$B$7,0)),OR($H145="",$N145&gt;0),OR($I145="",$I145="NR",$O145&gt;0),IF(ISNUMBER($J145),AND($J145&gt;=0,$J145=INT($J145)),FALSE())),$J145,0)</f>
        <v>1</v>
      </c>
      <c r="Q145" s="64" t="n">
        <f aca="false">IF(AND($P145&gt;0,$O145&gt;0),$P145,0)</f>
        <v>1</v>
      </c>
      <c r="R145" s="64" t="n">
        <f aca="false">IF(AND($Q145&gt;0,$O145&gt;=AtRank),$Q145,0)</f>
        <v>0</v>
      </c>
      <c r="S145" s="64" t="n">
        <f aca="false">IF(AND($Q145&gt;0,$O145&gt;=AboveRank),$Q145,0)</f>
        <v>0</v>
      </c>
      <c r="T145" s="64" t="n">
        <f aca="false">IF($K145="Less",$P145,0)</f>
        <v>0</v>
      </c>
      <c r="U145" s="64" t="n">
        <f aca="false">IF($K145="Expected",$P145,0)</f>
        <v>0</v>
      </c>
      <c r="V145" s="64" t="n">
        <f aca="false">IF($K145="Better",$P145,0)</f>
        <v>0</v>
      </c>
      <c r="W145" s="64" t="n">
        <f aca="false">IF($K145="U – needs rule",$P145,0)</f>
        <v>0</v>
      </c>
      <c r="X145" s="64" t="n">
        <f aca="false">IF($K145="No Start (attainment only)",$P145,0)</f>
        <v>0</v>
      </c>
    </row>
    <row r="146" customFormat="false" ht="15" hidden="false" customHeight="false" outlineLevel="0" collapsed="false">
      <c r="A146" s="60" t="s">
        <v>779</v>
      </c>
      <c r="B146" s="61" t="str">
        <f aca="false">IF($M146=0,"",INDEX(Classes!$E$6:$E$420,$M146))</f>
        <v>Arabic A</v>
      </c>
      <c r="C146" s="62" t="str">
        <f aca="false">IF($M146=0,"",INDEX(Classes!$H$6:$H$420,$M146))</f>
        <v>Mr Ahmed AbdelmonemElsye</v>
      </c>
      <c r="D146" s="61" t="str">
        <f aca="false">IF($M146=0,"",INDEX(Classes!$B$6:$B$420,$M146))</f>
        <v>Year 10</v>
      </c>
      <c r="E146" s="61" t="str">
        <f aca="false">IF($M146=0,"",INDEX(Classes!$C$6:$C$420,$M146))</f>
        <v>ah</v>
      </c>
      <c r="F146" s="63" t="s">
        <v>162</v>
      </c>
      <c r="G146" s="63" t="s">
        <v>1016</v>
      </c>
      <c r="H146" s="60"/>
      <c r="I146" s="60" t="s">
        <v>204</v>
      </c>
      <c r="J146" s="63" t="n">
        <v>2</v>
      </c>
      <c r="K146" s="61" t="str">
        <f aca="false">IF($P146=0,"",IF($F146="Baseline","— Baseline",IF($O146=0,"No result",IF($N146=0,"No Start (attainment only)",IF(OR($N146=1,$O146=1),"U – needs rule",INDEX(MxBody,MATCH($I146,MxCurr,0),MATCH($H146,MxStart,0)))))))</f>
        <v>— Baseline</v>
      </c>
      <c r="L146" s="62" t="str">
        <f aca="false">IF(COUNTA($A146,$F146,$G146,$H146,$I146,$J146)=0,"",IF($M146=0,"✖ كود الصف غير موجود",IF(ISNA(MATCH($F146,Lists!$A$2:$A$5,0)),"✖ الفترة غير صحيحة",IF(ISNA(MATCH($G146,Lists!$B$2:$B$7,0)),"✖ المجموعة غير صحيحة",IF(NOT(OR($H146="",$N146&gt;0)),"✖ Start غير صحيح",IF(NOT(OR($I146="",$I146="NR",$O146&gt;0)),"✖ Current غير صحيح",IF(NOT(IF(ISNUMBER($J146),AND($J146&gt;=0,$J146=INT($J146)),FALSE())),"✖ العدد يجب أن يكون صحيحًا ≥ 0",IF(AND($F146="Baseline",$H146&lt;&gt;""),"⚠ Baseline: Start لا يدخل في التقدم",IF($K146="No Start (attainment only)","ℹ تحصيل فقط (بدون Start)",IF($K146="U – needs rule","ℹ حالة U تحتاج قاعدة معتمدة",IF($K146="No result","ℹ بدون نتيجة (يُستبعد من التحصيل)","OK")))))))))))</f>
        <v>OK</v>
      </c>
      <c r="M146" s="64" t="n">
        <f aca="false">IF($A146="",0,IFERROR(MATCH($A146,Classes!$A$6:$A$420,0),0))</f>
        <v>283</v>
      </c>
      <c r="N146" s="64" t="n">
        <f aca="false">IF($H146="",0,IFERROR(MATCH($H146,GradeList,0),0))</f>
        <v>0</v>
      </c>
      <c r="O146" s="64" t="n">
        <f aca="false">IF(OR($I146="",$I146="NR"),0,IFERROR(MATCH($I146,GradeList,0),0))</f>
        <v>9</v>
      </c>
      <c r="P146" s="64" t="n">
        <f aca="false">IF(AND($M146&gt;0,ISNUMBER(MATCH($F146,Lists!$A$2:$A$5,0)),ISNUMBER(MATCH($G146,Lists!$B$2:$B$7,0)),OR($H146="",$N146&gt;0),OR($I146="",$I146="NR",$O146&gt;0),IF(ISNUMBER($J146),AND($J146&gt;=0,$J146=INT($J146)),FALSE())),$J146,0)</f>
        <v>2</v>
      </c>
      <c r="Q146" s="64" t="n">
        <f aca="false">IF(AND($P146&gt;0,$O146&gt;0),$P146,0)</f>
        <v>2</v>
      </c>
      <c r="R146" s="64" t="n">
        <f aca="false">IF(AND($Q146&gt;0,$O146&gt;=AtRank),$Q146,0)</f>
        <v>2</v>
      </c>
      <c r="S146" s="64" t="n">
        <f aca="false">IF(AND($Q146&gt;0,$O146&gt;=AboveRank),$Q146,0)</f>
        <v>2</v>
      </c>
      <c r="T146" s="64" t="n">
        <f aca="false">IF($K146="Less",$P146,0)</f>
        <v>0</v>
      </c>
      <c r="U146" s="64" t="n">
        <f aca="false">IF($K146="Expected",$P146,0)</f>
        <v>0</v>
      </c>
      <c r="V146" s="64" t="n">
        <f aca="false">IF($K146="Better",$P146,0)</f>
        <v>0</v>
      </c>
      <c r="W146" s="64" t="n">
        <f aca="false">IF($K146="U – needs rule",$P146,0)</f>
        <v>0</v>
      </c>
      <c r="X146" s="64" t="n">
        <f aca="false">IF($K146="No Start (attainment only)",$P146,0)</f>
        <v>0</v>
      </c>
    </row>
    <row r="147" customFormat="false" ht="15" hidden="false" customHeight="false" outlineLevel="0" collapsed="false">
      <c r="A147" s="60" t="s">
        <v>779</v>
      </c>
      <c r="B147" s="61" t="str">
        <f aca="false">IF($M147=0,"",INDEX(Classes!$E$6:$E$420,$M147))</f>
        <v>Arabic A</v>
      </c>
      <c r="C147" s="62" t="str">
        <f aca="false">IF($M147=0,"",INDEX(Classes!$H$6:$H$420,$M147))</f>
        <v>Mr Ahmed AbdelmonemElsye</v>
      </c>
      <c r="D147" s="61" t="str">
        <f aca="false">IF($M147=0,"",INDEX(Classes!$B$6:$B$420,$M147))</f>
        <v>Year 10</v>
      </c>
      <c r="E147" s="61" t="str">
        <f aca="false">IF($M147=0,"",INDEX(Classes!$C$6:$C$420,$M147))</f>
        <v>ah</v>
      </c>
      <c r="F147" s="63" t="s">
        <v>162</v>
      </c>
      <c r="G147" s="63" t="s">
        <v>1016</v>
      </c>
      <c r="H147" s="60"/>
      <c r="I147" s="60" t="s">
        <v>199</v>
      </c>
      <c r="J147" s="63" t="n">
        <v>1</v>
      </c>
      <c r="K147" s="61" t="str">
        <f aca="false">IF($P147=0,"",IF($F147="Baseline","— Baseline",IF($O147=0,"No result",IF($N147=0,"No Start (attainment only)",IF(OR($N147=1,$O147=1),"U – needs rule",INDEX(MxBody,MATCH($I147,MxCurr,0),MATCH($H147,MxStart,0)))))))</f>
        <v>— Baseline</v>
      </c>
      <c r="L147" s="62" t="str">
        <f aca="false">IF(COUNTA($A147,$F147,$G147,$H147,$I147,$J147)=0,"",IF($M147=0,"✖ كود الصف غير موجود",IF(ISNA(MATCH($F147,Lists!$A$2:$A$5,0)),"✖ الفترة غير صحيحة",IF(ISNA(MATCH($G147,Lists!$B$2:$B$7,0)),"✖ المجموعة غير صحيحة",IF(NOT(OR($H147="",$N147&gt;0)),"✖ Start غير صحيح",IF(NOT(OR($I147="",$I147="NR",$O147&gt;0)),"✖ Current غير صحيح",IF(NOT(IF(ISNUMBER($J147),AND($J147&gt;=0,$J147=INT($J147)),FALSE())),"✖ العدد يجب أن يكون صحيحًا ≥ 0",IF(AND($F147="Baseline",$H147&lt;&gt;""),"⚠ Baseline: Start لا يدخل في التقدم",IF($K147="No Start (attainment only)","ℹ تحصيل فقط (بدون Start)",IF($K147="U – needs rule","ℹ حالة U تحتاج قاعدة معتمدة",IF($K147="No result","ℹ بدون نتيجة (يُستبعد من التحصيل)","OK")))))))))))</f>
        <v>OK</v>
      </c>
      <c r="M147" s="64" t="n">
        <f aca="false">IF($A147="",0,IFERROR(MATCH($A147,Classes!$A$6:$A$420,0),0))</f>
        <v>283</v>
      </c>
      <c r="N147" s="64" t="n">
        <f aca="false">IF($H147="",0,IFERROR(MATCH($H147,GradeList,0),0))</f>
        <v>0</v>
      </c>
      <c r="O147" s="64" t="n">
        <f aca="false">IF(OR($I147="",$I147="NR"),0,IFERROR(MATCH($I147,GradeList,0),0))</f>
        <v>4</v>
      </c>
      <c r="P147" s="64" t="n">
        <f aca="false">IF(AND($M147&gt;0,ISNUMBER(MATCH($F147,Lists!$A$2:$A$5,0)),ISNUMBER(MATCH($G147,Lists!$B$2:$B$7,0)),OR($H147="",$N147&gt;0),OR($I147="",$I147="NR",$O147&gt;0),IF(ISNUMBER($J147),AND($J147&gt;=0,$J147=INT($J147)),FALSE())),$J147,0)</f>
        <v>1</v>
      </c>
      <c r="Q147" s="64" t="n">
        <f aca="false">IF(AND($P147&gt;0,$O147&gt;0),$P147,0)</f>
        <v>1</v>
      </c>
      <c r="R147" s="64" t="n">
        <f aca="false">IF(AND($Q147&gt;0,$O147&gt;=AtRank),$Q147,0)</f>
        <v>0</v>
      </c>
      <c r="S147" s="64" t="n">
        <f aca="false">IF(AND($Q147&gt;0,$O147&gt;=AboveRank),$Q147,0)</f>
        <v>0</v>
      </c>
      <c r="T147" s="64" t="n">
        <f aca="false">IF($K147="Less",$P147,0)</f>
        <v>0</v>
      </c>
      <c r="U147" s="64" t="n">
        <f aca="false">IF($K147="Expected",$P147,0)</f>
        <v>0</v>
      </c>
      <c r="V147" s="64" t="n">
        <f aca="false">IF($K147="Better",$P147,0)</f>
        <v>0</v>
      </c>
      <c r="W147" s="64" t="n">
        <f aca="false">IF($K147="U – needs rule",$P147,0)</f>
        <v>0</v>
      </c>
      <c r="X147" s="64" t="n">
        <f aca="false">IF($K147="No Start (attainment only)",$P147,0)</f>
        <v>0</v>
      </c>
    </row>
    <row r="148" customFormat="false" ht="15" hidden="false" customHeight="false" outlineLevel="0" collapsed="false">
      <c r="A148" s="60" t="s">
        <v>779</v>
      </c>
      <c r="B148" s="61" t="str">
        <f aca="false">IF($M148=0,"",INDEX(Classes!$E$6:$E$420,$M148))</f>
        <v>Arabic A</v>
      </c>
      <c r="C148" s="62" t="str">
        <f aca="false">IF($M148=0,"",INDEX(Classes!$H$6:$H$420,$M148))</f>
        <v>Mr Ahmed AbdelmonemElsye</v>
      </c>
      <c r="D148" s="61" t="str">
        <f aca="false">IF($M148=0,"",INDEX(Classes!$B$6:$B$420,$M148))</f>
        <v>Year 10</v>
      </c>
      <c r="E148" s="61" t="str">
        <f aca="false">IF($M148=0,"",INDEX(Classes!$C$6:$C$420,$M148))</f>
        <v>ah</v>
      </c>
      <c r="F148" s="63" t="s">
        <v>162</v>
      </c>
      <c r="G148" s="63" t="s">
        <v>941</v>
      </c>
      <c r="H148" s="60"/>
      <c r="I148" s="60" t="s">
        <v>203</v>
      </c>
      <c r="J148" s="63" t="n">
        <v>1</v>
      </c>
      <c r="K148" s="61" t="str">
        <f aca="false">IF($P148=0,"",IF($F148="Baseline","— Baseline",IF($O148=0,"No result",IF($N148=0,"No Start (attainment only)",IF(OR($N148=1,$O148=1),"U – needs rule",INDEX(MxBody,MATCH($I148,MxCurr,0),MATCH($H148,MxStart,0)))))))</f>
        <v>— Baseline</v>
      </c>
      <c r="L148" s="62" t="str">
        <f aca="false">IF(COUNTA($A148,$F148,$G148,$H148,$I148,$J148)=0,"",IF($M148=0,"✖ كود الصف غير موجود",IF(ISNA(MATCH($F148,Lists!$A$2:$A$5,0)),"✖ الفترة غير صحيحة",IF(ISNA(MATCH($G148,Lists!$B$2:$B$7,0)),"✖ المجموعة غير صحيحة",IF(NOT(OR($H148="",$N148&gt;0)),"✖ Start غير صحيح",IF(NOT(OR($I148="",$I148="NR",$O148&gt;0)),"✖ Current غير صحيح",IF(NOT(IF(ISNUMBER($J148),AND($J148&gt;=0,$J148=INT($J148)),FALSE())),"✖ العدد يجب أن يكون صحيحًا ≥ 0",IF(AND($F148="Baseline",$H148&lt;&gt;""),"⚠ Baseline: Start لا يدخل في التقدم",IF($K148="No Start (attainment only)","ℹ تحصيل فقط (بدون Start)",IF($K148="U – needs rule","ℹ حالة U تحتاج قاعدة معتمدة",IF($K148="No result","ℹ بدون نتيجة (يُستبعد من التحصيل)","OK")))))))))))</f>
        <v>OK</v>
      </c>
      <c r="M148" s="64" t="n">
        <f aca="false">IF($A148="",0,IFERROR(MATCH($A148,Classes!$A$6:$A$420,0),0))</f>
        <v>283</v>
      </c>
      <c r="N148" s="64" t="n">
        <f aca="false">IF($H148="",0,IFERROR(MATCH($H148,GradeList,0),0))</f>
        <v>0</v>
      </c>
      <c r="O148" s="64" t="n">
        <f aca="false">IF(OR($I148="",$I148="NR"),0,IFERROR(MATCH($I148,GradeList,0),0))</f>
        <v>8</v>
      </c>
      <c r="P148" s="64" t="n">
        <f aca="false">IF(AND($M148&gt;0,ISNUMBER(MATCH($F148,Lists!$A$2:$A$5,0)),ISNUMBER(MATCH($G148,Lists!$B$2:$B$7,0)),OR($H148="",$N148&gt;0),OR($I148="",$I148="NR",$O148&gt;0),IF(ISNUMBER($J148),AND($J148&gt;=0,$J148=INT($J148)),FALSE())),$J148,0)</f>
        <v>1</v>
      </c>
      <c r="Q148" s="64" t="n">
        <f aca="false">IF(AND($P148&gt;0,$O148&gt;0),$P148,0)</f>
        <v>1</v>
      </c>
      <c r="R148" s="64" t="n">
        <f aca="false">IF(AND($Q148&gt;0,$O148&gt;=AtRank),$Q148,0)</f>
        <v>1</v>
      </c>
      <c r="S148" s="64" t="n">
        <f aca="false">IF(AND($Q148&gt;0,$O148&gt;=AboveRank),$Q148,0)</f>
        <v>1</v>
      </c>
      <c r="T148" s="64" t="n">
        <f aca="false">IF($K148="Less",$P148,0)</f>
        <v>0</v>
      </c>
      <c r="U148" s="64" t="n">
        <f aca="false">IF($K148="Expected",$P148,0)</f>
        <v>0</v>
      </c>
      <c r="V148" s="64" t="n">
        <f aca="false">IF($K148="Better",$P148,0)</f>
        <v>0</v>
      </c>
      <c r="W148" s="64" t="n">
        <f aca="false">IF($K148="U – needs rule",$P148,0)</f>
        <v>0</v>
      </c>
      <c r="X148" s="64" t="n">
        <f aca="false">IF($K148="No Start (attainment only)",$P148,0)</f>
        <v>0</v>
      </c>
    </row>
    <row r="149" customFormat="false" ht="15" hidden="false" customHeight="false" outlineLevel="0" collapsed="false">
      <c r="A149" s="60" t="s">
        <v>779</v>
      </c>
      <c r="B149" s="61" t="str">
        <f aca="false">IF($M149=0,"",INDEX(Classes!$E$6:$E$420,$M149))</f>
        <v>Arabic A</v>
      </c>
      <c r="C149" s="62" t="str">
        <f aca="false">IF($M149=0,"",INDEX(Classes!$H$6:$H$420,$M149))</f>
        <v>Mr Ahmed AbdelmonemElsye</v>
      </c>
      <c r="D149" s="61" t="str">
        <f aca="false">IF($M149=0,"",INDEX(Classes!$B$6:$B$420,$M149))</f>
        <v>Year 10</v>
      </c>
      <c r="E149" s="61" t="str">
        <f aca="false">IF($M149=0,"",INDEX(Classes!$C$6:$C$420,$M149))</f>
        <v>ah</v>
      </c>
      <c r="F149" s="63" t="s">
        <v>162</v>
      </c>
      <c r="G149" s="63" t="s">
        <v>941</v>
      </c>
      <c r="H149" s="60"/>
      <c r="I149" s="60" t="s">
        <v>200</v>
      </c>
      <c r="J149" s="63" t="n">
        <v>1</v>
      </c>
      <c r="K149" s="61" t="str">
        <f aca="false">IF($P149=0,"",IF($F149="Baseline","— Baseline",IF($O149=0,"No result",IF($N149=0,"No Start (attainment only)",IF(OR($N149=1,$O149=1),"U – needs rule",INDEX(MxBody,MATCH($I149,MxCurr,0),MATCH($H149,MxStart,0)))))))</f>
        <v>— Baseline</v>
      </c>
      <c r="L149" s="62" t="str">
        <f aca="false">IF(COUNTA($A149,$F149,$G149,$H149,$I149,$J149)=0,"",IF($M149=0,"✖ كود الصف غير موجود",IF(ISNA(MATCH($F149,Lists!$A$2:$A$5,0)),"✖ الفترة غير صحيحة",IF(ISNA(MATCH($G149,Lists!$B$2:$B$7,0)),"✖ المجموعة غير صحيحة",IF(NOT(OR($H149="",$N149&gt;0)),"✖ Start غير صحيح",IF(NOT(OR($I149="",$I149="NR",$O149&gt;0)),"✖ Current غير صحيح",IF(NOT(IF(ISNUMBER($J149),AND($J149&gt;=0,$J149=INT($J149)),FALSE())),"✖ العدد يجب أن يكون صحيحًا ≥ 0",IF(AND($F149="Baseline",$H149&lt;&gt;""),"⚠ Baseline: Start لا يدخل في التقدم",IF($K149="No Start (attainment only)","ℹ تحصيل فقط (بدون Start)",IF($K149="U – needs rule","ℹ حالة U تحتاج قاعدة معتمدة",IF($K149="No result","ℹ بدون نتيجة (يُستبعد من التحصيل)","OK")))))))))))</f>
        <v>OK</v>
      </c>
      <c r="M149" s="64" t="n">
        <f aca="false">IF($A149="",0,IFERROR(MATCH($A149,Classes!$A$6:$A$420,0),0))</f>
        <v>283</v>
      </c>
      <c r="N149" s="64" t="n">
        <f aca="false">IF($H149="",0,IFERROR(MATCH($H149,GradeList,0),0))</f>
        <v>0</v>
      </c>
      <c r="O149" s="64" t="n">
        <f aca="false">IF(OR($I149="",$I149="NR"),0,IFERROR(MATCH($I149,GradeList,0),0))</f>
        <v>5</v>
      </c>
      <c r="P149" s="64" t="n">
        <f aca="false">IF(AND($M149&gt;0,ISNUMBER(MATCH($F149,Lists!$A$2:$A$5,0)),ISNUMBER(MATCH($G149,Lists!$B$2:$B$7,0)),OR($H149="",$N149&gt;0),OR($I149="",$I149="NR",$O149&gt;0),IF(ISNUMBER($J149),AND($J149&gt;=0,$J149=INT($J149)),FALSE())),$J149,0)</f>
        <v>1</v>
      </c>
      <c r="Q149" s="64" t="n">
        <f aca="false">IF(AND($P149&gt;0,$O149&gt;0),$P149,0)</f>
        <v>1</v>
      </c>
      <c r="R149" s="64" t="n">
        <f aca="false">IF(AND($Q149&gt;0,$O149&gt;=AtRank),$Q149,0)</f>
        <v>1</v>
      </c>
      <c r="S149" s="64" t="n">
        <f aca="false">IF(AND($Q149&gt;0,$O149&gt;=AboveRank),$Q149,0)</f>
        <v>0</v>
      </c>
      <c r="T149" s="64" t="n">
        <f aca="false">IF($K149="Less",$P149,0)</f>
        <v>0</v>
      </c>
      <c r="U149" s="64" t="n">
        <f aca="false">IF($K149="Expected",$P149,0)</f>
        <v>0</v>
      </c>
      <c r="V149" s="64" t="n">
        <f aca="false">IF($K149="Better",$P149,0)</f>
        <v>0</v>
      </c>
      <c r="W149" s="64" t="n">
        <f aca="false">IF($K149="U – needs rule",$P149,0)</f>
        <v>0</v>
      </c>
      <c r="X149" s="64" t="n">
        <f aca="false">IF($K149="No Start (attainment only)",$P149,0)</f>
        <v>0</v>
      </c>
    </row>
    <row r="150" customFormat="false" ht="15" hidden="false" customHeight="false" outlineLevel="0" collapsed="false">
      <c r="A150" s="60" t="s">
        <v>779</v>
      </c>
      <c r="B150" s="61" t="str">
        <f aca="false">IF($M150=0,"",INDEX(Classes!$E$6:$E$420,$M150))</f>
        <v>Arabic A</v>
      </c>
      <c r="C150" s="62" t="str">
        <f aca="false">IF($M150=0,"",INDEX(Classes!$H$6:$H$420,$M150))</f>
        <v>Mr Ahmed AbdelmonemElsye</v>
      </c>
      <c r="D150" s="61" t="str">
        <f aca="false">IF($M150=0,"",INDEX(Classes!$B$6:$B$420,$M150))</f>
        <v>Year 10</v>
      </c>
      <c r="E150" s="61" t="str">
        <f aca="false">IF($M150=0,"",INDEX(Classes!$C$6:$C$420,$M150))</f>
        <v>ah</v>
      </c>
      <c r="F150" s="63" t="s">
        <v>162</v>
      </c>
      <c r="G150" s="63" t="s">
        <v>941</v>
      </c>
      <c r="H150" s="60"/>
      <c r="I150" s="60" t="s">
        <v>204</v>
      </c>
      <c r="J150" s="63" t="n">
        <v>1</v>
      </c>
      <c r="K150" s="61" t="str">
        <f aca="false">IF($P150=0,"",IF($F150="Baseline","— Baseline",IF($O150=0,"No result",IF($N150=0,"No Start (attainment only)",IF(OR($N150=1,$O150=1),"U – needs rule",INDEX(MxBody,MATCH($I150,MxCurr,0),MATCH($H150,MxStart,0)))))))</f>
        <v>— Baseline</v>
      </c>
      <c r="L150" s="62" t="str">
        <f aca="false">IF(COUNTA($A150,$F150,$G150,$H150,$I150,$J150)=0,"",IF($M150=0,"✖ كود الصف غير موجود",IF(ISNA(MATCH($F150,Lists!$A$2:$A$5,0)),"✖ الفترة غير صحيحة",IF(ISNA(MATCH($G150,Lists!$B$2:$B$7,0)),"✖ المجموعة غير صحيحة",IF(NOT(OR($H150="",$N150&gt;0)),"✖ Start غير صحيح",IF(NOT(OR($I150="",$I150="NR",$O150&gt;0)),"✖ Current غير صحيح",IF(NOT(IF(ISNUMBER($J150),AND($J150&gt;=0,$J150=INT($J150)),FALSE())),"✖ العدد يجب أن يكون صحيحًا ≥ 0",IF(AND($F150="Baseline",$H150&lt;&gt;""),"⚠ Baseline: Start لا يدخل في التقدم",IF($K150="No Start (attainment only)","ℹ تحصيل فقط (بدون Start)",IF($K150="U – needs rule","ℹ حالة U تحتاج قاعدة معتمدة",IF($K150="No result","ℹ بدون نتيجة (يُستبعد من التحصيل)","OK")))))))))))</f>
        <v>OK</v>
      </c>
      <c r="M150" s="64" t="n">
        <f aca="false">IF($A150="",0,IFERROR(MATCH($A150,Classes!$A$6:$A$420,0),0))</f>
        <v>283</v>
      </c>
      <c r="N150" s="64" t="n">
        <f aca="false">IF($H150="",0,IFERROR(MATCH($H150,GradeList,0),0))</f>
        <v>0</v>
      </c>
      <c r="O150" s="64" t="n">
        <f aca="false">IF(OR($I150="",$I150="NR"),0,IFERROR(MATCH($I150,GradeList,0),0))</f>
        <v>9</v>
      </c>
      <c r="P150" s="64" t="n">
        <f aca="false">IF(AND($M150&gt;0,ISNUMBER(MATCH($F150,Lists!$A$2:$A$5,0)),ISNUMBER(MATCH($G150,Lists!$B$2:$B$7,0)),OR($H150="",$N150&gt;0),OR($I150="",$I150="NR",$O150&gt;0),IF(ISNUMBER($J150),AND($J150&gt;=0,$J150=INT($J150)),FALSE())),$J150,0)</f>
        <v>1</v>
      </c>
      <c r="Q150" s="64" t="n">
        <f aca="false">IF(AND($P150&gt;0,$O150&gt;0),$P150,0)</f>
        <v>1</v>
      </c>
      <c r="R150" s="64" t="n">
        <f aca="false">IF(AND($Q150&gt;0,$O150&gt;=AtRank),$Q150,0)</f>
        <v>1</v>
      </c>
      <c r="S150" s="64" t="n">
        <f aca="false">IF(AND($Q150&gt;0,$O150&gt;=AboveRank),$Q150,0)</f>
        <v>1</v>
      </c>
      <c r="T150" s="64" t="n">
        <f aca="false">IF($K150="Less",$P150,0)</f>
        <v>0</v>
      </c>
      <c r="U150" s="64" t="n">
        <f aca="false">IF($K150="Expected",$P150,0)</f>
        <v>0</v>
      </c>
      <c r="V150" s="64" t="n">
        <f aca="false">IF($K150="Better",$P150,0)</f>
        <v>0</v>
      </c>
      <c r="W150" s="64" t="n">
        <f aca="false">IF($K150="U – needs rule",$P150,0)</f>
        <v>0</v>
      </c>
      <c r="X150" s="64" t="n">
        <f aca="false">IF($K150="No Start (attainment only)",$P150,0)</f>
        <v>0</v>
      </c>
    </row>
    <row r="151" customFormat="false" ht="15" hidden="false" customHeight="false" outlineLevel="0" collapsed="false">
      <c r="A151" s="60" t="s">
        <v>779</v>
      </c>
      <c r="B151" s="61" t="str">
        <f aca="false">IF($M151=0,"",INDEX(Classes!$E$6:$E$420,$M151))</f>
        <v>Arabic A</v>
      </c>
      <c r="C151" s="62" t="str">
        <f aca="false">IF($M151=0,"",INDEX(Classes!$H$6:$H$420,$M151))</f>
        <v>Mr Ahmed AbdelmonemElsye</v>
      </c>
      <c r="D151" s="61" t="str">
        <f aca="false">IF($M151=0,"",INDEX(Classes!$B$6:$B$420,$M151))</f>
        <v>Year 10</v>
      </c>
      <c r="E151" s="61" t="str">
        <f aca="false">IF($M151=0,"",INDEX(Classes!$C$6:$C$420,$M151))</f>
        <v>ah</v>
      </c>
      <c r="F151" s="63" t="s">
        <v>162</v>
      </c>
      <c r="G151" s="63" t="s">
        <v>941</v>
      </c>
      <c r="H151" s="60"/>
      <c r="I151" s="60" t="s">
        <v>199</v>
      </c>
      <c r="J151" s="63" t="n">
        <v>1</v>
      </c>
      <c r="K151" s="61" t="str">
        <f aca="false">IF($P151=0,"",IF($F151="Baseline","— Baseline",IF($O151=0,"No result",IF($N151=0,"No Start (attainment only)",IF(OR($N151=1,$O151=1),"U – needs rule",INDEX(MxBody,MATCH($I151,MxCurr,0),MATCH($H151,MxStart,0)))))))</f>
        <v>— Baseline</v>
      </c>
      <c r="L151" s="62" t="str">
        <f aca="false">IF(COUNTA($A151,$F151,$G151,$H151,$I151,$J151)=0,"",IF($M151=0,"✖ كود الصف غير موجود",IF(ISNA(MATCH($F151,Lists!$A$2:$A$5,0)),"✖ الفترة غير صحيحة",IF(ISNA(MATCH($G151,Lists!$B$2:$B$7,0)),"✖ المجموعة غير صحيحة",IF(NOT(OR($H151="",$N151&gt;0)),"✖ Start غير صحيح",IF(NOT(OR($I151="",$I151="NR",$O151&gt;0)),"✖ Current غير صحيح",IF(NOT(IF(ISNUMBER($J151),AND($J151&gt;=0,$J151=INT($J151)),FALSE())),"✖ العدد يجب أن يكون صحيحًا ≥ 0",IF(AND($F151="Baseline",$H151&lt;&gt;""),"⚠ Baseline: Start لا يدخل في التقدم",IF($K151="No Start (attainment only)","ℹ تحصيل فقط (بدون Start)",IF($K151="U – needs rule","ℹ حالة U تحتاج قاعدة معتمدة",IF($K151="No result","ℹ بدون نتيجة (يُستبعد من التحصيل)","OK")))))))))))</f>
        <v>OK</v>
      </c>
      <c r="M151" s="64" t="n">
        <f aca="false">IF($A151="",0,IFERROR(MATCH($A151,Classes!$A$6:$A$420,0),0))</f>
        <v>283</v>
      </c>
      <c r="N151" s="64" t="n">
        <f aca="false">IF($H151="",0,IFERROR(MATCH($H151,GradeList,0),0))</f>
        <v>0</v>
      </c>
      <c r="O151" s="64" t="n">
        <f aca="false">IF(OR($I151="",$I151="NR"),0,IFERROR(MATCH($I151,GradeList,0),0))</f>
        <v>4</v>
      </c>
      <c r="P151" s="64" t="n">
        <f aca="false">IF(AND($M151&gt;0,ISNUMBER(MATCH($F151,Lists!$A$2:$A$5,0)),ISNUMBER(MATCH($G151,Lists!$B$2:$B$7,0)),OR($H151="",$N151&gt;0),OR($I151="",$I151="NR",$O151&gt;0),IF(ISNUMBER($J151),AND($J151&gt;=0,$J151=INT($J151)),FALSE())),$J151,0)</f>
        <v>1</v>
      </c>
      <c r="Q151" s="64" t="n">
        <f aca="false">IF(AND($P151&gt;0,$O151&gt;0),$P151,0)</f>
        <v>1</v>
      </c>
      <c r="R151" s="64" t="n">
        <f aca="false">IF(AND($Q151&gt;0,$O151&gt;=AtRank),$Q151,0)</f>
        <v>0</v>
      </c>
      <c r="S151" s="64" t="n">
        <f aca="false">IF(AND($Q151&gt;0,$O151&gt;=AboveRank),$Q151,0)</f>
        <v>0</v>
      </c>
      <c r="T151" s="64" t="n">
        <f aca="false">IF($K151="Less",$P151,0)</f>
        <v>0</v>
      </c>
      <c r="U151" s="64" t="n">
        <f aca="false">IF($K151="Expected",$P151,0)</f>
        <v>0</v>
      </c>
      <c r="V151" s="64" t="n">
        <f aca="false">IF($K151="Better",$P151,0)</f>
        <v>0</v>
      </c>
      <c r="W151" s="64" t="n">
        <f aca="false">IF($K151="U – needs rule",$P151,0)</f>
        <v>0</v>
      </c>
      <c r="X151" s="64" t="n">
        <f aca="false">IF($K151="No Start (attainment only)",$P151,0)</f>
        <v>0</v>
      </c>
    </row>
    <row r="152" customFormat="false" ht="15" hidden="false" customHeight="false" outlineLevel="0" collapsed="false">
      <c r="A152" s="60" t="s">
        <v>779</v>
      </c>
      <c r="B152" s="61" t="str">
        <f aca="false">IF($M152=0,"",INDEX(Classes!$E$6:$E$420,$M152))</f>
        <v>Arabic A</v>
      </c>
      <c r="C152" s="62" t="str">
        <f aca="false">IF($M152=0,"",INDEX(Classes!$H$6:$H$420,$M152))</f>
        <v>Mr Ahmed AbdelmonemElsye</v>
      </c>
      <c r="D152" s="61" t="str">
        <f aca="false">IF($M152=0,"",INDEX(Classes!$B$6:$B$420,$M152))</f>
        <v>Year 10</v>
      </c>
      <c r="E152" s="61" t="str">
        <f aca="false">IF($M152=0,"",INDEX(Classes!$C$6:$C$420,$M152))</f>
        <v>ah</v>
      </c>
      <c r="F152" s="63" t="s">
        <v>162</v>
      </c>
      <c r="G152" s="63" t="s">
        <v>1017</v>
      </c>
      <c r="H152" s="60"/>
      <c r="I152" s="60" t="s">
        <v>203</v>
      </c>
      <c r="J152" s="63" t="n">
        <v>1</v>
      </c>
      <c r="K152" s="61" t="str">
        <f aca="false">IF($P152=0,"",IF($F152="Baseline","— Baseline",IF($O152=0,"No result",IF($N152=0,"No Start (attainment only)",IF(OR($N152=1,$O152=1),"U – needs rule",INDEX(MxBody,MATCH($I152,MxCurr,0),MATCH($H152,MxStart,0)))))))</f>
        <v>— Baseline</v>
      </c>
      <c r="L152" s="62" t="str">
        <f aca="false">IF(COUNTA($A152,$F152,$G152,$H152,$I152,$J152)=0,"",IF($M152=0,"✖ كود الصف غير موجود",IF(ISNA(MATCH($F152,Lists!$A$2:$A$5,0)),"✖ الفترة غير صحيحة",IF(ISNA(MATCH($G152,Lists!$B$2:$B$7,0)),"✖ المجموعة غير صحيحة",IF(NOT(OR($H152="",$N152&gt;0)),"✖ Start غير صحيح",IF(NOT(OR($I152="",$I152="NR",$O152&gt;0)),"✖ Current غير صحيح",IF(NOT(IF(ISNUMBER($J152),AND($J152&gt;=0,$J152=INT($J152)),FALSE())),"✖ العدد يجب أن يكون صحيحًا ≥ 0",IF(AND($F152="Baseline",$H152&lt;&gt;""),"⚠ Baseline: Start لا يدخل في التقدم",IF($K152="No Start (attainment only)","ℹ تحصيل فقط (بدون Start)",IF($K152="U – needs rule","ℹ حالة U تحتاج قاعدة معتمدة",IF($K152="No result","ℹ بدون نتيجة (يُستبعد من التحصيل)","OK")))))))))))</f>
        <v>OK</v>
      </c>
      <c r="M152" s="64" t="n">
        <f aca="false">IF($A152="",0,IFERROR(MATCH($A152,Classes!$A$6:$A$420,0),0))</f>
        <v>283</v>
      </c>
      <c r="N152" s="64" t="n">
        <f aca="false">IF($H152="",0,IFERROR(MATCH($H152,GradeList,0),0))</f>
        <v>0</v>
      </c>
      <c r="O152" s="64" t="n">
        <f aca="false">IF(OR($I152="",$I152="NR"),0,IFERROR(MATCH($I152,GradeList,0),0))</f>
        <v>8</v>
      </c>
      <c r="P152" s="64" t="n">
        <f aca="false">IF(AND($M152&gt;0,ISNUMBER(MATCH($F152,Lists!$A$2:$A$5,0)),ISNUMBER(MATCH($G152,Lists!$B$2:$B$7,0)),OR($H152="",$N152&gt;0),OR($I152="",$I152="NR",$O152&gt;0),IF(ISNUMBER($J152),AND($J152&gt;=0,$J152=INT($J152)),FALSE())),$J152,0)</f>
        <v>1</v>
      </c>
      <c r="Q152" s="64" t="n">
        <f aca="false">IF(AND($P152&gt;0,$O152&gt;0),$P152,0)</f>
        <v>1</v>
      </c>
      <c r="R152" s="64" t="n">
        <f aca="false">IF(AND($Q152&gt;0,$O152&gt;=AtRank),$Q152,0)</f>
        <v>1</v>
      </c>
      <c r="S152" s="64" t="n">
        <f aca="false">IF(AND($Q152&gt;0,$O152&gt;=AboveRank),$Q152,0)</f>
        <v>1</v>
      </c>
      <c r="T152" s="64" t="n">
        <f aca="false">IF($K152="Less",$P152,0)</f>
        <v>0</v>
      </c>
      <c r="U152" s="64" t="n">
        <f aca="false">IF($K152="Expected",$P152,0)</f>
        <v>0</v>
      </c>
      <c r="V152" s="64" t="n">
        <f aca="false">IF($K152="Better",$P152,0)</f>
        <v>0</v>
      </c>
      <c r="W152" s="64" t="n">
        <f aca="false">IF($K152="U – needs rule",$P152,0)</f>
        <v>0</v>
      </c>
      <c r="X152" s="64" t="n">
        <f aca="false">IF($K152="No Start (attainment only)",$P152,0)</f>
        <v>0</v>
      </c>
    </row>
    <row r="153" customFormat="false" ht="15" hidden="false" customHeight="false" outlineLevel="0" collapsed="false">
      <c r="A153" s="60" t="s">
        <v>779</v>
      </c>
      <c r="B153" s="61" t="str">
        <f aca="false">IF($M153=0,"",INDEX(Classes!$E$6:$E$420,$M153))</f>
        <v>Arabic A</v>
      </c>
      <c r="C153" s="62" t="str">
        <f aca="false">IF($M153=0,"",INDEX(Classes!$H$6:$H$420,$M153))</f>
        <v>Mr Ahmed AbdelmonemElsye</v>
      </c>
      <c r="D153" s="61" t="str">
        <f aca="false">IF($M153=0,"",INDEX(Classes!$B$6:$B$420,$M153))</f>
        <v>Year 10</v>
      </c>
      <c r="E153" s="61" t="str">
        <f aca="false">IF($M153=0,"",INDEX(Classes!$C$6:$C$420,$M153))</f>
        <v>ah</v>
      </c>
      <c r="F153" s="63" t="s">
        <v>162</v>
      </c>
      <c r="G153" s="63" t="s">
        <v>1017</v>
      </c>
      <c r="H153" s="60"/>
      <c r="I153" s="60" t="s">
        <v>201</v>
      </c>
      <c r="J153" s="63" t="n">
        <v>1</v>
      </c>
      <c r="K153" s="61" t="str">
        <f aca="false">IF($P153=0,"",IF($F153="Baseline","— Baseline",IF($O153=0,"No result",IF($N153=0,"No Start (attainment only)",IF(OR($N153=1,$O153=1),"U – needs rule",INDEX(MxBody,MATCH($I153,MxCurr,0),MATCH($H153,MxStart,0)))))))</f>
        <v>— Baseline</v>
      </c>
      <c r="L153" s="62" t="str">
        <f aca="false">IF(COUNTA($A153,$F153,$G153,$H153,$I153,$J153)=0,"",IF($M153=0,"✖ كود الصف غير موجود",IF(ISNA(MATCH($F153,Lists!$A$2:$A$5,0)),"✖ الفترة غير صحيحة",IF(ISNA(MATCH($G153,Lists!$B$2:$B$7,0)),"✖ المجموعة غير صحيحة",IF(NOT(OR($H153="",$N153&gt;0)),"✖ Start غير صحيح",IF(NOT(OR($I153="",$I153="NR",$O153&gt;0)),"✖ Current غير صحيح",IF(NOT(IF(ISNUMBER($J153),AND($J153&gt;=0,$J153=INT($J153)),FALSE())),"✖ العدد يجب أن يكون صحيحًا ≥ 0",IF(AND($F153="Baseline",$H153&lt;&gt;""),"⚠ Baseline: Start لا يدخل في التقدم",IF($K153="No Start (attainment only)","ℹ تحصيل فقط (بدون Start)",IF($K153="U – needs rule","ℹ حالة U تحتاج قاعدة معتمدة",IF($K153="No result","ℹ بدون نتيجة (يُستبعد من التحصيل)","OK")))))))))))</f>
        <v>OK</v>
      </c>
      <c r="M153" s="64" t="n">
        <f aca="false">IF($A153="",0,IFERROR(MATCH($A153,Classes!$A$6:$A$420,0),0))</f>
        <v>283</v>
      </c>
      <c r="N153" s="64" t="n">
        <f aca="false">IF($H153="",0,IFERROR(MATCH($H153,GradeList,0),0))</f>
        <v>0</v>
      </c>
      <c r="O153" s="64" t="n">
        <f aca="false">IF(OR($I153="",$I153="NR"),0,IFERROR(MATCH($I153,GradeList,0),0))</f>
        <v>6</v>
      </c>
      <c r="P153" s="64" t="n">
        <f aca="false">IF(AND($M153&gt;0,ISNUMBER(MATCH($F153,Lists!$A$2:$A$5,0)),ISNUMBER(MATCH($G153,Lists!$B$2:$B$7,0)),OR($H153="",$N153&gt;0),OR($I153="",$I153="NR",$O153&gt;0),IF(ISNUMBER($J153),AND($J153&gt;=0,$J153=INT($J153)),FALSE())),$J153,0)</f>
        <v>1</v>
      </c>
      <c r="Q153" s="64" t="n">
        <f aca="false">IF(AND($P153&gt;0,$O153&gt;0),$P153,0)</f>
        <v>1</v>
      </c>
      <c r="R153" s="64" t="n">
        <f aca="false">IF(AND($Q153&gt;0,$O153&gt;=AtRank),$Q153,0)</f>
        <v>1</v>
      </c>
      <c r="S153" s="64" t="n">
        <f aca="false">IF(AND($Q153&gt;0,$O153&gt;=AboveRank),$Q153,0)</f>
        <v>0</v>
      </c>
      <c r="T153" s="64" t="n">
        <f aca="false">IF($K153="Less",$P153,0)</f>
        <v>0</v>
      </c>
      <c r="U153" s="64" t="n">
        <f aca="false">IF($K153="Expected",$P153,0)</f>
        <v>0</v>
      </c>
      <c r="V153" s="64" t="n">
        <f aca="false">IF($K153="Better",$P153,0)</f>
        <v>0</v>
      </c>
      <c r="W153" s="64" t="n">
        <f aca="false">IF($K153="U – needs rule",$P153,0)</f>
        <v>0</v>
      </c>
      <c r="X153" s="64" t="n">
        <f aca="false">IF($K153="No Start (attainment only)",$P153,0)</f>
        <v>0</v>
      </c>
    </row>
    <row r="154" customFormat="false" ht="15" hidden="false" customHeight="false" outlineLevel="0" collapsed="false">
      <c r="A154" s="60" t="s">
        <v>779</v>
      </c>
      <c r="B154" s="61" t="str">
        <f aca="false">IF($M154=0,"",INDEX(Classes!$E$6:$E$420,$M154))</f>
        <v>Arabic A</v>
      </c>
      <c r="C154" s="62" t="str">
        <f aca="false">IF($M154=0,"",INDEX(Classes!$H$6:$H$420,$M154))</f>
        <v>Mr Ahmed AbdelmonemElsye</v>
      </c>
      <c r="D154" s="61" t="str">
        <f aca="false">IF($M154=0,"",INDEX(Classes!$B$6:$B$420,$M154))</f>
        <v>Year 10</v>
      </c>
      <c r="E154" s="61" t="str">
        <f aca="false">IF($M154=0,"",INDEX(Classes!$C$6:$C$420,$M154))</f>
        <v>ah</v>
      </c>
      <c r="F154" s="63" t="s">
        <v>162</v>
      </c>
      <c r="G154" s="63" t="s">
        <v>1017</v>
      </c>
      <c r="H154" s="60"/>
      <c r="I154" s="60" t="s">
        <v>204</v>
      </c>
      <c r="J154" s="63" t="n">
        <v>1</v>
      </c>
      <c r="K154" s="61" t="str">
        <f aca="false">IF($P154=0,"",IF($F154="Baseline","— Baseline",IF($O154=0,"No result",IF($N154=0,"No Start (attainment only)",IF(OR($N154=1,$O154=1),"U – needs rule",INDEX(MxBody,MATCH($I154,MxCurr,0),MATCH($H154,MxStart,0)))))))</f>
        <v>— Baseline</v>
      </c>
      <c r="L154" s="62" t="str">
        <f aca="false">IF(COUNTA($A154,$F154,$G154,$H154,$I154,$J154)=0,"",IF($M154=0,"✖ كود الصف غير موجود",IF(ISNA(MATCH($F154,Lists!$A$2:$A$5,0)),"✖ الفترة غير صحيحة",IF(ISNA(MATCH($G154,Lists!$B$2:$B$7,0)),"✖ المجموعة غير صحيحة",IF(NOT(OR($H154="",$N154&gt;0)),"✖ Start غير صحيح",IF(NOT(OR($I154="",$I154="NR",$O154&gt;0)),"✖ Current غير صحيح",IF(NOT(IF(ISNUMBER($J154),AND($J154&gt;=0,$J154=INT($J154)),FALSE())),"✖ العدد يجب أن يكون صحيحًا ≥ 0",IF(AND($F154="Baseline",$H154&lt;&gt;""),"⚠ Baseline: Start لا يدخل في التقدم",IF($K154="No Start (attainment only)","ℹ تحصيل فقط (بدون Start)",IF($K154="U – needs rule","ℹ حالة U تحتاج قاعدة معتمدة",IF($K154="No result","ℹ بدون نتيجة (يُستبعد من التحصيل)","OK")))))))))))</f>
        <v>OK</v>
      </c>
      <c r="M154" s="64" t="n">
        <f aca="false">IF($A154="",0,IFERROR(MATCH($A154,Classes!$A$6:$A$420,0),0))</f>
        <v>283</v>
      </c>
      <c r="N154" s="64" t="n">
        <f aca="false">IF($H154="",0,IFERROR(MATCH($H154,GradeList,0),0))</f>
        <v>0</v>
      </c>
      <c r="O154" s="64" t="n">
        <f aca="false">IF(OR($I154="",$I154="NR"),0,IFERROR(MATCH($I154,GradeList,0),0))</f>
        <v>9</v>
      </c>
      <c r="P154" s="64" t="n">
        <f aca="false">IF(AND($M154&gt;0,ISNUMBER(MATCH($F154,Lists!$A$2:$A$5,0)),ISNUMBER(MATCH($G154,Lists!$B$2:$B$7,0)),OR($H154="",$N154&gt;0),OR($I154="",$I154="NR",$O154&gt;0),IF(ISNUMBER($J154),AND($J154&gt;=0,$J154=INT($J154)),FALSE())),$J154,0)</f>
        <v>1</v>
      </c>
      <c r="Q154" s="64" t="n">
        <f aca="false">IF(AND($P154&gt;0,$O154&gt;0),$P154,0)</f>
        <v>1</v>
      </c>
      <c r="R154" s="64" t="n">
        <f aca="false">IF(AND($Q154&gt;0,$O154&gt;=AtRank),$Q154,0)</f>
        <v>1</v>
      </c>
      <c r="S154" s="64" t="n">
        <f aca="false">IF(AND($Q154&gt;0,$O154&gt;=AboveRank),$Q154,0)</f>
        <v>1</v>
      </c>
      <c r="T154" s="64" t="n">
        <f aca="false">IF($K154="Less",$P154,0)</f>
        <v>0</v>
      </c>
      <c r="U154" s="64" t="n">
        <f aca="false">IF($K154="Expected",$P154,0)</f>
        <v>0</v>
      </c>
      <c r="V154" s="64" t="n">
        <f aca="false">IF($K154="Better",$P154,0)</f>
        <v>0</v>
      </c>
      <c r="W154" s="64" t="n">
        <f aca="false">IF($K154="U – needs rule",$P154,0)</f>
        <v>0</v>
      </c>
      <c r="X154" s="64" t="n">
        <f aca="false">IF($K154="No Start (attainment only)",$P154,0)</f>
        <v>0</v>
      </c>
    </row>
    <row r="155" customFormat="false" ht="15" hidden="false" customHeight="false" outlineLevel="0" collapsed="false">
      <c r="A155" s="60" t="s">
        <v>779</v>
      </c>
      <c r="B155" s="61" t="str">
        <f aca="false">IF($M155=0,"",INDEX(Classes!$E$6:$E$420,$M155))</f>
        <v>Arabic A</v>
      </c>
      <c r="C155" s="62" t="str">
        <f aca="false">IF($M155=0,"",INDEX(Classes!$H$6:$H$420,$M155))</f>
        <v>Mr Ahmed AbdelmonemElsye</v>
      </c>
      <c r="D155" s="61" t="str">
        <f aca="false">IF($M155=0,"",INDEX(Classes!$B$6:$B$420,$M155))</f>
        <v>Year 10</v>
      </c>
      <c r="E155" s="61" t="str">
        <f aca="false">IF($M155=0,"",INDEX(Classes!$C$6:$C$420,$M155))</f>
        <v>ah</v>
      </c>
      <c r="F155" s="63" t="s">
        <v>162</v>
      </c>
      <c r="G155" s="63" t="s">
        <v>1018</v>
      </c>
      <c r="H155" s="60"/>
      <c r="I155" s="60" t="s">
        <v>203</v>
      </c>
      <c r="J155" s="63" t="n">
        <v>1</v>
      </c>
      <c r="K155" s="61" t="str">
        <f aca="false">IF($P155=0,"",IF($F155="Baseline","— Baseline",IF($O155=0,"No result",IF($N155=0,"No Start (attainment only)",IF(OR($N155=1,$O155=1),"U – needs rule",INDEX(MxBody,MATCH($I155,MxCurr,0),MATCH($H155,MxStart,0)))))))</f>
        <v>— Baseline</v>
      </c>
      <c r="L155" s="62" t="str">
        <f aca="false">IF(COUNTA($A155,$F155,$G155,$H155,$I155,$J155)=0,"",IF($M155=0,"✖ كود الصف غير موجود",IF(ISNA(MATCH($F155,Lists!$A$2:$A$5,0)),"✖ الفترة غير صحيحة",IF(ISNA(MATCH($G155,Lists!$B$2:$B$7,0)),"✖ المجموعة غير صحيحة",IF(NOT(OR($H155="",$N155&gt;0)),"✖ Start غير صحيح",IF(NOT(OR($I155="",$I155="NR",$O155&gt;0)),"✖ Current غير صحيح",IF(NOT(IF(ISNUMBER($J155),AND($J155&gt;=0,$J155=INT($J155)),FALSE())),"✖ العدد يجب أن يكون صحيحًا ≥ 0",IF(AND($F155="Baseline",$H155&lt;&gt;""),"⚠ Baseline: Start لا يدخل في التقدم",IF($K155="No Start (attainment only)","ℹ تحصيل فقط (بدون Start)",IF($K155="U – needs rule","ℹ حالة U تحتاج قاعدة معتمدة",IF($K155="No result","ℹ بدون نتيجة (يُستبعد من التحصيل)","OK")))))))))))</f>
        <v>OK</v>
      </c>
      <c r="M155" s="64" t="n">
        <f aca="false">IF($A155="",0,IFERROR(MATCH($A155,Classes!$A$6:$A$420,0),0))</f>
        <v>283</v>
      </c>
      <c r="N155" s="64" t="n">
        <f aca="false">IF($H155="",0,IFERROR(MATCH($H155,GradeList,0),0))</f>
        <v>0</v>
      </c>
      <c r="O155" s="64" t="n">
        <f aca="false">IF(OR($I155="",$I155="NR"),0,IFERROR(MATCH($I155,GradeList,0),0))</f>
        <v>8</v>
      </c>
      <c r="P155" s="64" t="n">
        <f aca="false">IF(AND($M155&gt;0,ISNUMBER(MATCH($F155,Lists!$A$2:$A$5,0)),ISNUMBER(MATCH($G155,Lists!$B$2:$B$7,0)),OR($H155="",$N155&gt;0),OR($I155="",$I155="NR",$O155&gt;0),IF(ISNUMBER($J155),AND($J155&gt;=0,$J155=INT($J155)),FALSE())),$J155,0)</f>
        <v>1</v>
      </c>
      <c r="Q155" s="64" t="n">
        <f aca="false">IF(AND($P155&gt;0,$O155&gt;0),$P155,0)</f>
        <v>1</v>
      </c>
      <c r="R155" s="64" t="n">
        <f aca="false">IF(AND($Q155&gt;0,$O155&gt;=AtRank),$Q155,0)</f>
        <v>1</v>
      </c>
      <c r="S155" s="64" t="n">
        <f aca="false">IF(AND($Q155&gt;0,$O155&gt;=AboveRank),$Q155,0)</f>
        <v>1</v>
      </c>
      <c r="T155" s="64" t="n">
        <f aca="false">IF($K155="Less",$P155,0)</f>
        <v>0</v>
      </c>
      <c r="U155" s="64" t="n">
        <f aca="false">IF($K155="Expected",$P155,0)</f>
        <v>0</v>
      </c>
      <c r="V155" s="64" t="n">
        <f aca="false">IF($K155="Better",$P155,0)</f>
        <v>0</v>
      </c>
      <c r="W155" s="64" t="n">
        <f aca="false">IF($K155="U – needs rule",$P155,0)</f>
        <v>0</v>
      </c>
      <c r="X155" s="64" t="n">
        <f aca="false">IF($K155="No Start (attainment only)",$P155,0)</f>
        <v>0</v>
      </c>
    </row>
    <row r="156" customFormat="false" ht="15" hidden="false" customHeight="false" outlineLevel="0" collapsed="false">
      <c r="A156" s="60" t="s">
        <v>779</v>
      </c>
      <c r="B156" s="61" t="str">
        <f aca="false">IF($M156=0,"",INDEX(Classes!$E$6:$E$420,$M156))</f>
        <v>Arabic A</v>
      </c>
      <c r="C156" s="62" t="str">
        <f aca="false">IF($M156=0,"",INDEX(Classes!$H$6:$H$420,$M156))</f>
        <v>Mr Ahmed AbdelmonemElsye</v>
      </c>
      <c r="D156" s="61" t="str">
        <f aca="false">IF($M156=0,"",INDEX(Classes!$B$6:$B$420,$M156))</f>
        <v>Year 10</v>
      </c>
      <c r="E156" s="61" t="str">
        <f aca="false">IF($M156=0,"",INDEX(Classes!$C$6:$C$420,$M156))</f>
        <v>ah</v>
      </c>
      <c r="F156" s="63" t="s">
        <v>162</v>
      </c>
      <c r="G156" s="63" t="s">
        <v>1018</v>
      </c>
      <c r="H156" s="60"/>
      <c r="I156" s="60" t="s">
        <v>200</v>
      </c>
      <c r="J156" s="63" t="n">
        <v>3</v>
      </c>
      <c r="K156" s="61" t="str">
        <f aca="false">IF($P156=0,"",IF($F156="Baseline","— Baseline",IF($O156=0,"No result",IF($N156=0,"No Start (attainment only)",IF(OR($N156=1,$O156=1),"U – needs rule",INDEX(MxBody,MATCH($I156,MxCurr,0),MATCH($H156,MxStart,0)))))))</f>
        <v>— Baseline</v>
      </c>
      <c r="L156" s="62" t="str">
        <f aca="false">IF(COUNTA($A156,$F156,$G156,$H156,$I156,$J156)=0,"",IF($M156=0,"✖ كود الصف غير موجود",IF(ISNA(MATCH($F156,Lists!$A$2:$A$5,0)),"✖ الفترة غير صحيحة",IF(ISNA(MATCH($G156,Lists!$B$2:$B$7,0)),"✖ المجموعة غير صحيحة",IF(NOT(OR($H156="",$N156&gt;0)),"✖ Start غير صحيح",IF(NOT(OR($I156="",$I156="NR",$O156&gt;0)),"✖ Current غير صحيح",IF(NOT(IF(ISNUMBER($J156),AND($J156&gt;=0,$J156=INT($J156)),FALSE())),"✖ العدد يجب أن يكون صحيحًا ≥ 0",IF(AND($F156="Baseline",$H156&lt;&gt;""),"⚠ Baseline: Start لا يدخل في التقدم",IF($K156="No Start (attainment only)","ℹ تحصيل فقط (بدون Start)",IF($K156="U – needs rule","ℹ حالة U تحتاج قاعدة معتمدة",IF($K156="No result","ℹ بدون نتيجة (يُستبعد من التحصيل)","OK")))))))))))</f>
        <v>OK</v>
      </c>
      <c r="M156" s="64" t="n">
        <f aca="false">IF($A156="",0,IFERROR(MATCH($A156,Classes!$A$6:$A$420,0),0))</f>
        <v>283</v>
      </c>
      <c r="N156" s="64" t="n">
        <f aca="false">IF($H156="",0,IFERROR(MATCH($H156,GradeList,0),0))</f>
        <v>0</v>
      </c>
      <c r="O156" s="64" t="n">
        <f aca="false">IF(OR($I156="",$I156="NR"),0,IFERROR(MATCH($I156,GradeList,0),0))</f>
        <v>5</v>
      </c>
      <c r="P156" s="64" t="n">
        <f aca="false">IF(AND($M156&gt;0,ISNUMBER(MATCH($F156,Lists!$A$2:$A$5,0)),ISNUMBER(MATCH($G156,Lists!$B$2:$B$7,0)),OR($H156="",$N156&gt;0),OR($I156="",$I156="NR",$O156&gt;0),IF(ISNUMBER($J156),AND($J156&gt;=0,$J156=INT($J156)),FALSE())),$J156,0)</f>
        <v>3</v>
      </c>
      <c r="Q156" s="64" t="n">
        <f aca="false">IF(AND($P156&gt;0,$O156&gt;0),$P156,0)</f>
        <v>3</v>
      </c>
      <c r="R156" s="64" t="n">
        <f aca="false">IF(AND($Q156&gt;0,$O156&gt;=AtRank),$Q156,0)</f>
        <v>3</v>
      </c>
      <c r="S156" s="64" t="n">
        <f aca="false">IF(AND($Q156&gt;0,$O156&gt;=AboveRank),$Q156,0)</f>
        <v>0</v>
      </c>
      <c r="T156" s="64" t="n">
        <f aca="false">IF($K156="Less",$P156,0)</f>
        <v>0</v>
      </c>
      <c r="U156" s="64" t="n">
        <f aca="false">IF($K156="Expected",$P156,0)</f>
        <v>0</v>
      </c>
      <c r="V156" s="64" t="n">
        <f aca="false">IF($K156="Better",$P156,0)</f>
        <v>0</v>
      </c>
      <c r="W156" s="64" t="n">
        <f aca="false">IF($K156="U – needs rule",$P156,0)</f>
        <v>0</v>
      </c>
      <c r="X156" s="64" t="n">
        <f aca="false">IF($K156="No Start (attainment only)",$P156,0)</f>
        <v>0</v>
      </c>
    </row>
    <row r="157" customFormat="false" ht="15" hidden="false" customHeight="false" outlineLevel="0" collapsed="false">
      <c r="A157" s="60" t="s">
        <v>779</v>
      </c>
      <c r="B157" s="61" t="str">
        <f aca="false">IF($M157=0,"",INDEX(Classes!$E$6:$E$420,$M157))</f>
        <v>Arabic A</v>
      </c>
      <c r="C157" s="62" t="str">
        <f aca="false">IF($M157=0,"",INDEX(Classes!$H$6:$H$420,$M157))</f>
        <v>Mr Ahmed AbdelmonemElsye</v>
      </c>
      <c r="D157" s="61" t="str">
        <f aca="false">IF($M157=0,"",INDEX(Classes!$B$6:$B$420,$M157))</f>
        <v>Year 10</v>
      </c>
      <c r="E157" s="61" t="str">
        <f aca="false">IF($M157=0,"",INDEX(Classes!$C$6:$C$420,$M157))</f>
        <v>ah</v>
      </c>
      <c r="F157" s="63" t="s">
        <v>162</v>
      </c>
      <c r="G157" s="63" t="s">
        <v>1018</v>
      </c>
      <c r="H157" s="60"/>
      <c r="I157" s="60" t="s">
        <v>201</v>
      </c>
      <c r="J157" s="63" t="n">
        <v>1</v>
      </c>
      <c r="K157" s="61" t="str">
        <f aca="false">IF($P157=0,"",IF($F157="Baseline","— Baseline",IF($O157=0,"No result",IF($N157=0,"No Start (attainment only)",IF(OR($N157=1,$O157=1),"U – needs rule",INDEX(MxBody,MATCH($I157,MxCurr,0),MATCH($H157,MxStart,0)))))))</f>
        <v>— Baseline</v>
      </c>
      <c r="L157" s="62" t="str">
        <f aca="false">IF(COUNTA($A157,$F157,$G157,$H157,$I157,$J157)=0,"",IF($M157=0,"✖ كود الصف غير موجود",IF(ISNA(MATCH($F157,Lists!$A$2:$A$5,0)),"✖ الفترة غير صحيحة",IF(ISNA(MATCH($G157,Lists!$B$2:$B$7,0)),"✖ المجموعة غير صحيحة",IF(NOT(OR($H157="",$N157&gt;0)),"✖ Start غير صحيح",IF(NOT(OR($I157="",$I157="NR",$O157&gt;0)),"✖ Current غير صحيح",IF(NOT(IF(ISNUMBER($J157),AND($J157&gt;=0,$J157=INT($J157)),FALSE())),"✖ العدد يجب أن يكون صحيحًا ≥ 0",IF(AND($F157="Baseline",$H157&lt;&gt;""),"⚠ Baseline: Start لا يدخل في التقدم",IF($K157="No Start (attainment only)","ℹ تحصيل فقط (بدون Start)",IF($K157="U – needs rule","ℹ حالة U تحتاج قاعدة معتمدة",IF($K157="No result","ℹ بدون نتيجة (يُستبعد من التحصيل)","OK")))))))))))</f>
        <v>OK</v>
      </c>
      <c r="M157" s="64" t="n">
        <f aca="false">IF($A157="",0,IFERROR(MATCH($A157,Classes!$A$6:$A$420,0),0))</f>
        <v>283</v>
      </c>
      <c r="N157" s="64" t="n">
        <f aca="false">IF($H157="",0,IFERROR(MATCH($H157,GradeList,0),0))</f>
        <v>0</v>
      </c>
      <c r="O157" s="64" t="n">
        <f aca="false">IF(OR($I157="",$I157="NR"),0,IFERROR(MATCH($I157,GradeList,0),0))</f>
        <v>6</v>
      </c>
      <c r="P157" s="64" t="n">
        <f aca="false">IF(AND($M157&gt;0,ISNUMBER(MATCH($F157,Lists!$A$2:$A$5,0)),ISNUMBER(MATCH($G157,Lists!$B$2:$B$7,0)),OR($H157="",$N157&gt;0),OR($I157="",$I157="NR",$O157&gt;0),IF(ISNUMBER($J157),AND($J157&gt;=0,$J157=INT($J157)),FALSE())),$J157,0)</f>
        <v>1</v>
      </c>
      <c r="Q157" s="64" t="n">
        <f aca="false">IF(AND($P157&gt;0,$O157&gt;0),$P157,0)</f>
        <v>1</v>
      </c>
      <c r="R157" s="64" t="n">
        <f aca="false">IF(AND($Q157&gt;0,$O157&gt;=AtRank),$Q157,0)</f>
        <v>1</v>
      </c>
      <c r="S157" s="64" t="n">
        <f aca="false">IF(AND($Q157&gt;0,$O157&gt;=AboveRank),$Q157,0)</f>
        <v>0</v>
      </c>
      <c r="T157" s="64" t="n">
        <f aca="false">IF($K157="Less",$P157,0)</f>
        <v>0</v>
      </c>
      <c r="U157" s="64" t="n">
        <f aca="false">IF($K157="Expected",$P157,0)</f>
        <v>0</v>
      </c>
      <c r="V157" s="64" t="n">
        <f aca="false">IF($K157="Better",$P157,0)</f>
        <v>0</v>
      </c>
      <c r="W157" s="64" t="n">
        <f aca="false">IF($K157="U – needs rule",$P157,0)</f>
        <v>0</v>
      </c>
      <c r="X157" s="64" t="n">
        <f aca="false">IF($K157="No Start (attainment only)",$P157,0)</f>
        <v>0</v>
      </c>
    </row>
    <row r="158" customFormat="false" ht="15" hidden="false" customHeight="false" outlineLevel="0" collapsed="false">
      <c r="A158" s="60" t="s">
        <v>779</v>
      </c>
      <c r="B158" s="61" t="str">
        <f aca="false">IF($M158=0,"",INDEX(Classes!$E$6:$E$420,$M158))</f>
        <v>Arabic A</v>
      </c>
      <c r="C158" s="62" t="str">
        <f aca="false">IF($M158=0,"",INDEX(Classes!$H$6:$H$420,$M158))</f>
        <v>Mr Ahmed AbdelmonemElsye</v>
      </c>
      <c r="D158" s="61" t="str">
        <f aca="false">IF($M158=0,"",INDEX(Classes!$B$6:$B$420,$M158))</f>
        <v>Year 10</v>
      </c>
      <c r="E158" s="61" t="str">
        <f aca="false">IF($M158=0,"",INDEX(Classes!$C$6:$C$420,$M158))</f>
        <v>ah</v>
      </c>
      <c r="F158" s="63" t="s">
        <v>162</v>
      </c>
      <c r="G158" s="63" t="s">
        <v>1018</v>
      </c>
      <c r="H158" s="60"/>
      <c r="I158" s="60" t="s">
        <v>204</v>
      </c>
      <c r="J158" s="63" t="n">
        <v>1</v>
      </c>
      <c r="K158" s="61" t="str">
        <f aca="false">IF($P158=0,"",IF($F158="Baseline","— Baseline",IF($O158=0,"No result",IF($N158=0,"No Start (attainment only)",IF(OR($N158=1,$O158=1),"U – needs rule",INDEX(MxBody,MATCH($I158,MxCurr,0),MATCH($H158,MxStart,0)))))))</f>
        <v>— Baseline</v>
      </c>
      <c r="L158" s="62" t="str">
        <f aca="false">IF(COUNTA($A158,$F158,$G158,$H158,$I158,$J158)=0,"",IF($M158=0,"✖ كود الصف غير موجود",IF(ISNA(MATCH($F158,Lists!$A$2:$A$5,0)),"✖ الفترة غير صحيحة",IF(ISNA(MATCH($G158,Lists!$B$2:$B$7,0)),"✖ المجموعة غير صحيحة",IF(NOT(OR($H158="",$N158&gt;0)),"✖ Start غير صحيح",IF(NOT(OR($I158="",$I158="NR",$O158&gt;0)),"✖ Current غير صحيح",IF(NOT(IF(ISNUMBER($J158),AND($J158&gt;=0,$J158=INT($J158)),FALSE())),"✖ العدد يجب أن يكون صحيحًا ≥ 0",IF(AND($F158="Baseline",$H158&lt;&gt;""),"⚠ Baseline: Start لا يدخل في التقدم",IF($K158="No Start (attainment only)","ℹ تحصيل فقط (بدون Start)",IF($K158="U – needs rule","ℹ حالة U تحتاج قاعدة معتمدة",IF($K158="No result","ℹ بدون نتيجة (يُستبعد من التحصيل)","OK")))))))))))</f>
        <v>OK</v>
      </c>
      <c r="M158" s="64" t="n">
        <f aca="false">IF($A158="",0,IFERROR(MATCH($A158,Classes!$A$6:$A$420,0),0))</f>
        <v>283</v>
      </c>
      <c r="N158" s="64" t="n">
        <f aca="false">IF($H158="",0,IFERROR(MATCH($H158,GradeList,0),0))</f>
        <v>0</v>
      </c>
      <c r="O158" s="64" t="n">
        <f aca="false">IF(OR($I158="",$I158="NR"),0,IFERROR(MATCH($I158,GradeList,0),0))</f>
        <v>9</v>
      </c>
      <c r="P158" s="64" t="n">
        <f aca="false">IF(AND($M158&gt;0,ISNUMBER(MATCH($F158,Lists!$A$2:$A$5,0)),ISNUMBER(MATCH($G158,Lists!$B$2:$B$7,0)),OR($H158="",$N158&gt;0),OR($I158="",$I158="NR",$O158&gt;0),IF(ISNUMBER($J158),AND($J158&gt;=0,$J158=INT($J158)),FALSE())),$J158,0)</f>
        <v>1</v>
      </c>
      <c r="Q158" s="64" t="n">
        <f aca="false">IF(AND($P158&gt;0,$O158&gt;0),$P158,0)</f>
        <v>1</v>
      </c>
      <c r="R158" s="64" t="n">
        <f aca="false">IF(AND($Q158&gt;0,$O158&gt;=AtRank),$Q158,0)</f>
        <v>1</v>
      </c>
      <c r="S158" s="64" t="n">
        <f aca="false">IF(AND($Q158&gt;0,$O158&gt;=AboveRank),$Q158,0)</f>
        <v>1</v>
      </c>
      <c r="T158" s="64" t="n">
        <f aca="false">IF($K158="Less",$P158,0)</f>
        <v>0</v>
      </c>
      <c r="U158" s="64" t="n">
        <f aca="false">IF($K158="Expected",$P158,0)</f>
        <v>0</v>
      </c>
      <c r="V158" s="64" t="n">
        <f aca="false">IF($K158="Better",$P158,0)</f>
        <v>0</v>
      </c>
      <c r="W158" s="64" t="n">
        <f aca="false">IF($K158="U – needs rule",$P158,0)</f>
        <v>0</v>
      </c>
      <c r="X158" s="64" t="n">
        <f aca="false">IF($K158="No Start (attainment only)",$P158,0)</f>
        <v>0</v>
      </c>
    </row>
    <row r="159" customFormat="false" ht="15" hidden="false" customHeight="false" outlineLevel="0" collapsed="false">
      <c r="A159" s="60" t="s">
        <v>779</v>
      </c>
      <c r="B159" s="61" t="str">
        <f aca="false">IF($M159=0,"",INDEX(Classes!$E$6:$E$420,$M159))</f>
        <v>Arabic A</v>
      </c>
      <c r="C159" s="62" t="str">
        <f aca="false">IF($M159=0,"",INDEX(Classes!$H$6:$H$420,$M159))</f>
        <v>Mr Ahmed AbdelmonemElsye</v>
      </c>
      <c r="D159" s="61" t="str">
        <f aca="false">IF($M159=0,"",INDEX(Classes!$B$6:$B$420,$M159))</f>
        <v>Year 10</v>
      </c>
      <c r="E159" s="61" t="str">
        <f aca="false">IF($M159=0,"",INDEX(Classes!$C$6:$C$420,$M159))</f>
        <v>ah</v>
      </c>
      <c r="F159" s="63" t="s">
        <v>162</v>
      </c>
      <c r="G159" s="63" t="s">
        <v>1018</v>
      </c>
      <c r="H159" s="60"/>
      <c r="I159" s="60" t="s">
        <v>199</v>
      </c>
      <c r="J159" s="63" t="n">
        <v>1</v>
      </c>
      <c r="K159" s="61" t="str">
        <f aca="false">IF($P159=0,"",IF($F159="Baseline","— Baseline",IF($O159=0,"No result",IF($N159=0,"No Start (attainment only)",IF(OR($N159=1,$O159=1),"U – needs rule",INDEX(MxBody,MATCH($I159,MxCurr,0),MATCH($H159,MxStart,0)))))))</f>
        <v>— Baseline</v>
      </c>
      <c r="L159" s="62" t="str">
        <f aca="false">IF(COUNTA($A159,$F159,$G159,$H159,$I159,$J159)=0,"",IF($M159=0,"✖ كود الصف غير موجود",IF(ISNA(MATCH($F159,Lists!$A$2:$A$5,0)),"✖ الفترة غير صحيحة",IF(ISNA(MATCH($G159,Lists!$B$2:$B$7,0)),"✖ المجموعة غير صحيحة",IF(NOT(OR($H159="",$N159&gt;0)),"✖ Start غير صحيح",IF(NOT(OR($I159="",$I159="NR",$O159&gt;0)),"✖ Current غير صحيح",IF(NOT(IF(ISNUMBER($J159),AND($J159&gt;=0,$J159=INT($J159)),FALSE())),"✖ العدد يجب أن يكون صحيحًا ≥ 0",IF(AND($F159="Baseline",$H159&lt;&gt;""),"⚠ Baseline: Start لا يدخل في التقدم",IF($K159="No Start (attainment only)","ℹ تحصيل فقط (بدون Start)",IF($K159="U – needs rule","ℹ حالة U تحتاج قاعدة معتمدة",IF($K159="No result","ℹ بدون نتيجة (يُستبعد من التحصيل)","OK")))))))))))</f>
        <v>OK</v>
      </c>
      <c r="M159" s="64" t="n">
        <f aca="false">IF($A159="",0,IFERROR(MATCH($A159,Classes!$A$6:$A$420,0),0))</f>
        <v>283</v>
      </c>
      <c r="N159" s="64" t="n">
        <f aca="false">IF($H159="",0,IFERROR(MATCH($H159,GradeList,0),0))</f>
        <v>0</v>
      </c>
      <c r="O159" s="64" t="n">
        <f aca="false">IF(OR($I159="",$I159="NR"),0,IFERROR(MATCH($I159,GradeList,0),0))</f>
        <v>4</v>
      </c>
      <c r="P159" s="64" t="n">
        <f aca="false">IF(AND($M159&gt;0,ISNUMBER(MATCH($F159,Lists!$A$2:$A$5,0)),ISNUMBER(MATCH($G159,Lists!$B$2:$B$7,0)),OR($H159="",$N159&gt;0),OR($I159="",$I159="NR",$O159&gt;0),IF(ISNUMBER($J159),AND($J159&gt;=0,$J159=INT($J159)),FALSE())),$J159,0)</f>
        <v>1</v>
      </c>
      <c r="Q159" s="64" t="n">
        <f aca="false">IF(AND($P159&gt;0,$O159&gt;0),$P159,0)</f>
        <v>1</v>
      </c>
      <c r="R159" s="64" t="n">
        <f aca="false">IF(AND($Q159&gt;0,$O159&gt;=AtRank),$Q159,0)</f>
        <v>0</v>
      </c>
      <c r="S159" s="64" t="n">
        <f aca="false">IF(AND($Q159&gt;0,$O159&gt;=AboveRank),$Q159,0)</f>
        <v>0</v>
      </c>
      <c r="T159" s="64" t="n">
        <f aca="false">IF($K159="Less",$P159,0)</f>
        <v>0</v>
      </c>
      <c r="U159" s="64" t="n">
        <f aca="false">IF($K159="Expected",$P159,0)</f>
        <v>0</v>
      </c>
      <c r="V159" s="64" t="n">
        <f aca="false">IF($K159="Better",$P159,0)</f>
        <v>0</v>
      </c>
      <c r="W159" s="64" t="n">
        <f aca="false">IF($K159="U – needs rule",$P159,0)</f>
        <v>0</v>
      </c>
      <c r="X159" s="64" t="n">
        <f aca="false">IF($K159="No Start (attainment only)",$P159,0)</f>
        <v>0</v>
      </c>
    </row>
    <row r="160" customFormat="false" ht="15" hidden="false" customHeight="false" outlineLevel="0" collapsed="false">
      <c r="A160" s="60" t="s">
        <v>779</v>
      </c>
      <c r="B160" s="61" t="str">
        <f aca="false">IF($M160=0,"",INDEX(Classes!$E$6:$E$420,$M160))</f>
        <v>Arabic A</v>
      </c>
      <c r="C160" s="62" t="str">
        <f aca="false">IF($M160=0,"",INDEX(Classes!$H$6:$H$420,$M160))</f>
        <v>Mr Ahmed AbdelmonemElsye</v>
      </c>
      <c r="D160" s="61" t="str">
        <f aca="false">IF($M160=0,"",INDEX(Classes!$B$6:$B$420,$M160))</f>
        <v>Year 10</v>
      </c>
      <c r="E160" s="61" t="str">
        <f aca="false">IF($M160=0,"",INDEX(Classes!$C$6:$C$420,$M160))</f>
        <v>ah</v>
      </c>
      <c r="F160" s="63" t="s">
        <v>107</v>
      </c>
      <c r="G160" s="63" t="s">
        <v>108</v>
      </c>
      <c r="H160" s="60"/>
      <c r="I160" s="60" t="s">
        <v>201</v>
      </c>
      <c r="J160" s="63" t="n">
        <v>1</v>
      </c>
      <c r="K160" s="61" t="str">
        <f aca="false">IF($P160=0,"",IF($F160="Baseline","— Baseline",IF($O160=0,"No result",IF($N160=0,"No Start (attainment only)",IF(OR($N160=1,$O160=1),"U – needs rule",INDEX(MxBody,MATCH($I160,MxCurr,0),MATCH($H160,MxStart,0)))))))</f>
        <v>No Start (attainment only)</v>
      </c>
      <c r="L160" s="62" t="str">
        <f aca="false">IF(COUNTA($A160,$F160,$G160,$H160,$I160,$J160)=0,"",IF($M160=0,"✖ كود الصف غير موجود",IF(ISNA(MATCH($F160,Lists!$A$2:$A$5,0)),"✖ الفترة غير صحيحة",IF(ISNA(MATCH($G160,Lists!$B$2:$B$7,0)),"✖ المجموعة غير صحيحة",IF(NOT(OR($H160="",$N160&gt;0)),"✖ Start غير صحيح",IF(NOT(OR($I160="",$I160="NR",$O160&gt;0)),"✖ Current غير صحيح",IF(NOT(IF(ISNUMBER($J160),AND($J160&gt;=0,$J160=INT($J160)),FALSE())),"✖ العدد يجب أن يكون صحيحًا ≥ 0",IF(AND($F160="Baseline",$H160&lt;&gt;""),"⚠ Baseline: Start لا يدخل في التقدم",IF($K160="No Start (attainment only)","ℹ تحصيل فقط (بدون Start)",IF($K160="U – needs rule","ℹ حالة U تحتاج قاعدة معتمدة",IF($K160="No result","ℹ بدون نتيجة (يُستبعد من التحصيل)","OK")))))))))))</f>
        <v>ℹ تحصيل فقط (بدون Start)</v>
      </c>
      <c r="M160" s="64" t="n">
        <f aca="false">IF($A160="",0,IFERROR(MATCH($A160,Classes!$A$6:$A$420,0),0))</f>
        <v>283</v>
      </c>
      <c r="N160" s="64" t="n">
        <f aca="false">IF($H160="",0,IFERROR(MATCH($H160,GradeList,0),0))</f>
        <v>0</v>
      </c>
      <c r="O160" s="64" t="n">
        <f aca="false">IF(OR($I160="",$I160="NR"),0,IFERROR(MATCH($I160,GradeList,0),0))</f>
        <v>6</v>
      </c>
      <c r="P160" s="64" t="n">
        <f aca="false">IF(AND($M160&gt;0,ISNUMBER(MATCH($F160,Lists!$A$2:$A$5,0)),ISNUMBER(MATCH($G160,Lists!$B$2:$B$7,0)),OR($H160="",$N160&gt;0),OR($I160="",$I160="NR",$O160&gt;0),IF(ISNUMBER($J160),AND($J160&gt;=0,$J160=INT($J160)),FALSE())),$J160,0)</f>
        <v>1</v>
      </c>
      <c r="Q160" s="64" t="n">
        <f aca="false">IF(AND($P160&gt;0,$O160&gt;0),$P160,0)</f>
        <v>1</v>
      </c>
      <c r="R160" s="64" t="n">
        <f aca="false">IF(AND($Q160&gt;0,$O160&gt;=AtRank),$Q160,0)</f>
        <v>1</v>
      </c>
      <c r="S160" s="64" t="n">
        <f aca="false">IF(AND($Q160&gt;0,$O160&gt;=AboveRank),$Q160,0)</f>
        <v>0</v>
      </c>
      <c r="T160" s="64" t="n">
        <f aca="false">IF($K160="Less",$P160,0)</f>
        <v>0</v>
      </c>
      <c r="U160" s="64" t="n">
        <f aca="false">IF($K160="Expected",$P160,0)</f>
        <v>0</v>
      </c>
      <c r="V160" s="64" t="n">
        <f aca="false">IF($K160="Better",$P160,0)</f>
        <v>0</v>
      </c>
      <c r="W160" s="64" t="n">
        <f aca="false">IF($K160="U – needs rule",$P160,0)</f>
        <v>0</v>
      </c>
      <c r="X160" s="64" t="n">
        <f aca="false">IF($K160="No Start (attainment only)",$P160,0)</f>
        <v>1</v>
      </c>
    </row>
    <row r="161" customFormat="false" ht="15" hidden="false" customHeight="false" outlineLevel="0" collapsed="false">
      <c r="A161" s="60" t="s">
        <v>779</v>
      </c>
      <c r="B161" s="61" t="str">
        <f aca="false">IF($M161=0,"",INDEX(Classes!$E$6:$E$420,$M161))</f>
        <v>Arabic A</v>
      </c>
      <c r="C161" s="62" t="str">
        <f aca="false">IF($M161=0,"",INDEX(Classes!$H$6:$H$420,$M161))</f>
        <v>Mr Ahmed AbdelmonemElsye</v>
      </c>
      <c r="D161" s="61" t="str">
        <f aca="false">IF($M161=0,"",INDEX(Classes!$B$6:$B$420,$M161))</f>
        <v>Year 10</v>
      </c>
      <c r="E161" s="61" t="str">
        <f aca="false">IF($M161=0,"",INDEX(Classes!$C$6:$C$420,$M161))</f>
        <v>ah</v>
      </c>
      <c r="F161" s="63" t="s">
        <v>107</v>
      </c>
      <c r="G161" s="63" t="s">
        <v>108</v>
      </c>
      <c r="H161" s="60" t="s">
        <v>202</v>
      </c>
      <c r="I161" s="60" t="s">
        <v>201</v>
      </c>
      <c r="J161" s="63" t="n">
        <v>1</v>
      </c>
      <c r="K161" s="61" t="str">
        <f aca="false">IF($P161=0,"",IF($F161="Baseline","— Baseline",IF($O161=0,"No result",IF($N161=0,"No Start (attainment only)",IF(OR($N161=1,$O161=1),"U – needs rule",INDEX(MxBody,MATCH($I161,MxCurr,0),MATCH($H161,MxStart,0)))))))</f>
        <v>Expected</v>
      </c>
      <c r="L161" s="62" t="str">
        <f aca="false">IF(COUNTA($A161,$F161,$G161,$H161,$I161,$J161)=0,"",IF($M161=0,"✖ كود الصف غير موجود",IF(ISNA(MATCH($F161,Lists!$A$2:$A$5,0)),"✖ الفترة غير صحيحة",IF(ISNA(MATCH($G161,Lists!$B$2:$B$7,0)),"✖ المجموعة غير صحيحة",IF(NOT(OR($H161="",$N161&gt;0)),"✖ Start غير صحيح",IF(NOT(OR($I161="",$I161="NR",$O161&gt;0)),"✖ Current غير صحيح",IF(NOT(IF(ISNUMBER($J161),AND($J161&gt;=0,$J161=INT($J161)),FALSE())),"✖ العدد يجب أن يكون صحيحًا ≥ 0",IF(AND($F161="Baseline",$H161&lt;&gt;""),"⚠ Baseline: Start لا يدخل في التقدم",IF($K161="No Start (attainment only)","ℹ تحصيل فقط (بدون Start)",IF($K161="U – needs rule","ℹ حالة U تحتاج قاعدة معتمدة",IF($K161="No result","ℹ بدون نتيجة (يُستبعد من التحصيل)","OK")))))))))))</f>
        <v>OK</v>
      </c>
      <c r="M161" s="64" t="n">
        <f aca="false">IF($A161="",0,IFERROR(MATCH($A161,Classes!$A$6:$A$420,0),0))</f>
        <v>283</v>
      </c>
      <c r="N161" s="64" t="n">
        <f aca="false">IF($H161="",0,IFERROR(MATCH($H161,GradeList,0),0))</f>
        <v>7</v>
      </c>
      <c r="O161" s="64" t="n">
        <f aca="false">IF(OR($I161="",$I161="NR"),0,IFERROR(MATCH($I161,GradeList,0),0))</f>
        <v>6</v>
      </c>
      <c r="P161" s="64" t="n">
        <f aca="false">IF(AND($M161&gt;0,ISNUMBER(MATCH($F161,Lists!$A$2:$A$5,0)),ISNUMBER(MATCH($G161,Lists!$B$2:$B$7,0)),OR($H161="",$N161&gt;0),OR($I161="",$I161="NR",$O161&gt;0),IF(ISNUMBER($J161),AND($J161&gt;=0,$J161=INT($J161)),FALSE())),$J161,0)</f>
        <v>1</v>
      </c>
      <c r="Q161" s="64" t="n">
        <f aca="false">IF(AND($P161&gt;0,$O161&gt;0),$P161,0)</f>
        <v>1</v>
      </c>
      <c r="R161" s="64" t="n">
        <f aca="false">IF(AND($Q161&gt;0,$O161&gt;=AtRank),$Q161,0)</f>
        <v>1</v>
      </c>
      <c r="S161" s="64" t="n">
        <f aca="false">IF(AND($Q161&gt;0,$O161&gt;=AboveRank),$Q161,0)</f>
        <v>0</v>
      </c>
      <c r="T161" s="64" t="n">
        <f aca="false">IF($K161="Less",$P161,0)</f>
        <v>0</v>
      </c>
      <c r="U161" s="64" t="n">
        <f aca="false">IF($K161="Expected",$P161,0)</f>
        <v>1</v>
      </c>
      <c r="V161" s="64" t="n">
        <f aca="false">IF($K161="Better",$P161,0)</f>
        <v>0</v>
      </c>
      <c r="W161" s="64" t="n">
        <f aca="false">IF($K161="U – needs rule",$P161,0)</f>
        <v>0</v>
      </c>
      <c r="X161" s="64" t="n">
        <f aca="false">IF($K161="No Start (attainment only)",$P161,0)</f>
        <v>0</v>
      </c>
    </row>
    <row r="162" customFormat="false" ht="15" hidden="false" customHeight="false" outlineLevel="0" collapsed="false">
      <c r="A162" s="60" t="s">
        <v>779</v>
      </c>
      <c r="B162" s="61" t="str">
        <f aca="false">IF($M162=0,"",INDEX(Classes!$E$6:$E$420,$M162))</f>
        <v>Arabic A</v>
      </c>
      <c r="C162" s="62" t="str">
        <f aca="false">IF($M162=0,"",INDEX(Classes!$H$6:$H$420,$M162))</f>
        <v>Mr Ahmed AbdelmonemElsye</v>
      </c>
      <c r="D162" s="61" t="str">
        <f aca="false">IF($M162=0,"",INDEX(Classes!$B$6:$B$420,$M162))</f>
        <v>Year 10</v>
      </c>
      <c r="E162" s="61" t="str">
        <f aca="false">IF($M162=0,"",INDEX(Classes!$C$6:$C$420,$M162))</f>
        <v>ah</v>
      </c>
      <c r="F162" s="63" t="s">
        <v>107</v>
      </c>
      <c r="G162" s="63" t="s">
        <v>108</v>
      </c>
      <c r="H162" s="60" t="s">
        <v>203</v>
      </c>
      <c r="I162" s="60" t="s">
        <v>203</v>
      </c>
      <c r="J162" s="63" t="n">
        <v>1</v>
      </c>
      <c r="K162" s="61" t="str">
        <f aca="false">IF($P162=0,"",IF($F162="Baseline","— Baseline",IF($O162=0,"No result",IF($N162=0,"No Start (attainment only)",IF(OR($N162=1,$O162=1),"U – needs rule",INDEX(MxBody,MATCH($I162,MxCurr,0),MATCH($H162,MxStart,0)))))))</f>
        <v>Better</v>
      </c>
      <c r="L162" s="62" t="str">
        <f aca="false">IF(COUNTA($A162,$F162,$G162,$H162,$I162,$J162)=0,"",IF($M162=0,"✖ كود الصف غير موجود",IF(ISNA(MATCH($F162,Lists!$A$2:$A$5,0)),"✖ الفترة غير صحيحة",IF(ISNA(MATCH($G162,Lists!$B$2:$B$7,0)),"✖ المجموعة غير صحيحة",IF(NOT(OR($H162="",$N162&gt;0)),"✖ Start غير صحيح",IF(NOT(OR($I162="",$I162="NR",$O162&gt;0)),"✖ Current غير صحيح",IF(NOT(IF(ISNUMBER($J162),AND($J162&gt;=0,$J162=INT($J162)),FALSE())),"✖ العدد يجب أن يكون صحيحًا ≥ 0",IF(AND($F162="Baseline",$H162&lt;&gt;""),"⚠ Baseline: Start لا يدخل في التقدم",IF($K162="No Start (attainment only)","ℹ تحصيل فقط (بدون Start)",IF($K162="U – needs rule","ℹ حالة U تحتاج قاعدة معتمدة",IF($K162="No result","ℹ بدون نتيجة (يُستبعد من التحصيل)","OK")))))))))))</f>
        <v>OK</v>
      </c>
      <c r="M162" s="64" t="n">
        <f aca="false">IF($A162="",0,IFERROR(MATCH($A162,Classes!$A$6:$A$420,0),0))</f>
        <v>283</v>
      </c>
      <c r="N162" s="64" t="n">
        <f aca="false">IF($H162="",0,IFERROR(MATCH($H162,GradeList,0),0))</f>
        <v>8</v>
      </c>
      <c r="O162" s="64" t="n">
        <f aca="false">IF(OR($I162="",$I162="NR"),0,IFERROR(MATCH($I162,GradeList,0),0))</f>
        <v>8</v>
      </c>
      <c r="P162" s="64" t="n">
        <f aca="false">IF(AND($M162&gt;0,ISNUMBER(MATCH($F162,Lists!$A$2:$A$5,0)),ISNUMBER(MATCH($G162,Lists!$B$2:$B$7,0)),OR($H162="",$N162&gt;0),OR($I162="",$I162="NR",$O162&gt;0),IF(ISNUMBER($J162),AND($J162&gt;=0,$J162=INT($J162)),FALSE())),$J162,0)</f>
        <v>1</v>
      </c>
      <c r="Q162" s="64" t="n">
        <f aca="false">IF(AND($P162&gt;0,$O162&gt;0),$P162,0)</f>
        <v>1</v>
      </c>
      <c r="R162" s="64" t="n">
        <f aca="false">IF(AND($Q162&gt;0,$O162&gt;=AtRank),$Q162,0)</f>
        <v>1</v>
      </c>
      <c r="S162" s="64" t="n">
        <f aca="false">IF(AND($Q162&gt;0,$O162&gt;=AboveRank),$Q162,0)</f>
        <v>1</v>
      </c>
      <c r="T162" s="64" t="n">
        <f aca="false">IF($K162="Less",$P162,0)</f>
        <v>0</v>
      </c>
      <c r="U162" s="64" t="n">
        <f aca="false">IF($K162="Expected",$P162,0)</f>
        <v>0</v>
      </c>
      <c r="V162" s="64" t="n">
        <f aca="false">IF($K162="Better",$P162,0)</f>
        <v>1</v>
      </c>
      <c r="W162" s="64" t="n">
        <f aca="false">IF($K162="U – needs rule",$P162,0)</f>
        <v>0</v>
      </c>
      <c r="X162" s="64" t="n">
        <f aca="false">IF($K162="No Start (attainment only)",$P162,0)</f>
        <v>0</v>
      </c>
    </row>
    <row r="163" customFormat="false" ht="15" hidden="false" customHeight="false" outlineLevel="0" collapsed="false">
      <c r="A163" s="60" t="s">
        <v>779</v>
      </c>
      <c r="B163" s="61" t="str">
        <f aca="false">IF($M163=0,"",INDEX(Classes!$E$6:$E$420,$M163))</f>
        <v>Arabic A</v>
      </c>
      <c r="C163" s="62" t="str">
        <f aca="false">IF($M163=0,"",INDEX(Classes!$H$6:$H$420,$M163))</f>
        <v>Mr Ahmed AbdelmonemElsye</v>
      </c>
      <c r="D163" s="61" t="str">
        <f aca="false">IF($M163=0,"",INDEX(Classes!$B$6:$B$420,$M163))</f>
        <v>Year 10</v>
      </c>
      <c r="E163" s="61" t="str">
        <f aca="false">IF($M163=0,"",INDEX(Classes!$C$6:$C$420,$M163))</f>
        <v>ah</v>
      </c>
      <c r="F163" s="63" t="s">
        <v>107</v>
      </c>
      <c r="G163" s="63" t="s">
        <v>108</v>
      </c>
      <c r="H163" s="60" t="s">
        <v>203</v>
      </c>
      <c r="I163" s="60" t="s">
        <v>204</v>
      </c>
      <c r="J163" s="63" t="n">
        <v>1</v>
      </c>
      <c r="K163" s="61" t="str">
        <f aca="false">IF($P163=0,"",IF($F163="Baseline","— Baseline",IF($O163=0,"No result",IF($N163=0,"No Start (attainment only)",IF(OR($N163=1,$O163=1),"U – needs rule",INDEX(MxBody,MATCH($I163,MxCurr,0),MATCH($H163,MxStart,0)))))))</f>
        <v>Better</v>
      </c>
      <c r="L163" s="62" t="str">
        <f aca="false">IF(COUNTA($A163,$F163,$G163,$H163,$I163,$J163)=0,"",IF($M163=0,"✖ كود الصف غير موجود",IF(ISNA(MATCH($F163,Lists!$A$2:$A$5,0)),"✖ الفترة غير صحيحة",IF(ISNA(MATCH($G163,Lists!$B$2:$B$7,0)),"✖ المجموعة غير صحيحة",IF(NOT(OR($H163="",$N163&gt;0)),"✖ Start غير صحيح",IF(NOT(OR($I163="",$I163="NR",$O163&gt;0)),"✖ Current غير صحيح",IF(NOT(IF(ISNUMBER($J163),AND($J163&gt;=0,$J163=INT($J163)),FALSE())),"✖ العدد يجب أن يكون صحيحًا ≥ 0",IF(AND($F163="Baseline",$H163&lt;&gt;""),"⚠ Baseline: Start لا يدخل في التقدم",IF($K163="No Start (attainment only)","ℹ تحصيل فقط (بدون Start)",IF($K163="U – needs rule","ℹ حالة U تحتاج قاعدة معتمدة",IF($K163="No result","ℹ بدون نتيجة (يُستبعد من التحصيل)","OK")))))))))))</f>
        <v>OK</v>
      </c>
      <c r="M163" s="64" t="n">
        <f aca="false">IF($A163="",0,IFERROR(MATCH($A163,Classes!$A$6:$A$420,0),0))</f>
        <v>283</v>
      </c>
      <c r="N163" s="64" t="n">
        <f aca="false">IF($H163="",0,IFERROR(MATCH($H163,GradeList,0),0))</f>
        <v>8</v>
      </c>
      <c r="O163" s="64" t="n">
        <f aca="false">IF(OR($I163="",$I163="NR"),0,IFERROR(MATCH($I163,GradeList,0),0))</f>
        <v>9</v>
      </c>
      <c r="P163" s="64" t="n">
        <f aca="false">IF(AND($M163&gt;0,ISNUMBER(MATCH($F163,Lists!$A$2:$A$5,0)),ISNUMBER(MATCH($G163,Lists!$B$2:$B$7,0)),OR($H163="",$N163&gt;0),OR($I163="",$I163="NR",$O163&gt;0),IF(ISNUMBER($J163),AND($J163&gt;=0,$J163=INT($J163)),FALSE())),$J163,0)</f>
        <v>1</v>
      </c>
      <c r="Q163" s="64" t="n">
        <f aca="false">IF(AND($P163&gt;0,$O163&gt;0),$P163,0)</f>
        <v>1</v>
      </c>
      <c r="R163" s="64" t="n">
        <f aca="false">IF(AND($Q163&gt;0,$O163&gt;=AtRank),$Q163,0)</f>
        <v>1</v>
      </c>
      <c r="S163" s="64" t="n">
        <f aca="false">IF(AND($Q163&gt;0,$O163&gt;=AboveRank),$Q163,0)</f>
        <v>1</v>
      </c>
      <c r="T163" s="64" t="n">
        <f aca="false">IF($K163="Less",$P163,0)</f>
        <v>0</v>
      </c>
      <c r="U163" s="64" t="n">
        <f aca="false">IF($K163="Expected",$P163,0)</f>
        <v>0</v>
      </c>
      <c r="V163" s="64" t="n">
        <f aca="false">IF($K163="Better",$P163,0)</f>
        <v>1</v>
      </c>
      <c r="W163" s="64" t="n">
        <f aca="false">IF($K163="U – needs rule",$P163,0)</f>
        <v>0</v>
      </c>
      <c r="X163" s="64" t="n">
        <f aca="false">IF($K163="No Start (attainment only)",$P163,0)</f>
        <v>0</v>
      </c>
    </row>
    <row r="164" customFormat="false" ht="15" hidden="false" customHeight="false" outlineLevel="0" collapsed="false">
      <c r="A164" s="60" t="s">
        <v>779</v>
      </c>
      <c r="B164" s="61" t="str">
        <f aca="false">IF($M164=0,"",INDEX(Classes!$E$6:$E$420,$M164))</f>
        <v>Arabic A</v>
      </c>
      <c r="C164" s="62" t="str">
        <f aca="false">IF($M164=0,"",INDEX(Classes!$H$6:$H$420,$M164))</f>
        <v>Mr Ahmed AbdelmonemElsye</v>
      </c>
      <c r="D164" s="61" t="str">
        <f aca="false">IF($M164=0,"",INDEX(Classes!$B$6:$B$420,$M164))</f>
        <v>Year 10</v>
      </c>
      <c r="E164" s="61" t="str">
        <f aca="false">IF($M164=0,"",INDEX(Classes!$C$6:$C$420,$M164))</f>
        <v>ah</v>
      </c>
      <c r="F164" s="63" t="s">
        <v>107</v>
      </c>
      <c r="G164" s="63" t="s">
        <v>108</v>
      </c>
      <c r="H164" s="60" t="s">
        <v>203</v>
      </c>
      <c r="I164" s="60" t="s">
        <v>205</v>
      </c>
      <c r="J164" s="63" t="n">
        <v>2</v>
      </c>
      <c r="K164" s="61" t="str">
        <f aca="false">IF($P164=0,"",IF($F164="Baseline","— Baseline",IF($O164=0,"No result",IF($N164=0,"No Start (attainment only)",IF(OR($N164=1,$O164=1),"U – needs rule",INDEX(MxBody,MATCH($I164,MxCurr,0),MATCH($H164,MxStart,0)))))))</f>
        <v>Better</v>
      </c>
      <c r="L164" s="62" t="str">
        <f aca="false">IF(COUNTA($A164,$F164,$G164,$H164,$I164,$J164)=0,"",IF($M164=0,"✖ كود الصف غير موجود",IF(ISNA(MATCH($F164,Lists!$A$2:$A$5,0)),"✖ الفترة غير صحيحة",IF(ISNA(MATCH($G164,Lists!$B$2:$B$7,0)),"✖ المجموعة غير صحيحة",IF(NOT(OR($H164="",$N164&gt;0)),"✖ Start غير صحيح",IF(NOT(OR($I164="",$I164="NR",$O164&gt;0)),"✖ Current غير صحيح",IF(NOT(IF(ISNUMBER($J164),AND($J164&gt;=0,$J164=INT($J164)),FALSE())),"✖ العدد يجب أن يكون صحيحًا ≥ 0",IF(AND($F164="Baseline",$H164&lt;&gt;""),"⚠ Baseline: Start لا يدخل في التقدم",IF($K164="No Start (attainment only)","ℹ تحصيل فقط (بدون Start)",IF($K164="U – needs rule","ℹ حالة U تحتاج قاعدة معتمدة",IF($K164="No result","ℹ بدون نتيجة (يُستبعد من التحصيل)","OK")))))))))))</f>
        <v>OK</v>
      </c>
      <c r="M164" s="64" t="n">
        <f aca="false">IF($A164="",0,IFERROR(MATCH($A164,Classes!$A$6:$A$420,0),0))</f>
        <v>283</v>
      </c>
      <c r="N164" s="64" t="n">
        <f aca="false">IF($H164="",0,IFERROR(MATCH($H164,GradeList,0),0))</f>
        <v>8</v>
      </c>
      <c r="O164" s="64" t="n">
        <f aca="false">IF(OR($I164="",$I164="NR"),0,IFERROR(MATCH($I164,GradeList,0),0))</f>
        <v>10</v>
      </c>
      <c r="P164" s="64" t="n">
        <f aca="false">IF(AND($M164&gt;0,ISNUMBER(MATCH($F164,Lists!$A$2:$A$5,0)),ISNUMBER(MATCH($G164,Lists!$B$2:$B$7,0)),OR($H164="",$N164&gt;0),OR($I164="",$I164="NR",$O164&gt;0),IF(ISNUMBER($J164),AND($J164&gt;=0,$J164=INT($J164)),FALSE())),$J164,0)</f>
        <v>2</v>
      </c>
      <c r="Q164" s="64" t="n">
        <f aca="false">IF(AND($P164&gt;0,$O164&gt;0),$P164,0)</f>
        <v>2</v>
      </c>
      <c r="R164" s="64" t="n">
        <f aca="false">IF(AND($Q164&gt;0,$O164&gt;=AtRank),$Q164,0)</f>
        <v>2</v>
      </c>
      <c r="S164" s="64" t="n">
        <f aca="false">IF(AND($Q164&gt;0,$O164&gt;=AboveRank),$Q164,0)</f>
        <v>2</v>
      </c>
      <c r="T164" s="64" t="n">
        <f aca="false">IF($K164="Less",$P164,0)</f>
        <v>0</v>
      </c>
      <c r="U164" s="64" t="n">
        <f aca="false">IF($K164="Expected",$P164,0)</f>
        <v>0</v>
      </c>
      <c r="V164" s="64" t="n">
        <f aca="false">IF($K164="Better",$P164,0)</f>
        <v>2</v>
      </c>
      <c r="W164" s="64" t="n">
        <f aca="false">IF($K164="U – needs rule",$P164,0)</f>
        <v>0</v>
      </c>
      <c r="X164" s="64" t="n">
        <f aca="false">IF($K164="No Start (attainment only)",$P164,0)</f>
        <v>0</v>
      </c>
    </row>
    <row r="165" customFormat="false" ht="15" hidden="false" customHeight="false" outlineLevel="0" collapsed="false">
      <c r="A165" s="60" t="s">
        <v>779</v>
      </c>
      <c r="B165" s="61" t="str">
        <f aca="false">IF($M165=0,"",INDEX(Classes!$E$6:$E$420,$M165))</f>
        <v>Arabic A</v>
      </c>
      <c r="C165" s="62" t="str">
        <f aca="false">IF($M165=0,"",INDEX(Classes!$H$6:$H$420,$M165))</f>
        <v>Mr Ahmed AbdelmonemElsye</v>
      </c>
      <c r="D165" s="61" t="str">
        <f aca="false">IF($M165=0,"",INDEX(Classes!$B$6:$B$420,$M165))</f>
        <v>Year 10</v>
      </c>
      <c r="E165" s="61" t="str">
        <f aca="false">IF($M165=0,"",INDEX(Classes!$C$6:$C$420,$M165))</f>
        <v>ah</v>
      </c>
      <c r="F165" s="63" t="s">
        <v>107</v>
      </c>
      <c r="G165" s="63" t="s">
        <v>108</v>
      </c>
      <c r="H165" s="60" t="s">
        <v>200</v>
      </c>
      <c r="I165" s="60" t="s">
        <v>202</v>
      </c>
      <c r="J165" s="63" t="n">
        <v>1</v>
      </c>
      <c r="K165" s="61" t="str">
        <f aca="false">IF($P165=0,"",IF($F165="Baseline","— Baseline",IF($O165=0,"No result",IF($N165=0,"No Start (attainment only)",IF(OR($N165=1,$O165=1),"U – needs rule",INDEX(MxBody,MATCH($I165,MxCurr,0),MATCH($H165,MxStart,0)))))))</f>
        <v>Better</v>
      </c>
      <c r="L165" s="62" t="str">
        <f aca="false">IF(COUNTA($A165,$F165,$G165,$H165,$I165,$J165)=0,"",IF($M165=0,"✖ كود الصف غير موجود",IF(ISNA(MATCH($F165,Lists!$A$2:$A$5,0)),"✖ الفترة غير صحيحة",IF(ISNA(MATCH($G165,Lists!$B$2:$B$7,0)),"✖ المجموعة غير صحيحة",IF(NOT(OR($H165="",$N165&gt;0)),"✖ Start غير صحيح",IF(NOT(OR($I165="",$I165="NR",$O165&gt;0)),"✖ Current غير صحيح",IF(NOT(IF(ISNUMBER($J165),AND($J165&gt;=0,$J165=INT($J165)),FALSE())),"✖ العدد يجب أن يكون صحيحًا ≥ 0",IF(AND($F165="Baseline",$H165&lt;&gt;""),"⚠ Baseline: Start لا يدخل في التقدم",IF($K165="No Start (attainment only)","ℹ تحصيل فقط (بدون Start)",IF($K165="U – needs rule","ℹ حالة U تحتاج قاعدة معتمدة",IF($K165="No result","ℹ بدون نتيجة (يُستبعد من التحصيل)","OK")))))))))))</f>
        <v>OK</v>
      </c>
      <c r="M165" s="64" t="n">
        <f aca="false">IF($A165="",0,IFERROR(MATCH($A165,Classes!$A$6:$A$420,0),0))</f>
        <v>283</v>
      </c>
      <c r="N165" s="64" t="n">
        <f aca="false">IF($H165="",0,IFERROR(MATCH($H165,GradeList,0),0))</f>
        <v>5</v>
      </c>
      <c r="O165" s="64" t="n">
        <f aca="false">IF(OR($I165="",$I165="NR"),0,IFERROR(MATCH($I165,GradeList,0),0))</f>
        <v>7</v>
      </c>
      <c r="P165" s="64" t="n">
        <f aca="false">IF(AND($M165&gt;0,ISNUMBER(MATCH($F165,Lists!$A$2:$A$5,0)),ISNUMBER(MATCH($G165,Lists!$B$2:$B$7,0)),OR($H165="",$N165&gt;0),OR($I165="",$I165="NR",$O165&gt;0),IF(ISNUMBER($J165),AND($J165&gt;=0,$J165=INT($J165)),FALSE())),$J165,0)</f>
        <v>1</v>
      </c>
      <c r="Q165" s="64" t="n">
        <f aca="false">IF(AND($P165&gt;0,$O165&gt;0),$P165,0)</f>
        <v>1</v>
      </c>
      <c r="R165" s="64" t="n">
        <f aca="false">IF(AND($Q165&gt;0,$O165&gt;=AtRank),$Q165,0)</f>
        <v>1</v>
      </c>
      <c r="S165" s="64" t="n">
        <f aca="false">IF(AND($Q165&gt;0,$O165&gt;=AboveRank),$Q165,0)</f>
        <v>1</v>
      </c>
      <c r="T165" s="64" t="n">
        <f aca="false">IF($K165="Less",$P165,0)</f>
        <v>0</v>
      </c>
      <c r="U165" s="64" t="n">
        <f aca="false">IF($K165="Expected",$P165,0)</f>
        <v>0</v>
      </c>
      <c r="V165" s="64" t="n">
        <f aca="false">IF($K165="Better",$P165,0)</f>
        <v>1</v>
      </c>
      <c r="W165" s="64" t="n">
        <f aca="false">IF($K165="U – needs rule",$P165,0)</f>
        <v>0</v>
      </c>
      <c r="X165" s="64" t="n">
        <f aca="false">IF($K165="No Start (attainment only)",$P165,0)</f>
        <v>0</v>
      </c>
    </row>
    <row r="166" customFormat="false" ht="15" hidden="false" customHeight="false" outlineLevel="0" collapsed="false">
      <c r="A166" s="60" t="s">
        <v>779</v>
      </c>
      <c r="B166" s="61" t="str">
        <f aca="false">IF($M166=0,"",INDEX(Classes!$E$6:$E$420,$M166))</f>
        <v>Arabic A</v>
      </c>
      <c r="C166" s="62" t="str">
        <f aca="false">IF($M166=0,"",INDEX(Classes!$H$6:$H$420,$M166))</f>
        <v>Mr Ahmed AbdelmonemElsye</v>
      </c>
      <c r="D166" s="61" t="str">
        <f aca="false">IF($M166=0,"",INDEX(Classes!$B$6:$B$420,$M166))</f>
        <v>Year 10</v>
      </c>
      <c r="E166" s="61" t="str">
        <f aca="false">IF($M166=0,"",INDEX(Classes!$C$6:$C$420,$M166))</f>
        <v>ah</v>
      </c>
      <c r="F166" s="63" t="s">
        <v>107</v>
      </c>
      <c r="G166" s="63" t="s">
        <v>108</v>
      </c>
      <c r="H166" s="60" t="s">
        <v>200</v>
      </c>
      <c r="I166" s="60" t="s">
        <v>200</v>
      </c>
      <c r="J166" s="63" t="n">
        <v>1</v>
      </c>
      <c r="K166" s="61" t="str">
        <f aca="false">IF($P166=0,"",IF($F166="Baseline","— Baseline",IF($O166=0,"No result",IF($N166=0,"No Start (attainment only)",IF(OR($N166=1,$O166=1),"U – needs rule",INDEX(MxBody,MATCH($I166,MxCurr,0),MATCH($H166,MxStart,0)))))))</f>
        <v>Expected</v>
      </c>
      <c r="L166" s="62" t="str">
        <f aca="false">IF(COUNTA($A166,$F166,$G166,$H166,$I166,$J166)=0,"",IF($M166=0,"✖ كود الصف غير موجود",IF(ISNA(MATCH($F166,Lists!$A$2:$A$5,0)),"✖ الفترة غير صحيحة",IF(ISNA(MATCH($G166,Lists!$B$2:$B$7,0)),"✖ المجموعة غير صحيحة",IF(NOT(OR($H166="",$N166&gt;0)),"✖ Start غير صحيح",IF(NOT(OR($I166="",$I166="NR",$O166&gt;0)),"✖ Current غير صحيح",IF(NOT(IF(ISNUMBER($J166),AND($J166&gt;=0,$J166=INT($J166)),FALSE())),"✖ العدد يجب أن يكون صحيحًا ≥ 0",IF(AND($F166="Baseline",$H166&lt;&gt;""),"⚠ Baseline: Start لا يدخل في التقدم",IF($K166="No Start (attainment only)","ℹ تحصيل فقط (بدون Start)",IF($K166="U – needs rule","ℹ حالة U تحتاج قاعدة معتمدة",IF($K166="No result","ℹ بدون نتيجة (يُستبعد من التحصيل)","OK")))))))))))</f>
        <v>OK</v>
      </c>
      <c r="M166" s="64" t="n">
        <f aca="false">IF($A166="",0,IFERROR(MATCH($A166,Classes!$A$6:$A$420,0),0))</f>
        <v>283</v>
      </c>
      <c r="N166" s="64" t="n">
        <f aca="false">IF($H166="",0,IFERROR(MATCH($H166,GradeList,0),0))</f>
        <v>5</v>
      </c>
      <c r="O166" s="64" t="n">
        <f aca="false">IF(OR($I166="",$I166="NR"),0,IFERROR(MATCH($I166,GradeList,0),0))</f>
        <v>5</v>
      </c>
      <c r="P166" s="64" t="n">
        <f aca="false">IF(AND($M166&gt;0,ISNUMBER(MATCH($F166,Lists!$A$2:$A$5,0)),ISNUMBER(MATCH($G166,Lists!$B$2:$B$7,0)),OR($H166="",$N166&gt;0),OR($I166="",$I166="NR",$O166&gt;0),IF(ISNUMBER($J166),AND($J166&gt;=0,$J166=INT($J166)),FALSE())),$J166,0)</f>
        <v>1</v>
      </c>
      <c r="Q166" s="64" t="n">
        <f aca="false">IF(AND($P166&gt;0,$O166&gt;0),$P166,0)</f>
        <v>1</v>
      </c>
      <c r="R166" s="64" t="n">
        <f aca="false">IF(AND($Q166&gt;0,$O166&gt;=AtRank),$Q166,0)</f>
        <v>1</v>
      </c>
      <c r="S166" s="64" t="n">
        <f aca="false">IF(AND($Q166&gt;0,$O166&gt;=AboveRank),$Q166,0)</f>
        <v>0</v>
      </c>
      <c r="T166" s="64" t="n">
        <f aca="false">IF($K166="Less",$P166,0)</f>
        <v>0</v>
      </c>
      <c r="U166" s="64" t="n">
        <f aca="false">IF($K166="Expected",$P166,0)</f>
        <v>1</v>
      </c>
      <c r="V166" s="64" t="n">
        <f aca="false">IF($K166="Better",$P166,0)</f>
        <v>0</v>
      </c>
      <c r="W166" s="64" t="n">
        <f aca="false">IF($K166="U – needs rule",$P166,0)</f>
        <v>0</v>
      </c>
      <c r="X166" s="64" t="n">
        <f aca="false">IF($K166="No Start (attainment only)",$P166,0)</f>
        <v>0</v>
      </c>
    </row>
    <row r="167" customFormat="false" ht="15" hidden="false" customHeight="false" outlineLevel="0" collapsed="false">
      <c r="A167" s="60" t="s">
        <v>779</v>
      </c>
      <c r="B167" s="61" t="str">
        <f aca="false">IF($M167=0,"",INDEX(Classes!$E$6:$E$420,$M167))</f>
        <v>Arabic A</v>
      </c>
      <c r="C167" s="62" t="str">
        <f aca="false">IF($M167=0,"",INDEX(Classes!$H$6:$H$420,$M167))</f>
        <v>Mr Ahmed AbdelmonemElsye</v>
      </c>
      <c r="D167" s="61" t="str">
        <f aca="false">IF($M167=0,"",INDEX(Classes!$B$6:$B$420,$M167))</f>
        <v>Year 10</v>
      </c>
      <c r="E167" s="61" t="str">
        <f aca="false">IF($M167=0,"",INDEX(Classes!$C$6:$C$420,$M167))</f>
        <v>ah</v>
      </c>
      <c r="F167" s="63" t="s">
        <v>107</v>
      </c>
      <c r="G167" s="63" t="s">
        <v>108</v>
      </c>
      <c r="H167" s="60" t="s">
        <v>200</v>
      </c>
      <c r="I167" s="60" t="s">
        <v>201</v>
      </c>
      <c r="J167" s="63" t="n">
        <v>2</v>
      </c>
      <c r="K167" s="61" t="str">
        <f aca="false">IF($P167=0,"",IF($F167="Baseline","— Baseline",IF($O167=0,"No result",IF($N167=0,"No Start (attainment only)",IF(OR($N167=1,$O167=1),"U – needs rule",INDEX(MxBody,MATCH($I167,MxCurr,0),MATCH($H167,MxStart,0)))))))</f>
        <v>Better</v>
      </c>
      <c r="L167" s="62" t="str">
        <f aca="false">IF(COUNTA($A167,$F167,$G167,$H167,$I167,$J167)=0,"",IF($M167=0,"✖ كود الصف غير موجود",IF(ISNA(MATCH($F167,Lists!$A$2:$A$5,0)),"✖ الفترة غير صحيحة",IF(ISNA(MATCH($G167,Lists!$B$2:$B$7,0)),"✖ المجموعة غير صحيحة",IF(NOT(OR($H167="",$N167&gt;0)),"✖ Start غير صحيح",IF(NOT(OR($I167="",$I167="NR",$O167&gt;0)),"✖ Current غير صحيح",IF(NOT(IF(ISNUMBER($J167),AND($J167&gt;=0,$J167=INT($J167)),FALSE())),"✖ العدد يجب أن يكون صحيحًا ≥ 0",IF(AND($F167="Baseline",$H167&lt;&gt;""),"⚠ Baseline: Start لا يدخل في التقدم",IF($K167="No Start (attainment only)","ℹ تحصيل فقط (بدون Start)",IF($K167="U – needs rule","ℹ حالة U تحتاج قاعدة معتمدة",IF($K167="No result","ℹ بدون نتيجة (يُستبعد من التحصيل)","OK")))))))))))</f>
        <v>OK</v>
      </c>
      <c r="M167" s="64" t="n">
        <f aca="false">IF($A167="",0,IFERROR(MATCH($A167,Classes!$A$6:$A$420,0),0))</f>
        <v>283</v>
      </c>
      <c r="N167" s="64" t="n">
        <f aca="false">IF($H167="",0,IFERROR(MATCH($H167,GradeList,0),0))</f>
        <v>5</v>
      </c>
      <c r="O167" s="64" t="n">
        <f aca="false">IF(OR($I167="",$I167="NR"),0,IFERROR(MATCH($I167,GradeList,0),0))</f>
        <v>6</v>
      </c>
      <c r="P167" s="64" t="n">
        <f aca="false">IF(AND($M167&gt;0,ISNUMBER(MATCH($F167,Lists!$A$2:$A$5,0)),ISNUMBER(MATCH($G167,Lists!$B$2:$B$7,0)),OR($H167="",$N167&gt;0),OR($I167="",$I167="NR",$O167&gt;0),IF(ISNUMBER($J167),AND($J167&gt;=0,$J167=INT($J167)),FALSE())),$J167,0)</f>
        <v>2</v>
      </c>
      <c r="Q167" s="64" t="n">
        <f aca="false">IF(AND($P167&gt;0,$O167&gt;0),$P167,0)</f>
        <v>2</v>
      </c>
      <c r="R167" s="64" t="n">
        <f aca="false">IF(AND($Q167&gt;0,$O167&gt;=AtRank),$Q167,0)</f>
        <v>2</v>
      </c>
      <c r="S167" s="64" t="n">
        <f aca="false">IF(AND($Q167&gt;0,$O167&gt;=AboveRank),$Q167,0)</f>
        <v>0</v>
      </c>
      <c r="T167" s="64" t="n">
        <f aca="false">IF($K167="Less",$P167,0)</f>
        <v>0</v>
      </c>
      <c r="U167" s="64" t="n">
        <f aca="false">IF($K167="Expected",$P167,0)</f>
        <v>0</v>
      </c>
      <c r="V167" s="64" t="n">
        <f aca="false">IF($K167="Better",$P167,0)</f>
        <v>2</v>
      </c>
      <c r="W167" s="64" t="n">
        <f aca="false">IF($K167="U – needs rule",$P167,0)</f>
        <v>0</v>
      </c>
      <c r="X167" s="64" t="n">
        <f aca="false">IF($K167="No Start (attainment only)",$P167,0)</f>
        <v>0</v>
      </c>
    </row>
    <row r="168" customFormat="false" ht="15" hidden="false" customHeight="false" outlineLevel="0" collapsed="false">
      <c r="A168" s="60" t="s">
        <v>779</v>
      </c>
      <c r="B168" s="61" t="str">
        <f aca="false">IF($M168=0,"",INDEX(Classes!$E$6:$E$420,$M168))</f>
        <v>Arabic A</v>
      </c>
      <c r="C168" s="62" t="str">
        <f aca="false">IF($M168=0,"",INDEX(Classes!$H$6:$H$420,$M168))</f>
        <v>Mr Ahmed AbdelmonemElsye</v>
      </c>
      <c r="D168" s="61" t="str">
        <f aca="false">IF($M168=0,"",INDEX(Classes!$B$6:$B$420,$M168))</f>
        <v>Year 10</v>
      </c>
      <c r="E168" s="61" t="str">
        <f aca="false">IF($M168=0,"",INDEX(Classes!$C$6:$C$420,$M168))</f>
        <v>ah</v>
      </c>
      <c r="F168" s="63" t="s">
        <v>107</v>
      </c>
      <c r="G168" s="63" t="s">
        <v>108</v>
      </c>
      <c r="H168" s="60" t="s">
        <v>200</v>
      </c>
      <c r="I168" s="60" t="s">
        <v>196</v>
      </c>
      <c r="J168" s="63" t="n">
        <v>1</v>
      </c>
      <c r="K168" s="61" t="str">
        <f aca="false">IF($P168=0,"",IF($F168="Baseline","— Baseline",IF($O168=0,"No result",IF($N168=0,"No Start (attainment only)",IF(OR($N168=1,$O168=1),"U – needs rule",INDEX(MxBody,MATCH($I168,MxCurr,0),MATCH($H168,MxStart,0)))))))</f>
        <v>U – needs rule</v>
      </c>
      <c r="L168" s="62" t="str">
        <f aca="false">IF(COUNTA($A168,$F168,$G168,$H168,$I168,$J168)=0,"",IF($M168=0,"✖ كود الصف غير موجود",IF(ISNA(MATCH($F168,Lists!$A$2:$A$5,0)),"✖ الفترة غير صحيحة",IF(ISNA(MATCH($G168,Lists!$B$2:$B$7,0)),"✖ المجموعة غير صحيحة",IF(NOT(OR($H168="",$N168&gt;0)),"✖ Start غير صحيح",IF(NOT(OR($I168="",$I168="NR",$O168&gt;0)),"✖ Current غير صحيح",IF(NOT(IF(ISNUMBER($J168),AND($J168&gt;=0,$J168=INT($J168)),FALSE())),"✖ العدد يجب أن يكون صحيحًا ≥ 0",IF(AND($F168="Baseline",$H168&lt;&gt;""),"⚠ Baseline: Start لا يدخل في التقدم",IF($K168="No Start (attainment only)","ℹ تحصيل فقط (بدون Start)",IF($K168="U – needs rule","ℹ حالة U تحتاج قاعدة معتمدة",IF($K168="No result","ℹ بدون نتيجة (يُستبعد من التحصيل)","OK")))))))))))</f>
        <v>ℹ حالة U تحتاج قاعدة معتمدة</v>
      </c>
      <c r="M168" s="64" t="n">
        <f aca="false">IF($A168="",0,IFERROR(MATCH($A168,Classes!$A$6:$A$420,0),0))</f>
        <v>283</v>
      </c>
      <c r="N168" s="64" t="n">
        <f aca="false">IF($H168="",0,IFERROR(MATCH($H168,GradeList,0),0))</f>
        <v>5</v>
      </c>
      <c r="O168" s="64" t="n">
        <f aca="false">IF(OR($I168="",$I168="NR"),0,IFERROR(MATCH($I168,GradeList,0),0))</f>
        <v>1</v>
      </c>
      <c r="P168" s="64" t="n">
        <f aca="false">IF(AND($M168&gt;0,ISNUMBER(MATCH($F168,Lists!$A$2:$A$5,0)),ISNUMBER(MATCH($G168,Lists!$B$2:$B$7,0)),OR($H168="",$N168&gt;0),OR($I168="",$I168="NR",$O168&gt;0),IF(ISNUMBER($J168),AND($J168&gt;=0,$J168=INT($J168)),FALSE())),$J168,0)</f>
        <v>1</v>
      </c>
      <c r="Q168" s="64" t="n">
        <f aca="false">IF(AND($P168&gt;0,$O168&gt;0),$P168,0)</f>
        <v>1</v>
      </c>
      <c r="R168" s="64" t="n">
        <f aca="false">IF(AND($Q168&gt;0,$O168&gt;=AtRank),$Q168,0)</f>
        <v>0</v>
      </c>
      <c r="S168" s="64" t="n">
        <f aca="false">IF(AND($Q168&gt;0,$O168&gt;=AboveRank),$Q168,0)</f>
        <v>0</v>
      </c>
      <c r="T168" s="64" t="n">
        <f aca="false">IF($K168="Less",$P168,0)</f>
        <v>0</v>
      </c>
      <c r="U168" s="64" t="n">
        <f aca="false">IF($K168="Expected",$P168,0)</f>
        <v>0</v>
      </c>
      <c r="V168" s="64" t="n">
        <f aca="false">IF($K168="Better",$P168,0)</f>
        <v>0</v>
      </c>
      <c r="W168" s="64" t="n">
        <f aca="false">IF($K168="U – needs rule",$P168,0)</f>
        <v>1</v>
      </c>
      <c r="X168" s="64" t="n">
        <f aca="false">IF($K168="No Start (attainment only)",$P168,0)</f>
        <v>0</v>
      </c>
    </row>
    <row r="169" customFormat="false" ht="15" hidden="false" customHeight="false" outlineLevel="0" collapsed="false">
      <c r="A169" s="60" t="s">
        <v>779</v>
      </c>
      <c r="B169" s="61" t="str">
        <f aca="false">IF($M169=0,"",INDEX(Classes!$E$6:$E$420,$M169))</f>
        <v>Arabic A</v>
      </c>
      <c r="C169" s="62" t="str">
        <f aca="false">IF($M169=0,"",INDEX(Classes!$H$6:$H$420,$M169))</f>
        <v>Mr Ahmed AbdelmonemElsye</v>
      </c>
      <c r="D169" s="61" t="str">
        <f aca="false">IF($M169=0,"",INDEX(Classes!$B$6:$B$420,$M169))</f>
        <v>Year 10</v>
      </c>
      <c r="E169" s="61" t="str">
        <f aca="false">IF($M169=0,"",INDEX(Classes!$C$6:$C$420,$M169))</f>
        <v>ah</v>
      </c>
      <c r="F169" s="63" t="s">
        <v>107</v>
      </c>
      <c r="G169" s="63" t="s">
        <v>108</v>
      </c>
      <c r="H169" s="60" t="s">
        <v>201</v>
      </c>
      <c r="I169" s="60" t="s">
        <v>203</v>
      </c>
      <c r="J169" s="63" t="n">
        <v>1</v>
      </c>
      <c r="K169" s="61" t="str">
        <f aca="false">IF($P169=0,"",IF($F169="Baseline","— Baseline",IF($O169=0,"No result",IF($N169=0,"No Start (attainment only)",IF(OR($N169=1,$O169=1),"U – needs rule",INDEX(MxBody,MATCH($I169,MxCurr,0),MATCH($H169,MxStart,0)))))))</f>
        <v>Better</v>
      </c>
      <c r="L169" s="62" t="str">
        <f aca="false">IF(COUNTA($A169,$F169,$G169,$H169,$I169,$J169)=0,"",IF($M169=0,"✖ كود الصف غير موجود",IF(ISNA(MATCH($F169,Lists!$A$2:$A$5,0)),"✖ الفترة غير صحيحة",IF(ISNA(MATCH($G169,Lists!$B$2:$B$7,0)),"✖ المجموعة غير صحيحة",IF(NOT(OR($H169="",$N169&gt;0)),"✖ Start غير صحيح",IF(NOT(OR($I169="",$I169="NR",$O169&gt;0)),"✖ Current غير صحيح",IF(NOT(IF(ISNUMBER($J169),AND($J169&gt;=0,$J169=INT($J169)),FALSE())),"✖ العدد يجب أن يكون صحيحًا ≥ 0",IF(AND($F169="Baseline",$H169&lt;&gt;""),"⚠ Baseline: Start لا يدخل في التقدم",IF($K169="No Start (attainment only)","ℹ تحصيل فقط (بدون Start)",IF($K169="U – needs rule","ℹ حالة U تحتاج قاعدة معتمدة",IF($K169="No result","ℹ بدون نتيجة (يُستبعد من التحصيل)","OK")))))))))))</f>
        <v>OK</v>
      </c>
      <c r="M169" s="64" t="n">
        <f aca="false">IF($A169="",0,IFERROR(MATCH($A169,Classes!$A$6:$A$420,0),0))</f>
        <v>283</v>
      </c>
      <c r="N169" s="64" t="n">
        <f aca="false">IF($H169="",0,IFERROR(MATCH($H169,GradeList,0),0))</f>
        <v>6</v>
      </c>
      <c r="O169" s="64" t="n">
        <f aca="false">IF(OR($I169="",$I169="NR"),0,IFERROR(MATCH($I169,GradeList,0),0))</f>
        <v>8</v>
      </c>
      <c r="P169" s="64" t="n">
        <f aca="false">IF(AND($M169&gt;0,ISNUMBER(MATCH($F169,Lists!$A$2:$A$5,0)),ISNUMBER(MATCH($G169,Lists!$B$2:$B$7,0)),OR($H169="",$N169&gt;0),OR($I169="",$I169="NR",$O169&gt;0),IF(ISNUMBER($J169),AND($J169&gt;=0,$J169=INT($J169)),FALSE())),$J169,0)</f>
        <v>1</v>
      </c>
      <c r="Q169" s="64" t="n">
        <f aca="false">IF(AND($P169&gt;0,$O169&gt;0),$P169,0)</f>
        <v>1</v>
      </c>
      <c r="R169" s="64" t="n">
        <f aca="false">IF(AND($Q169&gt;0,$O169&gt;=AtRank),$Q169,0)</f>
        <v>1</v>
      </c>
      <c r="S169" s="64" t="n">
        <f aca="false">IF(AND($Q169&gt;0,$O169&gt;=AboveRank),$Q169,0)</f>
        <v>1</v>
      </c>
      <c r="T169" s="64" t="n">
        <f aca="false">IF($K169="Less",$P169,0)</f>
        <v>0</v>
      </c>
      <c r="U169" s="64" t="n">
        <f aca="false">IF($K169="Expected",$P169,0)</f>
        <v>0</v>
      </c>
      <c r="V169" s="64" t="n">
        <f aca="false">IF($K169="Better",$P169,0)</f>
        <v>1</v>
      </c>
      <c r="W169" s="64" t="n">
        <f aca="false">IF($K169="U – needs rule",$P169,0)</f>
        <v>0</v>
      </c>
      <c r="X169" s="64" t="n">
        <f aca="false">IF($K169="No Start (attainment only)",$P169,0)</f>
        <v>0</v>
      </c>
    </row>
    <row r="170" customFormat="false" ht="15" hidden="false" customHeight="false" outlineLevel="0" collapsed="false">
      <c r="A170" s="60" t="s">
        <v>779</v>
      </c>
      <c r="B170" s="61" t="str">
        <f aca="false">IF($M170=0,"",INDEX(Classes!$E$6:$E$420,$M170))</f>
        <v>Arabic A</v>
      </c>
      <c r="C170" s="62" t="str">
        <f aca="false">IF($M170=0,"",INDEX(Classes!$H$6:$H$420,$M170))</f>
        <v>Mr Ahmed AbdelmonemElsye</v>
      </c>
      <c r="D170" s="61" t="str">
        <f aca="false">IF($M170=0,"",INDEX(Classes!$B$6:$B$420,$M170))</f>
        <v>Year 10</v>
      </c>
      <c r="E170" s="61" t="str">
        <f aca="false">IF($M170=0,"",INDEX(Classes!$C$6:$C$420,$M170))</f>
        <v>ah</v>
      </c>
      <c r="F170" s="63" t="s">
        <v>107</v>
      </c>
      <c r="G170" s="63" t="s">
        <v>108</v>
      </c>
      <c r="H170" s="60" t="s">
        <v>201</v>
      </c>
      <c r="I170" s="60" t="s">
        <v>200</v>
      </c>
      <c r="J170" s="63" t="n">
        <v>1</v>
      </c>
      <c r="K170" s="61" t="str">
        <f aca="false">IF($P170=0,"",IF($F170="Baseline","— Baseline",IF($O170=0,"No result",IF($N170=0,"No Start (attainment only)",IF(OR($N170=1,$O170=1),"U – needs rule",INDEX(MxBody,MATCH($I170,MxCurr,0),MATCH($H170,MxStart,0)))))))</f>
        <v>Expected</v>
      </c>
      <c r="L170" s="62" t="str">
        <f aca="false">IF(COUNTA($A170,$F170,$G170,$H170,$I170,$J170)=0,"",IF($M170=0,"✖ كود الصف غير موجود",IF(ISNA(MATCH($F170,Lists!$A$2:$A$5,0)),"✖ الفترة غير صحيحة",IF(ISNA(MATCH($G170,Lists!$B$2:$B$7,0)),"✖ المجموعة غير صحيحة",IF(NOT(OR($H170="",$N170&gt;0)),"✖ Start غير صحيح",IF(NOT(OR($I170="",$I170="NR",$O170&gt;0)),"✖ Current غير صحيح",IF(NOT(IF(ISNUMBER($J170),AND($J170&gt;=0,$J170=INT($J170)),FALSE())),"✖ العدد يجب أن يكون صحيحًا ≥ 0",IF(AND($F170="Baseline",$H170&lt;&gt;""),"⚠ Baseline: Start لا يدخل في التقدم",IF($K170="No Start (attainment only)","ℹ تحصيل فقط (بدون Start)",IF($K170="U – needs rule","ℹ حالة U تحتاج قاعدة معتمدة",IF($K170="No result","ℹ بدون نتيجة (يُستبعد من التحصيل)","OK")))))))))))</f>
        <v>OK</v>
      </c>
      <c r="M170" s="64" t="n">
        <f aca="false">IF($A170="",0,IFERROR(MATCH($A170,Classes!$A$6:$A$420,0),0))</f>
        <v>283</v>
      </c>
      <c r="N170" s="64" t="n">
        <f aca="false">IF($H170="",0,IFERROR(MATCH($H170,GradeList,0),0))</f>
        <v>6</v>
      </c>
      <c r="O170" s="64" t="n">
        <f aca="false">IF(OR($I170="",$I170="NR"),0,IFERROR(MATCH($I170,GradeList,0),0))</f>
        <v>5</v>
      </c>
      <c r="P170" s="64" t="n">
        <f aca="false">IF(AND($M170&gt;0,ISNUMBER(MATCH($F170,Lists!$A$2:$A$5,0)),ISNUMBER(MATCH($G170,Lists!$B$2:$B$7,0)),OR($H170="",$N170&gt;0),OR($I170="",$I170="NR",$O170&gt;0),IF(ISNUMBER($J170),AND($J170&gt;=0,$J170=INT($J170)),FALSE())),$J170,0)</f>
        <v>1</v>
      </c>
      <c r="Q170" s="64" t="n">
        <f aca="false">IF(AND($P170&gt;0,$O170&gt;0),$P170,0)</f>
        <v>1</v>
      </c>
      <c r="R170" s="64" t="n">
        <f aca="false">IF(AND($Q170&gt;0,$O170&gt;=AtRank),$Q170,0)</f>
        <v>1</v>
      </c>
      <c r="S170" s="64" t="n">
        <f aca="false">IF(AND($Q170&gt;0,$O170&gt;=AboveRank),$Q170,0)</f>
        <v>0</v>
      </c>
      <c r="T170" s="64" t="n">
        <f aca="false">IF($K170="Less",$P170,0)</f>
        <v>0</v>
      </c>
      <c r="U170" s="64" t="n">
        <f aca="false">IF($K170="Expected",$P170,0)</f>
        <v>1</v>
      </c>
      <c r="V170" s="64" t="n">
        <f aca="false">IF($K170="Better",$P170,0)</f>
        <v>0</v>
      </c>
      <c r="W170" s="64" t="n">
        <f aca="false">IF($K170="U – needs rule",$P170,0)</f>
        <v>0</v>
      </c>
      <c r="X170" s="64" t="n">
        <f aca="false">IF($K170="No Start (attainment only)",$P170,0)</f>
        <v>0</v>
      </c>
    </row>
    <row r="171" customFormat="false" ht="15" hidden="false" customHeight="false" outlineLevel="0" collapsed="false">
      <c r="A171" s="60" t="s">
        <v>779</v>
      </c>
      <c r="B171" s="61" t="str">
        <f aca="false">IF($M171=0,"",INDEX(Classes!$E$6:$E$420,$M171))</f>
        <v>Arabic A</v>
      </c>
      <c r="C171" s="62" t="str">
        <f aca="false">IF($M171=0,"",INDEX(Classes!$H$6:$H$420,$M171))</f>
        <v>Mr Ahmed AbdelmonemElsye</v>
      </c>
      <c r="D171" s="61" t="str">
        <f aca="false">IF($M171=0,"",INDEX(Classes!$B$6:$B$420,$M171))</f>
        <v>Year 10</v>
      </c>
      <c r="E171" s="61" t="str">
        <f aca="false">IF($M171=0,"",INDEX(Classes!$C$6:$C$420,$M171))</f>
        <v>ah</v>
      </c>
      <c r="F171" s="63" t="s">
        <v>107</v>
      </c>
      <c r="G171" s="63" t="s">
        <v>108</v>
      </c>
      <c r="H171" s="60" t="s">
        <v>201</v>
      </c>
      <c r="I171" s="60" t="s">
        <v>201</v>
      </c>
      <c r="J171" s="63" t="n">
        <v>2</v>
      </c>
      <c r="K171" s="61" t="str">
        <f aca="false">IF($P171=0,"",IF($F171="Baseline","— Baseline",IF($O171=0,"No result",IF($N171=0,"No Start (attainment only)",IF(OR($N171=1,$O171=1),"U – needs rule",INDEX(MxBody,MATCH($I171,MxCurr,0),MATCH($H171,MxStart,0)))))))</f>
        <v>Expected</v>
      </c>
      <c r="L171" s="62" t="str">
        <f aca="false">IF(COUNTA($A171,$F171,$G171,$H171,$I171,$J171)=0,"",IF($M171=0,"✖ كود الصف غير موجود",IF(ISNA(MATCH($F171,Lists!$A$2:$A$5,0)),"✖ الفترة غير صحيحة",IF(ISNA(MATCH($G171,Lists!$B$2:$B$7,0)),"✖ المجموعة غير صحيحة",IF(NOT(OR($H171="",$N171&gt;0)),"✖ Start غير صحيح",IF(NOT(OR($I171="",$I171="NR",$O171&gt;0)),"✖ Current غير صحيح",IF(NOT(IF(ISNUMBER($J171),AND($J171&gt;=0,$J171=INT($J171)),FALSE())),"✖ العدد يجب أن يكون صحيحًا ≥ 0",IF(AND($F171="Baseline",$H171&lt;&gt;""),"⚠ Baseline: Start لا يدخل في التقدم",IF($K171="No Start (attainment only)","ℹ تحصيل فقط (بدون Start)",IF($K171="U – needs rule","ℹ حالة U تحتاج قاعدة معتمدة",IF($K171="No result","ℹ بدون نتيجة (يُستبعد من التحصيل)","OK")))))))))))</f>
        <v>OK</v>
      </c>
      <c r="M171" s="64" t="n">
        <f aca="false">IF($A171="",0,IFERROR(MATCH($A171,Classes!$A$6:$A$420,0),0))</f>
        <v>283</v>
      </c>
      <c r="N171" s="64" t="n">
        <f aca="false">IF($H171="",0,IFERROR(MATCH($H171,GradeList,0),0))</f>
        <v>6</v>
      </c>
      <c r="O171" s="64" t="n">
        <f aca="false">IF(OR($I171="",$I171="NR"),0,IFERROR(MATCH($I171,GradeList,0),0))</f>
        <v>6</v>
      </c>
      <c r="P171" s="64" t="n">
        <f aca="false">IF(AND($M171&gt;0,ISNUMBER(MATCH($F171,Lists!$A$2:$A$5,0)),ISNUMBER(MATCH($G171,Lists!$B$2:$B$7,0)),OR($H171="",$N171&gt;0),OR($I171="",$I171="NR",$O171&gt;0),IF(ISNUMBER($J171),AND($J171&gt;=0,$J171=INT($J171)),FALSE())),$J171,0)</f>
        <v>2</v>
      </c>
      <c r="Q171" s="64" t="n">
        <f aca="false">IF(AND($P171&gt;0,$O171&gt;0),$P171,0)</f>
        <v>2</v>
      </c>
      <c r="R171" s="64" t="n">
        <f aca="false">IF(AND($Q171&gt;0,$O171&gt;=AtRank),$Q171,0)</f>
        <v>2</v>
      </c>
      <c r="S171" s="64" t="n">
        <f aca="false">IF(AND($Q171&gt;0,$O171&gt;=AboveRank),$Q171,0)</f>
        <v>0</v>
      </c>
      <c r="T171" s="64" t="n">
        <f aca="false">IF($K171="Less",$P171,0)</f>
        <v>0</v>
      </c>
      <c r="U171" s="64" t="n">
        <f aca="false">IF($K171="Expected",$P171,0)</f>
        <v>2</v>
      </c>
      <c r="V171" s="64" t="n">
        <f aca="false">IF($K171="Better",$P171,0)</f>
        <v>0</v>
      </c>
      <c r="W171" s="64" t="n">
        <f aca="false">IF($K171="U – needs rule",$P171,0)</f>
        <v>0</v>
      </c>
      <c r="X171" s="64" t="n">
        <f aca="false">IF($K171="No Start (attainment only)",$P171,0)</f>
        <v>0</v>
      </c>
    </row>
    <row r="172" customFormat="false" ht="15" hidden="false" customHeight="false" outlineLevel="0" collapsed="false">
      <c r="A172" s="60" t="s">
        <v>779</v>
      </c>
      <c r="B172" s="61" t="str">
        <f aca="false">IF($M172=0,"",INDEX(Classes!$E$6:$E$420,$M172))</f>
        <v>Arabic A</v>
      </c>
      <c r="C172" s="62" t="str">
        <f aca="false">IF($M172=0,"",INDEX(Classes!$H$6:$H$420,$M172))</f>
        <v>Mr Ahmed AbdelmonemElsye</v>
      </c>
      <c r="D172" s="61" t="str">
        <f aca="false">IF($M172=0,"",INDEX(Classes!$B$6:$B$420,$M172))</f>
        <v>Year 10</v>
      </c>
      <c r="E172" s="61" t="str">
        <f aca="false">IF($M172=0,"",INDEX(Classes!$C$6:$C$420,$M172))</f>
        <v>ah</v>
      </c>
      <c r="F172" s="63" t="s">
        <v>107</v>
      </c>
      <c r="G172" s="63" t="s">
        <v>108</v>
      </c>
      <c r="H172" s="60" t="s">
        <v>201</v>
      </c>
      <c r="I172" s="60" t="s">
        <v>1019</v>
      </c>
      <c r="J172" s="63" t="n">
        <v>1</v>
      </c>
      <c r="K172" s="61" t="str">
        <f aca="false">IF($P172=0,"",IF($F172="Baseline","— Baseline",IF($O172=0,"No result",IF($N172=0,"No Start (attainment only)",IF(OR($N172=1,$O172=1),"U – needs rule",INDEX(MxBody,MATCH($I172,MxCurr,0),MATCH($H172,MxStart,0)))))))</f>
        <v>No result</v>
      </c>
      <c r="L172" s="62" t="str">
        <f aca="false">IF(COUNTA($A172,$F172,$G172,$H172,$I172,$J172)=0,"",IF($M172=0,"✖ كود الصف غير موجود",IF(ISNA(MATCH($F172,Lists!$A$2:$A$5,0)),"✖ الفترة غير صحيحة",IF(ISNA(MATCH($G172,Lists!$B$2:$B$7,0)),"✖ المجموعة غير صحيحة",IF(NOT(OR($H172="",$N172&gt;0)),"✖ Start غير صحيح",IF(NOT(OR($I172="",$I172="NR",$O172&gt;0)),"✖ Current غير صحيح",IF(NOT(IF(ISNUMBER($J172),AND($J172&gt;=0,$J172=INT($J172)),FALSE())),"✖ العدد يجب أن يكون صحيحًا ≥ 0",IF(AND($F172="Baseline",$H172&lt;&gt;""),"⚠ Baseline: Start لا يدخل في التقدم",IF($K172="No Start (attainment only)","ℹ تحصيل فقط (بدون Start)",IF($K172="U – needs rule","ℹ حالة U تحتاج قاعدة معتمدة",IF($K172="No result","ℹ بدون نتيجة (يُستبعد من التحصيل)","OK")))))))))))</f>
        <v>ℹ بدون نتيجة (يُستبعد من التحصيل)</v>
      </c>
      <c r="M172" s="64" t="n">
        <f aca="false">IF($A172="",0,IFERROR(MATCH($A172,Classes!$A$6:$A$420,0),0))</f>
        <v>283</v>
      </c>
      <c r="N172" s="64" t="n">
        <f aca="false">IF($H172="",0,IFERROR(MATCH($H172,GradeList,0),0))</f>
        <v>6</v>
      </c>
      <c r="O172" s="64" t="n">
        <f aca="false">IF(OR($I172="",$I172="NR"),0,IFERROR(MATCH($I172,GradeList,0),0))</f>
        <v>0</v>
      </c>
      <c r="P172" s="64" t="n">
        <f aca="false">IF(AND($M172&gt;0,ISNUMBER(MATCH($F172,Lists!$A$2:$A$5,0)),ISNUMBER(MATCH($G172,Lists!$B$2:$B$7,0)),OR($H172="",$N172&gt;0),OR($I172="",$I172="NR",$O172&gt;0),IF(ISNUMBER($J172),AND($J172&gt;=0,$J172=INT($J172)),FALSE())),$J172,0)</f>
        <v>1</v>
      </c>
      <c r="Q172" s="64" t="n">
        <f aca="false">IF(AND($P172&gt;0,$O172&gt;0),$P172,0)</f>
        <v>0</v>
      </c>
      <c r="R172" s="64" t="n">
        <f aca="false">IF(AND($Q172&gt;0,$O172&gt;=AtRank),$Q172,0)</f>
        <v>0</v>
      </c>
      <c r="S172" s="64" t="n">
        <f aca="false">IF(AND($Q172&gt;0,$O172&gt;=AboveRank),$Q172,0)</f>
        <v>0</v>
      </c>
      <c r="T172" s="64" t="n">
        <f aca="false">IF($K172="Less",$P172,0)</f>
        <v>0</v>
      </c>
      <c r="U172" s="64" t="n">
        <f aca="false">IF($K172="Expected",$P172,0)</f>
        <v>0</v>
      </c>
      <c r="V172" s="64" t="n">
        <f aca="false">IF($K172="Better",$P172,0)</f>
        <v>0</v>
      </c>
      <c r="W172" s="64" t="n">
        <f aca="false">IF($K172="U – needs rule",$P172,0)</f>
        <v>0</v>
      </c>
      <c r="X172" s="64" t="n">
        <f aca="false">IF($K172="No Start (attainment only)",$P172,0)</f>
        <v>0</v>
      </c>
    </row>
    <row r="173" customFormat="false" ht="15" hidden="false" customHeight="false" outlineLevel="0" collapsed="false">
      <c r="A173" s="60" t="s">
        <v>779</v>
      </c>
      <c r="B173" s="61" t="str">
        <f aca="false">IF($M173=0,"",INDEX(Classes!$E$6:$E$420,$M173))</f>
        <v>Arabic A</v>
      </c>
      <c r="C173" s="62" t="str">
        <f aca="false">IF($M173=0,"",INDEX(Classes!$H$6:$H$420,$M173))</f>
        <v>Mr Ahmed AbdelmonemElsye</v>
      </c>
      <c r="D173" s="61" t="str">
        <f aca="false">IF($M173=0,"",INDEX(Classes!$B$6:$B$420,$M173))</f>
        <v>Year 10</v>
      </c>
      <c r="E173" s="61" t="str">
        <f aca="false">IF($M173=0,"",INDEX(Classes!$C$6:$C$420,$M173))</f>
        <v>ah</v>
      </c>
      <c r="F173" s="63" t="s">
        <v>107</v>
      </c>
      <c r="G173" s="63" t="s">
        <v>108</v>
      </c>
      <c r="H173" s="60" t="s">
        <v>198</v>
      </c>
      <c r="I173" s="60" t="s">
        <v>198</v>
      </c>
      <c r="J173" s="63" t="n">
        <v>1</v>
      </c>
      <c r="K173" s="61" t="str">
        <f aca="false">IF($P173=0,"",IF($F173="Baseline","— Baseline",IF($O173=0,"No result",IF($N173=0,"No Start (attainment only)",IF(OR($N173=1,$O173=1),"U – needs rule",INDEX(MxBody,MATCH($I173,MxCurr,0),MATCH($H173,MxStart,0)))))))</f>
        <v>Expected</v>
      </c>
      <c r="L173" s="62" t="str">
        <f aca="false">IF(COUNTA($A173,$F173,$G173,$H173,$I173,$J173)=0,"",IF($M173=0,"✖ كود الصف غير موجود",IF(ISNA(MATCH($F173,Lists!$A$2:$A$5,0)),"✖ الفترة غير صحيحة",IF(ISNA(MATCH($G173,Lists!$B$2:$B$7,0)),"✖ المجموعة غير صحيحة",IF(NOT(OR($H173="",$N173&gt;0)),"✖ Start غير صحيح",IF(NOT(OR($I173="",$I173="NR",$O173&gt;0)),"✖ Current غير صحيح",IF(NOT(IF(ISNUMBER($J173),AND($J173&gt;=0,$J173=INT($J173)),FALSE())),"✖ العدد يجب أن يكون صحيحًا ≥ 0",IF(AND($F173="Baseline",$H173&lt;&gt;""),"⚠ Baseline: Start لا يدخل في التقدم",IF($K173="No Start (attainment only)","ℹ تحصيل فقط (بدون Start)",IF($K173="U – needs rule","ℹ حالة U تحتاج قاعدة معتمدة",IF($K173="No result","ℹ بدون نتيجة (يُستبعد من التحصيل)","OK")))))))))))</f>
        <v>OK</v>
      </c>
      <c r="M173" s="64" t="n">
        <f aca="false">IF($A173="",0,IFERROR(MATCH($A173,Classes!$A$6:$A$420,0),0))</f>
        <v>283</v>
      </c>
      <c r="N173" s="64" t="n">
        <f aca="false">IF($H173="",0,IFERROR(MATCH($H173,GradeList,0),0))</f>
        <v>3</v>
      </c>
      <c r="O173" s="64" t="n">
        <f aca="false">IF(OR($I173="",$I173="NR"),0,IFERROR(MATCH($I173,GradeList,0),0))</f>
        <v>3</v>
      </c>
      <c r="P173" s="64" t="n">
        <f aca="false">IF(AND($M173&gt;0,ISNUMBER(MATCH($F173,Lists!$A$2:$A$5,0)),ISNUMBER(MATCH($G173,Lists!$B$2:$B$7,0)),OR($H173="",$N173&gt;0),OR($I173="",$I173="NR",$O173&gt;0),IF(ISNUMBER($J173),AND($J173&gt;=0,$J173=INT($J173)),FALSE())),$J173,0)</f>
        <v>1</v>
      </c>
      <c r="Q173" s="64" t="n">
        <f aca="false">IF(AND($P173&gt;0,$O173&gt;0),$P173,0)</f>
        <v>1</v>
      </c>
      <c r="R173" s="64" t="n">
        <f aca="false">IF(AND($Q173&gt;0,$O173&gt;=AtRank),$Q173,0)</f>
        <v>0</v>
      </c>
      <c r="S173" s="64" t="n">
        <f aca="false">IF(AND($Q173&gt;0,$O173&gt;=AboveRank),$Q173,0)</f>
        <v>0</v>
      </c>
      <c r="T173" s="64" t="n">
        <f aca="false">IF($K173="Less",$P173,0)</f>
        <v>0</v>
      </c>
      <c r="U173" s="64" t="n">
        <f aca="false">IF($K173="Expected",$P173,0)</f>
        <v>1</v>
      </c>
      <c r="V173" s="64" t="n">
        <f aca="false">IF($K173="Better",$P173,0)</f>
        <v>0</v>
      </c>
      <c r="W173" s="64" t="n">
        <f aca="false">IF($K173="U – needs rule",$P173,0)</f>
        <v>0</v>
      </c>
      <c r="X173" s="64" t="n">
        <f aca="false">IF($K173="No Start (attainment only)",$P173,0)</f>
        <v>0</v>
      </c>
    </row>
    <row r="174" customFormat="false" ht="15" hidden="false" customHeight="false" outlineLevel="0" collapsed="false">
      <c r="A174" s="60" t="s">
        <v>779</v>
      </c>
      <c r="B174" s="61" t="str">
        <f aca="false">IF($M174=0,"",INDEX(Classes!$E$6:$E$420,$M174))</f>
        <v>Arabic A</v>
      </c>
      <c r="C174" s="62" t="str">
        <f aca="false">IF($M174=0,"",INDEX(Classes!$H$6:$H$420,$M174))</f>
        <v>Mr Ahmed AbdelmonemElsye</v>
      </c>
      <c r="D174" s="61" t="str">
        <f aca="false">IF($M174=0,"",INDEX(Classes!$B$6:$B$420,$M174))</f>
        <v>Year 10</v>
      </c>
      <c r="E174" s="61" t="str">
        <f aca="false">IF($M174=0,"",INDEX(Classes!$C$6:$C$420,$M174))</f>
        <v>ah</v>
      </c>
      <c r="F174" s="63" t="s">
        <v>107</v>
      </c>
      <c r="G174" s="63" t="s">
        <v>108</v>
      </c>
      <c r="H174" s="60" t="s">
        <v>204</v>
      </c>
      <c r="I174" s="60" t="s">
        <v>205</v>
      </c>
      <c r="J174" s="63" t="n">
        <v>2</v>
      </c>
      <c r="K174" s="61" t="str">
        <f aca="false">IF($P174=0,"",IF($F174="Baseline","— Baseline",IF($O174=0,"No result",IF($N174=0,"No Start (attainment only)",IF(OR($N174=1,$O174=1),"U – needs rule",INDEX(MxBody,MATCH($I174,MxCurr,0),MATCH($H174,MxStart,0)))))))</f>
        <v>Better</v>
      </c>
      <c r="L174" s="62" t="str">
        <f aca="false">IF(COUNTA($A174,$F174,$G174,$H174,$I174,$J174)=0,"",IF($M174=0,"✖ كود الصف غير موجود",IF(ISNA(MATCH($F174,Lists!$A$2:$A$5,0)),"✖ الفترة غير صحيحة",IF(ISNA(MATCH($G174,Lists!$B$2:$B$7,0)),"✖ المجموعة غير صحيحة",IF(NOT(OR($H174="",$N174&gt;0)),"✖ Start غير صحيح",IF(NOT(OR($I174="",$I174="NR",$O174&gt;0)),"✖ Current غير صحيح",IF(NOT(IF(ISNUMBER($J174),AND($J174&gt;=0,$J174=INT($J174)),FALSE())),"✖ العدد يجب أن يكون صحيحًا ≥ 0",IF(AND($F174="Baseline",$H174&lt;&gt;""),"⚠ Baseline: Start لا يدخل في التقدم",IF($K174="No Start (attainment only)","ℹ تحصيل فقط (بدون Start)",IF($K174="U – needs rule","ℹ حالة U تحتاج قاعدة معتمدة",IF($K174="No result","ℹ بدون نتيجة (يُستبعد من التحصيل)","OK")))))))))))</f>
        <v>OK</v>
      </c>
      <c r="M174" s="64" t="n">
        <f aca="false">IF($A174="",0,IFERROR(MATCH($A174,Classes!$A$6:$A$420,0),0))</f>
        <v>283</v>
      </c>
      <c r="N174" s="64" t="n">
        <f aca="false">IF($H174="",0,IFERROR(MATCH($H174,GradeList,0),0))</f>
        <v>9</v>
      </c>
      <c r="O174" s="64" t="n">
        <f aca="false">IF(OR($I174="",$I174="NR"),0,IFERROR(MATCH($I174,GradeList,0),0))</f>
        <v>10</v>
      </c>
      <c r="P174" s="64" t="n">
        <f aca="false">IF(AND($M174&gt;0,ISNUMBER(MATCH($F174,Lists!$A$2:$A$5,0)),ISNUMBER(MATCH($G174,Lists!$B$2:$B$7,0)),OR($H174="",$N174&gt;0),OR($I174="",$I174="NR",$O174&gt;0),IF(ISNUMBER($J174),AND($J174&gt;=0,$J174=INT($J174)),FALSE())),$J174,0)</f>
        <v>2</v>
      </c>
      <c r="Q174" s="64" t="n">
        <f aca="false">IF(AND($P174&gt;0,$O174&gt;0),$P174,0)</f>
        <v>2</v>
      </c>
      <c r="R174" s="64" t="n">
        <f aca="false">IF(AND($Q174&gt;0,$O174&gt;=AtRank),$Q174,0)</f>
        <v>2</v>
      </c>
      <c r="S174" s="64" t="n">
        <f aca="false">IF(AND($Q174&gt;0,$O174&gt;=AboveRank),$Q174,0)</f>
        <v>2</v>
      </c>
      <c r="T174" s="64" t="n">
        <f aca="false">IF($K174="Less",$P174,0)</f>
        <v>0</v>
      </c>
      <c r="U174" s="64" t="n">
        <f aca="false">IF($K174="Expected",$P174,0)</f>
        <v>0</v>
      </c>
      <c r="V174" s="64" t="n">
        <f aca="false">IF($K174="Better",$P174,0)</f>
        <v>2</v>
      </c>
      <c r="W174" s="64" t="n">
        <f aca="false">IF($K174="U – needs rule",$P174,0)</f>
        <v>0</v>
      </c>
      <c r="X174" s="64" t="n">
        <f aca="false">IF($K174="No Start (attainment only)",$P174,0)</f>
        <v>0</v>
      </c>
    </row>
    <row r="175" customFormat="false" ht="15" hidden="false" customHeight="false" outlineLevel="0" collapsed="false">
      <c r="A175" s="60" t="s">
        <v>779</v>
      </c>
      <c r="B175" s="61" t="str">
        <f aca="false">IF($M175=0,"",INDEX(Classes!$E$6:$E$420,$M175))</f>
        <v>Arabic A</v>
      </c>
      <c r="C175" s="62" t="str">
        <f aca="false">IF($M175=0,"",INDEX(Classes!$H$6:$H$420,$M175))</f>
        <v>Mr Ahmed AbdelmonemElsye</v>
      </c>
      <c r="D175" s="61" t="str">
        <f aca="false">IF($M175=0,"",INDEX(Classes!$B$6:$B$420,$M175))</f>
        <v>Year 10</v>
      </c>
      <c r="E175" s="61" t="str">
        <f aca="false">IF($M175=0,"",INDEX(Classes!$C$6:$C$420,$M175))</f>
        <v>ah</v>
      </c>
      <c r="F175" s="63" t="s">
        <v>107</v>
      </c>
      <c r="G175" s="63" t="s">
        <v>108</v>
      </c>
      <c r="H175" s="60" t="s">
        <v>199</v>
      </c>
      <c r="I175" s="60" t="s">
        <v>201</v>
      </c>
      <c r="J175" s="63" t="n">
        <v>1</v>
      </c>
      <c r="K175" s="61" t="str">
        <f aca="false">IF($P175=0,"",IF($F175="Baseline","— Baseline",IF($O175=0,"No result",IF($N175=0,"No Start (attainment only)",IF(OR($N175=1,$O175=1),"U – needs rule",INDEX(MxBody,MATCH($I175,MxCurr,0),MATCH($H175,MxStart,0)))))))</f>
        <v>Better</v>
      </c>
      <c r="L175" s="62" t="str">
        <f aca="false">IF(COUNTA($A175,$F175,$G175,$H175,$I175,$J175)=0,"",IF($M175=0,"✖ كود الصف غير موجود",IF(ISNA(MATCH($F175,Lists!$A$2:$A$5,0)),"✖ الفترة غير صحيحة",IF(ISNA(MATCH($G175,Lists!$B$2:$B$7,0)),"✖ المجموعة غير صحيحة",IF(NOT(OR($H175="",$N175&gt;0)),"✖ Start غير صحيح",IF(NOT(OR($I175="",$I175="NR",$O175&gt;0)),"✖ Current غير صحيح",IF(NOT(IF(ISNUMBER($J175),AND($J175&gt;=0,$J175=INT($J175)),FALSE())),"✖ العدد يجب أن يكون صحيحًا ≥ 0",IF(AND($F175="Baseline",$H175&lt;&gt;""),"⚠ Baseline: Start لا يدخل في التقدم",IF($K175="No Start (attainment only)","ℹ تحصيل فقط (بدون Start)",IF($K175="U – needs rule","ℹ حالة U تحتاج قاعدة معتمدة",IF($K175="No result","ℹ بدون نتيجة (يُستبعد من التحصيل)","OK")))))))))))</f>
        <v>OK</v>
      </c>
      <c r="M175" s="64" t="n">
        <f aca="false">IF($A175="",0,IFERROR(MATCH($A175,Classes!$A$6:$A$420,0),0))</f>
        <v>283</v>
      </c>
      <c r="N175" s="64" t="n">
        <f aca="false">IF($H175="",0,IFERROR(MATCH($H175,GradeList,0),0))</f>
        <v>4</v>
      </c>
      <c r="O175" s="64" t="n">
        <f aca="false">IF(OR($I175="",$I175="NR"),0,IFERROR(MATCH($I175,GradeList,0),0))</f>
        <v>6</v>
      </c>
      <c r="P175" s="64" t="n">
        <f aca="false">IF(AND($M175&gt;0,ISNUMBER(MATCH($F175,Lists!$A$2:$A$5,0)),ISNUMBER(MATCH($G175,Lists!$B$2:$B$7,0)),OR($H175="",$N175&gt;0),OR($I175="",$I175="NR",$O175&gt;0),IF(ISNUMBER($J175),AND($J175&gt;=0,$J175=INT($J175)),FALSE())),$J175,0)</f>
        <v>1</v>
      </c>
      <c r="Q175" s="64" t="n">
        <f aca="false">IF(AND($P175&gt;0,$O175&gt;0),$P175,0)</f>
        <v>1</v>
      </c>
      <c r="R175" s="64" t="n">
        <f aca="false">IF(AND($Q175&gt;0,$O175&gt;=AtRank),$Q175,0)</f>
        <v>1</v>
      </c>
      <c r="S175" s="64" t="n">
        <f aca="false">IF(AND($Q175&gt;0,$O175&gt;=AboveRank),$Q175,0)</f>
        <v>0</v>
      </c>
      <c r="T175" s="64" t="n">
        <f aca="false">IF($K175="Less",$P175,0)</f>
        <v>0</v>
      </c>
      <c r="U175" s="64" t="n">
        <f aca="false">IF($K175="Expected",$P175,0)</f>
        <v>0</v>
      </c>
      <c r="V175" s="64" t="n">
        <f aca="false">IF($K175="Better",$P175,0)</f>
        <v>1</v>
      </c>
      <c r="W175" s="64" t="n">
        <f aca="false">IF($K175="U – needs rule",$P175,0)</f>
        <v>0</v>
      </c>
      <c r="X175" s="64" t="n">
        <f aca="false">IF($K175="No Start (attainment only)",$P175,0)</f>
        <v>0</v>
      </c>
    </row>
    <row r="176" customFormat="false" ht="15" hidden="false" customHeight="false" outlineLevel="0" collapsed="false">
      <c r="A176" s="60" t="s">
        <v>779</v>
      </c>
      <c r="B176" s="61" t="str">
        <f aca="false">IF($M176=0,"",INDEX(Classes!$E$6:$E$420,$M176))</f>
        <v>Arabic A</v>
      </c>
      <c r="C176" s="62" t="str">
        <f aca="false">IF($M176=0,"",INDEX(Classes!$H$6:$H$420,$M176))</f>
        <v>Mr Ahmed AbdelmonemElsye</v>
      </c>
      <c r="D176" s="61" t="str">
        <f aca="false">IF($M176=0,"",INDEX(Classes!$B$6:$B$420,$M176))</f>
        <v>Year 10</v>
      </c>
      <c r="E176" s="61" t="str">
        <f aca="false">IF($M176=0,"",INDEX(Classes!$C$6:$C$420,$M176))</f>
        <v>ah</v>
      </c>
      <c r="F176" s="63" t="s">
        <v>107</v>
      </c>
      <c r="G176" s="63" t="s">
        <v>108</v>
      </c>
      <c r="H176" s="60" t="s">
        <v>199</v>
      </c>
      <c r="I176" s="60" t="s">
        <v>198</v>
      </c>
      <c r="J176" s="63" t="n">
        <v>2</v>
      </c>
      <c r="K176" s="61" t="str">
        <f aca="false">IF($P176=0,"",IF($F176="Baseline","— Baseline",IF($O176=0,"No result",IF($N176=0,"No Start (attainment only)",IF(OR($N176=1,$O176=1),"U – needs rule",INDEX(MxBody,MATCH($I176,MxCurr,0),MATCH($H176,MxStart,0)))))))</f>
        <v>Less</v>
      </c>
      <c r="L176" s="62" t="str">
        <f aca="false">IF(COUNTA($A176,$F176,$G176,$H176,$I176,$J176)=0,"",IF($M176=0,"✖ كود الصف غير موجود",IF(ISNA(MATCH($F176,Lists!$A$2:$A$5,0)),"✖ الفترة غير صحيحة",IF(ISNA(MATCH($G176,Lists!$B$2:$B$7,0)),"✖ المجموعة غير صحيحة",IF(NOT(OR($H176="",$N176&gt;0)),"✖ Start غير صحيح",IF(NOT(OR($I176="",$I176="NR",$O176&gt;0)),"✖ Current غير صحيح",IF(NOT(IF(ISNUMBER($J176),AND($J176&gt;=0,$J176=INT($J176)),FALSE())),"✖ العدد يجب أن يكون صحيحًا ≥ 0",IF(AND($F176="Baseline",$H176&lt;&gt;""),"⚠ Baseline: Start لا يدخل في التقدم",IF($K176="No Start (attainment only)","ℹ تحصيل فقط (بدون Start)",IF($K176="U – needs rule","ℹ حالة U تحتاج قاعدة معتمدة",IF($K176="No result","ℹ بدون نتيجة (يُستبعد من التحصيل)","OK")))))))))))</f>
        <v>OK</v>
      </c>
      <c r="M176" s="64" t="n">
        <f aca="false">IF($A176="",0,IFERROR(MATCH($A176,Classes!$A$6:$A$420,0),0))</f>
        <v>283</v>
      </c>
      <c r="N176" s="64" t="n">
        <f aca="false">IF($H176="",0,IFERROR(MATCH($H176,GradeList,0),0))</f>
        <v>4</v>
      </c>
      <c r="O176" s="64" t="n">
        <f aca="false">IF(OR($I176="",$I176="NR"),0,IFERROR(MATCH($I176,GradeList,0),0))</f>
        <v>3</v>
      </c>
      <c r="P176" s="64" t="n">
        <f aca="false">IF(AND($M176&gt;0,ISNUMBER(MATCH($F176,Lists!$A$2:$A$5,0)),ISNUMBER(MATCH($G176,Lists!$B$2:$B$7,0)),OR($H176="",$N176&gt;0),OR($I176="",$I176="NR",$O176&gt;0),IF(ISNUMBER($J176),AND($J176&gt;=0,$J176=INT($J176)),FALSE())),$J176,0)</f>
        <v>2</v>
      </c>
      <c r="Q176" s="64" t="n">
        <f aca="false">IF(AND($P176&gt;0,$O176&gt;0),$P176,0)</f>
        <v>2</v>
      </c>
      <c r="R176" s="64" t="n">
        <f aca="false">IF(AND($Q176&gt;0,$O176&gt;=AtRank),$Q176,0)</f>
        <v>0</v>
      </c>
      <c r="S176" s="64" t="n">
        <f aca="false">IF(AND($Q176&gt;0,$O176&gt;=AboveRank),$Q176,0)</f>
        <v>0</v>
      </c>
      <c r="T176" s="64" t="n">
        <f aca="false">IF($K176="Less",$P176,0)</f>
        <v>2</v>
      </c>
      <c r="U176" s="64" t="n">
        <f aca="false">IF($K176="Expected",$P176,0)</f>
        <v>0</v>
      </c>
      <c r="V176" s="64" t="n">
        <f aca="false">IF($K176="Better",$P176,0)</f>
        <v>0</v>
      </c>
      <c r="W176" s="64" t="n">
        <f aca="false">IF($K176="U – needs rule",$P176,0)</f>
        <v>0</v>
      </c>
      <c r="X176" s="64" t="n">
        <f aca="false">IF($K176="No Start (attainment only)",$P176,0)</f>
        <v>0</v>
      </c>
    </row>
    <row r="177" customFormat="false" ht="15" hidden="false" customHeight="false" outlineLevel="0" collapsed="false">
      <c r="A177" s="60" t="s">
        <v>779</v>
      </c>
      <c r="B177" s="61" t="str">
        <f aca="false">IF($M177=0,"",INDEX(Classes!$E$6:$E$420,$M177))</f>
        <v>Arabic A</v>
      </c>
      <c r="C177" s="62" t="str">
        <f aca="false">IF($M177=0,"",INDEX(Classes!$H$6:$H$420,$M177))</f>
        <v>Mr Ahmed AbdelmonemElsye</v>
      </c>
      <c r="D177" s="61" t="str">
        <f aca="false">IF($M177=0,"",INDEX(Classes!$B$6:$B$420,$M177))</f>
        <v>Year 10</v>
      </c>
      <c r="E177" s="61" t="str">
        <f aca="false">IF($M177=0,"",INDEX(Classes!$C$6:$C$420,$M177))</f>
        <v>ah</v>
      </c>
      <c r="F177" s="63" t="s">
        <v>107</v>
      </c>
      <c r="G177" s="63" t="s">
        <v>1015</v>
      </c>
      <c r="H177" s="60"/>
      <c r="I177" s="60" t="s">
        <v>201</v>
      </c>
      <c r="J177" s="63" t="n">
        <v>1</v>
      </c>
      <c r="K177" s="61" t="str">
        <f aca="false">IF($P177=0,"",IF($F177="Baseline","— Baseline",IF($O177=0,"No result",IF($N177=0,"No Start (attainment only)",IF(OR($N177=1,$O177=1),"U – needs rule",INDEX(MxBody,MATCH($I177,MxCurr,0),MATCH($H177,MxStart,0)))))))</f>
        <v>No Start (attainment only)</v>
      </c>
      <c r="L177" s="62" t="str">
        <f aca="false">IF(COUNTA($A177,$F177,$G177,$H177,$I177,$J177)=0,"",IF($M177=0,"✖ كود الصف غير موجود",IF(ISNA(MATCH($F177,Lists!$A$2:$A$5,0)),"✖ الفترة غير صحيحة",IF(ISNA(MATCH($G177,Lists!$B$2:$B$7,0)),"✖ المجموعة غير صحيحة",IF(NOT(OR($H177="",$N177&gt;0)),"✖ Start غير صحيح",IF(NOT(OR($I177="",$I177="NR",$O177&gt;0)),"✖ Current غير صحيح",IF(NOT(IF(ISNUMBER($J177),AND($J177&gt;=0,$J177=INT($J177)),FALSE())),"✖ العدد يجب أن يكون صحيحًا ≥ 0",IF(AND($F177="Baseline",$H177&lt;&gt;""),"⚠ Baseline: Start لا يدخل في التقدم",IF($K177="No Start (attainment only)","ℹ تحصيل فقط (بدون Start)",IF($K177="U – needs rule","ℹ حالة U تحتاج قاعدة معتمدة",IF($K177="No result","ℹ بدون نتيجة (يُستبعد من التحصيل)","OK")))))))))))</f>
        <v>ℹ تحصيل فقط (بدون Start)</v>
      </c>
      <c r="M177" s="64" t="n">
        <f aca="false">IF($A177="",0,IFERROR(MATCH($A177,Classes!$A$6:$A$420,0),0))</f>
        <v>283</v>
      </c>
      <c r="N177" s="64" t="n">
        <f aca="false">IF($H177="",0,IFERROR(MATCH($H177,GradeList,0),0))</f>
        <v>0</v>
      </c>
      <c r="O177" s="64" t="n">
        <f aca="false">IF(OR($I177="",$I177="NR"),0,IFERROR(MATCH($I177,GradeList,0),0))</f>
        <v>6</v>
      </c>
      <c r="P177" s="64" t="n">
        <f aca="false">IF(AND($M177&gt;0,ISNUMBER(MATCH($F177,Lists!$A$2:$A$5,0)),ISNUMBER(MATCH($G177,Lists!$B$2:$B$7,0)),OR($H177="",$N177&gt;0),OR($I177="",$I177="NR",$O177&gt;0),IF(ISNUMBER($J177),AND($J177&gt;=0,$J177=INT($J177)),FALSE())),$J177,0)</f>
        <v>1</v>
      </c>
      <c r="Q177" s="64" t="n">
        <f aca="false">IF(AND($P177&gt;0,$O177&gt;0),$P177,0)</f>
        <v>1</v>
      </c>
      <c r="R177" s="64" t="n">
        <f aca="false">IF(AND($Q177&gt;0,$O177&gt;=AtRank),$Q177,0)</f>
        <v>1</v>
      </c>
      <c r="S177" s="64" t="n">
        <f aca="false">IF(AND($Q177&gt;0,$O177&gt;=AboveRank),$Q177,0)</f>
        <v>0</v>
      </c>
      <c r="T177" s="64" t="n">
        <f aca="false">IF($K177="Less",$P177,0)</f>
        <v>0</v>
      </c>
      <c r="U177" s="64" t="n">
        <f aca="false">IF($K177="Expected",$P177,0)</f>
        <v>0</v>
      </c>
      <c r="V177" s="64" t="n">
        <f aca="false">IF($K177="Better",$P177,0)</f>
        <v>0</v>
      </c>
      <c r="W177" s="64" t="n">
        <f aca="false">IF($K177="U – needs rule",$P177,0)</f>
        <v>0</v>
      </c>
      <c r="X177" s="64" t="n">
        <f aca="false">IF($K177="No Start (attainment only)",$P177,0)</f>
        <v>1</v>
      </c>
    </row>
    <row r="178" customFormat="false" ht="15" hidden="false" customHeight="false" outlineLevel="0" collapsed="false">
      <c r="A178" s="60" t="s">
        <v>779</v>
      </c>
      <c r="B178" s="61" t="str">
        <f aca="false">IF($M178=0,"",INDEX(Classes!$E$6:$E$420,$M178))</f>
        <v>Arabic A</v>
      </c>
      <c r="C178" s="62" t="str">
        <f aca="false">IF($M178=0,"",INDEX(Classes!$H$6:$H$420,$M178))</f>
        <v>Mr Ahmed AbdelmonemElsye</v>
      </c>
      <c r="D178" s="61" t="str">
        <f aca="false">IF($M178=0,"",INDEX(Classes!$B$6:$B$420,$M178))</f>
        <v>Year 10</v>
      </c>
      <c r="E178" s="61" t="str">
        <f aca="false">IF($M178=0,"",INDEX(Classes!$C$6:$C$420,$M178))</f>
        <v>ah</v>
      </c>
      <c r="F178" s="63" t="s">
        <v>107</v>
      </c>
      <c r="G178" s="63" t="s">
        <v>1015</v>
      </c>
      <c r="H178" s="60" t="s">
        <v>203</v>
      </c>
      <c r="I178" s="60" t="s">
        <v>204</v>
      </c>
      <c r="J178" s="63" t="n">
        <v>1</v>
      </c>
      <c r="K178" s="61" t="str">
        <f aca="false">IF($P178=0,"",IF($F178="Baseline","— Baseline",IF($O178=0,"No result",IF($N178=0,"No Start (attainment only)",IF(OR($N178=1,$O178=1),"U – needs rule",INDEX(MxBody,MATCH($I178,MxCurr,0),MATCH($H178,MxStart,0)))))))</f>
        <v>Better</v>
      </c>
      <c r="L178" s="62" t="str">
        <f aca="false">IF(COUNTA($A178,$F178,$G178,$H178,$I178,$J178)=0,"",IF($M178=0,"✖ كود الصف غير موجود",IF(ISNA(MATCH($F178,Lists!$A$2:$A$5,0)),"✖ الفترة غير صحيحة",IF(ISNA(MATCH($G178,Lists!$B$2:$B$7,0)),"✖ المجموعة غير صحيحة",IF(NOT(OR($H178="",$N178&gt;0)),"✖ Start غير صحيح",IF(NOT(OR($I178="",$I178="NR",$O178&gt;0)),"✖ Current غير صحيح",IF(NOT(IF(ISNUMBER($J178),AND($J178&gt;=0,$J178=INT($J178)),FALSE())),"✖ العدد يجب أن يكون صحيحًا ≥ 0",IF(AND($F178="Baseline",$H178&lt;&gt;""),"⚠ Baseline: Start لا يدخل في التقدم",IF($K178="No Start (attainment only)","ℹ تحصيل فقط (بدون Start)",IF($K178="U – needs rule","ℹ حالة U تحتاج قاعدة معتمدة",IF($K178="No result","ℹ بدون نتيجة (يُستبعد من التحصيل)","OK")))))))))))</f>
        <v>OK</v>
      </c>
      <c r="M178" s="64" t="n">
        <f aca="false">IF($A178="",0,IFERROR(MATCH($A178,Classes!$A$6:$A$420,0),0))</f>
        <v>283</v>
      </c>
      <c r="N178" s="64" t="n">
        <f aca="false">IF($H178="",0,IFERROR(MATCH($H178,GradeList,0),0))</f>
        <v>8</v>
      </c>
      <c r="O178" s="64" t="n">
        <f aca="false">IF(OR($I178="",$I178="NR"),0,IFERROR(MATCH($I178,GradeList,0),0))</f>
        <v>9</v>
      </c>
      <c r="P178" s="64" t="n">
        <f aca="false">IF(AND($M178&gt;0,ISNUMBER(MATCH($F178,Lists!$A$2:$A$5,0)),ISNUMBER(MATCH($G178,Lists!$B$2:$B$7,0)),OR($H178="",$N178&gt;0),OR($I178="",$I178="NR",$O178&gt;0),IF(ISNUMBER($J178),AND($J178&gt;=0,$J178=INT($J178)),FALSE())),$J178,0)</f>
        <v>1</v>
      </c>
      <c r="Q178" s="64" t="n">
        <f aca="false">IF(AND($P178&gt;0,$O178&gt;0),$P178,0)</f>
        <v>1</v>
      </c>
      <c r="R178" s="64" t="n">
        <f aca="false">IF(AND($Q178&gt;0,$O178&gt;=AtRank),$Q178,0)</f>
        <v>1</v>
      </c>
      <c r="S178" s="64" t="n">
        <f aca="false">IF(AND($Q178&gt;0,$O178&gt;=AboveRank),$Q178,0)</f>
        <v>1</v>
      </c>
      <c r="T178" s="64" t="n">
        <f aca="false">IF($K178="Less",$P178,0)</f>
        <v>0</v>
      </c>
      <c r="U178" s="64" t="n">
        <f aca="false">IF($K178="Expected",$P178,0)</f>
        <v>0</v>
      </c>
      <c r="V178" s="64" t="n">
        <f aca="false">IF($K178="Better",$P178,0)</f>
        <v>1</v>
      </c>
      <c r="W178" s="64" t="n">
        <f aca="false">IF($K178="U – needs rule",$P178,0)</f>
        <v>0</v>
      </c>
      <c r="X178" s="64" t="n">
        <f aca="false">IF($K178="No Start (attainment only)",$P178,0)</f>
        <v>0</v>
      </c>
    </row>
    <row r="179" customFormat="false" ht="15" hidden="false" customHeight="false" outlineLevel="0" collapsed="false">
      <c r="A179" s="60" t="s">
        <v>779</v>
      </c>
      <c r="B179" s="61" t="str">
        <f aca="false">IF($M179=0,"",INDEX(Classes!$E$6:$E$420,$M179))</f>
        <v>Arabic A</v>
      </c>
      <c r="C179" s="62" t="str">
        <f aca="false">IF($M179=0,"",INDEX(Classes!$H$6:$H$420,$M179))</f>
        <v>Mr Ahmed AbdelmonemElsye</v>
      </c>
      <c r="D179" s="61" t="str">
        <f aca="false">IF($M179=0,"",INDEX(Classes!$B$6:$B$420,$M179))</f>
        <v>Year 10</v>
      </c>
      <c r="E179" s="61" t="str">
        <f aca="false">IF($M179=0,"",INDEX(Classes!$C$6:$C$420,$M179))</f>
        <v>ah</v>
      </c>
      <c r="F179" s="63" t="s">
        <v>107</v>
      </c>
      <c r="G179" s="63" t="s">
        <v>1015</v>
      </c>
      <c r="H179" s="60" t="s">
        <v>203</v>
      </c>
      <c r="I179" s="60" t="s">
        <v>205</v>
      </c>
      <c r="J179" s="63" t="n">
        <v>1</v>
      </c>
      <c r="K179" s="61" t="str">
        <f aca="false">IF($P179=0,"",IF($F179="Baseline","— Baseline",IF($O179=0,"No result",IF($N179=0,"No Start (attainment only)",IF(OR($N179=1,$O179=1),"U – needs rule",INDEX(MxBody,MATCH($I179,MxCurr,0),MATCH($H179,MxStart,0)))))))</f>
        <v>Better</v>
      </c>
      <c r="L179" s="62" t="str">
        <f aca="false">IF(COUNTA($A179,$F179,$G179,$H179,$I179,$J179)=0,"",IF($M179=0,"✖ كود الصف غير موجود",IF(ISNA(MATCH($F179,Lists!$A$2:$A$5,0)),"✖ الفترة غير صحيحة",IF(ISNA(MATCH($G179,Lists!$B$2:$B$7,0)),"✖ المجموعة غير صحيحة",IF(NOT(OR($H179="",$N179&gt;0)),"✖ Start غير صحيح",IF(NOT(OR($I179="",$I179="NR",$O179&gt;0)),"✖ Current غير صحيح",IF(NOT(IF(ISNUMBER($J179),AND($J179&gt;=0,$J179=INT($J179)),FALSE())),"✖ العدد يجب أن يكون صحيحًا ≥ 0",IF(AND($F179="Baseline",$H179&lt;&gt;""),"⚠ Baseline: Start لا يدخل في التقدم",IF($K179="No Start (attainment only)","ℹ تحصيل فقط (بدون Start)",IF($K179="U – needs rule","ℹ حالة U تحتاج قاعدة معتمدة",IF($K179="No result","ℹ بدون نتيجة (يُستبعد من التحصيل)","OK")))))))))))</f>
        <v>OK</v>
      </c>
      <c r="M179" s="64" t="n">
        <f aca="false">IF($A179="",0,IFERROR(MATCH($A179,Classes!$A$6:$A$420,0),0))</f>
        <v>283</v>
      </c>
      <c r="N179" s="64" t="n">
        <f aca="false">IF($H179="",0,IFERROR(MATCH($H179,GradeList,0),0))</f>
        <v>8</v>
      </c>
      <c r="O179" s="64" t="n">
        <f aca="false">IF(OR($I179="",$I179="NR"),0,IFERROR(MATCH($I179,GradeList,0),0))</f>
        <v>10</v>
      </c>
      <c r="P179" s="64" t="n">
        <f aca="false">IF(AND($M179&gt;0,ISNUMBER(MATCH($F179,Lists!$A$2:$A$5,0)),ISNUMBER(MATCH($G179,Lists!$B$2:$B$7,0)),OR($H179="",$N179&gt;0),OR($I179="",$I179="NR",$O179&gt;0),IF(ISNUMBER($J179),AND($J179&gt;=0,$J179=INT($J179)),FALSE())),$J179,0)</f>
        <v>1</v>
      </c>
      <c r="Q179" s="64" t="n">
        <f aca="false">IF(AND($P179&gt;0,$O179&gt;0),$P179,0)</f>
        <v>1</v>
      </c>
      <c r="R179" s="64" t="n">
        <f aca="false">IF(AND($Q179&gt;0,$O179&gt;=AtRank),$Q179,0)</f>
        <v>1</v>
      </c>
      <c r="S179" s="64" t="n">
        <f aca="false">IF(AND($Q179&gt;0,$O179&gt;=AboveRank),$Q179,0)</f>
        <v>1</v>
      </c>
      <c r="T179" s="64" t="n">
        <f aca="false">IF($K179="Less",$P179,0)</f>
        <v>0</v>
      </c>
      <c r="U179" s="64" t="n">
        <f aca="false">IF($K179="Expected",$P179,0)</f>
        <v>0</v>
      </c>
      <c r="V179" s="64" t="n">
        <f aca="false">IF($K179="Better",$P179,0)</f>
        <v>1</v>
      </c>
      <c r="W179" s="64" t="n">
        <f aca="false">IF($K179="U – needs rule",$P179,0)</f>
        <v>0</v>
      </c>
      <c r="X179" s="64" t="n">
        <f aca="false">IF($K179="No Start (attainment only)",$P179,0)</f>
        <v>0</v>
      </c>
    </row>
    <row r="180" customFormat="false" ht="15" hidden="false" customHeight="false" outlineLevel="0" collapsed="false">
      <c r="A180" s="60" t="s">
        <v>779</v>
      </c>
      <c r="B180" s="61" t="str">
        <f aca="false">IF($M180=0,"",INDEX(Classes!$E$6:$E$420,$M180))</f>
        <v>Arabic A</v>
      </c>
      <c r="C180" s="62" t="str">
        <f aca="false">IF($M180=0,"",INDEX(Classes!$H$6:$H$420,$M180))</f>
        <v>Mr Ahmed AbdelmonemElsye</v>
      </c>
      <c r="D180" s="61" t="str">
        <f aca="false">IF($M180=0,"",INDEX(Classes!$B$6:$B$420,$M180))</f>
        <v>Year 10</v>
      </c>
      <c r="E180" s="61" t="str">
        <f aca="false">IF($M180=0,"",INDEX(Classes!$C$6:$C$420,$M180))</f>
        <v>ah</v>
      </c>
      <c r="F180" s="63" t="s">
        <v>107</v>
      </c>
      <c r="G180" s="63" t="s">
        <v>1015</v>
      </c>
      <c r="H180" s="60" t="s">
        <v>200</v>
      </c>
      <c r="I180" s="60" t="s">
        <v>200</v>
      </c>
      <c r="J180" s="63" t="n">
        <v>1</v>
      </c>
      <c r="K180" s="61" t="str">
        <f aca="false">IF($P180=0,"",IF($F180="Baseline","— Baseline",IF($O180=0,"No result",IF($N180=0,"No Start (attainment only)",IF(OR($N180=1,$O180=1),"U – needs rule",INDEX(MxBody,MATCH($I180,MxCurr,0),MATCH($H180,MxStart,0)))))))</f>
        <v>Expected</v>
      </c>
      <c r="L180" s="62" t="str">
        <f aca="false">IF(COUNTA($A180,$F180,$G180,$H180,$I180,$J180)=0,"",IF($M180=0,"✖ كود الصف غير موجود",IF(ISNA(MATCH($F180,Lists!$A$2:$A$5,0)),"✖ الفترة غير صحيحة",IF(ISNA(MATCH($G180,Lists!$B$2:$B$7,0)),"✖ المجموعة غير صحيحة",IF(NOT(OR($H180="",$N180&gt;0)),"✖ Start غير صحيح",IF(NOT(OR($I180="",$I180="NR",$O180&gt;0)),"✖ Current غير صحيح",IF(NOT(IF(ISNUMBER($J180),AND($J180&gt;=0,$J180=INT($J180)),FALSE())),"✖ العدد يجب أن يكون صحيحًا ≥ 0",IF(AND($F180="Baseline",$H180&lt;&gt;""),"⚠ Baseline: Start لا يدخل في التقدم",IF($K180="No Start (attainment only)","ℹ تحصيل فقط (بدون Start)",IF($K180="U – needs rule","ℹ حالة U تحتاج قاعدة معتمدة",IF($K180="No result","ℹ بدون نتيجة (يُستبعد من التحصيل)","OK")))))))))))</f>
        <v>OK</v>
      </c>
      <c r="M180" s="64" t="n">
        <f aca="false">IF($A180="",0,IFERROR(MATCH($A180,Classes!$A$6:$A$420,0),0))</f>
        <v>283</v>
      </c>
      <c r="N180" s="64" t="n">
        <f aca="false">IF($H180="",0,IFERROR(MATCH($H180,GradeList,0),0))</f>
        <v>5</v>
      </c>
      <c r="O180" s="64" t="n">
        <f aca="false">IF(OR($I180="",$I180="NR"),0,IFERROR(MATCH($I180,GradeList,0),0))</f>
        <v>5</v>
      </c>
      <c r="P180" s="64" t="n">
        <f aca="false">IF(AND($M180&gt;0,ISNUMBER(MATCH($F180,Lists!$A$2:$A$5,0)),ISNUMBER(MATCH($G180,Lists!$B$2:$B$7,0)),OR($H180="",$N180&gt;0),OR($I180="",$I180="NR",$O180&gt;0),IF(ISNUMBER($J180),AND($J180&gt;=0,$J180=INT($J180)),FALSE())),$J180,0)</f>
        <v>1</v>
      </c>
      <c r="Q180" s="64" t="n">
        <f aca="false">IF(AND($P180&gt;0,$O180&gt;0),$P180,0)</f>
        <v>1</v>
      </c>
      <c r="R180" s="64" t="n">
        <f aca="false">IF(AND($Q180&gt;0,$O180&gt;=AtRank),$Q180,0)</f>
        <v>1</v>
      </c>
      <c r="S180" s="64" t="n">
        <f aca="false">IF(AND($Q180&gt;0,$O180&gt;=AboveRank),$Q180,0)</f>
        <v>0</v>
      </c>
      <c r="T180" s="64" t="n">
        <f aca="false">IF($K180="Less",$P180,0)</f>
        <v>0</v>
      </c>
      <c r="U180" s="64" t="n">
        <f aca="false">IF($K180="Expected",$P180,0)</f>
        <v>1</v>
      </c>
      <c r="V180" s="64" t="n">
        <f aca="false">IF($K180="Better",$P180,0)</f>
        <v>0</v>
      </c>
      <c r="W180" s="64" t="n">
        <f aca="false">IF($K180="U – needs rule",$P180,0)</f>
        <v>0</v>
      </c>
      <c r="X180" s="64" t="n">
        <f aca="false">IF($K180="No Start (attainment only)",$P180,0)</f>
        <v>0</v>
      </c>
    </row>
    <row r="181" customFormat="false" ht="15" hidden="false" customHeight="false" outlineLevel="0" collapsed="false">
      <c r="A181" s="60" t="s">
        <v>779</v>
      </c>
      <c r="B181" s="61" t="str">
        <f aca="false">IF($M181=0,"",INDEX(Classes!$E$6:$E$420,$M181))</f>
        <v>Arabic A</v>
      </c>
      <c r="C181" s="62" t="str">
        <f aca="false">IF($M181=0,"",INDEX(Classes!$H$6:$H$420,$M181))</f>
        <v>Mr Ahmed AbdelmonemElsye</v>
      </c>
      <c r="D181" s="61" t="str">
        <f aca="false">IF($M181=0,"",INDEX(Classes!$B$6:$B$420,$M181))</f>
        <v>Year 10</v>
      </c>
      <c r="E181" s="61" t="str">
        <f aca="false">IF($M181=0,"",INDEX(Classes!$C$6:$C$420,$M181))</f>
        <v>ah</v>
      </c>
      <c r="F181" s="63" t="s">
        <v>107</v>
      </c>
      <c r="G181" s="63" t="s">
        <v>1015</v>
      </c>
      <c r="H181" s="60" t="s">
        <v>200</v>
      </c>
      <c r="I181" s="60" t="s">
        <v>196</v>
      </c>
      <c r="J181" s="63" t="n">
        <v>1</v>
      </c>
      <c r="K181" s="61" t="str">
        <f aca="false">IF($P181=0,"",IF($F181="Baseline","— Baseline",IF($O181=0,"No result",IF($N181=0,"No Start (attainment only)",IF(OR($N181=1,$O181=1),"U – needs rule",INDEX(MxBody,MATCH($I181,MxCurr,0),MATCH($H181,MxStart,0)))))))</f>
        <v>U – needs rule</v>
      </c>
      <c r="L181" s="62" t="str">
        <f aca="false">IF(COUNTA($A181,$F181,$G181,$H181,$I181,$J181)=0,"",IF($M181=0,"✖ كود الصف غير موجود",IF(ISNA(MATCH($F181,Lists!$A$2:$A$5,0)),"✖ الفترة غير صحيحة",IF(ISNA(MATCH($G181,Lists!$B$2:$B$7,0)),"✖ المجموعة غير صحيحة",IF(NOT(OR($H181="",$N181&gt;0)),"✖ Start غير صحيح",IF(NOT(OR($I181="",$I181="NR",$O181&gt;0)),"✖ Current غير صحيح",IF(NOT(IF(ISNUMBER($J181),AND($J181&gt;=0,$J181=INT($J181)),FALSE())),"✖ العدد يجب أن يكون صحيحًا ≥ 0",IF(AND($F181="Baseline",$H181&lt;&gt;""),"⚠ Baseline: Start لا يدخل في التقدم",IF($K181="No Start (attainment only)","ℹ تحصيل فقط (بدون Start)",IF($K181="U – needs rule","ℹ حالة U تحتاج قاعدة معتمدة",IF($K181="No result","ℹ بدون نتيجة (يُستبعد من التحصيل)","OK")))))))))))</f>
        <v>ℹ حالة U تحتاج قاعدة معتمدة</v>
      </c>
      <c r="M181" s="64" t="n">
        <f aca="false">IF($A181="",0,IFERROR(MATCH($A181,Classes!$A$6:$A$420,0),0))</f>
        <v>283</v>
      </c>
      <c r="N181" s="64" t="n">
        <f aca="false">IF($H181="",0,IFERROR(MATCH($H181,GradeList,0),0))</f>
        <v>5</v>
      </c>
      <c r="O181" s="64" t="n">
        <f aca="false">IF(OR($I181="",$I181="NR"),0,IFERROR(MATCH($I181,GradeList,0),0))</f>
        <v>1</v>
      </c>
      <c r="P181" s="64" t="n">
        <f aca="false">IF(AND($M181&gt;0,ISNUMBER(MATCH($F181,Lists!$A$2:$A$5,0)),ISNUMBER(MATCH($G181,Lists!$B$2:$B$7,0)),OR($H181="",$N181&gt;0),OR($I181="",$I181="NR",$O181&gt;0),IF(ISNUMBER($J181),AND($J181&gt;=0,$J181=INT($J181)),FALSE())),$J181,0)</f>
        <v>1</v>
      </c>
      <c r="Q181" s="64" t="n">
        <f aca="false">IF(AND($P181&gt;0,$O181&gt;0),$P181,0)</f>
        <v>1</v>
      </c>
      <c r="R181" s="64" t="n">
        <f aca="false">IF(AND($Q181&gt;0,$O181&gt;=AtRank),$Q181,0)</f>
        <v>0</v>
      </c>
      <c r="S181" s="64" t="n">
        <f aca="false">IF(AND($Q181&gt;0,$O181&gt;=AboveRank),$Q181,0)</f>
        <v>0</v>
      </c>
      <c r="T181" s="64" t="n">
        <f aca="false">IF($K181="Less",$P181,0)</f>
        <v>0</v>
      </c>
      <c r="U181" s="64" t="n">
        <f aca="false">IF($K181="Expected",$P181,0)</f>
        <v>0</v>
      </c>
      <c r="V181" s="64" t="n">
        <f aca="false">IF($K181="Better",$P181,0)</f>
        <v>0</v>
      </c>
      <c r="W181" s="64" t="n">
        <f aca="false">IF($K181="U – needs rule",$P181,0)</f>
        <v>1</v>
      </c>
      <c r="X181" s="64" t="n">
        <f aca="false">IF($K181="No Start (attainment only)",$P181,0)</f>
        <v>0</v>
      </c>
    </row>
    <row r="182" customFormat="false" ht="15" hidden="false" customHeight="false" outlineLevel="0" collapsed="false">
      <c r="A182" s="60" t="s">
        <v>779</v>
      </c>
      <c r="B182" s="61" t="str">
        <f aca="false">IF($M182=0,"",INDEX(Classes!$E$6:$E$420,$M182))</f>
        <v>Arabic A</v>
      </c>
      <c r="C182" s="62" t="str">
        <f aca="false">IF($M182=0,"",INDEX(Classes!$H$6:$H$420,$M182))</f>
        <v>Mr Ahmed AbdelmonemElsye</v>
      </c>
      <c r="D182" s="61" t="str">
        <f aca="false">IF($M182=0,"",INDEX(Classes!$B$6:$B$420,$M182))</f>
        <v>Year 10</v>
      </c>
      <c r="E182" s="61" t="str">
        <f aca="false">IF($M182=0,"",INDEX(Classes!$C$6:$C$420,$M182))</f>
        <v>ah</v>
      </c>
      <c r="F182" s="63" t="s">
        <v>107</v>
      </c>
      <c r="G182" s="63" t="s">
        <v>1015</v>
      </c>
      <c r="H182" s="60" t="s">
        <v>201</v>
      </c>
      <c r="I182" s="60" t="s">
        <v>201</v>
      </c>
      <c r="J182" s="63" t="n">
        <v>1</v>
      </c>
      <c r="K182" s="61" t="str">
        <f aca="false">IF($P182=0,"",IF($F182="Baseline","— Baseline",IF($O182=0,"No result",IF($N182=0,"No Start (attainment only)",IF(OR($N182=1,$O182=1),"U – needs rule",INDEX(MxBody,MATCH($I182,MxCurr,0),MATCH($H182,MxStart,0)))))))</f>
        <v>Expected</v>
      </c>
      <c r="L182" s="62" t="str">
        <f aca="false">IF(COUNTA($A182,$F182,$G182,$H182,$I182,$J182)=0,"",IF($M182=0,"✖ كود الصف غير موجود",IF(ISNA(MATCH($F182,Lists!$A$2:$A$5,0)),"✖ الفترة غير صحيحة",IF(ISNA(MATCH($G182,Lists!$B$2:$B$7,0)),"✖ المجموعة غير صحيحة",IF(NOT(OR($H182="",$N182&gt;0)),"✖ Start غير صحيح",IF(NOT(OR($I182="",$I182="NR",$O182&gt;0)),"✖ Current غير صحيح",IF(NOT(IF(ISNUMBER($J182),AND($J182&gt;=0,$J182=INT($J182)),FALSE())),"✖ العدد يجب أن يكون صحيحًا ≥ 0",IF(AND($F182="Baseline",$H182&lt;&gt;""),"⚠ Baseline: Start لا يدخل في التقدم",IF($K182="No Start (attainment only)","ℹ تحصيل فقط (بدون Start)",IF($K182="U – needs rule","ℹ حالة U تحتاج قاعدة معتمدة",IF($K182="No result","ℹ بدون نتيجة (يُستبعد من التحصيل)","OK")))))))))))</f>
        <v>OK</v>
      </c>
      <c r="M182" s="64" t="n">
        <f aca="false">IF($A182="",0,IFERROR(MATCH($A182,Classes!$A$6:$A$420,0),0))</f>
        <v>283</v>
      </c>
      <c r="N182" s="64" t="n">
        <f aca="false">IF($H182="",0,IFERROR(MATCH($H182,GradeList,0),0))</f>
        <v>6</v>
      </c>
      <c r="O182" s="64" t="n">
        <f aca="false">IF(OR($I182="",$I182="NR"),0,IFERROR(MATCH($I182,GradeList,0),0))</f>
        <v>6</v>
      </c>
      <c r="P182" s="64" t="n">
        <f aca="false">IF(AND($M182&gt;0,ISNUMBER(MATCH($F182,Lists!$A$2:$A$5,0)),ISNUMBER(MATCH($G182,Lists!$B$2:$B$7,0)),OR($H182="",$N182&gt;0),OR($I182="",$I182="NR",$O182&gt;0),IF(ISNUMBER($J182),AND($J182&gt;=0,$J182=INT($J182)),FALSE())),$J182,0)</f>
        <v>1</v>
      </c>
      <c r="Q182" s="64" t="n">
        <f aca="false">IF(AND($P182&gt;0,$O182&gt;0),$P182,0)</f>
        <v>1</v>
      </c>
      <c r="R182" s="64" t="n">
        <f aca="false">IF(AND($Q182&gt;0,$O182&gt;=AtRank),$Q182,0)</f>
        <v>1</v>
      </c>
      <c r="S182" s="64" t="n">
        <f aca="false">IF(AND($Q182&gt;0,$O182&gt;=AboveRank),$Q182,0)</f>
        <v>0</v>
      </c>
      <c r="T182" s="64" t="n">
        <f aca="false">IF($K182="Less",$P182,0)</f>
        <v>0</v>
      </c>
      <c r="U182" s="64" t="n">
        <f aca="false">IF($K182="Expected",$P182,0)</f>
        <v>1</v>
      </c>
      <c r="V182" s="64" t="n">
        <f aca="false">IF($K182="Better",$P182,0)</f>
        <v>0</v>
      </c>
      <c r="W182" s="64" t="n">
        <f aca="false">IF($K182="U – needs rule",$P182,0)</f>
        <v>0</v>
      </c>
      <c r="X182" s="64" t="n">
        <f aca="false">IF($K182="No Start (attainment only)",$P182,0)</f>
        <v>0</v>
      </c>
    </row>
    <row r="183" customFormat="false" ht="15" hidden="false" customHeight="false" outlineLevel="0" collapsed="false">
      <c r="A183" s="60" t="s">
        <v>779</v>
      </c>
      <c r="B183" s="61" t="str">
        <f aca="false">IF($M183=0,"",INDEX(Classes!$E$6:$E$420,$M183))</f>
        <v>Arabic A</v>
      </c>
      <c r="C183" s="62" t="str">
        <f aca="false">IF($M183=0,"",INDEX(Classes!$H$6:$H$420,$M183))</f>
        <v>Mr Ahmed AbdelmonemElsye</v>
      </c>
      <c r="D183" s="61" t="str">
        <f aca="false">IF($M183=0,"",INDEX(Classes!$B$6:$B$420,$M183))</f>
        <v>Year 10</v>
      </c>
      <c r="E183" s="61" t="str">
        <f aca="false">IF($M183=0,"",INDEX(Classes!$C$6:$C$420,$M183))</f>
        <v>ah</v>
      </c>
      <c r="F183" s="63" t="s">
        <v>107</v>
      </c>
      <c r="G183" s="63" t="s">
        <v>1015</v>
      </c>
      <c r="H183" s="60" t="s">
        <v>199</v>
      </c>
      <c r="I183" s="60" t="s">
        <v>201</v>
      </c>
      <c r="J183" s="63" t="n">
        <v>1</v>
      </c>
      <c r="K183" s="61" t="str">
        <f aca="false">IF($P183=0,"",IF($F183="Baseline","— Baseline",IF($O183=0,"No result",IF($N183=0,"No Start (attainment only)",IF(OR($N183=1,$O183=1),"U – needs rule",INDEX(MxBody,MATCH($I183,MxCurr,0),MATCH($H183,MxStart,0)))))))</f>
        <v>Better</v>
      </c>
      <c r="L183" s="62" t="str">
        <f aca="false">IF(COUNTA($A183,$F183,$G183,$H183,$I183,$J183)=0,"",IF($M183=0,"✖ كود الصف غير موجود",IF(ISNA(MATCH($F183,Lists!$A$2:$A$5,0)),"✖ الفترة غير صحيحة",IF(ISNA(MATCH($G183,Lists!$B$2:$B$7,0)),"✖ المجموعة غير صحيحة",IF(NOT(OR($H183="",$N183&gt;0)),"✖ Start غير صحيح",IF(NOT(OR($I183="",$I183="NR",$O183&gt;0)),"✖ Current غير صحيح",IF(NOT(IF(ISNUMBER($J183),AND($J183&gt;=0,$J183=INT($J183)),FALSE())),"✖ العدد يجب أن يكون صحيحًا ≥ 0",IF(AND($F183="Baseline",$H183&lt;&gt;""),"⚠ Baseline: Start لا يدخل في التقدم",IF($K183="No Start (attainment only)","ℹ تحصيل فقط (بدون Start)",IF($K183="U – needs rule","ℹ حالة U تحتاج قاعدة معتمدة",IF($K183="No result","ℹ بدون نتيجة (يُستبعد من التحصيل)","OK")))))))))))</f>
        <v>OK</v>
      </c>
      <c r="M183" s="64" t="n">
        <f aca="false">IF($A183="",0,IFERROR(MATCH($A183,Classes!$A$6:$A$420,0),0))</f>
        <v>283</v>
      </c>
      <c r="N183" s="64" t="n">
        <f aca="false">IF($H183="",0,IFERROR(MATCH($H183,GradeList,0),0))</f>
        <v>4</v>
      </c>
      <c r="O183" s="64" t="n">
        <f aca="false">IF(OR($I183="",$I183="NR"),0,IFERROR(MATCH($I183,GradeList,0),0))</f>
        <v>6</v>
      </c>
      <c r="P183" s="64" t="n">
        <f aca="false">IF(AND($M183&gt;0,ISNUMBER(MATCH($F183,Lists!$A$2:$A$5,0)),ISNUMBER(MATCH($G183,Lists!$B$2:$B$7,0)),OR($H183="",$N183&gt;0),OR($I183="",$I183="NR",$O183&gt;0),IF(ISNUMBER($J183),AND($J183&gt;=0,$J183=INT($J183)),FALSE())),$J183,0)</f>
        <v>1</v>
      </c>
      <c r="Q183" s="64" t="n">
        <f aca="false">IF(AND($P183&gt;0,$O183&gt;0),$P183,0)</f>
        <v>1</v>
      </c>
      <c r="R183" s="64" t="n">
        <f aca="false">IF(AND($Q183&gt;0,$O183&gt;=AtRank),$Q183,0)</f>
        <v>1</v>
      </c>
      <c r="S183" s="64" t="n">
        <f aca="false">IF(AND($Q183&gt;0,$O183&gt;=AboveRank),$Q183,0)</f>
        <v>0</v>
      </c>
      <c r="T183" s="64" t="n">
        <f aca="false">IF($K183="Less",$P183,0)</f>
        <v>0</v>
      </c>
      <c r="U183" s="64" t="n">
        <f aca="false">IF($K183="Expected",$P183,0)</f>
        <v>0</v>
      </c>
      <c r="V183" s="64" t="n">
        <f aca="false">IF($K183="Better",$P183,0)</f>
        <v>1</v>
      </c>
      <c r="W183" s="64" t="n">
        <f aca="false">IF($K183="U – needs rule",$P183,0)</f>
        <v>0</v>
      </c>
      <c r="X183" s="64" t="n">
        <f aca="false">IF($K183="No Start (attainment only)",$P183,0)</f>
        <v>0</v>
      </c>
    </row>
    <row r="184" customFormat="false" ht="15" hidden="false" customHeight="false" outlineLevel="0" collapsed="false">
      <c r="A184" s="60" t="s">
        <v>779</v>
      </c>
      <c r="B184" s="61" t="str">
        <f aca="false">IF($M184=0,"",INDEX(Classes!$E$6:$E$420,$M184))</f>
        <v>Arabic A</v>
      </c>
      <c r="C184" s="62" t="str">
        <f aca="false">IF($M184=0,"",INDEX(Classes!$H$6:$H$420,$M184))</f>
        <v>Mr Ahmed AbdelmonemElsye</v>
      </c>
      <c r="D184" s="61" t="str">
        <f aca="false">IF($M184=0,"",INDEX(Classes!$B$6:$B$420,$M184))</f>
        <v>Year 10</v>
      </c>
      <c r="E184" s="61" t="str">
        <f aca="false">IF($M184=0,"",INDEX(Classes!$C$6:$C$420,$M184))</f>
        <v>ah</v>
      </c>
      <c r="F184" s="63" t="s">
        <v>107</v>
      </c>
      <c r="G184" s="63" t="s">
        <v>1015</v>
      </c>
      <c r="H184" s="60" t="s">
        <v>199</v>
      </c>
      <c r="I184" s="60" t="s">
        <v>198</v>
      </c>
      <c r="J184" s="63" t="n">
        <v>1</v>
      </c>
      <c r="K184" s="61" t="str">
        <f aca="false">IF($P184=0,"",IF($F184="Baseline","— Baseline",IF($O184=0,"No result",IF($N184=0,"No Start (attainment only)",IF(OR($N184=1,$O184=1),"U – needs rule",INDEX(MxBody,MATCH($I184,MxCurr,0),MATCH($H184,MxStart,0)))))))</f>
        <v>Less</v>
      </c>
      <c r="L184" s="62" t="str">
        <f aca="false">IF(COUNTA($A184,$F184,$G184,$H184,$I184,$J184)=0,"",IF($M184=0,"✖ كود الصف غير موجود",IF(ISNA(MATCH($F184,Lists!$A$2:$A$5,0)),"✖ الفترة غير صحيحة",IF(ISNA(MATCH($G184,Lists!$B$2:$B$7,0)),"✖ المجموعة غير صحيحة",IF(NOT(OR($H184="",$N184&gt;0)),"✖ Start غير صحيح",IF(NOT(OR($I184="",$I184="NR",$O184&gt;0)),"✖ Current غير صحيح",IF(NOT(IF(ISNUMBER($J184),AND($J184&gt;=0,$J184=INT($J184)),FALSE())),"✖ العدد يجب أن يكون صحيحًا ≥ 0",IF(AND($F184="Baseline",$H184&lt;&gt;""),"⚠ Baseline: Start لا يدخل في التقدم",IF($K184="No Start (attainment only)","ℹ تحصيل فقط (بدون Start)",IF($K184="U – needs rule","ℹ حالة U تحتاج قاعدة معتمدة",IF($K184="No result","ℹ بدون نتيجة (يُستبعد من التحصيل)","OK")))))))))))</f>
        <v>OK</v>
      </c>
      <c r="M184" s="64" t="n">
        <f aca="false">IF($A184="",0,IFERROR(MATCH($A184,Classes!$A$6:$A$420,0),0))</f>
        <v>283</v>
      </c>
      <c r="N184" s="64" t="n">
        <f aca="false">IF($H184="",0,IFERROR(MATCH($H184,GradeList,0),0))</f>
        <v>4</v>
      </c>
      <c r="O184" s="64" t="n">
        <f aca="false">IF(OR($I184="",$I184="NR"),0,IFERROR(MATCH($I184,GradeList,0),0))</f>
        <v>3</v>
      </c>
      <c r="P184" s="64" t="n">
        <f aca="false">IF(AND($M184&gt;0,ISNUMBER(MATCH($F184,Lists!$A$2:$A$5,0)),ISNUMBER(MATCH($G184,Lists!$B$2:$B$7,0)),OR($H184="",$N184&gt;0),OR($I184="",$I184="NR",$O184&gt;0),IF(ISNUMBER($J184),AND($J184&gt;=0,$J184=INT($J184)),FALSE())),$J184,0)</f>
        <v>1</v>
      </c>
      <c r="Q184" s="64" t="n">
        <f aca="false">IF(AND($P184&gt;0,$O184&gt;0),$P184,0)</f>
        <v>1</v>
      </c>
      <c r="R184" s="64" t="n">
        <f aca="false">IF(AND($Q184&gt;0,$O184&gt;=AtRank),$Q184,0)</f>
        <v>0</v>
      </c>
      <c r="S184" s="64" t="n">
        <f aca="false">IF(AND($Q184&gt;0,$O184&gt;=AboveRank),$Q184,0)</f>
        <v>0</v>
      </c>
      <c r="T184" s="64" t="n">
        <f aca="false">IF($K184="Less",$P184,0)</f>
        <v>1</v>
      </c>
      <c r="U184" s="64" t="n">
        <f aca="false">IF($K184="Expected",$P184,0)</f>
        <v>0</v>
      </c>
      <c r="V184" s="64" t="n">
        <f aca="false">IF($K184="Better",$P184,0)</f>
        <v>0</v>
      </c>
      <c r="W184" s="64" t="n">
        <f aca="false">IF($K184="U – needs rule",$P184,0)</f>
        <v>0</v>
      </c>
      <c r="X184" s="64" t="n">
        <f aca="false">IF($K184="No Start (attainment only)",$P184,0)</f>
        <v>0</v>
      </c>
    </row>
    <row r="185" customFormat="false" ht="15" hidden="false" customHeight="false" outlineLevel="0" collapsed="false">
      <c r="A185" s="60" t="s">
        <v>779</v>
      </c>
      <c r="B185" s="61" t="str">
        <f aca="false">IF($M185=0,"",INDEX(Classes!$E$6:$E$420,$M185))</f>
        <v>Arabic A</v>
      </c>
      <c r="C185" s="62" t="str">
        <f aca="false">IF($M185=0,"",INDEX(Classes!$H$6:$H$420,$M185))</f>
        <v>Mr Ahmed AbdelmonemElsye</v>
      </c>
      <c r="D185" s="61" t="str">
        <f aca="false">IF($M185=0,"",INDEX(Classes!$B$6:$B$420,$M185))</f>
        <v>Year 10</v>
      </c>
      <c r="E185" s="61" t="str">
        <f aca="false">IF($M185=0,"",INDEX(Classes!$C$6:$C$420,$M185))</f>
        <v>ah</v>
      </c>
      <c r="F185" s="63" t="s">
        <v>107</v>
      </c>
      <c r="G185" s="63" t="s">
        <v>1016</v>
      </c>
      <c r="H185" s="60" t="s">
        <v>202</v>
      </c>
      <c r="I185" s="60" t="s">
        <v>201</v>
      </c>
      <c r="J185" s="63" t="n">
        <v>1</v>
      </c>
      <c r="K185" s="61" t="str">
        <f aca="false">IF($P185=0,"",IF($F185="Baseline","— Baseline",IF($O185=0,"No result",IF($N185=0,"No Start (attainment only)",IF(OR($N185=1,$O185=1),"U – needs rule",INDEX(MxBody,MATCH($I185,MxCurr,0),MATCH($H185,MxStart,0)))))))</f>
        <v>Expected</v>
      </c>
      <c r="L185" s="62" t="str">
        <f aca="false">IF(COUNTA($A185,$F185,$G185,$H185,$I185,$J185)=0,"",IF($M185=0,"✖ كود الصف غير موجود",IF(ISNA(MATCH($F185,Lists!$A$2:$A$5,0)),"✖ الفترة غير صحيحة",IF(ISNA(MATCH($G185,Lists!$B$2:$B$7,0)),"✖ المجموعة غير صحيحة",IF(NOT(OR($H185="",$N185&gt;0)),"✖ Start غير صحيح",IF(NOT(OR($I185="",$I185="NR",$O185&gt;0)),"✖ Current غير صحيح",IF(NOT(IF(ISNUMBER($J185),AND($J185&gt;=0,$J185=INT($J185)),FALSE())),"✖ العدد يجب أن يكون صحيحًا ≥ 0",IF(AND($F185="Baseline",$H185&lt;&gt;""),"⚠ Baseline: Start لا يدخل في التقدم",IF($K185="No Start (attainment only)","ℹ تحصيل فقط (بدون Start)",IF($K185="U – needs rule","ℹ حالة U تحتاج قاعدة معتمدة",IF($K185="No result","ℹ بدون نتيجة (يُستبعد من التحصيل)","OK")))))))))))</f>
        <v>OK</v>
      </c>
      <c r="M185" s="64" t="n">
        <f aca="false">IF($A185="",0,IFERROR(MATCH($A185,Classes!$A$6:$A$420,0),0))</f>
        <v>283</v>
      </c>
      <c r="N185" s="64" t="n">
        <f aca="false">IF($H185="",0,IFERROR(MATCH($H185,GradeList,0),0))</f>
        <v>7</v>
      </c>
      <c r="O185" s="64" t="n">
        <f aca="false">IF(OR($I185="",$I185="NR"),0,IFERROR(MATCH($I185,GradeList,0),0))</f>
        <v>6</v>
      </c>
      <c r="P185" s="64" t="n">
        <f aca="false">IF(AND($M185&gt;0,ISNUMBER(MATCH($F185,Lists!$A$2:$A$5,0)),ISNUMBER(MATCH($G185,Lists!$B$2:$B$7,0)),OR($H185="",$N185&gt;0),OR($I185="",$I185="NR",$O185&gt;0),IF(ISNUMBER($J185),AND($J185&gt;=0,$J185=INT($J185)),FALSE())),$J185,0)</f>
        <v>1</v>
      </c>
      <c r="Q185" s="64" t="n">
        <f aca="false">IF(AND($P185&gt;0,$O185&gt;0),$P185,0)</f>
        <v>1</v>
      </c>
      <c r="R185" s="64" t="n">
        <f aca="false">IF(AND($Q185&gt;0,$O185&gt;=AtRank),$Q185,0)</f>
        <v>1</v>
      </c>
      <c r="S185" s="64" t="n">
        <f aca="false">IF(AND($Q185&gt;0,$O185&gt;=AboveRank),$Q185,0)</f>
        <v>0</v>
      </c>
      <c r="T185" s="64" t="n">
        <f aca="false">IF($K185="Less",$P185,0)</f>
        <v>0</v>
      </c>
      <c r="U185" s="64" t="n">
        <f aca="false">IF($K185="Expected",$P185,0)</f>
        <v>1</v>
      </c>
      <c r="V185" s="64" t="n">
        <f aca="false">IF($K185="Better",$P185,0)</f>
        <v>0</v>
      </c>
      <c r="W185" s="64" t="n">
        <f aca="false">IF($K185="U – needs rule",$P185,0)</f>
        <v>0</v>
      </c>
      <c r="X185" s="64" t="n">
        <f aca="false">IF($K185="No Start (attainment only)",$P185,0)</f>
        <v>0</v>
      </c>
    </row>
    <row r="186" customFormat="false" ht="15" hidden="false" customHeight="false" outlineLevel="0" collapsed="false">
      <c r="A186" s="60" t="s">
        <v>779</v>
      </c>
      <c r="B186" s="61" t="str">
        <f aca="false">IF($M186=0,"",INDEX(Classes!$E$6:$E$420,$M186))</f>
        <v>Arabic A</v>
      </c>
      <c r="C186" s="62" t="str">
        <f aca="false">IF($M186=0,"",INDEX(Classes!$H$6:$H$420,$M186))</f>
        <v>Mr Ahmed AbdelmonemElsye</v>
      </c>
      <c r="D186" s="61" t="str">
        <f aca="false">IF($M186=0,"",INDEX(Classes!$B$6:$B$420,$M186))</f>
        <v>Year 10</v>
      </c>
      <c r="E186" s="61" t="str">
        <f aca="false">IF($M186=0,"",INDEX(Classes!$C$6:$C$420,$M186))</f>
        <v>ah</v>
      </c>
      <c r="F186" s="63" t="s">
        <v>107</v>
      </c>
      <c r="G186" s="63" t="s">
        <v>1016</v>
      </c>
      <c r="H186" s="60" t="s">
        <v>203</v>
      </c>
      <c r="I186" s="60" t="s">
        <v>203</v>
      </c>
      <c r="J186" s="63" t="n">
        <v>1</v>
      </c>
      <c r="K186" s="61" t="str">
        <f aca="false">IF($P186=0,"",IF($F186="Baseline","— Baseline",IF($O186=0,"No result",IF($N186=0,"No Start (attainment only)",IF(OR($N186=1,$O186=1),"U – needs rule",INDEX(MxBody,MATCH($I186,MxCurr,0),MATCH($H186,MxStart,0)))))))</f>
        <v>Better</v>
      </c>
      <c r="L186" s="62" t="str">
        <f aca="false">IF(COUNTA($A186,$F186,$G186,$H186,$I186,$J186)=0,"",IF($M186=0,"✖ كود الصف غير موجود",IF(ISNA(MATCH($F186,Lists!$A$2:$A$5,0)),"✖ الفترة غير صحيحة",IF(ISNA(MATCH($G186,Lists!$B$2:$B$7,0)),"✖ المجموعة غير صحيحة",IF(NOT(OR($H186="",$N186&gt;0)),"✖ Start غير صحيح",IF(NOT(OR($I186="",$I186="NR",$O186&gt;0)),"✖ Current غير صحيح",IF(NOT(IF(ISNUMBER($J186),AND($J186&gt;=0,$J186=INT($J186)),FALSE())),"✖ العدد يجب أن يكون صحيحًا ≥ 0",IF(AND($F186="Baseline",$H186&lt;&gt;""),"⚠ Baseline: Start لا يدخل في التقدم",IF($K186="No Start (attainment only)","ℹ تحصيل فقط (بدون Start)",IF($K186="U – needs rule","ℹ حالة U تحتاج قاعدة معتمدة",IF($K186="No result","ℹ بدون نتيجة (يُستبعد من التحصيل)","OK")))))))))))</f>
        <v>OK</v>
      </c>
      <c r="M186" s="64" t="n">
        <f aca="false">IF($A186="",0,IFERROR(MATCH($A186,Classes!$A$6:$A$420,0),0))</f>
        <v>283</v>
      </c>
      <c r="N186" s="64" t="n">
        <f aca="false">IF($H186="",0,IFERROR(MATCH($H186,GradeList,0),0))</f>
        <v>8</v>
      </c>
      <c r="O186" s="64" t="n">
        <f aca="false">IF(OR($I186="",$I186="NR"),0,IFERROR(MATCH($I186,GradeList,0),0))</f>
        <v>8</v>
      </c>
      <c r="P186" s="64" t="n">
        <f aca="false">IF(AND($M186&gt;0,ISNUMBER(MATCH($F186,Lists!$A$2:$A$5,0)),ISNUMBER(MATCH($G186,Lists!$B$2:$B$7,0)),OR($H186="",$N186&gt;0),OR($I186="",$I186="NR",$O186&gt;0),IF(ISNUMBER($J186),AND($J186&gt;=0,$J186=INT($J186)),FALSE())),$J186,0)</f>
        <v>1</v>
      </c>
      <c r="Q186" s="64" t="n">
        <f aca="false">IF(AND($P186&gt;0,$O186&gt;0),$P186,0)</f>
        <v>1</v>
      </c>
      <c r="R186" s="64" t="n">
        <f aca="false">IF(AND($Q186&gt;0,$O186&gt;=AtRank),$Q186,0)</f>
        <v>1</v>
      </c>
      <c r="S186" s="64" t="n">
        <f aca="false">IF(AND($Q186&gt;0,$O186&gt;=AboveRank),$Q186,0)</f>
        <v>1</v>
      </c>
      <c r="T186" s="64" t="n">
        <f aca="false">IF($K186="Less",$P186,0)</f>
        <v>0</v>
      </c>
      <c r="U186" s="64" t="n">
        <f aca="false">IF($K186="Expected",$P186,0)</f>
        <v>0</v>
      </c>
      <c r="V186" s="64" t="n">
        <f aca="false">IF($K186="Better",$P186,0)</f>
        <v>1</v>
      </c>
      <c r="W186" s="64" t="n">
        <f aca="false">IF($K186="U – needs rule",$P186,0)</f>
        <v>0</v>
      </c>
      <c r="X186" s="64" t="n">
        <f aca="false">IF($K186="No Start (attainment only)",$P186,0)</f>
        <v>0</v>
      </c>
    </row>
    <row r="187" customFormat="false" ht="15" hidden="false" customHeight="false" outlineLevel="0" collapsed="false">
      <c r="A187" s="60" t="s">
        <v>779</v>
      </c>
      <c r="B187" s="61" t="str">
        <f aca="false">IF($M187=0,"",INDEX(Classes!$E$6:$E$420,$M187))</f>
        <v>Arabic A</v>
      </c>
      <c r="C187" s="62" t="str">
        <f aca="false">IF($M187=0,"",INDEX(Classes!$H$6:$H$420,$M187))</f>
        <v>Mr Ahmed AbdelmonemElsye</v>
      </c>
      <c r="D187" s="61" t="str">
        <f aca="false">IF($M187=0,"",INDEX(Classes!$B$6:$B$420,$M187))</f>
        <v>Year 10</v>
      </c>
      <c r="E187" s="61" t="str">
        <f aca="false">IF($M187=0,"",INDEX(Classes!$C$6:$C$420,$M187))</f>
        <v>ah</v>
      </c>
      <c r="F187" s="63" t="s">
        <v>107</v>
      </c>
      <c r="G187" s="63" t="s">
        <v>1016</v>
      </c>
      <c r="H187" s="60" t="s">
        <v>203</v>
      </c>
      <c r="I187" s="60" t="s">
        <v>205</v>
      </c>
      <c r="J187" s="63" t="n">
        <v>1</v>
      </c>
      <c r="K187" s="61" t="str">
        <f aca="false">IF($P187=0,"",IF($F187="Baseline","— Baseline",IF($O187=0,"No result",IF($N187=0,"No Start (attainment only)",IF(OR($N187=1,$O187=1),"U – needs rule",INDEX(MxBody,MATCH($I187,MxCurr,0),MATCH($H187,MxStart,0)))))))</f>
        <v>Better</v>
      </c>
      <c r="L187" s="62" t="str">
        <f aca="false">IF(COUNTA($A187,$F187,$G187,$H187,$I187,$J187)=0,"",IF($M187=0,"✖ كود الصف غير موجود",IF(ISNA(MATCH($F187,Lists!$A$2:$A$5,0)),"✖ الفترة غير صحيحة",IF(ISNA(MATCH($G187,Lists!$B$2:$B$7,0)),"✖ المجموعة غير صحيحة",IF(NOT(OR($H187="",$N187&gt;0)),"✖ Start غير صحيح",IF(NOT(OR($I187="",$I187="NR",$O187&gt;0)),"✖ Current غير صحيح",IF(NOT(IF(ISNUMBER($J187),AND($J187&gt;=0,$J187=INT($J187)),FALSE())),"✖ العدد يجب أن يكون صحيحًا ≥ 0",IF(AND($F187="Baseline",$H187&lt;&gt;""),"⚠ Baseline: Start لا يدخل في التقدم",IF($K187="No Start (attainment only)","ℹ تحصيل فقط (بدون Start)",IF($K187="U – needs rule","ℹ حالة U تحتاج قاعدة معتمدة",IF($K187="No result","ℹ بدون نتيجة (يُستبعد من التحصيل)","OK")))))))))))</f>
        <v>OK</v>
      </c>
      <c r="M187" s="64" t="n">
        <f aca="false">IF($A187="",0,IFERROR(MATCH($A187,Classes!$A$6:$A$420,0),0))</f>
        <v>283</v>
      </c>
      <c r="N187" s="64" t="n">
        <f aca="false">IF($H187="",0,IFERROR(MATCH($H187,GradeList,0),0))</f>
        <v>8</v>
      </c>
      <c r="O187" s="64" t="n">
        <f aca="false">IF(OR($I187="",$I187="NR"),0,IFERROR(MATCH($I187,GradeList,0),0))</f>
        <v>10</v>
      </c>
      <c r="P187" s="64" t="n">
        <f aca="false">IF(AND($M187&gt;0,ISNUMBER(MATCH($F187,Lists!$A$2:$A$5,0)),ISNUMBER(MATCH($G187,Lists!$B$2:$B$7,0)),OR($H187="",$N187&gt;0),OR($I187="",$I187="NR",$O187&gt;0),IF(ISNUMBER($J187),AND($J187&gt;=0,$J187=INT($J187)),FALSE())),$J187,0)</f>
        <v>1</v>
      </c>
      <c r="Q187" s="64" t="n">
        <f aca="false">IF(AND($P187&gt;0,$O187&gt;0),$P187,0)</f>
        <v>1</v>
      </c>
      <c r="R187" s="64" t="n">
        <f aca="false">IF(AND($Q187&gt;0,$O187&gt;=AtRank),$Q187,0)</f>
        <v>1</v>
      </c>
      <c r="S187" s="64" t="n">
        <f aca="false">IF(AND($Q187&gt;0,$O187&gt;=AboveRank),$Q187,0)</f>
        <v>1</v>
      </c>
      <c r="T187" s="64" t="n">
        <f aca="false">IF($K187="Less",$P187,0)</f>
        <v>0</v>
      </c>
      <c r="U187" s="64" t="n">
        <f aca="false">IF($K187="Expected",$P187,0)</f>
        <v>0</v>
      </c>
      <c r="V187" s="64" t="n">
        <f aca="false">IF($K187="Better",$P187,0)</f>
        <v>1</v>
      </c>
      <c r="W187" s="64" t="n">
        <f aca="false">IF($K187="U – needs rule",$P187,0)</f>
        <v>0</v>
      </c>
      <c r="X187" s="64" t="n">
        <f aca="false">IF($K187="No Start (attainment only)",$P187,0)</f>
        <v>0</v>
      </c>
    </row>
    <row r="188" customFormat="false" ht="15" hidden="false" customHeight="false" outlineLevel="0" collapsed="false">
      <c r="A188" s="60" t="s">
        <v>779</v>
      </c>
      <c r="B188" s="61" t="str">
        <f aca="false">IF($M188=0,"",INDEX(Classes!$E$6:$E$420,$M188))</f>
        <v>Arabic A</v>
      </c>
      <c r="C188" s="62" t="str">
        <f aca="false">IF($M188=0,"",INDEX(Classes!$H$6:$H$420,$M188))</f>
        <v>Mr Ahmed AbdelmonemElsye</v>
      </c>
      <c r="D188" s="61" t="str">
        <f aca="false">IF($M188=0,"",INDEX(Classes!$B$6:$B$420,$M188))</f>
        <v>Year 10</v>
      </c>
      <c r="E188" s="61" t="str">
        <f aca="false">IF($M188=0,"",INDEX(Classes!$C$6:$C$420,$M188))</f>
        <v>ah</v>
      </c>
      <c r="F188" s="63" t="s">
        <v>107</v>
      </c>
      <c r="G188" s="63" t="s">
        <v>1016</v>
      </c>
      <c r="H188" s="60" t="s">
        <v>200</v>
      </c>
      <c r="I188" s="60" t="s">
        <v>202</v>
      </c>
      <c r="J188" s="63" t="n">
        <v>1</v>
      </c>
      <c r="K188" s="61" t="str">
        <f aca="false">IF($P188=0,"",IF($F188="Baseline","— Baseline",IF($O188=0,"No result",IF($N188=0,"No Start (attainment only)",IF(OR($N188=1,$O188=1),"U – needs rule",INDEX(MxBody,MATCH($I188,MxCurr,0),MATCH($H188,MxStart,0)))))))</f>
        <v>Better</v>
      </c>
      <c r="L188" s="62" t="str">
        <f aca="false">IF(COUNTA($A188,$F188,$G188,$H188,$I188,$J188)=0,"",IF($M188=0,"✖ كود الصف غير موجود",IF(ISNA(MATCH($F188,Lists!$A$2:$A$5,0)),"✖ الفترة غير صحيحة",IF(ISNA(MATCH($G188,Lists!$B$2:$B$7,0)),"✖ المجموعة غير صحيحة",IF(NOT(OR($H188="",$N188&gt;0)),"✖ Start غير صحيح",IF(NOT(OR($I188="",$I188="NR",$O188&gt;0)),"✖ Current غير صحيح",IF(NOT(IF(ISNUMBER($J188),AND($J188&gt;=0,$J188=INT($J188)),FALSE())),"✖ العدد يجب أن يكون صحيحًا ≥ 0",IF(AND($F188="Baseline",$H188&lt;&gt;""),"⚠ Baseline: Start لا يدخل في التقدم",IF($K188="No Start (attainment only)","ℹ تحصيل فقط (بدون Start)",IF($K188="U – needs rule","ℹ حالة U تحتاج قاعدة معتمدة",IF($K188="No result","ℹ بدون نتيجة (يُستبعد من التحصيل)","OK")))))))))))</f>
        <v>OK</v>
      </c>
      <c r="M188" s="64" t="n">
        <f aca="false">IF($A188="",0,IFERROR(MATCH($A188,Classes!$A$6:$A$420,0),0))</f>
        <v>283</v>
      </c>
      <c r="N188" s="64" t="n">
        <f aca="false">IF($H188="",0,IFERROR(MATCH($H188,GradeList,0),0))</f>
        <v>5</v>
      </c>
      <c r="O188" s="64" t="n">
        <f aca="false">IF(OR($I188="",$I188="NR"),0,IFERROR(MATCH($I188,GradeList,0),0))</f>
        <v>7</v>
      </c>
      <c r="P188" s="64" t="n">
        <f aca="false">IF(AND($M188&gt;0,ISNUMBER(MATCH($F188,Lists!$A$2:$A$5,0)),ISNUMBER(MATCH($G188,Lists!$B$2:$B$7,0)),OR($H188="",$N188&gt;0),OR($I188="",$I188="NR",$O188&gt;0),IF(ISNUMBER($J188),AND($J188&gt;=0,$J188=INT($J188)),FALSE())),$J188,0)</f>
        <v>1</v>
      </c>
      <c r="Q188" s="64" t="n">
        <f aca="false">IF(AND($P188&gt;0,$O188&gt;0),$P188,0)</f>
        <v>1</v>
      </c>
      <c r="R188" s="64" t="n">
        <f aca="false">IF(AND($Q188&gt;0,$O188&gt;=AtRank),$Q188,0)</f>
        <v>1</v>
      </c>
      <c r="S188" s="64" t="n">
        <f aca="false">IF(AND($Q188&gt;0,$O188&gt;=AboveRank),$Q188,0)</f>
        <v>1</v>
      </c>
      <c r="T188" s="64" t="n">
        <f aca="false">IF($K188="Less",$P188,0)</f>
        <v>0</v>
      </c>
      <c r="U188" s="64" t="n">
        <f aca="false">IF($K188="Expected",$P188,0)</f>
        <v>0</v>
      </c>
      <c r="V188" s="64" t="n">
        <f aca="false">IF($K188="Better",$P188,0)</f>
        <v>1</v>
      </c>
      <c r="W188" s="64" t="n">
        <f aca="false">IF($K188="U – needs rule",$P188,0)</f>
        <v>0</v>
      </c>
      <c r="X188" s="64" t="n">
        <f aca="false">IF($K188="No Start (attainment only)",$P188,0)</f>
        <v>0</v>
      </c>
    </row>
    <row r="189" customFormat="false" ht="15" hidden="false" customHeight="false" outlineLevel="0" collapsed="false">
      <c r="A189" s="60" t="s">
        <v>779</v>
      </c>
      <c r="B189" s="61" t="str">
        <f aca="false">IF($M189=0,"",INDEX(Classes!$E$6:$E$420,$M189))</f>
        <v>Arabic A</v>
      </c>
      <c r="C189" s="62" t="str">
        <f aca="false">IF($M189=0,"",INDEX(Classes!$H$6:$H$420,$M189))</f>
        <v>Mr Ahmed AbdelmonemElsye</v>
      </c>
      <c r="D189" s="61" t="str">
        <f aca="false">IF($M189=0,"",INDEX(Classes!$B$6:$B$420,$M189))</f>
        <v>Year 10</v>
      </c>
      <c r="E189" s="61" t="str">
        <f aca="false">IF($M189=0,"",INDEX(Classes!$C$6:$C$420,$M189))</f>
        <v>ah</v>
      </c>
      <c r="F189" s="63" t="s">
        <v>107</v>
      </c>
      <c r="G189" s="63" t="s">
        <v>1016</v>
      </c>
      <c r="H189" s="60" t="s">
        <v>200</v>
      </c>
      <c r="I189" s="60" t="s">
        <v>201</v>
      </c>
      <c r="J189" s="63" t="n">
        <v>2</v>
      </c>
      <c r="K189" s="61" t="str">
        <f aca="false">IF($P189=0,"",IF($F189="Baseline","— Baseline",IF($O189=0,"No result",IF($N189=0,"No Start (attainment only)",IF(OR($N189=1,$O189=1),"U – needs rule",INDEX(MxBody,MATCH($I189,MxCurr,0),MATCH($H189,MxStart,0)))))))</f>
        <v>Better</v>
      </c>
      <c r="L189" s="62" t="str">
        <f aca="false">IF(COUNTA($A189,$F189,$G189,$H189,$I189,$J189)=0,"",IF($M189=0,"✖ كود الصف غير موجود",IF(ISNA(MATCH($F189,Lists!$A$2:$A$5,0)),"✖ الفترة غير صحيحة",IF(ISNA(MATCH($G189,Lists!$B$2:$B$7,0)),"✖ المجموعة غير صحيحة",IF(NOT(OR($H189="",$N189&gt;0)),"✖ Start غير صحيح",IF(NOT(OR($I189="",$I189="NR",$O189&gt;0)),"✖ Current غير صحيح",IF(NOT(IF(ISNUMBER($J189),AND($J189&gt;=0,$J189=INT($J189)),FALSE())),"✖ العدد يجب أن يكون صحيحًا ≥ 0",IF(AND($F189="Baseline",$H189&lt;&gt;""),"⚠ Baseline: Start لا يدخل في التقدم",IF($K189="No Start (attainment only)","ℹ تحصيل فقط (بدون Start)",IF($K189="U – needs rule","ℹ حالة U تحتاج قاعدة معتمدة",IF($K189="No result","ℹ بدون نتيجة (يُستبعد من التحصيل)","OK")))))))))))</f>
        <v>OK</v>
      </c>
      <c r="M189" s="64" t="n">
        <f aca="false">IF($A189="",0,IFERROR(MATCH($A189,Classes!$A$6:$A$420,0),0))</f>
        <v>283</v>
      </c>
      <c r="N189" s="64" t="n">
        <f aca="false">IF($H189="",0,IFERROR(MATCH($H189,GradeList,0),0))</f>
        <v>5</v>
      </c>
      <c r="O189" s="64" t="n">
        <f aca="false">IF(OR($I189="",$I189="NR"),0,IFERROR(MATCH($I189,GradeList,0),0))</f>
        <v>6</v>
      </c>
      <c r="P189" s="64" t="n">
        <f aca="false">IF(AND($M189&gt;0,ISNUMBER(MATCH($F189,Lists!$A$2:$A$5,0)),ISNUMBER(MATCH($G189,Lists!$B$2:$B$7,0)),OR($H189="",$N189&gt;0),OR($I189="",$I189="NR",$O189&gt;0),IF(ISNUMBER($J189),AND($J189&gt;=0,$J189=INT($J189)),FALSE())),$J189,0)</f>
        <v>2</v>
      </c>
      <c r="Q189" s="64" t="n">
        <f aca="false">IF(AND($P189&gt;0,$O189&gt;0),$P189,0)</f>
        <v>2</v>
      </c>
      <c r="R189" s="64" t="n">
        <f aca="false">IF(AND($Q189&gt;0,$O189&gt;=AtRank),$Q189,0)</f>
        <v>2</v>
      </c>
      <c r="S189" s="64" t="n">
        <f aca="false">IF(AND($Q189&gt;0,$O189&gt;=AboveRank),$Q189,0)</f>
        <v>0</v>
      </c>
      <c r="T189" s="64" t="n">
        <f aca="false">IF($K189="Less",$P189,0)</f>
        <v>0</v>
      </c>
      <c r="U189" s="64" t="n">
        <f aca="false">IF($K189="Expected",$P189,0)</f>
        <v>0</v>
      </c>
      <c r="V189" s="64" t="n">
        <f aca="false">IF($K189="Better",$P189,0)</f>
        <v>2</v>
      </c>
      <c r="W189" s="64" t="n">
        <f aca="false">IF($K189="U – needs rule",$P189,0)</f>
        <v>0</v>
      </c>
      <c r="X189" s="64" t="n">
        <f aca="false">IF($K189="No Start (attainment only)",$P189,0)</f>
        <v>0</v>
      </c>
    </row>
    <row r="190" customFormat="false" ht="15" hidden="false" customHeight="false" outlineLevel="0" collapsed="false">
      <c r="A190" s="60" t="s">
        <v>779</v>
      </c>
      <c r="B190" s="61" t="str">
        <f aca="false">IF($M190=0,"",INDEX(Classes!$E$6:$E$420,$M190))</f>
        <v>Arabic A</v>
      </c>
      <c r="C190" s="62" t="str">
        <f aca="false">IF($M190=0,"",INDEX(Classes!$H$6:$H$420,$M190))</f>
        <v>Mr Ahmed AbdelmonemElsye</v>
      </c>
      <c r="D190" s="61" t="str">
        <f aca="false">IF($M190=0,"",INDEX(Classes!$B$6:$B$420,$M190))</f>
        <v>Year 10</v>
      </c>
      <c r="E190" s="61" t="str">
        <f aca="false">IF($M190=0,"",INDEX(Classes!$C$6:$C$420,$M190))</f>
        <v>ah</v>
      </c>
      <c r="F190" s="63" t="s">
        <v>107</v>
      </c>
      <c r="G190" s="63" t="s">
        <v>1016</v>
      </c>
      <c r="H190" s="60" t="s">
        <v>201</v>
      </c>
      <c r="I190" s="60" t="s">
        <v>203</v>
      </c>
      <c r="J190" s="63" t="n">
        <v>1</v>
      </c>
      <c r="K190" s="61" t="str">
        <f aca="false">IF($P190=0,"",IF($F190="Baseline","— Baseline",IF($O190=0,"No result",IF($N190=0,"No Start (attainment only)",IF(OR($N190=1,$O190=1),"U – needs rule",INDEX(MxBody,MATCH($I190,MxCurr,0),MATCH($H190,MxStart,0)))))))</f>
        <v>Better</v>
      </c>
      <c r="L190" s="62" t="str">
        <f aca="false">IF(COUNTA($A190,$F190,$G190,$H190,$I190,$J190)=0,"",IF($M190=0,"✖ كود الصف غير موجود",IF(ISNA(MATCH($F190,Lists!$A$2:$A$5,0)),"✖ الفترة غير صحيحة",IF(ISNA(MATCH($G190,Lists!$B$2:$B$7,0)),"✖ المجموعة غير صحيحة",IF(NOT(OR($H190="",$N190&gt;0)),"✖ Start غير صحيح",IF(NOT(OR($I190="",$I190="NR",$O190&gt;0)),"✖ Current غير صحيح",IF(NOT(IF(ISNUMBER($J190),AND($J190&gt;=0,$J190=INT($J190)),FALSE())),"✖ العدد يجب أن يكون صحيحًا ≥ 0",IF(AND($F190="Baseline",$H190&lt;&gt;""),"⚠ Baseline: Start لا يدخل في التقدم",IF($K190="No Start (attainment only)","ℹ تحصيل فقط (بدون Start)",IF($K190="U – needs rule","ℹ حالة U تحتاج قاعدة معتمدة",IF($K190="No result","ℹ بدون نتيجة (يُستبعد من التحصيل)","OK")))))))))))</f>
        <v>OK</v>
      </c>
      <c r="M190" s="64" t="n">
        <f aca="false">IF($A190="",0,IFERROR(MATCH($A190,Classes!$A$6:$A$420,0),0))</f>
        <v>283</v>
      </c>
      <c r="N190" s="64" t="n">
        <f aca="false">IF($H190="",0,IFERROR(MATCH($H190,GradeList,0),0))</f>
        <v>6</v>
      </c>
      <c r="O190" s="64" t="n">
        <f aca="false">IF(OR($I190="",$I190="NR"),0,IFERROR(MATCH($I190,GradeList,0),0))</f>
        <v>8</v>
      </c>
      <c r="P190" s="64" t="n">
        <f aca="false">IF(AND($M190&gt;0,ISNUMBER(MATCH($F190,Lists!$A$2:$A$5,0)),ISNUMBER(MATCH($G190,Lists!$B$2:$B$7,0)),OR($H190="",$N190&gt;0),OR($I190="",$I190="NR",$O190&gt;0),IF(ISNUMBER($J190),AND($J190&gt;=0,$J190=INT($J190)),FALSE())),$J190,0)</f>
        <v>1</v>
      </c>
      <c r="Q190" s="64" t="n">
        <f aca="false">IF(AND($P190&gt;0,$O190&gt;0),$P190,0)</f>
        <v>1</v>
      </c>
      <c r="R190" s="64" t="n">
        <f aca="false">IF(AND($Q190&gt;0,$O190&gt;=AtRank),$Q190,0)</f>
        <v>1</v>
      </c>
      <c r="S190" s="64" t="n">
        <f aca="false">IF(AND($Q190&gt;0,$O190&gt;=AboveRank),$Q190,0)</f>
        <v>1</v>
      </c>
      <c r="T190" s="64" t="n">
        <f aca="false">IF($K190="Less",$P190,0)</f>
        <v>0</v>
      </c>
      <c r="U190" s="64" t="n">
        <f aca="false">IF($K190="Expected",$P190,0)</f>
        <v>0</v>
      </c>
      <c r="V190" s="64" t="n">
        <f aca="false">IF($K190="Better",$P190,0)</f>
        <v>1</v>
      </c>
      <c r="W190" s="64" t="n">
        <f aca="false">IF($K190="U – needs rule",$P190,0)</f>
        <v>0</v>
      </c>
      <c r="X190" s="64" t="n">
        <f aca="false">IF($K190="No Start (attainment only)",$P190,0)</f>
        <v>0</v>
      </c>
    </row>
    <row r="191" customFormat="false" ht="15" hidden="false" customHeight="false" outlineLevel="0" collapsed="false">
      <c r="A191" s="60" t="s">
        <v>779</v>
      </c>
      <c r="B191" s="61" t="str">
        <f aca="false">IF($M191=0,"",INDEX(Classes!$E$6:$E$420,$M191))</f>
        <v>Arabic A</v>
      </c>
      <c r="C191" s="62" t="str">
        <f aca="false">IF($M191=0,"",INDEX(Classes!$H$6:$H$420,$M191))</f>
        <v>Mr Ahmed AbdelmonemElsye</v>
      </c>
      <c r="D191" s="61" t="str">
        <f aca="false">IF($M191=0,"",INDEX(Classes!$B$6:$B$420,$M191))</f>
        <v>Year 10</v>
      </c>
      <c r="E191" s="61" t="str">
        <f aca="false">IF($M191=0,"",INDEX(Classes!$C$6:$C$420,$M191))</f>
        <v>ah</v>
      </c>
      <c r="F191" s="63" t="s">
        <v>107</v>
      </c>
      <c r="G191" s="63" t="s">
        <v>1016</v>
      </c>
      <c r="H191" s="60" t="s">
        <v>201</v>
      </c>
      <c r="I191" s="60" t="s">
        <v>200</v>
      </c>
      <c r="J191" s="63" t="n">
        <v>1</v>
      </c>
      <c r="K191" s="61" t="str">
        <f aca="false">IF($P191=0,"",IF($F191="Baseline","— Baseline",IF($O191=0,"No result",IF($N191=0,"No Start (attainment only)",IF(OR($N191=1,$O191=1),"U – needs rule",INDEX(MxBody,MATCH($I191,MxCurr,0),MATCH($H191,MxStart,0)))))))</f>
        <v>Expected</v>
      </c>
      <c r="L191" s="62" t="str">
        <f aca="false">IF(COUNTA($A191,$F191,$G191,$H191,$I191,$J191)=0,"",IF($M191=0,"✖ كود الصف غير موجود",IF(ISNA(MATCH($F191,Lists!$A$2:$A$5,0)),"✖ الفترة غير صحيحة",IF(ISNA(MATCH($G191,Lists!$B$2:$B$7,0)),"✖ المجموعة غير صحيحة",IF(NOT(OR($H191="",$N191&gt;0)),"✖ Start غير صحيح",IF(NOT(OR($I191="",$I191="NR",$O191&gt;0)),"✖ Current غير صحيح",IF(NOT(IF(ISNUMBER($J191),AND($J191&gt;=0,$J191=INT($J191)),FALSE())),"✖ العدد يجب أن يكون صحيحًا ≥ 0",IF(AND($F191="Baseline",$H191&lt;&gt;""),"⚠ Baseline: Start لا يدخل في التقدم",IF($K191="No Start (attainment only)","ℹ تحصيل فقط (بدون Start)",IF($K191="U – needs rule","ℹ حالة U تحتاج قاعدة معتمدة",IF($K191="No result","ℹ بدون نتيجة (يُستبعد من التحصيل)","OK")))))))))))</f>
        <v>OK</v>
      </c>
      <c r="M191" s="64" t="n">
        <f aca="false">IF($A191="",0,IFERROR(MATCH($A191,Classes!$A$6:$A$420,0),0))</f>
        <v>283</v>
      </c>
      <c r="N191" s="64" t="n">
        <f aca="false">IF($H191="",0,IFERROR(MATCH($H191,GradeList,0),0))</f>
        <v>6</v>
      </c>
      <c r="O191" s="64" t="n">
        <f aca="false">IF(OR($I191="",$I191="NR"),0,IFERROR(MATCH($I191,GradeList,0),0))</f>
        <v>5</v>
      </c>
      <c r="P191" s="64" t="n">
        <f aca="false">IF(AND($M191&gt;0,ISNUMBER(MATCH($F191,Lists!$A$2:$A$5,0)),ISNUMBER(MATCH($G191,Lists!$B$2:$B$7,0)),OR($H191="",$N191&gt;0),OR($I191="",$I191="NR",$O191&gt;0),IF(ISNUMBER($J191),AND($J191&gt;=0,$J191=INT($J191)),FALSE())),$J191,0)</f>
        <v>1</v>
      </c>
      <c r="Q191" s="64" t="n">
        <f aca="false">IF(AND($P191&gt;0,$O191&gt;0),$P191,0)</f>
        <v>1</v>
      </c>
      <c r="R191" s="64" t="n">
        <f aca="false">IF(AND($Q191&gt;0,$O191&gt;=AtRank),$Q191,0)</f>
        <v>1</v>
      </c>
      <c r="S191" s="64" t="n">
        <f aca="false">IF(AND($Q191&gt;0,$O191&gt;=AboveRank),$Q191,0)</f>
        <v>0</v>
      </c>
      <c r="T191" s="64" t="n">
        <f aca="false">IF($K191="Less",$P191,0)</f>
        <v>0</v>
      </c>
      <c r="U191" s="64" t="n">
        <f aca="false">IF($K191="Expected",$P191,0)</f>
        <v>1</v>
      </c>
      <c r="V191" s="64" t="n">
        <f aca="false">IF($K191="Better",$P191,0)</f>
        <v>0</v>
      </c>
      <c r="W191" s="64" t="n">
        <f aca="false">IF($K191="U – needs rule",$P191,0)</f>
        <v>0</v>
      </c>
      <c r="X191" s="64" t="n">
        <f aca="false">IF($K191="No Start (attainment only)",$P191,0)</f>
        <v>0</v>
      </c>
    </row>
    <row r="192" customFormat="false" ht="15" hidden="false" customHeight="false" outlineLevel="0" collapsed="false">
      <c r="A192" s="60" t="s">
        <v>779</v>
      </c>
      <c r="B192" s="61" t="str">
        <f aca="false">IF($M192=0,"",INDEX(Classes!$E$6:$E$420,$M192))</f>
        <v>Arabic A</v>
      </c>
      <c r="C192" s="62" t="str">
        <f aca="false">IF($M192=0,"",INDEX(Classes!$H$6:$H$420,$M192))</f>
        <v>Mr Ahmed AbdelmonemElsye</v>
      </c>
      <c r="D192" s="61" t="str">
        <f aca="false">IF($M192=0,"",INDEX(Classes!$B$6:$B$420,$M192))</f>
        <v>Year 10</v>
      </c>
      <c r="E192" s="61" t="str">
        <f aca="false">IF($M192=0,"",INDEX(Classes!$C$6:$C$420,$M192))</f>
        <v>ah</v>
      </c>
      <c r="F192" s="63" t="s">
        <v>107</v>
      </c>
      <c r="G192" s="63" t="s">
        <v>1016</v>
      </c>
      <c r="H192" s="60" t="s">
        <v>201</v>
      </c>
      <c r="I192" s="60" t="s">
        <v>201</v>
      </c>
      <c r="J192" s="63" t="n">
        <v>1</v>
      </c>
      <c r="K192" s="61" t="str">
        <f aca="false">IF($P192=0,"",IF($F192="Baseline","— Baseline",IF($O192=0,"No result",IF($N192=0,"No Start (attainment only)",IF(OR($N192=1,$O192=1),"U – needs rule",INDEX(MxBody,MATCH($I192,MxCurr,0),MATCH($H192,MxStart,0)))))))</f>
        <v>Expected</v>
      </c>
      <c r="L192" s="62" t="str">
        <f aca="false">IF(COUNTA($A192,$F192,$G192,$H192,$I192,$J192)=0,"",IF($M192=0,"✖ كود الصف غير موجود",IF(ISNA(MATCH($F192,Lists!$A$2:$A$5,0)),"✖ الفترة غير صحيحة",IF(ISNA(MATCH($G192,Lists!$B$2:$B$7,0)),"✖ المجموعة غير صحيحة",IF(NOT(OR($H192="",$N192&gt;0)),"✖ Start غير صحيح",IF(NOT(OR($I192="",$I192="NR",$O192&gt;0)),"✖ Current غير صحيح",IF(NOT(IF(ISNUMBER($J192),AND($J192&gt;=0,$J192=INT($J192)),FALSE())),"✖ العدد يجب أن يكون صحيحًا ≥ 0",IF(AND($F192="Baseline",$H192&lt;&gt;""),"⚠ Baseline: Start لا يدخل في التقدم",IF($K192="No Start (attainment only)","ℹ تحصيل فقط (بدون Start)",IF($K192="U – needs rule","ℹ حالة U تحتاج قاعدة معتمدة",IF($K192="No result","ℹ بدون نتيجة (يُستبعد من التحصيل)","OK")))))))))))</f>
        <v>OK</v>
      </c>
      <c r="M192" s="64" t="n">
        <f aca="false">IF($A192="",0,IFERROR(MATCH($A192,Classes!$A$6:$A$420,0),0))</f>
        <v>283</v>
      </c>
      <c r="N192" s="64" t="n">
        <f aca="false">IF($H192="",0,IFERROR(MATCH($H192,GradeList,0),0))</f>
        <v>6</v>
      </c>
      <c r="O192" s="64" t="n">
        <f aca="false">IF(OR($I192="",$I192="NR"),0,IFERROR(MATCH($I192,GradeList,0),0))</f>
        <v>6</v>
      </c>
      <c r="P192" s="64" t="n">
        <f aca="false">IF(AND($M192&gt;0,ISNUMBER(MATCH($F192,Lists!$A$2:$A$5,0)),ISNUMBER(MATCH($G192,Lists!$B$2:$B$7,0)),OR($H192="",$N192&gt;0),OR($I192="",$I192="NR",$O192&gt;0),IF(ISNUMBER($J192),AND($J192&gt;=0,$J192=INT($J192)),FALSE())),$J192,0)</f>
        <v>1</v>
      </c>
      <c r="Q192" s="64" t="n">
        <f aca="false">IF(AND($P192&gt;0,$O192&gt;0),$P192,0)</f>
        <v>1</v>
      </c>
      <c r="R192" s="64" t="n">
        <f aca="false">IF(AND($Q192&gt;0,$O192&gt;=AtRank),$Q192,0)</f>
        <v>1</v>
      </c>
      <c r="S192" s="64" t="n">
        <f aca="false">IF(AND($Q192&gt;0,$O192&gt;=AboveRank),$Q192,0)</f>
        <v>0</v>
      </c>
      <c r="T192" s="64" t="n">
        <f aca="false">IF($K192="Less",$P192,0)</f>
        <v>0</v>
      </c>
      <c r="U192" s="64" t="n">
        <f aca="false">IF($K192="Expected",$P192,0)</f>
        <v>1</v>
      </c>
      <c r="V192" s="64" t="n">
        <f aca="false">IF($K192="Better",$P192,0)</f>
        <v>0</v>
      </c>
      <c r="W192" s="64" t="n">
        <f aca="false">IF($K192="U – needs rule",$P192,0)</f>
        <v>0</v>
      </c>
      <c r="X192" s="64" t="n">
        <f aca="false">IF($K192="No Start (attainment only)",$P192,0)</f>
        <v>0</v>
      </c>
    </row>
    <row r="193" customFormat="false" ht="15" hidden="false" customHeight="false" outlineLevel="0" collapsed="false">
      <c r="A193" s="60" t="s">
        <v>779</v>
      </c>
      <c r="B193" s="61" t="str">
        <f aca="false">IF($M193=0,"",INDEX(Classes!$E$6:$E$420,$M193))</f>
        <v>Arabic A</v>
      </c>
      <c r="C193" s="62" t="str">
        <f aca="false">IF($M193=0,"",INDEX(Classes!$H$6:$H$420,$M193))</f>
        <v>Mr Ahmed AbdelmonemElsye</v>
      </c>
      <c r="D193" s="61" t="str">
        <f aca="false">IF($M193=0,"",INDEX(Classes!$B$6:$B$420,$M193))</f>
        <v>Year 10</v>
      </c>
      <c r="E193" s="61" t="str">
        <f aca="false">IF($M193=0,"",INDEX(Classes!$C$6:$C$420,$M193))</f>
        <v>ah</v>
      </c>
      <c r="F193" s="63" t="s">
        <v>107</v>
      </c>
      <c r="G193" s="63" t="s">
        <v>1016</v>
      </c>
      <c r="H193" s="60" t="s">
        <v>201</v>
      </c>
      <c r="I193" s="60" t="s">
        <v>1019</v>
      </c>
      <c r="J193" s="63" t="n">
        <v>1</v>
      </c>
      <c r="K193" s="61" t="str">
        <f aca="false">IF($P193=0,"",IF($F193="Baseline","— Baseline",IF($O193=0,"No result",IF($N193=0,"No Start (attainment only)",IF(OR($N193=1,$O193=1),"U – needs rule",INDEX(MxBody,MATCH($I193,MxCurr,0),MATCH($H193,MxStart,0)))))))</f>
        <v>No result</v>
      </c>
      <c r="L193" s="62" t="str">
        <f aca="false">IF(COUNTA($A193,$F193,$G193,$H193,$I193,$J193)=0,"",IF($M193=0,"✖ كود الصف غير موجود",IF(ISNA(MATCH($F193,Lists!$A$2:$A$5,0)),"✖ الفترة غير صحيحة",IF(ISNA(MATCH($G193,Lists!$B$2:$B$7,0)),"✖ المجموعة غير صحيحة",IF(NOT(OR($H193="",$N193&gt;0)),"✖ Start غير صحيح",IF(NOT(OR($I193="",$I193="NR",$O193&gt;0)),"✖ Current غير صحيح",IF(NOT(IF(ISNUMBER($J193),AND($J193&gt;=0,$J193=INT($J193)),FALSE())),"✖ العدد يجب أن يكون صحيحًا ≥ 0",IF(AND($F193="Baseline",$H193&lt;&gt;""),"⚠ Baseline: Start لا يدخل في التقدم",IF($K193="No Start (attainment only)","ℹ تحصيل فقط (بدون Start)",IF($K193="U – needs rule","ℹ حالة U تحتاج قاعدة معتمدة",IF($K193="No result","ℹ بدون نتيجة (يُستبعد من التحصيل)","OK")))))))))))</f>
        <v>ℹ بدون نتيجة (يُستبعد من التحصيل)</v>
      </c>
      <c r="M193" s="64" t="n">
        <f aca="false">IF($A193="",0,IFERROR(MATCH($A193,Classes!$A$6:$A$420,0),0))</f>
        <v>283</v>
      </c>
      <c r="N193" s="64" t="n">
        <f aca="false">IF($H193="",0,IFERROR(MATCH($H193,GradeList,0),0))</f>
        <v>6</v>
      </c>
      <c r="O193" s="64" t="n">
        <f aca="false">IF(OR($I193="",$I193="NR"),0,IFERROR(MATCH($I193,GradeList,0),0))</f>
        <v>0</v>
      </c>
      <c r="P193" s="64" t="n">
        <f aca="false">IF(AND($M193&gt;0,ISNUMBER(MATCH($F193,Lists!$A$2:$A$5,0)),ISNUMBER(MATCH($G193,Lists!$B$2:$B$7,0)),OR($H193="",$N193&gt;0),OR($I193="",$I193="NR",$O193&gt;0),IF(ISNUMBER($J193),AND($J193&gt;=0,$J193=INT($J193)),FALSE())),$J193,0)</f>
        <v>1</v>
      </c>
      <c r="Q193" s="64" t="n">
        <f aca="false">IF(AND($P193&gt;0,$O193&gt;0),$P193,0)</f>
        <v>0</v>
      </c>
      <c r="R193" s="64" t="n">
        <f aca="false">IF(AND($Q193&gt;0,$O193&gt;=AtRank),$Q193,0)</f>
        <v>0</v>
      </c>
      <c r="S193" s="64" t="n">
        <f aca="false">IF(AND($Q193&gt;0,$O193&gt;=AboveRank),$Q193,0)</f>
        <v>0</v>
      </c>
      <c r="T193" s="64" t="n">
        <f aca="false">IF($K193="Less",$P193,0)</f>
        <v>0</v>
      </c>
      <c r="U193" s="64" t="n">
        <f aca="false">IF($K193="Expected",$P193,0)</f>
        <v>0</v>
      </c>
      <c r="V193" s="64" t="n">
        <f aca="false">IF($K193="Better",$P193,0)</f>
        <v>0</v>
      </c>
      <c r="W193" s="64" t="n">
        <f aca="false">IF($K193="U – needs rule",$P193,0)</f>
        <v>0</v>
      </c>
      <c r="X193" s="64" t="n">
        <f aca="false">IF($K193="No Start (attainment only)",$P193,0)</f>
        <v>0</v>
      </c>
    </row>
    <row r="194" customFormat="false" ht="15" hidden="false" customHeight="false" outlineLevel="0" collapsed="false">
      <c r="A194" s="60" t="s">
        <v>779</v>
      </c>
      <c r="B194" s="61" t="str">
        <f aca="false">IF($M194=0,"",INDEX(Classes!$E$6:$E$420,$M194))</f>
        <v>Arabic A</v>
      </c>
      <c r="C194" s="62" t="str">
        <f aca="false">IF($M194=0,"",INDEX(Classes!$H$6:$H$420,$M194))</f>
        <v>Mr Ahmed AbdelmonemElsye</v>
      </c>
      <c r="D194" s="61" t="str">
        <f aca="false">IF($M194=0,"",INDEX(Classes!$B$6:$B$420,$M194))</f>
        <v>Year 10</v>
      </c>
      <c r="E194" s="61" t="str">
        <f aca="false">IF($M194=0,"",INDEX(Classes!$C$6:$C$420,$M194))</f>
        <v>ah</v>
      </c>
      <c r="F194" s="63" t="s">
        <v>107</v>
      </c>
      <c r="G194" s="63" t="s">
        <v>1016</v>
      </c>
      <c r="H194" s="60" t="s">
        <v>198</v>
      </c>
      <c r="I194" s="60" t="s">
        <v>198</v>
      </c>
      <c r="J194" s="63" t="n">
        <v>1</v>
      </c>
      <c r="K194" s="61" t="str">
        <f aca="false">IF($P194=0,"",IF($F194="Baseline","— Baseline",IF($O194=0,"No result",IF($N194=0,"No Start (attainment only)",IF(OR($N194=1,$O194=1),"U – needs rule",INDEX(MxBody,MATCH($I194,MxCurr,0),MATCH($H194,MxStart,0)))))))</f>
        <v>Expected</v>
      </c>
      <c r="L194" s="62" t="str">
        <f aca="false">IF(COUNTA($A194,$F194,$G194,$H194,$I194,$J194)=0,"",IF($M194=0,"✖ كود الصف غير موجود",IF(ISNA(MATCH($F194,Lists!$A$2:$A$5,0)),"✖ الفترة غير صحيحة",IF(ISNA(MATCH($G194,Lists!$B$2:$B$7,0)),"✖ المجموعة غير صحيحة",IF(NOT(OR($H194="",$N194&gt;0)),"✖ Start غير صحيح",IF(NOT(OR($I194="",$I194="NR",$O194&gt;0)),"✖ Current غير صحيح",IF(NOT(IF(ISNUMBER($J194),AND($J194&gt;=0,$J194=INT($J194)),FALSE())),"✖ العدد يجب أن يكون صحيحًا ≥ 0",IF(AND($F194="Baseline",$H194&lt;&gt;""),"⚠ Baseline: Start لا يدخل في التقدم",IF($K194="No Start (attainment only)","ℹ تحصيل فقط (بدون Start)",IF($K194="U – needs rule","ℹ حالة U تحتاج قاعدة معتمدة",IF($K194="No result","ℹ بدون نتيجة (يُستبعد من التحصيل)","OK")))))))))))</f>
        <v>OK</v>
      </c>
      <c r="M194" s="64" t="n">
        <f aca="false">IF($A194="",0,IFERROR(MATCH($A194,Classes!$A$6:$A$420,0),0))</f>
        <v>283</v>
      </c>
      <c r="N194" s="64" t="n">
        <f aca="false">IF($H194="",0,IFERROR(MATCH($H194,GradeList,0),0))</f>
        <v>3</v>
      </c>
      <c r="O194" s="64" t="n">
        <f aca="false">IF(OR($I194="",$I194="NR"),0,IFERROR(MATCH($I194,GradeList,0),0))</f>
        <v>3</v>
      </c>
      <c r="P194" s="64" t="n">
        <f aca="false">IF(AND($M194&gt;0,ISNUMBER(MATCH($F194,Lists!$A$2:$A$5,0)),ISNUMBER(MATCH($G194,Lists!$B$2:$B$7,0)),OR($H194="",$N194&gt;0),OR($I194="",$I194="NR",$O194&gt;0),IF(ISNUMBER($J194),AND($J194&gt;=0,$J194=INT($J194)),FALSE())),$J194,0)</f>
        <v>1</v>
      </c>
      <c r="Q194" s="64" t="n">
        <f aca="false">IF(AND($P194&gt;0,$O194&gt;0),$P194,0)</f>
        <v>1</v>
      </c>
      <c r="R194" s="64" t="n">
        <f aca="false">IF(AND($Q194&gt;0,$O194&gt;=AtRank),$Q194,0)</f>
        <v>0</v>
      </c>
      <c r="S194" s="64" t="n">
        <f aca="false">IF(AND($Q194&gt;0,$O194&gt;=AboveRank),$Q194,0)</f>
        <v>0</v>
      </c>
      <c r="T194" s="64" t="n">
        <f aca="false">IF($K194="Less",$P194,0)</f>
        <v>0</v>
      </c>
      <c r="U194" s="64" t="n">
        <f aca="false">IF($K194="Expected",$P194,0)</f>
        <v>1</v>
      </c>
      <c r="V194" s="64" t="n">
        <f aca="false">IF($K194="Better",$P194,0)</f>
        <v>0</v>
      </c>
      <c r="W194" s="64" t="n">
        <f aca="false">IF($K194="U – needs rule",$P194,0)</f>
        <v>0</v>
      </c>
      <c r="X194" s="64" t="n">
        <f aca="false">IF($K194="No Start (attainment only)",$P194,0)</f>
        <v>0</v>
      </c>
    </row>
    <row r="195" customFormat="false" ht="15" hidden="false" customHeight="false" outlineLevel="0" collapsed="false">
      <c r="A195" s="60" t="s">
        <v>779</v>
      </c>
      <c r="B195" s="61" t="str">
        <f aca="false">IF($M195=0,"",INDEX(Classes!$E$6:$E$420,$M195))</f>
        <v>Arabic A</v>
      </c>
      <c r="C195" s="62" t="str">
        <f aca="false">IF($M195=0,"",INDEX(Classes!$H$6:$H$420,$M195))</f>
        <v>Mr Ahmed AbdelmonemElsye</v>
      </c>
      <c r="D195" s="61" t="str">
        <f aca="false">IF($M195=0,"",INDEX(Classes!$B$6:$B$420,$M195))</f>
        <v>Year 10</v>
      </c>
      <c r="E195" s="61" t="str">
        <f aca="false">IF($M195=0,"",INDEX(Classes!$C$6:$C$420,$M195))</f>
        <v>ah</v>
      </c>
      <c r="F195" s="63" t="s">
        <v>107</v>
      </c>
      <c r="G195" s="63" t="s">
        <v>1016</v>
      </c>
      <c r="H195" s="60" t="s">
        <v>204</v>
      </c>
      <c r="I195" s="60" t="s">
        <v>205</v>
      </c>
      <c r="J195" s="63" t="n">
        <v>2</v>
      </c>
      <c r="K195" s="61" t="str">
        <f aca="false">IF($P195=0,"",IF($F195="Baseline","— Baseline",IF($O195=0,"No result",IF($N195=0,"No Start (attainment only)",IF(OR($N195=1,$O195=1),"U – needs rule",INDEX(MxBody,MATCH($I195,MxCurr,0),MATCH($H195,MxStart,0)))))))</f>
        <v>Better</v>
      </c>
      <c r="L195" s="62" t="str">
        <f aca="false">IF(COUNTA($A195,$F195,$G195,$H195,$I195,$J195)=0,"",IF($M195=0,"✖ كود الصف غير موجود",IF(ISNA(MATCH($F195,Lists!$A$2:$A$5,0)),"✖ الفترة غير صحيحة",IF(ISNA(MATCH($G195,Lists!$B$2:$B$7,0)),"✖ المجموعة غير صحيحة",IF(NOT(OR($H195="",$N195&gt;0)),"✖ Start غير صحيح",IF(NOT(OR($I195="",$I195="NR",$O195&gt;0)),"✖ Current غير صحيح",IF(NOT(IF(ISNUMBER($J195),AND($J195&gt;=0,$J195=INT($J195)),FALSE())),"✖ العدد يجب أن يكون صحيحًا ≥ 0",IF(AND($F195="Baseline",$H195&lt;&gt;""),"⚠ Baseline: Start لا يدخل في التقدم",IF($K195="No Start (attainment only)","ℹ تحصيل فقط (بدون Start)",IF($K195="U – needs rule","ℹ حالة U تحتاج قاعدة معتمدة",IF($K195="No result","ℹ بدون نتيجة (يُستبعد من التحصيل)","OK")))))))))))</f>
        <v>OK</v>
      </c>
      <c r="M195" s="64" t="n">
        <f aca="false">IF($A195="",0,IFERROR(MATCH($A195,Classes!$A$6:$A$420,0),0))</f>
        <v>283</v>
      </c>
      <c r="N195" s="64" t="n">
        <f aca="false">IF($H195="",0,IFERROR(MATCH($H195,GradeList,0),0))</f>
        <v>9</v>
      </c>
      <c r="O195" s="64" t="n">
        <f aca="false">IF(OR($I195="",$I195="NR"),0,IFERROR(MATCH($I195,GradeList,0),0))</f>
        <v>10</v>
      </c>
      <c r="P195" s="64" t="n">
        <f aca="false">IF(AND($M195&gt;0,ISNUMBER(MATCH($F195,Lists!$A$2:$A$5,0)),ISNUMBER(MATCH($G195,Lists!$B$2:$B$7,0)),OR($H195="",$N195&gt;0),OR($I195="",$I195="NR",$O195&gt;0),IF(ISNUMBER($J195),AND($J195&gt;=0,$J195=INT($J195)),FALSE())),$J195,0)</f>
        <v>2</v>
      </c>
      <c r="Q195" s="64" t="n">
        <f aca="false">IF(AND($P195&gt;0,$O195&gt;0),$P195,0)</f>
        <v>2</v>
      </c>
      <c r="R195" s="64" t="n">
        <f aca="false">IF(AND($Q195&gt;0,$O195&gt;=AtRank),$Q195,0)</f>
        <v>2</v>
      </c>
      <c r="S195" s="64" t="n">
        <f aca="false">IF(AND($Q195&gt;0,$O195&gt;=AboveRank),$Q195,0)</f>
        <v>2</v>
      </c>
      <c r="T195" s="64" t="n">
        <f aca="false">IF($K195="Less",$P195,0)</f>
        <v>0</v>
      </c>
      <c r="U195" s="64" t="n">
        <f aca="false">IF($K195="Expected",$P195,0)</f>
        <v>0</v>
      </c>
      <c r="V195" s="64" t="n">
        <f aca="false">IF($K195="Better",$P195,0)</f>
        <v>2</v>
      </c>
      <c r="W195" s="64" t="n">
        <f aca="false">IF($K195="U – needs rule",$P195,0)</f>
        <v>0</v>
      </c>
      <c r="X195" s="64" t="n">
        <f aca="false">IF($K195="No Start (attainment only)",$P195,0)</f>
        <v>0</v>
      </c>
    </row>
    <row r="196" customFormat="false" ht="15" hidden="false" customHeight="false" outlineLevel="0" collapsed="false">
      <c r="A196" s="60" t="s">
        <v>779</v>
      </c>
      <c r="B196" s="61" t="str">
        <f aca="false">IF($M196=0,"",INDEX(Classes!$E$6:$E$420,$M196))</f>
        <v>Arabic A</v>
      </c>
      <c r="C196" s="62" t="str">
        <f aca="false">IF($M196=0,"",INDEX(Classes!$H$6:$H$420,$M196))</f>
        <v>Mr Ahmed AbdelmonemElsye</v>
      </c>
      <c r="D196" s="61" t="str">
        <f aca="false">IF($M196=0,"",INDEX(Classes!$B$6:$B$420,$M196))</f>
        <v>Year 10</v>
      </c>
      <c r="E196" s="61" t="str">
        <f aca="false">IF($M196=0,"",INDEX(Classes!$C$6:$C$420,$M196))</f>
        <v>ah</v>
      </c>
      <c r="F196" s="63" t="s">
        <v>107</v>
      </c>
      <c r="G196" s="63" t="s">
        <v>1016</v>
      </c>
      <c r="H196" s="60" t="s">
        <v>199</v>
      </c>
      <c r="I196" s="60" t="s">
        <v>198</v>
      </c>
      <c r="J196" s="63" t="n">
        <v>1</v>
      </c>
      <c r="K196" s="61" t="str">
        <f aca="false">IF($P196=0,"",IF($F196="Baseline","— Baseline",IF($O196=0,"No result",IF($N196=0,"No Start (attainment only)",IF(OR($N196=1,$O196=1),"U – needs rule",INDEX(MxBody,MATCH($I196,MxCurr,0),MATCH($H196,MxStart,0)))))))</f>
        <v>Less</v>
      </c>
      <c r="L196" s="62" t="str">
        <f aca="false">IF(COUNTA($A196,$F196,$G196,$H196,$I196,$J196)=0,"",IF($M196=0,"✖ كود الصف غير موجود",IF(ISNA(MATCH($F196,Lists!$A$2:$A$5,0)),"✖ الفترة غير صحيحة",IF(ISNA(MATCH($G196,Lists!$B$2:$B$7,0)),"✖ المجموعة غير صحيحة",IF(NOT(OR($H196="",$N196&gt;0)),"✖ Start غير صحيح",IF(NOT(OR($I196="",$I196="NR",$O196&gt;0)),"✖ Current غير صحيح",IF(NOT(IF(ISNUMBER($J196),AND($J196&gt;=0,$J196=INT($J196)),FALSE())),"✖ العدد يجب أن يكون صحيحًا ≥ 0",IF(AND($F196="Baseline",$H196&lt;&gt;""),"⚠ Baseline: Start لا يدخل في التقدم",IF($K196="No Start (attainment only)","ℹ تحصيل فقط (بدون Start)",IF($K196="U – needs rule","ℹ حالة U تحتاج قاعدة معتمدة",IF($K196="No result","ℹ بدون نتيجة (يُستبعد من التحصيل)","OK")))))))))))</f>
        <v>OK</v>
      </c>
      <c r="M196" s="64" t="n">
        <f aca="false">IF($A196="",0,IFERROR(MATCH($A196,Classes!$A$6:$A$420,0),0))</f>
        <v>283</v>
      </c>
      <c r="N196" s="64" t="n">
        <f aca="false">IF($H196="",0,IFERROR(MATCH($H196,GradeList,0),0))</f>
        <v>4</v>
      </c>
      <c r="O196" s="64" t="n">
        <f aca="false">IF(OR($I196="",$I196="NR"),0,IFERROR(MATCH($I196,GradeList,0),0))</f>
        <v>3</v>
      </c>
      <c r="P196" s="64" t="n">
        <f aca="false">IF(AND($M196&gt;0,ISNUMBER(MATCH($F196,Lists!$A$2:$A$5,0)),ISNUMBER(MATCH($G196,Lists!$B$2:$B$7,0)),OR($H196="",$N196&gt;0),OR($I196="",$I196="NR",$O196&gt;0),IF(ISNUMBER($J196),AND($J196&gt;=0,$J196=INT($J196)),FALSE())),$J196,0)</f>
        <v>1</v>
      </c>
      <c r="Q196" s="64" t="n">
        <f aca="false">IF(AND($P196&gt;0,$O196&gt;0),$P196,0)</f>
        <v>1</v>
      </c>
      <c r="R196" s="64" t="n">
        <f aca="false">IF(AND($Q196&gt;0,$O196&gt;=AtRank),$Q196,0)</f>
        <v>0</v>
      </c>
      <c r="S196" s="64" t="n">
        <f aca="false">IF(AND($Q196&gt;0,$O196&gt;=AboveRank),$Q196,0)</f>
        <v>0</v>
      </c>
      <c r="T196" s="64" t="n">
        <f aca="false">IF($K196="Less",$P196,0)</f>
        <v>1</v>
      </c>
      <c r="U196" s="64" t="n">
        <f aca="false">IF($K196="Expected",$P196,0)</f>
        <v>0</v>
      </c>
      <c r="V196" s="64" t="n">
        <f aca="false">IF($K196="Better",$P196,0)</f>
        <v>0</v>
      </c>
      <c r="W196" s="64" t="n">
        <f aca="false">IF($K196="U – needs rule",$P196,0)</f>
        <v>0</v>
      </c>
      <c r="X196" s="64" t="n">
        <f aca="false">IF($K196="No Start (attainment only)",$P196,0)</f>
        <v>0</v>
      </c>
    </row>
    <row r="197" customFormat="false" ht="15" hidden="false" customHeight="false" outlineLevel="0" collapsed="false">
      <c r="A197" s="60" t="s">
        <v>779</v>
      </c>
      <c r="B197" s="61" t="str">
        <f aca="false">IF($M197=0,"",INDEX(Classes!$E$6:$E$420,$M197))</f>
        <v>Arabic A</v>
      </c>
      <c r="C197" s="62" t="str">
        <f aca="false">IF($M197=0,"",INDEX(Classes!$H$6:$H$420,$M197))</f>
        <v>Mr Ahmed AbdelmonemElsye</v>
      </c>
      <c r="D197" s="61" t="str">
        <f aca="false">IF($M197=0,"",INDEX(Classes!$B$6:$B$420,$M197))</f>
        <v>Year 10</v>
      </c>
      <c r="E197" s="61" t="str">
        <f aca="false">IF($M197=0,"",INDEX(Classes!$C$6:$C$420,$M197))</f>
        <v>ah</v>
      </c>
      <c r="F197" s="63" t="s">
        <v>107</v>
      </c>
      <c r="G197" s="63" t="s">
        <v>941</v>
      </c>
      <c r="H197" s="60" t="s">
        <v>203</v>
      </c>
      <c r="I197" s="60" t="s">
        <v>204</v>
      </c>
      <c r="J197" s="63" t="n">
        <v>1</v>
      </c>
      <c r="K197" s="61" t="str">
        <f aca="false">IF($P197=0,"",IF($F197="Baseline","— Baseline",IF($O197=0,"No result",IF($N197=0,"No Start (attainment only)",IF(OR($N197=1,$O197=1),"U – needs rule",INDEX(MxBody,MATCH($I197,MxCurr,0),MATCH($H197,MxStart,0)))))))</f>
        <v>Better</v>
      </c>
      <c r="L197" s="62" t="str">
        <f aca="false">IF(COUNTA($A197,$F197,$G197,$H197,$I197,$J197)=0,"",IF($M197=0,"✖ كود الصف غير موجود",IF(ISNA(MATCH($F197,Lists!$A$2:$A$5,0)),"✖ الفترة غير صحيحة",IF(ISNA(MATCH($G197,Lists!$B$2:$B$7,0)),"✖ المجموعة غير صحيحة",IF(NOT(OR($H197="",$N197&gt;0)),"✖ Start غير صحيح",IF(NOT(OR($I197="",$I197="NR",$O197&gt;0)),"✖ Current غير صحيح",IF(NOT(IF(ISNUMBER($J197),AND($J197&gt;=0,$J197=INT($J197)),FALSE())),"✖ العدد يجب أن يكون صحيحًا ≥ 0",IF(AND($F197="Baseline",$H197&lt;&gt;""),"⚠ Baseline: Start لا يدخل في التقدم",IF($K197="No Start (attainment only)","ℹ تحصيل فقط (بدون Start)",IF($K197="U – needs rule","ℹ حالة U تحتاج قاعدة معتمدة",IF($K197="No result","ℹ بدون نتيجة (يُستبعد من التحصيل)","OK")))))))))))</f>
        <v>OK</v>
      </c>
      <c r="M197" s="64" t="n">
        <f aca="false">IF($A197="",0,IFERROR(MATCH($A197,Classes!$A$6:$A$420,0),0))</f>
        <v>283</v>
      </c>
      <c r="N197" s="64" t="n">
        <f aca="false">IF($H197="",0,IFERROR(MATCH($H197,GradeList,0),0))</f>
        <v>8</v>
      </c>
      <c r="O197" s="64" t="n">
        <f aca="false">IF(OR($I197="",$I197="NR"),0,IFERROR(MATCH($I197,GradeList,0),0))</f>
        <v>9</v>
      </c>
      <c r="P197" s="64" t="n">
        <f aca="false">IF(AND($M197&gt;0,ISNUMBER(MATCH($F197,Lists!$A$2:$A$5,0)),ISNUMBER(MATCH($G197,Lists!$B$2:$B$7,0)),OR($H197="",$N197&gt;0),OR($I197="",$I197="NR",$O197&gt;0),IF(ISNUMBER($J197),AND($J197&gt;=0,$J197=INT($J197)),FALSE())),$J197,0)</f>
        <v>1</v>
      </c>
      <c r="Q197" s="64" t="n">
        <f aca="false">IF(AND($P197&gt;0,$O197&gt;0),$P197,0)</f>
        <v>1</v>
      </c>
      <c r="R197" s="64" t="n">
        <f aca="false">IF(AND($Q197&gt;0,$O197&gt;=AtRank),$Q197,0)</f>
        <v>1</v>
      </c>
      <c r="S197" s="64" t="n">
        <f aca="false">IF(AND($Q197&gt;0,$O197&gt;=AboveRank),$Q197,0)</f>
        <v>1</v>
      </c>
      <c r="T197" s="64" t="n">
        <f aca="false">IF($K197="Less",$P197,0)</f>
        <v>0</v>
      </c>
      <c r="U197" s="64" t="n">
        <f aca="false">IF($K197="Expected",$P197,0)</f>
        <v>0</v>
      </c>
      <c r="V197" s="64" t="n">
        <f aca="false">IF($K197="Better",$P197,0)</f>
        <v>1</v>
      </c>
      <c r="W197" s="64" t="n">
        <f aca="false">IF($K197="U – needs rule",$P197,0)</f>
        <v>0</v>
      </c>
      <c r="X197" s="64" t="n">
        <f aca="false">IF($K197="No Start (attainment only)",$P197,0)</f>
        <v>0</v>
      </c>
    </row>
    <row r="198" customFormat="false" ht="15" hidden="false" customHeight="false" outlineLevel="0" collapsed="false">
      <c r="A198" s="60" t="s">
        <v>779</v>
      </c>
      <c r="B198" s="61" t="str">
        <f aca="false">IF($M198=0,"",INDEX(Classes!$E$6:$E$420,$M198))</f>
        <v>Arabic A</v>
      </c>
      <c r="C198" s="62" t="str">
        <f aca="false">IF($M198=0,"",INDEX(Classes!$H$6:$H$420,$M198))</f>
        <v>Mr Ahmed AbdelmonemElsye</v>
      </c>
      <c r="D198" s="61" t="str">
        <f aca="false">IF($M198=0,"",INDEX(Classes!$B$6:$B$420,$M198))</f>
        <v>Year 10</v>
      </c>
      <c r="E198" s="61" t="str">
        <f aca="false">IF($M198=0,"",INDEX(Classes!$C$6:$C$420,$M198))</f>
        <v>ah</v>
      </c>
      <c r="F198" s="63" t="s">
        <v>107</v>
      </c>
      <c r="G198" s="63" t="s">
        <v>941</v>
      </c>
      <c r="H198" s="60" t="s">
        <v>200</v>
      </c>
      <c r="I198" s="60" t="s">
        <v>201</v>
      </c>
      <c r="J198" s="63" t="n">
        <v>1</v>
      </c>
      <c r="K198" s="61" t="str">
        <f aca="false">IF($P198=0,"",IF($F198="Baseline","— Baseline",IF($O198=0,"No result",IF($N198=0,"No Start (attainment only)",IF(OR($N198=1,$O198=1),"U – needs rule",INDEX(MxBody,MATCH($I198,MxCurr,0),MATCH($H198,MxStart,0)))))))</f>
        <v>Better</v>
      </c>
      <c r="L198" s="62" t="str">
        <f aca="false">IF(COUNTA($A198,$F198,$G198,$H198,$I198,$J198)=0,"",IF($M198=0,"✖ كود الصف غير موجود",IF(ISNA(MATCH($F198,Lists!$A$2:$A$5,0)),"✖ الفترة غير صحيحة",IF(ISNA(MATCH($G198,Lists!$B$2:$B$7,0)),"✖ المجموعة غير صحيحة",IF(NOT(OR($H198="",$N198&gt;0)),"✖ Start غير صحيح",IF(NOT(OR($I198="",$I198="NR",$O198&gt;0)),"✖ Current غير صحيح",IF(NOT(IF(ISNUMBER($J198),AND($J198&gt;=0,$J198=INT($J198)),FALSE())),"✖ العدد يجب أن يكون صحيحًا ≥ 0",IF(AND($F198="Baseline",$H198&lt;&gt;""),"⚠ Baseline: Start لا يدخل في التقدم",IF($K198="No Start (attainment only)","ℹ تحصيل فقط (بدون Start)",IF($K198="U – needs rule","ℹ حالة U تحتاج قاعدة معتمدة",IF($K198="No result","ℹ بدون نتيجة (يُستبعد من التحصيل)","OK")))))))))))</f>
        <v>OK</v>
      </c>
      <c r="M198" s="64" t="n">
        <f aca="false">IF($A198="",0,IFERROR(MATCH($A198,Classes!$A$6:$A$420,0),0))</f>
        <v>283</v>
      </c>
      <c r="N198" s="64" t="n">
        <f aca="false">IF($H198="",0,IFERROR(MATCH($H198,GradeList,0),0))</f>
        <v>5</v>
      </c>
      <c r="O198" s="64" t="n">
        <f aca="false">IF(OR($I198="",$I198="NR"),0,IFERROR(MATCH($I198,GradeList,0),0))</f>
        <v>6</v>
      </c>
      <c r="P198" s="64" t="n">
        <f aca="false">IF(AND($M198&gt;0,ISNUMBER(MATCH($F198,Lists!$A$2:$A$5,0)),ISNUMBER(MATCH($G198,Lists!$B$2:$B$7,0)),OR($H198="",$N198&gt;0),OR($I198="",$I198="NR",$O198&gt;0),IF(ISNUMBER($J198),AND($J198&gt;=0,$J198=INT($J198)),FALSE())),$J198,0)</f>
        <v>1</v>
      </c>
      <c r="Q198" s="64" t="n">
        <f aca="false">IF(AND($P198&gt;0,$O198&gt;0),$P198,0)</f>
        <v>1</v>
      </c>
      <c r="R198" s="64" t="n">
        <f aca="false">IF(AND($Q198&gt;0,$O198&gt;=AtRank),$Q198,0)</f>
        <v>1</v>
      </c>
      <c r="S198" s="64" t="n">
        <f aca="false">IF(AND($Q198&gt;0,$O198&gt;=AboveRank),$Q198,0)</f>
        <v>0</v>
      </c>
      <c r="T198" s="64" t="n">
        <f aca="false">IF($K198="Less",$P198,0)</f>
        <v>0</v>
      </c>
      <c r="U198" s="64" t="n">
        <f aca="false">IF($K198="Expected",$P198,0)</f>
        <v>0</v>
      </c>
      <c r="V198" s="64" t="n">
        <f aca="false">IF($K198="Better",$P198,0)</f>
        <v>1</v>
      </c>
      <c r="W198" s="64" t="n">
        <f aca="false">IF($K198="U – needs rule",$P198,0)</f>
        <v>0</v>
      </c>
      <c r="X198" s="64" t="n">
        <f aca="false">IF($K198="No Start (attainment only)",$P198,0)</f>
        <v>0</v>
      </c>
    </row>
    <row r="199" customFormat="false" ht="15" hidden="false" customHeight="false" outlineLevel="0" collapsed="false">
      <c r="A199" s="60" t="s">
        <v>779</v>
      </c>
      <c r="B199" s="61" t="str">
        <f aca="false">IF($M199=0,"",INDEX(Classes!$E$6:$E$420,$M199))</f>
        <v>Arabic A</v>
      </c>
      <c r="C199" s="62" t="str">
        <f aca="false">IF($M199=0,"",INDEX(Classes!$H$6:$H$420,$M199))</f>
        <v>Mr Ahmed AbdelmonemElsye</v>
      </c>
      <c r="D199" s="61" t="str">
        <f aca="false">IF($M199=0,"",INDEX(Classes!$B$6:$B$420,$M199))</f>
        <v>Year 10</v>
      </c>
      <c r="E199" s="61" t="str">
        <f aca="false">IF($M199=0,"",INDEX(Classes!$C$6:$C$420,$M199))</f>
        <v>ah</v>
      </c>
      <c r="F199" s="63" t="s">
        <v>107</v>
      </c>
      <c r="G199" s="63" t="s">
        <v>941</v>
      </c>
      <c r="H199" s="60" t="s">
        <v>204</v>
      </c>
      <c r="I199" s="60" t="s">
        <v>205</v>
      </c>
      <c r="J199" s="63" t="n">
        <v>1</v>
      </c>
      <c r="K199" s="61" t="str">
        <f aca="false">IF($P199=0,"",IF($F199="Baseline","— Baseline",IF($O199=0,"No result",IF($N199=0,"No Start (attainment only)",IF(OR($N199=1,$O199=1),"U – needs rule",INDEX(MxBody,MATCH($I199,MxCurr,0),MATCH($H199,MxStart,0)))))))</f>
        <v>Better</v>
      </c>
      <c r="L199" s="62" t="str">
        <f aca="false">IF(COUNTA($A199,$F199,$G199,$H199,$I199,$J199)=0,"",IF($M199=0,"✖ كود الصف غير موجود",IF(ISNA(MATCH($F199,Lists!$A$2:$A$5,0)),"✖ الفترة غير صحيحة",IF(ISNA(MATCH($G199,Lists!$B$2:$B$7,0)),"✖ المجموعة غير صحيحة",IF(NOT(OR($H199="",$N199&gt;0)),"✖ Start غير صحيح",IF(NOT(OR($I199="",$I199="NR",$O199&gt;0)),"✖ Current غير صحيح",IF(NOT(IF(ISNUMBER($J199),AND($J199&gt;=0,$J199=INT($J199)),FALSE())),"✖ العدد يجب أن يكون صحيحًا ≥ 0",IF(AND($F199="Baseline",$H199&lt;&gt;""),"⚠ Baseline: Start لا يدخل في التقدم",IF($K199="No Start (attainment only)","ℹ تحصيل فقط (بدون Start)",IF($K199="U – needs rule","ℹ حالة U تحتاج قاعدة معتمدة",IF($K199="No result","ℹ بدون نتيجة (يُستبعد من التحصيل)","OK")))))))))))</f>
        <v>OK</v>
      </c>
      <c r="M199" s="64" t="n">
        <f aca="false">IF($A199="",0,IFERROR(MATCH($A199,Classes!$A$6:$A$420,0),0))</f>
        <v>283</v>
      </c>
      <c r="N199" s="64" t="n">
        <f aca="false">IF($H199="",0,IFERROR(MATCH($H199,GradeList,0),0))</f>
        <v>9</v>
      </c>
      <c r="O199" s="64" t="n">
        <f aca="false">IF(OR($I199="",$I199="NR"),0,IFERROR(MATCH($I199,GradeList,0),0))</f>
        <v>10</v>
      </c>
      <c r="P199" s="64" t="n">
        <f aca="false">IF(AND($M199&gt;0,ISNUMBER(MATCH($F199,Lists!$A$2:$A$5,0)),ISNUMBER(MATCH($G199,Lists!$B$2:$B$7,0)),OR($H199="",$N199&gt;0),OR($I199="",$I199="NR",$O199&gt;0),IF(ISNUMBER($J199),AND($J199&gt;=0,$J199=INT($J199)),FALSE())),$J199,0)</f>
        <v>1</v>
      </c>
      <c r="Q199" s="64" t="n">
        <f aca="false">IF(AND($P199&gt;0,$O199&gt;0),$P199,0)</f>
        <v>1</v>
      </c>
      <c r="R199" s="64" t="n">
        <f aca="false">IF(AND($Q199&gt;0,$O199&gt;=AtRank),$Q199,0)</f>
        <v>1</v>
      </c>
      <c r="S199" s="64" t="n">
        <f aca="false">IF(AND($Q199&gt;0,$O199&gt;=AboveRank),$Q199,0)</f>
        <v>1</v>
      </c>
      <c r="T199" s="64" t="n">
        <f aca="false">IF($K199="Less",$P199,0)</f>
        <v>0</v>
      </c>
      <c r="U199" s="64" t="n">
        <f aca="false">IF($K199="Expected",$P199,0)</f>
        <v>0</v>
      </c>
      <c r="V199" s="64" t="n">
        <f aca="false">IF($K199="Better",$P199,0)</f>
        <v>1</v>
      </c>
      <c r="W199" s="64" t="n">
        <f aca="false">IF($K199="U – needs rule",$P199,0)</f>
        <v>0</v>
      </c>
      <c r="X199" s="64" t="n">
        <f aca="false">IF($K199="No Start (attainment only)",$P199,0)</f>
        <v>0</v>
      </c>
    </row>
    <row r="200" customFormat="false" ht="15" hidden="false" customHeight="false" outlineLevel="0" collapsed="false">
      <c r="A200" s="60" t="s">
        <v>779</v>
      </c>
      <c r="B200" s="61" t="str">
        <f aca="false">IF($M200=0,"",INDEX(Classes!$E$6:$E$420,$M200))</f>
        <v>Arabic A</v>
      </c>
      <c r="C200" s="62" t="str">
        <f aca="false">IF($M200=0,"",INDEX(Classes!$H$6:$H$420,$M200))</f>
        <v>Mr Ahmed AbdelmonemElsye</v>
      </c>
      <c r="D200" s="61" t="str">
        <f aca="false">IF($M200=0,"",INDEX(Classes!$B$6:$B$420,$M200))</f>
        <v>Year 10</v>
      </c>
      <c r="E200" s="61" t="str">
        <f aca="false">IF($M200=0,"",INDEX(Classes!$C$6:$C$420,$M200))</f>
        <v>ah</v>
      </c>
      <c r="F200" s="63" t="s">
        <v>107</v>
      </c>
      <c r="G200" s="63" t="s">
        <v>941</v>
      </c>
      <c r="H200" s="60" t="s">
        <v>199</v>
      </c>
      <c r="I200" s="60" t="s">
        <v>201</v>
      </c>
      <c r="J200" s="63" t="n">
        <v>1</v>
      </c>
      <c r="K200" s="61" t="str">
        <f aca="false">IF($P200=0,"",IF($F200="Baseline","— Baseline",IF($O200=0,"No result",IF($N200=0,"No Start (attainment only)",IF(OR($N200=1,$O200=1),"U – needs rule",INDEX(MxBody,MATCH($I200,MxCurr,0),MATCH($H200,MxStart,0)))))))</f>
        <v>Better</v>
      </c>
      <c r="L200" s="62" t="str">
        <f aca="false">IF(COUNTA($A200,$F200,$G200,$H200,$I200,$J200)=0,"",IF($M200=0,"✖ كود الصف غير موجود",IF(ISNA(MATCH($F200,Lists!$A$2:$A$5,0)),"✖ الفترة غير صحيحة",IF(ISNA(MATCH($G200,Lists!$B$2:$B$7,0)),"✖ المجموعة غير صحيحة",IF(NOT(OR($H200="",$N200&gt;0)),"✖ Start غير صحيح",IF(NOT(OR($I200="",$I200="NR",$O200&gt;0)),"✖ Current غير صحيح",IF(NOT(IF(ISNUMBER($J200),AND($J200&gt;=0,$J200=INT($J200)),FALSE())),"✖ العدد يجب أن يكون صحيحًا ≥ 0",IF(AND($F200="Baseline",$H200&lt;&gt;""),"⚠ Baseline: Start لا يدخل في التقدم",IF($K200="No Start (attainment only)","ℹ تحصيل فقط (بدون Start)",IF($K200="U – needs rule","ℹ حالة U تحتاج قاعدة معتمدة",IF($K200="No result","ℹ بدون نتيجة (يُستبعد من التحصيل)","OK")))))))))))</f>
        <v>OK</v>
      </c>
      <c r="M200" s="64" t="n">
        <f aca="false">IF($A200="",0,IFERROR(MATCH($A200,Classes!$A$6:$A$420,0),0))</f>
        <v>283</v>
      </c>
      <c r="N200" s="64" t="n">
        <f aca="false">IF($H200="",0,IFERROR(MATCH($H200,GradeList,0),0))</f>
        <v>4</v>
      </c>
      <c r="O200" s="64" t="n">
        <f aca="false">IF(OR($I200="",$I200="NR"),0,IFERROR(MATCH($I200,GradeList,0),0))</f>
        <v>6</v>
      </c>
      <c r="P200" s="64" t="n">
        <f aca="false">IF(AND($M200&gt;0,ISNUMBER(MATCH($F200,Lists!$A$2:$A$5,0)),ISNUMBER(MATCH($G200,Lists!$B$2:$B$7,0)),OR($H200="",$N200&gt;0),OR($I200="",$I200="NR",$O200&gt;0),IF(ISNUMBER($J200),AND($J200&gt;=0,$J200=INT($J200)),FALSE())),$J200,0)</f>
        <v>1</v>
      </c>
      <c r="Q200" s="64" t="n">
        <f aca="false">IF(AND($P200&gt;0,$O200&gt;0),$P200,0)</f>
        <v>1</v>
      </c>
      <c r="R200" s="64" t="n">
        <f aca="false">IF(AND($Q200&gt;0,$O200&gt;=AtRank),$Q200,0)</f>
        <v>1</v>
      </c>
      <c r="S200" s="64" t="n">
        <f aca="false">IF(AND($Q200&gt;0,$O200&gt;=AboveRank),$Q200,0)</f>
        <v>0</v>
      </c>
      <c r="T200" s="64" t="n">
        <f aca="false">IF($K200="Less",$P200,0)</f>
        <v>0</v>
      </c>
      <c r="U200" s="64" t="n">
        <f aca="false">IF($K200="Expected",$P200,0)</f>
        <v>0</v>
      </c>
      <c r="V200" s="64" t="n">
        <f aca="false">IF($K200="Better",$P200,0)</f>
        <v>1</v>
      </c>
      <c r="W200" s="64" t="n">
        <f aca="false">IF($K200="U – needs rule",$P200,0)</f>
        <v>0</v>
      </c>
      <c r="X200" s="64" t="n">
        <f aca="false">IF($K200="No Start (attainment only)",$P200,0)</f>
        <v>0</v>
      </c>
    </row>
    <row r="201" customFormat="false" ht="15" hidden="false" customHeight="false" outlineLevel="0" collapsed="false">
      <c r="A201" s="60" t="s">
        <v>779</v>
      </c>
      <c r="B201" s="61" t="str">
        <f aca="false">IF($M201=0,"",INDEX(Classes!$E$6:$E$420,$M201))</f>
        <v>Arabic A</v>
      </c>
      <c r="C201" s="62" t="str">
        <f aca="false">IF($M201=0,"",INDEX(Classes!$H$6:$H$420,$M201))</f>
        <v>Mr Ahmed AbdelmonemElsye</v>
      </c>
      <c r="D201" s="61" t="str">
        <f aca="false">IF($M201=0,"",INDEX(Classes!$B$6:$B$420,$M201))</f>
        <v>Year 10</v>
      </c>
      <c r="E201" s="61" t="str">
        <f aca="false">IF($M201=0,"",INDEX(Classes!$C$6:$C$420,$M201))</f>
        <v>ah</v>
      </c>
      <c r="F201" s="63" t="s">
        <v>107</v>
      </c>
      <c r="G201" s="63" t="s">
        <v>1017</v>
      </c>
      <c r="H201" s="60" t="s">
        <v>203</v>
      </c>
      <c r="I201" s="60" t="s">
        <v>204</v>
      </c>
      <c r="J201" s="63" t="n">
        <v>1</v>
      </c>
      <c r="K201" s="61" t="str">
        <f aca="false">IF($P201=0,"",IF($F201="Baseline","— Baseline",IF($O201=0,"No result",IF($N201=0,"No Start (attainment only)",IF(OR($N201=1,$O201=1),"U – needs rule",INDEX(MxBody,MATCH($I201,MxCurr,0),MATCH($H201,MxStart,0)))))))</f>
        <v>Better</v>
      </c>
      <c r="L201" s="62" t="str">
        <f aca="false">IF(COUNTA($A201,$F201,$G201,$H201,$I201,$J201)=0,"",IF($M201=0,"✖ كود الصف غير موجود",IF(ISNA(MATCH($F201,Lists!$A$2:$A$5,0)),"✖ الفترة غير صحيحة",IF(ISNA(MATCH($G201,Lists!$B$2:$B$7,0)),"✖ المجموعة غير صحيحة",IF(NOT(OR($H201="",$N201&gt;0)),"✖ Start غير صحيح",IF(NOT(OR($I201="",$I201="NR",$O201&gt;0)),"✖ Current غير صحيح",IF(NOT(IF(ISNUMBER($J201),AND($J201&gt;=0,$J201=INT($J201)),FALSE())),"✖ العدد يجب أن يكون صحيحًا ≥ 0",IF(AND($F201="Baseline",$H201&lt;&gt;""),"⚠ Baseline: Start لا يدخل في التقدم",IF($K201="No Start (attainment only)","ℹ تحصيل فقط (بدون Start)",IF($K201="U – needs rule","ℹ حالة U تحتاج قاعدة معتمدة",IF($K201="No result","ℹ بدون نتيجة (يُستبعد من التحصيل)","OK")))))))))))</f>
        <v>OK</v>
      </c>
      <c r="M201" s="64" t="n">
        <f aca="false">IF($A201="",0,IFERROR(MATCH($A201,Classes!$A$6:$A$420,0),0))</f>
        <v>283</v>
      </c>
      <c r="N201" s="64" t="n">
        <f aca="false">IF($H201="",0,IFERROR(MATCH($H201,GradeList,0),0))</f>
        <v>8</v>
      </c>
      <c r="O201" s="64" t="n">
        <f aca="false">IF(OR($I201="",$I201="NR"),0,IFERROR(MATCH($I201,GradeList,0),0))</f>
        <v>9</v>
      </c>
      <c r="P201" s="64" t="n">
        <f aca="false">IF(AND($M201&gt;0,ISNUMBER(MATCH($F201,Lists!$A$2:$A$5,0)),ISNUMBER(MATCH($G201,Lists!$B$2:$B$7,0)),OR($H201="",$N201&gt;0),OR($I201="",$I201="NR",$O201&gt;0),IF(ISNUMBER($J201),AND($J201&gt;=0,$J201=INT($J201)),FALSE())),$J201,0)</f>
        <v>1</v>
      </c>
      <c r="Q201" s="64" t="n">
        <f aca="false">IF(AND($P201&gt;0,$O201&gt;0),$P201,0)</f>
        <v>1</v>
      </c>
      <c r="R201" s="64" t="n">
        <f aca="false">IF(AND($Q201&gt;0,$O201&gt;=AtRank),$Q201,0)</f>
        <v>1</v>
      </c>
      <c r="S201" s="64" t="n">
        <f aca="false">IF(AND($Q201&gt;0,$O201&gt;=AboveRank),$Q201,0)</f>
        <v>1</v>
      </c>
      <c r="T201" s="64" t="n">
        <f aca="false">IF($K201="Less",$P201,0)</f>
        <v>0</v>
      </c>
      <c r="U201" s="64" t="n">
        <f aca="false">IF($K201="Expected",$P201,0)</f>
        <v>0</v>
      </c>
      <c r="V201" s="64" t="n">
        <f aca="false">IF($K201="Better",$P201,0)</f>
        <v>1</v>
      </c>
      <c r="W201" s="64" t="n">
        <f aca="false">IF($K201="U – needs rule",$P201,0)</f>
        <v>0</v>
      </c>
      <c r="X201" s="64" t="n">
        <f aca="false">IF($K201="No Start (attainment only)",$P201,0)</f>
        <v>0</v>
      </c>
    </row>
    <row r="202" customFormat="false" ht="15" hidden="false" customHeight="false" outlineLevel="0" collapsed="false">
      <c r="A202" s="60" t="s">
        <v>779</v>
      </c>
      <c r="B202" s="61" t="str">
        <f aca="false">IF($M202=0,"",INDEX(Classes!$E$6:$E$420,$M202))</f>
        <v>Arabic A</v>
      </c>
      <c r="C202" s="62" t="str">
        <f aca="false">IF($M202=0,"",INDEX(Classes!$H$6:$H$420,$M202))</f>
        <v>Mr Ahmed AbdelmonemElsye</v>
      </c>
      <c r="D202" s="61" t="str">
        <f aca="false">IF($M202=0,"",INDEX(Classes!$B$6:$B$420,$M202))</f>
        <v>Year 10</v>
      </c>
      <c r="E202" s="61" t="str">
        <f aca="false">IF($M202=0,"",INDEX(Classes!$C$6:$C$420,$M202))</f>
        <v>ah</v>
      </c>
      <c r="F202" s="63" t="s">
        <v>107</v>
      </c>
      <c r="G202" s="63" t="s">
        <v>1017</v>
      </c>
      <c r="H202" s="60" t="s">
        <v>201</v>
      </c>
      <c r="I202" s="60" t="s">
        <v>200</v>
      </c>
      <c r="J202" s="63" t="n">
        <v>1</v>
      </c>
      <c r="K202" s="61" t="str">
        <f aca="false">IF($P202=0,"",IF($F202="Baseline","— Baseline",IF($O202=0,"No result",IF($N202=0,"No Start (attainment only)",IF(OR($N202=1,$O202=1),"U – needs rule",INDEX(MxBody,MATCH($I202,MxCurr,0),MATCH($H202,MxStart,0)))))))</f>
        <v>Expected</v>
      </c>
      <c r="L202" s="62" t="str">
        <f aca="false">IF(COUNTA($A202,$F202,$G202,$H202,$I202,$J202)=0,"",IF($M202=0,"✖ كود الصف غير موجود",IF(ISNA(MATCH($F202,Lists!$A$2:$A$5,0)),"✖ الفترة غير صحيحة",IF(ISNA(MATCH($G202,Lists!$B$2:$B$7,0)),"✖ المجموعة غير صحيحة",IF(NOT(OR($H202="",$N202&gt;0)),"✖ Start غير صحيح",IF(NOT(OR($I202="",$I202="NR",$O202&gt;0)),"✖ Current غير صحيح",IF(NOT(IF(ISNUMBER($J202),AND($J202&gt;=0,$J202=INT($J202)),FALSE())),"✖ العدد يجب أن يكون صحيحًا ≥ 0",IF(AND($F202="Baseline",$H202&lt;&gt;""),"⚠ Baseline: Start لا يدخل في التقدم",IF($K202="No Start (attainment only)","ℹ تحصيل فقط (بدون Start)",IF($K202="U – needs rule","ℹ حالة U تحتاج قاعدة معتمدة",IF($K202="No result","ℹ بدون نتيجة (يُستبعد من التحصيل)","OK")))))))))))</f>
        <v>OK</v>
      </c>
      <c r="M202" s="64" t="n">
        <f aca="false">IF($A202="",0,IFERROR(MATCH($A202,Classes!$A$6:$A$420,0),0))</f>
        <v>283</v>
      </c>
      <c r="N202" s="64" t="n">
        <f aca="false">IF($H202="",0,IFERROR(MATCH($H202,GradeList,0),0))</f>
        <v>6</v>
      </c>
      <c r="O202" s="64" t="n">
        <f aca="false">IF(OR($I202="",$I202="NR"),0,IFERROR(MATCH($I202,GradeList,0),0))</f>
        <v>5</v>
      </c>
      <c r="P202" s="64" t="n">
        <f aca="false">IF(AND($M202&gt;0,ISNUMBER(MATCH($F202,Lists!$A$2:$A$5,0)),ISNUMBER(MATCH($G202,Lists!$B$2:$B$7,0)),OR($H202="",$N202&gt;0),OR($I202="",$I202="NR",$O202&gt;0),IF(ISNUMBER($J202),AND($J202&gt;=0,$J202=INT($J202)),FALSE())),$J202,0)</f>
        <v>1</v>
      </c>
      <c r="Q202" s="64" t="n">
        <f aca="false">IF(AND($P202&gt;0,$O202&gt;0),$P202,0)</f>
        <v>1</v>
      </c>
      <c r="R202" s="64" t="n">
        <f aca="false">IF(AND($Q202&gt;0,$O202&gt;=AtRank),$Q202,0)</f>
        <v>1</v>
      </c>
      <c r="S202" s="64" t="n">
        <f aca="false">IF(AND($Q202&gt;0,$O202&gt;=AboveRank),$Q202,0)</f>
        <v>0</v>
      </c>
      <c r="T202" s="64" t="n">
        <f aca="false">IF($K202="Less",$P202,0)</f>
        <v>0</v>
      </c>
      <c r="U202" s="64" t="n">
        <f aca="false">IF($K202="Expected",$P202,0)</f>
        <v>1</v>
      </c>
      <c r="V202" s="64" t="n">
        <f aca="false">IF($K202="Better",$P202,0)</f>
        <v>0</v>
      </c>
      <c r="W202" s="64" t="n">
        <f aca="false">IF($K202="U – needs rule",$P202,0)</f>
        <v>0</v>
      </c>
      <c r="X202" s="64" t="n">
        <f aca="false">IF($K202="No Start (attainment only)",$P202,0)</f>
        <v>0</v>
      </c>
    </row>
    <row r="203" customFormat="false" ht="15" hidden="false" customHeight="false" outlineLevel="0" collapsed="false">
      <c r="A203" s="60" t="s">
        <v>779</v>
      </c>
      <c r="B203" s="61" t="str">
        <f aca="false">IF($M203=0,"",INDEX(Classes!$E$6:$E$420,$M203))</f>
        <v>Arabic A</v>
      </c>
      <c r="C203" s="62" t="str">
        <f aca="false">IF($M203=0,"",INDEX(Classes!$H$6:$H$420,$M203))</f>
        <v>Mr Ahmed AbdelmonemElsye</v>
      </c>
      <c r="D203" s="61" t="str">
        <f aca="false">IF($M203=0,"",INDEX(Classes!$B$6:$B$420,$M203))</f>
        <v>Year 10</v>
      </c>
      <c r="E203" s="61" t="str">
        <f aca="false">IF($M203=0,"",INDEX(Classes!$C$6:$C$420,$M203))</f>
        <v>ah</v>
      </c>
      <c r="F203" s="63" t="s">
        <v>107</v>
      </c>
      <c r="G203" s="63" t="s">
        <v>1017</v>
      </c>
      <c r="H203" s="60" t="s">
        <v>204</v>
      </c>
      <c r="I203" s="60" t="s">
        <v>205</v>
      </c>
      <c r="J203" s="63" t="n">
        <v>1</v>
      </c>
      <c r="K203" s="61" t="str">
        <f aca="false">IF($P203=0,"",IF($F203="Baseline","— Baseline",IF($O203=0,"No result",IF($N203=0,"No Start (attainment only)",IF(OR($N203=1,$O203=1),"U – needs rule",INDEX(MxBody,MATCH($I203,MxCurr,0),MATCH($H203,MxStart,0)))))))</f>
        <v>Better</v>
      </c>
      <c r="L203" s="62" t="str">
        <f aca="false">IF(COUNTA($A203,$F203,$G203,$H203,$I203,$J203)=0,"",IF($M203=0,"✖ كود الصف غير موجود",IF(ISNA(MATCH($F203,Lists!$A$2:$A$5,0)),"✖ الفترة غير صحيحة",IF(ISNA(MATCH($G203,Lists!$B$2:$B$7,0)),"✖ المجموعة غير صحيحة",IF(NOT(OR($H203="",$N203&gt;0)),"✖ Start غير صحيح",IF(NOT(OR($I203="",$I203="NR",$O203&gt;0)),"✖ Current غير صحيح",IF(NOT(IF(ISNUMBER($J203),AND($J203&gt;=0,$J203=INT($J203)),FALSE())),"✖ العدد يجب أن يكون صحيحًا ≥ 0",IF(AND($F203="Baseline",$H203&lt;&gt;""),"⚠ Baseline: Start لا يدخل في التقدم",IF($K203="No Start (attainment only)","ℹ تحصيل فقط (بدون Start)",IF($K203="U – needs rule","ℹ حالة U تحتاج قاعدة معتمدة",IF($K203="No result","ℹ بدون نتيجة (يُستبعد من التحصيل)","OK")))))))))))</f>
        <v>OK</v>
      </c>
      <c r="M203" s="64" t="n">
        <f aca="false">IF($A203="",0,IFERROR(MATCH($A203,Classes!$A$6:$A$420,0),0))</f>
        <v>283</v>
      </c>
      <c r="N203" s="64" t="n">
        <f aca="false">IF($H203="",0,IFERROR(MATCH($H203,GradeList,0),0))</f>
        <v>9</v>
      </c>
      <c r="O203" s="64" t="n">
        <f aca="false">IF(OR($I203="",$I203="NR"),0,IFERROR(MATCH($I203,GradeList,0),0))</f>
        <v>10</v>
      </c>
      <c r="P203" s="64" t="n">
        <f aca="false">IF(AND($M203&gt;0,ISNUMBER(MATCH($F203,Lists!$A$2:$A$5,0)),ISNUMBER(MATCH($G203,Lists!$B$2:$B$7,0)),OR($H203="",$N203&gt;0),OR($I203="",$I203="NR",$O203&gt;0),IF(ISNUMBER($J203),AND($J203&gt;=0,$J203=INT($J203)),FALSE())),$J203,0)</f>
        <v>1</v>
      </c>
      <c r="Q203" s="64" t="n">
        <f aca="false">IF(AND($P203&gt;0,$O203&gt;0),$P203,0)</f>
        <v>1</v>
      </c>
      <c r="R203" s="64" t="n">
        <f aca="false">IF(AND($Q203&gt;0,$O203&gt;=AtRank),$Q203,0)</f>
        <v>1</v>
      </c>
      <c r="S203" s="64" t="n">
        <f aca="false">IF(AND($Q203&gt;0,$O203&gt;=AboveRank),$Q203,0)</f>
        <v>1</v>
      </c>
      <c r="T203" s="64" t="n">
        <f aca="false">IF($K203="Less",$P203,0)</f>
        <v>0</v>
      </c>
      <c r="U203" s="64" t="n">
        <f aca="false">IF($K203="Expected",$P203,0)</f>
        <v>0</v>
      </c>
      <c r="V203" s="64" t="n">
        <f aca="false">IF($K203="Better",$P203,0)</f>
        <v>1</v>
      </c>
      <c r="W203" s="64" t="n">
        <f aca="false">IF($K203="U – needs rule",$P203,0)</f>
        <v>0</v>
      </c>
      <c r="X203" s="64" t="n">
        <f aca="false">IF($K203="No Start (attainment only)",$P203,0)</f>
        <v>0</v>
      </c>
    </row>
    <row r="204" customFormat="false" ht="15" hidden="false" customHeight="false" outlineLevel="0" collapsed="false">
      <c r="A204" s="60" t="s">
        <v>779</v>
      </c>
      <c r="B204" s="61" t="str">
        <f aca="false">IF($M204=0,"",INDEX(Classes!$E$6:$E$420,$M204))</f>
        <v>Arabic A</v>
      </c>
      <c r="C204" s="62" t="str">
        <f aca="false">IF($M204=0,"",INDEX(Classes!$H$6:$H$420,$M204))</f>
        <v>Mr Ahmed AbdelmonemElsye</v>
      </c>
      <c r="D204" s="61" t="str">
        <f aca="false">IF($M204=0,"",INDEX(Classes!$B$6:$B$420,$M204))</f>
        <v>Year 10</v>
      </c>
      <c r="E204" s="61" t="str">
        <f aca="false">IF($M204=0,"",INDEX(Classes!$C$6:$C$420,$M204))</f>
        <v>ah</v>
      </c>
      <c r="F204" s="63" t="s">
        <v>107</v>
      </c>
      <c r="G204" s="63" t="s">
        <v>1018</v>
      </c>
      <c r="H204" s="60"/>
      <c r="I204" s="60" t="s">
        <v>201</v>
      </c>
      <c r="J204" s="63" t="n">
        <v>1</v>
      </c>
      <c r="K204" s="61" t="str">
        <f aca="false">IF($P204=0,"",IF($F204="Baseline","— Baseline",IF($O204=0,"No result",IF($N204=0,"No Start (attainment only)",IF(OR($N204=1,$O204=1),"U – needs rule",INDEX(MxBody,MATCH($I204,MxCurr,0),MATCH($H204,MxStart,0)))))))</f>
        <v>No Start (attainment only)</v>
      </c>
      <c r="L204" s="62" t="str">
        <f aca="false">IF(COUNTA($A204,$F204,$G204,$H204,$I204,$J204)=0,"",IF($M204=0,"✖ كود الصف غير موجود",IF(ISNA(MATCH($F204,Lists!$A$2:$A$5,0)),"✖ الفترة غير صحيحة",IF(ISNA(MATCH($G204,Lists!$B$2:$B$7,0)),"✖ المجموعة غير صحيحة",IF(NOT(OR($H204="",$N204&gt;0)),"✖ Start غير صحيح",IF(NOT(OR($I204="",$I204="NR",$O204&gt;0)),"✖ Current غير صحيح",IF(NOT(IF(ISNUMBER($J204),AND($J204&gt;=0,$J204=INT($J204)),FALSE())),"✖ العدد يجب أن يكون صحيحًا ≥ 0",IF(AND($F204="Baseline",$H204&lt;&gt;""),"⚠ Baseline: Start لا يدخل في التقدم",IF($K204="No Start (attainment only)","ℹ تحصيل فقط (بدون Start)",IF($K204="U – needs rule","ℹ حالة U تحتاج قاعدة معتمدة",IF($K204="No result","ℹ بدون نتيجة (يُستبعد من التحصيل)","OK")))))))))))</f>
        <v>ℹ تحصيل فقط (بدون Start)</v>
      </c>
      <c r="M204" s="64" t="n">
        <f aca="false">IF($A204="",0,IFERROR(MATCH($A204,Classes!$A$6:$A$420,0),0))</f>
        <v>283</v>
      </c>
      <c r="N204" s="64" t="n">
        <f aca="false">IF($H204="",0,IFERROR(MATCH($H204,GradeList,0),0))</f>
        <v>0</v>
      </c>
      <c r="O204" s="64" t="n">
        <f aca="false">IF(OR($I204="",$I204="NR"),0,IFERROR(MATCH($I204,GradeList,0),0))</f>
        <v>6</v>
      </c>
      <c r="P204" s="64" t="n">
        <f aca="false">IF(AND($M204&gt;0,ISNUMBER(MATCH($F204,Lists!$A$2:$A$5,0)),ISNUMBER(MATCH($G204,Lists!$B$2:$B$7,0)),OR($H204="",$N204&gt;0),OR($I204="",$I204="NR",$O204&gt;0),IF(ISNUMBER($J204),AND($J204&gt;=0,$J204=INT($J204)),FALSE())),$J204,0)</f>
        <v>1</v>
      </c>
      <c r="Q204" s="64" t="n">
        <f aca="false">IF(AND($P204&gt;0,$O204&gt;0),$P204,0)</f>
        <v>1</v>
      </c>
      <c r="R204" s="64" t="n">
        <f aca="false">IF(AND($Q204&gt;0,$O204&gt;=AtRank),$Q204,0)</f>
        <v>1</v>
      </c>
      <c r="S204" s="64" t="n">
        <f aca="false">IF(AND($Q204&gt;0,$O204&gt;=AboveRank),$Q204,0)</f>
        <v>0</v>
      </c>
      <c r="T204" s="64" t="n">
        <f aca="false">IF($K204="Less",$P204,0)</f>
        <v>0</v>
      </c>
      <c r="U204" s="64" t="n">
        <f aca="false">IF($K204="Expected",$P204,0)</f>
        <v>0</v>
      </c>
      <c r="V204" s="64" t="n">
        <f aca="false">IF($K204="Better",$P204,0)</f>
        <v>0</v>
      </c>
      <c r="W204" s="64" t="n">
        <f aca="false">IF($K204="U – needs rule",$P204,0)</f>
        <v>0</v>
      </c>
      <c r="X204" s="64" t="n">
        <f aca="false">IF($K204="No Start (attainment only)",$P204,0)</f>
        <v>1</v>
      </c>
    </row>
    <row r="205" customFormat="false" ht="15" hidden="false" customHeight="false" outlineLevel="0" collapsed="false">
      <c r="A205" s="60" t="s">
        <v>779</v>
      </c>
      <c r="B205" s="61" t="str">
        <f aca="false">IF($M205=0,"",INDEX(Classes!$E$6:$E$420,$M205))</f>
        <v>Arabic A</v>
      </c>
      <c r="C205" s="62" t="str">
        <f aca="false">IF($M205=0,"",INDEX(Classes!$H$6:$H$420,$M205))</f>
        <v>Mr Ahmed AbdelmonemElsye</v>
      </c>
      <c r="D205" s="61" t="str">
        <f aca="false">IF($M205=0,"",INDEX(Classes!$B$6:$B$420,$M205))</f>
        <v>Year 10</v>
      </c>
      <c r="E205" s="61" t="str">
        <f aca="false">IF($M205=0,"",INDEX(Classes!$C$6:$C$420,$M205))</f>
        <v>ah</v>
      </c>
      <c r="F205" s="63" t="s">
        <v>107</v>
      </c>
      <c r="G205" s="63" t="s">
        <v>1018</v>
      </c>
      <c r="H205" s="60" t="s">
        <v>203</v>
      </c>
      <c r="I205" s="60" t="s">
        <v>204</v>
      </c>
      <c r="J205" s="63" t="n">
        <v>1</v>
      </c>
      <c r="K205" s="61" t="str">
        <f aca="false">IF($P205=0,"",IF($F205="Baseline","— Baseline",IF($O205=0,"No result",IF($N205=0,"No Start (attainment only)",IF(OR($N205=1,$O205=1),"U – needs rule",INDEX(MxBody,MATCH($I205,MxCurr,0),MATCH($H205,MxStart,0)))))))</f>
        <v>Better</v>
      </c>
      <c r="L205" s="62" t="str">
        <f aca="false">IF(COUNTA($A205,$F205,$G205,$H205,$I205,$J205)=0,"",IF($M205=0,"✖ كود الصف غير موجود",IF(ISNA(MATCH($F205,Lists!$A$2:$A$5,0)),"✖ الفترة غير صحيحة",IF(ISNA(MATCH($G205,Lists!$B$2:$B$7,0)),"✖ المجموعة غير صحيحة",IF(NOT(OR($H205="",$N205&gt;0)),"✖ Start غير صحيح",IF(NOT(OR($I205="",$I205="NR",$O205&gt;0)),"✖ Current غير صحيح",IF(NOT(IF(ISNUMBER($J205),AND($J205&gt;=0,$J205=INT($J205)),FALSE())),"✖ العدد يجب أن يكون صحيحًا ≥ 0",IF(AND($F205="Baseline",$H205&lt;&gt;""),"⚠ Baseline: Start لا يدخل في التقدم",IF($K205="No Start (attainment only)","ℹ تحصيل فقط (بدون Start)",IF($K205="U – needs rule","ℹ حالة U تحتاج قاعدة معتمدة",IF($K205="No result","ℹ بدون نتيجة (يُستبعد من التحصيل)","OK")))))))))))</f>
        <v>OK</v>
      </c>
      <c r="M205" s="64" t="n">
        <f aca="false">IF($A205="",0,IFERROR(MATCH($A205,Classes!$A$6:$A$420,0),0))</f>
        <v>283</v>
      </c>
      <c r="N205" s="64" t="n">
        <f aca="false">IF($H205="",0,IFERROR(MATCH($H205,GradeList,0),0))</f>
        <v>8</v>
      </c>
      <c r="O205" s="64" t="n">
        <f aca="false">IF(OR($I205="",$I205="NR"),0,IFERROR(MATCH($I205,GradeList,0),0))</f>
        <v>9</v>
      </c>
      <c r="P205" s="64" t="n">
        <f aca="false">IF(AND($M205&gt;0,ISNUMBER(MATCH($F205,Lists!$A$2:$A$5,0)),ISNUMBER(MATCH($G205,Lists!$B$2:$B$7,0)),OR($H205="",$N205&gt;0),OR($I205="",$I205="NR",$O205&gt;0),IF(ISNUMBER($J205),AND($J205&gt;=0,$J205=INT($J205)),FALSE())),$J205,0)</f>
        <v>1</v>
      </c>
      <c r="Q205" s="64" t="n">
        <f aca="false">IF(AND($P205&gt;0,$O205&gt;0),$P205,0)</f>
        <v>1</v>
      </c>
      <c r="R205" s="64" t="n">
        <f aca="false">IF(AND($Q205&gt;0,$O205&gt;=AtRank),$Q205,0)</f>
        <v>1</v>
      </c>
      <c r="S205" s="64" t="n">
        <f aca="false">IF(AND($Q205&gt;0,$O205&gt;=AboveRank),$Q205,0)</f>
        <v>1</v>
      </c>
      <c r="T205" s="64" t="n">
        <f aca="false">IF($K205="Less",$P205,0)</f>
        <v>0</v>
      </c>
      <c r="U205" s="64" t="n">
        <f aca="false">IF($K205="Expected",$P205,0)</f>
        <v>0</v>
      </c>
      <c r="V205" s="64" t="n">
        <f aca="false">IF($K205="Better",$P205,0)</f>
        <v>1</v>
      </c>
      <c r="W205" s="64" t="n">
        <f aca="false">IF($K205="U – needs rule",$P205,0)</f>
        <v>0</v>
      </c>
      <c r="X205" s="64" t="n">
        <f aca="false">IF($K205="No Start (attainment only)",$P205,0)</f>
        <v>0</v>
      </c>
    </row>
    <row r="206" customFormat="false" ht="15" hidden="false" customHeight="false" outlineLevel="0" collapsed="false">
      <c r="A206" s="60" t="s">
        <v>779</v>
      </c>
      <c r="B206" s="61" t="str">
        <f aca="false">IF($M206=0,"",INDEX(Classes!$E$6:$E$420,$M206))</f>
        <v>Arabic A</v>
      </c>
      <c r="C206" s="62" t="str">
        <f aca="false">IF($M206=0,"",INDEX(Classes!$H$6:$H$420,$M206))</f>
        <v>Mr Ahmed AbdelmonemElsye</v>
      </c>
      <c r="D206" s="61" t="str">
        <f aca="false">IF($M206=0,"",INDEX(Classes!$B$6:$B$420,$M206))</f>
        <v>Year 10</v>
      </c>
      <c r="E206" s="61" t="str">
        <f aca="false">IF($M206=0,"",INDEX(Classes!$C$6:$C$420,$M206))</f>
        <v>ah</v>
      </c>
      <c r="F206" s="63" t="s">
        <v>107</v>
      </c>
      <c r="G206" s="63" t="s">
        <v>1018</v>
      </c>
      <c r="H206" s="60" t="s">
        <v>200</v>
      </c>
      <c r="I206" s="60" t="s">
        <v>202</v>
      </c>
      <c r="J206" s="63" t="n">
        <v>1</v>
      </c>
      <c r="K206" s="61" t="str">
        <f aca="false">IF($P206=0,"",IF($F206="Baseline","— Baseline",IF($O206=0,"No result",IF($N206=0,"No Start (attainment only)",IF(OR($N206=1,$O206=1),"U – needs rule",INDEX(MxBody,MATCH($I206,MxCurr,0),MATCH($H206,MxStart,0)))))))</f>
        <v>Better</v>
      </c>
      <c r="L206" s="62" t="str">
        <f aca="false">IF(COUNTA($A206,$F206,$G206,$H206,$I206,$J206)=0,"",IF($M206=0,"✖ كود الصف غير موجود",IF(ISNA(MATCH($F206,Lists!$A$2:$A$5,0)),"✖ الفترة غير صحيحة",IF(ISNA(MATCH($G206,Lists!$B$2:$B$7,0)),"✖ المجموعة غير صحيحة",IF(NOT(OR($H206="",$N206&gt;0)),"✖ Start غير صحيح",IF(NOT(OR($I206="",$I206="NR",$O206&gt;0)),"✖ Current غير صحيح",IF(NOT(IF(ISNUMBER($J206),AND($J206&gt;=0,$J206=INT($J206)),FALSE())),"✖ العدد يجب أن يكون صحيحًا ≥ 0",IF(AND($F206="Baseline",$H206&lt;&gt;""),"⚠ Baseline: Start لا يدخل في التقدم",IF($K206="No Start (attainment only)","ℹ تحصيل فقط (بدون Start)",IF($K206="U – needs rule","ℹ حالة U تحتاج قاعدة معتمدة",IF($K206="No result","ℹ بدون نتيجة (يُستبعد من التحصيل)","OK")))))))))))</f>
        <v>OK</v>
      </c>
      <c r="M206" s="64" t="n">
        <f aca="false">IF($A206="",0,IFERROR(MATCH($A206,Classes!$A$6:$A$420,0),0))</f>
        <v>283</v>
      </c>
      <c r="N206" s="64" t="n">
        <f aca="false">IF($H206="",0,IFERROR(MATCH($H206,GradeList,0),0))</f>
        <v>5</v>
      </c>
      <c r="O206" s="64" t="n">
        <f aca="false">IF(OR($I206="",$I206="NR"),0,IFERROR(MATCH($I206,GradeList,0),0))</f>
        <v>7</v>
      </c>
      <c r="P206" s="64" t="n">
        <f aca="false">IF(AND($M206&gt;0,ISNUMBER(MATCH($F206,Lists!$A$2:$A$5,0)),ISNUMBER(MATCH($G206,Lists!$B$2:$B$7,0)),OR($H206="",$N206&gt;0),OR($I206="",$I206="NR",$O206&gt;0),IF(ISNUMBER($J206),AND($J206&gt;=0,$J206=INT($J206)),FALSE())),$J206,0)</f>
        <v>1</v>
      </c>
      <c r="Q206" s="64" t="n">
        <f aca="false">IF(AND($P206&gt;0,$O206&gt;0),$P206,0)</f>
        <v>1</v>
      </c>
      <c r="R206" s="64" t="n">
        <f aca="false">IF(AND($Q206&gt;0,$O206&gt;=AtRank),$Q206,0)</f>
        <v>1</v>
      </c>
      <c r="S206" s="64" t="n">
        <f aca="false">IF(AND($Q206&gt;0,$O206&gt;=AboveRank),$Q206,0)</f>
        <v>1</v>
      </c>
      <c r="T206" s="64" t="n">
        <f aca="false">IF($K206="Less",$P206,0)</f>
        <v>0</v>
      </c>
      <c r="U206" s="64" t="n">
        <f aca="false">IF($K206="Expected",$P206,0)</f>
        <v>0</v>
      </c>
      <c r="V206" s="64" t="n">
        <f aca="false">IF($K206="Better",$P206,0)</f>
        <v>1</v>
      </c>
      <c r="W206" s="64" t="n">
        <f aca="false">IF($K206="U – needs rule",$P206,0)</f>
        <v>0</v>
      </c>
      <c r="X206" s="64" t="n">
        <f aca="false">IF($K206="No Start (attainment only)",$P206,0)</f>
        <v>0</v>
      </c>
    </row>
    <row r="207" customFormat="false" ht="15" hidden="false" customHeight="false" outlineLevel="0" collapsed="false">
      <c r="A207" s="60" t="s">
        <v>779</v>
      </c>
      <c r="B207" s="61" t="str">
        <f aca="false">IF($M207=0,"",INDEX(Classes!$E$6:$E$420,$M207))</f>
        <v>Arabic A</v>
      </c>
      <c r="C207" s="62" t="str">
        <f aca="false">IF($M207=0,"",INDEX(Classes!$H$6:$H$420,$M207))</f>
        <v>Mr Ahmed AbdelmonemElsye</v>
      </c>
      <c r="D207" s="61" t="str">
        <f aca="false">IF($M207=0,"",INDEX(Classes!$B$6:$B$420,$M207))</f>
        <v>Year 10</v>
      </c>
      <c r="E207" s="61" t="str">
        <f aca="false">IF($M207=0,"",INDEX(Classes!$C$6:$C$420,$M207))</f>
        <v>ah</v>
      </c>
      <c r="F207" s="63" t="s">
        <v>107</v>
      </c>
      <c r="G207" s="63" t="s">
        <v>1018</v>
      </c>
      <c r="H207" s="60" t="s">
        <v>200</v>
      </c>
      <c r="I207" s="60" t="s">
        <v>201</v>
      </c>
      <c r="J207" s="63" t="n">
        <v>1</v>
      </c>
      <c r="K207" s="61" t="str">
        <f aca="false">IF($P207=0,"",IF($F207="Baseline","— Baseline",IF($O207=0,"No result",IF($N207=0,"No Start (attainment only)",IF(OR($N207=1,$O207=1),"U – needs rule",INDEX(MxBody,MATCH($I207,MxCurr,0),MATCH($H207,MxStart,0)))))))</f>
        <v>Better</v>
      </c>
      <c r="L207" s="62" t="str">
        <f aca="false">IF(COUNTA($A207,$F207,$G207,$H207,$I207,$J207)=0,"",IF($M207=0,"✖ كود الصف غير موجود",IF(ISNA(MATCH($F207,Lists!$A$2:$A$5,0)),"✖ الفترة غير صحيحة",IF(ISNA(MATCH($G207,Lists!$B$2:$B$7,0)),"✖ المجموعة غير صحيحة",IF(NOT(OR($H207="",$N207&gt;0)),"✖ Start غير صحيح",IF(NOT(OR($I207="",$I207="NR",$O207&gt;0)),"✖ Current غير صحيح",IF(NOT(IF(ISNUMBER($J207),AND($J207&gt;=0,$J207=INT($J207)),FALSE())),"✖ العدد يجب أن يكون صحيحًا ≥ 0",IF(AND($F207="Baseline",$H207&lt;&gt;""),"⚠ Baseline: Start لا يدخل في التقدم",IF($K207="No Start (attainment only)","ℹ تحصيل فقط (بدون Start)",IF($K207="U – needs rule","ℹ حالة U تحتاج قاعدة معتمدة",IF($K207="No result","ℹ بدون نتيجة (يُستبعد من التحصيل)","OK")))))))))))</f>
        <v>OK</v>
      </c>
      <c r="M207" s="64" t="n">
        <f aca="false">IF($A207="",0,IFERROR(MATCH($A207,Classes!$A$6:$A$420,0),0))</f>
        <v>283</v>
      </c>
      <c r="N207" s="64" t="n">
        <f aca="false">IF($H207="",0,IFERROR(MATCH($H207,GradeList,0),0))</f>
        <v>5</v>
      </c>
      <c r="O207" s="64" t="n">
        <f aca="false">IF(OR($I207="",$I207="NR"),0,IFERROR(MATCH($I207,GradeList,0),0))</f>
        <v>6</v>
      </c>
      <c r="P207" s="64" t="n">
        <f aca="false">IF(AND($M207&gt;0,ISNUMBER(MATCH($F207,Lists!$A$2:$A$5,0)),ISNUMBER(MATCH($G207,Lists!$B$2:$B$7,0)),OR($H207="",$N207&gt;0),OR($I207="",$I207="NR",$O207&gt;0),IF(ISNUMBER($J207),AND($J207&gt;=0,$J207=INT($J207)),FALSE())),$J207,0)</f>
        <v>1</v>
      </c>
      <c r="Q207" s="64" t="n">
        <f aca="false">IF(AND($P207&gt;0,$O207&gt;0),$P207,0)</f>
        <v>1</v>
      </c>
      <c r="R207" s="64" t="n">
        <f aca="false">IF(AND($Q207&gt;0,$O207&gt;=AtRank),$Q207,0)</f>
        <v>1</v>
      </c>
      <c r="S207" s="64" t="n">
        <f aca="false">IF(AND($Q207&gt;0,$O207&gt;=AboveRank),$Q207,0)</f>
        <v>0</v>
      </c>
      <c r="T207" s="64" t="n">
        <f aca="false">IF($K207="Less",$P207,0)</f>
        <v>0</v>
      </c>
      <c r="U207" s="64" t="n">
        <f aca="false">IF($K207="Expected",$P207,0)</f>
        <v>0</v>
      </c>
      <c r="V207" s="64" t="n">
        <f aca="false">IF($K207="Better",$P207,0)</f>
        <v>1</v>
      </c>
      <c r="W207" s="64" t="n">
        <f aca="false">IF($K207="U – needs rule",$P207,0)</f>
        <v>0</v>
      </c>
      <c r="X207" s="64" t="n">
        <f aca="false">IF($K207="No Start (attainment only)",$P207,0)</f>
        <v>0</v>
      </c>
    </row>
    <row r="208" customFormat="false" ht="15" hidden="false" customHeight="false" outlineLevel="0" collapsed="false">
      <c r="A208" s="60" t="s">
        <v>779</v>
      </c>
      <c r="B208" s="61" t="str">
        <f aca="false">IF($M208=0,"",INDEX(Classes!$E$6:$E$420,$M208))</f>
        <v>Arabic A</v>
      </c>
      <c r="C208" s="62" t="str">
        <f aca="false">IF($M208=0,"",INDEX(Classes!$H$6:$H$420,$M208))</f>
        <v>Mr Ahmed AbdelmonemElsye</v>
      </c>
      <c r="D208" s="61" t="str">
        <f aca="false">IF($M208=0,"",INDEX(Classes!$B$6:$B$420,$M208))</f>
        <v>Year 10</v>
      </c>
      <c r="E208" s="61" t="str">
        <f aca="false">IF($M208=0,"",INDEX(Classes!$C$6:$C$420,$M208))</f>
        <v>ah</v>
      </c>
      <c r="F208" s="63" t="s">
        <v>107</v>
      </c>
      <c r="G208" s="63" t="s">
        <v>1018</v>
      </c>
      <c r="H208" s="60" t="s">
        <v>201</v>
      </c>
      <c r="I208" s="60" t="s">
        <v>200</v>
      </c>
      <c r="J208" s="63" t="n">
        <v>1</v>
      </c>
      <c r="K208" s="61" t="str">
        <f aca="false">IF($P208=0,"",IF($F208="Baseline","— Baseline",IF($O208=0,"No result",IF($N208=0,"No Start (attainment only)",IF(OR($N208=1,$O208=1),"U – needs rule",INDEX(MxBody,MATCH($I208,MxCurr,0),MATCH($H208,MxStart,0)))))))</f>
        <v>Expected</v>
      </c>
      <c r="L208" s="62" t="str">
        <f aca="false">IF(COUNTA($A208,$F208,$G208,$H208,$I208,$J208)=0,"",IF($M208=0,"✖ كود الصف غير موجود",IF(ISNA(MATCH($F208,Lists!$A$2:$A$5,0)),"✖ الفترة غير صحيحة",IF(ISNA(MATCH($G208,Lists!$B$2:$B$7,0)),"✖ المجموعة غير صحيحة",IF(NOT(OR($H208="",$N208&gt;0)),"✖ Start غير صحيح",IF(NOT(OR($I208="",$I208="NR",$O208&gt;0)),"✖ Current غير صحيح",IF(NOT(IF(ISNUMBER($J208),AND($J208&gt;=0,$J208=INT($J208)),FALSE())),"✖ العدد يجب أن يكون صحيحًا ≥ 0",IF(AND($F208="Baseline",$H208&lt;&gt;""),"⚠ Baseline: Start لا يدخل في التقدم",IF($K208="No Start (attainment only)","ℹ تحصيل فقط (بدون Start)",IF($K208="U – needs rule","ℹ حالة U تحتاج قاعدة معتمدة",IF($K208="No result","ℹ بدون نتيجة (يُستبعد من التحصيل)","OK")))))))))))</f>
        <v>OK</v>
      </c>
      <c r="M208" s="64" t="n">
        <f aca="false">IF($A208="",0,IFERROR(MATCH($A208,Classes!$A$6:$A$420,0),0))</f>
        <v>283</v>
      </c>
      <c r="N208" s="64" t="n">
        <f aca="false">IF($H208="",0,IFERROR(MATCH($H208,GradeList,0),0))</f>
        <v>6</v>
      </c>
      <c r="O208" s="64" t="n">
        <f aca="false">IF(OR($I208="",$I208="NR"),0,IFERROR(MATCH($I208,GradeList,0),0))</f>
        <v>5</v>
      </c>
      <c r="P208" s="64" t="n">
        <f aca="false">IF(AND($M208&gt;0,ISNUMBER(MATCH($F208,Lists!$A$2:$A$5,0)),ISNUMBER(MATCH($G208,Lists!$B$2:$B$7,0)),OR($H208="",$N208&gt;0),OR($I208="",$I208="NR",$O208&gt;0),IF(ISNUMBER($J208),AND($J208&gt;=0,$J208=INT($J208)),FALSE())),$J208,0)</f>
        <v>1</v>
      </c>
      <c r="Q208" s="64" t="n">
        <f aca="false">IF(AND($P208&gt;0,$O208&gt;0),$P208,0)</f>
        <v>1</v>
      </c>
      <c r="R208" s="64" t="n">
        <f aca="false">IF(AND($Q208&gt;0,$O208&gt;=AtRank),$Q208,0)</f>
        <v>1</v>
      </c>
      <c r="S208" s="64" t="n">
        <f aca="false">IF(AND($Q208&gt;0,$O208&gt;=AboveRank),$Q208,0)</f>
        <v>0</v>
      </c>
      <c r="T208" s="64" t="n">
        <f aca="false">IF($K208="Less",$P208,0)</f>
        <v>0</v>
      </c>
      <c r="U208" s="64" t="n">
        <f aca="false">IF($K208="Expected",$P208,0)</f>
        <v>1</v>
      </c>
      <c r="V208" s="64" t="n">
        <f aca="false">IF($K208="Better",$P208,0)</f>
        <v>0</v>
      </c>
      <c r="W208" s="64" t="n">
        <f aca="false">IF($K208="U – needs rule",$P208,0)</f>
        <v>0</v>
      </c>
      <c r="X208" s="64" t="n">
        <f aca="false">IF($K208="No Start (attainment only)",$P208,0)</f>
        <v>0</v>
      </c>
    </row>
    <row r="209" customFormat="false" ht="15" hidden="false" customHeight="false" outlineLevel="0" collapsed="false">
      <c r="A209" s="60" t="s">
        <v>779</v>
      </c>
      <c r="B209" s="61" t="str">
        <f aca="false">IF($M209=0,"",INDEX(Classes!$E$6:$E$420,$M209))</f>
        <v>Arabic A</v>
      </c>
      <c r="C209" s="62" t="str">
        <f aca="false">IF($M209=0,"",INDEX(Classes!$H$6:$H$420,$M209))</f>
        <v>Mr Ahmed AbdelmonemElsye</v>
      </c>
      <c r="D209" s="61" t="str">
        <f aca="false">IF($M209=0,"",INDEX(Classes!$B$6:$B$420,$M209))</f>
        <v>Year 10</v>
      </c>
      <c r="E209" s="61" t="str">
        <f aca="false">IF($M209=0,"",INDEX(Classes!$C$6:$C$420,$M209))</f>
        <v>ah</v>
      </c>
      <c r="F209" s="63" t="s">
        <v>107</v>
      </c>
      <c r="G209" s="63" t="s">
        <v>1018</v>
      </c>
      <c r="H209" s="60" t="s">
        <v>204</v>
      </c>
      <c r="I209" s="60" t="s">
        <v>205</v>
      </c>
      <c r="J209" s="63" t="n">
        <v>1</v>
      </c>
      <c r="K209" s="61" t="str">
        <f aca="false">IF($P209=0,"",IF($F209="Baseline","— Baseline",IF($O209=0,"No result",IF($N209=0,"No Start (attainment only)",IF(OR($N209=1,$O209=1),"U – needs rule",INDEX(MxBody,MATCH($I209,MxCurr,0),MATCH($H209,MxStart,0)))))))</f>
        <v>Better</v>
      </c>
      <c r="L209" s="62" t="str">
        <f aca="false">IF(COUNTA($A209,$F209,$G209,$H209,$I209,$J209)=0,"",IF($M209=0,"✖ كود الصف غير موجود",IF(ISNA(MATCH($F209,Lists!$A$2:$A$5,0)),"✖ الفترة غير صحيحة",IF(ISNA(MATCH($G209,Lists!$B$2:$B$7,0)),"✖ المجموعة غير صحيحة",IF(NOT(OR($H209="",$N209&gt;0)),"✖ Start غير صحيح",IF(NOT(OR($I209="",$I209="NR",$O209&gt;0)),"✖ Current غير صحيح",IF(NOT(IF(ISNUMBER($J209),AND($J209&gt;=0,$J209=INT($J209)),FALSE())),"✖ العدد يجب أن يكون صحيحًا ≥ 0",IF(AND($F209="Baseline",$H209&lt;&gt;""),"⚠ Baseline: Start لا يدخل في التقدم",IF($K209="No Start (attainment only)","ℹ تحصيل فقط (بدون Start)",IF($K209="U – needs rule","ℹ حالة U تحتاج قاعدة معتمدة",IF($K209="No result","ℹ بدون نتيجة (يُستبعد من التحصيل)","OK")))))))))))</f>
        <v>OK</v>
      </c>
      <c r="M209" s="64" t="n">
        <f aca="false">IF($A209="",0,IFERROR(MATCH($A209,Classes!$A$6:$A$420,0),0))</f>
        <v>283</v>
      </c>
      <c r="N209" s="64" t="n">
        <f aca="false">IF($H209="",0,IFERROR(MATCH($H209,GradeList,0),0))</f>
        <v>9</v>
      </c>
      <c r="O209" s="64" t="n">
        <f aca="false">IF(OR($I209="",$I209="NR"),0,IFERROR(MATCH($I209,GradeList,0),0))</f>
        <v>10</v>
      </c>
      <c r="P209" s="64" t="n">
        <f aca="false">IF(AND($M209&gt;0,ISNUMBER(MATCH($F209,Lists!$A$2:$A$5,0)),ISNUMBER(MATCH($G209,Lists!$B$2:$B$7,0)),OR($H209="",$N209&gt;0),OR($I209="",$I209="NR",$O209&gt;0),IF(ISNUMBER($J209),AND($J209&gt;=0,$J209=INT($J209)),FALSE())),$J209,0)</f>
        <v>1</v>
      </c>
      <c r="Q209" s="64" t="n">
        <f aca="false">IF(AND($P209&gt;0,$O209&gt;0),$P209,0)</f>
        <v>1</v>
      </c>
      <c r="R209" s="64" t="n">
        <f aca="false">IF(AND($Q209&gt;0,$O209&gt;=AtRank),$Q209,0)</f>
        <v>1</v>
      </c>
      <c r="S209" s="64" t="n">
        <f aca="false">IF(AND($Q209&gt;0,$O209&gt;=AboveRank),$Q209,0)</f>
        <v>1</v>
      </c>
      <c r="T209" s="64" t="n">
        <f aca="false">IF($K209="Less",$P209,0)</f>
        <v>0</v>
      </c>
      <c r="U209" s="64" t="n">
        <f aca="false">IF($K209="Expected",$P209,0)</f>
        <v>0</v>
      </c>
      <c r="V209" s="64" t="n">
        <f aca="false">IF($K209="Better",$P209,0)</f>
        <v>1</v>
      </c>
      <c r="W209" s="64" t="n">
        <f aca="false">IF($K209="U – needs rule",$P209,0)</f>
        <v>0</v>
      </c>
      <c r="X209" s="64" t="n">
        <f aca="false">IF($K209="No Start (attainment only)",$P209,0)</f>
        <v>0</v>
      </c>
    </row>
    <row r="210" customFormat="false" ht="15" hidden="false" customHeight="false" outlineLevel="0" collapsed="false">
      <c r="A210" s="60" t="s">
        <v>779</v>
      </c>
      <c r="B210" s="61" t="str">
        <f aca="false">IF($M210=0,"",INDEX(Classes!$E$6:$E$420,$M210))</f>
        <v>Arabic A</v>
      </c>
      <c r="C210" s="62" t="str">
        <f aca="false">IF($M210=0,"",INDEX(Classes!$H$6:$H$420,$M210))</f>
        <v>Mr Ahmed AbdelmonemElsye</v>
      </c>
      <c r="D210" s="61" t="str">
        <f aca="false">IF($M210=0,"",INDEX(Classes!$B$6:$B$420,$M210))</f>
        <v>Year 10</v>
      </c>
      <c r="E210" s="61" t="str">
        <f aca="false">IF($M210=0,"",INDEX(Classes!$C$6:$C$420,$M210))</f>
        <v>ah</v>
      </c>
      <c r="F210" s="63" t="s">
        <v>107</v>
      </c>
      <c r="G210" s="63" t="s">
        <v>1018</v>
      </c>
      <c r="H210" s="60" t="s">
        <v>199</v>
      </c>
      <c r="I210" s="60" t="s">
        <v>198</v>
      </c>
      <c r="J210" s="63" t="n">
        <v>1</v>
      </c>
      <c r="K210" s="61" t="str">
        <f aca="false">IF($P210=0,"",IF($F210="Baseline","— Baseline",IF($O210=0,"No result",IF($N210=0,"No Start (attainment only)",IF(OR($N210=1,$O210=1),"U – needs rule",INDEX(MxBody,MATCH($I210,MxCurr,0),MATCH($H210,MxStart,0)))))))</f>
        <v>Less</v>
      </c>
      <c r="L210" s="62" t="str">
        <f aca="false">IF(COUNTA($A210,$F210,$G210,$H210,$I210,$J210)=0,"",IF($M210=0,"✖ كود الصف غير موجود",IF(ISNA(MATCH($F210,Lists!$A$2:$A$5,0)),"✖ الفترة غير صحيحة",IF(ISNA(MATCH($G210,Lists!$B$2:$B$7,0)),"✖ المجموعة غير صحيحة",IF(NOT(OR($H210="",$N210&gt;0)),"✖ Start غير صحيح",IF(NOT(OR($I210="",$I210="NR",$O210&gt;0)),"✖ Current غير صحيح",IF(NOT(IF(ISNUMBER($J210),AND($J210&gt;=0,$J210=INT($J210)),FALSE())),"✖ العدد يجب أن يكون صحيحًا ≥ 0",IF(AND($F210="Baseline",$H210&lt;&gt;""),"⚠ Baseline: Start لا يدخل في التقدم",IF($K210="No Start (attainment only)","ℹ تحصيل فقط (بدون Start)",IF($K210="U – needs rule","ℹ حالة U تحتاج قاعدة معتمدة",IF($K210="No result","ℹ بدون نتيجة (يُستبعد من التحصيل)","OK")))))))))))</f>
        <v>OK</v>
      </c>
      <c r="M210" s="64" t="n">
        <f aca="false">IF($A210="",0,IFERROR(MATCH($A210,Classes!$A$6:$A$420,0),0))</f>
        <v>283</v>
      </c>
      <c r="N210" s="64" t="n">
        <f aca="false">IF($H210="",0,IFERROR(MATCH($H210,GradeList,0),0))</f>
        <v>4</v>
      </c>
      <c r="O210" s="64" t="n">
        <f aca="false">IF(OR($I210="",$I210="NR"),0,IFERROR(MATCH($I210,GradeList,0),0))</f>
        <v>3</v>
      </c>
      <c r="P210" s="64" t="n">
        <f aca="false">IF(AND($M210&gt;0,ISNUMBER(MATCH($F210,Lists!$A$2:$A$5,0)),ISNUMBER(MATCH($G210,Lists!$B$2:$B$7,0)),OR($H210="",$N210&gt;0),OR($I210="",$I210="NR",$O210&gt;0),IF(ISNUMBER($J210),AND($J210&gt;=0,$J210=INT($J210)),FALSE())),$J210,0)</f>
        <v>1</v>
      </c>
      <c r="Q210" s="64" t="n">
        <f aca="false">IF(AND($P210&gt;0,$O210&gt;0),$P210,0)</f>
        <v>1</v>
      </c>
      <c r="R210" s="64" t="n">
        <f aca="false">IF(AND($Q210&gt;0,$O210&gt;=AtRank),$Q210,0)</f>
        <v>0</v>
      </c>
      <c r="S210" s="64" t="n">
        <f aca="false">IF(AND($Q210&gt;0,$O210&gt;=AboveRank),$Q210,0)</f>
        <v>0</v>
      </c>
      <c r="T210" s="64" t="n">
        <f aca="false">IF($K210="Less",$P210,0)</f>
        <v>1</v>
      </c>
      <c r="U210" s="64" t="n">
        <f aca="false">IF($K210="Expected",$P210,0)</f>
        <v>0</v>
      </c>
      <c r="V210" s="64" t="n">
        <f aca="false">IF($K210="Better",$P210,0)</f>
        <v>0</v>
      </c>
      <c r="W210" s="64" t="n">
        <f aca="false">IF($K210="U – needs rule",$P210,0)</f>
        <v>0</v>
      </c>
      <c r="X210" s="64" t="n">
        <f aca="false">IF($K210="No Start (attainment only)",$P210,0)</f>
        <v>0</v>
      </c>
    </row>
    <row r="211" customFormat="false" ht="15" hidden="false" customHeight="false" outlineLevel="0" collapsed="false">
      <c r="A211" s="60" t="s">
        <v>779</v>
      </c>
      <c r="B211" s="61" t="str">
        <f aca="false">IF($M211=0,"",INDEX(Classes!$E$6:$E$420,$M211))</f>
        <v>Arabic A</v>
      </c>
      <c r="C211" s="62" t="str">
        <f aca="false">IF($M211=0,"",INDEX(Classes!$H$6:$H$420,$M211))</f>
        <v>Mr Ahmed AbdelmonemElsye</v>
      </c>
      <c r="D211" s="61" t="str">
        <f aca="false">IF($M211=0,"",INDEX(Classes!$B$6:$B$420,$M211))</f>
        <v>Year 10</v>
      </c>
      <c r="E211" s="61" t="str">
        <f aca="false">IF($M211=0,"",INDEX(Classes!$C$6:$C$420,$M211))</f>
        <v>ah</v>
      </c>
      <c r="F211" s="63" t="s">
        <v>163</v>
      </c>
      <c r="G211" s="63" t="s">
        <v>108</v>
      </c>
      <c r="H211" s="60" t="s">
        <v>202</v>
      </c>
      <c r="I211" s="60" t="s">
        <v>201</v>
      </c>
      <c r="J211" s="63" t="n">
        <v>1</v>
      </c>
      <c r="K211" s="61" t="str">
        <f aca="false">IF($P211=0,"",IF($F211="Baseline","— Baseline",IF($O211=0,"No result",IF($N211=0,"No Start (attainment only)",IF(OR($N211=1,$O211=1),"U – needs rule",INDEX(MxBody,MATCH($I211,MxCurr,0),MATCH($H211,MxStart,0)))))))</f>
        <v>Expected</v>
      </c>
      <c r="L211" s="62" t="str">
        <f aca="false">IF(COUNTA($A211,$F211,$G211,$H211,$I211,$J211)=0,"",IF($M211=0,"✖ كود الصف غير موجود",IF(ISNA(MATCH($F211,Lists!$A$2:$A$5,0)),"✖ الفترة غير صحيحة",IF(ISNA(MATCH($G211,Lists!$B$2:$B$7,0)),"✖ المجموعة غير صحيحة",IF(NOT(OR($H211="",$N211&gt;0)),"✖ Start غير صحيح",IF(NOT(OR($I211="",$I211="NR",$O211&gt;0)),"✖ Current غير صحيح",IF(NOT(IF(ISNUMBER($J211),AND($J211&gt;=0,$J211=INT($J211)),FALSE())),"✖ العدد يجب أن يكون صحيحًا ≥ 0",IF(AND($F211="Baseline",$H211&lt;&gt;""),"⚠ Baseline: Start لا يدخل في التقدم",IF($K211="No Start (attainment only)","ℹ تحصيل فقط (بدون Start)",IF($K211="U – needs rule","ℹ حالة U تحتاج قاعدة معتمدة",IF($K211="No result","ℹ بدون نتيجة (يُستبعد من التحصيل)","OK")))))))))))</f>
        <v>OK</v>
      </c>
      <c r="M211" s="64" t="n">
        <f aca="false">IF($A211="",0,IFERROR(MATCH($A211,Classes!$A$6:$A$420,0),0))</f>
        <v>283</v>
      </c>
      <c r="N211" s="64" t="n">
        <f aca="false">IF($H211="",0,IFERROR(MATCH($H211,GradeList,0),0))</f>
        <v>7</v>
      </c>
      <c r="O211" s="64" t="n">
        <f aca="false">IF(OR($I211="",$I211="NR"),0,IFERROR(MATCH($I211,GradeList,0),0))</f>
        <v>6</v>
      </c>
      <c r="P211" s="64" t="n">
        <f aca="false">IF(AND($M211&gt;0,ISNUMBER(MATCH($F211,Lists!$A$2:$A$5,0)),ISNUMBER(MATCH($G211,Lists!$B$2:$B$7,0)),OR($H211="",$N211&gt;0),OR($I211="",$I211="NR",$O211&gt;0),IF(ISNUMBER($J211),AND($J211&gt;=0,$J211=INT($J211)),FALSE())),$J211,0)</f>
        <v>1</v>
      </c>
      <c r="Q211" s="64" t="n">
        <f aca="false">IF(AND($P211&gt;0,$O211&gt;0),$P211,0)</f>
        <v>1</v>
      </c>
      <c r="R211" s="64" t="n">
        <f aca="false">IF(AND($Q211&gt;0,$O211&gt;=AtRank),$Q211,0)</f>
        <v>1</v>
      </c>
      <c r="S211" s="64" t="n">
        <f aca="false">IF(AND($Q211&gt;0,$O211&gt;=AboveRank),$Q211,0)</f>
        <v>0</v>
      </c>
      <c r="T211" s="64" t="n">
        <f aca="false">IF($K211="Less",$P211,0)</f>
        <v>0</v>
      </c>
      <c r="U211" s="64" t="n">
        <f aca="false">IF($K211="Expected",$P211,0)</f>
        <v>1</v>
      </c>
      <c r="V211" s="64" t="n">
        <f aca="false">IF($K211="Better",$P211,0)</f>
        <v>0</v>
      </c>
      <c r="W211" s="64" t="n">
        <f aca="false">IF($K211="U – needs rule",$P211,0)</f>
        <v>0</v>
      </c>
      <c r="X211" s="64" t="n">
        <f aca="false">IF($K211="No Start (attainment only)",$P211,0)</f>
        <v>0</v>
      </c>
    </row>
    <row r="212" customFormat="false" ht="15" hidden="false" customHeight="false" outlineLevel="0" collapsed="false">
      <c r="A212" s="60" t="s">
        <v>779</v>
      </c>
      <c r="B212" s="61" t="str">
        <f aca="false">IF($M212=0,"",INDEX(Classes!$E$6:$E$420,$M212))</f>
        <v>Arabic A</v>
      </c>
      <c r="C212" s="62" t="str">
        <f aca="false">IF($M212=0,"",INDEX(Classes!$H$6:$H$420,$M212))</f>
        <v>Mr Ahmed AbdelmonemElsye</v>
      </c>
      <c r="D212" s="61" t="str">
        <f aca="false">IF($M212=0,"",INDEX(Classes!$B$6:$B$420,$M212))</f>
        <v>Year 10</v>
      </c>
      <c r="E212" s="61" t="str">
        <f aca="false">IF($M212=0,"",INDEX(Classes!$C$6:$C$420,$M212))</f>
        <v>ah</v>
      </c>
      <c r="F212" s="63" t="s">
        <v>163</v>
      </c>
      <c r="G212" s="63" t="s">
        <v>108</v>
      </c>
      <c r="H212" s="60" t="s">
        <v>203</v>
      </c>
      <c r="I212" s="60" t="s">
        <v>204</v>
      </c>
      <c r="J212" s="63" t="n">
        <v>3</v>
      </c>
      <c r="K212" s="61" t="str">
        <f aca="false">IF($P212=0,"",IF($F212="Baseline","— Baseline",IF($O212=0,"No result",IF($N212=0,"No Start (attainment only)",IF(OR($N212=1,$O212=1),"U – needs rule",INDEX(MxBody,MATCH($I212,MxCurr,0),MATCH($H212,MxStart,0)))))))</f>
        <v>Better</v>
      </c>
      <c r="L212" s="62" t="str">
        <f aca="false">IF(COUNTA($A212,$F212,$G212,$H212,$I212,$J212)=0,"",IF($M212=0,"✖ كود الصف غير موجود",IF(ISNA(MATCH($F212,Lists!$A$2:$A$5,0)),"✖ الفترة غير صحيحة",IF(ISNA(MATCH($G212,Lists!$B$2:$B$7,0)),"✖ المجموعة غير صحيحة",IF(NOT(OR($H212="",$N212&gt;0)),"✖ Start غير صحيح",IF(NOT(OR($I212="",$I212="NR",$O212&gt;0)),"✖ Current غير صحيح",IF(NOT(IF(ISNUMBER($J212),AND($J212&gt;=0,$J212=INT($J212)),FALSE())),"✖ العدد يجب أن يكون صحيحًا ≥ 0",IF(AND($F212="Baseline",$H212&lt;&gt;""),"⚠ Baseline: Start لا يدخل في التقدم",IF($K212="No Start (attainment only)","ℹ تحصيل فقط (بدون Start)",IF($K212="U – needs rule","ℹ حالة U تحتاج قاعدة معتمدة",IF($K212="No result","ℹ بدون نتيجة (يُستبعد من التحصيل)","OK")))))))))))</f>
        <v>OK</v>
      </c>
      <c r="M212" s="64" t="n">
        <f aca="false">IF($A212="",0,IFERROR(MATCH($A212,Classes!$A$6:$A$420,0),0))</f>
        <v>283</v>
      </c>
      <c r="N212" s="64" t="n">
        <f aca="false">IF($H212="",0,IFERROR(MATCH($H212,GradeList,0),0))</f>
        <v>8</v>
      </c>
      <c r="O212" s="64" t="n">
        <f aca="false">IF(OR($I212="",$I212="NR"),0,IFERROR(MATCH($I212,GradeList,0),0))</f>
        <v>9</v>
      </c>
      <c r="P212" s="64" t="n">
        <f aca="false">IF(AND($M212&gt;0,ISNUMBER(MATCH($F212,Lists!$A$2:$A$5,0)),ISNUMBER(MATCH($G212,Lists!$B$2:$B$7,0)),OR($H212="",$N212&gt;0),OR($I212="",$I212="NR",$O212&gt;0),IF(ISNUMBER($J212),AND($J212&gt;=0,$J212=INT($J212)),FALSE())),$J212,0)</f>
        <v>3</v>
      </c>
      <c r="Q212" s="64" t="n">
        <f aca="false">IF(AND($P212&gt;0,$O212&gt;0),$P212,0)</f>
        <v>3</v>
      </c>
      <c r="R212" s="64" t="n">
        <f aca="false">IF(AND($Q212&gt;0,$O212&gt;=AtRank),$Q212,0)</f>
        <v>3</v>
      </c>
      <c r="S212" s="64" t="n">
        <f aca="false">IF(AND($Q212&gt;0,$O212&gt;=AboveRank),$Q212,0)</f>
        <v>3</v>
      </c>
      <c r="T212" s="64" t="n">
        <f aca="false">IF($K212="Less",$P212,0)</f>
        <v>0</v>
      </c>
      <c r="U212" s="64" t="n">
        <f aca="false">IF($K212="Expected",$P212,0)</f>
        <v>0</v>
      </c>
      <c r="V212" s="64" t="n">
        <f aca="false">IF($K212="Better",$P212,0)</f>
        <v>3</v>
      </c>
      <c r="W212" s="64" t="n">
        <f aca="false">IF($K212="U – needs rule",$P212,0)</f>
        <v>0</v>
      </c>
      <c r="X212" s="64" t="n">
        <f aca="false">IF($K212="No Start (attainment only)",$P212,0)</f>
        <v>0</v>
      </c>
    </row>
    <row r="213" customFormat="false" ht="15" hidden="false" customHeight="false" outlineLevel="0" collapsed="false">
      <c r="A213" s="60" t="s">
        <v>779</v>
      </c>
      <c r="B213" s="61" t="str">
        <f aca="false">IF($M213=0,"",INDEX(Classes!$E$6:$E$420,$M213))</f>
        <v>Arabic A</v>
      </c>
      <c r="C213" s="62" t="str">
        <f aca="false">IF($M213=0,"",INDEX(Classes!$H$6:$H$420,$M213))</f>
        <v>Mr Ahmed AbdelmonemElsye</v>
      </c>
      <c r="D213" s="61" t="str">
        <f aca="false">IF($M213=0,"",INDEX(Classes!$B$6:$B$420,$M213))</f>
        <v>Year 10</v>
      </c>
      <c r="E213" s="61" t="str">
        <f aca="false">IF($M213=0,"",INDEX(Classes!$C$6:$C$420,$M213))</f>
        <v>ah</v>
      </c>
      <c r="F213" s="63" t="s">
        <v>163</v>
      </c>
      <c r="G213" s="63" t="s">
        <v>108</v>
      </c>
      <c r="H213" s="60" t="s">
        <v>203</v>
      </c>
      <c r="I213" s="60" t="s">
        <v>205</v>
      </c>
      <c r="J213" s="63" t="n">
        <v>1</v>
      </c>
      <c r="K213" s="61" t="str">
        <f aca="false">IF($P213=0,"",IF($F213="Baseline","— Baseline",IF($O213=0,"No result",IF($N213=0,"No Start (attainment only)",IF(OR($N213=1,$O213=1),"U – needs rule",INDEX(MxBody,MATCH($I213,MxCurr,0),MATCH($H213,MxStart,0)))))))</f>
        <v>Better</v>
      </c>
      <c r="L213" s="62" t="str">
        <f aca="false">IF(COUNTA($A213,$F213,$G213,$H213,$I213,$J213)=0,"",IF($M213=0,"✖ كود الصف غير موجود",IF(ISNA(MATCH($F213,Lists!$A$2:$A$5,0)),"✖ الفترة غير صحيحة",IF(ISNA(MATCH($G213,Lists!$B$2:$B$7,0)),"✖ المجموعة غير صحيحة",IF(NOT(OR($H213="",$N213&gt;0)),"✖ Start غير صحيح",IF(NOT(OR($I213="",$I213="NR",$O213&gt;0)),"✖ Current غير صحيح",IF(NOT(IF(ISNUMBER($J213),AND($J213&gt;=0,$J213=INT($J213)),FALSE())),"✖ العدد يجب أن يكون صحيحًا ≥ 0",IF(AND($F213="Baseline",$H213&lt;&gt;""),"⚠ Baseline: Start لا يدخل في التقدم",IF($K213="No Start (attainment only)","ℹ تحصيل فقط (بدون Start)",IF($K213="U – needs rule","ℹ حالة U تحتاج قاعدة معتمدة",IF($K213="No result","ℹ بدون نتيجة (يُستبعد من التحصيل)","OK")))))))))))</f>
        <v>OK</v>
      </c>
      <c r="M213" s="64" t="n">
        <f aca="false">IF($A213="",0,IFERROR(MATCH($A213,Classes!$A$6:$A$420,0),0))</f>
        <v>283</v>
      </c>
      <c r="N213" s="64" t="n">
        <f aca="false">IF($H213="",0,IFERROR(MATCH($H213,GradeList,0),0))</f>
        <v>8</v>
      </c>
      <c r="O213" s="64" t="n">
        <f aca="false">IF(OR($I213="",$I213="NR"),0,IFERROR(MATCH($I213,GradeList,0),0))</f>
        <v>10</v>
      </c>
      <c r="P213" s="64" t="n">
        <f aca="false">IF(AND($M213&gt;0,ISNUMBER(MATCH($F213,Lists!$A$2:$A$5,0)),ISNUMBER(MATCH($G213,Lists!$B$2:$B$7,0)),OR($H213="",$N213&gt;0),OR($I213="",$I213="NR",$O213&gt;0),IF(ISNUMBER($J213),AND($J213&gt;=0,$J213=INT($J213)),FALSE())),$J213,0)</f>
        <v>1</v>
      </c>
      <c r="Q213" s="64" t="n">
        <f aca="false">IF(AND($P213&gt;0,$O213&gt;0),$P213,0)</f>
        <v>1</v>
      </c>
      <c r="R213" s="64" t="n">
        <f aca="false">IF(AND($Q213&gt;0,$O213&gt;=AtRank),$Q213,0)</f>
        <v>1</v>
      </c>
      <c r="S213" s="64" t="n">
        <f aca="false">IF(AND($Q213&gt;0,$O213&gt;=AboveRank),$Q213,0)</f>
        <v>1</v>
      </c>
      <c r="T213" s="64" t="n">
        <f aca="false">IF($K213="Less",$P213,0)</f>
        <v>0</v>
      </c>
      <c r="U213" s="64" t="n">
        <f aca="false">IF($K213="Expected",$P213,0)</f>
        <v>0</v>
      </c>
      <c r="V213" s="64" t="n">
        <f aca="false">IF($K213="Better",$P213,0)</f>
        <v>1</v>
      </c>
      <c r="W213" s="64" t="n">
        <f aca="false">IF($K213="U – needs rule",$P213,0)</f>
        <v>0</v>
      </c>
      <c r="X213" s="64" t="n">
        <f aca="false">IF($K213="No Start (attainment only)",$P213,0)</f>
        <v>0</v>
      </c>
    </row>
    <row r="214" customFormat="false" ht="15" hidden="false" customHeight="false" outlineLevel="0" collapsed="false">
      <c r="A214" s="60" t="s">
        <v>779</v>
      </c>
      <c r="B214" s="61" t="str">
        <f aca="false">IF($M214=0,"",INDEX(Classes!$E$6:$E$420,$M214))</f>
        <v>Arabic A</v>
      </c>
      <c r="C214" s="62" t="str">
        <f aca="false">IF($M214=0,"",INDEX(Classes!$H$6:$H$420,$M214))</f>
        <v>Mr Ahmed AbdelmonemElsye</v>
      </c>
      <c r="D214" s="61" t="str">
        <f aca="false">IF($M214=0,"",INDEX(Classes!$B$6:$B$420,$M214))</f>
        <v>Year 10</v>
      </c>
      <c r="E214" s="61" t="str">
        <f aca="false">IF($M214=0,"",INDEX(Classes!$C$6:$C$420,$M214))</f>
        <v>ah</v>
      </c>
      <c r="F214" s="63" t="s">
        <v>163</v>
      </c>
      <c r="G214" s="63" t="s">
        <v>108</v>
      </c>
      <c r="H214" s="60" t="s">
        <v>200</v>
      </c>
      <c r="I214" s="60" t="s">
        <v>202</v>
      </c>
      <c r="J214" s="63" t="n">
        <v>1</v>
      </c>
      <c r="K214" s="61" t="str">
        <f aca="false">IF($P214=0,"",IF($F214="Baseline","— Baseline",IF($O214=0,"No result",IF($N214=0,"No Start (attainment only)",IF(OR($N214=1,$O214=1),"U – needs rule",INDEX(MxBody,MATCH($I214,MxCurr,0),MATCH($H214,MxStart,0)))))))</f>
        <v>Better</v>
      </c>
      <c r="L214" s="62" t="str">
        <f aca="false">IF(COUNTA($A214,$F214,$G214,$H214,$I214,$J214)=0,"",IF($M214=0,"✖ كود الصف غير موجود",IF(ISNA(MATCH($F214,Lists!$A$2:$A$5,0)),"✖ الفترة غير صحيحة",IF(ISNA(MATCH($G214,Lists!$B$2:$B$7,0)),"✖ المجموعة غير صحيحة",IF(NOT(OR($H214="",$N214&gt;0)),"✖ Start غير صحيح",IF(NOT(OR($I214="",$I214="NR",$O214&gt;0)),"✖ Current غير صحيح",IF(NOT(IF(ISNUMBER($J214),AND($J214&gt;=0,$J214=INT($J214)),FALSE())),"✖ العدد يجب أن يكون صحيحًا ≥ 0",IF(AND($F214="Baseline",$H214&lt;&gt;""),"⚠ Baseline: Start لا يدخل في التقدم",IF($K214="No Start (attainment only)","ℹ تحصيل فقط (بدون Start)",IF($K214="U – needs rule","ℹ حالة U تحتاج قاعدة معتمدة",IF($K214="No result","ℹ بدون نتيجة (يُستبعد من التحصيل)","OK")))))))))))</f>
        <v>OK</v>
      </c>
      <c r="M214" s="64" t="n">
        <f aca="false">IF($A214="",0,IFERROR(MATCH($A214,Classes!$A$6:$A$420,0),0))</f>
        <v>283</v>
      </c>
      <c r="N214" s="64" t="n">
        <f aca="false">IF($H214="",0,IFERROR(MATCH($H214,GradeList,0),0))</f>
        <v>5</v>
      </c>
      <c r="O214" s="64" t="n">
        <f aca="false">IF(OR($I214="",$I214="NR"),0,IFERROR(MATCH($I214,GradeList,0),0))</f>
        <v>7</v>
      </c>
      <c r="P214" s="64" t="n">
        <f aca="false">IF(AND($M214&gt;0,ISNUMBER(MATCH($F214,Lists!$A$2:$A$5,0)),ISNUMBER(MATCH($G214,Lists!$B$2:$B$7,0)),OR($H214="",$N214&gt;0),OR($I214="",$I214="NR",$O214&gt;0),IF(ISNUMBER($J214),AND($J214&gt;=0,$J214=INT($J214)),FALSE())),$J214,0)</f>
        <v>1</v>
      </c>
      <c r="Q214" s="64" t="n">
        <f aca="false">IF(AND($P214&gt;0,$O214&gt;0),$P214,0)</f>
        <v>1</v>
      </c>
      <c r="R214" s="64" t="n">
        <f aca="false">IF(AND($Q214&gt;0,$O214&gt;=AtRank),$Q214,0)</f>
        <v>1</v>
      </c>
      <c r="S214" s="64" t="n">
        <f aca="false">IF(AND($Q214&gt;0,$O214&gt;=AboveRank),$Q214,0)</f>
        <v>1</v>
      </c>
      <c r="T214" s="64" t="n">
        <f aca="false">IF($K214="Less",$P214,0)</f>
        <v>0</v>
      </c>
      <c r="U214" s="64" t="n">
        <f aca="false">IF($K214="Expected",$P214,0)</f>
        <v>0</v>
      </c>
      <c r="V214" s="64" t="n">
        <f aca="false">IF($K214="Better",$P214,0)</f>
        <v>1</v>
      </c>
      <c r="W214" s="64" t="n">
        <f aca="false">IF($K214="U – needs rule",$P214,0)</f>
        <v>0</v>
      </c>
      <c r="X214" s="64" t="n">
        <f aca="false">IF($K214="No Start (attainment only)",$P214,0)</f>
        <v>0</v>
      </c>
    </row>
    <row r="215" customFormat="false" ht="15" hidden="false" customHeight="false" outlineLevel="0" collapsed="false">
      <c r="A215" s="60" t="s">
        <v>779</v>
      </c>
      <c r="B215" s="61" t="str">
        <f aca="false">IF($M215=0,"",INDEX(Classes!$E$6:$E$420,$M215))</f>
        <v>Arabic A</v>
      </c>
      <c r="C215" s="62" t="str">
        <f aca="false">IF($M215=0,"",INDEX(Classes!$H$6:$H$420,$M215))</f>
        <v>Mr Ahmed AbdelmonemElsye</v>
      </c>
      <c r="D215" s="61" t="str">
        <f aca="false">IF($M215=0,"",INDEX(Classes!$B$6:$B$420,$M215))</f>
        <v>Year 10</v>
      </c>
      <c r="E215" s="61" t="str">
        <f aca="false">IF($M215=0,"",INDEX(Classes!$C$6:$C$420,$M215))</f>
        <v>ah</v>
      </c>
      <c r="F215" s="63" t="s">
        <v>163</v>
      </c>
      <c r="G215" s="63" t="s">
        <v>108</v>
      </c>
      <c r="H215" s="60" t="s">
        <v>200</v>
      </c>
      <c r="I215" s="60" t="s">
        <v>200</v>
      </c>
      <c r="J215" s="63" t="n">
        <v>2</v>
      </c>
      <c r="K215" s="61" t="str">
        <f aca="false">IF($P215=0,"",IF($F215="Baseline","— Baseline",IF($O215=0,"No result",IF($N215=0,"No Start (attainment only)",IF(OR($N215=1,$O215=1),"U – needs rule",INDEX(MxBody,MATCH($I215,MxCurr,0),MATCH($H215,MxStart,0)))))))</f>
        <v>Expected</v>
      </c>
      <c r="L215" s="62" t="str">
        <f aca="false">IF(COUNTA($A215,$F215,$G215,$H215,$I215,$J215)=0,"",IF($M215=0,"✖ كود الصف غير موجود",IF(ISNA(MATCH($F215,Lists!$A$2:$A$5,0)),"✖ الفترة غير صحيحة",IF(ISNA(MATCH($G215,Lists!$B$2:$B$7,0)),"✖ المجموعة غير صحيحة",IF(NOT(OR($H215="",$N215&gt;0)),"✖ Start غير صحيح",IF(NOT(OR($I215="",$I215="NR",$O215&gt;0)),"✖ Current غير صحيح",IF(NOT(IF(ISNUMBER($J215),AND($J215&gt;=0,$J215=INT($J215)),FALSE())),"✖ العدد يجب أن يكون صحيحًا ≥ 0",IF(AND($F215="Baseline",$H215&lt;&gt;""),"⚠ Baseline: Start لا يدخل في التقدم",IF($K215="No Start (attainment only)","ℹ تحصيل فقط (بدون Start)",IF($K215="U – needs rule","ℹ حالة U تحتاج قاعدة معتمدة",IF($K215="No result","ℹ بدون نتيجة (يُستبعد من التحصيل)","OK")))))))))))</f>
        <v>OK</v>
      </c>
      <c r="M215" s="64" t="n">
        <f aca="false">IF($A215="",0,IFERROR(MATCH($A215,Classes!$A$6:$A$420,0),0))</f>
        <v>283</v>
      </c>
      <c r="N215" s="64" t="n">
        <f aca="false">IF($H215="",0,IFERROR(MATCH($H215,GradeList,0),0))</f>
        <v>5</v>
      </c>
      <c r="O215" s="64" t="n">
        <f aca="false">IF(OR($I215="",$I215="NR"),0,IFERROR(MATCH($I215,GradeList,0),0))</f>
        <v>5</v>
      </c>
      <c r="P215" s="64" t="n">
        <f aca="false">IF(AND($M215&gt;0,ISNUMBER(MATCH($F215,Lists!$A$2:$A$5,0)),ISNUMBER(MATCH($G215,Lists!$B$2:$B$7,0)),OR($H215="",$N215&gt;0),OR($I215="",$I215="NR",$O215&gt;0),IF(ISNUMBER($J215),AND($J215&gt;=0,$J215=INT($J215)),FALSE())),$J215,0)</f>
        <v>2</v>
      </c>
      <c r="Q215" s="64" t="n">
        <f aca="false">IF(AND($P215&gt;0,$O215&gt;0),$P215,0)</f>
        <v>2</v>
      </c>
      <c r="R215" s="64" t="n">
        <f aca="false">IF(AND($Q215&gt;0,$O215&gt;=AtRank),$Q215,0)</f>
        <v>2</v>
      </c>
      <c r="S215" s="64" t="n">
        <f aca="false">IF(AND($Q215&gt;0,$O215&gt;=AboveRank),$Q215,0)</f>
        <v>0</v>
      </c>
      <c r="T215" s="64" t="n">
        <f aca="false">IF($K215="Less",$P215,0)</f>
        <v>0</v>
      </c>
      <c r="U215" s="64" t="n">
        <f aca="false">IF($K215="Expected",$P215,0)</f>
        <v>2</v>
      </c>
      <c r="V215" s="64" t="n">
        <f aca="false">IF($K215="Better",$P215,0)</f>
        <v>0</v>
      </c>
      <c r="W215" s="64" t="n">
        <f aca="false">IF($K215="U – needs rule",$P215,0)</f>
        <v>0</v>
      </c>
      <c r="X215" s="64" t="n">
        <f aca="false">IF($K215="No Start (attainment only)",$P215,0)</f>
        <v>0</v>
      </c>
    </row>
    <row r="216" customFormat="false" ht="15" hidden="false" customHeight="false" outlineLevel="0" collapsed="false">
      <c r="A216" s="60" t="s">
        <v>779</v>
      </c>
      <c r="B216" s="61" t="str">
        <f aca="false">IF($M216=0,"",INDEX(Classes!$E$6:$E$420,$M216))</f>
        <v>Arabic A</v>
      </c>
      <c r="C216" s="62" t="str">
        <f aca="false">IF($M216=0,"",INDEX(Classes!$H$6:$H$420,$M216))</f>
        <v>Mr Ahmed AbdelmonemElsye</v>
      </c>
      <c r="D216" s="61" t="str">
        <f aca="false">IF($M216=0,"",INDEX(Classes!$B$6:$B$420,$M216))</f>
        <v>Year 10</v>
      </c>
      <c r="E216" s="61" t="str">
        <f aca="false">IF($M216=0,"",INDEX(Classes!$C$6:$C$420,$M216))</f>
        <v>ah</v>
      </c>
      <c r="F216" s="63" t="s">
        <v>163</v>
      </c>
      <c r="G216" s="63" t="s">
        <v>108</v>
      </c>
      <c r="H216" s="60" t="s">
        <v>200</v>
      </c>
      <c r="I216" s="60" t="s">
        <v>201</v>
      </c>
      <c r="J216" s="63" t="n">
        <v>1</v>
      </c>
      <c r="K216" s="61" t="str">
        <f aca="false">IF($P216=0,"",IF($F216="Baseline","— Baseline",IF($O216=0,"No result",IF($N216=0,"No Start (attainment only)",IF(OR($N216=1,$O216=1),"U – needs rule",INDEX(MxBody,MATCH($I216,MxCurr,0),MATCH($H216,MxStart,0)))))))</f>
        <v>Better</v>
      </c>
      <c r="L216" s="62" t="str">
        <f aca="false">IF(COUNTA($A216,$F216,$G216,$H216,$I216,$J216)=0,"",IF($M216=0,"✖ كود الصف غير موجود",IF(ISNA(MATCH($F216,Lists!$A$2:$A$5,0)),"✖ الفترة غير صحيحة",IF(ISNA(MATCH($G216,Lists!$B$2:$B$7,0)),"✖ المجموعة غير صحيحة",IF(NOT(OR($H216="",$N216&gt;0)),"✖ Start غير صحيح",IF(NOT(OR($I216="",$I216="NR",$O216&gt;0)),"✖ Current غير صحيح",IF(NOT(IF(ISNUMBER($J216),AND($J216&gt;=0,$J216=INT($J216)),FALSE())),"✖ العدد يجب أن يكون صحيحًا ≥ 0",IF(AND($F216="Baseline",$H216&lt;&gt;""),"⚠ Baseline: Start لا يدخل في التقدم",IF($K216="No Start (attainment only)","ℹ تحصيل فقط (بدون Start)",IF($K216="U – needs rule","ℹ حالة U تحتاج قاعدة معتمدة",IF($K216="No result","ℹ بدون نتيجة (يُستبعد من التحصيل)","OK")))))))))))</f>
        <v>OK</v>
      </c>
      <c r="M216" s="64" t="n">
        <f aca="false">IF($A216="",0,IFERROR(MATCH($A216,Classes!$A$6:$A$420,0),0))</f>
        <v>283</v>
      </c>
      <c r="N216" s="64" t="n">
        <f aca="false">IF($H216="",0,IFERROR(MATCH($H216,GradeList,0),0))</f>
        <v>5</v>
      </c>
      <c r="O216" s="64" t="n">
        <f aca="false">IF(OR($I216="",$I216="NR"),0,IFERROR(MATCH($I216,GradeList,0),0))</f>
        <v>6</v>
      </c>
      <c r="P216" s="64" t="n">
        <f aca="false">IF(AND($M216&gt;0,ISNUMBER(MATCH($F216,Lists!$A$2:$A$5,0)),ISNUMBER(MATCH($G216,Lists!$B$2:$B$7,0)),OR($H216="",$N216&gt;0),OR($I216="",$I216="NR",$O216&gt;0),IF(ISNUMBER($J216),AND($J216&gt;=0,$J216=INT($J216)),FALSE())),$J216,0)</f>
        <v>1</v>
      </c>
      <c r="Q216" s="64" t="n">
        <f aca="false">IF(AND($P216&gt;0,$O216&gt;0),$P216,0)</f>
        <v>1</v>
      </c>
      <c r="R216" s="64" t="n">
        <f aca="false">IF(AND($Q216&gt;0,$O216&gt;=AtRank),$Q216,0)</f>
        <v>1</v>
      </c>
      <c r="S216" s="64" t="n">
        <f aca="false">IF(AND($Q216&gt;0,$O216&gt;=AboveRank),$Q216,0)</f>
        <v>0</v>
      </c>
      <c r="T216" s="64" t="n">
        <f aca="false">IF($K216="Less",$P216,0)</f>
        <v>0</v>
      </c>
      <c r="U216" s="64" t="n">
        <f aca="false">IF($K216="Expected",$P216,0)</f>
        <v>0</v>
      </c>
      <c r="V216" s="64" t="n">
        <f aca="false">IF($K216="Better",$P216,0)</f>
        <v>1</v>
      </c>
      <c r="W216" s="64" t="n">
        <f aca="false">IF($K216="U – needs rule",$P216,0)</f>
        <v>0</v>
      </c>
      <c r="X216" s="64" t="n">
        <f aca="false">IF($K216="No Start (attainment only)",$P216,0)</f>
        <v>0</v>
      </c>
    </row>
    <row r="217" customFormat="false" ht="15" hidden="false" customHeight="false" outlineLevel="0" collapsed="false">
      <c r="A217" s="60" t="s">
        <v>779</v>
      </c>
      <c r="B217" s="61" t="str">
        <f aca="false">IF($M217=0,"",INDEX(Classes!$E$6:$E$420,$M217))</f>
        <v>Arabic A</v>
      </c>
      <c r="C217" s="62" t="str">
        <f aca="false">IF($M217=0,"",INDEX(Classes!$H$6:$H$420,$M217))</f>
        <v>Mr Ahmed AbdelmonemElsye</v>
      </c>
      <c r="D217" s="61" t="str">
        <f aca="false">IF($M217=0,"",INDEX(Classes!$B$6:$B$420,$M217))</f>
        <v>Year 10</v>
      </c>
      <c r="E217" s="61" t="str">
        <f aca="false">IF($M217=0,"",INDEX(Classes!$C$6:$C$420,$M217))</f>
        <v>ah</v>
      </c>
      <c r="F217" s="63" t="s">
        <v>163</v>
      </c>
      <c r="G217" s="63" t="s">
        <v>108</v>
      </c>
      <c r="H217" s="60" t="s">
        <v>201</v>
      </c>
      <c r="I217" s="60" t="s">
        <v>200</v>
      </c>
      <c r="J217" s="63" t="n">
        <v>1</v>
      </c>
      <c r="K217" s="61" t="str">
        <f aca="false">IF($P217=0,"",IF($F217="Baseline","— Baseline",IF($O217=0,"No result",IF($N217=0,"No Start (attainment only)",IF(OR($N217=1,$O217=1),"U – needs rule",INDEX(MxBody,MATCH($I217,MxCurr,0),MATCH($H217,MxStart,0)))))))</f>
        <v>Expected</v>
      </c>
      <c r="L217" s="62" t="str">
        <f aca="false">IF(COUNTA($A217,$F217,$G217,$H217,$I217,$J217)=0,"",IF($M217=0,"✖ كود الصف غير موجود",IF(ISNA(MATCH($F217,Lists!$A$2:$A$5,0)),"✖ الفترة غير صحيحة",IF(ISNA(MATCH($G217,Lists!$B$2:$B$7,0)),"✖ المجموعة غير صحيحة",IF(NOT(OR($H217="",$N217&gt;0)),"✖ Start غير صحيح",IF(NOT(OR($I217="",$I217="NR",$O217&gt;0)),"✖ Current غير صحيح",IF(NOT(IF(ISNUMBER($J217),AND($J217&gt;=0,$J217=INT($J217)),FALSE())),"✖ العدد يجب أن يكون صحيحًا ≥ 0",IF(AND($F217="Baseline",$H217&lt;&gt;""),"⚠ Baseline: Start لا يدخل في التقدم",IF($K217="No Start (attainment only)","ℹ تحصيل فقط (بدون Start)",IF($K217="U – needs rule","ℹ حالة U تحتاج قاعدة معتمدة",IF($K217="No result","ℹ بدون نتيجة (يُستبعد من التحصيل)","OK")))))))))))</f>
        <v>OK</v>
      </c>
      <c r="M217" s="64" t="n">
        <f aca="false">IF($A217="",0,IFERROR(MATCH($A217,Classes!$A$6:$A$420,0),0))</f>
        <v>283</v>
      </c>
      <c r="N217" s="64" t="n">
        <f aca="false">IF($H217="",0,IFERROR(MATCH($H217,GradeList,0),0))</f>
        <v>6</v>
      </c>
      <c r="O217" s="64" t="n">
        <f aca="false">IF(OR($I217="",$I217="NR"),0,IFERROR(MATCH($I217,GradeList,0),0))</f>
        <v>5</v>
      </c>
      <c r="P217" s="64" t="n">
        <f aca="false">IF(AND($M217&gt;0,ISNUMBER(MATCH($F217,Lists!$A$2:$A$5,0)),ISNUMBER(MATCH($G217,Lists!$B$2:$B$7,0)),OR($H217="",$N217&gt;0),OR($I217="",$I217="NR",$O217&gt;0),IF(ISNUMBER($J217),AND($J217&gt;=0,$J217=INT($J217)),FALSE())),$J217,0)</f>
        <v>1</v>
      </c>
      <c r="Q217" s="64" t="n">
        <f aca="false">IF(AND($P217&gt;0,$O217&gt;0),$P217,0)</f>
        <v>1</v>
      </c>
      <c r="R217" s="64" t="n">
        <f aca="false">IF(AND($Q217&gt;0,$O217&gt;=AtRank),$Q217,0)</f>
        <v>1</v>
      </c>
      <c r="S217" s="64" t="n">
        <f aca="false">IF(AND($Q217&gt;0,$O217&gt;=AboveRank),$Q217,0)</f>
        <v>0</v>
      </c>
      <c r="T217" s="64" t="n">
        <f aca="false">IF($K217="Less",$P217,0)</f>
        <v>0</v>
      </c>
      <c r="U217" s="64" t="n">
        <f aca="false">IF($K217="Expected",$P217,0)</f>
        <v>1</v>
      </c>
      <c r="V217" s="64" t="n">
        <f aca="false">IF($K217="Better",$P217,0)</f>
        <v>0</v>
      </c>
      <c r="W217" s="64" t="n">
        <f aca="false">IF($K217="U – needs rule",$P217,0)</f>
        <v>0</v>
      </c>
      <c r="X217" s="64" t="n">
        <f aca="false">IF($K217="No Start (attainment only)",$P217,0)</f>
        <v>0</v>
      </c>
    </row>
    <row r="218" customFormat="false" ht="15" hidden="false" customHeight="false" outlineLevel="0" collapsed="false">
      <c r="A218" s="60" t="s">
        <v>779</v>
      </c>
      <c r="B218" s="61" t="str">
        <f aca="false">IF($M218=0,"",INDEX(Classes!$E$6:$E$420,$M218))</f>
        <v>Arabic A</v>
      </c>
      <c r="C218" s="62" t="str">
        <f aca="false">IF($M218=0,"",INDEX(Classes!$H$6:$H$420,$M218))</f>
        <v>Mr Ahmed AbdelmonemElsye</v>
      </c>
      <c r="D218" s="61" t="str">
        <f aca="false">IF($M218=0,"",INDEX(Classes!$B$6:$B$420,$M218))</f>
        <v>Year 10</v>
      </c>
      <c r="E218" s="61" t="str">
        <f aca="false">IF($M218=0,"",INDEX(Classes!$C$6:$C$420,$M218))</f>
        <v>ah</v>
      </c>
      <c r="F218" s="63" t="s">
        <v>163</v>
      </c>
      <c r="G218" s="63" t="s">
        <v>108</v>
      </c>
      <c r="H218" s="60" t="s">
        <v>201</v>
      </c>
      <c r="I218" s="60" t="s">
        <v>201</v>
      </c>
      <c r="J218" s="63" t="n">
        <v>2</v>
      </c>
      <c r="K218" s="61" t="str">
        <f aca="false">IF($P218=0,"",IF($F218="Baseline","— Baseline",IF($O218=0,"No result",IF($N218=0,"No Start (attainment only)",IF(OR($N218=1,$O218=1),"U – needs rule",INDEX(MxBody,MATCH($I218,MxCurr,0),MATCH($H218,MxStart,0)))))))</f>
        <v>Expected</v>
      </c>
      <c r="L218" s="62" t="str">
        <f aca="false">IF(COUNTA($A218,$F218,$G218,$H218,$I218,$J218)=0,"",IF($M218=0,"✖ كود الصف غير موجود",IF(ISNA(MATCH($F218,Lists!$A$2:$A$5,0)),"✖ الفترة غير صحيحة",IF(ISNA(MATCH($G218,Lists!$B$2:$B$7,0)),"✖ المجموعة غير صحيحة",IF(NOT(OR($H218="",$N218&gt;0)),"✖ Start غير صحيح",IF(NOT(OR($I218="",$I218="NR",$O218&gt;0)),"✖ Current غير صحيح",IF(NOT(IF(ISNUMBER($J218),AND($J218&gt;=0,$J218=INT($J218)),FALSE())),"✖ العدد يجب أن يكون صحيحًا ≥ 0",IF(AND($F218="Baseline",$H218&lt;&gt;""),"⚠ Baseline: Start لا يدخل في التقدم",IF($K218="No Start (attainment only)","ℹ تحصيل فقط (بدون Start)",IF($K218="U – needs rule","ℹ حالة U تحتاج قاعدة معتمدة",IF($K218="No result","ℹ بدون نتيجة (يُستبعد من التحصيل)","OK")))))))))))</f>
        <v>OK</v>
      </c>
      <c r="M218" s="64" t="n">
        <f aca="false">IF($A218="",0,IFERROR(MATCH($A218,Classes!$A$6:$A$420,0),0))</f>
        <v>283</v>
      </c>
      <c r="N218" s="64" t="n">
        <f aca="false">IF($H218="",0,IFERROR(MATCH($H218,GradeList,0),0))</f>
        <v>6</v>
      </c>
      <c r="O218" s="64" t="n">
        <f aca="false">IF(OR($I218="",$I218="NR"),0,IFERROR(MATCH($I218,GradeList,0),0))</f>
        <v>6</v>
      </c>
      <c r="P218" s="64" t="n">
        <f aca="false">IF(AND($M218&gt;0,ISNUMBER(MATCH($F218,Lists!$A$2:$A$5,0)),ISNUMBER(MATCH($G218,Lists!$B$2:$B$7,0)),OR($H218="",$N218&gt;0),OR($I218="",$I218="NR",$O218&gt;0),IF(ISNUMBER($J218),AND($J218&gt;=0,$J218=INT($J218)),FALSE())),$J218,0)</f>
        <v>2</v>
      </c>
      <c r="Q218" s="64" t="n">
        <f aca="false">IF(AND($P218&gt;0,$O218&gt;0),$P218,0)</f>
        <v>2</v>
      </c>
      <c r="R218" s="64" t="n">
        <f aca="false">IF(AND($Q218&gt;0,$O218&gt;=AtRank),$Q218,0)</f>
        <v>2</v>
      </c>
      <c r="S218" s="64" t="n">
        <f aca="false">IF(AND($Q218&gt;0,$O218&gt;=AboveRank),$Q218,0)</f>
        <v>0</v>
      </c>
      <c r="T218" s="64" t="n">
        <f aca="false">IF($K218="Less",$P218,0)</f>
        <v>0</v>
      </c>
      <c r="U218" s="64" t="n">
        <f aca="false">IF($K218="Expected",$P218,0)</f>
        <v>2</v>
      </c>
      <c r="V218" s="64" t="n">
        <f aca="false">IF($K218="Better",$P218,0)</f>
        <v>0</v>
      </c>
      <c r="W218" s="64" t="n">
        <f aca="false">IF($K218="U – needs rule",$P218,0)</f>
        <v>0</v>
      </c>
      <c r="X218" s="64" t="n">
        <f aca="false">IF($K218="No Start (attainment only)",$P218,0)</f>
        <v>0</v>
      </c>
    </row>
    <row r="219" customFormat="false" ht="15" hidden="false" customHeight="false" outlineLevel="0" collapsed="false">
      <c r="A219" s="60" t="s">
        <v>779</v>
      </c>
      <c r="B219" s="61" t="str">
        <f aca="false">IF($M219=0,"",INDEX(Classes!$E$6:$E$420,$M219))</f>
        <v>Arabic A</v>
      </c>
      <c r="C219" s="62" t="str">
        <f aca="false">IF($M219=0,"",INDEX(Classes!$H$6:$H$420,$M219))</f>
        <v>Mr Ahmed AbdelmonemElsye</v>
      </c>
      <c r="D219" s="61" t="str">
        <f aca="false">IF($M219=0,"",INDEX(Classes!$B$6:$B$420,$M219))</f>
        <v>Year 10</v>
      </c>
      <c r="E219" s="61" t="str">
        <f aca="false">IF($M219=0,"",INDEX(Classes!$C$6:$C$420,$M219))</f>
        <v>ah</v>
      </c>
      <c r="F219" s="63" t="s">
        <v>163</v>
      </c>
      <c r="G219" s="63" t="s">
        <v>108</v>
      </c>
      <c r="H219" s="60" t="s">
        <v>201</v>
      </c>
      <c r="I219" s="60" t="s">
        <v>204</v>
      </c>
      <c r="J219" s="63" t="n">
        <v>1</v>
      </c>
      <c r="K219" s="61" t="str">
        <f aca="false">IF($P219=0,"",IF($F219="Baseline","— Baseline",IF($O219=0,"No result",IF($N219=0,"No Start (attainment only)",IF(OR($N219=1,$O219=1),"U – needs rule",INDEX(MxBody,MATCH($I219,MxCurr,0),MATCH($H219,MxStart,0)))))))</f>
        <v>Better</v>
      </c>
      <c r="L219" s="62" t="str">
        <f aca="false">IF(COUNTA($A219,$F219,$G219,$H219,$I219,$J219)=0,"",IF($M219=0,"✖ كود الصف غير موجود",IF(ISNA(MATCH($F219,Lists!$A$2:$A$5,0)),"✖ الفترة غير صحيحة",IF(ISNA(MATCH($G219,Lists!$B$2:$B$7,0)),"✖ المجموعة غير صحيحة",IF(NOT(OR($H219="",$N219&gt;0)),"✖ Start غير صحيح",IF(NOT(OR($I219="",$I219="NR",$O219&gt;0)),"✖ Current غير صحيح",IF(NOT(IF(ISNUMBER($J219),AND($J219&gt;=0,$J219=INT($J219)),FALSE())),"✖ العدد يجب أن يكون صحيحًا ≥ 0",IF(AND($F219="Baseline",$H219&lt;&gt;""),"⚠ Baseline: Start لا يدخل في التقدم",IF($K219="No Start (attainment only)","ℹ تحصيل فقط (بدون Start)",IF($K219="U – needs rule","ℹ حالة U تحتاج قاعدة معتمدة",IF($K219="No result","ℹ بدون نتيجة (يُستبعد من التحصيل)","OK")))))))))))</f>
        <v>OK</v>
      </c>
      <c r="M219" s="64" t="n">
        <f aca="false">IF($A219="",0,IFERROR(MATCH($A219,Classes!$A$6:$A$420,0),0))</f>
        <v>283</v>
      </c>
      <c r="N219" s="64" t="n">
        <f aca="false">IF($H219="",0,IFERROR(MATCH($H219,GradeList,0),0))</f>
        <v>6</v>
      </c>
      <c r="O219" s="64" t="n">
        <f aca="false">IF(OR($I219="",$I219="NR"),0,IFERROR(MATCH($I219,GradeList,0),0))</f>
        <v>9</v>
      </c>
      <c r="P219" s="64" t="n">
        <f aca="false">IF(AND($M219&gt;0,ISNUMBER(MATCH($F219,Lists!$A$2:$A$5,0)),ISNUMBER(MATCH($G219,Lists!$B$2:$B$7,0)),OR($H219="",$N219&gt;0),OR($I219="",$I219="NR",$O219&gt;0),IF(ISNUMBER($J219),AND($J219&gt;=0,$J219=INT($J219)),FALSE())),$J219,0)</f>
        <v>1</v>
      </c>
      <c r="Q219" s="64" t="n">
        <f aca="false">IF(AND($P219&gt;0,$O219&gt;0),$P219,0)</f>
        <v>1</v>
      </c>
      <c r="R219" s="64" t="n">
        <f aca="false">IF(AND($Q219&gt;0,$O219&gt;=AtRank),$Q219,0)</f>
        <v>1</v>
      </c>
      <c r="S219" s="64" t="n">
        <f aca="false">IF(AND($Q219&gt;0,$O219&gt;=AboveRank),$Q219,0)</f>
        <v>1</v>
      </c>
      <c r="T219" s="64" t="n">
        <f aca="false">IF($K219="Less",$P219,0)</f>
        <v>0</v>
      </c>
      <c r="U219" s="64" t="n">
        <f aca="false">IF($K219="Expected",$P219,0)</f>
        <v>0</v>
      </c>
      <c r="V219" s="64" t="n">
        <f aca="false">IF($K219="Better",$P219,0)</f>
        <v>1</v>
      </c>
      <c r="W219" s="64" t="n">
        <f aca="false">IF($K219="U – needs rule",$P219,0)</f>
        <v>0</v>
      </c>
      <c r="X219" s="64" t="n">
        <f aca="false">IF($K219="No Start (attainment only)",$P219,0)</f>
        <v>0</v>
      </c>
    </row>
    <row r="220" customFormat="false" ht="15" hidden="false" customHeight="false" outlineLevel="0" collapsed="false">
      <c r="A220" s="60" t="s">
        <v>779</v>
      </c>
      <c r="B220" s="61" t="str">
        <f aca="false">IF($M220=0,"",INDEX(Classes!$E$6:$E$420,$M220))</f>
        <v>Arabic A</v>
      </c>
      <c r="C220" s="62" t="str">
        <f aca="false">IF($M220=0,"",INDEX(Classes!$H$6:$H$420,$M220))</f>
        <v>Mr Ahmed AbdelmonemElsye</v>
      </c>
      <c r="D220" s="61" t="str">
        <f aca="false">IF($M220=0,"",INDEX(Classes!$B$6:$B$420,$M220))</f>
        <v>Year 10</v>
      </c>
      <c r="E220" s="61" t="str">
        <f aca="false">IF($M220=0,"",INDEX(Classes!$C$6:$C$420,$M220))</f>
        <v>ah</v>
      </c>
      <c r="F220" s="63" t="s">
        <v>163</v>
      </c>
      <c r="G220" s="63" t="s">
        <v>108</v>
      </c>
      <c r="H220" s="60" t="s">
        <v>198</v>
      </c>
      <c r="I220" s="60" t="s">
        <v>198</v>
      </c>
      <c r="J220" s="63" t="n">
        <v>1</v>
      </c>
      <c r="K220" s="61" t="str">
        <f aca="false">IF($P220=0,"",IF($F220="Baseline","— Baseline",IF($O220=0,"No result",IF($N220=0,"No Start (attainment only)",IF(OR($N220=1,$O220=1),"U – needs rule",INDEX(MxBody,MATCH($I220,MxCurr,0),MATCH($H220,MxStart,0)))))))</f>
        <v>Expected</v>
      </c>
      <c r="L220" s="62" t="str">
        <f aca="false">IF(COUNTA($A220,$F220,$G220,$H220,$I220,$J220)=0,"",IF($M220=0,"✖ كود الصف غير موجود",IF(ISNA(MATCH($F220,Lists!$A$2:$A$5,0)),"✖ الفترة غير صحيحة",IF(ISNA(MATCH($G220,Lists!$B$2:$B$7,0)),"✖ المجموعة غير صحيحة",IF(NOT(OR($H220="",$N220&gt;0)),"✖ Start غير صحيح",IF(NOT(OR($I220="",$I220="NR",$O220&gt;0)),"✖ Current غير صحيح",IF(NOT(IF(ISNUMBER($J220),AND($J220&gt;=0,$J220=INT($J220)),FALSE())),"✖ العدد يجب أن يكون صحيحًا ≥ 0",IF(AND($F220="Baseline",$H220&lt;&gt;""),"⚠ Baseline: Start لا يدخل في التقدم",IF($K220="No Start (attainment only)","ℹ تحصيل فقط (بدون Start)",IF($K220="U – needs rule","ℹ حالة U تحتاج قاعدة معتمدة",IF($K220="No result","ℹ بدون نتيجة (يُستبعد من التحصيل)","OK")))))))))))</f>
        <v>OK</v>
      </c>
      <c r="M220" s="64" t="n">
        <f aca="false">IF($A220="",0,IFERROR(MATCH($A220,Classes!$A$6:$A$420,0),0))</f>
        <v>283</v>
      </c>
      <c r="N220" s="64" t="n">
        <f aca="false">IF($H220="",0,IFERROR(MATCH($H220,GradeList,0),0))</f>
        <v>3</v>
      </c>
      <c r="O220" s="64" t="n">
        <f aca="false">IF(OR($I220="",$I220="NR"),0,IFERROR(MATCH($I220,GradeList,0),0))</f>
        <v>3</v>
      </c>
      <c r="P220" s="64" t="n">
        <f aca="false">IF(AND($M220&gt;0,ISNUMBER(MATCH($F220,Lists!$A$2:$A$5,0)),ISNUMBER(MATCH($G220,Lists!$B$2:$B$7,0)),OR($H220="",$N220&gt;0),OR($I220="",$I220="NR",$O220&gt;0),IF(ISNUMBER($J220),AND($J220&gt;=0,$J220=INT($J220)),FALSE())),$J220,0)</f>
        <v>1</v>
      </c>
      <c r="Q220" s="64" t="n">
        <f aca="false">IF(AND($P220&gt;0,$O220&gt;0),$P220,0)</f>
        <v>1</v>
      </c>
      <c r="R220" s="64" t="n">
        <f aca="false">IF(AND($Q220&gt;0,$O220&gt;=AtRank),$Q220,0)</f>
        <v>0</v>
      </c>
      <c r="S220" s="64" t="n">
        <f aca="false">IF(AND($Q220&gt;0,$O220&gt;=AboveRank),$Q220,0)</f>
        <v>0</v>
      </c>
      <c r="T220" s="64" t="n">
        <f aca="false">IF($K220="Less",$P220,0)</f>
        <v>0</v>
      </c>
      <c r="U220" s="64" t="n">
        <f aca="false">IF($K220="Expected",$P220,0)</f>
        <v>1</v>
      </c>
      <c r="V220" s="64" t="n">
        <f aca="false">IF($K220="Better",$P220,0)</f>
        <v>0</v>
      </c>
      <c r="W220" s="64" t="n">
        <f aca="false">IF($K220="U – needs rule",$P220,0)</f>
        <v>0</v>
      </c>
      <c r="X220" s="64" t="n">
        <f aca="false">IF($K220="No Start (attainment only)",$P220,0)</f>
        <v>0</v>
      </c>
    </row>
    <row r="221" customFormat="false" ht="15" hidden="false" customHeight="false" outlineLevel="0" collapsed="false">
      <c r="A221" s="60" t="s">
        <v>779</v>
      </c>
      <c r="B221" s="61" t="str">
        <f aca="false">IF($M221=0,"",INDEX(Classes!$E$6:$E$420,$M221))</f>
        <v>Arabic A</v>
      </c>
      <c r="C221" s="62" t="str">
        <f aca="false">IF($M221=0,"",INDEX(Classes!$H$6:$H$420,$M221))</f>
        <v>Mr Ahmed AbdelmonemElsye</v>
      </c>
      <c r="D221" s="61" t="str">
        <f aca="false">IF($M221=0,"",INDEX(Classes!$B$6:$B$420,$M221))</f>
        <v>Year 10</v>
      </c>
      <c r="E221" s="61" t="str">
        <f aca="false">IF($M221=0,"",INDEX(Classes!$C$6:$C$420,$M221))</f>
        <v>ah</v>
      </c>
      <c r="F221" s="63" t="s">
        <v>163</v>
      </c>
      <c r="G221" s="63" t="s">
        <v>108</v>
      </c>
      <c r="H221" s="60" t="s">
        <v>204</v>
      </c>
      <c r="I221" s="60" t="s">
        <v>205</v>
      </c>
      <c r="J221" s="63" t="n">
        <v>2</v>
      </c>
      <c r="K221" s="61" t="str">
        <f aca="false">IF($P221=0,"",IF($F221="Baseline","— Baseline",IF($O221=0,"No result",IF($N221=0,"No Start (attainment only)",IF(OR($N221=1,$O221=1),"U – needs rule",INDEX(MxBody,MATCH($I221,MxCurr,0),MATCH($H221,MxStart,0)))))))</f>
        <v>Better</v>
      </c>
      <c r="L221" s="62" t="str">
        <f aca="false">IF(COUNTA($A221,$F221,$G221,$H221,$I221,$J221)=0,"",IF($M221=0,"✖ كود الصف غير موجود",IF(ISNA(MATCH($F221,Lists!$A$2:$A$5,0)),"✖ الفترة غير صحيحة",IF(ISNA(MATCH($G221,Lists!$B$2:$B$7,0)),"✖ المجموعة غير صحيحة",IF(NOT(OR($H221="",$N221&gt;0)),"✖ Start غير صحيح",IF(NOT(OR($I221="",$I221="NR",$O221&gt;0)),"✖ Current غير صحيح",IF(NOT(IF(ISNUMBER($J221),AND($J221&gt;=0,$J221=INT($J221)),FALSE())),"✖ العدد يجب أن يكون صحيحًا ≥ 0",IF(AND($F221="Baseline",$H221&lt;&gt;""),"⚠ Baseline: Start لا يدخل في التقدم",IF($K221="No Start (attainment only)","ℹ تحصيل فقط (بدون Start)",IF($K221="U – needs rule","ℹ حالة U تحتاج قاعدة معتمدة",IF($K221="No result","ℹ بدون نتيجة (يُستبعد من التحصيل)","OK")))))))))))</f>
        <v>OK</v>
      </c>
      <c r="M221" s="64" t="n">
        <f aca="false">IF($A221="",0,IFERROR(MATCH($A221,Classes!$A$6:$A$420,0),0))</f>
        <v>283</v>
      </c>
      <c r="N221" s="64" t="n">
        <f aca="false">IF($H221="",0,IFERROR(MATCH($H221,GradeList,0),0))</f>
        <v>9</v>
      </c>
      <c r="O221" s="64" t="n">
        <f aca="false">IF(OR($I221="",$I221="NR"),0,IFERROR(MATCH($I221,GradeList,0),0))</f>
        <v>10</v>
      </c>
      <c r="P221" s="64" t="n">
        <f aca="false">IF(AND($M221&gt;0,ISNUMBER(MATCH($F221,Lists!$A$2:$A$5,0)),ISNUMBER(MATCH($G221,Lists!$B$2:$B$7,0)),OR($H221="",$N221&gt;0),OR($I221="",$I221="NR",$O221&gt;0),IF(ISNUMBER($J221),AND($J221&gt;=0,$J221=INT($J221)),FALSE())),$J221,0)</f>
        <v>2</v>
      </c>
      <c r="Q221" s="64" t="n">
        <f aca="false">IF(AND($P221&gt;0,$O221&gt;0),$P221,0)</f>
        <v>2</v>
      </c>
      <c r="R221" s="64" t="n">
        <f aca="false">IF(AND($Q221&gt;0,$O221&gt;=AtRank),$Q221,0)</f>
        <v>2</v>
      </c>
      <c r="S221" s="64" t="n">
        <f aca="false">IF(AND($Q221&gt;0,$O221&gt;=AboveRank),$Q221,0)</f>
        <v>2</v>
      </c>
      <c r="T221" s="64" t="n">
        <f aca="false">IF($K221="Less",$P221,0)</f>
        <v>0</v>
      </c>
      <c r="U221" s="64" t="n">
        <f aca="false">IF($K221="Expected",$P221,0)</f>
        <v>0</v>
      </c>
      <c r="V221" s="64" t="n">
        <f aca="false">IF($K221="Better",$P221,0)</f>
        <v>2</v>
      </c>
      <c r="W221" s="64" t="n">
        <f aca="false">IF($K221="U – needs rule",$P221,0)</f>
        <v>0</v>
      </c>
      <c r="X221" s="64" t="n">
        <f aca="false">IF($K221="No Start (attainment only)",$P221,0)</f>
        <v>0</v>
      </c>
    </row>
    <row r="222" customFormat="false" ht="15" hidden="false" customHeight="false" outlineLevel="0" collapsed="false">
      <c r="A222" s="60" t="s">
        <v>779</v>
      </c>
      <c r="B222" s="61" t="str">
        <f aca="false">IF($M222=0,"",INDEX(Classes!$E$6:$E$420,$M222))</f>
        <v>Arabic A</v>
      </c>
      <c r="C222" s="62" t="str">
        <f aca="false">IF($M222=0,"",INDEX(Classes!$H$6:$H$420,$M222))</f>
        <v>Mr Ahmed AbdelmonemElsye</v>
      </c>
      <c r="D222" s="61" t="str">
        <f aca="false">IF($M222=0,"",INDEX(Classes!$B$6:$B$420,$M222))</f>
        <v>Year 10</v>
      </c>
      <c r="E222" s="61" t="str">
        <f aca="false">IF($M222=0,"",INDEX(Classes!$C$6:$C$420,$M222))</f>
        <v>ah</v>
      </c>
      <c r="F222" s="63" t="s">
        <v>163</v>
      </c>
      <c r="G222" s="63" t="s">
        <v>108</v>
      </c>
      <c r="H222" s="60" t="s">
        <v>199</v>
      </c>
      <c r="I222" s="60" t="s">
        <v>201</v>
      </c>
      <c r="J222" s="63" t="n">
        <v>1</v>
      </c>
      <c r="K222" s="61" t="str">
        <f aca="false">IF($P222=0,"",IF($F222="Baseline","— Baseline",IF($O222=0,"No result",IF($N222=0,"No Start (attainment only)",IF(OR($N222=1,$O222=1),"U – needs rule",INDEX(MxBody,MATCH($I222,MxCurr,0),MATCH($H222,MxStart,0)))))))</f>
        <v>Better</v>
      </c>
      <c r="L222" s="62" t="str">
        <f aca="false">IF(COUNTA($A222,$F222,$G222,$H222,$I222,$J222)=0,"",IF($M222=0,"✖ كود الصف غير موجود",IF(ISNA(MATCH($F222,Lists!$A$2:$A$5,0)),"✖ الفترة غير صحيحة",IF(ISNA(MATCH($G222,Lists!$B$2:$B$7,0)),"✖ المجموعة غير صحيحة",IF(NOT(OR($H222="",$N222&gt;0)),"✖ Start غير صحيح",IF(NOT(OR($I222="",$I222="NR",$O222&gt;0)),"✖ Current غير صحيح",IF(NOT(IF(ISNUMBER($J222),AND($J222&gt;=0,$J222=INT($J222)),FALSE())),"✖ العدد يجب أن يكون صحيحًا ≥ 0",IF(AND($F222="Baseline",$H222&lt;&gt;""),"⚠ Baseline: Start لا يدخل في التقدم",IF($K222="No Start (attainment only)","ℹ تحصيل فقط (بدون Start)",IF($K222="U – needs rule","ℹ حالة U تحتاج قاعدة معتمدة",IF($K222="No result","ℹ بدون نتيجة (يُستبعد من التحصيل)","OK")))))))))))</f>
        <v>OK</v>
      </c>
      <c r="M222" s="64" t="n">
        <f aca="false">IF($A222="",0,IFERROR(MATCH($A222,Classes!$A$6:$A$420,0),0))</f>
        <v>283</v>
      </c>
      <c r="N222" s="64" t="n">
        <f aca="false">IF($H222="",0,IFERROR(MATCH($H222,GradeList,0),0))</f>
        <v>4</v>
      </c>
      <c r="O222" s="64" t="n">
        <f aca="false">IF(OR($I222="",$I222="NR"),0,IFERROR(MATCH($I222,GradeList,0),0))</f>
        <v>6</v>
      </c>
      <c r="P222" s="64" t="n">
        <f aca="false">IF(AND($M222&gt;0,ISNUMBER(MATCH($F222,Lists!$A$2:$A$5,0)),ISNUMBER(MATCH($G222,Lists!$B$2:$B$7,0)),OR($H222="",$N222&gt;0),OR($I222="",$I222="NR",$O222&gt;0),IF(ISNUMBER($J222),AND($J222&gt;=0,$J222=INT($J222)),FALSE())),$J222,0)</f>
        <v>1</v>
      </c>
      <c r="Q222" s="64" t="n">
        <f aca="false">IF(AND($P222&gt;0,$O222&gt;0),$P222,0)</f>
        <v>1</v>
      </c>
      <c r="R222" s="64" t="n">
        <f aca="false">IF(AND($Q222&gt;0,$O222&gt;=AtRank),$Q222,0)</f>
        <v>1</v>
      </c>
      <c r="S222" s="64" t="n">
        <f aca="false">IF(AND($Q222&gt;0,$O222&gt;=AboveRank),$Q222,0)</f>
        <v>0</v>
      </c>
      <c r="T222" s="64" t="n">
        <f aca="false">IF($K222="Less",$P222,0)</f>
        <v>0</v>
      </c>
      <c r="U222" s="64" t="n">
        <f aca="false">IF($K222="Expected",$P222,0)</f>
        <v>0</v>
      </c>
      <c r="V222" s="64" t="n">
        <f aca="false">IF($K222="Better",$P222,0)</f>
        <v>1</v>
      </c>
      <c r="W222" s="64" t="n">
        <f aca="false">IF($K222="U – needs rule",$P222,0)</f>
        <v>0</v>
      </c>
      <c r="X222" s="64" t="n">
        <f aca="false">IF($K222="No Start (attainment only)",$P222,0)</f>
        <v>0</v>
      </c>
    </row>
    <row r="223" customFormat="false" ht="15" hidden="false" customHeight="false" outlineLevel="0" collapsed="false">
      <c r="A223" s="60" t="s">
        <v>779</v>
      </c>
      <c r="B223" s="61" t="str">
        <f aca="false">IF($M223=0,"",INDEX(Classes!$E$6:$E$420,$M223))</f>
        <v>Arabic A</v>
      </c>
      <c r="C223" s="62" t="str">
        <f aca="false">IF($M223=0,"",INDEX(Classes!$H$6:$H$420,$M223))</f>
        <v>Mr Ahmed AbdelmonemElsye</v>
      </c>
      <c r="D223" s="61" t="str">
        <f aca="false">IF($M223=0,"",INDEX(Classes!$B$6:$B$420,$M223))</f>
        <v>Year 10</v>
      </c>
      <c r="E223" s="61" t="str">
        <f aca="false">IF($M223=0,"",INDEX(Classes!$C$6:$C$420,$M223))</f>
        <v>ah</v>
      </c>
      <c r="F223" s="63" t="s">
        <v>163</v>
      </c>
      <c r="G223" s="63" t="s">
        <v>108</v>
      </c>
      <c r="H223" s="60" t="s">
        <v>199</v>
      </c>
      <c r="I223" s="60" t="s">
        <v>198</v>
      </c>
      <c r="J223" s="63" t="n">
        <v>2</v>
      </c>
      <c r="K223" s="61" t="str">
        <f aca="false">IF($P223=0,"",IF($F223="Baseline","— Baseline",IF($O223=0,"No result",IF($N223=0,"No Start (attainment only)",IF(OR($N223=1,$O223=1),"U – needs rule",INDEX(MxBody,MATCH($I223,MxCurr,0),MATCH($H223,MxStart,0)))))))</f>
        <v>Less</v>
      </c>
      <c r="L223" s="62" t="str">
        <f aca="false">IF(COUNTA($A223,$F223,$G223,$H223,$I223,$J223)=0,"",IF($M223=0,"✖ كود الصف غير موجود",IF(ISNA(MATCH($F223,Lists!$A$2:$A$5,0)),"✖ الفترة غير صحيحة",IF(ISNA(MATCH($G223,Lists!$B$2:$B$7,0)),"✖ المجموعة غير صحيحة",IF(NOT(OR($H223="",$N223&gt;0)),"✖ Start غير صحيح",IF(NOT(OR($I223="",$I223="NR",$O223&gt;0)),"✖ Current غير صحيح",IF(NOT(IF(ISNUMBER($J223),AND($J223&gt;=0,$J223=INT($J223)),FALSE())),"✖ العدد يجب أن يكون صحيحًا ≥ 0",IF(AND($F223="Baseline",$H223&lt;&gt;""),"⚠ Baseline: Start لا يدخل في التقدم",IF($K223="No Start (attainment only)","ℹ تحصيل فقط (بدون Start)",IF($K223="U – needs rule","ℹ حالة U تحتاج قاعدة معتمدة",IF($K223="No result","ℹ بدون نتيجة (يُستبعد من التحصيل)","OK")))))))))))</f>
        <v>OK</v>
      </c>
      <c r="M223" s="64" t="n">
        <f aca="false">IF($A223="",0,IFERROR(MATCH($A223,Classes!$A$6:$A$420,0),0))</f>
        <v>283</v>
      </c>
      <c r="N223" s="64" t="n">
        <f aca="false">IF($H223="",0,IFERROR(MATCH($H223,GradeList,0),0))</f>
        <v>4</v>
      </c>
      <c r="O223" s="64" t="n">
        <f aca="false">IF(OR($I223="",$I223="NR"),0,IFERROR(MATCH($I223,GradeList,0),0))</f>
        <v>3</v>
      </c>
      <c r="P223" s="64" t="n">
        <f aca="false">IF(AND($M223&gt;0,ISNUMBER(MATCH($F223,Lists!$A$2:$A$5,0)),ISNUMBER(MATCH($G223,Lists!$B$2:$B$7,0)),OR($H223="",$N223&gt;0),OR($I223="",$I223="NR",$O223&gt;0),IF(ISNUMBER($J223),AND($J223&gt;=0,$J223=INT($J223)),FALSE())),$J223,0)</f>
        <v>2</v>
      </c>
      <c r="Q223" s="64" t="n">
        <f aca="false">IF(AND($P223&gt;0,$O223&gt;0),$P223,0)</f>
        <v>2</v>
      </c>
      <c r="R223" s="64" t="n">
        <f aca="false">IF(AND($Q223&gt;0,$O223&gt;=AtRank),$Q223,0)</f>
        <v>0</v>
      </c>
      <c r="S223" s="64" t="n">
        <f aca="false">IF(AND($Q223&gt;0,$O223&gt;=AboveRank),$Q223,0)</f>
        <v>0</v>
      </c>
      <c r="T223" s="64" t="n">
        <f aca="false">IF($K223="Less",$P223,0)</f>
        <v>2</v>
      </c>
      <c r="U223" s="64" t="n">
        <f aca="false">IF($K223="Expected",$P223,0)</f>
        <v>0</v>
      </c>
      <c r="V223" s="64" t="n">
        <f aca="false">IF($K223="Better",$P223,0)</f>
        <v>0</v>
      </c>
      <c r="W223" s="64" t="n">
        <f aca="false">IF($K223="U – needs rule",$P223,0)</f>
        <v>0</v>
      </c>
      <c r="X223" s="64" t="n">
        <f aca="false">IF($K223="No Start (attainment only)",$P223,0)</f>
        <v>0</v>
      </c>
    </row>
    <row r="224" customFormat="false" ht="15" hidden="false" customHeight="false" outlineLevel="0" collapsed="false">
      <c r="A224" s="60" t="s">
        <v>779</v>
      </c>
      <c r="B224" s="61" t="str">
        <f aca="false">IF($M224=0,"",INDEX(Classes!$E$6:$E$420,$M224))</f>
        <v>Arabic A</v>
      </c>
      <c r="C224" s="62" t="str">
        <f aca="false">IF($M224=0,"",INDEX(Classes!$H$6:$H$420,$M224))</f>
        <v>Mr Ahmed AbdelmonemElsye</v>
      </c>
      <c r="D224" s="61" t="str">
        <f aca="false">IF($M224=0,"",INDEX(Classes!$B$6:$B$420,$M224))</f>
        <v>Year 10</v>
      </c>
      <c r="E224" s="61" t="str">
        <f aca="false">IF($M224=0,"",INDEX(Classes!$C$6:$C$420,$M224))</f>
        <v>ah</v>
      </c>
      <c r="F224" s="63" t="s">
        <v>163</v>
      </c>
      <c r="G224" s="63" t="s">
        <v>1015</v>
      </c>
      <c r="H224" s="60" t="s">
        <v>203</v>
      </c>
      <c r="I224" s="60" t="s">
        <v>204</v>
      </c>
      <c r="J224" s="63" t="n">
        <v>1</v>
      </c>
      <c r="K224" s="61" t="str">
        <f aca="false">IF($P224=0,"",IF($F224="Baseline","— Baseline",IF($O224=0,"No result",IF($N224=0,"No Start (attainment only)",IF(OR($N224=1,$O224=1),"U – needs rule",INDEX(MxBody,MATCH($I224,MxCurr,0),MATCH($H224,MxStart,0)))))))</f>
        <v>Better</v>
      </c>
      <c r="L224" s="62" t="str">
        <f aca="false">IF(COUNTA($A224,$F224,$G224,$H224,$I224,$J224)=0,"",IF($M224=0,"✖ كود الصف غير موجود",IF(ISNA(MATCH($F224,Lists!$A$2:$A$5,0)),"✖ الفترة غير صحيحة",IF(ISNA(MATCH($G224,Lists!$B$2:$B$7,0)),"✖ المجموعة غير صحيحة",IF(NOT(OR($H224="",$N224&gt;0)),"✖ Start غير صحيح",IF(NOT(OR($I224="",$I224="NR",$O224&gt;0)),"✖ Current غير صحيح",IF(NOT(IF(ISNUMBER($J224),AND($J224&gt;=0,$J224=INT($J224)),FALSE())),"✖ العدد يجب أن يكون صحيحًا ≥ 0",IF(AND($F224="Baseline",$H224&lt;&gt;""),"⚠ Baseline: Start لا يدخل في التقدم",IF($K224="No Start (attainment only)","ℹ تحصيل فقط (بدون Start)",IF($K224="U – needs rule","ℹ حالة U تحتاج قاعدة معتمدة",IF($K224="No result","ℹ بدون نتيجة (يُستبعد من التحصيل)","OK")))))))))))</f>
        <v>OK</v>
      </c>
      <c r="M224" s="64" t="n">
        <f aca="false">IF($A224="",0,IFERROR(MATCH($A224,Classes!$A$6:$A$420,0),0))</f>
        <v>283</v>
      </c>
      <c r="N224" s="64" t="n">
        <f aca="false">IF($H224="",0,IFERROR(MATCH($H224,GradeList,0),0))</f>
        <v>8</v>
      </c>
      <c r="O224" s="64" t="n">
        <f aca="false">IF(OR($I224="",$I224="NR"),0,IFERROR(MATCH($I224,GradeList,0),0))</f>
        <v>9</v>
      </c>
      <c r="P224" s="64" t="n">
        <f aca="false">IF(AND($M224&gt;0,ISNUMBER(MATCH($F224,Lists!$A$2:$A$5,0)),ISNUMBER(MATCH($G224,Lists!$B$2:$B$7,0)),OR($H224="",$N224&gt;0),OR($I224="",$I224="NR",$O224&gt;0),IF(ISNUMBER($J224),AND($J224&gt;=0,$J224=INT($J224)),FALSE())),$J224,0)</f>
        <v>1</v>
      </c>
      <c r="Q224" s="64" t="n">
        <f aca="false">IF(AND($P224&gt;0,$O224&gt;0),$P224,0)</f>
        <v>1</v>
      </c>
      <c r="R224" s="64" t="n">
        <f aca="false">IF(AND($Q224&gt;0,$O224&gt;=AtRank),$Q224,0)</f>
        <v>1</v>
      </c>
      <c r="S224" s="64" t="n">
        <f aca="false">IF(AND($Q224&gt;0,$O224&gt;=AboveRank),$Q224,0)</f>
        <v>1</v>
      </c>
      <c r="T224" s="64" t="n">
        <f aca="false">IF($K224="Less",$P224,0)</f>
        <v>0</v>
      </c>
      <c r="U224" s="64" t="n">
        <f aca="false">IF($K224="Expected",$P224,0)</f>
        <v>0</v>
      </c>
      <c r="V224" s="64" t="n">
        <f aca="false">IF($K224="Better",$P224,0)</f>
        <v>1</v>
      </c>
      <c r="W224" s="64" t="n">
        <f aca="false">IF($K224="U – needs rule",$P224,0)</f>
        <v>0</v>
      </c>
      <c r="X224" s="64" t="n">
        <f aca="false">IF($K224="No Start (attainment only)",$P224,0)</f>
        <v>0</v>
      </c>
    </row>
    <row r="225" customFormat="false" ht="15" hidden="false" customHeight="false" outlineLevel="0" collapsed="false">
      <c r="A225" s="60" t="s">
        <v>779</v>
      </c>
      <c r="B225" s="61" t="str">
        <f aca="false">IF($M225=0,"",INDEX(Classes!$E$6:$E$420,$M225))</f>
        <v>Arabic A</v>
      </c>
      <c r="C225" s="62" t="str">
        <f aca="false">IF($M225=0,"",INDEX(Classes!$H$6:$H$420,$M225))</f>
        <v>Mr Ahmed AbdelmonemElsye</v>
      </c>
      <c r="D225" s="61" t="str">
        <f aca="false">IF($M225=0,"",INDEX(Classes!$B$6:$B$420,$M225))</f>
        <v>Year 10</v>
      </c>
      <c r="E225" s="61" t="str">
        <f aca="false">IF($M225=0,"",INDEX(Classes!$C$6:$C$420,$M225))</f>
        <v>ah</v>
      </c>
      <c r="F225" s="63" t="s">
        <v>163</v>
      </c>
      <c r="G225" s="63" t="s">
        <v>1015</v>
      </c>
      <c r="H225" s="60" t="s">
        <v>203</v>
      </c>
      <c r="I225" s="60" t="s">
        <v>205</v>
      </c>
      <c r="J225" s="63" t="n">
        <v>1</v>
      </c>
      <c r="K225" s="61" t="str">
        <f aca="false">IF($P225=0,"",IF($F225="Baseline","— Baseline",IF($O225=0,"No result",IF($N225=0,"No Start (attainment only)",IF(OR($N225=1,$O225=1),"U – needs rule",INDEX(MxBody,MATCH($I225,MxCurr,0),MATCH($H225,MxStart,0)))))))</f>
        <v>Better</v>
      </c>
      <c r="L225" s="62" t="str">
        <f aca="false">IF(COUNTA($A225,$F225,$G225,$H225,$I225,$J225)=0,"",IF($M225=0,"✖ كود الصف غير موجود",IF(ISNA(MATCH($F225,Lists!$A$2:$A$5,0)),"✖ الفترة غير صحيحة",IF(ISNA(MATCH($G225,Lists!$B$2:$B$7,0)),"✖ المجموعة غير صحيحة",IF(NOT(OR($H225="",$N225&gt;0)),"✖ Start غير صحيح",IF(NOT(OR($I225="",$I225="NR",$O225&gt;0)),"✖ Current غير صحيح",IF(NOT(IF(ISNUMBER($J225),AND($J225&gt;=0,$J225=INT($J225)),FALSE())),"✖ العدد يجب أن يكون صحيحًا ≥ 0",IF(AND($F225="Baseline",$H225&lt;&gt;""),"⚠ Baseline: Start لا يدخل في التقدم",IF($K225="No Start (attainment only)","ℹ تحصيل فقط (بدون Start)",IF($K225="U – needs rule","ℹ حالة U تحتاج قاعدة معتمدة",IF($K225="No result","ℹ بدون نتيجة (يُستبعد من التحصيل)","OK")))))))))))</f>
        <v>OK</v>
      </c>
      <c r="M225" s="64" t="n">
        <f aca="false">IF($A225="",0,IFERROR(MATCH($A225,Classes!$A$6:$A$420,0),0))</f>
        <v>283</v>
      </c>
      <c r="N225" s="64" t="n">
        <f aca="false">IF($H225="",0,IFERROR(MATCH($H225,GradeList,0),0))</f>
        <v>8</v>
      </c>
      <c r="O225" s="64" t="n">
        <f aca="false">IF(OR($I225="",$I225="NR"),0,IFERROR(MATCH($I225,GradeList,0),0))</f>
        <v>10</v>
      </c>
      <c r="P225" s="64" t="n">
        <f aca="false">IF(AND($M225&gt;0,ISNUMBER(MATCH($F225,Lists!$A$2:$A$5,0)),ISNUMBER(MATCH($G225,Lists!$B$2:$B$7,0)),OR($H225="",$N225&gt;0),OR($I225="",$I225="NR",$O225&gt;0),IF(ISNUMBER($J225),AND($J225&gt;=0,$J225=INT($J225)),FALSE())),$J225,0)</f>
        <v>1</v>
      </c>
      <c r="Q225" s="64" t="n">
        <f aca="false">IF(AND($P225&gt;0,$O225&gt;0),$P225,0)</f>
        <v>1</v>
      </c>
      <c r="R225" s="64" t="n">
        <f aca="false">IF(AND($Q225&gt;0,$O225&gt;=AtRank),$Q225,0)</f>
        <v>1</v>
      </c>
      <c r="S225" s="64" t="n">
        <f aca="false">IF(AND($Q225&gt;0,$O225&gt;=AboveRank),$Q225,0)</f>
        <v>1</v>
      </c>
      <c r="T225" s="64" t="n">
        <f aca="false">IF($K225="Less",$P225,0)</f>
        <v>0</v>
      </c>
      <c r="U225" s="64" t="n">
        <f aca="false">IF($K225="Expected",$P225,0)</f>
        <v>0</v>
      </c>
      <c r="V225" s="64" t="n">
        <f aca="false">IF($K225="Better",$P225,0)</f>
        <v>1</v>
      </c>
      <c r="W225" s="64" t="n">
        <f aca="false">IF($K225="U – needs rule",$P225,0)</f>
        <v>0</v>
      </c>
      <c r="X225" s="64" t="n">
        <f aca="false">IF($K225="No Start (attainment only)",$P225,0)</f>
        <v>0</v>
      </c>
    </row>
    <row r="226" customFormat="false" ht="15" hidden="false" customHeight="false" outlineLevel="0" collapsed="false">
      <c r="A226" s="60" t="s">
        <v>779</v>
      </c>
      <c r="B226" s="61" t="str">
        <f aca="false">IF($M226=0,"",INDEX(Classes!$E$6:$E$420,$M226))</f>
        <v>Arabic A</v>
      </c>
      <c r="C226" s="62" t="str">
        <f aca="false">IF($M226=0,"",INDEX(Classes!$H$6:$H$420,$M226))</f>
        <v>Mr Ahmed AbdelmonemElsye</v>
      </c>
      <c r="D226" s="61" t="str">
        <f aca="false">IF($M226=0,"",INDEX(Classes!$B$6:$B$420,$M226))</f>
        <v>Year 10</v>
      </c>
      <c r="E226" s="61" t="str">
        <f aca="false">IF($M226=0,"",INDEX(Classes!$C$6:$C$420,$M226))</f>
        <v>ah</v>
      </c>
      <c r="F226" s="63" t="s">
        <v>163</v>
      </c>
      <c r="G226" s="63" t="s">
        <v>1015</v>
      </c>
      <c r="H226" s="60" t="s">
        <v>200</v>
      </c>
      <c r="I226" s="60" t="s">
        <v>200</v>
      </c>
      <c r="J226" s="63" t="n">
        <v>1</v>
      </c>
      <c r="K226" s="61" t="str">
        <f aca="false">IF($P226=0,"",IF($F226="Baseline","— Baseline",IF($O226=0,"No result",IF($N226=0,"No Start (attainment only)",IF(OR($N226=1,$O226=1),"U – needs rule",INDEX(MxBody,MATCH($I226,MxCurr,0),MATCH($H226,MxStart,0)))))))</f>
        <v>Expected</v>
      </c>
      <c r="L226" s="62" t="str">
        <f aca="false">IF(COUNTA($A226,$F226,$G226,$H226,$I226,$J226)=0,"",IF($M226=0,"✖ كود الصف غير موجود",IF(ISNA(MATCH($F226,Lists!$A$2:$A$5,0)),"✖ الفترة غير صحيحة",IF(ISNA(MATCH($G226,Lists!$B$2:$B$7,0)),"✖ المجموعة غير صحيحة",IF(NOT(OR($H226="",$N226&gt;0)),"✖ Start غير صحيح",IF(NOT(OR($I226="",$I226="NR",$O226&gt;0)),"✖ Current غير صحيح",IF(NOT(IF(ISNUMBER($J226),AND($J226&gt;=0,$J226=INT($J226)),FALSE())),"✖ العدد يجب أن يكون صحيحًا ≥ 0",IF(AND($F226="Baseline",$H226&lt;&gt;""),"⚠ Baseline: Start لا يدخل في التقدم",IF($K226="No Start (attainment only)","ℹ تحصيل فقط (بدون Start)",IF($K226="U – needs rule","ℹ حالة U تحتاج قاعدة معتمدة",IF($K226="No result","ℹ بدون نتيجة (يُستبعد من التحصيل)","OK")))))))))))</f>
        <v>OK</v>
      </c>
      <c r="M226" s="64" t="n">
        <f aca="false">IF($A226="",0,IFERROR(MATCH($A226,Classes!$A$6:$A$420,0),0))</f>
        <v>283</v>
      </c>
      <c r="N226" s="64" t="n">
        <f aca="false">IF($H226="",0,IFERROR(MATCH($H226,GradeList,0),0))</f>
        <v>5</v>
      </c>
      <c r="O226" s="64" t="n">
        <f aca="false">IF(OR($I226="",$I226="NR"),0,IFERROR(MATCH($I226,GradeList,0),0))</f>
        <v>5</v>
      </c>
      <c r="P226" s="64" t="n">
        <f aca="false">IF(AND($M226&gt;0,ISNUMBER(MATCH($F226,Lists!$A$2:$A$5,0)),ISNUMBER(MATCH($G226,Lists!$B$2:$B$7,0)),OR($H226="",$N226&gt;0),OR($I226="",$I226="NR",$O226&gt;0),IF(ISNUMBER($J226),AND($J226&gt;=0,$J226=INT($J226)),FALSE())),$J226,0)</f>
        <v>1</v>
      </c>
      <c r="Q226" s="64" t="n">
        <f aca="false">IF(AND($P226&gt;0,$O226&gt;0),$P226,0)</f>
        <v>1</v>
      </c>
      <c r="R226" s="64" t="n">
        <f aca="false">IF(AND($Q226&gt;0,$O226&gt;=AtRank),$Q226,0)</f>
        <v>1</v>
      </c>
      <c r="S226" s="64" t="n">
        <f aca="false">IF(AND($Q226&gt;0,$O226&gt;=AboveRank),$Q226,0)</f>
        <v>0</v>
      </c>
      <c r="T226" s="64" t="n">
        <f aca="false">IF($K226="Less",$P226,0)</f>
        <v>0</v>
      </c>
      <c r="U226" s="64" t="n">
        <f aca="false">IF($K226="Expected",$P226,0)</f>
        <v>1</v>
      </c>
      <c r="V226" s="64" t="n">
        <f aca="false">IF($K226="Better",$P226,0)</f>
        <v>0</v>
      </c>
      <c r="W226" s="64" t="n">
        <f aca="false">IF($K226="U – needs rule",$P226,0)</f>
        <v>0</v>
      </c>
      <c r="X226" s="64" t="n">
        <f aca="false">IF($K226="No Start (attainment only)",$P226,0)</f>
        <v>0</v>
      </c>
    </row>
    <row r="227" customFormat="false" ht="15" hidden="false" customHeight="false" outlineLevel="0" collapsed="false">
      <c r="A227" s="60" t="s">
        <v>779</v>
      </c>
      <c r="B227" s="61" t="str">
        <f aca="false">IF($M227=0,"",INDEX(Classes!$E$6:$E$420,$M227))</f>
        <v>Arabic A</v>
      </c>
      <c r="C227" s="62" t="str">
        <f aca="false">IF($M227=0,"",INDEX(Classes!$H$6:$H$420,$M227))</f>
        <v>Mr Ahmed AbdelmonemElsye</v>
      </c>
      <c r="D227" s="61" t="str">
        <f aca="false">IF($M227=0,"",INDEX(Classes!$B$6:$B$420,$M227))</f>
        <v>Year 10</v>
      </c>
      <c r="E227" s="61" t="str">
        <f aca="false">IF($M227=0,"",INDEX(Classes!$C$6:$C$420,$M227))</f>
        <v>ah</v>
      </c>
      <c r="F227" s="63" t="s">
        <v>163</v>
      </c>
      <c r="G227" s="63" t="s">
        <v>1015</v>
      </c>
      <c r="H227" s="60" t="s">
        <v>201</v>
      </c>
      <c r="I227" s="60" t="s">
        <v>200</v>
      </c>
      <c r="J227" s="63" t="n">
        <v>1</v>
      </c>
      <c r="K227" s="61" t="str">
        <f aca="false">IF($P227=0,"",IF($F227="Baseline","— Baseline",IF($O227=0,"No result",IF($N227=0,"No Start (attainment only)",IF(OR($N227=1,$O227=1),"U – needs rule",INDEX(MxBody,MATCH($I227,MxCurr,0),MATCH($H227,MxStart,0)))))))</f>
        <v>Expected</v>
      </c>
      <c r="L227" s="62" t="str">
        <f aca="false">IF(COUNTA($A227,$F227,$G227,$H227,$I227,$J227)=0,"",IF($M227=0,"✖ كود الصف غير موجود",IF(ISNA(MATCH($F227,Lists!$A$2:$A$5,0)),"✖ الفترة غير صحيحة",IF(ISNA(MATCH($G227,Lists!$B$2:$B$7,0)),"✖ المجموعة غير صحيحة",IF(NOT(OR($H227="",$N227&gt;0)),"✖ Start غير صحيح",IF(NOT(OR($I227="",$I227="NR",$O227&gt;0)),"✖ Current غير صحيح",IF(NOT(IF(ISNUMBER($J227),AND($J227&gt;=0,$J227=INT($J227)),FALSE())),"✖ العدد يجب أن يكون صحيحًا ≥ 0",IF(AND($F227="Baseline",$H227&lt;&gt;""),"⚠ Baseline: Start لا يدخل في التقدم",IF($K227="No Start (attainment only)","ℹ تحصيل فقط (بدون Start)",IF($K227="U – needs rule","ℹ حالة U تحتاج قاعدة معتمدة",IF($K227="No result","ℹ بدون نتيجة (يُستبعد من التحصيل)","OK")))))))))))</f>
        <v>OK</v>
      </c>
      <c r="M227" s="64" t="n">
        <f aca="false">IF($A227="",0,IFERROR(MATCH($A227,Classes!$A$6:$A$420,0),0))</f>
        <v>283</v>
      </c>
      <c r="N227" s="64" t="n">
        <f aca="false">IF($H227="",0,IFERROR(MATCH($H227,GradeList,0),0))</f>
        <v>6</v>
      </c>
      <c r="O227" s="64" t="n">
        <f aca="false">IF(OR($I227="",$I227="NR"),0,IFERROR(MATCH($I227,GradeList,0),0))</f>
        <v>5</v>
      </c>
      <c r="P227" s="64" t="n">
        <f aca="false">IF(AND($M227&gt;0,ISNUMBER(MATCH($F227,Lists!$A$2:$A$5,0)),ISNUMBER(MATCH($G227,Lists!$B$2:$B$7,0)),OR($H227="",$N227&gt;0),OR($I227="",$I227="NR",$O227&gt;0),IF(ISNUMBER($J227),AND($J227&gt;=0,$J227=INT($J227)),FALSE())),$J227,0)</f>
        <v>1</v>
      </c>
      <c r="Q227" s="64" t="n">
        <f aca="false">IF(AND($P227&gt;0,$O227&gt;0),$P227,0)</f>
        <v>1</v>
      </c>
      <c r="R227" s="64" t="n">
        <f aca="false">IF(AND($Q227&gt;0,$O227&gt;=AtRank),$Q227,0)</f>
        <v>1</v>
      </c>
      <c r="S227" s="64" t="n">
        <f aca="false">IF(AND($Q227&gt;0,$O227&gt;=AboveRank),$Q227,0)</f>
        <v>0</v>
      </c>
      <c r="T227" s="64" t="n">
        <f aca="false">IF($K227="Less",$P227,0)</f>
        <v>0</v>
      </c>
      <c r="U227" s="64" t="n">
        <f aca="false">IF($K227="Expected",$P227,0)</f>
        <v>1</v>
      </c>
      <c r="V227" s="64" t="n">
        <f aca="false">IF($K227="Better",$P227,0)</f>
        <v>0</v>
      </c>
      <c r="W227" s="64" t="n">
        <f aca="false">IF($K227="U – needs rule",$P227,0)</f>
        <v>0</v>
      </c>
      <c r="X227" s="64" t="n">
        <f aca="false">IF($K227="No Start (attainment only)",$P227,0)</f>
        <v>0</v>
      </c>
    </row>
    <row r="228" customFormat="false" ht="15" hidden="false" customHeight="false" outlineLevel="0" collapsed="false">
      <c r="A228" s="60" t="s">
        <v>779</v>
      </c>
      <c r="B228" s="61" t="str">
        <f aca="false">IF($M228=0,"",INDEX(Classes!$E$6:$E$420,$M228))</f>
        <v>Arabic A</v>
      </c>
      <c r="C228" s="62" t="str">
        <f aca="false">IF($M228=0,"",INDEX(Classes!$H$6:$H$420,$M228))</f>
        <v>Mr Ahmed AbdelmonemElsye</v>
      </c>
      <c r="D228" s="61" t="str">
        <f aca="false">IF($M228=0,"",INDEX(Classes!$B$6:$B$420,$M228))</f>
        <v>Year 10</v>
      </c>
      <c r="E228" s="61" t="str">
        <f aca="false">IF($M228=0,"",INDEX(Classes!$C$6:$C$420,$M228))</f>
        <v>ah</v>
      </c>
      <c r="F228" s="63" t="s">
        <v>163</v>
      </c>
      <c r="G228" s="63" t="s">
        <v>1015</v>
      </c>
      <c r="H228" s="60" t="s">
        <v>199</v>
      </c>
      <c r="I228" s="60" t="s">
        <v>201</v>
      </c>
      <c r="J228" s="63" t="n">
        <v>1</v>
      </c>
      <c r="K228" s="61" t="str">
        <f aca="false">IF($P228=0,"",IF($F228="Baseline","— Baseline",IF($O228=0,"No result",IF($N228=0,"No Start (attainment only)",IF(OR($N228=1,$O228=1),"U – needs rule",INDEX(MxBody,MATCH($I228,MxCurr,0),MATCH($H228,MxStart,0)))))))</f>
        <v>Better</v>
      </c>
      <c r="L228" s="62" t="str">
        <f aca="false">IF(COUNTA($A228,$F228,$G228,$H228,$I228,$J228)=0,"",IF($M228=0,"✖ كود الصف غير موجود",IF(ISNA(MATCH($F228,Lists!$A$2:$A$5,0)),"✖ الفترة غير صحيحة",IF(ISNA(MATCH($G228,Lists!$B$2:$B$7,0)),"✖ المجموعة غير صحيحة",IF(NOT(OR($H228="",$N228&gt;0)),"✖ Start غير صحيح",IF(NOT(OR($I228="",$I228="NR",$O228&gt;0)),"✖ Current غير صحيح",IF(NOT(IF(ISNUMBER($J228),AND($J228&gt;=0,$J228=INT($J228)),FALSE())),"✖ العدد يجب أن يكون صحيحًا ≥ 0",IF(AND($F228="Baseline",$H228&lt;&gt;""),"⚠ Baseline: Start لا يدخل في التقدم",IF($K228="No Start (attainment only)","ℹ تحصيل فقط (بدون Start)",IF($K228="U – needs rule","ℹ حالة U تحتاج قاعدة معتمدة",IF($K228="No result","ℹ بدون نتيجة (يُستبعد من التحصيل)","OK")))))))))))</f>
        <v>OK</v>
      </c>
      <c r="M228" s="64" t="n">
        <f aca="false">IF($A228="",0,IFERROR(MATCH($A228,Classes!$A$6:$A$420,0),0))</f>
        <v>283</v>
      </c>
      <c r="N228" s="64" t="n">
        <f aca="false">IF($H228="",0,IFERROR(MATCH($H228,GradeList,0),0))</f>
        <v>4</v>
      </c>
      <c r="O228" s="64" t="n">
        <f aca="false">IF(OR($I228="",$I228="NR"),0,IFERROR(MATCH($I228,GradeList,0),0))</f>
        <v>6</v>
      </c>
      <c r="P228" s="64" t="n">
        <f aca="false">IF(AND($M228&gt;0,ISNUMBER(MATCH($F228,Lists!$A$2:$A$5,0)),ISNUMBER(MATCH($G228,Lists!$B$2:$B$7,0)),OR($H228="",$N228&gt;0),OR($I228="",$I228="NR",$O228&gt;0),IF(ISNUMBER($J228),AND($J228&gt;=0,$J228=INT($J228)),FALSE())),$J228,0)</f>
        <v>1</v>
      </c>
      <c r="Q228" s="64" t="n">
        <f aca="false">IF(AND($P228&gt;0,$O228&gt;0),$P228,0)</f>
        <v>1</v>
      </c>
      <c r="R228" s="64" t="n">
        <f aca="false">IF(AND($Q228&gt;0,$O228&gt;=AtRank),$Q228,0)</f>
        <v>1</v>
      </c>
      <c r="S228" s="64" t="n">
        <f aca="false">IF(AND($Q228&gt;0,$O228&gt;=AboveRank),$Q228,0)</f>
        <v>0</v>
      </c>
      <c r="T228" s="64" t="n">
        <f aca="false">IF($K228="Less",$P228,0)</f>
        <v>0</v>
      </c>
      <c r="U228" s="64" t="n">
        <f aca="false">IF($K228="Expected",$P228,0)</f>
        <v>0</v>
      </c>
      <c r="V228" s="64" t="n">
        <f aca="false">IF($K228="Better",$P228,0)</f>
        <v>1</v>
      </c>
      <c r="W228" s="64" t="n">
        <f aca="false">IF($K228="U – needs rule",$P228,0)</f>
        <v>0</v>
      </c>
      <c r="X228" s="64" t="n">
        <f aca="false">IF($K228="No Start (attainment only)",$P228,0)</f>
        <v>0</v>
      </c>
    </row>
    <row r="229" customFormat="false" ht="15" hidden="false" customHeight="false" outlineLevel="0" collapsed="false">
      <c r="A229" s="60" t="s">
        <v>779</v>
      </c>
      <c r="B229" s="61" t="str">
        <f aca="false">IF($M229=0,"",INDEX(Classes!$E$6:$E$420,$M229))</f>
        <v>Arabic A</v>
      </c>
      <c r="C229" s="62" t="str">
        <f aca="false">IF($M229=0,"",INDEX(Classes!$H$6:$H$420,$M229))</f>
        <v>Mr Ahmed AbdelmonemElsye</v>
      </c>
      <c r="D229" s="61" t="str">
        <f aca="false">IF($M229=0,"",INDEX(Classes!$B$6:$B$420,$M229))</f>
        <v>Year 10</v>
      </c>
      <c r="E229" s="61" t="str">
        <f aca="false">IF($M229=0,"",INDEX(Classes!$C$6:$C$420,$M229))</f>
        <v>ah</v>
      </c>
      <c r="F229" s="63" t="s">
        <v>163</v>
      </c>
      <c r="G229" s="63" t="s">
        <v>1015</v>
      </c>
      <c r="H229" s="60" t="s">
        <v>199</v>
      </c>
      <c r="I229" s="60" t="s">
        <v>198</v>
      </c>
      <c r="J229" s="63" t="n">
        <v>1</v>
      </c>
      <c r="K229" s="61" t="str">
        <f aca="false">IF($P229=0,"",IF($F229="Baseline","— Baseline",IF($O229=0,"No result",IF($N229=0,"No Start (attainment only)",IF(OR($N229=1,$O229=1),"U – needs rule",INDEX(MxBody,MATCH($I229,MxCurr,0),MATCH($H229,MxStart,0)))))))</f>
        <v>Less</v>
      </c>
      <c r="L229" s="62" t="str">
        <f aca="false">IF(COUNTA($A229,$F229,$G229,$H229,$I229,$J229)=0,"",IF($M229=0,"✖ كود الصف غير موجود",IF(ISNA(MATCH($F229,Lists!$A$2:$A$5,0)),"✖ الفترة غير صحيحة",IF(ISNA(MATCH($G229,Lists!$B$2:$B$7,0)),"✖ المجموعة غير صحيحة",IF(NOT(OR($H229="",$N229&gt;0)),"✖ Start غير صحيح",IF(NOT(OR($I229="",$I229="NR",$O229&gt;0)),"✖ Current غير صحيح",IF(NOT(IF(ISNUMBER($J229),AND($J229&gt;=0,$J229=INT($J229)),FALSE())),"✖ العدد يجب أن يكون صحيحًا ≥ 0",IF(AND($F229="Baseline",$H229&lt;&gt;""),"⚠ Baseline: Start لا يدخل في التقدم",IF($K229="No Start (attainment only)","ℹ تحصيل فقط (بدون Start)",IF($K229="U – needs rule","ℹ حالة U تحتاج قاعدة معتمدة",IF($K229="No result","ℹ بدون نتيجة (يُستبعد من التحصيل)","OK")))))))))))</f>
        <v>OK</v>
      </c>
      <c r="M229" s="64" t="n">
        <f aca="false">IF($A229="",0,IFERROR(MATCH($A229,Classes!$A$6:$A$420,0),0))</f>
        <v>283</v>
      </c>
      <c r="N229" s="64" t="n">
        <f aca="false">IF($H229="",0,IFERROR(MATCH($H229,GradeList,0),0))</f>
        <v>4</v>
      </c>
      <c r="O229" s="64" t="n">
        <f aca="false">IF(OR($I229="",$I229="NR"),0,IFERROR(MATCH($I229,GradeList,0),0))</f>
        <v>3</v>
      </c>
      <c r="P229" s="64" t="n">
        <f aca="false">IF(AND($M229&gt;0,ISNUMBER(MATCH($F229,Lists!$A$2:$A$5,0)),ISNUMBER(MATCH($G229,Lists!$B$2:$B$7,0)),OR($H229="",$N229&gt;0),OR($I229="",$I229="NR",$O229&gt;0),IF(ISNUMBER($J229),AND($J229&gt;=0,$J229=INT($J229)),FALSE())),$J229,0)</f>
        <v>1</v>
      </c>
      <c r="Q229" s="64" t="n">
        <f aca="false">IF(AND($P229&gt;0,$O229&gt;0),$P229,0)</f>
        <v>1</v>
      </c>
      <c r="R229" s="64" t="n">
        <f aca="false">IF(AND($Q229&gt;0,$O229&gt;=AtRank),$Q229,0)</f>
        <v>0</v>
      </c>
      <c r="S229" s="64" t="n">
        <f aca="false">IF(AND($Q229&gt;0,$O229&gt;=AboveRank),$Q229,0)</f>
        <v>0</v>
      </c>
      <c r="T229" s="64" t="n">
        <f aca="false">IF($K229="Less",$P229,0)</f>
        <v>1</v>
      </c>
      <c r="U229" s="64" t="n">
        <f aca="false">IF($K229="Expected",$P229,0)</f>
        <v>0</v>
      </c>
      <c r="V229" s="64" t="n">
        <f aca="false">IF($K229="Better",$P229,0)</f>
        <v>0</v>
      </c>
      <c r="W229" s="64" t="n">
        <f aca="false">IF($K229="U – needs rule",$P229,0)</f>
        <v>0</v>
      </c>
      <c r="X229" s="64" t="n">
        <f aca="false">IF($K229="No Start (attainment only)",$P229,0)</f>
        <v>0</v>
      </c>
    </row>
    <row r="230" customFormat="false" ht="15" hidden="false" customHeight="false" outlineLevel="0" collapsed="false">
      <c r="A230" s="60" t="s">
        <v>779</v>
      </c>
      <c r="B230" s="61" t="str">
        <f aca="false">IF($M230=0,"",INDEX(Classes!$E$6:$E$420,$M230))</f>
        <v>Arabic A</v>
      </c>
      <c r="C230" s="62" t="str">
        <f aca="false">IF($M230=0,"",INDEX(Classes!$H$6:$H$420,$M230))</f>
        <v>Mr Ahmed AbdelmonemElsye</v>
      </c>
      <c r="D230" s="61" t="str">
        <f aca="false">IF($M230=0,"",INDEX(Classes!$B$6:$B$420,$M230))</f>
        <v>Year 10</v>
      </c>
      <c r="E230" s="61" t="str">
        <f aca="false">IF($M230=0,"",INDEX(Classes!$C$6:$C$420,$M230))</f>
        <v>ah</v>
      </c>
      <c r="F230" s="63" t="s">
        <v>163</v>
      </c>
      <c r="G230" s="63" t="s">
        <v>1016</v>
      </c>
      <c r="H230" s="60" t="s">
        <v>202</v>
      </c>
      <c r="I230" s="60" t="s">
        <v>201</v>
      </c>
      <c r="J230" s="63" t="n">
        <v>1</v>
      </c>
      <c r="K230" s="61" t="str">
        <f aca="false">IF($P230=0,"",IF($F230="Baseline","— Baseline",IF($O230=0,"No result",IF($N230=0,"No Start (attainment only)",IF(OR($N230=1,$O230=1),"U – needs rule",INDEX(MxBody,MATCH($I230,MxCurr,0),MATCH($H230,MxStart,0)))))))</f>
        <v>Expected</v>
      </c>
      <c r="L230" s="62" t="str">
        <f aca="false">IF(COUNTA($A230,$F230,$G230,$H230,$I230,$J230)=0,"",IF($M230=0,"✖ كود الصف غير موجود",IF(ISNA(MATCH($F230,Lists!$A$2:$A$5,0)),"✖ الفترة غير صحيحة",IF(ISNA(MATCH($G230,Lists!$B$2:$B$7,0)),"✖ المجموعة غير صحيحة",IF(NOT(OR($H230="",$N230&gt;0)),"✖ Start غير صحيح",IF(NOT(OR($I230="",$I230="NR",$O230&gt;0)),"✖ Current غير صحيح",IF(NOT(IF(ISNUMBER($J230),AND($J230&gt;=0,$J230=INT($J230)),FALSE())),"✖ العدد يجب أن يكون صحيحًا ≥ 0",IF(AND($F230="Baseline",$H230&lt;&gt;""),"⚠ Baseline: Start لا يدخل في التقدم",IF($K230="No Start (attainment only)","ℹ تحصيل فقط (بدون Start)",IF($K230="U – needs rule","ℹ حالة U تحتاج قاعدة معتمدة",IF($K230="No result","ℹ بدون نتيجة (يُستبعد من التحصيل)","OK")))))))))))</f>
        <v>OK</v>
      </c>
      <c r="M230" s="64" t="n">
        <f aca="false">IF($A230="",0,IFERROR(MATCH($A230,Classes!$A$6:$A$420,0),0))</f>
        <v>283</v>
      </c>
      <c r="N230" s="64" t="n">
        <f aca="false">IF($H230="",0,IFERROR(MATCH($H230,GradeList,0),0))</f>
        <v>7</v>
      </c>
      <c r="O230" s="64" t="n">
        <f aca="false">IF(OR($I230="",$I230="NR"),0,IFERROR(MATCH($I230,GradeList,0),0))</f>
        <v>6</v>
      </c>
      <c r="P230" s="64" t="n">
        <f aca="false">IF(AND($M230&gt;0,ISNUMBER(MATCH($F230,Lists!$A$2:$A$5,0)),ISNUMBER(MATCH($G230,Lists!$B$2:$B$7,0)),OR($H230="",$N230&gt;0),OR($I230="",$I230="NR",$O230&gt;0),IF(ISNUMBER($J230),AND($J230&gt;=0,$J230=INT($J230)),FALSE())),$J230,0)</f>
        <v>1</v>
      </c>
      <c r="Q230" s="64" t="n">
        <f aca="false">IF(AND($P230&gt;0,$O230&gt;0),$P230,0)</f>
        <v>1</v>
      </c>
      <c r="R230" s="64" t="n">
        <f aca="false">IF(AND($Q230&gt;0,$O230&gt;=AtRank),$Q230,0)</f>
        <v>1</v>
      </c>
      <c r="S230" s="64" t="n">
        <f aca="false">IF(AND($Q230&gt;0,$O230&gt;=AboveRank),$Q230,0)</f>
        <v>0</v>
      </c>
      <c r="T230" s="64" t="n">
        <f aca="false">IF($K230="Less",$P230,0)</f>
        <v>0</v>
      </c>
      <c r="U230" s="64" t="n">
        <f aca="false">IF($K230="Expected",$P230,0)</f>
        <v>1</v>
      </c>
      <c r="V230" s="64" t="n">
        <f aca="false">IF($K230="Better",$P230,0)</f>
        <v>0</v>
      </c>
      <c r="W230" s="64" t="n">
        <f aca="false">IF($K230="U – needs rule",$P230,0)</f>
        <v>0</v>
      </c>
      <c r="X230" s="64" t="n">
        <f aca="false">IF($K230="No Start (attainment only)",$P230,0)</f>
        <v>0</v>
      </c>
    </row>
    <row r="231" customFormat="false" ht="15" hidden="false" customHeight="false" outlineLevel="0" collapsed="false">
      <c r="A231" s="60" t="s">
        <v>779</v>
      </c>
      <c r="B231" s="61" t="str">
        <f aca="false">IF($M231=0,"",INDEX(Classes!$E$6:$E$420,$M231))</f>
        <v>Arabic A</v>
      </c>
      <c r="C231" s="62" t="str">
        <f aca="false">IF($M231=0,"",INDEX(Classes!$H$6:$H$420,$M231))</f>
        <v>Mr Ahmed AbdelmonemElsye</v>
      </c>
      <c r="D231" s="61" t="str">
        <f aca="false">IF($M231=0,"",INDEX(Classes!$B$6:$B$420,$M231))</f>
        <v>Year 10</v>
      </c>
      <c r="E231" s="61" t="str">
        <f aca="false">IF($M231=0,"",INDEX(Classes!$C$6:$C$420,$M231))</f>
        <v>ah</v>
      </c>
      <c r="F231" s="63" t="s">
        <v>163</v>
      </c>
      <c r="G231" s="63" t="s">
        <v>1016</v>
      </c>
      <c r="H231" s="60" t="s">
        <v>203</v>
      </c>
      <c r="I231" s="60" t="s">
        <v>204</v>
      </c>
      <c r="J231" s="63" t="n">
        <v>2</v>
      </c>
      <c r="K231" s="61" t="str">
        <f aca="false">IF($P231=0,"",IF($F231="Baseline","— Baseline",IF($O231=0,"No result",IF($N231=0,"No Start (attainment only)",IF(OR($N231=1,$O231=1),"U – needs rule",INDEX(MxBody,MATCH($I231,MxCurr,0),MATCH($H231,MxStart,0)))))))</f>
        <v>Better</v>
      </c>
      <c r="L231" s="62" t="str">
        <f aca="false">IF(COUNTA($A231,$F231,$G231,$H231,$I231,$J231)=0,"",IF($M231=0,"✖ كود الصف غير موجود",IF(ISNA(MATCH($F231,Lists!$A$2:$A$5,0)),"✖ الفترة غير صحيحة",IF(ISNA(MATCH($G231,Lists!$B$2:$B$7,0)),"✖ المجموعة غير صحيحة",IF(NOT(OR($H231="",$N231&gt;0)),"✖ Start غير صحيح",IF(NOT(OR($I231="",$I231="NR",$O231&gt;0)),"✖ Current غير صحيح",IF(NOT(IF(ISNUMBER($J231),AND($J231&gt;=0,$J231=INT($J231)),FALSE())),"✖ العدد يجب أن يكون صحيحًا ≥ 0",IF(AND($F231="Baseline",$H231&lt;&gt;""),"⚠ Baseline: Start لا يدخل في التقدم",IF($K231="No Start (attainment only)","ℹ تحصيل فقط (بدون Start)",IF($K231="U – needs rule","ℹ حالة U تحتاج قاعدة معتمدة",IF($K231="No result","ℹ بدون نتيجة (يُستبعد من التحصيل)","OK")))))))))))</f>
        <v>OK</v>
      </c>
      <c r="M231" s="64" t="n">
        <f aca="false">IF($A231="",0,IFERROR(MATCH($A231,Classes!$A$6:$A$420,0),0))</f>
        <v>283</v>
      </c>
      <c r="N231" s="64" t="n">
        <f aca="false">IF($H231="",0,IFERROR(MATCH($H231,GradeList,0),0))</f>
        <v>8</v>
      </c>
      <c r="O231" s="64" t="n">
        <f aca="false">IF(OR($I231="",$I231="NR"),0,IFERROR(MATCH($I231,GradeList,0),0))</f>
        <v>9</v>
      </c>
      <c r="P231" s="64" t="n">
        <f aca="false">IF(AND($M231&gt;0,ISNUMBER(MATCH($F231,Lists!$A$2:$A$5,0)),ISNUMBER(MATCH($G231,Lists!$B$2:$B$7,0)),OR($H231="",$N231&gt;0),OR($I231="",$I231="NR",$O231&gt;0),IF(ISNUMBER($J231),AND($J231&gt;=0,$J231=INT($J231)),FALSE())),$J231,0)</f>
        <v>2</v>
      </c>
      <c r="Q231" s="64" t="n">
        <f aca="false">IF(AND($P231&gt;0,$O231&gt;0),$P231,0)</f>
        <v>2</v>
      </c>
      <c r="R231" s="64" t="n">
        <f aca="false">IF(AND($Q231&gt;0,$O231&gt;=AtRank),$Q231,0)</f>
        <v>2</v>
      </c>
      <c r="S231" s="64" t="n">
        <f aca="false">IF(AND($Q231&gt;0,$O231&gt;=AboveRank),$Q231,0)</f>
        <v>2</v>
      </c>
      <c r="T231" s="64" t="n">
        <f aca="false">IF($K231="Less",$P231,0)</f>
        <v>0</v>
      </c>
      <c r="U231" s="64" t="n">
        <f aca="false">IF($K231="Expected",$P231,0)</f>
        <v>0</v>
      </c>
      <c r="V231" s="64" t="n">
        <f aca="false">IF($K231="Better",$P231,0)</f>
        <v>2</v>
      </c>
      <c r="W231" s="64" t="n">
        <f aca="false">IF($K231="U – needs rule",$P231,0)</f>
        <v>0</v>
      </c>
      <c r="X231" s="64" t="n">
        <f aca="false">IF($K231="No Start (attainment only)",$P231,0)</f>
        <v>0</v>
      </c>
    </row>
    <row r="232" customFormat="false" ht="15" hidden="false" customHeight="false" outlineLevel="0" collapsed="false">
      <c r="A232" s="60" t="s">
        <v>779</v>
      </c>
      <c r="B232" s="61" t="str">
        <f aca="false">IF($M232=0,"",INDEX(Classes!$E$6:$E$420,$M232))</f>
        <v>Arabic A</v>
      </c>
      <c r="C232" s="62" t="str">
        <f aca="false">IF($M232=0,"",INDEX(Classes!$H$6:$H$420,$M232))</f>
        <v>Mr Ahmed AbdelmonemElsye</v>
      </c>
      <c r="D232" s="61" t="str">
        <f aca="false">IF($M232=0,"",INDEX(Classes!$B$6:$B$420,$M232))</f>
        <v>Year 10</v>
      </c>
      <c r="E232" s="61" t="str">
        <f aca="false">IF($M232=0,"",INDEX(Classes!$C$6:$C$420,$M232))</f>
        <v>ah</v>
      </c>
      <c r="F232" s="63" t="s">
        <v>163</v>
      </c>
      <c r="G232" s="63" t="s">
        <v>1016</v>
      </c>
      <c r="H232" s="60" t="s">
        <v>200</v>
      </c>
      <c r="I232" s="60" t="s">
        <v>202</v>
      </c>
      <c r="J232" s="63" t="n">
        <v>1</v>
      </c>
      <c r="K232" s="61" t="str">
        <f aca="false">IF($P232=0,"",IF($F232="Baseline","— Baseline",IF($O232=0,"No result",IF($N232=0,"No Start (attainment only)",IF(OR($N232=1,$O232=1),"U – needs rule",INDEX(MxBody,MATCH($I232,MxCurr,0),MATCH($H232,MxStart,0)))))))</f>
        <v>Better</v>
      </c>
      <c r="L232" s="62" t="str">
        <f aca="false">IF(COUNTA($A232,$F232,$G232,$H232,$I232,$J232)=0,"",IF($M232=0,"✖ كود الصف غير موجود",IF(ISNA(MATCH($F232,Lists!$A$2:$A$5,0)),"✖ الفترة غير صحيحة",IF(ISNA(MATCH($G232,Lists!$B$2:$B$7,0)),"✖ المجموعة غير صحيحة",IF(NOT(OR($H232="",$N232&gt;0)),"✖ Start غير صحيح",IF(NOT(OR($I232="",$I232="NR",$O232&gt;0)),"✖ Current غير صحيح",IF(NOT(IF(ISNUMBER($J232),AND($J232&gt;=0,$J232=INT($J232)),FALSE())),"✖ العدد يجب أن يكون صحيحًا ≥ 0",IF(AND($F232="Baseline",$H232&lt;&gt;""),"⚠ Baseline: Start لا يدخل في التقدم",IF($K232="No Start (attainment only)","ℹ تحصيل فقط (بدون Start)",IF($K232="U – needs rule","ℹ حالة U تحتاج قاعدة معتمدة",IF($K232="No result","ℹ بدون نتيجة (يُستبعد من التحصيل)","OK")))))))))))</f>
        <v>OK</v>
      </c>
      <c r="M232" s="64" t="n">
        <f aca="false">IF($A232="",0,IFERROR(MATCH($A232,Classes!$A$6:$A$420,0),0))</f>
        <v>283</v>
      </c>
      <c r="N232" s="64" t="n">
        <f aca="false">IF($H232="",0,IFERROR(MATCH($H232,GradeList,0),0))</f>
        <v>5</v>
      </c>
      <c r="O232" s="64" t="n">
        <f aca="false">IF(OR($I232="",$I232="NR"),0,IFERROR(MATCH($I232,GradeList,0),0))</f>
        <v>7</v>
      </c>
      <c r="P232" s="64" t="n">
        <f aca="false">IF(AND($M232&gt;0,ISNUMBER(MATCH($F232,Lists!$A$2:$A$5,0)),ISNUMBER(MATCH($G232,Lists!$B$2:$B$7,0)),OR($H232="",$N232&gt;0),OR($I232="",$I232="NR",$O232&gt;0),IF(ISNUMBER($J232),AND($J232&gt;=0,$J232=INT($J232)),FALSE())),$J232,0)</f>
        <v>1</v>
      </c>
      <c r="Q232" s="64" t="n">
        <f aca="false">IF(AND($P232&gt;0,$O232&gt;0),$P232,0)</f>
        <v>1</v>
      </c>
      <c r="R232" s="64" t="n">
        <f aca="false">IF(AND($Q232&gt;0,$O232&gt;=AtRank),$Q232,0)</f>
        <v>1</v>
      </c>
      <c r="S232" s="64" t="n">
        <f aca="false">IF(AND($Q232&gt;0,$O232&gt;=AboveRank),$Q232,0)</f>
        <v>1</v>
      </c>
      <c r="T232" s="64" t="n">
        <f aca="false">IF($K232="Less",$P232,0)</f>
        <v>0</v>
      </c>
      <c r="U232" s="64" t="n">
        <f aca="false">IF($K232="Expected",$P232,0)</f>
        <v>0</v>
      </c>
      <c r="V232" s="64" t="n">
        <f aca="false">IF($K232="Better",$P232,0)</f>
        <v>1</v>
      </c>
      <c r="W232" s="64" t="n">
        <f aca="false">IF($K232="U – needs rule",$P232,0)</f>
        <v>0</v>
      </c>
      <c r="X232" s="64" t="n">
        <f aca="false">IF($K232="No Start (attainment only)",$P232,0)</f>
        <v>0</v>
      </c>
    </row>
    <row r="233" customFormat="false" ht="15" hidden="false" customHeight="false" outlineLevel="0" collapsed="false">
      <c r="A233" s="60" t="s">
        <v>779</v>
      </c>
      <c r="B233" s="61" t="str">
        <f aca="false">IF($M233=0,"",INDEX(Classes!$E$6:$E$420,$M233))</f>
        <v>Arabic A</v>
      </c>
      <c r="C233" s="62" t="str">
        <f aca="false">IF($M233=0,"",INDEX(Classes!$H$6:$H$420,$M233))</f>
        <v>Mr Ahmed AbdelmonemElsye</v>
      </c>
      <c r="D233" s="61" t="str">
        <f aca="false">IF($M233=0,"",INDEX(Classes!$B$6:$B$420,$M233))</f>
        <v>Year 10</v>
      </c>
      <c r="E233" s="61" t="str">
        <f aca="false">IF($M233=0,"",INDEX(Classes!$C$6:$C$420,$M233))</f>
        <v>ah</v>
      </c>
      <c r="F233" s="63" t="s">
        <v>163</v>
      </c>
      <c r="G233" s="63" t="s">
        <v>1016</v>
      </c>
      <c r="H233" s="60" t="s">
        <v>200</v>
      </c>
      <c r="I233" s="60" t="s">
        <v>200</v>
      </c>
      <c r="J233" s="63" t="n">
        <v>1</v>
      </c>
      <c r="K233" s="61" t="str">
        <f aca="false">IF($P233=0,"",IF($F233="Baseline","— Baseline",IF($O233=0,"No result",IF($N233=0,"No Start (attainment only)",IF(OR($N233=1,$O233=1),"U – needs rule",INDEX(MxBody,MATCH($I233,MxCurr,0),MATCH($H233,MxStart,0)))))))</f>
        <v>Expected</v>
      </c>
      <c r="L233" s="62" t="str">
        <f aca="false">IF(COUNTA($A233,$F233,$G233,$H233,$I233,$J233)=0,"",IF($M233=0,"✖ كود الصف غير موجود",IF(ISNA(MATCH($F233,Lists!$A$2:$A$5,0)),"✖ الفترة غير صحيحة",IF(ISNA(MATCH($G233,Lists!$B$2:$B$7,0)),"✖ المجموعة غير صحيحة",IF(NOT(OR($H233="",$N233&gt;0)),"✖ Start غير صحيح",IF(NOT(OR($I233="",$I233="NR",$O233&gt;0)),"✖ Current غير صحيح",IF(NOT(IF(ISNUMBER($J233),AND($J233&gt;=0,$J233=INT($J233)),FALSE())),"✖ العدد يجب أن يكون صحيحًا ≥ 0",IF(AND($F233="Baseline",$H233&lt;&gt;""),"⚠ Baseline: Start لا يدخل في التقدم",IF($K233="No Start (attainment only)","ℹ تحصيل فقط (بدون Start)",IF($K233="U – needs rule","ℹ حالة U تحتاج قاعدة معتمدة",IF($K233="No result","ℹ بدون نتيجة (يُستبعد من التحصيل)","OK")))))))))))</f>
        <v>OK</v>
      </c>
      <c r="M233" s="64" t="n">
        <f aca="false">IF($A233="",0,IFERROR(MATCH($A233,Classes!$A$6:$A$420,0),0))</f>
        <v>283</v>
      </c>
      <c r="N233" s="64" t="n">
        <f aca="false">IF($H233="",0,IFERROR(MATCH($H233,GradeList,0),0))</f>
        <v>5</v>
      </c>
      <c r="O233" s="64" t="n">
        <f aca="false">IF(OR($I233="",$I233="NR"),0,IFERROR(MATCH($I233,GradeList,0),0))</f>
        <v>5</v>
      </c>
      <c r="P233" s="64" t="n">
        <f aca="false">IF(AND($M233&gt;0,ISNUMBER(MATCH($F233,Lists!$A$2:$A$5,0)),ISNUMBER(MATCH($G233,Lists!$B$2:$B$7,0)),OR($H233="",$N233&gt;0),OR($I233="",$I233="NR",$O233&gt;0),IF(ISNUMBER($J233),AND($J233&gt;=0,$J233=INT($J233)),FALSE())),$J233,0)</f>
        <v>1</v>
      </c>
      <c r="Q233" s="64" t="n">
        <f aca="false">IF(AND($P233&gt;0,$O233&gt;0),$P233,0)</f>
        <v>1</v>
      </c>
      <c r="R233" s="64" t="n">
        <f aca="false">IF(AND($Q233&gt;0,$O233&gt;=AtRank),$Q233,0)</f>
        <v>1</v>
      </c>
      <c r="S233" s="64" t="n">
        <f aca="false">IF(AND($Q233&gt;0,$O233&gt;=AboveRank),$Q233,0)</f>
        <v>0</v>
      </c>
      <c r="T233" s="64" t="n">
        <f aca="false">IF($K233="Less",$P233,0)</f>
        <v>0</v>
      </c>
      <c r="U233" s="64" t="n">
        <f aca="false">IF($K233="Expected",$P233,0)</f>
        <v>1</v>
      </c>
      <c r="V233" s="64" t="n">
        <f aca="false">IF($K233="Better",$P233,0)</f>
        <v>0</v>
      </c>
      <c r="W233" s="64" t="n">
        <f aca="false">IF($K233="U – needs rule",$P233,0)</f>
        <v>0</v>
      </c>
      <c r="X233" s="64" t="n">
        <f aca="false">IF($K233="No Start (attainment only)",$P233,0)</f>
        <v>0</v>
      </c>
    </row>
    <row r="234" customFormat="false" ht="15" hidden="false" customHeight="false" outlineLevel="0" collapsed="false">
      <c r="A234" s="60" t="s">
        <v>779</v>
      </c>
      <c r="B234" s="61" t="str">
        <f aca="false">IF($M234=0,"",INDEX(Classes!$E$6:$E$420,$M234))</f>
        <v>Arabic A</v>
      </c>
      <c r="C234" s="62" t="str">
        <f aca="false">IF($M234=0,"",INDEX(Classes!$H$6:$H$420,$M234))</f>
        <v>Mr Ahmed AbdelmonemElsye</v>
      </c>
      <c r="D234" s="61" t="str">
        <f aca="false">IF($M234=0,"",INDEX(Classes!$B$6:$B$420,$M234))</f>
        <v>Year 10</v>
      </c>
      <c r="E234" s="61" t="str">
        <f aca="false">IF($M234=0,"",INDEX(Classes!$C$6:$C$420,$M234))</f>
        <v>ah</v>
      </c>
      <c r="F234" s="63" t="s">
        <v>163</v>
      </c>
      <c r="G234" s="63" t="s">
        <v>1016</v>
      </c>
      <c r="H234" s="60" t="s">
        <v>200</v>
      </c>
      <c r="I234" s="60" t="s">
        <v>201</v>
      </c>
      <c r="J234" s="63" t="n">
        <v>1</v>
      </c>
      <c r="K234" s="61" t="str">
        <f aca="false">IF($P234=0,"",IF($F234="Baseline","— Baseline",IF($O234=0,"No result",IF($N234=0,"No Start (attainment only)",IF(OR($N234=1,$O234=1),"U – needs rule",INDEX(MxBody,MATCH($I234,MxCurr,0),MATCH($H234,MxStart,0)))))))</f>
        <v>Better</v>
      </c>
      <c r="L234" s="62" t="str">
        <f aca="false">IF(COUNTA($A234,$F234,$G234,$H234,$I234,$J234)=0,"",IF($M234=0,"✖ كود الصف غير موجود",IF(ISNA(MATCH($F234,Lists!$A$2:$A$5,0)),"✖ الفترة غير صحيحة",IF(ISNA(MATCH($G234,Lists!$B$2:$B$7,0)),"✖ المجموعة غير صحيحة",IF(NOT(OR($H234="",$N234&gt;0)),"✖ Start غير صحيح",IF(NOT(OR($I234="",$I234="NR",$O234&gt;0)),"✖ Current غير صحيح",IF(NOT(IF(ISNUMBER($J234),AND($J234&gt;=0,$J234=INT($J234)),FALSE())),"✖ العدد يجب أن يكون صحيحًا ≥ 0",IF(AND($F234="Baseline",$H234&lt;&gt;""),"⚠ Baseline: Start لا يدخل في التقدم",IF($K234="No Start (attainment only)","ℹ تحصيل فقط (بدون Start)",IF($K234="U – needs rule","ℹ حالة U تحتاج قاعدة معتمدة",IF($K234="No result","ℹ بدون نتيجة (يُستبعد من التحصيل)","OK")))))))))))</f>
        <v>OK</v>
      </c>
      <c r="M234" s="64" t="n">
        <f aca="false">IF($A234="",0,IFERROR(MATCH($A234,Classes!$A$6:$A$420,0),0))</f>
        <v>283</v>
      </c>
      <c r="N234" s="64" t="n">
        <f aca="false">IF($H234="",0,IFERROR(MATCH($H234,GradeList,0),0))</f>
        <v>5</v>
      </c>
      <c r="O234" s="64" t="n">
        <f aca="false">IF(OR($I234="",$I234="NR"),0,IFERROR(MATCH($I234,GradeList,0),0))</f>
        <v>6</v>
      </c>
      <c r="P234" s="64" t="n">
        <f aca="false">IF(AND($M234&gt;0,ISNUMBER(MATCH($F234,Lists!$A$2:$A$5,0)),ISNUMBER(MATCH($G234,Lists!$B$2:$B$7,0)),OR($H234="",$N234&gt;0),OR($I234="",$I234="NR",$O234&gt;0),IF(ISNUMBER($J234),AND($J234&gt;=0,$J234=INT($J234)),FALSE())),$J234,0)</f>
        <v>1</v>
      </c>
      <c r="Q234" s="64" t="n">
        <f aca="false">IF(AND($P234&gt;0,$O234&gt;0),$P234,0)</f>
        <v>1</v>
      </c>
      <c r="R234" s="64" t="n">
        <f aca="false">IF(AND($Q234&gt;0,$O234&gt;=AtRank),$Q234,0)</f>
        <v>1</v>
      </c>
      <c r="S234" s="64" t="n">
        <f aca="false">IF(AND($Q234&gt;0,$O234&gt;=AboveRank),$Q234,0)</f>
        <v>0</v>
      </c>
      <c r="T234" s="64" t="n">
        <f aca="false">IF($K234="Less",$P234,0)</f>
        <v>0</v>
      </c>
      <c r="U234" s="64" t="n">
        <f aca="false">IF($K234="Expected",$P234,0)</f>
        <v>0</v>
      </c>
      <c r="V234" s="64" t="n">
        <f aca="false">IF($K234="Better",$P234,0)</f>
        <v>1</v>
      </c>
      <c r="W234" s="64" t="n">
        <f aca="false">IF($K234="U – needs rule",$P234,0)</f>
        <v>0</v>
      </c>
      <c r="X234" s="64" t="n">
        <f aca="false">IF($K234="No Start (attainment only)",$P234,0)</f>
        <v>0</v>
      </c>
    </row>
    <row r="235" customFormat="false" ht="15" hidden="false" customHeight="false" outlineLevel="0" collapsed="false">
      <c r="A235" s="60" t="s">
        <v>779</v>
      </c>
      <c r="B235" s="61" t="str">
        <f aca="false">IF($M235=0,"",INDEX(Classes!$E$6:$E$420,$M235))</f>
        <v>Arabic A</v>
      </c>
      <c r="C235" s="62" t="str">
        <f aca="false">IF($M235=0,"",INDEX(Classes!$H$6:$H$420,$M235))</f>
        <v>Mr Ahmed AbdelmonemElsye</v>
      </c>
      <c r="D235" s="61" t="str">
        <f aca="false">IF($M235=0,"",INDEX(Classes!$B$6:$B$420,$M235))</f>
        <v>Year 10</v>
      </c>
      <c r="E235" s="61" t="str">
        <f aca="false">IF($M235=0,"",INDEX(Classes!$C$6:$C$420,$M235))</f>
        <v>ah</v>
      </c>
      <c r="F235" s="63" t="s">
        <v>163</v>
      </c>
      <c r="G235" s="63" t="s">
        <v>1016</v>
      </c>
      <c r="H235" s="60" t="s">
        <v>201</v>
      </c>
      <c r="I235" s="60" t="s">
        <v>201</v>
      </c>
      <c r="J235" s="63" t="n">
        <v>2</v>
      </c>
      <c r="K235" s="61" t="str">
        <f aca="false">IF($P235=0,"",IF($F235="Baseline","— Baseline",IF($O235=0,"No result",IF($N235=0,"No Start (attainment only)",IF(OR($N235=1,$O235=1),"U – needs rule",INDEX(MxBody,MATCH($I235,MxCurr,0),MATCH($H235,MxStart,0)))))))</f>
        <v>Expected</v>
      </c>
      <c r="L235" s="62" t="str">
        <f aca="false">IF(COUNTA($A235,$F235,$G235,$H235,$I235,$J235)=0,"",IF($M235=0,"✖ كود الصف غير موجود",IF(ISNA(MATCH($F235,Lists!$A$2:$A$5,0)),"✖ الفترة غير صحيحة",IF(ISNA(MATCH($G235,Lists!$B$2:$B$7,0)),"✖ المجموعة غير صحيحة",IF(NOT(OR($H235="",$N235&gt;0)),"✖ Start غير صحيح",IF(NOT(OR($I235="",$I235="NR",$O235&gt;0)),"✖ Current غير صحيح",IF(NOT(IF(ISNUMBER($J235),AND($J235&gt;=0,$J235=INT($J235)),FALSE())),"✖ العدد يجب أن يكون صحيحًا ≥ 0",IF(AND($F235="Baseline",$H235&lt;&gt;""),"⚠ Baseline: Start لا يدخل في التقدم",IF($K235="No Start (attainment only)","ℹ تحصيل فقط (بدون Start)",IF($K235="U – needs rule","ℹ حالة U تحتاج قاعدة معتمدة",IF($K235="No result","ℹ بدون نتيجة (يُستبعد من التحصيل)","OK")))))))))))</f>
        <v>OK</v>
      </c>
      <c r="M235" s="64" t="n">
        <f aca="false">IF($A235="",0,IFERROR(MATCH($A235,Classes!$A$6:$A$420,0),0))</f>
        <v>283</v>
      </c>
      <c r="N235" s="64" t="n">
        <f aca="false">IF($H235="",0,IFERROR(MATCH($H235,GradeList,0),0))</f>
        <v>6</v>
      </c>
      <c r="O235" s="64" t="n">
        <f aca="false">IF(OR($I235="",$I235="NR"),0,IFERROR(MATCH($I235,GradeList,0),0))</f>
        <v>6</v>
      </c>
      <c r="P235" s="64" t="n">
        <f aca="false">IF(AND($M235&gt;0,ISNUMBER(MATCH($F235,Lists!$A$2:$A$5,0)),ISNUMBER(MATCH($G235,Lists!$B$2:$B$7,0)),OR($H235="",$N235&gt;0),OR($I235="",$I235="NR",$O235&gt;0),IF(ISNUMBER($J235),AND($J235&gt;=0,$J235=INT($J235)),FALSE())),$J235,0)</f>
        <v>2</v>
      </c>
      <c r="Q235" s="64" t="n">
        <f aca="false">IF(AND($P235&gt;0,$O235&gt;0),$P235,0)</f>
        <v>2</v>
      </c>
      <c r="R235" s="64" t="n">
        <f aca="false">IF(AND($Q235&gt;0,$O235&gt;=AtRank),$Q235,0)</f>
        <v>2</v>
      </c>
      <c r="S235" s="64" t="n">
        <f aca="false">IF(AND($Q235&gt;0,$O235&gt;=AboveRank),$Q235,0)</f>
        <v>0</v>
      </c>
      <c r="T235" s="64" t="n">
        <f aca="false">IF($K235="Less",$P235,0)</f>
        <v>0</v>
      </c>
      <c r="U235" s="64" t="n">
        <f aca="false">IF($K235="Expected",$P235,0)</f>
        <v>2</v>
      </c>
      <c r="V235" s="64" t="n">
        <f aca="false">IF($K235="Better",$P235,0)</f>
        <v>0</v>
      </c>
      <c r="W235" s="64" t="n">
        <f aca="false">IF($K235="U – needs rule",$P235,0)</f>
        <v>0</v>
      </c>
      <c r="X235" s="64" t="n">
        <f aca="false">IF($K235="No Start (attainment only)",$P235,0)</f>
        <v>0</v>
      </c>
    </row>
    <row r="236" customFormat="false" ht="15" hidden="false" customHeight="false" outlineLevel="0" collapsed="false">
      <c r="A236" s="60" t="s">
        <v>779</v>
      </c>
      <c r="B236" s="61" t="str">
        <f aca="false">IF($M236=0,"",INDEX(Classes!$E$6:$E$420,$M236))</f>
        <v>Arabic A</v>
      </c>
      <c r="C236" s="62" t="str">
        <f aca="false">IF($M236=0,"",INDEX(Classes!$H$6:$H$420,$M236))</f>
        <v>Mr Ahmed AbdelmonemElsye</v>
      </c>
      <c r="D236" s="61" t="str">
        <f aca="false">IF($M236=0,"",INDEX(Classes!$B$6:$B$420,$M236))</f>
        <v>Year 10</v>
      </c>
      <c r="E236" s="61" t="str">
        <f aca="false">IF($M236=0,"",INDEX(Classes!$C$6:$C$420,$M236))</f>
        <v>ah</v>
      </c>
      <c r="F236" s="63" t="s">
        <v>163</v>
      </c>
      <c r="G236" s="63" t="s">
        <v>1016</v>
      </c>
      <c r="H236" s="60" t="s">
        <v>201</v>
      </c>
      <c r="I236" s="60" t="s">
        <v>204</v>
      </c>
      <c r="J236" s="63" t="n">
        <v>1</v>
      </c>
      <c r="K236" s="61" t="str">
        <f aca="false">IF($P236=0,"",IF($F236="Baseline","— Baseline",IF($O236=0,"No result",IF($N236=0,"No Start (attainment only)",IF(OR($N236=1,$O236=1),"U – needs rule",INDEX(MxBody,MATCH($I236,MxCurr,0),MATCH($H236,MxStart,0)))))))</f>
        <v>Better</v>
      </c>
      <c r="L236" s="62" t="str">
        <f aca="false">IF(COUNTA($A236,$F236,$G236,$H236,$I236,$J236)=0,"",IF($M236=0,"✖ كود الصف غير موجود",IF(ISNA(MATCH($F236,Lists!$A$2:$A$5,0)),"✖ الفترة غير صحيحة",IF(ISNA(MATCH($G236,Lists!$B$2:$B$7,0)),"✖ المجموعة غير صحيحة",IF(NOT(OR($H236="",$N236&gt;0)),"✖ Start غير صحيح",IF(NOT(OR($I236="",$I236="NR",$O236&gt;0)),"✖ Current غير صحيح",IF(NOT(IF(ISNUMBER($J236),AND($J236&gt;=0,$J236=INT($J236)),FALSE())),"✖ العدد يجب أن يكون صحيحًا ≥ 0",IF(AND($F236="Baseline",$H236&lt;&gt;""),"⚠ Baseline: Start لا يدخل في التقدم",IF($K236="No Start (attainment only)","ℹ تحصيل فقط (بدون Start)",IF($K236="U – needs rule","ℹ حالة U تحتاج قاعدة معتمدة",IF($K236="No result","ℹ بدون نتيجة (يُستبعد من التحصيل)","OK")))))))))))</f>
        <v>OK</v>
      </c>
      <c r="M236" s="64" t="n">
        <f aca="false">IF($A236="",0,IFERROR(MATCH($A236,Classes!$A$6:$A$420,0),0))</f>
        <v>283</v>
      </c>
      <c r="N236" s="64" t="n">
        <f aca="false">IF($H236="",0,IFERROR(MATCH($H236,GradeList,0),0))</f>
        <v>6</v>
      </c>
      <c r="O236" s="64" t="n">
        <f aca="false">IF(OR($I236="",$I236="NR"),0,IFERROR(MATCH($I236,GradeList,0),0))</f>
        <v>9</v>
      </c>
      <c r="P236" s="64" t="n">
        <f aca="false">IF(AND($M236&gt;0,ISNUMBER(MATCH($F236,Lists!$A$2:$A$5,0)),ISNUMBER(MATCH($G236,Lists!$B$2:$B$7,0)),OR($H236="",$N236&gt;0),OR($I236="",$I236="NR",$O236&gt;0),IF(ISNUMBER($J236),AND($J236&gt;=0,$J236=INT($J236)),FALSE())),$J236,0)</f>
        <v>1</v>
      </c>
      <c r="Q236" s="64" t="n">
        <f aca="false">IF(AND($P236&gt;0,$O236&gt;0),$P236,0)</f>
        <v>1</v>
      </c>
      <c r="R236" s="64" t="n">
        <f aca="false">IF(AND($Q236&gt;0,$O236&gt;=AtRank),$Q236,0)</f>
        <v>1</v>
      </c>
      <c r="S236" s="64" t="n">
        <f aca="false">IF(AND($Q236&gt;0,$O236&gt;=AboveRank),$Q236,0)</f>
        <v>1</v>
      </c>
      <c r="T236" s="64" t="n">
        <f aca="false">IF($K236="Less",$P236,0)</f>
        <v>0</v>
      </c>
      <c r="U236" s="64" t="n">
        <f aca="false">IF($K236="Expected",$P236,0)</f>
        <v>0</v>
      </c>
      <c r="V236" s="64" t="n">
        <f aca="false">IF($K236="Better",$P236,0)</f>
        <v>1</v>
      </c>
      <c r="W236" s="64" t="n">
        <f aca="false">IF($K236="U – needs rule",$P236,0)</f>
        <v>0</v>
      </c>
      <c r="X236" s="64" t="n">
        <f aca="false">IF($K236="No Start (attainment only)",$P236,0)</f>
        <v>0</v>
      </c>
    </row>
    <row r="237" customFormat="false" ht="15" hidden="false" customHeight="false" outlineLevel="0" collapsed="false">
      <c r="A237" s="60" t="s">
        <v>779</v>
      </c>
      <c r="B237" s="61" t="str">
        <f aca="false">IF($M237=0,"",INDEX(Classes!$E$6:$E$420,$M237))</f>
        <v>Arabic A</v>
      </c>
      <c r="C237" s="62" t="str">
        <f aca="false">IF($M237=0,"",INDEX(Classes!$H$6:$H$420,$M237))</f>
        <v>Mr Ahmed AbdelmonemElsye</v>
      </c>
      <c r="D237" s="61" t="str">
        <f aca="false">IF($M237=0,"",INDEX(Classes!$B$6:$B$420,$M237))</f>
        <v>Year 10</v>
      </c>
      <c r="E237" s="61" t="str">
        <f aca="false">IF($M237=0,"",INDEX(Classes!$C$6:$C$420,$M237))</f>
        <v>ah</v>
      </c>
      <c r="F237" s="63" t="s">
        <v>163</v>
      </c>
      <c r="G237" s="63" t="s">
        <v>1016</v>
      </c>
      <c r="H237" s="60" t="s">
        <v>198</v>
      </c>
      <c r="I237" s="60" t="s">
        <v>198</v>
      </c>
      <c r="J237" s="63" t="n">
        <v>1</v>
      </c>
      <c r="K237" s="61" t="str">
        <f aca="false">IF($P237=0,"",IF($F237="Baseline","— Baseline",IF($O237=0,"No result",IF($N237=0,"No Start (attainment only)",IF(OR($N237=1,$O237=1),"U – needs rule",INDEX(MxBody,MATCH($I237,MxCurr,0),MATCH($H237,MxStart,0)))))))</f>
        <v>Expected</v>
      </c>
      <c r="L237" s="62" t="str">
        <f aca="false">IF(COUNTA($A237,$F237,$G237,$H237,$I237,$J237)=0,"",IF($M237=0,"✖ كود الصف غير موجود",IF(ISNA(MATCH($F237,Lists!$A$2:$A$5,0)),"✖ الفترة غير صحيحة",IF(ISNA(MATCH($G237,Lists!$B$2:$B$7,0)),"✖ المجموعة غير صحيحة",IF(NOT(OR($H237="",$N237&gt;0)),"✖ Start غير صحيح",IF(NOT(OR($I237="",$I237="NR",$O237&gt;0)),"✖ Current غير صحيح",IF(NOT(IF(ISNUMBER($J237),AND($J237&gt;=0,$J237=INT($J237)),FALSE())),"✖ العدد يجب أن يكون صحيحًا ≥ 0",IF(AND($F237="Baseline",$H237&lt;&gt;""),"⚠ Baseline: Start لا يدخل في التقدم",IF($K237="No Start (attainment only)","ℹ تحصيل فقط (بدون Start)",IF($K237="U – needs rule","ℹ حالة U تحتاج قاعدة معتمدة",IF($K237="No result","ℹ بدون نتيجة (يُستبعد من التحصيل)","OK")))))))))))</f>
        <v>OK</v>
      </c>
      <c r="M237" s="64" t="n">
        <f aca="false">IF($A237="",0,IFERROR(MATCH($A237,Classes!$A$6:$A$420,0),0))</f>
        <v>283</v>
      </c>
      <c r="N237" s="64" t="n">
        <f aca="false">IF($H237="",0,IFERROR(MATCH($H237,GradeList,0),0))</f>
        <v>3</v>
      </c>
      <c r="O237" s="64" t="n">
        <f aca="false">IF(OR($I237="",$I237="NR"),0,IFERROR(MATCH($I237,GradeList,0),0))</f>
        <v>3</v>
      </c>
      <c r="P237" s="64" t="n">
        <f aca="false">IF(AND($M237&gt;0,ISNUMBER(MATCH($F237,Lists!$A$2:$A$5,0)),ISNUMBER(MATCH($G237,Lists!$B$2:$B$7,0)),OR($H237="",$N237&gt;0),OR($I237="",$I237="NR",$O237&gt;0),IF(ISNUMBER($J237),AND($J237&gt;=0,$J237=INT($J237)),FALSE())),$J237,0)</f>
        <v>1</v>
      </c>
      <c r="Q237" s="64" t="n">
        <f aca="false">IF(AND($P237&gt;0,$O237&gt;0),$P237,0)</f>
        <v>1</v>
      </c>
      <c r="R237" s="64" t="n">
        <f aca="false">IF(AND($Q237&gt;0,$O237&gt;=AtRank),$Q237,0)</f>
        <v>0</v>
      </c>
      <c r="S237" s="64" t="n">
        <f aca="false">IF(AND($Q237&gt;0,$O237&gt;=AboveRank),$Q237,0)</f>
        <v>0</v>
      </c>
      <c r="T237" s="64" t="n">
        <f aca="false">IF($K237="Less",$P237,0)</f>
        <v>0</v>
      </c>
      <c r="U237" s="64" t="n">
        <f aca="false">IF($K237="Expected",$P237,0)</f>
        <v>1</v>
      </c>
      <c r="V237" s="64" t="n">
        <f aca="false">IF($K237="Better",$P237,0)</f>
        <v>0</v>
      </c>
      <c r="W237" s="64" t="n">
        <f aca="false">IF($K237="U – needs rule",$P237,0)</f>
        <v>0</v>
      </c>
      <c r="X237" s="64" t="n">
        <f aca="false">IF($K237="No Start (attainment only)",$P237,0)</f>
        <v>0</v>
      </c>
    </row>
    <row r="238" customFormat="false" ht="15" hidden="false" customHeight="false" outlineLevel="0" collapsed="false">
      <c r="A238" s="60" t="s">
        <v>779</v>
      </c>
      <c r="B238" s="61" t="str">
        <f aca="false">IF($M238=0,"",INDEX(Classes!$E$6:$E$420,$M238))</f>
        <v>Arabic A</v>
      </c>
      <c r="C238" s="62" t="str">
        <f aca="false">IF($M238=0,"",INDEX(Classes!$H$6:$H$420,$M238))</f>
        <v>Mr Ahmed AbdelmonemElsye</v>
      </c>
      <c r="D238" s="61" t="str">
        <f aca="false">IF($M238=0,"",INDEX(Classes!$B$6:$B$420,$M238))</f>
        <v>Year 10</v>
      </c>
      <c r="E238" s="61" t="str">
        <f aca="false">IF($M238=0,"",INDEX(Classes!$C$6:$C$420,$M238))</f>
        <v>ah</v>
      </c>
      <c r="F238" s="63" t="s">
        <v>163</v>
      </c>
      <c r="G238" s="63" t="s">
        <v>1016</v>
      </c>
      <c r="H238" s="60" t="s">
        <v>204</v>
      </c>
      <c r="I238" s="60" t="s">
        <v>205</v>
      </c>
      <c r="J238" s="63" t="n">
        <v>2</v>
      </c>
      <c r="K238" s="61" t="str">
        <f aca="false">IF($P238=0,"",IF($F238="Baseline","— Baseline",IF($O238=0,"No result",IF($N238=0,"No Start (attainment only)",IF(OR($N238=1,$O238=1),"U – needs rule",INDEX(MxBody,MATCH($I238,MxCurr,0),MATCH($H238,MxStart,0)))))))</f>
        <v>Better</v>
      </c>
      <c r="L238" s="62" t="str">
        <f aca="false">IF(COUNTA($A238,$F238,$G238,$H238,$I238,$J238)=0,"",IF($M238=0,"✖ كود الصف غير موجود",IF(ISNA(MATCH($F238,Lists!$A$2:$A$5,0)),"✖ الفترة غير صحيحة",IF(ISNA(MATCH($G238,Lists!$B$2:$B$7,0)),"✖ المجموعة غير صحيحة",IF(NOT(OR($H238="",$N238&gt;0)),"✖ Start غير صحيح",IF(NOT(OR($I238="",$I238="NR",$O238&gt;0)),"✖ Current غير صحيح",IF(NOT(IF(ISNUMBER($J238),AND($J238&gt;=0,$J238=INT($J238)),FALSE())),"✖ العدد يجب أن يكون صحيحًا ≥ 0",IF(AND($F238="Baseline",$H238&lt;&gt;""),"⚠ Baseline: Start لا يدخل في التقدم",IF($K238="No Start (attainment only)","ℹ تحصيل فقط (بدون Start)",IF($K238="U – needs rule","ℹ حالة U تحتاج قاعدة معتمدة",IF($K238="No result","ℹ بدون نتيجة (يُستبعد من التحصيل)","OK")))))))))))</f>
        <v>OK</v>
      </c>
      <c r="M238" s="64" t="n">
        <f aca="false">IF($A238="",0,IFERROR(MATCH($A238,Classes!$A$6:$A$420,0),0))</f>
        <v>283</v>
      </c>
      <c r="N238" s="64" t="n">
        <f aca="false">IF($H238="",0,IFERROR(MATCH($H238,GradeList,0),0))</f>
        <v>9</v>
      </c>
      <c r="O238" s="64" t="n">
        <f aca="false">IF(OR($I238="",$I238="NR"),0,IFERROR(MATCH($I238,GradeList,0),0))</f>
        <v>10</v>
      </c>
      <c r="P238" s="64" t="n">
        <f aca="false">IF(AND($M238&gt;0,ISNUMBER(MATCH($F238,Lists!$A$2:$A$5,0)),ISNUMBER(MATCH($G238,Lists!$B$2:$B$7,0)),OR($H238="",$N238&gt;0),OR($I238="",$I238="NR",$O238&gt;0),IF(ISNUMBER($J238),AND($J238&gt;=0,$J238=INT($J238)),FALSE())),$J238,0)</f>
        <v>2</v>
      </c>
      <c r="Q238" s="64" t="n">
        <f aca="false">IF(AND($P238&gt;0,$O238&gt;0),$P238,0)</f>
        <v>2</v>
      </c>
      <c r="R238" s="64" t="n">
        <f aca="false">IF(AND($Q238&gt;0,$O238&gt;=AtRank),$Q238,0)</f>
        <v>2</v>
      </c>
      <c r="S238" s="64" t="n">
        <f aca="false">IF(AND($Q238&gt;0,$O238&gt;=AboveRank),$Q238,0)</f>
        <v>2</v>
      </c>
      <c r="T238" s="64" t="n">
        <f aca="false">IF($K238="Less",$P238,0)</f>
        <v>0</v>
      </c>
      <c r="U238" s="64" t="n">
        <f aca="false">IF($K238="Expected",$P238,0)</f>
        <v>0</v>
      </c>
      <c r="V238" s="64" t="n">
        <f aca="false">IF($K238="Better",$P238,0)</f>
        <v>2</v>
      </c>
      <c r="W238" s="64" t="n">
        <f aca="false">IF($K238="U – needs rule",$P238,0)</f>
        <v>0</v>
      </c>
      <c r="X238" s="64" t="n">
        <f aca="false">IF($K238="No Start (attainment only)",$P238,0)</f>
        <v>0</v>
      </c>
    </row>
    <row r="239" customFormat="false" ht="15" hidden="false" customHeight="false" outlineLevel="0" collapsed="false">
      <c r="A239" s="60" t="s">
        <v>779</v>
      </c>
      <c r="B239" s="61" t="str">
        <f aca="false">IF($M239=0,"",INDEX(Classes!$E$6:$E$420,$M239))</f>
        <v>Arabic A</v>
      </c>
      <c r="C239" s="62" t="str">
        <f aca="false">IF($M239=0,"",INDEX(Classes!$H$6:$H$420,$M239))</f>
        <v>Mr Ahmed AbdelmonemElsye</v>
      </c>
      <c r="D239" s="61" t="str">
        <f aca="false">IF($M239=0,"",INDEX(Classes!$B$6:$B$420,$M239))</f>
        <v>Year 10</v>
      </c>
      <c r="E239" s="61" t="str">
        <f aca="false">IF($M239=0,"",INDEX(Classes!$C$6:$C$420,$M239))</f>
        <v>ah</v>
      </c>
      <c r="F239" s="63" t="s">
        <v>163</v>
      </c>
      <c r="G239" s="63" t="s">
        <v>1016</v>
      </c>
      <c r="H239" s="60" t="s">
        <v>199</v>
      </c>
      <c r="I239" s="60" t="s">
        <v>198</v>
      </c>
      <c r="J239" s="63" t="n">
        <v>1</v>
      </c>
      <c r="K239" s="61" t="str">
        <f aca="false">IF($P239=0,"",IF($F239="Baseline","— Baseline",IF($O239=0,"No result",IF($N239=0,"No Start (attainment only)",IF(OR($N239=1,$O239=1),"U – needs rule",INDEX(MxBody,MATCH($I239,MxCurr,0),MATCH($H239,MxStart,0)))))))</f>
        <v>Less</v>
      </c>
      <c r="L239" s="62" t="str">
        <f aca="false">IF(COUNTA($A239,$F239,$G239,$H239,$I239,$J239)=0,"",IF($M239=0,"✖ كود الصف غير موجود",IF(ISNA(MATCH($F239,Lists!$A$2:$A$5,0)),"✖ الفترة غير صحيحة",IF(ISNA(MATCH($G239,Lists!$B$2:$B$7,0)),"✖ المجموعة غير صحيحة",IF(NOT(OR($H239="",$N239&gt;0)),"✖ Start غير صحيح",IF(NOT(OR($I239="",$I239="NR",$O239&gt;0)),"✖ Current غير صحيح",IF(NOT(IF(ISNUMBER($J239),AND($J239&gt;=0,$J239=INT($J239)),FALSE())),"✖ العدد يجب أن يكون صحيحًا ≥ 0",IF(AND($F239="Baseline",$H239&lt;&gt;""),"⚠ Baseline: Start لا يدخل في التقدم",IF($K239="No Start (attainment only)","ℹ تحصيل فقط (بدون Start)",IF($K239="U – needs rule","ℹ حالة U تحتاج قاعدة معتمدة",IF($K239="No result","ℹ بدون نتيجة (يُستبعد من التحصيل)","OK")))))))))))</f>
        <v>OK</v>
      </c>
      <c r="M239" s="64" t="n">
        <f aca="false">IF($A239="",0,IFERROR(MATCH($A239,Classes!$A$6:$A$420,0),0))</f>
        <v>283</v>
      </c>
      <c r="N239" s="64" t="n">
        <f aca="false">IF($H239="",0,IFERROR(MATCH($H239,GradeList,0),0))</f>
        <v>4</v>
      </c>
      <c r="O239" s="64" t="n">
        <f aca="false">IF(OR($I239="",$I239="NR"),0,IFERROR(MATCH($I239,GradeList,0),0))</f>
        <v>3</v>
      </c>
      <c r="P239" s="64" t="n">
        <f aca="false">IF(AND($M239&gt;0,ISNUMBER(MATCH($F239,Lists!$A$2:$A$5,0)),ISNUMBER(MATCH($G239,Lists!$B$2:$B$7,0)),OR($H239="",$N239&gt;0),OR($I239="",$I239="NR",$O239&gt;0),IF(ISNUMBER($J239),AND($J239&gt;=0,$J239=INT($J239)),FALSE())),$J239,0)</f>
        <v>1</v>
      </c>
      <c r="Q239" s="64" t="n">
        <f aca="false">IF(AND($P239&gt;0,$O239&gt;0),$P239,0)</f>
        <v>1</v>
      </c>
      <c r="R239" s="64" t="n">
        <f aca="false">IF(AND($Q239&gt;0,$O239&gt;=AtRank),$Q239,0)</f>
        <v>0</v>
      </c>
      <c r="S239" s="64" t="n">
        <f aca="false">IF(AND($Q239&gt;0,$O239&gt;=AboveRank),$Q239,0)</f>
        <v>0</v>
      </c>
      <c r="T239" s="64" t="n">
        <f aca="false">IF($K239="Less",$P239,0)</f>
        <v>1</v>
      </c>
      <c r="U239" s="64" t="n">
        <f aca="false">IF($K239="Expected",$P239,0)</f>
        <v>0</v>
      </c>
      <c r="V239" s="64" t="n">
        <f aca="false">IF($K239="Better",$P239,0)</f>
        <v>0</v>
      </c>
      <c r="W239" s="64" t="n">
        <f aca="false">IF($K239="U – needs rule",$P239,0)</f>
        <v>0</v>
      </c>
      <c r="X239" s="64" t="n">
        <f aca="false">IF($K239="No Start (attainment only)",$P239,0)</f>
        <v>0</v>
      </c>
    </row>
    <row r="240" customFormat="false" ht="15" hidden="false" customHeight="false" outlineLevel="0" collapsed="false">
      <c r="A240" s="60" t="s">
        <v>779</v>
      </c>
      <c r="B240" s="61" t="str">
        <f aca="false">IF($M240=0,"",INDEX(Classes!$E$6:$E$420,$M240))</f>
        <v>Arabic A</v>
      </c>
      <c r="C240" s="62" t="str">
        <f aca="false">IF($M240=0,"",INDEX(Classes!$H$6:$H$420,$M240))</f>
        <v>Mr Ahmed AbdelmonemElsye</v>
      </c>
      <c r="D240" s="61" t="str">
        <f aca="false">IF($M240=0,"",INDEX(Classes!$B$6:$B$420,$M240))</f>
        <v>Year 10</v>
      </c>
      <c r="E240" s="61" t="str">
        <f aca="false">IF($M240=0,"",INDEX(Classes!$C$6:$C$420,$M240))</f>
        <v>ah</v>
      </c>
      <c r="F240" s="63" t="s">
        <v>163</v>
      </c>
      <c r="G240" s="63" t="s">
        <v>941</v>
      </c>
      <c r="H240" s="60" t="s">
        <v>203</v>
      </c>
      <c r="I240" s="60" t="s">
        <v>204</v>
      </c>
      <c r="J240" s="63" t="n">
        <v>1</v>
      </c>
      <c r="K240" s="61" t="str">
        <f aca="false">IF($P240=0,"",IF($F240="Baseline","— Baseline",IF($O240=0,"No result",IF($N240=0,"No Start (attainment only)",IF(OR($N240=1,$O240=1),"U – needs rule",INDEX(MxBody,MATCH($I240,MxCurr,0),MATCH($H240,MxStart,0)))))))</f>
        <v>Better</v>
      </c>
      <c r="L240" s="62" t="str">
        <f aca="false">IF(COUNTA($A240,$F240,$G240,$H240,$I240,$J240)=0,"",IF($M240=0,"✖ كود الصف غير موجود",IF(ISNA(MATCH($F240,Lists!$A$2:$A$5,0)),"✖ الفترة غير صحيحة",IF(ISNA(MATCH($G240,Lists!$B$2:$B$7,0)),"✖ المجموعة غير صحيحة",IF(NOT(OR($H240="",$N240&gt;0)),"✖ Start غير صحيح",IF(NOT(OR($I240="",$I240="NR",$O240&gt;0)),"✖ Current غير صحيح",IF(NOT(IF(ISNUMBER($J240),AND($J240&gt;=0,$J240=INT($J240)),FALSE())),"✖ العدد يجب أن يكون صحيحًا ≥ 0",IF(AND($F240="Baseline",$H240&lt;&gt;""),"⚠ Baseline: Start لا يدخل في التقدم",IF($K240="No Start (attainment only)","ℹ تحصيل فقط (بدون Start)",IF($K240="U – needs rule","ℹ حالة U تحتاج قاعدة معتمدة",IF($K240="No result","ℹ بدون نتيجة (يُستبعد من التحصيل)","OK")))))))))))</f>
        <v>OK</v>
      </c>
      <c r="M240" s="64" t="n">
        <f aca="false">IF($A240="",0,IFERROR(MATCH($A240,Classes!$A$6:$A$420,0),0))</f>
        <v>283</v>
      </c>
      <c r="N240" s="64" t="n">
        <f aca="false">IF($H240="",0,IFERROR(MATCH($H240,GradeList,0),0))</f>
        <v>8</v>
      </c>
      <c r="O240" s="64" t="n">
        <f aca="false">IF(OR($I240="",$I240="NR"),0,IFERROR(MATCH($I240,GradeList,0),0))</f>
        <v>9</v>
      </c>
      <c r="P240" s="64" t="n">
        <f aca="false">IF(AND($M240&gt;0,ISNUMBER(MATCH($F240,Lists!$A$2:$A$5,0)),ISNUMBER(MATCH($G240,Lists!$B$2:$B$7,0)),OR($H240="",$N240&gt;0),OR($I240="",$I240="NR",$O240&gt;0),IF(ISNUMBER($J240),AND($J240&gt;=0,$J240=INT($J240)),FALSE())),$J240,0)</f>
        <v>1</v>
      </c>
      <c r="Q240" s="64" t="n">
        <f aca="false">IF(AND($P240&gt;0,$O240&gt;0),$P240,0)</f>
        <v>1</v>
      </c>
      <c r="R240" s="64" t="n">
        <f aca="false">IF(AND($Q240&gt;0,$O240&gt;=AtRank),$Q240,0)</f>
        <v>1</v>
      </c>
      <c r="S240" s="64" t="n">
        <f aca="false">IF(AND($Q240&gt;0,$O240&gt;=AboveRank),$Q240,0)</f>
        <v>1</v>
      </c>
      <c r="T240" s="64" t="n">
        <f aca="false">IF($K240="Less",$P240,0)</f>
        <v>0</v>
      </c>
      <c r="U240" s="64" t="n">
        <f aca="false">IF($K240="Expected",$P240,0)</f>
        <v>0</v>
      </c>
      <c r="V240" s="64" t="n">
        <f aca="false">IF($K240="Better",$P240,0)</f>
        <v>1</v>
      </c>
      <c r="W240" s="64" t="n">
        <f aca="false">IF($K240="U – needs rule",$P240,0)</f>
        <v>0</v>
      </c>
      <c r="X240" s="64" t="n">
        <f aca="false">IF($K240="No Start (attainment only)",$P240,0)</f>
        <v>0</v>
      </c>
    </row>
    <row r="241" customFormat="false" ht="15" hidden="false" customHeight="false" outlineLevel="0" collapsed="false">
      <c r="A241" s="60" t="s">
        <v>779</v>
      </c>
      <c r="B241" s="61" t="str">
        <f aca="false">IF($M241=0,"",INDEX(Classes!$E$6:$E$420,$M241))</f>
        <v>Arabic A</v>
      </c>
      <c r="C241" s="62" t="str">
        <f aca="false">IF($M241=0,"",INDEX(Classes!$H$6:$H$420,$M241))</f>
        <v>Mr Ahmed AbdelmonemElsye</v>
      </c>
      <c r="D241" s="61" t="str">
        <f aca="false">IF($M241=0,"",INDEX(Classes!$B$6:$B$420,$M241))</f>
        <v>Year 10</v>
      </c>
      <c r="E241" s="61" t="str">
        <f aca="false">IF($M241=0,"",INDEX(Classes!$C$6:$C$420,$M241))</f>
        <v>ah</v>
      </c>
      <c r="F241" s="63" t="s">
        <v>163</v>
      </c>
      <c r="G241" s="63" t="s">
        <v>941</v>
      </c>
      <c r="H241" s="60" t="s">
        <v>200</v>
      </c>
      <c r="I241" s="60" t="s">
        <v>202</v>
      </c>
      <c r="J241" s="63" t="n">
        <v>1</v>
      </c>
      <c r="K241" s="61" t="str">
        <f aca="false">IF($P241=0,"",IF($F241="Baseline","— Baseline",IF($O241=0,"No result",IF($N241=0,"No Start (attainment only)",IF(OR($N241=1,$O241=1),"U – needs rule",INDEX(MxBody,MATCH($I241,MxCurr,0),MATCH($H241,MxStart,0)))))))</f>
        <v>Better</v>
      </c>
      <c r="L241" s="62" t="str">
        <f aca="false">IF(COUNTA($A241,$F241,$G241,$H241,$I241,$J241)=0,"",IF($M241=0,"✖ كود الصف غير موجود",IF(ISNA(MATCH($F241,Lists!$A$2:$A$5,0)),"✖ الفترة غير صحيحة",IF(ISNA(MATCH($G241,Lists!$B$2:$B$7,0)),"✖ المجموعة غير صحيحة",IF(NOT(OR($H241="",$N241&gt;0)),"✖ Start غير صحيح",IF(NOT(OR($I241="",$I241="NR",$O241&gt;0)),"✖ Current غير صحيح",IF(NOT(IF(ISNUMBER($J241),AND($J241&gt;=0,$J241=INT($J241)),FALSE())),"✖ العدد يجب أن يكون صحيحًا ≥ 0",IF(AND($F241="Baseline",$H241&lt;&gt;""),"⚠ Baseline: Start لا يدخل في التقدم",IF($K241="No Start (attainment only)","ℹ تحصيل فقط (بدون Start)",IF($K241="U – needs rule","ℹ حالة U تحتاج قاعدة معتمدة",IF($K241="No result","ℹ بدون نتيجة (يُستبعد من التحصيل)","OK")))))))))))</f>
        <v>OK</v>
      </c>
      <c r="M241" s="64" t="n">
        <f aca="false">IF($A241="",0,IFERROR(MATCH($A241,Classes!$A$6:$A$420,0),0))</f>
        <v>283</v>
      </c>
      <c r="N241" s="64" t="n">
        <f aca="false">IF($H241="",0,IFERROR(MATCH($H241,GradeList,0),0))</f>
        <v>5</v>
      </c>
      <c r="O241" s="64" t="n">
        <f aca="false">IF(OR($I241="",$I241="NR"),0,IFERROR(MATCH($I241,GradeList,0),0))</f>
        <v>7</v>
      </c>
      <c r="P241" s="64" t="n">
        <f aca="false">IF(AND($M241&gt;0,ISNUMBER(MATCH($F241,Lists!$A$2:$A$5,0)),ISNUMBER(MATCH($G241,Lists!$B$2:$B$7,0)),OR($H241="",$N241&gt;0),OR($I241="",$I241="NR",$O241&gt;0),IF(ISNUMBER($J241),AND($J241&gt;=0,$J241=INT($J241)),FALSE())),$J241,0)</f>
        <v>1</v>
      </c>
      <c r="Q241" s="64" t="n">
        <f aca="false">IF(AND($P241&gt;0,$O241&gt;0),$P241,0)</f>
        <v>1</v>
      </c>
      <c r="R241" s="64" t="n">
        <f aca="false">IF(AND($Q241&gt;0,$O241&gt;=AtRank),$Q241,0)</f>
        <v>1</v>
      </c>
      <c r="S241" s="64" t="n">
        <f aca="false">IF(AND($Q241&gt;0,$O241&gt;=AboveRank),$Q241,0)</f>
        <v>1</v>
      </c>
      <c r="T241" s="64" t="n">
        <f aca="false">IF($K241="Less",$P241,0)</f>
        <v>0</v>
      </c>
      <c r="U241" s="64" t="n">
        <f aca="false">IF($K241="Expected",$P241,0)</f>
        <v>0</v>
      </c>
      <c r="V241" s="64" t="n">
        <f aca="false">IF($K241="Better",$P241,0)</f>
        <v>1</v>
      </c>
      <c r="W241" s="64" t="n">
        <f aca="false">IF($K241="U – needs rule",$P241,0)</f>
        <v>0</v>
      </c>
      <c r="X241" s="64" t="n">
        <f aca="false">IF($K241="No Start (attainment only)",$P241,0)</f>
        <v>0</v>
      </c>
    </row>
    <row r="242" customFormat="false" ht="15" hidden="false" customHeight="false" outlineLevel="0" collapsed="false">
      <c r="A242" s="60" t="s">
        <v>779</v>
      </c>
      <c r="B242" s="61" t="str">
        <f aca="false">IF($M242=0,"",INDEX(Classes!$E$6:$E$420,$M242))</f>
        <v>Arabic A</v>
      </c>
      <c r="C242" s="62" t="str">
        <f aca="false">IF($M242=0,"",INDEX(Classes!$H$6:$H$420,$M242))</f>
        <v>Mr Ahmed AbdelmonemElsye</v>
      </c>
      <c r="D242" s="61" t="str">
        <f aca="false">IF($M242=0,"",INDEX(Classes!$B$6:$B$420,$M242))</f>
        <v>Year 10</v>
      </c>
      <c r="E242" s="61" t="str">
        <f aca="false">IF($M242=0,"",INDEX(Classes!$C$6:$C$420,$M242))</f>
        <v>ah</v>
      </c>
      <c r="F242" s="63" t="s">
        <v>163</v>
      </c>
      <c r="G242" s="63" t="s">
        <v>941</v>
      </c>
      <c r="H242" s="60" t="s">
        <v>204</v>
      </c>
      <c r="I242" s="60" t="s">
        <v>205</v>
      </c>
      <c r="J242" s="63" t="n">
        <v>1</v>
      </c>
      <c r="K242" s="61" t="str">
        <f aca="false">IF($P242=0,"",IF($F242="Baseline","— Baseline",IF($O242=0,"No result",IF($N242=0,"No Start (attainment only)",IF(OR($N242=1,$O242=1),"U – needs rule",INDEX(MxBody,MATCH($I242,MxCurr,0),MATCH($H242,MxStart,0)))))))</f>
        <v>Better</v>
      </c>
      <c r="L242" s="62" t="str">
        <f aca="false">IF(COUNTA($A242,$F242,$G242,$H242,$I242,$J242)=0,"",IF($M242=0,"✖ كود الصف غير موجود",IF(ISNA(MATCH($F242,Lists!$A$2:$A$5,0)),"✖ الفترة غير صحيحة",IF(ISNA(MATCH($G242,Lists!$B$2:$B$7,0)),"✖ المجموعة غير صحيحة",IF(NOT(OR($H242="",$N242&gt;0)),"✖ Start غير صحيح",IF(NOT(OR($I242="",$I242="NR",$O242&gt;0)),"✖ Current غير صحيح",IF(NOT(IF(ISNUMBER($J242),AND($J242&gt;=0,$J242=INT($J242)),FALSE())),"✖ العدد يجب أن يكون صحيحًا ≥ 0",IF(AND($F242="Baseline",$H242&lt;&gt;""),"⚠ Baseline: Start لا يدخل في التقدم",IF($K242="No Start (attainment only)","ℹ تحصيل فقط (بدون Start)",IF($K242="U – needs rule","ℹ حالة U تحتاج قاعدة معتمدة",IF($K242="No result","ℹ بدون نتيجة (يُستبعد من التحصيل)","OK")))))))))))</f>
        <v>OK</v>
      </c>
      <c r="M242" s="64" t="n">
        <f aca="false">IF($A242="",0,IFERROR(MATCH($A242,Classes!$A$6:$A$420,0),0))</f>
        <v>283</v>
      </c>
      <c r="N242" s="64" t="n">
        <f aca="false">IF($H242="",0,IFERROR(MATCH($H242,GradeList,0),0))</f>
        <v>9</v>
      </c>
      <c r="O242" s="64" t="n">
        <f aca="false">IF(OR($I242="",$I242="NR"),0,IFERROR(MATCH($I242,GradeList,0),0))</f>
        <v>10</v>
      </c>
      <c r="P242" s="64" t="n">
        <f aca="false">IF(AND($M242&gt;0,ISNUMBER(MATCH($F242,Lists!$A$2:$A$5,0)),ISNUMBER(MATCH($G242,Lists!$B$2:$B$7,0)),OR($H242="",$N242&gt;0),OR($I242="",$I242="NR",$O242&gt;0),IF(ISNUMBER($J242),AND($J242&gt;=0,$J242=INT($J242)),FALSE())),$J242,0)</f>
        <v>1</v>
      </c>
      <c r="Q242" s="64" t="n">
        <f aca="false">IF(AND($P242&gt;0,$O242&gt;0),$P242,0)</f>
        <v>1</v>
      </c>
      <c r="R242" s="64" t="n">
        <f aca="false">IF(AND($Q242&gt;0,$O242&gt;=AtRank),$Q242,0)</f>
        <v>1</v>
      </c>
      <c r="S242" s="64" t="n">
        <f aca="false">IF(AND($Q242&gt;0,$O242&gt;=AboveRank),$Q242,0)</f>
        <v>1</v>
      </c>
      <c r="T242" s="64" t="n">
        <f aca="false">IF($K242="Less",$P242,0)</f>
        <v>0</v>
      </c>
      <c r="U242" s="64" t="n">
        <f aca="false">IF($K242="Expected",$P242,0)</f>
        <v>0</v>
      </c>
      <c r="V242" s="64" t="n">
        <f aca="false">IF($K242="Better",$P242,0)</f>
        <v>1</v>
      </c>
      <c r="W242" s="64" t="n">
        <f aca="false">IF($K242="U – needs rule",$P242,0)</f>
        <v>0</v>
      </c>
      <c r="X242" s="64" t="n">
        <f aca="false">IF($K242="No Start (attainment only)",$P242,0)</f>
        <v>0</v>
      </c>
    </row>
    <row r="243" customFormat="false" ht="15" hidden="false" customHeight="false" outlineLevel="0" collapsed="false">
      <c r="A243" s="60" t="s">
        <v>779</v>
      </c>
      <c r="B243" s="61" t="str">
        <f aca="false">IF($M243=0,"",INDEX(Classes!$E$6:$E$420,$M243))</f>
        <v>Arabic A</v>
      </c>
      <c r="C243" s="62" t="str">
        <f aca="false">IF($M243=0,"",INDEX(Classes!$H$6:$H$420,$M243))</f>
        <v>Mr Ahmed AbdelmonemElsye</v>
      </c>
      <c r="D243" s="61" t="str">
        <f aca="false">IF($M243=0,"",INDEX(Classes!$B$6:$B$420,$M243))</f>
        <v>Year 10</v>
      </c>
      <c r="E243" s="61" t="str">
        <f aca="false">IF($M243=0,"",INDEX(Classes!$C$6:$C$420,$M243))</f>
        <v>ah</v>
      </c>
      <c r="F243" s="63" t="s">
        <v>163</v>
      </c>
      <c r="G243" s="63" t="s">
        <v>941</v>
      </c>
      <c r="H243" s="60" t="s">
        <v>199</v>
      </c>
      <c r="I243" s="60" t="s">
        <v>201</v>
      </c>
      <c r="J243" s="63" t="n">
        <v>1</v>
      </c>
      <c r="K243" s="61" t="str">
        <f aca="false">IF($P243=0,"",IF($F243="Baseline","— Baseline",IF($O243=0,"No result",IF($N243=0,"No Start (attainment only)",IF(OR($N243=1,$O243=1),"U – needs rule",INDEX(MxBody,MATCH($I243,MxCurr,0),MATCH($H243,MxStart,0)))))))</f>
        <v>Better</v>
      </c>
      <c r="L243" s="62" t="str">
        <f aca="false">IF(COUNTA($A243,$F243,$G243,$H243,$I243,$J243)=0,"",IF($M243=0,"✖ كود الصف غير موجود",IF(ISNA(MATCH($F243,Lists!$A$2:$A$5,0)),"✖ الفترة غير صحيحة",IF(ISNA(MATCH($G243,Lists!$B$2:$B$7,0)),"✖ المجموعة غير صحيحة",IF(NOT(OR($H243="",$N243&gt;0)),"✖ Start غير صحيح",IF(NOT(OR($I243="",$I243="NR",$O243&gt;0)),"✖ Current غير صحيح",IF(NOT(IF(ISNUMBER($J243),AND($J243&gt;=0,$J243=INT($J243)),FALSE())),"✖ العدد يجب أن يكون صحيحًا ≥ 0",IF(AND($F243="Baseline",$H243&lt;&gt;""),"⚠ Baseline: Start لا يدخل في التقدم",IF($K243="No Start (attainment only)","ℹ تحصيل فقط (بدون Start)",IF($K243="U – needs rule","ℹ حالة U تحتاج قاعدة معتمدة",IF($K243="No result","ℹ بدون نتيجة (يُستبعد من التحصيل)","OK")))))))))))</f>
        <v>OK</v>
      </c>
      <c r="M243" s="64" t="n">
        <f aca="false">IF($A243="",0,IFERROR(MATCH($A243,Classes!$A$6:$A$420,0),0))</f>
        <v>283</v>
      </c>
      <c r="N243" s="64" t="n">
        <f aca="false">IF($H243="",0,IFERROR(MATCH($H243,GradeList,0),0))</f>
        <v>4</v>
      </c>
      <c r="O243" s="64" t="n">
        <f aca="false">IF(OR($I243="",$I243="NR"),0,IFERROR(MATCH($I243,GradeList,0),0))</f>
        <v>6</v>
      </c>
      <c r="P243" s="64" t="n">
        <f aca="false">IF(AND($M243&gt;0,ISNUMBER(MATCH($F243,Lists!$A$2:$A$5,0)),ISNUMBER(MATCH($G243,Lists!$B$2:$B$7,0)),OR($H243="",$N243&gt;0),OR($I243="",$I243="NR",$O243&gt;0),IF(ISNUMBER($J243),AND($J243&gt;=0,$J243=INT($J243)),FALSE())),$J243,0)</f>
        <v>1</v>
      </c>
      <c r="Q243" s="64" t="n">
        <f aca="false">IF(AND($P243&gt;0,$O243&gt;0),$P243,0)</f>
        <v>1</v>
      </c>
      <c r="R243" s="64" t="n">
        <f aca="false">IF(AND($Q243&gt;0,$O243&gt;=AtRank),$Q243,0)</f>
        <v>1</v>
      </c>
      <c r="S243" s="64" t="n">
        <f aca="false">IF(AND($Q243&gt;0,$O243&gt;=AboveRank),$Q243,0)</f>
        <v>0</v>
      </c>
      <c r="T243" s="64" t="n">
        <f aca="false">IF($K243="Less",$P243,0)</f>
        <v>0</v>
      </c>
      <c r="U243" s="64" t="n">
        <f aca="false">IF($K243="Expected",$P243,0)</f>
        <v>0</v>
      </c>
      <c r="V243" s="64" t="n">
        <f aca="false">IF($K243="Better",$P243,0)</f>
        <v>1</v>
      </c>
      <c r="W243" s="64" t="n">
        <f aca="false">IF($K243="U – needs rule",$P243,0)</f>
        <v>0</v>
      </c>
      <c r="X243" s="64" t="n">
        <f aca="false">IF($K243="No Start (attainment only)",$P243,0)</f>
        <v>0</v>
      </c>
    </row>
    <row r="244" customFormat="false" ht="15" hidden="false" customHeight="false" outlineLevel="0" collapsed="false">
      <c r="A244" s="60" t="s">
        <v>779</v>
      </c>
      <c r="B244" s="61" t="str">
        <f aca="false">IF($M244=0,"",INDEX(Classes!$E$6:$E$420,$M244))</f>
        <v>Arabic A</v>
      </c>
      <c r="C244" s="62" t="str">
        <f aca="false">IF($M244=0,"",INDEX(Classes!$H$6:$H$420,$M244))</f>
        <v>Mr Ahmed AbdelmonemElsye</v>
      </c>
      <c r="D244" s="61" t="str">
        <f aca="false">IF($M244=0,"",INDEX(Classes!$B$6:$B$420,$M244))</f>
        <v>Year 10</v>
      </c>
      <c r="E244" s="61" t="str">
        <f aca="false">IF($M244=0,"",INDEX(Classes!$C$6:$C$420,$M244))</f>
        <v>ah</v>
      </c>
      <c r="F244" s="63" t="s">
        <v>163</v>
      </c>
      <c r="G244" s="63" t="s">
        <v>1017</v>
      </c>
      <c r="H244" s="60" t="s">
        <v>203</v>
      </c>
      <c r="I244" s="60" t="s">
        <v>204</v>
      </c>
      <c r="J244" s="63" t="n">
        <v>1</v>
      </c>
      <c r="K244" s="61" t="str">
        <f aca="false">IF($P244=0,"",IF($F244="Baseline","— Baseline",IF($O244=0,"No result",IF($N244=0,"No Start (attainment only)",IF(OR($N244=1,$O244=1),"U – needs rule",INDEX(MxBody,MATCH($I244,MxCurr,0),MATCH($H244,MxStart,0)))))))</f>
        <v>Better</v>
      </c>
      <c r="L244" s="62" t="str">
        <f aca="false">IF(COUNTA($A244,$F244,$G244,$H244,$I244,$J244)=0,"",IF($M244=0,"✖ كود الصف غير موجود",IF(ISNA(MATCH($F244,Lists!$A$2:$A$5,0)),"✖ الفترة غير صحيحة",IF(ISNA(MATCH($G244,Lists!$B$2:$B$7,0)),"✖ المجموعة غير صحيحة",IF(NOT(OR($H244="",$N244&gt;0)),"✖ Start غير صحيح",IF(NOT(OR($I244="",$I244="NR",$O244&gt;0)),"✖ Current غير صحيح",IF(NOT(IF(ISNUMBER($J244),AND($J244&gt;=0,$J244=INT($J244)),FALSE())),"✖ العدد يجب أن يكون صحيحًا ≥ 0",IF(AND($F244="Baseline",$H244&lt;&gt;""),"⚠ Baseline: Start لا يدخل في التقدم",IF($K244="No Start (attainment only)","ℹ تحصيل فقط (بدون Start)",IF($K244="U – needs rule","ℹ حالة U تحتاج قاعدة معتمدة",IF($K244="No result","ℹ بدون نتيجة (يُستبعد من التحصيل)","OK")))))))))))</f>
        <v>OK</v>
      </c>
      <c r="M244" s="64" t="n">
        <f aca="false">IF($A244="",0,IFERROR(MATCH($A244,Classes!$A$6:$A$420,0),0))</f>
        <v>283</v>
      </c>
      <c r="N244" s="64" t="n">
        <f aca="false">IF($H244="",0,IFERROR(MATCH($H244,GradeList,0),0))</f>
        <v>8</v>
      </c>
      <c r="O244" s="64" t="n">
        <f aca="false">IF(OR($I244="",$I244="NR"),0,IFERROR(MATCH($I244,GradeList,0),0))</f>
        <v>9</v>
      </c>
      <c r="P244" s="64" t="n">
        <f aca="false">IF(AND($M244&gt;0,ISNUMBER(MATCH($F244,Lists!$A$2:$A$5,0)),ISNUMBER(MATCH($G244,Lists!$B$2:$B$7,0)),OR($H244="",$N244&gt;0),OR($I244="",$I244="NR",$O244&gt;0),IF(ISNUMBER($J244),AND($J244&gt;=0,$J244=INT($J244)),FALSE())),$J244,0)</f>
        <v>1</v>
      </c>
      <c r="Q244" s="64" t="n">
        <f aca="false">IF(AND($P244&gt;0,$O244&gt;0),$P244,0)</f>
        <v>1</v>
      </c>
      <c r="R244" s="64" t="n">
        <f aca="false">IF(AND($Q244&gt;0,$O244&gt;=AtRank),$Q244,0)</f>
        <v>1</v>
      </c>
      <c r="S244" s="64" t="n">
        <f aca="false">IF(AND($Q244&gt;0,$O244&gt;=AboveRank),$Q244,0)</f>
        <v>1</v>
      </c>
      <c r="T244" s="64" t="n">
        <f aca="false">IF($K244="Less",$P244,0)</f>
        <v>0</v>
      </c>
      <c r="U244" s="64" t="n">
        <f aca="false">IF($K244="Expected",$P244,0)</f>
        <v>0</v>
      </c>
      <c r="V244" s="64" t="n">
        <f aca="false">IF($K244="Better",$P244,0)</f>
        <v>1</v>
      </c>
      <c r="W244" s="64" t="n">
        <f aca="false">IF($K244="U – needs rule",$P244,0)</f>
        <v>0</v>
      </c>
      <c r="X244" s="64" t="n">
        <f aca="false">IF($K244="No Start (attainment only)",$P244,0)</f>
        <v>0</v>
      </c>
    </row>
    <row r="245" customFormat="false" ht="15" hidden="false" customHeight="false" outlineLevel="0" collapsed="false">
      <c r="A245" s="60" t="s">
        <v>779</v>
      </c>
      <c r="B245" s="61" t="str">
        <f aca="false">IF($M245=0,"",INDEX(Classes!$E$6:$E$420,$M245))</f>
        <v>Arabic A</v>
      </c>
      <c r="C245" s="62" t="str">
        <f aca="false">IF($M245=0,"",INDEX(Classes!$H$6:$H$420,$M245))</f>
        <v>Mr Ahmed AbdelmonemElsye</v>
      </c>
      <c r="D245" s="61" t="str">
        <f aca="false">IF($M245=0,"",INDEX(Classes!$B$6:$B$420,$M245))</f>
        <v>Year 10</v>
      </c>
      <c r="E245" s="61" t="str">
        <f aca="false">IF($M245=0,"",INDEX(Classes!$C$6:$C$420,$M245))</f>
        <v>ah</v>
      </c>
      <c r="F245" s="63" t="s">
        <v>163</v>
      </c>
      <c r="G245" s="63" t="s">
        <v>1017</v>
      </c>
      <c r="H245" s="60" t="s">
        <v>201</v>
      </c>
      <c r="I245" s="60" t="s">
        <v>201</v>
      </c>
      <c r="J245" s="63" t="n">
        <v>1</v>
      </c>
      <c r="K245" s="61" t="str">
        <f aca="false">IF($P245=0,"",IF($F245="Baseline","— Baseline",IF($O245=0,"No result",IF($N245=0,"No Start (attainment only)",IF(OR($N245=1,$O245=1),"U – needs rule",INDEX(MxBody,MATCH($I245,MxCurr,0),MATCH($H245,MxStart,0)))))))</f>
        <v>Expected</v>
      </c>
      <c r="L245" s="62" t="str">
        <f aca="false">IF(COUNTA($A245,$F245,$G245,$H245,$I245,$J245)=0,"",IF($M245=0,"✖ كود الصف غير موجود",IF(ISNA(MATCH($F245,Lists!$A$2:$A$5,0)),"✖ الفترة غير صحيحة",IF(ISNA(MATCH($G245,Lists!$B$2:$B$7,0)),"✖ المجموعة غير صحيحة",IF(NOT(OR($H245="",$N245&gt;0)),"✖ Start غير صحيح",IF(NOT(OR($I245="",$I245="NR",$O245&gt;0)),"✖ Current غير صحيح",IF(NOT(IF(ISNUMBER($J245),AND($J245&gt;=0,$J245=INT($J245)),FALSE())),"✖ العدد يجب أن يكون صحيحًا ≥ 0",IF(AND($F245="Baseline",$H245&lt;&gt;""),"⚠ Baseline: Start لا يدخل في التقدم",IF($K245="No Start (attainment only)","ℹ تحصيل فقط (بدون Start)",IF($K245="U – needs rule","ℹ حالة U تحتاج قاعدة معتمدة",IF($K245="No result","ℹ بدون نتيجة (يُستبعد من التحصيل)","OK")))))))))))</f>
        <v>OK</v>
      </c>
      <c r="M245" s="64" t="n">
        <f aca="false">IF($A245="",0,IFERROR(MATCH($A245,Classes!$A$6:$A$420,0),0))</f>
        <v>283</v>
      </c>
      <c r="N245" s="64" t="n">
        <f aca="false">IF($H245="",0,IFERROR(MATCH($H245,GradeList,0),0))</f>
        <v>6</v>
      </c>
      <c r="O245" s="64" t="n">
        <f aca="false">IF(OR($I245="",$I245="NR"),0,IFERROR(MATCH($I245,GradeList,0),0))</f>
        <v>6</v>
      </c>
      <c r="P245" s="64" t="n">
        <f aca="false">IF(AND($M245&gt;0,ISNUMBER(MATCH($F245,Lists!$A$2:$A$5,0)),ISNUMBER(MATCH($G245,Lists!$B$2:$B$7,0)),OR($H245="",$N245&gt;0),OR($I245="",$I245="NR",$O245&gt;0),IF(ISNUMBER($J245),AND($J245&gt;=0,$J245=INT($J245)),FALSE())),$J245,0)</f>
        <v>1</v>
      </c>
      <c r="Q245" s="64" t="n">
        <f aca="false">IF(AND($P245&gt;0,$O245&gt;0),$P245,0)</f>
        <v>1</v>
      </c>
      <c r="R245" s="64" t="n">
        <f aca="false">IF(AND($Q245&gt;0,$O245&gt;=AtRank),$Q245,0)</f>
        <v>1</v>
      </c>
      <c r="S245" s="64" t="n">
        <f aca="false">IF(AND($Q245&gt;0,$O245&gt;=AboveRank),$Q245,0)</f>
        <v>0</v>
      </c>
      <c r="T245" s="64" t="n">
        <f aca="false">IF($K245="Less",$P245,0)</f>
        <v>0</v>
      </c>
      <c r="U245" s="64" t="n">
        <f aca="false">IF($K245="Expected",$P245,0)</f>
        <v>1</v>
      </c>
      <c r="V245" s="64" t="n">
        <f aca="false">IF($K245="Better",$P245,0)</f>
        <v>0</v>
      </c>
      <c r="W245" s="64" t="n">
        <f aca="false">IF($K245="U – needs rule",$P245,0)</f>
        <v>0</v>
      </c>
      <c r="X245" s="64" t="n">
        <f aca="false">IF($K245="No Start (attainment only)",$P245,0)</f>
        <v>0</v>
      </c>
    </row>
    <row r="246" customFormat="false" ht="15" hidden="false" customHeight="false" outlineLevel="0" collapsed="false">
      <c r="A246" s="60" t="s">
        <v>779</v>
      </c>
      <c r="B246" s="61" t="str">
        <f aca="false">IF($M246=0,"",INDEX(Classes!$E$6:$E$420,$M246))</f>
        <v>Arabic A</v>
      </c>
      <c r="C246" s="62" t="str">
        <f aca="false">IF($M246=0,"",INDEX(Classes!$H$6:$H$420,$M246))</f>
        <v>Mr Ahmed AbdelmonemElsye</v>
      </c>
      <c r="D246" s="61" t="str">
        <f aca="false">IF($M246=0,"",INDEX(Classes!$B$6:$B$420,$M246))</f>
        <v>Year 10</v>
      </c>
      <c r="E246" s="61" t="str">
        <f aca="false">IF($M246=0,"",INDEX(Classes!$C$6:$C$420,$M246))</f>
        <v>ah</v>
      </c>
      <c r="F246" s="63" t="s">
        <v>163</v>
      </c>
      <c r="G246" s="63" t="s">
        <v>1017</v>
      </c>
      <c r="H246" s="60" t="s">
        <v>204</v>
      </c>
      <c r="I246" s="60" t="s">
        <v>205</v>
      </c>
      <c r="J246" s="63" t="n">
        <v>1</v>
      </c>
      <c r="K246" s="61" t="str">
        <f aca="false">IF($P246=0,"",IF($F246="Baseline","— Baseline",IF($O246=0,"No result",IF($N246=0,"No Start (attainment only)",IF(OR($N246=1,$O246=1),"U – needs rule",INDEX(MxBody,MATCH($I246,MxCurr,0),MATCH($H246,MxStart,0)))))))</f>
        <v>Better</v>
      </c>
      <c r="L246" s="62" t="str">
        <f aca="false">IF(COUNTA($A246,$F246,$G246,$H246,$I246,$J246)=0,"",IF($M246=0,"✖ كود الصف غير موجود",IF(ISNA(MATCH($F246,Lists!$A$2:$A$5,0)),"✖ الفترة غير صحيحة",IF(ISNA(MATCH($G246,Lists!$B$2:$B$7,0)),"✖ المجموعة غير صحيحة",IF(NOT(OR($H246="",$N246&gt;0)),"✖ Start غير صحيح",IF(NOT(OR($I246="",$I246="NR",$O246&gt;0)),"✖ Current غير صحيح",IF(NOT(IF(ISNUMBER($J246),AND($J246&gt;=0,$J246=INT($J246)),FALSE())),"✖ العدد يجب أن يكون صحيحًا ≥ 0",IF(AND($F246="Baseline",$H246&lt;&gt;""),"⚠ Baseline: Start لا يدخل في التقدم",IF($K246="No Start (attainment only)","ℹ تحصيل فقط (بدون Start)",IF($K246="U – needs rule","ℹ حالة U تحتاج قاعدة معتمدة",IF($K246="No result","ℹ بدون نتيجة (يُستبعد من التحصيل)","OK")))))))))))</f>
        <v>OK</v>
      </c>
      <c r="M246" s="64" t="n">
        <f aca="false">IF($A246="",0,IFERROR(MATCH($A246,Classes!$A$6:$A$420,0),0))</f>
        <v>283</v>
      </c>
      <c r="N246" s="64" t="n">
        <f aca="false">IF($H246="",0,IFERROR(MATCH($H246,GradeList,0),0))</f>
        <v>9</v>
      </c>
      <c r="O246" s="64" t="n">
        <f aca="false">IF(OR($I246="",$I246="NR"),0,IFERROR(MATCH($I246,GradeList,0),0))</f>
        <v>10</v>
      </c>
      <c r="P246" s="64" t="n">
        <f aca="false">IF(AND($M246&gt;0,ISNUMBER(MATCH($F246,Lists!$A$2:$A$5,0)),ISNUMBER(MATCH($G246,Lists!$B$2:$B$7,0)),OR($H246="",$N246&gt;0),OR($I246="",$I246="NR",$O246&gt;0),IF(ISNUMBER($J246),AND($J246&gt;=0,$J246=INT($J246)),FALSE())),$J246,0)</f>
        <v>1</v>
      </c>
      <c r="Q246" s="64" t="n">
        <f aca="false">IF(AND($P246&gt;0,$O246&gt;0),$P246,0)</f>
        <v>1</v>
      </c>
      <c r="R246" s="64" t="n">
        <f aca="false">IF(AND($Q246&gt;0,$O246&gt;=AtRank),$Q246,0)</f>
        <v>1</v>
      </c>
      <c r="S246" s="64" t="n">
        <f aca="false">IF(AND($Q246&gt;0,$O246&gt;=AboveRank),$Q246,0)</f>
        <v>1</v>
      </c>
      <c r="T246" s="64" t="n">
        <f aca="false">IF($K246="Less",$P246,0)</f>
        <v>0</v>
      </c>
      <c r="U246" s="64" t="n">
        <f aca="false">IF($K246="Expected",$P246,0)</f>
        <v>0</v>
      </c>
      <c r="V246" s="64" t="n">
        <f aca="false">IF($K246="Better",$P246,0)</f>
        <v>1</v>
      </c>
      <c r="W246" s="64" t="n">
        <f aca="false">IF($K246="U – needs rule",$P246,0)</f>
        <v>0</v>
      </c>
      <c r="X246" s="64" t="n">
        <f aca="false">IF($K246="No Start (attainment only)",$P246,0)</f>
        <v>0</v>
      </c>
    </row>
    <row r="247" customFormat="false" ht="15" hidden="false" customHeight="false" outlineLevel="0" collapsed="false">
      <c r="A247" s="60" t="s">
        <v>779</v>
      </c>
      <c r="B247" s="61" t="str">
        <f aca="false">IF($M247=0,"",INDEX(Classes!$E$6:$E$420,$M247))</f>
        <v>Arabic A</v>
      </c>
      <c r="C247" s="62" t="str">
        <f aca="false">IF($M247=0,"",INDEX(Classes!$H$6:$H$420,$M247))</f>
        <v>Mr Ahmed AbdelmonemElsye</v>
      </c>
      <c r="D247" s="61" t="str">
        <f aca="false">IF($M247=0,"",INDEX(Classes!$B$6:$B$420,$M247))</f>
        <v>Year 10</v>
      </c>
      <c r="E247" s="61" t="str">
        <f aca="false">IF($M247=0,"",INDEX(Classes!$C$6:$C$420,$M247))</f>
        <v>ah</v>
      </c>
      <c r="F247" s="63" t="s">
        <v>163</v>
      </c>
      <c r="G247" s="63" t="s">
        <v>1018</v>
      </c>
      <c r="H247" s="60" t="s">
        <v>203</v>
      </c>
      <c r="I247" s="60" t="s">
        <v>204</v>
      </c>
      <c r="J247" s="63" t="n">
        <v>1</v>
      </c>
      <c r="K247" s="61" t="str">
        <f aca="false">IF($P247=0,"",IF($F247="Baseline","— Baseline",IF($O247=0,"No result",IF($N247=0,"No Start (attainment only)",IF(OR($N247=1,$O247=1),"U – needs rule",INDEX(MxBody,MATCH($I247,MxCurr,0),MATCH($H247,MxStart,0)))))))</f>
        <v>Better</v>
      </c>
      <c r="L247" s="62" t="str">
        <f aca="false">IF(COUNTA($A247,$F247,$G247,$H247,$I247,$J247)=0,"",IF($M247=0,"✖ كود الصف غير موجود",IF(ISNA(MATCH($F247,Lists!$A$2:$A$5,0)),"✖ الفترة غير صحيحة",IF(ISNA(MATCH($G247,Lists!$B$2:$B$7,0)),"✖ المجموعة غير صحيحة",IF(NOT(OR($H247="",$N247&gt;0)),"✖ Start غير صحيح",IF(NOT(OR($I247="",$I247="NR",$O247&gt;0)),"✖ Current غير صحيح",IF(NOT(IF(ISNUMBER($J247),AND($J247&gt;=0,$J247=INT($J247)),FALSE())),"✖ العدد يجب أن يكون صحيحًا ≥ 0",IF(AND($F247="Baseline",$H247&lt;&gt;""),"⚠ Baseline: Start لا يدخل في التقدم",IF($K247="No Start (attainment only)","ℹ تحصيل فقط (بدون Start)",IF($K247="U – needs rule","ℹ حالة U تحتاج قاعدة معتمدة",IF($K247="No result","ℹ بدون نتيجة (يُستبعد من التحصيل)","OK")))))))))))</f>
        <v>OK</v>
      </c>
      <c r="M247" s="64" t="n">
        <f aca="false">IF($A247="",0,IFERROR(MATCH($A247,Classes!$A$6:$A$420,0),0))</f>
        <v>283</v>
      </c>
      <c r="N247" s="64" t="n">
        <f aca="false">IF($H247="",0,IFERROR(MATCH($H247,GradeList,0),0))</f>
        <v>8</v>
      </c>
      <c r="O247" s="64" t="n">
        <f aca="false">IF(OR($I247="",$I247="NR"),0,IFERROR(MATCH($I247,GradeList,0),0))</f>
        <v>9</v>
      </c>
      <c r="P247" s="64" t="n">
        <f aca="false">IF(AND($M247&gt;0,ISNUMBER(MATCH($F247,Lists!$A$2:$A$5,0)),ISNUMBER(MATCH($G247,Lists!$B$2:$B$7,0)),OR($H247="",$N247&gt;0),OR($I247="",$I247="NR",$O247&gt;0),IF(ISNUMBER($J247),AND($J247&gt;=0,$J247=INT($J247)),FALSE())),$J247,0)</f>
        <v>1</v>
      </c>
      <c r="Q247" s="64" t="n">
        <f aca="false">IF(AND($P247&gt;0,$O247&gt;0),$P247,0)</f>
        <v>1</v>
      </c>
      <c r="R247" s="64" t="n">
        <f aca="false">IF(AND($Q247&gt;0,$O247&gt;=AtRank),$Q247,0)</f>
        <v>1</v>
      </c>
      <c r="S247" s="64" t="n">
        <f aca="false">IF(AND($Q247&gt;0,$O247&gt;=AboveRank),$Q247,0)</f>
        <v>1</v>
      </c>
      <c r="T247" s="64" t="n">
        <f aca="false">IF($K247="Less",$P247,0)</f>
        <v>0</v>
      </c>
      <c r="U247" s="64" t="n">
        <f aca="false">IF($K247="Expected",$P247,0)</f>
        <v>0</v>
      </c>
      <c r="V247" s="64" t="n">
        <f aca="false">IF($K247="Better",$P247,0)</f>
        <v>1</v>
      </c>
      <c r="W247" s="64" t="n">
        <f aca="false">IF($K247="U – needs rule",$P247,0)</f>
        <v>0</v>
      </c>
      <c r="X247" s="64" t="n">
        <f aca="false">IF($K247="No Start (attainment only)",$P247,0)</f>
        <v>0</v>
      </c>
    </row>
    <row r="248" customFormat="false" ht="15" hidden="false" customHeight="false" outlineLevel="0" collapsed="false">
      <c r="A248" s="60" t="s">
        <v>779</v>
      </c>
      <c r="B248" s="61" t="str">
        <f aca="false">IF($M248=0,"",INDEX(Classes!$E$6:$E$420,$M248))</f>
        <v>Arabic A</v>
      </c>
      <c r="C248" s="62" t="str">
        <f aca="false">IF($M248=0,"",INDEX(Classes!$H$6:$H$420,$M248))</f>
        <v>Mr Ahmed AbdelmonemElsye</v>
      </c>
      <c r="D248" s="61" t="str">
        <f aca="false">IF($M248=0,"",INDEX(Classes!$B$6:$B$420,$M248))</f>
        <v>Year 10</v>
      </c>
      <c r="E248" s="61" t="str">
        <f aca="false">IF($M248=0,"",INDEX(Classes!$C$6:$C$420,$M248))</f>
        <v>ah</v>
      </c>
      <c r="F248" s="63" t="s">
        <v>163</v>
      </c>
      <c r="G248" s="63" t="s">
        <v>1018</v>
      </c>
      <c r="H248" s="60" t="s">
        <v>200</v>
      </c>
      <c r="I248" s="60" t="s">
        <v>202</v>
      </c>
      <c r="J248" s="63" t="n">
        <v>1</v>
      </c>
      <c r="K248" s="61" t="str">
        <f aca="false">IF($P248=0,"",IF($F248="Baseline","— Baseline",IF($O248=0,"No result",IF($N248=0,"No Start (attainment only)",IF(OR($N248=1,$O248=1),"U – needs rule",INDEX(MxBody,MATCH($I248,MxCurr,0),MATCH($H248,MxStart,0)))))))</f>
        <v>Better</v>
      </c>
      <c r="L248" s="62" t="str">
        <f aca="false">IF(COUNTA($A248,$F248,$G248,$H248,$I248,$J248)=0,"",IF($M248=0,"✖ كود الصف غير موجود",IF(ISNA(MATCH($F248,Lists!$A$2:$A$5,0)),"✖ الفترة غير صحيحة",IF(ISNA(MATCH($G248,Lists!$B$2:$B$7,0)),"✖ المجموعة غير صحيحة",IF(NOT(OR($H248="",$N248&gt;0)),"✖ Start غير صحيح",IF(NOT(OR($I248="",$I248="NR",$O248&gt;0)),"✖ Current غير صحيح",IF(NOT(IF(ISNUMBER($J248),AND($J248&gt;=0,$J248=INT($J248)),FALSE())),"✖ العدد يجب أن يكون صحيحًا ≥ 0",IF(AND($F248="Baseline",$H248&lt;&gt;""),"⚠ Baseline: Start لا يدخل في التقدم",IF($K248="No Start (attainment only)","ℹ تحصيل فقط (بدون Start)",IF($K248="U – needs rule","ℹ حالة U تحتاج قاعدة معتمدة",IF($K248="No result","ℹ بدون نتيجة (يُستبعد من التحصيل)","OK")))))))))))</f>
        <v>OK</v>
      </c>
      <c r="M248" s="64" t="n">
        <f aca="false">IF($A248="",0,IFERROR(MATCH($A248,Classes!$A$6:$A$420,0),0))</f>
        <v>283</v>
      </c>
      <c r="N248" s="64" t="n">
        <f aca="false">IF($H248="",0,IFERROR(MATCH($H248,GradeList,0),0))</f>
        <v>5</v>
      </c>
      <c r="O248" s="64" t="n">
        <f aca="false">IF(OR($I248="",$I248="NR"),0,IFERROR(MATCH($I248,GradeList,0),0))</f>
        <v>7</v>
      </c>
      <c r="P248" s="64" t="n">
        <f aca="false">IF(AND($M248&gt;0,ISNUMBER(MATCH($F248,Lists!$A$2:$A$5,0)),ISNUMBER(MATCH($G248,Lists!$B$2:$B$7,0)),OR($H248="",$N248&gt;0),OR($I248="",$I248="NR",$O248&gt;0),IF(ISNUMBER($J248),AND($J248&gt;=0,$J248=INT($J248)),FALSE())),$J248,0)</f>
        <v>1</v>
      </c>
      <c r="Q248" s="64" t="n">
        <f aca="false">IF(AND($P248&gt;0,$O248&gt;0),$P248,0)</f>
        <v>1</v>
      </c>
      <c r="R248" s="64" t="n">
        <f aca="false">IF(AND($Q248&gt;0,$O248&gt;=AtRank),$Q248,0)</f>
        <v>1</v>
      </c>
      <c r="S248" s="64" t="n">
        <f aca="false">IF(AND($Q248&gt;0,$O248&gt;=AboveRank),$Q248,0)</f>
        <v>1</v>
      </c>
      <c r="T248" s="64" t="n">
        <f aca="false">IF($K248="Less",$P248,0)</f>
        <v>0</v>
      </c>
      <c r="U248" s="64" t="n">
        <f aca="false">IF($K248="Expected",$P248,0)</f>
        <v>0</v>
      </c>
      <c r="V248" s="64" t="n">
        <f aca="false">IF($K248="Better",$P248,0)</f>
        <v>1</v>
      </c>
      <c r="W248" s="64" t="n">
        <f aca="false">IF($K248="U – needs rule",$P248,0)</f>
        <v>0</v>
      </c>
      <c r="X248" s="64" t="n">
        <f aca="false">IF($K248="No Start (attainment only)",$P248,0)</f>
        <v>0</v>
      </c>
    </row>
    <row r="249" customFormat="false" ht="15" hidden="false" customHeight="false" outlineLevel="0" collapsed="false">
      <c r="A249" s="60" t="s">
        <v>779</v>
      </c>
      <c r="B249" s="61" t="str">
        <f aca="false">IF($M249=0,"",INDEX(Classes!$E$6:$E$420,$M249))</f>
        <v>Arabic A</v>
      </c>
      <c r="C249" s="62" t="str">
        <f aca="false">IF($M249=0,"",INDEX(Classes!$H$6:$H$420,$M249))</f>
        <v>Mr Ahmed AbdelmonemElsye</v>
      </c>
      <c r="D249" s="61" t="str">
        <f aca="false">IF($M249=0,"",INDEX(Classes!$B$6:$B$420,$M249))</f>
        <v>Year 10</v>
      </c>
      <c r="E249" s="61" t="str">
        <f aca="false">IF($M249=0,"",INDEX(Classes!$C$6:$C$420,$M249))</f>
        <v>ah</v>
      </c>
      <c r="F249" s="63" t="s">
        <v>163</v>
      </c>
      <c r="G249" s="63" t="s">
        <v>1018</v>
      </c>
      <c r="H249" s="60" t="s">
        <v>200</v>
      </c>
      <c r="I249" s="60" t="s">
        <v>201</v>
      </c>
      <c r="J249" s="63" t="n">
        <v>1</v>
      </c>
      <c r="K249" s="61" t="str">
        <f aca="false">IF($P249=0,"",IF($F249="Baseline","— Baseline",IF($O249=0,"No result",IF($N249=0,"No Start (attainment only)",IF(OR($N249=1,$O249=1),"U – needs rule",INDEX(MxBody,MATCH($I249,MxCurr,0),MATCH($H249,MxStart,0)))))))</f>
        <v>Better</v>
      </c>
      <c r="L249" s="62" t="str">
        <f aca="false">IF(COUNTA($A249,$F249,$G249,$H249,$I249,$J249)=0,"",IF($M249=0,"✖ كود الصف غير موجود",IF(ISNA(MATCH($F249,Lists!$A$2:$A$5,0)),"✖ الفترة غير صحيحة",IF(ISNA(MATCH($G249,Lists!$B$2:$B$7,0)),"✖ المجموعة غير صحيحة",IF(NOT(OR($H249="",$N249&gt;0)),"✖ Start غير صحيح",IF(NOT(OR($I249="",$I249="NR",$O249&gt;0)),"✖ Current غير صحيح",IF(NOT(IF(ISNUMBER($J249),AND($J249&gt;=0,$J249=INT($J249)),FALSE())),"✖ العدد يجب أن يكون صحيحًا ≥ 0",IF(AND($F249="Baseline",$H249&lt;&gt;""),"⚠ Baseline: Start لا يدخل في التقدم",IF($K249="No Start (attainment only)","ℹ تحصيل فقط (بدون Start)",IF($K249="U – needs rule","ℹ حالة U تحتاج قاعدة معتمدة",IF($K249="No result","ℹ بدون نتيجة (يُستبعد من التحصيل)","OK")))))))))))</f>
        <v>OK</v>
      </c>
      <c r="M249" s="64" t="n">
        <f aca="false">IF($A249="",0,IFERROR(MATCH($A249,Classes!$A$6:$A$420,0),0))</f>
        <v>283</v>
      </c>
      <c r="N249" s="64" t="n">
        <f aca="false">IF($H249="",0,IFERROR(MATCH($H249,GradeList,0),0))</f>
        <v>5</v>
      </c>
      <c r="O249" s="64" t="n">
        <f aca="false">IF(OR($I249="",$I249="NR"),0,IFERROR(MATCH($I249,GradeList,0),0))</f>
        <v>6</v>
      </c>
      <c r="P249" s="64" t="n">
        <f aca="false">IF(AND($M249&gt;0,ISNUMBER(MATCH($F249,Lists!$A$2:$A$5,0)),ISNUMBER(MATCH($G249,Lists!$B$2:$B$7,0)),OR($H249="",$N249&gt;0),OR($I249="",$I249="NR",$O249&gt;0),IF(ISNUMBER($J249),AND($J249&gt;=0,$J249=INT($J249)),FALSE())),$J249,0)</f>
        <v>1</v>
      </c>
      <c r="Q249" s="64" t="n">
        <f aca="false">IF(AND($P249&gt;0,$O249&gt;0),$P249,0)</f>
        <v>1</v>
      </c>
      <c r="R249" s="64" t="n">
        <f aca="false">IF(AND($Q249&gt;0,$O249&gt;=AtRank),$Q249,0)</f>
        <v>1</v>
      </c>
      <c r="S249" s="64" t="n">
        <f aca="false">IF(AND($Q249&gt;0,$O249&gt;=AboveRank),$Q249,0)</f>
        <v>0</v>
      </c>
      <c r="T249" s="64" t="n">
        <f aca="false">IF($K249="Less",$P249,0)</f>
        <v>0</v>
      </c>
      <c r="U249" s="64" t="n">
        <f aca="false">IF($K249="Expected",$P249,0)</f>
        <v>0</v>
      </c>
      <c r="V249" s="64" t="n">
        <f aca="false">IF($K249="Better",$P249,0)</f>
        <v>1</v>
      </c>
      <c r="W249" s="64" t="n">
        <f aca="false">IF($K249="U – needs rule",$P249,0)</f>
        <v>0</v>
      </c>
      <c r="X249" s="64" t="n">
        <f aca="false">IF($K249="No Start (attainment only)",$P249,0)</f>
        <v>0</v>
      </c>
    </row>
    <row r="250" customFormat="false" ht="15" hidden="false" customHeight="false" outlineLevel="0" collapsed="false">
      <c r="A250" s="60" t="s">
        <v>779</v>
      </c>
      <c r="B250" s="61" t="str">
        <f aca="false">IF($M250=0,"",INDEX(Classes!$E$6:$E$420,$M250))</f>
        <v>Arabic A</v>
      </c>
      <c r="C250" s="62" t="str">
        <f aca="false">IF($M250=0,"",INDEX(Classes!$H$6:$H$420,$M250))</f>
        <v>Mr Ahmed AbdelmonemElsye</v>
      </c>
      <c r="D250" s="61" t="str">
        <f aca="false">IF($M250=0,"",INDEX(Classes!$B$6:$B$420,$M250))</f>
        <v>Year 10</v>
      </c>
      <c r="E250" s="61" t="str">
        <f aca="false">IF($M250=0,"",INDEX(Classes!$C$6:$C$420,$M250))</f>
        <v>ah</v>
      </c>
      <c r="F250" s="63" t="s">
        <v>163</v>
      </c>
      <c r="G250" s="63" t="s">
        <v>1018</v>
      </c>
      <c r="H250" s="60" t="s">
        <v>201</v>
      </c>
      <c r="I250" s="60" t="s">
        <v>201</v>
      </c>
      <c r="J250" s="63" t="n">
        <v>1</v>
      </c>
      <c r="K250" s="61" t="str">
        <f aca="false">IF($P250=0,"",IF($F250="Baseline","— Baseline",IF($O250=0,"No result",IF($N250=0,"No Start (attainment only)",IF(OR($N250=1,$O250=1),"U – needs rule",INDEX(MxBody,MATCH($I250,MxCurr,0),MATCH($H250,MxStart,0)))))))</f>
        <v>Expected</v>
      </c>
      <c r="L250" s="62" t="str">
        <f aca="false">IF(COUNTA($A250,$F250,$G250,$H250,$I250,$J250)=0,"",IF($M250=0,"✖ كود الصف غير موجود",IF(ISNA(MATCH($F250,Lists!$A$2:$A$5,0)),"✖ الفترة غير صحيحة",IF(ISNA(MATCH($G250,Lists!$B$2:$B$7,0)),"✖ المجموعة غير صحيحة",IF(NOT(OR($H250="",$N250&gt;0)),"✖ Start غير صحيح",IF(NOT(OR($I250="",$I250="NR",$O250&gt;0)),"✖ Current غير صحيح",IF(NOT(IF(ISNUMBER($J250),AND($J250&gt;=0,$J250=INT($J250)),FALSE())),"✖ العدد يجب أن يكون صحيحًا ≥ 0",IF(AND($F250="Baseline",$H250&lt;&gt;""),"⚠ Baseline: Start لا يدخل في التقدم",IF($K250="No Start (attainment only)","ℹ تحصيل فقط (بدون Start)",IF($K250="U – needs rule","ℹ حالة U تحتاج قاعدة معتمدة",IF($K250="No result","ℹ بدون نتيجة (يُستبعد من التحصيل)","OK")))))))))))</f>
        <v>OK</v>
      </c>
      <c r="M250" s="64" t="n">
        <f aca="false">IF($A250="",0,IFERROR(MATCH($A250,Classes!$A$6:$A$420,0),0))</f>
        <v>283</v>
      </c>
      <c r="N250" s="64" t="n">
        <f aca="false">IF($H250="",0,IFERROR(MATCH($H250,GradeList,0),0))</f>
        <v>6</v>
      </c>
      <c r="O250" s="64" t="n">
        <f aca="false">IF(OR($I250="",$I250="NR"),0,IFERROR(MATCH($I250,GradeList,0),0))</f>
        <v>6</v>
      </c>
      <c r="P250" s="64" t="n">
        <f aca="false">IF(AND($M250&gt;0,ISNUMBER(MATCH($F250,Lists!$A$2:$A$5,0)),ISNUMBER(MATCH($G250,Lists!$B$2:$B$7,0)),OR($H250="",$N250&gt;0),OR($I250="",$I250="NR",$O250&gt;0),IF(ISNUMBER($J250),AND($J250&gt;=0,$J250=INT($J250)),FALSE())),$J250,0)</f>
        <v>1</v>
      </c>
      <c r="Q250" s="64" t="n">
        <f aca="false">IF(AND($P250&gt;0,$O250&gt;0),$P250,0)</f>
        <v>1</v>
      </c>
      <c r="R250" s="64" t="n">
        <f aca="false">IF(AND($Q250&gt;0,$O250&gt;=AtRank),$Q250,0)</f>
        <v>1</v>
      </c>
      <c r="S250" s="64" t="n">
        <f aca="false">IF(AND($Q250&gt;0,$O250&gt;=AboveRank),$Q250,0)</f>
        <v>0</v>
      </c>
      <c r="T250" s="64" t="n">
        <f aca="false">IF($K250="Less",$P250,0)</f>
        <v>0</v>
      </c>
      <c r="U250" s="64" t="n">
        <f aca="false">IF($K250="Expected",$P250,0)</f>
        <v>1</v>
      </c>
      <c r="V250" s="64" t="n">
        <f aca="false">IF($K250="Better",$P250,0)</f>
        <v>0</v>
      </c>
      <c r="W250" s="64" t="n">
        <f aca="false">IF($K250="U – needs rule",$P250,0)</f>
        <v>0</v>
      </c>
      <c r="X250" s="64" t="n">
        <f aca="false">IF($K250="No Start (attainment only)",$P250,0)</f>
        <v>0</v>
      </c>
    </row>
    <row r="251" customFormat="false" ht="15" hidden="false" customHeight="false" outlineLevel="0" collapsed="false">
      <c r="A251" s="60" t="s">
        <v>779</v>
      </c>
      <c r="B251" s="61" t="str">
        <f aca="false">IF($M251=0,"",INDEX(Classes!$E$6:$E$420,$M251))</f>
        <v>Arabic A</v>
      </c>
      <c r="C251" s="62" t="str">
        <f aca="false">IF($M251=0,"",INDEX(Classes!$H$6:$H$420,$M251))</f>
        <v>Mr Ahmed AbdelmonemElsye</v>
      </c>
      <c r="D251" s="61" t="str">
        <f aca="false">IF($M251=0,"",INDEX(Classes!$B$6:$B$420,$M251))</f>
        <v>Year 10</v>
      </c>
      <c r="E251" s="61" t="str">
        <f aca="false">IF($M251=0,"",INDEX(Classes!$C$6:$C$420,$M251))</f>
        <v>ah</v>
      </c>
      <c r="F251" s="63" t="s">
        <v>163</v>
      </c>
      <c r="G251" s="63" t="s">
        <v>1018</v>
      </c>
      <c r="H251" s="60" t="s">
        <v>204</v>
      </c>
      <c r="I251" s="60" t="s">
        <v>205</v>
      </c>
      <c r="J251" s="63" t="n">
        <v>1</v>
      </c>
      <c r="K251" s="61" t="str">
        <f aca="false">IF($P251=0,"",IF($F251="Baseline","— Baseline",IF($O251=0,"No result",IF($N251=0,"No Start (attainment only)",IF(OR($N251=1,$O251=1),"U – needs rule",INDEX(MxBody,MATCH($I251,MxCurr,0),MATCH($H251,MxStart,0)))))))</f>
        <v>Better</v>
      </c>
      <c r="L251" s="62" t="str">
        <f aca="false">IF(COUNTA($A251,$F251,$G251,$H251,$I251,$J251)=0,"",IF($M251=0,"✖ كود الصف غير موجود",IF(ISNA(MATCH($F251,Lists!$A$2:$A$5,0)),"✖ الفترة غير صحيحة",IF(ISNA(MATCH($G251,Lists!$B$2:$B$7,0)),"✖ المجموعة غير صحيحة",IF(NOT(OR($H251="",$N251&gt;0)),"✖ Start غير صحيح",IF(NOT(OR($I251="",$I251="NR",$O251&gt;0)),"✖ Current غير صحيح",IF(NOT(IF(ISNUMBER($J251),AND($J251&gt;=0,$J251=INT($J251)),FALSE())),"✖ العدد يجب أن يكون صحيحًا ≥ 0",IF(AND($F251="Baseline",$H251&lt;&gt;""),"⚠ Baseline: Start لا يدخل في التقدم",IF($K251="No Start (attainment only)","ℹ تحصيل فقط (بدون Start)",IF($K251="U – needs rule","ℹ حالة U تحتاج قاعدة معتمدة",IF($K251="No result","ℹ بدون نتيجة (يُستبعد من التحصيل)","OK")))))))))))</f>
        <v>OK</v>
      </c>
      <c r="M251" s="64" t="n">
        <f aca="false">IF($A251="",0,IFERROR(MATCH($A251,Classes!$A$6:$A$420,0),0))</f>
        <v>283</v>
      </c>
      <c r="N251" s="64" t="n">
        <f aca="false">IF($H251="",0,IFERROR(MATCH($H251,GradeList,0),0))</f>
        <v>9</v>
      </c>
      <c r="O251" s="64" t="n">
        <f aca="false">IF(OR($I251="",$I251="NR"),0,IFERROR(MATCH($I251,GradeList,0),0))</f>
        <v>10</v>
      </c>
      <c r="P251" s="64" t="n">
        <f aca="false">IF(AND($M251&gt;0,ISNUMBER(MATCH($F251,Lists!$A$2:$A$5,0)),ISNUMBER(MATCH($G251,Lists!$B$2:$B$7,0)),OR($H251="",$N251&gt;0),OR($I251="",$I251="NR",$O251&gt;0),IF(ISNUMBER($J251),AND($J251&gt;=0,$J251=INT($J251)),FALSE())),$J251,0)</f>
        <v>1</v>
      </c>
      <c r="Q251" s="64" t="n">
        <f aca="false">IF(AND($P251&gt;0,$O251&gt;0),$P251,0)</f>
        <v>1</v>
      </c>
      <c r="R251" s="64" t="n">
        <f aca="false">IF(AND($Q251&gt;0,$O251&gt;=AtRank),$Q251,0)</f>
        <v>1</v>
      </c>
      <c r="S251" s="64" t="n">
        <f aca="false">IF(AND($Q251&gt;0,$O251&gt;=AboveRank),$Q251,0)</f>
        <v>1</v>
      </c>
      <c r="T251" s="64" t="n">
        <f aca="false">IF($K251="Less",$P251,0)</f>
        <v>0</v>
      </c>
      <c r="U251" s="64" t="n">
        <f aca="false">IF($K251="Expected",$P251,0)</f>
        <v>0</v>
      </c>
      <c r="V251" s="64" t="n">
        <f aca="false">IF($K251="Better",$P251,0)</f>
        <v>1</v>
      </c>
      <c r="W251" s="64" t="n">
        <f aca="false">IF($K251="U – needs rule",$P251,0)</f>
        <v>0</v>
      </c>
      <c r="X251" s="64" t="n">
        <f aca="false">IF($K251="No Start (attainment only)",$P251,0)</f>
        <v>0</v>
      </c>
    </row>
    <row r="252" customFormat="false" ht="15" hidden="false" customHeight="false" outlineLevel="0" collapsed="false">
      <c r="A252" s="60" t="s">
        <v>779</v>
      </c>
      <c r="B252" s="61" t="str">
        <f aca="false">IF($M252=0,"",INDEX(Classes!$E$6:$E$420,$M252))</f>
        <v>Arabic A</v>
      </c>
      <c r="C252" s="62" t="str">
        <f aca="false">IF($M252=0,"",INDEX(Classes!$H$6:$H$420,$M252))</f>
        <v>Mr Ahmed AbdelmonemElsye</v>
      </c>
      <c r="D252" s="61" t="str">
        <f aca="false">IF($M252=0,"",INDEX(Classes!$B$6:$B$420,$M252))</f>
        <v>Year 10</v>
      </c>
      <c r="E252" s="61" t="str">
        <f aca="false">IF($M252=0,"",INDEX(Classes!$C$6:$C$420,$M252))</f>
        <v>ah</v>
      </c>
      <c r="F252" s="63" t="s">
        <v>163</v>
      </c>
      <c r="G252" s="63" t="s">
        <v>1018</v>
      </c>
      <c r="H252" s="60" t="s">
        <v>199</v>
      </c>
      <c r="I252" s="60" t="s">
        <v>198</v>
      </c>
      <c r="J252" s="63" t="n">
        <v>1</v>
      </c>
      <c r="K252" s="61" t="str">
        <f aca="false">IF($P252=0,"",IF($F252="Baseline","— Baseline",IF($O252=0,"No result",IF($N252=0,"No Start (attainment only)",IF(OR($N252=1,$O252=1),"U – needs rule",INDEX(MxBody,MATCH($I252,MxCurr,0),MATCH($H252,MxStart,0)))))))</f>
        <v>Less</v>
      </c>
      <c r="L252" s="62" t="str">
        <f aca="false">IF(COUNTA($A252,$F252,$G252,$H252,$I252,$J252)=0,"",IF($M252=0,"✖ كود الصف غير موجود",IF(ISNA(MATCH($F252,Lists!$A$2:$A$5,0)),"✖ الفترة غير صحيحة",IF(ISNA(MATCH($G252,Lists!$B$2:$B$7,0)),"✖ المجموعة غير صحيحة",IF(NOT(OR($H252="",$N252&gt;0)),"✖ Start غير صحيح",IF(NOT(OR($I252="",$I252="NR",$O252&gt;0)),"✖ Current غير صحيح",IF(NOT(IF(ISNUMBER($J252),AND($J252&gt;=0,$J252=INT($J252)),FALSE())),"✖ العدد يجب أن يكون صحيحًا ≥ 0",IF(AND($F252="Baseline",$H252&lt;&gt;""),"⚠ Baseline: Start لا يدخل في التقدم",IF($K252="No Start (attainment only)","ℹ تحصيل فقط (بدون Start)",IF($K252="U – needs rule","ℹ حالة U تحتاج قاعدة معتمدة",IF($K252="No result","ℹ بدون نتيجة (يُستبعد من التحصيل)","OK")))))))))))</f>
        <v>OK</v>
      </c>
      <c r="M252" s="64" t="n">
        <f aca="false">IF($A252="",0,IFERROR(MATCH($A252,Classes!$A$6:$A$420,0),0))</f>
        <v>283</v>
      </c>
      <c r="N252" s="64" t="n">
        <f aca="false">IF($H252="",0,IFERROR(MATCH($H252,GradeList,0),0))</f>
        <v>4</v>
      </c>
      <c r="O252" s="64" t="n">
        <f aca="false">IF(OR($I252="",$I252="NR"),0,IFERROR(MATCH($I252,GradeList,0),0))</f>
        <v>3</v>
      </c>
      <c r="P252" s="64" t="n">
        <f aca="false">IF(AND($M252&gt;0,ISNUMBER(MATCH($F252,Lists!$A$2:$A$5,0)),ISNUMBER(MATCH($G252,Lists!$B$2:$B$7,0)),OR($H252="",$N252&gt;0),OR($I252="",$I252="NR",$O252&gt;0),IF(ISNUMBER($J252),AND($J252&gt;=0,$J252=INT($J252)),FALSE())),$J252,0)</f>
        <v>1</v>
      </c>
      <c r="Q252" s="64" t="n">
        <f aca="false">IF(AND($P252&gt;0,$O252&gt;0),$P252,0)</f>
        <v>1</v>
      </c>
      <c r="R252" s="64" t="n">
        <f aca="false">IF(AND($Q252&gt;0,$O252&gt;=AtRank),$Q252,0)</f>
        <v>0</v>
      </c>
      <c r="S252" s="64" t="n">
        <f aca="false">IF(AND($Q252&gt;0,$O252&gt;=AboveRank),$Q252,0)</f>
        <v>0</v>
      </c>
      <c r="T252" s="64" t="n">
        <f aca="false">IF($K252="Less",$P252,0)</f>
        <v>1</v>
      </c>
      <c r="U252" s="64" t="n">
        <f aca="false">IF($K252="Expected",$P252,0)</f>
        <v>0</v>
      </c>
      <c r="V252" s="64" t="n">
        <f aca="false">IF($K252="Better",$P252,0)</f>
        <v>0</v>
      </c>
      <c r="W252" s="64" t="n">
        <f aca="false">IF($K252="U – needs rule",$P252,0)</f>
        <v>0</v>
      </c>
      <c r="X252" s="64" t="n">
        <f aca="false">IF($K252="No Start (attainment only)",$P252,0)</f>
        <v>0</v>
      </c>
    </row>
    <row r="253" customFormat="false" ht="15" hidden="false" customHeight="false" outlineLevel="0" collapsed="false">
      <c r="A253" s="60" t="s">
        <v>780</v>
      </c>
      <c r="B253" s="61" t="str">
        <f aca="false">IF($M253=0,"",INDEX(Classes!$E$6:$E$420,$M253))</f>
        <v>Arabic A</v>
      </c>
      <c r="C253" s="62" t="str">
        <f aca="false">IF($M253=0,"",INDEX(Classes!$H$6:$H$420,$M253))</f>
        <v>Mr Aly Abdelmonem Hasan</v>
      </c>
      <c r="D253" s="61" t="str">
        <f aca="false">IF($M253=0,"",INDEX(Classes!$B$6:$B$420,$M253))</f>
        <v>Year 10</v>
      </c>
      <c r="E253" s="61" t="str">
        <f aca="false">IF($M253=0,"",INDEX(Classes!$C$6:$C$420,$M253))</f>
        <v>ah</v>
      </c>
      <c r="F253" s="63" t="s">
        <v>162</v>
      </c>
      <c r="G253" s="63" t="s">
        <v>108</v>
      </c>
      <c r="H253" s="60"/>
      <c r="I253" s="60" t="s">
        <v>202</v>
      </c>
      <c r="J253" s="63" t="n">
        <v>2</v>
      </c>
      <c r="K253" s="61" t="str">
        <f aca="false">IF($P253=0,"",IF($F253="Baseline","— Baseline",IF($O253=0,"No result",IF($N253=0,"No Start (attainment only)",IF(OR($N253=1,$O253=1),"U – needs rule",INDEX(MxBody,MATCH($I253,MxCurr,0),MATCH($H253,MxStart,0)))))))</f>
        <v>— Baseline</v>
      </c>
      <c r="L253" s="62" t="str">
        <f aca="false">IF(COUNTA($A253,$F253,$G253,$H253,$I253,$J253)=0,"",IF($M253=0,"✖ كود الصف غير موجود",IF(ISNA(MATCH($F253,Lists!$A$2:$A$5,0)),"✖ الفترة غير صحيحة",IF(ISNA(MATCH($G253,Lists!$B$2:$B$7,0)),"✖ المجموعة غير صحيحة",IF(NOT(OR($H253="",$N253&gt;0)),"✖ Start غير صحيح",IF(NOT(OR($I253="",$I253="NR",$O253&gt;0)),"✖ Current غير صحيح",IF(NOT(IF(ISNUMBER($J253),AND($J253&gt;=0,$J253=INT($J253)),FALSE())),"✖ العدد يجب أن يكون صحيحًا ≥ 0",IF(AND($F253="Baseline",$H253&lt;&gt;""),"⚠ Baseline: Start لا يدخل في التقدم",IF($K253="No Start (attainment only)","ℹ تحصيل فقط (بدون Start)",IF($K253="U – needs rule","ℹ حالة U تحتاج قاعدة معتمدة",IF($K253="No result","ℹ بدون نتيجة (يُستبعد من التحصيل)","OK")))))))))))</f>
        <v>OK</v>
      </c>
      <c r="M253" s="64" t="n">
        <f aca="false">IF($A253="",0,IFERROR(MATCH($A253,Classes!$A$6:$A$420,0),0))</f>
        <v>284</v>
      </c>
      <c r="N253" s="64" t="n">
        <f aca="false">IF($H253="",0,IFERROR(MATCH($H253,GradeList,0),0))</f>
        <v>0</v>
      </c>
      <c r="O253" s="64" t="n">
        <f aca="false">IF(OR($I253="",$I253="NR"),0,IFERROR(MATCH($I253,GradeList,0),0))</f>
        <v>7</v>
      </c>
      <c r="P253" s="64" t="n">
        <f aca="false">IF(AND($M253&gt;0,ISNUMBER(MATCH($F253,Lists!$A$2:$A$5,0)),ISNUMBER(MATCH($G253,Lists!$B$2:$B$7,0)),OR($H253="",$N253&gt;0),OR($I253="",$I253="NR",$O253&gt;0),IF(ISNUMBER($J253),AND($J253&gt;=0,$J253=INT($J253)),FALSE())),$J253,0)</f>
        <v>2</v>
      </c>
      <c r="Q253" s="64" t="n">
        <f aca="false">IF(AND($P253&gt;0,$O253&gt;0),$P253,0)</f>
        <v>2</v>
      </c>
      <c r="R253" s="64" t="n">
        <f aca="false">IF(AND($Q253&gt;0,$O253&gt;=AtRank),$Q253,0)</f>
        <v>2</v>
      </c>
      <c r="S253" s="64" t="n">
        <f aca="false">IF(AND($Q253&gt;0,$O253&gt;=AboveRank),$Q253,0)</f>
        <v>2</v>
      </c>
      <c r="T253" s="64" t="n">
        <f aca="false">IF($K253="Less",$P253,0)</f>
        <v>0</v>
      </c>
      <c r="U253" s="64" t="n">
        <f aca="false">IF($K253="Expected",$P253,0)</f>
        <v>0</v>
      </c>
      <c r="V253" s="64" t="n">
        <f aca="false">IF($K253="Better",$P253,0)</f>
        <v>0</v>
      </c>
      <c r="W253" s="64" t="n">
        <f aca="false">IF($K253="U – needs rule",$P253,0)</f>
        <v>0</v>
      </c>
      <c r="X253" s="64" t="n">
        <f aca="false">IF($K253="No Start (attainment only)",$P253,0)</f>
        <v>0</v>
      </c>
    </row>
    <row r="254" customFormat="false" ht="15" hidden="false" customHeight="false" outlineLevel="0" collapsed="false">
      <c r="A254" s="60" t="s">
        <v>780</v>
      </c>
      <c r="B254" s="61" t="str">
        <f aca="false">IF($M254=0,"",INDEX(Classes!$E$6:$E$420,$M254))</f>
        <v>Arabic A</v>
      </c>
      <c r="C254" s="62" t="str">
        <f aca="false">IF($M254=0,"",INDEX(Classes!$H$6:$H$420,$M254))</f>
        <v>Mr Aly Abdelmonem Hasan</v>
      </c>
      <c r="D254" s="61" t="str">
        <f aca="false">IF($M254=0,"",INDEX(Classes!$B$6:$B$420,$M254))</f>
        <v>Year 10</v>
      </c>
      <c r="E254" s="61" t="str">
        <f aca="false">IF($M254=0,"",INDEX(Classes!$C$6:$C$420,$M254))</f>
        <v>ah</v>
      </c>
      <c r="F254" s="63" t="s">
        <v>162</v>
      </c>
      <c r="G254" s="63" t="s">
        <v>108</v>
      </c>
      <c r="H254" s="60"/>
      <c r="I254" s="60" t="s">
        <v>200</v>
      </c>
      <c r="J254" s="63" t="n">
        <v>5</v>
      </c>
      <c r="K254" s="61" t="str">
        <f aca="false">IF($P254=0,"",IF($F254="Baseline","— Baseline",IF($O254=0,"No result",IF($N254=0,"No Start (attainment only)",IF(OR($N254=1,$O254=1),"U – needs rule",INDEX(MxBody,MATCH($I254,MxCurr,0),MATCH($H254,MxStart,0)))))))</f>
        <v>— Baseline</v>
      </c>
      <c r="L254" s="62" t="str">
        <f aca="false">IF(COUNTA($A254,$F254,$G254,$H254,$I254,$J254)=0,"",IF($M254=0,"✖ كود الصف غير موجود",IF(ISNA(MATCH($F254,Lists!$A$2:$A$5,0)),"✖ الفترة غير صحيحة",IF(ISNA(MATCH($G254,Lists!$B$2:$B$7,0)),"✖ المجموعة غير صحيحة",IF(NOT(OR($H254="",$N254&gt;0)),"✖ Start غير صحيح",IF(NOT(OR($I254="",$I254="NR",$O254&gt;0)),"✖ Current غير صحيح",IF(NOT(IF(ISNUMBER($J254),AND($J254&gt;=0,$J254=INT($J254)),FALSE())),"✖ العدد يجب أن يكون صحيحًا ≥ 0",IF(AND($F254="Baseline",$H254&lt;&gt;""),"⚠ Baseline: Start لا يدخل في التقدم",IF($K254="No Start (attainment only)","ℹ تحصيل فقط (بدون Start)",IF($K254="U – needs rule","ℹ حالة U تحتاج قاعدة معتمدة",IF($K254="No result","ℹ بدون نتيجة (يُستبعد من التحصيل)","OK")))))))))))</f>
        <v>OK</v>
      </c>
      <c r="M254" s="64" t="n">
        <f aca="false">IF($A254="",0,IFERROR(MATCH($A254,Classes!$A$6:$A$420,0),0))</f>
        <v>284</v>
      </c>
      <c r="N254" s="64" t="n">
        <f aca="false">IF($H254="",0,IFERROR(MATCH($H254,GradeList,0),0))</f>
        <v>0</v>
      </c>
      <c r="O254" s="64" t="n">
        <f aca="false">IF(OR($I254="",$I254="NR"),0,IFERROR(MATCH($I254,GradeList,0),0))</f>
        <v>5</v>
      </c>
      <c r="P254" s="64" t="n">
        <f aca="false">IF(AND($M254&gt;0,ISNUMBER(MATCH($F254,Lists!$A$2:$A$5,0)),ISNUMBER(MATCH($G254,Lists!$B$2:$B$7,0)),OR($H254="",$N254&gt;0),OR($I254="",$I254="NR",$O254&gt;0),IF(ISNUMBER($J254),AND($J254&gt;=0,$J254=INT($J254)),FALSE())),$J254,0)</f>
        <v>5</v>
      </c>
      <c r="Q254" s="64" t="n">
        <f aca="false">IF(AND($P254&gt;0,$O254&gt;0),$P254,0)</f>
        <v>5</v>
      </c>
      <c r="R254" s="64" t="n">
        <f aca="false">IF(AND($Q254&gt;0,$O254&gt;=AtRank),$Q254,0)</f>
        <v>5</v>
      </c>
      <c r="S254" s="64" t="n">
        <f aca="false">IF(AND($Q254&gt;0,$O254&gt;=AboveRank),$Q254,0)</f>
        <v>0</v>
      </c>
      <c r="T254" s="64" t="n">
        <f aca="false">IF($K254="Less",$P254,0)</f>
        <v>0</v>
      </c>
      <c r="U254" s="64" t="n">
        <f aca="false">IF($K254="Expected",$P254,0)</f>
        <v>0</v>
      </c>
      <c r="V254" s="64" t="n">
        <f aca="false">IF($K254="Better",$P254,0)</f>
        <v>0</v>
      </c>
      <c r="W254" s="64" t="n">
        <f aca="false">IF($K254="U – needs rule",$P254,0)</f>
        <v>0</v>
      </c>
      <c r="X254" s="64" t="n">
        <f aca="false">IF($K254="No Start (attainment only)",$P254,0)</f>
        <v>0</v>
      </c>
    </row>
    <row r="255" customFormat="false" ht="15" hidden="false" customHeight="false" outlineLevel="0" collapsed="false">
      <c r="A255" s="60" t="s">
        <v>780</v>
      </c>
      <c r="B255" s="61" t="str">
        <f aca="false">IF($M255=0,"",INDEX(Classes!$E$6:$E$420,$M255))</f>
        <v>Arabic A</v>
      </c>
      <c r="C255" s="62" t="str">
        <f aca="false">IF($M255=0,"",INDEX(Classes!$H$6:$H$420,$M255))</f>
        <v>Mr Aly Abdelmonem Hasan</v>
      </c>
      <c r="D255" s="61" t="str">
        <f aca="false">IF($M255=0,"",INDEX(Classes!$B$6:$B$420,$M255))</f>
        <v>Year 10</v>
      </c>
      <c r="E255" s="61" t="str">
        <f aca="false">IF($M255=0,"",INDEX(Classes!$C$6:$C$420,$M255))</f>
        <v>ah</v>
      </c>
      <c r="F255" s="63" t="s">
        <v>162</v>
      </c>
      <c r="G255" s="63" t="s">
        <v>108</v>
      </c>
      <c r="H255" s="60"/>
      <c r="I255" s="60" t="s">
        <v>201</v>
      </c>
      <c r="J255" s="63" t="n">
        <v>3</v>
      </c>
      <c r="K255" s="61" t="str">
        <f aca="false">IF($P255=0,"",IF($F255="Baseline","— Baseline",IF($O255=0,"No result",IF($N255=0,"No Start (attainment only)",IF(OR($N255=1,$O255=1),"U – needs rule",INDEX(MxBody,MATCH($I255,MxCurr,0),MATCH($H255,MxStart,0)))))))</f>
        <v>— Baseline</v>
      </c>
      <c r="L255" s="62" t="str">
        <f aca="false">IF(COUNTA($A255,$F255,$G255,$H255,$I255,$J255)=0,"",IF($M255=0,"✖ كود الصف غير موجود",IF(ISNA(MATCH($F255,Lists!$A$2:$A$5,0)),"✖ الفترة غير صحيحة",IF(ISNA(MATCH($G255,Lists!$B$2:$B$7,0)),"✖ المجموعة غير صحيحة",IF(NOT(OR($H255="",$N255&gt;0)),"✖ Start غير صحيح",IF(NOT(OR($I255="",$I255="NR",$O255&gt;0)),"✖ Current غير صحيح",IF(NOT(IF(ISNUMBER($J255),AND($J255&gt;=0,$J255=INT($J255)),FALSE())),"✖ العدد يجب أن يكون صحيحًا ≥ 0",IF(AND($F255="Baseline",$H255&lt;&gt;""),"⚠ Baseline: Start لا يدخل في التقدم",IF($K255="No Start (attainment only)","ℹ تحصيل فقط (بدون Start)",IF($K255="U – needs rule","ℹ حالة U تحتاج قاعدة معتمدة",IF($K255="No result","ℹ بدون نتيجة (يُستبعد من التحصيل)","OK")))))))))))</f>
        <v>OK</v>
      </c>
      <c r="M255" s="64" t="n">
        <f aca="false">IF($A255="",0,IFERROR(MATCH($A255,Classes!$A$6:$A$420,0),0))</f>
        <v>284</v>
      </c>
      <c r="N255" s="64" t="n">
        <f aca="false">IF($H255="",0,IFERROR(MATCH($H255,GradeList,0),0))</f>
        <v>0</v>
      </c>
      <c r="O255" s="64" t="n">
        <f aca="false">IF(OR($I255="",$I255="NR"),0,IFERROR(MATCH($I255,GradeList,0),0))</f>
        <v>6</v>
      </c>
      <c r="P255" s="64" t="n">
        <f aca="false">IF(AND($M255&gt;0,ISNUMBER(MATCH($F255,Lists!$A$2:$A$5,0)),ISNUMBER(MATCH($G255,Lists!$B$2:$B$7,0)),OR($H255="",$N255&gt;0),OR($I255="",$I255="NR",$O255&gt;0),IF(ISNUMBER($J255),AND($J255&gt;=0,$J255=INT($J255)),FALSE())),$J255,0)</f>
        <v>3</v>
      </c>
      <c r="Q255" s="64" t="n">
        <f aca="false">IF(AND($P255&gt;0,$O255&gt;0),$P255,0)</f>
        <v>3</v>
      </c>
      <c r="R255" s="64" t="n">
        <f aca="false">IF(AND($Q255&gt;0,$O255&gt;=AtRank),$Q255,0)</f>
        <v>3</v>
      </c>
      <c r="S255" s="64" t="n">
        <f aca="false">IF(AND($Q255&gt;0,$O255&gt;=AboveRank),$Q255,0)</f>
        <v>0</v>
      </c>
      <c r="T255" s="64" t="n">
        <f aca="false">IF($K255="Less",$P255,0)</f>
        <v>0</v>
      </c>
      <c r="U255" s="64" t="n">
        <f aca="false">IF($K255="Expected",$P255,0)</f>
        <v>0</v>
      </c>
      <c r="V255" s="64" t="n">
        <f aca="false">IF($K255="Better",$P255,0)</f>
        <v>0</v>
      </c>
      <c r="W255" s="64" t="n">
        <f aca="false">IF($K255="U – needs rule",$P255,0)</f>
        <v>0</v>
      </c>
      <c r="X255" s="64" t="n">
        <f aca="false">IF($K255="No Start (attainment only)",$P255,0)</f>
        <v>0</v>
      </c>
    </row>
    <row r="256" customFormat="false" ht="15" hidden="false" customHeight="false" outlineLevel="0" collapsed="false">
      <c r="A256" s="60" t="s">
        <v>780</v>
      </c>
      <c r="B256" s="61" t="str">
        <f aca="false">IF($M256=0,"",INDEX(Classes!$E$6:$E$420,$M256))</f>
        <v>Arabic A</v>
      </c>
      <c r="C256" s="62" t="str">
        <f aca="false">IF($M256=0,"",INDEX(Classes!$H$6:$H$420,$M256))</f>
        <v>Mr Aly Abdelmonem Hasan</v>
      </c>
      <c r="D256" s="61" t="str">
        <f aca="false">IF($M256=0,"",INDEX(Classes!$B$6:$B$420,$M256))</f>
        <v>Year 10</v>
      </c>
      <c r="E256" s="61" t="str">
        <f aca="false">IF($M256=0,"",INDEX(Classes!$C$6:$C$420,$M256))</f>
        <v>ah</v>
      </c>
      <c r="F256" s="63" t="s">
        <v>162</v>
      </c>
      <c r="G256" s="63" t="s">
        <v>108</v>
      </c>
      <c r="H256" s="60"/>
      <c r="I256" s="60" t="s">
        <v>199</v>
      </c>
      <c r="J256" s="63" t="n">
        <v>8</v>
      </c>
      <c r="K256" s="61" t="str">
        <f aca="false">IF($P256=0,"",IF($F256="Baseline","— Baseline",IF($O256=0,"No result",IF($N256=0,"No Start (attainment only)",IF(OR($N256=1,$O256=1),"U – needs rule",INDEX(MxBody,MATCH($I256,MxCurr,0),MATCH($H256,MxStart,0)))))))</f>
        <v>— Baseline</v>
      </c>
      <c r="L256" s="62" t="str">
        <f aca="false">IF(COUNTA($A256,$F256,$G256,$H256,$I256,$J256)=0,"",IF($M256=0,"✖ كود الصف غير موجود",IF(ISNA(MATCH($F256,Lists!$A$2:$A$5,0)),"✖ الفترة غير صحيحة",IF(ISNA(MATCH($G256,Lists!$B$2:$B$7,0)),"✖ المجموعة غير صحيحة",IF(NOT(OR($H256="",$N256&gt;0)),"✖ Start غير صحيح",IF(NOT(OR($I256="",$I256="NR",$O256&gt;0)),"✖ Current غير صحيح",IF(NOT(IF(ISNUMBER($J256),AND($J256&gt;=0,$J256=INT($J256)),FALSE())),"✖ العدد يجب أن يكون صحيحًا ≥ 0",IF(AND($F256="Baseline",$H256&lt;&gt;""),"⚠ Baseline: Start لا يدخل في التقدم",IF($K256="No Start (attainment only)","ℹ تحصيل فقط (بدون Start)",IF($K256="U – needs rule","ℹ حالة U تحتاج قاعدة معتمدة",IF($K256="No result","ℹ بدون نتيجة (يُستبعد من التحصيل)","OK")))))))))))</f>
        <v>OK</v>
      </c>
      <c r="M256" s="64" t="n">
        <f aca="false">IF($A256="",0,IFERROR(MATCH($A256,Classes!$A$6:$A$420,0),0))</f>
        <v>284</v>
      </c>
      <c r="N256" s="64" t="n">
        <f aca="false">IF($H256="",0,IFERROR(MATCH($H256,GradeList,0),0))</f>
        <v>0</v>
      </c>
      <c r="O256" s="64" t="n">
        <f aca="false">IF(OR($I256="",$I256="NR"),0,IFERROR(MATCH($I256,GradeList,0),0))</f>
        <v>4</v>
      </c>
      <c r="P256" s="64" t="n">
        <f aca="false">IF(AND($M256&gt;0,ISNUMBER(MATCH($F256,Lists!$A$2:$A$5,0)),ISNUMBER(MATCH($G256,Lists!$B$2:$B$7,0)),OR($H256="",$N256&gt;0),OR($I256="",$I256="NR",$O256&gt;0),IF(ISNUMBER($J256),AND($J256&gt;=0,$J256=INT($J256)),FALSE())),$J256,0)</f>
        <v>8</v>
      </c>
      <c r="Q256" s="64" t="n">
        <f aca="false">IF(AND($P256&gt;0,$O256&gt;0),$P256,0)</f>
        <v>8</v>
      </c>
      <c r="R256" s="64" t="n">
        <f aca="false">IF(AND($Q256&gt;0,$O256&gt;=AtRank),$Q256,0)</f>
        <v>0</v>
      </c>
      <c r="S256" s="64" t="n">
        <f aca="false">IF(AND($Q256&gt;0,$O256&gt;=AboveRank),$Q256,0)</f>
        <v>0</v>
      </c>
      <c r="T256" s="64" t="n">
        <f aca="false">IF($K256="Less",$P256,0)</f>
        <v>0</v>
      </c>
      <c r="U256" s="64" t="n">
        <f aca="false">IF($K256="Expected",$P256,0)</f>
        <v>0</v>
      </c>
      <c r="V256" s="64" t="n">
        <f aca="false">IF($K256="Better",$P256,0)</f>
        <v>0</v>
      </c>
      <c r="W256" s="64" t="n">
        <f aca="false">IF($K256="U – needs rule",$P256,0)</f>
        <v>0</v>
      </c>
      <c r="X256" s="64" t="n">
        <f aca="false">IF($K256="No Start (attainment only)",$P256,0)</f>
        <v>0</v>
      </c>
    </row>
    <row r="257" customFormat="false" ht="15" hidden="false" customHeight="false" outlineLevel="0" collapsed="false">
      <c r="A257" s="60" t="s">
        <v>780</v>
      </c>
      <c r="B257" s="61" t="str">
        <f aca="false">IF($M257=0,"",INDEX(Classes!$E$6:$E$420,$M257))</f>
        <v>Arabic A</v>
      </c>
      <c r="C257" s="62" t="str">
        <f aca="false">IF($M257=0,"",INDEX(Classes!$H$6:$H$420,$M257))</f>
        <v>Mr Aly Abdelmonem Hasan</v>
      </c>
      <c r="D257" s="61" t="str">
        <f aca="false">IF($M257=0,"",INDEX(Classes!$B$6:$B$420,$M257))</f>
        <v>Year 10</v>
      </c>
      <c r="E257" s="61" t="str">
        <f aca="false">IF($M257=0,"",INDEX(Classes!$C$6:$C$420,$M257))</f>
        <v>ah</v>
      </c>
      <c r="F257" s="63" t="s">
        <v>162</v>
      </c>
      <c r="G257" s="63" t="s">
        <v>1015</v>
      </c>
      <c r="H257" s="60"/>
      <c r="I257" s="60" t="s">
        <v>202</v>
      </c>
      <c r="J257" s="63" t="n">
        <v>1</v>
      </c>
      <c r="K257" s="61" t="str">
        <f aca="false">IF($P257=0,"",IF($F257="Baseline","— Baseline",IF($O257=0,"No result",IF($N257=0,"No Start (attainment only)",IF(OR($N257=1,$O257=1),"U – needs rule",INDEX(MxBody,MATCH($I257,MxCurr,0),MATCH($H257,MxStart,0)))))))</f>
        <v>— Baseline</v>
      </c>
      <c r="L257" s="62" t="str">
        <f aca="false">IF(COUNTA($A257,$F257,$G257,$H257,$I257,$J257)=0,"",IF($M257=0,"✖ كود الصف غير موجود",IF(ISNA(MATCH($F257,Lists!$A$2:$A$5,0)),"✖ الفترة غير صحيحة",IF(ISNA(MATCH($G257,Lists!$B$2:$B$7,0)),"✖ المجموعة غير صحيحة",IF(NOT(OR($H257="",$N257&gt;0)),"✖ Start غير صحيح",IF(NOT(OR($I257="",$I257="NR",$O257&gt;0)),"✖ Current غير صحيح",IF(NOT(IF(ISNUMBER($J257),AND($J257&gt;=0,$J257=INT($J257)),FALSE())),"✖ العدد يجب أن يكون صحيحًا ≥ 0",IF(AND($F257="Baseline",$H257&lt;&gt;""),"⚠ Baseline: Start لا يدخل في التقدم",IF($K257="No Start (attainment only)","ℹ تحصيل فقط (بدون Start)",IF($K257="U – needs rule","ℹ حالة U تحتاج قاعدة معتمدة",IF($K257="No result","ℹ بدون نتيجة (يُستبعد من التحصيل)","OK")))))))))))</f>
        <v>OK</v>
      </c>
      <c r="M257" s="64" t="n">
        <f aca="false">IF($A257="",0,IFERROR(MATCH($A257,Classes!$A$6:$A$420,0),0))</f>
        <v>284</v>
      </c>
      <c r="N257" s="64" t="n">
        <f aca="false">IF($H257="",0,IFERROR(MATCH($H257,GradeList,0),0))</f>
        <v>0</v>
      </c>
      <c r="O257" s="64" t="n">
        <f aca="false">IF(OR($I257="",$I257="NR"),0,IFERROR(MATCH($I257,GradeList,0),0))</f>
        <v>7</v>
      </c>
      <c r="P257" s="64" t="n">
        <f aca="false">IF(AND($M257&gt;0,ISNUMBER(MATCH($F257,Lists!$A$2:$A$5,0)),ISNUMBER(MATCH($G257,Lists!$B$2:$B$7,0)),OR($H257="",$N257&gt;0),OR($I257="",$I257="NR",$O257&gt;0),IF(ISNUMBER($J257),AND($J257&gt;=0,$J257=INT($J257)),FALSE())),$J257,0)</f>
        <v>1</v>
      </c>
      <c r="Q257" s="64" t="n">
        <f aca="false">IF(AND($P257&gt;0,$O257&gt;0),$P257,0)</f>
        <v>1</v>
      </c>
      <c r="R257" s="64" t="n">
        <f aca="false">IF(AND($Q257&gt;0,$O257&gt;=AtRank),$Q257,0)</f>
        <v>1</v>
      </c>
      <c r="S257" s="64" t="n">
        <f aca="false">IF(AND($Q257&gt;0,$O257&gt;=AboveRank),$Q257,0)</f>
        <v>1</v>
      </c>
      <c r="T257" s="64" t="n">
        <f aca="false">IF($K257="Less",$P257,0)</f>
        <v>0</v>
      </c>
      <c r="U257" s="64" t="n">
        <f aca="false">IF($K257="Expected",$P257,0)</f>
        <v>0</v>
      </c>
      <c r="V257" s="64" t="n">
        <f aca="false">IF($K257="Better",$P257,0)</f>
        <v>0</v>
      </c>
      <c r="W257" s="64" t="n">
        <f aca="false">IF($K257="U – needs rule",$P257,0)</f>
        <v>0</v>
      </c>
      <c r="X257" s="64" t="n">
        <f aca="false">IF($K257="No Start (attainment only)",$P257,0)</f>
        <v>0</v>
      </c>
    </row>
    <row r="258" customFormat="false" ht="15" hidden="false" customHeight="false" outlineLevel="0" collapsed="false">
      <c r="A258" s="60" t="s">
        <v>780</v>
      </c>
      <c r="B258" s="61" t="str">
        <f aca="false">IF($M258=0,"",INDEX(Classes!$E$6:$E$420,$M258))</f>
        <v>Arabic A</v>
      </c>
      <c r="C258" s="62" t="str">
        <f aca="false">IF($M258=0,"",INDEX(Classes!$H$6:$H$420,$M258))</f>
        <v>Mr Aly Abdelmonem Hasan</v>
      </c>
      <c r="D258" s="61" t="str">
        <f aca="false">IF($M258=0,"",INDEX(Classes!$B$6:$B$420,$M258))</f>
        <v>Year 10</v>
      </c>
      <c r="E258" s="61" t="str">
        <f aca="false">IF($M258=0,"",INDEX(Classes!$C$6:$C$420,$M258))</f>
        <v>ah</v>
      </c>
      <c r="F258" s="63" t="s">
        <v>162</v>
      </c>
      <c r="G258" s="63" t="s">
        <v>1015</v>
      </c>
      <c r="H258" s="60"/>
      <c r="I258" s="60" t="s">
        <v>200</v>
      </c>
      <c r="J258" s="63" t="n">
        <v>3</v>
      </c>
      <c r="K258" s="61" t="str">
        <f aca="false">IF($P258=0,"",IF($F258="Baseline","— Baseline",IF($O258=0,"No result",IF($N258=0,"No Start (attainment only)",IF(OR($N258=1,$O258=1),"U – needs rule",INDEX(MxBody,MATCH($I258,MxCurr,0),MATCH($H258,MxStart,0)))))))</f>
        <v>— Baseline</v>
      </c>
      <c r="L258" s="62" t="str">
        <f aca="false">IF(COUNTA($A258,$F258,$G258,$H258,$I258,$J258)=0,"",IF($M258=0,"✖ كود الصف غير موجود",IF(ISNA(MATCH($F258,Lists!$A$2:$A$5,0)),"✖ الفترة غير صحيحة",IF(ISNA(MATCH($G258,Lists!$B$2:$B$7,0)),"✖ المجموعة غير صحيحة",IF(NOT(OR($H258="",$N258&gt;0)),"✖ Start غير صحيح",IF(NOT(OR($I258="",$I258="NR",$O258&gt;0)),"✖ Current غير صحيح",IF(NOT(IF(ISNUMBER($J258),AND($J258&gt;=0,$J258=INT($J258)),FALSE())),"✖ العدد يجب أن يكون صحيحًا ≥ 0",IF(AND($F258="Baseline",$H258&lt;&gt;""),"⚠ Baseline: Start لا يدخل في التقدم",IF($K258="No Start (attainment only)","ℹ تحصيل فقط (بدون Start)",IF($K258="U – needs rule","ℹ حالة U تحتاج قاعدة معتمدة",IF($K258="No result","ℹ بدون نتيجة (يُستبعد من التحصيل)","OK")))))))))))</f>
        <v>OK</v>
      </c>
      <c r="M258" s="64" t="n">
        <f aca="false">IF($A258="",0,IFERROR(MATCH($A258,Classes!$A$6:$A$420,0),0))</f>
        <v>284</v>
      </c>
      <c r="N258" s="64" t="n">
        <f aca="false">IF($H258="",0,IFERROR(MATCH($H258,GradeList,0),0))</f>
        <v>0</v>
      </c>
      <c r="O258" s="64" t="n">
        <f aca="false">IF(OR($I258="",$I258="NR"),0,IFERROR(MATCH($I258,GradeList,0),0))</f>
        <v>5</v>
      </c>
      <c r="P258" s="64" t="n">
        <f aca="false">IF(AND($M258&gt;0,ISNUMBER(MATCH($F258,Lists!$A$2:$A$5,0)),ISNUMBER(MATCH($G258,Lists!$B$2:$B$7,0)),OR($H258="",$N258&gt;0),OR($I258="",$I258="NR",$O258&gt;0),IF(ISNUMBER($J258),AND($J258&gt;=0,$J258=INT($J258)),FALSE())),$J258,0)</f>
        <v>3</v>
      </c>
      <c r="Q258" s="64" t="n">
        <f aca="false">IF(AND($P258&gt;0,$O258&gt;0),$P258,0)</f>
        <v>3</v>
      </c>
      <c r="R258" s="64" t="n">
        <f aca="false">IF(AND($Q258&gt;0,$O258&gt;=AtRank),$Q258,0)</f>
        <v>3</v>
      </c>
      <c r="S258" s="64" t="n">
        <f aca="false">IF(AND($Q258&gt;0,$O258&gt;=AboveRank),$Q258,0)</f>
        <v>0</v>
      </c>
      <c r="T258" s="64" t="n">
        <f aca="false">IF($K258="Less",$P258,0)</f>
        <v>0</v>
      </c>
      <c r="U258" s="64" t="n">
        <f aca="false">IF($K258="Expected",$P258,0)</f>
        <v>0</v>
      </c>
      <c r="V258" s="64" t="n">
        <f aca="false">IF($K258="Better",$P258,0)</f>
        <v>0</v>
      </c>
      <c r="W258" s="64" t="n">
        <f aca="false">IF($K258="U – needs rule",$P258,0)</f>
        <v>0</v>
      </c>
      <c r="X258" s="64" t="n">
        <f aca="false">IF($K258="No Start (attainment only)",$P258,0)</f>
        <v>0</v>
      </c>
    </row>
    <row r="259" customFormat="false" ht="15" hidden="false" customHeight="false" outlineLevel="0" collapsed="false">
      <c r="A259" s="60" t="s">
        <v>780</v>
      </c>
      <c r="B259" s="61" t="str">
        <f aca="false">IF($M259=0,"",INDEX(Classes!$E$6:$E$420,$M259))</f>
        <v>Arabic A</v>
      </c>
      <c r="C259" s="62" t="str">
        <f aca="false">IF($M259=0,"",INDEX(Classes!$H$6:$H$420,$M259))</f>
        <v>Mr Aly Abdelmonem Hasan</v>
      </c>
      <c r="D259" s="61" t="str">
        <f aca="false">IF($M259=0,"",INDEX(Classes!$B$6:$B$420,$M259))</f>
        <v>Year 10</v>
      </c>
      <c r="E259" s="61" t="str">
        <f aca="false">IF($M259=0,"",INDEX(Classes!$C$6:$C$420,$M259))</f>
        <v>ah</v>
      </c>
      <c r="F259" s="63" t="s">
        <v>162</v>
      </c>
      <c r="G259" s="63" t="s">
        <v>1015</v>
      </c>
      <c r="H259" s="60"/>
      <c r="I259" s="60" t="s">
        <v>201</v>
      </c>
      <c r="J259" s="63" t="n">
        <v>1</v>
      </c>
      <c r="K259" s="61" t="str">
        <f aca="false">IF($P259=0,"",IF($F259="Baseline","— Baseline",IF($O259=0,"No result",IF($N259=0,"No Start (attainment only)",IF(OR($N259=1,$O259=1),"U – needs rule",INDEX(MxBody,MATCH($I259,MxCurr,0),MATCH($H259,MxStart,0)))))))</f>
        <v>— Baseline</v>
      </c>
      <c r="L259" s="62" t="str">
        <f aca="false">IF(COUNTA($A259,$F259,$G259,$H259,$I259,$J259)=0,"",IF($M259=0,"✖ كود الصف غير موجود",IF(ISNA(MATCH($F259,Lists!$A$2:$A$5,0)),"✖ الفترة غير صحيحة",IF(ISNA(MATCH($G259,Lists!$B$2:$B$7,0)),"✖ المجموعة غير صحيحة",IF(NOT(OR($H259="",$N259&gt;0)),"✖ Start غير صحيح",IF(NOT(OR($I259="",$I259="NR",$O259&gt;0)),"✖ Current غير صحيح",IF(NOT(IF(ISNUMBER($J259),AND($J259&gt;=0,$J259=INT($J259)),FALSE())),"✖ العدد يجب أن يكون صحيحًا ≥ 0",IF(AND($F259="Baseline",$H259&lt;&gt;""),"⚠ Baseline: Start لا يدخل في التقدم",IF($K259="No Start (attainment only)","ℹ تحصيل فقط (بدون Start)",IF($K259="U – needs rule","ℹ حالة U تحتاج قاعدة معتمدة",IF($K259="No result","ℹ بدون نتيجة (يُستبعد من التحصيل)","OK")))))))))))</f>
        <v>OK</v>
      </c>
      <c r="M259" s="64" t="n">
        <f aca="false">IF($A259="",0,IFERROR(MATCH($A259,Classes!$A$6:$A$420,0),0))</f>
        <v>284</v>
      </c>
      <c r="N259" s="64" t="n">
        <f aca="false">IF($H259="",0,IFERROR(MATCH($H259,GradeList,0),0))</f>
        <v>0</v>
      </c>
      <c r="O259" s="64" t="n">
        <f aca="false">IF(OR($I259="",$I259="NR"),0,IFERROR(MATCH($I259,GradeList,0),0))</f>
        <v>6</v>
      </c>
      <c r="P259" s="64" t="n">
        <f aca="false">IF(AND($M259&gt;0,ISNUMBER(MATCH($F259,Lists!$A$2:$A$5,0)),ISNUMBER(MATCH($G259,Lists!$B$2:$B$7,0)),OR($H259="",$N259&gt;0),OR($I259="",$I259="NR",$O259&gt;0),IF(ISNUMBER($J259),AND($J259&gt;=0,$J259=INT($J259)),FALSE())),$J259,0)</f>
        <v>1</v>
      </c>
      <c r="Q259" s="64" t="n">
        <f aca="false">IF(AND($P259&gt;0,$O259&gt;0),$P259,0)</f>
        <v>1</v>
      </c>
      <c r="R259" s="64" t="n">
        <f aca="false">IF(AND($Q259&gt;0,$O259&gt;=AtRank),$Q259,0)</f>
        <v>1</v>
      </c>
      <c r="S259" s="64" t="n">
        <f aca="false">IF(AND($Q259&gt;0,$O259&gt;=AboveRank),$Q259,0)</f>
        <v>0</v>
      </c>
      <c r="T259" s="64" t="n">
        <f aca="false">IF($K259="Less",$P259,0)</f>
        <v>0</v>
      </c>
      <c r="U259" s="64" t="n">
        <f aca="false">IF($K259="Expected",$P259,0)</f>
        <v>0</v>
      </c>
      <c r="V259" s="64" t="n">
        <f aca="false">IF($K259="Better",$P259,0)</f>
        <v>0</v>
      </c>
      <c r="W259" s="64" t="n">
        <f aca="false">IF($K259="U – needs rule",$P259,0)</f>
        <v>0</v>
      </c>
      <c r="X259" s="64" t="n">
        <f aca="false">IF($K259="No Start (attainment only)",$P259,0)</f>
        <v>0</v>
      </c>
    </row>
    <row r="260" customFormat="false" ht="15" hidden="false" customHeight="false" outlineLevel="0" collapsed="false">
      <c r="A260" s="60" t="s">
        <v>780</v>
      </c>
      <c r="B260" s="61" t="str">
        <f aca="false">IF($M260=0,"",INDEX(Classes!$E$6:$E$420,$M260))</f>
        <v>Arabic A</v>
      </c>
      <c r="C260" s="62" t="str">
        <f aca="false">IF($M260=0,"",INDEX(Classes!$H$6:$H$420,$M260))</f>
        <v>Mr Aly Abdelmonem Hasan</v>
      </c>
      <c r="D260" s="61" t="str">
        <f aca="false">IF($M260=0,"",INDEX(Classes!$B$6:$B$420,$M260))</f>
        <v>Year 10</v>
      </c>
      <c r="E260" s="61" t="str">
        <f aca="false">IF($M260=0,"",INDEX(Classes!$C$6:$C$420,$M260))</f>
        <v>ah</v>
      </c>
      <c r="F260" s="63" t="s">
        <v>162</v>
      </c>
      <c r="G260" s="63" t="s">
        <v>1015</v>
      </c>
      <c r="H260" s="60"/>
      <c r="I260" s="60" t="s">
        <v>199</v>
      </c>
      <c r="J260" s="63" t="n">
        <v>2</v>
      </c>
      <c r="K260" s="61" t="str">
        <f aca="false">IF($P260=0,"",IF($F260="Baseline","— Baseline",IF($O260=0,"No result",IF($N260=0,"No Start (attainment only)",IF(OR($N260=1,$O260=1),"U – needs rule",INDEX(MxBody,MATCH($I260,MxCurr,0),MATCH($H260,MxStart,0)))))))</f>
        <v>— Baseline</v>
      </c>
      <c r="L260" s="62" t="str">
        <f aca="false">IF(COUNTA($A260,$F260,$G260,$H260,$I260,$J260)=0,"",IF($M260=0,"✖ كود الصف غير موجود",IF(ISNA(MATCH($F260,Lists!$A$2:$A$5,0)),"✖ الفترة غير صحيحة",IF(ISNA(MATCH($G260,Lists!$B$2:$B$7,0)),"✖ المجموعة غير صحيحة",IF(NOT(OR($H260="",$N260&gt;0)),"✖ Start غير صحيح",IF(NOT(OR($I260="",$I260="NR",$O260&gt;0)),"✖ Current غير صحيح",IF(NOT(IF(ISNUMBER($J260),AND($J260&gt;=0,$J260=INT($J260)),FALSE())),"✖ العدد يجب أن يكون صحيحًا ≥ 0",IF(AND($F260="Baseline",$H260&lt;&gt;""),"⚠ Baseline: Start لا يدخل في التقدم",IF($K260="No Start (attainment only)","ℹ تحصيل فقط (بدون Start)",IF($K260="U – needs rule","ℹ حالة U تحتاج قاعدة معتمدة",IF($K260="No result","ℹ بدون نتيجة (يُستبعد من التحصيل)","OK")))))))))))</f>
        <v>OK</v>
      </c>
      <c r="M260" s="64" t="n">
        <f aca="false">IF($A260="",0,IFERROR(MATCH($A260,Classes!$A$6:$A$420,0),0))</f>
        <v>284</v>
      </c>
      <c r="N260" s="64" t="n">
        <f aca="false">IF($H260="",0,IFERROR(MATCH($H260,GradeList,0),0))</f>
        <v>0</v>
      </c>
      <c r="O260" s="64" t="n">
        <f aca="false">IF(OR($I260="",$I260="NR"),0,IFERROR(MATCH($I260,GradeList,0),0))</f>
        <v>4</v>
      </c>
      <c r="P260" s="64" t="n">
        <f aca="false">IF(AND($M260&gt;0,ISNUMBER(MATCH($F260,Lists!$A$2:$A$5,0)),ISNUMBER(MATCH($G260,Lists!$B$2:$B$7,0)),OR($H260="",$N260&gt;0),OR($I260="",$I260="NR",$O260&gt;0),IF(ISNUMBER($J260),AND($J260&gt;=0,$J260=INT($J260)),FALSE())),$J260,0)</f>
        <v>2</v>
      </c>
      <c r="Q260" s="64" t="n">
        <f aca="false">IF(AND($P260&gt;0,$O260&gt;0),$P260,0)</f>
        <v>2</v>
      </c>
      <c r="R260" s="64" t="n">
        <f aca="false">IF(AND($Q260&gt;0,$O260&gt;=AtRank),$Q260,0)</f>
        <v>0</v>
      </c>
      <c r="S260" s="64" t="n">
        <f aca="false">IF(AND($Q260&gt;0,$O260&gt;=AboveRank),$Q260,0)</f>
        <v>0</v>
      </c>
      <c r="T260" s="64" t="n">
        <f aca="false">IF($K260="Less",$P260,0)</f>
        <v>0</v>
      </c>
      <c r="U260" s="64" t="n">
        <f aca="false">IF($K260="Expected",$P260,0)</f>
        <v>0</v>
      </c>
      <c r="V260" s="64" t="n">
        <f aca="false">IF($K260="Better",$P260,0)</f>
        <v>0</v>
      </c>
      <c r="W260" s="64" t="n">
        <f aca="false">IF($K260="U – needs rule",$P260,0)</f>
        <v>0</v>
      </c>
      <c r="X260" s="64" t="n">
        <f aca="false">IF($K260="No Start (attainment only)",$P260,0)</f>
        <v>0</v>
      </c>
    </row>
    <row r="261" customFormat="false" ht="15" hidden="false" customHeight="false" outlineLevel="0" collapsed="false">
      <c r="A261" s="60" t="s">
        <v>780</v>
      </c>
      <c r="B261" s="61" t="str">
        <f aca="false">IF($M261=0,"",INDEX(Classes!$E$6:$E$420,$M261))</f>
        <v>Arabic A</v>
      </c>
      <c r="C261" s="62" t="str">
        <f aca="false">IF($M261=0,"",INDEX(Classes!$H$6:$H$420,$M261))</f>
        <v>Mr Aly Abdelmonem Hasan</v>
      </c>
      <c r="D261" s="61" t="str">
        <f aca="false">IF($M261=0,"",INDEX(Classes!$B$6:$B$420,$M261))</f>
        <v>Year 10</v>
      </c>
      <c r="E261" s="61" t="str">
        <f aca="false">IF($M261=0,"",INDEX(Classes!$C$6:$C$420,$M261))</f>
        <v>ah</v>
      </c>
      <c r="F261" s="63" t="s">
        <v>162</v>
      </c>
      <c r="G261" s="63" t="s">
        <v>1016</v>
      </c>
      <c r="H261" s="60"/>
      <c r="I261" s="60" t="s">
        <v>202</v>
      </c>
      <c r="J261" s="63" t="n">
        <v>1</v>
      </c>
      <c r="K261" s="61" t="str">
        <f aca="false">IF($P261=0,"",IF($F261="Baseline","— Baseline",IF($O261=0,"No result",IF($N261=0,"No Start (attainment only)",IF(OR($N261=1,$O261=1),"U – needs rule",INDEX(MxBody,MATCH($I261,MxCurr,0),MATCH($H261,MxStart,0)))))))</f>
        <v>— Baseline</v>
      </c>
      <c r="L261" s="62" t="str">
        <f aca="false">IF(COUNTA($A261,$F261,$G261,$H261,$I261,$J261)=0,"",IF($M261=0,"✖ كود الصف غير موجود",IF(ISNA(MATCH($F261,Lists!$A$2:$A$5,0)),"✖ الفترة غير صحيحة",IF(ISNA(MATCH($G261,Lists!$B$2:$B$7,0)),"✖ المجموعة غير صحيحة",IF(NOT(OR($H261="",$N261&gt;0)),"✖ Start غير صحيح",IF(NOT(OR($I261="",$I261="NR",$O261&gt;0)),"✖ Current غير صحيح",IF(NOT(IF(ISNUMBER($J261),AND($J261&gt;=0,$J261=INT($J261)),FALSE())),"✖ العدد يجب أن يكون صحيحًا ≥ 0",IF(AND($F261="Baseline",$H261&lt;&gt;""),"⚠ Baseline: Start لا يدخل في التقدم",IF($K261="No Start (attainment only)","ℹ تحصيل فقط (بدون Start)",IF($K261="U – needs rule","ℹ حالة U تحتاج قاعدة معتمدة",IF($K261="No result","ℹ بدون نتيجة (يُستبعد من التحصيل)","OK")))))))))))</f>
        <v>OK</v>
      </c>
      <c r="M261" s="64" t="n">
        <f aca="false">IF($A261="",0,IFERROR(MATCH($A261,Classes!$A$6:$A$420,0),0))</f>
        <v>284</v>
      </c>
      <c r="N261" s="64" t="n">
        <f aca="false">IF($H261="",0,IFERROR(MATCH($H261,GradeList,0),0))</f>
        <v>0</v>
      </c>
      <c r="O261" s="64" t="n">
        <f aca="false">IF(OR($I261="",$I261="NR"),0,IFERROR(MATCH($I261,GradeList,0),0))</f>
        <v>7</v>
      </c>
      <c r="P261" s="64" t="n">
        <f aca="false">IF(AND($M261&gt;0,ISNUMBER(MATCH($F261,Lists!$A$2:$A$5,0)),ISNUMBER(MATCH($G261,Lists!$B$2:$B$7,0)),OR($H261="",$N261&gt;0),OR($I261="",$I261="NR",$O261&gt;0),IF(ISNUMBER($J261),AND($J261&gt;=0,$J261=INT($J261)),FALSE())),$J261,0)</f>
        <v>1</v>
      </c>
      <c r="Q261" s="64" t="n">
        <f aca="false">IF(AND($P261&gt;0,$O261&gt;0),$P261,0)</f>
        <v>1</v>
      </c>
      <c r="R261" s="64" t="n">
        <f aca="false">IF(AND($Q261&gt;0,$O261&gt;=AtRank),$Q261,0)</f>
        <v>1</v>
      </c>
      <c r="S261" s="64" t="n">
        <f aca="false">IF(AND($Q261&gt;0,$O261&gt;=AboveRank),$Q261,0)</f>
        <v>1</v>
      </c>
      <c r="T261" s="64" t="n">
        <f aca="false">IF($K261="Less",$P261,0)</f>
        <v>0</v>
      </c>
      <c r="U261" s="64" t="n">
        <f aca="false">IF($K261="Expected",$P261,0)</f>
        <v>0</v>
      </c>
      <c r="V261" s="64" t="n">
        <f aca="false">IF($K261="Better",$P261,0)</f>
        <v>0</v>
      </c>
      <c r="W261" s="64" t="n">
        <f aca="false">IF($K261="U – needs rule",$P261,0)</f>
        <v>0</v>
      </c>
      <c r="X261" s="64" t="n">
        <f aca="false">IF($K261="No Start (attainment only)",$P261,0)</f>
        <v>0</v>
      </c>
    </row>
    <row r="262" customFormat="false" ht="15" hidden="false" customHeight="false" outlineLevel="0" collapsed="false">
      <c r="A262" s="60" t="s">
        <v>780</v>
      </c>
      <c r="B262" s="61" t="str">
        <f aca="false">IF($M262=0,"",INDEX(Classes!$E$6:$E$420,$M262))</f>
        <v>Arabic A</v>
      </c>
      <c r="C262" s="62" t="str">
        <f aca="false">IF($M262=0,"",INDEX(Classes!$H$6:$H$420,$M262))</f>
        <v>Mr Aly Abdelmonem Hasan</v>
      </c>
      <c r="D262" s="61" t="str">
        <f aca="false">IF($M262=0,"",INDEX(Classes!$B$6:$B$420,$M262))</f>
        <v>Year 10</v>
      </c>
      <c r="E262" s="61" t="str">
        <f aca="false">IF($M262=0,"",INDEX(Classes!$C$6:$C$420,$M262))</f>
        <v>ah</v>
      </c>
      <c r="F262" s="63" t="s">
        <v>162</v>
      </c>
      <c r="G262" s="63" t="s">
        <v>1016</v>
      </c>
      <c r="H262" s="60"/>
      <c r="I262" s="60" t="s">
        <v>200</v>
      </c>
      <c r="J262" s="63" t="n">
        <v>2</v>
      </c>
      <c r="K262" s="61" t="str">
        <f aca="false">IF($P262=0,"",IF($F262="Baseline","— Baseline",IF($O262=0,"No result",IF($N262=0,"No Start (attainment only)",IF(OR($N262=1,$O262=1),"U – needs rule",INDEX(MxBody,MATCH($I262,MxCurr,0),MATCH($H262,MxStart,0)))))))</f>
        <v>— Baseline</v>
      </c>
      <c r="L262" s="62" t="str">
        <f aca="false">IF(COUNTA($A262,$F262,$G262,$H262,$I262,$J262)=0,"",IF($M262=0,"✖ كود الصف غير موجود",IF(ISNA(MATCH($F262,Lists!$A$2:$A$5,0)),"✖ الفترة غير صحيحة",IF(ISNA(MATCH($G262,Lists!$B$2:$B$7,0)),"✖ المجموعة غير صحيحة",IF(NOT(OR($H262="",$N262&gt;0)),"✖ Start غير صحيح",IF(NOT(OR($I262="",$I262="NR",$O262&gt;0)),"✖ Current غير صحيح",IF(NOT(IF(ISNUMBER($J262),AND($J262&gt;=0,$J262=INT($J262)),FALSE())),"✖ العدد يجب أن يكون صحيحًا ≥ 0",IF(AND($F262="Baseline",$H262&lt;&gt;""),"⚠ Baseline: Start لا يدخل في التقدم",IF($K262="No Start (attainment only)","ℹ تحصيل فقط (بدون Start)",IF($K262="U – needs rule","ℹ حالة U تحتاج قاعدة معتمدة",IF($K262="No result","ℹ بدون نتيجة (يُستبعد من التحصيل)","OK")))))))))))</f>
        <v>OK</v>
      </c>
      <c r="M262" s="64" t="n">
        <f aca="false">IF($A262="",0,IFERROR(MATCH($A262,Classes!$A$6:$A$420,0),0))</f>
        <v>284</v>
      </c>
      <c r="N262" s="64" t="n">
        <f aca="false">IF($H262="",0,IFERROR(MATCH($H262,GradeList,0),0))</f>
        <v>0</v>
      </c>
      <c r="O262" s="64" t="n">
        <f aca="false">IF(OR($I262="",$I262="NR"),0,IFERROR(MATCH($I262,GradeList,0),0))</f>
        <v>5</v>
      </c>
      <c r="P262" s="64" t="n">
        <f aca="false">IF(AND($M262&gt;0,ISNUMBER(MATCH($F262,Lists!$A$2:$A$5,0)),ISNUMBER(MATCH($G262,Lists!$B$2:$B$7,0)),OR($H262="",$N262&gt;0),OR($I262="",$I262="NR",$O262&gt;0),IF(ISNUMBER($J262),AND($J262&gt;=0,$J262=INT($J262)),FALSE())),$J262,0)</f>
        <v>2</v>
      </c>
      <c r="Q262" s="64" t="n">
        <f aca="false">IF(AND($P262&gt;0,$O262&gt;0),$P262,0)</f>
        <v>2</v>
      </c>
      <c r="R262" s="64" t="n">
        <f aca="false">IF(AND($Q262&gt;0,$O262&gt;=AtRank),$Q262,0)</f>
        <v>2</v>
      </c>
      <c r="S262" s="64" t="n">
        <f aca="false">IF(AND($Q262&gt;0,$O262&gt;=AboveRank),$Q262,0)</f>
        <v>0</v>
      </c>
      <c r="T262" s="64" t="n">
        <f aca="false">IF($K262="Less",$P262,0)</f>
        <v>0</v>
      </c>
      <c r="U262" s="64" t="n">
        <f aca="false">IF($K262="Expected",$P262,0)</f>
        <v>0</v>
      </c>
      <c r="V262" s="64" t="n">
        <f aca="false">IF($K262="Better",$P262,0)</f>
        <v>0</v>
      </c>
      <c r="W262" s="64" t="n">
        <f aca="false">IF($K262="U – needs rule",$P262,0)</f>
        <v>0</v>
      </c>
      <c r="X262" s="64" t="n">
        <f aca="false">IF($K262="No Start (attainment only)",$P262,0)</f>
        <v>0</v>
      </c>
    </row>
    <row r="263" customFormat="false" ht="15" hidden="false" customHeight="false" outlineLevel="0" collapsed="false">
      <c r="A263" s="60" t="s">
        <v>780</v>
      </c>
      <c r="B263" s="61" t="str">
        <f aca="false">IF($M263=0,"",INDEX(Classes!$E$6:$E$420,$M263))</f>
        <v>Arabic A</v>
      </c>
      <c r="C263" s="62" t="str">
        <f aca="false">IF($M263=0,"",INDEX(Classes!$H$6:$H$420,$M263))</f>
        <v>Mr Aly Abdelmonem Hasan</v>
      </c>
      <c r="D263" s="61" t="str">
        <f aca="false">IF($M263=0,"",INDEX(Classes!$B$6:$B$420,$M263))</f>
        <v>Year 10</v>
      </c>
      <c r="E263" s="61" t="str">
        <f aca="false">IF($M263=0,"",INDEX(Classes!$C$6:$C$420,$M263))</f>
        <v>ah</v>
      </c>
      <c r="F263" s="63" t="s">
        <v>162</v>
      </c>
      <c r="G263" s="63" t="s">
        <v>1016</v>
      </c>
      <c r="H263" s="60"/>
      <c r="I263" s="60" t="s">
        <v>201</v>
      </c>
      <c r="J263" s="63" t="n">
        <v>2</v>
      </c>
      <c r="K263" s="61" t="str">
        <f aca="false">IF($P263=0,"",IF($F263="Baseline","— Baseline",IF($O263=0,"No result",IF($N263=0,"No Start (attainment only)",IF(OR($N263=1,$O263=1),"U – needs rule",INDEX(MxBody,MATCH($I263,MxCurr,0),MATCH($H263,MxStart,0)))))))</f>
        <v>— Baseline</v>
      </c>
      <c r="L263" s="62" t="str">
        <f aca="false">IF(COUNTA($A263,$F263,$G263,$H263,$I263,$J263)=0,"",IF($M263=0,"✖ كود الصف غير موجود",IF(ISNA(MATCH($F263,Lists!$A$2:$A$5,0)),"✖ الفترة غير صحيحة",IF(ISNA(MATCH($G263,Lists!$B$2:$B$7,0)),"✖ المجموعة غير صحيحة",IF(NOT(OR($H263="",$N263&gt;0)),"✖ Start غير صحيح",IF(NOT(OR($I263="",$I263="NR",$O263&gt;0)),"✖ Current غير صحيح",IF(NOT(IF(ISNUMBER($J263),AND($J263&gt;=0,$J263=INT($J263)),FALSE())),"✖ العدد يجب أن يكون صحيحًا ≥ 0",IF(AND($F263="Baseline",$H263&lt;&gt;""),"⚠ Baseline: Start لا يدخل في التقدم",IF($K263="No Start (attainment only)","ℹ تحصيل فقط (بدون Start)",IF($K263="U – needs rule","ℹ حالة U تحتاج قاعدة معتمدة",IF($K263="No result","ℹ بدون نتيجة (يُستبعد من التحصيل)","OK")))))))))))</f>
        <v>OK</v>
      </c>
      <c r="M263" s="64" t="n">
        <f aca="false">IF($A263="",0,IFERROR(MATCH($A263,Classes!$A$6:$A$420,0),0))</f>
        <v>284</v>
      </c>
      <c r="N263" s="64" t="n">
        <f aca="false">IF($H263="",0,IFERROR(MATCH($H263,GradeList,0),0))</f>
        <v>0</v>
      </c>
      <c r="O263" s="64" t="n">
        <f aca="false">IF(OR($I263="",$I263="NR"),0,IFERROR(MATCH($I263,GradeList,0),0))</f>
        <v>6</v>
      </c>
      <c r="P263" s="64" t="n">
        <f aca="false">IF(AND($M263&gt;0,ISNUMBER(MATCH($F263,Lists!$A$2:$A$5,0)),ISNUMBER(MATCH($G263,Lists!$B$2:$B$7,0)),OR($H263="",$N263&gt;0),OR($I263="",$I263="NR",$O263&gt;0),IF(ISNUMBER($J263),AND($J263&gt;=0,$J263=INT($J263)),FALSE())),$J263,0)</f>
        <v>2</v>
      </c>
      <c r="Q263" s="64" t="n">
        <f aca="false">IF(AND($P263&gt;0,$O263&gt;0),$P263,0)</f>
        <v>2</v>
      </c>
      <c r="R263" s="64" t="n">
        <f aca="false">IF(AND($Q263&gt;0,$O263&gt;=AtRank),$Q263,0)</f>
        <v>2</v>
      </c>
      <c r="S263" s="64" t="n">
        <f aca="false">IF(AND($Q263&gt;0,$O263&gt;=AboveRank),$Q263,0)</f>
        <v>0</v>
      </c>
      <c r="T263" s="64" t="n">
        <f aca="false">IF($K263="Less",$P263,0)</f>
        <v>0</v>
      </c>
      <c r="U263" s="64" t="n">
        <f aca="false">IF($K263="Expected",$P263,0)</f>
        <v>0</v>
      </c>
      <c r="V263" s="64" t="n">
        <f aca="false">IF($K263="Better",$P263,0)</f>
        <v>0</v>
      </c>
      <c r="W263" s="64" t="n">
        <f aca="false">IF($K263="U – needs rule",$P263,0)</f>
        <v>0</v>
      </c>
      <c r="X263" s="64" t="n">
        <f aca="false">IF($K263="No Start (attainment only)",$P263,0)</f>
        <v>0</v>
      </c>
    </row>
    <row r="264" customFormat="false" ht="15" hidden="false" customHeight="false" outlineLevel="0" collapsed="false">
      <c r="A264" s="60" t="s">
        <v>780</v>
      </c>
      <c r="B264" s="61" t="str">
        <f aca="false">IF($M264=0,"",INDEX(Classes!$E$6:$E$420,$M264))</f>
        <v>Arabic A</v>
      </c>
      <c r="C264" s="62" t="str">
        <f aca="false">IF($M264=0,"",INDEX(Classes!$H$6:$H$420,$M264))</f>
        <v>Mr Aly Abdelmonem Hasan</v>
      </c>
      <c r="D264" s="61" t="str">
        <f aca="false">IF($M264=0,"",INDEX(Classes!$B$6:$B$420,$M264))</f>
        <v>Year 10</v>
      </c>
      <c r="E264" s="61" t="str">
        <f aca="false">IF($M264=0,"",INDEX(Classes!$C$6:$C$420,$M264))</f>
        <v>ah</v>
      </c>
      <c r="F264" s="63" t="s">
        <v>162</v>
      </c>
      <c r="G264" s="63" t="s">
        <v>1016</v>
      </c>
      <c r="H264" s="60"/>
      <c r="I264" s="60" t="s">
        <v>199</v>
      </c>
      <c r="J264" s="63" t="n">
        <v>6</v>
      </c>
      <c r="K264" s="61" t="str">
        <f aca="false">IF($P264=0,"",IF($F264="Baseline","— Baseline",IF($O264=0,"No result",IF($N264=0,"No Start (attainment only)",IF(OR($N264=1,$O264=1),"U – needs rule",INDEX(MxBody,MATCH($I264,MxCurr,0),MATCH($H264,MxStart,0)))))))</f>
        <v>— Baseline</v>
      </c>
      <c r="L264" s="62" t="str">
        <f aca="false">IF(COUNTA($A264,$F264,$G264,$H264,$I264,$J264)=0,"",IF($M264=0,"✖ كود الصف غير موجود",IF(ISNA(MATCH($F264,Lists!$A$2:$A$5,0)),"✖ الفترة غير صحيحة",IF(ISNA(MATCH($G264,Lists!$B$2:$B$7,0)),"✖ المجموعة غير صحيحة",IF(NOT(OR($H264="",$N264&gt;0)),"✖ Start غير صحيح",IF(NOT(OR($I264="",$I264="NR",$O264&gt;0)),"✖ Current غير صحيح",IF(NOT(IF(ISNUMBER($J264),AND($J264&gt;=0,$J264=INT($J264)),FALSE())),"✖ العدد يجب أن يكون صحيحًا ≥ 0",IF(AND($F264="Baseline",$H264&lt;&gt;""),"⚠ Baseline: Start لا يدخل في التقدم",IF($K264="No Start (attainment only)","ℹ تحصيل فقط (بدون Start)",IF($K264="U – needs rule","ℹ حالة U تحتاج قاعدة معتمدة",IF($K264="No result","ℹ بدون نتيجة (يُستبعد من التحصيل)","OK")))))))))))</f>
        <v>OK</v>
      </c>
      <c r="M264" s="64" t="n">
        <f aca="false">IF($A264="",0,IFERROR(MATCH($A264,Classes!$A$6:$A$420,0),0))</f>
        <v>284</v>
      </c>
      <c r="N264" s="64" t="n">
        <f aca="false">IF($H264="",0,IFERROR(MATCH($H264,GradeList,0),0))</f>
        <v>0</v>
      </c>
      <c r="O264" s="64" t="n">
        <f aca="false">IF(OR($I264="",$I264="NR"),0,IFERROR(MATCH($I264,GradeList,0),0))</f>
        <v>4</v>
      </c>
      <c r="P264" s="64" t="n">
        <f aca="false">IF(AND($M264&gt;0,ISNUMBER(MATCH($F264,Lists!$A$2:$A$5,0)),ISNUMBER(MATCH($G264,Lists!$B$2:$B$7,0)),OR($H264="",$N264&gt;0),OR($I264="",$I264="NR",$O264&gt;0),IF(ISNUMBER($J264),AND($J264&gt;=0,$J264=INT($J264)),FALSE())),$J264,0)</f>
        <v>6</v>
      </c>
      <c r="Q264" s="64" t="n">
        <f aca="false">IF(AND($P264&gt;0,$O264&gt;0),$P264,0)</f>
        <v>6</v>
      </c>
      <c r="R264" s="64" t="n">
        <f aca="false">IF(AND($Q264&gt;0,$O264&gt;=AtRank),$Q264,0)</f>
        <v>0</v>
      </c>
      <c r="S264" s="64" t="n">
        <f aca="false">IF(AND($Q264&gt;0,$O264&gt;=AboveRank),$Q264,0)</f>
        <v>0</v>
      </c>
      <c r="T264" s="64" t="n">
        <f aca="false">IF($K264="Less",$P264,0)</f>
        <v>0</v>
      </c>
      <c r="U264" s="64" t="n">
        <f aca="false">IF($K264="Expected",$P264,0)</f>
        <v>0</v>
      </c>
      <c r="V264" s="64" t="n">
        <f aca="false">IF($K264="Better",$P264,0)</f>
        <v>0</v>
      </c>
      <c r="W264" s="64" t="n">
        <f aca="false">IF($K264="U – needs rule",$P264,0)</f>
        <v>0</v>
      </c>
      <c r="X264" s="64" t="n">
        <f aca="false">IF($K264="No Start (attainment only)",$P264,0)</f>
        <v>0</v>
      </c>
    </row>
    <row r="265" customFormat="false" ht="15" hidden="false" customHeight="false" outlineLevel="0" collapsed="false">
      <c r="A265" s="60" t="s">
        <v>780</v>
      </c>
      <c r="B265" s="61" t="str">
        <f aca="false">IF($M265=0,"",INDEX(Classes!$E$6:$E$420,$M265))</f>
        <v>Arabic A</v>
      </c>
      <c r="C265" s="62" t="str">
        <f aca="false">IF($M265=0,"",INDEX(Classes!$H$6:$H$420,$M265))</f>
        <v>Mr Aly Abdelmonem Hasan</v>
      </c>
      <c r="D265" s="61" t="str">
        <f aca="false">IF($M265=0,"",INDEX(Classes!$B$6:$B$420,$M265))</f>
        <v>Year 10</v>
      </c>
      <c r="E265" s="61" t="str">
        <f aca="false">IF($M265=0,"",INDEX(Classes!$C$6:$C$420,$M265))</f>
        <v>ah</v>
      </c>
      <c r="F265" s="63" t="s">
        <v>162</v>
      </c>
      <c r="G265" s="63" t="s">
        <v>941</v>
      </c>
      <c r="H265" s="60"/>
      <c r="I265" s="60" t="s">
        <v>199</v>
      </c>
      <c r="J265" s="63" t="n">
        <v>1</v>
      </c>
      <c r="K265" s="61" t="str">
        <f aca="false">IF($P265=0,"",IF($F265="Baseline","— Baseline",IF($O265=0,"No result",IF($N265=0,"No Start (attainment only)",IF(OR($N265=1,$O265=1),"U – needs rule",INDEX(MxBody,MATCH($I265,MxCurr,0),MATCH($H265,MxStart,0)))))))</f>
        <v>— Baseline</v>
      </c>
      <c r="L265" s="62" t="str">
        <f aca="false">IF(COUNTA($A265,$F265,$G265,$H265,$I265,$J265)=0,"",IF($M265=0,"✖ كود الصف غير موجود",IF(ISNA(MATCH($F265,Lists!$A$2:$A$5,0)),"✖ الفترة غير صحيحة",IF(ISNA(MATCH($G265,Lists!$B$2:$B$7,0)),"✖ المجموعة غير صحيحة",IF(NOT(OR($H265="",$N265&gt;0)),"✖ Start غير صحيح",IF(NOT(OR($I265="",$I265="NR",$O265&gt;0)),"✖ Current غير صحيح",IF(NOT(IF(ISNUMBER($J265),AND($J265&gt;=0,$J265=INT($J265)),FALSE())),"✖ العدد يجب أن يكون صحيحًا ≥ 0",IF(AND($F265="Baseline",$H265&lt;&gt;""),"⚠ Baseline: Start لا يدخل في التقدم",IF($K265="No Start (attainment only)","ℹ تحصيل فقط (بدون Start)",IF($K265="U – needs rule","ℹ حالة U تحتاج قاعدة معتمدة",IF($K265="No result","ℹ بدون نتيجة (يُستبعد من التحصيل)","OK")))))))))))</f>
        <v>OK</v>
      </c>
      <c r="M265" s="64" t="n">
        <f aca="false">IF($A265="",0,IFERROR(MATCH($A265,Classes!$A$6:$A$420,0),0))</f>
        <v>284</v>
      </c>
      <c r="N265" s="64" t="n">
        <f aca="false">IF($H265="",0,IFERROR(MATCH($H265,GradeList,0),0))</f>
        <v>0</v>
      </c>
      <c r="O265" s="64" t="n">
        <f aca="false">IF(OR($I265="",$I265="NR"),0,IFERROR(MATCH($I265,GradeList,0),0))</f>
        <v>4</v>
      </c>
      <c r="P265" s="64" t="n">
        <f aca="false">IF(AND($M265&gt;0,ISNUMBER(MATCH($F265,Lists!$A$2:$A$5,0)),ISNUMBER(MATCH($G265,Lists!$B$2:$B$7,0)),OR($H265="",$N265&gt;0),OR($I265="",$I265="NR",$O265&gt;0),IF(ISNUMBER($J265),AND($J265&gt;=0,$J265=INT($J265)),FALSE())),$J265,0)</f>
        <v>1</v>
      </c>
      <c r="Q265" s="64" t="n">
        <f aca="false">IF(AND($P265&gt;0,$O265&gt;0),$P265,0)</f>
        <v>1</v>
      </c>
      <c r="R265" s="64" t="n">
        <f aca="false">IF(AND($Q265&gt;0,$O265&gt;=AtRank),$Q265,0)</f>
        <v>0</v>
      </c>
      <c r="S265" s="64" t="n">
        <f aca="false">IF(AND($Q265&gt;0,$O265&gt;=AboveRank),$Q265,0)</f>
        <v>0</v>
      </c>
      <c r="T265" s="64" t="n">
        <f aca="false">IF($K265="Less",$P265,0)</f>
        <v>0</v>
      </c>
      <c r="U265" s="64" t="n">
        <f aca="false">IF($K265="Expected",$P265,0)</f>
        <v>0</v>
      </c>
      <c r="V265" s="64" t="n">
        <f aca="false">IF($K265="Better",$P265,0)</f>
        <v>0</v>
      </c>
      <c r="W265" s="64" t="n">
        <f aca="false">IF($K265="U – needs rule",$P265,0)</f>
        <v>0</v>
      </c>
      <c r="X265" s="64" t="n">
        <f aca="false">IF($K265="No Start (attainment only)",$P265,0)</f>
        <v>0</v>
      </c>
    </row>
    <row r="266" customFormat="false" ht="15" hidden="false" customHeight="false" outlineLevel="0" collapsed="false">
      <c r="A266" s="60" t="s">
        <v>780</v>
      </c>
      <c r="B266" s="61" t="str">
        <f aca="false">IF($M266=0,"",INDEX(Classes!$E$6:$E$420,$M266))</f>
        <v>Arabic A</v>
      </c>
      <c r="C266" s="62" t="str">
        <f aca="false">IF($M266=0,"",INDEX(Classes!$H$6:$H$420,$M266))</f>
        <v>Mr Aly Abdelmonem Hasan</v>
      </c>
      <c r="D266" s="61" t="str">
        <f aca="false">IF($M266=0,"",INDEX(Classes!$B$6:$B$420,$M266))</f>
        <v>Year 10</v>
      </c>
      <c r="E266" s="61" t="str">
        <f aca="false">IF($M266=0,"",INDEX(Classes!$C$6:$C$420,$M266))</f>
        <v>ah</v>
      </c>
      <c r="F266" s="63" t="s">
        <v>162</v>
      </c>
      <c r="G266" s="63" t="s">
        <v>1017</v>
      </c>
      <c r="H266" s="60"/>
      <c r="I266" s="60" t="s">
        <v>199</v>
      </c>
      <c r="J266" s="63" t="n">
        <v>2</v>
      </c>
      <c r="K266" s="61" t="str">
        <f aca="false">IF($P266=0,"",IF($F266="Baseline","— Baseline",IF($O266=0,"No result",IF($N266=0,"No Start (attainment only)",IF(OR($N266=1,$O266=1),"U – needs rule",INDEX(MxBody,MATCH($I266,MxCurr,0),MATCH($H266,MxStart,0)))))))</f>
        <v>— Baseline</v>
      </c>
      <c r="L266" s="62" t="str">
        <f aca="false">IF(COUNTA($A266,$F266,$G266,$H266,$I266,$J266)=0,"",IF($M266=0,"✖ كود الصف غير موجود",IF(ISNA(MATCH($F266,Lists!$A$2:$A$5,0)),"✖ الفترة غير صحيحة",IF(ISNA(MATCH($G266,Lists!$B$2:$B$7,0)),"✖ المجموعة غير صحيحة",IF(NOT(OR($H266="",$N266&gt;0)),"✖ Start غير صحيح",IF(NOT(OR($I266="",$I266="NR",$O266&gt;0)),"✖ Current غير صحيح",IF(NOT(IF(ISNUMBER($J266),AND($J266&gt;=0,$J266=INT($J266)),FALSE())),"✖ العدد يجب أن يكون صحيحًا ≥ 0",IF(AND($F266="Baseline",$H266&lt;&gt;""),"⚠ Baseline: Start لا يدخل في التقدم",IF($K266="No Start (attainment only)","ℹ تحصيل فقط (بدون Start)",IF($K266="U – needs rule","ℹ حالة U تحتاج قاعدة معتمدة",IF($K266="No result","ℹ بدون نتيجة (يُستبعد من التحصيل)","OK")))))))))))</f>
        <v>OK</v>
      </c>
      <c r="M266" s="64" t="n">
        <f aca="false">IF($A266="",0,IFERROR(MATCH($A266,Classes!$A$6:$A$420,0),0))</f>
        <v>284</v>
      </c>
      <c r="N266" s="64" t="n">
        <f aca="false">IF($H266="",0,IFERROR(MATCH($H266,GradeList,0),0))</f>
        <v>0</v>
      </c>
      <c r="O266" s="64" t="n">
        <f aca="false">IF(OR($I266="",$I266="NR"),0,IFERROR(MATCH($I266,GradeList,0),0))</f>
        <v>4</v>
      </c>
      <c r="P266" s="64" t="n">
        <f aca="false">IF(AND($M266&gt;0,ISNUMBER(MATCH($F266,Lists!$A$2:$A$5,0)),ISNUMBER(MATCH($G266,Lists!$B$2:$B$7,0)),OR($H266="",$N266&gt;0),OR($I266="",$I266="NR",$O266&gt;0),IF(ISNUMBER($J266),AND($J266&gt;=0,$J266=INT($J266)),FALSE())),$J266,0)</f>
        <v>2</v>
      </c>
      <c r="Q266" s="64" t="n">
        <f aca="false">IF(AND($P266&gt;0,$O266&gt;0),$P266,0)</f>
        <v>2</v>
      </c>
      <c r="R266" s="64" t="n">
        <f aca="false">IF(AND($Q266&gt;0,$O266&gt;=AtRank),$Q266,0)</f>
        <v>0</v>
      </c>
      <c r="S266" s="64" t="n">
        <f aca="false">IF(AND($Q266&gt;0,$O266&gt;=AboveRank),$Q266,0)</f>
        <v>0</v>
      </c>
      <c r="T266" s="64" t="n">
        <f aca="false">IF($K266="Less",$P266,0)</f>
        <v>0</v>
      </c>
      <c r="U266" s="64" t="n">
        <f aca="false">IF($K266="Expected",$P266,0)</f>
        <v>0</v>
      </c>
      <c r="V266" s="64" t="n">
        <f aca="false">IF($K266="Better",$P266,0)</f>
        <v>0</v>
      </c>
      <c r="W266" s="64" t="n">
        <f aca="false">IF($K266="U – needs rule",$P266,0)</f>
        <v>0</v>
      </c>
      <c r="X266" s="64" t="n">
        <f aca="false">IF($K266="No Start (attainment only)",$P266,0)</f>
        <v>0</v>
      </c>
    </row>
    <row r="267" customFormat="false" ht="15" hidden="false" customHeight="false" outlineLevel="0" collapsed="false">
      <c r="A267" s="60" t="s">
        <v>780</v>
      </c>
      <c r="B267" s="61" t="str">
        <f aca="false">IF($M267=0,"",INDEX(Classes!$E$6:$E$420,$M267))</f>
        <v>Arabic A</v>
      </c>
      <c r="C267" s="62" t="str">
        <f aca="false">IF($M267=0,"",INDEX(Classes!$H$6:$H$420,$M267))</f>
        <v>Mr Aly Abdelmonem Hasan</v>
      </c>
      <c r="D267" s="61" t="str">
        <f aca="false">IF($M267=0,"",INDEX(Classes!$B$6:$B$420,$M267))</f>
        <v>Year 10</v>
      </c>
      <c r="E267" s="61" t="str">
        <f aca="false">IF($M267=0,"",INDEX(Classes!$C$6:$C$420,$M267))</f>
        <v>ah</v>
      </c>
      <c r="F267" s="63" t="s">
        <v>162</v>
      </c>
      <c r="G267" s="63" t="s">
        <v>1018</v>
      </c>
      <c r="H267" s="60"/>
      <c r="I267" s="60" t="s">
        <v>202</v>
      </c>
      <c r="J267" s="63" t="n">
        <v>1</v>
      </c>
      <c r="K267" s="61" t="str">
        <f aca="false">IF($P267=0,"",IF($F267="Baseline","— Baseline",IF($O267=0,"No result",IF($N267=0,"No Start (attainment only)",IF(OR($N267=1,$O267=1),"U – needs rule",INDEX(MxBody,MATCH($I267,MxCurr,0),MATCH($H267,MxStart,0)))))))</f>
        <v>— Baseline</v>
      </c>
      <c r="L267" s="62" t="str">
        <f aca="false">IF(COUNTA($A267,$F267,$G267,$H267,$I267,$J267)=0,"",IF($M267=0,"✖ كود الصف غير موجود",IF(ISNA(MATCH($F267,Lists!$A$2:$A$5,0)),"✖ الفترة غير صحيحة",IF(ISNA(MATCH($G267,Lists!$B$2:$B$7,0)),"✖ المجموعة غير صحيحة",IF(NOT(OR($H267="",$N267&gt;0)),"✖ Start غير صحيح",IF(NOT(OR($I267="",$I267="NR",$O267&gt;0)),"✖ Current غير صحيح",IF(NOT(IF(ISNUMBER($J267),AND($J267&gt;=0,$J267=INT($J267)),FALSE())),"✖ العدد يجب أن يكون صحيحًا ≥ 0",IF(AND($F267="Baseline",$H267&lt;&gt;""),"⚠ Baseline: Start لا يدخل في التقدم",IF($K267="No Start (attainment only)","ℹ تحصيل فقط (بدون Start)",IF($K267="U – needs rule","ℹ حالة U تحتاج قاعدة معتمدة",IF($K267="No result","ℹ بدون نتيجة (يُستبعد من التحصيل)","OK")))))))))))</f>
        <v>OK</v>
      </c>
      <c r="M267" s="64" t="n">
        <f aca="false">IF($A267="",0,IFERROR(MATCH($A267,Classes!$A$6:$A$420,0),0))</f>
        <v>284</v>
      </c>
      <c r="N267" s="64" t="n">
        <f aca="false">IF($H267="",0,IFERROR(MATCH($H267,GradeList,0),0))</f>
        <v>0</v>
      </c>
      <c r="O267" s="64" t="n">
        <f aca="false">IF(OR($I267="",$I267="NR"),0,IFERROR(MATCH($I267,GradeList,0),0))</f>
        <v>7</v>
      </c>
      <c r="P267" s="64" t="n">
        <f aca="false">IF(AND($M267&gt;0,ISNUMBER(MATCH($F267,Lists!$A$2:$A$5,0)),ISNUMBER(MATCH($G267,Lists!$B$2:$B$7,0)),OR($H267="",$N267&gt;0),OR($I267="",$I267="NR",$O267&gt;0),IF(ISNUMBER($J267),AND($J267&gt;=0,$J267=INT($J267)),FALSE())),$J267,0)</f>
        <v>1</v>
      </c>
      <c r="Q267" s="64" t="n">
        <f aca="false">IF(AND($P267&gt;0,$O267&gt;0),$P267,0)</f>
        <v>1</v>
      </c>
      <c r="R267" s="64" t="n">
        <f aca="false">IF(AND($Q267&gt;0,$O267&gt;=AtRank),$Q267,0)</f>
        <v>1</v>
      </c>
      <c r="S267" s="64" t="n">
        <f aca="false">IF(AND($Q267&gt;0,$O267&gt;=AboveRank),$Q267,0)</f>
        <v>1</v>
      </c>
      <c r="T267" s="64" t="n">
        <f aca="false">IF($K267="Less",$P267,0)</f>
        <v>0</v>
      </c>
      <c r="U267" s="64" t="n">
        <f aca="false">IF($K267="Expected",$P267,0)</f>
        <v>0</v>
      </c>
      <c r="V267" s="64" t="n">
        <f aca="false">IF($K267="Better",$P267,0)</f>
        <v>0</v>
      </c>
      <c r="W267" s="64" t="n">
        <f aca="false">IF($K267="U – needs rule",$P267,0)</f>
        <v>0</v>
      </c>
      <c r="X267" s="64" t="n">
        <f aca="false">IF($K267="No Start (attainment only)",$P267,0)</f>
        <v>0</v>
      </c>
    </row>
    <row r="268" customFormat="false" ht="15" hidden="false" customHeight="false" outlineLevel="0" collapsed="false">
      <c r="A268" s="60" t="s">
        <v>780</v>
      </c>
      <c r="B268" s="61" t="str">
        <f aca="false">IF($M268=0,"",INDEX(Classes!$E$6:$E$420,$M268))</f>
        <v>Arabic A</v>
      </c>
      <c r="C268" s="62" t="str">
        <f aca="false">IF($M268=0,"",INDEX(Classes!$H$6:$H$420,$M268))</f>
        <v>Mr Aly Abdelmonem Hasan</v>
      </c>
      <c r="D268" s="61" t="str">
        <f aca="false">IF($M268=0,"",INDEX(Classes!$B$6:$B$420,$M268))</f>
        <v>Year 10</v>
      </c>
      <c r="E268" s="61" t="str">
        <f aca="false">IF($M268=0,"",INDEX(Classes!$C$6:$C$420,$M268))</f>
        <v>ah</v>
      </c>
      <c r="F268" s="63" t="s">
        <v>162</v>
      </c>
      <c r="G268" s="63" t="s">
        <v>1018</v>
      </c>
      <c r="H268" s="60"/>
      <c r="I268" s="60" t="s">
        <v>200</v>
      </c>
      <c r="J268" s="63" t="n">
        <v>2</v>
      </c>
      <c r="K268" s="61" t="str">
        <f aca="false">IF($P268=0,"",IF($F268="Baseline","— Baseline",IF($O268=0,"No result",IF($N268=0,"No Start (attainment only)",IF(OR($N268=1,$O268=1),"U – needs rule",INDEX(MxBody,MATCH($I268,MxCurr,0),MATCH($H268,MxStart,0)))))))</f>
        <v>— Baseline</v>
      </c>
      <c r="L268" s="62" t="str">
        <f aca="false">IF(COUNTA($A268,$F268,$G268,$H268,$I268,$J268)=0,"",IF($M268=0,"✖ كود الصف غير موجود",IF(ISNA(MATCH($F268,Lists!$A$2:$A$5,0)),"✖ الفترة غير صحيحة",IF(ISNA(MATCH($G268,Lists!$B$2:$B$7,0)),"✖ المجموعة غير صحيحة",IF(NOT(OR($H268="",$N268&gt;0)),"✖ Start غير صحيح",IF(NOT(OR($I268="",$I268="NR",$O268&gt;0)),"✖ Current غير صحيح",IF(NOT(IF(ISNUMBER($J268),AND($J268&gt;=0,$J268=INT($J268)),FALSE())),"✖ العدد يجب أن يكون صحيحًا ≥ 0",IF(AND($F268="Baseline",$H268&lt;&gt;""),"⚠ Baseline: Start لا يدخل في التقدم",IF($K268="No Start (attainment only)","ℹ تحصيل فقط (بدون Start)",IF($K268="U – needs rule","ℹ حالة U تحتاج قاعدة معتمدة",IF($K268="No result","ℹ بدون نتيجة (يُستبعد من التحصيل)","OK")))))))))))</f>
        <v>OK</v>
      </c>
      <c r="M268" s="64" t="n">
        <f aca="false">IF($A268="",0,IFERROR(MATCH($A268,Classes!$A$6:$A$420,0),0))</f>
        <v>284</v>
      </c>
      <c r="N268" s="64" t="n">
        <f aca="false">IF($H268="",0,IFERROR(MATCH($H268,GradeList,0),0))</f>
        <v>0</v>
      </c>
      <c r="O268" s="64" t="n">
        <f aca="false">IF(OR($I268="",$I268="NR"),0,IFERROR(MATCH($I268,GradeList,0),0))</f>
        <v>5</v>
      </c>
      <c r="P268" s="64" t="n">
        <f aca="false">IF(AND($M268&gt;0,ISNUMBER(MATCH($F268,Lists!$A$2:$A$5,0)),ISNUMBER(MATCH($G268,Lists!$B$2:$B$7,0)),OR($H268="",$N268&gt;0),OR($I268="",$I268="NR",$O268&gt;0),IF(ISNUMBER($J268),AND($J268&gt;=0,$J268=INT($J268)),FALSE())),$J268,0)</f>
        <v>2</v>
      </c>
      <c r="Q268" s="64" t="n">
        <f aca="false">IF(AND($P268&gt;0,$O268&gt;0),$P268,0)</f>
        <v>2</v>
      </c>
      <c r="R268" s="64" t="n">
        <f aca="false">IF(AND($Q268&gt;0,$O268&gt;=AtRank),$Q268,0)</f>
        <v>2</v>
      </c>
      <c r="S268" s="64" t="n">
        <f aca="false">IF(AND($Q268&gt;0,$O268&gt;=AboveRank),$Q268,0)</f>
        <v>0</v>
      </c>
      <c r="T268" s="64" t="n">
        <f aca="false">IF($K268="Less",$P268,0)</f>
        <v>0</v>
      </c>
      <c r="U268" s="64" t="n">
        <f aca="false">IF($K268="Expected",$P268,0)</f>
        <v>0</v>
      </c>
      <c r="V268" s="64" t="n">
        <f aca="false">IF($K268="Better",$P268,0)</f>
        <v>0</v>
      </c>
      <c r="W268" s="64" t="n">
        <f aca="false">IF($K268="U – needs rule",$P268,0)</f>
        <v>0</v>
      </c>
      <c r="X268" s="64" t="n">
        <f aca="false">IF($K268="No Start (attainment only)",$P268,0)</f>
        <v>0</v>
      </c>
    </row>
    <row r="269" customFormat="false" ht="15" hidden="false" customHeight="false" outlineLevel="0" collapsed="false">
      <c r="A269" s="60" t="s">
        <v>780</v>
      </c>
      <c r="B269" s="61" t="str">
        <f aca="false">IF($M269=0,"",INDEX(Classes!$E$6:$E$420,$M269))</f>
        <v>Arabic A</v>
      </c>
      <c r="C269" s="62" t="str">
        <f aca="false">IF($M269=0,"",INDEX(Classes!$H$6:$H$420,$M269))</f>
        <v>Mr Aly Abdelmonem Hasan</v>
      </c>
      <c r="D269" s="61" t="str">
        <f aca="false">IF($M269=0,"",INDEX(Classes!$B$6:$B$420,$M269))</f>
        <v>Year 10</v>
      </c>
      <c r="E269" s="61" t="str">
        <f aca="false">IF($M269=0,"",INDEX(Classes!$C$6:$C$420,$M269))</f>
        <v>ah</v>
      </c>
      <c r="F269" s="63" t="s">
        <v>162</v>
      </c>
      <c r="G269" s="63" t="s">
        <v>1018</v>
      </c>
      <c r="H269" s="60"/>
      <c r="I269" s="60" t="s">
        <v>201</v>
      </c>
      <c r="J269" s="63" t="n">
        <v>1</v>
      </c>
      <c r="K269" s="61" t="str">
        <f aca="false">IF($P269=0,"",IF($F269="Baseline","— Baseline",IF($O269=0,"No result",IF($N269=0,"No Start (attainment only)",IF(OR($N269=1,$O269=1),"U – needs rule",INDEX(MxBody,MATCH($I269,MxCurr,0),MATCH($H269,MxStart,0)))))))</f>
        <v>— Baseline</v>
      </c>
      <c r="L269" s="62" t="str">
        <f aca="false">IF(COUNTA($A269,$F269,$G269,$H269,$I269,$J269)=0,"",IF($M269=0,"✖ كود الصف غير موجود",IF(ISNA(MATCH($F269,Lists!$A$2:$A$5,0)),"✖ الفترة غير صحيحة",IF(ISNA(MATCH($G269,Lists!$B$2:$B$7,0)),"✖ المجموعة غير صحيحة",IF(NOT(OR($H269="",$N269&gt;0)),"✖ Start غير صحيح",IF(NOT(OR($I269="",$I269="NR",$O269&gt;0)),"✖ Current غير صحيح",IF(NOT(IF(ISNUMBER($J269),AND($J269&gt;=0,$J269=INT($J269)),FALSE())),"✖ العدد يجب أن يكون صحيحًا ≥ 0",IF(AND($F269="Baseline",$H269&lt;&gt;""),"⚠ Baseline: Start لا يدخل في التقدم",IF($K269="No Start (attainment only)","ℹ تحصيل فقط (بدون Start)",IF($K269="U – needs rule","ℹ حالة U تحتاج قاعدة معتمدة",IF($K269="No result","ℹ بدون نتيجة (يُستبعد من التحصيل)","OK")))))))))))</f>
        <v>OK</v>
      </c>
      <c r="M269" s="64" t="n">
        <f aca="false">IF($A269="",0,IFERROR(MATCH($A269,Classes!$A$6:$A$420,0),0))</f>
        <v>284</v>
      </c>
      <c r="N269" s="64" t="n">
        <f aca="false">IF($H269="",0,IFERROR(MATCH($H269,GradeList,0),0))</f>
        <v>0</v>
      </c>
      <c r="O269" s="64" t="n">
        <f aca="false">IF(OR($I269="",$I269="NR"),0,IFERROR(MATCH($I269,GradeList,0),0))</f>
        <v>6</v>
      </c>
      <c r="P269" s="64" t="n">
        <f aca="false">IF(AND($M269&gt;0,ISNUMBER(MATCH($F269,Lists!$A$2:$A$5,0)),ISNUMBER(MATCH($G269,Lists!$B$2:$B$7,0)),OR($H269="",$N269&gt;0),OR($I269="",$I269="NR",$O269&gt;0),IF(ISNUMBER($J269),AND($J269&gt;=0,$J269=INT($J269)),FALSE())),$J269,0)</f>
        <v>1</v>
      </c>
      <c r="Q269" s="64" t="n">
        <f aca="false">IF(AND($P269&gt;0,$O269&gt;0),$P269,0)</f>
        <v>1</v>
      </c>
      <c r="R269" s="64" t="n">
        <f aca="false">IF(AND($Q269&gt;0,$O269&gt;=AtRank),$Q269,0)</f>
        <v>1</v>
      </c>
      <c r="S269" s="64" t="n">
        <f aca="false">IF(AND($Q269&gt;0,$O269&gt;=AboveRank),$Q269,0)</f>
        <v>0</v>
      </c>
      <c r="T269" s="64" t="n">
        <f aca="false">IF($K269="Less",$P269,0)</f>
        <v>0</v>
      </c>
      <c r="U269" s="64" t="n">
        <f aca="false">IF($K269="Expected",$P269,0)</f>
        <v>0</v>
      </c>
      <c r="V269" s="64" t="n">
        <f aca="false">IF($K269="Better",$P269,0)</f>
        <v>0</v>
      </c>
      <c r="W269" s="64" t="n">
        <f aca="false">IF($K269="U – needs rule",$P269,0)</f>
        <v>0</v>
      </c>
      <c r="X269" s="64" t="n">
        <f aca="false">IF($K269="No Start (attainment only)",$P269,0)</f>
        <v>0</v>
      </c>
    </row>
    <row r="270" customFormat="false" ht="15" hidden="false" customHeight="false" outlineLevel="0" collapsed="false">
      <c r="A270" s="60" t="s">
        <v>780</v>
      </c>
      <c r="B270" s="61" t="str">
        <f aca="false">IF($M270=0,"",INDEX(Classes!$E$6:$E$420,$M270))</f>
        <v>Arabic A</v>
      </c>
      <c r="C270" s="62" t="str">
        <f aca="false">IF($M270=0,"",INDEX(Classes!$H$6:$H$420,$M270))</f>
        <v>Mr Aly Abdelmonem Hasan</v>
      </c>
      <c r="D270" s="61" t="str">
        <f aca="false">IF($M270=0,"",INDEX(Classes!$B$6:$B$420,$M270))</f>
        <v>Year 10</v>
      </c>
      <c r="E270" s="61" t="str">
        <f aca="false">IF($M270=0,"",INDEX(Classes!$C$6:$C$420,$M270))</f>
        <v>ah</v>
      </c>
      <c r="F270" s="63" t="s">
        <v>162</v>
      </c>
      <c r="G270" s="63" t="s">
        <v>1018</v>
      </c>
      <c r="H270" s="60"/>
      <c r="I270" s="60" t="s">
        <v>199</v>
      </c>
      <c r="J270" s="63" t="n">
        <v>1</v>
      </c>
      <c r="K270" s="61" t="str">
        <f aca="false">IF($P270=0,"",IF($F270="Baseline","— Baseline",IF($O270=0,"No result",IF($N270=0,"No Start (attainment only)",IF(OR($N270=1,$O270=1),"U – needs rule",INDEX(MxBody,MATCH($I270,MxCurr,0),MATCH($H270,MxStart,0)))))))</f>
        <v>— Baseline</v>
      </c>
      <c r="L270" s="62" t="str">
        <f aca="false">IF(COUNTA($A270,$F270,$G270,$H270,$I270,$J270)=0,"",IF($M270=0,"✖ كود الصف غير موجود",IF(ISNA(MATCH($F270,Lists!$A$2:$A$5,0)),"✖ الفترة غير صحيحة",IF(ISNA(MATCH($G270,Lists!$B$2:$B$7,0)),"✖ المجموعة غير صحيحة",IF(NOT(OR($H270="",$N270&gt;0)),"✖ Start غير صحيح",IF(NOT(OR($I270="",$I270="NR",$O270&gt;0)),"✖ Current غير صحيح",IF(NOT(IF(ISNUMBER($J270),AND($J270&gt;=0,$J270=INT($J270)),FALSE())),"✖ العدد يجب أن يكون صحيحًا ≥ 0",IF(AND($F270="Baseline",$H270&lt;&gt;""),"⚠ Baseline: Start لا يدخل في التقدم",IF($K270="No Start (attainment only)","ℹ تحصيل فقط (بدون Start)",IF($K270="U – needs rule","ℹ حالة U تحتاج قاعدة معتمدة",IF($K270="No result","ℹ بدون نتيجة (يُستبعد من التحصيل)","OK")))))))))))</f>
        <v>OK</v>
      </c>
      <c r="M270" s="64" t="n">
        <f aca="false">IF($A270="",0,IFERROR(MATCH($A270,Classes!$A$6:$A$420,0),0))</f>
        <v>284</v>
      </c>
      <c r="N270" s="64" t="n">
        <f aca="false">IF($H270="",0,IFERROR(MATCH($H270,GradeList,0),0))</f>
        <v>0</v>
      </c>
      <c r="O270" s="64" t="n">
        <f aca="false">IF(OR($I270="",$I270="NR"),0,IFERROR(MATCH($I270,GradeList,0),0))</f>
        <v>4</v>
      </c>
      <c r="P270" s="64" t="n">
        <f aca="false">IF(AND($M270&gt;0,ISNUMBER(MATCH($F270,Lists!$A$2:$A$5,0)),ISNUMBER(MATCH($G270,Lists!$B$2:$B$7,0)),OR($H270="",$N270&gt;0),OR($I270="",$I270="NR",$O270&gt;0),IF(ISNUMBER($J270),AND($J270&gt;=0,$J270=INT($J270)),FALSE())),$J270,0)</f>
        <v>1</v>
      </c>
      <c r="Q270" s="64" t="n">
        <f aca="false">IF(AND($P270&gt;0,$O270&gt;0),$P270,0)</f>
        <v>1</v>
      </c>
      <c r="R270" s="64" t="n">
        <f aca="false">IF(AND($Q270&gt;0,$O270&gt;=AtRank),$Q270,0)</f>
        <v>0</v>
      </c>
      <c r="S270" s="64" t="n">
        <f aca="false">IF(AND($Q270&gt;0,$O270&gt;=AboveRank),$Q270,0)</f>
        <v>0</v>
      </c>
      <c r="T270" s="64" t="n">
        <f aca="false">IF($K270="Less",$P270,0)</f>
        <v>0</v>
      </c>
      <c r="U270" s="64" t="n">
        <f aca="false">IF($K270="Expected",$P270,0)</f>
        <v>0</v>
      </c>
      <c r="V270" s="64" t="n">
        <f aca="false">IF($K270="Better",$P270,0)</f>
        <v>0</v>
      </c>
      <c r="W270" s="64" t="n">
        <f aca="false">IF($K270="U – needs rule",$P270,0)</f>
        <v>0</v>
      </c>
      <c r="X270" s="64" t="n">
        <f aca="false">IF($K270="No Start (attainment only)",$P270,0)</f>
        <v>0</v>
      </c>
    </row>
    <row r="271" customFormat="false" ht="15" hidden="false" customHeight="false" outlineLevel="0" collapsed="false">
      <c r="A271" s="60" t="s">
        <v>780</v>
      </c>
      <c r="B271" s="61" t="str">
        <f aca="false">IF($M271=0,"",INDEX(Classes!$E$6:$E$420,$M271))</f>
        <v>Arabic A</v>
      </c>
      <c r="C271" s="62" t="str">
        <f aca="false">IF($M271=0,"",INDEX(Classes!$H$6:$H$420,$M271))</f>
        <v>Mr Aly Abdelmonem Hasan</v>
      </c>
      <c r="D271" s="61" t="str">
        <f aca="false">IF($M271=0,"",INDEX(Classes!$B$6:$B$420,$M271))</f>
        <v>Year 10</v>
      </c>
      <c r="E271" s="61" t="str">
        <f aca="false">IF($M271=0,"",INDEX(Classes!$C$6:$C$420,$M271))</f>
        <v>ah</v>
      </c>
      <c r="F271" s="63" t="s">
        <v>107</v>
      </c>
      <c r="G271" s="63" t="s">
        <v>108</v>
      </c>
      <c r="H271" s="60"/>
      <c r="I271" s="60" t="s">
        <v>200</v>
      </c>
      <c r="J271" s="63" t="n">
        <v>1</v>
      </c>
      <c r="K271" s="61" t="str">
        <f aca="false">IF($P271=0,"",IF($F271="Baseline","— Baseline",IF($O271=0,"No result",IF($N271=0,"No Start (attainment only)",IF(OR($N271=1,$O271=1),"U – needs rule",INDEX(MxBody,MATCH($I271,MxCurr,0),MATCH($H271,MxStart,0)))))))</f>
        <v>No Start (attainment only)</v>
      </c>
      <c r="L271" s="62" t="str">
        <f aca="false">IF(COUNTA($A271,$F271,$G271,$H271,$I271,$J271)=0,"",IF($M271=0,"✖ كود الصف غير موجود",IF(ISNA(MATCH($F271,Lists!$A$2:$A$5,0)),"✖ الفترة غير صحيحة",IF(ISNA(MATCH($G271,Lists!$B$2:$B$7,0)),"✖ المجموعة غير صحيحة",IF(NOT(OR($H271="",$N271&gt;0)),"✖ Start غير صحيح",IF(NOT(OR($I271="",$I271="NR",$O271&gt;0)),"✖ Current غير صحيح",IF(NOT(IF(ISNUMBER($J271),AND($J271&gt;=0,$J271=INT($J271)),FALSE())),"✖ العدد يجب أن يكون صحيحًا ≥ 0",IF(AND($F271="Baseline",$H271&lt;&gt;""),"⚠ Baseline: Start لا يدخل في التقدم",IF($K271="No Start (attainment only)","ℹ تحصيل فقط (بدون Start)",IF($K271="U – needs rule","ℹ حالة U تحتاج قاعدة معتمدة",IF($K271="No result","ℹ بدون نتيجة (يُستبعد من التحصيل)","OK")))))))))))</f>
        <v>ℹ تحصيل فقط (بدون Start)</v>
      </c>
      <c r="M271" s="64" t="n">
        <f aca="false">IF($A271="",0,IFERROR(MATCH($A271,Classes!$A$6:$A$420,0),0))</f>
        <v>284</v>
      </c>
      <c r="N271" s="64" t="n">
        <f aca="false">IF($H271="",0,IFERROR(MATCH($H271,GradeList,0),0))</f>
        <v>0</v>
      </c>
      <c r="O271" s="64" t="n">
        <f aca="false">IF(OR($I271="",$I271="NR"),0,IFERROR(MATCH($I271,GradeList,0),0))</f>
        <v>5</v>
      </c>
      <c r="P271" s="64" t="n">
        <f aca="false">IF(AND($M271&gt;0,ISNUMBER(MATCH($F271,Lists!$A$2:$A$5,0)),ISNUMBER(MATCH($G271,Lists!$B$2:$B$7,0)),OR($H271="",$N271&gt;0),OR($I271="",$I271="NR",$O271&gt;0),IF(ISNUMBER($J271),AND($J271&gt;=0,$J271=INT($J271)),FALSE())),$J271,0)</f>
        <v>1</v>
      </c>
      <c r="Q271" s="64" t="n">
        <f aca="false">IF(AND($P271&gt;0,$O271&gt;0),$P271,0)</f>
        <v>1</v>
      </c>
      <c r="R271" s="64" t="n">
        <f aca="false">IF(AND($Q271&gt;0,$O271&gt;=AtRank),$Q271,0)</f>
        <v>1</v>
      </c>
      <c r="S271" s="64" t="n">
        <f aca="false">IF(AND($Q271&gt;0,$O271&gt;=AboveRank),$Q271,0)</f>
        <v>0</v>
      </c>
      <c r="T271" s="64" t="n">
        <f aca="false">IF($K271="Less",$P271,0)</f>
        <v>0</v>
      </c>
      <c r="U271" s="64" t="n">
        <f aca="false">IF($K271="Expected",$P271,0)</f>
        <v>0</v>
      </c>
      <c r="V271" s="64" t="n">
        <f aca="false">IF($K271="Better",$P271,0)</f>
        <v>0</v>
      </c>
      <c r="W271" s="64" t="n">
        <f aca="false">IF($K271="U – needs rule",$P271,0)</f>
        <v>0</v>
      </c>
      <c r="X271" s="64" t="n">
        <f aca="false">IF($K271="No Start (attainment only)",$P271,0)</f>
        <v>1</v>
      </c>
    </row>
    <row r="272" customFormat="false" ht="15" hidden="false" customHeight="false" outlineLevel="0" collapsed="false">
      <c r="A272" s="60" t="s">
        <v>780</v>
      </c>
      <c r="B272" s="61" t="str">
        <f aca="false">IF($M272=0,"",INDEX(Classes!$E$6:$E$420,$M272))</f>
        <v>Arabic A</v>
      </c>
      <c r="C272" s="62" t="str">
        <f aca="false">IF($M272=0,"",INDEX(Classes!$H$6:$H$420,$M272))</f>
        <v>Mr Aly Abdelmonem Hasan</v>
      </c>
      <c r="D272" s="61" t="str">
        <f aca="false">IF($M272=0,"",INDEX(Classes!$B$6:$B$420,$M272))</f>
        <v>Year 10</v>
      </c>
      <c r="E272" s="61" t="str">
        <f aca="false">IF($M272=0,"",INDEX(Classes!$C$6:$C$420,$M272))</f>
        <v>ah</v>
      </c>
      <c r="F272" s="63" t="s">
        <v>107</v>
      </c>
      <c r="G272" s="63" t="s">
        <v>108</v>
      </c>
      <c r="H272" s="60" t="s">
        <v>202</v>
      </c>
      <c r="I272" s="60" t="s">
        <v>203</v>
      </c>
      <c r="J272" s="63" t="n">
        <v>1</v>
      </c>
      <c r="K272" s="61" t="str">
        <f aca="false">IF($P272=0,"",IF($F272="Baseline","— Baseline",IF($O272=0,"No result",IF($N272=0,"No Start (attainment only)",IF(OR($N272=1,$O272=1),"U – needs rule",INDEX(MxBody,MATCH($I272,MxCurr,0),MATCH($H272,MxStart,0)))))))</f>
        <v>Better</v>
      </c>
      <c r="L272" s="62" t="str">
        <f aca="false">IF(COUNTA($A272,$F272,$G272,$H272,$I272,$J272)=0,"",IF($M272=0,"✖ كود الصف غير موجود",IF(ISNA(MATCH($F272,Lists!$A$2:$A$5,0)),"✖ الفترة غير صحيحة",IF(ISNA(MATCH($G272,Lists!$B$2:$B$7,0)),"✖ المجموعة غير صحيحة",IF(NOT(OR($H272="",$N272&gt;0)),"✖ Start غير صحيح",IF(NOT(OR($I272="",$I272="NR",$O272&gt;0)),"✖ Current غير صحيح",IF(NOT(IF(ISNUMBER($J272),AND($J272&gt;=0,$J272=INT($J272)),FALSE())),"✖ العدد يجب أن يكون صحيحًا ≥ 0",IF(AND($F272="Baseline",$H272&lt;&gt;""),"⚠ Baseline: Start لا يدخل في التقدم",IF($K272="No Start (attainment only)","ℹ تحصيل فقط (بدون Start)",IF($K272="U – needs rule","ℹ حالة U تحتاج قاعدة معتمدة",IF($K272="No result","ℹ بدون نتيجة (يُستبعد من التحصيل)","OK")))))))))))</f>
        <v>OK</v>
      </c>
      <c r="M272" s="64" t="n">
        <f aca="false">IF($A272="",0,IFERROR(MATCH($A272,Classes!$A$6:$A$420,0),0))</f>
        <v>284</v>
      </c>
      <c r="N272" s="64" t="n">
        <f aca="false">IF($H272="",0,IFERROR(MATCH($H272,GradeList,0),0))</f>
        <v>7</v>
      </c>
      <c r="O272" s="64" t="n">
        <f aca="false">IF(OR($I272="",$I272="NR"),0,IFERROR(MATCH($I272,GradeList,0),0))</f>
        <v>8</v>
      </c>
      <c r="P272" s="64" t="n">
        <f aca="false">IF(AND($M272&gt;0,ISNUMBER(MATCH($F272,Lists!$A$2:$A$5,0)),ISNUMBER(MATCH($G272,Lists!$B$2:$B$7,0)),OR($H272="",$N272&gt;0),OR($I272="",$I272="NR",$O272&gt;0),IF(ISNUMBER($J272),AND($J272&gt;=0,$J272=INT($J272)),FALSE())),$J272,0)</f>
        <v>1</v>
      </c>
      <c r="Q272" s="64" t="n">
        <f aca="false">IF(AND($P272&gt;0,$O272&gt;0),$P272,0)</f>
        <v>1</v>
      </c>
      <c r="R272" s="64" t="n">
        <f aca="false">IF(AND($Q272&gt;0,$O272&gt;=AtRank),$Q272,0)</f>
        <v>1</v>
      </c>
      <c r="S272" s="64" t="n">
        <f aca="false">IF(AND($Q272&gt;0,$O272&gt;=AboveRank),$Q272,0)</f>
        <v>1</v>
      </c>
      <c r="T272" s="64" t="n">
        <f aca="false">IF($K272="Less",$P272,0)</f>
        <v>0</v>
      </c>
      <c r="U272" s="64" t="n">
        <f aca="false">IF($K272="Expected",$P272,0)</f>
        <v>0</v>
      </c>
      <c r="V272" s="64" t="n">
        <f aca="false">IF($K272="Better",$P272,0)</f>
        <v>1</v>
      </c>
      <c r="W272" s="64" t="n">
        <f aca="false">IF($K272="U – needs rule",$P272,0)</f>
        <v>0</v>
      </c>
      <c r="X272" s="64" t="n">
        <f aca="false">IF($K272="No Start (attainment only)",$P272,0)</f>
        <v>0</v>
      </c>
    </row>
    <row r="273" customFormat="false" ht="15" hidden="false" customHeight="false" outlineLevel="0" collapsed="false">
      <c r="A273" s="60" t="s">
        <v>780</v>
      </c>
      <c r="B273" s="61" t="str">
        <f aca="false">IF($M273=0,"",INDEX(Classes!$E$6:$E$420,$M273))</f>
        <v>Arabic A</v>
      </c>
      <c r="C273" s="62" t="str">
        <f aca="false">IF($M273=0,"",INDEX(Classes!$H$6:$H$420,$M273))</f>
        <v>Mr Aly Abdelmonem Hasan</v>
      </c>
      <c r="D273" s="61" t="str">
        <f aca="false">IF($M273=0,"",INDEX(Classes!$B$6:$B$420,$M273))</f>
        <v>Year 10</v>
      </c>
      <c r="E273" s="61" t="str">
        <f aca="false">IF($M273=0,"",INDEX(Classes!$C$6:$C$420,$M273))</f>
        <v>ah</v>
      </c>
      <c r="F273" s="63" t="s">
        <v>107</v>
      </c>
      <c r="G273" s="63" t="s">
        <v>108</v>
      </c>
      <c r="H273" s="60" t="s">
        <v>202</v>
      </c>
      <c r="I273" s="60" t="s">
        <v>201</v>
      </c>
      <c r="J273" s="63" t="n">
        <v>1</v>
      </c>
      <c r="K273" s="61" t="str">
        <f aca="false">IF($P273=0,"",IF($F273="Baseline","— Baseline",IF($O273=0,"No result",IF($N273=0,"No Start (attainment only)",IF(OR($N273=1,$O273=1),"U – needs rule",INDEX(MxBody,MATCH($I273,MxCurr,0),MATCH($H273,MxStart,0)))))))</f>
        <v>Expected</v>
      </c>
      <c r="L273" s="62" t="str">
        <f aca="false">IF(COUNTA($A273,$F273,$G273,$H273,$I273,$J273)=0,"",IF($M273=0,"✖ كود الصف غير موجود",IF(ISNA(MATCH($F273,Lists!$A$2:$A$5,0)),"✖ الفترة غير صحيحة",IF(ISNA(MATCH($G273,Lists!$B$2:$B$7,0)),"✖ المجموعة غير صحيحة",IF(NOT(OR($H273="",$N273&gt;0)),"✖ Start غير صحيح",IF(NOT(OR($I273="",$I273="NR",$O273&gt;0)),"✖ Current غير صحيح",IF(NOT(IF(ISNUMBER($J273),AND($J273&gt;=0,$J273=INT($J273)),FALSE())),"✖ العدد يجب أن يكون صحيحًا ≥ 0",IF(AND($F273="Baseline",$H273&lt;&gt;""),"⚠ Baseline: Start لا يدخل في التقدم",IF($K273="No Start (attainment only)","ℹ تحصيل فقط (بدون Start)",IF($K273="U – needs rule","ℹ حالة U تحتاج قاعدة معتمدة",IF($K273="No result","ℹ بدون نتيجة (يُستبعد من التحصيل)","OK")))))))))))</f>
        <v>OK</v>
      </c>
      <c r="M273" s="64" t="n">
        <f aca="false">IF($A273="",0,IFERROR(MATCH($A273,Classes!$A$6:$A$420,0),0))</f>
        <v>284</v>
      </c>
      <c r="N273" s="64" t="n">
        <f aca="false">IF($H273="",0,IFERROR(MATCH($H273,GradeList,0),0))</f>
        <v>7</v>
      </c>
      <c r="O273" s="64" t="n">
        <f aca="false">IF(OR($I273="",$I273="NR"),0,IFERROR(MATCH($I273,GradeList,0),0))</f>
        <v>6</v>
      </c>
      <c r="P273" s="64" t="n">
        <f aca="false">IF(AND($M273&gt;0,ISNUMBER(MATCH($F273,Lists!$A$2:$A$5,0)),ISNUMBER(MATCH($G273,Lists!$B$2:$B$7,0)),OR($H273="",$N273&gt;0),OR($I273="",$I273="NR",$O273&gt;0),IF(ISNUMBER($J273),AND($J273&gt;=0,$J273=INT($J273)),FALSE())),$J273,0)</f>
        <v>1</v>
      </c>
      <c r="Q273" s="64" t="n">
        <f aca="false">IF(AND($P273&gt;0,$O273&gt;0),$P273,0)</f>
        <v>1</v>
      </c>
      <c r="R273" s="64" t="n">
        <f aca="false">IF(AND($Q273&gt;0,$O273&gt;=AtRank),$Q273,0)</f>
        <v>1</v>
      </c>
      <c r="S273" s="64" t="n">
        <f aca="false">IF(AND($Q273&gt;0,$O273&gt;=AboveRank),$Q273,0)</f>
        <v>0</v>
      </c>
      <c r="T273" s="64" t="n">
        <f aca="false">IF($K273="Less",$P273,0)</f>
        <v>0</v>
      </c>
      <c r="U273" s="64" t="n">
        <f aca="false">IF($K273="Expected",$P273,0)</f>
        <v>1</v>
      </c>
      <c r="V273" s="64" t="n">
        <f aca="false">IF($K273="Better",$P273,0)</f>
        <v>0</v>
      </c>
      <c r="W273" s="64" t="n">
        <f aca="false">IF($K273="U – needs rule",$P273,0)</f>
        <v>0</v>
      </c>
      <c r="X273" s="64" t="n">
        <f aca="false">IF($K273="No Start (attainment only)",$P273,0)</f>
        <v>0</v>
      </c>
    </row>
    <row r="274" customFormat="false" ht="15" hidden="false" customHeight="false" outlineLevel="0" collapsed="false">
      <c r="A274" s="60" t="s">
        <v>780</v>
      </c>
      <c r="B274" s="61" t="str">
        <f aca="false">IF($M274=0,"",INDEX(Classes!$E$6:$E$420,$M274))</f>
        <v>Arabic A</v>
      </c>
      <c r="C274" s="62" t="str">
        <f aca="false">IF($M274=0,"",INDEX(Classes!$H$6:$H$420,$M274))</f>
        <v>Mr Aly Abdelmonem Hasan</v>
      </c>
      <c r="D274" s="61" t="str">
        <f aca="false">IF($M274=0,"",INDEX(Classes!$B$6:$B$420,$M274))</f>
        <v>Year 10</v>
      </c>
      <c r="E274" s="61" t="str">
        <f aca="false">IF($M274=0,"",INDEX(Classes!$C$6:$C$420,$M274))</f>
        <v>ah</v>
      </c>
      <c r="F274" s="63" t="s">
        <v>107</v>
      </c>
      <c r="G274" s="63" t="s">
        <v>108</v>
      </c>
      <c r="H274" s="60" t="s">
        <v>200</v>
      </c>
      <c r="I274" s="60" t="s">
        <v>200</v>
      </c>
      <c r="J274" s="63" t="n">
        <v>2</v>
      </c>
      <c r="K274" s="61" t="str">
        <f aca="false">IF($P274=0,"",IF($F274="Baseline","— Baseline",IF($O274=0,"No result",IF($N274=0,"No Start (attainment only)",IF(OR($N274=1,$O274=1),"U – needs rule",INDEX(MxBody,MATCH($I274,MxCurr,0),MATCH($H274,MxStart,0)))))))</f>
        <v>Expected</v>
      </c>
      <c r="L274" s="62" t="str">
        <f aca="false">IF(COUNTA($A274,$F274,$G274,$H274,$I274,$J274)=0,"",IF($M274=0,"✖ كود الصف غير موجود",IF(ISNA(MATCH($F274,Lists!$A$2:$A$5,0)),"✖ الفترة غير صحيحة",IF(ISNA(MATCH($G274,Lists!$B$2:$B$7,0)),"✖ المجموعة غير صحيحة",IF(NOT(OR($H274="",$N274&gt;0)),"✖ Start غير صحيح",IF(NOT(OR($I274="",$I274="NR",$O274&gt;0)),"✖ Current غير صحيح",IF(NOT(IF(ISNUMBER($J274),AND($J274&gt;=0,$J274=INT($J274)),FALSE())),"✖ العدد يجب أن يكون صحيحًا ≥ 0",IF(AND($F274="Baseline",$H274&lt;&gt;""),"⚠ Baseline: Start لا يدخل في التقدم",IF($K274="No Start (attainment only)","ℹ تحصيل فقط (بدون Start)",IF($K274="U – needs rule","ℹ حالة U تحتاج قاعدة معتمدة",IF($K274="No result","ℹ بدون نتيجة (يُستبعد من التحصيل)","OK")))))))))))</f>
        <v>OK</v>
      </c>
      <c r="M274" s="64" t="n">
        <f aca="false">IF($A274="",0,IFERROR(MATCH($A274,Classes!$A$6:$A$420,0),0))</f>
        <v>284</v>
      </c>
      <c r="N274" s="64" t="n">
        <f aca="false">IF($H274="",0,IFERROR(MATCH($H274,GradeList,0),0))</f>
        <v>5</v>
      </c>
      <c r="O274" s="64" t="n">
        <f aca="false">IF(OR($I274="",$I274="NR"),0,IFERROR(MATCH($I274,GradeList,0),0))</f>
        <v>5</v>
      </c>
      <c r="P274" s="64" t="n">
        <f aca="false">IF(AND($M274&gt;0,ISNUMBER(MATCH($F274,Lists!$A$2:$A$5,0)),ISNUMBER(MATCH($G274,Lists!$B$2:$B$7,0)),OR($H274="",$N274&gt;0),OR($I274="",$I274="NR",$O274&gt;0),IF(ISNUMBER($J274),AND($J274&gt;=0,$J274=INT($J274)),FALSE())),$J274,0)</f>
        <v>2</v>
      </c>
      <c r="Q274" s="64" t="n">
        <f aca="false">IF(AND($P274&gt;0,$O274&gt;0),$P274,0)</f>
        <v>2</v>
      </c>
      <c r="R274" s="64" t="n">
        <f aca="false">IF(AND($Q274&gt;0,$O274&gt;=AtRank),$Q274,0)</f>
        <v>2</v>
      </c>
      <c r="S274" s="64" t="n">
        <f aca="false">IF(AND($Q274&gt;0,$O274&gt;=AboveRank),$Q274,0)</f>
        <v>0</v>
      </c>
      <c r="T274" s="64" t="n">
        <f aca="false">IF($K274="Less",$P274,0)</f>
        <v>0</v>
      </c>
      <c r="U274" s="64" t="n">
        <f aca="false">IF($K274="Expected",$P274,0)</f>
        <v>2</v>
      </c>
      <c r="V274" s="64" t="n">
        <f aca="false">IF($K274="Better",$P274,0)</f>
        <v>0</v>
      </c>
      <c r="W274" s="64" t="n">
        <f aca="false">IF($K274="U – needs rule",$P274,0)</f>
        <v>0</v>
      </c>
      <c r="X274" s="64" t="n">
        <f aca="false">IF($K274="No Start (attainment only)",$P274,0)</f>
        <v>0</v>
      </c>
    </row>
    <row r="275" customFormat="false" ht="15" hidden="false" customHeight="false" outlineLevel="0" collapsed="false">
      <c r="A275" s="60" t="s">
        <v>780</v>
      </c>
      <c r="B275" s="61" t="str">
        <f aca="false">IF($M275=0,"",INDEX(Classes!$E$6:$E$420,$M275))</f>
        <v>Arabic A</v>
      </c>
      <c r="C275" s="62" t="str">
        <f aca="false">IF($M275=0,"",INDEX(Classes!$H$6:$H$420,$M275))</f>
        <v>Mr Aly Abdelmonem Hasan</v>
      </c>
      <c r="D275" s="61" t="str">
        <f aca="false">IF($M275=0,"",INDEX(Classes!$B$6:$B$420,$M275))</f>
        <v>Year 10</v>
      </c>
      <c r="E275" s="61" t="str">
        <f aca="false">IF($M275=0,"",INDEX(Classes!$C$6:$C$420,$M275))</f>
        <v>ah</v>
      </c>
      <c r="F275" s="63" t="s">
        <v>107</v>
      </c>
      <c r="G275" s="63" t="s">
        <v>108</v>
      </c>
      <c r="H275" s="60" t="s">
        <v>200</v>
      </c>
      <c r="I275" s="60" t="s">
        <v>201</v>
      </c>
      <c r="J275" s="63" t="n">
        <v>2</v>
      </c>
      <c r="K275" s="61" t="str">
        <f aca="false">IF($P275=0,"",IF($F275="Baseline","— Baseline",IF($O275=0,"No result",IF($N275=0,"No Start (attainment only)",IF(OR($N275=1,$O275=1),"U – needs rule",INDEX(MxBody,MATCH($I275,MxCurr,0),MATCH($H275,MxStart,0)))))))</f>
        <v>Better</v>
      </c>
      <c r="L275" s="62" t="str">
        <f aca="false">IF(COUNTA($A275,$F275,$G275,$H275,$I275,$J275)=0,"",IF($M275=0,"✖ كود الصف غير موجود",IF(ISNA(MATCH($F275,Lists!$A$2:$A$5,0)),"✖ الفترة غير صحيحة",IF(ISNA(MATCH($G275,Lists!$B$2:$B$7,0)),"✖ المجموعة غير صحيحة",IF(NOT(OR($H275="",$N275&gt;0)),"✖ Start غير صحيح",IF(NOT(OR($I275="",$I275="NR",$O275&gt;0)),"✖ Current غير صحيح",IF(NOT(IF(ISNUMBER($J275),AND($J275&gt;=0,$J275=INT($J275)),FALSE())),"✖ العدد يجب أن يكون صحيحًا ≥ 0",IF(AND($F275="Baseline",$H275&lt;&gt;""),"⚠ Baseline: Start لا يدخل في التقدم",IF($K275="No Start (attainment only)","ℹ تحصيل فقط (بدون Start)",IF($K275="U – needs rule","ℹ حالة U تحتاج قاعدة معتمدة",IF($K275="No result","ℹ بدون نتيجة (يُستبعد من التحصيل)","OK")))))))))))</f>
        <v>OK</v>
      </c>
      <c r="M275" s="64" t="n">
        <f aca="false">IF($A275="",0,IFERROR(MATCH($A275,Classes!$A$6:$A$420,0),0))</f>
        <v>284</v>
      </c>
      <c r="N275" s="64" t="n">
        <f aca="false">IF($H275="",0,IFERROR(MATCH($H275,GradeList,0),0))</f>
        <v>5</v>
      </c>
      <c r="O275" s="64" t="n">
        <f aca="false">IF(OR($I275="",$I275="NR"),0,IFERROR(MATCH($I275,GradeList,0),0))</f>
        <v>6</v>
      </c>
      <c r="P275" s="64" t="n">
        <f aca="false">IF(AND($M275&gt;0,ISNUMBER(MATCH($F275,Lists!$A$2:$A$5,0)),ISNUMBER(MATCH($G275,Lists!$B$2:$B$7,0)),OR($H275="",$N275&gt;0),OR($I275="",$I275="NR",$O275&gt;0),IF(ISNUMBER($J275),AND($J275&gt;=0,$J275=INT($J275)),FALSE())),$J275,0)</f>
        <v>2</v>
      </c>
      <c r="Q275" s="64" t="n">
        <f aca="false">IF(AND($P275&gt;0,$O275&gt;0),$P275,0)</f>
        <v>2</v>
      </c>
      <c r="R275" s="64" t="n">
        <f aca="false">IF(AND($Q275&gt;0,$O275&gt;=AtRank),$Q275,0)</f>
        <v>2</v>
      </c>
      <c r="S275" s="64" t="n">
        <f aca="false">IF(AND($Q275&gt;0,$O275&gt;=AboveRank),$Q275,0)</f>
        <v>0</v>
      </c>
      <c r="T275" s="64" t="n">
        <f aca="false">IF($K275="Less",$P275,0)</f>
        <v>0</v>
      </c>
      <c r="U275" s="64" t="n">
        <f aca="false">IF($K275="Expected",$P275,0)</f>
        <v>0</v>
      </c>
      <c r="V275" s="64" t="n">
        <f aca="false">IF($K275="Better",$P275,0)</f>
        <v>2</v>
      </c>
      <c r="W275" s="64" t="n">
        <f aca="false">IF($K275="U – needs rule",$P275,0)</f>
        <v>0</v>
      </c>
      <c r="X275" s="64" t="n">
        <f aca="false">IF($K275="No Start (attainment only)",$P275,0)</f>
        <v>0</v>
      </c>
    </row>
    <row r="276" customFormat="false" ht="15" hidden="false" customHeight="false" outlineLevel="0" collapsed="false">
      <c r="A276" s="60" t="s">
        <v>780</v>
      </c>
      <c r="B276" s="61" t="str">
        <f aca="false">IF($M276=0,"",INDEX(Classes!$E$6:$E$420,$M276))</f>
        <v>Arabic A</v>
      </c>
      <c r="C276" s="62" t="str">
        <f aca="false">IF($M276=0,"",INDEX(Classes!$H$6:$H$420,$M276))</f>
        <v>Mr Aly Abdelmonem Hasan</v>
      </c>
      <c r="D276" s="61" t="str">
        <f aca="false">IF($M276=0,"",INDEX(Classes!$B$6:$B$420,$M276))</f>
        <v>Year 10</v>
      </c>
      <c r="E276" s="61" t="str">
        <f aca="false">IF($M276=0,"",INDEX(Classes!$C$6:$C$420,$M276))</f>
        <v>ah</v>
      </c>
      <c r="F276" s="63" t="s">
        <v>107</v>
      </c>
      <c r="G276" s="63" t="s">
        <v>108</v>
      </c>
      <c r="H276" s="60" t="s">
        <v>200</v>
      </c>
      <c r="I276" s="60" t="s">
        <v>196</v>
      </c>
      <c r="J276" s="63" t="n">
        <v>1</v>
      </c>
      <c r="K276" s="61" t="str">
        <f aca="false">IF($P276=0,"",IF($F276="Baseline","— Baseline",IF($O276=0,"No result",IF($N276=0,"No Start (attainment only)",IF(OR($N276=1,$O276=1),"U – needs rule",INDEX(MxBody,MATCH($I276,MxCurr,0),MATCH($H276,MxStart,0)))))))</f>
        <v>U – needs rule</v>
      </c>
      <c r="L276" s="62" t="str">
        <f aca="false">IF(COUNTA($A276,$F276,$G276,$H276,$I276,$J276)=0,"",IF($M276=0,"✖ كود الصف غير موجود",IF(ISNA(MATCH($F276,Lists!$A$2:$A$5,0)),"✖ الفترة غير صحيحة",IF(ISNA(MATCH($G276,Lists!$B$2:$B$7,0)),"✖ المجموعة غير صحيحة",IF(NOT(OR($H276="",$N276&gt;0)),"✖ Start غير صحيح",IF(NOT(OR($I276="",$I276="NR",$O276&gt;0)),"✖ Current غير صحيح",IF(NOT(IF(ISNUMBER($J276),AND($J276&gt;=0,$J276=INT($J276)),FALSE())),"✖ العدد يجب أن يكون صحيحًا ≥ 0",IF(AND($F276="Baseline",$H276&lt;&gt;""),"⚠ Baseline: Start لا يدخل في التقدم",IF($K276="No Start (attainment only)","ℹ تحصيل فقط (بدون Start)",IF($K276="U – needs rule","ℹ حالة U تحتاج قاعدة معتمدة",IF($K276="No result","ℹ بدون نتيجة (يُستبعد من التحصيل)","OK")))))))))))</f>
        <v>ℹ حالة U تحتاج قاعدة معتمدة</v>
      </c>
      <c r="M276" s="64" t="n">
        <f aca="false">IF($A276="",0,IFERROR(MATCH($A276,Classes!$A$6:$A$420,0),0))</f>
        <v>284</v>
      </c>
      <c r="N276" s="64" t="n">
        <f aca="false">IF($H276="",0,IFERROR(MATCH($H276,GradeList,0),0))</f>
        <v>5</v>
      </c>
      <c r="O276" s="64" t="n">
        <f aca="false">IF(OR($I276="",$I276="NR"),0,IFERROR(MATCH($I276,GradeList,0),0))</f>
        <v>1</v>
      </c>
      <c r="P276" s="64" t="n">
        <f aca="false">IF(AND($M276&gt;0,ISNUMBER(MATCH($F276,Lists!$A$2:$A$5,0)),ISNUMBER(MATCH($G276,Lists!$B$2:$B$7,0)),OR($H276="",$N276&gt;0),OR($I276="",$I276="NR",$O276&gt;0),IF(ISNUMBER($J276),AND($J276&gt;=0,$J276=INT($J276)),FALSE())),$J276,0)</f>
        <v>1</v>
      </c>
      <c r="Q276" s="64" t="n">
        <f aca="false">IF(AND($P276&gt;0,$O276&gt;0),$P276,0)</f>
        <v>1</v>
      </c>
      <c r="R276" s="64" t="n">
        <f aca="false">IF(AND($Q276&gt;0,$O276&gt;=AtRank),$Q276,0)</f>
        <v>0</v>
      </c>
      <c r="S276" s="64" t="n">
        <f aca="false">IF(AND($Q276&gt;0,$O276&gt;=AboveRank),$Q276,0)</f>
        <v>0</v>
      </c>
      <c r="T276" s="64" t="n">
        <f aca="false">IF($K276="Less",$P276,0)</f>
        <v>0</v>
      </c>
      <c r="U276" s="64" t="n">
        <f aca="false">IF($K276="Expected",$P276,0)</f>
        <v>0</v>
      </c>
      <c r="V276" s="64" t="n">
        <f aca="false">IF($K276="Better",$P276,0)</f>
        <v>0</v>
      </c>
      <c r="W276" s="64" t="n">
        <f aca="false">IF($K276="U – needs rule",$P276,0)</f>
        <v>1</v>
      </c>
      <c r="X276" s="64" t="n">
        <f aca="false">IF($K276="No Start (attainment only)",$P276,0)</f>
        <v>0</v>
      </c>
    </row>
    <row r="277" customFormat="false" ht="15" hidden="false" customHeight="false" outlineLevel="0" collapsed="false">
      <c r="A277" s="60" t="s">
        <v>780</v>
      </c>
      <c r="B277" s="61" t="str">
        <f aca="false">IF($M277=0,"",INDEX(Classes!$E$6:$E$420,$M277))</f>
        <v>Arabic A</v>
      </c>
      <c r="C277" s="62" t="str">
        <f aca="false">IF($M277=0,"",INDEX(Classes!$H$6:$H$420,$M277))</f>
        <v>Mr Aly Abdelmonem Hasan</v>
      </c>
      <c r="D277" s="61" t="str">
        <f aca="false">IF($M277=0,"",INDEX(Classes!$B$6:$B$420,$M277))</f>
        <v>Year 10</v>
      </c>
      <c r="E277" s="61" t="str">
        <f aca="false">IF($M277=0,"",INDEX(Classes!$C$6:$C$420,$M277))</f>
        <v>ah</v>
      </c>
      <c r="F277" s="63" t="s">
        <v>107</v>
      </c>
      <c r="G277" s="63" t="s">
        <v>108</v>
      </c>
      <c r="H277" s="60" t="s">
        <v>201</v>
      </c>
      <c r="I277" s="60" t="s">
        <v>203</v>
      </c>
      <c r="J277" s="63" t="n">
        <v>2</v>
      </c>
      <c r="K277" s="61" t="str">
        <f aca="false">IF($P277=0,"",IF($F277="Baseline","— Baseline",IF($O277=0,"No result",IF($N277=0,"No Start (attainment only)",IF(OR($N277=1,$O277=1),"U – needs rule",INDEX(MxBody,MATCH($I277,MxCurr,0),MATCH($H277,MxStart,0)))))))</f>
        <v>Better</v>
      </c>
      <c r="L277" s="62" t="str">
        <f aca="false">IF(COUNTA($A277,$F277,$G277,$H277,$I277,$J277)=0,"",IF($M277=0,"✖ كود الصف غير موجود",IF(ISNA(MATCH($F277,Lists!$A$2:$A$5,0)),"✖ الفترة غير صحيحة",IF(ISNA(MATCH($G277,Lists!$B$2:$B$7,0)),"✖ المجموعة غير صحيحة",IF(NOT(OR($H277="",$N277&gt;0)),"✖ Start غير صحيح",IF(NOT(OR($I277="",$I277="NR",$O277&gt;0)),"✖ Current غير صحيح",IF(NOT(IF(ISNUMBER($J277),AND($J277&gt;=0,$J277=INT($J277)),FALSE())),"✖ العدد يجب أن يكون صحيحًا ≥ 0",IF(AND($F277="Baseline",$H277&lt;&gt;""),"⚠ Baseline: Start لا يدخل في التقدم",IF($K277="No Start (attainment only)","ℹ تحصيل فقط (بدون Start)",IF($K277="U – needs rule","ℹ حالة U تحتاج قاعدة معتمدة",IF($K277="No result","ℹ بدون نتيجة (يُستبعد من التحصيل)","OK")))))))))))</f>
        <v>OK</v>
      </c>
      <c r="M277" s="64" t="n">
        <f aca="false">IF($A277="",0,IFERROR(MATCH($A277,Classes!$A$6:$A$420,0),0))</f>
        <v>284</v>
      </c>
      <c r="N277" s="64" t="n">
        <f aca="false">IF($H277="",0,IFERROR(MATCH($H277,GradeList,0),0))</f>
        <v>6</v>
      </c>
      <c r="O277" s="64" t="n">
        <f aca="false">IF(OR($I277="",$I277="NR"),0,IFERROR(MATCH($I277,GradeList,0),0))</f>
        <v>8</v>
      </c>
      <c r="P277" s="64" t="n">
        <f aca="false">IF(AND($M277&gt;0,ISNUMBER(MATCH($F277,Lists!$A$2:$A$5,0)),ISNUMBER(MATCH($G277,Lists!$B$2:$B$7,0)),OR($H277="",$N277&gt;0),OR($I277="",$I277="NR",$O277&gt;0),IF(ISNUMBER($J277),AND($J277&gt;=0,$J277=INT($J277)),FALSE())),$J277,0)</f>
        <v>2</v>
      </c>
      <c r="Q277" s="64" t="n">
        <f aca="false">IF(AND($P277&gt;0,$O277&gt;0),$P277,0)</f>
        <v>2</v>
      </c>
      <c r="R277" s="64" t="n">
        <f aca="false">IF(AND($Q277&gt;0,$O277&gt;=AtRank),$Q277,0)</f>
        <v>2</v>
      </c>
      <c r="S277" s="64" t="n">
        <f aca="false">IF(AND($Q277&gt;0,$O277&gt;=AboveRank),$Q277,0)</f>
        <v>2</v>
      </c>
      <c r="T277" s="64" t="n">
        <f aca="false">IF($K277="Less",$P277,0)</f>
        <v>0</v>
      </c>
      <c r="U277" s="64" t="n">
        <f aca="false">IF($K277="Expected",$P277,0)</f>
        <v>0</v>
      </c>
      <c r="V277" s="64" t="n">
        <f aca="false">IF($K277="Better",$P277,0)</f>
        <v>2</v>
      </c>
      <c r="W277" s="64" t="n">
        <f aca="false">IF($K277="U – needs rule",$P277,0)</f>
        <v>0</v>
      </c>
      <c r="X277" s="64" t="n">
        <f aca="false">IF($K277="No Start (attainment only)",$P277,0)</f>
        <v>0</v>
      </c>
    </row>
    <row r="278" customFormat="false" ht="15" hidden="false" customHeight="false" outlineLevel="0" collapsed="false">
      <c r="A278" s="60" t="s">
        <v>780</v>
      </c>
      <c r="B278" s="61" t="str">
        <f aca="false">IF($M278=0,"",INDEX(Classes!$E$6:$E$420,$M278))</f>
        <v>Arabic A</v>
      </c>
      <c r="C278" s="62" t="str">
        <f aca="false">IF($M278=0,"",INDEX(Classes!$H$6:$H$420,$M278))</f>
        <v>Mr Aly Abdelmonem Hasan</v>
      </c>
      <c r="D278" s="61" t="str">
        <f aca="false">IF($M278=0,"",INDEX(Classes!$B$6:$B$420,$M278))</f>
        <v>Year 10</v>
      </c>
      <c r="E278" s="61" t="str">
        <f aca="false">IF($M278=0,"",INDEX(Classes!$C$6:$C$420,$M278))</f>
        <v>ah</v>
      </c>
      <c r="F278" s="63" t="s">
        <v>107</v>
      </c>
      <c r="G278" s="63" t="s">
        <v>108</v>
      </c>
      <c r="H278" s="60" t="s">
        <v>201</v>
      </c>
      <c r="I278" s="60" t="s">
        <v>201</v>
      </c>
      <c r="J278" s="63" t="n">
        <v>1</v>
      </c>
      <c r="K278" s="61" t="str">
        <f aca="false">IF($P278=0,"",IF($F278="Baseline","— Baseline",IF($O278=0,"No result",IF($N278=0,"No Start (attainment only)",IF(OR($N278=1,$O278=1),"U – needs rule",INDEX(MxBody,MATCH($I278,MxCurr,0),MATCH($H278,MxStart,0)))))))</f>
        <v>Expected</v>
      </c>
      <c r="L278" s="62" t="str">
        <f aca="false">IF(COUNTA($A278,$F278,$G278,$H278,$I278,$J278)=0,"",IF($M278=0,"✖ كود الصف غير موجود",IF(ISNA(MATCH($F278,Lists!$A$2:$A$5,0)),"✖ الفترة غير صحيحة",IF(ISNA(MATCH($G278,Lists!$B$2:$B$7,0)),"✖ المجموعة غير صحيحة",IF(NOT(OR($H278="",$N278&gt;0)),"✖ Start غير صحيح",IF(NOT(OR($I278="",$I278="NR",$O278&gt;0)),"✖ Current غير صحيح",IF(NOT(IF(ISNUMBER($J278),AND($J278&gt;=0,$J278=INT($J278)),FALSE())),"✖ العدد يجب أن يكون صحيحًا ≥ 0",IF(AND($F278="Baseline",$H278&lt;&gt;""),"⚠ Baseline: Start لا يدخل في التقدم",IF($K278="No Start (attainment only)","ℹ تحصيل فقط (بدون Start)",IF($K278="U – needs rule","ℹ حالة U تحتاج قاعدة معتمدة",IF($K278="No result","ℹ بدون نتيجة (يُستبعد من التحصيل)","OK")))))))))))</f>
        <v>OK</v>
      </c>
      <c r="M278" s="64" t="n">
        <f aca="false">IF($A278="",0,IFERROR(MATCH($A278,Classes!$A$6:$A$420,0),0))</f>
        <v>284</v>
      </c>
      <c r="N278" s="64" t="n">
        <f aca="false">IF($H278="",0,IFERROR(MATCH($H278,GradeList,0),0))</f>
        <v>6</v>
      </c>
      <c r="O278" s="64" t="n">
        <f aca="false">IF(OR($I278="",$I278="NR"),0,IFERROR(MATCH($I278,GradeList,0),0))</f>
        <v>6</v>
      </c>
      <c r="P278" s="64" t="n">
        <f aca="false">IF(AND($M278&gt;0,ISNUMBER(MATCH($F278,Lists!$A$2:$A$5,0)),ISNUMBER(MATCH($G278,Lists!$B$2:$B$7,0)),OR($H278="",$N278&gt;0),OR($I278="",$I278="NR",$O278&gt;0),IF(ISNUMBER($J278),AND($J278&gt;=0,$J278=INT($J278)),FALSE())),$J278,0)</f>
        <v>1</v>
      </c>
      <c r="Q278" s="64" t="n">
        <f aca="false">IF(AND($P278&gt;0,$O278&gt;0),$P278,0)</f>
        <v>1</v>
      </c>
      <c r="R278" s="64" t="n">
        <f aca="false">IF(AND($Q278&gt;0,$O278&gt;=AtRank),$Q278,0)</f>
        <v>1</v>
      </c>
      <c r="S278" s="64" t="n">
        <f aca="false">IF(AND($Q278&gt;0,$O278&gt;=AboveRank),$Q278,0)</f>
        <v>0</v>
      </c>
      <c r="T278" s="64" t="n">
        <f aca="false">IF($K278="Less",$P278,0)</f>
        <v>0</v>
      </c>
      <c r="U278" s="64" t="n">
        <f aca="false">IF($K278="Expected",$P278,0)</f>
        <v>1</v>
      </c>
      <c r="V278" s="64" t="n">
        <f aca="false">IF($K278="Better",$P278,0)</f>
        <v>0</v>
      </c>
      <c r="W278" s="64" t="n">
        <f aca="false">IF($K278="U – needs rule",$P278,0)</f>
        <v>0</v>
      </c>
      <c r="X278" s="64" t="n">
        <f aca="false">IF($K278="No Start (attainment only)",$P278,0)</f>
        <v>0</v>
      </c>
    </row>
    <row r="279" customFormat="false" ht="15" hidden="false" customHeight="false" outlineLevel="0" collapsed="false">
      <c r="A279" s="60" t="s">
        <v>780</v>
      </c>
      <c r="B279" s="61" t="str">
        <f aca="false">IF($M279=0,"",INDEX(Classes!$E$6:$E$420,$M279))</f>
        <v>Arabic A</v>
      </c>
      <c r="C279" s="62" t="str">
        <f aca="false">IF($M279=0,"",INDEX(Classes!$H$6:$H$420,$M279))</f>
        <v>Mr Aly Abdelmonem Hasan</v>
      </c>
      <c r="D279" s="61" t="str">
        <f aca="false">IF($M279=0,"",INDEX(Classes!$B$6:$B$420,$M279))</f>
        <v>Year 10</v>
      </c>
      <c r="E279" s="61" t="str">
        <f aca="false">IF($M279=0,"",INDEX(Classes!$C$6:$C$420,$M279))</f>
        <v>ah</v>
      </c>
      <c r="F279" s="63" t="s">
        <v>107</v>
      </c>
      <c r="G279" s="63" t="s">
        <v>108</v>
      </c>
      <c r="H279" s="60" t="s">
        <v>199</v>
      </c>
      <c r="I279" s="60" t="s">
        <v>200</v>
      </c>
      <c r="J279" s="63" t="n">
        <v>3</v>
      </c>
      <c r="K279" s="61" t="str">
        <f aca="false">IF($P279=0,"",IF($F279="Baseline","— Baseline",IF($O279=0,"No result",IF($N279=0,"No Start (attainment only)",IF(OR($N279=1,$O279=1),"U – needs rule",INDEX(MxBody,MATCH($I279,MxCurr,0),MATCH($H279,MxStart,0)))))))</f>
        <v>Better</v>
      </c>
      <c r="L279" s="62" t="str">
        <f aca="false">IF(COUNTA($A279,$F279,$G279,$H279,$I279,$J279)=0,"",IF($M279=0,"✖ كود الصف غير موجود",IF(ISNA(MATCH($F279,Lists!$A$2:$A$5,0)),"✖ الفترة غير صحيحة",IF(ISNA(MATCH($G279,Lists!$B$2:$B$7,0)),"✖ المجموعة غير صحيحة",IF(NOT(OR($H279="",$N279&gt;0)),"✖ Start غير صحيح",IF(NOT(OR($I279="",$I279="NR",$O279&gt;0)),"✖ Current غير صحيح",IF(NOT(IF(ISNUMBER($J279),AND($J279&gt;=0,$J279=INT($J279)),FALSE())),"✖ العدد يجب أن يكون صحيحًا ≥ 0",IF(AND($F279="Baseline",$H279&lt;&gt;""),"⚠ Baseline: Start لا يدخل في التقدم",IF($K279="No Start (attainment only)","ℹ تحصيل فقط (بدون Start)",IF($K279="U – needs rule","ℹ حالة U تحتاج قاعدة معتمدة",IF($K279="No result","ℹ بدون نتيجة (يُستبعد من التحصيل)","OK")))))))))))</f>
        <v>OK</v>
      </c>
      <c r="M279" s="64" t="n">
        <f aca="false">IF($A279="",0,IFERROR(MATCH($A279,Classes!$A$6:$A$420,0),0))</f>
        <v>284</v>
      </c>
      <c r="N279" s="64" t="n">
        <f aca="false">IF($H279="",0,IFERROR(MATCH($H279,GradeList,0),0))</f>
        <v>4</v>
      </c>
      <c r="O279" s="64" t="n">
        <f aca="false">IF(OR($I279="",$I279="NR"),0,IFERROR(MATCH($I279,GradeList,0),0))</f>
        <v>5</v>
      </c>
      <c r="P279" s="64" t="n">
        <f aca="false">IF(AND($M279&gt;0,ISNUMBER(MATCH($F279,Lists!$A$2:$A$5,0)),ISNUMBER(MATCH($G279,Lists!$B$2:$B$7,0)),OR($H279="",$N279&gt;0),OR($I279="",$I279="NR",$O279&gt;0),IF(ISNUMBER($J279),AND($J279&gt;=0,$J279=INT($J279)),FALSE())),$J279,0)</f>
        <v>3</v>
      </c>
      <c r="Q279" s="64" t="n">
        <f aca="false">IF(AND($P279&gt;0,$O279&gt;0),$P279,0)</f>
        <v>3</v>
      </c>
      <c r="R279" s="64" t="n">
        <f aca="false">IF(AND($Q279&gt;0,$O279&gt;=AtRank),$Q279,0)</f>
        <v>3</v>
      </c>
      <c r="S279" s="64" t="n">
        <f aca="false">IF(AND($Q279&gt;0,$O279&gt;=AboveRank),$Q279,0)</f>
        <v>0</v>
      </c>
      <c r="T279" s="64" t="n">
        <f aca="false">IF($K279="Less",$P279,0)</f>
        <v>0</v>
      </c>
      <c r="U279" s="64" t="n">
        <f aca="false">IF($K279="Expected",$P279,0)</f>
        <v>0</v>
      </c>
      <c r="V279" s="64" t="n">
        <f aca="false">IF($K279="Better",$P279,0)</f>
        <v>3</v>
      </c>
      <c r="W279" s="64" t="n">
        <f aca="false">IF($K279="U – needs rule",$P279,0)</f>
        <v>0</v>
      </c>
      <c r="X279" s="64" t="n">
        <f aca="false">IF($K279="No Start (attainment only)",$P279,0)</f>
        <v>0</v>
      </c>
    </row>
    <row r="280" customFormat="false" ht="15" hidden="false" customHeight="false" outlineLevel="0" collapsed="false">
      <c r="A280" s="60" t="s">
        <v>780</v>
      </c>
      <c r="B280" s="61" t="str">
        <f aca="false">IF($M280=0,"",INDEX(Classes!$E$6:$E$420,$M280))</f>
        <v>Arabic A</v>
      </c>
      <c r="C280" s="62" t="str">
        <f aca="false">IF($M280=0,"",INDEX(Classes!$H$6:$H$420,$M280))</f>
        <v>Mr Aly Abdelmonem Hasan</v>
      </c>
      <c r="D280" s="61" t="str">
        <f aca="false">IF($M280=0,"",INDEX(Classes!$B$6:$B$420,$M280))</f>
        <v>Year 10</v>
      </c>
      <c r="E280" s="61" t="str">
        <f aca="false">IF($M280=0,"",INDEX(Classes!$C$6:$C$420,$M280))</f>
        <v>ah</v>
      </c>
      <c r="F280" s="63" t="s">
        <v>107</v>
      </c>
      <c r="G280" s="63" t="s">
        <v>108</v>
      </c>
      <c r="H280" s="60" t="s">
        <v>199</v>
      </c>
      <c r="I280" s="60" t="s">
        <v>1019</v>
      </c>
      <c r="J280" s="63" t="n">
        <v>1</v>
      </c>
      <c r="K280" s="61" t="str">
        <f aca="false">IF($P280=0,"",IF($F280="Baseline","— Baseline",IF($O280=0,"No result",IF($N280=0,"No Start (attainment only)",IF(OR($N280=1,$O280=1),"U – needs rule",INDEX(MxBody,MATCH($I280,MxCurr,0),MATCH($H280,MxStart,0)))))))</f>
        <v>No result</v>
      </c>
      <c r="L280" s="62" t="str">
        <f aca="false">IF(COUNTA($A280,$F280,$G280,$H280,$I280,$J280)=0,"",IF($M280=0,"✖ كود الصف غير موجود",IF(ISNA(MATCH($F280,Lists!$A$2:$A$5,0)),"✖ الفترة غير صحيحة",IF(ISNA(MATCH($G280,Lists!$B$2:$B$7,0)),"✖ المجموعة غير صحيحة",IF(NOT(OR($H280="",$N280&gt;0)),"✖ Start غير صحيح",IF(NOT(OR($I280="",$I280="NR",$O280&gt;0)),"✖ Current غير صحيح",IF(NOT(IF(ISNUMBER($J280),AND($J280&gt;=0,$J280=INT($J280)),FALSE())),"✖ العدد يجب أن يكون صحيحًا ≥ 0",IF(AND($F280="Baseline",$H280&lt;&gt;""),"⚠ Baseline: Start لا يدخل في التقدم",IF($K280="No Start (attainment only)","ℹ تحصيل فقط (بدون Start)",IF($K280="U – needs rule","ℹ حالة U تحتاج قاعدة معتمدة",IF($K280="No result","ℹ بدون نتيجة (يُستبعد من التحصيل)","OK")))))))))))</f>
        <v>ℹ بدون نتيجة (يُستبعد من التحصيل)</v>
      </c>
      <c r="M280" s="64" t="n">
        <f aca="false">IF($A280="",0,IFERROR(MATCH($A280,Classes!$A$6:$A$420,0),0))</f>
        <v>284</v>
      </c>
      <c r="N280" s="64" t="n">
        <f aca="false">IF($H280="",0,IFERROR(MATCH($H280,GradeList,0),0))</f>
        <v>4</v>
      </c>
      <c r="O280" s="64" t="n">
        <f aca="false">IF(OR($I280="",$I280="NR"),0,IFERROR(MATCH($I280,GradeList,0),0))</f>
        <v>0</v>
      </c>
      <c r="P280" s="64" t="n">
        <f aca="false">IF(AND($M280&gt;0,ISNUMBER(MATCH($F280,Lists!$A$2:$A$5,0)),ISNUMBER(MATCH($G280,Lists!$B$2:$B$7,0)),OR($H280="",$N280&gt;0),OR($I280="",$I280="NR",$O280&gt;0),IF(ISNUMBER($J280),AND($J280&gt;=0,$J280=INT($J280)),FALSE())),$J280,0)</f>
        <v>1</v>
      </c>
      <c r="Q280" s="64" t="n">
        <f aca="false">IF(AND($P280&gt;0,$O280&gt;0),$P280,0)</f>
        <v>0</v>
      </c>
      <c r="R280" s="64" t="n">
        <f aca="false">IF(AND($Q280&gt;0,$O280&gt;=AtRank),$Q280,0)</f>
        <v>0</v>
      </c>
      <c r="S280" s="64" t="n">
        <f aca="false">IF(AND($Q280&gt;0,$O280&gt;=AboveRank),$Q280,0)</f>
        <v>0</v>
      </c>
      <c r="T280" s="64" t="n">
        <f aca="false">IF($K280="Less",$P280,0)</f>
        <v>0</v>
      </c>
      <c r="U280" s="64" t="n">
        <f aca="false">IF($K280="Expected",$P280,0)</f>
        <v>0</v>
      </c>
      <c r="V280" s="64" t="n">
        <f aca="false">IF($K280="Better",$P280,0)</f>
        <v>0</v>
      </c>
      <c r="W280" s="64" t="n">
        <f aca="false">IF($K280="U – needs rule",$P280,0)</f>
        <v>0</v>
      </c>
      <c r="X280" s="64" t="n">
        <f aca="false">IF($K280="No Start (attainment only)",$P280,0)</f>
        <v>0</v>
      </c>
    </row>
    <row r="281" customFormat="false" ht="15" hidden="false" customHeight="false" outlineLevel="0" collapsed="false">
      <c r="A281" s="60" t="s">
        <v>780</v>
      </c>
      <c r="B281" s="61" t="str">
        <f aca="false">IF($M281=0,"",INDEX(Classes!$E$6:$E$420,$M281))</f>
        <v>Arabic A</v>
      </c>
      <c r="C281" s="62" t="str">
        <f aca="false">IF($M281=0,"",INDEX(Classes!$H$6:$H$420,$M281))</f>
        <v>Mr Aly Abdelmonem Hasan</v>
      </c>
      <c r="D281" s="61" t="str">
        <f aca="false">IF($M281=0,"",INDEX(Classes!$B$6:$B$420,$M281))</f>
        <v>Year 10</v>
      </c>
      <c r="E281" s="61" t="str">
        <f aca="false">IF($M281=0,"",INDEX(Classes!$C$6:$C$420,$M281))</f>
        <v>ah</v>
      </c>
      <c r="F281" s="63" t="s">
        <v>107</v>
      </c>
      <c r="G281" s="63" t="s">
        <v>108</v>
      </c>
      <c r="H281" s="60" t="s">
        <v>199</v>
      </c>
      <c r="I281" s="60" t="s">
        <v>199</v>
      </c>
      <c r="J281" s="63" t="n">
        <v>3</v>
      </c>
      <c r="K281" s="61" t="str">
        <f aca="false">IF($P281=0,"",IF($F281="Baseline","— Baseline",IF($O281=0,"No result",IF($N281=0,"No Start (attainment only)",IF(OR($N281=1,$O281=1),"U – needs rule",INDEX(MxBody,MATCH($I281,MxCurr,0),MATCH($H281,MxStart,0)))))))</f>
        <v>Expected</v>
      </c>
      <c r="L281" s="62" t="str">
        <f aca="false">IF(COUNTA($A281,$F281,$G281,$H281,$I281,$J281)=0,"",IF($M281=0,"✖ كود الصف غير موجود",IF(ISNA(MATCH($F281,Lists!$A$2:$A$5,0)),"✖ الفترة غير صحيحة",IF(ISNA(MATCH($G281,Lists!$B$2:$B$7,0)),"✖ المجموعة غير صحيحة",IF(NOT(OR($H281="",$N281&gt;0)),"✖ Start غير صحيح",IF(NOT(OR($I281="",$I281="NR",$O281&gt;0)),"✖ Current غير صحيح",IF(NOT(IF(ISNUMBER($J281),AND($J281&gt;=0,$J281=INT($J281)),FALSE())),"✖ العدد يجب أن يكون صحيحًا ≥ 0",IF(AND($F281="Baseline",$H281&lt;&gt;""),"⚠ Baseline: Start لا يدخل في التقدم",IF($K281="No Start (attainment only)","ℹ تحصيل فقط (بدون Start)",IF($K281="U – needs rule","ℹ حالة U تحتاج قاعدة معتمدة",IF($K281="No result","ℹ بدون نتيجة (يُستبعد من التحصيل)","OK")))))))))))</f>
        <v>OK</v>
      </c>
      <c r="M281" s="64" t="n">
        <f aca="false">IF($A281="",0,IFERROR(MATCH($A281,Classes!$A$6:$A$420,0),0))</f>
        <v>284</v>
      </c>
      <c r="N281" s="64" t="n">
        <f aca="false">IF($H281="",0,IFERROR(MATCH($H281,GradeList,0),0))</f>
        <v>4</v>
      </c>
      <c r="O281" s="64" t="n">
        <f aca="false">IF(OR($I281="",$I281="NR"),0,IFERROR(MATCH($I281,GradeList,0),0))</f>
        <v>4</v>
      </c>
      <c r="P281" s="64" t="n">
        <f aca="false">IF(AND($M281&gt;0,ISNUMBER(MATCH($F281,Lists!$A$2:$A$5,0)),ISNUMBER(MATCH($G281,Lists!$B$2:$B$7,0)),OR($H281="",$N281&gt;0),OR($I281="",$I281="NR",$O281&gt;0),IF(ISNUMBER($J281),AND($J281&gt;=0,$J281=INT($J281)),FALSE())),$J281,0)</f>
        <v>3</v>
      </c>
      <c r="Q281" s="64" t="n">
        <f aca="false">IF(AND($P281&gt;0,$O281&gt;0),$P281,0)</f>
        <v>3</v>
      </c>
      <c r="R281" s="64" t="n">
        <f aca="false">IF(AND($Q281&gt;0,$O281&gt;=AtRank),$Q281,0)</f>
        <v>0</v>
      </c>
      <c r="S281" s="64" t="n">
        <f aca="false">IF(AND($Q281&gt;0,$O281&gt;=AboveRank),$Q281,0)</f>
        <v>0</v>
      </c>
      <c r="T281" s="64" t="n">
        <f aca="false">IF($K281="Less",$P281,0)</f>
        <v>0</v>
      </c>
      <c r="U281" s="64" t="n">
        <f aca="false">IF($K281="Expected",$P281,0)</f>
        <v>3</v>
      </c>
      <c r="V281" s="64" t="n">
        <f aca="false">IF($K281="Better",$P281,0)</f>
        <v>0</v>
      </c>
      <c r="W281" s="64" t="n">
        <f aca="false">IF($K281="U – needs rule",$P281,0)</f>
        <v>0</v>
      </c>
      <c r="X281" s="64" t="n">
        <f aca="false">IF($K281="No Start (attainment only)",$P281,0)</f>
        <v>0</v>
      </c>
    </row>
    <row r="282" customFormat="false" ht="15" hidden="false" customHeight="false" outlineLevel="0" collapsed="false">
      <c r="A282" s="60" t="s">
        <v>780</v>
      </c>
      <c r="B282" s="61" t="str">
        <f aca="false">IF($M282=0,"",INDEX(Classes!$E$6:$E$420,$M282))</f>
        <v>Arabic A</v>
      </c>
      <c r="C282" s="62" t="str">
        <f aca="false">IF($M282=0,"",INDEX(Classes!$H$6:$H$420,$M282))</f>
        <v>Mr Aly Abdelmonem Hasan</v>
      </c>
      <c r="D282" s="61" t="str">
        <f aca="false">IF($M282=0,"",INDEX(Classes!$B$6:$B$420,$M282))</f>
        <v>Year 10</v>
      </c>
      <c r="E282" s="61" t="str">
        <f aca="false">IF($M282=0,"",INDEX(Classes!$C$6:$C$420,$M282))</f>
        <v>ah</v>
      </c>
      <c r="F282" s="63" t="s">
        <v>107</v>
      </c>
      <c r="G282" s="63" t="s">
        <v>1015</v>
      </c>
      <c r="H282" s="60" t="s">
        <v>202</v>
      </c>
      <c r="I282" s="60" t="s">
        <v>201</v>
      </c>
      <c r="J282" s="63" t="n">
        <v>1</v>
      </c>
      <c r="K282" s="61" t="str">
        <f aca="false">IF($P282=0,"",IF($F282="Baseline","— Baseline",IF($O282=0,"No result",IF($N282=0,"No Start (attainment only)",IF(OR($N282=1,$O282=1),"U – needs rule",INDEX(MxBody,MATCH($I282,MxCurr,0),MATCH($H282,MxStart,0)))))))</f>
        <v>Expected</v>
      </c>
      <c r="L282" s="62" t="str">
        <f aca="false">IF(COUNTA($A282,$F282,$G282,$H282,$I282,$J282)=0,"",IF($M282=0,"✖ كود الصف غير موجود",IF(ISNA(MATCH($F282,Lists!$A$2:$A$5,0)),"✖ الفترة غير صحيحة",IF(ISNA(MATCH($G282,Lists!$B$2:$B$7,0)),"✖ المجموعة غير صحيحة",IF(NOT(OR($H282="",$N282&gt;0)),"✖ Start غير صحيح",IF(NOT(OR($I282="",$I282="NR",$O282&gt;0)),"✖ Current غير صحيح",IF(NOT(IF(ISNUMBER($J282),AND($J282&gt;=0,$J282=INT($J282)),FALSE())),"✖ العدد يجب أن يكون صحيحًا ≥ 0",IF(AND($F282="Baseline",$H282&lt;&gt;""),"⚠ Baseline: Start لا يدخل في التقدم",IF($K282="No Start (attainment only)","ℹ تحصيل فقط (بدون Start)",IF($K282="U – needs rule","ℹ حالة U تحتاج قاعدة معتمدة",IF($K282="No result","ℹ بدون نتيجة (يُستبعد من التحصيل)","OK")))))))))))</f>
        <v>OK</v>
      </c>
      <c r="M282" s="64" t="n">
        <f aca="false">IF($A282="",0,IFERROR(MATCH($A282,Classes!$A$6:$A$420,0),0))</f>
        <v>284</v>
      </c>
      <c r="N282" s="64" t="n">
        <f aca="false">IF($H282="",0,IFERROR(MATCH($H282,GradeList,0),0))</f>
        <v>7</v>
      </c>
      <c r="O282" s="64" t="n">
        <f aca="false">IF(OR($I282="",$I282="NR"),0,IFERROR(MATCH($I282,GradeList,0),0))</f>
        <v>6</v>
      </c>
      <c r="P282" s="64" t="n">
        <f aca="false">IF(AND($M282&gt;0,ISNUMBER(MATCH($F282,Lists!$A$2:$A$5,0)),ISNUMBER(MATCH($G282,Lists!$B$2:$B$7,0)),OR($H282="",$N282&gt;0),OR($I282="",$I282="NR",$O282&gt;0),IF(ISNUMBER($J282),AND($J282&gt;=0,$J282=INT($J282)),FALSE())),$J282,0)</f>
        <v>1</v>
      </c>
      <c r="Q282" s="64" t="n">
        <f aca="false">IF(AND($P282&gt;0,$O282&gt;0),$P282,0)</f>
        <v>1</v>
      </c>
      <c r="R282" s="64" t="n">
        <f aca="false">IF(AND($Q282&gt;0,$O282&gt;=AtRank),$Q282,0)</f>
        <v>1</v>
      </c>
      <c r="S282" s="64" t="n">
        <f aca="false">IF(AND($Q282&gt;0,$O282&gt;=AboveRank),$Q282,0)</f>
        <v>0</v>
      </c>
      <c r="T282" s="64" t="n">
        <f aca="false">IF($K282="Less",$P282,0)</f>
        <v>0</v>
      </c>
      <c r="U282" s="64" t="n">
        <f aca="false">IF($K282="Expected",$P282,0)</f>
        <v>1</v>
      </c>
      <c r="V282" s="64" t="n">
        <f aca="false">IF($K282="Better",$P282,0)</f>
        <v>0</v>
      </c>
      <c r="W282" s="64" t="n">
        <f aca="false">IF($K282="U – needs rule",$P282,0)</f>
        <v>0</v>
      </c>
      <c r="X282" s="64" t="n">
        <f aca="false">IF($K282="No Start (attainment only)",$P282,0)</f>
        <v>0</v>
      </c>
    </row>
    <row r="283" customFormat="false" ht="15" hidden="false" customHeight="false" outlineLevel="0" collapsed="false">
      <c r="A283" s="60" t="s">
        <v>780</v>
      </c>
      <c r="B283" s="61" t="str">
        <f aca="false">IF($M283=0,"",INDEX(Classes!$E$6:$E$420,$M283))</f>
        <v>Arabic A</v>
      </c>
      <c r="C283" s="62" t="str">
        <f aca="false">IF($M283=0,"",INDEX(Classes!$H$6:$H$420,$M283))</f>
        <v>Mr Aly Abdelmonem Hasan</v>
      </c>
      <c r="D283" s="61" t="str">
        <f aca="false">IF($M283=0,"",INDEX(Classes!$B$6:$B$420,$M283))</f>
        <v>Year 10</v>
      </c>
      <c r="E283" s="61" t="str">
        <f aca="false">IF($M283=0,"",INDEX(Classes!$C$6:$C$420,$M283))</f>
        <v>ah</v>
      </c>
      <c r="F283" s="63" t="s">
        <v>107</v>
      </c>
      <c r="G283" s="63" t="s">
        <v>1015</v>
      </c>
      <c r="H283" s="60" t="s">
        <v>200</v>
      </c>
      <c r="I283" s="60" t="s">
        <v>200</v>
      </c>
      <c r="J283" s="63" t="n">
        <v>1</v>
      </c>
      <c r="K283" s="61" t="str">
        <f aca="false">IF($P283=0,"",IF($F283="Baseline","— Baseline",IF($O283=0,"No result",IF($N283=0,"No Start (attainment only)",IF(OR($N283=1,$O283=1),"U – needs rule",INDEX(MxBody,MATCH($I283,MxCurr,0),MATCH($H283,MxStart,0)))))))</f>
        <v>Expected</v>
      </c>
      <c r="L283" s="62" t="str">
        <f aca="false">IF(COUNTA($A283,$F283,$G283,$H283,$I283,$J283)=0,"",IF($M283=0,"✖ كود الصف غير موجود",IF(ISNA(MATCH($F283,Lists!$A$2:$A$5,0)),"✖ الفترة غير صحيحة",IF(ISNA(MATCH($G283,Lists!$B$2:$B$7,0)),"✖ المجموعة غير صحيحة",IF(NOT(OR($H283="",$N283&gt;0)),"✖ Start غير صحيح",IF(NOT(OR($I283="",$I283="NR",$O283&gt;0)),"✖ Current غير صحيح",IF(NOT(IF(ISNUMBER($J283),AND($J283&gt;=0,$J283=INT($J283)),FALSE())),"✖ العدد يجب أن يكون صحيحًا ≥ 0",IF(AND($F283="Baseline",$H283&lt;&gt;""),"⚠ Baseline: Start لا يدخل في التقدم",IF($K283="No Start (attainment only)","ℹ تحصيل فقط (بدون Start)",IF($K283="U – needs rule","ℹ حالة U تحتاج قاعدة معتمدة",IF($K283="No result","ℹ بدون نتيجة (يُستبعد من التحصيل)","OK")))))))))))</f>
        <v>OK</v>
      </c>
      <c r="M283" s="64" t="n">
        <f aca="false">IF($A283="",0,IFERROR(MATCH($A283,Classes!$A$6:$A$420,0),0))</f>
        <v>284</v>
      </c>
      <c r="N283" s="64" t="n">
        <f aca="false">IF($H283="",0,IFERROR(MATCH($H283,GradeList,0),0))</f>
        <v>5</v>
      </c>
      <c r="O283" s="64" t="n">
        <f aca="false">IF(OR($I283="",$I283="NR"),0,IFERROR(MATCH($I283,GradeList,0),0))</f>
        <v>5</v>
      </c>
      <c r="P283" s="64" t="n">
        <f aca="false">IF(AND($M283&gt;0,ISNUMBER(MATCH($F283,Lists!$A$2:$A$5,0)),ISNUMBER(MATCH($G283,Lists!$B$2:$B$7,0)),OR($H283="",$N283&gt;0),OR($I283="",$I283="NR",$O283&gt;0),IF(ISNUMBER($J283),AND($J283&gt;=0,$J283=INT($J283)),FALSE())),$J283,0)</f>
        <v>1</v>
      </c>
      <c r="Q283" s="64" t="n">
        <f aca="false">IF(AND($P283&gt;0,$O283&gt;0),$P283,0)</f>
        <v>1</v>
      </c>
      <c r="R283" s="64" t="n">
        <f aca="false">IF(AND($Q283&gt;0,$O283&gt;=AtRank),$Q283,0)</f>
        <v>1</v>
      </c>
      <c r="S283" s="64" t="n">
        <f aca="false">IF(AND($Q283&gt;0,$O283&gt;=AboveRank),$Q283,0)</f>
        <v>0</v>
      </c>
      <c r="T283" s="64" t="n">
        <f aca="false">IF($K283="Less",$P283,0)</f>
        <v>0</v>
      </c>
      <c r="U283" s="64" t="n">
        <f aca="false">IF($K283="Expected",$P283,0)</f>
        <v>1</v>
      </c>
      <c r="V283" s="64" t="n">
        <f aca="false">IF($K283="Better",$P283,0)</f>
        <v>0</v>
      </c>
      <c r="W283" s="64" t="n">
        <f aca="false">IF($K283="U – needs rule",$P283,0)</f>
        <v>0</v>
      </c>
      <c r="X283" s="64" t="n">
        <f aca="false">IF($K283="No Start (attainment only)",$P283,0)</f>
        <v>0</v>
      </c>
    </row>
    <row r="284" customFormat="false" ht="15" hidden="false" customHeight="false" outlineLevel="0" collapsed="false">
      <c r="A284" s="60" t="s">
        <v>780</v>
      </c>
      <c r="B284" s="61" t="str">
        <f aca="false">IF($M284=0,"",INDEX(Classes!$E$6:$E$420,$M284))</f>
        <v>Arabic A</v>
      </c>
      <c r="C284" s="62" t="str">
        <f aca="false">IF($M284=0,"",INDEX(Classes!$H$6:$H$420,$M284))</f>
        <v>Mr Aly Abdelmonem Hasan</v>
      </c>
      <c r="D284" s="61" t="str">
        <f aca="false">IF($M284=0,"",INDEX(Classes!$B$6:$B$420,$M284))</f>
        <v>Year 10</v>
      </c>
      <c r="E284" s="61" t="str">
        <f aca="false">IF($M284=0,"",INDEX(Classes!$C$6:$C$420,$M284))</f>
        <v>ah</v>
      </c>
      <c r="F284" s="63" t="s">
        <v>107</v>
      </c>
      <c r="G284" s="63" t="s">
        <v>1015</v>
      </c>
      <c r="H284" s="60" t="s">
        <v>200</v>
      </c>
      <c r="I284" s="60" t="s">
        <v>201</v>
      </c>
      <c r="J284" s="63" t="n">
        <v>1</v>
      </c>
      <c r="K284" s="61" t="str">
        <f aca="false">IF($P284=0,"",IF($F284="Baseline","— Baseline",IF($O284=0,"No result",IF($N284=0,"No Start (attainment only)",IF(OR($N284=1,$O284=1),"U – needs rule",INDEX(MxBody,MATCH($I284,MxCurr,0),MATCH($H284,MxStart,0)))))))</f>
        <v>Better</v>
      </c>
      <c r="L284" s="62" t="str">
        <f aca="false">IF(COUNTA($A284,$F284,$G284,$H284,$I284,$J284)=0,"",IF($M284=0,"✖ كود الصف غير موجود",IF(ISNA(MATCH($F284,Lists!$A$2:$A$5,0)),"✖ الفترة غير صحيحة",IF(ISNA(MATCH($G284,Lists!$B$2:$B$7,0)),"✖ المجموعة غير صحيحة",IF(NOT(OR($H284="",$N284&gt;0)),"✖ Start غير صحيح",IF(NOT(OR($I284="",$I284="NR",$O284&gt;0)),"✖ Current غير صحيح",IF(NOT(IF(ISNUMBER($J284),AND($J284&gt;=0,$J284=INT($J284)),FALSE())),"✖ العدد يجب أن يكون صحيحًا ≥ 0",IF(AND($F284="Baseline",$H284&lt;&gt;""),"⚠ Baseline: Start لا يدخل في التقدم",IF($K284="No Start (attainment only)","ℹ تحصيل فقط (بدون Start)",IF($K284="U – needs rule","ℹ حالة U تحتاج قاعدة معتمدة",IF($K284="No result","ℹ بدون نتيجة (يُستبعد من التحصيل)","OK")))))))))))</f>
        <v>OK</v>
      </c>
      <c r="M284" s="64" t="n">
        <f aca="false">IF($A284="",0,IFERROR(MATCH($A284,Classes!$A$6:$A$420,0),0))</f>
        <v>284</v>
      </c>
      <c r="N284" s="64" t="n">
        <f aca="false">IF($H284="",0,IFERROR(MATCH($H284,GradeList,0),0))</f>
        <v>5</v>
      </c>
      <c r="O284" s="64" t="n">
        <f aca="false">IF(OR($I284="",$I284="NR"),0,IFERROR(MATCH($I284,GradeList,0),0))</f>
        <v>6</v>
      </c>
      <c r="P284" s="64" t="n">
        <f aca="false">IF(AND($M284&gt;0,ISNUMBER(MATCH($F284,Lists!$A$2:$A$5,0)),ISNUMBER(MATCH($G284,Lists!$B$2:$B$7,0)),OR($H284="",$N284&gt;0),OR($I284="",$I284="NR",$O284&gt;0),IF(ISNUMBER($J284),AND($J284&gt;=0,$J284=INT($J284)),FALSE())),$J284,0)</f>
        <v>1</v>
      </c>
      <c r="Q284" s="64" t="n">
        <f aca="false">IF(AND($P284&gt;0,$O284&gt;0),$P284,0)</f>
        <v>1</v>
      </c>
      <c r="R284" s="64" t="n">
        <f aca="false">IF(AND($Q284&gt;0,$O284&gt;=AtRank),$Q284,0)</f>
        <v>1</v>
      </c>
      <c r="S284" s="64" t="n">
        <f aca="false">IF(AND($Q284&gt;0,$O284&gt;=AboveRank),$Q284,0)</f>
        <v>0</v>
      </c>
      <c r="T284" s="64" t="n">
        <f aca="false">IF($K284="Less",$P284,0)</f>
        <v>0</v>
      </c>
      <c r="U284" s="64" t="n">
        <f aca="false">IF($K284="Expected",$P284,0)</f>
        <v>0</v>
      </c>
      <c r="V284" s="64" t="n">
        <f aca="false">IF($K284="Better",$P284,0)</f>
        <v>1</v>
      </c>
      <c r="W284" s="64" t="n">
        <f aca="false">IF($K284="U – needs rule",$P284,0)</f>
        <v>0</v>
      </c>
      <c r="X284" s="64" t="n">
        <f aca="false">IF($K284="No Start (attainment only)",$P284,0)</f>
        <v>0</v>
      </c>
    </row>
    <row r="285" customFormat="false" ht="15" hidden="false" customHeight="false" outlineLevel="0" collapsed="false">
      <c r="A285" s="60" t="s">
        <v>780</v>
      </c>
      <c r="B285" s="61" t="str">
        <f aca="false">IF($M285=0,"",INDEX(Classes!$E$6:$E$420,$M285))</f>
        <v>Arabic A</v>
      </c>
      <c r="C285" s="62" t="str">
        <f aca="false">IF($M285=0,"",INDEX(Classes!$H$6:$H$420,$M285))</f>
        <v>Mr Aly Abdelmonem Hasan</v>
      </c>
      <c r="D285" s="61" t="str">
        <f aca="false">IF($M285=0,"",INDEX(Classes!$B$6:$B$420,$M285))</f>
        <v>Year 10</v>
      </c>
      <c r="E285" s="61" t="str">
        <f aca="false">IF($M285=0,"",INDEX(Classes!$C$6:$C$420,$M285))</f>
        <v>ah</v>
      </c>
      <c r="F285" s="63" t="s">
        <v>107</v>
      </c>
      <c r="G285" s="63" t="s">
        <v>1015</v>
      </c>
      <c r="H285" s="60" t="s">
        <v>200</v>
      </c>
      <c r="I285" s="60" t="s">
        <v>196</v>
      </c>
      <c r="J285" s="63" t="n">
        <v>1</v>
      </c>
      <c r="K285" s="61" t="str">
        <f aca="false">IF($P285=0,"",IF($F285="Baseline","— Baseline",IF($O285=0,"No result",IF($N285=0,"No Start (attainment only)",IF(OR($N285=1,$O285=1),"U – needs rule",INDEX(MxBody,MATCH($I285,MxCurr,0),MATCH($H285,MxStart,0)))))))</f>
        <v>U – needs rule</v>
      </c>
      <c r="L285" s="62" t="str">
        <f aca="false">IF(COUNTA($A285,$F285,$G285,$H285,$I285,$J285)=0,"",IF($M285=0,"✖ كود الصف غير موجود",IF(ISNA(MATCH($F285,Lists!$A$2:$A$5,0)),"✖ الفترة غير صحيحة",IF(ISNA(MATCH($G285,Lists!$B$2:$B$7,0)),"✖ المجموعة غير صحيحة",IF(NOT(OR($H285="",$N285&gt;0)),"✖ Start غير صحيح",IF(NOT(OR($I285="",$I285="NR",$O285&gt;0)),"✖ Current غير صحيح",IF(NOT(IF(ISNUMBER($J285),AND($J285&gt;=0,$J285=INT($J285)),FALSE())),"✖ العدد يجب أن يكون صحيحًا ≥ 0",IF(AND($F285="Baseline",$H285&lt;&gt;""),"⚠ Baseline: Start لا يدخل في التقدم",IF($K285="No Start (attainment only)","ℹ تحصيل فقط (بدون Start)",IF($K285="U – needs rule","ℹ حالة U تحتاج قاعدة معتمدة",IF($K285="No result","ℹ بدون نتيجة (يُستبعد من التحصيل)","OK")))))))))))</f>
        <v>ℹ حالة U تحتاج قاعدة معتمدة</v>
      </c>
      <c r="M285" s="64" t="n">
        <f aca="false">IF($A285="",0,IFERROR(MATCH($A285,Classes!$A$6:$A$420,0),0))</f>
        <v>284</v>
      </c>
      <c r="N285" s="64" t="n">
        <f aca="false">IF($H285="",0,IFERROR(MATCH($H285,GradeList,0),0))</f>
        <v>5</v>
      </c>
      <c r="O285" s="64" t="n">
        <f aca="false">IF(OR($I285="",$I285="NR"),0,IFERROR(MATCH($I285,GradeList,0),0))</f>
        <v>1</v>
      </c>
      <c r="P285" s="64" t="n">
        <f aca="false">IF(AND($M285&gt;0,ISNUMBER(MATCH($F285,Lists!$A$2:$A$5,0)),ISNUMBER(MATCH($G285,Lists!$B$2:$B$7,0)),OR($H285="",$N285&gt;0),OR($I285="",$I285="NR",$O285&gt;0),IF(ISNUMBER($J285),AND($J285&gt;=0,$J285=INT($J285)),FALSE())),$J285,0)</f>
        <v>1</v>
      </c>
      <c r="Q285" s="64" t="n">
        <f aca="false">IF(AND($P285&gt;0,$O285&gt;0),$P285,0)</f>
        <v>1</v>
      </c>
      <c r="R285" s="64" t="n">
        <f aca="false">IF(AND($Q285&gt;0,$O285&gt;=AtRank),$Q285,0)</f>
        <v>0</v>
      </c>
      <c r="S285" s="64" t="n">
        <f aca="false">IF(AND($Q285&gt;0,$O285&gt;=AboveRank),$Q285,0)</f>
        <v>0</v>
      </c>
      <c r="T285" s="64" t="n">
        <f aca="false">IF($K285="Less",$P285,0)</f>
        <v>0</v>
      </c>
      <c r="U285" s="64" t="n">
        <f aca="false">IF($K285="Expected",$P285,0)</f>
        <v>0</v>
      </c>
      <c r="V285" s="64" t="n">
        <f aca="false">IF($K285="Better",$P285,0)</f>
        <v>0</v>
      </c>
      <c r="W285" s="64" t="n">
        <f aca="false">IF($K285="U – needs rule",$P285,0)</f>
        <v>1</v>
      </c>
      <c r="X285" s="64" t="n">
        <f aca="false">IF($K285="No Start (attainment only)",$P285,0)</f>
        <v>0</v>
      </c>
    </row>
    <row r="286" customFormat="false" ht="15" hidden="false" customHeight="false" outlineLevel="0" collapsed="false">
      <c r="A286" s="60" t="s">
        <v>780</v>
      </c>
      <c r="B286" s="61" t="str">
        <f aca="false">IF($M286=0,"",INDEX(Classes!$E$6:$E$420,$M286))</f>
        <v>Arabic A</v>
      </c>
      <c r="C286" s="62" t="str">
        <f aca="false">IF($M286=0,"",INDEX(Classes!$H$6:$H$420,$M286))</f>
        <v>Mr Aly Abdelmonem Hasan</v>
      </c>
      <c r="D286" s="61" t="str">
        <f aca="false">IF($M286=0,"",INDEX(Classes!$B$6:$B$420,$M286))</f>
        <v>Year 10</v>
      </c>
      <c r="E286" s="61" t="str">
        <f aca="false">IF($M286=0,"",INDEX(Classes!$C$6:$C$420,$M286))</f>
        <v>ah</v>
      </c>
      <c r="F286" s="63" t="s">
        <v>107</v>
      </c>
      <c r="G286" s="63" t="s">
        <v>1015</v>
      </c>
      <c r="H286" s="60" t="s">
        <v>201</v>
      </c>
      <c r="I286" s="60" t="s">
        <v>201</v>
      </c>
      <c r="J286" s="63" t="n">
        <v>1</v>
      </c>
      <c r="K286" s="61" t="str">
        <f aca="false">IF($P286=0,"",IF($F286="Baseline","— Baseline",IF($O286=0,"No result",IF($N286=0,"No Start (attainment only)",IF(OR($N286=1,$O286=1),"U – needs rule",INDEX(MxBody,MATCH($I286,MxCurr,0),MATCH($H286,MxStart,0)))))))</f>
        <v>Expected</v>
      </c>
      <c r="L286" s="62" t="str">
        <f aca="false">IF(COUNTA($A286,$F286,$G286,$H286,$I286,$J286)=0,"",IF($M286=0,"✖ كود الصف غير موجود",IF(ISNA(MATCH($F286,Lists!$A$2:$A$5,0)),"✖ الفترة غير صحيحة",IF(ISNA(MATCH($G286,Lists!$B$2:$B$7,0)),"✖ المجموعة غير صحيحة",IF(NOT(OR($H286="",$N286&gt;0)),"✖ Start غير صحيح",IF(NOT(OR($I286="",$I286="NR",$O286&gt;0)),"✖ Current غير صحيح",IF(NOT(IF(ISNUMBER($J286),AND($J286&gt;=0,$J286=INT($J286)),FALSE())),"✖ العدد يجب أن يكون صحيحًا ≥ 0",IF(AND($F286="Baseline",$H286&lt;&gt;""),"⚠ Baseline: Start لا يدخل في التقدم",IF($K286="No Start (attainment only)","ℹ تحصيل فقط (بدون Start)",IF($K286="U – needs rule","ℹ حالة U تحتاج قاعدة معتمدة",IF($K286="No result","ℹ بدون نتيجة (يُستبعد من التحصيل)","OK")))))))))))</f>
        <v>OK</v>
      </c>
      <c r="M286" s="64" t="n">
        <f aca="false">IF($A286="",0,IFERROR(MATCH($A286,Classes!$A$6:$A$420,0),0))</f>
        <v>284</v>
      </c>
      <c r="N286" s="64" t="n">
        <f aca="false">IF($H286="",0,IFERROR(MATCH($H286,GradeList,0),0))</f>
        <v>6</v>
      </c>
      <c r="O286" s="64" t="n">
        <f aca="false">IF(OR($I286="",$I286="NR"),0,IFERROR(MATCH($I286,GradeList,0),0))</f>
        <v>6</v>
      </c>
      <c r="P286" s="64" t="n">
        <f aca="false">IF(AND($M286&gt;0,ISNUMBER(MATCH($F286,Lists!$A$2:$A$5,0)),ISNUMBER(MATCH($G286,Lists!$B$2:$B$7,0)),OR($H286="",$N286&gt;0),OR($I286="",$I286="NR",$O286&gt;0),IF(ISNUMBER($J286),AND($J286&gt;=0,$J286=INT($J286)),FALSE())),$J286,0)</f>
        <v>1</v>
      </c>
      <c r="Q286" s="64" t="n">
        <f aca="false">IF(AND($P286&gt;0,$O286&gt;0),$P286,0)</f>
        <v>1</v>
      </c>
      <c r="R286" s="64" t="n">
        <f aca="false">IF(AND($Q286&gt;0,$O286&gt;=AtRank),$Q286,0)</f>
        <v>1</v>
      </c>
      <c r="S286" s="64" t="n">
        <f aca="false">IF(AND($Q286&gt;0,$O286&gt;=AboveRank),$Q286,0)</f>
        <v>0</v>
      </c>
      <c r="T286" s="64" t="n">
        <f aca="false">IF($K286="Less",$P286,0)</f>
        <v>0</v>
      </c>
      <c r="U286" s="64" t="n">
        <f aca="false">IF($K286="Expected",$P286,0)</f>
        <v>1</v>
      </c>
      <c r="V286" s="64" t="n">
        <f aca="false">IF($K286="Better",$P286,0)</f>
        <v>0</v>
      </c>
      <c r="W286" s="64" t="n">
        <f aca="false">IF($K286="U – needs rule",$P286,0)</f>
        <v>0</v>
      </c>
      <c r="X286" s="64" t="n">
        <f aca="false">IF($K286="No Start (attainment only)",$P286,0)</f>
        <v>0</v>
      </c>
    </row>
    <row r="287" customFormat="false" ht="15" hidden="false" customHeight="false" outlineLevel="0" collapsed="false">
      <c r="A287" s="60" t="s">
        <v>780</v>
      </c>
      <c r="B287" s="61" t="str">
        <f aca="false">IF($M287=0,"",INDEX(Classes!$E$6:$E$420,$M287))</f>
        <v>Arabic A</v>
      </c>
      <c r="C287" s="62" t="str">
        <f aca="false">IF($M287=0,"",INDEX(Classes!$H$6:$H$420,$M287))</f>
        <v>Mr Aly Abdelmonem Hasan</v>
      </c>
      <c r="D287" s="61" t="str">
        <f aca="false">IF($M287=0,"",INDEX(Classes!$B$6:$B$420,$M287))</f>
        <v>Year 10</v>
      </c>
      <c r="E287" s="61" t="str">
        <f aca="false">IF($M287=0,"",INDEX(Classes!$C$6:$C$420,$M287))</f>
        <v>ah</v>
      </c>
      <c r="F287" s="63" t="s">
        <v>107</v>
      </c>
      <c r="G287" s="63" t="s">
        <v>1015</v>
      </c>
      <c r="H287" s="60" t="s">
        <v>199</v>
      </c>
      <c r="I287" s="60" t="s">
        <v>200</v>
      </c>
      <c r="J287" s="63" t="n">
        <v>1</v>
      </c>
      <c r="K287" s="61" t="str">
        <f aca="false">IF($P287=0,"",IF($F287="Baseline","— Baseline",IF($O287=0,"No result",IF($N287=0,"No Start (attainment only)",IF(OR($N287=1,$O287=1),"U – needs rule",INDEX(MxBody,MATCH($I287,MxCurr,0),MATCH($H287,MxStart,0)))))))</f>
        <v>Better</v>
      </c>
      <c r="L287" s="62" t="str">
        <f aca="false">IF(COUNTA($A287,$F287,$G287,$H287,$I287,$J287)=0,"",IF($M287=0,"✖ كود الصف غير موجود",IF(ISNA(MATCH($F287,Lists!$A$2:$A$5,0)),"✖ الفترة غير صحيحة",IF(ISNA(MATCH($G287,Lists!$B$2:$B$7,0)),"✖ المجموعة غير صحيحة",IF(NOT(OR($H287="",$N287&gt;0)),"✖ Start غير صحيح",IF(NOT(OR($I287="",$I287="NR",$O287&gt;0)),"✖ Current غير صحيح",IF(NOT(IF(ISNUMBER($J287),AND($J287&gt;=0,$J287=INT($J287)),FALSE())),"✖ العدد يجب أن يكون صحيحًا ≥ 0",IF(AND($F287="Baseline",$H287&lt;&gt;""),"⚠ Baseline: Start لا يدخل في التقدم",IF($K287="No Start (attainment only)","ℹ تحصيل فقط (بدون Start)",IF($K287="U – needs rule","ℹ حالة U تحتاج قاعدة معتمدة",IF($K287="No result","ℹ بدون نتيجة (يُستبعد من التحصيل)","OK")))))))))))</f>
        <v>OK</v>
      </c>
      <c r="M287" s="64" t="n">
        <f aca="false">IF($A287="",0,IFERROR(MATCH($A287,Classes!$A$6:$A$420,0),0))</f>
        <v>284</v>
      </c>
      <c r="N287" s="64" t="n">
        <f aca="false">IF($H287="",0,IFERROR(MATCH($H287,GradeList,0),0))</f>
        <v>4</v>
      </c>
      <c r="O287" s="64" t="n">
        <f aca="false">IF(OR($I287="",$I287="NR"),0,IFERROR(MATCH($I287,GradeList,0),0))</f>
        <v>5</v>
      </c>
      <c r="P287" s="64" t="n">
        <f aca="false">IF(AND($M287&gt;0,ISNUMBER(MATCH($F287,Lists!$A$2:$A$5,0)),ISNUMBER(MATCH($G287,Lists!$B$2:$B$7,0)),OR($H287="",$N287&gt;0),OR($I287="",$I287="NR",$O287&gt;0),IF(ISNUMBER($J287),AND($J287&gt;=0,$J287=INT($J287)),FALSE())),$J287,0)</f>
        <v>1</v>
      </c>
      <c r="Q287" s="64" t="n">
        <f aca="false">IF(AND($P287&gt;0,$O287&gt;0),$P287,0)</f>
        <v>1</v>
      </c>
      <c r="R287" s="64" t="n">
        <f aca="false">IF(AND($Q287&gt;0,$O287&gt;=AtRank),$Q287,0)</f>
        <v>1</v>
      </c>
      <c r="S287" s="64" t="n">
        <f aca="false">IF(AND($Q287&gt;0,$O287&gt;=AboveRank),$Q287,0)</f>
        <v>0</v>
      </c>
      <c r="T287" s="64" t="n">
        <f aca="false">IF($K287="Less",$P287,0)</f>
        <v>0</v>
      </c>
      <c r="U287" s="64" t="n">
        <f aca="false">IF($K287="Expected",$P287,0)</f>
        <v>0</v>
      </c>
      <c r="V287" s="64" t="n">
        <f aca="false">IF($K287="Better",$P287,0)</f>
        <v>1</v>
      </c>
      <c r="W287" s="64" t="n">
        <f aca="false">IF($K287="U – needs rule",$P287,0)</f>
        <v>0</v>
      </c>
      <c r="X287" s="64" t="n">
        <f aca="false">IF($K287="No Start (attainment only)",$P287,0)</f>
        <v>0</v>
      </c>
    </row>
    <row r="288" customFormat="false" ht="15" hidden="false" customHeight="false" outlineLevel="0" collapsed="false">
      <c r="A288" s="60" t="s">
        <v>780</v>
      </c>
      <c r="B288" s="61" t="str">
        <f aca="false">IF($M288=0,"",INDEX(Classes!$E$6:$E$420,$M288))</f>
        <v>Arabic A</v>
      </c>
      <c r="C288" s="62" t="str">
        <f aca="false">IF($M288=0,"",INDEX(Classes!$H$6:$H$420,$M288))</f>
        <v>Mr Aly Abdelmonem Hasan</v>
      </c>
      <c r="D288" s="61" t="str">
        <f aca="false">IF($M288=0,"",INDEX(Classes!$B$6:$B$420,$M288))</f>
        <v>Year 10</v>
      </c>
      <c r="E288" s="61" t="str">
        <f aca="false">IF($M288=0,"",INDEX(Classes!$C$6:$C$420,$M288))</f>
        <v>ah</v>
      </c>
      <c r="F288" s="63" t="s">
        <v>107</v>
      </c>
      <c r="G288" s="63" t="s">
        <v>1015</v>
      </c>
      <c r="H288" s="60" t="s">
        <v>199</v>
      </c>
      <c r="I288" s="60" t="s">
        <v>199</v>
      </c>
      <c r="J288" s="63" t="n">
        <v>1</v>
      </c>
      <c r="K288" s="61" t="str">
        <f aca="false">IF($P288=0,"",IF($F288="Baseline","— Baseline",IF($O288=0,"No result",IF($N288=0,"No Start (attainment only)",IF(OR($N288=1,$O288=1),"U – needs rule",INDEX(MxBody,MATCH($I288,MxCurr,0),MATCH($H288,MxStart,0)))))))</f>
        <v>Expected</v>
      </c>
      <c r="L288" s="62" t="str">
        <f aca="false">IF(COUNTA($A288,$F288,$G288,$H288,$I288,$J288)=0,"",IF($M288=0,"✖ كود الصف غير موجود",IF(ISNA(MATCH($F288,Lists!$A$2:$A$5,0)),"✖ الفترة غير صحيحة",IF(ISNA(MATCH($G288,Lists!$B$2:$B$7,0)),"✖ المجموعة غير صحيحة",IF(NOT(OR($H288="",$N288&gt;0)),"✖ Start غير صحيح",IF(NOT(OR($I288="",$I288="NR",$O288&gt;0)),"✖ Current غير صحيح",IF(NOT(IF(ISNUMBER($J288),AND($J288&gt;=0,$J288=INT($J288)),FALSE())),"✖ العدد يجب أن يكون صحيحًا ≥ 0",IF(AND($F288="Baseline",$H288&lt;&gt;""),"⚠ Baseline: Start لا يدخل في التقدم",IF($K288="No Start (attainment only)","ℹ تحصيل فقط (بدون Start)",IF($K288="U – needs rule","ℹ حالة U تحتاج قاعدة معتمدة",IF($K288="No result","ℹ بدون نتيجة (يُستبعد من التحصيل)","OK")))))))))))</f>
        <v>OK</v>
      </c>
      <c r="M288" s="64" t="n">
        <f aca="false">IF($A288="",0,IFERROR(MATCH($A288,Classes!$A$6:$A$420,0),0))</f>
        <v>284</v>
      </c>
      <c r="N288" s="64" t="n">
        <f aca="false">IF($H288="",0,IFERROR(MATCH($H288,GradeList,0),0))</f>
        <v>4</v>
      </c>
      <c r="O288" s="64" t="n">
        <f aca="false">IF(OR($I288="",$I288="NR"),0,IFERROR(MATCH($I288,GradeList,0),0))</f>
        <v>4</v>
      </c>
      <c r="P288" s="64" t="n">
        <f aca="false">IF(AND($M288&gt;0,ISNUMBER(MATCH($F288,Lists!$A$2:$A$5,0)),ISNUMBER(MATCH($G288,Lists!$B$2:$B$7,0)),OR($H288="",$N288&gt;0),OR($I288="",$I288="NR",$O288&gt;0),IF(ISNUMBER($J288),AND($J288&gt;=0,$J288=INT($J288)),FALSE())),$J288,0)</f>
        <v>1</v>
      </c>
      <c r="Q288" s="64" t="n">
        <f aca="false">IF(AND($P288&gt;0,$O288&gt;0),$P288,0)</f>
        <v>1</v>
      </c>
      <c r="R288" s="64" t="n">
        <f aca="false">IF(AND($Q288&gt;0,$O288&gt;=AtRank),$Q288,0)</f>
        <v>0</v>
      </c>
      <c r="S288" s="64" t="n">
        <f aca="false">IF(AND($Q288&gt;0,$O288&gt;=AboveRank),$Q288,0)</f>
        <v>0</v>
      </c>
      <c r="T288" s="64" t="n">
        <f aca="false">IF($K288="Less",$P288,0)</f>
        <v>0</v>
      </c>
      <c r="U288" s="64" t="n">
        <f aca="false">IF($K288="Expected",$P288,0)</f>
        <v>1</v>
      </c>
      <c r="V288" s="64" t="n">
        <f aca="false">IF($K288="Better",$P288,0)</f>
        <v>0</v>
      </c>
      <c r="W288" s="64" t="n">
        <f aca="false">IF($K288="U – needs rule",$P288,0)</f>
        <v>0</v>
      </c>
      <c r="X288" s="64" t="n">
        <f aca="false">IF($K288="No Start (attainment only)",$P288,0)</f>
        <v>0</v>
      </c>
    </row>
    <row r="289" customFormat="false" ht="15" hidden="false" customHeight="false" outlineLevel="0" collapsed="false">
      <c r="A289" s="60" t="s">
        <v>780</v>
      </c>
      <c r="B289" s="61" t="str">
        <f aca="false">IF($M289=0,"",INDEX(Classes!$E$6:$E$420,$M289))</f>
        <v>Arabic A</v>
      </c>
      <c r="C289" s="62" t="str">
        <f aca="false">IF($M289=0,"",INDEX(Classes!$H$6:$H$420,$M289))</f>
        <v>Mr Aly Abdelmonem Hasan</v>
      </c>
      <c r="D289" s="61" t="str">
        <f aca="false">IF($M289=0,"",INDEX(Classes!$B$6:$B$420,$M289))</f>
        <v>Year 10</v>
      </c>
      <c r="E289" s="61" t="str">
        <f aca="false">IF($M289=0,"",INDEX(Classes!$C$6:$C$420,$M289))</f>
        <v>ah</v>
      </c>
      <c r="F289" s="63" t="s">
        <v>107</v>
      </c>
      <c r="G289" s="63" t="s">
        <v>1016</v>
      </c>
      <c r="H289" s="60"/>
      <c r="I289" s="60" t="s">
        <v>200</v>
      </c>
      <c r="J289" s="63" t="n">
        <v>1</v>
      </c>
      <c r="K289" s="61" t="str">
        <f aca="false">IF($P289=0,"",IF($F289="Baseline","— Baseline",IF($O289=0,"No result",IF($N289=0,"No Start (attainment only)",IF(OR($N289=1,$O289=1),"U – needs rule",INDEX(MxBody,MATCH($I289,MxCurr,0),MATCH($H289,MxStart,0)))))))</f>
        <v>No Start (attainment only)</v>
      </c>
      <c r="L289" s="62" t="str">
        <f aca="false">IF(COUNTA($A289,$F289,$G289,$H289,$I289,$J289)=0,"",IF($M289=0,"✖ كود الصف غير موجود",IF(ISNA(MATCH($F289,Lists!$A$2:$A$5,0)),"✖ الفترة غير صحيحة",IF(ISNA(MATCH($G289,Lists!$B$2:$B$7,0)),"✖ المجموعة غير صحيحة",IF(NOT(OR($H289="",$N289&gt;0)),"✖ Start غير صحيح",IF(NOT(OR($I289="",$I289="NR",$O289&gt;0)),"✖ Current غير صحيح",IF(NOT(IF(ISNUMBER($J289),AND($J289&gt;=0,$J289=INT($J289)),FALSE())),"✖ العدد يجب أن يكون صحيحًا ≥ 0",IF(AND($F289="Baseline",$H289&lt;&gt;""),"⚠ Baseline: Start لا يدخل في التقدم",IF($K289="No Start (attainment only)","ℹ تحصيل فقط (بدون Start)",IF($K289="U – needs rule","ℹ حالة U تحتاج قاعدة معتمدة",IF($K289="No result","ℹ بدون نتيجة (يُستبعد من التحصيل)","OK")))))))))))</f>
        <v>ℹ تحصيل فقط (بدون Start)</v>
      </c>
      <c r="M289" s="64" t="n">
        <f aca="false">IF($A289="",0,IFERROR(MATCH($A289,Classes!$A$6:$A$420,0),0))</f>
        <v>284</v>
      </c>
      <c r="N289" s="64" t="n">
        <f aca="false">IF($H289="",0,IFERROR(MATCH($H289,GradeList,0),0))</f>
        <v>0</v>
      </c>
      <c r="O289" s="64" t="n">
        <f aca="false">IF(OR($I289="",$I289="NR"),0,IFERROR(MATCH($I289,GradeList,0),0))</f>
        <v>5</v>
      </c>
      <c r="P289" s="64" t="n">
        <f aca="false">IF(AND($M289&gt;0,ISNUMBER(MATCH($F289,Lists!$A$2:$A$5,0)),ISNUMBER(MATCH($G289,Lists!$B$2:$B$7,0)),OR($H289="",$N289&gt;0),OR($I289="",$I289="NR",$O289&gt;0),IF(ISNUMBER($J289),AND($J289&gt;=0,$J289=INT($J289)),FALSE())),$J289,0)</f>
        <v>1</v>
      </c>
      <c r="Q289" s="64" t="n">
        <f aca="false">IF(AND($P289&gt;0,$O289&gt;0),$P289,0)</f>
        <v>1</v>
      </c>
      <c r="R289" s="64" t="n">
        <f aca="false">IF(AND($Q289&gt;0,$O289&gt;=AtRank),$Q289,0)</f>
        <v>1</v>
      </c>
      <c r="S289" s="64" t="n">
        <f aca="false">IF(AND($Q289&gt;0,$O289&gt;=AboveRank),$Q289,0)</f>
        <v>0</v>
      </c>
      <c r="T289" s="64" t="n">
        <f aca="false">IF($K289="Less",$P289,0)</f>
        <v>0</v>
      </c>
      <c r="U289" s="64" t="n">
        <f aca="false">IF($K289="Expected",$P289,0)</f>
        <v>0</v>
      </c>
      <c r="V289" s="64" t="n">
        <f aca="false">IF($K289="Better",$P289,0)</f>
        <v>0</v>
      </c>
      <c r="W289" s="64" t="n">
        <f aca="false">IF($K289="U – needs rule",$P289,0)</f>
        <v>0</v>
      </c>
      <c r="X289" s="64" t="n">
        <f aca="false">IF($K289="No Start (attainment only)",$P289,0)</f>
        <v>1</v>
      </c>
    </row>
    <row r="290" customFormat="false" ht="15" hidden="false" customHeight="false" outlineLevel="0" collapsed="false">
      <c r="A290" s="60" t="s">
        <v>780</v>
      </c>
      <c r="B290" s="61" t="str">
        <f aca="false">IF($M290=0,"",INDEX(Classes!$E$6:$E$420,$M290))</f>
        <v>Arabic A</v>
      </c>
      <c r="C290" s="62" t="str">
        <f aca="false">IF($M290=0,"",INDEX(Classes!$H$6:$H$420,$M290))</f>
        <v>Mr Aly Abdelmonem Hasan</v>
      </c>
      <c r="D290" s="61" t="str">
        <f aca="false">IF($M290=0,"",INDEX(Classes!$B$6:$B$420,$M290))</f>
        <v>Year 10</v>
      </c>
      <c r="E290" s="61" t="str">
        <f aca="false">IF($M290=0,"",INDEX(Classes!$C$6:$C$420,$M290))</f>
        <v>ah</v>
      </c>
      <c r="F290" s="63" t="s">
        <v>107</v>
      </c>
      <c r="G290" s="63" t="s">
        <v>1016</v>
      </c>
      <c r="H290" s="60" t="s">
        <v>202</v>
      </c>
      <c r="I290" s="60" t="s">
        <v>203</v>
      </c>
      <c r="J290" s="63" t="n">
        <v>1</v>
      </c>
      <c r="K290" s="61" t="str">
        <f aca="false">IF($P290=0,"",IF($F290="Baseline","— Baseline",IF($O290=0,"No result",IF($N290=0,"No Start (attainment only)",IF(OR($N290=1,$O290=1),"U – needs rule",INDEX(MxBody,MATCH($I290,MxCurr,0),MATCH($H290,MxStart,0)))))))</f>
        <v>Better</v>
      </c>
      <c r="L290" s="62" t="str">
        <f aca="false">IF(COUNTA($A290,$F290,$G290,$H290,$I290,$J290)=0,"",IF($M290=0,"✖ كود الصف غير موجود",IF(ISNA(MATCH($F290,Lists!$A$2:$A$5,0)),"✖ الفترة غير صحيحة",IF(ISNA(MATCH($G290,Lists!$B$2:$B$7,0)),"✖ المجموعة غير صحيحة",IF(NOT(OR($H290="",$N290&gt;0)),"✖ Start غير صحيح",IF(NOT(OR($I290="",$I290="NR",$O290&gt;0)),"✖ Current غير صحيح",IF(NOT(IF(ISNUMBER($J290),AND($J290&gt;=0,$J290=INT($J290)),FALSE())),"✖ العدد يجب أن يكون صحيحًا ≥ 0",IF(AND($F290="Baseline",$H290&lt;&gt;""),"⚠ Baseline: Start لا يدخل في التقدم",IF($K290="No Start (attainment only)","ℹ تحصيل فقط (بدون Start)",IF($K290="U – needs rule","ℹ حالة U تحتاج قاعدة معتمدة",IF($K290="No result","ℹ بدون نتيجة (يُستبعد من التحصيل)","OK")))))))))))</f>
        <v>OK</v>
      </c>
      <c r="M290" s="64" t="n">
        <f aca="false">IF($A290="",0,IFERROR(MATCH($A290,Classes!$A$6:$A$420,0),0))</f>
        <v>284</v>
      </c>
      <c r="N290" s="64" t="n">
        <f aca="false">IF($H290="",0,IFERROR(MATCH($H290,GradeList,0),0))</f>
        <v>7</v>
      </c>
      <c r="O290" s="64" t="n">
        <f aca="false">IF(OR($I290="",$I290="NR"),0,IFERROR(MATCH($I290,GradeList,0),0))</f>
        <v>8</v>
      </c>
      <c r="P290" s="64" t="n">
        <f aca="false">IF(AND($M290&gt;0,ISNUMBER(MATCH($F290,Lists!$A$2:$A$5,0)),ISNUMBER(MATCH($G290,Lists!$B$2:$B$7,0)),OR($H290="",$N290&gt;0),OR($I290="",$I290="NR",$O290&gt;0),IF(ISNUMBER($J290),AND($J290&gt;=0,$J290=INT($J290)),FALSE())),$J290,0)</f>
        <v>1</v>
      </c>
      <c r="Q290" s="64" t="n">
        <f aca="false">IF(AND($P290&gt;0,$O290&gt;0),$P290,0)</f>
        <v>1</v>
      </c>
      <c r="R290" s="64" t="n">
        <f aca="false">IF(AND($Q290&gt;0,$O290&gt;=AtRank),$Q290,0)</f>
        <v>1</v>
      </c>
      <c r="S290" s="64" t="n">
        <f aca="false">IF(AND($Q290&gt;0,$O290&gt;=AboveRank),$Q290,0)</f>
        <v>1</v>
      </c>
      <c r="T290" s="64" t="n">
        <f aca="false">IF($K290="Less",$P290,0)</f>
        <v>0</v>
      </c>
      <c r="U290" s="64" t="n">
        <f aca="false">IF($K290="Expected",$P290,0)</f>
        <v>0</v>
      </c>
      <c r="V290" s="64" t="n">
        <f aca="false">IF($K290="Better",$P290,0)</f>
        <v>1</v>
      </c>
      <c r="W290" s="64" t="n">
        <f aca="false">IF($K290="U – needs rule",$P290,0)</f>
        <v>0</v>
      </c>
      <c r="X290" s="64" t="n">
        <f aca="false">IF($K290="No Start (attainment only)",$P290,0)</f>
        <v>0</v>
      </c>
    </row>
    <row r="291" customFormat="false" ht="15" hidden="false" customHeight="false" outlineLevel="0" collapsed="false">
      <c r="A291" s="60" t="s">
        <v>780</v>
      </c>
      <c r="B291" s="61" t="str">
        <f aca="false">IF($M291=0,"",INDEX(Classes!$E$6:$E$420,$M291))</f>
        <v>Arabic A</v>
      </c>
      <c r="C291" s="62" t="str">
        <f aca="false">IF($M291=0,"",INDEX(Classes!$H$6:$H$420,$M291))</f>
        <v>Mr Aly Abdelmonem Hasan</v>
      </c>
      <c r="D291" s="61" t="str">
        <f aca="false">IF($M291=0,"",INDEX(Classes!$B$6:$B$420,$M291))</f>
        <v>Year 10</v>
      </c>
      <c r="E291" s="61" t="str">
        <f aca="false">IF($M291=0,"",INDEX(Classes!$C$6:$C$420,$M291))</f>
        <v>ah</v>
      </c>
      <c r="F291" s="63" t="s">
        <v>107</v>
      </c>
      <c r="G291" s="63" t="s">
        <v>1016</v>
      </c>
      <c r="H291" s="60" t="s">
        <v>200</v>
      </c>
      <c r="I291" s="60" t="s">
        <v>200</v>
      </c>
      <c r="J291" s="63" t="n">
        <v>1</v>
      </c>
      <c r="K291" s="61" t="str">
        <f aca="false">IF($P291=0,"",IF($F291="Baseline","— Baseline",IF($O291=0,"No result",IF($N291=0,"No Start (attainment only)",IF(OR($N291=1,$O291=1),"U – needs rule",INDEX(MxBody,MATCH($I291,MxCurr,0),MATCH($H291,MxStart,0)))))))</f>
        <v>Expected</v>
      </c>
      <c r="L291" s="62" t="str">
        <f aca="false">IF(COUNTA($A291,$F291,$G291,$H291,$I291,$J291)=0,"",IF($M291=0,"✖ كود الصف غير موجود",IF(ISNA(MATCH($F291,Lists!$A$2:$A$5,0)),"✖ الفترة غير صحيحة",IF(ISNA(MATCH($G291,Lists!$B$2:$B$7,0)),"✖ المجموعة غير صحيحة",IF(NOT(OR($H291="",$N291&gt;0)),"✖ Start غير صحيح",IF(NOT(OR($I291="",$I291="NR",$O291&gt;0)),"✖ Current غير صحيح",IF(NOT(IF(ISNUMBER($J291),AND($J291&gt;=0,$J291=INT($J291)),FALSE())),"✖ العدد يجب أن يكون صحيحًا ≥ 0",IF(AND($F291="Baseline",$H291&lt;&gt;""),"⚠ Baseline: Start لا يدخل في التقدم",IF($K291="No Start (attainment only)","ℹ تحصيل فقط (بدون Start)",IF($K291="U – needs rule","ℹ حالة U تحتاج قاعدة معتمدة",IF($K291="No result","ℹ بدون نتيجة (يُستبعد من التحصيل)","OK")))))))))))</f>
        <v>OK</v>
      </c>
      <c r="M291" s="64" t="n">
        <f aca="false">IF($A291="",0,IFERROR(MATCH($A291,Classes!$A$6:$A$420,0),0))</f>
        <v>284</v>
      </c>
      <c r="N291" s="64" t="n">
        <f aca="false">IF($H291="",0,IFERROR(MATCH($H291,GradeList,0),0))</f>
        <v>5</v>
      </c>
      <c r="O291" s="64" t="n">
        <f aca="false">IF(OR($I291="",$I291="NR"),0,IFERROR(MATCH($I291,GradeList,0),0))</f>
        <v>5</v>
      </c>
      <c r="P291" s="64" t="n">
        <f aca="false">IF(AND($M291&gt;0,ISNUMBER(MATCH($F291,Lists!$A$2:$A$5,0)),ISNUMBER(MATCH($G291,Lists!$B$2:$B$7,0)),OR($H291="",$N291&gt;0),OR($I291="",$I291="NR",$O291&gt;0),IF(ISNUMBER($J291),AND($J291&gt;=0,$J291=INT($J291)),FALSE())),$J291,0)</f>
        <v>1</v>
      </c>
      <c r="Q291" s="64" t="n">
        <f aca="false">IF(AND($P291&gt;0,$O291&gt;0),$P291,0)</f>
        <v>1</v>
      </c>
      <c r="R291" s="64" t="n">
        <f aca="false">IF(AND($Q291&gt;0,$O291&gt;=AtRank),$Q291,0)</f>
        <v>1</v>
      </c>
      <c r="S291" s="64" t="n">
        <f aca="false">IF(AND($Q291&gt;0,$O291&gt;=AboveRank),$Q291,0)</f>
        <v>0</v>
      </c>
      <c r="T291" s="64" t="n">
        <f aca="false">IF($K291="Less",$P291,0)</f>
        <v>0</v>
      </c>
      <c r="U291" s="64" t="n">
        <f aca="false">IF($K291="Expected",$P291,0)</f>
        <v>1</v>
      </c>
      <c r="V291" s="64" t="n">
        <f aca="false">IF($K291="Better",$P291,0)</f>
        <v>0</v>
      </c>
      <c r="W291" s="64" t="n">
        <f aca="false">IF($K291="U – needs rule",$P291,0)</f>
        <v>0</v>
      </c>
      <c r="X291" s="64" t="n">
        <f aca="false">IF($K291="No Start (attainment only)",$P291,0)</f>
        <v>0</v>
      </c>
    </row>
    <row r="292" customFormat="false" ht="15" hidden="false" customHeight="false" outlineLevel="0" collapsed="false">
      <c r="A292" s="60" t="s">
        <v>780</v>
      </c>
      <c r="B292" s="61" t="str">
        <f aca="false">IF($M292=0,"",INDEX(Classes!$E$6:$E$420,$M292))</f>
        <v>Arabic A</v>
      </c>
      <c r="C292" s="62" t="str">
        <f aca="false">IF($M292=0,"",INDEX(Classes!$H$6:$H$420,$M292))</f>
        <v>Mr Aly Abdelmonem Hasan</v>
      </c>
      <c r="D292" s="61" t="str">
        <f aca="false">IF($M292=0,"",INDEX(Classes!$B$6:$B$420,$M292))</f>
        <v>Year 10</v>
      </c>
      <c r="E292" s="61" t="str">
        <f aca="false">IF($M292=0,"",INDEX(Classes!$C$6:$C$420,$M292))</f>
        <v>ah</v>
      </c>
      <c r="F292" s="63" t="s">
        <v>107</v>
      </c>
      <c r="G292" s="63" t="s">
        <v>1016</v>
      </c>
      <c r="H292" s="60" t="s">
        <v>200</v>
      </c>
      <c r="I292" s="60" t="s">
        <v>201</v>
      </c>
      <c r="J292" s="63" t="n">
        <v>1</v>
      </c>
      <c r="K292" s="61" t="str">
        <f aca="false">IF($P292=0,"",IF($F292="Baseline","— Baseline",IF($O292=0,"No result",IF($N292=0,"No Start (attainment only)",IF(OR($N292=1,$O292=1),"U – needs rule",INDEX(MxBody,MATCH($I292,MxCurr,0),MATCH($H292,MxStart,0)))))))</f>
        <v>Better</v>
      </c>
      <c r="L292" s="62" t="str">
        <f aca="false">IF(COUNTA($A292,$F292,$G292,$H292,$I292,$J292)=0,"",IF($M292=0,"✖ كود الصف غير موجود",IF(ISNA(MATCH($F292,Lists!$A$2:$A$5,0)),"✖ الفترة غير صحيحة",IF(ISNA(MATCH($G292,Lists!$B$2:$B$7,0)),"✖ المجموعة غير صحيحة",IF(NOT(OR($H292="",$N292&gt;0)),"✖ Start غير صحيح",IF(NOT(OR($I292="",$I292="NR",$O292&gt;0)),"✖ Current غير صحيح",IF(NOT(IF(ISNUMBER($J292),AND($J292&gt;=0,$J292=INT($J292)),FALSE())),"✖ العدد يجب أن يكون صحيحًا ≥ 0",IF(AND($F292="Baseline",$H292&lt;&gt;""),"⚠ Baseline: Start لا يدخل في التقدم",IF($K292="No Start (attainment only)","ℹ تحصيل فقط (بدون Start)",IF($K292="U – needs rule","ℹ حالة U تحتاج قاعدة معتمدة",IF($K292="No result","ℹ بدون نتيجة (يُستبعد من التحصيل)","OK")))))))))))</f>
        <v>OK</v>
      </c>
      <c r="M292" s="64" t="n">
        <f aca="false">IF($A292="",0,IFERROR(MATCH($A292,Classes!$A$6:$A$420,0),0))</f>
        <v>284</v>
      </c>
      <c r="N292" s="64" t="n">
        <f aca="false">IF($H292="",0,IFERROR(MATCH($H292,GradeList,0),0))</f>
        <v>5</v>
      </c>
      <c r="O292" s="64" t="n">
        <f aca="false">IF(OR($I292="",$I292="NR"),0,IFERROR(MATCH($I292,GradeList,0),0))</f>
        <v>6</v>
      </c>
      <c r="P292" s="64" t="n">
        <f aca="false">IF(AND($M292&gt;0,ISNUMBER(MATCH($F292,Lists!$A$2:$A$5,0)),ISNUMBER(MATCH($G292,Lists!$B$2:$B$7,0)),OR($H292="",$N292&gt;0),OR($I292="",$I292="NR",$O292&gt;0),IF(ISNUMBER($J292),AND($J292&gt;=0,$J292=INT($J292)),FALSE())),$J292,0)</f>
        <v>1</v>
      </c>
      <c r="Q292" s="64" t="n">
        <f aca="false">IF(AND($P292&gt;0,$O292&gt;0),$P292,0)</f>
        <v>1</v>
      </c>
      <c r="R292" s="64" t="n">
        <f aca="false">IF(AND($Q292&gt;0,$O292&gt;=AtRank),$Q292,0)</f>
        <v>1</v>
      </c>
      <c r="S292" s="64" t="n">
        <f aca="false">IF(AND($Q292&gt;0,$O292&gt;=AboveRank),$Q292,0)</f>
        <v>0</v>
      </c>
      <c r="T292" s="64" t="n">
        <f aca="false">IF($K292="Less",$P292,0)</f>
        <v>0</v>
      </c>
      <c r="U292" s="64" t="n">
        <f aca="false">IF($K292="Expected",$P292,0)</f>
        <v>0</v>
      </c>
      <c r="V292" s="64" t="n">
        <f aca="false">IF($K292="Better",$P292,0)</f>
        <v>1</v>
      </c>
      <c r="W292" s="64" t="n">
        <f aca="false">IF($K292="U – needs rule",$P292,0)</f>
        <v>0</v>
      </c>
      <c r="X292" s="64" t="n">
        <f aca="false">IF($K292="No Start (attainment only)",$P292,0)</f>
        <v>0</v>
      </c>
    </row>
    <row r="293" customFormat="false" ht="15" hidden="false" customHeight="false" outlineLevel="0" collapsed="false">
      <c r="A293" s="60" t="s">
        <v>780</v>
      </c>
      <c r="B293" s="61" t="str">
        <f aca="false">IF($M293=0,"",INDEX(Classes!$E$6:$E$420,$M293))</f>
        <v>Arabic A</v>
      </c>
      <c r="C293" s="62" t="str">
        <f aca="false">IF($M293=0,"",INDEX(Classes!$H$6:$H$420,$M293))</f>
        <v>Mr Aly Abdelmonem Hasan</v>
      </c>
      <c r="D293" s="61" t="str">
        <f aca="false">IF($M293=0,"",INDEX(Classes!$B$6:$B$420,$M293))</f>
        <v>Year 10</v>
      </c>
      <c r="E293" s="61" t="str">
        <f aca="false">IF($M293=0,"",INDEX(Classes!$C$6:$C$420,$M293))</f>
        <v>ah</v>
      </c>
      <c r="F293" s="63" t="s">
        <v>107</v>
      </c>
      <c r="G293" s="63" t="s">
        <v>1016</v>
      </c>
      <c r="H293" s="60" t="s">
        <v>201</v>
      </c>
      <c r="I293" s="60" t="s">
        <v>203</v>
      </c>
      <c r="J293" s="63" t="n">
        <v>2</v>
      </c>
      <c r="K293" s="61" t="str">
        <f aca="false">IF($P293=0,"",IF($F293="Baseline","— Baseline",IF($O293=0,"No result",IF($N293=0,"No Start (attainment only)",IF(OR($N293=1,$O293=1),"U – needs rule",INDEX(MxBody,MATCH($I293,MxCurr,0),MATCH($H293,MxStart,0)))))))</f>
        <v>Better</v>
      </c>
      <c r="L293" s="62" t="str">
        <f aca="false">IF(COUNTA($A293,$F293,$G293,$H293,$I293,$J293)=0,"",IF($M293=0,"✖ كود الصف غير موجود",IF(ISNA(MATCH($F293,Lists!$A$2:$A$5,0)),"✖ الفترة غير صحيحة",IF(ISNA(MATCH($G293,Lists!$B$2:$B$7,0)),"✖ المجموعة غير صحيحة",IF(NOT(OR($H293="",$N293&gt;0)),"✖ Start غير صحيح",IF(NOT(OR($I293="",$I293="NR",$O293&gt;0)),"✖ Current غير صحيح",IF(NOT(IF(ISNUMBER($J293),AND($J293&gt;=0,$J293=INT($J293)),FALSE())),"✖ العدد يجب أن يكون صحيحًا ≥ 0",IF(AND($F293="Baseline",$H293&lt;&gt;""),"⚠ Baseline: Start لا يدخل في التقدم",IF($K293="No Start (attainment only)","ℹ تحصيل فقط (بدون Start)",IF($K293="U – needs rule","ℹ حالة U تحتاج قاعدة معتمدة",IF($K293="No result","ℹ بدون نتيجة (يُستبعد من التحصيل)","OK")))))))))))</f>
        <v>OK</v>
      </c>
      <c r="M293" s="64" t="n">
        <f aca="false">IF($A293="",0,IFERROR(MATCH($A293,Classes!$A$6:$A$420,0),0))</f>
        <v>284</v>
      </c>
      <c r="N293" s="64" t="n">
        <f aca="false">IF($H293="",0,IFERROR(MATCH($H293,GradeList,0),0))</f>
        <v>6</v>
      </c>
      <c r="O293" s="64" t="n">
        <f aca="false">IF(OR($I293="",$I293="NR"),0,IFERROR(MATCH($I293,GradeList,0),0))</f>
        <v>8</v>
      </c>
      <c r="P293" s="64" t="n">
        <f aca="false">IF(AND($M293&gt;0,ISNUMBER(MATCH($F293,Lists!$A$2:$A$5,0)),ISNUMBER(MATCH($G293,Lists!$B$2:$B$7,0)),OR($H293="",$N293&gt;0),OR($I293="",$I293="NR",$O293&gt;0),IF(ISNUMBER($J293),AND($J293&gt;=0,$J293=INT($J293)),FALSE())),$J293,0)</f>
        <v>2</v>
      </c>
      <c r="Q293" s="64" t="n">
        <f aca="false">IF(AND($P293&gt;0,$O293&gt;0),$P293,0)</f>
        <v>2</v>
      </c>
      <c r="R293" s="64" t="n">
        <f aca="false">IF(AND($Q293&gt;0,$O293&gt;=AtRank),$Q293,0)</f>
        <v>2</v>
      </c>
      <c r="S293" s="64" t="n">
        <f aca="false">IF(AND($Q293&gt;0,$O293&gt;=AboveRank),$Q293,0)</f>
        <v>2</v>
      </c>
      <c r="T293" s="64" t="n">
        <f aca="false">IF($K293="Less",$P293,0)</f>
        <v>0</v>
      </c>
      <c r="U293" s="64" t="n">
        <f aca="false">IF($K293="Expected",$P293,0)</f>
        <v>0</v>
      </c>
      <c r="V293" s="64" t="n">
        <f aca="false">IF($K293="Better",$P293,0)</f>
        <v>2</v>
      </c>
      <c r="W293" s="64" t="n">
        <f aca="false">IF($K293="U – needs rule",$P293,0)</f>
        <v>0</v>
      </c>
      <c r="X293" s="64" t="n">
        <f aca="false">IF($K293="No Start (attainment only)",$P293,0)</f>
        <v>0</v>
      </c>
    </row>
    <row r="294" customFormat="false" ht="15" hidden="false" customHeight="false" outlineLevel="0" collapsed="false">
      <c r="A294" s="60" t="s">
        <v>780</v>
      </c>
      <c r="B294" s="61" t="str">
        <f aca="false">IF($M294=0,"",INDEX(Classes!$E$6:$E$420,$M294))</f>
        <v>Arabic A</v>
      </c>
      <c r="C294" s="62" t="str">
        <f aca="false">IF($M294=0,"",INDEX(Classes!$H$6:$H$420,$M294))</f>
        <v>Mr Aly Abdelmonem Hasan</v>
      </c>
      <c r="D294" s="61" t="str">
        <f aca="false">IF($M294=0,"",INDEX(Classes!$B$6:$B$420,$M294))</f>
        <v>Year 10</v>
      </c>
      <c r="E294" s="61" t="str">
        <f aca="false">IF($M294=0,"",INDEX(Classes!$C$6:$C$420,$M294))</f>
        <v>ah</v>
      </c>
      <c r="F294" s="63" t="s">
        <v>107</v>
      </c>
      <c r="G294" s="63" t="s">
        <v>1016</v>
      </c>
      <c r="H294" s="60" t="s">
        <v>199</v>
      </c>
      <c r="I294" s="60" t="s">
        <v>200</v>
      </c>
      <c r="J294" s="63" t="n">
        <v>2</v>
      </c>
      <c r="K294" s="61" t="str">
        <f aca="false">IF($P294=0,"",IF($F294="Baseline","— Baseline",IF($O294=0,"No result",IF($N294=0,"No Start (attainment only)",IF(OR($N294=1,$O294=1),"U – needs rule",INDEX(MxBody,MATCH($I294,MxCurr,0),MATCH($H294,MxStart,0)))))))</f>
        <v>Better</v>
      </c>
      <c r="L294" s="62" t="str">
        <f aca="false">IF(COUNTA($A294,$F294,$G294,$H294,$I294,$J294)=0,"",IF($M294=0,"✖ كود الصف غير موجود",IF(ISNA(MATCH($F294,Lists!$A$2:$A$5,0)),"✖ الفترة غير صحيحة",IF(ISNA(MATCH($G294,Lists!$B$2:$B$7,0)),"✖ المجموعة غير صحيحة",IF(NOT(OR($H294="",$N294&gt;0)),"✖ Start غير صحيح",IF(NOT(OR($I294="",$I294="NR",$O294&gt;0)),"✖ Current غير صحيح",IF(NOT(IF(ISNUMBER($J294),AND($J294&gt;=0,$J294=INT($J294)),FALSE())),"✖ العدد يجب أن يكون صحيحًا ≥ 0",IF(AND($F294="Baseline",$H294&lt;&gt;""),"⚠ Baseline: Start لا يدخل في التقدم",IF($K294="No Start (attainment only)","ℹ تحصيل فقط (بدون Start)",IF($K294="U – needs rule","ℹ حالة U تحتاج قاعدة معتمدة",IF($K294="No result","ℹ بدون نتيجة (يُستبعد من التحصيل)","OK")))))))))))</f>
        <v>OK</v>
      </c>
      <c r="M294" s="64" t="n">
        <f aca="false">IF($A294="",0,IFERROR(MATCH($A294,Classes!$A$6:$A$420,0),0))</f>
        <v>284</v>
      </c>
      <c r="N294" s="64" t="n">
        <f aca="false">IF($H294="",0,IFERROR(MATCH($H294,GradeList,0),0))</f>
        <v>4</v>
      </c>
      <c r="O294" s="64" t="n">
        <f aca="false">IF(OR($I294="",$I294="NR"),0,IFERROR(MATCH($I294,GradeList,0),0))</f>
        <v>5</v>
      </c>
      <c r="P294" s="64" t="n">
        <f aca="false">IF(AND($M294&gt;0,ISNUMBER(MATCH($F294,Lists!$A$2:$A$5,0)),ISNUMBER(MATCH($G294,Lists!$B$2:$B$7,0)),OR($H294="",$N294&gt;0),OR($I294="",$I294="NR",$O294&gt;0),IF(ISNUMBER($J294),AND($J294&gt;=0,$J294=INT($J294)),FALSE())),$J294,0)</f>
        <v>2</v>
      </c>
      <c r="Q294" s="64" t="n">
        <f aca="false">IF(AND($P294&gt;0,$O294&gt;0),$P294,0)</f>
        <v>2</v>
      </c>
      <c r="R294" s="64" t="n">
        <f aca="false">IF(AND($Q294&gt;0,$O294&gt;=AtRank),$Q294,0)</f>
        <v>2</v>
      </c>
      <c r="S294" s="64" t="n">
        <f aca="false">IF(AND($Q294&gt;0,$O294&gt;=AboveRank),$Q294,0)</f>
        <v>0</v>
      </c>
      <c r="T294" s="64" t="n">
        <f aca="false">IF($K294="Less",$P294,0)</f>
        <v>0</v>
      </c>
      <c r="U294" s="64" t="n">
        <f aca="false">IF($K294="Expected",$P294,0)</f>
        <v>0</v>
      </c>
      <c r="V294" s="64" t="n">
        <f aca="false">IF($K294="Better",$P294,0)</f>
        <v>2</v>
      </c>
      <c r="W294" s="64" t="n">
        <f aca="false">IF($K294="U – needs rule",$P294,0)</f>
        <v>0</v>
      </c>
      <c r="X294" s="64" t="n">
        <f aca="false">IF($K294="No Start (attainment only)",$P294,0)</f>
        <v>0</v>
      </c>
    </row>
    <row r="295" customFormat="false" ht="15" hidden="false" customHeight="false" outlineLevel="0" collapsed="false">
      <c r="A295" s="60" t="s">
        <v>780</v>
      </c>
      <c r="B295" s="61" t="str">
        <f aca="false">IF($M295=0,"",INDEX(Classes!$E$6:$E$420,$M295))</f>
        <v>Arabic A</v>
      </c>
      <c r="C295" s="62" t="str">
        <f aca="false">IF($M295=0,"",INDEX(Classes!$H$6:$H$420,$M295))</f>
        <v>Mr Aly Abdelmonem Hasan</v>
      </c>
      <c r="D295" s="61" t="str">
        <f aca="false">IF($M295=0,"",INDEX(Classes!$B$6:$B$420,$M295))</f>
        <v>Year 10</v>
      </c>
      <c r="E295" s="61" t="str">
        <f aca="false">IF($M295=0,"",INDEX(Classes!$C$6:$C$420,$M295))</f>
        <v>ah</v>
      </c>
      <c r="F295" s="63" t="s">
        <v>107</v>
      </c>
      <c r="G295" s="63" t="s">
        <v>1016</v>
      </c>
      <c r="H295" s="60" t="s">
        <v>199</v>
      </c>
      <c r="I295" s="60" t="s">
        <v>1019</v>
      </c>
      <c r="J295" s="63" t="n">
        <v>1</v>
      </c>
      <c r="K295" s="61" t="str">
        <f aca="false">IF($P295=0,"",IF($F295="Baseline","— Baseline",IF($O295=0,"No result",IF($N295=0,"No Start (attainment only)",IF(OR($N295=1,$O295=1),"U – needs rule",INDEX(MxBody,MATCH($I295,MxCurr,0),MATCH($H295,MxStart,0)))))))</f>
        <v>No result</v>
      </c>
      <c r="L295" s="62" t="str">
        <f aca="false">IF(COUNTA($A295,$F295,$G295,$H295,$I295,$J295)=0,"",IF($M295=0,"✖ كود الصف غير موجود",IF(ISNA(MATCH($F295,Lists!$A$2:$A$5,0)),"✖ الفترة غير صحيحة",IF(ISNA(MATCH($G295,Lists!$B$2:$B$7,0)),"✖ المجموعة غير صحيحة",IF(NOT(OR($H295="",$N295&gt;0)),"✖ Start غير صحيح",IF(NOT(OR($I295="",$I295="NR",$O295&gt;0)),"✖ Current غير صحيح",IF(NOT(IF(ISNUMBER($J295),AND($J295&gt;=0,$J295=INT($J295)),FALSE())),"✖ العدد يجب أن يكون صحيحًا ≥ 0",IF(AND($F295="Baseline",$H295&lt;&gt;""),"⚠ Baseline: Start لا يدخل في التقدم",IF($K295="No Start (attainment only)","ℹ تحصيل فقط (بدون Start)",IF($K295="U – needs rule","ℹ حالة U تحتاج قاعدة معتمدة",IF($K295="No result","ℹ بدون نتيجة (يُستبعد من التحصيل)","OK")))))))))))</f>
        <v>ℹ بدون نتيجة (يُستبعد من التحصيل)</v>
      </c>
      <c r="M295" s="64" t="n">
        <f aca="false">IF($A295="",0,IFERROR(MATCH($A295,Classes!$A$6:$A$420,0),0))</f>
        <v>284</v>
      </c>
      <c r="N295" s="64" t="n">
        <f aca="false">IF($H295="",0,IFERROR(MATCH($H295,GradeList,0),0))</f>
        <v>4</v>
      </c>
      <c r="O295" s="64" t="n">
        <f aca="false">IF(OR($I295="",$I295="NR"),0,IFERROR(MATCH($I295,GradeList,0),0))</f>
        <v>0</v>
      </c>
      <c r="P295" s="64" t="n">
        <f aca="false">IF(AND($M295&gt;0,ISNUMBER(MATCH($F295,Lists!$A$2:$A$5,0)),ISNUMBER(MATCH($G295,Lists!$B$2:$B$7,0)),OR($H295="",$N295&gt;0),OR($I295="",$I295="NR",$O295&gt;0),IF(ISNUMBER($J295),AND($J295&gt;=0,$J295=INT($J295)),FALSE())),$J295,0)</f>
        <v>1</v>
      </c>
      <c r="Q295" s="64" t="n">
        <f aca="false">IF(AND($P295&gt;0,$O295&gt;0),$P295,0)</f>
        <v>0</v>
      </c>
      <c r="R295" s="64" t="n">
        <f aca="false">IF(AND($Q295&gt;0,$O295&gt;=AtRank),$Q295,0)</f>
        <v>0</v>
      </c>
      <c r="S295" s="64" t="n">
        <f aca="false">IF(AND($Q295&gt;0,$O295&gt;=AboveRank),$Q295,0)</f>
        <v>0</v>
      </c>
      <c r="T295" s="64" t="n">
        <f aca="false">IF($K295="Less",$P295,0)</f>
        <v>0</v>
      </c>
      <c r="U295" s="64" t="n">
        <f aca="false">IF($K295="Expected",$P295,0)</f>
        <v>0</v>
      </c>
      <c r="V295" s="64" t="n">
        <f aca="false">IF($K295="Better",$P295,0)</f>
        <v>0</v>
      </c>
      <c r="W295" s="64" t="n">
        <f aca="false">IF($K295="U – needs rule",$P295,0)</f>
        <v>0</v>
      </c>
      <c r="X295" s="64" t="n">
        <f aca="false">IF($K295="No Start (attainment only)",$P295,0)</f>
        <v>0</v>
      </c>
    </row>
    <row r="296" customFormat="false" ht="15" hidden="false" customHeight="false" outlineLevel="0" collapsed="false">
      <c r="A296" s="60" t="s">
        <v>780</v>
      </c>
      <c r="B296" s="61" t="str">
        <f aca="false">IF($M296=0,"",INDEX(Classes!$E$6:$E$420,$M296))</f>
        <v>Arabic A</v>
      </c>
      <c r="C296" s="62" t="str">
        <f aca="false">IF($M296=0,"",INDEX(Classes!$H$6:$H$420,$M296))</f>
        <v>Mr Aly Abdelmonem Hasan</v>
      </c>
      <c r="D296" s="61" t="str">
        <f aca="false">IF($M296=0,"",INDEX(Classes!$B$6:$B$420,$M296))</f>
        <v>Year 10</v>
      </c>
      <c r="E296" s="61" t="str">
        <f aca="false">IF($M296=0,"",INDEX(Classes!$C$6:$C$420,$M296))</f>
        <v>ah</v>
      </c>
      <c r="F296" s="63" t="s">
        <v>107</v>
      </c>
      <c r="G296" s="63" t="s">
        <v>1016</v>
      </c>
      <c r="H296" s="60" t="s">
        <v>199</v>
      </c>
      <c r="I296" s="60" t="s">
        <v>199</v>
      </c>
      <c r="J296" s="63" t="n">
        <v>2</v>
      </c>
      <c r="K296" s="61" t="str">
        <f aca="false">IF($P296=0,"",IF($F296="Baseline","— Baseline",IF($O296=0,"No result",IF($N296=0,"No Start (attainment only)",IF(OR($N296=1,$O296=1),"U – needs rule",INDEX(MxBody,MATCH($I296,MxCurr,0),MATCH($H296,MxStart,0)))))))</f>
        <v>Expected</v>
      </c>
      <c r="L296" s="62" t="str">
        <f aca="false">IF(COUNTA($A296,$F296,$G296,$H296,$I296,$J296)=0,"",IF($M296=0,"✖ كود الصف غير موجود",IF(ISNA(MATCH($F296,Lists!$A$2:$A$5,0)),"✖ الفترة غير صحيحة",IF(ISNA(MATCH($G296,Lists!$B$2:$B$7,0)),"✖ المجموعة غير صحيحة",IF(NOT(OR($H296="",$N296&gt;0)),"✖ Start غير صحيح",IF(NOT(OR($I296="",$I296="NR",$O296&gt;0)),"✖ Current غير صحيح",IF(NOT(IF(ISNUMBER($J296),AND($J296&gt;=0,$J296=INT($J296)),FALSE())),"✖ العدد يجب أن يكون صحيحًا ≥ 0",IF(AND($F296="Baseline",$H296&lt;&gt;""),"⚠ Baseline: Start لا يدخل في التقدم",IF($K296="No Start (attainment only)","ℹ تحصيل فقط (بدون Start)",IF($K296="U – needs rule","ℹ حالة U تحتاج قاعدة معتمدة",IF($K296="No result","ℹ بدون نتيجة (يُستبعد من التحصيل)","OK")))))))))))</f>
        <v>OK</v>
      </c>
      <c r="M296" s="64" t="n">
        <f aca="false">IF($A296="",0,IFERROR(MATCH($A296,Classes!$A$6:$A$420,0),0))</f>
        <v>284</v>
      </c>
      <c r="N296" s="64" t="n">
        <f aca="false">IF($H296="",0,IFERROR(MATCH($H296,GradeList,0),0))</f>
        <v>4</v>
      </c>
      <c r="O296" s="64" t="n">
        <f aca="false">IF(OR($I296="",$I296="NR"),0,IFERROR(MATCH($I296,GradeList,0),0))</f>
        <v>4</v>
      </c>
      <c r="P296" s="64" t="n">
        <f aca="false">IF(AND($M296&gt;0,ISNUMBER(MATCH($F296,Lists!$A$2:$A$5,0)),ISNUMBER(MATCH($G296,Lists!$B$2:$B$7,0)),OR($H296="",$N296&gt;0),OR($I296="",$I296="NR",$O296&gt;0),IF(ISNUMBER($J296),AND($J296&gt;=0,$J296=INT($J296)),FALSE())),$J296,0)</f>
        <v>2</v>
      </c>
      <c r="Q296" s="64" t="n">
        <f aca="false">IF(AND($P296&gt;0,$O296&gt;0),$P296,0)</f>
        <v>2</v>
      </c>
      <c r="R296" s="64" t="n">
        <f aca="false">IF(AND($Q296&gt;0,$O296&gt;=AtRank),$Q296,0)</f>
        <v>0</v>
      </c>
      <c r="S296" s="64" t="n">
        <f aca="false">IF(AND($Q296&gt;0,$O296&gt;=AboveRank),$Q296,0)</f>
        <v>0</v>
      </c>
      <c r="T296" s="64" t="n">
        <f aca="false">IF($K296="Less",$P296,0)</f>
        <v>0</v>
      </c>
      <c r="U296" s="64" t="n">
        <f aca="false">IF($K296="Expected",$P296,0)</f>
        <v>2</v>
      </c>
      <c r="V296" s="64" t="n">
        <f aca="false">IF($K296="Better",$P296,0)</f>
        <v>0</v>
      </c>
      <c r="W296" s="64" t="n">
        <f aca="false">IF($K296="U – needs rule",$P296,0)</f>
        <v>0</v>
      </c>
      <c r="X296" s="64" t="n">
        <f aca="false">IF($K296="No Start (attainment only)",$P296,0)</f>
        <v>0</v>
      </c>
    </row>
    <row r="297" customFormat="false" ht="15" hidden="false" customHeight="false" outlineLevel="0" collapsed="false">
      <c r="A297" s="60" t="s">
        <v>780</v>
      </c>
      <c r="B297" s="61" t="str">
        <f aca="false">IF($M297=0,"",INDEX(Classes!$E$6:$E$420,$M297))</f>
        <v>Arabic A</v>
      </c>
      <c r="C297" s="62" t="str">
        <f aca="false">IF($M297=0,"",INDEX(Classes!$H$6:$H$420,$M297))</f>
        <v>Mr Aly Abdelmonem Hasan</v>
      </c>
      <c r="D297" s="61" t="str">
        <f aca="false">IF($M297=0,"",INDEX(Classes!$B$6:$B$420,$M297))</f>
        <v>Year 10</v>
      </c>
      <c r="E297" s="61" t="str">
        <f aca="false">IF($M297=0,"",INDEX(Classes!$C$6:$C$420,$M297))</f>
        <v>ah</v>
      </c>
      <c r="F297" s="63" t="s">
        <v>107</v>
      </c>
      <c r="G297" s="63" t="s">
        <v>941</v>
      </c>
      <c r="H297" s="60" t="s">
        <v>199</v>
      </c>
      <c r="I297" s="60" t="s">
        <v>200</v>
      </c>
      <c r="J297" s="63" t="n">
        <v>1</v>
      </c>
      <c r="K297" s="61" t="str">
        <f aca="false">IF($P297=0,"",IF($F297="Baseline","— Baseline",IF($O297=0,"No result",IF($N297=0,"No Start (attainment only)",IF(OR($N297=1,$O297=1),"U – needs rule",INDEX(MxBody,MATCH($I297,MxCurr,0),MATCH($H297,MxStart,0)))))))</f>
        <v>Better</v>
      </c>
      <c r="L297" s="62" t="str">
        <f aca="false">IF(COUNTA($A297,$F297,$G297,$H297,$I297,$J297)=0,"",IF($M297=0,"✖ كود الصف غير موجود",IF(ISNA(MATCH($F297,Lists!$A$2:$A$5,0)),"✖ الفترة غير صحيحة",IF(ISNA(MATCH($G297,Lists!$B$2:$B$7,0)),"✖ المجموعة غير صحيحة",IF(NOT(OR($H297="",$N297&gt;0)),"✖ Start غير صحيح",IF(NOT(OR($I297="",$I297="NR",$O297&gt;0)),"✖ Current غير صحيح",IF(NOT(IF(ISNUMBER($J297),AND($J297&gt;=0,$J297=INT($J297)),FALSE())),"✖ العدد يجب أن يكون صحيحًا ≥ 0",IF(AND($F297="Baseline",$H297&lt;&gt;""),"⚠ Baseline: Start لا يدخل في التقدم",IF($K297="No Start (attainment only)","ℹ تحصيل فقط (بدون Start)",IF($K297="U – needs rule","ℹ حالة U تحتاج قاعدة معتمدة",IF($K297="No result","ℹ بدون نتيجة (يُستبعد من التحصيل)","OK")))))))))))</f>
        <v>OK</v>
      </c>
      <c r="M297" s="64" t="n">
        <f aca="false">IF($A297="",0,IFERROR(MATCH($A297,Classes!$A$6:$A$420,0),0))</f>
        <v>284</v>
      </c>
      <c r="N297" s="64" t="n">
        <f aca="false">IF($H297="",0,IFERROR(MATCH($H297,GradeList,0),0))</f>
        <v>4</v>
      </c>
      <c r="O297" s="64" t="n">
        <f aca="false">IF(OR($I297="",$I297="NR"),0,IFERROR(MATCH($I297,GradeList,0),0))</f>
        <v>5</v>
      </c>
      <c r="P297" s="64" t="n">
        <f aca="false">IF(AND($M297&gt;0,ISNUMBER(MATCH($F297,Lists!$A$2:$A$5,0)),ISNUMBER(MATCH($G297,Lists!$B$2:$B$7,0)),OR($H297="",$N297&gt;0),OR($I297="",$I297="NR",$O297&gt;0),IF(ISNUMBER($J297),AND($J297&gt;=0,$J297=INT($J297)),FALSE())),$J297,0)</f>
        <v>1</v>
      </c>
      <c r="Q297" s="64" t="n">
        <f aca="false">IF(AND($P297&gt;0,$O297&gt;0),$P297,0)</f>
        <v>1</v>
      </c>
      <c r="R297" s="64" t="n">
        <f aca="false">IF(AND($Q297&gt;0,$O297&gt;=AtRank),$Q297,0)</f>
        <v>1</v>
      </c>
      <c r="S297" s="64" t="n">
        <f aca="false">IF(AND($Q297&gt;0,$O297&gt;=AboveRank),$Q297,0)</f>
        <v>0</v>
      </c>
      <c r="T297" s="64" t="n">
        <f aca="false">IF($K297="Less",$P297,0)</f>
        <v>0</v>
      </c>
      <c r="U297" s="64" t="n">
        <f aca="false">IF($K297="Expected",$P297,0)</f>
        <v>0</v>
      </c>
      <c r="V297" s="64" t="n">
        <f aca="false">IF($K297="Better",$P297,0)</f>
        <v>1</v>
      </c>
      <c r="W297" s="64" t="n">
        <f aca="false">IF($K297="U – needs rule",$P297,0)</f>
        <v>0</v>
      </c>
      <c r="X297" s="64" t="n">
        <f aca="false">IF($K297="No Start (attainment only)",$P297,0)</f>
        <v>0</v>
      </c>
    </row>
    <row r="298" customFormat="false" ht="15" hidden="false" customHeight="false" outlineLevel="0" collapsed="false">
      <c r="A298" s="60" t="s">
        <v>780</v>
      </c>
      <c r="B298" s="61" t="str">
        <f aca="false">IF($M298=0,"",INDEX(Classes!$E$6:$E$420,$M298))</f>
        <v>Arabic A</v>
      </c>
      <c r="C298" s="62" t="str">
        <f aca="false">IF($M298=0,"",INDEX(Classes!$H$6:$H$420,$M298))</f>
        <v>Mr Aly Abdelmonem Hasan</v>
      </c>
      <c r="D298" s="61" t="str">
        <f aca="false">IF($M298=0,"",INDEX(Classes!$B$6:$B$420,$M298))</f>
        <v>Year 10</v>
      </c>
      <c r="E298" s="61" t="str">
        <f aca="false">IF($M298=0,"",INDEX(Classes!$C$6:$C$420,$M298))</f>
        <v>ah</v>
      </c>
      <c r="F298" s="63" t="s">
        <v>107</v>
      </c>
      <c r="G298" s="63" t="s">
        <v>1017</v>
      </c>
      <c r="H298" s="60" t="s">
        <v>199</v>
      </c>
      <c r="I298" s="60" t="s">
        <v>200</v>
      </c>
      <c r="J298" s="63" t="n">
        <v>1</v>
      </c>
      <c r="K298" s="61" t="str">
        <f aca="false">IF($P298=0,"",IF($F298="Baseline","— Baseline",IF($O298=0,"No result",IF($N298=0,"No Start (attainment only)",IF(OR($N298=1,$O298=1),"U – needs rule",INDEX(MxBody,MATCH($I298,MxCurr,0),MATCH($H298,MxStart,0)))))))</f>
        <v>Better</v>
      </c>
      <c r="L298" s="62" t="str">
        <f aca="false">IF(COUNTA($A298,$F298,$G298,$H298,$I298,$J298)=0,"",IF($M298=0,"✖ كود الصف غير موجود",IF(ISNA(MATCH($F298,Lists!$A$2:$A$5,0)),"✖ الفترة غير صحيحة",IF(ISNA(MATCH($G298,Lists!$B$2:$B$7,0)),"✖ المجموعة غير صحيحة",IF(NOT(OR($H298="",$N298&gt;0)),"✖ Start غير صحيح",IF(NOT(OR($I298="",$I298="NR",$O298&gt;0)),"✖ Current غير صحيح",IF(NOT(IF(ISNUMBER($J298),AND($J298&gt;=0,$J298=INT($J298)),FALSE())),"✖ العدد يجب أن يكون صحيحًا ≥ 0",IF(AND($F298="Baseline",$H298&lt;&gt;""),"⚠ Baseline: Start لا يدخل في التقدم",IF($K298="No Start (attainment only)","ℹ تحصيل فقط (بدون Start)",IF($K298="U – needs rule","ℹ حالة U تحتاج قاعدة معتمدة",IF($K298="No result","ℹ بدون نتيجة (يُستبعد من التحصيل)","OK")))))))))))</f>
        <v>OK</v>
      </c>
      <c r="M298" s="64" t="n">
        <f aca="false">IF($A298="",0,IFERROR(MATCH($A298,Classes!$A$6:$A$420,0),0))</f>
        <v>284</v>
      </c>
      <c r="N298" s="64" t="n">
        <f aca="false">IF($H298="",0,IFERROR(MATCH($H298,GradeList,0),0))</f>
        <v>4</v>
      </c>
      <c r="O298" s="64" t="n">
        <f aca="false">IF(OR($I298="",$I298="NR"),0,IFERROR(MATCH($I298,GradeList,0),0))</f>
        <v>5</v>
      </c>
      <c r="P298" s="64" t="n">
        <f aca="false">IF(AND($M298&gt;0,ISNUMBER(MATCH($F298,Lists!$A$2:$A$5,0)),ISNUMBER(MATCH($G298,Lists!$B$2:$B$7,0)),OR($H298="",$N298&gt;0),OR($I298="",$I298="NR",$O298&gt;0),IF(ISNUMBER($J298),AND($J298&gt;=0,$J298=INT($J298)),FALSE())),$J298,0)</f>
        <v>1</v>
      </c>
      <c r="Q298" s="64" t="n">
        <f aca="false">IF(AND($P298&gt;0,$O298&gt;0),$P298,0)</f>
        <v>1</v>
      </c>
      <c r="R298" s="64" t="n">
        <f aca="false">IF(AND($Q298&gt;0,$O298&gt;=AtRank),$Q298,0)</f>
        <v>1</v>
      </c>
      <c r="S298" s="64" t="n">
        <f aca="false">IF(AND($Q298&gt;0,$O298&gt;=AboveRank),$Q298,0)</f>
        <v>0</v>
      </c>
      <c r="T298" s="64" t="n">
        <f aca="false">IF($K298="Less",$P298,0)</f>
        <v>0</v>
      </c>
      <c r="U298" s="64" t="n">
        <f aca="false">IF($K298="Expected",$P298,0)</f>
        <v>0</v>
      </c>
      <c r="V298" s="64" t="n">
        <f aca="false">IF($K298="Better",$P298,0)</f>
        <v>1</v>
      </c>
      <c r="W298" s="64" t="n">
        <f aca="false">IF($K298="U – needs rule",$P298,0)</f>
        <v>0</v>
      </c>
      <c r="X298" s="64" t="n">
        <f aca="false">IF($K298="No Start (attainment only)",$P298,0)</f>
        <v>0</v>
      </c>
    </row>
    <row r="299" customFormat="false" ht="15" hidden="false" customHeight="false" outlineLevel="0" collapsed="false">
      <c r="A299" s="60" t="s">
        <v>780</v>
      </c>
      <c r="B299" s="61" t="str">
        <f aca="false">IF($M299=0,"",INDEX(Classes!$E$6:$E$420,$M299))</f>
        <v>Arabic A</v>
      </c>
      <c r="C299" s="62" t="str">
        <f aca="false">IF($M299=0,"",INDEX(Classes!$H$6:$H$420,$M299))</f>
        <v>Mr Aly Abdelmonem Hasan</v>
      </c>
      <c r="D299" s="61" t="str">
        <f aca="false">IF($M299=0,"",INDEX(Classes!$B$6:$B$420,$M299))</f>
        <v>Year 10</v>
      </c>
      <c r="E299" s="61" t="str">
        <f aca="false">IF($M299=0,"",INDEX(Classes!$C$6:$C$420,$M299))</f>
        <v>ah</v>
      </c>
      <c r="F299" s="63" t="s">
        <v>107</v>
      </c>
      <c r="G299" s="63" t="s">
        <v>1017</v>
      </c>
      <c r="H299" s="60" t="s">
        <v>199</v>
      </c>
      <c r="I299" s="60" t="s">
        <v>199</v>
      </c>
      <c r="J299" s="63" t="n">
        <v>1</v>
      </c>
      <c r="K299" s="61" t="str">
        <f aca="false">IF($P299=0,"",IF($F299="Baseline","— Baseline",IF($O299=0,"No result",IF($N299=0,"No Start (attainment only)",IF(OR($N299=1,$O299=1),"U – needs rule",INDEX(MxBody,MATCH($I299,MxCurr,0),MATCH($H299,MxStart,0)))))))</f>
        <v>Expected</v>
      </c>
      <c r="L299" s="62" t="str">
        <f aca="false">IF(COUNTA($A299,$F299,$G299,$H299,$I299,$J299)=0,"",IF($M299=0,"✖ كود الصف غير موجود",IF(ISNA(MATCH($F299,Lists!$A$2:$A$5,0)),"✖ الفترة غير صحيحة",IF(ISNA(MATCH($G299,Lists!$B$2:$B$7,0)),"✖ المجموعة غير صحيحة",IF(NOT(OR($H299="",$N299&gt;0)),"✖ Start غير صحيح",IF(NOT(OR($I299="",$I299="NR",$O299&gt;0)),"✖ Current غير صحيح",IF(NOT(IF(ISNUMBER($J299),AND($J299&gt;=0,$J299=INT($J299)),FALSE())),"✖ العدد يجب أن يكون صحيحًا ≥ 0",IF(AND($F299="Baseline",$H299&lt;&gt;""),"⚠ Baseline: Start لا يدخل في التقدم",IF($K299="No Start (attainment only)","ℹ تحصيل فقط (بدون Start)",IF($K299="U – needs rule","ℹ حالة U تحتاج قاعدة معتمدة",IF($K299="No result","ℹ بدون نتيجة (يُستبعد من التحصيل)","OK")))))))))))</f>
        <v>OK</v>
      </c>
      <c r="M299" s="64" t="n">
        <f aca="false">IF($A299="",0,IFERROR(MATCH($A299,Classes!$A$6:$A$420,0),0))</f>
        <v>284</v>
      </c>
      <c r="N299" s="64" t="n">
        <f aca="false">IF($H299="",0,IFERROR(MATCH($H299,GradeList,0),0))</f>
        <v>4</v>
      </c>
      <c r="O299" s="64" t="n">
        <f aca="false">IF(OR($I299="",$I299="NR"),0,IFERROR(MATCH($I299,GradeList,0),0))</f>
        <v>4</v>
      </c>
      <c r="P299" s="64" t="n">
        <f aca="false">IF(AND($M299&gt;0,ISNUMBER(MATCH($F299,Lists!$A$2:$A$5,0)),ISNUMBER(MATCH($G299,Lists!$B$2:$B$7,0)),OR($H299="",$N299&gt;0),OR($I299="",$I299="NR",$O299&gt;0),IF(ISNUMBER($J299),AND($J299&gt;=0,$J299=INT($J299)),FALSE())),$J299,0)</f>
        <v>1</v>
      </c>
      <c r="Q299" s="64" t="n">
        <f aca="false">IF(AND($P299&gt;0,$O299&gt;0),$P299,0)</f>
        <v>1</v>
      </c>
      <c r="R299" s="64" t="n">
        <f aca="false">IF(AND($Q299&gt;0,$O299&gt;=AtRank),$Q299,0)</f>
        <v>0</v>
      </c>
      <c r="S299" s="64" t="n">
        <f aca="false">IF(AND($Q299&gt;0,$O299&gt;=AboveRank),$Q299,0)</f>
        <v>0</v>
      </c>
      <c r="T299" s="64" t="n">
        <f aca="false">IF($K299="Less",$P299,0)</f>
        <v>0</v>
      </c>
      <c r="U299" s="64" t="n">
        <f aca="false">IF($K299="Expected",$P299,0)</f>
        <v>1</v>
      </c>
      <c r="V299" s="64" t="n">
        <f aca="false">IF($K299="Better",$P299,0)</f>
        <v>0</v>
      </c>
      <c r="W299" s="64" t="n">
        <f aca="false">IF($K299="U – needs rule",$P299,0)</f>
        <v>0</v>
      </c>
      <c r="X299" s="64" t="n">
        <f aca="false">IF($K299="No Start (attainment only)",$P299,0)</f>
        <v>0</v>
      </c>
    </row>
    <row r="300" customFormat="false" ht="15" hidden="false" customHeight="false" outlineLevel="0" collapsed="false">
      <c r="A300" s="60" t="s">
        <v>780</v>
      </c>
      <c r="B300" s="61" t="str">
        <f aca="false">IF($M300=0,"",INDEX(Classes!$E$6:$E$420,$M300))</f>
        <v>Arabic A</v>
      </c>
      <c r="C300" s="62" t="str">
        <f aca="false">IF($M300=0,"",INDEX(Classes!$H$6:$H$420,$M300))</f>
        <v>Mr Aly Abdelmonem Hasan</v>
      </c>
      <c r="D300" s="61" t="str">
        <f aca="false">IF($M300=0,"",INDEX(Classes!$B$6:$B$420,$M300))</f>
        <v>Year 10</v>
      </c>
      <c r="E300" s="61" t="str">
        <f aca="false">IF($M300=0,"",INDEX(Classes!$C$6:$C$420,$M300))</f>
        <v>ah</v>
      </c>
      <c r="F300" s="63" t="s">
        <v>107</v>
      </c>
      <c r="G300" s="63" t="s">
        <v>1018</v>
      </c>
      <c r="H300" s="60"/>
      <c r="I300" s="60" t="s">
        <v>200</v>
      </c>
      <c r="J300" s="63" t="n">
        <v>1</v>
      </c>
      <c r="K300" s="61" t="str">
        <f aca="false">IF($P300=0,"",IF($F300="Baseline","— Baseline",IF($O300=0,"No result",IF($N300=0,"No Start (attainment only)",IF(OR($N300=1,$O300=1),"U – needs rule",INDEX(MxBody,MATCH($I300,MxCurr,0),MATCH($H300,MxStart,0)))))))</f>
        <v>No Start (attainment only)</v>
      </c>
      <c r="L300" s="62" t="str">
        <f aca="false">IF(COUNTA($A300,$F300,$G300,$H300,$I300,$J300)=0,"",IF($M300=0,"✖ كود الصف غير موجود",IF(ISNA(MATCH($F300,Lists!$A$2:$A$5,0)),"✖ الفترة غير صحيحة",IF(ISNA(MATCH($G300,Lists!$B$2:$B$7,0)),"✖ المجموعة غير صحيحة",IF(NOT(OR($H300="",$N300&gt;0)),"✖ Start غير صحيح",IF(NOT(OR($I300="",$I300="NR",$O300&gt;0)),"✖ Current غير صحيح",IF(NOT(IF(ISNUMBER($J300),AND($J300&gt;=0,$J300=INT($J300)),FALSE())),"✖ العدد يجب أن يكون صحيحًا ≥ 0",IF(AND($F300="Baseline",$H300&lt;&gt;""),"⚠ Baseline: Start لا يدخل في التقدم",IF($K300="No Start (attainment only)","ℹ تحصيل فقط (بدون Start)",IF($K300="U – needs rule","ℹ حالة U تحتاج قاعدة معتمدة",IF($K300="No result","ℹ بدون نتيجة (يُستبعد من التحصيل)","OK")))))))))))</f>
        <v>ℹ تحصيل فقط (بدون Start)</v>
      </c>
      <c r="M300" s="64" t="n">
        <f aca="false">IF($A300="",0,IFERROR(MATCH($A300,Classes!$A$6:$A$420,0),0))</f>
        <v>284</v>
      </c>
      <c r="N300" s="64" t="n">
        <f aca="false">IF($H300="",0,IFERROR(MATCH($H300,GradeList,0),0))</f>
        <v>0</v>
      </c>
      <c r="O300" s="64" t="n">
        <f aca="false">IF(OR($I300="",$I300="NR"),0,IFERROR(MATCH($I300,GradeList,0),0))</f>
        <v>5</v>
      </c>
      <c r="P300" s="64" t="n">
        <f aca="false">IF(AND($M300&gt;0,ISNUMBER(MATCH($F300,Lists!$A$2:$A$5,0)),ISNUMBER(MATCH($G300,Lists!$B$2:$B$7,0)),OR($H300="",$N300&gt;0),OR($I300="",$I300="NR",$O300&gt;0),IF(ISNUMBER($J300),AND($J300&gt;=0,$J300=INT($J300)),FALSE())),$J300,0)</f>
        <v>1</v>
      </c>
      <c r="Q300" s="64" t="n">
        <f aca="false">IF(AND($P300&gt;0,$O300&gt;0),$P300,0)</f>
        <v>1</v>
      </c>
      <c r="R300" s="64" t="n">
        <f aca="false">IF(AND($Q300&gt;0,$O300&gt;=AtRank),$Q300,0)</f>
        <v>1</v>
      </c>
      <c r="S300" s="64" t="n">
        <f aca="false">IF(AND($Q300&gt;0,$O300&gt;=AboveRank),$Q300,0)</f>
        <v>0</v>
      </c>
      <c r="T300" s="64" t="n">
        <f aca="false">IF($K300="Less",$P300,0)</f>
        <v>0</v>
      </c>
      <c r="U300" s="64" t="n">
        <f aca="false">IF($K300="Expected",$P300,0)</f>
        <v>0</v>
      </c>
      <c r="V300" s="64" t="n">
        <f aca="false">IF($K300="Better",$P300,0)</f>
        <v>0</v>
      </c>
      <c r="W300" s="64" t="n">
        <f aca="false">IF($K300="U – needs rule",$P300,0)</f>
        <v>0</v>
      </c>
      <c r="X300" s="64" t="n">
        <f aca="false">IF($K300="No Start (attainment only)",$P300,0)</f>
        <v>1</v>
      </c>
    </row>
    <row r="301" customFormat="false" ht="15" hidden="false" customHeight="false" outlineLevel="0" collapsed="false">
      <c r="A301" s="60" t="s">
        <v>780</v>
      </c>
      <c r="B301" s="61" t="str">
        <f aca="false">IF($M301=0,"",INDEX(Classes!$E$6:$E$420,$M301))</f>
        <v>Arabic A</v>
      </c>
      <c r="C301" s="62" t="str">
        <f aca="false">IF($M301=0,"",INDEX(Classes!$H$6:$H$420,$M301))</f>
        <v>Mr Aly Abdelmonem Hasan</v>
      </c>
      <c r="D301" s="61" t="str">
        <f aca="false">IF($M301=0,"",INDEX(Classes!$B$6:$B$420,$M301))</f>
        <v>Year 10</v>
      </c>
      <c r="E301" s="61" t="str">
        <f aca="false">IF($M301=0,"",INDEX(Classes!$C$6:$C$420,$M301))</f>
        <v>ah</v>
      </c>
      <c r="F301" s="63" t="s">
        <v>107</v>
      </c>
      <c r="G301" s="63" t="s">
        <v>1018</v>
      </c>
      <c r="H301" s="60" t="s">
        <v>202</v>
      </c>
      <c r="I301" s="60" t="s">
        <v>201</v>
      </c>
      <c r="J301" s="63" t="n">
        <v>1</v>
      </c>
      <c r="K301" s="61" t="str">
        <f aca="false">IF($P301=0,"",IF($F301="Baseline","— Baseline",IF($O301=0,"No result",IF($N301=0,"No Start (attainment only)",IF(OR($N301=1,$O301=1),"U – needs rule",INDEX(MxBody,MATCH($I301,MxCurr,0),MATCH($H301,MxStart,0)))))))</f>
        <v>Expected</v>
      </c>
      <c r="L301" s="62" t="str">
        <f aca="false">IF(COUNTA($A301,$F301,$G301,$H301,$I301,$J301)=0,"",IF($M301=0,"✖ كود الصف غير موجود",IF(ISNA(MATCH($F301,Lists!$A$2:$A$5,0)),"✖ الفترة غير صحيحة",IF(ISNA(MATCH($G301,Lists!$B$2:$B$7,0)),"✖ المجموعة غير صحيحة",IF(NOT(OR($H301="",$N301&gt;0)),"✖ Start غير صحيح",IF(NOT(OR($I301="",$I301="NR",$O301&gt;0)),"✖ Current غير صحيح",IF(NOT(IF(ISNUMBER($J301),AND($J301&gt;=0,$J301=INT($J301)),FALSE())),"✖ العدد يجب أن يكون صحيحًا ≥ 0",IF(AND($F301="Baseline",$H301&lt;&gt;""),"⚠ Baseline: Start لا يدخل في التقدم",IF($K301="No Start (attainment only)","ℹ تحصيل فقط (بدون Start)",IF($K301="U – needs rule","ℹ حالة U تحتاج قاعدة معتمدة",IF($K301="No result","ℹ بدون نتيجة (يُستبعد من التحصيل)","OK")))))))))))</f>
        <v>OK</v>
      </c>
      <c r="M301" s="64" t="n">
        <f aca="false">IF($A301="",0,IFERROR(MATCH($A301,Classes!$A$6:$A$420,0),0))</f>
        <v>284</v>
      </c>
      <c r="N301" s="64" t="n">
        <f aca="false">IF($H301="",0,IFERROR(MATCH($H301,GradeList,0),0))</f>
        <v>7</v>
      </c>
      <c r="O301" s="64" t="n">
        <f aca="false">IF(OR($I301="",$I301="NR"),0,IFERROR(MATCH($I301,GradeList,0),0))</f>
        <v>6</v>
      </c>
      <c r="P301" s="64" t="n">
        <f aca="false">IF(AND($M301&gt;0,ISNUMBER(MATCH($F301,Lists!$A$2:$A$5,0)),ISNUMBER(MATCH($G301,Lists!$B$2:$B$7,0)),OR($H301="",$N301&gt;0),OR($I301="",$I301="NR",$O301&gt;0),IF(ISNUMBER($J301),AND($J301&gt;=0,$J301=INT($J301)),FALSE())),$J301,0)</f>
        <v>1</v>
      </c>
      <c r="Q301" s="64" t="n">
        <f aca="false">IF(AND($P301&gt;0,$O301&gt;0),$P301,0)</f>
        <v>1</v>
      </c>
      <c r="R301" s="64" t="n">
        <f aca="false">IF(AND($Q301&gt;0,$O301&gt;=AtRank),$Q301,0)</f>
        <v>1</v>
      </c>
      <c r="S301" s="64" t="n">
        <f aca="false">IF(AND($Q301&gt;0,$O301&gt;=AboveRank),$Q301,0)</f>
        <v>0</v>
      </c>
      <c r="T301" s="64" t="n">
        <f aca="false">IF($K301="Less",$P301,0)</f>
        <v>0</v>
      </c>
      <c r="U301" s="64" t="n">
        <f aca="false">IF($K301="Expected",$P301,0)</f>
        <v>1</v>
      </c>
      <c r="V301" s="64" t="n">
        <f aca="false">IF($K301="Better",$P301,0)</f>
        <v>0</v>
      </c>
      <c r="W301" s="64" t="n">
        <f aca="false">IF($K301="U – needs rule",$P301,0)</f>
        <v>0</v>
      </c>
      <c r="X301" s="64" t="n">
        <f aca="false">IF($K301="No Start (attainment only)",$P301,0)</f>
        <v>0</v>
      </c>
    </row>
    <row r="302" customFormat="false" ht="15" hidden="false" customHeight="false" outlineLevel="0" collapsed="false">
      <c r="A302" s="60" t="s">
        <v>780</v>
      </c>
      <c r="B302" s="61" t="str">
        <f aca="false">IF($M302=0,"",INDEX(Classes!$E$6:$E$420,$M302))</f>
        <v>Arabic A</v>
      </c>
      <c r="C302" s="62" t="str">
        <f aca="false">IF($M302=0,"",INDEX(Classes!$H$6:$H$420,$M302))</f>
        <v>Mr Aly Abdelmonem Hasan</v>
      </c>
      <c r="D302" s="61" t="str">
        <f aca="false">IF($M302=0,"",INDEX(Classes!$B$6:$B$420,$M302))</f>
        <v>Year 10</v>
      </c>
      <c r="E302" s="61" t="str">
        <f aca="false">IF($M302=0,"",INDEX(Classes!$C$6:$C$420,$M302))</f>
        <v>ah</v>
      </c>
      <c r="F302" s="63" t="s">
        <v>107</v>
      </c>
      <c r="G302" s="63" t="s">
        <v>1018</v>
      </c>
      <c r="H302" s="60" t="s">
        <v>200</v>
      </c>
      <c r="I302" s="60" t="s">
        <v>200</v>
      </c>
      <c r="J302" s="63" t="n">
        <v>1</v>
      </c>
      <c r="K302" s="61" t="str">
        <f aca="false">IF($P302=0,"",IF($F302="Baseline","— Baseline",IF($O302=0,"No result",IF($N302=0,"No Start (attainment only)",IF(OR($N302=1,$O302=1),"U – needs rule",INDEX(MxBody,MATCH($I302,MxCurr,0),MATCH($H302,MxStart,0)))))))</f>
        <v>Expected</v>
      </c>
      <c r="L302" s="62" t="str">
        <f aca="false">IF(COUNTA($A302,$F302,$G302,$H302,$I302,$J302)=0,"",IF($M302=0,"✖ كود الصف غير موجود",IF(ISNA(MATCH($F302,Lists!$A$2:$A$5,0)),"✖ الفترة غير صحيحة",IF(ISNA(MATCH($G302,Lists!$B$2:$B$7,0)),"✖ المجموعة غير صحيحة",IF(NOT(OR($H302="",$N302&gt;0)),"✖ Start غير صحيح",IF(NOT(OR($I302="",$I302="NR",$O302&gt;0)),"✖ Current غير صحيح",IF(NOT(IF(ISNUMBER($J302),AND($J302&gt;=0,$J302=INT($J302)),FALSE())),"✖ العدد يجب أن يكون صحيحًا ≥ 0",IF(AND($F302="Baseline",$H302&lt;&gt;""),"⚠ Baseline: Start لا يدخل في التقدم",IF($K302="No Start (attainment only)","ℹ تحصيل فقط (بدون Start)",IF($K302="U – needs rule","ℹ حالة U تحتاج قاعدة معتمدة",IF($K302="No result","ℹ بدون نتيجة (يُستبعد من التحصيل)","OK")))))))))))</f>
        <v>OK</v>
      </c>
      <c r="M302" s="64" t="n">
        <f aca="false">IF($A302="",0,IFERROR(MATCH($A302,Classes!$A$6:$A$420,0),0))</f>
        <v>284</v>
      </c>
      <c r="N302" s="64" t="n">
        <f aca="false">IF($H302="",0,IFERROR(MATCH($H302,GradeList,0),0))</f>
        <v>5</v>
      </c>
      <c r="O302" s="64" t="n">
        <f aca="false">IF(OR($I302="",$I302="NR"),0,IFERROR(MATCH($I302,GradeList,0),0))</f>
        <v>5</v>
      </c>
      <c r="P302" s="64" t="n">
        <f aca="false">IF(AND($M302&gt;0,ISNUMBER(MATCH($F302,Lists!$A$2:$A$5,0)),ISNUMBER(MATCH($G302,Lists!$B$2:$B$7,0)),OR($H302="",$N302&gt;0),OR($I302="",$I302="NR",$O302&gt;0),IF(ISNUMBER($J302),AND($J302&gt;=0,$J302=INT($J302)),FALSE())),$J302,0)</f>
        <v>1</v>
      </c>
      <c r="Q302" s="64" t="n">
        <f aca="false">IF(AND($P302&gt;0,$O302&gt;0),$P302,0)</f>
        <v>1</v>
      </c>
      <c r="R302" s="64" t="n">
        <f aca="false">IF(AND($Q302&gt;0,$O302&gt;=AtRank),$Q302,0)</f>
        <v>1</v>
      </c>
      <c r="S302" s="64" t="n">
        <f aca="false">IF(AND($Q302&gt;0,$O302&gt;=AboveRank),$Q302,0)</f>
        <v>0</v>
      </c>
      <c r="T302" s="64" t="n">
        <f aca="false">IF($K302="Less",$P302,0)</f>
        <v>0</v>
      </c>
      <c r="U302" s="64" t="n">
        <f aca="false">IF($K302="Expected",$P302,0)</f>
        <v>1</v>
      </c>
      <c r="V302" s="64" t="n">
        <f aca="false">IF($K302="Better",$P302,0)</f>
        <v>0</v>
      </c>
      <c r="W302" s="64" t="n">
        <f aca="false">IF($K302="U – needs rule",$P302,0)</f>
        <v>0</v>
      </c>
      <c r="X302" s="64" t="n">
        <f aca="false">IF($K302="No Start (attainment only)",$P302,0)</f>
        <v>0</v>
      </c>
    </row>
    <row r="303" customFormat="false" ht="15" hidden="false" customHeight="false" outlineLevel="0" collapsed="false">
      <c r="A303" s="60" t="s">
        <v>780</v>
      </c>
      <c r="B303" s="61" t="str">
        <f aca="false">IF($M303=0,"",INDEX(Classes!$E$6:$E$420,$M303))</f>
        <v>Arabic A</v>
      </c>
      <c r="C303" s="62" t="str">
        <f aca="false">IF($M303=0,"",INDEX(Classes!$H$6:$H$420,$M303))</f>
        <v>Mr Aly Abdelmonem Hasan</v>
      </c>
      <c r="D303" s="61" t="str">
        <f aca="false">IF($M303=0,"",INDEX(Classes!$B$6:$B$420,$M303))</f>
        <v>Year 10</v>
      </c>
      <c r="E303" s="61" t="str">
        <f aca="false">IF($M303=0,"",INDEX(Classes!$C$6:$C$420,$M303))</f>
        <v>ah</v>
      </c>
      <c r="F303" s="63" t="s">
        <v>107</v>
      </c>
      <c r="G303" s="63" t="s">
        <v>1018</v>
      </c>
      <c r="H303" s="60" t="s">
        <v>200</v>
      </c>
      <c r="I303" s="60" t="s">
        <v>201</v>
      </c>
      <c r="J303" s="63" t="n">
        <v>1</v>
      </c>
      <c r="K303" s="61" t="str">
        <f aca="false">IF($P303=0,"",IF($F303="Baseline","— Baseline",IF($O303=0,"No result",IF($N303=0,"No Start (attainment only)",IF(OR($N303=1,$O303=1),"U – needs rule",INDEX(MxBody,MATCH($I303,MxCurr,0),MATCH($H303,MxStart,0)))))))</f>
        <v>Better</v>
      </c>
      <c r="L303" s="62" t="str">
        <f aca="false">IF(COUNTA($A303,$F303,$G303,$H303,$I303,$J303)=0,"",IF($M303=0,"✖ كود الصف غير موجود",IF(ISNA(MATCH($F303,Lists!$A$2:$A$5,0)),"✖ الفترة غير صحيحة",IF(ISNA(MATCH($G303,Lists!$B$2:$B$7,0)),"✖ المجموعة غير صحيحة",IF(NOT(OR($H303="",$N303&gt;0)),"✖ Start غير صحيح",IF(NOT(OR($I303="",$I303="NR",$O303&gt;0)),"✖ Current غير صحيح",IF(NOT(IF(ISNUMBER($J303),AND($J303&gt;=0,$J303=INT($J303)),FALSE())),"✖ العدد يجب أن يكون صحيحًا ≥ 0",IF(AND($F303="Baseline",$H303&lt;&gt;""),"⚠ Baseline: Start لا يدخل في التقدم",IF($K303="No Start (attainment only)","ℹ تحصيل فقط (بدون Start)",IF($K303="U – needs rule","ℹ حالة U تحتاج قاعدة معتمدة",IF($K303="No result","ℹ بدون نتيجة (يُستبعد من التحصيل)","OK")))))))))))</f>
        <v>OK</v>
      </c>
      <c r="M303" s="64" t="n">
        <f aca="false">IF($A303="",0,IFERROR(MATCH($A303,Classes!$A$6:$A$420,0),0))</f>
        <v>284</v>
      </c>
      <c r="N303" s="64" t="n">
        <f aca="false">IF($H303="",0,IFERROR(MATCH($H303,GradeList,0),0))</f>
        <v>5</v>
      </c>
      <c r="O303" s="64" t="n">
        <f aca="false">IF(OR($I303="",$I303="NR"),0,IFERROR(MATCH($I303,GradeList,0),0))</f>
        <v>6</v>
      </c>
      <c r="P303" s="64" t="n">
        <f aca="false">IF(AND($M303&gt;0,ISNUMBER(MATCH($F303,Lists!$A$2:$A$5,0)),ISNUMBER(MATCH($G303,Lists!$B$2:$B$7,0)),OR($H303="",$N303&gt;0),OR($I303="",$I303="NR",$O303&gt;0),IF(ISNUMBER($J303),AND($J303&gt;=0,$J303=INT($J303)),FALSE())),$J303,0)</f>
        <v>1</v>
      </c>
      <c r="Q303" s="64" t="n">
        <f aca="false">IF(AND($P303&gt;0,$O303&gt;0),$P303,0)</f>
        <v>1</v>
      </c>
      <c r="R303" s="64" t="n">
        <f aca="false">IF(AND($Q303&gt;0,$O303&gt;=AtRank),$Q303,0)</f>
        <v>1</v>
      </c>
      <c r="S303" s="64" t="n">
        <f aca="false">IF(AND($Q303&gt;0,$O303&gt;=AboveRank),$Q303,0)</f>
        <v>0</v>
      </c>
      <c r="T303" s="64" t="n">
        <f aca="false">IF($K303="Less",$P303,0)</f>
        <v>0</v>
      </c>
      <c r="U303" s="64" t="n">
        <f aca="false">IF($K303="Expected",$P303,0)</f>
        <v>0</v>
      </c>
      <c r="V303" s="64" t="n">
        <f aca="false">IF($K303="Better",$P303,0)</f>
        <v>1</v>
      </c>
      <c r="W303" s="64" t="n">
        <f aca="false">IF($K303="U – needs rule",$P303,0)</f>
        <v>0</v>
      </c>
      <c r="X303" s="64" t="n">
        <f aca="false">IF($K303="No Start (attainment only)",$P303,0)</f>
        <v>0</v>
      </c>
    </row>
    <row r="304" customFormat="false" ht="15" hidden="false" customHeight="false" outlineLevel="0" collapsed="false">
      <c r="A304" s="60" t="s">
        <v>780</v>
      </c>
      <c r="B304" s="61" t="str">
        <f aca="false">IF($M304=0,"",INDEX(Classes!$E$6:$E$420,$M304))</f>
        <v>Arabic A</v>
      </c>
      <c r="C304" s="62" t="str">
        <f aca="false">IF($M304=0,"",INDEX(Classes!$H$6:$H$420,$M304))</f>
        <v>Mr Aly Abdelmonem Hasan</v>
      </c>
      <c r="D304" s="61" t="str">
        <f aca="false">IF($M304=0,"",INDEX(Classes!$B$6:$B$420,$M304))</f>
        <v>Year 10</v>
      </c>
      <c r="E304" s="61" t="str">
        <f aca="false">IF($M304=0,"",INDEX(Classes!$C$6:$C$420,$M304))</f>
        <v>ah</v>
      </c>
      <c r="F304" s="63" t="s">
        <v>107</v>
      </c>
      <c r="G304" s="63" t="s">
        <v>1018</v>
      </c>
      <c r="H304" s="60" t="s">
        <v>201</v>
      </c>
      <c r="I304" s="60" t="s">
        <v>201</v>
      </c>
      <c r="J304" s="63" t="n">
        <v>1</v>
      </c>
      <c r="K304" s="61" t="str">
        <f aca="false">IF($P304=0,"",IF($F304="Baseline","— Baseline",IF($O304=0,"No result",IF($N304=0,"No Start (attainment only)",IF(OR($N304=1,$O304=1),"U – needs rule",INDEX(MxBody,MATCH($I304,MxCurr,0),MATCH($H304,MxStart,0)))))))</f>
        <v>Expected</v>
      </c>
      <c r="L304" s="62" t="str">
        <f aca="false">IF(COUNTA($A304,$F304,$G304,$H304,$I304,$J304)=0,"",IF($M304=0,"✖ كود الصف غير موجود",IF(ISNA(MATCH($F304,Lists!$A$2:$A$5,0)),"✖ الفترة غير صحيحة",IF(ISNA(MATCH($G304,Lists!$B$2:$B$7,0)),"✖ المجموعة غير صحيحة",IF(NOT(OR($H304="",$N304&gt;0)),"✖ Start غير صحيح",IF(NOT(OR($I304="",$I304="NR",$O304&gt;0)),"✖ Current غير صحيح",IF(NOT(IF(ISNUMBER($J304),AND($J304&gt;=0,$J304=INT($J304)),FALSE())),"✖ العدد يجب أن يكون صحيحًا ≥ 0",IF(AND($F304="Baseline",$H304&lt;&gt;""),"⚠ Baseline: Start لا يدخل في التقدم",IF($K304="No Start (attainment only)","ℹ تحصيل فقط (بدون Start)",IF($K304="U – needs rule","ℹ حالة U تحتاج قاعدة معتمدة",IF($K304="No result","ℹ بدون نتيجة (يُستبعد من التحصيل)","OK")))))))))))</f>
        <v>OK</v>
      </c>
      <c r="M304" s="64" t="n">
        <f aca="false">IF($A304="",0,IFERROR(MATCH($A304,Classes!$A$6:$A$420,0),0))</f>
        <v>284</v>
      </c>
      <c r="N304" s="64" t="n">
        <f aca="false">IF($H304="",0,IFERROR(MATCH($H304,GradeList,0),0))</f>
        <v>6</v>
      </c>
      <c r="O304" s="64" t="n">
        <f aca="false">IF(OR($I304="",$I304="NR"),0,IFERROR(MATCH($I304,GradeList,0),0))</f>
        <v>6</v>
      </c>
      <c r="P304" s="64" t="n">
        <f aca="false">IF(AND($M304&gt;0,ISNUMBER(MATCH($F304,Lists!$A$2:$A$5,0)),ISNUMBER(MATCH($G304,Lists!$B$2:$B$7,0)),OR($H304="",$N304&gt;0),OR($I304="",$I304="NR",$O304&gt;0),IF(ISNUMBER($J304),AND($J304&gt;=0,$J304=INT($J304)),FALSE())),$J304,0)</f>
        <v>1</v>
      </c>
      <c r="Q304" s="64" t="n">
        <f aca="false">IF(AND($P304&gt;0,$O304&gt;0),$P304,0)</f>
        <v>1</v>
      </c>
      <c r="R304" s="64" t="n">
        <f aca="false">IF(AND($Q304&gt;0,$O304&gt;=AtRank),$Q304,0)</f>
        <v>1</v>
      </c>
      <c r="S304" s="64" t="n">
        <f aca="false">IF(AND($Q304&gt;0,$O304&gt;=AboveRank),$Q304,0)</f>
        <v>0</v>
      </c>
      <c r="T304" s="64" t="n">
        <f aca="false">IF($K304="Less",$P304,0)</f>
        <v>0</v>
      </c>
      <c r="U304" s="64" t="n">
        <f aca="false">IF($K304="Expected",$P304,0)</f>
        <v>1</v>
      </c>
      <c r="V304" s="64" t="n">
        <f aca="false">IF($K304="Better",$P304,0)</f>
        <v>0</v>
      </c>
      <c r="W304" s="64" t="n">
        <f aca="false">IF($K304="U – needs rule",$P304,0)</f>
        <v>0</v>
      </c>
      <c r="X304" s="64" t="n">
        <f aca="false">IF($K304="No Start (attainment only)",$P304,0)</f>
        <v>0</v>
      </c>
    </row>
    <row r="305" customFormat="false" ht="15" hidden="false" customHeight="false" outlineLevel="0" collapsed="false">
      <c r="A305" s="60" t="s">
        <v>780</v>
      </c>
      <c r="B305" s="61" t="str">
        <f aca="false">IF($M305=0,"",INDEX(Classes!$E$6:$E$420,$M305))</f>
        <v>Arabic A</v>
      </c>
      <c r="C305" s="62" t="str">
        <f aca="false">IF($M305=0,"",INDEX(Classes!$H$6:$H$420,$M305))</f>
        <v>Mr Aly Abdelmonem Hasan</v>
      </c>
      <c r="D305" s="61" t="str">
        <f aca="false">IF($M305=0,"",INDEX(Classes!$B$6:$B$420,$M305))</f>
        <v>Year 10</v>
      </c>
      <c r="E305" s="61" t="str">
        <f aca="false">IF($M305=0,"",INDEX(Classes!$C$6:$C$420,$M305))</f>
        <v>ah</v>
      </c>
      <c r="F305" s="63" t="s">
        <v>163</v>
      </c>
      <c r="G305" s="63" t="s">
        <v>108</v>
      </c>
      <c r="H305" s="60" t="s">
        <v>202</v>
      </c>
      <c r="I305" s="60" t="s">
        <v>202</v>
      </c>
      <c r="J305" s="63" t="n">
        <v>1</v>
      </c>
      <c r="K305" s="61" t="str">
        <f aca="false">IF($P305=0,"",IF($F305="Baseline","— Baseline",IF($O305=0,"No result",IF($N305=0,"No Start (attainment only)",IF(OR($N305=1,$O305=1),"U – needs rule",INDEX(MxBody,MATCH($I305,MxCurr,0),MATCH($H305,MxStart,0)))))))</f>
        <v>Better</v>
      </c>
      <c r="L305" s="62" t="str">
        <f aca="false">IF(COUNTA($A305,$F305,$G305,$H305,$I305,$J305)=0,"",IF($M305=0,"✖ كود الصف غير موجود",IF(ISNA(MATCH($F305,Lists!$A$2:$A$5,0)),"✖ الفترة غير صحيحة",IF(ISNA(MATCH($G305,Lists!$B$2:$B$7,0)),"✖ المجموعة غير صحيحة",IF(NOT(OR($H305="",$N305&gt;0)),"✖ Start غير صحيح",IF(NOT(OR($I305="",$I305="NR",$O305&gt;0)),"✖ Current غير صحيح",IF(NOT(IF(ISNUMBER($J305),AND($J305&gt;=0,$J305=INT($J305)),FALSE())),"✖ العدد يجب أن يكون صحيحًا ≥ 0",IF(AND($F305="Baseline",$H305&lt;&gt;""),"⚠ Baseline: Start لا يدخل في التقدم",IF($K305="No Start (attainment only)","ℹ تحصيل فقط (بدون Start)",IF($K305="U – needs rule","ℹ حالة U تحتاج قاعدة معتمدة",IF($K305="No result","ℹ بدون نتيجة (يُستبعد من التحصيل)","OK")))))))))))</f>
        <v>OK</v>
      </c>
      <c r="M305" s="64" t="n">
        <f aca="false">IF($A305="",0,IFERROR(MATCH($A305,Classes!$A$6:$A$420,0),0))</f>
        <v>284</v>
      </c>
      <c r="N305" s="64" t="n">
        <f aca="false">IF($H305="",0,IFERROR(MATCH($H305,GradeList,0),0))</f>
        <v>7</v>
      </c>
      <c r="O305" s="64" t="n">
        <f aca="false">IF(OR($I305="",$I305="NR"),0,IFERROR(MATCH($I305,GradeList,0),0))</f>
        <v>7</v>
      </c>
      <c r="P305" s="64" t="n">
        <f aca="false">IF(AND($M305&gt;0,ISNUMBER(MATCH($F305,Lists!$A$2:$A$5,0)),ISNUMBER(MATCH($G305,Lists!$B$2:$B$7,0)),OR($H305="",$N305&gt;0),OR($I305="",$I305="NR",$O305&gt;0),IF(ISNUMBER($J305),AND($J305&gt;=0,$J305=INT($J305)),FALSE())),$J305,0)</f>
        <v>1</v>
      </c>
      <c r="Q305" s="64" t="n">
        <f aca="false">IF(AND($P305&gt;0,$O305&gt;0),$P305,0)</f>
        <v>1</v>
      </c>
      <c r="R305" s="64" t="n">
        <f aca="false">IF(AND($Q305&gt;0,$O305&gt;=AtRank),$Q305,0)</f>
        <v>1</v>
      </c>
      <c r="S305" s="64" t="n">
        <f aca="false">IF(AND($Q305&gt;0,$O305&gt;=AboveRank),$Q305,0)</f>
        <v>1</v>
      </c>
      <c r="T305" s="64" t="n">
        <f aca="false">IF($K305="Less",$P305,0)</f>
        <v>0</v>
      </c>
      <c r="U305" s="64" t="n">
        <f aca="false">IF($K305="Expected",$P305,0)</f>
        <v>0</v>
      </c>
      <c r="V305" s="64" t="n">
        <f aca="false">IF($K305="Better",$P305,0)</f>
        <v>1</v>
      </c>
      <c r="W305" s="64" t="n">
        <f aca="false">IF($K305="U – needs rule",$P305,0)</f>
        <v>0</v>
      </c>
      <c r="X305" s="64" t="n">
        <f aca="false">IF($K305="No Start (attainment only)",$P305,0)</f>
        <v>0</v>
      </c>
    </row>
    <row r="306" customFormat="false" ht="15" hidden="false" customHeight="false" outlineLevel="0" collapsed="false">
      <c r="A306" s="60" t="s">
        <v>780</v>
      </c>
      <c r="B306" s="61" t="str">
        <f aca="false">IF($M306=0,"",INDEX(Classes!$E$6:$E$420,$M306))</f>
        <v>Arabic A</v>
      </c>
      <c r="C306" s="62" t="str">
        <f aca="false">IF($M306=0,"",INDEX(Classes!$H$6:$H$420,$M306))</f>
        <v>Mr Aly Abdelmonem Hasan</v>
      </c>
      <c r="D306" s="61" t="str">
        <f aca="false">IF($M306=0,"",INDEX(Classes!$B$6:$B$420,$M306))</f>
        <v>Year 10</v>
      </c>
      <c r="E306" s="61" t="str">
        <f aca="false">IF($M306=0,"",INDEX(Classes!$C$6:$C$420,$M306))</f>
        <v>ah</v>
      </c>
      <c r="F306" s="63" t="s">
        <v>163</v>
      </c>
      <c r="G306" s="63" t="s">
        <v>108</v>
      </c>
      <c r="H306" s="60" t="s">
        <v>202</v>
      </c>
      <c r="I306" s="60" t="s">
        <v>203</v>
      </c>
      <c r="J306" s="63" t="n">
        <v>1</v>
      </c>
      <c r="K306" s="61" t="str">
        <f aca="false">IF($P306=0,"",IF($F306="Baseline","— Baseline",IF($O306=0,"No result",IF($N306=0,"No Start (attainment only)",IF(OR($N306=1,$O306=1),"U – needs rule",INDEX(MxBody,MATCH($I306,MxCurr,0),MATCH($H306,MxStart,0)))))))</f>
        <v>Better</v>
      </c>
      <c r="L306" s="62" t="str">
        <f aca="false">IF(COUNTA($A306,$F306,$G306,$H306,$I306,$J306)=0,"",IF($M306=0,"✖ كود الصف غير موجود",IF(ISNA(MATCH($F306,Lists!$A$2:$A$5,0)),"✖ الفترة غير صحيحة",IF(ISNA(MATCH($G306,Lists!$B$2:$B$7,0)),"✖ المجموعة غير صحيحة",IF(NOT(OR($H306="",$N306&gt;0)),"✖ Start غير صحيح",IF(NOT(OR($I306="",$I306="NR",$O306&gt;0)),"✖ Current غير صحيح",IF(NOT(IF(ISNUMBER($J306),AND($J306&gt;=0,$J306=INT($J306)),FALSE())),"✖ العدد يجب أن يكون صحيحًا ≥ 0",IF(AND($F306="Baseline",$H306&lt;&gt;""),"⚠ Baseline: Start لا يدخل في التقدم",IF($K306="No Start (attainment only)","ℹ تحصيل فقط (بدون Start)",IF($K306="U – needs rule","ℹ حالة U تحتاج قاعدة معتمدة",IF($K306="No result","ℹ بدون نتيجة (يُستبعد من التحصيل)","OK")))))))))))</f>
        <v>OK</v>
      </c>
      <c r="M306" s="64" t="n">
        <f aca="false">IF($A306="",0,IFERROR(MATCH($A306,Classes!$A$6:$A$420,0),0))</f>
        <v>284</v>
      </c>
      <c r="N306" s="64" t="n">
        <f aca="false">IF($H306="",0,IFERROR(MATCH($H306,GradeList,0),0))</f>
        <v>7</v>
      </c>
      <c r="O306" s="64" t="n">
        <f aca="false">IF(OR($I306="",$I306="NR"),0,IFERROR(MATCH($I306,GradeList,0),0))</f>
        <v>8</v>
      </c>
      <c r="P306" s="64" t="n">
        <f aca="false">IF(AND($M306&gt;0,ISNUMBER(MATCH($F306,Lists!$A$2:$A$5,0)),ISNUMBER(MATCH($G306,Lists!$B$2:$B$7,0)),OR($H306="",$N306&gt;0),OR($I306="",$I306="NR",$O306&gt;0),IF(ISNUMBER($J306),AND($J306&gt;=0,$J306=INT($J306)),FALSE())),$J306,0)</f>
        <v>1</v>
      </c>
      <c r="Q306" s="64" t="n">
        <f aca="false">IF(AND($P306&gt;0,$O306&gt;0),$P306,0)</f>
        <v>1</v>
      </c>
      <c r="R306" s="64" t="n">
        <f aca="false">IF(AND($Q306&gt;0,$O306&gt;=AtRank),$Q306,0)</f>
        <v>1</v>
      </c>
      <c r="S306" s="64" t="n">
        <f aca="false">IF(AND($Q306&gt;0,$O306&gt;=AboveRank),$Q306,0)</f>
        <v>1</v>
      </c>
      <c r="T306" s="64" t="n">
        <f aca="false">IF($K306="Less",$P306,0)</f>
        <v>0</v>
      </c>
      <c r="U306" s="64" t="n">
        <f aca="false">IF($K306="Expected",$P306,0)</f>
        <v>0</v>
      </c>
      <c r="V306" s="64" t="n">
        <f aca="false">IF($K306="Better",$P306,0)</f>
        <v>1</v>
      </c>
      <c r="W306" s="64" t="n">
        <f aca="false">IF($K306="U – needs rule",$P306,0)</f>
        <v>0</v>
      </c>
      <c r="X306" s="64" t="n">
        <f aca="false">IF($K306="No Start (attainment only)",$P306,0)</f>
        <v>0</v>
      </c>
    </row>
    <row r="307" customFormat="false" ht="15" hidden="false" customHeight="false" outlineLevel="0" collapsed="false">
      <c r="A307" s="60" t="s">
        <v>780</v>
      </c>
      <c r="B307" s="61" t="str">
        <f aca="false">IF($M307=0,"",INDEX(Classes!$E$6:$E$420,$M307))</f>
        <v>Arabic A</v>
      </c>
      <c r="C307" s="62" t="str">
        <f aca="false">IF($M307=0,"",INDEX(Classes!$H$6:$H$420,$M307))</f>
        <v>Mr Aly Abdelmonem Hasan</v>
      </c>
      <c r="D307" s="61" t="str">
        <f aca="false">IF($M307=0,"",INDEX(Classes!$B$6:$B$420,$M307))</f>
        <v>Year 10</v>
      </c>
      <c r="E307" s="61" t="str">
        <f aca="false">IF($M307=0,"",INDEX(Classes!$C$6:$C$420,$M307))</f>
        <v>ah</v>
      </c>
      <c r="F307" s="63" t="s">
        <v>163</v>
      </c>
      <c r="G307" s="63" t="s">
        <v>108</v>
      </c>
      <c r="H307" s="60" t="s">
        <v>200</v>
      </c>
      <c r="I307" s="60" t="s">
        <v>200</v>
      </c>
      <c r="J307" s="63" t="n">
        <v>1</v>
      </c>
      <c r="K307" s="61" t="str">
        <f aca="false">IF($P307=0,"",IF($F307="Baseline","— Baseline",IF($O307=0,"No result",IF($N307=0,"No Start (attainment only)",IF(OR($N307=1,$O307=1),"U – needs rule",INDEX(MxBody,MATCH($I307,MxCurr,0),MATCH($H307,MxStart,0)))))))</f>
        <v>Expected</v>
      </c>
      <c r="L307" s="62" t="str">
        <f aca="false">IF(COUNTA($A307,$F307,$G307,$H307,$I307,$J307)=0,"",IF($M307=0,"✖ كود الصف غير موجود",IF(ISNA(MATCH($F307,Lists!$A$2:$A$5,0)),"✖ الفترة غير صحيحة",IF(ISNA(MATCH($G307,Lists!$B$2:$B$7,0)),"✖ المجموعة غير صحيحة",IF(NOT(OR($H307="",$N307&gt;0)),"✖ Start غير صحيح",IF(NOT(OR($I307="",$I307="NR",$O307&gt;0)),"✖ Current غير صحيح",IF(NOT(IF(ISNUMBER($J307),AND($J307&gt;=0,$J307=INT($J307)),FALSE())),"✖ العدد يجب أن يكون صحيحًا ≥ 0",IF(AND($F307="Baseline",$H307&lt;&gt;""),"⚠ Baseline: Start لا يدخل في التقدم",IF($K307="No Start (attainment only)","ℹ تحصيل فقط (بدون Start)",IF($K307="U – needs rule","ℹ حالة U تحتاج قاعدة معتمدة",IF($K307="No result","ℹ بدون نتيجة (يُستبعد من التحصيل)","OK")))))))))))</f>
        <v>OK</v>
      </c>
      <c r="M307" s="64" t="n">
        <f aca="false">IF($A307="",0,IFERROR(MATCH($A307,Classes!$A$6:$A$420,0),0))</f>
        <v>284</v>
      </c>
      <c r="N307" s="64" t="n">
        <f aca="false">IF($H307="",0,IFERROR(MATCH($H307,GradeList,0),0))</f>
        <v>5</v>
      </c>
      <c r="O307" s="64" t="n">
        <f aca="false">IF(OR($I307="",$I307="NR"),0,IFERROR(MATCH($I307,GradeList,0),0))</f>
        <v>5</v>
      </c>
      <c r="P307" s="64" t="n">
        <f aca="false">IF(AND($M307&gt;0,ISNUMBER(MATCH($F307,Lists!$A$2:$A$5,0)),ISNUMBER(MATCH($G307,Lists!$B$2:$B$7,0)),OR($H307="",$N307&gt;0),OR($I307="",$I307="NR",$O307&gt;0),IF(ISNUMBER($J307),AND($J307&gt;=0,$J307=INT($J307)),FALSE())),$J307,0)</f>
        <v>1</v>
      </c>
      <c r="Q307" s="64" t="n">
        <f aca="false">IF(AND($P307&gt;0,$O307&gt;0),$P307,0)</f>
        <v>1</v>
      </c>
      <c r="R307" s="64" t="n">
        <f aca="false">IF(AND($Q307&gt;0,$O307&gt;=AtRank),$Q307,0)</f>
        <v>1</v>
      </c>
      <c r="S307" s="64" t="n">
        <f aca="false">IF(AND($Q307&gt;0,$O307&gt;=AboveRank),$Q307,0)</f>
        <v>0</v>
      </c>
      <c r="T307" s="64" t="n">
        <f aca="false">IF($K307="Less",$P307,0)</f>
        <v>0</v>
      </c>
      <c r="U307" s="64" t="n">
        <f aca="false">IF($K307="Expected",$P307,0)</f>
        <v>1</v>
      </c>
      <c r="V307" s="64" t="n">
        <f aca="false">IF($K307="Better",$P307,0)</f>
        <v>0</v>
      </c>
      <c r="W307" s="64" t="n">
        <f aca="false">IF($K307="U – needs rule",$P307,0)</f>
        <v>0</v>
      </c>
      <c r="X307" s="64" t="n">
        <f aca="false">IF($K307="No Start (attainment only)",$P307,0)</f>
        <v>0</v>
      </c>
    </row>
    <row r="308" customFormat="false" ht="15" hidden="false" customHeight="false" outlineLevel="0" collapsed="false">
      <c r="A308" s="60" t="s">
        <v>780</v>
      </c>
      <c r="B308" s="61" t="str">
        <f aca="false">IF($M308=0,"",INDEX(Classes!$E$6:$E$420,$M308))</f>
        <v>Arabic A</v>
      </c>
      <c r="C308" s="62" t="str">
        <f aca="false">IF($M308=0,"",INDEX(Classes!$H$6:$H$420,$M308))</f>
        <v>Mr Aly Abdelmonem Hasan</v>
      </c>
      <c r="D308" s="61" t="str">
        <f aca="false">IF($M308=0,"",INDEX(Classes!$B$6:$B$420,$M308))</f>
        <v>Year 10</v>
      </c>
      <c r="E308" s="61" t="str">
        <f aca="false">IF($M308=0,"",INDEX(Classes!$C$6:$C$420,$M308))</f>
        <v>ah</v>
      </c>
      <c r="F308" s="63" t="s">
        <v>163</v>
      </c>
      <c r="G308" s="63" t="s">
        <v>108</v>
      </c>
      <c r="H308" s="60" t="s">
        <v>200</v>
      </c>
      <c r="I308" s="60" t="s">
        <v>201</v>
      </c>
      <c r="J308" s="63" t="n">
        <v>2</v>
      </c>
      <c r="K308" s="61" t="str">
        <f aca="false">IF($P308=0,"",IF($F308="Baseline","— Baseline",IF($O308=0,"No result",IF($N308=0,"No Start (attainment only)",IF(OR($N308=1,$O308=1),"U – needs rule",INDEX(MxBody,MATCH($I308,MxCurr,0),MATCH($H308,MxStart,0)))))))</f>
        <v>Better</v>
      </c>
      <c r="L308" s="62" t="str">
        <f aca="false">IF(COUNTA($A308,$F308,$G308,$H308,$I308,$J308)=0,"",IF($M308=0,"✖ كود الصف غير موجود",IF(ISNA(MATCH($F308,Lists!$A$2:$A$5,0)),"✖ الفترة غير صحيحة",IF(ISNA(MATCH($G308,Lists!$B$2:$B$7,0)),"✖ المجموعة غير صحيحة",IF(NOT(OR($H308="",$N308&gt;0)),"✖ Start غير صحيح",IF(NOT(OR($I308="",$I308="NR",$O308&gt;0)),"✖ Current غير صحيح",IF(NOT(IF(ISNUMBER($J308),AND($J308&gt;=0,$J308=INT($J308)),FALSE())),"✖ العدد يجب أن يكون صحيحًا ≥ 0",IF(AND($F308="Baseline",$H308&lt;&gt;""),"⚠ Baseline: Start لا يدخل في التقدم",IF($K308="No Start (attainment only)","ℹ تحصيل فقط (بدون Start)",IF($K308="U – needs rule","ℹ حالة U تحتاج قاعدة معتمدة",IF($K308="No result","ℹ بدون نتيجة (يُستبعد من التحصيل)","OK")))))))))))</f>
        <v>OK</v>
      </c>
      <c r="M308" s="64" t="n">
        <f aca="false">IF($A308="",0,IFERROR(MATCH($A308,Classes!$A$6:$A$420,0),0))</f>
        <v>284</v>
      </c>
      <c r="N308" s="64" t="n">
        <f aca="false">IF($H308="",0,IFERROR(MATCH($H308,GradeList,0),0))</f>
        <v>5</v>
      </c>
      <c r="O308" s="64" t="n">
        <f aca="false">IF(OR($I308="",$I308="NR"),0,IFERROR(MATCH($I308,GradeList,0),0))</f>
        <v>6</v>
      </c>
      <c r="P308" s="64" t="n">
        <f aca="false">IF(AND($M308&gt;0,ISNUMBER(MATCH($F308,Lists!$A$2:$A$5,0)),ISNUMBER(MATCH($G308,Lists!$B$2:$B$7,0)),OR($H308="",$N308&gt;0),OR($I308="",$I308="NR",$O308&gt;0),IF(ISNUMBER($J308),AND($J308&gt;=0,$J308=INT($J308)),FALSE())),$J308,0)</f>
        <v>2</v>
      </c>
      <c r="Q308" s="64" t="n">
        <f aca="false">IF(AND($P308&gt;0,$O308&gt;0),$P308,0)</f>
        <v>2</v>
      </c>
      <c r="R308" s="64" t="n">
        <f aca="false">IF(AND($Q308&gt;0,$O308&gt;=AtRank),$Q308,0)</f>
        <v>2</v>
      </c>
      <c r="S308" s="64" t="n">
        <f aca="false">IF(AND($Q308&gt;0,$O308&gt;=AboveRank),$Q308,0)</f>
        <v>0</v>
      </c>
      <c r="T308" s="64" t="n">
        <f aca="false">IF($K308="Less",$P308,0)</f>
        <v>0</v>
      </c>
      <c r="U308" s="64" t="n">
        <f aca="false">IF($K308="Expected",$P308,0)</f>
        <v>0</v>
      </c>
      <c r="V308" s="64" t="n">
        <f aca="false">IF($K308="Better",$P308,0)</f>
        <v>2</v>
      </c>
      <c r="W308" s="64" t="n">
        <f aca="false">IF($K308="U – needs rule",$P308,0)</f>
        <v>0</v>
      </c>
      <c r="X308" s="64" t="n">
        <f aca="false">IF($K308="No Start (attainment only)",$P308,0)</f>
        <v>0</v>
      </c>
    </row>
    <row r="309" customFormat="false" ht="15" hidden="false" customHeight="false" outlineLevel="0" collapsed="false">
      <c r="A309" s="60" t="s">
        <v>780</v>
      </c>
      <c r="B309" s="61" t="str">
        <f aca="false">IF($M309=0,"",INDEX(Classes!$E$6:$E$420,$M309))</f>
        <v>Arabic A</v>
      </c>
      <c r="C309" s="62" t="str">
        <f aca="false">IF($M309=0,"",INDEX(Classes!$H$6:$H$420,$M309))</f>
        <v>Mr Aly Abdelmonem Hasan</v>
      </c>
      <c r="D309" s="61" t="str">
        <f aca="false">IF($M309=0,"",INDEX(Classes!$B$6:$B$420,$M309))</f>
        <v>Year 10</v>
      </c>
      <c r="E309" s="61" t="str">
        <f aca="false">IF($M309=0,"",INDEX(Classes!$C$6:$C$420,$M309))</f>
        <v>ah</v>
      </c>
      <c r="F309" s="63" t="s">
        <v>163</v>
      </c>
      <c r="G309" s="63" t="s">
        <v>108</v>
      </c>
      <c r="H309" s="60" t="s">
        <v>200</v>
      </c>
      <c r="I309" s="60" t="s">
        <v>199</v>
      </c>
      <c r="J309" s="63" t="n">
        <v>1</v>
      </c>
      <c r="K309" s="61" t="str">
        <f aca="false">IF($P309=0,"",IF($F309="Baseline","— Baseline",IF($O309=0,"No result",IF($N309=0,"No Start (attainment only)",IF(OR($N309=1,$O309=1),"U – needs rule",INDEX(MxBody,MATCH($I309,MxCurr,0),MATCH($H309,MxStart,0)))))))</f>
        <v>Less</v>
      </c>
      <c r="L309" s="62" t="str">
        <f aca="false">IF(COUNTA($A309,$F309,$G309,$H309,$I309,$J309)=0,"",IF($M309=0,"✖ كود الصف غير موجود",IF(ISNA(MATCH($F309,Lists!$A$2:$A$5,0)),"✖ الفترة غير صحيحة",IF(ISNA(MATCH($G309,Lists!$B$2:$B$7,0)),"✖ المجموعة غير صحيحة",IF(NOT(OR($H309="",$N309&gt;0)),"✖ Start غير صحيح",IF(NOT(OR($I309="",$I309="NR",$O309&gt;0)),"✖ Current غير صحيح",IF(NOT(IF(ISNUMBER($J309),AND($J309&gt;=0,$J309=INT($J309)),FALSE())),"✖ العدد يجب أن يكون صحيحًا ≥ 0",IF(AND($F309="Baseline",$H309&lt;&gt;""),"⚠ Baseline: Start لا يدخل في التقدم",IF($K309="No Start (attainment only)","ℹ تحصيل فقط (بدون Start)",IF($K309="U – needs rule","ℹ حالة U تحتاج قاعدة معتمدة",IF($K309="No result","ℹ بدون نتيجة (يُستبعد من التحصيل)","OK")))))))))))</f>
        <v>OK</v>
      </c>
      <c r="M309" s="64" t="n">
        <f aca="false">IF($A309="",0,IFERROR(MATCH($A309,Classes!$A$6:$A$420,0),0))</f>
        <v>284</v>
      </c>
      <c r="N309" s="64" t="n">
        <f aca="false">IF($H309="",0,IFERROR(MATCH($H309,GradeList,0),0))</f>
        <v>5</v>
      </c>
      <c r="O309" s="64" t="n">
        <f aca="false">IF(OR($I309="",$I309="NR"),0,IFERROR(MATCH($I309,GradeList,0),0))</f>
        <v>4</v>
      </c>
      <c r="P309" s="64" t="n">
        <f aca="false">IF(AND($M309&gt;0,ISNUMBER(MATCH($F309,Lists!$A$2:$A$5,0)),ISNUMBER(MATCH($G309,Lists!$B$2:$B$7,0)),OR($H309="",$N309&gt;0),OR($I309="",$I309="NR",$O309&gt;0),IF(ISNUMBER($J309),AND($J309&gt;=0,$J309=INT($J309)),FALSE())),$J309,0)</f>
        <v>1</v>
      </c>
      <c r="Q309" s="64" t="n">
        <f aca="false">IF(AND($P309&gt;0,$O309&gt;0),$P309,0)</f>
        <v>1</v>
      </c>
      <c r="R309" s="64" t="n">
        <f aca="false">IF(AND($Q309&gt;0,$O309&gt;=AtRank),$Q309,0)</f>
        <v>0</v>
      </c>
      <c r="S309" s="64" t="n">
        <f aca="false">IF(AND($Q309&gt;0,$O309&gt;=AboveRank),$Q309,0)</f>
        <v>0</v>
      </c>
      <c r="T309" s="64" t="n">
        <f aca="false">IF($K309="Less",$P309,0)</f>
        <v>1</v>
      </c>
      <c r="U309" s="64" t="n">
        <f aca="false">IF($K309="Expected",$P309,0)</f>
        <v>0</v>
      </c>
      <c r="V309" s="64" t="n">
        <f aca="false">IF($K309="Better",$P309,0)</f>
        <v>0</v>
      </c>
      <c r="W309" s="64" t="n">
        <f aca="false">IF($K309="U – needs rule",$P309,0)</f>
        <v>0</v>
      </c>
      <c r="X309" s="64" t="n">
        <f aca="false">IF($K309="No Start (attainment only)",$P309,0)</f>
        <v>0</v>
      </c>
    </row>
    <row r="310" customFormat="false" ht="15" hidden="false" customHeight="false" outlineLevel="0" collapsed="false">
      <c r="A310" s="60" t="s">
        <v>780</v>
      </c>
      <c r="B310" s="61" t="str">
        <f aca="false">IF($M310=0,"",INDEX(Classes!$E$6:$E$420,$M310))</f>
        <v>Arabic A</v>
      </c>
      <c r="C310" s="62" t="str">
        <f aca="false">IF($M310=0,"",INDEX(Classes!$H$6:$H$420,$M310))</f>
        <v>Mr Aly Abdelmonem Hasan</v>
      </c>
      <c r="D310" s="61" t="str">
        <f aca="false">IF($M310=0,"",INDEX(Classes!$B$6:$B$420,$M310))</f>
        <v>Year 10</v>
      </c>
      <c r="E310" s="61" t="str">
        <f aca="false">IF($M310=0,"",INDEX(Classes!$C$6:$C$420,$M310))</f>
        <v>ah</v>
      </c>
      <c r="F310" s="63" t="s">
        <v>163</v>
      </c>
      <c r="G310" s="63" t="s">
        <v>108</v>
      </c>
      <c r="H310" s="60" t="s">
        <v>201</v>
      </c>
      <c r="I310" s="60" t="s">
        <v>203</v>
      </c>
      <c r="J310" s="63" t="n">
        <v>1</v>
      </c>
      <c r="K310" s="61" t="str">
        <f aca="false">IF($P310=0,"",IF($F310="Baseline","— Baseline",IF($O310=0,"No result",IF($N310=0,"No Start (attainment only)",IF(OR($N310=1,$O310=1),"U – needs rule",INDEX(MxBody,MATCH($I310,MxCurr,0),MATCH($H310,MxStart,0)))))))</f>
        <v>Better</v>
      </c>
      <c r="L310" s="62" t="str">
        <f aca="false">IF(COUNTA($A310,$F310,$G310,$H310,$I310,$J310)=0,"",IF($M310=0,"✖ كود الصف غير موجود",IF(ISNA(MATCH($F310,Lists!$A$2:$A$5,0)),"✖ الفترة غير صحيحة",IF(ISNA(MATCH($G310,Lists!$B$2:$B$7,0)),"✖ المجموعة غير صحيحة",IF(NOT(OR($H310="",$N310&gt;0)),"✖ Start غير صحيح",IF(NOT(OR($I310="",$I310="NR",$O310&gt;0)),"✖ Current غير صحيح",IF(NOT(IF(ISNUMBER($J310),AND($J310&gt;=0,$J310=INT($J310)),FALSE())),"✖ العدد يجب أن يكون صحيحًا ≥ 0",IF(AND($F310="Baseline",$H310&lt;&gt;""),"⚠ Baseline: Start لا يدخل في التقدم",IF($K310="No Start (attainment only)","ℹ تحصيل فقط (بدون Start)",IF($K310="U – needs rule","ℹ حالة U تحتاج قاعدة معتمدة",IF($K310="No result","ℹ بدون نتيجة (يُستبعد من التحصيل)","OK")))))))))))</f>
        <v>OK</v>
      </c>
      <c r="M310" s="64" t="n">
        <f aca="false">IF($A310="",0,IFERROR(MATCH($A310,Classes!$A$6:$A$420,0),0))</f>
        <v>284</v>
      </c>
      <c r="N310" s="64" t="n">
        <f aca="false">IF($H310="",0,IFERROR(MATCH($H310,GradeList,0),0))</f>
        <v>6</v>
      </c>
      <c r="O310" s="64" t="n">
        <f aca="false">IF(OR($I310="",$I310="NR"),0,IFERROR(MATCH($I310,GradeList,0),0))</f>
        <v>8</v>
      </c>
      <c r="P310" s="64" t="n">
        <f aca="false">IF(AND($M310&gt;0,ISNUMBER(MATCH($F310,Lists!$A$2:$A$5,0)),ISNUMBER(MATCH($G310,Lists!$B$2:$B$7,0)),OR($H310="",$N310&gt;0),OR($I310="",$I310="NR",$O310&gt;0),IF(ISNUMBER($J310),AND($J310&gt;=0,$J310=INT($J310)),FALSE())),$J310,0)</f>
        <v>1</v>
      </c>
      <c r="Q310" s="64" t="n">
        <f aca="false">IF(AND($P310&gt;0,$O310&gt;0),$P310,0)</f>
        <v>1</v>
      </c>
      <c r="R310" s="64" t="n">
        <f aca="false">IF(AND($Q310&gt;0,$O310&gt;=AtRank),$Q310,0)</f>
        <v>1</v>
      </c>
      <c r="S310" s="64" t="n">
        <f aca="false">IF(AND($Q310&gt;0,$O310&gt;=AboveRank),$Q310,0)</f>
        <v>1</v>
      </c>
      <c r="T310" s="64" t="n">
        <f aca="false">IF($K310="Less",$P310,0)</f>
        <v>0</v>
      </c>
      <c r="U310" s="64" t="n">
        <f aca="false">IF($K310="Expected",$P310,0)</f>
        <v>0</v>
      </c>
      <c r="V310" s="64" t="n">
        <f aca="false">IF($K310="Better",$P310,0)</f>
        <v>1</v>
      </c>
      <c r="W310" s="64" t="n">
        <f aca="false">IF($K310="U – needs rule",$P310,0)</f>
        <v>0</v>
      </c>
      <c r="X310" s="64" t="n">
        <f aca="false">IF($K310="No Start (attainment only)",$P310,0)</f>
        <v>0</v>
      </c>
    </row>
    <row r="311" customFormat="false" ht="15" hidden="false" customHeight="false" outlineLevel="0" collapsed="false">
      <c r="A311" s="60" t="s">
        <v>780</v>
      </c>
      <c r="B311" s="61" t="str">
        <f aca="false">IF($M311=0,"",INDEX(Classes!$E$6:$E$420,$M311))</f>
        <v>Arabic A</v>
      </c>
      <c r="C311" s="62" t="str">
        <f aca="false">IF($M311=0,"",INDEX(Classes!$H$6:$H$420,$M311))</f>
        <v>Mr Aly Abdelmonem Hasan</v>
      </c>
      <c r="D311" s="61" t="str">
        <f aca="false">IF($M311=0,"",INDEX(Classes!$B$6:$B$420,$M311))</f>
        <v>Year 10</v>
      </c>
      <c r="E311" s="61" t="str">
        <f aca="false">IF($M311=0,"",INDEX(Classes!$C$6:$C$420,$M311))</f>
        <v>ah</v>
      </c>
      <c r="F311" s="63" t="s">
        <v>163</v>
      </c>
      <c r="G311" s="63" t="s">
        <v>108</v>
      </c>
      <c r="H311" s="60" t="s">
        <v>201</v>
      </c>
      <c r="I311" s="60" t="s">
        <v>201</v>
      </c>
      <c r="J311" s="63" t="n">
        <v>1</v>
      </c>
      <c r="K311" s="61" t="str">
        <f aca="false">IF($P311=0,"",IF($F311="Baseline","— Baseline",IF($O311=0,"No result",IF($N311=0,"No Start (attainment only)",IF(OR($N311=1,$O311=1),"U – needs rule",INDEX(MxBody,MATCH($I311,MxCurr,0),MATCH($H311,MxStart,0)))))))</f>
        <v>Expected</v>
      </c>
      <c r="L311" s="62" t="str">
        <f aca="false">IF(COUNTA($A311,$F311,$G311,$H311,$I311,$J311)=0,"",IF($M311=0,"✖ كود الصف غير موجود",IF(ISNA(MATCH($F311,Lists!$A$2:$A$5,0)),"✖ الفترة غير صحيحة",IF(ISNA(MATCH($G311,Lists!$B$2:$B$7,0)),"✖ المجموعة غير صحيحة",IF(NOT(OR($H311="",$N311&gt;0)),"✖ Start غير صحيح",IF(NOT(OR($I311="",$I311="NR",$O311&gt;0)),"✖ Current غير صحيح",IF(NOT(IF(ISNUMBER($J311),AND($J311&gt;=0,$J311=INT($J311)),FALSE())),"✖ العدد يجب أن يكون صحيحًا ≥ 0",IF(AND($F311="Baseline",$H311&lt;&gt;""),"⚠ Baseline: Start لا يدخل في التقدم",IF($K311="No Start (attainment only)","ℹ تحصيل فقط (بدون Start)",IF($K311="U – needs rule","ℹ حالة U تحتاج قاعدة معتمدة",IF($K311="No result","ℹ بدون نتيجة (يُستبعد من التحصيل)","OK")))))))))))</f>
        <v>OK</v>
      </c>
      <c r="M311" s="64" t="n">
        <f aca="false">IF($A311="",0,IFERROR(MATCH($A311,Classes!$A$6:$A$420,0),0))</f>
        <v>284</v>
      </c>
      <c r="N311" s="64" t="n">
        <f aca="false">IF($H311="",0,IFERROR(MATCH($H311,GradeList,0),0))</f>
        <v>6</v>
      </c>
      <c r="O311" s="64" t="n">
        <f aca="false">IF(OR($I311="",$I311="NR"),0,IFERROR(MATCH($I311,GradeList,0),0))</f>
        <v>6</v>
      </c>
      <c r="P311" s="64" t="n">
        <f aca="false">IF(AND($M311&gt;0,ISNUMBER(MATCH($F311,Lists!$A$2:$A$5,0)),ISNUMBER(MATCH($G311,Lists!$B$2:$B$7,0)),OR($H311="",$N311&gt;0),OR($I311="",$I311="NR",$O311&gt;0),IF(ISNUMBER($J311),AND($J311&gt;=0,$J311=INT($J311)),FALSE())),$J311,0)</f>
        <v>1</v>
      </c>
      <c r="Q311" s="64" t="n">
        <f aca="false">IF(AND($P311&gt;0,$O311&gt;0),$P311,0)</f>
        <v>1</v>
      </c>
      <c r="R311" s="64" t="n">
        <f aca="false">IF(AND($Q311&gt;0,$O311&gt;=AtRank),$Q311,0)</f>
        <v>1</v>
      </c>
      <c r="S311" s="64" t="n">
        <f aca="false">IF(AND($Q311&gt;0,$O311&gt;=AboveRank),$Q311,0)</f>
        <v>0</v>
      </c>
      <c r="T311" s="64" t="n">
        <f aca="false">IF($K311="Less",$P311,0)</f>
        <v>0</v>
      </c>
      <c r="U311" s="64" t="n">
        <f aca="false">IF($K311="Expected",$P311,0)</f>
        <v>1</v>
      </c>
      <c r="V311" s="64" t="n">
        <f aca="false">IF($K311="Better",$P311,0)</f>
        <v>0</v>
      </c>
      <c r="W311" s="64" t="n">
        <f aca="false">IF($K311="U – needs rule",$P311,0)</f>
        <v>0</v>
      </c>
      <c r="X311" s="64" t="n">
        <f aca="false">IF($K311="No Start (attainment only)",$P311,0)</f>
        <v>0</v>
      </c>
    </row>
    <row r="312" customFormat="false" ht="15" hidden="false" customHeight="false" outlineLevel="0" collapsed="false">
      <c r="A312" s="60" t="s">
        <v>780</v>
      </c>
      <c r="B312" s="61" t="str">
        <f aca="false">IF($M312=0,"",INDEX(Classes!$E$6:$E$420,$M312))</f>
        <v>Arabic A</v>
      </c>
      <c r="C312" s="62" t="str">
        <f aca="false">IF($M312=0,"",INDEX(Classes!$H$6:$H$420,$M312))</f>
        <v>Mr Aly Abdelmonem Hasan</v>
      </c>
      <c r="D312" s="61" t="str">
        <f aca="false">IF($M312=0,"",INDEX(Classes!$B$6:$B$420,$M312))</f>
        <v>Year 10</v>
      </c>
      <c r="E312" s="61" t="str">
        <f aca="false">IF($M312=0,"",INDEX(Classes!$C$6:$C$420,$M312))</f>
        <v>ah</v>
      </c>
      <c r="F312" s="63" t="s">
        <v>163</v>
      </c>
      <c r="G312" s="63" t="s">
        <v>108</v>
      </c>
      <c r="H312" s="60" t="s">
        <v>201</v>
      </c>
      <c r="I312" s="60" t="s">
        <v>204</v>
      </c>
      <c r="J312" s="63" t="n">
        <v>1</v>
      </c>
      <c r="K312" s="61" t="str">
        <f aca="false">IF($P312=0,"",IF($F312="Baseline","— Baseline",IF($O312=0,"No result",IF($N312=0,"No Start (attainment only)",IF(OR($N312=1,$O312=1),"U – needs rule",INDEX(MxBody,MATCH($I312,MxCurr,0),MATCH($H312,MxStart,0)))))))</f>
        <v>Better</v>
      </c>
      <c r="L312" s="62" t="str">
        <f aca="false">IF(COUNTA($A312,$F312,$G312,$H312,$I312,$J312)=0,"",IF($M312=0,"✖ كود الصف غير موجود",IF(ISNA(MATCH($F312,Lists!$A$2:$A$5,0)),"✖ الفترة غير صحيحة",IF(ISNA(MATCH($G312,Lists!$B$2:$B$7,0)),"✖ المجموعة غير صحيحة",IF(NOT(OR($H312="",$N312&gt;0)),"✖ Start غير صحيح",IF(NOT(OR($I312="",$I312="NR",$O312&gt;0)),"✖ Current غير صحيح",IF(NOT(IF(ISNUMBER($J312),AND($J312&gt;=0,$J312=INT($J312)),FALSE())),"✖ العدد يجب أن يكون صحيحًا ≥ 0",IF(AND($F312="Baseline",$H312&lt;&gt;""),"⚠ Baseline: Start لا يدخل في التقدم",IF($K312="No Start (attainment only)","ℹ تحصيل فقط (بدون Start)",IF($K312="U – needs rule","ℹ حالة U تحتاج قاعدة معتمدة",IF($K312="No result","ℹ بدون نتيجة (يُستبعد من التحصيل)","OK")))))))))))</f>
        <v>OK</v>
      </c>
      <c r="M312" s="64" t="n">
        <f aca="false">IF($A312="",0,IFERROR(MATCH($A312,Classes!$A$6:$A$420,0),0))</f>
        <v>284</v>
      </c>
      <c r="N312" s="64" t="n">
        <f aca="false">IF($H312="",0,IFERROR(MATCH($H312,GradeList,0),0))</f>
        <v>6</v>
      </c>
      <c r="O312" s="64" t="n">
        <f aca="false">IF(OR($I312="",$I312="NR"),0,IFERROR(MATCH($I312,GradeList,0),0))</f>
        <v>9</v>
      </c>
      <c r="P312" s="64" t="n">
        <f aca="false">IF(AND($M312&gt;0,ISNUMBER(MATCH($F312,Lists!$A$2:$A$5,0)),ISNUMBER(MATCH($G312,Lists!$B$2:$B$7,0)),OR($H312="",$N312&gt;0),OR($I312="",$I312="NR",$O312&gt;0),IF(ISNUMBER($J312),AND($J312&gt;=0,$J312=INT($J312)),FALSE())),$J312,0)</f>
        <v>1</v>
      </c>
      <c r="Q312" s="64" t="n">
        <f aca="false">IF(AND($P312&gt;0,$O312&gt;0),$P312,0)</f>
        <v>1</v>
      </c>
      <c r="R312" s="64" t="n">
        <f aca="false">IF(AND($Q312&gt;0,$O312&gt;=AtRank),$Q312,0)</f>
        <v>1</v>
      </c>
      <c r="S312" s="64" t="n">
        <f aca="false">IF(AND($Q312&gt;0,$O312&gt;=AboveRank),$Q312,0)</f>
        <v>1</v>
      </c>
      <c r="T312" s="64" t="n">
        <f aca="false">IF($K312="Less",$P312,0)</f>
        <v>0</v>
      </c>
      <c r="U312" s="64" t="n">
        <f aca="false">IF($K312="Expected",$P312,0)</f>
        <v>0</v>
      </c>
      <c r="V312" s="64" t="n">
        <f aca="false">IF($K312="Better",$P312,0)</f>
        <v>1</v>
      </c>
      <c r="W312" s="64" t="n">
        <f aca="false">IF($K312="U – needs rule",$P312,0)</f>
        <v>0</v>
      </c>
      <c r="X312" s="64" t="n">
        <f aca="false">IF($K312="No Start (attainment only)",$P312,0)</f>
        <v>0</v>
      </c>
    </row>
    <row r="313" customFormat="false" ht="15" hidden="false" customHeight="false" outlineLevel="0" collapsed="false">
      <c r="A313" s="60" t="s">
        <v>780</v>
      </c>
      <c r="B313" s="61" t="str">
        <f aca="false">IF($M313=0,"",INDEX(Classes!$E$6:$E$420,$M313))</f>
        <v>Arabic A</v>
      </c>
      <c r="C313" s="62" t="str">
        <f aca="false">IF($M313=0,"",INDEX(Classes!$H$6:$H$420,$M313))</f>
        <v>Mr Aly Abdelmonem Hasan</v>
      </c>
      <c r="D313" s="61" t="str">
        <f aca="false">IF($M313=0,"",INDEX(Classes!$B$6:$B$420,$M313))</f>
        <v>Year 10</v>
      </c>
      <c r="E313" s="61" t="str">
        <f aca="false">IF($M313=0,"",INDEX(Classes!$C$6:$C$420,$M313))</f>
        <v>ah</v>
      </c>
      <c r="F313" s="63" t="s">
        <v>163</v>
      </c>
      <c r="G313" s="63" t="s">
        <v>108</v>
      </c>
      <c r="H313" s="60" t="s">
        <v>199</v>
      </c>
      <c r="I313" s="60" t="s">
        <v>200</v>
      </c>
      <c r="J313" s="63" t="n">
        <v>3</v>
      </c>
      <c r="K313" s="61" t="str">
        <f aca="false">IF($P313=0,"",IF($F313="Baseline","— Baseline",IF($O313=0,"No result",IF($N313=0,"No Start (attainment only)",IF(OR($N313=1,$O313=1),"U – needs rule",INDEX(MxBody,MATCH($I313,MxCurr,0),MATCH($H313,MxStart,0)))))))</f>
        <v>Better</v>
      </c>
      <c r="L313" s="62" t="str">
        <f aca="false">IF(COUNTA($A313,$F313,$G313,$H313,$I313,$J313)=0,"",IF($M313=0,"✖ كود الصف غير موجود",IF(ISNA(MATCH($F313,Lists!$A$2:$A$5,0)),"✖ الفترة غير صحيحة",IF(ISNA(MATCH($G313,Lists!$B$2:$B$7,0)),"✖ المجموعة غير صحيحة",IF(NOT(OR($H313="",$N313&gt;0)),"✖ Start غير صحيح",IF(NOT(OR($I313="",$I313="NR",$O313&gt;0)),"✖ Current غير صحيح",IF(NOT(IF(ISNUMBER($J313),AND($J313&gt;=0,$J313=INT($J313)),FALSE())),"✖ العدد يجب أن يكون صحيحًا ≥ 0",IF(AND($F313="Baseline",$H313&lt;&gt;""),"⚠ Baseline: Start لا يدخل في التقدم",IF($K313="No Start (attainment only)","ℹ تحصيل فقط (بدون Start)",IF($K313="U – needs rule","ℹ حالة U تحتاج قاعدة معتمدة",IF($K313="No result","ℹ بدون نتيجة (يُستبعد من التحصيل)","OK")))))))))))</f>
        <v>OK</v>
      </c>
      <c r="M313" s="64" t="n">
        <f aca="false">IF($A313="",0,IFERROR(MATCH($A313,Classes!$A$6:$A$420,0),0))</f>
        <v>284</v>
      </c>
      <c r="N313" s="64" t="n">
        <f aca="false">IF($H313="",0,IFERROR(MATCH($H313,GradeList,0),0))</f>
        <v>4</v>
      </c>
      <c r="O313" s="64" t="n">
        <f aca="false">IF(OR($I313="",$I313="NR"),0,IFERROR(MATCH($I313,GradeList,0),0))</f>
        <v>5</v>
      </c>
      <c r="P313" s="64" t="n">
        <f aca="false">IF(AND($M313&gt;0,ISNUMBER(MATCH($F313,Lists!$A$2:$A$5,0)),ISNUMBER(MATCH($G313,Lists!$B$2:$B$7,0)),OR($H313="",$N313&gt;0),OR($I313="",$I313="NR",$O313&gt;0),IF(ISNUMBER($J313),AND($J313&gt;=0,$J313=INT($J313)),FALSE())),$J313,0)</f>
        <v>3</v>
      </c>
      <c r="Q313" s="64" t="n">
        <f aca="false">IF(AND($P313&gt;0,$O313&gt;0),$P313,0)</f>
        <v>3</v>
      </c>
      <c r="R313" s="64" t="n">
        <f aca="false">IF(AND($Q313&gt;0,$O313&gt;=AtRank),$Q313,0)</f>
        <v>3</v>
      </c>
      <c r="S313" s="64" t="n">
        <f aca="false">IF(AND($Q313&gt;0,$O313&gt;=AboveRank),$Q313,0)</f>
        <v>0</v>
      </c>
      <c r="T313" s="64" t="n">
        <f aca="false">IF($K313="Less",$P313,0)</f>
        <v>0</v>
      </c>
      <c r="U313" s="64" t="n">
        <f aca="false">IF($K313="Expected",$P313,0)</f>
        <v>0</v>
      </c>
      <c r="V313" s="64" t="n">
        <f aca="false">IF($K313="Better",$P313,0)</f>
        <v>3</v>
      </c>
      <c r="W313" s="64" t="n">
        <f aca="false">IF($K313="U – needs rule",$P313,0)</f>
        <v>0</v>
      </c>
      <c r="X313" s="64" t="n">
        <f aca="false">IF($K313="No Start (attainment only)",$P313,0)</f>
        <v>0</v>
      </c>
    </row>
    <row r="314" customFormat="false" ht="15" hidden="false" customHeight="false" outlineLevel="0" collapsed="false">
      <c r="A314" s="60" t="s">
        <v>780</v>
      </c>
      <c r="B314" s="61" t="str">
        <f aca="false">IF($M314=0,"",INDEX(Classes!$E$6:$E$420,$M314))</f>
        <v>Arabic A</v>
      </c>
      <c r="C314" s="62" t="str">
        <f aca="false">IF($M314=0,"",INDEX(Classes!$H$6:$H$420,$M314))</f>
        <v>Mr Aly Abdelmonem Hasan</v>
      </c>
      <c r="D314" s="61" t="str">
        <f aca="false">IF($M314=0,"",INDEX(Classes!$B$6:$B$420,$M314))</f>
        <v>Year 10</v>
      </c>
      <c r="E314" s="61" t="str">
        <f aca="false">IF($M314=0,"",INDEX(Classes!$C$6:$C$420,$M314))</f>
        <v>ah</v>
      </c>
      <c r="F314" s="63" t="s">
        <v>163</v>
      </c>
      <c r="G314" s="63" t="s">
        <v>108</v>
      </c>
      <c r="H314" s="60" t="s">
        <v>199</v>
      </c>
      <c r="I314" s="60" t="s">
        <v>201</v>
      </c>
      <c r="J314" s="63" t="n">
        <v>1</v>
      </c>
      <c r="K314" s="61" t="str">
        <f aca="false">IF($P314=0,"",IF($F314="Baseline","— Baseline",IF($O314=0,"No result",IF($N314=0,"No Start (attainment only)",IF(OR($N314=1,$O314=1),"U – needs rule",INDEX(MxBody,MATCH($I314,MxCurr,0),MATCH($H314,MxStart,0)))))))</f>
        <v>Better</v>
      </c>
      <c r="L314" s="62" t="str">
        <f aca="false">IF(COUNTA($A314,$F314,$G314,$H314,$I314,$J314)=0,"",IF($M314=0,"✖ كود الصف غير موجود",IF(ISNA(MATCH($F314,Lists!$A$2:$A$5,0)),"✖ الفترة غير صحيحة",IF(ISNA(MATCH($G314,Lists!$B$2:$B$7,0)),"✖ المجموعة غير صحيحة",IF(NOT(OR($H314="",$N314&gt;0)),"✖ Start غير صحيح",IF(NOT(OR($I314="",$I314="NR",$O314&gt;0)),"✖ Current غير صحيح",IF(NOT(IF(ISNUMBER($J314),AND($J314&gt;=0,$J314=INT($J314)),FALSE())),"✖ العدد يجب أن يكون صحيحًا ≥ 0",IF(AND($F314="Baseline",$H314&lt;&gt;""),"⚠ Baseline: Start لا يدخل في التقدم",IF($K314="No Start (attainment only)","ℹ تحصيل فقط (بدون Start)",IF($K314="U – needs rule","ℹ حالة U تحتاج قاعدة معتمدة",IF($K314="No result","ℹ بدون نتيجة (يُستبعد من التحصيل)","OK")))))))))))</f>
        <v>OK</v>
      </c>
      <c r="M314" s="64" t="n">
        <f aca="false">IF($A314="",0,IFERROR(MATCH($A314,Classes!$A$6:$A$420,0),0))</f>
        <v>284</v>
      </c>
      <c r="N314" s="64" t="n">
        <f aca="false">IF($H314="",0,IFERROR(MATCH($H314,GradeList,0),0))</f>
        <v>4</v>
      </c>
      <c r="O314" s="64" t="n">
        <f aca="false">IF(OR($I314="",$I314="NR"),0,IFERROR(MATCH($I314,GradeList,0),0))</f>
        <v>6</v>
      </c>
      <c r="P314" s="64" t="n">
        <f aca="false">IF(AND($M314&gt;0,ISNUMBER(MATCH($F314,Lists!$A$2:$A$5,0)),ISNUMBER(MATCH($G314,Lists!$B$2:$B$7,0)),OR($H314="",$N314&gt;0),OR($I314="",$I314="NR",$O314&gt;0),IF(ISNUMBER($J314),AND($J314&gt;=0,$J314=INT($J314)),FALSE())),$J314,0)</f>
        <v>1</v>
      </c>
      <c r="Q314" s="64" t="n">
        <f aca="false">IF(AND($P314&gt;0,$O314&gt;0),$P314,0)</f>
        <v>1</v>
      </c>
      <c r="R314" s="64" t="n">
        <f aca="false">IF(AND($Q314&gt;0,$O314&gt;=AtRank),$Q314,0)</f>
        <v>1</v>
      </c>
      <c r="S314" s="64" t="n">
        <f aca="false">IF(AND($Q314&gt;0,$O314&gt;=AboveRank),$Q314,0)</f>
        <v>0</v>
      </c>
      <c r="T314" s="64" t="n">
        <f aca="false">IF($K314="Less",$P314,0)</f>
        <v>0</v>
      </c>
      <c r="U314" s="64" t="n">
        <f aca="false">IF($K314="Expected",$P314,0)</f>
        <v>0</v>
      </c>
      <c r="V314" s="64" t="n">
        <f aca="false">IF($K314="Better",$P314,0)</f>
        <v>1</v>
      </c>
      <c r="W314" s="64" t="n">
        <f aca="false">IF($K314="U – needs rule",$P314,0)</f>
        <v>0</v>
      </c>
      <c r="X314" s="64" t="n">
        <f aca="false">IF($K314="No Start (attainment only)",$P314,0)</f>
        <v>0</v>
      </c>
    </row>
    <row r="315" customFormat="false" ht="15" hidden="false" customHeight="false" outlineLevel="0" collapsed="false">
      <c r="A315" s="60" t="s">
        <v>780</v>
      </c>
      <c r="B315" s="61" t="str">
        <f aca="false">IF($M315=0,"",INDEX(Classes!$E$6:$E$420,$M315))</f>
        <v>Arabic A</v>
      </c>
      <c r="C315" s="62" t="str">
        <f aca="false">IF($M315=0,"",INDEX(Classes!$H$6:$H$420,$M315))</f>
        <v>Mr Aly Abdelmonem Hasan</v>
      </c>
      <c r="D315" s="61" t="str">
        <f aca="false">IF($M315=0,"",INDEX(Classes!$B$6:$B$420,$M315))</f>
        <v>Year 10</v>
      </c>
      <c r="E315" s="61" t="str">
        <f aca="false">IF($M315=0,"",INDEX(Classes!$C$6:$C$420,$M315))</f>
        <v>ah</v>
      </c>
      <c r="F315" s="63" t="s">
        <v>163</v>
      </c>
      <c r="G315" s="63" t="s">
        <v>108</v>
      </c>
      <c r="H315" s="60" t="s">
        <v>199</v>
      </c>
      <c r="I315" s="60" t="s">
        <v>198</v>
      </c>
      <c r="J315" s="63" t="n">
        <v>1</v>
      </c>
      <c r="K315" s="61" t="str">
        <f aca="false">IF($P315=0,"",IF($F315="Baseline","— Baseline",IF($O315=0,"No result",IF($N315=0,"No Start (attainment only)",IF(OR($N315=1,$O315=1),"U – needs rule",INDEX(MxBody,MATCH($I315,MxCurr,0),MATCH($H315,MxStart,0)))))))</f>
        <v>Less</v>
      </c>
      <c r="L315" s="62" t="str">
        <f aca="false">IF(COUNTA($A315,$F315,$G315,$H315,$I315,$J315)=0,"",IF($M315=0,"✖ كود الصف غير موجود",IF(ISNA(MATCH($F315,Lists!$A$2:$A$5,0)),"✖ الفترة غير صحيحة",IF(ISNA(MATCH($G315,Lists!$B$2:$B$7,0)),"✖ المجموعة غير صحيحة",IF(NOT(OR($H315="",$N315&gt;0)),"✖ Start غير صحيح",IF(NOT(OR($I315="",$I315="NR",$O315&gt;0)),"✖ Current غير صحيح",IF(NOT(IF(ISNUMBER($J315),AND($J315&gt;=0,$J315=INT($J315)),FALSE())),"✖ العدد يجب أن يكون صحيحًا ≥ 0",IF(AND($F315="Baseline",$H315&lt;&gt;""),"⚠ Baseline: Start لا يدخل في التقدم",IF($K315="No Start (attainment only)","ℹ تحصيل فقط (بدون Start)",IF($K315="U – needs rule","ℹ حالة U تحتاج قاعدة معتمدة",IF($K315="No result","ℹ بدون نتيجة (يُستبعد من التحصيل)","OK")))))))))))</f>
        <v>OK</v>
      </c>
      <c r="M315" s="64" t="n">
        <f aca="false">IF($A315="",0,IFERROR(MATCH($A315,Classes!$A$6:$A$420,0),0))</f>
        <v>284</v>
      </c>
      <c r="N315" s="64" t="n">
        <f aca="false">IF($H315="",0,IFERROR(MATCH($H315,GradeList,0),0))</f>
        <v>4</v>
      </c>
      <c r="O315" s="64" t="n">
        <f aca="false">IF(OR($I315="",$I315="NR"),0,IFERROR(MATCH($I315,GradeList,0),0))</f>
        <v>3</v>
      </c>
      <c r="P315" s="64" t="n">
        <f aca="false">IF(AND($M315&gt;0,ISNUMBER(MATCH($F315,Lists!$A$2:$A$5,0)),ISNUMBER(MATCH($G315,Lists!$B$2:$B$7,0)),OR($H315="",$N315&gt;0),OR($I315="",$I315="NR",$O315&gt;0),IF(ISNUMBER($J315),AND($J315&gt;=0,$J315=INT($J315)),FALSE())),$J315,0)</f>
        <v>1</v>
      </c>
      <c r="Q315" s="64" t="n">
        <f aca="false">IF(AND($P315&gt;0,$O315&gt;0),$P315,0)</f>
        <v>1</v>
      </c>
      <c r="R315" s="64" t="n">
        <f aca="false">IF(AND($Q315&gt;0,$O315&gt;=AtRank),$Q315,0)</f>
        <v>0</v>
      </c>
      <c r="S315" s="64" t="n">
        <f aca="false">IF(AND($Q315&gt;0,$O315&gt;=AboveRank),$Q315,0)</f>
        <v>0</v>
      </c>
      <c r="T315" s="64" t="n">
        <f aca="false">IF($K315="Less",$P315,0)</f>
        <v>1</v>
      </c>
      <c r="U315" s="64" t="n">
        <f aca="false">IF($K315="Expected",$P315,0)</f>
        <v>0</v>
      </c>
      <c r="V315" s="64" t="n">
        <f aca="false">IF($K315="Better",$P315,0)</f>
        <v>0</v>
      </c>
      <c r="W315" s="64" t="n">
        <f aca="false">IF($K315="U – needs rule",$P315,0)</f>
        <v>0</v>
      </c>
      <c r="X315" s="64" t="n">
        <f aca="false">IF($K315="No Start (attainment only)",$P315,0)</f>
        <v>0</v>
      </c>
    </row>
    <row r="316" customFormat="false" ht="15" hidden="false" customHeight="false" outlineLevel="0" collapsed="false">
      <c r="A316" s="60" t="s">
        <v>780</v>
      </c>
      <c r="B316" s="61" t="str">
        <f aca="false">IF($M316=0,"",INDEX(Classes!$E$6:$E$420,$M316))</f>
        <v>Arabic A</v>
      </c>
      <c r="C316" s="62" t="str">
        <f aca="false">IF($M316=0,"",INDEX(Classes!$H$6:$H$420,$M316))</f>
        <v>Mr Aly Abdelmonem Hasan</v>
      </c>
      <c r="D316" s="61" t="str">
        <f aca="false">IF($M316=0,"",INDEX(Classes!$B$6:$B$420,$M316))</f>
        <v>Year 10</v>
      </c>
      <c r="E316" s="61" t="str">
        <f aca="false">IF($M316=0,"",INDEX(Classes!$C$6:$C$420,$M316))</f>
        <v>ah</v>
      </c>
      <c r="F316" s="63" t="s">
        <v>163</v>
      </c>
      <c r="G316" s="63" t="s">
        <v>108</v>
      </c>
      <c r="H316" s="60" t="s">
        <v>199</v>
      </c>
      <c r="I316" s="60" t="s">
        <v>199</v>
      </c>
      <c r="J316" s="63" t="n">
        <v>1</v>
      </c>
      <c r="K316" s="61" t="str">
        <f aca="false">IF($P316=0,"",IF($F316="Baseline","— Baseline",IF($O316=0,"No result",IF($N316=0,"No Start (attainment only)",IF(OR($N316=1,$O316=1),"U – needs rule",INDEX(MxBody,MATCH($I316,MxCurr,0),MATCH($H316,MxStart,0)))))))</f>
        <v>Expected</v>
      </c>
      <c r="L316" s="62" t="str">
        <f aca="false">IF(COUNTA($A316,$F316,$G316,$H316,$I316,$J316)=0,"",IF($M316=0,"✖ كود الصف غير موجود",IF(ISNA(MATCH($F316,Lists!$A$2:$A$5,0)),"✖ الفترة غير صحيحة",IF(ISNA(MATCH($G316,Lists!$B$2:$B$7,0)),"✖ المجموعة غير صحيحة",IF(NOT(OR($H316="",$N316&gt;0)),"✖ Start غير صحيح",IF(NOT(OR($I316="",$I316="NR",$O316&gt;0)),"✖ Current غير صحيح",IF(NOT(IF(ISNUMBER($J316),AND($J316&gt;=0,$J316=INT($J316)),FALSE())),"✖ العدد يجب أن يكون صحيحًا ≥ 0",IF(AND($F316="Baseline",$H316&lt;&gt;""),"⚠ Baseline: Start لا يدخل في التقدم",IF($K316="No Start (attainment only)","ℹ تحصيل فقط (بدون Start)",IF($K316="U – needs rule","ℹ حالة U تحتاج قاعدة معتمدة",IF($K316="No result","ℹ بدون نتيجة (يُستبعد من التحصيل)","OK")))))))))))</f>
        <v>OK</v>
      </c>
      <c r="M316" s="64" t="n">
        <f aca="false">IF($A316="",0,IFERROR(MATCH($A316,Classes!$A$6:$A$420,0),0))</f>
        <v>284</v>
      </c>
      <c r="N316" s="64" t="n">
        <f aca="false">IF($H316="",0,IFERROR(MATCH($H316,GradeList,0),0))</f>
        <v>4</v>
      </c>
      <c r="O316" s="64" t="n">
        <f aca="false">IF(OR($I316="",$I316="NR"),0,IFERROR(MATCH($I316,GradeList,0),0))</f>
        <v>4</v>
      </c>
      <c r="P316" s="64" t="n">
        <f aca="false">IF(AND($M316&gt;0,ISNUMBER(MATCH($F316,Lists!$A$2:$A$5,0)),ISNUMBER(MATCH($G316,Lists!$B$2:$B$7,0)),OR($H316="",$N316&gt;0),OR($I316="",$I316="NR",$O316&gt;0),IF(ISNUMBER($J316),AND($J316&gt;=0,$J316=INT($J316)),FALSE())),$J316,0)</f>
        <v>1</v>
      </c>
      <c r="Q316" s="64" t="n">
        <f aca="false">IF(AND($P316&gt;0,$O316&gt;0),$P316,0)</f>
        <v>1</v>
      </c>
      <c r="R316" s="64" t="n">
        <f aca="false">IF(AND($Q316&gt;0,$O316&gt;=AtRank),$Q316,0)</f>
        <v>0</v>
      </c>
      <c r="S316" s="64" t="n">
        <f aca="false">IF(AND($Q316&gt;0,$O316&gt;=AboveRank),$Q316,0)</f>
        <v>0</v>
      </c>
      <c r="T316" s="64" t="n">
        <f aca="false">IF($K316="Less",$P316,0)</f>
        <v>0</v>
      </c>
      <c r="U316" s="64" t="n">
        <f aca="false">IF($K316="Expected",$P316,0)</f>
        <v>1</v>
      </c>
      <c r="V316" s="64" t="n">
        <f aca="false">IF($K316="Better",$P316,0)</f>
        <v>0</v>
      </c>
      <c r="W316" s="64" t="n">
        <f aca="false">IF($K316="U – needs rule",$P316,0)</f>
        <v>0</v>
      </c>
      <c r="X316" s="64" t="n">
        <f aca="false">IF($K316="No Start (attainment only)",$P316,0)</f>
        <v>0</v>
      </c>
    </row>
    <row r="317" customFormat="false" ht="15" hidden="false" customHeight="false" outlineLevel="0" collapsed="false">
      <c r="A317" s="60" t="s">
        <v>780</v>
      </c>
      <c r="B317" s="61" t="str">
        <f aca="false">IF($M317=0,"",INDEX(Classes!$E$6:$E$420,$M317))</f>
        <v>Arabic A</v>
      </c>
      <c r="C317" s="62" t="str">
        <f aca="false">IF($M317=0,"",INDEX(Classes!$H$6:$H$420,$M317))</f>
        <v>Mr Aly Abdelmonem Hasan</v>
      </c>
      <c r="D317" s="61" t="str">
        <f aca="false">IF($M317=0,"",INDEX(Classes!$B$6:$B$420,$M317))</f>
        <v>Year 10</v>
      </c>
      <c r="E317" s="61" t="str">
        <f aca="false">IF($M317=0,"",INDEX(Classes!$C$6:$C$420,$M317))</f>
        <v>ah</v>
      </c>
      <c r="F317" s="63" t="s">
        <v>163</v>
      </c>
      <c r="G317" s="63" t="s">
        <v>1015</v>
      </c>
      <c r="H317" s="60" t="s">
        <v>202</v>
      </c>
      <c r="I317" s="60" t="s">
        <v>202</v>
      </c>
      <c r="J317" s="63" t="n">
        <v>1</v>
      </c>
      <c r="K317" s="61" t="str">
        <f aca="false">IF($P317=0,"",IF($F317="Baseline","— Baseline",IF($O317=0,"No result",IF($N317=0,"No Start (attainment only)",IF(OR($N317=1,$O317=1),"U – needs rule",INDEX(MxBody,MATCH($I317,MxCurr,0),MATCH($H317,MxStart,0)))))))</f>
        <v>Better</v>
      </c>
      <c r="L317" s="62" t="str">
        <f aca="false">IF(COUNTA($A317,$F317,$G317,$H317,$I317,$J317)=0,"",IF($M317=0,"✖ كود الصف غير موجود",IF(ISNA(MATCH($F317,Lists!$A$2:$A$5,0)),"✖ الفترة غير صحيحة",IF(ISNA(MATCH($G317,Lists!$B$2:$B$7,0)),"✖ المجموعة غير صحيحة",IF(NOT(OR($H317="",$N317&gt;0)),"✖ Start غير صحيح",IF(NOT(OR($I317="",$I317="NR",$O317&gt;0)),"✖ Current غير صحيح",IF(NOT(IF(ISNUMBER($J317),AND($J317&gt;=0,$J317=INT($J317)),FALSE())),"✖ العدد يجب أن يكون صحيحًا ≥ 0",IF(AND($F317="Baseline",$H317&lt;&gt;""),"⚠ Baseline: Start لا يدخل في التقدم",IF($K317="No Start (attainment only)","ℹ تحصيل فقط (بدون Start)",IF($K317="U – needs rule","ℹ حالة U تحتاج قاعدة معتمدة",IF($K317="No result","ℹ بدون نتيجة (يُستبعد من التحصيل)","OK")))))))))))</f>
        <v>OK</v>
      </c>
      <c r="M317" s="64" t="n">
        <f aca="false">IF($A317="",0,IFERROR(MATCH($A317,Classes!$A$6:$A$420,0),0))</f>
        <v>284</v>
      </c>
      <c r="N317" s="64" t="n">
        <f aca="false">IF($H317="",0,IFERROR(MATCH($H317,GradeList,0),0))</f>
        <v>7</v>
      </c>
      <c r="O317" s="64" t="n">
        <f aca="false">IF(OR($I317="",$I317="NR"),0,IFERROR(MATCH($I317,GradeList,0),0))</f>
        <v>7</v>
      </c>
      <c r="P317" s="64" t="n">
        <f aca="false">IF(AND($M317&gt;0,ISNUMBER(MATCH($F317,Lists!$A$2:$A$5,0)),ISNUMBER(MATCH($G317,Lists!$B$2:$B$7,0)),OR($H317="",$N317&gt;0),OR($I317="",$I317="NR",$O317&gt;0),IF(ISNUMBER($J317),AND($J317&gt;=0,$J317=INT($J317)),FALSE())),$J317,0)</f>
        <v>1</v>
      </c>
      <c r="Q317" s="64" t="n">
        <f aca="false">IF(AND($P317&gt;0,$O317&gt;0),$P317,0)</f>
        <v>1</v>
      </c>
      <c r="R317" s="64" t="n">
        <f aca="false">IF(AND($Q317&gt;0,$O317&gt;=AtRank),$Q317,0)</f>
        <v>1</v>
      </c>
      <c r="S317" s="64" t="n">
        <f aca="false">IF(AND($Q317&gt;0,$O317&gt;=AboveRank),$Q317,0)</f>
        <v>1</v>
      </c>
      <c r="T317" s="64" t="n">
        <f aca="false">IF($K317="Less",$P317,0)</f>
        <v>0</v>
      </c>
      <c r="U317" s="64" t="n">
        <f aca="false">IF($K317="Expected",$P317,0)</f>
        <v>0</v>
      </c>
      <c r="V317" s="64" t="n">
        <f aca="false">IF($K317="Better",$P317,0)</f>
        <v>1</v>
      </c>
      <c r="W317" s="64" t="n">
        <f aca="false">IF($K317="U – needs rule",$P317,0)</f>
        <v>0</v>
      </c>
      <c r="X317" s="64" t="n">
        <f aca="false">IF($K317="No Start (attainment only)",$P317,0)</f>
        <v>0</v>
      </c>
    </row>
    <row r="318" customFormat="false" ht="15" hidden="false" customHeight="false" outlineLevel="0" collapsed="false">
      <c r="A318" s="60" t="s">
        <v>780</v>
      </c>
      <c r="B318" s="61" t="str">
        <f aca="false">IF($M318=0,"",INDEX(Classes!$E$6:$E$420,$M318))</f>
        <v>Arabic A</v>
      </c>
      <c r="C318" s="62" t="str">
        <f aca="false">IF($M318=0,"",INDEX(Classes!$H$6:$H$420,$M318))</f>
        <v>Mr Aly Abdelmonem Hasan</v>
      </c>
      <c r="D318" s="61" t="str">
        <f aca="false">IF($M318=0,"",INDEX(Classes!$B$6:$B$420,$M318))</f>
        <v>Year 10</v>
      </c>
      <c r="E318" s="61" t="str">
        <f aca="false">IF($M318=0,"",INDEX(Classes!$C$6:$C$420,$M318))</f>
        <v>ah</v>
      </c>
      <c r="F318" s="63" t="s">
        <v>163</v>
      </c>
      <c r="G318" s="63" t="s">
        <v>1015</v>
      </c>
      <c r="H318" s="60" t="s">
        <v>200</v>
      </c>
      <c r="I318" s="60" t="s">
        <v>201</v>
      </c>
      <c r="J318" s="63" t="n">
        <v>1</v>
      </c>
      <c r="K318" s="61" t="str">
        <f aca="false">IF($P318=0,"",IF($F318="Baseline","— Baseline",IF($O318=0,"No result",IF($N318=0,"No Start (attainment only)",IF(OR($N318=1,$O318=1),"U – needs rule",INDEX(MxBody,MATCH($I318,MxCurr,0),MATCH($H318,MxStart,0)))))))</f>
        <v>Better</v>
      </c>
      <c r="L318" s="62" t="str">
        <f aca="false">IF(COUNTA($A318,$F318,$G318,$H318,$I318,$J318)=0,"",IF($M318=0,"✖ كود الصف غير موجود",IF(ISNA(MATCH($F318,Lists!$A$2:$A$5,0)),"✖ الفترة غير صحيحة",IF(ISNA(MATCH($G318,Lists!$B$2:$B$7,0)),"✖ المجموعة غير صحيحة",IF(NOT(OR($H318="",$N318&gt;0)),"✖ Start غير صحيح",IF(NOT(OR($I318="",$I318="NR",$O318&gt;0)),"✖ Current غير صحيح",IF(NOT(IF(ISNUMBER($J318),AND($J318&gt;=0,$J318=INT($J318)),FALSE())),"✖ العدد يجب أن يكون صحيحًا ≥ 0",IF(AND($F318="Baseline",$H318&lt;&gt;""),"⚠ Baseline: Start لا يدخل في التقدم",IF($K318="No Start (attainment only)","ℹ تحصيل فقط (بدون Start)",IF($K318="U – needs rule","ℹ حالة U تحتاج قاعدة معتمدة",IF($K318="No result","ℹ بدون نتيجة (يُستبعد من التحصيل)","OK")))))))))))</f>
        <v>OK</v>
      </c>
      <c r="M318" s="64" t="n">
        <f aca="false">IF($A318="",0,IFERROR(MATCH($A318,Classes!$A$6:$A$420,0),0))</f>
        <v>284</v>
      </c>
      <c r="N318" s="64" t="n">
        <f aca="false">IF($H318="",0,IFERROR(MATCH($H318,GradeList,0),0))</f>
        <v>5</v>
      </c>
      <c r="O318" s="64" t="n">
        <f aca="false">IF(OR($I318="",$I318="NR"),0,IFERROR(MATCH($I318,GradeList,0),0))</f>
        <v>6</v>
      </c>
      <c r="P318" s="64" t="n">
        <f aca="false">IF(AND($M318&gt;0,ISNUMBER(MATCH($F318,Lists!$A$2:$A$5,0)),ISNUMBER(MATCH($G318,Lists!$B$2:$B$7,0)),OR($H318="",$N318&gt;0),OR($I318="",$I318="NR",$O318&gt;0),IF(ISNUMBER($J318),AND($J318&gt;=0,$J318=INT($J318)),FALSE())),$J318,0)</f>
        <v>1</v>
      </c>
      <c r="Q318" s="64" t="n">
        <f aca="false">IF(AND($P318&gt;0,$O318&gt;0),$P318,0)</f>
        <v>1</v>
      </c>
      <c r="R318" s="64" t="n">
        <f aca="false">IF(AND($Q318&gt;0,$O318&gt;=AtRank),$Q318,0)</f>
        <v>1</v>
      </c>
      <c r="S318" s="64" t="n">
        <f aca="false">IF(AND($Q318&gt;0,$O318&gt;=AboveRank),$Q318,0)</f>
        <v>0</v>
      </c>
      <c r="T318" s="64" t="n">
        <f aca="false">IF($K318="Less",$P318,0)</f>
        <v>0</v>
      </c>
      <c r="U318" s="64" t="n">
        <f aca="false">IF($K318="Expected",$P318,0)</f>
        <v>0</v>
      </c>
      <c r="V318" s="64" t="n">
        <f aca="false">IF($K318="Better",$P318,0)</f>
        <v>1</v>
      </c>
      <c r="W318" s="64" t="n">
        <f aca="false">IF($K318="U – needs rule",$P318,0)</f>
        <v>0</v>
      </c>
      <c r="X318" s="64" t="n">
        <f aca="false">IF($K318="No Start (attainment only)",$P318,0)</f>
        <v>0</v>
      </c>
    </row>
    <row r="319" customFormat="false" ht="15" hidden="false" customHeight="false" outlineLevel="0" collapsed="false">
      <c r="A319" s="60" t="s">
        <v>780</v>
      </c>
      <c r="B319" s="61" t="str">
        <f aca="false">IF($M319=0,"",INDEX(Classes!$E$6:$E$420,$M319))</f>
        <v>Arabic A</v>
      </c>
      <c r="C319" s="62" t="str">
        <f aca="false">IF($M319=0,"",INDEX(Classes!$H$6:$H$420,$M319))</f>
        <v>Mr Aly Abdelmonem Hasan</v>
      </c>
      <c r="D319" s="61" t="str">
        <f aca="false">IF($M319=0,"",INDEX(Classes!$B$6:$B$420,$M319))</f>
        <v>Year 10</v>
      </c>
      <c r="E319" s="61" t="str">
        <f aca="false">IF($M319=0,"",INDEX(Classes!$C$6:$C$420,$M319))</f>
        <v>ah</v>
      </c>
      <c r="F319" s="63" t="s">
        <v>163</v>
      </c>
      <c r="G319" s="63" t="s">
        <v>1015</v>
      </c>
      <c r="H319" s="60" t="s">
        <v>200</v>
      </c>
      <c r="I319" s="60" t="s">
        <v>199</v>
      </c>
      <c r="J319" s="63" t="n">
        <v>1</v>
      </c>
      <c r="K319" s="61" t="str">
        <f aca="false">IF($P319=0,"",IF($F319="Baseline","— Baseline",IF($O319=0,"No result",IF($N319=0,"No Start (attainment only)",IF(OR($N319=1,$O319=1),"U – needs rule",INDEX(MxBody,MATCH($I319,MxCurr,0),MATCH($H319,MxStart,0)))))))</f>
        <v>Less</v>
      </c>
      <c r="L319" s="62" t="str">
        <f aca="false">IF(COUNTA($A319,$F319,$G319,$H319,$I319,$J319)=0,"",IF($M319=0,"✖ كود الصف غير موجود",IF(ISNA(MATCH($F319,Lists!$A$2:$A$5,0)),"✖ الفترة غير صحيحة",IF(ISNA(MATCH($G319,Lists!$B$2:$B$7,0)),"✖ المجموعة غير صحيحة",IF(NOT(OR($H319="",$N319&gt;0)),"✖ Start غير صحيح",IF(NOT(OR($I319="",$I319="NR",$O319&gt;0)),"✖ Current غير صحيح",IF(NOT(IF(ISNUMBER($J319),AND($J319&gt;=0,$J319=INT($J319)),FALSE())),"✖ العدد يجب أن يكون صحيحًا ≥ 0",IF(AND($F319="Baseline",$H319&lt;&gt;""),"⚠ Baseline: Start لا يدخل في التقدم",IF($K319="No Start (attainment only)","ℹ تحصيل فقط (بدون Start)",IF($K319="U – needs rule","ℹ حالة U تحتاج قاعدة معتمدة",IF($K319="No result","ℹ بدون نتيجة (يُستبعد من التحصيل)","OK")))))))))))</f>
        <v>OK</v>
      </c>
      <c r="M319" s="64" t="n">
        <f aca="false">IF($A319="",0,IFERROR(MATCH($A319,Classes!$A$6:$A$420,0),0))</f>
        <v>284</v>
      </c>
      <c r="N319" s="64" t="n">
        <f aca="false">IF($H319="",0,IFERROR(MATCH($H319,GradeList,0),0))</f>
        <v>5</v>
      </c>
      <c r="O319" s="64" t="n">
        <f aca="false">IF(OR($I319="",$I319="NR"),0,IFERROR(MATCH($I319,GradeList,0),0))</f>
        <v>4</v>
      </c>
      <c r="P319" s="64" t="n">
        <f aca="false">IF(AND($M319&gt;0,ISNUMBER(MATCH($F319,Lists!$A$2:$A$5,0)),ISNUMBER(MATCH($G319,Lists!$B$2:$B$7,0)),OR($H319="",$N319&gt;0),OR($I319="",$I319="NR",$O319&gt;0),IF(ISNUMBER($J319),AND($J319&gt;=0,$J319=INT($J319)),FALSE())),$J319,0)</f>
        <v>1</v>
      </c>
      <c r="Q319" s="64" t="n">
        <f aca="false">IF(AND($P319&gt;0,$O319&gt;0),$P319,0)</f>
        <v>1</v>
      </c>
      <c r="R319" s="64" t="n">
        <f aca="false">IF(AND($Q319&gt;0,$O319&gt;=AtRank),$Q319,0)</f>
        <v>0</v>
      </c>
      <c r="S319" s="64" t="n">
        <f aca="false">IF(AND($Q319&gt;0,$O319&gt;=AboveRank),$Q319,0)</f>
        <v>0</v>
      </c>
      <c r="T319" s="64" t="n">
        <f aca="false">IF($K319="Less",$P319,0)</f>
        <v>1</v>
      </c>
      <c r="U319" s="64" t="n">
        <f aca="false">IF($K319="Expected",$P319,0)</f>
        <v>0</v>
      </c>
      <c r="V319" s="64" t="n">
        <f aca="false">IF($K319="Better",$P319,0)</f>
        <v>0</v>
      </c>
      <c r="W319" s="64" t="n">
        <f aca="false">IF($K319="U – needs rule",$P319,0)</f>
        <v>0</v>
      </c>
      <c r="X319" s="64" t="n">
        <f aca="false">IF($K319="No Start (attainment only)",$P319,0)</f>
        <v>0</v>
      </c>
    </row>
    <row r="320" customFormat="false" ht="15" hidden="false" customHeight="false" outlineLevel="0" collapsed="false">
      <c r="A320" s="60" t="s">
        <v>780</v>
      </c>
      <c r="B320" s="61" t="str">
        <f aca="false">IF($M320=0,"",INDEX(Classes!$E$6:$E$420,$M320))</f>
        <v>Arabic A</v>
      </c>
      <c r="C320" s="62" t="str">
        <f aca="false">IF($M320=0,"",INDEX(Classes!$H$6:$H$420,$M320))</f>
        <v>Mr Aly Abdelmonem Hasan</v>
      </c>
      <c r="D320" s="61" t="str">
        <f aca="false">IF($M320=0,"",INDEX(Classes!$B$6:$B$420,$M320))</f>
        <v>Year 10</v>
      </c>
      <c r="E320" s="61" t="str">
        <f aca="false">IF($M320=0,"",INDEX(Classes!$C$6:$C$420,$M320))</f>
        <v>ah</v>
      </c>
      <c r="F320" s="63" t="s">
        <v>163</v>
      </c>
      <c r="G320" s="63" t="s">
        <v>1015</v>
      </c>
      <c r="H320" s="60" t="s">
        <v>201</v>
      </c>
      <c r="I320" s="60" t="s">
        <v>201</v>
      </c>
      <c r="J320" s="63" t="n">
        <v>1</v>
      </c>
      <c r="K320" s="61" t="str">
        <f aca="false">IF($P320=0,"",IF($F320="Baseline","— Baseline",IF($O320=0,"No result",IF($N320=0,"No Start (attainment only)",IF(OR($N320=1,$O320=1),"U – needs rule",INDEX(MxBody,MATCH($I320,MxCurr,0),MATCH($H320,MxStart,0)))))))</f>
        <v>Expected</v>
      </c>
      <c r="L320" s="62" t="str">
        <f aca="false">IF(COUNTA($A320,$F320,$G320,$H320,$I320,$J320)=0,"",IF($M320=0,"✖ كود الصف غير موجود",IF(ISNA(MATCH($F320,Lists!$A$2:$A$5,0)),"✖ الفترة غير صحيحة",IF(ISNA(MATCH($G320,Lists!$B$2:$B$7,0)),"✖ المجموعة غير صحيحة",IF(NOT(OR($H320="",$N320&gt;0)),"✖ Start غير صحيح",IF(NOT(OR($I320="",$I320="NR",$O320&gt;0)),"✖ Current غير صحيح",IF(NOT(IF(ISNUMBER($J320),AND($J320&gt;=0,$J320=INT($J320)),FALSE())),"✖ العدد يجب أن يكون صحيحًا ≥ 0",IF(AND($F320="Baseline",$H320&lt;&gt;""),"⚠ Baseline: Start لا يدخل في التقدم",IF($K320="No Start (attainment only)","ℹ تحصيل فقط (بدون Start)",IF($K320="U – needs rule","ℹ حالة U تحتاج قاعدة معتمدة",IF($K320="No result","ℹ بدون نتيجة (يُستبعد من التحصيل)","OK")))))))))))</f>
        <v>OK</v>
      </c>
      <c r="M320" s="64" t="n">
        <f aca="false">IF($A320="",0,IFERROR(MATCH($A320,Classes!$A$6:$A$420,0),0))</f>
        <v>284</v>
      </c>
      <c r="N320" s="64" t="n">
        <f aca="false">IF($H320="",0,IFERROR(MATCH($H320,GradeList,0),0))</f>
        <v>6</v>
      </c>
      <c r="O320" s="64" t="n">
        <f aca="false">IF(OR($I320="",$I320="NR"),0,IFERROR(MATCH($I320,GradeList,0),0))</f>
        <v>6</v>
      </c>
      <c r="P320" s="64" t="n">
        <f aca="false">IF(AND($M320&gt;0,ISNUMBER(MATCH($F320,Lists!$A$2:$A$5,0)),ISNUMBER(MATCH($G320,Lists!$B$2:$B$7,0)),OR($H320="",$N320&gt;0),OR($I320="",$I320="NR",$O320&gt;0),IF(ISNUMBER($J320),AND($J320&gt;=0,$J320=INT($J320)),FALSE())),$J320,0)</f>
        <v>1</v>
      </c>
      <c r="Q320" s="64" t="n">
        <f aca="false">IF(AND($P320&gt;0,$O320&gt;0),$P320,0)</f>
        <v>1</v>
      </c>
      <c r="R320" s="64" t="n">
        <f aca="false">IF(AND($Q320&gt;0,$O320&gt;=AtRank),$Q320,0)</f>
        <v>1</v>
      </c>
      <c r="S320" s="64" t="n">
        <f aca="false">IF(AND($Q320&gt;0,$O320&gt;=AboveRank),$Q320,0)</f>
        <v>0</v>
      </c>
      <c r="T320" s="64" t="n">
        <f aca="false">IF($K320="Less",$P320,0)</f>
        <v>0</v>
      </c>
      <c r="U320" s="64" t="n">
        <f aca="false">IF($K320="Expected",$P320,0)</f>
        <v>1</v>
      </c>
      <c r="V320" s="64" t="n">
        <f aca="false">IF($K320="Better",$P320,0)</f>
        <v>0</v>
      </c>
      <c r="W320" s="64" t="n">
        <f aca="false">IF($K320="U – needs rule",$P320,0)</f>
        <v>0</v>
      </c>
      <c r="X320" s="64" t="n">
        <f aca="false">IF($K320="No Start (attainment only)",$P320,0)</f>
        <v>0</v>
      </c>
    </row>
    <row r="321" customFormat="false" ht="15" hidden="false" customHeight="false" outlineLevel="0" collapsed="false">
      <c r="A321" s="60" t="s">
        <v>780</v>
      </c>
      <c r="B321" s="61" t="str">
        <f aca="false">IF($M321=0,"",INDEX(Classes!$E$6:$E$420,$M321))</f>
        <v>Arabic A</v>
      </c>
      <c r="C321" s="62" t="str">
        <f aca="false">IF($M321=0,"",INDEX(Classes!$H$6:$H$420,$M321))</f>
        <v>Mr Aly Abdelmonem Hasan</v>
      </c>
      <c r="D321" s="61" t="str">
        <f aca="false">IF($M321=0,"",INDEX(Classes!$B$6:$B$420,$M321))</f>
        <v>Year 10</v>
      </c>
      <c r="E321" s="61" t="str">
        <f aca="false">IF($M321=0,"",INDEX(Classes!$C$6:$C$420,$M321))</f>
        <v>ah</v>
      </c>
      <c r="F321" s="63" t="s">
        <v>163</v>
      </c>
      <c r="G321" s="63" t="s">
        <v>1015</v>
      </c>
      <c r="H321" s="60" t="s">
        <v>199</v>
      </c>
      <c r="I321" s="60" t="s">
        <v>200</v>
      </c>
      <c r="J321" s="63" t="n">
        <v>1</v>
      </c>
      <c r="K321" s="61" t="str">
        <f aca="false">IF($P321=0,"",IF($F321="Baseline","— Baseline",IF($O321=0,"No result",IF($N321=0,"No Start (attainment only)",IF(OR($N321=1,$O321=1),"U – needs rule",INDEX(MxBody,MATCH($I321,MxCurr,0),MATCH($H321,MxStart,0)))))))</f>
        <v>Better</v>
      </c>
      <c r="L321" s="62" t="str">
        <f aca="false">IF(COUNTA($A321,$F321,$G321,$H321,$I321,$J321)=0,"",IF($M321=0,"✖ كود الصف غير موجود",IF(ISNA(MATCH($F321,Lists!$A$2:$A$5,0)),"✖ الفترة غير صحيحة",IF(ISNA(MATCH($G321,Lists!$B$2:$B$7,0)),"✖ المجموعة غير صحيحة",IF(NOT(OR($H321="",$N321&gt;0)),"✖ Start غير صحيح",IF(NOT(OR($I321="",$I321="NR",$O321&gt;0)),"✖ Current غير صحيح",IF(NOT(IF(ISNUMBER($J321),AND($J321&gt;=0,$J321=INT($J321)),FALSE())),"✖ العدد يجب أن يكون صحيحًا ≥ 0",IF(AND($F321="Baseline",$H321&lt;&gt;""),"⚠ Baseline: Start لا يدخل في التقدم",IF($K321="No Start (attainment only)","ℹ تحصيل فقط (بدون Start)",IF($K321="U – needs rule","ℹ حالة U تحتاج قاعدة معتمدة",IF($K321="No result","ℹ بدون نتيجة (يُستبعد من التحصيل)","OK")))))))))))</f>
        <v>OK</v>
      </c>
      <c r="M321" s="64" t="n">
        <f aca="false">IF($A321="",0,IFERROR(MATCH($A321,Classes!$A$6:$A$420,0),0))</f>
        <v>284</v>
      </c>
      <c r="N321" s="64" t="n">
        <f aca="false">IF($H321="",0,IFERROR(MATCH($H321,GradeList,0),0))</f>
        <v>4</v>
      </c>
      <c r="O321" s="64" t="n">
        <f aca="false">IF(OR($I321="",$I321="NR"),0,IFERROR(MATCH($I321,GradeList,0),0))</f>
        <v>5</v>
      </c>
      <c r="P321" s="64" t="n">
        <f aca="false">IF(AND($M321&gt;0,ISNUMBER(MATCH($F321,Lists!$A$2:$A$5,0)),ISNUMBER(MATCH($G321,Lists!$B$2:$B$7,0)),OR($H321="",$N321&gt;0),OR($I321="",$I321="NR",$O321&gt;0),IF(ISNUMBER($J321),AND($J321&gt;=0,$J321=INT($J321)),FALSE())),$J321,0)</f>
        <v>1</v>
      </c>
      <c r="Q321" s="64" t="n">
        <f aca="false">IF(AND($P321&gt;0,$O321&gt;0),$P321,0)</f>
        <v>1</v>
      </c>
      <c r="R321" s="64" t="n">
        <f aca="false">IF(AND($Q321&gt;0,$O321&gt;=AtRank),$Q321,0)</f>
        <v>1</v>
      </c>
      <c r="S321" s="64" t="n">
        <f aca="false">IF(AND($Q321&gt;0,$O321&gt;=AboveRank),$Q321,0)</f>
        <v>0</v>
      </c>
      <c r="T321" s="64" t="n">
        <f aca="false">IF($K321="Less",$P321,0)</f>
        <v>0</v>
      </c>
      <c r="U321" s="64" t="n">
        <f aca="false">IF($K321="Expected",$P321,0)</f>
        <v>0</v>
      </c>
      <c r="V321" s="64" t="n">
        <f aca="false">IF($K321="Better",$P321,0)</f>
        <v>1</v>
      </c>
      <c r="W321" s="64" t="n">
        <f aca="false">IF($K321="U – needs rule",$P321,0)</f>
        <v>0</v>
      </c>
      <c r="X321" s="64" t="n">
        <f aca="false">IF($K321="No Start (attainment only)",$P321,0)</f>
        <v>0</v>
      </c>
    </row>
    <row r="322" customFormat="false" ht="15" hidden="false" customHeight="false" outlineLevel="0" collapsed="false">
      <c r="A322" s="60" t="s">
        <v>780</v>
      </c>
      <c r="B322" s="61" t="str">
        <f aca="false">IF($M322=0,"",INDEX(Classes!$E$6:$E$420,$M322))</f>
        <v>Arabic A</v>
      </c>
      <c r="C322" s="62" t="str">
        <f aca="false">IF($M322=0,"",INDEX(Classes!$H$6:$H$420,$M322))</f>
        <v>Mr Aly Abdelmonem Hasan</v>
      </c>
      <c r="D322" s="61" t="str">
        <f aca="false">IF($M322=0,"",INDEX(Classes!$B$6:$B$420,$M322))</f>
        <v>Year 10</v>
      </c>
      <c r="E322" s="61" t="str">
        <f aca="false">IF($M322=0,"",INDEX(Classes!$C$6:$C$420,$M322))</f>
        <v>ah</v>
      </c>
      <c r="F322" s="63" t="s">
        <v>163</v>
      </c>
      <c r="G322" s="63" t="s">
        <v>1015</v>
      </c>
      <c r="H322" s="60" t="s">
        <v>199</v>
      </c>
      <c r="I322" s="60" t="s">
        <v>198</v>
      </c>
      <c r="J322" s="63" t="n">
        <v>1</v>
      </c>
      <c r="K322" s="61" t="str">
        <f aca="false">IF($P322=0,"",IF($F322="Baseline","— Baseline",IF($O322=0,"No result",IF($N322=0,"No Start (attainment only)",IF(OR($N322=1,$O322=1),"U – needs rule",INDEX(MxBody,MATCH($I322,MxCurr,0),MATCH($H322,MxStart,0)))))))</f>
        <v>Less</v>
      </c>
      <c r="L322" s="62" t="str">
        <f aca="false">IF(COUNTA($A322,$F322,$G322,$H322,$I322,$J322)=0,"",IF($M322=0,"✖ كود الصف غير موجود",IF(ISNA(MATCH($F322,Lists!$A$2:$A$5,0)),"✖ الفترة غير صحيحة",IF(ISNA(MATCH($G322,Lists!$B$2:$B$7,0)),"✖ المجموعة غير صحيحة",IF(NOT(OR($H322="",$N322&gt;0)),"✖ Start غير صحيح",IF(NOT(OR($I322="",$I322="NR",$O322&gt;0)),"✖ Current غير صحيح",IF(NOT(IF(ISNUMBER($J322),AND($J322&gt;=0,$J322=INT($J322)),FALSE())),"✖ العدد يجب أن يكون صحيحًا ≥ 0",IF(AND($F322="Baseline",$H322&lt;&gt;""),"⚠ Baseline: Start لا يدخل في التقدم",IF($K322="No Start (attainment only)","ℹ تحصيل فقط (بدون Start)",IF($K322="U – needs rule","ℹ حالة U تحتاج قاعدة معتمدة",IF($K322="No result","ℹ بدون نتيجة (يُستبعد من التحصيل)","OK")))))))))))</f>
        <v>OK</v>
      </c>
      <c r="M322" s="64" t="n">
        <f aca="false">IF($A322="",0,IFERROR(MATCH($A322,Classes!$A$6:$A$420,0),0))</f>
        <v>284</v>
      </c>
      <c r="N322" s="64" t="n">
        <f aca="false">IF($H322="",0,IFERROR(MATCH($H322,GradeList,0),0))</f>
        <v>4</v>
      </c>
      <c r="O322" s="64" t="n">
        <f aca="false">IF(OR($I322="",$I322="NR"),0,IFERROR(MATCH($I322,GradeList,0),0))</f>
        <v>3</v>
      </c>
      <c r="P322" s="64" t="n">
        <f aca="false">IF(AND($M322&gt;0,ISNUMBER(MATCH($F322,Lists!$A$2:$A$5,0)),ISNUMBER(MATCH($G322,Lists!$B$2:$B$7,0)),OR($H322="",$N322&gt;0),OR($I322="",$I322="NR",$O322&gt;0),IF(ISNUMBER($J322),AND($J322&gt;=0,$J322=INT($J322)),FALSE())),$J322,0)</f>
        <v>1</v>
      </c>
      <c r="Q322" s="64" t="n">
        <f aca="false">IF(AND($P322&gt;0,$O322&gt;0),$P322,0)</f>
        <v>1</v>
      </c>
      <c r="R322" s="64" t="n">
        <f aca="false">IF(AND($Q322&gt;0,$O322&gt;=AtRank),$Q322,0)</f>
        <v>0</v>
      </c>
      <c r="S322" s="64" t="n">
        <f aca="false">IF(AND($Q322&gt;0,$O322&gt;=AboveRank),$Q322,0)</f>
        <v>0</v>
      </c>
      <c r="T322" s="64" t="n">
        <f aca="false">IF($K322="Less",$P322,0)</f>
        <v>1</v>
      </c>
      <c r="U322" s="64" t="n">
        <f aca="false">IF($K322="Expected",$P322,0)</f>
        <v>0</v>
      </c>
      <c r="V322" s="64" t="n">
        <f aca="false">IF($K322="Better",$P322,0)</f>
        <v>0</v>
      </c>
      <c r="W322" s="64" t="n">
        <f aca="false">IF($K322="U – needs rule",$P322,0)</f>
        <v>0</v>
      </c>
      <c r="X322" s="64" t="n">
        <f aca="false">IF($K322="No Start (attainment only)",$P322,0)</f>
        <v>0</v>
      </c>
    </row>
    <row r="323" customFormat="false" ht="15" hidden="false" customHeight="false" outlineLevel="0" collapsed="false">
      <c r="A323" s="60" t="s">
        <v>780</v>
      </c>
      <c r="B323" s="61" t="str">
        <f aca="false">IF($M323=0,"",INDEX(Classes!$E$6:$E$420,$M323))</f>
        <v>Arabic A</v>
      </c>
      <c r="C323" s="62" t="str">
        <f aca="false">IF($M323=0,"",INDEX(Classes!$H$6:$H$420,$M323))</f>
        <v>Mr Aly Abdelmonem Hasan</v>
      </c>
      <c r="D323" s="61" t="str">
        <f aca="false">IF($M323=0,"",INDEX(Classes!$B$6:$B$420,$M323))</f>
        <v>Year 10</v>
      </c>
      <c r="E323" s="61" t="str">
        <f aca="false">IF($M323=0,"",INDEX(Classes!$C$6:$C$420,$M323))</f>
        <v>ah</v>
      </c>
      <c r="F323" s="63" t="s">
        <v>163</v>
      </c>
      <c r="G323" s="63" t="s">
        <v>1016</v>
      </c>
      <c r="H323" s="60" t="s">
        <v>202</v>
      </c>
      <c r="I323" s="60" t="s">
        <v>203</v>
      </c>
      <c r="J323" s="63" t="n">
        <v>1</v>
      </c>
      <c r="K323" s="61" t="str">
        <f aca="false">IF($P323=0,"",IF($F323="Baseline","— Baseline",IF($O323=0,"No result",IF($N323=0,"No Start (attainment only)",IF(OR($N323=1,$O323=1),"U – needs rule",INDEX(MxBody,MATCH($I323,MxCurr,0),MATCH($H323,MxStart,0)))))))</f>
        <v>Better</v>
      </c>
      <c r="L323" s="62" t="str">
        <f aca="false">IF(COUNTA($A323,$F323,$G323,$H323,$I323,$J323)=0,"",IF($M323=0,"✖ كود الصف غير موجود",IF(ISNA(MATCH($F323,Lists!$A$2:$A$5,0)),"✖ الفترة غير صحيحة",IF(ISNA(MATCH($G323,Lists!$B$2:$B$7,0)),"✖ المجموعة غير صحيحة",IF(NOT(OR($H323="",$N323&gt;0)),"✖ Start غير صحيح",IF(NOT(OR($I323="",$I323="NR",$O323&gt;0)),"✖ Current غير صحيح",IF(NOT(IF(ISNUMBER($J323),AND($J323&gt;=0,$J323=INT($J323)),FALSE())),"✖ العدد يجب أن يكون صحيحًا ≥ 0",IF(AND($F323="Baseline",$H323&lt;&gt;""),"⚠ Baseline: Start لا يدخل في التقدم",IF($K323="No Start (attainment only)","ℹ تحصيل فقط (بدون Start)",IF($K323="U – needs rule","ℹ حالة U تحتاج قاعدة معتمدة",IF($K323="No result","ℹ بدون نتيجة (يُستبعد من التحصيل)","OK")))))))))))</f>
        <v>OK</v>
      </c>
      <c r="M323" s="64" t="n">
        <f aca="false">IF($A323="",0,IFERROR(MATCH($A323,Classes!$A$6:$A$420,0),0))</f>
        <v>284</v>
      </c>
      <c r="N323" s="64" t="n">
        <f aca="false">IF($H323="",0,IFERROR(MATCH($H323,GradeList,0),0))</f>
        <v>7</v>
      </c>
      <c r="O323" s="64" t="n">
        <f aca="false">IF(OR($I323="",$I323="NR"),0,IFERROR(MATCH($I323,GradeList,0),0))</f>
        <v>8</v>
      </c>
      <c r="P323" s="64" t="n">
        <f aca="false">IF(AND($M323&gt;0,ISNUMBER(MATCH($F323,Lists!$A$2:$A$5,0)),ISNUMBER(MATCH($G323,Lists!$B$2:$B$7,0)),OR($H323="",$N323&gt;0),OR($I323="",$I323="NR",$O323&gt;0),IF(ISNUMBER($J323),AND($J323&gt;=0,$J323=INT($J323)),FALSE())),$J323,0)</f>
        <v>1</v>
      </c>
      <c r="Q323" s="64" t="n">
        <f aca="false">IF(AND($P323&gt;0,$O323&gt;0),$P323,0)</f>
        <v>1</v>
      </c>
      <c r="R323" s="64" t="n">
        <f aca="false">IF(AND($Q323&gt;0,$O323&gt;=AtRank),$Q323,0)</f>
        <v>1</v>
      </c>
      <c r="S323" s="64" t="n">
        <f aca="false">IF(AND($Q323&gt;0,$O323&gt;=AboveRank),$Q323,0)</f>
        <v>1</v>
      </c>
      <c r="T323" s="64" t="n">
        <f aca="false">IF($K323="Less",$P323,0)</f>
        <v>0</v>
      </c>
      <c r="U323" s="64" t="n">
        <f aca="false">IF($K323="Expected",$P323,0)</f>
        <v>0</v>
      </c>
      <c r="V323" s="64" t="n">
        <f aca="false">IF($K323="Better",$P323,0)</f>
        <v>1</v>
      </c>
      <c r="W323" s="64" t="n">
        <f aca="false">IF($K323="U – needs rule",$P323,0)</f>
        <v>0</v>
      </c>
      <c r="X323" s="64" t="n">
        <f aca="false">IF($K323="No Start (attainment only)",$P323,0)</f>
        <v>0</v>
      </c>
    </row>
    <row r="324" customFormat="false" ht="15" hidden="false" customHeight="false" outlineLevel="0" collapsed="false">
      <c r="A324" s="60" t="s">
        <v>780</v>
      </c>
      <c r="B324" s="61" t="str">
        <f aca="false">IF($M324=0,"",INDEX(Classes!$E$6:$E$420,$M324))</f>
        <v>Arabic A</v>
      </c>
      <c r="C324" s="62" t="str">
        <f aca="false">IF($M324=0,"",INDEX(Classes!$H$6:$H$420,$M324))</f>
        <v>Mr Aly Abdelmonem Hasan</v>
      </c>
      <c r="D324" s="61" t="str">
        <f aca="false">IF($M324=0,"",INDEX(Classes!$B$6:$B$420,$M324))</f>
        <v>Year 10</v>
      </c>
      <c r="E324" s="61" t="str">
        <f aca="false">IF($M324=0,"",INDEX(Classes!$C$6:$C$420,$M324))</f>
        <v>ah</v>
      </c>
      <c r="F324" s="63" t="s">
        <v>163</v>
      </c>
      <c r="G324" s="63" t="s">
        <v>1016</v>
      </c>
      <c r="H324" s="60" t="s">
        <v>200</v>
      </c>
      <c r="I324" s="60" t="s">
        <v>200</v>
      </c>
      <c r="J324" s="63" t="n">
        <v>1</v>
      </c>
      <c r="K324" s="61" t="str">
        <f aca="false">IF($P324=0,"",IF($F324="Baseline","— Baseline",IF($O324=0,"No result",IF($N324=0,"No Start (attainment only)",IF(OR($N324=1,$O324=1),"U – needs rule",INDEX(MxBody,MATCH($I324,MxCurr,0),MATCH($H324,MxStart,0)))))))</f>
        <v>Expected</v>
      </c>
      <c r="L324" s="62" t="str">
        <f aca="false">IF(COUNTA($A324,$F324,$G324,$H324,$I324,$J324)=0,"",IF($M324=0,"✖ كود الصف غير موجود",IF(ISNA(MATCH($F324,Lists!$A$2:$A$5,0)),"✖ الفترة غير صحيحة",IF(ISNA(MATCH($G324,Lists!$B$2:$B$7,0)),"✖ المجموعة غير صحيحة",IF(NOT(OR($H324="",$N324&gt;0)),"✖ Start غير صحيح",IF(NOT(OR($I324="",$I324="NR",$O324&gt;0)),"✖ Current غير صحيح",IF(NOT(IF(ISNUMBER($J324),AND($J324&gt;=0,$J324=INT($J324)),FALSE())),"✖ العدد يجب أن يكون صحيحًا ≥ 0",IF(AND($F324="Baseline",$H324&lt;&gt;""),"⚠ Baseline: Start لا يدخل في التقدم",IF($K324="No Start (attainment only)","ℹ تحصيل فقط (بدون Start)",IF($K324="U – needs rule","ℹ حالة U تحتاج قاعدة معتمدة",IF($K324="No result","ℹ بدون نتيجة (يُستبعد من التحصيل)","OK")))))))))))</f>
        <v>OK</v>
      </c>
      <c r="M324" s="64" t="n">
        <f aca="false">IF($A324="",0,IFERROR(MATCH($A324,Classes!$A$6:$A$420,0),0))</f>
        <v>284</v>
      </c>
      <c r="N324" s="64" t="n">
        <f aca="false">IF($H324="",0,IFERROR(MATCH($H324,GradeList,0),0))</f>
        <v>5</v>
      </c>
      <c r="O324" s="64" t="n">
        <f aca="false">IF(OR($I324="",$I324="NR"),0,IFERROR(MATCH($I324,GradeList,0),0))</f>
        <v>5</v>
      </c>
      <c r="P324" s="64" t="n">
        <f aca="false">IF(AND($M324&gt;0,ISNUMBER(MATCH($F324,Lists!$A$2:$A$5,0)),ISNUMBER(MATCH($G324,Lists!$B$2:$B$7,0)),OR($H324="",$N324&gt;0),OR($I324="",$I324="NR",$O324&gt;0),IF(ISNUMBER($J324),AND($J324&gt;=0,$J324=INT($J324)),FALSE())),$J324,0)</f>
        <v>1</v>
      </c>
      <c r="Q324" s="64" t="n">
        <f aca="false">IF(AND($P324&gt;0,$O324&gt;0),$P324,0)</f>
        <v>1</v>
      </c>
      <c r="R324" s="64" t="n">
        <f aca="false">IF(AND($Q324&gt;0,$O324&gt;=AtRank),$Q324,0)</f>
        <v>1</v>
      </c>
      <c r="S324" s="64" t="n">
        <f aca="false">IF(AND($Q324&gt;0,$O324&gt;=AboveRank),$Q324,0)</f>
        <v>0</v>
      </c>
      <c r="T324" s="64" t="n">
        <f aca="false">IF($K324="Less",$P324,0)</f>
        <v>0</v>
      </c>
      <c r="U324" s="64" t="n">
        <f aca="false">IF($K324="Expected",$P324,0)</f>
        <v>1</v>
      </c>
      <c r="V324" s="64" t="n">
        <f aca="false">IF($K324="Better",$P324,0)</f>
        <v>0</v>
      </c>
      <c r="W324" s="64" t="n">
        <f aca="false">IF($K324="U – needs rule",$P324,0)</f>
        <v>0</v>
      </c>
      <c r="X324" s="64" t="n">
        <f aca="false">IF($K324="No Start (attainment only)",$P324,0)</f>
        <v>0</v>
      </c>
    </row>
    <row r="325" customFormat="false" ht="15" hidden="false" customHeight="false" outlineLevel="0" collapsed="false">
      <c r="A325" s="60" t="s">
        <v>780</v>
      </c>
      <c r="B325" s="61" t="str">
        <f aca="false">IF($M325=0,"",INDEX(Classes!$E$6:$E$420,$M325))</f>
        <v>Arabic A</v>
      </c>
      <c r="C325" s="62" t="str">
        <f aca="false">IF($M325=0,"",INDEX(Classes!$H$6:$H$420,$M325))</f>
        <v>Mr Aly Abdelmonem Hasan</v>
      </c>
      <c r="D325" s="61" t="str">
        <f aca="false">IF($M325=0,"",INDEX(Classes!$B$6:$B$420,$M325))</f>
        <v>Year 10</v>
      </c>
      <c r="E325" s="61" t="str">
        <f aca="false">IF($M325=0,"",INDEX(Classes!$C$6:$C$420,$M325))</f>
        <v>ah</v>
      </c>
      <c r="F325" s="63" t="s">
        <v>163</v>
      </c>
      <c r="G325" s="63" t="s">
        <v>1016</v>
      </c>
      <c r="H325" s="60" t="s">
        <v>200</v>
      </c>
      <c r="I325" s="60" t="s">
        <v>201</v>
      </c>
      <c r="J325" s="63" t="n">
        <v>1</v>
      </c>
      <c r="K325" s="61" t="str">
        <f aca="false">IF($P325=0,"",IF($F325="Baseline","— Baseline",IF($O325=0,"No result",IF($N325=0,"No Start (attainment only)",IF(OR($N325=1,$O325=1),"U – needs rule",INDEX(MxBody,MATCH($I325,MxCurr,0),MATCH($H325,MxStart,0)))))))</f>
        <v>Better</v>
      </c>
      <c r="L325" s="62" t="str">
        <f aca="false">IF(COUNTA($A325,$F325,$G325,$H325,$I325,$J325)=0,"",IF($M325=0,"✖ كود الصف غير موجود",IF(ISNA(MATCH($F325,Lists!$A$2:$A$5,0)),"✖ الفترة غير صحيحة",IF(ISNA(MATCH($G325,Lists!$B$2:$B$7,0)),"✖ المجموعة غير صحيحة",IF(NOT(OR($H325="",$N325&gt;0)),"✖ Start غير صحيح",IF(NOT(OR($I325="",$I325="NR",$O325&gt;0)),"✖ Current غير صحيح",IF(NOT(IF(ISNUMBER($J325),AND($J325&gt;=0,$J325=INT($J325)),FALSE())),"✖ العدد يجب أن يكون صحيحًا ≥ 0",IF(AND($F325="Baseline",$H325&lt;&gt;""),"⚠ Baseline: Start لا يدخل في التقدم",IF($K325="No Start (attainment only)","ℹ تحصيل فقط (بدون Start)",IF($K325="U – needs rule","ℹ حالة U تحتاج قاعدة معتمدة",IF($K325="No result","ℹ بدون نتيجة (يُستبعد من التحصيل)","OK")))))))))))</f>
        <v>OK</v>
      </c>
      <c r="M325" s="64" t="n">
        <f aca="false">IF($A325="",0,IFERROR(MATCH($A325,Classes!$A$6:$A$420,0),0))</f>
        <v>284</v>
      </c>
      <c r="N325" s="64" t="n">
        <f aca="false">IF($H325="",0,IFERROR(MATCH($H325,GradeList,0),0))</f>
        <v>5</v>
      </c>
      <c r="O325" s="64" t="n">
        <f aca="false">IF(OR($I325="",$I325="NR"),0,IFERROR(MATCH($I325,GradeList,0),0))</f>
        <v>6</v>
      </c>
      <c r="P325" s="64" t="n">
        <f aca="false">IF(AND($M325&gt;0,ISNUMBER(MATCH($F325,Lists!$A$2:$A$5,0)),ISNUMBER(MATCH($G325,Lists!$B$2:$B$7,0)),OR($H325="",$N325&gt;0),OR($I325="",$I325="NR",$O325&gt;0),IF(ISNUMBER($J325),AND($J325&gt;=0,$J325=INT($J325)),FALSE())),$J325,0)</f>
        <v>1</v>
      </c>
      <c r="Q325" s="64" t="n">
        <f aca="false">IF(AND($P325&gt;0,$O325&gt;0),$P325,0)</f>
        <v>1</v>
      </c>
      <c r="R325" s="64" t="n">
        <f aca="false">IF(AND($Q325&gt;0,$O325&gt;=AtRank),$Q325,0)</f>
        <v>1</v>
      </c>
      <c r="S325" s="64" t="n">
        <f aca="false">IF(AND($Q325&gt;0,$O325&gt;=AboveRank),$Q325,0)</f>
        <v>0</v>
      </c>
      <c r="T325" s="64" t="n">
        <f aca="false">IF($K325="Less",$P325,0)</f>
        <v>0</v>
      </c>
      <c r="U325" s="64" t="n">
        <f aca="false">IF($K325="Expected",$P325,0)</f>
        <v>0</v>
      </c>
      <c r="V325" s="64" t="n">
        <f aca="false">IF($K325="Better",$P325,0)</f>
        <v>1</v>
      </c>
      <c r="W325" s="64" t="n">
        <f aca="false">IF($K325="U – needs rule",$P325,0)</f>
        <v>0</v>
      </c>
      <c r="X325" s="64" t="n">
        <f aca="false">IF($K325="No Start (attainment only)",$P325,0)</f>
        <v>0</v>
      </c>
    </row>
    <row r="326" customFormat="false" ht="15" hidden="false" customHeight="false" outlineLevel="0" collapsed="false">
      <c r="A326" s="60" t="s">
        <v>780</v>
      </c>
      <c r="B326" s="61" t="str">
        <f aca="false">IF($M326=0,"",INDEX(Classes!$E$6:$E$420,$M326))</f>
        <v>Arabic A</v>
      </c>
      <c r="C326" s="62" t="str">
        <f aca="false">IF($M326=0,"",INDEX(Classes!$H$6:$H$420,$M326))</f>
        <v>Mr Aly Abdelmonem Hasan</v>
      </c>
      <c r="D326" s="61" t="str">
        <f aca="false">IF($M326=0,"",INDEX(Classes!$B$6:$B$420,$M326))</f>
        <v>Year 10</v>
      </c>
      <c r="E326" s="61" t="str">
        <f aca="false">IF($M326=0,"",INDEX(Classes!$C$6:$C$420,$M326))</f>
        <v>ah</v>
      </c>
      <c r="F326" s="63" t="s">
        <v>163</v>
      </c>
      <c r="G326" s="63" t="s">
        <v>1016</v>
      </c>
      <c r="H326" s="60" t="s">
        <v>201</v>
      </c>
      <c r="I326" s="60" t="s">
        <v>203</v>
      </c>
      <c r="J326" s="63" t="n">
        <v>1</v>
      </c>
      <c r="K326" s="61" t="str">
        <f aca="false">IF($P326=0,"",IF($F326="Baseline","— Baseline",IF($O326=0,"No result",IF($N326=0,"No Start (attainment only)",IF(OR($N326=1,$O326=1),"U – needs rule",INDEX(MxBody,MATCH($I326,MxCurr,0),MATCH($H326,MxStart,0)))))))</f>
        <v>Better</v>
      </c>
      <c r="L326" s="62" t="str">
        <f aca="false">IF(COUNTA($A326,$F326,$G326,$H326,$I326,$J326)=0,"",IF($M326=0,"✖ كود الصف غير موجود",IF(ISNA(MATCH($F326,Lists!$A$2:$A$5,0)),"✖ الفترة غير صحيحة",IF(ISNA(MATCH($G326,Lists!$B$2:$B$7,0)),"✖ المجموعة غير صحيحة",IF(NOT(OR($H326="",$N326&gt;0)),"✖ Start غير صحيح",IF(NOT(OR($I326="",$I326="NR",$O326&gt;0)),"✖ Current غير صحيح",IF(NOT(IF(ISNUMBER($J326),AND($J326&gt;=0,$J326=INT($J326)),FALSE())),"✖ العدد يجب أن يكون صحيحًا ≥ 0",IF(AND($F326="Baseline",$H326&lt;&gt;""),"⚠ Baseline: Start لا يدخل في التقدم",IF($K326="No Start (attainment only)","ℹ تحصيل فقط (بدون Start)",IF($K326="U – needs rule","ℹ حالة U تحتاج قاعدة معتمدة",IF($K326="No result","ℹ بدون نتيجة (يُستبعد من التحصيل)","OK")))))))))))</f>
        <v>OK</v>
      </c>
      <c r="M326" s="64" t="n">
        <f aca="false">IF($A326="",0,IFERROR(MATCH($A326,Classes!$A$6:$A$420,0),0))</f>
        <v>284</v>
      </c>
      <c r="N326" s="64" t="n">
        <f aca="false">IF($H326="",0,IFERROR(MATCH($H326,GradeList,0),0))</f>
        <v>6</v>
      </c>
      <c r="O326" s="64" t="n">
        <f aca="false">IF(OR($I326="",$I326="NR"),0,IFERROR(MATCH($I326,GradeList,0),0))</f>
        <v>8</v>
      </c>
      <c r="P326" s="64" t="n">
        <f aca="false">IF(AND($M326&gt;0,ISNUMBER(MATCH($F326,Lists!$A$2:$A$5,0)),ISNUMBER(MATCH($G326,Lists!$B$2:$B$7,0)),OR($H326="",$N326&gt;0),OR($I326="",$I326="NR",$O326&gt;0),IF(ISNUMBER($J326),AND($J326&gt;=0,$J326=INT($J326)),FALSE())),$J326,0)</f>
        <v>1</v>
      </c>
      <c r="Q326" s="64" t="n">
        <f aca="false">IF(AND($P326&gt;0,$O326&gt;0),$P326,0)</f>
        <v>1</v>
      </c>
      <c r="R326" s="64" t="n">
        <f aca="false">IF(AND($Q326&gt;0,$O326&gt;=AtRank),$Q326,0)</f>
        <v>1</v>
      </c>
      <c r="S326" s="64" t="n">
        <f aca="false">IF(AND($Q326&gt;0,$O326&gt;=AboveRank),$Q326,0)</f>
        <v>1</v>
      </c>
      <c r="T326" s="64" t="n">
        <f aca="false">IF($K326="Less",$P326,0)</f>
        <v>0</v>
      </c>
      <c r="U326" s="64" t="n">
        <f aca="false">IF($K326="Expected",$P326,0)</f>
        <v>0</v>
      </c>
      <c r="V326" s="64" t="n">
        <f aca="false">IF($K326="Better",$P326,0)</f>
        <v>1</v>
      </c>
      <c r="W326" s="64" t="n">
        <f aca="false">IF($K326="U – needs rule",$P326,0)</f>
        <v>0</v>
      </c>
      <c r="X326" s="64" t="n">
        <f aca="false">IF($K326="No Start (attainment only)",$P326,0)</f>
        <v>0</v>
      </c>
    </row>
    <row r="327" customFormat="false" ht="15" hidden="false" customHeight="false" outlineLevel="0" collapsed="false">
      <c r="A327" s="60" t="s">
        <v>780</v>
      </c>
      <c r="B327" s="61" t="str">
        <f aca="false">IF($M327=0,"",INDEX(Classes!$E$6:$E$420,$M327))</f>
        <v>Arabic A</v>
      </c>
      <c r="C327" s="62" t="str">
        <f aca="false">IF($M327=0,"",INDEX(Classes!$H$6:$H$420,$M327))</f>
        <v>Mr Aly Abdelmonem Hasan</v>
      </c>
      <c r="D327" s="61" t="str">
        <f aca="false">IF($M327=0,"",INDEX(Classes!$B$6:$B$420,$M327))</f>
        <v>Year 10</v>
      </c>
      <c r="E327" s="61" t="str">
        <f aca="false">IF($M327=0,"",INDEX(Classes!$C$6:$C$420,$M327))</f>
        <v>ah</v>
      </c>
      <c r="F327" s="63" t="s">
        <v>163</v>
      </c>
      <c r="G327" s="63" t="s">
        <v>1016</v>
      </c>
      <c r="H327" s="60" t="s">
        <v>201</v>
      </c>
      <c r="I327" s="60" t="s">
        <v>204</v>
      </c>
      <c r="J327" s="63" t="n">
        <v>1</v>
      </c>
      <c r="K327" s="61" t="str">
        <f aca="false">IF($P327=0,"",IF($F327="Baseline","— Baseline",IF($O327=0,"No result",IF($N327=0,"No Start (attainment only)",IF(OR($N327=1,$O327=1),"U – needs rule",INDEX(MxBody,MATCH($I327,MxCurr,0),MATCH($H327,MxStart,0)))))))</f>
        <v>Better</v>
      </c>
      <c r="L327" s="62" t="str">
        <f aca="false">IF(COUNTA($A327,$F327,$G327,$H327,$I327,$J327)=0,"",IF($M327=0,"✖ كود الصف غير موجود",IF(ISNA(MATCH($F327,Lists!$A$2:$A$5,0)),"✖ الفترة غير صحيحة",IF(ISNA(MATCH($G327,Lists!$B$2:$B$7,0)),"✖ المجموعة غير صحيحة",IF(NOT(OR($H327="",$N327&gt;0)),"✖ Start غير صحيح",IF(NOT(OR($I327="",$I327="NR",$O327&gt;0)),"✖ Current غير صحيح",IF(NOT(IF(ISNUMBER($J327),AND($J327&gt;=0,$J327=INT($J327)),FALSE())),"✖ العدد يجب أن يكون صحيحًا ≥ 0",IF(AND($F327="Baseline",$H327&lt;&gt;""),"⚠ Baseline: Start لا يدخل في التقدم",IF($K327="No Start (attainment only)","ℹ تحصيل فقط (بدون Start)",IF($K327="U – needs rule","ℹ حالة U تحتاج قاعدة معتمدة",IF($K327="No result","ℹ بدون نتيجة (يُستبعد من التحصيل)","OK")))))))))))</f>
        <v>OK</v>
      </c>
      <c r="M327" s="64" t="n">
        <f aca="false">IF($A327="",0,IFERROR(MATCH($A327,Classes!$A$6:$A$420,0),0))</f>
        <v>284</v>
      </c>
      <c r="N327" s="64" t="n">
        <f aca="false">IF($H327="",0,IFERROR(MATCH($H327,GradeList,0),0))</f>
        <v>6</v>
      </c>
      <c r="O327" s="64" t="n">
        <f aca="false">IF(OR($I327="",$I327="NR"),0,IFERROR(MATCH($I327,GradeList,0),0))</f>
        <v>9</v>
      </c>
      <c r="P327" s="64" t="n">
        <f aca="false">IF(AND($M327&gt;0,ISNUMBER(MATCH($F327,Lists!$A$2:$A$5,0)),ISNUMBER(MATCH($G327,Lists!$B$2:$B$7,0)),OR($H327="",$N327&gt;0),OR($I327="",$I327="NR",$O327&gt;0),IF(ISNUMBER($J327),AND($J327&gt;=0,$J327=INT($J327)),FALSE())),$J327,0)</f>
        <v>1</v>
      </c>
      <c r="Q327" s="64" t="n">
        <f aca="false">IF(AND($P327&gt;0,$O327&gt;0),$P327,0)</f>
        <v>1</v>
      </c>
      <c r="R327" s="64" t="n">
        <f aca="false">IF(AND($Q327&gt;0,$O327&gt;=AtRank),$Q327,0)</f>
        <v>1</v>
      </c>
      <c r="S327" s="64" t="n">
        <f aca="false">IF(AND($Q327&gt;0,$O327&gt;=AboveRank),$Q327,0)</f>
        <v>1</v>
      </c>
      <c r="T327" s="64" t="n">
        <f aca="false">IF($K327="Less",$P327,0)</f>
        <v>0</v>
      </c>
      <c r="U327" s="64" t="n">
        <f aca="false">IF($K327="Expected",$P327,0)</f>
        <v>0</v>
      </c>
      <c r="V327" s="64" t="n">
        <f aca="false">IF($K327="Better",$P327,0)</f>
        <v>1</v>
      </c>
      <c r="W327" s="64" t="n">
        <f aca="false">IF($K327="U – needs rule",$P327,0)</f>
        <v>0</v>
      </c>
      <c r="X327" s="64" t="n">
        <f aca="false">IF($K327="No Start (attainment only)",$P327,0)</f>
        <v>0</v>
      </c>
    </row>
    <row r="328" customFormat="false" ht="15" hidden="false" customHeight="false" outlineLevel="0" collapsed="false">
      <c r="A328" s="60" t="s">
        <v>780</v>
      </c>
      <c r="B328" s="61" t="str">
        <f aca="false">IF($M328=0,"",INDEX(Classes!$E$6:$E$420,$M328))</f>
        <v>Arabic A</v>
      </c>
      <c r="C328" s="62" t="str">
        <f aca="false">IF($M328=0,"",INDEX(Classes!$H$6:$H$420,$M328))</f>
        <v>Mr Aly Abdelmonem Hasan</v>
      </c>
      <c r="D328" s="61" t="str">
        <f aca="false">IF($M328=0,"",INDEX(Classes!$B$6:$B$420,$M328))</f>
        <v>Year 10</v>
      </c>
      <c r="E328" s="61" t="str">
        <f aca="false">IF($M328=0,"",INDEX(Classes!$C$6:$C$420,$M328))</f>
        <v>ah</v>
      </c>
      <c r="F328" s="63" t="s">
        <v>163</v>
      </c>
      <c r="G328" s="63" t="s">
        <v>1016</v>
      </c>
      <c r="H328" s="60" t="s">
        <v>199</v>
      </c>
      <c r="I328" s="60" t="s">
        <v>200</v>
      </c>
      <c r="J328" s="63" t="n">
        <v>2</v>
      </c>
      <c r="K328" s="61" t="str">
        <f aca="false">IF($P328=0,"",IF($F328="Baseline","— Baseline",IF($O328=0,"No result",IF($N328=0,"No Start (attainment only)",IF(OR($N328=1,$O328=1),"U – needs rule",INDEX(MxBody,MATCH($I328,MxCurr,0),MATCH($H328,MxStart,0)))))))</f>
        <v>Better</v>
      </c>
      <c r="L328" s="62" t="str">
        <f aca="false">IF(COUNTA($A328,$F328,$G328,$H328,$I328,$J328)=0,"",IF($M328=0,"✖ كود الصف غير موجود",IF(ISNA(MATCH($F328,Lists!$A$2:$A$5,0)),"✖ الفترة غير صحيحة",IF(ISNA(MATCH($G328,Lists!$B$2:$B$7,0)),"✖ المجموعة غير صحيحة",IF(NOT(OR($H328="",$N328&gt;0)),"✖ Start غير صحيح",IF(NOT(OR($I328="",$I328="NR",$O328&gt;0)),"✖ Current غير صحيح",IF(NOT(IF(ISNUMBER($J328),AND($J328&gt;=0,$J328=INT($J328)),FALSE())),"✖ العدد يجب أن يكون صحيحًا ≥ 0",IF(AND($F328="Baseline",$H328&lt;&gt;""),"⚠ Baseline: Start لا يدخل في التقدم",IF($K328="No Start (attainment only)","ℹ تحصيل فقط (بدون Start)",IF($K328="U – needs rule","ℹ حالة U تحتاج قاعدة معتمدة",IF($K328="No result","ℹ بدون نتيجة (يُستبعد من التحصيل)","OK")))))))))))</f>
        <v>OK</v>
      </c>
      <c r="M328" s="64" t="n">
        <f aca="false">IF($A328="",0,IFERROR(MATCH($A328,Classes!$A$6:$A$420,0),0))</f>
        <v>284</v>
      </c>
      <c r="N328" s="64" t="n">
        <f aca="false">IF($H328="",0,IFERROR(MATCH($H328,GradeList,0),0))</f>
        <v>4</v>
      </c>
      <c r="O328" s="64" t="n">
        <f aca="false">IF(OR($I328="",$I328="NR"),0,IFERROR(MATCH($I328,GradeList,0),0))</f>
        <v>5</v>
      </c>
      <c r="P328" s="64" t="n">
        <f aca="false">IF(AND($M328&gt;0,ISNUMBER(MATCH($F328,Lists!$A$2:$A$5,0)),ISNUMBER(MATCH($G328,Lists!$B$2:$B$7,0)),OR($H328="",$N328&gt;0),OR($I328="",$I328="NR",$O328&gt;0),IF(ISNUMBER($J328),AND($J328&gt;=0,$J328=INT($J328)),FALSE())),$J328,0)</f>
        <v>2</v>
      </c>
      <c r="Q328" s="64" t="n">
        <f aca="false">IF(AND($P328&gt;0,$O328&gt;0),$P328,0)</f>
        <v>2</v>
      </c>
      <c r="R328" s="64" t="n">
        <f aca="false">IF(AND($Q328&gt;0,$O328&gt;=AtRank),$Q328,0)</f>
        <v>2</v>
      </c>
      <c r="S328" s="64" t="n">
        <f aca="false">IF(AND($Q328&gt;0,$O328&gt;=AboveRank),$Q328,0)</f>
        <v>0</v>
      </c>
      <c r="T328" s="64" t="n">
        <f aca="false">IF($K328="Less",$P328,0)</f>
        <v>0</v>
      </c>
      <c r="U328" s="64" t="n">
        <f aca="false">IF($K328="Expected",$P328,0)</f>
        <v>0</v>
      </c>
      <c r="V328" s="64" t="n">
        <f aca="false">IF($K328="Better",$P328,0)</f>
        <v>2</v>
      </c>
      <c r="W328" s="64" t="n">
        <f aca="false">IF($K328="U – needs rule",$P328,0)</f>
        <v>0</v>
      </c>
      <c r="X328" s="64" t="n">
        <f aca="false">IF($K328="No Start (attainment only)",$P328,0)</f>
        <v>0</v>
      </c>
    </row>
    <row r="329" customFormat="false" ht="15" hidden="false" customHeight="false" outlineLevel="0" collapsed="false">
      <c r="A329" s="60" t="s">
        <v>780</v>
      </c>
      <c r="B329" s="61" t="str">
        <f aca="false">IF($M329=0,"",INDEX(Classes!$E$6:$E$420,$M329))</f>
        <v>Arabic A</v>
      </c>
      <c r="C329" s="62" t="str">
        <f aca="false">IF($M329=0,"",INDEX(Classes!$H$6:$H$420,$M329))</f>
        <v>Mr Aly Abdelmonem Hasan</v>
      </c>
      <c r="D329" s="61" t="str">
        <f aca="false">IF($M329=0,"",INDEX(Classes!$B$6:$B$420,$M329))</f>
        <v>Year 10</v>
      </c>
      <c r="E329" s="61" t="str">
        <f aca="false">IF($M329=0,"",INDEX(Classes!$C$6:$C$420,$M329))</f>
        <v>ah</v>
      </c>
      <c r="F329" s="63" t="s">
        <v>163</v>
      </c>
      <c r="G329" s="63" t="s">
        <v>1016</v>
      </c>
      <c r="H329" s="60" t="s">
        <v>199</v>
      </c>
      <c r="I329" s="60" t="s">
        <v>201</v>
      </c>
      <c r="J329" s="63" t="n">
        <v>1</v>
      </c>
      <c r="K329" s="61" t="str">
        <f aca="false">IF($P329=0,"",IF($F329="Baseline","— Baseline",IF($O329=0,"No result",IF($N329=0,"No Start (attainment only)",IF(OR($N329=1,$O329=1),"U – needs rule",INDEX(MxBody,MATCH($I329,MxCurr,0),MATCH($H329,MxStart,0)))))))</f>
        <v>Better</v>
      </c>
      <c r="L329" s="62" t="str">
        <f aca="false">IF(COUNTA($A329,$F329,$G329,$H329,$I329,$J329)=0,"",IF($M329=0,"✖ كود الصف غير موجود",IF(ISNA(MATCH($F329,Lists!$A$2:$A$5,0)),"✖ الفترة غير صحيحة",IF(ISNA(MATCH($G329,Lists!$B$2:$B$7,0)),"✖ المجموعة غير صحيحة",IF(NOT(OR($H329="",$N329&gt;0)),"✖ Start غير صحيح",IF(NOT(OR($I329="",$I329="NR",$O329&gt;0)),"✖ Current غير صحيح",IF(NOT(IF(ISNUMBER($J329),AND($J329&gt;=0,$J329=INT($J329)),FALSE())),"✖ العدد يجب أن يكون صحيحًا ≥ 0",IF(AND($F329="Baseline",$H329&lt;&gt;""),"⚠ Baseline: Start لا يدخل في التقدم",IF($K329="No Start (attainment only)","ℹ تحصيل فقط (بدون Start)",IF($K329="U – needs rule","ℹ حالة U تحتاج قاعدة معتمدة",IF($K329="No result","ℹ بدون نتيجة (يُستبعد من التحصيل)","OK")))))))))))</f>
        <v>OK</v>
      </c>
      <c r="M329" s="64" t="n">
        <f aca="false">IF($A329="",0,IFERROR(MATCH($A329,Classes!$A$6:$A$420,0),0))</f>
        <v>284</v>
      </c>
      <c r="N329" s="64" t="n">
        <f aca="false">IF($H329="",0,IFERROR(MATCH($H329,GradeList,0),0))</f>
        <v>4</v>
      </c>
      <c r="O329" s="64" t="n">
        <f aca="false">IF(OR($I329="",$I329="NR"),0,IFERROR(MATCH($I329,GradeList,0),0))</f>
        <v>6</v>
      </c>
      <c r="P329" s="64" t="n">
        <f aca="false">IF(AND($M329&gt;0,ISNUMBER(MATCH($F329,Lists!$A$2:$A$5,0)),ISNUMBER(MATCH($G329,Lists!$B$2:$B$7,0)),OR($H329="",$N329&gt;0),OR($I329="",$I329="NR",$O329&gt;0),IF(ISNUMBER($J329),AND($J329&gt;=0,$J329=INT($J329)),FALSE())),$J329,0)</f>
        <v>1</v>
      </c>
      <c r="Q329" s="64" t="n">
        <f aca="false">IF(AND($P329&gt;0,$O329&gt;0),$P329,0)</f>
        <v>1</v>
      </c>
      <c r="R329" s="64" t="n">
        <f aca="false">IF(AND($Q329&gt;0,$O329&gt;=AtRank),$Q329,0)</f>
        <v>1</v>
      </c>
      <c r="S329" s="64" t="n">
        <f aca="false">IF(AND($Q329&gt;0,$O329&gt;=AboveRank),$Q329,0)</f>
        <v>0</v>
      </c>
      <c r="T329" s="64" t="n">
        <f aca="false">IF($K329="Less",$P329,0)</f>
        <v>0</v>
      </c>
      <c r="U329" s="64" t="n">
        <f aca="false">IF($K329="Expected",$P329,0)</f>
        <v>0</v>
      </c>
      <c r="V329" s="64" t="n">
        <f aca="false">IF($K329="Better",$P329,0)</f>
        <v>1</v>
      </c>
      <c r="W329" s="64" t="n">
        <f aca="false">IF($K329="U – needs rule",$P329,0)</f>
        <v>0</v>
      </c>
      <c r="X329" s="64" t="n">
        <f aca="false">IF($K329="No Start (attainment only)",$P329,0)</f>
        <v>0</v>
      </c>
    </row>
    <row r="330" customFormat="false" ht="15" hidden="false" customHeight="false" outlineLevel="0" collapsed="false">
      <c r="A330" s="60" t="s">
        <v>780</v>
      </c>
      <c r="B330" s="61" t="str">
        <f aca="false">IF($M330=0,"",INDEX(Classes!$E$6:$E$420,$M330))</f>
        <v>Arabic A</v>
      </c>
      <c r="C330" s="62" t="str">
        <f aca="false">IF($M330=0,"",INDEX(Classes!$H$6:$H$420,$M330))</f>
        <v>Mr Aly Abdelmonem Hasan</v>
      </c>
      <c r="D330" s="61" t="str">
        <f aca="false">IF($M330=0,"",INDEX(Classes!$B$6:$B$420,$M330))</f>
        <v>Year 10</v>
      </c>
      <c r="E330" s="61" t="str">
        <f aca="false">IF($M330=0,"",INDEX(Classes!$C$6:$C$420,$M330))</f>
        <v>ah</v>
      </c>
      <c r="F330" s="63" t="s">
        <v>163</v>
      </c>
      <c r="G330" s="63" t="s">
        <v>1016</v>
      </c>
      <c r="H330" s="60" t="s">
        <v>199</v>
      </c>
      <c r="I330" s="60" t="s">
        <v>199</v>
      </c>
      <c r="J330" s="63" t="n">
        <v>1</v>
      </c>
      <c r="K330" s="61" t="str">
        <f aca="false">IF($P330=0,"",IF($F330="Baseline","— Baseline",IF($O330=0,"No result",IF($N330=0,"No Start (attainment only)",IF(OR($N330=1,$O330=1),"U – needs rule",INDEX(MxBody,MATCH($I330,MxCurr,0),MATCH($H330,MxStart,0)))))))</f>
        <v>Expected</v>
      </c>
      <c r="L330" s="62" t="str">
        <f aca="false">IF(COUNTA($A330,$F330,$G330,$H330,$I330,$J330)=0,"",IF($M330=0,"✖ كود الصف غير موجود",IF(ISNA(MATCH($F330,Lists!$A$2:$A$5,0)),"✖ الفترة غير صحيحة",IF(ISNA(MATCH($G330,Lists!$B$2:$B$7,0)),"✖ المجموعة غير صحيحة",IF(NOT(OR($H330="",$N330&gt;0)),"✖ Start غير صحيح",IF(NOT(OR($I330="",$I330="NR",$O330&gt;0)),"✖ Current غير صحيح",IF(NOT(IF(ISNUMBER($J330),AND($J330&gt;=0,$J330=INT($J330)),FALSE())),"✖ العدد يجب أن يكون صحيحًا ≥ 0",IF(AND($F330="Baseline",$H330&lt;&gt;""),"⚠ Baseline: Start لا يدخل في التقدم",IF($K330="No Start (attainment only)","ℹ تحصيل فقط (بدون Start)",IF($K330="U – needs rule","ℹ حالة U تحتاج قاعدة معتمدة",IF($K330="No result","ℹ بدون نتيجة (يُستبعد من التحصيل)","OK")))))))))))</f>
        <v>OK</v>
      </c>
      <c r="M330" s="64" t="n">
        <f aca="false">IF($A330="",0,IFERROR(MATCH($A330,Classes!$A$6:$A$420,0),0))</f>
        <v>284</v>
      </c>
      <c r="N330" s="64" t="n">
        <f aca="false">IF($H330="",0,IFERROR(MATCH($H330,GradeList,0),0))</f>
        <v>4</v>
      </c>
      <c r="O330" s="64" t="n">
        <f aca="false">IF(OR($I330="",$I330="NR"),0,IFERROR(MATCH($I330,GradeList,0),0))</f>
        <v>4</v>
      </c>
      <c r="P330" s="64" t="n">
        <f aca="false">IF(AND($M330&gt;0,ISNUMBER(MATCH($F330,Lists!$A$2:$A$5,0)),ISNUMBER(MATCH($G330,Lists!$B$2:$B$7,0)),OR($H330="",$N330&gt;0),OR($I330="",$I330="NR",$O330&gt;0),IF(ISNUMBER($J330),AND($J330&gt;=0,$J330=INT($J330)),FALSE())),$J330,0)</f>
        <v>1</v>
      </c>
      <c r="Q330" s="64" t="n">
        <f aca="false">IF(AND($P330&gt;0,$O330&gt;0),$P330,0)</f>
        <v>1</v>
      </c>
      <c r="R330" s="64" t="n">
        <f aca="false">IF(AND($Q330&gt;0,$O330&gt;=AtRank),$Q330,0)</f>
        <v>0</v>
      </c>
      <c r="S330" s="64" t="n">
        <f aca="false">IF(AND($Q330&gt;0,$O330&gt;=AboveRank),$Q330,0)</f>
        <v>0</v>
      </c>
      <c r="T330" s="64" t="n">
        <f aca="false">IF($K330="Less",$P330,0)</f>
        <v>0</v>
      </c>
      <c r="U330" s="64" t="n">
        <f aca="false">IF($K330="Expected",$P330,0)</f>
        <v>1</v>
      </c>
      <c r="V330" s="64" t="n">
        <f aca="false">IF($K330="Better",$P330,0)</f>
        <v>0</v>
      </c>
      <c r="W330" s="64" t="n">
        <f aca="false">IF($K330="U – needs rule",$P330,0)</f>
        <v>0</v>
      </c>
      <c r="X330" s="64" t="n">
        <f aca="false">IF($K330="No Start (attainment only)",$P330,0)</f>
        <v>0</v>
      </c>
    </row>
    <row r="331" customFormat="false" ht="15" hidden="false" customHeight="false" outlineLevel="0" collapsed="false">
      <c r="A331" s="60" t="s">
        <v>780</v>
      </c>
      <c r="B331" s="61" t="str">
        <f aca="false">IF($M331=0,"",INDEX(Classes!$E$6:$E$420,$M331))</f>
        <v>Arabic A</v>
      </c>
      <c r="C331" s="62" t="str">
        <f aca="false">IF($M331=0,"",INDEX(Classes!$H$6:$H$420,$M331))</f>
        <v>Mr Aly Abdelmonem Hasan</v>
      </c>
      <c r="D331" s="61" t="str">
        <f aca="false">IF($M331=0,"",INDEX(Classes!$B$6:$B$420,$M331))</f>
        <v>Year 10</v>
      </c>
      <c r="E331" s="61" t="str">
        <f aca="false">IF($M331=0,"",INDEX(Classes!$C$6:$C$420,$M331))</f>
        <v>ah</v>
      </c>
      <c r="F331" s="63" t="s">
        <v>163</v>
      </c>
      <c r="G331" s="63" t="s">
        <v>941</v>
      </c>
      <c r="H331" s="60" t="s">
        <v>199</v>
      </c>
      <c r="I331" s="60" t="s">
        <v>201</v>
      </c>
      <c r="J331" s="63" t="n">
        <v>1</v>
      </c>
      <c r="K331" s="61" t="str">
        <f aca="false">IF($P331=0,"",IF($F331="Baseline","— Baseline",IF($O331=0,"No result",IF($N331=0,"No Start (attainment only)",IF(OR($N331=1,$O331=1),"U – needs rule",INDEX(MxBody,MATCH($I331,MxCurr,0),MATCH($H331,MxStart,0)))))))</f>
        <v>Better</v>
      </c>
      <c r="L331" s="62" t="str">
        <f aca="false">IF(COUNTA($A331,$F331,$G331,$H331,$I331,$J331)=0,"",IF($M331=0,"✖ كود الصف غير موجود",IF(ISNA(MATCH($F331,Lists!$A$2:$A$5,0)),"✖ الفترة غير صحيحة",IF(ISNA(MATCH($G331,Lists!$B$2:$B$7,0)),"✖ المجموعة غير صحيحة",IF(NOT(OR($H331="",$N331&gt;0)),"✖ Start غير صحيح",IF(NOT(OR($I331="",$I331="NR",$O331&gt;0)),"✖ Current غير صحيح",IF(NOT(IF(ISNUMBER($J331),AND($J331&gt;=0,$J331=INT($J331)),FALSE())),"✖ العدد يجب أن يكون صحيحًا ≥ 0",IF(AND($F331="Baseline",$H331&lt;&gt;""),"⚠ Baseline: Start لا يدخل في التقدم",IF($K331="No Start (attainment only)","ℹ تحصيل فقط (بدون Start)",IF($K331="U – needs rule","ℹ حالة U تحتاج قاعدة معتمدة",IF($K331="No result","ℹ بدون نتيجة (يُستبعد من التحصيل)","OK")))))))))))</f>
        <v>OK</v>
      </c>
      <c r="M331" s="64" t="n">
        <f aca="false">IF($A331="",0,IFERROR(MATCH($A331,Classes!$A$6:$A$420,0),0))</f>
        <v>284</v>
      </c>
      <c r="N331" s="64" t="n">
        <f aca="false">IF($H331="",0,IFERROR(MATCH($H331,GradeList,0),0))</f>
        <v>4</v>
      </c>
      <c r="O331" s="64" t="n">
        <f aca="false">IF(OR($I331="",$I331="NR"),0,IFERROR(MATCH($I331,GradeList,0),0))</f>
        <v>6</v>
      </c>
      <c r="P331" s="64" t="n">
        <f aca="false">IF(AND($M331&gt;0,ISNUMBER(MATCH($F331,Lists!$A$2:$A$5,0)),ISNUMBER(MATCH($G331,Lists!$B$2:$B$7,0)),OR($H331="",$N331&gt;0),OR($I331="",$I331="NR",$O331&gt;0),IF(ISNUMBER($J331),AND($J331&gt;=0,$J331=INT($J331)),FALSE())),$J331,0)</f>
        <v>1</v>
      </c>
      <c r="Q331" s="64" t="n">
        <f aca="false">IF(AND($P331&gt;0,$O331&gt;0),$P331,0)</f>
        <v>1</v>
      </c>
      <c r="R331" s="64" t="n">
        <f aca="false">IF(AND($Q331&gt;0,$O331&gt;=AtRank),$Q331,0)</f>
        <v>1</v>
      </c>
      <c r="S331" s="64" t="n">
        <f aca="false">IF(AND($Q331&gt;0,$O331&gt;=AboveRank),$Q331,0)</f>
        <v>0</v>
      </c>
      <c r="T331" s="64" t="n">
        <f aca="false">IF($K331="Less",$P331,0)</f>
        <v>0</v>
      </c>
      <c r="U331" s="64" t="n">
        <f aca="false">IF($K331="Expected",$P331,0)</f>
        <v>0</v>
      </c>
      <c r="V331" s="64" t="n">
        <f aca="false">IF($K331="Better",$P331,0)</f>
        <v>1</v>
      </c>
      <c r="W331" s="64" t="n">
        <f aca="false">IF($K331="U – needs rule",$P331,0)</f>
        <v>0</v>
      </c>
      <c r="X331" s="64" t="n">
        <f aca="false">IF($K331="No Start (attainment only)",$P331,0)</f>
        <v>0</v>
      </c>
    </row>
    <row r="332" customFormat="false" ht="15" hidden="false" customHeight="false" outlineLevel="0" collapsed="false">
      <c r="A332" s="60" t="s">
        <v>780</v>
      </c>
      <c r="B332" s="61" t="str">
        <f aca="false">IF($M332=0,"",INDEX(Classes!$E$6:$E$420,$M332))</f>
        <v>Arabic A</v>
      </c>
      <c r="C332" s="62" t="str">
        <f aca="false">IF($M332=0,"",INDEX(Classes!$H$6:$H$420,$M332))</f>
        <v>Mr Aly Abdelmonem Hasan</v>
      </c>
      <c r="D332" s="61" t="str">
        <f aca="false">IF($M332=0,"",INDEX(Classes!$B$6:$B$420,$M332))</f>
        <v>Year 10</v>
      </c>
      <c r="E332" s="61" t="str">
        <f aca="false">IF($M332=0,"",INDEX(Classes!$C$6:$C$420,$M332))</f>
        <v>ah</v>
      </c>
      <c r="F332" s="63" t="s">
        <v>163</v>
      </c>
      <c r="G332" s="63" t="s">
        <v>1017</v>
      </c>
      <c r="H332" s="60" t="s">
        <v>199</v>
      </c>
      <c r="I332" s="60" t="s">
        <v>201</v>
      </c>
      <c r="J332" s="63" t="n">
        <v>1</v>
      </c>
      <c r="K332" s="61" t="str">
        <f aca="false">IF($P332=0,"",IF($F332="Baseline","— Baseline",IF($O332=0,"No result",IF($N332=0,"No Start (attainment only)",IF(OR($N332=1,$O332=1),"U – needs rule",INDEX(MxBody,MATCH($I332,MxCurr,0),MATCH($H332,MxStart,0)))))))</f>
        <v>Better</v>
      </c>
      <c r="L332" s="62" t="str">
        <f aca="false">IF(COUNTA($A332,$F332,$G332,$H332,$I332,$J332)=0,"",IF($M332=0,"✖ كود الصف غير موجود",IF(ISNA(MATCH($F332,Lists!$A$2:$A$5,0)),"✖ الفترة غير صحيحة",IF(ISNA(MATCH($G332,Lists!$B$2:$B$7,0)),"✖ المجموعة غير صحيحة",IF(NOT(OR($H332="",$N332&gt;0)),"✖ Start غير صحيح",IF(NOT(OR($I332="",$I332="NR",$O332&gt;0)),"✖ Current غير صحيح",IF(NOT(IF(ISNUMBER($J332),AND($J332&gt;=0,$J332=INT($J332)),FALSE())),"✖ العدد يجب أن يكون صحيحًا ≥ 0",IF(AND($F332="Baseline",$H332&lt;&gt;""),"⚠ Baseline: Start لا يدخل في التقدم",IF($K332="No Start (attainment only)","ℹ تحصيل فقط (بدون Start)",IF($K332="U – needs rule","ℹ حالة U تحتاج قاعدة معتمدة",IF($K332="No result","ℹ بدون نتيجة (يُستبعد من التحصيل)","OK")))))))))))</f>
        <v>OK</v>
      </c>
      <c r="M332" s="64" t="n">
        <f aca="false">IF($A332="",0,IFERROR(MATCH($A332,Classes!$A$6:$A$420,0),0))</f>
        <v>284</v>
      </c>
      <c r="N332" s="64" t="n">
        <f aca="false">IF($H332="",0,IFERROR(MATCH($H332,GradeList,0),0))</f>
        <v>4</v>
      </c>
      <c r="O332" s="64" t="n">
        <f aca="false">IF(OR($I332="",$I332="NR"),0,IFERROR(MATCH($I332,GradeList,0),0))</f>
        <v>6</v>
      </c>
      <c r="P332" s="64" t="n">
        <f aca="false">IF(AND($M332&gt;0,ISNUMBER(MATCH($F332,Lists!$A$2:$A$5,0)),ISNUMBER(MATCH($G332,Lists!$B$2:$B$7,0)),OR($H332="",$N332&gt;0),OR($I332="",$I332="NR",$O332&gt;0),IF(ISNUMBER($J332),AND($J332&gt;=0,$J332=INT($J332)),FALSE())),$J332,0)</f>
        <v>1</v>
      </c>
      <c r="Q332" s="64" t="n">
        <f aca="false">IF(AND($P332&gt;0,$O332&gt;0),$P332,0)</f>
        <v>1</v>
      </c>
      <c r="R332" s="64" t="n">
        <f aca="false">IF(AND($Q332&gt;0,$O332&gt;=AtRank),$Q332,0)</f>
        <v>1</v>
      </c>
      <c r="S332" s="64" t="n">
        <f aca="false">IF(AND($Q332&gt;0,$O332&gt;=AboveRank),$Q332,0)</f>
        <v>0</v>
      </c>
      <c r="T332" s="64" t="n">
        <f aca="false">IF($K332="Less",$P332,0)</f>
        <v>0</v>
      </c>
      <c r="U332" s="64" t="n">
        <f aca="false">IF($K332="Expected",$P332,0)</f>
        <v>0</v>
      </c>
      <c r="V332" s="64" t="n">
        <f aca="false">IF($K332="Better",$P332,0)</f>
        <v>1</v>
      </c>
      <c r="W332" s="64" t="n">
        <f aca="false">IF($K332="U – needs rule",$P332,0)</f>
        <v>0</v>
      </c>
      <c r="X332" s="64" t="n">
        <f aca="false">IF($K332="No Start (attainment only)",$P332,0)</f>
        <v>0</v>
      </c>
    </row>
    <row r="333" customFormat="false" ht="15" hidden="false" customHeight="false" outlineLevel="0" collapsed="false">
      <c r="A333" s="60" t="s">
        <v>780</v>
      </c>
      <c r="B333" s="61" t="str">
        <f aca="false">IF($M333=0,"",INDEX(Classes!$E$6:$E$420,$M333))</f>
        <v>Arabic A</v>
      </c>
      <c r="C333" s="62" t="str">
        <f aca="false">IF($M333=0,"",INDEX(Classes!$H$6:$H$420,$M333))</f>
        <v>Mr Aly Abdelmonem Hasan</v>
      </c>
      <c r="D333" s="61" t="str">
        <f aca="false">IF($M333=0,"",INDEX(Classes!$B$6:$B$420,$M333))</f>
        <v>Year 10</v>
      </c>
      <c r="E333" s="61" t="str">
        <f aca="false">IF($M333=0,"",INDEX(Classes!$C$6:$C$420,$M333))</f>
        <v>ah</v>
      </c>
      <c r="F333" s="63" t="s">
        <v>163</v>
      </c>
      <c r="G333" s="63" t="s">
        <v>1017</v>
      </c>
      <c r="H333" s="60" t="s">
        <v>199</v>
      </c>
      <c r="I333" s="60" t="s">
        <v>198</v>
      </c>
      <c r="J333" s="63" t="n">
        <v>1</v>
      </c>
      <c r="K333" s="61" t="str">
        <f aca="false">IF($P333=0,"",IF($F333="Baseline","— Baseline",IF($O333=0,"No result",IF($N333=0,"No Start (attainment only)",IF(OR($N333=1,$O333=1),"U – needs rule",INDEX(MxBody,MATCH($I333,MxCurr,0),MATCH($H333,MxStart,0)))))))</f>
        <v>Less</v>
      </c>
      <c r="L333" s="62" t="str">
        <f aca="false">IF(COUNTA($A333,$F333,$G333,$H333,$I333,$J333)=0,"",IF($M333=0,"✖ كود الصف غير موجود",IF(ISNA(MATCH($F333,Lists!$A$2:$A$5,0)),"✖ الفترة غير صحيحة",IF(ISNA(MATCH($G333,Lists!$B$2:$B$7,0)),"✖ المجموعة غير صحيحة",IF(NOT(OR($H333="",$N333&gt;0)),"✖ Start غير صحيح",IF(NOT(OR($I333="",$I333="NR",$O333&gt;0)),"✖ Current غير صحيح",IF(NOT(IF(ISNUMBER($J333),AND($J333&gt;=0,$J333=INT($J333)),FALSE())),"✖ العدد يجب أن يكون صحيحًا ≥ 0",IF(AND($F333="Baseline",$H333&lt;&gt;""),"⚠ Baseline: Start لا يدخل في التقدم",IF($K333="No Start (attainment only)","ℹ تحصيل فقط (بدون Start)",IF($K333="U – needs rule","ℹ حالة U تحتاج قاعدة معتمدة",IF($K333="No result","ℹ بدون نتيجة (يُستبعد من التحصيل)","OK")))))))))))</f>
        <v>OK</v>
      </c>
      <c r="M333" s="64" t="n">
        <f aca="false">IF($A333="",0,IFERROR(MATCH($A333,Classes!$A$6:$A$420,0),0))</f>
        <v>284</v>
      </c>
      <c r="N333" s="64" t="n">
        <f aca="false">IF($H333="",0,IFERROR(MATCH($H333,GradeList,0),0))</f>
        <v>4</v>
      </c>
      <c r="O333" s="64" t="n">
        <f aca="false">IF(OR($I333="",$I333="NR"),0,IFERROR(MATCH($I333,GradeList,0),0))</f>
        <v>3</v>
      </c>
      <c r="P333" s="64" t="n">
        <f aca="false">IF(AND($M333&gt;0,ISNUMBER(MATCH($F333,Lists!$A$2:$A$5,0)),ISNUMBER(MATCH($G333,Lists!$B$2:$B$7,0)),OR($H333="",$N333&gt;0),OR($I333="",$I333="NR",$O333&gt;0),IF(ISNUMBER($J333),AND($J333&gt;=0,$J333=INT($J333)),FALSE())),$J333,0)</f>
        <v>1</v>
      </c>
      <c r="Q333" s="64" t="n">
        <f aca="false">IF(AND($P333&gt;0,$O333&gt;0),$P333,0)</f>
        <v>1</v>
      </c>
      <c r="R333" s="64" t="n">
        <f aca="false">IF(AND($Q333&gt;0,$O333&gt;=AtRank),$Q333,0)</f>
        <v>0</v>
      </c>
      <c r="S333" s="64" t="n">
        <f aca="false">IF(AND($Q333&gt;0,$O333&gt;=AboveRank),$Q333,0)</f>
        <v>0</v>
      </c>
      <c r="T333" s="64" t="n">
        <f aca="false">IF($K333="Less",$P333,0)</f>
        <v>1</v>
      </c>
      <c r="U333" s="64" t="n">
        <f aca="false">IF($K333="Expected",$P333,0)</f>
        <v>0</v>
      </c>
      <c r="V333" s="64" t="n">
        <f aca="false">IF($K333="Better",$P333,0)</f>
        <v>0</v>
      </c>
      <c r="W333" s="64" t="n">
        <f aca="false">IF($K333="U – needs rule",$P333,0)</f>
        <v>0</v>
      </c>
      <c r="X333" s="64" t="n">
        <f aca="false">IF($K333="No Start (attainment only)",$P333,0)</f>
        <v>0</v>
      </c>
    </row>
    <row r="334" customFormat="false" ht="15" hidden="false" customHeight="false" outlineLevel="0" collapsed="false">
      <c r="A334" s="60" t="s">
        <v>780</v>
      </c>
      <c r="B334" s="61" t="str">
        <f aca="false">IF($M334=0,"",INDEX(Classes!$E$6:$E$420,$M334))</f>
        <v>Arabic A</v>
      </c>
      <c r="C334" s="62" t="str">
        <f aca="false">IF($M334=0,"",INDEX(Classes!$H$6:$H$420,$M334))</f>
        <v>Mr Aly Abdelmonem Hasan</v>
      </c>
      <c r="D334" s="61" t="str">
        <f aca="false">IF($M334=0,"",INDEX(Classes!$B$6:$B$420,$M334))</f>
        <v>Year 10</v>
      </c>
      <c r="E334" s="61" t="str">
        <f aca="false">IF($M334=0,"",INDEX(Classes!$C$6:$C$420,$M334))</f>
        <v>ah</v>
      </c>
      <c r="F334" s="63" t="s">
        <v>163</v>
      </c>
      <c r="G334" s="63" t="s">
        <v>1018</v>
      </c>
      <c r="H334" s="60" t="s">
        <v>202</v>
      </c>
      <c r="I334" s="60" t="s">
        <v>202</v>
      </c>
      <c r="J334" s="63" t="n">
        <v>1</v>
      </c>
      <c r="K334" s="61" t="str">
        <f aca="false">IF($P334=0,"",IF($F334="Baseline","— Baseline",IF($O334=0,"No result",IF($N334=0,"No Start (attainment only)",IF(OR($N334=1,$O334=1),"U – needs rule",INDEX(MxBody,MATCH($I334,MxCurr,0),MATCH($H334,MxStart,0)))))))</f>
        <v>Better</v>
      </c>
      <c r="L334" s="62" t="str">
        <f aca="false">IF(COUNTA($A334,$F334,$G334,$H334,$I334,$J334)=0,"",IF($M334=0,"✖ كود الصف غير موجود",IF(ISNA(MATCH($F334,Lists!$A$2:$A$5,0)),"✖ الفترة غير صحيحة",IF(ISNA(MATCH($G334,Lists!$B$2:$B$7,0)),"✖ المجموعة غير صحيحة",IF(NOT(OR($H334="",$N334&gt;0)),"✖ Start غير صحيح",IF(NOT(OR($I334="",$I334="NR",$O334&gt;0)),"✖ Current غير صحيح",IF(NOT(IF(ISNUMBER($J334),AND($J334&gt;=0,$J334=INT($J334)),FALSE())),"✖ العدد يجب أن يكون صحيحًا ≥ 0",IF(AND($F334="Baseline",$H334&lt;&gt;""),"⚠ Baseline: Start لا يدخل في التقدم",IF($K334="No Start (attainment only)","ℹ تحصيل فقط (بدون Start)",IF($K334="U – needs rule","ℹ حالة U تحتاج قاعدة معتمدة",IF($K334="No result","ℹ بدون نتيجة (يُستبعد من التحصيل)","OK")))))))))))</f>
        <v>OK</v>
      </c>
      <c r="M334" s="64" t="n">
        <f aca="false">IF($A334="",0,IFERROR(MATCH($A334,Classes!$A$6:$A$420,0),0))</f>
        <v>284</v>
      </c>
      <c r="N334" s="64" t="n">
        <f aca="false">IF($H334="",0,IFERROR(MATCH($H334,GradeList,0),0))</f>
        <v>7</v>
      </c>
      <c r="O334" s="64" t="n">
        <f aca="false">IF(OR($I334="",$I334="NR"),0,IFERROR(MATCH($I334,GradeList,0),0))</f>
        <v>7</v>
      </c>
      <c r="P334" s="64" t="n">
        <f aca="false">IF(AND($M334&gt;0,ISNUMBER(MATCH($F334,Lists!$A$2:$A$5,0)),ISNUMBER(MATCH($G334,Lists!$B$2:$B$7,0)),OR($H334="",$N334&gt;0),OR($I334="",$I334="NR",$O334&gt;0),IF(ISNUMBER($J334),AND($J334&gt;=0,$J334=INT($J334)),FALSE())),$J334,0)</f>
        <v>1</v>
      </c>
      <c r="Q334" s="64" t="n">
        <f aca="false">IF(AND($P334&gt;0,$O334&gt;0),$P334,0)</f>
        <v>1</v>
      </c>
      <c r="R334" s="64" t="n">
        <f aca="false">IF(AND($Q334&gt;0,$O334&gt;=AtRank),$Q334,0)</f>
        <v>1</v>
      </c>
      <c r="S334" s="64" t="n">
        <f aca="false">IF(AND($Q334&gt;0,$O334&gt;=AboveRank),$Q334,0)</f>
        <v>1</v>
      </c>
      <c r="T334" s="64" t="n">
        <f aca="false">IF($K334="Less",$P334,0)</f>
        <v>0</v>
      </c>
      <c r="U334" s="64" t="n">
        <f aca="false">IF($K334="Expected",$P334,0)</f>
        <v>0</v>
      </c>
      <c r="V334" s="64" t="n">
        <f aca="false">IF($K334="Better",$P334,0)</f>
        <v>1</v>
      </c>
      <c r="W334" s="64" t="n">
        <f aca="false">IF($K334="U – needs rule",$P334,0)</f>
        <v>0</v>
      </c>
      <c r="X334" s="64" t="n">
        <f aca="false">IF($K334="No Start (attainment only)",$P334,0)</f>
        <v>0</v>
      </c>
    </row>
    <row r="335" customFormat="false" ht="15" hidden="false" customHeight="false" outlineLevel="0" collapsed="false">
      <c r="A335" s="60" t="s">
        <v>780</v>
      </c>
      <c r="B335" s="61" t="str">
        <f aca="false">IF($M335=0,"",INDEX(Classes!$E$6:$E$420,$M335))</f>
        <v>Arabic A</v>
      </c>
      <c r="C335" s="62" t="str">
        <f aca="false">IF($M335=0,"",INDEX(Classes!$H$6:$H$420,$M335))</f>
        <v>Mr Aly Abdelmonem Hasan</v>
      </c>
      <c r="D335" s="61" t="str">
        <f aca="false">IF($M335=0,"",INDEX(Classes!$B$6:$B$420,$M335))</f>
        <v>Year 10</v>
      </c>
      <c r="E335" s="61" t="str">
        <f aca="false">IF($M335=0,"",INDEX(Classes!$C$6:$C$420,$M335))</f>
        <v>ah</v>
      </c>
      <c r="F335" s="63" t="s">
        <v>163</v>
      </c>
      <c r="G335" s="63" t="s">
        <v>1018</v>
      </c>
      <c r="H335" s="60" t="s">
        <v>200</v>
      </c>
      <c r="I335" s="60" t="s">
        <v>201</v>
      </c>
      <c r="J335" s="63" t="n">
        <v>1</v>
      </c>
      <c r="K335" s="61" t="str">
        <f aca="false">IF($P335=0,"",IF($F335="Baseline","— Baseline",IF($O335=0,"No result",IF($N335=0,"No Start (attainment only)",IF(OR($N335=1,$O335=1),"U – needs rule",INDEX(MxBody,MATCH($I335,MxCurr,0),MATCH($H335,MxStart,0)))))))</f>
        <v>Better</v>
      </c>
      <c r="L335" s="62" t="str">
        <f aca="false">IF(COUNTA($A335,$F335,$G335,$H335,$I335,$J335)=0,"",IF($M335=0,"✖ كود الصف غير موجود",IF(ISNA(MATCH($F335,Lists!$A$2:$A$5,0)),"✖ الفترة غير صحيحة",IF(ISNA(MATCH($G335,Lists!$B$2:$B$7,0)),"✖ المجموعة غير صحيحة",IF(NOT(OR($H335="",$N335&gt;0)),"✖ Start غير صحيح",IF(NOT(OR($I335="",$I335="NR",$O335&gt;0)),"✖ Current غير صحيح",IF(NOT(IF(ISNUMBER($J335),AND($J335&gt;=0,$J335=INT($J335)),FALSE())),"✖ العدد يجب أن يكون صحيحًا ≥ 0",IF(AND($F335="Baseline",$H335&lt;&gt;""),"⚠ Baseline: Start لا يدخل في التقدم",IF($K335="No Start (attainment only)","ℹ تحصيل فقط (بدون Start)",IF($K335="U – needs rule","ℹ حالة U تحتاج قاعدة معتمدة",IF($K335="No result","ℹ بدون نتيجة (يُستبعد من التحصيل)","OK")))))))))))</f>
        <v>OK</v>
      </c>
      <c r="M335" s="64" t="n">
        <f aca="false">IF($A335="",0,IFERROR(MATCH($A335,Classes!$A$6:$A$420,0),0))</f>
        <v>284</v>
      </c>
      <c r="N335" s="64" t="n">
        <f aca="false">IF($H335="",0,IFERROR(MATCH($H335,GradeList,0),0))</f>
        <v>5</v>
      </c>
      <c r="O335" s="64" t="n">
        <f aca="false">IF(OR($I335="",$I335="NR"),0,IFERROR(MATCH($I335,GradeList,0),0))</f>
        <v>6</v>
      </c>
      <c r="P335" s="64" t="n">
        <f aca="false">IF(AND($M335&gt;0,ISNUMBER(MATCH($F335,Lists!$A$2:$A$5,0)),ISNUMBER(MATCH($G335,Lists!$B$2:$B$7,0)),OR($H335="",$N335&gt;0),OR($I335="",$I335="NR",$O335&gt;0),IF(ISNUMBER($J335),AND($J335&gt;=0,$J335=INT($J335)),FALSE())),$J335,0)</f>
        <v>1</v>
      </c>
      <c r="Q335" s="64" t="n">
        <f aca="false">IF(AND($P335&gt;0,$O335&gt;0),$P335,0)</f>
        <v>1</v>
      </c>
      <c r="R335" s="64" t="n">
        <f aca="false">IF(AND($Q335&gt;0,$O335&gt;=AtRank),$Q335,0)</f>
        <v>1</v>
      </c>
      <c r="S335" s="64" t="n">
        <f aca="false">IF(AND($Q335&gt;0,$O335&gt;=AboveRank),$Q335,0)</f>
        <v>0</v>
      </c>
      <c r="T335" s="64" t="n">
        <f aca="false">IF($K335="Less",$P335,0)</f>
        <v>0</v>
      </c>
      <c r="U335" s="64" t="n">
        <f aca="false">IF($K335="Expected",$P335,0)</f>
        <v>0</v>
      </c>
      <c r="V335" s="64" t="n">
        <f aca="false">IF($K335="Better",$P335,0)</f>
        <v>1</v>
      </c>
      <c r="W335" s="64" t="n">
        <f aca="false">IF($K335="U – needs rule",$P335,0)</f>
        <v>0</v>
      </c>
      <c r="X335" s="64" t="n">
        <f aca="false">IF($K335="No Start (attainment only)",$P335,0)</f>
        <v>0</v>
      </c>
    </row>
    <row r="336" customFormat="false" ht="15" hidden="false" customHeight="false" outlineLevel="0" collapsed="false">
      <c r="A336" s="60" t="s">
        <v>780</v>
      </c>
      <c r="B336" s="61" t="str">
        <f aca="false">IF($M336=0,"",INDEX(Classes!$E$6:$E$420,$M336))</f>
        <v>Arabic A</v>
      </c>
      <c r="C336" s="62" t="str">
        <f aca="false">IF($M336=0,"",INDEX(Classes!$H$6:$H$420,$M336))</f>
        <v>Mr Aly Abdelmonem Hasan</v>
      </c>
      <c r="D336" s="61" t="str">
        <f aca="false">IF($M336=0,"",INDEX(Classes!$B$6:$B$420,$M336))</f>
        <v>Year 10</v>
      </c>
      <c r="E336" s="61" t="str">
        <f aca="false">IF($M336=0,"",INDEX(Classes!$C$6:$C$420,$M336))</f>
        <v>ah</v>
      </c>
      <c r="F336" s="63" t="s">
        <v>163</v>
      </c>
      <c r="G336" s="63" t="s">
        <v>1018</v>
      </c>
      <c r="H336" s="60" t="s">
        <v>200</v>
      </c>
      <c r="I336" s="60" t="s">
        <v>199</v>
      </c>
      <c r="J336" s="63" t="n">
        <v>1</v>
      </c>
      <c r="K336" s="61" t="str">
        <f aca="false">IF($P336=0,"",IF($F336="Baseline","— Baseline",IF($O336=0,"No result",IF($N336=0,"No Start (attainment only)",IF(OR($N336=1,$O336=1),"U – needs rule",INDEX(MxBody,MATCH($I336,MxCurr,0),MATCH($H336,MxStart,0)))))))</f>
        <v>Less</v>
      </c>
      <c r="L336" s="62" t="str">
        <f aca="false">IF(COUNTA($A336,$F336,$G336,$H336,$I336,$J336)=0,"",IF($M336=0,"✖ كود الصف غير موجود",IF(ISNA(MATCH($F336,Lists!$A$2:$A$5,0)),"✖ الفترة غير صحيحة",IF(ISNA(MATCH($G336,Lists!$B$2:$B$7,0)),"✖ المجموعة غير صحيحة",IF(NOT(OR($H336="",$N336&gt;0)),"✖ Start غير صحيح",IF(NOT(OR($I336="",$I336="NR",$O336&gt;0)),"✖ Current غير صحيح",IF(NOT(IF(ISNUMBER($J336),AND($J336&gt;=0,$J336=INT($J336)),FALSE())),"✖ العدد يجب أن يكون صحيحًا ≥ 0",IF(AND($F336="Baseline",$H336&lt;&gt;""),"⚠ Baseline: Start لا يدخل في التقدم",IF($K336="No Start (attainment only)","ℹ تحصيل فقط (بدون Start)",IF($K336="U – needs rule","ℹ حالة U تحتاج قاعدة معتمدة",IF($K336="No result","ℹ بدون نتيجة (يُستبعد من التحصيل)","OK")))))))))))</f>
        <v>OK</v>
      </c>
      <c r="M336" s="64" t="n">
        <f aca="false">IF($A336="",0,IFERROR(MATCH($A336,Classes!$A$6:$A$420,0),0))</f>
        <v>284</v>
      </c>
      <c r="N336" s="64" t="n">
        <f aca="false">IF($H336="",0,IFERROR(MATCH($H336,GradeList,0),0))</f>
        <v>5</v>
      </c>
      <c r="O336" s="64" t="n">
        <f aca="false">IF(OR($I336="",$I336="NR"),0,IFERROR(MATCH($I336,GradeList,0),0))</f>
        <v>4</v>
      </c>
      <c r="P336" s="64" t="n">
        <f aca="false">IF(AND($M336&gt;0,ISNUMBER(MATCH($F336,Lists!$A$2:$A$5,0)),ISNUMBER(MATCH($G336,Lists!$B$2:$B$7,0)),OR($H336="",$N336&gt;0),OR($I336="",$I336="NR",$O336&gt;0),IF(ISNUMBER($J336),AND($J336&gt;=0,$J336=INT($J336)),FALSE())),$J336,0)</f>
        <v>1</v>
      </c>
      <c r="Q336" s="64" t="n">
        <f aca="false">IF(AND($P336&gt;0,$O336&gt;0),$P336,0)</f>
        <v>1</v>
      </c>
      <c r="R336" s="64" t="n">
        <f aca="false">IF(AND($Q336&gt;0,$O336&gt;=AtRank),$Q336,0)</f>
        <v>0</v>
      </c>
      <c r="S336" s="64" t="n">
        <f aca="false">IF(AND($Q336&gt;0,$O336&gt;=AboveRank),$Q336,0)</f>
        <v>0</v>
      </c>
      <c r="T336" s="64" t="n">
        <f aca="false">IF($K336="Less",$P336,0)</f>
        <v>1</v>
      </c>
      <c r="U336" s="64" t="n">
        <f aca="false">IF($K336="Expected",$P336,0)</f>
        <v>0</v>
      </c>
      <c r="V336" s="64" t="n">
        <f aca="false">IF($K336="Better",$P336,0)</f>
        <v>0</v>
      </c>
      <c r="W336" s="64" t="n">
        <f aca="false">IF($K336="U – needs rule",$P336,0)</f>
        <v>0</v>
      </c>
      <c r="X336" s="64" t="n">
        <f aca="false">IF($K336="No Start (attainment only)",$P336,0)</f>
        <v>0</v>
      </c>
    </row>
    <row r="337" customFormat="false" ht="15" hidden="false" customHeight="false" outlineLevel="0" collapsed="false">
      <c r="A337" s="60" t="s">
        <v>780</v>
      </c>
      <c r="B337" s="61" t="str">
        <f aca="false">IF($M337=0,"",INDEX(Classes!$E$6:$E$420,$M337))</f>
        <v>Arabic A</v>
      </c>
      <c r="C337" s="62" t="str">
        <f aca="false">IF($M337=0,"",INDEX(Classes!$H$6:$H$420,$M337))</f>
        <v>Mr Aly Abdelmonem Hasan</v>
      </c>
      <c r="D337" s="61" t="str">
        <f aca="false">IF($M337=0,"",INDEX(Classes!$B$6:$B$420,$M337))</f>
        <v>Year 10</v>
      </c>
      <c r="E337" s="61" t="str">
        <f aca="false">IF($M337=0,"",INDEX(Classes!$C$6:$C$420,$M337))</f>
        <v>ah</v>
      </c>
      <c r="F337" s="63" t="s">
        <v>163</v>
      </c>
      <c r="G337" s="63" t="s">
        <v>1018</v>
      </c>
      <c r="H337" s="60" t="s">
        <v>201</v>
      </c>
      <c r="I337" s="60" t="s">
        <v>201</v>
      </c>
      <c r="J337" s="63" t="n">
        <v>1</v>
      </c>
      <c r="K337" s="61" t="str">
        <f aca="false">IF($P337=0,"",IF($F337="Baseline","— Baseline",IF($O337=0,"No result",IF($N337=0,"No Start (attainment only)",IF(OR($N337=1,$O337=1),"U – needs rule",INDEX(MxBody,MATCH($I337,MxCurr,0),MATCH($H337,MxStart,0)))))))</f>
        <v>Expected</v>
      </c>
      <c r="L337" s="62" t="str">
        <f aca="false">IF(COUNTA($A337,$F337,$G337,$H337,$I337,$J337)=0,"",IF($M337=0,"✖ كود الصف غير موجود",IF(ISNA(MATCH($F337,Lists!$A$2:$A$5,0)),"✖ الفترة غير صحيحة",IF(ISNA(MATCH($G337,Lists!$B$2:$B$7,0)),"✖ المجموعة غير صحيحة",IF(NOT(OR($H337="",$N337&gt;0)),"✖ Start غير صحيح",IF(NOT(OR($I337="",$I337="NR",$O337&gt;0)),"✖ Current غير صحيح",IF(NOT(IF(ISNUMBER($J337),AND($J337&gt;=0,$J337=INT($J337)),FALSE())),"✖ العدد يجب أن يكون صحيحًا ≥ 0",IF(AND($F337="Baseline",$H337&lt;&gt;""),"⚠ Baseline: Start لا يدخل في التقدم",IF($K337="No Start (attainment only)","ℹ تحصيل فقط (بدون Start)",IF($K337="U – needs rule","ℹ حالة U تحتاج قاعدة معتمدة",IF($K337="No result","ℹ بدون نتيجة (يُستبعد من التحصيل)","OK")))))))))))</f>
        <v>OK</v>
      </c>
      <c r="M337" s="64" t="n">
        <f aca="false">IF($A337="",0,IFERROR(MATCH($A337,Classes!$A$6:$A$420,0),0))</f>
        <v>284</v>
      </c>
      <c r="N337" s="64" t="n">
        <f aca="false">IF($H337="",0,IFERROR(MATCH($H337,GradeList,0),0))</f>
        <v>6</v>
      </c>
      <c r="O337" s="64" t="n">
        <f aca="false">IF(OR($I337="",$I337="NR"),0,IFERROR(MATCH($I337,GradeList,0),0))</f>
        <v>6</v>
      </c>
      <c r="P337" s="64" t="n">
        <f aca="false">IF(AND($M337&gt;0,ISNUMBER(MATCH($F337,Lists!$A$2:$A$5,0)),ISNUMBER(MATCH($G337,Lists!$B$2:$B$7,0)),OR($H337="",$N337&gt;0),OR($I337="",$I337="NR",$O337&gt;0),IF(ISNUMBER($J337),AND($J337&gt;=0,$J337=INT($J337)),FALSE())),$J337,0)</f>
        <v>1</v>
      </c>
      <c r="Q337" s="64" t="n">
        <f aca="false">IF(AND($P337&gt;0,$O337&gt;0),$P337,0)</f>
        <v>1</v>
      </c>
      <c r="R337" s="64" t="n">
        <f aca="false">IF(AND($Q337&gt;0,$O337&gt;=AtRank),$Q337,0)</f>
        <v>1</v>
      </c>
      <c r="S337" s="64" t="n">
        <f aca="false">IF(AND($Q337&gt;0,$O337&gt;=AboveRank),$Q337,0)</f>
        <v>0</v>
      </c>
      <c r="T337" s="64" t="n">
        <f aca="false">IF($K337="Less",$P337,0)</f>
        <v>0</v>
      </c>
      <c r="U337" s="64" t="n">
        <f aca="false">IF($K337="Expected",$P337,0)</f>
        <v>1</v>
      </c>
      <c r="V337" s="64" t="n">
        <f aca="false">IF($K337="Better",$P337,0)</f>
        <v>0</v>
      </c>
      <c r="W337" s="64" t="n">
        <f aca="false">IF($K337="U – needs rule",$P337,0)</f>
        <v>0</v>
      </c>
      <c r="X337" s="64" t="n">
        <f aca="false">IF($K337="No Start (attainment only)",$P337,0)</f>
        <v>0</v>
      </c>
    </row>
    <row r="338" customFormat="false" ht="15" hidden="false" customHeight="false" outlineLevel="0" collapsed="false">
      <c r="A338" s="60" t="s">
        <v>796</v>
      </c>
      <c r="B338" s="61" t="str">
        <f aca="false">IF($M338=0,"",INDEX(Classes!$E$6:$E$420,$M338))</f>
        <v>Arabic A</v>
      </c>
      <c r="C338" s="62" t="str">
        <f aca="false">IF($M338=0,"",INDEX(Classes!$H$6:$H$420,$M338))</f>
        <v>Mr Ayman Bobo</v>
      </c>
      <c r="D338" s="61" t="str">
        <f aca="false">IF($M338=0,"",INDEX(Classes!$B$6:$B$420,$M338))</f>
        <v>Year 10</v>
      </c>
      <c r="E338" s="61" t="str">
        <f aca="false">IF($M338=0,"",INDEX(Classes!$C$6:$C$420,$M338))</f>
        <v>ip</v>
      </c>
      <c r="F338" s="63" t="s">
        <v>162</v>
      </c>
      <c r="G338" s="63" t="s">
        <v>108</v>
      </c>
      <c r="H338" s="60"/>
      <c r="I338" s="60" t="s">
        <v>202</v>
      </c>
      <c r="J338" s="63" t="n">
        <v>9</v>
      </c>
      <c r="K338" s="61" t="str">
        <f aca="false">IF($P338=0,"",IF($F338="Baseline","— Baseline",IF($O338=0,"No result",IF($N338=0,"No Start (attainment only)",IF(OR($N338=1,$O338=1),"U – needs rule",INDEX(MxBody,MATCH($I338,MxCurr,0),MATCH($H338,MxStart,0)))))))</f>
        <v>— Baseline</v>
      </c>
      <c r="L338" s="62" t="str">
        <f aca="false">IF(COUNTA($A338,$F338,$G338,$H338,$I338,$J338)=0,"",IF($M338=0,"✖ كود الصف غير موجود",IF(ISNA(MATCH($F338,Lists!$A$2:$A$5,0)),"✖ الفترة غير صحيحة",IF(ISNA(MATCH($G338,Lists!$B$2:$B$7,0)),"✖ المجموعة غير صحيحة",IF(NOT(OR($H338="",$N338&gt;0)),"✖ Start غير صحيح",IF(NOT(OR($I338="",$I338="NR",$O338&gt;0)),"✖ Current غير صحيح",IF(NOT(IF(ISNUMBER($J338),AND($J338&gt;=0,$J338=INT($J338)),FALSE())),"✖ العدد يجب أن يكون صحيحًا ≥ 0",IF(AND($F338="Baseline",$H338&lt;&gt;""),"⚠ Baseline: Start لا يدخل في التقدم",IF($K338="No Start (attainment only)","ℹ تحصيل فقط (بدون Start)",IF($K338="U – needs rule","ℹ حالة U تحتاج قاعدة معتمدة",IF($K338="No result","ℹ بدون نتيجة (يُستبعد من التحصيل)","OK")))))))))))</f>
        <v>OK</v>
      </c>
      <c r="M338" s="64" t="n">
        <f aca="false">IF($A338="",0,IFERROR(MATCH($A338,Classes!$A$6:$A$420,0),0))</f>
        <v>299</v>
      </c>
      <c r="N338" s="64" t="n">
        <f aca="false">IF($H338="",0,IFERROR(MATCH($H338,GradeList,0),0))</f>
        <v>0</v>
      </c>
      <c r="O338" s="64" t="n">
        <f aca="false">IF(OR($I338="",$I338="NR"),0,IFERROR(MATCH($I338,GradeList,0),0))</f>
        <v>7</v>
      </c>
      <c r="P338" s="64" t="n">
        <f aca="false">IF(AND($M338&gt;0,ISNUMBER(MATCH($F338,Lists!$A$2:$A$5,0)),ISNUMBER(MATCH($G338,Lists!$B$2:$B$7,0)),OR($H338="",$N338&gt;0),OR($I338="",$I338="NR",$O338&gt;0),IF(ISNUMBER($J338),AND($J338&gt;=0,$J338=INT($J338)),FALSE())),$J338,0)</f>
        <v>9</v>
      </c>
      <c r="Q338" s="64" t="n">
        <f aca="false">IF(AND($P338&gt;0,$O338&gt;0),$P338,0)</f>
        <v>9</v>
      </c>
      <c r="R338" s="64" t="n">
        <f aca="false">IF(AND($Q338&gt;0,$O338&gt;=AtRank),$Q338,0)</f>
        <v>9</v>
      </c>
      <c r="S338" s="64" t="n">
        <f aca="false">IF(AND($Q338&gt;0,$O338&gt;=AboveRank),$Q338,0)</f>
        <v>9</v>
      </c>
      <c r="T338" s="64" t="n">
        <f aca="false">IF($K338="Less",$P338,0)</f>
        <v>0</v>
      </c>
      <c r="U338" s="64" t="n">
        <f aca="false">IF($K338="Expected",$P338,0)</f>
        <v>0</v>
      </c>
      <c r="V338" s="64" t="n">
        <f aca="false">IF($K338="Better",$P338,0)</f>
        <v>0</v>
      </c>
      <c r="W338" s="64" t="n">
        <f aca="false">IF($K338="U – needs rule",$P338,0)</f>
        <v>0</v>
      </c>
      <c r="X338" s="64" t="n">
        <f aca="false">IF($K338="No Start (attainment only)",$P338,0)</f>
        <v>0</v>
      </c>
    </row>
    <row r="339" customFormat="false" ht="15" hidden="false" customHeight="false" outlineLevel="0" collapsed="false">
      <c r="A339" s="60" t="s">
        <v>796</v>
      </c>
      <c r="B339" s="61" t="str">
        <f aca="false">IF($M339=0,"",INDEX(Classes!$E$6:$E$420,$M339))</f>
        <v>Arabic A</v>
      </c>
      <c r="C339" s="62" t="str">
        <f aca="false">IF($M339=0,"",INDEX(Classes!$H$6:$H$420,$M339))</f>
        <v>Mr Ayman Bobo</v>
      </c>
      <c r="D339" s="61" t="str">
        <f aca="false">IF($M339=0,"",INDEX(Classes!$B$6:$B$420,$M339))</f>
        <v>Year 10</v>
      </c>
      <c r="E339" s="61" t="str">
        <f aca="false">IF($M339=0,"",INDEX(Classes!$C$6:$C$420,$M339))</f>
        <v>ip</v>
      </c>
      <c r="F339" s="63" t="s">
        <v>162</v>
      </c>
      <c r="G339" s="63" t="s">
        <v>108</v>
      </c>
      <c r="H339" s="60"/>
      <c r="I339" s="60" t="s">
        <v>203</v>
      </c>
      <c r="J339" s="63" t="n">
        <v>5</v>
      </c>
      <c r="K339" s="61" t="str">
        <f aca="false">IF($P339=0,"",IF($F339="Baseline","— Baseline",IF($O339=0,"No result",IF($N339=0,"No Start (attainment only)",IF(OR($N339=1,$O339=1),"U – needs rule",INDEX(MxBody,MATCH($I339,MxCurr,0),MATCH($H339,MxStart,0)))))))</f>
        <v>— Baseline</v>
      </c>
      <c r="L339" s="62" t="str">
        <f aca="false">IF(COUNTA($A339,$F339,$G339,$H339,$I339,$J339)=0,"",IF($M339=0,"✖ كود الصف غير موجود",IF(ISNA(MATCH($F339,Lists!$A$2:$A$5,0)),"✖ الفترة غير صحيحة",IF(ISNA(MATCH($G339,Lists!$B$2:$B$7,0)),"✖ المجموعة غير صحيحة",IF(NOT(OR($H339="",$N339&gt;0)),"✖ Start غير صحيح",IF(NOT(OR($I339="",$I339="NR",$O339&gt;0)),"✖ Current غير صحيح",IF(NOT(IF(ISNUMBER($J339),AND($J339&gt;=0,$J339=INT($J339)),FALSE())),"✖ العدد يجب أن يكون صحيحًا ≥ 0",IF(AND($F339="Baseline",$H339&lt;&gt;""),"⚠ Baseline: Start لا يدخل في التقدم",IF($K339="No Start (attainment only)","ℹ تحصيل فقط (بدون Start)",IF($K339="U – needs rule","ℹ حالة U تحتاج قاعدة معتمدة",IF($K339="No result","ℹ بدون نتيجة (يُستبعد من التحصيل)","OK")))))))))))</f>
        <v>OK</v>
      </c>
      <c r="M339" s="64" t="n">
        <f aca="false">IF($A339="",0,IFERROR(MATCH($A339,Classes!$A$6:$A$420,0),0))</f>
        <v>299</v>
      </c>
      <c r="N339" s="64" t="n">
        <f aca="false">IF($H339="",0,IFERROR(MATCH($H339,GradeList,0),0))</f>
        <v>0</v>
      </c>
      <c r="O339" s="64" t="n">
        <f aca="false">IF(OR($I339="",$I339="NR"),0,IFERROR(MATCH($I339,GradeList,0),0))</f>
        <v>8</v>
      </c>
      <c r="P339" s="64" t="n">
        <f aca="false">IF(AND($M339&gt;0,ISNUMBER(MATCH($F339,Lists!$A$2:$A$5,0)),ISNUMBER(MATCH($G339,Lists!$B$2:$B$7,0)),OR($H339="",$N339&gt;0),OR($I339="",$I339="NR",$O339&gt;0),IF(ISNUMBER($J339),AND($J339&gt;=0,$J339=INT($J339)),FALSE())),$J339,0)</f>
        <v>5</v>
      </c>
      <c r="Q339" s="64" t="n">
        <f aca="false">IF(AND($P339&gt;0,$O339&gt;0),$P339,0)</f>
        <v>5</v>
      </c>
      <c r="R339" s="64" t="n">
        <f aca="false">IF(AND($Q339&gt;0,$O339&gt;=AtRank),$Q339,0)</f>
        <v>5</v>
      </c>
      <c r="S339" s="64" t="n">
        <f aca="false">IF(AND($Q339&gt;0,$O339&gt;=AboveRank),$Q339,0)</f>
        <v>5</v>
      </c>
      <c r="T339" s="64" t="n">
        <f aca="false">IF($K339="Less",$P339,0)</f>
        <v>0</v>
      </c>
      <c r="U339" s="64" t="n">
        <f aca="false">IF($K339="Expected",$P339,0)</f>
        <v>0</v>
      </c>
      <c r="V339" s="64" t="n">
        <f aca="false">IF($K339="Better",$P339,0)</f>
        <v>0</v>
      </c>
      <c r="W339" s="64" t="n">
        <f aca="false">IF($K339="U – needs rule",$P339,0)</f>
        <v>0</v>
      </c>
      <c r="X339" s="64" t="n">
        <f aca="false">IF($K339="No Start (attainment only)",$P339,0)</f>
        <v>0</v>
      </c>
    </row>
    <row r="340" customFormat="false" ht="15" hidden="false" customHeight="false" outlineLevel="0" collapsed="false">
      <c r="A340" s="60" t="s">
        <v>796</v>
      </c>
      <c r="B340" s="61" t="str">
        <f aca="false">IF($M340=0,"",INDEX(Classes!$E$6:$E$420,$M340))</f>
        <v>Arabic A</v>
      </c>
      <c r="C340" s="62" t="str">
        <f aca="false">IF($M340=0,"",INDEX(Classes!$H$6:$H$420,$M340))</f>
        <v>Mr Ayman Bobo</v>
      </c>
      <c r="D340" s="61" t="str">
        <f aca="false">IF($M340=0,"",INDEX(Classes!$B$6:$B$420,$M340))</f>
        <v>Year 10</v>
      </c>
      <c r="E340" s="61" t="str">
        <f aca="false">IF($M340=0,"",INDEX(Classes!$C$6:$C$420,$M340))</f>
        <v>ip</v>
      </c>
      <c r="F340" s="63" t="s">
        <v>162</v>
      </c>
      <c r="G340" s="63" t="s">
        <v>108</v>
      </c>
      <c r="H340" s="60"/>
      <c r="I340" s="60" t="s">
        <v>200</v>
      </c>
      <c r="J340" s="63" t="n">
        <v>1</v>
      </c>
      <c r="K340" s="61" t="str">
        <f aca="false">IF($P340=0,"",IF($F340="Baseline","— Baseline",IF($O340=0,"No result",IF($N340=0,"No Start (attainment only)",IF(OR($N340=1,$O340=1),"U – needs rule",INDEX(MxBody,MATCH($I340,MxCurr,0),MATCH($H340,MxStart,0)))))))</f>
        <v>— Baseline</v>
      </c>
      <c r="L340" s="62" t="str">
        <f aca="false">IF(COUNTA($A340,$F340,$G340,$H340,$I340,$J340)=0,"",IF($M340=0,"✖ كود الصف غير موجود",IF(ISNA(MATCH($F340,Lists!$A$2:$A$5,0)),"✖ الفترة غير صحيحة",IF(ISNA(MATCH($G340,Lists!$B$2:$B$7,0)),"✖ المجموعة غير صحيحة",IF(NOT(OR($H340="",$N340&gt;0)),"✖ Start غير صحيح",IF(NOT(OR($I340="",$I340="NR",$O340&gt;0)),"✖ Current غير صحيح",IF(NOT(IF(ISNUMBER($J340),AND($J340&gt;=0,$J340=INT($J340)),FALSE())),"✖ العدد يجب أن يكون صحيحًا ≥ 0",IF(AND($F340="Baseline",$H340&lt;&gt;""),"⚠ Baseline: Start لا يدخل في التقدم",IF($K340="No Start (attainment only)","ℹ تحصيل فقط (بدون Start)",IF($K340="U – needs rule","ℹ حالة U تحتاج قاعدة معتمدة",IF($K340="No result","ℹ بدون نتيجة (يُستبعد من التحصيل)","OK")))))))))))</f>
        <v>OK</v>
      </c>
      <c r="M340" s="64" t="n">
        <f aca="false">IF($A340="",0,IFERROR(MATCH($A340,Classes!$A$6:$A$420,0),0))</f>
        <v>299</v>
      </c>
      <c r="N340" s="64" t="n">
        <f aca="false">IF($H340="",0,IFERROR(MATCH($H340,GradeList,0),0))</f>
        <v>0</v>
      </c>
      <c r="O340" s="64" t="n">
        <f aca="false">IF(OR($I340="",$I340="NR"),0,IFERROR(MATCH($I340,GradeList,0),0))</f>
        <v>5</v>
      </c>
      <c r="P340" s="64" t="n">
        <f aca="false">IF(AND($M340&gt;0,ISNUMBER(MATCH($F340,Lists!$A$2:$A$5,0)),ISNUMBER(MATCH($G340,Lists!$B$2:$B$7,0)),OR($H340="",$N340&gt;0),OR($I340="",$I340="NR",$O340&gt;0),IF(ISNUMBER($J340),AND($J340&gt;=0,$J340=INT($J340)),FALSE())),$J340,0)</f>
        <v>1</v>
      </c>
      <c r="Q340" s="64" t="n">
        <f aca="false">IF(AND($P340&gt;0,$O340&gt;0),$P340,0)</f>
        <v>1</v>
      </c>
      <c r="R340" s="64" t="n">
        <f aca="false">IF(AND($Q340&gt;0,$O340&gt;=AtRank),$Q340,0)</f>
        <v>1</v>
      </c>
      <c r="S340" s="64" t="n">
        <f aca="false">IF(AND($Q340&gt;0,$O340&gt;=AboveRank),$Q340,0)</f>
        <v>0</v>
      </c>
      <c r="T340" s="64" t="n">
        <f aca="false">IF($K340="Less",$P340,0)</f>
        <v>0</v>
      </c>
      <c r="U340" s="64" t="n">
        <f aca="false">IF($K340="Expected",$P340,0)</f>
        <v>0</v>
      </c>
      <c r="V340" s="64" t="n">
        <f aca="false">IF($K340="Better",$P340,0)</f>
        <v>0</v>
      </c>
      <c r="W340" s="64" t="n">
        <f aca="false">IF($K340="U – needs rule",$P340,0)</f>
        <v>0</v>
      </c>
      <c r="X340" s="64" t="n">
        <f aca="false">IF($K340="No Start (attainment only)",$P340,0)</f>
        <v>0</v>
      </c>
    </row>
    <row r="341" customFormat="false" ht="15" hidden="false" customHeight="false" outlineLevel="0" collapsed="false">
      <c r="A341" s="60" t="s">
        <v>796</v>
      </c>
      <c r="B341" s="61" t="str">
        <f aca="false">IF($M341=0,"",INDEX(Classes!$E$6:$E$420,$M341))</f>
        <v>Arabic A</v>
      </c>
      <c r="C341" s="62" t="str">
        <f aca="false">IF($M341=0,"",INDEX(Classes!$H$6:$H$420,$M341))</f>
        <v>Mr Ayman Bobo</v>
      </c>
      <c r="D341" s="61" t="str">
        <f aca="false">IF($M341=0,"",INDEX(Classes!$B$6:$B$420,$M341))</f>
        <v>Year 10</v>
      </c>
      <c r="E341" s="61" t="str">
        <f aca="false">IF($M341=0,"",INDEX(Classes!$C$6:$C$420,$M341))</f>
        <v>ip</v>
      </c>
      <c r="F341" s="63" t="s">
        <v>162</v>
      </c>
      <c r="G341" s="63" t="s">
        <v>108</v>
      </c>
      <c r="H341" s="60"/>
      <c r="I341" s="60" t="s">
        <v>201</v>
      </c>
      <c r="J341" s="63" t="n">
        <v>3</v>
      </c>
      <c r="K341" s="61" t="str">
        <f aca="false">IF($P341=0,"",IF($F341="Baseline","— Baseline",IF($O341=0,"No result",IF($N341=0,"No Start (attainment only)",IF(OR($N341=1,$O341=1),"U – needs rule",INDEX(MxBody,MATCH($I341,MxCurr,0),MATCH($H341,MxStart,0)))))))</f>
        <v>— Baseline</v>
      </c>
      <c r="L341" s="62" t="str">
        <f aca="false">IF(COUNTA($A341,$F341,$G341,$H341,$I341,$J341)=0,"",IF($M341=0,"✖ كود الصف غير موجود",IF(ISNA(MATCH($F341,Lists!$A$2:$A$5,0)),"✖ الفترة غير صحيحة",IF(ISNA(MATCH($G341,Lists!$B$2:$B$7,0)),"✖ المجموعة غير صحيحة",IF(NOT(OR($H341="",$N341&gt;0)),"✖ Start غير صحيح",IF(NOT(OR($I341="",$I341="NR",$O341&gt;0)),"✖ Current غير صحيح",IF(NOT(IF(ISNUMBER($J341),AND($J341&gt;=0,$J341=INT($J341)),FALSE())),"✖ العدد يجب أن يكون صحيحًا ≥ 0",IF(AND($F341="Baseline",$H341&lt;&gt;""),"⚠ Baseline: Start لا يدخل في التقدم",IF($K341="No Start (attainment only)","ℹ تحصيل فقط (بدون Start)",IF($K341="U – needs rule","ℹ حالة U تحتاج قاعدة معتمدة",IF($K341="No result","ℹ بدون نتيجة (يُستبعد من التحصيل)","OK")))))))))))</f>
        <v>OK</v>
      </c>
      <c r="M341" s="64" t="n">
        <f aca="false">IF($A341="",0,IFERROR(MATCH($A341,Classes!$A$6:$A$420,0),0))</f>
        <v>299</v>
      </c>
      <c r="N341" s="64" t="n">
        <f aca="false">IF($H341="",0,IFERROR(MATCH($H341,GradeList,0),0))</f>
        <v>0</v>
      </c>
      <c r="O341" s="64" t="n">
        <f aca="false">IF(OR($I341="",$I341="NR"),0,IFERROR(MATCH($I341,GradeList,0),0))</f>
        <v>6</v>
      </c>
      <c r="P341" s="64" t="n">
        <f aca="false">IF(AND($M341&gt;0,ISNUMBER(MATCH($F341,Lists!$A$2:$A$5,0)),ISNUMBER(MATCH($G341,Lists!$B$2:$B$7,0)),OR($H341="",$N341&gt;0),OR($I341="",$I341="NR",$O341&gt;0),IF(ISNUMBER($J341),AND($J341&gt;=0,$J341=INT($J341)),FALSE())),$J341,0)</f>
        <v>3</v>
      </c>
      <c r="Q341" s="64" t="n">
        <f aca="false">IF(AND($P341&gt;0,$O341&gt;0),$P341,0)</f>
        <v>3</v>
      </c>
      <c r="R341" s="64" t="n">
        <f aca="false">IF(AND($Q341&gt;0,$O341&gt;=AtRank),$Q341,0)</f>
        <v>3</v>
      </c>
      <c r="S341" s="64" t="n">
        <f aca="false">IF(AND($Q341&gt;0,$O341&gt;=AboveRank),$Q341,0)</f>
        <v>0</v>
      </c>
      <c r="T341" s="64" t="n">
        <f aca="false">IF($K341="Less",$P341,0)</f>
        <v>0</v>
      </c>
      <c r="U341" s="64" t="n">
        <f aca="false">IF($K341="Expected",$P341,0)</f>
        <v>0</v>
      </c>
      <c r="V341" s="64" t="n">
        <f aca="false">IF($K341="Better",$P341,0)</f>
        <v>0</v>
      </c>
      <c r="W341" s="64" t="n">
        <f aca="false">IF($K341="U – needs rule",$P341,0)</f>
        <v>0</v>
      </c>
      <c r="X341" s="64" t="n">
        <f aca="false">IF($K341="No Start (attainment only)",$P341,0)</f>
        <v>0</v>
      </c>
    </row>
    <row r="342" customFormat="false" ht="15" hidden="false" customHeight="false" outlineLevel="0" collapsed="false">
      <c r="A342" s="60" t="s">
        <v>796</v>
      </c>
      <c r="B342" s="61" t="str">
        <f aca="false">IF($M342=0,"",INDEX(Classes!$E$6:$E$420,$M342))</f>
        <v>Arabic A</v>
      </c>
      <c r="C342" s="62" t="str">
        <f aca="false">IF($M342=0,"",INDEX(Classes!$H$6:$H$420,$M342))</f>
        <v>Mr Ayman Bobo</v>
      </c>
      <c r="D342" s="61" t="str">
        <f aca="false">IF($M342=0,"",INDEX(Classes!$B$6:$B$420,$M342))</f>
        <v>Year 10</v>
      </c>
      <c r="E342" s="61" t="str">
        <f aca="false">IF($M342=0,"",INDEX(Classes!$C$6:$C$420,$M342))</f>
        <v>ip</v>
      </c>
      <c r="F342" s="63" t="s">
        <v>162</v>
      </c>
      <c r="G342" s="63" t="s">
        <v>108</v>
      </c>
      <c r="H342" s="60"/>
      <c r="I342" s="60" t="s">
        <v>204</v>
      </c>
      <c r="J342" s="63" t="n">
        <v>1</v>
      </c>
      <c r="K342" s="61" t="str">
        <f aca="false">IF($P342=0,"",IF($F342="Baseline","— Baseline",IF($O342=0,"No result",IF($N342=0,"No Start (attainment only)",IF(OR($N342=1,$O342=1),"U – needs rule",INDEX(MxBody,MATCH($I342,MxCurr,0),MATCH($H342,MxStart,0)))))))</f>
        <v>— Baseline</v>
      </c>
      <c r="L342" s="62" t="str">
        <f aca="false">IF(COUNTA($A342,$F342,$G342,$H342,$I342,$J342)=0,"",IF($M342=0,"✖ كود الصف غير موجود",IF(ISNA(MATCH($F342,Lists!$A$2:$A$5,0)),"✖ الفترة غير صحيحة",IF(ISNA(MATCH($G342,Lists!$B$2:$B$7,0)),"✖ المجموعة غير صحيحة",IF(NOT(OR($H342="",$N342&gt;0)),"✖ Start غير صحيح",IF(NOT(OR($I342="",$I342="NR",$O342&gt;0)),"✖ Current غير صحيح",IF(NOT(IF(ISNUMBER($J342),AND($J342&gt;=0,$J342=INT($J342)),FALSE())),"✖ العدد يجب أن يكون صحيحًا ≥ 0",IF(AND($F342="Baseline",$H342&lt;&gt;""),"⚠ Baseline: Start لا يدخل في التقدم",IF($K342="No Start (attainment only)","ℹ تحصيل فقط (بدون Start)",IF($K342="U – needs rule","ℹ حالة U تحتاج قاعدة معتمدة",IF($K342="No result","ℹ بدون نتيجة (يُستبعد من التحصيل)","OK")))))))))))</f>
        <v>OK</v>
      </c>
      <c r="M342" s="64" t="n">
        <f aca="false">IF($A342="",0,IFERROR(MATCH($A342,Classes!$A$6:$A$420,0),0))</f>
        <v>299</v>
      </c>
      <c r="N342" s="64" t="n">
        <f aca="false">IF($H342="",0,IFERROR(MATCH($H342,GradeList,0),0))</f>
        <v>0</v>
      </c>
      <c r="O342" s="64" t="n">
        <f aca="false">IF(OR($I342="",$I342="NR"),0,IFERROR(MATCH($I342,GradeList,0),0))</f>
        <v>9</v>
      </c>
      <c r="P342" s="64" t="n">
        <f aca="false">IF(AND($M342&gt;0,ISNUMBER(MATCH($F342,Lists!$A$2:$A$5,0)),ISNUMBER(MATCH($G342,Lists!$B$2:$B$7,0)),OR($H342="",$N342&gt;0),OR($I342="",$I342="NR",$O342&gt;0),IF(ISNUMBER($J342),AND($J342&gt;=0,$J342=INT($J342)),FALSE())),$J342,0)</f>
        <v>1</v>
      </c>
      <c r="Q342" s="64" t="n">
        <f aca="false">IF(AND($P342&gt;0,$O342&gt;0),$P342,0)</f>
        <v>1</v>
      </c>
      <c r="R342" s="64" t="n">
        <f aca="false">IF(AND($Q342&gt;0,$O342&gt;=AtRank),$Q342,0)</f>
        <v>1</v>
      </c>
      <c r="S342" s="64" t="n">
        <f aca="false">IF(AND($Q342&gt;0,$O342&gt;=AboveRank),$Q342,0)</f>
        <v>1</v>
      </c>
      <c r="T342" s="64" t="n">
        <f aca="false">IF($K342="Less",$P342,0)</f>
        <v>0</v>
      </c>
      <c r="U342" s="64" t="n">
        <f aca="false">IF($K342="Expected",$P342,0)</f>
        <v>0</v>
      </c>
      <c r="V342" s="64" t="n">
        <f aca="false">IF($K342="Better",$P342,0)</f>
        <v>0</v>
      </c>
      <c r="W342" s="64" t="n">
        <f aca="false">IF($K342="U – needs rule",$P342,0)</f>
        <v>0</v>
      </c>
      <c r="X342" s="64" t="n">
        <f aca="false">IF($K342="No Start (attainment only)",$P342,0)</f>
        <v>0</v>
      </c>
    </row>
    <row r="343" customFormat="false" ht="15" hidden="false" customHeight="false" outlineLevel="0" collapsed="false">
      <c r="A343" s="60" t="s">
        <v>796</v>
      </c>
      <c r="B343" s="61" t="str">
        <f aca="false">IF($M343=0,"",INDEX(Classes!$E$6:$E$420,$M343))</f>
        <v>Arabic A</v>
      </c>
      <c r="C343" s="62" t="str">
        <f aca="false">IF($M343=0,"",INDEX(Classes!$H$6:$H$420,$M343))</f>
        <v>Mr Ayman Bobo</v>
      </c>
      <c r="D343" s="61" t="str">
        <f aca="false">IF($M343=0,"",INDEX(Classes!$B$6:$B$420,$M343))</f>
        <v>Year 10</v>
      </c>
      <c r="E343" s="61" t="str">
        <f aca="false">IF($M343=0,"",INDEX(Classes!$C$6:$C$420,$M343))</f>
        <v>ip</v>
      </c>
      <c r="F343" s="63" t="s">
        <v>162</v>
      </c>
      <c r="G343" s="63" t="s">
        <v>108</v>
      </c>
      <c r="H343" s="60"/>
      <c r="I343" s="60" t="s">
        <v>205</v>
      </c>
      <c r="J343" s="63" t="n">
        <v>3</v>
      </c>
      <c r="K343" s="61" t="str">
        <f aca="false">IF($P343=0,"",IF($F343="Baseline","— Baseline",IF($O343=0,"No result",IF($N343=0,"No Start (attainment only)",IF(OR($N343=1,$O343=1),"U – needs rule",INDEX(MxBody,MATCH($I343,MxCurr,0),MATCH($H343,MxStart,0)))))))</f>
        <v>— Baseline</v>
      </c>
      <c r="L343" s="62" t="str">
        <f aca="false">IF(COUNTA($A343,$F343,$G343,$H343,$I343,$J343)=0,"",IF($M343=0,"✖ كود الصف غير موجود",IF(ISNA(MATCH($F343,Lists!$A$2:$A$5,0)),"✖ الفترة غير صحيحة",IF(ISNA(MATCH($G343,Lists!$B$2:$B$7,0)),"✖ المجموعة غير صحيحة",IF(NOT(OR($H343="",$N343&gt;0)),"✖ Start غير صحيح",IF(NOT(OR($I343="",$I343="NR",$O343&gt;0)),"✖ Current غير صحيح",IF(NOT(IF(ISNUMBER($J343),AND($J343&gt;=0,$J343=INT($J343)),FALSE())),"✖ العدد يجب أن يكون صحيحًا ≥ 0",IF(AND($F343="Baseline",$H343&lt;&gt;""),"⚠ Baseline: Start لا يدخل في التقدم",IF($K343="No Start (attainment only)","ℹ تحصيل فقط (بدون Start)",IF($K343="U – needs rule","ℹ حالة U تحتاج قاعدة معتمدة",IF($K343="No result","ℹ بدون نتيجة (يُستبعد من التحصيل)","OK")))))))))))</f>
        <v>OK</v>
      </c>
      <c r="M343" s="64" t="n">
        <f aca="false">IF($A343="",0,IFERROR(MATCH($A343,Classes!$A$6:$A$420,0),0))</f>
        <v>299</v>
      </c>
      <c r="N343" s="64" t="n">
        <f aca="false">IF($H343="",0,IFERROR(MATCH($H343,GradeList,0),0))</f>
        <v>0</v>
      </c>
      <c r="O343" s="64" t="n">
        <f aca="false">IF(OR($I343="",$I343="NR"),0,IFERROR(MATCH($I343,GradeList,0),0))</f>
        <v>10</v>
      </c>
      <c r="P343" s="64" t="n">
        <f aca="false">IF(AND($M343&gt;0,ISNUMBER(MATCH($F343,Lists!$A$2:$A$5,0)),ISNUMBER(MATCH($G343,Lists!$B$2:$B$7,0)),OR($H343="",$N343&gt;0),OR($I343="",$I343="NR",$O343&gt;0),IF(ISNUMBER($J343),AND($J343&gt;=0,$J343=INT($J343)),FALSE())),$J343,0)</f>
        <v>3</v>
      </c>
      <c r="Q343" s="64" t="n">
        <f aca="false">IF(AND($P343&gt;0,$O343&gt;0),$P343,0)</f>
        <v>3</v>
      </c>
      <c r="R343" s="64" t="n">
        <f aca="false">IF(AND($Q343&gt;0,$O343&gt;=AtRank),$Q343,0)</f>
        <v>3</v>
      </c>
      <c r="S343" s="64" t="n">
        <f aca="false">IF(AND($Q343&gt;0,$O343&gt;=AboveRank),$Q343,0)</f>
        <v>3</v>
      </c>
      <c r="T343" s="64" t="n">
        <f aca="false">IF($K343="Less",$P343,0)</f>
        <v>0</v>
      </c>
      <c r="U343" s="64" t="n">
        <f aca="false">IF($K343="Expected",$P343,0)</f>
        <v>0</v>
      </c>
      <c r="V343" s="64" t="n">
        <f aca="false">IF($K343="Better",$P343,0)</f>
        <v>0</v>
      </c>
      <c r="W343" s="64" t="n">
        <f aca="false">IF($K343="U – needs rule",$P343,0)</f>
        <v>0</v>
      </c>
      <c r="X343" s="64" t="n">
        <f aca="false">IF($K343="No Start (attainment only)",$P343,0)</f>
        <v>0</v>
      </c>
    </row>
    <row r="344" customFormat="false" ht="15" hidden="false" customHeight="false" outlineLevel="0" collapsed="false">
      <c r="A344" s="60" t="s">
        <v>796</v>
      </c>
      <c r="B344" s="61" t="str">
        <f aca="false">IF($M344=0,"",INDEX(Classes!$E$6:$E$420,$M344))</f>
        <v>Arabic A</v>
      </c>
      <c r="C344" s="62" t="str">
        <f aca="false">IF($M344=0,"",INDEX(Classes!$H$6:$H$420,$M344))</f>
        <v>Mr Ayman Bobo</v>
      </c>
      <c r="D344" s="61" t="str">
        <f aca="false">IF($M344=0,"",INDEX(Classes!$B$6:$B$420,$M344))</f>
        <v>Year 10</v>
      </c>
      <c r="E344" s="61" t="str">
        <f aca="false">IF($M344=0,"",INDEX(Classes!$C$6:$C$420,$M344))</f>
        <v>ip</v>
      </c>
      <c r="F344" s="63" t="s">
        <v>162</v>
      </c>
      <c r="G344" s="63" t="s">
        <v>108</v>
      </c>
      <c r="H344" s="60"/>
      <c r="I344" s="60" t="s">
        <v>199</v>
      </c>
      <c r="J344" s="63" t="n">
        <v>1</v>
      </c>
      <c r="K344" s="61" t="str">
        <f aca="false">IF($P344=0,"",IF($F344="Baseline","— Baseline",IF($O344=0,"No result",IF($N344=0,"No Start (attainment only)",IF(OR($N344=1,$O344=1),"U – needs rule",INDEX(MxBody,MATCH($I344,MxCurr,0),MATCH($H344,MxStart,0)))))))</f>
        <v>— Baseline</v>
      </c>
      <c r="L344" s="62" t="str">
        <f aca="false">IF(COUNTA($A344,$F344,$G344,$H344,$I344,$J344)=0,"",IF($M344=0,"✖ كود الصف غير موجود",IF(ISNA(MATCH($F344,Lists!$A$2:$A$5,0)),"✖ الفترة غير صحيحة",IF(ISNA(MATCH($G344,Lists!$B$2:$B$7,0)),"✖ المجموعة غير صحيحة",IF(NOT(OR($H344="",$N344&gt;0)),"✖ Start غير صحيح",IF(NOT(OR($I344="",$I344="NR",$O344&gt;0)),"✖ Current غير صحيح",IF(NOT(IF(ISNUMBER($J344),AND($J344&gt;=0,$J344=INT($J344)),FALSE())),"✖ العدد يجب أن يكون صحيحًا ≥ 0",IF(AND($F344="Baseline",$H344&lt;&gt;""),"⚠ Baseline: Start لا يدخل في التقدم",IF($K344="No Start (attainment only)","ℹ تحصيل فقط (بدون Start)",IF($K344="U – needs rule","ℹ حالة U تحتاج قاعدة معتمدة",IF($K344="No result","ℹ بدون نتيجة (يُستبعد من التحصيل)","OK")))))))))))</f>
        <v>OK</v>
      </c>
      <c r="M344" s="64" t="n">
        <f aca="false">IF($A344="",0,IFERROR(MATCH($A344,Classes!$A$6:$A$420,0),0))</f>
        <v>299</v>
      </c>
      <c r="N344" s="64" t="n">
        <f aca="false">IF($H344="",0,IFERROR(MATCH($H344,GradeList,0),0))</f>
        <v>0</v>
      </c>
      <c r="O344" s="64" t="n">
        <f aca="false">IF(OR($I344="",$I344="NR"),0,IFERROR(MATCH($I344,GradeList,0),0))</f>
        <v>4</v>
      </c>
      <c r="P344" s="64" t="n">
        <f aca="false">IF(AND($M344&gt;0,ISNUMBER(MATCH($F344,Lists!$A$2:$A$5,0)),ISNUMBER(MATCH($G344,Lists!$B$2:$B$7,0)),OR($H344="",$N344&gt;0),OR($I344="",$I344="NR",$O344&gt;0),IF(ISNUMBER($J344),AND($J344&gt;=0,$J344=INT($J344)),FALSE())),$J344,0)</f>
        <v>1</v>
      </c>
      <c r="Q344" s="64" t="n">
        <f aca="false">IF(AND($P344&gt;0,$O344&gt;0),$P344,0)</f>
        <v>1</v>
      </c>
      <c r="R344" s="64" t="n">
        <f aca="false">IF(AND($Q344&gt;0,$O344&gt;=AtRank),$Q344,0)</f>
        <v>0</v>
      </c>
      <c r="S344" s="64" t="n">
        <f aca="false">IF(AND($Q344&gt;0,$O344&gt;=AboveRank),$Q344,0)</f>
        <v>0</v>
      </c>
      <c r="T344" s="64" t="n">
        <f aca="false">IF($K344="Less",$P344,0)</f>
        <v>0</v>
      </c>
      <c r="U344" s="64" t="n">
        <f aca="false">IF($K344="Expected",$P344,0)</f>
        <v>0</v>
      </c>
      <c r="V344" s="64" t="n">
        <f aca="false">IF($K344="Better",$P344,0)</f>
        <v>0</v>
      </c>
      <c r="W344" s="64" t="n">
        <f aca="false">IF($K344="U – needs rule",$P344,0)</f>
        <v>0</v>
      </c>
      <c r="X344" s="64" t="n">
        <f aca="false">IF($K344="No Start (attainment only)",$P344,0)</f>
        <v>0</v>
      </c>
    </row>
    <row r="345" customFormat="false" ht="15" hidden="false" customHeight="false" outlineLevel="0" collapsed="false">
      <c r="A345" s="60" t="s">
        <v>796</v>
      </c>
      <c r="B345" s="61" t="str">
        <f aca="false">IF($M345=0,"",INDEX(Classes!$E$6:$E$420,$M345))</f>
        <v>Arabic A</v>
      </c>
      <c r="C345" s="62" t="str">
        <f aca="false">IF($M345=0,"",INDEX(Classes!$H$6:$H$420,$M345))</f>
        <v>Mr Ayman Bobo</v>
      </c>
      <c r="D345" s="61" t="str">
        <f aca="false">IF($M345=0,"",INDEX(Classes!$B$6:$B$420,$M345))</f>
        <v>Year 10</v>
      </c>
      <c r="E345" s="61" t="str">
        <f aca="false">IF($M345=0,"",INDEX(Classes!$C$6:$C$420,$M345))</f>
        <v>ip</v>
      </c>
      <c r="F345" s="63" t="s">
        <v>162</v>
      </c>
      <c r="G345" s="63" t="s">
        <v>1015</v>
      </c>
      <c r="H345" s="60"/>
      <c r="I345" s="60" t="s">
        <v>202</v>
      </c>
      <c r="J345" s="63" t="n">
        <v>2</v>
      </c>
      <c r="K345" s="61" t="str">
        <f aca="false">IF($P345=0,"",IF($F345="Baseline","— Baseline",IF($O345=0,"No result",IF($N345=0,"No Start (attainment only)",IF(OR($N345=1,$O345=1),"U – needs rule",INDEX(MxBody,MATCH($I345,MxCurr,0),MATCH($H345,MxStart,0)))))))</f>
        <v>— Baseline</v>
      </c>
      <c r="L345" s="62" t="str">
        <f aca="false">IF(COUNTA($A345,$F345,$G345,$H345,$I345,$J345)=0,"",IF($M345=0,"✖ كود الصف غير موجود",IF(ISNA(MATCH($F345,Lists!$A$2:$A$5,0)),"✖ الفترة غير صحيحة",IF(ISNA(MATCH($G345,Lists!$B$2:$B$7,0)),"✖ المجموعة غير صحيحة",IF(NOT(OR($H345="",$N345&gt;0)),"✖ Start غير صحيح",IF(NOT(OR($I345="",$I345="NR",$O345&gt;0)),"✖ Current غير صحيح",IF(NOT(IF(ISNUMBER($J345),AND($J345&gt;=0,$J345=INT($J345)),FALSE())),"✖ العدد يجب أن يكون صحيحًا ≥ 0",IF(AND($F345="Baseline",$H345&lt;&gt;""),"⚠ Baseline: Start لا يدخل في التقدم",IF($K345="No Start (attainment only)","ℹ تحصيل فقط (بدون Start)",IF($K345="U – needs rule","ℹ حالة U تحتاج قاعدة معتمدة",IF($K345="No result","ℹ بدون نتيجة (يُستبعد من التحصيل)","OK")))))))))))</f>
        <v>OK</v>
      </c>
      <c r="M345" s="64" t="n">
        <f aca="false">IF($A345="",0,IFERROR(MATCH($A345,Classes!$A$6:$A$420,0),0))</f>
        <v>299</v>
      </c>
      <c r="N345" s="64" t="n">
        <f aca="false">IF($H345="",0,IFERROR(MATCH($H345,GradeList,0),0))</f>
        <v>0</v>
      </c>
      <c r="O345" s="64" t="n">
        <f aca="false">IF(OR($I345="",$I345="NR"),0,IFERROR(MATCH($I345,GradeList,0),0))</f>
        <v>7</v>
      </c>
      <c r="P345" s="64" t="n">
        <f aca="false">IF(AND($M345&gt;0,ISNUMBER(MATCH($F345,Lists!$A$2:$A$5,0)),ISNUMBER(MATCH($G345,Lists!$B$2:$B$7,0)),OR($H345="",$N345&gt;0),OR($I345="",$I345="NR",$O345&gt;0),IF(ISNUMBER($J345),AND($J345&gt;=0,$J345=INT($J345)),FALSE())),$J345,0)</f>
        <v>2</v>
      </c>
      <c r="Q345" s="64" t="n">
        <f aca="false">IF(AND($P345&gt;0,$O345&gt;0),$P345,0)</f>
        <v>2</v>
      </c>
      <c r="R345" s="64" t="n">
        <f aca="false">IF(AND($Q345&gt;0,$O345&gt;=AtRank),$Q345,0)</f>
        <v>2</v>
      </c>
      <c r="S345" s="64" t="n">
        <f aca="false">IF(AND($Q345&gt;0,$O345&gt;=AboveRank),$Q345,0)</f>
        <v>2</v>
      </c>
      <c r="T345" s="64" t="n">
        <f aca="false">IF($K345="Less",$P345,0)</f>
        <v>0</v>
      </c>
      <c r="U345" s="64" t="n">
        <f aca="false">IF($K345="Expected",$P345,0)</f>
        <v>0</v>
      </c>
      <c r="V345" s="64" t="n">
        <f aca="false">IF($K345="Better",$P345,0)</f>
        <v>0</v>
      </c>
      <c r="W345" s="64" t="n">
        <f aca="false">IF($K345="U – needs rule",$P345,0)</f>
        <v>0</v>
      </c>
      <c r="X345" s="64" t="n">
        <f aca="false">IF($K345="No Start (attainment only)",$P345,0)</f>
        <v>0</v>
      </c>
    </row>
    <row r="346" customFormat="false" ht="15" hidden="false" customHeight="false" outlineLevel="0" collapsed="false">
      <c r="A346" s="60" t="s">
        <v>796</v>
      </c>
      <c r="B346" s="61" t="str">
        <f aca="false">IF($M346=0,"",INDEX(Classes!$E$6:$E$420,$M346))</f>
        <v>Arabic A</v>
      </c>
      <c r="C346" s="62" t="str">
        <f aca="false">IF($M346=0,"",INDEX(Classes!$H$6:$H$420,$M346))</f>
        <v>Mr Ayman Bobo</v>
      </c>
      <c r="D346" s="61" t="str">
        <f aca="false">IF($M346=0,"",INDEX(Classes!$B$6:$B$420,$M346))</f>
        <v>Year 10</v>
      </c>
      <c r="E346" s="61" t="str">
        <f aca="false">IF($M346=0,"",INDEX(Classes!$C$6:$C$420,$M346))</f>
        <v>ip</v>
      </c>
      <c r="F346" s="63" t="s">
        <v>162</v>
      </c>
      <c r="G346" s="63" t="s">
        <v>1015</v>
      </c>
      <c r="H346" s="60"/>
      <c r="I346" s="60" t="s">
        <v>203</v>
      </c>
      <c r="J346" s="63" t="n">
        <v>3</v>
      </c>
      <c r="K346" s="61" t="str">
        <f aca="false">IF($P346=0,"",IF($F346="Baseline","— Baseline",IF($O346=0,"No result",IF($N346=0,"No Start (attainment only)",IF(OR($N346=1,$O346=1),"U – needs rule",INDEX(MxBody,MATCH($I346,MxCurr,0),MATCH($H346,MxStart,0)))))))</f>
        <v>— Baseline</v>
      </c>
      <c r="L346" s="62" t="str">
        <f aca="false">IF(COUNTA($A346,$F346,$G346,$H346,$I346,$J346)=0,"",IF($M346=0,"✖ كود الصف غير موجود",IF(ISNA(MATCH($F346,Lists!$A$2:$A$5,0)),"✖ الفترة غير صحيحة",IF(ISNA(MATCH($G346,Lists!$B$2:$B$7,0)),"✖ المجموعة غير صحيحة",IF(NOT(OR($H346="",$N346&gt;0)),"✖ Start غير صحيح",IF(NOT(OR($I346="",$I346="NR",$O346&gt;0)),"✖ Current غير صحيح",IF(NOT(IF(ISNUMBER($J346),AND($J346&gt;=0,$J346=INT($J346)),FALSE())),"✖ العدد يجب أن يكون صحيحًا ≥ 0",IF(AND($F346="Baseline",$H346&lt;&gt;""),"⚠ Baseline: Start لا يدخل في التقدم",IF($K346="No Start (attainment only)","ℹ تحصيل فقط (بدون Start)",IF($K346="U – needs rule","ℹ حالة U تحتاج قاعدة معتمدة",IF($K346="No result","ℹ بدون نتيجة (يُستبعد من التحصيل)","OK")))))))))))</f>
        <v>OK</v>
      </c>
      <c r="M346" s="64" t="n">
        <f aca="false">IF($A346="",0,IFERROR(MATCH($A346,Classes!$A$6:$A$420,0),0))</f>
        <v>299</v>
      </c>
      <c r="N346" s="64" t="n">
        <f aca="false">IF($H346="",0,IFERROR(MATCH($H346,GradeList,0),0))</f>
        <v>0</v>
      </c>
      <c r="O346" s="64" t="n">
        <f aca="false">IF(OR($I346="",$I346="NR"),0,IFERROR(MATCH($I346,GradeList,0),0))</f>
        <v>8</v>
      </c>
      <c r="P346" s="64" t="n">
        <f aca="false">IF(AND($M346&gt;0,ISNUMBER(MATCH($F346,Lists!$A$2:$A$5,0)),ISNUMBER(MATCH($G346,Lists!$B$2:$B$7,0)),OR($H346="",$N346&gt;0),OR($I346="",$I346="NR",$O346&gt;0),IF(ISNUMBER($J346),AND($J346&gt;=0,$J346=INT($J346)),FALSE())),$J346,0)</f>
        <v>3</v>
      </c>
      <c r="Q346" s="64" t="n">
        <f aca="false">IF(AND($P346&gt;0,$O346&gt;0),$P346,0)</f>
        <v>3</v>
      </c>
      <c r="R346" s="64" t="n">
        <f aca="false">IF(AND($Q346&gt;0,$O346&gt;=AtRank),$Q346,0)</f>
        <v>3</v>
      </c>
      <c r="S346" s="64" t="n">
        <f aca="false">IF(AND($Q346&gt;0,$O346&gt;=AboveRank),$Q346,0)</f>
        <v>3</v>
      </c>
      <c r="T346" s="64" t="n">
        <f aca="false">IF($K346="Less",$P346,0)</f>
        <v>0</v>
      </c>
      <c r="U346" s="64" t="n">
        <f aca="false">IF($K346="Expected",$P346,0)</f>
        <v>0</v>
      </c>
      <c r="V346" s="64" t="n">
        <f aca="false">IF($K346="Better",$P346,0)</f>
        <v>0</v>
      </c>
      <c r="W346" s="64" t="n">
        <f aca="false">IF($K346="U – needs rule",$P346,0)</f>
        <v>0</v>
      </c>
      <c r="X346" s="64" t="n">
        <f aca="false">IF($K346="No Start (attainment only)",$P346,0)</f>
        <v>0</v>
      </c>
    </row>
    <row r="347" customFormat="false" ht="15" hidden="false" customHeight="false" outlineLevel="0" collapsed="false">
      <c r="A347" s="60" t="s">
        <v>796</v>
      </c>
      <c r="B347" s="61" t="str">
        <f aca="false">IF($M347=0,"",INDEX(Classes!$E$6:$E$420,$M347))</f>
        <v>Arabic A</v>
      </c>
      <c r="C347" s="62" t="str">
        <f aca="false">IF($M347=0,"",INDEX(Classes!$H$6:$H$420,$M347))</f>
        <v>Mr Ayman Bobo</v>
      </c>
      <c r="D347" s="61" t="str">
        <f aca="false">IF($M347=0,"",INDEX(Classes!$B$6:$B$420,$M347))</f>
        <v>Year 10</v>
      </c>
      <c r="E347" s="61" t="str">
        <f aca="false">IF($M347=0,"",INDEX(Classes!$C$6:$C$420,$M347))</f>
        <v>ip</v>
      </c>
      <c r="F347" s="63" t="s">
        <v>162</v>
      </c>
      <c r="G347" s="63" t="s">
        <v>1015</v>
      </c>
      <c r="H347" s="60"/>
      <c r="I347" s="60" t="s">
        <v>200</v>
      </c>
      <c r="J347" s="63" t="n">
        <v>1</v>
      </c>
      <c r="K347" s="61" t="str">
        <f aca="false">IF($P347=0,"",IF($F347="Baseline","— Baseline",IF($O347=0,"No result",IF($N347=0,"No Start (attainment only)",IF(OR($N347=1,$O347=1),"U – needs rule",INDEX(MxBody,MATCH($I347,MxCurr,0),MATCH($H347,MxStart,0)))))))</f>
        <v>— Baseline</v>
      </c>
      <c r="L347" s="62" t="str">
        <f aca="false">IF(COUNTA($A347,$F347,$G347,$H347,$I347,$J347)=0,"",IF($M347=0,"✖ كود الصف غير موجود",IF(ISNA(MATCH($F347,Lists!$A$2:$A$5,0)),"✖ الفترة غير صحيحة",IF(ISNA(MATCH($G347,Lists!$B$2:$B$7,0)),"✖ المجموعة غير صحيحة",IF(NOT(OR($H347="",$N347&gt;0)),"✖ Start غير صحيح",IF(NOT(OR($I347="",$I347="NR",$O347&gt;0)),"✖ Current غير صحيح",IF(NOT(IF(ISNUMBER($J347),AND($J347&gt;=0,$J347=INT($J347)),FALSE())),"✖ العدد يجب أن يكون صحيحًا ≥ 0",IF(AND($F347="Baseline",$H347&lt;&gt;""),"⚠ Baseline: Start لا يدخل في التقدم",IF($K347="No Start (attainment only)","ℹ تحصيل فقط (بدون Start)",IF($K347="U – needs rule","ℹ حالة U تحتاج قاعدة معتمدة",IF($K347="No result","ℹ بدون نتيجة (يُستبعد من التحصيل)","OK")))))))))))</f>
        <v>OK</v>
      </c>
      <c r="M347" s="64" t="n">
        <f aca="false">IF($A347="",0,IFERROR(MATCH($A347,Classes!$A$6:$A$420,0),0))</f>
        <v>299</v>
      </c>
      <c r="N347" s="64" t="n">
        <f aca="false">IF($H347="",0,IFERROR(MATCH($H347,GradeList,0),0))</f>
        <v>0</v>
      </c>
      <c r="O347" s="64" t="n">
        <f aca="false">IF(OR($I347="",$I347="NR"),0,IFERROR(MATCH($I347,GradeList,0),0))</f>
        <v>5</v>
      </c>
      <c r="P347" s="64" t="n">
        <f aca="false">IF(AND($M347&gt;0,ISNUMBER(MATCH($F347,Lists!$A$2:$A$5,0)),ISNUMBER(MATCH($G347,Lists!$B$2:$B$7,0)),OR($H347="",$N347&gt;0),OR($I347="",$I347="NR",$O347&gt;0),IF(ISNUMBER($J347),AND($J347&gt;=0,$J347=INT($J347)),FALSE())),$J347,0)</f>
        <v>1</v>
      </c>
      <c r="Q347" s="64" t="n">
        <f aca="false">IF(AND($P347&gt;0,$O347&gt;0),$P347,0)</f>
        <v>1</v>
      </c>
      <c r="R347" s="64" t="n">
        <f aca="false">IF(AND($Q347&gt;0,$O347&gt;=AtRank),$Q347,0)</f>
        <v>1</v>
      </c>
      <c r="S347" s="64" t="n">
        <f aca="false">IF(AND($Q347&gt;0,$O347&gt;=AboveRank),$Q347,0)</f>
        <v>0</v>
      </c>
      <c r="T347" s="64" t="n">
        <f aca="false">IF($K347="Less",$P347,0)</f>
        <v>0</v>
      </c>
      <c r="U347" s="64" t="n">
        <f aca="false">IF($K347="Expected",$P347,0)</f>
        <v>0</v>
      </c>
      <c r="V347" s="64" t="n">
        <f aca="false">IF($K347="Better",$P347,0)</f>
        <v>0</v>
      </c>
      <c r="W347" s="64" t="n">
        <f aca="false">IF($K347="U – needs rule",$P347,0)</f>
        <v>0</v>
      </c>
      <c r="X347" s="64" t="n">
        <f aca="false">IF($K347="No Start (attainment only)",$P347,0)</f>
        <v>0</v>
      </c>
    </row>
    <row r="348" customFormat="false" ht="15" hidden="false" customHeight="false" outlineLevel="0" collapsed="false">
      <c r="A348" s="60" t="s">
        <v>796</v>
      </c>
      <c r="B348" s="61" t="str">
        <f aca="false">IF($M348=0,"",INDEX(Classes!$E$6:$E$420,$M348))</f>
        <v>Arabic A</v>
      </c>
      <c r="C348" s="62" t="str">
        <f aca="false">IF($M348=0,"",INDEX(Classes!$H$6:$H$420,$M348))</f>
        <v>Mr Ayman Bobo</v>
      </c>
      <c r="D348" s="61" t="str">
        <f aca="false">IF($M348=0,"",INDEX(Classes!$B$6:$B$420,$M348))</f>
        <v>Year 10</v>
      </c>
      <c r="E348" s="61" t="str">
        <f aca="false">IF($M348=0,"",INDEX(Classes!$C$6:$C$420,$M348))</f>
        <v>ip</v>
      </c>
      <c r="F348" s="63" t="s">
        <v>162</v>
      </c>
      <c r="G348" s="63" t="s">
        <v>1015</v>
      </c>
      <c r="H348" s="60"/>
      <c r="I348" s="60" t="s">
        <v>201</v>
      </c>
      <c r="J348" s="63" t="n">
        <v>1</v>
      </c>
      <c r="K348" s="61" t="str">
        <f aca="false">IF($P348=0,"",IF($F348="Baseline","— Baseline",IF($O348=0,"No result",IF($N348=0,"No Start (attainment only)",IF(OR($N348=1,$O348=1),"U – needs rule",INDEX(MxBody,MATCH($I348,MxCurr,0),MATCH($H348,MxStart,0)))))))</f>
        <v>— Baseline</v>
      </c>
      <c r="L348" s="62" t="str">
        <f aca="false">IF(COUNTA($A348,$F348,$G348,$H348,$I348,$J348)=0,"",IF($M348=0,"✖ كود الصف غير موجود",IF(ISNA(MATCH($F348,Lists!$A$2:$A$5,0)),"✖ الفترة غير صحيحة",IF(ISNA(MATCH($G348,Lists!$B$2:$B$7,0)),"✖ المجموعة غير صحيحة",IF(NOT(OR($H348="",$N348&gt;0)),"✖ Start غير صحيح",IF(NOT(OR($I348="",$I348="NR",$O348&gt;0)),"✖ Current غير صحيح",IF(NOT(IF(ISNUMBER($J348),AND($J348&gt;=0,$J348=INT($J348)),FALSE())),"✖ العدد يجب أن يكون صحيحًا ≥ 0",IF(AND($F348="Baseline",$H348&lt;&gt;""),"⚠ Baseline: Start لا يدخل في التقدم",IF($K348="No Start (attainment only)","ℹ تحصيل فقط (بدون Start)",IF($K348="U – needs rule","ℹ حالة U تحتاج قاعدة معتمدة",IF($K348="No result","ℹ بدون نتيجة (يُستبعد من التحصيل)","OK")))))))))))</f>
        <v>OK</v>
      </c>
      <c r="M348" s="64" t="n">
        <f aca="false">IF($A348="",0,IFERROR(MATCH($A348,Classes!$A$6:$A$420,0),0))</f>
        <v>299</v>
      </c>
      <c r="N348" s="64" t="n">
        <f aca="false">IF($H348="",0,IFERROR(MATCH($H348,GradeList,0),0))</f>
        <v>0</v>
      </c>
      <c r="O348" s="64" t="n">
        <f aca="false">IF(OR($I348="",$I348="NR"),0,IFERROR(MATCH($I348,GradeList,0),0))</f>
        <v>6</v>
      </c>
      <c r="P348" s="64" t="n">
        <f aca="false">IF(AND($M348&gt;0,ISNUMBER(MATCH($F348,Lists!$A$2:$A$5,0)),ISNUMBER(MATCH($G348,Lists!$B$2:$B$7,0)),OR($H348="",$N348&gt;0),OR($I348="",$I348="NR",$O348&gt;0),IF(ISNUMBER($J348),AND($J348&gt;=0,$J348=INT($J348)),FALSE())),$J348,0)</f>
        <v>1</v>
      </c>
      <c r="Q348" s="64" t="n">
        <f aca="false">IF(AND($P348&gt;0,$O348&gt;0),$P348,0)</f>
        <v>1</v>
      </c>
      <c r="R348" s="64" t="n">
        <f aca="false">IF(AND($Q348&gt;0,$O348&gt;=AtRank),$Q348,0)</f>
        <v>1</v>
      </c>
      <c r="S348" s="64" t="n">
        <f aca="false">IF(AND($Q348&gt;0,$O348&gt;=AboveRank),$Q348,0)</f>
        <v>0</v>
      </c>
      <c r="T348" s="64" t="n">
        <f aca="false">IF($K348="Less",$P348,0)</f>
        <v>0</v>
      </c>
      <c r="U348" s="64" t="n">
        <f aca="false">IF($K348="Expected",$P348,0)</f>
        <v>0</v>
      </c>
      <c r="V348" s="64" t="n">
        <f aca="false">IF($K348="Better",$P348,0)</f>
        <v>0</v>
      </c>
      <c r="W348" s="64" t="n">
        <f aca="false">IF($K348="U – needs rule",$P348,0)</f>
        <v>0</v>
      </c>
      <c r="X348" s="64" t="n">
        <f aca="false">IF($K348="No Start (attainment only)",$P348,0)</f>
        <v>0</v>
      </c>
    </row>
    <row r="349" customFormat="false" ht="15" hidden="false" customHeight="false" outlineLevel="0" collapsed="false">
      <c r="A349" s="60" t="s">
        <v>796</v>
      </c>
      <c r="B349" s="61" t="str">
        <f aca="false">IF($M349=0,"",INDEX(Classes!$E$6:$E$420,$M349))</f>
        <v>Arabic A</v>
      </c>
      <c r="C349" s="62" t="str">
        <f aca="false">IF($M349=0,"",INDEX(Classes!$H$6:$H$420,$M349))</f>
        <v>Mr Ayman Bobo</v>
      </c>
      <c r="D349" s="61" t="str">
        <f aca="false">IF($M349=0,"",INDEX(Classes!$B$6:$B$420,$M349))</f>
        <v>Year 10</v>
      </c>
      <c r="E349" s="61" t="str">
        <f aca="false">IF($M349=0,"",INDEX(Classes!$C$6:$C$420,$M349))</f>
        <v>ip</v>
      </c>
      <c r="F349" s="63" t="s">
        <v>162</v>
      </c>
      <c r="G349" s="63" t="s">
        <v>1015</v>
      </c>
      <c r="H349" s="60"/>
      <c r="I349" s="60" t="s">
        <v>205</v>
      </c>
      <c r="J349" s="63" t="n">
        <v>2</v>
      </c>
      <c r="K349" s="61" t="str">
        <f aca="false">IF($P349=0,"",IF($F349="Baseline","— Baseline",IF($O349=0,"No result",IF($N349=0,"No Start (attainment only)",IF(OR($N349=1,$O349=1),"U – needs rule",INDEX(MxBody,MATCH($I349,MxCurr,0),MATCH($H349,MxStart,0)))))))</f>
        <v>— Baseline</v>
      </c>
      <c r="L349" s="62" t="str">
        <f aca="false">IF(COUNTA($A349,$F349,$G349,$H349,$I349,$J349)=0,"",IF($M349=0,"✖ كود الصف غير موجود",IF(ISNA(MATCH($F349,Lists!$A$2:$A$5,0)),"✖ الفترة غير صحيحة",IF(ISNA(MATCH($G349,Lists!$B$2:$B$7,0)),"✖ المجموعة غير صحيحة",IF(NOT(OR($H349="",$N349&gt;0)),"✖ Start غير صحيح",IF(NOT(OR($I349="",$I349="NR",$O349&gt;0)),"✖ Current غير صحيح",IF(NOT(IF(ISNUMBER($J349),AND($J349&gt;=0,$J349=INT($J349)),FALSE())),"✖ العدد يجب أن يكون صحيحًا ≥ 0",IF(AND($F349="Baseline",$H349&lt;&gt;""),"⚠ Baseline: Start لا يدخل في التقدم",IF($K349="No Start (attainment only)","ℹ تحصيل فقط (بدون Start)",IF($K349="U – needs rule","ℹ حالة U تحتاج قاعدة معتمدة",IF($K349="No result","ℹ بدون نتيجة (يُستبعد من التحصيل)","OK")))))))))))</f>
        <v>OK</v>
      </c>
      <c r="M349" s="64" t="n">
        <f aca="false">IF($A349="",0,IFERROR(MATCH($A349,Classes!$A$6:$A$420,0),0))</f>
        <v>299</v>
      </c>
      <c r="N349" s="64" t="n">
        <f aca="false">IF($H349="",0,IFERROR(MATCH($H349,GradeList,0),0))</f>
        <v>0</v>
      </c>
      <c r="O349" s="64" t="n">
        <f aca="false">IF(OR($I349="",$I349="NR"),0,IFERROR(MATCH($I349,GradeList,0),0))</f>
        <v>10</v>
      </c>
      <c r="P349" s="64" t="n">
        <f aca="false">IF(AND($M349&gt;0,ISNUMBER(MATCH($F349,Lists!$A$2:$A$5,0)),ISNUMBER(MATCH($G349,Lists!$B$2:$B$7,0)),OR($H349="",$N349&gt;0),OR($I349="",$I349="NR",$O349&gt;0),IF(ISNUMBER($J349),AND($J349&gt;=0,$J349=INT($J349)),FALSE())),$J349,0)</f>
        <v>2</v>
      </c>
      <c r="Q349" s="64" t="n">
        <f aca="false">IF(AND($P349&gt;0,$O349&gt;0),$P349,0)</f>
        <v>2</v>
      </c>
      <c r="R349" s="64" t="n">
        <f aca="false">IF(AND($Q349&gt;0,$O349&gt;=AtRank),$Q349,0)</f>
        <v>2</v>
      </c>
      <c r="S349" s="64" t="n">
        <f aca="false">IF(AND($Q349&gt;0,$O349&gt;=AboveRank),$Q349,0)</f>
        <v>2</v>
      </c>
      <c r="T349" s="64" t="n">
        <f aca="false">IF($K349="Less",$P349,0)</f>
        <v>0</v>
      </c>
      <c r="U349" s="64" t="n">
        <f aca="false">IF($K349="Expected",$P349,0)</f>
        <v>0</v>
      </c>
      <c r="V349" s="64" t="n">
        <f aca="false">IF($K349="Better",$P349,0)</f>
        <v>0</v>
      </c>
      <c r="W349" s="64" t="n">
        <f aca="false">IF($K349="U – needs rule",$P349,0)</f>
        <v>0</v>
      </c>
      <c r="X349" s="64" t="n">
        <f aca="false">IF($K349="No Start (attainment only)",$P349,0)</f>
        <v>0</v>
      </c>
    </row>
    <row r="350" customFormat="false" ht="15" hidden="false" customHeight="false" outlineLevel="0" collapsed="false">
      <c r="A350" s="60" t="s">
        <v>796</v>
      </c>
      <c r="B350" s="61" t="str">
        <f aca="false">IF($M350=0,"",INDEX(Classes!$E$6:$E$420,$M350))</f>
        <v>Arabic A</v>
      </c>
      <c r="C350" s="62" t="str">
        <f aca="false">IF($M350=0,"",INDEX(Classes!$H$6:$H$420,$M350))</f>
        <v>Mr Ayman Bobo</v>
      </c>
      <c r="D350" s="61" t="str">
        <f aca="false">IF($M350=0,"",INDEX(Classes!$B$6:$B$420,$M350))</f>
        <v>Year 10</v>
      </c>
      <c r="E350" s="61" t="str">
        <f aca="false">IF($M350=0,"",INDEX(Classes!$C$6:$C$420,$M350))</f>
        <v>ip</v>
      </c>
      <c r="F350" s="63" t="s">
        <v>162</v>
      </c>
      <c r="G350" s="63" t="s">
        <v>1016</v>
      </c>
      <c r="H350" s="60"/>
      <c r="I350" s="60" t="s">
        <v>202</v>
      </c>
      <c r="J350" s="63" t="n">
        <v>7</v>
      </c>
      <c r="K350" s="61" t="str">
        <f aca="false">IF($P350=0,"",IF($F350="Baseline","— Baseline",IF($O350=0,"No result",IF($N350=0,"No Start (attainment only)",IF(OR($N350=1,$O350=1),"U – needs rule",INDEX(MxBody,MATCH($I350,MxCurr,0),MATCH($H350,MxStart,0)))))))</f>
        <v>— Baseline</v>
      </c>
      <c r="L350" s="62" t="str">
        <f aca="false">IF(COUNTA($A350,$F350,$G350,$H350,$I350,$J350)=0,"",IF($M350=0,"✖ كود الصف غير موجود",IF(ISNA(MATCH($F350,Lists!$A$2:$A$5,0)),"✖ الفترة غير صحيحة",IF(ISNA(MATCH($G350,Lists!$B$2:$B$7,0)),"✖ المجموعة غير صحيحة",IF(NOT(OR($H350="",$N350&gt;0)),"✖ Start غير صحيح",IF(NOT(OR($I350="",$I350="NR",$O350&gt;0)),"✖ Current غير صحيح",IF(NOT(IF(ISNUMBER($J350),AND($J350&gt;=0,$J350=INT($J350)),FALSE())),"✖ العدد يجب أن يكون صحيحًا ≥ 0",IF(AND($F350="Baseline",$H350&lt;&gt;""),"⚠ Baseline: Start لا يدخل في التقدم",IF($K350="No Start (attainment only)","ℹ تحصيل فقط (بدون Start)",IF($K350="U – needs rule","ℹ حالة U تحتاج قاعدة معتمدة",IF($K350="No result","ℹ بدون نتيجة (يُستبعد من التحصيل)","OK")))))))))))</f>
        <v>OK</v>
      </c>
      <c r="M350" s="64" t="n">
        <f aca="false">IF($A350="",0,IFERROR(MATCH($A350,Classes!$A$6:$A$420,0),0))</f>
        <v>299</v>
      </c>
      <c r="N350" s="64" t="n">
        <f aca="false">IF($H350="",0,IFERROR(MATCH($H350,GradeList,0),0))</f>
        <v>0</v>
      </c>
      <c r="O350" s="64" t="n">
        <f aca="false">IF(OR($I350="",$I350="NR"),0,IFERROR(MATCH($I350,GradeList,0),0))</f>
        <v>7</v>
      </c>
      <c r="P350" s="64" t="n">
        <f aca="false">IF(AND($M350&gt;0,ISNUMBER(MATCH($F350,Lists!$A$2:$A$5,0)),ISNUMBER(MATCH($G350,Lists!$B$2:$B$7,0)),OR($H350="",$N350&gt;0),OR($I350="",$I350="NR",$O350&gt;0),IF(ISNUMBER($J350),AND($J350&gt;=0,$J350=INT($J350)),FALSE())),$J350,0)</f>
        <v>7</v>
      </c>
      <c r="Q350" s="64" t="n">
        <f aca="false">IF(AND($P350&gt;0,$O350&gt;0),$P350,0)</f>
        <v>7</v>
      </c>
      <c r="R350" s="64" t="n">
        <f aca="false">IF(AND($Q350&gt;0,$O350&gt;=AtRank),$Q350,0)</f>
        <v>7</v>
      </c>
      <c r="S350" s="64" t="n">
        <f aca="false">IF(AND($Q350&gt;0,$O350&gt;=AboveRank),$Q350,0)</f>
        <v>7</v>
      </c>
      <c r="T350" s="64" t="n">
        <f aca="false">IF($K350="Less",$P350,0)</f>
        <v>0</v>
      </c>
      <c r="U350" s="64" t="n">
        <f aca="false">IF($K350="Expected",$P350,0)</f>
        <v>0</v>
      </c>
      <c r="V350" s="64" t="n">
        <f aca="false">IF($K350="Better",$P350,0)</f>
        <v>0</v>
      </c>
      <c r="W350" s="64" t="n">
        <f aca="false">IF($K350="U – needs rule",$P350,0)</f>
        <v>0</v>
      </c>
      <c r="X350" s="64" t="n">
        <f aca="false">IF($K350="No Start (attainment only)",$P350,0)</f>
        <v>0</v>
      </c>
    </row>
    <row r="351" customFormat="false" ht="15" hidden="false" customHeight="false" outlineLevel="0" collapsed="false">
      <c r="A351" s="60" t="s">
        <v>796</v>
      </c>
      <c r="B351" s="61" t="str">
        <f aca="false">IF($M351=0,"",INDEX(Classes!$E$6:$E$420,$M351))</f>
        <v>Arabic A</v>
      </c>
      <c r="C351" s="62" t="str">
        <f aca="false">IF($M351=0,"",INDEX(Classes!$H$6:$H$420,$M351))</f>
        <v>Mr Ayman Bobo</v>
      </c>
      <c r="D351" s="61" t="str">
        <f aca="false">IF($M351=0,"",INDEX(Classes!$B$6:$B$420,$M351))</f>
        <v>Year 10</v>
      </c>
      <c r="E351" s="61" t="str">
        <f aca="false">IF($M351=0,"",INDEX(Classes!$C$6:$C$420,$M351))</f>
        <v>ip</v>
      </c>
      <c r="F351" s="63" t="s">
        <v>162</v>
      </c>
      <c r="G351" s="63" t="s">
        <v>1016</v>
      </c>
      <c r="H351" s="60"/>
      <c r="I351" s="60" t="s">
        <v>203</v>
      </c>
      <c r="J351" s="63" t="n">
        <v>2</v>
      </c>
      <c r="K351" s="61" t="str">
        <f aca="false">IF($P351=0,"",IF($F351="Baseline","— Baseline",IF($O351=0,"No result",IF($N351=0,"No Start (attainment only)",IF(OR($N351=1,$O351=1),"U – needs rule",INDEX(MxBody,MATCH($I351,MxCurr,0),MATCH($H351,MxStart,0)))))))</f>
        <v>— Baseline</v>
      </c>
      <c r="L351" s="62" t="str">
        <f aca="false">IF(COUNTA($A351,$F351,$G351,$H351,$I351,$J351)=0,"",IF($M351=0,"✖ كود الصف غير موجود",IF(ISNA(MATCH($F351,Lists!$A$2:$A$5,0)),"✖ الفترة غير صحيحة",IF(ISNA(MATCH($G351,Lists!$B$2:$B$7,0)),"✖ المجموعة غير صحيحة",IF(NOT(OR($H351="",$N351&gt;0)),"✖ Start غير صحيح",IF(NOT(OR($I351="",$I351="NR",$O351&gt;0)),"✖ Current غير صحيح",IF(NOT(IF(ISNUMBER($J351),AND($J351&gt;=0,$J351=INT($J351)),FALSE())),"✖ العدد يجب أن يكون صحيحًا ≥ 0",IF(AND($F351="Baseline",$H351&lt;&gt;""),"⚠ Baseline: Start لا يدخل في التقدم",IF($K351="No Start (attainment only)","ℹ تحصيل فقط (بدون Start)",IF($K351="U – needs rule","ℹ حالة U تحتاج قاعدة معتمدة",IF($K351="No result","ℹ بدون نتيجة (يُستبعد من التحصيل)","OK")))))))))))</f>
        <v>OK</v>
      </c>
      <c r="M351" s="64" t="n">
        <f aca="false">IF($A351="",0,IFERROR(MATCH($A351,Classes!$A$6:$A$420,0),0))</f>
        <v>299</v>
      </c>
      <c r="N351" s="64" t="n">
        <f aca="false">IF($H351="",0,IFERROR(MATCH($H351,GradeList,0),0))</f>
        <v>0</v>
      </c>
      <c r="O351" s="64" t="n">
        <f aca="false">IF(OR($I351="",$I351="NR"),0,IFERROR(MATCH($I351,GradeList,0),0))</f>
        <v>8</v>
      </c>
      <c r="P351" s="64" t="n">
        <f aca="false">IF(AND($M351&gt;0,ISNUMBER(MATCH($F351,Lists!$A$2:$A$5,0)),ISNUMBER(MATCH($G351,Lists!$B$2:$B$7,0)),OR($H351="",$N351&gt;0),OR($I351="",$I351="NR",$O351&gt;0),IF(ISNUMBER($J351),AND($J351&gt;=0,$J351=INT($J351)),FALSE())),$J351,0)</f>
        <v>2</v>
      </c>
      <c r="Q351" s="64" t="n">
        <f aca="false">IF(AND($P351&gt;0,$O351&gt;0),$P351,0)</f>
        <v>2</v>
      </c>
      <c r="R351" s="64" t="n">
        <f aca="false">IF(AND($Q351&gt;0,$O351&gt;=AtRank),$Q351,0)</f>
        <v>2</v>
      </c>
      <c r="S351" s="64" t="n">
        <f aca="false">IF(AND($Q351&gt;0,$O351&gt;=AboveRank),$Q351,0)</f>
        <v>2</v>
      </c>
      <c r="T351" s="64" t="n">
        <f aca="false">IF($K351="Less",$P351,0)</f>
        <v>0</v>
      </c>
      <c r="U351" s="64" t="n">
        <f aca="false">IF($K351="Expected",$P351,0)</f>
        <v>0</v>
      </c>
      <c r="V351" s="64" t="n">
        <f aca="false">IF($K351="Better",$P351,0)</f>
        <v>0</v>
      </c>
      <c r="W351" s="64" t="n">
        <f aca="false">IF($K351="U – needs rule",$P351,0)</f>
        <v>0</v>
      </c>
      <c r="X351" s="64" t="n">
        <f aca="false">IF($K351="No Start (attainment only)",$P351,0)</f>
        <v>0</v>
      </c>
    </row>
    <row r="352" customFormat="false" ht="15" hidden="false" customHeight="false" outlineLevel="0" collapsed="false">
      <c r="A352" s="60" t="s">
        <v>796</v>
      </c>
      <c r="B352" s="61" t="str">
        <f aca="false">IF($M352=0,"",INDEX(Classes!$E$6:$E$420,$M352))</f>
        <v>Arabic A</v>
      </c>
      <c r="C352" s="62" t="str">
        <f aca="false">IF($M352=0,"",INDEX(Classes!$H$6:$H$420,$M352))</f>
        <v>Mr Ayman Bobo</v>
      </c>
      <c r="D352" s="61" t="str">
        <f aca="false">IF($M352=0,"",INDEX(Classes!$B$6:$B$420,$M352))</f>
        <v>Year 10</v>
      </c>
      <c r="E352" s="61" t="str">
        <f aca="false">IF($M352=0,"",INDEX(Classes!$C$6:$C$420,$M352))</f>
        <v>ip</v>
      </c>
      <c r="F352" s="63" t="s">
        <v>162</v>
      </c>
      <c r="G352" s="63" t="s">
        <v>1016</v>
      </c>
      <c r="H352" s="60"/>
      <c r="I352" s="60" t="s">
        <v>201</v>
      </c>
      <c r="J352" s="63" t="n">
        <v>2</v>
      </c>
      <c r="K352" s="61" t="str">
        <f aca="false">IF($P352=0,"",IF($F352="Baseline","— Baseline",IF($O352=0,"No result",IF($N352=0,"No Start (attainment only)",IF(OR($N352=1,$O352=1),"U – needs rule",INDEX(MxBody,MATCH($I352,MxCurr,0),MATCH($H352,MxStart,0)))))))</f>
        <v>— Baseline</v>
      </c>
      <c r="L352" s="62" t="str">
        <f aca="false">IF(COUNTA($A352,$F352,$G352,$H352,$I352,$J352)=0,"",IF($M352=0,"✖ كود الصف غير موجود",IF(ISNA(MATCH($F352,Lists!$A$2:$A$5,0)),"✖ الفترة غير صحيحة",IF(ISNA(MATCH($G352,Lists!$B$2:$B$7,0)),"✖ المجموعة غير صحيحة",IF(NOT(OR($H352="",$N352&gt;0)),"✖ Start غير صحيح",IF(NOT(OR($I352="",$I352="NR",$O352&gt;0)),"✖ Current غير صحيح",IF(NOT(IF(ISNUMBER($J352),AND($J352&gt;=0,$J352=INT($J352)),FALSE())),"✖ العدد يجب أن يكون صحيحًا ≥ 0",IF(AND($F352="Baseline",$H352&lt;&gt;""),"⚠ Baseline: Start لا يدخل في التقدم",IF($K352="No Start (attainment only)","ℹ تحصيل فقط (بدون Start)",IF($K352="U – needs rule","ℹ حالة U تحتاج قاعدة معتمدة",IF($K352="No result","ℹ بدون نتيجة (يُستبعد من التحصيل)","OK")))))))))))</f>
        <v>OK</v>
      </c>
      <c r="M352" s="64" t="n">
        <f aca="false">IF($A352="",0,IFERROR(MATCH($A352,Classes!$A$6:$A$420,0),0))</f>
        <v>299</v>
      </c>
      <c r="N352" s="64" t="n">
        <f aca="false">IF($H352="",0,IFERROR(MATCH($H352,GradeList,0),0))</f>
        <v>0</v>
      </c>
      <c r="O352" s="64" t="n">
        <f aca="false">IF(OR($I352="",$I352="NR"),0,IFERROR(MATCH($I352,GradeList,0),0))</f>
        <v>6</v>
      </c>
      <c r="P352" s="64" t="n">
        <f aca="false">IF(AND($M352&gt;0,ISNUMBER(MATCH($F352,Lists!$A$2:$A$5,0)),ISNUMBER(MATCH($G352,Lists!$B$2:$B$7,0)),OR($H352="",$N352&gt;0),OR($I352="",$I352="NR",$O352&gt;0),IF(ISNUMBER($J352),AND($J352&gt;=0,$J352=INT($J352)),FALSE())),$J352,0)</f>
        <v>2</v>
      </c>
      <c r="Q352" s="64" t="n">
        <f aca="false">IF(AND($P352&gt;0,$O352&gt;0),$P352,0)</f>
        <v>2</v>
      </c>
      <c r="R352" s="64" t="n">
        <f aca="false">IF(AND($Q352&gt;0,$O352&gt;=AtRank),$Q352,0)</f>
        <v>2</v>
      </c>
      <c r="S352" s="64" t="n">
        <f aca="false">IF(AND($Q352&gt;0,$O352&gt;=AboveRank),$Q352,0)</f>
        <v>0</v>
      </c>
      <c r="T352" s="64" t="n">
        <f aca="false">IF($K352="Less",$P352,0)</f>
        <v>0</v>
      </c>
      <c r="U352" s="64" t="n">
        <f aca="false">IF($K352="Expected",$P352,0)</f>
        <v>0</v>
      </c>
      <c r="V352" s="64" t="n">
        <f aca="false">IF($K352="Better",$P352,0)</f>
        <v>0</v>
      </c>
      <c r="W352" s="64" t="n">
        <f aca="false">IF($K352="U – needs rule",$P352,0)</f>
        <v>0</v>
      </c>
      <c r="X352" s="64" t="n">
        <f aca="false">IF($K352="No Start (attainment only)",$P352,0)</f>
        <v>0</v>
      </c>
    </row>
    <row r="353" customFormat="false" ht="15" hidden="false" customHeight="false" outlineLevel="0" collapsed="false">
      <c r="A353" s="60" t="s">
        <v>796</v>
      </c>
      <c r="B353" s="61" t="str">
        <f aca="false">IF($M353=0,"",INDEX(Classes!$E$6:$E$420,$M353))</f>
        <v>Arabic A</v>
      </c>
      <c r="C353" s="62" t="str">
        <f aca="false">IF($M353=0,"",INDEX(Classes!$H$6:$H$420,$M353))</f>
        <v>Mr Ayman Bobo</v>
      </c>
      <c r="D353" s="61" t="str">
        <f aca="false">IF($M353=0,"",INDEX(Classes!$B$6:$B$420,$M353))</f>
        <v>Year 10</v>
      </c>
      <c r="E353" s="61" t="str">
        <f aca="false">IF($M353=0,"",INDEX(Classes!$C$6:$C$420,$M353))</f>
        <v>ip</v>
      </c>
      <c r="F353" s="63" t="s">
        <v>162</v>
      </c>
      <c r="G353" s="63" t="s">
        <v>1016</v>
      </c>
      <c r="H353" s="60"/>
      <c r="I353" s="60" t="s">
        <v>204</v>
      </c>
      <c r="J353" s="63" t="n">
        <v>1</v>
      </c>
      <c r="K353" s="61" t="str">
        <f aca="false">IF($P353=0,"",IF($F353="Baseline","— Baseline",IF($O353=0,"No result",IF($N353=0,"No Start (attainment only)",IF(OR($N353=1,$O353=1),"U – needs rule",INDEX(MxBody,MATCH($I353,MxCurr,0),MATCH($H353,MxStart,0)))))))</f>
        <v>— Baseline</v>
      </c>
      <c r="L353" s="62" t="str">
        <f aca="false">IF(COUNTA($A353,$F353,$G353,$H353,$I353,$J353)=0,"",IF($M353=0,"✖ كود الصف غير موجود",IF(ISNA(MATCH($F353,Lists!$A$2:$A$5,0)),"✖ الفترة غير صحيحة",IF(ISNA(MATCH($G353,Lists!$B$2:$B$7,0)),"✖ المجموعة غير صحيحة",IF(NOT(OR($H353="",$N353&gt;0)),"✖ Start غير صحيح",IF(NOT(OR($I353="",$I353="NR",$O353&gt;0)),"✖ Current غير صحيح",IF(NOT(IF(ISNUMBER($J353),AND($J353&gt;=0,$J353=INT($J353)),FALSE())),"✖ العدد يجب أن يكون صحيحًا ≥ 0",IF(AND($F353="Baseline",$H353&lt;&gt;""),"⚠ Baseline: Start لا يدخل في التقدم",IF($K353="No Start (attainment only)","ℹ تحصيل فقط (بدون Start)",IF($K353="U – needs rule","ℹ حالة U تحتاج قاعدة معتمدة",IF($K353="No result","ℹ بدون نتيجة (يُستبعد من التحصيل)","OK")))))))))))</f>
        <v>OK</v>
      </c>
      <c r="M353" s="64" t="n">
        <f aca="false">IF($A353="",0,IFERROR(MATCH($A353,Classes!$A$6:$A$420,0),0))</f>
        <v>299</v>
      </c>
      <c r="N353" s="64" t="n">
        <f aca="false">IF($H353="",0,IFERROR(MATCH($H353,GradeList,0),0))</f>
        <v>0</v>
      </c>
      <c r="O353" s="64" t="n">
        <f aca="false">IF(OR($I353="",$I353="NR"),0,IFERROR(MATCH($I353,GradeList,0),0))</f>
        <v>9</v>
      </c>
      <c r="P353" s="64" t="n">
        <f aca="false">IF(AND($M353&gt;0,ISNUMBER(MATCH($F353,Lists!$A$2:$A$5,0)),ISNUMBER(MATCH($G353,Lists!$B$2:$B$7,0)),OR($H353="",$N353&gt;0),OR($I353="",$I353="NR",$O353&gt;0),IF(ISNUMBER($J353),AND($J353&gt;=0,$J353=INT($J353)),FALSE())),$J353,0)</f>
        <v>1</v>
      </c>
      <c r="Q353" s="64" t="n">
        <f aca="false">IF(AND($P353&gt;0,$O353&gt;0),$P353,0)</f>
        <v>1</v>
      </c>
      <c r="R353" s="64" t="n">
        <f aca="false">IF(AND($Q353&gt;0,$O353&gt;=AtRank),$Q353,0)</f>
        <v>1</v>
      </c>
      <c r="S353" s="64" t="n">
        <f aca="false">IF(AND($Q353&gt;0,$O353&gt;=AboveRank),$Q353,0)</f>
        <v>1</v>
      </c>
      <c r="T353" s="64" t="n">
        <f aca="false">IF($K353="Less",$P353,0)</f>
        <v>0</v>
      </c>
      <c r="U353" s="64" t="n">
        <f aca="false">IF($K353="Expected",$P353,0)</f>
        <v>0</v>
      </c>
      <c r="V353" s="64" t="n">
        <f aca="false">IF($K353="Better",$P353,0)</f>
        <v>0</v>
      </c>
      <c r="W353" s="64" t="n">
        <f aca="false">IF($K353="U – needs rule",$P353,0)</f>
        <v>0</v>
      </c>
      <c r="X353" s="64" t="n">
        <f aca="false">IF($K353="No Start (attainment only)",$P353,0)</f>
        <v>0</v>
      </c>
    </row>
    <row r="354" customFormat="false" ht="15" hidden="false" customHeight="false" outlineLevel="0" collapsed="false">
      <c r="A354" s="60" t="s">
        <v>796</v>
      </c>
      <c r="B354" s="61" t="str">
        <f aca="false">IF($M354=0,"",INDEX(Classes!$E$6:$E$420,$M354))</f>
        <v>Arabic A</v>
      </c>
      <c r="C354" s="62" t="str">
        <f aca="false">IF($M354=0,"",INDEX(Classes!$H$6:$H$420,$M354))</f>
        <v>Mr Ayman Bobo</v>
      </c>
      <c r="D354" s="61" t="str">
        <f aca="false">IF($M354=0,"",INDEX(Classes!$B$6:$B$420,$M354))</f>
        <v>Year 10</v>
      </c>
      <c r="E354" s="61" t="str">
        <f aca="false">IF($M354=0,"",INDEX(Classes!$C$6:$C$420,$M354))</f>
        <v>ip</v>
      </c>
      <c r="F354" s="63" t="s">
        <v>162</v>
      </c>
      <c r="G354" s="63" t="s">
        <v>1016</v>
      </c>
      <c r="H354" s="60"/>
      <c r="I354" s="60" t="s">
        <v>205</v>
      </c>
      <c r="J354" s="63" t="n">
        <v>1</v>
      </c>
      <c r="K354" s="61" t="str">
        <f aca="false">IF($P354=0,"",IF($F354="Baseline","— Baseline",IF($O354=0,"No result",IF($N354=0,"No Start (attainment only)",IF(OR($N354=1,$O354=1),"U – needs rule",INDEX(MxBody,MATCH($I354,MxCurr,0),MATCH($H354,MxStart,0)))))))</f>
        <v>— Baseline</v>
      </c>
      <c r="L354" s="62" t="str">
        <f aca="false">IF(COUNTA($A354,$F354,$G354,$H354,$I354,$J354)=0,"",IF($M354=0,"✖ كود الصف غير موجود",IF(ISNA(MATCH($F354,Lists!$A$2:$A$5,0)),"✖ الفترة غير صحيحة",IF(ISNA(MATCH($G354,Lists!$B$2:$B$7,0)),"✖ المجموعة غير صحيحة",IF(NOT(OR($H354="",$N354&gt;0)),"✖ Start غير صحيح",IF(NOT(OR($I354="",$I354="NR",$O354&gt;0)),"✖ Current غير صحيح",IF(NOT(IF(ISNUMBER($J354),AND($J354&gt;=0,$J354=INT($J354)),FALSE())),"✖ العدد يجب أن يكون صحيحًا ≥ 0",IF(AND($F354="Baseline",$H354&lt;&gt;""),"⚠ Baseline: Start لا يدخل في التقدم",IF($K354="No Start (attainment only)","ℹ تحصيل فقط (بدون Start)",IF($K354="U – needs rule","ℹ حالة U تحتاج قاعدة معتمدة",IF($K354="No result","ℹ بدون نتيجة (يُستبعد من التحصيل)","OK")))))))))))</f>
        <v>OK</v>
      </c>
      <c r="M354" s="64" t="n">
        <f aca="false">IF($A354="",0,IFERROR(MATCH($A354,Classes!$A$6:$A$420,0),0))</f>
        <v>299</v>
      </c>
      <c r="N354" s="64" t="n">
        <f aca="false">IF($H354="",0,IFERROR(MATCH($H354,GradeList,0),0))</f>
        <v>0</v>
      </c>
      <c r="O354" s="64" t="n">
        <f aca="false">IF(OR($I354="",$I354="NR"),0,IFERROR(MATCH($I354,GradeList,0),0))</f>
        <v>10</v>
      </c>
      <c r="P354" s="64" t="n">
        <f aca="false">IF(AND($M354&gt;0,ISNUMBER(MATCH($F354,Lists!$A$2:$A$5,0)),ISNUMBER(MATCH($G354,Lists!$B$2:$B$7,0)),OR($H354="",$N354&gt;0),OR($I354="",$I354="NR",$O354&gt;0),IF(ISNUMBER($J354),AND($J354&gt;=0,$J354=INT($J354)),FALSE())),$J354,0)</f>
        <v>1</v>
      </c>
      <c r="Q354" s="64" t="n">
        <f aca="false">IF(AND($P354&gt;0,$O354&gt;0),$P354,0)</f>
        <v>1</v>
      </c>
      <c r="R354" s="64" t="n">
        <f aca="false">IF(AND($Q354&gt;0,$O354&gt;=AtRank),$Q354,0)</f>
        <v>1</v>
      </c>
      <c r="S354" s="64" t="n">
        <f aca="false">IF(AND($Q354&gt;0,$O354&gt;=AboveRank),$Q354,0)</f>
        <v>1</v>
      </c>
      <c r="T354" s="64" t="n">
        <f aca="false">IF($K354="Less",$P354,0)</f>
        <v>0</v>
      </c>
      <c r="U354" s="64" t="n">
        <f aca="false">IF($K354="Expected",$P354,0)</f>
        <v>0</v>
      </c>
      <c r="V354" s="64" t="n">
        <f aca="false">IF($K354="Better",$P354,0)</f>
        <v>0</v>
      </c>
      <c r="W354" s="64" t="n">
        <f aca="false">IF($K354="U – needs rule",$P354,0)</f>
        <v>0</v>
      </c>
      <c r="X354" s="64" t="n">
        <f aca="false">IF($K354="No Start (attainment only)",$P354,0)</f>
        <v>0</v>
      </c>
    </row>
    <row r="355" customFormat="false" ht="15" hidden="false" customHeight="false" outlineLevel="0" collapsed="false">
      <c r="A355" s="60" t="s">
        <v>796</v>
      </c>
      <c r="B355" s="61" t="str">
        <f aca="false">IF($M355=0,"",INDEX(Classes!$E$6:$E$420,$M355))</f>
        <v>Arabic A</v>
      </c>
      <c r="C355" s="62" t="str">
        <f aca="false">IF($M355=0,"",INDEX(Classes!$H$6:$H$420,$M355))</f>
        <v>Mr Ayman Bobo</v>
      </c>
      <c r="D355" s="61" t="str">
        <f aca="false">IF($M355=0,"",INDEX(Classes!$B$6:$B$420,$M355))</f>
        <v>Year 10</v>
      </c>
      <c r="E355" s="61" t="str">
        <f aca="false">IF($M355=0,"",INDEX(Classes!$C$6:$C$420,$M355))</f>
        <v>ip</v>
      </c>
      <c r="F355" s="63" t="s">
        <v>162</v>
      </c>
      <c r="G355" s="63" t="s">
        <v>1016</v>
      </c>
      <c r="H355" s="60"/>
      <c r="I355" s="60" t="s">
        <v>199</v>
      </c>
      <c r="J355" s="63" t="n">
        <v>1</v>
      </c>
      <c r="K355" s="61" t="str">
        <f aca="false">IF($P355=0,"",IF($F355="Baseline","— Baseline",IF($O355=0,"No result",IF($N355=0,"No Start (attainment only)",IF(OR($N355=1,$O355=1),"U – needs rule",INDEX(MxBody,MATCH($I355,MxCurr,0),MATCH($H355,MxStart,0)))))))</f>
        <v>— Baseline</v>
      </c>
      <c r="L355" s="62" t="str">
        <f aca="false">IF(COUNTA($A355,$F355,$G355,$H355,$I355,$J355)=0,"",IF($M355=0,"✖ كود الصف غير موجود",IF(ISNA(MATCH($F355,Lists!$A$2:$A$5,0)),"✖ الفترة غير صحيحة",IF(ISNA(MATCH($G355,Lists!$B$2:$B$7,0)),"✖ المجموعة غير صحيحة",IF(NOT(OR($H355="",$N355&gt;0)),"✖ Start غير صحيح",IF(NOT(OR($I355="",$I355="NR",$O355&gt;0)),"✖ Current غير صحيح",IF(NOT(IF(ISNUMBER($J355),AND($J355&gt;=0,$J355=INT($J355)),FALSE())),"✖ العدد يجب أن يكون صحيحًا ≥ 0",IF(AND($F355="Baseline",$H355&lt;&gt;""),"⚠ Baseline: Start لا يدخل في التقدم",IF($K355="No Start (attainment only)","ℹ تحصيل فقط (بدون Start)",IF($K355="U – needs rule","ℹ حالة U تحتاج قاعدة معتمدة",IF($K355="No result","ℹ بدون نتيجة (يُستبعد من التحصيل)","OK")))))))))))</f>
        <v>OK</v>
      </c>
      <c r="M355" s="64" t="n">
        <f aca="false">IF($A355="",0,IFERROR(MATCH($A355,Classes!$A$6:$A$420,0),0))</f>
        <v>299</v>
      </c>
      <c r="N355" s="64" t="n">
        <f aca="false">IF($H355="",0,IFERROR(MATCH($H355,GradeList,0),0))</f>
        <v>0</v>
      </c>
      <c r="O355" s="64" t="n">
        <f aca="false">IF(OR($I355="",$I355="NR"),0,IFERROR(MATCH($I355,GradeList,0),0))</f>
        <v>4</v>
      </c>
      <c r="P355" s="64" t="n">
        <f aca="false">IF(AND($M355&gt;0,ISNUMBER(MATCH($F355,Lists!$A$2:$A$5,0)),ISNUMBER(MATCH($G355,Lists!$B$2:$B$7,0)),OR($H355="",$N355&gt;0),OR($I355="",$I355="NR",$O355&gt;0),IF(ISNUMBER($J355),AND($J355&gt;=0,$J355=INT($J355)),FALSE())),$J355,0)</f>
        <v>1</v>
      </c>
      <c r="Q355" s="64" t="n">
        <f aca="false">IF(AND($P355&gt;0,$O355&gt;0),$P355,0)</f>
        <v>1</v>
      </c>
      <c r="R355" s="64" t="n">
        <f aca="false">IF(AND($Q355&gt;0,$O355&gt;=AtRank),$Q355,0)</f>
        <v>0</v>
      </c>
      <c r="S355" s="64" t="n">
        <f aca="false">IF(AND($Q355&gt;0,$O355&gt;=AboveRank),$Q355,0)</f>
        <v>0</v>
      </c>
      <c r="T355" s="64" t="n">
        <f aca="false">IF($K355="Less",$P355,0)</f>
        <v>0</v>
      </c>
      <c r="U355" s="64" t="n">
        <f aca="false">IF($K355="Expected",$P355,0)</f>
        <v>0</v>
      </c>
      <c r="V355" s="64" t="n">
        <f aca="false">IF($K355="Better",$P355,0)</f>
        <v>0</v>
      </c>
      <c r="W355" s="64" t="n">
        <f aca="false">IF($K355="U – needs rule",$P355,0)</f>
        <v>0</v>
      </c>
      <c r="X355" s="64" t="n">
        <f aca="false">IF($K355="No Start (attainment only)",$P355,0)</f>
        <v>0</v>
      </c>
    </row>
    <row r="356" customFormat="false" ht="15" hidden="false" customHeight="false" outlineLevel="0" collapsed="false">
      <c r="A356" s="60" t="s">
        <v>796</v>
      </c>
      <c r="B356" s="61" t="str">
        <f aca="false">IF($M356=0,"",INDEX(Classes!$E$6:$E$420,$M356))</f>
        <v>Arabic A</v>
      </c>
      <c r="C356" s="62" t="str">
        <f aca="false">IF($M356=0,"",INDEX(Classes!$H$6:$H$420,$M356))</f>
        <v>Mr Ayman Bobo</v>
      </c>
      <c r="D356" s="61" t="str">
        <f aca="false">IF($M356=0,"",INDEX(Classes!$B$6:$B$420,$M356))</f>
        <v>Year 10</v>
      </c>
      <c r="E356" s="61" t="str">
        <f aca="false">IF($M356=0,"",INDEX(Classes!$C$6:$C$420,$M356))</f>
        <v>ip</v>
      </c>
      <c r="F356" s="63" t="s">
        <v>162</v>
      </c>
      <c r="G356" s="63" t="s">
        <v>941</v>
      </c>
      <c r="H356" s="60"/>
      <c r="I356" s="60" t="s">
        <v>203</v>
      </c>
      <c r="J356" s="63" t="n">
        <v>2</v>
      </c>
      <c r="K356" s="61" t="str">
        <f aca="false">IF($P356=0,"",IF($F356="Baseline","— Baseline",IF($O356=0,"No result",IF($N356=0,"No Start (attainment only)",IF(OR($N356=1,$O356=1),"U – needs rule",INDEX(MxBody,MATCH($I356,MxCurr,0),MATCH($H356,MxStart,0)))))))</f>
        <v>— Baseline</v>
      </c>
      <c r="L356" s="62" t="str">
        <f aca="false">IF(COUNTA($A356,$F356,$G356,$H356,$I356,$J356)=0,"",IF($M356=0,"✖ كود الصف غير موجود",IF(ISNA(MATCH($F356,Lists!$A$2:$A$5,0)),"✖ الفترة غير صحيحة",IF(ISNA(MATCH($G356,Lists!$B$2:$B$7,0)),"✖ المجموعة غير صحيحة",IF(NOT(OR($H356="",$N356&gt;0)),"✖ Start غير صحيح",IF(NOT(OR($I356="",$I356="NR",$O356&gt;0)),"✖ Current غير صحيح",IF(NOT(IF(ISNUMBER($J356),AND($J356&gt;=0,$J356=INT($J356)),FALSE())),"✖ العدد يجب أن يكون صحيحًا ≥ 0",IF(AND($F356="Baseline",$H356&lt;&gt;""),"⚠ Baseline: Start لا يدخل في التقدم",IF($K356="No Start (attainment only)","ℹ تحصيل فقط (بدون Start)",IF($K356="U – needs rule","ℹ حالة U تحتاج قاعدة معتمدة",IF($K356="No result","ℹ بدون نتيجة (يُستبعد من التحصيل)","OK")))))))))))</f>
        <v>OK</v>
      </c>
      <c r="M356" s="64" t="n">
        <f aca="false">IF($A356="",0,IFERROR(MATCH($A356,Classes!$A$6:$A$420,0),0))</f>
        <v>299</v>
      </c>
      <c r="N356" s="64" t="n">
        <f aca="false">IF($H356="",0,IFERROR(MATCH($H356,GradeList,0),0))</f>
        <v>0</v>
      </c>
      <c r="O356" s="64" t="n">
        <f aca="false">IF(OR($I356="",$I356="NR"),0,IFERROR(MATCH($I356,GradeList,0),0))</f>
        <v>8</v>
      </c>
      <c r="P356" s="64" t="n">
        <f aca="false">IF(AND($M356&gt;0,ISNUMBER(MATCH($F356,Lists!$A$2:$A$5,0)),ISNUMBER(MATCH($G356,Lists!$B$2:$B$7,0)),OR($H356="",$N356&gt;0),OR($I356="",$I356="NR",$O356&gt;0),IF(ISNUMBER($J356),AND($J356&gt;=0,$J356=INT($J356)),FALSE())),$J356,0)</f>
        <v>2</v>
      </c>
      <c r="Q356" s="64" t="n">
        <f aca="false">IF(AND($P356&gt;0,$O356&gt;0),$P356,0)</f>
        <v>2</v>
      </c>
      <c r="R356" s="64" t="n">
        <f aca="false">IF(AND($Q356&gt;0,$O356&gt;=AtRank),$Q356,0)</f>
        <v>2</v>
      </c>
      <c r="S356" s="64" t="n">
        <f aca="false">IF(AND($Q356&gt;0,$O356&gt;=AboveRank),$Q356,0)</f>
        <v>2</v>
      </c>
      <c r="T356" s="64" t="n">
        <f aca="false">IF($K356="Less",$P356,0)</f>
        <v>0</v>
      </c>
      <c r="U356" s="64" t="n">
        <f aca="false">IF($K356="Expected",$P356,0)</f>
        <v>0</v>
      </c>
      <c r="V356" s="64" t="n">
        <f aca="false">IF($K356="Better",$P356,0)</f>
        <v>0</v>
      </c>
      <c r="W356" s="64" t="n">
        <f aca="false">IF($K356="U – needs rule",$P356,0)</f>
        <v>0</v>
      </c>
      <c r="X356" s="64" t="n">
        <f aca="false">IF($K356="No Start (attainment only)",$P356,0)</f>
        <v>0</v>
      </c>
    </row>
    <row r="357" customFormat="false" ht="15" hidden="false" customHeight="false" outlineLevel="0" collapsed="false">
      <c r="A357" s="60" t="s">
        <v>796</v>
      </c>
      <c r="B357" s="61" t="str">
        <f aca="false">IF($M357=0,"",INDEX(Classes!$E$6:$E$420,$M357))</f>
        <v>Arabic A</v>
      </c>
      <c r="C357" s="62" t="str">
        <f aca="false">IF($M357=0,"",INDEX(Classes!$H$6:$H$420,$M357))</f>
        <v>Mr Ayman Bobo</v>
      </c>
      <c r="D357" s="61" t="str">
        <f aca="false">IF($M357=0,"",INDEX(Classes!$B$6:$B$420,$M357))</f>
        <v>Year 10</v>
      </c>
      <c r="E357" s="61" t="str">
        <f aca="false">IF($M357=0,"",INDEX(Classes!$C$6:$C$420,$M357))</f>
        <v>ip</v>
      </c>
      <c r="F357" s="63" t="s">
        <v>162</v>
      </c>
      <c r="G357" s="63" t="s">
        <v>941</v>
      </c>
      <c r="H357" s="60"/>
      <c r="I357" s="60" t="s">
        <v>205</v>
      </c>
      <c r="J357" s="63" t="n">
        <v>1</v>
      </c>
      <c r="K357" s="61" t="str">
        <f aca="false">IF($P357=0,"",IF($F357="Baseline","— Baseline",IF($O357=0,"No result",IF($N357=0,"No Start (attainment only)",IF(OR($N357=1,$O357=1),"U – needs rule",INDEX(MxBody,MATCH($I357,MxCurr,0),MATCH($H357,MxStart,0)))))))</f>
        <v>— Baseline</v>
      </c>
      <c r="L357" s="62" t="str">
        <f aca="false">IF(COUNTA($A357,$F357,$G357,$H357,$I357,$J357)=0,"",IF($M357=0,"✖ كود الصف غير موجود",IF(ISNA(MATCH($F357,Lists!$A$2:$A$5,0)),"✖ الفترة غير صحيحة",IF(ISNA(MATCH($G357,Lists!$B$2:$B$7,0)),"✖ المجموعة غير صحيحة",IF(NOT(OR($H357="",$N357&gt;0)),"✖ Start غير صحيح",IF(NOT(OR($I357="",$I357="NR",$O357&gt;0)),"✖ Current غير صحيح",IF(NOT(IF(ISNUMBER($J357),AND($J357&gt;=0,$J357=INT($J357)),FALSE())),"✖ العدد يجب أن يكون صحيحًا ≥ 0",IF(AND($F357="Baseline",$H357&lt;&gt;""),"⚠ Baseline: Start لا يدخل في التقدم",IF($K357="No Start (attainment only)","ℹ تحصيل فقط (بدون Start)",IF($K357="U – needs rule","ℹ حالة U تحتاج قاعدة معتمدة",IF($K357="No result","ℹ بدون نتيجة (يُستبعد من التحصيل)","OK")))))))))))</f>
        <v>OK</v>
      </c>
      <c r="M357" s="64" t="n">
        <f aca="false">IF($A357="",0,IFERROR(MATCH($A357,Classes!$A$6:$A$420,0),0))</f>
        <v>299</v>
      </c>
      <c r="N357" s="64" t="n">
        <f aca="false">IF($H357="",0,IFERROR(MATCH($H357,GradeList,0),0))</f>
        <v>0</v>
      </c>
      <c r="O357" s="64" t="n">
        <f aca="false">IF(OR($I357="",$I357="NR"),0,IFERROR(MATCH($I357,GradeList,0),0))</f>
        <v>10</v>
      </c>
      <c r="P357" s="64" t="n">
        <f aca="false">IF(AND($M357&gt;0,ISNUMBER(MATCH($F357,Lists!$A$2:$A$5,0)),ISNUMBER(MATCH($G357,Lists!$B$2:$B$7,0)),OR($H357="",$N357&gt;0),OR($I357="",$I357="NR",$O357&gt;0),IF(ISNUMBER($J357),AND($J357&gt;=0,$J357=INT($J357)),FALSE())),$J357,0)</f>
        <v>1</v>
      </c>
      <c r="Q357" s="64" t="n">
        <f aca="false">IF(AND($P357&gt;0,$O357&gt;0),$P357,0)</f>
        <v>1</v>
      </c>
      <c r="R357" s="64" t="n">
        <f aca="false">IF(AND($Q357&gt;0,$O357&gt;=AtRank),$Q357,0)</f>
        <v>1</v>
      </c>
      <c r="S357" s="64" t="n">
        <f aca="false">IF(AND($Q357&gt;0,$O357&gt;=AboveRank),$Q357,0)</f>
        <v>1</v>
      </c>
      <c r="T357" s="64" t="n">
        <f aca="false">IF($K357="Less",$P357,0)</f>
        <v>0</v>
      </c>
      <c r="U357" s="64" t="n">
        <f aca="false">IF($K357="Expected",$P357,0)</f>
        <v>0</v>
      </c>
      <c r="V357" s="64" t="n">
        <f aca="false">IF($K357="Better",$P357,0)</f>
        <v>0</v>
      </c>
      <c r="W357" s="64" t="n">
        <f aca="false">IF($K357="U – needs rule",$P357,0)</f>
        <v>0</v>
      </c>
      <c r="X357" s="64" t="n">
        <f aca="false">IF($K357="No Start (attainment only)",$P357,0)</f>
        <v>0</v>
      </c>
    </row>
    <row r="358" customFormat="false" ht="15" hidden="false" customHeight="false" outlineLevel="0" collapsed="false">
      <c r="A358" s="60" t="s">
        <v>796</v>
      </c>
      <c r="B358" s="61" t="str">
        <f aca="false">IF($M358=0,"",INDEX(Classes!$E$6:$E$420,$M358))</f>
        <v>Arabic A</v>
      </c>
      <c r="C358" s="62" t="str">
        <f aca="false">IF($M358=0,"",INDEX(Classes!$H$6:$H$420,$M358))</f>
        <v>Mr Ayman Bobo</v>
      </c>
      <c r="D358" s="61" t="str">
        <f aca="false">IF($M358=0,"",INDEX(Classes!$B$6:$B$420,$M358))</f>
        <v>Year 10</v>
      </c>
      <c r="E358" s="61" t="str">
        <f aca="false">IF($M358=0,"",INDEX(Classes!$C$6:$C$420,$M358))</f>
        <v>ip</v>
      </c>
      <c r="F358" s="63" t="s">
        <v>162</v>
      </c>
      <c r="G358" s="63" t="s">
        <v>1017</v>
      </c>
      <c r="H358" s="60"/>
      <c r="I358" s="60" t="s">
        <v>201</v>
      </c>
      <c r="J358" s="63" t="n">
        <v>1</v>
      </c>
      <c r="K358" s="61" t="str">
        <f aca="false">IF($P358=0,"",IF($F358="Baseline","— Baseline",IF($O358=0,"No result",IF($N358=0,"No Start (attainment only)",IF(OR($N358=1,$O358=1),"U – needs rule",INDEX(MxBody,MATCH($I358,MxCurr,0),MATCH($H358,MxStart,0)))))))</f>
        <v>— Baseline</v>
      </c>
      <c r="L358" s="62" t="str">
        <f aca="false">IF(COUNTA($A358,$F358,$G358,$H358,$I358,$J358)=0,"",IF($M358=0,"✖ كود الصف غير موجود",IF(ISNA(MATCH($F358,Lists!$A$2:$A$5,0)),"✖ الفترة غير صحيحة",IF(ISNA(MATCH($G358,Lists!$B$2:$B$7,0)),"✖ المجموعة غير صحيحة",IF(NOT(OR($H358="",$N358&gt;0)),"✖ Start غير صحيح",IF(NOT(OR($I358="",$I358="NR",$O358&gt;0)),"✖ Current غير صحيح",IF(NOT(IF(ISNUMBER($J358),AND($J358&gt;=0,$J358=INT($J358)),FALSE())),"✖ العدد يجب أن يكون صحيحًا ≥ 0",IF(AND($F358="Baseline",$H358&lt;&gt;""),"⚠ Baseline: Start لا يدخل في التقدم",IF($K358="No Start (attainment only)","ℹ تحصيل فقط (بدون Start)",IF($K358="U – needs rule","ℹ حالة U تحتاج قاعدة معتمدة",IF($K358="No result","ℹ بدون نتيجة (يُستبعد من التحصيل)","OK")))))))))))</f>
        <v>OK</v>
      </c>
      <c r="M358" s="64" t="n">
        <f aca="false">IF($A358="",0,IFERROR(MATCH($A358,Classes!$A$6:$A$420,0),0))</f>
        <v>299</v>
      </c>
      <c r="N358" s="64" t="n">
        <f aca="false">IF($H358="",0,IFERROR(MATCH($H358,GradeList,0),0))</f>
        <v>0</v>
      </c>
      <c r="O358" s="64" t="n">
        <f aca="false">IF(OR($I358="",$I358="NR"),0,IFERROR(MATCH($I358,GradeList,0),0))</f>
        <v>6</v>
      </c>
      <c r="P358" s="64" t="n">
        <f aca="false">IF(AND($M358&gt;0,ISNUMBER(MATCH($F358,Lists!$A$2:$A$5,0)),ISNUMBER(MATCH($G358,Lists!$B$2:$B$7,0)),OR($H358="",$N358&gt;0),OR($I358="",$I358="NR",$O358&gt;0),IF(ISNUMBER($J358),AND($J358&gt;=0,$J358=INT($J358)),FALSE())),$J358,0)</f>
        <v>1</v>
      </c>
      <c r="Q358" s="64" t="n">
        <f aca="false">IF(AND($P358&gt;0,$O358&gt;0),$P358,0)</f>
        <v>1</v>
      </c>
      <c r="R358" s="64" t="n">
        <f aca="false">IF(AND($Q358&gt;0,$O358&gt;=AtRank),$Q358,0)</f>
        <v>1</v>
      </c>
      <c r="S358" s="64" t="n">
        <f aca="false">IF(AND($Q358&gt;0,$O358&gt;=AboveRank),$Q358,0)</f>
        <v>0</v>
      </c>
      <c r="T358" s="64" t="n">
        <f aca="false">IF($K358="Less",$P358,0)</f>
        <v>0</v>
      </c>
      <c r="U358" s="64" t="n">
        <f aca="false">IF($K358="Expected",$P358,0)</f>
        <v>0</v>
      </c>
      <c r="V358" s="64" t="n">
        <f aca="false">IF($K358="Better",$P358,0)</f>
        <v>0</v>
      </c>
      <c r="W358" s="64" t="n">
        <f aca="false">IF($K358="U – needs rule",$P358,0)</f>
        <v>0</v>
      </c>
      <c r="X358" s="64" t="n">
        <f aca="false">IF($K358="No Start (attainment only)",$P358,0)</f>
        <v>0</v>
      </c>
    </row>
    <row r="359" customFormat="false" ht="15" hidden="false" customHeight="false" outlineLevel="0" collapsed="false">
      <c r="A359" s="60" t="s">
        <v>796</v>
      </c>
      <c r="B359" s="61" t="str">
        <f aca="false">IF($M359=0,"",INDEX(Classes!$E$6:$E$420,$M359))</f>
        <v>Arabic A</v>
      </c>
      <c r="C359" s="62" t="str">
        <f aca="false">IF($M359=0,"",INDEX(Classes!$H$6:$H$420,$M359))</f>
        <v>Mr Ayman Bobo</v>
      </c>
      <c r="D359" s="61" t="str">
        <f aca="false">IF($M359=0,"",INDEX(Classes!$B$6:$B$420,$M359))</f>
        <v>Year 10</v>
      </c>
      <c r="E359" s="61" t="str">
        <f aca="false">IF($M359=0,"",INDEX(Classes!$C$6:$C$420,$M359))</f>
        <v>ip</v>
      </c>
      <c r="F359" s="63" t="s">
        <v>162</v>
      </c>
      <c r="G359" s="63" t="s">
        <v>1017</v>
      </c>
      <c r="H359" s="60"/>
      <c r="I359" s="60" t="s">
        <v>204</v>
      </c>
      <c r="J359" s="63" t="n">
        <v>1</v>
      </c>
      <c r="K359" s="61" t="str">
        <f aca="false">IF($P359=0,"",IF($F359="Baseline","— Baseline",IF($O359=0,"No result",IF($N359=0,"No Start (attainment only)",IF(OR($N359=1,$O359=1),"U – needs rule",INDEX(MxBody,MATCH($I359,MxCurr,0),MATCH($H359,MxStart,0)))))))</f>
        <v>— Baseline</v>
      </c>
      <c r="L359" s="62" t="str">
        <f aca="false">IF(COUNTA($A359,$F359,$G359,$H359,$I359,$J359)=0,"",IF($M359=0,"✖ كود الصف غير موجود",IF(ISNA(MATCH($F359,Lists!$A$2:$A$5,0)),"✖ الفترة غير صحيحة",IF(ISNA(MATCH($G359,Lists!$B$2:$B$7,0)),"✖ المجموعة غير صحيحة",IF(NOT(OR($H359="",$N359&gt;0)),"✖ Start غير صحيح",IF(NOT(OR($I359="",$I359="NR",$O359&gt;0)),"✖ Current غير صحيح",IF(NOT(IF(ISNUMBER($J359),AND($J359&gt;=0,$J359=INT($J359)),FALSE())),"✖ العدد يجب أن يكون صحيحًا ≥ 0",IF(AND($F359="Baseline",$H359&lt;&gt;""),"⚠ Baseline: Start لا يدخل في التقدم",IF($K359="No Start (attainment only)","ℹ تحصيل فقط (بدون Start)",IF($K359="U – needs rule","ℹ حالة U تحتاج قاعدة معتمدة",IF($K359="No result","ℹ بدون نتيجة (يُستبعد من التحصيل)","OK")))))))))))</f>
        <v>OK</v>
      </c>
      <c r="M359" s="64" t="n">
        <f aca="false">IF($A359="",0,IFERROR(MATCH($A359,Classes!$A$6:$A$420,0),0))</f>
        <v>299</v>
      </c>
      <c r="N359" s="64" t="n">
        <f aca="false">IF($H359="",0,IFERROR(MATCH($H359,GradeList,0),0))</f>
        <v>0</v>
      </c>
      <c r="O359" s="64" t="n">
        <f aca="false">IF(OR($I359="",$I359="NR"),0,IFERROR(MATCH($I359,GradeList,0),0))</f>
        <v>9</v>
      </c>
      <c r="P359" s="64" t="n">
        <f aca="false">IF(AND($M359&gt;0,ISNUMBER(MATCH($F359,Lists!$A$2:$A$5,0)),ISNUMBER(MATCH($G359,Lists!$B$2:$B$7,0)),OR($H359="",$N359&gt;0),OR($I359="",$I359="NR",$O359&gt;0),IF(ISNUMBER($J359),AND($J359&gt;=0,$J359=INT($J359)),FALSE())),$J359,0)</f>
        <v>1</v>
      </c>
      <c r="Q359" s="64" t="n">
        <f aca="false">IF(AND($P359&gt;0,$O359&gt;0),$P359,0)</f>
        <v>1</v>
      </c>
      <c r="R359" s="64" t="n">
        <f aca="false">IF(AND($Q359&gt;0,$O359&gt;=AtRank),$Q359,0)</f>
        <v>1</v>
      </c>
      <c r="S359" s="64" t="n">
        <f aca="false">IF(AND($Q359&gt;0,$O359&gt;=AboveRank),$Q359,0)</f>
        <v>1</v>
      </c>
      <c r="T359" s="64" t="n">
        <f aca="false">IF($K359="Less",$P359,0)</f>
        <v>0</v>
      </c>
      <c r="U359" s="64" t="n">
        <f aca="false">IF($K359="Expected",$P359,0)</f>
        <v>0</v>
      </c>
      <c r="V359" s="64" t="n">
        <f aca="false">IF($K359="Better",$P359,0)</f>
        <v>0</v>
      </c>
      <c r="W359" s="64" t="n">
        <f aca="false">IF($K359="U – needs rule",$P359,0)</f>
        <v>0</v>
      </c>
      <c r="X359" s="64" t="n">
        <f aca="false">IF($K359="No Start (attainment only)",$P359,0)</f>
        <v>0</v>
      </c>
    </row>
    <row r="360" customFormat="false" ht="15" hidden="false" customHeight="false" outlineLevel="0" collapsed="false">
      <c r="A360" s="60" t="s">
        <v>796</v>
      </c>
      <c r="B360" s="61" t="str">
        <f aca="false">IF($M360=0,"",INDEX(Classes!$E$6:$E$420,$M360))</f>
        <v>Arabic A</v>
      </c>
      <c r="C360" s="62" t="str">
        <f aca="false">IF($M360=0,"",INDEX(Classes!$H$6:$H$420,$M360))</f>
        <v>Mr Ayman Bobo</v>
      </c>
      <c r="D360" s="61" t="str">
        <f aca="false">IF($M360=0,"",INDEX(Classes!$B$6:$B$420,$M360))</f>
        <v>Year 10</v>
      </c>
      <c r="E360" s="61" t="str">
        <f aca="false">IF($M360=0,"",INDEX(Classes!$C$6:$C$420,$M360))</f>
        <v>ip</v>
      </c>
      <c r="F360" s="63" t="s">
        <v>162</v>
      </c>
      <c r="G360" s="63" t="s">
        <v>1018</v>
      </c>
      <c r="H360" s="60"/>
      <c r="I360" s="60" t="s">
        <v>202</v>
      </c>
      <c r="J360" s="63" t="n">
        <v>2</v>
      </c>
      <c r="K360" s="61" t="str">
        <f aca="false">IF($P360=0,"",IF($F360="Baseline","— Baseline",IF($O360=0,"No result",IF($N360=0,"No Start (attainment only)",IF(OR($N360=1,$O360=1),"U – needs rule",INDEX(MxBody,MATCH($I360,MxCurr,0),MATCH($H360,MxStart,0)))))))</f>
        <v>— Baseline</v>
      </c>
      <c r="L360" s="62" t="str">
        <f aca="false">IF(COUNTA($A360,$F360,$G360,$H360,$I360,$J360)=0,"",IF($M360=0,"✖ كود الصف غير موجود",IF(ISNA(MATCH($F360,Lists!$A$2:$A$5,0)),"✖ الفترة غير صحيحة",IF(ISNA(MATCH($G360,Lists!$B$2:$B$7,0)),"✖ المجموعة غير صحيحة",IF(NOT(OR($H360="",$N360&gt;0)),"✖ Start غير صحيح",IF(NOT(OR($I360="",$I360="NR",$O360&gt;0)),"✖ Current غير صحيح",IF(NOT(IF(ISNUMBER($J360),AND($J360&gt;=0,$J360=INT($J360)),FALSE())),"✖ العدد يجب أن يكون صحيحًا ≥ 0",IF(AND($F360="Baseline",$H360&lt;&gt;""),"⚠ Baseline: Start لا يدخل في التقدم",IF($K360="No Start (attainment only)","ℹ تحصيل فقط (بدون Start)",IF($K360="U – needs rule","ℹ حالة U تحتاج قاعدة معتمدة",IF($K360="No result","ℹ بدون نتيجة (يُستبعد من التحصيل)","OK")))))))))))</f>
        <v>OK</v>
      </c>
      <c r="M360" s="64" t="n">
        <f aca="false">IF($A360="",0,IFERROR(MATCH($A360,Classes!$A$6:$A$420,0),0))</f>
        <v>299</v>
      </c>
      <c r="N360" s="64" t="n">
        <f aca="false">IF($H360="",0,IFERROR(MATCH($H360,GradeList,0),0))</f>
        <v>0</v>
      </c>
      <c r="O360" s="64" t="n">
        <f aca="false">IF(OR($I360="",$I360="NR"),0,IFERROR(MATCH($I360,GradeList,0),0))</f>
        <v>7</v>
      </c>
      <c r="P360" s="64" t="n">
        <f aca="false">IF(AND($M360&gt;0,ISNUMBER(MATCH($F360,Lists!$A$2:$A$5,0)),ISNUMBER(MATCH($G360,Lists!$B$2:$B$7,0)),OR($H360="",$N360&gt;0),OR($I360="",$I360="NR",$O360&gt;0),IF(ISNUMBER($J360),AND($J360&gt;=0,$J360=INT($J360)),FALSE())),$J360,0)</f>
        <v>2</v>
      </c>
      <c r="Q360" s="64" t="n">
        <f aca="false">IF(AND($P360&gt;0,$O360&gt;0),$P360,0)</f>
        <v>2</v>
      </c>
      <c r="R360" s="64" t="n">
        <f aca="false">IF(AND($Q360&gt;0,$O360&gt;=AtRank),$Q360,0)</f>
        <v>2</v>
      </c>
      <c r="S360" s="64" t="n">
        <f aca="false">IF(AND($Q360&gt;0,$O360&gt;=AboveRank),$Q360,0)</f>
        <v>2</v>
      </c>
      <c r="T360" s="64" t="n">
        <f aca="false">IF($K360="Less",$P360,0)</f>
        <v>0</v>
      </c>
      <c r="U360" s="64" t="n">
        <f aca="false">IF($K360="Expected",$P360,0)</f>
        <v>0</v>
      </c>
      <c r="V360" s="64" t="n">
        <f aca="false">IF($K360="Better",$P360,0)</f>
        <v>0</v>
      </c>
      <c r="W360" s="64" t="n">
        <f aca="false">IF($K360="U – needs rule",$P360,0)</f>
        <v>0</v>
      </c>
      <c r="X360" s="64" t="n">
        <f aca="false">IF($K360="No Start (attainment only)",$P360,0)</f>
        <v>0</v>
      </c>
    </row>
    <row r="361" customFormat="false" ht="15" hidden="false" customHeight="false" outlineLevel="0" collapsed="false">
      <c r="A361" s="60" t="s">
        <v>796</v>
      </c>
      <c r="B361" s="61" t="str">
        <f aca="false">IF($M361=0,"",INDEX(Classes!$E$6:$E$420,$M361))</f>
        <v>Arabic A</v>
      </c>
      <c r="C361" s="62" t="str">
        <f aca="false">IF($M361=0,"",INDEX(Classes!$H$6:$H$420,$M361))</f>
        <v>Mr Ayman Bobo</v>
      </c>
      <c r="D361" s="61" t="str">
        <f aca="false">IF($M361=0,"",INDEX(Classes!$B$6:$B$420,$M361))</f>
        <v>Year 10</v>
      </c>
      <c r="E361" s="61" t="str">
        <f aca="false">IF($M361=0,"",INDEX(Classes!$C$6:$C$420,$M361))</f>
        <v>ip</v>
      </c>
      <c r="F361" s="63" t="s">
        <v>162</v>
      </c>
      <c r="G361" s="63" t="s">
        <v>1018</v>
      </c>
      <c r="H361" s="60"/>
      <c r="I361" s="60" t="s">
        <v>203</v>
      </c>
      <c r="J361" s="63" t="n">
        <v>1</v>
      </c>
      <c r="K361" s="61" t="str">
        <f aca="false">IF($P361=0,"",IF($F361="Baseline","— Baseline",IF($O361=0,"No result",IF($N361=0,"No Start (attainment only)",IF(OR($N361=1,$O361=1),"U – needs rule",INDEX(MxBody,MATCH($I361,MxCurr,0),MATCH($H361,MxStart,0)))))))</f>
        <v>— Baseline</v>
      </c>
      <c r="L361" s="62" t="str">
        <f aca="false">IF(COUNTA($A361,$F361,$G361,$H361,$I361,$J361)=0,"",IF($M361=0,"✖ كود الصف غير موجود",IF(ISNA(MATCH($F361,Lists!$A$2:$A$5,0)),"✖ الفترة غير صحيحة",IF(ISNA(MATCH($G361,Lists!$B$2:$B$7,0)),"✖ المجموعة غير صحيحة",IF(NOT(OR($H361="",$N361&gt;0)),"✖ Start غير صحيح",IF(NOT(OR($I361="",$I361="NR",$O361&gt;0)),"✖ Current غير صحيح",IF(NOT(IF(ISNUMBER($J361),AND($J361&gt;=0,$J361=INT($J361)),FALSE())),"✖ العدد يجب أن يكون صحيحًا ≥ 0",IF(AND($F361="Baseline",$H361&lt;&gt;""),"⚠ Baseline: Start لا يدخل في التقدم",IF($K361="No Start (attainment only)","ℹ تحصيل فقط (بدون Start)",IF($K361="U – needs rule","ℹ حالة U تحتاج قاعدة معتمدة",IF($K361="No result","ℹ بدون نتيجة (يُستبعد من التحصيل)","OK")))))))))))</f>
        <v>OK</v>
      </c>
      <c r="M361" s="64" t="n">
        <f aca="false">IF($A361="",0,IFERROR(MATCH($A361,Classes!$A$6:$A$420,0),0))</f>
        <v>299</v>
      </c>
      <c r="N361" s="64" t="n">
        <f aca="false">IF($H361="",0,IFERROR(MATCH($H361,GradeList,0),0))</f>
        <v>0</v>
      </c>
      <c r="O361" s="64" t="n">
        <f aca="false">IF(OR($I361="",$I361="NR"),0,IFERROR(MATCH($I361,GradeList,0),0))</f>
        <v>8</v>
      </c>
      <c r="P361" s="64" t="n">
        <f aca="false">IF(AND($M361&gt;0,ISNUMBER(MATCH($F361,Lists!$A$2:$A$5,0)),ISNUMBER(MATCH($G361,Lists!$B$2:$B$7,0)),OR($H361="",$N361&gt;0),OR($I361="",$I361="NR",$O361&gt;0),IF(ISNUMBER($J361),AND($J361&gt;=0,$J361=INT($J361)),FALSE())),$J361,0)</f>
        <v>1</v>
      </c>
      <c r="Q361" s="64" t="n">
        <f aca="false">IF(AND($P361&gt;0,$O361&gt;0),$P361,0)</f>
        <v>1</v>
      </c>
      <c r="R361" s="64" t="n">
        <f aca="false">IF(AND($Q361&gt;0,$O361&gt;=AtRank),$Q361,0)</f>
        <v>1</v>
      </c>
      <c r="S361" s="64" t="n">
        <f aca="false">IF(AND($Q361&gt;0,$O361&gt;=AboveRank),$Q361,0)</f>
        <v>1</v>
      </c>
      <c r="T361" s="64" t="n">
        <f aca="false">IF($K361="Less",$P361,0)</f>
        <v>0</v>
      </c>
      <c r="U361" s="64" t="n">
        <f aca="false">IF($K361="Expected",$P361,0)</f>
        <v>0</v>
      </c>
      <c r="V361" s="64" t="n">
        <f aca="false">IF($K361="Better",$P361,0)</f>
        <v>0</v>
      </c>
      <c r="W361" s="64" t="n">
        <f aca="false">IF($K361="U – needs rule",$P361,0)</f>
        <v>0</v>
      </c>
      <c r="X361" s="64" t="n">
        <f aca="false">IF($K361="No Start (attainment only)",$P361,0)</f>
        <v>0</v>
      </c>
    </row>
    <row r="362" customFormat="false" ht="15" hidden="false" customHeight="false" outlineLevel="0" collapsed="false">
      <c r="A362" s="60" t="s">
        <v>796</v>
      </c>
      <c r="B362" s="61" t="str">
        <f aca="false">IF($M362=0,"",INDEX(Classes!$E$6:$E$420,$M362))</f>
        <v>Arabic A</v>
      </c>
      <c r="C362" s="62" t="str">
        <f aca="false">IF($M362=0,"",INDEX(Classes!$H$6:$H$420,$M362))</f>
        <v>Mr Ayman Bobo</v>
      </c>
      <c r="D362" s="61" t="str">
        <f aca="false">IF($M362=0,"",INDEX(Classes!$B$6:$B$420,$M362))</f>
        <v>Year 10</v>
      </c>
      <c r="E362" s="61" t="str">
        <f aca="false">IF($M362=0,"",INDEX(Classes!$C$6:$C$420,$M362))</f>
        <v>ip</v>
      </c>
      <c r="F362" s="63" t="s">
        <v>162</v>
      </c>
      <c r="G362" s="63" t="s">
        <v>1018</v>
      </c>
      <c r="H362" s="60"/>
      <c r="I362" s="60" t="s">
        <v>199</v>
      </c>
      <c r="J362" s="63" t="n">
        <v>1</v>
      </c>
      <c r="K362" s="61" t="str">
        <f aca="false">IF($P362=0,"",IF($F362="Baseline","— Baseline",IF($O362=0,"No result",IF($N362=0,"No Start (attainment only)",IF(OR($N362=1,$O362=1),"U – needs rule",INDEX(MxBody,MATCH($I362,MxCurr,0),MATCH($H362,MxStart,0)))))))</f>
        <v>— Baseline</v>
      </c>
      <c r="L362" s="62" t="str">
        <f aca="false">IF(COUNTA($A362,$F362,$G362,$H362,$I362,$J362)=0,"",IF($M362=0,"✖ كود الصف غير موجود",IF(ISNA(MATCH($F362,Lists!$A$2:$A$5,0)),"✖ الفترة غير صحيحة",IF(ISNA(MATCH($G362,Lists!$B$2:$B$7,0)),"✖ المجموعة غير صحيحة",IF(NOT(OR($H362="",$N362&gt;0)),"✖ Start غير صحيح",IF(NOT(OR($I362="",$I362="NR",$O362&gt;0)),"✖ Current غير صحيح",IF(NOT(IF(ISNUMBER($J362),AND($J362&gt;=0,$J362=INT($J362)),FALSE())),"✖ العدد يجب أن يكون صحيحًا ≥ 0",IF(AND($F362="Baseline",$H362&lt;&gt;""),"⚠ Baseline: Start لا يدخل في التقدم",IF($K362="No Start (attainment only)","ℹ تحصيل فقط (بدون Start)",IF($K362="U – needs rule","ℹ حالة U تحتاج قاعدة معتمدة",IF($K362="No result","ℹ بدون نتيجة (يُستبعد من التحصيل)","OK")))))))))))</f>
        <v>OK</v>
      </c>
      <c r="M362" s="64" t="n">
        <f aca="false">IF($A362="",0,IFERROR(MATCH($A362,Classes!$A$6:$A$420,0),0))</f>
        <v>299</v>
      </c>
      <c r="N362" s="64" t="n">
        <f aca="false">IF($H362="",0,IFERROR(MATCH($H362,GradeList,0),0))</f>
        <v>0</v>
      </c>
      <c r="O362" s="64" t="n">
        <f aca="false">IF(OR($I362="",$I362="NR"),0,IFERROR(MATCH($I362,GradeList,0),0))</f>
        <v>4</v>
      </c>
      <c r="P362" s="64" t="n">
        <f aca="false">IF(AND($M362&gt;0,ISNUMBER(MATCH($F362,Lists!$A$2:$A$5,0)),ISNUMBER(MATCH($G362,Lists!$B$2:$B$7,0)),OR($H362="",$N362&gt;0),OR($I362="",$I362="NR",$O362&gt;0),IF(ISNUMBER($J362),AND($J362&gt;=0,$J362=INT($J362)),FALSE())),$J362,0)</f>
        <v>1</v>
      </c>
      <c r="Q362" s="64" t="n">
        <f aca="false">IF(AND($P362&gt;0,$O362&gt;0),$P362,0)</f>
        <v>1</v>
      </c>
      <c r="R362" s="64" t="n">
        <f aca="false">IF(AND($Q362&gt;0,$O362&gt;=AtRank),$Q362,0)</f>
        <v>0</v>
      </c>
      <c r="S362" s="64" t="n">
        <f aca="false">IF(AND($Q362&gt;0,$O362&gt;=AboveRank),$Q362,0)</f>
        <v>0</v>
      </c>
      <c r="T362" s="64" t="n">
        <f aca="false">IF($K362="Less",$P362,0)</f>
        <v>0</v>
      </c>
      <c r="U362" s="64" t="n">
        <f aca="false">IF($K362="Expected",$P362,0)</f>
        <v>0</v>
      </c>
      <c r="V362" s="64" t="n">
        <f aca="false">IF($K362="Better",$P362,0)</f>
        <v>0</v>
      </c>
      <c r="W362" s="64" t="n">
        <f aca="false">IF($K362="U – needs rule",$P362,0)</f>
        <v>0</v>
      </c>
      <c r="X362" s="64" t="n">
        <f aca="false">IF($K362="No Start (attainment only)",$P362,0)</f>
        <v>0</v>
      </c>
    </row>
    <row r="363" customFormat="false" ht="15" hidden="false" customHeight="false" outlineLevel="0" collapsed="false">
      <c r="A363" s="60" t="s">
        <v>796</v>
      </c>
      <c r="B363" s="61" t="str">
        <f aca="false">IF($M363=0,"",INDEX(Classes!$E$6:$E$420,$M363))</f>
        <v>Arabic A</v>
      </c>
      <c r="C363" s="62" t="str">
        <f aca="false">IF($M363=0,"",INDEX(Classes!$H$6:$H$420,$M363))</f>
        <v>Mr Ayman Bobo</v>
      </c>
      <c r="D363" s="61" t="str">
        <f aca="false">IF($M363=0,"",INDEX(Classes!$B$6:$B$420,$M363))</f>
        <v>Year 10</v>
      </c>
      <c r="E363" s="61" t="str">
        <f aca="false">IF($M363=0,"",INDEX(Classes!$C$6:$C$420,$M363))</f>
        <v>ip</v>
      </c>
      <c r="F363" s="63" t="s">
        <v>107</v>
      </c>
      <c r="G363" s="63" t="s">
        <v>108</v>
      </c>
      <c r="H363" s="60"/>
      <c r="I363" s="60" t="s">
        <v>203</v>
      </c>
      <c r="J363" s="63" t="n">
        <v>1</v>
      </c>
      <c r="K363" s="61" t="str">
        <f aca="false">IF($P363=0,"",IF($F363="Baseline","— Baseline",IF($O363=0,"No result",IF($N363=0,"No Start (attainment only)",IF(OR($N363=1,$O363=1),"U – needs rule",INDEX(MxBody,MATCH($I363,MxCurr,0),MATCH($H363,MxStart,0)))))))</f>
        <v>No Start (attainment only)</v>
      </c>
      <c r="L363" s="62" t="str">
        <f aca="false">IF(COUNTA($A363,$F363,$G363,$H363,$I363,$J363)=0,"",IF($M363=0,"✖ كود الصف غير موجود",IF(ISNA(MATCH($F363,Lists!$A$2:$A$5,0)),"✖ الفترة غير صحيحة",IF(ISNA(MATCH($G363,Lists!$B$2:$B$7,0)),"✖ المجموعة غير صحيحة",IF(NOT(OR($H363="",$N363&gt;0)),"✖ Start غير صحيح",IF(NOT(OR($I363="",$I363="NR",$O363&gt;0)),"✖ Current غير صحيح",IF(NOT(IF(ISNUMBER($J363),AND($J363&gt;=0,$J363=INT($J363)),FALSE())),"✖ العدد يجب أن يكون صحيحًا ≥ 0",IF(AND($F363="Baseline",$H363&lt;&gt;""),"⚠ Baseline: Start لا يدخل في التقدم",IF($K363="No Start (attainment only)","ℹ تحصيل فقط (بدون Start)",IF($K363="U – needs rule","ℹ حالة U تحتاج قاعدة معتمدة",IF($K363="No result","ℹ بدون نتيجة (يُستبعد من التحصيل)","OK")))))))))))</f>
        <v>ℹ تحصيل فقط (بدون Start)</v>
      </c>
      <c r="M363" s="64" t="n">
        <f aca="false">IF($A363="",0,IFERROR(MATCH($A363,Classes!$A$6:$A$420,0),0))</f>
        <v>299</v>
      </c>
      <c r="N363" s="64" t="n">
        <f aca="false">IF($H363="",0,IFERROR(MATCH($H363,GradeList,0),0))</f>
        <v>0</v>
      </c>
      <c r="O363" s="64" t="n">
        <f aca="false">IF(OR($I363="",$I363="NR"),0,IFERROR(MATCH($I363,GradeList,0),0))</f>
        <v>8</v>
      </c>
      <c r="P363" s="64" t="n">
        <f aca="false">IF(AND($M363&gt;0,ISNUMBER(MATCH($F363,Lists!$A$2:$A$5,0)),ISNUMBER(MATCH($G363,Lists!$B$2:$B$7,0)),OR($H363="",$N363&gt;0),OR($I363="",$I363="NR",$O363&gt;0),IF(ISNUMBER($J363),AND($J363&gt;=0,$J363=INT($J363)),FALSE())),$J363,0)</f>
        <v>1</v>
      </c>
      <c r="Q363" s="64" t="n">
        <f aca="false">IF(AND($P363&gt;0,$O363&gt;0),$P363,0)</f>
        <v>1</v>
      </c>
      <c r="R363" s="64" t="n">
        <f aca="false">IF(AND($Q363&gt;0,$O363&gt;=AtRank),$Q363,0)</f>
        <v>1</v>
      </c>
      <c r="S363" s="64" t="n">
        <f aca="false">IF(AND($Q363&gt;0,$O363&gt;=AboveRank),$Q363,0)</f>
        <v>1</v>
      </c>
      <c r="T363" s="64" t="n">
        <f aca="false">IF($K363="Less",$P363,0)</f>
        <v>0</v>
      </c>
      <c r="U363" s="64" t="n">
        <f aca="false">IF($K363="Expected",$P363,0)</f>
        <v>0</v>
      </c>
      <c r="V363" s="64" t="n">
        <f aca="false">IF($K363="Better",$P363,0)</f>
        <v>0</v>
      </c>
      <c r="W363" s="64" t="n">
        <f aca="false">IF($K363="U – needs rule",$P363,0)</f>
        <v>0</v>
      </c>
      <c r="X363" s="64" t="n">
        <f aca="false">IF($K363="No Start (attainment only)",$P363,0)</f>
        <v>1</v>
      </c>
    </row>
    <row r="364" customFormat="false" ht="15" hidden="false" customHeight="false" outlineLevel="0" collapsed="false">
      <c r="A364" s="60" t="s">
        <v>796</v>
      </c>
      <c r="B364" s="61" t="str">
        <f aca="false">IF($M364=0,"",INDEX(Classes!$E$6:$E$420,$M364))</f>
        <v>Arabic A</v>
      </c>
      <c r="C364" s="62" t="str">
        <f aca="false">IF($M364=0,"",INDEX(Classes!$H$6:$H$420,$M364))</f>
        <v>Mr Ayman Bobo</v>
      </c>
      <c r="D364" s="61" t="str">
        <f aca="false">IF($M364=0,"",INDEX(Classes!$B$6:$B$420,$M364))</f>
        <v>Year 10</v>
      </c>
      <c r="E364" s="61" t="str">
        <f aca="false">IF($M364=0,"",INDEX(Classes!$C$6:$C$420,$M364))</f>
        <v>ip</v>
      </c>
      <c r="F364" s="63" t="s">
        <v>107</v>
      </c>
      <c r="G364" s="63" t="s">
        <v>108</v>
      </c>
      <c r="H364" s="60" t="s">
        <v>202</v>
      </c>
      <c r="I364" s="60" t="s">
        <v>202</v>
      </c>
      <c r="J364" s="63" t="n">
        <v>3</v>
      </c>
      <c r="K364" s="61" t="str">
        <f aca="false">IF($P364=0,"",IF($F364="Baseline","— Baseline",IF($O364=0,"No result",IF($N364=0,"No Start (attainment only)",IF(OR($N364=1,$O364=1),"U – needs rule",INDEX(MxBody,MATCH($I364,MxCurr,0),MATCH($H364,MxStart,0)))))))</f>
        <v>Better</v>
      </c>
      <c r="L364" s="62" t="str">
        <f aca="false">IF(COUNTA($A364,$F364,$G364,$H364,$I364,$J364)=0,"",IF($M364=0,"✖ كود الصف غير موجود",IF(ISNA(MATCH($F364,Lists!$A$2:$A$5,0)),"✖ الفترة غير صحيحة",IF(ISNA(MATCH($G364,Lists!$B$2:$B$7,0)),"✖ المجموعة غير صحيحة",IF(NOT(OR($H364="",$N364&gt;0)),"✖ Start غير صحيح",IF(NOT(OR($I364="",$I364="NR",$O364&gt;0)),"✖ Current غير صحيح",IF(NOT(IF(ISNUMBER($J364),AND($J364&gt;=0,$J364=INT($J364)),FALSE())),"✖ العدد يجب أن يكون صحيحًا ≥ 0",IF(AND($F364="Baseline",$H364&lt;&gt;""),"⚠ Baseline: Start لا يدخل في التقدم",IF($K364="No Start (attainment only)","ℹ تحصيل فقط (بدون Start)",IF($K364="U – needs rule","ℹ حالة U تحتاج قاعدة معتمدة",IF($K364="No result","ℹ بدون نتيجة (يُستبعد من التحصيل)","OK")))))))))))</f>
        <v>OK</v>
      </c>
      <c r="M364" s="64" t="n">
        <f aca="false">IF($A364="",0,IFERROR(MATCH($A364,Classes!$A$6:$A$420,0),0))</f>
        <v>299</v>
      </c>
      <c r="N364" s="64" t="n">
        <f aca="false">IF($H364="",0,IFERROR(MATCH($H364,GradeList,0),0))</f>
        <v>7</v>
      </c>
      <c r="O364" s="64" t="n">
        <f aca="false">IF(OR($I364="",$I364="NR"),0,IFERROR(MATCH($I364,GradeList,0),0))</f>
        <v>7</v>
      </c>
      <c r="P364" s="64" t="n">
        <f aca="false">IF(AND($M364&gt;0,ISNUMBER(MATCH($F364,Lists!$A$2:$A$5,0)),ISNUMBER(MATCH($G364,Lists!$B$2:$B$7,0)),OR($H364="",$N364&gt;0),OR($I364="",$I364="NR",$O364&gt;0),IF(ISNUMBER($J364),AND($J364&gt;=0,$J364=INT($J364)),FALSE())),$J364,0)</f>
        <v>3</v>
      </c>
      <c r="Q364" s="64" t="n">
        <f aca="false">IF(AND($P364&gt;0,$O364&gt;0),$P364,0)</f>
        <v>3</v>
      </c>
      <c r="R364" s="64" t="n">
        <f aca="false">IF(AND($Q364&gt;0,$O364&gt;=AtRank),$Q364,0)</f>
        <v>3</v>
      </c>
      <c r="S364" s="64" t="n">
        <f aca="false">IF(AND($Q364&gt;0,$O364&gt;=AboveRank),$Q364,0)</f>
        <v>3</v>
      </c>
      <c r="T364" s="64" t="n">
        <f aca="false">IF($K364="Less",$P364,0)</f>
        <v>0</v>
      </c>
      <c r="U364" s="64" t="n">
        <f aca="false">IF($K364="Expected",$P364,0)</f>
        <v>0</v>
      </c>
      <c r="V364" s="64" t="n">
        <f aca="false">IF($K364="Better",$P364,0)</f>
        <v>3</v>
      </c>
      <c r="W364" s="64" t="n">
        <f aca="false">IF($K364="U – needs rule",$P364,0)</f>
        <v>0</v>
      </c>
      <c r="X364" s="64" t="n">
        <f aca="false">IF($K364="No Start (attainment only)",$P364,0)</f>
        <v>0</v>
      </c>
    </row>
    <row r="365" customFormat="false" ht="15" hidden="false" customHeight="false" outlineLevel="0" collapsed="false">
      <c r="A365" s="60" t="s">
        <v>796</v>
      </c>
      <c r="B365" s="61" t="str">
        <f aca="false">IF($M365=0,"",INDEX(Classes!$E$6:$E$420,$M365))</f>
        <v>Arabic A</v>
      </c>
      <c r="C365" s="62" t="str">
        <f aca="false">IF($M365=0,"",INDEX(Classes!$H$6:$H$420,$M365))</f>
        <v>Mr Ayman Bobo</v>
      </c>
      <c r="D365" s="61" t="str">
        <f aca="false">IF($M365=0,"",INDEX(Classes!$B$6:$B$420,$M365))</f>
        <v>Year 10</v>
      </c>
      <c r="E365" s="61" t="str">
        <f aca="false">IF($M365=0,"",INDEX(Classes!$C$6:$C$420,$M365))</f>
        <v>ip</v>
      </c>
      <c r="F365" s="63" t="s">
        <v>107</v>
      </c>
      <c r="G365" s="63" t="s">
        <v>108</v>
      </c>
      <c r="H365" s="60" t="s">
        <v>202</v>
      </c>
      <c r="I365" s="60" t="s">
        <v>203</v>
      </c>
      <c r="J365" s="63" t="n">
        <v>1</v>
      </c>
      <c r="K365" s="61" t="str">
        <f aca="false">IF($P365=0,"",IF($F365="Baseline","— Baseline",IF($O365=0,"No result",IF($N365=0,"No Start (attainment only)",IF(OR($N365=1,$O365=1),"U – needs rule",INDEX(MxBody,MATCH($I365,MxCurr,0),MATCH($H365,MxStart,0)))))))</f>
        <v>Better</v>
      </c>
      <c r="L365" s="62" t="str">
        <f aca="false">IF(COUNTA($A365,$F365,$G365,$H365,$I365,$J365)=0,"",IF($M365=0,"✖ كود الصف غير موجود",IF(ISNA(MATCH($F365,Lists!$A$2:$A$5,0)),"✖ الفترة غير صحيحة",IF(ISNA(MATCH($G365,Lists!$B$2:$B$7,0)),"✖ المجموعة غير صحيحة",IF(NOT(OR($H365="",$N365&gt;0)),"✖ Start غير صحيح",IF(NOT(OR($I365="",$I365="NR",$O365&gt;0)),"✖ Current غير صحيح",IF(NOT(IF(ISNUMBER($J365),AND($J365&gt;=0,$J365=INT($J365)),FALSE())),"✖ العدد يجب أن يكون صحيحًا ≥ 0",IF(AND($F365="Baseline",$H365&lt;&gt;""),"⚠ Baseline: Start لا يدخل في التقدم",IF($K365="No Start (attainment only)","ℹ تحصيل فقط (بدون Start)",IF($K365="U – needs rule","ℹ حالة U تحتاج قاعدة معتمدة",IF($K365="No result","ℹ بدون نتيجة (يُستبعد من التحصيل)","OK")))))))))))</f>
        <v>OK</v>
      </c>
      <c r="M365" s="64" t="n">
        <f aca="false">IF($A365="",0,IFERROR(MATCH($A365,Classes!$A$6:$A$420,0),0))</f>
        <v>299</v>
      </c>
      <c r="N365" s="64" t="n">
        <f aca="false">IF($H365="",0,IFERROR(MATCH($H365,GradeList,0),0))</f>
        <v>7</v>
      </c>
      <c r="O365" s="64" t="n">
        <f aca="false">IF(OR($I365="",$I365="NR"),0,IFERROR(MATCH($I365,GradeList,0),0))</f>
        <v>8</v>
      </c>
      <c r="P365" s="64" t="n">
        <f aca="false">IF(AND($M365&gt;0,ISNUMBER(MATCH($F365,Lists!$A$2:$A$5,0)),ISNUMBER(MATCH($G365,Lists!$B$2:$B$7,0)),OR($H365="",$N365&gt;0),OR($I365="",$I365="NR",$O365&gt;0),IF(ISNUMBER($J365),AND($J365&gt;=0,$J365=INT($J365)),FALSE())),$J365,0)</f>
        <v>1</v>
      </c>
      <c r="Q365" s="64" t="n">
        <f aca="false">IF(AND($P365&gt;0,$O365&gt;0),$P365,0)</f>
        <v>1</v>
      </c>
      <c r="R365" s="64" t="n">
        <f aca="false">IF(AND($Q365&gt;0,$O365&gt;=AtRank),$Q365,0)</f>
        <v>1</v>
      </c>
      <c r="S365" s="64" t="n">
        <f aca="false">IF(AND($Q365&gt;0,$O365&gt;=AboveRank),$Q365,0)</f>
        <v>1</v>
      </c>
      <c r="T365" s="64" t="n">
        <f aca="false">IF($K365="Less",$P365,0)</f>
        <v>0</v>
      </c>
      <c r="U365" s="64" t="n">
        <f aca="false">IF($K365="Expected",$P365,0)</f>
        <v>0</v>
      </c>
      <c r="V365" s="64" t="n">
        <f aca="false">IF($K365="Better",$P365,0)</f>
        <v>1</v>
      </c>
      <c r="W365" s="64" t="n">
        <f aca="false">IF($K365="U – needs rule",$P365,0)</f>
        <v>0</v>
      </c>
      <c r="X365" s="64" t="n">
        <f aca="false">IF($K365="No Start (attainment only)",$P365,0)</f>
        <v>0</v>
      </c>
    </row>
    <row r="366" customFormat="false" ht="15" hidden="false" customHeight="false" outlineLevel="0" collapsed="false">
      <c r="A366" s="60" t="s">
        <v>796</v>
      </c>
      <c r="B366" s="61" t="str">
        <f aca="false">IF($M366=0,"",INDEX(Classes!$E$6:$E$420,$M366))</f>
        <v>Arabic A</v>
      </c>
      <c r="C366" s="62" t="str">
        <f aca="false">IF($M366=0,"",INDEX(Classes!$H$6:$H$420,$M366))</f>
        <v>Mr Ayman Bobo</v>
      </c>
      <c r="D366" s="61" t="str">
        <f aca="false">IF($M366=0,"",INDEX(Classes!$B$6:$B$420,$M366))</f>
        <v>Year 10</v>
      </c>
      <c r="E366" s="61" t="str">
        <f aca="false">IF($M366=0,"",INDEX(Classes!$C$6:$C$420,$M366))</f>
        <v>ip</v>
      </c>
      <c r="F366" s="63" t="s">
        <v>107</v>
      </c>
      <c r="G366" s="63" t="s">
        <v>108</v>
      </c>
      <c r="H366" s="60" t="s">
        <v>202</v>
      </c>
      <c r="I366" s="60" t="s">
        <v>201</v>
      </c>
      <c r="J366" s="63" t="n">
        <v>2</v>
      </c>
      <c r="K366" s="61" t="str">
        <f aca="false">IF($P366=0,"",IF($F366="Baseline","— Baseline",IF($O366=0,"No result",IF($N366=0,"No Start (attainment only)",IF(OR($N366=1,$O366=1),"U – needs rule",INDEX(MxBody,MATCH($I366,MxCurr,0),MATCH($H366,MxStart,0)))))))</f>
        <v>Expected</v>
      </c>
      <c r="L366" s="62" t="str">
        <f aca="false">IF(COUNTA($A366,$F366,$G366,$H366,$I366,$J366)=0,"",IF($M366=0,"✖ كود الصف غير موجود",IF(ISNA(MATCH($F366,Lists!$A$2:$A$5,0)),"✖ الفترة غير صحيحة",IF(ISNA(MATCH($G366,Lists!$B$2:$B$7,0)),"✖ المجموعة غير صحيحة",IF(NOT(OR($H366="",$N366&gt;0)),"✖ Start غير صحيح",IF(NOT(OR($I366="",$I366="NR",$O366&gt;0)),"✖ Current غير صحيح",IF(NOT(IF(ISNUMBER($J366),AND($J366&gt;=0,$J366=INT($J366)),FALSE())),"✖ العدد يجب أن يكون صحيحًا ≥ 0",IF(AND($F366="Baseline",$H366&lt;&gt;""),"⚠ Baseline: Start لا يدخل في التقدم",IF($K366="No Start (attainment only)","ℹ تحصيل فقط (بدون Start)",IF($K366="U – needs rule","ℹ حالة U تحتاج قاعدة معتمدة",IF($K366="No result","ℹ بدون نتيجة (يُستبعد من التحصيل)","OK")))))))))))</f>
        <v>OK</v>
      </c>
      <c r="M366" s="64" t="n">
        <f aca="false">IF($A366="",0,IFERROR(MATCH($A366,Classes!$A$6:$A$420,0),0))</f>
        <v>299</v>
      </c>
      <c r="N366" s="64" t="n">
        <f aca="false">IF($H366="",0,IFERROR(MATCH($H366,GradeList,0),0))</f>
        <v>7</v>
      </c>
      <c r="O366" s="64" t="n">
        <f aca="false">IF(OR($I366="",$I366="NR"),0,IFERROR(MATCH($I366,GradeList,0),0))</f>
        <v>6</v>
      </c>
      <c r="P366" s="64" t="n">
        <f aca="false">IF(AND($M366&gt;0,ISNUMBER(MATCH($F366,Lists!$A$2:$A$5,0)),ISNUMBER(MATCH($G366,Lists!$B$2:$B$7,0)),OR($H366="",$N366&gt;0),OR($I366="",$I366="NR",$O366&gt;0),IF(ISNUMBER($J366),AND($J366&gt;=0,$J366=INT($J366)),FALSE())),$J366,0)</f>
        <v>2</v>
      </c>
      <c r="Q366" s="64" t="n">
        <f aca="false">IF(AND($P366&gt;0,$O366&gt;0),$P366,0)</f>
        <v>2</v>
      </c>
      <c r="R366" s="64" t="n">
        <f aca="false">IF(AND($Q366&gt;0,$O366&gt;=AtRank),$Q366,0)</f>
        <v>2</v>
      </c>
      <c r="S366" s="64" t="n">
        <f aca="false">IF(AND($Q366&gt;0,$O366&gt;=AboveRank),$Q366,0)</f>
        <v>0</v>
      </c>
      <c r="T366" s="64" t="n">
        <f aca="false">IF($K366="Less",$P366,0)</f>
        <v>0</v>
      </c>
      <c r="U366" s="64" t="n">
        <f aca="false">IF($K366="Expected",$P366,0)</f>
        <v>2</v>
      </c>
      <c r="V366" s="64" t="n">
        <f aca="false">IF($K366="Better",$P366,0)</f>
        <v>0</v>
      </c>
      <c r="W366" s="64" t="n">
        <f aca="false">IF($K366="U – needs rule",$P366,0)</f>
        <v>0</v>
      </c>
      <c r="X366" s="64" t="n">
        <f aca="false">IF($K366="No Start (attainment only)",$P366,0)</f>
        <v>0</v>
      </c>
    </row>
    <row r="367" customFormat="false" ht="15" hidden="false" customHeight="false" outlineLevel="0" collapsed="false">
      <c r="A367" s="60" t="s">
        <v>796</v>
      </c>
      <c r="B367" s="61" t="str">
        <f aca="false">IF($M367=0,"",INDEX(Classes!$E$6:$E$420,$M367))</f>
        <v>Arabic A</v>
      </c>
      <c r="C367" s="62" t="str">
        <f aca="false">IF($M367=0,"",INDEX(Classes!$H$6:$H$420,$M367))</f>
        <v>Mr Ayman Bobo</v>
      </c>
      <c r="D367" s="61" t="str">
        <f aca="false">IF($M367=0,"",INDEX(Classes!$B$6:$B$420,$M367))</f>
        <v>Year 10</v>
      </c>
      <c r="E367" s="61" t="str">
        <f aca="false">IF($M367=0,"",INDEX(Classes!$C$6:$C$420,$M367))</f>
        <v>ip</v>
      </c>
      <c r="F367" s="63" t="s">
        <v>107</v>
      </c>
      <c r="G367" s="63" t="s">
        <v>108</v>
      </c>
      <c r="H367" s="60" t="s">
        <v>202</v>
      </c>
      <c r="I367" s="60" t="s">
        <v>204</v>
      </c>
      <c r="J367" s="63" t="n">
        <v>2</v>
      </c>
      <c r="K367" s="61" t="str">
        <f aca="false">IF($P367=0,"",IF($F367="Baseline","— Baseline",IF($O367=0,"No result",IF($N367=0,"No Start (attainment only)",IF(OR($N367=1,$O367=1),"U – needs rule",INDEX(MxBody,MATCH($I367,MxCurr,0),MATCH($H367,MxStart,0)))))))</f>
        <v>Better</v>
      </c>
      <c r="L367" s="62" t="str">
        <f aca="false">IF(COUNTA($A367,$F367,$G367,$H367,$I367,$J367)=0,"",IF($M367=0,"✖ كود الصف غير موجود",IF(ISNA(MATCH($F367,Lists!$A$2:$A$5,0)),"✖ الفترة غير صحيحة",IF(ISNA(MATCH($G367,Lists!$B$2:$B$7,0)),"✖ المجموعة غير صحيحة",IF(NOT(OR($H367="",$N367&gt;0)),"✖ Start غير صحيح",IF(NOT(OR($I367="",$I367="NR",$O367&gt;0)),"✖ Current غير صحيح",IF(NOT(IF(ISNUMBER($J367),AND($J367&gt;=0,$J367=INT($J367)),FALSE())),"✖ العدد يجب أن يكون صحيحًا ≥ 0",IF(AND($F367="Baseline",$H367&lt;&gt;""),"⚠ Baseline: Start لا يدخل في التقدم",IF($K367="No Start (attainment only)","ℹ تحصيل فقط (بدون Start)",IF($K367="U – needs rule","ℹ حالة U تحتاج قاعدة معتمدة",IF($K367="No result","ℹ بدون نتيجة (يُستبعد من التحصيل)","OK")))))))))))</f>
        <v>OK</v>
      </c>
      <c r="M367" s="64" t="n">
        <f aca="false">IF($A367="",0,IFERROR(MATCH($A367,Classes!$A$6:$A$420,0),0))</f>
        <v>299</v>
      </c>
      <c r="N367" s="64" t="n">
        <f aca="false">IF($H367="",0,IFERROR(MATCH($H367,GradeList,0),0))</f>
        <v>7</v>
      </c>
      <c r="O367" s="64" t="n">
        <f aca="false">IF(OR($I367="",$I367="NR"),0,IFERROR(MATCH($I367,GradeList,0),0))</f>
        <v>9</v>
      </c>
      <c r="P367" s="64" t="n">
        <f aca="false">IF(AND($M367&gt;0,ISNUMBER(MATCH($F367,Lists!$A$2:$A$5,0)),ISNUMBER(MATCH($G367,Lists!$B$2:$B$7,0)),OR($H367="",$N367&gt;0),OR($I367="",$I367="NR",$O367&gt;0),IF(ISNUMBER($J367),AND($J367&gt;=0,$J367=INT($J367)),FALSE())),$J367,0)</f>
        <v>2</v>
      </c>
      <c r="Q367" s="64" t="n">
        <f aca="false">IF(AND($P367&gt;0,$O367&gt;0),$P367,0)</f>
        <v>2</v>
      </c>
      <c r="R367" s="64" t="n">
        <f aca="false">IF(AND($Q367&gt;0,$O367&gt;=AtRank),$Q367,0)</f>
        <v>2</v>
      </c>
      <c r="S367" s="64" t="n">
        <f aca="false">IF(AND($Q367&gt;0,$O367&gt;=AboveRank),$Q367,0)</f>
        <v>2</v>
      </c>
      <c r="T367" s="64" t="n">
        <f aca="false">IF($K367="Less",$P367,0)</f>
        <v>0</v>
      </c>
      <c r="U367" s="64" t="n">
        <f aca="false">IF($K367="Expected",$P367,0)</f>
        <v>0</v>
      </c>
      <c r="V367" s="64" t="n">
        <f aca="false">IF($K367="Better",$P367,0)</f>
        <v>2</v>
      </c>
      <c r="W367" s="64" t="n">
        <f aca="false">IF($K367="U – needs rule",$P367,0)</f>
        <v>0</v>
      </c>
      <c r="X367" s="64" t="n">
        <f aca="false">IF($K367="No Start (attainment only)",$P367,0)</f>
        <v>0</v>
      </c>
    </row>
    <row r="368" customFormat="false" ht="15" hidden="false" customHeight="false" outlineLevel="0" collapsed="false">
      <c r="A368" s="60" t="s">
        <v>796</v>
      </c>
      <c r="B368" s="61" t="str">
        <f aca="false">IF($M368=0,"",INDEX(Classes!$E$6:$E$420,$M368))</f>
        <v>Arabic A</v>
      </c>
      <c r="C368" s="62" t="str">
        <f aca="false">IF($M368=0,"",INDEX(Classes!$H$6:$H$420,$M368))</f>
        <v>Mr Ayman Bobo</v>
      </c>
      <c r="D368" s="61" t="str">
        <f aca="false">IF($M368=0,"",INDEX(Classes!$B$6:$B$420,$M368))</f>
        <v>Year 10</v>
      </c>
      <c r="E368" s="61" t="str">
        <f aca="false">IF($M368=0,"",INDEX(Classes!$C$6:$C$420,$M368))</f>
        <v>ip</v>
      </c>
      <c r="F368" s="63" t="s">
        <v>107</v>
      </c>
      <c r="G368" s="63" t="s">
        <v>108</v>
      </c>
      <c r="H368" s="60" t="s">
        <v>203</v>
      </c>
      <c r="I368" s="60" t="s">
        <v>203</v>
      </c>
      <c r="J368" s="63" t="n">
        <v>1</v>
      </c>
      <c r="K368" s="61" t="str">
        <f aca="false">IF($P368=0,"",IF($F368="Baseline","— Baseline",IF($O368=0,"No result",IF($N368=0,"No Start (attainment only)",IF(OR($N368=1,$O368=1),"U – needs rule",INDEX(MxBody,MATCH($I368,MxCurr,0),MATCH($H368,MxStart,0)))))))</f>
        <v>Better</v>
      </c>
      <c r="L368" s="62" t="str">
        <f aca="false">IF(COUNTA($A368,$F368,$G368,$H368,$I368,$J368)=0,"",IF($M368=0,"✖ كود الصف غير موجود",IF(ISNA(MATCH($F368,Lists!$A$2:$A$5,0)),"✖ الفترة غير صحيحة",IF(ISNA(MATCH($G368,Lists!$B$2:$B$7,0)),"✖ المجموعة غير صحيحة",IF(NOT(OR($H368="",$N368&gt;0)),"✖ Start غير صحيح",IF(NOT(OR($I368="",$I368="NR",$O368&gt;0)),"✖ Current غير صحيح",IF(NOT(IF(ISNUMBER($J368),AND($J368&gt;=0,$J368=INT($J368)),FALSE())),"✖ العدد يجب أن يكون صحيحًا ≥ 0",IF(AND($F368="Baseline",$H368&lt;&gt;""),"⚠ Baseline: Start لا يدخل في التقدم",IF($K368="No Start (attainment only)","ℹ تحصيل فقط (بدون Start)",IF($K368="U – needs rule","ℹ حالة U تحتاج قاعدة معتمدة",IF($K368="No result","ℹ بدون نتيجة (يُستبعد من التحصيل)","OK")))))))))))</f>
        <v>OK</v>
      </c>
      <c r="M368" s="64" t="n">
        <f aca="false">IF($A368="",0,IFERROR(MATCH($A368,Classes!$A$6:$A$420,0),0))</f>
        <v>299</v>
      </c>
      <c r="N368" s="64" t="n">
        <f aca="false">IF($H368="",0,IFERROR(MATCH($H368,GradeList,0),0))</f>
        <v>8</v>
      </c>
      <c r="O368" s="64" t="n">
        <f aca="false">IF(OR($I368="",$I368="NR"),0,IFERROR(MATCH($I368,GradeList,0),0))</f>
        <v>8</v>
      </c>
      <c r="P368" s="64" t="n">
        <f aca="false">IF(AND($M368&gt;0,ISNUMBER(MATCH($F368,Lists!$A$2:$A$5,0)),ISNUMBER(MATCH($G368,Lists!$B$2:$B$7,0)),OR($H368="",$N368&gt;0),OR($I368="",$I368="NR",$O368&gt;0),IF(ISNUMBER($J368),AND($J368&gt;=0,$J368=INT($J368)),FALSE())),$J368,0)</f>
        <v>1</v>
      </c>
      <c r="Q368" s="64" t="n">
        <f aca="false">IF(AND($P368&gt;0,$O368&gt;0),$P368,0)</f>
        <v>1</v>
      </c>
      <c r="R368" s="64" t="n">
        <f aca="false">IF(AND($Q368&gt;0,$O368&gt;=AtRank),$Q368,0)</f>
        <v>1</v>
      </c>
      <c r="S368" s="64" t="n">
        <f aca="false">IF(AND($Q368&gt;0,$O368&gt;=AboveRank),$Q368,0)</f>
        <v>1</v>
      </c>
      <c r="T368" s="64" t="n">
        <f aca="false">IF($K368="Less",$P368,0)</f>
        <v>0</v>
      </c>
      <c r="U368" s="64" t="n">
        <f aca="false">IF($K368="Expected",$P368,0)</f>
        <v>0</v>
      </c>
      <c r="V368" s="64" t="n">
        <f aca="false">IF($K368="Better",$P368,0)</f>
        <v>1</v>
      </c>
      <c r="W368" s="64" t="n">
        <f aca="false">IF($K368="U – needs rule",$P368,0)</f>
        <v>0</v>
      </c>
      <c r="X368" s="64" t="n">
        <f aca="false">IF($K368="No Start (attainment only)",$P368,0)</f>
        <v>0</v>
      </c>
    </row>
    <row r="369" customFormat="false" ht="15" hidden="false" customHeight="false" outlineLevel="0" collapsed="false">
      <c r="A369" s="60" t="s">
        <v>796</v>
      </c>
      <c r="B369" s="61" t="str">
        <f aca="false">IF($M369=0,"",INDEX(Classes!$E$6:$E$420,$M369))</f>
        <v>Arabic A</v>
      </c>
      <c r="C369" s="62" t="str">
        <f aca="false">IF($M369=0,"",INDEX(Classes!$H$6:$H$420,$M369))</f>
        <v>Mr Ayman Bobo</v>
      </c>
      <c r="D369" s="61" t="str">
        <f aca="false">IF($M369=0,"",INDEX(Classes!$B$6:$B$420,$M369))</f>
        <v>Year 10</v>
      </c>
      <c r="E369" s="61" t="str">
        <f aca="false">IF($M369=0,"",INDEX(Classes!$C$6:$C$420,$M369))</f>
        <v>ip</v>
      </c>
      <c r="F369" s="63" t="s">
        <v>107</v>
      </c>
      <c r="G369" s="63" t="s">
        <v>108</v>
      </c>
      <c r="H369" s="60" t="s">
        <v>203</v>
      </c>
      <c r="I369" s="60" t="s">
        <v>204</v>
      </c>
      <c r="J369" s="63" t="n">
        <v>3</v>
      </c>
      <c r="K369" s="61" t="str">
        <f aca="false">IF($P369=0,"",IF($F369="Baseline","— Baseline",IF($O369=0,"No result",IF($N369=0,"No Start (attainment only)",IF(OR($N369=1,$O369=1),"U – needs rule",INDEX(MxBody,MATCH($I369,MxCurr,0),MATCH($H369,MxStart,0)))))))</f>
        <v>Better</v>
      </c>
      <c r="L369" s="62" t="str">
        <f aca="false">IF(COUNTA($A369,$F369,$G369,$H369,$I369,$J369)=0,"",IF($M369=0,"✖ كود الصف غير موجود",IF(ISNA(MATCH($F369,Lists!$A$2:$A$5,0)),"✖ الفترة غير صحيحة",IF(ISNA(MATCH($G369,Lists!$B$2:$B$7,0)),"✖ المجموعة غير صحيحة",IF(NOT(OR($H369="",$N369&gt;0)),"✖ Start غير صحيح",IF(NOT(OR($I369="",$I369="NR",$O369&gt;0)),"✖ Current غير صحيح",IF(NOT(IF(ISNUMBER($J369),AND($J369&gt;=0,$J369=INT($J369)),FALSE())),"✖ العدد يجب أن يكون صحيحًا ≥ 0",IF(AND($F369="Baseline",$H369&lt;&gt;""),"⚠ Baseline: Start لا يدخل في التقدم",IF($K369="No Start (attainment only)","ℹ تحصيل فقط (بدون Start)",IF($K369="U – needs rule","ℹ حالة U تحتاج قاعدة معتمدة",IF($K369="No result","ℹ بدون نتيجة (يُستبعد من التحصيل)","OK")))))))))))</f>
        <v>OK</v>
      </c>
      <c r="M369" s="64" t="n">
        <f aca="false">IF($A369="",0,IFERROR(MATCH($A369,Classes!$A$6:$A$420,0),0))</f>
        <v>299</v>
      </c>
      <c r="N369" s="64" t="n">
        <f aca="false">IF($H369="",0,IFERROR(MATCH($H369,GradeList,0),0))</f>
        <v>8</v>
      </c>
      <c r="O369" s="64" t="n">
        <f aca="false">IF(OR($I369="",$I369="NR"),0,IFERROR(MATCH($I369,GradeList,0),0))</f>
        <v>9</v>
      </c>
      <c r="P369" s="64" t="n">
        <f aca="false">IF(AND($M369&gt;0,ISNUMBER(MATCH($F369,Lists!$A$2:$A$5,0)),ISNUMBER(MATCH($G369,Lists!$B$2:$B$7,0)),OR($H369="",$N369&gt;0),OR($I369="",$I369="NR",$O369&gt;0),IF(ISNUMBER($J369),AND($J369&gt;=0,$J369=INT($J369)),FALSE())),$J369,0)</f>
        <v>3</v>
      </c>
      <c r="Q369" s="64" t="n">
        <f aca="false">IF(AND($P369&gt;0,$O369&gt;0),$P369,0)</f>
        <v>3</v>
      </c>
      <c r="R369" s="64" t="n">
        <f aca="false">IF(AND($Q369&gt;0,$O369&gt;=AtRank),$Q369,0)</f>
        <v>3</v>
      </c>
      <c r="S369" s="64" t="n">
        <f aca="false">IF(AND($Q369&gt;0,$O369&gt;=AboveRank),$Q369,0)</f>
        <v>3</v>
      </c>
      <c r="T369" s="64" t="n">
        <f aca="false">IF($K369="Less",$P369,0)</f>
        <v>0</v>
      </c>
      <c r="U369" s="64" t="n">
        <f aca="false">IF($K369="Expected",$P369,0)</f>
        <v>0</v>
      </c>
      <c r="V369" s="64" t="n">
        <f aca="false">IF($K369="Better",$P369,0)</f>
        <v>3</v>
      </c>
      <c r="W369" s="64" t="n">
        <f aca="false">IF($K369="U – needs rule",$P369,0)</f>
        <v>0</v>
      </c>
      <c r="X369" s="64" t="n">
        <f aca="false">IF($K369="No Start (attainment only)",$P369,0)</f>
        <v>0</v>
      </c>
    </row>
    <row r="370" customFormat="false" ht="15" hidden="false" customHeight="false" outlineLevel="0" collapsed="false">
      <c r="A370" s="60" t="s">
        <v>796</v>
      </c>
      <c r="B370" s="61" t="str">
        <f aca="false">IF($M370=0,"",INDEX(Classes!$E$6:$E$420,$M370))</f>
        <v>Arabic A</v>
      </c>
      <c r="C370" s="62" t="str">
        <f aca="false">IF($M370=0,"",INDEX(Classes!$H$6:$H$420,$M370))</f>
        <v>Mr Ayman Bobo</v>
      </c>
      <c r="D370" s="61" t="str">
        <f aca="false">IF($M370=0,"",INDEX(Classes!$B$6:$B$420,$M370))</f>
        <v>Year 10</v>
      </c>
      <c r="E370" s="61" t="str">
        <f aca="false">IF($M370=0,"",INDEX(Classes!$C$6:$C$420,$M370))</f>
        <v>ip</v>
      </c>
      <c r="F370" s="63" t="s">
        <v>107</v>
      </c>
      <c r="G370" s="63" t="s">
        <v>108</v>
      </c>
      <c r="H370" s="60" t="s">
        <v>203</v>
      </c>
      <c r="I370" s="60" t="s">
        <v>205</v>
      </c>
      <c r="J370" s="63" t="n">
        <v>1</v>
      </c>
      <c r="K370" s="61" t="str">
        <f aca="false">IF($P370=0,"",IF($F370="Baseline","— Baseline",IF($O370=0,"No result",IF($N370=0,"No Start (attainment only)",IF(OR($N370=1,$O370=1),"U – needs rule",INDEX(MxBody,MATCH($I370,MxCurr,0),MATCH($H370,MxStart,0)))))))</f>
        <v>Better</v>
      </c>
      <c r="L370" s="62" t="str">
        <f aca="false">IF(COUNTA($A370,$F370,$G370,$H370,$I370,$J370)=0,"",IF($M370=0,"✖ كود الصف غير موجود",IF(ISNA(MATCH($F370,Lists!$A$2:$A$5,0)),"✖ الفترة غير صحيحة",IF(ISNA(MATCH($G370,Lists!$B$2:$B$7,0)),"✖ المجموعة غير صحيحة",IF(NOT(OR($H370="",$N370&gt;0)),"✖ Start غير صحيح",IF(NOT(OR($I370="",$I370="NR",$O370&gt;0)),"✖ Current غير صحيح",IF(NOT(IF(ISNUMBER($J370),AND($J370&gt;=0,$J370=INT($J370)),FALSE())),"✖ العدد يجب أن يكون صحيحًا ≥ 0",IF(AND($F370="Baseline",$H370&lt;&gt;""),"⚠ Baseline: Start لا يدخل في التقدم",IF($K370="No Start (attainment only)","ℹ تحصيل فقط (بدون Start)",IF($K370="U – needs rule","ℹ حالة U تحتاج قاعدة معتمدة",IF($K370="No result","ℹ بدون نتيجة (يُستبعد من التحصيل)","OK")))))))))))</f>
        <v>OK</v>
      </c>
      <c r="M370" s="64" t="n">
        <f aca="false">IF($A370="",0,IFERROR(MATCH($A370,Classes!$A$6:$A$420,0),0))</f>
        <v>299</v>
      </c>
      <c r="N370" s="64" t="n">
        <f aca="false">IF($H370="",0,IFERROR(MATCH($H370,GradeList,0),0))</f>
        <v>8</v>
      </c>
      <c r="O370" s="64" t="n">
        <f aca="false">IF(OR($I370="",$I370="NR"),0,IFERROR(MATCH($I370,GradeList,0),0))</f>
        <v>10</v>
      </c>
      <c r="P370" s="64" t="n">
        <f aca="false">IF(AND($M370&gt;0,ISNUMBER(MATCH($F370,Lists!$A$2:$A$5,0)),ISNUMBER(MATCH($G370,Lists!$B$2:$B$7,0)),OR($H370="",$N370&gt;0),OR($I370="",$I370="NR",$O370&gt;0),IF(ISNUMBER($J370),AND($J370&gt;=0,$J370=INT($J370)),FALSE())),$J370,0)</f>
        <v>1</v>
      </c>
      <c r="Q370" s="64" t="n">
        <f aca="false">IF(AND($P370&gt;0,$O370&gt;0),$P370,0)</f>
        <v>1</v>
      </c>
      <c r="R370" s="64" t="n">
        <f aca="false">IF(AND($Q370&gt;0,$O370&gt;=AtRank),$Q370,0)</f>
        <v>1</v>
      </c>
      <c r="S370" s="64" t="n">
        <f aca="false">IF(AND($Q370&gt;0,$O370&gt;=AboveRank),$Q370,0)</f>
        <v>1</v>
      </c>
      <c r="T370" s="64" t="n">
        <f aca="false">IF($K370="Less",$P370,0)</f>
        <v>0</v>
      </c>
      <c r="U370" s="64" t="n">
        <f aca="false">IF($K370="Expected",$P370,0)</f>
        <v>0</v>
      </c>
      <c r="V370" s="64" t="n">
        <f aca="false">IF($K370="Better",$P370,0)</f>
        <v>1</v>
      </c>
      <c r="W370" s="64" t="n">
        <f aca="false">IF($K370="U – needs rule",$P370,0)</f>
        <v>0</v>
      </c>
      <c r="X370" s="64" t="n">
        <f aca="false">IF($K370="No Start (attainment only)",$P370,0)</f>
        <v>0</v>
      </c>
    </row>
    <row r="371" customFormat="false" ht="15" hidden="false" customHeight="false" outlineLevel="0" collapsed="false">
      <c r="A371" s="60" t="s">
        <v>796</v>
      </c>
      <c r="B371" s="61" t="str">
        <f aca="false">IF($M371=0,"",INDEX(Classes!$E$6:$E$420,$M371))</f>
        <v>Arabic A</v>
      </c>
      <c r="C371" s="62" t="str">
        <f aca="false">IF($M371=0,"",INDEX(Classes!$H$6:$H$420,$M371))</f>
        <v>Mr Ayman Bobo</v>
      </c>
      <c r="D371" s="61" t="str">
        <f aca="false">IF($M371=0,"",INDEX(Classes!$B$6:$B$420,$M371))</f>
        <v>Year 10</v>
      </c>
      <c r="E371" s="61" t="str">
        <f aca="false">IF($M371=0,"",INDEX(Classes!$C$6:$C$420,$M371))</f>
        <v>ip</v>
      </c>
      <c r="F371" s="63" t="s">
        <v>107</v>
      </c>
      <c r="G371" s="63" t="s">
        <v>108</v>
      </c>
      <c r="H371" s="60" t="s">
        <v>200</v>
      </c>
      <c r="I371" s="60" t="s">
        <v>199</v>
      </c>
      <c r="J371" s="63" t="n">
        <v>1</v>
      </c>
      <c r="K371" s="61" t="str">
        <f aca="false">IF($P371=0,"",IF($F371="Baseline","— Baseline",IF($O371=0,"No result",IF($N371=0,"No Start (attainment only)",IF(OR($N371=1,$O371=1),"U – needs rule",INDEX(MxBody,MATCH($I371,MxCurr,0),MATCH($H371,MxStart,0)))))))</f>
        <v>Less</v>
      </c>
      <c r="L371" s="62" t="str">
        <f aca="false">IF(COUNTA($A371,$F371,$G371,$H371,$I371,$J371)=0,"",IF($M371=0,"✖ كود الصف غير موجود",IF(ISNA(MATCH($F371,Lists!$A$2:$A$5,0)),"✖ الفترة غير صحيحة",IF(ISNA(MATCH($G371,Lists!$B$2:$B$7,0)),"✖ المجموعة غير صحيحة",IF(NOT(OR($H371="",$N371&gt;0)),"✖ Start غير صحيح",IF(NOT(OR($I371="",$I371="NR",$O371&gt;0)),"✖ Current غير صحيح",IF(NOT(IF(ISNUMBER($J371),AND($J371&gt;=0,$J371=INT($J371)),FALSE())),"✖ العدد يجب أن يكون صحيحًا ≥ 0",IF(AND($F371="Baseline",$H371&lt;&gt;""),"⚠ Baseline: Start لا يدخل في التقدم",IF($K371="No Start (attainment only)","ℹ تحصيل فقط (بدون Start)",IF($K371="U – needs rule","ℹ حالة U تحتاج قاعدة معتمدة",IF($K371="No result","ℹ بدون نتيجة (يُستبعد من التحصيل)","OK")))))))))))</f>
        <v>OK</v>
      </c>
      <c r="M371" s="64" t="n">
        <f aca="false">IF($A371="",0,IFERROR(MATCH($A371,Classes!$A$6:$A$420,0),0))</f>
        <v>299</v>
      </c>
      <c r="N371" s="64" t="n">
        <f aca="false">IF($H371="",0,IFERROR(MATCH($H371,GradeList,0),0))</f>
        <v>5</v>
      </c>
      <c r="O371" s="64" t="n">
        <f aca="false">IF(OR($I371="",$I371="NR"),0,IFERROR(MATCH($I371,GradeList,0),0))</f>
        <v>4</v>
      </c>
      <c r="P371" s="64" t="n">
        <f aca="false">IF(AND($M371&gt;0,ISNUMBER(MATCH($F371,Lists!$A$2:$A$5,0)),ISNUMBER(MATCH($G371,Lists!$B$2:$B$7,0)),OR($H371="",$N371&gt;0),OR($I371="",$I371="NR",$O371&gt;0),IF(ISNUMBER($J371),AND($J371&gt;=0,$J371=INT($J371)),FALSE())),$J371,0)</f>
        <v>1</v>
      </c>
      <c r="Q371" s="64" t="n">
        <f aca="false">IF(AND($P371&gt;0,$O371&gt;0),$P371,0)</f>
        <v>1</v>
      </c>
      <c r="R371" s="64" t="n">
        <f aca="false">IF(AND($Q371&gt;0,$O371&gt;=AtRank),$Q371,0)</f>
        <v>0</v>
      </c>
      <c r="S371" s="64" t="n">
        <f aca="false">IF(AND($Q371&gt;0,$O371&gt;=AboveRank),$Q371,0)</f>
        <v>0</v>
      </c>
      <c r="T371" s="64" t="n">
        <f aca="false">IF($K371="Less",$P371,0)</f>
        <v>1</v>
      </c>
      <c r="U371" s="64" t="n">
        <f aca="false">IF($K371="Expected",$P371,0)</f>
        <v>0</v>
      </c>
      <c r="V371" s="64" t="n">
        <f aca="false">IF($K371="Better",$P371,0)</f>
        <v>0</v>
      </c>
      <c r="W371" s="64" t="n">
        <f aca="false">IF($K371="U – needs rule",$P371,0)</f>
        <v>0</v>
      </c>
      <c r="X371" s="64" t="n">
        <f aca="false">IF($K371="No Start (attainment only)",$P371,0)</f>
        <v>0</v>
      </c>
    </row>
    <row r="372" customFormat="false" ht="15" hidden="false" customHeight="false" outlineLevel="0" collapsed="false">
      <c r="A372" s="60" t="s">
        <v>796</v>
      </c>
      <c r="B372" s="61" t="str">
        <f aca="false">IF($M372=0,"",INDEX(Classes!$E$6:$E$420,$M372))</f>
        <v>Arabic A</v>
      </c>
      <c r="C372" s="62" t="str">
        <f aca="false">IF($M372=0,"",INDEX(Classes!$H$6:$H$420,$M372))</f>
        <v>Mr Ayman Bobo</v>
      </c>
      <c r="D372" s="61" t="str">
        <f aca="false">IF($M372=0,"",INDEX(Classes!$B$6:$B$420,$M372))</f>
        <v>Year 10</v>
      </c>
      <c r="E372" s="61" t="str">
        <f aca="false">IF($M372=0,"",INDEX(Classes!$C$6:$C$420,$M372))</f>
        <v>ip</v>
      </c>
      <c r="F372" s="63" t="s">
        <v>107</v>
      </c>
      <c r="G372" s="63" t="s">
        <v>108</v>
      </c>
      <c r="H372" s="60" t="s">
        <v>200</v>
      </c>
      <c r="I372" s="60" t="s">
        <v>196</v>
      </c>
      <c r="J372" s="63" t="n">
        <v>1</v>
      </c>
      <c r="K372" s="61" t="str">
        <f aca="false">IF($P372=0,"",IF($F372="Baseline","— Baseline",IF($O372=0,"No result",IF($N372=0,"No Start (attainment only)",IF(OR($N372=1,$O372=1),"U – needs rule",INDEX(MxBody,MATCH($I372,MxCurr,0),MATCH($H372,MxStart,0)))))))</f>
        <v>U – needs rule</v>
      </c>
      <c r="L372" s="62" t="str">
        <f aca="false">IF(COUNTA($A372,$F372,$G372,$H372,$I372,$J372)=0,"",IF($M372=0,"✖ كود الصف غير موجود",IF(ISNA(MATCH($F372,Lists!$A$2:$A$5,0)),"✖ الفترة غير صحيحة",IF(ISNA(MATCH($G372,Lists!$B$2:$B$7,0)),"✖ المجموعة غير صحيحة",IF(NOT(OR($H372="",$N372&gt;0)),"✖ Start غير صحيح",IF(NOT(OR($I372="",$I372="NR",$O372&gt;0)),"✖ Current غير صحيح",IF(NOT(IF(ISNUMBER($J372),AND($J372&gt;=0,$J372=INT($J372)),FALSE())),"✖ العدد يجب أن يكون صحيحًا ≥ 0",IF(AND($F372="Baseline",$H372&lt;&gt;""),"⚠ Baseline: Start لا يدخل في التقدم",IF($K372="No Start (attainment only)","ℹ تحصيل فقط (بدون Start)",IF($K372="U – needs rule","ℹ حالة U تحتاج قاعدة معتمدة",IF($K372="No result","ℹ بدون نتيجة (يُستبعد من التحصيل)","OK")))))))))))</f>
        <v>ℹ حالة U تحتاج قاعدة معتمدة</v>
      </c>
      <c r="M372" s="64" t="n">
        <f aca="false">IF($A372="",0,IFERROR(MATCH($A372,Classes!$A$6:$A$420,0),0))</f>
        <v>299</v>
      </c>
      <c r="N372" s="64" t="n">
        <f aca="false">IF($H372="",0,IFERROR(MATCH($H372,GradeList,0),0))</f>
        <v>5</v>
      </c>
      <c r="O372" s="64" t="n">
        <f aca="false">IF(OR($I372="",$I372="NR"),0,IFERROR(MATCH($I372,GradeList,0),0))</f>
        <v>1</v>
      </c>
      <c r="P372" s="64" t="n">
        <f aca="false">IF(AND($M372&gt;0,ISNUMBER(MATCH($F372,Lists!$A$2:$A$5,0)),ISNUMBER(MATCH($G372,Lists!$B$2:$B$7,0)),OR($H372="",$N372&gt;0),OR($I372="",$I372="NR",$O372&gt;0),IF(ISNUMBER($J372),AND($J372&gt;=0,$J372=INT($J372)),FALSE())),$J372,0)</f>
        <v>1</v>
      </c>
      <c r="Q372" s="64" t="n">
        <f aca="false">IF(AND($P372&gt;0,$O372&gt;0),$P372,0)</f>
        <v>1</v>
      </c>
      <c r="R372" s="64" t="n">
        <f aca="false">IF(AND($Q372&gt;0,$O372&gt;=AtRank),$Q372,0)</f>
        <v>0</v>
      </c>
      <c r="S372" s="64" t="n">
        <f aca="false">IF(AND($Q372&gt;0,$O372&gt;=AboveRank),$Q372,0)</f>
        <v>0</v>
      </c>
      <c r="T372" s="64" t="n">
        <f aca="false">IF($K372="Less",$P372,0)</f>
        <v>0</v>
      </c>
      <c r="U372" s="64" t="n">
        <f aca="false">IF($K372="Expected",$P372,0)</f>
        <v>0</v>
      </c>
      <c r="V372" s="64" t="n">
        <f aca="false">IF($K372="Better",$P372,0)</f>
        <v>0</v>
      </c>
      <c r="W372" s="64" t="n">
        <f aca="false">IF($K372="U – needs rule",$P372,0)</f>
        <v>1</v>
      </c>
      <c r="X372" s="64" t="n">
        <f aca="false">IF($K372="No Start (attainment only)",$P372,0)</f>
        <v>0</v>
      </c>
    </row>
    <row r="373" customFormat="false" ht="15" hidden="false" customHeight="false" outlineLevel="0" collapsed="false">
      <c r="A373" s="60" t="s">
        <v>796</v>
      </c>
      <c r="B373" s="61" t="str">
        <f aca="false">IF($M373=0,"",INDEX(Classes!$E$6:$E$420,$M373))</f>
        <v>Arabic A</v>
      </c>
      <c r="C373" s="62" t="str">
        <f aca="false">IF($M373=0,"",INDEX(Classes!$H$6:$H$420,$M373))</f>
        <v>Mr Ayman Bobo</v>
      </c>
      <c r="D373" s="61" t="str">
        <f aca="false">IF($M373=0,"",INDEX(Classes!$B$6:$B$420,$M373))</f>
        <v>Year 10</v>
      </c>
      <c r="E373" s="61" t="str">
        <f aca="false">IF($M373=0,"",INDEX(Classes!$C$6:$C$420,$M373))</f>
        <v>ip</v>
      </c>
      <c r="F373" s="63" t="s">
        <v>107</v>
      </c>
      <c r="G373" s="63" t="s">
        <v>108</v>
      </c>
      <c r="H373" s="60" t="s">
        <v>201</v>
      </c>
      <c r="I373" s="60" t="s">
        <v>203</v>
      </c>
      <c r="J373" s="63" t="n">
        <v>2</v>
      </c>
      <c r="K373" s="61" t="str">
        <f aca="false">IF($P373=0,"",IF($F373="Baseline","— Baseline",IF($O373=0,"No result",IF($N373=0,"No Start (attainment only)",IF(OR($N373=1,$O373=1),"U – needs rule",INDEX(MxBody,MATCH($I373,MxCurr,0),MATCH($H373,MxStart,0)))))))</f>
        <v>Better</v>
      </c>
      <c r="L373" s="62" t="str">
        <f aca="false">IF(COUNTA($A373,$F373,$G373,$H373,$I373,$J373)=0,"",IF($M373=0,"✖ كود الصف غير موجود",IF(ISNA(MATCH($F373,Lists!$A$2:$A$5,0)),"✖ الفترة غير صحيحة",IF(ISNA(MATCH($G373,Lists!$B$2:$B$7,0)),"✖ المجموعة غير صحيحة",IF(NOT(OR($H373="",$N373&gt;0)),"✖ Start غير صحيح",IF(NOT(OR($I373="",$I373="NR",$O373&gt;0)),"✖ Current غير صحيح",IF(NOT(IF(ISNUMBER($J373),AND($J373&gt;=0,$J373=INT($J373)),FALSE())),"✖ العدد يجب أن يكون صحيحًا ≥ 0",IF(AND($F373="Baseline",$H373&lt;&gt;""),"⚠ Baseline: Start لا يدخل في التقدم",IF($K373="No Start (attainment only)","ℹ تحصيل فقط (بدون Start)",IF($K373="U – needs rule","ℹ حالة U تحتاج قاعدة معتمدة",IF($K373="No result","ℹ بدون نتيجة (يُستبعد من التحصيل)","OK")))))))))))</f>
        <v>OK</v>
      </c>
      <c r="M373" s="64" t="n">
        <f aca="false">IF($A373="",0,IFERROR(MATCH($A373,Classes!$A$6:$A$420,0),0))</f>
        <v>299</v>
      </c>
      <c r="N373" s="64" t="n">
        <f aca="false">IF($H373="",0,IFERROR(MATCH($H373,GradeList,0),0))</f>
        <v>6</v>
      </c>
      <c r="O373" s="64" t="n">
        <f aca="false">IF(OR($I373="",$I373="NR"),0,IFERROR(MATCH($I373,GradeList,0),0))</f>
        <v>8</v>
      </c>
      <c r="P373" s="64" t="n">
        <f aca="false">IF(AND($M373&gt;0,ISNUMBER(MATCH($F373,Lists!$A$2:$A$5,0)),ISNUMBER(MATCH($G373,Lists!$B$2:$B$7,0)),OR($H373="",$N373&gt;0),OR($I373="",$I373="NR",$O373&gt;0),IF(ISNUMBER($J373),AND($J373&gt;=0,$J373=INT($J373)),FALSE())),$J373,0)</f>
        <v>2</v>
      </c>
      <c r="Q373" s="64" t="n">
        <f aca="false">IF(AND($P373&gt;0,$O373&gt;0),$P373,0)</f>
        <v>2</v>
      </c>
      <c r="R373" s="64" t="n">
        <f aca="false">IF(AND($Q373&gt;0,$O373&gt;=AtRank),$Q373,0)</f>
        <v>2</v>
      </c>
      <c r="S373" s="64" t="n">
        <f aca="false">IF(AND($Q373&gt;0,$O373&gt;=AboveRank),$Q373,0)</f>
        <v>2</v>
      </c>
      <c r="T373" s="64" t="n">
        <f aca="false">IF($K373="Less",$P373,0)</f>
        <v>0</v>
      </c>
      <c r="U373" s="64" t="n">
        <f aca="false">IF($K373="Expected",$P373,0)</f>
        <v>0</v>
      </c>
      <c r="V373" s="64" t="n">
        <f aca="false">IF($K373="Better",$P373,0)</f>
        <v>2</v>
      </c>
      <c r="W373" s="64" t="n">
        <f aca="false">IF($K373="U – needs rule",$P373,0)</f>
        <v>0</v>
      </c>
      <c r="X373" s="64" t="n">
        <f aca="false">IF($K373="No Start (attainment only)",$P373,0)</f>
        <v>0</v>
      </c>
    </row>
    <row r="374" customFormat="false" ht="15" hidden="false" customHeight="false" outlineLevel="0" collapsed="false">
      <c r="A374" s="60" t="s">
        <v>796</v>
      </c>
      <c r="B374" s="61" t="str">
        <f aca="false">IF($M374=0,"",INDEX(Classes!$E$6:$E$420,$M374))</f>
        <v>Arabic A</v>
      </c>
      <c r="C374" s="62" t="str">
        <f aca="false">IF($M374=0,"",INDEX(Classes!$H$6:$H$420,$M374))</f>
        <v>Mr Ayman Bobo</v>
      </c>
      <c r="D374" s="61" t="str">
        <f aca="false">IF($M374=0,"",INDEX(Classes!$B$6:$B$420,$M374))</f>
        <v>Year 10</v>
      </c>
      <c r="E374" s="61" t="str">
        <f aca="false">IF($M374=0,"",INDEX(Classes!$C$6:$C$420,$M374))</f>
        <v>ip</v>
      </c>
      <c r="F374" s="63" t="s">
        <v>107</v>
      </c>
      <c r="G374" s="63" t="s">
        <v>108</v>
      </c>
      <c r="H374" s="60" t="s">
        <v>201</v>
      </c>
      <c r="I374" s="60" t="s">
        <v>1019</v>
      </c>
      <c r="J374" s="63" t="n">
        <v>1</v>
      </c>
      <c r="K374" s="61" t="str">
        <f aca="false">IF($P374=0,"",IF($F374="Baseline","— Baseline",IF($O374=0,"No result",IF($N374=0,"No Start (attainment only)",IF(OR($N374=1,$O374=1),"U – needs rule",INDEX(MxBody,MATCH($I374,MxCurr,0),MATCH($H374,MxStart,0)))))))</f>
        <v>No result</v>
      </c>
      <c r="L374" s="62" t="str">
        <f aca="false">IF(COUNTA($A374,$F374,$G374,$H374,$I374,$J374)=0,"",IF($M374=0,"✖ كود الصف غير موجود",IF(ISNA(MATCH($F374,Lists!$A$2:$A$5,0)),"✖ الفترة غير صحيحة",IF(ISNA(MATCH($G374,Lists!$B$2:$B$7,0)),"✖ المجموعة غير صحيحة",IF(NOT(OR($H374="",$N374&gt;0)),"✖ Start غير صحيح",IF(NOT(OR($I374="",$I374="NR",$O374&gt;0)),"✖ Current غير صحيح",IF(NOT(IF(ISNUMBER($J374),AND($J374&gt;=0,$J374=INT($J374)),FALSE())),"✖ العدد يجب أن يكون صحيحًا ≥ 0",IF(AND($F374="Baseline",$H374&lt;&gt;""),"⚠ Baseline: Start لا يدخل في التقدم",IF($K374="No Start (attainment only)","ℹ تحصيل فقط (بدون Start)",IF($K374="U – needs rule","ℹ حالة U تحتاج قاعدة معتمدة",IF($K374="No result","ℹ بدون نتيجة (يُستبعد من التحصيل)","OK")))))))))))</f>
        <v>ℹ بدون نتيجة (يُستبعد من التحصيل)</v>
      </c>
      <c r="M374" s="64" t="n">
        <f aca="false">IF($A374="",0,IFERROR(MATCH($A374,Classes!$A$6:$A$420,0),0))</f>
        <v>299</v>
      </c>
      <c r="N374" s="64" t="n">
        <f aca="false">IF($H374="",0,IFERROR(MATCH($H374,GradeList,0),0))</f>
        <v>6</v>
      </c>
      <c r="O374" s="64" t="n">
        <f aca="false">IF(OR($I374="",$I374="NR"),0,IFERROR(MATCH($I374,GradeList,0),0))</f>
        <v>0</v>
      </c>
      <c r="P374" s="64" t="n">
        <f aca="false">IF(AND($M374&gt;0,ISNUMBER(MATCH($F374,Lists!$A$2:$A$5,0)),ISNUMBER(MATCH($G374,Lists!$B$2:$B$7,0)),OR($H374="",$N374&gt;0),OR($I374="",$I374="NR",$O374&gt;0),IF(ISNUMBER($J374),AND($J374&gt;=0,$J374=INT($J374)),FALSE())),$J374,0)</f>
        <v>1</v>
      </c>
      <c r="Q374" s="64" t="n">
        <f aca="false">IF(AND($P374&gt;0,$O374&gt;0),$P374,0)</f>
        <v>0</v>
      </c>
      <c r="R374" s="64" t="n">
        <f aca="false">IF(AND($Q374&gt;0,$O374&gt;=AtRank),$Q374,0)</f>
        <v>0</v>
      </c>
      <c r="S374" s="64" t="n">
        <f aca="false">IF(AND($Q374&gt;0,$O374&gt;=AboveRank),$Q374,0)</f>
        <v>0</v>
      </c>
      <c r="T374" s="64" t="n">
        <f aca="false">IF($K374="Less",$P374,0)</f>
        <v>0</v>
      </c>
      <c r="U374" s="64" t="n">
        <f aca="false">IF($K374="Expected",$P374,0)</f>
        <v>0</v>
      </c>
      <c r="V374" s="64" t="n">
        <f aca="false">IF($K374="Better",$P374,0)</f>
        <v>0</v>
      </c>
      <c r="W374" s="64" t="n">
        <f aca="false">IF($K374="U – needs rule",$P374,0)</f>
        <v>0</v>
      </c>
      <c r="X374" s="64" t="n">
        <f aca="false">IF($K374="No Start (attainment only)",$P374,0)</f>
        <v>0</v>
      </c>
    </row>
    <row r="375" customFormat="false" ht="15" hidden="false" customHeight="false" outlineLevel="0" collapsed="false">
      <c r="A375" s="60" t="s">
        <v>796</v>
      </c>
      <c r="B375" s="61" t="str">
        <f aca="false">IF($M375=0,"",INDEX(Classes!$E$6:$E$420,$M375))</f>
        <v>Arabic A</v>
      </c>
      <c r="C375" s="62" t="str">
        <f aca="false">IF($M375=0,"",INDEX(Classes!$H$6:$H$420,$M375))</f>
        <v>Mr Ayman Bobo</v>
      </c>
      <c r="D375" s="61" t="str">
        <f aca="false">IF($M375=0,"",INDEX(Classes!$B$6:$B$420,$M375))</f>
        <v>Year 10</v>
      </c>
      <c r="E375" s="61" t="str">
        <f aca="false">IF($M375=0,"",INDEX(Classes!$C$6:$C$420,$M375))</f>
        <v>ip</v>
      </c>
      <c r="F375" s="63" t="s">
        <v>107</v>
      </c>
      <c r="G375" s="63" t="s">
        <v>108</v>
      </c>
      <c r="H375" s="60" t="s">
        <v>204</v>
      </c>
      <c r="I375" s="60" t="s">
        <v>205</v>
      </c>
      <c r="J375" s="63" t="n">
        <v>1</v>
      </c>
      <c r="K375" s="61" t="str">
        <f aca="false">IF($P375=0,"",IF($F375="Baseline","— Baseline",IF($O375=0,"No result",IF($N375=0,"No Start (attainment only)",IF(OR($N375=1,$O375=1),"U – needs rule",INDEX(MxBody,MATCH($I375,MxCurr,0),MATCH($H375,MxStart,0)))))))</f>
        <v>Better</v>
      </c>
      <c r="L375" s="62" t="str">
        <f aca="false">IF(COUNTA($A375,$F375,$G375,$H375,$I375,$J375)=0,"",IF($M375=0,"✖ كود الصف غير موجود",IF(ISNA(MATCH($F375,Lists!$A$2:$A$5,0)),"✖ الفترة غير صحيحة",IF(ISNA(MATCH($G375,Lists!$B$2:$B$7,0)),"✖ المجموعة غير صحيحة",IF(NOT(OR($H375="",$N375&gt;0)),"✖ Start غير صحيح",IF(NOT(OR($I375="",$I375="NR",$O375&gt;0)),"✖ Current غير صحيح",IF(NOT(IF(ISNUMBER($J375),AND($J375&gt;=0,$J375=INT($J375)),FALSE())),"✖ العدد يجب أن يكون صحيحًا ≥ 0",IF(AND($F375="Baseline",$H375&lt;&gt;""),"⚠ Baseline: Start لا يدخل في التقدم",IF($K375="No Start (attainment only)","ℹ تحصيل فقط (بدون Start)",IF($K375="U – needs rule","ℹ حالة U تحتاج قاعدة معتمدة",IF($K375="No result","ℹ بدون نتيجة (يُستبعد من التحصيل)","OK")))))))))))</f>
        <v>OK</v>
      </c>
      <c r="M375" s="64" t="n">
        <f aca="false">IF($A375="",0,IFERROR(MATCH($A375,Classes!$A$6:$A$420,0),0))</f>
        <v>299</v>
      </c>
      <c r="N375" s="64" t="n">
        <f aca="false">IF($H375="",0,IFERROR(MATCH($H375,GradeList,0),0))</f>
        <v>9</v>
      </c>
      <c r="O375" s="64" t="n">
        <f aca="false">IF(OR($I375="",$I375="NR"),0,IFERROR(MATCH($I375,GradeList,0),0))</f>
        <v>10</v>
      </c>
      <c r="P375" s="64" t="n">
        <f aca="false">IF(AND($M375&gt;0,ISNUMBER(MATCH($F375,Lists!$A$2:$A$5,0)),ISNUMBER(MATCH($G375,Lists!$B$2:$B$7,0)),OR($H375="",$N375&gt;0),OR($I375="",$I375="NR",$O375&gt;0),IF(ISNUMBER($J375),AND($J375&gt;=0,$J375=INT($J375)),FALSE())),$J375,0)</f>
        <v>1</v>
      </c>
      <c r="Q375" s="64" t="n">
        <f aca="false">IF(AND($P375&gt;0,$O375&gt;0),$P375,0)</f>
        <v>1</v>
      </c>
      <c r="R375" s="64" t="n">
        <f aca="false">IF(AND($Q375&gt;0,$O375&gt;=AtRank),$Q375,0)</f>
        <v>1</v>
      </c>
      <c r="S375" s="64" t="n">
        <f aca="false">IF(AND($Q375&gt;0,$O375&gt;=AboveRank),$Q375,0)</f>
        <v>1</v>
      </c>
      <c r="T375" s="64" t="n">
        <f aca="false">IF($K375="Less",$P375,0)</f>
        <v>0</v>
      </c>
      <c r="U375" s="64" t="n">
        <f aca="false">IF($K375="Expected",$P375,0)</f>
        <v>0</v>
      </c>
      <c r="V375" s="64" t="n">
        <f aca="false">IF($K375="Better",$P375,0)</f>
        <v>1</v>
      </c>
      <c r="W375" s="64" t="n">
        <f aca="false">IF($K375="U – needs rule",$P375,0)</f>
        <v>0</v>
      </c>
      <c r="X375" s="64" t="n">
        <f aca="false">IF($K375="No Start (attainment only)",$P375,0)</f>
        <v>0</v>
      </c>
    </row>
    <row r="376" customFormat="false" ht="15" hidden="false" customHeight="false" outlineLevel="0" collapsed="false">
      <c r="A376" s="60" t="s">
        <v>796</v>
      </c>
      <c r="B376" s="61" t="str">
        <f aca="false">IF($M376=0,"",INDEX(Classes!$E$6:$E$420,$M376))</f>
        <v>Arabic A</v>
      </c>
      <c r="C376" s="62" t="str">
        <f aca="false">IF($M376=0,"",INDEX(Classes!$H$6:$H$420,$M376))</f>
        <v>Mr Ayman Bobo</v>
      </c>
      <c r="D376" s="61" t="str">
        <f aca="false">IF($M376=0,"",INDEX(Classes!$B$6:$B$420,$M376))</f>
        <v>Year 10</v>
      </c>
      <c r="E376" s="61" t="str">
        <f aca="false">IF($M376=0,"",INDEX(Classes!$C$6:$C$420,$M376))</f>
        <v>ip</v>
      </c>
      <c r="F376" s="63" t="s">
        <v>107</v>
      </c>
      <c r="G376" s="63" t="s">
        <v>108</v>
      </c>
      <c r="H376" s="60" t="s">
        <v>205</v>
      </c>
      <c r="I376" s="60" t="s">
        <v>204</v>
      </c>
      <c r="J376" s="63" t="n">
        <v>1</v>
      </c>
      <c r="K376" s="61" t="str">
        <f aca="false">IF($P376=0,"",IF($F376="Baseline","— Baseline",IF($O376=0,"No result",IF($N376=0,"No Start (attainment only)",IF(OR($N376=1,$O376=1),"U – needs rule",INDEX(MxBody,MATCH($I376,MxCurr,0),MATCH($H376,MxStart,0)))))))</f>
        <v>Better</v>
      </c>
      <c r="L376" s="62" t="str">
        <f aca="false">IF(COUNTA($A376,$F376,$G376,$H376,$I376,$J376)=0,"",IF($M376=0,"✖ كود الصف غير موجود",IF(ISNA(MATCH($F376,Lists!$A$2:$A$5,0)),"✖ الفترة غير صحيحة",IF(ISNA(MATCH($G376,Lists!$B$2:$B$7,0)),"✖ المجموعة غير صحيحة",IF(NOT(OR($H376="",$N376&gt;0)),"✖ Start غير صحيح",IF(NOT(OR($I376="",$I376="NR",$O376&gt;0)),"✖ Current غير صحيح",IF(NOT(IF(ISNUMBER($J376),AND($J376&gt;=0,$J376=INT($J376)),FALSE())),"✖ العدد يجب أن يكون صحيحًا ≥ 0",IF(AND($F376="Baseline",$H376&lt;&gt;""),"⚠ Baseline: Start لا يدخل في التقدم",IF($K376="No Start (attainment only)","ℹ تحصيل فقط (بدون Start)",IF($K376="U – needs rule","ℹ حالة U تحتاج قاعدة معتمدة",IF($K376="No result","ℹ بدون نتيجة (يُستبعد من التحصيل)","OK")))))))))))</f>
        <v>OK</v>
      </c>
      <c r="M376" s="64" t="n">
        <f aca="false">IF($A376="",0,IFERROR(MATCH($A376,Classes!$A$6:$A$420,0),0))</f>
        <v>299</v>
      </c>
      <c r="N376" s="64" t="n">
        <f aca="false">IF($H376="",0,IFERROR(MATCH($H376,GradeList,0),0))</f>
        <v>10</v>
      </c>
      <c r="O376" s="64" t="n">
        <f aca="false">IF(OR($I376="",$I376="NR"),0,IFERROR(MATCH($I376,GradeList,0),0))</f>
        <v>9</v>
      </c>
      <c r="P376" s="64" t="n">
        <f aca="false">IF(AND($M376&gt;0,ISNUMBER(MATCH($F376,Lists!$A$2:$A$5,0)),ISNUMBER(MATCH($G376,Lists!$B$2:$B$7,0)),OR($H376="",$N376&gt;0),OR($I376="",$I376="NR",$O376&gt;0),IF(ISNUMBER($J376),AND($J376&gt;=0,$J376=INT($J376)),FALSE())),$J376,0)</f>
        <v>1</v>
      </c>
      <c r="Q376" s="64" t="n">
        <f aca="false">IF(AND($P376&gt;0,$O376&gt;0),$P376,0)</f>
        <v>1</v>
      </c>
      <c r="R376" s="64" t="n">
        <f aca="false">IF(AND($Q376&gt;0,$O376&gt;=AtRank),$Q376,0)</f>
        <v>1</v>
      </c>
      <c r="S376" s="64" t="n">
        <f aca="false">IF(AND($Q376&gt;0,$O376&gt;=AboveRank),$Q376,0)</f>
        <v>1</v>
      </c>
      <c r="T376" s="64" t="n">
        <f aca="false">IF($K376="Less",$P376,0)</f>
        <v>0</v>
      </c>
      <c r="U376" s="64" t="n">
        <f aca="false">IF($K376="Expected",$P376,0)</f>
        <v>0</v>
      </c>
      <c r="V376" s="64" t="n">
        <f aca="false">IF($K376="Better",$P376,0)</f>
        <v>1</v>
      </c>
      <c r="W376" s="64" t="n">
        <f aca="false">IF($K376="U – needs rule",$P376,0)</f>
        <v>0</v>
      </c>
      <c r="X376" s="64" t="n">
        <f aca="false">IF($K376="No Start (attainment only)",$P376,0)</f>
        <v>0</v>
      </c>
    </row>
    <row r="377" customFormat="false" ht="15" hidden="false" customHeight="false" outlineLevel="0" collapsed="false">
      <c r="A377" s="60" t="s">
        <v>796</v>
      </c>
      <c r="B377" s="61" t="str">
        <f aca="false">IF($M377=0,"",INDEX(Classes!$E$6:$E$420,$M377))</f>
        <v>Arabic A</v>
      </c>
      <c r="C377" s="62" t="str">
        <f aca="false">IF($M377=0,"",INDEX(Classes!$H$6:$H$420,$M377))</f>
        <v>Mr Ayman Bobo</v>
      </c>
      <c r="D377" s="61" t="str">
        <f aca="false">IF($M377=0,"",INDEX(Classes!$B$6:$B$420,$M377))</f>
        <v>Year 10</v>
      </c>
      <c r="E377" s="61" t="str">
        <f aca="false">IF($M377=0,"",INDEX(Classes!$C$6:$C$420,$M377))</f>
        <v>ip</v>
      </c>
      <c r="F377" s="63" t="s">
        <v>107</v>
      </c>
      <c r="G377" s="63" t="s">
        <v>108</v>
      </c>
      <c r="H377" s="60" t="s">
        <v>205</v>
      </c>
      <c r="I377" s="60" t="s">
        <v>205</v>
      </c>
      <c r="J377" s="63" t="n">
        <v>2</v>
      </c>
      <c r="K377" s="61" t="str">
        <f aca="false">IF($P377=0,"",IF($F377="Baseline","— Baseline",IF($O377=0,"No result",IF($N377=0,"No Start (attainment only)",IF(OR($N377=1,$O377=1),"U – needs rule",INDEX(MxBody,MATCH($I377,MxCurr,0),MATCH($H377,MxStart,0)))))))</f>
        <v>Better</v>
      </c>
      <c r="L377" s="62" t="str">
        <f aca="false">IF(COUNTA($A377,$F377,$G377,$H377,$I377,$J377)=0,"",IF($M377=0,"✖ كود الصف غير موجود",IF(ISNA(MATCH($F377,Lists!$A$2:$A$5,0)),"✖ الفترة غير صحيحة",IF(ISNA(MATCH($G377,Lists!$B$2:$B$7,0)),"✖ المجموعة غير صحيحة",IF(NOT(OR($H377="",$N377&gt;0)),"✖ Start غير صحيح",IF(NOT(OR($I377="",$I377="NR",$O377&gt;0)),"✖ Current غير صحيح",IF(NOT(IF(ISNUMBER($J377),AND($J377&gt;=0,$J377=INT($J377)),FALSE())),"✖ العدد يجب أن يكون صحيحًا ≥ 0",IF(AND($F377="Baseline",$H377&lt;&gt;""),"⚠ Baseline: Start لا يدخل في التقدم",IF($K377="No Start (attainment only)","ℹ تحصيل فقط (بدون Start)",IF($K377="U – needs rule","ℹ حالة U تحتاج قاعدة معتمدة",IF($K377="No result","ℹ بدون نتيجة (يُستبعد من التحصيل)","OK")))))))))))</f>
        <v>OK</v>
      </c>
      <c r="M377" s="64" t="n">
        <f aca="false">IF($A377="",0,IFERROR(MATCH($A377,Classes!$A$6:$A$420,0),0))</f>
        <v>299</v>
      </c>
      <c r="N377" s="64" t="n">
        <f aca="false">IF($H377="",0,IFERROR(MATCH($H377,GradeList,0),0))</f>
        <v>10</v>
      </c>
      <c r="O377" s="64" t="n">
        <f aca="false">IF(OR($I377="",$I377="NR"),0,IFERROR(MATCH($I377,GradeList,0),0))</f>
        <v>10</v>
      </c>
      <c r="P377" s="64" t="n">
        <f aca="false">IF(AND($M377&gt;0,ISNUMBER(MATCH($F377,Lists!$A$2:$A$5,0)),ISNUMBER(MATCH($G377,Lists!$B$2:$B$7,0)),OR($H377="",$N377&gt;0),OR($I377="",$I377="NR",$O377&gt;0),IF(ISNUMBER($J377),AND($J377&gt;=0,$J377=INT($J377)),FALSE())),$J377,0)</f>
        <v>2</v>
      </c>
      <c r="Q377" s="64" t="n">
        <f aca="false">IF(AND($P377&gt;0,$O377&gt;0),$P377,0)</f>
        <v>2</v>
      </c>
      <c r="R377" s="64" t="n">
        <f aca="false">IF(AND($Q377&gt;0,$O377&gt;=AtRank),$Q377,0)</f>
        <v>2</v>
      </c>
      <c r="S377" s="64" t="n">
        <f aca="false">IF(AND($Q377&gt;0,$O377&gt;=AboveRank),$Q377,0)</f>
        <v>2</v>
      </c>
      <c r="T377" s="64" t="n">
        <f aca="false">IF($K377="Less",$P377,0)</f>
        <v>0</v>
      </c>
      <c r="U377" s="64" t="n">
        <f aca="false">IF($K377="Expected",$P377,0)</f>
        <v>0</v>
      </c>
      <c r="V377" s="64" t="n">
        <f aca="false">IF($K377="Better",$P377,0)</f>
        <v>2</v>
      </c>
      <c r="W377" s="64" t="n">
        <f aca="false">IF($K377="U – needs rule",$P377,0)</f>
        <v>0</v>
      </c>
      <c r="X377" s="64" t="n">
        <f aca="false">IF($K377="No Start (attainment only)",$P377,0)</f>
        <v>0</v>
      </c>
    </row>
    <row r="378" customFormat="false" ht="15" hidden="false" customHeight="false" outlineLevel="0" collapsed="false">
      <c r="A378" s="60" t="s">
        <v>796</v>
      </c>
      <c r="B378" s="61" t="str">
        <f aca="false">IF($M378=0,"",INDEX(Classes!$E$6:$E$420,$M378))</f>
        <v>Arabic A</v>
      </c>
      <c r="C378" s="62" t="str">
        <f aca="false">IF($M378=0,"",INDEX(Classes!$H$6:$H$420,$M378))</f>
        <v>Mr Ayman Bobo</v>
      </c>
      <c r="D378" s="61" t="str">
        <f aca="false">IF($M378=0,"",INDEX(Classes!$B$6:$B$420,$M378))</f>
        <v>Year 10</v>
      </c>
      <c r="E378" s="61" t="str">
        <f aca="false">IF($M378=0,"",INDEX(Classes!$C$6:$C$420,$M378))</f>
        <v>ip</v>
      </c>
      <c r="F378" s="63" t="s">
        <v>107</v>
      </c>
      <c r="G378" s="63" t="s">
        <v>1015</v>
      </c>
      <c r="H378" s="60"/>
      <c r="I378" s="60" t="s">
        <v>203</v>
      </c>
      <c r="J378" s="63" t="n">
        <v>1</v>
      </c>
      <c r="K378" s="61" t="str">
        <f aca="false">IF($P378=0,"",IF($F378="Baseline","— Baseline",IF($O378=0,"No result",IF($N378=0,"No Start (attainment only)",IF(OR($N378=1,$O378=1),"U – needs rule",INDEX(MxBody,MATCH($I378,MxCurr,0),MATCH($H378,MxStart,0)))))))</f>
        <v>No Start (attainment only)</v>
      </c>
      <c r="L378" s="62" t="str">
        <f aca="false">IF(COUNTA($A378,$F378,$G378,$H378,$I378,$J378)=0,"",IF($M378=0,"✖ كود الصف غير موجود",IF(ISNA(MATCH($F378,Lists!$A$2:$A$5,0)),"✖ الفترة غير صحيحة",IF(ISNA(MATCH($G378,Lists!$B$2:$B$7,0)),"✖ المجموعة غير صحيحة",IF(NOT(OR($H378="",$N378&gt;0)),"✖ Start غير صحيح",IF(NOT(OR($I378="",$I378="NR",$O378&gt;0)),"✖ Current غير صحيح",IF(NOT(IF(ISNUMBER($J378),AND($J378&gt;=0,$J378=INT($J378)),FALSE())),"✖ العدد يجب أن يكون صحيحًا ≥ 0",IF(AND($F378="Baseline",$H378&lt;&gt;""),"⚠ Baseline: Start لا يدخل في التقدم",IF($K378="No Start (attainment only)","ℹ تحصيل فقط (بدون Start)",IF($K378="U – needs rule","ℹ حالة U تحتاج قاعدة معتمدة",IF($K378="No result","ℹ بدون نتيجة (يُستبعد من التحصيل)","OK")))))))))))</f>
        <v>ℹ تحصيل فقط (بدون Start)</v>
      </c>
      <c r="M378" s="64" t="n">
        <f aca="false">IF($A378="",0,IFERROR(MATCH($A378,Classes!$A$6:$A$420,0),0))</f>
        <v>299</v>
      </c>
      <c r="N378" s="64" t="n">
        <f aca="false">IF($H378="",0,IFERROR(MATCH($H378,GradeList,0),0))</f>
        <v>0</v>
      </c>
      <c r="O378" s="64" t="n">
        <f aca="false">IF(OR($I378="",$I378="NR"),0,IFERROR(MATCH($I378,GradeList,0),0))</f>
        <v>8</v>
      </c>
      <c r="P378" s="64" t="n">
        <f aca="false">IF(AND($M378&gt;0,ISNUMBER(MATCH($F378,Lists!$A$2:$A$5,0)),ISNUMBER(MATCH($G378,Lists!$B$2:$B$7,0)),OR($H378="",$N378&gt;0),OR($I378="",$I378="NR",$O378&gt;0),IF(ISNUMBER($J378),AND($J378&gt;=0,$J378=INT($J378)),FALSE())),$J378,0)</f>
        <v>1</v>
      </c>
      <c r="Q378" s="64" t="n">
        <f aca="false">IF(AND($P378&gt;0,$O378&gt;0),$P378,0)</f>
        <v>1</v>
      </c>
      <c r="R378" s="64" t="n">
        <f aca="false">IF(AND($Q378&gt;0,$O378&gt;=AtRank),$Q378,0)</f>
        <v>1</v>
      </c>
      <c r="S378" s="64" t="n">
        <f aca="false">IF(AND($Q378&gt;0,$O378&gt;=AboveRank),$Q378,0)</f>
        <v>1</v>
      </c>
      <c r="T378" s="64" t="n">
        <f aca="false">IF($K378="Less",$P378,0)</f>
        <v>0</v>
      </c>
      <c r="U378" s="64" t="n">
        <f aca="false">IF($K378="Expected",$P378,0)</f>
        <v>0</v>
      </c>
      <c r="V378" s="64" t="n">
        <f aca="false">IF($K378="Better",$P378,0)</f>
        <v>0</v>
      </c>
      <c r="W378" s="64" t="n">
        <f aca="false">IF($K378="U – needs rule",$P378,0)</f>
        <v>0</v>
      </c>
      <c r="X378" s="64" t="n">
        <f aca="false">IF($K378="No Start (attainment only)",$P378,0)</f>
        <v>1</v>
      </c>
    </row>
    <row r="379" customFormat="false" ht="15" hidden="false" customHeight="false" outlineLevel="0" collapsed="false">
      <c r="A379" s="60" t="s">
        <v>796</v>
      </c>
      <c r="B379" s="61" t="str">
        <f aca="false">IF($M379=0,"",INDEX(Classes!$E$6:$E$420,$M379))</f>
        <v>Arabic A</v>
      </c>
      <c r="C379" s="62" t="str">
        <f aca="false">IF($M379=0,"",INDEX(Classes!$H$6:$H$420,$M379))</f>
        <v>Mr Ayman Bobo</v>
      </c>
      <c r="D379" s="61" t="str">
        <f aca="false">IF($M379=0,"",INDEX(Classes!$B$6:$B$420,$M379))</f>
        <v>Year 10</v>
      </c>
      <c r="E379" s="61" t="str">
        <f aca="false">IF($M379=0,"",INDEX(Classes!$C$6:$C$420,$M379))</f>
        <v>ip</v>
      </c>
      <c r="F379" s="63" t="s">
        <v>107</v>
      </c>
      <c r="G379" s="63" t="s">
        <v>1015</v>
      </c>
      <c r="H379" s="60" t="s">
        <v>202</v>
      </c>
      <c r="I379" s="60" t="s">
        <v>202</v>
      </c>
      <c r="J379" s="63" t="n">
        <v>1</v>
      </c>
      <c r="K379" s="61" t="str">
        <f aca="false">IF($P379=0,"",IF($F379="Baseline","— Baseline",IF($O379=0,"No result",IF($N379=0,"No Start (attainment only)",IF(OR($N379=1,$O379=1),"U – needs rule",INDEX(MxBody,MATCH($I379,MxCurr,0),MATCH($H379,MxStart,0)))))))</f>
        <v>Better</v>
      </c>
      <c r="L379" s="62" t="str">
        <f aca="false">IF(COUNTA($A379,$F379,$G379,$H379,$I379,$J379)=0,"",IF($M379=0,"✖ كود الصف غير موجود",IF(ISNA(MATCH($F379,Lists!$A$2:$A$5,0)),"✖ الفترة غير صحيحة",IF(ISNA(MATCH($G379,Lists!$B$2:$B$7,0)),"✖ المجموعة غير صحيحة",IF(NOT(OR($H379="",$N379&gt;0)),"✖ Start غير صحيح",IF(NOT(OR($I379="",$I379="NR",$O379&gt;0)),"✖ Current غير صحيح",IF(NOT(IF(ISNUMBER($J379),AND($J379&gt;=0,$J379=INT($J379)),FALSE())),"✖ العدد يجب أن يكون صحيحًا ≥ 0",IF(AND($F379="Baseline",$H379&lt;&gt;""),"⚠ Baseline: Start لا يدخل في التقدم",IF($K379="No Start (attainment only)","ℹ تحصيل فقط (بدون Start)",IF($K379="U – needs rule","ℹ حالة U تحتاج قاعدة معتمدة",IF($K379="No result","ℹ بدون نتيجة (يُستبعد من التحصيل)","OK")))))))))))</f>
        <v>OK</v>
      </c>
      <c r="M379" s="64" t="n">
        <f aca="false">IF($A379="",0,IFERROR(MATCH($A379,Classes!$A$6:$A$420,0),0))</f>
        <v>299</v>
      </c>
      <c r="N379" s="64" t="n">
        <f aca="false">IF($H379="",0,IFERROR(MATCH($H379,GradeList,0),0))</f>
        <v>7</v>
      </c>
      <c r="O379" s="64" t="n">
        <f aca="false">IF(OR($I379="",$I379="NR"),0,IFERROR(MATCH($I379,GradeList,0),0))</f>
        <v>7</v>
      </c>
      <c r="P379" s="64" t="n">
        <f aca="false">IF(AND($M379&gt;0,ISNUMBER(MATCH($F379,Lists!$A$2:$A$5,0)),ISNUMBER(MATCH($G379,Lists!$B$2:$B$7,0)),OR($H379="",$N379&gt;0),OR($I379="",$I379="NR",$O379&gt;0),IF(ISNUMBER($J379),AND($J379&gt;=0,$J379=INT($J379)),FALSE())),$J379,0)</f>
        <v>1</v>
      </c>
      <c r="Q379" s="64" t="n">
        <f aca="false">IF(AND($P379&gt;0,$O379&gt;0),$P379,0)</f>
        <v>1</v>
      </c>
      <c r="R379" s="64" t="n">
        <f aca="false">IF(AND($Q379&gt;0,$O379&gt;=AtRank),$Q379,0)</f>
        <v>1</v>
      </c>
      <c r="S379" s="64" t="n">
        <f aca="false">IF(AND($Q379&gt;0,$O379&gt;=AboveRank),$Q379,0)</f>
        <v>1</v>
      </c>
      <c r="T379" s="64" t="n">
        <f aca="false">IF($K379="Less",$P379,0)</f>
        <v>0</v>
      </c>
      <c r="U379" s="64" t="n">
        <f aca="false">IF($K379="Expected",$P379,0)</f>
        <v>0</v>
      </c>
      <c r="V379" s="64" t="n">
        <f aca="false">IF($K379="Better",$P379,0)</f>
        <v>1</v>
      </c>
      <c r="W379" s="64" t="n">
        <f aca="false">IF($K379="U – needs rule",$P379,0)</f>
        <v>0</v>
      </c>
      <c r="X379" s="64" t="n">
        <f aca="false">IF($K379="No Start (attainment only)",$P379,0)</f>
        <v>0</v>
      </c>
    </row>
    <row r="380" customFormat="false" ht="15" hidden="false" customHeight="false" outlineLevel="0" collapsed="false">
      <c r="A380" s="60" t="s">
        <v>796</v>
      </c>
      <c r="B380" s="61" t="str">
        <f aca="false">IF($M380=0,"",INDEX(Classes!$E$6:$E$420,$M380))</f>
        <v>Arabic A</v>
      </c>
      <c r="C380" s="62" t="str">
        <f aca="false">IF($M380=0,"",INDEX(Classes!$H$6:$H$420,$M380))</f>
        <v>Mr Ayman Bobo</v>
      </c>
      <c r="D380" s="61" t="str">
        <f aca="false">IF($M380=0,"",INDEX(Classes!$B$6:$B$420,$M380))</f>
        <v>Year 10</v>
      </c>
      <c r="E380" s="61" t="str">
        <f aca="false">IF($M380=0,"",INDEX(Classes!$C$6:$C$420,$M380))</f>
        <v>ip</v>
      </c>
      <c r="F380" s="63" t="s">
        <v>107</v>
      </c>
      <c r="G380" s="63" t="s">
        <v>1015</v>
      </c>
      <c r="H380" s="60" t="s">
        <v>203</v>
      </c>
      <c r="I380" s="60" t="s">
        <v>203</v>
      </c>
      <c r="J380" s="63" t="n">
        <v>1</v>
      </c>
      <c r="K380" s="61" t="str">
        <f aca="false">IF($P380=0,"",IF($F380="Baseline","— Baseline",IF($O380=0,"No result",IF($N380=0,"No Start (attainment only)",IF(OR($N380=1,$O380=1),"U – needs rule",INDEX(MxBody,MATCH($I380,MxCurr,0),MATCH($H380,MxStart,0)))))))</f>
        <v>Better</v>
      </c>
      <c r="L380" s="62" t="str">
        <f aca="false">IF(COUNTA($A380,$F380,$G380,$H380,$I380,$J380)=0,"",IF($M380=0,"✖ كود الصف غير موجود",IF(ISNA(MATCH($F380,Lists!$A$2:$A$5,0)),"✖ الفترة غير صحيحة",IF(ISNA(MATCH($G380,Lists!$B$2:$B$7,0)),"✖ المجموعة غير صحيحة",IF(NOT(OR($H380="",$N380&gt;0)),"✖ Start غير صحيح",IF(NOT(OR($I380="",$I380="NR",$O380&gt;0)),"✖ Current غير صحيح",IF(NOT(IF(ISNUMBER($J380),AND($J380&gt;=0,$J380=INT($J380)),FALSE())),"✖ العدد يجب أن يكون صحيحًا ≥ 0",IF(AND($F380="Baseline",$H380&lt;&gt;""),"⚠ Baseline: Start لا يدخل في التقدم",IF($K380="No Start (attainment only)","ℹ تحصيل فقط (بدون Start)",IF($K380="U – needs rule","ℹ حالة U تحتاج قاعدة معتمدة",IF($K380="No result","ℹ بدون نتيجة (يُستبعد من التحصيل)","OK")))))))))))</f>
        <v>OK</v>
      </c>
      <c r="M380" s="64" t="n">
        <f aca="false">IF($A380="",0,IFERROR(MATCH($A380,Classes!$A$6:$A$420,0),0))</f>
        <v>299</v>
      </c>
      <c r="N380" s="64" t="n">
        <f aca="false">IF($H380="",0,IFERROR(MATCH($H380,GradeList,0),0))</f>
        <v>8</v>
      </c>
      <c r="O380" s="64" t="n">
        <f aca="false">IF(OR($I380="",$I380="NR"),0,IFERROR(MATCH($I380,GradeList,0),0))</f>
        <v>8</v>
      </c>
      <c r="P380" s="64" t="n">
        <f aca="false">IF(AND($M380&gt;0,ISNUMBER(MATCH($F380,Lists!$A$2:$A$5,0)),ISNUMBER(MATCH($G380,Lists!$B$2:$B$7,0)),OR($H380="",$N380&gt;0),OR($I380="",$I380="NR",$O380&gt;0),IF(ISNUMBER($J380),AND($J380&gt;=0,$J380=INT($J380)),FALSE())),$J380,0)</f>
        <v>1</v>
      </c>
      <c r="Q380" s="64" t="n">
        <f aca="false">IF(AND($P380&gt;0,$O380&gt;0),$P380,0)</f>
        <v>1</v>
      </c>
      <c r="R380" s="64" t="n">
        <f aca="false">IF(AND($Q380&gt;0,$O380&gt;=AtRank),$Q380,0)</f>
        <v>1</v>
      </c>
      <c r="S380" s="64" t="n">
        <f aca="false">IF(AND($Q380&gt;0,$O380&gt;=AboveRank),$Q380,0)</f>
        <v>1</v>
      </c>
      <c r="T380" s="64" t="n">
        <f aca="false">IF($K380="Less",$P380,0)</f>
        <v>0</v>
      </c>
      <c r="U380" s="64" t="n">
        <f aca="false">IF($K380="Expected",$P380,0)</f>
        <v>0</v>
      </c>
      <c r="V380" s="64" t="n">
        <f aca="false">IF($K380="Better",$P380,0)</f>
        <v>1</v>
      </c>
      <c r="W380" s="64" t="n">
        <f aca="false">IF($K380="U – needs rule",$P380,0)</f>
        <v>0</v>
      </c>
      <c r="X380" s="64" t="n">
        <f aca="false">IF($K380="No Start (attainment only)",$P380,0)</f>
        <v>0</v>
      </c>
    </row>
    <row r="381" customFormat="false" ht="15" hidden="false" customHeight="false" outlineLevel="0" collapsed="false">
      <c r="A381" s="60" t="s">
        <v>796</v>
      </c>
      <c r="B381" s="61" t="str">
        <f aca="false">IF($M381=0,"",INDEX(Classes!$E$6:$E$420,$M381))</f>
        <v>Arabic A</v>
      </c>
      <c r="C381" s="62" t="str">
        <f aca="false">IF($M381=0,"",INDEX(Classes!$H$6:$H$420,$M381))</f>
        <v>Mr Ayman Bobo</v>
      </c>
      <c r="D381" s="61" t="str">
        <f aca="false">IF($M381=0,"",INDEX(Classes!$B$6:$B$420,$M381))</f>
        <v>Year 10</v>
      </c>
      <c r="E381" s="61" t="str">
        <f aca="false">IF($M381=0,"",INDEX(Classes!$C$6:$C$420,$M381))</f>
        <v>ip</v>
      </c>
      <c r="F381" s="63" t="s">
        <v>107</v>
      </c>
      <c r="G381" s="63" t="s">
        <v>1015</v>
      </c>
      <c r="H381" s="60" t="s">
        <v>203</v>
      </c>
      <c r="I381" s="60" t="s">
        <v>204</v>
      </c>
      <c r="J381" s="63" t="n">
        <v>1</v>
      </c>
      <c r="K381" s="61" t="str">
        <f aca="false">IF($P381=0,"",IF($F381="Baseline","— Baseline",IF($O381=0,"No result",IF($N381=0,"No Start (attainment only)",IF(OR($N381=1,$O381=1),"U – needs rule",INDEX(MxBody,MATCH($I381,MxCurr,0),MATCH($H381,MxStart,0)))))))</f>
        <v>Better</v>
      </c>
      <c r="L381" s="62" t="str">
        <f aca="false">IF(COUNTA($A381,$F381,$G381,$H381,$I381,$J381)=0,"",IF($M381=0,"✖ كود الصف غير موجود",IF(ISNA(MATCH($F381,Lists!$A$2:$A$5,0)),"✖ الفترة غير صحيحة",IF(ISNA(MATCH($G381,Lists!$B$2:$B$7,0)),"✖ المجموعة غير صحيحة",IF(NOT(OR($H381="",$N381&gt;0)),"✖ Start غير صحيح",IF(NOT(OR($I381="",$I381="NR",$O381&gt;0)),"✖ Current غير صحيح",IF(NOT(IF(ISNUMBER($J381),AND($J381&gt;=0,$J381=INT($J381)),FALSE())),"✖ العدد يجب أن يكون صحيحًا ≥ 0",IF(AND($F381="Baseline",$H381&lt;&gt;""),"⚠ Baseline: Start لا يدخل في التقدم",IF($K381="No Start (attainment only)","ℹ تحصيل فقط (بدون Start)",IF($K381="U – needs rule","ℹ حالة U تحتاج قاعدة معتمدة",IF($K381="No result","ℹ بدون نتيجة (يُستبعد من التحصيل)","OK")))))))))))</f>
        <v>OK</v>
      </c>
      <c r="M381" s="64" t="n">
        <f aca="false">IF($A381="",0,IFERROR(MATCH($A381,Classes!$A$6:$A$420,0),0))</f>
        <v>299</v>
      </c>
      <c r="N381" s="64" t="n">
        <f aca="false">IF($H381="",0,IFERROR(MATCH($H381,GradeList,0),0))</f>
        <v>8</v>
      </c>
      <c r="O381" s="64" t="n">
        <f aca="false">IF(OR($I381="",$I381="NR"),0,IFERROR(MATCH($I381,GradeList,0),0))</f>
        <v>9</v>
      </c>
      <c r="P381" s="64" t="n">
        <f aca="false">IF(AND($M381&gt;0,ISNUMBER(MATCH($F381,Lists!$A$2:$A$5,0)),ISNUMBER(MATCH($G381,Lists!$B$2:$B$7,0)),OR($H381="",$N381&gt;0),OR($I381="",$I381="NR",$O381&gt;0),IF(ISNUMBER($J381),AND($J381&gt;=0,$J381=INT($J381)),FALSE())),$J381,0)</f>
        <v>1</v>
      </c>
      <c r="Q381" s="64" t="n">
        <f aca="false">IF(AND($P381&gt;0,$O381&gt;0),$P381,0)</f>
        <v>1</v>
      </c>
      <c r="R381" s="64" t="n">
        <f aca="false">IF(AND($Q381&gt;0,$O381&gt;=AtRank),$Q381,0)</f>
        <v>1</v>
      </c>
      <c r="S381" s="64" t="n">
        <f aca="false">IF(AND($Q381&gt;0,$O381&gt;=AboveRank),$Q381,0)</f>
        <v>1</v>
      </c>
      <c r="T381" s="64" t="n">
        <f aca="false">IF($K381="Less",$P381,0)</f>
        <v>0</v>
      </c>
      <c r="U381" s="64" t="n">
        <f aca="false">IF($K381="Expected",$P381,0)</f>
        <v>0</v>
      </c>
      <c r="V381" s="64" t="n">
        <f aca="false">IF($K381="Better",$P381,0)</f>
        <v>1</v>
      </c>
      <c r="W381" s="64" t="n">
        <f aca="false">IF($K381="U – needs rule",$P381,0)</f>
        <v>0</v>
      </c>
      <c r="X381" s="64" t="n">
        <f aca="false">IF($K381="No Start (attainment only)",$P381,0)</f>
        <v>0</v>
      </c>
    </row>
    <row r="382" customFormat="false" ht="15" hidden="false" customHeight="false" outlineLevel="0" collapsed="false">
      <c r="A382" s="60" t="s">
        <v>796</v>
      </c>
      <c r="B382" s="61" t="str">
        <f aca="false">IF($M382=0,"",INDEX(Classes!$E$6:$E$420,$M382))</f>
        <v>Arabic A</v>
      </c>
      <c r="C382" s="62" t="str">
        <f aca="false">IF($M382=0,"",INDEX(Classes!$H$6:$H$420,$M382))</f>
        <v>Mr Ayman Bobo</v>
      </c>
      <c r="D382" s="61" t="str">
        <f aca="false">IF($M382=0,"",INDEX(Classes!$B$6:$B$420,$M382))</f>
        <v>Year 10</v>
      </c>
      <c r="E382" s="61" t="str">
        <f aca="false">IF($M382=0,"",INDEX(Classes!$C$6:$C$420,$M382))</f>
        <v>ip</v>
      </c>
      <c r="F382" s="63" t="s">
        <v>107</v>
      </c>
      <c r="G382" s="63" t="s">
        <v>1015</v>
      </c>
      <c r="H382" s="60" t="s">
        <v>203</v>
      </c>
      <c r="I382" s="60" t="s">
        <v>205</v>
      </c>
      <c r="J382" s="63" t="n">
        <v>1</v>
      </c>
      <c r="K382" s="61" t="str">
        <f aca="false">IF($P382=0,"",IF($F382="Baseline","— Baseline",IF($O382=0,"No result",IF($N382=0,"No Start (attainment only)",IF(OR($N382=1,$O382=1),"U – needs rule",INDEX(MxBody,MATCH($I382,MxCurr,0),MATCH($H382,MxStart,0)))))))</f>
        <v>Better</v>
      </c>
      <c r="L382" s="62" t="str">
        <f aca="false">IF(COUNTA($A382,$F382,$G382,$H382,$I382,$J382)=0,"",IF($M382=0,"✖ كود الصف غير موجود",IF(ISNA(MATCH($F382,Lists!$A$2:$A$5,0)),"✖ الفترة غير صحيحة",IF(ISNA(MATCH($G382,Lists!$B$2:$B$7,0)),"✖ المجموعة غير صحيحة",IF(NOT(OR($H382="",$N382&gt;0)),"✖ Start غير صحيح",IF(NOT(OR($I382="",$I382="NR",$O382&gt;0)),"✖ Current غير صحيح",IF(NOT(IF(ISNUMBER($J382),AND($J382&gt;=0,$J382=INT($J382)),FALSE())),"✖ العدد يجب أن يكون صحيحًا ≥ 0",IF(AND($F382="Baseline",$H382&lt;&gt;""),"⚠ Baseline: Start لا يدخل في التقدم",IF($K382="No Start (attainment only)","ℹ تحصيل فقط (بدون Start)",IF($K382="U – needs rule","ℹ حالة U تحتاج قاعدة معتمدة",IF($K382="No result","ℹ بدون نتيجة (يُستبعد من التحصيل)","OK")))))))))))</f>
        <v>OK</v>
      </c>
      <c r="M382" s="64" t="n">
        <f aca="false">IF($A382="",0,IFERROR(MATCH($A382,Classes!$A$6:$A$420,0),0))</f>
        <v>299</v>
      </c>
      <c r="N382" s="64" t="n">
        <f aca="false">IF($H382="",0,IFERROR(MATCH($H382,GradeList,0),0))</f>
        <v>8</v>
      </c>
      <c r="O382" s="64" t="n">
        <f aca="false">IF(OR($I382="",$I382="NR"),0,IFERROR(MATCH($I382,GradeList,0),0))</f>
        <v>10</v>
      </c>
      <c r="P382" s="64" t="n">
        <f aca="false">IF(AND($M382&gt;0,ISNUMBER(MATCH($F382,Lists!$A$2:$A$5,0)),ISNUMBER(MATCH($G382,Lists!$B$2:$B$7,0)),OR($H382="",$N382&gt;0),OR($I382="",$I382="NR",$O382&gt;0),IF(ISNUMBER($J382),AND($J382&gt;=0,$J382=INT($J382)),FALSE())),$J382,0)</f>
        <v>1</v>
      </c>
      <c r="Q382" s="64" t="n">
        <f aca="false">IF(AND($P382&gt;0,$O382&gt;0),$P382,0)</f>
        <v>1</v>
      </c>
      <c r="R382" s="64" t="n">
        <f aca="false">IF(AND($Q382&gt;0,$O382&gt;=AtRank),$Q382,0)</f>
        <v>1</v>
      </c>
      <c r="S382" s="64" t="n">
        <f aca="false">IF(AND($Q382&gt;0,$O382&gt;=AboveRank),$Q382,0)</f>
        <v>1</v>
      </c>
      <c r="T382" s="64" t="n">
        <f aca="false">IF($K382="Less",$P382,0)</f>
        <v>0</v>
      </c>
      <c r="U382" s="64" t="n">
        <f aca="false">IF($K382="Expected",$P382,0)</f>
        <v>0</v>
      </c>
      <c r="V382" s="64" t="n">
        <f aca="false">IF($K382="Better",$P382,0)</f>
        <v>1</v>
      </c>
      <c r="W382" s="64" t="n">
        <f aca="false">IF($K382="U – needs rule",$P382,0)</f>
        <v>0</v>
      </c>
      <c r="X382" s="64" t="n">
        <f aca="false">IF($K382="No Start (attainment only)",$P382,0)</f>
        <v>0</v>
      </c>
    </row>
    <row r="383" customFormat="false" ht="15" hidden="false" customHeight="false" outlineLevel="0" collapsed="false">
      <c r="A383" s="60" t="s">
        <v>796</v>
      </c>
      <c r="B383" s="61" t="str">
        <f aca="false">IF($M383=0,"",INDEX(Classes!$E$6:$E$420,$M383))</f>
        <v>Arabic A</v>
      </c>
      <c r="C383" s="62" t="str">
        <f aca="false">IF($M383=0,"",INDEX(Classes!$H$6:$H$420,$M383))</f>
        <v>Mr Ayman Bobo</v>
      </c>
      <c r="D383" s="61" t="str">
        <f aca="false">IF($M383=0,"",INDEX(Classes!$B$6:$B$420,$M383))</f>
        <v>Year 10</v>
      </c>
      <c r="E383" s="61" t="str">
        <f aca="false">IF($M383=0,"",INDEX(Classes!$C$6:$C$420,$M383))</f>
        <v>ip</v>
      </c>
      <c r="F383" s="63" t="s">
        <v>107</v>
      </c>
      <c r="G383" s="63" t="s">
        <v>1015</v>
      </c>
      <c r="H383" s="60" t="s">
        <v>200</v>
      </c>
      <c r="I383" s="60" t="s">
        <v>199</v>
      </c>
      <c r="J383" s="63" t="n">
        <v>1</v>
      </c>
      <c r="K383" s="61" t="str">
        <f aca="false">IF($P383=0,"",IF($F383="Baseline","— Baseline",IF($O383=0,"No result",IF($N383=0,"No Start (attainment only)",IF(OR($N383=1,$O383=1),"U – needs rule",INDEX(MxBody,MATCH($I383,MxCurr,0),MATCH($H383,MxStart,0)))))))</f>
        <v>Less</v>
      </c>
      <c r="L383" s="62" t="str">
        <f aca="false">IF(COUNTA($A383,$F383,$G383,$H383,$I383,$J383)=0,"",IF($M383=0,"✖ كود الصف غير موجود",IF(ISNA(MATCH($F383,Lists!$A$2:$A$5,0)),"✖ الفترة غير صحيحة",IF(ISNA(MATCH($G383,Lists!$B$2:$B$7,0)),"✖ المجموعة غير صحيحة",IF(NOT(OR($H383="",$N383&gt;0)),"✖ Start غير صحيح",IF(NOT(OR($I383="",$I383="NR",$O383&gt;0)),"✖ Current غير صحيح",IF(NOT(IF(ISNUMBER($J383),AND($J383&gt;=0,$J383=INT($J383)),FALSE())),"✖ العدد يجب أن يكون صحيحًا ≥ 0",IF(AND($F383="Baseline",$H383&lt;&gt;""),"⚠ Baseline: Start لا يدخل في التقدم",IF($K383="No Start (attainment only)","ℹ تحصيل فقط (بدون Start)",IF($K383="U – needs rule","ℹ حالة U تحتاج قاعدة معتمدة",IF($K383="No result","ℹ بدون نتيجة (يُستبعد من التحصيل)","OK")))))))))))</f>
        <v>OK</v>
      </c>
      <c r="M383" s="64" t="n">
        <f aca="false">IF($A383="",0,IFERROR(MATCH($A383,Classes!$A$6:$A$420,0),0))</f>
        <v>299</v>
      </c>
      <c r="N383" s="64" t="n">
        <f aca="false">IF($H383="",0,IFERROR(MATCH($H383,GradeList,0),0))</f>
        <v>5</v>
      </c>
      <c r="O383" s="64" t="n">
        <f aca="false">IF(OR($I383="",$I383="NR"),0,IFERROR(MATCH($I383,GradeList,0),0))</f>
        <v>4</v>
      </c>
      <c r="P383" s="64" t="n">
        <f aca="false">IF(AND($M383&gt;0,ISNUMBER(MATCH($F383,Lists!$A$2:$A$5,0)),ISNUMBER(MATCH($G383,Lists!$B$2:$B$7,0)),OR($H383="",$N383&gt;0),OR($I383="",$I383="NR",$O383&gt;0),IF(ISNUMBER($J383),AND($J383&gt;=0,$J383=INT($J383)),FALSE())),$J383,0)</f>
        <v>1</v>
      </c>
      <c r="Q383" s="64" t="n">
        <f aca="false">IF(AND($P383&gt;0,$O383&gt;0),$P383,0)</f>
        <v>1</v>
      </c>
      <c r="R383" s="64" t="n">
        <f aca="false">IF(AND($Q383&gt;0,$O383&gt;=AtRank),$Q383,0)</f>
        <v>0</v>
      </c>
      <c r="S383" s="64" t="n">
        <f aca="false">IF(AND($Q383&gt;0,$O383&gt;=AboveRank),$Q383,0)</f>
        <v>0</v>
      </c>
      <c r="T383" s="64" t="n">
        <f aca="false">IF($K383="Less",$P383,0)</f>
        <v>1</v>
      </c>
      <c r="U383" s="64" t="n">
        <f aca="false">IF($K383="Expected",$P383,0)</f>
        <v>0</v>
      </c>
      <c r="V383" s="64" t="n">
        <f aca="false">IF($K383="Better",$P383,0)</f>
        <v>0</v>
      </c>
      <c r="W383" s="64" t="n">
        <f aca="false">IF($K383="U – needs rule",$P383,0)</f>
        <v>0</v>
      </c>
      <c r="X383" s="64" t="n">
        <f aca="false">IF($K383="No Start (attainment only)",$P383,0)</f>
        <v>0</v>
      </c>
    </row>
    <row r="384" customFormat="false" ht="15" hidden="false" customHeight="false" outlineLevel="0" collapsed="false">
      <c r="A384" s="60" t="s">
        <v>796</v>
      </c>
      <c r="B384" s="61" t="str">
        <f aca="false">IF($M384=0,"",INDEX(Classes!$E$6:$E$420,$M384))</f>
        <v>Arabic A</v>
      </c>
      <c r="C384" s="62" t="str">
        <f aca="false">IF($M384=0,"",INDEX(Classes!$H$6:$H$420,$M384))</f>
        <v>Mr Ayman Bobo</v>
      </c>
      <c r="D384" s="61" t="str">
        <f aca="false">IF($M384=0,"",INDEX(Classes!$B$6:$B$420,$M384))</f>
        <v>Year 10</v>
      </c>
      <c r="E384" s="61" t="str">
        <f aca="false">IF($M384=0,"",INDEX(Classes!$C$6:$C$420,$M384))</f>
        <v>ip</v>
      </c>
      <c r="F384" s="63" t="s">
        <v>107</v>
      </c>
      <c r="G384" s="63" t="s">
        <v>1015</v>
      </c>
      <c r="H384" s="60" t="s">
        <v>201</v>
      </c>
      <c r="I384" s="60" t="s">
        <v>203</v>
      </c>
      <c r="J384" s="63" t="n">
        <v>1</v>
      </c>
      <c r="K384" s="61" t="str">
        <f aca="false">IF($P384=0,"",IF($F384="Baseline","— Baseline",IF($O384=0,"No result",IF($N384=0,"No Start (attainment only)",IF(OR($N384=1,$O384=1),"U – needs rule",INDEX(MxBody,MATCH($I384,MxCurr,0),MATCH($H384,MxStart,0)))))))</f>
        <v>Better</v>
      </c>
      <c r="L384" s="62" t="str">
        <f aca="false">IF(COUNTA($A384,$F384,$G384,$H384,$I384,$J384)=0,"",IF($M384=0,"✖ كود الصف غير موجود",IF(ISNA(MATCH($F384,Lists!$A$2:$A$5,0)),"✖ الفترة غير صحيحة",IF(ISNA(MATCH($G384,Lists!$B$2:$B$7,0)),"✖ المجموعة غير صحيحة",IF(NOT(OR($H384="",$N384&gt;0)),"✖ Start غير صحيح",IF(NOT(OR($I384="",$I384="NR",$O384&gt;0)),"✖ Current غير صحيح",IF(NOT(IF(ISNUMBER($J384),AND($J384&gt;=0,$J384=INT($J384)),FALSE())),"✖ العدد يجب أن يكون صحيحًا ≥ 0",IF(AND($F384="Baseline",$H384&lt;&gt;""),"⚠ Baseline: Start لا يدخل في التقدم",IF($K384="No Start (attainment only)","ℹ تحصيل فقط (بدون Start)",IF($K384="U – needs rule","ℹ حالة U تحتاج قاعدة معتمدة",IF($K384="No result","ℹ بدون نتيجة (يُستبعد من التحصيل)","OK")))))))))))</f>
        <v>OK</v>
      </c>
      <c r="M384" s="64" t="n">
        <f aca="false">IF($A384="",0,IFERROR(MATCH($A384,Classes!$A$6:$A$420,0),0))</f>
        <v>299</v>
      </c>
      <c r="N384" s="64" t="n">
        <f aca="false">IF($H384="",0,IFERROR(MATCH($H384,GradeList,0),0))</f>
        <v>6</v>
      </c>
      <c r="O384" s="64" t="n">
        <f aca="false">IF(OR($I384="",$I384="NR"),0,IFERROR(MATCH($I384,GradeList,0),0))</f>
        <v>8</v>
      </c>
      <c r="P384" s="64" t="n">
        <f aca="false">IF(AND($M384&gt;0,ISNUMBER(MATCH($F384,Lists!$A$2:$A$5,0)),ISNUMBER(MATCH($G384,Lists!$B$2:$B$7,0)),OR($H384="",$N384&gt;0),OR($I384="",$I384="NR",$O384&gt;0),IF(ISNUMBER($J384),AND($J384&gt;=0,$J384=INT($J384)),FALSE())),$J384,0)</f>
        <v>1</v>
      </c>
      <c r="Q384" s="64" t="n">
        <f aca="false">IF(AND($P384&gt;0,$O384&gt;0),$P384,0)</f>
        <v>1</v>
      </c>
      <c r="R384" s="64" t="n">
        <f aca="false">IF(AND($Q384&gt;0,$O384&gt;=AtRank),$Q384,0)</f>
        <v>1</v>
      </c>
      <c r="S384" s="64" t="n">
        <f aca="false">IF(AND($Q384&gt;0,$O384&gt;=AboveRank),$Q384,0)</f>
        <v>1</v>
      </c>
      <c r="T384" s="64" t="n">
        <f aca="false">IF($K384="Less",$P384,0)</f>
        <v>0</v>
      </c>
      <c r="U384" s="64" t="n">
        <f aca="false">IF($K384="Expected",$P384,0)</f>
        <v>0</v>
      </c>
      <c r="V384" s="64" t="n">
        <f aca="false">IF($K384="Better",$P384,0)</f>
        <v>1</v>
      </c>
      <c r="W384" s="64" t="n">
        <f aca="false">IF($K384="U – needs rule",$P384,0)</f>
        <v>0</v>
      </c>
      <c r="X384" s="64" t="n">
        <f aca="false">IF($K384="No Start (attainment only)",$P384,0)</f>
        <v>0</v>
      </c>
    </row>
    <row r="385" customFormat="false" ht="15" hidden="false" customHeight="false" outlineLevel="0" collapsed="false">
      <c r="A385" s="60" t="s">
        <v>796</v>
      </c>
      <c r="B385" s="61" t="str">
        <f aca="false">IF($M385=0,"",INDEX(Classes!$E$6:$E$420,$M385))</f>
        <v>Arabic A</v>
      </c>
      <c r="C385" s="62" t="str">
        <f aca="false">IF($M385=0,"",INDEX(Classes!$H$6:$H$420,$M385))</f>
        <v>Mr Ayman Bobo</v>
      </c>
      <c r="D385" s="61" t="str">
        <f aca="false">IF($M385=0,"",INDEX(Classes!$B$6:$B$420,$M385))</f>
        <v>Year 10</v>
      </c>
      <c r="E385" s="61" t="str">
        <f aca="false">IF($M385=0,"",INDEX(Classes!$C$6:$C$420,$M385))</f>
        <v>ip</v>
      </c>
      <c r="F385" s="63" t="s">
        <v>107</v>
      </c>
      <c r="G385" s="63" t="s">
        <v>1015</v>
      </c>
      <c r="H385" s="60" t="s">
        <v>205</v>
      </c>
      <c r="I385" s="60" t="s">
        <v>204</v>
      </c>
      <c r="J385" s="63" t="n">
        <v>1</v>
      </c>
      <c r="K385" s="61" t="str">
        <f aca="false">IF($P385=0,"",IF($F385="Baseline","— Baseline",IF($O385=0,"No result",IF($N385=0,"No Start (attainment only)",IF(OR($N385=1,$O385=1),"U – needs rule",INDEX(MxBody,MATCH($I385,MxCurr,0),MATCH($H385,MxStart,0)))))))</f>
        <v>Better</v>
      </c>
      <c r="L385" s="62" t="str">
        <f aca="false">IF(COUNTA($A385,$F385,$G385,$H385,$I385,$J385)=0,"",IF($M385=0,"✖ كود الصف غير موجود",IF(ISNA(MATCH($F385,Lists!$A$2:$A$5,0)),"✖ الفترة غير صحيحة",IF(ISNA(MATCH($G385,Lists!$B$2:$B$7,0)),"✖ المجموعة غير صحيحة",IF(NOT(OR($H385="",$N385&gt;0)),"✖ Start غير صحيح",IF(NOT(OR($I385="",$I385="NR",$O385&gt;0)),"✖ Current غير صحيح",IF(NOT(IF(ISNUMBER($J385),AND($J385&gt;=0,$J385=INT($J385)),FALSE())),"✖ العدد يجب أن يكون صحيحًا ≥ 0",IF(AND($F385="Baseline",$H385&lt;&gt;""),"⚠ Baseline: Start لا يدخل في التقدم",IF($K385="No Start (attainment only)","ℹ تحصيل فقط (بدون Start)",IF($K385="U – needs rule","ℹ حالة U تحتاج قاعدة معتمدة",IF($K385="No result","ℹ بدون نتيجة (يُستبعد من التحصيل)","OK")))))))))))</f>
        <v>OK</v>
      </c>
      <c r="M385" s="64" t="n">
        <f aca="false">IF($A385="",0,IFERROR(MATCH($A385,Classes!$A$6:$A$420,0),0))</f>
        <v>299</v>
      </c>
      <c r="N385" s="64" t="n">
        <f aca="false">IF($H385="",0,IFERROR(MATCH($H385,GradeList,0),0))</f>
        <v>10</v>
      </c>
      <c r="O385" s="64" t="n">
        <f aca="false">IF(OR($I385="",$I385="NR"),0,IFERROR(MATCH($I385,GradeList,0),0))</f>
        <v>9</v>
      </c>
      <c r="P385" s="64" t="n">
        <f aca="false">IF(AND($M385&gt;0,ISNUMBER(MATCH($F385,Lists!$A$2:$A$5,0)),ISNUMBER(MATCH($G385,Lists!$B$2:$B$7,0)),OR($H385="",$N385&gt;0),OR($I385="",$I385="NR",$O385&gt;0),IF(ISNUMBER($J385),AND($J385&gt;=0,$J385=INT($J385)),FALSE())),$J385,0)</f>
        <v>1</v>
      </c>
      <c r="Q385" s="64" t="n">
        <f aca="false">IF(AND($P385&gt;0,$O385&gt;0),$P385,0)</f>
        <v>1</v>
      </c>
      <c r="R385" s="64" t="n">
        <f aca="false">IF(AND($Q385&gt;0,$O385&gt;=AtRank),$Q385,0)</f>
        <v>1</v>
      </c>
      <c r="S385" s="64" t="n">
        <f aca="false">IF(AND($Q385&gt;0,$O385&gt;=AboveRank),$Q385,0)</f>
        <v>1</v>
      </c>
      <c r="T385" s="64" t="n">
        <f aca="false">IF($K385="Less",$P385,0)</f>
        <v>0</v>
      </c>
      <c r="U385" s="64" t="n">
        <f aca="false">IF($K385="Expected",$P385,0)</f>
        <v>0</v>
      </c>
      <c r="V385" s="64" t="n">
        <f aca="false">IF($K385="Better",$P385,0)</f>
        <v>1</v>
      </c>
      <c r="W385" s="64" t="n">
        <f aca="false">IF($K385="U – needs rule",$P385,0)</f>
        <v>0</v>
      </c>
      <c r="X385" s="64" t="n">
        <f aca="false">IF($K385="No Start (attainment only)",$P385,0)</f>
        <v>0</v>
      </c>
    </row>
    <row r="386" customFormat="false" ht="15" hidden="false" customHeight="false" outlineLevel="0" collapsed="false">
      <c r="A386" s="60" t="s">
        <v>796</v>
      </c>
      <c r="B386" s="61" t="str">
        <f aca="false">IF($M386=0,"",INDEX(Classes!$E$6:$E$420,$M386))</f>
        <v>Arabic A</v>
      </c>
      <c r="C386" s="62" t="str">
        <f aca="false">IF($M386=0,"",INDEX(Classes!$H$6:$H$420,$M386))</f>
        <v>Mr Ayman Bobo</v>
      </c>
      <c r="D386" s="61" t="str">
        <f aca="false">IF($M386=0,"",INDEX(Classes!$B$6:$B$420,$M386))</f>
        <v>Year 10</v>
      </c>
      <c r="E386" s="61" t="str">
        <f aca="false">IF($M386=0,"",INDEX(Classes!$C$6:$C$420,$M386))</f>
        <v>ip</v>
      </c>
      <c r="F386" s="63" t="s">
        <v>107</v>
      </c>
      <c r="G386" s="63" t="s">
        <v>1015</v>
      </c>
      <c r="H386" s="60" t="s">
        <v>205</v>
      </c>
      <c r="I386" s="60" t="s">
        <v>205</v>
      </c>
      <c r="J386" s="63" t="n">
        <v>1</v>
      </c>
      <c r="K386" s="61" t="str">
        <f aca="false">IF($P386=0,"",IF($F386="Baseline","— Baseline",IF($O386=0,"No result",IF($N386=0,"No Start (attainment only)",IF(OR($N386=1,$O386=1),"U – needs rule",INDEX(MxBody,MATCH($I386,MxCurr,0),MATCH($H386,MxStart,0)))))))</f>
        <v>Better</v>
      </c>
      <c r="L386" s="62" t="str">
        <f aca="false">IF(COUNTA($A386,$F386,$G386,$H386,$I386,$J386)=0,"",IF($M386=0,"✖ كود الصف غير موجود",IF(ISNA(MATCH($F386,Lists!$A$2:$A$5,0)),"✖ الفترة غير صحيحة",IF(ISNA(MATCH($G386,Lists!$B$2:$B$7,0)),"✖ المجموعة غير صحيحة",IF(NOT(OR($H386="",$N386&gt;0)),"✖ Start غير صحيح",IF(NOT(OR($I386="",$I386="NR",$O386&gt;0)),"✖ Current غير صحيح",IF(NOT(IF(ISNUMBER($J386),AND($J386&gt;=0,$J386=INT($J386)),FALSE())),"✖ العدد يجب أن يكون صحيحًا ≥ 0",IF(AND($F386="Baseline",$H386&lt;&gt;""),"⚠ Baseline: Start لا يدخل في التقدم",IF($K386="No Start (attainment only)","ℹ تحصيل فقط (بدون Start)",IF($K386="U – needs rule","ℹ حالة U تحتاج قاعدة معتمدة",IF($K386="No result","ℹ بدون نتيجة (يُستبعد من التحصيل)","OK")))))))))))</f>
        <v>OK</v>
      </c>
      <c r="M386" s="64" t="n">
        <f aca="false">IF($A386="",0,IFERROR(MATCH($A386,Classes!$A$6:$A$420,0),0))</f>
        <v>299</v>
      </c>
      <c r="N386" s="64" t="n">
        <f aca="false">IF($H386="",0,IFERROR(MATCH($H386,GradeList,0),0))</f>
        <v>10</v>
      </c>
      <c r="O386" s="64" t="n">
        <f aca="false">IF(OR($I386="",$I386="NR"),0,IFERROR(MATCH($I386,GradeList,0),0))</f>
        <v>10</v>
      </c>
      <c r="P386" s="64" t="n">
        <f aca="false">IF(AND($M386&gt;0,ISNUMBER(MATCH($F386,Lists!$A$2:$A$5,0)),ISNUMBER(MATCH($G386,Lists!$B$2:$B$7,0)),OR($H386="",$N386&gt;0),OR($I386="",$I386="NR",$O386&gt;0),IF(ISNUMBER($J386),AND($J386&gt;=0,$J386=INT($J386)),FALSE())),$J386,0)</f>
        <v>1</v>
      </c>
      <c r="Q386" s="64" t="n">
        <f aca="false">IF(AND($P386&gt;0,$O386&gt;0),$P386,0)</f>
        <v>1</v>
      </c>
      <c r="R386" s="64" t="n">
        <f aca="false">IF(AND($Q386&gt;0,$O386&gt;=AtRank),$Q386,0)</f>
        <v>1</v>
      </c>
      <c r="S386" s="64" t="n">
        <f aca="false">IF(AND($Q386&gt;0,$O386&gt;=AboveRank),$Q386,0)</f>
        <v>1</v>
      </c>
      <c r="T386" s="64" t="n">
        <f aca="false">IF($K386="Less",$P386,0)</f>
        <v>0</v>
      </c>
      <c r="U386" s="64" t="n">
        <f aca="false">IF($K386="Expected",$P386,0)</f>
        <v>0</v>
      </c>
      <c r="V386" s="64" t="n">
        <f aca="false">IF($K386="Better",$P386,0)</f>
        <v>1</v>
      </c>
      <c r="W386" s="64" t="n">
        <f aca="false">IF($K386="U – needs rule",$P386,0)</f>
        <v>0</v>
      </c>
      <c r="X386" s="64" t="n">
        <f aca="false">IF($K386="No Start (attainment only)",$P386,0)</f>
        <v>0</v>
      </c>
    </row>
    <row r="387" customFormat="false" ht="15" hidden="false" customHeight="false" outlineLevel="0" collapsed="false">
      <c r="A387" s="60" t="s">
        <v>796</v>
      </c>
      <c r="B387" s="61" t="str">
        <f aca="false">IF($M387=0,"",INDEX(Classes!$E$6:$E$420,$M387))</f>
        <v>Arabic A</v>
      </c>
      <c r="C387" s="62" t="str">
        <f aca="false">IF($M387=0,"",INDEX(Classes!$H$6:$H$420,$M387))</f>
        <v>Mr Ayman Bobo</v>
      </c>
      <c r="D387" s="61" t="str">
        <f aca="false">IF($M387=0,"",INDEX(Classes!$B$6:$B$420,$M387))</f>
        <v>Year 10</v>
      </c>
      <c r="E387" s="61" t="str">
        <f aca="false">IF($M387=0,"",INDEX(Classes!$C$6:$C$420,$M387))</f>
        <v>ip</v>
      </c>
      <c r="F387" s="63" t="s">
        <v>107</v>
      </c>
      <c r="G387" s="63" t="s">
        <v>1016</v>
      </c>
      <c r="H387" s="60" t="s">
        <v>202</v>
      </c>
      <c r="I387" s="60" t="s">
        <v>202</v>
      </c>
      <c r="J387" s="63" t="n">
        <v>2</v>
      </c>
      <c r="K387" s="61" t="str">
        <f aca="false">IF($P387=0,"",IF($F387="Baseline","— Baseline",IF($O387=0,"No result",IF($N387=0,"No Start (attainment only)",IF(OR($N387=1,$O387=1),"U – needs rule",INDEX(MxBody,MATCH($I387,MxCurr,0),MATCH($H387,MxStart,0)))))))</f>
        <v>Better</v>
      </c>
      <c r="L387" s="62" t="str">
        <f aca="false">IF(COUNTA($A387,$F387,$G387,$H387,$I387,$J387)=0,"",IF($M387=0,"✖ كود الصف غير موجود",IF(ISNA(MATCH($F387,Lists!$A$2:$A$5,0)),"✖ الفترة غير صحيحة",IF(ISNA(MATCH($G387,Lists!$B$2:$B$7,0)),"✖ المجموعة غير صحيحة",IF(NOT(OR($H387="",$N387&gt;0)),"✖ Start غير صحيح",IF(NOT(OR($I387="",$I387="NR",$O387&gt;0)),"✖ Current غير صحيح",IF(NOT(IF(ISNUMBER($J387),AND($J387&gt;=0,$J387=INT($J387)),FALSE())),"✖ العدد يجب أن يكون صحيحًا ≥ 0",IF(AND($F387="Baseline",$H387&lt;&gt;""),"⚠ Baseline: Start لا يدخل في التقدم",IF($K387="No Start (attainment only)","ℹ تحصيل فقط (بدون Start)",IF($K387="U – needs rule","ℹ حالة U تحتاج قاعدة معتمدة",IF($K387="No result","ℹ بدون نتيجة (يُستبعد من التحصيل)","OK")))))))))))</f>
        <v>OK</v>
      </c>
      <c r="M387" s="64" t="n">
        <f aca="false">IF($A387="",0,IFERROR(MATCH($A387,Classes!$A$6:$A$420,0),0))</f>
        <v>299</v>
      </c>
      <c r="N387" s="64" t="n">
        <f aca="false">IF($H387="",0,IFERROR(MATCH($H387,GradeList,0),0))</f>
        <v>7</v>
      </c>
      <c r="O387" s="64" t="n">
        <f aca="false">IF(OR($I387="",$I387="NR"),0,IFERROR(MATCH($I387,GradeList,0),0))</f>
        <v>7</v>
      </c>
      <c r="P387" s="64" t="n">
        <f aca="false">IF(AND($M387&gt;0,ISNUMBER(MATCH($F387,Lists!$A$2:$A$5,0)),ISNUMBER(MATCH($G387,Lists!$B$2:$B$7,0)),OR($H387="",$N387&gt;0),OR($I387="",$I387="NR",$O387&gt;0),IF(ISNUMBER($J387),AND($J387&gt;=0,$J387=INT($J387)),FALSE())),$J387,0)</f>
        <v>2</v>
      </c>
      <c r="Q387" s="64" t="n">
        <f aca="false">IF(AND($P387&gt;0,$O387&gt;0),$P387,0)</f>
        <v>2</v>
      </c>
      <c r="R387" s="64" t="n">
        <f aca="false">IF(AND($Q387&gt;0,$O387&gt;=AtRank),$Q387,0)</f>
        <v>2</v>
      </c>
      <c r="S387" s="64" t="n">
        <f aca="false">IF(AND($Q387&gt;0,$O387&gt;=AboveRank),$Q387,0)</f>
        <v>2</v>
      </c>
      <c r="T387" s="64" t="n">
        <f aca="false">IF($K387="Less",$P387,0)</f>
        <v>0</v>
      </c>
      <c r="U387" s="64" t="n">
        <f aca="false">IF($K387="Expected",$P387,0)</f>
        <v>0</v>
      </c>
      <c r="V387" s="64" t="n">
        <f aca="false">IF($K387="Better",$P387,0)</f>
        <v>2</v>
      </c>
      <c r="W387" s="64" t="n">
        <f aca="false">IF($K387="U – needs rule",$P387,0)</f>
        <v>0</v>
      </c>
      <c r="X387" s="64" t="n">
        <f aca="false">IF($K387="No Start (attainment only)",$P387,0)</f>
        <v>0</v>
      </c>
    </row>
    <row r="388" customFormat="false" ht="15" hidden="false" customHeight="false" outlineLevel="0" collapsed="false">
      <c r="A388" s="60" t="s">
        <v>796</v>
      </c>
      <c r="B388" s="61" t="str">
        <f aca="false">IF($M388=0,"",INDEX(Classes!$E$6:$E$420,$M388))</f>
        <v>Arabic A</v>
      </c>
      <c r="C388" s="62" t="str">
        <f aca="false">IF($M388=0,"",INDEX(Classes!$H$6:$H$420,$M388))</f>
        <v>Mr Ayman Bobo</v>
      </c>
      <c r="D388" s="61" t="str">
        <f aca="false">IF($M388=0,"",INDEX(Classes!$B$6:$B$420,$M388))</f>
        <v>Year 10</v>
      </c>
      <c r="E388" s="61" t="str">
        <f aca="false">IF($M388=0,"",INDEX(Classes!$C$6:$C$420,$M388))</f>
        <v>ip</v>
      </c>
      <c r="F388" s="63" t="s">
        <v>107</v>
      </c>
      <c r="G388" s="63" t="s">
        <v>1016</v>
      </c>
      <c r="H388" s="60" t="s">
        <v>202</v>
      </c>
      <c r="I388" s="60" t="s">
        <v>203</v>
      </c>
      <c r="J388" s="63" t="n">
        <v>1</v>
      </c>
      <c r="K388" s="61" t="str">
        <f aca="false">IF($P388=0,"",IF($F388="Baseline","— Baseline",IF($O388=0,"No result",IF($N388=0,"No Start (attainment only)",IF(OR($N388=1,$O388=1),"U – needs rule",INDEX(MxBody,MATCH($I388,MxCurr,0),MATCH($H388,MxStart,0)))))))</f>
        <v>Better</v>
      </c>
      <c r="L388" s="62" t="str">
        <f aca="false">IF(COUNTA($A388,$F388,$G388,$H388,$I388,$J388)=0,"",IF($M388=0,"✖ كود الصف غير موجود",IF(ISNA(MATCH($F388,Lists!$A$2:$A$5,0)),"✖ الفترة غير صحيحة",IF(ISNA(MATCH($G388,Lists!$B$2:$B$7,0)),"✖ المجموعة غير صحيحة",IF(NOT(OR($H388="",$N388&gt;0)),"✖ Start غير صحيح",IF(NOT(OR($I388="",$I388="NR",$O388&gt;0)),"✖ Current غير صحيح",IF(NOT(IF(ISNUMBER($J388),AND($J388&gt;=0,$J388=INT($J388)),FALSE())),"✖ العدد يجب أن يكون صحيحًا ≥ 0",IF(AND($F388="Baseline",$H388&lt;&gt;""),"⚠ Baseline: Start لا يدخل في التقدم",IF($K388="No Start (attainment only)","ℹ تحصيل فقط (بدون Start)",IF($K388="U – needs rule","ℹ حالة U تحتاج قاعدة معتمدة",IF($K388="No result","ℹ بدون نتيجة (يُستبعد من التحصيل)","OK")))))))))))</f>
        <v>OK</v>
      </c>
      <c r="M388" s="64" t="n">
        <f aca="false">IF($A388="",0,IFERROR(MATCH($A388,Classes!$A$6:$A$420,0),0))</f>
        <v>299</v>
      </c>
      <c r="N388" s="64" t="n">
        <f aca="false">IF($H388="",0,IFERROR(MATCH($H388,GradeList,0),0))</f>
        <v>7</v>
      </c>
      <c r="O388" s="64" t="n">
        <f aca="false">IF(OR($I388="",$I388="NR"),0,IFERROR(MATCH($I388,GradeList,0),0))</f>
        <v>8</v>
      </c>
      <c r="P388" s="64" t="n">
        <f aca="false">IF(AND($M388&gt;0,ISNUMBER(MATCH($F388,Lists!$A$2:$A$5,0)),ISNUMBER(MATCH($G388,Lists!$B$2:$B$7,0)),OR($H388="",$N388&gt;0),OR($I388="",$I388="NR",$O388&gt;0),IF(ISNUMBER($J388),AND($J388&gt;=0,$J388=INT($J388)),FALSE())),$J388,0)</f>
        <v>1</v>
      </c>
      <c r="Q388" s="64" t="n">
        <f aca="false">IF(AND($P388&gt;0,$O388&gt;0),$P388,0)</f>
        <v>1</v>
      </c>
      <c r="R388" s="64" t="n">
        <f aca="false">IF(AND($Q388&gt;0,$O388&gt;=AtRank),$Q388,0)</f>
        <v>1</v>
      </c>
      <c r="S388" s="64" t="n">
        <f aca="false">IF(AND($Q388&gt;0,$O388&gt;=AboveRank),$Q388,0)</f>
        <v>1</v>
      </c>
      <c r="T388" s="64" t="n">
        <f aca="false">IF($K388="Less",$P388,0)</f>
        <v>0</v>
      </c>
      <c r="U388" s="64" t="n">
        <f aca="false">IF($K388="Expected",$P388,0)</f>
        <v>0</v>
      </c>
      <c r="V388" s="64" t="n">
        <f aca="false">IF($K388="Better",$P388,0)</f>
        <v>1</v>
      </c>
      <c r="W388" s="64" t="n">
        <f aca="false">IF($K388="U – needs rule",$P388,0)</f>
        <v>0</v>
      </c>
      <c r="X388" s="64" t="n">
        <f aca="false">IF($K388="No Start (attainment only)",$P388,0)</f>
        <v>0</v>
      </c>
    </row>
    <row r="389" customFormat="false" ht="15" hidden="false" customHeight="false" outlineLevel="0" collapsed="false">
      <c r="A389" s="60" t="s">
        <v>796</v>
      </c>
      <c r="B389" s="61" t="str">
        <f aca="false">IF($M389=0,"",INDEX(Classes!$E$6:$E$420,$M389))</f>
        <v>Arabic A</v>
      </c>
      <c r="C389" s="62" t="str">
        <f aca="false">IF($M389=0,"",INDEX(Classes!$H$6:$H$420,$M389))</f>
        <v>Mr Ayman Bobo</v>
      </c>
      <c r="D389" s="61" t="str">
        <f aca="false">IF($M389=0,"",INDEX(Classes!$B$6:$B$420,$M389))</f>
        <v>Year 10</v>
      </c>
      <c r="E389" s="61" t="str">
        <f aca="false">IF($M389=0,"",INDEX(Classes!$C$6:$C$420,$M389))</f>
        <v>ip</v>
      </c>
      <c r="F389" s="63" t="s">
        <v>107</v>
      </c>
      <c r="G389" s="63" t="s">
        <v>1016</v>
      </c>
      <c r="H389" s="60" t="s">
        <v>202</v>
      </c>
      <c r="I389" s="60" t="s">
        <v>201</v>
      </c>
      <c r="J389" s="63" t="n">
        <v>2</v>
      </c>
      <c r="K389" s="61" t="str">
        <f aca="false">IF($P389=0,"",IF($F389="Baseline","— Baseline",IF($O389=0,"No result",IF($N389=0,"No Start (attainment only)",IF(OR($N389=1,$O389=1),"U – needs rule",INDEX(MxBody,MATCH($I389,MxCurr,0),MATCH($H389,MxStart,0)))))))</f>
        <v>Expected</v>
      </c>
      <c r="L389" s="62" t="str">
        <f aca="false">IF(COUNTA($A389,$F389,$G389,$H389,$I389,$J389)=0,"",IF($M389=0,"✖ كود الصف غير موجود",IF(ISNA(MATCH($F389,Lists!$A$2:$A$5,0)),"✖ الفترة غير صحيحة",IF(ISNA(MATCH($G389,Lists!$B$2:$B$7,0)),"✖ المجموعة غير صحيحة",IF(NOT(OR($H389="",$N389&gt;0)),"✖ Start غير صحيح",IF(NOT(OR($I389="",$I389="NR",$O389&gt;0)),"✖ Current غير صحيح",IF(NOT(IF(ISNUMBER($J389),AND($J389&gt;=0,$J389=INT($J389)),FALSE())),"✖ العدد يجب أن يكون صحيحًا ≥ 0",IF(AND($F389="Baseline",$H389&lt;&gt;""),"⚠ Baseline: Start لا يدخل في التقدم",IF($K389="No Start (attainment only)","ℹ تحصيل فقط (بدون Start)",IF($K389="U – needs rule","ℹ حالة U تحتاج قاعدة معتمدة",IF($K389="No result","ℹ بدون نتيجة (يُستبعد من التحصيل)","OK")))))))))))</f>
        <v>OK</v>
      </c>
      <c r="M389" s="64" t="n">
        <f aca="false">IF($A389="",0,IFERROR(MATCH($A389,Classes!$A$6:$A$420,0),0))</f>
        <v>299</v>
      </c>
      <c r="N389" s="64" t="n">
        <f aca="false">IF($H389="",0,IFERROR(MATCH($H389,GradeList,0),0))</f>
        <v>7</v>
      </c>
      <c r="O389" s="64" t="n">
        <f aca="false">IF(OR($I389="",$I389="NR"),0,IFERROR(MATCH($I389,GradeList,0),0))</f>
        <v>6</v>
      </c>
      <c r="P389" s="64" t="n">
        <f aca="false">IF(AND($M389&gt;0,ISNUMBER(MATCH($F389,Lists!$A$2:$A$5,0)),ISNUMBER(MATCH($G389,Lists!$B$2:$B$7,0)),OR($H389="",$N389&gt;0),OR($I389="",$I389="NR",$O389&gt;0),IF(ISNUMBER($J389),AND($J389&gt;=0,$J389=INT($J389)),FALSE())),$J389,0)</f>
        <v>2</v>
      </c>
      <c r="Q389" s="64" t="n">
        <f aca="false">IF(AND($P389&gt;0,$O389&gt;0),$P389,0)</f>
        <v>2</v>
      </c>
      <c r="R389" s="64" t="n">
        <f aca="false">IF(AND($Q389&gt;0,$O389&gt;=AtRank),$Q389,0)</f>
        <v>2</v>
      </c>
      <c r="S389" s="64" t="n">
        <f aca="false">IF(AND($Q389&gt;0,$O389&gt;=AboveRank),$Q389,0)</f>
        <v>0</v>
      </c>
      <c r="T389" s="64" t="n">
        <f aca="false">IF($K389="Less",$P389,0)</f>
        <v>0</v>
      </c>
      <c r="U389" s="64" t="n">
        <f aca="false">IF($K389="Expected",$P389,0)</f>
        <v>2</v>
      </c>
      <c r="V389" s="64" t="n">
        <f aca="false">IF($K389="Better",$P389,0)</f>
        <v>0</v>
      </c>
      <c r="W389" s="64" t="n">
        <f aca="false">IF($K389="U – needs rule",$P389,0)</f>
        <v>0</v>
      </c>
      <c r="X389" s="64" t="n">
        <f aca="false">IF($K389="No Start (attainment only)",$P389,0)</f>
        <v>0</v>
      </c>
    </row>
    <row r="390" customFormat="false" ht="15" hidden="false" customHeight="false" outlineLevel="0" collapsed="false">
      <c r="A390" s="60" t="s">
        <v>796</v>
      </c>
      <c r="B390" s="61" t="str">
        <f aca="false">IF($M390=0,"",INDEX(Classes!$E$6:$E$420,$M390))</f>
        <v>Arabic A</v>
      </c>
      <c r="C390" s="62" t="str">
        <f aca="false">IF($M390=0,"",INDEX(Classes!$H$6:$H$420,$M390))</f>
        <v>Mr Ayman Bobo</v>
      </c>
      <c r="D390" s="61" t="str">
        <f aca="false">IF($M390=0,"",INDEX(Classes!$B$6:$B$420,$M390))</f>
        <v>Year 10</v>
      </c>
      <c r="E390" s="61" t="str">
        <f aca="false">IF($M390=0,"",INDEX(Classes!$C$6:$C$420,$M390))</f>
        <v>ip</v>
      </c>
      <c r="F390" s="63" t="s">
        <v>107</v>
      </c>
      <c r="G390" s="63" t="s">
        <v>1016</v>
      </c>
      <c r="H390" s="60" t="s">
        <v>202</v>
      </c>
      <c r="I390" s="60" t="s">
        <v>204</v>
      </c>
      <c r="J390" s="63" t="n">
        <v>2</v>
      </c>
      <c r="K390" s="61" t="str">
        <f aca="false">IF($P390=0,"",IF($F390="Baseline","— Baseline",IF($O390=0,"No result",IF($N390=0,"No Start (attainment only)",IF(OR($N390=1,$O390=1),"U – needs rule",INDEX(MxBody,MATCH($I390,MxCurr,0),MATCH($H390,MxStart,0)))))))</f>
        <v>Better</v>
      </c>
      <c r="L390" s="62" t="str">
        <f aca="false">IF(COUNTA($A390,$F390,$G390,$H390,$I390,$J390)=0,"",IF($M390=0,"✖ كود الصف غير موجود",IF(ISNA(MATCH($F390,Lists!$A$2:$A$5,0)),"✖ الفترة غير صحيحة",IF(ISNA(MATCH($G390,Lists!$B$2:$B$7,0)),"✖ المجموعة غير صحيحة",IF(NOT(OR($H390="",$N390&gt;0)),"✖ Start غير صحيح",IF(NOT(OR($I390="",$I390="NR",$O390&gt;0)),"✖ Current غير صحيح",IF(NOT(IF(ISNUMBER($J390),AND($J390&gt;=0,$J390=INT($J390)),FALSE())),"✖ العدد يجب أن يكون صحيحًا ≥ 0",IF(AND($F390="Baseline",$H390&lt;&gt;""),"⚠ Baseline: Start لا يدخل في التقدم",IF($K390="No Start (attainment only)","ℹ تحصيل فقط (بدون Start)",IF($K390="U – needs rule","ℹ حالة U تحتاج قاعدة معتمدة",IF($K390="No result","ℹ بدون نتيجة (يُستبعد من التحصيل)","OK")))))))))))</f>
        <v>OK</v>
      </c>
      <c r="M390" s="64" t="n">
        <f aca="false">IF($A390="",0,IFERROR(MATCH($A390,Classes!$A$6:$A$420,0),0))</f>
        <v>299</v>
      </c>
      <c r="N390" s="64" t="n">
        <f aca="false">IF($H390="",0,IFERROR(MATCH($H390,GradeList,0),0))</f>
        <v>7</v>
      </c>
      <c r="O390" s="64" t="n">
        <f aca="false">IF(OR($I390="",$I390="NR"),0,IFERROR(MATCH($I390,GradeList,0),0))</f>
        <v>9</v>
      </c>
      <c r="P390" s="64" t="n">
        <f aca="false">IF(AND($M390&gt;0,ISNUMBER(MATCH($F390,Lists!$A$2:$A$5,0)),ISNUMBER(MATCH($G390,Lists!$B$2:$B$7,0)),OR($H390="",$N390&gt;0),OR($I390="",$I390="NR",$O390&gt;0),IF(ISNUMBER($J390),AND($J390&gt;=0,$J390=INT($J390)),FALSE())),$J390,0)</f>
        <v>2</v>
      </c>
      <c r="Q390" s="64" t="n">
        <f aca="false">IF(AND($P390&gt;0,$O390&gt;0),$P390,0)</f>
        <v>2</v>
      </c>
      <c r="R390" s="64" t="n">
        <f aca="false">IF(AND($Q390&gt;0,$O390&gt;=AtRank),$Q390,0)</f>
        <v>2</v>
      </c>
      <c r="S390" s="64" t="n">
        <f aca="false">IF(AND($Q390&gt;0,$O390&gt;=AboveRank),$Q390,0)</f>
        <v>2</v>
      </c>
      <c r="T390" s="64" t="n">
        <f aca="false">IF($K390="Less",$P390,0)</f>
        <v>0</v>
      </c>
      <c r="U390" s="64" t="n">
        <f aca="false">IF($K390="Expected",$P390,0)</f>
        <v>0</v>
      </c>
      <c r="V390" s="64" t="n">
        <f aca="false">IF($K390="Better",$P390,0)</f>
        <v>2</v>
      </c>
      <c r="W390" s="64" t="n">
        <f aca="false">IF($K390="U – needs rule",$P390,0)</f>
        <v>0</v>
      </c>
      <c r="X390" s="64" t="n">
        <f aca="false">IF($K390="No Start (attainment only)",$P390,0)</f>
        <v>0</v>
      </c>
    </row>
    <row r="391" customFormat="false" ht="15" hidden="false" customHeight="false" outlineLevel="0" collapsed="false">
      <c r="A391" s="60" t="s">
        <v>796</v>
      </c>
      <c r="B391" s="61" t="str">
        <f aca="false">IF($M391=0,"",INDEX(Classes!$E$6:$E$420,$M391))</f>
        <v>Arabic A</v>
      </c>
      <c r="C391" s="62" t="str">
        <f aca="false">IF($M391=0,"",INDEX(Classes!$H$6:$H$420,$M391))</f>
        <v>Mr Ayman Bobo</v>
      </c>
      <c r="D391" s="61" t="str">
        <f aca="false">IF($M391=0,"",INDEX(Classes!$B$6:$B$420,$M391))</f>
        <v>Year 10</v>
      </c>
      <c r="E391" s="61" t="str">
        <f aca="false">IF($M391=0,"",INDEX(Classes!$C$6:$C$420,$M391))</f>
        <v>ip</v>
      </c>
      <c r="F391" s="63" t="s">
        <v>107</v>
      </c>
      <c r="G391" s="63" t="s">
        <v>1016</v>
      </c>
      <c r="H391" s="60" t="s">
        <v>203</v>
      </c>
      <c r="I391" s="60" t="s">
        <v>204</v>
      </c>
      <c r="J391" s="63" t="n">
        <v>2</v>
      </c>
      <c r="K391" s="61" t="str">
        <f aca="false">IF($P391=0,"",IF($F391="Baseline","— Baseline",IF($O391=0,"No result",IF($N391=0,"No Start (attainment only)",IF(OR($N391=1,$O391=1),"U – needs rule",INDEX(MxBody,MATCH($I391,MxCurr,0),MATCH($H391,MxStart,0)))))))</f>
        <v>Better</v>
      </c>
      <c r="L391" s="62" t="str">
        <f aca="false">IF(COUNTA($A391,$F391,$G391,$H391,$I391,$J391)=0,"",IF($M391=0,"✖ كود الصف غير موجود",IF(ISNA(MATCH($F391,Lists!$A$2:$A$5,0)),"✖ الفترة غير صحيحة",IF(ISNA(MATCH($G391,Lists!$B$2:$B$7,0)),"✖ المجموعة غير صحيحة",IF(NOT(OR($H391="",$N391&gt;0)),"✖ Start غير صحيح",IF(NOT(OR($I391="",$I391="NR",$O391&gt;0)),"✖ Current غير صحيح",IF(NOT(IF(ISNUMBER($J391),AND($J391&gt;=0,$J391=INT($J391)),FALSE())),"✖ العدد يجب أن يكون صحيحًا ≥ 0",IF(AND($F391="Baseline",$H391&lt;&gt;""),"⚠ Baseline: Start لا يدخل في التقدم",IF($K391="No Start (attainment only)","ℹ تحصيل فقط (بدون Start)",IF($K391="U – needs rule","ℹ حالة U تحتاج قاعدة معتمدة",IF($K391="No result","ℹ بدون نتيجة (يُستبعد من التحصيل)","OK")))))))))))</f>
        <v>OK</v>
      </c>
      <c r="M391" s="64" t="n">
        <f aca="false">IF($A391="",0,IFERROR(MATCH($A391,Classes!$A$6:$A$420,0),0))</f>
        <v>299</v>
      </c>
      <c r="N391" s="64" t="n">
        <f aca="false">IF($H391="",0,IFERROR(MATCH($H391,GradeList,0),0))</f>
        <v>8</v>
      </c>
      <c r="O391" s="64" t="n">
        <f aca="false">IF(OR($I391="",$I391="NR"),0,IFERROR(MATCH($I391,GradeList,0),0))</f>
        <v>9</v>
      </c>
      <c r="P391" s="64" t="n">
        <f aca="false">IF(AND($M391&gt;0,ISNUMBER(MATCH($F391,Lists!$A$2:$A$5,0)),ISNUMBER(MATCH($G391,Lists!$B$2:$B$7,0)),OR($H391="",$N391&gt;0),OR($I391="",$I391="NR",$O391&gt;0),IF(ISNUMBER($J391),AND($J391&gt;=0,$J391=INT($J391)),FALSE())),$J391,0)</f>
        <v>2</v>
      </c>
      <c r="Q391" s="64" t="n">
        <f aca="false">IF(AND($P391&gt;0,$O391&gt;0),$P391,0)</f>
        <v>2</v>
      </c>
      <c r="R391" s="64" t="n">
        <f aca="false">IF(AND($Q391&gt;0,$O391&gt;=AtRank),$Q391,0)</f>
        <v>2</v>
      </c>
      <c r="S391" s="64" t="n">
        <f aca="false">IF(AND($Q391&gt;0,$O391&gt;=AboveRank),$Q391,0)</f>
        <v>2</v>
      </c>
      <c r="T391" s="64" t="n">
        <f aca="false">IF($K391="Less",$P391,0)</f>
        <v>0</v>
      </c>
      <c r="U391" s="64" t="n">
        <f aca="false">IF($K391="Expected",$P391,0)</f>
        <v>0</v>
      </c>
      <c r="V391" s="64" t="n">
        <f aca="false">IF($K391="Better",$P391,0)</f>
        <v>2</v>
      </c>
      <c r="W391" s="64" t="n">
        <f aca="false">IF($K391="U – needs rule",$P391,0)</f>
        <v>0</v>
      </c>
      <c r="X391" s="64" t="n">
        <f aca="false">IF($K391="No Start (attainment only)",$P391,0)</f>
        <v>0</v>
      </c>
    </row>
    <row r="392" customFormat="false" ht="15" hidden="false" customHeight="false" outlineLevel="0" collapsed="false">
      <c r="A392" s="60" t="s">
        <v>796</v>
      </c>
      <c r="B392" s="61" t="str">
        <f aca="false">IF($M392=0,"",INDEX(Classes!$E$6:$E$420,$M392))</f>
        <v>Arabic A</v>
      </c>
      <c r="C392" s="62" t="str">
        <f aca="false">IF($M392=0,"",INDEX(Classes!$H$6:$H$420,$M392))</f>
        <v>Mr Ayman Bobo</v>
      </c>
      <c r="D392" s="61" t="str">
        <f aca="false">IF($M392=0,"",INDEX(Classes!$B$6:$B$420,$M392))</f>
        <v>Year 10</v>
      </c>
      <c r="E392" s="61" t="str">
        <f aca="false">IF($M392=0,"",INDEX(Classes!$C$6:$C$420,$M392))</f>
        <v>ip</v>
      </c>
      <c r="F392" s="63" t="s">
        <v>107</v>
      </c>
      <c r="G392" s="63" t="s">
        <v>1016</v>
      </c>
      <c r="H392" s="60" t="s">
        <v>200</v>
      </c>
      <c r="I392" s="60" t="s">
        <v>196</v>
      </c>
      <c r="J392" s="63" t="n">
        <v>1</v>
      </c>
      <c r="K392" s="61" t="str">
        <f aca="false">IF($P392=0,"",IF($F392="Baseline","— Baseline",IF($O392=0,"No result",IF($N392=0,"No Start (attainment only)",IF(OR($N392=1,$O392=1),"U – needs rule",INDEX(MxBody,MATCH($I392,MxCurr,0),MATCH($H392,MxStart,0)))))))</f>
        <v>U – needs rule</v>
      </c>
      <c r="L392" s="62" t="str">
        <f aca="false">IF(COUNTA($A392,$F392,$G392,$H392,$I392,$J392)=0,"",IF($M392=0,"✖ كود الصف غير موجود",IF(ISNA(MATCH($F392,Lists!$A$2:$A$5,0)),"✖ الفترة غير صحيحة",IF(ISNA(MATCH($G392,Lists!$B$2:$B$7,0)),"✖ المجموعة غير صحيحة",IF(NOT(OR($H392="",$N392&gt;0)),"✖ Start غير صحيح",IF(NOT(OR($I392="",$I392="NR",$O392&gt;0)),"✖ Current غير صحيح",IF(NOT(IF(ISNUMBER($J392),AND($J392&gt;=0,$J392=INT($J392)),FALSE())),"✖ العدد يجب أن يكون صحيحًا ≥ 0",IF(AND($F392="Baseline",$H392&lt;&gt;""),"⚠ Baseline: Start لا يدخل في التقدم",IF($K392="No Start (attainment only)","ℹ تحصيل فقط (بدون Start)",IF($K392="U – needs rule","ℹ حالة U تحتاج قاعدة معتمدة",IF($K392="No result","ℹ بدون نتيجة (يُستبعد من التحصيل)","OK")))))))))))</f>
        <v>ℹ حالة U تحتاج قاعدة معتمدة</v>
      </c>
      <c r="M392" s="64" t="n">
        <f aca="false">IF($A392="",0,IFERROR(MATCH($A392,Classes!$A$6:$A$420,0),0))</f>
        <v>299</v>
      </c>
      <c r="N392" s="64" t="n">
        <f aca="false">IF($H392="",0,IFERROR(MATCH($H392,GradeList,0),0))</f>
        <v>5</v>
      </c>
      <c r="O392" s="64" t="n">
        <f aca="false">IF(OR($I392="",$I392="NR"),0,IFERROR(MATCH($I392,GradeList,0),0))</f>
        <v>1</v>
      </c>
      <c r="P392" s="64" t="n">
        <f aca="false">IF(AND($M392&gt;0,ISNUMBER(MATCH($F392,Lists!$A$2:$A$5,0)),ISNUMBER(MATCH($G392,Lists!$B$2:$B$7,0)),OR($H392="",$N392&gt;0),OR($I392="",$I392="NR",$O392&gt;0),IF(ISNUMBER($J392),AND($J392&gt;=0,$J392=INT($J392)),FALSE())),$J392,0)</f>
        <v>1</v>
      </c>
      <c r="Q392" s="64" t="n">
        <f aca="false">IF(AND($P392&gt;0,$O392&gt;0),$P392,0)</f>
        <v>1</v>
      </c>
      <c r="R392" s="64" t="n">
        <f aca="false">IF(AND($Q392&gt;0,$O392&gt;=AtRank),$Q392,0)</f>
        <v>0</v>
      </c>
      <c r="S392" s="64" t="n">
        <f aca="false">IF(AND($Q392&gt;0,$O392&gt;=AboveRank),$Q392,0)</f>
        <v>0</v>
      </c>
      <c r="T392" s="64" t="n">
        <f aca="false">IF($K392="Less",$P392,0)</f>
        <v>0</v>
      </c>
      <c r="U392" s="64" t="n">
        <f aca="false">IF($K392="Expected",$P392,0)</f>
        <v>0</v>
      </c>
      <c r="V392" s="64" t="n">
        <f aca="false">IF($K392="Better",$P392,0)</f>
        <v>0</v>
      </c>
      <c r="W392" s="64" t="n">
        <f aca="false">IF($K392="U – needs rule",$P392,0)</f>
        <v>1</v>
      </c>
      <c r="X392" s="64" t="n">
        <f aca="false">IF($K392="No Start (attainment only)",$P392,0)</f>
        <v>0</v>
      </c>
    </row>
    <row r="393" customFormat="false" ht="15" hidden="false" customHeight="false" outlineLevel="0" collapsed="false">
      <c r="A393" s="60" t="s">
        <v>796</v>
      </c>
      <c r="B393" s="61" t="str">
        <f aca="false">IF($M393=0,"",INDEX(Classes!$E$6:$E$420,$M393))</f>
        <v>Arabic A</v>
      </c>
      <c r="C393" s="62" t="str">
        <f aca="false">IF($M393=0,"",INDEX(Classes!$H$6:$H$420,$M393))</f>
        <v>Mr Ayman Bobo</v>
      </c>
      <c r="D393" s="61" t="str">
        <f aca="false">IF($M393=0,"",INDEX(Classes!$B$6:$B$420,$M393))</f>
        <v>Year 10</v>
      </c>
      <c r="E393" s="61" t="str">
        <f aca="false">IF($M393=0,"",INDEX(Classes!$C$6:$C$420,$M393))</f>
        <v>ip</v>
      </c>
      <c r="F393" s="63" t="s">
        <v>107</v>
      </c>
      <c r="G393" s="63" t="s">
        <v>1016</v>
      </c>
      <c r="H393" s="60" t="s">
        <v>201</v>
      </c>
      <c r="I393" s="60" t="s">
        <v>203</v>
      </c>
      <c r="J393" s="63" t="n">
        <v>1</v>
      </c>
      <c r="K393" s="61" t="str">
        <f aca="false">IF($P393=0,"",IF($F393="Baseline","— Baseline",IF($O393=0,"No result",IF($N393=0,"No Start (attainment only)",IF(OR($N393=1,$O393=1),"U – needs rule",INDEX(MxBody,MATCH($I393,MxCurr,0),MATCH($H393,MxStart,0)))))))</f>
        <v>Better</v>
      </c>
      <c r="L393" s="62" t="str">
        <f aca="false">IF(COUNTA($A393,$F393,$G393,$H393,$I393,$J393)=0,"",IF($M393=0,"✖ كود الصف غير موجود",IF(ISNA(MATCH($F393,Lists!$A$2:$A$5,0)),"✖ الفترة غير صحيحة",IF(ISNA(MATCH($G393,Lists!$B$2:$B$7,0)),"✖ المجموعة غير صحيحة",IF(NOT(OR($H393="",$N393&gt;0)),"✖ Start غير صحيح",IF(NOT(OR($I393="",$I393="NR",$O393&gt;0)),"✖ Current غير صحيح",IF(NOT(IF(ISNUMBER($J393),AND($J393&gt;=0,$J393=INT($J393)),FALSE())),"✖ العدد يجب أن يكون صحيحًا ≥ 0",IF(AND($F393="Baseline",$H393&lt;&gt;""),"⚠ Baseline: Start لا يدخل في التقدم",IF($K393="No Start (attainment only)","ℹ تحصيل فقط (بدون Start)",IF($K393="U – needs rule","ℹ حالة U تحتاج قاعدة معتمدة",IF($K393="No result","ℹ بدون نتيجة (يُستبعد من التحصيل)","OK")))))))))))</f>
        <v>OK</v>
      </c>
      <c r="M393" s="64" t="n">
        <f aca="false">IF($A393="",0,IFERROR(MATCH($A393,Classes!$A$6:$A$420,0),0))</f>
        <v>299</v>
      </c>
      <c r="N393" s="64" t="n">
        <f aca="false">IF($H393="",0,IFERROR(MATCH($H393,GradeList,0),0))</f>
        <v>6</v>
      </c>
      <c r="O393" s="64" t="n">
        <f aca="false">IF(OR($I393="",$I393="NR"),0,IFERROR(MATCH($I393,GradeList,0),0))</f>
        <v>8</v>
      </c>
      <c r="P393" s="64" t="n">
        <f aca="false">IF(AND($M393&gt;0,ISNUMBER(MATCH($F393,Lists!$A$2:$A$5,0)),ISNUMBER(MATCH($G393,Lists!$B$2:$B$7,0)),OR($H393="",$N393&gt;0),OR($I393="",$I393="NR",$O393&gt;0),IF(ISNUMBER($J393),AND($J393&gt;=0,$J393=INT($J393)),FALSE())),$J393,0)</f>
        <v>1</v>
      </c>
      <c r="Q393" s="64" t="n">
        <f aca="false">IF(AND($P393&gt;0,$O393&gt;0),$P393,0)</f>
        <v>1</v>
      </c>
      <c r="R393" s="64" t="n">
        <f aca="false">IF(AND($Q393&gt;0,$O393&gt;=AtRank),$Q393,0)</f>
        <v>1</v>
      </c>
      <c r="S393" s="64" t="n">
        <f aca="false">IF(AND($Q393&gt;0,$O393&gt;=AboveRank),$Q393,0)</f>
        <v>1</v>
      </c>
      <c r="T393" s="64" t="n">
        <f aca="false">IF($K393="Less",$P393,0)</f>
        <v>0</v>
      </c>
      <c r="U393" s="64" t="n">
        <f aca="false">IF($K393="Expected",$P393,0)</f>
        <v>0</v>
      </c>
      <c r="V393" s="64" t="n">
        <f aca="false">IF($K393="Better",$P393,0)</f>
        <v>1</v>
      </c>
      <c r="W393" s="64" t="n">
        <f aca="false">IF($K393="U – needs rule",$P393,0)</f>
        <v>0</v>
      </c>
      <c r="X393" s="64" t="n">
        <f aca="false">IF($K393="No Start (attainment only)",$P393,0)</f>
        <v>0</v>
      </c>
    </row>
    <row r="394" customFormat="false" ht="15" hidden="false" customHeight="false" outlineLevel="0" collapsed="false">
      <c r="A394" s="60" t="s">
        <v>796</v>
      </c>
      <c r="B394" s="61" t="str">
        <f aca="false">IF($M394=0,"",INDEX(Classes!$E$6:$E$420,$M394))</f>
        <v>Arabic A</v>
      </c>
      <c r="C394" s="62" t="str">
        <f aca="false">IF($M394=0,"",INDEX(Classes!$H$6:$H$420,$M394))</f>
        <v>Mr Ayman Bobo</v>
      </c>
      <c r="D394" s="61" t="str">
        <f aca="false">IF($M394=0,"",INDEX(Classes!$B$6:$B$420,$M394))</f>
        <v>Year 10</v>
      </c>
      <c r="E394" s="61" t="str">
        <f aca="false">IF($M394=0,"",INDEX(Classes!$C$6:$C$420,$M394))</f>
        <v>ip</v>
      </c>
      <c r="F394" s="63" t="s">
        <v>107</v>
      </c>
      <c r="G394" s="63" t="s">
        <v>1016</v>
      </c>
      <c r="H394" s="60" t="s">
        <v>201</v>
      </c>
      <c r="I394" s="60" t="s">
        <v>1019</v>
      </c>
      <c r="J394" s="63" t="n">
        <v>1</v>
      </c>
      <c r="K394" s="61" t="str">
        <f aca="false">IF($P394=0,"",IF($F394="Baseline","— Baseline",IF($O394=0,"No result",IF($N394=0,"No Start (attainment only)",IF(OR($N394=1,$O394=1),"U – needs rule",INDEX(MxBody,MATCH($I394,MxCurr,0),MATCH($H394,MxStart,0)))))))</f>
        <v>No result</v>
      </c>
      <c r="L394" s="62" t="str">
        <f aca="false">IF(COUNTA($A394,$F394,$G394,$H394,$I394,$J394)=0,"",IF($M394=0,"✖ كود الصف غير موجود",IF(ISNA(MATCH($F394,Lists!$A$2:$A$5,0)),"✖ الفترة غير صحيحة",IF(ISNA(MATCH($G394,Lists!$B$2:$B$7,0)),"✖ المجموعة غير صحيحة",IF(NOT(OR($H394="",$N394&gt;0)),"✖ Start غير صحيح",IF(NOT(OR($I394="",$I394="NR",$O394&gt;0)),"✖ Current غير صحيح",IF(NOT(IF(ISNUMBER($J394),AND($J394&gt;=0,$J394=INT($J394)),FALSE())),"✖ العدد يجب أن يكون صحيحًا ≥ 0",IF(AND($F394="Baseline",$H394&lt;&gt;""),"⚠ Baseline: Start لا يدخل في التقدم",IF($K394="No Start (attainment only)","ℹ تحصيل فقط (بدون Start)",IF($K394="U – needs rule","ℹ حالة U تحتاج قاعدة معتمدة",IF($K394="No result","ℹ بدون نتيجة (يُستبعد من التحصيل)","OK")))))))))))</f>
        <v>ℹ بدون نتيجة (يُستبعد من التحصيل)</v>
      </c>
      <c r="M394" s="64" t="n">
        <f aca="false">IF($A394="",0,IFERROR(MATCH($A394,Classes!$A$6:$A$420,0),0))</f>
        <v>299</v>
      </c>
      <c r="N394" s="64" t="n">
        <f aca="false">IF($H394="",0,IFERROR(MATCH($H394,GradeList,0),0))</f>
        <v>6</v>
      </c>
      <c r="O394" s="64" t="n">
        <f aca="false">IF(OR($I394="",$I394="NR"),0,IFERROR(MATCH($I394,GradeList,0),0))</f>
        <v>0</v>
      </c>
      <c r="P394" s="64" t="n">
        <f aca="false">IF(AND($M394&gt;0,ISNUMBER(MATCH($F394,Lists!$A$2:$A$5,0)),ISNUMBER(MATCH($G394,Lists!$B$2:$B$7,0)),OR($H394="",$N394&gt;0),OR($I394="",$I394="NR",$O394&gt;0),IF(ISNUMBER($J394),AND($J394&gt;=0,$J394=INT($J394)),FALSE())),$J394,0)</f>
        <v>1</v>
      </c>
      <c r="Q394" s="64" t="n">
        <f aca="false">IF(AND($P394&gt;0,$O394&gt;0),$P394,0)</f>
        <v>0</v>
      </c>
      <c r="R394" s="64" t="n">
        <f aca="false">IF(AND($Q394&gt;0,$O394&gt;=AtRank),$Q394,0)</f>
        <v>0</v>
      </c>
      <c r="S394" s="64" t="n">
        <f aca="false">IF(AND($Q394&gt;0,$O394&gt;=AboveRank),$Q394,0)</f>
        <v>0</v>
      </c>
      <c r="T394" s="64" t="n">
        <f aca="false">IF($K394="Less",$P394,0)</f>
        <v>0</v>
      </c>
      <c r="U394" s="64" t="n">
        <f aca="false">IF($K394="Expected",$P394,0)</f>
        <v>0</v>
      </c>
      <c r="V394" s="64" t="n">
        <f aca="false">IF($K394="Better",$P394,0)</f>
        <v>0</v>
      </c>
      <c r="W394" s="64" t="n">
        <f aca="false">IF($K394="U – needs rule",$P394,0)</f>
        <v>0</v>
      </c>
      <c r="X394" s="64" t="n">
        <f aca="false">IF($K394="No Start (attainment only)",$P394,0)</f>
        <v>0</v>
      </c>
    </row>
    <row r="395" customFormat="false" ht="15" hidden="false" customHeight="false" outlineLevel="0" collapsed="false">
      <c r="A395" s="60" t="s">
        <v>796</v>
      </c>
      <c r="B395" s="61" t="str">
        <f aca="false">IF($M395=0,"",INDEX(Classes!$E$6:$E$420,$M395))</f>
        <v>Arabic A</v>
      </c>
      <c r="C395" s="62" t="str">
        <f aca="false">IF($M395=0,"",INDEX(Classes!$H$6:$H$420,$M395))</f>
        <v>Mr Ayman Bobo</v>
      </c>
      <c r="D395" s="61" t="str">
        <f aca="false">IF($M395=0,"",INDEX(Classes!$B$6:$B$420,$M395))</f>
        <v>Year 10</v>
      </c>
      <c r="E395" s="61" t="str">
        <f aca="false">IF($M395=0,"",INDEX(Classes!$C$6:$C$420,$M395))</f>
        <v>ip</v>
      </c>
      <c r="F395" s="63" t="s">
        <v>107</v>
      </c>
      <c r="G395" s="63" t="s">
        <v>1016</v>
      </c>
      <c r="H395" s="60" t="s">
        <v>204</v>
      </c>
      <c r="I395" s="60" t="s">
        <v>205</v>
      </c>
      <c r="J395" s="63" t="n">
        <v>1</v>
      </c>
      <c r="K395" s="61" t="str">
        <f aca="false">IF($P395=0,"",IF($F395="Baseline","— Baseline",IF($O395=0,"No result",IF($N395=0,"No Start (attainment only)",IF(OR($N395=1,$O395=1),"U – needs rule",INDEX(MxBody,MATCH($I395,MxCurr,0),MATCH($H395,MxStart,0)))))))</f>
        <v>Better</v>
      </c>
      <c r="L395" s="62" t="str">
        <f aca="false">IF(COUNTA($A395,$F395,$G395,$H395,$I395,$J395)=0,"",IF($M395=0,"✖ كود الصف غير موجود",IF(ISNA(MATCH($F395,Lists!$A$2:$A$5,0)),"✖ الفترة غير صحيحة",IF(ISNA(MATCH($G395,Lists!$B$2:$B$7,0)),"✖ المجموعة غير صحيحة",IF(NOT(OR($H395="",$N395&gt;0)),"✖ Start غير صحيح",IF(NOT(OR($I395="",$I395="NR",$O395&gt;0)),"✖ Current غير صحيح",IF(NOT(IF(ISNUMBER($J395),AND($J395&gt;=0,$J395=INT($J395)),FALSE())),"✖ العدد يجب أن يكون صحيحًا ≥ 0",IF(AND($F395="Baseline",$H395&lt;&gt;""),"⚠ Baseline: Start لا يدخل في التقدم",IF($K395="No Start (attainment only)","ℹ تحصيل فقط (بدون Start)",IF($K395="U – needs rule","ℹ حالة U تحتاج قاعدة معتمدة",IF($K395="No result","ℹ بدون نتيجة (يُستبعد من التحصيل)","OK")))))))))))</f>
        <v>OK</v>
      </c>
      <c r="M395" s="64" t="n">
        <f aca="false">IF($A395="",0,IFERROR(MATCH($A395,Classes!$A$6:$A$420,0),0))</f>
        <v>299</v>
      </c>
      <c r="N395" s="64" t="n">
        <f aca="false">IF($H395="",0,IFERROR(MATCH($H395,GradeList,0),0))</f>
        <v>9</v>
      </c>
      <c r="O395" s="64" t="n">
        <f aca="false">IF(OR($I395="",$I395="NR"),0,IFERROR(MATCH($I395,GradeList,0),0))</f>
        <v>10</v>
      </c>
      <c r="P395" s="64" t="n">
        <f aca="false">IF(AND($M395&gt;0,ISNUMBER(MATCH($F395,Lists!$A$2:$A$5,0)),ISNUMBER(MATCH($G395,Lists!$B$2:$B$7,0)),OR($H395="",$N395&gt;0),OR($I395="",$I395="NR",$O395&gt;0),IF(ISNUMBER($J395),AND($J395&gt;=0,$J395=INT($J395)),FALSE())),$J395,0)</f>
        <v>1</v>
      </c>
      <c r="Q395" s="64" t="n">
        <f aca="false">IF(AND($P395&gt;0,$O395&gt;0),$P395,0)</f>
        <v>1</v>
      </c>
      <c r="R395" s="64" t="n">
        <f aca="false">IF(AND($Q395&gt;0,$O395&gt;=AtRank),$Q395,0)</f>
        <v>1</v>
      </c>
      <c r="S395" s="64" t="n">
        <f aca="false">IF(AND($Q395&gt;0,$O395&gt;=AboveRank),$Q395,0)</f>
        <v>1</v>
      </c>
      <c r="T395" s="64" t="n">
        <f aca="false">IF($K395="Less",$P395,0)</f>
        <v>0</v>
      </c>
      <c r="U395" s="64" t="n">
        <f aca="false">IF($K395="Expected",$P395,0)</f>
        <v>0</v>
      </c>
      <c r="V395" s="64" t="n">
        <f aca="false">IF($K395="Better",$P395,0)</f>
        <v>1</v>
      </c>
      <c r="W395" s="64" t="n">
        <f aca="false">IF($K395="U – needs rule",$P395,0)</f>
        <v>0</v>
      </c>
      <c r="X395" s="64" t="n">
        <f aca="false">IF($K395="No Start (attainment only)",$P395,0)</f>
        <v>0</v>
      </c>
    </row>
    <row r="396" customFormat="false" ht="15" hidden="false" customHeight="false" outlineLevel="0" collapsed="false">
      <c r="A396" s="60" t="s">
        <v>796</v>
      </c>
      <c r="B396" s="61" t="str">
        <f aca="false">IF($M396=0,"",INDEX(Classes!$E$6:$E$420,$M396))</f>
        <v>Arabic A</v>
      </c>
      <c r="C396" s="62" t="str">
        <f aca="false">IF($M396=0,"",INDEX(Classes!$H$6:$H$420,$M396))</f>
        <v>Mr Ayman Bobo</v>
      </c>
      <c r="D396" s="61" t="str">
        <f aca="false">IF($M396=0,"",INDEX(Classes!$B$6:$B$420,$M396))</f>
        <v>Year 10</v>
      </c>
      <c r="E396" s="61" t="str">
        <f aca="false">IF($M396=0,"",INDEX(Classes!$C$6:$C$420,$M396))</f>
        <v>ip</v>
      </c>
      <c r="F396" s="63" t="s">
        <v>107</v>
      </c>
      <c r="G396" s="63" t="s">
        <v>1016</v>
      </c>
      <c r="H396" s="60" t="s">
        <v>205</v>
      </c>
      <c r="I396" s="60" t="s">
        <v>205</v>
      </c>
      <c r="J396" s="63" t="n">
        <v>1</v>
      </c>
      <c r="K396" s="61" t="str">
        <f aca="false">IF($P396=0,"",IF($F396="Baseline","— Baseline",IF($O396=0,"No result",IF($N396=0,"No Start (attainment only)",IF(OR($N396=1,$O396=1),"U – needs rule",INDEX(MxBody,MATCH($I396,MxCurr,0),MATCH($H396,MxStart,0)))))))</f>
        <v>Better</v>
      </c>
      <c r="L396" s="62" t="str">
        <f aca="false">IF(COUNTA($A396,$F396,$G396,$H396,$I396,$J396)=0,"",IF($M396=0,"✖ كود الصف غير موجود",IF(ISNA(MATCH($F396,Lists!$A$2:$A$5,0)),"✖ الفترة غير صحيحة",IF(ISNA(MATCH($G396,Lists!$B$2:$B$7,0)),"✖ المجموعة غير صحيحة",IF(NOT(OR($H396="",$N396&gt;0)),"✖ Start غير صحيح",IF(NOT(OR($I396="",$I396="NR",$O396&gt;0)),"✖ Current غير صحيح",IF(NOT(IF(ISNUMBER($J396),AND($J396&gt;=0,$J396=INT($J396)),FALSE())),"✖ العدد يجب أن يكون صحيحًا ≥ 0",IF(AND($F396="Baseline",$H396&lt;&gt;""),"⚠ Baseline: Start لا يدخل في التقدم",IF($K396="No Start (attainment only)","ℹ تحصيل فقط (بدون Start)",IF($K396="U – needs rule","ℹ حالة U تحتاج قاعدة معتمدة",IF($K396="No result","ℹ بدون نتيجة (يُستبعد من التحصيل)","OK")))))))))))</f>
        <v>OK</v>
      </c>
      <c r="M396" s="64" t="n">
        <f aca="false">IF($A396="",0,IFERROR(MATCH($A396,Classes!$A$6:$A$420,0),0))</f>
        <v>299</v>
      </c>
      <c r="N396" s="64" t="n">
        <f aca="false">IF($H396="",0,IFERROR(MATCH($H396,GradeList,0),0))</f>
        <v>10</v>
      </c>
      <c r="O396" s="64" t="n">
        <f aca="false">IF(OR($I396="",$I396="NR"),0,IFERROR(MATCH($I396,GradeList,0),0))</f>
        <v>10</v>
      </c>
      <c r="P396" s="64" t="n">
        <f aca="false">IF(AND($M396&gt;0,ISNUMBER(MATCH($F396,Lists!$A$2:$A$5,0)),ISNUMBER(MATCH($G396,Lists!$B$2:$B$7,0)),OR($H396="",$N396&gt;0),OR($I396="",$I396="NR",$O396&gt;0),IF(ISNUMBER($J396),AND($J396&gt;=0,$J396=INT($J396)),FALSE())),$J396,0)</f>
        <v>1</v>
      </c>
      <c r="Q396" s="64" t="n">
        <f aca="false">IF(AND($P396&gt;0,$O396&gt;0),$P396,0)</f>
        <v>1</v>
      </c>
      <c r="R396" s="64" t="n">
        <f aca="false">IF(AND($Q396&gt;0,$O396&gt;=AtRank),$Q396,0)</f>
        <v>1</v>
      </c>
      <c r="S396" s="64" t="n">
        <f aca="false">IF(AND($Q396&gt;0,$O396&gt;=AboveRank),$Q396,0)</f>
        <v>1</v>
      </c>
      <c r="T396" s="64" t="n">
        <f aca="false">IF($K396="Less",$P396,0)</f>
        <v>0</v>
      </c>
      <c r="U396" s="64" t="n">
        <f aca="false">IF($K396="Expected",$P396,0)</f>
        <v>0</v>
      </c>
      <c r="V396" s="64" t="n">
        <f aca="false">IF($K396="Better",$P396,0)</f>
        <v>1</v>
      </c>
      <c r="W396" s="64" t="n">
        <f aca="false">IF($K396="U – needs rule",$P396,0)</f>
        <v>0</v>
      </c>
      <c r="X396" s="64" t="n">
        <f aca="false">IF($K396="No Start (attainment only)",$P396,0)</f>
        <v>0</v>
      </c>
    </row>
    <row r="397" customFormat="false" ht="15" hidden="false" customHeight="false" outlineLevel="0" collapsed="false">
      <c r="A397" s="60" t="s">
        <v>796</v>
      </c>
      <c r="B397" s="61" t="str">
        <f aca="false">IF($M397=0,"",INDEX(Classes!$E$6:$E$420,$M397))</f>
        <v>Arabic A</v>
      </c>
      <c r="C397" s="62" t="str">
        <f aca="false">IF($M397=0,"",INDEX(Classes!$H$6:$H$420,$M397))</f>
        <v>Mr Ayman Bobo</v>
      </c>
      <c r="D397" s="61" t="str">
        <f aca="false">IF($M397=0,"",INDEX(Classes!$B$6:$B$420,$M397))</f>
        <v>Year 10</v>
      </c>
      <c r="E397" s="61" t="str">
        <f aca="false">IF($M397=0,"",INDEX(Classes!$C$6:$C$420,$M397))</f>
        <v>ip</v>
      </c>
      <c r="F397" s="63" t="s">
        <v>107</v>
      </c>
      <c r="G397" s="63" t="s">
        <v>941</v>
      </c>
      <c r="H397" s="60" t="s">
        <v>203</v>
      </c>
      <c r="I397" s="60" t="s">
        <v>204</v>
      </c>
      <c r="J397" s="63" t="n">
        <v>2</v>
      </c>
      <c r="K397" s="61" t="str">
        <f aca="false">IF($P397=0,"",IF($F397="Baseline","— Baseline",IF($O397=0,"No result",IF($N397=0,"No Start (attainment only)",IF(OR($N397=1,$O397=1),"U – needs rule",INDEX(MxBody,MATCH($I397,MxCurr,0),MATCH($H397,MxStart,0)))))))</f>
        <v>Better</v>
      </c>
      <c r="L397" s="62" t="str">
        <f aca="false">IF(COUNTA($A397,$F397,$G397,$H397,$I397,$J397)=0,"",IF($M397=0,"✖ كود الصف غير موجود",IF(ISNA(MATCH($F397,Lists!$A$2:$A$5,0)),"✖ الفترة غير صحيحة",IF(ISNA(MATCH($G397,Lists!$B$2:$B$7,0)),"✖ المجموعة غير صحيحة",IF(NOT(OR($H397="",$N397&gt;0)),"✖ Start غير صحيح",IF(NOT(OR($I397="",$I397="NR",$O397&gt;0)),"✖ Current غير صحيح",IF(NOT(IF(ISNUMBER($J397),AND($J397&gt;=0,$J397=INT($J397)),FALSE())),"✖ العدد يجب أن يكون صحيحًا ≥ 0",IF(AND($F397="Baseline",$H397&lt;&gt;""),"⚠ Baseline: Start لا يدخل في التقدم",IF($K397="No Start (attainment only)","ℹ تحصيل فقط (بدون Start)",IF($K397="U – needs rule","ℹ حالة U تحتاج قاعدة معتمدة",IF($K397="No result","ℹ بدون نتيجة (يُستبعد من التحصيل)","OK")))))))))))</f>
        <v>OK</v>
      </c>
      <c r="M397" s="64" t="n">
        <f aca="false">IF($A397="",0,IFERROR(MATCH($A397,Classes!$A$6:$A$420,0),0))</f>
        <v>299</v>
      </c>
      <c r="N397" s="64" t="n">
        <f aca="false">IF($H397="",0,IFERROR(MATCH($H397,GradeList,0),0))</f>
        <v>8</v>
      </c>
      <c r="O397" s="64" t="n">
        <f aca="false">IF(OR($I397="",$I397="NR"),0,IFERROR(MATCH($I397,GradeList,0),0))</f>
        <v>9</v>
      </c>
      <c r="P397" s="64" t="n">
        <f aca="false">IF(AND($M397&gt;0,ISNUMBER(MATCH($F397,Lists!$A$2:$A$5,0)),ISNUMBER(MATCH($G397,Lists!$B$2:$B$7,0)),OR($H397="",$N397&gt;0),OR($I397="",$I397="NR",$O397&gt;0),IF(ISNUMBER($J397),AND($J397&gt;=0,$J397=INT($J397)),FALSE())),$J397,0)</f>
        <v>2</v>
      </c>
      <c r="Q397" s="64" t="n">
        <f aca="false">IF(AND($P397&gt;0,$O397&gt;0),$P397,0)</f>
        <v>2</v>
      </c>
      <c r="R397" s="64" t="n">
        <f aca="false">IF(AND($Q397&gt;0,$O397&gt;=AtRank),$Q397,0)</f>
        <v>2</v>
      </c>
      <c r="S397" s="64" t="n">
        <f aca="false">IF(AND($Q397&gt;0,$O397&gt;=AboveRank),$Q397,0)</f>
        <v>2</v>
      </c>
      <c r="T397" s="64" t="n">
        <f aca="false">IF($K397="Less",$P397,0)</f>
        <v>0</v>
      </c>
      <c r="U397" s="64" t="n">
        <f aca="false">IF($K397="Expected",$P397,0)</f>
        <v>0</v>
      </c>
      <c r="V397" s="64" t="n">
        <f aca="false">IF($K397="Better",$P397,0)</f>
        <v>2</v>
      </c>
      <c r="W397" s="64" t="n">
        <f aca="false">IF($K397="U – needs rule",$P397,0)</f>
        <v>0</v>
      </c>
      <c r="X397" s="64" t="n">
        <f aca="false">IF($K397="No Start (attainment only)",$P397,0)</f>
        <v>0</v>
      </c>
    </row>
    <row r="398" customFormat="false" ht="15" hidden="false" customHeight="false" outlineLevel="0" collapsed="false">
      <c r="A398" s="60" t="s">
        <v>796</v>
      </c>
      <c r="B398" s="61" t="str">
        <f aca="false">IF($M398=0,"",INDEX(Classes!$E$6:$E$420,$M398))</f>
        <v>Arabic A</v>
      </c>
      <c r="C398" s="62" t="str">
        <f aca="false">IF($M398=0,"",INDEX(Classes!$H$6:$H$420,$M398))</f>
        <v>Mr Ayman Bobo</v>
      </c>
      <c r="D398" s="61" t="str">
        <f aca="false">IF($M398=0,"",INDEX(Classes!$B$6:$B$420,$M398))</f>
        <v>Year 10</v>
      </c>
      <c r="E398" s="61" t="str">
        <f aca="false">IF($M398=0,"",INDEX(Classes!$C$6:$C$420,$M398))</f>
        <v>ip</v>
      </c>
      <c r="F398" s="63" t="s">
        <v>107</v>
      </c>
      <c r="G398" s="63" t="s">
        <v>941</v>
      </c>
      <c r="H398" s="60" t="s">
        <v>205</v>
      </c>
      <c r="I398" s="60" t="s">
        <v>205</v>
      </c>
      <c r="J398" s="63" t="n">
        <v>1</v>
      </c>
      <c r="K398" s="61" t="str">
        <f aca="false">IF($P398=0,"",IF($F398="Baseline","— Baseline",IF($O398=0,"No result",IF($N398=0,"No Start (attainment only)",IF(OR($N398=1,$O398=1),"U – needs rule",INDEX(MxBody,MATCH($I398,MxCurr,0),MATCH($H398,MxStart,0)))))))</f>
        <v>Better</v>
      </c>
      <c r="L398" s="62" t="str">
        <f aca="false">IF(COUNTA($A398,$F398,$G398,$H398,$I398,$J398)=0,"",IF($M398=0,"✖ كود الصف غير موجود",IF(ISNA(MATCH($F398,Lists!$A$2:$A$5,0)),"✖ الفترة غير صحيحة",IF(ISNA(MATCH($G398,Lists!$B$2:$B$7,0)),"✖ المجموعة غير صحيحة",IF(NOT(OR($H398="",$N398&gt;0)),"✖ Start غير صحيح",IF(NOT(OR($I398="",$I398="NR",$O398&gt;0)),"✖ Current غير صحيح",IF(NOT(IF(ISNUMBER($J398),AND($J398&gt;=0,$J398=INT($J398)),FALSE())),"✖ العدد يجب أن يكون صحيحًا ≥ 0",IF(AND($F398="Baseline",$H398&lt;&gt;""),"⚠ Baseline: Start لا يدخل في التقدم",IF($K398="No Start (attainment only)","ℹ تحصيل فقط (بدون Start)",IF($K398="U – needs rule","ℹ حالة U تحتاج قاعدة معتمدة",IF($K398="No result","ℹ بدون نتيجة (يُستبعد من التحصيل)","OK")))))))))))</f>
        <v>OK</v>
      </c>
      <c r="M398" s="64" t="n">
        <f aca="false">IF($A398="",0,IFERROR(MATCH($A398,Classes!$A$6:$A$420,0),0))</f>
        <v>299</v>
      </c>
      <c r="N398" s="64" t="n">
        <f aca="false">IF($H398="",0,IFERROR(MATCH($H398,GradeList,0),0))</f>
        <v>10</v>
      </c>
      <c r="O398" s="64" t="n">
        <f aca="false">IF(OR($I398="",$I398="NR"),0,IFERROR(MATCH($I398,GradeList,0),0))</f>
        <v>10</v>
      </c>
      <c r="P398" s="64" t="n">
        <f aca="false">IF(AND($M398&gt;0,ISNUMBER(MATCH($F398,Lists!$A$2:$A$5,0)),ISNUMBER(MATCH($G398,Lists!$B$2:$B$7,0)),OR($H398="",$N398&gt;0),OR($I398="",$I398="NR",$O398&gt;0),IF(ISNUMBER($J398),AND($J398&gt;=0,$J398=INT($J398)),FALSE())),$J398,0)</f>
        <v>1</v>
      </c>
      <c r="Q398" s="64" t="n">
        <f aca="false">IF(AND($P398&gt;0,$O398&gt;0),$P398,0)</f>
        <v>1</v>
      </c>
      <c r="R398" s="64" t="n">
        <f aca="false">IF(AND($Q398&gt;0,$O398&gt;=AtRank),$Q398,0)</f>
        <v>1</v>
      </c>
      <c r="S398" s="64" t="n">
        <f aca="false">IF(AND($Q398&gt;0,$O398&gt;=AboveRank),$Q398,0)</f>
        <v>1</v>
      </c>
      <c r="T398" s="64" t="n">
        <f aca="false">IF($K398="Less",$P398,0)</f>
        <v>0</v>
      </c>
      <c r="U398" s="64" t="n">
        <f aca="false">IF($K398="Expected",$P398,0)</f>
        <v>0</v>
      </c>
      <c r="V398" s="64" t="n">
        <f aca="false">IF($K398="Better",$P398,0)</f>
        <v>1</v>
      </c>
      <c r="W398" s="64" t="n">
        <f aca="false">IF($K398="U – needs rule",$P398,0)</f>
        <v>0</v>
      </c>
      <c r="X398" s="64" t="n">
        <f aca="false">IF($K398="No Start (attainment only)",$P398,0)</f>
        <v>0</v>
      </c>
    </row>
    <row r="399" customFormat="false" ht="15" hidden="false" customHeight="false" outlineLevel="0" collapsed="false">
      <c r="A399" s="60" t="s">
        <v>796</v>
      </c>
      <c r="B399" s="61" t="str">
        <f aca="false">IF($M399=0,"",INDEX(Classes!$E$6:$E$420,$M399))</f>
        <v>Arabic A</v>
      </c>
      <c r="C399" s="62" t="str">
        <f aca="false">IF($M399=0,"",INDEX(Classes!$H$6:$H$420,$M399))</f>
        <v>Mr Ayman Bobo</v>
      </c>
      <c r="D399" s="61" t="str">
        <f aca="false">IF($M399=0,"",INDEX(Classes!$B$6:$B$420,$M399))</f>
        <v>Year 10</v>
      </c>
      <c r="E399" s="61" t="str">
        <f aca="false">IF($M399=0,"",INDEX(Classes!$C$6:$C$420,$M399))</f>
        <v>ip</v>
      </c>
      <c r="F399" s="63" t="s">
        <v>107</v>
      </c>
      <c r="G399" s="63" t="s">
        <v>1017</v>
      </c>
      <c r="H399" s="60" t="s">
        <v>201</v>
      </c>
      <c r="I399" s="60" t="s">
        <v>203</v>
      </c>
      <c r="J399" s="63" t="n">
        <v>1</v>
      </c>
      <c r="K399" s="61" t="str">
        <f aca="false">IF($P399=0,"",IF($F399="Baseline","— Baseline",IF($O399=0,"No result",IF($N399=0,"No Start (attainment only)",IF(OR($N399=1,$O399=1),"U – needs rule",INDEX(MxBody,MATCH($I399,MxCurr,0),MATCH($H399,MxStart,0)))))))</f>
        <v>Better</v>
      </c>
      <c r="L399" s="62" t="str">
        <f aca="false">IF(COUNTA($A399,$F399,$G399,$H399,$I399,$J399)=0,"",IF($M399=0,"✖ كود الصف غير موجود",IF(ISNA(MATCH($F399,Lists!$A$2:$A$5,0)),"✖ الفترة غير صحيحة",IF(ISNA(MATCH($G399,Lists!$B$2:$B$7,0)),"✖ المجموعة غير صحيحة",IF(NOT(OR($H399="",$N399&gt;0)),"✖ Start غير صحيح",IF(NOT(OR($I399="",$I399="NR",$O399&gt;0)),"✖ Current غير صحيح",IF(NOT(IF(ISNUMBER($J399),AND($J399&gt;=0,$J399=INT($J399)),FALSE())),"✖ العدد يجب أن يكون صحيحًا ≥ 0",IF(AND($F399="Baseline",$H399&lt;&gt;""),"⚠ Baseline: Start لا يدخل في التقدم",IF($K399="No Start (attainment only)","ℹ تحصيل فقط (بدون Start)",IF($K399="U – needs rule","ℹ حالة U تحتاج قاعدة معتمدة",IF($K399="No result","ℹ بدون نتيجة (يُستبعد من التحصيل)","OK")))))))))))</f>
        <v>OK</v>
      </c>
      <c r="M399" s="64" t="n">
        <f aca="false">IF($A399="",0,IFERROR(MATCH($A399,Classes!$A$6:$A$420,0),0))</f>
        <v>299</v>
      </c>
      <c r="N399" s="64" t="n">
        <f aca="false">IF($H399="",0,IFERROR(MATCH($H399,GradeList,0),0))</f>
        <v>6</v>
      </c>
      <c r="O399" s="64" t="n">
        <f aca="false">IF(OR($I399="",$I399="NR"),0,IFERROR(MATCH($I399,GradeList,0),0))</f>
        <v>8</v>
      </c>
      <c r="P399" s="64" t="n">
        <f aca="false">IF(AND($M399&gt;0,ISNUMBER(MATCH($F399,Lists!$A$2:$A$5,0)),ISNUMBER(MATCH($G399,Lists!$B$2:$B$7,0)),OR($H399="",$N399&gt;0),OR($I399="",$I399="NR",$O399&gt;0),IF(ISNUMBER($J399),AND($J399&gt;=0,$J399=INT($J399)),FALSE())),$J399,0)</f>
        <v>1</v>
      </c>
      <c r="Q399" s="64" t="n">
        <f aca="false">IF(AND($P399&gt;0,$O399&gt;0),$P399,0)</f>
        <v>1</v>
      </c>
      <c r="R399" s="64" t="n">
        <f aca="false">IF(AND($Q399&gt;0,$O399&gt;=AtRank),$Q399,0)</f>
        <v>1</v>
      </c>
      <c r="S399" s="64" t="n">
        <f aca="false">IF(AND($Q399&gt;0,$O399&gt;=AboveRank),$Q399,0)</f>
        <v>1</v>
      </c>
      <c r="T399" s="64" t="n">
        <f aca="false">IF($K399="Less",$P399,0)</f>
        <v>0</v>
      </c>
      <c r="U399" s="64" t="n">
        <f aca="false">IF($K399="Expected",$P399,0)</f>
        <v>0</v>
      </c>
      <c r="V399" s="64" t="n">
        <f aca="false">IF($K399="Better",$P399,0)</f>
        <v>1</v>
      </c>
      <c r="W399" s="64" t="n">
        <f aca="false">IF($K399="U – needs rule",$P399,0)</f>
        <v>0</v>
      </c>
      <c r="X399" s="64" t="n">
        <f aca="false">IF($K399="No Start (attainment only)",$P399,0)</f>
        <v>0</v>
      </c>
    </row>
    <row r="400" customFormat="false" ht="15" hidden="false" customHeight="false" outlineLevel="0" collapsed="false">
      <c r="A400" s="60" t="s">
        <v>796</v>
      </c>
      <c r="B400" s="61" t="str">
        <f aca="false">IF($M400=0,"",INDEX(Classes!$E$6:$E$420,$M400))</f>
        <v>Arabic A</v>
      </c>
      <c r="C400" s="62" t="str">
        <f aca="false">IF($M400=0,"",INDEX(Classes!$H$6:$H$420,$M400))</f>
        <v>Mr Ayman Bobo</v>
      </c>
      <c r="D400" s="61" t="str">
        <f aca="false">IF($M400=0,"",INDEX(Classes!$B$6:$B$420,$M400))</f>
        <v>Year 10</v>
      </c>
      <c r="E400" s="61" t="str">
        <f aca="false">IF($M400=0,"",INDEX(Classes!$C$6:$C$420,$M400))</f>
        <v>ip</v>
      </c>
      <c r="F400" s="63" t="s">
        <v>107</v>
      </c>
      <c r="G400" s="63" t="s">
        <v>1017</v>
      </c>
      <c r="H400" s="60" t="s">
        <v>204</v>
      </c>
      <c r="I400" s="60" t="s">
        <v>205</v>
      </c>
      <c r="J400" s="63" t="n">
        <v>1</v>
      </c>
      <c r="K400" s="61" t="str">
        <f aca="false">IF($P400=0,"",IF($F400="Baseline","— Baseline",IF($O400=0,"No result",IF($N400=0,"No Start (attainment only)",IF(OR($N400=1,$O400=1),"U – needs rule",INDEX(MxBody,MATCH($I400,MxCurr,0),MATCH($H400,MxStart,0)))))))</f>
        <v>Better</v>
      </c>
      <c r="L400" s="62" t="str">
        <f aca="false">IF(COUNTA($A400,$F400,$G400,$H400,$I400,$J400)=0,"",IF($M400=0,"✖ كود الصف غير موجود",IF(ISNA(MATCH($F400,Lists!$A$2:$A$5,0)),"✖ الفترة غير صحيحة",IF(ISNA(MATCH($G400,Lists!$B$2:$B$7,0)),"✖ المجموعة غير صحيحة",IF(NOT(OR($H400="",$N400&gt;0)),"✖ Start غير صحيح",IF(NOT(OR($I400="",$I400="NR",$O400&gt;0)),"✖ Current غير صحيح",IF(NOT(IF(ISNUMBER($J400),AND($J400&gt;=0,$J400=INT($J400)),FALSE())),"✖ العدد يجب أن يكون صحيحًا ≥ 0",IF(AND($F400="Baseline",$H400&lt;&gt;""),"⚠ Baseline: Start لا يدخل في التقدم",IF($K400="No Start (attainment only)","ℹ تحصيل فقط (بدون Start)",IF($K400="U – needs rule","ℹ حالة U تحتاج قاعدة معتمدة",IF($K400="No result","ℹ بدون نتيجة (يُستبعد من التحصيل)","OK")))))))))))</f>
        <v>OK</v>
      </c>
      <c r="M400" s="64" t="n">
        <f aca="false">IF($A400="",0,IFERROR(MATCH($A400,Classes!$A$6:$A$420,0),0))</f>
        <v>299</v>
      </c>
      <c r="N400" s="64" t="n">
        <f aca="false">IF($H400="",0,IFERROR(MATCH($H400,GradeList,0),0))</f>
        <v>9</v>
      </c>
      <c r="O400" s="64" t="n">
        <f aca="false">IF(OR($I400="",$I400="NR"),0,IFERROR(MATCH($I400,GradeList,0),0))</f>
        <v>10</v>
      </c>
      <c r="P400" s="64" t="n">
        <f aca="false">IF(AND($M400&gt;0,ISNUMBER(MATCH($F400,Lists!$A$2:$A$5,0)),ISNUMBER(MATCH($G400,Lists!$B$2:$B$7,0)),OR($H400="",$N400&gt;0),OR($I400="",$I400="NR",$O400&gt;0),IF(ISNUMBER($J400),AND($J400&gt;=0,$J400=INT($J400)),FALSE())),$J400,0)</f>
        <v>1</v>
      </c>
      <c r="Q400" s="64" t="n">
        <f aca="false">IF(AND($P400&gt;0,$O400&gt;0),$P400,0)</f>
        <v>1</v>
      </c>
      <c r="R400" s="64" t="n">
        <f aca="false">IF(AND($Q400&gt;0,$O400&gt;=AtRank),$Q400,0)</f>
        <v>1</v>
      </c>
      <c r="S400" s="64" t="n">
        <f aca="false">IF(AND($Q400&gt;0,$O400&gt;=AboveRank),$Q400,0)</f>
        <v>1</v>
      </c>
      <c r="T400" s="64" t="n">
        <f aca="false">IF($K400="Less",$P400,0)</f>
        <v>0</v>
      </c>
      <c r="U400" s="64" t="n">
        <f aca="false">IF($K400="Expected",$P400,0)</f>
        <v>0</v>
      </c>
      <c r="V400" s="64" t="n">
        <f aca="false">IF($K400="Better",$P400,0)</f>
        <v>1</v>
      </c>
      <c r="W400" s="64" t="n">
        <f aca="false">IF($K400="U – needs rule",$P400,0)</f>
        <v>0</v>
      </c>
      <c r="X400" s="64" t="n">
        <f aca="false">IF($K400="No Start (attainment only)",$P400,0)</f>
        <v>0</v>
      </c>
    </row>
    <row r="401" customFormat="false" ht="15" hidden="false" customHeight="false" outlineLevel="0" collapsed="false">
      <c r="A401" s="60" t="s">
        <v>796</v>
      </c>
      <c r="B401" s="61" t="str">
        <f aca="false">IF($M401=0,"",INDEX(Classes!$E$6:$E$420,$M401))</f>
        <v>Arabic A</v>
      </c>
      <c r="C401" s="62" t="str">
        <f aca="false">IF($M401=0,"",INDEX(Classes!$H$6:$H$420,$M401))</f>
        <v>Mr Ayman Bobo</v>
      </c>
      <c r="D401" s="61" t="str">
        <f aca="false">IF($M401=0,"",INDEX(Classes!$B$6:$B$420,$M401))</f>
        <v>Year 10</v>
      </c>
      <c r="E401" s="61" t="str">
        <f aca="false">IF($M401=0,"",INDEX(Classes!$C$6:$C$420,$M401))</f>
        <v>ip</v>
      </c>
      <c r="F401" s="63" t="s">
        <v>107</v>
      </c>
      <c r="G401" s="63" t="s">
        <v>1018</v>
      </c>
      <c r="H401" s="60"/>
      <c r="I401" s="60" t="s">
        <v>203</v>
      </c>
      <c r="J401" s="63" t="n">
        <v>1</v>
      </c>
      <c r="K401" s="61" t="str">
        <f aca="false">IF($P401=0,"",IF($F401="Baseline","— Baseline",IF($O401=0,"No result",IF($N401=0,"No Start (attainment only)",IF(OR($N401=1,$O401=1),"U – needs rule",INDEX(MxBody,MATCH($I401,MxCurr,0),MATCH($H401,MxStart,0)))))))</f>
        <v>No Start (attainment only)</v>
      </c>
      <c r="L401" s="62" t="str">
        <f aca="false">IF(COUNTA($A401,$F401,$G401,$H401,$I401,$J401)=0,"",IF($M401=0,"✖ كود الصف غير موجود",IF(ISNA(MATCH($F401,Lists!$A$2:$A$5,0)),"✖ الفترة غير صحيحة",IF(ISNA(MATCH($G401,Lists!$B$2:$B$7,0)),"✖ المجموعة غير صحيحة",IF(NOT(OR($H401="",$N401&gt;0)),"✖ Start غير صحيح",IF(NOT(OR($I401="",$I401="NR",$O401&gt;0)),"✖ Current غير صحيح",IF(NOT(IF(ISNUMBER($J401),AND($J401&gt;=0,$J401=INT($J401)),FALSE())),"✖ العدد يجب أن يكون صحيحًا ≥ 0",IF(AND($F401="Baseline",$H401&lt;&gt;""),"⚠ Baseline: Start لا يدخل في التقدم",IF($K401="No Start (attainment only)","ℹ تحصيل فقط (بدون Start)",IF($K401="U – needs rule","ℹ حالة U تحتاج قاعدة معتمدة",IF($K401="No result","ℹ بدون نتيجة (يُستبعد من التحصيل)","OK")))))))))))</f>
        <v>ℹ تحصيل فقط (بدون Start)</v>
      </c>
      <c r="M401" s="64" t="n">
        <f aca="false">IF($A401="",0,IFERROR(MATCH($A401,Classes!$A$6:$A$420,0),0))</f>
        <v>299</v>
      </c>
      <c r="N401" s="64" t="n">
        <f aca="false">IF($H401="",0,IFERROR(MATCH($H401,GradeList,0),0))</f>
        <v>0</v>
      </c>
      <c r="O401" s="64" t="n">
        <f aca="false">IF(OR($I401="",$I401="NR"),0,IFERROR(MATCH($I401,GradeList,0),0))</f>
        <v>8</v>
      </c>
      <c r="P401" s="64" t="n">
        <f aca="false">IF(AND($M401&gt;0,ISNUMBER(MATCH($F401,Lists!$A$2:$A$5,0)),ISNUMBER(MATCH($G401,Lists!$B$2:$B$7,0)),OR($H401="",$N401&gt;0),OR($I401="",$I401="NR",$O401&gt;0),IF(ISNUMBER($J401),AND($J401&gt;=0,$J401=INT($J401)),FALSE())),$J401,0)</f>
        <v>1</v>
      </c>
      <c r="Q401" s="64" t="n">
        <f aca="false">IF(AND($P401&gt;0,$O401&gt;0),$P401,0)</f>
        <v>1</v>
      </c>
      <c r="R401" s="64" t="n">
        <f aca="false">IF(AND($Q401&gt;0,$O401&gt;=AtRank),$Q401,0)</f>
        <v>1</v>
      </c>
      <c r="S401" s="64" t="n">
        <f aca="false">IF(AND($Q401&gt;0,$O401&gt;=AboveRank),$Q401,0)</f>
        <v>1</v>
      </c>
      <c r="T401" s="64" t="n">
        <f aca="false">IF($K401="Less",$P401,0)</f>
        <v>0</v>
      </c>
      <c r="U401" s="64" t="n">
        <f aca="false">IF($K401="Expected",$P401,0)</f>
        <v>0</v>
      </c>
      <c r="V401" s="64" t="n">
        <f aca="false">IF($K401="Better",$P401,0)</f>
        <v>0</v>
      </c>
      <c r="W401" s="64" t="n">
        <f aca="false">IF($K401="U – needs rule",$P401,0)</f>
        <v>0</v>
      </c>
      <c r="X401" s="64" t="n">
        <f aca="false">IF($K401="No Start (attainment only)",$P401,0)</f>
        <v>1</v>
      </c>
    </row>
    <row r="402" customFormat="false" ht="15" hidden="false" customHeight="false" outlineLevel="0" collapsed="false">
      <c r="A402" s="60" t="s">
        <v>796</v>
      </c>
      <c r="B402" s="61" t="str">
        <f aca="false">IF($M402=0,"",INDEX(Classes!$E$6:$E$420,$M402))</f>
        <v>Arabic A</v>
      </c>
      <c r="C402" s="62" t="str">
        <f aca="false">IF($M402=0,"",INDEX(Classes!$H$6:$H$420,$M402))</f>
        <v>Mr Ayman Bobo</v>
      </c>
      <c r="D402" s="61" t="str">
        <f aca="false">IF($M402=0,"",INDEX(Classes!$B$6:$B$420,$M402))</f>
        <v>Year 10</v>
      </c>
      <c r="E402" s="61" t="str">
        <f aca="false">IF($M402=0,"",INDEX(Classes!$C$6:$C$420,$M402))</f>
        <v>ip</v>
      </c>
      <c r="F402" s="63" t="s">
        <v>107</v>
      </c>
      <c r="G402" s="63" t="s">
        <v>1018</v>
      </c>
      <c r="H402" s="60" t="s">
        <v>202</v>
      </c>
      <c r="I402" s="60" t="s">
        <v>201</v>
      </c>
      <c r="J402" s="63" t="n">
        <v>1</v>
      </c>
      <c r="K402" s="61" t="str">
        <f aca="false">IF($P402=0,"",IF($F402="Baseline","— Baseline",IF($O402=0,"No result",IF($N402=0,"No Start (attainment only)",IF(OR($N402=1,$O402=1),"U – needs rule",INDEX(MxBody,MATCH($I402,MxCurr,0),MATCH($H402,MxStart,0)))))))</f>
        <v>Expected</v>
      </c>
      <c r="L402" s="62" t="str">
        <f aca="false">IF(COUNTA($A402,$F402,$G402,$H402,$I402,$J402)=0,"",IF($M402=0,"✖ كود الصف غير موجود",IF(ISNA(MATCH($F402,Lists!$A$2:$A$5,0)),"✖ الفترة غير صحيحة",IF(ISNA(MATCH($G402,Lists!$B$2:$B$7,0)),"✖ المجموعة غير صحيحة",IF(NOT(OR($H402="",$N402&gt;0)),"✖ Start غير صحيح",IF(NOT(OR($I402="",$I402="NR",$O402&gt;0)),"✖ Current غير صحيح",IF(NOT(IF(ISNUMBER($J402),AND($J402&gt;=0,$J402=INT($J402)),FALSE())),"✖ العدد يجب أن يكون صحيحًا ≥ 0",IF(AND($F402="Baseline",$H402&lt;&gt;""),"⚠ Baseline: Start لا يدخل في التقدم",IF($K402="No Start (attainment only)","ℹ تحصيل فقط (بدون Start)",IF($K402="U – needs rule","ℹ حالة U تحتاج قاعدة معتمدة",IF($K402="No result","ℹ بدون نتيجة (يُستبعد من التحصيل)","OK")))))))))))</f>
        <v>OK</v>
      </c>
      <c r="M402" s="64" t="n">
        <f aca="false">IF($A402="",0,IFERROR(MATCH($A402,Classes!$A$6:$A$420,0),0))</f>
        <v>299</v>
      </c>
      <c r="N402" s="64" t="n">
        <f aca="false">IF($H402="",0,IFERROR(MATCH($H402,GradeList,0),0))</f>
        <v>7</v>
      </c>
      <c r="O402" s="64" t="n">
        <f aca="false">IF(OR($I402="",$I402="NR"),0,IFERROR(MATCH($I402,GradeList,0),0))</f>
        <v>6</v>
      </c>
      <c r="P402" s="64" t="n">
        <f aca="false">IF(AND($M402&gt;0,ISNUMBER(MATCH($F402,Lists!$A$2:$A$5,0)),ISNUMBER(MATCH($G402,Lists!$B$2:$B$7,0)),OR($H402="",$N402&gt;0),OR($I402="",$I402="NR",$O402&gt;0),IF(ISNUMBER($J402),AND($J402&gt;=0,$J402=INT($J402)),FALSE())),$J402,0)</f>
        <v>1</v>
      </c>
      <c r="Q402" s="64" t="n">
        <f aca="false">IF(AND($P402&gt;0,$O402&gt;0),$P402,0)</f>
        <v>1</v>
      </c>
      <c r="R402" s="64" t="n">
        <f aca="false">IF(AND($Q402&gt;0,$O402&gt;=AtRank),$Q402,0)</f>
        <v>1</v>
      </c>
      <c r="S402" s="64" t="n">
        <f aca="false">IF(AND($Q402&gt;0,$O402&gt;=AboveRank),$Q402,0)</f>
        <v>0</v>
      </c>
      <c r="T402" s="64" t="n">
        <f aca="false">IF($K402="Less",$P402,0)</f>
        <v>0</v>
      </c>
      <c r="U402" s="64" t="n">
        <f aca="false">IF($K402="Expected",$P402,0)</f>
        <v>1</v>
      </c>
      <c r="V402" s="64" t="n">
        <f aca="false">IF($K402="Better",$P402,0)</f>
        <v>0</v>
      </c>
      <c r="W402" s="64" t="n">
        <f aca="false">IF($K402="U – needs rule",$P402,0)</f>
        <v>0</v>
      </c>
      <c r="X402" s="64" t="n">
        <f aca="false">IF($K402="No Start (attainment only)",$P402,0)</f>
        <v>0</v>
      </c>
    </row>
    <row r="403" customFormat="false" ht="15" hidden="false" customHeight="false" outlineLevel="0" collapsed="false">
      <c r="A403" s="60" t="s">
        <v>796</v>
      </c>
      <c r="B403" s="61" t="str">
        <f aca="false">IF($M403=0,"",INDEX(Classes!$E$6:$E$420,$M403))</f>
        <v>Arabic A</v>
      </c>
      <c r="C403" s="62" t="str">
        <f aca="false">IF($M403=0,"",INDEX(Classes!$H$6:$H$420,$M403))</f>
        <v>Mr Ayman Bobo</v>
      </c>
      <c r="D403" s="61" t="str">
        <f aca="false">IF($M403=0,"",INDEX(Classes!$B$6:$B$420,$M403))</f>
        <v>Year 10</v>
      </c>
      <c r="E403" s="61" t="str">
        <f aca="false">IF($M403=0,"",INDEX(Classes!$C$6:$C$420,$M403))</f>
        <v>ip</v>
      </c>
      <c r="F403" s="63" t="s">
        <v>107</v>
      </c>
      <c r="G403" s="63" t="s">
        <v>1018</v>
      </c>
      <c r="H403" s="60" t="s">
        <v>203</v>
      </c>
      <c r="I403" s="60" t="s">
        <v>204</v>
      </c>
      <c r="J403" s="63" t="n">
        <v>1</v>
      </c>
      <c r="K403" s="61" t="str">
        <f aca="false">IF($P403=0,"",IF($F403="Baseline","— Baseline",IF($O403=0,"No result",IF($N403=0,"No Start (attainment only)",IF(OR($N403=1,$O403=1),"U – needs rule",INDEX(MxBody,MATCH($I403,MxCurr,0),MATCH($H403,MxStart,0)))))))</f>
        <v>Better</v>
      </c>
      <c r="L403" s="62" t="str">
        <f aca="false">IF(COUNTA($A403,$F403,$G403,$H403,$I403,$J403)=0,"",IF($M403=0,"✖ كود الصف غير موجود",IF(ISNA(MATCH($F403,Lists!$A$2:$A$5,0)),"✖ الفترة غير صحيحة",IF(ISNA(MATCH($G403,Lists!$B$2:$B$7,0)),"✖ المجموعة غير صحيحة",IF(NOT(OR($H403="",$N403&gt;0)),"✖ Start غير صحيح",IF(NOT(OR($I403="",$I403="NR",$O403&gt;0)),"✖ Current غير صحيح",IF(NOT(IF(ISNUMBER($J403),AND($J403&gt;=0,$J403=INT($J403)),FALSE())),"✖ العدد يجب أن يكون صحيحًا ≥ 0",IF(AND($F403="Baseline",$H403&lt;&gt;""),"⚠ Baseline: Start لا يدخل في التقدم",IF($K403="No Start (attainment only)","ℹ تحصيل فقط (بدون Start)",IF($K403="U – needs rule","ℹ حالة U تحتاج قاعدة معتمدة",IF($K403="No result","ℹ بدون نتيجة (يُستبعد من التحصيل)","OK")))))))))))</f>
        <v>OK</v>
      </c>
      <c r="M403" s="64" t="n">
        <f aca="false">IF($A403="",0,IFERROR(MATCH($A403,Classes!$A$6:$A$420,0),0))</f>
        <v>299</v>
      </c>
      <c r="N403" s="64" t="n">
        <f aca="false">IF($H403="",0,IFERROR(MATCH($H403,GradeList,0),0))</f>
        <v>8</v>
      </c>
      <c r="O403" s="64" t="n">
        <f aca="false">IF(OR($I403="",$I403="NR"),0,IFERROR(MATCH($I403,GradeList,0),0))</f>
        <v>9</v>
      </c>
      <c r="P403" s="64" t="n">
        <f aca="false">IF(AND($M403&gt;0,ISNUMBER(MATCH($F403,Lists!$A$2:$A$5,0)),ISNUMBER(MATCH($G403,Lists!$B$2:$B$7,0)),OR($H403="",$N403&gt;0),OR($I403="",$I403="NR",$O403&gt;0),IF(ISNUMBER($J403),AND($J403&gt;=0,$J403=INT($J403)),FALSE())),$J403,0)</f>
        <v>1</v>
      </c>
      <c r="Q403" s="64" t="n">
        <f aca="false">IF(AND($P403&gt;0,$O403&gt;0),$P403,0)</f>
        <v>1</v>
      </c>
      <c r="R403" s="64" t="n">
        <f aca="false">IF(AND($Q403&gt;0,$O403&gt;=AtRank),$Q403,0)</f>
        <v>1</v>
      </c>
      <c r="S403" s="64" t="n">
        <f aca="false">IF(AND($Q403&gt;0,$O403&gt;=AboveRank),$Q403,0)</f>
        <v>1</v>
      </c>
      <c r="T403" s="64" t="n">
        <f aca="false">IF($K403="Less",$P403,0)</f>
        <v>0</v>
      </c>
      <c r="U403" s="64" t="n">
        <f aca="false">IF($K403="Expected",$P403,0)</f>
        <v>0</v>
      </c>
      <c r="V403" s="64" t="n">
        <f aca="false">IF($K403="Better",$P403,0)</f>
        <v>1</v>
      </c>
      <c r="W403" s="64" t="n">
        <f aca="false">IF($K403="U – needs rule",$P403,0)</f>
        <v>0</v>
      </c>
      <c r="X403" s="64" t="n">
        <f aca="false">IF($K403="No Start (attainment only)",$P403,0)</f>
        <v>0</v>
      </c>
    </row>
    <row r="404" customFormat="false" ht="15" hidden="false" customHeight="false" outlineLevel="0" collapsed="false">
      <c r="A404" s="60" t="s">
        <v>796</v>
      </c>
      <c r="B404" s="61" t="str">
        <f aca="false">IF($M404=0,"",INDEX(Classes!$E$6:$E$420,$M404))</f>
        <v>Arabic A</v>
      </c>
      <c r="C404" s="62" t="str">
        <f aca="false">IF($M404=0,"",INDEX(Classes!$H$6:$H$420,$M404))</f>
        <v>Mr Ayman Bobo</v>
      </c>
      <c r="D404" s="61" t="str">
        <f aca="false">IF($M404=0,"",INDEX(Classes!$B$6:$B$420,$M404))</f>
        <v>Year 10</v>
      </c>
      <c r="E404" s="61" t="str">
        <f aca="false">IF($M404=0,"",INDEX(Classes!$C$6:$C$420,$M404))</f>
        <v>ip</v>
      </c>
      <c r="F404" s="63" t="s">
        <v>107</v>
      </c>
      <c r="G404" s="63" t="s">
        <v>1018</v>
      </c>
      <c r="H404" s="60" t="s">
        <v>200</v>
      </c>
      <c r="I404" s="60" t="s">
        <v>196</v>
      </c>
      <c r="J404" s="63" t="n">
        <v>1</v>
      </c>
      <c r="K404" s="61" t="str">
        <f aca="false">IF($P404=0,"",IF($F404="Baseline","— Baseline",IF($O404=0,"No result",IF($N404=0,"No Start (attainment only)",IF(OR($N404=1,$O404=1),"U – needs rule",INDEX(MxBody,MATCH($I404,MxCurr,0),MATCH($H404,MxStart,0)))))))</f>
        <v>U – needs rule</v>
      </c>
      <c r="L404" s="62" t="str">
        <f aca="false">IF(COUNTA($A404,$F404,$G404,$H404,$I404,$J404)=0,"",IF($M404=0,"✖ كود الصف غير موجود",IF(ISNA(MATCH($F404,Lists!$A$2:$A$5,0)),"✖ الفترة غير صحيحة",IF(ISNA(MATCH($G404,Lists!$B$2:$B$7,0)),"✖ المجموعة غير صحيحة",IF(NOT(OR($H404="",$N404&gt;0)),"✖ Start غير صحيح",IF(NOT(OR($I404="",$I404="NR",$O404&gt;0)),"✖ Current غير صحيح",IF(NOT(IF(ISNUMBER($J404),AND($J404&gt;=0,$J404=INT($J404)),FALSE())),"✖ العدد يجب أن يكون صحيحًا ≥ 0",IF(AND($F404="Baseline",$H404&lt;&gt;""),"⚠ Baseline: Start لا يدخل في التقدم",IF($K404="No Start (attainment only)","ℹ تحصيل فقط (بدون Start)",IF($K404="U – needs rule","ℹ حالة U تحتاج قاعدة معتمدة",IF($K404="No result","ℹ بدون نتيجة (يُستبعد من التحصيل)","OK")))))))))))</f>
        <v>ℹ حالة U تحتاج قاعدة معتمدة</v>
      </c>
      <c r="M404" s="64" t="n">
        <f aca="false">IF($A404="",0,IFERROR(MATCH($A404,Classes!$A$6:$A$420,0),0))</f>
        <v>299</v>
      </c>
      <c r="N404" s="64" t="n">
        <f aca="false">IF($H404="",0,IFERROR(MATCH($H404,GradeList,0),0))</f>
        <v>5</v>
      </c>
      <c r="O404" s="64" t="n">
        <f aca="false">IF(OR($I404="",$I404="NR"),0,IFERROR(MATCH($I404,GradeList,0),0))</f>
        <v>1</v>
      </c>
      <c r="P404" s="64" t="n">
        <f aca="false">IF(AND($M404&gt;0,ISNUMBER(MATCH($F404,Lists!$A$2:$A$5,0)),ISNUMBER(MATCH($G404,Lists!$B$2:$B$7,0)),OR($H404="",$N404&gt;0),OR($I404="",$I404="NR",$O404&gt;0),IF(ISNUMBER($J404),AND($J404&gt;=0,$J404=INT($J404)),FALSE())),$J404,0)</f>
        <v>1</v>
      </c>
      <c r="Q404" s="64" t="n">
        <f aca="false">IF(AND($P404&gt;0,$O404&gt;0),$P404,0)</f>
        <v>1</v>
      </c>
      <c r="R404" s="64" t="n">
        <f aca="false">IF(AND($Q404&gt;0,$O404&gt;=AtRank),$Q404,0)</f>
        <v>0</v>
      </c>
      <c r="S404" s="64" t="n">
        <f aca="false">IF(AND($Q404&gt;0,$O404&gt;=AboveRank),$Q404,0)</f>
        <v>0</v>
      </c>
      <c r="T404" s="64" t="n">
        <f aca="false">IF($K404="Less",$P404,0)</f>
        <v>0</v>
      </c>
      <c r="U404" s="64" t="n">
        <f aca="false">IF($K404="Expected",$P404,0)</f>
        <v>0</v>
      </c>
      <c r="V404" s="64" t="n">
        <f aca="false">IF($K404="Better",$P404,0)</f>
        <v>0</v>
      </c>
      <c r="W404" s="64" t="n">
        <f aca="false">IF($K404="U – needs rule",$P404,0)</f>
        <v>1</v>
      </c>
      <c r="X404" s="64" t="n">
        <f aca="false">IF($K404="No Start (attainment only)",$P404,0)</f>
        <v>0</v>
      </c>
    </row>
    <row r="405" customFormat="false" ht="15" hidden="false" customHeight="false" outlineLevel="0" collapsed="false">
      <c r="A405" s="60" t="s">
        <v>797</v>
      </c>
      <c r="B405" s="61" t="str">
        <f aca="false">IF($M405=0,"",INDEX(Classes!$E$6:$E$420,$M405))</f>
        <v>Arabic A</v>
      </c>
      <c r="C405" s="62" t="str">
        <f aca="false">IF($M405=0,"",INDEX(Classes!$H$6:$H$420,$M405))</f>
        <v>Mr Elsaid A Eltantawi</v>
      </c>
      <c r="D405" s="61" t="str">
        <f aca="false">IF($M405=0,"",INDEX(Classes!$B$6:$B$420,$M405))</f>
        <v>Year 10</v>
      </c>
      <c r="E405" s="61" t="str">
        <f aca="false">IF($M405=0,"",INDEX(Classes!$C$6:$C$420,$M405))</f>
        <v>ip</v>
      </c>
      <c r="F405" s="63" t="s">
        <v>162</v>
      </c>
      <c r="G405" s="63" t="s">
        <v>108</v>
      </c>
      <c r="H405" s="60"/>
      <c r="I405" s="60" t="s">
        <v>202</v>
      </c>
      <c r="J405" s="63" t="n">
        <v>7</v>
      </c>
      <c r="K405" s="61" t="str">
        <f aca="false">IF($P405=0,"",IF($F405="Baseline","— Baseline",IF($O405=0,"No result",IF($N405=0,"No Start (attainment only)",IF(OR($N405=1,$O405=1),"U – needs rule",INDEX(MxBody,MATCH($I405,MxCurr,0),MATCH($H405,MxStart,0)))))))</f>
        <v>— Baseline</v>
      </c>
      <c r="L405" s="62" t="str">
        <f aca="false">IF(COUNTA($A405,$F405,$G405,$H405,$I405,$J405)=0,"",IF($M405=0,"✖ كود الصف غير موجود",IF(ISNA(MATCH($F405,Lists!$A$2:$A$5,0)),"✖ الفترة غير صحيحة",IF(ISNA(MATCH($G405,Lists!$B$2:$B$7,0)),"✖ المجموعة غير صحيحة",IF(NOT(OR($H405="",$N405&gt;0)),"✖ Start غير صحيح",IF(NOT(OR($I405="",$I405="NR",$O405&gt;0)),"✖ Current غير صحيح",IF(NOT(IF(ISNUMBER($J405),AND($J405&gt;=0,$J405=INT($J405)),FALSE())),"✖ العدد يجب أن يكون صحيحًا ≥ 0",IF(AND($F405="Baseline",$H405&lt;&gt;""),"⚠ Baseline: Start لا يدخل في التقدم",IF($K405="No Start (attainment only)","ℹ تحصيل فقط (بدون Start)",IF($K405="U – needs rule","ℹ حالة U تحتاج قاعدة معتمدة",IF($K405="No result","ℹ بدون نتيجة (يُستبعد من التحصيل)","OK")))))))))))</f>
        <v>OK</v>
      </c>
      <c r="M405" s="64" t="n">
        <f aca="false">IF($A405="",0,IFERROR(MATCH($A405,Classes!$A$6:$A$420,0),0))</f>
        <v>300</v>
      </c>
      <c r="N405" s="64" t="n">
        <f aca="false">IF($H405="",0,IFERROR(MATCH($H405,GradeList,0),0))</f>
        <v>0</v>
      </c>
      <c r="O405" s="64" t="n">
        <f aca="false">IF(OR($I405="",$I405="NR"),0,IFERROR(MATCH($I405,GradeList,0),0))</f>
        <v>7</v>
      </c>
      <c r="P405" s="64" t="n">
        <f aca="false">IF(AND($M405&gt;0,ISNUMBER(MATCH($F405,Lists!$A$2:$A$5,0)),ISNUMBER(MATCH($G405,Lists!$B$2:$B$7,0)),OR($H405="",$N405&gt;0),OR($I405="",$I405="NR",$O405&gt;0),IF(ISNUMBER($J405),AND($J405&gt;=0,$J405=INT($J405)),FALSE())),$J405,0)</f>
        <v>7</v>
      </c>
      <c r="Q405" s="64" t="n">
        <f aca="false">IF(AND($P405&gt;0,$O405&gt;0),$P405,0)</f>
        <v>7</v>
      </c>
      <c r="R405" s="64" t="n">
        <f aca="false">IF(AND($Q405&gt;0,$O405&gt;=AtRank),$Q405,0)</f>
        <v>7</v>
      </c>
      <c r="S405" s="64" t="n">
        <f aca="false">IF(AND($Q405&gt;0,$O405&gt;=AboveRank),$Q405,0)</f>
        <v>7</v>
      </c>
      <c r="T405" s="64" t="n">
        <f aca="false">IF($K405="Less",$P405,0)</f>
        <v>0</v>
      </c>
      <c r="U405" s="64" t="n">
        <f aca="false">IF($K405="Expected",$P405,0)</f>
        <v>0</v>
      </c>
      <c r="V405" s="64" t="n">
        <f aca="false">IF($K405="Better",$P405,0)</f>
        <v>0</v>
      </c>
      <c r="W405" s="64" t="n">
        <f aca="false">IF($K405="U – needs rule",$P405,0)</f>
        <v>0</v>
      </c>
      <c r="X405" s="64" t="n">
        <f aca="false">IF($K405="No Start (attainment only)",$P405,0)</f>
        <v>0</v>
      </c>
    </row>
    <row r="406" customFormat="false" ht="15" hidden="false" customHeight="false" outlineLevel="0" collapsed="false">
      <c r="A406" s="60" t="s">
        <v>797</v>
      </c>
      <c r="B406" s="61" t="str">
        <f aca="false">IF($M406=0,"",INDEX(Classes!$E$6:$E$420,$M406))</f>
        <v>Arabic A</v>
      </c>
      <c r="C406" s="62" t="str">
        <f aca="false">IF($M406=0,"",INDEX(Classes!$H$6:$H$420,$M406))</f>
        <v>Mr Elsaid A Eltantawi</v>
      </c>
      <c r="D406" s="61" t="str">
        <f aca="false">IF($M406=0,"",INDEX(Classes!$B$6:$B$420,$M406))</f>
        <v>Year 10</v>
      </c>
      <c r="E406" s="61" t="str">
        <f aca="false">IF($M406=0,"",INDEX(Classes!$C$6:$C$420,$M406))</f>
        <v>ip</v>
      </c>
      <c r="F406" s="63" t="s">
        <v>162</v>
      </c>
      <c r="G406" s="63" t="s">
        <v>108</v>
      </c>
      <c r="H406" s="60"/>
      <c r="I406" s="60" t="s">
        <v>203</v>
      </c>
      <c r="J406" s="63" t="n">
        <v>1</v>
      </c>
      <c r="K406" s="61" t="str">
        <f aca="false">IF($P406=0,"",IF($F406="Baseline","— Baseline",IF($O406=0,"No result",IF($N406=0,"No Start (attainment only)",IF(OR($N406=1,$O406=1),"U – needs rule",INDEX(MxBody,MATCH($I406,MxCurr,0),MATCH($H406,MxStart,0)))))))</f>
        <v>— Baseline</v>
      </c>
      <c r="L406" s="62" t="str">
        <f aca="false">IF(COUNTA($A406,$F406,$G406,$H406,$I406,$J406)=0,"",IF($M406=0,"✖ كود الصف غير موجود",IF(ISNA(MATCH($F406,Lists!$A$2:$A$5,0)),"✖ الفترة غير صحيحة",IF(ISNA(MATCH($G406,Lists!$B$2:$B$7,0)),"✖ المجموعة غير صحيحة",IF(NOT(OR($H406="",$N406&gt;0)),"✖ Start غير صحيح",IF(NOT(OR($I406="",$I406="NR",$O406&gt;0)),"✖ Current غير صحيح",IF(NOT(IF(ISNUMBER($J406),AND($J406&gt;=0,$J406=INT($J406)),FALSE())),"✖ العدد يجب أن يكون صحيحًا ≥ 0",IF(AND($F406="Baseline",$H406&lt;&gt;""),"⚠ Baseline: Start لا يدخل في التقدم",IF($K406="No Start (attainment only)","ℹ تحصيل فقط (بدون Start)",IF($K406="U – needs rule","ℹ حالة U تحتاج قاعدة معتمدة",IF($K406="No result","ℹ بدون نتيجة (يُستبعد من التحصيل)","OK")))))))))))</f>
        <v>OK</v>
      </c>
      <c r="M406" s="64" t="n">
        <f aca="false">IF($A406="",0,IFERROR(MATCH($A406,Classes!$A$6:$A$420,0),0))</f>
        <v>300</v>
      </c>
      <c r="N406" s="64" t="n">
        <f aca="false">IF($H406="",0,IFERROR(MATCH($H406,GradeList,0),0))</f>
        <v>0</v>
      </c>
      <c r="O406" s="64" t="n">
        <f aca="false">IF(OR($I406="",$I406="NR"),0,IFERROR(MATCH($I406,GradeList,0),0))</f>
        <v>8</v>
      </c>
      <c r="P406" s="64" t="n">
        <f aca="false">IF(AND($M406&gt;0,ISNUMBER(MATCH($F406,Lists!$A$2:$A$5,0)),ISNUMBER(MATCH($G406,Lists!$B$2:$B$7,0)),OR($H406="",$N406&gt;0),OR($I406="",$I406="NR",$O406&gt;0),IF(ISNUMBER($J406),AND($J406&gt;=0,$J406=INT($J406)),FALSE())),$J406,0)</f>
        <v>1</v>
      </c>
      <c r="Q406" s="64" t="n">
        <f aca="false">IF(AND($P406&gt;0,$O406&gt;0),$P406,0)</f>
        <v>1</v>
      </c>
      <c r="R406" s="64" t="n">
        <f aca="false">IF(AND($Q406&gt;0,$O406&gt;=AtRank),$Q406,0)</f>
        <v>1</v>
      </c>
      <c r="S406" s="64" t="n">
        <f aca="false">IF(AND($Q406&gt;0,$O406&gt;=AboveRank),$Q406,0)</f>
        <v>1</v>
      </c>
      <c r="T406" s="64" t="n">
        <f aca="false">IF($K406="Less",$P406,0)</f>
        <v>0</v>
      </c>
      <c r="U406" s="64" t="n">
        <f aca="false">IF($K406="Expected",$P406,0)</f>
        <v>0</v>
      </c>
      <c r="V406" s="64" t="n">
        <f aca="false">IF($K406="Better",$P406,0)</f>
        <v>0</v>
      </c>
      <c r="W406" s="64" t="n">
        <f aca="false">IF($K406="U – needs rule",$P406,0)</f>
        <v>0</v>
      </c>
      <c r="X406" s="64" t="n">
        <f aca="false">IF($K406="No Start (attainment only)",$P406,0)</f>
        <v>0</v>
      </c>
    </row>
    <row r="407" customFormat="false" ht="15" hidden="false" customHeight="false" outlineLevel="0" collapsed="false">
      <c r="A407" s="60" t="s">
        <v>797</v>
      </c>
      <c r="B407" s="61" t="str">
        <f aca="false">IF($M407=0,"",INDEX(Classes!$E$6:$E$420,$M407))</f>
        <v>Arabic A</v>
      </c>
      <c r="C407" s="62" t="str">
        <f aca="false">IF($M407=0,"",INDEX(Classes!$H$6:$H$420,$M407))</f>
        <v>Mr Elsaid A Eltantawi</v>
      </c>
      <c r="D407" s="61" t="str">
        <f aca="false">IF($M407=0,"",INDEX(Classes!$B$6:$B$420,$M407))</f>
        <v>Year 10</v>
      </c>
      <c r="E407" s="61" t="str">
        <f aca="false">IF($M407=0,"",INDEX(Classes!$C$6:$C$420,$M407))</f>
        <v>ip</v>
      </c>
      <c r="F407" s="63" t="s">
        <v>162</v>
      </c>
      <c r="G407" s="63" t="s">
        <v>108</v>
      </c>
      <c r="H407" s="60"/>
      <c r="I407" s="60" t="s">
        <v>200</v>
      </c>
      <c r="J407" s="63" t="n">
        <v>7</v>
      </c>
      <c r="K407" s="61" t="str">
        <f aca="false">IF($P407=0,"",IF($F407="Baseline","— Baseline",IF($O407=0,"No result",IF($N407=0,"No Start (attainment only)",IF(OR($N407=1,$O407=1),"U – needs rule",INDEX(MxBody,MATCH($I407,MxCurr,0),MATCH($H407,MxStart,0)))))))</f>
        <v>— Baseline</v>
      </c>
      <c r="L407" s="62" t="str">
        <f aca="false">IF(COUNTA($A407,$F407,$G407,$H407,$I407,$J407)=0,"",IF($M407=0,"✖ كود الصف غير موجود",IF(ISNA(MATCH($F407,Lists!$A$2:$A$5,0)),"✖ الفترة غير صحيحة",IF(ISNA(MATCH($G407,Lists!$B$2:$B$7,0)),"✖ المجموعة غير صحيحة",IF(NOT(OR($H407="",$N407&gt;0)),"✖ Start غير صحيح",IF(NOT(OR($I407="",$I407="NR",$O407&gt;0)),"✖ Current غير صحيح",IF(NOT(IF(ISNUMBER($J407),AND($J407&gt;=0,$J407=INT($J407)),FALSE())),"✖ العدد يجب أن يكون صحيحًا ≥ 0",IF(AND($F407="Baseline",$H407&lt;&gt;""),"⚠ Baseline: Start لا يدخل في التقدم",IF($K407="No Start (attainment only)","ℹ تحصيل فقط (بدون Start)",IF($K407="U – needs rule","ℹ حالة U تحتاج قاعدة معتمدة",IF($K407="No result","ℹ بدون نتيجة (يُستبعد من التحصيل)","OK")))))))))))</f>
        <v>OK</v>
      </c>
      <c r="M407" s="64" t="n">
        <f aca="false">IF($A407="",0,IFERROR(MATCH($A407,Classes!$A$6:$A$420,0),0))</f>
        <v>300</v>
      </c>
      <c r="N407" s="64" t="n">
        <f aca="false">IF($H407="",0,IFERROR(MATCH($H407,GradeList,0),0))</f>
        <v>0</v>
      </c>
      <c r="O407" s="64" t="n">
        <f aca="false">IF(OR($I407="",$I407="NR"),0,IFERROR(MATCH($I407,GradeList,0),0))</f>
        <v>5</v>
      </c>
      <c r="P407" s="64" t="n">
        <f aca="false">IF(AND($M407&gt;0,ISNUMBER(MATCH($F407,Lists!$A$2:$A$5,0)),ISNUMBER(MATCH($G407,Lists!$B$2:$B$7,0)),OR($H407="",$N407&gt;0),OR($I407="",$I407="NR",$O407&gt;0),IF(ISNUMBER($J407),AND($J407&gt;=0,$J407=INT($J407)),FALSE())),$J407,0)</f>
        <v>7</v>
      </c>
      <c r="Q407" s="64" t="n">
        <f aca="false">IF(AND($P407&gt;0,$O407&gt;0),$P407,0)</f>
        <v>7</v>
      </c>
      <c r="R407" s="64" t="n">
        <f aca="false">IF(AND($Q407&gt;0,$O407&gt;=AtRank),$Q407,0)</f>
        <v>7</v>
      </c>
      <c r="S407" s="64" t="n">
        <f aca="false">IF(AND($Q407&gt;0,$O407&gt;=AboveRank),$Q407,0)</f>
        <v>0</v>
      </c>
      <c r="T407" s="64" t="n">
        <f aca="false">IF($K407="Less",$P407,0)</f>
        <v>0</v>
      </c>
      <c r="U407" s="64" t="n">
        <f aca="false">IF($K407="Expected",$P407,0)</f>
        <v>0</v>
      </c>
      <c r="V407" s="64" t="n">
        <f aca="false">IF($K407="Better",$P407,0)</f>
        <v>0</v>
      </c>
      <c r="W407" s="64" t="n">
        <f aca="false">IF($K407="U – needs rule",$P407,0)</f>
        <v>0</v>
      </c>
      <c r="X407" s="64" t="n">
        <f aca="false">IF($K407="No Start (attainment only)",$P407,0)</f>
        <v>0</v>
      </c>
    </row>
    <row r="408" customFormat="false" ht="15" hidden="false" customHeight="false" outlineLevel="0" collapsed="false">
      <c r="A408" s="60" t="s">
        <v>797</v>
      </c>
      <c r="B408" s="61" t="str">
        <f aca="false">IF($M408=0,"",INDEX(Classes!$E$6:$E$420,$M408))</f>
        <v>Arabic A</v>
      </c>
      <c r="C408" s="62" t="str">
        <f aca="false">IF($M408=0,"",INDEX(Classes!$H$6:$H$420,$M408))</f>
        <v>Mr Elsaid A Eltantawi</v>
      </c>
      <c r="D408" s="61" t="str">
        <f aca="false">IF($M408=0,"",INDEX(Classes!$B$6:$B$420,$M408))</f>
        <v>Year 10</v>
      </c>
      <c r="E408" s="61" t="str">
        <f aca="false">IF($M408=0,"",INDEX(Classes!$C$6:$C$420,$M408))</f>
        <v>ip</v>
      </c>
      <c r="F408" s="63" t="s">
        <v>162</v>
      </c>
      <c r="G408" s="63" t="s">
        <v>108</v>
      </c>
      <c r="H408" s="60"/>
      <c r="I408" s="60" t="s">
        <v>201</v>
      </c>
      <c r="J408" s="63" t="n">
        <v>4</v>
      </c>
      <c r="K408" s="61" t="str">
        <f aca="false">IF($P408=0,"",IF($F408="Baseline","— Baseline",IF($O408=0,"No result",IF($N408=0,"No Start (attainment only)",IF(OR($N408=1,$O408=1),"U – needs rule",INDEX(MxBody,MATCH($I408,MxCurr,0),MATCH($H408,MxStart,0)))))))</f>
        <v>— Baseline</v>
      </c>
      <c r="L408" s="62" t="str">
        <f aca="false">IF(COUNTA($A408,$F408,$G408,$H408,$I408,$J408)=0,"",IF($M408=0,"✖ كود الصف غير موجود",IF(ISNA(MATCH($F408,Lists!$A$2:$A$5,0)),"✖ الفترة غير صحيحة",IF(ISNA(MATCH($G408,Lists!$B$2:$B$7,0)),"✖ المجموعة غير صحيحة",IF(NOT(OR($H408="",$N408&gt;0)),"✖ Start غير صحيح",IF(NOT(OR($I408="",$I408="NR",$O408&gt;0)),"✖ Current غير صحيح",IF(NOT(IF(ISNUMBER($J408),AND($J408&gt;=0,$J408=INT($J408)),FALSE())),"✖ العدد يجب أن يكون صحيحًا ≥ 0",IF(AND($F408="Baseline",$H408&lt;&gt;""),"⚠ Baseline: Start لا يدخل في التقدم",IF($K408="No Start (attainment only)","ℹ تحصيل فقط (بدون Start)",IF($K408="U – needs rule","ℹ حالة U تحتاج قاعدة معتمدة",IF($K408="No result","ℹ بدون نتيجة (يُستبعد من التحصيل)","OK")))))))))))</f>
        <v>OK</v>
      </c>
      <c r="M408" s="64" t="n">
        <f aca="false">IF($A408="",0,IFERROR(MATCH($A408,Classes!$A$6:$A$420,0),0))</f>
        <v>300</v>
      </c>
      <c r="N408" s="64" t="n">
        <f aca="false">IF($H408="",0,IFERROR(MATCH($H408,GradeList,0),0))</f>
        <v>0</v>
      </c>
      <c r="O408" s="64" t="n">
        <f aca="false">IF(OR($I408="",$I408="NR"),0,IFERROR(MATCH($I408,GradeList,0),0))</f>
        <v>6</v>
      </c>
      <c r="P408" s="64" t="n">
        <f aca="false">IF(AND($M408&gt;0,ISNUMBER(MATCH($F408,Lists!$A$2:$A$5,0)),ISNUMBER(MATCH($G408,Lists!$B$2:$B$7,0)),OR($H408="",$N408&gt;0),OR($I408="",$I408="NR",$O408&gt;0),IF(ISNUMBER($J408),AND($J408&gt;=0,$J408=INT($J408)),FALSE())),$J408,0)</f>
        <v>4</v>
      </c>
      <c r="Q408" s="64" t="n">
        <f aca="false">IF(AND($P408&gt;0,$O408&gt;0),$P408,0)</f>
        <v>4</v>
      </c>
      <c r="R408" s="64" t="n">
        <f aca="false">IF(AND($Q408&gt;0,$O408&gt;=AtRank),$Q408,0)</f>
        <v>4</v>
      </c>
      <c r="S408" s="64" t="n">
        <f aca="false">IF(AND($Q408&gt;0,$O408&gt;=AboveRank),$Q408,0)</f>
        <v>0</v>
      </c>
      <c r="T408" s="64" t="n">
        <f aca="false">IF($K408="Less",$P408,0)</f>
        <v>0</v>
      </c>
      <c r="U408" s="64" t="n">
        <f aca="false">IF($K408="Expected",$P408,0)</f>
        <v>0</v>
      </c>
      <c r="V408" s="64" t="n">
        <f aca="false">IF($K408="Better",$P408,0)</f>
        <v>0</v>
      </c>
      <c r="W408" s="64" t="n">
        <f aca="false">IF($K408="U – needs rule",$P408,0)</f>
        <v>0</v>
      </c>
      <c r="X408" s="64" t="n">
        <f aca="false">IF($K408="No Start (attainment only)",$P408,0)</f>
        <v>0</v>
      </c>
    </row>
    <row r="409" customFormat="false" ht="15" hidden="false" customHeight="false" outlineLevel="0" collapsed="false">
      <c r="A409" s="60" t="s">
        <v>797</v>
      </c>
      <c r="B409" s="61" t="str">
        <f aca="false">IF($M409=0,"",INDEX(Classes!$E$6:$E$420,$M409))</f>
        <v>Arabic A</v>
      </c>
      <c r="C409" s="62" t="str">
        <f aca="false">IF($M409=0,"",INDEX(Classes!$H$6:$H$420,$M409))</f>
        <v>Mr Elsaid A Eltantawi</v>
      </c>
      <c r="D409" s="61" t="str">
        <f aca="false">IF($M409=0,"",INDEX(Classes!$B$6:$B$420,$M409))</f>
        <v>Year 10</v>
      </c>
      <c r="E409" s="61" t="str">
        <f aca="false">IF($M409=0,"",INDEX(Classes!$C$6:$C$420,$M409))</f>
        <v>ip</v>
      </c>
      <c r="F409" s="63" t="s">
        <v>162</v>
      </c>
      <c r="G409" s="63" t="s">
        <v>108</v>
      </c>
      <c r="H409" s="60"/>
      <c r="I409" s="60" t="s">
        <v>204</v>
      </c>
      <c r="J409" s="63" t="n">
        <v>1</v>
      </c>
      <c r="K409" s="61" t="str">
        <f aca="false">IF($P409=0,"",IF($F409="Baseline","— Baseline",IF($O409=0,"No result",IF($N409=0,"No Start (attainment only)",IF(OR($N409=1,$O409=1),"U – needs rule",INDEX(MxBody,MATCH($I409,MxCurr,0),MATCH($H409,MxStart,0)))))))</f>
        <v>— Baseline</v>
      </c>
      <c r="L409" s="62" t="str">
        <f aca="false">IF(COUNTA($A409,$F409,$G409,$H409,$I409,$J409)=0,"",IF($M409=0,"✖ كود الصف غير موجود",IF(ISNA(MATCH($F409,Lists!$A$2:$A$5,0)),"✖ الفترة غير صحيحة",IF(ISNA(MATCH($G409,Lists!$B$2:$B$7,0)),"✖ المجموعة غير صحيحة",IF(NOT(OR($H409="",$N409&gt;0)),"✖ Start غير صحيح",IF(NOT(OR($I409="",$I409="NR",$O409&gt;0)),"✖ Current غير صحيح",IF(NOT(IF(ISNUMBER($J409),AND($J409&gt;=0,$J409=INT($J409)),FALSE())),"✖ العدد يجب أن يكون صحيحًا ≥ 0",IF(AND($F409="Baseline",$H409&lt;&gt;""),"⚠ Baseline: Start لا يدخل في التقدم",IF($K409="No Start (attainment only)","ℹ تحصيل فقط (بدون Start)",IF($K409="U – needs rule","ℹ حالة U تحتاج قاعدة معتمدة",IF($K409="No result","ℹ بدون نتيجة (يُستبعد من التحصيل)","OK")))))))))))</f>
        <v>OK</v>
      </c>
      <c r="M409" s="64" t="n">
        <f aca="false">IF($A409="",0,IFERROR(MATCH($A409,Classes!$A$6:$A$420,0),0))</f>
        <v>300</v>
      </c>
      <c r="N409" s="64" t="n">
        <f aca="false">IF($H409="",0,IFERROR(MATCH($H409,GradeList,0),0))</f>
        <v>0</v>
      </c>
      <c r="O409" s="64" t="n">
        <f aca="false">IF(OR($I409="",$I409="NR"),0,IFERROR(MATCH($I409,GradeList,0),0))</f>
        <v>9</v>
      </c>
      <c r="P409" s="64" t="n">
        <f aca="false">IF(AND($M409&gt;0,ISNUMBER(MATCH($F409,Lists!$A$2:$A$5,0)),ISNUMBER(MATCH($G409,Lists!$B$2:$B$7,0)),OR($H409="",$N409&gt;0),OR($I409="",$I409="NR",$O409&gt;0),IF(ISNUMBER($J409),AND($J409&gt;=0,$J409=INT($J409)),FALSE())),$J409,0)</f>
        <v>1</v>
      </c>
      <c r="Q409" s="64" t="n">
        <f aca="false">IF(AND($P409&gt;0,$O409&gt;0),$P409,0)</f>
        <v>1</v>
      </c>
      <c r="R409" s="64" t="n">
        <f aca="false">IF(AND($Q409&gt;0,$O409&gt;=AtRank),$Q409,0)</f>
        <v>1</v>
      </c>
      <c r="S409" s="64" t="n">
        <f aca="false">IF(AND($Q409&gt;0,$O409&gt;=AboveRank),$Q409,0)</f>
        <v>1</v>
      </c>
      <c r="T409" s="64" t="n">
        <f aca="false">IF($K409="Less",$P409,0)</f>
        <v>0</v>
      </c>
      <c r="U409" s="64" t="n">
        <f aca="false">IF($K409="Expected",$P409,0)</f>
        <v>0</v>
      </c>
      <c r="V409" s="64" t="n">
        <f aca="false">IF($K409="Better",$P409,0)</f>
        <v>0</v>
      </c>
      <c r="W409" s="64" t="n">
        <f aca="false">IF($K409="U – needs rule",$P409,0)</f>
        <v>0</v>
      </c>
      <c r="X409" s="64" t="n">
        <f aca="false">IF($K409="No Start (attainment only)",$P409,0)</f>
        <v>0</v>
      </c>
    </row>
    <row r="410" customFormat="false" ht="15" hidden="false" customHeight="false" outlineLevel="0" collapsed="false">
      <c r="A410" s="60" t="s">
        <v>797</v>
      </c>
      <c r="B410" s="61" t="str">
        <f aca="false">IF($M410=0,"",INDEX(Classes!$E$6:$E$420,$M410))</f>
        <v>Arabic A</v>
      </c>
      <c r="C410" s="62" t="str">
        <f aca="false">IF($M410=0,"",INDEX(Classes!$H$6:$H$420,$M410))</f>
        <v>Mr Elsaid A Eltantawi</v>
      </c>
      <c r="D410" s="61" t="str">
        <f aca="false">IF($M410=0,"",INDEX(Classes!$B$6:$B$420,$M410))</f>
        <v>Year 10</v>
      </c>
      <c r="E410" s="61" t="str">
        <f aca="false">IF($M410=0,"",INDEX(Classes!$C$6:$C$420,$M410))</f>
        <v>ip</v>
      </c>
      <c r="F410" s="63" t="s">
        <v>162</v>
      </c>
      <c r="G410" s="63" t="s">
        <v>108</v>
      </c>
      <c r="H410" s="60"/>
      <c r="I410" s="60" t="s">
        <v>199</v>
      </c>
      <c r="J410" s="63" t="n">
        <v>1</v>
      </c>
      <c r="K410" s="61" t="str">
        <f aca="false">IF($P410=0,"",IF($F410="Baseline","— Baseline",IF($O410=0,"No result",IF($N410=0,"No Start (attainment only)",IF(OR($N410=1,$O410=1),"U – needs rule",INDEX(MxBody,MATCH($I410,MxCurr,0),MATCH($H410,MxStart,0)))))))</f>
        <v>— Baseline</v>
      </c>
      <c r="L410" s="62" t="str">
        <f aca="false">IF(COUNTA($A410,$F410,$G410,$H410,$I410,$J410)=0,"",IF($M410=0,"✖ كود الصف غير موجود",IF(ISNA(MATCH($F410,Lists!$A$2:$A$5,0)),"✖ الفترة غير صحيحة",IF(ISNA(MATCH($G410,Lists!$B$2:$B$7,0)),"✖ المجموعة غير صحيحة",IF(NOT(OR($H410="",$N410&gt;0)),"✖ Start غير صحيح",IF(NOT(OR($I410="",$I410="NR",$O410&gt;0)),"✖ Current غير صحيح",IF(NOT(IF(ISNUMBER($J410),AND($J410&gt;=0,$J410=INT($J410)),FALSE())),"✖ العدد يجب أن يكون صحيحًا ≥ 0",IF(AND($F410="Baseline",$H410&lt;&gt;""),"⚠ Baseline: Start لا يدخل في التقدم",IF($K410="No Start (attainment only)","ℹ تحصيل فقط (بدون Start)",IF($K410="U – needs rule","ℹ حالة U تحتاج قاعدة معتمدة",IF($K410="No result","ℹ بدون نتيجة (يُستبعد من التحصيل)","OK")))))))))))</f>
        <v>OK</v>
      </c>
      <c r="M410" s="64" t="n">
        <f aca="false">IF($A410="",0,IFERROR(MATCH($A410,Classes!$A$6:$A$420,0),0))</f>
        <v>300</v>
      </c>
      <c r="N410" s="64" t="n">
        <f aca="false">IF($H410="",0,IFERROR(MATCH($H410,GradeList,0),0))</f>
        <v>0</v>
      </c>
      <c r="O410" s="64" t="n">
        <f aca="false">IF(OR($I410="",$I410="NR"),0,IFERROR(MATCH($I410,GradeList,0),0))</f>
        <v>4</v>
      </c>
      <c r="P410" s="64" t="n">
        <f aca="false">IF(AND($M410&gt;0,ISNUMBER(MATCH($F410,Lists!$A$2:$A$5,0)),ISNUMBER(MATCH($G410,Lists!$B$2:$B$7,0)),OR($H410="",$N410&gt;0),OR($I410="",$I410="NR",$O410&gt;0),IF(ISNUMBER($J410),AND($J410&gt;=0,$J410=INT($J410)),FALSE())),$J410,0)</f>
        <v>1</v>
      </c>
      <c r="Q410" s="64" t="n">
        <f aca="false">IF(AND($P410&gt;0,$O410&gt;0),$P410,0)</f>
        <v>1</v>
      </c>
      <c r="R410" s="64" t="n">
        <f aca="false">IF(AND($Q410&gt;0,$O410&gt;=AtRank),$Q410,0)</f>
        <v>0</v>
      </c>
      <c r="S410" s="64" t="n">
        <f aca="false">IF(AND($Q410&gt;0,$O410&gt;=AboveRank),$Q410,0)</f>
        <v>0</v>
      </c>
      <c r="T410" s="64" t="n">
        <f aca="false">IF($K410="Less",$P410,0)</f>
        <v>0</v>
      </c>
      <c r="U410" s="64" t="n">
        <f aca="false">IF($K410="Expected",$P410,0)</f>
        <v>0</v>
      </c>
      <c r="V410" s="64" t="n">
        <f aca="false">IF($K410="Better",$P410,0)</f>
        <v>0</v>
      </c>
      <c r="W410" s="64" t="n">
        <f aca="false">IF($K410="U – needs rule",$P410,0)</f>
        <v>0</v>
      </c>
      <c r="X410" s="64" t="n">
        <f aca="false">IF($K410="No Start (attainment only)",$P410,0)</f>
        <v>0</v>
      </c>
    </row>
    <row r="411" customFormat="false" ht="15" hidden="false" customHeight="false" outlineLevel="0" collapsed="false">
      <c r="A411" s="60" t="s">
        <v>797</v>
      </c>
      <c r="B411" s="61" t="str">
        <f aca="false">IF($M411=0,"",INDEX(Classes!$E$6:$E$420,$M411))</f>
        <v>Arabic A</v>
      </c>
      <c r="C411" s="62" t="str">
        <f aca="false">IF($M411=0,"",INDEX(Classes!$H$6:$H$420,$M411))</f>
        <v>Mr Elsaid A Eltantawi</v>
      </c>
      <c r="D411" s="61" t="str">
        <f aca="false">IF($M411=0,"",INDEX(Classes!$B$6:$B$420,$M411))</f>
        <v>Year 10</v>
      </c>
      <c r="E411" s="61" t="str">
        <f aca="false">IF($M411=0,"",INDEX(Classes!$C$6:$C$420,$M411))</f>
        <v>ip</v>
      </c>
      <c r="F411" s="63" t="s">
        <v>162</v>
      </c>
      <c r="G411" s="63" t="s">
        <v>1015</v>
      </c>
      <c r="H411" s="60"/>
      <c r="I411" s="60" t="s">
        <v>202</v>
      </c>
      <c r="J411" s="63" t="n">
        <v>4</v>
      </c>
      <c r="K411" s="61" t="str">
        <f aca="false">IF($P411=0,"",IF($F411="Baseline","— Baseline",IF($O411=0,"No result",IF($N411=0,"No Start (attainment only)",IF(OR($N411=1,$O411=1),"U – needs rule",INDEX(MxBody,MATCH($I411,MxCurr,0),MATCH($H411,MxStart,0)))))))</f>
        <v>— Baseline</v>
      </c>
      <c r="L411" s="62" t="str">
        <f aca="false">IF(COUNTA($A411,$F411,$G411,$H411,$I411,$J411)=0,"",IF($M411=0,"✖ كود الصف غير موجود",IF(ISNA(MATCH($F411,Lists!$A$2:$A$5,0)),"✖ الفترة غير صحيحة",IF(ISNA(MATCH($G411,Lists!$B$2:$B$7,0)),"✖ المجموعة غير صحيحة",IF(NOT(OR($H411="",$N411&gt;0)),"✖ Start غير صحيح",IF(NOT(OR($I411="",$I411="NR",$O411&gt;0)),"✖ Current غير صحيح",IF(NOT(IF(ISNUMBER($J411),AND($J411&gt;=0,$J411=INT($J411)),FALSE())),"✖ العدد يجب أن يكون صحيحًا ≥ 0",IF(AND($F411="Baseline",$H411&lt;&gt;""),"⚠ Baseline: Start لا يدخل في التقدم",IF($K411="No Start (attainment only)","ℹ تحصيل فقط (بدون Start)",IF($K411="U – needs rule","ℹ حالة U تحتاج قاعدة معتمدة",IF($K411="No result","ℹ بدون نتيجة (يُستبعد من التحصيل)","OK")))))))))))</f>
        <v>OK</v>
      </c>
      <c r="M411" s="64" t="n">
        <f aca="false">IF($A411="",0,IFERROR(MATCH($A411,Classes!$A$6:$A$420,0),0))</f>
        <v>300</v>
      </c>
      <c r="N411" s="64" t="n">
        <f aca="false">IF($H411="",0,IFERROR(MATCH($H411,GradeList,0),0))</f>
        <v>0</v>
      </c>
      <c r="O411" s="64" t="n">
        <f aca="false">IF(OR($I411="",$I411="NR"),0,IFERROR(MATCH($I411,GradeList,0),0))</f>
        <v>7</v>
      </c>
      <c r="P411" s="64" t="n">
        <f aca="false">IF(AND($M411&gt;0,ISNUMBER(MATCH($F411,Lists!$A$2:$A$5,0)),ISNUMBER(MATCH($G411,Lists!$B$2:$B$7,0)),OR($H411="",$N411&gt;0),OR($I411="",$I411="NR",$O411&gt;0),IF(ISNUMBER($J411),AND($J411&gt;=0,$J411=INT($J411)),FALSE())),$J411,0)</f>
        <v>4</v>
      </c>
      <c r="Q411" s="64" t="n">
        <f aca="false">IF(AND($P411&gt;0,$O411&gt;0),$P411,0)</f>
        <v>4</v>
      </c>
      <c r="R411" s="64" t="n">
        <f aca="false">IF(AND($Q411&gt;0,$O411&gt;=AtRank),$Q411,0)</f>
        <v>4</v>
      </c>
      <c r="S411" s="64" t="n">
        <f aca="false">IF(AND($Q411&gt;0,$O411&gt;=AboveRank),$Q411,0)</f>
        <v>4</v>
      </c>
      <c r="T411" s="64" t="n">
        <f aca="false">IF($K411="Less",$P411,0)</f>
        <v>0</v>
      </c>
      <c r="U411" s="64" t="n">
        <f aca="false">IF($K411="Expected",$P411,0)</f>
        <v>0</v>
      </c>
      <c r="V411" s="64" t="n">
        <f aca="false">IF($K411="Better",$P411,0)</f>
        <v>0</v>
      </c>
      <c r="W411" s="64" t="n">
        <f aca="false">IF($K411="U – needs rule",$P411,0)</f>
        <v>0</v>
      </c>
      <c r="X411" s="64" t="n">
        <f aca="false">IF($K411="No Start (attainment only)",$P411,0)</f>
        <v>0</v>
      </c>
    </row>
    <row r="412" customFormat="false" ht="15" hidden="false" customHeight="false" outlineLevel="0" collapsed="false">
      <c r="A412" s="60" t="s">
        <v>797</v>
      </c>
      <c r="B412" s="61" t="str">
        <f aca="false">IF($M412=0,"",INDEX(Classes!$E$6:$E$420,$M412))</f>
        <v>Arabic A</v>
      </c>
      <c r="C412" s="62" t="str">
        <f aca="false">IF($M412=0,"",INDEX(Classes!$H$6:$H$420,$M412))</f>
        <v>Mr Elsaid A Eltantawi</v>
      </c>
      <c r="D412" s="61" t="str">
        <f aca="false">IF($M412=0,"",INDEX(Classes!$B$6:$B$420,$M412))</f>
        <v>Year 10</v>
      </c>
      <c r="E412" s="61" t="str">
        <f aca="false">IF($M412=0,"",INDEX(Classes!$C$6:$C$420,$M412))</f>
        <v>ip</v>
      </c>
      <c r="F412" s="63" t="s">
        <v>162</v>
      </c>
      <c r="G412" s="63" t="s">
        <v>1015</v>
      </c>
      <c r="H412" s="60"/>
      <c r="I412" s="60" t="s">
        <v>203</v>
      </c>
      <c r="J412" s="63" t="n">
        <v>1</v>
      </c>
      <c r="K412" s="61" t="str">
        <f aca="false">IF($P412=0,"",IF($F412="Baseline","— Baseline",IF($O412=0,"No result",IF($N412=0,"No Start (attainment only)",IF(OR($N412=1,$O412=1),"U – needs rule",INDEX(MxBody,MATCH($I412,MxCurr,0),MATCH($H412,MxStart,0)))))))</f>
        <v>— Baseline</v>
      </c>
      <c r="L412" s="62" t="str">
        <f aca="false">IF(COUNTA($A412,$F412,$G412,$H412,$I412,$J412)=0,"",IF($M412=0,"✖ كود الصف غير موجود",IF(ISNA(MATCH($F412,Lists!$A$2:$A$5,0)),"✖ الفترة غير صحيحة",IF(ISNA(MATCH($G412,Lists!$B$2:$B$7,0)),"✖ المجموعة غير صحيحة",IF(NOT(OR($H412="",$N412&gt;0)),"✖ Start غير صحيح",IF(NOT(OR($I412="",$I412="NR",$O412&gt;0)),"✖ Current غير صحيح",IF(NOT(IF(ISNUMBER($J412),AND($J412&gt;=0,$J412=INT($J412)),FALSE())),"✖ العدد يجب أن يكون صحيحًا ≥ 0",IF(AND($F412="Baseline",$H412&lt;&gt;""),"⚠ Baseline: Start لا يدخل في التقدم",IF($K412="No Start (attainment only)","ℹ تحصيل فقط (بدون Start)",IF($K412="U – needs rule","ℹ حالة U تحتاج قاعدة معتمدة",IF($K412="No result","ℹ بدون نتيجة (يُستبعد من التحصيل)","OK")))))))))))</f>
        <v>OK</v>
      </c>
      <c r="M412" s="64" t="n">
        <f aca="false">IF($A412="",0,IFERROR(MATCH($A412,Classes!$A$6:$A$420,0),0))</f>
        <v>300</v>
      </c>
      <c r="N412" s="64" t="n">
        <f aca="false">IF($H412="",0,IFERROR(MATCH($H412,GradeList,0),0))</f>
        <v>0</v>
      </c>
      <c r="O412" s="64" t="n">
        <f aca="false">IF(OR($I412="",$I412="NR"),0,IFERROR(MATCH($I412,GradeList,0),0))</f>
        <v>8</v>
      </c>
      <c r="P412" s="64" t="n">
        <f aca="false">IF(AND($M412&gt;0,ISNUMBER(MATCH($F412,Lists!$A$2:$A$5,0)),ISNUMBER(MATCH($G412,Lists!$B$2:$B$7,0)),OR($H412="",$N412&gt;0),OR($I412="",$I412="NR",$O412&gt;0),IF(ISNUMBER($J412),AND($J412&gt;=0,$J412=INT($J412)),FALSE())),$J412,0)</f>
        <v>1</v>
      </c>
      <c r="Q412" s="64" t="n">
        <f aca="false">IF(AND($P412&gt;0,$O412&gt;0),$P412,0)</f>
        <v>1</v>
      </c>
      <c r="R412" s="64" t="n">
        <f aca="false">IF(AND($Q412&gt;0,$O412&gt;=AtRank),$Q412,0)</f>
        <v>1</v>
      </c>
      <c r="S412" s="64" t="n">
        <f aca="false">IF(AND($Q412&gt;0,$O412&gt;=AboveRank),$Q412,0)</f>
        <v>1</v>
      </c>
      <c r="T412" s="64" t="n">
        <f aca="false">IF($K412="Less",$P412,0)</f>
        <v>0</v>
      </c>
      <c r="U412" s="64" t="n">
        <f aca="false">IF($K412="Expected",$P412,0)</f>
        <v>0</v>
      </c>
      <c r="V412" s="64" t="n">
        <f aca="false">IF($K412="Better",$P412,0)</f>
        <v>0</v>
      </c>
      <c r="W412" s="64" t="n">
        <f aca="false">IF($K412="U – needs rule",$P412,0)</f>
        <v>0</v>
      </c>
      <c r="X412" s="64" t="n">
        <f aca="false">IF($K412="No Start (attainment only)",$P412,0)</f>
        <v>0</v>
      </c>
    </row>
    <row r="413" customFormat="false" ht="15" hidden="false" customHeight="false" outlineLevel="0" collapsed="false">
      <c r="A413" s="60" t="s">
        <v>797</v>
      </c>
      <c r="B413" s="61" t="str">
        <f aca="false">IF($M413=0,"",INDEX(Classes!$E$6:$E$420,$M413))</f>
        <v>Arabic A</v>
      </c>
      <c r="C413" s="62" t="str">
        <f aca="false">IF($M413=0,"",INDEX(Classes!$H$6:$H$420,$M413))</f>
        <v>Mr Elsaid A Eltantawi</v>
      </c>
      <c r="D413" s="61" t="str">
        <f aca="false">IF($M413=0,"",INDEX(Classes!$B$6:$B$420,$M413))</f>
        <v>Year 10</v>
      </c>
      <c r="E413" s="61" t="str">
        <f aca="false">IF($M413=0,"",INDEX(Classes!$C$6:$C$420,$M413))</f>
        <v>ip</v>
      </c>
      <c r="F413" s="63" t="s">
        <v>162</v>
      </c>
      <c r="G413" s="63" t="s">
        <v>1015</v>
      </c>
      <c r="H413" s="60"/>
      <c r="I413" s="60" t="s">
        <v>200</v>
      </c>
      <c r="J413" s="63" t="n">
        <v>1</v>
      </c>
      <c r="K413" s="61" t="str">
        <f aca="false">IF($P413=0,"",IF($F413="Baseline","— Baseline",IF($O413=0,"No result",IF($N413=0,"No Start (attainment only)",IF(OR($N413=1,$O413=1),"U – needs rule",INDEX(MxBody,MATCH($I413,MxCurr,0),MATCH($H413,MxStart,0)))))))</f>
        <v>— Baseline</v>
      </c>
      <c r="L413" s="62" t="str">
        <f aca="false">IF(COUNTA($A413,$F413,$G413,$H413,$I413,$J413)=0,"",IF($M413=0,"✖ كود الصف غير موجود",IF(ISNA(MATCH($F413,Lists!$A$2:$A$5,0)),"✖ الفترة غير صحيحة",IF(ISNA(MATCH($G413,Lists!$B$2:$B$7,0)),"✖ المجموعة غير صحيحة",IF(NOT(OR($H413="",$N413&gt;0)),"✖ Start غير صحيح",IF(NOT(OR($I413="",$I413="NR",$O413&gt;0)),"✖ Current غير صحيح",IF(NOT(IF(ISNUMBER($J413),AND($J413&gt;=0,$J413=INT($J413)),FALSE())),"✖ العدد يجب أن يكون صحيحًا ≥ 0",IF(AND($F413="Baseline",$H413&lt;&gt;""),"⚠ Baseline: Start لا يدخل في التقدم",IF($K413="No Start (attainment only)","ℹ تحصيل فقط (بدون Start)",IF($K413="U – needs rule","ℹ حالة U تحتاج قاعدة معتمدة",IF($K413="No result","ℹ بدون نتيجة (يُستبعد من التحصيل)","OK")))))))))))</f>
        <v>OK</v>
      </c>
      <c r="M413" s="64" t="n">
        <f aca="false">IF($A413="",0,IFERROR(MATCH($A413,Classes!$A$6:$A$420,0),0))</f>
        <v>300</v>
      </c>
      <c r="N413" s="64" t="n">
        <f aca="false">IF($H413="",0,IFERROR(MATCH($H413,GradeList,0),0))</f>
        <v>0</v>
      </c>
      <c r="O413" s="64" t="n">
        <f aca="false">IF(OR($I413="",$I413="NR"),0,IFERROR(MATCH($I413,GradeList,0),0))</f>
        <v>5</v>
      </c>
      <c r="P413" s="64" t="n">
        <f aca="false">IF(AND($M413&gt;0,ISNUMBER(MATCH($F413,Lists!$A$2:$A$5,0)),ISNUMBER(MATCH($G413,Lists!$B$2:$B$7,0)),OR($H413="",$N413&gt;0),OR($I413="",$I413="NR",$O413&gt;0),IF(ISNUMBER($J413),AND($J413&gt;=0,$J413=INT($J413)),FALSE())),$J413,0)</f>
        <v>1</v>
      </c>
      <c r="Q413" s="64" t="n">
        <f aca="false">IF(AND($P413&gt;0,$O413&gt;0),$P413,0)</f>
        <v>1</v>
      </c>
      <c r="R413" s="64" t="n">
        <f aca="false">IF(AND($Q413&gt;0,$O413&gt;=AtRank),$Q413,0)</f>
        <v>1</v>
      </c>
      <c r="S413" s="64" t="n">
        <f aca="false">IF(AND($Q413&gt;0,$O413&gt;=AboveRank),$Q413,0)</f>
        <v>0</v>
      </c>
      <c r="T413" s="64" t="n">
        <f aca="false">IF($K413="Less",$P413,0)</f>
        <v>0</v>
      </c>
      <c r="U413" s="64" t="n">
        <f aca="false">IF($K413="Expected",$P413,0)</f>
        <v>0</v>
      </c>
      <c r="V413" s="64" t="n">
        <f aca="false">IF($K413="Better",$P413,0)</f>
        <v>0</v>
      </c>
      <c r="W413" s="64" t="n">
        <f aca="false">IF($K413="U – needs rule",$P413,0)</f>
        <v>0</v>
      </c>
      <c r="X413" s="64" t="n">
        <f aca="false">IF($K413="No Start (attainment only)",$P413,0)</f>
        <v>0</v>
      </c>
    </row>
    <row r="414" customFormat="false" ht="15" hidden="false" customHeight="false" outlineLevel="0" collapsed="false">
      <c r="A414" s="60" t="s">
        <v>797</v>
      </c>
      <c r="B414" s="61" t="str">
        <f aca="false">IF($M414=0,"",INDEX(Classes!$E$6:$E$420,$M414))</f>
        <v>Arabic A</v>
      </c>
      <c r="C414" s="62" t="str">
        <f aca="false">IF($M414=0,"",INDEX(Classes!$H$6:$H$420,$M414))</f>
        <v>Mr Elsaid A Eltantawi</v>
      </c>
      <c r="D414" s="61" t="str">
        <f aca="false">IF($M414=0,"",INDEX(Classes!$B$6:$B$420,$M414))</f>
        <v>Year 10</v>
      </c>
      <c r="E414" s="61" t="str">
        <f aca="false">IF($M414=0,"",INDEX(Classes!$C$6:$C$420,$M414))</f>
        <v>ip</v>
      </c>
      <c r="F414" s="63" t="s">
        <v>162</v>
      </c>
      <c r="G414" s="63" t="s">
        <v>1015</v>
      </c>
      <c r="H414" s="60"/>
      <c r="I414" s="60" t="s">
        <v>201</v>
      </c>
      <c r="J414" s="63" t="n">
        <v>2</v>
      </c>
      <c r="K414" s="61" t="str">
        <f aca="false">IF($P414=0,"",IF($F414="Baseline","— Baseline",IF($O414=0,"No result",IF($N414=0,"No Start (attainment only)",IF(OR($N414=1,$O414=1),"U – needs rule",INDEX(MxBody,MATCH($I414,MxCurr,0),MATCH($H414,MxStart,0)))))))</f>
        <v>— Baseline</v>
      </c>
      <c r="L414" s="62" t="str">
        <f aca="false">IF(COUNTA($A414,$F414,$G414,$H414,$I414,$J414)=0,"",IF($M414=0,"✖ كود الصف غير موجود",IF(ISNA(MATCH($F414,Lists!$A$2:$A$5,0)),"✖ الفترة غير صحيحة",IF(ISNA(MATCH($G414,Lists!$B$2:$B$7,0)),"✖ المجموعة غير صحيحة",IF(NOT(OR($H414="",$N414&gt;0)),"✖ Start غير صحيح",IF(NOT(OR($I414="",$I414="NR",$O414&gt;0)),"✖ Current غير صحيح",IF(NOT(IF(ISNUMBER($J414),AND($J414&gt;=0,$J414=INT($J414)),FALSE())),"✖ العدد يجب أن يكون صحيحًا ≥ 0",IF(AND($F414="Baseline",$H414&lt;&gt;""),"⚠ Baseline: Start لا يدخل في التقدم",IF($K414="No Start (attainment only)","ℹ تحصيل فقط (بدون Start)",IF($K414="U – needs rule","ℹ حالة U تحتاج قاعدة معتمدة",IF($K414="No result","ℹ بدون نتيجة (يُستبعد من التحصيل)","OK")))))))))))</f>
        <v>OK</v>
      </c>
      <c r="M414" s="64" t="n">
        <f aca="false">IF($A414="",0,IFERROR(MATCH($A414,Classes!$A$6:$A$420,0),0))</f>
        <v>300</v>
      </c>
      <c r="N414" s="64" t="n">
        <f aca="false">IF($H414="",0,IFERROR(MATCH($H414,GradeList,0),0))</f>
        <v>0</v>
      </c>
      <c r="O414" s="64" t="n">
        <f aca="false">IF(OR($I414="",$I414="NR"),0,IFERROR(MATCH($I414,GradeList,0),0))</f>
        <v>6</v>
      </c>
      <c r="P414" s="64" t="n">
        <f aca="false">IF(AND($M414&gt;0,ISNUMBER(MATCH($F414,Lists!$A$2:$A$5,0)),ISNUMBER(MATCH($G414,Lists!$B$2:$B$7,0)),OR($H414="",$N414&gt;0),OR($I414="",$I414="NR",$O414&gt;0),IF(ISNUMBER($J414),AND($J414&gt;=0,$J414=INT($J414)),FALSE())),$J414,0)</f>
        <v>2</v>
      </c>
      <c r="Q414" s="64" t="n">
        <f aca="false">IF(AND($P414&gt;0,$O414&gt;0),$P414,0)</f>
        <v>2</v>
      </c>
      <c r="R414" s="64" t="n">
        <f aca="false">IF(AND($Q414&gt;0,$O414&gt;=AtRank),$Q414,0)</f>
        <v>2</v>
      </c>
      <c r="S414" s="64" t="n">
        <f aca="false">IF(AND($Q414&gt;0,$O414&gt;=AboveRank),$Q414,0)</f>
        <v>0</v>
      </c>
      <c r="T414" s="64" t="n">
        <f aca="false">IF($K414="Less",$P414,0)</f>
        <v>0</v>
      </c>
      <c r="U414" s="64" t="n">
        <f aca="false">IF($K414="Expected",$P414,0)</f>
        <v>0</v>
      </c>
      <c r="V414" s="64" t="n">
        <f aca="false">IF($K414="Better",$P414,0)</f>
        <v>0</v>
      </c>
      <c r="W414" s="64" t="n">
        <f aca="false">IF($K414="U – needs rule",$P414,0)</f>
        <v>0</v>
      </c>
      <c r="X414" s="64" t="n">
        <f aca="false">IF($K414="No Start (attainment only)",$P414,0)</f>
        <v>0</v>
      </c>
    </row>
    <row r="415" customFormat="false" ht="15" hidden="false" customHeight="false" outlineLevel="0" collapsed="false">
      <c r="A415" s="60" t="s">
        <v>797</v>
      </c>
      <c r="B415" s="61" t="str">
        <f aca="false">IF($M415=0,"",INDEX(Classes!$E$6:$E$420,$M415))</f>
        <v>Arabic A</v>
      </c>
      <c r="C415" s="62" t="str">
        <f aca="false">IF($M415=0,"",INDEX(Classes!$H$6:$H$420,$M415))</f>
        <v>Mr Elsaid A Eltantawi</v>
      </c>
      <c r="D415" s="61" t="str">
        <f aca="false">IF($M415=0,"",INDEX(Classes!$B$6:$B$420,$M415))</f>
        <v>Year 10</v>
      </c>
      <c r="E415" s="61" t="str">
        <f aca="false">IF($M415=0,"",INDEX(Classes!$C$6:$C$420,$M415))</f>
        <v>ip</v>
      </c>
      <c r="F415" s="63" t="s">
        <v>162</v>
      </c>
      <c r="G415" s="63" t="s">
        <v>1016</v>
      </c>
      <c r="H415" s="60"/>
      <c r="I415" s="60" t="s">
        <v>202</v>
      </c>
      <c r="J415" s="63" t="n">
        <v>3</v>
      </c>
      <c r="K415" s="61" t="str">
        <f aca="false">IF($P415=0,"",IF($F415="Baseline","— Baseline",IF($O415=0,"No result",IF($N415=0,"No Start (attainment only)",IF(OR($N415=1,$O415=1),"U – needs rule",INDEX(MxBody,MATCH($I415,MxCurr,0),MATCH($H415,MxStart,0)))))))</f>
        <v>— Baseline</v>
      </c>
      <c r="L415" s="62" t="str">
        <f aca="false">IF(COUNTA($A415,$F415,$G415,$H415,$I415,$J415)=0,"",IF($M415=0,"✖ كود الصف غير موجود",IF(ISNA(MATCH($F415,Lists!$A$2:$A$5,0)),"✖ الفترة غير صحيحة",IF(ISNA(MATCH($G415,Lists!$B$2:$B$7,0)),"✖ المجموعة غير صحيحة",IF(NOT(OR($H415="",$N415&gt;0)),"✖ Start غير صحيح",IF(NOT(OR($I415="",$I415="NR",$O415&gt;0)),"✖ Current غير صحيح",IF(NOT(IF(ISNUMBER($J415),AND($J415&gt;=0,$J415=INT($J415)),FALSE())),"✖ العدد يجب أن يكون صحيحًا ≥ 0",IF(AND($F415="Baseline",$H415&lt;&gt;""),"⚠ Baseline: Start لا يدخل في التقدم",IF($K415="No Start (attainment only)","ℹ تحصيل فقط (بدون Start)",IF($K415="U – needs rule","ℹ حالة U تحتاج قاعدة معتمدة",IF($K415="No result","ℹ بدون نتيجة (يُستبعد من التحصيل)","OK")))))))))))</f>
        <v>OK</v>
      </c>
      <c r="M415" s="64" t="n">
        <f aca="false">IF($A415="",0,IFERROR(MATCH($A415,Classes!$A$6:$A$420,0),0))</f>
        <v>300</v>
      </c>
      <c r="N415" s="64" t="n">
        <f aca="false">IF($H415="",0,IFERROR(MATCH($H415,GradeList,0),0))</f>
        <v>0</v>
      </c>
      <c r="O415" s="64" t="n">
        <f aca="false">IF(OR($I415="",$I415="NR"),0,IFERROR(MATCH($I415,GradeList,0),0))</f>
        <v>7</v>
      </c>
      <c r="P415" s="64" t="n">
        <f aca="false">IF(AND($M415&gt;0,ISNUMBER(MATCH($F415,Lists!$A$2:$A$5,0)),ISNUMBER(MATCH($G415,Lists!$B$2:$B$7,0)),OR($H415="",$N415&gt;0),OR($I415="",$I415="NR",$O415&gt;0),IF(ISNUMBER($J415),AND($J415&gt;=0,$J415=INT($J415)),FALSE())),$J415,0)</f>
        <v>3</v>
      </c>
      <c r="Q415" s="64" t="n">
        <f aca="false">IF(AND($P415&gt;0,$O415&gt;0),$P415,0)</f>
        <v>3</v>
      </c>
      <c r="R415" s="64" t="n">
        <f aca="false">IF(AND($Q415&gt;0,$O415&gt;=AtRank),$Q415,0)</f>
        <v>3</v>
      </c>
      <c r="S415" s="64" t="n">
        <f aca="false">IF(AND($Q415&gt;0,$O415&gt;=AboveRank),$Q415,0)</f>
        <v>3</v>
      </c>
      <c r="T415" s="64" t="n">
        <f aca="false">IF($K415="Less",$P415,0)</f>
        <v>0</v>
      </c>
      <c r="U415" s="64" t="n">
        <f aca="false">IF($K415="Expected",$P415,0)</f>
        <v>0</v>
      </c>
      <c r="V415" s="64" t="n">
        <f aca="false">IF($K415="Better",$P415,0)</f>
        <v>0</v>
      </c>
      <c r="W415" s="64" t="n">
        <f aca="false">IF($K415="U – needs rule",$P415,0)</f>
        <v>0</v>
      </c>
      <c r="X415" s="64" t="n">
        <f aca="false">IF($K415="No Start (attainment only)",$P415,0)</f>
        <v>0</v>
      </c>
    </row>
    <row r="416" customFormat="false" ht="15" hidden="false" customHeight="false" outlineLevel="0" collapsed="false">
      <c r="A416" s="60" t="s">
        <v>797</v>
      </c>
      <c r="B416" s="61" t="str">
        <f aca="false">IF($M416=0,"",INDEX(Classes!$E$6:$E$420,$M416))</f>
        <v>Arabic A</v>
      </c>
      <c r="C416" s="62" t="str">
        <f aca="false">IF($M416=0,"",INDEX(Classes!$H$6:$H$420,$M416))</f>
        <v>Mr Elsaid A Eltantawi</v>
      </c>
      <c r="D416" s="61" t="str">
        <f aca="false">IF($M416=0,"",INDEX(Classes!$B$6:$B$420,$M416))</f>
        <v>Year 10</v>
      </c>
      <c r="E416" s="61" t="str">
        <f aca="false">IF($M416=0,"",INDEX(Classes!$C$6:$C$420,$M416))</f>
        <v>ip</v>
      </c>
      <c r="F416" s="63" t="s">
        <v>162</v>
      </c>
      <c r="G416" s="63" t="s">
        <v>1016</v>
      </c>
      <c r="H416" s="60"/>
      <c r="I416" s="60" t="s">
        <v>200</v>
      </c>
      <c r="J416" s="63" t="n">
        <v>6</v>
      </c>
      <c r="K416" s="61" t="str">
        <f aca="false">IF($P416=0,"",IF($F416="Baseline","— Baseline",IF($O416=0,"No result",IF($N416=0,"No Start (attainment only)",IF(OR($N416=1,$O416=1),"U – needs rule",INDEX(MxBody,MATCH($I416,MxCurr,0),MATCH($H416,MxStart,0)))))))</f>
        <v>— Baseline</v>
      </c>
      <c r="L416" s="62" t="str">
        <f aca="false">IF(COUNTA($A416,$F416,$G416,$H416,$I416,$J416)=0,"",IF($M416=0,"✖ كود الصف غير موجود",IF(ISNA(MATCH($F416,Lists!$A$2:$A$5,0)),"✖ الفترة غير صحيحة",IF(ISNA(MATCH($G416,Lists!$B$2:$B$7,0)),"✖ المجموعة غير صحيحة",IF(NOT(OR($H416="",$N416&gt;0)),"✖ Start غير صحيح",IF(NOT(OR($I416="",$I416="NR",$O416&gt;0)),"✖ Current غير صحيح",IF(NOT(IF(ISNUMBER($J416),AND($J416&gt;=0,$J416=INT($J416)),FALSE())),"✖ العدد يجب أن يكون صحيحًا ≥ 0",IF(AND($F416="Baseline",$H416&lt;&gt;""),"⚠ Baseline: Start لا يدخل في التقدم",IF($K416="No Start (attainment only)","ℹ تحصيل فقط (بدون Start)",IF($K416="U – needs rule","ℹ حالة U تحتاج قاعدة معتمدة",IF($K416="No result","ℹ بدون نتيجة (يُستبعد من التحصيل)","OK")))))))))))</f>
        <v>OK</v>
      </c>
      <c r="M416" s="64" t="n">
        <f aca="false">IF($A416="",0,IFERROR(MATCH($A416,Classes!$A$6:$A$420,0),0))</f>
        <v>300</v>
      </c>
      <c r="N416" s="64" t="n">
        <f aca="false">IF($H416="",0,IFERROR(MATCH($H416,GradeList,0),0))</f>
        <v>0</v>
      </c>
      <c r="O416" s="64" t="n">
        <f aca="false">IF(OR($I416="",$I416="NR"),0,IFERROR(MATCH($I416,GradeList,0),0))</f>
        <v>5</v>
      </c>
      <c r="P416" s="64" t="n">
        <f aca="false">IF(AND($M416&gt;0,ISNUMBER(MATCH($F416,Lists!$A$2:$A$5,0)),ISNUMBER(MATCH($G416,Lists!$B$2:$B$7,0)),OR($H416="",$N416&gt;0),OR($I416="",$I416="NR",$O416&gt;0),IF(ISNUMBER($J416),AND($J416&gt;=0,$J416=INT($J416)),FALSE())),$J416,0)</f>
        <v>6</v>
      </c>
      <c r="Q416" s="64" t="n">
        <f aca="false">IF(AND($P416&gt;0,$O416&gt;0),$P416,0)</f>
        <v>6</v>
      </c>
      <c r="R416" s="64" t="n">
        <f aca="false">IF(AND($Q416&gt;0,$O416&gt;=AtRank),$Q416,0)</f>
        <v>6</v>
      </c>
      <c r="S416" s="64" t="n">
        <f aca="false">IF(AND($Q416&gt;0,$O416&gt;=AboveRank),$Q416,0)</f>
        <v>0</v>
      </c>
      <c r="T416" s="64" t="n">
        <f aca="false">IF($K416="Less",$P416,0)</f>
        <v>0</v>
      </c>
      <c r="U416" s="64" t="n">
        <f aca="false">IF($K416="Expected",$P416,0)</f>
        <v>0</v>
      </c>
      <c r="V416" s="64" t="n">
        <f aca="false">IF($K416="Better",$P416,0)</f>
        <v>0</v>
      </c>
      <c r="W416" s="64" t="n">
        <f aca="false">IF($K416="U – needs rule",$P416,0)</f>
        <v>0</v>
      </c>
      <c r="X416" s="64" t="n">
        <f aca="false">IF($K416="No Start (attainment only)",$P416,0)</f>
        <v>0</v>
      </c>
    </row>
    <row r="417" customFormat="false" ht="15" hidden="false" customHeight="false" outlineLevel="0" collapsed="false">
      <c r="A417" s="60" t="s">
        <v>797</v>
      </c>
      <c r="B417" s="61" t="str">
        <f aca="false">IF($M417=0,"",INDEX(Classes!$E$6:$E$420,$M417))</f>
        <v>Arabic A</v>
      </c>
      <c r="C417" s="62" t="str">
        <f aca="false">IF($M417=0,"",INDEX(Classes!$H$6:$H$420,$M417))</f>
        <v>Mr Elsaid A Eltantawi</v>
      </c>
      <c r="D417" s="61" t="str">
        <f aca="false">IF($M417=0,"",INDEX(Classes!$B$6:$B$420,$M417))</f>
        <v>Year 10</v>
      </c>
      <c r="E417" s="61" t="str">
        <f aca="false">IF($M417=0,"",INDEX(Classes!$C$6:$C$420,$M417))</f>
        <v>ip</v>
      </c>
      <c r="F417" s="63" t="s">
        <v>162</v>
      </c>
      <c r="G417" s="63" t="s">
        <v>1016</v>
      </c>
      <c r="H417" s="60"/>
      <c r="I417" s="60" t="s">
        <v>201</v>
      </c>
      <c r="J417" s="63" t="n">
        <v>2</v>
      </c>
      <c r="K417" s="61" t="str">
        <f aca="false">IF($P417=0,"",IF($F417="Baseline","— Baseline",IF($O417=0,"No result",IF($N417=0,"No Start (attainment only)",IF(OR($N417=1,$O417=1),"U – needs rule",INDEX(MxBody,MATCH($I417,MxCurr,0),MATCH($H417,MxStart,0)))))))</f>
        <v>— Baseline</v>
      </c>
      <c r="L417" s="62" t="str">
        <f aca="false">IF(COUNTA($A417,$F417,$G417,$H417,$I417,$J417)=0,"",IF($M417=0,"✖ كود الصف غير موجود",IF(ISNA(MATCH($F417,Lists!$A$2:$A$5,0)),"✖ الفترة غير صحيحة",IF(ISNA(MATCH($G417,Lists!$B$2:$B$7,0)),"✖ المجموعة غير صحيحة",IF(NOT(OR($H417="",$N417&gt;0)),"✖ Start غير صحيح",IF(NOT(OR($I417="",$I417="NR",$O417&gt;0)),"✖ Current غير صحيح",IF(NOT(IF(ISNUMBER($J417),AND($J417&gt;=0,$J417=INT($J417)),FALSE())),"✖ العدد يجب أن يكون صحيحًا ≥ 0",IF(AND($F417="Baseline",$H417&lt;&gt;""),"⚠ Baseline: Start لا يدخل في التقدم",IF($K417="No Start (attainment only)","ℹ تحصيل فقط (بدون Start)",IF($K417="U – needs rule","ℹ حالة U تحتاج قاعدة معتمدة",IF($K417="No result","ℹ بدون نتيجة (يُستبعد من التحصيل)","OK")))))))))))</f>
        <v>OK</v>
      </c>
      <c r="M417" s="64" t="n">
        <f aca="false">IF($A417="",0,IFERROR(MATCH($A417,Classes!$A$6:$A$420,0),0))</f>
        <v>300</v>
      </c>
      <c r="N417" s="64" t="n">
        <f aca="false">IF($H417="",0,IFERROR(MATCH($H417,GradeList,0),0))</f>
        <v>0</v>
      </c>
      <c r="O417" s="64" t="n">
        <f aca="false">IF(OR($I417="",$I417="NR"),0,IFERROR(MATCH($I417,GradeList,0),0))</f>
        <v>6</v>
      </c>
      <c r="P417" s="64" t="n">
        <f aca="false">IF(AND($M417&gt;0,ISNUMBER(MATCH($F417,Lists!$A$2:$A$5,0)),ISNUMBER(MATCH($G417,Lists!$B$2:$B$7,0)),OR($H417="",$N417&gt;0),OR($I417="",$I417="NR",$O417&gt;0),IF(ISNUMBER($J417),AND($J417&gt;=0,$J417=INT($J417)),FALSE())),$J417,0)</f>
        <v>2</v>
      </c>
      <c r="Q417" s="64" t="n">
        <f aca="false">IF(AND($P417&gt;0,$O417&gt;0),$P417,0)</f>
        <v>2</v>
      </c>
      <c r="R417" s="64" t="n">
        <f aca="false">IF(AND($Q417&gt;0,$O417&gt;=AtRank),$Q417,0)</f>
        <v>2</v>
      </c>
      <c r="S417" s="64" t="n">
        <f aca="false">IF(AND($Q417&gt;0,$O417&gt;=AboveRank),$Q417,0)</f>
        <v>0</v>
      </c>
      <c r="T417" s="64" t="n">
        <f aca="false">IF($K417="Less",$P417,0)</f>
        <v>0</v>
      </c>
      <c r="U417" s="64" t="n">
        <f aca="false">IF($K417="Expected",$P417,0)</f>
        <v>0</v>
      </c>
      <c r="V417" s="64" t="n">
        <f aca="false">IF($K417="Better",$P417,0)</f>
        <v>0</v>
      </c>
      <c r="W417" s="64" t="n">
        <f aca="false">IF($K417="U – needs rule",$P417,0)</f>
        <v>0</v>
      </c>
      <c r="X417" s="64" t="n">
        <f aca="false">IF($K417="No Start (attainment only)",$P417,0)</f>
        <v>0</v>
      </c>
    </row>
    <row r="418" customFormat="false" ht="15" hidden="false" customHeight="false" outlineLevel="0" collapsed="false">
      <c r="A418" s="60" t="s">
        <v>797</v>
      </c>
      <c r="B418" s="61" t="str">
        <f aca="false">IF($M418=0,"",INDEX(Classes!$E$6:$E$420,$M418))</f>
        <v>Arabic A</v>
      </c>
      <c r="C418" s="62" t="str">
        <f aca="false">IF($M418=0,"",INDEX(Classes!$H$6:$H$420,$M418))</f>
        <v>Mr Elsaid A Eltantawi</v>
      </c>
      <c r="D418" s="61" t="str">
        <f aca="false">IF($M418=0,"",INDEX(Classes!$B$6:$B$420,$M418))</f>
        <v>Year 10</v>
      </c>
      <c r="E418" s="61" t="str">
        <f aca="false">IF($M418=0,"",INDEX(Classes!$C$6:$C$420,$M418))</f>
        <v>ip</v>
      </c>
      <c r="F418" s="63" t="s">
        <v>162</v>
      </c>
      <c r="G418" s="63" t="s">
        <v>1016</v>
      </c>
      <c r="H418" s="60"/>
      <c r="I418" s="60" t="s">
        <v>204</v>
      </c>
      <c r="J418" s="63" t="n">
        <v>1</v>
      </c>
      <c r="K418" s="61" t="str">
        <f aca="false">IF($P418=0,"",IF($F418="Baseline","— Baseline",IF($O418=0,"No result",IF($N418=0,"No Start (attainment only)",IF(OR($N418=1,$O418=1),"U – needs rule",INDEX(MxBody,MATCH($I418,MxCurr,0),MATCH($H418,MxStart,0)))))))</f>
        <v>— Baseline</v>
      </c>
      <c r="L418" s="62" t="str">
        <f aca="false">IF(COUNTA($A418,$F418,$G418,$H418,$I418,$J418)=0,"",IF($M418=0,"✖ كود الصف غير موجود",IF(ISNA(MATCH($F418,Lists!$A$2:$A$5,0)),"✖ الفترة غير صحيحة",IF(ISNA(MATCH($G418,Lists!$B$2:$B$7,0)),"✖ المجموعة غير صحيحة",IF(NOT(OR($H418="",$N418&gt;0)),"✖ Start غير صحيح",IF(NOT(OR($I418="",$I418="NR",$O418&gt;0)),"✖ Current غير صحيح",IF(NOT(IF(ISNUMBER($J418),AND($J418&gt;=0,$J418=INT($J418)),FALSE())),"✖ العدد يجب أن يكون صحيحًا ≥ 0",IF(AND($F418="Baseline",$H418&lt;&gt;""),"⚠ Baseline: Start لا يدخل في التقدم",IF($K418="No Start (attainment only)","ℹ تحصيل فقط (بدون Start)",IF($K418="U – needs rule","ℹ حالة U تحتاج قاعدة معتمدة",IF($K418="No result","ℹ بدون نتيجة (يُستبعد من التحصيل)","OK")))))))))))</f>
        <v>OK</v>
      </c>
      <c r="M418" s="64" t="n">
        <f aca="false">IF($A418="",0,IFERROR(MATCH($A418,Classes!$A$6:$A$420,0),0))</f>
        <v>300</v>
      </c>
      <c r="N418" s="64" t="n">
        <f aca="false">IF($H418="",0,IFERROR(MATCH($H418,GradeList,0),0))</f>
        <v>0</v>
      </c>
      <c r="O418" s="64" t="n">
        <f aca="false">IF(OR($I418="",$I418="NR"),0,IFERROR(MATCH($I418,GradeList,0),0))</f>
        <v>9</v>
      </c>
      <c r="P418" s="64" t="n">
        <f aca="false">IF(AND($M418&gt;0,ISNUMBER(MATCH($F418,Lists!$A$2:$A$5,0)),ISNUMBER(MATCH($G418,Lists!$B$2:$B$7,0)),OR($H418="",$N418&gt;0),OR($I418="",$I418="NR",$O418&gt;0),IF(ISNUMBER($J418),AND($J418&gt;=0,$J418=INT($J418)),FALSE())),$J418,0)</f>
        <v>1</v>
      </c>
      <c r="Q418" s="64" t="n">
        <f aca="false">IF(AND($P418&gt;0,$O418&gt;0),$P418,0)</f>
        <v>1</v>
      </c>
      <c r="R418" s="64" t="n">
        <f aca="false">IF(AND($Q418&gt;0,$O418&gt;=AtRank),$Q418,0)</f>
        <v>1</v>
      </c>
      <c r="S418" s="64" t="n">
        <f aca="false">IF(AND($Q418&gt;0,$O418&gt;=AboveRank),$Q418,0)</f>
        <v>1</v>
      </c>
      <c r="T418" s="64" t="n">
        <f aca="false">IF($K418="Less",$P418,0)</f>
        <v>0</v>
      </c>
      <c r="U418" s="64" t="n">
        <f aca="false">IF($K418="Expected",$P418,0)</f>
        <v>0</v>
      </c>
      <c r="V418" s="64" t="n">
        <f aca="false">IF($K418="Better",$P418,0)</f>
        <v>0</v>
      </c>
      <c r="W418" s="64" t="n">
        <f aca="false">IF($K418="U – needs rule",$P418,0)</f>
        <v>0</v>
      </c>
      <c r="X418" s="64" t="n">
        <f aca="false">IF($K418="No Start (attainment only)",$P418,0)</f>
        <v>0</v>
      </c>
    </row>
    <row r="419" customFormat="false" ht="15" hidden="false" customHeight="false" outlineLevel="0" collapsed="false">
      <c r="A419" s="60" t="s">
        <v>797</v>
      </c>
      <c r="B419" s="61" t="str">
        <f aca="false">IF($M419=0,"",INDEX(Classes!$E$6:$E$420,$M419))</f>
        <v>Arabic A</v>
      </c>
      <c r="C419" s="62" t="str">
        <f aca="false">IF($M419=0,"",INDEX(Classes!$H$6:$H$420,$M419))</f>
        <v>Mr Elsaid A Eltantawi</v>
      </c>
      <c r="D419" s="61" t="str">
        <f aca="false">IF($M419=0,"",INDEX(Classes!$B$6:$B$420,$M419))</f>
        <v>Year 10</v>
      </c>
      <c r="E419" s="61" t="str">
        <f aca="false">IF($M419=0,"",INDEX(Classes!$C$6:$C$420,$M419))</f>
        <v>ip</v>
      </c>
      <c r="F419" s="63" t="s">
        <v>162</v>
      </c>
      <c r="G419" s="63" t="s">
        <v>1016</v>
      </c>
      <c r="H419" s="60"/>
      <c r="I419" s="60" t="s">
        <v>199</v>
      </c>
      <c r="J419" s="63" t="n">
        <v>1</v>
      </c>
      <c r="K419" s="61" t="str">
        <f aca="false">IF($P419=0,"",IF($F419="Baseline","— Baseline",IF($O419=0,"No result",IF($N419=0,"No Start (attainment only)",IF(OR($N419=1,$O419=1),"U – needs rule",INDEX(MxBody,MATCH($I419,MxCurr,0),MATCH($H419,MxStart,0)))))))</f>
        <v>— Baseline</v>
      </c>
      <c r="L419" s="62" t="str">
        <f aca="false">IF(COUNTA($A419,$F419,$G419,$H419,$I419,$J419)=0,"",IF($M419=0,"✖ كود الصف غير موجود",IF(ISNA(MATCH($F419,Lists!$A$2:$A$5,0)),"✖ الفترة غير صحيحة",IF(ISNA(MATCH($G419,Lists!$B$2:$B$7,0)),"✖ المجموعة غير صحيحة",IF(NOT(OR($H419="",$N419&gt;0)),"✖ Start غير صحيح",IF(NOT(OR($I419="",$I419="NR",$O419&gt;0)),"✖ Current غير صحيح",IF(NOT(IF(ISNUMBER($J419),AND($J419&gt;=0,$J419=INT($J419)),FALSE())),"✖ العدد يجب أن يكون صحيحًا ≥ 0",IF(AND($F419="Baseline",$H419&lt;&gt;""),"⚠ Baseline: Start لا يدخل في التقدم",IF($K419="No Start (attainment only)","ℹ تحصيل فقط (بدون Start)",IF($K419="U – needs rule","ℹ حالة U تحتاج قاعدة معتمدة",IF($K419="No result","ℹ بدون نتيجة (يُستبعد من التحصيل)","OK")))))))))))</f>
        <v>OK</v>
      </c>
      <c r="M419" s="64" t="n">
        <f aca="false">IF($A419="",0,IFERROR(MATCH($A419,Classes!$A$6:$A$420,0),0))</f>
        <v>300</v>
      </c>
      <c r="N419" s="64" t="n">
        <f aca="false">IF($H419="",0,IFERROR(MATCH($H419,GradeList,0),0))</f>
        <v>0</v>
      </c>
      <c r="O419" s="64" t="n">
        <f aca="false">IF(OR($I419="",$I419="NR"),0,IFERROR(MATCH($I419,GradeList,0),0))</f>
        <v>4</v>
      </c>
      <c r="P419" s="64" t="n">
        <f aca="false">IF(AND($M419&gt;0,ISNUMBER(MATCH($F419,Lists!$A$2:$A$5,0)),ISNUMBER(MATCH($G419,Lists!$B$2:$B$7,0)),OR($H419="",$N419&gt;0),OR($I419="",$I419="NR",$O419&gt;0),IF(ISNUMBER($J419),AND($J419&gt;=0,$J419=INT($J419)),FALSE())),$J419,0)</f>
        <v>1</v>
      </c>
      <c r="Q419" s="64" t="n">
        <f aca="false">IF(AND($P419&gt;0,$O419&gt;0),$P419,0)</f>
        <v>1</v>
      </c>
      <c r="R419" s="64" t="n">
        <f aca="false">IF(AND($Q419&gt;0,$O419&gt;=AtRank),$Q419,0)</f>
        <v>0</v>
      </c>
      <c r="S419" s="64" t="n">
        <f aca="false">IF(AND($Q419&gt;0,$O419&gt;=AboveRank),$Q419,0)</f>
        <v>0</v>
      </c>
      <c r="T419" s="64" t="n">
        <f aca="false">IF($K419="Less",$P419,0)</f>
        <v>0</v>
      </c>
      <c r="U419" s="64" t="n">
        <f aca="false">IF($K419="Expected",$P419,0)</f>
        <v>0</v>
      </c>
      <c r="V419" s="64" t="n">
        <f aca="false">IF($K419="Better",$P419,0)</f>
        <v>0</v>
      </c>
      <c r="W419" s="64" t="n">
        <f aca="false">IF($K419="U – needs rule",$P419,0)</f>
        <v>0</v>
      </c>
      <c r="X419" s="64" t="n">
        <f aca="false">IF($K419="No Start (attainment only)",$P419,0)</f>
        <v>0</v>
      </c>
    </row>
    <row r="420" customFormat="false" ht="15" hidden="false" customHeight="false" outlineLevel="0" collapsed="false">
      <c r="A420" s="60" t="s">
        <v>797</v>
      </c>
      <c r="B420" s="61" t="str">
        <f aca="false">IF($M420=0,"",INDEX(Classes!$E$6:$E$420,$M420))</f>
        <v>Arabic A</v>
      </c>
      <c r="C420" s="62" t="str">
        <f aca="false">IF($M420=0,"",INDEX(Classes!$H$6:$H$420,$M420))</f>
        <v>Mr Elsaid A Eltantawi</v>
      </c>
      <c r="D420" s="61" t="str">
        <f aca="false">IF($M420=0,"",INDEX(Classes!$B$6:$B$420,$M420))</f>
        <v>Year 10</v>
      </c>
      <c r="E420" s="61" t="str">
        <f aca="false">IF($M420=0,"",INDEX(Classes!$C$6:$C$420,$M420))</f>
        <v>ip</v>
      </c>
      <c r="F420" s="63" t="s">
        <v>162</v>
      </c>
      <c r="G420" s="63" t="s">
        <v>941</v>
      </c>
      <c r="H420" s="60"/>
      <c r="I420" s="60" t="s">
        <v>202</v>
      </c>
      <c r="J420" s="63" t="n">
        <v>1</v>
      </c>
      <c r="K420" s="61" t="str">
        <f aca="false">IF($P420=0,"",IF($F420="Baseline","— Baseline",IF($O420=0,"No result",IF($N420=0,"No Start (attainment only)",IF(OR($N420=1,$O420=1),"U – needs rule",INDEX(MxBody,MATCH($I420,MxCurr,0),MATCH($H420,MxStart,0)))))))</f>
        <v>— Baseline</v>
      </c>
      <c r="L420" s="62" t="str">
        <f aca="false">IF(COUNTA($A420,$F420,$G420,$H420,$I420,$J420)=0,"",IF($M420=0,"✖ كود الصف غير موجود",IF(ISNA(MATCH($F420,Lists!$A$2:$A$5,0)),"✖ الفترة غير صحيحة",IF(ISNA(MATCH($G420,Lists!$B$2:$B$7,0)),"✖ المجموعة غير صحيحة",IF(NOT(OR($H420="",$N420&gt;0)),"✖ Start غير صحيح",IF(NOT(OR($I420="",$I420="NR",$O420&gt;0)),"✖ Current غير صحيح",IF(NOT(IF(ISNUMBER($J420),AND($J420&gt;=0,$J420=INT($J420)),FALSE())),"✖ العدد يجب أن يكون صحيحًا ≥ 0",IF(AND($F420="Baseline",$H420&lt;&gt;""),"⚠ Baseline: Start لا يدخل في التقدم",IF($K420="No Start (attainment only)","ℹ تحصيل فقط (بدون Start)",IF($K420="U – needs rule","ℹ حالة U تحتاج قاعدة معتمدة",IF($K420="No result","ℹ بدون نتيجة (يُستبعد من التحصيل)","OK")))))))))))</f>
        <v>OK</v>
      </c>
      <c r="M420" s="64" t="n">
        <f aca="false">IF($A420="",0,IFERROR(MATCH($A420,Classes!$A$6:$A$420,0),0))</f>
        <v>300</v>
      </c>
      <c r="N420" s="64" t="n">
        <f aca="false">IF($H420="",0,IFERROR(MATCH($H420,GradeList,0),0))</f>
        <v>0</v>
      </c>
      <c r="O420" s="64" t="n">
        <f aca="false">IF(OR($I420="",$I420="NR"),0,IFERROR(MATCH($I420,GradeList,0),0))</f>
        <v>7</v>
      </c>
      <c r="P420" s="64" t="n">
        <f aca="false">IF(AND($M420&gt;0,ISNUMBER(MATCH($F420,Lists!$A$2:$A$5,0)),ISNUMBER(MATCH($G420,Lists!$B$2:$B$7,0)),OR($H420="",$N420&gt;0),OR($I420="",$I420="NR",$O420&gt;0),IF(ISNUMBER($J420),AND($J420&gt;=0,$J420=INT($J420)),FALSE())),$J420,0)</f>
        <v>1</v>
      </c>
      <c r="Q420" s="64" t="n">
        <f aca="false">IF(AND($P420&gt;0,$O420&gt;0),$P420,0)</f>
        <v>1</v>
      </c>
      <c r="R420" s="64" t="n">
        <f aca="false">IF(AND($Q420&gt;0,$O420&gt;=AtRank),$Q420,0)</f>
        <v>1</v>
      </c>
      <c r="S420" s="64" t="n">
        <f aca="false">IF(AND($Q420&gt;0,$O420&gt;=AboveRank),$Q420,0)</f>
        <v>1</v>
      </c>
      <c r="T420" s="64" t="n">
        <f aca="false">IF($K420="Less",$P420,0)</f>
        <v>0</v>
      </c>
      <c r="U420" s="64" t="n">
        <f aca="false">IF($K420="Expected",$P420,0)</f>
        <v>0</v>
      </c>
      <c r="V420" s="64" t="n">
        <f aca="false">IF($K420="Better",$P420,0)</f>
        <v>0</v>
      </c>
      <c r="W420" s="64" t="n">
        <f aca="false">IF($K420="U – needs rule",$P420,0)</f>
        <v>0</v>
      </c>
      <c r="X420" s="64" t="n">
        <f aca="false">IF($K420="No Start (attainment only)",$P420,0)</f>
        <v>0</v>
      </c>
    </row>
    <row r="421" customFormat="false" ht="15" hidden="false" customHeight="false" outlineLevel="0" collapsed="false">
      <c r="A421" s="60" t="s">
        <v>797</v>
      </c>
      <c r="B421" s="61" t="str">
        <f aca="false">IF($M421=0,"",INDEX(Classes!$E$6:$E$420,$M421))</f>
        <v>Arabic A</v>
      </c>
      <c r="C421" s="62" t="str">
        <f aca="false">IF($M421=0,"",INDEX(Classes!$H$6:$H$420,$M421))</f>
        <v>Mr Elsaid A Eltantawi</v>
      </c>
      <c r="D421" s="61" t="str">
        <f aca="false">IF($M421=0,"",INDEX(Classes!$B$6:$B$420,$M421))</f>
        <v>Year 10</v>
      </c>
      <c r="E421" s="61" t="str">
        <f aca="false">IF($M421=0,"",INDEX(Classes!$C$6:$C$420,$M421))</f>
        <v>ip</v>
      </c>
      <c r="F421" s="63" t="s">
        <v>162</v>
      </c>
      <c r="G421" s="63" t="s">
        <v>941</v>
      </c>
      <c r="H421" s="60"/>
      <c r="I421" s="60" t="s">
        <v>200</v>
      </c>
      <c r="J421" s="63" t="n">
        <v>1</v>
      </c>
      <c r="K421" s="61" t="str">
        <f aca="false">IF($P421=0,"",IF($F421="Baseline","— Baseline",IF($O421=0,"No result",IF($N421=0,"No Start (attainment only)",IF(OR($N421=1,$O421=1),"U – needs rule",INDEX(MxBody,MATCH($I421,MxCurr,0),MATCH($H421,MxStart,0)))))))</f>
        <v>— Baseline</v>
      </c>
      <c r="L421" s="62" t="str">
        <f aca="false">IF(COUNTA($A421,$F421,$G421,$H421,$I421,$J421)=0,"",IF($M421=0,"✖ كود الصف غير موجود",IF(ISNA(MATCH($F421,Lists!$A$2:$A$5,0)),"✖ الفترة غير صحيحة",IF(ISNA(MATCH($G421,Lists!$B$2:$B$7,0)),"✖ المجموعة غير صحيحة",IF(NOT(OR($H421="",$N421&gt;0)),"✖ Start غير صحيح",IF(NOT(OR($I421="",$I421="NR",$O421&gt;0)),"✖ Current غير صحيح",IF(NOT(IF(ISNUMBER($J421),AND($J421&gt;=0,$J421=INT($J421)),FALSE())),"✖ العدد يجب أن يكون صحيحًا ≥ 0",IF(AND($F421="Baseline",$H421&lt;&gt;""),"⚠ Baseline: Start لا يدخل في التقدم",IF($K421="No Start (attainment only)","ℹ تحصيل فقط (بدون Start)",IF($K421="U – needs rule","ℹ حالة U تحتاج قاعدة معتمدة",IF($K421="No result","ℹ بدون نتيجة (يُستبعد من التحصيل)","OK")))))))))))</f>
        <v>OK</v>
      </c>
      <c r="M421" s="64" t="n">
        <f aca="false">IF($A421="",0,IFERROR(MATCH($A421,Classes!$A$6:$A$420,0),0))</f>
        <v>300</v>
      </c>
      <c r="N421" s="64" t="n">
        <f aca="false">IF($H421="",0,IFERROR(MATCH($H421,GradeList,0),0))</f>
        <v>0</v>
      </c>
      <c r="O421" s="64" t="n">
        <f aca="false">IF(OR($I421="",$I421="NR"),0,IFERROR(MATCH($I421,GradeList,0),0))</f>
        <v>5</v>
      </c>
      <c r="P421" s="64" t="n">
        <f aca="false">IF(AND($M421&gt;0,ISNUMBER(MATCH($F421,Lists!$A$2:$A$5,0)),ISNUMBER(MATCH($G421,Lists!$B$2:$B$7,0)),OR($H421="",$N421&gt;0),OR($I421="",$I421="NR",$O421&gt;0),IF(ISNUMBER($J421),AND($J421&gt;=0,$J421=INT($J421)),FALSE())),$J421,0)</f>
        <v>1</v>
      </c>
      <c r="Q421" s="64" t="n">
        <f aca="false">IF(AND($P421&gt;0,$O421&gt;0),$P421,0)</f>
        <v>1</v>
      </c>
      <c r="R421" s="64" t="n">
        <f aca="false">IF(AND($Q421&gt;0,$O421&gt;=AtRank),$Q421,0)</f>
        <v>1</v>
      </c>
      <c r="S421" s="64" t="n">
        <f aca="false">IF(AND($Q421&gt;0,$O421&gt;=AboveRank),$Q421,0)</f>
        <v>0</v>
      </c>
      <c r="T421" s="64" t="n">
        <f aca="false">IF($K421="Less",$P421,0)</f>
        <v>0</v>
      </c>
      <c r="U421" s="64" t="n">
        <f aca="false">IF($K421="Expected",$P421,0)</f>
        <v>0</v>
      </c>
      <c r="V421" s="64" t="n">
        <f aca="false">IF($K421="Better",$P421,0)</f>
        <v>0</v>
      </c>
      <c r="W421" s="64" t="n">
        <f aca="false">IF($K421="U – needs rule",$P421,0)</f>
        <v>0</v>
      </c>
      <c r="X421" s="64" t="n">
        <f aca="false">IF($K421="No Start (attainment only)",$P421,0)</f>
        <v>0</v>
      </c>
    </row>
    <row r="422" customFormat="false" ht="15" hidden="false" customHeight="false" outlineLevel="0" collapsed="false">
      <c r="A422" s="60" t="s">
        <v>797</v>
      </c>
      <c r="B422" s="61" t="str">
        <f aca="false">IF($M422=0,"",INDEX(Classes!$E$6:$E$420,$M422))</f>
        <v>Arabic A</v>
      </c>
      <c r="C422" s="62" t="str">
        <f aca="false">IF($M422=0,"",INDEX(Classes!$H$6:$H$420,$M422))</f>
        <v>Mr Elsaid A Eltantawi</v>
      </c>
      <c r="D422" s="61" t="str">
        <f aca="false">IF($M422=0,"",INDEX(Classes!$B$6:$B$420,$M422))</f>
        <v>Year 10</v>
      </c>
      <c r="E422" s="61" t="str">
        <f aca="false">IF($M422=0,"",INDEX(Classes!$C$6:$C$420,$M422))</f>
        <v>ip</v>
      </c>
      <c r="F422" s="63" t="s">
        <v>162</v>
      </c>
      <c r="G422" s="63" t="s">
        <v>1017</v>
      </c>
      <c r="H422" s="60"/>
      <c r="I422" s="60" t="s">
        <v>200</v>
      </c>
      <c r="J422" s="63" t="n">
        <v>2</v>
      </c>
      <c r="K422" s="61" t="str">
        <f aca="false">IF($P422=0,"",IF($F422="Baseline","— Baseline",IF($O422=0,"No result",IF($N422=0,"No Start (attainment only)",IF(OR($N422=1,$O422=1),"U – needs rule",INDEX(MxBody,MATCH($I422,MxCurr,0),MATCH($H422,MxStart,0)))))))</f>
        <v>— Baseline</v>
      </c>
      <c r="L422" s="62" t="str">
        <f aca="false">IF(COUNTA($A422,$F422,$G422,$H422,$I422,$J422)=0,"",IF($M422=0,"✖ كود الصف غير موجود",IF(ISNA(MATCH($F422,Lists!$A$2:$A$5,0)),"✖ الفترة غير صحيحة",IF(ISNA(MATCH($G422,Lists!$B$2:$B$7,0)),"✖ المجموعة غير صحيحة",IF(NOT(OR($H422="",$N422&gt;0)),"✖ Start غير صحيح",IF(NOT(OR($I422="",$I422="NR",$O422&gt;0)),"✖ Current غير صحيح",IF(NOT(IF(ISNUMBER($J422),AND($J422&gt;=0,$J422=INT($J422)),FALSE())),"✖ العدد يجب أن يكون صحيحًا ≥ 0",IF(AND($F422="Baseline",$H422&lt;&gt;""),"⚠ Baseline: Start لا يدخل في التقدم",IF($K422="No Start (attainment only)","ℹ تحصيل فقط (بدون Start)",IF($K422="U – needs rule","ℹ حالة U تحتاج قاعدة معتمدة",IF($K422="No result","ℹ بدون نتيجة (يُستبعد من التحصيل)","OK")))))))))))</f>
        <v>OK</v>
      </c>
      <c r="M422" s="64" t="n">
        <f aca="false">IF($A422="",0,IFERROR(MATCH($A422,Classes!$A$6:$A$420,0),0))</f>
        <v>300</v>
      </c>
      <c r="N422" s="64" t="n">
        <f aca="false">IF($H422="",0,IFERROR(MATCH($H422,GradeList,0),0))</f>
        <v>0</v>
      </c>
      <c r="O422" s="64" t="n">
        <f aca="false">IF(OR($I422="",$I422="NR"),0,IFERROR(MATCH($I422,GradeList,0),0))</f>
        <v>5</v>
      </c>
      <c r="P422" s="64" t="n">
        <f aca="false">IF(AND($M422&gt;0,ISNUMBER(MATCH($F422,Lists!$A$2:$A$5,0)),ISNUMBER(MATCH($G422,Lists!$B$2:$B$7,0)),OR($H422="",$N422&gt;0),OR($I422="",$I422="NR",$O422&gt;0),IF(ISNUMBER($J422),AND($J422&gt;=0,$J422=INT($J422)),FALSE())),$J422,0)</f>
        <v>2</v>
      </c>
      <c r="Q422" s="64" t="n">
        <f aca="false">IF(AND($P422&gt;0,$O422&gt;0),$P422,0)</f>
        <v>2</v>
      </c>
      <c r="R422" s="64" t="n">
        <f aca="false">IF(AND($Q422&gt;0,$O422&gt;=AtRank),$Q422,0)</f>
        <v>2</v>
      </c>
      <c r="S422" s="64" t="n">
        <f aca="false">IF(AND($Q422&gt;0,$O422&gt;=AboveRank),$Q422,0)</f>
        <v>0</v>
      </c>
      <c r="T422" s="64" t="n">
        <f aca="false">IF($K422="Less",$P422,0)</f>
        <v>0</v>
      </c>
      <c r="U422" s="64" t="n">
        <f aca="false">IF($K422="Expected",$P422,0)</f>
        <v>0</v>
      </c>
      <c r="V422" s="64" t="n">
        <f aca="false">IF($K422="Better",$P422,0)</f>
        <v>0</v>
      </c>
      <c r="W422" s="64" t="n">
        <f aca="false">IF($K422="U – needs rule",$P422,0)</f>
        <v>0</v>
      </c>
      <c r="X422" s="64" t="n">
        <f aca="false">IF($K422="No Start (attainment only)",$P422,0)</f>
        <v>0</v>
      </c>
    </row>
    <row r="423" customFormat="false" ht="15" hidden="false" customHeight="false" outlineLevel="0" collapsed="false">
      <c r="A423" s="60" t="s">
        <v>797</v>
      </c>
      <c r="B423" s="61" t="str">
        <f aca="false">IF($M423=0,"",INDEX(Classes!$E$6:$E$420,$M423))</f>
        <v>Arabic A</v>
      </c>
      <c r="C423" s="62" t="str">
        <f aca="false">IF($M423=0,"",INDEX(Classes!$H$6:$H$420,$M423))</f>
        <v>Mr Elsaid A Eltantawi</v>
      </c>
      <c r="D423" s="61" t="str">
        <f aca="false">IF($M423=0,"",INDEX(Classes!$B$6:$B$420,$M423))</f>
        <v>Year 10</v>
      </c>
      <c r="E423" s="61" t="str">
        <f aca="false">IF($M423=0,"",INDEX(Classes!$C$6:$C$420,$M423))</f>
        <v>ip</v>
      </c>
      <c r="F423" s="63" t="s">
        <v>162</v>
      </c>
      <c r="G423" s="63" t="s">
        <v>1017</v>
      </c>
      <c r="H423" s="60"/>
      <c r="I423" s="60" t="s">
        <v>201</v>
      </c>
      <c r="J423" s="63" t="n">
        <v>2</v>
      </c>
      <c r="K423" s="61" t="str">
        <f aca="false">IF($P423=0,"",IF($F423="Baseline","— Baseline",IF($O423=0,"No result",IF($N423=0,"No Start (attainment only)",IF(OR($N423=1,$O423=1),"U – needs rule",INDEX(MxBody,MATCH($I423,MxCurr,0),MATCH($H423,MxStart,0)))))))</f>
        <v>— Baseline</v>
      </c>
      <c r="L423" s="62" t="str">
        <f aca="false">IF(COUNTA($A423,$F423,$G423,$H423,$I423,$J423)=0,"",IF($M423=0,"✖ كود الصف غير موجود",IF(ISNA(MATCH($F423,Lists!$A$2:$A$5,0)),"✖ الفترة غير صحيحة",IF(ISNA(MATCH($G423,Lists!$B$2:$B$7,0)),"✖ المجموعة غير صحيحة",IF(NOT(OR($H423="",$N423&gt;0)),"✖ Start غير صحيح",IF(NOT(OR($I423="",$I423="NR",$O423&gt;0)),"✖ Current غير صحيح",IF(NOT(IF(ISNUMBER($J423),AND($J423&gt;=0,$J423=INT($J423)),FALSE())),"✖ العدد يجب أن يكون صحيحًا ≥ 0",IF(AND($F423="Baseline",$H423&lt;&gt;""),"⚠ Baseline: Start لا يدخل في التقدم",IF($K423="No Start (attainment only)","ℹ تحصيل فقط (بدون Start)",IF($K423="U – needs rule","ℹ حالة U تحتاج قاعدة معتمدة",IF($K423="No result","ℹ بدون نتيجة (يُستبعد من التحصيل)","OK")))))))))))</f>
        <v>OK</v>
      </c>
      <c r="M423" s="64" t="n">
        <f aca="false">IF($A423="",0,IFERROR(MATCH($A423,Classes!$A$6:$A$420,0),0))</f>
        <v>300</v>
      </c>
      <c r="N423" s="64" t="n">
        <f aca="false">IF($H423="",0,IFERROR(MATCH($H423,GradeList,0),0))</f>
        <v>0</v>
      </c>
      <c r="O423" s="64" t="n">
        <f aca="false">IF(OR($I423="",$I423="NR"),0,IFERROR(MATCH($I423,GradeList,0),0))</f>
        <v>6</v>
      </c>
      <c r="P423" s="64" t="n">
        <f aca="false">IF(AND($M423&gt;0,ISNUMBER(MATCH($F423,Lists!$A$2:$A$5,0)),ISNUMBER(MATCH($G423,Lists!$B$2:$B$7,0)),OR($H423="",$N423&gt;0),OR($I423="",$I423="NR",$O423&gt;0),IF(ISNUMBER($J423),AND($J423&gt;=0,$J423=INT($J423)),FALSE())),$J423,0)</f>
        <v>2</v>
      </c>
      <c r="Q423" s="64" t="n">
        <f aca="false">IF(AND($P423&gt;0,$O423&gt;0),$P423,0)</f>
        <v>2</v>
      </c>
      <c r="R423" s="64" t="n">
        <f aca="false">IF(AND($Q423&gt;0,$O423&gt;=AtRank),$Q423,0)</f>
        <v>2</v>
      </c>
      <c r="S423" s="64" t="n">
        <f aca="false">IF(AND($Q423&gt;0,$O423&gt;=AboveRank),$Q423,0)</f>
        <v>0</v>
      </c>
      <c r="T423" s="64" t="n">
        <f aca="false">IF($K423="Less",$P423,0)</f>
        <v>0</v>
      </c>
      <c r="U423" s="64" t="n">
        <f aca="false">IF($K423="Expected",$P423,0)</f>
        <v>0</v>
      </c>
      <c r="V423" s="64" t="n">
        <f aca="false">IF($K423="Better",$P423,0)</f>
        <v>0</v>
      </c>
      <c r="W423" s="64" t="n">
        <f aca="false">IF($K423="U – needs rule",$P423,0)</f>
        <v>0</v>
      </c>
      <c r="X423" s="64" t="n">
        <f aca="false">IF($K423="No Start (attainment only)",$P423,0)</f>
        <v>0</v>
      </c>
    </row>
    <row r="424" customFormat="false" ht="15" hidden="false" customHeight="false" outlineLevel="0" collapsed="false">
      <c r="A424" s="60" t="s">
        <v>797</v>
      </c>
      <c r="B424" s="61" t="str">
        <f aca="false">IF($M424=0,"",INDEX(Classes!$E$6:$E$420,$M424))</f>
        <v>Arabic A</v>
      </c>
      <c r="C424" s="62" t="str">
        <f aca="false">IF($M424=0,"",INDEX(Classes!$H$6:$H$420,$M424))</f>
        <v>Mr Elsaid A Eltantawi</v>
      </c>
      <c r="D424" s="61" t="str">
        <f aca="false">IF($M424=0,"",INDEX(Classes!$B$6:$B$420,$M424))</f>
        <v>Year 10</v>
      </c>
      <c r="E424" s="61" t="str">
        <f aca="false">IF($M424=0,"",INDEX(Classes!$C$6:$C$420,$M424))</f>
        <v>ip</v>
      </c>
      <c r="F424" s="63" t="s">
        <v>162</v>
      </c>
      <c r="G424" s="63" t="s">
        <v>1018</v>
      </c>
      <c r="H424" s="60"/>
      <c r="I424" s="60" t="s">
        <v>202</v>
      </c>
      <c r="J424" s="63" t="n">
        <v>2</v>
      </c>
      <c r="K424" s="61" t="str">
        <f aca="false">IF($P424=0,"",IF($F424="Baseline","— Baseline",IF($O424=0,"No result",IF($N424=0,"No Start (attainment only)",IF(OR($N424=1,$O424=1),"U – needs rule",INDEX(MxBody,MATCH($I424,MxCurr,0),MATCH($H424,MxStart,0)))))))</f>
        <v>— Baseline</v>
      </c>
      <c r="L424" s="62" t="str">
        <f aca="false">IF(COUNTA($A424,$F424,$G424,$H424,$I424,$J424)=0,"",IF($M424=0,"✖ كود الصف غير موجود",IF(ISNA(MATCH($F424,Lists!$A$2:$A$5,0)),"✖ الفترة غير صحيحة",IF(ISNA(MATCH($G424,Lists!$B$2:$B$7,0)),"✖ المجموعة غير صحيحة",IF(NOT(OR($H424="",$N424&gt;0)),"✖ Start غير صحيح",IF(NOT(OR($I424="",$I424="NR",$O424&gt;0)),"✖ Current غير صحيح",IF(NOT(IF(ISNUMBER($J424),AND($J424&gt;=0,$J424=INT($J424)),FALSE())),"✖ العدد يجب أن يكون صحيحًا ≥ 0",IF(AND($F424="Baseline",$H424&lt;&gt;""),"⚠ Baseline: Start لا يدخل في التقدم",IF($K424="No Start (attainment only)","ℹ تحصيل فقط (بدون Start)",IF($K424="U – needs rule","ℹ حالة U تحتاج قاعدة معتمدة",IF($K424="No result","ℹ بدون نتيجة (يُستبعد من التحصيل)","OK")))))))))))</f>
        <v>OK</v>
      </c>
      <c r="M424" s="64" t="n">
        <f aca="false">IF($A424="",0,IFERROR(MATCH($A424,Classes!$A$6:$A$420,0),0))</f>
        <v>300</v>
      </c>
      <c r="N424" s="64" t="n">
        <f aca="false">IF($H424="",0,IFERROR(MATCH($H424,GradeList,0),0))</f>
        <v>0</v>
      </c>
      <c r="O424" s="64" t="n">
        <f aca="false">IF(OR($I424="",$I424="NR"),0,IFERROR(MATCH($I424,GradeList,0),0))</f>
        <v>7</v>
      </c>
      <c r="P424" s="64" t="n">
        <f aca="false">IF(AND($M424&gt;0,ISNUMBER(MATCH($F424,Lists!$A$2:$A$5,0)),ISNUMBER(MATCH($G424,Lists!$B$2:$B$7,0)),OR($H424="",$N424&gt;0),OR($I424="",$I424="NR",$O424&gt;0),IF(ISNUMBER($J424),AND($J424&gt;=0,$J424=INT($J424)),FALSE())),$J424,0)</f>
        <v>2</v>
      </c>
      <c r="Q424" s="64" t="n">
        <f aca="false">IF(AND($P424&gt;0,$O424&gt;0),$P424,0)</f>
        <v>2</v>
      </c>
      <c r="R424" s="64" t="n">
        <f aca="false">IF(AND($Q424&gt;0,$O424&gt;=AtRank),$Q424,0)</f>
        <v>2</v>
      </c>
      <c r="S424" s="64" t="n">
        <f aca="false">IF(AND($Q424&gt;0,$O424&gt;=AboveRank),$Q424,0)</f>
        <v>2</v>
      </c>
      <c r="T424" s="64" t="n">
        <f aca="false">IF($K424="Less",$P424,0)</f>
        <v>0</v>
      </c>
      <c r="U424" s="64" t="n">
        <f aca="false">IF($K424="Expected",$P424,0)</f>
        <v>0</v>
      </c>
      <c r="V424" s="64" t="n">
        <f aca="false">IF($K424="Better",$P424,0)</f>
        <v>0</v>
      </c>
      <c r="W424" s="64" t="n">
        <f aca="false">IF($K424="U – needs rule",$P424,0)</f>
        <v>0</v>
      </c>
      <c r="X424" s="64" t="n">
        <f aca="false">IF($K424="No Start (attainment only)",$P424,0)</f>
        <v>0</v>
      </c>
    </row>
    <row r="425" customFormat="false" ht="15" hidden="false" customHeight="false" outlineLevel="0" collapsed="false">
      <c r="A425" s="60" t="s">
        <v>797</v>
      </c>
      <c r="B425" s="61" t="str">
        <f aca="false">IF($M425=0,"",INDEX(Classes!$E$6:$E$420,$M425))</f>
        <v>Arabic A</v>
      </c>
      <c r="C425" s="62" t="str">
        <f aca="false">IF($M425=0,"",INDEX(Classes!$H$6:$H$420,$M425))</f>
        <v>Mr Elsaid A Eltantawi</v>
      </c>
      <c r="D425" s="61" t="str">
        <f aca="false">IF($M425=0,"",INDEX(Classes!$B$6:$B$420,$M425))</f>
        <v>Year 10</v>
      </c>
      <c r="E425" s="61" t="str">
        <f aca="false">IF($M425=0,"",INDEX(Classes!$C$6:$C$420,$M425))</f>
        <v>ip</v>
      </c>
      <c r="F425" s="63" t="s">
        <v>162</v>
      </c>
      <c r="G425" s="63" t="s">
        <v>1018</v>
      </c>
      <c r="H425" s="60"/>
      <c r="I425" s="60" t="s">
        <v>200</v>
      </c>
      <c r="J425" s="63" t="n">
        <v>1</v>
      </c>
      <c r="K425" s="61" t="str">
        <f aca="false">IF($P425=0,"",IF($F425="Baseline","— Baseline",IF($O425=0,"No result",IF($N425=0,"No Start (attainment only)",IF(OR($N425=1,$O425=1),"U – needs rule",INDEX(MxBody,MATCH($I425,MxCurr,0),MATCH($H425,MxStart,0)))))))</f>
        <v>— Baseline</v>
      </c>
      <c r="L425" s="62" t="str">
        <f aca="false">IF(COUNTA($A425,$F425,$G425,$H425,$I425,$J425)=0,"",IF($M425=0,"✖ كود الصف غير موجود",IF(ISNA(MATCH($F425,Lists!$A$2:$A$5,0)),"✖ الفترة غير صحيحة",IF(ISNA(MATCH($G425,Lists!$B$2:$B$7,0)),"✖ المجموعة غير صحيحة",IF(NOT(OR($H425="",$N425&gt;0)),"✖ Start غير صحيح",IF(NOT(OR($I425="",$I425="NR",$O425&gt;0)),"✖ Current غير صحيح",IF(NOT(IF(ISNUMBER($J425),AND($J425&gt;=0,$J425=INT($J425)),FALSE())),"✖ العدد يجب أن يكون صحيحًا ≥ 0",IF(AND($F425="Baseline",$H425&lt;&gt;""),"⚠ Baseline: Start لا يدخل في التقدم",IF($K425="No Start (attainment only)","ℹ تحصيل فقط (بدون Start)",IF($K425="U – needs rule","ℹ حالة U تحتاج قاعدة معتمدة",IF($K425="No result","ℹ بدون نتيجة (يُستبعد من التحصيل)","OK")))))))))))</f>
        <v>OK</v>
      </c>
      <c r="M425" s="64" t="n">
        <f aca="false">IF($A425="",0,IFERROR(MATCH($A425,Classes!$A$6:$A$420,0),0))</f>
        <v>300</v>
      </c>
      <c r="N425" s="64" t="n">
        <f aca="false">IF($H425="",0,IFERROR(MATCH($H425,GradeList,0),0))</f>
        <v>0</v>
      </c>
      <c r="O425" s="64" t="n">
        <f aca="false">IF(OR($I425="",$I425="NR"),0,IFERROR(MATCH($I425,GradeList,0),0))</f>
        <v>5</v>
      </c>
      <c r="P425" s="64" t="n">
        <f aca="false">IF(AND($M425&gt;0,ISNUMBER(MATCH($F425,Lists!$A$2:$A$5,0)),ISNUMBER(MATCH($G425,Lists!$B$2:$B$7,0)),OR($H425="",$N425&gt;0),OR($I425="",$I425="NR",$O425&gt;0),IF(ISNUMBER($J425),AND($J425&gt;=0,$J425=INT($J425)),FALSE())),$J425,0)</f>
        <v>1</v>
      </c>
      <c r="Q425" s="64" t="n">
        <f aca="false">IF(AND($P425&gt;0,$O425&gt;0),$P425,0)</f>
        <v>1</v>
      </c>
      <c r="R425" s="64" t="n">
        <f aca="false">IF(AND($Q425&gt;0,$O425&gt;=AtRank),$Q425,0)</f>
        <v>1</v>
      </c>
      <c r="S425" s="64" t="n">
        <f aca="false">IF(AND($Q425&gt;0,$O425&gt;=AboveRank),$Q425,0)</f>
        <v>0</v>
      </c>
      <c r="T425" s="64" t="n">
        <f aca="false">IF($K425="Less",$P425,0)</f>
        <v>0</v>
      </c>
      <c r="U425" s="64" t="n">
        <f aca="false">IF($K425="Expected",$P425,0)</f>
        <v>0</v>
      </c>
      <c r="V425" s="64" t="n">
        <f aca="false">IF($K425="Better",$P425,0)</f>
        <v>0</v>
      </c>
      <c r="W425" s="64" t="n">
        <f aca="false">IF($K425="U – needs rule",$P425,0)</f>
        <v>0</v>
      </c>
      <c r="X425" s="64" t="n">
        <f aca="false">IF($K425="No Start (attainment only)",$P425,0)</f>
        <v>0</v>
      </c>
    </row>
    <row r="426" customFormat="false" ht="15" hidden="false" customHeight="false" outlineLevel="0" collapsed="false">
      <c r="A426" s="60" t="s">
        <v>797</v>
      </c>
      <c r="B426" s="61" t="str">
        <f aca="false">IF($M426=0,"",INDEX(Classes!$E$6:$E$420,$M426))</f>
        <v>Arabic A</v>
      </c>
      <c r="C426" s="62" t="str">
        <f aca="false">IF($M426=0,"",INDEX(Classes!$H$6:$H$420,$M426))</f>
        <v>Mr Elsaid A Eltantawi</v>
      </c>
      <c r="D426" s="61" t="str">
        <f aca="false">IF($M426=0,"",INDEX(Classes!$B$6:$B$420,$M426))</f>
        <v>Year 10</v>
      </c>
      <c r="E426" s="61" t="str">
        <f aca="false">IF($M426=0,"",INDEX(Classes!$C$6:$C$420,$M426))</f>
        <v>ip</v>
      </c>
      <c r="F426" s="63" t="s">
        <v>162</v>
      </c>
      <c r="G426" s="63" t="s">
        <v>1018</v>
      </c>
      <c r="H426" s="60"/>
      <c r="I426" s="60" t="s">
        <v>201</v>
      </c>
      <c r="J426" s="63" t="n">
        <v>1</v>
      </c>
      <c r="K426" s="61" t="str">
        <f aca="false">IF($P426=0,"",IF($F426="Baseline","— Baseline",IF($O426=0,"No result",IF($N426=0,"No Start (attainment only)",IF(OR($N426=1,$O426=1),"U – needs rule",INDEX(MxBody,MATCH($I426,MxCurr,0),MATCH($H426,MxStart,0)))))))</f>
        <v>— Baseline</v>
      </c>
      <c r="L426" s="62" t="str">
        <f aca="false">IF(COUNTA($A426,$F426,$G426,$H426,$I426,$J426)=0,"",IF($M426=0,"✖ كود الصف غير موجود",IF(ISNA(MATCH($F426,Lists!$A$2:$A$5,0)),"✖ الفترة غير صحيحة",IF(ISNA(MATCH($G426,Lists!$B$2:$B$7,0)),"✖ المجموعة غير صحيحة",IF(NOT(OR($H426="",$N426&gt;0)),"✖ Start غير صحيح",IF(NOT(OR($I426="",$I426="NR",$O426&gt;0)),"✖ Current غير صحيح",IF(NOT(IF(ISNUMBER($J426),AND($J426&gt;=0,$J426=INT($J426)),FALSE())),"✖ العدد يجب أن يكون صحيحًا ≥ 0",IF(AND($F426="Baseline",$H426&lt;&gt;""),"⚠ Baseline: Start لا يدخل في التقدم",IF($K426="No Start (attainment only)","ℹ تحصيل فقط (بدون Start)",IF($K426="U – needs rule","ℹ حالة U تحتاج قاعدة معتمدة",IF($K426="No result","ℹ بدون نتيجة (يُستبعد من التحصيل)","OK")))))))))))</f>
        <v>OK</v>
      </c>
      <c r="M426" s="64" t="n">
        <f aca="false">IF($A426="",0,IFERROR(MATCH($A426,Classes!$A$6:$A$420,0),0))</f>
        <v>300</v>
      </c>
      <c r="N426" s="64" t="n">
        <f aca="false">IF($H426="",0,IFERROR(MATCH($H426,GradeList,0),0))</f>
        <v>0</v>
      </c>
      <c r="O426" s="64" t="n">
        <f aca="false">IF(OR($I426="",$I426="NR"),0,IFERROR(MATCH($I426,GradeList,0),0))</f>
        <v>6</v>
      </c>
      <c r="P426" s="64" t="n">
        <f aca="false">IF(AND($M426&gt;0,ISNUMBER(MATCH($F426,Lists!$A$2:$A$5,0)),ISNUMBER(MATCH($G426,Lists!$B$2:$B$7,0)),OR($H426="",$N426&gt;0),OR($I426="",$I426="NR",$O426&gt;0),IF(ISNUMBER($J426),AND($J426&gt;=0,$J426=INT($J426)),FALSE())),$J426,0)</f>
        <v>1</v>
      </c>
      <c r="Q426" s="64" t="n">
        <f aca="false">IF(AND($P426&gt;0,$O426&gt;0),$P426,0)</f>
        <v>1</v>
      </c>
      <c r="R426" s="64" t="n">
        <f aca="false">IF(AND($Q426&gt;0,$O426&gt;=AtRank),$Q426,0)</f>
        <v>1</v>
      </c>
      <c r="S426" s="64" t="n">
        <f aca="false">IF(AND($Q426&gt;0,$O426&gt;=AboveRank),$Q426,0)</f>
        <v>0</v>
      </c>
      <c r="T426" s="64" t="n">
        <f aca="false">IF($K426="Less",$P426,0)</f>
        <v>0</v>
      </c>
      <c r="U426" s="64" t="n">
        <f aca="false">IF($K426="Expected",$P426,0)</f>
        <v>0</v>
      </c>
      <c r="V426" s="64" t="n">
        <f aca="false">IF($K426="Better",$P426,0)</f>
        <v>0</v>
      </c>
      <c r="W426" s="64" t="n">
        <f aca="false">IF($K426="U – needs rule",$P426,0)</f>
        <v>0</v>
      </c>
      <c r="X426" s="64" t="n">
        <f aca="false">IF($K426="No Start (attainment only)",$P426,0)</f>
        <v>0</v>
      </c>
    </row>
    <row r="427" customFormat="false" ht="15" hidden="false" customHeight="false" outlineLevel="0" collapsed="false">
      <c r="A427" s="60" t="s">
        <v>797</v>
      </c>
      <c r="B427" s="61" t="str">
        <f aca="false">IF($M427=0,"",INDEX(Classes!$E$6:$E$420,$M427))</f>
        <v>Arabic A</v>
      </c>
      <c r="C427" s="62" t="str">
        <f aca="false">IF($M427=0,"",INDEX(Classes!$H$6:$H$420,$M427))</f>
        <v>Mr Elsaid A Eltantawi</v>
      </c>
      <c r="D427" s="61" t="str">
        <f aca="false">IF($M427=0,"",INDEX(Classes!$B$6:$B$420,$M427))</f>
        <v>Year 10</v>
      </c>
      <c r="E427" s="61" t="str">
        <f aca="false">IF($M427=0,"",INDEX(Classes!$C$6:$C$420,$M427))</f>
        <v>ip</v>
      </c>
      <c r="F427" s="63" t="s">
        <v>162</v>
      </c>
      <c r="G427" s="63" t="s">
        <v>1018</v>
      </c>
      <c r="H427" s="60"/>
      <c r="I427" s="60" t="s">
        <v>204</v>
      </c>
      <c r="J427" s="63" t="n">
        <v>1</v>
      </c>
      <c r="K427" s="61" t="str">
        <f aca="false">IF($P427=0,"",IF($F427="Baseline","— Baseline",IF($O427=0,"No result",IF($N427=0,"No Start (attainment only)",IF(OR($N427=1,$O427=1),"U – needs rule",INDEX(MxBody,MATCH($I427,MxCurr,0),MATCH($H427,MxStart,0)))))))</f>
        <v>— Baseline</v>
      </c>
      <c r="L427" s="62" t="str">
        <f aca="false">IF(COUNTA($A427,$F427,$G427,$H427,$I427,$J427)=0,"",IF($M427=0,"✖ كود الصف غير موجود",IF(ISNA(MATCH($F427,Lists!$A$2:$A$5,0)),"✖ الفترة غير صحيحة",IF(ISNA(MATCH($G427,Lists!$B$2:$B$7,0)),"✖ المجموعة غير صحيحة",IF(NOT(OR($H427="",$N427&gt;0)),"✖ Start غير صحيح",IF(NOT(OR($I427="",$I427="NR",$O427&gt;0)),"✖ Current غير صحيح",IF(NOT(IF(ISNUMBER($J427),AND($J427&gt;=0,$J427=INT($J427)),FALSE())),"✖ العدد يجب أن يكون صحيحًا ≥ 0",IF(AND($F427="Baseline",$H427&lt;&gt;""),"⚠ Baseline: Start لا يدخل في التقدم",IF($K427="No Start (attainment only)","ℹ تحصيل فقط (بدون Start)",IF($K427="U – needs rule","ℹ حالة U تحتاج قاعدة معتمدة",IF($K427="No result","ℹ بدون نتيجة (يُستبعد من التحصيل)","OK")))))))))))</f>
        <v>OK</v>
      </c>
      <c r="M427" s="64" t="n">
        <f aca="false">IF($A427="",0,IFERROR(MATCH($A427,Classes!$A$6:$A$420,0),0))</f>
        <v>300</v>
      </c>
      <c r="N427" s="64" t="n">
        <f aca="false">IF($H427="",0,IFERROR(MATCH($H427,GradeList,0),0))</f>
        <v>0</v>
      </c>
      <c r="O427" s="64" t="n">
        <f aca="false">IF(OR($I427="",$I427="NR"),0,IFERROR(MATCH($I427,GradeList,0),0))</f>
        <v>9</v>
      </c>
      <c r="P427" s="64" t="n">
        <f aca="false">IF(AND($M427&gt;0,ISNUMBER(MATCH($F427,Lists!$A$2:$A$5,0)),ISNUMBER(MATCH($G427,Lists!$B$2:$B$7,0)),OR($H427="",$N427&gt;0),OR($I427="",$I427="NR",$O427&gt;0),IF(ISNUMBER($J427),AND($J427&gt;=0,$J427=INT($J427)),FALSE())),$J427,0)</f>
        <v>1</v>
      </c>
      <c r="Q427" s="64" t="n">
        <f aca="false">IF(AND($P427&gt;0,$O427&gt;0),$P427,0)</f>
        <v>1</v>
      </c>
      <c r="R427" s="64" t="n">
        <f aca="false">IF(AND($Q427&gt;0,$O427&gt;=AtRank),$Q427,0)</f>
        <v>1</v>
      </c>
      <c r="S427" s="64" t="n">
        <f aca="false">IF(AND($Q427&gt;0,$O427&gt;=AboveRank),$Q427,0)</f>
        <v>1</v>
      </c>
      <c r="T427" s="64" t="n">
        <f aca="false">IF($K427="Less",$P427,0)</f>
        <v>0</v>
      </c>
      <c r="U427" s="64" t="n">
        <f aca="false">IF($K427="Expected",$P427,0)</f>
        <v>0</v>
      </c>
      <c r="V427" s="64" t="n">
        <f aca="false">IF($K427="Better",$P427,0)</f>
        <v>0</v>
      </c>
      <c r="W427" s="64" t="n">
        <f aca="false">IF($K427="U – needs rule",$P427,0)</f>
        <v>0</v>
      </c>
      <c r="X427" s="64" t="n">
        <f aca="false">IF($K427="No Start (attainment only)",$P427,0)</f>
        <v>0</v>
      </c>
    </row>
    <row r="428" customFormat="false" ht="15" hidden="false" customHeight="false" outlineLevel="0" collapsed="false">
      <c r="A428" s="60" t="s">
        <v>797</v>
      </c>
      <c r="B428" s="61" t="str">
        <f aca="false">IF($M428=0,"",INDEX(Classes!$E$6:$E$420,$M428))</f>
        <v>Arabic A</v>
      </c>
      <c r="C428" s="62" t="str">
        <f aca="false">IF($M428=0,"",INDEX(Classes!$H$6:$H$420,$M428))</f>
        <v>Mr Elsaid A Eltantawi</v>
      </c>
      <c r="D428" s="61" t="str">
        <f aca="false">IF($M428=0,"",INDEX(Classes!$B$6:$B$420,$M428))</f>
        <v>Year 10</v>
      </c>
      <c r="E428" s="61" t="str">
        <f aca="false">IF($M428=0,"",INDEX(Classes!$C$6:$C$420,$M428))</f>
        <v>ip</v>
      </c>
      <c r="F428" s="63" t="s">
        <v>107</v>
      </c>
      <c r="G428" s="63" t="s">
        <v>108</v>
      </c>
      <c r="H428" s="60"/>
      <c r="I428" s="60" t="s">
        <v>201</v>
      </c>
      <c r="J428" s="63" t="n">
        <v>1</v>
      </c>
      <c r="K428" s="61" t="str">
        <f aca="false">IF($P428=0,"",IF($F428="Baseline","— Baseline",IF($O428=0,"No result",IF($N428=0,"No Start (attainment only)",IF(OR($N428=1,$O428=1),"U – needs rule",INDEX(MxBody,MATCH($I428,MxCurr,0),MATCH($H428,MxStart,0)))))))</f>
        <v>No Start (attainment only)</v>
      </c>
      <c r="L428" s="62" t="str">
        <f aca="false">IF(COUNTA($A428,$F428,$G428,$H428,$I428,$J428)=0,"",IF($M428=0,"✖ كود الصف غير موجود",IF(ISNA(MATCH($F428,Lists!$A$2:$A$5,0)),"✖ الفترة غير صحيحة",IF(ISNA(MATCH($G428,Lists!$B$2:$B$7,0)),"✖ المجموعة غير صحيحة",IF(NOT(OR($H428="",$N428&gt;0)),"✖ Start غير صحيح",IF(NOT(OR($I428="",$I428="NR",$O428&gt;0)),"✖ Current غير صحيح",IF(NOT(IF(ISNUMBER($J428),AND($J428&gt;=0,$J428=INT($J428)),FALSE())),"✖ العدد يجب أن يكون صحيحًا ≥ 0",IF(AND($F428="Baseline",$H428&lt;&gt;""),"⚠ Baseline: Start لا يدخل في التقدم",IF($K428="No Start (attainment only)","ℹ تحصيل فقط (بدون Start)",IF($K428="U – needs rule","ℹ حالة U تحتاج قاعدة معتمدة",IF($K428="No result","ℹ بدون نتيجة (يُستبعد من التحصيل)","OK")))))))))))</f>
        <v>ℹ تحصيل فقط (بدون Start)</v>
      </c>
      <c r="M428" s="64" t="n">
        <f aca="false">IF($A428="",0,IFERROR(MATCH($A428,Classes!$A$6:$A$420,0),0))</f>
        <v>300</v>
      </c>
      <c r="N428" s="64" t="n">
        <f aca="false">IF($H428="",0,IFERROR(MATCH($H428,GradeList,0),0))</f>
        <v>0</v>
      </c>
      <c r="O428" s="64" t="n">
        <f aca="false">IF(OR($I428="",$I428="NR"),0,IFERROR(MATCH($I428,GradeList,0),0))</f>
        <v>6</v>
      </c>
      <c r="P428" s="64" t="n">
        <f aca="false">IF(AND($M428&gt;0,ISNUMBER(MATCH($F428,Lists!$A$2:$A$5,0)),ISNUMBER(MATCH($G428,Lists!$B$2:$B$7,0)),OR($H428="",$N428&gt;0),OR($I428="",$I428="NR",$O428&gt;0),IF(ISNUMBER($J428),AND($J428&gt;=0,$J428=INT($J428)),FALSE())),$J428,0)</f>
        <v>1</v>
      </c>
      <c r="Q428" s="64" t="n">
        <f aca="false">IF(AND($P428&gt;0,$O428&gt;0),$P428,0)</f>
        <v>1</v>
      </c>
      <c r="R428" s="64" t="n">
        <f aca="false">IF(AND($Q428&gt;0,$O428&gt;=AtRank),$Q428,0)</f>
        <v>1</v>
      </c>
      <c r="S428" s="64" t="n">
        <f aca="false">IF(AND($Q428&gt;0,$O428&gt;=AboveRank),$Q428,0)</f>
        <v>0</v>
      </c>
      <c r="T428" s="64" t="n">
        <f aca="false">IF($K428="Less",$P428,0)</f>
        <v>0</v>
      </c>
      <c r="U428" s="64" t="n">
        <f aca="false">IF($K428="Expected",$P428,0)</f>
        <v>0</v>
      </c>
      <c r="V428" s="64" t="n">
        <f aca="false">IF($K428="Better",$P428,0)</f>
        <v>0</v>
      </c>
      <c r="W428" s="64" t="n">
        <f aca="false">IF($K428="U – needs rule",$P428,0)</f>
        <v>0</v>
      </c>
      <c r="X428" s="64" t="n">
        <f aca="false">IF($K428="No Start (attainment only)",$P428,0)</f>
        <v>1</v>
      </c>
    </row>
    <row r="429" customFormat="false" ht="15" hidden="false" customHeight="false" outlineLevel="0" collapsed="false">
      <c r="A429" s="60" t="s">
        <v>797</v>
      </c>
      <c r="B429" s="61" t="str">
        <f aca="false">IF($M429=0,"",INDEX(Classes!$E$6:$E$420,$M429))</f>
        <v>Arabic A</v>
      </c>
      <c r="C429" s="62" t="str">
        <f aca="false">IF($M429=0,"",INDEX(Classes!$H$6:$H$420,$M429))</f>
        <v>Mr Elsaid A Eltantawi</v>
      </c>
      <c r="D429" s="61" t="str">
        <f aca="false">IF($M429=0,"",INDEX(Classes!$B$6:$B$420,$M429))</f>
        <v>Year 10</v>
      </c>
      <c r="E429" s="61" t="str">
        <f aca="false">IF($M429=0,"",INDEX(Classes!$C$6:$C$420,$M429))</f>
        <v>ip</v>
      </c>
      <c r="F429" s="63" t="s">
        <v>107</v>
      </c>
      <c r="G429" s="63" t="s">
        <v>108</v>
      </c>
      <c r="H429" s="60" t="s">
        <v>202</v>
      </c>
      <c r="I429" s="60" t="s">
        <v>202</v>
      </c>
      <c r="J429" s="63" t="n">
        <v>1</v>
      </c>
      <c r="K429" s="61" t="str">
        <f aca="false">IF($P429=0,"",IF($F429="Baseline","— Baseline",IF($O429=0,"No result",IF($N429=0,"No Start (attainment only)",IF(OR($N429=1,$O429=1),"U – needs rule",INDEX(MxBody,MATCH($I429,MxCurr,0),MATCH($H429,MxStart,0)))))))</f>
        <v>Better</v>
      </c>
      <c r="L429" s="62" t="str">
        <f aca="false">IF(COUNTA($A429,$F429,$G429,$H429,$I429,$J429)=0,"",IF($M429=0,"✖ كود الصف غير موجود",IF(ISNA(MATCH($F429,Lists!$A$2:$A$5,0)),"✖ الفترة غير صحيحة",IF(ISNA(MATCH($G429,Lists!$B$2:$B$7,0)),"✖ المجموعة غير صحيحة",IF(NOT(OR($H429="",$N429&gt;0)),"✖ Start غير صحيح",IF(NOT(OR($I429="",$I429="NR",$O429&gt;0)),"✖ Current غير صحيح",IF(NOT(IF(ISNUMBER($J429),AND($J429&gt;=0,$J429=INT($J429)),FALSE())),"✖ العدد يجب أن يكون صحيحًا ≥ 0",IF(AND($F429="Baseline",$H429&lt;&gt;""),"⚠ Baseline: Start لا يدخل في التقدم",IF($K429="No Start (attainment only)","ℹ تحصيل فقط (بدون Start)",IF($K429="U – needs rule","ℹ حالة U تحتاج قاعدة معتمدة",IF($K429="No result","ℹ بدون نتيجة (يُستبعد من التحصيل)","OK")))))))))))</f>
        <v>OK</v>
      </c>
      <c r="M429" s="64" t="n">
        <f aca="false">IF($A429="",0,IFERROR(MATCH($A429,Classes!$A$6:$A$420,0),0))</f>
        <v>300</v>
      </c>
      <c r="N429" s="64" t="n">
        <f aca="false">IF($H429="",0,IFERROR(MATCH($H429,GradeList,0),0))</f>
        <v>7</v>
      </c>
      <c r="O429" s="64" t="n">
        <f aca="false">IF(OR($I429="",$I429="NR"),0,IFERROR(MATCH($I429,GradeList,0),0))</f>
        <v>7</v>
      </c>
      <c r="P429" s="64" t="n">
        <f aca="false">IF(AND($M429&gt;0,ISNUMBER(MATCH($F429,Lists!$A$2:$A$5,0)),ISNUMBER(MATCH($G429,Lists!$B$2:$B$7,0)),OR($H429="",$N429&gt;0),OR($I429="",$I429="NR",$O429&gt;0),IF(ISNUMBER($J429),AND($J429&gt;=0,$J429=INT($J429)),FALSE())),$J429,0)</f>
        <v>1</v>
      </c>
      <c r="Q429" s="64" t="n">
        <f aca="false">IF(AND($P429&gt;0,$O429&gt;0),$P429,0)</f>
        <v>1</v>
      </c>
      <c r="R429" s="64" t="n">
        <f aca="false">IF(AND($Q429&gt;0,$O429&gt;=AtRank),$Q429,0)</f>
        <v>1</v>
      </c>
      <c r="S429" s="64" t="n">
        <f aca="false">IF(AND($Q429&gt;0,$O429&gt;=AboveRank),$Q429,0)</f>
        <v>1</v>
      </c>
      <c r="T429" s="64" t="n">
        <f aca="false">IF($K429="Less",$P429,0)</f>
        <v>0</v>
      </c>
      <c r="U429" s="64" t="n">
        <f aca="false">IF($K429="Expected",$P429,0)</f>
        <v>0</v>
      </c>
      <c r="V429" s="64" t="n">
        <f aca="false">IF($K429="Better",$P429,0)</f>
        <v>1</v>
      </c>
      <c r="W429" s="64" t="n">
        <f aca="false">IF($K429="U – needs rule",$P429,0)</f>
        <v>0</v>
      </c>
      <c r="X429" s="64" t="n">
        <f aca="false">IF($K429="No Start (attainment only)",$P429,0)</f>
        <v>0</v>
      </c>
    </row>
    <row r="430" customFormat="false" ht="15" hidden="false" customHeight="false" outlineLevel="0" collapsed="false">
      <c r="A430" s="60" t="s">
        <v>797</v>
      </c>
      <c r="B430" s="61" t="str">
        <f aca="false">IF($M430=0,"",INDEX(Classes!$E$6:$E$420,$M430))</f>
        <v>Arabic A</v>
      </c>
      <c r="C430" s="62" t="str">
        <f aca="false">IF($M430=0,"",INDEX(Classes!$H$6:$H$420,$M430))</f>
        <v>Mr Elsaid A Eltantawi</v>
      </c>
      <c r="D430" s="61" t="str">
        <f aca="false">IF($M430=0,"",INDEX(Classes!$B$6:$B$420,$M430))</f>
        <v>Year 10</v>
      </c>
      <c r="E430" s="61" t="str">
        <f aca="false">IF($M430=0,"",INDEX(Classes!$C$6:$C$420,$M430))</f>
        <v>ip</v>
      </c>
      <c r="F430" s="63" t="s">
        <v>107</v>
      </c>
      <c r="G430" s="63" t="s">
        <v>108</v>
      </c>
      <c r="H430" s="60" t="s">
        <v>202</v>
      </c>
      <c r="I430" s="60" t="s">
        <v>203</v>
      </c>
      <c r="J430" s="63" t="n">
        <v>2</v>
      </c>
      <c r="K430" s="61" t="str">
        <f aca="false">IF($P430=0,"",IF($F430="Baseline","— Baseline",IF($O430=0,"No result",IF($N430=0,"No Start (attainment only)",IF(OR($N430=1,$O430=1),"U – needs rule",INDEX(MxBody,MATCH($I430,MxCurr,0),MATCH($H430,MxStart,0)))))))</f>
        <v>Better</v>
      </c>
      <c r="L430" s="62" t="str">
        <f aca="false">IF(COUNTA($A430,$F430,$G430,$H430,$I430,$J430)=0,"",IF($M430=0,"✖ كود الصف غير موجود",IF(ISNA(MATCH($F430,Lists!$A$2:$A$5,0)),"✖ الفترة غير صحيحة",IF(ISNA(MATCH($G430,Lists!$B$2:$B$7,0)),"✖ المجموعة غير صحيحة",IF(NOT(OR($H430="",$N430&gt;0)),"✖ Start غير صحيح",IF(NOT(OR($I430="",$I430="NR",$O430&gt;0)),"✖ Current غير صحيح",IF(NOT(IF(ISNUMBER($J430),AND($J430&gt;=0,$J430=INT($J430)),FALSE())),"✖ العدد يجب أن يكون صحيحًا ≥ 0",IF(AND($F430="Baseline",$H430&lt;&gt;""),"⚠ Baseline: Start لا يدخل في التقدم",IF($K430="No Start (attainment only)","ℹ تحصيل فقط (بدون Start)",IF($K430="U – needs rule","ℹ حالة U تحتاج قاعدة معتمدة",IF($K430="No result","ℹ بدون نتيجة (يُستبعد من التحصيل)","OK")))))))))))</f>
        <v>OK</v>
      </c>
      <c r="M430" s="64" t="n">
        <f aca="false">IF($A430="",0,IFERROR(MATCH($A430,Classes!$A$6:$A$420,0),0))</f>
        <v>300</v>
      </c>
      <c r="N430" s="64" t="n">
        <f aca="false">IF($H430="",0,IFERROR(MATCH($H430,GradeList,0),0))</f>
        <v>7</v>
      </c>
      <c r="O430" s="64" t="n">
        <f aca="false">IF(OR($I430="",$I430="NR"),0,IFERROR(MATCH($I430,GradeList,0),0))</f>
        <v>8</v>
      </c>
      <c r="P430" s="64" t="n">
        <f aca="false">IF(AND($M430&gt;0,ISNUMBER(MATCH($F430,Lists!$A$2:$A$5,0)),ISNUMBER(MATCH($G430,Lists!$B$2:$B$7,0)),OR($H430="",$N430&gt;0),OR($I430="",$I430="NR",$O430&gt;0),IF(ISNUMBER($J430),AND($J430&gt;=0,$J430=INT($J430)),FALSE())),$J430,0)</f>
        <v>2</v>
      </c>
      <c r="Q430" s="64" t="n">
        <f aca="false">IF(AND($P430&gt;0,$O430&gt;0),$P430,0)</f>
        <v>2</v>
      </c>
      <c r="R430" s="64" t="n">
        <f aca="false">IF(AND($Q430&gt;0,$O430&gt;=AtRank),$Q430,0)</f>
        <v>2</v>
      </c>
      <c r="S430" s="64" t="n">
        <f aca="false">IF(AND($Q430&gt;0,$O430&gt;=AboveRank),$Q430,0)</f>
        <v>2</v>
      </c>
      <c r="T430" s="64" t="n">
        <f aca="false">IF($K430="Less",$P430,0)</f>
        <v>0</v>
      </c>
      <c r="U430" s="64" t="n">
        <f aca="false">IF($K430="Expected",$P430,0)</f>
        <v>0</v>
      </c>
      <c r="V430" s="64" t="n">
        <f aca="false">IF($K430="Better",$P430,0)</f>
        <v>2</v>
      </c>
      <c r="W430" s="64" t="n">
        <f aca="false">IF($K430="U – needs rule",$P430,0)</f>
        <v>0</v>
      </c>
      <c r="X430" s="64" t="n">
        <f aca="false">IF($K430="No Start (attainment only)",$P430,0)</f>
        <v>0</v>
      </c>
    </row>
    <row r="431" customFormat="false" ht="15" hidden="false" customHeight="false" outlineLevel="0" collapsed="false">
      <c r="A431" s="60" t="s">
        <v>797</v>
      </c>
      <c r="B431" s="61" t="str">
        <f aca="false">IF($M431=0,"",INDEX(Classes!$E$6:$E$420,$M431))</f>
        <v>Arabic A</v>
      </c>
      <c r="C431" s="62" t="str">
        <f aca="false">IF($M431=0,"",INDEX(Classes!$H$6:$H$420,$M431))</f>
        <v>Mr Elsaid A Eltantawi</v>
      </c>
      <c r="D431" s="61" t="str">
        <f aca="false">IF($M431=0,"",INDEX(Classes!$B$6:$B$420,$M431))</f>
        <v>Year 10</v>
      </c>
      <c r="E431" s="61" t="str">
        <f aca="false">IF($M431=0,"",INDEX(Classes!$C$6:$C$420,$M431))</f>
        <v>ip</v>
      </c>
      <c r="F431" s="63" t="s">
        <v>107</v>
      </c>
      <c r="G431" s="63" t="s">
        <v>108</v>
      </c>
      <c r="H431" s="60" t="s">
        <v>202</v>
      </c>
      <c r="I431" s="60" t="s">
        <v>201</v>
      </c>
      <c r="J431" s="63" t="n">
        <v>1</v>
      </c>
      <c r="K431" s="61" t="str">
        <f aca="false">IF($P431=0,"",IF($F431="Baseline","— Baseline",IF($O431=0,"No result",IF($N431=0,"No Start (attainment only)",IF(OR($N431=1,$O431=1),"U – needs rule",INDEX(MxBody,MATCH($I431,MxCurr,0),MATCH($H431,MxStart,0)))))))</f>
        <v>Expected</v>
      </c>
      <c r="L431" s="62" t="str">
        <f aca="false">IF(COUNTA($A431,$F431,$G431,$H431,$I431,$J431)=0,"",IF($M431=0,"✖ كود الصف غير موجود",IF(ISNA(MATCH($F431,Lists!$A$2:$A$5,0)),"✖ الفترة غير صحيحة",IF(ISNA(MATCH($G431,Lists!$B$2:$B$7,0)),"✖ المجموعة غير صحيحة",IF(NOT(OR($H431="",$N431&gt;0)),"✖ Start غير صحيح",IF(NOT(OR($I431="",$I431="NR",$O431&gt;0)),"✖ Current غير صحيح",IF(NOT(IF(ISNUMBER($J431),AND($J431&gt;=0,$J431=INT($J431)),FALSE())),"✖ العدد يجب أن يكون صحيحًا ≥ 0",IF(AND($F431="Baseline",$H431&lt;&gt;""),"⚠ Baseline: Start لا يدخل في التقدم",IF($K431="No Start (attainment only)","ℹ تحصيل فقط (بدون Start)",IF($K431="U – needs rule","ℹ حالة U تحتاج قاعدة معتمدة",IF($K431="No result","ℹ بدون نتيجة (يُستبعد من التحصيل)","OK")))))))))))</f>
        <v>OK</v>
      </c>
      <c r="M431" s="64" t="n">
        <f aca="false">IF($A431="",0,IFERROR(MATCH($A431,Classes!$A$6:$A$420,0),0))</f>
        <v>300</v>
      </c>
      <c r="N431" s="64" t="n">
        <f aca="false">IF($H431="",0,IFERROR(MATCH($H431,GradeList,0),0))</f>
        <v>7</v>
      </c>
      <c r="O431" s="64" t="n">
        <f aca="false">IF(OR($I431="",$I431="NR"),0,IFERROR(MATCH($I431,GradeList,0),0))</f>
        <v>6</v>
      </c>
      <c r="P431" s="64" t="n">
        <f aca="false">IF(AND($M431&gt;0,ISNUMBER(MATCH($F431,Lists!$A$2:$A$5,0)),ISNUMBER(MATCH($G431,Lists!$B$2:$B$7,0)),OR($H431="",$N431&gt;0),OR($I431="",$I431="NR",$O431&gt;0),IF(ISNUMBER($J431),AND($J431&gt;=0,$J431=INT($J431)),FALSE())),$J431,0)</f>
        <v>1</v>
      </c>
      <c r="Q431" s="64" t="n">
        <f aca="false">IF(AND($P431&gt;0,$O431&gt;0),$P431,0)</f>
        <v>1</v>
      </c>
      <c r="R431" s="64" t="n">
        <f aca="false">IF(AND($Q431&gt;0,$O431&gt;=AtRank),$Q431,0)</f>
        <v>1</v>
      </c>
      <c r="S431" s="64" t="n">
        <f aca="false">IF(AND($Q431&gt;0,$O431&gt;=AboveRank),$Q431,0)</f>
        <v>0</v>
      </c>
      <c r="T431" s="64" t="n">
        <f aca="false">IF($K431="Less",$P431,0)</f>
        <v>0</v>
      </c>
      <c r="U431" s="64" t="n">
        <f aca="false">IF($K431="Expected",$P431,0)</f>
        <v>1</v>
      </c>
      <c r="V431" s="64" t="n">
        <f aca="false">IF($K431="Better",$P431,0)</f>
        <v>0</v>
      </c>
      <c r="W431" s="64" t="n">
        <f aca="false">IF($K431="U – needs rule",$P431,0)</f>
        <v>0</v>
      </c>
      <c r="X431" s="64" t="n">
        <f aca="false">IF($K431="No Start (attainment only)",$P431,0)</f>
        <v>0</v>
      </c>
    </row>
    <row r="432" customFormat="false" ht="15" hidden="false" customHeight="false" outlineLevel="0" collapsed="false">
      <c r="A432" s="60" t="s">
        <v>797</v>
      </c>
      <c r="B432" s="61" t="str">
        <f aca="false">IF($M432=0,"",INDEX(Classes!$E$6:$E$420,$M432))</f>
        <v>Arabic A</v>
      </c>
      <c r="C432" s="62" t="str">
        <f aca="false">IF($M432=0,"",INDEX(Classes!$H$6:$H$420,$M432))</f>
        <v>Mr Elsaid A Eltantawi</v>
      </c>
      <c r="D432" s="61" t="str">
        <f aca="false">IF($M432=0,"",INDEX(Classes!$B$6:$B$420,$M432))</f>
        <v>Year 10</v>
      </c>
      <c r="E432" s="61" t="str">
        <f aca="false">IF($M432=0,"",INDEX(Classes!$C$6:$C$420,$M432))</f>
        <v>ip</v>
      </c>
      <c r="F432" s="63" t="s">
        <v>107</v>
      </c>
      <c r="G432" s="63" t="s">
        <v>108</v>
      </c>
      <c r="H432" s="60" t="s">
        <v>202</v>
      </c>
      <c r="I432" s="60" t="s">
        <v>204</v>
      </c>
      <c r="J432" s="63" t="n">
        <v>1</v>
      </c>
      <c r="K432" s="61" t="str">
        <f aca="false">IF($P432=0,"",IF($F432="Baseline","— Baseline",IF($O432=0,"No result",IF($N432=0,"No Start (attainment only)",IF(OR($N432=1,$O432=1),"U – needs rule",INDEX(MxBody,MATCH($I432,MxCurr,0),MATCH($H432,MxStart,0)))))))</f>
        <v>Better</v>
      </c>
      <c r="L432" s="62" t="str">
        <f aca="false">IF(COUNTA($A432,$F432,$G432,$H432,$I432,$J432)=0,"",IF($M432=0,"✖ كود الصف غير موجود",IF(ISNA(MATCH($F432,Lists!$A$2:$A$5,0)),"✖ الفترة غير صحيحة",IF(ISNA(MATCH($G432,Lists!$B$2:$B$7,0)),"✖ المجموعة غير صحيحة",IF(NOT(OR($H432="",$N432&gt;0)),"✖ Start غير صحيح",IF(NOT(OR($I432="",$I432="NR",$O432&gt;0)),"✖ Current غير صحيح",IF(NOT(IF(ISNUMBER($J432),AND($J432&gt;=0,$J432=INT($J432)),FALSE())),"✖ العدد يجب أن يكون صحيحًا ≥ 0",IF(AND($F432="Baseline",$H432&lt;&gt;""),"⚠ Baseline: Start لا يدخل في التقدم",IF($K432="No Start (attainment only)","ℹ تحصيل فقط (بدون Start)",IF($K432="U – needs rule","ℹ حالة U تحتاج قاعدة معتمدة",IF($K432="No result","ℹ بدون نتيجة (يُستبعد من التحصيل)","OK")))))))))))</f>
        <v>OK</v>
      </c>
      <c r="M432" s="64" t="n">
        <f aca="false">IF($A432="",0,IFERROR(MATCH($A432,Classes!$A$6:$A$420,0),0))</f>
        <v>300</v>
      </c>
      <c r="N432" s="64" t="n">
        <f aca="false">IF($H432="",0,IFERROR(MATCH($H432,GradeList,0),0))</f>
        <v>7</v>
      </c>
      <c r="O432" s="64" t="n">
        <f aca="false">IF(OR($I432="",$I432="NR"),0,IFERROR(MATCH($I432,GradeList,0),0))</f>
        <v>9</v>
      </c>
      <c r="P432" s="64" t="n">
        <f aca="false">IF(AND($M432&gt;0,ISNUMBER(MATCH($F432,Lists!$A$2:$A$5,0)),ISNUMBER(MATCH($G432,Lists!$B$2:$B$7,0)),OR($H432="",$N432&gt;0),OR($I432="",$I432="NR",$O432&gt;0),IF(ISNUMBER($J432),AND($J432&gt;=0,$J432=INT($J432)),FALSE())),$J432,0)</f>
        <v>1</v>
      </c>
      <c r="Q432" s="64" t="n">
        <f aca="false">IF(AND($P432&gt;0,$O432&gt;0),$P432,0)</f>
        <v>1</v>
      </c>
      <c r="R432" s="64" t="n">
        <f aca="false">IF(AND($Q432&gt;0,$O432&gt;=AtRank),$Q432,0)</f>
        <v>1</v>
      </c>
      <c r="S432" s="64" t="n">
        <f aca="false">IF(AND($Q432&gt;0,$O432&gt;=AboveRank),$Q432,0)</f>
        <v>1</v>
      </c>
      <c r="T432" s="64" t="n">
        <f aca="false">IF($K432="Less",$P432,0)</f>
        <v>0</v>
      </c>
      <c r="U432" s="64" t="n">
        <f aca="false">IF($K432="Expected",$P432,0)</f>
        <v>0</v>
      </c>
      <c r="V432" s="64" t="n">
        <f aca="false">IF($K432="Better",$P432,0)</f>
        <v>1</v>
      </c>
      <c r="W432" s="64" t="n">
        <f aca="false">IF($K432="U – needs rule",$P432,0)</f>
        <v>0</v>
      </c>
      <c r="X432" s="64" t="n">
        <f aca="false">IF($K432="No Start (attainment only)",$P432,0)</f>
        <v>0</v>
      </c>
    </row>
    <row r="433" customFormat="false" ht="15" hidden="false" customHeight="false" outlineLevel="0" collapsed="false">
      <c r="A433" s="60" t="s">
        <v>797</v>
      </c>
      <c r="B433" s="61" t="str">
        <f aca="false">IF($M433=0,"",INDEX(Classes!$E$6:$E$420,$M433))</f>
        <v>Arabic A</v>
      </c>
      <c r="C433" s="62" t="str">
        <f aca="false">IF($M433=0,"",INDEX(Classes!$H$6:$H$420,$M433))</f>
        <v>Mr Elsaid A Eltantawi</v>
      </c>
      <c r="D433" s="61" t="str">
        <f aca="false">IF($M433=0,"",INDEX(Classes!$B$6:$B$420,$M433))</f>
        <v>Year 10</v>
      </c>
      <c r="E433" s="61" t="str">
        <f aca="false">IF($M433=0,"",INDEX(Classes!$C$6:$C$420,$M433))</f>
        <v>ip</v>
      </c>
      <c r="F433" s="63" t="s">
        <v>107</v>
      </c>
      <c r="G433" s="63" t="s">
        <v>108</v>
      </c>
      <c r="H433" s="60" t="s">
        <v>202</v>
      </c>
      <c r="I433" s="60" t="s">
        <v>1019</v>
      </c>
      <c r="J433" s="63" t="n">
        <v>1</v>
      </c>
      <c r="K433" s="61" t="str">
        <f aca="false">IF($P433=0,"",IF($F433="Baseline","— Baseline",IF($O433=0,"No result",IF($N433=0,"No Start (attainment only)",IF(OR($N433=1,$O433=1),"U – needs rule",INDEX(MxBody,MATCH($I433,MxCurr,0),MATCH($H433,MxStart,0)))))))</f>
        <v>No result</v>
      </c>
      <c r="L433" s="62" t="str">
        <f aca="false">IF(COUNTA($A433,$F433,$G433,$H433,$I433,$J433)=0,"",IF($M433=0,"✖ كود الصف غير موجود",IF(ISNA(MATCH($F433,Lists!$A$2:$A$5,0)),"✖ الفترة غير صحيحة",IF(ISNA(MATCH($G433,Lists!$B$2:$B$7,0)),"✖ المجموعة غير صحيحة",IF(NOT(OR($H433="",$N433&gt;0)),"✖ Start غير صحيح",IF(NOT(OR($I433="",$I433="NR",$O433&gt;0)),"✖ Current غير صحيح",IF(NOT(IF(ISNUMBER($J433),AND($J433&gt;=0,$J433=INT($J433)),FALSE())),"✖ العدد يجب أن يكون صحيحًا ≥ 0",IF(AND($F433="Baseline",$H433&lt;&gt;""),"⚠ Baseline: Start لا يدخل في التقدم",IF($K433="No Start (attainment only)","ℹ تحصيل فقط (بدون Start)",IF($K433="U – needs rule","ℹ حالة U تحتاج قاعدة معتمدة",IF($K433="No result","ℹ بدون نتيجة (يُستبعد من التحصيل)","OK")))))))))))</f>
        <v>ℹ بدون نتيجة (يُستبعد من التحصيل)</v>
      </c>
      <c r="M433" s="64" t="n">
        <f aca="false">IF($A433="",0,IFERROR(MATCH($A433,Classes!$A$6:$A$420,0),0))</f>
        <v>300</v>
      </c>
      <c r="N433" s="64" t="n">
        <f aca="false">IF($H433="",0,IFERROR(MATCH($H433,GradeList,0),0))</f>
        <v>7</v>
      </c>
      <c r="O433" s="64" t="n">
        <f aca="false">IF(OR($I433="",$I433="NR"),0,IFERROR(MATCH($I433,GradeList,0),0))</f>
        <v>0</v>
      </c>
      <c r="P433" s="64" t="n">
        <f aca="false">IF(AND($M433&gt;0,ISNUMBER(MATCH($F433,Lists!$A$2:$A$5,0)),ISNUMBER(MATCH($G433,Lists!$B$2:$B$7,0)),OR($H433="",$N433&gt;0),OR($I433="",$I433="NR",$O433&gt;0),IF(ISNUMBER($J433),AND($J433&gt;=0,$J433=INT($J433)),FALSE())),$J433,0)</f>
        <v>1</v>
      </c>
      <c r="Q433" s="64" t="n">
        <f aca="false">IF(AND($P433&gt;0,$O433&gt;0),$P433,0)</f>
        <v>0</v>
      </c>
      <c r="R433" s="64" t="n">
        <f aca="false">IF(AND($Q433&gt;0,$O433&gt;=AtRank),$Q433,0)</f>
        <v>0</v>
      </c>
      <c r="S433" s="64" t="n">
        <f aca="false">IF(AND($Q433&gt;0,$O433&gt;=AboveRank),$Q433,0)</f>
        <v>0</v>
      </c>
      <c r="T433" s="64" t="n">
        <f aca="false">IF($K433="Less",$P433,0)</f>
        <v>0</v>
      </c>
      <c r="U433" s="64" t="n">
        <f aca="false">IF($K433="Expected",$P433,0)</f>
        <v>0</v>
      </c>
      <c r="V433" s="64" t="n">
        <f aca="false">IF($K433="Better",$P433,0)</f>
        <v>0</v>
      </c>
      <c r="W433" s="64" t="n">
        <f aca="false">IF($K433="U – needs rule",$P433,0)</f>
        <v>0</v>
      </c>
      <c r="X433" s="64" t="n">
        <f aca="false">IF($K433="No Start (attainment only)",$P433,0)</f>
        <v>0</v>
      </c>
    </row>
    <row r="434" customFormat="false" ht="15" hidden="false" customHeight="false" outlineLevel="0" collapsed="false">
      <c r="A434" s="60" t="s">
        <v>797</v>
      </c>
      <c r="B434" s="61" t="str">
        <f aca="false">IF($M434=0,"",INDEX(Classes!$E$6:$E$420,$M434))</f>
        <v>Arabic A</v>
      </c>
      <c r="C434" s="62" t="str">
        <f aca="false">IF($M434=0,"",INDEX(Classes!$H$6:$H$420,$M434))</f>
        <v>Mr Elsaid A Eltantawi</v>
      </c>
      <c r="D434" s="61" t="str">
        <f aca="false">IF($M434=0,"",INDEX(Classes!$B$6:$B$420,$M434))</f>
        <v>Year 10</v>
      </c>
      <c r="E434" s="61" t="str">
        <f aca="false">IF($M434=0,"",INDEX(Classes!$C$6:$C$420,$M434))</f>
        <v>ip</v>
      </c>
      <c r="F434" s="63" t="s">
        <v>107</v>
      </c>
      <c r="G434" s="63" t="s">
        <v>108</v>
      </c>
      <c r="H434" s="60" t="s">
        <v>203</v>
      </c>
      <c r="I434" s="60" t="s">
        <v>204</v>
      </c>
      <c r="J434" s="63" t="n">
        <v>1</v>
      </c>
      <c r="K434" s="61" t="str">
        <f aca="false">IF($P434=0,"",IF($F434="Baseline","— Baseline",IF($O434=0,"No result",IF($N434=0,"No Start (attainment only)",IF(OR($N434=1,$O434=1),"U – needs rule",INDEX(MxBody,MATCH($I434,MxCurr,0),MATCH($H434,MxStart,0)))))))</f>
        <v>Better</v>
      </c>
      <c r="L434" s="62" t="str">
        <f aca="false">IF(COUNTA($A434,$F434,$G434,$H434,$I434,$J434)=0,"",IF($M434=0,"✖ كود الصف غير موجود",IF(ISNA(MATCH($F434,Lists!$A$2:$A$5,0)),"✖ الفترة غير صحيحة",IF(ISNA(MATCH($G434,Lists!$B$2:$B$7,0)),"✖ المجموعة غير صحيحة",IF(NOT(OR($H434="",$N434&gt;0)),"✖ Start غير صحيح",IF(NOT(OR($I434="",$I434="NR",$O434&gt;0)),"✖ Current غير صحيح",IF(NOT(IF(ISNUMBER($J434),AND($J434&gt;=0,$J434=INT($J434)),FALSE())),"✖ العدد يجب أن يكون صحيحًا ≥ 0",IF(AND($F434="Baseline",$H434&lt;&gt;""),"⚠ Baseline: Start لا يدخل في التقدم",IF($K434="No Start (attainment only)","ℹ تحصيل فقط (بدون Start)",IF($K434="U – needs rule","ℹ حالة U تحتاج قاعدة معتمدة",IF($K434="No result","ℹ بدون نتيجة (يُستبعد من التحصيل)","OK")))))))))))</f>
        <v>OK</v>
      </c>
      <c r="M434" s="64" t="n">
        <f aca="false">IF($A434="",0,IFERROR(MATCH($A434,Classes!$A$6:$A$420,0),0))</f>
        <v>300</v>
      </c>
      <c r="N434" s="64" t="n">
        <f aca="false">IF($H434="",0,IFERROR(MATCH($H434,GradeList,0),0))</f>
        <v>8</v>
      </c>
      <c r="O434" s="64" t="n">
        <f aca="false">IF(OR($I434="",$I434="NR"),0,IFERROR(MATCH($I434,GradeList,0),0))</f>
        <v>9</v>
      </c>
      <c r="P434" s="64" t="n">
        <f aca="false">IF(AND($M434&gt;0,ISNUMBER(MATCH($F434,Lists!$A$2:$A$5,0)),ISNUMBER(MATCH($G434,Lists!$B$2:$B$7,0)),OR($H434="",$N434&gt;0),OR($I434="",$I434="NR",$O434&gt;0),IF(ISNUMBER($J434),AND($J434&gt;=0,$J434=INT($J434)),FALSE())),$J434,0)</f>
        <v>1</v>
      </c>
      <c r="Q434" s="64" t="n">
        <f aca="false">IF(AND($P434&gt;0,$O434&gt;0),$P434,0)</f>
        <v>1</v>
      </c>
      <c r="R434" s="64" t="n">
        <f aca="false">IF(AND($Q434&gt;0,$O434&gt;=AtRank),$Q434,0)</f>
        <v>1</v>
      </c>
      <c r="S434" s="64" t="n">
        <f aca="false">IF(AND($Q434&gt;0,$O434&gt;=AboveRank),$Q434,0)</f>
        <v>1</v>
      </c>
      <c r="T434" s="64" t="n">
        <f aca="false">IF($K434="Less",$P434,0)</f>
        <v>0</v>
      </c>
      <c r="U434" s="64" t="n">
        <f aca="false">IF($K434="Expected",$P434,0)</f>
        <v>0</v>
      </c>
      <c r="V434" s="64" t="n">
        <f aca="false">IF($K434="Better",$P434,0)</f>
        <v>1</v>
      </c>
      <c r="W434" s="64" t="n">
        <f aca="false">IF($K434="U – needs rule",$P434,0)</f>
        <v>0</v>
      </c>
      <c r="X434" s="64" t="n">
        <f aca="false">IF($K434="No Start (attainment only)",$P434,0)</f>
        <v>0</v>
      </c>
    </row>
    <row r="435" customFormat="false" ht="15" hidden="false" customHeight="false" outlineLevel="0" collapsed="false">
      <c r="A435" s="60" t="s">
        <v>797</v>
      </c>
      <c r="B435" s="61" t="str">
        <f aca="false">IF($M435=0,"",INDEX(Classes!$E$6:$E$420,$M435))</f>
        <v>Arabic A</v>
      </c>
      <c r="C435" s="62" t="str">
        <f aca="false">IF($M435=0,"",INDEX(Classes!$H$6:$H$420,$M435))</f>
        <v>Mr Elsaid A Eltantawi</v>
      </c>
      <c r="D435" s="61" t="str">
        <f aca="false">IF($M435=0,"",INDEX(Classes!$B$6:$B$420,$M435))</f>
        <v>Year 10</v>
      </c>
      <c r="E435" s="61" t="str">
        <f aca="false">IF($M435=0,"",INDEX(Classes!$C$6:$C$420,$M435))</f>
        <v>ip</v>
      </c>
      <c r="F435" s="63" t="s">
        <v>107</v>
      </c>
      <c r="G435" s="63" t="s">
        <v>108</v>
      </c>
      <c r="H435" s="60" t="s">
        <v>200</v>
      </c>
      <c r="I435" s="60" t="s">
        <v>200</v>
      </c>
      <c r="J435" s="63" t="n">
        <v>2</v>
      </c>
      <c r="K435" s="61" t="str">
        <f aca="false">IF($P435=0,"",IF($F435="Baseline","— Baseline",IF($O435=0,"No result",IF($N435=0,"No Start (attainment only)",IF(OR($N435=1,$O435=1),"U – needs rule",INDEX(MxBody,MATCH($I435,MxCurr,0),MATCH($H435,MxStart,0)))))))</f>
        <v>Expected</v>
      </c>
      <c r="L435" s="62" t="str">
        <f aca="false">IF(COUNTA($A435,$F435,$G435,$H435,$I435,$J435)=0,"",IF($M435=0,"✖ كود الصف غير موجود",IF(ISNA(MATCH($F435,Lists!$A$2:$A$5,0)),"✖ الفترة غير صحيحة",IF(ISNA(MATCH($G435,Lists!$B$2:$B$7,0)),"✖ المجموعة غير صحيحة",IF(NOT(OR($H435="",$N435&gt;0)),"✖ Start غير صحيح",IF(NOT(OR($I435="",$I435="NR",$O435&gt;0)),"✖ Current غير صحيح",IF(NOT(IF(ISNUMBER($J435),AND($J435&gt;=0,$J435=INT($J435)),FALSE())),"✖ العدد يجب أن يكون صحيحًا ≥ 0",IF(AND($F435="Baseline",$H435&lt;&gt;""),"⚠ Baseline: Start لا يدخل في التقدم",IF($K435="No Start (attainment only)","ℹ تحصيل فقط (بدون Start)",IF($K435="U – needs rule","ℹ حالة U تحتاج قاعدة معتمدة",IF($K435="No result","ℹ بدون نتيجة (يُستبعد من التحصيل)","OK")))))))))))</f>
        <v>OK</v>
      </c>
      <c r="M435" s="64" t="n">
        <f aca="false">IF($A435="",0,IFERROR(MATCH($A435,Classes!$A$6:$A$420,0),0))</f>
        <v>300</v>
      </c>
      <c r="N435" s="64" t="n">
        <f aca="false">IF($H435="",0,IFERROR(MATCH($H435,GradeList,0),0))</f>
        <v>5</v>
      </c>
      <c r="O435" s="64" t="n">
        <f aca="false">IF(OR($I435="",$I435="NR"),0,IFERROR(MATCH($I435,GradeList,0),0))</f>
        <v>5</v>
      </c>
      <c r="P435" s="64" t="n">
        <f aca="false">IF(AND($M435&gt;0,ISNUMBER(MATCH($F435,Lists!$A$2:$A$5,0)),ISNUMBER(MATCH($G435,Lists!$B$2:$B$7,0)),OR($H435="",$N435&gt;0),OR($I435="",$I435="NR",$O435&gt;0),IF(ISNUMBER($J435),AND($J435&gt;=0,$J435=INT($J435)),FALSE())),$J435,0)</f>
        <v>2</v>
      </c>
      <c r="Q435" s="64" t="n">
        <f aca="false">IF(AND($P435&gt;0,$O435&gt;0),$P435,0)</f>
        <v>2</v>
      </c>
      <c r="R435" s="64" t="n">
        <f aca="false">IF(AND($Q435&gt;0,$O435&gt;=AtRank),$Q435,0)</f>
        <v>2</v>
      </c>
      <c r="S435" s="64" t="n">
        <f aca="false">IF(AND($Q435&gt;0,$O435&gt;=AboveRank),$Q435,0)</f>
        <v>0</v>
      </c>
      <c r="T435" s="64" t="n">
        <f aca="false">IF($K435="Less",$P435,0)</f>
        <v>0</v>
      </c>
      <c r="U435" s="64" t="n">
        <f aca="false">IF($K435="Expected",$P435,0)</f>
        <v>2</v>
      </c>
      <c r="V435" s="64" t="n">
        <f aca="false">IF($K435="Better",$P435,0)</f>
        <v>0</v>
      </c>
      <c r="W435" s="64" t="n">
        <f aca="false">IF($K435="U – needs rule",$P435,0)</f>
        <v>0</v>
      </c>
      <c r="X435" s="64" t="n">
        <f aca="false">IF($K435="No Start (attainment only)",$P435,0)</f>
        <v>0</v>
      </c>
    </row>
    <row r="436" customFormat="false" ht="15" hidden="false" customHeight="false" outlineLevel="0" collapsed="false">
      <c r="A436" s="60" t="s">
        <v>797</v>
      </c>
      <c r="B436" s="61" t="str">
        <f aca="false">IF($M436=0,"",INDEX(Classes!$E$6:$E$420,$M436))</f>
        <v>Arabic A</v>
      </c>
      <c r="C436" s="62" t="str">
        <f aca="false">IF($M436=0,"",INDEX(Classes!$H$6:$H$420,$M436))</f>
        <v>Mr Elsaid A Eltantawi</v>
      </c>
      <c r="D436" s="61" t="str">
        <f aca="false">IF($M436=0,"",INDEX(Classes!$B$6:$B$420,$M436))</f>
        <v>Year 10</v>
      </c>
      <c r="E436" s="61" t="str">
        <f aca="false">IF($M436=0,"",INDEX(Classes!$C$6:$C$420,$M436))</f>
        <v>ip</v>
      </c>
      <c r="F436" s="63" t="s">
        <v>107</v>
      </c>
      <c r="G436" s="63" t="s">
        <v>108</v>
      </c>
      <c r="H436" s="60" t="s">
        <v>200</v>
      </c>
      <c r="I436" s="60" t="s">
        <v>201</v>
      </c>
      <c r="J436" s="63" t="n">
        <v>2</v>
      </c>
      <c r="K436" s="61" t="str">
        <f aca="false">IF($P436=0,"",IF($F436="Baseline","— Baseline",IF($O436=0,"No result",IF($N436=0,"No Start (attainment only)",IF(OR($N436=1,$O436=1),"U – needs rule",INDEX(MxBody,MATCH($I436,MxCurr,0),MATCH($H436,MxStart,0)))))))</f>
        <v>Better</v>
      </c>
      <c r="L436" s="62" t="str">
        <f aca="false">IF(COUNTA($A436,$F436,$G436,$H436,$I436,$J436)=0,"",IF($M436=0,"✖ كود الصف غير موجود",IF(ISNA(MATCH($F436,Lists!$A$2:$A$5,0)),"✖ الفترة غير صحيحة",IF(ISNA(MATCH($G436,Lists!$B$2:$B$7,0)),"✖ المجموعة غير صحيحة",IF(NOT(OR($H436="",$N436&gt;0)),"✖ Start غير صحيح",IF(NOT(OR($I436="",$I436="NR",$O436&gt;0)),"✖ Current غير صحيح",IF(NOT(IF(ISNUMBER($J436),AND($J436&gt;=0,$J436=INT($J436)),FALSE())),"✖ العدد يجب أن يكون صحيحًا ≥ 0",IF(AND($F436="Baseline",$H436&lt;&gt;""),"⚠ Baseline: Start لا يدخل في التقدم",IF($K436="No Start (attainment only)","ℹ تحصيل فقط (بدون Start)",IF($K436="U – needs rule","ℹ حالة U تحتاج قاعدة معتمدة",IF($K436="No result","ℹ بدون نتيجة (يُستبعد من التحصيل)","OK")))))))))))</f>
        <v>OK</v>
      </c>
      <c r="M436" s="64" t="n">
        <f aca="false">IF($A436="",0,IFERROR(MATCH($A436,Classes!$A$6:$A$420,0),0))</f>
        <v>300</v>
      </c>
      <c r="N436" s="64" t="n">
        <f aca="false">IF($H436="",0,IFERROR(MATCH($H436,GradeList,0),0))</f>
        <v>5</v>
      </c>
      <c r="O436" s="64" t="n">
        <f aca="false">IF(OR($I436="",$I436="NR"),0,IFERROR(MATCH($I436,GradeList,0),0))</f>
        <v>6</v>
      </c>
      <c r="P436" s="64" t="n">
        <f aca="false">IF(AND($M436&gt;0,ISNUMBER(MATCH($F436,Lists!$A$2:$A$5,0)),ISNUMBER(MATCH($G436,Lists!$B$2:$B$7,0)),OR($H436="",$N436&gt;0),OR($I436="",$I436="NR",$O436&gt;0),IF(ISNUMBER($J436),AND($J436&gt;=0,$J436=INT($J436)),FALSE())),$J436,0)</f>
        <v>2</v>
      </c>
      <c r="Q436" s="64" t="n">
        <f aca="false">IF(AND($P436&gt;0,$O436&gt;0),$P436,0)</f>
        <v>2</v>
      </c>
      <c r="R436" s="64" t="n">
        <f aca="false">IF(AND($Q436&gt;0,$O436&gt;=AtRank),$Q436,0)</f>
        <v>2</v>
      </c>
      <c r="S436" s="64" t="n">
        <f aca="false">IF(AND($Q436&gt;0,$O436&gt;=AboveRank),$Q436,0)</f>
        <v>0</v>
      </c>
      <c r="T436" s="64" t="n">
        <f aca="false">IF($K436="Less",$P436,0)</f>
        <v>0</v>
      </c>
      <c r="U436" s="64" t="n">
        <f aca="false">IF($K436="Expected",$P436,0)</f>
        <v>0</v>
      </c>
      <c r="V436" s="64" t="n">
        <f aca="false">IF($K436="Better",$P436,0)</f>
        <v>2</v>
      </c>
      <c r="W436" s="64" t="n">
        <f aca="false">IF($K436="U – needs rule",$P436,0)</f>
        <v>0</v>
      </c>
      <c r="X436" s="64" t="n">
        <f aca="false">IF($K436="No Start (attainment only)",$P436,0)</f>
        <v>0</v>
      </c>
    </row>
    <row r="437" customFormat="false" ht="15" hidden="false" customHeight="false" outlineLevel="0" collapsed="false">
      <c r="A437" s="60" t="s">
        <v>797</v>
      </c>
      <c r="B437" s="61" t="str">
        <f aca="false">IF($M437=0,"",INDEX(Classes!$E$6:$E$420,$M437))</f>
        <v>Arabic A</v>
      </c>
      <c r="C437" s="62" t="str">
        <f aca="false">IF($M437=0,"",INDEX(Classes!$H$6:$H$420,$M437))</f>
        <v>Mr Elsaid A Eltantawi</v>
      </c>
      <c r="D437" s="61" t="str">
        <f aca="false">IF($M437=0,"",INDEX(Classes!$B$6:$B$420,$M437))</f>
        <v>Year 10</v>
      </c>
      <c r="E437" s="61" t="str">
        <f aca="false">IF($M437=0,"",INDEX(Classes!$C$6:$C$420,$M437))</f>
        <v>ip</v>
      </c>
      <c r="F437" s="63" t="s">
        <v>107</v>
      </c>
      <c r="G437" s="63" t="s">
        <v>108</v>
      </c>
      <c r="H437" s="60" t="s">
        <v>200</v>
      </c>
      <c r="I437" s="60" t="s">
        <v>199</v>
      </c>
      <c r="J437" s="63" t="n">
        <v>2</v>
      </c>
      <c r="K437" s="61" t="str">
        <f aca="false">IF($P437=0,"",IF($F437="Baseline","— Baseline",IF($O437=0,"No result",IF($N437=0,"No Start (attainment only)",IF(OR($N437=1,$O437=1),"U – needs rule",INDEX(MxBody,MATCH($I437,MxCurr,0),MATCH($H437,MxStart,0)))))))</f>
        <v>Less</v>
      </c>
      <c r="L437" s="62" t="str">
        <f aca="false">IF(COUNTA($A437,$F437,$G437,$H437,$I437,$J437)=0,"",IF($M437=0,"✖ كود الصف غير موجود",IF(ISNA(MATCH($F437,Lists!$A$2:$A$5,0)),"✖ الفترة غير صحيحة",IF(ISNA(MATCH($G437,Lists!$B$2:$B$7,0)),"✖ المجموعة غير صحيحة",IF(NOT(OR($H437="",$N437&gt;0)),"✖ Start غير صحيح",IF(NOT(OR($I437="",$I437="NR",$O437&gt;0)),"✖ Current غير صحيح",IF(NOT(IF(ISNUMBER($J437),AND($J437&gt;=0,$J437=INT($J437)),FALSE())),"✖ العدد يجب أن يكون صحيحًا ≥ 0",IF(AND($F437="Baseline",$H437&lt;&gt;""),"⚠ Baseline: Start لا يدخل في التقدم",IF($K437="No Start (attainment only)","ℹ تحصيل فقط (بدون Start)",IF($K437="U – needs rule","ℹ حالة U تحتاج قاعدة معتمدة",IF($K437="No result","ℹ بدون نتيجة (يُستبعد من التحصيل)","OK")))))))))))</f>
        <v>OK</v>
      </c>
      <c r="M437" s="64" t="n">
        <f aca="false">IF($A437="",0,IFERROR(MATCH($A437,Classes!$A$6:$A$420,0),0))</f>
        <v>300</v>
      </c>
      <c r="N437" s="64" t="n">
        <f aca="false">IF($H437="",0,IFERROR(MATCH($H437,GradeList,0),0))</f>
        <v>5</v>
      </c>
      <c r="O437" s="64" t="n">
        <f aca="false">IF(OR($I437="",$I437="NR"),0,IFERROR(MATCH($I437,GradeList,0),0))</f>
        <v>4</v>
      </c>
      <c r="P437" s="64" t="n">
        <f aca="false">IF(AND($M437&gt;0,ISNUMBER(MATCH($F437,Lists!$A$2:$A$5,0)),ISNUMBER(MATCH($G437,Lists!$B$2:$B$7,0)),OR($H437="",$N437&gt;0),OR($I437="",$I437="NR",$O437&gt;0),IF(ISNUMBER($J437),AND($J437&gt;=0,$J437=INT($J437)),FALSE())),$J437,0)</f>
        <v>2</v>
      </c>
      <c r="Q437" s="64" t="n">
        <f aca="false">IF(AND($P437&gt;0,$O437&gt;0),$P437,0)</f>
        <v>2</v>
      </c>
      <c r="R437" s="64" t="n">
        <f aca="false">IF(AND($Q437&gt;0,$O437&gt;=AtRank),$Q437,0)</f>
        <v>0</v>
      </c>
      <c r="S437" s="64" t="n">
        <f aca="false">IF(AND($Q437&gt;0,$O437&gt;=AboveRank),$Q437,0)</f>
        <v>0</v>
      </c>
      <c r="T437" s="64" t="n">
        <f aca="false">IF($K437="Less",$P437,0)</f>
        <v>2</v>
      </c>
      <c r="U437" s="64" t="n">
        <f aca="false">IF($K437="Expected",$P437,0)</f>
        <v>0</v>
      </c>
      <c r="V437" s="64" t="n">
        <f aca="false">IF($K437="Better",$P437,0)</f>
        <v>0</v>
      </c>
      <c r="W437" s="64" t="n">
        <f aca="false">IF($K437="U – needs rule",$P437,0)</f>
        <v>0</v>
      </c>
      <c r="X437" s="64" t="n">
        <f aca="false">IF($K437="No Start (attainment only)",$P437,0)</f>
        <v>0</v>
      </c>
    </row>
    <row r="438" customFormat="false" ht="15" hidden="false" customHeight="false" outlineLevel="0" collapsed="false">
      <c r="A438" s="60" t="s">
        <v>797</v>
      </c>
      <c r="B438" s="61" t="str">
        <f aca="false">IF($M438=0,"",INDEX(Classes!$E$6:$E$420,$M438))</f>
        <v>Arabic A</v>
      </c>
      <c r="C438" s="62" t="str">
        <f aca="false">IF($M438=0,"",INDEX(Classes!$H$6:$H$420,$M438))</f>
        <v>Mr Elsaid A Eltantawi</v>
      </c>
      <c r="D438" s="61" t="str">
        <f aca="false">IF($M438=0,"",INDEX(Classes!$B$6:$B$420,$M438))</f>
        <v>Year 10</v>
      </c>
      <c r="E438" s="61" t="str">
        <f aca="false">IF($M438=0,"",INDEX(Classes!$C$6:$C$420,$M438))</f>
        <v>ip</v>
      </c>
      <c r="F438" s="63" t="s">
        <v>107</v>
      </c>
      <c r="G438" s="63" t="s">
        <v>108</v>
      </c>
      <c r="H438" s="60" t="s">
        <v>200</v>
      </c>
      <c r="I438" s="60" t="s">
        <v>196</v>
      </c>
      <c r="J438" s="63" t="n">
        <v>1</v>
      </c>
      <c r="K438" s="61" t="str">
        <f aca="false">IF($P438=0,"",IF($F438="Baseline","— Baseline",IF($O438=0,"No result",IF($N438=0,"No Start (attainment only)",IF(OR($N438=1,$O438=1),"U – needs rule",INDEX(MxBody,MATCH($I438,MxCurr,0),MATCH($H438,MxStart,0)))))))</f>
        <v>U – needs rule</v>
      </c>
      <c r="L438" s="62" t="str">
        <f aca="false">IF(COUNTA($A438,$F438,$G438,$H438,$I438,$J438)=0,"",IF($M438=0,"✖ كود الصف غير موجود",IF(ISNA(MATCH($F438,Lists!$A$2:$A$5,0)),"✖ الفترة غير صحيحة",IF(ISNA(MATCH($G438,Lists!$B$2:$B$7,0)),"✖ المجموعة غير صحيحة",IF(NOT(OR($H438="",$N438&gt;0)),"✖ Start غير صحيح",IF(NOT(OR($I438="",$I438="NR",$O438&gt;0)),"✖ Current غير صحيح",IF(NOT(IF(ISNUMBER($J438),AND($J438&gt;=0,$J438=INT($J438)),FALSE())),"✖ العدد يجب أن يكون صحيحًا ≥ 0",IF(AND($F438="Baseline",$H438&lt;&gt;""),"⚠ Baseline: Start لا يدخل في التقدم",IF($K438="No Start (attainment only)","ℹ تحصيل فقط (بدون Start)",IF($K438="U – needs rule","ℹ حالة U تحتاج قاعدة معتمدة",IF($K438="No result","ℹ بدون نتيجة (يُستبعد من التحصيل)","OK")))))))))))</f>
        <v>ℹ حالة U تحتاج قاعدة معتمدة</v>
      </c>
      <c r="M438" s="64" t="n">
        <f aca="false">IF($A438="",0,IFERROR(MATCH($A438,Classes!$A$6:$A$420,0),0))</f>
        <v>300</v>
      </c>
      <c r="N438" s="64" t="n">
        <f aca="false">IF($H438="",0,IFERROR(MATCH($H438,GradeList,0),0))</f>
        <v>5</v>
      </c>
      <c r="O438" s="64" t="n">
        <f aca="false">IF(OR($I438="",$I438="NR"),0,IFERROR(MATCH($I438,GradeList,0),0))</f>
        <v>1</v>
      </c>
      <c r="P438" s="64" t="n">
        <f aca="false">IF(AND($M438&gt;0,ISNUMBER(MATCH($F438,Lists!$A$2:$A$5,0)),ISNUMBER(MATCH($G438,Lists!$B$2:$B$7,0)),OR($H438="",$N438&gt;0),OR($I438="",$I438="NR",$O438&gt;0),IF(ISNUMBER($J438),AND($J438&gt;=0,$J438=INT($J438)),FALSE())),$J438,0)</f>
        <v>1</v>
      </c>
      <c r="Q438" s="64" t="n">
        <f aca="false">IF(AND($P438&gt;0,$O438&gt;0),$P438,0)</f>
        <v>1</v>
      </c>
      <c r="R438" s="64" t="n">
        <f aca="false">IF(AND($Q438&gt;0,$O438&gt;=AtRank),$Q438,0)</f>
        <v>0</v>
      </c>
      <c r="S438" s="64" t="n">
        <f aca="false">IF(AND($Q438&gt;0,$O438&gt;=AboveRank),$Q438,0)</f>
        <v>0</v>
      </c>
      <c r="T438" s="64" t="n">
        <f aca="false">IF($K438="Less",$P438,0)</f>
        <v>0</v>
      </c>
      <c r="U438" s="64" t="n">
        <f aca="false">IF($K438="Expected",$P438,0)</f>
        <v>0</v>
      </c>
      <c r="V438" s="64" t="n">
        <f aca="false">IF($K438="Better",$P438,0)</f>
        <v>0</v>
      </c>
      <c r="W438" s="64" t="n">
        <f aca="false">IF($K438="U – needs rule",$P438,0)</f>
        <v>1</v>
      </c>
      <c r="X438" s="64" t="n">
        <f aca="false">IF($K438="No Start (attainment only)",$P438,0)</f>
        <v>0</v>
      </c>
    </row>
    <row r="439" customFormat="false" ht="15" hidden="false" customHeight="false" outlineLevel="0" collapsed="false">
      <c r="A439" s="60" t="s">
        <v>797</v>
      </c>
      <c r="B439" s="61" t="str">
        <f aca="false">IF($M439=0,"",INDEX(Classes!$E$6:$E$420,$M439))</f>
        <v>Arabic A</v>
      </c>
      <c r="C439" s="62" t="str">
        <f aca="false">IF($M439=0,"",INDEX(Classes!$H$6:$H$420,$M439))</f>
        <v>Mr Elsaid A Eltantawi</v>
      </c>
      <c r="D439" s="61" t="str">
        <f aca="false">IF($M439=0,"",INDEX(Classes!$B$6:$B$420,$M439))</f>
        <v>Year 10</v>
      </c>
      <c r="E439" s="61" t="str">
        <f aca="false">IF($M439=0,"",INDEX(Classes!$C$6:$C$420,$M439))</f>
        <v>ip</v>
      </c>
      <c r="F439" s="63" t="s">
        <v>107</v>
      </c>
      <c r="G439" s="63" t="s">
        <v>108</v>
      </c>
      <c r="H439" s="60" t="s">
        <v>201</v>
      </c>
      <c r="I439" s="60" t="s">
        <v>202</v>
      </c>
      <c r="J439" s="63" t="n">
        <v>2</v>
      </c>
      <c r="K439" s="61" t="str">
        <f aca="false">IF($P439=0,"",IF($F439="Baseline","— Baseline",IF($O439=0,"No result",IF($N439=0,"No Start (attainment only)",IF(OR($N439=1,$O439=1),"U – needs rule",INDEX(MxBody,MATCH($I439,MxCurr,0),MATCH($H439,MxStart,0)))))))</f>
        <v>Better</v>
      </c>
      <c r="L439" s="62" t="str">
        <f aca="false">IF(COUNTA($A439,$F439,$G439,$H439,$I439,$J439)=0,"",IF($M439=0,"✖ كود الصف غير موجود",IF(ISNA(MATCH($F439,Lists!$A$2:$A$5,0)),"✖ الفترة غير صحيحة",IF(ISNA(MATCH($G439,Lists!$B$2:$B$7,0)),"✖ المجموعة غير صحيحة",IF(NOT(OR($H439="",$N439&gt;0)),"✖ Start غير صحيح",IF(NOT(OR($I439="",$I439="NR",$O439&gt;0)),"✖ Current غير صحيح",IF(NOT(IF(ISNUMBER($J439),AND($J439&gt;=0,$J439=INT($J439)),FALSE())),"✖ العدد يجب أن يكون صحيحًا ≥ 0",IF(AND($F439="Baseline",$H439&lt;&gt;""),"⚠ Baseline: Start لا يدخل في التقدم",IF($K439="No Start (attainment only)","ℹ تحصيل فقط (بدون Start)",IF($K439="U – needs rule","ℹ حالة U تحتاج قاعدة معتمدة",IF($K439="No result","ℹ بدون نتيجة (يُستبعد من التحصيل)","OK")))))))))))</f>
        <v>OK</v>
      </c>
      <c r="M439" s="64" t="n">
        <f aca="false">IF($A439="",0,IFERROR(MATCH($A439,Classes!$A$6:$A$420,0),0))</f>
        <v>300</v>
      </c>
      <c r="N439" s="64" t="n">
        <f aca="false">IF($H439="",0,IFERROR(MATCH($H439,GradeList,0),0))</f>
        <v>6</v>
      </c>
      <c r="O439" s="64" t="n">
        <f aca="false">IF(OR($I439="",$I439="NR"),0,IFERROR(MATCH($I439,GradeList,0),0))</f>
        <v>7</v>
      </c>
      <c r="P439" s="64" t="n">
        <f aca="false">IF(AND($M439&gt;0,ISNUMBER(MATCH($F439,Lists!$A$2:$A$5,0)),ISNUMBER(MATCH($G439,Lists!$B$2:$B$7,0)),OR($H439="",$N439&gt;0),OR($I439="",$I439="NR",$O439&gt;0),IF(ISNUMBER($J439),AND($J439&gt;=0,$J439=INT($J439)),FALSE())),$J439,0)</f>
        <v>2</v>
      </c>
      <c r="Q439" s="64" t="n">
        <f aca="false">IF(AND($P439&gt;0,$O439&gt;0),$P439,0)</f>
        <v>2</v>
      </c>
      <c r="R439" s="64" t="n">
        <f aca="false">IF(AND($Q439&gt;0,$O439&gt;=AtRank),$Q439,0)</f>
        <v>2</v>
      </c>
      <c r="S439" s="64" t="n">
        <f aca="false">IF(AND($Q439&gt;0,$O439&gt;=AboveRank),$Q439,0)</f>
        <v>2</v>
      </c>
      <c r="T439" s="64" t="n">
        <f aca="false">IF($K439="Less",$P439,0)</f>
        <v>0</v>
      </c>
      <c r="U439" s="64" t="n">
        <f aca="false">IF($K439="Expected",$P439,0)</f>
        <v>0</v>
      </c>
      <c r="V439" s="64" t="n">
        <f aca="false">IF($K439="Better",$P439,0)</f>
        <v>2</v>
      </c>
      <c r="W439" s="64" t="n">
        <f aca="false">IF($K439="U – needs rule",$P439,0)</f>
        <v>0</v>
      </c>
      <c r="X439" s="64" t="n">
        <f aca="false">IF($K439="No Start (attainment only)",$P439,0)</f>
        <v>0</v>
      </c>
    </row>
    <row r="440" customFormat="false" ht="15" hidden="false" customHeight="false" outlineLevel="0" collapsed="false">
      <c r="A440" s="60" t="s">
        <v>797</v>
      </c>
      <c r="B440" s="61" t="str">
        <f aca="false">IF($M440=0,"",INDEX(Classes!$E$6:$E$420,$M440))</f>
        <v>Arabic A</v>
      </c>
      <c r="C440" s="62" t="str">
        <f aca="false">IF($M440=0,"",INDEX(Classes!$H$6:$H$420,$M440))</f>
        <v>Mr Elsaid A Eltantawi</v>
      </c>
      <c r="D440" s="61" t="str">
        <f aca="false">IF($M440=0,"",INDEX(Classes!$B$6:$B$420,$M440))</f>
        <v>Year 10</v>
      </c>
      <c r="E440" s="61" t="str">
        <f aca="false">IF($M440=0,"",INDEX(Classes!$C$6:$C$420,$M440))</f>
        <v>ip</v>
      </c>
      <c r="F440" s="63" t="s">
        <v>107</v>
      </c>
      <c r="G440" s="63" t="s">
        <v>108</v>
      </c>
      <c r="H440" s="60" t="s">
        <v>201</v>
      </c>
      <c r="I440" s="60" t="s">
        <v>203</v>
      </c>
      <c r="J440" s="63" t="n">
        <v>1</v>
      </c>
      <c r="K440" s="61" t="str">
        <f aca="false">IF($P440=0,"",IF($F440="Baseline","— Baseline",IF($O440=0,"No result",IF($N440=0,"No Start (attainment only)",IF(OR($N440=1,$O440=1),"U – needs rule",INDEX(MxBody,MATCH($I440,MxCurr,0),MATCH($H440,MxStart,0)))))))</f>
        <v>Better</v>
      </c>
      <c r="L440" s="62" t="str">
        <f aca="false">IF(COUNTA($A440,$F440,$G440,$H440,$I440,$J440)=0,"",IF($M440=0,"✖ كود الصف غير موجود",IF(ISNA(MATCH($F440,Lists!$A$2:$A$5,0)),"✖ الفترة غير صحيحة",IF(ISNA(MATCH($G440,Lists!$B$2:$B$7,0)),"✖ المجموعة غير صحيحة",IF(NOT(OR($H440="",$N440&gt;0)),"✖ Start غير صحيح",IF(NOT(OR($I440="",$I440="NR",$O440&gt;0)),"✖ Current غير صحيح",IF(NOT(IF(ISNUMBER($J440),AND($J440&gt;=0,$J440=INT($J440)),FALSE())),"✖ العدد يجب أن يكون صحيحًا ≥ 0",IF(AND($F440="Baseline",$H440&lt;&gt;""),"⚠ Baseline: Start لا يدخل في التقدم",IF($K440="No Start (attainment only)","ℹ تحصيل فقط (بدون Start)",IF($K440="U – needs rule","ℹ حالة U تحتاج قاعدة معتمدة",IF($K440="No result","ℹ بدون نتيجة (يُستبعد من التحصيل)","OK")))))))))))</f>
        <v>OK</v>
      </c>
      <c r="M440" s="64" t="n">
        <f aca="false">IF($A440="",0,IFERROR(MATCH($A440,Classes!$A$6:$A$420,0),0))</f>
        <v>300</v>
      </c>
      <c r="N440" s="64" t="n">
        <f aca="false">IF($H440="",0,IFERROR(MATCH($H440,GradeList,0),0))</f>
        <v>6</v>
      </c>
      <c r="O440" s="64" t="n">
        <f aca="false">IF(OR($I440="",$I440="NR"),0,IFERROR(MATCH($I440,GradeList,0),0))</f>
        <v>8</v>
      </c>
      <c r="P440" s="64" t="n">
        <f aca="false">IF(AND($M440&gt;0,ISNUMBER(MATCH($F440,Lists!$A$2:$A$5,0)),ISNUMBER(MATCH($G440,Lists!$B$2:$B$7,0)),OR($H440="",$N440&gt;0),OR($I440="",$I440="NR",$O440&gt;0),IF(ISNUMBER($J440),AND($J440&gt;=0,$J440=INT($J440)),FALSE())),$J440,0)</f>
        <v>1</v>
      </c>
      <c r="Q440" s="64" t="n">
        <f aca="false">IF(AND($P440&gt;0,$O440&gt;0),$P440,0)</f>
        <v>1</v>
      </c>
      <c r="R440" s="64" t="n">
        <f aca="false">IF(AND($Q440&gt;0,$O440&gt;=AtRank),$Q440,0)</f>
        <v>1</v>
      </c>
      <c r="S440" s="64" t="n">
        <f aca="false">IF(AND($Q440&gt;0,$O440&gt;=AboveRank),$Q440,0)</f>
        <v>1</v>
      </c>
      <c r="T440" s="64" t="n">
        <f aca="false">IF($K440="Less",$P440,0)</f>
        <v>0</v>
      </c>
      <c r="U440" s="64" t="n">
        <f aca="false">IF($K440="Expected",$P440,0)</f>
        <v>0</v>
      </c>
      <c r="V440" s="64" t="n">
        <f aca="false">IF($K440="Better",$P440,0)</f>
        <v>1</v>
      </c>
      <c r="W440" s="64" t="n">
        <f aca="false">IF($K440="U – needs rule",$P440,0)</f>
        <v>0</v>
      </c>
      <c r="X440" s="64" t="n">
        <f aca="false">IF($K440="No Start (attainment only)",$P440,0)</f>
        <v>0</v>
      </c>
    </row>
    <row r="441" customFormat="false" ht="15" hidden="false" customHeight="false" outlineLevel="0" collapsed="false">
      <c r="A441" s="60" t="s">
        <v>797</v>
      </c>
      <c r="B441" s="61" t="str">
        <f aca="false">IF($M441=0,"",INDEX(Classes!$E$6:$E$420,$M441))</f>
        <v>Arabic A</v>
      </c>
      <c r="C441" s="62" t="str">
        <f aca="false">IF($M441=0,"",INDEX(Classes!$H$6:$H$420,$M441))</f>
        <v>Mr Elsaid A Eltantawi</v>
      </c>
      <c r="D441" s="61" t="str">
        <f aca="false">IF($M441=0,"",INDEX(Classes!$B$6:$B$420,$M441))</f>
        <v>Year 10</v>
      </c>
      <c r="E441" s="61" t="str">
        <f aca="false">IF($M441=0,"",INDEX(Classes!$C$6:$C$420,$M441))</f>
        <v>ip</v>
      </c>
      <c r="F441" s="63" t="s">
        <v>107</v>
      </c>
      <c r="G441" s="63" t="s">
        <v>108</v>
      </c>
      <c r="H441" s="60" t="s">
        <v>201</v>
      </c>
      <c r="I441" s="60" t="s">
        <v>201</v>
      </c>
      <c r="J441" s="63" t="n">
        <v>1</v>
      </c>
      <c r="K441" s="61" t="str">
        <f aca="false">IF($P441=0,"",IF($F441="Baseline","— Baseline",IF($O441=0,"No result",IF($N441=0,"No Start (attainment only)",IF(OR($N441=1,$O441=1),"U – needs rule",INDEX(MxBody,MATCH($I441,MxCurr,0),MATCH($H441,MxStart,0)))))))</f>
        <v>Expected</v>
      </c>
      <c r="L441" s="62" t="str">
        <f aca="false">IF(COUNTA($A441,$F441,$G441,$H441,$I441,$J441)=0,"",IF($M441=0,"✖ كود الصف غير موجود",IF(ISNA(MATCH($F441,Lists!$A$2:$A$5,0)),"✖ الفترة غير صحيحة",IF(ISNA(MATCH($G441,Lists!$B$2:$B$7,0)),"✖ المجموعة غير صحيحة",IF(NOT(OR($H441="",$N441&gt;0)),"✖ Start غير صحيح",IF(NOT(OR($I441="",$I441="NR",$O441&gt;0)),"✖ Current غير صحيح",IF(NOT(IF(ISNUMBER($J441),AND($J441&gt;=0,$J441=INT($J441)),FALSE())),"✖ العدد يجب أن يكون صحيحًا ≥ 0",IF(AND($F441="Baseline",$H441&lt;&gt;""),"⚠ Baseline: Start لا يدخل في التقدم",IF($K441="No Start (attainment only)","ℹ تحصيل فقط (بدون Start)",IF($K441="U – needs rule","ℹ حالة U تحتاج قاعدة معتمدة",IF($K441="No result","ℹ بدون نتيجة (يُستبعد من التحصيل)","OK")))))))))))</f>
        <v>OK</v>
      </c>
      <c r="M441" s="64" t="n">
        <f aca="false">IF($A441="",0,IFERROR(MATCH($A441,Classes!$A$6:$A$420,0),0))</f>
        <v>300</v>
      </c>
      <c r="N441" s="64" t="n">
        <f aca="false">IF($H441="",0,IFERROR(MATCH($H441,GradeList,0),0))</f>
        <v>6</v>
      </c>
      <c r="O441" s="64" t="n">
        <f aca="false">IF(OR($I441="",$I441="NR"),0,IFERROR(MATCH($I441,GradeList,0),0))</f>
        <v>6</v>
      </c>
      <c r="P441" s="64" t="n">
        <f aca="false">IF(AND($M441&gt;0,ISNUMBER(MATCH($F441,Lists!$A$2:$A$5,0)),ISNUMBER(MATCH($G441,Lists!$B$2:$B$7,0)),OR($H441="",$N441&gt;0),OR($I441="",$I441="NR",$O441&gt;0),IF(ISNUMBER($J441),AND($J441&gt;=0,$J441=INT($J441)),FALSE())),$J441,0)</f>
        <v>1</v>
      </c>
      <c r="Q441" s="64" t="n">
        <f aca="false">IF(AND($P441&gt;0,$O441&gt;0),$P441,0)</f>
        <v>1</v>
      </c>
      <c r="R441" s="64" t="n">
        <f aca="false">IF(AND($Q441&gt;0,$O441&gt;=AtRank),$Q441,0)</f>
        <v>1</v>
      </c>
      <c r="S441" s="64" t="n">
        <f aca="false">IF(AND($Q441&gt;0,$O441&gt;=AboveRank),$Q441,0)</f>
        <v>0</v>
      </c>
      <c r="T441" s="64" t="n">
        <f aca="false">IF($K441="Less",$P441,0)</f>
        <v>0</v>
      </c>
      <c r="U441" s="64" t="n">
        <f aca="false">IF($K441="Expected",$P441,0)</f>
        <v>1</v>
      </c>
      <c r="V441" s="64" t="n">
        <f aca="false">IF($K441="Better",$P441,0)</f>
        <v>0</v>
      </c>
      <c r="W441" s="64" t="n">
        <f aca="false">IF($K441="U – needs rule",$P441,0)</f>
        <v>0</v>
      </c>
      <c r="X441" s="64" t="n">
        <f aca="false">IF($K441="No Start (attainment only)",$P441,0)</f>
        <v>0</v>
      </c>
    </row>
    <row r="442" customFormat="false" ht="15" hidden="false" customHeight="false" outlineLevel="0" collapsed="false">
      <c r="A442" s="60" t="s">
        <v>797</v>
      </c>
      <c r="B442" s="61" t="str">
        <f aca="false">IF($M442=0,"",INDEX(Classes!$E$6:$E$420,$M442))</f>
        <v>Arabic A</v>
      </c>
      <c r="C442" s="62" t="str">
        <f aca="false">IF($M442=0,"",INDEX(Classes!$H$6:$H$420,$M442))</f>
        <v>Mr Elsaid A Eltantawi</v>
      </c>
      <c r="D442" s="61" t="str">
        <f aca="false">IF($M442=0,"",INDEX(Classes!$B$6:$B$420,$M442))</f>
        <v>Year 10</v>
      </c>
      <c r="E442" s="61" t="str">
        <f aca="false">IF($M442=0,"",INDEX(Classes!$C$6:$C$420,$M442))</f>
        <v>ip</v>
      </c>
      <c r="F442" s="63" t="s">
        <v>107</v>
      </c>
      <c r="G442" s="63" t="s">
        <v>108</v>
      </c>
      <c r="H442" s="60" t="s">
        <v>204</v>
      </c>
      <c r="I442" s="60" t="s">
        <v>204</v>
      </c>
      <c r="J442" s="63" t="n">
        <v>1</v>
      </c>
      <c r="K442" s="61" t="str">
        <f aca="false">IF($P442=0,"",IF($F442="Baseline","— Baseline",IF($O442=0,"No result",IF($N442=0,"No Start (attainment only)",IF(OR($N442=1,$O442=1),"U – needs rule",INDEX(MxBody,MATCH($I442,MxCurr,0),MATCH($H442,MxStart,0)))))))</f>
        <v>Better</v>
      </c>
      <c r="L442" s="62" t="str">
        <f aca="false">IF(COUNTA($A442,$F442,$G442,$H442,$I442,$J442)=0,"",IF($M442=0,"✖ كود الصف غير موجود",IF(ISNA(MATCH($F442,Lists!$A$2:$A$5,0)),"✖ الفترة غير صحيحة",IF(ISNA(MATCH($G442,Lists!$B$2:$B$7,0)),"✖ المجموعة غير صحيحة",IF(NOT(OR($H442="",$N442&gt;0)),"✖ Start غير صحيح",IF(NOT(OR($I442="",$I442="NR",$O442&gt;0)),"✖ Current غير صحيح",IF(NOT(IF(ISNUMBER($J442),AND($J442&gt;=0,$J442=INT($J442)),FALSE())),"✖ العدد يجب أن يكون صحيحًا ≥ 0",IF(AND($F442="Baseline",$H442&lt;&gt;""),"⚠ Baseline: Start لا يدخل في التقدم",IF($K442="No Start (attainment only)","ℹ تحصيل فقط (بدون Start)",IF($K442="U – needs rule","ℹ حالة U تحتاج قاعدة معتمدة",IF($K442="No result","ℹ بدون نتيجة (يُستبعد من التحصيل)","OK")))))))))))</f>
        <v>OK</v>
      </c>
      <c r="M442" s="64" t="n">
        <f aca="false">IF($A442="",0,IFERROR(MATCH($A442,Classes!$A$6:$A$420,0),0))</f>
        <v>300</v>
      </c>
      <c r="N442" s="64" t="n">
        <f aca="false">IF($H442="",0,IFERROR(MATCH($H442,GradeList,0),0))</f>
        <v>9</v>
      </c>
      <c r="O442" s="64" t="n">
        <f aca="false">IF(OR($I442="",$I442="NR"),0,IFERROR(MATCH($I442,GradeList,0),0))</f>
        <v>9</v>
      </c>
      <c r="P442" s="64" t="n">
        <f aca="false">IF(AND($M442&gt;0,ISNUMBER(MATCH($F442,Lists!$A$2:$A$5,0)),ISNUMBER(MATCH($G442,Lists!$B$2:$B$7,0)),OR($H442="",$N442&gt;0),OR($I442="",$I442="NR",$O442&gt;0),IF(ISNUMBER($J442),AND($J442&gt;=0,$J442=INT($J442)),FALSE())),$J442,0)</f>
        <v>1</v>
      </c>
      <c r="Q442" s="64" t="n">
        <f aca="false">IF(AND($P442&gt;0,$O442&gt;0),$P442,0)</f>
        <v>1</v>
      </c>
      <c r="R442" s="64" t="n">
        <f aca="false">IF(AND($Q442&gt;0,$O442&gt;=AtRank),$Q442,0)</f>
        <v>1</v>
      </c>
      <c r="S442" s="64" t="n">
        <f aca="false">IF(AND($Q442&gt;0,$O442&gt;=AboveRank),$Q442,0)</f>
        <v>1</v>
      </c>
      <c r="T442" s="64" t="n">
        <f aca="false">IF($K442="Less",$P442,0)</f>
        <v>0</v>
      </c>
      <c r="U442" s="64" t="n">
        <f aca="false">IF($K442="Expected",$P442,0)</f>
        <v>0</v>
      </c>
      <c r="V442" s="64" t="n">
        <f aca="false">IF($K442="Better",$P442,0)</f>
        <v>1</v>
      </c>
      <c r="W442" s="64" t="n">
        <f aca="false">IF($K442="U – needs rule",$P442,0)</f>
        <v>0</v>
      </c>
      <c r="X442" s="64" t="n">
        <f aca="false">IF($K442="No Start (attainment only)",$P442,0)</f>
        <v>0</v>
      </c>
    </row>
    <row r="443" customFormat="false" ht="15" hidden="false" customHeight="false" outlineLevel="0" collapsed="false">
      <c r="A443" s="60" t="s">
        <v>797</v>
      </c>
      <c r="B443" s="61" t="str">
        <f aca="false">IF($M443=0,"",INDEX(Classes!$E$6:$E$420,$M443))</f>
        <v>Arabic A</v>
      </c>
      <c r="C443" s="62" t="str">
        <f aca="false">IF($M443=0,"",INDEX(Classes!$H$6:$H$420,$M443))</f>
        <v>Mr Elsaid A Eltantawi</v>
      </c>
      <c r="D443" s="61" t="str">
        <f aca="false">IF($M443=0,"",INDEX(Classes!$B$6:$B$420,$M443))</f>
        <v>Year 10</v>
      </c>
      <c r="E443" s="61" t="str">
        <f aca="false">IF($M443=0,"",INDEX(Classes!$C$6:$C$420,$M443))</f>
        <v>ip</v>
      </c>
      <c r="F443" s="63" t="s">
        <v>107</v>
      </c>
      <c r="G443" s="63" t="s">
        <v>108</v>
      </c>
      <c r="H443" s="60" t="s">
        <v>199</v>
      </c>
      <c r="I443" s="60" t="s">
        <v>201</v>
      </c>
      <c r="J443" s="63" t="n">
        <v>1</v>
      </c>
      <c r="K443" s="61" t="str">
        <f aca="false">IF($P443=0,"",IF($F443="Baseline","— Baseline",IF($O443=0,"No result",IF($N443=0,"No Start (attainment only)",IF(OR($N443=1,$O443=1),"U – needs rule",INDEX(MxBody,MATCH($I443,MxCurr,0),MATCH($H443,MxStart,0)))))))</f>
        <v>Better</v>
      </c>
      <c r="L443" s="62" t="str">
        <f aca="false">IF(COUNTA($A443,$F443,$G443,$H443,$I443,$J443)=0,"",IF($M443=0,"✖ كود الصف غير موجود",IF(ISNA(MATCH($F443,Lists!$A$2:$A$5,0)),"✖ الفترة غير صحيحة",IF(ISNA(MATCH($G443,Lists!$B$2:$B$7,0)),"✖ المجموعة غير صحيحة",IF(NOT(OR($H443="",$N443&gt;0)),"✖ Start غير صحيح",IF(NOT(OR($I443="",$I443="NR",$O443&gt;0)),"✖ Current غير صحيح",IF(NOT(IF(ISNUMBER($J443),AND($J443&gt;=0,$J443=INT($J443)),FALSE())),"✖ العدد يجب أن يكون صحيحًا ≥ 0",IF(AND($F443="Baseline",$H443&lt;&gt;""),"⚠ Baseline: Start لا يدخل في التقدم",IF($K443="No Start (attainment only)","ℹ تحصيل فقط (بدون Start)",IF($K443="U – needs rule","ℹ حالة U تحتاج قاعدة معتمدة",IF($K443="No result","ℹ بدون نتيجة (يُستبعد من التحصيل)","OK")))))))))))</f>
        <v>OK</v>
      </c>
      <c r="M443" s="64" t="n">
        <f aca="false">IF($A443="",0,IFERROR(MATCH($A443,Classes!$A$6:$A$420,0),0))</f>
        <v>300</v>
      </c>
      <c r="N443" s="64" t="n">
        <f aca="false">IF($H443="",0,IFERROR(MATCH($H443,GradeList,0),0))</f>
        <v>4</v>
      </c>
      <c r="O443" s="64" t="n">
        <f aca="false">IF(OR($I443="",$I443="NR"),0,IFERROR(MATCH($I443,GradeList,0),0))</f>
        <v>6</v>
      </c>
      <c r="P443" s="64" t="n">
        <f aca="false">IF(AND($M443&gt;0,ISNUMBER(MATCH($F443,Lists!$A$2:$A$5,0)),ISNUMBER(MATCH($G443,Lists!$B$2:$B$7,0)),OR($H443="",$N443&gt;0),OR($I443="",$I443="NR",$O443&gt;0),IF(ISNUMBER($J443),AND($J443&gt;=0,$J443=INT($J443)),FALSE())),$J443,0)</f>
        <v>1</v>
      </c>
      <c r="Q443" s="64" t="n">
        <f aca="false">IF(AND($P443&gt;0,$O443&gt;0),$P443,0)</f>
        <v>1</v>
      </c>
      <c r="R443" s="64" t="n">
        <f aca="false">IF(AND($Q443&gt;0,$O443&gt;=AtRank),$Q443,0)</f>
        <v>1</v>
      </c>
      <c r="S443" s="64" t="n">
        <f aca="false">IF(AND($Q443&gt;0,$O443&gt;=AboveRank),$Q443,0)</f>
        <v>0</v>
      </c>
      <c r="T443" s="64" t="n">
        <f aca="false">IF($K443="Less",$P443,0)</f>
        <v>0</v>
      </c>
      <c r="U443" s="64" t="n">
        <f aca="false">IF($K443="Expected",$P443,0)</f>
        <v>0</v>
      </c>
      <c r="V443" s="64" t="n">
        <f aca="false">IF($K443="Better",$P443,0)</f>
        <v>1</v>
      </c>
      <c r="W443" s="64" t="n">
        <f aca="false">IF($K443="U – needs rule",$P443,0)</f>
        <v>0</v>
      </c>
      <c r="X443" s="64" t="n">
        <f aca="false">IF($K443="No Start (attainment only)",$P443,0)</f>
        <v>0</v>
      </c>
    </row>
    <row r="444" customFormat="false" ht="15" hidden="false" customHeight="false" outlineLevel="0" collapsed="false">
      <c r="A444" s="60" t="s">
        <v>797</v>
      </c>
      <c r="B444" s="61" t="str">
        <f aca="false">IF($M444=0,"",INDEX(Classes!$E$6:$E$420,$M444))</f>
        <v>Arabic A</v>
      </c>
      <c r="C444" s="62" t="str">
        <f aca="false">IF($M444=0,"",INDEX(Classes!$H$6:$H$420,$M444))</f>
        <v>Mr Elsaid A Eltantawi</v>
      </c>
      <c r="D444" s="61" t="str">
        <f aca="false">IF($M444=0,"",INDEX(Classes!$B$6:$B$420,$M444))</f>
        <v>Year 10</v>
      </c>
      <c r="E444" s="61" t="str">
        <f aca="false">IF($M444=0,"",INDEX(Classes!$C$6:$C$420,$M444))</f>
        <v>ip</v>
      </c>
      <c r="F444" s="63" t="s">
        <v>107</v>
      </c>
      <c r="G444" s="63" t="s">
        <v>1015</v>
      </c>
      <c r="H444" s="60" t="s">
        <v>202</v>
      </c>
      <c r="I444" s="60" t="s">
        <v>202</v>
      </c>
      <c r="J444" s="63" t="n">
        <v>1</v>
      </c>
      <c r="K444" s="61" t="str">
        <f aca="false">IF($P444=0,"",IF($F444="Baseline","— Baseline",IF($O444=0,"No result",IF($N444=0,"No Start (attainment only)",IF(OR($N444=1,$O444=1),"U – needs rule",INDEX(MxBody,MATCH($I444,MxCurr,0),MATCH($H444,MxStart,0)))))))</f>
        <v>Better</v>
      </c>
      <c r="L444" s="62" t="str">
        <f aca="false">IF(COUNTA($A444,$F444,$G444,$H444,$I444,$J444)=0,"",IF($M444=0,"✖ كود الصف غير موجود",IF(ISNA(MATCH($F444,Lists!$A$2:$A$5,0)),"✖ الفترة غير صحيحة",IF(ISNA(MATCH($G444,Lists!$B$2:$B$7,0)),"✖ المجموعة غير صحيحة",IF(NOT(OR($H444="",$N444&gt;0)),"✖ Start غير صحيح",IF(NOT(OR($I444="",$I444="NR",$O444&gt;0)),"✖ Current غير صحيح",IF(NOT(IF(ISNUMBER($J444),AND($J444&gt;=0,$J444=INT($J444)),FALSE())),"✖ العدد يجب أن يكون صحيحًا ≥ 0",IF(AND($F444="Baseline",$H444&lt;&gt;""),"⚠ Baseline: Start لا يدخل في التقدم",IF($K444="No Start (attainment only)","ℹ تحصيل فقط (بدون Start)",IF($K444="U – needs rule","ℹ حالة U تحتاج قاعدة معتمدة",IF($K444="No result","ℹ بدون نتيجة (يُستبعد من التحصيل)","OK")))))))))))</f>
        <v>OK</v>
      </c>
      <c r="M444" s="64" t="n">
        <f aca="false">IF($A444="",0,IFERROR(MATCH($A444,Classes!$A$6:$A$420,0),0))</f>
        <v>300</v>
      </c>
      <c r="N444" s="64" t="n">
        <f aca="false">IF($H444="",0,IFERROR(MATCH($H444,GradeList,0),0))</f>
        <v>7</v>
      </c>
      <c r="O444" s="64" t="n">
        <f aca="false">IF(OR($I444="",$I444="NR"),0,IFERROR(MATCH($I444,GradeList,0),0))</f>
        <v>7</v>
      </c>
      <c r="P444" s="64" t="n">
        <f aca="false">IF(AND($M444&gt;0,ISNUMBER(MATCH($F444,Lists!$A$2:$A$5,0)),ISNUMBER(MATCH($G444,Lists!$B$2:$B$7,0)),OR($H444="",$N444&gt;0),OR($I444="",$I444="NR",$O444&gt;0),IF(ISNUMBER($J444),AND($J444&gt;=0,$J444=INT($J444)),FALSE())),$J444,0)</f>
        <v>1</v>
      </c>
      <c r="Q444" s="64" t="n">
        <f aca="false">IF(AND($P444&gt;0,$O444&gt;0),$P444,0)</f>
        <v>1</v>
      </c>
      <c r="R444" s="64" t="n">
        <f aca="false">IF(AND($Q444&gt;0,$O444&gt;=AtRank),$Q444,0)</f>
        <v>1</v>
      </c>
      <c r="S444" s="64" t="n">
        <f aca="false">IF(AND($Q444&gt;0,$O444&gt;=AboveRank),$Q444,0)</f>
        <v>1</v>
      </c>
      <c r="T444" s="64" t="n">
        <f aca="false">IF($K444="Less",$P444,0)</f>
        <v>0</v>
      </c>
      <c r="U444" s="64" t="n">
        <f aca="false">IF($K444="Expected",$P444,0)</f>
        <v>0</v>
      </c>
      <c r="V444" s="64" t="n">
        <f aca="false">IF($K444="Better",$P444,0)</f>
        <v>1</v>
      </c>
      <c r="W444" s="64" t="n">
        <f aca="false">IF($K444="U – needs rule",$P444,0)</f>
        <v>0</v>
      </c>
      <c r="X444" s="64" t="n">
        <f aca="false">IF($K444="No Start (attainment only)",$P444,0)</f>
        <v>0</v>
      </c>
    </row>
    <row r="445" customFormat="false" ht="15" hidden="false" customHeight="false" outlineLevel="0" collapsed="false">
      <c r="A445" s="60" t="s">
        <v>797</v>
      </c>
      <c r="B445" s="61" t="str">
        <f aca="false">IF($M445=0,"",INDEX(Classes!$E$6:$E$420,$M445))</f>
        <v>Arabic A</v>
      </c>
      <c r="C445" s="62" t="str">
        <f aca="false">IF($M445=0,"",INDEX(Classes!$H$6:$H$420,$M445))</f>
        <v>Mr Elsaid A Eltantawi</v>
      </c>
      <c r="D445" s="61" t="str">
        <f aca="false">IF($M445=0,"",INDEX(Classes!$B$6:$B$420,$M445))</f>
        <v>Year 10</v>
      </c>
      <c r="E445" s="61" t="str">
        <f aca="false">IF($M445=0,"",INDEX(Classes!$C$6:$C$420,$M445))</f>
        <v>ip</v>
      </c>
      <c r="F445" s="63" t="s">
        <v>107</v>
      </c>
      <c r="G445" s="63" t="s">
        <v>1015</v>
      </c>
      <c r="H445" s="60" t="s">
        <v>202</v>
      </c>
      <c r="I445" s="60" t="s">
        <v>203</v>
      </c>
      <c r="J445" s="63" t="n">
        <v>1</v>
      </c>
      <c r="K445" s="61" t="str">
        <f aca="false">IF($P445=0,"",IF($F445="Baseline","— Baseline",IF($O445=0,"No result",IF($N445=0,"No Start (attainment only)",IF(OR($N445=1,$O445=1),"U – needs rule",INDEX(MxBody,MATCH($I445,MxCurr,0),MATCH($H445,MxStart,0)))))))</f>
        <v>Better</v>
      </c>
      <c r="L445" s="62" t="str">
        <f aca="false">IF(COUNTA($A445,$F445,$G445,$H445,$I445,$J445)=0,"",IF($M445=0,"✖ كود الصف غير موجود",IF(ISNA(MATCH($F445,Lists!$A$2:$A$5,0)),"✖ الفترة غير صحيحة",IF(ISNA(MATCH($G445,Lists!$B$2:$B$7,0)),"✖ المجموعة غير صحيحة",IF(NOT(OR($H445="",$N445&gt;0)),"✖ Start غير صحيح",IF(NOT(OR($I445="",$I445="NR",$O445&gt;0)),"✖ Current غير صحيح",IF(NOT(IF(ISNUMBER($J445),AND($J445&gt;=0,$J445=INT($J445)),FALSE())),"✖ العدد يجب أن يكون صحيحًا ≥ 0",IF(AND($F445="Baseline",$H445&lt;&gt;""),"⚠ Baseline: Start لا يدخل في التقدم",IF($K445="No Start (attainment only)","ℹ تحصيل فقط (بدون Start)",IF($K445="U – needs rule","ℹ حالة U تحتاج قاعدة معتمدة",IF($K445="No result","ℹ بدون نتيجة (يُستبعد من التحصيل)","OK")))))))))))</f>
        <v>OK</v>
      </c>
      <c r="M445" s="64" t="n">
        <f aca="false">IF($A445="",0,IFERROR(MATCH($A445,Classes!$A$6:$A$420,0),0))</f>
        <v>300</v>
      </c>
      <c r="N445" s="64" t="n">
        <f aca="false">IF($H445="",0,IFERROR(MATCH($H445,GradeList,0),0))</f>
        <v>7</v>
      </c>
      <c r="O445" s="64" t="n">
        <f aca="false">IF(OR($I445="",$I445="NR"),0,IFERROR(MATCH($I445,GradeList,0),0))</f>
        <v>8</v>
      </c>
      <c r="P445" s="64" t="n">
        <f aca="false">IF(AND($M445&gt;0,ISNUMBER(MATCH($F445,Lists!$A$2:$A$5,0)),ISNUMBER(MATCH($G445,Lists!$B$2:$B$7,0)),OR($H445="",$N445&gt;0),OR($I445="",$I445="NR",$O445&gt;0),IF(ISNUMBER($J445),AND($J445&gt;=0,$J445=INT($J445)),FALSE())),$J445,0)</f>
        <v>1</v>
      </c>
      <c r="Q445" s="64" t="n">
        <f aca="false">IF(AND($P445&gt;0,$O445&gt;0),$P445,0)</f>
        <v>1</v>
      </c>
      <c r="R445" s="64" t="n">
        <f aca="false">IF(AND($Q445&gt;0,$O445&gt;=AtRank),$Q445,0)</f>
        <v>1</v>
      </c>
      <c r="S445" s="64" t="n">
        <f aca="false">IF(AND($Q445&gt;0,$O445&gt;=AboveRank),$Q445,0)</f>
        <v>1</v>
      </c>
      <c r="T445" s="64" t="n">
        <f aca="false">IF($K445="Less",$P445,0)</f>
        <v>0</v>
      </c>
      <c r="U445" s="64" t="n">
        <f aca="false">IF($K445="Expected",$P445,0)</f>
        <v>0</v>
      </c>
      <c r="V445" s="64" t="n">
        <f aca="false">IF($K445="Better",$P445,0)</f>
        <v>1</v>
      </c>
      <c r="W445" s="64" t="n">
        <f aca="false">IF($K445="U – needs rule",$P445,0)</f>
        <v>0</v>
      </c>
      <c r="X445" s="64" t="n">
        <f aca="false">IF($K445="No Start (attainment only)",$P445,0)</f>
        <v>0</v>
      </c>
    </row>
    <row r="446" customFormat="false" ht="15" hidden="false" customHeight="false" outlineLevel="0" collapsed="false">
      <c r="A446" s="60" t="s">
        <v>797</v>
      </c>
      <c r="B446" s="61" t="str">
        <f aca="false">IF($M446=0,"",INDEX(Classes!$E$6:$E$420,$M446))</f>
        <v>Arabic A</v>
      </c>
      <c r="C446" s="62" t="str">
        <f aca="false">IF($M446=0,"",INDEX(Classes!$H$6:$H$420,$M446))</f>
        <v>Mr Elsaid A Eltantawi</v>
      </c>
      <c r="D446" s="61" t="str">
        <f aca="false">IF($M446=0,"",INDEX(Classes!$B$6:$B$420,$M446))</f>
        <v>Year 10</v>
      </c>
      <c r="E446" s="61" t="str">
        <f aca="false">IF($M446=0,"",INDEX(Classes!$C$6:$C$420,$M446))</f>
        <v>ip</v>
      </c>
      <c r="F446" s="63" t="s">
        <v>107</v>
      </c>
      <c r="G446" s="63" t="s">
        <v>1015</v>
      </c>
      <c r="H446" s="60" t="s">
        <v>202</v>
      </c>
      <c r="I446" s="60" t="s">
        <v>201</v>
      </c>
      <c r="J446" s="63" t="n">
        <v>1</v>
      </c>
      <c r="K446" s="61" t="str">
        <f aca="false">IF($P446=0,"",IF($F446="Baseline","— Baseline",IF($O446=0,"No result",IF($N446=0,"No Start (attainment only)",IF(OR($N446=1,$O446=1),"U – needs rule",INDEX(MxBody,MATCH($I446,MxCurr,0),MATCH($H446,MxStart,0)))))))</f>
        <v>Expected</v>
      </c>
      <c r="L446" s="62" t="str">
        <f aca="false">IF(COUNTA($A446,$F446,$G446,$H446,$I446,$J446)=0,"",IF($M446=0,"✖ كود الصف غير موجود",IF(ISNA(MATCH($F446,Lists!$A$2:$A$5,0)),"✖ الفترة غير صحيحة",IF(ISNA(MATCH($G446,Lists!$B$2:$B$7,0)),"✖ المجموعة غير صحيحة",IF(NOT(OR($H446="",$N446&gt;0)),"✖ Start غير صحيح",IF(NOT(OR($I446="",$I446="NR",$O446&gt;0)),"✖ Current غير صحيح",IF(NOT(IF(ISNUMBER($J446),AND($J446&gt;=0,$J446=INT($J446)),FALSE())),"✖ العدد يجب أن يكون صحيحًا ≥ 0",IF(AND($F446="Baseline",$H446&lt;&gt;""),"⚠ Baseline: Start لا يدخل في التقدم",IF($K446="No Start (attainment only)","ℹ تحصيل فقط (بدون Start)",IF($K446="U – needs rule","ℹ حالة U تحتاج قاعدة معتمدة",IF($K446="No result","ℹ بدون نتيجة (يُستبعد من التحصيل)","OK")))))))))))</f>
        <v>OK</v>
      </c>
      <c r="M446" s="64" t="n">
        <f aca="false">IF($A446="",0,IFERROR(MATCH($A446,Classes!$A$6:$A$420,0),0))</f>
        <v>300</v>
      </c>
      <c r="N446" s="64" t="n">
        <f aca="false">IF($H446="",0,IFERROR(MATCH($H446,GradeList,0),0))</f>
        <v>7</v>
      </c>
      <c r="O446" s="64" t="n">
        <f aca="false">IF(OR($I446="",$I446="NR"),0,IFERROR(MATCH($I446,GradeList,0),0))</f>
        <v>6</v>
      </c>
      <c r="P446" s="64" t="n">
        <f aca="false">IF(AND($M446&gt;0,ISNUMBER(MATCH($F446,Lists!$A$2:$A$5,0)),ISNUMBER(MATCH($G446,Lists!$B$2:$B$7,0)),OR($H446="",$N446&gt;0),OR($I446="",$I446="NR",$O446&gt;0),IF(ISNUMBER($J446),AND($J446&gt;=0,$J446=INT($J446)),FALSE())),$J446,0)</f>
        <v>1</v>
      </c>
      <c r="Q446" s="64" t="n">
        <f aca="false">IF(AND($P446&gt;0,$O446&gt;0),$P446,0)</f>
        <v>1</v>
      </c>
      <c r="R446" s="64" t="n">
        <f aca="false">IF(AND($Q446&gt;0,$O446&gt;=AtRank),$Q446,0)</f>
        <v>1</v>
      </c>
      <c r="S446" s="64" t="n">
        <f aca="false">IF(AND($Q446&gt;0,$O446&gt;=AboveRank),$Q446,0)</f>
        <v>0</v>
      </c>
      <c r="T446" s="64" t="n">
        <f aca="false">IF($K446="Less",$P446,0)</f>
        <v>0</v>
      </c>
      <c r="U446" s="64" t="n">
        <f aca="false">IF($K446="Expected",$P446,0)</f>
        <v>1</v>
      </c>
      <c r="V446" s="64" t="n">
        <f aca="false">IF($K446="Better",$P446,0)</f>
        <v>0</v>
      </c>
      <c r="W446" s="64" t="n">
        <f aca="false">IF($K446="U – needs rule",$P446,0)</f>
        <v>0</v>
      </c>
      <c r="X446" s="64" t="n">
        <f aca="false">IF($K446="No Start (attainment only)",$P446,0)</f>
        <v>0</v>
      </c>
    </row>
    <row r="447" customFormat="false" ht="15" hidden="false" customHeight="false" outlineLevel="0" collapsed="false">
      <c r="A447" s="60" t="s">
        <v>797</v>
      </c>
      <c r="B447" s="61" t="str">
        <f aca="false">IF($M447=0,"",INDEX(Classes!$E$6:$E$420,$M447))</f>
        <v>Arabic A</v>
      </c>
      <c r="C447" s="62" t="str">
        <f aca="false">IF($M447=0,"",INDEX(Classes!$H$6:$H$420,$M447))</f>
        <v>Mr Elsaid A Eltantawi</v>
      </c>
      <c r="D447" s="61" t="str">
        <f aca="false">IF($M447=0,"",INDEX(Classes!$B$6:$B$420,$M447))</f>
        <v>Year 10</v>
      </c>
      <c r="E447" s="61" t="str">
        <f aca="false">IF($M447=0,"",INDEX(Classes!$C$6:$C$420,$M447))</f>
        <v>ip</v>
      </c>
      <c r="F447" s="63" t="s">
        <v>107</v>
      </c>
      <c r="G447" s="63" t="s">
        <v>1015</v>
      </c>
      <c r="H447" s="60" t="s">
        <v>203</v>
      </c>
      <c r="I447" s="60" t="s">
        <v>204</v>
      </c>
      <c r="J447" s="63" t="n">
        <v>1</v>
      </c>
      <c r="K447" s="61" t="str">
        <f aca="false">IF($P447=0,"",IF($F447="Baseline","— Baseline",IF($O447=0,"No result",IF($N447=0,"No Start (attainment only)",IF(OR($N447=1,$O447=1),"U – needs rule",INDEX(MxBody,MATCH($I447,MxCurr,0),MATCH($H447,MxStart,0)))))))</f>
        <v>Better</v>
      </c>
      <c r="L447" s="62" t="str">
        <f aca="false">IF(COUNTA($A447,$F447,$G447,$H447,$I447,$J447)=0,"",IF($M447=0,"✖ كود الصف غير موجود",IF(ISNA(MATCH($F447,Lists!$A$2:$A$5,0)),"✖ الفترة غير صحيحة",IF(ISNA(MATCH($G447,Lists!$B$2:$B$7,0)),"✖ المجموعة غير صحيحة",IF(NOT(OR($H447="",$N447&gt;0)),"✖ Start غير صحيح",IF(NOT(OR($I447="",$I447="NR",$O447&gt;0)),"✖ Current غير صحيح",IF(NOT(IF(ISNUMBER($J447),AND($J447&gt;=0,$J447=INT($J447)),FALSE())),"✖ العدد يجب أن يكون صحيحًا ≥ 0",IF(AND($F447="Baseline",$H447&lt;&gt;""),"⚠ Baseline: Start لا يدخل في التقدم",IF($K447="No Start (attainment only)","ℹ تحصيل فقط (بدون Start)",IF($K447="U – needs rule","ℹ حالة U تحتاج قاعدة معتمدة",IF($K447="No result","ℹ بدون نتيجة (يُستبعد من التحصيل)","OK")))))))))))</f>
        <v>OK</v>
      </c>
      <c r="M447" s="64" t="n">
        <f aca="false">IF($A447="",0,IFERROR(MATCH($A447,Classes!$A$6:$A$420,0),0))</f>
        <v>300</v>
      </c>
      <c r="N447" s="64" t="n">
        <f aca="false">IF($H447="",0,IFERROR(MATCH($H447,GradeList,0),0))</f>
        <v>8</v>
      </c>
      <c r="O447" s="64" t="n">
        <f aca="false">IF(OR($I447="",$I447="NR"),0,IFERROR(MATCH($I447,GradeList,0),0))</f>
        <v>9</v>
      </c>
      <c r="P447" s="64" t="n">
        <f aca="false">IF(AND($M447&gt;0,ISNUMBER(MATCH($F447,Lists!$A$2:$A$5,0)),ISNUMBER(MATCH($G447,Lists!$B$2:$B$7,0)),OR($H447="",$N447&gt;0),OR($I447="",$I447="NR",$O447&gt;0),IF(ISNUMBER($J447),AND($J447&gt;=0,$J447=INT($J447)),FALSE())),$J447,0)</f>
        <v>1</v>
      </c>
      <c r="Q447" s="64" t="n">
        <f aca="false">IF(AND($P447&gt;0,$O447&gt;0),$P447,0)</f>
        <v>1</v>
      </c>
      <c r="R447" s="64" t="n">
        <f aca="false">IF(AND($Q447&gt;0,$O447&gt;=AtRank),$Q447,0)</f>
        <v>1</v>
      </c>
      <c r="S447" s="64" t="n">
        <f aca="false">IF(AND($Q447&gt;0,$O447&gt;=AboveRank),$Q447,0)</f>
        <v>1</v>
      </c>
      <c r="T447" s="64" t="n">
        <f aca="false">IF($K447="Less",$P447,0)</f>
        <v>0</v>
      </c>
      <c r="U447" s="64" t="n">
        <f aca="false">IF($K447="Expected",$P447,0)</f>
        <v>0</v>
      </c>
      <c r="V447" s="64" t="n">
        <f aca="false">IF($K447="Better",$P447,0)</f>
        <v>1</v>
      </c>
      <c r="W447" s="64" t="n">
        <f aca="false">IF($K447="U – needs rule",$P447,0)</f>
        <v>0</v>
      </c>
      <c r="X447" s="64" t="n">
        <f aca="false">IF($K447="No Start (attainment only)",$P447,0)</f>
        <v>0</v>
      </c>
    </row>
    <row r="448" customFormat="false" ht="15" hidden="false" customHeight="false" outlineLevel="0" collapsed="false">
      <c r="A448" s="60" t="s">
        <v>797</v>
      </c>
      <c r="B448" s="61" t="str">
        <f aca="false">IF($M448=0,"",INDEX(Classes!$E$6:$E$420,$M448))</f>
        <v>Arabic A</v>
      </c>
      <c r="C448" s="62" t="str">
        <f aca="false">IF($M448=0,"",INDEX(Classes!$H$6:$H$420,$M448))</f>
        <v>Mr Elsaid A Eltantawi</v>
      </c>
      <c r="D448" s="61" t="str">
        <f aca="false">IF($M448=0,"",INDEX(Classes!$B$6:$B$420,$M448))</f>
        <v>Year 10</v>
      </c>
      <c r="E448" s="61" t="str">
        <f aca="false">IF($M448=0,"",INDEX(Classes!$C$6:$C$420,$M448))</f>
        <v>ip</v>
      </c>
      <c r="F448" s="63" t="s">
        <v>107</v>
      </c>
      <c r="G448" s="63" t="s">
        <v>1015</v>
      </c>
      <c r="H448" s="60" t="s">
        <v>200</v>
      </c>
      <c r="I448" s="60" t="s">
        <v>201</v>
      </c>
      <c r="J448" s="63" t="n">
        <v>1</v>
      </c>
      <c r="K448" s="61" t="str">
        <f aca="false">IF($P448=0,"",IF($F448="Baseline","— Baseline",IF($O448=0,"No result",IF($N448=0,"No Start (attainment only)",IF(OR($N448=1,$O448=1),"U – needs rule",INDEX(MxBody,MATCH($I448,MxCurr,0),MATCH($H448,MxStart,0)))))))</f>
        <v>Better</v>
      </c>
      <c r="L448" s="62" t="str">
        <f aca="false">IF(COUNTA($A448,$F448,$G448,$H448,$I448,$J448)=0,"",IF($M448=0,"✖ كود الصف غير موجود",IF(ISNA(MATCH($F448,Lists!$A$2:$A$5,0)),"✖ الفترة غير صحيحة",IF(ISNA(MATCH($G448,Lists!$B$2:$B$7,0)),"✖ المجموعة غير صحيحة",IF(NOT(OR($H448="",$N448&gt;0)),"✖ Start غير صحيح",IF(NOT(OR($I448="",$I448="NR",$O448&gt;0)),"✖ Current غير صحيح",IF(NOT(IF(ISNUMBER($J448),AND($J448&gt;=0,$J448=INT($J448)),FALSE())),"✖ العدد يجب أن يكون صحيحًا ≥ 0",IF(AND($F448="Baseline",$H448&lt;&gt;""),"⚠ Baseline: Start لا يدخل في التقدم",IF($K448="No Start (attainment only)","ℹ تحصيل فقط (بدون Start)",IF($K448="U – needs rule","ℹ حالة U تحتاج قاعدة معتمدة",IF($K448="No result","ℹ بدون نتيجة (يُستبعد من التحصيل)","OK")))))))))))</f>
        <v>OK</v>
      </c>
      <c r="M448" s="64" t="n">
        <f aca="false">IF($A448="",0,IFERROR(MATCH($A448,Classes!$A$6:$A$420,0),0))</f>
        <v>300</v>
      </c>
      <c r="N448" s="64" t="n">
        <f aca="false">IF($H448="",0,IFERROR(MATCH($H448,GradeList,0),0))</f>
        <v>5</v>
      </c>
      <c r="O448" s="64" t="n">
        <f aca="false">IF(OR($I448="",$I448="NR"),0,IFERROR(MATCH($I448,GradeList,0),0))</f>
        <v>6</v>
      </c>
      <c r="P448" s="64" t="n">
        <f aca="false">IF(AND($M448&gt;0,ISNUMBER(MATCH($F448,Lists!$A$2:$A$5,0)),ISNUMBER(MATCH($G448,Lists!$B$2:$B$7,0)),OR($H448="",$N448&gt;0),OR($I448="",$I448="NR",$O448&gt;0),IF(ISNUMBER($J448),AND($J448&gt;=0,$J448=INT($J448)),FALSE())),$J448,0)</f>
        <v>1</v>
      </c>
      <c r="Q448" s="64" t="n">
        <f aca="false">IF(AND($P448&gt;0,$O448&gt;0),$P448,0)</f>
        <v>1</v>
      </c>
      <c r="R448" s="64" t="n">
        <f aca="false">IF(AND($Q448&gt;0,$O448&gt;=AtRank),$Q448,0)</f>
        <v>1</v>
      </c>
      <c r="S448" s="64" t="n">
        <f aca="false">IF(AND($Q448&gt;0,$O448&gt;=AboveRank),$Q448,0)</f>
        <v>0</v>
      </c>
      <c r="T448" s="64" t="n">
        <f aca="false">IF($K448="Less",$P448,0)</f>
        <v>0</v>
      </c>
      <c r="U448" s="64" t="n">
        <f aca="false">IF($K448="Expected",$P448,0)</f>
        <v>0</v>
      </c>
      <c r="V448" s="64" t="n">
        <f aca="false">IF($K448="Better",$P448,0)</f>
        <v>1</v>
      </c>
      <c r="W448" s="64" t="n">
        <f aca="false">IF($K448="U – needs rule",$P448,0)</f>
        <v>0</v>
      </c>
      <c r="X448" s="64" t="n">
        <f aca="false">IF($K448="No Start (attainment only)",$P448,0)</f>
        <v>0</v>
      </c>
    </row>
    <row r="449" customFormat="false" ht="15" hidden="false" customHeight="false" outlineLevel="0" collapsed="false">
      <c r="A449" s="60" t="s">
        <v>797</v>
      </c>
      <c r="B449" s="61" t="str">
        <f aca="false">IF($M449=0,"",INDEX(Classes!$E$6:$E$420,$M449))</f>
        <v>Arabic A</v>
      </c>
      <c r="C449" s="62" t="str">
        <f aca="false">IF($M449=0,"",INDEX(Classes!$H$6:$H$420,$M449))</f>
        <v>Mr Elsaid A Eltantawi</v>
      </c>
      <c r="D449" s="61" t="str">
        <f aca="false">IF($M449=0,"",INDEX(Classes!$B$6:$B$420,$M449))</f>
        <v>Year 10</v>
      </c>
      <c r="E449" s="61" t="str">
        <f aca="false">IF($M449=0,"",INDEX(Classes!$C$6:$C$420,$M449))</f>
        <v>ip</v>
      </c>
      <c r="F449" s="63" t="s">
        <v>107</v>
      </c>
      <c r="G449" s="63" t="s">
        <v>1015</v>
      </c>
      <c r="H449" s="60" t="s">
        <v>200</v>
      </c>
      <c r="I449" s="60" t="s">
        <v>196</v>
      </c>
      <c r="J449" s="63" t="n">
        <v>1</v>
      </c>
      <c r="K449" s="61" t="str">
        <f aca="false">IF($P449=0,"",IF($F449="Baseline","— Baseline",IF($O449=0,"No result",IF($N449=0,"No Start (attainment only)",IF(OR($N449=1,$O449=1),"U – needs rule",INDEX(MxBody,MATCH($I449,MxCurr,0),MATCH($H449,MxStart,0)))))))</f>
        <v>U – needs rule</v>
      </c>
      <c r="L449" s="62" t="str">
        <f aca="false">IF(COUNTA($A449,$F449,$G449,$H449,$I449,$J449)=0,"",IF($M449=0,"✖ كود الصف غير موجود",IF(ISNA(MATCH($F449,Lists!$A$2:$A$5,0)),"✖ الفترة غير صحيحة",IF(ISNA(MATCH($G449,Lists!$B$2:$B$7,0)),"✖ المجموعة غير صحيحة",IF(NOT(OR($H449="",$N449&gt;0)),"✖ Start غير صحيح",IF(NOT(OR($I449="",$I449="NR",$O449&gt;0)),"✖ Current غير صحيح",IF(NOT(IF(ISNUMBER($J449),AND($J449&gt;=0,$J449=INT($J449)),FALSE())),"✖ العدد يجب أن يكون صحيحًا ≥ 0",IF(AND($F449="Baseline",$H449&lt;&gt;""),"⚠ Baseline: Start لا يدخل في التقدم",IF($K449="No Start (attainment only)","ℹ تحصيل فقط (بدون Start)",IF($K449="U – needs rule","ℹ حالة U تحتاج قاعدة معتمدة",IF($K449="No result","ℹ بدون نتيجة (يُستبعد من التحصيل)","OK")))))))))))</f>
        <v>ℹ حالة U تحتاج قاعدة معتمدة</v>
      </c>
      <c r="M449" s="64" t="n">
        <f aca="false">IF($A449="",0,IFERROR(MATCH($A449,Classes!$A$6:$A$420,0),0))</f>
        <v>300</v>
      </c>
      <c r="N449" s="64" t="n">
        <f aca="false">IF($H449="",0,IFERROR(MATCH($H449,GradeList,0),0))</f>
        <v>5</v>
      </c>
      <c r="O449" s="64" t="n">
        <f aca="false">IF(OR($I449="",$I449="NR"),0,IFERROR(MATCH($I449,GradeList,0),0))</f>
        <v>1</v>
      </c>
      <c r="P449" s="64" t="n">
        <f aca="false">IF(AND($M449&gt;0,ISNUMBER(MATCH($F449,Lists!$A$2:$A$5,0)),ISNUMBER(MATCH($G449,Lists!$B$2:$B$7,0)),OR($H449="",$N449&gt;0),OR($I449="",$I449="NR",$O449&gt;0),IF(ISNUMBER($J449),AND($J449&gt;=0,$J449=INT($J449)),FALSE())),$J449,0)</f>
        <v>1</v>
      </c>
      <c r="Q449" s="64" t="n">
        <f aca="false">IF(AND($P449&gt;0,$O449&gt;0),$P449,0)</f>
        <v>1</v>
      </c>
      <c r="R449" s="64" t="n">
        <f aca="false">IF(AND($Q449&gt;0,$O449&gt;=AtRank),$Q449,0)</f>
        <v>0</v>
      </c>
      <c r="S449" s="64" t="n">
        <f aca="false">IF(AND($Q449&gt;0,$O449&gt;=AboveRank),$Q449,0)</f>
        <v>0</v>
      </c>
      <c r="T449" s="64" t="n">
        <f aca="false">IF($K449="Less",$P449,0)</f>
        <v>0</v>
      </c>
      <c r="U449" s="64" t="n">
        <f aca="false">IF($K449="Expected",$P449,0)</f>
        <v>0</v>
      </c>
      <c r="V449" s="64" t="n">
        <f aca="false">IF($K449="Better",$P449,0)</f>
        <v>0</v>
      </c>
      <c r="W449" s="64" t="n">
        <f aca="false">IF($K449="U – needs rule",$P449,0)</f>
        <v>1</v>
      </c>
      <c r="X449" s="64" t="n">
        <f aca="false">IF($K449="No Start (attainment only)",$P449,0)</f>
        <v>0</v>
      </c>
    </row>
    <row r="450" customFormat="false" ht="15" hidden="false" customHeight="false" outlineLevel="0" collapsed="false">
      <c r="A450" s="60" t="s">
        <v>797</v>
      </c>
      <c r="B450" s="61" t="str">
        <f aca="false">IF($M450=0,"",INDEX(Classes!$E$6:$E$420,$M450))</f>
        <v>Arabic A</v>
      </c>
      <c r="C450" s="62" t="str">
        <f aca="false">IF($M450=0,"",INDEX(Classes!$H$6:$H$420,$M450))</f>
        <v>Mr Elsaid A Eltantawi</v>
      </c>
      <c r="D450" s="61" t="str">
        <f aca="false">IF($M450=0,"",INDEX(Classes!$B$6:$B$420,$M450))</f>
        <v>Year 10</v>
      </c>
      <c r="E450" s="61" t="str">
        <f aca="false">IF($M450=0,"",INDEX(Classes!$C$6:$C$420,$M450))</f>
        <v>ip</v>
      </c>
      <c r="F450" s="63" t="s">
        <v>107</v>
      </c>
      <c r="G450" s="63" t="s">
        <v>1015</v>
      </c>
      <c r="H450" s="60" t="s">
        <v>201</v>
      </c>
      <c r="I450" s="60" t="s">
        <v>203</v>
      </c>
      <c r="J450" s="63" t="n">
        <v>1</v>
      </c>
      <c r="K450" s="61" t="str">
        <f aca="false">IF($P450=0,"",IF($F450="Baseline","— Baseline",IF($O450=0,"No result",IF($N450=0,"No Start (attainment only)",IF(OR($N450=1,$O450=1),"U – needs rule",INDEX(MxBody,MATCH($I450,MxCurr,0),MATCH($H450,MxStart,0)))))))</f>
        <v>Better</v>
      </c>
      <c r="L450" s="62" t="str">
        <f aca="false">IF(COUNTA($A450,$F450,$G450,$H450,$I450,$J450)=0,"",IF($M450=0,"✖ كود الصف غير موجود",IF(ISNA(MATCH($F450,Lists!$A$2:$A$5,0)),"✖ الفترة غير صحيحة",IF(ISNA(MATCH($G450,Lists!$B$2:$B$7,0)),"✖ المجموعة غير صحيحة",IF(NOT(OR($H450="",$N450&gt;0)),"✖ Start غير صحيح",IF(NOT(OR($I450="",$I450="NR",$O450&gt;0)),"✖ Current غير صحيح",IF(NOT(IF(ISNUMBER($J450),AND($J450&gt;=0,$J450=INT($J450)),FALSE())),"✖ العدد يجب أن يكون صحيحًا ≥ 0",IF(AND($F450="Baseline",$H450&lt;&gt;""),"⚠ Baseline: Start لا يدخل في التقدم",IF($K450="No Start (attainment only)","ℹ تحصيل فقط (بدون Start)",IF($K450="U – needs rule","ℹ حالة U تحتاج قاعدة معتمدة",IF($K450="No result","ℹ بدون نتيجة (يُستبعد من التحصيل)","OK")))))))))))</f>
        <v>OK</v>
      </c>
      <c r="M450" s="64" t="n">
        <f aca="false">IF($A450="",0,IFERROR(MATCH($A450,Classes!$A$6:$A$420,0),0))</f>
        <v>300</v>
      </c>
      <c r="N450" s="64" t="n">
        <f aca="false">IF($H450="",0,IFERROR(MATCH($H450,GradeList,0),0))</f>
        <v>6</v>
      </c>
      <c r="O450" s="64" t="n">
        <f aca="false">IF(OR($I450="",$I450="NR"),0,IFERROR(MATCH($I450,GradeList,0),0))</f>
        <v>8</v>
      </c>
      <c r="P450" s="64" t="n">
        <f aca="false">IF(AND($M450&gt;0,ISNUMBER(MATCH($F450,Lists!$A$2:$A$5,0)),ISNUMBER(MATCH($G450,Lists!$B$2:$B$7,0)),OR($H450="",$N450&gt;0),OR($I450="",$I450="NR",$O450&gt;0),IF(ISNUMBER($J450),AND($J450&gt;=0,$J450=INT($J450)),FALSE())),$J450,0)</f>
        <v>1</v>
      </c>
      <c r="Q450" s="64" t="n">
        <f aca="false">IF(AND($P450&gt;0,$O450&gt;0),$P450,0)</f>
        <v>1</v>
      </c>
      <c r="R450" s="64" t="n">
        <f aca="false">IF(AND($Q450&gt;0,$O450&gt;=AtRank),$Q450,0)</f>
        <v>1</v>
      </c>
      <c r="S450" s="64" t="n">
        <f aca="false">IF(AND($Q450&gt;0,$O450&gt;=AboveRank),$Q450,0)</f>
        <v>1</v>
      </c>
      <c r="T450" s="64" t="n">
        <f aca="false">IF($K450="Less",$P450,0)</f>
        <v>0</v>
      </c>
      <c r="U450" s="64" t="n">
        <f aca="false">IF($K450="Expected",$P450,0)</f>
        <v>0</v>
      </c>
      <c r="V450" s="64" t="n">
        <f aca="false">IF($K450="Better",$P450,0)</f>
        <v>1</v>
      </c>
      <c r="W450" s="64" t="n">
        <f aca="false">IF($K450="U – needs rule",$P450,0)</f>
        <v>0</v>
      </c>
      <c r="X450" s="64" t="n">
        <f aca="false">IF($K450="No Start (attainment only)",$P450,0)</f>
        <v>0</v>
      </c>
    </row>
    <row r="451" customFormat="false" ht="15" hidden="false" customHeight="false" outlineLevel="0" collapsed="false">
      <c r="A451" s="60" t="s">
        <v>797</v>
      </c>
      <c r="B451" s="61" t="str">
        <f aca="false">IF($M451=0,"",INDEX(Classes!$E$6:$E$420,$M451))</f>
        <v>Arabic A</v>
      </c>
      <c r="C451" s="62" t="str">
        <f aca="false">IF($M451=0,"",INDEX(Classes!$H$6:$H$420,$M451))</f>
        <v>Mr Elsaid A Eltantawi</v>
      </c>
      <c r="D451" s="61" t="str">
        <f aca="false">IF($M451=0,"",INDEX(Classes!$B$6:$B$420,$M451))</f>
        <v>Year 10</v>
      </c>
      <c r="E451" s="61" t="str">
        <f aca="false">IF($M451=0,"",INDEX(Classes!$C$6:$C$420,$M451))</f>
        <v>ip</v>
      </c>
      <c r="F451" s="63" t="s">
        <v>107</v>
      </c>
      <c r="G451" s="63" t="s">
        <v>1015</v>
      </c>
      <c r="H451" s="60" t="s">
        <v>201</v>
      </c>
      <c r="I451" s="60" t="s">
        <v>201</v>
      </c>
      <c r="J451" s="63" t="n">
        <v>1</v>
      </c>
      <c r="K451" s="61" t="str">
        <f aca="false">IF($P451=0,"",IF($F451="Baseline","— Baseline",IF($O451=0,"No result",IF($N451=0,"No Start (attainment only)",IF(OR($N451=1,$O451=1),"U – needs rule",INDEX(MxBody,MATCH($I451,MxCurr,0),MATCH($H451,MxStart,0)))))))</f>
        <v>Expected</v>
      </c>
      <c r="L451" s="62" t="str">
        <f aca="false">IF(COUNTA($A451,$F451,$G451,$H451,$I451,$J451)=0,"",IF($M451=0,"✖ كود الصف غير موجود",IF(ISNA(MATCH($F451,Lists!$A$2:$A$5,0)),"✖ الفترة غير صحيحة",IF(ISNA(MATCH($G451,Lists!$B$2:$B$7,0)),"✖ المجموعة غير صحيحة",IF(NOT(OR($H451="",$N451&gt;0)),"✖ Start غير صحيح",IF(NOT(OR($I451="",$I451="NR",$O451&gt;0)),"✖ Current غير صحيح",IF(NOT(IF(ISNUMBER($J451),AND($J451&gt;=0,$J451=INT($J451)),FALSE())),"✖ العدد يجب أن يكون صحيحًا ≥ 0",IF(AND($F451="Baseline",$H451&lt;&gt;""),"⚠ Baseline: Start لا يدخل في التقدم",IF($K451="No Start (attainment only)","ℹ تحصيل فقط (بدون Start)",IF($K451="U – needs rule","ℹ حالة U تحتاج قاعدة معتمدة",IF($K451="No result","ℹ بدون نتيجة (يُستبعد من التحصيل)","OK")))))))))))</f>
        <v>OK</v>
      </c>
      <c r="M451" s="64" t="n">
        <f aca="false">IF($A451="",0,IFERROR(MATCH($A451,Classes!$A$6:$A$420,0),0))</f>
        <v>300</v>
      </c>
      <c r="N451" s="64" t="n">
        <f aca="false">IF($H451="",0,IFERROR(MATCH($H451,GradeList,0),0))</f>
        <v>6</v>
      </c>
      <c r="O451" s="64" t="n">
        <f aca="false">IF(OR($I451="",$I451="NR"),0,IFERROR(MATCH($I451,GradeList,0),0))</f>
        <v>6</v>
      </c>
      <c r="P451" s="64" t="n">
        <f aca="false">IF(AND($M451&gt;0,ISNUMBER(MATCH($F451,Lists!$A$2:$A$5,0)),ISNUMBER(MATCH($G451,Lists!$B$2:$B$7,0)),OR($H451="",$N451&gt;0),OR($I451="",$I451="NR",$O451&gt;0),IF(ISNUMBER($J451),AND($J451&gt;=0,$J451=INT($J451)),FALSE())),$J451,0)</f>
        <v>1</v>
      </c>
      <c r="Q451" s="64" t="n">
        <f aca="false">IF(AND($P451&gt;0,$O451&gt;0),$P451,0)</f>
        <v>1</v>
      </c>
      <c r="R451" s="64" t="n">
        <f aca="false">IF(AND($Q451&gt;0,$O451&gt;=AtRank),$Q451,0)</f>
        <v>1</v>
      </c>
      <c r="S451" s="64" t="n">
        <f aca="false">IF(AND($Q451&gt;0,$O451&gt;=AboveRank),$Q451,0)</f>
        <v>0</v>
      </c>
      <c r="T451" s="64" t="n">
        <f aca="false">IF($K451="Less",$P451,0)</f>
        <v>0</v>
      </c>
      <c r="U451" s="64" t="n">
        <f aca="false">IF($K451="Expected",$P451,0)</f>
        <v>1</v>
      </c>
      <c r="V451" s="64" t="n">
        <f aca="false">IF($K451="Better",$P451,0)</f>
        <v>0</v>
      </c>
      <c r="W451" s="64" t="n">
        <f aca="false">IF($K451="U – needs rule",$P451,0)</f>
        <v>0</v>
      </c>
      <c r="X451" s="64" t="n">
        <f aca="false">IF($K451="No Start (attainment only)",$P451,0)</f>
        <v>0</v>
      </c>
    </row>
    <row r="452" customFormat="false" ht="15" hidden="false" customHeight="false" outlineLevel="0" collapsed="false">
      <c r="A452" s="60" t="s">
        <v>797</v>
      </c>
      <c r="B452" s="61" t="str">
        <f aca="false">IF($M452=0,"",INDEX(Classes!$E$6:$E$420,$M452))</f>
        <v>Arabic A</v>
      </c>
      <c r="C452" s="62" t="str">
        <f aca="false">IF($M452=0,"",INDEX(Classes!$H$6:$H$420,$M452))</f>
        <v>Mr Elsaid A Eltantawi</v>
      </c>
      <c r="D452" s="61" t="str">
        <f aca="false">IF($M452=0,"",INDEX(Classes!$B$6:$B$420,$M452))</f>
        <v>Year 10</v>
      </c>
      <c r="E452" s="61" t="str">
        <f aca="false">IF($M452=0,"",INDEX(Classes!$C$6:$C$420,$M452))</f>
        <v>ip</v>
      </c>
      <c r="F452" s="63" t="s">
        <v>107</v>
      </c>
      <c r="G452" s="63" t="s">
        <v>1016</v>
      </c>
      <c r="H452" s="60"/>
      <c r="I452" s="60" t="s">
        <v>201</v>
      </c>
      <c r="J452" s="63" t="n">
        <v>1</v>
      </c>
      <c r="K452" s="61" t="str">
        <f aca="false">IF($P452=0,"",IF($F452="Baseline","— Baseline",IF($O452=0,"No result",IF($N452=0,"No Start (attainment only)",IF(OR($N452=1,$O452=1),"U – needs rule",INDEX(MxBody,MATCH($I452,MxCurr,0),MATCH($H452,MxStart,0)))))))</f>
        <v>No Start (attainment only)</v>
      </c>
      <c r="L452" s="62" t="str">
        <f aca="false">IF(COUNTA($A452,$F452,$G452,$H452,$I452,$J452)=0,"",IF($M452=0,"✖ كود الصف غير موجود",IF(ISNA(MATCH($F452,Lists!$A$2:$A$5,0)),"✖ الفترة غير صحيحة",IF(ISNA(MATCH($G452,Lists!$B$2:$B$7,0)),"✖ المجموعة غير صحيحة",IF(NOT(OR($H452="",$N452&gt;0)),"✖ Start غير صحيح",IF(NOT(OR($I452="",$I452="NR",$O452&gt;0)),"✖ Current غير صحيح",IF(NOT(IF(ISNUMBER($J452),AND($J452&gt;=0,$J452=INT($J452)),FALSE())),"✖ العدد يجب أن يكون صحيحًا ≥ 0",IF(AND($F452="Baseline",$H452&lt;&gt;""),"⚠ Baseline: Start لا يدخل في التقدم",IF($K452="No Start (attainment only)","ℹ تحصيل فقط (بدون Start)",IF($K452="U – needs rule","ℹ حالة U تحتاج قاعدة معتمدة",IF($K452="No result","ℹ بدون نتيجة (يُستبعد من التحصيل)","OK")))))))))))</f>
        <v>ℹ تحصيل فقط (بدون Start)</v>
      </c>
      <c r="M452" s="64" t="n">
        <f aca="false">IF($A452="",0,IFERROR(MATCH($A452,Classes!$A$6:$A$420,0),0))</f>
        <v>300</v>
      </c>
      <c r="N452" s="64" t="n">
        <f aca="false">IF($H452="",0,IFERROR(MATCH($H452,GradeList,0),0))</f>
        <v>0</v>
      </c>
      <c r="O452" s="64" t="n">
        <f aca="false">IF(OR($I452="",$I452="NR"),0,IFERROR(MATCH($I452,GradeList,0),0))</f>
        <v>6</v>
      </c>
      <c r="P452" s="64" t="n">
        <f aca="false">IF(AND($M452&gt;0,ISNUMBER(MATCH($F452,Lists!$A$2:$A$5,0)),ISNUMBER(MATCH($G452,Lists!$B$2:$B$7,0)),OR($H452="",$N452&gt;0),OR($I452="",$I452="NR",$O452&gt;0),IF(ISNUMBER($J452),AND($J452&gt;=0,$J452=INT($J452)),FALSE())),$J452,0)</f>
        <v>1</v>
      </c>
      <c r="Q452" s="64" t="n">
        <f aca="false">IF(AND($P452&gt;0,$O452&gt;0),$P452,0)</f>
        <v>1</v>
      </c>
      <c r="R452" s="64" t="n">
        <f aca="false">IF(AND($Q452&gt;0,$O452&gt;=AtRank),$Q452,0)</f>
        <v>1</v>
      </c>
      <c r="S452" s="64" t="n">
        <f aca="false">IF(AND($Q452&gt;0,$O452&gt;=AboveRank),$Q452,0)</f>
        <v>0</v>
      </c>
      <c r="T452" s="64" t="n">
        <f aca="false">IF($K452="Less",$P452,0)</f>
        <v>0</v>
      </c>
      <c r="U452" s="64" t="n">
        <f aca="false">IF($K452="Expected",$P452,0)</f>
        <v>0</v>
      </c>
      <c r="V452" s="64" t="n">
        <f aca="false">IF($K452="Better",$P452,0)</f>
        <v>0</v>
      </c>
      <c r="W452" s="64" t="n">
        <f aca="false">IF($K452="U – needs rule",$P452,0)</f>
        <v>0</v>
      </c>
      <c r="X452" s="64" t="n">
        <f aca="false">IF($K452="No Start (attainment only)",$P452,0)</f>
        <v>1</v>
      </c>
    </row>
    <row r="453" customFormat="false" ht="15" hidden="false" customHeight="false" outlineLevel="0" collapsed="false">
      <c r="A453" s="60" t="s">
        <v>797</v>
      </c>
      <c r="B453" s="61" t="str">
        <f aca="false">IF($M453=0,"",INDEX(Classes!$E$6:$E$420,$M453))</f>
        <v>Arabic A</v>
      </c>
      <c r="C453" s="62" t="str">
        <f aca="false">IF($M453=0,"",INDEX(Classes!$H$6:$H$420,$M453))</f>
        <v>Mr Elsaid A Eltantawi</v>
      </c>
      <c r="D453" s="61" t="str">
        <f aca="false">IF($M453=0,"",INDEX(Classes!$B$6:$B$420,$M453))</f>
        <v>Year 10</v>
      </c>
      <c r="E453" s="61" t="str">
        <f aca="false">IF($M453=0,"",INDEX(Classes!$C$6:$C$420,$M453))</f>
        <v>ip</v>
      </c>
      <c r="F453" s="63" t="s">
        <v>107</v>
      </c>
      <c r="G453" s="63" t="s">
        <v>1016</v>
      </c>
      <c r="H453" s="60" t="s">
        <v>202</v>
      </c>
      <c r="I453" s="60" t="s">
        <v>203</v>
      </c>
      <c r="J453" s="63" t="n">
        <v>1</v>
      </c>
      <c r="K453" s="61" t="str">
        <f aca="false">IF($P453=0,"",IF($F453="Baseline","— Baseline",IF($O453=0,"No result",IF($N453=0,"No Start (attainment only)",IF(OR($N453=1,$O453=1),"U – needs rule",INDEX(MxBody,MATCH($I453,MxCurr,0),MATCH($H453,MxStart,0)))))))</f>
        <v>Better</v>
      </c>
      <c r="L453" s="62" t="str">
        <f aca="false">IF(COUNTA($A453,$F453,$G453,$H453,$I453,$J453)=0,"",IF($M453=0,"✖ كود الصف غير موجود",IF(ISNA(MATCH($F453,Lists!$A$2:$A$5,0)),"✖ الفترة غير صحيحة",IF(ISNA(MATCH($G453,Lists!$B$2:$B$7,0)),"✖ المجموعة غير صحيحة",IF(NOT(OR($H453="",$N453&gt;0)),"✖ Start غير صحيح",IF(NOT(OR($I453="",$I453="NR",$O453&gt;0)),"✖ Current غير صحيح",IF(NOT(IF(ISNUMBER($J453),AND($J453&gt;=0,$J453=INT($J453)),FALSE())),"✖ العدد يجب أن يكون صحيحًا ≥ 0",IF(AND($F453="Baseline",$H453&lt;&gt;""),"⚠ Baseline: Start لا يدخل في التقدم",IF($K453="No Start (attainment only)","ℹ تحصيل فقط (بدون Start)",IF($K453="U – needs rule","ℹ حالة U تحتاج قاعدة معتمدة",IF($K453="No result","ℹ بدون نتيجة (يُستبعد من التحصيل)","OK")))))))))))</f>
        <v>OK</v>
      </c>
      <c r="M453" s="64" t="n">
        <f aca="false">IF($A453="",0,IFERROR(MATCH($A453,Classes!$A$6:$A$420,0),0))</f>
        <v>300</v>
      </c>
      <c r="N453" s="64" t="n">
        <f aca="false">IF($H453="",0,IFERROR(MATCH($H453,GradeList,0),0))</f>
        <v>7</v>
      </c>
      <c r="O453" s="64" t="n">
        <f aca="false">IF(OR($I453="",$I453="NR"),0,IFERROR(MATCH($I453,GradeList,0),0))</f>
        <v>8</v>
      </c>
      <c r="P453" s="64" t="n">
        <f aca="false">IF(AND($M453&gt;0,ISNUMBER(MATCH($F453,Lists!$A$2:$A$5,0)),ISNUMBER(MATCH($G453,Lists!$B$2:$B$7,0)),OR($H453="",$N453&gt;0),OR($I453="",$I453="NR",$O453&gt;0),IF(ISNUMBER($J453),AND($J453&gt;=0,$J453=INT($J453)),FALSE())),$J453,0)</f>
        <v>1</v>
      </c>
      <c r="Q453" s="64" t="n">
        <f aca="false">IF(AND($P453&gt;0,$O453&gt;0),$P453,0)</f>
        <v>1</v>
      </c>
      <c r="R453" s="64" t="n">
        <f aca="false">IF(AND($Q453&gt;0,$O453&gt;=AtRank),$Q453,0)</f>
        <v>1</v>
      </c>
      <c r="S453" s="64" t="n">
        <f aca="false">IF(AND($Q453&gt;0,$O453&gt;=AboveRank),$Q453,0)</f>
        <v>1</v>
      </c>
      <c r="T453" s="64" t="n">
        <f aca="false">IF($K453="Less",$P453,0)</f>
        <v>0</v>
      </c>
      <c r="U453" s="64" t="n">
        <f aca="false">IF($K453="Expected",$P453,0)</f>
        <v>0</v>
      </c>
      <c r="V453" s="64" t="n">
        <f aca="false">IF($K453="Better",$P453,0)</f>
        <v>1</v>
      </c>
      <c r="W453" s="64" t="n">
        <f aca="false">IF($K453="U – needs rule",$P453,0)</f>
        <v>0</v>
      </c>
      <c r="X453" s="64" t="n">
        <f aca="false">IF($K453="No Start (attainment only)",$P453,0)</f>
        <v>0</v>
      </c>
    </row>
    <row r="454" customFormat="false" ht="15" hidden="false" customHeight="false" outlineLevel="0" collapsed="false">
      <c r="A454" s="60" t="s">
        <v>797</v>
      </c>
      <c r="B454" s="61" t="str">
        <f aca="false">IF($M454=0,"",INDEX(Classes!$E$6:$E$420,$M454))</f>
        <v>Arabic A</v>
      </c>
      <c r="C454" s="62" t="str">
        <f aca="false">IF($M454=0,"",INDEX(Classes!$H$6:$H$420,$M454))</f>
        <v>Mr Elsaid A Eltantawi</v>
      </c>
      <c r="D454" s="61" t="str">
        <f aca="false">IF($M454=0,"",INDEX(Classes!$B$6:$B$420,$M454))</f>
        <v>Year 10</v>
      </c>
      <c r="E454" s="61" t="str">
        <f aca="false">IF($M454=0,"",INDEX(Classes!$C$6:$C$420,$M454))</f>
        <v>ip</v>
      </c>
      <c r="F454" s="63" t="s">
        <v>107</v>
      </c>
      <c r="G454" s="63" t="s">
        <v>1016</v>
      </c>
      <c r="H454" s="60" t="s">
        <v>202</v>
      </c>
      <c r="I454" s="60" t="s">
        <v>204</v>
      </c>
      <c r="J454" s="63" t="n">
        <v>1</v>
      </c>
      <c r="K454" s="61" t="str">
        <f aca="false">IF($P454=0,"",IF($F454="Baseline","— Baseline",IF($O454=0,"No result",IF($N454=0,"No Start (attainment only)",IF(OR($N454=1,$O454=1),"U – needs rule",INDEX(MxBody,MATCH($I454,MxCurr,0),MATCH($H454,MxStart,0)))))))</f>
        <v>Better</v>
      </c>
      <c r="L454" s="62" t="str">
        <f aca="false">IF(COUNTA($A454,$F454,$G454,$H454,$I454,$J454)=0,"",IF($M454=0,"✖ كود الصف غير موجود",IF(ISNA(MATCH($F454,Lists!$A$2:$A$5,0)),"✖ الفترة غير صحيحة",IF(ISNA(MATCH($G454,Lists!$B$2:$B$7,0)),"✖ المجموعة غير صحيحة",IF(NOT(OR($H454="",$N454&gt;0)),"✖ Start غير صحيح",IF(NOT(OR($I454="",$I454="NR",$O454&gt;0)),"✖ Current غير صحيح",IF(NOT(IF(ISNUMBER($J454),AND($J454&gt;=0,$J454=INT($J454)),FALSE())),"✖ العدد يجب أن يكون صحيحًا ≥ 0",IF(AND($F454="Baseline",$H454&lt;&gt;""),"⚠ Baseline: Start لا يدخل في التقدم",IF($K454="No Start (attainment only)","ℹ تحصيل فقط (بدون Start)",IF($K454="U – needs rule","ℹ حالة U تحتاج قاعدة معتمدة",IF($K454="No result","ℹ بدون نتيجة (يُستبعد من التحصيل)","OK")))))))))))</f>
        <v>OK</v>
      </c>
      <c r="M454" s="64" t="n">
        <f aca="false">IF($A454="",0,IFERROR(MATCH($A454,Classes!$A$6:$A$420,0),0))</f>
        <v>300</v>
      </c>
      <c r="N454" s="64" t="n">
        <f aca="false">IF($H454="",0,IFERROR(MATCH($H454,GradeList,0),0))</f>
        <v>7</v>
      </c>
      <c r="O454" s="64" t="n">
        <f aca="false">IF(OR($I454="",$I454="NR"),0,IFERROR(MATCH($I454,GradeList,0),0))</f>
        <v>9</v>
      </c>
      <c r="P454" s="64" t="n">
        <f aca="false">IF(AND($M454&gt;0,ISNUMBER(MATCH($F454,Lists!$A$2:$A$5,0)),ISNUMBER(MATCH($G454,Lists!$B$2:$B$7,0)),OR($H454="",$N454&gt;0),OR($I454="",$I454="NR",$O454&gt;0),IF(ISNUMBER($J454),AND($J454&gt;=0,$J454=INT($J454)),FALSE())),$J454,0)</f>
        <v>1</v>
      </c>
      <c r="Q454" s="64" t="n">
        <f aca="false">IF(AND($P454&gt;0,$O454&gt;0),$P454,0)</f>
        <v>1</v>
      </c>
      <c r="R454" s="64" t="n">
        <f aca="false">IF(AND($Q454&gt;0,$O454&gt;=AtRank),$Q454,0)</f>
        <v>1</v>
      </c>
      <c r="S454" s="64" t="n">
        <f aca="false">IF(AND($Q454&gt;0,$O454&gt;=AboveRank),$Q454,0)</f>
        <v>1</v>
      </c>
      <c r="T454" s="64" t="n">
        <f aca="false">IF($K454="Less",$P454,0)</f>
        <v>0</v>
      </c>
      <c r="U454" s="64" t="n">
        <f aca="false">IF($K454="Expected",$P454,0)</f>
        <v>0</v>
      </c>
      <c r="V454" s="64" t="n">
        <f aca="false">IF($K454="Better",$P454,0)</f>
        <v>1</v>
      </c>
      <c r="W454" s="64" t="n">
        <f aca="false">IF($K454="U – needs rule",$P454,0)</f>
        <v>0</v>
      </c>
      <c r="X454" s="64" t="n">
        <f aca="false">IF($K454="No Start (attainment only)",$P454,0)</f>
        <v>0</v>
      </c>
    </row>
    <row r="455" customFormat="false" ht="15" hidden="false" customHeight="false" outlineLevel="0" collapsed="false">
      <c r="A455" s="60" t="s">
        <v>797</v>
      </c>
      <c r="B455" s="61" t="str">
        <f aca="false">IF($M455=0,"",INDEX(Classes!$E$6:$E$420,$M455))</f>
        <v>Arabic A</v>
      </c>
      <c r="C455" s="62" t="str">
        <f aca="false">IF($M455=0,"",INDEX(Classes!$H$6:$H$420,$M455))</f>
        <v>Mr Elsaid A Eltantawi</v>
      </c>
      <c r="D455" s="61" t="str">
        <f aca="false">IF($M455=0,"",INDEX(Classes!$B$6:$B$420,$M455))</f>
        <v>Year 10</v>
      </c>
      <c r="E455" s="61" t="str">
        <f aca="false">IF($M455=0,"",INDEX(Classes!$C$6:$C$420,$M455))</f>
        <v>ip</v>
      </c>
      <c r="F455" s="63" t="s">
        <v>107</v>
      </c>
      <c r="G455" s="63" t="s">
        <v>1016</v>
      </c>
      <c r="H455" s="60" t="s">
        <v>202</v>
      </c>
      <c r="I455" s="60" t="s">
        <v>1019</v>
      </c>
      <c r="J455" s="63" t="n">
        <v>1</v>
      </c>
      <c r="K455" s="61" t="str">
        <f aca="false">IF($P455=0,"",IF($F455="Baseline","— Baseline",IF($O455=0,"No result",IF($N455=0,"No Start (attainment only)",IF(OR($N455=1,$O455=1),"U – needs rule",INDEX(MxBody,MATCH($I455,MxCurr,0),MATCH($H455,MxStart,0)))))))</f>
        <v>No result</v>
      </c>
      <c r="L455" s="62" t="str">
        <f aca="false">IF(COUNTA($A455,$F455,$G455,$H455,$I455,$J455)=0,"",IF($M455=0,"✖ كود الصف غير موجود",IF(ISNA(MATCH($F455,Lists!$A$2:$A$5,0)),"✖ الفترة غير صحيحة",IF(ISNA(MATCH($G455,Lists!$B$2:$B$7,0)),"✖ المجموعة غير صحيحة",IF(NOT(OR($H455="",$N455&gt;0)),"✖ Start غير صحيح",IF(NOT(OR($I455="",$I455="NR",$O455&gt;0)),"✖ Current غير صحيح",IF(NOT(IF(ISNUMBER($J455),AND($J455&gt;=0,$J455=INT($J455)),FALSE())),"✖ العدد يجب أن يكون صحيحًا ≥ 0",IF(AND($F455="Baseline",$H455&lt;&gt;""),"⚠ Baseline: Start لا يدخل في التقدم",IF($K455="No Start (attainment only)","ℹ تحصيل فقط (بدون Start)",IF($K455="U – needs rule","ℹ حالة U تحتاج قاعدة معتمدة",IF($K455="No result","ℹ بدون نتيجة (يُستبعد من التحصيل)","OK")))))))))))</f>
        <v>ℹ بدون نتيجة (يُستبعد من التحصيل)</v>
      </c>
      <c r="M455" s="64" t="n">
        <f aca="false">IF($A455="",0,IFERROR(MATCH($A455,Classes!$A$6:$A$420,0),0))</f>
        <v>300</v>
      </c>
      <c r="N455" s="64" t="n">
        <f aca="false">IF($H455="",0,IFERROR(MATCH($H455,GradeList,0),0))</f>
        <v>7</v>
      </c>
      <c r="O455" s="64" t="n">
        <f aca="false">IF(OR($I455="",$I455="NR"),0,IFERROR(MATCH($I455,GradeList,0),0))</f>
        <v>0</v>
      </c>
      <c r="P455" s="64" t="n">
        <f aca="false">IF(AND($M455&gt;0,ISNUMBER(MATCH($F455,Lists!$A$2:$A$5,0)),ISNUMBER(MATCH($G455,Lists!$B$2:$B$7,0)),OR($H455="",$N455&gt;0),OR($I455="",$I455="NR",$O455&gt;0),IF(ISNUMBER($J455),AND($J455&gt;=0,$J455=INT($J455)),FALSE())),$J455,0)</f>
        <v>1</v>
      </c>
      <c r="Q455" s="64" t="n">
        <f aca="false">IF(AND($P455&gt;0,$O455&gt;0),$P455,0)</f>
        <v>0</v>
      </c>
      <c r="R455" s="64" t="n">
        <f aca="false">IF(AND($Q455&gt;0,$O455&gt;=AtRank),$Q455,0)</f>
        <v>0</v>
      </c>
      <c r="S455" s="64" t="n">
        <f aca="false">IF(AND($Q455&gt;0,$O455&gt;=AboveRank),$Q455,0)</f>
        <v>0</v>
      </c>
      <c r="T455" s="64" t="n">
        <f aca="false">IF($K455="Less",$P455,0)</f>
        <v>0</v>
      </c>
      <c r="U455" s="64" t="n">
        <f aca="false">IF($K455="Expected",$P455,0)</f>
        <v>0</v>
      </c>
      <c r="V455" s="64" t="n">
        <f aca="false">IF($K455="Better",$P455,0)</f>
        <v>0</v>
      </c>
      <c r="W455" s="64" t="n">
        <f aca="false">IF($K455="U – needs rule",$P455,0)</f>
        <v>0</v>
      </c>
      <c r="X455" s="64" t="n">
        <f aca="false">IF($K455="No Start (attainment only)",$P455,0)</f>
        <v>0</v>
      </c>
    </row>
    <row r="456" customFormat="false" ht="15" hidden="false" customHeight="false" outlineLevel="0" collapsed="false">
      <c r="A456" s="60" t="s">
        <v>797</v>
      </c>
      <c r="B456" s="61" t="str">
        <f aca="false">IF($M456=0,"",INDEX(Classes!$E$6:$E$420,$M456))</f>
        <v>Arabic A</v>
      </c>
      <c r="C456" s="62" t="str">
        <f aca="false">IF($M456=0,"",INDEX(Classes!$H$6:$H$420,$M456))</f>
        <v>Mr Elsaid A Eltantawi</v>
      </c>
      <c r="D456" s="61" t="str">
        <f aca="false">IF($M456=0,"",INDEX(Classes!$B$6:$B$420,$M456))</f>
        <v>Year 10</v>
      </c>
      <c r="E456" s="61" t="str">
        <f aca="false">IF($M456=0,"",INDEX(Classes!$C$6:$C$420,$M456))</f>
        <v>ip</v>
      </c>
      <c r="F456" s="63" t="s">
        <v>107</v>
      </c>
      <c r="G456" s="63" t="s">
        <v>1016</v>
      </c>
      <c r="H456" s="60" t="s">
        <v>200</v>
      </c>
      <c r="I456" s="60" t="s">
        <v>200</v>
      </c>
      <c r="J456" s="63" t="n">
        <v>2</v>
      </c>
      <c r="K456" s="61" t="str">
        <f aca="false">IF($P456=0,"",IF($F456="Baseline","— Baseline",IF($O456=0,"No result",IF($N456=0,"No Start (attainment only)",IF(OR($N456=1,$O456=1),"U – needs rule",INDEX(MxBody,MATCH($I456,MxCurr,0),MATCH($H456,MxStart,0)))))))</f>
        <v>Expected</v>
      </c>
      <c r="L456" s="62" t="str">
        <f aca="false">IF(COUNTA($A456,$F456,$G456,$H456,$I456,$J456)=0,"",IF($M456=0,"✖ كود الصف غير موجود",IF(ISNA(MATCH($F456,Lists!$A$2:$A$5,0)),"✖ الفترة غير صحيحة",IF(ISNA(MATCH($G456,Lists!$B$2:$B$7,0)),"✖ المجموعة غير صحيحة",IF(NOT(OR($H456="",$N456&gt;0)),"✖ Start غير صحيح",IF(NOT(OR($I456="",$I456="NR",$O456&gt;0)),"✖ Current غير صحيح",IF(NOT(IF(ISNUMBER($J456),AND($J456&gt;=0,$J456=INT($J456)),FALSE())),"✖ العدد يجب أن يكون صحيحًا ≥ 0",IF(AND($F456="Baseline",$H456&lt;&gt;""),"⚠ Baseline: Start لا يدخل في التقدم",IF($K456="No Start (attainment only)","ℹ تحصيل فقط (بدون Start)",IF($K456="U – needs rule","ℹ حالة U تحتاج قاعدة معتمدة",IF($K456="No result","ℹ بدون نتيجة (يُستبعد من التحصيل)","OK")))))))))))</f>
        <v>OK</v>
      </c>
      <c r="M456" s="64" t="n">
        <f aca="false">IF($A456="",0,IFERROR(MATCH($A456,Classes!$A$6:$A$420,0),0))</f>
        <v>300</v>
      </c>
      <c r="N456" s="64" t="n">
        <f aca="false">IF($H456="",0,IFERROR(MATCH($H456,GradeList,0),0))</f>
        <v>5</v>
      </c>
      <c r="O456" s="64" t="n">
        <f aca="false">IF(OR($I456="",$I456="NR"),0,IFERROR(MATCH($I456,GradeList,0),0))</f>
        <v>5</v>
      </c>
      <c r="P456" s="64" t="n">
        <f aca="false">IF(AND($M456&gt;0,ISNUMBER(MATCH($F456,Lists!$A$2:$A$5,0)),ISNUMBER(MATCH($G456,Lists!$B$2:$B$7,0)),OR($H456="",$N456&gt;0),OR($I456="",$I456="NR",$O456&gt;0),IF(ISNUMBER($J456),AND($J456&gt;=0,$J456=INT($J456)),FALSE())),$J456,0)</f>
        <v>2</v>
      </c>
      <c r="Q456" s="64" t="n">
        <f aca="false">IF(AND($P456&gt;0,$O456&gt;0),$P456,0)</f>
        <v>2</v>
      </c>
      <c r="R456" s="64" t="n">
        <f aca="false">IF(AND($Q456&gt;0,$O456&gt;=AtRank),$Q456,0)</f>
        <v>2</v>
      </c>
      <c r="S456" s="64" t="n">
        <f aca="false">IF(AND($Q456&gt;0,$O456&gt;=AboveRank),$Q456,0)</f>
        <v>0</v>
      </c>
      <c r="T456" s="64" t="n">
        <f aca="false">IF($K456="Less",$P456,0)</f>
        <v>0</v>
      </c>
      <c r="U456" s="64" t="n">
        <f aca="false">IF($K456="Expected",$P456,0)</f>
        <v>2</v>
      </c>
      <c r="V456" s="64" t="n">
        <f aca="false">IF($K456="Better",$P456,0)</f>
        <v>0</v>
      </c>
      <c r="W456" s="64" t="n">
        <f aca="false">IF($K456="U – needs rule",$P456,0)</f>
        <v>0</v>
      </c>
      <c r="X456" s="64" t="n">
        <f aca="false">IF($K456="No Start (attainment only)",$P456,0)</f>
        <v>0</v>
      </c>
    </row>
    <row r="457" customFormat="false" ht="15" hidden="false" customHeight="false" outlineLevel="0" collapsed="false">
      <c r="A457" s="60" t="s">
        <v>797</v>
      </c>
      <c r="B457" s="61" t="str">
        <f aca="false">IF($M457=0,"",INDEX(Classes!$E$6:$E$420,$M457))</f>
        <v>Arabic A</v>
      </c>
      <c r="C457" s="62" t="str">
        <f aca="false">IF($M457=0,"",INDEX(Classes!$H$6:$H$420,$M457))</f>
        <v>Mr Elsaid A Eltantawi</v>
      </c>
      <c r="D457" s="61" t="str">
        <f aca="false">IF($M457=0,"",INDEX(Classes!$B$6:$B$420,$M457))</f>
        <v>Year 10</v>
      </c>
      <c r="E457" s="61" t="str">
        <f aca="false">IF($M457=0,"",INDEX(Classes!$C$6:$C$420,$M457))</f>
        <v>ip</v>
      </c>
      <c r="F457" s="63" t="s">
        <v>107</v>
      </c>
      <c r="G457" s="63" t="s">
        <v>1016</v>
      </c>
      <c r="H457" s="60" t="s">
        <v>200</v>
      </c>
      <c r="I457" s="60" t="s">
        <v>201</v>
      </c>
      <c r="J457" s="63" t="n">
        <v>1</v>
      </c>
      <c r="K457" s="61" t="str">
        <f aca="false">IF($P457=0,"",IF($F457="Baseline","— Baseline",IF($O457=0,"No result",IF($N457=0,"No Start (attainment only)",IF(OR($N457=1,$O457=1),"U – needs rule",INDEX(MxBody,MATCH($I457,MxCurr,0),MATCH($H457,MxStart,0)))))))</f>
        <v>Better</v>
      </c>
      <c r="L457" s="62" t="str">
        <f aca="false">IF(COUNTA($A457,$F457,$G457,$H457,$I457,$J457)=0,"",IF($M457=0,"✖ كود الصف غير موجود",IF(ISNA(MATCH($F457,Lists!$A$2:$A$5,0)),"✖ الفترة غير صحيحة",IF(ISNA(MATCH($G457,Lists!$B$2:$B$7,0)),"✖ المجموعة غير صحيحة",IF(NOT(OR($H457="",$N457&gt;0)),"✖ Start غير صحيح",IF(NOT(OR($I457="",$I457="NR",$O457&gt;0)),"✖ Current غير صحيح",IF(NOT(IF(ISNUMBER($J457),AND($J457&gt;=0,$J457=INT($J457)),FALSE())),"✖ العدد يجب أن يكون صحيحًا ≥ 0",IF(AND($F457="Baseline",$H457&lt;&gt;""),"⚠ Baseline: Start لا يدخل في التقدم",IF($K457="No Start (attainment only)","ℹ تحصيل فقط (بدون Start)",IF($K457="U – needs rule","ℹ حالة U تحتاج قاعدة معتمدة",IF($K457="No result","ℹ بدون نتيجة (يُستبعد من التحصيل)","OK")))))))))))</f>
        <v>OK</v>
      </c>
      <c r="M457" s="64" t="n">
        <f aca="false">IF($A457="",0,IFERROR(MATCH($A457,Classes!$A$6:$A$420,0),0))</f>
        <v>300</v>
      </c>
      <c r="N457" s="64" t="n">
        <f aca="false">IF($H457="",0,IFERROR(MATCH($H457,GradeList,0),0))</f>
        <v>5</v>
      </c>
      <c r="O457" s="64" t="n">
        <f aca="false">IF(OR($I457="",$I457="NR"),0,IFERROR(MATCH($I457,GradeList,0),0))</f>
        <v>6</v>
      </c>
      <c r="P457" s="64" t="n">
        <f aca="false">IF(AND($M457&gt;0,ISNUMBER(MATCH($F457,Lists!$A$2:$A$5,0)),ISNUMBER(MATCH($G457,Lists!$B$2:$B$7,0)),OR($H457="",$N457&gt;0),OR($I457="",$I457="NR",$O457&gt;0),IF(ISNUMBER($J457),AND($J457&gt;=0,$J457=INT($J457)),FALSE())),$J457,0)</f>
        <v>1</v>
      </c>
      <c r="Q457" s="64" t="n">
        <f aca="false">IF(AND($P457&gt;0,$O457&gt;0),$P457,0)</f>
        <v>1</v>
      </c>
      <c r="R457" s="64" t="n">
        <f aca="false">IF(AND($Q457&gt;0,$O457&gt;=AtRank),$Q457,0)</f>
        <v>1</v>
      </c>
      <c r="S457" s="64" t="n">
        <f aca="false">IF(AND($Q457&gt;0,$O457&gt;=AboveRank),$Q457,0)</f>
        <v>0</v>
      </c>
      <c r="T457" s="64" t="n">
        <f aca="false">IF($K457="Less",$P457,0)</f>
        <v>0</v>
      </c>
      <c r="U457" s="64" t="n">
        <f aca="false">IF($K457="Expected",$P457,0)</f>
        <v>0</v>
      </c>
      <c r="V457" s="64" t="n">
        <f aca="false">IF($K457="Better",$P457,0)</f>
        <v>1</v>
      </c>
      <c r="W457" s="64" t="n">
        <f aca="false">IF($K457="U – needs rule",$P457,0)</f>
        <v>0</v>
      </c>
      <c r="X457" s="64" t="n">
        <f aca="false">IF($K457="No Start (attainment only)",$P457,0)</f>
        <v>0</v>
      </c>
    </row>
    <row r="458" customFormat="false" ht="15" hidden="false" customHeight="false" outlineLevel="0" collapsed="false">
      <c r="A458" s="60" t="s">
        <v>797</v>
      </c>
      <c r="B458" s="61" t="str">
        <f aca="false">IF($M458=0,"",INDEX(Classes!$E$6:$E$420,$M458))</f>
        <v>Arabic A</v>
      </c>
      <c r="C458" s="62" t="str">
        <f aca="false">IF($M458=0,"",INDEX(Classes!$H$6:$H$420,$M458))</f>
        <v>Mr Elsaid A Eltantawi</v>
      </c>
      <c r="D458" s="61" t="str">
        <f aca="false">IF($M458=0,"",INDEX(Classes!$B$6:$B$420,$M458))</f>
        <v>Year 10</v>
      </c>
      <c r="E458" s="61" t="str">
        <f aca="false">IF($M458=0,"",INDEX(Classes!$C$6:$C$420,$M458))</f>
        <v>ip</v>
      </c>
      <c r="F458" s="63" t="s">
        <v>107</v>
      </c>
      <c r="G458" s="63" t="s">
        <v>1016</v>
      </c>
      <c r="H458" s="60" t="s">
        <v>200</v>
      </c>
      <c r="I458" s="60" t="s">
        <v>199</v>
      </c>
      <c r="J458" s="63" t="n">
        <v>2</v>
      </c>
      <c r="K458" s="61" t="str">
        <f aca="false">IF($P458=0,"",IF($F458="Baseline","— Baseline",IF($O458=0,"No result",IF($N458=0,"No Start (attainment only)",IF(OR($N458=1,$O458=1),"U – needs rule",INDEX(MxBody,MATCH($I458,MxCurr,0),MATCH($H458,MxStart,0)))))))</f>
        <v>Less</v>
      </c>
      <c r="L458" s="62" t="str">
        <f aca="false">IF(COUNTA($A458,$F458,$G458,$H458,$I458,$J458)=0,"",IF($M458=0,"✖ كود الصف غير موجود",IF(ISNA(MATCH($F458,Lists!$A$2:$A$5,0)),"✖ الفترة غير صحيحة",IF(ISNA(MATCH($G458,Lists!$B$2:$B$7,0)),"✖ المجموعة غير صحيحة",IF(NOT(OR($H458="",$N458&gt;0)),"✖ Start غير صحيح",IF(NOT(OR($I458="",$I458="NR",$O458&gt;0)),"✖ Current غير صحيح",IF(NOT(IF(ISNUMBER($J458),AND($J458&gt;=0,$J458=INT($J458)),FALSE())),"✖ العدد يجب أن يكون صحيحًا ≥ 0",IF(AND($F458="Baseline",$H458&lt;&gt;""),"⚠ Baseline: Start لا يدخل في التقدم",IF($K458="No Start (attainment only)","ℹ تحصيل فقط (بدون Start)",IF($K458="U – needs rule","ℹ حالة U تحتاج قاعدة معتمدة",IF($K458="No result","ℹ بدون نتيجة (يُستبعد من التحصيل)","OK")))))))))))</f>
        <v>OK</v>
      </c>
      <c r="M458" s="64" t="n">
        <f aca="false">IF($A458="",0,IFERROR(MATCH($A458,Classes!$A$6:$A$420,0),0))</f>
        <v>300</v>
      </c>
      <c r="N458" s="64" t="n">
        <f aca="false">IF($H458="",0,IFERROR(MATCH($H458,GradeList,0),0))</f>
        <v>5</v>
      </c>
      <c r="O458" s="64" t="n">
        <f aca="false">IF(OR($I458="",$I458="NR"),0,IFERROR(MATCH($I458,GradeList,0),0))</f>
        <v>4</v>
      </c>
      <c r="P458" s="64" t="n">
        <f aca="false">IF(AND($M458&gt;0,ISNUMBER(MATCH($F458,Lists!$A$2:$A$5,0)),ISNUMBER(MATCH($G458,Lists!$B$2:$B$7,0)),OR($H458="",$N458&gt;0),OR($I458="",$I458="NR",$O458&gt;0),IF(ISNUMBER($J458),AND($J458&gt;=0,$J458=INT($J458)),FALSE())),$J458,0)</f>
        <v>2</v>
      </c>
      <c r="Q458" s="64" t="n">
        <f aca="false">IF(AND($P458&gt;0,$O458&gt;0),$P458,0)</f>
        <v>2</v>
      </c>
      <c r="R458" s="64" t="n">
        <f aca="false">IF(AND($Q458&gt;0,$O458&gt;=AtRank),$Q458,0)</f>
        <v>0</v>
      </c>
      <c r="S458" s="64" t="n">
        <f aca="false">IF(AND($Q458&gt;0,$O458&gt;=AboveRank),$Q458,0)</f>
        <v>0</v>
      </c>
      <c r="T458" s="64" t="n">
        <f aca="false">IF($K458="Less",$P458,0)</f>
        <v>2</v>
      </c>
      <c r="U458" s="64" t="n">
        <f aca="false">IF($K458="Expected",$P458,0)</f>
        <v>0</v>
      </c>
      <c r="V458" s="64" t="n">
        <f aca="false">IF($K458="Better",$P458,0)</f>
        <v>0</v>
      </c>
      <c r="W458" s="64" t="n">
        <f aca="false">IF($K458="U – needs rule",$P458,0)</f>
        <v>0</v>
      </c>
      <c r="X458" s="64" t="n">
        <f aca="false">IF($K458="No Start (attainment only)",$P458,0)</f>
        <v>0</v>
      </c>
    </row>
    <row r="459" customFormat="false" ht="15" hidden="false" customHeight="false" outlineLevel="0" collapsed="false">
      <c r="A459" s="60" t="s">
        <v>797</v>
      </c>
      <c r="B459" s="61" t="str">
        <f aca="false">IF($M459=0,"",INDEX(Classes!$E$6:$E$420,$M459))</f>
        <v>Arabic A</v>
      </c>
      <c r="C459" s="62" t="str">
        <f aca="false">IF($M459=0,"",INDEX(Classes!$H$6:$H$420,$M459))</f>
        <v>Mr Elsaid A Eltantawi</v>
      </c>
      <c r="D459" s="61" t="str">
        <f aca="false">IF($M459=0,"",INDEX(Classes!$B$6:$B$420,$M459))</f>
        <v>Year 10</v>
      </c>
      <c r="E459" s="61" t="str">
        <f aca="false">IF($M459=0,"",INDEX(Classes!$C$6:$C$420,$M459))</f>
        <v>ip</v>
      </c>
      <c r="F459" s="63" t="s">
        <v>107</v>
      </c>
      <c r="G459" s="63" t="s">
        <v>1016</v>
      </c>
      <c r="H459" s="60" t="s">
        <v>201</v>
      </c>
      <c r="I459" s="60" t="s">
        <v>202</v>
      </c>
      <c r="J459" s="63" t="n">
        <v>2</v>
      </c>
      <c r="K459" s="61" t="str">
        <f aca="false">IF($P459=0,"",IF($F459="Baseline","— Baseline",IF($O459=0,"No result",IF($N459=0,"No Start (attainment only)",IF(OR($N459=1,$O459=1),"U – needs rule",INDEX(MxBody,MATCH($I459,MxCurr,0),MATCH($H459,MxStart,0)))))))</f>
        <v>Better</v>
      </c>
      <c r="L459" s="62" t="str">
        <f aca="false">IF(COUNTA($A459,$F459,$G459,$H459,$I459,$J459)=0,"",IF($M459=0,"✖ كود الصف غير موجود",IF(ISNA(MATCH($F459,Lists!$A$2:$A$5,0)),"✖ الفترة غير صحيحة",IF(ISNA(MATCH($G459,Lists!$B$2:$B$7,0)),"✖ المجموعة غير صحيحة",IF(NOT(OR($H459="",$N459&gt;0)),"✖ Start غير صحيح",IF(NOT(OR($I459="",$I459="NR",$O459&gt;0)),"✖ Current غير صحيح",IF(NOT(IF(ISNUMBER($J459),AND($J459&gt;=0,$J459=INT($J459)),FALSE())),"✖ العدد يجب أن يكون صحيحًا ≥ 0",IF(AND($F459="Baseline",$H459&lt;&gt;""),"⚠ Baseline: Start لا يدخل في التقدم",IF($K459="No Start (attainment only)","ℹ تحصيل فقط (بدون Start)",IF($K459="U – needs rule","ℹ حالة U تحتاج قاعدة معتمدة",IF($K459="No result","ℹ بدون نتيجة (يُستبعد من التحصيل)","OK")))))))))))</f>
        <v>OK</v>
      </c>
      <c r="M459" s="64" t="n">
        <f aca="false">IF($A459="",0,IFERROR(MATCH($A459,Classes!$A$6:$A$420,0),0))</f>
        <v>300</v>
      </c>
      <c r="N459" s="64" t="n">
        <f aca="false">IF($H459="",0,IFERROR(MATCH($H459,GradeList,0),0))</f>
        <v>6</v>
      </c>
      <c r="O459" s="64" t="n">
        <f aca="false">IF(OR($I459="",$I459="NR"),0,IFERROR(MATCH($I459,GradeList,0),0))</f>
        <v>7</v>
      </c>
      <c r="P459" s="64" t="n">
        <f aca="false">IF(AND($M459&gt;0,ISNUMBER(MATCH($F459,Lists!$A$2:$A$5,0)),ISNUMBER(MATCH($G459,Lists!$B$2:$B$7,0)),OR($H459="",$N459&gt;0),OR($I459="",$I459="NR",$O459&gt;0),IF(ISNUMBER($J459),AND($J459&gt;=0,$J459=INT($J459)),FALSE())),$J459,0)</f>
        <v>2</v>
      </c>
      <c r="Q459" s="64" t="n">
        <f aca="false">IF(AND($P459&gt;0,$O459&gt;0),$P459,0)</f>
        <v>2</v>
      </c>
      <c r="R459" s="64" t="n">
        <f aca="false">IF(AND($Q459&gt;0,$O459&gt;=AtRank),$Q459,0)</f>
        <v>2</v>
      </c>
      <c r="S459" s="64" t="n">
        <f aca="false">IF(AND($Q459&gt;0,$O459&gt;=AboveRank),$Q459,0)</f>
        <v>2</v>
      </c>
      <c r="T459" s="64" t="n">
        <f aca="false">IF($K459="Less",$P459,0)</f>
        <v>0</v>
      </c>
      <c r="U459" s="64" t="n">
        <f aca="false">IF($K459="Expected",$P459,0)</f>
        <v>0</v>
      </c>
      <c r="V459" s="64" t="n">
        <f aca="false">IF($K459="Better",$P459,0)</f>
        <v>2</v>
      </c>
      <c r="W459" s="64" t="n">
        <f aca="false">IF($K459="U – needs rule",$P459,0)</f>
        <v>0</v>
      </c>
      <c r="X459" s="64" t="n">
        <f aca="false">IF($K459="No Start (attainment only)",$P459,0)</f>
        <v>0</v>
      </c>
    </row>
    <row r="460" customFormat="false" ht="15" hidden="false" customHeight="false" outlineLevel="0" collapsed="false">
      <c r="A460" s="60" t="s">
        <v>797</v>
      </c>
      <c r="B460" s="61" t="str">
        <f aca="false">IF($M460=0,"",INDEX(Classes!$E$6:$E$420,$M460))</f>
        <v>Arabic A</v>
      </c>
      <c r="C460" s="62" t="str">
        <f aca="false">IF($M460=0,"",INDEX(Classes!$H$6:$H$420,$M460))</f>
        <v>Mr Elsaid A Eltantawi</v>
      </c>
      <c r="D460" s="61" t="str">
        <f aca="false">IF($M460=0,"",INDEX(Classes!$B$6:$B$420,$M460))</f>
        <v>Year 10</v>
      </c>
      <c r="E460" s="61" t="str">
        <f aca="false">IF($M460=0,"",INDEX(Classes!$C$6:$C$420,$M460))</f>
        <v>ip</v>
      </c>
      <c r="F460" s="63" t="s">
        <v>107</v>
      </c>
      <c r="G460" s="63" t="s">
        <v>1016</v>
      </c>
      <c r="H460" s="60" t="s">
        <v>204</v>
      </c>
      <c r="I460" s="60" t="s">
        <v>204</v>
      </c>
      <c r="J460" s="63" t="n">
        <v>1</v>
      </c>
      <c r="K460" s="61" t="str">
        <f aca="false">IF($P460=0,"",IF($F460="Baseline","— Baseline",IF($O460=0,"No result",IF($N460=0,"No Start (attainment only)",IF(OR($N460=1,$O460=1),"U – needs rule",INDEX(MxBody,MATCH($I460,MxCurr,0),MATCH($H460,MxStart,0)))))))</f>
        <v>Better</v>
      </c>
      <c r="L460" s="62" t="str">
        <f aca="false">IF(COUNTA($A460,$F460,$G460,$H460,$I460,$J460)=0,"",IF($M460=0,"✖ كود الصف غير موجود",IF(ISNA(MATCH($F460,Lists!$A$2:$A$5,0)),"✖ الفترة غير صحيحة",IF(ISNA(MATCH($G460,Lists!$B$2:$B$7,0)),"✖ المجموعة غير صحيحة",IF(NOT(OR($H460="",$N460&gt;0)),"✖ Start غير صحيح",IF(NOT(OR($I460="",$I460="NR",$O460&gt;0)),"✖ Current غير صحيح",IF(NOT(IF(ISNUMBER($J460),AND($J460&gt;=0,$J460=INT($J460)),FALSE())),"✖ العدد يجب أن يكون صحيحًا ≥ 0",IF(AND($F460="Baseline",$H460&lt;&gt;""),"⚠ Baseline: Start لا يدخل في التقدم",IF($K460="No Start (attainment only)","ℹ تحصيل فقط (بدون Start)",IF($K460="U – needs rule","ℹ حالة U تحتاج قاعدة معتمدة",IF($K460="No result","ℹ بدون نتيجة (يُستبعد من التحصيل)","OK")))))))))))</f>
        <v>OK</v>
      </c>
      <c r="M460" s="64" t="n">
        <f aca="false">IF($A460="",0,IFERROR(MATCH($A460,Classes!$A$6:$A$420,0),0))</f>
        <v>300</v>
      </c>
      <c r="N460" s="64" t="n">
        <f aca="false">IF($H460="",0,IFERROR(MATCH($H460,GradeList,0),0))</f>
        <v>9</v>
      </c>
      <c r="O460" s="64" t="n">
        <f aca="false">IF(OR($I460="",$I460="NR"),0,IFERROR(MATCH($I460,GradeList,0),0))</f>
        <v>9</v>
      </c>
      <c r="P460" s="64" t="n">
        <f aca="false">IF(AND($M460&gt;0,ISNUMBER(MATCH($F460,Lists!$A$2:$A$5,0)),ISNUMBER(MATCH($G460,Lists!$B$2:$B$7,0)),OR($H460="",$N460&gt;0),OR($I460="",$I460="NR",$O460&gt;0),IF(ISNUMBER($J460),AND($J460&gt;=0,$J460=INT($J460)),FALSE())),$J460,0)</f>
        <v>1</v>
      </c>
      <c r="Q460" s="64" t="n">
        <f aca="false">IF(AND($P460&gt;0,$O460&gt;0),$P460,0)</f>
        <v>1</v>
      </c>
      <c r="R460" s="64" t="n">
        <f aca="false">IF(AND($Q460&gt;0,$O460&gt;=AtRank),$Q460,0)</f>
        <v>1</v>
      </c>
      <c r="S460" s="64" t="n">
        <f aca="false">IF(AND($Q460&gt;0,$O460&gt;=AboveRank),$Q460,0)</f>
        <v>1</v>
      </c>
      <c r="T460" s="64" t="n">
        <f aca="false">IF($K460="Less",$P460,0)</f>
        <v>0</v>
      </c>
      <c r="U460" s="64" t="n">
        <f aca="false">IF($K460="Expected",$P460,0)</f>
        <v>0</v>
      </c>
      <c r="V460" s="64" t="n">
        <f aca="false">IF($K460="Better",$P460,0)</f>
        <v>1</v>
      </c>
      <c r="W460" s="64" t="n">
        <f aca="false">IF($K460="U – needs rule",$P460,0)</f>
        <v>0</v>
      </c>
      <c r="X460" s="64" t="n">
        <f aca="false">IF($K460="No Start (attainment only)",$P460,0)</f>
        <v>0</v>
      </c>
    </row>
    <row r="461" customFormat="false" ht="15" hidden="false" customHeight="false" outlineLevel="0" collapsed="false">
      <c r="A461" s="60" t="s">
        <v>797</v>
      </c>
      <c r="B461" s="61" t="str">
        <f aca="false">IF($M461=0,"",INDEX(Classes!$E$6:$E$420,$M461))</f>
        <v>Arabic A</v>
      </c>
      <c r="C461" s="62" t="str">
        <f aca="false">IF($M461=0,"",INDEX(Classes!$H$6:$H$420,$M461))</f>
        <v>Mr Elsaid A Eltantawi</v>
      </c>
      <c r="D461" s="61" t="str">
        <f aca="false">IF($M461=0,"",INDEX(Classes!$B$6:$B$420,$M461))</f>
        <v>Year 10</v>
      </c>
      <c r="E461" s="61" t="str">
        <f aca="false">IF($M461=0,"",INDEX(Classes!$C$6:$C$420,$M461))</f>
        <v>ip</v>
      </c>
      <c r="F461" s="63" t="s">
        <v>107</v>
      </c>
      <c r="G461" s="63" t="s">
        <v>1016</v>
      </c>
      <c r="H461" s="60" t="s">
        <v>199</v>
      </c>
      <c r="I461" s="60" t="s">
        <v>201</v>
      </c>
      <c r="J461" s="63" t="n">
        <v>1</v>
      </c>
      <c r="K461" s="61" t="str">
        <f aca="false">IF($P461=0,"",IF($F461="Baseline","— Baseline",IF($O461=0,"No result",IF($N461=0,"No Start (attainment only)",IF(OR($N461=1,$O461=1),"U – needs rule",INDEX(MxBody,MATCH($I461,MxCurr,0),MATCH($H461,MxStart,0)))))))</f>
        <v>Better</v>
      </c>
      <c r="L461" s="62" t="str">
        <f aca="false">IF(COUNTA($A461,$F461,$G461,$H461,$I461,$J461)=0,"",IF($M461=0,"✖ كود الصف غير موجود",IF(ISNA(MATCH($F461,Lists!$A$2:$A$5,0)),"✖ الفترة غير صحيحة",IF(ISNA(MATCH($G461,Lists!$B$2:$B$7,0)),"✖ المجموعة غير صحيحة",IF(NOT(OR($H461="",$N461&gt;0)),"✖ Start غير صحيح",IF(NOT(OR($I461="",$I461="NR",$O461&gt;0)),"✖ Current غير صحيح",IF(NOT(IF(ISNUMBER($J461),AND($J461&gt;=0,$J461=INT($J461)),FALSE())),"✖ العدد يجب أن يكون صحيحًا ≥ 0",IF(AND($F461="Baseline",$H461&lt;&gt;""),"⚠ Baseline: Start لا يدخل في التقدم",IF($K461="No Start (attainment only)","ℹ تحصيل فقط (بدون Start)",IF($K461="U – needs rule","ℹ حالة U تحتاج قاعدة معتمدة",IF($K461="No result","ℹ بدون نتيجة (يُستبعد من التحصيل)","OK")))))))))))</f>
        <v>OK</v>
      </c>
      <c r="M461" s="64" t="n">
        <f aca="false">IF($A461="",0,IFERROR(MATCH($A461,Classes!$A$6:$A$420,0),0))</f>
        <v>300</v>
      </c>
      <c r="N461" s="64" t="n">
        <f aca="false">IF($H461="",0,IFERROR(MATCH($H461,GradeList,0),0))</f>
        <v>4</v>
      </c>
      <c r="O461" s="64" t="n">
        <f aca="false">IF(OR($I461="",$I461="NR"),0,IFERROR(MATCH($I461,GradeList,0),0))</f>
        <v>6</v>
      </c>
      <c r="P461" s="64" t="n">
        <f aca="false">IF(AND($M461&gt;0,ISNUMBER(MATCH($F461,Lists!$A$2:$A$5,0)),ISNUMBER(MATCH($G461,Lists!$B$2:$B$7,0)),OR($H461="",$N461&gt;0),OR($I461="",$I461="NR",$O461&gt;0),IF(ISNUMBER($J461),AND($J461&gt;=0,$J461=INT($J461)),FALSE())),$J461,0)</f>
        <v>1</v>
      </c>
      <c r="Q461" s="64" t="n">
        <f aca="false">IF(AND($P461&gt;0,$O461&gt;0),$P461,0)</f>
        <v>1</v>
      </c>
      <c r="R461" s="64" t="n">
        <f aca="false">IF(AND($Q461&gt;0,$O461&gt;=AtRank),$Q461,0)</f>
        <v>1</v>
      </c>
      <c r="S461" s="64" t="n">
        <f aca="false">IF(AND($Q461&gt;0,$O461&gt;=AboveRank),$Q461,0)</f>
        <v>0</v>
      </c>
      <c r="T461" s="64" t="n">
        <f aca="false">IF($K461="Less",$P461,0)</f>
        <v>0</v>
      </c>
      <c r="U461" s="64" t="n">
        <f aca="false">IF($K461="Expected",$P461,0)</f>
        <v>0</v>
      </c>
      <c r="V461" s="64" t="n">
        <f aca="false">IF($K461="Better",$P461,0)</f>
        <v>1</v>
      </c>
      <c r="W461" s="64" t="n">
        <f aca="false">IF($K461="U – needs rule",$P461,0)</f>
        <v>0</v>
      </c>
      <c r="X461" s="64" t="n">
        <f aca="false">IF($K461="No Start (attainment only)",$P461,0)</f>
        <v>0</v>
      </c>
    </row>
    <row r="462" customFormat="false" ht="15" hidden="false" customHeight="false" outlineLevel="0" collapsed="false">
      <c r="A462" s="60" t="s">
        <v>797</v>
      </c>
      <c r="B462" s="61" t="str">
        <f aca="false">IF($M462=0,"",INDEX(Classes!$E$6:$E$420,$M462))</f>
        <v>Arabic A</v>
      </c>
      <c r="C462" s="62" t="str">
        <f aca="false">IF($M462=0,"",INDEX(Classes!$H$6:$H$420,$M462))</f>
        <v>Mr Elsaid A Eltantawi</v>
      </c>
      <c r="D462" s="61" t="str">
        <f aca="false">IF($M462=0,"",INDEX(Classes!$B$6:$B$420,$M462))</f>
        <v>Year 10</v>
      </c>
      <c r="E462" s="61" t="str">
        <f aca="false">IF($M462=0,"",INDEX(Classes!$C$6:$C$420,$M462))</f>
        <v>ip</v>
      </c>
      <c r="F462" s="63" t="s">
        <v>107</v>
      </c>
      <c r="G462" s="63" t="s">
        <v>941</v>
      </c>
      <c r="H462" s="60" t="s">
        <v>202</v>
      </c>
      <c r="I462" s="60" t="s">
        <v>1019</v>
      </c>
      <c r="J462" s="63" t="n">
        <v>1</v>
      </c>
      <c r="K462" s="61" t="str">
        <f aca="false">IF($P462=0,"",IF($F462="Baseline","— Baseline",IF($O462=0,"No result",IF($N462=0,"No Start (attainment only)",IF(OR($N462=1,$O462=1),"U – needs rule",INDEX(MxBody,MATCH($I462,MxCurr,0),MATCH($H462,MxStart,0)))))))</f>
        <v>No result</v>
      </c>
      <c r="L462" s="62" t="str">
        <f aca="false">IF(COUNTA($A462,$F462,$G462,$H462,$I462,$J462)=0,"",IF($M462=0,"✖ كود الصف غير موجود",IF(ISNA(MATCH($F462,Lists!$A$2:$A$5,0)),"✖ الفترة غير صحيحة",IF(ISNA(MATCH($G462,Lists!$B$2:$B$7,0)),"✖ المجموعة غير صحيحة",IF(NOT(OR($H462="",$N462&gt;0)),"✖ Start غير صحيح",IF(NOT(OR($I462="",$I462="NR",$O462&gt;0)),"✖ Current غير صحيح",IF(NOT(IF(ISNUMBER($J462),AND($J462&gt;=0,$J462=INT($J462)),FALSE())),"✖ العدد يجب أن يكون صحيحًا ≥ 0",IF(AND($F462="Baseline",$H462&lt;&gt;""),"⚠ Baseline: Start لا يدخل في التقدم",IF($K462="No Start (attainment only)","ℹ تحصيل فقط (بدون Start)",IF($K462="U – needs rule","ℹ حالة U تحتاج قاعدة معتمدة",IF($K462="No result","ℹ بدون نتيجة (يُستبعد من التحصيل)","OK")))))))))))</f>
        <v>ℹ بدون نتيجة (يُستبعد من التحصيل)</v>
      </c>
      <c r="M462" s="64" t="n">
        <f aca="false">IF($A462="",0,IFERROR(MATCH($A462,Classes!$A$6:$A$420,0),0))</f>
        <v>300</v>
      </c>
      <c r="N462" s="64" t="n">
        <f aca="false">IF($H462="",0,IFERROR(MATCH($H462,GradeList,0),0))</f>
        <v>7</v>
      </c>
      <c r="O462" s="64" t="n">
        <f aca="false">IF(OR($I462="",$I462="NR"),0,IFERROR(MATCH($I462,GradeList,0),0))</f>
        <v>0</v>
      </c>
      <c r="P462" s="64" t="n">
        <f aca="false">IF(AND($M462&gt;0,ISNUMBER(MATCH($F462,Lists!$A$2:$A$5,0)),ISNUMBER(MATCH($G462,Lists!$B$2:$B$7,0)),OR($H462="",$N462&gt;0),OR($I462="",$I462="NR",$O462&gt;0),IF(ISNUMBER($J462),AND($J462&gt;=0,$J462=INT($J462)),FALSE())),$J462,0)</f>
        <v>1</v>
      </c>
      <c r="Q462" s="64" t="n">
        <f aca="false">IF(AND($P462&gt;0,$O462&gt;0),$P462,0)</f>
        <v>0</v>
      </c>
      <c r="R462" s="64" t="n">
        <f aca="false">IF(AND($Q462&gt;0,$O462&gt;=AtRank),$Q462,0)</f>
        <v>0</v>
      </c>
      <c r="S462" s="64" t="n">
        <f aca="false">IF(AND($Q462&gt;0,$O462&gt;=AboveRank),$Q462,0)</f>
        <v>0</v>
      </c>
      <c r="T462" s="64" t="n">
        <f aca="false">IF($K462="Less",$P462,0)</f>
        <v>0</v>
      </c>
      <c r="U462" s="64" t="n">
        <f aca="false">IF($K462="Expected",$P462,0)</f>
        <v>0</v>
      </c>
      <c r="V462" s="64" t="n">
        <f aca="false">IF($K462="Better",$P462,0)</f>
        <v>0</v>
      </c>
      <c r="W462" s="64" t="n">
        <f aca="false">IF($K462="U – needs rule",$P462,0)</f>
        <v>0</v>
      </c>
      <c r="X462" s="64" t="n">
        <f aca="false">IF($K462="No Start (attainment only)",$P462,0)</f>
        <v>0</v>
      </c>
    </row>
    <row r="463" customFormat="false" ht="15" hidden="false" customHeight="false" outlineLevel="0" collapsed="false">
      <c r="A463" s="60" t="s">
        <v>797</v>
      </c>
      <c r="B463" s="61" t="str">
        <f aca="false">IF($M463=0,"",INDEX(Classes!$E$6:$E$420,$M463))</f>
        <v>Arabic A</v>
      </c>
      <c r="C463" s="62" t="str">
        <f aca="false">IF($M463=0,"",INDEX(Classes!$H$6:$H$420,$M463))</f>
        <v>Mr Elsaid A Eltantawi</v>
      </c>
      <c r="D463" s="61" t="str">
        <f aca="false">IF($M463=0,"",INDEX(Classes!$B$6:$B$420,$M463))</f>
        <v>Year 10</v>
      </c>
      <c r="E463" s="61" t="str">
        <f aca="false">IF($M463=0,"",INDEX(Classes!$C$6:$C$420,$M463))</f>
        <v>ip</v>
      </c>
      <c r="F463" s="63" t="s">
        <v>107</v>
      </c>
      <c r="G463" s="63" t="s">
        <v>941</v>
      </c>
      <c r="H463" s="60" t="s">
        <v>200</v>
      </c>
      <c r="I463" s="60" t="s">
        <v>200</v>
      </c>
      <c r="J463" s="63" t="n">
        <v>1</v>
      </c>
      <c r="K463" s="61" t="str">
        <f aca="false">IF($P463=0,"",IF($F463="Baseline","— Baseline",IF($O463=0,"No result",IF($N463=0,"No Start (attainment only)",IF(OR($N463=1,$O463=1),"U – needs rule",INDEX(MxBody,MATCH($I463,MxCurr,0),MATCH($H463,MxStart,0)))))))</f>
        <v>Expected</v>
      </c>
      <c r="L463" s="62" t="str">
        <f aca="false">IF(COUNTA($A463,$F463,$G463,$H463,$I463,$J463)=0,"",IF($M463=0,"✖ كود الصف غير موجود",IF(ISNA(MATCH($F463,Lists!$A$2:$A$5,0)),"✖ الفترة غير صحيحة",IF(ISNA(MATCH($G463,Lists!$B$2:$B$7,0)),"✖ المجموعة غير صحيحة",IF(NOT(OR($H463="",$N463&gt;0)),"✖ Start غير صحيح",IF(NOT(OR($I463="",$I463="NR",$O463&gt;0)),"✖ Current غير صحيح",IF(NOT(IF(ISNUMBER($J463),AND($J463&gt;=0,$J463=INT($J463)),FALSE())),"✖ العدد يجب أن يكون صحيحًا ≥ 0",IF(AND($F463="Baseline",$H463&lt;&gt;""),"⚠ Baseline: Start لا يدخل في التقدم",IF($K463="No Start (attainment only)","ℹ تحصيل فقط (بدون Start)",IF($K463="U – needs rule","ℹ حالة U تحتاج قاعدة معتمدة",IF($K463="No result","ℹ بدون نتيجة (يُستبعد من التحصيل)","OK")))))))))))</f>
        <v>OK</v>
      </c>
      <c r="M463" s="64" t="n">
        <f aca="false">IF($A463="",0,IFERROR(MATCH($A463,Classes!$A$6:$A$420,0),0))</f>
        <v>300</v>
      </c>
      <c r="N463" s="64" t="n">
        <f aca="false">IF($H463="",0,IFERROR(MATCH($H463,GradeList,0),0))</f>
        <v>5</v>
      </c>
      <c r="O463" s="64" t="n">
        <f aca="false">IF(OR($I463="",$I463="NR"),0,IFERROR(MATCH($I463,GradeList,0),0))</f>
        <v>5</v>
      </c>
      <c r="P463" s="64" t="n">
        <f aca="false">IF(AND($M463&gt;0,ISNUMBER(MATCH($F463,Lists!$A$2:$A$5,0)),ISNUMBER(MATCH($G463,Lists!$B$2:$B$7,0)),OR($H463="",$N463&gt;0),OR($I463="",$I463="NR",$O463&gt;0),IF(ISNUMBER($J463),AND($J463&gt;=0,$J463=INT($J463)),FALSE())),$J463,0)</f>
        <v>1</v>
      </c>
      <c r="Q463" s="64" t="n">
        <f aca="false">IF(AND($P463&gt;0,$O463&gt;0),$P463,0)</f>
        <v>1</v>
      </c>
      <c r="R463" s="64" t="n">
        <f aca="false">IF(AND($Q463&gt;0,$O463&gt;=AtRank),$Q463,0)</f>
        <v>1</v>
      </c>
      <c r="S463" s="64" t="n">
        <f aca="false">IF(AND($Q463&gt;0,$O463&gt;=AboveRank),$Q463,0)</f>
        <v>0</v>
      </c>
      <c r="T463" s="64" t="n">
        <f aca="false">IF($K463="Less",$P463,0)</f>
        <v>0</v>
      </c>
      <c r="U463" s="64" t="n">
        <f aca="false">IF($K463="Expected",$P463,0)</f>
        <v>1</v>
      </c>
      <c r="V463" s="64" t="n">
        <f aca="false">IF($K463="Better",$P463,0)</f>
        <v>0</v>
      </c>
      <c r="W463" s="64" t="n">
        <f aca="false">IF($K463="U – needs rule",$P463,0)</f>
        <v>0</v>
      </c>
      <c r="X463" s="64" t="n">
        <f aca="false">IF($K463="No Start (attainment only)",$P463,0)</f>
        <v>0</v>
      </c>
    </row>
    <row r="464" customFormat="false" ht="15" hidden="false" customHeight="false" outlineLevel="0" collapsed="false">
      <c r="A464" s="60" t="s">
        <v>797</v>
      </c>
      <c r="B464" s="61" t="str">
        <f aca="false">IF($M464=0,"",INDEX(Classes!$E$6:$E$420,$M464))</f>
        <v>Arabic A</v>
      </c>
      <c r="C464" s="62" t="str">
        <f aca="false">IF($M464=0,"",INDEX(Classes!$H$6:$H$420,$M464))</f>
        <v>Mr Elsaid A Eltantawi</v>
      </c>
      <c r="D464" s="61" t="str">
        <f aca="false">IF($M464=0,"",INDEX(Classes!$B$6:$B$420,$M464))</f>
        <v>Year 10</v>
      </c>
      <c r="E464" s="61" t="str">
        <f aca="false">IF($M464=0,"",INDEX(Classes!$C$6:$C$420,$M464))</f>
        <v>ip</v>
      </c>
      <c r="F464" s="63" t="s">
        <v>107</v>
      </c>
      <c r="G464" s="63" t="s">
        <v>1017</v>
      </c>
      <c r="H464" s="60" t="s">
        <v>200</v>
      </c>
      <c r="I464" s="60" t="s">
        <v>200</v>
      </c>
      <c r="J464" s="63" t="n">
        <v>1</v>
      </c>
      <c r="K464" s="61" t="str">
        <f aca="false">IF($P464=0,"",IF($F464="Baseline","— Baseline",IF($O464=0,"No result",IF($N464=0,"No Start (attainment only)",IF(OR($N464=1,$O464=1),"U – needs rule",INDEX(MxBody,MATCH($I464,MxCurr,0),MATCH($H464,MxStart,0)))))))</f>
        <v>Expected</v>
      </c>
      <c r="L464" s="62" t="str">
        <f aca="false">IF(COUNTA($A464,$F464,$G464,$H464,$I464,$J464)=0,"",IF($M464=0,"✖ كود الصف غير موجود",IF(ISNA(MATCH($F464,Lists!$A$2:$A$5,0)),"✖ الفترة غير صحيحة",IF(ISNA(MATCH($G464,Lists!$B$2:$B$7,0)),"✖ المجموعة غير صحيحة",IF(NOT(OR($H464="",$N464&gt;0)),"✖ Start غير صحيح",IF(NOT(OR($I464="",$I464="NR",$O464&gt;0)),"✖ Current غير صحيح",IF(NOT(IF(ISNUMBER($J464),AND($J464&gt;=0,$J464=INT($J464)),FALSE())),"✖ العدد يجب أن يكون صحيحًا ≥ 0",IF(AND($F464="Baseline",$H464&lt;&gt;""),"⚠ Baseline: Start لا يدخل في التقدم",IF($K464="No Start (attainment only)","ℹ تحصيل فقط (بدون Start)",IF($K464="U – needs rule","ℹ حالة U تحتاج قاعدة معتمدة",IF($K464="No result","ℹ بدون نتيجة (يُستبعد من التحصيل)","OK")))))))))))</f>
        <v>OK</v>
      </c>
      <c r="M464" s="64" t="n">
        <f aca="false">IF($A464="",0,IFERROR(MATCH($A464,Classes!$A$6:$A$420,0),0))</f>
        <v>300</v>
      </c>
      <c r="N464" s="64" t="n">
        <f aca="false">IF($H464="",0,IFERROR(MATCH($H464,GradeList,0),0))</f>
        <v>5</v>
      </c>
      <c r="O464" s="64" t="n">
        <f aca="false">IF(OR($I464="",$I464="NR"),0,IFERROR(MATCH($I464,GradeList,0),0))</f>
        <v>5</v>
      </c>
      <c r="P464" s="64" t="n">
        <f aca="false">IF(AND($M464&gt;0,ISNUMBER(MATCH($F464,Lists!$A$2:$A$5,0)),ISNUMBER(MATCH($G464,Lists!$B$2:$B$7,0)),OR($H464="",$N464&gt;0),OR($I464="",$I464="NR",$O464&gt;0),IF(ISNUMBER($J464),AND($J464&gt;=0,$J464=INT($J464)),FALSE())),$J464,0)</f>
        <v>1</v>
      </c>
      <c r="Q464" s="64" t="n">
        <f aca="false">IF(AND($P464&gt;0,$O464&gt;0),$P464,0)</f>
        <v>1</v>
      </c>
      <c r="R464" s="64" t="n">
        <f aca="false">IF(AND($Q464&gt;0,$O464&gt;=AtRank),$Q464,0)</f>
        <v>1</v>
      </c>
      <c r="S464" s="64" t="n">
        <f aca="false">IF(AND($Q464&gt;0,$O464&gt;=AboveRank),$Q464,0)</f>
        <v>0</v>
      </c>
      <c r="T464" s="64" t="n">
        <f aca="false">IF($K464="Less",$P464,0)</f>
        <v>0</v>
      </c>
      <c r="U464" s="64" t="n">
        <f aca="false">IF($K464="Expected",$P464,0)</f>
        <v>1</v>
      </c>
      <c r="V464" s="64" t="n">
        <f aca="false">IF($K464="Better",$P464,0)</f>
        <v>0</v>
      </c>
      <c r="W464" s="64" t="n">
        <f aca="false">IF($K464="U – needs rule",$P464,0)</f>
        <v>0</v>
      </c>
      <c r="X464" s="64" t="n">
        <f aca="false">IF($K464="No Start (attainment only)",$P464,0)</f>
        <v>0</v>
      </c>
    </row>
    <row r="465" customFormat="false" ht="15" hidden="false" customHeight="false" outlineLevel="0" collapsed="false">
      <c r="A465" s="60" t="s">
        <v>797</v>
      </c>
      <c r="B465" s="61" t="str">
        <f aca="false">IF($M465=0,"",INDEX(Classes!$E$6:$E$420,$M465))</f>
        <v>Arabic A</v>
      </c>
      <c r="C465" s="62" t="str">
        <f aca="false">IF($M465=0,"",INDEX(Classes!$H$6:$H$420,$M465))</f>
        <v>Mr Elsaid A Eltantawi</v>
      </c>
      <c r="D465" s="61" t="str">
        <f aca="false">IF($M465=0,"",INDEX(Classes!$B$6:$B$420,$M465))</f>
        <v>Year 10</v>
      </c>
      <c r="E465" s="61" t="str">
        <f aca="false">IF($M465=0,"",INDEX(Classes!$C$6:$C$420,$M465))</f>
        <v>ip</v>
      </c>
      <c r="F465" s="63" t="s">
        <v>107</v>
      </c>
      <c r="G465" s="63" t="s">
        <v>1017</v>
      </c>
      <c r="H465" s="60" t="s">
        <v>200</v>
      </c>
      <c r="I465" s="60" t="s">
        <v>201</v>
      </c>
      <c r="J465" s="63" t="n">
        <v>1</v>
      </c>
      <c r="K465" s="61" t="str">
        <f aca="false">IF($P465=0,"",IF($F465="Baseline","— Baseline",IF($O465=0,"No result",IF($N465=0,"No Start (attainment only)",IF(OR($N465=1,$O465=1),"U – needs rule",INDEX(MxBody,MATCH($I465,MxCurr,0),MATCH($H465,MxStart,0)))))))</f>
        <v>Better</v>
      </c>
      <c r="L465" s="62" t="str">
        <f aca="false">IF(COUNTA($A465,$F465,$G465,$H465,$I465,$J465)=0,"",IF($M465=0,"✖ كود الصف غير موجود",IF(ISNA(MATCH($F465,Lists!$A$2:$A$5,0)),"✖ الفترة غير صحيحة",IF(ISNA(MATCH($G465,Lists!$B$2:$B$7,0)),"✖ المجموعة غير صحيحة",IF(NOT(OR($H465="",$N465&gt;0)),"✖ Start غير صحيح",IF(NOT(OR($I465="",$I465="NR",$O465&gt;0)),"✖ Current غير صحيح",IF(NOT(IF(ISNUMBER($J465),AND($J465&gt;=0,$J465=INT($J465)),FALSE())),"✖ العدد يجب أن يكون صحيحًا ≥ 0",IF(AND($F465="Baseline",$H465&lt;&gt;""),"⚠ Baseline: Start لا يدخل في التقدم",IF($K465="No Start (attainment only)","ℹ تحصيل فقط (بدون Start)",IF($K465="U – needs rule","ℹ حالة U تحتاج قاعدة معتمدة",IF($K465="No result","ℹ بدون نتيجة (يُستبعد من التحصيل)","OK")))))))))))</f>
        <v>OK</v>
      </c>
      <c r="M465" s="64" t="n">
        <f aca="false">IF($A465="",0,IFERROR(MATCH($A465,Classes!$A$6:$A$420,0),0))</f>
        <v>300</v>
      </c>
      <c r="N465" s="64" t="n">
        <f aca="false">IF($H465="",0,IFERROR(MATCH($H465,GradeList,0),0))</f>
        <v>5</v>
      </c>
      <c r="O465" s="64" t="n">
        <f aca="false">IF(OR($I465="",$I465="NR"),0,IFERROR(MATCH($I465,GradeList,0),0))</f>
        <v>6</v>
      </c>
      <c r="P465" s="64" t="n">
        <f aca="false">IF(AND($M465&gt;0,ISNUMBER(MATCH($F465,Lists!$A$2:$A$5,0)),ISNUMBER(MATCH($G465,Lists!$B$2:$B$7,0)),OR($H465="",$N465&gt;0),OR($I465="",$I465="NR",$O465&gt;0),IF(ISNUMBER($J465),AND($J465&gt;=0,$J465=INT($J465)),FALSE())),$J465,0)</f>
        <v>1</v>
      </c>
      <c r="Q465" s="64" t="n">
        <f aca="false">IF(AND($P465&gt;0,$O465&gt;0),$P465,0)</f>
        <v>1</v>
      </c>
      <c r="R465" s="64" t="n">
        <f aca="false">IF(AND($Q465&gt;0,$O465&gt;=AtRank),$Q465,0)</f>
        <v>1</v>
      </c>
      <c r="S465" s="64" t="n">
        <f aca="false">IF(AND($Q465&gt;0,$O465&gt;=AboveRank),$Q465,0)</f>
        <v>0</v>
      </c>
      <c r="T465" s="64" t="n">
        <f aca="false">IF($K465="Less",$P465,0)</f>
        <v>0</v>
      </c>
      <c r="U465" s="64" t="n">
        <f aca="false">IF($K465="Expected",$P465,0)</f>
        <v>0</v>
      </c>
      <c r="V465" s="64" t="n">
        <f aca="false">IF($K465="Better",$P465,0)</f>
        <v>1</v>
      </c>
      <c r="W465" s="64" t="n">
        <f aca="false">IF($K465="U – needs rule",$P465,0)</f>
        <v>0</v>
      </c>
      <c r="X465" s="64" t="n">
        <f aca="false">IF($K465="No Start (attainment only)",$P465,0)</f>
        <v>0</v>
      </c>
    </row>
    <row r="466" customFormat="false" ht="15" hidden="false" customHeight="false" outlineLevel="0" collapsed="false">
      <c r="A466" s="60" t="s">
        <v>797</v>
      </c>
      <c r="B466" s="61" t="str">
        <f aca="false">IF($M466=0,"",INDEX(Classes!$E$6:$E$420,$M466))</f>
        <v>Arabic A</v>
      </c>
      <c r="C466" s="62" t="str">
        <f aca="false">IF($M466=0,"",INDEX(Classes!$H$6:$H$420,$M466))</f>
        <v>Mr Elsaid A Eltantawi</v>
      </c>
      <c r="D466" s="61" t="str">
        <f aca="false">IF($M466=0,"",INDEX(Classes!$B$6:$B$420,$M466))</f>
        <v>Year 10</v>
      </c>
      <c r="E466" s="61" t="str">
        <f aca="false">IF($M466=0,"",INDEX(Classes!$C$6:$C$420,$M466))</f>
        <v>ip</v>
      </c>
      <c r="F466" s="63" t="s">
        <v>107</v>
      </c>
      <c r="G466" s="63" t="s">
        <v>1017</v>
      </c>
      <c r="H466" s="60" t="s">
        <v>201</v>
      </c>
      <c r="I466" s="60" t="s">
        <v>202</v>
      </c>
      <c r="J466" s="63" t="n">
        <v>1</v>
      </c>
      <c r="K466" s="61" t="str">
        <f aca="false">IF($P466=0,"",IF($F466="Baseline","— Baseline",IF($O466=0,"No result",IF($N466=0,"No Start (attainment only)",IF(OR($N466=1,$O466=1),"U – needs rule",INDEX(MxBody,MATCH($I466,MxCurr,0),MATCH($H466,MxStart,0)))))))</f>
        <v>Better</v>
      </c>
      <c r="L466" s="62" t="str">
        <f aca="false">IF(COUNTA($A466,$F466,$G466,$H466,$I466,$J466)=0,"",IF($M466=0,"✖ كود الصف غير موجود",IF(ISNA(MATCH($F466,Lists!$A$2:$A$5,0)),"✖ الفترة غير صحيحة",IF(ISNA(MATCH($G466,Lists!$B$2:$B$7,0)),"✖ المجموعة غير صحيحة",IF(NOT(OR($H466="",$N466&gt;0)),"✖ Start غير صحيح",IF(NOT(OR($I466="",$I466="NR",$O466&gt;0)),"✖ Current غير صحيح",IF(NOT(IF(ISNUMBER($J466),AND($J466&gt;=0,$J466=INT($J466)),FALSE())),"✖ العدد يجب أن يكون صحيحًا ≥ 0",IF(AND($F466="Baseline",$H466&lt;&gt;""),"⚠ Baseline: Start لا يدخل في التقدم",IF($K466="No Start (attainment only)","ℹ تحصيل فقط (بدون Start)",IF($K466="U – needs rule","ℹ حالة U تحتاج قاعدة معتمدة",IF($K466="No result","ℹ بدون نتيجة (يُستبعد من التحصيل)","OK")))))))))))</f>
        <v>OK</v>
      </c>
      <c r="M466" s="64" t="n">
        <f aca="false">IF($A466="",0,IFERROR(MATCH($A466,Classes!$A$6:$A$420,0),0))</f>
        <v>300</v>
      </c>
      <c r="N466" s="64" t="n">
        <f aca="false">IF($H466="",0,IFERROR(MATCH($H466,GradeList,0),0))</f>
        <v>6</v>
      </c>
      <c r="O466" s="64" t="n">
        <f aca="false">IF(OR($I466="",$I466="NR"),0,IFERROR(MATCH($I466,GradeList,0),0))</f>
        <v>7</v>
      </c>
      <c r="P466" s="64" t="n">
        <f aca="false">IF(AND($M466&gt;0,ISNUMBER(MATCH($F466,Lists!$A$2:$A$5,0)),ISNUMBER(MATCH($G466,Lists!$B$2:$B$7,0)),OR($H466="",$N466&gt;0),OR($I466="",$I466="NR",$O466&gt;0),IF(ISNUMBER($J466),AND($J466&gt;=0,$J466=INT($J466)),FALSE())),$J466,0)</f>
        <v>1</v>
      </c>
      <c r="Q466" s="64" t="n">
        <f aca="false">IF(AND($P466&gt;0,$O466&gt;0),$P466,0)</f>
        <v>1</v>
      </c>
      <c r="R466" s="64" t="n">
        <f aca="false">IF(AND($Q466&gt;0,$O466&gt;=AtRank),$Q466,0)</f>
        <v>1</v>
      </c>
      <c r="S466" s="64" t="n">
        <f aca="false">IF(AND($Q466&gt;0,$O466&gt;=AboveRank),$Q466,0)</f>
        <v>1</v>
      </c>
      <c r="T466" s="64" t="n">
        <f aca="false">IF($K466="Less",$P466,0)</f>
        <v>0</v>
      </c>
      <c r="U466" s="64" t="n">
        <f aca="false">IF($K466="Expected",$P466,0)</f>
        <v>0</v>
      </c>
      <c r="V466" s="64" t="n">
        <f aca="false">IF($K466="Better",$P466,0)</f>
        <v>1</v>
      </c>
      <c r="W466" s="64" t="n">
        <f aca="false">IF($K466="U – needs rule",$P466,0)</f>
        <v>0</v>
      </c>
      <c r="X466" s="64" t="n">
        <f aca="false">IF($K466="No Start (attainment only)",$P466,0)</f>
        <v>0</v>
      </c>
    </row>
    <row r="467" customFormat="false" ht="15" hidden="false" customHeight="false" outlineLevel="0" collapsed="false">
      <c r="A467" s="60" t="s">
        <v>797</v>
      </c>
      <c r="B467" s="61" t="str">
        <f aca="false">IF($M467=0,"",INDEX(Classes!$E$6:$E$420,$M467))</f>
        <v>Arabic A</v>
      </c>
      <c r="C467" s="62" t="str">
        <f aca="false">IF($M467=0,"",INDEX(Classes!$H$6:$H$420,$M467))</f>
        <v>Mr Elsaid A Eltantawi</v>
      </c>
      <c r="D467" s="61" t="str">
        <f aca="false">IF($M467=0,"",INDEX(Classes!$B$6:$B$420,$M467))</f>
        <v>Year 10</v>
      </c>
      <c r="E467" s="61" t="str">
        <f aca="false">IF($M467=0,"",INDEX(Classes!$C$6:$C$420,$M467))</f>
        <v>ip</v>
      </c>
      <c r="F467" s="63" t="s">
        <v>107</v>
      </c>
      <c r="G467" s="63" t="s">
        <v>1017</v>
      </c>
      <c r="H467" s="60" t="s">
        <v>201</v>
      </c>
      <c r="I467" s="60" t="s">
        <v>201</v>
      </c>
      <c r="J467" s="63" t="n">
        <v>1</v>
      </c>
      <c r="K467" s="61" t="str">
        <f aca="false">IF($P467=0,"",IF($F467="Baseline","— Baseline",IF($O467=0,"No result",IF($N467=0,"No Start (attainment only)",IF(OR($N467=1,$O467=1),"U – needs rule",INDEX(MxBody,MATCH($I467,MxCurr,0),MATCH($H467,MxStart,0)))))))</f>
        <v>Expected</v>
      </c>
      <c r="L467" s="62" t="str">
        <f aca="false">IF(COUNTA($A467,$F467,$G467,$H467,$I467,$J467)=0,"",IF($M467=0,"✖ كود الصف غير موجود",IF(ISNA(MATCH($F467,Lists!$A$2:$A$5,0)),"✖ الفترة غير صحيحة",IF(ISNA(MATCH($G467,Lists!$B$2:$B$7,0)),"✖ المجموعة غير صحيحة",IF(NOT(OR($H467="",$N467&gt;0)),"✖ Start غير صحيح",IF(NOT(OR($I467="",$I467="NR",$O467&gt;0)),"✖ Current غير صحيح",IF(NOT(IF(ISNUMBER($J467),AND($J467&gt;=0,$J467=INT($J467)),FALSE())),"✖ العدد يجب أن يكون صحيحًا ≥ 0",IF(AND($F467="Baseline",$H467&lt;&gt;""),"⚠ Baseline: Start لا يدخل في التقدم",IF($K467="No Start (attainment only)","ℹ تحصيل فقط (بدون Start)",IF($K467="U – needs rule","ℹ حالة U تحتاج قاعدة معتمدة",IF($K467="No result","ℹ بدون نتيجة (يُستبعد من التحصيل)","OK")))))))))))</f>
        <v>OK</v>
      </c>
      <c r="M467" s="64" t="n">
        <f aca="false">IF($A467="",0,IFERROR(MATCH($A467,Classes!$A$6:$A$420,0),0))</f>
        <v>300</v>
      </c>
      <c r="N467" s="64" t="n">
        <f aca="false">IF($H467="",0,IFERROR(MATCH($H467,GradeList,0),0))</f>
        <v>6</v>
      </c>
      <c r="O467" s="64" t="n">
        <f aca="false">IF(OR($I467="",$I467="NR"),0,IFERROR(MATCH($I467,GradeList,0),0))</f>
        <v>6</v>
      </c>
      <c r="P467" s="64" t="n">
        <f aca="false">IF(AND($M467&gt;0,ISNUMBER(MATCH($F467,Lists!$A$2:$A$5,0)),ISNUMBER(MATCH($G467,Lists!$B$2:$B$7,0)),OR($H467="",$N467&gt;0),OR($I467="",$I467="NR",$O467&gt;0),IF(ISNUMBER($J467),AND($J467&gt;=0,$J467=INT($J467)),FALSE())),$J467,0)</f>
        <v>1</v>
      </c>
      <c r="Q467" s="64" t="n">
        <f aca="false">IF(AND($P467&gt;0,$O467&gt;0),$P467,0)</f>
        <v>1</v>
      </c>
      <c r="R467" s="64" t="n">
        <f aca="false">IF(AND($Q467&gt;0,$O467&gt;=AtRank),$Q467,0)</f>
        <v>1</v>
      </c>
      <c r="S467" s="64" t="n">
        <f aca="false">IF(AND($Q467&gt;0,$O467&gt;=AboveRank),$Q467,0)</f>
        <v>0</v>
      </c>
      <c r="T467" s="64" t="n">
        <f aca="false">IF($K467="Less",$P467,0)</f>
        <v>0</v>
      </c>
      <c r="U467" s="64" t="n">
        <f aca="false">IF($K467="Expected",$P467,0)</f>
        <v>1</v>
      </c>
      <c r="V467" s="64" t="n">
        <f aca="false">IF($K467="Better",$P467,0)</f>
        <v>0</v>
      </c>
      <c r="W467" s="64" t="n">
        <f aca="false">IF($K467="U – needs rule",$P467,0)</f>
        <v>0</v>
      </c>
      <c r="X467" s="64" t="n">
        <f aca="false">IF($K467="No Start (attainment only)",$P467,0)</f>
        <v>0</v>
      </c>
    </row>
    <row r="468" customFormat="false" ht="15" hidden="false" customHeight="false" outlineLevel="0" collapsed="false">
      <c r="A468" s="60" t="s">
        <v>797</v>
      </c>
      <c r="B468" s="61" t="str">
        <f aca="false">IF($M468=0,"",INDEX(Classes!$E$6:$E$420,$M468))</f>
        <v>Arabic A</v>
      </c>
      <c r="C468" s="62" t="str">
        <f aca="false">IF($M468=0,"",INDEX(Classes!$H$6:$H$420,$M468))</f>
        <v>Mr Elsaid A Eltantawi</v>
      </c>
      <c r="D468" s="61" t="str">
        <f aca="false">IF($M468=0,"",INDEX(Classes!$B$6:$B$420,$M468))</f>
        <v>Year 10</v>
      </c>
      <c r="E468" s="61" t="str">
        <f aca="false">IF($M468=0,"",INDEX(Classes!$C$6:$C$420,$M468))</f>
        <v>ip</v>
      </c>
      <c r="F468" s="63" t="s">
        <v>107</v>
      </c>
      <c r="G468" s="63" t="s">
        <v>1018</v>
      </c>
      <c r="H468" s="60" t="s">
        <v>202</v>
      </c>
      <c r="I468" s="60" t="s">
        <v>203</v>
      </c>
      <c r="J468" s="63" t="n">
        <v>1</v>
      </c>
      <c r="K468" s="61" t="str">
        <f aca="false">IF($P468=0,"",IF($F468="Baseline","— Baseline",IF($O468=0,"No result",IF($N468=0,"No Start (attainment only)",IF(OR($N468=1,$O468=1),"U – needs rule",INDEX(MxBody,MATCH($I468,MxCurr,0),MATCH($H468,MxStart,0)))))))</f>
        <v>Better</v>
      </c>
      <c r="L468" s="62" t="str">
        <f aca="false">IF(COUNTA($A468,$F468,$G468,$H468,$I468,$J468)=0,"",IF($M468=0,"✖ كود الصف غير موجود",IF(ISNA(MATCH($F468,Lists!$A$2:$A$5,0)),"✖ الفترة غير صحيحة",IF(ISNA(MATCH($G468,Lists!$B$2:$B$7,0)),"✖ المجموعة غير صحيحة",IF(NOT(OR($H468="",$N468&gt;0)),"✖ Start غير صحيح",IF(NOT(OR($I468="",$I468="NR",$O468&gt;0)),"✖ Current غير صحيح",IF(NOT(IF(ISNUMBER($J468),AND($J468&gt;=0,$J468=INT($J468)),FALSE())),"✖ العدد يجب أن يكون صحيحًا ≥ 0",IF(AND($F468="Baseline",$H468&lt;&gt;""),"⚠ Baseline: Start لا يدخل في التقدم",IF($K468="No Start (attainment only)","ℹ تحصيل فقط (بدون Start)",IF($K468="U – needs rule","ℹ حالة U تحتاج قاعدة معتمدة",IF($K468="No result","ℹ بدون نتيجة (يُستبعد من التحصيل)","OK")))))))))))</f>
        <v>OK</v>
      </c>
      <c r="M468" s="64" t="n">
        <f aca="false">IF($A468="",0,IFERROR(MATCH($A468,Classes!$A$6:$A$420,0),0))</f>
        <v>300</v>
      </c>
      <c r="N468" s="64" t="n">
        <f aca="false">IF($H468="",0,IFERROR(MATCH($H468,GradeList,0),0))</f>
        <v>7</v>
      </c>
      <c r="O468" s="64" t="n">
        <f aca="false">IF(OR($I468="",$I468="NR"),0,IFERROR(MATCH($I468,GradeList,0),0))</f>
        <v>8</v>
      </c>
      <c r="P468" s="64" t="n">
        <f aca="false">IF(AND($M468&gt;0,ISNUMBER(MATCH($F468,Lists!$A$2:$A$5,0)),ISNUMBER(MATCH($G468,Lists!$B$2:$B$7,0)),OR($H468="",$N468&gt;0),OR($I468="",$I468="NR",$O468&gt;0),IF(ISNUMBER($J468),AND($J468&gt;=0,$J468=INT($J468)),FALSE())),$J468,0)</f>
        <v>1</v>
      </c>
      <c r="Q468" s="64" t="n">
        <f aca="false">IF(AND($P468&gt;0,$O468&gt;0),$P468,0)</f>
        <v>1</v>
      </c>
      <c r="R468" s="64" t="n">
        <f aca="false">IF(AND($Q468&gt;0,$O468&gt;=AtRank),$Q468,0)</f>
        <v>1</v>
      </c>
      <c r="S468" s="64" t="n">
        <f aca="false">IF(AND($Q468&gt;0,$O468&gt;=AboveRank),$Q468,0)</f>
        <v>1</v>
      </c>
      <c r="T468" s="64" t="n">
        <f aca="false">IF($K468="Less",$P468,0)</f>
        <v>0</v>
      </c>
      <c r="U468" s="64" t="n">
        <f aca="false">IF($K468="Expected",$P468,0)</f>
        <v>0</v>
      </c>
      <c r="V468" s="64" t="n">
        <f aca="false">IF($K468="Better",$P468,0)</f>
        <v>1</v>
      </c>
      <c r="W468" s="64" t="n">
        <f aca="false">IF($K468="U – needs rule",$P468,0)</f>
        <v>0</v>
      </c>
      <c r="X468" s="64" t="n">
        <f aca="false">IF($K468="No Start (attainment only)",$P468,0)</f>
        <v>0</v>
      </c>
    </row>
    <row r="469" customFormat="false" ht="15" hidden="false" customHeight="false" outlineLevel="0" collapsed="false">
      <c r="A469" s="60" t="s">
        <v>797</v>
      </c>
      <c r="B469" s="61" t="str">
        <f aca="false">IF($M469=0,"",INDEX(Classes!$E$6:$E$420,$M469))</f>
        <v>Arabic A</v>
      </c>
      <c r="C469" s="62" t="str">
        <f aca="false">IF($M469=0,"",INDEX(Classes!$H$6:$H$420,$M469))</f>
        <v>Mr Elsaid A Eltantawi</v>
      </c>
      <c r="D469" s="61" t="str">
        <f aca="false">IF($M469=0,"",INDEX(Classes!$B$6:$B$420,$M469))</f>
        <v>Year 10</v>
      </c>
      <c r="E469" s="61" t="str">
        <f aca="false">IF($M469=0,"",INDEX(Classes!$C$6:$C$420,$M469))</f>
        <v>ip</v>
      </c>
      <c r="F469" s="63" t="s">
        <v>107</v>
      </c>
      <c r="G469" s="63" t="s">
        <v>1018</v>
      </c>
      <c r="H469" s="60" t="s">
        <v>202</v>
      </c>
      <c r="I469" s="60" t="s">
        <v>204</v>
      </c>
      <c r="J469" s="63" t="n">
        <v>1</v>
      </c>
      <c r="K469" s="61" t="str">
        <f aca="false">IF($P469=0,"",IF($F469="Baseline","— Baseline",IF($O469=0,"No result",IF($N469=0,"No Start (attainment only)",IF(OR($N469=1,$O469=1),"U – needs rule",INDEX(MxBody,MATCH($I469,MxCurr,0),MATCH($H469,MxStart,0)))))))</f>
        <v>Better</v>
      </c>
      <c r="L469" s="62" t="str">
        <f aca="false">IF(COUNTA($A469,$F469,$G469,$H469,$I469,$J469)=0,"",IF($M469=0,"✖ كود الصف غير موجود",IF(ISNA(MATCH($F469,Lists!$A$2:$A$5,0)),"✖ الفترة غير صحيحة",IF(ISNA(MATCH($G469,Lists!$B$2:$B$7,0)),"✖ المجموعة غير صحيحة",IF(NOT(OR($H469="",$N469&gt;0)),"✖ Start غير صحيح",IF(NOT(OR($I469="",$I469="NR",$O469&gt;0)),"✖ Current غير صحيح",IF(NOT(IF(ISNUMBER($J469),AND($J469&gt;=0,$J469=INT($J469)),FALSE())),"✖ العدد يجب أن يكون صحيحًا ≥ 0",IF(AND($F469="Baseline",$H469&lt;&gt;""),"⚠ Baseline: Start لا يدخل في التقدم",IF($K469="No Start (attainment only)","ℹ تحصيل فقط (بدون Start)",IF($K469="U – needs rule","ℹ حالة U تحتاج قاعدة معتمدة",IF($K469="No result","ℹ بدون نتيجة (يُستبعد من التحصيل)","OK")))))))))))</f>
        <v>OK</v>
      </c>
      <c r="M469" s="64" t="n">
        <f aca="false">IF($A469="",0,IFERROR(MATCH($A469,Classes!$A$6:$A$420,0),0))</f>
        <v>300</v>
      </c>
      <c r="N469" s="64" t="n">
        <f aca="false">IF($H469="",0,IFERROR(MATCH($H469,GradeList,0),0))</f>
        <v>7</v>
      </c>
      <c r="O469" s="64" t="n">
        <f aca="false">IF(OR($I469="",$I469="NR"),0,IFERROR(MATCH($I469,GradeList,0),0))</f>
        <v>9</v>
      </c>
      <c r="P469" s="64" t="n">
        <f aca="false">IF(AND($M469&gt;0,ISNUMBER(MATCH($F469,Lists!$A$2:$A$5,0)),ISNUMBER(MATCH($G469,Lists!$B$2:$B$7,0)),OR($H469="",$N469&gt;0),OR($I469="",$I469="NR",$O469&gt;0),IF(ISNUMBER($J469),AND($J469&gt;=0,$J469=INT($J469)),FALSE())),$J469,0)</f>
        <v>1</v>
      </c>
      <c r="Q469" s="64" t="n">
        <f aca="false">IF(AND($P469&gt;0,$O469&gt;0),$P469,0)</f>
        <v>1</v>
      </c>
      <c r="R469" s="64" t="n">
        <f aca="false">IF(AND($Q469&gt;0,$O469&gt;=AtRank),$Q469,0)</f>
        <v>1</v>
      </c>
      <c r="S469" s="64" t="n">
        <f aca="false">IF(AND($Q469&gt;0,$O469&gt;=AboveRank),$Q469,0)</f>
        <v>1</v>
      </c>
      <c r="T469" s="64" t="n">
        <f aca="false">IF($K469="Less",$P469,0)</f>
        <v>0</v>
      </c>
      <c r="U469" s="64" t="n">
        <f aca="false">IF($K469="Expected",$P469,0)</f>
        <v>0</v>
      </c>
      <c r="V469" s="64" t="n">
        <f aca="false">IF($K469="Better",$P469,0)</f>
        <v>1</v>
      </c>
      <c r="W469" s="64" t="n">
        <f aca="false">IF($K469="U – needs rule",$P469,0)</f>
        <v>0</v>
      </c>
      <c r="X469" s="64" t="n">
        <f aca="false">IF($K469="No Start (attainment only)",$P469,0)</f>
        <v>0</v>
      </c>
    </row>
    <row r="470" customFormat="false" ht="15" hidden="false" customHeight="false" outlineLevel="0" collapsed="false">
      <c r="A470" s="60" t="s">
        <v>797</v>
      </c>
      <c r="B470" s="61" t="str">
        <f aca="false">IF($M470=0,"",INDEX(Classes!$E$6:$E$420,$M470))</f>
        <v>Arabic A</v>
      </c>
      <c r="C470" s="62" t="str">
        <f aca="false">IF($M470=0,"",INDEX(Classes!$H$6:$H$420,$M470))</f>
        <v>Mr Elsaid A Eltantawi</v>
      </c>
      <c r="D470" s="61" t="str">
        <f aca="false">IF($M470=0,"",INDEX(Classes!$B$6:$B$420,$M470))</f>
        <v>Year 10</v>
      </c>
      <c r="E470" s="61" t="str">
        <f aca="false">IF($M470=0,"",INDEX(Classes!$C$6:$C$420,$M470))</f>
        <v>ip</v>
      </c>
      <c r="F470" s="63" t="s">
        <v>107</v>
      </c>
      <c r="G470" s="63" t="s">
        <v>1018</v>
      </c>
      <c r="H470" s="60" t="s">
        <v>200</v>
      </c>
      <c r="I470" s="60" t="s">
        <v>199</v>
      </c>
      <c r="J470" s="63" t="n">
        <v>1</v>
      </c>
      <c r="K470" s="61" t="str">
        <f aca="false">IF($P470=0,"",IF($F470="Baseline","— Baseline",IF($O470=0,"No result",IF($N470=0,"No Start (attainment only)",IF(OR($N470=1,$O470=1),"U – needs rule",INDEX(MxBody,MATCH($I470,MxCurr,0),MATCH($H470,MxStart,0)))))))</f>
        <v>Less</v>
      </c>
      <c r="L470" s="62" t="str">
        <f aca="false">IF(COUNTA($A470,$F470,$G470,$H470,$I470,$J470)=0,"",IF($M470=0,"✖ كود الصف غير موجود",IF(ISNA(MATCH($F470,Lists!$A$2:$A$5,0)),"✖ الفترة غير صحيحة",IF(ISNA(MATCH($G470,Lists!$B$2:$B$7,0)),"✖ المجموعة غير صحيحة",IF(NOT(OR($H470="",$N470&gt;0)),"✖ Start غير صحيح",IF(NOT(OR($I470="",$I470="NR",$O470&gt;0)),"✖ Current غير صحيح",IF(NOT(IF(ISNUMBER($J470),AND($J470&gt;=0,$J470=INT($J470)),FALSE())),"✖ العدد يجب أن يكون صحيحًا ≥ 0",IF(AND($F470="Baseline",$H470&lt;&gt;""),"⚠ Baseline: Start لا يدخل في التقدم",IF($K470="No Start (attainment only)","ℹ تحصيل فقط (بدون Start)",IF($K470="U – needs rule","ℹ حالة U تحتاج قاعدة معتمدة",IF($K470="No result","ℹ بدون نتيجة (يُستبعد من التحصيل)","OK")))))))))))</f>
        <v>OK</v>
      </c>
      <c r="M470" s="64" t="n">
        <f aca="false">IF($A470="",0,IFERROR(MATCH($A470,Classes!$A$6:$A$420,0),0))</f>
        <v>300</v>
      </c>
      <c r="N470" s="64" t="n">
        <f aca="false">IF($H470="",0,IFERROR(MATCH($H470,GradeList,0),0))</f>
        <v>5</v>
      </c>
      <c r="O470" s="64" t="n">
        <f aca="false">IF(OR($I470="",$I470="NR"),0,IFERROR(MATCH($I470,GradeList,0),0))</f>
        <v>4</v>
      </c>
      <c r="P470" s="64" t="n">
        <f aca="false">IF(AND($M470&gt;0,ISNUMBER(MATCH($F470,Lists!$A$2:$A$5,0)),ISNUMBER(MATCH($G470,Lists!$B$2:$B$7,0)),OR($H470="",$N470&gt;0),OR($I470="",$I470="NR",$O470&gt;0),IF(ISNUMBER($J470),AND($J470&gt;=0,$J470=INT($J470)),FALSE())),$J470,0)</f>
        <v>1</v>
      </c>
      <c r="Q470" s="64" t="n">
        <f aca="false">IF(AND($P470&gt;0,$O470&gt;0),$P470,0)</f>
        <v>1</v>
      </c>
      <c r="R470" s="64" t="n">
        <f aca="false">IF(AND($Q470&gt;0,$O470&gt;=AtRank),$Q470,0)</f>
        <v>0</v>
      </c>
      <c r="S470" s="64" t="n">
        <f aca="false">IF(AND($Q470&gt;0,$O470&gt;=AboveRank),$Q470,0)</f>
        <v>0</v>
      </c>
      <c r="T470" s="64" t="n">
        <f aca="false">IF($K470="Less",$P470,0)</f>
        <v>1</v>
      </c>
      <c r="U470" s="64" t="n">
        <f aca="false">IF($K470="Expected",$P470,0)</f>
        <v>0</v>
      </c>
      <c r="V470" s="64" t="n">
        <f aca="false">IF($K470="Better",$P470,0)</f>
        <v>0</v>
      </c>
      <c r="W470" s="64" t="n">
        <f aca="false">IF($K470="U – needs rule",$P470,0)</f>
        <v>0</v>
      </c>
      <c r="X470" s="64" t="n">
        <f aca="false">IF($K470="No Start (attainment only)",$P470,0)</f>
        <v>0</v>
      </c>
    </row>
    <row r="471" customFormat="false" ht="15" hidden="false" customHeight="false" outlineLevel="0" collapsed="false">
      <c r="A471" s="60" t="s">
        <v>797</v>
      </c>
      <c r="B471" s="61" t="str">
        <f aca="false">IF($M471=0,"",INDEX(Classes!$E$6:$E$420,$M471))</f>
        <v>Arabic A</v>
      </c>
      <c r="C471" s="62" t="str">
        <f aca="false">IF($M471=0,"",INDEX(Classes!$H$6:$H$420,$M471))</f>
        <v>Mr Elsaid A Eltantawi</v>
      </c>
      <c r="D471" s="61" t="str">
        <f aca="false">IF($M471=0,"",INDEX(Classes!$B$6:$B$420,$M471))</f>
        <v>Year 10</v>
      </c>
      <c r="E471" s="61" t="str">
        <f aca="false">IF($M471=0,"",INDEX(Classes!$C$6:$C$420,$M471))</f>
        <v>ip</v>
      </c>
      <c r="F471" s="63" t="s">
        <v>107</v>
      </c>
      <c r="G471" s="63" t="s">
        <v>1018</v>
      </c>
      <c r="H471" s="60" t="s">
        <v>201</v>
      </c>
      <c r="I471" s="60" t="s">
        <v>203</v>
      </c>
      <c r="J471" s="63" t="n">
        <v>1</v>
      </c>
      <c r="K471" s="61" t="str">
        <f aca="false">IF($P471=0,"",IF($F471="Baseline","— Baseline",IF($O471=0,"No result",IF($N471=0,"No Start (attainment only)",IF(OR($N471=1,$O471=1),"U – needs rule",INDEX(MxBody,MATCH($I471,MxCurr,0),MATCH($H471,MxStart,0)))))))</f>
        <v>Better</v>
      </c>
      <c r="L471" s="62" t="str">
        <f aca="false">IF(COUNTA($A471,$F471,$G471,$H471,$I471,$J471)=0,"",IF($M471=0,"✖ كود الصف غير موجود",IF(ISNA(MATCH($F471,Lists!$A$2:$A$5,0)),"✖ الفترة غير صحيحة",IF(ISNA(MATCH($G471,Lists!$B$2:$B$7,0)),"✖ المجموعة غير صحيحة",IF(NOT(OR($H471="",$N471&gt;0)),"✖ Start غير صحيح",IF(NOT(OR($I471="",$I471="NR",$O471&gt;0)),"✖ Current غير صحيح",IF(NOT(IF(ISNUMBER($J471),AND($J471&gt;=0,$J471=INT($J471)),FALSE())),"✖ العدد يجب أن يكون صحيحًا ≥ 0",IF(AND($F471="Baseline",$H471&lt;&gt;""),"⚠ Baseline: Start لا يدخل في التقدم",IF($K471="No Start (attainment only)","ℹ تحصيل فقط (بدون Start)",IF($K471="U – needs rule","ℹ حالة U تحتاج قاعدة معتمدة",IF($K471="No result","ℹ بدون نتيجة (يُستبعد من التحصيل)","OK")))))))))))</f>
        <v>OK</v>
      </c>
      <c r="M471" s="64" t="n">
        <f aca="false">IF($A471="",0,IFERROR(MATCH($A471,Classes!$A$6:$A$420,0),0))</f>
        <v>300</v>
      </c>
      <c r="N471" s="64" t="n">
        <f aca="false">IF($H471="",0,IFERROR(MATCH($H471,GradeList,0),0))</f>
        <v>6</v>
      </c>
      <c r="O471" s="64" t="n">
        <f aca="false">IF(OR($I471="",$I471="NR"),0,IFERROR(MATCH($I471,GradeList,0),0))</f>
        <v>8</v>
      </c>
      <c r="P471" s="64" t="n">
        <f aca="false">IF(AND($M471&gt;0,ISNUMBER(MATCH($F471,Lists!$A$2:$A$5,0)),ISNUMBER(MATCH($G471,Lists!$B$2:$B$7,0)),OR($H471="",$N471&gt;0),OR($I471="",$I471="NR",$O471&gt;0),IF(ISNUMBER($J471),AND($J471&gt;=0,$J471=INT($J471)),FALSE())),$J471,0)</f>
        <v>1</v>
      </c>
      <c r="Q471" s="64" t="n">
        <f aca="false">IF(AND($P471&gt;0,$O471&gt;0),$P471,0)</f>
        <v>1</v>
      </c>
      <c r="R471" s="64" t="n">
        <f aca="false">IF(AND($Q471&gt;0,$O471&gt;=AtRank),$Q471,0)</f>
        <v>1</v>
      </c>
      <c r="S471" s="64" t="n">
        <f aca="false">IF(AND($Q471&gt;0,$O471&gt;=AboveRank),$Q471,0)</f>
        <v>1</v>
      </c>
      <c r="T471" s="64" t="n">
        <f aca="false">IF($K471="Less",$P471,0)</f>
        <v>0</v>
      </c>
      <c r="U471" s="64" t="n">
        <f aca="false">IF($K471="Expected",$P471,0)</f>
        <v>0</v>
      </c>
      <c r="V471" s="64" t="n">
        <f aca="false">IF($K471="Better",$P471,0)</f>
        <v>1</v>
      </c>
      <c r="W471" s="64" t="n">
        <f aca="false">IF($K471="U – needs rule",$P471,0)</f>
        <v>0</v>
      </c>
      <c r="X471" s="64" t="n">
        <f aca="false">IF($K471="No Start (attainment only)",$P471,0)</f>
        <v>0</v>
      </c>
    </row>
    <row r="472" customFormat="false" ht="15" hidden="false" customHeight="false" outlineLevel="0" collapsed="false">
      <c r="A472" s="60" t="s">
        <v>797</v>
      </c>
      <c r="B472" s="61" t="str">
        <f aca="false">IF($M472=0,"",INDEX(Classes!$E$6:$E$420,$M472))</f>
        <v>Arabic A</v>
      </c>
      <c r="C472" s="62" t="str">
        <f aca="false">IF($M472=0,"",INDEX(Classes!$H$6:$H$420,$M472))</f>
        <v>Mr Elsaid A Eltantawi</v>
      </c>
      <c r="D472" s="61" t="str">
        <f aca="false">IF($M472=0,"",INDEX(Classes!$B$6:$B$420,$M472))</f>
        <v>Year 10</v>
      </c>
      <c r="E472" s="61" t="str">
        <f aca="false">IF($M472=0,"",INDEX(Classes!$C$6:$C$420,$M472))</f>
        <v>ip</v>
      </c>
      <c r="F472" s="63" t="s">
        <v>107</v>
      </c>
      <c r="G472" s="63" t="s">
        <v>1018</v>
      </c>
      <c r="H472" s="60" t="s">
        <v>204</v>
      </c>
      <c r="I472" s="60" t="s">
        <v>204</v>
      </c>
      <c r="J472" s="63" t="n">
        <v>1</v>
      </c>
      <c r="K472" s="61" t="str">
        <f aca="false">IF($P472=0,"",IF($F472="Baseline","— Baseline",IF($O472=0,"No result",IF($N472=0,"No Start (attainment only)",IF(OR($N472=1,$O472=1),"U – needs rule",INDEX(MxBody,MATCH($I472,MxCurr,0),MATCH($H472,MxStart,0)))))))</f>
        <v>Better</v>
      </c>
      <c r="L472" s="62" t="str">
        <f aca="false">IF(COUNTA($A472,$F472,$G472,$H472,$I472,$J472)=0,"",IF($M472=0,"✖ كود الصف غير موجود",IF(ISNA(MATCH($F472,Lists!$A$2:$A$5,0)),"✖ الفترة غير صحيحة",IF(ISNA(MATCH($G472,Lists!$B$2:$B$7,0)),"✖ المجموعة غير صحيحة",IF(NOT(OR($H472="",$N472&gt;0)),"✖ Start غير صحيح",IF(NOT(OR($I472="",$I472="NR",$O472&gt;0)),"✖ Current غير صحيح",IF(NOT(IF(ISNUMBER($J472),AND($J472&gt;=0,$J472=INT($J472)),FALSE())),"✖ العدد يجب أن يكون صحيحًا ≥ 0",IF(AND($F472="Baseline",$H472&lt;&gt;""),"⚠ Baseline: Start لا يدخل في التقدم",IF($K472="No Start (attainment only)","ℹ تحصيل فقط (بدون Start)",IF($K472="U – needs rule","ℹ حالة U تحتاج قاعدة معتمدة",IF($K472="No result","ℹ بدون نتيجة (يُستبعد من التحصيل)","OK")))))))))))</f>
        <v>OK</v>
      </c>
      <c r="M472" s="64" t="n">
        <f aca="false">IF($A472="",0,IFERROR(MATCH($A472,Classes!$A$6:$A$420,0),0))</f>
        <v>300</v>
      </c>
      <c r="N472" s="64" t="n">
        <f aca="false">IF($H472="",0,IFERROR(MATCH($H472,GradeList,0),0))</f>
        <v>9</v>
      </c>
      <c r="O472" s="64" t="n">
        <f aca="false">IF(OR($I472="",$I472="NR"),0,IFERROR(MATCH($I472,GradeList,0),0))</f>
        <v>9</v>
      </c>
      <c r="P472" s="64" t="n">
        <f aca="false">IF(AND($M472&gt;0,ISNUMBER(MATCH($F472,Lists!$A$2:$A$5,0)),ISNUMBER(MATCH($G472,Lists!$B$2:$B$7,0)),OR($H472="",$N472&gt;0),OR($I472="",$I472="NR",$O472&gt;0),IF(ISNUMBER($J472),AND($J472&gt;=0,$J472=INT($J472)),FALSE())),$J472,0)</f>
        <v>1</v>
      </c>
      <c r="Q472" s="64" t="n">
        <f aca="false">IF(AND($P472&gt;0,$O472&gt;0),$P472,0)</f>
        <v>1</v>
      </c>
      <c r="R472" s="64" t="n">
        <f aca="false">IF(AND($Q472&gt;0,$O472&gt;=AtRank),$Q472,0)</f>
        <v>1</v>
      </c>
      <c r="S472" s="64" t="n">
        <f aca="false">IF(AND($Q472&gt;0,$O472&gt;=AboveRank),$Q472,0)</f>
        <v>1</v>
      </c>
      <c r="T472" s="64" t="n">
        <f aca="false">IF($K472="Less",$P472,0)</f>
        <v>0</v>
      </c>
      <c r="U472" s="64" t="n">
        <f aca="false">IF($K472="Expected",$P472,0)</f>
        <v>0</v>
      </c>
      <c r="V472" s="64" t="n">
        <f aca="false">IF($K472="Better",$P472,0)</f>
        <v>1</v>
      </c>
      <c r="W472" s="64" t="n">
        <f aca="false">IF($K472="U – needs rule",$P472,0)</f>
        <v>0</v>
      </c>
      <c r="X472" s="64" t="n">
        <f aca="false">IF($K472="No Start (attainment only)",$P472,0)</f>
        <v>0</v>
      </c>
    </row>
    <row r="473" customFormat="false" ht="15" hidden="false" customHeight="false" outlineLevel="0" collapsed="false">
      <c r="A473" s="60" t="s">
        <v>798</v>
      </c>
      <c r="B473" s="61" t="str">
        <f aca="false">IF($M473=0,"",INDEX(Classes!$E$6:$E$420,$M473))</f>
        <v>Arabic A</v>
      </c>
      <c r="C473" s="62" t="str">
        <f aca="false">IF($M473=0,"",INDEX(Classes!$H$6:$H$420,$M473))</f>
        <v>Mr Ahmed AbdelmonemElsye</v>
      </c>
      <c r="D473" s="61" t="str">
        <f aca="false">IF($M473=0,"",INDEX(Classes!$B$6:$B$420,$M473))</f>
        <v>Year 10</v>
      </c>
      <c r="E473" s="61" t="str">
        <f aca="false">IF($M473=0,"",INDEX(Classes!$C$6:$C$420,$M473))</f>
        <v>ip</v>
      </c>
      <c r="F473" s="63" t="s">
        <v>162</v>
      </c>
      <c r="G473" s="63" t="s">
        <v>108</v>
      </c>
      <c r="H473" s="60"/>
      <c r="I473" s="60" t="s">
        <v>202</v>
      </c>
      <c r="J473" s="63" t="n">
        <v>3</v>
      </c>
      <c r="K473" s="61" t="str">
        <f aca="false">IF($P473=0,"",IF($F473="Baseline","— Baseline",IF($O473=0,"No result",IF($N473=0,"No Start (attainment only)",IF(OR($N473=1,$O473=1),"U – needs rule",INDEX(MxBody,MATCH($I473,MxCurr,0),MATCH($H473,MxStart,0)))))))</f>
        <v>— Baseline</v>
      </c>
      <c r="L473" s="62" t="str">
        <f aca="false">IF(COUNTA($A473,$F473,$G473,$H473,$I473,$J473)=0,"",IF($M473=0,"✖ كود الصف غير موجود",IF(ISNA(MATCH($F473,Lists!$A$2:$A$5,0)),"✖ الفترة غير صحيحة",IF(ISNA(MATCH($G473,Lists!$B$2:$B$7,0)),"✖ المجموعة غير صحيحة",IF(NOT(OR($H473="",$N473&gt;0)),"✖ Start غير صحيح",IF(NOT(OR($I473="",$I473="NR",$O473&gt;0)),"✖ Current غير صحيح",IF(NOT(IF(ISNUMBER($J473),AND($J473&gt;=0,$J473=INT($J473)),FALSE())),"✖ العدد يجب أن يكون صحيحًا ≥ 0",IF(AND($F473="Baseline",$H473&lt;&gt;""),"⚠ Baseline: Start لا يدخل في التقدم",IF($K473="No Start (attainment only)","ℹ تحصيل فقط (بدون Start)",IF($K473="U – needs rule","ℹ حالة U تحتاج قاعدة معتمدة",IF($K473="No result","ℹ بدون نتيجة (يُستبعد من التحصيل)","OK")))))))))))</f>
        <v>OK</v>
      </c>
      <c r="M473" s="64" t="n">
        <f aca="false">IF($A473="",0,IFERROR(MATCH($A473,Classes!$A$6:$A$420,0),0))</f>
        <v>301</v>
      </c>
      <c r="N473" s="64" t="n">
        <f aca="false">IF($H473="",0,IFERROR(MATCH($H473,GradeList,0),0))</f>
        <v>0</v>
      </c>
      <c r="O473" s="64" t="n">
        <f aca="false">IF(OR($I473="",$I473="NR"),0,IFERROR(MATCH($I473,GradeList,0),0))</f>
        <v>7</v>
      </c>
      <c r="P473" s="64" t="n">
        <f aca="false">IF(AND($M473&gt;0,ISNUMBER(MATCH($F473,Lists!$A$2:$A$5,0)),ISNUMBER(MATCH($G473,Lists!$B$2:$B$7,0)),OR($H473="",$N473&gt;0),OR($I473="",$I473="NR",$O473&gt;0),IF(ISNUMBER($J473),AND($J473&gt;=0,$J473=INT($J473)),FALSE())),$J473,0)</f>
        <v>3</v>
      </c>
      <c r="Q473" s="64" t="n">
        <f aca="false">IF(AND($P473&gt;0,$O473&gt;0),$P473,0)</f>
        <v>3</v>
      </c>
      <c r="R473" s="64" t="n">
        <f aca="false">IF(AND($Q473&gt;0,$O473&gt;=AtRank),$Q473,0)</f>
        <v>3</v>
      </c>
      <c r="S473" s="64" t="n">
        <f aca="false">IF(AND($Q473&gt;0,$O473&gt;=AboveRank),$Q473,0)</f>
        <v>3</v>
      </c>
      <c r="T473" s="64" t="n">
        <f aca="false">IF($K473="Less",$P473,0)</f>
        <v>0</v>
      </c>
      <c r="U473" s="64" t="n">
        <f aca="false">IF($K473="Expected",$P473,0)</f>
        <v>0</v>
      </c>
      <c r="V473" s="64" t="n">
        <f aca="false">IF($K473="Better",$P473,0)</f>
        <v>0</v>
      </c>
      <c r="W473" s="64" t="n">
        <f aca="false">IF($K473="U – needs rule",$P473,0)</f>
        <v>0</v>
      </c>
      <c r="X473" s="64" t="n">
        <f aca="false">IF($K473="No Start (attainment only)",$P473,0)</f>
        <v>0</v>
      </c>
    </row>
    <row r="474" customFormat="false" ht="15" hidden="false" customHeight="false" outlineLevel="0" collapsed="false">
      <c r="A474" s="60" t="s">
        <v>798</v>
      </c>
      <c r="B474" s="61" t="str">
        <f aca="false">IF($M474=0,"",INDEX(Classes!$E$6:$E$420,$M474))</f>
        <v>Arabic A</v>
      </c>
      <c r="C474" s="62" t="str">
        <f aca="false">IF($M474=0,"",INDEX(Classes!$H$6:$H$420,$M474))</f>
        <v>Mr Ahmed AbdelmonemElsye</v>
      </c>
      <c r="D474" s="61" t="str">
        <f aca="false">IF($M474=0,"",INDEX(Classes!$B$6:$B$420,$M474))</f>
        <v>Year 10</v>
      </c>
      <c r="E474" s="61" t="str">
        <f aca="false">IF($M474=0,"",INDEX(Classes!$C$6:$C$420,$M474))</f>
        <v>ip</v>
      </c>
      <c r="F474" s="63" t="s">
        <v>162</v>
      </c>
      <c r="G474" s="63" t="s">
        <v>108</v>
      </c>
      <c r="H474" s="60"/>
      <c r="I474" s="60" t="s">
        <v>203</v>
      </c>
      <c r="J474" s="63" t="n">
        <v>1</v>
      </c>
      <c r="K474" s="61" t="str">
        <f aca="false">IF($P474=0,"",IF($F474="Baseline","— Baseline",IF($O474=0,"No result",IF($N474=0,"No Start (attainment only)",IF(OR($N474=1,$O474=1),"U – needs rule",INDEX(MxBody,MATCH($I474,MxCurr,0),MATCH($H474,MxStart,0)))))))</f>
        <v>— Baseline</v>
      </c>
      <c r="L474" s="62" t="str">
        <f aca="false">IF(COUNTA($A474,$F474,$G474,$H474,$I474,$J474)=0,"",IF($M474=0,"✖ كود الصف غير موجود",IF(ISNA(MATCH($F474,Lists!$A$2:$A$5,0)),"✖ الفترة غير صحيحة",IF(ISNA(MATCH($G474,Lists!$B$2:$B$7,0)),"✖ المجموعة غير صحيحة",IF(NOT(OR($H474="",$N474&gt;0)),"✖ Start غير صحيح",IF(NOT(OR($I474="",$I474="NR",$O474&gt;0)),"✖ Current غير صحيح",IF(NOT(IF(ISNUMBER($J474),AND($J474&gt;=0,$J474=INT($J474)),FALSE())),"✖ العدد يجب أن يكون صحيحًا ≥ 0",IF(AND($F474="Baseline",$H474&lt;&gt;""),"⚠ Baseline: Start لا يدخل في التقدم",IF($K474="No Start (attainment only)","ℹ تحصيل فقط (بدون Start)",IF($K474="U – needs rule","ℹ حالة U تحتاج قاعدة معتمدة",IF($K474="No result","ℹ بدون نتيجة (يُستبعد من التحصيل)","OK")))))))))))</f>
        <v>OK</v>
      </c>
      <c r="M474" s="64" t="n">
        <f aca="false">IF($A474="",0,IFERROR(MATCH($A474,Classes!$A$6:$A$420,0),0))</f>
        <v>301</v>
      </c>
      <c r="N474" s="64" t="n">
        <f aca="false">IF($H474="",0,IFERROR(MATCH($H474,GradeList,0),0))</f>
        <v>0</v>
      </c>
      <c r="O474" s="64" t="n">
        <f aca="false">IF(OR($I474="",$I474="NR"),0,IFERROR(MATCH($I474,GradeList,0),0))</f>
        <v>8</v>
      </c>
      <c r="P474" s="64" t="n">
        <f aca="false">IF(AND($M474&gt;0,ISNUMBER(MATCH($F474,Lists!$A$2:$A$5,0)),ISNUMBER(MATCH($G474,Lists!$B$2:$B$7,0)),OR($H474="",$N474&gt;0),OR($I474="",$I474="NR",$O474&gt;0),IF(ISNUMBER($J474),AND($J474&gt;=0,$J474=INT($J474)),FALSE())),$J474,0)</f>
        <v>1</v>
      </c>
      <c r="Q474" s="64" t="n">
        <f aca="false">IF(AND($P474&gt;0,$O474&gt;0),$P474,0)</f>
        <v>1</v>
      </c>
      <c r="R474" s="64" t="n">
        <f aca="false">IF(AND($Q474&gt;0,$O474&gt;=AtRank),$Q474,0)</f>
        <v>1</v>
      </c>
      <c r="S474" s="64" t="n">
        <f aca="false">IF(AND($Q474&gt;0,$O474&gt;=AboveRank),$Q474,0)</f>
        <v>1</v>
      </c>
      <c r="T474" s="64" t="n">
        <f aca="false">IF($K474="Less",$P474,0)</f>
        <v>0</v>
      </c>
      <c r="U474" s="64" t="n">
        <f aca="false">IF($K474="Expected",$P474,0)</f>
        <v>0</v>
      </c>
      <c r="V474" s="64" t="n">
        <f aca="false">IF($K474="Better",$P474,0)</f>
        <v>0</v>
      </c>
      <c r="W474" s="64" t="n">
        <f aca="false">IF($K474="U – needs rule",$P474,0)</f>
        <v>0</v>
      </c>
      <c r="X474" s="64" t="n">
        <f aca="false">IF($K474="No Start (attainment only)",$P474,0)</f>
        <v>0</v>
      </c>
    </row>
    <row r="475" customFormat="false" ht="15" hidden="false" customHeight="false" outlineLevel="0" collapsed="false">
      <c r="A475" s="60" t="s">
        <v>798</v>
      </c>
      <c r="B475" s="61" t="str">
        <f aca="false">IF($M475=0,"",INDEX(Classes!$E$6:$E$420,$M475))</f>
        <v>Arabic A</v>
      </c>
      <c r="C475" s="62" t="str">
        <f aca="false">IF($M475=0,"",INDEX(Classes!$H$6:$H$420,$M475))</f>
        <v>Mr Ahmed AbdelmonemElsye</v>
      </c>
      <c r="D475" s="61" t="str">
        <f aca="false">IF($M475=0,"",INDEX(Classes!$B$6:$B$420,$M475))</f>
        <v>Year 10</v>
      </c>
      <c r="E475" s="61" t="str">
        <f aca="false">IF($M475=0,"",INDEX(Classes!$C$6:$C$420,$M475))</f>
        <v>ip</v>
      </c>
      <c r="F475" s="63" t="s">
        <v>162</v>
      </c>
      <c r="G475" s="63" t="s">
        <v>108</v>
      </c>
      <c r="H475" s="60"/>
      <c r="I475" s="60" t="s">
        <v>200</v>
      </c>
      <c r="J475" s="63" t="n">
        <v>3</v>
      </c>
      <c r="K475" s="61" t="str">
        <f aca="false">IF($P475=0,"",IF($F475="Baseline","— Baseline",IF($O475=0,"No result",IF($N475=0,"No Start (attainment only)",IF(OR($N475=1,$O475=1),"U – needs rule",INDEX(MxBody,MATCH($I475,MxCurr,0),MATCH($H475,MxStart,0)))))))</f>
        <v>— Baseline</v>
      </c>
      <c r="L475" s="62" t="str">
        <f aca="false">IF(COUNTA($A475,$F475,$G475,$H475,$I475,$J475)=0,"",IF($M475=0,"✖ كود الصف غير موجود",IF(ISNA(MATCH($F475,Lists!$A$2:$A$5,0)),"✖ الفترة غير صحيحة",IF(ISNA(MATCH($G475,Lists!$B$2:$B$7,0)),"✖ المجموعة غير صحيحة",IF(NOT(OR($H475="",$N475&gt;0)),"✖ Start غير صحيح",IF(NOT(OR($I475="",$I475="NR",$O475&gt;0)),"✖ Current غير صحيح",IF(NOT(IF(ISNUMBER($J475),AND($J475&gt;=0,$J475=INT($J475)),FALSE())),"✖ العدد يجب أن يكون صحيحًا ≥ 0",IF(AND($F475="Baseline",$H475&lt;&gt;""),"⚠ Baseline: Start لا يدخل في التقدم",IF($K475="No Start (attainment only)","ℹ تحصيل فقط (بدون Start)",IF($K475="U – needs rule","ℹ حالة U تحتاج قاعدة معتمدة",IF($K475="No result","ℹ بدون نتيجة (يُستبعد من التحصيل)","OK")))))))))))</f>
        <v>OK</v>
      </c>
      <c r="M475" s="64" t="n">
        <f aca="false">IF($A475="",0,IFERROR(MATCH($A475,Classes!$A$6:$A$420,0),0))</f>
        <v>301</v>
      </c>
      <c r="N475" s="64" t="n">
        <f aca="false">IF($H475="",0,IFERROR(MATCH($H475,GradeList,0),0))</f>
        <v>0</v>
      </c>
      <c r="O475" s="64" t="n">
        <f aca="false">IF(OR($I475="",$I475="NR"),0,IFERROR(MATCH($I475,GradeList,0),0))</f>
        <v>5</v>
      </c>
      <c r="P475" s="64" t="n">
        <f aca="false">IF(AND($M475&gt;0,ISNUMBER(MATCH($F475,Lists!$A$2:$A$5,0)),ISNUMBER(MATCH($G475,Lists!$B$2:$B$7,0)),OR($H475="",$N475&gt;0),OR($I475="",$I475="NR",$O475&gt;0),IF(ISNUMBER($J475),AND($J475&gt;=0,$J475=INT($J475)),FALSE())),$J475,0)</f>
        <v>3</v>
      </c>
      <c r="Q475" s="64" t="n">
        <f aca="false">IF(AND($P475&gt;0,$O475&gt;0),$P475,0)</f>
        <v>3</v>
      </c>
      <c r="R475" s="64" t="n">
        <f aca="false">IF(AND($Q475&gt;0,$O475&gt;=AtRank),$Q475,0)</f>
        <v>3</v>
      </c>
      <c r="S475" s="64" t="n">
        <f aca="false">IF(AND($Q475&gt;0,$O475&gt;=AboveRank),$Q475,0)</f>
        <v>0</v>
      </c>
      <c r="T475" s="64" t="n">
        <f aca="false">IF($K475="Less",$P475,0)</f>
        <v>0</v>
      </c>
      <c r="U475" s="64" t="n">
        <f aca="false">IF($K475="Expected",$P475,0)</f>
        <v>0</v>
      </c>
      <c r="V475" s="64" t="n">
        <f aca="false">IF($K475="Better",$P475,0)</f>
        <v>0</v>
      </c>
      <c r="W475" s="64" t="n">
        <f aca="false">IF($K475="U – needs rule",$P475,0)</f>
        <v>0</v>
      </c>
      <c r="X475" s="64" t="n">
        <f aca="false">IF($K475="No Start (attainment only)",$P475,0)</f>
        <v>0</v>
      </c>
    </row>
    <row r="476" customFormat="false" ht="15" hidden="false" customHeight="false" outlineLevel="0" collapsed="false">
      <c r="A476" s="60" t="s">
        <v>798</v>
      </c>
      <c r="B476" s="61" t="str">
        <f aca="false">IF($M476=0,"",INDEX(Classes!$E$6:$E$420,$M476))</f>
        <v>Arabic A</v>
      </c>
      <c r="C476" s="62" t="str">
        <f aca="false">IF($M476=0,"",INDEX(Classes!$H$6:$H$420,$M476))</f>
        <v>Mr Ahmed AbdelmonemElsye</v>
      </c>
      <c r="D476" s="61" t="str">
        <f aca="false">IF($M476=0,"",INDEX(Classes!$B$6:$B$420,$M476))</f>
        <v>Year 10</v>
      </c>
      <c r="E476" s="61" t="str">
        <f aca="false">IF($M476=0,"",INDEX(Classes!$C$6:$C$420,$M476))</f>
        <v>ip</v>
      </c>
      <c r="F476" s="63" t="s">
        <v>162</v>
      </c>
      <c r="G476" s="63" t="s">
        <v>108</v>
      </c>
      <c r="H476" s="60"/>
      <c r="I476" s="60" t="s">
        <v>201</v>
      </c>
      <c r="J476" s="63" t="n">
        <v>7</v>
      </c>
      <c r="K476" s="61" t="str">
        <f aca="false">IF($P476=0,"",IF($F476="Baseline","— Baseline",IF($O476=0,"No result",IF($N476=0,"No Start (attainment only)",IF(OR($N476=1,$O476=1),"U – needs rule",INDEX(MxBody,MATCH($I476,MxCurr,0),MATCH($H476,MxStart,0)))))))</f>
        <v>— Baseline</v>
      </c>
      <c r="L476" s="62" t="str">
        <f aca="false">IF(COUNTA($A476,$F476,$G476,$H476,$I476,$J476)=0,"",IF($M476=0,"✖ كود الصف غير موجود",IF(ISNA(MATCH($F476,Lists!$A$2:$A$5,0)),"✖ الفترة غير صحيحة",IF(ISNA(MATCH($G476,Lists!$B$2:$B$7,0)),"✖ المجموعة غير صحيحة",IF(NOT(OR($H476="",$N476&gt;0)),"✖ Start غير صحيح",IF(NOT(OR($I476="",$I476="NR",$O476&gt;0)),"✖ Current غير صحيح",IF(NOT(IF(ISNUMBER($J476),AND($J476&gt;=0,$J476=INT($J476)),FALSE())),"✖ العدد يجب أن يكون صحيحًا ≥ 0",IF(AND($F476="Baseline",$H476&lt;&gt;""),"⚠ Baseline: Start لا يدخل في التقدم",IF($K476="No Start (attainment only)","ℹ تحصيل فقط (بدون Start)",IF($K476="U – needs rule","ℹ حالة U تحتاج قاعدة معتمدة",IF($K476="No result","ℹ بدون نتيجة (يُستبعد من التحصيل)","OK")))))))))))</f>
        <v>OK</v>
      </c>
      <c r="M476" s="64" t="n">
        <f aca="false">IF($A476="",0,IFERROR(MATCH($A476,Classes!$A$6:$A$420,0),0))</f>
        <v>301</v>
      </c>
      <c r="N476" s="64" t="n">
        <f aca="false">IF($H476="",0,IFERROR(MATCH($H476,GradeList,0),0))</f>
        <v>0</v>
      </c>
      <c r="O476" s="64" t="n">
        <f aca="false">IF(OR($I476="",$I476="NR"),0,IFERROR(MATCH($I476,GradeList,0),0))</f>
        <v>6</v>
      </c>
      <c r="P476" s="64" t="n">
        <f aca="false">IF(AND($M476&gt;0,ISNUMBER(MATCH($F476,Lists!$A$2:$A$5,0)),ISNUMBER(MATCH($G476,Lists!$B$2:$B$7,0)),OR($H476="",$N476&gt;0),OR($I476="",$I476="NR",$O476&gt;0),IF(ISNUMBER($J476),AND($J476&gt;=0,$J476=INT($J476)),FALSE())),$J476,0)</f>
        <v>7</v>
      </c>
      <c r="Q476" s="64" t="n">
        <f aca="false">IF(AND($P476&gt;0,$O476&gt;0),$P476,0)</f>
        <v>7</v>
      </c>
      <c r="R476" s="64" t="n">
        <f aca="false">IF(AND($Q476&gt;0,$O476&gt;=AtRank),$Q476,0)</f>
        <v>7</v>
      </c>
      <c r="S476" s="64" t="n">
        <f aca="false">IF(AND($Q476&gt;0,$O476&gt;=AboveRank),$Q476,0)</f>
        <v>0</v>
      </c>
      <c r="T476" s="64" t="n">
        <f aca="false">IF($K476="Less",$P476,0)</f>
        <v>0</v>
      </c>
      <c r="U476" s="64" t="n">
        <f aca="false">IF($K476="Expected",$P476,0)</f>
        <v>0</v>
      </c>
      <c r="V476" s="64" t="n">
        <f aca="false">IF($K476="Better",$P476,0)</f>
        <v>0</v>
      </c>
      <c r="W476" s="64" t="n">
        <f aca="false">IF($K476="U – needs rule",$P476,0)</f>
        <v>0</v>
      </c>
      <c r="X476" s="64" t="n">
        <f aca="false">IF($K476="No Start (attainment only)",$P476,0)</f>
        <v>0</v>
      </c>
    </row>
    <row r="477" customFormat="false" ht="15" hidden="false" customHeight="false" outlineLevel="0" collapsed="false">
      <c r="A477" s="60" t="s">
        <v>798</v>
      </c>
      <c r="B477" s="61" t="str">
        <f aca="false">IF($M477=0,"",INDEX(Classes!$E$6:$E$420,$M477))</f>
        <v>Arabic A</v>
      </c>
      <c r="C477" s="62" t="str">
        <f aca="false">IF($M477=0,"",INDEX(Classes!$H$6:$H$420,$M477))</f>
        <v>Mr Ahmed AbdelmonemElsye</v>
      </c>
      <c r="D477" s="61" t="str">
        <f aca="false">IF($M477=0,"",INDEX(Classes!$B$6:$B$420,$M477))</f>
        <v>Year 10</v>
      </c>
      <c r="E477" s="61" t="str">
        <f aca="false">IF($M477=0,"",INDEX(Classes!$C$6:$C$420,$M477))</f>
        <v>ip</v>
      </c>
      <c r="F477" s="63" t="s">
        <v>162</v>
      </c>
      <c r="G477" s="63" t="s">
        <v>108</v>
      </c>
      <c r="H477" s="60"/>
      <c r="I477" s="60" t="s">
        <v>198</v>
      </c>
      <c r="J477" s="63" t="n">
        <v>1</v>
      </c>
      <c r="K477" s="61" t="str">
        <f aca="false">IF($P477=0,"",IF($F477="Baseline","— Baseline",IF($O477=0,"No result",IF($N477=0,"No Start (attainment only)",IF(OR($N477=1,$O477=1),"U – needs rule",INDEX(MxBody,MATCH($I477,MxCurr,0),MATCH($H477,MxStart,0)))))))</f>
        <v>— Baseline</v>
      </c>
      <c r="L477" s="62" t="str">
        <f aca="false">IF(COUNTA($A477,$F477,$G477,$H477,$I477,$J477)=0,"",IF($M477=0,"✖ كود الصف غير موجود",IF(ISNA(MATCH($F477,Lists!$A$2:$A$5,0)),"✖ الفترة غير صحيحة",IF(ISNA(MATCH($G477,Lists!$B$2:$B$7,0)),"✖ المجموعة غير صحيحة",IF(NOT(OR($H477="",$N477&gt;0)),"✖ Start غير صحيح",IF(NOT(OR($I477="",$I477="NR",$O477&gt;0)),"✖ Current غير صحيح",IF(NOT(IF(ISNUMBER($J477),AND($J477&gt;=0,$J477=INT($J477)),FALSE())),"✖ العدد يجب أن يكون صحيحًا ≥ 0",IF(AND($F477="Baseline",$H477&lt;&gt;""),"⚠ Baseline: Start لا يدخل في التقدم",IF($K477="No Start (attainment only)","ℹ تحصيل فقط (بدون Start)",IF($K477="U – needs rule","ℹ حالة U تحتاج قاعدة معتمدة",IF($K477="No result","ℹ بدون نتيجة (يُستبعد من التحصيل)","OK")))))))))))</f>
        <v>OK</v>
      </c>
      <c r="M477" s="64" t="n">
        <f aca="false">IF($A477="",0,IFERROR(MATCH($A477,Classes!$A$6:$A$420,0),0))</f>
        <v>301</v>
      </c>
      <c r="N477" s="64" t="n">
        <f aca="false">IF($H477="",0,IFERROR(MATCH($H477,GradeList,0),0))</f>
        <v>0</v>
      </c>
      <c r="O477" s="64" t="n">
        <f aca="false">IF(OR($I477="",$I477="NR"),0,IFERROR(MATCH($I477,GradeList,0),0))</f>
        <v>3</v>
      </c>
      <c r="P477" s="64" t="n">
        <f aca="false">IF(AND($M477&gt;0,ISNUMBER(MATCH($F477,Lists!$A$2:$A$5,0)),ISNUMBER(MATCH($G477,Lists!$B$2:$B$7,0)),OR($H477="",$N477&gt;0),OR($I477="",$I477="NR",$O477&gt;0),IF(ISNUMBER($J477),AND($J477&gt;=0,$J477=INT($J477)),FALSE())),$J477,0)</f>
        <v>1</v>
      </c>
      <c r="Q477" s="64" t="n">
        <f aca="false">IF(AND($P477&gt;0,$O477&gt;0),$P477,0)</f>
        <v>1</v>
      </c>
      <c r="R477" s="64" t="n">
        <f aca="false">IF(AND($Q477&gt;0,$O477&gt;=AtRank),$Q477,0)</f>
        <v>0</v>
      </c>
      <c r="S477" s="64" t="n">
        <f aca="false">IF(AND($Q477&gt;0,$O477&gt;=AboveRank),$Q477,0)</f>
        <v>0</v>
      </c>
      <c r="T477" s="64" t="n">
        <f aca="false">IF($K477="Less",$P477,0)</f>
        <v>0</v>
      </c>
      <c r="U477" s="64" t="n">
        <f aca="false">IF($K477="Expected",$P477,0)</f>
        <v>0</v>
      </c>
      <c r="V477" s="64" t="n">
        <f aca="false">IF($K477="Better",$P477,0)</f>
        <v>0</v>
      </c>
      <c r="W477" s="64" t="n">
        <f aca="false">IF($K477="U – needs rule",$P477,0)</f>
        <v>0</v>
      </c>
      <c r="X477" s="64" t="n">
        <f aca="false">IF($K477="No Start (attainment only)",$P477,0)</f>
        <v>0</v>
      </c>
    </row>
    <row r="478" customFormat="false" ht="15" hidden="false" customHeight="false" outlineLevel="0" collapsed="false">
      <c r="A478" s="60" t="s">
        <v>798</v>
      </c>
      <c r="B478" s="61" t="str">
        <f aca="false">IF($M478=0,"",INDEX(Classes!$E$6:$E$420,$M478))</f>
        <v>Arabic A</v>
      </c>
      <c r="C478" s="62" t="str">
        <f aca="false">IF($M478=0,"",INDEX(Classes!$H$6:$H$420,$M478))</f>
        <v>Mr Ahmed AbdelmonemElsye</v>
      </c>
      <c r="D478" s="61" t="str">
        <f aca="false">IF($M478=0,"",INDEX(Classes!$B$6:$B$420,$M478))</f>
        <v>Year 10</v>
      </c>
      <c r="E478" s="61" t="str">
        <f aca="false">IF($M478=0,"",INDEX(Classes!$C$6:$C$420,$M478))</f>
        <v>ip</v>
      </c>
      <c r="F478" s="63" t="s">
        <v>162</v>
      </c>
      <c r="G478" s="63" t="s">
        <v>108</v>
      </c>
      <c r="H478" s="60"/>
      <c r="I478" s="60" t="s">
        <v>199</v>
      </c>
      <c r="J478" s="63" t="n">
        <v>5</v>
      </c>
      <c r="K478" s="61" t="str">
        <f aca="false">IF($P478=0,"",IF($F478="Baseline","— Baseline",IF($O478=0,"No result",IF($N478=0,"No Start (attainment only)",IF(OR($N478=1,$O478=1),"U – needs rule",INDEX(MxBody,MATCH($I478,MxCurr,0),MATCH($H478,MxStart,0)))))))</f>
        <v>— Baseline</v>
      </c>
      <c r="L478" s="62" t="str">
        <f aca="false">IF(COUNTA($A478,$F478,$G478,$H478,$I478,$J478)=0,"",IF($M478=0,"✖ كود الصف غير موجود",IF(ISNA(MATCH($F478,Lists!$A$2:$A$5,0)),"✖ الفترة غير صحيحة",IF(ISNA(MATCH($G478,Lists!$B$2:$B$7,0)),"✖ المجموعة غير صحيحة",IF(NOT(OR($H478="",$N478&gt;0)),"✖ Start غير صحيح",IF(NOT(OR($I478="",$I478="NR",$O478&gt;0)),"✖ Current غير صحيح",IF(NOT(IF(ISNUMBER($J478),AND($J478&gt;=0,$J478=INT($J478)),FALSE())),"✖ العدد يجب أن يكون صحيحًا ≥ 0",IF(AND($F478="Baseline",$H478&lt;&gt;""),"⚠ Baseline: Start لا يدخل في التقدم",IF($K478="No Start (attainment only)","ℹ تحصيل فقط (بدون Start)",IF($K478="U – needs rule","ℹ حالة U تحتاج قاعدة معتمدة",IF($K478="No result","ℹ بدون نتيجة (يُستبعد من التحصيل)","OK")))))))))))</f>
        <v>OK</v>
      </c>
      <c r="M478" s="64" t="n">
        <f aca="false">IF($A478="",0,IFERROR(MATCH($A478,Classes!$A$6:$A$420,0),0))</f>
        <v>301</v>
      </c>
      <c r="N478" s="64" t="n">
        <f aca="false">IF($H478="",0,IFERROR(MATCH($H478,GradeList,0),0))</f>
        <v>0</v>
      </c>
      <c r="O478" s="64" t="n">
        <f aca="false">IF(OR($I478="",$I478="NR"),0,IFERROR(MATCH($I478,GradeList,0),0))</f>
        <v>4</v>
      </c>
      <c r="P478" s="64" t="n">
        <f aca="false">IF(AND($M478&gt;0,ISNUMBER(MATCH($F478,Lists!$A$2:$A$5,0)),ISNUMBER(MATCH($G478,Lists!$B$2:$B$7,0)),OR($H478="",$N478&gt;0),OR($I478="",$I478="NR",$O478&gt;0),IF(ISNUMBER($J478),AND($J478&gt;=0,$J478=INT($J478)),FALSE())),$J478,0)</f>
        <v>5</v>
      </c>
      <c r="Q478" s="64" t="n">
        <f aca="false">IF(AND($P478&gt;0,$O478&gt;0),$P478,0)</f>
        <v>5</v>
      </c>
      <c r="R478" s="64" t="n">
        <f aca="false">IF(AND($Q478&gt;0,$O478&gt;=AtRank),$Q478,0)</f>
        <v>0</v>
      </c>
      <c r="S478" s="64" t="n">
        <f aca="false">IF(AND($Q478&gt;0,$O478&gt;=AboveRank),$Q478,0)</f>
        <v>0</v>
      </c>
      <c r="T478" s="64" t="n">
        <f aca="false">IF($K478="Less",$P478,0)</f>
        <v>0</v>
      </c>
      <c r="U478" s="64" t="n">
        <f aca="false">IF($K478="Expected",$P478,0)</f>
        <v>0</v>
      </c>
      <c r="V478" s="64" t="n">
        <f aca="false">IF($K478="Better",$P478,0)</f>
        <v>0</v>
      </c>
      <c r="W478" s="64" t="n">
        <f aca="false">IF($K478="U – needs rule",$P478,0)</f>
        <v>0</v>
      </c>
      <c r="X478" s="64" t="n">
        <f aca="false">IF($K478="No Start (attainment only)",$P478,0)</f>
        <v>0</v>
      </c>
    </row>
    <row r="479" customFormat="false" ht="15" hidden="false" customHeight="false" outlineLevel="0" collapsed="false">
      <c r="A479" s="60" t="s">
        <v>798</v>
      </c>
      <c r="B479" s="61" t="str">
        <f aca="false">IF($M479=0,"",INDEX(Classes!$E$6:$E$420,$M479))</f>
        <v>Arabic A</v>
      </c>
      <c r="C479" s="62" t="str">
        <f aca="false">IF($M479=0,"",INDEX(Classes!$H$6:$H$420,$M479))</f>
        <v>Mr Ahmed AbdelmonemElsye</v>
      </c>
      <c r="D479" s="61" t="str">
        <f aca="false">IF($M479=0,"",INDEX(Classes!$B$6:$B$420,$M479))</f>
        <v>Year 10</v>
      </c>
      <c r="E479" s="61" t="str">
        <f aca="false">IF($M479=0,"",INDEX(Classes!$C$6:$C$420,$M479))</f>
        <v>ip</v>
      </c>
      <c r="F479" s="63" t="s">
        <v>162</v>
      </c>
      <c r="G479" s="63" t="s">
        <v>1015</v>
      </c>
      <c r="H479" s="60"/>
      <c r="I479" s="60" t="s">
        <v>202</v>
      </c>
      <c r="J479" s="63" t="n">
        <v>1</v>
      </c>
      <c r="K479" s="61" t="str">
        <f aca="false">IF($P479=0,"",IF($F479="Baseline","— Baseline",IF($O479=0,"No result",IF($N479=0,"No Start (attainment only)",IF(OR($N479=1,$O479=1),"U – needs rule",INDEX(MxBody,MATCH($I479,MxCurr,0),MATCH($H479,MxStart,0)))))))</f>
        <v>— Baseline</v>
      </c>
      <c r="L479" s="62" t="str">
        <f aca="false">IF(COUNTA($A479,$F479,$G479,$H479,$I479,$J479)=0,"",IF($M479=0,"✖ كود الصف غير موجود",IF(ISNA(MATCH($F479,Lists!$A$2:$A$5,0)),"✖ الفترة غير صحيحة",IF(ISNA(MATCH($G479,Lists!$B$2:$B$7,0)),"✖ المجموعة غير صحيحة",IF(NOT(OR($H479="",$N479&gt;0)),"✖ Start غير صحيح",IF(NOT(OR($I479="",$I479="NR",$O479&gt;0)),"✖ Current غير صحيح",IF(NOT(IF(ISNUMBER($J479),AND($J479&gt;=0,$J479=INT($J479)),FALSE())),"✖ العدد يجب أن يكون صحيحًا ≥ 0",IF(AND($F479="Baseline",$H479&lt;&gt;""),"⚠ Baseline: Start لا يدخل في التقدم",IF($K479="No Start (attainment only)","ℹ تحصيل فقط (بدون Start)",IF($K479="U – needs rule","ℹ حالة U تحتاج قاعدة معتمدة",IF($K479="No result","ℹ بدون نتيجة (يُستبعد من التحصيل)","OK")))))))))))</f>
        <v>OK</v>
      </c>
      <c r="M479" s="64" t="n">
        <f aca="false">IF($A479="",0,IFERROR(MATCH($A479,Classes!$A$6:$A$420,0),0))</f>
        <v>301</v>
      </c>
      <c r="N479" s="64" t="n">
        <f aca="false">IF($H479="",0,IFERROR(MATCH($H479,GradeList,0),0))</f>
        <v>0</v>
      </c>
      <c r="O479" s="64" t="n">
        <f aca="false">IF(OR($I479="",$I479="NR"),0,IFERROR(MATCH($I479,GradeList,0),0))</f>
        <v>7</v>
      </c>
      <c r="P479" s="64" t="n">
        <f aca="false">IF(AND($M479&gt;0,ISNUMBER(MATCH($F479,Lists!$A$2:$A$5,0)),ISNUMBER(MATCH($G479,Lists!$B$2:$B$7,0)),OR($H479="",$N479&gt;0),OR($I479="",$I479="NR",$O479&gt;0),IF(ISNUMBER($J479),AND($J479&gt;=0,$J479=INT($J479)),FALSE())),$J479,0)</f>
        <v>1</v>
      </c>
      <c r="Q479" s="64" t="n">
        <f aca="false">IF(AND($P479&gt;0,$O479&gt;0),$P479,0)</f>
        <v>1</v>
      </c>
      <c r="R479" s="64" t="n">
        <f aca="false">IF(AND($Q479&gt;0,$O479&gt;=AtRank),$Q479,0)</f>
        <v>1</v>
      </c>
      <c r="S479" s="64" t="n">
        <f aca="false">IF(AND($Q479&gt;0,$O479&gt;=AboveRank),$Q479,0)</f>
        <v>1</v>
      </c>
      <c r="T479" s="64" t="n">
        <f aca="false">IF($K479="Less",$P479,0)</f>
        <v>0</v>
      </c>
      <c r="U479" s="64" t="n">
        <f aca="false">IF($K479="Expected",$P479,0)</f>
        <v>0</v>
      </c>
      <c r="V479" s="64" t="n">
        <f aca="false">IF($K479="Better",$P479,0)</f>
        <v>0</v>
      </c>
      <c r="W479" s="64" t="n">
        <f aca="false">IF($K479="U – needs rule",$P479,0)</f>
        <v>0</v>
      </c>
      <c r="X479" s="64" t="n">
        <f aca="false">IF($K479="No Start (attainment only)",$P479,0)</f>
        <v>0</v>
      </c>
    </row>
    <row r="480" customFormat="false" ht="15" hidden="false" customHeight="false" outlineLevel="0" collapsed="false">
      <c r="A480" s="60" t="s">
        <v>798</v>
      </c>
      <c r="B480" s="61" t="str">
        <f aca="false">IF($M480=0,"",INDEX(Classes!$E$6:$E$420,$M480))</f>
        <v>Arabic A</v>
      </c>
      <c r="C480" s="62" t="str">
        <f aca="false">IF($M480=0,"",INDEX(Classes!$H$6:$H$420,$M480))</f>
        <v>Mr Ahmed AbdelmonemElsye</v>
      </c>
      <c r="D480" s="61" t="str">
        <f aca="false">IF($M480=0,"",INDEX(Classes!$B$6:$B$420,$M480))</f>
        <v>Year 10</v>
      </c>
      <c r="E480" s="61" t="str">
        <f aca="false">IF($M480=0,"",INDEX(Classes!$C$6:$C$420,$M480))</f>
        <v>ip</v>
      </c>
      <c r="F480" s="63" t="s">
        <v>162</v>
      </c>
      <c r="G480" s="63" t="s">
        <v>1015</v>
      </c>
      <c r="H480" s="60"/>
      <c r="I480" s="60" t="s">
        <v>203</v>
      </c>
      <c r="J480" s="63" t="n">
        <v>1</v>
      </c>
      <c r="K480" s="61" t="str">
        <f aca="false">IF($P480=0,"",IF($F480="Baseline","— Baseline",IF($O480=0,"No result",IF($N480=0,"No Start (attainment only)",IF(OR($N480=1,$O480=1),"U – needs rule",INDEX(MxBody,MATCH($I480,MxCurr,0),MATCH($H480,MxStart,0)))))))</f>
        <v>— Baseline</v>
      </c>
      <c r="L480" s="62" t="str">
        <f aca="false">IF(COUNTA($A480,$F480,$G480,$H480,$I480,$J480)=0,"",IF($M480=0,"✖ كود الصف غير موجود",IF(ISNA(MATCH($F480,Lists!$A$2:$A$5,0)),"✖ الفترة غير صحيحة",IF(ISNA(MATCH($G480,Lists!$B$2:$B$7,0)),"✖ المجموعة غير صحيحة",IF(NOT(OR($H480="",$N480&gt;0)),"✖ Start غير صحيح",IF(NOT(OR($I480="",$I480="NR",$O480&gt;0)),"✖ Current غير صحيح",IF(NOT(IF(ISNUMBER($J480),AND($J480&gt;=0,$J480=INT($J480)),FALSE())),"✖ العدد يجب أن يكون صحيحًا ≥ 0",IF(AND($F480="Baseline",$H480&lt;&gt;""),"⚠ Baseline: Start لا يدخل في التقدم",IF($K480="No Start (attainment only)","ℹ تحصيل فقط (بدون Start)",IF($K480="U – needs rule","ℹ حالة U تحتاج قاعدة معتمدة",IF($K480="No result","ℹ بدون نتيجة (يُستبعد من التحصيل)","OK")))))))))))</f>
        <v>OK</v>
      </c>
      <c r="M480" s="64" t="n">
        <f aca="false">IF($A480="",0,IFERROR(MATCH($A480,Classes!$A$6:$A$420,0),0))</f>
        <v>301</v>
      </c>
      <c r="N480" s="64" t="n">
        <f aca="false">IF($H480="",0,IFERROR(MATCH($H480,GradeList,0),0))</f>
        <v>0</v>
      </c>
      <c r="O480" s="64" t="n">
        <f aca="false">IF(OR($I480="",$I480="NR"),0,IFERROR(MATCH($I480,GradeList,0),0))</f>
        <v>8</v>
      </c>
      <c r="P480" s="64" t="n">
        <f aca="false">IF(AND($M480&gt;0,ISNUMBER(MATCH($F480,Lists!$A$2:$A$5,0)),ISNUMBER(MATCH($G480,Lists!$B$2:$B$7,0)),OR($H480="",$N480&gt;0),OR($I480="",$I480="NR",$O480&gt;0),IF(ISNUMBER($J480),AND($J480&gt;=0,$J480=INT($J480)),FALSE())),$J480,0)</f>
        <v>1</v>
      </c>
      <c r="Q480" s="64" t="n">
        <f aca="false">IF(AND($P480&gt;0,$O480&gt;0),$P480,0)</f>
        <v>1</v>
      </c>
      <c r="R480" s="64" t="n">
        <f aca="false">IF(AND($Q480&gt;0,$O480&gt;=AtRank),$Q480,0)</f>
        <v>1</v>
      </c>
      <c r="S480" s="64" t="n">
        <f aca="false">IF(AND($Q480&gt;0,$O480&gt;=AboveRank),$Q480,0)</f>
        <v>1</v>
      </c>
      <c r="T480" s="64" t="n">
        <f aca="false">IF($K480="Less",$P480,0)</f>
        <v>0</v>
      </c>
      <c r="U480" s="64" t="n">
        <f aca="false">IF($K480="Expected",$P480,0)</f>
        <v>0</v>
      </c>
      <c r="V480" s="64" t="n">
        <f aca="false">IF($K480="Better",$P480,0)</f>
        <v>0</v>
      </c>
      <c r="W480" s="64" t="n">
        <f aca="false">IF($K480="U – needs rule",$P480,0)</f>
        <v>0</v>
      </c>
      <c r="X480" s="64" t="n">
        <f aca="false">IF($K480="No Start (attainment only)",$P480,0)</f>
        <v>0</v>
      </c>
    </row>
    <row r="481" customFormat="false" ht="15" hidden="false" customHeight="false" outlineLevel="0" collapsed="false">
      <c r="A481" s="60" t="s">
        <v>798</v>
      </c>
      <c r="B481" s="61" t="str">
        <f aca="false">IF($M481=0,"",INDEX(Classes!$E$6:$E$420,$M481))</f>
        <v>Arabic A</v>
      </c>
      <c r="C481" s="62" t="str">
        <f aca="false">IF($M481=0,"",INDEX(Classes!$H$6:$H$420,$M481))</f>
        <v>Mr Ahmed AbdelmonemElsye</v>
      </c>
      <c r="D481" s="61" t="str">
        <f aca="false">IF($M481=0,"",INDEX(Classes!$B$6:$B$420,$M481))</f>
        <v>Year 10</v>
      </c>
      <c r="E481" s="61" t="str">
        <f aca="false">IF($M481=0,"",INDEX(Classes!$C$6:$C$420,$M481))</f>
        <v>ip</v>
      </c>
      <c r="F481" s="63" t="s">
        <v>162</v>
      </c>
      <c r="G481" s="63" t="s">
        <v>1015</v>
      </c>
      <c r="H481" s="60"/>
      <c r="I481" s="60" t="s">
        <v>200</v>
      </c>
      <c r="J481" s="63" t="n">
        <v>2</v>
      </c>
      <c r="K481" s="61" t="str">
        <f aca="false">IF($P481=0,"",IF($F481="Baseline","— Baseline",IF($O481=0,"No result",IF($N481=0,"No Start (attainment only)",IF(OR($N481=1,$O481=1),"U – needs rule",INDEX(MxBody,MATCH($I481,MxCurr,0),MATCH($H481,MxStart,0)))))))</f>
        <v>— Baseline</v>
      </c>
      <c r="L481" s="62" t="str">
        <f aca="false">IF(COUNTA($A481,$F481,$G481,$H481,$I481,$J481)=0,"",IF($M481=0,"✖ كود الصف غير موجود",IF(ISNA(MATCH($F481,Lists!$A$2:$A$5,0)),"✖ الفترة غير صحيحة",IF(ISNA(MATCH($G481,Lists!$B$2:$B$7,0)),"✖ المجموعة غير صحيحة",IF(NOT(OR($H481="",$N481&gt;0)),"✖ Start غير صحيح",IF(NOT(OR($I481="",$I481="NR",$O481&gt;0)),"✖ Current غير صحيح",IF(NOT(IF(ISNUMBER($J481),AND($J481&gt;=0,$J481=INT($J481)),FALSE())),"✖ العدد يجب أن يكون صحيحًا ≥ 0",IF(AND($F481="Baseline",$H481&lt;&gt;""),"⚠ Baseline: Start لا يدخل في التقدم",IF($K481="No Start (attainment only)","ℹ تحصيل فقط (بدون Start)",IF($K481="U – needs rule","ℹ حالة U تحتاج قاعدة معتمدة",IF($K481="No result","ℹ بدون نتيجة (يُستبعد من التحصيل)","OK")))))))))))</f>
        <v>OK</v>
      </c>
      <c r="M481" s="64" t="n">
        <f aca="false">IF($A481="",0,IFERROR(MATCH($A481,Classes!$A$6:$A$420,0),0))</f>
        <v>301</v>
      </c>
      <c r="N481" s="64" t="n">
        <f aca="false">IF($H481="",0,IFERROR(MATCH($H481,GradeList,0),0))</f>
        <v>0</v>
      </c>
      <c r="O481" s="64" t="n">
        <f aca="false">IF(OR($I481="",$I481="NR"),0,IFERROR(MATCH($I481,GradeList,0),0))</f>
        <v>5</v>
      </c>
      <c r="P481" s="64" t="n">
        <f aca="false">IF(AND($M481&gt;0,ISNUMBER(MATCH($F481,Lists!$A$2:$A$5,0)),ISNUMBER(MATCH($G481,Lists!$B$2:$B$7,0)),OR($H481="",$N481&gt;0),OR($I481="",$I481="NR",$O481&gt;0),IF(ISNUMBER($J481),AND($J481&gt;=0,$J481=INT($J481)),FALSE())),$J481,0)</f>
        <v>2</v>
      </c>
      <c r="Q481" s="64" t="n">
        <f aca="false">IF(AND($P481&gt;0,$O481&gt;0),$P481,0)</f>
        <v>2</v>
      </c>
      <c r="R481" s="64" t="n">
        <f aca="false">IF(AND($Q481&gt;0,$O481&gt;=AtRank),$Q481,0)</f>
        <v>2</v>
      </c>
      <c r="S481" s="64" t="n">
        <f aca="false">IF(AND($Q481&gt;0,$O481&gt;=AboveRank),$Q481,0)</f>
        <v>0</v>
      </c>
      <c r="T481" s="64" t="n">
        <f aca="false">IF($K481="Less",$P481,0)</f>
        <v>0</v>
      </c>
      <c r="U481" s="64" t="n">
        <f aca="false">IF($K481="Expected",$P481,0)</f>
        <v>0</v>
      </c>
      <c r="V481" s="64" t="n">
        <f aca="false">IF($K481="Better",$P481,0)</f>
        <v>0</v>
      </c>
      <c r="W481" s="64" t="n">
        <f aca="false">IF($K481="U – needs rule",$P481,0)</f>
        <v>0</v>
      </c>
      <c r="X481" s="64" t="n">
        <f aca="false">IF($K481="No Start (attainment only)",$P481,0)</f>
        <v>0</v>
      </c>
    </row>
    <row r="482" customFormat="false" ht="15" hidden="false" customHeight="false" outlineLevel="0" collapsed="false">
      <c r="A482" s="60" t="s">
        <v>798</v>
      </c>
      <c r="B482" s="61" t="str">
        <f aca="false">IF($M482=0,"",INDEX(Classes!$E$6:$E$420,$M482))</f>
        <v>Arabic A</v>
      </c>
      <c r="C482" s="62" t="str">
        <f aca="false">IF($M482=0,"",INDEX(Classes!$H$6:$H$420,$M482))</f>
        <v>Mr Ahmed AbdelmonemElsye</v>
      </c>
      <c r="D482" s="61" t="str">
        <f aca="false">IF($M482=0,"",INDEX(Classes!$B$6:$B$420,$M482))</f>
        <v>Year 10</v>
      </c>
      <c r="E482" s="61" t="str">
        <f aca="false">IF($M482=0,"",INDEX(Classes!$C$6:$C$420,$M482))</f>
        <v>ip</v>
      </c>
      <c r="F482" s="63" t="s">
        <v>162</v>
      </c>
      <c r="G482" s="63" t="s">
        <v>1015</v>
      </c>
      <c r="H482" s="60"/>
      <c r="I482" s="60" t="s">
        <v>201</v>
      </c>
      <c r="J482" s="63" t="n">
        <v>1</v>
      </c>
      <c r="K482" s="61" t="str">
        <f aca="false">IF($P482=0,"",IF($F482="Baseline","— Baseline",IF($O482=0,"No result",IF($N482=0,"No Start (attainment only)",IF(OR($N482=1,$O482=1),"U – needs rule",INDEX(MxBody,MATCH($I482,MxCurr,0),MATCH($H482,MxStart,0)))))))</f>
        <v>— Baseline</v>
      </c>
      <c r="L482" s="62" t="str">
        <f aca="false">IF(COUNTA($A482,$F482,$G482,$H482,$I482,$J482)=0,"",IF($M482=0,"✖ كود الصف غير موجود",IF(ISNA(MATCH($F482,Lists!$A$2:$A$5,0)),"✖ الفترة غير صحيحة",IF(ISNA(MATCH($G482,Lists!$B$2:$B$7,0)),"✖ المجموعة غير صحيحة",IF(NOT(OR($H482="",$N482&gt;0)),"✖ Start غير صحيح",IF(NOT(OR($I482="",$I482="NR",$O482&gt;0)),"✖ Current غير صحيح",IF(NOT(IF(ISNUMBER($J482),AND($J482&gt;=0,$J482=INT($J482)),FALSE())),"✖ العدد يجب أن يكون صحيحًا ≥ 0",IF(AND($F482="Baseline",$H482&lt;&gt;""),"⚠ Baseline: Start لا يدخل في التقدم",IF($K482="No Start (attainment only)","ℹ تحصيل فقط (بدون Start)",IF($K482="U – needs rule","ℹ حالة U تحتاج قاعدة معتمدة",IF($K482="No result","ℹ بدون نتيجة (يُستبعد من التحصيل)","OK")))))))))))</f>
        <v>OK</v>
      </c>
      <c r="M482" s="64" t="n">
        <f aca="false">IF($A482="",0,IFERROR(MATCH($A482,Classes!$A$6:$A$420,0),0))</f>
        <v>301</v>
      </c>
      <c r="N482" s="64" t="n">
        <f aca="false">IF($H482="",0,IFERROR(MATCH($H482,GradeList,0),0))</f>
        <v>0</v>
      </c>
      <c r="O482" s="64" t="n">
        <f aca="false">IF(OR($I482="",$I482="NR"),0,IFERROR(MATCH($I482,GradeList,0),0))</f>
        <v>6</v>
      </c>
      <c r="P482" s="64" t="n">
        <f aca="false">IF(AND($M482&gt;0,ISNUMBER(MATCH($F482,Lists!$A$2:$A$5,0)),ISNUMBER(MATCH($G482,Lists!$B$2:$B$7,0)),OR($H482="",$N482&gt;0),OR($I482="",$I482="NR",$O482&gt;0),IF(ISNUMBER($J482),AND($J482&gt;=0,$J482=INT($J482)),FALSE())),$J482,0)</f>
        <v>1</v>
      </c>
      <c r="Q482" s="64" t="n">
        <f aca="false">IF(AND($P482&gt;0,$O482&gt;0),$P482,0)</f>
        <v>1</v>
      </c>
      <c r="R482" s="64" t="n">
        <f aca="false">IF(AND($Q482&gt;0,$O482&gt;=AtRank),$Q482,0)</f>
        <v>1</v>
      </c>
      <c r="S482" s="64" t="n">
        <f aca="false">IF(AND($Q482&gt;0,$O482&gt;=AboveRank),$Q482,0)</f>
        <v>0</v>
      </c>
      <c r="T482" s="64" t="n">
        <f aca="false">IF($K482="Less",$P482,0)</f>
        <v>0</v>
      </c>
      <c r="U482" s="64" t="n">
        <f aca="false">IF($K482="Expected",$P482,0)</f>
        <v>0</v>
      </c>
      <c r="V482" s="64" t="n">
        <f aca="false">IF($K482="Better",$P482,0)</f>
        <v>0</v>
      </c>
      <c r="W482" s="64" t="n">
        <f aca="false">IF($K482="U – needs rule",$P482,0)</f>
        <v>0</v>
      </c>
      <c r="X482" s="64" t="n">
        <f aca="false">IF($K482="No Start (attainment only)",$P482,0)</f>
        <v>0</v>
      </c>
    </row>
    <row r="483" customFormat="false" ht="15" hidden="false" customHeight="false" outlineLevel="0" collapsed="false">
      <c r="A483" s="60" t="s">
        <v>798</v>
      </c>
      <c r="B483" s="61" t="str">
        <f aca="false">IF($M483=0,"",INDEX(Classes!$E$6:$E$420,$M483))</f>
        <v>Arabic A</v>
      </c>
      <c r="C483" s="62" t="str">
        <f aca="false">IF($M483=0,"",INDEX(Classes!$H$6:$H$420,$M483))</f>
        <v>Mr Ahmed AbdelmonemElsye</v>
      </c>
      <c r="D483" s="61" t="str">
        <f aca="false">IF($M483=0,"",INDEX(Classes!$B$6:$B$420,$M483))</f>
        <v>Year 10</v>
      </c>
      <c r="E483" s="61" t="str">
        <f aca="false">IF($M483=0,"",INDEX(Classes!$C$6:$C$420,$M483))</f>
        <v>ip</v>
      </c>
      <c r="F483" s="63" t="s">
        <v>162</v>
      </c>
      <c r="G483" s="63" t="s">
        <v>1015</v>
      </c>
      <c r="H483" s="60"/>
      <c r="I483" s="60" t="s">
        <v>198</v>
      </c>
      <c r="J483" s="63" t="n">
        <v>1</v>
      </c>
      <c r="K483" s="61" t="str">
        <f aca="false">IF($P483=0,"",IF($F483="Baseline","— Baseline",IF($O483=0,"No result",IF($N483=0,"No Start (attainment only)",IF(OR($N483=1,$O483=1),"U – needs rule",INDEX(MxBody,MATCH($I483,MxCurr,0),MATCH($H483,MxStart,0)))))))</f>
        <v>— Baseline</v>
      </c>
      <c r="L483" s="62" t="str">
        <f aca="false">IF(COUNTA($A483,$F483,$G483,$H483,$I483,$J483)=0,"",IF($M483=0,"✖ كود الصف غير موجود",IF(ISNA(MATCH($F483,Lists!$A$2:$A$5,0)),"✖ الفترة غير صحيحة",IF(ISNA(MATCH($G483,Lists!$B$2:$B$7,0)),"✖ المجموعة غير صحيحة",IF(NOT(OR($H483="",$N483&gt;0)),"✖ Start غير صحيح",IF(NOT(OR($I483="",$I483="NR",$O483&gt;0)),"✖ Current غير صحيح",IF(NOT(IF(ISNUMBER($J483),AND($J483&gt;=0,$J483=INT($J483)),FALSE())),"✖ العدد يجب أن يكون صحيحًا ≥ 0",IF(AND($F483="Baseline",$H483&lt;&gt;""),"⚠ Baseline: Start لا يدخل في التقدم",IF($K483="No Start (attainment only)","ℹ تحصيل فقط (بدون Start)",IF($K483="U – needs rule","ℹ حالة U تحتاج قاعدة معتمدة",IF($K483="No result","ℹ بدون نتيجة (يُستبعد من التحصيل)","OK")))))))))))</f>
        <v>OK</v>
      </c>
      <c r="M483" s="64" t="n">
        <f aca="false">IF($A483="",0,IFERROR(MATCH($A483,Classes!$A$6:$A$420,0),0))</f>
        <v>301</v>
      </c>
      <c r="N483" s="64" t="n">
        <f aca="false">IF($H483="",0,IFERROR(MATCH($H483,GradeList,0),0))</f>
        <v>0</v>
      </c>
      <c r="O483" s="64" t="n">
        <f aca="false">IF(OR($I483="",$I483="NR"),0,IFERROR(MATCH($I483,GradeList,0),0))</f>
        <v>3</v>
      </c>
      <c r="P483" s="64" t="n">
        <f aca="false">IF(AND($M483&gt;0,ISNUMBER(MATCH($F483,Lists!$A$2:$A$5,0)),ISNUMBER(MATCH($G483,Lists!$B$2:$B$7,0)),OR($H483="",$N483&gt;0),OR($I483="",$I483="NR",$O483&gt;0),IF(ISNUMBER($J483),AND($J483&gt;=0,$J483=INT($J483)),FALSE())),$J483,0)</f>
        <v>1</v>
      </c>
      <c r="Q483" s="64" t="n">
        <f aca="false">IF(AND($P483&gt;0,$O483&gt;0),$P483,0)</f>
        <v>1</v>
      </c>
      <c r="R483" s="64" t="n">
        <f aca="false">IF(AND($Q483&gt;0,$O483&gt;=AtRank),$Q483,0)</f>
        <v>0</v>
      </c>
      <c r="S483" s="64" t="n">
        <f aca="false">IF(AND($Q483&gt;0,$O483&gt;=AboveRank),$Q483,0)</f>
        <v>0</v>
      </c>
      <c r="T483" s="64" t="n">
        <f aca="false">IF($K483="Less",$P483,0)</f>
        <v>0</v>
      </c>
      <c r="U483" s="64" t="n">
        <f aca="false">IF($K483="Expected",$P483,0)</f>
        <v>0</v>
      </c>
      <c r="V483" s="64" t="n">
        <f aca="false">IF($K483="Better",$P483,0)</f>
        <v>0</v>
      </c>
      <c r="W483" s="64" t="n">
        <f aca="false">IF($K483="U – needs rule",$P483,0)</f>
        <v>0</v>
      </c>
      <c r="X483" s="64" t="n">
        <f aca="false">IF($K483="No Start (attainment only)",$P483,0)</f>
        <v>0</v>
      </c>
    </row>
    <row r="484" customFormat="false" ht="15" hidden="false" customHeight="false" outlineLevel="0" collapsed="false">
      <c r="A484" s="60" t="s">
        <v>798</v>
      </c>
      <c r="B484" s="61" t="str">
        <f aca="false">IF($M484=0,"",INDEX(Classes!$E$6:$E$420,$M484))</f>
        <v>Arabic A</v>
      </c>
      <c r="C484" s="62" t="str">
        <f aca="false">IF($M484=0,"",INDEX(Classes!$H$6:$H$420,$M484))</f>
        <v>Mr Ahmed AbdelmonemElsye</v>
      </c>
      <c r="D484" s="61" t="str">
        <f aca="false">IF($M484=0,"",INDEX(Classes!$B$6:$B$420,$M484))</f>
        <v>Year 10</v>
      </c>
      <c r="E484" s="61" t="str">
        <f aca="false">IF($M484=0,"",INDEX(Classes!$C$6:$C$420,$M484))</f>
        <v>ip</v>
      </c>
      <c r="F484" s="63" t="s">
        <v>162</v>
      </c>
      <c r="G484" s="63" t="s">
        <v>1015</v>
      </c>
      <c r="H484" s="60"/>
      <c r="I484" s="60" t="s">
        <v>199</v>
      </c>
      <c r="J484" s="63" t="n">
        <v>3</v>
      </c>
      <c r="K484" s="61" t="str">
        <f aca="false">IF($P484=0,"",IF($F484="Baseline","— Baseline",IF($O484=0,"No result",IF($N484=0,"No Start (attainment only)",IF(OR($N484=1,$O484=1),"U – needs rule",INDEX(MxBody,MATCH($I484,MxCurr,0),MATCH($H484,MxStart,0)))))))</f>
        <v>— Baseline</v>
      </c>
      <c r="L484" s="62" t="str">
        <f aca="false">IF(COUNTA($A484,$F484,$G484,$H484,$I484,$J484)=0,"",IF($M484=0,"✖ كود الصف غير موجود",IF(ISNA(MATCH($F484,Lists!$A$2:$A$5,0)),"✖ الفترة غير صحيحة",IF(ISNA(MATCH($G484,Lists!$B$2:$B$7,0)),"✖ المجموعة غير صحيحة",IF(NOT(OR($H484="",$N484&gt;0)),"✖ Start غير صحيح",IF(NOT(OR($I484="",$I484="NR",$O484&gt;0)),"✖ Current غير صحيح",IF(NOT(IF(ISNUMBER($J484),AND($J484&gt;=0,$J484=INT($J484)),FALSE())),"✖ العدد يجب أن يكون صحيحًا ≥ 0",IF(AND($F484="Baseline",$H484&lt;&gt;""),"⚠ Baseline: Start لا يدخل في التقدم",IF($K484="No Start (attainment only)","ℹ تحصيل فقط (بدون Start)",IF($K484="U – needs rule","ℹ حالة U تحتاج قاعدة معتمدة",IF($K484="No result","ℹ بدون نتيجة (يُستبعد من التحصيل)","OK")))))))))))</f>
        <v>OK</v>
      </c>
      <c r="M484" s="64" t="n">
        <f aca="false">IF($A484="",0,IFERROR(MATCH($A484,Classes!$A$6:$A$420,0),0))</f>
        <v>301</v>
      </c>
      <c r="N484" s="64" t="n">
        <f aca="false">IF($H484="",0,IFERROR(MATCH($H484,GradeList,0),0))</f>
        <v>0</v>
      </c>
      <c r="O484" s="64" t="n">
        <f aca="false">IF(OR($I484="",$I484="NR"),0,IFERROR(MATCH($I484,GradeList,0),0))</f>
        <v>4</v>
      </c>
      <c r="P484" s="64" t="n">
        <f aca="false">IF(AND($M484&gt;0,ISNUMBER(MATCH($F484,Lists!$A$2:$A$5,0)),ISNUMBER(MATCH($G484,Lists!$B$2:$B$7,0)),OR($H484="",$N484&gt;0),OR($I484="",$I484="NR",$O484&gt;0),IF(ISNUMBER($J484),AND($J484&gt;=0,$J484=INT($J484)),FALSE())),$J484,0)</f>
        <v>3</v>
      </c>
      <c r="Q484" s="64" t="n">
        <f aca="false">IF(AND($P484&gt;0,$O484&gt;0),$P484,0)</f>
        <v>3</v>
      </c>
      <c r="R484" s="64" t="n">
        <f aca="false">IF(AND($Q484&gt;0,$O484&gt;=AtRank),$Q484,0)</f>
        <v>0</v>
      </c>
      <c r="S484" s="64" t="n">
        <f aca="false">IF(AND($Q484&gt;0,$O484&gt;=AboveRank),$Q484,0)</f>
        <v>0</v>
      </c>
      <c r="T484" s="64" t="n">
        <f aca="false">IF($K484="Less",$P484,0)</f>
        <v>0</v>
      </c>
      <c r="U484" s="64" t="n">
        <f aca="false">IF($K484="Expected",$P484,0)</f>
        <v>0</v>
      </c>
      <c r="V484" s="64" t="n">
        <f aca="false">IF($K484="Better",$P484,0)</f>
        <v>0</v>
      </c>
      <c r="W484" s="64" t="n">
        <f aca="false">IF($K484="U – needs rule",$P484,0)</f>
        <v>0</v>
      </c>
      <c r="X484" s="64" t="n">
        <f aca="false">IF($K484="No Start (attainment only)",$P484,0)</f>
        <v>0</v>
      </c>
    </row>
    <row r="485" customFormat="false" ht="15" hidden="false" customHeight="false" outlineLevel="0" collapsed="false">
      <c r="A485" s="60" t="s">
        <v>798</v>
      </c>
      <c r="B485" s="61" t="str">
        <f aca="false">IF($M485=0,"",INDEX(Classes!$E$6:$E$420,$M485))</f>
        <v>Arabic A</v>
      </c>
      <c r="C485" s="62" t="str">
        <f aca="false">IF($M485=0,"",INDEX(Classes!$H$6:$H$420,$M485))</f>
        <v>Mr Ahmed AbdelmonemElsye</v>
      </c>
      <c r="D485" s="61" t="str">
        <f aca="false">IF($M485=0,"",INDEX(Classes!$B$6:$B$420,$M485))</f>
        <v>Year 10</v>
      </c>
      <c r="E485" s="61" t="str">
        <f aca="false">IF($M485=0,"",INDEX(Classes!$C$6:$C$420,$M485))</f>
        <v>ip</v>
      </c>
      <c r="F485" s="63" t="s">
        <v>162</v>
      </c>
      <c r="G485" s="63" t="s">
        <v>1016</v>
      </c>
      <c r="H485" s="60"/>
      <c r="I485" s="60" t="s">
        <v>202</v>
      </c>
      <c r="J485" s="63" t="n">
        <v>2</v>
      </c>
      <c r="K485" s="61" t="str">
        <f aca="false">IF($P485=0,"",IF($F485="Baseline","— Baseline",IF($O485=0,"No result",IF($N485=0,"No Start (attainment only)",IF(OR($N485=1,$O485=1),"U – needs rule",INDEX(MxBody,MATCH($I485,MxCurr,0),MATCH($H485,MxStart,0)))))))</f>
        <v>— Baseline</v>
      </c>
      <c r="L485" s="62" t="str">
        <f aca="false">IF(COUNTA($A485,$F485,$G485,$H485,$I485,$J485)=0,"",IF($M485=0,"✖ كود الصف غير موجود",IF(ISNA(MATCH($F485,Lists!$A$2:$A$5,0)),"✖ الفترة غير صحيحة",IF(ISNA(MATCH($G485,Lists!$B$2:$B$7,0)),"✖ المجموعة غير صحيحة",IF(NOT(OR($H485="",$N485&gt;0)),"✖ Start غير صحيح",IF(NOT(OR($I485="",$I485="NR",$O485&gt;0)),"✖ Current غير صحيح",IF(NOT(IF(ISNUMBER($J485),AND($J485&gt;=0,$J485=INT($J485)),FALSE())),"✖ العدد يجب أن يكون صحيحًا ≥ 0",IF(AND($F485="Baseline",$H485&lt;&gt;""),"⚠ Baseline: Start لا يدخل في التقدم",IF($K485="No Start (attainment only)","ℹ تحصيل فقط (بدون Start)",IF($K485="U – needs rule","ℹ حالة U تحتاج قاعدة معتمدة",IF($K485="No result","ℹ بدون نتيجة (يُستبعد من التحصيل)","OK")))))))))))</f>
        <v>OK</v>
      </c>
      <c r="M485" s="64" t="n">
        <f aca="false">IF($A485="",0,IFERROR(MATCH($A485,Classes!$A$6:$A$420,0),0))</f>
        <v>301</v>
      </c>
      <c r="N485" s="64" t="n">
        <f aca="false">IF($H485="",0,IFERROR(MATCH($H485,GradeList,0),0))</f>
        <v>0</v>
      </c>
      <c r="O485" s="64" t="n">
        <f aca="false">IF(OR($I485="",$I485="NR"),0,IFERROR(MATCH($I485,GradeList,0),0))</f>
        <v>7</v>
      </c>
      <c r="P485" s="64" t="n">
        <f aca="false">IF(AND($M485&gt;0,ISNUMBER(MATCH($F485,Lists!$A$2:$A$5,0)),ISNUMBER(MATCH($G485,Lists!$B$2:$B$7,0)),OR($H485="",$N485&gt;0),OR($I485="",$I485="NR",$O485&gt;0),IF(ISNUMBER($J485),AND($J485&gt;=0,$J485=INT($J485)),FALSE())),$J485,0)</f>
        <v>2</v>
      </c>
      <c r="Q485" s="64" t="n">
        <f aca="false">IF(AND($P485&gt;0,$O485&gt;0),$P485,0)</f>
        <v>2</v>
      </c>
      <c r="R485" s="64" t="n">
        <f aca="false">IF(AND($Q485&gt;0,$O485&gt;=AtRank),$Q485,0)</f>
        <v>2</v>
      </c>
      <c r="S485" s="64" t="n">
        <f aca="false">IF(AND($Q485&gt;0,$O485&gt;=AboveRank),$Q485,0)</f>
        <v>2</v>
      </c>
      <c r="T485" s="64" t="n">
        <f aca="false">IF($K485="Less",$P485,0)</f>
        <v>0</v>
      </c>
      <c r="U485" s="64" t="n">
        <f aca="false">IF($K485="Expected",$P485,0)</f>
        <v>0</v>
      </c>
      <c r="V485" s="64" t="n">
        <f aca="false">IF($K485="Better",$P485,0)</f>
        <v>0</v>
      </c>
      <c r="W485" s="64" t="n">
        <f aca="false">IF($K485="U – needs rule",$P485,0)</f>
        <v>0</v>
      </c>
      <c r="X485" s="64" t="n">
        <f aca="false">IF($K485="No Start (attainment only)",$P485,0)</f>
        <v>0</v>
      </c>
    </row>
    <row r="486" customFormat="false" ht="15" hidden="false" customHeight="false" outlineLevel="0" collapsed="false">
      <c r="A486" s="60" t="s">
        <v>798</v>
      </c>
      <c r="B486" s="61" t="str">
        <f aca="false">IF($M486=0,"",INDEX(Classes!$E$6:$E$420,$M486))</f>
        <v>Arabic A</v>
      </c>
      <c r="C486" s="62" t="str">
        <f aca="false">IF($M486=0,"",INDEX(Classes!$H$6:$H$420,$M486))</f>
        <v>Mr Ahmed AbdelmonemElsye</v>
      </c>
      <c r="D486" s="61" t="str">
        <f aca="false">IF($M486=0,"",INDEX(Classes!$B$6:$B$420,$M486))</f>
        <v>Year 10</v>
      </c>
      <c r="E486" s="61" t="str">
        <f aca="false">IF($M486=0,"",INDEX(Classes!$C$6:$C$420,$M486))</f>
        <v>ip</v>
      </c>
      <c r="F486" s="63" t="s">
        <v>162</v>
      </c>
      <c r="G486" s="63" t="s">
        <v>1016</v>
      </c>
      <c r="H486" s="60"/>
      <c r="I486" s="60" t="s">
        <v>200</v>
      </c>
      <c r="J486" s="63" t="n">
        <v>1</v>
      </c>
      <c r="K486" s="61" t="str">
        <f aca="false">IF($P486=0,"",IF($F486="Baseline","— Baseline",IF($O486=0,"No result",IF($N486=0,"No Start (attainment only)",IF(OR($N486=1,$O486=1),"U – needs rule",INDEX(MxBody,MATCH($I486,MxCurr,0),MATCH($H486,MxStart,0)))))))</f>
        <v>— Baseline</v>
      </c>
      <c r="L486" s="62" t="str">
        <f aca="false">IF(COUNTA($A486,$F486,$G486,$H486,$I486,$J486)=0,"",IF($M486=0,"✖ كود الصف غير موجود",IF(ISNA(MATCH($F486,Lists!$A$2:$A$5,0)),"✖ الفترة غير صحيحة",IF(ISNA(MATCH($G486,Lists!$B$2:$B$7,0)),"✖ المجموعة غير صحيحة",IF(NOT(OR($H486="",$N486&gt;0)),"✖ Start غير صحيح",IF(NOT(OR($I486="",$I486="NR",$O486&gt;0)),"✖ Current غير صحيح",IF(NOT(IF(ISNUMBER($J486),AND($J486&gt;=0,$J486=INT($J486)),FALSE())),"✖ العدد يجب أن يكون صحيحًا ≥ 0",IF(AND($F486="Baseline",$H486&lt;&gt;""),"⚠ Baseline: Start لا يدخل في التقدم",IF($K486="No Start (attainment only)","ℹ تحصيل فقط (بدون Start)",IF($K486="U – needs rule","ℹ حالة U تحتاج قاعدة معتمدة",IF($K486="No result","ℹ بدون نتيجة (يُستبعد من التحصيل)","OK")))))))))))</f>
        <v>OK</v>
      </c>
      <c r="M486" s="64" t="n">
        <f aca="false">IF($A486="",0,IFERROR(MATCH($A486,Classes!$A$6:$A$420,0),0))</f>
        <v>301</v>
      </c>
      <c r="N486" s="64" t="n">
        <f aca="false">IF($H486="",0,IFERROR(MATCH($H486,GradeList,0),0))</f>
        <v>0</v>
      </c>
      <c r="O486" s="64" t="n">
        <f aca="false">IF(OR($I486="",$I486="NR"),0,IFERROR(MATCH($I486,GradeList,0),0))</f>
        <v>5</v>
      </c>
      <c r="P486" s="64" t="n">
        <f aca="false">IF(AND($M486&gt;0,ISNUMBER(MATCH($F486,Lists!$A$2:$A$5,0)),ISNUMBER(MATCH($G486,Lists!$B$2:$B$7,0)),OR($H486="",$N486&gt;0),OR($I486="",$I486="NR",$O486&gt;0),IF(ISNUMBER($J486),AND($J486&gt;=0,$J486=INT($J486)),FALSE())),$J486,0)</f>
        <v>1</v>
      </c>
      <c r="Q486" s="64" t="n">
        <f aca="false">IF(AND($P486&gt;0,$O486&gt;0),$P486,0)</f>
        <v>1</v>
      </c>
      <c r="R486" s="64" t="n">
        <f aca="false">IF(AND($Q486&gt;0,$O486&gt;=AtRank),$Q486,0)</f>
        <v>1</v>
      </c>
      <c r="S486" s="64" t="n">
        <f aca="false">IF(AND($Q486&gt;0,$O486&gt;=AboveRank),$Q486,0)</f>
        <v>0</v>
      </c>
      <c r="T486" s="64" t="n">
        <f aca="false">IF($K486="Less",$P486,0)</f>
        <v>0</v>
      </c>
      <c r="U486" s="64" t="n">
        <f aca="false">IF($K486="Expected",$P486,0)</f>
        <v>0</v>
      </c>
      <c r="V486" s="64" t="n">
        <f aca="false">IF($K486="Better",$P486,0)</f>
        <v>0</v>
      </c>
      <c r="W486" s="64" t="n">
        <f aca="false">IF($K486="U – needs rule",$P486,0)</f>
        <v>0</v>
      </c>
      <c r="X486" s="64" t="n">
        <f aca="false">IF($K486="No Start (attainment only)",$P486,0)</f>
        <v>0</v>
      </c>
    </row>
    <row r="487" customFormat="false" ht="15" hidden="false" customHeight="false" outlineLevel="0" collapsed="false">
      <c r="A487" s="60" t="s">
        <v>798</v>
      </c>
      <c r="B487" s="61" t="str">
        <f aca="false">IF($M487=0,"",INDEX(Classes!$E$6:$E$420,$M487))</f>
        <v>Arabic A</v>
      </c>
      <c r="C487" s="62" t="str">
        <f aca="false">IF($M487=0,"",INDEX(Classes!$H$6:$H$420,$M487))</f>
        <v>Mr Ahmed AbdelmonemElsye</v>
      </c>
      <c r="D487" s="61" t="str">
        <f aca="false">IF($M487=0,"",INDEX(Classes!$B$6:$B$420,$M487))</f>
        <v>Year 10</v>
      </c>
      <c r="E487" s="61" t="str">
        <f aca="false">IF($M487=0,"",INDEX(Classes!$C$6:$C$420,$M487))</f>
        <v>ip</v>
      </c>
      <c r="F487" s="63" t="s">
        <v>162</v>
      </c>
      <c r="G487" s="63" t="s">
        <v>1016</v>
      </c>
      <c r="H487" s="60"/>
      <c r="I487" s="60" t="s">
        <v>201</v>
      </c>
      <c r="J487" s="63" t="n">
        <v>6</v>
      </c>
      <c r="K487" s="61" t="str">
        <f aca="false">IF($P487=0,"",IF($F487="Baseline","— Baseline",IF($O487=0,"No result",IF($N487=0,"No Start (attainment only)",IF(OR($N487=1,$O487=1),"U – needs rule",INDEX(MxBody,MATCH($I487,MxCurr,0),MATCH($H487,MxStart,0)))))))</f>
        <v>— Baseline</v>
      </c>
      <c r="L487" s="62" t="str">
        <f aca="false">IF(COUNTA($A487,$F487,$G487,$H487,$I487,$J487)=0,"",IF($M487=0,"✖ كود الصف غير موجود",IF(ISNA(MATCH($F487,Lists!$A$2:$A$5,0)),"✖ الفترة غير صحيحة",IF(ISNA(MATCH($G487,Lists!$B$2:$B$7,0)),"✖ المجموعة غير صحيحة",IF(NOT(OR($H487="",$N487&gt;0)),"✖ Start غير صحيح",IF(NOT(OR($I487="",$I487="NR",$O487&gt;0)),"✖ Current غير صحيح",IF(NOT(IF(ISNUMBER($J487),AND($J487&gt;=0,$J487=INT($J487)),FALSE())),"✖ العدد يجب أن يكون صحيحًا ≥ 0",IF(AND($F487="Baseline",$H487&lt;&gt;""),"⚠ Baseline: Start لا يدخل في التقدم",IF($K487="No Start (attainment only)","ℹ تحصيل فقط (بدون Start)",IF($K487="U – needs rule","ℹ حالة U تحتاج قاعدة معتمدة",IF($K487="No result","ℹ بدون نتيجة (يُستبعد من التحصيل)","OK")))))))))))</f>
        <v>OK</v>
      </c>
      <c r="M487" s="64" t="n">
        <f aca="false">IF($A487="",0,IFERROR(MATCH($A487,Classes!$A$6:$A$420,0),0))</f>
        <v>301</v>
      </c>
      <c r="N487" s="64" t="n">
        <f aca="false">IF($H487="",0,IFERROR(MATCH($H487,GradeList,0),0))</f>
        <v>0</v>
      </c>
      <c r="O487" s="64" t="n">
        <f aca="false">IF(OR($I487="",$I487="NR"),0,IFERROR(MATCH($I487,GradeList,0),0))</f>
        <v>6</v>
      </c>
      <c r="P487" s="64" t="n">
        <f aca="false">IF(AND($M487&gt;0,ISNUMBER(MATCH($F487,Lists!$A$2:$A$5,0)),ISNUMBER(MATCH($G487,Lists!$B$2:$B$7,0)),OR($H487="",$N487&gt;0),OR($I487="",$I487="NR",$O487&gt;0),IF(ISNUMBER($J487),AND($J487&gt;=0,$J487=INT($J487)),FALSE())),$J487,0)</f>
        <v>6</v>
      </c>
      <c r="Q487" s="64" t="n">
        <f aca="false">IF(AND($P487&gt;0,$O487&gt;0),$P487,0)</f>
        <v>6</v>
      </c>
      <c r="R487" s="64" t="n">
        <f aca="false">IF(AND($Q487&gt;0,$O487&gt;=AtRank),$Q487,0)</f>
        <v>6</v>
      </c>
      <c r="S487" s="64" t="n">
        <f aca="false">IF(AND($Q487&gt;0,$O487&gt;=AboveRank),$Q487,0)</f>
        <v>0</v>
      </c>
      <c r="T487" s="64" t="n">
        <f aca="false">IF($K487="Less",$P487,0)</f>
        <v>0</v>
      </c>
      <c r="U487" s="64" t="n">
        <f aca="false">IF($K487="Expected",$P487,0)</f>
        <v>0</v>
      </c>
      <c r="V487" s="64" t="n">
        <f aca="false">IF($K487="Better",$P487,0)</f>
        <v>0</v>
      </c>
      <c r="W487" s="64" t="n">
        <f aca="false">IF($K487="U – needs rule",$P487,0)</f>
        <v>0</v>
      </c>
      <c r="X487" s="64" t="n">
        <f aca="false">IF($K487="No Start (attainment only)",$P487,0)</f>
        <v>0</v>
      </c>
    </row>
    <row r="488" customFormat="false" ht="15" hidden="false" customHeight="false" outlineLevel="0" collapsed="false">
      <c r="A488" s="60" t="s">
        <v>798</v>
      </c>
      <c r="B488" s="61" t="str">
        <f aca="false">IF($M488=0,"",INDEX(Classes!$E$6:$E$420,$M488))</f>
        <v>Arabic A</v>
      </c>
      <c r="C488" s="62" t="str">
        <f aca="false">IF($M488=0,"",INDEX(Classes!$H$6:$H$420,$M488))</f>
        <v>Mr Ahmed AbdelmonemElsye</v>
      </c>
      <c r="D488" s="61" t="str">
        <f aca="false">IF($M488=0,"",INDEX(Classes!$B$6:$B$420,$M488))</f>
        <v>Year 10</v>
      </c>
      <c r="E488" s="61" t="str">
        <f aca="false">IF($M488=0,"",INDEX(Classes!$C$6:$C$420,$M488))</f>
        <v>ip</v>
      </c>
      <c r="F488" s="63" t="s">
        <v>162</v>
      </c>
      <c r="G488" s="63" t="s">
        <v>1016</v>
      </c>
      <c r="H488" s="60"/>
      <c r="I488" s="60" t="s">
        <v>199</v>
      </c>
      <c r="J488" s="63" t="n">
        <v>2</v>
      </c>
      <c r="K488" s="61" t="str">
        <f aca="false">IF($P488=0,"",IF($F488="Baseline","— Baseline",IF($O488=0,"No result",IF($N488=0,"No Start (attainment only)",IF(OR($N488=1,$O488=1),"U – needs rule",INDEX(MxBody,MATCH($I488,MxCurr,0),MATCH($H488,MxStart,0)))))))</f>
        <v>— Baseline</v>
      </c>
      <c r="L488" s="62" t="str">
        <f aca="false">IF(COUNTA($A488,$F488,$G488,$H488,$I488,$J488)=0,"",IF($M488=0,"✖ كود الصف غير موجود",IF(ISNA(MATCH($F488,Lists!$A$2:$A$5,0)),"✖ الفترة غير صحيحة",IF(ISNA(MATCH($G488,Lists!$B$2:$B$7,0)),"✖ المجموعة غير صحيحة",IF(NOT(OR($H488="",$N488&gt;0)),"✖ Start غير صحيح",IF(NOT(OR($I488="",$I488="NR",$O488&gt;0)),"✖ Current غير صحيح",IF(NOT(IF(ISNUMBER($J488),AND($J488&gt;=0,$J488=INT($J488)),FALSE())),"✖ العدد يجب أن يكون صحيحًا ≥ 0",IF(AND($F488="Baseline",$H488&lt;&gt;""),"⚠ Baseline: Start لا يدخل في التقدم",IF($K488="No Start (attainment only)","ℹ تحصيل فقط (بدون Start)",IF($K488="U – needs rule","ℹ حالة U تحتاج قاعدة معتمدة",IF($K488="No result","ℹ بدون نتيجة (يُستبعد من التحصيل)","OK")))))))))))</f>
        <v>OK</v>
      </c>
      <c r="M488" s="64" t="n">
        <f aca="false">IF($A488="",0,IFERROR(MATCH($A488,Classes!$A$6:$A$420,0),0))</f>
        <v>301</v>
      </c>
      <c r="N488" s="64" t="n">
        <f aca="false">IF($H488="",0,IFERROR(MATCH($H488,GradeList,0),0))</f>
        <v>0</v>
      </c>
      <c r="O488" s="64" t="n">
        <f aca="false">IF(OR($I488="",$I488="NR"),0,IFERROR(MATCH($I488,GradeList,0),0))</f>
        <v>4</v>
      </c>
      <c r="P488" s="64" t="n">
        <f aca="false">IF(AND($M488&gt;0,ISNUMBER(MATCH($F488,Lists!$A$2:$A$5,0)),ISNUMBER(MATCH($G488,Lists!$B$2:$B$7,0)),OR($H488="",$N488&gt;0),OR($I488="",$I488="NR",$O488&gt;0),IF(ISNUMBER($J488),AND($J488&gt;=0,$J488=INT($J488)),FALSE())),$J488,0)</f>
        <v>2</v>
      </c>
      <c r="Q488" s="64" t="n">
        <f aca="false">IF(AND($P488&gt;0,$O488&gt;0),$P488,0)</f>
        <v>2</v>
      </c>
      <c r="R488" s="64" t="n">
        <f aca="false">IF(AND($Q488&gt;0,$O488&gt;=AtRank),$Q488,0)</f>
        <v>0</v>
      </c>
      <c r="S488" s="64" t="n">
        <f aca="false">IF(AND($Q488&gt;0,$O488&gt;=AboveRank),$Q488,0)</f>
        <v>0</v>
      </c>
      <c r="T488" s="64" t="n">
        <f aca="false">IF($K488="Less",$P488,0)</f>
        <v>0</v>
      </c>
      <c r="U488" s="64" t="n">
        <f aca="false">IF($K488="Expected",$P488,0)</f>
        <v>0</v>
      </c>
      <c r="V488" s="64" t="n">
        <f aca="false">IF($K488="Better",$P488,0)</f>
        <v>0</v>
      </c>
      <c r="W488" s="64" t="n">
        <f aca="false">IF($K488="U – needs rule",$P488,0)</f>
        <v>0</v>
      </c>
      <c r="X488" s="64" t="n">
        <f aca="false">IF($K488="No Start (attainment only)",$P488,0)</f>
        <v>0</v>
      </c>
    </row>
    <row r="489" customFormat="false" ht="15" hidden="false" customHeight="false" outlineLevel="0" collapsed="false">
      <c r="A489" s="60" t="s">
        <v>798</v>
      </c>
      <c r="B489" s="61" t="str">
        <f aca="false">IF($M489=0,"",INDEX(Classes!$E$6:$E$420,$M489))</f>
        <v>Arabic A</v>
      </c>
      <c r="C489" s="62" t="str">
        <f aca="false">IF($M489=0,"",INDEX(Classes!$H$6:$H$420,$M489))</f>
        <v>Mr Ahmed AbdelmonemElsye</v>
      </c>
      <c r="D489" s="61" t="str">
        <f aca="false">IF($M489=0,"",INDEX(Classes!$B$6:$B$420,$M489))</f>
        <v>Year 10</v>
      </c>
      <c r="E489" s="61" t="str">
        <f aca="false">IF($M489=0,"",INDEX(Classes!$C$6:$C$420,$M489))</f>
        <v>ip</v>
      </c>
      <c r="F489" s="63" t="s">
        <v>162</v>
      </c>
      <c r="G489" s="63" t="s">
        <v>941</v>
      </c>
      <c r="H489" s="60"/>
      <c r="I489" s="60" t="s">
        <v>200</v>
      </c>
      <c r="J489" s="63" t="n">
        <v>1</v>
      </c>
      <c r="K489" s="61" t="str">
        <f aca="false">IF($P489=0,"",IF($F489="Baseline","— Baseline",IF($O489=0,"No result",IF($N489=0,"No Start (attainment only)",IF(OR($N489=1,$O489=1),"U – needs rule",INDEX(MxBody,MATCH($I489,MxCurr,0),MATCH($H489,MxStart,0)))))))</f>
        <v>— Baseline</v>
      </c>
      <c r="L489" s="62" t="str">
        <f aca="false">IF(COUNTA($A489,$F489,$G489,$H489,$I489,$J489)=0,"",IF($M489=0,"✖ كود الصف غير موجود",IF(ISNA(MATCH($F489,Lists!$A$2:$A$5,0)),"✖ الفترة غير صحيحة",IF(ISNA(MATCH($G489,Lists!$B$2:$B$7,0)),"✖ المجموعة غير صحيحة",IF(NOT(OR($H489="",$N489&gt;0)),"✖ Start غير صحيح",IF(NOT(OR($I489="",$I489="NR",$O489&gt;0)),"✖ Current غير صحيح",IF(NOT(IF(ISNUMBER($J489),AND($J489&gt;=0,$J489=INT($J489)),FALSE())),"✖ العدد يجب أن يكون صحيحًا ≥ 0",IF(AND($F489="Baseline",$H489&lt;&gt;""),"⚠ Baseline: Start لا يدخل في التقدم",IF($K489="No Start (attainment only)","ℹ تحصيل فقط (بدون Start)",IF($K489="U – needs rule","ℹ حالة U تحتاج قاعدة معتمدة",IF($K489="No result","ℹ بدون نتيجة (يُستبعد من التحصيل)","OK")))))))))))</f>
        <v>OK</v>
      </c>
      <c r="M489" s="64" t="n">
        <f aca="false">IF($A489="",0,IFERROR(MATCH($A489,Classes!$A$6:$A$420,0),0))</f>
        <v>301</v>
      </c>
      <c r="N489" s="64" t="n">
        <f aca="false">IF($H489="",0,IFERROR(MATCH($H489,GradeList,0),0))</f>
        <v>0</v>
      </c>
      <c r="O489" s="64" t="n">
        <f aca="false">IF(OR($I489="",$I489="NR"),0,IFERROR(MATCH($I489,GradeList,0),0))</f>
        <v>5</v>
      </c>
      <c r="P489" s="64" t="n">
        <f aca="false">IF(AND($M489&gt;0,ISNUMBER(MATCH($F489,Lists!$A$2:$A$5,0)),ISNUMBER(MATCH($G489,Lists!$B$2:$B$7,0)),OR($H489="",$N489&gt;0),OR($I489="",$I489="NR",$O489&gt;0),IF(ISNUMBER($J489),AND($J489&gt;=0,$J489=INT($J489)),FALSE())),$J489,0)</f>
        <v>1</v>
      </c>
      <c r="Q489" s="64" t="n">
        <f aca="false">IF(AND($P489&gt;0,$O489&gt;0),$P489,0)</f>
        <v>1</v>
      </c>
      <c r="R489" s="64" t="n">
        <f aca="false">IF(AND($Q489&gt;0,$O489&gt;=AtRank),$Q489,0)</f>
        <v>1</v>
      </c>
      <c r="S489" s="64" t="n">
        <f aca="false">IF(AND($Q489&gt;0,$O489&gt;=AboveRank),$Q489,0)</f>
        <v>0</v>
      </c>
      <c r="T489" s="64" t="n">
        <f aca="false">IF($K489="Less",$P489,0)</f>
        <v>0</v>
      </c>
      <c r="U489" s="64" t="n">
        <f aca="false">IF($K489="Expected",$P489,0)</f>
        <v>0</v>
      </c>
      <c r="V489" s="64" t="n">
        <f aca="false">IF($K489="Better",$P489,0)</f>
        <v>0</v>
      </c>
      <c r="W489" s="64" t="n">
        <f aca="false">IF($K489="U – needs rule",$P489,0)</f>
        <v>0</v>
      </c>
      <c r="X489" s="64" t="n">
        <f aca="false">IF($K489="No Start (attainment only)",$P489,0)</f>
        <v>0</v>
      </c>
    </row>
    <row r="490" customFormat="false" ht="15" hidden="false" customHeight="false" outlineLevel="0" collapsed="false">
      <c r="A490" s="60" t="s">
        <v>798</v>
      </c>
      <c r="B490" s="61" t="str">
        <f aca="false">IF($M490=0,"",INDEX(Classes!$E$6:$E$420,$M490))</f>
        <v>Arabic A</v>
      </c>
      <c r="C490" s="62" t="str">
        <f aca="false">IF($M490=0,"",INDEX(Classes!$H$6:$H$420,$M490))</f>
        <v>Mr Ahmed AbdelmonemElsye</v>
      </c>
      <c r="D490" s="61" t="str">
        <f aca="false">IF($M490=0,"",INDEX(Classes!$B$6:$B$420,$M490))</f>
        <v>Year 10</v>
      </c>
      <c r="E490" s="61" t="str">
        <f aca="false">IF($M490=0,"",INDEX(Classes!$C$6:$C$420,$M490))</f>
        <v>ip</v>
      </c>
      <c r="F490" s="63" t="s">
        <v>162</v>
      </c>
      <c r="G490" s="63" t="s">
        <v>941</v>
      </c>
      <c r="H490" s="60"/>
      <c r="I490" s="60" t="s">
        <v>199</v>
      </c>
      <c r="J490" s="63" t="n">
        <v>2</v>
      </c>
      <c r="K490" s="61" t="str">
        <f aca="false">IF($P490=0,"",IF($F490="Baseline","— Baseline",IF($O490=0,"No result",IF($N490=0,"No Start (attainment only)",IF(OR($N490=1,$O490=1),"U – needs rule",INDEX(MxBody,MATCH($I490,MxCurr,0),MATCH($H490,MxStart,0)))))))</f>
        <v>— Baseline</v>
      </c>
      <c r="L490" s="62" t="str">
        <f aca="false">IF(COUNTA($A490,$F490,$G490,$H490,$I490,$J490)=0,"",IF($M490=0,"✖ كود الصف غير موجود",IF(ISNA(MATCH($F490,Lists!$A$2:$A$5,0)),"✖ الفترة غير صحيحة",IF(ISNA(MATCH($G490,Lists!$B$2:$B$7,0)),"✖ المجموعة غير صحيحة",IF(NOT(OR($H490="",$N490&gt;0)),"✖ Start غير صحيح",IF(NOT(OR($I490="",$I490="NR",$O490&gt;0)),"✖ Current غير صحيح",IF(NOT(IF(ISNUMBER($J490),AND($J490&gt;=0,$J490=INT($J490)),FALSE())),"✖ العدد يجب أن يكون صحيحًا ≥ 0",IF(AND($F490="Baseline",$H490&lt;&gt;""),"⚠ Baseline: Start لا يدخل في التقدم",IF($K490="No Start (attainment only)","ℹ تحصيل فقط (بدون Start)",IF($K490="U – needs rule","ℹ حالة U تحتاج قاعدة معتمدة",IF($K490="No result","ℹ بدون نتيجة (يُستبعد من التحصيل)","OK")))))))))))</f>
        <v>OK</v>
      </c>
      <c r="M490" s="64" t="n">
        <f aca="false">IF($A490="",0,IFERROR(MATCH($A490,Classes!$A$6:$A$420,0),0))</f>
        <v>301</v>
      </c>
      <c r="N490" s="64" t="n">
        <f aca="false">IF($H490="",0,IFERROR(MATCH($H490,GradeList,0),0))</f>
        <v>0</v>
      </c>
      <c r="O490" s="64" t="n">
        <f aca="false">IF(OR($I490="",$I490="NR"),0,IFERROR(MATCH($I490,GradeList,0),0))</f>
        <v>4</v>
      </c>
      <c r="P490" s="64" t="n">
        <f aca="false">IF(AND($M490&gt;0,ISNUMBER(MATCH($F490,Lists!$A$2:$A$5,0)),ISNUMBER(MATCH($G490,Lists!$B$2:$B$7,0)),OR($H490="",$N490&gt;0),OR($I490="",$I490="NR",$O490&gt;0),IF(ISNUMBER($J490),AND($J490&gt;=0,$J490=INT($J490)),FALSE())),$J490,0)</f>
        <v>2</v>
      </c>
      <c r="Q490" s="64" t="n">
        <f aca="false">IF(AND($P490&gt;0,$O490&gt;0),$P490,0)</f>
        <v>2</v>
      </c>
      <c r="R490" s="64" t="n">
        <f aca="false">IF(AND($Q490&gt;0,$O490&gt;=AtRank),$Q490,0)</f>
        <v>0</v>
      </c>
      <c r="S490" s="64" t="n">
        <f aca="false">IF(AND($Q490&gt;0,$O490&gt;=AboveRank),$Q490,0)</f>
        <v>0</v>
      </c>
      <c r="T490" s="64" t="n">
        <f aca="false">IF($K490="Less",$P490,0)</f>
        <v>0</v>
      </c>
      <c r="U490" s="64" t="n">
        <f aca="false">IF($K490="Expected",$P490,0)</f>
        <v>0</v>
      </c>
      <c r="V490" s="64" t="n">
        <f aca="false">IF($K490="Better",$P490,0)</f>
        <v>0</v>
      </c>
      <c r="W490" s="64" t="n">
        <f aca="false">IF($K490="U – needs rule",$P490,0)</f>
        <v>0</v>
      </c>
      <c r="X490" s="64" t="n">
        <f aca="false">IF($K490="No Start (attainment only)",$P490,0)</f>
        <v>0</v>
      </c>
    </row>
    <row r="491" customFormat="false" ht="15" hidden="false" customHeight="false" outlineLevel="0" collapsed="false">
      <c r="A491" s="60" t="s">
        <v>798</v>
      </c>
      <c r="B491" s="61" t="str">
        <f aca="false">IF($M491=0,"",INDEX(Classes!$E$6:$E$420,$M491))</f>
        <v>Arabic A</v>
      </c>
      <c r="C491" s="62" t="str">
        <f aca="false">IF($M491=0,"",INDEX(Classes!$H$6:$H$420,$M491))</f>
        <v>Mr Ahmed AbdelmonemElsye</v>
      </c>
      <c r="D491" s="61" t="str">
        <f aca="false">IF($M491=0,"",INDEX(Classes!$B$6:$B$420,$M491))</f>
        <v>Year 10</v>
      </c>
      <c r="E491" s="61" t="str">
        <f aca="false">IF($M491=0,"",INDEX(Classes!$C$6:$C$420,$M491))</f>
        <v>ip</v>
      </c>
      <c r="F491" s="63" t="s">
        <v>162</v>
      </c>
      <c r="G491" s="63" t="s">
        <v>1017</v>
      </c>
      <c r="H491" s="60"/>
      <c r="I491" s="60" t="s">
        <v>202</v>
      </c>
      <c r="J491" s="63" t="n">
        <v>1</v>
      </c>
      <c r="K491" s="61" t="str">
        <f aca="false">IF($P491=0,"",IF($F491="Baseline","— Baseline",IF($O491=0,"No result",IF($N491=0,"No Start (attainment only)",IF(OR($N491=1,$O491=1),"U – needs rule",INDEX(MxBody,MATCH($I491,MxCurr,0),MATCH($H491,MxStart,0)))))))</f>
        <v>— Baseline</v>
      </c>
      <c r="L491" s="62" t="str">
        <f aca="false">IF(COUNTA($A491,$F491,$G491,$H491,$I491,$J491)=0,"",IF($M491=0,"✖ كود الصف غير موجود",IF(ISNA(MATCH($F491,Lists!$A$2:$A$5,0)),"✖ الفترة غير صحيحة",IF(ISNA(MATCH($G491,Lists!$B$2:$B$7,0)),"✖ المجموعة غير صحيحة",IF(NOT(OR($H491="",$N491&gt;0)),"✖ Start غير صحيح",IF(NOT(OR($I491="",$I491="NR",$O491&gt;0)),"✖ Current غير صحيح",IF(NOT(IF(ISNUMBER($J491),AND($J491&gt;=0,$J491=INT($J491)),FALSE())),"✖ العدد يجب أن يكون صحيحًا ≥ 0",IF(AND($F491="Baseline",$H491&lt;&gt;""),"⚠ Baseline: Start لا يدخل في التقدم",IF($K491="No Start (attainment only)","ℹ تحصيل فقط (بدون Start)",IF($K491="U – needs rule","ℹ حالة U تحتاج قاعدة معتمدة",IF($K491="No result","ℹ بدون نتيجة (يُستبعد من التحصيل)","OK")))))))))))</f>
        <v>OK</v>
      </c>
      <c r="M491" s="64" t="n">
        <f aca="false">IF($A491="",0,IFERROR(MATCH($A491,Classes!$A$6:$A$420,0),0))</f>
        <v>301</v>
      </c>
      <c r="N491" s="64" t="n">
        <f aca="false">IF($H491="",0,IFERROR(MATCH($H491,GradeList,0),0))</f>
        <v>0</v>
      </c>
      <c r="O491" s="64" t="n">
        <f aca="false">IF(OR($I491="",$I491="NR"),0,IFERROR(MATCH($I491,GradeList,0),0))</f>
        <v>7</v>
      </c>
      <c r="P491" s="64" t="n">
        <f aca="false">IF(AND($M491&gt;0,ISNUMBER(MATCH($F491,Lists!$A$2:$A$5,0)),ISNUMBER(MATCH($G491,Lists!$B$2:$B$7,0)),OR($H491="",$N491&gt;0),OR($I491="",$I491="NR",$O491&gt;0),IF(ISNUMBER($J491),AND($J491&gt;=0,$J491=INT($J491)),FALSE())),$J491,0)</f>
        <v>1</v>
      </c>
      <c r="Q491" s="64" t="n">
        <f aca="false">IF(AND($P491&gt;0,$O491&gt;0),$P491,0)</f>
        <v>1</v>
      </c>
      <c r="R491" s="64" t="n">
        <f aca="false">IF(AND($Q491&gt;0,$O491&gt;=AtRank),$Q491,0)</f>
        <v>1</v>
      </c>
      <c r="S491" s="64" t="n">
        <f aca="false">IF(AND($Q491&gt;0,$O491&gt;=AboveRank),$Q491,0)</f>
        <v>1</v>
      </c>
      <c r="T491" s="64" t="n">
        <f aca="false">IF($K491="Less",$P491,0)</f>
        <v>0</v>
      </c>
      <c r="U491" s="64" t="n">
        <f aca="false">IF($K491="Expected",$P491,0)</f>
        <v>0</v>
      </c>
      <c r="V491" s="64" t="n">
        <f aca="false">IF($K491="Better",$P491,0)</f>
        <v>0</v>
      </c>
      <c r="W491" s="64" t="n">
        <f aca="false">IF($K491="U – needs rule",$P491,0)</f>
        <v>0</v>
      </c>
      <c r="X491" s="64" t="n">
        <f aca="false">IF($K491="No Start (attainment only)",$P491,0)</f>
        <v>0</v>
      </c>
    </row>
    <row r="492" customFormat="false" ht="15" hidden="false" customHeight="false" outlineLevel="0" collapsed="false">
      <c r="A492" s="60" t="s">
        <v>798</v>
      </c>
      <c r="B492" s="61" t="str">
        <f aca="false">IF($M492=0,"",INDEX(Classes!$E$6:$E$420,$M492))</f>
        <v>Arabic A</v>
      </c>
      <c r="C492" s="62" t="str">
        <f aca="false">IF($M492=0,"",INDEX(Classes!$H$6:$H$420,$M492))</f>
        <v>Mr Ahmed AbdelmonemElsye</v>
      </c>
      <c r="D492" s="61" t="str">
        <f aca="false">IF($M492=0,"",INDEX(Classes!$B$6:$B$420,$M492))</f>
        <v>Year 10</v>
      </c>
      <c r="E492" s="61" t="str">
        <f aca="false">IF($M492=0,"",INDEX(Classes!$C$6:$C$420,$M492))</f>
        <v>ip</v>
      </c>
      <c r="F492" s="63" t="s">
        <v>162</v>
      </c>
      <c r="G492" s="63" t="s">
        <v>1018</v>
      </c>
      <c r="H492" s="60"/>
      <c r="I492" s="60" t="s">
        <v>201</v>
      </c>
      <c r="J492" s="63" t="n">
        <v>1</v>
      </c>
      <c r="K492" s="61" t="str">
        <f aca="false">IF($P492=0,"",IF($F492="Baseline","— Baseline",IF($O492=0,"No result",IF($N492=0,"No Start (attainment only)",IF(OR($N492=1,$O492=1),"U – needs rule",INDEX(MxBody,MATCH($I492,MxCurr,0),MATCH($H492,MxStart,0)))))))</f>
        <v>— Baseline</v>
      </c>
      <c r="L492" s="62" t="str">
        <f aca="false">IF(COUNTA($A492,$F492,$G492,$H492,$I492,$J492)=0,"",IF($M492=0,"✖ كود الصف غير موجود",IF(ISNA(MATCH($F492,Lists!$A$2:$A$5,0)),"✖ الفترة غير صحيحة",IF(ISNA(MATCH($G492,Lists!$B$2:$B$7,0)),"✖ المجموعة غير صحيحة",IF(NOT(OR($H492="",$N492&gt;0)),"✖ Start غير صحيح",IF(NOT(OR($I492="",$I492="NR",$O492&gt;0)),"✖ Current غير صحيح",IF(NOT(IF(ISNUMBER($J492),AND($J492&gt;=0,$J492=INT($J492)),FALSE())),"✖ العدد يجب أن يكون صحيحًا ≥ 0",IF(AND($F492="Baseline",$H492&lt;&gt;""),"⚠ Baseline: Start لا يدخل في التقدم",IF($K492="No Start (attainment only)","ℹ تحصيل فقط (بدون Start)",IF($K492="U – needs rule","ℹ حالة U تحتاج قاعدة معتمدة",IF($K492="No result","ℹ بدون نتيجة (يُستبعد من التحصيل)","OK")))))))))))</f>
        <v>OK</v>
      </c>
      <c r="M492" s="64" t="n">
        <f aca="false">IF($A492="",0,IFERROR(MATCH($A492,Classes!$A$6:$A$420,0),0))</f>
        <v>301</v>
      </c>
      <c r="N492" s="64" t="n">
        <f aca="false">IF($H492="",0,IFERROR(MATCH($H492,GradeList,0),0))</f>
        <v>0</v>
      </c>
      <c r="O492" s="64" t="n">
        <f aca="false">IF(OR($I492="",$I492="NR"),0,IFERROR(MATCH($I492,GradeList,0),0))</f>
        <v>6</v>
      </c>
      <c r="P492" s="64" t="n">
        <f aca="false">IF(AND($M492&gt;0,ISNUMBER(MATCH($F492,Lists!$A$2:$A$5,0)),ISNUMBER(MATCH($G492,Lists!$B$2:$B$7,0)),OR($H492="",$N492&gt;0),OR($I492="",$I492="NR",$O492&gt;0),IF(ISNUMBER($J492),AND($J492&gt;=0,$J492=INT($J492)),FALSE())),$J492,0)</f>
        <v>1</v>
      </c>
      <c r="Q492" s="64" t="n">
        <f aca="false">IF(AND($P492&gt;0,$O492&gt;0),$P492,0)</f>
        <v>1</v>
      </c>
      <c r="R492" s="64" t="n">
        <f aca="false">IF(AND($Q492&gt;0,$O492&gt;=AtRank),$Q492,0)</f>
        <v>1</v>
      </c>
      <c r="S492" s="64" t="n">
        <f aca="false">IF(AND($Q492&gt;0,$O492&gt;=AboveRank),$Q492,0)</f>
        <v>0</v>
      </c>
      <c r="T492" s="64" t="n">
        <f aca="false">IF($K492="Less",$P492,0)</f>
        <v>0</v>
      </c>
      <c r="U492" s="64" t="n">
        <f aca="false">IF($K492="Expected",$P492,0)</f>
        <v>0</v>
      </c>
      <c r="V492" s="64" t="n">
        <f aca="false">IF($K492="Better",$P492,0)</f>
        <v>0</v>
      </c>
      <c r="W492" s="64" t="n">
        <f aca="false">IF($K492="U – needs rule",$P492,0)</f>
        <v>0</v>
      </c>
      <c r="X492" s="64" t="n">
        <f aca="false">IF($K492="No Start (attainment only)",$P492,0)</f>
        <v>0</v>
      </c>
    </row>
    <row r="493" customFormat="false" ht="15" hidden="false" customHeight="false" outlineLevel="0" collapsed="false">
      <c r="A493" s="60" t="s">
        <v>798</v>
      </c>
      <c r="B493" s="61" t="str">
        <f aca="false">IF($M493=0,"",INDEX(Classes!$E$6:$E$420,$M493))</f>
        <v>Arabic A</v>
      </c>
      <c r="C493" s="62" t="str">
        <f aca="false">IF($M493=0,"",INDEX(Classes!$H$6:$H$420,$M493))</f>
        <v>Mr Ahmed AbdelmonemElsye</v>
      </c>
      <c r="D493" s="61" t="str">
        <f aca="false">IF($M493=0,"",INDEX(Classes!$B$6:$B$420,$M493))</f>
        <v>Year 10</v>
      </c>
      <c r="E493" s="61" t="str">
        <f aca="false">IF($M493=0,"",INDEX(Classes!$C$6:$C$420,$M493))</f>
        <v>ip</v>
      </c>
      <c r="F493" s="63" t="s">
        <v>107</v>
      </c>
      <c r="G493" s="63" t="s">
        <v>108</v>
      </c>
      <c r="H493" s="60"/>
      <c r="I493" s="60" t="s">
        <v>202</v>
      </c>
      <c r="J493" s="63" t="n">
        <v>1</v>
      </c>
      <c r="K493" s="61" t="str">
        <f aca="false">IF($P493=0,"",IF($F493="Baseline","— Baseline",IF($O493=0,"No result",IF($N493=0,"No Start (attainment only)",IF(OR($N493=1,$O493=1),"U – needs rule",INDEX(MxBody,MATCH($I493,MxCurr,0),MATCH($H493,MxStart,0)))))))</f>
        <v>No Start (attainment only)</v>
      </c>
      <c r="L493" s="62" t="str">
        <f aca="false">IF(COUNTA($A493,$F493,$G493,$H493,$I493,$J493)=0,"",IF($M493=0,"✖ كود الصف غير موجود",IF(ISNA(MATCH($F493,Lists!$A$2:$A$5,0)),"✖ الفترة غير صحيحة",IF(ISNA(MATCH($G493,Lists!$B$2:$B$7,0)),"✖ المجموعة غير صحيحة",IF(NOT(OR($H493="",$N493&gt;0)),"✖ Start غير صحيح",IF(NOT(OR($I493="",$I493="NR",$O493&gt;0)),"✖ Current غير صحيح",IF(NOT(IF(ISNUMBER($J493),AND($J493&gt;=0,$J493=INT($J493)),FALSE())),"✖ العدد يجب أن يكون صحيحًا ≥ 0",IF(AND($F493="Baseline",$H493&lt;&gt;""),"⚠ Baseline: Start لا يدخل في التقدم",IF($K493="No Start (attainment only)","ℹ تحصيل فقط (بدون Start)",IF($K493="U – needs rule","ℹ حالة U تحتاج قاعدة معتمدة",IF($K493="No result","ℹ بدون نتيجة (يُستبعد من التحصيل)","OK")))))))))))</f>
        <v>ℹ تحصيل فقط (بدون Start)</v>
      </c>
      <c r="M493" s="64" t="n">
        <f aca="false">IF($A493="",0,IFERROR(MATCH($A493,Classes!$A$6:$A$420,0),0))</f>
        <v>301</v>
      </c>
      <c r="N493" s="64" t="n">
        <f aca="false">IF($H493="",0,IFERROR(MATCH($H493,GradeList,0),0))</f>
        <v>0</v>
      </c>
      <c r="O493" s="64" t="n">
        <f aca="false">IF(OR($I493="",$I493="NR"),0,IFERROR(MATCH($I493,GradeList,0),0))</f>
        <v>7</v>
      </c>
      <c r="P493" s="64" t="n">
        <f aca="false">IF(AND($M493&gt;0,ISNUMBER(MATCH($F493,Lists!$A$2:$A$5,0)),ISNUMBER(MATCH($G493,Lists!$B$2:$B$7,0)),OR($H493="",$N493&gt;0),OR($I493="",$I493="NR",$O493&gt;0),IF(ISNUMBER($J493),AND($J493&gt;=0,$J493=INT($J493)),FALSE())),$J493,0)</f>
        <v>1</v>
      </c>
      <c r="Q493" s="64" t="n">
        <f aca="false">IF(AND($P493&gt;0,$O493&gt;0),$P493,0)</f>
        <v>1</v>
      </c>
      <c r="R493" s="64" t="n">
        <f aca="false">IF(AND($Q493&gt;0,$O493&gt;=AtRank),$Q493,0)</f>
        <v>1</v>
      </c>
      <c r="S493" s="64" t="n">
        <f aca="false">IF(AND($Q493&gt;0,$O493&gt;=AboveRank),$Q493,0)</f>
        <v>1</v>
      </c>
      <c r="T493" s="64" t="n">
        <f aca="false">IF($K493="Less",$P493,0)</f>
        <v>0</v>
      </c>
      <c r="U493" s="64" t="n">
        <f aca="false">IF($K493="Expected",$P493,0)</f>
        <v>0</v>
      </c>
      <c r="V493" s="64" t="n">
        <f aca="false">IF($K493="Better",$P493,0)</f>
        <v>0</v>
      </c>
      <c r="W493" s="64" t="n">
        <f aca="false">IF($K493="U – needs rule",$P493,0)</f>
        <v>0</v>
      </c>
      <c r="X493" s="64" t="n">
        <f aca="false">IF($K493="No Start (attainment only)",$P493,0)</f>
        <v>1</v>
      </c>
    </row>
    <row r="494" customFormat="false" ht="15" hidden="false" customHeight="false" outlineLevel="0" collapsed="false">
      <c r="A494" s="60" t="s">
        <v>798</v>
      </c>
      <c r="B494" s="61" t="str">
        <f aca="false">IF($M494=0,"",INDEX(Classes!$E$6:$E$420,$M494))</f>
        <v>Arabic A</v>
      </c>
      <c r="C494" s="62" t="str">
        <f aca="false">IF($M494=0,"",INDEX(Classes!$H$6:$H$420,$M494))</f>
        <v>Mr Ahmed AbdelmonemElsye</v>
      </c>
      <c r="D494" s="61" t="str">
        <f aca="false">IF($M494=0,"",INDEX(Classes!$B$6:$B$420,$M494))</f>
        <v>Year 10</v>
      </c>
      <c r="E494" s="61" t="str">
        <f aca="false">IF($M494=0,"",INDEX(Classes!$C$6:$C$420,$M494))</f>
        <v>ip</v>
      </c>
      <c r="F494" s="63" t="s">
        <v>107</v>
      </c>
      <c r="G494" s="63" t="s">
        <v>108</v>
      </c>
      <c r="H494" s="60" t="s">
        <v>202</v>
      </c>
      <c r="I494" s="60" t="s">
        <v>203</v>
      </c>
      <c r="J494" s="63" t="n">
        <v>1</v>
      </c>
      <c r="K494" s="61" t="str">
        <f aca="false">IF($P494=0,"",IF($F494="Baseline","— Baseline",IF($O494=0,"No result",IF($N494=0,"No Start (attainment only)",IF(OR($N494=1,$O494=1),"U – needs rule",INDEX(MxBody,MATCH($I494,MxCurr,0),MATCH($H494,MxStart,0)))))))</f>
        <v>Better</v>
      </c>
      <c r="L494" s="62" t="str">
        <f aca="false">IF(COUNTA($A494,$F494,$G494,$H494,$I494,$J494)=0,"",IF($M494=0,"✖ كود الصف غير موجود",IF(ISNA(MATCH($F494,Lists!$A$2:$A$5,0)),"✖ الفترة غير صحيحة",IF(ISNA(MATCH($G494,Lists!$B$2:$B$7,0)),"✖ المجموعة غير صحيحة",IF(NOT(OR($H494="",$N494&gt;0)),"✖ Start غير صحيح",IF(NOT(OR($I494="",$I494="NR",$O494&gt;0)),"✖ Current غير صحيح",IF(NOT(IF(ISNUMBER($J494),AND($J494&gt;=0,$J494=INT($J494)),FALSE())),"✖ العدد يجب أن يكون صحيحًا ≥ 0",IF(AND($F494="Baseline",$H494&lt;&gt;""),"⚠ Baseline: Start لا يدخل في التقدم",IF($K494="No Start (attainment only)","ℹ تحصيل فقط (بدون Start)",IF($K494="U – needs rule","ℹ حالة U تحتاج قاعدة معتمدة",IF($K494="No result","ℹ بدون نتيجة (يُستبعد من التحصيل)","OK")))))))))))</f>
        <v>OK</v>
      </c>
      <c r="M494" s="64" t="n">
        <f aca="false">IF($A494="",0,IFERROR(MATCH($A494,Classes!$A$6:$A$420,0),0))</f>
        <v>301</v>
      </c>
      <c r="N494" s="64" t="n">
        <f aca="false">IF($H494="",0,IFERROR(MATCH($H494,GradeList,0),0))</f>
        <v>7</v>
      </c>
      <c r="O494" s="64" t="n">
        <f aca="false">IF(OR($I494="",$I494="NR"),0,IFERROR(MATCH($I494,GradeList,0),0))</f>
        <v>8</v>
      </c>
      <c r="P494" s="64" t="n">
        <f aca="false">IF(AND($M494&gt;0,ISNUMBER(MATCH($F494,Lists!$A$2:$A$5,0)),ISNUMBER(MATCH($G494,Lists!$B$2:$B$7,0)),OR($H494="",$N494&gt;0),OR($I494="",$I494="NR",$O494&gt;0),IF(ISNUMBER($J494),AND($J494&gt;=0,$J494=INT($J494)),FALSE())),$J494,0)</f>
        <v>1</v>
      </c>
      <c r="Q494" s="64" t="n">
        <f aca="false">IF(AND($P494&gt;0,$O494&gt;0),$P494,0)</f>
        <v>1</v>
      </c>
      <c r="R494" s="64" t="n">
        <f aca="false">IF(AND($Q494&gt;0,$O494&gt;=AtRank),$Q494,0)</f>
        <v>1</v>
      </c>
      <c r="S494" s="64" t="n">
        <f aca="false">IF(AND($Q494&gt;0,$O494&gt;=AboveRank),$Q494,0)</f>
        <v>1</v>
      </c>
      <c r="T494" s="64" t="n">
        <f aca="false">IF($K494="Less",$P494,0)</f>
        <v>0</v>
      </c>
      <c r="U494" s="64" t="n">
        <f aca="false">IF($K494="Expected",$P494,0)</f>
        <v>0</v>
      </c>
      <c r="V494" s="64" t="n">
        <f aca="false">IF($K494="Better",$P494,0)</f>
        <v>1</v>
      </c>
      <c r="W494" s="64" t="n">
        <f aca="false">IF($K494="U – needs rule",$P494,0)</f>
        <v>0</v>
      </c>
      <c r="X494" s="64" t="n">
        <f aca="false">IF($K494="No Start (attainment only)",$P494,0)</f>
        <v>0</v>
      </c>
    </row>
    <row r="495" customFormat="false" ht="15" hidden="false" customHeight="false" outlineLevel="0" collapsed="false">
      <c r="A495" s="60" t="s">
        <v>798</v>
      </c>
      <c r="B495" s="61" t="str">
        <f aca="false">IF($M495=0,"",INDEX(Classes!$E$6:$E$420,$M495))</f>
        <v>Arabic A</v>
      </c>
      <c r="C495" s="62" t="str">
        <f aca="false">IF($M495=0,"",INDEX(Classes!$H$6:$H$420,$M495))</f>
        <v>Mr Ahmed AbdelmonemElsye</v>
      </c>
      <c r="D495" s="61" t="str">
        <f aca="false">IF($M495=0,"",INDEX(Classes!$B$6:$B$420,$M495))</f>
        <v>Year 10</v>
      </c>
      <c r="E495" s="61" t="str">
        <f aca="false">IF($M495=0,"",INDEX(Classes!$C$6:$C$420,$M495))</f>
        <v>ip</v>
      </c>
      <c r="F495" s="63" t="s">
        <v>107</v>
      </c>
      <c r="G495" s="63" t="s">
        <v>108</v>
      </c>
      <c r="H495" s="60" t="s">
        <v>202</v>
      </c>
      <c r="I495" s="60" t="s">
        <v>1019</v>
      </c>
      <c r="J495" s="63" t="n">
        <v>1</v>
      </c>
      <c r="K495" s="61" t="str">
        <f aca="false">IF($P495=0,"",IF($F495="Baseline","— Baseline",IF($O495=0,"No result",IF($N495=0,"No Start (attainment only)",IF(OR($N495=1,$O495=1),"U – needs rule",INDEX(MxBody,MATCH($I495,MxCurr,0),MATCH($H495,MxStart,0)))))))</f>
        <v>No result</v>
      </c>
      <c r="L495" s="62" t="str">
        <f aca="false">IF(COUNTA($A495,$F495,$G495,$H495,$I495,$J495)=0,"",IF($M495=0,"✖ كود الصف غير موجود",IF(ISNA(MATCH($F495,Lists!$A$2:$A$5,0)),"✖ الفترة غير صحيحة",IF(ISNA(MATCH($G495,Lists!$B$2:$B$7,0)),"✖ المجموعة غير صحيحة",IF(NOT(OR($H495="",$N495&gt;0)),"✖ Start غير صحيح",IF(NOT(OR($I495="",$I495="NR",$O495&gt;0)),"✖ Current غير صحيح",IF(NOT(IF(ISNUMBER($J495),AND($J495&gt;=0,$J495=INT($J495)),FALSE())),"✖ العدد يجب أن يكون صحيحًا ≥ 0",IF(AND($F495="Baseline",$H495&lt;&gt;""),"⚠ Baseline: Start لا يدخل في التقدم",IF($K495="No Start (attainment only)","ℹ تحصيل فقط (بدون Start)",IF($K495="U – needs rule","ℹ حالة U تحتاج قاعدة معتمدة",IF($K495="No result","ℹ بدون نتيجة (يُستبعد من التحصيل)","OK")))))))))))</f>
        <v>ℹ بدون نتيجة (يُستبعد من التحصيل)</v>
      </c>
      <c r="M495" s="64" t="n">
        <f aca="false">IF($A495="",0,IFERROR(MATCH($A495,Classes!$A$6:$A$420,0),0))</f>
        <v>301</v>
      </c>
      <c r="N495" s="64" t="n">
        <f aca="false">IF($H495="",0,IFERROR(MATCH($H495,GradeList,0),0))</f>
        <v>7</v>
      </c>
      <c r="O495" s="64" t="n">
        <f aca="false">IF(OR($I495="",$I495="NR"),0,IFERROR(MATCH($I495,GradeList,0),0))</f>
        <v>0</v>
      </c>
      <c r="P495" s="64" t="n">
        <f aca="false">IF(AND($M495&gt;0,ISNUMBER(MATCH($F495,Lists!$A$2:$A$5,0)),ISNUMBER(MATCH($G495,Lists!$B$2:$B$7,0)),OR($H495="",$N495&gt;0),OR($I495="",$I495="NR",$O495&gt;0),IF(ISNUMBER($J495),AND($J495&gt;=0,$J495=INT($J495)),FALSE())),$J495,0)</f>
        <v>1</v>
      </c>
      <c r="Q495" s="64" t="n">
        <f aca="false">IF(AND($P495&gt;0,$O495&gt;0),$P495,0)</f>
        <v>0</v>
      </c>
      <c r="R495" s="64" t="n">
        <f aca="false">IF(AND($Q495&gt;0,$O495&gt;=AtRank),$Q495,0)</f>
        <v>0</v>
      </c>
      <c r="S495" s="64" t="n">
        <f aca="false">IF(AND($Q495&gt;0,$O495&gt;=AboveRank),$Q495,0)</f>
        <v>0</v>
      </c>
      <c r="T495" s="64" t="n">
        <f aca="false">IF($K495="Less",$P495,0)</f>
        <v>0</v>
      </c>
      <c r="U495" s="64" t="n">
        <f aca="false">IF($K495="Expected",$P495,0)</f>
        <v>0</v>
      </c>
      <c r="V495" s="64" t="n">
        <f aca="false">IF($K495="Better",$P495,0)</f>
        <v>0</v>
      </c>
      <c r="W495" s="64" t="n">
        <f aca="false">IF($K495="U – needs rule",$P495,0)</f>
        <v>0</v>
      </c>
      <c r="X495" s="64" t="n">
        <f aca="false">IF($K495="No Start (attainment only)",$P495,0)</f>
        <v>0</v>
      </c>
    </row>
    <row r="496" customFormat="false" ht="15" hidden="false" customHeight="false" outlineLevel="0" collapsed="false">
      <c r="A496" s="60" t="s">
        <v>798</v>
      </c>
      <c r="B496" s="61" t="str">
        <f aca="false">IF($M496=0,"",INDEX(Classes!$E$6:$E$420,$M496))</f>
        <v>Arabic A</v>
      </c>
      <c r="C496" s="62" t="str">
        <f aca="false">IF($M496=0,"",INDEX(Classes!$H$6:$H$420,$M496))</f>
        <v>Mr Ahmed AbdelmonemElsye</v>
      </c>
      <c r="D496" s="61" t="str">
        <f aca="false">IF($M496=0,"",INDEX(Classes!$B$6:$B$420,$M496))</f>
        <v>Year 10</v>
      </c>
      <c r="E496" s="61" t="str">
        <f aca="false">IF($M496=0,"",INDEX(Classes!$C$6:$C$420,$M496))</f>
        <v>ip</v>
      </c>
      <c r="F496" s="63" t="s">
        <v>107</v>
      </c>
      <c r="G496" s="63" t="s">
        <v>108</v>
      </c>
      <c r="H496" s="60" t="s">
        <v>203</v>
      </c>
      <c r="I496" s="60" t="s">
        <v>204</v>
      </c>
      <c r="J496" s="63" t="n">
        <v>1</v>
      </c>
      <c r="K496" s="61" t="str">
        <f aca="false">IF($P496=0,"",IF($F496="Baseline","— Baseline",IF($O496=0,"No result",IF($N496=0,"No Start (attainment only)",IF(OR($N496=1,$O496=1),"U – needs rule",INDEX(MxBody,MATCH($I496,MxCurr,0),MATCH($H496,MxStart,0)))))))</f>
        <v>Better</v>
      </c>
      <c r="L496" s="62" t="str">
        <f aca="false">IF(COUNTA($A496,$F496,$G496,$H496,$I496,$J496)=0,"",IF($M496=0,"✖ كود الصف غير موجود",IF(ISNA(MATCH($F496,Lists!$A$2:$A$5,0)),"✖ الفترة غير صحيحة",IF(ISNA(MATCH($G496,Lists!$B$2:$B$7,0)),"✖ المجموعة غير صحيحة",IF(NOT(OR($H496="",$N496&gt;0)),"✖ Start غير صحيح",IF(NOT(OR($I496="",$I496="NR",$O496&gt;0)),"✖ Current غير صحيح",IF(NOT(IF(ISNUMBER($J496),AND($J496&gt;=0,$J496=INT($J496)),FALSE())),"✖ العدد يجب أن يكون صحيحًا ≥ 0",IF(AND($F496="Baseline",$H496&lt;&gt;""),"⚠ Baseline: Start لا يدخل في التقدم",IF($K496="No Start (attainment only)","ℹ تحصيل فقط (بدون Start)",IF($K496="U – needs rule","ℹ حالة U تحتاج قاعدة معتمدة",IF($K496="No result","ℹ بدون نتيجة (يُستبعد من التحصيل)","OK")))))))))))</f>
        <v>OK</v>
      </c>
      <c r="M496" s="64" t="n">
        <f aca="false">IF($A496="",0,IFERROR(MATCH($A496,Classes!$A$6:$A$420,0),0))</f>
        <v>301</v>
      </c>
      <c r="N496" s="64" t="n">
        <f aca="false">IF($H496="",0,IFERROR(MATCH($H496,GradeList,0),0))</f>
        <v>8</v>
      </c>
      <c r="O496" s="64" t="n">
        <f aca="false">IF(OR($I496="",$I496="NR"),0,IFERROR(MATCH($I496,GradeList,0),0))</f>
        <v>9</v>
      </c>
      <c r="P496" s="64" t="n">
        <f aca="false">IF(AND($M496&gt;0,ISNUMBER(MATCH($F496,Lists!$A$2:$A$5,0)),ISNUMBER(MATCH($G496,Lists!$B$2:$B$7,0)),OR($H496="",$N496&gt;0),OR($I496="",$I496="NR",$O496&gt;0),IF(ISNUMBER($J496),AND($J496&gt;=0,$J496=INT($J496)),FALSE())),$J496,0)</f>
        <v>1</v>
      </c>
      <c r="Q496" s="64" t="n">
        <f aca="false">IF(AND($P496&gt;0,$O496&gt;0),$P496,0)</f>
        <v>1</v>
      </c>
      <c r="R496" s="64" t="n">
        <f aca="false">IF(AND($Q496&gt;0,$O496&gt;=AtRank),$Q496,0)</f>
        <v>1</v>
      </c>
      <c r="S496" s="64" t="n">
        <f aca="false">IF(AND($Q496&gt;0,$O496&gt;=AboveRank),$Q496,0)</f>
        <v>1</v>
      </c>
      <c r="T496" s="64" t="n">
        <f aca="false">IF($K496="Less",$P496,0)</f>
        <v>0</v>
      </c>
      <c r="U496" s="64" t="n">
        <f aca="false">IF($K496="Expected",$P496,0)</f>
        <v>0</v>
      </c>
      <c r="V496" s="64" t="n">
        <f aca="false">IF($K496="Better",$P496,0)</f>
        <v>1</v>
      </c>
      <c r="W496" s="64" t="n">
        <f aca="false">IF($K496="U – needs rule",$P496,0)</f>
        <v>0</v>
      </c>
      <c r="X496" s="64" t="n">
        <f aca="false">IF($K496="No Start (attainment only)",$P496,0)</f>
        <v>0</v>
      </c>
    </row>
    <row r="497" customFormat="false" ht="15" hidden="false" customHeight="false" outlineLevel="0" collapsed="false">
      <c r="A497" s="60" t="s">
        <v>798</v>
      </c>
      <c r="B497" s="61" t="str">
        <f aca="false">IF($M497=0,"",INDEX(Classes!$E$6:$E$420,$M497))</f>
        <v>Arabic A</v>
      </c>
      <c r="C497" s="62" t="str">
        <f aca="false">IF($M497=0,"",INDEX(Classes!$H$6:$H$420,$M497))</f>
        <v>Mr Ahmed AbdelmonemElsye</v>
      </c>
      <c r="D497" s="61" t="str">
        <f aca="false">IF($M497=0,"",INDEX(Classes!$B$6:$B$420,$M497))</f>
        <v>Year 10</v>
      </c>
      <c r="E497" s="61" t="str">
        <f aca="false">IF($M497=0,"",INDEX(Classes!$C$6:$C$420,$M497))</f>
        <v>ip</v>
      </c>
      <c r="F497" s="63" t="s">
        <v>107</v>
      </c>
      <c r="G497" s="63" t="s">
        <v>108</v>
      </c>
      <c r="H497" s="60" t="s">
        <v>200</v>
      </c>
      <c r="I497" s="60" t="s">
        <v>202</v>
      </c>
      <c r="J497" s="63" t="n">
        <v>1</v>
      </c>
      <c r="K497" s="61" t="str">
        <f aca="false">IF($P497=0,"",IF($F497="Baseline","— Baseline",IF($O497=0,"No result",IF($N497=0,"No Start (attainment only)",IF(OR($N497=1,$O497=1),"U – needs rule",INDEX(MxBody,MATCH($I497,MxCurr,0),MATCH($H497,MxStart,0)))))))</f>
        <v>Better</v>
      </c>
      <c r="L497" s="62" t="str">
        <f aca="false">IF(COUNTA($A497,$F497,$G497,$H497,$I497,$J497)=0,"",IF($M497=0,"✖ كود الصف غير موجود",IF(ISNA(MATCH($F497,Lists!$A$2:$A$5,0)),"✖ الفترة غير صحيحة",IF(ISNA(MATCH($G497,Lists!$B$2:$B$7,0)),"✖ المجموعة غير صحيحة",IF(NOT(OR($H497="",$N497&gt;0)),"✖ Start غير صحيح",IF(NOT(OR($I497="",$I497="NR",$O497&gt;0)),"✖ Current غير صحيح",IF(NOT(IF(ISNUMBER($J497),AND($J497&gt;=0,$J497=INT($J497)),FALSE())),"✖ العدد يجب أن يكون صحيحًا ≥ 0",IF(AND($F497="Baseline",$H497&lt;&gt;""),"⚠ Baseline: Start لا يدخل في التقدم",IF($K497="No Start (attainment only)","ℹ تحصيل فقط (بدون Start)",IF($K497="U – needs rule","ℹ حالة U تحتاج قاعدة معتمدة",IF($K497="No result","ℹ بدون نتيجة (يُستبعد من التحصيل)","OK")))))))))))</f>
        <v>OK</v>
      </c>
      <c r="M497" s="64" t="n">
        <f aca="false">IF($A497="",0,IFERROR(MATCH($A497,Classes!$A$6:$A$420,0),0))</f>
        <v>301</v>
      </c>
      <c r="N497" s="64" t="n">
        <f aca="false">IF($H497="",0,IFERROR(MATCH($H497,GradeList,0),0))</f>
        <v>5</v>
      </c>
      <c r="O497" s="64" t="n">
        <f aca="false">IF(OR($I497="",$I497="NR"),0,IFERROR(MATCH($I497,GradeList,0),0))</f>
        <v>7</v>
      </c>
      <c r="P497" s="64" t="n">
        <f aca="false">IF(AND($M497&gt;0,ISNUMBER(MATCH($F497,Lists!$A$2:$A$5,0)),ISNUMBER(MATCH($G497,Lists!$B$2:$B$7,0)),OR($H497="",$N497&gt;0),OR($I497="",$I497="NR",$O497&gt;0),IF(ISNUMBER($J497),AND($J497&gt;=0,$J497=INT($J497)),FALSE())),$J497,0)</f>
        <v>1</v>
      </c>
      <c r="Q497" s="64" t="n">
        <f aca="false">IF(AND($P497&gt;0,$O497&gt;0),$P497,0)</f>
        <v>1</v>
      </c>
      <c r="R497" s="64" t="n">
        <f aca="false">IF(AND($Q497&gt;0,$O497&gt;=AtRank),$Q497,0)</f>
        <v>1</v>
      </c>
      <c r="S497" s="64" t="n">
        <f aca="false">IF(AND($Q497&gt;0,$O497&gt;=AboveRank),$Q497,0)</f>
        <v>1</v>
      </c>
      <c r="T497" s="64" t="n">
        <f aca="false">IF($K497="Less",$P497,0)</f>
        <v>0</v>
      </c>
      <c r="U497" s="64" t="n">
        <f aca="false">IF($K497="Expected",$P497,0)</f>
        <v>0</v>
      </c>
      <c r="V497" s="64" t="n">
        <f aca="false">IF($K497="Better",$P497,0)</f>
        <v>1</v>
      </c>
      <c r="W497" s="64" t="n">
        <f aca="false">IF($K497="U – needs rule",$P497,0)</f>
        <v>0</v>
      </c>
      <c r="X497" s="64" t="n">
        <f aca="false">IF($K497="No Start (attainment only)",$P497,0)</f>
        <v>0</v>
      </c>
    </row>
    <row r="498" customFormat="false" ht="15" hidden="false" customHeight="false" outlineLevel="0" collapsed="false">
      <c r="A498" s="60" t="s">
        <v>798</v>
      </c>
      <c r="B498" s="61" t="str">
        <f aca="false">IF($M498=0,"",INDEX(Classes!$E$6:$E$420,$M498))</f>
        <v>Arabic A</v>
      </c>
      <c r="C498" s="62" t="str">
        <f aca="false">IF($M498=0,"",INDEX(Classes!$H$6:$H$420,$M498))</f>
        <v>Mr Ahmed AbdelmonemElsye</v>
      </c>
      <c r="D498" s="61" t="str">
        <f aca="false">IF($M498=0,"",INDEX(Classes!$B$6:$B$420,$M498))</f>
        <v>Year 10</v>
      </c>
      <c r="E498" s="61" t="str">
        <f aca="false">IF($M498=0,"",INDEX(Classes!$C$6:$C$420,$M498))</f>
        <v>ip</v>
      </c>
      <c r="F498" s="63" t="s">
        <v>107</v>
      </c>
      <c r="G498" s="63" t="s">
        <v>108</v>
      </c>
      <c r="H498" s="60" t="s">
        <v>200</v>
      </c>
      <c r="I498" s="60" t="s">
        <v>200</v>
      </c>
      <c r="J498" s="63" t="n">
        <v>1</v>
      </c>
      <c r="K498" s="61" t="str">
        <f aca="false">IF($P498=0,"",IF($F498="Baseline","— Baseline",IF($O498=0,"No result",IF($N498=0,"No Start (attainment only)",IF(OR($N498=1,$O498=1),"U – needs rule",INDEX(MxBody,MATCH($I498,MxCurr,0),MATCH($H498,MxStart,0)))))))</f>
        <v>Expected</v>
      </c>
      <c r="L498" s="62" t="str">
        <f aca="false">IF(COUNTA($A498,$F498,$G498,$H498,$I498,$J498)=0,"",IF($M498=0,"✖ كود الصف غير موجود",IF(ISNA(MATCH($F498,Lists!$A$2:$A$5,0)),"✖ الفترة غير صحيحة",IF(ISNA(MATCH($G498,Lists!$B$2:$B$7,0)),"✖ المجموعة غير صحيحة",IF(NOT(OR($H498="",$N498&gt;0)),"✖ Start غير صحيح",IF(NOT(OR($I498="",$I498="NR",$O498&gt;0)),"✖ Current غير صحيح",IF(NOT(IF(ISNUMBER($J498),AND($J498&gt;=0,$J498=INT($J498)),FALSE())),"✖ العدد يجب أن يكون صحيحًا ≥ 0",IF(AND($F498="Baseline",$H498&lt;&gt;""),"⚠ Baseline: Start لا يدخل في التقدم",IF($K498="No Start (attainment only)","ℹ تحصيل فقط (بدون Start)",IF($K498="U – needs rule","ℹ حالة U تحتاج قاعدة معتمدة",IF($K498="No result","ℹ بدون نتيجة (يُستبعد من التحصيل)","OK")))))))))))</f>
        <v>OK</v>
      </c>
      <c r="M498" s="64" t="n">
        <f aca="false">IF($A498="",0,IFERROR(MATCH($A498,Classes!$A$6:$A$420,0),0))</f>
        <v>301</v>
      </c>
      <c r="N498" s="64" t="n">
        <f aca="false">IF($H498="",0,IFERROR(MATCH($H498,GradeList,0),0))</f>
        <v>5</v>
      </c>
      <c r="O498" s="64" t="n">
        <f aca="false">IF(OR($I498="",$I498="NR"),0,IFERROR(MATCH($I498,GradeList,0),0))</f>
        <v>5</v>
      </c>
      <c r="P498" s="64" t="n">
        <f aca="false">IF(AND($M498&gt;0,ISNUMBER(MATCH($F498,Lists!$A$2:$A$5,0)),ISNUMBER(MATCH($G498,Lists!$B$2:$B$7,0)),OR($H498="",$N498&gt;0),OR($I498="",$I498="NR",$O498&gt;0),IF(ISNUMBER($J498),AND($J498&gt;=0,$J498=INT($J498)),FALSE())),$J498,0)</f>
        <v>1</v>
      </c>
      <c r="Q498" s="64" t="n">
        <f aca="false">IF(AND($P498&gt;0,$O498&gt;0),$P498,0)</f>
        <v>1</v>
      </c>
      <c r="R498" s="64" t="n">
        <f aca="false">IF(AND($Q498&gt;0,$O498&gt;=AtRank),$Q498,0)</f>
        <v>1</v>
      </c>
      <c r="S498" s="64" t="n">
        <f aca="false">IF(AND($Q498&gt;0,$O498&gt;=AboveRank),$Q498,0)</f>
        <v>0</v>
      </c>
      <c r="T498" s="64" t="n">
        <f aca="false">IF($K498="Less",$P498,0)</f>
        <v>0</v>
      </c>
      <c r="U498" s="64" t="n">
        <f aca="false">IF($K498="Expected",$P498,0)</f>
        <v>1</v>
      </c>
      <c r="V498" s="64" t="n">
        <f aca="false">IF($K498="Better",$P498,0)</f>
        <v>0</v>
      </c>
      <c r="W498" s="64" t="n">
        <f aca="false">IF($K498="U – needs rule",$P498,0)</f>
        <v>0</v>
      </c>
      <c r="X498" s="64" t="n">
        <f aca="false">IF($K498="No Start (attainment only)",$P498,0)</f>
        <v>0</v>
      </c>
    </row>
    <row r="499" customFormat="false" ht="15" hidden="false" customHeight="false" outlineLevel="0" collapsed="false">
      <c r="A499" s="60" t="s">
        <v>798</v>
      </c>
      <c r="B499" s="61" t="str">
        <f aca="false">IF($M499=0,"",INDEX(Classes!$E$6:$E$420,$M499))</f>
        <v>Arabic A</v>
      </c>
      <c r="C499" s="62" t="str">
        <f aca="false">IF($M499=0,"",INDEX(Classes!$H$6:$H$420,$M499))</f>
        <v>Mr Ahmed AbdelmonemElsye</v>
      </c>
      <c r="D499" s="61" t="str">
        <f aca="false">IF($M499=0,"",INDEX(Classes!$B$6:$B$420,$M499))</f>
        <v>Year 10</v>
      </c>
      <c r="E499" s="61" t="str">
        <f aca="false">IF($M499=0,"",INDEX(Classes!$C$6:$C$420,$M499))</f>
        <v>ip</v>
      </c>
      <c r="F499" s="63" t="s">
        <v>107</v>
      </c>
      <c r="G499" s="63" t="s">
        <v>108</v>
      </c>
      <c r="H499" s="60" t="s">
        <v>200</v>
      </c>
      <c r="I499" s="60" t="s">
        <v>201</v>
      </c>
      <c r="J499" s="63" t="n">
        <v>1</v>
      </c>
      <c r="K499" s="61" t="str">
        <f aca="false">IF($P499=0,"",IF($F499="Baseline","— Baseline",IF($O499=0,"No result",IF($N499=0,"No Start (attainment only)",IF(OR($N499=1,$O499=1),"U – needs rule",INDEX(MxBody,MATCH($I499,MxCurr,0),MATCH($H499,MxStart,0)))))))</f>
        <v>Better</v>
      </c>
      <c r="L499" s="62" t="str">
        <f aca="false">IF(COUNTA($A499,$F499,$G499,$H499,$I499,$J499)=0,"",IF($M499=0,"✖ كود الصف غير موجود",IF(ISNA(MATCH($F499,Lists!$A$2:$A$5,0)),"✖ الفترة غير صحيحة",IF(ISNA(MATCH($G499,Lists!$B$2:$B$7,0)),"✖ المجموعة غير صحيحة",IF(NOT(OR($H499="",$N499&gt;0)),"✖ Start غير صحيح",IF(NOT(OR($I499="",$I499="NR",$O499&gt;0)),"✖ Current غير صحيح",IF(NOT(IF(ISNUMBER($J499),AND($J499&gt;=0,$J499=INT($J499)),FALSE())),"✖ العدد يجب أن يكون صحيحًا ≥ 0",IF(AND($F499="Baseline",$H499&lt;&gt;""),"⚠ Baseline: Start لا يدخل في التقدم",IF($K499="No Start (attainment only)","ℹ تحصيل فقط (بدون Start)",IF($K499="U – needs rule","ℹ حالة U تحتاج قاعدة معتمدة",IF($K499="No result","ℹ بدون نتيجة (يُستبعد من التحصيل)","OK")))))))))))</f>
        <v>OK</v>
      </c>
      <c r="M499" s="64" t="n">
        <f aca="false">IF($A499="",0,IFERROR(MATCH($A499,Classes!$A$6:$A$420,0),0))</f>
        <v>301</v>
      </c>
      <c r="N499" s="64" t="n">
        <f aca="false">IF($H499="",0,IFERROR(MATCH($H499,GradeList,0),0))</f>
        <v>5</v>
      </c>
      <c r="O499" s="64" t="n">
        <f aca="false">IF(OR($I499="",$I499="NR"),0,IFERROR(MATCH($I499,GradeList,0),0))</f>
        <v>6</v>
      </c>
      <c r="P499" s="64" t="n">
        <f aca="false">IF(AND($M499&gt;0,ISNUMBER(MATCH($F499,Lists!$A$2:$A$5,0)),ISNUMBER(MATCH($G499,Lists!$B$2:$B$7,0)),OR($H499="",$N499&gt;0),OR($I499="",$I499="NR",$O499&gt;0),IF(ISNUMBER($J499),AND($J499&gt;=0,$J499=INT($J499)),FALSE())),$J499,0)</f>
        <v>1</v>
      </c>
      <c r="Q499" s="64" t="n">
        <f aca="false">IF(AND($P499&gt;0,$O499&gt;0),$P499,0)</f>
        <v>1</v>
      </c>
      <c r="R499" s="64" t="n">
        <f aca="false">IF(AND($Q499&gt;0,$O499&gt;=AtRank),$Q499,0)</f>
        <v>1</v>
      </c>
      <c r="S499" s="64" t="n">
        <f aca="false">IF(AND($Q499&gt;0,$O499&gt;=AboveRank),$Q499,0)</f>
        <v>0</v>
      </c>
      <c r="T499" s="64" t="n">
        <f aca="false">IF($K499="Less",$P499,0)</f>
        <v>0</v>
      </c>
      <c r="U499" s="64" t="n">
        <f aca="false">IF($K499="Expected",$P499,0)</f>
        <v>0</v>
      </c>
      <c r="V499" s="64" t="n">
        <f aca="false">IF($K499="Better",$P499,0)</f>
        <v>1</v>
      </c>
      <c r="W499" s="64" t="n">
        <f aca="false">IF($K499="U – needs rule",$P499,0)</f>
        <v>0</v>
      </c>
      <c r="X499" s="64" t="n">
        <f aca="false">IF($K499="No Start (attainment only)",$P499,0)</f>
        <v>0</v>
      </c>
    </row>
    <row r="500" customFormat="false" ht="15" hidden="false" customHeight="false" outlineLevel="0" collapsed="false">
      <c r="A500" s="60" t="s">
        <v>798</v>
      </c>
      <c r="B500" s="61" t="str">
        <f aca="false">IF($M500=0,"",INDEX(Classes!$E$6:$E$420,$M500))</f>
        <v>Arabic A</v>
      </c>
      <c r="C500" s="62" t="str">
        <f aca="false">IF($M500=0,"",INDEX(Classes!$H$6:$H$420,$M500))</f>
        <v>Mr Ahmed AbdelmonemElsye</v>
      </c>
      <c r="D500" s="61" t="str">
        <f aca="false">IF($M500=0,"",INDEX(Classes!$B$6:$B$420,$M500))</f>
        <v>Year 10</v>
      </c>
      <c r="E500" s="61" t="str">
        <f aca="false">IF($M500=0,"",INDEX(Classes!$C$6:$C$420,$M500))</f>
        <v>ip</v>
      </c>
      <c r="F500" s="63" t="s">
        <v>107</v>
      </c>
      <c r="G500" s="63" t="s">
        <v>108</v>
      </c>
      <c r="H500" s="60" t="s">
        <v>200</v>
      </c>
      <c r="I500" s="60" t="s">
        <v>196</v>
      </c>
      <c r="J500" s="63" t="n">
        <v>1</v>
      </c>
      <c r="K500" s="61" t="str">
        <f aca="false">IF($P500=0,"",IF($F500="Baseline","— Baseline",IF($O500=0,"No result",IF($N500=0,"No Start (attainment only)",IF(OR($N500=1,$O500=1),"U – needs rule",INDEX(MxBody,MATCH($I500,MxCurr,0),MATCH($H500,MxStart,0)))))))</f>
        <v>U – needs rule</v>
      </c>
      <c r="L500" s="62" t="str">
        <f aca="false">IF(COUNTA($A500,$F500,$G500,$H500,$I500,$J500)=0,"",IF($M500=0,"✖ كود الصف غير موجود",IF(ISNA(MATCH($F500,Lists!$A$2:$A$5,0)),"✖ الفترة غير صحيحة",IF(ISNA(MATCH($G500,Lists!$B$2:$B$7,0)),"✖ المجموعة غير صحيحة",IF(NOT(OR($H500="",$N500&gt;0)),"✖ Start غير صحيح",IF(NOT(OR($I500="",$I500="NR",$O500&gt;0)),"✖ Current غير صحيح",IF(NOT(IF(ISNUMBER($J500),AND($J500&gt;=0,$J500=INT($J500)),FALSE())),"✖ العدد يجب أن يكون صحيحًا ≥ 0",IF(AND($F500="Baseline",$H500&lt;&gt;""),"⚠ Baseline: Start لا يدخل في التقدم",IF($K500="No Start (attainment only)","ℹ تحصيل فقط (بدون Start)",IF($K500="U – needs rule","ℹ حالة U تحتاج قاعدة معتمدة",IF($K500="No result","ℹ بدون نتيجة (يُستبعد من التحصيل)","OK")))))))))))</f>
        <v>ℹ حالة U تحتاج قاعدة معتمدة</v>
      </c>
      <c r="M500" s="64" t="n">
        <f aca="false">IF($A500="",0,IFERROR(MATCH($A500,Classes!$A$6:$A$420,0),0))</f>
        <v>301</v>
      </c>
      <c r="N500" s="64" t="n">
        <f aca="false">IF($H500="",0,IFERROR(MATCH($H500,GradeList,0),0))</f>
        <v>5</v>
      </c>
      <c r="O500" s="64" t="n">
        <f aca="false">IF(OR($I500="",$I500="NR"),0,IFERROR(MATCH($I500,GradeList,0),0))</f>
        <v>1</v>
      </c>
      <c r="P500" s="64" t="n">
        <f aca="false">IF(AND($M500&gt;0,ISNUMBER(MATCH($F500,Lists!$A$2:$A$5,0)),ISNUMBER(MATCH($G500,Lists!$B$2:$B$7,0)),OR($H500="",$N500&gt;0),OR($I500="",$I500="NR",$O500&gt;0),IF(ISNUMBER($J500),AND($J500&gt;=0,$J500=INT($J500)),FALSE())),$J500,0)</f>
        <v>1</v>
      </c>
      <c r="Q500" s="64" t="n">
        <f aca="false">IF(AND($P500&gt;0,$O500&gt;0),$P500,0)</f>
        <v>1</v>
      </c>
      <c r="R500" s="64" t="n">
        <f aca="false">IF(AND($Q500&gt;0,$O500&gt;=AtRank),$Q500,0)</f>
        <v>0</v>
      </c>
      <c r="S500" s="64" t="n">
        <f aca="false">IF(AND($Q500&gt;0,$O500&gt;=AboveRank),$Q500,0)</f>
        <v>0</v>
      </c>
      <c r="T500" s="64" t="n">
        <f aca="false">IF($K500="Less",$P500,0)</f>
        <v>0</v>
      </c>
      <c r="U500" s="64" t="n">
        <f aca="false">IF($K500="Expected",$P500,0)</f>
        <v>0</v>
      </c>
      <c r="V500" s="64" t="n">
        <f aca="false">IF($K500="Better",$P500,0)</f>
        <v>0</v>
      </c>
      <c r="W500" s="64" t="n">
        <f aca="false">IF($K500="U – needs rule",$P500,0)</f>
        <v>1</v>
      </c>
      <c r="X500" s="64" t="n">
        <f aca="false">IF($K500="No Start (attainment only)",$P500,0)</f>
        <v>0</v>
      </c>
    </row>
    <row r="501" customFormat="false" ht="15" hidden="false" customHeight="false" outlineLevel="0" collapsed="false">
      <c r="A501" s="60" t="s">
        <v>798</v>
      </c>
      <c r="B501" s="61" t="str">
        <f aca="false">IF($M501=0,"",INDEX(Classes!$E$6:$E$420,$M501))</f>
        <v>Arabic A</v>
      </c>
      <c r="C501" s="62" t="str">
        <f aca="false">IF($M501=0,"",INDEX(Classes!$H$6:$H$420,$M501))</f>
        <v>Mr Ahmed AbdelmonemElsye</v>
      </c>
      <c r="D501" s="61" t="str">
        <f aca="false">IF($M501=0,"",INDEX(Classes!$B$6:$B$420,$M501))</f>
        <v>Year 10</v>
      </c>
      <c r="E501" s="61" t="str">
        <f aca="false">IF($M501=0,"",INDEX(Classes!$C$6:$C$420,$M501))</f>
        <v>ip</v>
      </c>
      <c r="F501" s="63" t="s">
        <v>107</v>
      </c>
      <c r="G501" s="63" t="s">
        <v>108</v>
      </c>
      <c r="H501" s="60" t="s">
        <v>201</v>
      </c>
      <c r="I501" s="60" t="s">
        <v>202</v>
      </c>
      <c r="J501" s="63" t="n">
        <v>1</v>
      </c>
      <c r="K501" s="61" t="str">
        <f aca="false">IF($P501=0,"",IF($F501="Baseline","— Baseline",IF($O501=0,"No result",IF($N501=0,"No Start (attainment only)",IF(OR($N501=1,$O501=1),"U – needs rule",INDEX(MxBody,MATCH($I501,MxCurr,0),MATCH($H501,MxStart,0)))))))</f>
        <v>Better</v>
      </c>
      <c r="L501" s="62" t="str">
        <f aca="false">IF(COUNTA($A501,$F501,$G501,$H501,$I501,$J501)=0,"",IF($M501=0,"✖ كود الصف غير موجود",IF(ISNA(MATCH($F501,Lists!$A$2:$A$5,0)),"✖ الفترة غير صحيحة",IF(ISNA(MATCH($G501,Lists!$B$2:$B$7,0)),"✖ المجموعة غير صحيحة",IF(NOT(OR($H501="",$N501&gt;0)),"✖ Start غير صحيح",IF(NOT(OR($I501="",$I501="NR",$O501&gt;0)),"✖ Current غير صحيح",IF(NOT(IF(ISNUMBER($J501),AND($J501&gt;=0,$J501=INT($J501)),FALSE())),"✖ العدد يجب أن يكون صحيحًا ≥ 0",IF(AND($F501="Baseline",$H501&lt;&gt;""),"⚠ Baseline: Start لا يدخل في التقدم",IF($K501="No Start (attainment only)","ℹ تحصيل فقط (بدون Start)",IF($K501="U – needs rule","ℹ حالة U تحتاج قاعدة معتمدة",IF($K501="No result","ℹ بدون نتيجة (يُستبعد من التحصيل)","OK")))))))))))</f>
        <v>OK</v>
      </c>
      <c r="M501" s="64" t="n">
        <f aca="false">IF($A501="",0,IFERROR(MATCH($A501,Classes!$A$6:$A$420,0),0))</f>
        <v>301</v>
      </c>
      <c r="N501" s="64" t="n">
        <f aca="false">IF($H501="",0,IFERROR(MATCH($H501,GradeList,0),0))</f>
        <v>6</v>
      </c>
      <c r="O501" s="64" t="n">
        <f aca="false">IF(OR($I501="",$I501="NR"),0,IFERROR(MATCH($I501,GradeList,0),0))</f>
        <v>7</v>
      </c>
      <c r="P501" s="64" t="n">
        <f aca="false">IF(AND($M501&gt;0,ISNUMBER(MATCH($F501,Lists!$A$2:$A$5,0)),ISNUMBER(MATCH($G501,Lists!$B$2:$B$7,0)),OR($H501="",$N501&gt;0),OR($I501="",$I501="NR",$O501&gt;0),IF(ISNUMBER($J501),AND($J501&gt;=0,$J501=INT($J501)),FALSE())),$J501,0)</f>
        <v>1</v>
      </c>
      <c r="Q501" s="64" t="n">
        <f aca="false">IF(AND($P501&gt;0,$O501&gt;0),$P501,0)</f>
        <v>1</v>
      </c>
      <c r="R501" s="64" t="n">
        <f aca="false">IF(AND($Q501&gt;0,$O501&gt;=AtRank),$Q501,0)</f>
        <v>1</v>
      </c>
      <c r="S501" s="64" t="n">
        <f aca="false">IF(AND($Q501&gt;0,$O501&gt;=AboveRank),$Q501,0)</f>
        <v>1</v>
      </c>
      <c r="T501" s="64" t="n">
        <f aca="false">IF($K501="Less",$P501,0)</f>
        <v>0</v>
      </c>
      <c r="U501" s="64" t="n">
        <f aca="false">IF($K501="Expected",$P501,0)</f>
        <v>0</v>
      </c>
      <c r="V501" s="64" t="n">
        <f aca="false">IF($K501="Better",$P501,0)</f>
        <v>1</v>
      </c>
      <c r="W501" s="64" t="n">
        <f aca="false">IF($K501="U – needs rule",$P501,0)</f>
        <v>0</v>
      </c>
      <c r="X501" s="64" t="n">
        <f aca="false">IF($K501="No Start (attainment only)",$P501,0)</f>
        <v>0</v>
      </c>
    </row>
    <row r="502" customFormat="false" ht="15" hidden="false" customHeight="false" outlineLevel="0" collapsed="false">
      <c r="A502" s="60" t="s">
        <v>798</v>
      </c>
      <c r="B502" s="61" t="str">
        <f aca="false">IF($M502=0,"",INDEX(Classes!$E$6:$E$420,$M502))</f>
        <v>Arabic A</v>
      </c>
      <c r="C502" s="62" t="str">
        <f aca="false">IF($M502=0,"",INDEX(Classes!$H$6:$H$420,$M502))</f>
        <v>Mr Ahmed AbdelmonemElsye</v>
      </c>
      <c r="D502" s="61" t="str">
        <f aca="false">IF($M502=0,"",INDEX(Classes!$B$6:$B$420,$M502))</f>
        <v>Year 10</v>
      </c>
      <c r="E502" s="61" t="str">
        <f aca="false">IF($M502=0,"",INDEX(Classes!$C$6:$C$420,$M502))</f>
        <v>ip</v>
      </c>
      <c r="F502" s="63" t="s">
        <v>107</v>
      </c>
      <c r="G502" s="63" t="s">
        <v>108</v>
      </c>
      <c r="H502" s="60" t="s">
        <v>201</v>
      </c>
      <c r="I502" s="60" t="s">
        <v>203</v>
      </c>
      <c r="J502" s="63" t="n">
        <v>1</v>
      </c>
      <c r="K502" s="61" t="str">
        <f aca="false">IF($P502=0,"",IF($F502="Baseline","— Baseline",IF($O502=0,"No result",IF($N502=0,"No Start (attainment only)",IF(OR($N502=1,$O502=1),"U – needs rule",INDEX(MxBody,MATCH($I502,MxCurr,0),MATCH($H502,MxStart,0)))))))</f>
        <v>Better</v>
      </c>
      <c r="L502" s="62" t="str">
        <f aca="false">IF(COUNTA($A502,$F502,$G502,$H502,$I502,$J502)=0,"",IF($M502=0,"✖ كود الصف غير موجود",IF(ISNA(MATCH($F502,Lists!$A$2:$A$5,0)),"✖ الفترة غير صحيحة",IF(ISNA(MATCH($G502,Lists!$B$2:$B$7,0)),"✖ المجموعة غير صحيحة",IF(NOT(OR($H502="",$N502&gt;0)),"✖ Start غير صحيح",IF(NOT(OR($I502="",$I502="NR",$O502&gt;0)),"✖ Current غير صحيح",IF(NOT(IF(ISNUMBER($J502),AND($J502&gt;=0,$J502=INT($J502)),FALSE())),"✖ العدد يجب أن يكون صحيحًا ≥ 0",IF(AND($F502="Baseline",$H502&lt;&gt;""),"⚠ Baseline: Start لا يدخل في التقدم",IF($K502="No Start (attainment only)","ℹ تحصيل فقط (بدون Start)",IF($K502="U – needs rule","ℹ حالة U تحتاج قاعدة معتمدة",IF($K502="No result","ℹ بدون نتيجة (يُستبعد من التحصيل)","OK")))))))))))</f>
        <v>OK</v>
      </c>
      <c r="M502" s="64" t="n">
        <f aca="false">IF($A502="",0,IFERROR(MATCH($A502,Classes!$A$6:$A$420,0),0))</f>
        <v>301</v>
      </c>
      <c r="N502" s="64" t="n">
        <f aca="false">IF($H502="",0,IFERROR(MATCH($H502,GradeList,0),0))</f>
        <v>6</v>
      </c>
      <c r="O502" s="64" t="n">
        <f aca="false">IF(OR($I502="",$I502="NR"),0,IFERROR(MATCH($I502,GradeList,0),0))</f>
        <v>8</v>
      </c>
      <c r="P502" s="64" t="n">
        <f aca="false">IF(AND($M502&gt;0,ISNUMBER(MATCH($F502,Lists!$A$2:$A$5,0)),ISNUMBER(MATCH($G502,Lists!$B$2:$B$7,0)),OR($H502="",$N502&gt;0),OR($I502="",$I502="NR",$O502&gt;0),IF(ISNUMBER($J502),AND($J502&gt;=0,$J502=INT($J502)),FALSE())),$J502,0)</f>
        <v>1</v>
      </c>
      <c r="Q502" s="64" t="n">
        <f aca="false">IF(AND($P502&gt;0,$O502&gt;0),$P502,0)</f>
        <v>1</v>
      </c>
      <c r="R502" s="64" t="n">
        <f aca="false">IF(AND($Q502&gt;0,$O502&gt;=AtRank),$Q502,0)</f>
        <v>1</v>
      </c>
      <c r="S502" s="64" t="n">
        <f aca="false">IF(AND($Q502&gt;0,$O502&gt;=AboveRank),$Q502,0)</f>
        <v>1</v>
      </c>
      <c r="T502" s="64" t="n">
        <f aca="false">IF($K502="Less",$P502,0)</f>
        <v>0</v>
      </c>
      <c r="U502" s="64" t="n">
        <f aca="false">IF($K502="Expected",$P502,0)</f>
        <v>0</v>
      </c>
      <c r="V502" s="64" t="n">
        <f aca="false">IF($K502="Better",$P502,0)</f>
        <v>1</v>
      </c>
      <c r="W502" s="64" t="n">
        <f aca="false">IF($K502="U – needs rule",$P502,0)</f>
        <v>0</v>
      </c>
      <c r="X502" s="64" t="n">
        <f aca="false">IF($K502="No Start (attainment only)",$P502,0)</f>
        <v>0</v>
      </c>
    </row>
    <row r="503" customFormat="false" ht="15" hidden="false" customHeight="false" outlineLevel="0" collapsed="false">
      <c r="A503" s="60" t="s">
        <v>798</v>
      </c>
      <c r="B503" s="61" t="str">
        <f aca="false">IF($M503=0,"",INDEX(Classes!$E$6:$E$420,$M503))</f>
        <v>Arabic A</v>
      </c>
      <c r="C503" s="62" t="str">
        <f aca="false">IF($M503=0,"",INDEX(Classes!$H$6:$H$420,$M503))</f>
        <v>Mr Ahmed AbdelmonemElsye</v>
      </c>
      <c r="D503" s="61" t="str">
        <f aca="false">IF($M503=0,"",INDEX(Classes!$B$6:$B$420,$M503))</f>
        <v>Year 10</v>
      </c>
      <c r="E503" s="61" t="str">
        <f aca="false">IF($M503=0,"",INDEX(Classes!$C$6:$C$420,$M503))</f>
        <v>ip</v>
      </c>
      <c r="F503" s="63" t="s">
        <v>107</v>
      </c>
      <c r="G503" s="63" t="s">
        <v>108</v>
      </c>
      <c r="H503" s="60" t="s">
        <v>201</v>
      </c>
      <c r="I503" s="60" t="s">
        <v>200</v>
      </c>
      <c r="J503" s="63" t="n">
        <v>1</v>
      </c>
      <c r="K503" s="61" t="str">
        <f aca="false">IF($P503=0,"",IF($F503="Baseline","— Baseline",IF($O503=0,"No result",IF($N503=0,"No Start (attainment only)",IF(OR($N503=1,$O503=1),"U – needs rule",INDEX(MxBody,MATCH($I503,MxCurr,0),MATCH($H503,MxStart,0)))))))</f>
        <v>Expected</v>
      </c>
      <c r="L503" s="62" t="str">
        <f aca="false">IF(COUNTA($A503,$F503,$G503,$H503,$I503,$J503)=0,"",IF($M503=0,"✖ كود الصف غير موجود",IF(ISNA(MATCH($F503,Lists!$A$2:$A$5,0)),"✖ الفترة غير صحيحة",IF(ISNA(MATCH($G503,Lists!$B$2:$B$7,0)),"✖ المجموعة غير صحيحة",IF(NOT(OR($H503="",$N503&gt;0)),"✖ Start غير صحيح",IF(NOT(OR($I503="",$I503="NR",$O503&gt;0)),"✖ Current غير صحيح",IF(NOT(IF(ISNUMBER($J503),AND($J503&gt;=0,$J503=INT($J503)),FALSE())),"✖ العدد يجب أن يكون صحيحًا ≥ 0",IF(AND($F503="Baseline",$H503&lt;&gt;""),"⚠ Baseline: Start لا يدخل في التقدم",IF($K503="No Start (attainment only)","ℹ تحصيل فقط (بدون Start)",IF($K503="U – needs rule","ℹ حالة U تحتاج قاعدة معتمدة",IF($K503="No result","ℹ بدون نتيجة (يُستبعد من التحصيل)","OK")))))))))))</f>
        <v>OK</v>
      </c>
      <c r="M503" s="64" t="n">
        <f aca="false">IF($A503="",0,IFERROR(MATCH($A503,Classes!$A$6:$A$420,0),0))</f>
        <v>301</v>
      </c>
      <c r="N503" s="64" t="n">
        <f aca="false">IF($H503="",0,IFERROR(MATCH($H503,GradeList,0),0))</f>
        <v>6</v>
      </c>
      <c r="O503" s="64" t="n">
        <f aca="false">IF(OR($I503="",$I503="NR"),0,IFERROR(MATCH($I503,GradeList,0),0))</f>
        <v>5</v>
      </c>
      <c r="P503" s="64" t="n">
        <f aca="false">IF(AND($M503&gt;0,ISNUMBER(MATCH($F503,Lists!$A$2:$A$5,0)),ISNUMBER(MATCH($G503,Lists!$B$2:$B$7,0)),OR($H503="",$N503&gt;0),OR($I503="",$I503="NR",$O503&gt;0),IF(ISNUMBER($J503),AND($J503&gt;=0,$J503=INT($J503)),FALSE())),$J503,0)</f>
        <v>1</v>
      </c>
      <c r="Q503" s="64" t="n">
        <f aca="false">IF(AND($P503&gt;0,$O503&gt;0),$P503,0)</f>
        <v>1</v>
      </c>
      <c r="R503" s="64" t="n">
        <f aca="false">IF(AND($Q503&gt;0,$O503&gt;=AtRank),$Q503,0)</f>
        <v>1</v>
      </c>
      <c r="S503" s="64" t="n">
        <f aca="false">IF(AND($Q503&gt;0,$O503&gt;=AboveRank),$Q503,0)</f>
        <v>0</v>
      </c>
      <c r="T503" s="64" t="n">
        <f aca="false">IF($K503="Less",$P503,0)</f>
        <v>0</v>
      </c>
      <c r="U503" s="64" t="n">
        <f aca="false">IF($K503="Expected",$P503,0)</f>
        <v>1</v>
      </c>
      <c r="V503" s="64" t="n">
        <f aca="false">IF($K503="Better",$P503,0)</f>
        <v>0</v>
      </c>
      <c r="W503" s="64" t="n">
        <f aca="false">IF($K503="U – needs rule",$P503,0)</f>
        <v>0</v>
      </c>
      <c r="X503" s="64" t="n">
        <f aca="false">IF($K503="No Start (attainment only)",$P503,0)</f>
        <v>0</v>
      </c>
    </row>
    <row r="504" customFormat="false" ht="15" hidden="false" customHeight="false" outlineLevel="0" collapsed="false">
      <c r="A504" s="60" t="s">
        <v>798</v>
      </c>
      <c r="B504" s="61" t="str">
        <f aca="false">IF($M504=0,"",INDEX(Classes!$E$6:$E$420,$M504))</f>
        <v>Arabic A</v>
      </c>
      <c r="C504" s="62" t="str">
        <f aca="false">IF($M504=0,"",INDEX(Classes!$H$6:$H$420,$M504))</f>
        <v>Mr Ahmed AbdelmonemElsye</v>
      </c>
      <c r="D504" s="61" t="str">
        <f aca="false">IF($M504=0,"",INDEX(Classes!$B$6:$B$420,$M504))</f>
        <v>Year 10</v>
      </c>
      <c r="E504" s="61" t="str">
        <f aca="false">IF($M504=0,"",INDEX(Classes!$C$6:$C$420,$M504))</f>
        <v>ip</v>
      </c>
      <c r="F504" s="63" t="s">
        <v>107</v>
      </c>
      <c r="G504" s="63" t="s">
        <v>108</v>
      </c>
      <c r="H504" s="60" t="s">
        <v>201</v>
      </c>
      <c r="I504" s="60" t="s">
        <v>201</v>
      </c>
      <c r="J504" s="63" t="n">
        <v>4</v>
      </c>
      <c r="K504" s="61" t="str">
        <f aca="false">IF($P504=0,"",IF($F504="Baseline","— Baseline",IF($O504=0,"No result",IF($N504=0,"No Start (attainment only)",IF(OR($N504=1,$O504=1),"U – needs rule",INDEX(MxBody,MATCH($I504,MxCurr,0),MATCH($H504,MxStart,0)))))))</f>
        <v>Expected</v>
      </c>
      <c r="L504" s="62" t="str">
        <f aca="false">IF(COUNTA($A504,$F504,$G504,$H504,$I504,$J504)=0,"",IF($M504=0,"✖ كود الصف غير موجود",IF(ISNA(MATCH($F504,Lists!$A$2:$A$5,0)),"✖ الفترة غير صحيحة",IF(ISNA(MATCH($G504,Lists!$B$2:$B$7,0)),"✖ المجموعة غير صحيحة",IF(NOT(OR($H504="",$N504&gt;0)),"✖ Start غير صحيح",IF(NOT(OR($I504="",$I504="NR",$O504&gt;0)),"✖ Current غير صحيح",IF(NOT(IF(ISNUMBER($J504),AND($J504&gt;=0,$J504=INT($J504)),FALSE())),"✖ العدد يجب أن يكون صحيحًا ≥ 0",IF(AND($F504="Baseline",$H504&lt;&gt;""),"⚠ Baseline: Start لا يدخل في التقدم",IF($K504="No Start (attainment only)","ℹ تحصيل فقط (بدون Start)",IF($K504="U – needs rule","ℹ حالة U تحتاج قاعدة معتمدة",IF($K504="No result","ℹ بدون نتيجة (يُستبعد من التحصيل)","OK")))))))))))</f>
        <v>OK</v>
      </c>
      <c r="M504" s="64" t="n">
        <f aca="false">IF($A504="",0,IFERROR(MATCH($A504,Classes!$A$6:$A$420,0),0))</f>
        <v>301</v>
      </c>
      <c r="N504" s="64" t="n">
        <f aca="false">IF($H504="",0,IFERROR(MATCH($H504,GradeList,0),0))</f>
        <v>6</v>
      </c>
      <c r="O504" s="64" t="n">
        <f aca="false">IF(OR($I504="",$I504="NR"),0,IFERROR(MATCH($I504,GradeList,0),0))</f>
        <v>6</v>
      </c>
      <c r="P504" s="64" t="n">
        <f aca="false">IF(AND($M504&gt;0,ISNUMBER(MATCH($F504,Lists!$A$2:$A$5,0)),ISNUMBER(MATCH($G504,Lists!$B$2:$B$7,0)),OR($H504="",$N504&gt;0),OR($I504="",$I504="NR",$O504&gt;0),IF(ISNUMBER($J504),AND($J504&gt;=0,$J504=INT($J504)),FALSE())),$J504,0)</f>
        <v>4</v>
      </c>
      <c r="Q504" s="64" t="n">
        <f aca="false">IF(AND($P504&gt;0,$O504&gt;0),$P504,0)</f>
        <v>4</v>
      </c>
      <c r="R504" s="64" t="n">
        <f aca="false">IF(AND($Q504&gt;0,$O504&gt;=AtRank),$Q504,0)</f>
        <v>4</v>
      </c>
      <c r="S504" s="64" t="n">
        <f aca="false">IF(AND($Q504&gt;0,$O504&gt;=AboveRank),$Q504,0)</f>
        <v>0</v>
      </c>
      <c r="T504" s="64" t="n">
        <f aca="false">IF($K504="Less",$P504,0)</f>
        <v>0</v>
      </c>
      <c r="U504" s="64" t="n">
        <f aca="false">IF($K504="Expected",$P504,0)</f>
        <v>4</v>
      </c>
      <c r="V504" s="64" t="n">
        <f aca="false">IF($K504="Better",$P504,0)</f>
        <v>0</v>
      </c>
      <c r="W504" s="64" t="n">
        <f aca="false">IF($K504="U – needs rule",$P504,0)</f>
        <v>0</v>
      </c>
      <c r="X504" s="64" t="n">
        <f aca="false">IF($K504="No Start (attainment only)",$P504,0)</f>
        <v>0</v>
      </c>
    </row>
    <row r="505" customFormat="false" ht="15" hidden="false" customHeight="false" outlineLevel="0" collapsed="false">
      <c r="A505" s="60" t="s">
        <v>798</v>
      </c>
      <c r="B505" s="61" t="str">
        <f aca="false">IF($M505=0,"",INDEX(Classes!$E$6:$E$420,$M505))</f>
        <v>Arabic A</v>
      </c>
      <c r="C505" s="62" t="str">
        <f aca="false">IF($M505=0,"",INDEX(Classes!$H$6:$H$420,$M505))</f>
        <v>Mr Ahmed AbdelmonemElsye</v>
      </c>
      <c r="D505" s="61" t="str">
        <f aca="false">IF($M505=0,"",INDEX(Classes!$B$6:$B$420,$M505))</f>
        <v>Year 10</v>
      </c>
      <c r="E505" s="61" t="str">
        <f aca="false">IF($M505=0,"",INDEX(Classes!$C$6:$C$420,$M505))</f>
        <v>ip</v>
      </c>
      <c r="F505" s="63" t="s">
        <v>107</v>
      </c>
      <c r="G505" s="63" t="s">
        <v>108</v>
      </c>
      <c r="H505" s="60" t="s">
        <v>198</v>
      </c>
      <c r="I505" s="60" t="s">
        <v>199</v>
      </c>
      <c r="J505" s="63" t="n">
        <v>1</v>
      </c>
      <c r="K505" s="61" t="str">
        <f aca="false">IF($P505=0,"",IF($F505="Baseline","— Baseline",IF($O505=0,"No result",IF($N505=0,"No Start (attainment only)",IF(OR($N505=1,$O505=1),"U – needs rule",INDEX(MxBody,MATCH($I505,MxCurr,0),MATCH($H505,MxStart,0)))))))</f>
        <v>Better</v>
      </c>
      <c r="L505" s="62" t="str">
        <f aca="false">IF(COUNTA($A505,$F505,$G505,$H505,$I505,$J505)=0,"",IF($M505=0,"✖ كود الصف غير موجود",IF(ISNA(MATCH($F505,Lists!$A$2:$A$5,0)),"✖ الفترة غير صحيحة",IF(ISNA(MATCH($G505,Lists!$B$2:$B$7,0)),"✖ المجموعة غير صحيحة",IF(NOT(OR($H505="",$N505&gt;0)),"✖ Start غير صحيح",IF(NOT(OR($I505="",$I505="NR",$O505&gt;0)),"✖ Current غير صحيح",IF(NOT(IF(ISNUMBER($J505),AND($J505&gt;=0,$J505=INT($J505)),FALSE())),"✖ العدد يجب أن يكون صحيحًا ≥ 0",IF(AND($F505="Baseline",$H505&lt;&gt;""),"⚠ Baseline: Start لا يدخل في التقدم",IF($K505="No Start (attainment only)","ℹ تحصيل فقط (بدون Start)",IF($K505="U – needs rule","ℹ حالة U تحتاج قاعدة معتمدة",IF($K505="No result","ℹ بدون نتيجة (يُستبعد من التحصيل)","OK")))))))))))</f>
        <v>OK</v>
      </c>
      <c r="M505" s="64" t="n">
        <f aca="false">IF($A505="",0,IFERROR(MATCH($A505,Classes!$A$6:$A$420,0),0))</f>
        <v>301</v>
      </c>
      <c r="N505" s="64" t="n">
        <f aca="false">IF($H505="",0,IFERROR(MATCH($H505,GradeList,0),0))</f>
        <v>3</v>
      </c>
      <c r="O505" s="64" t="n">
        <f aca="false">IF(OR($I505="",$I505="NR"),0,IFERROR(MATCH($I505,GradeList,0),0))</f>
        <v>4</v>
      </c>
      <c r="P505" s="64" t="n">
        <f aca="false">IF(AND($M505&gt;0,ISNUMBER(MATCH($F505,Lists!$A$2:$A$5,0)),ISNUMBER(MATCH($G505,Lists!$B$2:$B$7,0)),OR($H505="",$N505&gt;0),OR($I505="",$I505="NR",$O505&gt;0),IF(ISNUMBER($J505),AND($J505&gt;=0,$J505=INT($J505)),FALSE())),$J505,0)</f>
        <v>1</v>
      </c>
      <c r="Q505" s="64" t="n">
        <f aca="false">IF(AND($P505&gt;0,$O505&gt;0),$P505,0)</f>
        <v>1</v>
      </c>
      <c r="R505" s="64" t="n">
        <f aca="false">IF(AND($Q505&gt;0,$O505&gt;=AtRank),$Q505,0)</f>
        <v>0</v>
      </c>
      <c r="S505" s="64" t="n">
        <f aca="false">IF(AND($Q505&gt;0,$O505&gt;=AboveRank),$Q505,0)</f>
        <v>0</v>
      </c>
      <c r="T505" s="64" t="n">
        <f aca="false">IF($K505="Less",$P505,0)</f>
        <v>0</v>
      </c>
      <c r="U505" s="64" t="n">
        <f aca="false">IF($K505="Expected",$P505,0)</f>
        <v>0</v>
      </c>
      <c r="V505" s="64" t="n">
        <f aca="false">IF($K505="Better",$P505,0)</f>
        <v>1</v>
      </c>
      <c r="W505" s="64" t="n">
        <f aca="false">IF($K505="U – needs rule",$P505,0)</f>
        <v>0</v>
      </c>
      <c r="X505" s="64" t="n">
        <f aca="false">IF($K505="No Start (attainment only)",$P505,0)</f>
        <v>0</v>
      </c>
    </row>
    <row r="506" customFormat="false" ht="15" hidden="false" customHeight="false" outlineLevel="0" collapsed="false">
      <c r="A506" s="60" t="s">
        <v>798</v>
      </c>
      <c r="B506" s="61" t="str">
        <f aca="false">IF($M506=0,"",INDEX(Classes!$E$6:$E$420,$M506))</f>
        <v>Arabic A</v>
      </c>
      <c r="C506" s="62" t="str">
        <f aca="false">IF($M506=0,"",INDEX(Classes!$H$6:$H$420,$M506))</f>
        <v>Mr Ahmed AbdelmonemElsye</v>
      </c>
      <c r="D506" s="61" t="str">
        <f aca="false">IF($M506=0,"",INDEX(Classes!$B$6:$B$420,$M506))</f>
        <v>Year 10</v>
      </c>
      <c r="E506" s="61" t="str">
        <f aca="false">IF($M506=0,"",INDEX(Classes!$C$6:$C$420,$M506))</f>
        <v>ip</v>
      </c>
      <c r="F506" s="63" t="s">
        <v>107</v>
      </c>
      <c r="G506" s="63" t="s">
        <v>108</v>
      </c>
      <c r="H506" s="60" t="s">
        <v>199</v>
      </c>
      <c r="I506" s="60" t="s">
        <v>200</v>
      </c>
      <c r="J506" s="63" t="n">
        <v>2</v>
      </c>
      <c r="K506" s="61" t="str">
        <f aca="false">IF($P506=0,"",IF($F506="Baseline","— Baseline",IF($O506=0,"No result",IF($N506=0,"No Start (attainment only)",IF(OR($N506=1,$O506=1),"U – needs rule",INDEX(MxBody,MATCH($I506,MxCurr,0),MATCH($H506,MxStart,0)))))))</f>
        <v>Better</v>
      </c>
      <c r="L506" s="62" t="str">
        <f aca="false">IF(COUNTA($A506,$F506,$G506,$H506,$I506,$J506)=0,"",IF($M506=0,"✖ كود الصف غير موجود",IF(ISNA(MATCH($F506,Lists!$A$2:$A$5,0)),"✖ الفترة غير صحيحة",IF(ISNA(MATCH($G506,Lists!$B$2:$B$7,0)),"✖ المجموعة غير صحيحة",IF(NOT(OR($H506="",$N506&gt;0)),"✖ Start غير صحيح",IF(NOT(OR($I506="",$I506="NR",$O506&gt;0)),"✖ Current غير صحيح",IF(NOT(IF(ISNUMBER($J506),AND($J506&gt;=0,$J506=INT($J506)),FALSE())),"✖ العدد يجب أن يكون صحيحًا ≥ 0",IF(AND($F506="Baseline",$H506&lt;&gt;""),"⚠ Baseline: Start لا يدخل في التقدم",IF($K506="No Start (attainment only)","ℹ تحصيل فقط (بدون Start)",IF($K506="U – needs rule","ℹ حالة U تحتاج قاعدة معتمدة",IF($K506="No result","ℹ بدون نتيجة (يُستبعد من التحصيل)","OK")))))))))))</f>
        <v>OK</v>
      </c>
      <c r="M506" s="64" t="n">
        <f aca="false">IF($A506="",0,IFERROR(MATCH($A506,Classes!$A$6:$A$420,0),0))</f>
        <v>301</v>
      </c>
      <c r="N506" s="64" t="n">
        <f aca="false">IF($H506="",0,IFERROR(MATCH($H506,GradeList,0),0))</f>
        <v>4</v>
      </c>
      <c r="O506" s="64" t="n">
        <f aca="false">IF(OR($I506="",$I506="NR"),0,IFERROR(MATCH($I506,GradeList,0),0))</f>
        <v>5</v>
      </c>
      <c r="P506" s="64" t="n">
        <f aca="false">IF(AND($M506&gt;0,ISNUMBER(MATCH($F506,Lists!$A$2:$A$5,0)),ISNUMBER(MATCH($G506,Lists!$B$2:$B$7,0)),OR($H506="",$N506&gt;0),OR($I506="",$I506="NR",$O506&gt;0),IF(ISNUMBER($J506),AND($J506&gt;=0,$J506=INT($J506)),FALSE())),$J506,0)</f>
        <v>2</v>
      </c>
      <c r="Q506" s="64" t="n">
        <f aca="false">IF(AND($P506&gt;0,$O506&gt;0),$P506,0)</f>
        <v>2</v>
      </c>
      <c r="R506" s="64" t="n">
        <f aca="false">IF(AND($Q506&gt;0,$O506&gt;=AtRank),$Q506,0)</f>
        <v>2</v>
      </c>
      <c r="S506" s="64" t="n">
        <f aca="false">IF(AND($Q506&gt;0,$O506&gt;=AboveRank),$Q506,0)</f>
        <v>0</v>
      </c>
      <c r="T506" s="64" t="n">
        <f aca="false">IF($K506="Less",$P506,0)</f>
        <v>0</v>
      </c>
      <c r="U506" s="64" t="n">
        <f aca="false">IF($K506="Expected",$P506,0)</f>
        <v>0</v>
      </c>
      <c r="V506" s="64" t="n">
        <f aca="false">IF($K506="Better",$P506,0)</f>
        <v>2</v>
      </c>
      <c r="W506" s="64" t="n">
        <f aca="false">IF($K506="U – needs rule",$P506,0)</f>
        <v>0</v>
      </c>
      <c r="X506" s="64" t="n">
        <f aca="false">IF($K506="No Start (attainment only)",$P506,0)</f>
        <v>0</v>
      </c>
    </row>
    <row r="507" customFormat="false" ht="15" hidden="false" customHeight="false" outlineLevel="0" collapsed="false">
      <c r="A507" s="60" t="s">
        <v>798</v>
      </c>
      <c r="B507" s="61" t="str">
        <f aca="false">IF($M507=0,"",INDEX(Classes!$E$6:$E$420,$M507))</f>
        <v>Arabic A</v>
      </c>
      <c r="C507" s="62" t="str">
        <f aca="false">IF($M507=0,"",INDEX(Classes!$H$6:$H$420,$M507))</f>
        <v>Mr Ahmed AbdelmonemElsye</v>
      </c>
      <c r="D507" s="61" t="str">
        <f aca="false">IF($M507=0,"",INDEX(Classes!$B$6:$B$420,$M507))</f>
        <v>Year 10</v>
      </c>
      <c r="E507" s="61" t="str">
        <f aca="false">IF($M507=0,"",INDEX(Classes!$C$6:$C$420,$M507))</f>
        <v>ip</v>
      </c>
      <c r="F507" s="63" t="s">
        <v>107</v>
      </c>
      <c r="G507" s="63" t="s">
        <v>108</v>
      </c>
      <c r="H507" s="60" t="s">
        <v>199</v>
      </c>
      <c r="I507" s="60" t="s">
        <v>198</v>
      </c>
      <c r="J507" s="63" t="n">
        <v>1</v>
      </c>
      <c r="K507" s="61" t="str">
        <f aca="false">IF($P507=0,"",IF($F507="Baseline","— Baseline",IF($O507=0,"No result",IF($N507=0,"No Start (attainment only)",IF(OR($N507=1,$O507=1),"U – needs rule",INDEX(MxBody,MATCH($I507,MxCurr,0),MATCH($H507,MxStart,0)))))))</f>
        <v>Less</v>
      </c>
      <c r="L507" s="62" t="str">
        <f aca="false">IF(COUNTA($A507,$F507,$G507,$H507,$I507,$J507)=0,"",IF($M507=0,"✖ كود الصف غير موجود",IF(ISNA(MATCH($F507,Lists!$A$2:$A$5,0)),"✖ الفترة غير صحيحة",IF(ISNA(MATCH($G507,Lists!$B$2:$B$7,0)),"✖ المجموعة غير صحيحة",IF(NOT(OR($H507="",$N507&gt;0)),"✖ Start غير صحيح",IF(NOT(OR($I507="",$I507="NR",$O507&gt;0)),"✖ Current غير صحيح",IF(NOT(IF(ISNUMBER($J507),AND($J507&gt;=0,$J507=INT($J507)),FALSE())),"✖ العدد يجب أن يكون صحيحًا ≥ 0",IF(AND($F507="Baseline",$H507&lt;&gt;""),"⚠ Baseline: Start لا يدخل في التقدم",IF($K507="No Start (attainment only)","ℹ تحصيل فقط (بدون Start)",IF($K507="U – needs rule","ℹ حالة U تحتاج قاعدة معتمدة",IF($K507="No result","ℹ بدون نتيجة (يُستبعد من التحصيل)","OK")))))))))))</f>
        <v>OK</v>
      </c>
      <c r="M507" s="64" t="n">
        <f aca="false">IF($A507="",0,IFERROR(MATCH($A507,Classes!$A$6:$A$420,0),0))</f>
        <v>301</v>
      </c>
      <c r="N507" s="64" t="n">
        <f aca="false">IF($H507="",0,IFERROR(MATCH($H507,GradeList,0),0))</f>
        <v>4</v>
      </c>
      <c r="O507" s="64" t="n">
        <f aca="false">IF(OR($I507="",$I507="NR"),0,IFERROR(MATCH($I507,GradeList,0),0))</f>
        <v>3</v>
      </c>
      <c r="P507" s="64" t="n">
        <f aca="false">IF(AND($M507&gt;0,ISNUMBER(MATCH($F507,Lists!$A$2:$A$5,0)),ISNUMBER(MATCH($G507,Lists!$B$2:$B$7,0)),OR($H507="",$N507&gt;0),OR($I507="",$I507="NR",$O507&gt;0),IF(ISNUMBER($J507),AND($J507&gt;=0,$J507=INT($J507)),FALSE())),$J507,0)</f>
        <v>1</v>
      </c>
      <c r="Q507" s="64" t="n">
        <f aca="false">IF(AND($P507&gt;0,$O507&gt;0),$P507,0)</f>
        <v>1</v>
      </c>
      <c r="R507" s="64" t="n">
        <f aca="false">IF(AND($Q507&gt;0,$O507&gt;=AtRank),$Q507,0)</f>
        <v>0</v>
      </c>
      <c r="S507" s="64" t="n">
        <f aca="false">IF(AND($Q507&gt;0,$O507&gt;=AboveRank),$Q507,0)</f>
        <v>0</v>
      </c>
      <c r="T507" s="64" t="n">
        <f aca="false">IF($K507="Less",$P507,0)</f>
        <v>1</v>
      </c>
      <c r="U507" s="64" t="n">
        <f aca="false">IF($K507="Expected",$P507,0)</f>
        <v>0</v>
      </c>
      <c r="V507" s="64" t="n">
        <f aca="false">IF($K507="Better",$P507,0)</f>
        <v>0</v>
      </c>
      <c r="W507" s="64" t="n">
        <f aca="false">IF($K507="U – needs rule",$P507,0)</f>
        <v>0</v>
      </c>
      <c r="X507" s="64" t="n">
        <f aca="false">IF($K507="No Start (attainment only)",$P507,0)</f>
        <v>0</v>
      </c>
    </row>
    <row r="508" customFormat="false" ht="15" hidden="false" customHeight="false" outlineLevel="0" collapsed="false">
      <c r="A508" s="60" t="s">
        <v>798</v>
      </c>
      <c r="B508" s="61" t="str">
        <f aca="false">IF($M508=0,"",INDEX(Classes!$E$6:$E$420,$M508))</f>
        <v>Arabic A</v>
      </c>
      <c r="C508" s="62" t="str">
        <f aca="false">IF($M508=0,"",INDEX(Classes!$H$6:$H$420,$M508))</f>
        <v>Mr Ahmed AbdelmonemElsye</v>
      </c>
      <c r="D508" s="61" t="str">
        <f aca="false">IF($M508=0,"",INDEX(Classes!$B$6:$B$420,$M508))</f>
        <v>Year 10</v>
      </c>
      <c r="E508" s="61" t="str">
        <f aca="false">IF($M508=0,"",INDEX(Classes!$C$6:$C$420,$M508))</f>
        <v>ip</v>
      </c>
      <c r="F508" s="63" t="s">
        <v>107</v>
      </c>
      <c r="G508" s="63" t="s">
        <v>108</v>
      </c>
      <c r="H508" s="60" t="s">
        <v>199</v>
      </c>
      <c r="I508" s="60" t="s">
        <v>199</v>
      </c>
      <c r="J508" s="63" t="n">
        <v>1</v>
      </c>
      <c r="K508" s="61" t="str">
        <f aca="false">IF($P508=0,"",IF($F508="Baseline","— Baseline",IF($O508=0,"No result",IF($N508=0,"No Start (attainment only)",IF(OR($N508=1,$O508=1),"U – needs rule",INDEX(MxBody,MATCH($I508,MxCurr,0),MATCH($H508,MxStart,0)))))))</f>
        <v>Expected</v>
      </c>
      <c r="L508" s="62" t="str">
        <f aca="false">IF(COUNTA($A508,$F508,$G508,$H508,$I508,$J508)=0,"",IF($M508=0,"✖ كود الصف غير موجود",IF(ISNA(MATCH($F508,Lists!$A$2:$A$5,0)),"✖ الفترة غير صحيحة",IF(ISNA(MATCH($G508,Lists!$B$2:$B$7,0)),"✖ المجموعة غير صحيحة",IF(NOT(OR($H508="",$N508&gt;0)),"✖ Start غير صحيح",IF(NOT(OR($I508="",$I508="NR",$O508&gt;0)),"✖ Current غير صحيح",IF(NOT(IF(ISNUMBER($J508),AND($J508&gt;=0,$J508=INT($J508)),FALSE())),"✖ العدد يجب أن يكون صحيحًا ≥ 0",IF(AND($F508="Baseline",$H508&lt;&gt;""),"⚠ Baseline: Start لا يدخل في التقدم",IF($K508="No Start (attainment only)","ℹ تحصيل فقط (بدون Start)",IF($K508="U – needs rule","ℹ حالة U تحتاج قاعدة معتمدة",IF($K508="No result","ℹ بدون نتيجة (يُستبعد من التحصيل)","OK")))))))))))</f>
        <v>OK</v>
      </c>
      <c r="M508" s="64" t="n">
        <f aca="false">IF($A508="",0,IFERROR(MATCH($A508,Classes!$A$6:$A$420,0),0))</f>
        <v>301</v>
      </c>
      <c r="N508" s="64" t="n">
        <f aca="false">IF($H508="",0,IFERROR(MATCH($H508,GradeList,0),0))</f>
        <v>4</v>
      </c>
      <c r="O508" s="64" t="n">
        <f aca="false">IF(OR($I508="",$I508="NR"),0,IFERROR(MATCH($I508,GradeList,0),0))</f>
        <v>4</v>
      </c>
      <c r="P508" s="64" t="n">
        <f aca="false">IF(AND($M508&gt;0,ISNUMBER(MATCH($F508,Lists!$A$2:$A$5,0)),ISNUMBER(MATCH($G508,Lists!$B$2:$B$7,0)),OR($H508="",$N508&gt;0),OR($I508="",$I508="NR",$O508&gt;0),IF(ISNUMBER($J508),AND($J508&gt;=0,$J508=INT($J508)),FALSE())),$J508,0)</f>
        <v>1</v>
      </c>
      <c r="Q508" s="64" t="n">
        <f aca="false">IF(AND($P508&gt;0,$O508&gt;0),$P508,0)</f>
        <v>1</v>
      </c>
      <c r="R508" s="64" t="n">
        <f aca="false">IF(AND($Q508&gt;0,$O508&gt;=AtRank),$Q508,0)</f>
        <v>0</v>
      </c>
      <c r="S508" s="64" t="n">
        <f aca="false">IF(AND($Q508&gt;0,$O508&gt;=AboveRank),$Q508,0)</f>
        <v>0</v>
      </c>
      <c r="T508" s="64" t="n">
        <f aca="false">IF($K508="Less",$P508,0)</f>
        <v>0</v>
      </c>
      <c r="U508" s="64" t="n">
        <f aca="false">IF($K508="Expected",$P508,0)</f>
        <v>1</v>
      </c>
      <c r="V508" s="64" t="n">
        <f aca="false">IF($K508="Better",$P508,0)</f>
        <v>0</v>
      </c>
      <c r="W508" s="64" t="n">
        <f aca="false">IF($K508="U – needs rule",$P508,0)</f>
        <v>0</v>
      </c>
      <c r="X508" s="64" t="n">
        <f aca="false">IF($K508="No Start (attainment only)",$P508,0)</f>
        <v>0</v>
      </c>
    </row>
    <row r="509" customFormat="false" ht="15" hidden="false" customHeight="false" outlineLevel="0" collapsed="false">
      <c r="A509" s="60" t="s">
        <v>798</v>
      </c>
      <c r="B509" s="61" t="str">
        <f aca="false">IF($M509=0,"",INDEX(Classes!$E$6:$E$420,$M509))</f>
        <v>Arabic A</v>
      </c>
      <c r="C509" s="62" t="str">
        <f aca="false">IF($M509=0,"",INDEX(Classes!$H$6:$H$420,$M509))</f>
        <v>Mr Ahmed AbdelmonemElsye</v>
      </c>
      <c r="D509" s="61" t="str">
        <f aca="false">IF($M509=0,"",INDEX(Classes!$B$6:$B$420,$M509))</f>
        <v>Year 10</v>
      </c>
      <c r="E509" s="61" t="str">
        <f aca="false">IF($M509=0,"",INDEX(Classes!$C$6:$C$420,$M509))</f>
        <v>ip</v>
      </c>
      <c r="F509" s="63" t="s">
        <v>107</v>
      </c>
      <c r="G509" s="63" t="s">
        <v>1015</v>
      </c>
      <c r="H509" s="60" t="s">
        <v>202</v>
      </c>
      <c r="I509" s="60" t="s">
        <v>1019</v>
      </c>
      <c r="J509" s="63" t="n">
        <v>1</v>
      </c>
      <c r="K509" s="61" t="str">
        <f aca="false">IF($P509=0,"",IF($F509="Baseline","— Baseline",IF($O509=0,"No result",IF($N509=0,"No Start (attainment only)",IF(OR($N509=1,$O509=1),"U – needs rule",INDEX(MxBody,MATCH($I509,MxCurr,0),MATCH($H509,MxStart,0)))))))</f>
        <v>No result</v>
      </c>
      <c r="L509" s="62" t="str">
        <f aca="false">IF(COUNTA($A509,$F509,$G509,$H509,$I509,$J509)=0,"",IF($M509=0,"✖ كود الصف غير موجود",IF(ISNA(MATCH($F509,Lists!$A$2:$A$5,0)),"✖ الفترة غير صحيحة",IF(ISNA(MATCH($G509,Lists!$B$2:$B$7,0)),"✖ المجموعة غير صحيحة",IF(NOT(OR($H509="",$N509&gt;0)),"✖ Start غير صحيح",IF(NOT(OR($I509="",$I509="NR",$O509&gt;0)),"✖ Current غير صحيح",IF(NOT(IF(ISNUMBER($J509),AND($J509&gt;=0,$J509=INT($J509)),FALSE())),"✖ العدد يجب أن يكون صحيحًا ≥ 0",IF(AND($F509="Baseline",$H509&lt;&gt;""),"⚠ Baseline: Start لا يدخل في التقدم",IF($K509="No Start (attainment only)","ℹ تحصيل فقط (بدون Start)",IF($K509="U – needs rule","ℹ حالة U تحتاج قاعدة معتمدة",IF($K509="No result","ℹ بدون نتيجة (يُستبعد من التحصيل)","OK")))))))))))</f>
        <v>ℹ بدون نتيجة (يُستبعد من التحصيل)</v>
      </c>
      <c r="M509" s="64" t="n">
        <f aca="false">IF($A509="",0,IFERROR(MATCH($A509,Classes!$A$6:$A$420,0),0))</f>
        <v>301</v>
      </c>
      <c r="N509" s="64" t="n">
        <f aca="false">IF($H509="",0,IFERROR(MATCH($H509,GradeList,0),0))</f>
        <v>7</v>
      </c>
      <c r="O509" s="64" t="n">
        <f aca="false">IF(OR($I509="",$I509="NR"),0,IFERROR(MATCH($I509,GradeList,0),0))</f>
        <v>0</v>
      </c>
      <c r="P509" s="64" t="n">
        <f aca="false">IF(AND($M509&gt;0,ISNUMBER(MATCH($F509,Lists!$A$2:$A$5,0)),ISNUMBER(MATCH($G509,Lists!$B$2:$B$7,0)),OR($H509="",$N509&gt;0),OR($I509="",$I509="NR",$O509&gt;0),IF(ISNUMBER($J509),AND($J509&gt;=0,$J509=INT($J509)),FALSE())),$J509,0)</f>
        <v>1</v>
      </c>
      <c r="Q509" s="64" t="n">
        <f aca="false">IF(AND($P509&gt;0,$O509&gt;0),$P509,0)</f>
        <v>0</v>
      </c>
      <c r="R509" s="64" t="n">
        <f aca="false">IF(AND($Q509&gt;0,$O509&gt;=AtRank),$Q509,0)</f>
        <v>0</v>
      </c>
      <c r="S509" s="64" t="n">
        <f aca="false">IF(AND($Q509&gt;0,$O509&gt;=AboveRank),$Q509,0)</f>
        <v>0</v>
      </c>
      <c r="T509" s="64" t="n">
        <f aca="false">IF($K509="Less",$P509,0)</f>
        <v>0</v>
      </c>
      <c r="U509" s="64" t="n">
        <f aca="false">IF($K509="Expected",$P509,0)</f>
        <v>0</v>
      </c>
      <c r="V509" s="64" t="n">
        <f aca="false">IF($K509="Better",$P509,0)</f>
        <v>0</v>
      </c>
      <c r="W509" s="64" t="n">
        <f aca="false">IF($K509="U – needs rule",$P509,0)</f>
        <v>0</v>
      </c>
      <c r="X509" s="64" t="n">
        <f aca="false">IF($K509="No Start (attainment only)",$P509,0)</f>
        <v>0</v>
      </c>
    </row>
    <row r="510" customFormat="false" ht="15" hidden="false" customHeight="false" outlineLevel="0" collapsed="false">
      <c r="A510" s="60" t="s">
        <v>798</v>
      </c>
      <c r="B510" s="61" t="str">
        <f aca="false">IF($M510=0,"",INDEX(Classes!$E$6:$E$420,$M510))</f>
        <v>Arabic A</v>
      </c>
      <c r="C510" s="62" t="str">
        <f aca="false">IF($M510=0,"",INDEX(Classes!$H$6:$H$420,$M510))</f>
        <v>Mr Ahmed AbdelmonemElsye</v>
      </c>
      <c r="D510" s="61" t="str">
        <f aca="false">IF($M510=0,"",INDEX(Classes!$B$6:$B$420,$M510))</f>
        <v>Year 10</v>
      </c>
      <c r="E510" s="61" t="str">
        <f aca="false">IF($M510=0,"",INDEX(Classes!$C$6:$C$420,$M510))</f>
        <v>ip</v>
      </c>
      <c r="F510" s="63" t="s">
        <v>107</v>
      </c>
      <c r="G510" s="63" t="s">
        <v>1015</v>
      </c>
      <c r="H510" s="60" t="s">
        <v>203</v>
      </c>
      <c r="I510" s="60" t="s">
        <v>204</v>
      </c>
      <c r="J510" s="63" t="n">
        <v>1</v>
      </c>
      <c r="K510" s="61" t="str">
        <f aca="false">IF($P510=0,"",IF($F510="Baseline","— Baseline",IF($O510=0,"No result",IF($N510=0,"No Start (attainment only)",IF(OR($N510=1,$O510=1),"U – needs rule",INDEX(MxBody,MATCH($I510,MxCurr,0),MATCH($H510,MxStart,0)))))))</f>
        <v>Better</v>
      </c>
      <c r="L510" s="62" t="str">
        <f aca="false">IF(COUNTA($A510,$F510,$G510,$H510,$I510,$J510)=0,"",IF($M510=0,"✖ كود الصف غير موجود",IF(ISNA(MATCH($F510,Lists!$A$2:$A$5,0)),"✖ الفترة غير صحيحة",IF(ISNA(MATCH($G510,Lists!$B$2:$B$7,0)),"✖ المجموعة غير صحيحة",IF(NOT(OR($H510="",$N510&gt;0)),"✖ Start غير صحيح",IF(NOT(OR($I510="",$I510="NR",$O510&gt;0)),"✖ Current غير صحيح",IF(NOT(IF(ISNUMBER($J510),AND($J510&gt;=0,$J510=INT($J510)),FALSE())),"✖ العدد يجب أن يكون صحيحًا ≥ 0",IF(AND($F510="Baseline",$H510&lt;&gt;""),"⚠ Baseline: Start لا يدخل في التقدم",IF($K510="No Start (attainment only)","ℹ تحصيل فقط (بدون Start)",IF($K510="U – needs rule","ℹ حالة U تحتاج قاعدة معتمدة",IF($K510="No result","ℹ بدون نتيجة (يُستبعد من التحصيل)","OK")))))))))))</f>
        <v>OK</v>
      </c>
      <c r="M510" s="64" t="n">
        <f aca="false">IF($A510="",0,IFERROR(MATCH($A510,Classes!$A$6:$A$420,0),0))</f>
        <v>301</v>
      </c>
      <c r="N510" s="64" t="n">
        <f aca="false">IF($H510="",0,IFERROR(MATCH($H510,GradeList,0),0))</f>
        <v>8</v>
      </c>
      <c r="O510" s="64" t="n">
        <f aca="false">IF(OR($I510="",$I510="NR"),0,IFERROR(MATCH($I510,GradeList,0),0))</f>
        <v>9</v>
      </c>
      <c r="P510" s="64" t="n">
        <f aca="false">IF(AND($M510&gt;0,ISNUMBER(MATCH($F510,Lists!$A$2:$A$5,0)),ISNUMBER(MATCH($G510,Lists!$B$2:$B$7,0)),OR($H510="",$N510&gt;0),OR($I510="",$I510="NR",$O510&gt;0),IF(ISNUMBER($J510),AND($J510&gt;=0,$J510=INT($J510)),FALSE())),$J510,0)</f>
        <v>1</v>
      </c>
      <c r="Q510" s="64" t="n">
        <f aca="false">IF(AND($P510&gt;0,$O510&gt;0),$P510,0)</f>
        <v>1</v>
      </c>
      <c r="R510" s="64" t="n">
        <f aca="false">IF(AND($Q510&gt;0,$O510&gt;=AtRank),$Q510,0)</f>
        <v>1</v>
      </c>
      <c r="S510" s="64" t="n">
        <f aca="false">IF(AND($Q510&gt;0,$O510&gt;=AboveRank),$Q510,0)</f>
        <v>1</v>
      </c>
      <c r="T510" s="64" t="n">
        <f aca="false">IF($K510="Less",$P510,0)</f>
        <v>0</v>
      </c>
      <c r="U510" s="64" t="n">
        <f aca="false">IF($K510="Expected",$P510,0)</f>
        <v>0</v>
      </c>
      <c r="V510" s="64" t="n">
        <f aca="false">IF($K510="Better",$P510,0)</f>
        <v>1</v>
      </c>
      <c r="W510" s="64" t="n">
        <f aca="false">IF($K510="U – needs rule",$P510,0)</f>
        <v>0</v>
      </c>
      <c r="X510" s="64" t="n">
        <f aca="false">IF($K510="No Start (attainment only)",$P510,0)</f>
        <v>0</v>
      </c>
    </row>
    <row r="511" customFormat="false" ht="15" hidden="false" customHeight="false" outlineLevel="0" collapsed="false">
      <c r="A511" s="60" t="s">
        <v>798</v>
      </c>
      <c r="B511" s="61" t="str">
        <f aca="false">IF($M511=0,"",INDEX(Classes!$E$6:$E$420,$M511))</f>
        <v>Arabic A</v>
      </c>
      <c r="C511" s="62" t="str">
        <f aca="false">IF($M511=0,"",INDEX(Classes!$H$6:$H$420,$M511))</f>
        <v>Mr Ahmed AbdelmonemElsye</v>
      </c>
      <c r="D511" s="61" t="str">
        <f aca="false">IF($M511=0,"",INDEX(Classes!$B$6:$B$420,$M511))</f>
        <v>Year 10</v>
      </c>
      <c r="E511" s="61" t="str">
        <f aca="false">IF($M511=0,"",INDEX(Classes!$C$6:$C$420,$M511))</f>
        <v>ip</v>
      </c>
      <c r="F511" s="63" t="s">
        <v>107</v>
      </c>
      <c r="G511" s="63" t="s">
        <v>1015</v>
      </c>
      <c r="H511" s="60" t="s">
        <v>200</v>
      </c>
      <c r="I511" s="60" t="s">
        <v>202</v>
      </c>
      <c r="J511" s="63" t="n">
        <v>1</v>
      </c>
      <c r="K511" s="61" t="str">
        <f aca="false">IF($P511=0,"",IF($F511="Baseline","— Baseline",IF($O511=0,"No result",IF($N511=0,"No Start (attainment only)",IF(OR($N511=1,$O511=1),"U – needs rule",INDEX(MxBody,MATCH($I511,MxCurr,0),MATCH($H511,MxStart,0)))))))</f>
        <v>Better</v>
      </c>
      <c r="L511" s="62" t="str">
        <f aca="false">IF(COUNTA($A511,$F511,$G511,$H511,$I511,$J511)=0,"",IF($M511=0,"✖ كود الصف غير موجود",IF(ISNA(MATCH($F511,Lists!$A$2:$A$5,0)),"✖ الفترة غير صحيحة",IF(ISNA(MATCH($G511,Lists!$B$2:$B$7,0)),"✖ المجموعة غير صحيحة",IF(NOT(OR($H511="",$N511&gt;0)),"✖ Start غير صحيح",IF(NOT(OR($I511="",$I511="NR",$O511&gt;0)),"✖ Current غير صحيح",IF(NOT(IF(ISNUMBER($J511),AND($J511&gt;=0,$J511=INT($J511)),FALSE())),"✖ العدد يجب أن يكون صحيحًا ≥ 0",IF(AND($F511="Baseline",$H511&lt;&gt;""),"⚠ Baseline: Start لا يدخل في التقدم",IF($K511="No Start (attainment only)","ℹ تحصيل فقط (بدون Start)",IF($K511="U – needs rule","ℹ حالة U تحتاج قاعدة معتمدة",IF($K511="No result","ℹ بدون نتيجة (يُستبعد من التحصيل)","OK")))))))))))</f>
        <v>OK</v>
      </c>
      <c r="M511" s="64" t="n">
        <f aca="false">IF($A511="",0,IFERROR(MATCH($A511,Classes!$A$6:$A$420,0),0))</f>
        <v>301</v>
      </c>
      <c r="N511" s="64" t="n">
        <f aca="false">IF($H511="",0,IFERROR(MATCH($H511,GradeList,0),0))</f>
        <v>5</v>
      </c>
      <c r="O511" s="64" t="n">
        <f aca="false">IF(OR($I511="",$I511="NR"),0,IFERROR(MATCH($I511,GradeList,0),0))</f>
        <v>7</v>
      </c>
      <c r="P511" s="64" t="n">
        <f aca="false">IF(AND($M511&gt;0,ISNUMBER(MATCH($F511,Lists!$A$2:$A$5,0)),ISNUMBER(MATCH($G511,Lists!$B$2:$B$7,0)),OR($H511="",$N511&gt;0),OR($I511="",$I511="NR",$O511&gt;0),IF(ISNUMBER($J511),AND($J511&gt;=0,$J511=INT($J511)),FALSE())),$J511,0)</f>
        <v>1</v>
      </c>
      <c r="Q511" s="64" t="n">
        <f aca="false">IF(AND($P511&gt;0,$O511&gt;0),$P511,0)</f>
        <v>1</v>
      </c>
      <c r="R511" s="64" t="n">
        <f aca="false">IF(AND($Q511&gt;0,$O511&gt;=AtRank),$Q511,0)</f>
        <v>1</v>
      </c>
      <c r="S511" s="64" t="n">
        <f aca="false">IF(AND($Q511&gt;0,$O511&gt;=AboveRank),$Q511,0)</f>
        <v>1</v>
      </c>
      <c r="T511" s="64" t="n">
        <f aca="false">IF($K511="Less",$P511,0)</f>
        <v>0</v>
      </c>
      <c r="U511" s="64" t="n">
        <f aca="false">IF($K511="Expected",$P511,0)</f>
        <v>0</v>
      </c>
      <c r="V511" s="64" t="n">
        <f aca="false">IF($K511="Better",$P511,0)</f>
        <v>1</v>
      </c>
      <c r="W511" s="64" t="n">
        <f aca="false">IF($K511="U – needs rule",$P511,0)</f>
        <v>0</v>
      </c>
      <c r="X511" s="64" t="n">
        <f aca="false">IF($K511="No Start (attainment only)",$P511,0)</f>
        <v>0</v>
      </c>
    </row>
    <row r="512" customFormat="false" ht="15" hidden="false" customHeight="false" outlineLevel="0" collapsed="false">
      <c r="A512" s="60" t="s">
        <v>798</v>
      </c>
      <c r="B512" s="61" t="str">
        <f aca="false">IF($M512=0,"",INDEX(Classes!$E$6:$E$420,$M512))</f>
        <v>Arabic A</v>
      </c>
      <c r="C512" s="62" t="str">
        <f aca="false">IF($M512=0,"",INDEX(Classes!$H$6:$H$420,$M512))</f>
        <v>Mr Ahmed AbdelmonemElsye</v>
      </c>
      <c r="D512" s="61" t="str">
        <f aca="false">IF($M512=0,"",INDEX(Classes!$B$6:$B$420,$M512))</f>
        <v>Year 10</v>
      </c>
      <c r="E512" s="61" t="str">
        <f aca="false">IF($M512=0,"",INDEX(Classes!$C$6:$C$420,$M512))</f>
        <v>ip</v>
      </c>
      <c r="F512" s="63" t="s">
        <v>107</v>
      </c>
      <c r="G512" s="63" t="s">
        <v>1015</v>
      </c>
      <c r="H512" s="60" t="s">
        <v>200</v>
      </c>
      <c r="I512" s="60" t="s">
        <v>201</v>
      </c>
      <c r="J512" s="63" t="n">
        <v>1</v>
      </c>
      <c r="K512" s="61" t="str">
        <f aca="false">IF($P512=0,"",IF($F512="Baseline","— Baseline",IF($O512=0,"No result",IF($N512=0,"No Start (attainment only)",IF(OR($N512=1,$O512=1),"U – needs rule",INDEX(MxBody,MATCH($I512,MxCurr,0),MATCH($H512,MxStart,0)))))))</f>
        <v>Better</v>
      </c>
      <c r="L512" s="62" t="str">
        <f aca="false">IF(COUNTA($A512,$F512,$G512,$H512,$I512,$J512)=0,"",IF($M512=0,"✖ كود الصف غير موجود",IF(ISNA(MATCH($F512,Lists!$A$2:$A$5,0)),"✖ الفترة غير صحيحة",IF(ISNA(MATCH($G512,Lists!$B$2:$B$7,0)),"✖ المجموعة غير صحيحة",IF(NOT(OR($H512="",$N512&gt;0)),"✖ Start غير صحيح",IF(NOT(OR($I512="",$I512="NR",$O512&gt;0)),"✖ Current غير صحيح",IF(NOT(IF(ISNUMBER($J512),AND($J512&gt;=0,$J512=INT($J512)),FALSE())),"✖ العدد يجب أن يكون صحيحًا ≥ 0",IF(AND($F512="Baseline",$H512&lt;&gt;""),"⚠ Baseline: Start لا يدخل في التقدم",IF($K512="No Start (attainment only)","ℹ تحصيل فقط (بدون Start)",IF($K512="U – needs rule","ℹ حالة U تحتاج قاعدة معتمدة",IF($K512="No result","ℹ بدون نتيجة (يُستبعد من التحصيل)","OK")))))))))))</f>
        <v>OK</v>
      </c>
      <c r="M512" s="64" t="n">
        <f aca="false">IF($A512="",0,IFERROR(MATCH($A512,Classes!$A$6:$A$420,0),0))</f>
        <v>301</v>
      </c>
      <c r="N512" s="64" t="n">
        <f aca="false">IF($H512="",0,IFERROR(MATCH($H512,GradeList,0),0))</f>
        <v>5</v>
      </c>
      <c r="O512" s="64" t="n">
        <f aca="false">IF(OR($I512="",$I512="NR"),0,IFERROR(MATCH($I512,GradeList,0),0))</f>
        <v>6</v>
      </c>
      <c r="P512" s="64" t="n">
        <f aca="false">IF(AND($M512&gt;0,ISNUMBER(MATCH($F512,Lists!$A$2:$A$5,0)),ISNUMBER(MATCH($G512,Lists!$B$2:$B$7,0)),OR($H512="",$N512&gt;0),OR($I512="",$I512="NR",$O512&gt;0),IF(ISNUMBER($J512),AND($J512&gt;=0,$J512=INT($J512)),FALSE())),$J512,0)</f>
        <v>1</v>
      </c>
      <c r="Q512" s="64" t="n">
        <f aca="false">IF(AND($P512&gt;0,$O512&gt;0),$P512,0)</f>
        <v>1</v>
      </c>
      <c r="R512" s="64" t="n">
        <f aca="false">IF(AND($Q512&gt;0,$O512&gt;=AtRank),$Q512,0)</f>
        <v>1</v>
      </c>
      <c r="S512" s="64" t="n">
        <f aca="false">IF(AND($Q512&gt;0,$O512&gt;=AboveRank),$Q512,0)</f>
        <v>0</v>
      </c>
      <c r="T512" s="64" t="n">
        <f aca="false">IF($K512="Less",$P512,0)</f>
        <v>0</v>
      </c>
      <c r="U512" s="64" t="n">
        <f aca="false">IF($K512="Expected",$P512,0)</f>
        <v>0</v>
      </c>
      <c r="V512" s="64" t="n">
        <f aca="false">IF($K512="Better",$P512,0)</f>
        <v>1</v>
      </c>
      <c r="W512" s="64" t="n">
        <f aca="false">IF($K512="U – needs rule",$P512,0)</f>
        <v>0</v>
      </c>
      <c r="X512" s="64" t="n">
        <f aca="false">IF($K512="No Start (attainment only)",$P512,0)</f>
        <v>0</v>
      </c>
    </row>
    <row r="513" customFormat="false" ht="15" hidden="false" customHeight="false" outlineLevel="0" collapsed="false">
      <c r="A513" s="60" t="s">
        <v>798</v>
      </c>
      <c r="B513" s="61" t="str">
        <f aca="false">IF($M513=0,"",INDEX(Classes!$E$6:$E$420,$M513))</f>
        <v>Arabic A</v>
      </c>
      <c r="C513" s="62" t="str">
        <f aca="false">IF($M513=0,"",INDEX(Classes!$H$6:$H$420,$M513))</f>
        <v>Mr Ahmed AbdelmonemElsye</v>
      </c>
      <c r="D513" s="61" t="str">
        <f aca="false">IF($M513=0,"",INDEX(Classes!$B$6:$B$420,$M513))</f>
        <v>Year 10</v>
      </c>
      <c r="E513" s="61" t="str">
        <f aca="false">IF($M513=0,"",INDEX(Classes!$C$6:$C$420,$M513))</f>
        <v>ip</v>
      </c>
      <c r="F513" s="63" t="s">
        <v>107</v>
      </c>
      <c r="G513" s="63" t="s">
        <v>1015</v>
      </c>
      <c r="H513" s="60" t="s">
        <v>201</v>
      </c>
      <c r="I513" s="60" t="s">
        <v>201</v>
      </c>
      <c r="J513" s="63" t="n">
        <v>1</v>
      </c>
      <c r="K513" s="61" t="str">
        <f aca="false">IF($P513=0,"",IF($F513="Baseline","— Baseline",IF($O513=0,"No result",IF($N513=0,"No Start (attainment only)",IF(OR($N513=1,$O513=1),"U – needs rule",INDEX(MxBody,MATCH($I513,MxCurr,0),MATCH($H513,MxStart,0)))))))</f>
        <v>Expected</v>
      </c>
      <c r="L513" s="62" t="str">
        <f aca="false">IF(COUNTA($A513,$F513,$G513,$H513,$I513,$J513)=0,"",IF($M513=0,"✖ كود الصف غير موجود",IF(ISNA(MATCH($F513,Lists!$A$2:$A$5,0)),"✖ الفترة غير صحيحة",IF(ISNA(MATCH($G513,Lists!$B$2:$B$7,0)),"✖ المجموعة غير صحيحة",IF(NOT(OR($H513="",$N513&gt;0)),"✖ Start غير صحيح",IF(NOT(OR($I513="",$I513="NR",$O513&gt;0)),"✖ Current غير صحيح",IF(NOT(IF(ISNUMBER($J513),AND($J513&gt;=0,$J513=INT($J513)),FALSE())),"✖ العدد يجب أن يكون صحيحًا ≥ 0",IF(AND($F513="Baseline",$H513&lt;&gt;""),"⚠ Baseline: Start لا يدخل في التقدم",IF($K513="No Start (attainment only)","ℹ تحصيل فقط (بدون Start)",IF($K513="U – needs rule","ℹ حالة U تحتاج قاعدة معتمدة",IF($K513="No result","ℹ بدون نتيجة (يُستبعد من التحصيل)","OK")))))))))))</f>
        <v>OK</v>
      </c>
      <c r="M513" s="64" t="n">
        <f aca="false">IF($A513="",0,IFERROR(MATCH($A513,Classes!$A$6:$A$420,0),0))</f>
        <v>301</v>
      </c>
      <c r="N513" s="64" t="n">
        <f aca="false">IF($H513="",0,IFERROR(MATCH($H513,GradeList,0),0))</f>
        <v>6</v>
      </c>
      <c r="O513" s="64" t="n">
        <f aca="false">IF(OR($I513="",$I513="NR"),0,IFERROR(MATCH($I513,GradeList,0),0))</f>
        <v>6</v>
      </c>
      <c r="P513" s="64" t="n">
        <f aca="false">IF(AND($M513&gt;0,ISNUMBER(MATCH($F513,Lists!$A$2:$A$5,0)),ISNUMBER(MATCH($G513,Lists!$B$2:$B$7,0)),OR($H513="",$N513&gt;0),OR($I513="",$I513="NR",$O513&gt;0),IF(ISNUMBER($J513),AND($J513&gt;=0,$J513=INT($J513)),FALSE())),$J513,0)</f>
        <v>1</v>
      </c>
      <c r="Q513" s="64" t="n">
        <f aca="false">IF(AND($P513&gt;0,$O513&gt;0),$P513,0)</f>
        <v>1</v>
      </c>
      <c r="R513" s="64" t="n">
        <f aca="false">IF(AND($Q513&gt;0,$O513&gt;=AtRank),$Q513,0)</f>
        <v>1</v>
      </c>
      <c r="S513" s="64" t="n">
        <f aca="false">IF(AND($Q513&gt;0,$O513&gt;=AboveRank),$Q513,0)</f>
        <v>0</v>
      </c>
      <c r="T513" s="64" t="n">
        <f aca="false">IF($K513="Less",$P513,0)</f>
        <v>0</v>
      </c>
      <c r="U513" s="64" t="n">
        <f aca="false">IF($K513="Expected",$P513,0)</f>
        <v>1</v>
      </c>
      <c r="V513" s="64" t="n">
        <f aca="false">IF($K513="Better",$P513,0)</f>
        <v>0</v>
      </c>
      <c r="W513" s="64" t="n">
        <f aca="false">IF($K513="U – needs rule",$P513,0)</f>
        <v>0</v>
      </c>
      <c r="X513" s="64" t="n">
        <f aca="false">IF($K513="No Start (attainment only)",$P513,0)</f>
        <v>0</v>
      </c>
    </row>
    <row r="514" customFormat="false" ht="15" hidden="false" customHeight="false" outlineLevel="0" collapsed="false">
      <c r="A514" s="60" t="s">
        <v>798</v>
      </c>
      <c r="B514" s="61" t="str">
        <f aca="false">IF($M514=0,"",INDEX(Classes!$E$6:$E$420,$M514))</f>
        <v>Arabic A</v>
      </c>
      <c r="C514" s="62" t="str">
        <f aca="false">IF($M514=0,"",INDEX(Classes!$H$6:$H$420,$M514))</f>
        <v>Mr Ahmed AbdelmonemElsye</v>
      </c>
      <c r="D514" s="61" t="str">
        <f aca="false">IF($M514=0,"",INDEX(Classes!$B$6:$B$420,$M514))</f>
        <v>Year 10</v>
      </c>
      <c r="E514" s="61" t="str">
        <f aca="false">IF($M514=0,"",INDEX(Classes!$C$6:$C$420,$M514))</f>
        <v>ip</v>
      </c>
      <c r="F514" s="63" t="s">
        <v>107</v>
      </c>
      <c r="G514" s="63" t="s">
        <v>1015</v>
      </c>
      <c r="H514" s="60" t="s">
        <v>198</v>
      </c>
      <c r="I514" s="60" t="s">
        <v>199</v>
      </c>
      <c r="J514" s="63" t="n">
        <v>1</v>
      </c>
      <c r="K514" s="61" t="str">
        <f aca="false">IF($P514=0,"",IF($F514="Baseline","— Baseline",IF($O514=0,"No result",IF($N514=0,"No Start (attainment only)",IF(OR($N514=1,$O514=1),"U – needs rule",INDEX(MxBody,MATCH($I514,MxCurr,0),MATCH($H514,MxStart,0)))))))</f>
        <v>Better</v>
      </c>
      <c r="L514" s="62" t="str">
        <f aca="false">IF(COUNTA($A514,$F514,$G514,$H514,$I514,$J514)=0,"",IF($M514=0,"✖ كود الصف غير موجود",IF(ISNA(MATCH($F514,Lists!$A$2:$A$5,0)),"✖ الفترة غير صحيحة",IF(ISNA(MATCH($G514,Lists!$B$2:$B$7,0)),"✖ المجموعة غير صحيحة",IF(NOT(OR($H514="",$N514&gt;0)),"✖ Start غير صحيح",IF(NOT(OR($I514="",$I514="NR",$O514&gt;0)),"✖ Current غير صحيح",IF(NOT(IF(ISNUMBER($J514),AND($J514&gt;=0,$J514=INT($J514)),FALSE())),"✖ العدد يجب أن يكون صحيحًا ≥ 0",IF(AND($F514="Baseline",$H514&lt;&gt;""),"⚠ Baseline: Start لا يدخل في التقدم",IF($K514="No Start (attainment only)","ℹ تحصيل فقط (بدون Start)",IF($K514="U – needs rule","ℹ حالة U تحتاج قاعدة معتمدة",IF($K514="No result","ℹ بدون نتيجة (يُستبعد من التحصيل)","OK")))))))))))</f>
        <v>OK</v>
      </c>
      <c r="M514" s="64" t="n">
        <f aca="false">IF($A514="",0,IFERROR(MATCH($A514,Classes!$A$6:$A$420,0),0))</f>
        <v>301</v>
      </c>
      <c r="N514" s="64" t="n">
        <f aca="false">IF($H514="",0,IFERROR(MATCH($H514,GradeList,0),0))</f>
        <v>3</v>
      </c>
      <c r="O514" s="64" t="n">
        <f aca="false">IF(OR($I514="",$I514="NR"),0,IFERROR(MATCH($I514,GradeList,0),0))</f>
        <v>4</v>
      </c>
      <c r="P514" s="64" t="n">
        <f aca="false">IF(AND($M514&gt;0,ISNUMBER(MATCH($F514,Lists!$A$2:$A$5,0)),ISNUMBER(MATCH($G514,Lists!$B$2:$B$7,0)),OR($H514="",$N514&gt;0),OR($I514="",$I514="NR",$O514&gt;0),IF(ISNUMBER($J514),AND($J514&gt;=0,$J514=INT($J514)),FALSE())),$J514,0)</f>
        <v>1</v>
      </c>
      <c r="Q514" s="64" t="n">
        <f aca="false">IF(AND($P514&gt;0,$O514&gt;0),$P514,0)</f>
        <v>1</v>
      </c>
      <c r="R514" s="64" t="n">
        <f aca="false">IF(AND($Q514&gt;0,$O514&gt;=AtRank),$Q514,0)</f>
        <v>0</v>
      </c>
      <c r="S514" s="64" t="n">
        <f aca="false">IF(AND($Q514&gt;0,$O514&gt;=AboveRank),$Q514,0)</f>
        <v>0</v>
      </c>
      <c r="T514" s="64" t="n">
        <f aca="false">IF($K514="Less",$P514,0)</f>
        <v>0</v>
      </c>
      <c r="U514" s="64" t="n">
        <f aca="false">IF($K514="Expected",$P514,0)</f>
        <v>0</v>
      </c>
      <c r="V514" s="64" t="n">
        <f aca="false">IF($K514="Better",$P514,0)</f>
        <v>1</v>
      </c>
      <c r="W514" s="64" t="n">
        <f aca="false">IF($K514="U – needs rule",$P514,0)</f>
        <v>0</v>
      </c>
      <c r="X514" s="64" t="n">
        <f aca="false">IF($K514="No Start (attainment only)",$P514,0)</f>
        <v>0</v>
      </c>
    </row>
    <row r="515" customFormat="false" ht="15" hidden="false" customHeight="false" outlineLevel="0" collapsed="false">
      <c r="A515" s="60" t="s">
        <v>798</v>
      </c>
      <c r="B515" s="61" t="str">
        <f aca="false">IF($M515=0,"",INDEX(Classes!$E$6:$E$420,$M515))</f>
        <v>Arabic A</v>
      </c>
      <c r="C515" s="62" t="str">
        <f aca="false">IF($M515=0,"",INDEX(Classes!$H$6:$H$420,$M515))</f>
        <v>Mr Ahmed AbdelmonemElsye</v>
      </c>
      <c r="D515" s="61" t="str">
        <f aca="false">IF($M515=0,"",INDEX(Classes!$B$6:$B$420,$M515))</f>
        <v>Year 10</v>
      </c>
      <c r="E515" s="61" t="str">
        <f aca="false">IF($M515=0,"",INDEX(Classes!$C$6:$C$420,$M515))</f>
        <v>ip</v>
      </c>
      <c r="F515" s="63" t="s">
        <v>107</v>
      </c>
      <c r="G515" s="63" t="s">
        <v>1015</v>
      </c>
      <c r="H515" s="60" t="s">
        <v>199</v>
      </c>
      <c r="I515" s="60" t="s">
        <v>200</v>
      </c>
      <c r="J515" s="63" t="n">
        <v>2</v>
      </c>
      <c r="K515" s="61" t="str">
        <f aca="false">IF($P515=0,"",IF($F515="Baseline","— Baseline",IF($O515=0,"No result",IF($N515=0,"No Start (attainment only)",IF(OR($N515=1,$O515=1),"U – needs rule",INDEX(MxBody,MATCH($I515,MxCurr,0),MATCH($H515,MxStart,0)))))))</f>
        <v>Better</v>
      </c>
      <c r="L515" s="62" t="str">
        <f aca="false">IF(COUNTA($A515,$F515,$G515,$H515,$I515,$J515)=0,"",IF($M515=0,"✖ كود الصف غير موجود",IF(ISNA(MATCH($F515,Lists!$A$2:$A$5,0)),"✖ الفترة غير صحيحة",IF(ISNA(MATCH($G515,Lists!$B$2:$B$7,0)),"✖ المجموعة غير صحيحة",IF(NOT(OR($H515="",$N515&gt;0)),"✖ Start غير صحيح",IF(NOT(OR($I515="",$I515="NR",$O515&gt;0)),"✖ Current غير صحيح",IF(NOT(IF(ISNUMBER($J515),AND($J515&gt;=0,$J515=INT($J515)),FALSE())),"✖ العدد يجب أن يكون صحيحًا ≥ 0",IF(AND($F515="Baseline",$H515&lt;&gt;""),"⚠ Baseline: Start لا يدخل في التقدم",IF($K515="No Start (attainment only)","ℹ تحصيل فقط (بدون Start)",IF($K515="U – needs rule","ℹ حالة U تحتاج قاعدة معتمدة",IF($K515="No result","ℹ بدون نتيجة (يُستبعد من التحصيل)","OK")))))))))))</f>
        <v>OK</v>
      </c>
      <c r="M515" s="64" t="n">
        <f aca="false">IF($A515="",0,IFERROR(MATCH($A515,Classes!$A$6:$A$420,0),0))</f>
        <v>301</v>
      </c>
      <c r="N515" s="64" t="n">
        <f aca="false">IF($H515="",0,IFERROR(MATCH($H515,GradeList,0),0))</f>
        <v>4</v>
      </c>
      <c r="O515" s="64" t="n">
        <f aca="false">IF(OR($I515="",$I515="NR"),0,IFERROR(MATCH($I515,GradeList,0),0))</f>
        <v>5</v>
      </c>
      <c r="P515" s="64" t="n">
        <f aca="false">IF(AND($M515&gt;0,ISNUMBER(MATCH($F515,Lists!$A$2:$A$5,0)),ISNUMBER(MATCH($G515,Lists!$B$2:$B$7,0)),OR($H515="",$N515&gt;0),OR($I515="",$I515="NR",$O515&gt;0),IF(ISNUMBER($J515),AND($J515&gt;=0,$J515=INT($J515)),FALSE())),$J515,0)</f>
        <v>2</v>
      </c>
      <c r="Q515" s="64" t="n">
        <f aca="false">IF(AND($P515&gt;0,$O515&gt;0),$P515,0)</f>
        <v>2</v>
      </c>
      <c r="R515" s="64" t="n">
        <f aca="false">IF(AND($Q515&gt;0,$O515&gt;=AtRank),$Q515,0)</f>
        <v>2</v>
      </c>
      <c r="S515" s="64" t="n">
        <f aca="false">IF(AND($Q515&gt;0,$O515&gt;=AboveRank),$Q515,0)</f>
        <v>0</v>
      </c>
      <c r="T515" s="64" t="n">
        <f aca="false">IF($K515="Less",$P515,0)</f>
        <v>0</v>
      </c>
      <c r="U515" s="64" t="n">
        <f aca="false">IF($K515="Expected",$P515,0)</f>
        <v>0</v>
      </c>
      <c r="V515" s="64" t="n">
        <f aca="false">IF($K515="Better",$P515,0)</f>
        <v>2</v>
      </c>
      <c r="W515" s="64" t="n">
        <f aca="false">IF($K515="U – needs rule",$P515,0)</f>
        <v>0</v>
      </c>
      <c r="X515" s="64" t="n">
        <f aca="false">IF($K515="No Start (attainment only)",$P515,0)</f>
        <v>0</v>
      </c>
    </row>
    <row r="516" customFormat="false" ht="15" hidden="false" customHeight="false" outlineLevel="0" collapsed="false">
      <c r="A516" s="60" t="s">
        <v>798</v>
      </c>
      <c r="B516" s="61" t="str">
        <f aca="false">IF($M516=0,"",INDEX(Classes!$E$6:$E$420,$M516))</f>
        <v>Arabic A</v>
      </c>
      <c r="C516" s="62" t="str">
        <f aca="false">IF($M516=0,"",INDEX(Classes!$H$6:$H$420,$M516))</f>
        <v>Mr Ahmed AbdelmonemElsye</v>
      </c>
      <c r="D516" s="61" t="str">
        <f aca="false">IF($M516=0,"",INDEX(Classes!$B$6:$B$420,$M516))</f>
        <v>Year 10</v>
      </c>
      <c r="E516" s="61" t="str">
        <f aca="false">IF($M516=0,"",INDEX(Classes!$C$6:$C$420,$M516))</f>
        <v>ip</v>
      </c>
      <c r="F516" s="63" t="s">
        <v>107</v>
      </c>
      <c r="G516" s="63" t="s">
        <v>1015</v>
      </c>
      <c r="H516" s="60" t="s">
        <v>199</v>
      </c>
      <c r="I516" s="60" t="s">
        <v>199</v>
      </c>
      <c r="J516" s="63" t="n">
        <v>1</v>
      </c>
      <c r="K516" s="61" t="str">
        <f aca="false">IF($P516=0,"",IF($F516="Baseline","— Baseline",IF($O516=0,"No result",IF($N516=0,"No Start (attainment only)",IF(OR($N516=1,$O516=1),"U – needs rule",INDEX(MxBody,MATCH($I516,MxCurr,0),MATCH($H516,MxStart,0)))))))</f>
        <v>Expected</v>
      </c>
      <c r="L516" s="62" t="str">
        <f aca="false">IF(COUNTA($A516,$F516,$G516,$H516,$I516,$J516)=0,"",IF($M516=0,"✖ كود الصف غير موجود",IF(ISNA(MATCH($F516,Lists!$A$2:$A$5,0)),"✖ الفترة غير صحيحة",IF(ISNA(MATCH($G516,Lists!$B$2:$B$7,0)),"✖ المجموعة غير صحيحة",IF(NOT(OR($H516="",$N516&gt;0)),"✖ Start غير صحيح",IF(NOT(OR($I516="",$I516="NR",$O516&gt;0)),"✖ Current غير صحيح",IF(NOT(IF(ISNUMBER($J516),AND($J516&gt;=0,$J516=INT($J516)),FALSE())),"✖ العدد يجب أن يكون صحيحًا ≥ 0",IF(AND($F516="Baseline",$H516&lt;&gt;""),"⚠ Baseline: Start لا يدخل في التقدم",IF($K516="No Start (attainment only)","ℹ تحصيل فقط (بدون Start)",IF($K516="U – needs rule","ℹ حالة U تحتاج قاعدة معتمدة",IF($K516="No result","ℹ بدون نتيجة (يُستبعد من التحصيل)","OK")))))))))))</f>
        <v>OK</v>
      </c>
      <c r="M516" s="64" t="n">
        <f aca="false">IF($A516="",0,IFERROR(MATCH($A516,Classes!$A$6:$A$420,0),0))</f>
        <v>301</v>
      </c>
      <c r="N516" s="64" t="n">
        <f aca="false">IF($H516="",0,IFERROR(MATCH($H516,GradeList,0),0))</f>
        <v>4</v>
      </c>
      <c r="O516" s="64" t="n">
        <f aca="false">IF(OR($I516="",$I516="NR"),0,IFERROR(MATCH($I516,GradeList,0),0))</f>
        <v>4</v>
      </c>
      <c r="P516" s="64" t="n">
        <f aca="false">IF(AND($M516&gt;0,ISNUMBER(MATCH($F516,Lists!$A$2:$A$5,0)),ISNUMBER(MATCH($G516,Lists!$B$2:$B$7,0)),OR($H516="",$N516&gt;0),OR($I516="",$I516="NR",$O516&gt;0),IF(ISNUMBER($J516),AND($J516&gt;=0,$J516=INT($J516)),FALSE())),$J516,0)</f>
        <v>1</v>
      </c>
      <c r="Q516" s="64" t="n">
        <f aca="false">IF(AND($P516&gt;0,$O516&gt;0),$P516,0)</f>
        <v>1</v>
      </c>
      <c r="R516" s="64" t="n">
        <f aca="false">IF(AND($Q516&gt;0,$O516&gt;=AtRank),$Q516,0)</f>
        <v>0</v>
      </c>
      <c r="S516" s="64" t="n">
        <f aca="false">IF(AND($Q516&gt;0,$O516&gt;=AboveRank),$Q516,0)</f>
        <v>0</v>
      </c>
      <c r="T516" s="64" t="n">
        <f aca="false">IF($K516="Less",$P516,0)</f>
        <v>0</v>
      </c>
      <c r="U516" s="64" t="n">
        <f aca="false">IF($K516="Expected",$P516,0)</f>
        <v>1</v>
      </c>
      <c r="V516" s="64" t="n">
        <f aca="false">IF($K516="Better",$P516,0)</f>
        <v>0</v>
      </c>
      <c r="W516" s="64" t="n">
        <f aca="false">IF($K516="U – needs rule",$P516,0)</f>
        <v>0</v>
      </c>
      <c r="X516" s="64" t="n">
        <f aca="false">IF($K516="No Start (attainment only)",$P516,0)</f>
        <v>0</v>
      </c>
    </row>
    <row r="517" customFormat="false" ht="15" hidden="false" customHeight="false" outlineLevel="0" collapsed="false">
      <c r="A517" s="60" t="s">
        <v>798</v>
      </c>
      <c r="B517" s="61" t="str">
        <f aca="false">IF($M517=0,"",INDEX(Classes!$E$6:$E$420,$M517))</f>
        <v>Arabic A</v>
      </c>
      <c r="C517" s="62" t="str">
        <f aca="false">IF($M517=0,"",INDEX(Classes!$H$6:$H$420,$M517))</f>
        <v>Mr Ahmed AbdelmonemElsye</v>
      </c>
      <c r="D517" s="61" t="str">
        <f aca="false">IF($M517=0,"",INDEX(Classes!$B$6:$B$420,$M517))</f>
        <v>Year 10</v>
      </c>
      <c r="E517" s="61" t="str">
        <f aca="false">IF($M517=0,"",INDEX(Classes!$C$6:$C$420,$M517))</f>
        <v>ip</v>
      </c>
      <c r="F517" s="63" t="s">
        <v>107</v>
      </c>
      <c r="G517" s="63" t="s">
        <v>1016</v>
      </c>
      <c r="H517" s="60"/>
      <c r="I517" s="60" t="s">
        <v>202</v>
      </c>
      <c r="J517" s="63" t="n">
        <v>1</v>
      </c>
      <c r="K517" s="61" t="str">
        <f aca="false">IF($P517=0,"",IF($F517="Baseline","— Baseline",IF($O517=0,"No result",IF($N517=0,"No Start (attainment only)",IF(OR($N517=1,$O517=1),"U – needs rule",INDEX(MxBody,MATCH($I517,MxCurr,0),MATCH($H517,MxStart,0)))))))</f>
        <v>No Start (attainment only)</v>
      </c>
      <c r="L517" s="62" t="str">
        <f aca="false">IF(COUNTA($A517,$F517,$G517,$H517,$I517,$J517)=0,"",IF($M517=0,"✖ كود الصف غير موجود",IF(ISNA(MATCH($F517,Lists!$A$2:$A$5,0)),"✖ الفترة غير صحيحة",IF(ISNA(MATCH($G517,Lists!$B$2:$B$7,0)),"✖ المجموعة غير صحيحة",IF(NOT(OR($H517="",$N517&gt;0)),"✖ Start غير صحيح",IF(NOT(OR($I517="",$I517="NR",$O517&gt;0)),"✖ Current غير صحيح",IF(NOT(IF(ISNUMBER($J517),AND($J517&gt;=0,$J517=INT($J517)),FALSE())),"✖ العدد يجب أن يكون صحيحًا ≥ 0",IF(AND($F517="Baseline",$H517&lt;&gt;""),"⚠ Baseline: Start لا يدخل في التقدم",IF($K517="No Start (attainment only)","ℹ تحصيل فقط (بدون Start)",IF($K517="U – needs rule","ℹ حالة U تحتاج قاعدة معتمدة",IF($K517="No result","ℹ بدون نتيجة (يُستبعد من التحصيل)","OK")))))))))))</f>
        <v>ℹ تحصيل فقط (بدون Start)</v>
      </c>
      <c r="M517" s="64" t="n">
        <f aca="false">IF($A517="",0,IFERROR(MATCH($A517,Classes!$A$6:$A$420,0),0))</f>
        <v>301</v>
      </c>
      <c r="N517" s="64" t="n">
        <f aca="false">IF($H517="",0,IFERROR(MATCH($H517,GradeList,0),0))</f>
        <v>0</v>
      </c>
      <c r="O517" s="64" t="n">
        <f aca="false">IF(OR($I517="",$I517="NR"),0,IFERROR(MATCH($I517,GradeList,0),0))</f>
        <v>7</v>
      </c>
      <c r="P517" s="64" t="n">
        <f aca="false">IF(AND($M517&gt;0,ISNUMBER(MATCH($F517,Lists!$A$2:$A$5,0)),ISNUMBER(MATCH($G517,Lists!$B$2:$B$7,0)),OR($H517="",$N517&gt;0),OR($I517="",$I517="NR",$O517&gt;0),IF(ISNUMBER($J517),AND($J517&gt;=0,$J517=INT($J517)),FALSE())),$J517,0)</f>
        <v>1</v>
      </c>
      <c r="Q517" s="64" t="n">
        <f aca="false">IF(AND($P517&gt;0,$O517&gt;0),$P517,0)</f>
        <v>1</v>
      </c>
      <c r="R517" s="64" t="n">
        <f aca="false">IF(AND($Q517&gt;0,$O517&gt;=AtRank),$Q517,0)</f>
        <v>1</v>
      </c>
      <c r="S517" s="64" t="n">
        <f aca="false">IF(AND($Q517&gt;0,$O517&gt;=AboveRank),$Q517,0)</f>
        <v>1</v>
      </c>
      <c r="T517" s="64" t="n">
        <f aca="false">IF($K517="Less",$P517,0)</f>
        <v>0</v>
      </c>
      <c r="U517" s="64" t="n">
        <f aca="false">IF($K517="Expected",$P517,0)</f>
        <v>0</v>
      </c>
      <c r="V517" s="64" t="n">
        <f aca="false">IF($K517="Better",$P517,0)</f>
        <v>0</v>
      </c>
      <c r="W517" s="64" t="n">
        <f aca="false">IF($K517="U – needs rule",$P517,0)</f>
        <v>0</v>
      </c>
      <c r="X517" s="64" t="n">
        <f aca="false">IF($K517="No Start (attainment only)",$P517,0)</f>
        <v>1</v>
      </c>
    </row>
    <row r="518" customFormat="false" ht="15" hidden="false" customHeight="false" outlineLevel="0" collapsed="false">
      <c r="A518" s="60" t="s">
        <v>798</v>
      </c>
      <c r="B518" s="61" t="str">
        <f aca="false">IF($M518=0,"",INDEX(Classes!$E$6:$E$420,$M518))</f>
        <v>Arabic A</v>
      </c>
      <c r="C518" s="62" t="str">
        <f aca="false">IF($M518=0,"",INDEX(Classes!$H$6:$H$420,$M518))</f>
        <v>Mr Ahmed AbdelmonemElsye</v>
      </c>
      <c r="D518" s="61" t="str">
        <f aca="false">IF($M518=0,"",INDEX(Classes!$B$6:$B$420,$M518))</f>
        <v>Year 10</v>
      </c>
      <c r="E518" s="61" t="str">
        <f aca="false">IF($M518=0,"",INDEX(Classes!$C$6:$C$420,$M518))</f>
        <v>ip</v>
      </c>
      <c r="F518" s="63" t="s">
        <v>107</v>
      </c>
      <c r="G518" s="63" t="s">
        <v>1016</v>
      </c>
      <c r="H518" s="60" t="s">
        <v>202</v>
      </c>
      <c r="I518" s="60" t="s">
        <v>203</v>
      </c>
      <c r="J518" s="63" t="n">
        <v>1</v>
      </c>
      <c r="K518" s="61" t="str">
        <f aca="false">IF($P518=0,"",IF($F518="Baseline","— Baseline",IF($O518=0,"No result",IF($N518=0,"No Start (attainment only)",IF(OR($N518=1,$O518=1),"U – needs rule",INDEX(MxBody,MATCH($I518,MxCurr,0),MATCH($H518,MxStart,0)))))))</f>
        <v>Better</v>
      </c>
      <c r="L518" s="62" t="str">
        <f aca="false">IF(COUNTA($A518,$F518,$G518,$H518,$I518,$J518)=0,"",IF($M518=0,"✖ كود الصف غير موجود",IF(ISNA(MATCH($F518,Lists!$A$2:$A$5,0)),"✖ الفترة غير صحيحة",IF(ISNA(MATCH($G518,Lists!$B$2:$B$7,0)),"✖ المجموعة غير صحيحة",IF(NOT(OR($H518="",$N518&gt;0)),"✖ Start غير صحيح",IF(NOT(OR($I518="",$I518="NR",$O518&gt;0)),"✖ Current غير صحيح",IF(NOT(IF(ISNUMBER($J518),AND($J518&gt;=0,$J518=INT($J518)),FALSE())),"✖ العدد يجب أن يكون صحيحًا ≥ 0",IF(AND($F518="Baseline",$H518&lt;&gt;""),"⚠ Baseline: Start لا يدخل في التقدم",IF($K518="No Start (attainment only)","ℹ تحصيل فقط (بدون Start)",IF($K518="U – needs rule","ℹ حالة U تحتاج قاعدة معتمدة",IF($K518="No result","ℹ بدون نتيجة (يُستبعد من التحصيل)","OK")))))))))))</f>
        <v>OK</v>
      </c>
      <c r="M518" s="64" t="n">
        <f aca="false">IF($A518="",0,IFERROR(MATCH($A518,Classes!$A$6:$A$420,0),0))</f>
        <v>301</v>
      </c>
      <c r="N518" s="64" t="n">
        <f aca="false">IF($H518="",0,IFERROR(MATCH($H518,GradeList,0),0))</f>
        <v>7</v>
      </c>
      <c r="O518" s="64" t="n">
        <f aca="false">IF(OR($I518="",$I518="NR"),0,IFERROR(MATCH($I518,GradeList,0),0))</f>
        <v>8</v>
      </c>
      <c r="P518" s="64" t="n">
        <f aca="false">IF(AND($M518&gt;0,ISNUMBER(MATCH($F518,Lists!$A$2:$A$5,0)),ISNUMBER(MATCH($G518,Lists!$B$2:$B$7,0)),OR($H518="",$N518&gt;0),OR($I518="",$I518="NR",$O518&gt;0),IF(ISNUMBER($J518),AND($J518&gt;=0,$J518=INT($J518)),FALSE())),$J518,0)</f>
        <v>1</v>
      </c>
      <c r="Q518" s="64" t="n">
        <f aca="false">IF(AND($P518&gt;0,$O518&gt;0),$P518,0)</f>
        <v>1</v>
      </c>
      <c r="R518" s="64" t="n">
        <f aca="false">IF(AND($Q518&gt;0,$O518&gt;=AtRank),$Q518,0)</f>
        <v>1</v>
      </c>
      <c r="S518" s="64" t="n">
        <f aca="false">IF(AND($Q518&gt;0,$O518&gt;=AboveRank),$Q518,0)</f>
        <v>1</v>
      </c>
      <c r="T518" s="64" t="n">
        <f aca="false">IF($K518="Less",$P518,0)</f>
        <v>0</v>
      </c>
      <c r="U518" s="64" t="n">
        <f aca="false">IF($K518="Expected",$P518,0)</f>
        <v>0</v>
      </c>
      <c r="V518" s="64" t="n">
        <f aca="false">IF($K518="Better",$P518,0)</f>
        <v>1</v>
      </c>
      <c r="W518" s="64" t="n">
        <f aca="false">IF($K518="U – needs rule",$P518,0)</f>
        <v>0</v>
      </c>
      <c r="X518" s="64" t="n">
        <f aca="false">IF($K518="No Start (attainment only)",$P518,0)</f>
        <v>0</v>
      </c>
    </row>
    <row r="519" customFormat="false" ht="15" hidden="false" customHeight="false" outlineLevel="0" collapsed="false">
      <c r="A519" s="60" t="s">
        <v>798</v>
      </c>
      <c r="B519" s="61" t="str">
        <f aca="false">IF($M519=0,"",INDEX(Classes!$E$6:$E$420,$M519))</f>
        <v>Arabic A</v>
      </c>
      <c r="C519" s="62" t="str">
        <f aca="false">IF($M519=0,"",INDEX(Classes!$H$6:$H$420,$M519))</f>
        <v>Mr Ahmed AbdelmonemElsye</v>
      </c>
      <c r="D519" s="61" t="str">
        <f aca="false">IF($M519=0,"",INDEX(Classes!$B$6:$B$420,$M519))</f>
        <v>Year 10</v>
      </c>
      <c r="E519" s="61" t="str">
        <f aca="false">IF($M519=0,"",INDEX(Classes!$C$6:$C$420,$M519))</f>
        <v>ip</v>
      </c>
      <c r="F519" s="63" t="s">
        <v>107</v>
      </c>
      <c r="G519" s="63" t="s">
        <v>1016</v>
      </c>
      <c r="H519" s="60" t="s">
        <v>200</v>
      </c>
      <c r="I519" s="60" t="s">
        <v>200</v>
      </c>
      <c r="J519" s="63" t="n">
        <v>1</v>
      </c>
      <c r="K519" s="61" t="str">
        <f aca="false">IF($P519=0,"",IF($F519="Baseline","— Baseline",IF($O519=0,"No result",IF($N519=0,"No Start (attainment only)",IF(OR($N519=1,$O519=1),"U – needs rule",INDEX(MxBody,MATCH($I519,MxCurr,0),MATCH($H519,MxStart,0)))))))</f>
        <v>Expected</v>
      </c>
      <c r="L519" s="62" t="str">
        <f aca="false">IF(COUNTA($A519,$F519,$G519,$H519,$I519,$J519)=0,"",IF($M519=0,"✖ كود الصف غير موجود",IF(ISNA(MATCH($F519,Lists!$A$2:$A$5,0)),"✖ الفترة غير صحيحة",IF(ISNA(MATCH($G519,Lists!$B$2:$B$7,0)),"✖ المجموعة غير صحيحة",IF(NOT(OR($H519="",$N519&gt;0)),"✖ Start غير صحيح",IF(NOT(OR($I519="",$I519="NR",$O519&gt;0)),"✖ Current غير صحيح",IF(NOT(IF(ISNUMBER($J519),AND($J519&gt;=0,$J519=INT($J519)),FALSE())),"✖ العدد يجب أن يكون صحيحًا ≥ 0",IF(AND($F519="Baseline",$H519&lt;&gt;""),"⚠ Baseline: Start لا يدخل في التقدم",IF($K519="No Start (attainment only)","ℹ تحصيل فقط (بدون Start)",IF($K519="U – needs rule","ℹ حالة U تحتاج قاعدة معتمدة",IF($K519="No result","ℹ بدون نتيجة (يُستبعد من التحصيل)","OK")))))))))))</f>
        <v>OK</v>
      </c>
      <c r="M519" s="64" t="n">
        <f aca="false">IF($A519="",0,IFERROR(MATCH($A519,Classes!$A$6:$A$420,0),0))</f>
        <v>301</v>
      </c>
      <c r="N519" s="64" t="n">
        <f aca="false">IF($H519="",0,IFERROR(MATCH($H519,GradeList,0),0))</f>
        <v>5</v>
      </c>
      <c r="O519" s="64" t="n">
        <f aca="false">IF(OR($I519="",$I519="NR"),0,IFERROR(MATCH($I519,GradeList,0),0))</f>
        <v>5</v>
      </c>
      <c r="P519" s="64" t="n">
        <f aca="false">IF(AND($M519&gt;0,ISNUMBER(MATCH($F519,Lists!$A$2:$A$5,0)),ISNUMBER(MATCH($G519,Lists!$B$2:$B$7,0)),OR($H519="",$N519&gt;0),OR($I519="",$I519="NR",$O519&gt;0),IF(ISNUMBER($J519),AND($J519&gt;=0,$J519=INT($J519)),FALSE())),$J519,0)</f>
        <v>1</v>
      </c>
      <c r="Q519" s="64" t="n">
        <f aca="false">IF(AND($P519&gt;0,$O519&gt;0),$P519,0)</f>
        <v>1</v>
      </c>
      <c r="R519" s="64" t="n">
        <f aca="false">IF(AND($Q519&gt;0,$O519&gt;=AtRank),$Q519,0)</f>
        <v>1</v>
      </c>
      <c r="S519" s="64" t="n">
        <f aca="false">IF(AND($Q519&gt;0,$O519&gt;=AboveRank),$Q519,0)</f>
        <v>0</v>
      </c>
      <c r="T519" s="64" t="n">
        <f aca="false">IF($K519="Less",$P519,0)</f>
        <v>0</v>
      </c>
      <c r="U519" s="64" t="n">
        <f aca="false">IF($K519="Expected",$P519,0)</f>
        <v>1</v>
      </c>
      <c r="V519" s="64" t="n">
        <f aca="false">IF($K519="Better",$P519,0)</f>
        <v>0</v>
      </c>
      <c r="W519" s="64" t="n">
        <f aca="false">IF($K519="U – needs rule",$P519,0)</f>
        <v>0</v>
      </c>
      <c r="X519" s="64" t="n">
        <f aca="false">IF($K519="No Start (attainment only)",$P519,0)</f>
        <v>0</v>
      </c>
    </row>
    <row r="520" customFormat="false" ht="15" hidden="false" customHeight="false" outlineLevel="0" collapsed="false">
      <c r="A520" s="60" t="s">
        <v>798</v>
      </c>
      <c r="B520" s="61" t="str">
        <f aca="false">IF($M520=0,"",INDEX(Classes!$E$6:$E$420,$M520))</f>
        <v>Arabic A</v>
      </c>
      <c r="C520" s="62" t="str">
        <f aca="false">IF($M520=0,"",INDEX(Classes!$H$6:$H$420,$M520))</f>
        <v>Mr Ahmed AbdelmonemElsye</v>
      </c>
      <c r="D520" s="61" t="str">
        <f aca="false">IF($M520=0,"",INDEX(Classes!$B$6:$B$420,$M520))</f>
        <v>Year 10</v>
      </c>
      <c r="E520" s="61" t="str">
        <f aca="false">IF($M520=0,"",INDEX(Classes!$C$6:$C$420,$M520))</f>
        <v>ip</v>
      </c>
      <c r="F520" s="63" t="s">
        <v>107</v>
      </c>
      <c r="G520" s="63" t="s">
        <v>1016</v>
      </c>
      <c r="H520" s="60" t="s">
        <v>200</v>
      </c>
      <c r="I520" s="60" t="s">
        <v>196</v>
      </c>
      <c r="J520" s="63" t="n">
        <v>1</v>
      </c>
      <c r="K520" s="61" t="str">
        <f aca="false">IF($P520=0,"",IF($F520="Baseline","— Baseline",IF($O520=0,"No result",IF($N520=0,"No Start (attainment only)",IF(OR($N520=1,$O520=1),"U – needs rule",INDEX(MxBody,MATCH($I520,MxCurr,0),MATCH($H520,MxStart,0)))))))</f>
        <v>U – needs rule</v>
      </c>
      <c r="L520" s="62" t="str">
        <f aca="false">IF(COUNTA($A520,$F520,$G520,$H520,$I520,$J520)=0,"",IF($M520=0,"✖ كود الصف غير موجود",IF(ISNA(MATCH($F520,Lists!$A$2:$A$5,0)),"✖ الفترة غير صحيحة",IF(ISNA(MATCH($G520,Lists!$B$2:$B$7,0)),"✖ المجموعة غير صحيحة",IF(NOT(OR($H520="",$N520&gt;0)),"✖ Start غير صحيح",IF(NOT(OR($I520="",$I520="NR",$O520&gt;0)),"✖ Current غير صحيح",IF(NOT(IF(ISNUMBER($J520),AND($J520&gt;=0,$J520=INT($J520)),FALSE())),"✖ العدد يجب أن يكون صحيحًا ≥ 0",IF(AND($F520="Baseline",$H520&lt;&gt;""),"⚠ Baseline: Start لا يدخل في التقدم",IF($K520="No Start (attainment only)","ℹ تحصيل فقط (بدون Start)",IF($K520="U – needs rule","ℹ حالة U تحتاج قاعدة معتمدة",IF($K520="No result","ℹ بدون نتيجة (يُستبعد من التحصيل)","OK")))))))))))</f>
        <v>ℹ حالة U تحتاج قاعدة معتمدة</v>
      </c>
      <c r="M520" s="64" t="n">
        <f aca="false">IF($A520="",0,IFERROR(MATCH($A520,Classes!$A$6:$A$420,0),0))</f>
        <v>301</v>
      </c>
      <c r="N520" s="64" t="n">
        <f aca="false">IF($H520="",0,IFERROR(MATCH($H520,GradeList,0),0))</f>
        <v>5</v>
      </c>
      <c r="O520" s="64" t="n">
        <f aca="false">IF(OR($I520="",$I520="NR"),0,IFERROR(MATCH($I520,GradeList,0),0))</f>
        <v>1</v>
      </c>
      <c r="P520" s="64" t="n">
        <f aca="false">IF(AND($M520&gt;0,ISNUMBER(MATCH($F520,Lists!$A$2:$A$5,0)),ISNUMBER(MATCH($G520,Lists!$B$2:$B$7,0)),OR($H520="",$N520&gt;0),OR($I520="",$I520="NR",$O520&gt;0),IF(ISNUMBER($J520),AND($J520&gt;=0,$J520=INT($J520)),FALSE())),$J520,0)</f>
        <v>1</v>
      </c>
      <c r="Q520" s="64" t="n">
        <f aca="false">IF(AND($P520&gt;0,$O520&gt;0),$P520,0)</f>
        <v>1</v>
      </c>
      <c r="R520" s="64" t="n">
        <f aca="false">IF(AND($Q520&gt;0,$O520&gt;=AtRank),$Q520,0)</f>
        <v>0</v>
      </c>
      <c r="S520" s="64" t="n">
        <f aca="false">IF(AND($Q520&gt;0,$O520&gt;=AboveRank),$Q520,0)</f>
        <v>0</v>
      </c>
      <c r="T520" s="64" t="n">
        <f aca="false">IF($K520="Less",$P520,0)</f>
        <v>0</v>
      </c>
      <c r="U520" s="64" t="n">
        <f aca="false">IF($K520="Expected",$P520,0)</f>
        <v>0</v>
      </c>
      <c r="V520" s="64" t="n">
        <f aca="false">IF($K520="Better",$P520,0)</f>
        <v>0</v>
      </c>
      <c r="W520" s="64" t="n">
        <f aca="false">IF($K520="U – needs rule",$P520,0)</f>
        <v>1</v>
      </c>
      <c r="X520" s="64" t="n">
        <f aca="false">IF($K520="No Start (attainment only)",$P520,0)</f>
        <v>0</v>
      </c>
    </row>
    <row r="521" customFormat="false" ht="15" hidden="false" customHeight="false" outlineLevel="0" collapsed="false">
      <c r="A521" s="60" t="s">
        <v>798</v>
      </c>
      <c r="B521" s="61" t="str">
        <f aca="false">IF($M521=0,"",INDEX(Classes!$E$6:$E$420,$M521))</f>
        <v>Arabic A</v>
      </c>
      <c r="C521" s="62" t="str">
        <f aca="false">IF($M521=0,"",INDEX(Classes!$H$6:$H$420,$M521))</f>
        <v>Mr Ahmed AbdelmonemElsye</v>
      </c>
      <c r="D521" s="61" t="str">
        <f aca="false">IF($M521=0,"",INDEX(Classes!$B$6:$B$420,$M521))</f>
        <v>Year 10</v>
      </c>
      <c r="E521" s="61" t="str">
        <f aca="false">IF($M521=0,"",INDEX(Classes!$C$6:$C$420,$M521))</f>
        <v>ip</v>
      </c>
      <c r="F521" s="63" t="s">
        <v>107</v>
      </c>
      <c r="G521" s="63" t="s">
        <v>1016</v>
      </c>
      <c r="H521" s="60" t="s">
        <v>201</v>
      </c>
      <c r="I521" s="60" t="s">
        <v>202</v>
      </c>
      <c r="J521" s="63" t="n">
        <v>1</v>
      </c>
      <c r="K521" s="61" t="str">
        <f aca="false">IF($P521=0,"",IF($F521="Baseline","— Baseline",IF($O521=0,"No result",IF($N521=0,"No Start (attainment only)",IF(OR($N521=1,$O521=1),"U – needs rule",INDEX(MxBody,MATCH($I521,MxCurr,0),MATCH($H521,MxStart,0)))))))</f>
        <v>Better</v>
      </c>
      <c r="L521" s="62" t="str">
        <f aca="false">IF(COUNTA($A521,$F521,$G521,$H521,$I521,$J521)=0,"",IF($M521=0,"✖ كود الصف غير موجود",IF(ISNA(MATCH($F521,Lists!$A$2:$A$5,0)),"✖ الفترة غير صحيحة",IF(ISNA(MATCH($G521,Lists!$B$2:$B$7,0)),"✖ المجموعة غير صحيحة",IF(NOT(OR($H521="",$N521&gt;0)),"✖ Start غير صحيح",IF(NOT(OR($I521="",$I521="NR",$O521&gt;0)),"✖ Current غير صحيح",IF(NOT(IF(ISNUMBER($J521),AND($J521&gt;=0,$J521=INT($J521)),FALSE())),"✖ العدد يجب أن يكون صحيحًا ≥ 0",IF(AND($F521="Baseline",$H521&lt;&gt;""),"⚠ Baseline: Start لا يدخل في التقدم",IF($K521="No Start (attainment only)","ℹ تحصيل فقط (بدون Start)",IF($K521="U – needs rule","ℹ حالة U تحتاج قاعدة معتمدة",IF($K521="No result","ℹ بدون نتيجة (يُستبعد من التحصيل)","OK")))))))))))</f>
        <v>OK</v>
      </c>
      <c r="M521" s="64" t="n">
        <f aca="false">IF($A521="",0,IFERROR(MATCH($A521,Classes!$A$6:$A$420,0),0))</f>
        <v>301</v>
      </c>
      <c r="N521" s="64" t="n">
        <f aca="false">IF($H521="",0,IFERROR(MATCH($H521,GradeList,0),0))</f>
        <v>6</v>
      </c>
      <c r="O521" s="64" t="n">
        <f aca="false">IF(OR($I521="",$I521="NR"),0,IFERROR(MATCH($I521,GradeList,0),0))</f>
        <v>7</v>
      </c>
      <c r="P521" s="64" t="n">
        <f aca="false">IF(AND($M521&gt;0,ISNUMBER(MATCH($F521,Lists!$A$2:$A$5,0)),ISNUMBER(MATCH($G521,Lists!$B$2:$B$7,0)),OR($H521="",$N521&gt;0),OR($I521="",$I521="NR",$O521&gt;0),IF(ISNUMBER($J521),AND($J521&gt;=0,$J521=INT($J521)),FALSE())),$J521,0)</f>
        <v>1</v>
      </c>
      <c r="Q521" s="64" t="n">
        <f aca="false">IF(AND($P521&gt;0,$O521&gt;0),$P521,0)</f>
        <v>1</v>
      </c>
      <c r="R521" s="64" t="n">
        <f aca="false">IF(AND($Q521&gt;0,$O521&gt;=AtRank),$Q521,0)</f>
        <v>1</v>
      </c>
      <c r="S521" s="64" t="n">
        <f aca="false">IF(AND($Q521&gt;0,$O521&gt;=AboveRank),$Q521,0)</f>
        <v>1</v>
      </c>
      <c r="T521" s="64" t="n">
        <f aca="false">IF($K521="Less",$P521,0)</f>
        <v>0</v>
      </c>
      <c r="U521" s="64" t="n">
        <f aca="false">IF($K521="Expected",$P521,0)</f>
        <v>0</v>
      </c>
      <c r="V521" s="64" t="n">
        <f aca="false">IF($K521="Better",$P521,0)</f>
        <v>1</v>
      </c>
      <c r="W521" s="64" t="n">
        <f aca="false">IF($K521="U – needs rule",$P521,0)</f>
        <v>0</v>
      </c>
      <c r="X521" s="64" t="n">
        <f aca="false">IF($K521="No Start (attainment only)",$P521,0)</f>
        <v>0</v>
      </c>
    </row>
    <row r="522" customFormat="false" ht="15" hidden="false" customHeight="false" outlineLevel="0" collapsed="false">
      <c r="A522" s="60" t="s">
        <v>798</v>
      </c>
      <c r="B522" s="61" t="str">
        <f aca="false">IF($M522=0,"",INDEX(Classes!$E$6:$E$420,$M522))</f>
        <v>Arabic A</v>
      </c>
      <c r="C522" s="62" t="str">
        <f aca="false">IF($M522=0,"",INDEX(Classes!$H$6:$H$420,$M522))</f>
        <v>Mr Ahmed AbdelmonemElsye</v>
      </c>
      <c r="D522" s="61" t="str">
        <f aca="false">IF($M522=0,"",INDEX(Classes!$B$6:$B$420,$M522))</f>
        <v>Year 10</v>
      </c>
      <c r="E522" s="61" t="str">
        <f aca="false">IF($M522=0,"",INDEX(Classes!$C$6:$C$420,$M522))</f>
        <v>ip</v>
      </c>
      <c r="F522" s="63" t="s">
        <v>107</v>
      </c>
      <c r="G522" s="63" t="s">
        <v>1016</v>
      </c>
      <c r="H522" s="60" t="s">
        <v>201</v>
      </c>
      <c r="I522" s="60" t="s">
        <v>203</v>
      </c>
      <c r="J522" s="63" t="n">
        <v>1</v>
      </c>
      <c r="K522" s="61" t="str">
        <f aca="false">IF($P522=0,"",IF($F522="Baseline","— Baseline",IF($O522=0,"No result",IF($N522=0,"No Start (attainment only)",IF(OR($N522=1,$O522=1),"U – needs rule",INDEX(MxBody,MATCH($I522,MxCurr,0),MATCH($H522,MxStart,0)))))))</f>
        <v>Better</v>
      </c>
      <c r="L522" s="62" t="str">
        <f aca="false">IF(COUNTA($A522,$F522,$G522,$H522,$I522,$J522)=0,"",IF($M522=0,"✖ كود الصف غير موجود",IF(ISNA(MATCH($F522,Lists!$A$2:$A$5,0)),"✖ الفترة غير صحيحة",IF(ISNA(MATCH($G522,Lists!$B$2:$B$7,0)),"✖ المجموعة غير صحيحة",IF(NOT(OR($H522="",$N522&gt;0)),"✖ Start غير صحيح",IF(NOT(OR($I522="",$I522="NR",$O522&gt;0)),"✖ Current غير صحيح",IF(NOT(IF(ISNUMBER($J522),AND($J522&gt;=0,$J522=INT($J522)),FALSE())),"✖ العدد يجب أن يكون صحيحًا ≥ 0",IF(AND($F522="Baseline",$H522&lt;&gt;""),"⚠ Baseline: Start لا يدخل في التقدم",IF($K522="No Start (attainment only)","ℹ تحصيل فقط (بدون Start)",IF($K522="U – needs rule","ℹ حالة U تحتاج قاعدة معتمدة",IF($K522="No result","ℹ بدون نتيجة (يُستبعد من التحصيل)","OK")))))))))))</f>
        <v>OK</v>
      </c>
      <c r="M522" s="64" t="n">
        <f aca="false">IF($A522="",0,IFERROR(MATCH($A522,Classes!$A$6:$A$420,0),0))</f>
        <v>301</v>
      </c>
      <c r="N522" s="64" t="n">
        <f aca="false">IF($H522="",0,IFERROR(MATCH($H522,GradeList,0),0))</f>
        <v>6</v>
      </c>
      <c r="O522" s="64" t="n">
        <f aca="false">IF(OR($I522="",$I522="NR"),0,IFERROR(MATCH($I522,GradeList,0),0))</f>
        <v>8</v>
      </c>
      <c r="P522" s="64" t="n">
        <f aca="false">IF(AND($M522&gt;0,ISNUMBER(MATCH($F522,Lists!$A$2:$A$5,0)),ISNUMBER(MATCH($G522,Lists!$B$2:$B$7,0)),OR($H522="",$N522&gt;0),OR($I522="",$I522="NR",$O522&gt;0),IF(ISNUMBER($J522),AND($J522&gt;=0,$J522=INT($J522)),FALSE())),$J522,0)</f>
        <v>1</v>
      </c>
      <c r="Q522" s="64" t="n">
        <f aca="false">IF(AND($P522&gt;0,$O522&gt;0),$P522,0)</f>
        <v>1</v>
      </c>
      <c r="R522" s="64" t="n">
        <f aca="false">IF(AND($Q522&gt;0,$O522&gt;=AtRank),$Q522,0)</f>
        <v>1</v>
      </c>
      <c r="S522" s="64" t="n">
        <f aca="false">IF(AND($Q522&gt;0,$O522&gt;=AboveRank),$Q522,0)</f>
        <v>1</v>
      </c>
      <c r="T522" s="64" t="n">
        <f aca="false">IF($K522="Less",$P522,0)</f>
        <v>0</v>
      </c>
      <c r="U522" s="64" t="n">
        <f aca="false">IF($K522="Expected",$P522,0)</f>
        <v>0</v>
      </c>
      <c r="V522" s="64" t="n">
        <f aca="false">IF($K522="Better",$P522,0)</f>
        <v>1</v>
      </c>
      <c r="W522" s="64" t="n">
        <f aca="false">IF($K522="U – needs rule",$P522,0)</f>
        <v>0</v>
      </c>
      <c r="X522" s="64" t="n">
        <f aca="false">IF($K522="No Start (attainment only)",$P522,0)</f>
        <v>0</v>
      </c>
    </row>
    <row r="523" customFormat="false" ht="15" hidden="false" customHeight="false" outlineLevel="0" collapsed="false">
      <c r="A523" s="60" t="s">
        <v>798</v>
      </c>
      <c r="B523" s="61" t="str">
        <f aca="false">IF($M523=0,"",INDEX(Classes!$E$6:$E$420,$M523))</f>
        <v>Arabic A</v>
      </c>
      <c r="C523" s="62" t="str">
        <f aca="false">IF($M523=0,"",INDEX(Classes!$H$6:$H$420,$M523))</f>
        <v>Mr Ahmed AbdelmonemElsye</v>
      </c>
      <c r="D523" s="61" t="str">
        <f aca="false">IF($M523=0,"",INDEX(Classes!$B$6:$B$420,$M523))</f>
        <v>Year 10</v>
      </c>
      <c r="E523" s="61" t="str">
        <f aca="false">IF($M523=0,"",INDEX(Classes!$C$6:$C$420,$M523))</f>
        <v>ip</v>
      </c>
      <c r="F523" s="63" t="s">
        <v>107</v>
      </c>
      <c r="G523" s="63" t="s">
        <v>1016</v>
      </c>
      <c r="H523" s="60" t="s">
        <v>201</v>
      </c>
      <c r="I523" s="60" t="s">
        <v>200</v>
      </c>
      <c r="J523" s="63" t="n">
        <v>1</v>
      </c>
      <c r="K523" s="61" t="str">
        <f aca="false">IF($P523=0,"",IF($F523="Baseline","— Baseline",IF($O523=0,"No result",IF($N523=0,"No Start (attainment only)",IF(OR($N523=1,$O523=1),"U – needs rule",INDEX(MxBody,MATCH($I523,MxCurr,0),MATCH($H523,MxStart,0)))))))</f>
        <v>Expected</v>
      </c>
      <c r="L523" s="62" t="str">
        <f aca="false">IF(COUNTA($A523,$F523,$G523,$H523,$I523,$J523)=0,"",IF($M523=0,"✖ كود الصف غير موجود",IF(ISNA(MATCH($F523,Lists!$A$2:$A$5,0)),"✖ الفترة غير صحيحة",IF(ISNA(MATCH($G523,Lists!$B$2:$B$7,0)),"✖ المجموعة غير صحيحة",IF(NOT(OR($H523="",$N523&gt;0)),"✖ Start غير صحيح",IF(NOT(OR($I523="",$I523="NR",$O523&gt;0)),"✖ Current غير صحيح",IF(NOT(IF(ISNUMBER($J523),AND($J523&gt;=0,$J523=INT($J523)),FALSE())),"✖ العدد يجب أن يكون صحيحًا ≥ 0",IF(AND($F523="Baseline",$H523&lt;&gt;""),"⚠ Baseline: Start لا يدخل في التقدم",IF($K523="No Start (attainment only)","ℹ تحصيل فقط (بدون Start)",IF($K523="U – needs rule","ℹ حالة U تحتاج قاعدة معتمدة",IF($K523="No result","ℹ بدون نتيجة (يُستبعد من التحصيل)","OK")))))))))))</f>
        <v>OK</v>
      </c>
      <c r="M523" s="64" t="n">
        <f aca="false">IF($A523="",0,IFERROR(MATCH($A523,Classes!$A$6:$A$420,0),0))</f>
        <v>301</v>
      </c>
      <c r="N523" s="64" t="n">
        <f aca="false">IF($H523="",0,IFERROR(MATCH($H523,GradeList,0),0))</f>
        <v>6</v>
      </c>
      <c r="O523" s="64" t="n">
        <f aca="false">IF(OR($I523="",$I523="NR"),0,IFERROR(MATCH($I523,GradeList,0),0))</f>
        <v>5</v>
      </c>
      <c r="P523" s="64" t="n">
        <f aca="false">IF(AND($M523&gt;0,ISNUMBER(MATCH($F523,Lists!$A$2:$A$5,0)),ISNUMBER(MATCH($G523,Lists!$B$2:$B$7,0)),OR($H523="",$N523&gt;0),OR($I523="",$I523="NR",$O523&gt;0),IF(ISNUMBER($J523),AND($J523&gt;=0,$J523=INT($J523)),FALSE())),$J523,0)</f>
        <v>1</v>
      </c>
      <c r="Q523" s="64" t="n">
        <f aca="false">IF(AND($P523&gt;0,$O523&gt;0),$P523,0)</f>
        <v>1</v>
      </c>
      <c r="R523" s="64" t="n">
        <f aca="false">IF(AND($Q523&gt;0,$O523&gt;=AtRank),$Q523,0)</f>
        <v>1</v>
      </c>
      <c r="S523" s="64" t="n">
        <f aca="false">IF(AND($Q523&gt;0,$O523&gt;=AboveRank),$Q523,0)</f>
        <v>0</v>
      </c>
      <c r="T523" s="64" t="n">
        <f aca="false">IF($K523="Less",$P523,0)</f>
        <v>0</v>
      </c>
      <c r="U523" s="64" t="n">
        <f aca="false">IF($K523="Expected",$P523,0)</f>
        <v>1</v>
      </c>
      <c r="V523" s="64" t="n">
        <f aca="false">IF($K523="Better",$P523,0)</f>
        <v>0</v>
      </c>
      <c r="W523" s="64" t="n">
        <f aca="false">IF($K523="U – needs rule",$P523,0)</f>
        <v>0</v>
      </c>
      <c r="X523" s="64" t="n">
        <f aca="false">IF($K523="No Start (attainment only)",$P523,0)</f>
        <v>0</v>
      </c>
    </row>
    <row r="524" customFormat="false" ht="15" hidden="false" customHeight="false" outlineLevel="0" collapsed="false">
      <c r="A524" s="60" t="s">
        <v>798</v>
      </c>
      <c r="B524" s="61" t="str">
        <f aca="false">IF($M524=0,"",INDEX(Classes!$E$6:$E$420,$M524))</f>
        <v>Arabic A</v>
      </c>
      <c r="C524" s="62" t="str">
        <f aca="false">IF($M524=0,"",INDEX(Classes!$H$6:$H$420,$M524))</f>
        <v>Mr Ahmed AbdelmonemElsye</v>
      </c>
      <c r="D524" s="61" t="str">
        <f aca="false">IF($M524=0,"",INDEX(Classes!$B$6:$B$420,$M524))</f>
        <v>Year 10</v>
      </c>
      <c r="E524" s="61" t="str">
        <f aca="false">IF($M524=0,"",INDEX(Classes!$C$6:$C$420,$M524))</f>
        <v>ip</v>
      </c>
      <c r="F524" s="63" t="s">
        <v>107</v>
      </c>
      <c r="G524" s="63" t="s">
        <v>1016</v>
      </c>
      <c r="H524" s="60" t="s">
        <v>201</v>
      </c>
      <c r="I524" s="60" t="s">
        <v>201</v>
      </c>
      <c r="J524" s="63" t="n">
        <v>3</v>
      </c>
      <c r="K524" s="61" t="str">
        <f aca="false">IF($P524=0,"",IF($F524="Baseline","— Baseline",IF($O524=0,"No result",IF($N524=0,"No Start (attainment only)",IF(OR($N524=1,$O524=1),"U – needs rule",INDEX(MxBody,MATCH($I524,MxCurr,0),MATCH($H524,MxStart,0)))))))</f>
        <v>Expected</v>
      </c>
      <c r="L524" s="62" t="str">
        <f aca="false">IF(COUNTA($A524,$F524,$G524,$H524,$I524,$J524)=0,"",IF($M524=0,"✖ كود الصف غير موجود",IF(ISNA(MATCH($F524,Lists!$A$2:$A$5,0)),"✖ الفترة غير صحيحة",IF(ISNA(MATCH($G524,Lists!$B$2:$B$7,0)),"✖ المجموعة غير صحيحة",IF(NOT(OR($H524="",$N524&gt;0)),"✖ Start غير صحيح",IF(NOT(OR($I524="",$I524="NR",$O524&gt;0)),"✖ Current غير صحيح",IF(NOT(IF(ISNUMBER($J524),AND($J524&gt;=0,$J524=INT($J524)),FALSE())),"✖ العدد يجب أن يكون صحيحًا ≥ 0",IF(AND($F524="Baseline",$H524&lt;&gt;""),"⚠ Baseline: Start لا يدخل في التقدم",IF($K524="No Start (attainment only)","ℹ تحصيل فقط (بدون Start)",IF($K524="U – needs rule","ℹ حالة U تحتاج قاعدة معتمدة",IF($K524="No result","ℹ بدون نتيجة (يُستبعد من التحصيل)","OK")))))))))))</f>
        <v>OK</v>
      </c>
      <c r="M524" s="64" t="n">
        <f aca="false">IF($A524="",0,IFERROR(MATCH($A524,Classes!$A$6:$A$420,0),0))</f>
        <v>301</v>
      </c>
      <c r="N524" s="64" t="n">
        <f aca="false">IF($H524="",0,IFERROR(MATCH($H524,GradeList,0),0))</f>
        <v>6</v>
      </c>
      <c r="O524" s="64" t="n">
        <f aca="false">IF(OR($I524="",$I524="NR"),0,IFERROR(MATCH($I524,GradeList,0),0))</f>
        <v>6</v>
      </c>
      <c r="P524" s="64" t="n">
        <f aca="false">IF(AND($M524&gt;0,ISNUMBER(MATCH($F524,Lists!$A$2:$A$5,0)),ISNUMBER(MATCH($G524,Lists!$B$2:$B$7,0)),OR($H524="",$N524&gt;0),OR($I524="",$I524="NR",$O524&gt;0),IF(ISNUMBER($J524),AND($J524&gt;=0,$J524=INT($J524)),FALSE())),$J524,0)</f>
        <v>3</v>
      </c>
      <c r="Q524" s="64" t="n">
        <f aca="false">IF(AND($P524&gt;0,$O524&gt;0),$P524,0)</f>
        <v>3</v>
      </c>
      <c r="R524" s="64" t="n">
        <f aca="false">IF(AND($Q524&gt;0,$O524&gt;=AtRank),$Q524,0)</f>
        <v>3</v>
      </c>
      <c r="S524" s="64" t="n">
        <f aca="false">IF(AND($Q524&gt;0,$O524&gt;=AboveRank),$Q524,0)</f>
        <v>0</v>
      </c>
      <c r="T524" s="64" t="n">
        <f aca="false">IF($K524="Less",$P524,0)</f>
        <v>0</v>
      </c>
      <c r="U524" s="64" t="n">
        <f aca="false">IF($K524="Expected",$P524,0)</f>
        <v>3</v>
      </c>
      <c r="V524" s="64" t="n">
        <f aca="false">IF($K524="Better",$P524,0)</f>
        <v>0</v>
      </c>
      <c r="W524" s="64" t="n">
        <f aca="false">IF($K524="U – needs rule",$P524,0)</f>
        <v>0</v>
      </c>
      <c r="X524" s="64" t="n">
        <f aca="false">IF($K524="No Start (attainment only)",$P524,0)</f>
        <v>0</v>
      </c>
    </row>
    <row r="525" customFormat="false" ht="15" hidden="false" customHeight="false" outlineLevel="0" collapsed="false">
      <c r="A525" s="60" t="s">
        <v>798</v>
      </c>
      <c r="B525" s="61" t="str">
        <f aca="false">IF($M525=0,"",INDEX(Classes!$E$6:$E$420,$M525))</f>
        <v>Arabic A</v>
      </c>
      <c r="C525" s="62" t="str">
        <f aca="false">IF($M525=0,"",INDEX(Classes!$H$6:$H$420,$M525))</f>
        <v>Mr Ahmed AbdelmonemElsye</v>
      </c>
      <c r="D525" s="61" t="str">
        <f aca="false">IF($M525=0,"",INDEX(Classes!$B$6:$B$420,$M525))</f>
        <v>Year 10</v>
      </c>
      <c r="E525" s="61" t="str">
        <f aca="false">IF($M525=0,"",INDEX(Classes!$C$6:$C$420,$M525))</f>
        <v>ip</v>
      </c>
      <c r="F525" s="63" t="s">
        <v>107</v>
      </c>
      <c r="G525" s="63" t="s">
        <v>1016</v>
      </c>
      <c r="H525" s="60" t="s">
        <v>199</v>
      </c>
      <c r="I525" s="60" t="s">
        <v>198</v>
      </c>
      <c r="J525" s="63" t="n">
        <v>1</v>
      </c>
      <c r="K525" s="61" t="str">
        <f aca="false">IF($P525=0,"",IF($F525="Baseline","— Baseline",IF($O525=0,"No result",IF($N525=0,"No Start (attainment only)",IF(OR($N525=1,$O525=1),"U – needs rule",INDEX(MxBody,MATCH($I525,MxCurr,0),MATCH($H525,MxStart,0)))))))</f>
        <v>Less</v>
      </c>
      <c r="L525" s="62" t="str">
        <f aca="false">IF(COUNTA($A525,$F525,$G525,$H525,$I525,$J525)=0,"",IF($M525=0,"✖ كود الصف غير موجود",IF(ISNA(MATCH($F525,Lists!$A$2:$A$5,0)),"✖ الفترة غير صحيحة",IF(ISNA(MATCH($G525,Lists!$B$2:$B$7,0)),"✖ المجموعة غير صحيحة",IF(NOT(OR($H525="",$N525&gt;0)),"✖ Start غير صحيح",IF(NOT(OR($I525="",$I525="NR",$O525&gt;0)),"✖ Current غير صحيح",IF(NOT(IF(ISNUMBER($J525),AND($J525&gt;=0,$J525=INT($J525)),FALSE())),"✖ العدد يجب أن يكون صحيحًا ≥ 0",IF(AND($F525="Baseline",$H525&lt;&gt;""),"⚠ Baseline: Start لا يدخل في التقدم",IF($K525="No Start (attainment only)","ℹ تحصيل فقط (بدون Start)",IF($K525="U – needs rule","ℹ حالة U تحتاج قاعدة معتمدة",IF($K525="No result","ℹ بدون نتيجة (يُستبعد من التحصيل)","OK")))))))))))</f>
        <v>OK</v>
      </c>
      <c r="M525" s="64" t="n">
        <f aca="false">IF($A525="",0,IFERROR(MATCH($A525,Classes!$A$6:$A$420,0),0))</f>
        <v>301</v>
      </c>
      <c r="N525" s="64" t="n">
        <f aca="false">IF($H525="",0,IFERROR(MATCH($H525,GradeList,0),0))</f>
        <v>4</v>
      </c>
      <c r="O525" s="64" t="n">
        <f aca="false">IF(OR($I525="",$I525="NR"),0,IFERROR(MATCH($I525,GradeList,0),0))</f>
        <v>3</v>
      </c>
      <c r="P525" s="64" t="n">
        <f aca="false">IF(AND($M525&gt;0,ISNUMBER(MATCH($F525,Lists!$A$2:$A$5,0)),ISNUMBER(MATCH($G525,Lists!$B$2:$B$7,0)),OR($H525="",$N525&gt;0),OR($I525="",$I525="NR",$O525&gt;0),IF(ISNUMBER($J525),AND($J525&gt;=0,$J525=INT($J525)),FALSE())),$J525,0)</f>
        <v>1</v>
      </c>
      <c r="Q525" s="64" t="n">
        <f aca="false">IF(AND($P525&gt;0,$O525&gt;0),$P525,0)</f>
        <v>1</v>
      </c>
      <c r="R525" s="64" t="n">
        <f aca="false">IF(AND($Q525&gt;0,$O525&gt;=AtRank),$Q525,0)</f>
        <v>0</v>
      </c>
      <c r="S525" s="64" t="n">
        <f aca="false">IF(AND($Q525&gt;0,$O525&gt;=AboveRank),$Q525,0)</f>
        <v>0</v>
      </c>
      <c r="T525" s="64" t="n">
        <f aca="false">IF($K525="Less",$P525,0)</f>
        <v>1</v>
      </c>
      <c r="U525" s="64" t="n">
        <f aca="false">IF($K525="Expected",$P525,0)</f>
        <v>0</v>
      </c>
      <c r="V525" s="64" t="n">
        <f aca="false">IF($K525="Better",$P525,0)</f>
        <v>0</v>
      </c>
      <c r="W525" s="64" t="n">
        <f aca="false">IF($K525="U – needs rule",$P525,0)</f>
        <v>0</v>
      </c>
      <c r="X525" s="64" t="n">
        <f aca="false">IF($K525="No Start (attainment only)",$P525,0)</f>
        <v>0</v>
      </c>
    </row>
    <row r="526" customFormat="false" ht="15" hidden="false" customHeight="false" outlineLevel="0" collapsed="false">
      <c r="A526" s="60" t="s">
        <v>798</v>
      </c>
      <c r="B526" s="61" t="str">
        <f aca="false">IF($M526=0,"",INDEX(Classes!$E$6:$E$420,$M526))</f>
        <v>Arabic A</v>
      </c>
      <c r="C526" s="62" t="str">
        <f aca="false">IF($M526=0,"",INDEX(Classes!$H$6:$H$420,$M526))</f>
        <v>Mr Ahmed AbdelmonemElsye</v>
      </c>
      <c r="D526" s="61" t="str">
        <f aca="false">IF($M526=0,"",INDEX(Classes!$B$6:$B$420,$M526))</f>
        <v>Year 10</v>
      </c>
      <c r="E526" s="61" t="str">
        <f aca="false">IF($M526=0,"",INDEX(Classes!$C$6:$C$420,$M526))</f>
        <v>ip</v>
      </c>
      <c r="F526" s="63" t="s">
        <v>107</v>
      </c>
      <c r="G526" s="63" t="s">
        <v>941</v>
      </c>
      <c r="H526" s="60" t="s">
        <v>200</v>
      </c>
      <c r="I526" s="60" t="s">
        <v>201</v>
      </c>
      <c r="J526" s="63" t="n">
        <v>1</v>
      </c>
      <c r="K526" s="61" t="str">
        <f aca="false">IF($P526=0,"",IF($F526="Baseline","— Baseline",IF($O526=0,"No result",IF($N526=0,"No Start (attainment only)",IF(OR($N526=1,$O526=1),"U – needs rule",INDEX(MxBody,MATCH($I526,MxCurr,0),MATCH($H526,MxStart,0)))))))</f>
        <v>Better</v>
      </c>
      <c r="L526" s="62" t="str">
        <f aca="false">IF(COUNTA($A526,$F526,$G526,$H526,$I526,$J526)=0,"",IF($M526=0,"✖ كود الصف غير موجود",IF(ISNA(MATCH($F526,Lists!$A$2:$A$5,0)),"✖ الفترة غير صحيحة",IF(ISNA(MATCH($G526,Lists!$B$2:$B$7,0)),"✖ المجموعة غير صحيحة",IF(NOT(OR($H526="",$N526&gt;0)),"✖ Start غير صحيح",IF(NOT(OR($I526="",$I526="NR",$O526&gt;0)),"✖ Current غير صحيح",IF(NOT(IF(ISNUMBER($J526),AND($J526&gt;=0,$J526=INT($J526)),FALSE())),"✖ العدد يجب أن يكون صحيحًا ≥ 0",IF(AND($F526="Baseline",$H526&lt;&gt;""),"⚠ Baseline: Start لا يدخل في التقدم",IF($K526="No Start (attainment only)","ℹ تحصيل فقط (بدون Start)",IF($K526="U – needs rule","ℹ حالة U تحتاج قاعدة معتمدة",IF($K526="No result","ℹ بدون نتيجة (يُستبعد من التحصيل)","OK")))))))))))</f>
        <v>OK</v>
      </c>
      <c r="M526" s="64" t="n">
        <f aca="false">IF($A526="",0,IFERROR(MATCH($A526,Classes!$A$6:$A$420,0),0))</f>
        <v>301</v>
      </c>
      <c r="N526" s="64" t="n">
        <f aca="false">IF($H526="",0,IFERROR(MATCH($H526,GradeList,0),0))</f>
        <v>5</v>
      </c>
      <c r="O526" s="64" t="n">
        <f aca="false">IF(OR($I526="",$I526="NR"),0,IFERROR(MATCH($I526,GradeList,0),0))</f>
        <v>6</v>
      </c>
      <c r="P526" s="64" t="n">
        <f aca="false">IF(AND($M526&gt;0,ISNUMBER(MATCH($F526,Lists!$A$2:$A$5,0)),ISNUMBER(MATCH($G526,Lists!$B$2:$B$7,0)),OR($H526="",$N526&gt;0),OR($I526="",$I526="NR",$O526&gt;0),IF(ISNUMBER($J526),AND($J526&gt;=0,$J526=INT($J526)),FALSE())),$J526,0)</f>
        <v>1</v>
      </c>
      <c r="Q526" s="64" t="n">
        <f aca="false">IF(AND($P526&gt;0,$O526&gt;0),$P526,0)</f>
        <v>1</v>
      </c>
      <c r="R526" s="64" t="n">
        <f aca="false">IF(AND($Q526&gt;0,$O526&gt;=AtRank),$Q526,0)</f>
        <v>1</v>
      </c>
      <c r="S526" s="64" t="n">
        <f aca="false">IF(AND($Q526&gt;0,$O526&gt;=AboveRank),$Q526,0)</f>
        <v>0</v>
      </c>
      <c r="T526" s="64" t="n">
        <f aca="false">IF($K526="Less",$P526,0)</f>
        <v>0</v>
      </c>
      <c r="U526" s="64" t="n">
        <f aca="false">IF($K526="Expected",$P526,0)</f>
        <v>0</v>
      </c>
      <c r="V526" s="64" t="n">
        <f aca="false">IF($K526="Better",$P526,0)</f>
        <v>1</v>
      </c>
      <c r="W526" s="64" t="n">
        <f aca="false">IF($K526="U – needs rule",$P526,0)</f>
        <v>0</v>
      </c>
      <c r="X526" s="64" t="n">
        <f aca="false">IF($K526="No Start (attainment only)",$P526,0)</f>
        <v>0</v>
      </c>
    </row>
    <row r="527" customFormat="false" ht="15" hidden="false" customHeight="false" outlineLevel="0" collapsed="false">
      <c r="A527" s="60" t="s">
        <v>798</v>
      </c>
      <c r="B527" s="61" t="str">
        <f aca="false">IF($M527=0,"",INDEX(Classes!$E$6:$E$420,$M527))</f>
        <v>Arabic A</v>
      </c>
      <c r="C527" s="62" t="str">
        <f aca="false">IF($M527=0,"",INDEX(Classes!$H$6:$H$420,$M527))</f>
        <v>Mr Ahmed AbdelmonemElsye</v>
      </c>
      <c r="D527" s="61" t="str">
        <f aca="false">IF($M527=0,"",INDEX(Classes!$B$6:$B$420,$M527))</f>
        <v>Year 10</v>
      </c>
      <c r="E527" s="61" t="str">
        <f aca="false">IF($M527=0,"",INDEX(Classes!$C$6:$C$420,$M527))</f>
        <v>ip</v>
      </c>
      <c r="F527" s="63" t="s">
        <v>107</v>
      </c>
      <c r="G527" s="63" t="s">
        <v>941</v>
      </c>
      <c r="H527" s="60" t="s">
        <v>200</v>
      </c>
      <c r="I527" s="60" t="s">
        <v>196</v>
      </c>
      <c r="J527" s="63" t="n">
        <v>1</v>
      </c>
      <c r="K527" s="61" t="str">
        <f aca="false">IF($P527=0,"",IF($F527="Baseline","— Baseline",IF($O527=0,"No result",IF($N527=0,"No Start (attainment only)",IF(OR($N527=1,$O527=1),"U – needs rule",INDEX(MxBody,MATCH($I527,MxCurr,0),MATCH($H527,MxStart,0)))))))</f>
        <v>U – needs rule</v>
      </c>
      <c r="L527" s="62" t="str">
        <f aca="false">IF(COUNTA($A527,$F527,$G527,$H527,$I527,$J527)=0,"",IF($M527=0,"✖ كود الصف غير موجود",IF(ISNA(MATCH($F527,Lists!$A$2:$A$5,0)),"✖ الفترة غير صحيحة",IF(ISNA(MATCH($G527,Lists!$B$2:$B$7,0)),"✖ المجموعة غير صحيحة",IF(NOT(OR($H527="",$N527&gt;0)),"✖ Start غير صحيح",IF(NOT(OR($I527="",$I527="NR",$O527&gt;0)),"✖ Current غير صحيح",IF(NOT(IF(ISNUMBER($J527),AND($J527&gt;=0,$J527=INT($J527)),FALSE())),"✖ العدد يجب أن يكون صحيحًا ≥ 0",IF(AND($F527="Baseline",$H527&lt;&gt;""),"⚠ Baseline: Start لا يدخل في التقدم",IF($K527="No Start (attainment only)","ℹ تحصيل فقط (بدون Start)",IF($K527="U – needs rule","ℹ حالة U تحتاج قاعدة معتمدة",IF($K527="No result","ℹ بدون نتيجة (يُستبعد من التحصيل)","OK")))))))))))</f>
        <v>ℹ حالة U تحتاج قاعدة معتمدة</v>
      </c>
      <c r="M527" s="64" t="n">
        <f aca="false">IF($A527="",0,IFERROR(MATCH($A527,Classes!$A$6:$A$420,0),0))</f>
        <v>301</v>
      </c>
      <c r="N527" s="64" t="n">
        <f aca="false">IF($H527="",0,IFERROR(MATCH($H527,GradeList,0),0))</f>
        <v>5</v>
      </c>
      <c r="O527" s="64" t="n">
        <f aca="false">IF(OR($I527="",$I527="NR"),0,IFERROR(MATCH($I527,GradeList,0),0))</f>
        <v>1</v>
      </c>
      <c r="P527" s="64" t="n">
        <f aca="false">IF(AND($M527&gt;0,ISNUMBER(MATCH($F527,Lists!$A$2:$A$5,0)),ISNUMBER(MATCH($G527,Lists!$B$2:$B$7,0)),OR($H527="",$N527&gt;0),OR($I527="",$I527="NR",$O527&gt;0),IF(ISNUMBER($J527),AND($J527&gt;=0,$J527=INT($J527)),FALSE())),$J527,0)</f>
        <v>1</v>
      </c>
      <c r="Q527" s="64" t="n">
        <f aca="false">IF(AND($P527&gt;0,$O527&gt;0),$P527,0)</f>
        <v>1</v>
      </c>
      <c r="R527" s="64" t="n">
        <f aca="false">IF(AND($Q527&gt;0,$O527&gt;=AtRank),$Q527,0)</f>
        <v>0</v>
      </c>
      <c r="S527" s="64" t="n">
        <f aca="false">IF(AND($Q527&gt;0,$O527&gt;=AboveRank),$Q527,0)</f>
        <v>0</v>
      </c>
      <c r="T527" s="64" t="n">
        <f aca="false">IF($K527="Less",$P527,0)</f>
        <v>0</v>
      </c>
      <c r="U527" s="64" t="n">
        <f aca="false">IF($K527="Expected",$P527,0)</f>
        <v>0</v>
      </c>
      <c r="V527" s="64" t="n">
        <f aca="false">IF($K527="Better",$P527,0)</f>
        <v>0</v>
      </c>
      <c r="W527" s="64" t="n">
        <f aca="false">IF($K527="U – needs rule",$P527,0)</f>
        <v>1</v>
      </c>
      <c r="X527" s="64" t="n">
        <f aca="false">IF($K527="No Start (attainment only)",$P527,0)</f>
        <v>0</v>
      </c>
    </row>
    <row r="528" customFormat="false" ht="15" hidden="false" customHeight="false" outlineLevel="0" collapsed="false">
      <c r="A528" s="60" t="s">
        <v>798</v>
      </c>
      <c r="B528" s="61" t="str">
        <f aca="false">IF($M528=0,"",INDEX(Classes!$E$6:$E$420,$M528))</f>
        <v>Arabic A</v>
      </c>
      <c r="C528" s="62" t="str">
        <f aca="false">IF($M528=0,"",INDEX(Classes!$H$6:$H$420,$M528))</f>
        <v>Mr Ahmed AbdelmonemElsye</v>
      </c>
      <c r="D528" s="61" t="str">
        <f aca="false">IF($M528=0,"",INDEX(Classes!$B$6:$B$420,$M528))</f>
        <v>Year 10</v>
      </c>
      <c r="E528" s="61" t="str">
        <f aca="false">IF($M528=0,"",INDEX(Classes!$C$6:$C$420,$M528))</f>
        <v>ip</v>
      </c>
      <c r="F528" s="63" t="s">
        <v>107</v>
      </c>
      <c r="G528" s="63" t="s">
        <v>941</v>
      </c>
      <c r="H528" s="60" t="s">
        <v>199</v>
      </c>
      <c r="I528" s="60" t="s">
        <v>200</v>
      </c>
      <c r="J528" s="63" t="n">
        <v>1</v>
      </c>
      <c r="K528" s="61" t="str">
        <f aca="false">IF($P528=0,"",IF($F528="Baseline","— Baseline",IF($O528=0,"No result",IF($N528=0,"No Start (attainment only)",IF(OR($N528=1,$O528=1),"U – needs rule",INDEX(MxBody,MATCH($I528,MxCurr,0),MATCH($H528,MxStart,0)))))))</f>
        <v>Better</v>
      </c>
      <c r="L528" s="62" t="str">
        <f aca="false">IF(COUNTA($A528,$F528,$G528,$H528,$I528,$J528)=0,"",IF($M528=0,"✖ كود الصف غير موجود",IF(ISNA(MATCH($F528,Lists!$A$2:$A$5,0)),"✖ الفترة غير صحيحة",IF(ISNA(MATCH($G528,Lists!$B$2:$B$7,0)),"✖ المجموعة غير صحيحة",IF(NOT(OR($H528="",$N528&gt;0)),"✖ Start غير صحيح",IF(NOT(OR($I528="",$I528="NR",$O528&gt;0)),"✖ Current غير صحيح",IF(NOT(IF(ISNUMBER($J528),AND($J528&gt;=0,$J528=INT($J528)),FALSE())),"✖ العدد يجب أن يكون صحيحًا ≥ 0",IF(AND($F528="Baseline",$H528&lt;&gt;""),"⚠ Baseline: Start لا يدخل في التقدم",IF($K528="No Start (attainment only)","ℹ تحصيل فقط (بدون Start)",IF($K528="U – needs rule","ℹ حالة U تحتاج قاعدة معتمدة",IF($K528="No result","ℹ بدون نتيجة (يُستبعد من التحصيل)","OK")))))))))))</f>
        <v>OK</v>
      </c>
      <c r="M528" s="64" t="n">
        <f aca="false">IF($A528="",0,IFERROR(MATCH($A528,Classes!$A$6:$A$420,0),0))</f>
        <v>301</v>
      </c>
      <c r="N528" s="64" t="n">
        <f aca="false">IF($H528="",0,IFERROR(MATCH($H528,GradeList,0),0))</f>
        <v>4</v>
      </c>
      <c r="O528" s="64" t="n">
        <f aca="false">IF(OR($I528="",$I528="NR"),0,IFERROR(MATCH($I528,GradeList,0),0))</f>
        <v>5</v>
      </c>
      <c r="P528" s="64" t="n">
        <f aca="false">IF(AND($M528&gt;0,ISNUMBER(MATCH($F528,Lists!$A$2:$A$5,0)),ISNUMBER(MATCH($G528,Lists!$B$2:$B$7,0)),OR($H528="",$N528&gt;0),OR($I528="",$I528="NR",$O528&gt;0),IF(ISNUMBER($J528),AND($J528&gt;=0,$J528=INT($J528)),FALSE())),$J528,0)</f>
        <v>1</v>
      </c>
      <c r="Q528" s="64" t="n">
        <f aca="false">IF(AND($P528&gt;0,$O528&gt;0),$P528,0)</f>
        <v>1</v>
      </c>
      <c r="R528" s="64" t="n">
        <f aca="false">IF(AND($Q528&gt;0,$O528&gt;=AtRank),$Q528,0)</f>
        <v>1</v>
      </c>
      <c r="S528" s="64" t="n">
        <f aca="false">IF(AND($Q528&gt;0,$O528&gt;=AboveRank),$Q528,0)</f>
        <v>0</v>
      </c>
      <c r="T528" s="64" t="n">
        <f aca="false">IF($K528="Less",$P528,0)</f>
        <v>0</v>
      </c>
      <c r="U528" s="64" t="n">
        <f aca="false">IF($K528="Expected",$P528,0)</f>
        <v>0</v>
      </c>
      <c r="V528" s="64" t="n">
        <f aca="false">IF($K528="Better",$P528,0)</f>
        <v>1</v>
      </c>
      <c r="W528" s="64" t="n">
        <f aca="false">IF($K528="U – needs rule",$P528,0)</f>
        <v>0</v>
      </c>
      <c r="X528" s="64" t="n">
        <f aca="false">IF($K528="No Start (attainment only)",$P528,0)</f>
        <v>0</v>
      </c>
    </row>
    <row r="529" customFormat="false" ht="15" hidden="false" customHeight="false" outlineLevel="0" collapsed="false">
      <c r="A529" s="60" t="s">
        <v>798</v>
      </c>
      <c r="B529" s="61" t="str">
        <f aca="false">IF($M529=0,"",INDEX(Classes!$E$6:$E$420,$M529))</f>
        <v>Arabic A</v>
      </c>
      <c r="C529" s="62" t="str">
        <f aca="false">IF($M529=0,"",INDEX(Classes!$H$6:$H$420,$M529))</f>
        <v>Mr Ahmed AbdelmonemElsye</v>
      </c>
      <c r="D529" s="61" t="str">
        <f aca="false">IF($M529=0,"",INDEX(Classes!$B$6:$B$420,$M529))</f>
        <v>Year 10</v>
      </c>
      <c r="E529" s="61" t="str">
        <f aca="false">IF($M529=0,"",INDEX(Classes!$C$6:$C$420,$M529))</f>
        <v>ip</v>
      </c>
      <c r="F529" s="63" t="s">
        <v>107</v>
      </c>
      <c r="G529" s="63" t="s">
        <v>1017</v>
      </c>
      <c r="H529" s="60"/>
      <c r="I529" s="60" t="s">
        <v>202</v>
      </c>
      <c r="J529" s="63" t="n">
        <v>1</v>
      </c>
      <c r="K529" s="61" t="str">
        <f aca="false">IF($P529=0,"",IF($F529="Baseline","— Baseline",IF($O529=0,"No result",IF($N529=0,"No Start (attainment only)",IF(OR($N529=1,$O529=1),"U – needs rule",INDEX(MxBody,MATCH($I529,MxCurr,0),MATCH($H529,MxStart,0)))))))</f>
        <v>No Start (attainment only)</v>
      </c>
      <c r="L529" s="62" t="str">
        <f aca="false">IF(COUNTA($A529,$F529,$G529,$H529,$I529,$J529)=0,"",IF($M529=0,"✖ كود الصف غير موجود",IF(ISNA(MATCH($F529,Lists!$A$2:$A$5,0)),"✖ الفترة غير صحيحة",IF(ISNA(MATCH($G529,Lists!$B$2:$B$7,0)),"✖ المجموعة غير صحيحة",IF(NOT(OR($H529="",$N529&gt;0)),"✖ Start غير صحيح",IF(NOT(OR($I529="",$I529="NR",$O529&gt;0)),"✖ Current غير صحيح",IF(NOT(IF(ISNUMBER($J529),AND($J529&gt;=0,$J529=INT($J529)),FALSE())),"✖ العدد يجب أن يكون صحيحًا ≥ 0",IF(AND($F529="Baseline",$H529&lt;&gt;""),"⚠ Baseline: Start لا يدخل في التقدم",IF($K529="No Start (attainment only)","ℹ تحصيل فقط (بدون Start)",IF($K529="U – needs rule","ℹ حالة U تحتاج قاعدة معتمدة",IF($K529="No result","ℹ بدون نتيجة (يُستبعد من التحصيل)","OK")))))))))))</f>
        <v>ℹ تحصيل فقط (بدون Start)</v>
      </c>
      <c r="M529" s="64" t="n">
        <f aca="false">IF($A529="",0,IFERROR(MATCH($A529,Classes!$A$6:$A$420,0),0))</f>
        <v>301</v>
      </c>
      <c r="N529" s="64" t="n">
        <f aca="false">IF($H529="",0,IFERROR(MATCH($H529,GradeList,0),0))</f>
        <v>0</v>
      </c>
      <c r="O529" s="64" t="n">
        <f aca="false">IF(OR($I529="",$I529="NR"),0,IFERROR(MATCH($I529,GradeList,0),0))</f>
        <v>7</v>
      </c>
      <c r="P529" s="64" t="n">
        <f aca="false">IF(AND($M529&gt;0,ISNUMBER(MATCH($F529,Lists!$A$2:$A$5,0)),ISNUMBER(MATCH($G529,Lists!$B$2:$B$7,0)),OR($H529="",$N529&gt;0),OR($I529="",$I529="NR",$O529&gt;0),IF(ISNUMBER($J529),AND($J529&gt;=0,$J529=INT($J529)),FALSE())),$J529,0)</f>
        <v>1</v>
      </c>
      <c r="Q529" s="64" t="n">
        <f aca="false">IF(AND($P529&gt;0,$O529&gt;0),$P529,0)</f>
        <v>1</v>
      </c>
      <c r="R529" s="64" t="n">
        <f aca="false">IF(AND($Q529&gt;0,$O529&gt;=AtRank),$Q529,0)</f>
        <v>1</v>
      </c>
      <c r="S529" s="64" t="n">
        <f aca="false">IF(AND($Q529&gt;0,$O529&gt;=AboveRank),$Q529,0)</f>
        <v>1</v>
      </c>
      <c r="T529" s="64" t="n">
        <f aca="false">IF($K529="Less",$P529,0)</f>
        <v>0</v>
      </c>
      <c r="U529" s="64" t="n">
        <f aca="false">IF($K529="Expected",$P529,0)</f>
        <v>0</v>
      </c>
      <c r="V529" s="64" t="n">
        <f aca="false">IF($K529="Better",$P529,0)</f>
        <v>0</v>
      </c>
      <c r="W529" s="64" t="n">
        <f aca="false">IF($K529="U – needs rule",$P529,0)</f>
        <v>0</v>
      </c>
      <c r="X529" s="64" t="n">
        <f aca="false">IF($K529="No Start (attainment only)",$P529,0)</f>
        <v>1</v>
      </c>
    </row>
    <row r="530" customFormat="false" ht="15" hidden="false" customHeight="false" outlineLevel="0" collapsed="false">
      <c r="A530" s="60" t="s">
        <v>798</v>
      </c>
      <c r="B530" s="61" t="str">
        <f aca="false">IF($M530=0,"",INDEX(Classes!$E$6:$E$420,$M530))</f>
        <v>Arabic A</v>
      </c>
      <c r="C530" s="62" t="str">
        <f aca="false">IF($M530=0,"",INDEX(Classes!$H$6:$H$420,$M530))</f>
        <v>Mr Ahmed AbdelmonemElsye</v>
      </c>
      <c r="D530" s="61" t="str">
        <f aca="false">IF($M530=0,"",INDEX(Classes!$B$6:$B$420,$M530))</f>
        <v>Year 10</v>
      </c>
      <c r="E530" s="61" t="str">
        <f aca="false">IF($M530=0,"",INDEX(Classes!$C$6:$C$420,$M530))</f>
        <v>ip</v>
      </c>
      <c r="F530" s="63" t="s">
        <v>107</v>
      </c>
      <c r="G530" s="63" t="s">
        <v>1018</v>
      </c>
      <c r="H530" s="60" t="s">
        <v>201</v>
      </c>
      <c r="I530" s="60" t="s">
        <v>201</v>
      </c>
      <c r="J530" s="63" t="n">
        <v>1</v>
      </c>
      <c r="K530" s="61" t="str">
        <f aca="false">IF($P530=0,"",IF($F530="Baseline","— Baseline",IF($O530=0,"No result",IF($N530=0,"No Start (attainment only)",IF(OR($N530=1,$O530=1),"U – needs rule",INDEX(MxBody,MATCH($I530,MxCurr,0),MATCH($H530,MxStart,0)))))))</f>
        <v>Expected</v>
      </c>
      <c r="L530" s="62" t="str">
        <f aca="false">IF(COUNTA($A530,$F530,$G530,$H530,$I530,$J530)=0,"",IF($M530=0,"✖ كود الصف غير موجود",IF(ISNA(MATCH($F530,Lists!$A$2:$A$5,0)),"✖ الفترة غير صحيحة",IF(ISNA(MATCH($G530,Lists!$B$2:$B$7,0)),"✖ المجموعة غير صحيحة",IF(NOT(OR($H530="",$N530&gt;0)),"✖ Start غير صحيح",IF(NOT(OR($I530="",$I530="NR",$O530&gt;0)),"✖ Current غير صحيح",IF(NOT(IF(ISNUMBER($J530),AND($J530&gt;=0,$J530=INT($J530)),FALSE())),"✖ العدد يجب أن يكون صحيحًا ≥ 0",IF(AND($F530="Baseline",$H530&lt;&gt;""),"⚠ Baseline: Start لا يدخل في التقدم",IF($K530="No Start (attainment only)","ℹ تحصيل فقط (بدون Start)",IF($K530="U – needs rule","ℹ حالة U تحتاج قاعدة معتمدة",IF($K530="No result","ℹ بدون نتيجة (يُستبعد من التحصيل)","OK")))))))))))</f>
        <v>OK</v>
      </c>
      <c r="M530" s="64" t="n">
        <f aca="false">IF($A530="",0,IFERROR(MATCH($A530,Classes!$A$6:$A$420,0),0))</f>
        <v>301</v>
      </c>
      <c r="N530" s="64" t="n">
        <f aca="false">IF($H530="",0,IFERROR(MATCH($H530,GradeList,0),0))</f>
        <v>6</v>
      </c>
      <c r="O530" s="64" t="n">
        <f aca="false">IF(OR($I530="",$I530="NR"),0,IFERROR(MATCH($I530,GradeList,0),0))</f>
        <v>6</v>
      </c>
      <c r="P530" s="64" t="n">
        <f aca="false">IF(AND($M530&gt;0,ISNUMBER(MATCH($F530,Lists!$A$2:$A$5,0)),ISNUMBER(MATCH($G530,Lists!$B$2:$B$7,0)),OR($H530="",$N530&gt;0),OR($I530="",$I530="NR",$O530&gt;0),IF(ISNUMBER($J530),AND($J530&gt;=0,$J530=INT($J530)),FALSE())),$J530,0)</f>
        <v>1</v>
      </c>
      <c r="Q530" s="64" t="n">
        <f aca="false">IF(AND($P530&gt;0,$O530&gt;0),$P530,0)</f>
        <v>1</v>
      </c>
      <c r="R530" s="64" t="n">
        <f aca="false">IF(AND($Q530&gt;0,$O530&gt;=AtRank),$Q530,0)</f>
        <v>1</v>
      </c>
      <c r="S530" s="64" t="n">
        <f aca="false">IF(AND($Q530&gt;0,$O530&gt;=AboveRank),$Q530,0)</f>
        <v>0</v>
      </c>
      <c r="T530" s="64" t="n">
        <f aca="false">IF($K530="Less",$P530,0)</f>
        <v>0</v>
      </c>
      <c r="U530" s="64" t="n">
        <f aca="false">IF($K530="Expected",$P530,0)</f>
        <v>1</v>
      </c>
      <c r="V530" s="64" t="n">
        <f aca="false">IF($K530="Better",$P530,0)</f>
        <v>0</v>
      </c>
      <c r="W530" s="64" t="n">
        <f aca="false">IF($K530="U – needs rule",$P530,0)</f>
        <v>0</v>
      </c>
      <c r="X530" s="64" t="n">
        <f aca="false">IF($K530="No Start (attainment only)",$P530,0)</f>
        <v>0</v>
      </c>
    </row>
    <row r="531" customFormat="false" ht="15" hidden="false" customHeight="false" outlineLevel="0" collapsed="false">
      <c r="A531" s="60" t="s">
        <v>653</v>
      </c>
      <c r="B531" s="61" t="str">
        <f aca="false">IF($M531=0,"",INDEX(Classes!$E$6:$E$420,$M531))</f>
        <v>Arabic A</v>
      </c>
      <c r="C531" s="62" t="str">
        <f aca="false">IF($M531=0,"",INDEX(Classes!$H$6:$H$420,$M531))</f>
        <v>Ms Soad Ahmed Mohamed</v>
      </c>
      <c r="D531" s="61" t="str">
        <f aca="false">IF($M531=0,"",INDEX(Classes!$B$6:$B$420,$M531))</f>
        <v>Year 7</v>
      </c>
      <c r="E531" s="61" t="str">
        <f aca="false">IF($M531=0,"",INDEX(Classes!$C$6:$C$420,$M531))</f>
        <v>ae</v>
      </c>
      <c r="F531" s="63" t="s">
        <v>162</v>
      </c>
      <c r="G531" s="63" t="s">
        <v>108</v>
      </c>
      <c r="H531" s="60"/>
      <c r="I531" s="60" t="s">
        <v>202</v>
      </c>
      <c r="J531" s="63" t="n">
        <v>11</v>
      </c>
      <c r="K531" s="61" t="str">
        <f aca="false">IF($P531=0,"",IF($F531="Baseline","— Baseline",IF($O531=0,"No result",IF($N531=0,"No Start (attainment only)",IF(OR($N531=1,$O531=1),"U – needs rule",INDEX(MxBody,MATCH($I531,MxCurr,0),MATCH($H531,MxStart,0)))))))</f>
        <v>— Baseline</v>
      </c>
      <c r="L531" s="62" t="str">
        <f aca="false">IF(COUNTA($A531,$F531,$G531,$H531,$I531,$J531)=0,"",IF($M531=0,"✖ كود الصف غير موجود",IF(ISNA(MATCH($F531,Lists!$A$2:$A$5,0)),"✖ الفترة غير صحيحة",IF(ISNA(MATCH($G531,Lists!$B$2:$B$7,0)),"✖ المجموعة غير صحيحة",IF(NOT(OR($H531="",$N531&gt;0)),"✖ Start غير صحيح",IF(NOT(OR($I531="",$I531="NR",$O531&gt;0)),"✖ Current غير صحيح",IF(NOT(IF(ISNUMBER($J531),AND($J531&gt;=0,$J531=INT($J531)),FALSE())),"✖ العدد يجب أن يكون صحيحًا ≥ 0",IF(AND($F531="Baseline",$H531&lt;&gt;""),"⚠ Baseline: Start لا يدخل في التقدم",IF($K531="No Start (attainment only)","ℹ تحصيل فقط (بدون Start)",IF($K531="U – needs rule","ℹ حالة U تحتاج قاعدة معتمدة",IF($K531="No result","ℹ بدون نتيجة (يُستبعد من التحصيل)","OK")))))))))))</f>
        <v>OK</v>
      </c>
      <c r="M531" s="64" t="n">
        <f aca="false">IF($A531="",0,IFERROR(MATCH($A531,Classes!$A$6:$A$420,0),0))</f>
        <v>179</v>
      </c>
      <c r="N531" s="64" t="n">
        <f aca="false">IF($H531="",0,IFERROR(MATCH($H531,GradeList,0),0))</f>
        <v>0</v>
      </c>
      <c r="O531" s="64" t="n">
        <f aca="false">IF(OR($I531="",$I531="NR"),0,IFERROR(MATCH($I531,GradeList,0),0))</f>
        <v>7</v>
      </c>
      <c r="P531" s="64" t="n">
        <f aca="false">IF(AND($M531&gt;0,ISNUMBER(MATCH($F531,Lists!$A$2:$A$5,0)),ISNUMBER(MATCH($G531,Lists!$B$2:$B$7,0)),OR($H531="",$N531&gt;0),OR($I531="",$I531="NR",$O531&gt;0),IF(ISNUMBER($J531),AND($J531&gt;=0,$J531=INT($J531)),FALSE())),$J531,0)</f>
        <v>11</v>
      </c>
      <c r="Q531" s="64" t="n">
        <f aca="false">IF(AND($P531&gt;0,$O531&gt;0),$P531,0)</f>
        <v>11</v>
      </c>
      <c r="R531" s="64" t="n">
        <f aca="false">IF(AND($Q531&gt;0,$O531&gt;=AtRank),$Q531,0)</f>
        <v>11</v>
      </c>
      <c r="S531" s="64" t="n">
        <f aca="false">IF(AND($Q531&gt;0,$O531&gt;=AboveRank),$Q531,0)</f>
        <v>11</v>
      </c>
      <c r="T531" s="64" t="n">
        <f aca="false">IF($K531="Less",$P531,0)</f>
        <v>0</v>
      </c>
      <c r="U531" s="64" t="n">
        <f aca="false">IF($K531="Expected",$P531,0)</f>
        <v>0</v>
      </c>
      <c r="V531" s="64" t="n">
        <f aca="false">IF($K531="Better",$P531,0)</f>
        <v>0</v>
      </c>
      <c r="W531" s="64" t="n">
        <f aca="false">IF($K531="U – needs rule",$P531,0)</f>
        <v>0</v>
      </c>
      <c r="X531" s="64" t="n">
        <f aca="false">IF($K531="No Start (attainment only)",$P531,0)</f>
        <v>0</v>
      </c>
    </row>
    <row r="532" customFormat="false" ht="15" hidden="false" customHeight="false" outlineLevel="0" collapsed="false">
      <c r="A532" s="60" t="s">
        <v>653</v>
      </c>
      <c r="B532" s="61" t="str">
        <f aca="false">IF($M532=0,"",INDEX(Classes!$E$6:$E$420,$M532))</f>
        <v>Arabic A</v>
      </c>
      <c r="C532" s="62" t="str">
        <f aca="false">IF($M532=0,"",INDEX(Classes!$H$6:$H$420,$M532))</f>
        <v>Ms Soad Ahmed Mohamed</v>
      </c>
      <c r="D532" s="61" t="str">
        <f aca="false">IF($M532=0,"",INDEX(Classes!$B$6:$B$420,$M532))</f>
        <v>Year 7</v>
      </c>
      <c r="E532" s="61" t="str">
        <f aca="false">IF($M532=0,"",INDEX(Classes!$C$6:$C$420,$M532))</f>
        <v>ae</v>
      </c>
      <c r="F532" s="63" t="s">
        <v>162</v>
      </c>
      <c r="G532" s="63" t="s">
        <v>108</v>
      </c>
      <c r="H532" s="60"/>
      <c r="I532" s="60" t="s">
        <v>203</v>
      </c>
      <c r="J532" s="63" t="n">
        <v>2</v>
      </c>
      <c r="K532" s="61" t="str">
        <f aca="false">IF($P532=0,"",IF($F532="Baseline","— Baseline",IF($O532=0,"No result",IF($N532=0,"No Start (attainment only)",IF(OR($N532=1,$O532=1),"U – needs rule",INDEX(MxBody,MATCH($I532,MxCurr,0),MATCH($H532,MxStart,0)))))))</f>
        <v>— Baseline</v>
      </c>
      <c r="L532" s="62" t="str">
        <f aca="false">IF(COUNTA($A532,$F532,$G532,$H532,$I532,$J532)=0,"",IF($M532=0,"✖ كود الصف غير موجود",IF(ISNA(MATCH($F532,Lists!$A$2:$A$5,0)),"✖ الفترة غير صحيحة",IF(ISNA(MATCH($G532,Lists!$B$2:$B$7,0)),"✖ المجموعة غير صحيحة",IF(NOT(OR($H532="",$N532&gt;0)),"✖ Start غير صحيح",IF(NOT(OR($I532="",$I532="NR",$O532&gt;0)),"✖ Current غير صحيح",IF(NOT(IF(ISNUMBER($J532),AND($J532&gt;=0,$J532=INT($J532)),FALSE())),"✖ العدد يجب أن يكون صحيحًا ≥ 0",IF(AND($F532="Baseline",$H532&lt;&gt;""),"⚠ Baseline: Start لا يدخل في التقدم",IF($K532="No Start (attainment only)","ℹ تحصيل فقط (بدون Start)",IF($K532="U – needs rule","ℹ حالة U تحتاج قاعدة معتمدة",IF($K532="No result","ℹ بدون نتيجة (يُستبعد من التحصيل)","OK")))))))))))</f>
        <v>OK</v>
      </c>
      <c r="M532" s="64" t="n">
        <f aca="false">IF($A532="",0,IFERROR(MATCH($A532,Classes!$A$6:$A$420,0),0))</f>
        <v>179</v>
      </c>
      <c r="N532" s="64" t="n">
        <f aca="false">IF($H532="",0,IFERROR(MATCH($H532,GradeList,0),0))</f>
        <v>0</v>
      </c>
      <c r="O532" s="64" t="n">
        <f aca="false">IF(OR($I532="",$I532="NR"),0,IFERROR(MATCH($I532,GradeList,0),0))</f>
        <v>8</v>
      </c>
      <c r="P532" s="64" t="n">
        <f aca="false">IF(AND($M532&gt;0,ISNUMBER(MATCH($F532,Lists!$A$2:$A$5,0)),ISNUMBER(MATCH($G532,Lists!$B$2:$B$7,0)),OR($H532="",$N532&gt;0),OR($I532="",$I532="NR",$O532&gt;0),IF(ISNUMBER($J532),AND($J532&gt;=0,$J532=INT($J532)),FALSE())),$J532,0)</f>
        <v>2</v>
      </c>
      <c r="Q532" s="64" t="n">
        <f aca="false">IF(AND($P532&gt;0,$O532&gt;0),$P532,0)</f>
        <v>2</v>
      </c>
      <c r="R532" s="64" t="n">
        <f aca="false">IF(AND($Q532&gt;0,$O532&gt;=AtRank),$Q532,0)</f>
        <v>2</v>
      </c>
      <c r="S532" s="64" t="n">
        <f aca="false">IF(AND($Q532&gt;0,$O532&gt;=AboveRank),$Q532,0)</f>
        <v>2</v>
      </c>
      <c r="T532" s="64" t="n">
        <f aca="false">IF($K532="Less",$P532,0)</f>
        <v>0</v>
      </c>
      <c r="U532" s="64" t="n">
        <f aca="false">IF($K532="Expected",$P532,0)</f>
        <v>0</v>
      </c>
      <c r="V532" s="64" t="n">
        <f aca="false">IF($K532="Better",$P532,0)</f>
        <v>0</v>
      </c>
      <c r="W532" s="64" t="n">
        <f aca="false">IF($K532="U – needs rule",$P532,0)</f>
        <v>0</v>
      </c>
      <c r="X532" s="64" t="n">
        <f aca="false">IF($K532="No Start (attainment only)",$P532,0)</f>
        <v>0</v>
      </c>
    </row>
    <row r="533" customFormat="false" ht="15" hidden="false" customHeight="false" outlineLevel="0" collapsed="false">
      <c r="A533" s="60" t="s">
        <v>653</v>
      </c>
      <c r="B533" s="61" t="str">
        <f aca="false">IF($M533=0,"",INDEX(Classes!$E$6:$E$420,$M533))</f>
        <v>Arabic A</v>
      </c>
      <c r="C533" s="62" t="str">
        <f aca="false">IF($M533=0,"",INDEX(Classes!$H$6:$H$420,$M533))</f>
        <v>Ms Soad Ahmed Mohamed</v>
      </c>
      <c r="D533" s="61" t="str">
        <f aca="false">IF($M533=0,"",INDEX(Classes!$B$6:$B$420,$M533))</f>
        <v>Year 7</v>
      </c>
      <c r="E533" s="61" t="str">
        <f aca="false">IF($M533=0,"",INDEX(Classes!$C$6:$C$420,$M533))</f>
        <v>ae</v>
      </c>
      <c r="F533" s="63" t="s">
        <v>162</v>
      </c>
      <c r="G533" s="63" t="s">
        <v>108</v>
      </c>
      <c r="H533" s="60"/>
      <c r="I533" s="60" t="s">
        <v>200</v>
      </c>
      <c r="J533" s="63" t="n">
        <v>2</v>
      </c>
      <c r="K533" s="61" t="str">
        <f aca="false">IF($P533=0,"",IF($F533="Baseline","— Baseline",IF($O533=0,"No result",IF($N533=0,"No Start (attainment only)",IF(OR($N533=1,$O533=1),"U – needs rule",INDEX(MxBody,MATCH($I533,MxCurr,0),MATCH($H533,MxStart,0)))))))</f>
        <v>— Baseline</v>
      </c>
      <c r="L533" s="62" t="str">
        <f aca="false">IF(COUNTA($A533,$F533,$G533,$H533,$I533,$J533)=0,"",IF($M533=0,"✖ كود الصف غير موجود",IF(ISNA(MATCH($F533,Lists!$A$2:$A$5,0)),"✖ الفترة غير صحيحة",IF(ISNA(MATCH($G533,Lists!$B$2:$B$7,0)),"✖ المجموعة غير صحيحة",IF(NOT(OR($H533="",$N533&gt;0)),"✖ Start غير صحيح",IF(NOT(OR($I533="",$I533="NR",$O533&gt;0)),"✖ Current غير صحيح",IF(NOT(IF(ISNUMBER($J533),AND($J533&gt;=0,$J533=INT($J533)),FALSE())),"✖ العدد يجب أن يكون صحيحًا ≥ 0",IF(AND($F533="Baseline",$H533&lt;&gt;""),"⚠ Baseline: Start لا يدخل في التقدم",IF($K533="No Start (attainment only)","ℹ تحصيل فقط (بدون Start)",IF($K533="U – needs rule","ℹ حالة U تحتاج قاعدة معتمدة",IF($K533="No result","ℹ بدون نتيجة (يُستبعد من التحصيل)","OK")))))))))))</f>
        <v>OK</v>
      </c>
      <c r="M533" s="64" t="n">
        <f aca="false">IF($A533="",0,IFERROR(MATCH($A533,Classes!$A$6:$A$420,0),0))</f>
        <v>179</v>
      </c>
      <c r="N533" s="64" t="n">
        <f aca="false">IF($H533="",0,IFERROR(MATCH($H533,GradeList,0),0))</f>
        <v>0</v>
      </c>
      <c r="O533" s="64" t="n">
        <f aca="false">IF(OR($I533="",$I533="NR"),0,IFERROR(MATCH($I533,GradeList,0),0))</f>
        <v>5</v>
      </c>
      <c r="P533" s="64" t="n">
        <f aca="false">IF(AND($M533&gt;0,ISNUMBER(MATCH($F533,Lists!$A$2:$A$5,0)),ISNUMBER(MATCH($G533,Lists!$B$2:$B$7,0)),OR($H533="",$N533&gt;0),OR($I533="",$I533="NR",$O533&gt;0),IF(ISNUMBER($J533),AND($J533&gt;=0,$J533=INT($J533)),FALSE())),$J533,0)</f>
        <v>2</v>
      </c>
      <c r="Q533" s="64" t="n">
        <f aca="false">IF(AND($P533&gt;0,$O533&gt;0),$P533,0)</f>
        <v>2</v>
      </c>
      <c r="R533" s="64" t="n">
        <f aca="false">IF(AND($Q533&gt;0,$O533&gt;=AtRank),$Q533,0)</f>
        <v>2</v>
      </c>
      <c r="S533" s="64" t="n">
        <f aca="false">IF(AND($Q533&gt;0,$O533&gt;=AboveRank),$Q533,0)</f>
        <v>0</v>
      </c>
      <c r="T533" s="64" t="n">
        <f aca="false">IF($K533="Less",$P533,0)</f>
        <v>0</v>
      </c>
      <c r="U533" s="64" t="n">
        <f aca="false">IF($K533="Expected",$P533,0)</f>
        <v>0</v>
      </c>
      <c r="V533" s="64" t="n">
        <f aca="false">IF($K533="Better",$P533,0)</f>
        <v>0</v>
      </c>
      <c r="W533" s="64" t="n">
        <f aca="false">IF($K533="U – needs rule",$P533,0)</f>
        <v>0</v>
      </c>
      <c r="X533" s="64" t="n">
        <f aca="false">IF($K533="No Start (attainment only)",$P533,0)</f>
        <v>0</v>
      </c>
    </row>
    <row r="534" customFormat="false" ht="15" hidden="false" customHeight="false" outlineLevel="0" collapsed="false">
      <c r="A534" s="60" t="s">
        <v>653</v>
      </c>
      <c r="B534" s="61" t="str">
        <f aca="false">IF($M534=0,"",INDEX(Classes!$E$6:$E$420,$M534))</f>
        <v>Arabic A</v>
      </c>
      <c r="C534" s="62" t="str">
        <f aca="false">IF($M534=0,"",INDEX(Classes!$H$6:$H$420,$M534))</f>
        <v>Ms Soad Ahmed Mohamed</v>
      </c>
      <c r="D534" s="61" t="str">
        <f aca="false">IF($M534=0,"",INDEX(Classes!$B$6:$B$420,$M534))</f>
        <v>Year 7</v>
      </c>
      <c r="E534" s="61" t="str">
        <f aca="false">IF($M534=0,"",INDEX(Classes!$C$6:$C$420,$M534))</f>
        <v>ae</v>
      </c>
      <c r="F534" s="63" t="s">
        <v>162</v>
      </c>
      <c r="G534" s="63" t="s">
        <v>108</v>
      </c>
      <c r="H534" s="60"/>
      <c r="I534" s="60" t="s">
        <v>201</v>
      </c>
      <c r="J534" s="63" t="n">
        <v>6</v>
      </c>
      <c r="K534" s="61" t="str">
        <f aca="false">IF($P534=0,"",IF($F534="Baseline","— Baseline",IF($O534=0,"No result",IF($N534=0,"No Start (attainment only)",IF(OR($N534=1,$O534=1),"U – needs rule",INDEX(MxBody,MATCH($I534,MxCurr,0),MATCH($H534,MxStart,0)))))))</f>
        <v>— Baseline</v>
      </c>
      <c r="L534" s="62" t="str">
        <f aca="false">IF(COUNTA($A534,$F534,$G534,$H534,$I534,$J534)=0,"",IF($M534=0,"✖ كود الصف غير موجود",IF(ISNA(MATCH($F534,Lists!$A$2:$A$5,0)),"✖ الفترة غير صحيحة",IF(ISNA(MATCH($G534,Lists!$B$2:$B$7,0)),"✖ المجموعة غير صحيحة",IF(NOT(OR($H534="",$N534&gt;0)),"✖ Start غير صحيح",IF(NOT(OR($I534="",$I534="NR",$O534&gt;0)),"✖ Current غير صحيح",IF(NOT(IF(ISNUMBER($J534),AND($J534&gt;=0,$J534=INT($J534)),FALSE())),"✖ العدد يجب أن يكون صحيحًا ≥ 0",IF(AND($F534="Baseline",$H534&lt;&gt;""),"⚠ Baseline: Start لا يدخل في التقدم",IF($K534="No Start (attainment only)","ℹ تحصيل فقط (بدون Start)",IF($K534="U – needs rule","ℹ حالة U تحتاج قاعدة معتمدة",IF($K534="No result","ℹ بدون نتيجة (يُستبعد من التحصيل)","OK")))))))))))</f>
        <v>OK</v>
      </c>
      <c r="M534" s="64" t="n">
        <f aca="false">IF($A534="",0,IFERROR(MATCH($A534,Classes!$A$6:$A$420,0),0))</f>
        <v>179</v>
      </c>
      <c r="N534" s="64" t="n">
        <f aca="false">IF($H534="",0,IFERROR(MATCH($H534,GradeList,0),0))</f>
        <v>0</v>
      </c>
      <c r="O534" s="64" t="n">
        <f aca="false">IF(OR($I534="",$I534="NR"),0,IFERROR(MATCH($I534,GradeList,0),0))</f>
        <v>6</v>
      </c>
      <c r="P534" s="64" t="n">
        <f aca="false">IF(AND($M534&gt;0,ISNUMBER(MATCH($F534,Lists!$A$2:$A$5,0)),ISNUMBER(MATCH($G534,Lists!$B$2:$B$7,0)),OR($H534="",$N534&gt;0),OR($I534="",$I534="NR",$O534&gt;0),IF(ISNUMBER($J534),AND($J534&gt;=0,$J534=INT($J534)),FALSE())),$J534,0)</f>
        <v>6</v>
      </c>
      <c r="Q534" s="64" t="n">
        <f aca="false">IF(AND($P534&gt;0,$O534&gt;0),$P534,0)</f>
        <v>6</v>
      </c>
      <c r="R534" s="64" t="n">
        <f aca="false">IF(AND($Q534&gt;0,$O534&gt;=AtRank),$Q534,0)</f>
        <v>6</v>
      </c>
      <c r="S534" s="64" t="n">
        <f aca="false">IF(AND($Q534&gt;0,$O534&gt;=AboveRank),$Q534,0)</f>
        <v>0</v>
      </c>
      <c r="T534" s="64" t="n">
        <f aca="false">IF($K534="Less",$P534,0)</f>
        <v>0</v>
      </c>
      <c r="U534" s="64" t="n">
        <f aca="false">IF($K534="Expected",$P534,0)</f>
        <v>0</v>
      </c>
      <c r="V534" s="64" t="n">
        <f aca="false">IF($K534="Better",$P534,0)</f>
        <v>0</v>
      </c>
      <c r="W534" s="64" t="n">
        <f aca="false">IF($K534="U – needs rule",$P534,0)</f>
        <v>0</v>
      </c>
      <c r="X534" s="64" t="n">
        <f aca="false">IF($K534="No Start (attainment only)",$P534,0)</f>
        <v>0</v>
      </c>
    </row>
    <row r="535" customFormat="false" ht="15" hidden="false" customHeight="false" outlineLevel="0" collapsed="false">
      <c r="A535" s="60" t="s">
        <v>653</v>
      </c>
      <c r="B535" s="61" t="str">
        <f aca="false">IF($M535=0,"",INDEX(Classes!$E$6:$E$420,$M535))</f>
        <v>Arabic A</v>
      </c>
      <c r="C535" s="62" t="str">
        <f aca="false">IF($M535=0,"",INDEX(Classes!$H$6:$H$420,$M535))</f>
        <v>Ms Soad Ahmed Mohamed</v>
      </c>
      <c r="D535" s="61" t="str">
        <f aca="false">IF($M535=0,"",INDEX(Classes!$B$6:$B$420,$M535))</f>
        <v>Year 7</v>
      </c>
      <c r="E535" s="61" t="str">
        <f aca="false">IF($M535=0,"",INDEX(Classes!$C$6:$C$420,$M535))</f>
        <v>ae</v>
      </c>
      <c r="F535" s="63" t="s">
        <v>162</v>
      </c>
      <c r="G535" s="63" t="s">
        <v>108</v>
      </c>
      <c r="H535" s="60"/>
      <c r="I535" s="60" t="s">
        <v>204</v>
      </c>
      <c r="J535" s="63" t="n">
        <v>1</v>
      </c>
      <c r="K535" s="61" t="str">
        <f aca="false">IF($P535=0,"",IF($F535="Baseline","— Baseline",IF($O535=0,"No result",IF($N535=0,"No Start (attainment only)",IF(OR($N535=1,$O535=1),"U – needs rule",INDEX(MxBody,MATCH($I535,MxCurr,0),MATCH($H535,MxStart,0)))))))</f>
        <v>— Baseline</v>
      </c>
      <c r="L535" s="62" t="str">
        <f aca="false">IF(COUNTA($A535,$F535,$G535,$H535,$I535,$J535)=0,"",IF($M535=0,"✖ كود الصف غير موجود",IF(ISNA(MATCH($F535,Lists!$A$2:$A$5,0)),"✖ الفترة غير صحيحة",IF(ISNA(MATCH($G535,Lists!$B$2:$B$7,0)),"✖ المجموعة غير صحيحة",IF(NOT(OR($H535="",$N535&gt;0)),"✖ Start غير صحيح",IF(NOT(OR($I535="",$I535="NR",$O535&gt;0)),"✖ Current غير صحيح",IF(NOT(IF(ISNUMBER($J535),AND($J535&gt;=0,$J535=INT($J535)),FALSE())),"✖ العدد يجب أن يكون صحيحًا ≥ 0",IF(AND($F535="Baseline",$H535&lt;&gt;""),"⚠ Baseline: Start لا يدخل في التقدم",IF($K535="No Start (attainment only)","ℹ تحصيل فقط (بدون Start)",IF($K535="U – needs rule","ℹ حالة U تحتاج قاعدة معتمدة",IF($K535="No result","ℹ بدون نتيجة (يُستبعد من التحصيل)","OK")))))))))))</f>
        <v>OK</v>
      </c>
      <c r="M535" s="64" t="n">
        <f aca="false">IF($A535="",0,IFERROR(MATCH($A535,Classes!$A$6:$A$420,0),0))</f>
        <v>179</v>
      </c>
      <c r="N535" s="64" t="n">
        <f aca="false">IF($H535="",0,IFERROR(MATCH($H535,GradeList,0),0))</f>
        <v>0</v>
      </c>
      <c r="O535" s="64" t="n">
        <f aca="false">IF(OR($I535="",$I535="NR"),0,IFERROR(MATCH($I535,GradeList,0),0))</f>
        <v>9</v>
      </c>
      <c r="P535" s="64" t="n">
        <f aca="false">IF(AND($M535&gt;0,ISNUMBER(MATCH($F535,Lists!$A$2:$A$5,0)),ISNUMBER(MATCH($G535,Lists!$B$2:$B$7,0)),OR($H535="",$N535&gt;0),OR($I535="",$I535="NR",$O535&gt;0),IF(ISNUMBER($J535),AND($J535&gt;=0,$J535=INT($J535)),FALSE())),$J535,0)</f>
        <v>1</v>
      </c>
      <c r="Q535" s="64" t="n">
        <f aca="false">IF(AND($P535&gt;0,$O535&gt;0),$P535,0)</f>
        <v>1</v>
      </c>
      <c r="R535" s="64" t="n">
        <f aca="false">IF(AND($Q535&gt;0,$O535&gt;=AtRank),$Q535,0)</f>
        <v>1</v>
      </c>
      <c r="S535" s="64" t="n">
        <f aca="false">IF(AND($Q535&gt;0,$O535&gt;=AboveRank),$Q535,0)</f>
        <v>1</v>
      </c>
      <c r="T535" s="64" t="n">
        <f aca="false">IF($K535="Less",$P535,0)</f>
        <v>0</v>
      </c>
      <c r="U535" s="64" t="n">
        <f aca="false">IF($K535="Expected",$P535,0)</f>
        <v>0</v>
      </c>
      <c r="V535" s="64" t="n">
        <f aca="false">IF($K535="Better",$P535,0)</f>
        <v>0</v>
      </c>
      <c r="W535" s="64" t="n">
        <f aca="false">IF($K535="U – needs rule",$P535,0)</f>
        <v>0</v>
      </c>
      <c r="X535" s="64" t="n">
        <f aca="false">IF($K535="No Start (attainment only)",$P535,0)</f>
        <v>0</v>
      </c>
    </row>
    <row r="536" customFormat="false" ht="15" hidden="false" customHeight="false" outlineLevel="0" collapsed="false">
      <c r="A536" s="60" t="s">
        <v>653</v>
      </c>
      <c r="B536" s="61" t="str">
        <f aca="false">IF($M536=0,"",INDEX(Classes!$E$6:$E$420,$M536))</f>
        <v>Arabic A</v>
      </c>
      <c r="C536" s="62" t="str">
        <f aca="false">IF($M536=0,"",INDEX(Classes!$H$6:$H$420,$M536))</f>
        <v>Ms Soad Ahmed Mohamed</v>
      </c>
      <c r="D536" s="61" t="str">
        <f aca="false">IF($M536=0,"",INDEX(Classes!$B$6:$B$420,$M536))</f>
        <v>Year 7</v>
      </c>
      <c r="E536" s="61" t="str">
        <f aca="false">IF($M536=0,"",INDEX(Classes!$C$6:$C$420,$M536))</f>
        <v>ae</v>
      </c>
      <c r="F536" s="63" t="s">
        <v>162</v>
      </c>
      <c r="G536" s="63" t="s">
        <v>108</v>
      </c>
      <c r="H536" s="60"/>
      <c r="I536" s="60" t="s">
        <v>205</v>
      </c>
      <c r="J536" s="63" t="n">
        <v>1</v>
      </c>
      <c r="K536" s="61" t="str">
        <f aca="false">IF($P536=0,"",IF($F536="Baseline","— Baseline",IF($O536=0,"No result",IF($N536=0,"No Start (attainment only)",IF(OR($N536=1,$O536=1),"U – needs rule",INDEX(MxBody,MATCH($I536,MxCurr,0),MATCH($H536,MxStart,0)))))))</f>
        <v>— Baseline</v>
      </c>
      <c r="L536" s="62" t="str">
        <f aca="false">IF(COUNTA($A536,$F536,$G536,$H536,$I536,$J536)=0,"",IF($M536=0,"✖ كود الصف غير موجود",IF(ISNA(MATCH($F536,Lists!$A$2:$A$5,0)),"✖ الفترة غير صحيحة",IF(ISNA(MATCH($G536,Lists!$B$2:$B$7,0)),"✖ المجموعة غير صحيحة",IF(NOT(OR($H536="",$N536&gt;0)),"✖ Start غير صحيح",IF(NOT(OR($I536="",$I536="NR",$O536&gt;0)),"✖ Current غير صحيح",IF(NOT(IF(ISNUMBER($J536),AND($J536&gt;=0,$J536=INT($J536)),FALSE())),"✖ العدد يجب أن يكون صحيحًا ≥ 0",IF(AND($F536="Baseline",$H536&lt;&gt;""),"⚠ Baseline: Start لا يدخل في التقدم",IF($K536="No Start (attainment only)","ℹ تحصيل فقط (بدون Start)",IF($K536="U – needs rule","ℹ حالة U تحتاج قاعدة معتمدة",IF($K536="No result","ℹ بدون نتيجة (يُستبعد من التحصيل)","OK")))))))))))</f>
        <v>OK</v>
      </c>
      <c r="M536" s="64" t="n">
        <f aca="false">IF($A536="",0,IFERROR(MATCH($A536,Classes!$A$6:$A$420,0),0))</f>
        <v>179</v>
      </c>
      <c r="N536" s="64" t="n">
        <f aca="false">IF($H536="",0,IFERROR(MATCH($H536,GradeList,0),0))</f>
        <v>0</v>
      </c>
      <c r="O536" s="64" t="n">
        <f aca="false">IF(OR($I536="",$I536="NR"),0,IFERROR(MATCH($I536,GradeList,0),0))</f>
        <v>10</v>
      </c>
      <c r="P536" s="64" t="n">
        <f aca="false">IF(AND($M536&gt;0,ISNUMBER(MATCH($F536,Lists!$A$2:$A$5,0)),ISNUMBER(MATCH($G536,Lists!$B$2:$B$7,0)),OR($H536="",$N536&gt;0),OR($I536="",$I536="NR",$O536&gt;0),IF(ISNUMBER($J536),AND($J536&gt;=0,$J536=INT($J536)),FALSE())),$J536,0)</f>
        <v>1</v>
      </c>
      <c r="Q536" s="64" t="n">
        <f aca="false">IF(AND($P536&gt;0,$O536&gt;0),$P536,0)</f>
        <v>1</v>
      </c>
      <c r="R536" s="64" t="n">
        <f aca="false">IF(AND($Q536&gt;0,$O536&gt;=AtRank),$Q536,0)</f>
        <v>1</v>
      </c>
      <c r="S536" s="64" t="n">
        <f aca="false">IF(AND($Q536&gt;0,$O536&gt;=AboveRank),$Q536,0)</f>
        <v>1</v>
      </c>
      <c r="T536" s="64" t="n">
        <f aca="false">IF($K536="Less",$P536,0)</f>
        <v>0</v>
      </c>
      <c r="U536" s="64" t="n">
        <f aca="false">IF($K536="Expected",$P536,0)</f>
        <v>0</v>
      </c>
      <c r="V536" s="64" t="n">
        <f aca="false">IF($K536="Better",$P536,0)</f>
        <v>0</v>
      </c>
      <c r="W536" s="64" t="n">
        <f aca="false">IF($K536="U – needs rule",$P536,0)</f>
        <v>0</v>
      </c>
      <c r="X536" s="64" t="n">
        <f aca="false">IF($K536="No Start (attainment only)",$P536,0)</f>
        <v>0</v>
      </c>
    </row>
    <row r="537" customFormat="false" ht="15" hidden="false" customHeight="false" outlineLevel="0" collapsed="false">
      <c r="A537" s="60" t="s">
        <v>653</v>
      </c>
      <c r="B537" s="61" t="str">
        <f aca="false">IF($M537=0,"",INDEX(Classes!$E$6:$E$420,$M537))</f>
        <v>Arabic A</v>
      </c>
      <c r="C537" s="62" t="str">
        <f aca="false">IF($M537=0,"",INDEX(Classes!$H$6:$H$420,$M537))</f>
        <v>Ms Soad Ahmed Mohamed</v>
      </c>
      <c r="D537" s="61" t="str">
        <f aca="false">IF($M537=0,"",INDEX(Classes!$B$6:$B$420,$M537))</f>
        <v>Year 7</v>
      </c>
      <c r="E537" s="61" t="str">
        <f aca="false">IF($M537=0,"",INDEX(Classes!$C$6:$C$420,$M537))</f>
        <v>ae</v>
      </c>
      <c r="F537" s="63" t="s">
        <v>162</v>
      </c>
      <c r="G537" s="63" t="s">
        <v>108</v>
      </c>
      <c r="H537" s="60"/>
      <c r="I537" s="60" t="s">
        <v>199</v>
      </c>
      <c r="J537" s="63" t="n">
        <v>2</v>
      </c>
      <c r="K537" s="61" t="str">
        <f aca="false">IF($P537=0,"",IF($F537="Baseline","— Baseline",IF($O537=0,"No result",IF($N537=0,"No Start (attainment only)",IF(OR($N537=1,$O537=1),"U – needs rule",INDEX(MxBody,MATCH($I537,MxCurr,0),MATCH($H537,MxStart,0)))))))</f>
        <v>— Baseline</v>
      </c>
      <c r="L537" s="62" t="str">
        <f aca="false">IF(COUNTA($A537,$F537,$G537,$H537,$I537,$J537)=0,"",IF($M537=0,"✖ كود الصف غير موجود",IF(ISNA(MATCH($F537,Lists!$A$2:$A$5,0)),"✖ الفترة غير صحيحة",IF(ISNA(MATCH($G537,Lists!$B$2:$B$7,0)),"✖ المجموعة غير صحيحة",IF(NOT(OR($H537="",$N537&gt;0)),"✖ Start غير صحيح",IF(NOT(OR($I537="",$I537="NR",$O537&gt;0)),"✖ Current غير صحيح",IF(NOT(IF(ISNUMBER($J537),AND($J537&gt;=0,$J537=INT($J537)),FALSE())),"✖ العدد يجب أن يكون صحيحًا ≥ 0",IF(AND($F537="Baseline",$H537&lt;&gt;""),"⚠ Baseline: Start لا يدخل في التقدم",IF($K537="No Start (attainment only)","ℹ تحصيل فقط (بدون Start)",IF($K537="U – needs rule","ℹ حالة U تحتاج قاعدة معتمدة",IF($K537="No result","ℹ بدون نتيجة (يُستبعد من التحصيل)","OK")))))))))))</f>
        <v>OK</v>
      </c>
      <c r="M537" s="64" t="n">
        <f aca="false">IF($A537="",0,IFERROR(MATCH($A537,Classes!$A$6:$A$420,0),0))</f>
        <v>179</v>
      </c>
      <c r="N537" s="64" t="n">
        <f aca="false">IF($H537="",0,IFERROR(MATCH($H537,GradeList,0),0))</f>
        <v>0</v>
      </c>
      <c r="O537" s="64" t="n">
        <f aca="false">IF(OR($I537="",$I537="NR"),0,IFERROR(MATCH($I537,GradeList,0),0))</f>
        <v>4</v>
      </c>
      <c r="P537" s="64" t="n">
        <f aca="false">IF(AND($M537&gt;0,ISNUMBER(MATCH($F537,Lists!$A$2:$A$5,0)),ISNUMBER(MATCH($G537,Lists!$B$2:$B$7,0)),OR($H537="",$N537&gt;0),OR($I537="",$I537="NR",$O537&gt;0),IF(ISNUMBER($J537),AND($J537&gt;=0,$J537=INT($J537)),FALSE())),$J537,0)</f>
        <v>2</v>
      </c>
      <c r="Q537" s="64" t="n">
        <f aca="false">IF(AND($P537&gt;0,$O537&gt;0),$P537,0)</f>
        <v>2</v>
      </c>
      <c r="R537" s="64" t="n">
        <f aca="false">IF(AND($Q537&gt;0,$O537&gt;=AtRank),$Q537,0)</f>
        <v>0</v>
      </c>
      <c r="S537" s="64" t="n">
        <f aca="false">IF(AND($Q537&gt;0,$O537&gt;=AboveRank),$Q537,0)</f>
        <v>0</v>
      </c>
      <c r="T537" s="64" t="n">
        <f aca="false">IF($K537="Less",$P537,0)</f>
        <v>0</v>
      </c>
      <c r="U537" s="64" t="n">
        <f aca="false">IF($K537="Expected",$P537,0)</f>
        <v>0</v>
      </c>
      <c r="V537" s="64" t="n">
        <f aca="false">IF($K537="Better",$P537,0)</f>
        <v>0</v>
      </c>
      <c r="W537" s="64" t="n">
        <f aca="false">IF($K537="U – needs rule",$P537,0)</f>
        <v>0</v>
      </c>
      <c r="X537" s="64" t="n">
        <f aca="false">IF($K537="No Start (attainment only)",$P537,0)</f>
        <v>0</v>
      </c>
    </row>
    <row r="538" customFormat="false" ht="15" hidden="false" customHeight="false" outlineLevel="0" collapsed="false">
      <c r="A538" s="60" t="s">
        <v>653</v>
      </c>
      <c r="B538" s="61" t="str">
        <f aca="false">IF($M538=0,"",INDEX(Classes!$E$6:$E$420,$M538))</f>
        <v>Arabic A</v>
      </c>
      <c r="C538" s="62" t="str">
        <f aca="false">IF($M538=0,"",INDEX(Classes!$H$6:$H$420,$M538))</f>
        <v>Ms Soad Ahmed Mohamed</v>
      </c>
      <c r="D538" s="61" t="str">
        <f aca="false">IF($M538=0,"",INDEX(Classes!$B$6:$B$420,$M538))</f>
        <v>Year 7</v>
      </c>
      <c r="E538" s="61" t="str">
        <f aca="false">IF($M538=0,"",INDEX(Classes!$C$6:$C$420,$M538))</f>
        <v>ae</v>
      </c>
      <c r="F538" s="63" t="s">
        <v>162</v>
      </c>
      <c r="G538" s="63" t="s">
        <v>1015</v>
      </c>
      <c r="H538" s="60"/>
      <c r="I538" s="60" t="s">
        <v>202</v>
      </c>
      <c r="J538" s="63" t="n">
        <v>5</v>
      </c>
      <c r="K538" s="61" t="str">
        <f aca="false">IF($P538=0,"",IF($F538="Baseline","— Baseline",IF($O538=0,"No result",IF($N538=0,"No Start (attainment only)",IF(OR($N538=1,$O538=1),"U – needs rule",INDEX(MxBody,MATCH($I538,MxCurr,0),MATCH($H538,MxStart,0)))))))</f>
        <v>— Baseline</v>
      </c>
      <c r="L538" s="62" t="str">
        <f aca="false">IF(COUNTA($A538,$F538,$G538,$H538,$I538,$J538)=0,"",IF($M538=0,"✖ كود الصف غير موجود",IF(ISNA(MATCH($F538,Lists!$A$2:$A$5,0)),"✖ الفترة غير صحيحة",IF(ISNA(MATCH($G538,Lists!$B$2:$B$7,0)),"✖ المجموعة غير صحيحة",IF(NOT(OR($H538="",$N538&gt;0)),"✖ Start غير صحيح",IF(NOT(OR($I538="",$I538="NR",$O538&gt;0)),"✖ Current غير صحيح",IF(NOT(IF(ISNUMBER($J538),AND($J538&gt;=0,$J538=INT($J538)),FALSE())),"✖ العدد يجب أن يكون صحيحًا ≥ 0",IF(AND($F538="Baseline",$H538&lt;&gt;""),"⚠ Baseline: Start لا يدخل في التقدم",IF($K538="No Start (attainment only)","ℹ تحصيل فقط (بدون Start)",IF($K538="U – needs rule","ℹ حالة U تحتاج قاعدة معتمدة",IF($K538="No result","ℹ بدون نتيجة (يُستبعد من التحصيل)","OK")))))))))))</f>
        <v>OK</v>
      </c>
      <c r="M538" s="64" t="n">
        <f aca="false">IF($A538="",0,IFERROR(MATCH($A538,Classes!$A$6:$A$420,0),0))</f>
        <v>179</v>
      </c>
      <c r="N538" s="64" t="n">
        <f aca="false">IF($H538="",0,IFERROR(MATCH($H538,GradeList,0),0))</f>
        <v>0</v>
      </c>
      <c r="O538" s="64" t="n">
        <f aca="false">IF(OR($I538="",$I538="NR"),0,IFERROR(MATCH($I538,GradeList,0),0))</f>
        <v>7</v>
      </c>
      <c r="P538" s="64" t="n">
        <f aca="false">IF(AND($M538&gt;0,ISNUMBER(MATCH($F538,Lists!$A$2:$A$5,0)),ISNUMBER(MATCH($G538,Lists!$B$2:$B$7,0)),OR($H538="",$N538&gt;0),OR($I538="",$I538="NR",$O538&gt;0),IF(ISNUMBER($J538),AND($J538&gt;=0,$J538=INT($J538)),FALSE())),$J538,0)</f>
        <v>5</v>
      </c>
      <c r="Q538" s="64" t="n">
        <f aca="false">IF(AND($P538&gt;0,$O538&gt;0),$P538,0)</f>
        <v>5</v>
      </c>
      <c r="R538" s="64" t="n">
        <f aca="false">IF(AND($Q538&gt;0,$O538&gt;=AtRank),$Q538,0)</f>
        <v>5</v>
      </c>
      <c r="S538" s="64" t="n">
        <f aca="false">IF(AND($Q538&gt;0,$O538&gt;=AboveRank),$Q538,0)</f>
        <v>5</v>
      </c>
      <c r="T538" s="64" t="n">
        <f aca="false">IF($K538="Less",$P538,0)</f>
        <v>0</v>
      </c>
      <c r="U538" s="64" t="n">
        <f aca="false">IF($K538="Expected",$P538,0)</f>
        <v>0</v>
      </c>
      <c r="V538" s="64" t="n">
        <f aca="false">IF($K538="Better",$P538,0)</f>
        <v>0</v>
      </c>
      <c r="W538" s="64" t="n">
        <f aca="false">IF($K538="U – needs rule",$P538,0)</f>
        <v>0</v>
      </c>
      <c r="X538" s="64" t="n">
        <f aca="false">IF($K538="No Start (attainment only)",$P538,0)</f>
        <v>0</v>
      </c>
    </row>
    <row r="539" customFormat="false" ht="15" hidden="false" customHeight="false" outlineLevel="0" collapsed="false">
      <c r="A539" s="60" t="s">
        <v>653</v>
      </c>
      <c r="B539" s="61" t="str">
        <f aca="false">IF($M539=0,"",INDEX(Classes!$E$6:$E$420,$M539))</f>
        <v>Arabic A</v>
      </c>
      <c r="C539" s="62" t="str">
        <f aca="false">IF($M539=0,"",INDEX(Classes!$H$6:$H$420,$M539))</f>
        <v>Ms Soad Ahmed Mohamed</v>
      </c>
      <c r="D539" s="61" t="str">
        <f aca="false">IF($M539=0,"",INDEX(Classes!$B$6:$B$420,$M539))</f>
        <v>Year 7</v>
      </c>
      <c r="E539" s="61" t="str">
        <f aca="false">IF($M539=0,"",INDEX(Classes!$C$6:$C$420,$M539))</f>
        <v>ae</v>
      </c>
      <c r="F539" s="63" t="s">
        <v>162</v>
      </c>
      <c r="G539" s="63" t="s">
        <v>1015</v>
      </c>
      <c r="H539" s="60"/>
      <c r="I539" s="60" t="s">
        <v>200</v>
      </c>
      <c r="J539" s="63" t="n">
        <v>2</v>
      </c>
      <c r="K539" s="61" t="str">
        <f aca="false">IF($P539=0,"",IF($F539="Baseline","— Baseline",IF($O539=0,"No result",IF($N539=0,"No Start (attainment only)",IF(OR($N539=1,$O539=1),"U – needs rule",INDEX(MxBody,MATCH($I539,MxCurr,0),MATCH($H539,MxStart,0)))))))</f>
        <v>— Baseline</v>
      </c>
      <c r="L539" s="62" t="str">
        <f aca="false">IF(COUNTA($A539,$F539,$G539,$H539,$I539,$J539)=0,"",IF($M539=0,"✖ كود الصف غير موجود",IF(ISNA(MATCH($F539,Lists!$A$2:$A$5,0)),"✖ الفترة غير صحيحة",IF(ISNA(MATCH($G539,Lists!$B$2:$B$7,0)),"✖ المجموعة غير صحيحة",IF(NOT(OR($H539="",$N539&gt;0)),"✖ Start غير صحيح",IF(NOT(OR($I539="",$I539="NR",$O539&gt;0)),"✖ Current غير صحيح",IF(NOT(IF(ISNUMBER($J539),AND($J539&gt;=0,$J539=INT($J539)),FALSE())),"✖ العدد يجب أن يكون صحيحًا ≥ 0",IF(AND($F539="Baseline",$H539&lt;&gt;""),"⚠ Baseline: Start لا يدخل في التقدم",IF($K539="No Start (attainment only)","ℹ تحصيل فقط (بدون Start)",IF($K539="U – needs rule","ℹ حالة U تحتاج قاعدة معتمدة",IF($K539="No result","ℹ بدون نتيجة (يُستبعد من التحصيل)","OK")))))))))))</f>
        <v>OK</v>
      </c>
      <c r="M539" s="64" t="n">
        <f aca="false">IF($A539="",0,IFERROR(MATCH($A539,Classes!$A$6:$A$420,0),0))</f>
        <v>179</v>
      </c>
      <c r="N539" s="64" t="n">
        <f aca="false">IF($H539="",0,IFERROR(MATCH($H539,GradeList,0),0))</f>
        <v>0</v>
      </c>
      <c r="O539" s="64" t="n">
        <f aca="false">IF(OR($I539="",$I539="NR"),0,IFERROR(MATCH($I539,GradeList,0),0))</f>
        <v>5</v>
      </c>
      <c r="P539" s="64" t="n">
        <f aca="false">IF(AND($M539&gt;0,ISNUMBER(MATCH($F539,Lists!$A$2:$A$5,0)),ISNUMBER(MATCH($G539,Lists!$B$2:$B$7,0)),OR($H539="",$N539&gt;0),OR($I539="",$I539="NR",$O539&gt;0),IF(ISNUMBER($J539),AND($J539&gt;=0,$J539=INT($J539)),FALSE())),$J539,0)</f>
        <v>2</v>
      </c>
      <c r="Q539" s="64" t="n">
        <f aca="false">IF(AND($P539&gt;0,$O539&gt;0),$P539,0)</f>
        <v>2</v>
      </c>
      <c r="R539" s="64" t="n">
        <f aca="false">IF(AND($Q539&gt;0,$O539&gt;=AtRank),$Q539,0)</f>
        <v>2</v>
      </c>
      <c r="S539" s="64" t="n">
        <f aca="false">IF(AND($Q539&gt;0,$O539&gt;=AboveRank),$Q539,0)</f>
        <v>0</v>
      </c>
      <c r="T539" s="64" t="n">
        <f aca="false">IF($K539="Less",$P539,0)</f>
        <v>0</v>
      </c>
      <c r="U539" s="64" t="n">
        <f aca="false">IF($K539="Expected",$P539,0)</f>
        <v>0</v>
      </c>
      <c r="V539" s="64" t="n">
        <f aca="false">IF($K539="Better",$P539,0)</f>
        <v>0</v>
      </c>
      <c r="W539" s="64" t="n">
        <f aca="false">IF($K539="U – needs rule",$P539,0)</f>
        <v>0</v>
      </c>
      <c r="X539" s="64" t="n">
        <f aca="false">IF($K539="No Start (attainment only)",$P539,0)</f>
        <v>0</v>
      </c>
    </row>
    <row r="540" customFormat="false" ht="15" hidden="false" customHeight="false" outlineLevel="0" collapsed="false">
      <c r="A540" s="60" t="s">
        <v>653</v>
      </c>
      <c r="B540" s="61" t="str">
        <f aca="false">IF($M540=0,"",INDEX(Classes!$E$6:$E$420,$M540))</f>
        <v>Arabic A</v>
      </c>
      <c r="C540" s="62" t="str">
        <f aca="false">IF($M540=0,"",INDEX(Classes!$H$6:$H$420,$M540))</f>
        <v>Ms Soad Ahmed Mohamed</v>
      </c>
      <c r="D540" s="61" t="str">
        <f aca="false">IF($M540=0,"",INDEX(Classes!$B$6:$B$420,$M540))</f>
        <v>Year 7</v>
      </c>
      <c r="E540" s="61" t="str">
        <f aca="false">IF($M540=0,"",INDEX(Classes!$C$6:$C$420,$M540))</f>
        <v>ae</v>
      </c>
      <c r="F540" s="63" t="s">
        <v>162</v>
      </c>
      <c r="G540" s="63" t="s">
        <v>1015</v>
      </c>
      <c r="H540" s="60"/>
      <c r="I540" s="60" t="s">
        <v>201</v>
      </c>
      <c r="J540" s="63" t="n">
        <v>3</v>
      </c>
      <c r="K540" s="61" t="str">
        <f aca="false">IF($P540=0,"",IF($F540="Baseline","— Baseline",IF($O540=0,"No result",IF($N540=0,"No Start (attainment only)",IF(OR($N540=1,$O540=1),"U – needs rule",INDEX(MxBody,MATCH($I540,MxCurr,0),MATCH($H540,MxStart,0)))))))</f>
        <v>— Baseline</v>
      </c>
      <c r="L540" s="62" t="str">
        <f aca="false">IF(COUNTA($A540,$F540,$G540,$H540,$I540,$J540)=0,"",IF($M540=0,"✖ كود الصف غير موجود",IF(ISNA(MATCH($F540,Lists!$A$2:$A$5,0)),"✖ الفترة غير صحيحة",IF(ISNA(MATCH($G540,Lists!$B$2:$B$7,0)),"✖ المجموعة غير صحيحة",IF(NOT(OR($H540="",$N540&gt;0)),"✖ Start غير صحيح",IF(NOT(OR($I540="",$I540="NR",$O540&gt;0)),"✖ Current غير صحيح",IF(NOT(IF(ISNUMBER($J540),AND($J540&gt;=0,$J540=INT($J540)),FALSE())),"✖ العدد يجب أن يكون صحيحًا ≥ 0",IF(AND($F540="Baseline",$H540&lt;&gt;""),"⚠ Baseline: Start لا يدخل في التقدم",IF($K540="No Start (attainment only)","ℹ تحصيل فقط (بدون Start)",IF($K540="U – needs rule","ℹ حالة U تحتاج قاعدة معتمدة",IF($K540="No result","ℹ بدون نتيجة (يُستبعد من التحصيل)","OK")))))))))))</f>
        <v>OK</v>
      </c>
      <c r="M540" s="64" t="n">
        <f aca="false">IF($A540="",0,IFERROR(MATCH($A540,Classes!$A$6:$A$420,0),0))</f>
        <v>179</v>
      </c>
      <c r="N540" s="64" t="n">
        <f aca="false">IF($H540="",0,IFERROR(MATCH($H540,GradeList,0),0))</f>
        <v>0</v>
      </c>
      <c r="O540" s="64" t="n">
        <f aca="false">IF(OR($I540="",$I540="NR"),0,IFERROR(MATCH($I540,GradeList,0),0))</f>
        <v>6</v>
      </c>
      <c r="P540" s="64" t="n">
        <f aca="false">IF(AND($M540&gt;0,ISNUMBER(MATCH($F540,Lists!$A$2:$A$5,0)),ISNUMBER(MATCH($G540,Lists!$B$2:$B$7,0)),OR($H540="",$N540&gt;0),OR($I540="",$I540="NR",$O540&gt;0),IF(ISNUMBER($J540),AND($J540&gt;=0,$J540=INT($J540)),FALSE())),$J540,0)</f>
        <v>3</v>
      </c>
      <c r="Q540" s="64" t="n">
        <f aca="false">IF(AND($P540&gt;0,$O540&gt;0),$P540,0)</f>
        <v>3</v>
      </c>
      <c r="R540" s="64" t="n">
        <f aca="false">IF(AND($Q540&gt;0,$O540&gt;=AtRank),$Q540,0)</f>
        <v>3</v>
      </c>
      <c r="S540" s="64" t="n">
        <f aca="false">IF(AND($Q540&gt;0,$O540&gt;=AboveRank),$Q540,0)</f>
        <v>0</v>
      </c>
      <c r="T540" s="64" t="n">
        <f aca="false">IF($K540="Less",$P540,0)</f>
        <v>0</v>
      </c>
      <c r="U540" s="64" t="n">
        <f aca="false">IF($K540="Expected",$P540,0)</f>
        <v>0</v>
      </c>
      <c r="V540" s="64" t="n">
        <f aca="false">IF($K540="Better",$P540,0)</f>
        <v>0</v>
      </c>
      <c r="W540" s="64" t="n">
        <f aca="false">IF($K540="U – needs rule",$P540,0)</f>
        <v>0</v>
      </c>
      <c r="X540" s="64" t="n">
        <f aca="false">IF($K540="No Start (attainment only)",$P540,0)</f>
        <v>0</v>
      </c>
    </row>
    <row r="541" customFormat="false" ht="15" hidden="false" customHeight="false" outlineLevel="0" collapsed="false">
      <c r="A541" s="60" t="s">
        <v>653</v>
      </c>
      <c r="B541" s="61" t="str">
        <f aca="false">IF($M541=0,"",INDEX(Classes!$E$6:$E$420,$M541))</f>
        <v>Arabic A</v>
      </c>
      <c r="C541" s="62" t="str">
        <f aca="false">IF($M541=0,"",INDEX(Classes!$H$6:$H$420,$M541))</f>
        <v>Ms Soad Ahmed Mohamed</v>
      </c>
      <c r="D541" s="61" t="str">
        <f aca="false">IF($M541=0,"",INDEX(Classes!$B$6:$B$420,$M541))</f>
        <v>Year 7</v>
      </c>
      <c r="E541" s="61" t="str">
        <f aca="false">IF($M541=0,"",INDEX(Classes!$C$6:$C$420,$M541))</f>
        <v>ae</v>
      </c>
      <c r="F541" s="63" t="s">
        <v>162</v>
      </c>
      <c r="G541" s="63" t="s">
        <v>1015</v>
      </c>
      <c r="H541" s="60"/>
      <c r="I541" s="60" t="s">
        <v>204</v>
      </c>
      <c r="J541" s="63" t="n">
        <v>1</v>
      </c>
      <c r="K541" s="61" t="str">
        <f aca="false">IF($P541=0,"",IF($F541="Baseline","— Baseline",IF($O541=0,"No result",IF($N541=0,"No Start (attainment only)",IF(OR($N541=1,$O541=1),"U – needs rule",INDEX(MxBody,MATCH($I541,MxCurr,0),MATCH($H541,MxStart,0)))))))</f>
        <v>— Baseline</v>
      </c>
      <c r="L541" s="62" t="str">
        <f aca="false">IF(COUNTA($A541,$F541,$G541,$H541,$I541,$J541)=0,"",IF($M541=0,"✖ كود الصف غير موجود",IF(ISNA(MATCH($F541,Lists!$A$2:$A$5,0)),"✖ الفترة غير صحيحة",IF(ISNA(MATCH($G541,Lists!$B$2:$B$7,0)),"✖ المجموعة غير صحيحة",IF(NOT(OR($H541="",$N541&gt;0)),"✖ Start غير صحيح",IF(NOT(OR($I541="",$I541="NR",$O541&gt;0)),"✖ Current غير صحيح",IF(NOT(IF(ISNUMBER($J541),AND($J541&gt;=0,$J541=INT($J541)),FALSE())),"✖ العدد يجب أن يكون صحيحًا ≥ 0",IF(AND($F541="Baseline",$H541&lt;&gt;""),"⚠ Baseline: Start لا يدخل في التقدم",IF($K541="No Start (attainment only)","ℹ تحصيل فقط (بدون Start)",IF($K541="U – needs rule","ℹ حالة U تحتاج قاعدة معتمدة",IF($K541="No result","ℹ بدون نتيجة (يُستبعد من التحصيل)","OK")))))))))))</f>
        <v>OK</v>
      </c>
      <c r="M541" s="64" t="n">
        <f aca="false">IF($A541="",0,IFERROR(MATCH($A541,Classes!$A$6:$A$420,0),0))</f>
        <v>179</v>
      </c>
      <c r="N541" s="64" t="n">
        <f aca="false">IF($H541="",0,IFERROR(MATCH($H541,GradeList,0),0))</f>
        <v>0</v>
      </c>
      <c r="O541" s="64" t="n">
        <f aca="false">IF(OR($I541="",$I541="NR"),0,IFERROR(MATCH($I541,GradeList,0),0))</f>
        <v>9</v>
      </c>
      <c r="P541" s="64" t="n">
        <f aca="false">IF(AND($M541&gt;0,ISNUMBER(MATCH($F541,Lists!$A$2:$A$5,0)),ISNUMBER(MATCH($G541,Lists!$B$2:$B$7,0)),OR($H541="",$N541&gt;0),OR($I541="",$I541="NR",$O541&gt;0),IF(ISNUMBER($J541),AND($J541&gt;=0,$J541=INT($J541)),FALSE())),$J541,0)</f>
        <v>1</v>
      </c>
      <c r="Q541" s="64" t="n">
        <f aca="false">IF(AND($P541&gt;0,$O541&gt;0),$P541,0)</f>
        <v>1</v>
      </c>
      <c r="R541" s="64" t="n">
        <f aca="false">IF(AND($Q541&gt;0,$O541&gt;=AtRank),$Q541,0)</f>
        <v>1</v>
      </c>
      <c r="S541" s="64" t="n">
        <f aca="false">IF(AND($Q541&gt;0,$O541&gt;=AboveRank),$Q541,0)</f>
        <v>1</v>
      </c>
      <c r="T541" s="64" t="n">
        <f aca="false">IF($K541="Less",$P541,0)</f>
        <v>0</v>
      </c>
      <c r="U541" s="64" t="n">
        <f aca="false">IF($K541="Expected",$P541,0)</f>
        <v>0</v>
      </c>
      <c r="V541" s="64" t="n">
        <f aca="false">IF($K541="Better",$P541,0)</f>
        <v>0</v>
      </c>
      <c r="W541" s="64" t="n">
        <f aca="false">IF($K541="U – needs rule",$P541,0)</f>
        <v>0</v>
      </c>
      <c r="X541" s="64" t="n">
        <f aca="false">IF($K541="No Start (attainment only)",$P541,0)</f>
        <v>0</v>
      </c>
    </row>
    <row r="542" customFormat="false" ht="15" hidden="false" customHeight="false" outlineLevel="0" collapsed="false">
      <c r="A542" s="60" t="s">
        <v>653</v>
      </c>
      <c r="B542" s="61" t="str">
        <f aca="false">IF($M542=0,"",INDEX(Classes!$E$6:$E$420,$M542))</f>
        <v>Arabic A</v>
      </c>
      <c r="C542" s="62" t="str">
        <f aca="false">IF($M542=0,"",INDEX(Classes!$H$6:$H$420,$M542))</f>
        <v>Ms Soad Ahmed Mohamed</v>
      </c>
      <c r="D542" s="61" t="str">
        <f aca="false">IF($M542=0,"",INDEX(Classes!$B$6:$B$420,$M542))</f>
        <v>Year 7</v>
      </c>
      <c r="E542" s="61" t="str">
        <f aca="false">IF($M542=0,"",INDEX(Classes!$C$6:$C$420,$M542))</f>
        <v>ae</v>
      </c>
      <c r="F542" s="63" t="s">
        <v>162</v>
      </c>
      <c r="G542" s="63" t="s">
        <v>1015</v>
      </c>
      <c r="H542" s="60"/>
      <c r="I542" s="60" t="s">
        <v>205</v>
      </c>
      <c r="J542" s="63" t="n">
        <v>1</v>
      </c>
      <c r="K542" s="61" t="str">
        <f aca="false">IF($P542=0,"",IF($F542="Baseline","— Baseline",IF($O542=0,"No result",IF($N542=0,"No Start (attainment only)",IF(OR($N542=1,$O542=1),"U – needs rule",INDEX(MxBody,MATCH($I542,MxCurr,0),MATCH($H542,MxStart,0)))))))</f>
        <v>— Baseline</v>
      </c>
      <c r="L542" s="62" t="str">
        <f aca="false">IF(COUNTA($A542,$F542,$G542,$H542,$I542,$J542)=0,"",IF($M542=0,"✖ كود الصف غير موجود",IF(ISNA(MATCH($F542,Lists!$A$2:$A$5,0)),"✖ الفترة غير صحيحة",IF(ISNA(MATCH($G542,Lists!$B$2:$B$7,0)),"✖ المجموعة غير صحيحة",IF(NOT(OR($H542="",$N542&gt;0)),"✖ Start غير صحيح",IF(NOT(OR($I542="",$I542="NR",$O542&gt;0)),"✖ Current غير صحيح",IF(NOT(IF(ISNUMBER($J542),AND($J542&gt;=0,$J542=INT($J542)),FALSE())),"✖ العدد يجب أن يكون صحيحًا ≥ 0",IF(AND($F542="Baseline",$H542&lt;&gt;""),"⚠ Baseline: Start لا يدخل في التقدم",IF($K542="No Start (attainment only)","ℹ تحصيل فقط (بدون Start)",IF($K542="U – needs rule","ℹ حالة U تحتاج قاعدة معتمدة",IF($K542="No result","ℹ بدون نتيجة (يُستبعد من التحصيل)","OK")))))))))))</f>
        <v>OK</v>
      </c>
      <c r="M542" s="64" t="n">
        <f aca="false">IF($A542="",0,IFERROR(MATCH($A542,Classes!$A$6:$A$420,0),0))</f>
        <v>179</v>
      </c>
      <c r="N542" s="64" t="n">
        <f aca="false">IF($H542="",0,IFERROR(MATCH($H542,GradeList,0),0))</f>
        <v>0</v>
      </c>
      <c r="O542" s="64" t="n">
        <f aca="false">IF(OR($I542="",$I542="NR"),0,IFERROR(MATCH($I542,GradeList,0),0))</f>
        <v>10</v>
      </c>
      <c r="P542" s="64" t="n">
        <f aca="false">IF(AND($M542&gt;0,ISNUMBER(MATCH($F542,Lists!$A$2:$A$5,0)),ISNUMBER(MATCH($G542,Lists!$B$2:$B$7,0)),OR($H542="",$N542&gt;0),OR($I542="",$I542="NR",$O542&gt;0),IF(ISNUMBER($J542),AND($J542&gt;=0,$J542=INT($J542)),FALSE())),$J542,0)</f>
        <v>1</v>
      </c>
      <c r="Q542" s="64" t="n">
        <f aca="false">IF(AND($P542&gt;0,$O542&gt;0),$P542,0)</f>
        <v>1</v>
      </c>
      <c r="R542" s="64" t="n">
        <f aca="false">IF(AND($Q542&gt;0,$O542&gt;=AtRank),$Q542,0)</f>
        <v>1</v>
      </c>
      <c r="S542" s="64" t="n">
        <f aca="false">IF(AND($Q542&gt;0,$O542&gt;=AboveRank),$Q542,0)</f>
        <v>1</v>
      </c>
      <c r="T542" s="64" t="n">
        <f aca="false">IF($K542="Less",$P542,0)</f>
        <v>0</v>
      </c>
      <c r="U542" s="64" t="n">
        <f aca="false">IF($K542="Expected",$P542,0)</f>
        <v>0</v>
      </c>
      <c r="V542" s="64" t="n">
        <f aca="false">IF($K542="Better",$P542,0)</f>
        <v>0</v>
      </c>
      <c r="W542" s="64" t="n">
        <f aca="false">IF($K542="U – needs rule",$P542,0)</f>
        <v>0</v>
      </c>
      <c r="X542" s="64" t="n">
        <f aca="false">IF($K542="No Start (attainment only)",$P542,0)</f>
        <v>0</v>
      </c>
    </row>
    <row r="543" customFormat="false" ht="15" hidden="false" customHeight="false" outlineLevel="0" collapsed="false">
      <c r="A543" s="60" t="s">
        <v>653</v>
      </c>
      <c r="B543" s="61" t="str">
        <f aca="false">IF($M543=0,"",INDEX(Classes!$E$6:$E$420,$M543))</f>
        <v>Arabic A</v>
      </c>
      <c r="C543" s="62" t="str">
        <f aca="false">IF($M543=0,"",INDEX(Classes!$H$6:$H$420,$M543))</f>
        <v>Ms Soad Ahmed Mohamed</v>
      </c>
      <c r="D543" s="61" t="str">
        <f aca="false">IF($M543=0,"",INDEX(Classes!$B$6:$B$420,$M543))</f>
        <v>Year 7</v>
      </c>
      <c r="E543" s="61" t="str">
        <f aca="false">IF($M543=0,"",INDEX(Classes!$C$6:$C$420,$M543))</f>
        <v>ae</v>
      </c>
      <c r="F543" s="63" t="s">
        <v>162</v>
      </c>
      <c r="G543" s="63" t="s">
        <v>1015</v>
      </c>
      <c r="H543" s="60"/>
      <c r="I543" s="60" t="s">
        <v>199</v>
      </c>
      <c r="J543" s="63" t="n">
        <v>1</v>
      </c>
      <c r="K543" s="61" t="str">
        <f aca="false">IF($P543=0,"",IF($F543="Baseline","— Baseline",IF($O543=0,"No result",IF($N543=0,"No Start (attainment only)",IF(OR($N543=1,$O543=1),"U – needs rule",INDEX(MxBody,MATCH($I543,MxCurr,0),MATCH($H543,MxStart,0)))))))</f>
        <v>— Baseline</v>
      </c>
      <c r="L543" s="62" t="str">
        <f aca="false">IF(COUNTA($A543,$F543,$G543,$H543,$I543,$J543)=0,"",IF($M543=0,"✖ كود الصف غير موجود",IF(ISNA(MATCH($F543,Lists!$A$2:$A$5,0)),"✖ الفترة غير صحيحة",IF(ISNA(MATCH($G543,Lists!$B$2:$B$7,0)),"✖ المجموعة غير صحيحة",IF(NOT(OR($H543="",$N543&gt;0)),"✖ Start غير صحيح",IF(NOT(OR($I543="",$I543="NR",$O543&gt;0)),"✖ Current غير صحيح",IF(NOT(IF(ISNUMBER($J543),AND($J543&gt;=0,$J543=INT($J543)),FALSE())),"✖ العدد يجب أن يكون صحيحًا ≥ 0",IF(AND($F543="Baseline",$H543&lt;&gt;""),"⚠ Baseline: Start لا يدخل في التقدم",IF($K543="No Start (attainment only)","ℹ تحصيل فقط (بدون Start)",IF($K543="U – needs rule","ℹ حالة U تحتاج قاعدة معتمدة",IF($K543="No result","ℹ بدون نتيجة (يُستبعد من التحصيل)","OK")))))))))))</f>
        <v>OK</v>
      </c>
      <c r="M543" s="64" t="n">
        <f aca="false">IF($A543="",0,IFERROR(MATCH($A543,Classes!$A$6:$A$420,0),0))</f>
        <v>179</v>
      </c>
      <c r="N543" s="64" t="n">
        <f aca="false">IF($H543="",0,IFERROR(MATCH($H543,GradeList,0),0))</f>
        <v>0</v>
      </c>
      <c r="O543" s="64" t="n">
        <f aca="false">IF(OR($I543="",$I543="NR"),0,IFERROR(MATCH($I543,GradeList,0),0))</f>
        <v>4</v>
      </c>
      <c r="P543" s="64" t="n">
        <f aca="false">IF(AND($M543&gt;0,ISNUMBER(MATCH($F543,Lists!$A$2:$A$5,0)),ISNUMBER(MATCH($G543,Lists!$B$2:$B$7,0)),OR($H543="",$N543&gt;0),OR($I543="",$I543="NR",$O543&gt;0),IF(ISNUMBER($J543),AND($J543&gt;=0,$J543=INT($J543)),FALSE())),$J543,0)</f>
        <v>1</v>
      </c>
      <c r="Q543" s="64" t="n">
        <f aca="false">IF(AND($P543&gt;0,$O543&gt;0),$P543,0)</f>
        <v>1</v>
      </c>
      <c r="R543" s="64" t="n">
        <f aca="false">IF(AND($Q543&gt;0,$O543&gt;=AtRank),$Q543,0)</f>
        <v>0</v>
      </c>
      <c r="S543" s="64" t="n">
        <f aca="false">IF(AND($Q543&gt;0,$O543&gt;=AboveRank),$Q543,0)</f>
        <v>0</v>
      </c>
      <c r="T543" s="64" t="n">
        <f aca="false">IF($K543="Less",$P543,0)</f>
        <v>0</v>
      </c>
      <c r="U543" s="64" t="n">
        <f aca="false">IF($K543="Expected",$P543,0)</f>
        <v>0</v>
      </c>
      <c r="V543" s="64" t="n">
        <f aca="false">IF($K543="Better",$P543,0)</f>
        <v>0</v>
      </c>
      <c r="W543" s="64" t="n">
        <f aca="false">IF($K543="U – needs rule",$P543,0)</f>
        <v>0</v>
      </c>
      <c r="X543" s="64" t="n">
        <f aca="false">IF($K543="No Start (attainment only)",$P543,0)</f>
        <v>0</v>
      </c>
    </row>
    <row r="544" customFormat="false" ht="15" hidden="false" customHeight="false" outlineLevel="0" collapsed="false">
      <c r="A544" s="60" t="s">
        <v>653</v>
      </c>
      <c r="B544" s="61" t="str">
        <f aca="false">IF($M544=0,"",INDEX(Classes!$E$6:$E$420,$M544))</f>
        <v>Arabic A</v>
      </c>
      <c r="C544" s="62" t="str">
        <f aca="false">IF($M544=0,"",INDEX(Classes!$H$6:$H$420,$M544))</f>
        <v>Ms Soad Ahmed Mohamed</v>
      </c>
      <c r="D544" s="61" t="str">
        <f aca="false">IF($M544=0,"",INDEX(Classes!$B$6:$B$420,$M544))</f>
        <v>Year 7</v>
      </c>
      <c r="E544" s="61" t="str">
        <f aca="false">IF($M544=0,"",INDEX(Classes!$C$6:$C$420,$M544))</f>
        <v>ae</v>
      </c>
      <c r="F544" s="63" t="s">
        <v>162</v>
      </c>
      <c r="G544" s="63" t="s">
        <v>1016</v>
      </c>
      <c r="H544" s="60"/>
      <c r="I544" s="60" t="s">
        <v>202</v>
      </c>
      <c r="J544" s="63" t="n">
        <v>6</v>
      </c>
      <c r="K544" s="61" t="str">
        <f aca="false">IF($P544=0,"",IF($F544="Baseline","— Baseline",IF($O544=0,"No result",IF($N544=0,"No Start (attainment only)",IF(OR($N544=1,$O544=1),"U – needs rule",INDEX(MxBody,MATCH($I544,MxCurr,0),MATCH($H544,MxStart,0)))))))</f>
        <v>— Baseline</v>
      </c>
      <c r="L544" s="62" t="str">
        <f aca="false">IF(COUNTA($A544,$F544,$G544,$H544,$I544,$J544)=0,"",IF($M544=0,"✖ كود الصف غير موجود",IF(ISNA(MATCH($F544,Lists!$A$2:$A$5,0)),"✖ الفترة غير صحيحة",IF(ISNA(MATCH($G544,Lists!$B$2:$B$7,0)),"✖ المجموعة غير صحيحة",IF(NOT(OR($H544="",$N544&gt;0)),"✖ Start غير صحيح",IF(NOT(OR($I544="",$I544="NR",$O544&gt;0)),"✖ Current غير صحيح",IF(NOT(IF(ISNUMBER($J544),AND($J544&gt;=0,$J544=INT($J544)),FALSE())),"✖ العدد يجب أن يكون صحيحًا ≥ 0",IF(AND($F544="Baseline",$H544&lt;&gt;""),"⚠ Baseline: Start لا يدخل في التقدم",IF($K544="No Start (attainment only)","ℹ تحصيل فقط (بدون Start)",IF($K544="U – needs rule","ℹ حالة U تحتاج قاعدة معتمدة",IF($K544="No result","ℹ بدون نتيجة (يُستبعد من التحصيل)","OK")))))))))))</f>
        <v>OK</v>
      </c>
      <c r="M544" s="64" t="n">
        <f aca="false">IF($A544="",0,IFERROR(MATCH($A544,Classes!$A$6:$A$420,0),0))</f>
        <v>179</v>
      </c>
      <c r="N544" s="64" t="n">
        <f aca="false">IF($H544="",0,IFERROR(MATCH($H544,GradeList,0),0))</f>
        <v>0</v>
      </c>
      <c r="O544" s="64" t="n">
        <f aca="false">IF(OR($I544="",$I544="NR"),0,IFERROR(MATCH($I544,GradeList,0),0))</f>
        <v>7</v>
      </c>
      <c r="P544" s="64" t="n">
        <f aca="false">IF(AND($M544&gt;0,ISNUMBER(MATCH($F544,Lists!$A$2:$A$5,0)),ISNUMBER(MATCH($G544,Lists!$B$2:$B$7,0)),OR($H544="",$N544&gt;0),OR($I544="",$I544="NR",$O544&gt;0),IF(ISNUMBER($J544),AND($J544&gt;=0,$J544=INT($J544)),FALSE())),$J544,0)</f>
        <v>6</v>
      </c>
      <c r="Q544" s="64" t="n">
        <f aca="false">IF(AND($P544&gt;0,$O544&gt;0),$P544,0)</f>
        <v>6</v>
      </c>
      <c r="R544" s="64" t="n">
        <f aca="false">IF(AND($Q544&gt;0,$O544&gt;=AtRank),$Q544,0)</f>
        <v>6</v>
      </c>
      <c r="S544" s="64" t="n">
        <f aca="false">IF(AND($Q544&gt;0,$O544&gt;=AboveRank),$Q544,0)</f>
        <v>6</v>
      </c>
      <c r="T544" s="64" t="n">
        <f aca="false">IF($K544="Less",$P544,0)</f>
        <v>0</v>
      </c>
      <c r="U544" s="64" t="n">
        <f aca="false">IF($K544="Expected",$P544,0)</f>
        <v>0</v>
      </c>
      <c r="V544" s="64" t="n">
        <f aca="false">IF($K544="Better",$P544,0)</f>
        <v>0</v>
      </c>
      <c r="W544" s="64" t="n">
        <f aca="false">IF($K544="U – needs rule",$P544,0)</f>
        <v>0</v>
      </c>
      <c r="X544" s="64" t="n">
        <f aca="false">IF($K544="No Start (attainment only)",$P544,0)</f>
        <v>0</v>
      </c>
    </row>
    <row r="545" customFormat="false" ht="15" hidden="false" customHeight="false" outlineLevel="0" collapsed="false">
      <c r="A545" s="60" t="s">
        <v>653</v>
      </c>
      <c r="B545" s="61" t="str">
        <f aca="false">IF($M545=0,"",INDEX(Classes!$E$6:$E$420,$M545))</f>
        <v>Arabic A</v>
      </c>
      <c r="C545" s="62" t="str">
        <f aca="false">IF($M545=0,"",INDEX(Classes!$H$6:$H$420,$M545))</f>
        <v>Ms Soad Ahmed Mohamed</v>
      </c>
      <c r="D545" s="61" t="str">
        <f aca="false">IF($M545=0,"",INDEX(Classes!$B$6:$B$420,$M545))</f>
        <v>Year 7</v>
      </c>
      <c r="E545" s="61" t="str">
        <f aca="false">IF($M545=0,"",INDEX(Classes!$C$6:$C$420,$M545))</f>
        <v>ae</v>
      </c>
      <c r="F545" s="63" t="s">
        <v>162</v>
      </c>
      <c r="G545" s="63" t="s">
        <v>1016</v>
      </c>
      <c r="H545" s="60"/>
      <c r="I545" s="60" t="s">
        <v>203</v>
      </c>
      <c r="J545" s="63" t="n">
        <v>2</v>
      </c>
      <c r="K545" s="61" t="str">
        <f aca="false">IF($P545=0,"",IF($F545="Baseline","— Baseline",IF($O545=0,"No result",IF($N545=0,"No Start (attainment only)",IF(OR($N545=1,$O545=1),"U – needs rule",INDEX(MxBody,MATCH($I545,MxCurr,0),MATCH($H545,MxStart,0)))))))</f>
        <v>— Baseline</v>
      </c>
      <c r="L545" s="62" t="str">
        <f aca="false">IF(COUNTA($A545,$F545,$G545,$H545,$I545,$J545)=0,"",IF($M545=0,"✖ كود الصف غير موجود",IF(ISNA(MATCH($F545,Lists!$A$2:$A$5,0)),"✖ الفترة غير صحيحة",IF(ISNA(MATCH($G545,Lists!$B$2:$B$7,0)),"✖ المجموعة غير صحيحة",IF(NOT(OR($H545="",$N545&gt;0)),"✖ Start غير صحيح",IF(NOT(OR($I545="",$I545="NR",$O545&gt;0)),"✖ Current غير صحيح",IF(NOT(IF(ISNUMBER($J545),AND($J545&gt;=0,$J545=INT($J545)),FALSE())),"✖ العدد يجب أن يكون صحيحًا ≥ 0",IF(AND($F545="Baseline",$H545&lt;&gt;""),"⚠ Baseline: Start لا يدخل في التقدم",IF($K545="No Start (attainment only)","ℹ تحصيل فقط (بدون Start)",IF($K545="U – needs rule","ℹ حالة U تحتاج قاعدة معتمدة",IF($K545="No result","ℹ بدون نتيجة (يُستبعد من التحصيل)","OK")))))))))))</f>
        <v>OK</v>
      </c>
      <c r="M545" s="64" t="n">
        <f aca="false">IF($A545="",0,IFERROR(MATCH($A545,Classes!$A$6:$A$420,0),0))</f>
        <v>179</v>
      </c>
      <c r="N545" s="64" t="n">
        <f aca="false">IF($H545="",0,IFERROR(MATCH($H545,GradeList,0),0))</f>
        <v>0</v>
      </c>
      <c r="O545" s="64" t="n">
        <f aca="false">IF(OR($I545="",$I545="NR"),0,IFERROR(MATCH($I545,GradeList,0),0))</f>
        <v>8</v>
      </c>
      <c r="P545" s="64" t="n">
        <f aca="false">IF(AND($M545&gt;0,ISNUMBER(MATCH($F545,Lists!$A$2:$A$5,0)),ISNUMBER(MATCH($G545,Lists!$B$2:$B$7,0)),OR($H545="",$N545&gt;0),OR($I545="",$I545="NR",$O545&gt;0),IF(ISNUMBER($J545),AND($J545&gt;=0,$J545=INT($J545)),FALSE())),$J545,0)</f>
        <v>2</v>
      </c>
      <c r="Q545" s="64" t="n">
        <f aca="false">IF(AND($P545&gt;0,$O545&gt;0),$P545,0)</f>
        <v>2</v>
      </c>
      <c r="R545" s="64" t="n">
        <f aca="false">IF(AND($Q545&gt;0,$O545&gt;=AtRank),$Q545,0)</f>
        <v>2</v>
      </c>
      <c r="S545" s="64" t="n">
        <f aca="false">IF(AND($Q545&gt;0,$O545&gt;=AboveRank),$Q545,0)</f>
        <v>2</v>
      </c>
      <c r="T545" s="64" t="n">
        <f aca="false">IF($K545="Less",$P545,0)</f>
        <v>0</v>
      </c>
      <c r="U545" s="64" t="n">
        <f aca="false">IF($K545="Expected",$P545,0)</f>
        <v>0</v>
      </c>
      <c r="V545" s="64" t="n">
        <f aca="false">IF($K545="Better",$P545,0)</f>
        <v>0</v>
      </c>
      <c r="W545" s="64" t="n">
        <f aca="false">IF($K545="U – needs rule",$P545,0)</f>
        <v>0</v>
      </c>
      <c r="X545" s="64" t="n">
        <f aca="false">IF($K545="No Start (attainment only)",$P545,0)</f>
        <v>0</v>
      </c>
    </row>
    <row r="546" customFormat="false" ht="15" hidden="false" customHeight="false" outlineLevel="0" collapsed="false">
      <c r="A546" s="60" t="s">
        <v>653</v>
      </c>
      <c r="B546" s="61" t="str">
        <f aca="false">IF($M546=0,"",INDEX(Classes!$E$6:$E$420,$M546))</f>
        <v>Arabic A</v>
      </c>
      <c r="C546" s="62" t="str">
        <f aca="false">IF($M546=0,"",INDEX(Classes!$H$6:$H$420,$M546))</f>
        <v>Ms Soad Ahmed Mohamed</v>
      </c>
      <c r="D546" s="61" t="str">
        <f aca="false">IF($M546=0,"",INDEX(Classes!$B$6:$B$420,$M546))</f>
        <v>Year 7</v>
      </c>
      <c r="E546" s="61" t="str">
        <f aca="false">IF($M546=0,"",INDEX(Classes!$C$6:$C$420,$M546))</f>
        <v>ae</v>
      </c>
      <c r="F546" s="63" t="s">
        <v>162</v>
      </c>
      <c r="G546" s="63" t="s">
        <v>1016</v>
      </c>
      <c r="H546" s="60"/>
      <c r="I546" s="60" t="s">
        <v>201</v>
      </c>
      <c r="J546" s="63" t="n">
        <v>3</v>
      </c>
      <c r="K546" s="61" t="str">
        <f aca="false">IF($P546=0,"",IF($F546="Baseline","— Baseline",IF($O546=0,"No result",IF($N546=0,"No Start (attainment only)",IF(OR($N546=1,$O546=1),"U – needs rule",INDEX(MxBody,MATCH($I546,MxCurr,0),MATCH($H546,MxStart,0)))))))</f>
        <v>— Baseline</v>
      </c>
      <c r="L546" s="62" t="str">
        <f aca="false">IF(COUNTA($A546,$F546,$G546,$H546,$I546,$J546)=0,"",IF($M546=0,"✖ كود الصف غير موجود",IF(ISNA(MATCH($F546,Lists!$A$2:$A$5,0)),"✖ الفترة غير صحيحة",IF(ISNA(MATCH($G546,Lists!$B$2:$B$7,0)),"✖ المجموعة غير صحيحة",IF(NOT(OR($H546="",$N546&gt;0)),"✖ Start غير صحيح",IF(NOT(OR($I546="",$I546="NR",$O546&gt;0)),"✖ Current غير صحيح",IF(NOT(IF(ISNUMBER($J546),AND($J546&gt;=0,$J546=INT($J546)),FALSE())),"✖ العدد يجب أن يكون صحيحًا ≥ 0",IF(AND($F546="Baseline",$H546&lt;&gt;""),"⚠ Baseline: Start لا يدخل في التقدم",IF($K546="No Start (attainment only)","ℹ تحصيل فقط (بدون Start)",IF($K546="U – needs rule","ℹ حالة U تحتاج قاعدة معتمدة",IF($K546="No result","ℹ بدون نتيجة (يُستبعد من التحصيل)","OK")))))))))))</f>
        <v>OK</v>
      </c>
      <c r="M546" s="64" t="n">
        <f aca="false">IF($A546="",0,IFERROR(MATCH($A546,Classes!$A$6:$A$420,0),0))</f>
        <v>179</v>
      </c>
      <c r="N546" s="64" t="n">
        <f aca="false">IF($H546="",0,IFERROR(MATCH($H546,GradeList,0),0))</f>
        <v>0</v>
      </c>
      <c r="O546" s="64" t="n">
        <f aca="false">IF(OR($I546="",$I546="NR"),0,IFERROR(MATCH($I546,GradeList,0),0))</f>
        <v>6</v>
      </c>
      <c r="P546" s="64" t="n">
        <f aca="false">IF(AND($M546&gt;0,ISNUMBER(MATCH($F546,Lists!$A$2:$A$5,0)),ISNUMBER(MATCH($G546,Lists!$B$2:$B$7,0)),OR($H546="",$N546&gt;0),OR($I546="",$I546="NR",$O546&gt;0),IF(ISNUMBER($J546),AND($J546&gt;=0,$J546=INT($J546)),FALSE())),$J546,0)</f>
        <v>3</v>
      </c>
      <c r="Q546" s="64" t="n">
        <f aca="false">IF(AND($P546&gt;0,$O546&gt;0),$P546,0)</f>
        <v>3</v>
      </c>
      <c r="R546" s="64" t="n">
        <f aca="false">IF(AND($Q546&gt;0,$O546&gt;=AtRank),$Q546,0)</f>
        <v>3</v>
      </c>
      <c r="S546" s="64" t="n">
        <f aca="false">IF(AND($Q546&gt;0,$O546&gt;=AboveRank),$Q546,0)</f>
        <v>0</v>
      </c>
      <c r="T546" s="64" t="n">
        <f aca="false">IF($K546="Less",$P546,0)</f>
        <v>0</v>
      </c>
      <c r="U546" s="64" t="n">
        <f aca="false">IF($K546="Expected",$P546,0)</f>
        <v>0</v>
      </c>
      <c r="V546" s="64" t="n">
        <f aca="false">IF($K546="Better",$P546,0)</f>
        <v>0</v>
      </c>
      <c r="W546" s="64" t="n">
        <f aca="false">IF($K546="U – needs rule",$P546,0)</f>
        <v>0</v>
      </c>
      <c r="X546" s="64" t="n">
        <f aca="false">IF($K546="No Start (attainment only)",$P546,0)</f>
        <v>0</v>
      </c>
    </row>
    <row r="547" customFormat="false" ht="15" hidden="false" customHeight="false" outlineLevel="0" collapsed="false">
      <c r="A547" s="60" t="s">
        <v>653</v>
      </c>
      <c r="B547" s="61" t="str">
        <f aca="false">IF($M547=0,"",INDEX(Classes!$E$6:$E$420,$M547))</f>
        <v>Arabic A</v>
      </c>
      <c r="C547" s="62" t="str">
        <f aca="false">IF($M547=0,"",INDEX(Classes!$H$6:$H$420,$M547))</f>
        <v>Ms Soad Ahmed Mohamed</v>
      </c>
      <c r="D547" s="61" t="str">
        <f aca="false">IF($M547=0,"",INDEX(Classes!$B$6:$B$420,$M547))</f>
        <v>Year 7</v>
      </c>
      <c r="E547" s="61" t="str">
        <f aca="false">IF($M547=0,"",INDEX(Classes!$C$6:$C$420,$M547))</f>
        <v>ae</v>
      </c>
      <c r="F547" s="63" t="s">
        <v>162</v>
      </c>
      <c r="G547" s="63" t="s">
        <v>1016</v>
      </c>
      <c r="H547" s="60"/>
      <c r="I547" s="60" t="s">
        <v>199</v>
      </c>
      <c r="J547" s="63" t="n">
        <v>1</v>
      </c>
      <c r="K547" s="61" t="str">
        <f aca="false">IF($P547=0,"",IF($F547="Baseline","— Baseline",IF($O547=0,"No result",IF($N547=0,"No Start (attainment only)",IF(OR($N547=1,$O547=1),"U – needs rule",INDEX(MxBody,MATCH($I547,MxCurr,0),MATCH($H547,MxStart,0)))))))</f>
        <v>— Baseline</v>
      </c>
      <c r="L547" s="62" t="str">
        <f aca="false">IF(COUNTA($A547,$F547,$G547,$H547,$I547,$J547)=0,"",IF($M547=0,"✖ كود الصف غير موجود",IF(ISNA(MATCH($F547,Lists!$A$2:$A$5,0)),"✖ الفترة غير صحيحة",IF(ISNA(MATCH($G547,Lists!$B$2:$B$7,0)),"✖ المجموعة غير صحيحة",IF(NOT(OR($H547="",$N547&gt;0)),"✖ Start غير صحيح",IF(NOT(OR($I547="",$I547="NR",$O547&gt;0)),"✖ Current غير صحيح",IF(NOT(IF(ISNUMBER($J547),AND($J547&gt;=0,$J547=INT($J547)),FALSE())),"✖ العدد يجب أن يكون صحيحًا ≥ 0",IF(AND($F547="Baseline",$H547&lt;&gt;""),"⚠ Baseline: Start لا يدخل في التقدم",IF($K547="No Start (attainment only)","ℹ تحصيل فقط (بدون Start)",IF($K547="U – needs rule","ℹ حالة U تحتاج قاعدة معتمدة",IF($K547="No result","ℹ بدون نتيجة (يُستبعد من التحصيل)","OK")))))))))))</f>
        <v>OK</v>
      </c>
      <c r="M547" s="64" t="n">
        <f aca="false">IF($A547="",0,IFERROR(MATCH($A547,Classes!$A$6:$A$420,0),0))</f>
        <v>179</v>
      </c>
      <c r="N547" s="64" t="n">
        <f aca="false">IF($H547="",0,IFERROR(MATCH($H547,GradeList,0),0))</f>
        <v>0</v>
      </c>
      <c r="O547" s="64" t="n">
        <f aca="false">IF(OR($I547="",$I547="NR"),0,IFERROR(MATCH($I547,GradeList,0),0))</f>
        <v>4</v>
      </c>
      <c r="P547" s="64" t="n">
        <f aca="false">IF(AND($M547&gt;0,ISNUMBER(MATCH($F547,Lists!$A$2:$A$5,0)),ISNUMBER(MATCH($G547,Lists!$B$2:$B$7,0)),OR($H547="",$N547&gt;0),OR($I547="",$I547="NR",$O547&gt;0),IF(ISNUMBER($J547),AND($J547&gt;=0,$J547=INT($J547)),FALSE())),$J547,0)</f>
        <v>1</v>
      </c>
      <c r="Q547" s="64" t="n">
        <f aca="false">IF(AND($P547&gt;0,$O547&gt;0),$P547,0)</f>
        <v>1</v>
      </c>
      <c r="R547" s="64" t="n">
        <f aca="false">IF(AND($Q547&gt;0,$O547&gt;=AtRank),$Q547,0)</f>
        <v>0</v>
      </c>
      <c r="S547" s="64" t="n">
        <f aca="false">IF(AND($Q547&gt;0,$O547&gt;=AboveRank),$Q547,0)</f>
        <v>0</v>
      </c>
      <c r="T547" s="64" t="n">
        <f aca="false">IF($K547="Less",$P547,0)</f>
        <v>0</v>
      </c>
      <c r="U547" s="64" t="n">
        <f aca="false">IF($K547="Expected",$P547,0)</f>
        <v>0</v>
      </c>
      <c r="V547" s="64" t="n">
        <f aca="false">IF($K547="Better",$P547,0)</f>
        <v>0</v>
      </c>
      <c r="W547" s="64" t="n">
        <f aca="false">IF($K547="U – needs rule",$P547,0)</f>
        <v>0</v>
      </c>
      <c r="X547" s="64" t="n">
        <f aca="false">IF($K547="No Start (attainment only)",$P547,0)</f>
        <v>0</v>
      </c>
    </row>
    <row r="548" customFormat="false" ht="15" hidden="false" customHeight="false" outlineLevel="0" collapsed="false">
      <c r="A548" s="60" t="s">
        <v>653</v>
      </c>
      <c r="B548" s="61" t="str">
        <f aca="false">IF($M548=0,"",INDEX(Classes!$E$6:$E$420,$M548))</f>
        <v>Arabic A</v>
      </c>
      <c r="C548" s="62" t="str">
        <f aca="false">IF($M548=0,"",INDEX(Classes!$H$6:$H$420,$M548))</f>
        <v>Ms Soad Ahmed Mohamed</v>
      </c>
      <c r="D548" s="61" t="str">
        <f aca="false">IF($M548=0,"",INDEX(Classes!$B$6:$B$420,$M548))</f>
        <v>Year 7</v>
      </c>
      <c r="E548" s="61" t="str">
        <f aca="false">IF($M548=0,"",INDEX(Classes!$C$6:$C$420,$M548))</f>
        <v>ae</v>
      </c>
      <c r="F548" s="63" t="s">
        <v>162</v>
      </c>
      <c r="G548" s="63" t="s">
        <v>941</v>
      </c>
      <c r="H548" s="60"/>
      <c r="I548" s="60" t="s">
        <v>202</v>
      </c>
      <c r="J548" s="63" t="n">
        <v>1</v>
      </c>
      <c r="K548" s="61" t="str">
        <f aca="false">IF($P548=0,"",IF($F548="Baseline","— Baseline",IF($O548=0,"No result",IF($N548=0,"No Start (attainment only)",IF(OR($N548=1,$O548=1),"U – needs rule",INDEX(MxBody,MATCH($I548,MxCurr,0),MATCH($H548,MxStart,0)))))))</f>
        <v>— Baseline</v>
      </c>
      <c r="L548" s="62" t="str">
        <f aca="false">IF(COUNTA($A548,$F548,$G548,$H548,$I548,$J548)=0,"",IF($M548=0,"✖ كود الصف غير موجود",IF(ISNA(MATCH($F548,Lists!$A$2:$A$5,0)),"✖ الفترة غير صحيحة",IF(ISNA(MATCH($G548,Lists!$B$2:$B$7,0)),"✖ المجموعة غير صحيحة",IF(NOT(OR($H548="",$N548&gt;0)),"✖ Start غير صحيح",IF(NOT(OR($I548="",$I548="NR",$O548&gt;0)),"✖ Current غير صحيح",IF(NOT(IF(ISNUMBER($J548),AND($J548&gt;=0,$J548=INT($J548)),FALSE())),"✖ العدد يجب أن يكون صحيحًا ≥ 0",IF(AND($F548="Baseline",$H548&lt;&gt;""),"⚠ Baseline: Start لا يدخل في التقدم",IF($K548="No Start (attainment only)","ℹ تحصيل فقط (بدون Start)",IF($K548="U – needs rule","ℹ حالة U تحتاج قاعدة معتمدة",IF($K548="No result","ℹ بدون نتيجة (يُستبعد من التحصيل)","OK")))))))))))</f>
        <v>OK</v>
      </c>
      <c r="M548" s="64" t="n">
        <f aca="false">IF($A548="",0,IFERROR(MATCH($A548,Classes!$A$6:$A$420,0),0))</f>
        <v>179</v>
      </c>
      <c r="N548" s="64" t="n">
        <f aca="false">IF($H548="",0,IFERROR(MATCH($H548,GradeList,0),0))</f>
        <v>0</v>
      </c>
      <c r="O548" s="64" t="n">
        <f aca="false">IF(OR($I548="",$I548="NR"),0,IFERROR(MATCH($I548,GradeList,0),0))</f>
        <v>7</v>
      </c>
      <c r="P548" s="64" t="n">
        <f aca="false">IF(AND($M548&gt;0,ISNUMBER(MATCH($F548,Lists!$A$2:$A$5,0)),ISNUMBER(MATCH($G548,Lists!$B$2:$B$7,0)),OR($H548="",$N548&gt;0),OR($I548="",$I548="NR",$O548&gt;0),IF(ISNUMBER($J548),AND($J548&gt;=0,$J548=INT($J548)),FALSE())),$J548,0)</f>
        <v>1</v>
      </c>
      <c r="Q548" s="64" t="n">
        <f aca="false">IF(AND($P548&gt;0,$O548&gt;0),$P548,0)</f>
        <v>1</v>
      </c>
      <c r="R548" s="64" t="n">
        <f aca="false">IF(AND($Q548&gt;0,$O548&gt;=AtRank),$Q548,0)</f>
        <v>1</v>
      </c>
      <c r="S548" s="64" t="n">
        <f aca="false">IF(AND($Q548&gt;0,$O548&gt;=AboveRank),$Q548,0)</f>
        <v>1</v>
      </c>
      <c r="T548" s="64" t="n">
        <f aca="false">IF($K548="Less",$P548,0)</f>
        <v>0</v>
      </c>
      <c r="U548" s="64" t="n">
        <f aca="false">IF($K548="Expected",$P548,0)</f>
        <v>0</v>
      </c>
      <c r="V548" s="64" t="n">
        <f aca="false">IF($K548="Better",$P548,0)</f>
        <v>0</v>
      </c>
      <c r="W548" s="64" t="n">
        <f aca="false">IF($K548="U – needs rule",$P548,0)</f>
        <v>0</v>
      </c>
      <c r="X548" s="64" t="n">
        <f aca="false">IF($K548="No Start (attainment only)",$P548,0)</f>
        <v>0</v>
      </c>
    </row>
    <row r="549" customFormat="false" ht="15" hidden="false" customHeight="false" outlineLevel="0" collapsed="false">
      <c r="A549" s="60" t="s">
        <v>653</v>
      </c>
      <c r="B549" s="61" t="str">
        <f aca="false">IF($M549=0,"",INDEX(Classes!$E$6:$E$420,$M549))</f>
        <v>Arabic A</v>
      </c>
      <c r="C549" s="62" t="str">
        <f aca="false">IF($M549=0,"",INDEX(Classes!$H$6:$H$420,$M549))</f>
        <v>Ms Soad Ahmed Mohamed</v>
      </c>
      <c r="D549" s="61" t="str">
        <f aca="false">IF($M549=0,"",INDEX(Classes!$B$6:$B$420,$M549))</f>
        <v>Year 7</v>
      </c>
      <c r="E549" s="61" t="str">
        <f aca="false">IF($M549=0,"",INDEX(Classes!$C$6:$C$420,$M549))</f>
        <v>ae</v>
      </c>
      <c r="F549" s="63" t="s">
        <v>162</v>
      </c>
      <c r="G549" s="63" t="s">
        <v>941</v>
      </c>
      <c r="H549" s="60"/>
      <c r="I549" s="60" t="s">
        <v>201</v>
      </c>
      <c r="J549" s="63" t="n">
        <v>1</v>
      </c>
      <c r="K549" s="61" t="str">
        <f aca="false">IF($P549=0,"",IF($F549="Baseline","— Baseline",IF($O549=0,"No result",IF($N549=0,"No Start (attainment only)",IF(OR($N549=1,$O549=1),"U – needs rule",INDEX(MxBody,MATCH($I549,MxCurr,0),MATCH($H549,MxStart,0)))))))</f>
        <v>— Baseline</v>
      </c>
      <c r="L549" s="62" t="str">
        <f aca="false">IF(COUNTA($A549,$F549,$G549,$H549,$I549,$J549)=0,"",IF($M549=0,"✖ كود الصف غير موجود",IF(ISNA(MATCH($F549,Lists!$A$2:$A$5,0)),"✖ الفترة غير صحيحة",IF(ISNA(MATCH($G549,Lists!$B$2:$B$7,0)),"✖ المجموعة غير صحيحة",IF(NOT(OR($H549="",$N549&gt;0)),"✖ Start غير صحيح",IF(NOT(OR($I549="",$I549="NR",$O549&gt;0)),"✖ Current غير صحيح",IF(NOT(IF(ISNUMBER($J549),AND($J549&gt;=0,$J549=INT($J549)),FALSE())),"✖ العدد يجب أن يكون صحيحًا ≥ 0",IF(AND($F549="Baseline",$H549&lt;&gt;""),"⚠ Baseline: Start لا يدخل في التقدم",IF($K549="No Start (attainment only)","ℹ تحصيل فقط (بدون Start)",IF($K549="U – needs rule","ℹ حالة U تحتاج قاعدة معتمدة",IF($K549="No result","ℹ بدون نتيجة (يُستبعد من التحصيل)","OK")))))))))))</f>
        <v>OK</v>
      </c>
      <c r="M549" s="64" t="n">
        <f aca="false">IF($A549="",0,IFERROR(MATCH($A549,Classes!$A$6:$A$420,0),0))</f>
        <v>179</v>
      </c>
      <c r="N549" s="64" t="n">
        <f aca="false">IF($H549="",0,IFERROR(MATCH($H549,GradeList,0),0))</f>
        <v>0</v>
      </c>
      <c r="O549" s="64" t="n">
        <f aca="false">IF(OR($I549="",$I549="NR"),0,IFERROR(MATCH($I549,GradeList,0),0))</f>
        <v>6</v>
      </c>
      <c r="P549" s="64" t="n">
        <f aca="false">IF(AND($M549&gt;0,ISNUMBER(MATCH($F549,Lists!$A$2:$A$5,0)),ISNUMBER(MATCH($G549,Lists!$B$2:$B$7,0)),OR($H549="",$N549&gt;0),OR($I549="",$I549="NR",$O549&gt;0),IF(ISNUMBER($J549),AND($J549&gt;=0,$J549=INT($J549)),FALSE())),$J549,0)</f>
        <v>1</v>
      </c>
      <c r="Q549" s="64" t="n">
        <f aca="false">IF(AND($P549&gt;0,$O549&gt;0),$P549,0)</f>
        <v>1</v>
      </c>
      <c r="R549" s="64" t="n">
        <f aca="false">IF(AND($Q549&gt;0,$O549&gt;=AtRank),$Q549,0)</f>
        <v>1</v>
      </c>
      <c r="S549" s="64" t="n">
        <f aca="false">IF(AND($Q549&gt;0,$O549&gt;=AboveRank),$Q549,0)</f>
        <v>0</v>
      </c>
      <c r="T549" s="64" t="n">
        <f aca="false">IF($K549="Less",$P549,0)</f>
        <v>0</v>
      </c>
      <c r="U549" s="64" t="n">
        <f aca="false">IF($K549="Expected",$P549,0)</f>
        <v>0</v>
      </c>
      <c r="V549" s="64" t="n">
        <f aca="false">IF($K549="Better",$P549,0)</f>
        <v>0</v>
      </c>
      <c r="W549" s="64" t="n">
        <f aca="false">IF($K549="U – needs rule",$P549,0)</f>
        <v>0</v>
      </c>
      <c r="X549" s="64" t="n">
        <f aca="false">IF($K549="No Start (attainment only)",$P549,0)</f>
        <v>0</v>
      </c>
    </row>
    <row r="550" customFormat="false" ht="15" hidden="false" customHeight="false" outlineLevel="0" collapsed="false">
      <c r="A550" s="60" t="s">
        <v>653</v>
      </c>
      <c r="B550" s="61" t="str">
        <f aca="false">IF($M550=0,"",INDEX(Classes!$E$6:$E$420,$M550))</f>
        <v>Arabic A</v>
      </c>
      <c r="C550" s="62" t="str">
        <f aca="false">IF($M550=0,"",INDEX(Classes!$H$6:$H$420,$M550))</f>
        <v>Ms Soad Ahmed Mohamed</v>
      </c>
      <c r="D550" s="61" t="str">
        <f aca="false">IF($M550=0,"",INDEX(Classes!$B$6:$B$420,$M550))</f>
        <v>Year 7</v>
      </c>
      <c r="E550" s="61" t="str">
        <f aca="false">IF($M550=0,"",INDEX(Classes!$C$6:$C$420,$M550))</f>
        <v>ae</v>
      </c>
      <c r="F550" s="63" t="s">
        <v>162</v>
      </c>
      <c r="G550" s="63" t="s">
        <v>1017</v>
      </c>
      <c r="H550" s="60"/>
      <c r="I550" s="60" t="s">
        <v>202</v>
      </c>
      <c r="J550" s="63" t="n">
        <v>1</v>
      </c>
      <c r="K550" s="61" t="str">
        <f aca="false">IF($P550=0,"",IF($F550="Baseline","— Baseline",IF($O550=0,"No result",IF($N550=0,"No Start (attainment only)",IF(OR($N550=1,$O550=1),"U – needs rule",INDEX(MxBody,MATCH($I550,MxCurr,0),MATCH($H550,MxStart,0)))))))</f>
        <v>— Baseline</v>
      </c>
      <c r="L550" s="62" t="str">
        <f aca="false">IF(COUNTA($A550,$F550,$G550,$H550,$I550,$J550)=0,"",IF($M550=0,"✖ كود الصف غير موجود",IF(ISNA(MATCH($F550,Lists!$A$2:$A$5,0)),"✖ الفترة غير صحيحة",IF(ISNA(MATCH($G550,Lists!$B$2:$B$7,0)),"✖ المجموعة غير صحيحة",IF(NOT(OR($H550="",$N550&gt;0)),"✖ Start غير صحيح",IF(NOT(OR($I550="",$I550="NR",$O550&gt;0)),"✖ Current غير صحيح",IF(NOT(IF(ISNUMBER($J550),AND($J550&gt;=0,$J550=INT($J550)),FALSE())),"✖ العدد يجب أن يكون صحيحًا ≥ 0",IF(AND($F550="Baseline",$H550&lt;&gt;""),"⚠ Baseline: Start لا يدخل في التقدم",IF($K550="No Start (attainment only)","ℹ تحصيل فقط (بدون Start)",IF($K550="U – needs rule","ℹ حالة U تحتاج قاعدة معتمدة",IF($K550="No result","ℹ بدون نتيجة (يُستبعد من التحصيل)","OK")))))))))))</f>
        <v>OK</v>
      </c>
      <c r="M550" s="64" t="n">
        <f aca="false">IF($A550="",0,IFERROR(MATCH($A550,Classes!$A$6:$A$420,0),0))</f>
        <v>179</v>
      </c>
      <c r="N550" s="64" t="n">
        <f aca="false">IF($H550="",0,IFERROR(MATCH($H550,GradeList,0),0))</f>
        <v>0</v>
      </c>
      <c r="O550" s="64" t="n">
        <f aca="false">IF(OR($I550="",$I550="NR"),0,IFERROR(MATCH($I550,GradeList,0),0))</f>
        <v>7</v>
      </c>
      <c r="P550" s="64" t="n">
        <f aca="false">IF(AND($M550&gt;0,ISNUMBER(MATCH($F550,Lists!$A$2:$A$5,0)),ISNUMBER(MATCH($G550,Lists!$B$2:$B$7,0)),OR($H550="",$N550&gt;0),OR($I550="",$I550="NR",$O550&gt;0),IF(ISNUMBER($J550),AND($J550&gt;=0,$J550=INT($J550)),FALSE())),$J550,0)</f>
        <v>1</v>
      </c>
      <c r="Q550" s="64" t="n">
        <f aca="false">IF(AND($P550&gt;0,$O550&gt;0),$P550,0)</f>
        <v>1</v>
      </c>
      <c r="R550" s="64" t="n">
        <f aca="false">IF(AND($Q550&gt;0,$O550&gt;=AtRank),$Q550,0)</f>
        <v>1</v>
      </c>
      <c r="S550" s="64" t="n">
        <f aca="false">IF(AND($Q550&gt;0,$O550&gt;=AboveRank),$Q550,0)</f>
        <v>1</v>
      </c>
      <c r="T550" s="64" t="n">
        <f aca="false">IF($K550="Less",$P550,0)</f>
        <v>0</v>
      </c>
      <c r="U550" s="64" t="n">
        <f aca="false">IF($K550="Expected",$P550,0)</f>
        <v>0</v>
      </c>
      <c r="V550" s="64" t="n">
        <f aca="false">IF($K550="Better",$P550,0)</f>
        <v>0</v>
      </c>
      <c r="W550" s="64" t="n">
        <f aca="false">IF($K550="U – needs rule",$P550,0)</f>
        <v>0</v>
      </c>
      <c r="X550" s="64" t="n">
        <f aca="false">IF($K550="No Start (attainment only)",$P550,0)</f>
        <v>0</v>
      </c>
    </row>
    <row r="551" customFormat="false" ht="15" hidden="false" customHeight="false" outlineLevel="0" collapsed="false">
      <c r="A551" s="60" t="s">
        <v>653</v>
      </c>
      <c r="B551" s="61" t="str">
        <f aca="false">IF($M551=0,"",INDEX(Classes!$E$6:$E$420,$M551))</f>
        <v>Arabic A</v>
      </c>
      <c r="C551" s="62" t="str">
        <f aca="false">IF($M551=0,"",INDEX(Classes!$H$6:$H$420,$M551))</f>
        <v>Ms Soad Ahmed Mohamed</v>
      </c>
      <c r="D551" s="61" t="str">
        <f aca="false">IF($M551=0,"",INDEX(Classes!$B$6:$B$420,$M551))</f>
        <v>Year 7</v>
      </c>
      <c r="E551" s="61" t="str">
        <f aca="false">IF($M551=0,"",INDEX(Classes!$C$6:$C$420,$M551))</f>
        <v>ae</v>
      </c>
      <c r="F551" s="63" t="s">
        <v>162</v>
      </c>
      <c r="G551" s="63" t="s">
        <v>1018</v>
      </c>
      <c r="H551" s="60"/>
      <c r="I551" s="60" t="s">
        <v>202</v>
      </c>
      <c r="J551" s="63" t="n">
        <v>2</v>
      </c>
      <c r="K551" s="61" t="str">
        <f aca="false">IF($P551=0,"",IF($F551="Baseline","— Baseline",IF($O551=0,"No result",IF($N551=0,"No Start (attainment only)",IF(OR($N551=1,$O551=1),"U – needs rule",INDEX(MxBody,MATCH($I551,MxCurr,0),MATCH($H551,MxStart,0)))))))</f>
        <v>— Baseline</v>
      </c>
      <c r="L551" s="62" t="str">
        <f aca="false">IF(COUNTA($A551,$F551,$G551,$H551,$I551,$J551)=0,"",IF($M551=0,"✖ كود الصف غير موجود",IF(ISNA(MATCH($F551,Lists!$A$2:$A$5,0)),"✖ الفترة غير صحيحة",IF(ISNA(MATCH($G551,Lists!$B$2:$B$7,0)),"✖ المجموعة غير صحيحة",IF(NOT(OR($H551="",$N551&gt;0)),"✖ Start غير صحيح",IF(NOT(OR($I551="",$I551="NR",$O551&gt;0)),"✖ Current غير صحيح",IF(NOT(IF(ISNUMBER($J551),AND($J551&gt;=0,$J551=INT($J551)),FALSE())),"✖ العدد يجب أن يكون صحيحًا ≥ 0",IF(AND($F551="Baseline",$H551&lt;&gt;""),"⚠ Baseline: Start لا يدخل في التقدم",IF($K551="No Start (attainment only)","ℹ تحصيل فقط (بدون Start)",IF($K551="U – needs rule","ℹ حالة U تحتاج قاعدة معتمدة",IF($K551="No result","ℹ بدون نتيجة (يُستبعد من التحصيل)","OK")))))))))))</f>
        <v>OK</v>
      </c>
      <c r="M551" s="64" t="n">
        <f aca="false">IF($A551="",0,IFERROR(MATCH($A551,Classes!$A$6:$A$420,0),0))</f>
        <v>179</v>
      </c>
      <c r="N551" s="64" t="n">
        <f aca="false">IF($H551="",0,IFERROR(MATCH($H551,GradeList,0),0))</f>
        <v>0</v>
      </c>
      <c r="O551" s="64" t="n">
        <f aca="false">IF(OR($I551="",$I551="NR"),0,IFERROR(MATCH($I551,GradeList,0),0))</f>
        <v>7</v>
      </c>
      <c r="P551" s="64" t="n">
        <f aca="false">IF(AND($M551&gt;0,ISNUMBER(MATCH($F551,Lists!$A$2:$A$5,0)),ISNUMBER(MATCH($G551,Lists!$B$2:$B$7,0)),OR($H551="",$N551&gt;0),OR($I551="",$I551="NR",$O551&gt;0),IF(ISNUMBER($J551),AND($J551&gt;=0,$J551=INT($J551)),FALSE())),$J551,0)</f>
        <v>2</v>
      </c>
      <c r="Q551" s="64" t="n">
        <f aca="false">IF(AND($P551&gt;0,$O551&gt;0),$P551,0)</f>
        <v>2</v>
      </c>
      <c r="R551" s="64" t="n">
        <f aca="false">IF(AND($Q551&gt;0,$O551&gt;=AtRank),$Q551,0)</f>
        <v>2</v>
      </c>
      <c r="S551" s="64" t="n">
        <f aca="false">IF(AND($Q551&gt;0,$O551&gt;=AboveRank),$Q551,0)</f>
        <v>2</v>
      </c>
      <c r="T551" s="64" t="n">
        <f aca="false">IF($K551="Less",$P551,0)</f>
        <v>0</v>
      </c>
      <c r="U551" s="64" t="n">
        <f aca="false">IF($K551="Expected",$P551,0)</f>
        <v>0</v>
      </c>
      <c r="V551" s="64" t="n">
        <f aca="false">IF($K551="Better",$P551,0)</f>
        <v>0</v>
      </c>
      <c r="W551" s="64" t="n">
        <f aca="false">IF($K551="U – needs rule",$P551,0)</f>
        <v>0</v>
      </c>
      <c r="X551" s="64" t="n">
        <f aca="false">IF($K551="No Start (attainment only)",$P551,0)</f>
        <v>0</v>
      </c>
    </row>
    <row r="552" customFormat="false" ht="15" hidden="false" customHeight="false" outlineLevel="0" collapsed="false">
      <c r="A552" s="60" t="s">
        <v>653</v>
      </c>
      <c r="B552" s="61" t="str">
        <f aca="false">IF($M552=0,"",INDEX(Classes!$E$6:$E$420,$M552))</f>
        <v>Arabic A</v>
      </c>
      <c r="C552" s="62" t="str">
        <f aca="false">IF($M552=0,"",INDEX(Classes!$H$6:$H$420,$M552))</f>
        <v>Ms Soad Ahmed Mohamed</v>
      </c>
      <c r="D552" s="61" t="str">
        <f aca="false">IF($M552=0,"",INDEX(Classes!$B$6:$B$420,$M552))</f>
        <v>Year 7</v>
      </c>
      <c r="E552" s="61" t="str">
        <f aca="false">IF($M552=0,"",INDEX(Classes!$C$6:$C$420,$M552))</f>
        <v>ae</v>
      </c>
      <c r="F552" s="63" t="s">
        <v>162</v>
      </c>
      <c r="G552" s="63" t="s">
        <v>1018</v>
      </c>
      <c r="H552" s="60"/>
      <c r="I552" s="60" t="s">
        <v>203</v>
      </c>
      <c r="J552" s="63" t="n">
        <v>1</v>
      </c>
      <c r="K552" s="61" t="str">
        <f aca="false">IF($P552=0,"",IF($F552="Baseline","— Baseline",IF($O552=0,"No result",IF($N552=0,"No Start (attainment only)",IF(OR($N552=1,$O552=1),"U – needs rule",INDEX(MxBody,MATCH($I552,MxCurr,0),MATCH($H552,MxStart,0)))))))</f>
        <v>— Baseline</v>
      </c>
      <c r="L552" s="62" t="str">
        <f aca="false">IF(COUNTA($A552,$F552,$G552,$H552,$I552,$J552)=0,"",IF($M552=0,"✖ كود الصف غير موجود",IF(ISNA(MATCH($F552,Lists!$A$2:$A$5,0)),"✖ الفترة غير صحيحة",IF(ISNA(MATCH($G552,Lists!$B$2:$B$7,0)),"✖ المجموعة غير صحيحة",IF(NOT(OR($H552="",$N552&gt;0)),"✖ Start غير صحيح",IF(NOT(OR($I552="",$I552="NR",$O552&gt;0)),"✖ Current غير صحيح",IF(NOT(IF(ISNUMBER($J552),AND($J552&gt;=0,$J552=INT($J552)),FALSE())),"✖ العدد يجب أن يكون صحيحًا ≥ 0",IF(AND($F552="Baseline",$H552&lt;&gt;""),"⚠ Baseline: Start لا يدخل في التقدم",IF($K552="No Start (attainment only)","ℹ تحصيل فقط (بدون Start)",IF($K552="U – needs rule","ℹ حالة U تحتاج قاعدة معتمدة",IF($K552="No result","ℹ بدون نتيجة (يُستبعد من التحصيل)","OK")))))))))))</f>
        <v>OK</v>
      </c>
      <c r="M552" s="64" t="n">
        <f aca="false">IF($A552="",0,IFERROR(MATCH($A552,Classes!$A$6:$A$420,0),0))</f>
        <v>179</v>
      </c>
      <c r="N552" s="64" t="n">
        <f aca="false">IF($H552="",0,IFERROR(MATCH($H552,GradeList,0),0))</f>
        <v>0</v>
      </c>
      <c r="O552" s="64" t="n">
        <f aca="false">IF(OR($I552="",$I552="NR"),0,IFERROR(MATCH($I552,GradeList,0),0))</f>
        <v>8</v>
      </c>
      <c r="P552" s="64" t="n">
        <f aca="false">IF(AND($M552&gt;0,ISNUMBER(MATCH($F552,Lists!$A$2:$A$5,0)),ISNUMBER(MATCH($G552,Lists!$B$2:$B$7,0)),OR($H552="",$N552&gt;0),OR($I552="",$I552="NR",$O552&gt;0),IF(ISNUMBER($J552),AND($J552&gt;=0,$J552=INT($J552)),FALSE())),$J552,0)</f>
        <v>1</v>
      </c>
      <c r="Q552" s="64" t="n">
        <f aca="false">IF(AND($P552&gt;0,$O552&gt;0),$P552,0)</f>
        <v>1</v>
      </c>
      <c r="R552" s="64" t="n">
        <f aca="false">IF(AND($Q552&gt;0,$O552&gt;=AtRank),$Q552,0)</f>
        <v>1</v>
      </c>
      <c r="S552" s="64" t="n">
        <f aca="false">IF(AND($Q552&gt;0,$O552&gt;=AboveRank),$Q552,0)</f>
        <v>1</v>
      </c>
      <c r="T552" s="64" t="n">
        <f aca="false">IF($K552="Less",$P552,0)</f>
        <v>0</v>
      </c>
      <c r="U552" s="64" t="n">
        <f aca="false">IF($K552="Expected",$P552,0)</f>
        <v>0</v>
      </c>
      <c r="V552" s="64" t="n">
        <f aca="false">IF($K552="Better",$P552,0)</f>
        <v>0</v>
      </c>
      <c r="W552" s="64" t="n">
        <f aca="false">IF($K552="U – needs rule",$P552,0)</f>
        <v>0</v>
      </c>
      <c r="X552" s="64" t="n">
        <f aca="false">IF($K552="No Start (attainment only)",$P552,0)</f>
        <v>0</v>
      </c>
    </row>
    <row r="553" customFormat="false" ht="15" hidden="false" customHeight="false" outlineLevel="0" collapsed="false">
      <c r="A553" s="60" t="s">
        <v>653</v>
      </c>
      <c r="B553" s="61" t="str">
        <f aca="false">IF($M553=0,"",INDEX(Classes!$E$6:$E$420,$M553))</f>
        <v>Arabic A</v>
      </c>
      <c r="C553" s="62" t="str">
        <f aca="false">IF($M553=0,"",INDEX(Classes!$H$6:$H$420,$M553))</f>
        <v>Ms Soad Ahmed Mohamed</v>
      </c>
      <c r="D553" s="61" t="str">
        <f aca="false">IF($M553=0,"",INDEX(Classes!$B$6:$B$420,$M553))</f>
        <v>Year 7</v>
      </c>
      <c r="E553" s="61" t="str">
        <f aca="false">IF($M553=0,"",INDEX(Classes!$C$6:$C$420,$M553))</f>
        <v>ae</v>
      </c>
      <c r="F553" s="63" t="s">
        <v>162</v>
      </c>
      <c r="G553" s="63" t="s">
        <v>1018</v>
      </c>
      <c r="H553" s="60"/>
      <c r="I553" s="60" t="s">
        <v>201</v>
      </c>
      <c r="J553" s="63" t="n">
        <v>3</v>
      </c>
      <c r="K553" s="61" t="str">
        <f aca="false">IF($P553=0,"",IF($F553="Baseline","— Baseline",IF($O553=0,"No result",IF($N553=0,"No Start (attainment only)",IF(OR($N553=1,$O553=1),"U – needs rule",INDEX(MxBody,MATCH($I553,MxCurr,0),MATCH($H553,MxStart,0)))))))</f>
        <v>— Baseline</v>
      </c>
      <c r="L553" s="62" t="str">
        <f aca="false">IF(COUNTA($A553,$F553,$G553,$H553,$I553,$J553)=0,"",IF($M553=0,"✖ كود الصف غير موجود",IF(ISNA(MATCH($F553,Lists!$A$2:$A$5,0)),"✖ الفترة غير صحيحة",IF(ISNA(MATCH($G553,Lists!$B$2:$B$7,0)),"✖ المجموعة غير صحيحة",IF(NOT(OR($H553="",$N553&gt;0)),"✖ Start غير صحيح",IF(NOT(OR($I553="",$I553="NR",$O553&gt;0)),"✖ Current غير صحيح",IF(NOT(IF(ISNUMBER($J553),AND($J553&gt;=0,$J553=INT($J553)),FALSE())),"✖ العدد يجب أن يكون صحيحًا ≥ 0",IF(AND($F553="Baseline",$H553&lt;&gt;""),"⚠ Baseline: Start لا يدخل في التقدم",IF($K553="No Start (attainment only)","ℹ تحصيل فقط (بدون Start)",IF($K553="U – needs rule","ℹ حالة U تحتاج قاعدة معتمدة",IF($K553="No result","ℹ بدون نتيجة (يُستبعد من التحصيل)","OK")))))))))))</f>
        <v>OK</v>
      </c>
      <c r="M553" s="64" t="n">
        <f aca="false">IF($A553="",0,IFERROR(MATCH($A553,Classes!$A$6:$A$420,0),0))</f>
        <v>179</v>
      </c>
      <c r="N553" s="64" t="n">
        <f aca="false">IF($H553="",0,IFERROR(MATCH($H553,GradeList,0),0))</f>
        <v>0</v>
      </c>
      <c r="O553" s="64" t="n">
        <f aca="false">IF(OR($I553="",$I553="NR"),0,IFERROR(MATCH($I553,GradeList,0),0))</f>
        <v>6</v>
      </c>
      <c r="P553" s="64" t="n">
        <f aca="false">IF(AND($M553&gt;0,ISNUMBER(MATCH($F553,Lists!$A$2:$A$5,0)),ISNUMBER(MATCH($G553,Lists!$B$2:$B$7,0)),OR($H553="",$N553&gt;0),OR($I553="",$I553="NR",$O553&gt;0),IF(ISNUMBER($J553),AND($J553&gt;=0,$J553=INT($J553)),FALSE())),$J553,0)</f>
        <v>3</v>
      </c>
      <c r="Q553" s="64" t="n">
        <f aca="false">IF(AND($P553&gt;0,$O553&gt;0),$P553,0)</f>
        <v>3</v>
      </c>
      <c r="R553" s="64" t="n">
        <f aca="false">IF(AND($Q553&gt;0,$O553&gt;=AtRank),$Q553,0)</f>
        <v>3</v>
      </c>
      <c r="S553" s="64" t="n">
        <f aca="false">IF(AND($Q553&gt;0,$O553&gt;=AboveRank),$Q553,0)</f>
        <v>0</v>
      </c>
      <c r="T553" s="64" t="n">
        <f aca="false">IF($K553="Less",$P553,0)</f>
        <v>0</v>
      </c>
      <c r="U553" s="64" t="n">
        <f aca="false">IF($K553="Expected",$P553,0)</f>
        <v>0</v>
      </c>
      <c r="V553" s="64" t="n">
        <f aca="false">IF($K553="Better",$P553,0)</f>
        <v>0</v>
      </c>
      <c r="W553" s="64" t="n">
        <f aca="false">IF($K553="U – needs rule",$P553,0)</f>
        <v>0</v>
      </c>
      <c r="X553" s="64" t="n">
        <f aca="false">IF($K553="No Start (attainment only)",$P553,0)</f>
        <v>0</v>
      </c>
    </row>
    <row r="554" customFormat="false" ht="15" hidden="false" customHeight="false" outlineLevel="0" collapsed="false">
      <c r="A554" s="60" t="s">
        <v>653</v>
      </c>
      <c r="B554" s="61" t="str">
        <f aca="false">IF($M554=0,"",INDEX(Classes!$E$6:$E$420,$M554))</f>
        <v>Arabic A</v>
      </c>
      <c r="C554" s="62" t="str">
        <f aca="false">IF($M554=0,"",INDEX(Classes!$H$6:$H$420,$M554))</f>
        <v>Ms Soad Ahmed Mohamed</v>
      </c>
      <c r="D554" s="61" t="str">
        <f aca="false">IF($M554=0,"",INDEX(Classes!$B$6:$B$420,$M554))</f>
        <v>Year 7</v>
      </c>
      <c r="E554" s="61" t="str">
        <f aca="false">IF($M554=0,"",INDEX(Classes!$C$6:$C$420,$M554))</f>
        <v>ae</v>
      </c>
      <c r="F554" s="63" t="s">
        <v>162</v>
      </c>
      <c r="G554" s="63" t="s">
        <v>1018</v>
      </c>
      <c r="H554" s="60"/>
      <c r="I554" s="60" t="s">
        <v>205</v>
      </c>
      <c r="J554" s="63" t="n">
        <v>1</v>
      </c>
      <c r="K554" s="61" t="str">
        <f aca="false">IF($P554=0,"",IF($F554="Baseline","— Baseline",IF($O554=0,"No result",IF($N554=0,"No Start (attainment only)",IF(OR($N554=1,$O554=1),"U – needs rule",INDEX(MxBody,MATCH($I554,MxCurr,0),MATCH($H554,MxStart,0)))))))</f>
        <v>— Baseline</v>
      </c>
      <c r="L554" s="62" t="str">
        <f aca="false">IF(COUNTA($A554,$F554,$G554,$H554,$I554,$J554)=0,"",IF($M554=0,"✖ كود الصف غير موجود",IF(ISNA(MATCH($F554,Lists!$A$2:$A$5,0)),"✖ الفترة غير صحيحة",IF(ISNA(MATCH($G554,Lists!$B$2:$B$7,0)),"✖ المجموعة غير صحيحة",IF(NOT(OR($H554="",$N554&gt;0)),"✖ Start غير صحيح",IF(NOT(OR($I554="",$I554="NR",$O554&gt;0)),"✖ Current غير صحيح",IF(NOT(IF(ISNUMBER($J554),AND($J554&gt;=0,$J554=INT($J554)),FALSE())),"✖ العدد يجب أن يكون صحيحًا ≥ 0",IF(AND($F554="Baseline",$H554&lt;&gt;""),"⚠ Baseline: Start لا يدخل في التقدم",IF($K554="No Start (attainment only)","ℹ تحصيل فقط (بدون Start)",IF($K554="U – needs rule","ℹ حالة U تحتاج قاعدة معتمدة",IF($K554="No result","ℹ بدون نتيجة (يُستبعد من التحصيل)","OK")))))))))))</f>
        <v>OK</v>
      </c>
      <c r="M554" s="64" t="n">
        <f aca="false">IF($A554="",0,IFERROR(MATCH($A554,Classes!$A$6:$A$420,0),0))</f>
        <v>179</v>
      </c>
      <c r="N554" s="64" t="n">
        <f aca="false">IF($H554="",0,IFERROR(MATCH($H554,GradeList,0),0))</f>
        <v>0</v>
      </c>
      <c r="O554" s="64" t="n">
        <f aca="false">IF(OR($I554="",$I554="NR"),0,IFERROR(MATCH($I554,GradeList,0),0))</f>
        <v>10</v>
      </c>
      <c r="P554" s="64" t="n">
        <f aca="false">IF(AND($M554&gt;0,ISNUMBER(MATCH($F554,Lists!$A$2:$A$5,0)),ISNUMBER(MATCH($G554,Lists!$B$2:$B$7,0)),OR($H554="",$N554&gt;0),OR($I554="",$I554="NR",$O554&gt;0),IF(ISNUMBER($J554),AND($J554&gt;=0,$J554=INT($J554)),FALSE())),$J554,0)</f>
        <v>1</v>
      </c>
      <c r="Q554" s="64" t="n">
        <f aca="false">IF(AND($P554&gt;0,$O554&gt;0),$P554,0)</f>
        <v>1</v>
      </c>
      <c r="R554" s="64" t="n">
        <f aca="false">IF(AND($Q554&gt;0,$O554&gt;=AtRank),$Q554,0)</f>
        <v>1</v>
      </c>
      <c r="S554" s="64" t="n">
        <f aca="false">IF(AND($Q554&gt;0,$O554&gt;=AboveRank),$Q554,0)</f>
        <v>1</v>
      </c>
      <c r="T554" s="64" t="n">
        <f aca="false">IF($K554="Less",$P554,0)</f>
        <v>0</v>
      </c>
      <c r="U554" s="64" t="n">
        <f aca="false">IF($K554="Expected",$P554,0)</f>
        <v>0</v>
      </c>
      <c r="V554" s="64" t="n">
        <f aca="false">IF($K554="Better",$P554,0)</f>
        <v>0</v>
      </c>
      <c r="W554" s="64" t="n">
        <f aca="false">IF($K554="U – needs rule",$P554,0)</f>
        <v>0</v>
      </c>
      <c r="X554" s="64" t="n">
        <f aca="false">IF($K554="No Start (attainment only)",$P554,0)</f>
        <v>0</v>
      </c>
    </row>
    <row r="555" customFormat="false" ht="15" hidden="false" customHeight="false" outlineLevel="0" collapsed="false">
      <c r="A555" s="60" t="s">
        <v>653</v>
      </c>
      <c r="B555" s="61" t="str">
        <f aca="false">IF($M555=0,"",INDEX(Classes!$E$6:$E$420,$M555))</f>
        <v>Arabic A</v>
      </c>
      <c r="C555" s="62" t="str">
        <f aca="false">IF($M555=0,"",INDEX(Classes!$H$6:$H$420,$M555))</f>
        <v>Ms Soad Ahmed Mohamed</v>
      </c>
      <c r="D555" s="61" t="str">
        <f aca="false">IF($M555=0,"",INDEX(Classes!$B$6:$B$420,$M555))</f>
        <v>Year 7</v>
      </c>
      <c r="E555" s="61" t="str">
        <f aca="false">IF($M555=0,"",INDEX(Classes!$C$6:$C$420,$M555))</f>
        <v>ae</v>
      </c>
      <c r="F555" s="63" t="s">
        <v>107</v>
      </c>
      <c r="G555" s="63" t="s">
        <v>108</v>
      </c>
      <c r="H555" s="60"/>
      <c r="I555" s="60" t="s">
        <v>200</v>
      </c>
      <c r="J555" s="63" t="n">
        <v>1</v>
      </c>
      <c r="K555" s="61" t="str">
        <f aca="false">IF($P555=0,"",IF($F555="Baseline","— Baseline",IF($O555=0,"No result",IF($N555=0,"No Start (attainment only)",IF(OR($N555=1,$O555=1),"U – needs rule",INDEX(MxBody,MATCH($I555,MxCurr,0),MATCH($H555,MxStart,0)))))))</f>
        <v>No Start (attainment only)</v>
      </c>
      <c r="L555" s="62" t="str">
        <f aca="false">IF(COUNTA($A555,$F555,$G555,$H555,$I555,$J555)=0,"",IF($M555=0,"✖ كود الصف غير موجود",IF(ISNA(MATCH($F555,Lists!$A$2:$A$5,0)),"✖ الفترة غير صحيحة",IF(ISNA(MATCH($G555,Lists!$B$2:$B$7,0)),"✖ المجموعة غير صحيحة",IF(NOT(OR($H555="",$N555&gt;0)),"✖ Start غير صحيح",IF(NOT(OR($I555="",$I555="NR",$O555&gt;0)),"✖ Current غير صحيح",IF(NOT(IF(ISNUMBER($J555),AND($J555&gt;=0,$J555=INT($J555)),FALSE())),"✖ العدد يجب أن يكون صحيحًا ≥ 0",IF(AND($F555="Baseline",$H555&lt;&gt;""),"⚠ Baseline: Start لا يدخل في التقدم",IF($K555="No Start (attainment only)","ℹ تحصيل فقط (بدون Start)",IF($K555="U – needs rule","ℹ حالة U تحتاج قاعدة معتمدة",IF($K555="No result","ℹ بدون نتيجة (يُستبعد من التحصيل)","OK")))))))))))</f>
        <v>ℹ تحصيل فقط (بدون Start)</v>
      </c>
      <c r="M555" s="64" t="n">
        <f aca="false">IF($A555="",0,IFERROR(MATCH($A555,Classes!$A$6:$A$420,0),0))</f>
        <v>179</v>
      </c>
      <c r="N555" s="64" t="n">
        <f aca="false">IF($H555="",0,IFERROR(MATCH($H555,GradeList,0),0))</f>
        <v>0</v>
      </c>
      <c r="O555" s="64" t="n">
        <f aca="false">IF(OR($I555="",$I555="NR"),0,IFERROR(MATCH($I555,GradeList,0),0))</f>
        <v>5</v>
      </c>
      <c r="P555" s="64" t="n">
        <f aca="false">IF(AND($M555&gt;0,ISNUMBER(MATCH($F555,Lists!$A$2:$A$5,0)),ISNUMBER(MATCH($G555,Lists!$B$2:$B$7,0)),OR($H555="",$N555&gt;0),OR($I555="",$I555="NR",$O555&gt;0),IF(ISNUMBER($J555),AND($J555&gt;=0,$J555=INT($J555)),FALSE())),$J555,0)</f>
        <v>1</v>
      </c>
      <c r="Q555" s="64" t="n">
        <f aca="false">IF(AND($P555&gt;0,$O555&gt;0),$P555,0)</f>
        <v>1</v>
      </c>
      <c r="R555" s="64" t="n">
        <f aca="false">IF(AND($Q555&gt;0,$O555&gt;=AtRank),$Q555,0)</f>
        <v>1</v>
      </c>
      <c r="S555" s="64" t="n">
        <f aca="false">IF(AND($Q555&gt;0,$O555&gt;=AboveRank),$Q555,0)</f>
        <v>0</v>
      </c>
      <c r="T555" s="64" t="n">
        <f aca="false">IF($K555="Less",$P555,0)</f>
        <v>0</v>
      </c>
      <c r="U555" s="64" t="n">
        <f aca="false">IF($K555="Expected",$P555,0)</f>
        <v>0</v>
      </c>
      <c r="V555" s="64" t="n">
        <f aca="false">IF($K555="Better",$P555,0)</f>
        <v>0</v>
      </c>
      <c r="W555" s="64" t="n">
        <f aca="false">IF($K555="U – needs rule",$P555,0)</f>
        <v>0</v>
      </c>
      <c r="X555" s="64" t="n">
        <f aca="false">IF($K555="No Start (attainment only)",$P555,0)</f>
        <v>1</v>
      </c>
    </row>
    <row r="556" customFormat="false" ht="15" hidden="false" customHeight="false" outlineLevel="0" collapsed="false">
      <c r="A556" s="60" t="s">
        <v>653</v>
      </c>
      <c r="B556" s="61" t="str">
        <f aca="false">IF($M556=0,"",INDEX(Classes!$E$6:$E$420,$M556))</f>
        <v>Arabic A</v>
      </c>
      <c r="C556" s="62" t="str">
        <f aca="false">IF($M556=0,"",INDEX(Classes!$H$6:$H$420,$M556))</f>
        <v>Ms Soad Ahmed Mohamed</v>
      </c>
      <c r="D556" s="61" t="str">
        <f aca="false">IF($M556=0,"",INDEX(Classes!$B$6:$B$420,$M556))</f>
        <v>Year 7</v>
      </c>
      <c r="E556" s="61" t="str">
        <f aca="false">IF($M556=0,"",INDEX(Classes!$C$6:$C$420,$M556))</f>
        <v>ae</v>
      </c>
      <c r="F556" s="63" t="s">
        <v>107</v>
      </c>
      <c r="G556" s="63" t="s">
        <v>108</v>
      </c>
      <c r="H556" s="60" t="s">
        <v>202</v>
      </c>
      <c r="I556" s="60" t="s">
        <v>202</v>
      </c>
      <c r="J556" s="63" t="n">
        <v>3</v>
      </c>
      <c r="K556" s="61" t="str">
        <f aca="false">IF($P556=0,"",IF($F556="Baseline","— Baseline",IF($O556=0,"No result",IF($N556=0,"No Start (attainment only)",IF(OR($N556=1,$O556=1),"U – needs rule",INDEX(MxBody,MATCH($I556,MxCurr,0),MATCH($H556,MxStart,0)))))))</f>
        <v>Better</v>
      </c>
      <c r="L556" s="62" t="str">
        <f aca="false">IF(COUNTA($A556,$F556,$G556,$H556,$I556,$J556)=0,"",IF($M556=0,"✖ كود الصف غير موجود",IF(ISNA(MATCH($F556,Lists!$A$2:$A$5,0)),"✖ الفترة غير صحيحة",IF(ISNA(MATCH($G556,Lists!$B$2:$B$7,0)),"✖ المجموعة غير صحيحة",IF(NOT(OR($H556="",$N556&gt;0)),"✖ Start غير صحيح",IF(NOT(OR($I556="",$I556="NR",$O556&gt;0)),"✖ Current غير صحيح",IF(NOT(IF(ISNUMBER($J556),AND($J556&gt;=0,$J556=INT($J556)),FALSE())),"✖ العدد يجب أن يكون صحيحًا ≥ 0",IF(AND($F556="Baseline",$H556&lt;&gt;""),"⚠ Baseline: Start لا يدخل في التقدم",IF($K556="No Start (attainment only)","ℹ تحصيل فقط (بدون Start)",IF($K556="U – needs rule","ℹ حالة U تحتاج قاعدة معتمدة",IF($K556="No result","ℹ بدون نتيجة (يُستبعد من التحصيل)","OK")))))))))))</f>
        <v>OK</v>
      </c>
      <c r="M556" s="64" t="n">
        <f aca="false">IF($A556="",0,IFERROR(MATCH($A556,Classes!$A$6:$A$420,0),0))</f>
        <v>179</v>
      </c>
      <c r="N556" s="64" t="n">
        <f aca="false">IF($H556="",0,IFERROR(MATCH($H556,GradeList,0),0))</f>
        <v>7</v>
      </c>
      <c r="O556" s="64" t="n">
        <f aca="false">IF(OR($I556="",$I556="NR"),0,IFERROR(MATCH($I556,GradeList,0),0))</f>
        <v>7</v>
      </c>
      <c r="P556" s="64" t="n">
        <f aca="false">IF(AND($M556&gt;0,ISNUMBER(MATCH($F556,Lists!$A$2:$A$5,0)),ISNUMBER(MATCH($G556,Lists!$B$2:$B$7,0)),OR($H556="",$N556&gt;0),OR($I556="",$I556="NR",$O556&gt;0),IF(ISNUMBER($J556),AND($J556&gt;=0,$J556=INT($J556)),FALSE())),$J556,0)</f>
        <v>3</v>
      </c>
      <c r="Q556" s="64" t="n">
        <f aca="false">IF(AND($P556&gt;0,$O556&gt;0),$P556,0)</f>
        <v>3</v>
      </c>
      <c r="R556" s="64" t="n">
        <f aca="false">IF(AND($Q556&gt;0,$O556&gt;=AtRank),$Q556,0)</f>
        <v>3</v>
      </c>
      <c r="S556" s="64" t="n">
        <f aca="false">IF(AND($Q556&gt;0,$O556&gt;=AboveRank),$Q556,0)</f>
        <v>3</v>
      </c>
      <c r="T556" s="64" t="n">
        <f aca="false">IF($K556="Less",$P556,0)</f>
        <v>0</v>
      </c>
      <c r="U556" s="64" t="n">
        <f aca="false">IF($K556="Expected",$P556,0)</f>
        <v>0</v>
      </c>
      <c r="V556" s="64" t="n">
        <f aca="false">IF($K556="Better",$P556,0)</f>
        <v>3</v>
      </c>
      <c r="W556" s="64" t="n">
        <f aca="false">IF($K556="U – needs rule",$P556,0)</f>
        <v>0</v>
      </c>
      <c r="X556" s="64" t="n">
        <f aca="false">IF($K556="No Start (attainment only)",$P556,0)</f>
        <v>0</v>
      </c>
    </row>
    <row r="557" customFormat="false" ht="15" hidden="false" customHeight="false" outlineLevel="0" collapsed="false">
      <c r="A557" s="60" t="s">
        <v>653</v>
      </c>
      <c r="B557" s="61" t="str">
        <f aca="false">IF($M557=0,"",INDEX(Classes!$E$6:$E$420,$M557))</f>
        <v>Arabic A</v>
      </c>
      <c r="C557" s="62" t="str">
        <f aca="false">IF($M557=0,"",INDEX(Classes!$H$6:$H$420,$M557))</f>
        <v>Ms Soad Ahmed Mohamed</v>
      </c>
      <c r="D557" s="61" t="str">
        <f aca="false">IF($M557=0,"",INDEX(Classes!$B$6:$B$420,$M557))</f>
        <v>Year 7</v>
      </c>
      <c r="E557" s="61" t="str">
        <f aca="false">IF($M557=0,"",INDEX(Classes!$C$6:$C$420,$M557))</f>
        <v>ae</v>
      </c>
      <c r="F557" s="63" t="s">
        <v>107</v>
      </c>
      <c r="G557" s="63" t="s">
        <v>108</v>
      </c>
      <c r="H557" s="60" t="s">
        <v>202</v>
      </c>
      <c r="I557" s="60" t="s">
        <v>203</v>
      </c>
      <c r="J557" s="63" t="n">
        <v>3</v>
      </c>
      <c r="K557" s="61" t="str">
        <f aca="false">IF($P557=0,"",IF($F557="Baseline","— Baseline",IF($O557=0,"No result",IF($N557=0,"No Start (attainment only)",IF(OR($N557=1,$O557=1),"U – needs rule",INDEX(MxBody,MATCH($I557,MxCurr,0),MATCH($H557,MxStart,0)))))))</f>
        <v>Better</v>
      </c>
      <c r="L557" s="62" t="str">
        <f aca="false">IF(COUNTA($A557,$F557,$G557,$H557,$I557,$J557)=0,"",IF($M557=0,"✖ كود الصف غير موجود",IF(ISNA(MATCH($F557,Lists!$A$2:$A$5,0)),"✖ الفترة غير صحيحة",IF(ISNA(MATCH($G557,Lists!$B$2:$B$7,0)),"✖ المجموعة غير صحيحة",IF(NOT(OR($H557="",$N557&gt;0)),"✖ Start غير صحيح",IF(NOT(OR($I557="",$I557="NR",$O557&gt;0)),"✖ Current غير صحيح",IF(NOT(IF(ISNUMBER($J557),AND($J557&gt;=0,$J557=INT($J557)),FALSE())),"✖ العدد يجب أن يكون صحيحًا ≥ 0",IF(AND($F557="Baseline",$H557&lt;&gt;""),"⚠ Baseline: Start لا يدخل في التقدم",IF($K557="No Start (attainment only)","ℹ تحصيل فقط (بدون Start)",IF($K557="U – needs rule","ℹ حالة U تحتاج قاعدة معتمدة",IF($K557="No result","ℹ بدون نتيجة (يُستبعد من التحصيل)","OK")))))))))))</f>
        <v>OK</v>
      </c>
      <c r="M557" s="64" t="n">
        <f aca="false">IF($A557="",0,IFERROR(MATCH($A557,Classes!$A$6:$A$420,0),0))</f>
        <v>179</v>
      </c>
      <c r="N557" s="64" t="n">
        <f aca="false">IF($H557="",0,IFERROR(MATCH($H557,GradeList,0),0))</f>
        <v>7</v>
      </c>
      <c r="O557" s="64" t="n">
        <f aca="false">IF(OR($I557="",$I557="NR"),0,IFERROR(MATCH($I557,GradeList,0),0))</f>
        <v>8</v>
      </c>
      <c r="P557" s="64" t="n">
        <f aca="false">IF(AND($M557&gt;0,ISNUMBER(MATCH($F557,Lists!$A$2:$A$5,0)),ISNUMBER(MATCH($G557,Lists!$B$2:$B$7,0)),OR($H557="",$N557&gt;0),OR($I557="",$I557="NR",$O557&gt;0),IF(ISNUMBER($J557),AND($J557&gt;=0,$J557=INT($J557)),FALSE())),$J557,0)</f>
        <v>3</v>
      </c>
      <c r="Q557" s="64" t="n">
        <f aca="false">IF(AND($P557&gt;0,$O557&gt;0),$P557,0)</f>
        <v>3</v>
      </c>
      <c r="R557" s="64" t="n">
        <f aca="false">IF(AND($Q557&gt;0,$O557&gt;=AtRank),$Q557,0)</f>
        <v>3</v>
      </c>
      <c r="S557" s="64" t="n">
        <f aca="false">IF(AND($Q557&gt;0,$O557&gt;=AboveRank),$Q557,0)</f>
        <v>3</v>
      </c>
      <c r="T557" s="64" t="n">
        <f aca="false">IF($K557="Less",$P557,0)</f>
        <v>0</v>
      </c>
      <c r="U557" s="64" t="n">
        <f aca="false">IF($K557="Expected",$P557,0)</f>
        <v>0</v>
      </c>
      <c r="V557" s="64" t="n">
        <f aca="false">IF($K557="Better",$P557,0)</f>
        <v>3</v>
      </c>
      <c r="W557" s="64" t="n">
        <f aca="false">IF($K557="U – needs rule",$P557,0)</f>
        <v>0</v>
      </c>
      <c r="X557" s="64" t="n">
        <f aca="false">IF($K557="No Start (attainment only)",$P557,0)</f>
        <v>0</v>
      </c>
    </row>
    <row r="558" customFormat="false" ht="15" hidden="false" customHeight="false" outlineLevel="0" collapsed="false">
      <c r="A558" s="60" t="s">
        <v>653</v>
      </c>
      <c r="B558" s="61" t="str">
        <f aca="false">IF($M558=0,"",INDEX(Classes!$E$6:$E$420,$M558))</f>
        <v>Arabic A</v>
      </c>
      <c r="C558" s="62" t="str">
        <f aca="false">IF($M558=0,"",INDEX(Classes!$H$6:$H$420,$M558))</f>
        <v>Ms Soad Ahmed Mohamed</v>
      </c>
      <c r="D558" s="61" t="str">
        <f aca="false">IF($M558=0,"",INDEX(Classes!$B$6:$B$420,$M558))</f>
        <v>Year 7</v>
      </c>
      <c r="E558" s="61" t="str">
        <f aca="false">IF($M558=0,"",INDEX(Classes!$C$6:$C$420,$M558))</f>
        <v>ae</v>
      </c>
      <c r="F558" s="63" t="s">
        <v>107</v>
      </c>
      <c r="G558" s="63" t="s">
        <v>108</v>
      </c>
      <c r="H558" s="60" t="s">
        <v>202</v>
      </c>
      <c r="I558" s="60" t="s">
        <v>201</v>
      </c>
      <c r="J558" s="63" t="n">
        <v>2</v>
      </c>
      <c r="K558" s="61" t="str">
        <f aca="false">IF($P558=0,"",IF($F558="Baseline","— Baseline",IF($O558=0,"No result",IF($N558=0,"No Start (attainment only)",IF(OR($N558=1,$O558=1),"U – needs rule",INDEX(MxBody,MATCH($I558,MxCurr,0),MATCH($H558,MxStart,0)))))))</f>
        <v>Expected</v>
      </c>
      <c r="L558" s="62" t="str">
        <f aca="false">IF(COUNTA($A558,$F558,$G558,$H558,$I558,$J558)=0,"",IF($M558=0,"✖ كود الصف غير موجود",IF(ISNA(MATCH($F558,Lists!$A$2:$A$5,0)),"✖ الفترة غير صحيحة",IF(ISNA(MATCH($G558,Lists!$B$2:$B$7,0)),"✖ المجموعة غير صحيحة",IF(NOT(OR($H558="",$N558&gt;0)),"✖ Start غير صحيح",IF(NOT(OR($I558="",$I558="NR",$O558&gt;0)),"✖ Current غير صحيح",IF(NOT(IF(ISNUMBER($J558),AND($J558&gt;=0,$J558=INT($J558)),FALSE())),"✖ العدد يجب أن يكون صحيحًا ≥ 0",IF(AND($F558="Baseline",$H558&lt;&gt;""),"⚠ Baseline: Start لا يدخل في التقدم",IF($K558="No Start (attainment only)","ℹ تحصيل فقط (بدون Start)",IF($K558="U – needs rule","ℹ حالة U تحتاج قاعدة معتمدة",IF($K558="No result","ℹ بدون نتيجة (يُستبعد من التحصيل)","OK")))))))))))</f>
        <v>OK</v>
      </c>
      <c r="M558" s="64" t="n">
        <f aca="false">IF($A558="",0,IFERROR(MATCH($A558,Classes!$A$6:$A$420,0),0))</f>
        <v>179</v>
      </c>
      <c r="N558" s="64" t="n">
        <f aca="false">IF($H558="",0,IFERROR(MATCH($H558,GradeList,0),0))</f>
        <v>7</v>
      </c>
      <c r="O558" s="64" t="n">
        <f aca="false">IF(OR($I558="",$I558="NR"),0,IFERROR(MATCH($I558,GradeList,0),0))</f>
        <v>6</v>
      </c>
      <c r="P558" s="64" t="n">
        <f aca="false">IF(AND($M558&gt;0,ISNUMBER(MATCH($F558,Lists!$A$2:$A$5,0)),ISNUMBER(MATCH($G558,Lists!$B$2:$B$7,0)),OR($H558="",$N558&gt;0),OR($I558="",$I558="NR",$O558&gt;0),IF(ISNUMBER($J558),AND($J558&gt;=0,$J558=INT($J558)),FALSE())),$J558,0)</f>
        <v>2</v>
      </c>
      <c r="Q558" s="64" t="n">
        <f aca="false">IF(AND($P558&gt;0,$O558&gt;0),$P558,0)</f>
        <v>2</v>
      </c>
      <c r="R558" s="64" t="n">
        <f aca="false">IF(AND($Q558&gt;0,$O558&gt;=AtRank),$Q558,0)</f>
        <v>2</v>
      </c>
      <c r="S558" s="64" t="n">
        <f aca="false">IF(AND($Q558&gt;0,$O558&gt;=AboveRank),$Q558,0)</f>
        <v>0</v>
      </c>
      <c r="T558" s="64" t="n">
        <f aca="false">IF($K558="Less",$P558,0)</f>
        <v>0</v>
      </c>
      <c r="U558" s="64" t="n">
        <f aca="false">IF($K558="Expected",$P558,0)</f>
        <v>2</v>
      </c>
      <c r="V558" s="64" t="n">
        <f aca="false">IF($K558="Better",$P558,0)</f>
        <v>0</v>
      </c>
      <c r="W558" s="64" t="n">
        <f aca="false">IF($K558="U – needs rule",$P558,0)</f>
        <v>0</v>
      </c>
      <c r="X558" s="64" t="n">
        <f aca="false">IF($K558="No Start (attainment only)",$P558,0)</f>
        <v>0</v>
      </c>
    </row>
    <row r="559" customFormat="false" ht="15" hidden="false" customHeight="false" outlineLevel="0" collapsed="false">
      <c r="A559" s="60" t="s">
        <v>653</v>
      </c>
      <c r="B559" s="61" t="str">
        <f aca="false">IF($M559=0,"",INDEX(Classes!$E$6:$E$420,$M559))</f>
        <v>Arabic A</v>
      </c>
      <c r="C559" s="62" t="str">
        <f aca="false">IF($M559=0,"",INDEX(Classes!$H$6:$H$420,$M559))</f>
        <v>Ms Soad Ahmed Mohamed</v>
      </c>
      <c r="D559" s="61" t="str">
        <f aca="false">IF($M559=0,"",INDEX(Classes!$B$6:$B$420,$M559))</f>
        <v>Year 7</v>
      </c>
      <c r="E559" s="61" t="str">
        <f aca="false">IF($M559=0,"",INDEX(Classes!$C$6:$C$420,$M559))</f>
        <v>ae</v>
      </c>
      <c r="F559" s="63" t="s">
        <v>107</v>
      </c>
      <c r="G559" s="63" t="s">
        <v>108</v>
      </c>
      <c r="H559" s="60" t="s">
        <v>202</v>
      </c>
      <c r="I559" s="60" t="s">
        <v>204</v>
      </c>
      <c r="J559" s="63" t="n">
        <v>2</v>
      </c>
      <c r="K559" s="61" t="str">
        <f aca="false">IF($P559=0,"",IF($F559="Baseline","— Baseline",IF($O559=0,"No result",IF($N559=0,"No Start (attainment only)",IF(OR($N559=1,$O559=1),"U – needs rule",INDEX(MxBody,MATCH($I559,MxCurr,0),MATCH($H559,MxStart,0)))))))</f>
        <v>Better</v>
      </c>
      <c r="L559" s="62" t="str">
        <f aca="false">IF(COUNTA($A559,$F559,$G559,$H559,$I559,$J559)=0,"",IF($M559=0,"✖ كود الصف غير موجود",IF(ISNA(MATCH($F559,Lists!$A$2:$A$5,0)),"✖ الفترة غير صحيحة",IF(ISNA(MATCH($G559,Lists!$B$2:$B$7,0)),"✖ المجموعة غير صحيحة",IF(NOT(OR($H559="",$N559&gt;0)),"✖ Start غير صحيح",IF(NOT(OR($I559="",$I559="NR",$O559&gt;0)),"✖ Current غير صحيح",IF(NOT(IF(ISNUMBER($J559),AND($J559&gt;=0,$J559=INT($J559)),FALSE())),"✖ العدد يجب أن يكون صحيحًا ≥ 0",IF(AND($F559="Baseline",$H559&lt;&gt;""),"⚠ Baseline: Start لا يدخل في التقدم",IF($K559="No Start (attainment only)","ℹ تحصيل فقط (بدون Start)",IF($K559="U – needs rule","ℹ حالة U تحتاج قاعدة معتمدة",IF($K559="No result","ℹ بدون نتيجة (يُستبعد من التحصيل)","OK")))))))))))</f>
        <v>OK</v>
      </c>
      <c r="M559" s="64" t="n">
        <f aca="false">IF($A559="",0,IFERROR(MATCH($A559,Classes!$A$6:$A$420,0),0))</f>
        <v>179</v>
      </c>
      <c r="N559" s="64" t="n">
        <f aca="false">IF($H559="",0,IFERROR(MATCH($H559,GradeList,0),0))</f>
        <v>7</v>
      </c>
      <c r="O559" s="64" t="n">
        <f aca="false">IF(OR($I559="",$I559="NR"),0,IFERROR(MATCH($I559,GradeList,0),0))</f>
        <v>9</v>
      </c>
      <c r="P559" s="64" t="n">
        <f aca="false">IF(AND($M559&gt;0,ISNUMBER(MATCH($F559,Lists!$A$2:$A$5,0)),ISNUMBER(MATCH($G559,Lists!$B$2:$B$7,0)),OR($H559="",$N559&gt;0),OR($I559="",$I559="NR",$O559&gt;0),IF(ISNUMBER($J559),AND($J559&gt;=0,$J559=INT($J559)),FALSE())),$J559,0)</f>
        <v>2</v>
      </c>
      <c r="Q559" s="64" t="n">
        <f aca="false">IF(AND($P559&gt;0,$O559&gt;0),$P559,0)</f>
        <v>2</v>
      </c>
      <c r="R559" s="64" t="n">
        <f aca="false">IF(AND($Q559&gt;0,$O559&gt;=AtRank),$Q559,0)</f>
        <v>2</v>
      </c>
      <c r="S559" s="64" t="n">
        <f aca="false">IF(AND($Q559&gt;0,$O559&gt;=AboveRank),$Q559,0)</f>
        <v>2</v>
      </c>
      <c r="T559" s="64" t="n">
        <f aca="false">IF($K559="Less",$P559,0)</f>
        <v>0</v>
      </c>
      <c r="U559" s="64" t="n">
        <f aca="false">IF($K559="Expected",$P559,0)</f>
        <v>0</v>
      </c>
      <c r="V559" s="64" t="n">
        <f aca="false">IF($K559="Better",$P559,0)</f>
        <v>2</v>
      </c>
      <c r="W559" s="64" t="n">
        <f aca="false">IF($K559="U – needs rule",$P559,0)</f>
        <v>0</v>
      </c>
      <c r="X559" s="64" t="n">
        <f aca="false">IF($K559="No Start (attainment only)",$P559,0)</f>
        <v>0</v>
      </c>
    </row>
    <row r="560" customFormat="false" ht="15" hidden="false" customHeight="false" outlineLevel="0" collapsed="false">
      <c r="A560" s="60" t="s">
        <v>653</v>
      </c>
      <c r="B560" s="61" t="str">
        <f aca="false">IF($M560=0,"",INDEX(Classes!$E$6:$E$420,$M560))</f>
        <v>Arabic A</v>
      </c>
      <c r="C560" s="62" t="str">
        <f aca="false">IF($M560=0,"",INDEX(Classes!$H$6:$H$420,$M560))</f>
        <v>Ms Soad Ahmed Mohamed</v>
      </c>
      <c r="D560" s="61" t="str">
        <f aca="false">IF($M560=0,"",INDEX(Classes!$B$6:$B$420,$M560))</f>
        <v>Year 7</v>
      </c>
      <c r="E560" s="61" t="str">
        <f aca="false">IF($M560=0,"",INDEX(Classes!$C$6:$C$420,$M560))</f>
        <v>ae</v>
      </c>
      <c r="F560" s="63" t="s">
        <v>107</v>
      </c>
      <c r="G560" s="63" t="s">
        <v>108</v>
      </c>
      <c r="H560" s="60" t="s">
        <v>202</v>
      </c>
      <c r="I560" s="60" t="s">
        <v>1019</v>
      </c>
      <c r="J560" s="63" t="n">
        <v>1</v>
      </c>
      <c r="K560" s="61" t="str">
        <f aca="false">IF($P560=0,"",IF($F560="Baseline","— Baseline",IF($O560=0,"No result",IF($N560=0,"No Start (attainment only)",IF(OR($N560=1,$O560=1),"U – needs rule",INDEX(MxBody,MATCH($I560,MxCurr,0),MATCH($H560,MxStart,0)))))))</f>
        <v>No result</v>
      </c>
      <c r="L560" s="62" t="str">
        <f aca="false">IF(COUNTA($A560,$F560,$G560,$H560,$I560,$J560)=0,"",IF($M560=0,"✖ كود الصف غير موجود",IF(ISNA(MATCH($F560,Lists!$A$2:$A$5,0)),"✖ الفترة غير صحيحة",IF(ISNA(MATCH($G560,Lists!$B$2:$B$7,0)),"✖ المجموعة غير صحيحة",IF(NOT(OR($H560="",$N560&gt;0)),"✖ Start غير صحيح",IF(NOT(OR($I560="",$I560="NR",$O560&gt;0)),"✖ Current غير صحيح",IF(NOT(IF(ISNUMBER($J560),AND($J560&gt;=0,$J560=INT($J560)),FALSE())),"✖ العدد يجب أن يكون صحيحًا ≥ 0",IF(AND($F560="Baseline",$H560&lt;&gt;""),"⚠ Baseline: Start لا يدخل في التقدم",IF($K560="No Start (attainment only)","ℹ تحصيل فقط (بدون Start)",IF($K560="U – needs rule","ℹ حالة U تحتاج قاعدة معتمدة",IF($K560="No result","ℹ بدون نتيجة (يُستبعد من التحصيل)","OK")))))))))))</f>
        <v>ℹ بدون نتيجة (يُستبعد من التحصيل)</v>
      </c>
      <c r="M560" s="64" t="n">
        <f aca="false">IF($A560="",0,IFERROR(MATCH($A560,Classes!$A$6:$A$420,0),0))</f>
        <v>179</v>
      </c>
      <c r="N560" s="64" t="n">
        <f aca="false">IF($H560="",0,IFERROR(MATCH($H560,GradeList,0),0))</f>
        <v>7</v>
      </c>
      <c r="O560" s="64" t="n">
        <f aca="false">IF(OR($I560="",$I560="NR"),0,IFERROR(MATCH($I560,GradeList,0),0))</f>
        <v>0</v>
      </c>
      <c r="P560" s="64" t="n">
        <f aca="false">IF(AND($M560&gt;0,ISNUMBER(MATCH($F560,Lists!$A$2:$A$5,0)),ISNUMBER(MATCH($G560,Lists!$B$2:$B$7,0)),OR($H560="",$N560&gt;0),OR($I560="",$I560="NR",$O560&gt;0),IF(ISNUMBER($J560),AND($J560&gt;=0,$J560=INT($J560)),FALSE())),$J560,0)</f>
        <v>1</v>
      </c>
      <c r="Q560" s="64" t="n">
        <f aca="false">IF(AND($P560&gt;0,$O560&gt;0),$P560,0)</f>
        <v>0</v>
      </c>
      <c r="R560" s="64" t="n">
        <f aca="false">IF(AND($Q560&gt;0,$O560&gt;=AtRank),$Q560,0)</f>
        <v>0</v>
      </c>
      <c r="S560" s="64" t="n">
        <f aca="false">IF(AND($Q560&gt;0,$O560&gt;=AboveRank),$Q560,0)</f>
        <v>0</v>
      </c>
      <c r="T560" s="64" t="n">
        <f aca="false">IF($K560="Less",$P560,0)</f>
        <v>0</v>
      </c>
      <c r="U560" s="64" t="n">
        <f aca="false">IF($K560="Expected",$P560,0)</f>
        <v>0</v>
      </c>
      <c r="V560" s="64" t="n">
        <f aca="false">IF($K560="Better",$P560,0)</f>
        <v>0</v>
      </c>
      <c r="W560" s="64" t="n">
        <f aca="false">IF($K560="U – needs rule",$P560,0)</f>
        <v>0</v>
      </c>
      <c r="X560" s="64" t="n">
        <f aca="false">IF($K560="No Start (attainment only)",$P560,0)</f>
        <v>0</v>
      </c>
    </row>
    <row r="561" customFormat="false" ht="15" hidden="false" customHeight="false" outlineLevel="0" collapsed="false">
      <c r="A561" s="60" t="s">
        <v>653</v>
      </c>
      <c r="B561" s="61" t="str">
        <f aca="false">IF($M561=0,"",INDEX(Classes!$E$6:$E$420,$M561))</f>
        <v>Arabic A</v>
      </c>
      <c r="C561" s="62" t="str">
        <f aca="false">IF($M561=0,"",INDEX(Classes!$H$6:$H$420,$M561))</f>
        <v>Ms Soad Ahmed Mohamed</v>
      </c>
      <c r="D561" s="61" t="str">
        <f aca="false">IF($M561=0,"",INDEX(Classes!$B$6:$B$420,$M561))</f>
        <v>Year 7</v>
      </c>
      <c r="E561" s="61" t="str">
        <f aca="false">IF($M561=0,"",INDEX(Classes!$C$6:$C$420,$M561))</f>
        <v>ae</v>
      </c>
      <c r="F561" s="63" t="s">
        <v>107</v>
      </c>
      <c r="G561" s="63" t="s">
        <v>108</v>
      </c>
      <c r="H561" s="60" t="s">
        <v>203</v>
      </c>
      <c r="I561" s="60" t="s">
        <v>203</v>
      </c>
      <c r="J561" s="63" t="n">
        <v>1</v>
      </c>
      <c r="K561" s="61" t="str">
        <f aca="false">IF($P561=0,"",IF($F561="Baseline","— Baseline",IF($O561=0,"No result",IF($N561=0,"No Start (attainment only)",IF(OR($N561=1,$O561=1),"U – needs rule",INDEX(MxBody,MATCH($I561,MxCurr,0),MATCH($H561,MxStart,0)))))))</f>
        <v>Better</v>
      </c>
      <c r="L561" s="62" t="str">
        <f aca="false">IF(COUNTA($A561,$F561,$G561,$H561,$I561,$J561)=0,"",IF($M561=0,"✖ كود الصف غير موجود",IF(ISNA(MATCH($F561,Lists!$A$2:$A$5,0)),"✖ الفترة غير صحيحة",IF(ISNA(MATCH($G561,Lists!$B$2:$B$7,0)),"✖ المجموعة غير صحيحة",IF(NOT(OR($H561="",$N561&gt;0)),"✖ Start غير صحيح",IF(NOT(OR($I561="",$I561="NR",$O561&gt;0)),"✖ Current غير صحيح",IF(NOT(IF(ISNUMBER($J561),AND($J561&gt;=0,$J561=INT($J561)),FALSE())),"✖ العدد يجب أن يكون صحيحًا ≥ 0",IF(AND($F561="Baseline",$H561&lt;&gt;""),"⚠ Baseline: Start لا يدخل في التقدم",IF($K561="No Start (attainment only)","ℹ تحصيل فقط (بدون Start)",IF($K561="U – needs rule","ℹ حالة U تحتاج قاعدة معتمدة",IF($K561="No result","ℹ بدون نتيجة (يُستبعد من التحصيل)","OK")))))))))))</f>
        <v>OK</v>
      </c>
      <c r="M561" s="64" t="n">
        <f aca="false">IF($A561="",0,IFERROR(MATCH($A561,Classes!$A$6:$A$420,0),0))</f>
        <v>179</v>
      </c>
      <c r="N561" s="64" t="n">
        <f aca="false">IF($H561="",0,IFERROR(MATCH($H561,GradeList,0),0))</f>
        <v>8</v>
      </c>
      <c r="O561" s="64" t="n">
        <f aca="false">IF(OR($I561="",$I561="NR"),0,IFERROR(MATCH($I561,GradeList,0),0))</f>
        <v>8</v>
      </c>
      <c r="P561" s="64" t="n">
        <f aca="false">IF(AND($M561&gt;0,ISNUMBER(MATCH($F561,Lists!$A$2:$A$5,0)),ISNUMBER(MATCH($G561,Lists!$B$2:$B$7,0)),OR($H561="",$N561&gt;0),OR($I561="",$I561="NR",$O561&gt;0),IF(ISNUMBER($J561),AND($J561&gt;=0,$J561=INT($J561)),FALSE())),$J561,0)</f>
        <v>1</v>
      </c>
      <c r="Q561" s="64" t="n">
        <f aca="false">IF(AND($P561&gt;0,$O561&gt;0),$P561,0)</f>
        <v>1</v>
      </c>
      <c r="R561" s="64" t="n">
        <f aca="false">IF(AND($Q561&gt;0,$O561&gt;=AtRank),$Q561,0)</f>
        <v>1</v>
      </c>
      <c r="S561" s="64" t="n">
        <f aca="false">IF(AND($Q561&gt;0,$O561&gt;=AboveRank),$Q561,0)</f>
        <v>1</v>
      </c>
      <c r="T561" s="64" t="n">
        <f aca="false">IF($K561="Less",$P561,0)</f>
        <v>0</v>
      </c>
      <c r="U561" s="64" t="n">
        <f aca="false">IF($K561="Expected",$P561,0)</f>
        <v>0</v>
      </c>
      <c r="V561" s="64" t="n">
        <f aca="false">IF($K561="Better",$P561,0)</f>
        <v>1</v>
      </c>
      <c r="W561" s="64" t="n">
        <f aca="false">IF($K561="U – needs rule",$P561,0)</f>
        <v>0</v>
      </c>
      <c r="X561" s="64" t="n">
        <f aca="false">IF($K561="No Start (attainment only)",$P561,0)</f>
        <v>0</v>
      </c>
    </row>
    <row r="562" customFormat="false" ht="15" hidden="false" customHeight="false" outlineLevel="0" collapsed="false">
      <c r="A562" s="60" t="s">
        <v>653</v>
      </c>
      <c r="B562" s="61" t="str">
        <f aca="false">IF($M562=0,"",INDEX(Classes!$E$6:$E$420,$M562))</f>
        <v>Arabic A</v>
      </c>
      <c r="C562" s="62" t="str">
        <f aca="false">IF($M562=0,"",INDEX(Classes!$H$6:$H$420,$M562))</f>
        <v>Ms Soad Ahmed Mohamed</v>
      </c>
      <c r="D562" s="61" t="str">
        <f aca="false">IF($M562=0,"",INDEX(Classes!$B$6:$B$420,$M562))</f>
        <v>Year 7</v>
      </c>
      <c r="E562" s="61" t="str">
        <f aca="false">IF($M562=0,"",INDEX(Classes!$C$6:$C$420,$M562))</f>
        <v>ae</v>
      </c>
      <c r="F562" s="63" t="s">
        <v>107</v>
      </c>
      <c r="G562" s="63" t="s">
        <v>108</v>
      </c>
      <c r="H562" s="60" t="s">
        <v>203</v>
      </c>
      <c r="I562" s="60" t="s">
        <v>204</v>
      </c>
      <c r="J562" s="63" t="n">
        <v>1</v>
      </c>
      <c r="K562" s="61" t="str">
        <f aca="false">IF($P562=0,"",IF($F562="Baseline","— Baseline",IF($O562=0,"No result",IF($N562=0,"No Start (attainment only)",IF(OR($N562=1,$O562=1),"U – needs rule",INDEX(MxBody,MATCH($I562,MxCurr,0),MATCH($H562,MxStart,0)))))))</f>
        <v>Better</v>
      </c>
      <c r="L562" s="62" t="str">
        <f aca="false">IF(COUNTA($A562,$F562,$G562,$H562,$I562,$J562)=0,"",IF($M562=0,"✖ كود الصف غير موجود",IF(ISNA(MATCH($F562,Lists!$A$2:$A$5,0)),"✖ الفترة غير صحيحة",IF(ISNA(MATCH($G562,Lists!$B$2:$B$7,0)),"✖ المجموعة غير صحيحة",IF(NOT(OR($H562="",$N562&gt;0)),"✖ Start غير صحيح",IF(NOT(OR($I562="",$I562="NR",$O562&gt;0)),"✖ Current غير صحيح",IF(NOT(IF(ISNUMBER($J562),AND($J562&gt;=0,$J562=INT($J562)),FALSE())),"✖ العدد يجب أن يكون صحيحًا ≥ 0",IF(AND($F562="Baseline",$H562&lt;&gt;""),"⚠ Baseline: Start لا يدخل في التقدم",IF($K562="No Start (attainment only)","ℹ تحصيل فقط (بدون Start)",IF($K562="U – needs rule","ℹ حالة U تحتاج قاعدة معتمدة",IF($K562="No result","ℹ بدون نتيجة (يُستبعد من التحصيل)","OK")))))))))))</f>
        <v>OK</v>
      </c>
      <c r="M562" s="64" t="n">
        <f aca="false">IF($A562="",0,IFERROR(MATCH($A562,Classes!$A$6:$A$420,0),0))</f>
        <v>179</v>
      </c>
      <c r="N562" s="64" t="n">
        <f aca="false">IF($H562="",0,IFERROR(MATCH($H562,GradeList,0),0))</f>
        <v>8</v>
      </c>
      <c r="O562" s="64" t="n">
        <f aca="false">IF(OR($I562="",$I562="NR"),0,IFERROR(MATCH($I562,GradeList,0),0))</f>
        <v>9</v>
      </c>
      <c r="P562" s="64" t="n">
        <f aca="false">IF(AND($M562&gt;0,ISNUMBER(MATCH($F562,Lists!$A$2:$A$5,0)),ISNUMBER(MATCH($G562,Lists!$B$2:$B$7,0)),OR($H562="",$N562&gt;0),OR($I562="",$I562="NR",$O562&gt;0),IF(ISNUMBER($J562),AND($J562&gt;=0,$J562=INT($J562)),FALSE())),$J562,0)</f>
        <v>1</v>
      </c>
      <c r="Q562" s="64" t="n">
        <f aca="false">IF(AND($P562&gt;0,$O562&gt;0),$P562,0)</f>
        <v>1</v>
      </c>
      <c r="R562" s="64" t="n">
        <f aca="false">IF(AND($Q562&gt;0,$O562&gt;=AtRank),$Q562,0)</f>
        <v>1</v>
      </c>
      <c r="S562" s="64" t="n">
        <f aca="false">IF(AND($Q562&gt;0,$O562&gt;=AboveRank),$Q562,0)</f>
        <v>1</v>
      </c>
      <c r="T562" s="64" t="n">
        <f aca="false">IF($K562="Less",$P562,0)</f>
        <v>0</v>
      </c>
      <c r="U562" s="64" t="n">
        <f aca="false">IF($K562="Expected",$P562,0)</f>
        <v>0</v>
      </c>
      <c r="V562" s="64" t="n">
        <f aca="false">IF($K562="Better",$P562,0)</f>
        <v>1</v>
      </c>
      <c r="W562" s="64" t="n">
        <f aca="false">IF($K562="U – needs rule",$P562,0)</f>
        <v>0</v>
      </c>
      <c r="X562" s="64" t="n">
        <f aca="false">IF($K562="No Start (attainment only)",$P562,0)</f>
        <v>0</v>
      </c>
    </row>
    <row r="563" customFormat="false" ht="15" hidden="false" customHeight="false" outlineLevel="0" collapsed="false">
      <c r="A563" s="60" t="s">
        <v>653</v>
      </c>
      <c r="B563" s="61" t="str">
        <f aca="false">IF($M563=0,"",INDEX(Classes!$E$6:$E$420,$M563))</f>
        <v>Arabic A</v>
      </c>
      <c r="C563" s="62" t="str">
        <f aca="false">IF($M563=0,"",INDEX(Classes!$H$6:$H$420,$M563))</f>
        <v>Ms Soad Ahmed Mohamed</v>
      </c>
      <c r="D563" s="61" t="str">
        <f aca="false">IF($M563=0,"",INDEX(Classes!$B$6:$B$420,$M563))</f>
        <v>Year 7</v>
      </c>
      <c r="E563" s="61" t="str">
        <f aca="false">IF($M563=0,"",INDEX(Classes!$C$6:$C$420,$M563))</f>
        <v>ae</v>
      </c>
      <c r="F563" s="63" t="s">
        <v>107</v>
      </c>
      <c r="G563" s="63" t="s">
        <v>108</v>
      </c>
      <c r="H563" s="60" t="s">
        <v>200</v>
      </c>
      <c r="I563" s="60" t="s">
        <v>201</v>
      </c>
      <c r="J563" s="63" t="n">
        <v>1</v>
      </c>
      <c r="K563" s="61" t="str">
        <f aca="false">IF($P563=0,"",IF($F563="Baseline","— Baseline",IF($O563=0,"No result",IF($N563=0,"No Start (attainment only)",IF(OR($N563=1,$O563=1),"U – needs rule",INDEX(MxBody,MATCH($I563,MxCurr,0),MATCH($H563,MxStart,0)))))))</f>
        <v>Better</v>
      </c>
      <c r="L563" s="62" t="str">
        <f aca="false">IF(COUNTA($A563,$F563,$G563,$H563,$I563,$J563)=0,"",IF($M563=0,"✖ كود الصف غير موجود",IF(ISNA(MATCH($F563,Lists!$A$2:$A$5,0)),"✖ الفترة غير صحيحة",IF(ISNA(MATCH($G563,Lists!$B$2:$B$7,0)),"✖ المجموعة غير صحيحة",IF(NOT(OR($H563="",$N563&gt;0)),"✖ Start غير صحيح",IF(NOT(OR($I563="",$I563="NR",$O563&gt;0)),"✖ Current غير صحيح",IF(NOT(IF(ISNUMBER($J563),AND($J563&gt;=0,$J563=INT($J563)),FALSE())),"✖ العدد يجب أن يكون صحيحًا ≥ 0",IF(AND($F563="Baseline",$H563&lt;&gt;""),"⚠ Baseline: Start لا يدخل في التقدم",IF($K563="No Start (attainment only)","ℹ تحصيل فقط (بدون Start)",IF($K563="U – needs rule","ℹ حالة U تحتاج قاعدة معتمدة",IF($K563="No result","ℹ بدون نتيجة (يُستبعد من التحصيل)","OK")))))))))))</f>
        <v>OK</v>
      </c>
      <c r="M563" s="64" t="n">
        <f aca="false">IF($A563="",0,IFERROR(MATCH($A563,Classes!$A$6:$A$420,0),0))</f>
        <v>179</v>
      </c>
      <c r="N563" s="64" t="n">
        <f aca="false">IF($H563="",0,IFERROR(MATCH($H563,GradeList,0),0))</f>
        <v>5</v>
      </c>
      <c r="O563" s="64" t="n">
        <f aca="false">IF(OR($I563="",$I563="NR"),0,IFERROR(MATCH($I563,GradeList,0),0))</f>
        <v>6</v>
      </c>
      <c r="P563" s="64" t="n">
        <f aca="false">IF(AND($M563&gt;0,ISNUMBER(MATCH($F563,Lists!$A$2:$A$5,0)),ISNUMBER(MATCH($G563,Lists!$B$2:$B$7,0)),OR($H563="",$N563&gt;0),OR($I563="",$I563="NR",$O563&gt;0),IF(ISNUMBER($J563),AND($J563&gt;=0,$J563=INT($J563)),FALSE())),$J563,0)</f>
        <v>1</v>
      </c>
      <c r="Q563" s="64" t="n">
        <f aca="false">IF(AND($P563&gt;0,$O563&gt;0),$P563,0)</f>
        <v>1</v>
      </c>
      <c r="R563" s="64" t="n">
        <f aca="false">IF(AND($Q563&gt;0,$O563&gt;=AtRank),$Q563,0)</f>
        <v>1</v>
      </c>
      <c r="S563" s="64" t="n">
        <f aca="false">IF(AND($Q563&gt;0,$O563&gt;=AboveRank),$Q563,0)</f>
        <v>0</v>
      </c>
      <c r="T563" s="64" t="n">
        <f aca="false">IF($K563="Less",$P563,0)</f>
        <v>0</v>
      </c>
      <c r="U563" s="64" t="n">
        <f aca="false">IF($K563="Expected",$P563,0)</f>
        <v>0</v>
      </c>
      <c r="V563" s="64" t="n">
        <f aca="false">IF($K563="Better",$P563,0)</f>
        <v>1</v>
      </c>
      <c r="W563" s="64" t="n">
        <f aca="false">IF($K563="U – needs rule",$P563,0)</f>
        <v>0</v>
      </c>
      <c r="X563" s="64" t="n">
        <f aca="false">IF($K563="No Start (attainment only)",$P563,0)</f>
        <v>0</v>
      </c>
    </row>
    <row r="564" customFormat="false" ht="15" hidden="false" customHeight="false" outlineLevel="0" collapsed="false">
      <c r="A564" s="60" t="s">
        <v>653</v>
      </c>
      <c r="B564" s="61" t="str">
        <f aca="false">IF($M564=0,"",INDEX(Classes!$E$6:$E$420,$M564))</f>
        <v>Arabic A</v>
      </c>
      <c r="C564" s="62" t="str">
        <f aca="false">IF($M564=0,"",INDEX(Classes!$H$6:$H$420,$M564))</f>
        <v>Ms Soad Ahmed Mohamed</v>
      </c>
      <c r="D564" s="61" t="str">
        <f aca="false">IF($M564=0,"",INDEX(Classes!$B$6:$B$420,$M564))</f>
        <v>Year 7</v>
      </c>
      <c r="E564" s="61" t="str">
        <f aca="false">IF($M564=0,"",INDEX(Classes!$C$6:$C$420,$M564))</f>
        <v>ae</v>
      </c>
      <c r="F564" s="63" t="s">
        <v>107</v>
      </c>
      <c r="G564" s="63" t="s">
        <v>108</v>
      </c>
      <c r="H564" s="60" t="s">
        <v>200</v>
      </c>
      <c r="I564" s="60" t="s">
        <v>196</v>
      </c>
      <c r="J564" s="63" t="n">
        <v>1</v>
      </c>
      <c r="K564" s="61" t="str">
        <f aca="false">IF($P564=0,"",IF($F564="Baseline","— Baseline",IF($O564=0,"No result",IF($N564=0,"No Start (attainment only)",IF(OR($N564=1,$O564=1),"U – needs rule",INDEX(MxBody,MATCH($I564,MxCurr,0),MATCH($H564,MxStart,0)))))))</f>
        <v>U – needs rule</v>
      </c>
      <c r="L564" s="62" t="str">
        <f aca="false">IF(COUNTA($A564,$F564,$G564,$H564,$I564,$J564)=0,"",IF($M564=0,"✖ كود الصف غير موجود",IF(ISNA(MATCH($F564,Lists!$A$2:$A$5,0)),"✖ الفترة غير صحيحة",IF(ISNA(MATCH($G564,Lists!$B$2:$B$7,0)),"✖ المجموعة غير صحيحة",IF(NOT(OR($H564="",$N564&gt;0)),"✖ Start غير صحيح",IF(NOT(OR($I564="",$I564="NR",$O564&gt;0)),"✖ Current غير صحيح",IF(NOT(IF(ISNUMBER($J564),AND($J564&gt;=0,$J564=INT($J564)),FALSE())),"✖ العدد يجب أن يكون صحيحًا ≥ 0",IF(AND($F564="Baseline",$H564&lt;&gt;""),"⚠ Baseline: Start لا يدخل في التقدم",IF($K564="No Start (attainment only)","ℹ تحصيل فقط (بدون Start)",IF($K564="U – needs rule","ℹ حالة U تحتاج قاعدة معتمدة",IF($K564="No result","ℹ بدون نتيجة (يُستبعد من التحصيل)","OK")))))))))))</f>
        <v>ℹ حالة U تحتاج قاعدة معتمدة</v>
      </c>
      <c r="M564" s="64" t="n">
        <f aca="false">IF($A564="",0,IFERROR(MATCH($A564,Classes!$A$6:$A$420,0),0))</f>
        <v>179</v>
      </c>
      <c r="N564" s="64" t="n">
        <f aca="false">IF($H564="",0,IFERROR(MATCH($H564,GradeList,0),0))</f>
        <v>5</v>
      </c>
      <c r="O564" s="64" t="n">
        <f aca="false">IF(OR($I564="",$I564="NR"),0,IFERROR(MATCH($I564,GradeList,0),0))</f>
        <v>1</v>
      </c>
      <c r="P564" s="64" t="n">
        <f aca="false">IF(AND($M564&gt;0,ISNUMBER(MATCH($F564,Lists!$A$2:$A$5,0)),ISNUMBER(MATCH($G564,Lists!$B$2:$B$7,0)),OR($H564="",$N564&gt;0),OR($I564="",$I564="NR",$O564&gt;0),IF(ISNUMBER($J564),AND($J564&gt;=0,$J564=INT($J564)),FALSE())),$J564,0)</f>
        <v>1</v>
      </c>
      <c r="Q564" s="64" t="n">
        <f aca="false">IF(AND($P564&gt;0,$O564&gt;0),$P564,0)</f>
        <v>1</v>
      </c>
      <c r="R564" s="64" t="n">
        <f aca="false">IF(AND($Q564&gt;0,$O564&gt;=AtRank),$Q564,0)</f>
        <v>0</v>
      </c>
      <c r="S564" s="64" t="n">
        <f aca="false">IF(AND($Q564&gt;0,$O564&gt;=AboveRank),$Q564,0)</f>
        <v>0</v>
      </c>
      <c r="T564" s="64" t="n">
        <f aca="false">IF($K564="Less",$P564,0)</f>
        <v>0</v>
      </c>
      <c r="U564" s="64" t="n">
        <f aca="false">IF($K564="Expected",$P564,0)</f>
        <v>0</v>
      </c>
      <c r="V564" s="64" t="n">
        <f aca="false">IF($K564="Better",$P564,0)</f>
        <v>0</v>
      </c>
      <c r="W564" s="64" t="n">
        <f aca="false">IF($K564="U – needs rule",$P564,0)</f>
        <v>1</v>
      </c>
      <c r="X564" s="64" t="n">
        <f aca="false">IF($K564="No Start (attainment only)",$P564,0)</f>
        <v>0</v>
      </c>
    </row>
    <row r="565" customFormat="false" ht="15" hidden="false" customHeight="false" outlineLevel="0" collapsed="false">
      <c r="A565" s="60" t="s">
        <v>653</v>
      </c>
      <c r="B565" s="61" t="str">
        <f aca="false">IF($M565=0,"",INDEX(Classes!$E$6:$E$420,$M565))</f>
        <v>Arabic A</v>
      </c>
      <c r="C565" s="62" t="str">
        <f aca="false">IF($M565=0,"",INDEX(Classes!$H$6:$H$420,$M565))</f>
        <v>Ms Soad Ahmed Mohamed</v>
      </c>
      <c r="D565" s="61" t="str">
        <f aca="false">IF($M565=0,"",INDEX(Classes!$B$6:$B$420,$M565))</f>
        <v>Year 7</v>
      </c>
      <c r="E565" s="61" t="str">
        <f aca="false">IF($M565=0,"",INDEX(Classes!$C$6:$C$420,$M565))</f>
        <v>ae</v>
      </c>
      <c r="F565" s="63" t="s">
        <v>107</v>
      </c>
      <c r="G565" s="63" t="s">
        <v>108</v>
      </c>
      <c r="H565" s="60" t="s">
        <v>201</v>
      </c>
      <c r="I565" s="60" t="s">
        <v>202</v>
      </c>
      <c r="J565" s="63" t="n">
        <v>2</v>
      </c>
      <c r="K565" s="61" t="str">
        <f aca="false">IF($P565=0,"",IF($F565="Baseline","— Baseline",IF($O565=0,"No result",IF($N565=0,"No Start (attainment only)",IF(OR($N565=1,$O565=1),"U – needs rule",INDEX(MxBody,MATCH($I565,MxCurr,0),MATCH($H565,MxStart,0)))))))</f>
        <v>Better</v>
      </c>
      <c r="L565" s="62" t="str">
        <f aca="false">IF(COUNTA($A565,$F565,$G565,$H565,$I565,$J565)=0,"",IF($M565=0,"✖ كود الصف غير موجود",IF(ISNA(MATCH($F565,Lists!$A$2:$A$5,0)),"✖ الفترة غير صحيحة",IF(ISNA(MATCH($G565,Lists!$B$2:$B$7,0)),"✖ المجموعة غير صحيحة",IF(NOT(OR($H565="",$N565&gt;0)),"✖ Start غير صحيح",IF(NOT(OR($I565="",$I565="NR",$O565&gt;0)),"✖ Current غير صحيح",IF(NOT(IF(ISNUMBER($J565),AND($J565&gt;=0,$J565=INT($J565)),FALSE())),"✖ العدد يجب أن يكون صحيحًا ≥ 0",IF(AND($F565="Baseline",$H565&lt;&gt;""),"⚠ Baseline: Start لا يدخل في التقدم",IF($K565="No Start (attainment only)","ℹ تحصيل فقط (بدون Start)",IF($K565="U – needs rule","ℹ حالة U تحتاج قاعدة معتمدة",IF($K565="No result","ℹ بدون نتيجة (يُستبعد من التحصيل)","OK")))))))))))</f>
        <v>OK</v>
      </c>
      <c r="M565" s="64" t="n">
        <f aca="false">IF($A565="",0,IFERROR(MATCH($A565,Classes!$A$6:$A$420,0),0))</f>
        <v>179</v>
      </c>
      <c r="N565" s="64" t="n">
        <f aca="false">IF($H565="",0,IFERROR(MATCH($H565,GradeList,0),0))</f>
        <v>6</v>
      </c>
      <c r="O565" s="64" t="n">
        <f aca="false">IF(OR($I565="",$I565="NR"),0,IFERROR(MATCH($I565,GradeList,0),0))</f>
        <v>7</v>
      </c>
      <c r="P565" s="64" t="n">
        <f aca="false">IF(AND($M565&gt;0,ISNUMBER(MATCH($F565,Lists!$A$2:$A$5,0)),ISNUMBER(MATCH($G565,Lists!$B$2:$B$7,0)),OR($H565="",$N565&gt;0),OR($I565="",$I565="NR",$O565&gt;0),IF(ISNUMBER($J565),AND($J565&gt;=0,$J565=INT($J565)),FALSE())),$J565,0)</f>
        <v>2</v>
      </c>
      <c r="Q565" s="64" t="n">
        <f aca="false">IF(AND($P565&gt;0,$O565&gt;0),$P565,0)</f>
        <v>2</v>
      </c>
      <c r="R565" s="64" t="n">
        <f aca="false">IF(AND($Q565&gt;0,$O565&gt;=AtRank),$Q565,0)</f>
        <v>2</v>
      </c>
      <c r="S565" s="64" t="n">
        <f aca="false">IF(AND($Q565&gt;0,$O565&gt;=AboveRank),$Q565,0)</f>
        <v>2</v>
      </c>
      <c r="T565" s="64" t="n">
        <f aca="false">IF($K565="Less",$P565,0)</f>
        <v>0</v>
      </c>
      <c r="U565" s="64" t="n">
        <f aca="false">IF($K565="Expected",$P565,0)</f>
        <v>0</v>
      </c>
      <c r="V565" s="64" t="n">
        <f aca="false">IF($K565="Better",$P565,0)</f>
        <v>2</v>
      </c>
      <c r="W565" s="64" t="n">
        <f aca="false">IF($K565="U – needs rule",$P565,0)</f>
        <v>0</v>
      </c>
      <c r="X565" s="64" t="n">
        <f aca="false">IF($K565="No Start (attainment only)",$P565,0)</f>
        <v>0</v>
      </c>
    </row>
    <row r="566" customFormat="false" ht="15" hidden="false" customHeight="false" outlineLevel="0" collapsed="false">
      <c r="A566" s="60" t="s">
        <v>653</v>
      </c>
      <c r="B566" s="61" t="str">
        <f aca="false">IF($M566=0,"",INDEX(Classes!$E$6:$E$420,$M566))</f>
        <v>Arabic A</v>
      </c>
      <c r="C566" s="62" t="str">
        <f aca="false">IF($M566=0,"",INDEX(Classes!$H$6:$H$420,$M566))</f>
        <v>Ms Soad Ahmed Mohamed</v>
      </c>
      <c r="D566" s="61" t="str">
        <f aca="false">IF($M566=0,"",INDEX(Classes!$B$6:$B$420,$M566))</f>
        <v>Year 7</v>
      </c>
      <c r="E566" s="61" t="str">
        <f aca="false">IF($M566=0,"",INDEX(Classes!$C$6:$C$420,$M566))</f>
        <v>ae</v>
      </c>
      <c r="F566" s="63" t="s">
        <v>107</v>
      </c>
      <c r="G566" s="63" t="s">
        <v>108</v>
      </c>
      <c r="H566" s="60" t="s">
        <v>201</v>
      </c>
      <c r="I566" s="60" t="s">
        <v>200</v>
      </c>
      <c r="J566" s="63" t="n">
        <v>1</v>
      </c>
      <c r="K566" s="61" t="str">
        <f aca="false">IF($P566=0,"",IF($F566="Baseline","— Baseline",IF($O566=0,"No result",IF($N566=0,"No Start (attainment only)",IF(OR($N566=1,$O566=1),"U – needs rule",INDEX(MxBody,MATCH($I566,MxCurr,0),MATCH($H566,MxStart,0)))))))</f>
        <v>Expected</v>
      </c>
      <c r="L566" s="62" t="str">
        <f aca="false">IF(COUNTA($A566,$F566,$G566,$H566,$I566,$J566)=0,"",IF($M566=0,"✖ كود الصف غير موجود",IF(ISNA(MATCH($F566,Lists!$A$2:$A$5,0)),"✖ الفترة غير صحيحة",IF(ISNA(MATCH($G566,Lists!$B$2:$B$7,0)),"✖ المجموعة غير صحيحة",IF(NOT(OR($H566="",$N566&gt;0)),"✖ Start غير صحيح",IF(NOT(OR($I566="",$I566="NR",$O566&gt;0)),"✖ Current غير صحيح",IF(NOT(IF(ISNUMBER($J566),AND($J566&gt;=0,$J566=INT($J566)),FALSE())),"✖ العدد يجب أن يكون صحيحًا ≥ 0",IF(AND($F566="Baseline",$H566&lt;&gt;""),"⚠ Baseline: Start لا يدخل في التقدم",IF($K566="No Start (attainment only)","ℹ تحصيل فقط (بدون Start)",IF($K566="U – needs rule","ℹ حالة U تحتاج قاعدة معتمدة",IF($K566="No result","ℹ بدون نتيجة (يُستبعد من التحصيل)","OK")))))))))))</f>
        <v>OK</v>
      </c>
      <c r="M566" s="64" t="n">
        <f aca="false">IF($A566="",0,IFERROR(MATCH($A566,Classes!$A$6:$A$420,0),0))</f>
        <v>179</v>
      </c>
      <c r="N566" s="64" t="n">
        <f aca="false">IF($H566="",0,IFERROR(MATCH($H566,GradeList,0),0))</f>
        <v>6</v>
      </c>
      <c r="O566" s="64" t="n">
        <f aca="false">IF(OR($I566="",$I566="NR"),0,IFERROR(MATCH($I566,GradeList,0),0))</f>
        <v>5</v>
      </c>
      <c r="P566" s="64" t="n">
        <f aca="false">IF(AND($M566&gt;0,ISNUMBER(MATCH($F566,Lists!$A$2:$A$5,0)),ISNUMBER(MATCH($G566,Lists!$B$2:$B$7,0)),OR($H566="",$N566&gt;0),OR($I566="",$I566="NR",$O566&gt;0),IF(ISNUMBER($J566),AND($J566&gt;=0,$J566=INT($J566)),FALSE())),$J566,0)</f>
        <v>1</v>
      </c>
      <c r="Q566" s="64" t="n">
        <f aca="false">IF(AND($P566&gt;0,$O566&gt;0),$P566,0)</f>
        <v>1</v>
      </c>
      <c r="R566" s="64" t="n">
        <f aca="false">IF(AND($Q566&gt;0,$O566&gt;=AtRank),$Q566,0)</f>
        <v>1</v>
      </c>
      <c r="S566" s="64" t="n">
        <f aca="false">IF(AND($Q566&gt;0,$O566&gt;=AboveRank),$Q566,0)</f>
        <v>0</v>
      </c>
      <c r="T566" s="64" t="n">
        <f aca="false">IF($K566="Less",$P566,0)</f>
        <v>0</v>
      </c>
      <c r="U566" s="64" t="n">
        <f aca="false">IF($K566="Expected",$P566,0)</f>
        <v>1</v>
      </c>
      <c r="V566" s="64" t="n">
        <f aca="false">IF($K566="Better",$P566,0)</f>
        <v>0</v>
      </c>
      <c r="W566" s="64" t="n">
        <f aca="false">IF($K566="U – needs rule",$P566,0)</f>
        <v>0</v>
      </c>
      <c r="X566" s="64" t="n">
        <f aca="false">IF($K566="No Start (attainment only)",$P566,0)</f>
        <v>0</v>
      </c>
    </row>
    <row r="567" customFormat="false" ht="15" hidden="false" customHeight="false" outlineLevel="0" collapsed="false">
      <c r="A567" s="60" t="s">
        <v>653</v>
      </c>
      <c r="B567" s="61" t="str">
        <f aca="false">IF($M567=0,"",INDEX(Classes!$E$6:$E$420,$M567))</f>
        <v>Arabic A</v>
      </c>
      <c r="C567" s="62" t="str">
        <f aca="false">IF($M567=0,"",INDEX(Classes!$H$6:$H$420,$M567))</f>
        <v>Ms Soad Ahmed Mohamed</v>
      </c>
      <c r="D567" s="61" t="str">
        <f aca="false">IF($M567=0,"",INDEX(Classes!$B$6:$B$420,$M567))</f>
        <v>Year 7</v>
      </c>
      <c r="E567" s="61" t="str">
        <f aca="false">IF($M567=0,"",INDEX(Classes!$C$6:$C$420,$M567))</f>
        <v>ae</v>
      </c>
      <c r="F567" s="63" t="s">
        <v>107</v>
      </c>
      <c r="G567" s="63" t="s">
        <v>108</v>
      </c>
      <c r="H567" s="60" t="s">
        <v>201</v>
      </c>
      <c r="I567" s="60" t="s">
        <v>201</v>
      </c>
      <c r="J567" s="63" t="n">
        <v>3</v>
      </c>
      <c r="K567" s="61" t="str">
        <f aca="false">IF($P567=0,"",IF($F567="Baseline","— Baseline",IF($O567=0,"No result",IF($N567=0,"No Start (attainment only)",IF(OR($N567=1,$O567=1),"U – needs rule",INDEX(MxBody,MATCH($I567,MxCurr,0),MATCH($H567,MxStart,0)))))))</f>
        <v>Expected</v>
      </c>
      <c r="L567" s="62" t="str">
        <f aca="false">IF(COUNTA($A567,$F567,$G567,$H567,$I567,$J567)=0,"",IF($M567=0,"✖ كود الصف غير موجود",IF(ISNA(MATCH($F567,Lists!$A$2:$A$5,0)),"✖ الفترة غير صحيحة",IF(ISNA(MATCH($G567,Lists!$B$2:$B$7,0)),"✖ المجموعة غير صحيحة",IF(NOT(OR($H567="",$N567&gt;0)),"✖ Start غير صحيح",IF(NOT(OR($I567="",$I567="NR",$O567&gt;0)),"✖ Current غير صحيح",IF(NOT(IF(ISNUMBER($J567),AND($J567&gt;=0,$J567=INT($J567)),FALSE())),"✖ العدد يجب أن يكون صحيحًا ≥ 0",IF(AND($F567="Baseline",$H567&lt;&gt;""),"⚠ Baseline: Start لا يدخل في التقدم",IF($K567="No Start (attainment only)","ℹ تحصيل فقط (بدون Start)",IF($K567="U – needs rule","ℹ حالة U تحتاج قاعدة معتمدة",IF($K567="No result","ℹ بدون نتيجة (يُستبعد من التحصيل)","OK")))))))))))</f>
        <v>OK</v>
      </c>
      <c r="M567" s="64" t="n">
        <f aca="false">IF($A567="",0,IFERROR(MATCH($A567,Classes!$A$6:$A$420,0),0))</f>
        <v>179</v>
      </c>
      <c r="N567" s="64" t="n">
        <f aca="false">IF($H567="",0,IFERROR(MATCH($H567,GradeList,0),0))</f>
        <v>6</v>
      </c>
      <c r="O567" s="64" t="n">
        <f aca="false">IF(OR($I567="",$I567="NR"),0,IFERROR(MATCH($I567,GradeList,0),0))</f>
        <v>6</v>
      </c>
      <c r="P567" s="64" t="n">
        <f aca="false">IF(AND($M567&gt;0,ISNUMBER(MATCH($F567,Lists!$A$2:$A$5,0)),ISNUMBER(MATCH($G567,Lists!$B$2:$B$7,0)),OR($H567="",$N567&gt;0),OR($I567="",$I567="NR",$O567&gt;0),IF(ISNUMBER($J567),AND($J567&gt;=0,$J567=INT($J567)),FALSE())),$J567,0)</f>
        <v>3</v>
      </c>
      <c r="Q567" s="64" t="n">
        <f aca="false">IF(AND($P567&gt;0,$O567&gt;0),$P567,0)</f>
        <v>3</v>
      </c>
      <c r="R567" s="64" t="n">
        <f aca="false">IF(AND($Q567&gt;0,$O567&gt;=AtRank),$Q567,0)</f>
        <v>3</v>
      </c>
      <c r="S567" s="64" t="n">
        <f aca="false">IF(AND($Q567&gt;0,$O567&gt;=AboveRank),$Q567,0)</f>
        <v>0</v>
      </c>
      <c r="T567" s="64" t="n">
        <f aca="false">IF($K567="Less",$P567,0)</f>
        <v>0</v>
      </c>
      <c r="U567" s="64" t="n">
        <f aca="false">IF($K567="Expected",$P567,0)</f>
        <v>3</v>
      </c>
      <c r="V567" s="64" t="n">
        <f aca="false">IF($K567="Better",$P567,0)</f>
        <v>0</v>
      </c>
      <c r="W567" s="64" t="n">
        <f aca="false">IF($K567="U – needs rule",$P567,0)</f>
        <v>0</v>
      </c>
      <c r="X567" s="64" t="n">
        <f aca="false">IF($K567="No Start (attainment only)",$P567,0)</f>
        <v>0</v>
      </c>
    </row>
    <row r="568" customFormat="false" ht="15" hidden="false" customHeight="false" outlineLevel="0" collapsed="false">
      <c r="A568" s="60" t="s">
        <v>653</v>
      </c>
      <c r="B568" s="61" t="str">
        <f aca="false">IF($M568=0,"",INDEX(Classes!$E$6:$E$420,$M568))</f>
        <v>Arabic A</v>
      </c>
      <c r="C568" s="62" t="str">
        <f aca="false">IF($M568=0,"",INDEX(Classes!$H$6:$H$420,$M568))</f>
        <v>Ms Soad Ahmed Mohamed</v>
      </c>
      <c r="D568" s="61" t="str">
        <f aca="false">IF($M568=0,"",INDEX(Classes!$B$6:$B$420,$M568))</f>
        <v>Year 7</v>
      </c>
      <c r="E568" s="61" t="str">
        <f aca="false">IF($M568=0,"",INDEX(Classes!$C$6:$C$420,$M568))</f>
        <v>ae</v>
      </c>
      <c r="F568" s="63" t="s">
        <v>107</v>
      </c>
      <c r="G568" s="63" t="s">
        <v>108</v>
      </c>
      <c r="H568" s="60" t="s">
        <v>204</v>
      </c>
      <c r="I568" s="60" t="s">
        <v>204</v>
      </c>
      <c r="J568" s="63" t="n">
        <v>1</v>
      </c>
      <c r="K568" s="61" t="str">
        <f aca="false">IF($P568=0,"",IF($F568="Baseline","— Baseline",IF($O568=0,"No result",IF($N568=0,"No Start (attainment only)",IF(OR($N568=1,$O568=1),"U – needs rule",INDEX(MxBody,MATCH($I568,MxCurr,0),MATCH($H568,MxStart,0)))))))</f>
        <v>Better</v>
      </c>
      <c r="L568" s="62" t="str">
        <f aca="false">IF(COUNTA($A568,$F568,$G568,$H568,$I568,$J568)=0,"",IF($M568=0,"✖ كود الصف غير موجود",IF(ISNA(MATCH($F568,Lists!$A$2:$A$5,0)),"✖ الفترة غير صحيحة",IF(ISNA(MATCH($G568,Lists!$B$2:$B$7,0)),"✖ المجموعة غير صحيحة",IF(NOT(OR($H568="",$N568&gt;0)),"✖ Start غير صحيح",IF(NOT(OR($I568="",$I568="NR",$O568&gt;0)),"✖ Current غير صحيح",IF(NOT(IF(ISNUMBER($J568),AND($J568&gt;=0,$J568=INT($J568)),FALSE())),"✖ العدد يجب أن يكون صحيحًا ≥ 0",IF(AND($F568="Baseline",$H568&lt;&gt;""),"⚠ Baseline: Start لا يدخل في التقدم",IF($K568="No Start (attainment only)","ℹ تحصيل فقط (بدون Start)",IF($K568="U – needs rule","ℹ حالة U تحتاج قاعدة معتمدة",IF($K568="No result","ℹ بدون نتيجة (يُستبعد من التحصيل)","OK")))))))))))</f>
        <v>OK</v>
      </c>
      <c r="M568" s="64" t="n">
        <f aca="false">IF($A568="",0,IFERROR(MATCH($A568,Classes!$A$6:$A$420,0),0))</f>
        <v>179</v>
      </c>
      <c r="N568" s="64" t="n">
        <f aca="false">IF($H568="",0,IFERROR(MATCH($H568,GradeList,0),0))</f>
        <v>9</v>
      </c>
      <c r="O568" s="64" t="n">
        <f aca="false">IF(OR($I568="",$I568="NR"),0,IFERROR(MATCH($I568,GradeList,0),0))</f>
        <v>9</v>
      </c>
      <c r="P568" s="64" t="n">
        <f aca="false">IF(AND($M568&gt;0,ISNUMBER(MATCH($F568,Lists!$A$2:$A$5,0)),ISNUMBER(MATCH($G568,Lists!$B$2:$B$7,0)),OR($H568="",$N568&gt;0),OR($I568="",$I568="NR",$O568&gt;0),IF(ISNUMBER($J568),AND($J568&gt;=0,$J568=INT($J568)),FALSE())),$J568,0)</f>
        <v>1</v>
      </c>
      <c r="Q568" s="64" t="n">
        <f aca="false">IF(AND($P568&gt;0,$O568&gt;0),$P568,0)</f>
        <v>1</v>
      </c>
      <c r="R568" s="64" t="n">
        <f aca="false">IF(AND($Q568&gt;0,$O568&gt;=AtRank),$Q568,0)</f>
        <v>1</v>
      </c>
      <c r="S568" s="64" t="n">
        <f aca="false">IF(AND($Q568&gt;0,$O568&gt;=AboveRank),$Q568,0)</f>
        <v>1</v>
      </c>
      <c r="T568" s="64" t="n">
        <f aca="false">IF($K568="Less",$P568,0)</f>
        <v>0</v>
      </c>
      <c r="U568" s="64" t="n">
        <f aca="false">IF($K568="Expected",$P568,0)</f>
        <v>0</v>
      </c>
      <c r="V568" s="64" t="n">
        <f aca="false">IF($K568="Better",$P568,0)</f>
        <v>1</v>
      </c>
      <c r="W568" s="64" t="n">
        <f aca="false">IF($K568="U – needs rule",$P568,0)</f>
        <v>0</v>
      </c>
      <c r="X568" s="64" t="n">
        <f aca="false">IF($K568="No Start (attainment only)",$P568,0)</f>
        <v>0</v>
      </c>
    </row>
    <row r="569" customFormat="false" ht="15" hidden="false" customHeight="false" outlineLevel="0" collapsed="false">
      <c r="A569" s="60" t="s">
        <v>653</v>
      </c>
      <c r="B569" s="61" t="str">
        <f aca="false">IF($M569=0,"",INDEX(Classes!$E$6:$E$420,$M569))</f>
        <v>Arabic A</v>
      </c>
      <c r="C569" s="62" t="str">
        <f aca="false">IF($M569=0,"",INDEX(Classes!$H$6:$H$420,$M569))</f>
        <v>Ms Soad Ahmed Mohamed</v>
      </c>
      <c r="D569" s="61" t="str">
        <f aca="false">IF($M569=0,"",INDEX(Classes!$B$6:$B$420,$M569))</f>
        <v>Year 7</v>
      </c>
      <c r="E569" s="61" t="str">
        <f aca="false">IF($M569=0,"",INDEX(Classes!$C$6:$C$420,$M569))</f>
        <v>ae</v>
      </c>
      <c r="F569" s="63" t="s">
        <v>107</v>
      </c>
      <c r="G569" s="63" t="s">
        <v>108</v>
      </c>
      <c r="H569" s="60" t="s">
        <v>205</v>
      </c>
      <c r="I569" s="60" t="s">
        <v>205</v>
      </c>
      <c r="J569" s="63" t="n">
        <v>1</v>
      </c>
      <c r="K569" s="61" t="str">
        <f aca="false">IF($P569=0,"",IF($F569="Baseline","— Baseline",IF($O569=0,"No result",IF($N569=0,"No Start (attainment only)",IF(OR($N569=1,$O569=1),"U – needs rule",INDEX(MxBody,MATCH($I569,MxCurr,0),MATCH($H569,MxStart,0)))))))</f>
        <v>Better</v>
      </c>
      <c r="L569" s="62" t="str">
        <f aca="false">IF(COUNTA($A569,$F569,$G569,$H569,$I569,$J569)=0,"",IF($M569=0,"✖ كود الصف غير موجود",IF(ISNA(MATCH($F569,Lists!$A$2:$A$5,0)),"✖ الفترة غير صحيحة",IF(ISNA(MATCH($G569,Lists!$B$2:$B$7,0)),"✖ المجموعة غير صحيحة",IF(NOT(OR($H569="",$N569&gt;0)),"✖ Start غير صحيح",IF(NOT(OR($I569="",$I569="NR",$O569&gt;0)),"✖ Current غير صحيح",IF(NOT(IF(ISNUMBER($J569),AND($J569&gt;=0,$J569=INT($J569)),FALSE())),"✖ العدد يجب أن يكون صحيحًا ≥ 0",IF(AND($F569="Baseline",$H569&lt;&gt;""),"⚠ Baseline: Start لا يدخل في التقدم",IF($K569="No Start (attainment only)","ℹ تحصيل فقط (بدون Start)",IF($K569="U – needs rule","ℹ حالة U تحتاج قاعدة معتمدة",IF($K569="No result","ℹ بدون نتيجة (يُستبعد من التحصيل)","OK")))))))))))</f>
        <v>OK</v>
      </c>
      <c r="M569" s="64" t="n">
        <f aca="false">IF($A569="",0,IFERROR(MATCH($A569,Classes!$A$6:$A$420,0),0))</f>
        <v>179</v>
      </c>
      <c r="N569" s="64" t="n">
        <f aca="false">IF($H569="",0,IFERROR(MATCH($H569,GradeList,0),0))</f>
        <v>10</v>
      </c>
      <c r="O569" s="64" t="n">
        <f aca="false">IF(OR($I569="",$I569="NR"),0,IFERROR(MATCH($I569,GradeList,0),0))</f>
        <v>10</v>
      </c>
      <c r="P569" s="64" t="n">
        <f aca="false">IF(AND($M569&gt;0,ISNUMBER(MATCH($F569,Lists!$A$2:$A$5,0)),ISNUMBER(MATCH($G569,Lists!$B$2:$B$7,0)),OR($H569="",$N569&gt;0),OR($I569="",$I569="NR",$O569&gt;0),IF(ISNUMBER($J569),AND($J569&gt;=0,$J569=INT($J569)),FALSE())),$J569,0)</f>
        <v>1</v>
      </c>
      <c r="Q569" s="64" t="n">
        <f aca="false">IF(AND($P569&gt;0,$O569&gt;0),$P569,0)</f>
        <v>1</v>
      </c>
      <c r="R569" s="64" t="n">
        <f aca="false">IF(AND($Q569&gt;0,$O569&gt;=AtRank),$Q569,0)</f>
        <v>1</v>
      </c>
      <c r="S569" s="64" t="n">
        <f aca="false">IF(AND($Q569&gt;0,$O569&gt;=AboveRank),$Q569,0)</f>
        <v>1</v>
      </c>
      <c r="T569" s="64" t="n">
        <f aca="false">IF($K569="Less",$P569,0)</f>
        <v>0</v>
      </c>
      <c r="U569" s="64" t="n">
        <f aca="false">IF($K569="Expected",$P569,0)</f>
        <v>0</v>
      </c>
      <c r="V569" s="64" t="n">
        <f aca="false">IF($K569="Better",$P569,0)</f>
        <v>1</v>
      </c>
      <c r="W569" s="64" t="n">
        <f aca="false">IF($K569="U – needs rule",$P569,0)</f>
        <v>0</v>
      </c>
      <c r="X569" s="64" t="n">
        <f aca="false">IF($K569="No Start (attainment only)",$P569,0)</f>
        <v>0</v>
      </c>
    </row>
    <row r="570" customFormat="false" ht="15" hidden="false" customHeight="false" outlineLevel="0" collapsed="false">
      <c r="A570" s="60" t="s">
        <v>653</v>
      </c>
      <c r="B570" s="61" t="str">
        <f aca="false">IF($M570=0,"",INDEX(Classes!$E$6:$E$420,$M570))</f>
        <v>Arabic A</v>
      </c>
      <c r="C570" s="62" t="str">
        <f aca="false">IF($M570=0,"",INDEX(Classes!$H$6:$H$420,$M570))</f>
        <v>Ms Soad Ahmed Mohamed</v>
      </c>
      <c r="D570" s="61" t="str">
        <f aca="false">IF($M570=0,"",INDEX(Classes!$B$6:$B$420,$M570))</f>
        <v>Year 7</v>
      </c>
      <c r="E570" s="61" t="str">
        <f aca="false">IF($M570=0,"",INDEX(Classes!$C$6:$C$420,$M570))</f>
        <v>ae</v>
      </c>
      <c r="F570" s="63" t="s">
        <v>107</v>
      </c>
      <c r="G570" s="63" t="s">
        <v>108</v>
      </c>
      <c r="H570" s="60" t="s">
        <v>199</v>
      </c>
      <c r="I570" s="60" t="s">
        <v>199</v>
      </c>
      <c r="J570" s="63" t="n">
        <v>1</v>
      </c>
      <c r="K570" s="61" t="str">
        <f aca="false">IF($P570=0,"",IF($F570="Baseline","— Baseline",IF($O570=0,"No result",IF($N570=0,"No Start (attainment only)",IF(OR($N570=1,$O570=1),"U – needs rule",INDEX(MxBody,MATCH($I570,MxCurr,0),MATCH($H570,MxStart,0)))))))</f>
        <v>Expected</v>
      </c>
      <c r="L570" s="62" t="str">
        <f aca="false">IF(COUNTA($A570,$F570,$G570,$H570,$I570,$J570)=0,"",IF($M570=0,"✖ كود الصف غير موجود",IF(ISNA(MATCH($F570,Lists!$A$2:$A$5,0)),"✖ الفترة غير صحيحة",IF(ISNA(MATCH($G570,Lists!$B$2:$B$7,0)),"✖ المجموعة غير صحيحة",IF(NOT(OR($H570="",$N570&gt;0)),"✖ Start غير صحيح",IF(NOT(OR($I570="",$I570="NR",$O570&gt;0)),"✖ Current غير صحيح",IF(NOT(IF(ISNUMBER($J570),AND($J570&gt;=0,$J570=INT($J570)),FALSE())),"✖ العدد يجب أن يكون صحيحًا ≥ 0",IF(AND($F570="Baseline",$H570&lt;&gt;""),"⚠ Baseline: Start لا يدخل في التقدم",IF($K570="No Start (attainment only)","ℹ تحصيل فقط (بدون Start)",IF($K570="U – needs rule","ℹ حالة U تحتاج قاعدة معتمدة",IF($K570="No result","ℹ بدون نتيجة (يُستبعد من التحصيل)","OK")))))))))))</f>
        <v>OK</v>
      </c>
      <c r="M570" s="64" t="n">
        <f aca="false">IF($A570="",0,IFERROR(MATCH($A570,Classes!$A$6:$A$420,0),0))</f>
        <v>179</v>
      </c>
      <c r="N570" s="64" t="n">
        <f aca="false">IF($H570="",0,IFERROR(MATCH($H570,GradeList,0),0))</f>
        <v>4</v>
      </c>
      <c r="O570" s="64" t="n">
        <f aca="false">IF(OR($I570="",$I570="NR"),0,IFERROR(MATCH($I570,GradeList,0),0))</f>
        <v>4</v>
      </c>
      <c r="P570" s="64" t="n">
        <f aca="false">IF(AND($M570&gt;0,ISNUMBER(MATCH($F570,Lists!$A$2:$A$5,0)),ISNUMBER(MATCH($G570,Lists!$B$2:$B$7,0)),OR($H570="",$N570&gt;0),OR($I570="",$I570="NR",$O570&gt;0),IF(ISNUMBER($J570),AND($J570&gt;=0,$J570=INT($J570)),FALSE())),$J570,0)</f>
        <v>1</v>
      </c>
      <c r="Q570" s="64" t="n">
        <f aca="false">IF(AND($P570&gt;0,$O570&gt;0),$P570,0)</f>
        <v>1</v>
      </c>
      <c r="R570" s="64" t="n">
        <f aca="false">IF(AND($Q570&gt;0,$O570&gt;=AtRank),$Q570,0)</f>
        <v>0</v>
      </c>
      <c r="S570" s="64" t="n">
        <f aca="false">IF(AND($Q570&gt;0,$O570&gt;=AboveRank),$Q570,0)</f>
        <v>0</v>
      </c>
      <c r="T570" s="64" t="n">
        <f aca="false">IF($K570="Less",$P570,0)</f>
        <v>0</v>
      </c>
      <c r="U570" s="64" t="n">
        <f aca="false">IF($K570="Expected",$P570,0)</f>
        <v>1</v>
      </c>
      <c r="V570" s="64" t="n">
        <f aca="false">IF($K570="Better",$P570,0)</f>
        <v>0</v>
      </c>
      <c r="W570" s="64" t="n">
        <f aca="false">IF($K570="U – needs rule",$P570,0)</f>
        <v>0</v>
      </c>
      <c r="X570" s="64" t="n">
        <f aca="false">IF($K570="No Start (attainment only)",$P570,0)</f>
        <v>0</v>
      </c>
    </row>
    <row r="571" customFormat="false" ht="15" hidden="false" customHeight="false" outlineLevel="0" collapsed="false">
      <c r="A571" s="60" t="s">
        <v>653</v>
      </c>
      <c r="B571" s="61" t="str">
        <f aca="false">IF($M571=0,"",INDEX(Classes!$E$6:$E$420,$M571))</f>
        <v>Arabic A</v>
      </c>
      <c r="C571" s="62" t="str">
        <f aca="false">IF($M571=0,"",INDEX(Classes!$H$6:$H$420,$M571))</f>
        <v>Ms Soad Ahmed Mohamed</v>
      </c>
      <c r="D571" s="61" t="str">
        <f aca="false">IF($M571=0,"",INDEX(Classes!$B$6:$B$420,$M571))</f>
        <v>Year 7</v>
      </c>
      <c r="E571" s="61" t="str">
        <f aca="false">IF($M571=0,"",INDEX(Classes!$C$6:$C$420,$M571))</f>
        <v>ae</v>
      </c>
      <c r="F571" s="63" t="s">
        <v>107</v>
      </c>
      <c r="G571" s="63" t="s">
        <v>1015</v>
      </c>
      <c r="H571" s="60" t="s">
        <v>202</v>
      </c>
      <c r="I571" s="60" t="s">
        <v>203</v>
      </c>
      <c r="J571" s="63" t="n">
        <v>1</v>
      </c>
      <c r="K571" s="61" t="str">
        <f aca="false">IF($P571=0,"",IF($F571="Baseline","— Baseline",IF($O571=0,"No result",IF($N571=0,"No Start (attainment only)",IF(OR($N571=1,$O571=1),"U – needs rule",INDEX(MxBody,MATCH($I571,MxCurr,0),MATCH($H571,MxStart,0)))))))</f>
        <v>Better</v>
      </c>
      <c r="L571" s="62" t="str">
        <f aca="false">IF(COUNTA($A571,$F571,$G571,$H571,$I571,$J571)=0,"",IF($M571=0,"✖ كود الصف غير موجود",IF(ISNA(MATCH($F571,Lists!$A$2:$A$5,0)),"✖ الفترة غير صحيحة",IF(ISNA(MATCH($G571,Lists!$B$2:$B$7,0)),"✖ المجموعة غير صحيحة",IF(NOT(OR($H571="",$N571&gt;0)),"✖ Start غير صحيح",IF(NOT(OR($I571="",$I571="NR",$O571&gt;0)),"✖ Current غير صحيح",IF(NOT(IF(ISNUMBER($J571),AND($J571&gt;=0,$J571=INT($J571)),FALSE())),"✖ العدد يجب أن يكون صحيحًا ≥ 0",IF(AND($F571="Baseline",$H571&lt;&gt;""),"⚠ Baseline: Start لا يدخل في التقدم",IF($K571="No Start (attainment only)","ℹ تحصيل فقط (بدون Start)",IF($K571="U – needs rule","ℹ حالة U تحتاج قاعدة معتمدة",IF($K571="No result","ℹ بدون نتيجة (يُستبعد من التحصيل)","OK")))))))))))</f>
        <v>OK</v>
      </c>
      <c r="M571" s="64" t="n">
        <f aca="false">IF($A571="",0,IFERROR(MATCH($A571,Classes!$A$6:$A$420,0),0))</f>
        <v>179</v>
      </c>
      <c r="N571" s="64" t="n">
        <f aca="false">IF($H571="",0,IFERROR(MATCH($H571,GradeList,0),0))</f>
        <v>7</v>
      </c>
      <c r="O571" s="64" t="n">
        <f aca="false">IF(OR($I571="",$I571="NR"),0,IFERROR(MATCH($I571,GradeList,0),0))</f>
        <v>8</v>
      </c>
      <c r="P571" s="64" t="n">
        <f aca="false">IF(AND($M571&gt;0,ISNUMBER(MATCH($F571,Lists!$A$2:$A$5,0)),ISNUMBER(MATCH($G571,Lists!$B$2:$B$7,0)),OR($H571="",$N571&gt;0),OR($I571="",$I571="NR",$O571&gt;0),IF(ISNUMBER($J571),AND($J571&gt;=0,$J571=INT($J571)),FALSE())),$J571,0)</f>
        <v>1</v>
      </c>
      <c r="Q571" s="64" t="n">
        <f aca="false">IF(AND($P571&gt;0,$O571&gt;0),$P571,0)</f>
        <v>1</v>
      </c>
      <c r="R571" s="64" t="n">
        <f aca="false">IF(AND($Q571&gt;0,$O571&gt;=AtRank),$Q571,0)</f>
        <v>1</v>
      </c>
      <c r="S571" s="64" t="n">
        <f aca="false">IF(AND($Q571&gt;0,$O571&gt;=AboveRank),$Q571,0)</f>
        <v>1</v>
      </c>
      <c r="T571" s="64" t="n">
        <f aca="false">IF($K571="Less",$P571,0)</f>
        <v>0</v>
      </c>
      <c r="U571" s="64" t="n">
        <f aca="false">IF($K571="Expected",$P571,0)</f>
        <v>0</v>
      </c>
      <c r="V571" s="64" t="n">
        <f aca="false">IF($K571="Better",$P571,0)</f>
        <v>1</v>
      </c>
      <c r="W571" s="64" t="n">
        <f aca="false">IF($K571="U – needs rule",$P571,0)</f>
        <v>0</v>
      </c>
      <c r="X571" s="64" t="n">
        <f aca="false">IF($K571="No Start (attainment only)",$P571,0)</f>
        <v>0</v>
      </c>
    </row>
    <row r="572" customFormat="false" ht="15" hidden="false" customHeight="false" outlineLevel="0" collapsed="false">
      <c r="A572" s="60" t="s">
        <v>653</v>
      </c>
      <c r="B572" s="61" t="str">
        <f aca="false">IF($M572=0,"",INDEX(Classes!$E$6:$E$420,$M572))</f>
        <v>Arabic A</v>
      </c>
      <c r="C572" s="62" t="str">
        <f aca="false">IF($M572=0,"",INDEX(Classes!$H$6:$H$420,$M572))</f>
        <v>Ms Soad Ahmed Mohamed</v>
      </c>
      <c r="D572" s="61" t="str">
        <f aca="false">IF($M572=0,"",INDEX(Classes!$B$6:$B$420,$M572))</f>
        <v>Year 7</v>
      </c>
      <c r="E572" s="61" t="str">
        <f aca="false">IF($M572=0,"",INDEX(Classes!$C$6:$C$420,$M572))</f>
        <v>ae</v>
      </c>
      <c r="F572" s="63" t="s">
        <v>107</v>
      </c>
      <c r="G572" s="63" t="s">
        <v>1015</v>
      </c>
      <c r="H572" s="60" t="s">
        <v>202</v>
      </c>
      <c r="I572" s="60" t="s">
        <v>201</v>
      </c>
      <c r="J572" s="63" t="n">
        <v>1</v>
      </c>
      <c r="K572" s="61" t="str">
        <f aca="false">IF($P572=0,"",IF($F572="Baseline","— Baseline",IF($O572=0,"No result",IF($N572=0,"No Start (attainment only)",IF(OR($N572=1,$O572=1),"U – needs rule",INDEX(MxBody,MATCH($I572,MxCurr,0),MATCH($H572,MxStart,0)))))))</f>
        <v>Expected</v>
      </c>
      <c r="L572" s="62" t="str">
        <f aca="false">IF(COUNTA($A572,$F572,$G572,$H572,$I572,$J572)=0,"",IF($M572=0,"✖ كود الصف غير موجود",IF(ISNA(MATCH($F572,Lists!$A$2:$A$5,0)),"✖ الفترة غير صحيحة",IF(ISNA(MATCH($G572,Lists!$B$2:$B$7,0)),"✖ المجموعة غير صحيحة",IF(NOT(OR($H572="",$N572&gt;0)),"✖ Start غير صحيح",IF(NOT(OR($I572="",$I572="NR",$O572&gt;0)),"✖ Current غير صحيح",IF(NOT(IF(ISNUMBER($J572),AND($J572&gt;=0,$J572=INT($J572)),FALSE())),"✖ العدد يجب أن يكون صحيحًا ≥ 0",IF(AND($F572="Baseline",$H572&lt;&gt;""),"⚠ Baseline: Start لا يدخل في التقدم",IF($K572="No Start (attainment only)","ℹ تحصيل فقط (بدون Start)",IF($K572="U – needs rule","ℹ حالة U تحتاج قاعدة معتمدة",IF($K572="No result","ℹ بدون نتيجة (يُستبعد من التحصيل)","OK")))))))))))</f>
        <v>OK</v>
      </c>
      <c r="M572" s="64" t="n">
        <f aca="false">IF($A572="",0,IFERROR(MATCH($A572,Classes!$A$6:$A$420,0),0))</f>
        <v>179</v>
      </c>
      <c r="N572" s="64" t="n">
        <f aca="false">IF($H572="",0,IFERROR(MATCH($H572,GradeList,0),0))</f>
        <v>7</v>
      </c>
      <c r="O572" s="64" t="n">
        <f aca="false">IF(OR($I572="",$I572="NR"),0,IFERROR(MATCH($I572,GradeList,0),0))</f>
        <v>6</v>
      </c>
      <c r="P572" s="64" t="n">
        <f aca="false">IF(AND($M572&gt;0,ISNUMBER(MATCH($F572,Lists!$A$2:$A$5,0)),ISNUMBER(MATCH($G572,Lists!$B$2:$B$7,0)),OR($H572="",$N572&gt;0),OR($I572="",$I572="NR",$O572&gt;0),IF(ISNUMBER($J572),AND($J572&gt;=0,$J572=INT($J572)),FALSE())),$J572,0)</f>
        <v>1</v>
      </c>
      <c r="Q572" s="64" t="n">
        <f aca="false">IF(AND($P572&gt;0,$O572&gt;0),$P572,0)</f>
        <v>1</v>
      </c>
      <c r="R572" s="64" t="n">
        <f aca="false">IF(AND($Q572&gt;0,$O572&gt;=AtRank),$Q572,0)</f>
        <v>1</v>
      </c>
      <c r="S572" s="64" t="n">
        <f aca="false">IF(AND($Q572&gt;0,$O572&gt;=AboveRank),$Q572,0)</f>
        <v>0</v>
      </c>
      <c r="T572" s="64" t="n">
        <f aca="false">IF($K572="Less",$P572,0)</f>
        <v>0</v>
      </c>
      <c r="U572" s="64" t="n">
        <f aca="false">IF($K572="Expected",$P572,0)</f>
        <v>1</v>
      </c>
      <c r="V572" s="64" t="n">
        <f aca="false">IF($K572="Better",$P572,0)</f>
        <v>0</v>
      </c>
      <c r="W572" s="64" t="n">
        <f aca="false">IF($K572="U – needs rule",$P572,0)</f>
        <v>0</v>
      </c>
      <c r="X572" s="64" t="n">
        <f aca="false">IF($K572="No Start (attainment only)",$P572,0)</f>
        <v>0</v>
      </c>
    </row>
    <row r="573" customFormat="false" ht="15" hidden="false" customHeight="false" outlineLevel="0" collapsed="false">
      <c r="A573" s="60" t="s">
        <v>653</v>
      </c>
      <c r="B573" s="61" t="str">
        <f aca="false">IF($M573=0,"",INDEX(Classes!$E$6:$E$420,$M573))</f>
        <v>Arabic A</v>
      </c>
      <c r="C573" s="62" t="str">
        <f aca="false">IF($M573=0,"",INDEX(Classes!$H$6:$H$420,$M573))</f>
        <v>Ms Soad Ahmed Mohamed</v>
      </c>
      <c r="D573" s="61" t="str">
        <f aca="false">IF($M573=0,"",INDEX(Classes!$B$6:$B$420,$M573))</f>
        <v>Year 7</v>
      </c>
      <c r="E573" s="61" t="str">
        <f aca="false">IF($M573=0,"",INDEX(Classes!$C$6:$C$420,$M573))</f>
        <v>ae</v>
      </c>
      <c r="F573" s="63" t="s">
        <v>107</v>
      </c>
      <c r="G573" s="63" t="s">
        <v>1015</v>
      </c>
      <c r="H573" s="60" t="s">
        <v>202</v>
      </c>
      <c r="I573" s="60" t="s">
        <v>204</v>
      </c>
      <c r="J573" s="63" t="n">
        <v>2</v>
      </c>
      <c r="K573" s="61" t="str">
        <f aca="false">IF($P573=0,"",IF($F573="Baseline","— Baseline",IF($O573=0,"No result",IF($N573=0,"No Start (attainment only)",IF(OR($N573=1,$O573=1),"U – needs rule",INDEX(MxBody,MATCH($I573,MxCurr,0),MATCH($H573,MxStart,0)))))))</f>
        <v>Better</v>
      </c>
      <c r="L573" s="62" t="str">
        <f aca="false">IF(COUNTA($A573,$F573,$G573,$H573,$I573,$J573)=0,"",IF($M573=0,"✖ كود الصف غير موجود",IF(ISNA(MATCH($F573,Lists!$A$2:$A$5,0)),"✖ الفترة غير صحيحة",IF(ISNA(MATCH($G573,Lists!$B$2:$B$7,0)),"✖ المجموعة غير صحيحة",IF(NOT(OR($H573="",$N573&gt;0)),"✖ Start غير صحيح",IF(NOT(OR($I573="",$I573="NR",$O573&gt;0)),"✖ Current غير صحيح",IF(NOT(IF(ISNUMBER($J573),AND($J573&gt;=0,$J573=INT($J573)),FALSE())),"✖ العدد يجب أن يكون صحيحًا ≥ 0",IF(AND($F573="Baseline",$H573&lt;&gt;""),"⚠ Baseline: Start لا يدخل في التقدم",IF($K573="No Start (attainment only)","ℹ تحصيل فقط (بدون Start)",IF($K573="U – needs rule","ℹ حالة U تحتاج قاعدة معتمدة",IF($K573="No result","ℹ بدون نتيجة (يُستبعد من التحصيل)","OK")))))))))))</f>
        <v>OK</v>
      </c>
      <c r="M573" s="64" t="n">
        <f aca="false">IF($A573="",0,IFERROR(MATCH($A573,Classes!$A$6:$A$420,0),0))</f>
        <v>179</v>
      </c>
      <c r="N573" s="64" t="n">
        <f aca="false">IF($H573="",0,IFERROR(MATCH($H573,GradeList,0),0))</f>
        <v>7</v>
      </c>
      <c r="O573" s="64" t="n">
        <f aca="false">IF(OR($I573="",$I573="NR"),0,IFERROR(MATCH($I573,GradeList,0),0))</f>
        <v>9</v>
      </c>
      <c r="P573" s="64" t="n">
        <f aca="false">IF(AND($M573&gt;0,ISNUMBER(MATCH($F573,Lists!$A$2:$A$5,0)),ISNUMBER(MATCH($G573,Lists!$B$2:$B$7,0)),OR($H573="",$N573&gt;0),OR($I573="",$I573="NR",$O573&gt;0),IF(ISNUMBER($J573),AND($J573&gt;=0,$J573=INT($J573)),FALSE())),$J573,0)</f>
        <v>2</v>
      </c>
      <c r="Q573" s="64" t="n">
        <f aca="false">IF(AND($P573&gt;0,$O573&gt;0),$P573,0)</f>
        <v>2</v>
      </c>
      <c r="R573" s="64" t="n">
        <f aca="false">IF(AND($Q573&gt;0,$O573&gt;=AtRank),$Q573,0)</f>
        <v>2</v>
      </c>
      <c r="S573" s="64" t="n">
        <f aca="false">IF(AND($Q573&gt;0,$O573&gt;=AboveRank),$Q573,0)</f>
        <v>2</v>
      </c>
      <c r="T573" s="64" t="n">
        <f aca="false">IF($K573="Less",$P573,0)</f>
        <v>0</v>
      </c>
      <c r="U573" s="64" t="n">
        <f aca="false">IF($K573="Expected",$P573,0)</f>
        <v>0</v>
      </c>
      <c r="V573" s="64" t="n">
        <f aca="false">IF($K573="Better",$P573,0)</f>
        <v>2</v>
      </c>
      <c r="W573" s="64" t="n">
        <f aca="false">IF($K573="U – needs rule",$P573,0)</f>
        <v>0</v>
      </c>
      <c r="X573" s="64" t="n">
        <f aca="false">IF($K573="No Start (attainment only)",$P573,0)</f>
        <v>0</v>
      </c>
    </row>
    <row r="574" customFormat="false" ht="15" hidden="false" customHeight="false" outlineLevel="0" collapsed="false">
      <c r="A574" s="60" t="s">
        <v>653</v>
      </c>
      <c r="B574" s="61" t="str">
        <f aca="false">IF($M574=0,"",INDEX(Classes!$E$6:$E$420,$M574))</f>
        <v>Arabic A</v>
      </c>
      <c r="C574" s="62" t="str">
        <f aca="false">IF($M574=0,"",INDEX(Classes!$H$6:$H$420,$M574))</f>
        <v>Ms Soad Ahmed Mohamed</v>
      </c>
      <c r="D574" s="61" t="str">
        <f aca="false">IF($M574=0,"",INDEX(Classes!$B$6:$B$420,$M574))</f>
        <v>Year 7</v>
      </c>
      <c r="E574" s="61" t="str">
        <f aca="false">IF($M574=0,"",INDEX(Classes!$C$6:$C$420,$M574))</f>
        <v>ae</v>
      </c>
      <c r="F574" s="63" t="s">
        <v>107</v>
      </c>
      <c r="G574" s="63" t="s">
        <v>1015</v>
      </c>
      <c r="H574" s="60" t="s">
        <v>202</v>
      </c>
      <c r="I574" s="60" t="s">
        <v>1019</v>
      </c>
      <c r="J574" s="63" t="n">
        <v>1</v>
      </c>
      <c r="K574" s="61" t="str">
        <f aca="false">IF($P574=0,"",IF($F574="Baseline","— Baseline",IF($O574=0,"No result",IF($N574=0,"No Start (attainment only)",IF(OR($N574=1,$O574=1),"U – needs rule",INDEX(MxBody,MATCH($I574,MxCurr,0),MATCH($H574,MxStart,0)))))))</f>
        <v>No result</v>
      </c>
      <c r="L574" s="62" t="str">
        <f aca="false">IF(COUNTA($A574,$F574,$G574,$H574,$I574,$J574)=0,"",IF($M574=0,"✖ كود الصف غير موجود",IF(ISNA(MATCH($F574,Lists!$A$2:$A$5,0)),"✖ الفترة غير صحيحة",IF(ISNA(MATCH($G574,Lists!$B$2:$B$7,0)),"✖ المجموعة غير صحيحة",IF(NOT(OR($H574="",$N574&gt;0)),"✖ Start غير صحيح",IF(NOT(OR($I574="",$I574="NR",$O574&gt;0)),"✖ Current غير صحيح",IF(NOT(IF(ISNUMBER($J574),AND($J574&gt;=0,$J574=INT($J574)),FALSE())),"✖ العدد يجب أن يكون صحيحًا ≥ 0",IF(AND($F574="Baseline",$H574&lt;&gt;""),"⚠ Baseline: Start لا يدخل في التقدم",IF($K574="No Start (attainment only)","ℹ تحصيل فقط (بدون Start)",IF($K574="U – needs rule","ℹ حالة U تحتاج قاعدة معتمدة",IF($K574="No result","ℹ بدون نتيجة (يُستبعد من التحصيل)","OK")))))))))))</f>
        <v>ℹ بدون نتيجة (يُستبعد من التحصيل)</v>
      </c>
      <c r="M574" s="64" t="n">
        <f aca="false">IF($A574="",0,IFERROR(MATCH($A574,Classes!$A$6:$A$420,0),0))</f>
        <v>179</v>
      </c>
      <c r="N574" s="64" t="n">
        <f aca="false">IF($H574="",0,IFERROR(MATCH($H574,GradeList,0),0))</f>
        <v>7</v>
      </c>
      <c r="O574" s="64" t="n">
        <f aca="false">IF(OR($I574="",$I574="NR"),0,IFERROR(MATCH($I574,GradeList,0),0))</f>
        <v>0</v>
      </c>
      <c r="P574" s="64" t="n">
        <f aca="false">IF(AND($M574&gt;0,ISNUMBER(MATCH($F574,Lists!$A$2:$A$5,0)),ISNUMBER(MATCH($G574,Lists!$B$2:$B$7,0)),OR($H574="",$N574&gt;0),OR($I574="",$I574="NR",$O574&gt;0),IF(ISNUMBER($J574),AND($J574&gt;=0,$J574=INT($J574)),FALSE())),$J574,0)</f>
        <v>1</v>
      </c>
      <c r="Q574" s="64" t="n">
        <f aca="false">IF(AND($P574&gt;0,$O574&gt;0),$P574,0)</f>
        <v>0</v>
      </c>
      <c r="R574" s="64" t="n">
        <f aca="false">IF(AND($Q574&gt;0,$O574&gt;=AtRank),$Q574,0)</f>
        <v>0</v>
      </c>
      <c r="S574" s="64" t="n">
        <f aca="false">IF(AND($Q574&gt;0,$O574&gt;=AboveRank),$Q574,0)</f>
        <v>0</v>
      </c>
      <c r="T574" s="64" t="n">
        <f aca="false">IF($K574="Less",$P574,0)</f>
        <v>0</v>
      </c>
      <c r="U574" s="64" t="n">
        <f aca="false">IF($K574="Expected",$P574,0)</f>
        <v>0</v>
      </c>
      <c r="V574" s="64" t="n">
        <f aca="false">IF($K574="Better",$P574,0)</f>
        <v>0</v>
      </c>
      <c r="W574" s="64" t="n">
        <f aca="false">IF($K574="U – needs rule",$P574,0)</f>
        <v>0</v>
      </c>
      <c r="X574" s="64" t="n">
        <f aca="false">IF($K574="No Start (attainment only)",$P574,0)</f>
        <v>0</v>
      </c>
    </row>
    <row r="575" customFormat="false" ht="15" hidden="false" customHeight="false" outlineLevel="0" collapsed="false">
      <c r="A575" s="60" t="s">
        <v>653</v>
      </c>
      <c r="B575" s="61" t="str">
        <f aca="false">IF($M575=0,"",INDEX(Classes!$E$6:$E$420,$M575))</f>
        <v>Arabic A</v>
      </c>
      <c r="C575" s="62" t="str">
        <f aca="false">IF($M575=0,"",INDEX(Classes!$H$6:$H$420,$M575))</f>
        <v>Ms Soad Ahmed Mohamed</v>
      </c>
      <c r="D575" s="61" t="str">
        <f aca="false">IF($M575=0,"",INDEX(Classes!$B$6:$B$420,$M575))</f>
        <v>Year 7</v>
      </c>
      <c r="E575" s="61" t="str">
        <f aca="false">IF($M575=0,"",INDEX(Classes!$C$6:$C$420,$M575))</f>
        <v>ae</v>
      </c>
      <c r="F575" s="63" t="s">
        <v>107</v>
      </c>
      <c r="G575" s="63" t="s">
        <v>1015</v>
      </c>
      <c r="H575" s="60" t="s">
        <v>200</v>
      </c>
      <c r="I575" s="60" t="s">
        <v>201</v>
      </c>
      <c r="J575" s="63" t="n">
        <v>1</v>
      </c>
      <c r="K575" s="61" t="str">
        <f aca="false">IF($P575=0,"",IF($F575="Baseline","— Baseline",IF($O575=0,"No result",IF($N575=0,"No Start (attainment only)",IF(OR($N575=1,$O575=1),"U – needs rule",INDEX(MxBody,MATCH($I575,MxCurr,0),MATCH($H575,MxStart,0)))))))</f>
        <v>Better</v>
      </c>
      <c r="L575" s="62" t="str">
        <f aca="false">IF(COUNTA($A575,$F575,$G575,$H575,$I575,$J575)=0,"",IF($M575=0,"✖ كود الصف غير موجود",IF(ISNA(MATCH($F575,Lists!$A$2:$A$5,0)),"✖ الفترة غير صحيحة",IF(ISNA(MATCH($G575,Lists!$B$2:$B$7,0)),"✖ المجموعة غير صحيحة",IF(NOT(OR($H575="",$N575&gt;0)),"✖ Start غير صحيح",IF(NOT(OR($I575="",$I575="NR",$O575&gt;0)),"✖ Current غير صحيح",IF(NOT(IF(ISNUMBER($J575),AND($J575&gt;=0,$J575=INT($J575)),FALSE())),"✖ العدد يجب أن يكون صحيحًا ≥ 0",IF(AND($F575="Baseline",$H575&lt;&gt;""),"⚠ Baseline: Start لا يدخل في التقدم",IF($K575="No Start (attainment only)","ℹ تحصيل فقط (بدون Start)",IF($K575="U – needs rule","ℹ حالة U تحتاج قاعدة معتمدة",IF($K575="No result","ℹ بدون نتيجة (يُستبعد من التحصيل)","OK")))))))))))</f>
        <v>OK</v>
      </c>
      <c r="M575" s="64" t="n">
        <f aca="false">IF($A575="",0,IFERROR(MATCH($A575,Classes!$A$6:$A$420,0),0))</f>
        <v>179</v>
      </c>
      <c r="N575" s="64" t="n">
        <f aca="false">IF($H575="",0,IFERROR(MATCH($H575,GradeList,0),0))</f>
        <v>5</v>
      </c>
      <c r="O575" s="64" t="n">
        <f aca="false">IF(OR($I575="",$I575="NR"),0,IFERROR(MATCH($I575,GradeList,0),0))</f>
        <v>6</v>
      </c>
      <c r="P575" s="64" t="n">
        <f aca="false">IF(AND($M575&gt;0,ISNUMBER(MATCH($F575,Lists!$A$2:$A$5,0)),ISNUMBER(MATCH($G575,Lists!$B$2:$B$7,0)),OR($H575="",$N575&gt;0),OR($I575="",$I575="NR",$O575&gt;0),IF(ISNUMBER($J575),AND($J575&gt;=0,$J575=INT($J575)),FALSE())),$J575,0)</f>
        <v>1</v>
      </c>
      <c r="Q575" s="64" t="n">
        <f aca="false">IF(AND($P575&gt;0,$O575&gt;0),$P575,0)</f>
        <v>1</v>
      </c>
      <c r="R575" s="64" t="n">
        <f aca="false">IF(AND($Q575&gt;0,$O575&gt;=AtRank),$Q575,0)</f>
        <v>1</v>
      </c>
      <c r="S575" s="64" t="n">
        <f aca="false">IF(AND($Q575&gt;0,$O575&gt;=AboveRank),$Q575,0)</f>
        <v>0</v>
      </c>
      <c r="T575" s="64" t="n">
        <f aca="false">IF($K575="Less",$P575,0)</f>
        <v>0</v>
      </c>
      <c r="U575" s="64" t="n">
        <f aca="false">IF($K575="Expected",$P575,0)</f>
        <v>0</v>
      </c>
      <c r="V575" s="64" t="n">
        <f aca="false">IF($K575="Better",$P575,0)</f>
        <v>1</v>
      </c>
      <c r="W575" s="64" t="n">
        <f aca="false">IF($K575="U – needs rule",$P575,0)</f>
        <v>0</v>
      </c>
      <c r="X575" s="64" t="n">
        <f aca="false">IF($K575="No Start (attainment only)",$P575,0)</f>
        <v>0</v>
      </c>
    </row>
    <row r="576" customFormat="false" ht="15" hidden="false" customHeight="false" outlineLevel="0" collapsed="false">
      <c r="A576" s="60" t="s">
        <v>653</v>
      </c>
      <c r="B576" s="61" t="str">
        <f aca="false">IF($M576=0,"",INDEX(Classes!$E$6:$E$420,$M576))</f>
        <v>Arabic A</v>
      </c>
      <c r="C576" s="62" t="str">
        <f aca="false">IF($M576=0,"",INDEX(Classes!$H$6:$H$420,$M576))</f>
        <v>Ms Soad Ahmed Mohamed</v>
      </c>
      <c r="D576" s="61" t="str">
        <f aca="false">IF($M576=0,"",INDEX(Classes!$B$6:$B$420,$M576))</f>
        <v>Year 7</v>
      </c>
      <c r="E576" s="61" t="str">
        <f aca="false">IF($M576=0,"",INDEX(Classes!$C$6:$C$420,$M576))</f>
        <v>ae</v>
      </c>
      <c r="F576" s="63" t="s">
        <v>107</v>
      </c>
      <c r="G576" s="63" t="s">
        <v>1015</v>
      </c>
      <c r="H576" s="60" t="s">
        <v>200</v>
      </c>
      <c r="I576" s="60" t="s">
        <v>196</v>
      </c>
      <c r="J576" s="63" t="n">
        <v>1</v>
      </c>
      <c r="K576" s="61" t="str">
        <f aca="false">IF($P576=0,"",IF($F576="Baseline","— Baseline",IF($O576=0,"No result",IF($N576=0,"No Start (attainment only)",IF(OR($N576=1,$O576=1),"U – needs rule",INDEX(MxBody,MATCH($I576,MxCurr,0),MATCH($H576,MxStart,0)))))))</f>
        <v>U – needs rule</v>
      </c>
      <c r="L576" s="62" t="str">
        <f aca="false">IF(COUNTA($A576,$F576,$G576,$H576,$I576,$J576)=0,"",IF($M576=0,"✖ كود الصف غير موجود",IF(ISNA(MATCH($F576,Lists!$A$2:$A$5,0)),"✖ الفترة غير صحيحة",IF(ISNA(MATCH($G576,Lists!$B$2:$B$7,0)),"✖ المجموعة غير صحيحة",IF(NOT(OR($H576="",$N576&gt;0)),"✖ Start غير صحيح",IF(NOT(OR($I576="",$I576="NR",$O576&gt;0)),"✖ Current غير صحيح",IF(NOT(IF(ISNUMBER($J576),AND($J576&gt;=0,$J576=INT($J576)),FALSE())),"✖ العدد يجب أن يكون صحيحًا ≥ 0",IF(AND($F576="Baseline",$H576&lt;&gt;""),"⚠ Baseline: Start لا يدخل في التقدم",IF($K576="No Start (attainment only)","ℹ تحصيل فقط (بدون Start)",IF($K576="U – needs rule","ℹ حالة U تحتاج قاعدة معتمدة",IF($K576="No result","ℹ بدون نتيجة (يُستبعد من التحصيل)","OK")))))))))))</f>
        <v>ℹ حالة U تحتاج قاعدة معتمدة</v>
      </c>
      <c r="M576" s="64" t="n">
        <f aca="false">IF($A576="",0,IFERROR(MATCH($A576,Classes!$A$6:$A$420,0),0))</f>
        <v>179</v>
      </c>
      <c r="N576" s="64" t="n">
        <f aca="false">IF($H576="",0,IFERROR(MATCH($H576,GradeList,0),0))</f>
        <v>5</v>
      </c>
      <c r="O576" s="64" t="n">
        <f aca="false">IF(OR($I576="",$I576="NR"),0,IFERROR(MATCH($I576,GradeList,0),0))</f>
        <v>1</v>
      </c>
      <c r="P576" s="64" t="n">
        <f aca="false">IF(AND($M576&gt;0,ISNUMBER(MATCH($F576,Lists!$A$2:$A$5,0)),ISNUMBER(MATCH($G576,Lists!$B$2:$B$7,0)),OR($H576="",$N576&gt;0),OR($I576="",$I576="NR",$O576&gt;0),IF(ISNUMBER($J576),AND($J576&gt;=0,$J576=INT($J576)),FALSE())),$J576,0)</f>
        <v>1</v>
      </c>
      <c r="Q576" s="64" t="n">
        <f aca="false">IF(AND($P576&gt;0,$O576&gt;0),$P576,0)</f>
        <v>1</v>
      </c>
      <c r="R576" s="64" t="n">
        <f aca="false">IF(AND($Q576&gt;0,$O576&gt;=AtRank),$Q576,0)</f>
        <v>0</v>
      </c>
      <c r="S576" s="64" t="n">
        <f aca="false">IF(AND($Q576&gt;0,$O576&gt;=AboveRank),$Q576,0)</f>
        <v>0</v>
      </c>
      <c r="T576" s="64" t="n">
        <f aca="false">IF($K576="Less",$P576,0)</f>
        <v>0</v>
      </c>
      <c r="U576" s="64" t="n">
        <f aca="false">IF($K576="Expected",$P576,0)</f>
        <v>0</v>
      </c>
      <c r="V576" s="64" t="n">
        <f aca="false">IF($K576="Better",$P576,0)</f>
        <v>0</v>
      </c>
      <c r="W576" s="64" t="n">
        <f aca="false">IF($K576="U – needs rule",$P576,0)</f>
        <v>1</v>
      </c>
      <c r="X576" s="64" t="n">
        <f aca="false">IF($K576="No Start (attainment only)",$P576,0)</f>
        <v>0</v>
      </c>
    </row>
    <row r="577" customFormat="false" ht="15" hidden="false" customHeight="false" outlineLevel="0" collapsed="false">
      <c r="A577" s="60" t="s">
        <v>653</v>
      </c>
      <c r="B577" s="61" t="str">
        <f aca="false">IF($M577=0,"",INDEX(Classes!$E$6:$E$420,$M577))</f>
        <v>Arabic A</v>
      </c>
      <c r="C577" s="62" t="str">
        <f aca="false">IF($M577=0,"",INDEX(Classes!$H$6:$H$420,$M577))</f>
        <v>Ms Soad Ahmed Mohamed</v>
      </c>
      <c r="D577" s="61" t="str">
        <f aca="false">IF($M577=0,"",INDEX(Classes!$B$6:$B$420,$M577))</f>
        <v>Year 7</v>
      </c>
      <c r="E577" s="61" t="str">
        <f aca="false">IF($M577=0,"",INDEX(Classes!$C$6:$C$420,$M577))</f>
        <v>ae</v>
      </c>
      <c r="F577" s="63" t="s">
        <v>107</v>
      </c>
      <c r="G577" s="63" t="s">
        <v>1015</v>
      </c>
      <c r="H577" s="60" t="s">
        <v>201</v>
      </c>
      <c r="I577" s="60" t="s">
        <v>200</v>
      </c>
      <c r="J577" s="63" t="n">
        <v>1</v>
      </c>
      <c r="K577" s="61" t="str">
        <f aca="false">IF($P577=0,"",IF($F577="Baseline","— Baseline",IF($O577=0,"No result",IF($N577=0,"No Start (attainment only)",IF(OR($N577=1,$O577=1),"U – needs rule",INDEX(MxBody,MATCH($I577,MxCurr,0),MATCH($H577,MxStart,0)))))))</f>
        <v>Expected</v>
      </c>
      <c r="L577" s="62" t="str">
        <f aca="false">IF(COUNTA($A577,$F577,$G577,$H577,$I577,$J577)=0,"",IF($M577=0,"✖ كود الصف غير موجود",IF(ISNA(MATCH($F577,Lists!$A$2:$A$5,0)),"✖ الفترة غير صحيحة",IF(ISNA(MATCH($G577,Lists!$B$2:$B$7,0)),"✖ المجموعة غير صحيحة",IF(NOT(OR($H577="",$N577&gt;0)),"✖ Start غير صحيح",IF(NOT(OR($I577="",$I577="NR",$O577&gt;0)),"✖ Current غير صحيح",IF(NOT(IF(ISNUMBER($J577),AND($J577&gt;=0,$J577=INT($J577)),FALSE())),"✖ العدد يجب أن يكون صحيحًا ≥ 0",IF(AND($F577="Baseline",$H577&lt;&gt;""),"⚠ Baseline: Start لا يدخل في التقدم",IF($K577="No Start (attainment only)","ℹ تحصيل فقط (بدون Start)",IF($K577="U – needs rule","ℹ حالة U تحتاج قاعدة معتمدة",IF($K577="No result","ℹ بدون نتيجة (يُستبعد من التحصيل)","OK")))))))))))</f>
        <v>OK</v>
      </c>
      <c r="M577" s="64" t="n">
        <f aca="false">IF($A577="",0,IFERROR(MATCH($A577,Classes!$A$6:$A$420,0),0))</f>
        <v>179</v>
      </c>
      <c r="N577" s="64" t="n">
        <f aca="false">IF($H577="",0,IFERROR(MATCH($H577,GradeList,0),0))</f>
        <v>6</v>
      </c>
      <c r="O577" s="64" t="n">
        <f aca="false">IF(OR($I577="",$I577="NR"),0,IFERROR(MATCH($I577,GradeList,0),0))</f>
        <v>5</v>
      </c>
      <c r="P577" s="64" t="n">
        <f aca="false">IF(AND($M577&gt;0,ISNUMBER(MATCH($F577,Lists!$A$2:$A$5,0)),ISNUMBER(MATCH($G577,Lists!$B$2:$B$7,0)),OR($H577="",$N577&gt;0),OR($I577="",$I577="NR",$O577&gt;0),IF(ISNUMBER($J577),AND($J577&gt;=0,$J577=INT($J577)),FALSE())),$J577,0)</f>
        <v>1</v>
      </c>
      <c r="Q577" s="64" t="n">
        <f aca="false">IF(AND($P577&gt;0,$O577&gt;0),$P577,0)</f>
        <v>1</v>
      </c>
      <c r="R577" s="64" t="n">
        <f aca="false">IF(AND($Q577&gt;0,$O577&gt;=AtRank),$Q577,0)</f>
        <v>1</v>
      </c>
      <c r="S577" s="64" t="n">
        <f aca="false">IF(AND($Q577&gt;0,$O577&gt;=AboveRank),$Q577,0)</f>
        <v>0</v>
      </c>
      <c r="T577" s="64" t="n">
        <f aca="false">IF($K577="Less",$P577,0)</f>
        <v>0</v>
      </c>
      <c r="U577" s="64" t="n">
        <f aca="false">IF($K577="Expected",$P577,0)</f>
        <v>1</v>
      </c>
      <c r="V577" s="64" t="n">
        <f aca="false">IF($K577="Better",$P577,0)</f>
        <v>0</v>
      </c>
      <c r="W577" s="64" t="n">
        <f aca="false">IF($K577="U – needs rule",$P577,0)</f>
        <v>0</v>
      </c>
      <c r="X577" s="64" t="n">
        <f aca="false">IF($K577="No Start (attainment only)",$P577,0)</f>
        <v>0</v>
      </c>
    </row>
    <row r="578" customFormat="false" ht="15" hidden="false" customHeight="false" outlineLevel="0" collapsed="false">
      <c r="A578" s="60" t="s">
        <v>653</v>
      </c>
      <c r="B578" s="61" t="str">
        <f aca="false">IF($M578=0,"",INDEX(Classes!$E$6:$E$420,$M578))</f>
        <v>Arabic A</v>
      </c>
      <c r="C578" s="62" t="str">
        <f aca="false">IF($M578=0,"",INDEX(Classes!$H$6:$H$420,$M578))</f>
        <v>Ms Soad Ahmed Mohamed</v>
      </c>
      <c r="D578" s="61" t="str">
        <f aca="false">IF($M578=0,"",INDEX(Classes!$B$6:$B$420,$M578))</f>
        <v>Year 7</v>
      </c>
      <c r="E578" s="61" t="str">
        <f aca="false">IF($M578=0,"",INDEX(Classes!$C$6:$C$420,$M578))</f>
        <v>ae</v>
      </c>
      <c r="F578" s="63" t="s">
        <v>107</v>
      </c>
      <c r="G578" s="63" t="s">
        <v>1015</v>
      </c>
      <c r="H578" s="60" t="s">
        <v>201</v>
      </c>
      <c r="I578" s="60" t="s">
        <v>201</v>
      </c>
      <c r="J578" s="63" t="n">
        <v>2</v>
      </c>
      <c r="K578" s="61" t="str">
        <f aca="false">IF($P578=0,"",IF($F578="Baseline","— Baseline",IF($O578=0,"No result",IF($N578=0,"No Start (attainment only)",IF(OR($N578=1,$O578=1),"U – needs rule",INDEX(MxBody,MATCH($I578,MxCurr,0),MATCH($H578,MxStart,0)))))))</f>
        <v>Expected</v>
      </c>
      <c r="L578" s="62" t="str">
        <f aca="false">IF(COUNTA($A578,$F578,$G578,$H578,$I578,$J578)=0,"",IF($M578=0,"✖ كود الصف غير موجود",IF(ISNA(MATCH($F578,Lists!$A$2:$A$5,0)),"✖ الفترة غير صحيحة",IF(ISNA(MATCH($G578,Lists!$B$2:$B$7,0)),"✖ المجموعة غير صحيحة",IF(NOT(OR($H578="",$N578&gt;0)),"✖ Start غير صحيح",IF(NOT(OR($I578="",$I578="NR",$O578&gt;0)),"✖ Current غير صحيح",IF(NOT(IF(ISNUMBER($J578),AND($J578&gt;=0,$J578=INT($J578)),FALSE())),"✖ العدد يجب أن يكون صحيحًا ≥ 0",IF(AND($F578="Baseline",$H578&lt;&gt;""),"⚠ Baseline: Start لا يدخل في التقدم",IF($K578="No Start (attainment only)","ℹ تحصيل فقط (بدون Start)",IF($K578="U – needs rule","ℹ حالة U تحتاج قاعدة معتمدة",IF($K578="No result","ℹ بدون نتيجة (يُستبعد من التحصيل)","OK")))))))))))</f>
        <v>OK</v>
      </c>
      <c r="M578" s="64" t="n">
        <f aca="false">IF($A578="",0,IFERROR(MATCH($A578,Classes!$A$6:$A$420,0),0))</f>
        <v>179</v>
      </c>
      <c r="N578" s="64" t="n">
        <f aca="false">IF($H578="",0,IFERROR(MATCH($H578,GradeList,0),0))</f>
        <v>6</v>
      </c>
      <c r="O578" s="64" t="n">
        <f aca="false">IF(OR($I578="",$I578="NR"),0,IFERROR(MATCH($I578,GradeList,0),0))</f>
        <v>6</v>
      </c>
      <c r="P578" s="64" t="n">
        <f aca="false">IF(AND($M578&gt;0,ISNUMBER(MATCH($F578,Lists!$A$2:$A$5,0)),ISNUMBER(MATCH($G578,Lists!$B$2:$B$7,0)),OR($H578="",$N578&gt;0),OR($I578="",$I578="NR",$O578&gt;0),IF(ISNUMBER($J578),AND($J578&gt;=0,$J578=INT($J578)),FALSE())),$J578,0)</f>
        <v>2</v>
      </c>
      <c r="Q578" s="64" t="n">
        <f aca="false">IF(AND($P578&gt;0,$O578&gt;0),$P578,0)</f>
        <v>2</v>
      </c>
      <c r="R578" s="64" t="n">
        <f aca="false">IF(AND($Q578&gt;0,$O578&gt;=AtRank),$Q578,0)</f>
        <v>2</v>
      </c>
      <c r="S578" s="64" t="n">
        <f aca="false">IF(AND($Q578&gt;0,$O578&gt;=AboveRank),$Q578,0)</f>
        <v>0</v>
      </c>
      <c r="T578" s="64" t="n">
        <f aca="false">IF($K578="Less",$P578,0)</f>
        <v>0</v>
      </c>
      <c r="U578" s="64" t="n">
        <f aca="false">IF($K578="Expected",$P578,0)</f>
        <v>2</v>
      </c>
      <c r="V578" s="64" t="n">
        <f aca="false">IF($K578="Better",$P578,0)</f>
        <v>0</v>
      </c>
      <c r="W578" s="64" t="n">
        <f aca="false">IF($K578="U – needs rule",$P578,0)</f>
        <v>0</v>
      </c>
      <c r="X578" s="64" t="n">
        <f aca="false">IF($K578="No Start (attainment only)",$P578,0)</f>
        <v>0</v>
      </c>
    </row>
    <row r="579" customFormat="false" ht="15" hidden="false" customHeight="false" outlineLevel="0" collapsed="false">
      <c r="A579" s="60" t="s">
        <v>653</v>
      </c>
      <c r="B579" s="61" t="str">
        <f aca="false">IF($M579=0,"",INDEX(Classes!$E$6:$E$420,$M579))</f>
        <v>Arabic A</v>
      </c>
      <c r="C579" s="62" t="str">
        <f aca="false">IF($M579=0,"",INDEX(Classes!$H$6:$H$420,$M579))</f>
        <v>Ms Soad Ahmed Mohamed</v>
      </c>
      <c r="D579" s="61" t="str">
        <f aca="false">IF($M579=0,"",INDEX(Classes!$B$6:$B$420,$M579))</f>
        <v>Year 7</v>
      </c>
      <c r="E579" s="61" t="str">
        <f aca="false">IF($M579=0,"",INDEX(Classes!$C$6:$C$420,$M579))</f>
        <v>ae</v>
      </c>
      <c r="F579" s="63" t="s">
        <v>107</v>
      </c>
      <c r="G579" s="63" t="s">
        <v>1015</v>
      </c>
      <c r="H579" s="60" t="s">
        <v>204</v>
      </c>
      <c r="I579" s="60" t="s">
        <v>204</v>
      </c>
      <c r="J579" s="63" t="n">
        <v>1</v>
      </c>
      <c r="K579" s="61" t="str">
        <f aca="false">IF($P579=0,"",IF($F579="Baseline","— Baseline",IF($O579=0,"No result",IF($N579=0,"No Start (attainment only)",IF(OR($N579=1,$O579=1),"U – needs rule",INDEX(MxBody,MATCH($I579,MxCurr,0),MATCH($H579,MxStart,0)))))))</f>
        <v>Better</v>
      </c>
      <c r="L579" s="62" t="str">
        <f aca="false">IF(COUNTA($A579,$F579,$G579,$H579,$I579,$J579)=0,"",IF($M579=0,"✖ كود الصف غير موجود",IF(ISNA(MATCH($F579,Lists!$A$2:$A$5,0)),"✖ الفترة غير صحيحة",IF(ISNA(MATCH($G579,Lists!$B$2:$B$7,0)),"✖ المجموعة غير صحيحة",IF(NOT(OR($H579="",$N579&gt;0)),"✖ Start غير صحيح",IF(NOT(OR($I579="",$I579="NR",$O579&gt;0)),"✖ Current غير صحيح",IF(NOT(IF(ISNUMBER($J579),AND($J579&gt;=0,$J579=INT($J579)),FALSE())),"✖ العدد يجب أن يكون صحيحًا ≥ 0",IF(AND($F579="Baseline",$H579&lt;&gt;""),"⚠ Baseline: Start لا يدخل في التقدم",IF($K579="No Start (attainment only)","ℹ تحصيل فقط (بدون Start)",IF($K579="U – needs rule","ℹ حالة U تحتاج قاعدة معتمدة",IF($K579="No result","ℹ بدون نتيجة (يُستبعد من التحصيل)","OK")))))))))))</f>
        <v>OK</v>
      </c>
      <c r="M579" s="64" t="n">
        <f aca="false">IF($A579="",0,IFERROR(MATCH($A579,Classes!$A$6:$A$420,0),0))</f>
        <v>179</v>
      </c>
      <c r="N579" s="64" t="n">
        <f aca="false">IF($H579="",0,IFERROR(MATCH($H579,GradeList,0),0))</f>
        <v>9</v>
      </c>
      <c r="O579" s="64" t="n">
        <f aca="false">IF(OR($I579="",$I579="NR"),0,IFERROR(MATCH($I579,GradeList,0),0))</f>
        <v>9</v>
      </c>
      <c r="P579" s="64" t="n">
        <f aca="false">IF(AND($M579&gt;0,ISNUMBER(MATCH($F579,Lists!$A$2:$A$5,0)),ISNUMBER(MATCH($G579,Lists!$B$2:$B$7,0)),OR($H579="",$N579&gt;0),OR($I579="",$I579="NR",$O579&gt;0),IF(ISNUMBER($J579),AND($J579&gt;=0,$J579=INT($J579)),FALSE())),$J579,0)</f>
        <v>1</v>
      </c>
      <c r="Q579" s="64" t="n">
        <f aca="false">IF(AND($P579&gt;0,$O579&gt;0),$P579,0)</f>
        <v>1</v>
      </c>
      <c r="R579" s="64" t="n">
        <f aca="false">IF(AND($Q579&gt;0,$O579&gt;=AtRank),$Q579,0)</f>
        <v>1</v>
      </c>
      <c r="S579" s="64" t="n">
        <f aca="false">IF(AND($Q579&gt;0,$O579&gt;=AboveRank),$Q579,0)</f>
        <v>1</v>
      </c>
      <c r="T579" s="64" t="n">
        <f aca="false">IF($K579="Less",$P579,0)</f>
        <v>0</v>
      </c>
      <c r="U579" s="64" t="n">
        <f aca="false">IF($K579="Expected",$P579,0)</f>
        <v>0</v>
      </c>
      <c r="V579" s="64" t="n">
        <f aca="false">IF($K579="Better",$P579,0)</f>
        <v>1</v>
      </c>
      <c r="W579" s="64" t="n">
        <f aca="false">IF($K579="U – needs rule",$P579,0)</f>
        <v>0</v>
      </c>
      <c r="X579" s="64" t="n">
        <f aca="false">IF($K579="No Start (attainment only)",$P579,0)</f>
        <v>0</v>
      </c>
    </row>
    <row r="580" customFormat="false" ht="15" hidden="false" customHeight="false" outlineLevel="0" collapsed="false">
      <c r="A580" s="60" t="s">
        <v>653</v>
      </c>
      <c r="B580" s="61" t="str">
        <f aca="false">IF($M580=0,"",INDEX(Classes!$E$6:$E$420,$M580))</f>
        <v>Arabic A</v>
      </c>
      <c r="C580" s="62" t="str">
        <f aca="false">IF($M580=0,"",INDEX(Classes!$H$6:$H$420,$M580))</f>
        <v>Ms Soad Ahmed Mohamed</v>
      </c>
      <c r="D580" s="61" t="str">
        <f aca="false">IF($M580=0,"",INDEX(Classes!$B$6:$B$420,$M580))</f>
        <v>Year 7</v>
      </c>
      <c r="E580" s="61" t="str">
        <f aca="false">IF($M580=0,"",INDEX(Classes!$C$6:$C$420,$M580))</f>
        <v>ae</v>
      </c>
      <c r="F580" s="63" t="s">
        <v>107</v>
      </c>
      <c r="G580" s="63" t="s">
        <v>1015</v>
      </c>
      <c r="H580" s="60" t="s">
        <v>205</v>
      </c>
      <c r="I580" s="60" t="s">
        <v>205</v>
      </c>
      <c r="J580" s="63" t="n">
        <v>1</v>
      </c>
      <c r="K580" s="61" t="str">
        <f aca="false">IF($P580=0,"",IF($F580="Baseline","— Baseline",IF($O580=0,"No result",IF($N580=0,"No Start (attainment only)",IF(OR($N580=1,$O580=1),"U – needs rule",INDEX(MxBody,MATCH($I580,MxCurr,0),MATCH($H580,MxStart,0)))))))</f>
        <v>Better</v>
      </c>
      <c r="L580" s="62" t="str">
        <f aca="false">IF(COUNTA($A580,$F580,$G580,$H580,$I580,$J580)=0,"",IF($M580=0,"✖ كود الصف غير موجود",IF(ISNA(MATCH($F580,Lists!$A$2:$A$5,0)),"✖ الفترة غير صحيحة",IF(ISNA(MATCH($G580,Lists!$B$2:$B$7,0)),"✖ المجموعة غير صحيحة",IF(NOT(OR($H580="",$N580&gt;0)),"✖ Start غير صحيح",IF(NOT(OR($I580="",$I580="NR",$O580&gt;0)),"✖ Current غير صحيح",IF(NOT(IF(ISNUMBER($J580),AND($J580&gt;=0,$J580=INT($J580)),FALSE())),"✖ العدد يجب أن يكون صحيحًا ≥ 0",IF(AND($F580="Baseline",$H580&lt;&gt;""),"⚠ Baseline: Start لا يدخل في التقدم",IF($K580="No Start (attainment only)","ℹ تحصيل فقط (بدون Start)",IF($K580="U – needs rule","ℹ حالة U تحتاج قاعدة معتمدة",IF($K580="No result","ℹ بدون نتيجة (يُستبعد من التحصيل)","OK")))))))))))</f>
        <v>OK</v>
      </c>
      <c r="M580" s="64" t="n">
        <f aca="false">IF($A580="",0,IFERROR(MATCH($A580,Classes!$A$6:$A$420,0),0))</f>
        <v>179</v>
      </c>
      <c r="N580" s="64" t="n">
        <f aca="false">IF($H580="",0,IFERROR(MATCH($H580,GradeList,0),0))</f>
        <v>10</v>
      </c>
      <c r="O580" s="64" t="n">
        <f aca="false">IF(OR($I580="",$I580="NR"),0,IFERROR(MATCH($I580,GradeList,0),0))</f>
        <v>10</v>
      </c>
      <c r="P580" s="64" t="n">
        <f aca="false">IF(AND($M580&gt;0,ISNUMBER(MATCH($F580,Lists!$A$2:$A$5,0)),ISNUMBER(MATCH($G580,Lists!$B$2:$B$7,0)),OR($H580="",$N580&gt;0),OR($I580="",$I580="NR",$O580&gt;0),IF(ISNUMBER($J580),AND($J580&gt;=0,$J580=INT($J580)),FALSE())),$J580,0)</f>
        <v>1</v>
      </c>
      <c r="Q580" s="64" t="n">
        <f aca="false">IF(AND($P580&gt;0,$O580&gt;0),$P580,0)</f>
        <v>1</v>
      </c>
      <c r="R580" s="64" t="n">
        <f aca="false">IF(AND($Q580&gt;0,$O580&gt;=AtRank),$Q580,0)</f>
        <v>1</v>
      </c>
      <c r="S580" s="64" t="n">
        <f aca="false">IF(AND($Q580&gt;0,$O580&gt;=AboveRank),$Q580,0)</f>
        <v>1</v>
      </c>
      <c r="T580" s="64" t="n">
        <f aca="false">IF($K580="Less",$P580,0)</f>
        <v>0</v>
      </c>
      <c r="U580" s="64" t="n">
        <f aca="false">IF($K580="Expected",$P580,0)</f>
        <v>0</v>
      </c>
      <c r="V580" s="64" t="n">
        <f aca="false">IF($K580="Better",$P580,0)</f>
        <v>1</v>
      </c>
      <c r="W580" s="64" t="n">
        <f aca="false">IF($K580="U – needs rule",$P580,0)</f>
        <v>0</v>
      </c>
      <c r="X580" s="64" t="n">
        <f aca="false">IF($K580="No Start (attainment only)",$P580,0)</f>
        <v>0</v>
      </c>
    </row>
    <row r="581" customFormat="false" ht="15" hidden="false" customHeight="false" outlineLevel="0" collapsed="false">
      <c r="A581" s="60" t="s">
        <v>653</v>
      </c>
      <c r="B581" s="61" t="str">
        <f aca="false">IF($M581=0,"",INDEX(Classes!$E$6:$E$420,$M581))</f>
        <v>Arabic A</v>
      </c>
      <c r="C581" s="62" t="str">
        <f aca="false">IF($M581=0,"",INDEX(Classes!$H$6:$H$420,$M581))</f>
        <v>Ms Soad Ahmed Mohamed</v>
      </c>
      <c r="D581" s="61" t="str">
        <f aca="false">IF($M581=0,"",INDEX(Classes!$B$6:$B$420,$M581))</f>
        <v>Year 7</v>
      </c>
      <c r="E581" s="61" t="str">
        <f aca="false">IF($M581=0,"",INDEX(Classes!$C$6:$C$420,$M581))</f>
        <v>ae</v>
      </c>
      <c r="F581" s="63" t="s">
        <v>107</v>
      </c>
      <c r="G581" s="63" t="s">
        <v>1015</v>
      </c>
      <c r="H581" s="60" t="s">
        <v>199</v>
      </c>
      <c r="I581" s="60" t="s">
        <v>199</v>
      </c>
      <c r="J581" s="63" t="n">
        <v>1</v>
      </c>
      <c r="K581" s="61" t="str">
        <f aca="false">IF($P581=0,"",IF($F581="Baseline","— Baseline",IF($O581=0,"No result",IF($N581=0,"No Start (attainment only)",IF(OR($N581=1,$O581=1),"U – needs rule",INDEX(MxBody,MATCH($I581,MxCurr,0),MATCH($H581,MxStart,0)))))))</f>
        <v>Expected</v>
      </c>
      <c r="L581" s="62" t="str">
        <f aca="false">IF(COUNTA($A581,$F581,$G581,$H581,$I581,$J581)=0,"",IF($M581=0,"✖ كود الصف غير موجود",IF(ISNA(MATCH($F581,Lists!$A$2:$A$5,0)),"✖ الفترة غير صحيحة",IF(ISNA(MATCH($G581,Lists!$B$2:$B$7,0)),"✖ المجموعة غير صحيحة",IF(NOT(OR($H581="",$N581&gt;0)),"✖ Start غير صحيح",IF(NOT(OR($I581="",$I581="NR",$O581&gt;0)),"✖ Current غير صحيح",IF(NOT(IF(ISNUMBER($J581),AND($J581&gt;=0,$J581=INT($J581)),FALSE())),"✖ العدد يجب أن يكون صحيحًا ≥ 0",IF(AND($F581="Baseline",$H581&lt;&gt;""),"⚠ Baseline: Start لا يدخل في التقدم",IF($K581="No Start (attainment only)","ℹ تحصيل فقط (بدون Start)",IF($K581="U – needs rule","ℹ حالة U تحتاج قاعدة معتمدة",IF($K581="No result","ℹ بدون نتيجة (يُستبعد من التحصيل)","OK")))))))))))</f>
        <v>OK</v>
      </c>
      <c r="M581" s="64" t="n">
        <f aca="false">IF($A581="",0,IFERROR(MATCH($A581,Classes!$A$6:$A$420,0),0))</f>
        <v>179</v>
      </c>
      <c r="N581" s="64" t="n">
        <f aca="false">IF($H581="",0,IFERROR(MATCH($H581,GradeList,0),0))</f>
        <v>4</v>
      </c>
      <c r="O581" s="64" t="n">
        <f aca="false">IF(OR($I581="",$I581="NR"),0,IFERROR(MATCH($I581,GradeList,0),0))</f>
        <v>4</v>
      </c>
      <c r="P581" s="64" t="n">
        <f aca="false">IF(AND($M581&gt;0,ISNUMBER(MATCH($F581,Lists!$A$2:$A$5,0)),ISNUMBER(MATCH($G581,Lists!$B$2:$B$7,0)),OR($H581="",$N581&gt;0),OR($I581="",$I581="NR",$O581&gt;0),IF(ISNUMBER($J581),AND($J581&gt;=0,$J581=INT($J581)),FALSE())),$J581,0)</f>
        <v>1</v>
      </c>
      <c r="Q581" s="64" t="n">
        <f aca="false">IF(AND($P581&gt;0,$O581&gt;0),$P581,0)</f>
        <v>1</v>
      </c>
      <c r="R581" s="64" t="n">
        <f aca="false">IF(AND($Q581&gt;0,$O581&gt;=AtRank),$Q581,0)</f>
        <v>0</v>
      </c>
      <c r="S581" s="64" t="n">
        <f aca="false">IF(AND($Q581&gt;0,$O581&gt;=AboveRank),$Q581,0)</f>
        <v>0</v>
      </c>
      <c r="T581" s="64" t="n">
        <f aca="false">IF($K581="Less",$P581,0)</f>
        <v>0</v>
      </c>
      <c r="U581" s="64" t="n">
        <f aca="false">IF($K581="Expected",$P581,0)</f>
        <v>1</v>
      </c>
      <c r="V581" s="64" t="n">
        <f aca="false">IF($K581="Better",$P581,0)</f>
        <v>0</v>
      </c>
      <c r="W581" s="64" t="n">
        <f aca="false">IF($K581="U – needs rule",$P581,0)</f>
        <v>0</v>
      </c>
      <c r="X581" s="64" t="n">
        <f aca="false">IF($K581="No Start (attainment only)",$P581,0)</f>
        <v>0</v>
      </c>
    </row>
    <row r="582" customFormat="false" ht="15" hidden="false" customHeight="false" outlineLevel="0" collapsed="false">
      <c r="A582" s="60" t="s">
        <v>653</v>
      </c>
      <c r="B582" s="61" t="str">
        <f aca="false">IF($M582=0,"",INDEX(Classes!$E$6:$E$420,$M582))</f>
        <v>Arabic A</v>
      </c>
      <c r="C582" s="62" t="str">
        <f aca="false">IF($M582=0,"",INDEX(Classes!$H$6:$H$420,$M582))</f>
        <v>Ms Soad Ahmed Mohamed</v>
      </c>
      <c r="D582" s="61" t="str">
        <f aca="false">IF($M582=0,"",INDEX(Classes!$B$6:$B$420,$M582))</f>
        <v>Year 7</v>
      </c>
      <c r="E582" s="61" t="str">
        <f aca="false">IF($M582=0,"",INDEX(Classes!$C$6:$C$420,$M582))</f>
        <v>ae</v>
      </c>
      <c r="F582" s="63" t="s">
        <v>107</v>
      </c>
      <c r="G582" s="63" t="s">
        <v>1016</v>
      </c>
      <c r="H582" s="60"/>
      <c r="I582" s="60" t="s">
        <v>200</v>
      </c>
      <c r="J582" s="63" t="n">
        <v>1</v>
      </c>
      <c r="K582" s="61" t="str">
        <f aca="false">IF($P582=0,"",IF($F582="Baseline","— Baseline",IF($O582=0,"No result",IF($N582=0,"No Start (attainment only)",IF(OR($N582=1,$O582=1),"U – needs rule",INDEX(MxBody,MATCH($I582,MxCurr,0),MATCH($H582,MxStart,0)))))))</f>
        <v>No Start (attainment only)</v>
      </c>
      <c r="L582" s="62" t="str">
        <f aca="false">IF(COUNTA($A582,$F582,$G582,$H582,$I582,$J582)=0,"",IF($M582=0,"✖ كود الصف غير موجود",IF(ISNA(MATCH($F582,Lists!$A$2:$A$5,0)),"✖ الفترة غير صحيحة",IF(ISNA(MATCH($G582,Lists!$B$2:$B$7,0)),"✖ المجموعة غير صحيحة",IF(NOT(OR($H582="",$N582&gt;0)),"✖ Start غير صحيح",IF(NOT(OR($I582="",$I582="NR",$O582&gt;0)),"✖ Current غير صحيح",IF(NOT(IF(ISNUMBER($J582),AND($J582&gt;=0,$J582=INT($J582)),FALSE())),"✖ العدد يجب أن يكون صحيحًا ≥ 0",IF(AND($F582="Baseline",$H582&lt;&gt;""),"⚠ Baseline: Start لا يدخل في التقدم",IF($K582="No Start (attainment only)","ℹ تحصيل فقط (بدون Start)",IF($K582="U – needs rule","ℹ حالة U تحتاج قاعدة معتمدة",IF($K582="No result","ℹ بدون نتيجة (يُستبعد من التحصيل)","OK")))))))))))</f>
        <v>ℹ تحصيل فقط (بدون Start)</v>
      </c>
      <c r="M582" s="64" t="n">
        <f aca="false">IF($A582="",0,IFERROR(MATCH($A582,Classes!$A$6:$A$420,0),0))</f>
        <v>179</v>
      </c>
      <c r="N582" s="64" t="n">
        <f aca="false">IF($H582="",0,IFERROR(MATCH($H582,GradeList,0),0))</f>
        <v>0</v>
      </c>
      <c r="O582" s="64" t="n">
        <f aca="false">IF(OR($I582="",$I582="NR"),0,IFERROR(MATCH($I582,GradeList,0),0))</f>
        <v>5</v>
      </c>
      <c r="P582" s="64" t="n">
        <f aca="false">IF(AND($M582&gt;0,ISNUMBER(MATCH($F582,Lists!$A$2:$A$5,0)),ISNUMBER(MATCH($G582,Lists!$B$2:$B$7,0)),OR($H582="",$N582&gt;0),OR($I582="",$I582="NR",$O582&gt;0),IF(ISNUMBER($J582),AND($J582&gt;=0,$J582=INT($J582)),FALSE())),$J582,0)</f>
        <v>1</v>
      </c>
      <c r="Q582" s="64" t="n">
        <f aca="false">IF(AND($P582&gt;0,$O582&gt;0),$P582,0)</f>
        <v>1</v>
      </c>
      <c r="R582" s="64" t="n">
        <f aca="false">IF(AND($Q582&gt;0,$O582&gt;=AtRank),$Q582,0)</f>
        <v>1</v>
      </c>
      <c r="S582" s="64" t="n">
        <f aca="false">IF(AND($Q582&gt;0,$O582&gt;=AboveRank),$Q582,0)</f>
        <v>0</v>
      </c>
      <c r="T582" s="64" t="n">
        <f aca="false">IF($K582="Less",$P582,0)</f>
        <v>0</v>
      </c>
      <c r="U582" s="64" t="n">
        <f aca="false">IF($K582="Expected",$P582,0)</f>
        <v>0</v>
      </c>
      <c r="V582" s="64" t="n">
        <f aca="false">IF($K582="Better",$P582,0)</f>
        <v>0</v>
      </c>
      <c r="W582" s="64" t="n">
        <f aca="false">IF($K582="U – needs rule",$P582,0)</f>
        <v>0</v>
      </c>
      <c r="X582" s="64" t="n">
        <f aca="false">IF($K582="No Start (attainment only)",$P582,0)</f>
        <v>1</v>
      </c>
    </row>
    <row r="583" customFormat="false" ht="15" hidden="false" customHeight="false" outlineLevel="0" collapsed="false">
      <c r="A583" s="60" t="s">
        <v>653</v>
      </c>
      <c r="B583" s="61" t="str">
        <f aca="false">IF($M583=0,"",INDEX(Classes!$E$6:$E$420,$M583))</f>
        <v>Arabic A</v>
      </c>
      <c r="C583" s="62" t="str">
        <f aca="false">IF($M583=0,"",INDEX(Classes!$H$6:$H$420,$M583))</f>
        <v>Ms Soad Ahmed Mohamed</v>
      </c>
      <c r="D583" s="61" t="str">
        <f aca="false">IF($M583=0,"",INDEX(Classes!$B$6:$B$420,$M583))</f>
        <v>Year 7</v>
      </c>
      <c r="E583" s="61" t="str">
        <f aca="false">IF($M583=0,"",INDEX(Classes!$C$6:$C$420,$M583))</f>
        <v>ae</v>
      </c>
      <c r="F583" s="63" t="s">
        <v>107</v>
      </c>
      <c r="G583" s="63" t="s">
        <v>1016</v>
      </c>
      <c r="H583" s="60" t="s">
        <v>202</v>
      </c>
      <c r="I583" s="60" t="s">
        <v>202</v>
      </c>
      <c r="J583" s="63" t="n">
        <v>3</v>
      </c>
      <c r="K583" s="61" t="str">
        <f aca="false">IF($P583=0,"",IF($F583="Baseline","— Baseline",IF($O583=0,"No result",IF($N583=0,"No Start (attainment only)",IF(OR($N583=1,$O583=1),"U – needs rule",INDEX(MxBody,MATCH($I583,MxCurr,0),MATCH($H583,MxStart,0)))))))</f>
        <v>Better</v>
      </c>
      <c r="L583" s="62" t="str">
        <f aca="false">IF(COUNTA($A583,$F583,$G583,$H583,$I583,$J583)=0,"",IF($M583=0,"✖ كود الصف غير موجود",IF(ISNA(MATCH($F583,Lists!$A$2:$A$5,0)),"✖ الفترة غير صحيحة",IF(ISNA(MATCH($G583,Lists!$B$2:$B$7,0)),"✖ المجموعة غير صحيحة",IF(NOT(OR($H583="",$N583&gt;0)),"✖ Start غير صحيح",IF(NOT(OR($I583="",$I583="NR",$O583&gt;0)),"✖ Current غير صحيح",IF(NOT(IF(ISNUMBER($J583),AND($J583&gt;=0,$J583=INT($J583)),FALSE())),"✖ العدد يجب أن يكون صحيحًا ≥ 0",IF(AND($F583="Baseline",$H583&lt;&gt;""),"⚠ Baseline: Start لا يدخل في التقدم",IF($K583="No Start (attainment only)","ℹ تحصيل فقط (بدون Start)",IF($K583="U – needs rule","ℹ حالة U تحتاج قاعدة معتمدة",IF($K583="No result","ℹ بدون نتيجة (يُستبعد من التحصيل)","OK")))))))))))</f>
        <v>OK</v>
      </c>
      <c r="M583" s="64" t="n">
        <f aca="false">IF($A583="",0,IFERROR(MATCH($A583,Classes!$A$6:$A$420,0),0))</f>
        <v>179</v>
      </c>
      <c r="N583" s="64" t="n">
        <f aca="false">IF($H583="",0,IFERROR(MATCH($H583,GradeList,0),0))</f>
        <v>7</v>
      </c>
      <c r="O583" s="64" t="n">
        <f aca="false">IF(OR($I583="",$I583="NR"),0,IFERROR(MATCH($I583,GradeList,0),0))</f>
        <v>7</v>
      </c>
      <c r="P583" s="64" t="n">
        <f aca="false">IF(AND($M583&gt;0,ISNUMBER(MATCH($F583,Lists!$A$2:$A$5,0)),ISNUMBER(MATCH($G583,Lists!$B$2:$B$7,0)),OR($H583="",$N583&gt;0),OR($I583="",$I583="NR",$O583&gt;0),IF(ISNUMBER($J583),AND($J583&gt;=0,$J583=INT($J583)),FALSE())),$J583,0)</f>
        <v>3</v>
      </c>
      <c r="Q583" s="64" t="n">
        <f aca="false">IF(AND($P583&gt;0,$O583&gt;0),$P583,0)</f>
        <v>3</v>
      </c>
      <c r="R583" s="64" t="n">
        <f aca="false">IF(AND($Q583&gt;0,$O583&gt;=AtRank),$Q583,0)</f>
        <v>3</v>
      </c>
      <c r="S583" s="64" t="n">
        <f aca="false">IF(AND($Q583&gt;0,$O583&gt;=AboveRank),$Q583,0)</f>
        <v>3</v>
      </c>
      <c r="T583" s="64" t="n">
        <f aca="false">IF($K583="Less",$P583,0)</f>
        <v>0</v>
      </c>
      <c r="U583" s="64" t="n">
        <f aca="false">IF($K583="Expected",$P583,0)</f>
        <v>0</v>
      </c>
      <c r="V583" s="64" t="n">
        <f aca="false">IF($K583="Better",$P583,0)</f>
        <v>3</v>
      </c>
      <c r="W583" s="64" t="n">
        <f aca="false">IF($K583="U – needs rule",$P583,0)</f>
        <v>0</v>
      </c>
      <c r="X583" s="64" t="n">
        <f aca="false">IF($K583="No Start (attainment only)",$P583,0)</f>
        <v>0</v>
      </c>
    </row>
    <row r="584" customFormat="false" ht="15" hidden="false" customHeight="false" outlineLevel="0" collapsed="false">
      <c r="A584" s="60" t="s">
        <v>653</v>
      </c>
      <c r="B584" s="61" t="str">
        <f aca="false">IF($M584=0,"",INDEX(Classes!$E$6:$E$420,$M584))</f>
        <v>Arabic A</v>
      </c>
      <c r="C584" s="62" t="str">
        <f aca="false">IF($M584=0,"",INDEX(Classes!$H$6:$H$420,$M584))</f>
        <v>Ms Soad Ahmed Mohamed</v>
      </c>
      <c r="D584" s="61" t="str">
        <f aca="false">IF($M584=0,"",INDEX(Classes!$B$6:$B$420,$M584))</f>
        <v>Year 7</v>
      </c>
      <c r="E584" s="61" t="str">
        <f aca="false">IF($M584=0,"",INDEX(Classes!$C$6:$C$420,$M584))</f>
        <v>ae</v>
      </c>
      <c r="F584" s="63" t="s">
        <v>107</v>
      </c>
      <c r="G584" s="63" t="s">
        <v>1016</v>
      </c>
      <c r="H584" s="60" t="s">
        <v>202</v>
      </c>
      <c r="I584" s="60" t="s">
        <v>203</v>
      </c>
      <c r="J584" s="63" t="n">
        <v>2</v>
      </c>
      <c r="K584" s="61" t="str">
        <f aca="false">IF($P584=0,"",IF($F584="Baseline","— Baseline",IF($O584=0,"No result",IF($N584=0,"No Start (attainment only)",IF(OR($N584=1,$O584=1),"U – needs rule",INDEX(MxBody,MATCH($I584,MxCurr,0),MATCH($H584,MxStart,0)))))))</f>
        <v>Better</v>
      </c>
      <c r="L584" s="62" t="str">
        <f aca="false">IF(COUNTA($A584,$F584,$G584,$H584,$I584,$J584)=0,"",IF($M584=0,"✖ كود الصف غير موجود",IF(ISNA(MATCH($F584,Lists!$A$2:$A$5,0)),"✖ الفترة غير صحيحة",IF(ISNA(MATCH($G584,Lists!$B$2:$B$7,0)),"✖ المجموعة غير صحيحة",IF(NOT(OR($H584="",$N584&gt;0)),"✖ Start غير صحيح",IF(NOT(OR($I584="",$I584="NR",$O584&gt;0)),"✖ Current غير صحيح",IF(NOT(IF(ISNUMBER($J584),AND($J584&gt;=0,$J584=INT($J584)),FALSE())),"✖ العدد يجب أن يكون صحيحًا ≥ 0",IF(AND($F584="Baseline",$H584&lt;&gt;""),"⚠ Baseline: Start لا يدخل في التقدم",IF($K584="No Start (attainment only)","ℹ تحصيل فقط (بدون Start)",IF($K584="U – needs rule","ℹ حالة U تحتاج قاعدة معتمدة",IF($K584="No result","ℹ بدون نتيجة (يُستبعد من التحصيل)","OK")))))))))))</f>
        <v>OK</v>
      </c>
      <c r="M584" s="64" t="n">
        <f aca="false">IF($A584="",0,IFERROR(MATCH($A584,Classes!$A$6:$A$420,0),0))</f>
        <v>179</v>
      </c>
      <c r="N584" s="64" t="n">
        <f aca="false">IF($H584="",0,IFERROR(MATCH($H584,GradeList,0),0))</f>
        <v>7</v>
      </c>
      <c r="O584" s="64" t="n">
        <f aca="false">IF(OR($I584="",$I584="NR"),0,IFERROR(MATCH($I584,GradeList,0),0))</f>
        <v>8</v>
      </c>
      <c r="P584" s="64" t="n">
        <f aca="false">IF(AND($M584&gt;0,ISNUMBER(MATCH($F584,Lists!$A$2:$A$5,0)),ISNUMBER(MATCH($G584,Lists!$B$2:$B$7,0)),OR($H584="",$N584&gt;0),OR($I584="",$I584="NR",$O584&gt;0),IF(ISNUMBER($J584),AND($J584&gt;=0,$J584=INT($J584)),FALSE())),$J584,0)</f>
        <v>2</v>
      </c>
      <c r="Q584" s="64" t="n">
        <f aca="false">IF(AND($P584&gt;0,$O584&gt;0),$P584,0)</f>
        <v>2</v>
      </c>
      <c r="R584" s="64" t="n">
        <f aca="false">IF(AND($Q584&gt;0,$O584&gt;=AtRank),$Q584,0)</f>
        <v>2</v>
      </c>
      <c r="S584" s="64" t="n">
        <f aca="false">IF(AND($Q584&gt;0,$O584&gt;=AboveRank),$Q584,0)</f>
        <v>2</v>
      </c>
      <c r="T584" s="64" t="n">
        <f aca="false">IF($K584="Less",$P584,0)</f>
        <v>0</v>
      </c>
      <c r="U584" s="64" t="n">
        <f aca="false">IF($K584="Expected",$P584,0)</f>
        <v>0</v>
      </c>
      <c r="V584" s="64" t="n">
        <f aca="false">IF($K584="Better",$P584,0)</f>
        <v>2</v>
      </c>
      <c r="W584" s="64" t="n">
        <f aca="false">IF($K584="U – needs rule",$P584,0)</f>
        <v>0</v>
      </c>
      <c r="X584" s="64" t="n">
        <f aca="false">IF($K584="No Start (attainment only)",$P584,0)</f>
        <v>0</v>
      </c>
    </row>
    <row r="585" customFormat="false" ht="15" hidden="false" customHeight="false" outlineLevel="0" collapsed="false">
      <c r="A585" s="60" t="s">
        <v>653</v>
      </c>
      <c r="B585" s="61" t="str">
        <f aca="false">IF($M585=0,"",INDEX(Classes!$E$6:$E$420,$M585))</f>
        <v>Arabic A</v>
      </c>
      <c r="C585" s="62" t="str">
        <f aca="false">IF($M585=0,"",INDEX(Classes!$H$6:$H$420,$M585))</f>
        <v>Ms Soad Ahmed Mohamed</v>
      </c>
      <c r="D585" s="61" t="str">
        <f aca="false">IF($M585=0,"",INDEX(Classes!$B$6:$B$420,$M585))</f>
        <v>Year 7</v>
      </c>
      <c r="E585" s="61" t="str">
        <f aca="false">IF($M585=0,"",INDEX(Classes!$C$6:$C$420,$M585))</f>
        <v>ae</v>
      </c>
      <c r="F585" s="63" t="s">
        <v>107</v>
      </c>
      <c r="G585" s="63" t="s">
        <v>1016</v>
      </c>
      <c r="H585" s="60" t="s">
        <v>202</v>
      </c>
      <c r="I585" s="60" t="s">
        <v>201</v>
      </c>
      <c r="J585" s="63" t="n">
        <v>1</v>
      </c>
      <c r="K585" s="61" t="str">
        <f aca="false">IF($P585=0,"",IF($F585="Baseline","— Baseline",IF($O585=0,"No result",IF($N585=0,"No Start (attainment only)",IF(OR($N585=1,$O585=1),"U – needs rule",INDEX(MxBody,MATCH($I585,MxCurr,0),MATCH($H585,MxStart,0)))))))</f>
        <v>Expected</v>
      </c>
      <c r="L585" s="62" t="str">
        <f aca="false">IF(COUNTA($A585,$F585,$G585,$H585,$I585,$J585)=0,"",IF($M585=0,"✖ كود الصف غير موجود",IF(ISNA(MATCH($F585,Lists!$A$2:$A$5,0)),"✖ الفترة غير صحيحة",IF(ISNA(MATCH($G585,Lists!$B$2:$B$7,0)),"✖ المجموعة غير صحيحة",IF(NOT(OR($H585="",$N585&gt;0)),"✖ Start غير صحيح",IF(NOT(OR($I585="",$I585="NR",$O585&gt;0)),"✖ Current غير صحيح",IF(NOT(IF(ISNUMBER($J585),AND($J585&gt;=0,$J585=INT($J585)),FALSE())),"✖ العدد يجب أن يكون صحيحًا ≥ 0",IF(AND($F585="Baseline",$H585&lt;&gt;""),"⚠ Baseline: Start لا يدخل في التقدم",IF($K585="No Start (attainment only)","ℹ تحصيل فقط (بدون Start)",IF($K585="U – needs rule","ℹ حالة U تحتاج قاعدة معتمدة",IF($K585="No result","ℹ بدون نتيجة (يُستبعد من التحصيل)","OK")))))))))))</f>
        <v>OK</v>
      </c>
      <c r="M585" s="64" t="n">
        <f aca="false">IF($A585="",0,IFERROR(MATCH($A585,Classes!$A$6:$A$420,0),0))</f>
        <v>179</v>
      </c>
      <c r="N585" s="64" t="n">
        <f aca="false">IF($H585="",0,IFERROR(MATCH($H585,GradeList,0),0))</f>
        <v>7</v>
      </c>
      <c r="O585" s="64" t="n">
        <f aca="false">IF(OR($I585="",$I585="NR"),0,IFERROR(MATCH($I585,GradeList,0),0))</f>
        <v>6</v>
      </c>
      <c r="P585" s="64" t="n">
        <f aca="false">IF(AND($M585&gt;0,ISNUMBER(MATCH($F585,Lists!$A$2:$A$5,0)),ISNUMBER(MATCH($G585,Lists!$B$2:$B$7,0)),OR($H585="",$N585&gt;0),OR($I585="",$I585="NR",$O585&gt;0),IF(ISNUMBER($J585),AND($J585&gt;=0,$J585=INT($J585)),FALSE())),$J585,0)</f>
        <v>1</v>
      </c>
      <c r="Q585" s="64" t="n">
        <f aca="false">IF(AND($P585&gt;0,$O585&gt;0),$P585,0)</f>
        <v>1</v>
      </c>
      <c r="R585" s="64" t="n">
        <f aca="false">IF(AND($Q585&gt;0,$O585&gt;=AtRank),$Q585,0)</f>
        <v>1</v>
      </c>
      <c r="S585" s="64" t="n">
        <f aca="false">IF(AND($Q585&gt;0,$O585&gt;=AboveRank),$Q585,0)</f>
        <v>0</v>
      </c>
      <c r="T585" s="64" t="n">
        <f aca="false">IF($K585="Less",$P585,0)</f>
        <v>0</v>
      </c>
      <c r="U585" s="64" t="n">
        <f aca="false">IF($K585="Expected",$P585,0)</f>
        <v>1</v>
      </c>
      <c r="V585" s="64" t="n">
        <f aca="false">IF($K585="Better",$P585,0)</f>
        <v>0</v>
      </c>
      <c r="W585" s="64" t="n">
        <f aca="false">IF($K585="U – needs rule",$P585,0)</f>
        <v>0</v>
      </c>
      <c r="X585" s="64" t="n">
        <f aca="false">IF($K585="No Start (attainment only)",$P585,0)</f>
        <v>0</v>
      </c>
    </row>
    <row r="586" customFormat="false" ht="15" hidden="false" customHeight="false" outlineLevel="0" collapsed="false">
      <c r="A586" s="60" t="s">
        <v>653</v>
      </c>
      <c r="B586" s="61" t="str">
        <f aca="false">IF($M586=0,"",INDEX(Classes!$E$6:$E$420,$M586))</f>
        <v>Arabic A</v>
      </c>
      <c r="C586" s="62" t="str">
        <f aca="false">IF($M586=0,"",INDEX(Classes!$H$6:$H$420,$M586))</f>
        <v>Ms Soad Ahmed Mohamed</v>
      </c>
      <c r="D586" s="61" t="str">
        <f aca="false">IF($M586=0,"",INDEX(Classes!$B$6:$B$420,$M586))</f>
        <v>Year 7</v>
      </c>
      <c r="E586" s="61" t="str">
        <f aca="false">IF($M586=0,"",INDEX(Classes!$C$6:$C$420,$M586))</f>
        <v>ae</v>
      </c>
      <c r="F586" s="63" t="s">
        <v>107</v>
      </c>
      <c r="G586" s="63" t="s">
        <v>1016</v>
      </c>
      <c r="H586" s="60" t="s">
        <v>203</v>
      </c>
      <c r="I586" s="60" t="s">
        <v>203</v>
      </c>
      <c r="J586" s="63" t="n">
        <v>1</v>
      </c>
      <c r="K586" s="61" t="str">
        <f aca="false">IF($P586=0,"",IF($F586="Baseline","— Baseline",IF($O586=0,"No result",IF($N586=0,"No Start (attainment only)",IF(OR($N586=1,$O586=1),"U – needs rule",INDEX(MxBody,MATCH($I586,MxCurr,0),MATCH($H586,MxStart,0)))))))</f>
        <v>Better</v>
      </c>
      <c r="L586" s="62" t="str">
        <f aca="false">IF(COUNTA($A586,$F586,$G586,$H586,$I586,$J586)=0,"",IF($M586=0,"✖ كود الصف غير موجود",IF(ISNA(MATCH($F586,Lists!$A$2:$A$5,0)),"✖ الفترة غير صحيحة",IF(ISNA(MATCH($G586,Lists!$B$2:$B$7,0)),"✖ المجموعة غير صحيحة",IF(NOT(OR($H586="",$N586&gt;0)),"✖ Start غير صحيح",IF(NOT(OR($I586="",$I586="NR",$O586&gt;0)),"✖ Current غير صحيح",IF(NOT(IF(ISNUMBER($J586),AND($J586&gt;=0,$J586=INT($J586)),FALSE())),"✖ العدد يجب أن يكون صحيحًا ≥ 0",IF(AND($F586="Baseline",$H586&lt;&gt;""),"⚠ Baseline: Start لا يدخل في التقدم",IF($K586="No Start (attainment only)","ℹ تحصيل فقط (بدون Start)",IF($K586="U – needs rule","ℹ حالة U تحتاج قاعدة معتمدة",IF($K586="No result","ℹ بدون نتيجة (يُستبعد من التحصيل)","OK")))))))))))</f>
        <v>OK</v>
      </c>
      <c r="M586" s="64" t="n">
        <f aca="false">IF($A586="",0,IFERROR(MATCH($A586,Classes!$A$6:$A$420,0),0))</f>
        <v>179</v>
      </c>
      <c r="N586" s="64" t="n">
        <f aca="false">IF($H586="",0,IFERROR(MATCH($H586,GradeList,0),0))</f>
        <v>8</v>
      </c>
      <c r="O586" s="64" t="n">
        <f aca="false">IF(OR($I586="",$I586="NR"),0,IFERROR(MATCH($I586,GradeList,0),0))</f>
        <v>8</v>
      </c>
      <c r="P586" s="64" t="n">
        <f aca="false">IF(AND($M586&gt;0,ISNUMBER(MATCH($F586,Lists!$A$2:$A$5,0)),ISNUMBER(MATCH($G586,Lists!$B$2:$B$7,0)),OR($H586="",$N586&gt;0),OR($I586="",$I586="NR",$O586&gt;0),IF(ISNUMBER($J586),AND($J586&gt;=0,$J586=INT($J586)),FALSE())),$J586,0)</f>
        <v>1</v>
      </c>
      <c r="Q586" s="64" t="n">
        <f aca="false">IF(AND($P586&gt;0,$O586&gt;0),$P586,0)</f>
        <v>1</v>
      </c>
      <c r="R586" s="64" t="n">
        <f aca="false">IF(AND($Q586&gt;0,$O586&gt;=AtRank),$Q586,0)</f>
        <v>1</v>
      </c>
      <c r="S586" s="64" t="n">
        <f aca="false">IF(AND($Q586&gt;0,$O586&gt;=AboveRank),$Q586,0)</f>
        <v>1</v>
      </c>
      <c r="T586" s="64" t="n">
        <f aca="false">IF($K586="Less",$P586,0)</f>
        <v>0</v>
      </c>
      <c r="U586" s="64" t="n">
        <f aca="false">IF($K586="Expected",$P586,0)</f>
        <v>0</v>
      </c>
      <c r="V586" s="64" t="n">
        <f aca="false">IF($K586="Better",$P586,0)</f>
        <v>1</v>
      </c>
      <c r="W586" s="64" t="n">
        <f aca="false">IF($K586="U – needs rule",$P586,0)</f>
        <v>0</v>
      </c>
      <c r="X586" s="64" t="n">
        <f aca="false">IF($K586="No Start (attainment only)",$P586,0)</f>
        <v>0</v>
      </c>
    </row>
    <row r="587" customFormat="false" ht="15" hidden="false" customHeight="false" outlineLevel="0" collapsed="false">
      <c r="A587" s="60" t="s">
        <v>653</v>
      </c>
      <c r="B587" s="61" t="str">
        <f aca="false">IF($M587=0,"",INDEX(Classes!$E$6:$E$420,$M587))</f>
        <v>Arabic A</v>
      </c>
      <c r="C587" s="62" t="str">
        <f aca="false">IF($M587=0,"",INDEX(Classes!$H$6:$H$420,$M587))</f>
        <v>Ms Soad Ahmed Mohamed</v>
      </c>
      <c r="D587" s="61" t="str">
        <f aca="false">IF($M587=0,"",INDEX(Classes!$B$6:$B$420,$M587))</f>
        <v>Year 7</v>
      </c>
      <c r="E587" s="61" t="str">
        <f aca="false">IF($M587=0,"",INDEX(Classes!$C$6:$C$420,$M587))</f>
        <v>ae</v>
      </c>
      <c r="F587" s="63" t="s">
        <v>107</v>
      </c>
      <c r="G587" s="63" t="s">
        <v>1016</v>
      </c>
      <c r="H587" s="60" t="s">
        <v>203</v>
      </c>
      <c r="I587" s="60" t="s">
        <v>204</v>
      </c>
      <c r="J587" s="63" t="n">
        <v>1</v>
      </c>
      <c r="K587" s="61" t="str">
        <f aca="false">IF($P587=0,"",IF($F587="Baseline","— Baseline",IF($O587=0,"No result",IF($N587=0,"No Start (attainment only)",IF(OR($N587=1,$O587=1),"U – needs rule",INDEX(MxBody,MATCH($I587,MxCurr,0),MATCH($H587,MxStart,0)))))))</f>
        <v>Better</v>
      </c>
      <c r="L587" s="62" t="str">
        <f aca="false">IF(COUNTA($A587,$F587,$G587,$H587,$I587,$J587)=0,"",IF($M587=0,"✖ كود الصف غير موجود",IF(ISNA(MATCH($F587,Lists!$A$2:$A$5,0)),"✖ الفترة غير صحيحة",IF(ISNA(MATCH($G587,Lists!$B$2:$B$7,0)),"✖ المجموعة غير صحيحة",IF(NOT(OR($H587="",$N587&gt;0)),"✖ Start غير صحيح",IF(NOT(OR($I587="",$I587="NR",$O587&gt;0)),"✖ Current غير صحيح",IF(NOT(IF(ISNUMBER($J587),AND($J587&gt;=0,$J587=INT($J587)),FALSE())),"✖ العدد يجب أن يكون صحيحًا ≥ 0",IF(AND($F587="Baseline",$H587&lt;&gt;""),"⚠ Baseline: Start لا يدخل في التقدم",IF($K587="No Start (attainment only)","ℹ تحصيل فقط (بدون Start)",IF($K587="U – needs rule","ℹ حالة U تحتاج قاعدة معتمدة",IF($K587="No result","ℹ بدون نتيجة (يُستبعد من التحصيل)","OK")))))))))))</f>
        <v>OK</v>
      </c>
      <c r="M587" s="64" t="n">
        <f aca="false">IF($A587="",0,IFERROR(MATCH($A587,Classes!$A$6:$A$420,0),0))</f>
        <v>179</v>
      </c>
      <c r="N587" s="64" t="n">
        <f aca="false">IF($H587="",0,IFERROR(MATCH($H587,GradeList,0),0))</f>
        <v>8</v>
      </c>
      <c r="O587" s="64" t="n">
        <f aca="false">IF(OR($I587="",$I587="NR"),0,IFERROR(MATCH($I587,GradeList,0),0))</f>
        <v>9</v>
      </c>
      <c r="P587" s="64" t="n">
        <f aca="false">IF(AND($M587&gt;0,ISNUMBER(MATCH($F587,Lists!$A$2:$A$5,0)),ISNUMBER(MATCH($G587,Lists!$B$2:$B$7,0)),OR($H587="",$N587&gt;0),OR($I587="",$I587="NR",$O587&gt;0),IF(ISNUMBER($J587),AND($J587&gt;=0,$J587=INT($J587)),FALSE())),$J587,0)</f>
        <v>1</v>
      </c>
      <c r="Q587" s="64" t="n">
        <f aca="false">IF(AND($P587&gt;0,$O587&gt;0),$P587,0)</f>
        <v>1</v>
      </c>
      <c r="R587" s="64" t="n">
        <f aca="false">IF(AND($Q587&gt;0,$O587&gt;=AtRank),$Q587,0)</f>
        <v>1</v>
      </c>
      <c r="S587" s="64" t="n">
        <f aca="false">IF(AND($Q587&gt;0,$O587&gt;=AboveRank),$Q587,0)</f>
        <v>1</v>
      </c>
      <c r="T587" s="64" t="n">
        <f aca="false">IF($K587="Less",$P587,0)</f>
        <v>0</v>
      </c>
      <c r="U587" s="64" t="n">
        <f aca="false">IF($K587="Expected",$P587,0)</f>
        <v>0</v>
      </c>
      <c r="V587" s="64" t="n">
        <f aca="false">IF($K587="Better",$P587,0)</f>
        <v>1</v>
      </c>
      <c r="W587" s="64" t="n">
        <f aca="false">IF($K587="U – needs rule",$P587,0)</f>
        <v>0</v>
      </c>
      <c r="X587" s="64" t="n">
        <f aca="false">IF($K587="No Start (attainment only)",$P587,0)</f>
        <v>0</v>
      </c>
    </row>
    <row r="588" customFormat="false" ht="15" hidden="false" customHeight="false" outlineLevel="0" collapsed="false">
      <c r="A588" s="60" t="s">
        <v>653</v>
      </c>
      <c r="B588" s="61" t="str">
        <f aca="false">IF($M588=0,"",INDEX(Classes!$E$6:$E$420,$M588))</f>
        <v>Arabic A</v>
      </c>
      <c r="C588" s="62" t="str">
        <f aca="false">IF($M588=0,"",INDEX(Classes!$H$6:$H$420,$M588))</f>
        <v>Ms Soad Ahmed Mohamed</v>
      </c>
      <c r="D588" s="61" t="str">
        <f aca="false">IF($M588=0,"",INDEX(Classes!$B$6:$B$420,$M588))</f>
        <v>Year 7</v>
      </c>
      <c r="E588" s="61" t="str">
        <f aca="false">IF($M588=0,"",INDEX(Classes!$C$6:$C$420,$M588))</f>
        <v>ae</v>
      </c>
      <c r="F588" s="63" t="s">
        <v>107</v>
      </c>
      <c r="G588" s="63" t="s">
        <v>1016</v>
      </c>
      <c r="H588" s="60" t="s">
        <v>201</v>
      </c>
      <c r="I588" s="60" t="s">
        <v>202</v>
      </c>
      <c r="J588" s="63" t="n">
        <v>2</v>
      </c>
      <c r="K588" s="61" t="str">
        <f aca="false">IF($P588=0,"",IF($F588="Baseline","— Baseline",IF($O588=0,"No result",IF($N588=0,"No Start (attainment only)",IF(OR($N588=1,$O588=1),"U – needs rule",INDEX(MxBody,MATCH($I588,MxCurr,0),MATCH($H588,MxStart,0)))))))</f>
        <v>Better</v>
      </c>
      <c r="L588" s="62" t="str">
        <f aca="false">IF(COUNTA($A588,$F588,$G588,$H588,$I588,$J588)=0,"",IF($M588=0,"✖ كود الصف غير موجود",IF(ISNA(MATCH($F588,Lists!$A$2:$A$5,0)),"✖ الفترة غير صحيحة",IF(ISNA(MATCH($G588,Lists!$B$2:$B$7,0)),"✖ المجموعة غير صحيحة",IF(NOT(OR($H588="",$N588&gt;0)),"✖ Start غير صحيح",IF(NOT(OR($I588="",$I588="NR",$O588&gt;0)),"✖ Current غير صحيح",IF(NOT(IF(ISNUMBER($J588),AND($J588&gt;=0,$J588=INT($J588)),FALSE())),"✖ العدد يجب أن يكون صحيحًا ≥ 0",IF(AND($F588="Baseline",$H588&lt;&gt;""),"⚠ Baseline: Start لا يدخل في التقدم",IF($K588="No Start (attainment only)","ℹ تحصيل فقط (بدون Start)",IF($K588="U – needs rule","ℹ حالة U تحتاج قاعدة معتمدة",IF($K588="No result","ℹ بدون نتيجة (يُستبعد من التحصيل)","OK")))))))))))</f>
        <v>OK</v>
      </c>
      <c r="M588" s="64" t="n">
        <f aca="false">IF($A588="",0,IFERROR(MATCH($A588,Classes!$A$6:$A$420,0),0))</f>
        <v>179</v>
      </c>
      <c r="N588" s="64" t="n">
        <f aca="false">IF($H588="",0,IFERROR(MATCH($H588,GradeList,0),0))</f>
        <v>6</v>
      </c>
      <c r="O588" s="64" t="n">
        <f aca="false">IF(OR($I588="",$I588="NR"),0,IFERROR(MATCH($I588,GradeList,0),0))</f>
        <v>7</v>
      </c>
      <c r="P588" s="64" t="n">
        <f aca="false">IF(AND($M588&gt;0,ISNUMBER(MATCH($F588,Lists!$A$2:$A$5,0)),ISNUMBER(MATCH($G588,Lists!$B$2:$B$7,0)),OR($H588="",$N588&gt;0),OR($I588="",$I588="NR",$O588&gt;0),IF(ISNUMBER($J588),AND($J588&gt;=0,$J588=INT($J588)),FALSE())),$J588,0)</f>
        <v>2</v>
      </c>
      <c r="Q588" s="64" t="n">
        <f aca="false">IF(AND($P588&gt;0,$O588&gt;0),$P588,0)</f>
        <v>2</v>
      </c>
      <c r="R588" s="64" t="n">
        <f aca="false">IF(AND($Q588&gt;0,$O588&gt;=AtRank),$Q588,0)</f>
        <v>2</v>
      </c>
      <c r="S588" s="64" t="n">
        <f aca="false">IF(AND($Q588&gt;0,$O588&gt;=AboveRank),$Q588,0)</f>
        <v>2</v>
      </c>
      <c r="T588" s="64" t="n">
        <f aca="false">IF($K588="Less",$P588,0)</f>
        <v>0</v>
      </c>
      <c r="U588" s="64" t="n">
        <f aca="false">IF($K588="Expected",$P588,0)</f>
        <v>0</v>
      </c>
      <c r="V588" s="64" t="n">
        <f aca="false">IF($K588="Better",$P588,0)</f>
        <v>2</v>
      </c>
      <c r="W588" s="64" t="n">
        <f aca="false">IF($K588="U – needs rule",$P588,0)</f>
        <v>0</v>
      </c>
      <c r="X588" s="64" t="n">
        <f aca="false">IF($K588="No Start (attainment only)",$P588,0)</f>
        <v>0</v>
      </c>
    </row>
    <row r="589" customFormat="false" ht="15" hidden="false" customHeight="false" outlineLevel="0" collapsed="false">
      <c r="A589" s="60" t="s">
        <v>653</v>
      </c>
      <c r="B589" s="61" t="str">
        <f aca="false">IF($M589=0,"",INDEX(Classes!$E$6:$E$420,$M589))</f>
        <v>Arabic A</v>
      </c>
      <c r="C589" s="62" t="str">
        <f aca="false">IF($M589=0,"",INDEX(Classes!$H$6:$H$420,$M589))</f>
        <v>Ms Soad Ahmed Mohamed</v>
      </c>
      <c r="D589" s="61" t="str">
        <f aca="false">IF($M589=0,"",INDEX(Classes!$B$6:$B$420,$M589))</f>
        <v>Year 7</v>
      </c>
      <c r="E589" s="61" t="str">
        <f aca="false">IF($M589=0,"",INDEX(Classes!$C$6:$C$420,$M589))</f>
        <v>ae</v>
      </c>
      <c r="F589" s="63" t="s">
        <v>107</v>
      </c>
      <c r="G589" s="63" t="s">
        <v>1016</v>
      </c>
      <c r="H589" s="60" t="s">
        <v>201</v>
      </c>
      <c r="I589" s="60" t="s">
        <v>201</v>
      </c>
      <c r="J589" s="63" t="n">
        <v>1</v>
      </c>
      <c r="K589" s="61" t="str">
        <f aca="false">IF($P589=0,"",IF($F589="Baseline","— Baseline",IF($O589=0,"No result",IF($N589=0,"No Start (attainment only)",IF(OR($N589=1,$O589=1),"U – needs rule",INDEX(MxBody,MATCH($I589,MxCurr,0),MATCH($H589,MxStart,0)))))))</f>
        <v>Expected</v>
      </c>
      <c r="L589" s="62" t="str">
        <f aca="false">IF(COUNTA($A589,$F589,$G589,$H589,$I589,$J589)=0,"",IF($M589=0,"✖ كود الصف غير موجود",IF(ISNA(MATCH($F589,Lists!$A$2:$A$5,0)),"✖ الفترة غير صحيحة",IF(ISNA(MATCH($G589,Lists!$B$2:$B$7,0)),"✖ المجموعة غير صحيحة",IF(NOT(OR($H589="",$N589&gt;0)),"✖ Start غير صحيح",IF(NOT(OR($I589="",$I589="NR",$O589&gt;0)),"✖ Current غير صحيح",IF(NOT(IF(ISNUMBER($J589),AND($J589&gt;=0,$J589=INT($J589)),FALSE())),"✖ العدد يجب أن يكون صحيحًا ≥ 0",IF(AND($F589="Baseline",$H589&lt;&gt;""),"⚠ Baseline: Start لا يدخل في التقدم",IF($K589="No Start (attainment only)","ℹ تحصيل فقط (بدون Start)",IF($K589="U – needs rule","ℹ حالة U تحتاج قاعدة معتمدة",IF($K589="No result","ℹ بدون نتيجة (يُستبعد من التحصيل)","OK")))))))))))</f>
        <v>OK</v>
      </c>
      <c r="M589" s="64" t="n">
        <f aca="false">IF($A589="",0,IFERROR(MATCH($A589,Classes!$A$6:$A$420,0),0))</f>
        <v>179</v>
      </c>
      <c r="N589" s="64" t="n">
        <f aca="false">IF($H589="",0,IFERROR(MATCH($H589,GradeList,0),0))</f>
        <v>6</v>
      </c>
      <c r="O589" s="64" t="n">
        <f aca="false">IF(OR($I589="",$I589="NR"),0,IFERROR(MATCH($I589,GradeList,0),0))</f>
        <v>6</v>
      </c>
      <c r="P589" s="64" t="n">
        <f aca="false">IF(AND($M589&gt;0,ISNUMBER(MATCH($F589,Lists!$A$2:$A$5,0)),ISNUMBER(MATCH($G589,Lists!$B$2:$B$7,0)),OR($H589="",$N589&gt;0),OR($I589="",$I589="NR",$O589&gt;0),IF(ISNUMBER($J589),AND($J589&gt;=0,$J589=INT($J589)),FALSE())),$J589,0)</f>
        <v>1</v>
      </c>
      <c r="Q589" s="64" t="n">
        <f aca="false">IF(AND($P589&gt;0,$O589&gt;0),$P589,0)</f>
        <v>1</v>
      </c>
      <c r="R589" s="64" t="n">
        <f aca="false">IF(AND($Q589&gt;0,$O589&gt;=AtRank),$Q589,0)</f>
        <v>1</v>
      </c>
      <c r="S589" s="64" t="n">
        <f aca="false">IF(AND($Q589&gt;0,$O589&gt;=AboveRank),$Q589,0)</f>
        <v>0</v>
      </c>
      <c r="T589" s="64" t="n">
        <f aca="false">IF($K589="Less",$P589,0)</f>
        <v>0</v>
      </c>
      <c r="U589" s="64" t="n">
        <f aca="false">IF($K589="Expected",$P589,0)</f>
        <v>1</v>
      </c>
      <c r="V589" s="64" t="n">
        <f aca="false">IF($K589="Better",$P589,0)</f>
        <v>0</v>
      </c>
      <c r="W589" s="64" t="n">
        <f aca="false">IF($K589="U – needs rule",$P589,0)</f>
        <v>0</v>
      </c>
      <c r="X589" s="64" t="n">
        <f aca="false">IF($K589="No Start (attainment only)",$P589,0)</f>
        <v>0</v>
      </c>
    </row>
    <row r="590" customFormat="false" ht="15" hidden="false" customHeight="false" outlineLevel="0" collapsed="false">
      <c r="A590" s="60" t="s">
        <v>653</v>
      </c>
      <c r="B590" s="61" t="str">
        <f aca="false">IF($M590=0,"",INDEX(Classes!$E$6:$E$420,$M590))</f>
        <v>Arabic A</v>
      </c>
      <c r="C590" s="62" t="str">
        <f aca="false">IF($M590=0,"",INDEX(Classes!$H$6:$H$420,$M590))</f>
        <v>Ms Soad Ahmed Mohamed</v>
      </c>
      <c r="D590" s="61" t="str">
        <f aca="false">IF($M590=0,"",INDEX(Classes!$B$6:$B$420,$M590))</f>
        <v>Year 7</v>
      </c>
      <c r="E590" s="61" t="str">
        <f aca="false">IF($M590=0,"",INDEX(Classes!$C$6:$C$420,$M590))</f>
        <v>ae</v>
      </c>
      <c r="F590" s="63" t="s">
        <v>107</v>
      </c>
      <c r="G590" s="63" t="s">
        <v>941</v>
      </c>
      <c r="H590" s="60" t="s">
        <v>202</v>
      </c>
      <c r="I590" s="60" t="s">
        <v>203</v>
      </c>
      <c r="J590" s="63" t="n">
        <v>1</v>
      </c>
      <c r="K590" s="61" t="str">
        <f aca="false">IF($P590=0,"",IF($F590="Baseline","— Baseline",IF($O590=0,"No result",IF($N590=0,"No Start (attainment only)",IF(OR($N590=1,$O590=1),"U – needs rule",INDEX(MxBody,MATCH($I590,MxCurr,0),MATCH($H590,MxStart,0)))))))</f>
        <v>Better</v>
      </c>
      <c r="L590" s="62" t="str">
        <f aca="false">IF(COUNTA($A590,$F590,$G590,$H590,$I590,$J590)=0,"",IF($M590=0,"✖ كود الصف غير موجود",IF(ISNA(MATCH($F590,Lists!$A$2:$A$5,0)),"✖ الفترة غير صحيحة",IF(ISNA(MATCH($G590,Lists!$B$2:$B$7,0)),"✖ المجموعة غير صحيحة",IF(NOT(OR($H590="",$N590&gt;0)),"✖ Start غير صحيح",IF(NOT(OR($I590="",$I590="NR",$O590&gt;0)),"✖ Current غير صحيح",IF(NOT(IF(ISNUMBER($J590),AND($J590&gt;=0,$J590=INT($J590)),FALSE())),"✖ العدد يجب أن يكون صحيحًا ≥ 0",IF(AND($F590="Baseline",$H590&lt;&gt;""),"⚠ Baseline: Start لا يدخل في التقدم",IF($K590="No Start (attainment only)","ℹ تحصيل فقط (بدون Start)",IF($K590="U – needs rule","ℹ حالة U تحتاج قاعدة معتمدة",IF($K590="No result","ℹ بدون نتيجة (يُستبعد من التحصيل)","OK")))))))))))</f>
        <v>OK</v>
      </c>
      <c r="M590" s="64" t="n">
        <f aca="false">IF($A590="",0,IFERROR(MATCH($A590,Classes!$A$6:$A$420,0),0))</f>
        <v>179</v>
      </c>
      <c r="N590" s="64" t="n">
        <f aca="false">IF($H590="",0,IFERROR(MATCH($H590,GradeList,0),0))</f>
        <v>7</v>
      </c>
      <c r="O590" s="64" t="n">
        <f aca="false">IF(OR($I590="",$I590="NR"),0,IFERROR(MATCH($I590,GradeList,0),0))</f>
        <v>8</v>
      </c>
      <c r="P590" s="64" t="n">
        <f aca="false">IF(AND($M590&gt;0,ISNUMBER(MATCH($F590,Lists!$A$2:$A$5,0)),ISNUMBER(MATCH($G590,Lists!$B$2:$B$7,0)),OR($H590="",$N590&gt;0),OR($I590="",$I590="NR",$O590&gt;0),IF(ISNUMBER($J590),AND($J590&gt;=0,$J590=INT($J590)),FALSE())),$J590,0)</f>
        <v>1</v>
      </c>
      <c r="Q590" s="64" t="n">
        <f aca="false">IF(AND($P590&gt;0,$O590&gt;0),$P590,0)</f>
        <v>1</v>
      </c>
      <c r="R590" s="64" t="n">
        <f aca="false">IF(AND($Q590&gt;0,$O590&gt;=AtRank),$Q590,0)</f>
        <v>1</v>
      </c>
      <c r="S590" s="64" t="n">
        <f aca="false">IF(AND($Q590&gt;0,$O590&gt;=AboveRank),$Q590,0)</f>
        <v>1</v>
      </c>
      <c r="T590" s="64" t="n">
        <f aca="false">IF($K590="Less",$P590,0)</f>
        <v>0</v>
      </c>
      <c r="U590" s="64" t="n">
        <f aca="false">IF($K590="Expected",$P590,0)</f>
        <v>0</v>
      </c>
      <c r="V590" s="64" t="n">
        <f aca="false">IF($K590="Better",$P590,0)</f>
        <v>1</v>
      </c>
      <c r="W590" s="64" t="n">
        <f aca="false">IF($K590="U – needs rule",$P590,0)</f>
        <v>0</v>
      </c>
      <c r="X590" s="64" t="n">
        <f aca="false">IF($K590="No Start (attainment only)",$P590,0)</f>
        <v>0</v>
      </c>
    </row>
    <row r="591" customFormat="false" ht="15" hidden="false" customHeight="false" outlineLevel="0" collapsed="false">
      <c r="A591" s="60" t="s">
        <v>653</v>
      </c>
      <c r="B591" s="61" t="str">
        <f aca="false">IF($M591=0,"",INDEX(Classes!$E$6:$E$420,$M591))</f>
        <v>Arabic A</v>
      </c>
      <c r="C591" s="62" t="str">
        <f aca="false">IF($M591=0,"",INDEX(Classes!$H$6:$H$420,$M591))</f>
        <v>Ms Soad Ahmed Mohamed</v>
      </c>
      <c r="D591" s="61" t="str">
        <f aca="false">IF($M591=0,"",INDEX(Classes!$B$6:$B$420,$M591))</f>
        <v>Year 7</v>
      </c>
      <c r="E591" s="61" t="str">
        <f aca="false">IF($M591=0,"",INDEX(Classes!$C$6:$C$420,$M591))</f>
        <v>ae</v>
      </c>
      <c r="F591" s="63" t="s">
        <v>107</v>
      </c>
      <c r="G591" s="63" t="s">
        <v>941</v>
      </c>
      <c r="H591" s="60" t="s">
        <v>201</v>
      </c>
      <c r="I591" s="60" t="s">
        <v>201</v>
      </c>
      <c r="J591" s="63" t="n">
        <v>1</v>
      </c>
      <c r="K591" s="61" t="str">
        <f aca="false">IF($P591=0,"",IF($F591="Baseline","— Baseline",IF($O591=0,"No result",IF($N591=0,"No Start (attainment only)",IF(OR($N591=1,$O591=1),"U – needs rule",INDEX(MxBody,MATCH($I591,MxCurr,0),MATCH($H591,MxStart,0)))))))</f>
        <v>Expected</v>
      </c>
      <c r="L591" s="62" t="str">
        <f aca="false">IF(COUNTA($A591,$F591,$G591,$H591,$I591,$J591)=0,"",IF($M591=0,"✖ كود الصف غير موجود",IF(ISNA(MATCH($F591,Lists!$A$2:$A$5,0)),"✖ الفترة غير صحيحة",IF(ISNA(MATCH($G591,Lists!$B$2:$B$7,0)),"✖ المجموعة غير صحيحة",IF(NOT(OR($H591="",$N591&gt;0)),"✖ Start غير صحيح",IF(NOT(OR($I591="",$I591="NR",$O591&gt;0)),"✖ Current غير صحيح",IF(NOT(IF(ISNUMBER($J591),AND($J591&gt;=0,$J591=INT($J591)),FALSE())),"✖ العدد يجب أن يكون صحيحًا ≥ 0",IF(AND($F591="Baseline",$H591&lt;&gt;""),"⚠ Baseline: Start لا يدخل في التقدم",IF($K591="No Start (attainment only)","ℹ تحصيل فقط (بدون Start)",IF($K591="U – needs rule","ℹ حالة U تحتاج قاعدة معتمدة",IF($K591="No result","ℹ بدون نتيجة (يُستبعد من التحصيل)","OK")))))))))))</f>
        <v>OK</v>
      </c>
      <c r="M591" s="64" t="n">
        <f aca="false">IF($A591="",0,IFERROR(MATCH($A591,Classes!$A$6:$A$420,0),0))</f>
        <v>179</v>
      </c>
      <c r="N591" s="64" t="n">
        <f aca="false">IF($H591="",0,IFERROR(MATCH($H591,GradeList,0),0))</f>
        <v>6</v>
      </c>
      <c r="O591" s="64" t="n">
        <f aca="false">IF(OR($I591="",$I591="NR"),0,IFERROR(MATCH($I591,GradeList,0),0))</f>
        <v>6</v>
      </c>
      <c r="P591" s="64" t="n">
        <f aca="false">IF(AND($M591&gt;0,ISNUMBER(MATCH($F591,Lists!$A$2:$A$5,0)),ISNUMBER(MATCH($G591,Lists!$B$2:$B$7,0)),OR($H591="",$N591&gt;0),OR($I591="",$I591="NR",$O591&gt;0),IF(ISNUMBER($J591),AND($J591&gt;=0,$J591=INT($J591)),FALSE())),$J591,0)</f>
        <v>1</v>
      </c>
      <c r="Q591" s="64" t="n">
        <f aca="false">IF(AND($P591&gt;0,$O591&gt;0),$P591,0)</f>
        <v>1</v>
      </c>
      <c r="R591" s="64" t="n">
        <f aca="false">IF(AND($Q591&gt;0,$O591&gt;=AtRank),$Q591,0)</f>
        <v>1</v>
      </c>
      <c r="S591" s="64" t="n">
        <f aca="false">IF(AND($Q591&gt;0,$O591&gt;=AboveRank),$Q591,0)</f>
        <v>0</v>
      </c>
      <c r="T591" s="64" t="n">
        <f aca="false">IF($K591="Less",$P591,0)</f>
        <v>0</v>
      </c>
      <c r="U591" s="64" t="n">
        <f aca="false">IF($K591="Expected",$P591,0)</f>
        <v>1</v>
      </c>
      <c r="V591" s="64" t="n">
        <f aca="false">IF($K591="Better",$P591,0)</f>
        <v>0</v>
      </c>
      <c r="W591" s="64" t="n">
        <f aca="false">IF($K591="U – needs rule",$P591,0)</f>
        <v>0</v>
      </c>
      <c r="X591" s="64" t="n">
        <f aca="false">IF($K591="No Start (attainment only)",$P591,0)</f>
        <v>0</v>
      </c>
    </row>
    <row r="592" customFormat="false" ht="15" hidden="false" customHeight="false" outlineLevel="0" collapsed="false">
      <c r="A592" s="60" t="s">
        <v>653</v>
      </c>
      <c r="B592" s="61" t="str">
        <f aca="false">IF($M592=0,"",INDEX(Classes!$E$6:$E$420,$M592))</f>
        <v>Arabic A</v>
      </c>
      <c r="C592" s="62" t="str">
        <f aca="false">IF($M592=0,"",INDEX(Classes!$H$6:$H$420,$M592))</f>
        <v>Ms Soad Ahmed Mohamed</v>
      </c>
      <c r="D592" s="61" t="str">
        <f aca="false">IF($M592=0,"",INDEX(Classes!$B$6:$B$420,$M592))</f>
        <v>Year 7</v>
      </c>
      <c r="E592" s="61" t="str">
        <f aca="false">IF($M592=0,"",INDEX(Classes!$C$6:$C$420,$M592))</f>
        <v>ae</v>
      </c>
      <c r="F592" s="63" t="s">
        <v>107</v>
      </c>
      <c r="G592" s="63" t="s">
        <v>1017</v>
      </c>
      <c r="H592" s="60" t="s">
        <v>202</v>
      </c>
      <c r="I592" s="60" t="s">
        <v>201</v>
      </c>
      <c r="J592" s="63" t="n">
        <v>1</v>
      </c>
      <c r="K592" s="61" t="str">
        <f aca="false">IF($P592=0,"",IF($F592="Baseline","— Baseline",IF($O592=0,"No result",IF($N592=0,"No Start (attainment only)",IF(OR($N592=1,$O592=1),"U – needs rule",INDEX(MxBody,MATCH($I592,MxCurr,0),MATCH($H592,MxStart,0)))))))</f>
        <v>Expected</v>
      </c>
      <c r="L592" s="62" t="str">
        <f aca="false">IF(COUNTA($A592,$F592,$G592,$H592,$I592,$J592)=0,"",IF($M592=0,"✖ كود الصف غير موجود",IF(ISNA(MATCH($F592,Lists!$A$2:$A$5,0)),"✖ الفترة غير صحيحة",IF(ISNA(MATCH($G592,Lists!$B$2:$B$7,0)),"✖ المجموعة غير صحيحة",IF(NOT(OR($H592="",$N592&gt;0)),"✖ Start غير صحيح",IF(NOT(OR($I592="",$I592="NR",$O592&gt;0)),"✖ Current غير صحيح",IF(NOT(IF(ISNUMBER($J592),AND($J592&gt;=0,$J592=INT($J592)),FALSE())),"✖ العدد يجب أن يكون صحيحًا ≥ 0",IF(AND($F592="Baseline",$H592&lt;&gt;""),"⚠ Baseline: Start لا يدخل في التقدم",IF($K592="No Start (attainment only)","ℹ تحصيل فقط (بدون Start)",IF($K592="U – needs rule","ℹ حالة U تحتاج قاعدة معتمدة",IF($K592="No result","ℹ بدون نتيجة (يُستبعد من التحصيل)","OK")))))))))))</f>
        <v>OK</v>
      </c>
      <c r="M592" s="64" t="n">
        <f aca="false">IF($A592="",0,IFERROR(MATCH($A592,Classes!$A$6:$A$420,0),0))</f>
        <v>179</v>
      </c>
      <c r="N592" s="64" t="n">
        <f aca="false">IF($H592="",0,IFERROR(MATCH($H592,GradeList,0),0))</f>
        <v>7</v>
      </c>
      <c r="O592" s="64" t="n">
        <f aca="false">IF(OR($I592="",$I592="NR"),0,IFERROR(MATCH($I592,GradeList,0),0))</f>
        <v>6</v>
      </c>
      <c r="P592" s="64" t="n">
        <f aca="false">IF(AND($M592&gt;0,ISNUMBER(MATCH($F592,Lists!$A$2:$A$5,0)),ISNUMBER(MATCH($G592,Lists!$B$2:$B$7,0)),OR($H592="",$N592&gt;0),OR($I592="",$I592="NR",$O592&gt;0),IF(ISNUMBER($J592),AND($J592&gt;=0,$J592=INT($J592)),FALSE())),$J592,0)</f>
        <v>1</v>
      </c>
      <c r="Q592" s="64" t="n">
        <f aca="false">IF(AND($P592&gt;0,$O592&gt;0),$P592,0)</f>
        <v>1</v>
      </c>
      <c r="R592" s="64" t="n">
        <f aca="false">IF(AND($Q592&gt;0,$O592&gt;=AtRank),$Q592,0)</f>
        <v>1</v>
      </c>
      <c r="S592" s="64" t="n">
        <f aca="false">IF(AND($Q592&gt;0,$O592&gt;=AboveRank),$Q592,0)</f>
        <v>0</v>
      </c>
      <c r="T592" s="64" t="n">
        <f aca="false">IF($K592="Less",$P592,0)</f>
        <v>0</v>
      </c>
      <c r="U592" s="64" t="n">
        <f aca="false">IF($K592="Expected",$P592,0)</f>
        <v>1</v>
      </c>
      <c r="V592" s="64" t="n">
        <f aca="false">IF($K592="Better",$P592,0)</f>
        <v>0</v>
      </c>
      <c r="W592" s="64" t="n">
        <f aca="false">IF($K592="U – needs rule",$P592,0)</f>
        <v>0</v>
      </c>
      <c r="X592" s="64" t="n">
        <f aca="false">IF($K592="No Start (attainment only)",$P592,0)</f>
        <v>0</v>
      </c>
    </row>
    <row r="593" customFormat="false" ht="15" hidden="false" customHeight="false" outlineLevel="0" collapsed="false">
      <c r="A593" s="60" t="s">
        <v>653</v>
      </c>
      <c r="B593" s="61" t="str">
        <f aca="false">IF($M593=0,"",INDEX(Classes!$E$6:$E$420,$M593))</f>
        <v>Arabic A</v>
      </c>
      <c r="C593" s="62" t="str">
        <f aca="false">IF($M593=0,"",INDEX(Classes!$H$6:$H$420,$M593))</f>
        <v>Ms Soad Ahmed Mohamed</v>
      </c>
      <c r="D593" s="61" t="str">
        <f aca="false">IF($M593=0,"",INDEX(Classes!$B$6:$B$420,$M593))</f>
        <v>Year 7</v>
      </c>
      <c r="E593" s="61" t="str">
        <f aca="false">IF($M593=0,"",INDEX(Classes!$C$6:$C$420,$M593))</f>
        <v>ae</v>
      </c>
      <c r="F593" s="63" t="s">
        <v>107</v>
      </c>
      <c r="G593" s="63" t="s">
        <v>1018</v>
      </c>
      <c r="H593" s="60" t="s">
        <v>202</v>
      </c>
      <c r="I593" s="60" t="s">
        <v>203</v>
      </c>
      <c r="J593" s="63" t="n">
        <v>1</v>
      </c>
      <c r="K593" s="61" t="str">
        <f aca="false">IF($P593=0,"",IF($F593="Baseline","— Baseline",IF($O593=0,"No result",IF($N593=0,"No Start (attainment only)",IF(OR($N593=1,$O593=1),"U – needs rule",INDEX(MxBody,MATCH($I593,MxCurr,0),MATCH($H593,MxStart,0)))))))</f>
        <v>Better</v>
      </c>
      <c r="L593" s="62" t="str">
        <f aca="false">IF(COUNTA($A593,$F593,$G593,$H593,$I593,$J593)=0,"",IF($M593=0,"✖ كود الصف غير موجود",IF(ISNA(MATCH($F593,Lists!$A$2:$A$5,0)),"✖ الفترة غير صحيحة",IF(ISNA(MATCH($G593,Lists!$B$2:$B$7,0)),"✖ المجموعة غير صحيحة",IF(NOT(OR($H593="",$N593&gt;0)),"✖ Start غير صحيح",IF(NOT(OR($I593="",$I593="NR",$O593&gt;0)),"✖ Current غير صحيح",IF(NOT(IF(ISNUMBER($J593),AND($J593&gt;=0,$J593=INT($J593)),FALSE())),"✖ العدد يجب أن يكون صحيحًا ≥ 0",IF(AND($F593="Baseline",$H593&lt;&gt;""),"⚠ Baseline: Start لا يدخل في التقدم",IF($K593="No Start (attainment only)","ℹ تحصيل فقط (بدون Start)",IF($K593="U – needs rule","ℹ حالة U تحتاج قاعدة معتمدة",IF($K593="No result","ℹ بدون نتيجة (يُستبعد من التحصيل)","OK")))))))))))</f>
        <v>OK</v>
      </c>
      <c r="M593" s="64" t="n">
        <f aca="false">IF($A593="",0,IFERROR(MATCH($A593,Classes!$A$6:$A$420,0),0))</f>
        <v>179</v>
      </c>
      <c r="N593" s="64" t="n">
        <f aca="false">IF($H593="",0,IFERROR(MATCH($H593,GradeList,0),0))</f>
        <v>7</v>
      </c>
      <c r="O593" s="64" t="n">
        <f aca="false">IF(OR($I593="",$I593="NR"),0,IFERROR(MATCH($I593,GradeList,0),0))</f>
        <v>8</v>
      </c>
      <c r="P593" s="64" t="n">
        <f aca="false">IF(AND($M593&gt;0,ISNUMBER(MATCH($F593,Lists!$A$2:$A$5,0)),ISNUMBER(MATCH($G593,Lists!$B$2:$B$7,0)),OR($H593="",$N593&gt;0),OR($I593="",$I593="NR",$O593&gt;0),IF(ISNUMBER($J593),AND($J593&gt;=0,$J593=INT($J593)),FALSE())),$J593,0)</f>
        <v>1</v>
      </c>
      <c r="Q593" s="64" t="n">
        <f aca="false">IF(AND($P593&gt;0,$O593&gt;0),$P593,0)</f>
        <v>1</v>
      </c>
      <c r="R593" s="64" t="n">
        <f aca="false">IF(AND($Q593&gt;0,$O593&gt;=AtRank),$Q593,0)</f>
        <v>1</v>
      </c>
      <c r="S593" s="64" t="n">
        <f aca="false">IF(AND($Q593&gt;0,$O593&gt;=AboveRank),$Q593,0)</f>
        <v>1</v>
      </c>
      <c r="T593" s="64" t="n">
        <f aca="false">IF($K593="Less",$P593,0)</f>
        <v>0</v>
      </c>
      <c r="U593" s="64" t="n">
        <f aca="false">IF($K593="Expected",$P593,0)</f>
        <v>0</v>
      </c>
      <c r="V593" s="64" t="n">
        <f aca="false">IF($K593="Better",$P593,0)</f>
        <v>1</v>
      </c>
      <c r="W593" s="64" t="n">
        <f aca="false">IF($K593="U – needs rule",$P593,0)</f>
        <v>0</v>
      </c>
      <c r="X593" s="64" t="n">
        <f aca="false">IF($K593="No Start (attainment only)",$P593,0)</f>
        <v>0</v>
      </c>
    </row>
    <row r="594" customFormat="false" ht="15" hidden="false" customHeight="false" outlineLevel="0" collapsed="false">
      <c r="A594" s="60" t="s">
        <v>653</v>
      </c>
      <c r="B594" s="61" t="str">
        <f aca="false">IF($M594=0,"",INDEX(Classes!$E$6:$E$420,$M594))</f>
        <v>Arabic A</v>
      </c>
      <c r="C594" s="62" t="str">
        <f aca="false">IF($M594=0,"",INDEX(Classes!$H$6:$H$420,$M594))</f>
        <v>Ms Soad Ahmed Mohamed</v>
      </c>
      <c r="D594" s="61" t="str">
        <f aca="false">IF($M594=0,"",INDEX(Classes!$B$6:$B$420,$M594))</f>
        <v>Year 7</v>
      </c>
      <c r="E594" s="61" t="str">
        <f aca="false">IF($M594=0,"",INDEX(Classes!$C$6:$C$420,$M594))</f>
        <v>ae</v>
      </c>
      <c r="F594" s="63" t="s">
        <v>107</v>
      </c>
      <c r="G594" s="63" t="s">
        <v>1018</v>
      </c>
      <c r="H594" s="60" t="s">
        <v>202</v>
      </c>
      <c r="I594" s="60" t="s">
        <v>204</v>
      </c>
      <c r="J594" s="63" t="n">
        <v>1</v>
      </c>
      <c r="K594" s="61" t="str">
        <f aca="false">IF($P594=0,"",IF($F594="Baseline","— Baseline",IF($O594=0,"No result",IF($N594=0,"No Start (attainment only)",IF(OR($N594=1,$O594=1),"U – needs rule",INDEX(MxBody,MATCH($I594,MxCurr,0),MATCH($H594,MxStart,0)))))))</f>
        <v>Better</v>
      </c>
      <c r="L594" s="62" t="str">
        <f aca="false">IF(COUNTA($A594,$F594,$G594,$H594,$I594,$J594)=0,"",IF($M594=0,"✖ كود الصف غير موجود",IF(ISNA(MATCH($F594,Lists!$A$2:$A$5,0)),"✖ الفترة غير صحيحة",IF(ISNA(MATCH($G594,Lists!$B$2:$B$7,0)),"✖ المجموعة غير صحيحة",IF(NOT(OR($H594="",$N594&gt;0)),"✖ Start غير صحيح",IF(NOT(OR($I594="",$I594="NR",$O594&gt;0)),"✖ Current غير صحيح",IF(NOT(IF(ISNUMBER($J594),AND($J594&gt;=0,$J594=INT($J594)),FALSE())),"✖ العدد يجب أن يكون صحيحًا ≥ 0",IF(AND($F594="Baseline",$H594&lt;&gt;""),"⚠ Baseline: Start لا يدخل في التقدم",IF($K594="No Start (attainment only)","ℹ تحصيل فقط (بدون Start)",IF($K594="U – needs rule","ℹ حالة U تحتاج قاعدة معتمدة",IF($K594="No result","ℹ بدون نتيجة (يُستبعد من التحصيل)","OK")))))))))))</f>
        <v>OK</v>
      </c>
      <c r="M594" s="64" t="n">
        <f aca="false">IF($A594="",0,IFERROR(MATCH($A594,Classes!$A$6:$A$420,0),0))</f>
        <v>179</v>
      </c>
      <c r="N594" s="64" t="n">
        <f aca="false">IF($H594="",0,IFERROR(MATCH($H594,GradeList,0),0))</f>
        <v>7</v>
      </c>
      <c r="O594" s="64" t="n">
        <f aca="false">IF(OR($I594="",$I594="NR"),0,IFERROR(MATCH($I594,GradeList,0),0))</f>
        <v>9</v>
      </c>
      <c r="P594" s="64" t="n">
        <f aca="false">IF(AND($M594&gt;0,ISNUMBER(MATCH($F594,Lists!$A$2:$A$5,0)),ISNUMBER(MATCH($G594,Lists!$B$2:$B$7,0)),OR($H594="",$N594&gt;0),OR($I594="",$I594="NR",$O594&gt;0),IF(ISNUMBER($J594),AND($J594&gt;=0,$J594=INT($J594)),FALSE())),$J594,0)</f>
        <v>1</v>
      </c>
      <c r="Q594" s="64" t="n">
        <f aca="false">IF(AND($P594&gt;0,$O594&gt;0),$P594,0)</f>
        <v>1</v>
      </c>
      <c r="R594" s="64" t="n">
        <f aca="false">IF(AND($Q594&gt;0,$O594&gt;=AtRank),$Q594,0)</f>
        <v>1</v>
      </c>
      <c r="S594" s="64" t="n">
        <f aca="false">IF(AND($Q594&gt;0,$O594&gt;=AboveRank),$Q594,0)</f>
        <v>1</v>
      </c>
      <c r="T594" s="64" t="n">
        <f aca="false">IF($K594="Less",$P594,0)</f>
        <v>0</v>
      </c>
      <c r="U594" s="64" t="n">
        <f aca="false">IF($K594="Expected",$P594,0)</f>
        <v>0</v>
      </c>
      <c r="V594" s="64" t="n">
        <f aca="false">IF($K594="Better",$P594,0)</f>
        <v>1</v>
      </c>
      <c r="W594" s="64" t="n">
        <f aca="false">IF($K594="U – needs rule",$P594,0)</f>
        <v>0</v>
      </c>
      <c r="X594" s="64" t="n">
        <f aca="false">IF($K594="No Start (attainment only)",$P594,0)</f>
        <v>0</v>
      </c>
    </row>
    <row r="595" customFormat="false" ht="15" hidden="false" customHeight="false" outlineLevel="0" collapsed="false">
      <c r="A595" s="60" t="s">
        <v>653</v>
      </c>
      <c r="B595" s="61" t="str">
        <f aca="false">IF($M595=0,"",INDEX(Classes!$E$6:$E$420,$M595))</f>
        <v>Arabic A</v>
      </c>
      <c r="C595" s="62" t="str">
        <f aca="false">IF($M595=0,"",INDEX(Classes!$H$6:$H$420,$M595))</f>
        <v>Ms Soad Ahmed Mohamed</v>
      </c>
      <c r="D595" s="61" t="str">
        <f aca="false">IF($M595=0,"",INDEX(Classes!$B$6:$B$420,$M595))</f>
        <v>Year 7</v>
      </c>
      <c r="E595" s="61" t="str">
        <f aca="false">IF($M595=0,"",INDEX(Classes!$C$6:$C$420,$M595))</f>
        <v>ae</v>
      </c>
      <c r="F595" s="63" t="s">
        <v>107</v>
      </c>
      <c r="G595" s="63" t="s">
        <v>1018</v>
      </c>
      <c r="H595" s="60" t="s">
        <v>203</v>
      </c>
      <c r="I595" s="60" t="s">
        <v>203</v>
      </c>
      <c r="J595" s="63" t="n">
        <v>1</v>
      </c>
      <c r="K595" s="61" t="str">
        <f aca="false">IF($P595=0,"",IF($F595="Baseline","— Baseline",IF($O595=0,"No result",IF($N595=0,"No Start (attainment only)",IF(OR($N595=1,$O595=1),"U – needs rule",INDEX(MxBody,MATCH($I595,MxCurr,0),MATCH($H595,MxStart,0)))))))</f>
        <v>Better</v>
      </c>
      <c r="L595" s="62" t="str">
        <f aca="false">IF(COUNTA($A595,$F595,$G595,$H595,$I595,$J595)=0,"",IF($M595=0,"✖ كود الصف غير موجود",IF(ISNA(MATCH($F595,Lists!$A$2:$A$5,0)),"✖ الفترة غير صحيحة",IF(ISNA(MATCH($G595,Lists!$B$2:$B$7,0)),"✖ المجموعة غير صحيحة",IF(NOT(OR($H595="",$N595&gt;0)),"✖ Start غير صحيح",IF(NOT(OR($I595="",$I595="NR",$O595&gt;0)),"✖ Current غير صحيح",IF(NOT(IF(ISNUMBER($J595),AND($J595&gt;=0,$J595=INT($J595)),FALSE())),"✖ العدد يجب أن يكون صحيحًا ≥ 0",IF(AND($F595="Baseline",$H595&lt;&gt;""),"⚠ Baseline: Start لا يدخل في التقدم",IF($K595="No Start (attainment only)","ℹ تحصيل فقط (بدون Start)",IF($K595="U – needs rule","ℹ حالة U تحتاج قاعدة معتمدة",IF($K595="No result","ℹ بدون نتيجة (يُستبعد من التحصيل)","OK")))))))))))</f>
        <v>OK</v>
      </c>
      <c r="M595" s="64" t="n">
        <f aca="false">IF($A595="",0,IFERROR(MATCH($A595,Classes!$A$6:$A$420,0),0))</f>
        <v>179</v>
      </c>
      <c r="N595" s="64" t="n">
        <f aca="false">IF($H595="",0,IFERROR(MATCH($H595,GradeList,0),0))</f>
        <v>8</v>
      </c>
      <c r="O595" s="64" t="n">
        <f aca="false">IF(OR($I595="",$I595="NR"),0,IFERROR(MATCH($I595,GradeList,0),0))</f>
        <v>8</v>
      </c>
      <c r="P595" s="64" t="n">
        <f aca="false">IF(AND($M595&gt;0,ISNUMBER(MATCH($F595,Lists!$A$2:$A$5,0)),ISNUMBER(MATCH($G595,Lists!$B$2:$B$7,0)),OR($H595="",$N595&gt;0),OR($I595="",$I595="NR",$O595&gt;0),IF(ISNUMBER($J595),AND($J595&gt;=0,$J595=INT($J595)),FALSE())),$J595,0)</f>
        <v>1</v>
      </c>
      <c r="Q595" s="64" t="n">
        <f aca="false">IF(AND($P595&gt;0,$O595&gt;0),$P595,0)</f>
        <v>1</v>
      </c>
      <c r="R595" s="64" t="n">
        <f aca="false">IF(AND($Q595&gt;0,$O595&gt;=AtRank),$Q595,0)</f>
        <v>1</v>
      </c>
      <c r="S595" s="64" t="n">
        <f aca="false">IF(AND($Q595&gt;0,$O595&gt;=AboveRank),$Q595,0)</f>
        <v>1</v>
      </c>
      <c r="T595" s="64" t="n">
        <f aca="false">IF($K595="Less",$P595,0)</f>
        <v>0</v>
      </c>
      <c r="U595" s="64" t="n">
        <f aca="false">IF($K595="Expected",$P595,0)</f>
        <v>0</v>
      </c>
      <c r="V595" s="64" t="n">
        <f aca="false">IF($K595="Better",$P595,0)</f>
        <v>1</v>
      </c>
      <c r="W595" s="64" t="n">
        <f aca="false">IF($K595="U – needs rule",$P595,0)</f>
        <v>0</v>
      </c>
      <c r="X595" s="64" t="n">
        <f aca="false">IF($K595="No Start (attainment only)",$P595,0)</f>
        <v>0</v>
      </c>
    </row>
    <row r="596" customFormat="false" ht="15" hidden="false" customHeight="false" outlineLevel="0" collapsed="false">
      <c r="A596" s="60" t="s">
        <v>653</v>
      </c>
      <c r="B596" s="61" t="str">
        <f aca="false">IF($M596=0,"",INDEX(Classes!$E$6:$E$420,$M596))</f>
        <v>Arabic A</v>
      </c>
      <c r="C596" s="62" t="str">
        <f aca="false">IF($M596=0,"",INDEX(Classes!$H$6:$H$420,$M596))</f>
        <v>Ms Soad Ahmed Mohamed</v>
      </c>
      <c r="D596" s="61" t="str">
        <f aca="false">IF($M596=0,"",INDEX(Classes!$B$6:$B$420,$M596))</f>
        <v>Year 7</v>
      </c>
      <c r="E596" s="61" t="str">
        <f aca="false">IF($M596=0,"",INDEX(Classes!$C$6:$C$420,$M596))</f>
        <v>ae</v>
      </c>
      <c r="F596" s="63" t="s">
        <v>107</v>
      </c>
      <c r="G596" s="63" t="s">
        <v>1018</v>
      </c>
      <c r="H596" s="60" t="s">
        <v>201</v>
      </c>
      <c r="I596" s="60" t="s">
        <v>202</v>
      </c>
      <c r="J596" s="63" t="n">
        <v>1</v>
      </c>
      <c r="K596" s="61" t="str">
        <f aca="false">IF($P596=0,"",IF($F596="Baseline","— Baseline",IF($O596=0,"No result",IF($N596=0,"No Start (attainment only)",IF(OR($N596=1,$O596=1),"U – needs rule",INDEX(MxBody,MATCH($I596,MxCurr,0),MATCH($H596,MxStart,0)))))))</f>
        <v>Better</v>
      </c>
      <c r="L596" s="62" t="str">
        <f aca="false">IF(COUNTA($A596,$F596,$G596,$H596,$I596,$J596)=0,"",IF($M596=0,"✖ كود الصف غير موجود",IF(ISNA(MATCH($F596,Lists!$A$2:$A$5,0)),"✖ الفترة غير صحيحة",IF(ISNA(MATCH($G596,Lists!$B$2:$B$7,0)),"✖ المجموعة غير صحيحة",IF(NOT(OR($H596="",$N596&gt;0)),"✖ Start غير صحيح",IF(NOT(OR($I596="",$I596="NR",$O596&gt;0)),"✖ Current غير صحيح",IF(NOT(IF(ISNUMBER($J596),AND($J596&gt;=0,$J596=INT($J596)),FALSE())),"✖ العدد يجب أن يكون صحيحًا ≥ 0",IF(AND($F596="Baseline",$H596&lt;&gt;""),"⚠ Baseline: Start لا يدخل في التقدم",IF($K596="No Start (attainment only)","ℹ تحصيل فقط (بدون Start)",IF($K596="U – needs rule","ℹ حالة U تحتاج قاعدة معتمدة",IF($K596="No result","ℹ بدون نتيجة (يُستبعد من التحصيل)","OK")))))))))))</f>
        <v>OK</v>
      </c>
      <c r="M596" s="64" t="n">
        <f aca="false">IF($A596="",0,IFERROR(MATCH($A596,Classes!$A$6:$A$420,0),0))</f>
        <v>179</v>
      </c>
      <c r="N596" s="64" t="n">
        <f aca="false">IF($H596="",0,IFERROR(MATCH($H596,GradeList,0),0))</f>
        <v>6</v>
      </c>
      <c r="O596" s="64" t="n">
        <f aca="false">IF(OR($I596="",$I596="NR"),0,IFERROR(MATCH($I596,GradeList,0),0))</f>
        <v>7</v>
      </c>
      <c r="P596" s="64" t="n">
        <f aca="false">IF(AND($M596&gt;0,ISNUMBER(MATCH($F596,Lists!$A$2:$A$5,0)),ISNUMBER(MATCH($G596,Lists!$B$2:$B$7,0)),OR($H596="",$N596&gt;0),OR($I596="",$I596="NR",$O596&gt;0),IF(ISNUMBER($J596),AND($J596&gt;=0,$J596=INT($J596)),FALSE())),$J596,0)</f>
        <v>1</v>
      </c>
      <c r="Q596" s="64" t="n">
        <f aca="false">IF(AND($P596&gt;0,$O596&gt;0),$P596,0)</f>
        <v>1</v>
      </c>
      <c r="R596" s="64" t="n">
        <f aca="false">IF(AND($Q596&gt;0,$O596&gt;=AtRank),$Q596,0)</f>
        <v>1</v>
      </c>
      <c r="S596" s="64" t="n">
        <f aca="false">IF(AND($Q596&gt;0,$O596&gt;=AboveRank),$Q596,0)</f>
        <v>1</v>
      </c>
      <c r="T596" s="64" t="n">
        <f aca="false">IF($K596="Less",$P596,0)</f>
        <v>0</v>
      </c>
      <c r="U596" s="64" t="n">
        <f aca="false">IF($K596="Expected",$P596,0)</f>
        <v>0</v>
      </c>
      <c r="V596" s="64" t="n">
        <f aca="false">IF($K596="Better",$P596,0)</f>
        <v>1</v>
      </c>
      <c r="W596" s="64" t="n">
        <f aca="false">IF($K596="U – needs rule",$P596,0)</f>
        <v>0</v>
      </c>
      <c r="X596" s="64" t="n">
        <f aca="false">IF($K596="No Start (attainment only)",$P596,0)</f>
        <v>0</v>
      </c>
    </row>
    <row r="597" customFormat="false" ht="15" hidden="false" customHeight="false" outlineLevel="0" collapsed="false">
      <c r="A597" s="60" t="s">
        <v>653</v>
      </c>
      <c r="B597" s="61" t="str">
        <f aca="false">IF($M597=0,"",INDEX(Classes!$E$6:$E$420,$M597))</f>
        <v>Arabic A</v>
      </c>
      <c r="C597" s="62" t="str">
        <f aca="false">IF($M597=0,"",INDEX(Classes!$H$6:$H$420,$M597))</f>
        <v>Ms Soad Ahmed Mohamed</v>
      </c>
      <c r="D597" s="61" t="str">
        <f aca="false">IF($M597=0,"",INDEX(Classes!$B$6:$B$420,$M597))</f>
        <v>Year 7</v>
      </c>
      <c r="E597" s="61" t="str">
        <f aca="false">IF($M597=0,"",INDEX(Classes!$C$6:$C$420,$M597))</f>
        <v>ae</v>
      </c>
      <c r="F597" s="63" t="s">
        <v>107</v>
      </c>
      <c r="G597" s="63" t="s">
        <v>1018</v>
      </c>
      <c r="H597" s="60" t="s">
        <v>201</v>
      </c>
      <c r="I597" s="60" t="s">
        <v>200</v>
      </c>
      <c r="J597" s="63" t="n">
        <v>1</v>
      </c>
      <c r="K597" s="61" t="str">
        <f aca="false">IF($P597=0,"",IF($F597="Baseline","— Baseline",IF($O597=0,"No result",IF($N597=0,"No Start (attainment only)",IF(OR($N597=1,$O597=1),"U – needs rule",INDEX(MxBody,MATCH($I597,MxCurr,0),MATCH($H597,MxStart,0)))))))</f>
        <v>Expected</v>
      </c>
      <c r="L597" s="62" t="str">
        <f aca="false">IF(COUNTA($A597,$F597,$G597,$H597,$I597,$J597)=0,"",IF($M597=0,"✖ كود الصف غير موجود",IF(ISNA(MATCH($F597,Lists!$A$2:$A$5,0)),"✖ الفترة غير صحيحة",IF(ISNA(MATCH($G597,Lists!$B$2:$B$7,0)),"✖ المجموعة غير صحيحة",IF(NOT(OR($H597="",$N597&gt;0)),"✖ Start غير صحيح",IF(NOT(OR($I597="",$I597="NR",$O597&gt;0)),"✖ Current غير صحيح",IF(NOT(IF(ISNUMBER($J597),AND($J597&gt;=0,$J597=INT($J597)),FALSE())),"✖ العدد يجب أن يكون صحيحًا ≥ 0",IF(AND($F597="Baseline",$H597&lt;&gt;""),"⚠ Baseline: Start لا يدخل في التقدم",IF($K597="No Start (attainment only)","ℹ تحصيل فقط (بدون Start)",IF($K597="U – needs rule","ℹ حالة U تحتاج قاعدة معتمدة",IF($K597="No result","ℹ بدون نتيجة (يُستبعد من التحصيل)","OK")))))))))))</f>
        <v>OK</v>
      </c>
      <c r="M597" s="64" t="n">
        <f aca="false">IF($A597="",0,IFERROR(MATCH($A597,Classes!$A$6:$A$420,0),0))</f>
        <v>179</v>
      </c>
      <c r="N597" s="64" t="n">
        <f aca="false">IF($H597="",0,IFERROR(MATCH($H597,GradeList,0),0))</f>
        <v>6</v>
      </c>
      <c r="O597" s="64" t="n">
        <f aca="false">IF(OR($I597="",$I597="NR"),0,IFERROR(MATCH($I597,GradeList,0),0))</f>
        <v>5</v>
      </c>
      <c r="P597" s="64" t="n">
        <f aca="false">IF(AND($M597&gt;0,ISNUMBER(MATCH($F597,Lists!$A$2:$A$5,0)),ISNUMBER(MATCH($G597,Lists!$B$2:$B$7,0)),OR($H597="",$N597&gt;0),OR($I597="",$I597="NR",$O597&gt;0),IF(ISNUMBER($J597),AND($J597&gt;=0,$J597=INT($J597)),FALSE())),$J597,0)</f>
        <v>1</v>
      </c>
      <c r="Q597" s="64" t="n">
        <f aca="false">IF(AND($P597&gt;0,$O597&gt;0),$P597,0)</f>
        <v>1</v>
      </c>
      <c r="R597" s="64" t="n">
        <f aca="false">IF(AND($Q597&gt;0,$O597&gt;=AtRank),$Q597,0)</f>
        <v>1</v>
      </c>
      <c r="S597" s="64" t="n">
        <f aca="false">IF(AND($Q597&gt;0,$O597&gt;=AboveRank),$Q597,0)</f>
        <v>0</v>
      </c>
      <c r="T597" s="64" t="n">
        <f aca="false">IF($K597="Less",$P597,0)</f>
        <v>0</v>
      </c>
      <c r="U597" s="64" t="n">
        <f aca="false">IF($K597="Expected",$P597,0)</f>
        <v>1</v>
      </c>
      <c r="V597" s="64" t="n">
        <f aca="false">IF($K597="Better",$P597,0)</f>
        <v>0</v>
      </c>
      <c r="W597" s="64" t="n">
        <f aca="false">IF($K597="U – needs rule",$P597,0)</f>
        <v>0</v>
      </c>
      <c r="X597" s="64" t="n">
        <f aca="false">IF($K597="No Start (attainment only)",$P597,0)</f>
        <v>0</v>
      </c>
    </row>
    <row r="598" customFormat="false" ht="15" hidden="false" customHeight="false" outlineLevel="0" collapsed="false">
      <c r="A598" s="60" t="s">
        <v>653</v>
      </c>
      <c r="B598" s="61" t="str">
        <f aca="false">IF($M598=0,"",INDEX(Classes!$E$6:$E$420,$M598))</f>
        <v>Arabic A</v>
      </c>
      <c r="C598" s="62" t="str">
        <f aca="false">IF($M598=0,"",INDEX(Classes!$H$6:$H$420,$M598))</f>
        <v>Ms Soad Ahmed Mohamed</v>
      </c>
      <c r="D598" s="61" t="str">
        <f aca="false">IF($M598=0,"",INDEX(Classes!$B$6:$B$420,$M598))</f>
        <v>Year 7</v>
      </c>
      <c r="E598" s="61" t="str">
        <f aca="false">IF($M598=0,"",INDEX(Classes!$C$6:$C$420,$M598))</f>
        <v>ae</v>
      </c>
      <c r="F598" s="63" t="s">
        <v>107</v>
      </c>
      <c r="G598" s="63" t="s">
        <v>1018</v>
      </c>
      <c r="H598" s="60" t="s">
        <v>201</v>
      </c>
      <c r="I598" s="60" t="s">
        <v>201</v>
      </c>
      <c r="J598" s="63" t="n">
        <v>1</v>
      </c>
      <c r="K598" s="61" t="str">
        <f aca="false">IF($P598=0,"",IF($F598="Baseline","— Baseline",IF($O598=0,"No result",IF($N598=0,"No Start (attainment only)",IF(OR($N598=1,$O598=1),"U – needs rule",INDEX(MxBody,MATCH($I598,MxCurr,0),MATCH($H598,MxStart,0)))))))</f>
        <v>Expected</v>
      </c>
      <c r="L598" s="62" t="str">
        <f aca="false">IF(COUNTA($A598,$F598,$G598,$H598,$I598,$J598)=0,"",IF($M598=0,"✖ كود الصف غير موجود",IF(ISNA(MATCH($F598,Lists!$A$2:$A$5,0)),"✖ الفترة غير صحيحة",IF(ISNA(MATCH($G598,Lists!$B$2:$B$7,0)),"✖ المجموعة غير صحيحة",IF(NOT(OR($H598="",$N598&gt;0)),"✖ Start غير صحيح",IF(NOT(OR($I598="",$I598="NR",$O598&gt;0)),"✖ Current غير صحيح",IF(NOT(IF(ISNUMBER($J598),AND($J598&gt;=0,$J598=INT($J598)),FALSE())),"✖ العدد يجب أن يكون صحيحًا ≥ 0",IF(AND($F598="Baseline",$H598&lt;&gt;""),"⚠ Baseline: Start لا يدخل في التقدم",IF($K598="No Start (attainment only)","ℹ تحصيل فقط (بدون Start)",IF($K598="U – needs rule","ℹ حالة U تحتاج قاعدة معتمدة",IF($K598="No result","ℹ بدون نتيجة (يُستبعد من التحصيل)","OK")))))))))))</f>
        <v>OK</v>
      </c>
      <c r="M598" s="64" t="n">
        <f aca="false">IF($A598="",0,IFERROR(MATCH($A598,Classes!$A$6:$A$420,0),0))</f>
        <v>179</v>
      </c>
      <c r="N598" s="64" t="n">
        <f aca="false">IF($H598="",0,IFERROR(MATCH($H598,GradeList,0),0))</f>
        <v>6</v>
      </c>
      <c r="O598" s="64" t="n">
        <f aca="false">IF(OR($I598="",$I598="NR"),0,IFERROR(MATCH($I598,GradeList,0),0))</f>
        <v>6</v>
      </c>
      <c r="P598" s="64" t="n">
        <f aca="false">IF(AND($M598&gt;0,ISNUMBER(MATCH($F598,Lists!$A$2:$A$5,0)),ISNUMBER(MATCH($G598,Lists!$B$2:$B$7,0)),OR($H598="",$N598&gt;0),OR($I598="",$I598="NR",$O598&gt;0),IF(ISNUMBER($J598),AND($J598&gt;=0,$J598=INT($J598)),FALSE())),$J598,0)</f>
        <v>1</v>
      </c>
      <c r="Q598" s="64" t="n">
        <f aca="false">IF(AND($P598&gt;0,$O598&gt;0),$P598,0)</f>
        <v>1</v>
      </c>
      <c r="R598" s="64" t="n">
        <f aca="false">IF(AND($Q598&gt;0,$O598&gt;=AtRank),$Q598,0)</f>
        <v>1</v>
      </c>
      <c r="S598" s="64" t="n">
        <f aca="false">IF(AND($Q598&gt;0,$O598&gt;=AboveRank),$Q598,0)</f>
        <v>0</v>
      </c>
      <c r="T598" s="64" t="n">
        <f aca="false">IF($K598="Less",$P598,0)</f>
        <v>0</v>
      </c>
      <c r="U598" s="64" t="n">
        <f aca="false">IF($K598="Expected",$P598,0)</f>
        <v>1</v>
      </c>
      <c r="V598" s="64" t="n">
        <f aca="false">IF($K598="Better",$P598,0)</f>
        <v>0</v>
      </c>
      <c r="W598" s="64" t="n">
        <f aca="false">IF($K598="U – needs rule",$P598,0)</f>
        <v>0</v>
      </c>
      <c r="X598" s="64" t="n">
        <f aca="false">IF($K598="No Start (attainment only)",$P598,0)</f>
        <v>0</v>
      </c>
    </row>
    <row r="599" customFormat="false" ht="15" hidden="false" customHeight="false" outlineLevel="0" collapsed="false">
      <c r="A599" s="60" t="s">
        <v>653</v>
      </c>
      <c r="B599" s="61" t="str">
        <f aca="false">IF($M599=0,"",INDEX(Classes!$E$6:$E$420,$M599))</f>
        <v>Arabic A</v>
      </c>
      <c r="C599" s="62" t="str">
        <f aca="false">IF($M599=0,"",INDEX(Classes!$H$6:$H$420,$M599))</f>
        <v>Ms Soad Ahmed Mohamed</v>
      </c>
      <c r="D599" s="61" t="str">
        <f aca="false">IF($M599=0,"",INDEX(Classes!$B$6:$B$420,$M599))</f>
        <v>Year 7</v>
      </c>
      <c r="E599" s="61" t="str">
        <f aca="false">IF($M599=0,"",INDEX(Classes!$C$6:$C$420,$M599))</f>
        <v>ae</v>
      </c>
      <c r="F599" s="63" t="s">
        <v>107</v>
      </c>
      <c r="G599" s="63" t="s">
        <v>1018</v>
      </c>
      <c r="H599" s="60" t="s">
        <v>205</v>
      </c>
      <c r="I599" s="60" t="s">
        <v>205</v>
      </c>
      <c r="J599" s="63" t="n">
        <v>1</v>
      </c>
      <c r="K599" s="61" t="str">
        <f aca="false">IF($P599=0,"",IF($F599="Baseline","— Baseline",IF($O599=0,"No result",IF($N599=0,"No Start (attainment only)",IF(OR($N599=1,$O599=1),"U – needs rule",INDEX(MxBody,MATCH($I599,MxCurr,0),MATCH($H599,MxStart,0)))))))</f>
        <v>Better</v>
      </c>
      <c r="L599" s="62" t="str">
        <f aca="false">IF(COUNTA($A599,$F599,$G599,$H599,$I599,$J599)=0,"",IF($M599=0,"✖ كود الصف غير موجود",IF(ISNA(MATCH($F599,Lists!$A$2:$A$5,0)),"✖ الفترة غير صحيحة",IF(ISNA(MATCH($G599,Lists!$B$2:$B$7,0)),"✖ المجموعة غير صحيحة",IF(NOT(OR($H599="",$N599&gt;0)),"✖ Start غير صحيح",IF(NOT(OR($I599="",$I599="NR",$O599&gt;0)),"✖ Current غير صحيح",IF(NOT(IF(ISNUMBER($J599),AND($J599&gt;=0,$J599=INT($J599)),FALSE())),"✖ العدد يجب أن يكون صحيحًا ≥ 0",IF(AND($F599="Baseline",$H599&lt;&gt;""),"⚠ Baseline: Start لا يدخل في التقدم",IF($K599="No Start (attainment only)","ℹ تحصيل فقط (بدون Start)",IF($K599="U – needs rule","ℹ حالة U تحتاج قاعدة معتمدة",IF($K599="No result","ℹ بدون نتيجة (يُستبعد من التحصيل)","OK")))))))))))</f>
        <v>OK</v>
      </c>
      <c r="M599" s="64" t="n">
        <f aca="false">IF($A599="",0,IFERROR(MATCH($A599,Classes!$A$6:$A$420,0),0))</f>
        <v>179</v>
      </c>
      <c r="N599" s="64" t="n">
        <f aca="false">IF($H599="",0,IFERROR(MATCH($H599,GradeList,0),0))</f>
        <v>10</v>
      </c>
      <c r="O599" s="64" t="n">
        <f aca="false">IF(OR($I599="",$I599="NR"),0,IFERROR(MATCH($I599,GradeList,0),0))</f>
        <v>10</v>
      </c>
      <c r="P599" s="64" t="n">
        <f aca="false">IF(AND($M599&gt;0,ISNUMBER(MATCH($F599,Lists!$A$2:$A$5,0)),ISNUMBER(MATCH($G599,Lists!$B$2:$B$7,0)),OR($H599="",$N599&gt;0),OR($I599="",$I599="NR",$O599&gt;0),IF(ISNUMBER($J599),AND($J599&gt;=0,$J599=INT($J599)),FALSE())),$J599,0)</f>
        <v>1</v>
      </c>
      <c r="Q599" s="64" t="n">
        <f aca="false">IF(AND($P599&gt;0,$O599&gt;0),$P599,0)</f>
        <v>1</v>
      </c>
      <c r="R599" s="64" t="n">
        <f aca="false">IF(AND($Q599&gt;0,$O599&gt;=AtRank),$Q599,0)</f>
        <v>1</v>
      </c>
      <c r="S599" s="64" t="n">
        <f aca="false">IF(AND($Q599&gt;0,$O599&gt;=AboveRank),$Q599,0)</f>
        <v>1</v>
      </c>
      <c r="T599" s="64" t="n">
        <f aca="false">IF($K599="Less",$P599,0)</f>
        <v>0</v>
      </c>
      <c r="U599" s="64" t="n">
        <f aca="false">IF($K599="Expected",$P599,0)</f>
        <v>0</v>
      </c>
      <c r="V599" s="64" t="n">
        <f aca="false">IF($K599="Better",$P599,0)</f>
        <v>1</v>
      </c>
      <c r="W599" s="64" t="n">
        <f aca="false">IF($K599="U – needs rule",$P599,0)</f>
        <v>0</v>
      </c>
      <c r="X599" s="64" t="n">
        <f aca="false">IF($K599="No Start (attainment only)",$P599,0)</f>
        <v>0</v>
      </c>
    </row>
    <row r="600" customFormat="false" ht="15" hidden="false" customHeight="false" outlineLevel="0" collapsed="false">
      <c r="A600" s="60" t="s">
        <v>440</v>
      </c>
      <c r="B600" s="61" t="str">
        <f aca="false">IF($M600=0,"",INDEX(Classes!$E$6:$E$420,$M600))</f>
        <v>Arabic A</v>
      </c>
      <c r="C600" s="62" t="str">
        <f aca="false">IF($M600=0,"",INDEX(Classes!$H$6:$H$420,$M600))</f>
        <v>Ms Aya Soliman Eid</v>
      </c>
      <c r="D600" s="61" t="str">
        <f aca="false">IF($M600=0,"",INDEX(Classes!$B$6:$B$420,$M600))</f>
        <v>Year 2</v>
      </c>
      <c r="E600" s="61" t="str">
        <f aca="false">IF($M600=0,"",INDEX(Classes!$C$6:$C$420,$M600))</f>
        <v>af</v>
      </c>
      <c r="F600" s="63" t="s">
        <v>162</v>
      </c>
      <c r="G600" s="63" t="s">
        <v>108</v>
      </c>
      <c r="H600" s="60"/>
      <c r="I600" s="60" t="s">
        <v>202</v>
      </c>
      <c r="J600" s="63" t="n">
        <v>10</v>
      </c>
      <c r="K600" s="61" t="str">
        <f aca="false">IF($P600=0,"",IF($F600="Baseline","— Baseline",IF($O600=0,"No result",IF($N600=0,"No Start (attainment only)",IF(OR($N600=1,$O600=1),"U – needs rule",INDEX(MxBody,MATCH($I600,MxCurr,0),MATCH($H600,MxStart,0)))))))</f>
        <v>— Baseline</v>
      </c>
      <c r="L600" s="62" t="str">
        <f aca="false">IF(COUNTA($A600,$F600,$G600,$H600,$I600,$J600)=0,"",IF($M600=0,"✖ كود الصف غير موجود",IF(ISNA(MATCH($F600,Lists!$A$2:$A$5,0)),"✖ الفترة غير صحيحة",IF(ISNA(MATCH($G600,Lists!$B$2:$B$7,0)),"✖ المجموعة غير صحيحة",IF(NOT(OR($H600="",$N600&gt;0)),"✖ Start غير صحيح",IF(NOT(OR($I600="",$I600="NR",$O600&gt;0)),"✖ Current غير صحيح",IF(NOT(IF(ISNUMBER($J600),AND($J600&gt;=0,$J600=INT($J600)),FALSE())),"✖ العدد يجب أن يكون صحيحًا ≥ 0",IF(AND($F600="Baseline",$H600&lt;&gt;""),"⚠ Baseline: Start لا يدخل في التقدم",IF($K600="No Start (attainment only)","ℹ تحصيل فقط (بدون Start)",IF($K600="U – needs rule","ℹ حالة U تحتاج قاعدة معتمدة",IF($K600="No result","ℹ بدون نتيجة (يُستبعد من التحصيل)","OK")))))))))))</f>
        <v>OK</v>
      </c>
      <c r="M600" s="64" t="n">
        <f aca="false">IF($A600="",0,IFERROR(MATCH($A600,Classes!$A$6:$A$420,0),0))</f>
        <v>1</v>
      </c>
      <c r="N600" s="64" t="n">
        <f aca="false">IF($H600="",0,IFERROR(MATCH($H600,GradeList,0),0))</f>
        <v>0</v>
      </c>
      <c r="O600" s="64" t="n">
        <f aca="false">IF(OR($I600="",$I600="NR"),0,IFERROR(MATCH($I600,GradeList,0),0))</f>
        <v>7</v>
      </c>
      <c r="P600" s="64" t="n">
        <f aca="false">IF(AND($M600&gt;0,ISNUMBER(MATCH($F600,Lists!$A$2:$A$5,0)),ISNUMBER(MATCH($G600,Lists!$B$2:$B$7,0)),OR($H600="",$N600&gt;0),OR($I600="",$I600="NR",$O600&gt;0),IF(ISNUMBER($J600),AND($J600&gt;=0,$J600=INT($J600)),FALSE())),$J600,0)</f>
        <v>10</v>
      </c>
      <c r="Q600" s="64" t="n">
        <f aca="false">IF(AND($P600&gt;0,$O600&gt;0),$P600,0)</f>
        <v>10</v>
      </c>
      <c r="R600" s="64" t="n">
        <f aca="false">IF(AND($Q600&gt;0,$O600&gt;=AtRank),$Q600,0)</f>
        <v>10</v>
      </c>
      <c r="S600" s="64" t="n">
        <f aca="false">IF(AND($Q600&gt;0,$O600&gt;=AboveRank),$Q600,0)</f>
        <v>10</v>
      </c>
      <c r="T600" s="64" t="n">
        <f aca="false">IF($K600="Less",$P600,0)</f>
        <v>0</v>
      </c>
      <c r="U600" s="64" t="n">
        <f aca="false">IF($K600="Expected",$P600,0)</f>
        <v>0</v>
      </c>
      <c r="V600" s="64" t="n">
        <f aca="false">IF($K600="Better",$P600,0)</f>
        <v>0</v>
      </c>
      <c r="W600" s="64" t="n">
        <f aca="false">IF($K600="U – needs rule",$P600,0)</f>
        <v>0</v>
      </c>
      <c r="X600" s="64" t="n">
        <f aca="false">IF($K600="No Start (attainment only)",$P600,0)</f>
        <v>0</v>
      </c>
    </row>
    <row r="601" customFormat="false" ht="15" hidden="false" customHeight="false" outlineLevel="0" collapsed="false">
      <c r="A601" s="60" t="s">
        <v>440</v>
      </c>
      <c r="B601" s="61" t="str">
        <f aca="false">IF($M601=0,"",INDEX(Classes!$E$6:$E$420,$M601))</f>
        <v>Arabic A</v>
      </c>
      <c r="C601" s="62" t="str">
        <f aca="false">IF($M601=0,"",INDEX(Classes!$H$6:$H$420,$M601))</f>
        <v>Ms Aya Soliman Eid</v>
      </c>
      <c r="D601" s="61" t="str">
        <f aca="false">IF($M601=0,"",INDEX(Classes!$B$6:$B$420,$M601))</f>
        <v>Year 2</v>
      </c>
      <c r="E601" s="61" t="str">
        <f aca="false">IF($M601=0,"",INDEX(Classes!$C$6:$C$420,$M601))</f>
        <v>af</v>
      </c>
      <c r="F601" s="63" t="s">
        <v>162</v>
      </c>
      <c r="G601" s="63" t="s">
        <v>108</v>
      </c>
      <c r="H601" s="60"/>
      <c r="I601" s="60" t="s">
        <v>203</v>
      </c>
      <c r="J601" s="63" t="n">
        <v>2</v>
      </c>
      <c r="K601" s="61" t="str">
        <f aca="false">IF($P601=0,"",IF($F601="Baseline","— Baseline",IF($O601=0,"No result",IF($N601=0,"No Start (attainment only)",IF(OR($N601=1,$O601=1),"U – needs rule",INDEX(MxBody,MATCH($I601,MxCurr,0),MATCH($H601,MxStart,0)))))))</f>
        <v>— Baseline</v>
      </c>
      <c r="L601" s="62" t="str">
        <f aca="false">IF(COUNTA($A601,$F601,$G601,$H601,$I601,$J601)=0,"",IF($M601=0,"✖ كود الصف غير موجود",IF(ISNA(MATCH($F601,Lists!$A$2:$A$5,0)),"✖ الفترة غير صحيحة",IF(ISNA(MATCH($G601,Lists!$B$2:$B$7,0)),"✖ المجموعة غير صحيحة",IF(NOT(OR($H601="",$N601&gt;0)),"✖ Start غير صحيح",IF(NOT(OR($I601="",$I601="NR",$O601&gt;0)),"✖ Current غير صحيح",IF(NOT(IF(ISNUMBER($J601),AND($J601&gt;=0,$J601=INT($J601)),FALSE())),"✖ العدد يجب أن يكون صحيحًا ≥ 0",IF(AND($F601="Baseline",$H601&lt;&gt;""),"⚠ Baseline: Start لا يدخل في التقدم",IF($K601="No Start (attainment only)","ℹ تحصيل فقط (بدون Start)",IF($K601="U – needs rule","ℹ حالة U تحتاج قاعدة معتمدة",IF($K601="No result","ℹ بدون نتيجة (يُستبعد من التحصيل)","OK")))))))))))</f>
        <v>OK</v>
      </c>
      <c r="M601" s="64" t="n">
        <f aca="false">IF($A601="",0,IFERROR(MATCH($A601,Classes!$A$6:$A$420,0),0))</f>
        <v>1</v>
      </c>
      <c r="N601" s="64" t="n">
        <f aca="false">IF($H601="",0,IFERROR(MATCH($H601,GradeList,0),0))</f>
        <v>0</v>
      </c>
      <c r="O601" s="64" t="n">
        <f aca="false">IF(OR($I601="",$I601="NR"),0,IFERROR(MATCH($I601,GradeList,0),0))</f>
        <v>8</v>
      </c>
      <c r="P601" s="64" t="n">
        <f aca="false">IF(AND($M601&gt;0,ISNUMBER(MATCH($F601,Lists!$A$2:$A$5,0)),ISNUMBER(MATCH($G601,Lists!$B$2:$B$7,0)),OR($H601="",$N601&gt;0),OR($I601="",$I601="NR",$O601&gt;0),IF(ISNUMBER($J601),AND($J601&gt;=0,$J601=INT($J601)),FALSE())),$J601,0)</f>
        <v>2</v>
      </c>
      <c r="Q601" s="64" t="n">
        <f aca="false">IF(AND($P601&gt;0,$O601&gt;0),$P601,0)</f>
        <v>2</v>
      </c>
      <c r="R601" s="64" t="n">
        <f aca="false">IF(AND($Q601&gt;0,$O601&gt;=AtRank),$Q601,0)</f>
        <v>2</v>
      </c>
      <c r="S601" s="64" t="n">
        <f aca="false">IF(AND($Q601&gt;0,$O601&gt;=AboveRank),$Q601,0)</f>
        <v>2</v>
      </c>
      <c r="T601" s="64" t="n">
        <f aca="false">IF($K601="Less",$P601,0)</f>
        <v>0</v>
      </c>
      <c r="U601" s="64" t="n">
        <f aca="false">IF($K601="Expected",$P601,0)</f>
        <v>0</v>
      </c>
      <c r="V601" s="64" t="n">
        <f aca="false">IF($K601="Better",$P601,0)</f>
        <v>0</v>
      </c>
      <c r="W601" s="64" t="n">
        <f aca="false">IF($K601="U – needs rule",$P601,0)</f>
        <v>0</v>
      </c>
      <c r="X601" s="64" t="n">
        <f aca="false">IF($K601="No Start (attainment only)",$P601,0)</f>
        <v>0</v>
      </c>
    </row>
    <row r="602" customFormat="false" ht="15" hidden="false" customHeight="false" outlineLevel="0" collapsed="false">
      <c r="A602" s="60" t="s">
        <v>440</v>
      </c>
      <c r="B602" s="61" t="str">
        <f aca="false">IF($M602=0,"",INDEX(Classes!$E$6:$E$420,$M602))</f>
        <v>Arabic A</v>
      </c>
      <c r="C602" s="62" t="str">
        <f aca="false">IF($M602=0,"",INDEX(Classes!$H$6:$H$420,$M602))</f>
        <v>Ms Aya Soliman Eid</v>
      </c>
      <c r="D602" s="61" t="str">
        <f aca="false">IF($M602=0,"",INDEX(Classes!$B$6:$B$420,$M602))</f>
        <v>Year 2</v>
      </c>
      <c r="E602" s="61" t="str">
        <f aca="false">IF($M602=0,"",INDEX(Classes!$C$6:$C$420,$M602))</f>
        <v>af</v>
      </c>
      <c r="F602" s="63" t="s">
        <v>162</v>
      </c>
      <c r="G602" s="63" t="s">
        <v>108</v>
      </c>
      <c r="H602" s="60"/>
      <c r="I602" s="60" t="s">
        <v>200</v>
      </c>
      <c r="J602" s="63" t="n">
        <v>3</v>
      </c>
      <c r="K602" s="61" t="str">
        <f aca="false">IF($P602=0,"",IF($F602="Baseline","— Baseline",IF($O602=0,"No result",IF($N602=0,"No Start (attainment only)",IF(OR($N602=1,$O602=1),"U – needs rule",INDEX(MxBody,MATCH($I602,MxCurr,0),MATCH($H602,MxStart,0)))))))</f>
        <v>— Baseline</v>
      </c>
      <c r="L602" s="62" t="str">
        <f aca="false">IF(COUNTA($A602,$F602,$G602,$H602,$I602,$J602)=0,"",IF($M602=0,"✖ كود الصف غير موجود",IF(ISNA(MATCH($F602,Lists!$A$2:$A$5,0)),"✖ الفترة غير صحيحة",IF(ISNA(MATCH($G602,Lists!$B$2:$B$7,0)),"✖ المجموعة غير صحيحة",IF(NOT(OR($H602="",$N602&gt;0)),"✖ Start غير صحيح",IF(NOT(OR($I602="",$I602="NR",$O602&gt;0)),"✖ Current غير صحيح",IF(NOT(IF(ISNUMBER($J602),AND($J602&gt;=0,$J602=INT($J602)),FALSE())),"✖ العدد يجب أن يكون صحيحًا ≥ 0",IF(AND($F602="Baseline",$H602&lt;&gt;""),"⚠ Baseline: Start لا يدخل في التقدم",IF($K602="No Start (attainment only)","ℹ تحصيل فقط (بدون Start)",IF($K602="U – needs rule","ℹ حالة U تحتاج قاعدة معتمدة",IF($K602="No result","ℹ بدون نتيجة (يُستبعد من التحصيل)","OK")))))))))))</f>
        <v>OK</v>
      </c>
      <c r="M602" s="64" t="n">
        <f aca="false">IF($A602="",0,IFERROR(MATCH($A602,Classes!$A$6:$A$420,0),0))</f>
        <v>1</v>
      </c>
      <c r="N602" s="64" t="n">
        <f aca="false">IF($H602="",0,IFERROR(MATCH($H602,GradeList,0),0))</f>
        <v>0</v>
      </c>
      <c r="O602" s="64" t="n">
        <f aca="false">IF(OR($I602="",$I602="NR"),0,IFERROR(MATCH($I602,GradeList,0),0))</f>
        <v>5</v>
      </c>
      <c r="P602" s="64" t="n">
        <f aca="false">IF(AND($M602&gt;0,ISNUMBER(MATCH($F602,Lists!$A$2:$A$5,0)),ISNUMBER(MATCH($G602,Lists!$B$2:$B$7,0)),OR($H602="",$N602&gt;0),OR($I602="",$I602="NR",$O602&gt;0),IF(ISNUMBER($J602),AND($J602&gt;=0,$J602=INT($J602)),FALSE())),$J602,0)</f>
        <v>3</v>
      </c>
      <c r="Q602" s="64" t="n">
        <f aca="false">IF(AND($P602&gt;0,$O602&gt;0),$P602,0)</f>
        <v>3</v>
      </c>
      <c r="R602" s="64" t="n">
        <f aca="false">IF(AND($Q602&gt;0,$O602&gt;=AtRank),$Q602,0)</f>
        <v>3</v>
      </c>
      <c r="S602" s="64" t="n">
        <f aca="false">IF(AND($Q602&gt;0,$O602&gt;=AboveRank),$Q602,0)</f>
        <v>0</v>
      </c>
      <c r="T602" s="64" t="n">
        <f aca="false">IF($K602="Less",$P602,0)</f>
        <v>0</v>
      </c>
      <c r="U602" s="64" t="n">
        <f aca="false">IF($K602="Expected",$P602,0)</f>
        <v>0</v>
      </c>
      <c r="V602" s="64" t="n">
        <f aca="false">IF($K602="Better",$P602,0)</f>
        <v>0</v>
      </c>
      <c r="W602" s="64" t="n">
        <f aca="false">IF($K602="U – needs rule",$P602,0)</f>
        <v>0</v>
      </c>
      <c r="X602" s="64" t="n">
        <f aca="false">IF($K602="No Start (attainment only)",$P602,0)</f>
        <v>0</v>
      </c>
    </row>
    <row r="603" customFormat="false" ht="15" hidden="false" customHeight="false" outlineLevel="0" collapsed="false">
      <c r="A603" s="60" t="s">
        <v>440</v>
      </c>
      <c r="B603" s="61" t="str">
        <f aca="false">IF($M603=0,"",INDEX(Classes!$E$6:$E$420,$M603))</f>
        <v>Arabic A</v>
      </c>
      <c r="C603" s="62" t="str">
        <f aca="false">IF($M603=0,"",INDEX(Classes!$H$6:$H$420,$M603))</f>
        <v>Ms Aya Soliman Eid</v>
      </c>
      <c r="D603" s="61" t="str">
        <f aca="false">IF($M603=0,"",INDEX(Classes!$B$6:$B$420,$M603))</f>
        <v>Year 2</v>
      </c>
      <c r="E603" s="61" t="str">
        <f aca="false">IF($M603=0,"",INDEX(Classes!$C$6:$C$420,$M603))</f>
        <v>af</v>
      </c>
      <c r="F603" s="63" t="s">
        <v>162</v>
      </c>
      <c r="G603" s="63" t="s">
        <v>108</v>
      </c>
      <c r="H603" s="60"/>
      <c r="I603" s="60" t="s">
        <v>201</v>
      </c>
      <c r="J603" s="63" t="n">
        <v>4</v>
      </c>
      <c r="K603" s="61" t="str">
        <f aca="false">IF($P603=0,"",IF($F603="Baseline","— Baseline",IF($O603=0,"No result",IF($N603=0,"No Start (attainment only)",IF(OR($N603=1,$O603=1),"U – needs rule",INDEX(MxBody,MATCH($I603,MxCurr,0),MATCH($H603,MxStart,0)))))))</f>
        <v>— Baseline</v>
      </c>
      <c r="L603" s="62" t="str">
        <f aca="false">IF(COUNTA($A603,$F603,$G603,$H603,$I603,$J603)=0,"",IF($M603=0,"✖ كود الصف غير موجود",IF(ISNA(MATCH($F603,Lists!$A$2:$A$5,0)),"✖ الفترة غير صحيحة",IF(ISNA(MATCH($G603,Lists!$B$2:$B$7,0)),"✖ المجموعة غير صحيحة",IF(NOT(OR($H603="",$N603&gt;0)),"✖ Start غير صحيح",IF(NOT(OR($I603="",$I603="NR",$O603&gt;0)),"✖ Current غير صحيح",IF(NOT(IF(ISNUMBER($J603),AND($J603&gt;=0,$J603=INT($J603)),FALSE())),"✖ العدد يجب أن يكون صحيحًا ≥ 0",IF(AND($F603="Baseline",$H603&lt;&gt;""),"⚠ Baseline: Start لا يدخل في التقدم",IF($K603="No Start (attainment only)","ℹ تحصيل فقط (بدون Start)",IF($K603="U – needs rule","ℹ حالة U تحتاج قاعدة معتمدة",IF($K603="No result","ℹ بدون نتيجة (يُستبعد من التحصيل)","OK")))))))))))</f>
        <v>OK</v>
      </c>
      <c r="M603" s="64" t="n">
        <f aca="false">IF($A603="",0,IFERROR(MATCH($A603,Classes!$A$6:$A$420,0),0))</f>
        <v>1</v>
      </c>
      <c r="N603" s="64" t="n">
        <f aca="false">IF($H603="",0,IFERROR(MATCH($H603,GradeList,0),0))</f>
        <v>0</v>
      </c>
      <c r="O603" s="64" t="n">
        <f aca="false">IF(OR($I603="",$I603="NR"),0,IFERROR(MATCH($I603,GradeList,0),0))</f>
        <v>6</v>
      </c>
      <c r="P603" s="64" t="n">
        <f aca="false">IF(AND($M603&gt;0,ISNUMBER(MATCH($F603,Lists!$A$2:$A$5,0)),ISNUMBER(MATCH($G603,Lists!$B$2:$B$7,0)),OR($H603="",$N603&gt;0),OR($I603="",$I603="NR",$O603&gt;0),IF(ISNUMBER($J603),AND($J603&gt;=0,$J603=INT($J603)),FALSE())),$J603,0)</f>
        <v>4</v>
      </c>
      <c r="Q603" s="64" t="n">
        <f aca="false">IF(AND($P603&gt;0,$O603&gt;0),$P603,0)</f>
        <v>4</v>
      </c>
      <c r="R603" s="64" t="n">
        <f aca="false">IF(AND($Q603&gt;0,$O603&gt;=AtRank),$Q603,0)</f>
        <v>4</v>
      </c>
      <c r="S603" s="64" t="n">
        <f aca="false">IF(AND($Q603&gt;0,$O603&gt;=AboveRank),$Q603,0)</f>
        <v>0</v>
      </c>
      <c r="T603" s="64" t="n">
        <f aca="false">IF($K603="Less",$P603,0)</f>
        <v>0</v>
      </c>
      <c r="U603" s="64" t="n">
        <f aca="false">IF($K603="Expected",$P603,0)</f>
        <v>0</v>
      </c>
      <c r="V603" s="64" t="n">
        <f aca="false">IF($K603="Better",$P603,0)</f>
        <v>0</v>
      </c>
      <c r="W603" s="64" t="n">
        <f aca="false">IF($K603="U – needs rule",$P603,0)</f>
        <v>0</v>
      </c>
      <c r="X603" s="64" t="n">
        <f aca="false">IF($K603="No Start (attainment only)",$P603,0)</f>
        <v>0</v>
      </c>
    </row>
    <row r="604" customFormat="false" ht="15" hidden="false" customHeight="false" outlineLevel="0" collapsed="false">
      <c r="A604" s="60" t="s">
        <v>440</v>
      </c>
      <c r="B604" s="61" t="str">
        <f aca="false">IF($M604=0,"",INDEX(Classes!$E$6:$E$420,$M604))</f>
        <v>Arabic A</v>
      </c>
      <c r="C604" s="62" t="str">
        <f aca="false">IF($M604=0,"",INDEX(Classes!$H$6:$H$420,$M604))</f>
        <v>Ms Aya Soliman Eid</v>
      </c>
      <c r="D604" s="61" t="str">
        <f aca="false">IF($M604=0,"",INDEX(Classes!$B$6:$B$420,$M604))</f>
        <v>Year 2</v>
      </c>
      <c r="E604" s="61" t="str">
        <f aca="false">IF($M604=0,"",INDEX(Classes!$C$6:$C$420,$M604))</f>
        <v>af</v>
      </c>
      <c r="F604" s="63" t="s">
        <v>162</v>
      </c>
      <c r="G604" s="63" t="s">
        <v>108</v>
      </c>
      <c r="H604" s="60"/>
      <c r="I604" s="60" t="s">
        <v>204</v>
      </c>
      <c r="J604" s="63" t="n">
        <v>1</v>
      </c>
      <c r="K604" s="61" t="str">
        <f aca="false">IF($P604=0,"",IF($F604="Baseline","— Baseline",IF($O604=0,"No result",IF($N604=0,"No Start (attainment only)",IF(OR($N604=1,$O604=1),"U – needs rule",INDEX(MxBody,MATCH($I604,MxCurr,0),MATCH($H604,MxStart,0)))))))</f>
        <v>— Baseline</v>
      </c>
      <c r="L604" s="62" t="str">
        <f aca="false">IF(COUNTA($A604,$F604,$G604,$H604,$I604,$J604)=0,"",IF($M604=0,"✖ كود الصف غير موجود",IF(ISNA(MATCH($F604,Lists!$A$2:$A$5,0)),"✖ الفترة غير صحيحة",IF(ISNA(MATCH($G604,Lists!$B$2:$B$7,0)),"✖ المجموعة غير صحيحة",IF(NOT(OR($H604="",$N604&gt;0)),"✖ Start غير صحيح",IF(NOT(OR($I604="",$I604="NR",$O604&gt;0)),"✖ Current غير صحيح",IF(NOT(IF(ISNUMBER($J604),AND($J604&gt;=0,$J604=INT($J604)),FALSE())),"✖ العدد يجب أن يكون صحيحًا ≥ 0",IF(AND($F604="Baseline",$H604&lt;&gt;""),"⚠ Baseline: Start لا يدخل في التقدم",IF($K604="No Start (attainment only)","ℹ تحصيل فقط (بدون Start)",IF($K604="U – needs rule","ℹ حالة U تحتاج قاعدة معتمدة",IF($K604="No result","ℹ بدون نتيجة (يُستبعد من التحصيل)","OK")))))))))))</f>
        <v>OK</v>
      </c>
      <c r="M604" s="64" t="n">
        <f aca="false">IF($A604="",0,IFERROR(MATCH($A604,Classes!$A$6:$A$420,0),0))</f>
        <v>1</v>
      </c>
      <c r="N604" s="64" t="n">
        <f aca="false">IF($H604="",0,IFERROR(MATCH($H604,GradeList,0),0))</f>
        <v>0</v>
      </c>
      <c r="O604" s="64" t="n">
        <f aca="false">IF(OR($I604="",$I604="NR"),0,IFERROR(MATCH($I604,GradeList,0),0))</f>
        <v>9</v>
      </c>
      <c r="P604" s="64" t="n">
        <f aca="false">IF(AND($M604&gt;0,ISNUMBER(MATCH($F604,Lists!$A$2:$A$5,0)),ISNUMBER(MATCH($G604,Lists!$B$2:$B$7,0)),OR($H604="",$N604&gt;0),OR($I604="",$I604="NR",$O604&gt;0),IF(ISNUMBER($J604),AND($J604&gt;=0,$J604=INT($J604)),FALSE())),$J604,0)</f>
        <v>1</v>
      </c>
      <c r="Q604" s="64" t="n">
        <f aca="false">IF(AND($P604&gt;0,$O604&gt;0),$P604,0)</f>
        <v>1</v>
      </c>
      <c r="R604" s="64" t="n">
        <f aca="false">IF(AND($Q604&gt;0,$O604&gt;=AtRank),$Q604,0)</f>
        <v>1</v>
      </c>
      <c r="S604" s="64" t="n">
        <f aca="false">IF(AND($Q604&gt;0,$O604&gt;=AboveRank),$Q604,0)</f>
        <v>1</v>
      </c>
      <c r="T604" s="64" t="n">
        <f aca="false">IF($K604="Less",$P604,0)</f>
        <v>0</v>
      </c>
      <c r="U604" s="64" t="n">
        <f aca="false">IF($K604="Expected",$P604,0)</f>
        <v>0</v>
      </c>
      <c r="V604" s="64" t="n">
        <f aca="false">IF($K604="Better",$P604,0)</f>
        <v>0</v>
      </c>
      <c r="W604" s="64" t="n">
        <f aca="false">IF($K604="U – needs rule",$P604,0)</f>
        <v>0</v>
      </c>
      <c r="X604" s="64" t="n">
        <f aca="false">IF($K604="No Start (attainment only)",$P604,0)</f>
        <v>0</v>
      </c>
    </row>
    <row r="605" customFormat="false" ht="15" hidden="false" customHeight="false" outlineLevel="0" collapsed="false">
      <c r="A605" s="60" t="s">
        <v>440</v>
      </c>
      <c r="B605" s="61" t="str">
        <f aca="false">IF($M605=0,"",INDEX(Classes!$E$6:$E$420,$M605))</f>
        <v>Arabic A</v>
      </c>
      <c r="C605" s="62" t="str">
        <f aca="false">IF($M605=0,"",INDEX(Classes!$H$6:$H$420,$M605))</f>
        <v>Ms Aya Soliman Eid</v>
      </c>
      <c r="D605" s="61" t="str">
        <f aca="false">IF($M605=0,"",INDEX(Classes!$B$6:$B$420,$M605))</f>
        <v>Year 2</v>
      </c>
      <c r="E605" s="61" t="str">
        <f aca="false">IF($M605=0,"",INDEX(Classes!$C$6:$C$420,$M605))</f>
        <v>af</v>
      </c>
      <c r="F605" s="63" t="s">
        <v>162</v>
      </c>
      <c r="G605" s="63" t="s">
        <v>108</v>
      </c>
      <c r="H605" s="60"/>
      <c r="I605" s="60" t="s">
        <v>199</v>
      </c>
      <c r="J605" s="63" t="n">
        <v>6</v>
      </c>
      <c r="K605" s="61" t="str">
        <f aca="false">IF($P605=0,"",IF($F605="Baseline","— Baseline",IF($O605=0,"No result",IF($N605=0,"No Start (attainment only)",IF(OR($N605=1,$O605=1),"U – needs rule",INDEX(MxBody,MATCH($I605,MxCurr,0),MATCH($H605,MxStart,0)))))))</f>
        <v>— Baseline</v>
      </c>
      <c r="L605" s="62" t="str">
        <f aca="false">IF(COUNTA($A605,$F605,$G605,$H605,$I605,$J605)=0,"",IF($M605=0,"✖ كود الصف غير موجود",IF(ISNA(MATCH($F605,Lists!$A$2:$A$5,0)),"✖ الفترة غير صحيحة",IF(ISNA(MATCH($G605,Lists!$B$2:$B$7,0)),"✖ المجموعة غير صحيحة",IF(NOT(OR($H605="",$N605&gt;0)),"✖ Start غير صحيح",IF(NOT(OR($I605="",$I605="NR",$O605&gt;0)),"✖ Current غير صحيح",IF(NOT(IF(ISNUMBER($J605),AND($J605&gt;=0,$J605=INT($J605)),FALSE())),"✖ العدد يجب أن يكون صحيحًا ≥ 0",IF(AND($F605="Baseline",$H605&lt;&gt;""),"⚠ Baseline: Start لا يدخل في التقدم",IF($K605="No Start (attainment only)","ℹ تحصيل فقط (بدون Start)",IF($K605="U – needs rule","ℹ حالة U تحتاج قاعدة معتمدة",IF($K605="No result","ℹ بدون نتيجة (يُستبعد من التحصيل)","OK")))))))))))</f>
        <v>OK</v>
      </c>
      <c r="M605" s="64" t="n">
        <f aca="false">IF($A605="",0,IFERROR(MATCH($A605,Classes!$A$6:$A$420,0),0))</f>
        <v>1</v>
      </c>
      <c r="N605" s="64" t="n">
        <f aca="false">IF($H605="",0,IFERROR(MATCH($H605,GradeList,0),0))</f>
        <v>0</v>
      </c>
      <c r="O605" s="64" t="n">
        <f aca="false">IF(OR($I605="",$I605="NR"),0,IFERROR(MATCH($I605,GradeList,0),0))</f>
        <v>4</v>
      </c>
      <c r="P605" s="64" t="n">
        <f aca="false">IF(AND($M605&gt;0,ISNUMBER(MATCH($F605,Lists!$A$2:$A$5,0)),ISNUMBER(MATCH($G605,Lists!$B$2:$B$7,0)),OR($H605="",$N605&gt;0),OR($I605="",$I605="NR",$O605&gt;0),IF(ISNUMBER($J605),AND($J605&gt;=0,$J605=INT($J605)),FALSE())),$J605,0)</f>
        <v>6</v>
      </c>
      <c r="Q605" s="64" t="n">
        <f aca="false">IF(AND($P605&gt;0,$O605&gt;0),$P605,0)</f>
        <v>6</v>
      </c>
      <c r="R605" s="64" t="n">
        <f aca="false">IF(AND($Q605&gt;0,$O605&gt;=AtRank),$Q605,0)</f>
        <v>0</v>
      </c>
      <c r="S605" s="64" t="n">
        <f aca="false">IF(AND($Q605&gt;0,$O605&gt;=AboveRank),$Q605,0)</f>
        <v>0</v>
      </c>
      <c r="T605" s="64" t="n">
        <f aca="false">IF($K605="Less",$P605,0)</f>
        <v>0</v>
      </c>
      <c r="U605" s="64" t="n">
        <f aca="false">IF($K605="Expected",$P605,0)</f>
        <v>0</v>
      </c>
      <c r="V605" s="64" t="n">
        <f aca="false">IF($K605="Better",$P605,0)</f>
        <v>0</v>
      </c>
      <c r="W605" s="64" t="n">
        <f aca="false">IF($K605="U – needs rule",$P605,0)</f>
        <v>0</v>
      </c>
      <c r="X605" s="64" t="n">
        <f aca="false">IF($K605="No Start (attainment only)",$P605,0)</f>
        <v>0</v>
      </c>
    </row>
    <row r="606" customFormat="false" ht="15" hidden="false" customHeight="false" outlineLevel="0" collapsed="false">
      <c r="A606" s="60" t="s">
        <v>440</v>
      </c>
      <c r="B606" s="61" t="str">
        <f aca="false">IF($M606=0,"",INDEX(Classes!$E$6:$E$420,$M606))</f>
        <v>Arabic A</v>
      </c>
      <c r="C606" s="62" t="str">
        <f aca="false">IF($M606=0,"",INDEX(Classes!$H$6:$H$420,$M606))</f>
        <v>Ms Aya Soliman Eid</v>
      </c>
      <c r="D606" s="61" t="str">
        <f aca="false">IF($M606=0,"",INDEX(Classes!$B$6:$B$420,$M606))</f>
        <v>Year 2</v>
      </c>
      <c r="E606" s="61" t="str">
        <f aca="false">IF($M606=0,"",INDEX(Classes!$C$6:$C$420,$M606))</f>
        <v>af</v>
      </c>
      <c r="F606" s="63" t="s">
        <v>162</v>
      </c>
      <c r="G606" s="63" t="s">
        <v>1015</v>
      </c>
      <c r="H606" s="60"/>
      <c r="I606" s="60" t="s">
        <v>202</v>
      </c>
      <c r="J606" s="63" t="n">
        <v>9</v>
      </c>
      <c r="K606" s="61" t="str">
        <f aca="false">IF($P606=0,"",IF($F606="Baseline","— Baseline",IF($O606=0,"No result",IF($N606=0,"No Start (attainment only)",IF(OR($N606=1,$O606=1),"U – needs rule",INDEX(MxBody,MATCH($I606,MxCurr,0),MATCH($H606,MxStart,0)))))))</f>
        <v>— Baseline</v>
      </c>
      <c r="L606" s="62" t="str">
        <f aca="false">IF(COUNTA($A606,$F606,$G606,$H606,$I606,$J606)=0,"",IF($M606=0,"✖ كود الصف غير موجود",IF(ISNA(MATCH($F606,Lists!$A$2:$A$5,0)),"✖ الفترة غير صحيحة",IF(ISNA(MATCH($G606,Lists!$B$2:$B$7,0)),"✖ المجموعة غير صحيحة",IF(NOT(OR($H606="",$N606&gt;0)),"✖ Start غير صحيح",IF(NOT(OR($I606="",$I606="NR",$O606&gt;0)),"✖ Current غير صحيح",IF(NOT(IF(ISNUMBER($J606),AND($J606&gt;=0,$J606=INT($J606)),FALSE())),"✖ العدد يجب أن يكون صحيحًا ≥ 0",IF(AND($F606="Baseline",$H606&lt;&gt;""),"⚠ Baseline: Start لا يدخل في التقدم",IF($K606="No Start (attainment only)","ℹ تحصيل فقط (بدون Start)",IF($K606="U – needs rule","ℹ حالة U تحتاج قاعدة معتمدة",IF($K606="No result","ℹ بدون نتيجة (يُستبعد من التحصيل)","OK")))))))))))</f>
        <v>OK</v>
      </c>
      <c r="M606" s="64" t="n">
        <f aca="false">IF($A606="",0,IFERROR(MATCH($A606,Classes!$A$6:$A$420,0),0))</f>
        <v>1</v>
      </c>
      <c r="N606" s="64" t="n">
        <f aca="false">IF($H606="",0,IFERROR(MATCH($H606,GradeList,0),0))</f>
        <v>0</v>
      </c>
      <c r="O606" s="64" t="n">
        <f aca="false">IF(OR($I606="",$I606="NR"),0,IFERROR(MATCH($I606,GradeList,0),0))</f>
        <v>7</v>
      </c>
      <c r="P606" s="64" t="n">
        <f aca="false">IF(AND($M606&gt;0,ISNUMBER(MATCH($F606,Lists!$A$2:$A$5,0)),ISNUMBER(MATCH($G606,Lists!$B$2:$B$7,0)),OR($H606="",$N606&gt;0),OR($I606="",$I606="NR",$O606&gt;0),IF(ISNUMBER($J606),AND($J606&gt;=0,$J606=INT($J606)),FALSE())),$J606,0)</f>
        <v>9</v>
      </c>
      <c r="Q606" s="64" t="n">
        <f aca="false">IF(AND($P606&gt;0,$O606&gt;0),$P606,0)</f>
        <v>9</v>
      </c>
      <c r="R606" s="64" t="n">
        <f aca="false">IF(AND($Q606&gt;0,$O606&gt;=AtRank),$Q606,0)</f>
        <v>9</v>
      </c>
      <c r="S606" s="64" t="n">
        <f aca="false">IF(AND($Q606&gt;0,$O606&gt;=AboveRank),$Q606,0)</f>
        <v>9</v>
      </c>
      <c r="T606" s="64" t="n">
        <f aca="false">IF($K606="Less",$P606,0)</f>
        <v>0</v>
      </c>
      <c r="U606" s="64" t="n">
        <f aca="false">IF($K606="Expected",$P606,0)</f>
        <v>0</v>
      </c>
      <c r="V606" s="64" t="n">
        <f aca="false">IF($K606="Better",$P606,0)</f>
        <v>0</v>
      </c>
      <c r="W606" s="64" t="n">
        <f aca="false">IF($K606="U – needs rule",$P606,0)</f>
        <v>0</v>
      </c>
      <c r="X606" s="64" t="n">
        <f aca="false">IF($K606="No Start (attainment only)",$P606,0)</f>
        <v>0</v>
      </c>
    </row>
    <row r="607" customFormat="false" ht="15" hidden="false" customHeight="false" outlineLevel="0" collapsed="false">
      <c r="A607" s="60" t="s">
        <v>440</v>
      </c>
      <c r="B607" s="61" t="str">
        <f aca="false">IF($M607=0,"",INDEX(Classes!$E$6:$E$420,$M607))</f>
        <v>Arabic A</v>
      </c>
      <c r="C607" s="62" t="str">
        <f aca="false">IF($M607=0,"",INDEX(Classes!$H$6:$H$420,$M607))</f>
        <v>Ms Aya Soliman Eid</v>
      </c>
      <c r="D607" s="61" t="str">
        <f aca="false">IF($M607=0,"",INDEX(Classes!$B$6:$B$420,$M607))</f>
        <v>Year 2</v>
      </c>
      <c r="E607" s="61" t="str">
        <f aca="false">IF($M607=0,"",INDEX(Classes!$C$6:$C$420,$M607))</f>
        <v>af</v>
      </c>
      <c r="F607" s="63" t="s">
        <v>162</v>
      </c>
      <c r="G607" s="63" t="s">
        <v>1015</v>
      </c>
      <c r="H607" s="60"/>
      <c r="I607" s="60" t="s">
        <v>203</v>
      </c>
      <c r="J607" s="63" t="n">
        <v>1</v>
      </c>
      <c r="K607" s="61" t="str">
        <f aca="false">IF($P607=0,"",IF($F607="Baseline","— Baseline",IF($O607=0,"No result",IF($N607=0,"No Start (attainment only)",IF(OR($N607=1,$O607=1),"U – needs rule",INDEX(MxBody,MATCH($I607,MxCurr,0),MATCH($H607,MxStart,0)))))))</f>
        <v>— Baseline</v>
      </c>
      <c r="L607" s="62" t="str">
        <f aca="false">IF(COUNTA($A607,$F607,$G607,$H607,$I607,$J607)=0,"",IF($M607=0,"✖ كود الصف غير موجود",IF(ISNA(MATCH($F607,Lists!$A$2:$A$5,0)),"✖ الفترة غير صحيحة",IF(ISNA(MATCH($G607,Lists!$B$2:$B$7,0)),"✖ المجموعة غير صحيحة",IF(NOT(OR($H607="",$N607&gt;0)),"✖ Start غير صحيح",IF(NOT(OR($I607="",$I607="NR",$O607&gt;0)),"✖ Current غير صحيح",IF(NOT(IF(ISNUMBER($J607),AND($J607&gt;=0,$J607=INT($J607)),FALSE())),"✖ العدد يجب أن يكون صحيحًا ≥ 0",IF(AND($F607="Baseline",$H607&lt;&gt;""),"⚠ Baseline: Start لا يدخل في التقدم",IF($K607="No Start (attainment only)","ℹ تحصيل فقط (بدون Start)",IF($K607="U – needs rule","ℹ حالة U تحتاج قاعدة معتمدة",IF($K607="No result","ℹ بدون نتيجة (يُستبعد من التحصيل)","OK")))))))))))</f>
        <v>OK</v>
      </c>
      <c r="M607" s="64" t="n">
        <f aca="false">IF($A607="",0,IFERROR(MATCH($A607,Classes!$A$6:$A$420,0),0))</f>
        <v>1</v>
      </c>
      <c r="N607" s="64" t="n">
        <f aca="false">IF($H607="",0,IFERROR(MATCH($H607,GradeList,0),0))</f>
        <v>0</v>
      </c>
      <c r="O607" s="64" t="n">
        <f aca="false">IF(OR($I607="",$I607="NR"),0,IFERROR(MATCH($I607,GradeList,0),0))</f>
        <v>8</v>
      </c>
      <c r="P607" s="64" t="n">
        <f aca="false">IF(AND($M607&gt;0,ISNUMBER(MATCH($F607,Lists!$A$2:$A$5,0)),ISNUMBER(MATCH($G607,Lists!$B$2:$B$7,0)),OR($H607="",$N607&gt;0),OR($I607="",$I607="NR",$O607&gt;0),IF(ISNUMBER($J607),AND($J607&gt;=0,$J607=INT($J607)),FALSE())),$J607,0)</f>
        <v>1</v>
      </c>
      <c r="Q607" s="64" t="n">
        <f aca="false">IF(AND($P607&gt;0,$O607&gt;0),$P607,0)</f>
        <v>1</v>
      </c>
      <c r="R607" s="64" t="n">
        <f aca="false">IF(AND($Q607&gt;0,$O607&gt;=AtRank),$Q607,0)</f>
        <v>1</v>
      </c>
      <c r="S607" s="64" t="n">
        <f aca="false">IF(AND($Q607&gt;0,$O607&gt;=AboveRank),$Q607,0)</f>
        <v>1</v>
      </c>
      <c r="T607" s="64" t="n">
        <f aca="false">IF($K607="Less",$P607,0)</f>
        <v>0</v>
      </c>
      <c r="U607" s="64" t="n">
        <f aca="false">IF($K607="Expected",$P607,0)</f>
        <v>0</v>
      </c>
      <c r="V607" s="64" t="n">
        <f aca="false">IF($K607="Better",$P607,0)</f>
        <v>0</v>
      </c>
      <c r="W607" s="64" t="n">
        <f aca="false">IF($K607="U – needs rule",$P607,0)</f>
        <v>0</v>
      </c>
      <c r="X607" s="64" t="n">
        <f aca="false">IF($K607="No Start (attainment only)",$P607,0)</f>
        <v>0</v>
      </c>
    </row>
    <row r="608" customFormat="false" ht="15" hidden="false" customHeight="false" outlineLevel="0" collapsed="false">
      <c r="A608" s="60" t="s">
        <v>440</v>
      </c>
      <c r="B608" s="61" t="str">
        <f aca="false">IF($M608=0,"",INDEX(Classes!$E$6:$E$420,$M608))</f>
        <v>Arabic A</v>
      </c>
      <c r="C608" s="62" t="str">
        <f aca="false">IF($M608=0,"",INDEX(Classes!$H$6:$H$420,$M608))</f>
        <v>Ms Aya Soliman Eid</v>
      </c>
      <c r="D608" s="61" t="str">
        <f aca="false">IF($M608=0,"",INDEX(Classes!$B$6:$B$420,$M608))</f>
        <v>Year 2</v>
      </c>
      <c r="E608" s="61" t="str">
        <f aca="false">IF($M608=0,"",INDEX(Classes!$C$6:$C$420,$M608))</f>
        <v>af</v>
      </c>
      <c r="F608" s="63" t="s">
        <v>162</v>
      </c>
      <c r="G608" s="63" t="s">
        <v>1015</v>
      </c>
      <c r="H608" s="60"/>
      <c r="I608" s="60" t="s">
        <v>200</v>
      </c>
      <c r="J608" s="63" t="n">
        <v>3</v>
      </c>
      <c r="K608" s="61" t="str">
        <f aca="false">IF($P608=0,"",IF($F608="Baseline","— Baseline",IF($O608=0,"No result",IF($N608=0,"No Start (attainment only)",IF(OR($N608=1,$O608=1),"U – needs rule",INDEX(MxBody,MATCH($I608,MxCurr,0),MATCH($H608,MxStart,0)))))))</f>
        <v>— Baseline</v>
      </c>
      <c r="L608" s="62" t="str">
        <f aca="false">IF(COUNTA($A608,$F608,$G608,$H608,$I608,$J608)=0,"",IF($M608=0,"✖ كود الصف غير موجود",IF(ISNA(MATCH($F608,Lists!$A$2:$A$5,0)),"✖ الفترة غير صحيحة",IF(ISNA(MATCH($G608,Lists!$B$2:$B$7,0)),"✖ المجموعة غير صحيحة",IF(NOT(OR($H608="",$N608&gt;0)),"✖ Start غير صحيح",IF(NOT(OR($I608="",$I608="NR",$O608&gt;0)),"✖ Current غير صحيح",IF(NOT(IF(ISNUMBER($J608),AND($J608&gt;=0,$J608=INT($J608)),FALSE())),"✖ العدد يجب أن يكون صحيحًا ≥ 0",IF(AND($F608="Baseline",$H608&lt;&gt;""),"⚠ Baseline: Start لا يدخل في التقدم",IF($K608="No Start (attainment only)","ℹ تحصيل فقط (بدون Start)",IF($K608="U – needs rule","ℹ حالة U تحتاج قاعدة معتمدة",IF($K608="No result","ℹ بدون نتيجة (يُستبعد من التحصيل)","OK")))))))))))</f>
        <v>OK</v>
      </c>
      <c r="M608" s="64" t="n">
        <f aca="false">IF($A608="",0,IFERROR(MATCH($A608,Classes!$A$6:$A$420,0),0))</f>
        <v>1</v>
      </c>
      <c r="N608" s="64" t="n">
        <f aca="false">IF($H608="",0,IFERROR(MATCH($H608,GradeList,0),0))</f>
        <v>0</v>
      </c>
      <c r="O608" s="64" t="n">
        <f aca="false">IF(OR($I608="",$I608="NR"),0,IFERROR(MATCH($I608,GradeList,0),0))</f>
        <v>5</v>
      </c>
      <c r="P608" s="64" t="n">
        <f aca="false">IF(AND($M608&gt;0,ISNUMBER(MATCH($F608,Lists!$A$2:$A$5,0)),ISNUMBER(MATCH($G608,Lists!$B$2:$B$7,0)),OR($H608="",$N608&gt;0),OR($I608="",$I608="NR",$O608&gt;0),IF(ISNUMBER($J608),AND($J608&gt;=0,$J608=INT($J608)),FALSE())),$J608,0)</f>
        <v>3</v>
      </c>
      <c r="Q608" s="64" t="n">
        <f aca="false">IF(AND($P608&gt;0,$O608&gt;0),$P608,0)</f>
        <v>3</v>
      </c>
      <c r="R608" s="64" t="n">
        <f aca="false">IF(AND($Q608&gt;0,$O608&gt;=AtRank),$Q608,0)</f>
        <v>3</v>
      </c>
      <c r="S608" s="64" t="n">
        <f aca="false">IF(AND($Q608&gt;0,$O608&gt;=AboveRank),$Q608,0)</f>
        <v>0</v>
      </c>
      <c r="T608" s="64" t="n">
        <f aca="false">IF($K608="Less",$P608,0)</f>
        <v>0</v>
      </c>
      <c r="U608" s="64" t="n">
        <f aca="false">IF($K608="Expected",$P608,0)</f>
        <v>0</v>
      </c>
      <c r="V608" s="64" t="n">
        <f aca="false">IF($K608="Better",$P608,0)</f>
        <v>0</v>
      </c>
      <c r="W608" s="64" t="n">
        <f aca="false">IF($K608="U – needs rule",$P608,0)</f>
        <v>0</v>
      </c>
      <c r="X608" s="64" t="n">
        <f aca="false">IF($K608="No Start (attainment only)",$P608,0)</f>
        <v>0</v>
      </c>
    </row>
    <row r="609" customFormat="false" ht="15" hidden="false" customHeight="false" outlineLevel="0" collapsed="false">
      <c r="A609" s="60" t="s">
        <v>440</v>
      </c>
      <c r="B609" s="61" t="str">
        <f aca="false">IF($M609=0,"",INDEX(Classes!$E$6:$E$420,$M609))</f>
        <v>Arabic A</v>
      </c>
      <c r="C609" s="62" t="str">
        <f aca="false">IF($M609=0,"",INDEX(Classes!$H$6:$H$420,$M609))</f>
        <v>Ms Aya Soliman Eid</v>
      </c>
      <c r="D609" s="61" t="str">
        <f aca="false">IF($M609=0,"",INDEX(Classes!$B$6:$B$420,$M609))</f>
        <v>Year 2</v>
      </c>
      <c r="E609" s="61" t="str">
        <f aca="false">IF($M609=0,"",INDEX(Classes!$C$6:$C$420,$M609))</f>
        <v>af</v>
      </c>
      <c r="F609" s="63" t="s">
        <v>162</v>
      </c>
      <c r="G609" s="63" t="s">
        <v>1015</v>
      </c>
      <c r="H609" s="60"/>
      <c r="I609" s="60" t="s">
        <v>201</v>
      </c>
      <c r="J609" s="63" t="n">
        <v>2</v>
      </c>
      <c r="K609" s="61" t="str">
        <f aca="false">IF($P609=0,"",IF($F609="Baseline","— Baseline",IF($O609=0,"No result",IF($N609=0,"No Start (attainment only)",IF(OR($N609=1,$O609=1),"U – needs rule",INDEX(MxBody,MATCH($I609,MxCurr,0),MATCH($H609,MxStart,0)))))))</f>
        <v>— Baseline</v>
      </c>
      <c r="L609" s="62" t="str">
        <f aca="false">IF(COUNTA($A609,$F609,$G609,$H609,$I609,$J609)=0,"",IF($M609=0,"✖ كود الصف غير موجود",IF(ISNA(MATCH($F609,Lists!$A$2:$A$5,0)),"✖ الفترة غير صحيحة",IF(ISNA(MATCH($G609,Lists!$B$2:$B$7,0)),"✖ المجموعة غير صحيحة",IF(NOT(OR($H609="",$N609&gt;0)),"✖ Start غير صحيح",IF(NOT(OR($I609="",$I609="NR",$O609&gt;0)),"✖ Current غير صحيح",IF(NOT(IF(ISNUMBER($J609),AND($J609&gt;=0,$J609=INT($J609)),FALSE())),"✖ العدد يجب أن يكون صحيحًا ≥ 0",IF(AND($F609="Baseline",$H609&lt;&gt;""),"⚠ Baseline: Start لا يدخل في التقدم",IF($K609="No Start (attainment only)","ℹ تحصيل فقط (بدون Start)",IF($K609="U – needs rule","ℹ حالة U تحتاج قاعدة معتمدة",IF($K609="No result","ℹ بدون نتيجة (يُستبعد من التحصيل)","OK")))))))))))</f>
        <v>OK</v>
      </c>
      <c r="M609" s="64" t="n">
        <f aca="false">IF($A609="",0,IFERROR(MATCH($A609,Classes!$A$6:$A$420,0),0))</f>
        <v>1</v>
      </c>
      <c r="N609" s="64" t="n">
        <f aca="false">IF($H609="",0,IFERROR(MATCH($H609,GradeList,0),0))</f>
        <v>0</v>
      </c>
      <c r="O609" s="64" t="n">
        <f aca="false">IF(OR($I609="",$I609="NR"),0,IFERROR(MATCH($I609,GradeList,0),0))</f>
        <v>6</v>
      </c>
      <c r="P609" s="64" t="n">
        <f aca="false">IF(AND($M609&gt;0,ISNUMBER(MATCH($F609,Lists!$A$2:$A$5,0)),ISNUMBER(MATCH($G609,Lists!$B$2:$B$7,0)),OR($H609="",$N609&gt;0),OR($I609="",$I609="NR",$O609&gt;0),IF(ISNUMBER($J609),AND($J609&gt;=0,$J609=INT($J609)),FALSE())),$J609,0)</f>
        <v>2</v>
      </c>
      <c r="Q609" s="64" t="n">
        <f aca="false">IF(AND($P609&gt;0,$O609&gt;0),$P609,0)</f>
        <v>2</v>
      </c>
      <c r="R609" s="64" t="n">
        <f aca="false">IF(AND($Q609&gt;0,$O609&gt;=AtRank),$Q609,0)</f>
        <v>2</v>
      </c>
      <c r="S609" s="64" t="n">
        <f aca="false">IF(AND($Q609&gt;0,$O609&gt;=AboveRank),$Q609,0)</f>
        <v>0</v>
      </c>
      <c r="T609" s="64" t="n">
        <f aca="false">IF($K609="Less",$P609,0)</f>
        <v>0</v>
      </c>
      <c r="U609" s="64" t="n">
        <f aca="false">IF($K609="Expected",$P609,0)</f>
        <v>0</v>
      </c>
      <c r="V609" s="64" t="n">
        <f aca="false">IF($K609="Better",$P609,0)</f>
        <v>0</v>
      </c>
      <c r="W609" s="64" t="n">
        <f aca="false">IF($K609="U – needs rule",$P609,0)</f>
        <v>0</v>
      </c>
      <c r="X609" s="64" t="n">
        <f aca="false">IF($K609="No Start (attainment only)",$P609,0)</f>
        <v>0</v>
      </c>
    </row>
    <row r="610" customFormat="false" ht="15" hidden="false" customHeight="false" outlineLevel="0" collapsed="false">
      <c r="A610" s="60" t="s">
        <v>440</v>
      </c>
      <c r="B610" s="61" t="str">
        <f aca="false">IF($M610=0,"",INDEX(Classes!$E$6:$E$420,$M610))</f>
        <v>Arabic A</v>
      </c>
      <c r="C610" s="62" t="str">
        <f aca="false">IF($M610=0,"",INDEX(Classes!$H$6:$H$420,$M610))</f>
        <v>Ms Aya Soliman Eid</v>
      </c>
      <c r="D610" s="61" t="str">
        <f aca="false">IF($M610=0,"",INDEX(Classes!$B$6:$B$420,$M610))</f>
        <v>Year 2</v>
      </c>
      <c r="E610" s="61" t="str">
        <f aca="false">IF($M610=0,"",INDEX(Classes!$C$6:$C$420,$M610))</f>
        <v>af</v>
      </c>
      <c r="F610" s="63" t="s">
        <v>162</v>
      </c>
      <c r="G610" s="63" t="s">
        <v>1015</v>
      </c>
      <c r="H610" s="60"/>
      <c r="I610" s="60" t="s">
        <v>204</v>
      </c>
      <c r="J610" s="63" t="n">
        <v>1</v>
      </c>
      <c r="K610" s="61" t="str">
        <f aca="false">IF($P610=0,"",IF($F610="Baseline","— Baseline",IF($O610=0,"No result",IF($N610=0,"No Start (attainment only)",IF(OR($N610=1,$O610=1),"U – needs rule",INDEX(MxBody,MATCH($I610,MxCurr,0),MATCH($H610,MxStart,0)))))))</f>
        <v>— Baseline</v>
      </c>
      <c r="L610" s="62" t="str">
        <f aca="false">IF(COUNTA($A610,$F610,$G610,$H610,$I610,$J610)=0,"",IF($M610=0,"✖ كود الصف غير موجود",IF(ISNA(MATCH($F610,Lists!$A$2:$A$5,0)),"✖ الفترة غير صحيحة",IF(ISNA(MATCH($G610,Lists!$B$2:$B$7,0)),"✖ المجموعة غير صحيحة",IF(NOT(OR($H610="",$N610&gt;0)),"✖ Start غير صحيح",IF(NOT(OR($I610="",$I610="NR",$O610&gt;0)),"✖ Current غير صحيح",IF(NOT(IF(ISNUMBER($J610),AND($J610&gt;=0,$J610=INT($J610)),FALSE())),"✖ العدد يجب أن يكون صحيحًا ≥ 0",IF(AND($F610="Baseline",$H610&lt;&gt;""),"⚠ Baseline: Start لا يدخل في التقدم",IF($K610="No Start (attainment only)","ℹ تحصيل فقط (بدون Start)",IF($K610="U – needs rule","ℹ حالة U تحتاج قاعدة معتمدة",IF($K610="No result","ℹ بدون نتيجة (يُستبعد من التحصيل)","OK")))))))))))</f>
        <v>OK</v>
      </c>
      <c r="M610" s="64" t="n">
        <f aca="false">IF($A610="",0,IFERROR(MATCH($A610,Classes!$A$6:$A$420,0),0))</f>
        <v>1</v>
      </c>
      <c r="N610" s="64" t="n">
        <f aca="false">IF($H610="",0,IFERROR(MATCH($H610,GradeList,0),0))</f>
        <v>0</v>
      </c>
      <c r="O610" s="64" t="n">
        <f aca="false">IF(OR($I610="",$I610="NR"),0,IFERROR(MATCH($I610,GradeList,0),0))</f>
        <v>9</v>
      </c>
      <c r="P610" s="64" t="n">
        <f aca="false">IF(AND($M610&gt;0,ISNUMBER(MATCH($F610,Lists!$A$2:$A$5,0)),ISNUMBER(MATCH($G610,Lists!$B$2:$B$7,0)),OR($H610="",$N610&gt;0),OR($I610="",$I610="NR",$O610&gt;0),IF(ISNUMBER($J610),AND($J610&gt;=0,$J610=INT($J610)),FALSE())),$J610,0)</f>
        <v>1</v>
      </c>
      <c r="Q610" s="64" t="n">
        <f aca="false">IF(AND($P610&gt;0,$O610&gt;0),$P610,0)</f>
        <v>1</v>
      </c>
      <c r="R610" s="64" t="n">
        <f aca="false">IF(AND($Q610&gt;0,$O610&gt;=AtRank),$Q610,0)</f>
        <v>1</v>
      </c>
      <c r="S610" s="64" t="n">
        <f aca="false">IF(AND($Q610&gt;0,$O610&gt;=AboveRank),$Q610,0)</f>
        <v>1</v>
      </c>
      <c r="T610" s="64" t="n">
        <f aca="false">IF($K610="Less",$P610,0)</f>
        <v>0</v>
      </c>
      <c r="U610" s="64" t="n">
        <f aca="false">IF($K610="Expected",$P610,0)</f>
        <v>0</v>
      </c>
      <c r="V610" s="64" t="n">
        <f aca="false">IF($K610="Better",$P610,0)</f>
        <v>0</v>
      </c>
      <c r="W610" s="64" t="n">
        <f aca="false">IF($K610="U – needs rule",$P610,0)</f>
        <v>0</v>
      </c>
      <c r="X610" s="64" t="n">
        <f aca="false">IF($K610="No Start (attainment only)",$P610,0)</f>
        <v>0</v>
      </c>
    </row>
    <row r="611" customFormat="false" ht="15" hidden="false" customHeight="false" outlineLevel="0" collapsed="false">
      <c r="A611" s="60" t="s">
        <v>440</v>
      </c>
      <c r="B611" s="61" t="str">
        <f aca="false">IF($M611=0,"",INDEX(Classes!$E$6:$E$420,$M611))</f>
        <v>Arabic A</v>
      </c>
      <c r="C611" s="62" t="str">
        <f aca="false">IF($M611=0,"",INDEX(Classes!$H$6:$H$420,$M611))</f>
        <v>Ms Aya Soliman Eid</v>
      </c>
      <c r="D611" s="61" t="str">
        <f aca="false">IF($M611=0,"",INDEX(Classes!$B$6:$B$420,$M611))</f>
        <v>Year 2</v>
      </c>
      <c r="E611" s="61" t="str">
        <f aca="false">IF($M611=0,"",INDEX(Classes!$C$6:$C$420,$M611))</f>
        <v>af</v>
      </c>
      <c r="F611" s="63" t="s">
        <v>162</v>
      </c>
      <c r="G611" s="63" t="s">
        <v>1015</v>
      </c>
      <c r="H611" s="60"/>
      <c r="I611" s="60" t="s">
        <v>199</v>
      </c>
      <c r="J611" s="63" t="n">
        <v>2</v>
      </c>
      <c r="K611" s="61" t="str">
        <f aca="false">IF($P611=0,"",IF($F611="Baseline","— Baseline",IF($O611=0,"No result",IF($N611=0,"No Start (attainment only)",IF(OR($N611=1,$O611=1),"U – needs rule",INDEX(MxBody,MATCH($I611,MxCurr,0),MATCH($H611,MxStart,0)))))))</f>
        <v>— Baseline</v>
      </c>
      <c r="L611" s="62" t="str">
        <f aca="false">IF(COUNTA($A611,$F611,$G611,$H611,$I611,$J611)=0,"",IF($M611=0,"✖ كود الصف غير موجود",IF(ISNA(MATCH($F611,Lists!$A$2:$A$5,0)),"✖ الفترة غير صحيحة",IF(ISNA(MATCH($G611,Lists!$B$2:$B$7,0)),"✖ المجموعة غير صحيحة",IF(NOT(OR($H611="",$N611&gt;0)),"✖ Start غير صحيح",IF(NOT(OR($I611="",$I611="NR",$O611&gt;0)),"✖ Current غير صحيح",IF(NOT(IF(ISNUMBER($J611),AND($J611&gt;=0,$J611=INT($J611)),FALSE())),"✖ العدد يجب أن يكون صحيحًا ≥ 0",IF(AND($F611="Baseline",$H611&lt;&gt;""),"⚠ Baseline: Start لا يدخل في التقدم",IF($K611="No Start (attainment only)","ℹ تحصيل فقط (بدون Start)",IF($K611="U – needs rule","ℹ حالة U تحتاج قاعدة معتمدة",IF($K611="No result","ℹ بدون نتيجة (يُستبعد من التحصيل)","OK")))))))))))</f>
        <v>OK</v>
      </c>
      <c r="M611" s="64" t="n">
        <f aca="false">IF($A611="",0,IFERROR(MATCH($A611,Classes!$A$6:$A$420,0),0))</f>
        <v>1</v>
      </c>
      <c r="N611" s="64" t="n">
        <f aca="false">IF($H611="",0,IFERROR(MATCH($H611,GradeList,0),0))</f>
        <v>0</v>
      </c>
      <c r="O611" s="64" t="n">
        <f aca="false">IF(OR($I611="",$I611="NR"),0,IFERROR(MATCH($I611,GradeList,0),0))</f>
        <v>4</v>
      </c>
      <c r="P611" s="64" t="n">
        <f aca="false">IF(AND($M611&gt;0,ISNUMBER(MATCH($F611,Lists!$A$2:$A$5,0)),ISNUMBER(MATCH($G611,Lists!$B$2:$B$7,0)),OR($H611="",$N611&gt;0),OR($I611="",$I611="NR",$O611&gt;0),IF(ISNUMBER($J611),AND($J611&gt;=0,$J611=INT($J611)),FALSE())),$J611,0)</f>
        <v>2</v>
      </c>
      <c r="Q611" s="64" t="n">
        <f aca="false">IF(AND($P611&gt;0,$O611&gt;0),$P611,0)</f>
        <v>2</v>
      </c>
      <c r="R611" s="64" t="n">
        <f aca="false">IF(AND($Q611&gt;0,$O611&gt;=AtRank),$Q611,0)</f>
        <v>0</v>
      </c>
      <c r="S611" s="64" t="n">
        <f aca="false">IF(AND($Q611&gt;0,$O611&gt;=AboveRank),$Q611,0)</f>
        <v>0</v>
      </c>
      <c r="T611" s="64" t="n">
        <f aca="false">IF($K611="Less",$P611,0)</f>
        <v>0</v>
      </c>
      <c r="U611" s="64" t="n">
        <f aca="false">IF($K611="Expected",$P611,0)</f>
        <v>0</v>
      </c>
      <c r="V611" s="64" t="n">
        <f aca="false">IF($K611="Better",$P611,0)</f>
        <v>0</v>
      </c>
      <c r="W611" s="64" t="n">
        <f aca="false">IF($K611="U – needs rule",$P611,0)</f>
        <v>0</v>
      </c>
      <c r="X611" s="64" t="n">
        <f aca="false">IF($K611="No Start (attainment only)",$P611,0)</f>
        <v>0</v>
      </c>
    </row>
    <row r="612" customFormat="false" ht="15" hidden="false" customHeight="false" outlineLevel="0" collapsed="false">
      <c r="A612" s="60" t="s">
        <v>440</v>
      </c>
      <c r="B612" s="61" t="str">
        <f aca="false">IF($M612=0,"",INDEX(Classes!$E$6:$E$420,$M612))</f>
        <v>Arabic A</v>
      </c>
      <c r="C612" s="62" t="str">
        <f aca="false">IF($M612=0,"",INDEX(Classes!$H$6:$H$420,$M612))</f>
        <v>Ms Aya Soliman Eid</v>
      </c>
      <c r="D612" s="61" t="str">
        <f aca="false">IF($M612=0,"",INDEX(Classes!$B$6:$B$420,$M612))</f>
        <v>Year 2</v>
      </c>
      <c r="E612" s="61" t="str">
        <f aca="false">IF($M612=0,"",INDEX(Classes!$C$6:$C$420,$M612))</f>
        <v>af</v>
      </c>
      <c r="F612" s="63" t="s">
        <v>162</v>
      </c>
      <c r="G612" s="63" t="s">
        <v>1016</v>
      </c>
      <c r="H612" s="60"/>
      <c r="I612" s="60" t="s">
        <v>202</v>
      </c>
      <c r="J612" s="63" t="n">
        <v>1</v>
      </c>
      <c r="K612" s="61" t="str">
        <f aca="false">IF($P612=0,"",IF($F612="Baseline","— Baseline",IF($O612=0,"No result",IF($N612=0,"No Start (attainment only)",IF(OR($N612=1,$O612=1),"U – needs rule",INDEX(MxBody,MATCH($I612,MxCurr,0),MATCH($H612,MxStart,0)))))))</f>
        <v>— Baseline</v>
      </c>
      <c r="L612" s="62" t="str">
        <f aca="false">IF(COUNTA($A612,$F612,$G612,$H612,$I612,$J612)=0,"",IF($M612=0,"✖ كود الصف غير موجود",IF(ISNA(MATCH($F612,Lists!$A$2:$A$5,0)),"✖ الفترة غير صحيحة",IF(ISNA(MATCH($G612,Lists!$B$2:$B$7,0)),"✖ المجموعة غير صحيحة",IF(NOT(OR($H612="",$N612&gt;0)),"✖ Start غير صحيح",IF(NOT(OR($I612="",$I612="NR",$O612&gt;0)),"✖ Current غير صحيح",IF(NOT(IF(ISNUMBER($J612),AND($J612&gt;=0,$J612=INT($J612)),FALSE())),"✖ العدد يجب أن يكون صحيحًا ≥ 0",IF(AND($F612="Baseline",$H612&lt;&gt;""),"⚠ Baseline: Start لا يدخل في التقدم",IF($K612="No Start (attainment only)","ℹ تحصيل فقط (بدون Start)",IF($K612="U – needs rule","ℹ حالة U تحتاج قاعدة معتمدة",IF($K612="No result","ℹ بدون نتيجة (يُستبعد من التحصيل)","OK")))))))))))</f>
        <v>OK</v>
      </c>
      <c r="M612" s="64" t="n">
        <f aca="false">IF($A612="",0,IFERROR(MATCH($A612,Classes!$A$6:$A$420,0),0))</f>
        <v>1</v>
      </c>
      <c r="N612" s="64" t="n">
        <f aca="false">IF($H612="",0,IFERROR(MATCH($H612,GradeList,0),0))</f>
        <v>0</v>
      </c>
      <c r="O612" s="64" t="n">
        <f aca="false">IF(OR($I612="",$I612="NR"),0,IFERROR(MATCH($I612,GradeList,0),0))</f>
        <v>7</v>
      </c>
      <c r="P612" s="64" t="n">
        <f aca="false">IF(AND($M612&gt;0,ISNUMBER(MATCH($F612,Lists!$A$2:$A$5,0)),ISNUMBER(MATCH($G612,Lists!$B$2:$B$7,0)),OR($H612="",$N612&gt;0),OR($I612="",$I612="NR",$O612&gt;0),IF(ISNUMBER($J612),AND($J612&gt;=0,$J612=INT($J612)),FALSE())),$J612,0)</f>
        <v>1</v>
      </c>
      <c r="Q612" s="64" t="n">
        <f aca="false">IF(AND($P612&gt;0,$O612&gt;0),$P612,0)</f>
        <v>1</v>
      </c>
      <c r="R612" s="64" t="n">
        <f aca="false">IF(AND($Q612&gt;0,$O612&gt;=AtRank),$Q612,0)</f>
        <v>1</v>
      </c>
      <c r="S612" s="64" t="n">
        <f aca="false">IF(AND($Q612&gt;0,$O612&gt;=AboveRank),$Q612,0)</f>
        <v>1</v>
      </c>
      <c r="T612" s="64" t="n">
        <f aca="false">IF($K612="Less",$P612,0)</f>
        <v>0</v>
      </c>
      <c r="U612" s="64" t="n">
        <f aca="false">IF($K612="Expected",$P612,0)</f>
        <v>0</v>
      </c>
      <c r="V612" s="64" t="n">
        <f aca="false">IF($K612="Better",$P612,0)</f>
        <v>0</v>
      </c>
      <c r="W612" s="64" t="n">
        <f aca="false">IF($K612="U – needs rule",$P612,0)</f>
        <v>0</v>
      </c>
      <c r="X612" s="64" t="n">
        <f aca="false">IF($K612="No Start (attainment only)",$P612,0)</f>
        <v>0</v>
      </c>
    </row>
    <row r="613" customFormat="false" ht="15" hidden="false" customHeight="false" outlineLevel="0" collapsed="false">
      <c r="A613" s="60" t="s">
        <v>440</v>
      </c>
      <c r="B613" s="61" t="str">
        <f aca="false">IF($M613=0,"",INDEX(Classes!$E$6:$E$420,$M613))</f>
        <v>Arabic A</v>
      </c>
      <c r="C613" s="62" t="str">
        <f aca="false">IF($M613=0,"",INDEX(Classes!$H$6:$H$420,$M613))</f>
        <v>Ms Aya Soliman Eid</v>
      </c>
      <c r="D613" s="61" t="str">
        <f aca="false">IF($M613=0,"",INDEX(Classes!$B$6:$B$420,$M613))</f>
        <v>Year 2</v>
      </c>
      <c r="E613" s="61" t="str">
        <f aca="false">IF($M613=0,"",INDEX(Classes!$C$6:$C$420,$M613))</f>
        <v>af</v>
      </c>
      <c r="F613" s="63" t="s">
        <v>162</v>
      </c>
      <c r="G613" s="63" t="s">
        <v>1016</v>
      </c>
      <c r="H613" s="60"/>
      <c r="I613" s="60" t="s">
        <v>203</v>
      </c>
      <c r="J613" s="63" t="n">
        <v>1</v>
      </c>
      <c r="K613" s="61" t="str">
        <f aca="false">IF($P613=0,"",IF($F613="Baseline","— Baseline",IF($O613=0,"No result",IF($N613=0,"No Start (attainment only)",IF(OR($N613=1,$O613=1),"U – needs rule",INDEX(MxBody,MATCH($I613,MxCurr,0),MATCH($H613,MxStart,0)))))))</f>
        <v>— Baseline</v>
      </c>
      <c r="L613" s="62" t="str">
        <f aca="false">IF(COUNTA($A613,$F613,$G613,$H613,$I613,$J613)=0,"",IF($M613=0,"✖ كود الصف غير موجود",IF(ISNA(MATCH($F613,Lists!$A$2:$A$5,0)),"✖ الفترة غير صحيحة",IF(ISNA(MATCH($G613,Lists!$B$2:$B$7,0)),"✖ المجموعة غير صحيحة",IF(NOT(OR($H613="",$N613&gt;0)),"✖ Start غير صحيح",IF(NOT(OR($I613="",$I613="NR",$O613&gt;0)),"✖ Current غير صحيح",IF(NOT(IF(ISNUMBER($J613),AND($J613&gt;=0,$J613=INT($J613)),FALSE())),"✖ العدد يجب أن يكون صحيحًا ≥ 0",IF(AND($F613="Baseline",$H613&lt;&gt;""),"⚠ Baseline: Start لا يدخل في التقدم",IF($K613="No Start (attainment only)","ℹ تحصيل فقط (بدون Start)",IF($K613="U – needs rule","ℹ حالة U تحتاج قاعدة معتمدة",IF($K613="No result","ℹ بدون نتيجة (يُستبعد من التحصيل)","OK")))))))))))</f>
        <v>OK</v>
      </c>
      <c r="M613" s="64" t="n">
        <f aca="false">IF($A613="",0,IFERROR(MATCH($A613,Classes!$A$6:$A$420,0),0))</f>
        <v>1</v>
      </c>
      <c r="N613" s="64" t="n">
        <f aca="false">IF($H613="",0,IFERROR(MATCH($H613,GradeList,0),0))</f>
        <v>0</v>
      </c>
      <c r="O613" s="64" t="n">
        <f aca="false">IF(OR($I613="",$I613="NR"),0,IFERROR(MATCH($I613,GradeList,0),0))</f>
        <v>8</v>
      </c>
      <c r="P613" s="64" t="n">
        <f aca="false">IF(AND($M613&gt;0,ISNUMBER(MATCH($F613,Lists!$A$2:$A$5,0)),ISNUMBER(MATCH($G613,Lists!$B$2:$B$7,0)),OR($H613="",$N613&gt;0),OR($I613="",$I613="NR",$O613&gt;0),IF(ISNUMBER($J613),AND($J613&gt;=0,$J613=INT($J613)),FALSE())),$J613,0)</f>
        <v>1</v>
      </c>
      <c r="Q613" s="64" t="n">
        <f aca="false">IF(AND($P613&gt;0,$O613&gt;0),$P613,0)</f>
        <v>1</v>
      </c>
      <c r="R613" s="64" t="n">
        <f aca="false">IF(AND($Q613&gt;0,$O613&gt;=AtRank),$Q613,0)</f>
        <v>1</v>
      </c>
      <c r="S613" s="64" t="n">
        <f aca="false">IF(AND($Q613&gt;0,$O613&gt;=AboveRank),$Q613,0)</f>
        <v>1</v>
      </c>
      <c r="T613" s="64" t="n">
        <f aca="false">IF($K613="Less",$P613,0)</f>
        <v>0</v>
      </c>
      <c r="U613" s="64" t="n">
        <f aca="false">IF($K613="Expected",$P613,0)</f>
        <v>0</v>
      </c>
      <c r="V613" s="64" t="n">
        <f aca="false">IF($K613="Better",$P613,0)</f>
        <v>0</v>
      </c>
      <c r="W613" s="64" t="n">
        <f aca="false">IF($K613="U – needs rule",$P613,0)</f>
        <v>0</v>
      </c>
      <c r="X613" s="64" t="n">
        <f aca="false">IF($K613="No Start (attainment only)",$P613,0)</f>
        <v>0</v>
      </c>
    </row>
    <row r="614" customFormat="false" ht="15" hidden="false" customHeight="false" outlineLevel="0" collapsed="false">
      <c r="A614" s="60" t="s">
        <v>440</v>
      </c>
      <c r="B614" s="61" t="str">
        <f aca="false">IF($M614=0,"",INDEX(Classes!$E$6:$E$420,$M614))</f>
        <v>Arabic A</v>
      </c>
      <c r="C614" s="62" t="str">
        <f aca="false">IF($M614=0,"",INDEX(Classes!$H$6:$H$420,$M614))</f>
        <v>Ms Aya Soliman Eid</v>
      </c>
      <c r="D614" s="61" t="str">
        <f aca="false">IF($M614=0,"",INDEX(Classes!$B$6:$B$420,$M614))</f>
        <v>Year 2</v>
      </c>
      <c r="E614" s="61" t="str">
        <f aca="false">IF($M614=0,"",INDEX(Classes!$C$6:$C$420,$M614))</f>
        <v>af</v>
      </c>
      <c r="F614" s="63" t="s">
        <v>162</v>
      </c>
      <c r="G614" s="63" t="s">
        <v>1016</v>
      </c>
      <c r="H614" s="60"/>
      <c r="I614" s="60" t="s">
        <v>201</v>
      </c>
      <c r="J614" s="63" t="n">
        <v>2</v>
      </c>
      <c r="K614" s="61" t="str">
        <f aca="false">IF($P614=0,"",IF($F614="Baseline","— Baseline",IF($O614=0,"No result",IF($N614=0,"No Start (attainment only)",IF(OR($N614=1,$O614=1),"U – needs rule",INDEX(MxBody,MATCH($I614,MxCurr,0),MATCH($H614,MxStart,0)))))))</f>
        <v>— Baseline</v>
      </c>
      <c r="L614" s="62" t="str">
        <f aca="false">IF(COUNTA($A614,$F614,$G614,$H614,$I614,$J614)=0,"",IF($M614=0,"✖ كود الصف غير موجود",IF(ISNA(MATCH($F614,Lists!$A$2:$A$5,0)),"✖ الفترة غير صحيحة",IF(ISNA(MATCH($G614,Lists!$B$2:$B$7,0)),"✖ المجموعة غير صحيحة",IF(NOT(OR($H614="",$N614&gt;0)),"✖ Start غير صحيح",IF(NOT(OR($I614="",$I614="NR",$O614&gt;0)),"✖ Current غير صحيح",IF(NOT(IF(ISNUMBER($J614),AND($J614&gt;=0,$J614=INT($J614)),FALSE())),"✖ العدد يجب أن يكون صحيحًا ≥ 0",IF(AND($F614="Baseline",$H614&lt;&gt;""),"⚠ Baseline: Start لا يدخل في التقدم",IF($K614="No Start (attainment only)","ℹ تحصيل فقط (بدون Start)",IF($K614="U – needs rule","ℹ حالة U تحتاج قاعدة معتمدة",IF($K614="No result","ℹ بدون نتيجة (يُستبعد من التحصيل)","OK")))))))))))</f>
        <v>OK</v>
      </c>
      <c r="M614" s="64" t="n">
        <f aca="false">IF($A614="",0,IFERROR(MATCH($A614,Classes!$A$6:$A$420,0),0))</f>
        <v>1</v>
      </c>
      <c r="N614" s="64" t="n">
        <f aca="false">IF($H614="",0,IFERROR(MATCH($H614,GradeList,0),0))</f>
        <v>0</v>
      </c>
      <c r="O614" s="64" t="n">
        <f aca="false">IF(OR($I614="",$I614="NR"),0,IFERROR(MATCH($I614,GradeList,0),0))</f>
        <v>6</v>
      </c>
      <c r="P614" s="64" t="n">
        <f aca="false">IF(AND($M614&gt;0,ISNUMBER(MATCH($F614,Lists!$A$2:$A$5,0)),ISNUMBER(MATCH($G614,Lists!$B$2:$B$7,0)),OR($H614="",$N614&gt;0),OR($I614="",$I614="NR",$O614&gt;0),IF(ISNUMBER($J614),AND($J614&gt;=0,$J614=INT($J614)),FALSE())),$J614,0)</f>
        <v>2</v>
      </c>
      <c r="Q614" s="64" t="n">
        <f aca="false">IF(AND($P614&gt;0,$O614&gt;0),$P614,0)</f>
        <v>2</v>
      </c>
      <c r="R614" s="64" t="n">
        <f aca="false">IF(AND($Q614&gt;0,$O614&gt;=AtRank),$Q614,0)</f>
        <v>2</v>
      </c>
      <c r="S614" s="64" t="n">
        <f aca="false">IF(AND($Q614&gt;0,$O614&gt;=AboveRank),$Q614,0)</f>
        <v>0</v>
      </c>
      <c r="T614" s="64" t="n">
        <f aca="false">IF($K614="Less",$P614,0)</f>
        <v>0</v>
      </c>
      <c r="U614" s="64" t="n">
        <f aca="false">IF($K614="Expected",$P614,0)</f>
        <v>0</v>
      </c>
      <c r="V614" s="64" t="n">
        <f aca="false">IF($K614="Better",$P614,0)</f>
        <v>0</v>
      </c>
      <c r="W614" s="64" t="n">
        <f aca="false">IF($K614="U – needs rule",$P614,0)</f>
        <v>0</v>
      </c>
      <c r="X614" s="64" t="n">
        <f aca="false">IF($K614="No Start (attainment only)",$P614,0)</f>
        <v>0</v>
      </c>
    </row>
    <row r="615" customFormat="false" ht="15" hidden="false" customHeight="false" outlineLevel="0" collapsed="false">
      <c r="A615" s="60" t="s">
        <v>440</v>
      </c>
      <c r="B615" s="61" t="str">
        <f aca="false">IF($M615=0,"",INDEX(Classes!$E$6:$E$420,$M615))</f>
        <v>Arabic A</v>
      </c>
      <c r="C615" s="62" t="str">
        <f aca="false">IF($M615=0,"",INDEX(Classes!$H$6:$H$420,$M615))</f>
        <v>Ms Aya Soliman Eid</v>
      </c>
      <c r="D615" s="61" t="str">
        <f aca="false">IF($M615=0,"",INDEX(Classes!$B$6:$B$420,$M615))</f>
        <v>Year 2</v>
      </c>
      <c r="E615" s="61" t="str">
        <f aca="false">IF($M615=0,"",INDEX(Classes!$C$6:$C$420,$M615))</f>
        <v>af</v>
      </c>
      <c r="F615" s="63" t="s">
        <v>162</v>
      </c>
      <c r="G615" s="63" t="s">
        <v>1016</v>
      </c>
      <c r="H615" s="60"/>
      <c r="I615" s="60" t="s">
        <v>199</v>
      </c>
      <c r="J615" s="63" t="n">
        <v>4</v>
      </c>
      <c r="K615" s="61" t="str">
        <f aca="false">IF($P615=0,"",IF($F615="Baseline","— Baseline",IF($O615=0,"No result",IF($N615=0,"No Start (attainment only)",IF(OR($N615=1,$O615=1),"U – needs rule",INDEX(MxBody,MATCH($I615,MxCurr,0),MATCH($H615,MxStart,0)))))))</f>
        <v>— Baseline</v>
      </c>
      <c r="L615" s="62" t="str">
        <f aca="false">IF(COUNTA($A615,$F615,$G615,$H615,$I615,$J615)=0,"",IF($M615=0,"✖ كود الصف غير موجود",IF(ISNA(MATCH($F615,Lists!$A$2:$A$5,0)),"✖ الفترة غير صحيحة",IF(ISNA(MATCH($G615,Lists!$B$2:$B$7,0)),"✖ المجموعة غير صحيحة",IF(NOT(OR($H615="",$N615&gt;0)),"✖ Start غير صحيح",IF(NOT(OR($I615="",$I615="NR",$O615&gt;0)),"✖ Current غير صحيح",IF(NOT(IF(ISNUMBER($J615),AND($J615&gt;=0,$J615=INT($J615)),FALSE())),"✖ العدد يجب أن يكون صحيحًا ≥ 0",IF(AND($F615="Baseline",$H615&lt;&gt;""),"⚠ Baseline: Start لا يدخل في التقدم",IF($K615="No Start (attainment only)","ℹ تحصيل فقط (بدون Start)",IF($K615="U – needs rule","ℹ حالة U تحتاج قاعدة معتمدة",IF($K615="No result","ℹ بدون نتيجة (يُستبعد من التحصيل)","OK")))))))))))</f>
        <v>OK</v>
      </c>
      <c r="M615" s="64" t="n">
        <f aca="false">IF($A615="",0,IFERROR(MATCH($A615,Classes!$A$6:$A$420,0),0))</f>
        <v>1</v>
      </c>
      <c r="N615" s="64" t="n">
        <f aca="false">IF($H615="",0,IFERROR(MATCH($H615,GradeList,0),0))</f>
        <v>0</v>
      </c>
      <c r="O615" s="64" t="n">
        <f aca="false">IF(OR($I615="",$I615="NR"),0,IFERROR(MATCH($I615,GradeList,0),0))</f>
        <v>4</v>
      </c>
      <c r="P615" s="64" t="n">
        <f aca="false">IF(AND($M615&gt;0,ISNUMBER(MATCH($F615,Lists!$A$2:$A$5,0)),ISNUMBER(MATCH($G615,Lists!$B$2:$B$7,0)),OR($H615="",$N615&gt;0),OR($I615="",$I615="NR",$O615&gt;0),IF(ISNUMBER($J615),AND($J615&gt;=0,$J615=INT($J615)),FALSE())),$J615,0)</f>
        <v>4</v>
      </c>
      <c r="Q615" s="64" t="n">
        <f aca="false">IF(AND($P615&gt;0,$O615&gt;0),$P615,0)</f>
        <v>4</v>
      </c>
      <c r="R615" s="64" t="n">
        <f aca="false">IF(AND($Q615&gt;0,$O615&gt;=AtRank),$Q615,0)</f>
        <v>0</v>
      </c>
      <c r="S615" s="64" t="n">
        <f aca="false">IF(AND($Q615&gt;0,$O615&gt;=AboveRank),$Q615,0)</f>
        <v>0</v>
      </c>
      <c r="T615" s="64" t="n">
        <f aca="false">IF($K615="Less",$P615,0)</f>
        <v>0</v>
      </c>
      <c r="U615" s="64" t="n">
        <f aca="false">IF($K615="Expected",$P615,0)</f>
        <v>0</v>
      </c>
      <c r="V615" s="64" t="n">
        <f aca="false">IF($K615="Better",$P615,0)</f>
        <v>0</v>
      </c>
      <c r="W615" s="64" t="n">
        <f aca="false">IF($K615="U – needs rule",$P615,0)</f>
        <v>0</v>
      </c>
      <c r="X615" s="64" t="n">
        <f aca="false">IF($K615="No Start (attainment only)",$P615,0)</f>
        <v>0</v>
      </c>
    </row>
    <row r="616" customFormat="false" ht="15" hidden="false" customHeight="false" outlineLevel="0" collapsed="false">
      <c r="A616" s="60" t="s">
        <v>440</v>
      </c>
      <c r="B616" s="61" t="str">
        <f aca="false">IF($M616=0,"",INDEX(Classes!$E$6:$E$420,$M616))</f>
        <v>Arabic A</v>
      </c>
      <c r="C616" s="62" t="str">
        <f aca="false">IF($M616=0,"",INDEX(Classes!$H$6:$H$420,$M616))</f>
        <v>Ms Aya Soliman Eid</v>
      </c>
      <c r="D616" s="61" t="str">
        <f aca="false">IF($M616=0,"",INDEX(Classes!$B$6:$B$420,$M616))</f>
        <v>Year 2</v>
      </c>
      <c r="E616" s="61" t="str">
        <f aca="false">IF($M616=0,"",INDEX(Classes!$C$6:$C$420,$M616))</f>
        <v>af</v>
      </c>
      <c r="F616" s="63" t="s">
        <v>162</v>
      </c>
      <c r="G616" s="63" t="s">
        <v>941</v>
      </c>
      <c r="H616" s="60"/>
      <c r="I616" s="60" t="s">
        <v>202</v>
      </c>
      <c r="J616" s="63" t="n">
        <v>2</v>
      </c>
      <c r="K616" s="61" t="str">
        <f aca="false">IF($P616=0,"",IF($F616="Baseline","— Baseline",IF($O616=0,"No result",IF($N616=0,"No Start (attainment only)",IF(OR($N616=1,$O616=1),"U – needs rule",INDEX(MxBody,MATCH($I616,MxCurr,0),MATCH($H616,MxStart,0)))))))</f>
        <v>— Baseline</v>
      </c>
      <c r="L616" s="62" t="str">
        <f aca="false">IF(COUNTA($A616,$F616,$G616,$H616,$I616,$J616)=0,"",IF($M616=0,"✖ كود الصف غير موجود",IF(ISNA(MATCH($F616,Lists!$A$2:$A$5,0)),"✖ الفترة غير صحيحة",IF(ISNA(MATCH($G616,Lists!$B$2:$B$7,0)),"✖ المجموعة غير صحيحة",IF(NOT(OR($H616="",$N616&gt;0)),"✖ Start غير صحيح",IF(NOT(OR($I616="",$I616="NR",$O616&gt;0)),"✖ Current غير صحيح",IF(NOT(IF(ISNUMBER($J616),AND($J616&gt;=0,$J616=INT($J616)),FALSE())),"✖ العدد يجب أن يكون صحيحًا ≥ 0",IF(AND($F616="Baseline",$H616&lt;&gt;""),"⚠ Baseline: Start لا يدخل في التقدم",IF($K616="No Start (attainment only)","ℹ تحصيل فقط (بدون Start)",IF($K616="U – needs rule","ℹ حالة U تحتاج قاعدة معتمدة",IF($K616="No result","ℹ بدون نتيجة (يُستبعد من التحصيل)","OK")))))))))))</f>
        <v>OK</v>
      </c>
      <c r="M616" s="64" t="n">
        <f aca="false">IF($A616="",0,IFERROR(MATCH($A616,Classes!$A$6:$A$420,0),0))</f>
        <v>1</v>
      </c>
      <c r="N616" s="64" t="n">
        <f aca="false">IF($H616="",0,IFERROR(MATCH($H616,GradeList,0),0))</f>
        <v>0</v>
      </c>
      <c r="O616" s="64" t="n">
        <f aca="false">IF(OR($I616="",$I616="NR"),0,IFERROR(MATCH($I616,GradeList,0),0))</f>
        <v>7</v>
      </c>
      <c r="P616" s="64" t="n">
        <f aca="false">IF(AND($M616&gt;0,ISNUMBER(MATCH($F616,Lists!$A$2:$A$5,0)),ISNUMBER(MATCH($G616,Lists!$B$2:$B$7,0)),OR($H616="",$N616&gt;0),OR($I616="",$I616="NR",$O616&gt;0),IF(ISNUMBER($J616),AND($J616&gt;=0,$J616=INT($J616)),FALSE())),$J616,0)</f>
        <v>2</v>
      </c>
      <c r="Q616" s="64" t="n">
        <f aca="false">IF(AND($P616&gt;0,$O616&gt;0),$P616,0)</f>
        <v>2</v>
      </c>
      <c r="R616" s="64" t="n">
        <f aca="false">IF(AND($Q616&gt;0,$O616&gt;=AtRank),$Q616,0)</f>
        <v>2</v>
      </c>
      <c r="S616" s="64" t="n">
        <f aca="false">IF(AND($Q616&gt;0,$O616&gt;=AboveRank),$Q616,0)</f>
        <v>2</v>
      </c>
      <c r="T616" s="64" t="n">
        <f aca="false">IF($K616="Less",$P616,0)</f>
        <v>0</v>
      </c>
      <c r="U616" s="64" t="n">
        <f aca="false">IF($K616="Expected",$P616,0)</f>
        <v>0</v>
      </c>
      <c r="V616" s="64" t="n">
        <f aca="false">IF($K616="Better",$P616,0)</f>
        <v>0</v>
      </c>
      <c r="W616" s="64" t="n">
        <f aca="false">IF($K616="U – needs rule",$P616,0)</f>
        <v>0</v>
      </c>
      <c r="X616" s="64" t="n">
        <f aca="false">IF($K616="No Start (attainment only)",$P616,0)</f>
        <v>0</v>
      </c>
    </row>
    <row r="617" customFormat="false" ht="15" hidden="false" customHeight="false" outlineLevel="0" collapsed="false">
      <c r="A617" s="60" t="s">
        <v>440</v>
      </c>
      <c r="B617" s="61" t="str">
        <f aca="false">IF($M617=0,"",INDEX(Classes!$E$6:$E$420,$M617))</f>
        <v>Arabic A</v>
      </c>
      <c r="C617" s="62" t="str">
        <f aca="false">IF($M617=0,"",INDEX(Classes!$H$6:$H$420,$M617))</f>
        <v>Ms Aya Soliman Eid</v>
      </c>
      <c r="D617" s="61" t="str">
        <f aca="false">IF($M617=0,"",INDEX(Classes!$B$6:$B$420,$M617))</f>
        <v>Year 2</v>
      </c>
      <c r="E617" s="61" t="str">
        <f aca="false">IF($M617=0,"",INDEX(Classes!$C$6:$C$420,$M617))</f>
        <v>af</v>
      </c>
      <c r="F617" s="63" t="s">
        <v>162</v>
      </c>
      <c r="G617" s="63" t="s">
        <v>1017</v>
      </c>
      <c r="H617" s="60"/>
      <c r="I617" s="60" t="s">
        <v>202</v>
      </c>
      <c r="J617" s="63" t="n">
        <v>1</v>
      </c>
      <c r="K617" s="61" t="str">
        <f aca="false">IF($P617=0,"",IF($F617="Baseline","— Baseline",IF($O617=0,"No result",IF($N617=0,"No Start (attainment only)",IF(OR($N617=1,$O617=1),"U – needs rule",INDEX(MxBody,MATCH($I617,MxCurr,0),MATCH($H617,MxStart,0)))))))</f>
        <v>— Baseline</v>
      </c>
      <c r="L617" s="62" t="str">
        <f aca="false">IF(COUNTA($A617,$F617,$G617,$H617,$I617,$J617)=0,"",IF($M617=0,"✖ كود الصف غير موجود",IF(ISNA(MATCH($F617,Lists!$A$2:$A$5,0)),"✖ الفترة غير صحيحة",IF(ISNA(MATCH($G617,Lists!$B$2:$B$7,0)),"✖ المجموعة غير صحيحة",IF(NOT(OR($H617="",$N617&gt;0)),"✖ Start غير صحيح",IF(NOT(OR($I617="",$I617="NR",$O617&gt;0)),"✖ Current غير صحيح",IF(NOT(IF(ISNUMBER($J617),AND($J617&gt;=0,$J617=INT($J617)),FALSE())),"✖ العدد يجب أن يكون صحيحًا ≥ 0",IF(AND($F617="Baseline",$H617&lt;&gt;""),"⚠ Baseline: Start لا يدخل في التقدم",IF($K617="No Start (attainment only)","ℹ تحصيل فقط (بدون Start)",IF($K617="U – needs rule","ℹ حالة U تحتاج قاعدة معتمدة",IF($K617="No result","ℹ بدون نتيجة (يُستبعد من التحصيل)","OK")))))))))))</f>
        <v>OK</v>
      </c>
      <c r="M617" s="64" t="n">
        <f aca="false">IF($A617="",0,IFERROR(MATCH($A617,Classes!$A$6:$A$420,0),0))</f>
        <v>1</v>
      </c>
      <c r="N617" s="64" t="n">
        <f aca="false">IF($H617="",0,IFERROR(MATCH($H617,GradeList,0),0))</f>
        <v>0</v>
      </c>
      <c r="O617" s="64" t="n">
        <f aca="false">IF(OR($I617="",$I617="NR"),0,IFERROR(MATCH($I617,GradeList,0),0))</f>
        <v>7</v>
      </c>
      <c r="P617" s="64" t="n">
        <f aca="false">IF(AND($M617&gt;0,ISNUMBER(MATCH($F617,Lists!$A$2:$A$5,0)),ISNUMBER(MATCH($G617,Lists!$B$2:$B$7,0)),OR($H617="",$N617&gt;0),OR($I617="",$I617="NR",$O617&gt;0),IF(ISNUMBER($J617),AND($J617&gt;=0,$J617=INT($J617)),FALSE())),$J617,0)</f>
        <v>1</v>
      </c>
      <c r="Q617" s="64" t="n">
        <f aca="false">IF(AND($P617&gt;0,$O617&gt;0),$P617,0)</f>
        <v>1</v>
      </c>
      <c r="R617" s="64" t="n">
        <f aca="false">IF(AND($Q617&gt;0,$O617&gt;=AtRank),$Q617,0)</f>
        <v>1</v>
      </c>
      <c r="S617" s="64" t="n">
        <f aca="false">IF(AND($Q617&gt;0,$O617&gt;=AboveRank),$Q617,0)</f>
        <v>1</v>
      </c>
      <c r="T617" s="64" t="n">
        <f aca="false">IF($K617="Less",$P617,0)</f>
        <v>0</v>
      </c>
      <c r="U617" s="64" t="n">
        <f aca="false">IF($K617="Expected",$P617,0)</f>
        <v>0</v>
      </c>
      <c r="V617" s="64" t="n">
        <f aca="false">IF($K617="Better",$P617,0)</f>
        <v>0</v>
      </c>
      <c r="W617" s="64" t="n">
        <f aca="false">IF($K617="U – needs rule",$P617,0)</f>
        <v>0</v>
      </c>
      <c r="X617" s="64" t="n">
        <f aca="false">IF($K617="No Start (attainment only)",$P617,0)</f>
        <v>0</v>
      </c>
    </row>
    <row r="618" customFormat="false" ht="15" hidden="false" customHeight="false" outlineLevel="0" collapsed="false">
      <c r="A618" s="60" t="s">
        <v>440</v>
      </c>
      <c r="B618" s="61" t="str">
        <f aca="false">IF($M618=0,"",INDEX(Classes!$E$6:$E$420,$M618))</f>
        <v>Arabic A</v>
      </c>
      <c r="C618" s="62" t="str">
        <f aca="false">IF($M618=0,"",INDEX(Classes!$H$6:$H$420,$M618))</f>
        <v>Ms Aya Soliman Eid</v>
      </c>
      <c r="D618" s="61" t="str">
        <f aca="false">IF($M618=0,"",INDEX(Classes!$B$6:$B$420,$M618))</f>
        <v>Year 2</v>
      </c>
      <c r="E618" s="61" t="str">
        <f aca="false">IF($M618=0,"",INDEX(Classes!$C$6:$C$420,$M618))</f>
        <v>af</v>
      </c>
      <c r="F618" s="63" t="s">
        <v>162</v>
      </c>
      <c r="G618" s="63" t="s">
        <v>1017</v>
      </c>
      <c r="H618" s="60"/>
      <c r="I618" s="60" t="s">
        <v>203</v>
      </c>
      <c r="J618" s="63" t="n">
        <v>2</v>
      </c>
      <c r="K618" s="61" t="str">
        <f aca="false">IF($P618=0,"",IF($F618="Baseline","— Baseline",IF($O618=0,"No result",IF($N618=0,"No Start (attainment only)",IF(OR($N618=1,$O618=1),"U – needs rule",INDEX(MxBody,MATCH($I618,MxCurr,0),MATCH($H618,MxStart,0)))))))</f>
        <v>— Baseline</v>
      </c>
      <c r="L618" s="62" t="str">
        <f aca="false">IF(COUNTA($A618,$F618,$G618,$H618,$I618,$J618)=0,"",IF($M618=0,"✖ كود الصف غير موجود",IF(ISNA(MATCH($F618,Lists!$A$2:$A$5,0)),"✖ الفترة غير صحيحة",IF(ISNA(MATCH($G618,Lists!$B$2:$B$7,0)),"✖ المجموعة غير صحيحة",IF(NOT(OR($H618="",$N618&gt;0)),"✖ Start غير صحيح",IF(NOT(OR($I618="",$I618="NR",$O618&gt;0)),"✖ Current غير صحيح",IF(NOT(IF(ISNUMBER($J618),AND($J618&gt;=0,$J618=INT($J618)),FALSE())),"✖ العدد يجب أن يكون صحيحًا ≥ 0",IF(AND($F618="Baseline",$H618&lt;&gt;""),"⚠ Baseline: Start لا يدخل في التقدم",IF($K618="No Start (attainment only)","ℹ تحصيل فقط (بدون Start)",IF($K618="U – needs rule","ℹ حالة U تحتاج قاعدة معتمدة",IF($K618="No result","ℹ بدون نتيجة (يُستبعد من التحصيل)","OK")))))))))))</f>
        <v>OK</v>
      </c>
      <c r="M618" s="64" t="n">
        <f aca="false">IF($A618="",0,IFERROR(MATCH($A618,Classes!$A$6:$A$420,0),0))</f>
        <v>1</v>
      </c>
      <c r="N618" s="64" t="n">
        <f aca="false">IF($H618="",0,IFERROR(MATCH($H618,GradeList,0),0))</f>
        <v>0</v>
      </c>
      <c r="O618" s="64" t="n">
        <f aca="false">IF(OR($I618="",$I618="NR"),0,IFERROR(MATCH($I618,GradeList,0),0))</f>
        <v>8</v>
      </c>
      <c r="P618" s="64" t="n">
        <f aca="false">IF(AND($M618&gt;0,ISNUMBER(MATCH($F618,Lists!$A$2:$A$5,0)),ISNUMBER(MATCH($G618,Lists!$B$2:$B$7,0)),OR($H618="",$N618&gt;0),OR($I618="",$I618="NR",$O618&gt;0),IF(ISNUMBER($J618),AND($J618&gt;=0,$J618=INT($J618)),FALSE())),$J618,0)</f>
        <v>2</v>
      </c>
      <c r="Q618" s="64" t="n">
        <f aca="false">IF(AND($P618&gt;0,$O618&gt;0),$P618,0)</f>
        <v>2</v>
      </c>
      <c r="R618" s="64" t="n">
        <f aca="false">IF(AND($Q618&gt;0,$O618&gt;=AtRank),$Q618,0)</f>
        <v>2</v>
      </c>
      <c r="S618" s="64" t="n">
        <f aca="false">IF(AND($Q618&gt;0,$O618&gt;=AboveRank),$Q618,0)</f>
        <v>2</v>
      </c>
      <c r="T618" s="64" t="n">
        <f aca="false">IF($K618="Less",$P618,0)</f>
        <v>0</v>
      </c>
      <c r="U618" s="64" t="n">
        <f aca="false">IF($K618="Expected",$P618,0)</f>
        <v>0</v>
      </c>
      <c r="V618" s="64" t="n">
        <f aca="false">IF($K618="Better",$P618,0)</f>
        <v>0</v>
      </c>
      <c r="W618" s="64" t="n">
        <f aca="false">IF($K618="U – needs rule",$P618,0)</f>
        <v>0</v>
      </c>
      <c r="X618" s="64" t="n">
        <f aca="false">IF($K618="No Start (attainment only)",$P618,0)</f>
        <v>0</v>
      </c>
    </row>
    <row r="619" customFormat="false" ht="15" hidden="false" customHeight="false" outlineLevel="0" collapsed="false">
      <c r="A619" s="60" t="s">
        <v>440</v>
      </c>
      <c r="B619" s="61" t="str">
        <f aca="false">IF($M619=0,"",INDEX(Classes!$E$6:$E$420,$M619))</f>
        <v>Arabic A</v>
      </c>
      <c r="C619" s="62" t="str">
        <f aca="false">IF($M619=0,"",INDEX(Classes!$H$6:$H$420,$M619))</f>
        <v>Ms Aya Soliman Eid</v>
      </c>
      <c r="D619" s="61" t="str">
        <f aca="false">IF($M619=0,"",INDEX(Classes!$B$6:$B$420,$M619))</f>
        <v>Year 2</v>
      </c>
      <c r="E619" s="61" t="str">
        <f aca="false">IF($M619=0,"",INDEX(Classes!$C$6:$C$420,$M619))</f>
        <v>af</v>
      </c>
      <c r="F619" s="63" t="s">
        <v>162</v>
      </c>
      <c r="G619" s="63" t="s">
        <v>1017</v>
      </c>
      <c r="H619" s="60"/>
      <c r="I619" s="60" t="s">
        <v>200</v>
      </c>
      <c r="J619" s="63" t="n">
        <v>1</v>
      </c>
      <c r="K619" s="61" t="str">
        <f aca="false">IF($P619=0,"",IF($F619="Baseline","— Baseline",IF($O619=0,"No result",IF($N619=0,"No Start (attainment only)",IF(OR($N619=1,$O619=1),"U – needs rule",INDEX(MxBody,MATCH($I619,MxCurr,0),MATCH($H619,MxStart,0)))))))</f>
        <v>— Baseline</v>
      </c>
      <c r="L619" s="62" t="str">
        <f aca="false">IF(COUNTA($A619,$F619,$G619,$H619,$I619,$J619)=0,"",IF($M619=0,"✖ كود الصف غير موجود",IF(ISNA(MATCH($F619,Lists!$A$2:$A$5,0)),"✖ الفترة غير صحيحة",IF(ISNA(MATCH($G619,Lists!$B$2:$B$7,0)),"✖ المجموعة غير صحيحة",IF(NOT(OR($H619="",$N619&gt;0)),"✖ Start غير صحيح",IF(NOT(OR($I619="",$I619="NR",$O619&gt;0)),"✖ Current غير صحيح",IF(NOT(IF(ISNUMBER($J619),AND($J619&gt;=0,$J619=INT($J619)),FALSE())),"✖ العدد يجب أن يكون صحيحًا ≥ 0",IF(AND($F619="Baseline",$H619&lt;&gt;""),"⚠ Baseline: Start لا يدخل في التقدم",IF($K619="No Start (attainment only)","ℹ تحصيل فقط (بدون Start)",IF($K619="U – needs rule","ℹ حالة U تحتاج قاعدة معتمدة",IF($K619="No result","ℹ بدون نتيجة (يُستبعد من التحصيل)","OK")))))))))))</f>
        <v>OK</v>
      </c>
      <c r="M619" s="64" t="n">
        <f aca="false">IF($A619="",0,IFERROR(MATCH($A619,Classes!$A$6:$A$420,0),0))</f>
        <v>1</v>
      </c>
      <c r="N619" s="64" t="n">
        <f aca="false">IF($H619="",0,IFERROR(MATCH($H619,GradeList,0),0))</f>
        <v>0</v>
      </c>
      <c r="O619" s="64" t="n">
        <f aca="false">IF(OR($I619="",$I619="NR"),0,IFERROR(MATCH($I619,GradeList,0),0))</f>
        <v>5</v>
      </c>
      <c r="P619" s="64" t="n">
        <f aca="false">IF(AND($M619&gt;0,ISNUMBER(MATCH($F619,Lists!$A$2:$A$5,0)),ISNUMBER(MATCH($G619,Lists!$B$2:$B$7,0)),OR($H619="",$N619&gt;0),OR($I619="",$I619="NR",$O619&gt;0),IF(ISNUMBER($J619),AND($J619&gt;=0,$J619=INT($J619)),FALSE())),$J619,0)</f>
        <v>1</v>
      </c>
      <c r="Q619" s="64" t="n">
        <f aca="false">IF(AND($P619&gt;0,$O619&gt;0),$P619,0)</f>
        <v>1</v>
      </c>
      <c r="R619" s="64" t="n">
        <f aca="false">IF(AND($Q619&gt;0,$O619&gt;=AtRank),$Q619,0)</f>
        <v>1</v>
      </c>
      <c r="S619" s="64" t="n">
        <f aca="false">IF(AND($Q619&gt;0,$O619&gt;=AboveRank),$Q619,0)</f>
        <v>0</v>
      </c>
      <c r="T619" s="64" t="n">
        <f aca="false">IF($K619="Less",$P619,0)</f>
        <v>0</v>
      </c>
      <c r="U619" s="64" t="n">
        <f aca="false">IF($K619="Expected",$P619,0)</f>
        <v>0</v>
      </c>
      <c r="V619" s="64" t="n">
        <f aca="false">IF($K619="Better",$P619,0)</f>
        <v>0</v>
      </c>
      <c r="W619" s="64" t="n">
        <f aca="false">IF($K619="U – needs rule",$P619,0)</f>
        <v>0</v>
      </c>
      <c r="X619" s="64" t="n">
        <f aca="false">IF($K619="No Start (attainment only)",$P619,0)</f>
        <v>0</v>
      </c>
    </row>
    <row r="620" customFormat="false" ht="15" hidden="false" customHeight="false" outlineLevel="0" collapsed="false">
      <c r="A620" s="60" t="s">
        <v>440</v>
      </c>
      <c r="B620" s="61" t="str">
        <f aca="false">IF($M620=0,"",INDEX(Classes!$E$6:$E$420,$M620))</f>
        <v>Arabic A</v>
      </c>
      <c r="C620" s="62" t="str">
        <f aca="false">IF($M620=0,"",INDEX(Classes!$H$6:$H$420,$M620))</f>
        <v>Ms Aya Soliman Eid</v>
      </c>
      <c r="D620" s="61" t="str">
        <f aca="false">IF($M620=0,"",INDEX(Classes!$B$6:$B$420,$M620))</f>
        <v>Year 2</v>
      </c>
      <c r="E620" s="61" t="str">
        <f aca="false">IF($M620=0,"",INDEX(Classes!$C$6:$C$420,$M620))</f>
        <v>af</v>
      </c>
      <c r="F620" s="63" t="s">
        <v>162</v>
      </c>
      <c r="G620" s="63" t="s">
        <v>1017</v>
      </c>
      <c r="H620" s="60"/>
      <c r="I620" s="60" t="s">
        <v>201</v>
      </c>
      <c r="J620" s="63" t="n">
        <v>2</v>
      </c>
      <c r="K620" s="61" t="str">
        <f aca="false">IF($P620=0,"",IF($F620="Baseline","— Baseline",IF($O620=0,"No result",IF($N620=0,"No Start (attainment only)",IF(OR($N620=1,$O620=1),"U – needs rule",INDEX(MxBody,MATCH($I620,MxCurr,0),MATCH($H620,MxStart,0)))))))</f>
        <v>— Baseline</v>
      </c>
      <c r="L620" s="62" t="str">
        <f aca="false">IF(COUNTA($A620,$F620,$G620,$H620,$I620,$J620)=0,"",IF($M620=0,"✖ كود الصف غير موجود",IF(ISNA(MATCH($F620,Lists!$A$2:$A$5,0)),"✖ الفترة غير صحيحة",IF(ISNA(MATCH($G620,Lists!$B$2:$B$7,0)),"✖ المجموعة غير صحيحة",IF(NOT(OR($H620="",$N620&gt;0)),"✖ Start غير صحيح",IF(NOT(OR($I620="",$I620="NR",$O620&gt;0)),"✖ Current غير صحيح",IF(NOT(IF(ISNUMBER($J620),AND($J620&gt;=0,$J620=INT($J620)),FALSE())),"✖ العدد يجب أن يكون صحيحًا ≥ 0",IF(AND($F620="Baseline",$H620&lt;&gt;""),"⚠ Baseline: Start لا يدخل في التقدم",IF($K620="No Start (attainment only)","ℹ تحصيل فقط (بدون Start)",IF($K620="U – needs rule","ℹ حالة U تحتاج قاعدة معتمدة",IF($K620="No result","ℹ بدون نتيجة (يُستبعد من التحصيل)","OK")))))))))))</f>
        <v>OK</v>
      </c>
      <c r="M620" s="64" t="n">
        <f aca="false">IF($A620="",0,IFERROR(MATCH($A620,Classes!$A$6:$A$420,0),0))</f>
        <v>1</v>
      </c>
      <c r="N620" s="64" t="n">
        <f aca="false">IF($H620="",0,IFERROR(MATCH($H620,GradeList,0),0))</f>
        <v>0</v>
      </c>
      <c r="O620" s="64" t="n">
        <f aca="false">IF(OR($I620="",$I620="NR"),0,IFERROR(MATCH($I620,GradeList,0),0))</f>
        <v>6</v>
      </c>
      <c r="P620" s="64" t="n">
        <f aca="false">IF(AND($M620&gt;0,ISNUMBER(MATCH($F620,Lists!$A$2:$A$5,0)),ISNUMBER(MATCH($G620,Lists!$B$2:$B$7,0)),OR($H620="",$N620&gt;0),OR($I620="",$I620="NR",$O620&gt;0),IF(ISNUMBER($J620),AND($J620&gt;=0,$J620=INT($J620)),FALSE())),$J620,0)</f>
        <v>2</v>
      </c>
      <c r="Q620" s="64" t="n">
        <f aca="false">IF(AND($P620&gt;0,$O620&gt;0),$P620,0)</f>
        <v>2</v>
      </c>
      <c r="R620" s="64" t="n">
        <f aca="false">IF(AND($Q620&gt;0,$O620&gt;=AtRank),$Q620,0)</f>
        <v>2</v>
      </c>
      <c r="S620" s="64" t="n">
        <f aca="false">IF(AND($Q620&gt;0,$O620&gt;=AboveRank),$Q620,0)</f>
        <v>0</v>
      </c>
      <c r="T620" s="64" t="n">
        <f aca="false">IF($K620="Less",$P620,0)</f>
        <v>0</v>
      </c>
      <c r="U620" s="64" t="n">
        <f aca="false">IF($K620="Expected",$P620,0)</f>
        <v>0</v>
      </c>
      <c r="V620" s="64" t="n">
        <f aca="false">IF($K620="Better",$P620,0)</f>
        <v>0</v>
      </c>
      <c r="W620" s="64" t="n">
        <f aca="false">IF($K620="U – needs rule",$P620,0)</f>
        <v>0</v>
      </c>
      <c r="X620" s="64" t="n">
        <f aca="false">IF($K620="No Start (attainment only)",$P620,0)</f>
        <v>0</v>
      </c>
    </row>
    <row r="621" customFormat="false" ht="15" hidden="false" customHeight="false" outlineLevel="0" collapsed="false">
      <c r="A621" s="60" t="s">
        <v>440</v>
      </c>
      <c r="B621" s="61" t="str">
        <f aca="false">IF($M621=0,"",INDEX(Classes!$E$6:$E$420,$M621))</f>
        <v>Arabic A</v>
      </c>
      <c r="C621" s="62" t="str">
        <f aca="false">IF($M621=0,"",INDEX(Classes!$H$6:$H$420,$M621))</f>
        <v>Ms Aya Soliman Eid</v>
      </c>
      <c r="D621" s="61" t="str">
        <f aca="false">IF($M621=0,"",INDEX(Classes!$B$6:$B$420,$M621))</f>
        <v>Year 2</v>
      </c>
      <c r="E621" s="61" t="str">
        <f aca="false">IF($M621=0,"",INDEX(Classes!$C$6:$C$420,$M621))</f>
        <v>af</v>
      </c>
      <c r="F621" s="63" t="s">
        <v>162</v>
      </c>
      <c r="G621" s="63" t="s">
        <v>1017</v>
      </c>
      <c r="H621" s="60"/>
      <c r="I621" s="60" t="s">
        <v>199</v>
      </c>
      <c r="J621" s="63" t="n">
        <v>1</v>
      </c>
      <c r="K621" s="61" t="str">
        <f aca="false">IF($P621=0,"",IF($F621="Baseline","— Baseline",IF($O621=0,"No result",IF($N621=0,"No Start (attainment only)",IF(OR($N621=1,$O621=1),"U – needs rule",INDEX(MxBody,MATCH($I621,MxCurr,0),MATCH($H621,MxStart,0)))))))</f>
        <v>— Baseline</v>
      </c>
      <c r="L621" s="62" t="str">
        <f aca="false">IF(COUNTA($A621,$F621,$G621,$H621,$I621,$J621)=0,"",IF($M621=0,"✖ كود الصف غير موجود",IF(ISNA(MATCH($F621,Lists!$A$2:$A$5,0)),"✖ الفترة غير صحيحة",IF(ISNA(MATCH($G621,Lists!$B$2:$B$7,0)),"✖ المجموعة غير صحيحة",IF(NOT(OR($H621="",$N621&gt;0)),"✖ Start غير صحيح",IF(NOT(OR($I621="",$I621="NR",$O621&gt;0)),"✖ Current غير صحيح",IF(NOT(IF(ISNUMBER($J621),AND($J621&gt;=0,$J621=INT($J621)),FALSE())),"✖ العدد يجب أن يكون صحيحًا ≥ 0",IF(AND($F621="Baseline",$H621&lt;&gt;""),"⚠ Baseline: Start لا يدخل في التقدم",IF($K621="No Start (attainment only)","ℹ تحصيل فقط (بدون Start)",IF($K621="U – needs rule","ℹ حالة U تحتاج قاعدة معتمدة",IF($K621="No result","ℹ بدون نتيجة (يُستبعد من التحصيل)","OK")))))))))))</f>
        <v>OK</v>
      </c>
      <c r="M621" s="64" t="n">
        <f aca="false">IF($A621="",0,IFERROR(MATCH($A621,Classes!$A$6:$A$420,0),0))</f>
        <v>1</v>
      </c>
      <c r="N621" s="64" t="n">
        <f aca="false">IF($H621="",0,IFERROR(MATCH($H621,GradeList,0),0))</f>
        <v>0</v>
      </c>
      <c r="O621" s="64" t="n">
        <f aca="false">IF(OR($I621="",$I621="NR"),0,IFERROR(MATCH($I621,GradeList,0),0))</f>
        <v>4</v>
      </c>
      <c r="P621" s="64" t="n">
        <f aca="false">IF(AND($M621&gt;0,ISNUMBER(MATCH($F621,Lists!$A$2:$A$5,0)),ISNUMBER(MATCH($G621,Lists!$B$2:$B$7,0)),OR($H621="",$N621&gt;0),OR($I621="",$I621="NR",$O621&gt;0),IF(ISNUMBER($J621),AND($J621&gt;=0,$J621=INT($J621)),FALSE())),$J621,0)</f>
        <v>1</v>
      </c>
      <c r="Q621" s="64" t="n">
        <f aca="false">IF(AND($P621&gt;0,$O621&gt;0),$P621,0)</f>
        <v>1</v>
      </c>
      <c r="R621" s="64" t="n">
        <f aca="false">IF(AND($Q621&gt;0,$O621&gt;=AtRank),$Q621,0)</f>
        <v>0</v>
      </c>
      <c r="S621" s="64" t="n">
        <f aca="false">IF(AND($Q621&gt;0,$O621&gt;=AboveRank),$Q621,0)</f>
        <v>0</v>
      </c>
      <c r="T621" s="64" t="n">
        <f aca="false">IF($K621="Less",$P621,0)</f>
        <v>0</v>
      </c>
      <c r="U621" s="64" t="n">
        <f aca="false">IF($K621="Expected",$P621,0)</f>
        <v>0</v>
      </c>
      <c r="V621" s="64" t="n">
        <f aca="false">IF($K621="Better",$P621,0)</f>
        <v>0</v>
      </c>
      <c r="W621" s="64" t="n">
        <f aca="false">IF($K621="U – needs rule",$P621,0)</f>
        <v>0</v>
      </c>
      <c r="X621" s="64" t="n">
        <f aca="false">IF($K621="No Start (attainment only)",$P621,0)</f>
        <v>0</v>
      </c>
    </row>
    <row r="622" customFormat="false" ht="15" hidden="false" customHeight="false" outlineLevel="0" collapsed="false">
      <c r="A622" s="60" t="s">
        <v>440</v>
      </c>
      <c r="B622" s="61" t="str">
        <f aca="false">IF($M622=0,"",INDEX(Classes!$E$6:$E$420,$M622))</f>
        <v>Arabic A</v>
      </c>
      <c r="C622" s="62" t="str">
        <f aca="false">IF($M622=0,"",INDEX(Classes!$H$6:$H$420,$M622))</f>
        <v>Ms Aya Soliman Eid</v>
      </c>
      <c r="D622" s="61" t="str">
        <f aca="false">IF($M622=0,"",INDEX(Classes!$B$6:$B$420,$M622))</f>
        <v>Year 2</v>
      </c>
      <c r="E622" s="61" t="str">
        <f aca="false">IF($M622=0,"",INDEX(Classes!$C$6:$C$420,$M622))</f>
        <v>af</v>
      </c>
      <c r="F622" s="63" t="s">
        <v>162</v>
      </c>
      <c r="G622" s="63" t="s">
        <v>1018</v>
      </c>
      <c r="H622" s="60"/>
      <c r="I622" s="60" t="s">
        <v>202</v>
      </c>
      <c r="J622" s="63" t="n">
        <v>3</v>
      </c>
      <c r="K622" s="61" t="str">
        <f aca="false">IF($P622=0,"",IF($F622="Baseline","— Baseline",IF($O622=0,"No result",IF($N622=0,"No Start (attainment only)",IF(OR($N622=1,$O622=1),"U – needs rule",INDEX(MxBody,MATCH($I622,MxCurr,0),MATCH($H622,MxStart,0)))))))</f>
        <v>— Baseline</v>
      </c>
      <c r="L622" s="62" t="str">
        <f aca="false">IF(COUNTA($A622,$F622,$G622,$H622,$I622,$J622)=0,"",IF($M622=0,"✖ كود الصف غير موجود",IF(ISNA(MATCH($F622,Lists!$A$2:$A$5,0)),"✖ الفترة غير صحيحة",IF(ISNA(MATCH($G622,Lists!$B$2:$B$7,0)),"✖ المجموعة غير صحيحة",IF(NOT(OR($H622="",$N622&gt;0)),"✖ Start غير صحيح",IF(NOT(OR($I622="",$I622="NR",$O622&gt;0)),"✖ Current غير صحيح",IF(NOT(IF(ISNUMBER($J622),AND($J622&gt;=0,$J622=INT($J622)),FALSE())),"✖ العدد يجب أن يكون صحيحًا ≥ 0",IF(AND($F622="Baseline",$H622&lt;&gt;""),"⚠ Baseline: Start لا يدخل في التقدم",IF($K622="No Start (attainment only)","ℹ تحصيل فقط (بدون Start)",IF($K622="U – needs rule","ℹ حالة U تحتاج قاعدة معتمدة",IF($K622="No result","ℹ بدون نتيجة (يُستبعد من التحصيل)","OK")))))))))))</f>
        <v>OK</v>
      </c>
      <c r="M622" s="64" t="n">
        <f aca="false">IF($A622="",0,IFERROR(MATCH($A622,Classes!$A$6:$A$420,0),0))</f>
        <v>1</v>
      </c>
      <c r="N622" s="64" t="n">
        <f aca="false">IF($H622="",0,IFERROR(MATCH($H622,GradeList,0),0))</f>
        <v>0</v>
      </c>
      <c r="O622" s="64" t="n">
        <f aca="false">IF(OR($I622="",$I622="NR"),0,IFERROR(MATCH($I622,GradeList,0),0))</f>
        <v>7</v>
      </c>
      <c r="P622" s="64" t="n">
        <f aca="false">IF(AND($M622&gt;0,ISNUMBER(MATCH($F622,Lists!$A$2:$A$5,0)),ISNUMBER(MATCH($G622,Lists!$B$2:$B$7,0)),OR($H622="",$N622&gt;0),OR($I622="",$I622="NR",$O622&gt;0),IF(ISNUMBER($J622),AND($J622&gt;=0,$J622=INT($J622)),FALSE())),$J622,0)</f>
        <v>3</v>
      </c>
      <c r="Q622" s="64" t="n">
        <f aca="false">IF(AND($P622&gt;0,$O622&gt;0),$P622,0)</f>
        <v>3</v>
      </c>
      <c r="R622" s="64" t="n">
        <f aca="false">IF(AND($Q622&gt;0,$O622&gt;=AtRank),$Q622,0)</f>
        <v>3</v>
      </c>
      <c r="S622" s="64" t="n">
        <f aca="false">IF(AND($Q622&gt;0,$O622&gt;=AboveRank),$Q622,0)</f>
        <v>3</v>
      </c>
      <c r="T622" s="64" t="n">
        <f aca="false">IF($K622="Less",$P622,0)</f>
        <v>0</v>
      </c>
      <c r="U622" s="64" t="n">
        <f aca="false">IF($K622="Expected",$P622,0)</f>
        <v>0</v>
      </c>
      <c r="V622" s="64" t="n">
        <f aca="false">IF($K622="Better",$P622,0)</f>
        <v>0</v>
      </c>
      <c r="W622" s="64" t="n">
        <f aca="false">IF($K622="U – needs rule",$P622,0)</f>
        <v>0</v>
      </c>
      <c r="X622" s="64" t="n">
        <f aca="false">IF($K622="No Start (attainment only)",$P622,0)</f>
        <v>0</v>
      </c>
    </row>
    <row r="623" customFormat="false" ht="15" hidden="false" customHeight="false" outlineLevel="0" collapsed="false">
      <c r="A623" s="60" t="s">
        <v>440</v>
      </c>
      <c r="B623" s="61" t="str">
        <f aca="false">IF($M623=0,"",INDEX(Classes!$E$6:$E$420,$M623))</f>
        <v>Arabic A</v>
      </c>
      <c r="C623" s="62" t="str">
        <f aca="false">IF($M623=0,"",INDEX(Classes!$H$6:$H$420,$M623))</f>
        <v>Ms Aya Soliman Eid</v>
      </c>
      <c r="D623" s="61" t="str">
        <f aca="false">IF($M623=0,"",INDEX(Classes!$B$6:$B$420,$M623))</f>
        <v>Year 2</v>
      </c>
      <c r="E623" s="61" t="str">
        <f aca="false">IF($M623=0,"",INDEX(Classes!$C$6:$C$420,$M623))</f>
        <v>af</v>
      </c>
      <c r="F623" s="63" t="s">
        <v>162</v>
      </c>
      <c r="G623" s="63" t="s">
        <v>1018</v>
      </c>
      <c r="H623" s="60"/>
      <c r="I623" s="60" t="s">
        <v>200</v>
      </c>
      <c r="J623" s="63" t="n">
        <v>1</v>
      </c>
      <c r="K623" s="61" t="str">
        <f aca="false">IF($P623=0,"",IF($F623="Baseline","— Baseline",IF($O623=0,"No result",IF($N623=0,"No Start (attainment only)",IF(OR($N623=1,$O623=1),"U – needs rule",INDEX(MxBody,MATCH($I623,MxCurr,0),MATCH($H623,MxStart,0)))))))</f>
        <v>— Baseline</v>
      </c>
      <c r="L623" s="62" t="str">
        <f aca="false">IF(COUNTA($A623,$F623,$G623,$H623,$I623,$J623)=0,"",IF($M623=0,"✖ كود الصف غير موجود",IF(ISNA(MATCH($F623,Lists!$A$2:$A$5,0)),"✖ الفترة غير صحيحة",IF(ISNA(MATCH($G623,Lists!$B$2:$B$7,0)),"✖ المجموعة غير صحيحة",IF(NOT(OR($H623="",$N623&gt;0)),"✖ Start غير صحيح",IF(NOT(OR($I623="",$I623="NR",$O623&gt;0)),"✖ Current غير صحيح",IF(NOT(IF(ISNUMBER($J623),AND($J623&gt;=0,$J623=INT($J623)),FALSE())),"✖ العدد يجب أن يكون صحيحًا ≥ 0",IF(AND($F623="Baseline",$H623&lt;&gt;""),"⚠ Baseline: Start لا يدخل في التقدم",IF($K623="No Start (attainment only)","ℹ تحصيل فقط (بدون Start)",IF($K623="U – needs rule","ℹ حالة U تحتاج قاعدة معتمدة",IF($K623="No result","ℹ بدون نتيجة (يُستبعد من التحصيل)","OK")))))))))))</f>
        <v>OK</v>
      </c>
      <c r="M623" s="64" t="n">
        <f aca="false">IF($A623="",0,IFERROR(MATCH($A623,Classes!$A$6:$A$420,0),0))</f>
        <v>1</v>
      </c>
      <c r="N623" s="64" t="n">
        <f aca="false">IF($H623="",0,IFERROR(MATCH($H623,GradeList,0),0))</f>
        <v>0</v>
      </c>
      <c r="O623" s="64" t="n">
        <f aca="false">IF(OR($I623="",$I623="NR"),0,IFERROR(MATCH($I623,GradeList,0),0))</f>
        <v>5</v>
      </c>
      <c r="P623" s="64" t="n">
        <f aca="false">IF(AND($M623&gt;0,ISNUMBER(MATCH($F623,Lists!$A$2:$A$5,0)),ISNUMBER(MATCH($G623,Lists!$B$2:$B$7,0)),OR($H623="",$N623&gt;0),OR($I623="",$I623="NR",$O623&gt;0),IF(ISNUMBER($J623),AND($J623&gt;=0,$J623=INT($J623)),FALSE())),$J623,0)</f>
        <v>1</v>
      </c>
      <c r="Q623" s="64" t="n">
        <f aca="false">IF(AND($P623&gt;0,$O623&gt;0),$P623,0)</f>
        <v>1</v>
      </c>
      <c r="R623" s="64" t="n">
        <f aca="false">IF(AND($Q623&gt;0,$O623&gt;=AtRank),$Q623,0)</f>
        <v>1</v>
      </c>
      <c r="S623" s="64" t="n">
        <f aca="false">IF(AND($Q623&gt;0,$O623&gt;=AboveRank),$Q623,0)</f>
        <v>0</v>
      </c>
      <c r="T623" s="64" t="n">
        <f aca="false">IF($K623="Less",$P623,0)</f>
        <v>0</v>
      </c>
      <c r="U623" s="64" t="n">
        <f aca="false">IF($K623="Expected",$P623,0)</f>
        <v>0</v>
      </c>
      <c r="V623" s="64" t="n">
        <f aca="false">IF($K623="Better",$P623,0)</f>
        <v>0</v>
      </c>
      <c r="W623" s="64" t="n">
        <f aca="false">IF($K623="U – needs rule",$P623,0)</f>
        <v>0</v>
      </c>
      <c r="X623" s="64" t="n">
        <f aca="false">IF($K623="No Start (attainment only)",$P623,0)</f>
        <v>0</v>
      </c>
    </row>
    <row r="624" customFormat="false" ht="15" hidden="false" customHeight="false" outlineLevel="0" collapsed="false">
      <c r="A624" s="60" t="s">
        <v>440</v>
      </c>
      <c r="B624" s="61" t="str">
        <f aca="false">IF($M624=0,"",INDEX(Classes!$E$6:$E$420,$M624))</f>
        <v>Arabic A</v>
      </c>
      <c r="C624" s="62" t="str">
        <f aca="false">IF($M624=0,"",INDEX(Classes!$H$6:$H$420,$M624))</f>
        <v>Ms Aya Soliman Eid</v>
      </c>
      <c r="D624" s="61" t="str">
        <f aca="false">IF($M624=0,"",INDEX(Classes!$B$6:$B$420,$M624))</f>
        <v>Year 2</v>
      </c>
      <c r="E624" s="61" t="str">
        <f aca="false">IF($M624=0,"",INDEX(Classes!$C$6:$C$420,$M624))</f>
        <v>af</v>
      </c>
      <c r="F624" s="63" t="s">
        <v>162</v>
      </c>
      <c r="G624" s="63" t="s">
        <v>1018</v>
      </c>
      <c r="H624" s="60"/>
      <c r="I624" s="60" t="s">
        <v>201</v>
      </c>
      <c r="J624" s="63" t="n">
        <v>2</v>
      </c>
      <c r="K624" s="61" t="str">
        <f aca="false">IF($P624=0,"",IF($F624="Baseline","— Baseline",IF($O624=0,"No result",IF($N624=0,"No Start (attainment only)",IF(OR($N624=1,$O624=1),"U – needs rule",INDEX(MxBody,MATCH($I624,MxCurr,0),MATCH($H624,MxStart,0)))))))</f>
        <v>— Baseline</v>
      </c>
      <c r="L624" s="62" t="str">
        <f aca="false">IF(COUNTA($A624,$F624,$G624,$H624,$I624,$J624)=0,"",IF($M624=0,"✖ كود الصف غير موجود",IF(ISNA(MATCH($F624,Lists!$A$2:$A$5,0)),"✖ الفترة غير صحيحة",IF(ISNA(MATCH($G624,Lists!$B$2:$B$7,0)),"✖ المجموعة غير صحيحة",IF(NOT(OR($H624="",$N624&gt;0)),"✖ Start غير صحيح",IF(NOT(OR($I624="",$I624="NR",$O624&gt;0)),"✖ Current غير صحيح",IF(NOT(IF(ISNUMBER($J624),AND($J624&gt;=0,$J624=INT($J624)),FALSE())),"✖ العدد يجب أن يكون صحيحًا ≥ 0",IF(AND($F624="Baseline",$H624&lt;&gt;""),"⚠ Baseline: Start لا يدخل في التقدم",IF($K624="No Start (attainment only)","ℹ تحصيل فقط (بدون Start)",IF($K624="U – needs rule","ℹ حالة U تحتاج قاعدة معتمدة",IF($K624="No result","ℹ بدون نتيجة (يُستبعد من التحصيل)","OK")))))))))))</f>
        <v>OK</v>
      </c>
      <c r="M624" s="64" t="n">
        <f aca="false">IF($A624="",0,IFERROR(MATCH($A624,Classes!$A$6:$A$420,0),0))</f>
        <v>1</v>
      </c>
      <c r="N624" s="64" t="n">
        <f aca="false">IF($H624="",0,IFERROR(MATCH($H624,GradeList,0),0))</f>
        <v>0</v>
      </c>
      <c r="O624" s="64" t="n">
        <f aca="false">IF(OR($I624="",$I624="NR"),0,IFERROR(MATCH($I624,GradeList,0),0))</f>
        <v>6</v>
      </c>
      <c r="P624" s="64" t="n">
        <f aca="false">IF(AND($M624&gt;0,ISNUMBER(MATCH($F624,Lists!$A$2:$A$5,0)),ISNUMBER(MATCH($G624,Lists!$B$2:$B$7,0)),OR($H624="",$N624&gt;0),OR($I624="",$I624="NR",$O624&gt;0),IF(ISNUMBER($J624),AND($J624&gt;=0,$J624=INT($J624)),FALSE())),$J624,0)</f>
        <v>2</v>
      </c>
      <c r="Q624" s="64" t="n">
        <f aca="false">IF(AND($P624&gt;0,$O624&gt;0),$P624,0)</f>
        <v>2</v>
      </c>
      <c r="R624" s="64" t="n">
        <f aca="false">IF(AND($Q624&gt;0,$O624&gt;=AtRank),$Q624,0)</f>
        <v>2</v>
      </c>
      <c r="S624" s="64" t="n">
        <f aca="false">IF(AND($Q624&gt;0,$O624&gt;=AboveRank),$Q624,0)</f>
        <v>0</v>
      </c>
      <c r="T624" s="64" t="n">
        <f aca="false">IF($K624="Less",$P624,0)</f>
        <v>0</v>
      </c>
      <c r="U624" s="64" t="n">
        <f aca="false">IF($K624="Expected",$P624,0)</f>
        <v>0</v>
      </c>
      <c r="V624" s="64" t="n">
        <f aca="false">IF($K624="Better",$P624,0)</f>
        <v>0</v>
      </c>
      <c r="W624" s="64" t="n">
        <f aca="false">IF($K624="U – needs rule",$P624,0)</f>
        <v>0</v>
      </c>
      <c r="X624" s="64" t="n">
        <f aca="false">IF($K624="No Start (attainment only)",$P624,0)</f>
        <v>0</v>
      </c>
    </row>
    <row r="625" customFormat="false" ht="15" hidden="false" customHeight="false" outlineLevel="0" collapsed="false">
      <c r="A625" s="60" t="s">
        <v>440</v>
      </c>
      <c r="B625" s="61" t="str">
        <f aca="false">IF($M625=0,"",INDEX(Classes!$E$6:$E$420,$M625))</f>
        <v>Arabic A</v>
      </c>
      <c r="C625" s="62" t="str">
        <f aca="false">IF($M625=0,"",INDEX(Classes!$H$6:$H$420,$M625))</f>
        <v>Ms Aya Soliman Eid</v>
      </c>
      <c r="D625" s="61" t="str">
        <f aca="false">IF($M625=0,"",INDEX(Classes!$B$6:$B$420,$M625))</f>
        <v>Year 2</v>
      </c>
      <c r="E625" s="61" t="str">
        <f aca="false">IF($M625=0,"",INDEX(Classes!$C$6:$C$420,$M625))</f>
        <v>af</v>
      </c>
      <c r="F625" s="63" t="s">
        <v>162</v>
      </c>
      <c r="G625" s="63" t="s">
        <v>1018</v>
      </c>
      <c r="H625" s="60"/>
      <c r="I625" s="60" t="s">
        <v>199</v>
      </c>
      <c r="J625" s="63" t="n">
        <v>3</v>
      </c>
      <c r="K625" s="61" t="str">
        <f aca="false">IF($P625=0,"",IF($F625="Baseline","— Baseline",IF($O625=0,"No result",IF($N625=0,"No Start (attainment only)",IF(OR($N625=1,$O625=1),"U – needs rule",INDEX(MxBody,MATCH($I625,MxCurr,0),MATCH($H625,MxStart,0)))))))</f>
        <v>— Baseline</v>
      </c>
      <c r="L625" s="62" t="str">
        <f aca="false">IF(COUNTA($A625,$F625,$G625,$H625,$I625,$J625)=0,"",IF($M625=0,"✖ كود الصف غير موجود",IF(ISNA(MATCH($F625,Lists!$A$2:$A$5,0)),"✖ الفترة غير صحيحة",IF(ISNA(MATCH($G625,Lists!$B$2:$B$7,0)),"✖ المجموعة غير صحيحة",IF(NOT(OR($H625="",$N625&gt;0)),"✖ Start غير صحيح",IF(NOT(OR($I625="",$I625="NR",$O625&gt;0)),"✖ Current غير صحيح",IF(NOT(IF(ISNUMBER($J625),AND($J625&gt;=0,$J625=INT($J625)),FALSE())),"✖ العدد يجب أن يكون صحيحًا ≥ 0",IF(AND($F625="Baseline",$H625&lt;&gt;""),"⚠ Baseline: Start لا يدخل في التقدم",IF($K625="No Start (attainment only)","ℹ تحصيل فقط (بدون Start)",IF($K625="U – needs rule","ℹ حالة U تحتاج قاعدة معتمدة",IF($K625="No result","ℹ بدون نتيجة (يُستبعد من التحصيل)","OK")))))))))))</f>
        <v>OK</v>
      </c>
      <c r="M625" s="64" t="n">
        <f aca="false">IF($A625="",0,IFERROR(MATCH($A625,Classes!$A$6:$A$420,0),0))</f>
        <v>1</v>
      </c>
      <c r="N625" s="64" t="n">
        <f aca="false">IF($H625="",0,IFERROR(MATCH($H625,GradeList,0),0))</f>
        <v>0</v>
      </c>
      <c r="O625" s="64" t="n">
        <f aca="false">IF(OR($I625="",$I625="NR"),0,IFERROR(MATCH($I625,GradeList,0),0))</f>
        <v>4</v>
      </c>
      <c r="P625" s="64" t="n">
        <f aca="false">IF(AND($M625&gt;0,ISNUMBER(MATCH($F625,Lists!$A$2:$A$5,0)),ISNUMBER(MATCH($G625,Lists!$B$2:$B$7,0)),OR($H625="",$N625&gt;0),OR($I625="",$I625="NR",$O625&gt;0),IF(ISNUMBER($J625),AND($J625&gt;=0,$J625=INT($J625)),FALSE())),$J625,0)</f>
        <v>3</v>
      </c>
      <c r="Q625" s="64" t="n">
        <f aca="false">IF(AND($P625&gt;0,$O625&gt;0),$P625,0)</f>
        <v>3</v>
      </c>
      <c r="R625" s="64" t="n">
        <f aca="false">IF(AND($Q625&gt;0,$O625&gt;=AtRank),$Q625,0)</f>
        <v>0</v>
      </c>
      <c r="S625" s="64" t="n">
        <f aca="false">IF(AND($Q625&gt;0,$O625&gt;=AboveRank),$Q625,0)</f>
        <v>0</v>
      </c>
      <c r="T625" s="64" t="n">
        <f aca="false">IF($K625="Less",$P625,0)</f>
        <v>0</v>
      </c>
      <c r="U625" s="64" t="n">
        <f aca="false">IF($K625="Expected",$P625,0)</f>
        <v>0</v>
      </c>
      <c r="V625" s="64" t="n">
        <f aca="false">IF($K625="Better",$P625,0)</f>
        <v>0</v>
      </c>
      <c r="W625" s="64" t="n">
        <f aca="false">IF($K625="U – needs rule",$P625,0)</f>
        <v>0</v>
      </c>
      <c r="X625" s="64" t="n">
        <f aca="false">IF($K625="No Start (attainment only)",$P625,0)</f>
        <v>0</v>
      </c>
    </row>
    <row r="626" customFormat="false" ht="15" hidden="false" customHeight="false" outlineLevel="0" collapsed="false">
      <c r="A626" s="60" t="s">
        <v>440</v>
      </c>
      <c r="B626" s="61" t="str">
        <f aca="false">IF($M626=0,"",INDEX(Classes!$E$6:$E$420,$M626))</f>
        <v>Arabic A</v>
      </c>
      <c r="C626" s="62" t="str">
        <f aca="false">IF($M626=0,"",INDEX(Classes!$H$6:$H$420,$M626))</f>
        <v>Ms Aya Soliman Eid</v>
      </c>
      <c r="D626" s="61" t="str">
        <f aca="false">IF($M626=0,"",INDEX(Classes!$B$6:$B$420,$M626))</f>
        <v>Year 2</v>
      </c>
      <c r="E626" s="61" t="str">
        <f aca="false">IF($M626=0,"",INDEX(Classes!$C$6:$C$420,$M626))</f>
        <v>af</v>
      </c>
      <c r="F626" s="63" t="s">
        <v>107</v>
      </c>
      <c r="G626" s="63" t="s">
        <v>108</v>
      </c>
      <c r="H626" s="60"/>
      <c r="I626" s="60" t="s">
        <v>199</v>
      </c>
      <c r="J626" s="63" t="n">
        <v>1</v>
      </c>
      <c r="K626" s="61" t="str">
        <f aca="false">IF($P626=0,"",IF($F626="Baseline","— Baseline",IF($O626=0,"No result",IF($N626=0,"No Start (attainment only)",IF(OR($N626=1,$O626=1),"U – needs rule",INDEX(MxBody,MATCH($I626,MxCurr,0),MATCH($H626,MxStart,0)))))))</f>
        <v>No Start (attainment only)</v>
      </c>
      <c r="L626" s="62" t="str">
        <f aca="false">IF(COUNTA($A626,$F626,$G626,$H626,$I626,$J626)=0,"",IF($M626=0,"✖ كود الصف غير موجود",IF(ISNA(MATCH($F626,Lists!$A$2:$A$5,0)),"✖ الفترة غير صحيحة",IF(ISNA(MATCH($G626,Lists!$B$2:$B$7,0)),"✖ المجموعة غير صحيحة",IF(NOT(OR($H626="",$N626&gt;0)),"✖ Start غير صحيح",IF(NOT(OR($I626="",$I626="NR",$O626&gt;0)),"✖ Current غير صحيح",IF(NOT(IF(ISNUMBER($J626),AND($J626&gt;=0,$J626=INT($J626)),FALSE())),"✖ العدد يجب أن يكون صحيحًا ≥ 0",IF(AND($F626="Baseline",$H626&lt;&gt;""),"⚠ Baseline: Start لا يدخل في التقدم",IF($K626="No Start (attainment only)","ℹ تحصيل فقط (بدون Start)",IF($K626="U – needs rule","ℹ حالة U تحتاج قاعدة معتمدة",IF($K626="No result","ℹ بدون نتيجة (يُستبعد من التحصيل)","OK")))))))))))</f>
        <v>ℹ تحصيل فقط (بدون Start)</v>
      </c>
      <c r="M626" s="64" t="n">
        <f aca="false">IF($A626="",0,IFERROR(MATCH($A626,Classes!$A$6:$A$420,0),0))</f>
        <v>1</v>
      </c>
      <c r="N626" s="64" t="n">
        <f aca="false">IF($H626="",0,IFERROR(MATCH($H626,GradeList,0),0))</f>
        <v>0</v>
      </c>
      <c r="O626" s="64" t="n">
        <f aca="false">IF(OR($I626="",$I626="NR"),0,IFERROR(MATCH($I626,GradeList,0),0))</f>
        <v>4</v>
      </c>
      <c r="P626" s="64" t="n">
        <f aca="false">IF(AND($M626&gt;0,ISNUMBER(MATCH($F626,Lists!$A$2:$A$5,0)),ISNUMBER(MATCH($G626,Lists!$B$2:$B$7,0)),OR($H626="",$N626&gt;0),OR($I626="",$I626="NR",$O626&gt;0),IF(ISNUMBER($J626),AND($J626&gt;=0,$J626=INT($J626)),FALSE())),$J626,0)</f>
        <v>1</v>
      </c>
      <c r="Q626" s="64" t="n">
        <f aca="false">IF(AND($P626&gt;0,$O626&gt;0),$P626,0)</f>
        <v>1</v>
      </c>
      <c r="R626" s="64" t="n">
        <f aca="false">IF(AND($Q626&gt;0,$O626&gt;=AtRank),$Q626,0)</f>
        <v>0</v>
      </c>
      <c r="S626" s="64" t="n">
        <f aca="false">IF(AND($Q626&gt;0,$O626&gt;=AboveRank),$Q626,0)</f>
        <v>0</v>
      </c>
      <c r="T626" s="64" t="n">
        <f aca="false">IF($K626="Less",$P626,0)</f>
        <v>0</v>
      </c>
      <c r="U626" s="64" t="n">
        <f aca="false">IF($K626="Expected",$P626,0)</f>
        <v>0</v>
      </c>
      <c r="V626" s="64" t="n">
        <f aca="false">IF($K626="Better",$P626,0)</f>
        <v>0</v>
      </c>
      <c r="W626" s="64" t="n">
        <f aca="false">IF($K626="U – needs rule",$P626,0)</f>
        <v>0</v>
      </c>
      <c r="X626" s="64" t="n">
        <f aca="false">IF($K626="No Start (attainment only)",$P626,0)</f>
        <v>1</v>
      </c>
    </row>
    <row r="627" customFormat="false" ht="15" hidden="false" customHeight="false" outlineLevel="0" collapsed="false">
      <c r="A627" s="60" t="s">
        <v>440</v>
      </c>
      <c r="B627" s="61" t="str">
        <f aca="false">IF($M627=0,"",INDEX(Classes!$E$6:$E$420,$M627))</f>
        <v>Arabic A</v>
      </c>
      <c r="C627" s="62" t="str">
        <f aca="false">IF($M627=0,"",INDEX(Classes!$H$6:$H$420,$M627))</f>
        <v>Ms Aya Soliman Eid</v>
      </c>
      <c r="D627" s="61" t="str">
        <f aca="false">IF($M627=0,"",INDEX(Classes!$B$6:$B$420,$M627))</f>
        <v>Year 2</v>
      </c>
      <c r="E627" s="61" t="str">
        <f aca="false">IF($M627=0,"",INDEX(Classes!$C$6:$C$420,$M627))</f>
        <v>af</v>
      </c>
      <c r="F627" s="63" t="s">
        <v>107</v>
      </c>
      <c r="G627" s="63" t="s">
        <v>108</v>
      </c>
      <c r="H627" s="60" t="s">
        <v>202</v>
      </c>
      <c r="I627" s="60" t="s">
        <v>202</v>
      </c>
      <c r="J627" s="63" t="n">
        <v>4</v>
      </c>
      <c r="K627" s="61" t="str">
        <f aca="false">IF($P627=0,"",IF($F627="Baseline","— Baseline",IF($O627=0,"No result",IF($N627=0,"No Start (attainment only)",IF(OR($N627=1,$O627=1),"U – needs rule",INDEX(MxBody,MATCH($I627,MxCurr,0),MATCH($H627,MxStart,0)))))))</f>
        <v>Better</v>
      </c>
      <c r="L627" s="62" t="str">
        <f aca="false">IF(COUNTA($A627,$F627,$G627,$H627,$I627,$J627)=0,"",IF($M627=0,"✖ كود الصف غير موجود",IF(ISNA(MATCH($F627,Lists!$A$2:$A$5,0)),"✖ الفترة غير صحيحة",IF(ISNA(MATCH($G627,Lists!$B$2:$B$7,0)),"✖ المجموعة غير صحيحة",IF(NOT(OR($H627="",$N627&gt;0)),"✖ Start غير صحيح",IF(NOT(OR($I627="",$I627="NR",$O627&gt;0)),"✖ Current غير صحيح",IF(NOT(IF(ISNUMBER($J627),AND($J627&gt;=0,$J627=INT($J627)),FALSE())),"✖ العدد يجب أن يكون صحيحًا ≥ 0",IF(AND($F627="Baseline",$H627&lt;&gt;""),"⚠ Baseline: Start لا يدخل في التقدم",IF($K627="No Start (attainment only)","ℹ تحصيل فقط (بدون Start)",IF($K627="U – needs rule","ℹ حالة U تحتاج قاعدة معتمدة",IF($K627="No result","ℹ بدون نتيجة (يُستبعد من التحصيل)","OK")))))))))))</f>
        <v>OK</v>
      </c>
      <c r="M627" s="64" t="n">
        <f aca="false">IF($A627="",0,IFERROR(MATCH($A627,Classes!$A$6:$A$420,0),0))</f>
        <v>1</v>
      </c>
      <c r="N627" s="64" t="n">
        <f aca="false">IF($H627="",0,IFERROR(MATCH($H627,GradeList,0),0))</f>
        <v>7</v>
      </c>
      <c r="O627" s="64" t="n">
        <f aca="false">IF(OR($I627="",$I627="NR"),0,IFERROR(MATCH($I627,GradeList,0),0))</f>
        <v>7</v>
      </c>
      <c r="P627" s="64" t="n">
        <f aca="false">IF(AND($M627&gt;0,ISNUMBER(MATCH($F627,Lists!$A$2:$A$5,0)),ISNUMBER(MATCH($G627,Lists!$B$2:$B$7,0)),OR($H627="",$N627&gt;0),OR($I627="",$I627="NR",$O627&gt;0),IF(ISNUMBER($J627),AND($J627&gt;=0,$J627=INT($J627)),FALSE())),$J627,0)</f>
        <v>4</v>
      </c>
      <c r="Q627" s="64" t="n">
        <f aca="false">IF(AND($P627&gt;0,$O627&gt;0),$P627,0)</f>
        <v>4</v>
      </c>
      <c r="R627" s="64" t="n">
        <f aca="false">IF(AND($Q627&gt;0,$O627&gt;=AtRank),$Q627,0)</f>
        <v>4</v>
      </c>
      <c r="S627" s="64" t="n">
        <f aca="false">IF(AND($Q627&gt;0,$O627&gt;=AboveRank),$Q627,0)</f>
        <v>4</v>
      </c>
      <c r="T627" s="64" t="n">
        <f aca="false">IF($K627="Less",$P627,0)</f>
        <v>0</v>
      </c>
      <c r="U627" s="64" t="n">
        <f aca="false">IF($K627="Expected",$P627,0)</f>
        <v>0</v>
      </c>
      <c r="V627" s="64" t="n">
        <f aca="false">IF($K627="Better",$P627,0)</f>
        <v>4</v>
      </c>
      <c r="W627" s="64" t="n">
        <f aca="false">IF($K627="U – needs rule",$P627,0)</f>
        <v>0</v>
      </c>
      <c r="X627" s="64" t="n">
        <f aca="false">IF($K627="No Start (attainment only)",$P627,0)</f>
        <v>0</v>
      </c>
    </row>
    <row r="628" customFormat="false" ht="15" hidden="false" customHeight="false" outlineLevel="0" collapsed="false">
      <c r="A628" s="60" t="s">
        <v>440</v>
      </c>
      <c r="B628" s="61" t="str">
        <f aca="false">IF($M628=0,"",INDEX(Classes!$E$6:$E$420,$M628))</f>
        <v>Arabic A</v>
      </c>
      <c r="C628" s="62" t="str">
        <f aca="false">IF($M628=0,"",INDEX(Classes!$H$6:$H$420,$M628))</f>
        <v>Ms Aya Soliman Eid</v>
      </c>
      <c r="D628" s="61" t="str">
        <f aca="false">IF($M628=0,"",INDEX(Classes!$B$6:$B$420,$M628))</f>
        <v>Year 2</v>
      </c>
      <c r="E628" s="61" t="str">
        <f aca="false">IF($M628=0,"",INDEX(Classes!$C$6:$C$420,$M628))</f>
        <v>af</v>
      </c>
      <c r="F628" s="63" t="s">
        <v>107</v>
      </c>
      <c r="G628" s="63" t="s">
        <v>108</v>
      </c>
      <c r="H628" s="60" t="s">
        <v>202</v>
      </c>
      <c r="I628" s="60" t="s">
        <v>203</v>
      </c>
      <c r="J628" s="63" t="n">
        <v>4</v>
      </c>
      <c r="K628" s="61" t="str">
        <f aca="false">IF($P628=0,"",IF($F628="Baseline","— Baseline",IF($O628=0,"No result",IF($N628=0,"No Start (attainment only)",IF(OR($N628=1,$O628=1),"U – needs rule",INDEX(MxBody,MATCH($I628,MxCurr,0),MATCH($H628,MxStart,0)))))))</f>
        <v>Better</v>
      </c>
      <c r="L628" s="62" t="str">
        <f aca="false">IF(COUNTA($A628,$F628,$G628,$H628,$I628,$J628)=0,"",IF($M628=0,"✖ كود الصف غير موجود",IF(ISNA(MATCH($F628,Lists!$A$2:$A$5,0)),"✖ الفترة غير صحيحة",IF(ISNA(MATCH($G628,Lists!$B$2:$B$7,0)),"✖ المجموعة غير صحيحة",IF(NOT(OR($H628="",$N628&gt;0)),"✖ Start غير صحيح",IF(NOT(OR($I628="",$I628="NR",$O628&gt;0)),"✖ Current غير صحيح",IF(NOT(IF(ISNUMBER($J628),AND($J628&gt;=0,$J628=INT($J628)),FALSE())),"✖ العدد يجب أن يكون صحيحًا ≥ 0",IF(AND($F628="Baseline",$H628&lt;&gt;""),"⚠ Baseline: Start لا يدخل في التقدم",IF($K628="No Start (attainment only)","ℹ تحصيل فقط (بدون Start)",IF($K628="U – needs rule","ℹ حالة U تحتاج قاعدة معتمدة",IF($K628="No result","ℹ بدون نتيجة (يُستبعد من التحصيل)","OK")))))))))))</f>
        <v>OK</v>
      </c>
      <c r="M628" s="64" t="n">
        <f aca="false">IF($A628="",0,IFERROR(MATCH($A628,Classes!$A$6:$A$420,0),0))</f>
        <v>1</v>
      </c>
      <c r="N628" s="64" t="n">
        <f aca="false">IF($H628="",0,IFERROR(MATCH($H628,GradeList,0),0))</f>
        <v>7</v>
      </c>
      <c r="O628" s="64" t="n">
        <f aca="false">IF(OR($I628="",$I628="NR"),0,IFERROR(MATCH($I628,GradeList,0),0))</f>
        <v>8</v>
      </c>
      <c r="P628" s="64" t="n">
        <f aca="false">IF(AND($M628&gt;0,ISNUMBER(MATCH($F628,Lists!$A$2:$A$5,0)),ISNUMBER(MATCH($G628,Lists!$B$2:$B$7,0)),OR($H628="",$N628&gt;0),OR($I628="",$I628="NR",$O628&gt;0),IF(ISNUMBER($J628),AND($J628&gt;=0,$J628=INT($J628)),FALSE())),$J628,0)</f>
        <v>4</v>
      </c>
      <c r="Q628" s="64" t="n">
        <f aca="false">IF(AND($P628&gt;0,$O628&gt;0),$P628,0)</f>
        <v>4</v>
      </c>
      <c r="R628" s="64" t="n">
        <f aca="false">IF(AND($Q628&gt;0,$O628&gt;=AtRank),$Q628,0)</f>
        <v>4</v>
      </c>
      <c r="S628" s="64" t="n">
        <f aca="false">IF(AND($Q628&gt;0,$O628&gt;=AboveRank),$Q628,0)</f>
        <v>4</v>
      </c>
      <c r="T628" s="64" t="n">
        <f aca="false">IF($K628="Less",$P628,0)</f>
        <v>0</v>
      </c>
      <c r="U628" s="64" t="n">
        <f aca="false">IF($K628="Expected",$P628,0)</f>
        <v>0</v>
      </c>
      <c r="V628" s="64" t="n">
        <f aca="false">IF($K628="Better",$P628,0)</f>
        <v>4</v>
      </c>
      <c r="W628" s="64" t="n">
        <f aca="false">IF($K628="U – needs rule",$P628,0)</f>
        <v>0</v>
      </c>
      <c r="X628" s="64" t="n">
        <f aca="false">IF($K628="No Start (attainment only)",$P628,0)</f>
        <v>0</v>
      </c>
    </row>
    <row r="629" customFormat="false" ht="15" hidden="false" customHeight="false" outlineLevel="0" collapsed="false">
      <c r="A629" s="60" t="s">
        <v>440</v>
      </c>
      <c r="B629" s="61" t="str">
        <f aca="false">IF($M629=0,"",INDEX(Classes!$E$6:$E$420,$M629))</f>
        <v>Arabic A</v>
      </c>
      <c r="C629" s="62" t="str">
        <f aca="false">IF($M629=0,"",INDEX(Classes!$H$6:$H$420,$M629))</f>
        <v>Ms Aya Soliman Eid</v>
      </c>
      <c r="D629" s="61" t="str">
        <f aca="false">IF($M629=0,"",INDEX(Classes!$B$6:$B$420,$M629))</f>
        <v>Year 2</v>
      </c>
      <c r="E629" s="61" t="str">
        <f aca="false">IF($M629=0,"",INDEX(Classes!$C$6:$C$420,$M629))</f>
        <v>af</v>
      </c>
      <c r="F629" s="63" t="s">
        <v>107</v>
      </c>
      <c r="G629" s="63" t="s">
        <v>108</v>
      </c>
      <c r="H629" s="60" t="s">
        <v>202</v>
      </c>
      <c r="I629" s="60" t="s">
        <v>201</v>
      </c>
      <c r="J629" s="63" t="n">
        <v>1</v>
      </c>
      <c r="K629" s="61" t="str">
        <f aca="false">IF($P629=0,"",IF($F629="Baseline","— Baseline",IF($O629=0,"No result",IF($N629=0,"No Start (attainment only)",IF(OR($N629=1,$O629=1),"U – needs rule",INDEX(MxBody,MATCH($I629,MxCurr,0),MATCH($H629,MxStart,0)))))))</f>
        <v>Expected</v>
      </c>
      <c r="L629" s="62" t="str">
        <f aca="false">IF(COUNTA($A629,$F629,$G629,$H629,$I629,$J629)=0,"",IF($M629=0,"✖ كود الصف غير موجود",IF(ISNA(MATCH($F629,Lists!$A$2:$A$5,0)),"✖ الفترة غير صحيحة",IF(ISNA(MATCH($G629,Lists!$B$2:$B$7,0)),"✖ المجموعة غير صحيحة",IF(NOT(OR($H629="",$N629&gt;0)),"✖ Start غير صحيح",IF(NOT(OR($I629="",$I629="NR",$O629&gt;0)),"✖ Current غير صحيح",IF(NOT(IF(ISNUMBER($J629),AND($J629&gt;=0,$J629=INT($J629)),FALSE())),"✖ العدد يجب أن يكون صحيحًا ≥ 0",IF(AND($F629="Baseline",$H629&lt;&gt;""),"⚠ Baseline: Start لا يدخل في التقدم",IF($K629="No Start (attainment only)","ℹ تحصيل فقط (بدون Start)",IF($K629="U – needs rule","ℹ حالة U تحتاج قاعدة معتمدة",IF($K629="No result","ℹ بدون نتيجة (يُستبعد من التحصيل)","OK")))))))))))</f>
        <v>OK</v>
      </c>
      <c r="M629" s="64" t="n">
        <f aca="false">IF($A629="",0,IFERROR(MATCH($A629,Classes!$A$6:$A$420,0),0))</f>
        <v>1</v>
      </c>
      <c r="N629" s="64" t="n">
        <f aca="false">IF($H629="",0,IFERROR(MATCH($H629,GradeList,0),0))</f>
        <v>7</v>
      </c>
      <c r="O629" s="64" t="n">
        <f aca="false">IF(OR($I629="",$I629="NR"),0,IFERROR(MATCH($I629,GradeList,0),0))</f>
        <v>6</v>
      </c>
      <c r="P629" s="64" t="n">
        <f aca="false">IF(AND($M629&gt;0,ISNUMBER(MATCH($F629,Lists!$A$2:$A$5,0)),ISNUMBER(MATCH($G629,Lists!$B$2:$B$7,0)),OR($H629="",$N629&gt;0),OR($I629="",$I629="NR",$O629&gt;0),IF(ISNUMBER($J629),AND($J629&gt;=0,$J629=INT($J629)),FALSE())),$J629,0)</f>
        <v>1</v>
      </c>
      <c r="Q629" s="64" t="n">
        <f aca="false">IF(AND($P629&gt;0,$O629&gt;0),$P629,0)</f>
        <v>1</v>
      </c>
      <c r="R629" s="64" t="n">
        <f aca="false">IF(AND($Q629&gt;0,$O629&gt;=AtRank),$Q629,0)</f>
        <v>1</v>
      </c>
      <c r="S629" s="64" t="n">
        <f aca="false">IF(AND($Q629&gt;0,$O629&gt;=AboveRank),$Q629,0)</f>
        <v>0</v>
      </c>
      <c r="T629" s="64" t="n">
        <f aca="false">IF($K629="Less",$P629,0)</f>
        <v>0</v>
      </c>
      <c r="U629" s="64" t="n">
        <f aca="false">IF($K629="Expected",$P629,0)</f>
        <v>1</v>
      </c>
      <c r="V629" s="64" t="n">
        <f aca="false">IF($K629="Better",$P629,0)</f>
        <v>0</v>
      </c>
      <c r="W629" s="64" t="n">
        <f aca="false">IF($K629="U – needs rule",$P629,0)</f>
        <v>0</v>
      </c>
      <c r="X629" s="64" t="n">
        <f aca="false">IF($K629="No Start (attainment only)",$P629,0)</f>
        <v>0</v>
      </c>
    </row>
    <row r="630" customFormat="false" ht="15" hidden="false" customHeight="false" outlineLevel="0" collapsed="false">
      <c r="A630" s="60" t="s">
        <v>440</v>
      </c>
      <c r="B630" s="61" t="str">
        <f aca="false">IF($M630=0,"",INDEX(Classes!$E$6:$E$420,$M630))</f>
        <v>Arabic A</v>
      </c>
      <c r="C630" s="62" t="str">
        <f aca="false">IF($M630=0,"",INDEX(Classes!$H$6:$H$420,$M630))</f>
        <v>Ms Aya Soliman Eid</v>
      </c>
      <c r="D630" s="61" t="str">
        <f aca="false">IF($M630=0,"",INDEX(Classes!$B$6:$B$420,$M630))</f>
        <v>Year 2</v>
      </c>
      <c r="E630" s="61" t="str">
        <f aca="false">IF($M630=0,"",INDEX(Classes!$C$6:$C$420,$M630))</f>
        <v>af</v>
      </c>
      <c r="F630" s="63" t="s">
        <v>107</v>
      </c>
      <c r="G630" s="63" t="s">
        <v>108</v>
      </c>
      <c r="H630" s="60" t="s">
        <v>202</v>
      </c>
      <c r="I630" s="60" t="s">
        <v>204</v>
      </c>
      <c r="J630" s="63" t="n">
        <v>1</v>
      </c>
      <c r="K630" s="61" t="str">
        <f aca="false">IF($P630=0,"",IF($F630="Baseline","— Baseline",IF($O630=0,"No result",IF($N630=0,"No Start (attainment only)",IF(OR($N630=1,$O630=1),"U – needs rule",INDEX(MxBody,MATCH($I630,MxCurr,0),MATCH($H630,MxStart,0)))))))</f>
        <v>Better</v>
      </c>
      <c r="L630" s="62" t="str">
        <f aca="false">IF(COUNTA($A630,$F630,$G630,$H630,$I630,$J630)=0,"",IF($M630=0,"✖ كود الصف غير موجود",IF(ISNA(MATCH($F630,Lists!$A$2:$A$5,0)),"✖ الفترة غير صحيحة",IF(ISNA(MATCH($G630,Lists!$B$2:$B$7,0)),"✖ المجموعة غير صحيحة",IF(NOT(OR($H630="",$N630&gt;0)),"✖ Start غير صحيح",IF(NOT(OR($I630="",$I630="NR",$O630&gt;0)),"✖ Current غير صحيح",IF(NOT(IF(ISNUMBER($J630),AND($J630&gt;=0,$J630=INT($J630)),FALSE())),"✖ العدد يجب أن يكون صحيحًا ≥ 0",IF(AND($F630="Baseline",$H630&lt;&gt;""),"⚠ Baseline: Start لا يدخل في التقدم",IF($K630="No Start (attainment only)","ℹ تحصيل فقط (بدون Start)",IF($K630="U – needs rule","ℹ حالة U تحتاج قاعدة معتمدة",IF($K630="No result","ℹ بدون نتيجة (يُستبعد من التحصيل)","OK")))))))))))</f>
        <v>OK</v>
      </c>
      <c r="M630" s="64" t="n">
        <f aca="false">IF($A630="",0,IFERROR(MATCH($A630,Classes!$A$6:$A$420,0),0))</f>
        <v>1</v>
      </c>
      <c r="N630" s="64" t="n">
        <f aca="false">IF($H630="",0,IFERROR(MATCH($H630,GradeList,0),0))</f>
        <v>7</v>
      </c>
      <c r="O630" s="64" t="n">
        <f aca="false">IF(OR($I630="",$I630="NR"),0,IFERROR(MATCH($I630,GradeList,0),0))</f>
        <v>9</v>
      </c>
      <c r="P630" s="64" t="n">
        <f aca="false">IF(AND($M630&gt;0,ISNUMBER(MATCH($F630,Lists!$A$2:$A$5,0)),ISNUMBER(MATCH($G630,Lists!$B$2:$B$7,0)),OR($H630="",$N630&gt;0),OR($I630="",$I630="NR",$O630&gt;0),IF(ISNUMBER($J630),AND($J630&gt;=0,$J630=INT($J630)),FALSE())),$J630,0)</f>
        <v>1</v>
      </c>
      <c r="Q630" s="64" t="n">
        <f aca="false">IF(AND($P630&gt;0,$O630&gt;0),$P630,0)</f>
        <v>1</v>
      </c>
      <c r="R630" s="64" t="n">
        <f aca="false">IF(AND($Q630&gt;0,$O630&gt;=AtRank),$Q630,0)</f>
        <v>1</v>
      </c>
      <c r="S630" s="64" t="n">
        <f aca="false">IF(AND($Q630&gt;0,$O630&gt;=AboveRank),$Q630,0)</f>
        <v>1</v>
      </c>
      <c r="T630" s="64" t="n">
        <f aca="false">IF($K630="Less",$P630,0)</f>
        <v>0</v>
      </c>
      <c r="U630" s="64" t="n">
        <f aca="false">IF($K630="Expected",$P630,0)</f>
        <v>0</v>
      </c>
      <c r="V630" s="64" t="n">
        <f aca="false">IF($K630="Better",$P630,0)</f>
        <v>1</v>
      </c>
      <c r="W630" s="64" t="n">
        <f aca="false">IF($K630="U – needs rule",$P630,0)</f>
        <v>0</v>
      </c>
      <c r="X630" s="64" t="n">
        <f aca="false">IF($K630="No Start (attainment only)",$P630,0)</f>
        <v>0</v>
      </c>
    </row>
    <row r="631" customFormat="false" ht="15" hidden="false" customHeight="false" outlineLevel="0" collapsed="false">
      <c r="A631" s="60" t="s">
        <v>440</v>
      </c>
      <c r="B631" s="61" t="str">
        <f aca="false">IF($M631=0,"",INDEX(Classes!$E$6:$E$420,$M631))</f>
        <v>Arabic A</v>
      </c>
      <c r="C631" s="62" t="str">
        <f aca="false">IF($M631=0,"",INDEX(Classes!$H$6:$H$420,$M631))</f>
        <v>Ms Aya Soliman Eid</v>
      </c>
      <c r="D631" s="61" t="str">
        <f aca="false">IF($M631=0,"",INDEX(Classes!$B$6:$B$420,$M631))</f>
        <v>Year 2</v>
      </c>
      <c r="E631" s="61" t="str">
        <f aca="false">IF($M631=0,"",INDEX(Classes!$C$6:$C$420,$M631))</f>
        <v>af</v>
      </c>
      <c r="F631" s="63" t="s">
        <v>107</v>
      </c>
      <c r="G631" s="63" t="s">
        <v>108</v>
      </c>
      <c r="H631" s="60" t="s">
        <v>203</v>
      </c>
      <c r="I631" s="60" t="s">
        <v>203</v>
      </c>
      <c r="J631" s="63" t="n">
        <v>2</v>
      </c>
      <c r="K631" s="61" t="str">
        <f aca="false">IF($P631=0,"",IF($F631="Baseline","— Baseline",IF($O631=0,"No result",IF($N631=0,"No Start (attainment only)",IF(OR($N631=1,$O631=1),"U – needs rule",INDEX(MxBody,MATCH($I631,MxCurr,0),MATCH($H631,MxStart,0)))))))</f>
        <v>Better</v>
      </c>
      <c r="L631" s="62" t="str">
        <f aca="false">IF(COUNTA($A631,$F631,$G631,$H631,$I631,$J631)=0,"",IF($M631=0,"✖ كود الصف غير موجود",IF(ISNA(MATCH($F631,Lists!$A$2:$A$5,0)),"✖ الفترة غير صحيحة",IF(ISNA(MATCH($G631,Lists!$B$2:$B$7,0)),"✖ المجموعة غير صحيحة",IF(NOT(OR($H631="",$N631&gt;0)),"✖ Start غير صحيح",IF(NOT(OR($I631="",$I631="NR",$O631&gt;0)),"✖ Current غير صحيح",IF(NOT(IF(ISNUMBER($J631),AND($J631&gt;=0,$J631=INT($J631)),FALSE())),"✖ العدد يجب أن يكون صحيحًا ≥ 0",IF(AND($F631="Baseline",$H631&lt;&gt;""),"⚠ Baseline: Start لا يدخل في التقدم",IF($K631="No Start (attainment only)","ℹ تحصيل فقط (بدون Start)",IF($K631="U – needs rule","ℹ حالة U تحتاج قاعدة معتمدة",IF($K631="No result","ℹ بدون نتيجة (يُستبعد من التحصيل)","OK")))))))))))</f>
        <v>OK</v>
      </c>
      <c r="M631" s="64" t="n">
        <f aca="false">IF($A631="",0,IFERROR(MATCH($A631,Classes!$A$6:$A$420,0),0))</f>
        <v>1</v>
      </c>
      <c r="N631" s="64" t="n">
        <f aca="false">IF($H631="",0,IFERROR(MATCH($H631,GradeList,0),0))</f>
        <v>8</v>
      </c>
      <c r="O631" s="64" t="n">
        <f aca="false">IF(OR($I631="",$I631="NR"),0,IFERROR(MATCH($I631,GradeList,0),0))</f>
        <v>8</v>
      </c>
      <c r="P631" s="64" t="n">
        <f aca="false">IF(AND($M631&gt;0,ISNUMBER(MATCH($F631,Lists!$A$2:$A$5,0)),ISNUMBER(MATCH($G631,Lists!$B$2:$B$7,0)),OR($H631="",$N631&gt;0),OR($I631="",$I631="NR",$O631&gt;0),IF(ISNUMBER($J631),AND($J631&gt;=0,$J631=INT($J631)),FALSE())),$J631,0)</f>
        <v>2</v>
      </c>
      <c r="Q631" s="64" t="n">
        <f aca="false">IF(AND($P631&gt;0,$O631&gt;0),$P631,0)</f>
        <v>2</v>
      </c>
      <c r="R631" s="64" t="n">
        <f aca="false">IF(AND($Q631&gt;0,$O631&gt;=AtRank),$Q631,0)</f>
        <v>2</v>
      </c>
      <c r="S631" s="64" t="n">
        <f aca="false">IF(AND($Q631&gt;0,$O631&gt;=AboveRank),$Q631,0)</f>
        <v>2</v>
      </c>
      <c r="T631" s="64" t="n">
        <f aca="false">IF($K631="Less",$P631,0)</f>
        <v>0</v>
      </c>
      <c r="U631" s="64" t="n">
        <f aca="false">IF($K631="Expected",$P631,0)</f>
        <v>0</v>
      </c>
      <c r="V631" s="64" t="n">
        <f aca="false">IF($K631="Better",$P631,0)</f>
        <v>2</v>
      </c>
      <c r="W631" s="64" t="n">
        <f aca="false">IF($K631="U – needs rule",$P631,0)</f>
        <v>0</v>
      </c>
      <c r="X631" s="64" t="n">
        <f aca="false">IF($K631="No Start (attainment only)",$P631,0)</f>
        <v>0</v>
      </c>
    </row>
    <row r="632" customFormat="false" ht="15" hidden="false" customHeight="false" outlineLevel="0" collapsed="false">
      <c r="A632" s="60" t="s">
        <v>440</v>
      </c>
      <c r="B632" s="61" t="str">
        <f aca="false">IF($M632=0,"",INDEX(Classes!$E$6:$E$420,$M632))</f>
        <v>Arabic A</v>
      </c>
      <c r="C632" s="62" t="str">
        <f aca="false">IF($M632=0,"",INDEX(Classes!$H$6:$H$420,$M632))</f>
        <v>Ms Aya Soliman Eid</v>
      </c>
      <c r="D632" s="61" t="str">
        <f aca="false">IF($M632=0,"",INDEX(Classes!$B$6:$B$420,$M632))</f>
        <v>Year 2</v>
      </c>
      <c r="E632" s="61" t="str">
        <f aca="false">IF($M632=0,"",INDEX(Classes!$C$6:$C$420,$M632))</f>
        <v>af</v>
      </c>
      <c r="F632" s="63" t="s">
        <v>107</v>
      </c>
      <c r="G632" s="63" t="s">
        <v>108</v>
      </c>
      <c r="H632" s="60" t="s">
        <v>200</v>
      </c>
      <c r="I632" s="60" t="s">
        <v>200</v>
      </c>
      <c r="J632" s="63" t="n">
        <v>1</v>
      </c>
      <c r="K632" s="61" t="str">
        <f aca="false">IF($P632=0,"",IF($F632="Baseline","— Baseline",IF($O632=0,"No result",IF($N632=0,"No Start (attainment only)",IF(OR($N632=1,$O632=1),"U – needs rule",INDEX(MxBody,MATCH($I632,MxCurr,0),MATCH($H632,MxStart,0)))))))</f>
        <v>Expected</v>
      </c>
      <c r="L632" s="62" t="str">
        <f aca="false">IF(COUNTA($A632,$F632,$G632,$H632,$I632,$J632)=0,"",IF($M632=0,"✖ كود الصف غير موجود",IF(ISNA(MATCH($F632,Lists!$A$2:$A$5,0)),"✖ الفترة غير صحيحة",IF(ISNA(MATCH($G632,Lists!$B$2:$B$7,0)),"✖ المجموعة غير صحيحة",IF(NOT(OR($H632="",$N632&gt;0)),"✖ Start غير صحيح",IF(NOT(OR($I632="",$I632="NR",$O632&gt;0)),"✖ Current غير صحيح",IF(NOT(IF(ISNUMBER($J632),AND($J632&gt;=0,$J632=INT($J632)),FALSE())),"✖ العدد يجب أن يكون صحيحًا ≥ 0",IF(AND($F632="Baseline",$H632&lt;&gt;""),"⚠ Baseline: Start لا يدخل في التقدم",IF($K632="No Start (attainment only)","ℹ تحصيل فقط (بدون Start)",IF($K632="U – needs rule","ℹ حالة U تحتاج قاعدة معتمدة",IF($K632="No result","ℹ بدون نتيجة (يُستبعد من التحصيل)","OK")))))))))))</f>
        <v>OK</v>
      </c>
      <c r="M632" s="64" t="n">
        <f aca="false">IF($A632="",0,IFERROR(MATCH($A632,Classes!$A$6:$A$420,0),0))</f>
        <v>1</v>
      </c>
      <c r="N632" s="64" t="n">
        <f aca="false">IF($H632="",0,IFERROR(MATCH($H632,GradeList,0),0))</f>
        <v>5</v>
      </c>
      <c r="O632" s="64" t="n">
        <f aca="false">IF(OR($I632="",$I632="NR"),0,IFERROR(MATCH($I632,GradeList,0),0))</f>
        <v>5</v>
      </c>
      <c r="P632" s="64" t="n">
        <f aca="false">IF(AND($M632&gt;0,ISNUMBER(MATCH($F632,Lists!$A$2:$A$5,0)),ISNUMBER(MATCH($G632,Lists!$B$2:$B$7,0)),OR($H632="",$N632&gt;0),OR($I632="",$I632="NR",$O632&gt;0),IF(ISNUMBER($J632),AND($J632&gt;=0,$J632=INT($J632)),FALSE())),$J632,0)</f>
        <v>1</v>
      </c>
      <c r="Q632" s="64" t="n">
        <f aca="false">IF(AND($P632&gt;0,$O632&gt;0),$P632,0)</f>
        <v>1</v>
      </c>
      <c r="R632" s="64" t="n">
        <f aca="false">IF(AND($Q632&gt;0,$O632&gt;=AtRank),$Q632,0)</f>
        <v>1</v>
      </c>
      <c r="S632" s="64" t="n">
        <f aca="false">IF(AND($Q632&gt;0,$O632&gt;=AboveRank),$Q632,0)</f>
        <v>0</v>
      </c>
      <c r="T632" s="64" t="n">
        <f aca="false">IF($K632="Less",$P632,0)</f>
        <v>0</v>
      </c>
      <c r="U632" s="64" t="n">
        <f aca="false">IF($K632="Expected",$P632,0)</f>
        <v>1</v>
      </c>
      <c r="V632" s="64" t="n">
        <f aca="false">IF($K632="Better",$P632,0)</f>
        <v>0</v>
      </c>
      <c r="W632" s="64" t="n">
        <f aca="false">IF($K632="U – needs rule",$P632,0)</f>
        <v>0</v>
      </c>
      <c r="X632" s="64" t="n">
        <f aca="false">IF($K632="No Start (attainment only)",$P632,0)</f>
        <v>0</v>
      </c>
    </row>
    <row r="633" customFormat="false" ht="15" hidden="false" customHeight="false" outlineLevel="0" collapsed="false">
      <c r="A633" s="60" t="s">
        <v>440</v>
      </c>
      <c r="B633" s="61" t="str">
        <f aca="false">IF($M633=0,"",INDEX(Classes!$E$6:$E$420,$M633))</f>
        <v>Arabic A</v>
      </c>
      <c r="C633" s="62" t="str">
        <f aca="false">IF($M633=0,"",INDEX(Classes!$H$6:$H$420,$M633))</f>
        <v>Ms Aya Soliman Eid</v>
      </c>
      <c r="D633" s="61" t="str">
        <f aca="false">IF($M633=0,"",INDEX(Classes!$B$6:$B$420,$M633))</f>
        <v>Year 2</v>
      </c>
      <c r="E633" s="61" t="str">
        <f aca="false">IF($M633=0,"",INDEX(Classes!$C$6:$C$420,$M633))</f>
        <v>af</v>
      </c>
      <c r="F633" s="63" t="s">
        <v>107</v>
      </c>
      <c r="G633" s="63" t="s">
        <v>108</v>
      </c>
      <c r="H633" s="60" t="s">
        <v>200</v>
      </c>
      <c r="I633" s="60" t="s">
        <v>196</v>
      </c>
      <c r="J633" s="63" t="n">
        <v>1</v>
      </c>
      <c r="K633" s="61" t="str">
        <f aca="false">IF($P633=0,"",IF($F633="Baseline","— Baseline",IF($O633=0,"No result",IF($N633=0,"No Start (attainment only)",IF(OR($N633=1,$O633=1),"U – needs rule",INDEX(MxBody,MATCH($I633,MxCurr,0),MATCH($H633,MxStart,0)))))))</f>
        <v>U – needs rule</v>
      </c>
      <c r="L633" s="62" t="str">
        <f aca="false">IF(COUNTA($A633,$F633,$G633,$H633,$I633,$J633)=0,"",IF($M633=0,"✖ كود الصف غير موجود",IF(ISNA(MATCH($F633,Lists!$A$2:$A$5,0)),"✖ الفترة غير صحيحة",IF(ISNA(MATCH($G633,Lists!$B$2:$B$7,0)),"✖ المجموعة غير صحيحة",IF(NOT(OR($H633="",$N633&gt;0)),"✖ Start غير صحيح",IF(NOT(OR($I633="",$I633="NR",$O633&gt;0)),"✖ Current غير صحيح",IF(NOT(IF(ISNUMBER($J633),AND($J633&gt;=0,$J633=INT($J633)),FALSE())),"✖ العدد يجب أن يكون صحيحًا ≥ 0",IF(AND($F633="Baseline",$H633&lt;&gt;""),"⚠ Baseline: Start لا يدخل في التقدم",IF($K633="No Start (attainment only)","ℹ تحصيل فقط (بدون Start)",IF($K633="U – needs rule","ℹ حالة U تحتاج قاعدة معتمدة",IF($K633="No result","ℹ بدون نتيجة (يُستبعد من التحصيل)","OK")))))))))))</f>
        <v>ℹ حالة U تحتاج قاعدة معتمدة</v>
      </c>
      <c r="M633" s="64" t="n">
        <f aca="false">IF($A633="",0,IFERROR(MATCH($A633,Classes!$A$6:$A$420,0),0))</f>
        <v>1</v>
      </c>
      <c r="N633" s="64" t="n">
        <f aca="false">IF($H633="",0,IFERROR(MATCH($H633,GradeList,0),0))</f>
        <v>5</v>
      </c>
      <c r="O633" s="64" t="n">
        <f aca="false">IF(OR($I633="",$I633="NR"),0,IFERROR(MATCH($I633,GradeList,0),0))</f>
        <v>1</v>
      </c>
      <c r="P633" s="64" t="n">
        <f aca="false">IF(AND($M633&gt;0,ISNUMBER(MATCH($F633,Lists!$A$2:$A$5,0)),ISNUMBER(MATCH($G633,Lists!$B$2:$B$7,0)),OR($H633="",$N633&gt;0),OR($I633="",$I633="NR",$O633&gt;0),IF(ISNUMBER($J633),AND($J633&gt;=0,$J633=INT($J633)),FALSE())),$J633,0)</f>
        <v>1</v>
      </c>
      <c r="Q633" s="64" t="n">
        <f aca="false">IF(AND($P633&gt;0,$O633&gt;0),$P633,0)</f>
        <v>1</v>
      </c>
      <c r="R633" s="64" t="n">
        <f aca="false">IF(AND($Q633&gt;0,$O633&gt;=AtRank),$Q633,0)</f>
        <v>0</v>
      </c>
      <c r="S633" s="64" t="n">
        <f aca="false">IF(AND($Q633&gt;0,$O633&gt;=AboveRank),$Q633,0)</f>
        <v>0</v>
      </c>
      <c r="T633" s="64" t="n">
        <f aca="false">IF($K633="Less",$P633,0)</f>
        <v>0</v>
      </c>
      <c r="U633" s="64" t="n">
        <f aca="false">IF($K633="Expected",$P633,0)</f>
        <v>0</v>
      </c>
      <c r="V633" s="64" t="n">
        <f aca="false">IF($K633="Better",$P633,0)</f>
        <v>0</v>
      </c>
      <c r="W633" s="64" t="n">
        <f aca="false">IF($K633="U – needs rule",$P633,0)</f>
        <v>1</v>
      </c>
      <c r="X633" s="64" t="n">
        <f aca="false">IF($K633="No Start (attainment only)",$P633,0)</f>
        <v>0</v>
      </c>
    </row>
    <row r="634" customFormat="false" ht="15" hidden="false" customHeight="false" outlineLevel="0" collapsed="false">
      <c r="A634" s="60" t="s">
        <v>440</v>
      </c>
      <c r="B634" s="61" t="str">
        <f aca="false">IF($M634=0,"",INDEX(Classes!$E$6:$E$420,$M634))</f>
        <v>Arabic A</v>
      </c>
      <c r="C634" s="62" t="str">
        <f aca="false">IF($M634=0,"",INDEX(Classes!$H$6:$H$420,$M634))</f>
        <v>Ms Aya Soliman Eid</v>
      </c>
      <c r="D634" s="61" t="str">
        <f aca="false">IF($M634=0,"",INDEX(Classes!$B$6:$B$420,$M634))</f>
        <v>Year 2</v>
      </c>
      <c r="E634" s="61" t="str">
        <f aca="false">IF($M634=0,"",INDEX(Classes!$C$6:$C$420,$M634))</f>
        <v>af</v>
      </c>
      <c r="F634" s="63" t="s">
        <v>107</v>
      </c>
      <c r="G634" s="63" t="s">
        <v>108</v>
      </c>
      <c r="H634" s="60" t="s">
        <v>201</v>
      </c>
      <c r="I634" s="60" t="s">
        <v>202</v>
      </c>
      <c r="J634" s="63" t="n">
        <v>1</v>
      </c>
      <c r="K634" s="61" t="str">
        <f aca="false">IF($P634=0,"",IF($F634="Baseline","— Baseline",IF($O634=0,"No result",IF($N634=0,"No Start (attainment only)",IF(OR($N634=1,$O634=1),"U – needs rule",INDEX(MxBody,MATCH($I634,MxCurr,0),MATCH($H634,MxStart,0)))))))</f>
        <v>Better</v>
      </c>
      <c r="L634" s="62" t="str">
        <f aca="false">IF(COUNTA($A634,$F634,$G634,$H634,$I634,$J634)=0,"",IF($M634=0,"✖ كود الصف غير موجود",IF(ISNA(MATCH($F634,Lists!$A$2:$A$5,0)),"✖ الفترة غير صحيحة",IF(ISNA(MATCH($G634,Lists!$B$2:$B$7,0)),"✖ المجموعة غير صحيحة",IF(NOT(OR($H634="",$N634&gt;0)),"✖ Start غير صحيح",IF(NOT(OR($I634="",$I634="NR",$O634&gt;0)),"✖ Current غير صحيح",IF(NOT(IF(ISNUMBER($J634),AND($J634&gt;=0,$J634=INT($J634)),FALSE())),"✖ العدد يجب أن يكون صحيحًا ≥ 0",IF(AND($F634="Baseline",$H634&lt;&gt;""),"⚠ Baseline: Start لا يدخل في التقدم",IF($K634="No Start (attainment only)","ℹ تحصيل فقط (بدون Start)",IF($K634="U – needs rule","ℹ حالة U تحتاج قاعدة معتمدة",IF($K634="No result","ℹ بدون نتيجة (يُستبعد من التحصيل)","OK")))))))))))</f>
        <v>OK</v>
      </c>
      <c r="M634" s="64" t="n">
        <f aca="false">IF($A634="",0,IFERROR(MATCH($A634,Classes!$A$6:$A$420,0),0))</f>
        <v>1</v>
      </c>
      <c r="N634" s="64" t="n">
        <f aca="false">IF($H634="",0,IFERROR(MATCH($H634,GradeList,0),0))</f>
        <v>6</v>
      </c>
      <c r="O634" s="64" t="n">
        <f aca="false">IF(OR($I634="",$I634="NR"),0,IFERROR(MATCH($I634,GradeList,0),0))</f>
        <v>7</v>
      </c>
      <c r="P634" s="64" t="n">
        <f aca="false">IF(AND($M634&gt;0,ISNUMBER(MATCH($F634,Lists!$A$2:$A$5,0)),ISNUMBER(MATCH($G634,Lists!$B$2:$B$7,0)),OR($H634="",$N634&gt;0),OR($I634="",$I634="NR",$O634&gt;0),IF(ISNUMBER($J634),AND($J634&gt;=0,$J634=INT($J634)),FALSE())),$J634,0)</f>
        <v>1</v>
      </c>
      <c r="Q634" s="64" t="n">
        <f aca="false">IF(AND($P634&gt;0,$O634&gt;0),$P634,0)</f>
        <v>1</v>
      </c>
      <c r="R634" s="64" t="n">
        <f aca="false">IF(AND($Q634&gt;0,$O634&gt;=AtRank),$Q634,0)</f>
        <v>1</v>
      </c>
      <c r="S634" s="64" t="n">
        <f aca="false">IF(AND($Q634&gt;0,$O634&gt;=AboveRank),$Q634,0)</f>
        <v>1</v>
      </c>
      <c r="T634" s="64" t="n">
        <f aca="false">IF($K634="Less",$P634,0)</f>
        <v>0</v>
      </c>
      <c r="U634" s="64" t="n">
        <f aca="false">IF($K634="Expected",$P634,0)</f>
        <v>0</v>
      </c>
      <c r="V634" s="64" t="n">
        <f aca="false">IF($K634="Better",$P634,0)</f>
        <v>1</v>
      </c>
      <c r="W634" s="64" t="n">
        <f aca="false">IF($K634="U – needs rule",$P634,0)</f>
        <v>0</v>
      </c>
      <c r="X634" s="64" t="n">
        <f aca="false">IF($K634="No Start (attainment only)",$P634,0)</f>
        <v>0</v>
      </c>
    </row>
    <row r="635" customFormat="false" ht="15" hidden="false" customHeight="false" outlineLevel="0" collapsed="false">
      <c r="A635" s="60" t="s">
        <v>440</v>
      </c>
      <c r="B635" s="61" t="str">
        <f aca="false">IF($M635=0,"",INDEX(Classes!$E$6:$E$420,$M635))</f>
        <v>Arabic A</v>
      </c>
      <c r="C635" s="62" t="str">
        <f aca="false">IF($M635=0,"",INDEX(Classes!$H$6:$H$420,$M635))</f>
        <v>Ms Aya Soliman Eid</v>
      </c>
      <c r="D635" s="61" t="str">
        <f aca="false">IF($M635=0,"",INDEX(Classes!$B$6:$B$420,$M635))</f>
        <v>Year 2</v>
      </c>
      <c r="E635" s="61" t="str">
        <f aca="false">IF($M635=0,"",INDEX(Classes!$C$6:$C$420,$M635))</f>
        <v>af</v>
      </c>
      <c r="F635" s="63" t="s">
        <v>107</v>
      </c>
      <c r="G635" s="63" t="s">
        <v>108</v>
      </c>
      <c r="H635" s="60" t="s">
        <v>201</v>
      </c>
      <c r="I635" s="60" t="s">
        <v>203</v>
      </c>
      <c r="J635" s="63" t="n">
        <v>1</v>
      </c>
      <c r="K635" s="61" t="str">
        <f aca="false">IF($P635=0,"",IF($F635="Baseline","— Baseline",IF($O635=0,"No result",IF($N635=0,"No Start (attainment only)",IF(OR($N635=1,$O635=1),"U – needs rule",INDEX(MxBody,MATCH($I635,MxCurr,0),MATCH($H635,MxStart,0)))))))</f>
        <v>Better</v>
      </c>
      <c r="L635" s="62" t="str">
        <f aca="false">IF(COUNTA($A635,$F635,$G635,$H635,$I635,$J635)=0,"",IF($M635=0,"✖ كود الصف غير موجود",IF(ISNA(MATCH($F635,Lists!$A$2:$A$5,0)),"✖ الفترة غير صحيحة",IF(ISNA(MATCH($G635,Lists!$B$2:$B$7,0)),"✖ المجموعة غير صحيحة",IF(NOT(OR($H635="",$N635&gt;0)),"✖ Start غير صحيح",IF(NOT(OR($I635="",$I635="NR",$O635&gt;0)),"✖ Current غير صحيح",IF(NOT(IF(ISNUMBER($J635),AND($J635&gt;=0,$J635=INT($J635)),FALSE())),"✖ العدد يجب أن يكون صحيحًا ≥ 0",IF(AND($F635="Baseline",$H635&lt;&gt;""),"⚠ Baseline: Start لا يدخل في التقدم",IF($K635="No Start (attainment only)","ℹ تحصيل فقط (بدون Start)",IF($K635="U – needs rule","ℹ حالة U تحتاج قاعدة معتمدة",IF($K635="No result","ℹ بدون نتيجة (يُستبعد من التحصيل)","OK")))))))))))</f>
        <v>OK</v>
      </c>
      <c r="M635" s="64" t="n">
        <f aca="false">IF($A635="",0,IFERROR(MATCH($A635,Classes!$A$6:$A$420,0),0))</f>
        <v>1</v>
      </c>
      <c r="N635" s="64" t="n">
        <f aca="false">IF($H635="",0,IFERROR(MATCH($H635,GradeList,0),0))</f>
        <v>6</v>
      </c>
      <c r="O635" s="64" t="n">
        <f aca="false">IF(OR($I635="",$I635="NR"),0,IFERROR(MATCH($I635,GradeList,0),0))</f>
        <v>8</v>
      </c>
      <c r="P635" s="64" t="n">
        <f aca="false">IF(AND($M635&gt;0,ISNUMBER(MATCH($F635,Lists!$A$2:$A$5,0)),ISNUMBER(MATCH($G635,Lists!$B$2:$B$7,0)),OR($H635="",$N635&gt;0),OR($I635="",$I635="NR",$O635&gt;0),IF(ISNUMBER($J635),AND($J635&gt;=0,$J635=INT($J635)),FALSE())),$J635,0)</f>
        <v>1</v>
      </c>
      <c r="Q635" s="64" t="n">
        <f aca="false">IF(AND($P635&gt;0,$O635&gt;0),$P635,0)</f>
        <v>1</v>
      </c>
      <c r="R635" s="64" t="n">
        <f aca="false">IF(AND($Q635&gt;0,$O635&gt;=AtRank),$Q635,0)</f>
        <v>1</v>
      </c>
      <c r="S635" s="64" t="n">
        <f aca="false">IF(AND($Q635&gt;0,$O635&gt;=AboveRank),$Q635,0)</f>
        <v>1</v>
      </c>
      <c r="T635" s="64" t="n">
        <f aca="false">IF($K635="Less",$P635,0)</f>
        <v>0</v>
      </c>
      <c r="U635" s="64" t="n">
        <f aca="false">IF($K635="Expected",$P635,0)</f>
        <v>0</v>
      </c>
      <c r="V635" s="64" t="n">
        <f aca="false">IF($K635="Better",$P635,0)</f>
        <v>1</v>
      </c>
      <c r="W635" s="64" t="n">
        <f aca="false">IF($K635="U – needs rule",$P635,0)</f>
        <v>0</v>
      </c>
      <c r="X635" s="64" t="n">
        <f aca="false">IF($K635="No Start (attainment only)",$P635,0)</f>
        <v>0</v>
      </c>
    </row>
    <row r="636" customFormat="false" ht="15" hidden="false" customHeight="false" outlineLevel="0" collapsed="false">
      <c r="A636" s="60" t="s">
        <v>440</v>
      </c>
      <c r="B636" s="61" t="str">
        <f aca="false">IF($M636=0,"",INDEX(Classes!$E$6:$E$420,$M636))</f>
        <v>Arabic A</v>
      </c>
      <c r="C636" s="62" t="str">
        <f aca="false">IF($M636=0,"",INDEX(Classes!$H$6:$H$420,$M636))</f>
        <v>Ms Aya Soliman Eid</v>
      </c>
      <c r="D636" s="61" t="str">
        <f aca="false">IF($M636=0,"",INDEX(Classes!$B$6:$B$420,$M636))</f>
        <v>Year 2</v>
      </c>
      <c r="E636" s="61" t="str">
        <f aca="false">IF($M636=0,"",INDEX(Classes!$C$6:$C$420,$M636))</f>
        <v>af</v>
      </c>
      <c r="F636" s="63" t="s">
        <v>107</v>
      </c>
      <c r="G636" s="63" t="s">
        <v>108</v>
      </c>
      <c r="H636" s="60" t="s">
        <v>201</v>
      </c>
      <c r="I636" s="60" t="s">
        <v>201</v>
      </c>
      <c r="J636" s="63" t="n">
        <v>2</v>
      </c>
      <c r="K636" s="61" t="str">
        <f aca="false">IF($P636=0,"",IF($F636="Baseline","— Baseline",IF($O636=0,"No result",IF($N636=0,"No Start (attainment only)",IF(OR($N636=1,$O636=1),"U – needs rule",INDEX(MxBody,MATCH($I636,MxCurr,0),MATCH($H636,MxStart,0)))))))</f>
        <v>Expected</v>
      </c>
      <c r="L636" s="62" t="str">
        <f aca="false">IF(COUNTA($A636,$F636,$G636,$H636,$I636,$J636)=0,"",IF($M636=0,"✖ كود الصف غير موجود",IF(ISNA(MATCH($F636,Lists!$A$2:$A$5,0)),"✖ الفترة غير صحيحة",IF(ISNA(MATCH($G636,Lists!$B$2:$B$7,0)),"✖ المجموعة غير صحيحة",IF(NOT(OR($H636="",$N636&gt;0)),"✖ Start غير صحيح",IF(NOT(OR($I636="",$I636="NR",$O636&gt;0)),"✖ Current غير صحيح",IF(NOT(IF(ISNUMBER($J636),AND($J636&gt;=0,$J636=INT($J636)),FALSE())),"✖ العدد يجب أن يكون صحيحًا ≥ 0",IF(AND($F636="Baseline",$H636&lt;&gt;""),"⚠ Baseline: Start لا يدخل في التقدم",IF($K636="No Start (attainment only)","ℹ تحصيل فقط (بدون Start)",IF($K636="U – needs rule","ℹ حالة U تحتاج قاعدة معتمدة",IF($K636="No result","ℹ بدون نتيجة (يُستبعد من التحصيل)","OK")))))))))))</f>
        <v>OK</v>
      </c>
      <c r="M636" s="64" t="n">
        <f aca="false">IF($A636="",0,IFERROR(MATCH($A636,Classes!$A$6:$A$420,0),0))</f>
        <v>1</v>
      </c>
      <c r="N636" s="64" t="n">
        <f aca="false">IF($H636="",0,IFERROR(MATCH($H636,GradeList,0),0))</f>
        <v>6</v>
      </c>
      <c r="O636" s="64" t="n">
        <f aca="false">IF(OR($I636="",$I636="NR"),0,IFERROR(MATCH($I636,GradeList,0),0))</f>
        <v>6</v>
      </c>
      <c r="P636" s="64" t="n">
        <f aca="false">IF(AND($M636&gt;0,ISNUMBER(MATCH($F636,Lists!$A$2:$A$5,0)),ISNUMBER(MATCH($G636,Lists!$B$2:$B$7,0)),OR($H636="",$N636&gt;0),OR($I636="",$I636="NR",$O636&gt;0),IF(ISNUMBER($J636),AND($J636&gt;=0,$J636=INT($J636)),FALSE())),$J636,0)</f>
        <v>2</v>
      </c>
      <c r="Q636" s="64" t="n">
        <f aca="false">IF(AND($P636&gt;0,$O636&gt;0),$P636,0)</f>
        <v>2</v>
      </c>
      <c r="R636" s="64" t="n">
        <f aca="false">IF(AND($Q636&gt;0,$O636&gt;=AtRank),$Q636,0)</f>
        <v>2</v>
      </c>
      <c r="S636" s="64" t="n">
        <f aca="false">IF(AND($Q636&gt;0,$O636&gt;=AboveRank),$Q636,0)</f>
        <v>0</v>
      </c>
      <c r="T636" s="64" t="n">
        <f aca="false">IF($K636="Less",$P636,0)</f>
        <v>0</v>
      </c>
      <c r="U636" s="64" t="n">
        <f aca="false">IF($K636="Expected",$P636,0)</f>
        <v>2</v>
      </c>
      <c r="V636" s="64" t="n">
        <f aca="false">IF($K636="Better",$P636,0)</f>
        <v>0</v>
      </c>
      <c r="W636" s="64" t="n">
        <f aca="false">IF($K636="U – needs rule",$P636,0)</f>
        <v>0</v>
      </c>
      <c r="X636" s="64" t="n">
        <f aca="false">IF($K636="No Start (attainment only)",$P636,0)</f>
        <v>0</v>
      </c>
    </row>
    <row r="637" customFormat="false" ht="15" hidden="false" customHeight="false" outlineLevel="0" collapsed="false">
      <c r="A637" s="60" t="s">
        <v>440</v>
      </c>
      <c r="B637" s="61" t="str">
        <f aca="false">IF($M637=0,"",INDEX(Classes!$E$6:$E$420,$M637))</f>
        <v>Arabic A</v>
      </c>
      <c r="C637" s="62" t="str">
        <f aca="false">IF($M637=0,"",INDEX(Classes!$H$6:$H$420,$M637))</f>
        <v>Ms Aya Soliman Eid</v>
      </c>
      <c r="D637" s="61" t="str">
        <f aca="false">IF($M637=0,"",INDEX(Classes!$B$6:$B$420,$M637))</f>
        <v>Year 2</v>
      </c>
      <c r="E637" s="61" t="str">
        <f aca="false">IF($M637=0,"",INDEX(Classes!$C$6:$C$420,$M637))</f>
        <v>af</v>
      </c>
      <c r="F637" s="63" t="s">
        <v>107</v>
      </c>
      <c r="G637" s="63" t="s">
        <v>108</v>
      </c>
      <c r="H637" s="60" t="s">
        <v>204</v>
      </c>
      <c r="I637" s="60" t="s">
        <v>1019</v>
      </c>
      <c r="J637" s="63" t="n">
        <v>1</v>
      </c>
      <c r="K637" s="61" t="str">
        <f aca="false">IF($P637=0,"",IF($F637="Baseline","— Baseline",IF($O637=0,"No result",IF($N637=0,"No Start (attainment only)",IF(OR($N637=1,$O637=1),"U – needs rule",INDEX(MxBody,MATCH($I637,MxCurr,0),MATCH($H637,MxStart,0)))))))</f>
        <v>No result</v>
      </c>
      <c r="L637" s="62" t="str">
        <f aca="false">IF(COUNTA($A637,$F637,$G637,$H637,$I637,$J637)=0,"",IF($M637=0,"✖ كود الصف غير موجود",IF(ISNA(MATCH($F637,Lists!$A$2:$A$5,0)),"✖ الفترة غير صحيحة",IF(ISNA(MATCH($G637,Lists!$B$2:$B$7,0)),"✖ المجموعة غير صحيحة",IF(NOT(OR($H637="",$N637&gt;0)),"✖ Start غير صحيح",IF(NOT(OR($I637="",$I637="NR",$O637&gt;0)),"✖ Current غير صحيح",IF(NOT(IF(ISNUMBER($J637),AND($J637&gt;=0,$J637=INT($J637)),FALSE())),"✖ العدد يجب أن يكون صحيحًا ≥ 0",IF(AND($F637="Baseline",$H637&lt;&gt;""),"⚠ Baseline: Start لا يدخل في التقدم",IF($K637="No Start (attainment only)","ℹ تحصيل فقط (بدون Start)",IF($K637="U – needs rule","ℹ حالة U تحتاج قاعدة معتمدة",IF($K637="No result","ℹ بدون نتيجة (يُستبعد من التحصيل)","OK")))))))))))</f>
        <v>ℹ بدون نتيجة (يُستبعد من التحصيل)</v>
      </c>
      <c r="M637" s="64" t="n">
        <f aca="false">IF($A637="",0,IFERROR(MATCH($A637,Classes!$A$6:$A$420,0),0))</f>
        <v>1</v>
      </c>
      <c r="N637" s="64" t="n">
        <f aca="false">IF($H637="",0,IFERROR(MATCH($H637,GradeList,0),0))</f>
        <v>9</v>
      </c>
      <c r="O637" s="64" t="n">
        <f aca="false">IF(OR($I637="",$I637="NR"),0,IFERROR(MATCH($I637,GradeList,0),0))</f>
        <v>0</v>
      </c>
      <c r="P637" s="64" t="n">
        <f aca="false">IF(AND($M637&gt;0,ISNUMBER(MATCH($F637,Lists!$A$2:$A$5,0)),ISNUMBER(MATCH($G637,Lists!$B$2:$B$7,0)),OR($H637="",$N637&gt;0),OR($I637="",$I637="NR",$O637&gt;0),IF(ISNUMBER($J637),AND($J637&gt;=0,$J637=INT($J637)),FALSE())),$J637,0)</f>
        <v>1</v>
      </c>
      <c r="Q637" s="64" t="n">
        <f aca="false">IF(AND($P637&gt;0,$O637&gt;0),$P637,0)</f>
        <v>0</v>
      </c>
      <c r="R637" s="64" t="n">
        <f aca="false">IF(AND($Q637&gt;0,$O637&gt;=AtRank),$Q637,0)</f>
        <v>0</v>
      </c>
      <c r="S637" s="64" t="n">
        <f aca="false">IF(AND($Q637&gt;0,$O637&gt;=AboveRank),$Q637,0)</f>
        <v>0</v>
      </c>
      <c r="T637" s="64" t="n">
        <f aca="false">IF($K637="Less",$P637,0)</f>
        <v>0</v>
      </c>
      <c r="U637" s="64" t="n">
        <f aca="false">IF($K637="Expected",$P637,0)</f>
        <v>0</v>
      </c>
      <c r="V637" s="64" t="n">
        <f aca="false">IF($K637="Better",$P637,0)</f>
        <v>0</v>
      </c>
      <c r="W637" s="64" t="n">
        <f aca="false">IF($K637="U – needs rule",$P637,0)</f>
        <v>0</v>
      </c>
      <c r="X637" s="64" t="n">
        <f aca="false">IF($K637="No Start (attainment only)",$P637,0)</f>
        <v>0</v>
      </c>
    </row>
    <row r="638" customFormat="false" ht="15" hidden="false" customHeight="false" outlineLevel="0" collapsed="false">
      <c r="A638" s="60" t="s">
        <v>440</v>
      </c>
      <c r="B638" s="61" t="str">
        <f aca="false">IF($M638=0,"",INDEX(Classes!$E$6:$E$420,$M638))</f>
        <v>Arabic A</v>
      </c>
      <c r="C638" s="62" t="str">
        <f aca="false">IF($M638=0,"",INDEX(Classes!$H$6:$H$420,$M638))</f>
        <v>Ms Aya Soliman Eid</v>
      </c>
      <c r="D638" s="61" t="str">
        <f aca="false">IF($M638=0,"",INDEX(Classes!$B$6:$B$420,$M638))</f>
        <v>Year 2</v>
      </c>
      <c r="E638" s="61" t="str">
        <f aca="false">IF($M638=0,"",INDEX(Classes!$C$6:$C$420,$M638))</f>
        <v>af</v>
      </c>
      <c r="F638" s="63" t="s">
        <v>107</v>
      </c>
      <c r="G638" s="63" t="s">
        <v>108</v>
      </c>
      <c r="H638" s="60" t="s">
        <v>199</v>
      </c>
      <c r="I638" s="60" t="s">
        <v>200</v>
      </c>
      <c r="J638" s="63" t="n">
        <v>2</v>
      </c>
      <c r="K638" s="61" t="str">
        <f aca="false">IF($P638=0,"",IF($F638="Baseline","— Baseline",IF($O638=0,"No result",IF($N638=0,"No Start (attainment only)",IF(OR($N638=1,$O638=1),"U – needs rule",INDEX(MxBody,MATCH($I638,MxCurr,0),MATCH($H638,MxStart,0)))))))</f>
        <v>Better</v>
      </c>
      <c r="L638" s="62" t="str">
        <f aca="false">IF(COUNTA($A638,$F638,$G638,$H638,$I638,$J638)=0,"",IF($M638=0,"✖ كود الصف غير موجود",IF(ISNA(MATCH($F638,Lists!$A$2:$A$5,0)),"✖ الفترة غير صحيحة",IF(ISNA(MATCH($G638,Lists!$B$2:$B$7,0)),"✖ المجموعة غير صحيحة",IF(NOT(OR($H638="",$N638&gt;0)),"✖ Start غير صحيح",IF(NOT(OR($I638="",$I638="NR",$O638&gt;0)),"✖ Current غير صحيح",IF(NOT(IF(ISNUMBER($J638),AND($J638&gt;=0,$J638=INT($J638)),FALSE())),"✖ العدد يجب أن يكون صحيحًا ≥ 0",IF(AND($F638="Baseline",$H638&lt;&gt;""),"⚠ Baseline: Start لا يدخل في التقدم",IF($K638="No Start (attainment only)","ℹ تحصيل فقط (بدون Start)",IF($K638="U – needs rule","ℹ حالة U تحتاج قاعدة معتمدة",IF($K638="No result","ℹ بدون نتيجة (يُستبعد من التحصيل)","OK")))))))))))</f>
        <v>OK</v>
      </c>
      <c r="M638" s="64" t="n">
        <f aca="false">IF($A638="",0,IFERROR(MATCH($A638,Classes!$A$6:$A$420,0),0))</f>
        <v>1</v>
      </c>
      <c r="N638" s="64" t="n">
        <f aca="false">IF($H638="",0,IFERROR(MATCH($H638,GradeList,0),0))</f>
        <v>4</v>
      </c>
      <c r="O638" s="64" t="n">
        <f aca="false">IF(OR($I638="",$I638="NR"),0,IFERROR(MATCH($I638,GradeList,0),0))</f>
        <v>5</v>
      </c>
      <c r="P638" s="64" t="n">
        <f aca="false">IF(AND($M638&gt;0,ISNUMBER(MATCH($F638,Lists!$A$2:$A$5,0)),ISNUMBER(MATCH($G638,Lists!$B$2:$B$7,0)),OR($H638="",$N638&gt;0),OR($I638="",$I638="NR",$O638&gt;0),IF(ISNUMBER($J638),AND($J638&gt;=0,$J638=INT($J638)),FALSE())),$J638,0)</f>
        <v>2</v>
      </c>
      <c r="Q638" s="64" t="n">
        <f aca="false">IF(AND($P638&gt;0,$O638&gt;0),$P638,0)</f>
        <v>2</v>
      </c>
      <c r="R638" s="64" t="n">
        <f aca="false">IF(AND($Q638&gt;0,$O638&gt;=AtRank),$Q638,0)</f>
        <v>2</v>
      </c>
      <c r="S638" s="64" t="n">
        <f aca="false">IF(AND($Q638&gt;0,$O638&gt;=AboveRank),$Q638,0)</f>
        <v>0</v>
      </c>
      <c r="T638" s="64" t="n">
        <f aca="false">IF($K638="Less",$P638,0)</f>
        <v>0</v>
      </c>
      <c r="U638" s="64" t="n">
        <f aca="false">IF($K638="Expected",$P638,0)</f>
        <v>0</v>
      </c>
      <c r="V638" s="64" t="n">
        <f aca="false">IF($K638="Better",$P638,0)</f>
        <v>2</v>
      </c>
      <c r="W638" s="64" t="n">
        <f aca="false">IF($K638="U – needs rule",$P638,0)</f>
        <v>0</v>
      </c>
      <c r="X638" s="64" t="n">
        <f aca="false">IF($K638="No Start (attainment only)",$P638,0)</f>
        <v>0</v>
      </c>
    </row>
    <row r="639" customFormat="false" ht="15" hidden="false" customHeight="false" outlineLevel="0" collapsed="false">
      <c r="A639" s="60" t="s">
        <v>440</v>
      </c>
      <c r="B639" s="61" t="str">
        <f aca="false">IF($M639=0,"",INDEX(Classes!$E$6:$E$420,$M639))</f>
        <v>Arabic A</v>
      </c>
      <c r="C639" s="62" t="str">
        <f aca="false">IF($M639=0,"",INDEX(Classes!$H$6:$H$420,$M639))</f>
        <v>Ms Aya Soliman Eid</v>
      </c>
      <c r="D639" s="61" t="str">
        <f aca="false">IF($M639=0,"",INDEX(Classes!$B$6:$B$420,$M639))</f>
        <v>Year 2</v>
      </c>
      <c r="E639" s="61" t="str">
        <f aca="false">IF($M639=0,"",INDEX(Classes!$C$6:$C$420,$M639))</f>
        <v>af</v>
      </c>
      <c r="F639" s="63" t="s">
        <v>107</v>
      </c>
      <c r="G639" s="63" t="s">
        <v>108</v>
      </c>
      <c r="H639" s="60" t="s">
        <v>199</v>
      </c>
      <c r="I639" s="60" t="s">
        <v>199</v>
      </c>
      <c r="J639" s="63" t="n">
        <v>4</v>
      </c>
      <c r="K639" s="61" t="str">
        <f aca="false">IF($P639=0,"",IF($F639="Baseline","— Baseline",IF($O639=0,"No result",IF($N639=0,"No Start (attainment only)",IF(OR($N639=1,$O639=1),"U – needs rule",INDEX(MxBody,MATCH($I639,MxCurr,0),MATCH($H639,MxStart,0)))))))</f>
        <v>Expected</v>
      </c>
      <c r="L639" s="62" t="str">
        <f aca="false">IF(COUNTA($A639,$F639,$G639,$H639,$I639,$J639)=0,"",IF($M639=0,"✖ كود الصف غير موجود",IF(ISNA(MATCH($F639,Lists!$A$2:$A$5,0)),"✖ الفترة غير صحيحة",IF(ISNA(MATCH($G639,Lists!$B$2:$B$7,0)),"✖ المجموعة غير صحيحة",IF(NOT(OR($H639="",$N639&gt;0)),"✖ Start غير صحيح",IF(NOT(OR($I639="",$I639="NR",$O639&gt;0)),"✖ Current غير صحيح",IF(NOT(IF(ISNUMBER($J639),AND($J639&gt;=0,$J639=INT($J639)),FALSE())),"✖ العدد يجب أن يكون صحيحًا ≥ 0",IF(AND($F639="Baseline",$H639&lt;&gt;""),"⚠ Baseline: Start لا يدخل في التقدم",IF($K639="No Start (attainment only)","ℹ تحصيل فقط (بدون Start)",IF($K639="U – needs rule","ℹ حالة U تحتاج قاعدة معتمدة",IF($K639="No result","ℹ بدون نتيجة (يُستبعد من التحصيل)","OK")))))))))))</f>
        <v>OK</v>
      </c>
      <c r="M639" s="64" t="n">
        <f aca="false">IF($A639="",0,IFERROR(MATCH($A639,Classes!$A$6:$A$420,0),0))</f>
        <v>1</v>
      </c>
      <c r="N639" s="64" t="n">
        <f aca="false">IF($H639="",0,IFERROR(MATCH($H639,GradeList,0),0))</f>
        <v>4</v>
      </c>
      <c r="O639" s="64" t="n">
        <f aca="false">IF(OR($I639="",$I639="NR"),0,IFERROR(MATCH($I639,GradeList,0),0))</f>
        <v>4</v>
      </c>
      <c r="P639" s="64" t="n">
        <f aca="false">IF(AND($M639&gt;0,ISNUMBER(MATCH($F639,Lists!$A$2:$A$5,0)),ISNUMBER(MATCH($G639,Lists!$B$2:$B$7,0)),OR($H639="",$N639&gt;0),OR($I639="",$I639="NR",$O639&gt;0),IF(ISNUMBER($J639),AND($J639&gt;=0,$J639=INT($J639)),FALSE())),$J639,0)</f>
        <v>4</v>
      </c>
      <c r="Q639" s="64" t="n">
        <f aca="false">IF(AND($P639&gt;0,$O639&gt;0),$P639,0)</f>
        <v>4</v>
      </c>
      <c r="R639" s="64" t="n">
        <f aca="false">IF(AND($Q639&gt;0,$O639&gt;=AtRank),$Q639,0)</f>
        <v>0</v>
      </c>
      <c r="S639" s="64" t="n">
        <f aca="false">IF(AND($Q639&gt;0,$O639&gt;=AboveRank),$Q639,0)</f>
        <v>0</v>
      </c>
      <c r="T639" s="64" t="n">
        <f aca="false">IF($K639="Less",$P639,0)</f>
        <v>0</v>
      </c>
      <c r="U639" s="64" t="n">
        <f aca="false">IF($K639="Expected",$P639,0)</f>
        <v>4</v>
      </c>
      <c r="V639" s="64" t="n">
        <f aca="false">IF($K639="Better",$P639,0)</f>
        <v>0</v>
      </c>
      <c r="W639" s="64" t="n">
        <f aca="false">IF($K639="U – needs rule",$P639,0)</f>
        <v>0</v>
      </c>
      <c r="X639" s="64" t="n">
        <f aca="false">IF($K639="No Start (attainment only)",$P639,0)</f>
        <v>0</v>
      </c>
    </row>
    <row r="640" customFormat="false" ht="15" hidden="false" customHeight="false" outlineLevel="0" collapsed="false">
      <c r="A640" s="60" t="s">
        <v>440</v>
      </c>
      <c r="B640" s="61" t="str">
        <f aca="false">IF($M640=0,"",INDEX(Classes!$E$6:$E$420,$M640))</f>
        <v>Arabic A</v>
      </c>
      <c r="C640" s="62" t="str">
        <f aca="false">IF($M640=0,"",INDEX(Classes!$H$6:$H$420,$M640))</f>
        <v>Ms Aya Soliman Eid</v>
      </c>
      <c r="D640" s="61" t="str">
        <f aca="false">IF($M640=0,"",INDEX(Classes!$B$6:$B$420,$M640))</f>
        <v>Year 2</v>
      </c>
      <c r="E640" s="61" t="str">
        <f aca="false">IF($M640=0,"",INDEX(Classes!$C$6:$C$420,$M640))</f>
        <v>af</v>
      </c>
      <c r="F640" s="63" t="s">
        <v>107</v>
      </c>
      <c r="G640" s="63" t="s">
        <v>1015</v>
      </c>
      <c r="H640" s="60"/>
      <c r="I640" s="60" t="s">
        <v>199</v>
      </c>
      <c r="J640" s="63" t="n">
        <v>1</v>
      </c>
      <c r="K640" s="61" t="str">
        <f aca="false">IF($P640=0,"",IF($F640="Baseline","— Baseline",IF($O640=0,"No result",IF($N640=0,"No Start (attainment only)",IF(OR($N640=1,$O640=1),"U – needs rule",INDEX(MxBody,MATCH($I640,MxCurr,0),MATCH($H640,MxStart,0)))))))</f>
        <v>No Start (attainment only)</v>
      </c>
      <c r="L640" s="62" t="str">
        <f aca="false">IF(COUNTA($A640,$F640,$G640,$H640,$I640,$J640)=0,"",IF($M640=0,"✖ كود الصف غير موجود",IF(ISNA(MATCH($F640,Lists!$A$2:$A$5,0)),"✖ الفترة غير صحيحة",IF(ISNA(MATCH($G640,Lists!$B$2:$B$7,0)),"✖ المجموعة غير صحيحة",IF(NOT(OR($H640="",$N640&gt;0)),"✖ Start غير صحيح",IF(NOT(OR($I640="",$I640="NR",$O640&gt;0)),"✖ Current غير صحيح",IF(NOT(IF(ISNUMBER($J640),AND($J640&gt;=0,$J640=INT($J640)),FALSE())),"✖ العدد يجب أن يكون صحيحًا ≥ 0",IF(AND($F640="Baseline",$H640&lt;&gt;""),"⚠ Baseline: Start لا يدخل في التقدم",IF($K640="No Start (attainment only)","ℹ تحصيل فقط (بدون Start)",IF($K640="U – needs rule","ℹ حالة U تحتاج قاعدة معتمدة",IF($K640="No result","ℹ بدون نتيجة (يُستبعد من التحصيل)","OK")))))))))))</f>
        <v>ℹ تحصيل فقط (بدون Start)</v>
      </c>
      <c r="M640" s="64" t="n">
        <f aca="false">IF($A640="",0,IFERROR(MATCH($A640,Classes!$A$6:$A$420,0),0))</f>
        <v>1</v>
      </c>
      <c r="N640" s="64" t="n">
        <f aca="false">IF($H640="",0,IFERROR(MATCH($H640,GradeList,0),0))</f>
        <v>0</v>
      </c>
      <c r="O640" s="64" t="n">
        <f aca="false">IF(OR($I640="",$I640="NR"),0,IFERROR(MATCH($I640,GradeList,0),0))</f>
        <v>4</v>
      </c>
      <c r="P640" s="64" t="n">
        <f aca="false">IF(AND($M640&gt;0,ISNUMBER(MATCH($F640,Lists!$A$2:$A$5,0)),ISNUMBER(MATCH($G640,Lists!$B$2:$B$7,0)),OR($H640="",$N640&gt;0),OR($I640="",$I640="NR",$O640&gt;0),IF(ISNUMBER($J640),AND($J640&gt;=0,$J640=INT($J640)),FALSE())),$J640,0)</f>
        <v>1</v>
      </c>
      <c r="Q640" s="64" t="n">
        <f aca="false">IF(AND($P640&gt;0,$O640&gt;0),$P640,0)</f>
        <v>1</v>
      </c>
      <c r="R640" s="64" t="n">
        <f aca="false">IF(AND($Q640&gt;0,$O640&gt;=AtRank),$Q640,0)</f>
        <v>0</v>
      </c>
      <c r="S640" s="64" t="n">
        <f aca="false">IF(AND($Q640&gt;0,$O640&gt;=AboveRank),$Q640,0)</f>
        <v>0</v>
      </c>
      <c r="T640" s="64" t="n">
        <f aca="false">IF($K640="Less",$P640,0)</f>
        <v>0</v>
      </c>
      <c r="U640" s="64" t="n">
        <f aca="false">IF($K640="Expected",$P640,0)</f>
        <v>0</v>
      </c>
      <c r="V640" s="64" t="n">
        <f aca="false">IF($K640="Better",$P640,0)</f>
        <v>0</v>
      </c>
      <c r="W640" s="64" t="n">
        <f aca="false">IF($K640="U – needs rule",$P640,0)</f>
        <v>0</v>
      </c>
      <c r="X640" s="64" t="n">
        <f aca="false">IF($K640="No Start (attainment only)",$P640,0)</f>
        <v>1</v>
      </c>
    </row>
    <row r="641" customFormat="false" ht="15" hidden="false" customHeight="false" outlineLevel="0" collapsed="false">
      <c r="A641" s="60" t="s">
        <v>440</v>
      </c>
      <c r="B641" s="61" t="str">
        <f aca="false">IF($M641=0,"",INDEX(Classes!$E$6:$E$420,$M641))</f>
        <v>Arabic A</v>
      </c>
      <c r="C641" s="62" t="str">
        <f aca="false">IF($M641=0,"",INDEX(Classes!$H$6:$H$420,$M641))</f>
        <v>Ms Aya Soliman Eid</v>
      </c>
      <c r="D641" s="61" t="str">
        <f aca="false">IF($M641=0,"",INDEX(Classes!$B$6:$B$420,$M641))</f>
        <v>Year 2</v>
      </c>
      <c r="E641" s="61" t="str">
        <f aca="false">IF($M641=0,"",INDEX(Classes!$C$6:$C$420,$M641))</f>
        <v>af</v>
      </c>
      <c r="F641" s="63" t="s">
        <v>107</v>
      </c>
      <c r="G641" s="63" t="s">
        <v>1015</v>
      </c>
      <c r="H641" s="60" t="s">
        <v>202</v>
      </c>
      <c r="I641" s="60" t="s">
        <v>202</v>
      </c>
      <c r="J641" s="63" t="n">
        <v>3</v>
      </c>
      <c r="K641" s="61" t="str">
        <f aca="false">IF($P641=0,"",IF($F641="Baseline","— Baseline",IF($O641=0,"No result",IF($N641=0,"No Start (attainment only)",IF(OR($N641=1,$O641=1),"U – needs rule",INDEX(MxBody,MATCH($I641,MxCurr,0),MATCH($H641,MxStart,0)))))))</f>
        <v>Better</v>
      </c>
      <c r="L641" s="62" t="str">
        <f aca="false">IF(COUNTA($A641,$F641,$G641,$H641,$I641,$J641)=0,"",IF($M641=0,"✖ كود الصف غير موجود",IF(ISNA(MATCH($F641,Lists!$A$2:$A$5,0)),"✖ الفترة غير صحيحة",IF(ISNA(MATCH($G641,Lists!$B$2:$B$7,0)),"✖ المجموعة غير صحيحة",IF(NOT(OR($H641="",$N641&gt;0)),"✖ Start غير صحيح",IF(NOT(OR($I641="",$I641="NR",$O641&gt;0)),"✖ Current غير صحيح",IF(NOT(IF(ISNUMBER($J641),AND($J641&gt;=0,$J641=INT($J641)),FALSE())),"✖ العدد يجب أن يكون صحيحًا ≥ 0",IF(AND($F641="Baseline",$H641&lt;&gt;""),"⚠ Baseline: Start لا يدخل في التقدم",IF($K641="No Start (attainment only)","ℹ تحصيل فقط (بدون Start)",IF($K641="U – needs rule","ℹ حالة U تحتاج قاعدة معتمدة",IF($K641="No result","ℹ بدون نتيجة (يُستبعد من التحصيل)","OK")))))))))))</f>
        <v>OK</v>
      </c>
      <c r="M641" s="64" t="n">
        <f aca="false">IF($A641="",0,IFERROR(MATCH($A641,Classes!$A$6:$A$420,0),0))</f>
        <v>1</v>
      </c>
      <c r="N641" s="64" t="n">
        <f aca="false">IF($H641="",0,IFERROR(MATCH($H641,GradeList,0),0))</f>
        <v>7</v>
      </c>
      <c r="O641" s="64" t="n">
        <f aca="false">IF(OR($I641="",$I641="NR"),0,IFERROR(MATCH($I641,GradeList,0),0))</f>
        <v>7</v>
      </c>
      <c r="P641" s="64" t="n">
        <f aca="false">IF(AND($M641&gt;0,ISNUMBER(MATCH($F641,Lists!$A$2:$A$5,0)),ISNUMBER(MATCH($G641,Lists!$B$2:$B$7,0)),OR($H641="",$N641&gt;0),OR($I641="",$I641="NR",$O641&gt;0),IF(ISNUMBER($J641),AND($J641&gt;=0,$J641=INT($J641)),FALSE())),$J641,0)</f>
        <v>3</v>
      </c>
      <c r="Q641" s="64" t="n">
        <f aca="false">IF(AND($P641&gt;0,$O641&gt;0),$P641,0)</f>
        <v>3</v>
      </c>
      <c r="R641" s="64" t="n">
        <f aca="false">IF(AND($Q641&gt;0,$O641&gt;=AtRank),$Q641,0)</f>
        <v>3</v>
      </c>
      <c r="S641" s="64" t="n">
        <f aca="false">IF(AND($Q641&gt;0,$O641&gt;=AboveRank),$Q641,0)</f>
        <v>3</v>
      </c>
      <c r="T641" s="64" t="n">
        <f aca="false">IF($K641="Less",$P641,0)</f>
        <v>0</v>
      </c>
      <c r="U641" s="64" t="n">
        <f aca="false">IF($K641="Expected",$P641,0)</f>
        <v>0</v>
      </c>
      <c r="V641" s="64" t="n">
        <f aca="false">IF($K641="Better",$P641,0)</f>
        <v>3</v>
      </c>
      <c r="W641" s="64" t="n">
        <f aca="false">IF($K641="U – needs rule",$P641,0)</f>
        <v>0</v>
      </c>
      <c r="X641" s="64" t="n">
        <f aca="false">IF($K641="No Start (attainment only)",$P641,0)</f>
        <v>0</v>
      </c>
    </row>
    <row r="642" customFormat="false" ht="15" hidden="false" customHeight="false" outlineLevel="0" collapsed="false">
      <c r="A642" s="60" t="s">
        <v>440</v>
      </c>
      <c r="B642" s="61" t="str">
        <f aca="false">IF($M642=0,"",INDEX(Classes!$E$6:$E$420,$M642))</f>
        <v>Arabic A</v>
      </c>
      <c r="C642" s="62" t="str">
        <f aca="false">IF($M642=0,"",INDEX(Classes!$H$6:$H$420,$M642))</f>
        <v>Ms Aya Soliman Eid</v>
      </c>
      <c r="D642" s="61" t="str">
        <f aca="false">IF($M642=0,"",INDEX(Classes!$B$6:$B$420,$M642))</f>
        <v>Year 2</v>
      </c>
      <c r="E642" s="61" t="str">
        <f aca="false">IF($M642=0,"",INDEX(Classes!$C$6:$C$420,$M642))</f>
        <v>af</v>
      </c>
      <c r="F642" s="63" t="s">
        <v>107</v>
      </c>
      <c r="G642" s="63" t="s">
        <v>1015</v>
      </c>
      <c r="H642" s="60" t="s">
        <v>202</v>
      </c>
      <c r="I642" s="60" t="s">
        <v>203</v>
      </c>
      <c r="J642" s="63" t="n">
        <v>4</v>
      </c>
      <c r="K642" s="61" t="str">
        <f aca="false">IF($P642=0,"",IF($F642="Baseline","— Baseline",IF($O642=0,"No result",IF($N642=0,"No Start (attainment only)",IF(OR($N642=1,$O642=1),"U – needs rule",INDEX(MxBody,MATCH($I642,MxCurr,0),MATCH($H642,MxStart,0)))))))</f>
        <v>Better</v>
      </c>
      <c r="L642" s="62" t="str">
        <f aca="false">IF(COUNTA($A642,$F642,$G642,$H642,$I642,$J642)=0,"",IF($M642=0,"✖ كود الصف غير موجود",IF(ISNA(MATCH($F642,Lists!$A$2:$A$5,0)),"✖ الفترة غير صحيحة",IF(ISNA(MATCH($G642,Lists!$B$2:$B$7,0)),"✖ المجموعة غير صحيحة",IF(NOT(OR($H642="",$N642&gt;0)),"✖ Start غير صحيح",IF(NOT(OR($I642="",$I642="NR",$O642&gt;0)),"✖ Current غير صحيح",IF(NOT(IF(ISNUMBER($J642),AND($J642&gt;=0,$J642=INT($J642)),FALSE())),"✖ العدد يجب أن يكون صحيحًا ≥ 0",IF(AND($F642="Baseline",$H642&lt;&gt;""),"⚠ Baseline: Start لا يدخل في التقدم",IF($K642="No Start (attainment only)","ℹ تحصيل فقط (بدون Start)",IF($K642="U – needs rule","ℹ حالة U تحتاج قاعدة معتمدة",IF($K642="No result","ℹ بدون نتيجة (يُستبعد من التحصيل)","OK")))))))))))</f>
        <v>OK</v>
      </c>
      <c r="M642" s="64" t="n">
        <f aca="false">IF($A642="",0,IFERROR(MATCH($A642,Classes!$A$6:$A$420,0),0))</f>
        <v>1</v>
      </c>
      <c r="N642" s="64" t="n">
        <f aca="false">IF($H642="",0,IFERROR(MATCH($H642,GradeList,0),0))</f>
        <v>7</v>
      </c>
      <c r="O642" s="64" t="n">
        <f aca="false">IF(OR($I642="",$I642="NR"),0,IFERROR(MATCH($I642,GradeList,0),0))</f>
        <v>8</v>
      </c>
      <c r="P642" s="64" t="n">
        <f aca="false">IF(AND($M642&gt;0,ISNUMBER(MATCH($F642,Lists!$A$2:$A$5,0)),ISNUMBER(MATCH($G642,Lists!$B$2:$B$7,0)),OR($H642="",$N642&gt;0),OR($I642="",$I642="NR",$O642&gt;0),IF(ISNUMBER($J642),AND($J642&gt;=0,$J642=INT($J642)),FALSE())),$J642,0)</f>
        <v>4</v>
      </c>
      <c r="Q642" s="64" t="n">
        <f aca="false">IF(AND($P642&gt;0,$O642&gt;0),$P642,0)</f>
        <v>4</v>
      </c>
      <c r="R642" s="64" t="n">
        <f aca="false">IF(AND($Q642&gt;0,$O642&gt;=AtRank),$Q642,0)</f>
        <v>4</v>
      </c>
      <c r="S642" s="64" t="n">
        <f aca="false">IF(AND($Q642&gt;0,$O642&gt;=AboveRank),$Q642,0)</f>
        <v>4</v>
      </c>
      <c r="T642" s="64" t="n">
        <f aca="false">IF($K642="Less",$P642,0)</f>
        <v>0</v>
      </c>
      <c r="U642" s="64" t="n">
        <f aca="false">IF($K642="Expected",$P642,0)</f>
        <v>0</v>
      </c>
      <c r="V642" s="64" t="n">
        <f aca="false">IF($K642="Better",$P642,0)</f>
        <v>4</v>
      </c>
      <c r="W642" s="64" t="n">
        <f aca="false">IF($K642="U – needs rule",$P642,0)</f>
        <v>0</v>
      </c>
      <c r="X642" s="64" t="n">
        <f aca="false">IF($K642="No Start (attainment only)",$P642,0)</f>
        <v>0</v>
      </c>
    </row>
    <row r="643" customFormat="false" ht="15" hidden="false" customHeight="false" outlineLevel="0" collapsed="false">
      <c r="A643" s="60" t="s">
        <v>440</v>
      </c>
      <c r="B643" s="61" t="str">
        <f aca="false">IF($M643=0,"",INDEX(Classes!$E$6:$E$420,$M643))</f>
        <v>Arabic A</v>
      </c>
      <c r="C643" s="62" t="str">
        <f aca="false">IF($M643=0,"",INDEX(Classes!$H$6:$H$420,$M643))</f>
        <v>Ms Aya Soliman Eid</v>
      </c>
      <c r="D643" s="61" t="str">
        <f aca="false">IF($M643=0,"",INDEX(Classes!$B$6:$B$420,$M643))</f>
        <v>Year 2</v>
      </c>
      <c r="E643" s="61" t="str">
        <f aca="false">IF($M643=0,"",INDEX(Classes!$C$6:$C$420,$M643))</f>
        <v>af</v>
      </c>
      <c r="F643" s="63" t="s">
        <v>107</v>
      </c>
      <c r="G643" s="63" t="s">
        <v>1015</v>
      </c>
      <c r="H643" s="60" t="s">
        <v>202</v>
      </c>
      <c r="I643" s="60" t="s">
        <v>201</v>
      </c>
      <c r="J643" s="63" t="n">
        <v>1</v>
      </c>
      <c r="K643" s="61" t="str">
        <f aca="false">IF($P643=0,"",IF($F643="Baseline","— Baseline",IF($O643=0,"No result",IF($N643=0,"No Start (attainment only)",IF(OR($N643=1,$O643=1),"U – needs rule",INDEX(MxBody,MATCH($I643,MxCurr,0),MATCH($H643,MxStart,0)))))))</f>
        <v>Expected</v>
      </c>
      <c r="L643" s="62" t="str">
        <f aca="false">IF(COUNTA($A643,$F643,$G643,$H643,$I643,$J643)=0,"",IF($M643=0,"✖ كود الصف غير موجود",IF(ISNA(MATCH($F643,Lists!$A$2:$A$5,0)),"✖ الفترة غير صحيحة",IF(ISNA(MATCH($G643,Lists!$B$2:$B$7,0)),"✖ المجموعة غير صحيحة",IF(NOT(OR($H643="",$N643&gt;0)),"✖ Start غير صحيح",IF(NOT(OR($I643="",$I643="NR",$O643&gt;0)),"✖ Current غير صحيح",IF(NOT(IF(ISNUMBER($J643),AND($J643&gt;=0,$J643=INT($J643)),FALSE())),"✖ العدد يجب أن يكون صحيحًا ≥ 0",IF(AND($F643="Baseline",$H643&lt;&gt;""),"⚠ Baseline: Start لا يدخل في التقدم",IF($K643="No Start (attainment only)","ℹ تحصيل فقط (بدون Start)",IF($K643="U – needs rule","ℹ حالة U تحتاج قاعدة معتمدة",IF($K643="No result","ℹ بدون نتيجة (يُستبعد من التحصيل)","OK")))))))))))</f>
        <v>OK</v>
      </c>
      <c r="M643" s="64" t="n">
        <f aca="false">IF($A643="",0,IFERROR(MATCH($A643,Classes!$A$6:$A$420,0),0))</f>
        <v>1</v>
      </c>
      <c r="N643" s="64" t="n">
        <f aca="false">IF($H643="",0,IFERROR(MATCH($H643,GradeList,0),0))</f>
        <v>7</v>
      </c>
      <c r="O643" s="64" t="n">
        <f aca="false">IF(OR($I643="",$I643="NR"),0,IFERROR(MATCH($I643,GradeList,0),0))</f>
        <v>6</v>
      </c>
      <c r="P643" s="64" t="n">
        <f aca="false">IF(AND($M643&gt;0,ISNUMBER(MATCH($F643,Lists!$A$2:$A$5,0)),ISNUMBER(MATCH($G643,Lists!$B$2:$B$7,0)),OR($H643="",$N643&gt;0),OR($I643="",$I643="NR",$O643&gt;0),IF(ISNUMBER($J643),AND($J643&gt;=0,$J643=INT($J643)),FALSE())),$J643,0)</f>
        <v>1</v>
      </c>
      <c r="Q643" s="64" t="n">
        <f aca="false">IF(AND($P643&gt;0,$O643&gt;0),$P643,0)</f>
        <v>1</v>
      </c>
      <c r="R643" s="64" t="n">
        <f aca="false">IF(AND($Q643&gt;0,$O643&gt;=AtRank),$Q643,0)</f>
        <v>1</v>
      </c>
      <c r="S643" s="64" t="n">
        <f aca="false">IF(AND($Q643&gt;0,$O643&gt;=AboveRank),$Q643,0)</f>
        <v>0</v>
      </c>
      <c r="T643" s="64" t="n">
        <f aca="false">IF($K643="Less",$P643,0)</f>
        <v>0</v>
      </c>
      <c r="U643" s="64" t="n">
        <f aca="false">IF($K643="Expected",$P643,0)</f>
        <v>1</v>
      </c>
      <c r="V643" s="64" t="n">
        <f aca="false">IF($K643="Better",$P643,0)</f>
        <v>0</v>
      </c>
      <c r="W643" s="64" t="n">
        <f aca="false">IF($K643="U – needs rule",$P643,0)</f>
        <v>0</v>
      </c>
      <c r="X643" s="64" t="n">
        <f aca="false">IF($K643="No Start (attainment only)",$P643,0)</f>
        <v>0</v>
      </c>
    </row>
    <row r="644" customFormat="false" ht="15" hidden="false" customHeight="false" outlineLevel="0" collapsed="false">
      <c r="A644" s="60" t="s">
        <v>440</v>
      </c>
      <c r="B644" s="61" t="str">
        <f aca="false">IF($M644=0,"",INDEX(Classes!$E$6:$E$420,$M644))</f>
        <v>Arabic A</v>
      </c>
      <c r="C644" s="62" t="str">
        <f aca="false">IF($M644=0,"",INDEX(Classes!$H$6:$H$420,$M644))</f>
        <v>Ms Aya Soliman Eid</v>
      </c>
      <c r="D644" s="61" t="str">
        <f aca="false">IF($M644=0,"",INDEX(Classes!$B$6:$B$420,$M644))</f>
        <v>Year 2</v>
      </c>
      <c r="E644" s="61" t="str">
        <f aca="false">IF($M644=0,"",INDEX(Classes!$C$6:$C$420,$M644))</f>
        <v>af</v>
      </c>
      <c r="F644" s="63" t="s">
        <v>107</v>
      </c>
      <c r="G644" s="63" t="s">
        <v>1015</v>
      </c>
      <c r="H644" s="60" t="s">
        <v>202</v>
      </c>
      <c r="I644" s="60" t="s">
        <v>204</v>
      </c>
      <c r="J644" s="63" t="n">
        <v>1</v>
      </c>
      <c r="K644" s="61" t="str">
        <f aca="false">IF($P644=0,"",IF($F644="Baseline","— Baseline",IF($O644=0,"No result",IF($N644=0,"No Start (attainment only)",IF(OR($N644=1,$O644=1),"U – needs rule",INDEX(MxBody,MATCH($I644,MxCurr,0),MATCH($H644,MxStart,0)))))))</f>
        <v>Better</v>
      </c>
      <c r="L644" s="62" t="str">
        <f aca="false">IF(COUNTA($A644,$F644,$G644,$H644,$I644,$J644)=0,"",IF($M644=0,"✖ كود الصف غير موجود",IF(ISNA(MATCH($F644,Lists!$A$2:$A$5,0)),"✖ الفترة غير صحيحة",IF(ISNA(MATCH($G644,Lists!$B$2:$B$7,0)),"✖ المجموعة غير صحيحة",IF(NOT(OR($H644="",$N644&gt;0)),"✖ Start غير صحيح",IF(NOT(OR($I644="",$I644="NR",$O644&gt;0)),"✖ Current غير صحيح",IF(NOT(IF(ISNUMBER($J644),AND($J644&gt;=0,$J644=INT($J644)),FALSE())),"✖ العدد يجب أن يكون صحيحًا ≥ 0",IF(AND($F644="Baseline",$H644&lt;&gt;""),"⚠ Baseline: Start لا يدخل في التقدم",IF($K644="No Start (attainment only)","ℹ تحصيل فقط (بدون Start)",IF($K644="U – needs rule","ℹ حالة U تحتاج قاعدة معتمدة",IF($K644="No result","ℹ بدون نتيجة (يُستبعد من التحصيل)","OK")))))))))))</f>
        <v>OK</v>
      </c>
      <c r="M644" s="64" t="n">
        <f aca="false">IF($A644="",0,IFERROR(MATCH($A644,Classes!$A$6:$A$420,0),0))</f>
        <v>1</v>
      </c>
      <c r="N644" s="64" t="n">
        <f aca="false">IF($H644="",0,IFERROR(MATCH($H644,GradeList,0),0))</f>
        <v>7</v>
      </c>
      <c r="O644" s="64" t="n">
        <f aca="false">IF(OR($I644="",$I644="NR"),0,IFERROR(MATCH($I644,GradeList,0),0))</f>
        <v>9</v>
      </c>
      <c r="P644" s="64" t="n">
        <f aca="false">IF(AND($M644&gt;0,ISNUMBER(MATCH($F644,Lists!$A$2:$A$5,0)),ISNUMBER(MATCH($G644,Lists!$B$2:$B$7,0)),OR($H644="",$N644&gt;0),OR($I644="",$I644="NR",$O644&gt;0),IF(ISNUMBER($J644),AND($J644&gt;=0,$J644=INT($J644)),FALSE())),$J644,0)</f>
        <v>1</v>
      </c>
      <c r="Q644" s="64" t="n">
        <f aca="false">IF(AND($P644&gt;0,$O644&gt;0),$P644,0)</f>
        <v>1</v>
      </c>
      <c r="R644" s="64" t="n">
        <f aca="false">IF(AND($Q644&gt;0,$O644&gt;=AtRank),$Q644,0)</f>
        <v>1</v>
      </c>
      <c r="S644" s="64" t="n">
        <f aca="false">IF(AND($Q644&gt;0,$O644&gt;=AboveRank),$Q644,0)</f>
        <v>1</v>
      </c>
      <c r="T644" s="64" t="n">
        <f aca="false">IF($K644="Less",$P644,0)</f>
        <v>0</v>
      </c>
      <c r="U644" s="64" t="n">
        <f aca="false">IF($K644="Expected",$P644,0)</f>
        <v>0</v>
      </c>
      <c r="V644" s="64" t="n">
        <f aca="false">IF($K644="Better",$P644,0)</f>
        <v>1</v>
      </c>
      <c r="W644" s="64" t="n">
        <f aca="false">IF($K644="U – needs rule",$P644,0)</f>
        <v>0</v>
      </c>
      <c r="X644" s="64" t="n">
        <f aca="false">IF($K644="No Start (attainment only)",$P644,0)</f>
        <v>0</v>
      </c>
    </row>
    <row r="645" customFormat="false" ht="15" hidden="false" customHeight="false" outlineLevel="0" collapsed="false">
      <c r="A645" s="60" t="s">
        <v>440</v>
      </c>
      <c r="B645" s="61" t="str">
        <f aca="false">IF($M645=0,"",INDEX(Classes!$E$6:$E$420,$M645))</f>
        <v>Arabic A</v>
      </c>
      <c r="C645" s="62" t="str">
        <f aca="false">IF($M645=0,"",INDEX(Classes!$H$6:$H$420,$M645))</f>
        <v>Ms Aya Soliman Eid</v>
      </c>
      <c r="D645" s="61" t="str">
        <f aca="false">IF($M645=0,"",INDEX(Classes!$B$6:$B$420,$M645))</f>
        <v>Year 2</v>
      </c>
      <c r="E645" s="61" t="str">
        <f aca="false">IF($M645=0,"",INDEX(Classes!$C$6:$C$420,$M645))</f>
        <v>af</v>
      </c>
      <c r="F645" s="63" t="s">
        <v>107</v>
      </c>
      <c r="G645" s="63" t="s">
        <v>1015</v>
      </c>
      <c r="H645" s="60" t="s">
        <v>203</v>
      </c>
      <c r="I645" s="60" t="s">
        <v>203</v>
      </c>
      <c r="J645" s="63" t="n">
        <v>1</v>
      </c>
      <c r="K645" s="61" t="str">
        <f aca="false">IF($P645=0,"",IF($F645="Baseline","— Baseline",IF($O645=0,"No result",IF($N645=0,"No Start (attainment only)",IF(OR($N645=1,$O645=1),"U – needs rule",INDEX(MxBody,MATCH($I645,MxCurr,0),MATCH($H645,MxStart,0)))))))</f>
        <v>Better</v>
      </c>
      <c r="L645" s="62" t="str">
        <f aca="false">IF(COUNTA($A645,$F645,$G645,$H645,$I645,$J645)=0,"",IF($M645=0,"✖ كود الصف غير موجود",IF(ISNA(MATCH($F645,Lists!$A$2:$A$5,0)),"✖ الفترة غير صحيحة",IF(ISNA(MATCH($G645,Lists!$B$2:$B$7,0)),"✖ المجموعة غير صحيحة",IF(NOT(OR($H645="",$N645&gt;0)),"✖ Start غير صحيح",IF(NOT(OR($I645="",$I645="NR",$O645&gt;0)),"✖ Current غير صحيح",IF(NOT(IF(ISNUMBER($J645),AND($J645&gt;=0,$J645=INT($J645)),FALSE())),"✖ العدد يجب أن يكون صحيحًا ≥ 0",IF(AND($F645="Baseline",$H645&lt;&gt;""),"⚠ Baseline: Start لا يدخل في التقدم",IF($K645="No Start (attainment only)","ℹ تحصيل فقط (بدون Start)",IF($K645="U – needs rule","ℹ حالة U تحتاج قاعدة معتمدة",IF($K645="No result","ℹ بدون نتيجة (يُستبعد من التحصيل)","OK")))))))))))</f>
        <v>OK</v>
      </c>
      <c r="M645" s="64" t="n">
        <f aca="false">IF($A645="",0,IFERROR(MATCH($A645,Classes!$A$6:$A$420,0),0))</f>
        <v>1</v>
      </c>
      <c r="N645" s="64" t="n">
        <f aca="false">IF($H645="",0,IFERROR(MATCH($H645,GradeList,0),0))</f>
        <v>8</v>
      </c>
      <c r="O645" s="64" t="n">
        <f aca="false">IF(OR($I645="",$I645="NR"),0,IFERROR(MATCH($I645,GradeList,0),0))</f>
        <v>8</v>
      </c>
      <c r="P645" s="64" t="n">
        <f aca="false">IF(AND($M645&gt;0,ISNUMBER(MATCH($F645,Lists!$A$2:$A$5,0)),ISNUMBER(MATCH($G645,Lists!$B$2:$B$7,0)),OR($H645="",$N645&gt;0),OR($I645="",$I645="NR",$O645&gt;0),IF(ISNUMBER($J645),AND($J645&gt;=0,$J645=INT($J645)),FALSE())),$J645,0)</f>
        <v>1</v>
      </c>
      <c r="Q645" s="64" t="n">
        <f aca="false">IF(AND($P645&gt;0,$O645&gt;0),$P645,0)</f>
        <v>1</v>
      </c>
      <c r="R645" s="64" t="n">
        <f aca="false">IF(AND($Q645&gt;0,$O645&gt;=AtRank),$Q645,0)</f>
        <v>1</v>
      </c>
      <c r="S645" s="64" t="n">
        <f aca="false">IF(AND($Q645&gt;0,$O645&gt;=AboveRank),$Q645,0)</f>
        <v>1</v>
      </c>
      <c r="T645" s="64" t="n">
        <f aca="false">IF($K645="Less",$P645,0)</f>
        <v>0</v>
      </c>
      <c r="U645" s="64" t="n">
        <f aca="false">IF($K645="Expected",$P645,0)</f>
        <v>0</v>
      </c>
      <c r="V645" s="64" t="n">
        <f aca="false">IF($K645="Better",$P645,0)</f>
        <v>1</v>
      </c>
      <c r="W645" s="64" t="n">
        <f aca="false">IF($K645="U – needs rule",$P645,0)</f>
        <v>0</v>
      </c>
      <c r="X645" s="64" t="n">
        <f aca="false">IF($K645="No Start (attainment only)",$P645,0)</f>
        <v>0</v>
      </c>
    </row>
    <row r="646" customFormat="false" ht="15" hidden="false" customHeight="false" outlineLevel="0" collapsed="false">
      <c r="A646" s="60" t="s">
        <v>440</v>
      </c>
      <c r="B646" s="61" t="str">
        <f aca="false">IF($M646=0,"",INDEX(Classes!$E$6:$E$420,$M646))</f>
        <v>Arabic A</v>
      </c>
      <c r="C646" s="62" t="str">
        <f aca="false">IF($M646=0,"",INDEX(Classes!$H$6:$H$420,$M646))</f>
        <v>Ms Aya Soliman Eid</v>
      </c>
      <c r="D646" s="61" t="str">
        <f aca="false">IF($M646=0,"",INDEX(Classes!$B$6:$B$420,$M646))</f>
        <v>Year 2</v>
      </c>
      <c r="E646" s="61" t="str">
        <f aca="false">IF($M646=0,"",INDEX(Classes!$C$6:$C$420,$M646))</f>
        <v>af</v>
      </c>
      <c r="F646" s="63" t="s">
        <v>107</v>
      </c>
      <c r="G646" s="63" t="s">
        <v>1015</v>
      </c>
      <c r="H646" s="60" t="s">
        <v>200</v>
      </c>
      <c r="I646" s="60" t="s">
        <v>200</v>
      </c>
      <c r="J646" s="63" t="n">
        <v>1</v>
      </c>
      <c r="K646" s="61" t="str">
        <f aca="false">IF($P646=0,"",IF($F646="Baseline","— Baseline",IF($O646=0,"No result",IF($N646=0,"No Start (attainment only)",IF(OR($N646=1,$O646=1),"U – needs rule",INDEX(MxBody,MATCH($I646,MxCurr,0),MATCH($H646,MxStart,0)))))))</f>
        <v>Expected</v>
      </c>
      <c r="L646" s="62" t="str">
        <f aca="false">IF(COUNTA($A646,$F646,$G646,$H646,$I646,$J646)=0,"",IF($M646=0,"✖ كود الصف غير موجود",IF(ISNA(MATCH($F646,Lists!$A$2:$A$5,0)),"✖ الفترة غير صحيحة",IF(ISNA(MATCH($G646,Lists!$B$2:$B$7,0)),"✖ المجموعة غير صحيحة",IF(NOT(OR($H646="",$N646&gt;0)),"✖ Start غير صحيح",IF(NOT(OR($I646="",$I646="NR",$O646&gt;0)),"✖ Current غير صحيح",IF(NOT(IF(ISNUMBER($J646),AND($J646&gt;=0,$J646=INT($J646)),FALSE())),"✖ العدد يجب أن يكون صحيحًا ≥ 0",IF(AND($F646="Baseline",$H646&lt;&gt;""),"⚠ Baseline: Start لا يدخل في التقدم",IF($K646="No Start (attainment only)","ℹ تحصيل فقط (بدون Start)",IF($K646="U – needs rule","ℹ حالة U تحتاج قاعدة معتمدة",IF($K646="No result","ℹ بدون نتيجة (يُستبعد من التحصيل)","OK")))))))))))</f>
        <v>OK</v>
      </c>
      <c r="M646" s="64" t="n">
        <f aca="false">IF($A646="",0,IFERROR(MATCH($A646,Classes!$A$6:$A$420,0),0))</f>
        <v>1</v>
      </c>
      <c r="N646" s="64" t="n">
        <f aca="false">IF($H646="",0,IFERROR(MATCH($H646,GradeList,0),0))</f>
        <v>5</v>
      </c>
      <c r="O646" s="64" t="n">
        <f aca="false">IF(OR($I646="",$I646="NR"),0,IFERROR(MATCH($I646,GradeList,0),0))</f>
        <v>5</v>
      </c>
      <c r="P646" s="64" t="n">
        <f aca="false">IF(AND($M646&gt;0,ISNUMBER(MATCH($F646,Lists!$A$2:$A$5,0)),ISNUMBER(MATCH($G646,Lists!$B$2:$B$7,0)),OR($H646="",$N646&gt;0),OR($I646="",$I646="NR",$O646&gt;0),IF(ISNUMBER($J646),AND($J646&gt;=0,$J646=INT($J646)),FALSE())),$J646,0)</f>
        <v>1</v>
      </c>
      <c r="Q646" s="64" t="n">
        <f aca="false">IF(AND($P646&gt;0,$O646&gt;0),$P646,0)</f>
        <v>1</v>
      </c>
      <c r="R646" s="64" t="n">
        <f aca="false">IF(AND($Q646&gt;0,$O646&gt;=AtRank),$Q646,0)</f>
        <v>1</v>
      </c>
      <c r="S646" s="64" t="n">
        <f aca="false">IF(AND($Q646&gt;0,$O646&gt;=AboveRank),$Q646,0)</f>
        <v>0</v>
      </c>
      <c r="T646" s="64" t="n">
        <f aca="false">IF($K646="Less",$P646,0)</f>
        <v>0</v>
      </c>
      <c r="U646" s="64" t="n">
        <f aca="false">IF($K646="Expected",$P646,0)</f>
        <v>1</v>
      </c>
      <c r="V646" s="64" t="n">
        <f aca="false">IF($K646="Better",$P646,0)</f>
        <v>0</v>
      </c>
      <c r="W646" s="64" t="n">
        <f aca="false">IF($K646="U – needs rule",$P646,0)</f>
        <v>0</v>
      </c>
      <c r="X646" s="64" t="n">
        <f aca="false">IF($K646="No Start (attainment only)",$P646,0)</f>
        <v>0</v>
      </c>
    </row>
    <row r="647" customFormat="false" ht="15" hidden="false" customHeight="false" outlineLevel="0" collapsed="false">
      <c r="A647" s="60" t="s">
        <v>440</v>
      </c>
      <c r="B647" s="61" t="str">
        <f aca="false">IF($M647=0,"",INDEX(Classes!$E$6:$E$420,$M647))</f>
        <v>Arabic A</v>
      </c>
      <c r="C647" s="62" t="str">
        <f aca="false">IF($M647=0,"",INDEX(Classes!$H$6:$H$420,$M647))</f>
        <v>Ms Aya Soliman Eid</v>
      </c>
      <c r="D647" s="61" t="str">
        <f aca="false">IF($M647=0,"",INDEX(Classes!$B$6:$B$420,$M647))</f>
        <v>Year 2</v>
      </c>
      <c r="E647" s="61" t="str">
        <f aca="false">IF($M647=0,"",INDEX(Classes!$C$6:$C$420,$M647))</f>
        <v>af</v>
      </c>
      <c r="F647" s="63" t="s">
        <v>107</v>
      </c>
      <c r="G647" s="63" t="s">
        <v>1015</v>
      </c>
      <c r="H647" s="60" t="s">
        <v>200</v>
      </c>
      <c r="I647" s="60" t="s">
        <v>196</v>
      </c>
      <c r="J647" s="63" t="n">
        <v>1</v>
      </c>
      <c r="K647" s="61" t="str">
        <f aca="false">IF($P647=0,"",IF($F647="Baseline","— Baseline",IF($O647=0,"No result",IF($N647=0,"No Start (attainment only)",IF(OR($N647=1,$O647=1),"U – needs rule",INDEX(MxBody,MATCH($I647,MxCurr,0),MATCH($H647,MxStart,0)))))))</f>
        <v>U – needs rule</v>
      </c>
      <c r="L647" s="62" t="str">
        <f aca="false">IF(COUNTA($A647,$F647,$G647,$H647,$I647,$J647)=0,"",IF($M647=0,"✖ كود الصف غير موجود",IF(ISNA(MATCH($F647,Lists!$A$2:$A$5,0)),"✖ الفترة غير صحيحة",IF(ISNA(MATCH($G647,Lists!$B$2:$B$7,0)),"✖ المجموعة غير صحيحة",IF(NOT(OR($H647="",$N647&gt;0)),"✖ Start غير صحيح",IF(NOT(OR($I647="",$I647="NR",$O647&gt;0)),"✖ Current غير صحيح",IF(NOT(IF(ISNUMBER($J647),AND($J647&gt;=0,$J647=INT($J647)),FALSE())),"✖ العدد يجب أن يكون صحيحًا ≥ 0",IF(AND($F647="Baseline",$H647&lt;&gt;""),"⚠ Baseline: Start لا يدخل في التقدم",IF($K647="No Start (attainment only)","ℹ تحصيل فقط (بدون Start)",IF($K647="U – needs rule","ℹ حالة U تحتاج قاعدة معتمدة",IF($K647="No result","ℹ بدون نتيجة (يُستبعد من التحصيل)","OK")))))))))))</f>
        <v>ℹ حالة U تحتاج قاعدة معتمدة</v>
      </c>
      <c r="M647" s="64" t="n">
        <f aca="false">IF($A647="",0,IFERROR(MATCH($A647,Classes!$A$6:$A$420,0),0))</f>
        <v>1</v>
      </c>
      <c r="N647" s="64" t="n">
        <f aca="false">IF($H647="",0,IFERROR(MATCH($H647,GradeList,0),0))</f>
        <v>5</v>
      </c>
      <c r="O647" s="64" t="n">
        <f aca="false">IF(OR($I647="",$I647="NR"),0,IFERROR(MATCH($I647,GradeList,0),0))</f>
        <v>1</v>
      </c>
      <c r="P647" s="64" t="n">
        <f aca="false">IF(AND($M647&gt;0,ISNUMBER(MATCH($F647,Lists!$A$2:$A$5,0)),ISNUMBER(MATCH($G647,Lists!$B$2:$B$7,0)),OR($H647="",$N647&gt;0),OR($I647="",$I647="NR",$O647&gt;0),IF(ISNUMBER($J647),AND($J647&gt;=0,$J647=INT($J647)),FALSE())),$J647,0)</f>
        <v>1</v>
      </c>
      <c r="Q647" s="64" t="n">
        <f aca="false">IF(AND($P647&gt;0,$O647&gt;0),$P647,0)</f>
        <v>1</v>
      </c>
      <c r="R647" s="64" t="n">
        <f aca="false">IF(AND($Q647&gt;0,$O647&gt;=AtRank),$Q647,0)</f>
        <v>0</v>
      </c>
      <c r="S647" s="64" t="n">
        <f aca="false">IF(AND($Q647&gt;0,$O647&gt;=AboveRank),$Q647,0)</f>
        <v>0</v>
      </c>
      <c r="T647" s="64" t="n">
        <f aca="false">IF($K647="Less",$P647,0)</f>
        <v>0</v>
      </c>
      <c r="U647" s="64" t="n">
        <f aca="false">IF($K647="Expected",$P647,0)</f>
        <v>0</v>
      </c>
      <c r="V647" s="64" t="n">
        <f aca="false">IF($K647="Better",$P647,0)</f>
        <v>0</v>
      </c>
      <c r="W647" s="64" t="n">
        <f aca="false">IF($K647="U – needs rule",$P647,0)</f>
        <v>1</v>
      </c>
      <c r="X647" s="64" t="n">
        <f aca="false">IF($K647="No Start (attainment only)",$P647,0)</f>
        <v>0</v>
      </c>
    </row>
    <row r="648" customFormat="false" ht="15" hidden="false" customHeight="false" outlineLevel="0" collapsed="false">
      <c r="A648" s="60" t="s">
        <v>440</v>
      </c>
      <c r="B648" s="61" t="str">
        <f aca="false">IF($M648=0,"",INDEX(Classes!$E$6:$E$420,$M648))</f>
        <v>Arabic A</v>
      </c>
      <c r="C648" s="62" t="str">
        <f aca="false">IF($M648=0,"",INDEX(Classes!$H$6:$H$420,$M648))</f>
        <v>Ms Aya Soliman Eid</v>
      </c>
      <c r="D648" s="61" t="str">
        <f aca="false">IF($M648=0,"",INDEX(Classes!$B$6:$B$420,$M648))</f>
        <v>Year 2</v>
      </c>
      <c r="E648" s="61" t="str">
        <f aca="false">IF($M648=0,"",INDEX(Classes!$C$6:$C$420,$M648))</f>
        <v>af</v>
      </c>
      <c r="F648" s="63" t="s">
        <v>107</v>
      </c>
      <c r="G648" s="63" t="s">
        <v>1015</v>
      </c>
      <c r="H648" s="60" t="s">
        <v>201</v>
      </c>
      <c r="I648" s="60" t="s">
        <v>201</v>
      </c>
      <c r="J648" s="63" t="n">
        <v>2</v>
      </c>
      <c r="K648" s="61" t="str">
        <f aca="false">IF($P648=0,"",IF($F648="Baseline","— Baseline",IF($O648=0,"No result",IF($N648=0,"No Start (attainment only)",IF(OR($N648=1,$O648=1),"U – needs rule",INDEX(MxBody,MATCH($I648,MxCurr,0),MATCH($H648,MxStart,0)))))))</f>
        <v>Expected</v>
      </c>
      <c r="L648" s="62" t="str">
        <f aca="false">IF(COUNTA($A648,$F648,$G648,$H648,$I648,$J648)=0,"",IF($M648=0,"✖ كود الصف غير موجود",IF(ISNA(MATCH($F648,Lists!$A$2:$A$5,0)),"✖ الفترة غير صحيحة",IF(ISNA(MATCH($G648,Lists!$B$2:$B$7,0)),"✖ المجموعة غير صحيحة",IF(NOT(OR($H648="",$N648&gt;0)),"✖ Start غير صحيح",IF(NOT(OR($I648="",$I648="NR",$O648&gt;0)),"✖ Current غير صحيح",IF(NOT(IF(ISNUMBER($J648),AND($J648&gt;=0,$J648=INT($J648)),FALSE())),"✖ العدد يجب أن يكون صحيحًا ≥ 0",IF(AND($F648="Baseline",$H648&lt;&gt;""),"⚠ Baseline: Start لا يدخل في التقدم",IF($K648="No Start (attainment only)","ℹ تحصيل فقط (بدون Start)",IF($K648="U – needs rule","ℹ حالة U تحتاج قاعدة معتمدة",IF($K648="No result","ℹ بدون نتيجة (يُستبعد من التحصيل)","OK")))))))))))</f>
        <v>OK</v>
      </c>
      <c r="M648" s="64" t="n">
        <f aca="false">IF($A648="",0,IFERROR(MATCH($A648,Classes!$A$6:$A$420,0),0))</f>
        <v>1</v>
      </c>
      <c r="N648" s="64" t="n">
        <f aca="false">IF($H648="",0,IFERROR(MATCH($H648,GradeList,0),0))</f>
        <v>6</v>
      </c>
      <c r="O648" s="64" t="n">
        <f aca="false">IF(OR($I648="",$I648="NR"),0,IFERROR(MATCH($I648,GradeList,0),0))</f>
        <v>6</v>
      </c>
      <c r="P648" s="64" t="n">
        <f aca="false">IF(AND($M648&gt;0,ISNUMBER(MATCH($F648,Lists!$A$2:$A$5,0)),ISNUMBER(MATCH($G648,Lists!$B$2:$B$7,0)),OR($H648="",$N648&gt;0),OR($I648="",$I648="NR",$O648&gt;0),IF(ISNUMBER($J648),AND($J648&gt;=0,$J648=INT($J648)),FALSE())),$J648,0)</f>
        <v>2</v>
      </c>
      <c r="Q648" s="64" t="n">
        <f aca="false">IF(AND($P648&gt;0,$O648&gt;0),$P648,0)</f>
        <v>2</v>
      </c>
      <c r="R648" s="64" t="n">
        <f aca="false">IF(AND($Q648&gt;0,$O648&gt;=AtRank),$Q648,0)</f>
        <v>2</v>
      </c>
      <c r="S648" s="64" t="n">
        <f aca="false">IF(AND($Q648&gt;0,$O648&gt;=AboveRank),$Q648,0)</f>
        <v>0</v>
      </c>
      <c r="T648" s="64" t="n">
        <f aca="false">IF($K648="Less",$P648,0)</f>
        <v>0</v>
      </c>
      <c r="U648" s="64" t="n">
        <f aca="false">IF($K648="Expected",$P648,0)</f>
        <v>2</v>
      </c>
      <c r="V648" s="64" t="n">
        <f aca="false">IF($K648="Better",$P648,0)</f>
        <v>0</v>
      </c>
      <c r="W648" s="64" t="n">
        <f aca="false">IF($K648="U – needs rule",$P648,0)</f>
        <v>0</v>
      </c>
      <c r="X648" s="64" t="n">
        <f aca="false">IF($K648="No Start (attainment only)",$P648,0)</f>
        <v>0</v>
      </c>
    </row>
    <row r="649" customFormat="false" ht="15" hidden="false" customHeight="false" outlineLevel="0" collapsed="false">
      <c r="A649" s="60" t="s">
        <v>440</v>
      </c>
      <c r="B649" s="61" t="str">
        <f aca="false">IF($M649=0,"",INDEX(Classes!$E$6:$E$420,$M649))</f>
        <v>Arabic A</v>
      </c>
      <c r="C649" s="62" t="str">
        <f aca="false">IF($M649=0,"",INDEX(Classes!$H$6:$H$420,$M649))</f>
        <v>Ms Aya Soliman Eid</v>
      </c>
      <c r="D649" s="61" t="str">
        <f aca="false">IF($M649=0,"",INDEX(Classes!$B$6:$B$420,$M649))</f>
        <v>Year 2</v>
      </c>
      <c r="E649" s="61" t="str">
        <f aca="false">IF($M649=0,"",INDEX(Classes!$C$6:$C$420,$M649))</f>
        <v>af</v>
      </c>
      <c r="F649" s="63" t="s">
        <v>107</v>
      </c>
      <c r="G649" s="63" t="s">
        <v>1015</v>
      </c>
      <c r="H649" s="60" t="s">
        <v>204</v>
      </c>
      <c r="I649" s="60" t="s">
        <v>1019</v>
      </c>
      <c r="J649" s="63" t="n">
        <v>1</v>
      </c>
      <c r="K649" s="61" t="str">
        <f aca="false">IF($P649=0,"",IF($F649="Baseline","— Baseline",IF($O649=0,"No result",IF($N649=0,"No Start (attainment only)",IF(OR($N649=1,$O649=1),"U – needs rule",INDEX(MxBody,MATCH($I649,MxCurr,0),MATCH($H649,MxStart,0)))))))</f>
        <v>No result</v>
      </c>
      <c r="L649" s="62" t="str">
        <f aca="false">IF(COUNTA($A649,$F649,$G649,$H649,$I649,$J649)=0,"",IF($M649=0,"✖ كود الصف غير موجود",IF(ISNA(MATCH($F649,Lists!$A$2:$A$5,0)),"✖ الفترة غير صحيحة",IF(ISNA(MATCH($G649,Lists!$B$2:$B$7,0)),"✖ المجموعة غير صحيحة",IF(NOT(OR($H649="",$N649&gt;0)),"✖ Start غير صحيح",IF(NOT(OR($I649="",$I649="NR",$O649&gt;0)),"✖ Current غير صحيح",IF(NOT(IF(ISNUMBER($J649),AND($J649&gt;=0,$J649=INT($J649)),FALSE())),"✖ العدد يجب أن يكون صحيحًا ≥ 0",IF(AND($F649="Baseline",$H649&lt;&gt;""),"⚠ Baseline: Start لا يدخل في التقدم",IF($K649="No Start (attainment only)","ℹ تحصيل فقط (بدون Start)",IF($K649="U – needs rule","ℹ حالة U تحتاج قاعدة معتمدة",IF($K649="No result","ℹ بدون نتيجة (يُستبعد من التحصيل)","OK")))))))))))</f>
        <v>ℹ بدون نتيجة (يُستبعد من التحصيل)</v>
      </c>
      <c r="M649" s="64" t="n">
        <f aca="false">IF($A649="",0,IFERROR(MATCH($A649,Classes!$A$6:$A$420,0),0))</f>
        <v>1</v>
      </c>
      <c r="N649" s="64" t="n">
        <f aca="false">IF($H649="",0,IFERROR(MATCH($H649,GradeList,0),0))</f>
        <v>9</v>
      </c>
      <c r="O649" s="64" t="n">
        <f aca="false">IF(OR($I649="",$I649="NR"),0,IFERROR(MATCH($I649,GradeList,0),0))</f>
        <v>0</v>
      </c>
      <c r="P649" s="64" t="n">
        <f aca="false">IF(AND($M649&gt;0,ISNUMBER(MATCH($F649,Lists!$A$2:$A$5,0)),ISNUMBER(MATCH($G649,Lists!$B$2:$B$7,0)),OR($H649="",$N649&gt;0),OR($I649="",$I649="NR",$O649&gt;0),IF(ISNUMBER($J649),AND($J649&gt;=0,$J649=INT($J649)),FALSE())),$J649,0)</f>
        <v>1</v>
      </c>
      <c r="Q649" s="64" t="n">
        <f aca="false">IF(AND($P649&gt;0,$O649&gt;0),$P649,0)</f>
        <v>0</v>
      </c>
      <c r="R649" s="64" t="n">
        <f aca="false">IF(AND($Q649&gt;0,$O649&gt;=AtRank),$Q649,0)</f>
        <v>0</v>
      </c>
      <c r="S649" s="64" t="n">
        <f aca="false">IF(AND($Q649&gt;0,$O649&gt;=AboveRank),$Q649,0)</f>
        <v>0</v>
      </c>
      <c r="T649" s="64" t="n">
        <f aca="false">IF($K649="Less",$P649,0)</f>
        <v>0</v>
      </c>
      <c r="U649" s="64" t="n">
        <f aca="false">IF($K649="Expected",$P649,0)</f>
        <v>0</v>
      </c>
      <c r="V649" s="64" t="n">
        <f aca="false">IF($K649="Better",$P649,0)</f>
        <v>0</v>
      </c>
      <c r="W649" s="64" t="n">
        <f aca="false">IF($K649="U – needs rule",$P649,0)</f>
        <v>0</v>
      </c>
      <c r="X649" s="64" t="n">
        <f aca="false">IF($K649="No Start (attainment only)",$P649,0)</f>
        <v>0</v>
      </c>
    </row>
    <row r="650" customFormat="false" ht="15" hidden="false" customHeight="false" outlineLevel="0" collapsed="false">
      <c r="A650" s="60" t="s">
        <v>440</v>
      </c>
      <c r="B650" s="61" t="str">
        <f aca="false">IF($M650=0,"",INDEX(Classes!$E$6:$E$420,$M650))</f>
        <v>Arabic A</v>
      </c>
      <c r="C650" s="62" t="str">
        <f aca="false">IF($M650=0,"",INDEX(Classes!$H$6:$H$420,$M650))</f>
        <v>Ms Aya Soliman Eid</v>
      </c>
      <c r="D650" s="61" t="str">
        <f aca="false">IF($M650=0,"",INDEX(Classes!$B$6:$B$420,$M650))</f>
        <v>Year 2</v>
      </c>
      <c r="E650" s="61" t="str">
        <f aca="false">IF($M650=0,"",INDEX(Classes!$C$6:$C$420,$M650))</f>
        <v>af</v>
      </c>
      <c r="F650" s="63" t="s">
        <v>107</v>
      </c>
      <c r="G650" s="63" t="s">
        <v>1015</v>
      </c>
      <c r="H650" s="60" t="s">
        <v>199</v>
      </c>
      <c r="I650" s="60" t="s">
        <v>200</v>
      </c>
      <c r="J650" s="63" t="n">
        <v>1</v>
      </c>
      <c r="K650" s="61" t="str">
        <f aca="false">IF($P650=0,"",IF($F650="Baseline","— Baseline",IF($O650=0,"No result",IF($N650=0,"No Start (attainment only)",IF(OR($N650=1,$O650=1),"U – needs rule",INDEX(MxBody,MATCH($I650,MxCurr,0),MATCH($H650,MxStart,0)))))))</f>
        <v>Better</v>
      </c>
      <c r="L650" s="62" t="str">
        <f aca="false">IF(COUNTA($A650,$F650,$G650,$H650,$I650,$J650)=0,"",IF($M650=0,"✖ كود الصف غير موجود",IF(ISNA(MATCH($F650,Lists!$A$2:$A$5,0)),"✖ الفترة غير صحيحة",IF(ISNA(MATCH($G650,Lists!$B$2:$B$7,0)),"✖ المجموعة غير صحيحة",IF(NOT(OR($H650="",$N650&gt;0)),"✖ Start غير صحيح",IF(NOT(OR($I650="",$I650="NR",$O650&gt;0)),"✖ Current غير صحيح",IF(NOT(IF(ISNUMBER($J650),AND($J650&gt;=0,$J650=INT($J650)),FALSE())),"✖ العدد يجب أن يكون صحيحًا ≥ 0",IF(AND($F650="Baseline",$H650&lt;&gt;""),"⚠ Baseline: Start لا يدخل في التقدم",IF($K650="No Start (attainment only)","ℹ تحصيل فقط (بدون Start)",IF($K650="U – needs rule","ℹ حالة U تحتاج قاعدة معتمدة",IF($K650="No result","ℹ بدون نتيجة (يُستبعد من التحصيل)","OK")))))))))))</f>
        <v>OK</v>
      </c>
      <c r="M650" s="64" t="n">
        <f aca="false">IF($A650="",0,IFERROR(MATCH($A650,Classes!$A$6:$A$420,0),0))</f>
        <v>1</v>
      </c>
      <c r="N650" s="64" t="n">
        <f aca="false">IF($H650="",0,IFERROR(MATCH($H650,GradeList,0),0))</f>
        <v>4</v>
      </c>
      <c r="O650" s="64" t="n">
        <f aca="false">IF(OR($I650="",$I650="NR"),0,IFERROR(MATCH($I650,GradeList,0),0))</f>
        <v>5</v>
      </c>
      <c r="P650" s="64" t="n">
        <f aca="false">IF(AND($M650&gt;0,ISNUMBER(MATCH($F650,Lists!$A$2:$A$5,0)),ISNUMBER(MATCH($G650,Lists!$B$2:$B$7,0)),OR($H650="",$N650&gt;0),OR($I650="",$I650="NR",$O650&gt;0),IF(ISNUMBER($J650),AND($J650&gt;=0,$J650=INT($J650)),FALSE())),$J650,0)</f>
        <v>1</v>
      </c>
      <c r="Q650" s="64" t="n">
        <f aca="false">IF(AND($P650&gt;0,$O650&gt;0),$P650,0)</f>
        <v>1</v>
      </c>
      <c r="R650" s="64" t="n">
        <f aca="false">IF(AND($Q650&gt;0,$O650&gt;=AtRank),$Q650,0)</f>
        <v>1</v>
      </c>
      <c r="S650" s="64" t="n">
        <f aca="false">IF(AND($Q650&gt;0,$O650&gt;=AboveRank),$Q650,0)</f>
        <v>0</v>
      </c>
      <c r="T650" s="64" t="n">
        <f aca="false">IF($K650="Less",$P650,0)</f>
        <v>0</v>
      </c>
      <c r="U650" s="64" t="n">
        <f aca="false">IF($K650="Expected",$P650,0)</f>
        <v>0</v>
      </c>
      <c r="V650" s="64" t="n">
        <f aca="false">IF($K650="Better",$P650,0)</f>
        <v>1</v>
      </c>
      <c r="W650" s="64" t="n">
        <f aca="false">IF($K650="U – needs rule",$P650,0)</f>
        <v>0</v>
      </c>
      <c r="X650" s="64" t="n">
        <f aca="false">IF($K650="No Start (attainment only)",$P650,0)</f>
        <v>0</v>
      </c>
    </row>
    <row r="651" customFormat="false" ht="15" hidden="false" customHeight="false" outlineLevel="0" collapsed="false">
      <c r="A651" s="60" t="s">
        <v>440</v>
      </c>
      <c r="B651" s="61" t="str">
        <f aca="false">IF($M651=0,"",INDEX(Classes!$E$6:$E$420,$M651))</f>
        <v>Arabic A</v>
      </c>
      <c r="C651" s="62" t="str">
        <f aca="false">IF($M651=0,"",INDEX(Classes!$H$6:$H$420,$M651))</f>
        <v>Ms Aya Soliman Eid</v>
      </c>
      <c r="D651" s="61" t="str">
        <f aca="false">IF($M651=0,"",INDEX(Classes!$B$6:$B$420,$M651))</f>
        <v>Year 2</v>
      </c>
      <c r="E651" s="61" t="str">
        <f aca="false">IF($M651=0,"",INDEX(Classes!$C$6:$C$420,$M651))</f>
        <v>af</v>
      </c>
      <c r="F651" s="63" t="s">
        <v>107</v>
      </c>
      <c r="G651" s="63" t="s">
        <v>1015</v>
      </c>
      <c r="H651" s="60" t="s">
        <v>199</v>
      </c>
      <c r="I651" s="60" t="s">
        <v>199</v>
      </c>
      <c r="J651" s="63" t="n">
        <v>1</v>
      </c>
      <c r="K651" s="61" t="str">
        <f aca="false">IF($P651=0,"",IF($F651="Baseline","— Baseline",IF($O651=0,"No result",IF($N651=0,"No Start (attainment only)",IF(OR($N651=1,$O651=1),"U – needs rule",INDEX(MxBody,MATCH($I651,MxCurr,0),MATCH($H651,MxStart,0)))))))</f>
        <v>Expected</v>
      </c>
      <c r="L651" s="62" t="str">
        <f aca="false">IF(COUNTA($A651,$F651,$G651,$H651,$I651,$J651)=0,"",IF($M651=0,"✖ كود الصف غير موجود",IF(ISNA(MATCH($F651,Lists!$A$2:$A$5,0)),"✖ الفترة غير صحيحة",IF(ISNA(MATCH($G651,Lists!$B$2:$B$7,0)),"✖ المجموعة غير صحيحة",IF(NOT(OR($H651="",$N651&gt;0)),"✖ Start غير صحيح",IF(NOT(OR($I651="",$I651="NR",$O651&gt;0)),"✖ Current غير صحيح",IF(NOT(IF(ISNUMBER($J651),AND($J651&gt;=0,$J651=INT($J651)),FALSE())),"✖ العدد يجب أن يكون صحيحًا ≥ 0",IF(AND($F651="Baseline",$H651&lt;&gt;""),"⚠ Baseline: Start لا يدخل في التقدم",IF($K651="No Start (attainment only)","ℹ تحصيل فقط (بدون Start)",IF($K651="U – needs rule","ℹ حالة U تحتاج قاعدة معتمدة",IF($K651="No result","ℹ بدون نتيجة (يُستبعد من التحصيل)","OK")))))))))))</f>
        <v>OK</v>
      </c>
      <c r="M651" s="64" t="n">
        <f aca="false">IF($A651="",0,IFERROR(MATCH($A651,Classes!$A$6:$A$420,0),0))</f>
        <v>1</v>
      </c>
      <c r="N651" s="64" t="n">
        <f aca="false">IF($H651="",0,IFERROR(MATCH($H651,GradeList,0),0))</f>
        <v>4</v>
      </c>
      <c r="O651" s="64" t="n">
        <f aca="false">IF(OR($I651="",$I651="NR"),0,IFERROR(MATCH($I651,GradeList,0),0))</f>
        <v>4</v>
      </c>
      <c r="P651" s="64" t="n">
        <f aca="false">IF(AND($M651&gt;0,ISNUMBER(MATCH($F651,Lists!$A$2:$A$5,0)),ISNUMBER(MATCH($G651,Lists!$B$2:$B$7,0)),OR($H651="",$N651&gt;0),OR($I651="",$I651="NR",$O651&gt;0),IF(ISNUMBER($J651),AND($J651&gt;=0,$J651=INT($J651)),FALSE())),$J651,0)</f>
        <v>1</v>
      </c>
      <c r="Q651" s="64" t="n">
        <f aca="false">IF(AND($P651&gt;0,$O651&gt;0),$P651,0)</f>
        <v>1</v>
      </c>
      <c r="R651" s="64" t="n">
        <f aca="false">IF(AND($Q651&gt;0,$O651&gt;=AtRank),$Q651,0)</f>
        <v>0</v>
      </c>
      <c r="S651" s="64" t="n">
        <f aca="false">IF(AND($Q651&gt;0,$O651&gt;=AboveRank),$Q651,0)</f>
        <v>0</v>
      </c>
      <c r="T651" s="64" t="n">
        <f aca="false">IF($K651="Less",$P651,0)</f>
        <v>0</v>
      </c>
      <c r="U651" s="64" t="n">
        <f aca="false">IF($K651="Expected",$P651,0)</f>
        <v>1</v>
      </c>
      <c r="V651" s="64" t="n">
        <f aca="false">IF($K651="Better",$P651,0)</f>
        <v>0</v>
      </c>
      <c r="W651" s="64" t="n">
        <f aca="false">IF($K651="U – needs rule",$P651,0)</f>
        <v>0</v>
      </c>
      <c r="X651" s="64" t="n">
        <f aca="false">IF($K651="No Start (attainment only)",$P651,0)</f>
        <v>0</v>
      </c>
    </row>
    <row r="652" customFormat="false" ht="15" hidden="false" customHeight="false" outlineLevel="0" collapsed="false">
      <c r="A652" s="60" t="s">
        <v>440</v>
      </c>
      <c r="B652" s="61" t="str">
        <f aca="false">IF($M652=0,"",INDEX(Classes!$E$6:$E$420,$M652))</f>
        <v>Arabic A</v>
      </c>
      <c r="C652" s="62" t="str">
        <f aca="false">IF($M652=0,"",INDEX(Classes!$H$6:$H$420,$M652))</f>
        <v>Ms Aya Soliman Eid</v>
      </c>
      <c r="D652" s="61" t="str">
        <f aca="false">IF($M652=0,"",INDEX(Classes!$B$6:$B$420,$M652))</f>
        <v>Year 2</v>
      </c>
      <c r="E652" s="61" t="str">
        <f aca="false">IF($M652=0,"",INDEX(Classes!$C$6:$C$420,$M652))</f>
        <v>af</v>
      </c>
      <c r="F652" s="63" t="s">
        <v>107</v>
      </c>
      <c r="G652" s="63" t="s">
        <v>1016</v>
      </c>
      <c r="H652" s="60" t="s">
        <v>202</v>
      </c>
      <c r="I652" s="60" t="s">
        <v>202</v>
      </c>
      <c r="J652" s="63" t="n">
        <v>1</v>
      </c>
      <c r="K652" s="61" t="str">
        <f aca="false">IF($P652=0,"",IF($F652="Baseline","— Baseline",IF($O652=0,"No result",IF($N652=0,"No Start (attainment only)",IF(OR($N652=1,$O652=1),"U – needs rule",INDEX(MxBody,MATCH($I652,MxCurr,0),MATCH($H652,MxStart,0)))))))</f>
        <v>Better</v>
      </c>
      <c r="L652" s="62" t="str">
        <f aca="false">IF(COUNTA($A652,$F652,$G652,$H652,$I652,$J652)=0,"",IF($M652=0,"✖ كود الصف غير موجود",IF(ISNA(MATCH($F652,Lists!$A$2:$A$5,0)),"✖ الفترة غير صحيحة",IF(ISNA(MATCH($G652,Lists!$B$2:$B$7,0)),"✖ المجموعة غير صحيحة",IF(NOT(OR($H652="",$N652&gt;0)),"✖ Start غير صحيح",IF(NOT(OR($I652="",$I652="NR",$O652&gt;0)),"✖ Current غير صحيح",IF(NOT(IF(ISNUMBER($J652),AND($J652&gt;=0,$J652=INT($J652)),FALSE())),"✖ العدد يجب أن يكون صحيحًا ≥ 0",IF(AND($F652="Baseline",$H652&lt;&gt;""),"⚠ Baseline: Start لا يدخل في التقدم",IF($K652="No Start (attainment only)","ℹ تحصيل فقط (بدون Start)",IF($K652="U – needs rule","ℹ حالة U تحتاج قاعدة معتمدة",IF($K652="No result","ℹ بدون نتيجة (يُستبعد من التحصيل)","OK")))))))))))</f>
        <v>OK</v>
      </c>
      <c r="M652" s="64" t="n">
        <f aca="false">IF($A652="",0,IFERROR(MATCH($A652,Classes!$A$6:$A$420,0),0))</f>
        <v>1</v>
      </c>
      <c r="N652" s="64" t="n">
        <f aca="false">IF($H652="",0,IFERROR(MATCH($H652,GradeList,0),0))</f>
        <v>7</v>
      </c>
      <c r="O652" s="64" t="n">
        <f aca="false">IF(OR($I652="",$I652="NR"),0,IFERROR(MATCH($I652,GradeList,0),0))</f>
        <v>7</v>
      </c>
      <c r="P652" s="64" t="n">
        <f aca="false">IF(AND($M652&gt;0,ISNUMBER(MATCH($F652,Lists!$A$2:$A$5,0)),ISNUMBER(MATCH($G652,Lists!$B$2:$B$7,0)),OR($H652="",$N652&gt;0),OR($I652="",$I652="NR",$O652&gt;0),IF(ISNUMBER($J652),AND($J652&gt;=0,$J652=INT($J652)),FALSE())),$J652,0)</f>
        <v>1</v>
      </c>
      <c r="Q652" s="64" t="n">
        <f aca="false">IF(AND($P652&gt;0,$O652&gt;0),$P652,0)</f>
        <v>1</v>
      </c>
      <c r="R652" s="64" t="n">
        <f aca="false">IF(AND($Q652&gt;0,$O652&gt;=AtRank),$Q652,0)</f>
        <v>1</v>
      </c>
      <c r="S652" s="64" t="n">
        <f aca="false">IF(AND($Q652&gt;0,$O652&gt;=AboveRank),$Q652,0)</f>
        <v>1</v>
      </c>
      <c r="T652" s="64" t="n">
        <f aca="false">IF($K652="Less",$P652,0)</f>
        <v>0</v>
      </c>
      <c r="U652" s="64" t="n">
        <f aca="false">IF($K652="Expected",$P652,0)</f>
        <v>0</v>
      </c>
      <c r="V652" s="64" t="n">
        <f aca="false">IF($K652="Better",$P652,0)</f>
        <v>1</v>
      </c>
      <c r="W652" s="64" t="n">
        <f aca="false">IF($K652="U – needs rule",$P652,0)</f>
        <v>0</v>
      </c>
      <c r="X652" s="64" t="n">
        <f aca="false">IF($K652="No Start (attainment only)",$P652,0)</f>
        <v>0</v>
      </c>
    </row>
    <row r="653" customFormat="false" ht="15" hidden="false" customHeight="false" outlineLevel="0" collapsed="false">
      <c r="A653" s="60" t="s">
        <v>440</v>
      </c>
      <c r="B653" s="61" t="str">
        <f aca="false">IF($M653=0,"",INDEX(Classes!$E$6:$E$420,$M653))</f>
        <v>Arabic A</v>
      </c>
      <c r="C653" s="62" t="str">
        <f aca="false">IF($M653=0,"",INDEX(Classes!$H$6:$H$420,$M653))</f>
        <v>Ms Aya Soliman Eid</v>
      </c>
      <c r="D653" s="61" t="str">
        <f aca="false">IF($M653=0,"",INDEX(Classes!$B$6:$B$420,$M653))</f>
        <v>Year 2</v>
      </c>
      <c r="E653" s="61" t="str">
        <f aca="false">IF($M653=0,"",INDEX(Classes!$C$6:$C$420,$M653))</f>
        <v>af</v>
      </c>
      <c r="F653" s="63" t="s">
        <v>107</v>
      </c>
      <c r="G653" s="63" t="s">
        <v>1016</v>
      </c>
      <c r="H653" s="60" t="s">
        <v>203</v>
      </c>
      <c r="I653" s="60" t="s">
        <v>203</v>
      </c>
      <c r="J653" s="63" t="n">
        <v>1</v>
      </c>
      <c r="K653" s="61" t="str">
        <f aca="false">IF($P653=0,"",IF($F653="Baseline","— Baseline",IF($O653=0,"No result",IF($N653=0,"No Start (attainment only)",IF(OR($N653=1,$O653=1),"U – needs rule",INDEX(MxBody,MATCH($I653,MxCurr,0),MATCH($H653,MxStart,0)))))))</f>
        <v>Better</v>
      </c>
      <c r="L653" s="62" t="str">
        <f aca="false">IF(COUNTA($A653,$F653,$G653,$H653,$I653,$J653)=0,"",IF($M653=0,"✖ كود الصف غير موجود",IF(ISNA(MATCH($F653,Lists!$A$2:$A$5,0)),"✖ الفترة غير صحيحة",IF(ISNA(MATCH($G653,Lists!$B$2:$B$7,0)),"✖ المجموعة غير صحيحة",IF(NOT(OR($H653="",$N653&gt;0)),"✖ Start غير صحيح",IF(NOT(OR($I653="",$I653="NR",$O653&gt;0)),"✖ Current غير صحيح",IF(NOT(IF(ISNUMBER($J653),AND($J653&gt;=0,$J653=INT($J653)),FALSE())),"✖ العدد يجب أن يكون صحيحًا ≥ 0",IF(AND($F653="Baseline",$H653&lt;&gt;""),"⚠ Baseline: Start لا يدخل في التقدم",IF($K653="No Start (attainment only)","ℹ تحصيل فقط (بدون Start)",IF($K653="U – needs rule","ℹ حالة U تحتاج قاعدة معتمدة",IF($K653="No result","ℹ بدون نتيجة (يُستبعد من التحصيل)","OK")))))))))))</f>
        <v>OK</v>
      </c>
      <c r="M653" s="64" t="n">
        <f aca="false">IF($A653="",0,IFERROR(MATCH($A653,Classes!$A$6:$A$420,0),0))</f>
        <v>1</v>
      </c>
      <c r="N653" s="64" t="n">
        <f aca="false">IF($H653="",0,IFERROR(MATCH($H653,GradeList,0),0))</f>
        <v>8</v>
      </c>
      <c r="O653" s="64" t="n">
        <f aca="false">IF(OR($I653="",$I653="NR"),0,IFERROR(MATCH($I653,GradeList,0),0))</f>
        <v>8</v>
      </c>
      <c r="P653" s="64" t="n">
        <f aca="false">IF(AND($M653&gt;0,ISNUMBER(MATCH($F653,Lists!$A$2:$A$5,0)),ISNUMBER(MATCH($G653,Lists!$B$2:$B$7,0)),OR($H653="",$N653&gt;0),OR($I653="",$I653="NR",$O653&gt;0),IF(ISNUMBER($J653),AND($J653&gt;=0,$J653=INT($J653)),FALSE())),$J653,0)</f>
        <v>1</v>
      </c>
      <c r="Q653" s="64" t="n">
        <f aca="false">IF(AND($P653&gt;0,$O653&gt;0),$P653,0)</f>
        <v>1</v>
      </c>
      <c r="R653" s="64" t="n">
        <f aca="false">IF(AND($Q653&gt;0,$O653&gt;=AtRank),$Q653,0)</f>
        <v>1</v>
      </c>
      <c r="S653" s="64" t="n">
        <f aca="false">IF(AND($Q653&gt;0,$O653&gt;=AboveRank),$Q653,0)</f>
        <v>1</v>
      </c>
      <c r="T653" s="64" t="n">
        <f aca="false">IF($K653="Less",$P653,0)</f>
        <v>0</v>
      </c>
      <c r="U653" s="64" t="n">
        <f aca="false">IF($K653="Expected",$P653,0)</f>
        <v>0</v>
      </c>
      <c r="V653" s="64" t="n">
        <f aca="false">IF($K653="Better",$P653,0)</f>
        <v>1</v>
      </c>
      <c r="W653" s="64" t="n">
        <f aca="false">IF($K653="U – needs rule",$P653,0)</f>
        <v>0</v>
      </c>
      <c r="X653" s="64" t="n">
        <f aca="false">IF($K653="No Start (attainment only)",$P653,0)</f>
        <v>0</v>
      </c>
    </row>
    <row r="654" customFormat="false" ht="15" hidden="false" customHeight="false" outlineLevel="0" collapsed="false">
      <c r="A654" s="60" t="s">
        <v>440</v>
      </c>
      <c r="B654" s="61" t="str">
        <f aca="false">IF($M654=0,"",INDEX(Classes!$E$6:$E$420,$M654))</f>
        <v>Arabic A</v>
      </c>
      <c r="C654" s="62" t="str">
        <f aca="false">IF($M654=0,"",INDEX(Classes!$H$6:$H$420,$M654))</f>
        <v>Ms Aya Soliman Eid</v>
      </c>
      <c r="D654" s="61" t="str">
        <f aca="false">IF($M654=0,"",INDEX(Classes!$B$6:$B$420,$M654))</f>
        <v>Year 2</v>
      </c>
      <c r="E654" s="61" t="str">
        <f aca="false">IF($M654=0,"",INDEX(Classes!$C$6:$C$420,$M654))</f>
        <v>af</v>
      </c>
      <c r="F654" s="63" t="s">
        <v>107</v>
      </c>
      <c r="G654" s="63" t="s">
        <v>1016</v>
      </c>
      <c r="H654" s="60" t="s">
        <v>201</v>
      </c>
      <c r="I654" s="60" t="s">
        <v>202</v>
      </c>
      <c r="J654" s="63" t="n">
        <v>1</v>
      </c>
      <c r="K654" s="61" t="str">
        <f aca="false">IF($P654=0,"",IF($F654="Baseline","— Baseline",IF($O654=0,"No result",IF($N654=0,"No Start (attainment only)",IF(OR($N654=1,$O654=1),"U – needs rule",INDEX(MxBody,MATCH($I654,MxCurr,0),MATCH($H654,MxStart,0)))))))</f>
        <v>Better</v>
      </c>
      <c r="L654" s="62" t="str">
        <f aca="false">IF(COUNTA($A654,$F654,$G654,$H654,$I654,$J654)=0,"",IF($M654=0,"✖ كود الصف غير موجود",IF(ISNA(MATCH($F654,Lists!$A$2:$A$5,0)),"✖ الفترة غير صحيحة",IF(ISNA(MATCH($G654,Lists!$B$2:$B$7,0)),"✖ المجموعة غير صحيحة",IF(NOT(OR($H654="",$N654&gt;0)),"✖ Start غير صحيح",IF(NOT(OR($I654="",$I654="NR",$O654&gt;0)),"✖ Current غير صحيح",IF(NOT(IF(ISNUMBER($J654),AND($J654&gt;=0,$J654=INT($J654)),FALSE())),"✖ العدد يجب أن يكون صحيحًا ≥ 0",IF(AND($F654="Baseline",$H654&lt;&gt;""),"⚠ Baseline: Start لا يدخل في التقدم",IF($K654="No Start (attainment only)","ℹ تحصيل فقط (بدون Start)",IF($K654="U – needs rule","ℹ حالة U تحتاج قاعدة معتمدة",IF($K654="No result","ℹ بدون نتيجة (يُستبعد من التحصيل)","OK")))))))))))</f>
        <v>OK</v>
      </c>
      <c r="M654" s="64" t="n">
        <f aca="false">IF($A654="",0,IFERROR(MATCH($A654,Classes!$A$6:$A$420,0),0))</f>
        <v>1</v>
      </c>
      <c r="N654" s="64" t="n">
        <f aca="false">IF($H654="",0,IFERROR(MATCH($H654,GradeList,0),0))</f>
        <v>6</v>
      </c>
      <c r="O654" s="64" t="n">
        <f aca="false">IF(OR($I654="",$I654="NR"),0,IFERROR(MATCH($I654,GradeList,0),0))</f>
        <v>7</v>
      </c>
      <c r="P654" s="64" t="n">
        <f aca="false">IF(AND($M654&gt;0,ISNUMBER(MATCH($F654,Lists!$A$2:$A$5,0)),ISNUMBER(MATCH($G654,Lists!$B$2:$B$7,0)),OR($H654="",$N654&gt;0),OR($I654="",$I654="NR",$O654&gt;0),IF(ISNUMBER($J654),AND($J654&gt;=0,$J654=INT($J654)),FALSE())),$J654,0)</f>
        <v>1</v>
      </c>
      <c r="Q654" s="64" t="n">
        <f aca="false">IF(AND($P654&gt;0,$O654&gt;0),$P654,0)</f>
        <v>1</v>
      </c>
      <c r="R654" s="64" t="n">
        <f aca="false">IF(AND($Q654&gt;0,$O654&gt;=AtRank),$Q654,0)</f>
        <v>1</v>
      </c>
      <c r="S654" s="64" t="n">
        <f aca="false">IF(AND($Q654&gt;0,$O654&gt;=AboveRank),$Q654,0)</f>
        <v>1</v>
      </c>
      <c r="T654" s="64" t="n">
        <f aca="false">IF($K654="Less",$P654,0)</f>
        <v>0</v>
      </c>
      <c r="U654" s="64" t="n">
        <f aca="false">IF($K654="Expected",$P654,0)</f>
        <v>0</v>
      </c>
      <c r="V654" s="64" t="n">
        <f aca="false">IF($K654="Better",$P654,0)</f>
        <v>1</v>
      </c>
      <c r="W654" s="64" t="n">
        <f aca="false">IF($K654="U – needs rule",$P654,0)</f>
        <v>0</v>
      </c>
      <c r="X654" s="64" t="n">
        <f aca="false">IF($K654="No Start (attainment only)",$P654,0)</f>
        <v>0</v>
      </c>
    </row>
    <row r="655" customFormat="false" ht="15" hidden="false" customHeight="false" outlineLevel="0" collapsed="false">
      <c r="A655" s="60" t="s">
        <v>440</v>
      </c>
      <c r="B655" s="61" t="str">
        <f aca="false">IF($M655=0,"",INDEX(Classes!$E$6:$E$420,$M655))</f>
        <v>Arabic A</v>
      </c>
      <c r="C655" s="62" t="str">
        <f aca="false">IF($M655=0,"",INDEX(Classes!$H$6:$H$420,$M655))</f>
        <v>Ms Aya Soliman Eid</v>
      </c>
      <c r="D655" s="61" t="str">
        <f aca="false">IF($M655=0,"",INDEX(Classes!$B$6:$B$420,$M655))</f>
        <v>Year 2</v>
      </c>
      <c r="E655" s="61" t="str">
        <f aca="false">IF($M655=0,"",INDEX(Classes!$C$6:$C$420,$M655))</f>
        <v>af</v>
      </c>
      <c r="F655" s="63" t="s">
        <v>107</v>
      </c>
      <c r="G655" s="63" t="s">
        <v>1016</v>
      </c>
      <c r="H655" s="60" t="s">
        <v>201</v>
      </c>
      <c r="I655" s="60" t="s">
        <v>203</v>
      </c>
      <c r="J655" s="63" t="n">
        <v>1</v>
      </c>
      <c r="K655" s="61" t="str">
        <f aca="false">IF($P655=0,"",IF($F655="Baseline","— Baseline",IF($O655=0,"No result",IF($N655=0,"No Start (attainment only)",IF(OR($N655=1,$O655=1),"U – needs rule",INDEX(MxBody,MATCH($I655,MxCurr,0),MATCH($H655,MxStart,0)))))))</f>
        <v>Better</v>
      </c>
      <c r="L655" s="62" t="str">
        <f aca="false">IF(COUNTA($A655,$F655,$G655,$H655,$I655,$J655)=0,"",IF($M655=0,"✖ كود الصف غير موجود",IF(ISNA(MATCH($F655,Lists!$A$2:$A$5,0)),"✖ الفترة غير صحيحة",IF(ISNA(MATCH($G655,Lists!$B$2:$B$7,0)),"✖ المجموعة غير صحيحة",IF(NOT(OR($H655="",$N655&gt;0)),"✖ Start غير صحيح",IF(NOT(OR($I655="",$I655="NR",$O655&gt;0)),"✖ Current غير صحيح",IF(NOT(IF(ISNUMBER($J655),AND($J655&gt;=0,$J655=INT($J655)),FALSE())),"✖ العدد يجب أن يكون صحيحًا ≥ 0",IF(AND($F655="Baseline",$H655&lt;&gt;""),"⚠ Baseline: Start لا يدخل في التقدم",IF($K655="No Start (attainment only)","ℹ تحصيل فقط (بدون Start)",IF($K655="U – needs rule","ℹ حالة U تحتاج قاعدة معتمدة",IF($K655="No result","ℹ بدون نتيجة (يُستبعد من التحصيل)","OK")))))))))))</f>
        <v>OK</v>
      </c>
      <c r="M655" s="64" t="n">
        <f aca="false">IF($A655="",0,IFERROR(MATCH($A655,Classes!$A$6:$A$420,0),0))</f>
        <v>1</v>
      </c>
      <c r="N655" s="64" t="n">
        <f aca="false">IF($H655="",0,IFERROR(MATCH($H655,GradeList,0),0))</f>
        <v>6</v>
      </c>
      <c r="O655" s="64" t="n">
        <f aca="false">IF(OR($I655="",$I655="NR"),0,IFERROR(MATCH($I655,GradeList,0),0))</f>
        <v>8</v>
      </c>
      <c r="P655" s="64" t="n">
        <f aca="false">IF(AND($M655&gt;0,ISNUMBER(MATCH($F655,Lists!$A$2:$A$5,0)),ISNUMBER(MATCH($G655,Lists!$B$2:$B$7,0)),OR($H655="",$N655&gt;0),OR($I655="",$I655="NR",$O655&gt;0),IF(ISNUMBER($J655),AND($J655&gt;=0,$J655=INT($J655)),FALSE())),$J655,0)</f>
        <v>1</v>
      </c>
      <c r="Q655" s="64" t="n">
        <f aca="false">IF(AND($P655&gt;0,$O655&gt;0),$P655,0)</f>
        <v>1</v>
      </c>
      <c r="R655" s="64" t="n">
        <f aca="false">IF(AND($Q655&gt;0,$O655&gt;=AtRank),$Q655,0)</f>
        <v>1</v>
      </c>
      <c r="S655" s="64" t="n">
        <f aca="false">IF(AND($Q655&gt;0,$O655&gt;=AboveRank),$Q655,0)</f>
        <v>1</v>
      </c>
      <c r="T655" s="64" t="n">
        <f aca="false">IF($K655="Less",$P655,0)</f>
        <v>0</v>
      </c>
      <c r="U655" s="64" t="n">
        <f aca="false">IF($K655="Expected",$P655,0)</f>
        <v>0</v>
      </c>
      <c r="V655" s="64" t="n">
        <f aca="false">IF($K655="Better",$P655,0)</f>
        <v>1</v>
      </c>
      <c r="W655" s="64" t="n">
        <f aca="false">IF($K655="U – needs rule",$P655,0)</f>
        <v>0</v>
      </c>
      <c r="X655" s="64" t="n">
        <f aca="false">IF($K655="No Start (attainment only)",$P655,0)</f>
        <v>0</v>
      </c>
    </row>
    <row r="656" customFormat="false" ht="15" hidden="false" customHeight="false" outlineLevel="0" collapsed="false">
      <c r="A656" s="60" t="s">
        <v>440</v>
      </c>
      <c r="B656" s="61" t="str">
        <f aca="false">IF($M656=0,"",INDEX(Classes!$E$6:$E$420,$M656))</f>
        <v>Arabic A</v>
      </c>
      <c r="C656" s="62" t="str">
        <f aca="false">IF($M656=0,"",INDEX(Classes!$H$6:$H$420,$M656))</f>
        <v>Ms Aya Soliman Eid</v>
      </c>
      <c r="D656" s="61" t="str">
        <f aca="false">IF($M656=0,"",INDEX(Classes!$B$6:$B$420,$M656))</f>
        <v>Year 2</v>
      </c>
      <c r="E656" s="61" t="str">
        <f aca="false">IF($M656=0,"",INDEX(Classes!$C$6:$C$420,$M656))</f>
        <v>af</v>
      </c>
      <c r="F656" s="63" t="s">
        <v>107</v>
      </c>
      <c r="G656" s="63" t="s">
        <v>1016</v>
      </c>
      <c r="H656" s="60" t="s">
        <v>199</v>
      </c>
      <c r="I656" s="60" t="s">
        <v>200</v>
      </c>
      <c r="J656" s="63" t="n">
        <v>1</v>
      </c>
      <c r="K656" s="61" t="str">
        <f aca="false">IF($P656=0,"",IF($F656="Baseline","— Baseline",IF($O656=0,"No result",IF($N656=0,"No Start (attainment only)",IF(OR($N656=1,$O656=1),"U – needs rule",INDEX(MxBody,MATCH($I656,MxCurr,0),MATCH($H656,MxStart,0)))))))</f>
        <v>Better</v>
      </c>
      <c r="L656" s="62" t="str">
        <f aca="false">IF(COUNTA($A656,$F656,$G656,$H656,$I656,$J656)=0,"",IF($M656=0,"✖ كود الصف غير موجود",IF(ISNA(MATCH($F656,Lists!$A$2:$A$5,0)),"✖ الفترة غير صحيحة",IF(ISNA(MATCH($G656,Lists!$B$2:$B$7,0)),"✖ المجموعة غير صحيحة",IF(NOT(OR($H656="",$N656&gt;0)),"✖ Start غير صحيح",IF(NOT(OR($I656="",$I656="NR",$O656&gt;0)),"✖ Current غير صحيح",IF(NOT(IF(ISNUMBER($J656),AND($J656&gt;=0,$J656=INT($J656)),FALSE())),"✖ العدد يجب أن يكون صحيحًا ≥ 0",IF(AND($F656="Baseline",$H656&lt;&gt;""),"⚠ Baseline: Start لا يدخل في التقدم",IF($K656="No Start (attainment only)","ℹ تحصيل فقط (بدون Start)",IF($K656="U – needs rule","ℹ حالة U تحتاج قاعدة معتمدة",IF($K656="No result","ℹ بدون نتيجة (يُستبعد من التحصيل)","OK")))))))))))</f>
        <v>OK</v>
      </c>
      <c r="M656" s="64" t="n">
        <f aca="false">IF($A656="",0,IFERROR(MATCH($A656,Classes!$A$6:$A$420,0),0))</f>
        <v>1</v>
      </c>
      <c r="N656" s="64" t="n">
        <f aca="false">IF($H656="",0,IFERROR(MATCH($H656,GradeList,0),0))</f>
        <v>4</v>
      </c>
      <c r="O656" s="64" t="n">
        <f aca="false">IF(OR($I656="",$I656="NR"),0,IFERROR(MATCH($I656,GradeList,0),0))</f>
        <v>5</v>
      </c>
      <c r="P656" s="64" t="n">
        <f aca="false">IF(AND($M656&gt;0,ISNUMBER(MATCH($F656,Lists!$A$2:$A$5,0)),ISNUMBER(MATCH($G656,Lists!$B$2:$B$7,0)),OR($H656="",$N656&gt;0),OR($I656="",$I656="NR",$O656&gt;0),IF(ISNUMBER($J656),AND($J656&gt;=0,$J656=INT($J656)),FALSE())),$J656,0)</f>
        <v>1</v>
      </c>
      <c r="Q656" s="64" t="n">
        <f aca="false">IF(AND($P656&gt;0,$O656&gt;0),$P656,0)</f>
        <v>1</v>
      </c>
      <c r="R656" s="64" t="n">
        <f aca="false">IF(AND($Q656&gt;0,$O656&gt;=AtRank),$Q656,0)</f>
        <v>1</v>
      </c>
      <c r="S656" s="64" t="n">
        <f aca="false">IF(AND($Q656&gt;0,$O656&gt;=AboveRank),$Q656,0)</f>
        <v>0</v>
      </c>
      <c r="T656" s="64" t="n">
        <f aca="false">IF($K656="Less",$P656,0)</f>
        <v>0</v>
      </c>
      <c r="U656" s="64" t="n">
        <f aca="false">IF($K656="Expected",$P656,0)</f>
        <v>0</v>
      </c>
      <c r="V656" s="64" t="n">
        <f aca="false">IF($K656="Better",$P656,0)</f>
        <v>1</v>
      </c>
      <c r="W656" s="64" t="n">
        <f aca="false">IF($K656="U – needs rule",$P656,0)</f>
        <v>0</v>
      </c>
      <c r="X656" s="64" t="n">
        <f aca="false">IF($K656="No Start (attainment only)",$P656,0)</f>
        <v>0</v>
      </c>
    </row>
    <row r="657" customFormat="false" ht="15" hidden="false" customHeight="false" outlineLevel="0" collapsed="false">
      <c r="A657" s="60" t="s">
        <v>440</v>
      </c>
      <c r="B657" s="61" t="str">
        <f aca="false">IF($M657=0,"",INDEX(Classes!$E$6:$E$420,$M657))</f>
        <v>Arabic A</v>
      </c>
      <c r="C657" s="62" t="str">
        <f aca="false">IF($M657=0,"",INDEX(Classes!$H$6:$H$420,$M657))</f>
        <v>Ms Aya Soliman Eid</v>
      </c>
      <c r="D657" s="61" t="str">
        <f aca="false">IF($M657=0,"",INDEX(Classes!$B$6:$B$420,$M657))</f>
        <v>Year 2</v>
      </c>
      <c r="E657" s="61" t="str">
        <f aca="false">IF($M657=0,"",INDEX(Classes!$C$6:$C$420,$M657))</f>
        <v>af</v>
      </c>
      <c r="F657" s="63" t="s">
        <v>107</v>
      </c>
      <c r="G657" s="63" t="s">
        <v>1016</v>
      </c>
      <c r="H657" s="60" t="s">
        <v>199</v>
      </c>
      <c r="I657" s="60" t="s">
        <v>199</v>
      </c>
      <c r="J657" s="63" t="n">
        <v>3</v>
      </c>
      <c r="K657" s="61" t="str">
        <f aca="false">IF($P657=0,"",IF($F657="Baseline","— Baseline",IF($O657=0,"No result",IF($N657=0,"No Start (attainment only)",IF(OR($N657=1,$O657=1),"U – needs rule",INDEX(MxBody,MATCH($I657,MxCurr,0),MATCH($H657,MxStart,0)))))))</f>
        <v>Expected</v>
      </c>
      <c r="L657" s="62" t="str">
        <f aca="false">IF(COUNTA($A657,$F657,$G657,$H657,$I657,$J657)=0,"",IF($M657=0,"✖ كود الصف غير موجود",IF(ISNA(MATCH($F657,Lists!$A$2:$A$5,0)),"✖ الفترة غير صحيحة",IF(ISNA(MATCH($G657,Lists!$B$2:$B$7,0)),"✖ المجموعة غير صحيحة",IF(NOT(OR($H657="",$N657&gt;0)),"✖ Start غير صحيح",IF(NOT(OR($I657="",$I657="NR",$O657&gt;0)),"✖ Current غير صحيح",IF(NOT(IF(ISNUMBER($J657),AND($J657&gt;=0,$J657=INT($J657)),FALSE())),"✖ العدد يجب أن يكون صحيحًا ≥ 0",IF(AND($F657="Baseline",$H657&lt;&gt;""),"⚠ Baseline: Start لا يدخل في التقدم",IF($K657="No Start (attainment only)","ℹ تحصيل فقط (بدون Start)",IF($K657="U – needs rule","ℹ حالة U تحتاج قاعدة معتمدة",IF($K657="No result","ℹ بدون نتيجة (يُستبعد من التحصيل)","OK")))))))))))</f>
        <v>OK</v>
      </c>
      <c r="M657" s="64" t="n">
        <f aca="false">IF($A657="",0,IFERROR(MATCH($A657,Classes!$A$6:$A$420,0),0))</f>
        <v>1</v>
      </c>
      <c r="N657" s="64" t="n">
        <f aca="false">IF($H657="",0,IFERROR(MATCH($H657,GradeList,0),0))</f>
        <v>4</v>
      </c>
      <c r="O657" s="64" t="n">
        <f aca="false">IF(OR($I657="",$I657="NR"),0,IFERROR(MATCH($I657,GradeList,0),0))</f>
        <v>4</v>
      </c>
      <c r="P657" s="64" t="n">
        <f aca="false">IF(AND($M657&gt;0,ISNUMBER(MATCH($F657,Lists!$A$2:$A$5,0)),ISNUMBER(MATCH($G657,Lists!$B$2:$B$7,0)),OR($H657="",$N657&gt;0),OR($I657="",$I657="NR",$O657&gt;0),IF(ISNUMBER($J657),AND($J657&gt;=0,$J657=INT($J657)),FALSE())),$J657,0)</f>
        <v>3</v>
      </c>
      <c r="Q657" s="64" t="n">
        <f aca="false">IF(AND($P657&gt;0,$O657&gt;0),$P657,0)</f>
        <v>3</v>
      </c>
      <c r="R657" s="64" t="n">
        <f aca="false">IF(AND($Q657&gt;0,$O657&gt;=AtRank),$Q657,0)</f>
        <v>0</v>
      </c>
      <c r="S657" s="64" t="n">
        <f aca="false">IF(AND($Q657&gt;0,$O657&gt;=AboveRank),$Q657,0)</f>
        <v>0</v>
      </c>
      <c r="T657" s="64" t="n">
        <f aca="false">IF($K657="Less",$P657,0)</f>
        <v>0</v>
      </c>
      <c r="U657" s="64" t="n">
        <f aca="false">IF($K657="Expected",$P657,0)</f>
        <v>3</v>
      </c>
      <c r="V657" s="64" t="n">
        <f aca="false">IF($K657="Better",$P657,0)</f>
        <v>0</v>
      </c>
      <c r="W657" s="64" t="n">
        <f aca="false">IF($K657="U – needs rule",$P657,0)</f>
        <v>0</v>
      </c>
      <c r="X657" s="64" t="n">
        <f aca="false">IF($K657="No Start (attainment only)",$P657,0)</f>
        <v>0</v>
      </c>
    </row>
    <row r="658" customFormat="false" ht="15" hidden="false" customHeight="false" outlineLevel="0" collapsed="false">
      <c r="A658" s="60" t="s">
        <v>440</v>
      </c>
      <c r="B658" s="61" t="str">
        <f aca="false">IF($M658=0,"",INDEX(Classes!$E$6:$E$420,$M658))</f>
        <v>Arabic A</v>
      </c>
      <c r="C658" s="62" t="str">
        <f aca="false">IF($M658=0,"",INDEX(Classes!$H$6:$H$420,$M658))</f>
        <v>Ms Aya Soliman Eid</v>
      </c>
      <c r="D658" s="61" t="str">
        <f aca="false">IF($M658=0,"",INDEX(Classes!$B$6:$B$420,$M658))</f>
        <v>Year 2</v>
      </c>
      <c r="E658" s="61" t="str">
        <f aca="false">IF($M658=0,"",INDEX(Classes!$C$6:$C$420,$M658))</f>
        <v>af</v>
      </c>
      <c r="F658" s="63" t="s">
        <v>107</v>
      </c>
      <c r="G658" s="63" t="s">
        <v>941</v>
      </c>
      <c r="H658" s="60" t="s">
        <v>202</v>
      </c>
      <c r="I658" s="60" t="s">
        <v>203</v>
      </c>
      <c r="J658" s="63" t="n">
        <v>2</v>
      </c>
      <c r="K658" s="61" t="str">
        <f aca="false">IF($P658=0,"",IF($F658="Baseline","— Baseline",IF($O658=0,"No result",IF($N658=0,"No Start (attainment only)",IF(OR($N658=1,$O658=1),"U – needs rule",INDEX(MxBody,MATCH($I658,MxCurr,0),MATCH($H658,MxStart,0)))))))</f>
        <v>Better</v>
      </c>
      <c r="L658" s="62" t="str">
        <f aca="false">IF(COUNTA($A658,$F658,$G658,$H658,$I658,$J658)=0,"",IF($M658=0,"✖ كود الصف غير موجود",IF(ISNA(MATCH($F658,Lists!$A$2:$A$5,0)),"✖ الفترة غير صحيحة",IF(ISNA(MATCH($G658,Lists!$B$2:$B$7,0)),"✖ المجموعة غير صحيحة",IF(NOT(OR($H658="",$N658&gt;0)),"✖ Start غير صحيح",IF(NOT(OR($I658="",$I658="NR",$O658&gt;0)),"✖ Current غير صحيح",IF(NOT(IF(ISNUMBER($J658),AND($J658&gt;=0,$J658=INT($J658)),FALSE())),"✖ العدد يجب أن يكون صحيحًا ≥ 0",IF(AND($F658="Baseline",$H658&lt;&gt;""),"⚠ Baseline: Start لا يدخل في التقدم",IF($K658="No Start (attainment only)","ℹ تحصيل فقط (بدون Start)",IF($K658="U – needs rule","ℹ حالة U تحتاج قاعدة معتمدة",IF($K658="No result","ℹ بدون نتيجة (يُستبعد من التحصيل)","OK")))))))))))</f>
        <v>OK</v>
      </c>
      <c r="M658" s="64" t="n">
        <f aca="false">IF($A658="",0,IFERROR(MATCH($A658,Classes!$A$6:$A$420,0),0))</f>
        <v>1</v>
      </c>
      <c r="N658" s="64" t="n">
        <f aca="false">IF($H658="",0,IFERROR(MATCH($H658,GradeList,0),0))</f>
        <v>7</v>
      </c>
      <c r="O658" s="64" t="n">
        <f aca="false">IF(OR($I658="",$I658="NR"),0,IFERROR(MATCH($I658,GradeList,0),0))</f>
        <v>8</v>
      </c>
      <c r="P658" s="64" t="n">
        <f aca="false">IF(AND($M658&gt;0,ISNUMBER(MATCH($F658,Lists!$A$2:$A$5,0)),ISNUMBER(MATCH($G658,Lists!$B$2:$B$7,0)),OR($H658="",$N658&gt;0),OR($I658="",$I658="NR",$O658&gt;0),IF(ISNUMBER($J658),AND($J658&gt;=0,$J658=INT($J658)),FALSE())),$J658,0)</f>
        <v>2</v>
      </c>
      <c r="Q658" s="64" t="n">
        <f aca="false">IF(AND($P658&gt;0,$O658&gt;0),$P658,0)</f>
        <v>2</v>
      </c>
      <c r="R658" s="64" t="n">
        <f aca="false">IF(AND($Q658&gt;0,$O658&gt;=AtRank),$Q658,0)</f>
        <v>2</v>
      </c>
      <c r="S658" s="64" t="n">
        <f aca="false">IF(AND($Q658&gt;0,$O658&gt;=AboveRank),$Q658,0)</f>
        <v>2</v>
      </c>
      <c r="T658" s="64" t="n">
        <f aca="false">IF($K658="Less",$P658,0)</f>
        <v>0</v>
      </c>
      <c r="U658" s="64" t="n">
        <f aca="false">IF($K658="Expected",$P658,0)</f>
        <v>0</v>
      </c>
      <c r="V658" s="64" t="n">
        <f aca="false">IF($K658="Better",$P658,0)</f>
        <v>2</v>
      </c>
      <c r="W658" s="64" t="n">
        <f aca="false">IF($K658="U – needs rule",$P658,0)</f>
        <v>0</v>
      </c>
      <c r="X658" s="64" t="n">
        <f aca="false">IF($K658="No Start (attainment only)",$P658,0)</f>
        <v>0</v>
      </c>
    </row>
    <row r="659" customFormat="false" ht="15" hidden="false" customHeight="false" outlineLevel="0" collapsed="false">
      <c r="A659" s="60" t="s">
        <v>440</v>
      </c>
      <c r="B659" s="61" t="str">
        <f aca="false">IF($M659=0,"",INDEX(Classes!$E$6:$E$420,$M659))</f>
        <v>Arabic A</v>
      </c>
      <c r="C659" s="62" t="str">
        <f aca="false">IF($M659=0,"",INDEX(Classes!$H$6:$H$420,$M659))</f>
        <v>Ms Aya Soliman Eid</v>
      </c>
      <c r="D659" s="61" t="str">
        <f aca="false">IF($M659=0,"",INDEX(Classes!$B$6:$B$420,$M659))</f>
        <v>Year 2</v>
      </c>
      <c r="E659" s="61" t="str">
        <f aca="false">IF($M659=0,"",INDEX(Classes!$C$6:$C$420,$M659))</f>
        <v>af</v>
      </c>
      <c r="F659" s="63" t="s">
        <v>107</v>
      </c>
      <c r="G659" s="63" t="s">
        <v>1017</v>
      </c>
      <c r="H659" s="60" t="s">
        <v>202</v>
      </c>
      <c r="I659" s="60" t="s">
        <v>203</v>
      </c>
      <c r="J659" s="63" t="n">
        <v>1</v>
      </c>
      <c r="K659" s="61" t="str">
        <f aca="false">IF($P659=0,"",IF($F659="Baseline","— Baseline",IF($O659=0,"No result",IF($N659=0,"No Start (attainment only)",IF(OR($N659=1,$O659=1),"U – needs rule",INDEX(MxBody,MATCH($I659,MxCurr,0),MATCH($H659,MxStart,0)))))))</f>
        <v>Better</v>
      </c>
      <c r="L659" s="62" t="str">
        <f aca="false">IF(COUNTA($A659,$F659,$G659,$H659,$I659,$J659)=0,"",IF($M659=0,"✖ كود الصف غير موجود",IF(ISNA(MATCH($F659,Lists!$A$2:$A$5,0)),"✖ الفترة غير صحيحة",IF(ISNA(MATCH($G659,Lists!$B$2:$B$7,0)),"✖ المجموعة غير صحيحة",IF(NOT(OR($H659="",$N659&gt;0)),"✖ Start غير صحيح",IF(NOT(OR($I659="",$I659="NR",$O659&gt;0)),"✖ Current غير صحيح",IF(NOT(IF(ISNUMBER($J659),AND($J659&gt;=0,$J659=INT($J659)),FALSE())),"✖ العدد يجب أن يكون صحيحًا ≥ 0",IF(AND($F659="Baseline",$H659&lt;&gt;""),"⚠ Baseline: Start لا يدخل في التقدم",IF($K659="No Start (attainment only)","ℹ تحصيل فقط (بدون Start)",IF($K659="U – needs rule","ℹ حالة U تحتاج قاعدة معتمدة",IF($K659="No result","ℹ بدون نتيجة (يُستبعد من التحصيل)","OK")))))))))))</f>
        <v>OK</v>
      </c>
      <c r="M659" s="64" t="n">
        <f aca="false">IF($A659="",0,IFERROR(MATCH($A659,Classes!$A$6:$A$420,0),0))</f>
        <v>1</v>
      </c>
      <c r="N659" s="64" t="n">
        <f aca="false">IF($H659="",0,IFERROR(MATCH($H659,GradeList,0),0))</f>
        <v>7</v>
      </c>
      <c r="O659" s="64" t="n">
        <f aca="false">IF(OR($I659="",$I659="NR"),0,IFERROR(MATCH($I659,GradeList,0),0))</f>
        <v>8</v>
      </c>
      <c r="P659" s="64" t="n">
        <f aca="false">IF(AND($M659&gt;0,ISNUMBER(MATCH($F659,Lists!$A$2:$A$5,0)),ISNUMBER(MATCH($G659,Lists!$B$2:$B$7,0)),OR($H659="",$N659&gt;0),OR($I659="",$I659="NR",$O659&gt;0),IF(ISNUMBER($J659),AND($J659&gt;=0,$J659=INT($J659)),FALSE())),$J659,0)</f>
        <v>1</v>
      </c>
      <c r="Q659" s="64" t="n">
        <f aca="false">IF(AND($P659&gt;0,$O659&gt;0),$P659,0)</f>
        <v>1</v>
      </c>
      <c r="R659" s="64" t="n">
        <f aca="false">IF(AND($Q659&gt;0,$O659&gt;=AtRank),$Q659,0)</f>
        <v>1</v>
      </c>
      <c r="S659" s="64" t="n">
        <f aca="false">IF(AND($Q659&gt;0,$O659&gt;=AboveRank),$Q659,0)</f>
        <v>1</v>
      </c>
      <c r="T659" s="64" t="n">
        <f aca="false">IF($K659="Less",$P659,0)</f>
        <v>0</v>
      </c>
      <c r="U659" s="64" t="n">
        <f aca="false">IF($K659="Expected",$P659,0)</f>
        <v>0</v>
      </c>
      <c r="V659" s="64" t="n">
        <f aca="false">IF($K659="Better",$P659,0)</f>
        <v>1</v>
      </c>
      <c r="W659" s="64" t="n">
        <f aca="false">IF($K659="U – needs rule",$P659,0)</f>
        <v>0</v>
      </c>
      <c r="X659" s="64" t="n">
        <f aca="false">IF($K659="No Start (attainment only)",$P659,0)</f>
        <v>0</v>
      </c>
    </row>
    <row r="660" customFormat="false" ht="15" hidden="false" customHeight="false" outlineLevel="0" collapsed="false">
      <c r="A660" s="60" t="s">
        <v>440</v>
      </c>
      <c r="B660" s="61" t="str">
        <f aca="false">IF($M660=0,"",INDEX(Classes!$E$6:$E$420,$M660))</f>
        <v>Arabic A</v>
      </c>
      <c r="C660" s="62" t="str">
        <f aca="false">IF($M660=0,"",INDEX(Classes!$H$6:$H$420,$M660))</f>
        <v>Ms Aya Soliman Eid</v>
      </c>
      <c r="D660" s="61" t="str">
        <f aca="false">IF($M660=0,"",INDEX(Classes!$B$6:$B$420,$M660))</f>
        <v>Year 2</v>
      </c>
      <c r="E660" s="61" t="str">
        <f aca="false">IF($M660=0,"",INDEX(Classes!$C$6:$C$420,$M660))</f>
        <v>af</v>
      </c>
      <c r="F660" s="63" t="s">
        <v>107</v>
      </c>
      <c r="G660" s="63" t="s">
        <v>1017</v>
      </c>
      <c r="H660" s="60" t="s">
        <v>203</v>
      </c>
      <c r="I660" s="60" t="s">
        <v>203</v>
      </c>
      <c r="J660" s="63" t="n">
        <v>2</v>
      </c>
      <c r="K660" s="61" t="str">
        <f aca="false">IF($P660=0,"",IF($F660="Baseline","— Baseline",IF($O660=0,"No result",IF($N660=0,"No Start (attainment only)",IF(OR($N660=1,$O660=1),"U – needs rule",INDEX(MxBody,MATCH($I660,MxCurr,0),MATCH($H660,MxStart,0)))))))</f>
        <v>Better</v>
      </c>
      <c r="L660" s="62" t="str">
        <f aca="false">IF(COUNTA($A660,$F660,$G660,$H660,$I660,$J660)=0,"",IF($M660=0,"✖ كود الصف غير موجود",IF(ISNA(MATCH($F660,Lists!$A$2:$A$5,0)),"✖ الفترة غير صحيحة",IF(ISNA(MATCH($G660,Lists!$B$2:$B$7,0)),"✖ المجموعة غير صحيحة",IF(NOT(OR($H660="",$N660&gt;0)),"✖ Start غير صحيح",IF(NOT(OR($I660="",$I660="NR",$O660&gt;0)),"✖ Current غير صحيح",IF(NOT(IF(ISNUMBER($J660),AND($J660&gt;=0,$J660=INT($J660)),FALSE())),"✖ العدد يجب أن يكون صحيحًا ≥ 0",IF(AND($F660="Baseline",$H660&lt;&gt;""),"⚠ Baseline: Start لا يدخل في التقدم",IF($K660="No Start (attainment only)","ℹ تحصيل فقط (بدون Start)",IF($K660="U – needs rule","ℹ حالة U تحتاج قاعدة معتمدة",IF($K660="No result","ℹ بدون نتيجة (يُستبعد من التحصيل)","OK")))))))))))</f>
        <v>OK</v>
      </c>
      <c r="M660" s="64" t="n">
        <f aca="false">IF($A660="",0,IFERROR(MATCH($A660,Classes!$A$6:$A$420,0),0))</f>
        <v>1</v>
      </c>
      <c r="N660" s="64" t="n">
        <f aca="false">IF($H660="",0,IFERROR(MATCH($H660,GradeList,0),0))</f>
        <v>8</v>
      </c>
      <c r="O660" s="64" t="n">
        <f aca="false">IF(OR($I660="",$I660="NR"),0,IFERROR(MATCH($I660,GradeList,0),0))</f>
        <v>8</v>
      </c>
      <c r="P660" s="64" t="n">
        <f aca="false">IF(AND($M660&gt;0,ISNUMBER(MATCH($F660,Lists!$A$2:$A$5,0)),ISNUMBER(MATCH($G660,Lists!$B$2:$B$7,0)),OR($H660="",$N660&gt;0),OR($I660="",$I660="NR",$O660&gt;0),IF(ISNUMBER($J660),AND($J660&gt;=0,$J660=INT($J660)),FALSE())),$J660,0)</f>
        <v>2</v>
      </c>
      <c r="Q660" s="64" t="n">
        <f aca="false">IF(AND($P660&gt;0,$O660&gt;0),$P660,0)</f>
        <v>2</v>
      </c>
      <c r="R660" s="64" t="n">
        <f aca="false">IF(AND($Q660&gt;0,$O660&gt;=AtRank),$Q660,0)</f>
        <v>2</v>
      </c>
      <c r="S660" s="64" t="n">
        <f aca="false">IF(AND($Q660&gt;0,$O660&gt;=AboveRank),$Q660,0)</f>
        <v>2</v>
      </c>
      <c r="T660" s="64" t="n">
        <f aca="false">IF($K660="Less",$P660,0)</f>
        <v>0</v>
      </c>
      <c r="U660" s="64" t="n">
        <f aca="false">IF($K660="Expected",$P660,0)</f>
        <v>0</v>
      </c>
      <c r="V660" s="64" t="n">
        <f aca="false">IF($K660="Better",$P660,0)</f>
        <v>2</v>
      </c>
      <c r="W660" s="64" t="n">
        <f aca="false">IF($K660="U – needs rule",$P660,0)</f>
        <v>0</v>
      </c>
      <c r="X660" s="64" t="n">
        <f aca="false">IF($K660="No Start (attainment only)",$P660,0)</f>
        <v>0</v>
      </c>
    </row>
    <row r="661" customFormat="false" ht="15" hidden="false" customHeight="false" outlineLevel="0" collapsed="false">
      <c r="A661" s="60" t="s">
        <v>440</v>
      </c>
      <c r="B661" s="61" t="str">
        <f aca="false">IF($M661=0,"",INDEX(Classes!$E$6:$E$420,$M661))</f>
        <v>Arabic A</v>
      </c>
      <c r="C661" s="62" t="str">
        <f aca="false">IF($M661=0,"",INDEX(Classes!$H$6:$H$420,$M661))</f>
        <v>Ms Aya Soliman Eid</v>
      </c>
      <c r="D661" s="61" t="str">
        <f aca="false">IF($M661=0,"",INDEX(Classes!$B$6:$B$420,$M661))</f>
        <v>Year 2</v>
      </c>
      <c r="E661" s="61" t="str">
        <f aca="false">IF($M661=0,"",INDEX(Classes!$C$6:$C$420,$M661))</f>
        <v>af</v>
      </c>
      <c r="F661" s="63" t="s">
        <v>107</v>
      </c>
      <c r="G661" s="63" t="s">
        <v>1017</v>
      </c>
      <c r="H661" s="60" t="s">
        <v>200</v>
      </c>
      <c r="I661" s="60" t="s">
        <v>200</v>
      </c>
      <c r="J661" s="63" t="n">
        <v>1</v>
      </c>
      <c r="K661" s="61" t="str">
        <f aca="false">IF($P661=0,"",IF($F661="Baseline","— Baseline",IF($O661=0,"No result",IF($N661=0,"No Start (attainment only)",IF(OR($N661=1,$O661=1),"U – needs rule",INDEX(MxBody,MATCH($I661,MxCurr,0),MATCH($H661,MxStart,0)))))))</f>
        <v>Expected</v>
      </c>
      <c r="L661" s="62" t="str">
        <f aca="false">IF(COUNTA($A661,$F661,$G661,$H661,$I661,$J661)=0,"",IF($M661=0,"✖ كود الصف غير موجود",IF(ISNA(MATCH($F661,Lists!$A$2:$A$5,0)),"✖ الفترة غير صحيحة",IF(ISNA(MATCH($G661,Lists!$B$2:$B$7,0)),"✖ المجموعة غير صحيحة",IF(NOT(OR($H661="",$N661&gt;0)),"✖ Start غير صحيح",IF(NOT(OR($I661="",$I661="NR",$O661&gt;0)),"✖ Current غير صحيح",IF(NOT(IF(ISNUMBER($J661),AND($J661&gt;=0,$J661=INT($J661)),FALSE())),"✖ العدد يجب أن يكون صحيحًا ≥ 0",IF(AND($F661="Baseline",$H661&lt;&gt;""),"⚠ Baseline: Start لا يدخل في التقدم",IF($K661="No Start (attainment only)","ℹ تحصيل فقط (بدون Start)",IF($K661="U – needs rule","ℹ حالة U تحتاج قاعدة معتمدة",IF($K661="No result","ℹ بدون نتيجة (يُستبعد من التحصيل)","OK")))))))))))</f>
        <v>OK</v>
      </c>
      <c r="M661" s="64" t="n">
        <f aca="false">IF($A661="",0,IFERROR(MATCH($A661,Classes!$A$6:$A$420,0),0))</f>
        <v>1</v>
      </c>
      <c r="N661" s="64" t="n">
        <f aca="false">IF($H661="",0,IFERROR(MATCH($H661,GradeList,0),0))</f>
        <v>5</v>
      </c>
      <c r="O661" s="64" t="n">
        <f aca="false">IF(OR($I661="",$I661="NR"),0,IFERROR(MATCH($I661,GradeList,0),0))</f>
        <v>5</v>
      </c>
      <c r="P661" s="64" t="n">
        <f aca="false">IF(AND($M661&gt;0,ISNUMBER(MATCH($F661,Lists!$A$2:$A$5,0)),ISNUMBER(MATCH($G661,Lists!$B$2:$B$7,0)),OR($H661="",$N661&gt;0),OR($I661="",$I661="NR",$O661&gt;0),IF(ISNUMBER($J661),AND($J661&gt;=0,$J661=INT($J661)),FALSE())),$J661,0)</f>
        <v>1</v>
      </c>
      <c r="Q661" s="64" t="n">
        <f aca="false">IF(AND($P661&gt;0,$O661&gt;0),$P661,0)</f>
        <v>1</v>
      </c>
      <c r="R661" s="64" t="n">
        <f aca="false">IF(AND($Q661&gt;0,$O661&gt;=AtRank),$Q661,0)</f>
        <v>1</v>
      </c>
      <c r="S661" s="64" t="n">
        <f aca="false">IF(AND($Q661&gt;0,$O661&gt;=AboveRank),$Q661,0)</f>
        <v>0</v>
      </c>
      <c r="T661" s="64" t="n">
        <f aca="false">IF($K661="Less",$P661,0)</f>
        <v>0</v>
      </c>
      <c r="U661" s="64" t="n">
        <f aca="false">IF($K661="Expected",$P661,0)</f>
        <v>1</v>
      </c>
      <c r="V661" s="64" t="n">
        <f aca="false">IF($K661="Better",$P661,0)</f>
        <v>0</v>
      </c>
      <c r="W661" s="64" t="n">
        <f aca="false">IF($K661="U – needs rule",$P661,0)</f>
        <v>0</v>
      </c>
      <c r="X661" s="64" t="n">
        <f aca="false">IF($K661="No Start (attainment only)",$P661,0)</f>
        <v>0</v>
      </c>
    </row>
    <row r="662" customFormat="false" ht="15" hidden="false" customHeight="false" outlineLevel="0" collapsed="false">
      <c r="A662" s="60" t="s">
        <v>440</v>
      </c>
      <c r="B662" s="61" t="str">
        <f aca="false">IF($M662=0,"",INDEX(Classes!$E$6:$E$420,$M662))</f>
        <v>Arabic A</v>
      </c>
      <c r="C662" s="62" t="str">
        <f aca="false">IF($M662=0,"",INDEX(Classes!$H$6:$H$420,$M662))</f>
        <v>Ms Aya Soliman Eid</v>
      </c>
      <c r="D662" s="61" t="str">
        <f aca="false">IF($M662=0,"",INDEX(Classes!$B$6:$B$420,$M662))</f>
        <v>Year 2</v>
      </c>
      <c r="E662" s="61" t="str">
        <f aca="false">IF($M662=0,"",INDEX(Classes!$C$6:$C$420,$M662))</f>
        <v>af</v>
      </c>
      <c r="F662" s="63" t="s">
        <v>107</v>
      </c>
      <c r="G662" s="63" t="s">
        <v>1017</v>
      </c>
      <c r="H662" s="60" t="s">
        <v>201</v>
      </c>
      <c r="I662" s="60" t="s">
        <v>203</v>
      </c>
      <c r="J662" s="63" t="n">
        <v>1</v>
      </c>
      <c r="K662" s="61" t="str">
        <f aca="false">IF($P662=0,"",IF($F662="Baseline","— Baseline",IF($O662=0,"No result",IF($N662=0,"No Start (attainment only)",IF(OR($N662=1,$O662=1),"U – needs rule",INDEX(MxBody,MATCH($I662,MxCurr,0),MATCH($H662,MxStart,0)))))))</f>
        <v>Better</v>
      </c>
      <c r="L662" s="62" t="str">
        <f aca="false">IF(COUNTA($A662,$F662,$G662,$H662,$I662,$J662)=0,"",IF($M662=0,"✖ كود الصف غير موجود",IF(ISNA(MATCH($F662,Lists!$A$2:$A$5,0)),"✖ الفترة غير صحيحة",IF(ISNA(MATCH($G662,Lists!$B$2:$B$7,0)),"✖ المجموعة غير صحيحة",IF(NOT(OR($H662="",$N662&gt;0)),"✖ Start غير صحيح",IF(NOT(OR($I662="",$I662="NR",$O662&gt;0)),"✖ Current غير صحيح",IF(NOT(IF(ISNUMBER($J662),AND($J662&gt;=0,$J662=INT($J662)),FALSE())),"✖ العدد يجب أن يكون صحيحًا ≥ 0",IF(AND($F662="Baseline",$H662&lt;&gt;""),"⚠ Baseline: Start لا يدخل في التقدم",IF($K662="No Start (attainment only)","ℹ تحصيل فقط (بدون Start)",IF($K662="U – needs rule","ℹ حالة U تحتاج قاعدة معتمدة",IF($K662="No result","ℹ بدون نتيجة (يُستبعد من التحصيل)","OK")))))))))))</f>
        <v>OK</v>
      </c>
      <c r="M662" s="64" t="n">
        <f aca="false">IF($A662="",0,IFERROR(MATCH($A662,Classes!$A$6:$A$420,0),0))</f>
        <v>1</v>
      </c>
      <c r="N662" s="64" t="n">
        <f aca="false">IF($H662="",0,IFERROR(MATCH($H662,GradeList,0),0))</f>
        <v>6</v>
      </c>
      <c r="O662" s="64" t="n">
        <f aca="false">IF(OR($I662="",$I662="NR"),0,IFERROR(MATCH($I662,GradeList,0),0))</f>
        <v>8</v>
      </c>
      <c r="P662" s="64" t="n">
        <f aca="false">IF(AND($M662&gt;0,ISNUMBER(MATCH($F662,Lists!$A$2:$A$5,0)),ISNUMBER(MATCH($G662,Lists!$B$2:$B$7,0)),OR($H662="",$N662&gt;0),OR($I662="",$I662="NR",$O662&gt;0),IF(ISNUMBER($J662),AND($J662&gt;=0,$J662=INT($J662)),FALSE())),$J662,0)</f>
        <v>1</v>
      </c>
      <c r="Q662" s="64" t="n">
        <f aca="false">IF(AND($P662&gt;0,$O662&gt;0),$P662,0)</f>
        <v>1</v>
      </c>
      <c r="R662" s="64" t="n">
        <f aca="false">IF(AND($Q662&gt;0,$O662&gt;=AtRank),$Q662,0)</f>
        <v>1</v>
      </c>
      <c r="S662" s="64" t="n">
        <f aca="false">IF(AND($Q662&gt;0,$O662&gt;=AboveRank),$Q662,0)</f>
        <v>1</v>
      </c>
      <c r="T662" s="64" t="n">
        <f aca="false">IF($K662="Less",$P662,0)</f>
        <v>0</v>
      </c>
      <c r="U662" s="64" t="n">
        <f aca="false">IF($K662="Expected",$P662,0)</f>
        <v>0</v>
      </c>
      <c r="V662" s="64" t="n">
        <f aca="false">IF($K662="Better",$P662,0)</f>
        <v>1</v>
      </c>
      <c r="W662" s="64" t="n">
        <f aca="false">IF($K662="U – needs rule",$P662,0)</f>
        <v>0</v>
      </c>
      <c r="X662" s="64" t="n">
        <f aca="false">IF($K662="No Start (attainment only)",$P662,0)</f>
        <v>0</v>
      </c>
    </row>
    <row r="663" customFormat="false" ht="15" hidden="false" customHeight="false" outlineLevel="0" collapsed="false">
      <c r="A663" s="60" t="s">
        <v>440</v>
      </c>
      <c r="B663" s="61" t="str">
        <f aca="false">IF($M663=0,"",INDEX(Classes!$E$6:$E$420,$M663))</f>
        <v>Arabic A</v>
      </c>
      <c r="C663" s="62" t="str">
        <f aca="false">IF($M663=0,"",INDEX(Classes!$H$6:$H$420,$M663))</f>
        <v>Ms Aya Soliman Eid</v>
      </c>
      <c r="D663" s="61" t="str">
        <f aca="false">IF($M663=0,"",INDEX(Classes!$B$6:$B$420,$M663))</f>
        <v>Year 2</v>
      </c>
      <c r="E663" s="61" t="str">
        <f aca="false">IF($M663=0,"",INDEX(Classes!$C$6:$C$420,$M663))</f>
        <v>af</v>
      </c>
      <c r="F663" s="63" t="s">
        <v>107</v>
      </c>
      <c r="G663" s="63" t="s">
        <v>1017</v>
      </c>
      <c r="H663" s="60" t="s">
        <v>201</v>
      </c>
      <c r="I663" s="60" t="s">
        <v>201</v>
      </c>
      <c r="J663" s="63" t="n">
        <v>1</v>
      </c>
      <c r="K663" s="61" t="str">
        <f aca="false">IF($P663=0,"",IF($F663="Baseline","— Baseline",IF($O663=0,"No result",IF($N663=0,"No Start (attainment only)",IF(OR($N663=1,$O663=1),"U – needs rule",INDEX(MxBody,MATCH($I663,MxCurr,0),MATCH($H663,MxStart,0)))))))</f>
        <v>Expected</v>
      </c>
      <c r="L663" s="62" t="str">
        <f aca="false">IF(COUNTA($A663,$F663,$G663,$H663,$I663,$J663)=0,"",IF($M663=0,"✖ كود الصف غير موجود",IF(ISNA(MATCH($F663,Lists!$A$2:$A$5,0)),"✖ الفترة غير صحيحة",IF(ISNA(MATCH($G663,Lists!$B$2:$B$7,0)),"✖ المجموعة غير صحيحة",IF(NOT(OR($H663="",$N663&gt;0)),"✖ Start غير صحيح",IF(NOT(OR($I663="",$I663="NR",$O663&gt;0)),"✖ Current غير صحيح",IF(NOT(IF(ISNUMBER($J663),AND($J663&gt;=0,$J663=INT($J663)),FALSE())),"✖ العدد يجب أن يكون صحيحًا ≥ 0",IF(AND($F663="Baseline",$H663&lt;&gt;""),"⚠ Baseline: Start لا يدخل في التقدم",IF($K663="No Start (attainment only)","ℹ تحصيل فقط (بدون Start)",IF($K663="U – needs rule","ℹ حالة U تحتاج قاعدة معتمدة",IF($K663="No result","ℹ بدون نتيجة (يُستبعد من التحصيل)","OK")))))))))))</f>
        <v>OK</v>
      </c>
      <c r="M663" s="64" t="n">
        <f aca="false">IF($A663="",0,IFERROR(MATCH($A663,Classes!$A$6:$A$420,0),0))</f>
        <v>1</v>
      </c>
      <c r="N663" s="64" t="n">
        <f aca="false">IF($H663="",0,IFERROR(MATCH($H663,GradeList,0),0))</f>
        <v>6</v>
      </c>
      <c r="O663" s="64" t="n">
        <f aca="false">IF(OR($I663="",$I663="NR"),0,IFERROR(MATCH($I663,GradeList,0),0))</f>
        <v>6</v>
      </c>
      <c r="P663" s="64" t="n">
        <f aca="false">IF(AND($M663&gt;0,ISNUMBER(MATCH($F663,Lists!$A$2:$A$5,0)),ISNUMBER(MATCH($G663,Lists!$B$2:$B$7,0)),OR($H663="",$N663&gt;0),OR($I663="",$I663="NR",$O663&gt;0),IF(ISNUMBER($J663),AND($J663&gt;=0,$J663=INT($J663)),FALSE())),$J663,0)</f>
        <v>1</v>
      </c>
      <c r="Q663" s="64" t="n">
        <f aca="false">IF(AND($P663&gt;0,$O663&gt;0),$P663,0)</f>
        <v>1</v>
      </c>
      <c r="R663" s="64" t="n">
        <f aca="false">IF(AND($Q663&gt;0,$O663&gt;=AtRank),$Q663,0)</f>
        <v>1</v>
      </c>
      <c r="S663" s="64" t="n">
        <f aca="false">IF(AND($Q663&gt;0,$O663&gt;=AboveRank),$Q663,0)</f>
        <v>0</v>
      </c>
      <c r="T663" s="64" t="n">
        <f aca="false">IF($K663="Less",$P663,0)</f>
        <v>0</v>
      </c>
      <c r="U663" s="64" t="n">
        <f aca="false">IF($K663="Expected",$P663,0)</f>
        <v>1</v>
      </c>
      <c r="V663" s="64" t="n">
        <f aca="false">IF($K663="Better",$P663,0)</f>
        <v>0</v>
      </c>
      <c r="W663" s="64" t="n">
        <f aca="false">IF($K663="U – needs rule",$P663,0)</f>
        <v>0</v>
      </c>
      <c r="X663" s="64" t="n">
        <f aca="false">IF($K663="No Start (attainment only)",$P663,0)</f>
        <v>0</v>
      </c>
    </row>
    <row r="664" customFormat="false" ht="15" hidden="false" customHeight="false" outlineLevel="0" collapsed="false">
      <c r="A664" s="60" t="s">
        <v>440</v>
      </c>
      <c r="B664" s="61" t="str">
        <f aca="false">IF($M664=0,"",INDEX(Classes!$E$6:$E$420,$M664))</f>
        <v>Arabic A</v>
      </c>
      <c r="C664" s="62" t="str">
        <f aca="false">IF($M664=0,"",INDEX(Classes!$H$6:$H$420,$M664))</f>
        <v>Ms Aya Soliman Eid</v>
      </c>
      <c r="D664" s="61" t="str">
        <f aca="false">IF($M664=0,"",INDEX(Classes!$B$6:$B$420,$M664))</f>
        <v>Year 2</v>
      </c>
      <c r="E664" s="61" t="str">
        <f aca="false">IF($M664=0,"",INDEX(Classes!$C$6:$C$420,$M664))</f>
        <v>af</v>
      </c>
      <c r="F664" s="63" t="s">
        <v>107</v>
      </c>
      <c r="G664" s="63" t="s">
        <v>1017</v>
      </c>
      <c r="H664" s="60" t="s">
        <v>199</v>
      </c>
      <c r="I664" s="60" t="s">
        <v>199</v>
      </c>
      <c r="J664" s="63" t="n">
        <v>1</v>
      </c>
      <c r="K664" s="61" t="str">
        <f aca="false">IF($P664=0,"",IF($F664="Baseline","— Baseline",IF($O664=0,"No result",IF($N664=0,"No Start (attainment only)",IF(OR($N664=1,$O664=1),"U – needs rule",INDEX(MxBody,MATCH($I664,MxCurr,0),MATCH($H664,MxStart,0)))))))</f>
        <v>Expected</v>
      </c>
      <c r="L664" s="62" t="str">
        <f aca="false">IF(COUNTA($A664,$F664,$G664,$H664,$I664,$J664)=0,"",IF($M664=0,"✖ كود الصف غير موجود",IF(ISNA(MATCH($F664,Lists!$A$2:$A$5,0)),"✖ الفترة غير صحيحة",IF(ISNA(MATCH($G664,Lists!$B$2:$B$7,0)),"✖ المجموعة غير صحيحة",IF(NOT(OR($H664="",$N664&gt;0)),"✖ Start غير صحيح",IF(NOT(OR($I664="",$I664="NR",$O664&gt;0)),"✖ Current غير صحيح",IF(NOT(IF(ISNUMBER($J664),AND($J664&gt;=0,$J664=INT($J664)),FALSE())),"✖ العدد يجب أن يكون صحيحًا ≥ 0",IF(AND($F664="Baseline",$H664&lt;&gt;""),"⚠ Baseline: Start لا يدخل في التقدم",IF($K664="No Start (attainment only)","ℹ تحصيل فقط (بدون Start)",IF($K664="U – needs rule","ℹ حالة U تحتاج قاعدة معتمدة",IF($K664="No result","ℹ بدون نتيجة (يُستبعد من التحصيل)","OK")))))))))))</f>
        <v>OK</v>
      </c>
      <c r="M664" s="64" t="n">
        <f aca="false">IF($A664="",0,IFERROR(MATCH($A664,Classes!$A$6:$A$420,0),0))</f>
        <v>1</v>
      </c>
      <c r="N664" s="64" t="n">
        <f aca="false">IF($H664="",0,IFERROR(MATCH($H664,GradeList,0),0))</f>
        <v>4</v>
      </c>
      <c r="O664" s="64" t="n">
        <f aca="false">IF(OR($I664="",$I664="NR"),0,IFERROR(MATCH($I664,GradeList,0),0))</f>
        <v>4</v>
      </c>
      <c r="P664" s="64" t="n">
        <f aca="false">IF(AND($M664&gt;0,ISNUMBER(MATCH($F664,Lists!$A$2:$A$5,0)),ISNUMBER(MATCH($G664,Lists!$B$2:$B$7,0)),OR($H664="",$N664&gt;0),OR($I664="",$I664="NR",$O664&gt;0),IF(ISNUMBER($J664),AND($J664&gt;=0,$J664=INT($J664)),FALSE())),$J664,0)</f>
        <v>1</v>
      </c>
      <c r="Q664" s="64" t="n">
        <f aca="false">IF(AND($P664&gt;0,$O664&gt;0),$P664,0)</f>
        <v>1</v>
      </c>
      <c r="R664" s="64" t="n">
        <f aca="false">IF(AND($Q664&gt;0,$O664&gt;=AtRank),$Q664,0)</f>
        <v>0</v>
      </c>
      <c r="S664" s="64" t="n">
        <f aca="false">IF(AND($Q664&gt;0,$O664&gt;=AboveRank),$Q664,0)</f>
        <v>0</v>
      </c>
      <c r="T664" s="64" t="n">
        <f aca="false">IF($K664="Less",$P664,0)</f>
        <v>0</v>
      </c>
      <c r="U664" s="64" t="n">
        <f aca="false">IF($K664="Expected",$P664,0)</f>
        <v>1</v>
      </c>
      <c r="V664" s="64" t="n">
        <f aca="false">IF($K664="Better",$P664,0)</f>
        <v>0</v>
      </c>
      <c r="W664" s="64" t="n">
        <f aca="false">IF($K664="U – needs rule",$P664,0)</f>
        <v>0</v>
      </c>
      <c r="X664" s="64" t="n">
        <f aca="false">IF($K664="No Start (attainment only)",$P664,0)</f>
        <v>0</v>
      </c>
    </row>
    <row r="665" customFormat="false" ht="15" hidden="false" customHeight="false" outlineLevel="0" collapsed="false">
      <c r="A665" s="60" t="s">
        <v>440</v>
      </c>
      <c r="B665" s="61" t="str">
        <f aca="false">IF($M665=0,"",INDEX(Classes!$E$6:$E$420,$M665))</f>
        <v>Arabic A</v>
      </c>
      <c r="C665" s="62" t="str">
        <f aca="false">IF($M665=0,"",INDEX(Classes!$H$6:$H$420,$M665))</f>
        <v>Ms Aya Soliman Eid</v>
      </c>
      <c r="D665" s="61" t="str">
        <f aca="false">IF($M665=0,"",INDEX(Classes!$B$6:$B$420,$M665))</f>
        <v>Year 2</v>
      </c>
      <c r="E665" s="61" t="str">
        <f aca="false">IF($M665=0,"",INDEX(Classes!$C$6:$C$420,$M665))</f>
        <v>af</v>
      </c>
      <c r="F665" s="63" t="s">
        <v>107</v>
      </c>
      <c r="G665" s="63" t="s">
        <v>1018</v>
      </c>
      <c r="H665" s="60" t="s">
        <v>202</v>
      </c>
      <c r="I665" s="60" t="s">
        <v>202</v>
      </c>
      <c r="J665" s="63" t="n">
        <v>1</v>
      </c>
      <c r="K665" s="61" t="str">
        <f aca="false">IF($P665=0,"",IF($F665="Baseline","— Baseline",IF($O665=0,"No result",IF($N665=0,"No Start (attainment only)",IF(OR($N665=1,$O665=1),"U – needs rule",INDEX(MxBody,MATCH($I665,MxCurr,0),MATCH($H665,MxStart,0)))))))</f>
        <v>Better</v>
      </c>
      <c r="L665" s="62" t="str">
        <f aca="false">IF(COUNTA($A665,$F665,$G665,$H665,$I665,$J665)=0,"",IF($M665=0,"✖ كود الصف غير موجود",IF(ISNA(MATCH($F665,Lists!$A$2:$A$5,0)),"✖ الفترة غير صحيحة",IF(ISNA(MATCH($G665,Lists!$B$2:$B$7,0)),"✖ المجموعة غير صحيحة",IF(NOT(OR($H665="",$N665&gt;0)),"✖ Start غير صحيح",IF(NOT(OR($I665="",$I665="NR",$O665&gt;0)),"✖ Current غير صحيح",IF(NOT(IF(ISNUMBER($J665),AND($J665&gt;=0,$J665=INT($J665)),FALSE())),"✖ العدد يجب أن يكون صحيحًا ≥ 0",IF(AND($F665="Baseline",$H665&lt;&gt;""),"⚠ Baseline: Start لا يدخل في التقدم",IF($K665="No Start (attainment only)","ℹ تحصيل فقط (بدون Start)",IF($K665="U – needs rule","ℹ حالة U تحتاج قاعدة معتمدة",IF($K665="No result","ℹ بدون نتيجة (يُستبعد من التحصيل)","OK")))))))))))</f>
        <v>OK</v>
      </c>
      <c r="M665" s="64" t="n">
        <f aca="false">IF($A665="",0,IFERROR(MATCH($A665,Classes!$A$6:$A$420,0),0))</f>
        <v>1</v>
      </c>
      <c r="N665" s="64" t="n">
        <f aca="false">IF($H665="",0,IFERROR(MATCH($H665,GradeList,0),0))</f>
        <v>7</v>
      </c>
      <c r="O665" s="64" t="n">
        <f aca="false">IF(OR($I665="",$I665="NR"),0,IFERROR(MATCH($I665,GradeList,0),0))</f>
        <v>7</v>
      </c>
      <c r="P665" s="64" t="n">
        <f aca="false">IF(AND($M665&gt;0,ISNUMBER(MATCH($F665,Lists!$A$2:$A$5,0)),ISNUMBER(MATCH($G665,Lists!$B$2:$B$7,0)),OR($H665="",$N665&gt;0),OR($I665="",$I665="NR",$O665&gt;0),IF(ISNUMBER($J665),AND($J665&gt;=0,$J665=INT($J665)),FALSE())),$J665,0)</f>
        <v>1</v>
      </c>
      <c r="Q665" s="64" t="n">
        <f aca="false">IF(AND($P665&gt;0,$O665&gt;0),$P665,0)</f>
        <v>1</v>
      </c>
      <c r="R665" s="64" t="n">
        <f aca="false">IF(AND($Q665&gt;0,$O665&gt;=AtRank),$Q665,0)</f>
        <v>1</v>
      </c>
      <c r="S665" s="64" t="n">
        <f aca="false">IF(AND($Q665&gt;0,$O665&gt;=AboveRank),$Q665,0)</f>
        <v>1</v>
      </c>
      <c r="T665" s="64" t="n">
        <f aca="false">IF($K665="Less",$P665,0)</f>
        <v>0</v>
      </c>
      <c r="U665" s="64" t="n">
        <f aca="false">IF($K665="Expected",$P665,0)</f>
        <v>0</v>
      </c>
      <c r="V665" s="64" t="n">
        <f aca="false">IF($K665="Better",$P665,0)</f>
        <v>1</v>
      </c>
      <c r="W665" s="64" t="n">
        <f aca="false">IF($K665="U – needs rule",$P665,0)</f>
        <v>0</v>
      </c>
      <c r="X665" s="64" t="n">
        <f aca="false">IF($K665="No Start (attainment only)",$P665,0)</f>
        <v>0</v>
      </c>
    </row>
    <row r="666" customFormat="false" ht="15" hidden="false" customHeight="false" outlineLevel="0" collapsed="false">
      <c r="A666" s="60" t="s">
        <v>440</v>
      </c>
      <c r="B666" s="61" t="str">
        <f aca="false">IF($M666=0,"",INDEX(Classes!$E$6:$E$420,$M666))</f>
        <v>Arabic A</v>
      </c>
      <c r="C666" s="62" t="str">
        <f aca="false">IF($M666=0,"",INDEX(Classes!$H$6:$H$420,$M666))</f>
        <v>Ms Aya Soliman Eid</v>
      </c>
      <c r="D666" s="61" t="str">
        <f aca="false">IF($M666=0,"",INDEX(Classes!$B$6:$B$420,$M666))</f>
        <v>Year 2</v>
      </c>
      <c r="E666" s="61" t="str">
        <f aca="false">IF($M666=0,"",INDEX(Classes!$C$6:$C$420,$M666))</f>
        <v>af</v>
      </c>
      <c r="F666" s="63" t="s">
        <v>107</v>
      </c>
      <c r="G666" s="63" t="s">
        <v>1018</v>
      </c>
      <c r="H666" s="60" t="s">
        <v>202</v>
      </c>
      <c r="I666" s="60" t="s">
        <v>203</v>
      </c>
      <c r="J666" s="63" t="n">
        <v>2</v>
      </c>
      <c r="K666" s="61" t="str">
        <f aca="false">IF($P666=0,"",IF($F666="Baseline","— Baseline",IF($O666=0,"No result",IF($N666=0,"No Start (attainment only)",IF(OR($N666=1,$O666=1),"U – needs rule",INDEX(MxBody,MATCH($I666,MxCurr,0),MATCH($H666,MxStart,0)))))))</f>
        <v>Better</v>
      </c>
      <c r="L666" s="62" t="str">
        <f aca="false">IF(COUNTA($A666,$F666,$G666,$H666,$I666,$J666)=0,"",IF($M666=0,"✖ كود الصف غير موجود",IF(ISNA(MATCH($F666,Lists!$A$2:$A$5,0)),"✖ الفترة غير صحيحة",IF(ISNA(MATCH($G666,Lists!$B$2:$B$7,0)),"✖ المجموعة غير صحيحة",IF(NOT(OR($H666="",$N666&gt;0)),"✖ Start غير صحيح",IF(NOT(OR($I666="",$I666="NR",$O666&gt;0)),"✖ Current غير صحيح",IF(NOT(IF(ISNUMBER($J666),AND($J666&gt;=0,$J666=INT($J666)),FALSE())),"✖ العدد يجب أن يكون صحيحًا ≥ 0",IF(AND($F666="Baseline",$H666&lt;&gt;""),"⚠ Baseline: Start لا يدخل في التقدم",IF($K666="No Start (attainment only)","ℹ تحصيل فقط (بدون Start)",IF($K666="U – needs rule","ℹ حالة U تحتاج قاعدة معتمدة",IF($K666="No result","ℹ بدون نتيجة (يُستبعد من التحصيل)","OK")))))))))))</f>
        <v>OK</v>
      </c>
      <c r="M666" s="64" t="n">
        <f aca="false">IF($A666="",0,IFERROR(MATCH($A666,Classes!$A$6:$A$420,0),0))</f>
        <v>1</v>
      </c>
      <c r="N666" s="64" t="n">
        <f aca="false">IF($H666="",0,IFERROR(MATCH($H666,GradeList,0),0))</f>
        <v>7</v>
      </c>
      <c r="O666" s="64" t="n">
        <f aca="false">IF(OR($I666="",$I666="NR"),0,IFERROR(MATCH($I666,GradeList,0),0))</f>
        <v>8</v>
      </c>
      <c r="P666" s="64" t="n">
        <f aca="false">IF(AND($M666&gt;0,ISNUMBER(MATCH($F666,Lists!$A$2:$A$5,0)),ISNUMBER(MATCH($G666,Lists!$B$2:$B$7,0)),OR($H666="",$N666&gt;0),OR($I666="",$I666="NR",$O666&gt;0),IF(ISNUMBER($J666),AND($J666&gt;=0,$J666=INT($J666)),FALSE())),$J666,0)</f>
        <v>2</v>
      </c>
      <c r="Q666" s="64" t="n">
        <f aca="false">IF(AND($P666&gt;0,$O666&gt;0),$P666,0)</f>
        <v>2</v>
      </c>
      <c r="R666" s="64" t="n">
        <f aca="false">IF(AND($Q666&gt;0,$O666&gt;=AtRank),$Q666,0)</f>
        <v>2</v>
      </c>
      <c r="S666" s="64" t="n">
        <f aca="false">IF(AND($Q666&gt;0,$O666&gt;=AboveRank),$Q666,0)</f>
        <v>2</v>
      </c>
      <c r="T666" s="64" t="n">
        <f aca="false">IF($K666="Less",$P666,0)</f>
        <v>0</v>
      </c>
      <c r="U666" s="64" t="n">
        <f aca="false">IF($K666="Expected",$P666,0)</f>
        <v>0</v>
      </c>
      <c r="V666" s="64" t="n">
        <f aca="false">IF($K666="Better",$P666,0)</f>
        <v>2</v>
      </c>
      <c r="W666" s="64" t="n">
        <f aca="false">IF($K666="U – needs rule",$P666,0)</f>
        <v>0</v>
      </c>
      <c r="X666" s="64" t="n">
        <f aca="false">IF($K666="No Start (attainment only)",$P666,0)</f>
        <v>0</v>
      </c>
    </row>
    <row r="667" customFormat="false" ht="15" hidden="false" customHeight="false" outlineLevel="0" collapsed="false">
      <c r="A667" s="60" t="s">
        <v>440</v>
      </c>
      <c r="B667" s="61" t="str">
        <f aca="false">IF($M667=0,"",INDEX(Classes!$E$6:$E$420,$M667))</f>
        <v>Arabic A</v>
      </c>
      <c r="C667" s="62" t="str">
        <f aca="false">IF($M667=0,"",INDEX(Classes!$H$6:$H$420,$M667))</f>
        <v>Ms Aya Soliman Eid</v>
      </c>
      <c r="D667" s="61" t="str">
        <f aca="false">IF($M667=0,"",INDEX(Classes!$B$6:$B$420,$M667))</f>
        <v>Year 2</v>
      </c>
      <c r="E667" s="61" t="str">
        <f aca="false">IF($M667=0,"",INDEX(Classes!$C$6:$C$420,$M667))</f>
        <v>af</v>
      </c>
      <c r="F667" s="63" t="s">
        <v>107</v>
      </c>
      <c r="G667" s="63" t="s">
        <v>1018</v>
      </c>
      <c r="H667" s="60" t="s">
        <v>200</v>
      </c>
      <c r="I667" s="60" t="s">
        <v>200</v>
      </c>
      <c r="J667" s="63" t="n">
        <v>1</v>
      </c>
      <c r="K667" s="61" t="str">
        <f aca="false">IF($P667=0,"",IF($F667="Baseline","— Baseline",IF($O667=0,"No result",IF($N667=0,"No Start (attainment only)",IF(OR($N667=1,$O667=1),"U – needs rule",INDEX(MxBody,MATCH($I667,MxCurr,0),MATCH($H667,MxStart,0)))))))</f>
        <v>Expected</v>
      </c>
      <c r="L667" s="62" t="str">
        <f aca="false">IF(COUNTA($A667,$F667,$G667,$H667,$I667,$J667)=0,"",IF($M667=0,"✖ كود الصف غير موجود",IF(ISNA(MATCH($F667,Lists!$A$2:$A$5,0)),"✖ الفترة غير صحيحة",IF(ISNA(MATCH($G667,Lists!$B$2:$B$7,0)),"✖ المجموعة غير صحيحة",IF(NOT(OR($H667="",$N667&gt;0)),"✖ Start غير صحيح",IF(NOT(OR($I667="",$I667="NR",$O667&gt;0)),"✖ Current غير صحيح",IF(NOT(IF(ISNUMBER($J667),AND($J667&gt;=0,$J667=INT($J667)),FALSE())),"✖ العدد يجب أن يكون صحيحًا ≥ 0",IF(AND($F667="Baseline",$H667&lt;&gt;""),"⚠ Baseline: Start لا يدخل في التقدم",IF($K667="No Start (attainment only)","ℹ تحصيل فقط (بدون Start)",IF($K667="U – needs rule","ℹ حالة U تحتاج قاعدة معتمدة",IF($K667="No result","ℹ بدون نتيجة (يُستبعد من التحصيل)","OK")))))))))))</f>
        <v>OK</v>
      </c>
      <c r="M667" s="64" t="n">
        <f aca="false">IF($A667="",0,IFERROR(MATCH($A667,Classes!$A$6:$A$420,0),0))</f>
        <v>1</v>
      </c>
      <c r="N667" s="64" t="n">
        <f aca="false">IF($H667="",0,IFERROR(MATCH($H667,GradeList,0),0))</f>
        <v>5</v>
      </c>
      <c r="O667" s="64" t="n">
        <f aca="false">IF(OR($I667="",$I667="NR"),0,IFERROR(MATCH($I667,GradeList,0),0))</f>
        <v>5</v>
      </c>
      <c r="P667" s="64" t="n">
        <f aca="false">IF(AND($M667&gt;0,ISNUMBER(MATCH($F667,Lists!$A$2:$A$5,0)),ISNUMBER(MATCH($G667,Lists!$B$2:$B$7,0)),OR($H667="",$N667&gt;0),OR($I667="",$I667="NR",$O667&gt;0),IF(ISNUMBER($J667),AND($J667&gt;=0,$J667=INT($J667)),FALSE())),$J667,0)</f>
        <v>1</v>
      </c>
      <c r="Q667" s="64" t="n">
        <f aca="false">IF(AND($P667&gt;0,$O667&gt;0),$P667,0)</f>
        <v>1</v>
      </c>
      <c r="R667" s="64" t="n">
        <f aca="false">IF(AND($Q667&gt;0,$O667&gt;=AtRank),$Q667,0)</f>
        <v>1</v>
      </c>
      <c r="S667" s="64" t="n">
        <f aca="false">IF(AND($Q667&gt;0,$O667&gt;=AboveRank),$Q667,0)</f>
        <v>0</v>
      </c>
      <c r="T667" s="64" t="n">
        <f aca="false">IF($K667="Less",$P667,0)</f>
        <v>0</v>
      </c>
      <c r="U667" s="64" t="n">
        <f aca="false">IF($K667="Expected",$P667,0)</f>
        <v>1</v>
      </c>
      <c r="V667" s="64" t="n">
        <f aca="false">IF($K667="Better",$P667,0)</f>
        <v>0</v>
      </c>
      <c r="W667" s="64" t="n">
        <f aca="false">IF($K667="U – needs rule",$P667,0)</f>
        <v>0</v>
      </c>
      <c r="X667" s="64" t="n">
        <f aca="false">IF($K667="No Start (attainment only)",$P667,0)</f>
        <v>0</v>
      </c>
    </row>
    <row r="668" customFormat="false" ht="15" hidden="false" customHeight="false" outlineLevel="0" collapsed="false">
      <c r="A668" s="60" t="s">
        <v>440</v>
      </c>
      <c r="B668" s="61" t="str">
        <f aca="false">IF($M668=0,"",INDEX(Classes!$E$6:$E$420,$M668))</f>
        <v>Arabic A</v>
      </c>
      <c r="C668" s="62" t="str">
        <f aca="false">IF($M668=0,"",INDEX(Classes!$H$6:$H$420,$M668))</f>
        <v>Ms Aya Soliman Eid</v>
      </c>
      <c r="D668" s="61" t="str">
        <f aca="false">IF($M668=0,"",INDEX(Classes!$B$6:$B$420,$M668))</f>
        <v>Year 2</v>
      </c>
      <c r="E668" s="61" t="str">
        <f aca="false">IF($M668=0,"",INDEX(Classes!$C$6:$C$420,$M668))</f>
        <v>af</v>
      </c>
      <c r="F668" s="63" t="s">
        <v>107</v>
      </c>
      <c r="G668" s="63" t="s">
        <v>1018</v>
      </c>
      <c r="H668" s="60" t="s">
        <v>201</v>
      </c>
      <c r="I668" s="60" t="s">
        <v>203</v>
      </c>
      <c r="J668" s="63" t="n">
        <v>1</v>
      </c>
      <c r="K668" s="61" t="str">
        <f aca="false">IF($P668=0,"",IF($F668="Baseline","— Baseline",IF($O668=0,"No result",IF($N668=0,"No Start (attainment only)",IF(OR($N668=1,$O668=1),"U – needs rule",INDEX(MxBody,MATCH($I668,MxCurr,0),MATCH($H668,MxStart,0)))))))</f>
        <v>Better</v>
      </c>
      <c r="L668" s="62" t="str">
        <f aca="false">IF(COUNTA($A668,$F668,$G668,$H668,$I668,$J668)=0,"",IF($M668=0,"✖ كود الصف غير موجود",IF(ISNA(MATCH($F668,Lists!$A$2:$A$5,0)),"✖ الفترة غير صحيحة",IF(ISNA(MATCH($G668,Lists!$B$2:$B$7,0)),"✖ المجموعة غير صحيحة",IF(NOT(OR($H668="",$N668&gt;0)),"✖ Start غير صحيح",IF(NOT(OR($I668="",$I668="NR",$O668&gt;0)),"✖ Current غير صحيح",IF(NOT(IF(ISNUMBER($J668),AND($J668&gt;=0,$J668=INT($J668)),FALSE())),"✖ العدد يجب أن يكون صحيحًا ≥ 0",IF(AND($F668="Baseline",$H668&lt;&gt;""),"⚠ Baseline: Start لا يدخل في التقدم",IF($K668="No Start (attainment only)","ℹ تحصيل فقط (بدون Start)",IF($K668="U – needs rule","ℹ حالة U تحتاج قاعدة معتمدة",IF($K668="No result","ℹ بدون نتيجة (يُستبعد من التحصيل)","OK")))))))))))</f>
        <v>OK</v>
      </c>
      <c r="M668" s="64" t="n">
        <f aca="false">IF($A668="",0,IFERROR(MATCH($A668,Classes!$A$6:$A$420,0),0))</f>
        <v>1</v>
      </c>
      <c r="N668" s="64" t="n">
        <f aca="false">IF($H668="",0,IFERROR(MATCH($H668,GradeList,0),0))</f>
        <v>6</v>
      </c>
      <c r="O668" s="64" t="n">
        <f aca="false">IF(OR($I668="",$I668="NR"),0,IFERROR(MATCH($I668,GradeList,0),0))</f>
        <v>8</v>
      </c>
      <c r="P668" s="64" t="n">
        <f aca="false">IF(AND($M668&gt;0,ISNUMBER(MATCH($F668,Lists!$A$2:$A$5,0)),ISNUMBER(MATCH($G668,Lists!$B$2:$B$7,0)),OR($H668="",$N668&gt;0),OR($I668="",$I668="NR",$O668&gt;0),IF(ISNUMBER($J668),AND($J668&gt;=0,$J668=INT($J668)),FALSE())),$J668,0)</f>
        <v>1</v>
      </c>
      <c r="Q668" s="64" t="n">
        <f aca="false">IF(AND($P668&gt;0,$O668&gt;0),$P668,0)</f>
        <v>1</v>
      </c>
      <c r="R668" s="64" t="n">
        <f aca="false">IF(AND($Q668&gt;0,$O668&gt;=AtRank),$Q668,0)</f>
        <v>1</v>
      </c>
      <c r="S668" s="64" t="n">
        <f aca="false">IF(AND($Q668&gt;0,$O668&gt;=AboveRank),$Q668,0)</f>
        <v>1</v>
      </c>
      <c r="T668" s="64" t="n">
        <f aca="false">IF($K668="Less",$P668,0)</f>
        <v>0</v>
      </c>
      <c r="U668" s="64" t="n">
        <f aca="false">IF($K668="Expected",$P668,0)</f>
        <v>0</v>
      </c>
      <c r="V668" s="64" t="n">
        <f aca="false">IF($K668="Better",$P668,0)</f>
        <v>1</v>
      </c>
      <c r="W668" s="64" t="n">
        <f aca="false">IF($K668="U – needs rule",$P668,0)</f>
        <v>0</v>
      </c>
      <c r="X668" s="64" t="n">
        <f aca="false">IF($K668="No Start (attainment only)",$P668,0)</f>
        <v>0</v>
      </c>
    </row>
    <row r="669" customFormat="false" ht="15" hidden="false" customHeight="false" outlineLevel="0" collapsed="false">
      <c r="A669" s="60" t="s">
        <v>440</v>
      </c>
      <c r="B669" s="61" t="str">
        <f aca="false">IF($M669=0,"",INDEX(Classes!$E$6:$E$420,$M669))</f>
        <v>Arabic A</v>
      </c>
      <c r="C669" s="62" t="str">
        <f aca="false">IF($M669=0,"",INDEX(Classes!$H$6:$H$420,$M669))</f>
        <v>Ms Aya Soliman Eid</v>
      </c>
      <c r="D669" s="61" t="str">
        <f aca="false">IF($M669=0,"",INDEX(Classes!$B$6:$B$420,$M669))</f>
        <v>Year 2</v>
      </c>
      <c r="E669" s="61" t="str">
        <f aca="false">IF($M669=0,"",INDEX(Classes!$C$6:$C$420,$M669))</f>
        <v>af</v>
      </c>
      <c r="F669" s="63" t="s">
        <v>107</v>
      </c>
      <c r="G669" s="63" t="s">
        <v>1018</v>
      </c>
      <c r="H669" s="60" t="s">
        <v>201</v>
      </c>
      <c r="I669" s="60" t="s">
        <v>201</v>
      </c>
      <c r="J669" s="63" t="n">
        <v>1</v>
      </c>
      <c r="K669" s="61" t="str">
        <f aca="false">IF($P669=0,"",IF($F669="Baseline","— Baseline",IF($O669=0,"No result",IF($N669=0,"No Start (attainment only)",IF(OR($N669=1,$O669=1),"U – needs rule",INDEX(MxBody,MATCH($I669,MxCurr,0),MATCH($H669,MxStart,0)))))))</f>
        <v>Expected</v>
      </c>
      <c r="L669" s="62" t="str">
        <f aca="false">IF(COUNTA($A669,$F669,$G669,$H669,$I669,$J669)=0,"",IF($M669=0,"✖ كود الصف غير موجود",IF(ISNA(MATCH($F669,Lists!$A$2:$A$5,0)),"✖ الفترة غير صحيحة",IF(ISNA(MATCH($G669,Lists!$B$2:$B$7,0)),"✖ المجموعة غير صحيحة",IF(NOT(OR($H669="",$N669&gt;0)),"✖ Start غير صحيح",IF(NOT(OR($I669="",$I669="NR",$O669&gt;0)),"✖ Current غير صحيح",IF(NOT(IF(ISNUMBER($J669),AND($J669&gt;=0,$J669=INT($J669)),FALSE())),"✖ العدد يجب أن يكون صحيحًا ≥ 0",IF(AND($F669="Baseline",$H669&lt;&gt;""),"⚠ Baseline: Start لا يدخل في التقدم",IF($K669="No Start (attainment only)","ℹ تحصيل فقط (بدون Start)",IF($K669="U – needs rule","ℹ حالة U تحتاج قاعدة معتمدة",IF($K669="No result","ℹ بدون نتيجة (يُستبعد من التحصيل)","OK")))))))))))</f>
        <v>OK</v>
      </c>
      <c r="M669" s="64" t="n">
        <f aca="false">IF($A669="",0,IFERROR(MATCH($A669,Classes!$A$6:$A$420,0),0))</f>
        <v>1</v>
      </c>
      <c r="N669" s="64" t="n">
        <f aca="false">IF($H669="",0,IFERROR(MATCH($H669,GradeList,0),0))</f>
        <v>6</v>
      </c>
      <c r="O669" s="64" t="n">
        <f aca="false">IF(OR($I669="",$I669="NR"),0,IFERROR(MATCH($I669,GradeList,0),0))</f>
        <v>6</v>
      </c>
      <c r="P669" s="64" t="n">
        <f aca="false">IF(AND($M669&gt;0,ISNUMBER(MATCH($F669,Lists!$A$2:$A$5,0)),ISNUMBER(MATCH($G669,Lists!$B$2:$B$7,0)),OR($H669="",$N669&gt;0),OR($I669="",$I669="NR",$O669&gt;0),IF(ISNUMBER($J669),AND($J669&gt;=0,$J669=INT($J669)),FALSE())),$J669,0)</f>
        <v>1</v>
      </c>
      <c r="Q669" s="64" t="n">
        <f aca="false">IF(AND($P669&gt;0,$O669&gt;0),$P669,0)</f>
        <v>1</v>
      </c>
      <c r="R669" s="64" t="n">
        <f aca="false">IF(AND($Q669&gt;0,$O669&gt;=AtRank),$Q669,0)</f>
        <v>1</v>
      </c>
      <c r="S669" s="64" t="n">
        <f aca="false">IF(AND($Q669&gt;0,$O669&gt;=AboveRank),$Q669,0)</f>
        <v>0</v>
      </c>
      <c r="T669" s="64" t="n">
        <f aca="false">IF($K669="Less",$P669,0)</f>
        <v>0</v>
      </c>
      <c r="U669" s="64" t="n">
        <f aca="false">IF($K669="Expected",$P669,0)</f>
        <v>1</v>
      </c>
      <c r="V669" s="64" t="n">
        <f aca="false">IF($K669="Better",$P669,0)</f>
        <v>0</v>
      </c>
      <c r="W669" s="64" t="n">
        <f aca="false">IF($K669="U – needs rule",$P669,0)</f>
        <v>0</v>
      </c>
      <c r="X669" s="64" t="n">
        <f aca="false">IF($K669="No Start (attainment only)",$P669,0)</f>
        <v>0</v>
      </c>
    </row>
    <row r="670" customFormat="false" ht="15" hidden="false" customHeight="false" outlineLevel="0" collapsed="false">
      <c r="A670" s="60" t="s">
        <v>440</v>
      </c>
      <c r="B670" s="61" t="str">
        <f aca="false">IF($M670=0,"",INDEX(Classes!$E$6:$E$420,$M670))</f>
        <v>Arabic A</v>
      </c>
      <c r="C670" s="62" t="str">
        <f aca="false">IF($M670=0,"",INDEX(Classes!$H$6:$H$420,$M670))</f>
        <v>Ms Aya Soliman Eid</v>
      </c>
      <c r="D670" s="61" t="str">
        <f aca="false">IF($M670=0,"",INDEX(Classes!$B$6:$B$420,$M670))</f>
        <v>Year 2</v>
      </c>
      <c r="E670" s="61" t="str">
        <f aca="false">IF($M670=0,"",INDEX(Classes!$C$6:$C$420,$M670))</f>
        <v>af</v>
      </c>
      <c r="F670" s="63" t="s">
        <v>107</v>
      </c>
      <c r="G670" s="63" t="s">
        <v>1018</v>
      </c>
      <c r="H670" s="60" t="s">
        <v>199</v>
      </c>
      <c r="I670" s="60" t="s">
        <v>200</v>
      </c>
      <c r="J670" s="63" t="n">
        <v>1</v>
      </c>
      <c r="K670" s="61" t="str">
        <f aca="false">IF($P670=0,"",IF($F670="Baseline","— Baseline",IF($O670=0,"No result",IF($N670=0,"No Start (attainment only)",IF(OR($N670=1,$O670=1),"U – needs rule",INDEX(MxBody,MATCH($I670,MxCurr,0),MATCH($H670,MxStart,0)))))))</f>
        <v>Better</v>
      </c>
      <c r="L670" s="62" t="str">
        <f aca="false">IF(COUNTA($A670,$F670,$G670,$H670,$I670,$J670)=0,"",IF($M670=0,"✖ كود الصف غير موجود",IF(ISNA(MATCH($F670,Lists!$A$2:$A$5,0)),"✖ الفترة غير صحيحة",IF(ISNA(MATCH($G670,Lists!$B$2:$B$7,0)),"✖ المجموعة غير صحيحة",IF(NOT(OR($H670="",$N670&gt;0)),"✖ Start غير صحيح",IF(NOT(OR($I670="",$I670="NR",$O670&gt;0)),"✖ Current غير صحيح",IF(NOT(IF(ISNUMBER($J670),AND($J670&gt;=0,$J670=INT($J670)),FALSE())),"✖ العدد يجب أن يكون صحيحًا ≥ 0",IF(AND($F670="Baseline",$H670&lt;&gt;""),"⚠ Baseline: Start لا يدخل في التقدم",IF($K670="No Start (attainment only)","ℹ تحصيل فقط (بدون Start)",IF($K670="U – needs rule","ℹ حالة U تحتاج قاعدة معتمدة",IF($K670="No result","ℹ بدون نتيجة (يُستبعد من التحصيل)","OK")))))))))))</f>
        <v>OK</v>
      </c>
      <c r="M670" s="64" t="n">
        <f aca="false">IF($A670="",0,IFERROR(MATCH($A670,Classes!$A$6:$A$420,0),0))</f>
        <v>1</v>
      </c>
      <c r="N670" s="64" t="n">
        <f aca="false">IF($H670="",0,IFERROR(MATCH($H670,GradeList,0),0))</f>
        <v>4</v>
      </c>
      <c r="O670" s="64" t="n">
        <f aca="false">IF(OR($I670="",$I670="NR"),0,IFERROR(MATCH($I670,GradeList,0),0))</f>
        <v>5</v>
      </c>
      <c r="P670" s="64" t="n">
        <f aca="false">IF(AND($M670&gt;0,ISNUMBER(MATCH($F670,Lists!$A$2:$A$5,0)),ISNUMBER(MATCH($G670,Lists!$B$2:$B$7,0)),OR($H670="",$N670&gt;0),OR($I670="",$I670="NR",$O670&gt;0),IF(ISNUMBER($J670),AND($J670&gt;=0,$J670=INT($J670)),FALSE())),$J670,0)</f>
        <v>1</v>
      </c>
      <c r="Q670" s="64" t="n">
        <f aca="false">IF(AND($P670&gt;0,$O670&gt;0),$P670,0)</f>
        <v>1</v>
      </c>
      <c r="R670" s="64" t="n">
        <f aca="false">IF(AND($Q670&gt;0,$O670&gt;=AtRank),$Q670,0)</f>
        <v>1</v>
      </c>
      <c r="S670" s="64" t="n">
        <f aca="false">IF(AND($Q670&gt;0,$O670&gt;=AboveRank),$Q670,0)</f>
        <v>0</v>
      </c>
      <c r="T670" s="64" t="n">
        <f aca="false">IF($K670="Less",$P670,0)</f>
        <v>0</v>
      </c>
      <c r="U670" s="64" t="n">
        <f aca="false">IF($K670="Expected",$P670,0)</f>
        <v>0</v>
      </c>
      <c r="V670" s="64" t="n">
        <f aca="false">IF($K670="Better",$P670,0)</f>
        <v>1</v>
      </c>
      <c r="W670" s="64" t="n">
        <f aca="false">IF($K670="U – needs rule",$P670,0)</f>
        <v>0</v>
      </c>
      <c r="X670" s="64" t="n">
        <f aca="false">IF($K670="No Start (attainment only)",$P670,0)</f>
        <v>0</v>
      </c>
    </row>
    <row r="671" customFormat="false" ht="15" hidden="false" customHeight="false" outlineLevel="0" collapsed="false">
      <c r="A671" s="60" t="s">
        <v>440</v>
      </c>
      <c r="B671" s="61" t="str">
        <f aca="false">IF($M671=0,"",INDEX(Classes!$E$6:$E$420,$M671))</f>
        <v>Arabic A</v>
      </c>
      <c r="C671" s="62" t="str">
        <f aca="false">IF($M671=0,"",INDEX(Classes!$H$6:$H$420,$M671))</f>
        <v>Ms Aya Soliman Eid</v>
      </c>
      <c r="D671" s="61" t="str">
        <f aca="false">IF($M671=0,"",INDEX(Classes!$B$6:$B$420,$M671))</f>
        <v>Year 2</v>
      </c>
      <c r="E671" s="61" t="str">
        <f aca="false">IF($M671=0,"",INDEX(Classes!$C$6:$C$420,$M671))</f>
        <v>af</v>
      </c>
      <c r="F671" s="63" t="s">
        <v>107</v>
      </c>
      <c r="G671" s="63" t="s">
        <v>1018</v>
      </c>
      <c r="H671" s="60" t="s">
        <v>199</v>
      </c>
      <c r="I671" s="60" t="s">
        <v>199</v>
      </c>
      <c r="J671" s="63" t="n">
        <v>2</v>
      </c>
      <c r="K671" s="61" t="str">
        <f aca="false">IF($P671=0,"",IF($F671="Baseline","— Baseline",IF($O671=0,"No result",IF($N671=0,"No Start (attainment only)",IF(OR($N671=1,$O671=1),"U – needs rule",INDEX(MxBody,MATCH($I671,MxCurr,0),MATCH($H671,MxStart,0)))))))</f>
        <v>Expected</v>
      </c>
      <c r="L671" s="62" t="str">
        <f aca="false">IF(COUNTA($A671,$F671,$G671,$H671,$I671,$J671)=0,"",IF($M671=0,"✖ كود الصف غير موجود",IF(ISNA(MATCH($F671,Lists!$A$2:$A$5,0)),"✖ الفترة غير صحيحة",IF(ISNA(MATCH($G671,Lists!$B$2:$B$7,0)),"✖ المجموعة غير صحيحة",IF(NOT(OR($H671="",$N671&gt;0)),"✖ Start غير صحيح",IF(NOT(OR($I671="",$I671="NR",$O671&gt;0)),"✖ Current غير صحيح",IF(NOT(IF(ISNUMBER($J671),AND($J671&gt;=0,$J671=INT($J671)),FALSE())),"✖ العدد يجب أن يكون صحيحًا ≥ 0",IF(AND($F671="Baseline",$H671&lt;&gt;""),"⚠ Baseline: Start لا يدخل في التقدم",IF($K671="No Start (attainment only)","ℹ تحصيل فقط (بدون Start)",IF($K671="U – needs rule","ℹ حالة U تحتاج قاعدة معتمدة",IF($K671="No result","ℹ بدون نتيجة (يُستبعد من التحصيل)","OK")))))))))))</f>
        <v>OK</v>
      </c>
      <c r="M671" s="64" t="n">
        <f aca="false">IF($A671="",0,IFERROR(MATCH($A671,Classes!$A$6:$A$420,0),0))</f>
        <v>1</v>
      </c>
      <c r="N671" s="64" t="n">
        <f aca="false">IF($H671="",0,IFERROR(MATCH($H671,GradeList,0),0))</f>
        <v>4</v>
      </c>
      <c r="O671" s="64" t="n">
        <f aca="false">IF(OR($I671="",$I671="NR"),0,IFERROR(MATCH($I671,GradeList,0),0))</f>
        <v>4</v>
      </c>
      <c r="P671" s="64" t="n">
        <f aca="false">IF(AND($M671&gt;0,ISNUMBER(MATCH($F671,Lists!$A$2:$A$5,0)),ISNUMBER(MATCH($G671,Lists!$B$2:$B$7,0)),OR($H671="",$N671&gt;0),OR($I671="",$I671="NR",$O671&gt;0),IF(ISNUMBER($J671),AND($J671&gt;=0,$J671=INT($J671)),FALSE())),$J671,0)</f>
        <v>2</v>
      </c>
      <c r="Q671" s="64" t="n">
        <f aca="false">IF(AND($P671&gt;0,$O671&gt;0),$P671,0)</f>
        <v>2</v>
      </c>
      <c r="R671" s="64" t="n">
        <f aca="false">IF(AND($Q671&gt;0,$O671&gt;=AtRank),$Q671,0)</f>
        <v>0</v>
      </c>
      <c r="S671" s="64" t="n">
        <f aca="false">IF(AND($Q671&gt;0,$O671&gt;=AboveRank),$Q671,0)</f>
        <v>0</v>
      </c>
      <c r="T671" s="64" t="n">
        <f aca="false">IF($K671="Less",$P671,0)</f>
        <v>0</v>
      </c>
      <c r="U671" s="64" t="n">
        <f aca="false">IF($K671="Expected",$P671,0)</f>
        <v>2</v>
      </c>
      <c r="V671" s="64" t="n">
        <f aca="false">IF($K671="Better",$P671,0)</f>
        <v>0</v>
      </c>
      <c r="W671" s="64" t="n">
        <f aca="false">IF($K671="U – needs rule",$P671,0)</f>
        <v>0</v>
      </c>
      <c r="X671" s="64" t="n">
        <f aca="false">IF($K671="No Start (attainment only)",$P671,0)</f>
        <v>0</v>
      </c>
    </row>
    <row r="672" customFormat="false" ht="15" hidden="false" customHeight="false" outlineLevel="0" collapsed="false">
      <c r="A672" s="60"/>
      <c r="B672" s="61" t="str">
        <f aca="false">IF($M672=0,"",INDEX(Classes!$E$6:$E$420,$M672))</f>
        <v/>
      </c>
      <c r="C672" s="62" t="str">
        <f aca="false">IF($M672=0,"",INDEX(Classes!$H$6:$H$420,$M672))</f>
        <v/>
      </c>
      <c r="D672" s="61" t="str">
        <f aca="false">IF($M672=0,"",INDEX(Classes!$B$6:$B$420,$M672))</f>
        <v/>
      </c>
      <c r="E672" s="61" t="str">
        <f aca="false">IF($M672=0,"",INDEX(Classes!$C$6:$C$420,$M672))</f>
        <v/>
      </c>
      <c r="F672" s="63"/>
      <c r="G672" s="63"/>
      <c r="H672" s="60"/>
      <c r="I672" s="60"/>
      <c r="J672" s="63"/>
      <c r="K672" s="61" t="str">
        <f aca="false">IF($P672=0,"",IF($F672="Baseline","— Baseline",IF($O672=0,"No result",IF($N672=0,"No Start (attainment only)",IF(OR($N672=1,$O672=1),"U – needs rule",INDEX(MxBody,MATCH($I672,MxCurr,0),MATCH($H672,MxStart,0)))))))</f>
        <v/>
      </c>
      <c r="L672" s="62" t="str">
        <f aca="false">IF(COUNTA($A672,$F672,$G672,$H672,$I672,$J672)=0,"",IF($M672=0,"✖ كود الصف غير موجود",IF(ISNA(MATCH($F672,Lists!$A$2:$A$5,0)),"✖ الفترة غير صحيحة",IF(ISNA(MATCH($G672,Lists!$B$2:$B$7,0)),"✖ المجموعة غير صحيحة",IF(NOT(OR($H672="",$N672&gt;0)),"✖ Start غير صحيح",IF(NOT(OR($I672="",$I672="NR",$O672&gt;0)),"✖ Current غير صحيح",IF(NOT(IF(ISNUMBER($J672),AND($J672&gt;=0,$J672=INT($J672)),FALSE())),"✖ العدد يجب أن يكون صحيحًا ≥ 0",IF(AND($F672="Baseline",$H672&lt;&gt;""),"⚠ Baseline: Start لا يدخل في التقدم",IF($K672="No Start (attainment only)","ℹ تحصيل فقط (بدون Start)",IF($K672="U – needs rule","ℹ حالة U تحتاج قاعدة معتمدة",IF($K672="No result","ℹ بدون نتيجة (يُستبعد من التحصيل)","OK")))))))))))</f>
        <v/>
      </c>
      <c r="M672" s="64" t="n">
        <f aca="false">IF($A672="",0,IFERROR(MATCH($A672,Classes!$A$6:$A$420,0),0))</f>
        <v>0</v>
      </c>
      <c r="N672" s="64" t="n">
        <f aca="false">IF($H672="",0,IFERROR(MATCH($H672,GradeList,0),0))</f>
        <v>0</v>
      </c>
      <c r="O672" s="64" t="n">
        <f aca="false">IF(OR($I672="",$I672="NR"),0,IFERROR(MATCH($I672,GradeList,0),0))</f>
        <v>0</v>
      </c>
      <c r="P672" s="64" t="n">
        <f aca="false">IF(AND($M672&gt;0,ISNUMBER(MATCH($F672,Lists!$A$2:$A$5,0)),ISNUMBER(MATCH($G672,Lists!$B$2:$B$7,0)),OR($H672="",$N672&gt;0),OR($I672="",$I672="NR",$O672&gt;0),IF(ISNUMBER($J672),AND($J672&gt;=0,$J672=INT($J672)),FALSE())),$J672,0)</f>
        <v>0</v>
      </c>
      <c r="Q672" s="64" t="n">
        <f aca="false">IF(AND($P672&gt;0,$O672&gt;0),$P672,0)</f>
        <v>0</v>
      </c>
      <c r="R672" s="64" t="n">
        <f aca="false">IF(AND($Q672&gt;0,$O672&gt;=AtRank),$Q672,0)</f>
        <v>0</v>
      </c>
      <c r="S672" s="64" t="n">
        <f aca="false">IF(AND($Q672&gt;0,$O672&gt;=AboveRank),$Q672,0)</f>
        <v>0</v>
      </c>
      <c r="T672" s="64" t="n">
        <f aca="false">IF($K672="Less",$P672,0)</f>
        <v>0</v>
      </c>
      <c r="U672" s="64" t="n">
        <f aca="false">IF($K672="Expected",$P672,0)</f>
        <v>0</v>
      </c>
      <c r="V672" s="64" t="n">
        <f aca="false">IF($K672="Better",$P672,0)</f>
        <v>0</v>
      </c>
      <c r="W672" s="64" t="n">
        <f aca="false">IF($K672="U – needs rule",$P672,0)</f>
        <v>0</v>
      </c>
      <c r="X672" s="64" t="n">
        <f aca="false">IF($K672="No Start (attainment only)",$P672,0)</f>
        <v>0</v>
      </c>
    </row>
    <row r="673" customFormat="false" ht="15" hidden="false" customHeight="false" outlineLevel="0" collapsed="false">
      <c r="A673" s="60"/>
      <c r="B673" s="61" t="str">
        <f aca="false">IF($M673=0,"",INDEX(Classes!$E$6:$E$420,$M673))</f>
        <v/>
      </c>
      <c r="C673" s="62" t="str">
        <f aca="false">IF($M673=0,"",INDEX(Classes!$H$6:$H$420,$M673))</f>
        <v/>
      </c>
      <c r="D673" s="61" t="str">
        <f aca="false">IF($M673=0,"",INDEX(Classes!$B$6:$B$420,$M673))</f>
        <v/>
      </c>
      <c r="E673" s="61" t="str">
        <f aca="false">IF($M673=0,"",INDEX(Classes!$C$6:$C$420,$M673))</f>
        <v/>
      </c>
      <c r="F673" s="63"/>
      <c r="G673" s="63"/>
      <c r="H673" s="60"/>
      <c r="I673" s="60"/>
      <c r="J673" s="63"/>
      <c r="K673" s="61" t="str">
        <f aca="false">IF($P673=0,"",IF($F673="Baseline","— Baseline",IF($O673=0,"No result",IF($N673=0,"No Start (attainment only)",IF(OR($N673=1,$O673=1),"U – needs rule",INDEX(MxBody,MATCH($I673,MxCurr,0),MATCH($H673,MxStart,0)))))))</f>
        <v/>
      </c>
      <c r="L673" s="62" t="str">
        <f aca="false">IF(COUNTA($A673,$F673,$G673,$H673,$I673,$J673)=0,"",IF($M673=0,"✖ كود الصف غير موجود",IF(ISNA(MATCH($F673,Lists!$A$2:$A$5,0)),"✖ الفترة غير صحيحة",IF(ISNA(MATCH($G673,Lists!$B$2:$B$7,0)),"✖ المجموعة غير صحيحة",IF(NOT(OR($H673="",$N673&gt;0)),"✖ Start غير صحيح",IF(NOT(OR($I673="",$I673="NR",$O673&gt;0)),"✖ Current غير صحيح",IF(NOT(IF(ISNUMBER($J673),AND($J673&gt;=0,$J673=INT($J673)),FALSE())),"✖ العدد يجب أن يكون صحيحًا ≥ 0",IF(AND($F673="Baseline",$H673&lt;&gt;""),"⚠ Baseline: Start لا يدخل في التقدم",IF($K673="No Start (attainment only)","ℹ تحصيل فقط (بدون Start)",IF($K673="U – needs rule","ℹ حالة U تحتاج قاعدة معتمدة",IF($K673="No result","ℹ بدون نتيجة (يُستبعد من التحصيل)","OK")))))))))))</f>
        <v/>
      </c>
      <c r="M673" s="64" t="n">
        <f aca="false">IF($A673="",0,IFERROR(MATCH($A673,Classes!$A$6:$A$420,0),0))</f>
        <v>0</v>
      </c>
      <c r="N673" s="64" t="n">
        <f aca="false">IF($H673="",0,IFERROR(MATCH($H673,GradeList,0),0))</f>
        <v>0</v>
      </c>
      <c r="O673" s="64" t="n">
        <f aca="false">IF(OR($I673="",$I673="NR"),0,IFERROR(MATCH($I673,GradeList,0),0))</f>
        <v>0</v>
      </c>
      <c r="P673" s="64" t="n">
        <f aca="false">IF(AND($M673&gt;0,ISNUMBER(MATCH($F673,Lists!$A$2:$A$5,0)),ISNUMBER(MATCH($G673,Lists!$B$2:$B$7,0)),OR($H673="",$N673&gt;0),OR($I673="",$I673="NR",$O673&gt;0),IF(ISNUMBER($J673),AND($J673&gt;=0,$J673=INT($J673)),FALSE())),$J673,0)</f>
        <v>0</v>
      </c>
      <c r="Q673" s="64" t="n">
        <f aca="false">IF(AND($P673&gt;0,$O673&gt;0),$P673,0)</f>
        <v>0</v>
      </c>
      <c r="R673" s="64" t="n">
        <f aca="false">IF(AND($Q673&gt;0,$O673&gt;=AtRank),$Q673,0)</f>
        <v>0</v>
      </c>
      <c r="S673" s="64" t="n">
        <f aca="false">IF(AND($Q673&gt;0,$O673&gt;=AboveRank),$Q673,0)</f>
        <v>0</v>
      </c>
      <c r="T673" s="64" t="n">
        <f aca="false">IF($K673="Less",$P673,0)</f>
        <v>0</v>
      </c>
      <c r="U673" s="64" t="n">
        <f aca="false">IF($K673="Expected",$P673,0)</f>
        <v>0</v>
      </c>
      <c r="V673" s="64" t="n">
        <f aca="false">IF($K673="Better",$P673,0)</f>
        <v>0</v>
      </c>
      <c r="W673" s="64" t="n">
        <f aca="false">IF($K673="U – needs rule",$P673,0)</f>
        <v>0</v>
      </c>
      <c r="X673" s="64" t="n">
        <f aca="false">IF($K673="No Start (attainment only)",$P673,0)</f>
        <v>0</v>
      </c>
    </row>
    <row r="674" customFormat="false" ht="15" hidden="false" customHeight="false" outlineLevel="0" collapsed="false">
      <c r="A674" s="60"/>
      <c r="B674" s="61" t="str">
        <f aca="false">IF($M674=0,"",INDEX(Classes!$E$6:$E$420,$M674))</f>
        <v/>
      </c>
      <c r="C674" s="62" t="str">
        <f aca="false">IF($M674=0,"",INDEX(Classes!$H$6:$H$420,$M674))</f>
        <v/>
      </c>
      <c r="D674" s="61" t="str">
        <f aca="false">IF($M674=0,"",INDEX(Classes!$B$6:$B$420,$M674))</f>
        <v/>
      </c>
      <c r="E674" s="61" t="str">
        <f aca="false">IF($M674=0,"",INDEX(Classes!$C$6:$C$420,$M674))</f>
        <v/>
      </c>
      <c r="F674" s="63"/>
      <c r="G674" s="63"/>
      <c r="H674" s="60"/>
      <c r="I674" s="60"/>
      <c r="J674" s="63"/>
      <c r="K674" s="61" t="str">
        <f aca="false">IF($P674=0,"",IF($F674="Baseline","— Baseline",IF($O674=0,"No result",IF($N674=0,"No Start (attainment only)",IF(OR($N674=1,$O674=1),"U – needs rule",INDEX(MxBody,MATCH($I674,MxCurr,0),MATCH($H674,MxStart,0)))))))</f>
        <v/>
      </c>
      <c r="L674" s="62" t="str">
        <f aca="false">IF(COUNTA($A674,$F674,$G674,$H674,$I674,$J674)=0,"",IF($M674=0,"✖ كود الصف غير موجود",IF(ISNA(MATCH($F674,Lists!$A$2:$A$5,0)),"✖ الفترة غير صحيحة",IF(ISNA(MATCH($G674,Lists!$B$2:$B$7,0)),"✖ المجموعة غير صحيحة",IF(NOT(OR($H674="",$N674&gt;0)),"✖ Start غير صحيح",IF(NOT(OR($I674="",$I674="NR",$O674&gt;0)),"✖ Current غير صحيح",IF(NOT(IF(ISNUMBER($J674),AND($J674&gt;=0,$J674=INT($J674)),FALSE())),"✖ العدد يجب أن يكون صحيحًا ≥ 0",IF(AND($F674="Baseline",$H674&lt;&gt;""),"⚠ Baseline: Start لا يدخل في التقدم",IF($K674="No Start (attainment only)","ℹ تحصيل فقط (بدون Start)",IF($K674="U – needs rule","ℹ حالة U تحتاج قاعدة معتمدة",IF($K674="No result","ℹ بدون نتيجة (يُستبعد من التحصيل)","OK")))))))))))</f>
        <v/>
      </c>
      <c r="M674" s="64" t="n">
        <f aca="false">IF($A674="",0,IFERROR(MATCH($A674,Classes!$A$6:$A$420,0),0))</f>
        <v>0</v>
      </c>
      <c r="N674" s="64" t="n">
        <f aca="false">IF($H674="",0,IFERROR(MATCH($H674,GradeList,0),0))</f>
        <v>0</v>
      </c>
      <c r="O674" s="64" t="n">
        <f aca="false">IF(OR($I674="",$I674="NR"),0,IFERROR(MATCH($I674,GradeList,0),0))</f>
        <v>0</v>
      </c>
      <c r="P674" s="64" t="n">
        <f aca="false">IF(AND($M674&gt;0,ISNUMBER(MATCH($F674,Lists!$A$2:$A$5,0)),ISNUMBER(MATCH($G674,Lists!$B$2:$B$7,0)),OR($H674="",$N674&gt;0),OR($I674="",$I674="NR",$O674&gt;0),IF(ISNUMBER($J674),AND($J674&gt;=0,$J674=INT($J674)),FALSE())),$J674,0)</f>
        <v>0</v>
      </c>
      <c r="Q674" s="64" t="n">
        <f aca="false">IF(AND($P674&gt;0,$O674&gt;0),$P674,0)</f>
        <v>0</v>
      </c>
      <c r="R674" s="64" t="n">
        <f aca="false">IF(AND($Q674&gt;0,$O674&gt;=AtRank),$Q674,0)</f>
        <v>0</v>
      </c>
      <c r="S674" s="64" t="n">
        <f aca="false">IF(AND($Q674&gt;0,$O674&gt;=AboveRank),$Q674,0)</f>
        <v>0</v>
      </c>
      <c r="T674" s="64" t="n">
        <f aca="false">IF($K674="Less",$P674,0)</f>
        <v>0</v>
      </c>
      <c r="U674" s="64" t="n">
        <f aca="false">IF($K674="Expected",$P674,0)</f>
        <v>0</v>
      </c>
      <c r="V674" s="64" t="n">
        <f aca="false">IF($K674="Better",$P674,0)</f>
        <v>0</v>
      </c>
      <c r="W674" s="64" t="n">
        <f aca="false">IF($K674="U – needs rule",$P674,0)</f>
        <v>0</v>
      </c>
      <c r="X674" s="64" t="n">
        <f aca="false">IF($K674="No Start (attainment only)",$P674,0)</f>
        <v>0</v>
      </c>
    </row>
    <row r="675" customFormat="false" ht="15" hidden="false" customHeight="false" outlineLevel="0" collapsed="false">
      <c r="A675" s="60"/>
      <c r="B675" s="61" t="str">
        <f aca="false">IF($M675=0,"",INDEX(Classes!$E$6:$E$420,$M675))</f>
        <v/>
      </c>
      <c r="C675" s="62" t="str">
        <f aca="false">IF($M675=0,"",INDEX(Classes!$H$6:$H$420,$M675))</f>
        <v/>
      </c>
      <c r="D675" s="61" t="str">
        <f aca="false">IF($M675=0,"",INDEX(Classes!$B$6:$B$420,$M675))</f>
        <v/>
      </c>
      <c r="E675" s="61" t="str">
        <f aca="false">IF($M675=0,"",INDEX(Classes!$C$6:$C$420,$M675))</f>
        <v/>
      </c>
      <c r="F675" s="63"/>
      <c r="G675" s="63"/>
      <c r="H675" s="60"/>
      <c r="I675" s="60"/>
      <c r="J675" s="63"/>
      <c r="K675" s="61" t="str">
        <f aca="false">IF($P675=0,"",IF($F675="Baseline","— Baseline",IF($O675=0,"No result",IF($N675=0,"No Start (attainment only)",IF(OR($N675=1,$O675=1),"U – needs rule",INDEX(MxBody,MATCH($I675,MxCurr,0),MATCH($H675,MxStart,0)))))))</f>
        <v/>
      </c>
      <c r="L675" s="62" t="str">
        <f aca="false">IF(COUNTA($A675,$F675,$G675,$H675,$I675,$J675)=0,"",IF($M675=0,"✖ كود الصف غير موجود",IF(ISNA(MATCH($F675,Lists!$A$2:$A$5,0)),"✖ الفترة غير صحيحة",IF(ISNA(MATCH($G675,Lists!$B$2:$B$7,0)),"✖ المجموعة غير صحيحة",IF(NOT(OR($H675="",$N675&gt;0)),"✖ Start غير صحيح",IF(NOT(OR($I675="",$I675="NR",$O675&gt;0)),"✖ Current غير صحيح",IF(NOT(IF(ISNUMBER($J675),AND($J675&gt;=0,$J675=INT($J675)),FALSE())),"✖ العدد يجب أن يكون صحيحًا ≥ 0",IF(AND($F675="Baseline",$H675&lt;&gt;""),"⚠ Baseline: Start لا يدخل في التقدم",IF($K675="No Start (attainment only)","ℹ تحصيل فقط (بدون Start)",IF($K675="U – needs rule","ℹ حالة U تحتاج قاعدة معتمدة",IF($K675="No result","ℹ بدون نتيجة (يُستبعد من التحصيل)","OK")))))))))))</f>
        <v/>
      </c>
      <c r="M675" s="64" t="n">
        <f aca="false">IF($A675="",0,IFERROR(MATCH($A675,Classes!$A$6:$A$420,0),0))</f>
        <v>0</v>
      </c>
      <c r="N675" s="64" t="n">
        <f aca="false">IF($H675="",0,IFERROR(MATCH($H675,GradeList,0),0))</f>
        <v>0</v>
      </c>
      <c r="O675" s="64" t="n">
        <f aca="false">IF(OR($I675="",$I675="NR"),0,IFERROR(MATCH($I675,GradeList,0),0))</f>
        <v>0</v>
      </c>
      <c r="P675" s="64" t="n">
        <f aca="false">IF(AND($M675&gt;0,ISNUMBER(MATCH($F675,Lists!$A$2:$A$5,0)),ISNUMBER(MATCH($G675,Lists!$B$2:$B$7,0)),OR($H675="",$N675&gt;0),OR($I675="",$I675="NR",$O675&gt;0),IF(ISNUMBER($J675),AND($J675&gt;=0,$J675=INT($J675)),FALSE())),$J675,0)</f>
        <v>0</v>
      </c>
      <c r="Q675" s="64" t="n">
        <f aca="false">IF(AND($P675&gt;0,$O675&gt;0),$P675,0)</f>
        <v>0</v>
      </c>
      <c r="R675" s="64" t="n">
        <f aca="false">IF(AND($Q675&gt;0,$O675&gt;=AtRank),$Q675,0)</f>
        <v>0</v>
      </c>
      <c r="S675" s="64" t="n">
        <f aca="false">IF(AND($Q675&gt;0,$O675&gt;=AboveRank),$Q675,0)</f>
        <v>0</v>
      </c>
      <c r="T675" s="64" t="n">
        <f aca="false">IF($K675="Less",$P675,0)</f>
        <v>0</v>
      </c>
      <c r="U675" s="64" t="n">
        <f aca="false">IF($K675="Expected",$P675,0)</f>
        <v>0</v>
      </c>
      <c r="V675" s="64" t="n">
        <f aca="false">IF($K675="Better",$P675,0)</f>
        <v>0</v>
      </c>
      <c r="W675" s="64" t="n">
        <f aca="false">IF($K675="U – needs rule",$P675,0)</f>
        <v>0</v>
      </c>
      <c r="X675" s="64" t="n">
        <f aca="false">IF($K675="No Start (attainment only)",$P675,0)</f>
        <v>0</v>
      </c>
    </row>
    <row r="676" customFormat="false" ht="15" hidden="false" customHeight="false" outlineLevel="0" collapsed="false">
      <c r="A676" s="60"/>
      <c r="B676" s="61" t="str">
        <f aca="false">IF($M676=0,"",INDEX(Classes!$E$6:$E$420,$M676))</f>
        <v/>
      </c>
      <c r="C676" s="62" t="str">
        <f aca="false">IF($M676=0,"",INDEX(Classes!$H$6:$H$420,$M676))</f>
        <v/>
      </c>
      <c r="D676" s="61" t="str">
        <f aca="false">IF($M676=0,"",INDEX(Classes!$B$6:$B$420,$M676))</f>
        <v/>
      </c>
      <c r="E676" s="61" t="str">
        <f aca="false">IF($M676=0,"",INDEX(Classes!$C$6:$C$420,$M676))</f>
        <v/>
      </c>
      <c r="F676" s="63"/>
      <c r="G676" s="63"/>
      <c r="H676" s="60"/>
      <c r="I676" s="60"/>
      <c r="J676" s="63"/>
      <c r="K676" s="61" t="str">
        <f aca="false">IF($P676=0,"",IF($F676="Baseline","— Baseline",IF($O676=0,"No result",IF($N676=0,"No Start (attainment only)",IF(OR($N676=1,$O676=1),"U – needs rule",INDEX(MxBody,MATCH($I676,MxCurr,0),MATCH($H676,MxStart,0)))))))</f>
        <v/>
      </c>
      <c r="L676" s="62" t="str">
        <f aca="false">IF(COUNTA($A676,$F676,$G676,$H676,$I676,$J676)=0,"",IF($M676=0,"✖ كود الصف غير موجود",IF(ISNA(MATCH($F676,Lists!$A$2:$A$5,0)),"✖ الفترة غير صحيحة",IF(ISNA(MATCH($G676,Lists!$B$2:$B$7,0)),"✖ المجموعة غير صحيحة",IF(NOT(OR($H676="",$N676&gt;0)),"✖ Start غير صحيح",IF(NOT(OR($I676="",$I676="NR",$O676&gt;0)),"✖ Current غير صحيح",IF(NOT(IF(ISNUMBER($J676),AND($J676&gt;=0,$J676=INT($J676)),FALSE())),"✖ العدد يجب أن يكون صحيحًا ≥ 0",IF(AND($F676="Baseline",$H676&lt;&gt;""),"⚠ Baseline: Start لا يدخل في التقدم",IF($K676="No Start (attainment only)","ℹ تحصيل فقط (بدون Start)",IF($K676="U – needs rule","ℹ حالة U تحتاج قاعدة معتمدة",IF($K676="No result","ℹ بدون نتيجة (يُستبعد من التحصيل)","OK")))))))))))</f>
        <v/>
      </c>
      <c r="M676" s="64" t="n">
        <f aca="false">IF($A676="",0,IFERROR(MATCH($A676,Classes!$A$6:$A$420,0),0))</f>
        <v>0</v>
      </c>
      <c r="N676" s="64" t="n">
        <f aca="false">IF($H676="",0,IFERROR(MATCH($H676,GradeList,0),0))</f>
        <v>0</v>
      </c>
      <c r="O676" s="64" t="n">
        <f aca="false">IF(OR($I676="",$I676="NR"),0,IFERROR(MATCH($I676,GradeList,0),0))</f>
        <v>0</v>
      </c>
      <c r="P676" s="64" t="n">
        <f aca="false">IF(AND($M676&gt;0,ISNUMBER(MATCH($F676,Lists!$A$2:$A$5,0)),ISNUMBER(MATCH($G676,Lists!$B$2:$B$7,0)),OR($H676="",$N676&gt;0),OR($I676="",$I676="NR",$O676&gt;0),IF(ISNUMBER($J676),AND($J676&gt;=0,$J676=INT($J676)),FALSE())),$J676,0)</f>
        <v>0</v>
      </c>
      <c r="Q676" s="64" t="n">
        <f aca="false">IF(AND($P676&gt;0,$O676&gt;0),$P676,0)</f>
        <v>0</v>
      </c>
      <c r="R676" s="64" t="n">
        <f aca="false">IF(AND($Q676&gt;0,$O676&gt;=AtRank),$Q676,0)</f>
        <v>0</v>
      </c>
      <c r="S676" s="64" t="n">
        <f aca="false">IF(AND($Q676&gt;0,$O676&gt;=AboveRank),$Q676,0)</f>
        <v>0</v>
      </c>
      <c r="T676" s="64" t="n">
        <f aca="false">IF($K676="Less",$P676,0)</f>
        <v>0</v>
      </c>
      <c r="U676" s="64" t="n">
        <f aca="false">IF($K676="Expected",$P676,0)</f>
        <v>0</v>
      </c>
      <c r="V676" s="64" t="n">
        <f aca="false">IF($K676="Better",$P676,0)</f>
        <v>0</v>
      </c>
      <c r="W676" s="64" t="n">
        <f aca="false">IF($K676="U – needs rule",$P676,0)</f>
        <v>0</v>
      </c>
      <c r="X676" s="64" t="n">
        <f aca="false">IF($K676="No Start (attainment only)",$P676,0)</f>
        <v>0</v>
      </c>
    </row>
    <row r="677" customFormat="false" ht="15" hidden="false" customHeight="false" outlineLevel="0" collapsed="false">
      <c r="A677" s="60"/>
      <c r="B677" s="61" t="str">
        <f aca="false">IF($M677=0,"",INDEX(Classes!$E$6:$E$420,$M677))</f>
        <v/>
      </c>
      <c r="C677" s="62" t="str">
        <f aca="false">IF($M677=0,"",INDEX(Classes!$H$6:$H$420,$M677))</f>
        <v/>
      </c>
      <c r="D677" s="61" t="str">
        <f aca="false">IF($M677=0,"",INDEX(Classes!$B$6:$B$420,$M677))</f>
        <v/>
      </c>
      <c r="E677" s="61" t="str">
        <f aca="false">IF($M677=0,"",INDEX(Classes!$C$6:$C$420,$M677))</f>
        <v/>
      </c>
      <c r="F677" s="63"/>
      <c r="G677" s="63"/>
      <c r="H677" s="60"/>
      <c r="I677" s="60"/>
      <c r="J677" s="63"/>
      <c r="K677" s="61" t="str">
        <f aca="false">IF($P677=0,"",IF($F677="Baseline","— Baseline",IF($O677=0,"No result",IF($N677=0,"No Start (attainment only)",IF(OR($N677=1,$O677=1),"U – needs rule",INDEX(MxBody,MATCH($I677,MxCurr,0),MATCH($H677,MxStart,0)))))))</f>
        <v/>
      </c>
      <c r="L677" s="62" t="str">
        <f aca="false">IF(COUNTA($A677,$F677,$G677,$H677,$I677,$J677)=0,"",IF($M677=0,"✖ كود الصف غير موجود",IF(ISNA(MATCH($F677,Lists!$A$2:$A$5,0)),"✖ الفترة غير صحيحة",IF(ISNA(MATCH($G677,Lists!$B$2:$B$7,0)),"✖ المجموعة غير صحيحة",IF(NOT(OR($H677="",$N677&gt;0)),"✖ Start غير صحيح",IF(NOT(OR($I677="",$I677="NR",$O677&gt;0)),"✖ Current غير صحيح",IF(NOT(IF(ISNUMBER($J677),AND($J677&gt;=0,$J677=INT($J677)),FALSE())),"✖ العدد يجب أن يكون صحيحًا ≥ 0",IF(AND($F677="Baseline",$H677&lt;&gt;""),"⚠ Baseline: Start لا يدخل في التقدم",IF($K677="No Start (attainment only)","ℹ تحصيل فقط (بدون Start)",IF($K677="U – needs rule","ℹ حالة U تحتاج قاعدة معتمدة",IF($K677="No result","ℹ بدون نتيجة (يُستبعد من التحصيل)","OK")))))))))))</f>
        <v/>
      </c>
      <c r="M677" s="64" t="n">
        <f aca="false">IF($A677="",0,IFERROR(MATCH($A677,Classes!$A$6:$A$420,0),0))</f>
        <v>0</v>
      </c>
      <c r="N677" s="64" t="n">
        <f aca="false">IF($H677="",0,IFERROR(MATCH($H677,GradeList,0),0))</f>
        <v>0</v>
      </c>
      <c r="O677" s="64" t="n">
        <f aca="false">IF(OR($I677="",$I677="NR"),0,IFERROR(MATCH($I677,GradeList,0),0))</f>
        <v>0</v>
      </c>
      <c r="P677" s="64" t="n">
        <f aca="false">IF(AND($M677&gt;0,ISNUMBER(MATCH($F677,Lists!$A$2:$A$5,0)),ISNUMBER(MATCH($G677,Lists!$B$2:$B$7,0)),OR($H677="",$N677&gt;0),OR($I677="",$I677="NR",$O677&gt;0),IF(ISNUMBER($J677),AND($J677&gt;=0,$J677=INT($J677)),FALSE())),$J677,0)</f>
        <v>0</v>
      </c>
      <c r="Q677" s="64" t="n">
        <f aca="false">IF(AND($P677&gt;0,$O677&gt;0),$P677,0)</f>
        <v>0</v>
      </c>
      <c r="R677" s="64" t="n">
        <f aca="false">IF(AND($Q677&gt;0,$O677&gt;=AtRank),$Q677,0)</f>
        <v>0</v>
      </c>
      <c r="S677" s="64" t="n">
        <f aca="false">IF(AND($Q677&gt;0,$O677&gt;=AboveRank),$Q677,0)</f>
        <v>0</v>
      </c>
      <c r="T677" s="64" t="n">
        <f aca="false">IF($K677="Less",$P677,0)</f>
        <v>0</v>
      </c>
      <c r="U677" s="64" t="n">
        <f aca="false">IF($K677="Expected",$P677,0)</f>
        <v>0</v>
      </c>
      <c r="V677" s="64" t="n">
        <f aca="false">IF($K677="Better",$P677,0)</f>
        <v>0</v>
      </c>
      <c r="W677" s="64" t="n">
        <f aca="false">IF($K677="U – needs rule",$P677,0)</f>
        <v>0</v>
      </c>
      <c r="X677" s="64" t="n">
        <f aca="false">IF($K677="No Start (attainment only)",$P677,0)</f>
        <v>0</v>
      </c>
    </row>
    <row r="678" customFormat="false" ht="15" hidden="false" customHeight="false" outlineLevel="0" collapsed="false">
      <c r="A678" s="60"/>
      <c r="B678" s="61" t="str">
        <f aca="false">IF($M678=0,"",INDEX(Classes!$E$6:$E$420,$M678))</f>
        <v/>
      </c>
      <c r="C678" s="62" t="str">
        <f aca="false">IF($M678=0,"",INDEX(Classes!$H$6:$H$420,$M678))</f>
        <v/>
      </c>
      <c r="D678" s="61" t="str">
        <f aca="false">IF($M678=0,"",INDEX(Classes!$B$6:$B$420,$M678))</f>
        <v/>
      </c>
      <c r="E678" s="61" t="str">
        <f aca="false">IF($M678=0,"",INDEX(Classes!$C$6:$C$420,$M678))</f>
        <v/>
      </c>
      <c r="F678" s="63"/>
      <c r="G678" s="63"/>
      <c r="H678" s="60"/>
      <c r="I678" s="60"/>
      <c r="J678" s="63"/>
      <c r="K678" s="61" t="str">
        <f aca="false">IF($P678=0,"",IF($F678="Baseline","— Baseline",IF($O678=0,"No result",IF($N678=0,"No Start (attainment only)",IF(OR($N678=1,$O678=1),"U – needs rule",INDEX(MxBody,MATCH($I678,MxCurr,0),MATCH($H678,MxStart,0)))))))</f>
        <v/>
      </c>
      <c r="L678" s="62" t="str">
        <f aca="false">IF(COUNTA($A678,$F678,$G678,$H678,$I678,$J678)=0,"",IF($M678=0,"✖ كود الصف غير موجود",IF(ISNA(MATCH($F678,Lists!$A$2:$A$5,0)),"✖ الفترة غير صحيحة",IF(ISNA(MATCH($G678,Lists!$B$2:$B$7,0)),"✖ المجموعة غير صحيحة",IF(NOT(OR($H678="",$N678&gt;0)),"✖ Start غير صحيح",IF(NOT(OR($I678="",$I678="NR",$O678&gt;0)),"✖ Current غير صحيح",IF(NOT(IF(ISNUMBER($J678),AND($J678&gt;=0,$J678=INT($J678)),FALSE())),"✖ العدد يجب أن يكون صحيحًا ≥ 0",IF(AND($F678="Baseline",$H678&lt;&gt;""),"⚠ Baseline: Start لا يدخل في التقدم",IF($K678="No Start (attainment only)","ℹ تحصيل فقط (بدون Start)",IF($K678="U – needs rule","ℹ حالة U تحتاج قاعدة معتمدة",IF($K678="No result","ℹ بدون نتيجة (يُستبعد من التحصيل)","OK")))))))))))</f>
        <v/>
      </c>
      <c r="M678" s="64" t="n">
        <f aca="false">IF($A678="",0,IFERROR(MATCH($A678,Classes!$A$6:$A$420,0),0))</f>
        <v>0</v>
      </c>
      <c r="N678" s="64" t="n">
        <f aca="false">IF($H678="",0,IFERROR(MATCH($H678,GradeList,0),0))</f>
        <v>0</v>
      </c>
      <c r="O678" s="64" t="n">
        <f aca="false">IF(OR($I678="",$I678="NR"),0,IFERROR(MATCH($I678,GradeList,0),0))</f>
        <v>0</v>
      </c>
      <c r="P678" s="64" t="n">
        <f aca="false">IF(AND($M678&gt;0,ISNUMBER(MATCH($F678,Lists!$A$2:$A$5,0)),ISNUMBER(MATCH($G678,Lists!$B$2:$B$7,0)),OR($H678="",$N678&gt;0),OR($I678="",$I678="NR",$O678&gt;0),IF(ISNUMBER($J678),AND($J678&gt;=0,$J678=INT($J678)),FALSE())),$J678,0)</f>
        <v>0</v>
      </c>
      <c r="Q678" s="64" t="n">
        <f aca="false">IF(AND($P678&gt;0,$O678&gt;0),$P678,0)</f>
        <v>0</v>
      </c>
      <c r="R678" s="64" t="n">
        <f aca="false">IF(AND($Q678&gt;0,$O678&gt;=AtRank),$Q678,0)</f>
        <v>0</v>
      </c>
      <c r="S678" s="64" t="n">
        <f aca="false">IF(AND($Q678&gt;0,$O678&gt;=AboveRank),$Q678,0)</f>
        <v>0</v>
      </c>
      <c r="T678" s="64" t="n">
        <f aca="false">IF($K678="Less",$P678,0)</f>
        <v>0</v>
      </c>
      <c r="U678" s="64" t="n">
        <f aca="false">IF($K678="Expected",$P678,0)</f>
        <v>0</v>
      </c>
      <c r="V678" s="64" t="n">
        <f aca="false">IF($K678="Better",$P678,0)</f>
        <v>0</v>
      </c>
      <c r="W678" s="64" t="n">
        <f aca="false">IF($K678="U – needs rule",$P678,0)</f>
        <v>0</v>
      </c>
      <c r="X678" s="64" t="n">
        <f aca="false">IF($K678="No Start (attainment only)",$P678,0)</f>
        <v>0</v>
      </c>
    </row>
    <row r="679" customFormat="false" ht="15" hidden="false" customHeight="false" outlineLevel="0" collapsed="false">
      <c r="A679" s="60"/>
      <c r="B679" s="61" t="str">
        <f aca="false">IF($M679=0,"",INDEX(Classes!$E$6:$E$420,$M679))</f>
        <v/>
      </c>
      <c r="C679" s="62" t="str">
        <f aca="false">IF($M679=0,"",INDEX(Classes!$H$6:$H$420,$M679))</f>
        <v/>
      </c>
      <c r="D679" s="61" t="str">
        <f aca="false">IF($M679=0,"",INDEX(Classes!$B$6:$B$420,$M679))</f>
        <v/>
      </c>
      <c r="E679" s="61" t="str">
        <f aca="false">IF($M679=0,"",INDEX(Classes!$C$6:$C$420,$M679))</f>
        <v/>
      </c>
      <c r="F679" s="63"/>
      <c r="G679" s="63"/>
      <c r="H679" s="60"/>
      <c r="I679" s="60"/>
      <c r="J679" s="63"/>
      <c r="K679" s="61" t="str">
        <f aca="false">IF($P679=0,"",IF($F679="Baseline","— Baseline",IF($O679=0,"No result",IF($N679=0,"No Start (attainment only)",IF(OR($N679=1,$O679=1),"U – needs rule",INDEX(MxBody,MATCH($I679,MxCurr,0),MATCH($H679,MxStart,0)))))))</f>
        <v/>
      </c>
      <c r="L679" s="62" t="str">
        <f aca="false">IF(COUNTA($A679,$F679,$G679,$H679,$I679,$J679)=0,"",IF($M679=0,"✖ كود الصف غير موجود",IF(ISNA(MATCH($F679,Lists!$A$2:$A$5,0)),"✖ الفترة غير صحيحة",IF(ISNA(MATCH($G679,Lists!$B$2:$B$7,0)),"✖ المجموعة غير صحيحة",IF(NOT(OR($H679="",$N679&gt;0)),"✖ Start غير صحيح",IF(NOT(OR($I679="",$I679="NR",$O679&gt;0)),"✖ Current غير صحيح",IF(NOT(IF(ISNUMBER($J679),AND($J679&gt;=0,$J679=INT($J679)),FALSE())),"✖ العدد يجب أن يكون صحيحًا ≥ 0",IF(AND($F679="Baseline",$H679&lt;&gt;""),"⚠ Baseline: Start لا يدخل في التقدم",IF($K679="No Start (attainment only)","ℹ تحصيل فقط (بدون Start)",IF($K679="U – needs rule","ℹ حالة U تحتاج قاعدة معتمدة",IF($K679="No result","ℹ بدون نتيجة (يُستبعد من التحصيل)","OK")))))))))))</f>
        <v/>
      </c>
      <c r="M679" s="64" t="n">
        <f aca="false">IF($A679="",0,IFERROR(MATCH($A679,Classes!$A$6:$A$420,0),0))</f>
        <v>0</v>
      </c>
      <c r="N679" s="64" t="n">
        <f aca="false">IF($H679="",0,IFERROR(MATCH($H679,GradeList,0),0))</f>
        <v>0</v>
      </c>
      <c r="O679" s="64" t="n">
        <f aca="false">IF(OR($I679="",$I679="NR"),0,IFERROR(MATCH($I679,GradeList,0),0))</f>
        <v>0</v>
      </c>
      <c r="P679" s="64" t="n">
        <f aca="false">IF(AND($M679&gt;0,ISNUMBER(MATCH($F679,Lists!$A$2:$A$5,0)),ISNUMBER(MATCH($G679,Lists!$B$2:$B$7,0)),OR($H679="",$N679&gt;0),OR($I679="",$I679="NR",$O679&gt;0),IF(ISNUMBER($J679),AND($J679&gt;=0,$J679=INT($J679)),FALSE())),$J679,0)</f>
        <v>0</v>
      </c>
      <c r="Q679" s="64" t="n">
        <f aca="false">IF(AND($P679&gt;0,$O679&gt;0),$P679,0)</f>
        <v>0</v>
      </c>
      <c r="R679" s="64" t="n">
        <f aca="false">IF(AND($Q679&gt;0,$O679&gt;=AtRank),$Q679,0)</f>
        <v>0</v>
      </c>
      <c r="S679" s="64" t="n">
        <f aca="false">IF(AND($Q679&gt;0,$O679&gt;=AboveRank),$Q679,0)</f>
        <v>0</v>
      </c>
      <c r="T679" s="64" t="n">
        <f aca="false">IF($K679="Less",$P679,0)</f>
        <v>0</v>
      </c>
      <c r="U679" s="64" t="n">
        <f aca="false">IF($K679="Expected",$P679,0)</f>
        <v>0</v>
      </c>
      <c r="V679" s="64" t="n">
        <f aca="false">IF($K679="Better",$P679,0)</f>
        <v>0</v>
      </c>
      <c r="W679" s="64" t="n">
        <f aca="false">IF($K679="U – needs rule",$P679,0)</f>
        <v>0</v>
      </c>
      <c r="X679" s="64" t="n">
        <f aca="false">IF($K679="No Start (attainment only)",$P679,0)</f>
        <v>0</v>
      </c>
    </row>
    <row r="680" customFormat="false" ht="15" hidden="false" customHeight="false" outlineLevel="0" collapsed="false">
      <c r="A680" s="60"/>
      <c r="B680" s="61" t="str">
        <f aca="false">IF($M680=0,"",INDEX(Classes!$E$6:$E$420,$M680))</f>
        <v/>
      </c>
      <c r="C680" s="62" t="str">
        <f aca="false">IF($M680=0,"",INDEX(Classes!$H$6:$H$420,$M680))</f>
        <v/>
      </c>
      <c r="D680" s="61" t="str">
        <f aca="false">IF($M680=0,"",INDEX(Classes!$B$6:$B$420,$M680))</f>
        <v/>
      </c>
      <c r="E680" s="61" t="str">
        <f aca="false">IF($M680=0,"",INDEX(Classes!$C$6:$C$420,$M680))</f>
        <v/>
      </c>
      <c r="F680" s="63"/>
      <c r="G680" s="63"/>
      <c r="H680" s="60"/>
      <c r="I680" s="60"/>
      <c r="J680" s="63"/>
      <c r="K680" s="61" t="str">
        <f aca="false">IF($P680=0,"",IF($F680="Baseline","— Baseline",IF($O680=0,"No result",IF($N680=0,"No Start (attainment only)",IF(OR($N680=1,$O680=1),"U – needs rule",INDEX(MxBody,MATCH($I680,MxCurr,0),MATCH($H680,MxStart,0)))))))</f>
        <v/>
      </c>
      <c r="L680" s="62" t="str">
        <f aca="false">IF(COUNTA($A680,$F680,$G680,$H680,$I680,$J680)=0,"",IF($M680=0,"✖ كود الصف غير موجود",IF(ISNA(MATCH($F680,Lists!$A$2:$A$5,0)),"✖ الفترة غير صحيحة",IF(ISNA(MATCH($G680,Lists!$B$2:$B$7,0)),"✖ المجموعة غير صحيحة",IF(NOT(OR($H680="",$N680&gt;0)),"✖ Start غير صحيح",IF(NOT(OR($I680="",$I680="NR",$O680&gt;0)),"✖ Current غير صحيح",IF(NOT(IF(ISNUMBER($J680),AND($J680&gt;=0,$J680=INT($J680)),FALSE())),"✖ العدد يجب أن يكون صحيحًا ≥ 0",IF(AND($F680="Baseline",$H680&lt;&gt;""),"⚠ Baseline: Start لا يدخل في التقدم",IF($K680="No Start (attainment only)","ℹ تحصيل فقط (بدون Start)",IF($K680="U – needs rule","ℹ حالة U تحتاج قاعدة معتمدة",IF($K680="No result","ℹ بدون نتيجة (يُستبعد من التحصيل)","OK")))))))))))</f>
        <v/>
      </c>
      <c r="M680" s="64" t="n">
        <f aca="false">IF($A680="",0,IFERROR(MATCH($A680,Classes!$A$6:$A$420,0),0))</f>
        <v>0</v>
      </c>
      <c r="N680" s="64" t="n">
        <f aca="false">IF($H680="",0,IFERROR(MATCH($H680,GradeList,0),0))</f>
        <v>0</v>
      </c>
      <c r="O680" s="64" t="n">
        <f aca="false">IF(OR($I680="",$I680="NR"),0,IFERROR(MATCH($I680,GradeList,0),0))</f>
        <v>0</v>
      </c>
      <c r="P680" s="64" t="n">
        <f aca="false">IF(AND($M680&gt;0,ISNUMBER(MATCH($F680,Lists!$A$2:$A$5,0)),ISNUMBER(MATCH($G680,Lists!$B$2:$B$7,0)),OR($H680="",$N680&gt;0),OR($I680="",$I680="NR",$O680&gt;0),IF(ISNUMBER($J680),AND($J680&gt;=0,$J680=INT($J680)),FALSE())),$J680,0)</f>
        <v>0</v>
      </c>
      <c r="Q680" s="64" t="n">
        <f aca="false">IF(AND($P680&gt;0,$O680&gt;0),$P680,0)</f>
        <v>0</v>
      </c>
      <c r="R680" s="64" t="n">
        <f aca="false">IF(AND($Q680&gt;0,$O680&gt;=AtRank),$Q680,0)</f>
        <v>0</v>
      </c>
      <c r="S680" s="64" t="n">
        <f aca="false">IF(AND($Q680&gt;0,$O680&gt;=AboveRank),$Q680,0)</f>
        <v>0</v>
      </c>
      <c r="T680" s="64" t="n">
        <f aca="false">IF($K680="Less",$P680,0)</f>
        <v>0</v>
      </c>
      <c r="U680" s="64" t="n">
        <f aca="false">IF($K680="Expected",$P680,0)</f>
        <v>0</v>
      </c>
      <c r="V680" s="64" t="n">
        <f aca="false">IF($K680="Better",$P680,0)</f>
        <v>0</v>
      </c>
      <c r="W680" s="64" t="n">
        <f aca="false">IF($K680="U – needs rule",$P680,0)</f>
        <v>0</v>
      </c>
      <c r="X680" s="64" t="n">
        <f aca="false">IF($K680="No Start (attainment only)",$P680,0)</f>
        <v>0</v>
      </c>
    </row>
    <row r="681" customFormat="false" ht="15" hidden="false" customHeight="false" outlineLevel="0" collapsed="false">
      <c r="A681" s="60"/>
      <c r="B681" s="61" t="str">
        <f aca="false">IF($M681=0,"",INDEX(Classes!$E$6:$E$420,$M681))</f>
        <v/>
      </c>
      <c r="C681" s="62" t="str">
        <f aca="false">IF($M681=0,"",INDEX(Classes!$H$6:$H$420,$M681))</f>
        <v/>
      </c>
      <c r="D681" s="61" t="str">
        <f aca="false">IF($M681=0,"",INDEX(Classes!$B$6:$B$420,$M681))</f>
        <v/>
      </c>
      <c r="E681" s="61" t="str">
        <f aca="false">IF($M681=0,"",INDEX(Classes!$C$6:$C$420,$M681))</f>
        <v/>
      </c>
      <c r="F681" s="63"/>
      <c r="G681" s="63"/>
      <c r="H681" s="60"/>
      <c r="I681" s="60"/>
      <c r="J681" s="63"/>
      <c r="K681" s="61" t="str">
        <f aca="false">IF($P681=0,"",IF($F681="Baseline","— Baseline",IF($O681=0,"No result",IF($N681=0,"No Start (attainment only)",IF(OR($N681=1,$O681=1),"U – needs rule",INDEX(MxBody,MATCH($I681,MxCurr,0),MATCH($H681,MxStart,0)))))))</f>
        <v/>
      </c>
      <c r="L681" s="62" t="str">
        <f aca="false">IF(COUNTA($A681,$F681,$G681,$H681,$I681,$J681)=0,"",IF($M681=0,"✖ كود الصف غير موجود",IF(ISNA(MATCH($F681,Lists!$A$2:$A$5,0)),"✖ الفترة غير صحيحة",IF(ISNA(MATCH($G681,Lists!$B$2:$B$7,0)),"✖ المجموعة غير صحيحة",IF(NOT(OR($H681="",$N681&gt;0)),"✖ Start غير صحيح",IF(NOT(OR($I681="",$I681="NR",$O681&gt;0)),"✖ Current غير صحيح",IF(NOT(IF(ISNUMBER($J681),AND($J681&gt;=0,$J681=INT($J681)),FALSE())),"✖ العدد يجب أن يكون صحيحًا ≥ 0",IF(AND($F681="Baseline",$H681&lt;&gt;""),"⚠ Baseline: Start لا يدخل في التقدم",IF($K681="No Start (attainment only)","ℹ تحصيل فقط (بدون Start)",IF($K681="U – needs rule","ℹ حالة U تحتاج قاعدة معتمدة",IF($K681="No result","ℹ بدون نتيجة (يُستبعد من التحصيل)","OK")))))))))))</f>
        <v/>
      </c>
      <c r="M681" s="64" t="n">
        <f aca="false">IF($A681="",0,IFERROR(MATCH($A681,Classes!$A$6:$A$420,0),0))</f>
        <v>0</v>
      </c>
      <c r="N681" s="64" t="n">
        <f aca="false">IF($H681="",0,IFERROR(MATCH($H681,GradeList,0),0))</f>
        <v>0</v>
      </c>
      <c r="O681" s="64" t="n">
        <f aca="false">IF(OR($I681="",$I681="NR"),0,IFERROR(MATCH($I681,GradeList,0),0))</f>
        <v>0</v>
      </c>
      <c r="P681" s="64" t="n">
        <f aca="false">IF(AND($M681&gt;0,ISNUMBER(MATCH($F681,Lists!$A$2:$A$5,0)),ISNUMBER(MATCH($G681,Lists!$B$2:$B$7,0)),OR($H681="",$N681&gt;0),OR($I681="",$I681="NR",$O681&gt;0),IF(ISNUMBER($J681),AND($J681&gt;=0,$J681=INT($J681)),FALSE())),$J681,0)</f>
        <v>0</v>
      </c>
      <c r="Q681" s="64" t="n">
        <f aca="false">IF(AND($P681&gt;0,$O681&gt;0),$P681,0)</f>
        <v>0</v>
      </c>
      <c r="R681" s="64" t="n">
        <f aca="false">IF(AND($Q681&gt;0,$O681&gt;=AtRank),$Q681,0)</f>
        <v>0</v>
      </c>
      <c r="S681" s="64" t="n">
        <f aca="false">IF(AND($Q681&gt;0,$O681&gt;=AboveRank),$Q681,0)</f>
        <v>0</v>
      </c>
      <c r="T681" s="64" t="n">
        <f aca="false">IF($K681="Less",$P681,0)</f>
        <v>0</v>
      </c>
      <c r="U681" s="64" t="n">
        <f aca="false">IF($K681="Expected",$P681,0)</f>
        <v>0</v>
      </c>
      <c r="V681" s="64" t="n">
        <f aca="false">IF($K681="Better",$P681,0)</f>
        <v>0</v>
      </c>
      <c r="W681" s="64" t="n">
        <f aca="false">IF($K681="U – needs rule",$P681,0)</f>
        <v>0</v>
      </c>
      <c r="X681" s="64" t="n">
        <f aca="false">IF($K681="No Start (attainment only)",$P681,0)</f>
        <v>0</v>
      </c>
    </row>
    <row r="682" customFormat="false" ht="15" hidden="false" customHeight="false" outlineLevel="0" collapsed="false">
      <c r="A682" s="60"/>
      <c r="B682" s="61" t="str">
        <f aca="false">IF($M682=0,"",INDEX(Classes!$E$6:$E$420,$M682))</f>
        <v/>
      </c>
      <c r="C682" s="62" t="str">
        <f aca="false">IF($M682=0,"",INDEX(Classes!$H$6:$H$420,$M682))</f>
        <v/>
      </c>
      <c r="D682" s="61" t="str">
        <f aca="false">IF($M682=0,"",INDEX(Classes!$B$6:$B$420,$M682))</f>
        <v/>
      </c>
      <c r="E682" s="61" t="str">
        <f aca="false">IF($M682=0,"",INDEX(Classes!$C$6:$C$420,$M682))</f>
        <v/>
      </c>
      <c r="F682" s="63"/>
      <c r="G682" s="63"/>
      <c r="H682" s="60"/>
      <c r="I682" s="60"/>
      <c r="J682" s="63"/>
      <c r="K682" s="61" t="str">
        <f aca="false">IF($P682=0,"",IF($F682="Baseline","— Baseline",IF($O682=0,"No result",IF($N682=0,"No Start (attainment only)",IF(OR($N682=1,$O682=1),"U – needs rule",INDEX(MxBody,MATCH($I682,MxCurr,0),MATCH($H682,MxStart,0)))))))</f>
        <v/>
      </c>
      <c r="L682" s="62" t="str">
        <f aca="false">IF(COUNTA($A682,$F682,$G682,$H682,$I682,$J682)=0,"",IF($M682=0,"✖ كود الصف غير موجود",IF(ISNA(MATCH($F682,Lists!$A$2:$A$5,0)),"✖ الفترة غير صحيحة",IF(ISNA(MATCH($G682,Lists!$B$2:$B$7,0)),"✖ المجموعة غير صحيحة",IF(NOT(OR($H682="",$N682&gt;0)),"✖ Start غير صحيح",IF(NOT(OR($I682="",$I682="NR",$O682&gt;0)),"✖ Current غير صحيح",IF(NOT(IF(ISNUMBER($J682),AND($J682&gt;=0,$J682=INT($J682)),FALSE())),"✖ العدد يجب أن يكون صحيحًا ≥ 0",IF(AND($F682="Baseline",$H682&lt;&gt;""),"⚠ Baseline: Start لا يدخل في التقدم",IF($K682="No Start (attainment only)","ℹ تحصيل فقط (بدون Start)",IF($K682="U – needs rule","ℹ حالة U تحتاج قاعدة معتمدة",IF($K682="No result","ℹ بدون نتيجة (يُستبعد من التحصيل)","OK")))))))))))</f>
        <v/>
      </c>
      <c r="M682" s="64" t="n">
        <f aca="false">IF($A682="",0,IFERROR(MATCH($A682,Classes!$A$6:$A$420,0),0))</f>
        <v>0</v>
      </c>
      <c r="N682" s="64" t="n">
        <f aca="false">IF($H682="",0,IFERROR(MATCH($H682,GradeList,0),0))</f>
        <v>0</v>
      </c>
      <c r="O682" s="64" t="n">
        <f aca="false">IF(OR($I682="",$I682="NR"),0,IFERROR(MATCH($I682,GradeList,0),0))</f>
        <v>0</v>
      </c>
      <c r="P682" s="64" t="n">
        <f aca="false">IF(AND($M682&gt;0,ISNUMBER(MATCH($F682,Lists!$A$2:$A$5,0)),ISNUMBER(MATCH($G682,Lists!$B$2:$B$7,0)),OR($H682="",$N682&gt;0),OR($I682="",$I682="NR",$O682&gt;0),IF(ISNUMBER($J682),AND($J682&gt;=0,$J682=INT($J682)),FALSE())),$J682,0)</f>
        <v>0</v>
      </c>
      <c r="Q682" s="64" t="n">
        <f aca="false">IF(AND($P682&gt;0,$O682&gt;0),$P682,0)</f>
        <v>0</v>
      </c>
      <c r="R682" s="64" t="n">
        <f aca="false">IF(AND($Q682&gt;0,$O682&gt;=AtRank),$Q682,0)</f>
        <v>0</v>
      </c>
      <c r="S682" s="64" t="n">
        <f aca="false">IF(AND($Q682&gt;0,$O682&gt;=AboveRank),$Q682,0)</f>
        <v>0</v>
      </c>
      <c r="T682" s="64" t="n">
        <f aca="false">IF($K682="Less",$P682,0)</f>
        <v>0</v>
      </c>
      <c r="U682" s="64" t="n">
        <f aca="false">IF($K682="Expected",$P682,0)</f>
        <v>0</v>
      </c>
      <c r="V682" s="64" t="n">
        <f aca="false">IF($K682="Better",$P682,0)</f>
        <v>0</v>
      </c>
      <c r="W682" s="64" t="n">
        <f aca="false">IF($K682="U – needs rule",$P682,0)</f>
        <v>0</v>
      </c>
      <c r="X682" s="64" t="n">
        <f aca="false">IF($K682="No Start (attainment only)",$P682,0)</f>
        <v>0</v>
      </c>
    </row>
    <row r="683" customFormat="false" ht="15" hidden="false" customHeight="false" outlineLevel="0" collapsed="false">
      <c r="A683" s="60"/>
      <c r="B683" s="61" t="str">
        <f aca="false">IF($M683=0,"",INDEX(Classes!$E$6:$E$420,$M683))</f>
        <v/>
      </c>
      <c r="C683" s="62" t="str">
        <f aca="false">IF($M683=0,"",INDEX(Classes!$H$6:$H$420,$M683))</f>
        <v/>
      </c>
      <c r="D683" s="61" t="str">
        <f aca="false">IF($M683=0,"",INDEX(Classes!$B$6:$B$420,$M683))</f>
        <v/>
      </c>
      <c r="E683" s="61" t="str">
        <f aca="false">IF($M683=0,"",INDEX(Classes!$C$6:$C$420,$M683))</f>
        <v/>
      </c>
      <c r="F683" s="63"/>
      <c r="G683" s="63"/>
      <c r="H683" s="60"/>
      <c r="I683" s="60"/>
      <c r="J683" s="63"/>
      <c r="K683" s="61" t="str">
        <f aca="false">IF($P683=0,"",IF($F683="Baseline","— Baseline",IF($O683=0,"No result",IF($N683=0,"No Start (attainment only)",IF(OR($N683=1,$O683=1),"U – needs rule",INDEX(MxBody,MATCH($I683,MxCurr,0),MATCH($H683,MxStart,0)))))))</f>
        <v/>
      </c>
      <c r="L683" s="62" t="str">
        <f aca="false">IF(COUNTA($A683,$F683,$G683,$H683,$I683,$J683)=0,"",IF($M683=0,"✖ كود الصف غير موجود",IF(ISNA(MATCH($F683,Lists!$A$2:$A$5,0)),"✖ الفترة غير صحيحة",IF(ISNA(MATCH($G683,Lists!$B$2:$B$7,0)),"✖ المجموعة غير صحيحة",IF(NOT(OR($H683="",$N683&gt;0)),"✖ Start غير صحيح",IF(NOT(OR($I683="",$I683="NR",$O683&gt;0)),"✖ Current غير صحيح",IF(NOT(IF(ISNUMBER($J683),AND($J683&gt;=0,$J683=INT($J683)),FALSE())),"✖ العدد يجب أن يكون صحيحًا ≥ 0",IF(AND($F683="Baseline",$H683&lt;&gt;""),"⚠ Baseline: Start لا يدخل في التقدم",IF($K683="No Start (attainment only)","ℹ تحصيل فقط (بدون Start)",IF($K683="U – needs rule","ℹ حالة U تحتاج قاعدة معتمدة",IF($K683="No result","ℹ بدون نتيجة (يُستبعد من التحصيل)","OK")))))))))))</f>
        <v/>
      </c>
      <c r="M683" s="64" t="n">
        <f aca="false">IF($A683="",0,IFERROR(MATCH($A683,Classes!$A$6:$A$420,0),0))</f>
        <v>0</v>
      </c>
      <c r="N683" s="64" t="n">
        <f aca="false">IF($H683="",0,IFERROR(MATCH($H683,GradeList,0),0))</f>
        <v>0</v>
      </c>
      <c r="O683" s="64" t="n">
        <f aca="false">IF(OR($I683="",$I683="NR"),0,IFERROR(MATCH($I683,GradeList,0),0))</f>
        <v>0</v>
      </c>
      <c r="P683" s="64" t="n">
        <f aca="false">IF(AND($M683&gt;0,ISNUMBER(MATCH($F683,Lists!$A$2:$A$5,0)),ISNUMBER(MATCH($G683,Lists!$B$2:$B$7,0)),OR($H683="",$N683&gt;0),OR($I683="",$I683="NR",$O683&gt;0),IF(ISNUMBER($J683),AND($J683&gt;=0,$J683=INT($J683)),FALSE())),$J683,0)</f>
        <v>0</v>
      </c>
      <c r="Q683" s="64" t="n">
        <f aca="false">IF(AND($P683&gt;0,$O683&gt;0),$P683,0)</f>
        <v>0</v>
      </c>
      <c r="R683" s="64" t="n">
        <f aca="false">IF(AND($Q683&gt;0,$O683&gt;=AtRank),$Q683,0)</f>
        <v>0</v>
      </c>
      <c r="S683" s="64" t="n">
        <f aca="false">IF(AND($Q683&gt;0,$O683&gt;=AboveRank),$Q683,0)</f>
        <v>0</v>
      </c>
      <c r="T683" s="64" t="n">
        <f aca="false">IF($K683="Less",$P683,0)</f>
        <v>0</v>
      </c>
      <c r="U683" s="64" t="n">
        <f aca="false">IF($K683="Expected",$P683,0)</f>
        <v>0</v>
      </c>
      <c r="V683" s="64" t="n">
        <f aca="false">IF($K683="Better",$P683,0)</f>
        <v>0</v>
      </c>
      <c r="W683" s="64" t="n">
        <f aca="false">IF($K683="U – needs rule",$P683,0)</f>
        <v>0</v>
      </c>
      <c r="X683" s="64" t="n">
        <f aca="false">IF($K683="No Start (attainment only)",$P683,0)</f>
        <v>0</v>
      </c>
    </row>
    <row r="684" customFormat="false" ht="15" hidden="false" customHeight="false" outlineLevel="0" collapsed="false">
      <c r="A684" s="60"/>
      <c r="B684" s="61" t="str">
        <f aca="false">IF($M684=0,"",INDEX(Classes!$E$6:$E$420,$M684))</f>
        <v/>
      </c>
      <c r="C684" s="62" t="str">
        <f aca="false">IF($M684=0,"",INDEX(Classes!$H$6:$H$420,$M684))</f>
        <v/>
      </c>
      <c r="D684" s="61" t="str">
        <f aca="false">IF($M684=0,"",INDEX(Classes!$B$6:$B$420,$M684))</f>
        <v/>
      </c>
      <c r="E684" s="61" t="str">
        <f aca="false">IF($M684=0,"",INDEX(Classes!$C$6:$C$420,$M684))</f>
        <v/>
      </c>
      <c r="F684" s="63"/>
      <c r="G684" s="63"/>
      <c r="H684" s="60"/>
      <c r="I684" s="60"/>
      <c r="J684" s="63"/>
      <c r="K684" s="61" t="str">
        <f aca="false">IF($P684=0,"",IF($F684="Baseline","— Baseline",IF($O684=0,"No result",IF($N684=0,"No Start (attainment only)",IF(OR($N684=1,$O684=1),"U – needs rule",INDEX(MxBody,MATCH($I684,MxCurr,0),MATCH($H684,MxStart,0)))))))</f>
        <v/>
      </c>
      <c r="L684" s="62" t="str">
        <f aca="false">IF(COUNTA($A684,$F684,$G684,$H684,$I684,$J684)=0,"",IF($M684=0,"✖ كود الصف غير موجود",IF(ISNA(MATCH($F684,Lists!$A$2:$A$5,0)),"✖ الفترة غير صحيحة",IF(ISNA(MATCH($G684,Lists!$B$2:$B$7,0)),"✖ المجموعة غير صحيحة",IF(NOT(OR($H684="",$N684&gt;0)),"✖ Start غير صحيح",IF(NOT(OR($I684="",$I684="NR",$O684&gt;0)),"✖ Current غير صحيح",IF(NOT(IF(ISNUMBER($J684),AND($J684&gt;=0,$J684=INT($J684)),FALSE())),"✖ العدد يجب أن يكون صحيحًا ≥ 0",IF(AND($F684="Baseline",$H684&lt;&gt;""),"⚠ Baseline: Start لا يدخل في التقدم",IF($K684="No Start (attainment only)","ℹ تحصيل فقط (بدون Start)",IF($K684="U – needs rule","ℹ حالة U تحتاج قاعدة معتمدة",IF($K684="No result","ℹ بدون نتيجة (يُستبعد من التحصيل)","OK")))))))))))</f>
        <v/>
      </c>
      <c r="M684" s="64" t="n">
        <f aca="false">IF($A684="",0,IFERROR(MATCH($A684,Classes!$A$6:$A$420,0),0))</f>
        <v>0</v>
      </c>
      <c r="N684" s="64" t="n">
        <f aca="false">IF($H684="",0,IFERROR(MATCH($H684,GradeList,0),0))</f>
        <v>0</v>
      </c>
      <c r="O684" s="64" t="n">
        <f aca="false">IF(OR($I684="",$I684="NR"),0,IFERROR(MATCH($I684,GradeList,0),0))</f>
        <v>0</v>
      </c>
      <c r="P684" s="64" t="n">
        <f aca="false">IF(AND($M684&gt;0,ISNUMBER(MATCH($F684,Lists!$A$2:$A$5,0)),ISNUMBER(MATCH($G684,Lists!$B$2:$B$7,0)),OR($H684="",$N684&gt;0),OR($I684="",$I684="NR",$O684&gt;0),IF(ISNUMBER($J684),AND($J684&gt;=0,$J684=INT($J684)),FALSE())),$J684,0)</f>
        <v>0</v>
      </c>
      <c r="Q684" s="64" t="n">
        <f aca="false">IF(AND($P684&gt;0,$O684&gt;0),$P684,0)</f>
        <v>0</v>
      </c>
      <c r="R684" s="64" t="n">
        <f aca="false">IF(AND($Q684&gt;0,$O684&gt;=AtRank),$Q684,0)</f>
        <v>0</v>
      </c>
      <c r="S684" s="64" t="n">
        <f aca="false">IF(AND($Q684&gt;0,$O684&gt;=AboveRank),$Q684,0)</f>
        <v>0</v>
      </c>
      <c r="T684" s="64" t="n">
        <f aca="false">IF($K684="Less",$P684,0)</f>
        <v>0</v>
      </c>
      <c r="U684" s="64" t="n">
        <f aca="false">IF($K684="Expected",$P684,0)</f>
        <v>0</v>
      </c>
      <c r="V684" s="64" t="n">
        <f aca="false">IF($K684="Better",$P684,0)</f>
        <v>0</v>
      </c>
      <c r="W684" s="64" t="n">
        <f aca="false">IF($K684="U – needs rule",$P684,0)</f>
        <v>0</v>
      </c>
      <c r="X684" s="64" t="n">
        <f aca="false">IF($K684="No Start (attainment only)",$P684,0)</f>
        <v>0</v>
      </c>
    </row>
    <row r="685" customFormat="false" ht="15" hidden="false" customHeight="false" outlineLevel="0" collapsed="false">
      <c r="A685" s="60"/>
      <c r="B685" s="61" t="str">
        <f aca="false">IF($M685=0,"",INDEX(Classes!$E$6:$E$420,$M685))</f>
        <v/>
      </c>
      <c r="C685" s="62" t="str">
        <f aca="false">IF($M685=0,"",INDEX(Classes!$H$6:$H$420,$M685))</f>
        <v/>
      </c>
      <c r="D685" s="61" t="str">
        <f aca="false">IF($M685=0,"",INDEX(Classes!$B$6:$B$420,$M685))</f>
        <v/>
      </c>
      <c r="E685" s="61" t="str">
        <f aca="false">IF($M685=0,"",INDEX(Classes!$C$6:$C$420,$M685))</f>
        <v/>
      </c>
      <c r="F685" s="63"/>
      <c r="G685" s="63"/>
      <c r="H685" s="60"/>
      <c r="I685" s="60"/>
      <c r="J685" s="63"/>
      <c r="K685" s="61" t="str">
        <f aca="false">IF($P685=0,"",IF($F685="Baseline","— Baseline",IF($O685=0,"No result",IF($N685=0,"No Start (attainment only)",IF(OR($N685=1,$O685=1),"U – needs rule",INDEX(MxBody,MATCH($I685,MxCurr,0),MATCH($H685,MxStart,0)))))))</f>
        <v/>
      </c>
      <c r="L685" s="62" t="str">
        <f aca="false">IF(COUNTA($A685,$F685,$G685,$H685,$I685,$J685)=0,"",IF($M685=0,"✖ كود الصف غير موجود",IF(ISNA(MATCH($F685,Lists!$A$2:$A$5,0)),"✖ الفترة غير صحيحة",IF(ISNA(MATCH($G685,Lists!$B$2:$B$7,0)),"✖ المجموعة غير صحيحة",IF(NOT(OR($H685="",$N685&gt;0)),"✖ Start غير صحيح",IF(NOT(OR($I685="",$I685="NR",$O685&gt;0)),"✖ Current غير صحيح",IF(NOT(IF(ISNUMBER($J685),AND($J685&gt;=0,$J685=INT($J685)),FALSE())),"✖ العدد يجب أن يكون صحيحًا ≥ 0",IF(AND($F685="Baseline",$H685&lt;&gt;""),"⚠ Baseline: Start لا يدخل في التقدم",IF($K685="No Start (attainment only)","ℹ تحصيل فقط (بدون Start)",IF($K685="U – needs rule","ℹ حالة U تحتاج قاعدة معتمدة",IF($K685="No result","ℹ بدون نتيجة (يُستبعد من التحصيل)","OK")))))))))))</f>
        <v/>
      </c>
      <c r="M685" s="64" t="n">
        <f aca="false">IF($A685="",0,IFERROR(MATCH($A685,Classes!$A$6:$A$420,0),0))</f>
        <v>0</v>
      </c>
      <c r="N685" s="64" t="n">
        <f aca="false">IF($H685="",0,IFERROR(MATCH($H685,GradeList,0),0))</f>
        <v>0</v>
      </c>
      <c r="O685" s="64" t="n">
        <f aca="false">IF(OR($I685="",$I685="NR"),0,IFERROR(MATCH($I685,GradeList,0),0))</f>
        <v>0</v>
      </c>
      <c r="P685" s="64" t="n">
        <f aca="false">IF(AND($M685&gt;0,ISNUMBER(MATCH($F685,Lists!$A$2:$A$5,0)),ISNUMBER(MATCH($G685,Lists!$B$2:$B$7,0)),OR($H685="",$N685&gt;0),OR($I685="",$I685="NR",$O685&gt;0),IF(ISNUMBER($J685),AND($J685&gt;=0,$J685=INT($J685)),FALSE())),$J685,0)</f>
        <v>0</v>
      </c>
      <c r="Q685" s="64" t="n">
        <f aca="false">IF(AND($P685&gt;0,$O685&gt;0),$P685,0)</f>
        <v>0</v>
      </c>
      <c r="R685" s="64" t="n">
        <f aca="false">IF(AND($Q685&gt;0,$O685&gt;=AtRank),$Q685,0)</f>
        <v>0</v>
      </c>
      <c r="S685" s="64" t="n">
        <f aca="false">IF(AND($Q685&gt;0,$O685&gt;=AboveRank),$Q685,0)</f>
        <v>0</v>
      </c>
      <c r="T685" s="64" t="n">
        <f aca="false">IF($K685="Less",$P685,0)</f>
        <v>0</v>
      </c>
      <c r="U685" s="64" t="n">
        <f aca="false">IF($K685="Expected",$P685,0)</f>
        <v>0</v>
      </c>
      <c r="V685" s="64" t="n">
        <f aca="false">IF($K685="Better",$P685,0)</f>
        <v>0</v>
      </c>
      <c r="W685" s="64" t="n">
        <f aca="false">IF($K685="U – needs rule",$P685,0)</f>
        <v>0</v>
      </c>
      <c r="X685" s="64" t="n">
        <f aca="false">IF($K685="No Start (attainment only)",$P685,0)</f>
        <v>0</v>
      </c>
    </row>
    <row r="686" customFormat="false" ht="15" hidden="false" customHeight="false" outlineLevel="0" collapsed="false">
      <c r="A686" s="60"/>
      <c r="B686" s="61" t="str">
        <f aca="false">IF($M686=0,"",INDEX(Classes!$E$6:$E$420,$M686))</f>
        <v/>
      </c>
      <c r="C686" s="62" t="str">
        <f aca="false">IF($M686=0,"",INDEX(Classes!$H$6:$H$420,$M686))</f>
        <v/>
      </c>
      <c r="D686" s="61" t="str">
        <f aca="false">IF($M686=0,"",INDEX(Classes!$B$6:$B$420,$M686))</f>
        <v/>
      </c>
      <c r="E686" s="61" t="str">
        <f aca="false">IF($M686=0,"",INDEX(Classes!$C$6:$C$420,$M686))</f>
        <v/>
      </c>
      <c r="F686" s="63"/>
      <c r="G686" s="63"/>
      <c r="H686" s="60"/>
      <c r="I686" s="60"/>
      <c r="J686" s="63"/>
      <c r="K686" s="61" t="str">
        <f aca="false">IF($P686=0,"",IF($F686="Baseline","— Baseline",IF($O686=0,"No result",IF($N686=0,"No Start (attainment only)",IF(OR($N686=1,$O686=1),"U – needs rule",INDEX(MxBody,MATCH($I686,MxCurr,0),MATCH($H686,MxStart,0)))))))</f>
        <v/>
      </c>
      <c r="L686" s="62" t="str">
        <f aca="false">IF(COUNTA($A686,$F686,$G686,$H686,$I686,$J686)=0,"",IF($M686=0,"✖ كود الصف غير موجود",IF(ISNA(MATCH($F686,Lists!$A$2:$A$5,0)),"✖ الفترة غير صحيحة",IF(ISNA(MATCH($G686,Lists!$B$2:$B$7,0)),"✖ المجموعة غير صحيحة",IF(NOT(OR($H686="",$N686&gt;0)),"✖ Start غير صحيح",IF(NOT(OR($I686="",$I686="NR",$O686&gt;0)),"✖ Current غير صحيح",IF(NOT(IF(ISNUMBER($J686),AND($J686&gt;=0,$J686=INT($J686)),FALSE())),"✖ العدد يجب أن يكون صحيحًا ≥ 0",IF(AND($F686="Baseline",$H686&lt;&gt;""),"⚠ Baseline: Start لا يدخل في التقدم",IF($K686="No Start (attainment only)","ℹ تحصيل فقط (بدون Start)",IF($K686="U – needs rule","ℹ حالة U تحتاج قاعدة معتمدة",IF($K686="No result","ℹ بدون نتيجة (يُستبعد من التحصيل)","OK")))))))))))</f>
        <v/>
      </c>
      <c r="M686" s="64" t="n">
        <f aca="false">IF($A686="",0,IFERROR(MATCH($A686,Classes!$A$6:$A$420,0),0))</f>
        <v>0</v>
      </c>
      <c r="N686" s="64" t="n">
        <f aca="false">IF($H686="",0,IFERROR(MATCH($H686,GradeList,0),0))</f>
        <v>0</v>
      </c>
      <c r="O686" s="64" t="n">
        <f aca="false">IF(OR($I686="",$I686="NR"),0,IFERROR(MATCH($I686,GradeList,0),0))</f>
        <v>0</v>
      </c>
      <c r="P686" s="64" t="n">
        <f aca="false">IF(AND($M686&gt;0,ISNUMBER(MATCH($F686,Lists!$A$2:$A$5,0)),ISNUMBER(MATCH($G686,Lists!$B$2:$B$7,0)),OR($H686="",$N686&gt;0),OR($I686="",$I686="NR",$O686&gt;0),IF(ISNUMBER($J686),AND($J686&gt;=0,$J686=INT($J686)),FALSE())),$J686,0)</f>
        <v>0</v>
      </c>
      <c r="Q686" s="64" t="n">
        <f aca="false">IF(AND($P686&gt;0,$O686&gt;0),$P686,0)</f>
        <v>0</v>
      </c>
      <c r="R686" s="64" t="n">
        <f aca="false">IF(AND($Q686&gt;0,$O686&gt;=AtRank),$Q686,0)</f>
        <v>0</v>
      </c>
      <c r="S686" s="64" t="n">
        <f aca="false">IF(AND($Q686&gt;0,$O686&gt;=AboveRank),$Q686,0)</f>
        <v>0</v>
      </c>
      <c r="T686" s="64" t="n">
        <f aca="false">IF($K686="Less",$P686,0)</f>
        <v>0</v>
      </c>
      <c r="U686" s="64" t="n">
        <f aca="false">IF($K686="Expected",$P686,0)</f>
        <v>0</v>
      </c>
      <c r="V686" s="64" t="n">
        <f aca="false">IF($K686="Better",$P686,0)</f>
        <v>0</v>
      </c>
      <c r="W686" s="64" t="n">
        <f aca="false">IF($K686="U – needs rule",$P686,0)</f>
        <v>0</v>
      </c>
      <c r="X686" s="64" t="n">
        <f aca="false">IF($K686="No Start (attainment only)",$P686,0)</f>
        <v>0</v>
      </c>
    </row>
    <row r="687" customFormat="false" ht="15" hidden="false" customHeight="false" outlineLevel="0" collapsed="false">
      <c r="A687" s="60"/>
      <c r="B687" s="61" t="str">
        <f aca="false">IF($M687=0,"",INDEX(Classes!$E$6:$E$420,$M687))</f>
        <v/>
      </c>
      <c r="C687" s="62" t="str">
        <f aca="false">IF($M687=0,"",INDEX(Classes!$H$6:$H$420,$M687))</f>
        <v/>
      </c>
      <c r="D687" s="61" t="str">
        <f aca="false">IF($M687=0,"",INDEX(Classes!$B$6:$B$420,$M687))</f>
        <v/>
      </c>
      <c r="E687" s="61" t="str">
        <f aca="false">IF($M687=0,"",INDEX(Classes!$C$6:$C$420,$M687))</f>
        <v/>
      </c>
      <c r="F687" s="63"/>
      <c r="G687" s="63"/>
      <c r="H687" s="60"/>
      <c r="I687" s="60"/>
      <c r="J687" s="63"/>
      <c r="K687" s="61" t="str">
        <f aca="false">IF($P687=0,"",IF($F687="Baseline","— Baseline",IF($O687=0,"No result",IF($N687=0,"No Start (attainment only)",IF(OR($N687=1,$O687=1),"U – needs rule",INDEX(MxBody,MATCH($I687,MxCurr,0),MATCH($H687,MxStart,0)))))))</f>
        <v/>
      </c>
      <c r="L687" s="62" t="str">
        <f aca="false">IF(COUNTA($A687,$F687,$G687,$H687,$I687,$J687)=0,"",IF($M687=0,"✖ كود الصف غير موجود",IF(ISNA(MATCH($F687,Lists!$A$2:$A$5,0)),"✖ الفترة غير صحيحة",IF(ISNA(MATCH($G687,Lists!$B$2:$B$7,0)),"✖ المجموعة غير صحيحة",IF(NOT(OR($H687="",$N687&gt;0)),"✖ Start غير صحيح",IF(NOT(OR($I687="",$I687="NR",$O687&gt;0)),"✖ Current غير صحيح",IF(NOT(IF(ISNUMBER($J687),AND($J687&gt;=0,$J687=INT($J687)),FALSE())),"✖ العدد يجب أن يكون صحيحًا ≥ 0",IF(AND($F687="Baseline",$H687&lt;&gt;""),"⚠ Baseline: Start لا يدخل في التقدم",IF($K687="No Start (attainment only)","ℹ تحصيل فقط (بدون Start)",IF($K687="U – needs rule","ℹ حالة U تحتاج قاعدة معتمدة",IF($K687="No result","ℹ بدون نتيجة (يُستبعد من التحصيل)","OK")))))))))))</f>
        <v/>
      </c>
      <c r="M687" s="64" t="n">
        <f aca="false">IF($A687="",0,IFERROR(MATCH($A687,Classes!$A$6:$A$420,0),0))</f>
        <v>0</v>
      </c>
      <c r="N687" s="64" t="n">
        <f aca="false">IF($H687="",0,IFERROR(MATCH($H687,GradeList,0),0))</f>
        <v>0</v>
      </c>
      <c r="O687" s="64" t="n">
        <f aca="false">IF(OR($I687="",$I687="NR"),0,IFERROR(MATCH($I687,GradeList,0),0))</f>
        <v>0</v>
      </c>
      <c r="P687" s="64" t="n">
        <f aca="false">IF(AND($M687&gt;0,ISNUMBER(MATCH($F687,Lists!$A$2:$A$5,0)),ISNUMBER(MATCH($G687,Lists!$B$2:$B$7,0)),OR($H687="",$N687&gt;0),OR($I687="",$I687="NR",$O687&gt;0),IF(ISNUMBER($J687),AND($J687&gt;=0,$J687=INT($J687)),FALSE())),$J687,0)</f>
        <v>0</v>
      </c>
      <c r="Q687" s="64" t="n">
        <f aca="false">IF(AND($P687&gt;0,$O687&gt;0),$P687,0)</f>
        <v>0</v>
      </c>
      <c r="R687" s="64" t="n">
        <f aca="false">IF(AND($Q687&gt;0,$O687&gt;=AtRank),$Q687,0)</f>
        <v>0</v>
      </c>
      <c r="S687" s="64" t="n">
        <f aca="false">IF(AND($Q687&gt;0,$O687&gt;=AboveRank),$Q687,0)</f>
        <v>0</v>
      </c>
      <c r="T687" s="64" t="n">
        <f aca="false">IF($K687="Less",$P687,0)</f>
        <v>0</v>
      </c>
      <c r="U687" s="64" t="n">
        <f aca="false">IF($K687="Expected",$P687,0)</f>
        <v>0</v>
      </c>
      <c r="V687" s="64" t="n">
        <f aca="false">IF($K687="Better",$P687,0)</f>
        <v>0</v>
      </c>
      <c r="W687" s="64" t="n">
        <f aca="false">IF($K687="U – needs rule",$P687,0)</f>
        <v>0</v>
      </c>
      <c r="X687" s="64" t="n">
        <f aca="false">IF($K687="No Start (attainment only)",$P687,0)</f>
        <v>0</v>
      </c>
    </row>
    <row r="688" customFormat="false" ht="15" hidden="false" customHeight="false" outlineLevel="0" collapsed="false">
      <c r="A688" s="60"/>
      <c r="B688" s="61" t="str">
        <f aca="false">IF($M688=0,"",INDEX(Classes!$E$6:$E$420,$M688))</f>
        <v/>
      </c>
      <c r="C688" s="62" t="str">
        <f aca="false">IF($M688=0,"",INDEX(Classes!$H$6:$H$420,$M688))</f>
        <v/>
      </c>
      <c r="D688" s="61" t="str">
        <f aca="false">IF($M688=0,"",INDEX(Classes!$B$6:$B$420,$M688))</f>
        <v/>
      </c>
      <c r="E688" s="61" t="str">
        <f aca="false">IF($M688=0,"",INDEX(Classes!$C$6:$C$420,$M688))</f>
        <v/>
      </c>
      <c r="F688" s="63"/>
      <c r="G688" s="63"/>
      <c r="H688" s="60"/>
      <c r="I688" s="60"/>
      <c r="J688" s="63"/>
      <c r="K688" s="61" t="str">
        <f aca="false">IF($P688=0,"",IF($F688="Baseline","— Baseline",IF($O688=0,"No result",IF($N688=0,"No Start (attainment only)",IF(OR($N688=1,$O688=1),"U – needs rule",INDEX(MxBody,MATCH($I688,MxCurr,0),MATCH($H688,MxStart,0)))))))</f>
        <v/>
      </c>
      <c r="L688" s="62" t="str">
        <f aca="false">IF(COUNTA($A688,$F688,$G688,$H688,$I688,$J688)=0,"",IF($M688=0,"✖ كود الصف غير موجود",IF(ISNA(MATCH($F688,Lists!$A$2:$A$5,0)),"✖ الفترة غير صحيحة",IF(ISNA(MATCH($G688,Lists!$B$2:$B$7,0)),"✖ المجموعة غير صحيحة",IF(NOT(OR($H688="",$N688&gt;0)),"✖ Start غير صحيح",IF(NOT(OR($I688="",$I688="NR",$O688&gt;0)),"✖ Current غير صحيح",IF(NOT(IF(ISNUMBER($J688),AND($J688&gt;=0,$J688=INT($J688)),FALSE())),"✖ العدد يجب أن يكون صحيحًا ≥ 0",IF(AND($F688="Baseline",$H688&lt;&gt;""),"⚠ Baseline: Start لا يدخل في التقدم",IF($K688="No Start (attainment only)","ℹ تحصيل فقط (بدون Start)",IF($K688="U – needs rule","ℹ حالة U تحتاج قاعدة معتمدة",IF($K688="No result","ℹ بدون نتيجة (يُستبعد من التحصيل)","OK")))))))))))</f>
        <v/>
      </c>
      <c r="M688" s="64" t="n">
        <f aca="false">IF($A688="",0,IFERROR(MATCH($A688,Classes!$A$6:$A$420,0),0))</f>
        <v>0</v>
      </c>
      <c r="N688" s="64" t="n">
        <f aca="false">IF($H688="",0,IFERROR(MATCH($H688,GradeList,0),0))</f>
        <v>0</v>
      </c>
      <c r="O688" s="64" t="n">
        <f aca="false">IF(OR($I688="",$I688="NR"),0,IFERROR(MATCH($I688,GradeList,0),0))</f>
        <v>0</v>
      </c>
      <c r="P688" s="64" t="n">
        <f aca="false">IF(AND($M688&gt;0,ISNUMBER(MATCH($F688,Lists!$A$2:$A$5,0)),ISNUMBER(MATCH($G688,Lists!$B$2:$B$7,0)),OR($H688="",$N688&gt;0),OR($I688="",$I688="NR",$O688&gt;0),IF(ISNUMBER($J688),AND($J688&gt;=0,$J688=INT($J688)),FALSE())),$J688,0)</f>
        <v>0</v>
      </c>
      <c r="Q688" s="64" t="n">
        <f aca="false">IF(AND($P688&gt;0,$O688&gt;0),$P688,0)</f>
        <v>0</v>
      </c>
      <c r="R688" s="64" t="n">
        <f aca="false">IF(AND($Q688&gt;0,$O688&gt;=AtRank),$Q688,0)</f>
        <v>0</v>
      </c>
      <c r="S688" s="64" t="n">
        <f aca="false">IF(AND($Q688&gt;0,$O688&gt;=AboveRank),$Q688,0)</f>
        <v>0</v>
      </c>
      <c r="T688" s="64" t="n">
        <f aca="false">IF($K688="Less",$P688,0)</f>
        <v>0</v>
      </c>
      <c r="U688" s="64" t="n">
        <f aca="false">IF($K688="Expected",$P688,0)</f>
        <v>0</v>
      </c>
      <c r="V688" s="64" t="n">
        <f aca="false">IF($K688="Better",$P688,0)</f>
        <v>0</v>
      </c>
      <c r="W688" s="64" t="n">
        <f aca="false">IF($K688="U – needs rule",$P688,0)</f>
        <v>0</v>
      </c>
      <c r="X688" s="64" t="n">
        <f aca="false">IF($K688="No Start (attainment only)",$P688,0)</f>
        <v>0</v>
      </c>
    </row>
    <row r="689" customFormat="false" ht="15" hidden="false" customHeight="false" outlineLevel="0" collapsed="false">
      <c r="A689" s="60"/>
      <c r="B689" s="61" t="str">
        <f aca="false">IF($M689=0,"",INDEX(Classes!$E$6:$E$420,$M689))</f>
        <v/>
      </c>
      <c r="C689" s="62" t="str">
        <f aca="false">IF($M689=0,"",INDEX(Classes!$H$6:$H$420,$M689))</f>
        <v/>
      </c>
      <c r="D689" s="61" t="str">
        <f aca="false">IF($M689=0,"",INDEX(Classes!$B$6:$B$420,$M689))</f>
        <v/>
      </c>
      <c r="E689" s="61" t="str">
        <f aca="false">IF($M689=0,"",INDEX(Classes!$C$6:$C$420,$M689))</f>
        <v/>
      </c>
      <c r="F689" s="63"/>
      <c r="G689" s="63"/>
      <c r="H689" s="60"/>
      <c r="I689" s="60"/>
      <c r="J689" s="63"/>
      <c r="K689" s="61" t="str">
        <f aca="false">IF($P689=0,"",IF($F689="Baseline","— Baseline",IF($O689=0,"No result",IF($N689=0,"No Start (attainment only)",IF(OR($N689=1,$O689=1),"U – needs rule",INDEX(MxBody,MATCH($I689,MxCurr,0),MATCH($H689,MxStart,0)))))))</f>
        <v/>
      </c>
      <c r="L689" s="62" t="str">
        <f aca="false">IF(COUNTA($A689,$F689,$G689,$H689,$I689,$J689)=0,"",IF($M689=0,"✖ كود الصف غير موجود",IF(ISNA(MATCH($F689,Lists!$A$2:$A$5,0)),"✖ الفترة غير صحيحة",IF(ISNA(MATCH($G689,Lists!$B$2:$B$7,0)),"✖ المجموعة غير صحيحة",IF(NOT(OR($H689="",$N689&gt;0)),"✖ Start غير صحيح",IF(NOT(OR($I689="",$I689="NR",$O689&gt;0)),"✖ Current غير صحيح",IF(NOT(IF(ISNUMBER($J689),AND($J689&gt;=0,$J689=INT($J689)),FALSE())),"✖ العدد يجب أن يكون صحيحًا ≥ 0",IF(AND($F689="Baseline",$H689&lt;&gt;""),"⚠ Baseline: Start لا يدخل في التقدم",IF($K689="No Start (attainment only)","ℹ تحصيل فقط (بدون Start)",IF($K689="U – needs rule","ℹ حالة U تحتاج قاعدة معتمدة",IF($K689="No result","ℹ بدون نتيجة (يُستبعد من التحصيل)","OK")))))))))))</f>
        <v/>
      </c>
      <c r="M689" s="64" t="n">
        <f aca="false">IF($A689="",0,IFERROR(MATCH($A689,Classes!$A$6:$A$420,0),0))</f>
        <v>0</v>
      </c>
      <c r="N689" s="64" t="n">
        <f aca="false">IF($H689="",0,IFERROR(MATCH($H689,GradeList,0),0))</f>
        <v>0</v>
      </c>
      <c r="O689" s="64" t="n">
        <f aca="false">IF(OR($I689="",$I689="NR"),0,IFERROR(MATCH($I689,GradeList,0),0))</f>
        <v>0</v>
      </c>
      <c r="P689" s="64" t="n">
        <f aca="false">IF(AND($M689&gt;0,ISNUMBER(MATCH($F689,Lists!$A$2:$A$5,0)),ISNUMBER(MATCH($G689,Lists!$B$2:$B$7,0)),OR($H689="",$N689&gt;0),OR($I689="",$I689="NR",$O689&gt;0),IF(ISNUMBER($J689),AND($J689&gt;=0,$J689=INT($J689)),FALSE())),$J689,0)</f>
        <v>0</v>
      </c>
      <c r="Q689" s="64" t="n">
        <f aca="false">IF(AND($P689&gt;0,$O689&gt;0),$P689,0)</f>
        <v>0</v>
      </c>
      <c r="R689" s="64" t="n">
        <f aca="false">IF(AND($Q689&gt;0,$O689&gt;=AtRank),$Q689,0)</f>
        <v>0</v>
      </c>
      <c r="S689" s="64" t="n">
        <f aca="false">IF(AND($Q689&gt;0,$O689&gt;=AboveRank),$Q689,0)</f>
        <v>0</v>
      </c>
      <c r="T689" s="64" t="n">
        <f aca="false">IF($K689="Less",$P689,0)</f>
        <v>0</v>
      </c>
      <c r="U689" s="64" t="n">
        <f aca="false">IF($K689="Expected",$P689,0)</f>
        <v>0</v>
      </c>
      <c r="V689" s="64" t="n">
        <f aca="false">IF($K689="Better",$P689,0)</f>
        <v>0</v>
      </c>
      <c r="W689" s="64" t="n">
        <f aca="false">IF($K689="U – needs rule",$P689,0)</f>
        <v>0</v>
      </c>
      <c r="X689" s="64" t="n">
        <f aca="false">IF($K689="No Start (attainment only)",$P689,0)</f>
        <v>0</v>
      </c>
    </row>
    <row r="690" customFormat="false" ht="15" hidden="false" customHeight="false" outlineLevel="0" collapsed="false">
      <c r="A690" s="60"/>
      <c r="B690" s="61" t="str">
        <f aca="false">IF($M690=0,"",INDEX(Classes!$E$6:$E$420,$M690))</f>
        <v/>
      </c>
      <c r="C690" s="62" t="str">
        <f aca="false">IF($M690=0,"",INDEX(Classes!$H$6:$H$420,$M690))</f>
        <v/>
      </c>
      <c r="D690" s="61" t="str">
        <f aca="false">IF($M690=0,"",INDEX(Classes!$B$6:$B$420,$M690))</f>
        <v/>
      </c>
      <c r="E690" s="61" t="str">
        <f aca="false">IF($M690=0,"",INDEX(Classes!$C$6:$C$420,$M690))</f>
        <v/>
      </c>
      <c r="F690" s="63"/>
      <c r="G690" s="63"/>
      <c r="H690" s="60"/>
      <c r="I690" s="60"/>
      <c r="J690" s="63"/>
      <c r="K690" s="61" t="str">
        <f aca="false">IF($P690=0,"",IF($F690="Baseline","— Baseline",IF($O690=0,"No result",IF($N690=0,"No Start (attainment only)",IF(OR($N690=1,$O690=1),"U – needs rule",INDEX(MxBody,MATCH($I690,MxCurr,0),MATCH($H690,MxStart,0)))))))</f>
        <v/>
      </c>
      <c r="L690" s="62" t="str">
        <f aca="false">IF(COUNTA($A690,$F690,$G690,$H690,$I690,$J690)=0,"",IF($M690=0,"✖ كود الصف غير موجود",IF(ISNA(MATCH($F690,Lists!$A$2:$A$5,0)),"✖ الفترة غير صحيحة",IF(ISNA(MATCH($G690,Lists!$B$2:$B$7,0)),"✖ المجموعة غير صحيحة",IF(NOT(OR($H690="",$N690&gt;0)),"✖ Start غير صحيح",IF(NOT(OR($I690="",$I690="NR",$O690&gt;0)),"✖ Current غير صحيح",IF(NOT(IF(ISNUMBER($J690),AND($J690&gt;=0,$J690=INT($J690)),FALSE())),"✖ العدد يجب أن يكون صحيحًا ≥ 0",IF(AND($F690="Baseline",$H690&lt;&gt;""),"⚠ Baseline: Start لا يدخل في التقدم",IF($K690="No Start (attainment only)","ℹ تحصيل فقط (بدون Start)",IF($K690="U – needs rule","ℹ حالة U تحتاج قاعدة معتمدة",IF($K690="No result","ℹ بدون نتيجة (يُستبعد من التحصيل)","OK")))))))))))</f>
        <v/>
      </c>
      <c r="M690" s="64" t="n">
        <f aca="false">IF($A690="",0,IFERROR(MATCH($A690,Classes!$A$6:$A$420,0),0))</f>
        <v>0</v>
      </c>
      <c r="N690" s="64" t="n">
        <f aca="false">IF($H690="",0,IFERROR(MATCH($H690,GradeList,0),0))</f>
        <v>0</v>
      </c>
      <c r="O690" s="64" t="n">
        <f aca="false">IF(OR($I690="",$I690="NR"),0,IFERROR(MATCH($I690,GradeList,0),0))</f>
        <v>0</v>
      </c>
      <c r="P690" s="64" t="n">
        <f aca="false">IF(AND($M690&gt;0,ISNUMBER(MATCH($F690,Lists!$A$2:$A$5,0)),ISNUMBER(MATCH($G690,Lists!$B$2:$B$7,0)),OR($H690="",$N690&gt;0),OR($I690="",$I690="NR",$O690&gt;0),IF(ISNUMBER($J690),AND($J690&gt;=0,$J690=INT($J690)),FALSE())),$J690,0)</f>
        <v>0</v>
      </c>
      <c r="Q690" s="64" t="n">
        <f aca="false">IF(AND($P690&gt;0,$O690&gt;0),$P690,0)</f>
        <v>0</v>
      </c>
      <c r="R690" s="64" t="n">
        <f aca="false">IF(AND($Q690&gt;0,$O690&gt;=AtRank),$Q690,0)</f>
        <v>0</v>
      </c>
      <c r="S690" s="64" t="n">
        <f aca="false">IF(AND($Q690&gt;0,$O690&gt;=AboveRank),$Q690,0)</f>
        <v>0</v>
      </c>
      <c r="T690" s="64" t="n">
        <f aca="false">IF($K690="Less",$P690,0)</f>
        <v>0</v>
      </c>
      <c r="U690" s="64" t="n">
        <f aca="false">IF($K690="Expected",$P690,0)</f>
        <v>0</v>
      </c>
      <c r="V690" s="64" t="n">
        <f aca="false">IF($K690="Better",$P690,0)</f>
        <v>0</v>
      </c>
      <c r="W690" s="64" t="n">
        <f aca="false">IF($K690="U – needs rule",$P690,0)</f>
        <v>0</v>
      </c>
      <c r="X690" s="64" t="n">
        <f aca="false">IF($K690="No Start (attainment only)",$P690,0)</f>
        <v>0</v>
      </c>
    </row>
    <row r="691" customFormat="false" ht="15" hidden="false" customHeight="false" outlineLevel="0" collapsed="false">
      <c r="A691" s="60"/>
      <c r="B691" s="61" t="str">
        <f aca="false">IF($M691=0,"",INDEX(Classes!$E$6:$E$420,$M691))</f>
        <v/>
      </c>
      <c r="C691" s="62" t="str">
        <f aca="false">IF($M691=0,"",INDEX(Classes!$H$6:$H$420,$M691))</f>
        <v/>
      </c>
      <c r="D691" s="61" t="str">
        <f aca="false">IF($M691=0,"",INDEX(Classes!$B$6:$B$420,$M691))</f>
        <v/>
      </c>
      <c r="E691" s="61" t="str">
        <f aca="false">IF($M691=0,"",INDEX(Classes!$C$6:$C$420,$M691))</f>
        <v/>
      </c>
      <c r="F691" s="63"/>
      <c r="G691" s="63"/>
      <c r="H691" s="60"/>
      <c r="I691" s="60"/>
      <c r="J691" s="63"/>
      <c r="K691" s="61" t="str">
        <f aca="false">IF($P691=0,"",IF($F691="Baseline","— Baseline",IF($O691=0,"No result",IF($N691=0,"No Start (attainment only)",IF(OR($N691=1,$O691=1),"U – needs rule",INDEX(MxBody,MATCH($I691,MxCurr,0),MATCH($H691,MxStart,0)))))))</f>
        <v/>
      </c>
      <c r="L691" s="62" t="str">
        <f aca="false">IF(COUNTA($A691,$F691,$G691,$H691,$I691,$J691)=0,"",IF($M691=0,"✖ كود الصف غير موجود",IF(ISNA(MATCH($F691,Lists!$A$2:$A$5,0)),"✖ الفترة غير صحيحة",IF(ISNA(MATCH($G691,Lists!$B$2:$B$7,0)),"✖ المجموعة غير صحيحة",IF(NOT(OR($H691="",$N691&gt;0)),"✖ Start غير صحيح",IF(NOT(OR($I691="",$I691="NR",$O691&gt;0)),"✖ Current غير صحيح",IF(NOT(IF(ISNUMBER($J691),AND($J691&gt;=0,$J691=INT($J691)),FALSE())),"✖ العدد يجب أن يكون صحيحًا ≥ 0",IF(AND($F691="Baseline",$H691&lt;&gt;""),"⚠ Baseline: Start لا يدخل في التقدم",IF($K691="No Start (attainment only)","ℹ تحصيل فقط (بدون Start)",IF($K691="U – needs rule","ℹ حالة U تحتاج قاعدة معتمدة",IF($K691="No result","ℹ بدون نتيجة (يُستبعد من التحصيل)","OK")))))))))))</f>
        <v/>
      </c>
      <c r="M691" s="64" t="n">
        <f aca="false">IF($A691="",0,IFERROR(MATCH($A691,Classes!$A$6:$A$420,0),0))</f>
        <v>0</v>
      </c>
      <c r="N691" s="64" t="n">
        <f aca="false">IF($H691="",0,IFERROR(MATCH($H691,GradeList,0),0))</f>
        <v>0</v>
      </c>
      <c r="O691" s="64" t="n">
        <f aca="false">IF(OR($I691="",$I691="NR"),0,IFERROR(MATCH($I691,GradeList,0),0))</f>
        <v>0</v>
      </c>
      <c r="P691" s="64" t="n">
        <f aca="false">IF(AND($M691&gt;0,ISNUMBER(MATCH($F691,Lists!$A$2:$A$5,0)),ISNUMBER(MATCH($G691,Lists!$B$2:$B$7,0)),OR($H691="",$N691&gt;0),OR($I691="",$I691="NR",$O691&gt;0),IF(ISNUMBER($J691),AND($J691&gt;=0,$J691=INT($J691)),FALSE())),$J691,0)</f>
        <v>0</v>
      </c>
      <c r="Q691" s="64" t="n">
        <f aca="false">IF(AND($P691&gt;0,$O691&gt;0),$P691,0)</f>
        <v>0</v>
      </c>
      <c r="R691" s="64" t="n">
        <f aca="false">IF(AND($Q691&gt;0,$O691&gt;=AtRank),$Q691,0)</f>
        <v>0</v>
      </c>
      <c r="S691" s="64" t="n">
        <f aca="false">IF(AND($Q691&gt;0,$O691&gt;=AboveRank),$Q691,0)</f>
        <v>0</v>
      </c>
      <c r="T691" s="64" t="n">
        <f aca="false">IF($K691="Less",$P691,0)</f>
        <v>0</v>
      </c>
      <c r="U691" s="64" t="n">
        <f aca="false">IF($K691="Expected",$P691,0)</f>
        <v>0</v>
      </c>
      <c r="V691" s="64" t="n">
        <f aca="false">IF($K691="Better",$P691,0)</f>
        <v>0</v>
      </c>
      <c r="W691" s="64" t="n">
        <f aca="false">IF($K691="U – needs rule",$P691,0)</f>
        <v>0</v>
      </c>
      <c r="X691" s="64" t="n">
        <f aca="false">IF($K691="No Start (attainment only)",$P691,0)</f>
        <v>0</v>
      </c>
    </row>
    <row r="692" customFormat="false" ht="15" hidden="false" customHeight="false" outlineLevel="0" collapsed="false">
      <c r="A692" s="60"/>
      <c r="B692" s="61" t="str">
        <f aca="false">IF($M692=0,"",INDEX(Classes!$E$6:$E$420,$M692))</f>
        <v/>
      </c>
      <c r="C692" s="62" t="str">
        <f aca="false">IF($M692=0,"",INDEX(Classes!$H$6:$H$420,$M692))</f>
        <v/>
      </c>
      <c r="D692" s="61" t="str">
        <f aca="false">IF($M692=0,"",INDEX(Classes!$B$6:$B$420,$M692))</f>
        <v/>
      </c>
      <c r="E692" s="61" t="str">
        <f aca="false">IF($M692=0,"",INDEX(Classes!$C$6:$C$420,$M692))</f>
        <v/>
      </c>
      <c r="F692" s="63"/>
      <c r="G692" s="63"/>
      <c r="H692" s="60"/>
      <c r="I692" s="60"/>
      <c r="J692" s="63"/>
      <c r="K692" s="61" t="str">
        <f aca="false">IF($P692=0,"",IF($F692="Baseline","— Baseline",IF($O692=0,"No result",IF($N692=0,"No Start (attainment only)",IF(OR($N692=1,$O692=1),"U – needs rule",INDEX(MxBody,MATCH($I692,MxCurr,0),MATCH($H692,MxStart,0)))))))</f>
        <v/>
      </c>
      <c r="L692" s="62" t="str">
        <f aca="false">IF(COUNTA($A692,$F692,$G692,$H692,$I692,$J692)=0,"",IF($M692=0,"✖ كود الصف غير موجود",IF(ISNA(MATCH($F692,Lists!$A$2:$A$5,0)),"✖ الفترة غير صحيحة",IF(ISNA(MATCH($G692,Lists!$B$2:$B$7,0)),"✖ المجموعة غير صحيحة",IF(NOT(OR($H692="",$N692&gt;0)),"✖ Start غير صحيح",IF(NOT(OR($I692="",$I692="NR",$O692&gt;0)),"✖ Current غير صحيح",IF(NOT(IF(ISNUMBER($J692),AND($J692&gt;=0,$J692=INT($J692)),FALSE())),"✖ العدد يجب أن يكون صحيحًا ≥ 0",IF(AND($F692="Baseline",$H692&lt;&gt;""),"⚠ Baseline: Start لا يدخل في التقدم",IF($K692="No Start (attainment only)","ℹ تحصيل فقط (بدون Start)",IF($K692="U – needs rule","ℹ حالة U تحتاج قاعدة معتمدة",IF($K692="No result","ℹ بدون نتيجة (يُستبعد من التحصيل)","OK")))))))))))</f>
        <v/>
      </c>
      <c r="M692" s="64" t="n">
        <f aca="false">IF($A692="",0,IFERROR(MATCH($A692,Classes!$A$6:$A$420,0),0))</f>
        <v>0</v>
      </c>
      <c r="N692" s="64" t="n">
        <f aca="false">IF($H692="",0,IFERROR(MATCH($H692,GradeList,0),0))</f>
        <v>0</v>
      </c>
      <c r="O692" s="64" t="n">
        <f aca="false">IF(OR($I692="",$I692="NR"),0,IFERROR(MATCH($I692,GradeList,0),0))</f>
        <v>0</v>
      </c>
      <c r="P692" s="64" t="n">
        <f aca="false">IF(AND($M692&gt;0,ISNUMBER(MATCH($F692,Lists!$A$2:$A$5,0)),ISNUMBER(MATCH($G692,Lists!$B$2:$B$7,0)),OR($H692="",$N692&gt;0),OR($I692="",$I692="NR",$O692&gt;0),IF(ISNUMBER($J692),AND($J692&gt;=0,$J692=INT($J692)),FALSE())),$J692,0)</f>
        <v>0</v>
      </c>
      <c r="Q692" s="64" t="n">
        <f aca="false">IF(AND($P692&gt;0,$O692&gt;0),$P692,0)</f>
        <v>0</v>
      </c>
      <c r="R692" s="64" t="n">
        <f aca="false">IF(AND($Q692&gt;0,$O692&gt;=AtRank),$Q692,0)</f>
        <v>0</v>
      </c>
      <c r="S692" s="64" t="n">
        <f aca="false">IF(AND($Q692&gt;0,$O692&gt;=AboveRank),$Q692,0)</f>
        <v>0</v>
      </c>
      <c r="T692" s="64" t="n">
        <f aca="false">IF($K692="Less",$P692,0)</f>
        <v>0</v>
      </c>
      <c r="U692" s="64" t="n">
        <f aca="false">IF($K692="Expected",$P692,0)</f>
        <v>0</v>
      </c>
      <c r="V692" s="64" t="n">
        <f aca="false">IF($K692="Better",$P692,0)</f>
        <v>0</v>
      </c>
      <c r="W692" s="64" t="n">
        <f aca="false">IF($K692="U – needs rule",$P692,0)</f>
        <v>0</v>
      </c>
      <c r="X692" s="64" t="n">
        <f aca="false">IF($K692="No Start (attainment only)",$P692,0)</f>
        <v>0</v>
      </c>
    </row>
    <row r="693" customFormat="false" ht="15" hidden="false" customHeight="false" outlineLevel="0" collapsed="false">
      <c r="A693" s="60"/>
      <c r="B693" s="61" t="str">
        <f aca="false">IF($M693=0,"",INDEX(Classes!$E$6:$E$420,$M693))</f>
        <v/>
      </c>
      <c r="C693" s="62" t="str">
        <f aca="false">IF($M693=0,"",INDEX(Classes!$H$6:$H$420,$M693))</f>
        <v/>
      </c>
      <c r="D693" s="61" t="str">
        <f aca="false">IF($M693=0,"",INDEX(Classes!$B$6:$B$420,$M693))</f>
        <v/>
      </c>
      <c r="E693" s="61" t="str">
        <f aca="false">IF($M693=0,"",INDEX(Classes!$C$6:$C$420,$M693))</f>
        <v/>
      </c>
      <c r="F693" s="63"/>
      <c r="G693" s="63"/>
      <c r="H693" s="60"/>
      <c r="I693" s="60"/>
      <c r="J693" s="63"/>
      <c r="K693" s="61" t="str">
        <f aca="false">IF($P693=0,"",IF($F693="Baseline","— Baseline",IF($O693=0,"No result",IF($N693=0,"No Start (attainment only)",IF(OR($N693=1,$O693=1),"U – needs rule",INDEX(MxBody,MATCH($I693,MxCurr,0),MATCH($H693,MxStart,0)))))))</f>
        <v/>
      </c>
      <c r="L693" s="62" t="str">
        <f aca="false">IF(COUNTA($A693,$F693,$G693,$H693,$I693,$J693)=0,"",IF($M693=0,"✖ كود الصف غير موجود",IF(ISNA(MATCH($F693,Lists!$A$2:$A$5,0)),"✖ الفترة غير صحيحة",IF(ISNA(MATCH($G693,Lists!$B$2:$B$7,0)),"✖ المجموعة غير صحيحة",IF(NOT(OR($H693="",$N693&gt;0)),"✖ Start غير صحيح",IF(NOT(OR($I693="",$I693="NR",$O693&gt;0)),"✖ Current غير صحيح",IF(NOT(IF(ISNUMBER($J693),AND($J693&gt;=0,$J693=INT($J693)),FALSE())),"✖ العدد يجب أن يكون صحيحًا ≥ 0",IF(AND($F693="Baseline",$H693&lt;&gt;""),"⚠ Baseline: Start لا يدخل في التقدم",IF($K693="No Start (attainment only)","ℹ تحصيل فقط (بدون Start)",IF($K693="U – needs rule","ℹ حالة U تحتاج قاعدة معتمدة",IF($K693="No result","ℹ بدون نتيجة (يُستبعد من التحصيل)","OK")))))))))))</f>
        <v/>
      </c>
      <c r="M693" s="64" t="n">
        <f aca="false">IF($A693="",0,IFERROR(MATCH($A693,Classes!$A$6:$A$420,0),0))</f>
        <v>0</v>
      </c>
      <c r="N693" s="64" t="n">
        <f aca="false">IF($H693="",0,IFERROR(MATCH($H693,GradeList,0),0))</f>
        <v>0</v>
      </c>
      <c r="O693" s="64" t="n">
        <f aca="false">IF(OR($I693="",$I693="NR"),0,IFERROR(MATCH($I693,GradeList,0),0))</f>
        <v>0</v>
      </c>
      <c r="P693" s="64" t="n">
        <f aca="false">IF(AND($M693&gt;0,ISNUMBER(MATCH($F693,Lists!$A$2:$A$5,0)),ISNUMBER(MATCH($G693,Lists!$B$2:$B$7,0)),OR($H693="",$N693&gt;0),OR($I693="",$I693="NR",$O693&gt;0),IF(ISNUMBER($J693),AND($J693&gt;=0,$J693=INT($J693)),FALSE())),$J693,0)</f>
        <v>0</v>
      </c>
      <c r="Q693" s="64" t="n">
        <f aca="false">IF(AND($P693&gt;0,$O693&gt;0),$P693,0)</f>
        <v>0</v>
      </c>
      <c r="R693" s="64" t="n">
        <f aca="false">IF(AND($Q693&gt;0,$O693&gt;=AtRank),$Q693,0)</f>
        <v>0</v>
      </c>
      <c r="S693" s="64" t="n">
        <f aca="false">IF(AND($Q693&gt;0,$O693&gt;=AboveRank),$Q693,0)</f>
        <v>0</v>
      </c>
      <c r="T693" s="64" t="n">
        <f aca="false">IF($K693="Less",$P693,0)</f>
        <v>0</v>
      </c>
      <c r="U693" s="64" t="n">
        <f aca="false">IF($K693="Expected",$P693,0)</f>
        <v>0</v>
      </c>
      <c r="V693" s="64" t="n">
        <f aca="false">IF($K693="Better",$P693,0)</f>
        <v>0</v>
      </c>
      <c r="W693" s="64" t="n">
        <f aca="false">IF($K693="U – needs rule",$P693,0)</f>
        <v>0</v>
      </c>
      <c r="X693" s="64" t="n">
        <f aca="false">IF($K693="No Start (attainment only)",$P693,0)</f>
        <v>0</v>
      </c>
    </row>
    <row r="694" customFormat="false" ht="15" hidden="false" customHeight="false" outlineLevel="0" collapsed="false">
      <c r="A694" s="60"/>
      <c r="B694" s="61" t="str">
        <f aca="false">IF($M694=0,"",INDEX(Classes!$E$6:$E$420,$M694))</f>
        <v/>
      </c>
      <c r="C694" s="62" t="str">
        <f aca="false">IF($M694=0,"",INDEX(Classes!$H$6:$H$420,$M694))</f>
        <v/>
      </c>
      <c r="D694" s="61" t="str">
        <f aca="false">IF($M694=0,"",INDEX(Classes!$B$6:$B$420,$M694))</f>
        <v/>
      </c>
      <c r="E694" s="61" t="str">
        <f aca="false">IF($M694=0,"",INDEX(Classes!$C$6:$C$420,$M694))</f>
        <v/>
      </c>
      <c r="F694" s="63"/>
      <c r="G694" s="63"/>
      <c r="H694" s="60"/>
      <c r="I694" s="60"/>
      <c r="J694" s="63"/>
      <c r="K694" s="61" t="str">
        <f aca="false">IF($P694=0,"",IF($F694="Baseline","— Baseline",IF($O694=0,"No result",IF($N694=0,"No Start (attainment only)",IF(OR($N694=1,$O694=1),"U – needs rule",INDEX(MxBody,MATCH($I694,MxCurr,0),MATCH($H694,MxStart,0)))))))</f>
        <v/>
      </c>
      <c r="L694" s="62" t="str">
        <f aca="false">IF(COUNTA($A694,$F694,$G694,$H694,$I694,$J694)=0,"",IF($M694=0,"✖ كود الصف غير موجود",IF(ISNA(MATCH($F694,Lists!$A$2:$A$5,0)),"✖ الفترة غير صحيحة",IF(ISNA(MATCH($G694,Lists!$B$2:$B$7,0)),"✖ المجموعة غير صحيحة",IF(NOT(OR($H694="",$N694&gt;0)),"✖ Start غير صحيح",IF(NOT(OR($I694="",$I694="NR",$O694&gt;0)),"✖ Current غير صحيح",IF(NOT(IF(ISNUMBER($J694),AND($J694&gt;=0,$J694=INT($J694)),FALSE())),"✖ العدد يجب أن يكون صحيحًا ≥ 0",IF(AND($F694="Baseline",$H694&lt;&gt;""),"⚠ Baseline: Start لا يدخل في التقدم",IF($K694="No Start (attainment only)","ℹ تحصيل فقط (بدون Start)",IF($K694="U – needs rule","ℹ حالة U تحتاج قاعدة معتمدة",IF($K694="No result","ℹ بدون نتيجة (يُستبعد من التحصيل)","OK")))))))))))</f>
        <v/>
      </c>
      <c r="M694" s="64" t="n">
        <f aca="false">IF($A694="",0,IFERROR(MATCH($A694,Classes!$A$6:$A$420,0),0))</f>
        <v>0</v>
      </c>
      <c r="N694" s="64" t="n">
        <f aca="false">IF($H694="",0,IFERROR(MATCH($H694,GradeList,0),0))</f>
        <v>0</v>
      </c>
      <c r="O694" s="64" t="n">
        <f aca="false">IF(OR($I694="",$I694="NR"),0,IFERROR(MATCH($I694,GradeList,0),0))</f>
        <v>0</v>
      </c>
      <c r="P694" s="64" t="n">
        <f aca="false">IF(AND($M694&gt;0,ISNUMBER(MATCH($F694,Lists!$A$2:$A$5,0)),ISNUMBER(MATCH($G694,Lists!$B$2:$B$7,0)),OR($H694="",$N694&gt;0),OR($I694="",$I694="NR",$O694&gt;0),IF(ISNUMBER($J694),AND($J694&gt;=0,$J694=INT($J694)),FALSE())),$J694,0)</f>
        <v>0</v>
      </c>
      <c r="Q694" s="64" t="n">
        <f aca="false">IF(AND($P694&gt;0,$O694&gt;0),$P694,0)</f>
        <v>0</v>
      </c>
      <c r="R694" s="64" t="n">
        <f aca="false">IF(AND($Q694&gt;0,$O694&gt;=AtRank),$Q694,0)</f>
        <v>0</v>
      </c>
      <c r="S694" s="64" t="n">
        <f aca="false">IF(AND($Q694&gt;0,$O694&gt;=AboveRank),$Q694,0)</f>
        <v>0</v>
      </c>
      <c r="T694" s="64" t="n">
        <f aca="false">IF($K694="Less",$P694,0)</f>
        <v>0</v>
      </c>
      <c r="U694" s="64" t="n">
        <f aca="false">IF($K694="Expected",$P694,0)</f>
        <v>0</v>
      </c>
      <c r="V694" s="64" t="n">
        <f aca="false">IF($K694="Better",$P694,0)</f>
        <v>0</v>
      </c>
      <c r="W694" s="64" t="n">
        <f aca="false">IF($K694="U – needs rule",$P694,0)</f>
        <v>0</v>
      </c>
      <c r="X694" s="64" t="n">
        <f aca="false">IF($K694="No Start (attainment only)",$P694,0)</f>
        <v>0</v>
      </c>
    </row>
    <row r="695" customFormat="false" ht="15" hidden="false" customHeight="false" outlineLevel="0" collapsed="false">
      <c r="A695" s="60"/>
      <c r="B695" s="61" t="str">
        <f aca="false">IF($M695=0,"",INDEX(Classes!$E$6:$E$420,$M695))</f>
        <v/>
      </c>
      <c r="C695" s="62" t="str">
        <f aca="false">IF($M695=0,"",INDEX(Classes!$H$6:$H$420,$M695))</f>
        <v/>
      </c>
      <c r="D695" s="61" t="str">
        <f aca="false">IF($M695=0,"",INDEX(Classes!$B$6:$B$420,$M695))</f>
        <v/>
      </c>
      <c r="E695" s="61" t="str">
        <f aca="false">IF($M695=0,"",INDEX(Classes!$C$6:$C$420,$M695))</f>
        <v/>
      </c>
      <c r="F695" s="63"/>
      <c r="G695" s="63"/>
      <c r="H695" s="60"/>
      <c r="I695" s="60"/>
      <c r="J695" s="63"/>
      <c r="K695" s="61" t="str">
        <f aca="false">IF($P695=0,"",IF($F695="Baseline","— Baseline",IF($O695=0,"No result",IF($N695=0,"No Start (attainment only)",IF(OR($N695=1,$O695=1),"U – needs rule",INDEX(MxBody,MATCH($I695,MxCurr,0),MATCH($H695,MxStart,0)))))))</f>
        <v/>
      </c>
      <c r="L695" s="62" t="str">
        <f aca="false">IF(COUNTA($A695,$F695,$G695,$H695,$I695,$J695)=0,"",IF($M695=0,"✖ كود الصف غير موجود",IF(ISNA(MATCH($F695,Lists!$A$2:$A$5,0)),"✖ الفترة غير صحيحة",IF(ISNA(MATCH($G695,Lists!$B$2:$B$7,0)),"✖ المجموعة غير صحيحة",IF(NOT(OR($H695="",$N695&gt;0)),"✖ Start غير صحيح",IF(NOT(OR($I695="",$I695="NR",$O695&gt;0)),"✖ Current غير صحيح",IF(NOT(IF(ISNUMBER($J695),AND($J695&gt;=0,$J695=INT($J695)),FALSE())),"✖ العدد يجب أن يكون صحيحًا ≥ 0",IF(AND($F695="Baseline",$H695&lt;&gt;""),"⚠ Baseline: Start لا يدخل في التقدم",IF($K695="No Start (attainment only)","ℹ تحصيل فقط (بدون Start)",IF($K695="U – needs rule","ℹ حالة U تحتاج قاعدة معتمدة",IF($K695="No result","ℹ بدون نتيجة (يُستبعد من التحصيل)","OK")))))))))))</f>
        <v/>
      </c>
      <c r="M695" s="64" t="n">
        <f aca="false">IF($A695="",0,IFERROR(MATCH($A695,Classes!$A$6:$A$420,0),0))</f>
        <v>0</v>
      </c>
      <c r="N695" s="64" t="n">
        <f aca="false">IF($H695="",0,IFERROR(MATCH($H695,GradeList,0),0))</f>
        <v>0</v>
      </c>
      <c r="O695" s="64" t="n">
        <f aca="false">IF(OR($I695="",$I695="NR"),0,IFERROR(MATCH($I695,GradeList,0),0))</f>
        <v>0</v>
      </c>
      <c r="P695" s="64" t="n">
        <f aca="false">IF(AND($M695&gt;0,ISNUMBER(MATCH($F695,Lists!$A$2:$A$5,0)),ISNUMBER(MATCH($G695,Lists!$B$2:$B$7,0)),OR($H695="",$N695&gt;0),OR($I695="",$I695="NR",$O695&gt;0),IF(ISNUMBER($J695),AND($J695&gt;=0,$J695=INT($J695)),FALSE())),$J695,0)</f>
        <v>0</v>
      </c>
      <c r="Q695" s="64" t="n">
        <f aca="false">IF(AND($P695&gt;0,$O695&gt;0),$P695,0)</f>
        <v>0</v>
      </c>
      <c r="R695" s="64" t="n">
        <f aca="false">IF(AND($Q695&gt;0,$O695&gt;=AtRank),$Q695,0)</f>
        <v>0</v>
      </c>
      <c r="S695" s="64" t="n">
        <f aca="false">IF(AND($Q695&gt;0,$O695&gt;=AboveRank),$Q695,0)</f>
        <v>0</v>
      </c>
      <c r="T695" s="64" t="n">
        <f aca="false">IF($K695="Less",$P695,0)</f>
        <v>0</v>
      </c>
      <c r="U695" s="64" t="n">
        <f aca="false">IF($K695="Expected",$P695,0)</f>
        <v>0</v>
      </c>
      <c r="V695" s="64" t="n">
        <f aca="false">IF($K695="Better",$P695,0)</f>
        <v>0</v>
      </c>
      <c r="W695" s="64" t="n">
        <f aca="false">IF($K695="U – needs rule",$P695,0)</f>
        <v>0</v>
      </c>
      <c r="X695" s="64" t="n">
        <f aca="false">IF($K695="No Start (attainment only)",$P695,0)</f>
        <v>0</v>
      </c>
    </row>
    <row r="696" customFormat="false" ht="15" hidden="false" customHeight="false" outlineLevel="0" collapsed="false">
      <c r="A696" s="60"/>
      <c r="B696" s="61" t="str">
        <f aca="false">IF($M696=0,"",INDEX(Classes!$E$6:$E$420,$M696))</f>
        <v/>
      </c>
      <c r="C696" s="62" t="str">
        <f aca="false">IF($M696=0,"",INDEX(Classes!$H$6:$H$420,$M696))</f>
        <v/>
      </c>
      <c r="D696" s="61" t="str">
        <f aca="false">IF($M696=0,"",INDEX(Classes!$B$6:$B$420,$M696))</f>
        <v/>
      </c>
      <c r="E696" s="61" t="str">
        <f aca="false">IF($M696=0,"",INDEX(Classes!$C$6:$C$420,$M696))</f>
        <v/>
      </c>
      <c r="F696" s="63"/>
      <c r="G696" s="63"/>
      <c r="H696" s="60"/>
      <c r="I696" s="60"/>
      <c r="J696" s="63"/>
      <c r="K696" s="61" t="str">
        <f aca="false">IF($P696=0,"",IF($F696="Baseline","— Baseline",IF($O696=0,"No result",IF($N696=0,"No Start (attainment only)",IF(OR($N696=1,$O696=1),"U – needs rule",INDEX(MxBody,MATCH($I696,MxCurr,0),MATCH($H696,MxStart,0)))))))</f>
        <v/>
      </c>
      <c r="L696" s="62" t="str">
        <f aca="false">IF(COUNTA($A696,$F696,$G696,$H696,$I696,$J696)=0,"",IF($M696=0,"✖ كود الصف غير موجود",IF(ISNA(MATCH($F696,Lists!$A$2:$A$5,0)),"✖ الفترة غير صحيحة",IF(ISNA(MATCH($G696,Lists!$B$2:$B$7,0)),"✖ المجموعة غير صحيحة",IF(NOT(OR($H696="",$N696&gt;0)),"✖ Start غير صحيح",IF(NOT(OR($I696="",$I696="NR",$O696&gt;0)),"✖ Current غير صحيح",IF(NOT(IF(ISNUMBER($J696),AND($J696&gt;=0,$J696=INT($J696)),FALSE())),"✖ العدد يجب أن يكون صحيحًا ≥ 0",IF(AND($F696="Baseline",$H696&lt;&gt;""),"⚠ Baseline: Start لا يدخل في التقدم",IF($K696="No Start (attainment only)","ℹ تحصيل فقط (بدون Start)",IF($K696="U – needs rule","ℹ حالة U تحتاج قاعدة معتمدة",IF($K696="No result","ℹ بدون نتيجة (يُستبعد من التحصيل)","OK")))))))))))</f>
        <v/>
      </c>
      <c r="M696" s="64" t="n">
        <f aca="false">IF($A696="",0,IFERROR(MATCH($A696,Classes!$A$6:$A$420,0),0))</f>
        <v>0</v>
      </c>
      <c r="N696" s="64" t="n">
        <f aca="false">IF($H696="",0,IFERROR(MATCH($H696,GradeList,0),0))</f>
        <v>0</v>
      </c>
      <c r="O696" s="64" t="n">
        <f aca="false">IF(OR($I696="",$I696="NR"),0,IFERROR(MATCH($I696,GradeList,0),0))</f>
        <v>0</v>
      </c>
      <c r="P696" s="64" t="n">
        <f aca="false">IF(AND($M696&gt;0,ISNUMBER(MATCH($F696,Lists!$A$2:$A$5,0)),ISNUMBER(MATCH($G696,Lists!$B$2:$B$7,0)),OR($H696="",$N696&gt;0),OR($I696="",$I696="NR",$O696&gt;0),IF(ISNUMBER($J696),AND($J696&gt;=0,$J696=INT($J696)),FALSE())),$J696,0)</f>
        <v>0</v>
      </c>
      <c r="Q696" s="64" t="n">
        <f aca="false">IF(AND($P696&gt;0,$O696&gt;0),$P696,0)</f>
        <v>0</v>
      </c>
      <c r="R696" s="64" t="n">
        <f aca="false">IF(AND($Q696&gt;0,$O696&gt;=AtRank),$Q696,0)</f>
        <v>0</v>
      </c>
      <c r="S696" s="64" t="n">
        <f aca="false">IF(AND($Q696&gt;0,$O696&gt;=AboveRank),$Q696,0)</f>
        <v>0</v>
      </c>
      <c r="T696" s="64" t="n">
        <f aca="false">IF($K696="Less",$P696,0)</f>
        <v>0</v>
      </c>
      <c r="U696" s="64" t="n">
        <f aca="false">IF($K696="Expected",$P696,0)</f>
        <v>0</v>
      </c>
      <c r="V696" s="64" t="n">
        <f aca="false">IF($K696="Better",$P696,0)</f>
        <v>0</v>
      </c>
      <c r="W696" s="64" t="n">
        <f aca="false">IF($K696="U – needs rule",$P696,0)</f>
        <v>0</v>
      </c>
      <c r="X696" s="64" t="n">
        <f aca="false">IF($K696="No Start (attainment only)",$P696,0)</f>
        <v>0</v>
      </c>
    </row>
    <row r="697" customFormat="false" ht="15" hidden="false" customHeight="false" outlineLevel="0" collapsed="false">
      <c r="A697" s="60"/>
      <c r="B697" s="61" t="str">
        <f aca="false">IF($M697=0,"",INDEX(Classes!$E$6:$E$420,$M697))</f>
        <v/>
      </c>
      <c r="C697" s="62" t="str">
        <f aca="false">IF($M697=0,"",INDEX(Classes!$H$6:$H$420,$M697))</f>
        <v/>
      </c>
      <c r="D697" s="61" t="str">
        <f aca="false">IF($M697=0,"",INDEX(Classes!$B$6:$B$420,$M697))</f>
        <v/>
      </c>
      <c r="E697" s="61" t="str">
        <f aca="false">IF($M697=0,"",INDEX(Classes!$C$6:$C$420,$M697))</f>
        <v/>
      </c>
      <c r="F697" s="63"/>
      <c r="G697" s="63"/>
      <c r="H697" s="60"/>
      <c r="I697" s="60"/>
      <c r="J697" s="63"/>
      <c r="K697" s="61" t="str">
        <f aca="false">IF($P697=0,"",IF($F697="Baseline","— Baseline",IF($O697=0,"No result",IF($N697=0,"No Start (attainment only)",IF(OR($N697=1,$O697=1),"U – needs rule",INDEX(MxBody,MATCH($I697,MxCurr,0),MATCH($H697,MxStart,0)))))))</f>
        <v/>
      </c>
      <c r="L697" s="62" t="str">
        <f aca="false">IF(COUNTA($A697,$F697,$G697,$H697,$I697,$J697)=0,"",IF($M697=0,"✖ كود الصف غير موجود",IF(ISNA(MATCH($F697,Lists!$A$2:$A$5,0)),"✖ الفترة غير صحيحة",IF(ISNA(MATCH($G697,Lists!$B$2:$B$7,0)),"✖ المجموعة غير صحيحة",IF(NOT(OR($H697="",$N697&gt;0)),"✖ Start غير صحيح",IF(NOT(OR($I697="",$I697="NR",$O697&gt;0)),"✖ Current غير صحيح",IF(NOT(IF(ISNUMBER($J697),AND($J697&gt;=0,$J697=INT($J697)),FALSE())),"✖ العدد يجب أن يكون صحيحًا ≥ 0",IF(AND($F697="Baseline",$H697&lt;&gt;""),"⚠ Baseline: Start لا يدخل في التقدم",IF($K697="No Start (attainment only)","ℹ تحصيل فقط (بدون Start)",IF($K697="U – needs rule","ℹ حالة U تحتاج قاعدة معتمدة",IF($K697="No result","ℹ بدون نتيجة (يُستبعد من التحصيل)","OK")))))))))))</f>
        <v/>
      </c>
      <c r="M697" s="64" t="n">
        <f aca="false">IF($A697="",0,IFERROR(MATCH($A697,Classes!$A$6:$A$420,0),0))</f>
        <v>0</v>
      </c>
      <c r="N697" s="64" t="n">
        <f aca="false">IF($H697="",0,IFERROR(MATCH($H697,GradeList,0),0))</f>
        <v>0</v>
      </c>
      <c r="O697" s="64" t="n">
        <f aca="false">IF(OR($I697="",$I697="NR"),0,IFERROR(MATCH($I697,GradeList,0),0))</f>
        <v>0</v>
      </c>
      <c r="P697" s="64" t="n">
        <f aca="false">IF(AND($M697&gt;0,ISNUMBER(MATCH($F697,Lists!$A$2:$A$5,0)),ISNUMBER(MATCH($G697,Lists!$B$2:$B$7,0)),OR($H697="",$N697&gt;0),OR($I697="",$I697="NR",$O697&gt;0),IF(ISNUMBER($J697),AND($J697&gt;=0,$J697=INT($J697)),FALSE())),$J697,0)</f>
        <v>0</v>
      </c>
      <c r="Q697" s="64" t="n">
        <f aca="false">IF(AND($P697&gt;0,$O697&gt;0),$P697,0)</f>
        <v>0</v>
      </c>
      <c r="R697" s="64" t="n">
        <f aca="false">IF(AND($Q697&gt;0,$O697&gt;=AtRank),$Q697,0)</f>
        <v>0</v>
      </c>
      <c r="S697" s="64" t="n">
        <f aca="false">IF(AND($Q697&gt;0,$O697&gt;=AboveRank),$Q697,0)</f>
        <v>0</v>
      </c>
      <c r="T697" s="64" t="n">
        <f aca="false">IF($K697="Less",$P697,0)</f>
        <v>0</v>
      </c>
      <c r="U697" s="64" t="n">
        <f aca="false">IF($K697="Expected",$P697,0)</f>
        <v>0</v>
      </c>
      <c r="V697" s="64" t="n">
        <f aca="false">IF($K697="Better",$P697,0)</f>
        <v>0</v>
      </c>
      <c r="W697" s="64" t="n">
        <f aca="false">IF($K697="U – needs rule",$P697,0)</f>
        <v>0</v>
      </c>
      <c r="X697" s="64" t="n">
        <f aca="false">IF($K697="No Start (attainment only)",$P697,0)</f>
        <v>0</v>
      </c>
    </row>
    <row r="698" customFormat="false" ht="15" hidden="false" customHeight="false" outlineLevel="0" collapsed="false">
      <c r="A698" s="60"/>
      <c r="B698" s="61" t="str">
        <f aca="false">IF($M698=0,"",INDEX(Classes!$E$6:$E$420,$M698))</f>
        <v/>
      </c>
      <c r="C698" s="62" t="str">
        <f aca="false">IF($M698=0,"",INDEX(Classes!$H$6:$H$420,$M698))</f>
        <v/>
      </c>
      <c r="D698" s="61" t="str">
        <f aca="false">IF($M698=0,"",INDEX(Classes!$B$6:$B$420,$M698))</f>
        <v/>
      </c>
      <c r="E698" s="61" t="str">
        <f aca="false">IF($M698=0,"",INDEX(Classes!$C$6:$C$420,$M698))</f>
        <v/>
      </c>
      <c r="F698" s="63"/>
      <c r="G698" s="63"/>
      <c r="H698" s="60"/>
      <c r="I698" s="60"/>
      <c r="J698" s="63"/>
      <c r="K698" s="61" t="str">
        <f aca="false">IF($P698=0,"",IF($F698="Baseline","— Baseline",IF($O698=0,"No result",IF($N698=0,"No Start (attainment only)",IF(OR($N698=1,$O698=1),"U – needs rule",INDEX(MxBody,MATCH($I698,MxCurr,0),MATCH($H698,MxStart,0)))))))</f>
        <v/>
      </c>
      <c r="L698" s="62" t="str">
        <f aca="false">IF(COUNTA($A698,$F698,$G698,$H698,$I698,$J698)=0,"",IF($M698=0,"✖ كود الصف غير موجود",IF(ISNA(MATCH($F698,Lists!$A$2:$A$5,0)),"✖ الفترة غير صحيحة",IF(ISNA(MATCH($G698,Lists!$B$2:$B$7,0)),"✖ المجموعة غير صحيحة",IF(NOT(OR($H698="",$N698&gt;0)),"✖ Start غير صحيح",IF(NOT(OR($I698="",$I698="NR",$O698&gt;0)),"✖ Current غير صحيح",IF(NOT(IF(ISNUMBER($J698),AND($J698&gt;=0,$J698=INT($J698)),FALSE())),"✖ العدد يجب أن يكون صحيحًا ≥ 0",IF(AND($F698="Baseline",$H698&lt;&gt;""),"⚠ Baseline: Start لا يدخل في التقدم",IF($K698="No Start (attainment only)","ℹ تحصيل فقط (بدون Start)",IF($K698="U – needs rule","ℹ حالة U تحتاج قاعدة معتمدة",IF($K698="No result","ℹ بدون نتيجة (يُستبعد من التحصيل)","OK")))))))))))</f>
        <v/>
      </c>
      <c r="M698" s="64" t="n">
        <f aca="false">IF($A698="",0,IFERROR(MATCH($A698,Classes!$A$6:$A$420,0),0))</f>
        <v>0</v>
      </c>
      <c r="N698" s="64" t="n">
        <f aca="false">IF($H698="",0,IFERROR(MATCH($H698,GradeList,0),0))</f>
        <v>0</v>
      </c>
      <c r="O698" s="64" t="n">
        <f aca="false">IF(OR($I698="",$I698="NR"),0,IFERROR(MATCH($I698,GradeList,0),0))</f>
        <v>0</v>
      </c>
      <c r="P698" s="64" t="n">
        <f aca="false">IF(AND($M698&gt;0,ISNUMBER(MATCH($F698,Lists!$A$2:$A$5,0)),ISNUMBER(MATCH($G698,Lists!$B$2:$B$7,0)),OR($H698="",$N698&gt;0),OR($I698="",$I698="NR",$O698&gt;0),IF(ISNUMBER($J698),AND($J698&gt;=0,$J698=INT($J698)),FALSE())),$J698,0)</f>
        <v>0</v>
      </c>
      <c r="Q698" s="64" t="n">
        <f aca="false">IF(AND($P698&gt;0,$O698&gt;0),$P698,0)</f>
        <v>0</v>
      </c>
      <c r="R698" s="64" t="n">
        <f aca="false">IF(AND($Q698&gt;0,$O698&gt;=AtRank),$Q698,0)</f>
        <v>0</v>
      </c>
      <c r="S698" s="64" t="n">
        <f aca="false">IF(AND($Q698&gt;0,$O698&gt;=AboveRank),$Q698,0)</f>
        <v>0</v>
      </c>
      <c r="T698" s="64" t="n">
        <f aca="false">IF($K698="Less",$P698,0)</f>
        <v>0</v>
      </c>
      <c r="U698" s="64" t="n">
        <f aca="false">IF($K698="Expected",$P698,0)</f>
        <v>0</v>
      </c>
      <c r="V698" s="64" t="n">
        <f aca="false">IF($K698="Better",$P698,0)</f>
        <v>0</v>
      </c>
      <c r="W698" s="64" t="n">
        <f aca="false">IF($K698="U – needs rule",$P698,0)</f>
        <v>0</v>
      </c>
      <c r="X698" s="64" t="n">
        <f aca="false">IF($K698="No Start (attainment only)",$P698,0)</f>
        <v>0</v>
      </c>
    </row>
    <row r="699" customFormat="false" ht="15" hidden="false" customHeight="false" outlineLevel="0" collapsed="false">
      <c r="A699" s="60"/>
      <c r="B699" s="61" t="str">
        <f aca="false">IF($M699=0,"",INDEX(Classes!$E$6:$E$420,$M699))</f>
        <v/>
      </c>
      <c r="C699" s="62" t="str">
        <f aca="false">IF($M699=0,"",INDEX(Classes!$H$6:$H$420,$M699))</f>
        <v/>
      </c>
      <c r="D699" s="61" t="str">
        <f aca="false">IF($M699=0,"",INDEX(Classes!$B$6:$B$420,$M699))</f>
        <v/>
      </c>
      <c r="E699" s="61" t="str">
        <f aca="false">IF($M699=0,"",INDEX(Classes!$C$6:$C$420,$M699))</f>
        <v/>
      </c>
      <c r="F699" s="63"/>
      <c r="G699" s="63"/>
      <c r="H699" s="60"/>
      <c r="I699" s="60"/>
      <c r="J699" s="63"/>
      <c r="K699" s="61" t="str">
        <f aca="false">IF($P699=0,"",IF($F699="Baseline","— Baseline",IF($O699=0,"No result",IF($N699=0,"No Start (attainment only)",IF(OR($N699=1,$O699=1),"U – needs rule",INDEX(MxBody,MATCH($I699,MxCurr,0),MATCH($H699,MxStart,0)))))))</f>
        <v/>
      </c>
      <c r="L699" s="62" t="str">
        <f aca="false">IF(COUNTA($A699,$F699,$G699,$H699,$I699,$J699)=0,"",IF($M699=0,"✖ كود الصف غير موجود",IF(ISNA(MATCH($F699,Lists!$A$2:$A$5,0)),"✖ الفترة غير صحيحة",IF(ISNA(MATCH($G699,Lists!$B$2:$B$7,0)),"✖ المجموعة غير صحيحة",IF(NOT(OR($H699="",$N699&gt;0)),"✖ Start غير صحيح",IF(NOT(OR($I699="",$I699="NR",$O699&gt;0)),"✖ Current غير صحيح",IF(NOT(IF(ISNUMBER($J699),AND($J699&gt;=0,$J699=INT($J699)),FALSE())),"✖ العدد يجب أن يكون صحيحًا ≥ 0",IF(AND($F699="Baseline",$H699&lt;&gt;""),"⚠ Baseline: Start لا يدخل في التقدم",IF($K699="No Start (attainment only)","ℹ تحصيل فقط (بدون Start)",IF($K699="U – needs rule","ℹ حالة U تحتاج قاعدة معتمدة",IF($K699="No result","ℹ بدون نتيجة (يُستبعد من التحصيل)","OK")))))))))))</f>
        <v/>
      </c>
      <c r="M699" s="64" t="n">
        <f aca="false">IF($A699="",0,IFERROR(MATCH($A699,Classes!$A$6:$A$420,0),0))</f>
        <v>0</v>
      </c>
      <c r="N699" s="64" t="n">
        <f aca="false">IF($H699="",0,IFERROR(MATCH($H699,GradeList,0),0))</f>
        <v>0</v>
      </c>
      <c r="O699" s="64" t="n">
        <f aca="false">IF(OR($I699="",$I699="NR"),0,IFERROR(MATCH($I699,GradeList,0),0))</f>
        <v>0</v>
      </c>
      <c r="P699" s="64" t="n">
        <f aca="false">IF(AND($M699&gt;0,ISNUMBER(MATCH($F699,Lists!$A$2:$A$5,0)),ISNUMBER(MATCH($G699,Lists!$B$2:$B$7,0)),OR($H699="",$N699&gt;0),OR($I699="",$I699="NR",$O699&gt;0),IF(ISNUMBER($J699),AND($J699&gt;=0,$J699=INT($J699)),FALSE())),$J699,0)</f>
        <v>0</v>
      </c>
      <c r="Q699" s="64" t="n">
        <f aca="false">IF(AND($P699&gt;0,$O699&gt;0),$P699,0)</f>
        <v>0</v>
      </c>
      <c r="R699" s="64" t="n">
        <f aca="false">IF(AND($Q699&gt;0,$O699&gt;=AtRank),$Q699,0)</f>
        <v>0</v>
      </c>
      <c r="S699" s="64" t="n">
        <f aca="false">IF(AND($Q699&gt;0,$O699&gt;=AboveRank),$Q699,0)</f>
        <v>0</v>
      </c>
      <c r="T699" s="64" t="n">
        <f aca="false">IF($K699="Less",$P699,0)</f>
        <v>0</v>
      </c>
      <c r="U699" s="64" t="n">
        <f aca="false">IF($K699="Expected",$P699,0)</f>
        <v>0</v>
      </c>
      <c r="V699" s="64" t="n">
        <f aca="false">IF($K699="Better",$P699,0)</f>
        <v>0</v>
      </c>
      <c r="W699" s="64" t="n">
        <f aca="false">IF($K699="U – needs rule",$P699,0)</f>
        <v>0</v>
      </c>
      <c r="X699" s="64" t="n">
        <f aca="false">IF($K699="No Start (attainment only)",$P699,0)</f>
        <v>0</v>
      </c>
    </row>
    <row r="700" customFormat="false" ht="15" hidden="false" customHeight="false" outlineLevel="0" collapsed="false">
      <c r="A700" s="60"/>
      <c r="B700" s="61" t="str">
        <f aca="false">IF($M700=0,"",INDEX(Classes!$E$6:$E$420,$M700))</f>
        <v/>
      </c>
      <c r="C700" s="62" t="str">
        <f aca="false">IF($M700=0,"",INDEX(Classes!$H$6:$H$420,$M700))</f>
        <v/>
      </c>
      <c r="D700" s="61" t="str">
        <f aca="false">IF($M700=0,"",INDEX(Classes!$B$6:$B$420,$M700))</f>
        <v/>
      </c>
      <c r="E700" s="61" t="str">
        <f aca="false">IF($M700=0,"",INDEX(Classes!$C$6:$C$420,$M700))</f>
        <v/>
      </c>
      <c r="F700" s="63"/>
      <c r="G700" s="63"/>
      <c r="H700" s="60"/>
      <c r="I700" s="60"/>
      <c r="J700" s="63"/>
      <c r="K700" s="61" t="str">
        <f aca="false">IF($P700=0,"",IF($F700="Baseline","— Baseline",IF($O700=0,"No result",IF($N700=0,"No Start (attainment only)",IF(OR($N700=1,$O700=1),"U – needs rule",INDEX(MxBody,MATCH($I700,MxCurr,0),MATCH($H700,MxStart,0)))))))</f>
        <v/>
      </c>
      <c r="L700" s="62" t="str">
        <f aca="false">IF(COUNTA($A700,$F700,$G700,$H700,$I700,$J700)=0,"",IF($M700=0,"✖ كود الصف غير موجود",IF(ISNA(MATCH($F700,Lists!$A$2:$A$5,0)),"✖ الفترة غير صحيحة",IF(ISNA(MATCH($G700,Lists!$B$2:$B$7,0)),"✖ المجموعة غير صحيحة",IF(NOT(OR($H700="",$N700&gt;0)),"✖ Start غير صحيح",IF(NOT(OR($I700="",$I700="NR",$O700&gt;0)),"✖ Current غير صحيح",IF(NOT(IF(ISNUMBER($J700),AND($J700&gt;=0,$J700=INT($J700)),FALSE())),"✖ العدد يجب أن يكون صحيحًا ≥ 0",IF(AND($F700="Baseline",$H700&lt;&gt;""),"⚠ Baseline: Start لا يدخل في التقدم",IF($K700="No Start (attainment only)","ℹ تحصيل فقط (بدون Start)",IF($K700="U – needs rule","ℹ حالة U تحتاج قاعدة معتمدة",IF($K700="No result","ℹ بدون نتيجة (يُستبعد من التحصيل)","OK")))))))))))</f>
        <v/>
      </c>
      <c r="M700" s="64" t="n">
        <f aca="false">IF($A700="",0,IFERROR(MATCH($A700,Classes!$A$6:$A$420,0),0))</f>
        <v>0</v>
      </c>
      <c r="N700" s="64" t="n">
        <f aca="false">IF($H700="",0,IFERROR(MATCH($H700,GradeList,0),0))</f>
        <v>0</v>
      </c>
      <c r="O700" s="64" t="n">
        <f aca="false">IF(OR($I700="",$I700="NR"),0,IFERROR(MATCH($I700,GradeList,0),0))</f>
        <v>0</v>
      </c>
      <c r="P700" s="64" t="n">
        <f aca="false">IF(AND($M700&gt;0,ISNUMBER(MATCH($F700,Lists!$A$2:$A$5,0)),ISNUMBER(MATCH($G700,Lists!$B$2:$B$7,0)),OR($H700="",$N700&gt;0),OR($I700="",$I700="NR",$O700&gt;0),IF(ISNUMBER($J700),AND($J700&gt;=0,$J700=INT($J700)),FALSE())),$J700,0)</f>
        <v>0</v>
      </c>
      <c r="Q700" s="64" t="n">
        <f aca="false">IF(AND($P700&gt;0,$O700&gt;0),$P700,0)</f>
        <v>0</v>
      </c>
      <c r="R700" s="64" t="n">
        <f aca="false">IF(AND($Q700&gt;0,$O700&gt;=AtRank),$Q700,0)</f>
        <v>0</v>
      </c>
      <c r="S700" s="64" t="n">
        <f aca="false">IF(AND($Q700&gt;0,$O700&gt;=AboveRank),$Q700,0)</f>
        <v>0</v>
      </c>
      <c r="T700" s="64" t="n">
        <f aca="false">IF($K700="Less",$P700,0)</f>
        <v>0</v>
      </c>
      <c r="U700" s="64" t="n">
        <f aca="false">IF($K700="Expected",$P700,0)</f>
        <v>0</v>
      </c>
      <c r="V700" s="64" t="n">
        <f aca="false">IF($K700="Better",$P700,0)</f>
        <v>0</v>
      </c>
      <c r="W700" s="64" t="n">
        <f aca="false">IF($K700="U – needs rule",$P700,0)</f>
        <v>0</v>
      </c>
      <c r="X700" s="64" t="n">
        <f aca="false">IF($K700="No Start (attainment only)",$P700,0)</f>
        <v>0</v>
      </c>
    </row>
    <row r="701" customFormat="false" ht="15" hidden="false" customHeight="false" outlineLevel="0" collapsed="false">
      <c r="A701" s="60"/>
      <c r="B701" s="61" t="str">
        <f aca="false">IF($M701=0,"",INDEX(Classes!$E$6:$E$420,$M701))</f>
        <v/>
      </c>
      <c r="C701" s="62" t="str">
        <f aca="false">IF($M701=0,"",INDEX(Classes!$H$6:$H$420,$M701))</f>
        <v/>
      </c>
      <c r="D701" s="61" t="str">
        <f aca="false">IF($M701=0,"",INDEX(Classes!$B$6:$B$420,$M701))</f>
        <v/>
      </c>
      <c r="E701" s="61" t="str">
        <f aca="false">IF($M701=0,"",INDEX(Classes!$C$6:$C$420,$M701))</f>
        <v/>
      </c>
      <c r="F701" s="63"/>
      <c r="G701" s="63"/>
      <c r="H701" s="60"/>
      <c r="I701" s="60"/>
      <c r="J701" s="63"/>
      <c r="K701" s="61" t="str">
        <f aca="false">IF($P701=0,"",IF($F701="Baseline","— Baseline",IF($O701=0,"No result",IF($N701=0,"No Start (attainment only)",IF(OR($N701=1,$O701=1),"U – needs rule",INDEX(MxBody,MATCH($I701,MxCurr,0),MATCH($H701,MxStart,0)))))))</f>
        <v/>
      </c>
      <c r="L701" s="62" t="str">
        <f aca="false">IF(COUNTA($A701,$F701,$G701,$H701,$I701,$J701)=0,"",IF($M701=0,"✖ كود الصف غير موجود",IF(ISNA(MATCH($F701,Lists!$A$2:$A$5,0)),"✖ الفترة غير صحيحة",IF(ISNA(MATCH($G701,Lists!$B$2:$B$7,0)),"✖ المجموعة غير صحيحة",IF(NOT(OR($H701="",$N701&gt;0)),"✖ Start غير صحيح",IF(NOT(OR($I701="",$I701="NR",$O701&gt;0)),"✖ Current غير صحيح",IF(NOT(IF(ISNUMBER($J701),AND($J701&gt;=0,$J701=INT($J701)),FALSE())),"✖ العدد يجب أن يكون صحيحًا ≥ 0",IF(AND($F701="Baseline",$H701&lt;&gt;""),"⚠ Baseline: Start لا يدخل في التقدم",IF($K701="No Start (attainment only)","ℹ تحصيل فقط (بدون Start)",IF($K701="U – needs rule","ℹ حالة U تحتاج قاعدة معتمدة",IF($K701="No result","ℹ بدون نتيجة (يُستبعد من التحصيل)","OK")))))))))))</f>
        <v/>
      </c>
      <c r="M701" s="64" t="n">
        <f aca="false">IF($A701="",0,IFERROR(MATCH($A701,Classes!$A$6:$A$420,0),0))</f>
        <v>0</v>
      </c>
      <c r="N701" s="64" t="n">
        <f aca="false">IF($H701="",0,IFERROR(MATCH($H701,GradeList,0),0))</f>
        <v>0</v>
      </c>
      <c r="O701" s="64" t="n">
        <f aca="false">IF(OR($I701="",$I701="NR"),0,IFERROR(MATCH($I701,GradeList,0),0))</f>
        <v>0</v>
      </c>
      <c r="P701" s="64" t="n">
        <f aca="false">IF(AND($M701&gt;0,ISNUMBER(MATCH($F701,Lists!$A$2:$A$5,0)),ISNUMBER(MATCH($G701,Lists!$B$2:$B$7,0)),OR($H701="",$N701&gt;0),OR($I701="",$I701="NR",$O701&gt;0),IF(ISNUMBER($J701),AND($J701&gt;=0,$J701=INT($J701)),FALSE())),$J701,0)</f>
        <v>0</v>
      </c>
      <c r="Q701" s="64" t="n">
        <f aca="false">IF(AND($P701&gt;0,$O701&gt;0),$P701,0)</f>
        <v>0</v>
      </c>
      <c r="R701" s="64" t="n">
        <f aca="false">IF(AND($Q701&gt;0,$O701&gt;=AtRank),$Q701,0)</f>
        <v>0</v>
      </c>
      <c r="S701" s="64" t="n">
        <f aca="false">IF(AND($Q701&gt;0,$O701&gt;=AboveRank),$Q701,0)</f>
        <v>0</v>
      </c>
      <c r="T701" s="64" t="n">
        <f aca="false">IF($K701="Less",$P701,0)</f>
        <v>0</v>
      </c>
      <c r="U701" s="64" t="n">
        <f aca="false">IF($K701="Expected",$P701,0)</f>
        <v>0</v>
      </c>
      <c r="V701" s="64" t="n">
        <f aca="false">IF($K701="Better",$P701,0)</f>
        <v>0</v>
      </c>
      <c r="W701" s="64" t="n">
        <f aca="false">IF($K701="U – needs rule",$P701,0)</f>
        <v>0</v>
      </c>
      <c r="X701" s="64" t="n">
        <f aca="false">IF($K701="No Start (attainment only)",$P701,0)</f>
        <v>0</v>
      </c>
    </row>
    <row r="702" customFormat="false" ht="15" hidden="false" customHeight="false" outlineLevel="0" collapsed="false">
      <c r="A702" s="60"/>
      <c r="B702" s="61" t="str">
        <f aca="false">IF($M702=0,"",INDEX(Classes!$E$6:$E$420,$M702))</f>
        <v/>
      </c>
      <c r="C702" s="62" t="str">
        <f aca="false">IF($M702=0,"",INDEX(Classes!$H$6:$H$420,$M702))</f>
        <v/>
      </c>
      <c r="D702" s="61" t="str">
        <f aca="false">IF($M702=0,"",INDEX(Classes!$B$6:$B$420,$M702))</f>
        <v/>
      </c>
      <c r="E702" s="61" t="str">
        <f aca="false">IF($M702=0,"",INDEX(Classes!$C$6:$C$420,$M702))</f>
        <v/>
      </c>
      <c r="F702" s="63"/>
      <c r="G702" s="63"/>
      <c r="H702" s="60"/>
      <c r="I702" s="60"/>
      <c r="J702" s="63"/>
      <c r="K702" s="61" t="str">
        <f aca="false">IF($P702=0,"",IF($F702="Baseline","— Baseline",IF($O702=0,"No result",IF($N702=0,"No Start (attainment only)",IF(OR($N702=1,$O702=1),"U – needs rule",INDEX(MxBody,MATCH($I702,MxCurr,0),MATCH($H702,MxStart,0)))))))</f>
        <v/>
      </c>
      <c r="L702" s="62" t="str">
        <f aca="false">IF(COUNTA($A702,$F702,$G702,$H702,$I702,$J702)=0,"",IF($M702=0,"✖ كود الصف غير موجود",IF(ISNA(MATCH($F702,Lists!$A$2:$A$5,0)),"✖ الفترة غير صحيحة",IF(ISNA(MATCH($G702,Lists!$B$2:$B$7,0)),"✖ المجموعة غير صحيحة",IF(NOT(OR($H702="",$N702&gt;0)),"✖ Start غير صحيح",IF(NOT(OR($I702="",$I702="NR",$O702&gt;0)),"✖ Current غير صحيح",IF(NOT(IF(ISNUMBER($J702),AND($J702&gt;=0,$J702=INT($J702)),FALSE())),"✖ العدد يجب أن يكون صحيحًا ≥ 0",IF(AND($F702="Baseline",$H702&lt;&gt;""),"⚠ Baseline: Start لا يدخل في التقدم",IF($K702="No Start (attainment only)","ℹ تحصيل فقط (بدون Start)",IF($K702="U – needs rule","ℹ حالة U تحتاج قاعدة معتمدة",IF($K702="No result","ℹ بدون نتيجة (يُستبعد من التحصيل)","OK")))))))))))</f>
        <v/>
      </c>
      <c r="M702" s="64" t="n">
        <f aca="false">IF($A702="",0,IFERROR(MATCH($A702,Classes!$A$6:$A$420,0),0))</f>
        <v>0</v>
      </c>
      <c r="N702" s="64" t="n">
        <f aca="false">IF($H702="",0,IFERROR(MATCH($H702,GradeList,0),0))</f>
        <v>0</v>
      </c>
      <c r="O702" s="64" t="n">
        <f aca="false">IF(OR($I702="",$I702="NR"),0,IFERROR(MATCH($I702,GradeList,0),0))</f>
        <v>0</v>
      </c>
      <c r="P702" s="64" t="n">
        <f aca="false">IF(AND($M702&gt;0,ISNUMBER(MATCH($F702,Lists!$A$2:$A$5,0)),ISNUMBER(MATCH($G702,Lists!$B$2:$B$7,0)),OR($H702="",$N702&gt;0),OR($I702="",$I702="NR",$O702&gt;0),IF(ISNUMBER($J702),AND($J702&gt;=0,$J702=INT($J702)),FALSE())),$J702,0)</f>
        <v>0</v>
      </c>
      <c r="Q702" s="64" t="n">
        <f aca="false">IF(AND($P702&gt;0,$O702&gt;0),$P702,0)</f>
        <v>0</v>
      </c>
      <c r="R702" s="64" t="n">
        <f aca="false">IF(AND($Q702&gt;0,$O702&gt;=AtRank),$Q702,0)</f>
        <v>0</v>
      </c>
      <c r="S702" s="64" t="n">
        <f aca="false">IF(AND($Q702&gt;0,$O702&gt;=AboveRank),$Q702,0)</f>
        <v>0</v>
      </c>
      <c r="T702" s="64" t="n">
        <f aca="false">IF($K702="Less",$P702,0)</f>
        <v>0</v>
      </c>
      <c r="U702" s="64" t="n">
        <f aca="false">IF($K702="Expected",$P702,0)</f>
        <v>0</v>
      </c>
      <c r="V702" s="64" t="n">
        <f aca="false">IF($K702="Better",$P702,0)</f>
        <v>0</v>
      </c>
      <c r="W702" s="64" t="n">
        <f aca="false">IF($K702="U – needs rule",$P702,0)</f>
        <v>0</v>
      </c>
      <c r="X702" s="64" t="n">
        <f aca="false">IF($K702="No Start (attainment only)",$P702,0)</f>
        <v>0</v>
      </c>
    </row>
    <row r="703" customFormat="false" ht="15" hidden="false" customHeight="false" outlineLevel="0" collapsed="false">
      <c r="A703" s="60"/>
      <c r="B703" s="61" t="str">
        <f aca="false">IF($M703=0,"",INDEX(Classes!$E$6:$E$420,$M703))</f>
        <v/>
      </c>
      <c r="C703" s="62" t="str">
        <f aca="false">IF($M703=0,"",INDEX(Classes!$H$6:$H$420,$M703))</f>
        <v/>
      </c>
      <c r="D703" s="61" t="str">
        <f aca="false">IF($M703=0,"",INDEX(Classes!$B$6:$B$420,$M703))</f>
        <v/>
      </c>
      <c r="E703" s="61" t="str">
        <f aca="false">IF($M703=0,"",INDEX(Classes!$C$6:$C$420,$M703))</f>
        <v/>
      </c>
      <c r="F703" s="63"/>
      <c r="G703" s="63"/>
      <c r="H703" s="60"/>
      <c r="I703" s="60"/>
      <c r="J703" s="63"/>
      <c r="K703" s="61" t="str">
        <f aca="false">IF($P703=0,"",IF($F703="Baseline","— Baseline",IF($O703=0,"No result",IF($N703=0,"No Start (attainment only)",IF(OR($N703=1,$O703=1),"U – needs rule",INDEX(MxBody,MATCH($I703,MxCurr,0),MATCH($H703,MxStart,0)))))))</f>
        <v/>
      </c>
      <c r="L703" s="62" t="str">
        <f aca="false">IF(COUNTA($A703,$F703,$G703,$H703,$I703,$J703)=0,"",IF($M703=0,"✖ كود الصف غير موجود",IF(ISNA(MATCH($F703,Lists!$A$2:$A$5,0)),"✖ الفترة غير صحيحة",IF(ISNA(MATCH($G703,Lists!$B$2:$B$7,0)),"✖ المجموعة غير صحيحة",IF(NOT(OR($H703="",$N703&gt;0)),"✖ Start غير صحيح",IF(NOT(OR($I703="",$I703="NR",$O703&gt;0)),"✖ Current غير صحيح",IF(NOT(IF(ISNUMBER($J703),AND($J703&gt;=0,$J703=INT($J703)),FALSE())),"✖ العدد يجب أن يكون صحيحًا ≥ 0",IF(AND($F703="Baseline",$H703&lt;&gt;""),"⚠ Baseline: Start لا يدخل في التقدم",IF($K703="No Start (attainment only)","ℹ تحصيل فقط (بدون Start)",IF($K703="U – needs rule","ℹ حالة U تحتاج قاعدة معتمدة",IF($K703="No result","ℹ بدون نتيجة (يُستبعد من التحصيل)","OK")))))))))))</f>
        <v/>
      </c>
      <c r="M703" s="64" t="n">
        <f aca="false">IF($A703="",0,IFERROR(MATCH($A703,Classes!$A$6:$A$420,0),0))</f>
        <v>0</v>
      </c>
      <c r="N703" s="64" t="n">
        <f aca="false">IF($H703="",0,IFERROR(MATCH($H703,GradeList,0),0))</f>
        <v>0</v>
      </c>
      <c r="O703" s="64" t="n">
        <f aca="false">IF(OR($I703="",$I703="NR"),0,IFERROR(MATCH($I703,GradeList,0),0))</f>
        <v>0</v>
      </c>
      <c r="P703" s="64" t="n">
        <f aca="false">IF(AND($M703&gt;0,ISNUMBER(MATCH($F703,Lists!$A$2:$A$5,0)),ISNUMBER(MATCH($G703,Lists!$B$2:$B$7,0)),OR($H703="",$N703&gt;0),OR($I703="",$I703="NR",$O703&gt;0),IF(ISNUMBER($J703),AND($J703&gt;=0,$J703=INT($J703)),FALSE())),$J703,0)</f>
        <v>0</v>
      </c>
      <c r="Q703" s="64" t="n">
        <f aca="false">IF(AND($P703&gt;0,$O703&gt;0),$P703,0)</f>
        <v>0</v>
      </c>
      <c r="R703" s="64" t="n">
        <f aca="false">IF(AND($Q703&gt;0,$O703&gt;=AtRank),$Q703,0)</f>
        <v>0</v>
      </c>
      <c r="S703" s="64" t="n">
        <f aca="false">IF(AND($Q703&gt;0,$O703&gt;=AboveRank),$Q703,0)</f>
        <v>0</v>
      </c>
      <c r="T703" s="64" t="n">
        <f aca="false">IF($K703="Less",$P703,0)</f>
        <v>0</v>
      </c>
      <c r="U703" s="64" t="n">
        <f aca="false">IF($K703="Expected",$P703,0)</f>
        <v>0</v>
      </c>
      <c r="V703" s="64" t="n">
        <f aca="false">IF($K703="Better",$P703,0)</f>
        <v>0</v>
      </c>
      <c r="W703" s="64" t="n">
        <f aca="false">IF($K703="U – needs rule",$P703,0)</f>
        <v>0</v>
      </c>
      <c r="X703" s="64" t="n">
        <f aca="false">IF($K703="No Start (attainment only)",$P703,0)</f>
        <v>0</v>
      </c>
    </row>
    <row r="704" customFormat="false" ht="15" hidden="false" customHeight="false" outlineLevel="0" collapsed="false">
      <c r="A704" s="60"/>
      <c r="B704" s="61" t="str">
        <f aca="false">IF($M704=0,"",INDEX(Classes!$E$6:$E$420,$M704))</f>
        <v/>
      </c>
      <c r="C704" s="62" t="str">
        <f aca="false">IF($M704=0,"",INDEX(Classes!$H$6:$H$420,$M704))</f>
        <v/>
      </c>
      <c r="D704" s="61" t="str">
        <f aca="false">IF($M704=0,"",INDEX(Classes!$B$6:$B$420,$M704))</f>
        <v/>
      </c>
      <c r="E704" s="61" t="str">
        <f aca="false">IF($M704=0,"",INDEX(Classes!$C$6:$C$420,$M704))</f>
        <v/>
      </c>
      <c r="F704" s="63"/>
      <c r="G704" s="63"/>
      <c r="H704" s="60"/>
      <c r="I704" s="60"/>
      <c r="J704" s="63"/>
      <c r="K704" s="61" t="str">
        <f aca="false">IF($P704=0,"",IF($F704="Baseline","— Baseline",IF($O704=0,"No result",IF($N704=0,"No Start (attainment only)",IF(OR($N704=1,$O704=1),"U – needs rule",INDEX(MxBody,MATCH($I704,MxCurr,0),MATCH($H704,MxStart,0)))))))</f>
        <v/>
      </c>
      <c r="L704" s="62" t="str">
        <f aca="false">IF(COUNTA($A704,$F704,$G704,$H704,$I704,$J704)=0,"",IF($M704=0,"✖ كود الصف غير موجود",IF(ISNA(MATCH($F704,Lists!$A$2:$A$5,0)),"✖ الفترة غير صحيحة",IF(ISNA(MATCH($G704,Lists!$B$2:$B$7,0)),"✖ المجموعة غير صحيحة",IF(NOT(OR($H704="",$N704&gt;0)),"✖ Start غير صحيح",IF(NOT(OR($I704="",$I704="NR",$O704&gt;0)),"✖ Current غير صحيح",IF(NOT(IF(ISNUMBER($J704),AND($J704&gt;=0,$J704=INT($J704)),FALSE())),"✖ العدد يجب أن يكون صحيحًا ≥ 0",IF(AND($F704="Baseline",$H704&lt;&gt;""),"⚠ Baseline: Start لا يدخل في التقدم",IF($K704="No Start (attainment only)","ℹ تحصيل فقط (بدون Start)",IF($K704="U – needs rule","ℹ حالة U تحتاج قاعدة معتمدة",IF($K704="No result","ℹ بدون نتيجة (يُستبعد من التحصيل)","OK")))))))))))</f>
        <v/>
      </c>
      <c r="M704" s="64" t="n">
        <f aca="false">IF($A704="",0,IFERROR(MATCH($A704,Classes!$A$6:$A$420,0),0))</f>
        <v>0</v>
      </c>
      <c r="N704" s="64" t="n">
        <f aca="false">IF($H704="",0,IFERROR(MATCH($H704,GradeList,0),0))</f>
        <v>0</v>
      </c>
      <c r="O704" s="64" t="n">
        <f aca="false">IF(OR($I704="",$I704="NR"),0,IFERROR(MATCH($I704,GradeList,0),0))</f>
        <v>0</v>
      </c>
      <c r="P704" s="64" t="n">
        <f aca="false">IF(AND($M704&gt;0,ISNUMBER(MATCH($F704,Lists!$A$2:$A$5,0)),ISNUMBER(MATCH($G704,Lists!$B$2:$B$7,0)),OR($H704="",$N704&gt;0),OR($I704="",$I704="NR",$O704&gt;0),IF(ISNUMBER($J704),AND($J704&gt;=0,$J704=INT($J704)),FALSE())),$J704,0)</f>
        <v>0</v>
      </c>
      <c r="Q704" s="64" t="n">
        <f aca="false">IF(AND($P704&gt;0,$O704&gt;0),$P704,0)</f>
        <v>0</v>
      </c>
      <c r="R704" s="64" t="n">
        <f aca="false">IF(AND($Q704&gt;0,$O704&gt;=AtRank),$Q704,0)</f>
        <v>0</v>
      </c>
      <c r="S704" s="64" t="n">
        <f aca="false">IF(AND($Q704&gt;0,$O704&gt;=AboveRank),$Q704,0)</f>
        <v>0</v>
      </c>
      <c r="T704" s="64" t="n">
        <f aca="false">IF($K704="Less",$P704,0)</f>
        <v>0</v>
      </c>
      <c r="U704" s="64" t="n">
        <f aca="false">IF($K704="Expected",$P704,0)</f>
        <v>0</v>
      </c>
      <c r="V704" s="64" t="n">
        <f aca="false">IF($K704="Better",$P704,0)</f>
        <v>0</v>
      </c>
      <c r="W704" s="64" t="n">
        <f aca="false">IF($K704="U – needs rule",$P704,0)</f>
        <v>0</v>
      </c>
      <c r="X704" s="64" t="n">
        <f aca="false">IF($K704="No Start (attainment only)",$P704,0)</f>
        <v>0</v>
      </c>
    </row>
    <row r="705" customFormat="false" ht="15" hidden="false" customHeight="false" outlineLevel="0" collapsed="false">
      <c r="A705" s="60"/>
      <c r="B705" s="61" t="str">
        <f aca="false">IF($M705=0,"",INDEX(Classes!$E$6:$E$420,$M705))</f>
        <v/>
      </c>
      <c r="C705" s="62" t="str">
        <f aca="false">IF($M705=0,"",INDEX(Classes!$H$6:$H$420,$M705))</f>
        <v/>
      </c>
      <c r="D705" s="61" t="str">
        <f aca="false">IF($M705=0,"",INDEX(Classes!$B$6:$B$420,$M705))</f>
        <v/>
      </c>
      <c r="E705" s="61" t="str">
        <f aca="false">IF($M705=0,"",INDEX(Classes!$C$6:$C$420,$M705))</f>
        <v/>
      </c>
      <c r="F705" s="63"/>
      <c r="G705" s="63"/>
      <c r="H705" s="60"/>
      <c r="I705" s="60"/>
      <c r="J705" s="63"/>
      <c r="K705" s="61" t="str">
        <f aca="false">IF($P705=0,"",IF($F705="Baseline","— Baseline",IF($O705=0,"No result",IF($N705=0,"No Start (attainment only)",IF(OR($N705=1,$O705=1),"U – needs rule",INDEX(MxBody,MATCH($I705,MxCurr,0),MATCH($H705,MxStart,0)))))))</f>
        <v/>
      </c>
      <c r="L705" s="62" t="str">
        <f aca="false">IF(COUNTA($A705,$F705,$G705,$H705,$I705,$J705)=0,"",IF($M705=0,"✖ كود الصف غير موجود",IF(ISNA(MATCH($F705,Lists!$A$2:$A$5,0)),"✖ الفترة غير صحيحة",IF(ISNA(MATCH($G705,Lists!$B$2:$B$7,0)),"✖ المجموعة غير صحيحة",IF(NOT(OR($H705="",$N705&gt;0)),"✖ Start غير صحيح",IF(NOT(OR($I705="",$I705="NR",$O705&gt;0)),"✖ Current غير صحيح",IF(NOT(IF(ISNUMBER($J705),AND($J705&gt;=0,$J705=INT($J705)),FALSE())),"✖ العدد يجب أن يكون صحيحًا ≥ 0",IF(AND($F705="Baseline",$H705&lt;&gt;""),"⚠ Baseline: Start لا يدخل في التقدم",IF($K705="No Start (attainment only)","ℹ تحصيل فقط (بدون Start)",IF($K705="U – needs rule","ℹ حالة U تحتاج قاعدة معتمدة",IF($K705="No result","ℹ بدون نتيجة (يُستبعد من التحصيل)","OK")))))))))))</f>
        <v/>
      </c>
      <c r="M705" s="64" t="n">
        <f aca="false">IF($A705="",0,IFERROR(MATCH($A705,Classes!$A$6:$A$420,0),0))</f>
        <v>0</v>
      </c>
      <c r="N705" s="64" t="n">
        <f aca="false">IF($H705="",0,IFERROR(MATCH($H705,GradeList,0),0))</f>
        <v>0</v>
      </c>
      <c r="O705" s="64" t="n">
        <f aca="false">IF(OR($I705="",$I705="NR"),0,IFERROR(MATCH($I705,GradeList,0),0))</f>
        <v>0</v>
      </c>
      <c r="P705" s="64" t="n">
        <f aca="false">IF(AND($M705&gt;0,ISNUMBER(MATCH($F705,Lists!$A$2:$A$5,0)),ISNUMBER(MATCH($G705,Lists!$B$2:$B$7,0)),OR($H705="",$N705&gt;0),OR($I705="",$I705="NR",$O705&gt;0),IF(ISNUMBER($J705),AND($J705&gt;=0,$J705=INT($J705)),FALSE())),$J705,0)</f>
        <v>0</v>
      </c>
      <c r="Q705" s="64" t="n">
        <f aca="false">IF(AND($P705&gt;0,$O705&gt;0),$P705,0)</f>
        <v>0</v>
      </c>
      <c r="R705" s="64" t="n">
        <f aca="false">IF(AND($Q705&gt;0,$O705&gt;=AtRank),$Q705,0)</f>
        <v>0</v>
      </c>
      <c r="S705" s="64" t="n">
        <f aca="false">IF(AND($Q705&gt;0,$O705&gt;=AboveRank),$Q705,0)</f>
        <v>0</v>
      </c>
      <c r="T705" s="64" t="n">
        <f aca="false">IF($K705="Less",$P705,0)</f>
        <v>0</v>
      </c>
      <c r="U705" s="64" t="n">
        <f aca="false">IF($K705="Expected",$P705,0)</f>
        <v>0</v>
      </c>
      <c r="V705" s="64" t="n">
        <f aca="false">IF($K705="Better",$P705,0)</f>
        <v>0</v>
      </c>
      <c r="W705" s="64" t="n">
        <f aca="false">IF($K705="U – needs rule",$P705,0)</f>
        <v>0</v>
      </c>
      <c r="X705" s="64" t="n">
        <f aca="false">IF($K705="No Start (attainment only)",$P705,0)</f>
        <v>0</v>
      </c>
    </row>
    <row r="706" customFormat="false" ht="15" hidden="false" customHeight="false" outlineLevel="0" collapsed="false">
      <c r="A706" s="60"/>
      <c r="B706" s="61" t="str">
        <f aca="false">IF($M706=0,"",INDEX(Classes!$E$6:$E$420,$M706))</f>
        <v/>
      </c>
      <c r="C706" s="62" t="str">
        <f aca="false">IF($M706=0,"",INDEX(Classes!$H$6:$H$420,$M706))</f>
        <v/>
      </c>
      <c r="D706" s="61" t="str">
        <f aca="false">IF($M706=0,"",INDEX(Classes!$B$6:$B$420,$M706))</f>
        <v/>
      </c>
      <c r="E706" s="61" t="str">
        <f aca="false">IF($M706=0,"",INDEX(Classes!$C$6:$C$420,$M706))</f>
        <v/>
      </c>
      <c r="F706" s="63"/>
      <c r="G706" s="63"/>
      <c r="H706" s="60"/>
      <c r="I706" s="60"/>
      <c r="J706" s="63"/>
      <c r="K706" s="61" t="str">
        <f aca="false">IF($P706=0,"",IF($F706="Baseline","— Baseline",IF($O706=0,"No result",IF($N706=0,"No Start (attainment only)",IF(OR($N706=1,$O706=1),"U – needs rule",INDEX(MxBody,MATCH($I706,MxCurr,0),MATCH($H706,MxStart,0)))))))</f>
        <v/>
      </c>
      <c r="L706" s="62" t="str">
        <f aca="false">IF(COUNTA($A706,$F706,$G706,$H706,$I706,$J706)=0,"",IF($M706=0,"✖ كود الصف غير موجود",IF(ISNA(MATCH($F706,Lists!$A$2:$A$5,0)),"✖ الفترة غير صحيحة",IF(ISNA(MATCH($G706,Lists!$B$2:$B$7,0)),"✖ المجموعة غير صحيحة",IF(NOT(OR($H706="",$N706&gt;0)),"✖ Start غير صحيح",IF(NOT(OR($I706="",$I706="NR",$O706&gt;0)),"✖ Current غير صحيح",IF(NOT(IF(ISNUMBER($J706),AND($J706&gt;=0,$J706=INT($J706)),FALSE())),"✖ العدد يجب أن يكون صحيحًا ≥ 0",IF(AND($F706="Baseline",$H706&lt;&gt;""),"⚠ Baseline: Start لا يدخل في التقدم",IF($K706="No Start (attainment only)","ℹ تحصيل فقط (بدون Start)",IF($K706="U – needs rule","ℹ حالة U تحتاج قاعدة معتمدة",IF($K706="No result","ℹ بدون نتيجة (يُستبعد من التحصيل)","OK")))))))))))</f>
        <v/>
      </c>
      <c r="M706" s="64" t="n">
        <f aca="false">IF($A706="",0,IFERROR(MATCH($A706,Classes!$A$6:$A$420,0),0))</f>
        <v>0</v>
      </c>
      <c r="N706" s="64" t="n">
        <f aca="false">IF($H706="",0,IFERROR(MATCH($H706,GradeList,0),0))</f>
        <v>0</v>
      </c>
      <c r="O706" s="64" t="n">
        <f aca="false">IF(OR($I706="",$I706="NR"),0,IFERROR(MATCH($I706,GradeList,0),0))</f>
        <v>0</v>
      </c>
      <c r="P706" s="64" t="n">
        <f aca="false">IF(AND($M706&gt;0,ISNUMBER(MATCH($F706,Lists!$A$2:$A$5,0)),ISNUMBER(MATCH($G706,Lists!$B$2:$B$7,0)),OR($H706="",$N706&gt;0),OR($I706="",$I706="NR",$O706&gt;0),IF(ISNUMBER($J706),AND($J706&gt;=0,$J706=INT($J706)),FALSE())),$J706,0)</f>
        <v>0</v>
      </c>
      <c r="Q706" s="64" t="n">
        <f aca="false">IF(AND($P706&gt;0,$O706&gt;0),$P706,0)</f>
        <v>0</v>
      </c>
      <c r="R706" s="64" t="n">
        <f aca="false">IF(AND($Q706&gt;0,$O706&gt;=AtRank),$Q706,0)</f>
        <v>0</v>
      </c>
      <c r="S706" s="64" t="n">
        <f aca="false">IF(AND($Q706&gt;0,$O706&gt;=AboveRank),$Q706,0)</f>
        <v>0</v>
      </c>
      <c r="T706" s="64" t="n">
        <f aca="false">IF($K706="Less",$P706,0)</f>
        <v>0</v>
      </c>
      <c r="U706" s="64" t="n">
        <f aca="false">IF($K706="Expected",$P706,0)</f>
        <v>0</v>
      </c>
      <c r="V706" s="64" t="n">
        <f aca="false">IF($K706="Better",$P706,0)</f>
        <v>0</v>
      </c>
      <c r="W706" s="64" t="n">
        <f aca="false">IF($K706="U – needs rule",$P706,0)</f>
        <v>0</v>
      </c>
      <c r="X706" s="64" t="n">
        <f aca="false">IF($K706="No Start (attainment only)",$P706,0)</f>
        <v>0</v>
      </c>
    </row>
    <row r="707" customFormat="false" ht="15" hidden="false" customHeight="false" outlineLevel="0" collapsed="false">
      <c r="A707" s="60"/>
      <c r="B707" s="61" t="str">
        <f aca="false">IF($M707=0,"",INDEX(Classes!$E$6:$E$420,$M707))</f>
        <v/>
      </c>
      <c r="C707" s="62" t="str">
        <f aca="false">IF($M707=0,"",INDEX(Classes!$H$6:$H$420,$M707))</f>
        <v/>
      </c>
      <c r="D707" s="61" t="str">
        <f aca="false">IF($M707=0,"",INDEX(Classes!$B$6:$B$420,$M707))</f>
        <v/>
      </c>
      <c r="E707" s="61" t="str">
        <f aca="false">IF($M707=0,"",INDEX(Classes!$C$6:$C$420,$M707))</f>
        <v/>
      </c>
      <c r="F707" s="63"/>
      <c r="G707" s="63"/>
      <c r="H707" s="60"/>
      <c r="I707" s="60"/>
      <c r="J707" s="63"/>
      <c r="K707" s="61" t="str">
        <f aca="false">IF($P707=0,"",IF($F707="Baseline","— Baseline",IF($O707=0,"No result",IF($N707=0,"No Start (attainment only)",IF(OR($N707=1,$O707=1),"U – needs rule",INDEX(MxBody,MATCH($I707,MxCurr,0),MATCH($H707,MxStart,0)))))))</f>
        <v/>
      </c>
      <c r="L707" s="62" t="str">
        <f aca="false">IF(COUNTA($A707,$F707,$G707,$H707,$I707,$J707)=0,"",IF($M707=0,"✖ كود الصف غير موجود",IF(ISNA(MATCH($F707,Lists!$A$2:$A$5,0)),"✖ الفترة غير صحيحة",IF(ISNA(MATCH($G707,Lists!$B$2:$B$7,0)),"✖ المجموعة غير صحيحة",IF(NOT(OR($H707="",$N707&gt;0)),"✖ Start غير صحيح",IF(NOT(OR($I707="",$I707="NR",$O707&gt;0)),"✖ Current غير صحيح",IF(NOT(IF(ISNUMBER($J707),AND($J707&gt;=0,$J707=INT($J707)),FALSE())),"✖ العدد يجب أن يكون صحيحًا ≥ 0",IF(AND($F707="Baseline",$H707&lt;&gt;""),"⚠ Baseline: Start لا يدخل في التقدم",IF($K707="No Start (attainment only)","ℹ تحصيل فقط (بدون Start)",IF($K707="U – needs rule","ℹ حالة U تحتاج قاعدة معتمدة",IF($K707="No result","ℹ بدون نتيجة (يُستبعد من التحصيل)","OK")))))))))))</f>
        <v/>
      </c>
      <c r="M707" s="64" t="n">
        <f aca="false">IF($A707="",0,IFERROR(MATCH($A707,Classes!$A$6:$A$420,0),0))</f>
        <v>0</v>
      </c>
      <c r="N707" s="64" t="n">
        <f aca="false">IF($H707="",0,IFERROR(MATCH($H707,GradeList,0),0))</f>
        <v>0</v>
      </c>
      <c r="O707" s="64" t="n">
        <f aca="false">IF(OR($I707="",$I707="NR"),0,IFERROR(MATCH($I707,GradeList,0),0))</f>
        <v>0</v>
      </c>
      <c r="P707" s="64" t="n">
        <f aca="false">IF(AND($M707&gt;0,ISNUMBER(MATCH($F707,Lists!$A$2:$A$5,0)),ISNUMBER(MATCH($G707,Lists!$B$2:$B$7,0)),OR($H707="",$N707&gt;0),OR($I707="",$I707="NR",$O707&gt;0),IF(ISNUMBER($J707),AND($J707&gt;=0,$J707=INT($J707)),FALSE())),$J707,0)</f>
        <v>0</v>
      </c>
      <c r="Q707" s="64" t="n">
        <f aca="false">IF(AND($P707&gt;0,$O707&gt;0),$P707,0)</f>
        <v>0</v>
      </c>
      <c r="R707" s="64" t="n">
        <f aca="false">IF(AND($Q707&gt;0,$O707&gt;=AtRank),$Q707,0)</f>
        <v>0</v>
      </c>
      <c r="S707" s="64" t="n">
        <f aca="false">IF(AND($Q707&gt;0,$O707&gt;=AboveRank),$Q707,0)</f>
        <v>0</v>
      </c>
      <c r="T707" s="64" t="n">
        <f aca="false">IF($K707="Less",$P707,0)</f>
        <v>0</v>
      </c>
      <c r="U707" s="64" t="n">
        <f aca="false">IF($K707="Expected",$P707,0)</f>
        <v>0</v>
      </c>
      <c r="V707" s="64" t="n">
        <f aca="false">IF($K707="Better",$P707,0)</f>
        <v>0</v>
      </c>
      <c r="W707" s="64" t="n">
        <f aca="false">IF($K707="U – needs rule",$P707,0)</f>
        <v>0</v>
      </c>
      <c r="X707" s="64" t="n">
        <f aca="false">IF($K707="No Start (attainment only)",$P707,0)</f>
        <v>0</v>
      </c>
    </row>
    <row r="708" customFormat="false" ht="15" hidden="false" customHeight="false" outlineLevel="0" collapsed="false">
      <c r="A708" s="60"/>
      <c r="B708" s="61" t="str">
        <f aca="false">IF($M708=0,"",INDEX(Classes!$E$6:$E$420,$M708))</f>
        <v/>
      </c>
      <c r="C708" s="62" t="str">
        <f aca="false">IF($M708=0,"",INDEX(Classes!$H$6:$H$420,$M708))</f>
        <v/>
      </c>
      <c r="D708" s="61" t="str">
        <f aca="false">IF($M708=0,"",INDEX(Classes!$B$6:$B$420,$M708))</f>
        <v/>
      </c>
      <c r="E708" s="61" t="str">
        <f aca="false">IF($M708=0,"",INDEX(Classes!$C$6:$C$420,$M708))</f>
        <v/>
      </c>
      <c r="F708" s="63"/>
      <c r="G708" s="63"/>
      <c r="H708" s="60"/>
      <c r="I708" s="60"/>
      <c r="J708" s="63"/>
      <c r="K708" s="61" t="str">
        <f aca="false">IF($P708=0,"",IF($F708="Baseline","— Baseline",IF($O708=0,"No result",IF($N708=0,"No Start (attainment only)",IF(OR($N708=1,$O708=1),"U – needs rule",INDEX(MxBody,MATCH($I708,MxCurr,0),MATCH($H708,MxStart,0)))))))</f>
        <v/>
      </c>
      <c r="L708" s="62" t="str">
        <f aca="false">IF(COUNTA($A708,$F708,$G708,$H708,$I708,$J708)=0,"",IF($M708=0,"✖ كود الصف غير موجود",IF(ISNA(MATCH($F708,Lists!$A$2:$A$5,0)),"✖ الفترة غير صحيحة",IF(ISNA(MATCH($G708,Lists!$B$2:$B$7,0)),"✖ المجموعة غير صحيحة",IF(NOT(OR($H708="",$N708&gt;0)),"✖ Start غير صحيح",IF(NOT(OR($I708="",$I708="NR",$O708&gt;0)),"✖ Current غير صحيح",IF(NOT(IF(ISNUMBER($J708),AND($J708&gt;=0,$J708=INT($J708)),FALSE())),"✖ العدد يجب أن يكون صحيحًا ≥ 0",IF(AND($F708="Baseline",$H708&lt;&gt;""),"⚠ Baseline: Start لا يدخل في التقدم",IF($K708="No Start (attainment only)","ℹ تحصيل فقط (بدون Start)",IF($K708="U – needs rule","ℹ حالة U تحتاج قاعدة معتمدة",IF($K708="No result","ℹ بدون نتيجة (يُستبعد من التحصيل)","OK")))))))))))</f>
        <v/>
      </c>
      <c r="M708" s="64" t="n">
        <f aca="false">IF($A708="",0,IFERROR(MATCH($A708,Classes!$A$6:$A$420,0),0))</f>
        <v>0</v>
      </c>
      <c r="N708" s="64" t="n">
        <f aca="false">IF($H708="",0,IFERROR(MATCH($H708,GradeList,0),0))</f>
        <v>0</v>
      </c>
      <c r="O708" s="64" t="n">
        <f aca="false">IF(OR($I708="",$I708="NR"),0,IFERROR(MATCH($I708,GradeList,0),0))</f>
        <v>0</v>
      </c>
      <c r="P708" s="64" t="n">
        <f aca="false">IF(AND($M708&gt;0,ISNUMBER(MATCH($F708,Lists!$A$2:$A$5,0)),ISNUMBER(MATCH($G708,Lists!$B$2:$B$7,0)),OR($H708="",$N708&gt;0),OR($I708="",$I708="NR",$O708&gt;0),IF(ISNUMBER($J708),AND($J708&gt;=0,$J708=INT($J708)),FALSE())),$J708,0)</f>
        <v>0</v>
      </c>
      <c r="Q708" s="64" t="n">
        <f aca="false">IF(AND($P708&gt;0,$O708&gt;0),$P708,0)</f>
        <v>0</v>
      </c>
      <c r="R708" s="64" t="n">
        <f aca="false">IF(AND($Q708&gt;0,$O708&gt;=AtRank),$Q708,0)</f>
        <v>0</v>
      </c>
      <c r="S708" s="64" t="n">
        <f aca="false">IF(AND($Q708&gt;0,$O708&gt;=AboveRank),$Q708,0)</f>
        <v>0</v>
      </c>
      <c r="T708" s="64" t="n">
        <f aca="false">IF($K708="Less",$P708,0)</f>
        <v>0</v>
      </c>
      <c r="U708" s="64" t="n">
        <f aca="false">IF($K708="Expected",$P708,0)</f>
        <v>0</v>
      </c>
      <c r="V708" s="64" t="n">
        <f aca="false">IF($K708="Better",$P708,0)</f>
        <v>0</v>
      </c>
      <c r="W708" s="64" t="n">
        <f aca="false">IF($K708="U – needs rule",$P708,0)</f>
        <v>0</v>
      </c>
      <c r="X708" s="64" t="n">
        <f aca="false">IF($K708="No Start (attainment only)",$P708,0)</f>
        <v>0</v>
      </c>
    </row>
    <row r="709" customFormat="false" ht="15" hidden="false" customHeight="false" outlineLevel="0" collapsed="false">
      <c r="A709" s="60"/>
      <c r="B709" s="61" t="str">
        <f aca="false">IF($M709=0,"",INDEX(Classes!$E$6:$E$420,$M709))</f>
        <v/>
      </c>
      <c r="C709" s="62" t="str">
        <f aca="false">IF($M709=0,"",INDEX(Classes!$H$6:$H$420,$M709))</f>
        <v/>
      </c>
      <c r="D709" s="61" t="str">
        <f aca="false">IF($M709=0,"",INDEX(Classes!$B$6:$B$420,$M709))</f>
        <v/>
      </c>
      <c r="E709" s="61" t="str">
        <f aca="false">IF($M709=0,"",INDEX(Classes!$C$6:$C$420,$M709))</f>
        <v/>
      </c>
      <c r="F709" s="63"/>
      <c r="G709" s="63"/>
      <c r="H709" s="60"/>
      <c r="I709" s="60"/>
      <c r="J709" s="63"/>
      <c r="K709" s="61" t="str">
        <f aca="false">IF($P709=0,"",IF($F709="Baseline","— Baseline",IF($O709=0,"No result",IF($N709=0,"No Start (attainment only)",IF(OR($N709=1,$O709=1),"U – needs rule",INDEX(MxBody,MATCH($I709,MxCurr,0),MATCH($H709,MxStart,0)))))))</f>
        <v/>
      </c>
      <c r="L709" s="62" t="str">
        <f aca="false">IF(COUNTA($A709,$F709,$G709,$H709,$I709,$J709)=0,"",IF($M709=0,"✖ كود الصف غير موجود",IF(ISNA(MATCH($F709,Lists!$A$2:$A$5,0)),"✖ الفترة غير صحيحة",IF(ISNA(MATCH($G709,Lists!$B$2:$B$7,0)),"✖ المجموعة غير صحيحة",IF(NOT(OR($H709="",$N709&gt;0)),"✖ Start غير صحيح",IF(NOT(OR($I709="",$I709="NR",$O709&gt;0)),"✖ Current غير صحيح",IF(NOT(IF(ISNUMBER($J709),AND($J709&gt;=0,$J709=INT($J709)),FALSE())),"✖ العدد يجب أن يكون صحيحًا ≥ 0",IF(AND($F709="Baseline",$H709&lt;&gt;""),"⚠ Baseline: Start لا يدخل في التقدم",IF($K709="No Start (attainment only)","ℹ تحصيل فقط (بدون Start)",IF($K709="U – needs rule","ℹ حالة U تحتاج قاعدة معتمدة",IF($K709="No result","ℹ بدون نتيجة (يُستبعد من التحصيل)","OK")))))))))))</f>
        <v/>
      </c>
      <c r="M709" s="64" t="n">
        <f aca="false">IF($A709="",0,IFERROR(MATCH($A709,Classes!$A$6:$A$420,0),0))</f>
        <v>0</v>
      </c>
      <c r="N709" s="64" t="n">
        <f aca="false">IF($H709="",0,IFERROR(MATCH($H709,GradeList,0),0))</f>
        <v>0</v>
      </c>
      <c r="O709" s="64" t="n">
        <f aca="false">IF(OR($I709="",$I709="NR"),0,IFERROR(MATCH($I709,GradeList,0),0))</f>
        <v>0</v>
      </c>
      <c r="P709" s="64" t="n">
        <f aca="false">IF(AND($M709&gt;0,ISNUMBER(MATCH($F709,Lists!$A$2:$A$5,0)),ISNUMBER(MATCH($G709,Lists!$B$2:$B$7,0)),OR($H709="",$N709&gt;0),OR($I709="",$I709="NR",$O709&gt;0),IF(ISNUMBER($J709),AND($J709&gt;=0,$J709=INT($J709)),FALSE())),$J709,0)</f>
        <v>0</v>
      </c>
      <c r="Q709" s="64" t="n">
        <f aca="false">IF(AND($P709&gt;0,$O709&gt;0),$P709,0)</f>
        <v>0</v>
      </c>
      <c r="R709" s="64" t="n">
        <f aca="false">IF(AND($Q709&gt;0,$O709&gt;=AtRank),$Q709,0)</f>
        <v>0</v>
      </c>
      <c r="S709" s="64" t="n">
        <f aca="false">IF(AND($Q709&gt;0,$O709&gt;=AboveRank),$Q709,0)</f>
        <v>0</v>
      </c>
      <c r="T709" s="64" t="n">
        <f aca="false">IF($K709="Less",$P709,0)</f>
        <v>0</v>
      </c>
      <c r="U709" s="64" t="n">
        <f aca="false">IF($K709="Expected",$P709,0)</f>
        <v>0</v>
      </c>
      <c r="V709" s="64" t="n">
        <f aca="false">IF($K709="Better",$P709,0)</f>
        <v>0</v>
      </c>
      <c r="W709" s="64" t="n">
        <f aca="false">IF($K709="U – needs rule",$P709,0)</f>
        <v>0</v>
      </c>
      <c r="X709" s="64" t="n">
        <f aca="false">IF($K709="No Start (attainment only)",$P709,0)</f>
        <v>0</v>
      </c>
    </row>
    <row r="710" customFormat="false" ht="15" hidden="false" customHeight="false" outlineLevel="0" collapsed="false">
      <c r="A710" s="60"/>
      <c r="B710" s="61" t="str">
        <f aca="false">IF($M710=0,"",INDEX(Classes!$E$6:$E$420,$M710))</f>
        <v/>
      </c>
      <c r="C710" s="62" t="str">
        <f aca="false">IF($M710=0,"",INDEX(Classes!$H$6:$H$420,$M710))</f>
        <v/>
      </c>
      <c r="D710" s="61" t="str">
        <f aca="false">IF($M710=0,"",INDEX(Classes!$B$6:$B$420,$M710))</f>
        <v/>
      </c>
      <c r="E710" s="61" t="str">
        <f aca="false">IF($M710=0,"",INDEX(Classes!$C$6:$C$420,$M710))</f>
        <v/>
      </c>
      <c r="F710" s="63"/>
      <c r="G710" s="63"/>
      <c r="H710" s="60"/>
      <c r="I710" s="60"/>
      <c r="J710" s="63"/>
      <c r="K710" s="61" t="str">
        <f aca="false">IF($P710=0,"",IF($F710="Baseline","— Baseline",IF($O710=0,"No result",IF($N710=0,"No Start (attainment only)",IF(OR($N710=1,$O710=1),"U – needs rule",INDEX(MxBody,MATCH($I710,MxCurr,0),MATCH($H710,MxStart,0)))))))</f>
        <v/>
      </c>
      <c r="L710" s="62" t="str">
        <f aca="false">IF(COUNTA($A710,$F710,$G710,$H710,$I710,$J710)=0,"",IF($M710=0,"✖ كود الصف غير موجود",IF(ISNA(MATCH($F710,Lists!$A$2:$A$5,0)),"✖ الفترة غير صحيحة",IF(ISNA(MATCH($G710,Lists!$B$2:$B$7,0)),"✖ المجموعة غير صحيحة",IF(NOT(OR($H710="",$N710&gt;0)),"✖ Start غير صحيح",IF(NOT(OR($I710="",$I710="NR",$O710&gt;0)),"✖ Current غير صحيح",IF(NOT(IF(ISNUMBER($J710),AND($J710&gt;=0,$J710=INT($J710)),FALSE())),"✖ العدد يجب أن يكون صحيحًا ≥ 0",IF(AND($F710="Baseline",$H710&lt;&gt;""),"⚠ Baseline: Start لا يدخل في التقدم",IF($K710="No Start (attainment only)","ℹ تحصيل فقط (بدون Start)",IF($K710="U – needs rule","ℹ حالة U تحتاج قاعدة معتمدة",IF($K710="No result","ℹ بدون نتيجة (يُستبعد من التحصيل)","OK")))))))))))</f>
        <v/>
      </c>
      <c r="M710" s="64" t="n">
        <f aca="false">IF($A710="",0,IFERROR(MATCH($A710,Classes!$A$6:$A$420,0),0))</f>
        <v>0</v>
      </c>
      <c r="N710" s="64" t="n">
        <f aca="false">IF($H710="",0,IFERROR(MATCH($H710,GradeList,0),0))</f>
        <v>0</v>
      </c>
      <c r="O710" s="64" t="n">
        <f aca="false">IF(OR($I710="",$I710="NR"),0,IFERROR(MATCH($I710,GradeList,0),0))</f>
        <v>0</v>
      </c>
      <c r="P710" s="64" t="n">
        <f aca="false">IF(AND($M710&gt;0,ISNUMBER(MATCH($F710,Lists!$A$2:$A$5,0)),ISNUMBER(MATCH($G710,Lists!$B$2:$B$7,0)),OR($H710="",$N710&gt;0),OR($I710="",$I710="NR",$O710&gt;0),IF(ISNUMBER($J710),AND($J710&gt;=0,$J710=INT($J710)),FALSE())),$J710,0)</f>
        <v>0</v>
      </c>
      <c r="Q710" s="64" t="n">
        <f aca="false">IF(AND($P710&gt;0,$O710&gt;0),$P710,0)</f>
        <v>0</v>
      </c>
      <c r="R710" s="64" t="n">
        <f aca="false">IF(AND($Q710&gt;0,$O710&gt;=AtRank),$Q710,0)</f>
        <v>0</v>
      </c>
      <c r="S710" s="64" t="n">
        <f aca="false">IF(AND($Q710&gt;0,$O710&gt;=AboveRank),$Q710,0)</f>
        <v>0</v>
      </c>
      <c r="T710" s="64" t="n">
        <f aca="false">IF($K710="Less",$P710,0)</f>
        <v>0</v>
      </c>
      <c r="U710" s="64" t="n">
        <f aca="false">IF($K710="Expected",$P710,0)</f>
        <v>0</v>
      </c>
      <c r="V710" s="64" t="n">
        <f aca="false">IF($K710="Better",$P710,0)</f>
        <v>0</v>
      </c>
      <c r="W710" s="64" t="n">
        <f aca="false">IF($K710="U – needs rule",$P710,0)</f>
        <v>0</v>
      </c>
      <c r="X710" s="64" t="n">
        <f aca="false">IF($K710="No Start (attainment only)",$P710,0)</f>
        <v>0</v>
      </c>
    </row>
    <row r="711" customFormat="false" ht="15" hidden="false" customHeight="false" outlineLevel="0" collapsed="false">
      <c r="A711" s="60"/>
      <c r="B711" s="61" t="str">
        <f aca="false">IF($M711=0,"",INDEX(Classes!$E$6:$E$420,$M711))</f>
        <v/>
      </c>
      <c r="C711" s="62" t="str">
        <f aca="false">IF($M711=0,"",INDEX(Classes!$H$6:$H$420,$M711))</f>
        <v/>
      </c>
      <c r="D711" s="61" t="str">
        <f aca="false">IF($M711=0,"",INDEX(Classes!$B$6:$B$420,$M711))</f>
        <v/>
      </c>
      <c r="E711" s="61" t="str">
        <f aca="false">IF($M711=0,"",INDEX(Classes!$C$6:$C$420,$M711))</f>
        <v/>
      </c>
      <c r="F711" s="63"/>
      <c r="G711" s="63"/>
      <c r="H711" s="60"/>
      <c r="I711" s="60"/>
      <c r="J711" s="63"/>
      <c r="K711" s="61" t="str">
        <f aca="false">IF($P711=0,"",IF($F711="Baseline","— Baseline",IF($O711=0,"No result",IF($N711=0,"No Start (attainment only)",IF(OR($N711=1,$O711=1),"U – needs rule",INDEX(MxBody,MATCH($I711,MxCurr,0),MATCH($H711,MxStart,0)))))))</f>
        <v/>
      </c>
      <c r="L711" s="62" t="str">
        <f aca="false">IF(COUNTA($A711,$F711,$G711,$H711,$I711,$J711)=0,"",IF($M711=0,"✖ كود الصف غير موجود",IF(ISNA(MATCH($F711,Lists!$A$2:$A$5,0)),"✖ الفترة غير صحيحة",IF(ISNA(MATCH($G711,Lists!$B$2:$B$7,0)),"✖ المجموعة غير صحيحة",IF(NOT(OR($H711="",$N711&gt;0)),"✖ Start غير صحيح",IF(NOT(OR($I711="",$I711="NR",$O711&gt;0)),"✖ Current غير صحيح",IF(NOT(IF(ISNUMBER($J711),AND($J711&gt;=0,$J711=INT($J711)),FALSE())),"✖ العدد يجب أن يكون صحيحًا ≥ 0",IF(AND($F711="Baseline",$H711&lt;&gt;""),"⚠ Baseline: Start لا يدخل في التقدم",IF($K711="No Start (attainment only)","ℹ تحصيل فقط (بدون Start)",IF($K711="U – needs rule","ℹ حالة U تحتاج قاعدة معتمدة",IF($K711="No result","ℹ بدون نتيجة (يُستبعد من التحصيل)","OK")))))))))))</f>
        <v/>
      </c>
      <c r="M711" s="64" t="n">
        <f aca="false">IF($A711="",0,IFERROR(MATCH($A711,Classes!$A$6:$A$420,0),0))</f>
        <v>0</v>
      </c>
      <c r="N711" s="64" t="n">
        <f aca="false">IF($H711="",0,IFERROR(MATCH($H711,GradeList,0),0))</f>
        <v>0</v>
      </c>
      <c r="O711" s="64" t="n">
        <f aca="false">IF(OR($I711="",$I711="NR"),0,IFERROR(MATCH($I711,GradeList,0),0))</f>
        <v>0</v>
      </c>
      <c r="P711" s="64" t="n">
        <f aca="false">IF(AND($M711&gt;0,ISNUMBER(MATCH($F711,Lists!$A$2:$A$5,0)),ISNUMBER(MATCH($G711,Lists!$B$2:$B$7,0)),OR($H711="",$N711&gt;0),OR($I711="",$I711="NR",$O711&gt;0),IF(ISNUMBER($J711),AND($J711&gt;=0,$J711=INT($J711)),FALSE())),$J711,0)</f>
        <v>0</v>
      </c>
      <c r="Q711" s="64" t="n">
        <f aca="false">IF(AND($P711&gt;0,$O711&gt;0),$P711,0)</f>
        <v>0</v>
      </c>
      <c r="R711" s="64" t="n">
        <f aca="false">IF(AND($Q711&gt;0,$O711&gt;=AtRank),$Q711,0)</f>
        <v>0</v>
      </c>
      <c r="S711" s="64" t="n">
        <f aca="false">IF(AND($Q711&gt;0,$O711&gt;=AboveRank),$Q711,0)</f>
        <v>0</v>
      </c>
      <c r="T711" s="64" t="n">
        <f aca="false">IF($K711="Less",$P711,0)</f>
        <v>0</v>
      </c>
      <c r="U711" s="64" t="n">
        <f aca="false">IF($K711="Expected",$P711,0)</f>
        <v>0</v>
      </c>
      <c r="V711" s="64" t="n">
        <f aca="false">IF($K711="Better",$P711,0)</f>
        <v>0</v>
      </c>
      <c r="W711" s="64" t="n">
        <f aca="false">IF($K711="U – needs rule",$P711,0)</f>
        <v>0</v>
      </c>
      <c r="X711" s="64" t="n">
        <f aca="false">IF($K711="No Start (attainment only)",$P711,0)</f>
        <v>0</v>
      </c>
    </row>
    <row r="712" customFormat="false" ht="15" hidden="false" customHeight="false" outlineLevel="0" collapsed="false">
      <c r="A712" s="60"/>
      <c r="B712" s="61" t="str">
        <f aca="false">IF($M712=0,"",INDEX(Classes!$E$6:$E$420,$M712))</f>
        <v/>
      </c>
      <c r="C712" s="62" t="str">
        <f aca="false">IF($M712=0,"",INDEX(Classes!$H$6:$H$420,$M712))</f>
        <v/>
      </c>
      <c r="D712" s="61" t="str">
        <f aca="false">IF($M712=0,"",INDEX(Classes!$B$6:$B$420,$M712))</f>
        <v/>
      </c>
      <c r="E712" s="61" t="str">
        <f aca="false">IF($M712=0,"",INDEX(Classes!$C$6:$C$420,$M712))</f>
        <v/>
      </c>
      <c r="F712" s="63"/>
      <c r="G712" s="63"/>
      <c r="H712" s="60"/>
      <c r="I712" s="60"/>
      <c r="J712" s="63"/>
      <c r="K712" s="61" t="str">
        <f aca="false">IF($P712=0,"",IF($F712="Baseline","— Baseline",IF($O712=0,"No result",IF($N712=0,"No Start (attainment only)",IF(OR($N712=1,$O712=1),"U – needs rule",INDEX(MxBody,MATCH($I712,MxCurr,0),MATCH($H712,MxStart,0)))))))</f>
        <v/>
      </c>
      <c r="L712" s="62" t="str">
        <f aca="false">IF(COUNTA($A712,$F712,$G712,$H712,$I712,$J712)=0,"",IF($M712=0,"✖ كود الصف غير موجود",IF(ISNA(MATCH($F712,Lists!$A$2:$A$5,0)),"✖ الفترة غير صحيحة",IF(ISNA(MATCH($G712,Lists!$B$2:$B$7,0)),"✖ المجموعة غير صحيحة",IF(NOT(OR($H712="",$N712&gt;0)),"✖ Start غير صحيح",IF(NOT(OR($I712="",$I712="NR",$O712&gt;0)),"✖ Current غير صحيح",IF(NOT(IF(ISNUMBER($J712),AND($J712&gt;=0,$J712=INT($J712)),FALSE())),"✖ العدد يجب أن يكون صحيحًا ≥ 0",IF(AND($F712="Baseline",$H712&lt;&gt;""),"⚠ Baseline: Start لا يدخل في التقدم",IF($K712="No Start (attainment only)","ℹ تحصيل فقط (بدون Start)",IF($K712="U – needs rule","ℹ حالة U تحتاج قاعدة معتمدة",IF($K712="No result","ℹ بدون نتيجة (يُستبعد من التحصيل)","OK")))))))))))</f>
        <v/>
      </c>
      <c r="M712" s="64" t="n">
        <f aca="false">IF($A712="",0,IFERROR(MATCH($A712,Classes!$A$6:$A$420,0),0))</f>
        <v>0</v>
      </c>
      <c r="N712" s="64" t="n">
        <f aca="false">IF($H712="",0,IFERROR(MATCH($H712,GradeList,0),0))</f>
        <v>0</v>
      </c>
      <c r="O712" s="64" t="n">
        <f aca="false">IF(OR($I712="",$I712="NR"),0,IFERROR(MATCH($I712,GradeList,0),0))</f>
        <v>0</v>
      </c>
      <c r="P712" s="64" t="n">
        <f aca="false">IF(AND($M712&gt;0,ISNUMBER(MATCH($F712,Lists!$A$2:$A$5,0)),ISNUMBER(MATCH($G712,Lists!$B$2:$B$7,0)),OR($H712="",$N712&gt;0),OR($I712="",$I712="NR",$O712&gt;0),IF(ISNUMBER($J712),AND($J712&gt;=0,$J712=INT($J712)),FALSE())),$J712,0)</f>
        <v>0</v>
      </c>
      <c r="Q712" s="64" t="n">
        <f aca="false">IF(AND($P712&gt;0,$O712&gt;0),$P712,0)</f>
        <v>0</v>
      </c>
      <c r="R712" s="64" t="n">
        <f aca="false">IF(AND($Q712&gt;0,$O712&gt;=AtRank),$Q712,0)</f>
        <v>0</v>
      </c>
      <c r="S712" s="64" t="n">
        <f aca="false">IF(AND($Q712&gt;0,$O712&gt;=AboveRank),$Q712,0)</f>
        <v>0</v>
      </c>
      <c r="T712" s="64" t="n">
        <f aca="false">IF($K712="Less",$P712,0)</f>
        <v>0</v>
      </c>
      <c r="U712" s="64" t="n">
        <f aca="false">IF($K712="Expected",$P712,0)</f>
        <v>0</v>
      </c>
      <c r="V712" s="64" t="n">
        <f aca="false">IF($K712="Better",$P712,0)</f>
        <v>0</v>
      </c>
      <c r="W712" s="64" t="n">
        <f aca="false">IF($K712="U – needs rule",$P712,0)</f>
        <v>0</v>
      </c>
      <c r="X712" s="64" t="n">
        <f aca="false">IF($K712="No Start (attainment only)",$P712,0)</f>
        <v>0</v>
      </c>
    </row>
    <row r="713" customFormat="false" ht="15" hidden="false" customHeight="false" outlineLevel="0" collapsed="false">
      <c r="A713" s="60"/>
      <c r="B713" s="61" t="str">
        <f aca="false">IF($M713=0,"",INDEX(Classes!$E$6:$E$420,$M713))</f>
        <v/>
      </c>
      <c r="C713" s="62" t="str">
        <f aca="false">IF($M713=0,"",INDEX(Classes!$H$6:$H$420,$M713))</f>
        <v/>
      </c>
      <c r="D713" s="61" t="str">
        <f aca="false">IF($M713=0,"",INDEX(Classes!$B$6:$B$420,$M713))</f>
        <v/>
      </c>
      <c r="E713" s="61" t="str">
        <f aca="false">IF($M713=0,"",INDEX(Classes!$C$6:$C$420,$M713))</f>
        <v/>
      </c>
      <c r="F713" s="63"/>
      <c r="G713" s="63"/>
      <c r="H713" s="60"/>
      <c r="I713" s="60"/>
      <c r="J713" s="63"/>
      <c r="K713" s="61" t="str">
        <f aca="false">IF($P713=0,"",IF($F713="Baseline","— Baseline",IF($O713=0,"No result",IF($N713=0,"No Start (attainment only)",IF(OR($N713=1,$O713=1),"U – needs rule",INDEX(MxBody,MATCH($I713,MxCurr,0),MATCH($H713,MxStart,0)))))))</f>
        <v/>
      </c>
      <c r="L713" s="62" t="str">
        <f aca="false">IF(COUNTA($A713,$F713,$G713,$H713,$I713,$J713)=0,"",IF($M713=0,"✖ كود الصف غير موجود",IF(ISNA(MATCH($F713,Lists!$A$2:$A$5,0)),"✖ الفترة غير صحيحة",IF(ISNA(MATCH($G713,Lists!$B$2:$B$7,0)),"✖ المجموعة غير صحيحة",IF(NOT(OR($H713="",$N713&gt;0)),"✖ Start غير صحيح",IF(NOT(OR($I713="",$I713="NR",$O713&gt;0)),"✖ Current غير صحيح",IF(NOT(IF(ISNUMBER($J713),AND($J713&gt;=0,$J713=INT($J713)),FALSE())),"✖ العدد يجب أن يكون صحيحًا ≥ 0",IF(AND($F713="Baseline",$H713&lt;&gt;""),"⚠ Baseline: Start لا يدخل في التقدم",IF($K713="No Start (attainment only)","ℹ تحصيل فقط (بدون Start)",IF($K713="U – needs rule","ℹ حالة U تحتاج قاعدة معتمدة",IF($K713="No result","ℹ بدون نتيجة (يُستبعد من التحصيل)","OK")))))))))))</f>
        <v/>
      </c>
      <c r="M713" s="64" t="n">
        <f aca="false">IF($A713="",0,IFERROR(MATCH($A713,Classes!$A$6:$A$420,0),0))</f>
        <v>0</v>
      </c>
      <c r="N713" s="64" t="n">
        <f aca="false">IF($H713="",0,IFERROR(MATCH($H713,GradeList,0),0))</f>
        <v>0</v>
      </c>
      <c r="O713" s="64" t="n">
        <f aca="false">IF(OR($I713="",$I713="NR"),0,IFERROR(MATCH($I713,GradeList,0),0))</f>
        <v>0</v>
      </c>
      <c r="P713" s="64" t="n">
        <f aca="false">IF(AND($M713&gt;0,ISNUMBER(MATCH($F713,Lists!$A$2:$A$5,0)),ISNUMBER(MATCH($G713,Lists!$B$2:$B$7,0)),OR($H713="",$N713&gt;0),OR($I713="",$I713="NR",$O713&gt;0),IF(ISNUMBER($J713),AND($J713&gt;=0,$J713=INT($J713)),FALSE())),$J713,0)</f>
        <v>0</v>
      </c>
      <c r="Q713" s="64" t="n">
        <f aca="false">IF(AND($P713&gt;0,$O713&gt;0),$P713,0)</f>
        <v>0</v>
      </c>
      <c r="R713" s="64" t="n">
        <f aca="false">IF(AND($Q713&gt;0,$O713&gt;=AtRank),$Q713,0)</f>
        <v>0</v>
      </c>
      <c r="S713" s="64" t="n">
        <f aca="false">IF(AND($Q713&gt;0,$O713&gt;=AboveRank),$Q713,0)</f>
        <v>0</v>
      </c>
      <c r="T713" s="64" t="n">
        <f aca="false">IF($K713="Less",$P713,0)</f>
        <v>0</v>
      </c>
      <c r="U713" s="64" t="n">
        <f aca="false">IF($K713="Expected",$P713,0)</f>
        <v>0</v>
      </c>
      <c r="V713" s="64" t="n">
        <f aca="false">IF($K713="Better",$P713,0)</f>
        <v>0</v>
      </c>
      <c r="W713" s="64" t="n">
        <f aca="false">IF($K713="U – needs rule",$P713,0)</f>
        <v>0</v>
      </c>
      <c r="X713" s="64" t="n">
        <f aca="false">IF($K713="No Start (attainment only)",$P713,0)</f>
        <v>0</v>
      </c>
    </row>
    <row r="714" customFormat="false" ht="15" hidden="false" customHeight="false" outlineLevel="0" collapsed="false">
      <c r="A714" s="60"/>
      <c r="B714" s="61" t="str">
        <f aca="false">IF($M714=0,"",INDEX(Classes!$E$6:$E$420,$M714))</f>
        <v/>
      </c>
      <c r="C714" s="62" t="str">
        <f aca="false">IF($M714=0,"",INDEX(Classes!$H$6:$H$420,$M714))</f>
        <v/>
      </c>
      <c r="D714" s="61" t="str">
        <f aca="false">IF($M714=0,"",INDEX(Classes!$B$6:$B$420,$M714))</f>
        <v/>
      </c>
      <c r="E714" s="61" t="str">
        <f aca="false">IF($M714=0,"",INDEX(Classes!$C$6:$C$420,$M714))</f>
        <v/>
      </c>
      <c r="F714" s="63"/>
      <c r="G714" s="63"/>
      <c r="H714" s="60"/>
      <c r="I714" s="60"/>
      <c r="J714" s="63"/>
      <c r="K714" s="61" t="str">
        <f aca="false">IF($P714=0,"",IF($F714="Baseline","— Baseline",IF($O714=0,"No result",IF($N714=0,"No Start (attainment only)",IF(OR($N714=1,$O714=1),"U – needs rule",INDEX(MxBody,MATCH($I714,MxCurr,0),MATCH($H714,MxStart,0)))))))</f>
        <v/>
      </c>
      <c r="L714" s="62" t="str">
        <f aca="false">IF(COUNTA($A714,$F714,$G714,$H714,$I714,$J714)=0,"",IF($M714=0,"✖ كود الصف غير موجود",IF(ISNA(MATCH($F714,Lists!$A$2:$A$5,0)),"✖ الفترة غير صحيحة",IF(ISNA(MATCH($G714,Lists!$B$2:$B$7,0)),"✖ المجموعة غير صحيحة",IF(NOT(OR($H714="",$N714&gt;0)),"✖ Start غير صحيح",IF(NOT(OR($I714="",$I714="NR",$O714&gt;0)),"✖ Current غير صحيح",IF(NOT(IF(ISNUMBER($J714),AND($J714&gt;=0,$J714=INT($J714)),FALSE())),"✖ العدد يجب أن يكون صحيحًا ≥ 0",IF(AND($F714="Baseline",$H714&lt;&gt;""),"⚠ Baseline: Start لا يدخل في التقدم",IF($K714="No Start (attainment only)","ℹ تحصيل فقط (بدون Start)",IF($K714="U – needs rule","ℹ حالة U تحتاج قاعدة معتمدة",IF($K714="No result","ℹ بدون نتيجة (يُستبعد من التحصيل)","OK")))))))))))</f>
        <v/>
      </c>
      <c r="M714" s="64" t="n">
        <f aca="false">IF($A714="",0,IFERROR(MATCH($A714,Classes!$A$6:$A$420,0),0))</f>
        <v>0</v>
      </c>
      <c r="N714" s="64" t="n">
        <f aca="false">IF($H714="",0,IFERROR(MATCH($H714,GradeList,0),0))</f>
        <v>0</v>
      </c>
      <c r="O714" s="64" t="n">
        <f aca="false">IF(OR($I714="",$I714="NR"),0,IFERROR(MATCH($I714,GradeList,0),0))</f>
        <v>0</v>
      </c>
      <c r="P714" s="64" t="n">
        <f aca="false">IF(AND($M714&gt;0,ISNUMBER(MATCH($F714,Lists!$A$2:$A$5,0)),ISNUMBER(MATCH($G714,Lists!$B$2:$B$7,0)),OR($H714="",$N714&gt;0),OR($I714="",$I714="NR",$O714&gt;0),IF(ISNUMBER($J714),AND($J714&gt;=0,$J714=INT($J714)),FALSE())),$J714,0)</f>
        <v>0</v>
      </c>
      <c r="Q714" s="64" t="n">
        <f aca="false">IF(AND($P714&gt;0,$O714&gt;0),$P714,0)</f>
        <v>0</v>
      </c>
      <c r="R714" s="64" t="n">
        <f aca="false">IF(AND($Q714&gt;0,$O714&gt;=AtRank),$Q714,0)</f>
        <v>0</v>
      </c>
      <c r="S714" s="64" t="n">
        <f aca="false">IF(AND($Q714&gt;0,$O714&gt;=AboveRank),$Q714,0)</f>
        <v>0</v>
      </c>
      <c r="T714" s="64" t="n">
        <f aca="false">IF($K714="Less",$P714,0)</f>
        <v>0</v>
      </c>
      <c r="U714" s="64" t="n">
        <f aca="false">IF($K714="Expected",$P714,0)</f>
        <v>0</v>
      </c>
      <c r="V714" s="64" t="n">
        <f aca="false">IF($K714="Better",$P714,0)</f>
        <v>0</v>
      </c>
      <c r="W714" s="64" t="n">
        <f aca="false">IF($K714="U – needs rule",$P714,0)</f>
        <v>0</v>
      </c>
      <c r="X714" s="64" t="n">
        <f aca="false">IF($K714="No Start (attainment only)",$P714,0)</f>
        <v>0</v>
      </c>
    </row>
    <row r="715" customFormat="false" ht="15" hidden="false" customHeight="false" outlineLevel="0" collapsed="false">
      <c r="A715" s="60"/>
      <c r="B715" s="61" t="str">
        <f aca="false">IF($M715=0,"",INDEX(Classes!$E$6:$E$420,$M715))</f>
        <v/>
      </c>
      <c r="C715" s="62" t="str">
        <f aca="false">IF($M715=0,"",INDEX(Classes!$H$6:$H$420,$M715))</f>
        <v/>
      </c>
      <c r="D715" s="61" t="str">
        <f aca="false">IF($M715=0,"",INDEX(Classes!$B$6:$B$420,$M715))</f>
        <v/>
      </c>
      <c r="E715" s="61" t="str">
        <f aca="false">IF($M715=0,"",INDEX(Classes!$C$6:$C$420,$M715))</f>
        <v/>
      </c>
      <c r="F715" s="63"/>
      <c r="G715" s="63"/>
      <c r="H715" s="60"/>
      <c r="I715" s="60"/>
      <c r="J715" s="63"/>
      <c r="K715" s="61" t="str">
        <f aca="false">IF($P715=0,"",IF($F715="Baseline","— Baseline",IF($O715=0,"No result",IF($N715=0,"No Start (attainment only)",IF(OR($N715=1,$O715=1),"U – needs rule",INDEX(MxBody,MATCH($I715,MxCurr,0),MATCH($H715,MxStart,0)))))))</f>
        <v/>
      </c>
      <c r="L715" s="62" t="str">
        <f aca="false">IF(COUNTA($A715,$F715,$G715,$H715,$I715,$J715)=0,"",IF($M715=0,"✖ كود الصف غير موجود",IF(ISNA(MATCH($F715,Lists!$A$2:$A$5,0)),"✖ الفترة غير صحيحة",IF(ISNA(MATCH($G715,Lists!$B$2:$B$7,0)),"✖ المجموعة غير صحيحة",IF(NOT(OR($H715="",$N715&gt;0)),"✖ Start غير صحيح",IF(NOT(OR($I715="",$I715="NR",$O715&gt;0)),"✖ Current غير صحيح",IF(NOT(IF(ISNUMBER($J715),AND($J715&gt;=0,$J715=INT($J715)),FALSE())),"✖ العدد يجب أن يكون صحيحًا ≥ 0",IF(AND($F715="Baseline",$H715&lt;&gt;""),"⚠ Baseline: Start لا يدخل في التقدم",IF($K715="No Start (attainment only)","ℹ تحصيل فقط (بدون Start)",IF($K715="U – needs rule","ℹ حالة U تحتاج قاعدة معتمدة",IF($K715="No result","ℹ بدون نتيجة (يُستبعد من التحصيل)","OK")))))))))))</f>
        <v/>
      </c>
      <c r="M715" s="64" t="n">
        <f aca="false">IF($A715="",0,IFERROR(MATCH($A715,Classes!$A$6:$A$420,0),0))</f>
        <v>0</v>
      </c>
      <c r="N715" s="64" t="n">
        <f aca="false">IF($H715="",0,IFERROR(MATCH($H715,GradeList,0),0))</f>
        <v>0</v>
      </c>
      <c r="O715" s="64" t="n">
        <f aca="false">IF(OR($I715="",$I715="NR"),0,IFERROR(MATCH($I715,GradeList,0),0))</f>
        <v>0</v>
      </c>
      <c r="P715" s="64" t="n">
        <f aca="false">IF(AND($M715&gt;0,ISNUMBER(MATCH($F715,Lists!$A$2:$A$5,0)),ISNUMBER(MATCH($G715,Lists!$B$2:$B$7,0)),OR($H715="",$N715&gt;0),OR($I715="",$I715="NR",$O715&gt;0),IF(ISNUMBER($J715),AND($J715&gt;=0,$J715=INT($J715)),FALSE())),$J715,0)</f>
        <v>0</v>
      </c>
      <c r="Q715" s="64" t="n">
        <f aca="false">IF(AND($P715&gt;0,$O715&gt;0),$P715,0)</f>
        <v>0</v>
      </c>
      <c r="R715" s="64" t="n">
        <f aca="false">IF(AND($Q715&gt;0,$O715&gt;=AtRank),$Q715,0)</f>
        <v>0</v>
      </c>
      <c r="S715" s="64" t="n">
        <f aca="false">IF(AND($Q715&gt;0,$O715&gt;=AboveRank),$Q715,0)</f>
        <v>0</v>
      </c>
      <c r="T715" s="64" t="n">
        <f aca="false">IF($K715="Less",$P715,0)</f>
        <v>0</v>
      </c>
      <c r="U715" s="64" t="n">
        <f aca="false">IF($K715="Expected",$P715,0)</f>
        <v>0</v>
      </c>
      <c r="V715" s="64" t="n">
        <f aca="false">IF($K715="Better",$P715,0)</f>
        <v>0</v>
      </c>
      <c r="W715" s="64" t="n">
        <f aca="false">IF($K715="U – needs rule",$P715,0)</f>
        <v>0</v>
      </c>
      <c r="X715" s="64" t="n">
        <f aca="false">IF($K715="No Start (attainment only)",$P715,0)</f>
        <v>0</v>
      </c>
    </row>
    <row r="716" customFormat="false" ht="15" hidden="false" customHeight="false" outlineLevel="0" collapsed="false">
      <c r="A716" s="60"/>
      <c r="B716" s="61" t="str">
        <f aca="false">IF($M716=0,"",INDEX(Classes!$E$6:$E$420,$M716))</f>
        <v/>
      </c>
      <c r="C716" s="62" t="str">
        <f aca="false">IF($M716=0,"",INDEX(Classes!$H$6:$H$420,$M716))</f>
        <v/>
      </c>
      <c r="D716" s="61" t="str">
        <f aca="false">IF($M716=0,"",INDEX(Classes!$B$6:$B$420,$M716))</f>
        <v/>
      </c>
      <c r="E716" s="61" t="str">
        <f aca="false">IF($M716=0,"",INDEX(Classes!$C$6:$C$420,$M716))</f>
        <v/>
      </c>
      <c r="F716" s="63"/>
      <c r="G716" s="63"/>
      <c r="H716" s="60"/>
      <c r="I716" s="60"/>
      <c r="J716" s="63"/>
      <c r="K716" s="61" t="str">
        <f aca="false">IF($P716=0,"",IF($F716="Baseline","— Baseline",IF($O716=0,"No result",IF($N716=0,"No Start (attainment only)",IF(OR($N716=1,$O716=1),"U – needs rule",INDEX(MxBody,MATCH($I716,MxCurr,0),MATCH($H716,MxStart,0)))))))</f>
        <v/>
      </c>
      <c r="L716" s="62" t="str">
        <f aca="false">IF(COUNTA($A716,$F716,$G716,$H716,$I716,$J716)=0,"",IF($M716=0,"✖ كود الصف غير موجود",IF(ISNA(MATCH($F716,Lists!$A$2:$A$5,0)),"✖ الفترة غير صحيحة",IF(ISNA(MATCH($G716,Lists!$B$2:$B$7,0)),"✖ المجموعة غير صحيحة",IF(NOT(OR($H716="",$N716&gt;0)),"✖ Start غير صحيح",IF(NOT(OR($I716="",$I716="NR",$O716&gt;0)),"✖ Current غير صحيح",IF(NOT(IF(ISNUMBER($J716),AND($J716&gt;=0,$J716=INT($J716)),FALSE())),"✖ العدد يجب أن يكون صحيحًا ≥ 0",IF(AND($F716="Baseline",$H716&lt;&gt;""),"⚠ Baseline: Start لا يدخل في التقدم",IF($K716="No Start (attainment only)","ℹ تحصيل فقط (بدون Start)",IF($K716="U – needs rule","ℹ حالة U تحتاج قاعدة معتمدة",IF($K716="No result","ℹ بدون نتيجة (يُستبعد من التحصيل)","OK")))))))))))</f>
        <v/>
      </c>
      <c r="M716" s="64" t="n">
        <f aca="false">IF($A716="",0,IFERROR(MATCH($A716,Classes!$A$6:$A$420,0),0))</f>
        <v>0</v>
      </c>
      <c r="N716" s="64" t="n">
        <f aca="false">IF($H716="",0,IFERROR(MATCH($H716,GradeList,0),0))</f>
        <v>0</v>
      </c>
      <c r="O716" s="64" t="n">
        <f aca="false">IF(OR($I716="",$I716="NR"),0,IFERROR(MATCH($I716,GradeList,0),0))</f>
        <v>0</v>
      </c>
      <c r="P716" s="64" t="n">
        <f aca="false">IF(AND($M716&gt;0,ISNUMBER(MATCH($F716,Lists!$A$2:$A$5,0)),ISNUMBER(MATCH($G716,Lists!$B$2:$B$7,0)),OR($H716="",$N716&gt;0),OR($I716="",$I716="NR",$O716&gt;0),IF(ISNUMBER($J716),AND($J716&gt;=0,$J716=INT($J716)),FALSE())),$J716,0)</f>
        <v>0</v>
      </c>
      <c r="Q716" s="64" t="n">
        <f aca="false">IF(AND($P716&gt;0,$O716&gt;0),$P716,0)</f>
        <v>0</v>
      </c>
      <c r="R716" s="64" t="n">
        <f aca="false">IF(AND($Q716&gt;0,$O716&gt;=AtRank),$Q716,0)</f>
        <v>0</v>
      </c>
      <c r="S716" s="64" t="n">
        <f aca="false">IF(AND($Q716&gt;0,$O716&gt;=AboveRank),$Q716,0)</f>
        <v>0</v>
      </c>
      <c r="T716" s="64" t="n">
        <f aca="false">IF($K716="Less",$P716,0)</f>
        <v>0</v>
      </c>
      <c r="U716" s="64" t="n">
        <f aca="false">IF($K716="Expected",$P716,0)</f>
        <v>0</v>
      </c>
      <c r="V716" s="64" t="n">
        <f aca="false">IF($K716="Better",$P716,0)</f>
        <v>0</v>
      </c>
      <c r="W716" s="64" t="n">
        <f aca="false">IF($K716="U – needs rule",$P716,0)</f>
        <v>0</v>
      </c>
      <c r="X716" s="64" t="n">
        <f aca="false">IF($K716="No Start (attainment only)",$P716,0)</f>
        <v>0</v>
      </c>
    </row>
    <row r="717" customFormat="false" ht="15" hidden="false" customHeight="false" outlineLevel="0" collapsed="false">
      <c r="A717" s="60"/>
      <c r="B717" s="61" t="str">
        <f aca="false">IF($M717=0,"",INDEX(Classes!$E$6:$E$420,$M717))</f>
        <v/>
      </c>
      <c r="C717" s="62" t="str">
        <f aca="false">IF($M717=0,"",INDEX(Classes!$H$6:$H$420,$M717))</f>
        <v/>
      </c>
      <c r="D717" s="61" t="str">
        <f aca="false">IF($M717=0,"",INDEX(Classes!$B$6:$B$420,$M717))</f>
        <v/>
      </c>
      <c r="E717" s="61" t="str">
        <f aca="false">IF($M717=0,"",INDEX(Classes!$C$6:$C$420,$M717))</f>
        <v/>
      </c>
      <c r="F717" s="63"/>
      <c r="G717" s="63"/>
      <c r="H717" s="60"/>
      <c r="I717" s="60"/>
      <c r="J717" s="63"/>
      <c r="K717" s="61" t="str">
        <f aca="false">IF($P717=0,"",IF($F717="Baseline","— Baseline",IF($O717=0,"No result",IF($N717=0,"No Start (attainment only)",IF(OR($N717=1,$O717=1),"U – needs rule",INDEX(MxBody,MATCH($I717,MxCurr,0),MATCH($H717,MxStart,0)))))))</f>
        <v/>
      </c>
      <c r="L717" s="62" t="str">
        <f aca="false">IF(COUNTA($A717,$F717,$G717,$H717,$I717,$J717)=0,"",IF($M717=0,"✖ كود الصف غير موجود",IF(ISNA(MATCH($F717,Lists!$A$2:$A$5,0)),"✖ الفترة غير صحيحة",IF(ISNA(MATCH($G717,Lists!$B$2:$B$7,0)),"✖ المجموعة غير صحيحة",IF(NOT(OR($H717="",$N717&gt;0)),"✖ Start غير صحيح",IF(NOT(OR($I717="",$I717="NR",$O717&gt;0)),"✖ Current غير صحيح",IF(NOT(IF(ISNUMBER($J717),AND($J717&gt;=0,$J717=INT($J717)),FALSE())),"✖ العدد يجب أن يكون صحيحًا ≥ 0",IF(AND($F717="Baseline",$H717&lt;&gt;""),"⚠ Baseline: Start لا يدخل في التقدم",IF($K717="No Start (attainment only)","ℹ تحصيل فقط (بدون Start)",IF($K717="U – needs rule","ℹ حالة U تحتاج قاعدة معتمدة",IF($K717="No result","ℹ بدون نتيجة (يُستبعد من التحصيل)","OK")))))))))))</f>
        <v/>
      </c>
      <c r="M717" s="64" t="n">
        <f aca="false">IF($A717="",0,IFERROR(MATCH($A717,Classes!$A$6:$A$420,0),0))</f>
        <v>0</v>
      </c>
      <c r="N717" s="64" t="n">
        <f aca="false">IF($H717="",0,IFERROR(MATCH($H717,GradeList,0),0))</f>
        <v>0</v>
      </c>
      <c r="O717" s="64" t="n">
        <f aca="false">IF(OR($I717="",$I717="NR"),0,IFERROR(MATCH($I717,GradeList,0),0))</f>
        <v>0</v>
      </c>
      <c r="P717" s="64" t="n">
        <f aca="false">IF(AND($M717&gt;0,ISNUMBER(MATCH($F717,Lists!$A$2:$A$5,0)),ISNUMBER(MATCH($G717,Lists!$B$2:$B$7,0)),OR($H717="",$N717&gt;0),OR($I717="",$I717="NR",$O717&gt;0),IF(ISNUMBER($J717),AND($J717&gt;=0,$J717=INT($J717)),FALSE())),$J717,0)</f>
        <v>0</v>
      </c>
      <c r="Q717" s="64" t="n">
        <f aca="false">IF(AND($P717&gt;0,$O717&gt;0),$P717,0)</f>
        <v>0</v>
      </c>
      <c r="R717" s="64" t="n">
        <f aca="false">IF(AND($Q717&gt;0,$O717&gt;=AtRank),$Q717,0)</f>
        <v>0</v>
      </c>
      <c r="S717" s="64" t="n">
        <f aca="false">IF(AND($Q717&gt;0,$O717&gt;=AboveRank),$Q717,0)</f>
        <v>0</v>
      </c>
      <c r="T717" s="64" t="n">
        <f aca="false">IF($K717="Less",$P717,0)</f>
        <v>0</v>
      </c>
      <c r="U717" s="64" t="n">
        <f aca="false">IF($K717="Expected",$P717,0)</f>
        <v>0</v>
      </c>
      <c r="V717" s="64" t="n">
        <f aca="false">IF($K717="Better",$P717,0)</f>
        <v>0</v>
      </c>
      <c r="W717" s="64" t="n">
        <f aca="false">IF($K717="U – needs rule",$P717,0)</f>
        <v>0</v>
      </c>
      <c r="X717" s="64" t="n">
        <f aca="false">IF($K717="No Start (attainment only)",$P717,0)</f>
        <v>0</v>
      </c>
    </row>
    <row r="718" customFormat="false" ht="15" hidden="false" customHeight="false" outlineLevel="0" collapsed="false">
      <c r="A718" s="60"/>
      <c r="B718" s="61" t="str">
        <f aca="false">IF($M718=0,"",INDEX(Classes!$E$6:$E$420,$M718))</f>
        <v/>
      </c>
      <c r="C718" s="62" t="str">
        <f aca="false">IF($M718=0,"",INDEX(Classes!$H$6:$H$420,$M718))</f>
        <v/>
      </c>
      <c r="D718" s="61" t="str">
        <f aca="false">IF($M718=0,"",INDEX(Classes!$B$6:$B$420,$M718))</f>
        <v/>
      </c>
      <c r="E718" s="61" t="str">
        <f aca="false">IF($M718=0,"",INDEX(Classes!$C$6:$C$420,$M718))</f>
        <v/>
      </c>
      <c r="F718" s="63"/>
      <c r="G718" s="63"/>
      <c r="H718" s="60"/>
      <c r="I718" s="60"/>
      <c r="J718" s="63"/>
      <c r="K718" s="61" t="str">
        <f aca="false">IF($P718=0,"",IF($F718="Baseline","— Baseline",IF($O718=0,"No result",IF($N718=0,"No Start (attainment only)",IF(OR($N718=1,$O718=1),"U – needs rule",INDEX(MxBody,MATCH($I718,MxCurr,0),MATCH($H718,MxStart,0)))))))</f>
        <v/>
      </c>
      <c r="L718" s="62" t="str">
        <f aca="false">IF(COUNTA($A718,$F718,$G718,$H718,$I718,$J718)=0,"",IF($M718=0,"✖ كود الصف غير موجود",IF(ISNA(MATCH($F718,Lists!$A$2:$A$5,0)),"✖ الفترة غير صحيحة",IF(ISNA(MATCH($G718,Lists!$B$2:$B$7,0)),"✖ المجموعة غير صحيحة",IF(NOT(OR($H718="",$N718&gt;0)),"✖ Start غير صحيح",IF(NOT(OR($I718="",$I718="NR",$O718&gt;0)),"✖ Current غير صحيح",IF(NOT(IF(ISNUMBER($J718),AND($J718&gt;=0,$J718=INT($J718)),FALSE())),"✖ العدد يجب أن يكون صحيحًا ≥ 0",IF(AND($F718="Baseline",$H718&lt;&gt;""),"⚠ Baseline: Start لا يدخل في التقدم",IF($K718="No Start (attainment only)","ℹ تحصيل فقط (بدون Start)",IF($K718="U – needs rule","ℹ حالة U تحتاج قاعدة معتمدة",IF($K718="No result","ℹ بدون نتيجة (يُستبعد من التحصيل)","OK")))))))))))</f>
        <v/>
      </c>
      <c r="M718" s="64" t="n">
        <f aca="false">IF($A718="",0,IFERROR(MATCH($A718,Classes!$A$6:$A$420,0),0))</f>
        <v>0</v>
      </c>
      <c r="N718" s="64" t="n">
        <f aca="false">IF($H718="",0,IFERROR(MATCH($H718,GradeList,0),0))</f>
        <v>0</v>
      </c>
      <c r="O718" s="64" t="n">
        <f aca="false">IF(OR($I718="",$I718="NR"),0,IFERROR(MATCH($I718,GradeList,0),0))</f>
        <v>0</v>
      </c>
      <c r="P718" s="64" t="n">
        <f aca="false">IF(AND($M718&gt;0,ISNUMBER(MATCH($F718,Lists!$A$2:$A$5,0)),ISNUMBER(MATCH($G718,Lists!$B$2:$B$7,0)),OR($H718="",$N718&gt;0),OR($I718="",$I718="NR",$O718&gt;0),IF(ISNUMBER($J718),AND($J718&gt;=0,$J718=INT($J718)),FALSE())),$J718,0)</f>
        <v>0</v>
      </c>
      <c r="Q718" s="64" t="n">
        <f aca="false">IF(AND($P718&gt;0,$O718&gt;0),$P718,0)</f>
        <v>0</v>
      </c>
      <c r="R718" s="64" t="n">
        <f aca="false">IF(AND($Q718&gt;0,$O718&gt;=AtRank),$Q718,0)</f>
        <v>0</v>
      </c>
      <c r="S718" s="64" t="n">
        <f aca="false">IF(AND($Q718&gt;0,$O718&gt;=AboveRank),$Q718,0)</f>
        <v>0</v>
      </c>
      <c r="T718" s="64" t="n">
        <f aca="false">IF($K718="Less",$P718,0)</f>
        <v>0</v>
      </c>
      <c r="U718" s="64" t="n">
        <f aca="false">IF($K718="Expected",$P718,0)</f>
        <v>0</v>
      </c>
      <c r="V718" s="64" t="n">
        <f aca="false">IF($K718="Better",$P718,0)</f>
        <v>0</v>
      </c>
      <c r="W718" s="64" t="n">
        <f aca="false">IF($K718="U – needs rule",$P718,0)</f>
        <v>0</v>
      </c>
      <c r="X718" s="64" t="n">
        <f aca="false">IF($K718="No Start (attainment only)",$P718,0)</f>
        <v>0</v>
      </c>
    </row>
    <row r="719" customFormat="false" ht="15" hidden="false" customHeight="false" outlineLevel="0" collapsed="false">
      <c r="A719" s="60"/>
      <c r="B719" s="61" t="str">
        <f aca="false">IF($M719=0,"",INDEX(Classes!$E$6:$E$420,$M719))</f>
        <v/>
      </c>
      <c r="C719" s="62" t="str">
        <f aca="false">IF($M719=0,"",INDEX(Classes!$H$6:$H$420,$M719))</f>
        <v/>
      </c>
      <c r="D719" s="61" t="str">
        <f aca="false">IF($M719=0,"",INDEX(Classes!$B$6:$B$420,$M719))</f>
        <v/>
      </c>
      <c r="E719" s="61" t="str">
        <f aca="false">IF($M719=0,"",INDEX(Classes!$C$6:$C$420,$M719))</f>
        <v/>
      </c>
      <c r="F719" s="63"/>
      <c r="G719" s="63"/>
      <c r="H719" s="60"/>
      <c r="I719" s="60"/>
      <c r="J719" s="63"/>
      <c r="K719" s="61" t="str">
        <f aca="false">IF($P719=0,"",IF($F719="Baseline","— Baseline",IF($O719=0,"No result",IF($N719=0,"No Start (attainment only)",IF(OR($N719=1,$O719=1),"U – needs rule",INDEX(MxBody,MATCH($I719,MxCurr,0),MATCH($H719,MxStart,0)))))))</f>
        <v/>
      </c>
      <c r="L719" s="62" t="str">
        <f aca="false">IF(COUNTA($A719,$F719,$G719,$H719,$I719,$J719)=0,"",IF($M719=0,"✖ كود الصف غير موجود",IF(ISNA(MATCH($F719,Lists!$A$2:$A$5,0)),"✖ الفترة غير صحيحة",IF(ISNA(MATCH($G719,Lists!$B$2:$B$7,0)),"✖ المجموعة غير صحيحة",IF(NOT(OR($H719="",$N719&gt;0)),"✖ Start غير صحيح",IF(NOT(OR($I719="",$I719="NR",$O719&gt;0)),"✖ Current غير صحيح",IF(NOT(IF(ISNUMBER($J719),AND($J719&gt;=0,$J719=INT($J719)),FALSE())),"✖ العدد يجب أن يكون صحيحًا ≥ 0",IF(AND($F719="Baseline",$H719&lt;&gt;""),"⚠ Baseline: Start لا يدخل في التقدم",IF($K719="No Start (attainment only)","ℹ تحصيل فقط (بدون Start)",IF($K719="U – needs rule","ℹ حالة U تحتاج قاعدة معتمدة",IF($K719="No result","ℹ بدون نتيجة (يُستبعد من التحصيل)","OK")))))))))))</f>
        <v/>
      </c>
      <c r="M719" s="64" t="n">
        <f aca="false">IF($A719="",0,IFERROR(MATCH($A719,Classes!$A$6:$A$420,0),0))</f>
        <v>0</v>
      </c>
      <c r="N719" s="64" t="n">
        <f aca="false">IF($H719="",0,IFERROR(MATCH($H719,GradeList,0),0))</f>
        <v>0</v>
      </c>
      <c r="O719" s="64" t="n">
        <f aca="false">IF(OR($I719="",$I719="NR"),0,IFERROR(MATCH($I719,GradeList,0),0))</f>
        <v>0</v>
      </c>
      <c r="P719" s="64" t="n">
        <f aca="false">IF(AND($M719&gt;0,ISNUMBER(MATCH($F719,Lists!$A$2:$A$5,0)),ISNUMBER(MATCH($G719,Lists!$B$2:$B$7,0)),OR($H719="",$N719&gt;0),OR($I719="",$I719="NR",$O719&gt;0),IF(ISNUMBER($J719),AND($J719&gt;=0,$J719=INT($J719)),FALSE())),$J719,0)</f>
        <v>0</v>
      </c>
      <c r="Q719" s="64" t="n">
        <f aca="false">IF(AND($P719&gt;0,$O719&gt;0),$P719,0)</f>
        <v>0</v>
      </c>
      <c r="R719" s="64" t="n">
        <f aca="false">IF(AND($Q719&gt;0,$O719&gt;=AtRank),$Q719,0)</f>
        <v>0</v>
      </c>
      <c r="S719" s="64" t="n">
        <f aca="false">IF(AND($Q719&gt;0,$O719&gt;=AboveRank),$Q719,0)</f>
        <v>0</v>
      </c>
      <c r="T719" s="64" t="n">
        <f aca="false">IF($K719="Less",$P719,0)</f>
        <v>0</v>
      </c>
      <c r="U719" s="64" t="n">
        <f aca="false">IF($K719="Expected",$P719,0)</f>
        <v>0</v>
      </c>
      <c r="V719" s="64" t="n">
        <f aca="false">IF($K719="Better",$P719,0)</f>
        <v>0</v>
      </c>
      <c r="W719" s="64" t="n">
        <f aca="false">IF($K719="U – needs rule",$P719,0)</f>
        <v>0</v>
      </c>
      <c r="X719" s="64" t="n">
        <f aca="false">IF($K719="No Start (attainment only)",$P719,0)</f>
        <v>0</v>
      </c>
    </row>
    <row r="720" customFormat="false" ht="15" hidden="false" customHeight="false" outlineLevel="0" collapsed="false">
      <c r="A720" s="60"/>
      <c r="B720" s="61" t="str">
        <f aca="false">IF($M720=0,"",INDEX(Classes!$E$6:$E$420,$M720))</f>
        <v/>
      </c>
      <c r="C720" s="62" t="str">
        <f aca="false">IF($M720=0,"",INDEX(Classes!$H$6:$H$420,$M720))</f>
        <v/>
      </c>
      <c r="D720" s="61" t="str">
        <f aca="false">IF($M720=0,"",INDEX(Classes!$B$6:$B$420,$M720))</f>
        <v/>
      </c>
      <c r="E720" s="61" t="str">
        <f aca="false">IF($M720=0,"",INDEX(Classes!$C$6:$C$420,$M720))</f>
        <v/>
      </c>
      <c r="F720" s="63"/>
      <c r="G720" s="63"/>
      <c r="H720" s="60"/>
      <c r="I720" s="60"/>
      <c r="J720" s="63"/>
      <c r="K720" s="61" t="str">
        <f aca="false">IF($P720=0,"",IF($F720="Baseline","— Baseline",IF($O720=0,"No result",IF($N720=0,"No Start (attainment only)",IF(OR($N720=1,$O720=1),"U – needs rule",INDEX(MxBody,MATCH($I720,MxCurr,0),MATCH($H720,MxStart,0)))))))</f>
        <v/>
      </c>
      <c r="L720" s="62" t="str">
        <f aca="false">IF(COUNTA($A720,$F720,$G720,$H720,$I720,$J720)=0,"",IF($M720=0,"✖ كود الصف غير موجود",IF(ISNA(MATCH($F720,Lists!$A$2:$A$5,0)),"✖ الفترة غير صحيحة",IF(ISNA(MATCH($G720,Lists!$B$2:$B$7,0)),"✖ المجموعة غير صحيحة",IF(NOT(OR($H720="",$N720&gt;0)),"✖ Start غير صحيح",IF(NOT(OR($I720="",$I720="NR",$O720&gt;0)),"✖ Current غير صحيح",IF(NOT(IF(ISNUMBER($J720),AND($J720&gt;=0,$J720=INT($J720)),FALSE())),"✖ العدد يجب أن يكون صحيحًا ≥ 0",IF(AND($F720="Baseline",$H720&lt;&gt;""),"⚠ Baseline: Start لا يدخل في التقدم",IF($K720="No Start (attainment only)","ℹ تحصيل فقط (بدون Start)",IF($K720="U – needs rule","ℹ حالة U تحتاج قاعدة معتمدة",IF($K720="No result","ℹ بدون نتيجة (يُستبعد من التحصيل)","OK")))))))))))</f>
        <v/>
      </c>
      <c r="M720" s="64" t="n">
        <f aca="false">IF($A720="",0,IFERROR(MATCH($A720,Classes!$A$6:$A$420,0),0))</f>
        <v>0</v>
      </c>
      <c r="N720" s="64" t="n">
        <f aca="false">IF($H720="",0,IFERROR(MATCH($H720,GradeList,0),0))</f>
        <v>0</v>
      </c>
      <c r="O720" s="64" t="n">
        <f aca="false">IF(OR($I720="",$I720="NR"),0,IFERROR(MATCH($I720,GradeList,0),0))</f>
        <v>0</v>
      </c>
      <c r="P720" s="64" t="n">
        <f aca="false">IF(AND($M720&gt;0,ISNUMBER(MATCH($F720,Lists!$A$2:$A$5,0)),ISNUMBER(MATCH($G720,Lists!$B$2:$B$7,0)),OR($H720="",$N720&gt;0),OR($I720="",$I720="NR",$O720&gt;0),IF(ISNUMBER($J720),AND($J720&gt;=0,$J720=INT($J720)),FALSE())),$J720,0)</f>
        <v>0</v>
      </c>
      <c r="Q720" s="64" t="n">
        <f aca="false">IF(AND($P720&gt;0,$O720&gt;0),$P720,0)</f>
        <v>0</v>
      </c>
      <c r="R720" s="64" t="n">
        <f aca="false">IF(AND($Q720&gt;0,$O720&gt;=AtRank),$Q720,0)</f>
        <v>0</v>
      </c>
      <c r="S720" s="64" t="n">
        <f aca="false">IF(AND($Q720&gt;0,$O720&gt;=AboveRank),$Q720,0)</f>
        <v>0</v>
      </c>
      <c r="T720" s="64" t="n">
        <f aca="false">IF($K720="Less",$P720,0)</f>
        <v>0</v>
      </c>
      <c r="U720" s="64" t="n">
        <f aca="false">IF($K720="Expected",$P720,0)</f>
        <v>0</v>
      </c>
      <c r="V720" s="64" t="n">
        <f aca="false">IF($K720="Better",$P720,0)</f>
        <v>0</v>
      </c>
      <c r="W720" s="64" t="n">
        <f aca="false">IF($K720="U – needs rule",$P720,0)</f>
        <v>0</v>
      </c>
      <c r="X720" s="64" t="n">
        <f aca="false">IF($K720="No Start (attainment only)",$P720,0)</f>
        <v>0</v>
      </c>
    </row>
    <row r="721" customFormat="false" ht="15" hidden="false" customHeight="false" outlineLevel="0" collapsed="false">
      <c r="A721" s="60"/>
      <c r="B721" s="61" t="str">
        <f aca="false">IF($M721=0,"",INDEX(Classes!$E$6:$E$420,$M721))</f>
        <v/>
      </c>
      <c r="C721" s="62" t="str">
        <f aca="false">IF($M721=0,"",INDEX(Classes!$H$6:$H$420,$M721))</f>
        <v/>
      </c>
      <c r="D721" s="61" t="str">
        <f aca="false">IF($M721=0,"",INDEX(Classes!$B$6:$B$420,$M721))</f>
        <v/>
      </c>
      <c r="E721" s="61" t="str">
        <f aca="false">IF($M721=0,"",INDEX(Classes!$C$6:$C$420,$M721))</f>
        <v/>
      </c>
      <c r="F721" s="63"/>
      <c r="G721" s="63"/>
      <c r="H721" s="60"/>
      <c r="I721" s="60"/>
      <c r="J721" s="63"/>
      <c r="K721" s="61" t="str">
        <f aca="false">IF($P721=0,"",IF($F721="Baseline","— Baseline",IF($O721=0,"No result",IF($N721=0,"No Start (attainment only)",IF(OR($N721=1,$O721=1),"U – needs rule",INDEX(MxBody,MATCH($I721,MxCurr,0),MATCH($H721,MxStart,0)))))))</f>
        <v/>
      </c>
      <c r="L721" s="62" t="str">
        <f aca="false">IF(COUNTA($A721,$F721,$G721,$H721,$I721,$J721)=0,"",IF($M721=0,"✖ كود الصف غير موجود",IF(ISNA(MATCH($F721,Lists!$A$2:$A$5,0)),"✖ الفترة غير صحيحة",IF(ISNA(MATCH($G721,Lists!$B$2:$B$7,0)),"✖ المجموعة غير صحيحة",IF(NOT(OR($H721="",$N721&gt;0)),"✖ Start غير صحيح",IF(NOT(OR($I721="",$I721="NR",$O721&gt;0)),"✖ Current غير صحيح",IF(NOT(IF(ISNUMBER($J721),AND($J721&gt;=0,$J721=INT($J721)),FALSE())),"✖ العدد يجب أن يكون صحيحًا ≥ 0",IF(AND($F721="Baseline",$H721&lt;&gt;""),"⚠ Baseline: Start لا يدخل في التقدم",IF($K721="No Start (attainment only)","ℹ تحصيل فقط (بدون Start)",IF($K721="U – needs rule","ℹ حالة U تحتاج قاعدة معتمدة",IF($K721="No result","ℹ بدون نتيجة (يُستبعد من التحصيل)","OK")))))))))))</f>
        <v/>
      </c>
      <c r="M721" s="64" t="n">
        <f aca="false">IF($A721="",0,IFERROR(MATCH($A721,Classes!$A$6:$A$420,0),0))</f>
        <v>0</v>
      </c>
      <c r="N721" s="64" t="n">
        <f aca="false">IF($H721="",0,IFERROR(MATCH($H721,GradeList,0),0))</f>
        <v>0</v>
      </c>
      <c r="O721" s="64" t="n">
        <f aca="false">IF(OR($I721="",$I721="NR"),0,IFERROR(MATCH($I721,GradeList,0),0))</f>
        <v>0</v>
      </c>
      <c r="P721" s="64" t="n">
        <f aca="false">IF(AND($M721&gt;0,ISNUMBER(MATCH($F721,Lists!$A$2:$A$5,0)),ISNUMBER(MATCH($G721,Lists!$B$2:$B$7,0)),OR($H721="",$N721&gt;0),OR($I721="",$I721="NR",$O721&gt;0),IF(ISNUMBER($J721),AND($J721&gt;=0,$J721=INT($J721)),FALSE())),$J721,0)</f>
        <v>0</v>
      </c>
      <c r="Q721" s="64" t="n">
        <f aca="false">IF(AND($P721&gt;0,$O721&gt;0),$P721,0)</f>
        <v>0</v>
      </c>
      <c r="R721" s="64" t="n">
        <f aca="false">IF(AND($Q721&gt;0,$O721&gt;=AtRank),$Q721,0)</f>
        <v>0</v>
      </c>
      <c r="S721" s="64" t="n">
        <f aca="false">IF(AND($Q721&gt;0,$O721&gt;=AboveRank),$Q721,0)</f>
        <v>0</v>
      </c>
      <c r="T721" s="64" t="n">
        <f aca="false">IF($K721="Less",$P721,0)</f>
        <v>0</v>
      </c>
      <c r="U721" s="64" t="n">
        <f aca="false">IF($K721="Expected",$P721,0)</f>
        <v>0</v>
      </c>
      <c r="V721" s="64" t="n">
        <f aca="false">IF($K721="Better",$P721,0)</f>
        <v>0</v>
      </c>
      <c r="W721" s="64" t="n">
        <f aca="false">IF($K721="U – needs rule",$P721,0)</f>
        <v>0</v>
      </c>
      <c r="X721" s="64" t="n">
        <f aca="false">IF($K721="No Start (attainment only)",$P721,0)</f>
        <v>0</v>
      </c>
    </row>
    <row r="722" customFormat="false" ht="15" hidden="false" customHeight="false" outlineLevel="0" collapsed="false">
      <c r="A722" s="60"/>
      <c r="B722" s="61" t="str">
        <f aca="false">IF($M722=0,"",INDEX(Classes!$E$6:$E$420,$M722))</f>
        <v/>
      </c>
      <c r="C722" s="62" t="str">
        <f aca="false">IF($M722=0,"",INDEX(Classes!$H$6:$H$420,$M722))</f>
        <v/>
      </c>
      <c r="D722" s="61" t="str">
        <f aca="false">IF($M722=0,"",INDEX(Classes!$B$6:$B$420,$M722))</f>
        <v/>
      </c>
      <c r="E722" s="61" t="str">
        <f aca="false">IF($M722=0,"",INDEX(Classes!$C$6:$C$420,$M722))</f>
        <v/>
      </c>
      <c r="F722" s="63"/>
      <c r="G722" s="63"/>
      <c r="H722" s="60"/>
      <c r="I722" s="60"/>
      <c r="J722" s="63"/>
      <c r="K722" s="61" t="str">
        <f aca="false">IF($P722=0,"",IF($F722="Baseline","— Baseline",IF($O722=0,"No result",IF($N722=0,"No Start (attainment only)",IF(OR($N722=1,$O722=1),"U – needs rule",INDEX(MxBody,MATCH($I722,MxCurr,0),MATCH($H722,MxStart,0)))))))</f>
        <v/>
      </c>
      <c r="L722" s="62" t="str">
        <f aca="false">IF(COUNTA($A722,$F722,$G722,$H722,$I722,$J722)=0,"",IF($M722=0,"✖ كود الصف غير موجود",IF(ISNA(MATCH($F722,Lists!$A$2:$A$5,0)),"✖ الفترة غير صحيحة",IF(ISNA(MATCH($G722,Lists!$B$2:$B$7,0)),"✖ المجموعة غير صحيحة",IF(NOT(OR($H722="",$N722&gt;0)),"✖ Start غير صحيح",IF(NOT(OR($I722="",$I722="NR",$O722&gt;0)),"✖ Current غير صحيح",IF(NOT(IF(ISNUMBER($J722),AND($J722&gt;=0,$J722=INT($J722)),FALSE())),"✖ العدد يجب أن يكون صحيحًا ≥ 0",IF(AND($F722="Baseline",$H722&lt;&gt;""),"⚠ Baseline: Start لا يدخل في التقدم",IF($K722="No Start (attainment only)","ℹ تحصيل فقط (بدون Start)",IF($K722="U – needs rule","ℹ حالة U تحتاج قاعدة معتمدة",IF($K722="No result","ℹ بدون نتيجة (يُستبعد من التحصيل)","OK")))))))))))</f>
        <v/>
      </c>
      <c r="M722" s="64" t="n">
        <f aca="false">IF($A722="",0,IFERROR(MATCH($A722,Classes!$A$6:$A$420,0),0))</f>
        <v>0</v>
      </c>
      <c r="N722" s="64" t="n">
        <f aca="false">IF($H722="",0,IFERROR(MATCH($H722,GradeList,0),0))</f>
        <v>0</v>
      </c>
      <c r="O722" s="64" t="n">
        <f aca="false">IF(OR($I722="",$I722="NR"),0,IFERROR(MATCH($I722,GradeList,0),0))</f>
        <v>0</v>
      </c>
      <c r="P722" s="64" t="n">
        <f aca="false">IF(AND($M722&gt;0,ISNUMBER(MATCH($F722,Lists!$A$2:$A$5,0)),ISNUMBER(MATCH($G722,Lists!$B$2:$B$7,0)),OR($H722="",$N722&gt;0),OR($I722="",$I722="NR",$O722&gt;0),IF(ISNUMBER($J722),AND($J722&gt;=0,$J722=INT($J722)),FALSE())),$J722,0)</f>
        <v>0</v>
      </c>
      <c r="Q722" s="64" t="n">
        <f aca="false">IF(AND($P722&gt;0,$O722&gt;0),$P722,0)</f>
        <v>0</v>
      </c>
      <c r="R722" s="64" t="n">
        <f aca="false">IF(AND($Q722&gt;0,$O722&gt;=AtRank),$Q722,0)</f>
        <v>0</v>
      </c>
      <c r="S722" s="64" t="n">
        <f aca="false">IF(AND($Q722&gt;0,$O722&gt;=AboveRank),$Q722,0)</f>
        <v>0</v>
      </c>
      <c r="T722" s="64" t="n">
        <f aca="false">IF($K722="Less",$P722,0)</f>
        <v>0</v>
      </c>
      <c r="U722" s="64" t="n">
        <f aca="false">IF($K722="Expected",$P722,0)</f>
        <v>0</v>
      </c>
      <c r="V722" s="64" t="n">
        <f aca="false">IF($K722="Better",$P722,0)</f>
        <v>0</v>
      </c>
      <c r="W722" s="64" t="n">
        <f aca="false">IF($K722="U – needs rule",$P722,0)</f>
        <v>0</v>
      </c>
      <c r="X722" s="64" t="n">
        <f aca="false">IF($K722="No Start (attainment only)",$P722,0)</f>
        <v>0</v>
      </c>
    </row>
    <row r="723" customFormat="false" ht="15" hidden="false" customHeight="false" outlineLevel="0" collapsed="false">
      <c r="A723" s="60"/>
      <c r="B723" s="61" t="str">
        <f aca="false">IF($M723=0,"",INDEX(Classes!$E$6:$E$420,$M723))</f>
        <v/>
      </c>
      <c r="C723" s="62" t="str">
        <f aca="false">IF($M723=0,"",INDEX(Classes!$H$6:$H$420,$M723))</f>
        <v/>
      </c>
      <c r="D723" s="61" t="str">
        <f aca="false">IF($M723=0,"",INDEX(Classes!$B$6:$B$420,$M723))</f>
        <v/>
      </c>
      <c r="E723" s="61" t="str">
        <f aca="false">IF($M723=0,"",INDEX(Classes!$C$6:$C$420,$M723))</f>
        <v/>
      </c>
      <c r="F723" s="63"/>
      <c r="G723" s="63"/>
      <c r="H723" s="60"/>
      <c r="I723" s="60"/>
      <c r="J723" s="63"/>
      <c r="K723" s="61" t="str">
        <f aca="false">IF($P723=0,"",IF($F723="Baseline","— Baseline",IF($O723=0,"No result",IF($N723=0,"No Start (attainment only)",IF(OR($N723=1,$O723=1),"U – needs rule",INDEX(MxBody,MATCH($I723,MxCurr,0),MATCH($H723,MxStart,0)))))))</f>
        <v/>
      </c>
      <c r="L723" s="62" t="str">
        <f aca="false">IF(COUNTA($A723,$F723,$G723,$H723,$I723,$J723)=0,"",IF($M723=0,"✖ كود الصف غير موجود",IF(ISNA(MATCH($F723,Lists!$A$2:$A$5,0)),"✖ الفترة غير صحيحة",IF(ISNA(MATCH($G723,Lists!$B$2:$B$7,0)),"✖ المجموعة غير صحيحة",IF(NOT(OR($H723="",$N723&gt;0)),"✖ Start غير صحيح",IF(NOT(OR($I723="",$I723="NR",$O723&gt;0)),"✖ Current غير صحيح",IF(NOT(IF(ISNUMBER($J723),AND($J723&gt;=0,$J723=INT($J723)),FALSE())),"✖ العدد يجب أن يكون صحيحًا ≥ 0",IF(AND($F723="Baseline",$H723&lt;&gt;""),"⚠ Baseline: Start لا يدخل في التقدم",IF($K723="No Start (attainment only)","ℹ تحصيل فقط (بدون Start)",IF($K723="U – needs rule","ℹ حالة U تحتاج قاعدة معتمدة",IF($K723="No result","ℹ بدون نتيجة (يُستبعد من التحصيل)","OK")))))))))))</f>
        <v/>
      </c>
      <c r="M723" s="64" t="n">
        <f aca="false">IF($A723="",0,IFERROR(MATCH($A723,Classes!$A$6:$A$420,0),0))</f>
        <v>0</v>
      </c>
      <c r="N723" s="64" t="n">
        <f aca="false">IF($H723="",0,IFERROR(MATCH($H723,GradeList,0),0))</f>
        <v>0</v>
      </c>
      <c r="O723" s="64" t="n">
        <f aca="false">IF(OR($I723="",$I723="NR"),0,IFERROR(MATCH($I723,GradeList,0),0))</f>
        <v>0</v>
      </c>
      <c r="P723" s="64" t="n">
        <f aca="false">IF(AND($M723&gt;0,ISNUMBER(MATCH($F723,Lists!$A$2:$A$5,0)),ISNUMBER(MATCH($G723,Lists!$B$2:$B$7,0)),OR($H723="",$N723&gt;0),OR($I723="",$I723="NR",$O723&gt;0),IF(ISNUMBER($J723),AND($J723&gt;=0,$J723=INT($J723)),FALSE())),$J723,0)</f>
        <v>0</v>
      </c>
      <c r="Q723" s="64" t="n">
        <f aca="false">IF(AND($P723&gt;0,$O723&gt;0),$P723,0)</f>
        <v>0</v>
      </c>
      <c r="R723" s="64" t="n">
        <f aca="false">IF(AND($Q723&gt;0,$O723&gt;=AtRank),$Q723,0)</f>
        <v>0</v>
      </c>
      <c r="S723" s="64" t="n">
        <f aca="false">IF(AND($Q723&gt;0,$O723&gt;=AboveRank),$Q723,0)</f>
        <v>0</v>
      </c>
      <c r="T723" s="64" t="n">
        <f aca="false">IF($K723="Less",$P723,0)</f>
        <v>0</v>
      </c>
      <c r="U723" s="64" t="n">
        <f aca="false">IF($K723="Expected",$P723,0)</f>
        <v>0</v>
      </c>
      <c r="V723" s="64" t="n">
        <f aca="false">IF($K723="Better",$P723,0)</f>
        <v>0</v>
      </c>
      <c r="W723" s="64" t="n">
        <f aca="false">IF($K723="U – needs rule",$P723,0)</f>
        <v>0</v>
      </c>
      <c r="X723" s="64" t="n">
        <f aca="false">IF($K723="No Start (attainment only)",$P723,0)</f>
        <v>0</v>
      </c>
    </row>
    <row r="724" customFormat="false" ht="15" hidden="false" customHeight="false" outlineLevel="0" collapsed="false">
      <c r="A724" s="60"/>
      <c r="B724" s="61" t="str">
        <f aca="false">IF($M724=0,"",INDEX(Classes!$E$6:$E$420,$M724))</f>
        <v/>
      </c>
      <c r="C724" s="62" t="str">
        <f aca="false">IF($M724=0,"",INDEX(Classes!$H$6:$H$420,$M724))</f>
        <v/>
      </c>
      <c r="D724" s="61" t="str">
        <f aca="false">IF($M724=0,"",INDEX(Classes!$B$6:$B$420,$M724))</f>
        <v/>
      </c>
      <c r="E724" s="61" t="str">
        <f aca="false">IF($M724=0,"",INDEX(Classes!$C$6:$C$420,$M724))</f>
        <v/>
      </c>
      <c r="F724" s="63"/>
      <c r="G724" s="63"/>
      <c r="H724" s="60"/>
      <c r="I724" s="60"/>
      <c r="J724" s="63"/>
      <c r="K724" s="61" t="str">
        <f aca="false">IF($P724=0,"",IF($F724="Baseline","— Baseline",IF($O724=0,"No result",IF($N724=0,"No Start (attainment only)",IF(OR($N724=1,$O724=1),"U – needs rule",INDEX(MxBody,MATCH($I724,MxCurr,0),MATCH($H724,MxStart,0)))))))</f>
        <v/>
      </c>
      <c r="L724" s="62" t="str">
        <f aca="false">IF(COUNTA($A724,$F724,$G724,$H724,$I724,$J724)=0,"",IF($M724=0,"✖ كود الصف غير موجود",IF(ISNA(MATCH($F724,Lists!$A$2:$A$5,0)),"✖ الفترة غير صحيحة",IF(ISNA(MATCH($G724,Lists!$B$2:$B$7,0)),"✖ المجموعة غير صحيحة",IF(NOT(OR($H724="",$N724&gt;0)),"✖ Start غير صحيح",IF(NOT(OR($I724="",$I724="NR",$O724&gt;0)),"✖ Current غير صحيح",IF(NOT(IF(ISNUMBER($J724),AND($J724&gt;=0,$J724=INT($J724)),FALSE())),"✖ العدد يجب أن يكون صحيحًا ≥ 0",IF(AND($F724="Baseline",$H724&lt;&gt;""),"⚠ Baseline: Start لا يدخل في التقدم",IF($K724="No Start (attainment only)","ℹ تحصيل فقط (بدون Start)",IF($K724="U – needs rule","ℹ حالة U تحتاج قاعدة معتمدة",IF($K724="No result","ℹ بدون نتيجة (يُستبعد من التحصيل)","OK")))))))))))</f>
        <v/>
      </c>
      <c r="M724" s="64" t="n">
        <f aca="false">IF($A724="",0,IFERROR(MATCH($A724,Classes!$A$6:$A$420,0),0))</f>
        <v>0</v>
      </c>
      <c r="N724" s="64" t="n">
        <f aca="false">IF($H724="",0,IFERROR(MATCH($H724,GradeList,0),0))</f>
        <v>0</v>
      </c>
      <c r="O724" s="64" t="n">
        <f aca="false">IF(OR($I724="",$I724="NR"),0,IFERROR(MATCH($I724,GradeList,0),0))</f>
        <v>0</v>
      </c>
      <c r="P724" s="64" t="n">
        <f aca="false">IF(AND($M724&gt;0,ISNUMBER(MATCH($F724,Lists!$A$2:$A$5,0)),ISNUMBER(MATCH($G724,Lists!$B$2:$B$7,0)),OR($H724="",$N724&gt;0),OR($I724="",$I724="NR",$O724&gt;0),IF(ISNUMBER($J724),AND($J724&gt;=0,$J724=INT($J724)),FALSE())),$J724,0)</f>
        <v>0</v>
      </c>
      <c r="Q724" s="64" t="n">
        <f aca="false">IF(AND($P724&gt;0,$O724&gt;0),$P724,0)</f>
        <v>0</v>
      </c>
      <c r="R724" s="64" t="n">
        <f aca="false">IF(AND($Q724&gt;0,$O724&gt;=AtRank),$Q724,0)</f>
        <v>0</v>
      </c>
      <c r="S724" s="64" t="n">
        <f aca="false">IF(AND($Q724&gt;0,$O724&gt;=AboveRank),$Q724,0)</f>
        <v>0</v>
      </c>
      <c r="T724" s="64" t="n">
        <f aca="false">IF($K724="Less",$P724,0)</f>
        <v>0</v>
      </c>
      <c r="U724" s="64" t="n">
        <f aca="false">IF($K724="Expected",$P724,0)</f>
        <v>0</v>
      </c>
      <c r="V724" s="64" t="n">
        <f aca="false">IF($K724="Better",$P724,0)</f>
        <v>0</v>
      </c>
      <c r="W724" s="64" t="n">
        <f aca="false">IF($K724="U – needs rule",$P724,0)</f>
        <v>0</v>
      </c>
      <c r="X724" s="64" t="n">
        <f aca="false">IF($K724="No Start (attainment only)",$P724,0)</f>
        <v>0</v>
      </c>
    </row>
    <row r="725" customFormat="false" ht="15" hidden="false" customHeight="false" outlineLevel="0" collapsed="false">
      <c r="A725" s="60"/>
      <c r="B725" s="61" t="str">
        <f aca="false">IF($M725=0,"",INDEX(Classes!$E$6:$E$420,$M725))</f>
        <v/>
      </c>
      <c r="C725" s="62" t="str">
        <f aca="false">IF($M725=0,"",INDEX(Classes!$H$6:$H$420,$M725))</f>
        <v/>
      </c>
      <c r="D725" s="61" t="str">
        <f aca="false">IF($M725=0,"",INDEX(Classes!$B$6:$B$420,$M725))</f>
        <v/>
      </c>
      <c r="E725" s="61" t="str">
        <f aca="false">IF($M725=0,"",INDEX(Classes!$C$6:$C$420,$M725))</f>
        <v/>
      </c>
      <c r="F725" s="63"/>
      <c r="G725" s="63"/>
      <c r="H725" s="60"/>
      <c r="I725" s="60"/>
      <c r="J725" s="63"/>
      <c r="K725" s="61" t="str">
        <f aca="false">IF($P725=0,"",IF($F725="Baseline","— Baseline",IF($O725=0,"No result",IF($N725=0,"No Start (attainment only)",IF(OR($N725=1,$O725=1),"U – needs rule",INDEX(MxBody,MATCH($I725,MxCurr,0),MATCH($H725,MxStart,0)))))))</f>
        <v/>
      </c>
      <c r="L725" s="62" t="str">
        <f aca="false">IF(COUNTA($A725,$F725,$G725,$H725,$I725,$J725)=0,"",IF($M725=0,"✖ كود الصف غير موجود",IF(ISNA(MATCH($F725,Lists!$A$2:$A$5,0)),"✖ الفترة غير صحيحة",IF(ISNA(MATCH($G725,Lists!$B$2:$B$7,0)),"✖ المجموعة غير صحيحة",IF(NOT(OR($H725="",$N725&gt;0)),"✖ Start غير صحيح",IF(NOT(OR($I725="",$I725="NR",$O725&gt;0)),"✖ Current غير صحيح",IF(NOT(IF(ISNUMBER($J725),AND($J725&gt;=0,$J725=INT($J725)),FALSE())),"✖ العدد يجب أن يكون صحيحًا ≥ 0",IF(AND($F725="Baseline",$H725&lt;&gt;""),"⚠ Baseline: Start لا يدخل في التقدم",IF($K725="No Start (attainment only)","ℹ تحصيل فقط (بدون Start)",IF($K725="U – needs rule","ℹ حالة U تحتاج قاعدة معتمدة",IF($K725="No result","ℹ بدون نتيجة (يُستبعد من التحصيل)","OK")))))))))))</f>
        <v/>
      </c>
      <c r="M725" s="64" t="n">
        <f aca="false">IF($A725="",0,IFERROR(MATCH($A725,Classes!$A$6:$A$420,0),0))</f>
        <v>0</v>
      </c>
      <c r="N725" s="64" t="n">
        <f aca="false">IF($H725="",0,IFERROR(MATCH($H725,GradeList,0),0))</f>
        <v>0</v>
      </c>
      <c r="O725" s="64" t="n">
        <f aca="false">IF(OR($I725="",$I725="NR"),0,IFERROR(MATCH($I725,GradeList,0),0))</f>
        <v>0</v>
      </c>
      <c r="P725" s="64" t="n">
        <f aca="false">IF(AND($M725&gt;0,ISNUMBER(MATCH($F725,Lists!$A$2:$A$5,0)),ISNUMBER(MATCH($G725,Lists!$B$2:$B$7,0)),OR($H725="",$N725&gt;0),OR($I725="",$I725="NR",$O725&gt;0),IF(ISNUMBER($J725),AND($J725&gt;=0,$J725=INT($J725)),FALSE())),$J725,0)</f>
        <v>0</v>
      </c>
      <c r="Q725" s="64" t="n">
        <f aca="false">IF(AND($P725&gt;0,$O725&gt;0),$P725,0)</f>
        <v>0</v>
      </c>
      <c r="R725" s="64" t="n">
        <f aca="false">IF(AND($Q725&gt;0,$O725&gt;=AtRank),$Q725,0)</f>
        <v>0</v>
      </c>
      <c r="S725" s="64" t="n">
        <f aca="false">IF(AND($Q725&gt;0,$O725&gt;=AboveRank),$Q725,0)</f>
        <v>0</v>
      </c>
      <c r="T725" s="64" t="n">
        <f aca="false">IF($K725="Less",$P725,0)</f>
        <v>0</v>
      </c>
      <c r="U725" s="64" t="n">
        <f aca="false">IF($K725="Expected",$P725,0)</f>
        <v>0</v>
      </c>
      <c r="V725" s="64" t="n">
        <f aca="false">IF($K725="Better",$P725,0)</f>
        <v>0</v>
      </c>
      <c r="W725" s="64" t="n">
        <f aca="false">IF($K725="U – needs rule",$P725,0)</f>
        <v>0</v>
      </c>
      <c r="X725" s="64" t="n">
        <f aca="false">IF($K725="No Start (attainment only)",$P725,0)</f>
        <v>0</v>
      </c>
    </row>
    <row r="726" customFormat="false" ht="15" hidden="false" customHeight="false" outlineLevel="0" collapsed="false">
      <c r="A726" s="60"/>
      <c r="B726" s="61" t="str">
        <f aca="false">IF($M726=0,"",INDEX(Classes!$E$6:$E$420,$M726))</f>
        <v/>
      </c>
      <c r="C726" s="62" t="str">
        <f aca="false">IF($M726=0,"",INDEX(Classes!$H$6:$H$420,$M726))</f>
        <v/>
      </c>
      <c r="D726" s="61" t="str">
        <f aca="false">IF($M726=0,"",INDEX(Classes!$B$6:$B$420,$M726))</f>
        <v/>
      </c>
      <c r="E726" s="61" t="str">
        <f aca="false">IF($M726=0,"",INDEX(Classes!$C$6:$C$420,$M726))</f>
        <v/>
      </c>
      <c r="F726" s="63"/>
      <c r="G726" s="63"/>
      <c r="H726" s="60"/>
      <c r="I726" s="60"/>
      <c r="J726" s="63"/>
      <c r="K726" s="61" t="str">
        <f aca="false">IF($P726=0,"",IF($F726="Baseline","— Baseline",IF($O726=0,"No result",IF($N726=0,"No Start (attainment only)",IF(OR($N726=1,$O726=1),"U – needs rule",INDEX(MxBody,MATCH($I726,MxCurr,0),MATCH($H726,MxStart,0)))))))</f>
        <v/>
      </c>
      <c r="L726" s="62" t="str">
        <f aca="false">IF(COUNTA($A726,$F726,$G726,$H726,$I726,$J726)=0,"",IF($M726=0,"✖ كود الصف غير موجود",IF(ISNA(MATCH($F726,Lists!$A$2:$A$5,0)),"✖ الفترة غير صحيحة",IF(ISNA(MATCH($G726,Lists!$B$2:$B$7,0)),"✖ المجموعة غير صحيحة",IF(NOT(OR($H726="",$N726&gt;0)),"✖ Start غير صحيح",IF(NOT(OR($I726="",$I726="NR",$O726&gt;0)),"✖ Current غير صحيح",IF(NOT(IF(ISNUMBER($J726),AND($J726&gt;=0,$J726=INT($J726)),FALSE())),"✖ العدد يجب أن يكون صحيحًا ≥ 0",IF(AND($F726="Baseline",$H726&lt;&gt;""),"⚠ Baseline: Start لا يدخل في التقدم",IF($K726="No Start (attainment only)","ℹ تحصيل فقط (بدون Start)",IF($K726="U – needs rule","ℹ حالة U تحتاج قاعدة معتمدة",IF($K726="No result","ℹ بدون نتيجة (يُستبعد من التحصيل)","OK")))))))))))</f>
        <v/>
      </c>
      <c r="M726" s="64" t="n">
        <f aca="false">IF($A726="",0,IFERROR(MATCH($A726,Classes!$A$6:$A$420,0),0))</f>
        <v>0</v>
      </c>
      <c r="N726" s="64" t="n">
        <f aca="false">IF($H726="",0,IFERROR(MATCH($H726,GradeList,0),0))</f>
        <v>0</v>
      </c>
      <c r="O726" s="64" t="n">
        <f aca="false">IF(OR($I726="",$I726="NR"),0,IFERROR(MATCH($I726,GradeList,0),0))</f>
        <v>0</v>
      </c>
      <c r="P726" s="64" t="n">
        <f aca="false">IF(AND($M726&gt;0,ISNUMBER(MATCH($F726,Lists!$A$2:$A$5,0)),ISNUMBER(MATCH($G726,Lists!$B$2:$B$7,0)),OR($H726="",$N726&gt;0),OR($I726="",$I726="NR",$O726&gt;0),IF(ISNUMBER($J726),AND($J726&gt;=0,$J726=INT($J726)),FALSE())),$J726,0)</f>
        <v>0</v>
      </c>
      <c r="Q726" s="64" t="n">
        <f aca="false">IF(AND($P726&gt;0,$O726&gt;0),$P726,0)</f>
        <v>0</v>
      </c>
      <c r="R726" s="64" t="n">
        <f aca="false">IF(AND($Q726&gt;0,$O726&gt;=AtRank),$Q726,0)</f>
        <v>0</v>
      </c>
      <c r="S726" s="64" t="n">
        <f aca="false">IF(AND($Q726&gt;0,$O726&gt;=AboveRank),$Q726,0)</f>
        <v>0</v>
      </c>
      <c r="T726" s="64" t="n">
        <f aca="false">IF($K726="Less",$P726,0)</f>
        <v>0</v>
      </c>
      <c r="U726" s="64" t="n">
        <f aca="false">IF($K726="Expected",$P726,0)</f>
        <v>0</v>
      </c>
      <c r="V726" s="64" t="n">
        <f aca="false">IF($K726="Better",$P726,0)</f>
        <v>0</v>
      </c>
      <c r="W726" s="64" t="n">
        <f aca="false">IF($K726="U – needs rule",$P726,0)</f>
        <v>0</v>
      </c>
      <c r="X726" s="64" t="n">
        <f aca="false">IF($K726="No Start (attainment only)",$P726,0)</f>
        <v>0</v>
      </c>
    </row>
    <row r="727" customFormat="false" ht="15" hidden="false" customHeight="false" outlineLevel="0" collapsed="false">
      <c r="A727" s="60"/>
      <c r="B727" s="61" t="str">
        <f aca="false">IF($M727=0,"",INDEX(Classes!$E$6:$E$420,$M727))</f>
        <v/>
      </c>
      <c r="C727" s="62" t="str">
        <f aca="false">IF($M727=0,"",INDEX(Classes!$H$6:$H$420,$M727))</f>
        <v/>
      </c>
      <c r="D727" s="61" t="str">
        <f aca="false">IF($M727=0,"",INDEX(Classes!$B$6:$B$420,$M727))</f>
        <v/>
      </c>
      <c r="E727" s="61" t="str">
        <f aca="false">IF($M727=0,"",INDEX(Classes!$C$6:$C$420,$M727))</f>
        <v/>
      </c>
      <c r="F727" s="63"/>
      <c r="G727" s="63"/>
      <c r="H727" s="60"/>
      <c r="I727" s="60"/>
      <c r="J727" s="63"/>
      <c r="K727" s="61" t="str">
        <f aca="false">IF($P727=0,"",IF($F727="Baseline","— Baseline",IF($O727=0,"No result",IF($N727=0,"No Start (attainment only)",IF(OR($N727=1,$O727=1),"U – needs rule",INDEX(MxBody,MATCH($I727,MxCurr,0),MATCH($H727,MxStart,0)))))))</f>
        <v/>
      </c>
      <c r="L727" s="62" t="str">
        <f aca="false">IF(COUNTA($A727,$F727,$G727,$H727,$I727,$J727)=0,"",IF($M727=0,"✖ كود الصف غير موجود",IF(ISNA(MATCH($F727,Lists!$A$2:$A$5,0)),"✖ الفترة غير صحيحة",IF(ISNA(MATCH($G727,Lists!$B$2:$B$7,0)),"✖ المجموعة غير صحيحة",IF(NOT(OR($H727="",$N727&gt;0)),"✖ Start غير صحيح",IF(NOT(OR($I727="",$I727="NR",$O727&gt;0)),"✖ Current غير صحيح",IF(NOT(IF(ISNUMBER($J727),AND($J727&gt;=0,$J727=INT($J727)),FALSE())),"✖ العدد يجب أن يكون صحيحًا ≥ 0",IF(AND($F727="Baseline",$H727&lt;&gt;""),"⚠ Baseline: Start لا يدخل في التقدم",IF($K727="No Start (attainment only)","ℹ تحصيل فقط (بدون Start)",IF($K727="U – needs rule","ℹ حالة U تحتاج قاعدة معتمدة",IF($K727="No result","ℹ بدون نتيجة (يُستبعد من التحصيل)","OK")))))))))))</f>
        <v/>
      </c>
      <c r="M727" s="64" t="n">
        <f aca="false">IF($A727="",0,IFERROR(MATCH($A727,Classes!$A$6:$A$420,0),0))</f>
        <v>0</v>
      </c>
      <c r="N727" s="64" t="n">
        <f aca="false">IF($H727="",0,IFERROR(MATCH($H727,GradeList,0),0))</f>
        <v>0</v>
      </c>
      <c r="O727" s="64" t="n">
        <f aca="false">IF(OR($I727="",$I727="NR"),0,IFERROR(MATCH($I727,GradeList,0),0))</f>
        <v>0</v>
      </c>
      <c r="P727" s="64" t="n">
        <f aca="false">IF(AND($M727&gt;0,ISNUMBER(MATCH($F727,Lists!$A$2:$A$5,0)),ISNUMBER(MATCH($G727,Lists!$B$2:$B$7,0)),OR($H727="",$N727&gt;0),OR($I727="",$I727="NR",$O727&gt;0),IF(ISNUMBER($J727),AND($J727&gt;=0,$J727=INT($J727)),FALSE())),$J727,0)</f>
        <v>0</v>
      </c>
      <c r="Q727" s="64" t="n">
        <f aca="false">IF(AND($P727&gt;0,$O727&gt;0),$P727,0)</f>
        <v>0</v>
      </c>
      <c r="R727" s="64" t="n">
        <f aca="false">IF(AND($Q727&gt;0,$O727&gt;=AtRank),$Q727,0)</f>
        <v>0</v>
      </c>
      <c r="S727" s="64" t="n">
        <f aca="false">IF(AND($Q727&gt;0,$O727&gt;=AboveRank),$Q727,0)</f>
        <v>0</v>
      </c>
      <c r="T727" s="64" t="n">
        <f aca="false">IF($K727="Less",$P727,0)</f>
        <v>0</v>
      </c>
      <c r="U727" s="64" t="n">
        <f aca="false">IF($K727="Expected",$P727,0)</f>
        <v>0</v>
      </c>
      <c r="V727" s="64" t="n">
        <f aca="false">IF($K727="Better",$P727,0)</f>
        <v>0</v>
      </c>
      <c r="W727" s="64" t="n">
        <f aca="false">IF($K727="U – needs rule",$P727,0)</f>
        <v>0</v>
      </c>
      <c r="X727" s="64" t="n">
        <f aca="false">IF($K727="No Start (attainment only)",$P727,0)</f>
        <v>0</v>
      </c>
    </row>
    <row r="728" customFormat="false" ht="15" hidden="false" customHeight="false" outlineLevel="0" collapsed="false">
      <c r="A728" s="60"/>
      <c r="B728" s="61" t="str">
        <f aca="false">IF($M728=0,"",INDEX(Classes!$E$6:$E$420,$M728))</f>
        <v/>
      </c>
      <c r="C728" s="62" t="str">
        <f aca="false">IF($M728=0,"",INDEX(Classes!$H$6:$H$420,$M728))</f>
        <v/>
      </c>
      <c r="D728" s="61" t="str">
        <f aca="false">IF($M728=0,"",INDEX(Classes!$B$6:$B$420,$M728))</f>
        <v/>
      </c>
      <c r="E728" s="61" t="str">
        <f aca="false">IF($M728=0,"",INDEX(Classes!$C$6:$C$420,$M728))</f>
        <v/>
      </c>
      <c r="F728" s="63"/>
      <c r="G728" s="63"/>
      <c r="H728" s="60"/>
      <c r="I728" s="60"/>
      <c r="J728" s="63"/>
      <c r="K728" s="61" t="str">
        <f aca="false">IF($P728=0,"",IF($F728="Baseline","— Baseline",IF($O728=0,"No result",IF($N728=0,"No Start (attainment only)",IF(OR($N728=1,$O728=1),"U – needs rule",INDEX(MxBody,MATCH($I728,MxCurr,0),MATCH($H728,MxStart,0)))))))</f>
        <v/>
      </c>
      <c r="L728" s="62" t="str">
        <f aca="false">IF(COUNTA($A728,$F728,$G728,$H728,$I728,$J728)=0,"",IF($M728=0,"✖ كود الصف غير موجود",IF(ISNA(MATCH($F728,Lists!$A$2:$A$5,0)),"✖ الفترة غير صحيحة",IF(ISNA(MATCH($G728,Lists!$B$2:$B$7,0)),"✖ المجموعة غير صحيحة",IF(NOT(OR($H728="",$N728&gt;0)),"✖ Start غير صحيح",IF(NOT(OR($I728="",$I728="NR",$O728&gt;0)),"✖ Current غير صحيح",IF(NOT(IF(ISNUMBER($J728),AND($J728&gt;=0,$J728=INT($J728)),FALSE())),"✖ العدد يجب أن يكون صحيحًا ≥ 0",IF(AND($F728="Baseline",$H728&lt;&gt;""),"⚠ Baseline: Start لا يدخل في التقدم",IF($K728="No Start (attainment only)","ℹ تحصيل فقط (بدون Start)",IF($K728="U – needs rule","ℹ حالة U تحتاج قاعدة معتمدة",IF($K728="No result","ℹ بدون نتيجة (يُستبعد من التحصيل)","OK")))))))))))</f>
        <v/>
      </c>
      <c r="M728" s="64" t="n">
        <f aca="false">IF($A728="",0,IFERROR(MATCH($A728,Classes!$A$6:$A$420,0),0))</f>
        <v>0</v>
      </c>
      <c r="N728" s="64" t="n">
        <f aca="false">IF($H728="",0,IFERROR(MATCH($H728,GradeList,0),0))</f>
        <v>0</v>
      </c>
      <c r="O728" s="64" t="n">
        <f aca="false">IF(OR($I728="",$I728="NR"),0,IFERROR(MATCH($I728,GradeList,0),0))</f>
        <v>0</v>
      </c>
      <c r="P728" s="64" t="n">
        <f aca="false">IF(AND($M728&gt;0,ISNUMBER(MATCH($F728,Lists!$A$2:$A$5,0)),ISNUMBER(MATCH($G728,Lists!$B$2:$B$7,0)),OR($H728="",$N728&gt;0),OR($I728="",$I728="NR",$O728&gt;0),IF(ISNUMBER($J728),AND($J728&gt;=0,$J728=INT($J728)),FALSE())),$J728,0)</f>
        <v>0</v>
      </c>
      <c r="Q728" s="64" t="n">
        <f aca="false">IF(AND($P728&gt;0,$O728&gt;0),$P728,0)</f>
        <v>0</v>
      </c>
      <c r="R728" s="64" t="n">
        <f aca="false">IF(AND($Q728&gt;0,$O728&gt;=AtRank),$Q728,0)</f>
        <v>0</v>
      </c>
      <c r="S728" s="64" t="n">
        <f aca="false">IF(AND($Q728&gt;0,$O728&gt;=AboveRank),$Q728,0)</f>
        <v>0</v>
      </c>
      <c r="T728" s="64" t="n">
        <f aca="false">IF($K728="Less",$P728,0)</f>
        <v>0</v>
      </c>
      <c r="U728" s="64" t="n">
        <f aca="false">IF($K728="Expected",$P728,0)</f>
        <v>0</v>
      </c>
      <c r="V728" s="64" t="n">
        <f aca="false">IF($K728="Better",$P728,0)</f>
        <v>0</v>
      </c>
      <c r="W728" s="64" t="n">
        <f aca="false">IF($K728="U – needs rule",$P728,0)</f>
        <v>0</v>
      </c>
      <c r="X728" s="64" t="n">
        <f aca="false">IF($K728="No Start (attainment only)",$P728,0)</f>
        <v>0</v>
      </c>
    </row>
    <row r="729" customFormat="false" ht="15" hidden="false" customHeight="false" outlineLevel="0" collapsed="false">
      <c r="A729" s="60"/>
      <c r="B729" s="61" t="str">
        <f aca="false">IF($M729=0,"",INDEX(Classes!$E$6:$E$420,$M729))</f>
        <v/>
      </c>
      <c r="C729" s="62" t="str">
        <f aca="false">IF($M729=0,"",INDEX(Classes!$H$6:$H$420,$M729))</f>
        <v/>
      </c>
      <c r="D729" s="61" t="str">
        <f aca="false">IF($M729=0,"",INDEX(Classes!$B$6:$B$420,$M729))</f>
        <v/>
      </c>
      <c r="E729" s="61" t="str">
        <f aca="false">IF($M729=0,"",INDEX(Classes!$C$6:$C$420,$M729))</f>
        <v/>
      </c>
      <c r="F729" s="63"/>
      <c r="G729" s="63"/>
      <c r="H729" s="60"/>
      <c r="I729" s="60"/>
      <c r="J729" s="63"/>
      <c r="K729" s="61" t="str">
        <f aca="false">IF($P729=0,"",IF($F729="Baseline","— Baseline",IF($O729=0,"No result",IF($N729=0,"No Start (attainment only)",IF(OR($N729=1,$O729=1),"U – needs rule",INDEX(MxBody,MATCH($I729,MxCurr,0),MATCH($H729,MxStart,0)))))))</f>
        <v/>
      </c>
      <c r="L729" s="62" t="str">
        <f aca="false">IF(COUNTA($A729,$F729,$G729,$H729,$I729,$J729)=0,"",IF($M729=0,"✖ كود الصف غير موجود",IF(ISNA(MATCH($F729,Lists!$A$2:$A$5,0)),"✖ الفترة غير صحيحة",IF(ISNA(MATCH($G729,Lists!$B$2:$B$7,0)),"✖ المجموعة غير صحيحة",IF(NOT(OR($H729="",$N729&gt;0)),"✖ Start غير صحيح",IF(NOT(OR($I729="",$I729="NR",$O729&gt;0)),"✖ Current غير صحيح",IF(NOT(IF(ISNUMBER($J729),AND($J729&gt;=0,$J729=INT($J729)),FALSE())),"✖ العدد يجب أن يكون صحيحًا ≥ 0",IF(AND($F729="Baseline",$H729&lt;&gt;""),"⚠ Baseline: Start لا يدخل في التقدم",IF($K729="No Start (attainment only)","ℹ تحصيل فقط (بدون Start)",IF($K729="U – needs rule","ℹ حالة U تحتاج قاعدة معتمدة",IF($K729="No result","ℹ بدون نتيجة (يُستبعد من التحصيل)","OK")))))))))))</f>
        <v/>
      </c>
      <c r="M729" s="64" t="n">
        <f aca="false">IF($A729="",0,IFERROR(MATCH($A729,Classes!$A$6:$A$420,0),0))</f>
        <v>0</v>
      </c>
      <c r="N729" s="64" t="n">
        <f aca="false">IF($H729="",0,IFERROR(MATCH($H729,GradeList,0),0))</f>
        <v>0</v>
      </c>
      <c r="O729" s="64" t="n">
        <f aca="false">IF(OR($I729="",$I729="NR"),0,IFERROR(MATCH($I729,GradeList,0),0))</f>
        <v>0</v>
      </c>
      <c r="P729" s="64" t="n">
        <f aca="false">IF(AND($M729&gt;0,ISNUMBER(MATCH($F729,Lists!$A$2:$A$5,0)),ISNUMBER(MATCH($G729,Lists!$B$2:$B$7,0)),OR($H729="",$N729&gt;0),OR($I729="",$I729="NR",$O729&gt;0),IF(ISNUMBER($J729),AND($J729&gt;=0,$J729=INT($J729)),FALSE())),$J729,0)</f>
        <v>0</v>
      </c>
      <c r="Q729" s="64" t="n">
        <f aca="false">IF(AND($P729&gt;0,$O729&gt;0),$P729,0)</f>
        <v>0</v>
      </c>
      <c r="R729" s="64" t="n">
        <f aca="false">IF(AND($Q729&gt;0,$O729&gt;=AtRank),$Q729,0)</f>
        <v>0</v>
      </c>
      <c r="S729" s="64" t="n">
        <f aca="false">IF(AND($Q729&gt;0,$O729&gt;=AboveRank),$Q729,0)</f>
        <v>0</v>
      </c>
      <c r="T729" s="64" t="n">
        <f aca="false">IF($K729="Less",$P729,0)</f>
        <v>0</v>
      </c>
      <c r="U729" s="64" t="n">
        <f aca="false">IF($K729="Expected",$P729,0)</f>
        <v>0</v>
      </c>
      <c r="V729" s="64" t="n">
        <f aca="false">IF($K729="Better",$P729,0)</f>
        <v>0</v>
      </c>
      <c r="W729" s="64" t="n">
        <f aca="false">IF($K729="U – needs rule",$P729,0)</f>
        <v>0</v>
      </c>
      <c r="X729" s="64" t="n">
        <f aca="false">IF($K729="No Start (attainment only)",$P729,0)</f>
        <v>0</v>
      </c>
    </row>
    <row r="730" customFormat="false" ht="15" hidden="false" customHeight="false" outlineLevel="0" collapsed="false">
      <c r="A730" s="60"/>
      <c r="B730" s="61" t="str">
        <f aca="false">IF($M730=0,"",INDEX(Classes!$E$6:$E$420,$M730))</f>
        <v/>
      </c>
      <c r="C730" s="62" t="str">
        <f aca="false">IF($M730=0,"",INDEX(Classes!$H$6:$H$420,$M730))</f>
        <v/>
      </c>
      <c r="D730" s="61" t="str">
        <f aca="false">IF($M730=0,"",INDEX(Classes!$B$6:$B$420,$M730))</f>
        <v/>
      </c>
      <c r="E730" s="61" t="str">
        <f aca="false">IF($M730=0,"",INDEX(Classes!$C$6:$C$420,$M730))</f>
        <v/>
      </c>
      <c r="F730" s="63"/>
      <c r="G730" s="63"/>
      <c r="H730" s="60"/>
      <c r="I730" s="60"/>
      <c r="J730" s="63"/>
      <c r="K730" s="61" t="str">
        <f aca="false">IF($P730=0,"",IF($F730="Baseline","— Baseline",IF($O730=0,"No result",IF($N730=0,"No Start (attainment only)",IF(OR($N730=1,$O730=1),"U – needs rule",INDEX(MxBody,MATCH($I730,MxCurr,0),MATCH($H730,MxStart,0)))))))</f>
        <v/>
      </c>
      <c r="L730" s="62" t="str">
        <f aca="false">IF(COUNTA($A730,$F730,$G730,$H730,$I730,$J730)=0,"",IF($M730=0,"✖ كود الصف غير موجود",IF(ISNA(MATCH($F730,Lists!$A$2:$A$5,0)),"✖ الفترة غير صحيحة",IF(ISNA(MATCH($G730,Lists!$B$2:$B$7,0)),"✖ المجموعة غير صحيحة",IF(NOT(OR($H730="",$N730&gt;0)),"✖ Start غير صحيح",IF(NOT(OR($I730="",$I730="NR",$O730&gt;0)),"✖ Current غير صحيح",IF(NOT(IF(ISNUMBER($J730),AND($J730&gt;=0,$J730=INT($J730)),FALSE())),"✖ العدد يجب أن يكون صحيحًا ≥ 0",IF(AND($F730="Baseline",$H730&lt;&gt;""),"⚠ Baseline: Start لا يدخل في التقدم",IF($K730="No Start (attainment only)","ℹ تحصيل فقط (بدون Start)",IF($K730="U – needs rule","ℹ حالة U تحتاج قاعدة معتمدة",IF($K730="No result","ℹ بدون نتيجة (يُستبعد من التحصيل)","OK")))))))))))</f>
        <v/>
      </c>
      <c r="M730" s="64" t="n">
        <f aca="false">IF($A730="",0,IFERROR(MATCH($A730,Classes!$A$6:$A$420,0),0))</f>
        <v>0</v>
      </c>
      <c r="N730" s="64" t="n">
        <f aca="false">IF($H730="",0,IFERROR(MATCH($H730,GradeList,0),0))</f>
        <v>0</v>
      </c>
      <c r="O730" s="64" t="n">
        <f aca="false">IF(OR($I730="",$I730="NR"),0,IFERROR(MATCH($I730,GradeList,0),0))</f>
        <v>0</v>
      </c>
      <c r="P730" s="64" t="n">
        <f aca="false">IF(AND($M730&gt;0,ISNUMBER(MATCH($F730,Lists!$A$2:$A$5,0)),ISNUMBER(MATCH($G730,Lists!$B$2:$B$7,0)),OR($H730="",$N730&gt;0),OR($I730="",$I730="NR",$O730&gt;0),IF(ISNUMBER($J730),AND($J730&gt;=0,$J730=INT($J730)),FALSE())),$J730,0)</f>
        <v>0</v>
      </c>
      <c r="Q730" s="64" t="n">
        <f aca="false">IF(AND($P730&gt;0,$O730&gt;0),$P730,0)</f>
        <v>0</v>
      </c>
      <c r="R730" s="64" t="n">
        <f aca="false">IF(AND($Q730&gt;0,$O730&gt;=AtRank),$Q730,0)</f>
        <v>0</v>
      </c>
      <c r="S730" s="64" t="n">
        <f aca="false">IF(AND($Q730&gt;0,$O730&gt;=AboveRank),$Q730,0)</f>
        <v>0</v>
      </c>
      <c r="T730" s="64" t="n">
        <f aca="false">IF($K730="Less",$P730,0)</f>
        <v>0</v>
      </c>
      <c r="U730" s="64" t="n">
        <f aca="false">IF($K730="Expected",$P730,0)</f>
        <v>0</v>
      </c>
      <c r="V730" s="64" t="n">
        <f aca="false">IF($K730="Better",$P730,0)</f>
        <v>0</v>
      </c>
      <c r="W730" s="64" t="n">
        <f aca="false">IF($K730="U – needs rule",$P730,0)</f>
        <v>0</v>
      </c>
      <c r="X730" s="64" t="n">
        <f aca="false">IF($K730="No Start (attainment only)",$P730,0)</f>
        <v>0</v>
      </c>
    </row>
    <row r="731" customFormat="false" ht="15" hidden="false" customHeight="false" outlineLevel="0" collapsed="false">
      <c r="A731" s="60"/>
      <c r="B731" s="61" t="str">
        <f aca="false">IF($M731=0,"",INDEX(Classes!$E$6:$E$420,$M731))</f>
        <v/>
      </c>
      <c r="C731" s="62" t="str">
        <f aca="false">IF($M731=0,"",INDEX(Classes!$H$6:$H$420,$M731))</f>
        <v/>
      </c>
      <c r="D731" s="61" t="str">
        <f aca="false">IF($M731=0,"",INDEX(Classes!$B$6:$B$420,$M731))</f>
        <v/>
      </c>
      <c r="E731" s="61" t="str">
        <f aca="false">IF($M731=0,"",INDEX(Classes!$C$6:$C$420,$M731))</f>
        <v/>
      </c>
      <c r="F731" s="63"/>
      <c r="G731" s="63"/>
      <c r="H731" s="60"/>
      <c r="I731" s="60"/>
      <c r="J731" s="63"/>
      <c r="K731" s="61" t="str">
        <f aca="false">IF($P731=0,"",IF($F731="Baseline","— Baseline",IF($O731=0,"No result",IF($N731=0,"No Start (attainment only)",IF(OR($N731=1,$O731=1),"U – needs rule",INDEX(MxBody,MATCH($I731,MxCurr,0),MATCH($H731,MxStart,0)))))))</f>
        <v/>
      </c>
      <c r="L731" s="62" t="str">
        <f aca="false">IF(COUNTA($A731,$F731,$G731,$H731,$I731,$J731)=0,"",IF($M731=0,"✖ كود الصف غير موجود",IF(ISNA(MATCH($F731,Lists!$A$2:$A$5,0)),"✖ الفترة غير صحيحة",IF(ISNA(MATCH($G731,Lists!$B$2:$B$7,0)),"✖ المجموعة غير صحيحة",IF(NOT(OR($H731="",$N731&gt;0)),"✖ Start غير صحيح",IF(NOT(OR($I731="",$I731="NR",$O731&gt;0)),"✖ Current غير صحيح",IF(NOT(IF(ISNUMBER($J731),AND($J731&gt;=0,$J731=INT($J731)),FALSE())),"✖ العدد يجب أن يكون صحيحًا ≥ 0",IF(AND($F731="Baseline",$H731&lt;&gt;""),"⚠ Baseline: Start لا يدخل في التقدم",IF($K731="No Start (attainment only)","ℹ تحصيل فقط (بدون Start)",IF($K731="U – needs rule","ℹ حالة U تحتاج قاعدة معتمدة",IF($K731="No result","ℹ بدون نتيجة (يُستبعد من التحصيل)","OK")))))))))))</f>
        <v/>
      </c>
      <c r="M731" s="64" t="n">
        <f aca="false">IF($A731="",0,IFERROR(MATCH($A731,Classes!$A$6:$A$420,0),0))</f>
        <v>0</v>
      </c>
      <c r="N731" s="64" t="n">
        <f aca="false">IF($H731="",0,IFERROR(MATCH($H731,GradeList,0),0))</f>
        <v>0</v>
      </c>
      <c r="O731" s="64" t="n">
        <f aca="false">IF(OR($I731="",$I731="NR"),0,IFERROR(MATCH($I731,GradeList,0),0))</f>
        <v>0</v>
      </c>
      <c r="P731" s="64" t="n">
        <f aca="false">IF(AND($M731&gt;0,ISNUMBER(MATCH($F731,Lists!$A$2:$A$5,0)),ISNUMBER(MATCH($G731,Lists!$B$2:$B$7,0)),OR($H731="",$N731&gt;0),OR($I731="",$I731="NR",$O731&gt;0),IF(ISNUMBER($J731),AND($J731&gt;=0,$J731=INT($J731)),FALSE())),$J731,0)</f>
        <v>0</v>
      </c>
      <c r="Q731" s="64" t="n">
        <f aca="false">IF(AND($P731&gt;0,$O731&gt;0),$P731,0)</f>
        <v>0</v>
      </c>
      <c r="R731" s="64" t="n">
        <f aca="false">IF(AND($Q731&gt;0,$O731&gt;=AtRank),$Q731,0)</f>
        <v>0</v>
      </c>
      <c r="S731" s="64" t="n">
        <f aca="false">IF(AND($Q731&gt;0,$O731&gt;=AboveRank),$Q731,0)</f>
        <v>0</v>
      </c>
      <c r="T731" s="64" t="n">
        <f aca="false">IF($K731="Less",$P731,0)</f>
        <v>0</v>
      </c>
      <c r="U731" s="64" t="n">
        <f aca="false">IF($K731="Expected",$P731,0)</f>
        <v>0</v>
      </c>
      <c r="V731" s="64" t="n">
        <f aca="false">IF($K731="Better",$P731,0)</f>
        <v>0</v>
      </c>
      <c r="W731" s="64" t="n">
        <f aca="false">IF($K731="U – needs rule",$P731,0)</f>
        <v>0</v>
      </c>
      <c r="X731" s="64" t="n">
        <f aca="false">IF($K731="No Start (attainment only)",$P731,0)</f>
        <v>0</v>
      </c>
    </row>
    <row r="732" customFormat="false" ht="15" hidden="false" customHeight="false" outlineLevel="0" collapsed="false">
      <c r="A732" s="60"/>
      <c r="B732" s="61" t="str">
        <f aca="false">IF($M732=0,"",INDEX(Classes!$E$6:$E$420,$M732))</f>
        <v/>
      </c>
      <c r="C732" s="62" t="str">
        <f aca="false">IF($M732=0,"",INDEX(Classes!$H$6:$H$420,$M732))</f>
        <v/>
      </c>
      <c r="D732" s="61" t="str">
        <f aca="false">IF($M732=0,"",INDEX(Classes!$B$6:$B$420,$M732))</f>
        <v/>
      </c>
      <c r="E732" s="61" t="str">
        <f aca="false">IF($M732=0,"",INDEX(Classes!$C$6:$C$420,$M732))</f>
        <v/>
      </c>
      <c r="F732" s="63"/>
      <c r="G732" s="63"/>
      <c r="H732" s="60"/>
      <c r="I732" s="60"/>
      <c r="J732" s="63"/>
      <c r="K732" s="61" t="str">
        <f aca="false">IF($P732=0,"",IF($F732="Baseline","— Baseline",IF($O732=0,"No result",IF($N732=0,"No Start (attainment only)",IF(OR($N732=1,$O732=1),"U – needs rule",INDEX(MxBody,MATCH($I732,MxCurr,0),MATCH($H732,MxStart,0)))))))</f>
        <v/>
      </c>
      <c r="L732" s="62" t="str">
        <f aca="false">IF(COUNTA($A732,$F732,$G732,$H732,$I732,$J732)=0,"",IF($M732=0,"✖ كود الصف غير موجود",IF(ISNA(MATCH($F732,Lists!$A$2:$A$5,0)),"✖ الفترة غير صحيحة",IF(ISNA(MATCH($G732,Lists!$B$2:$B$7,0)),"✖ المجموعة غير صحيحة",IF(NOT(OR($H732="",$N732&gt;0)),"✖ Start غير صحيح",IF(NOT(OR($I732="",$I732="NR",$O732&gt;0)),"✖ Current غير صحيح",IF(NOT(IF(ISNUMBER($J732),AND($J732&gt;=0,$J732=INT($J732)),FALSE())),"✖ العدد يجب أن يكون صحيحًا ≥ 0",IF(AND($F732="Baseline",$H732&lt;&gt;""),"⚠ Baseline: Start لا يدخل في التقدم",IF($K732="No Start (attainment only)","ℹ تحصيل فقط (بدون Start)",IF($K732="U – needs rule","ℹ حالة U تحتاج قاعدة معتمدة",IF($K732="No result","ℹ بدون نتيجة (يُستبعد من التحصيل)","OK")))))))))))</f>
        <v/>
      </c>
      <c r="M732" s="64" t="n">
        <f aca="false">IF($A732="",0,IFERROR(MATCH($A732,Classes!$A$6:$A$420,0),0))</f>
        <v>0</v>
      </c>
      <c r="N732" s="64" t="n">
        <f aca="false">IF($H732="",0,IFERROR(MATCH($H732,GradeList,0),0))</f>
        <v>0</v>
      </c>
      <c r="O732" s="64" t="n">
        <f aca="false">IF(OR($I732="",$I732="NR"),0,IFERROR(MATCH($I732,GradeList,0),0))</f>
        <v>0</v>
      </c>
      <c r="P732" s="64" t="n">
        <f aca="false">IF(AND($M732&gt;0,ISNUMBER(MATCH($F732,Lists!$A$2:$A$5,0)),ISNUMBER(MATCH($G732,Lists!$B$2:$B$7,0)),OR($H732="",$N732&gt;0),OR($I732="",$I732="NR",$O732&gt;0),IF(ISNUMBER($J732),AND($J732&gt;=0,$J732=INT($J732)),FALSE())),$J732,0)</f>
        <v>0</v>
      </c>
      <c r="Q732" s="64" t="n">
        <f aca="false">IF(AND($P732&gt;0,$O732&gt;0),$P732,0)</f>
        <v>0</v>
      </c>
      <c r="R732" s="64" t="n">
        <f aca="false">IF(AND($Q732&gt;0,$O732&gt;=AtRank),$Q732,0)</f>
        <v>0</v>
      </c>
      <c r="S732" s="64" t="n">
        <f aca="false">IF(AND($Q732&gt;0,$O732&gt;=AboveRank),$Q732,0)</f>
        <v>0</v>
      </c>
      <c r="T732" s="64" t="n">
        <f aca="false">IF($K732="Less",$P732,0)</f>
        <v>0</v>
      </c>
      <c r="U732" s="64" t="n">
        <f aca="false">IF($K732="Expected",$P732,0)</f>
        <v>0</v>
      </c>
      <c r="V732" s="64" t="n">
        <f aca="false">IF($K732="Better",$P732,0)</f>
        <v>0</v>
      </c>
      <c r="W732" s="64" t="n">
        <f aca="false">IF($K732="U – needs rule",$P732,0)</f>
        <v>0</v>
      </c>
      <c r="X732" s="64" t="n">
        <f aca="false">IF($K732="No Start (attainment only)",$P732,0)</f>
        <v>0</v>
      </c>
    </row>
    <row r="733" customFormat="false" ht="15" hidden="false" customHeight="false" outlineLevel="0" collapsed="false">
      <c r="A733" s="60"/>
      <c r="B733" s="61" t="str">
        <f aca="false">IF($M733=0,"",INDEX(Classes!$E$6:$E$420,$M733))</f>
        <v/>
      </c>
      <c r="C733" s="62" t="str">
        <f aca="false">IF($M733=0,"",INDEX(Classes!$H$6:$H$420,$M733))</f>
        <v/>
      </c>
      <c r="D733" s="61" t="str">
        <f aca="false">IF($M733=0,"",INDEX(Classes!$B$6:$B$420,$M733))</f>
        <v/>
      </c>
      <c r="E733" s="61" t="str">
        <f aca="false">IF($M733=0,"",INDEX(Classes!$C$6:$C$420,$M733))</f>
        <v/>
      </c>
      <c r="F733" s="63"/>
      <c r="G733" s="63"/>
      <c r="H733" s="60"/>
      <c r="I733" s="60"/>
      <c r="J733" s="63"/>
      <c r="K733" s="61" t="str">
        <f aca="false">IF($P733=0,"",IF($F733="Baseline","— Baseline",IF($O733=0,"No result",IF($N733=0,"No Start (attainment only)",IF(OR($N733=1,$O733=1),"U – needs rule",INDEX(MxBody,MATCH($I733,MxCurr,0),MATCH($H733,MxStart,0)))))))</f>
        <v/>
      </c>
      <c r="L733" s="62" t="str">
        <f aca="false">IF(COUNTA($A733,$F733,$G733,$H733,$I733,$J733)=0,"",IF($M733=0,"✖ كود الصف غير موجود",IF(ISNA(MATCH($F733,Lists!$A$2:$A$5,0)),"✖ الفترة غير صحيحة",IF(ISNA(MATCH($G733,Lists!$B$2:$B$7,0)),"✖ المجموعة غير صحيحة",IF(NOT(OR($H733="",$N733&gt;0)),"✖ Start غير صحيح",IF(NOT(OR($I733="",$I733="NR",$O733&gt;0)),"✖ Current غير صحيح",IF(NOT(IF(ISNUMBER($J733),AND($J733&gt;=0,$J733=INT($J733)),FALSE())),"✖ العدد يجب أن يكون صحيحًا ≥ 0",IF(AND($F733="Baseline",$H733&lt;&gt;""),"⚠ Baseline: Start لا يدخل في التقدم",IF($K733="No Start (attainment only)","ℹ تحصيل فقط (بدون Start)",IF($K733="U – needs rule","ℹ حالة U تحتاج قاعدة معتمدة",IF($K733="No result","ℹ بدون نتيجة (يُستبعد من التحصيل)","OK")))))))))))</f>
        <v/>
      </c>
      <c r="M733" s="64" t="n">
        <f aca="false">IF($A733="",0,IFERROR(MATCH($A733,Classes!$A$6:$A$420,0),0))</f>
        <v>0</v>
      </c>
      <c r="N733" s="64" t="n">
        <f aca="false">IF($H733="",0,IFERROR(MATCH($H733,GradeList,0),0))</f>
        <v>0</v>
      </c>
      <c r="O733" s="64" t="n">
        <f aca="false">IF(OR($I733="",$I733="NR"),0,IFERROR(MATCH($I733,GradeList,0),0))</f>
        <v>0</v>
      </c>
      <c r="P733" s="64" t="n">
        <f aca="false">IF(AND($M733&gt;0,ISNUMBER(MATCH($F733,Lists!$A$2:$A$5,0)),ISNUMBER(MATCH($G733,Lists!$B$2:$B$7,0)),OR($H733="",$N733&gt;0),OR($I733="",$I733="NR",$O733&gt;0),IF(ISNUMBER($J733),AND($J733&gt;=0,$J733=INT($J733)),FALSE())),$J733,0)</f>
        <v>0</v>
      </c>
      <c r="Q733" s="64" t="n">
        <f aca="false">IF(AND($P733&gt;0,$O733&gt;0),$P733,0)</f>
        <v>0</v>
      </c>
      <c r="R733" s="64" t="n">
        <f aca="false">IF(AND($Q733&gt;0,$O733&gt;=AtRank),$Q733,0)</f>
        <v>0</v>
      </c>
      <c r="S733" s="64" t="n">
        <f aca="false">IF(AND($Q733&gt;0,$O733&gt;=AboveRank),$Q733,0)</f>
        <v>0</v>
      </c>
      <c r="T733" s="64" t="n">
        <f aca="false">IF($K733="Less",$P733,0)</f>
        <v>0</v>
      </c>
      <c r="U733" s="64" t="n">
        <f aca="false">IF($K733="Expected",$P733,0)</f>
        <v>0</v>
      </c>
      <c r="V733" s="64" t="n">
        <f aca="false">IF($K733="Better",$P733,0)</f>
        <v>0</v>
      </c>
      <c r="W733" s="64" t="n">
        <f aca="false">IF($K733="U – needs rule",$P733,0)</f>
        <v>0</v>
      </c>
      <c r="X733" s="64" t="n">
        <f aca="false">IF($K733="No Start (attainment only)",$P733,0)</f>
        <v>0</v>
      </c>
    </row>
    <row r="734" customFormat="false" ht="15" hidden="false" customHeight="false" outlineLevel="0" collapsed="false">
      <c r="A734" s="60"/>
      <c r="B734" s="61" t="str">
        <f aca="false">IF($M734=0,"",INDEX(Classes!$E$6:$E$420,$M734))</f>
        <v/>
      </c>
      <c r="C734" s="62" t="str">
        <f aca="false">IF($M734=0,"",INDEX(Classes!$H$6:$H$420,$M734))</f>
        <v/>
      </c>
      <c r="D734" s="61" t="str">
        <f aca="false">IF($M734=0,"",INDEX(Classes!$B$6:$B$420,$M734))</f>
        <v/>
      </c>
      <c r="E734" s="61" t="str">
        <f aca="false">IF($M734=0,"",INDEX(Classes!$C$6:$C$420,$M734))</f>
        <v/>
      </c>
      <c r="F734" s="63"/>
      <c r="G734" s="63"/>
      <c r="H734" s="60"/>
      <c r="I734" s="60"/>
      <c r="J734" s="63"/>
      <c r="K734" s="61" t="str">
        <f aca="false">IF($P734=0,"",IF($F734="Baseline","— Baseline",IF($O734=0,"No result",IF($N734=0,"No Start (attainment only)",IF(OR($N734=1,$O734=1),"U – needs rule",INDEX(MxBody,MATCH($I734,MxCurr,0),MATCH($H734,MxStart,0)))))))</f>
        <v/>
      </c>
      <c r="L734" s="62" t="str">
        <f aca="false">IF(COUNTA($A734,$F734,$G734,$H734,$I734,$J734)=0,"",IF($M734=0,"✖ كود الصف غير موجود",IF(ISNA(MATCH($F734,Lists!$A$2:$A$5,0)),"✖ الفترة غير صحيحة",IF(ISNA(MATCH($G734,Lists!$B$2:$B$7,0)),"✖ المجموعة غير صحيحة",IF(NOT(OR($H734="",$N734&gt;0)),"✖ Start غير صحيح",IF(NOT(OR($I734="",$I734="NR",$O734&gt;0)),"✖ Current غير صحيح",IF(NOT(IF(ISNUMBER($J734),AND($J734&gt;=0,$J734=INT($J734)),FALSE())),"✖ العدد يجب أن يكون صحيحًا ≥ 0",IF(AND($F734="Baseline",$H734&lt;&gt;""),"⚠ Baseline: Start لا يدخل في التقدم",IF($K734="No Start (attainment only)","ℹ تحصيل فقط (بدون Start)",IF($K734="U – needs rule","ℹ حالة U تحتاج قاعدة معتمدة",IF($K734="No result","ℹ بدون نتيجة (يُستبعد من التحصيل)","OK")))))))))))</f>
        <v/>
      </c>
      <c r="M734" s="64" t="n">
        <f aca="false">IF($A734="",0,IFERROR(MATCH($A734,Classes!$A$6:$A$420,0),0))</f>
        <v>0</v>
      </c>
      <c r="N734" s="64" t="n">
        <f aca="false">IF($H734="",0,IFERROR(MATCH($H734,GradeList,0),0))</f>
        <v>0</v>
      </c>
      <c r="O734" s="64" t="n">
        <f aca="false">IF(OR($I734="",$I734="NR"),0,IFERROR(MATCH($I734,GradeList,0),0))</f>
        <v>0</v>
      </c>
      <c r="P734" s="64" t="n">
        <f aca="false">IF(AND($M734&gt;0,ISNUMBER(MATCH($F734,Lists!$A$2:$A$5,0)),ISNUMBER(MATCH($G734,Lists!$B$2:$B$7,0)),OR($H734="",$N734&gt;0),OR($I734="",$I734="NR",$O734&gt;0),IF(ISNUMBER($J734),AND($J734&gt;=0,$J734=INT($J734)),FALSE())),$J734,0)</f>
        <v>0</v>
      </c>
      <c r="Q734" s="64" t="n">
        <f aca="false">IF(AND($P734&gt;0,$O734&gt;0),$P734,0)</f>
        <v>0</v>
      </c>
      <c r="R734" s="64" t="n">
        <f aca="false">IF(AND($Q734&gt;0,$O734&gt;=AtRank),$Q734,0)</f>
        <v>0</v>
      </c>
      <c r="S734" s="64" t="n">
        <f aca="false">IF(AND($Q734&gt;0,$O734&gt;=AboveRank),$Q734,0)</f>
        <v>0</v>
      </c>
      <c r="T734" s="64" t="n">
        <f aca="false">IF($K734="Less",$P734,0)</f>
        <v>0</v>
      </c>
      <c r="U734" s="64" t="n">
        <f aca="false">IF($K734="Expected",$P734,0)</f>
        <v>0</v>
      </c>
      <c r="V734" s="64" t="n">
        <f aca="false">IF($K734="Better",$P734,0)</f>
        <v>0</v>
      </c>
      <c r="W734" s="64" t="n">
        <f aca="false">IF($K734="U – needs rule",$P734,0)</f>
        <v>0</v>
      </c>
      <c r="X734" s="64" t="n">
        <f aca="false">IF($K734="No Start (attainment only)",$P734,0)</f>
        <v>0</v>
      </c>
    </row>
    <row r="735" customFormat="false" ht="15" hidden="false" customHeight="false" outlineLevel="0" collapsed="false">
      <c r="A735" s="60"/>
      <c r="B735" s="61" t="str">
        <f aca="false">IF($M735=0,"",INDEX(Classes!$E$6:$E$420,$M735))</f>
        <v/>
      </c>
      <c r="C735" s="62" t="str">
        <f aca="false">IF($M735=0,"",INDEX(Classes!$H$6:$H$420,$M735))</f>
        <v/>
      </c>
      <c r="D735" s="61" t="str">
        <f aca="false">IF($M735=0,"",INDEX(Classes!$B$6:$B$420,$M735))</f>
        <v/>
      </c>
      <c r="E735" s="61" t="str">
        <f aca="false">IF($M735=0,"",INDEX(Classes!$C$6:$C$420,$M735))</f>
        <v/>
      </c>
      <c r="F735" s="63"/>
      <c r="G735" s="63"/>
      <c r="H735" s="60"/>
      <c r="I735" s="60"/>
      <c r="J735" s="63"/>
      <c r="K735" s="61" t="str">
        <f aca="false">IF($P735=0,"",IF($F735="Baseline","— Baseline",IF($O735=0,"No result",IF($N735=0,"No Start (attainment only)",IF(OR($N735=1,$O735=1),"U – needs rule",INDEX(MxBody,MATCH($I735,MxCurr,0),MATCH($H735,MxStart,0)))))))</f>
        <v/>
      </c>
      <c r="L735" s="62" t="str">
        <f aca="false">IF(COUNTA($A735,$F735,$G735,$H735,$I735,$J735)=0,"",IF($M735=0,"✖ كود الصف غير موجود",IF(ISNA(MATCH($F735,Lists!$A$2:$A$5,0)),"✖ الفترة غير صحيحة",IF(ISNA(MATCH($G735,Lists!$B$2:$B$7,0)),"✖ المجموعة غير صحيحة",IF(NOT(OR($H735="",$N735&gt;0)),"✖ Start غير صحيح",IF(NOT(OR($I735="",$I735="NR",$O735&gt;0)),"✖ Current غير صحيح",IF(NOT(IF(ISNUMBER($J735),AND($J735&gt;=0,$J735=INT($J735)),FALSE())),"✖ العدد يجب أن يكون صحيحًا ≥ 0",IF(AND($F735="Baseline",$H735&lt;&gt;""),"⚠ Baseline: Start لا يدخل في التقدم",IF($K735="No Start (attainment only)","ℹ تحصيل فقط (بدون Start)",IF($K735="U – needs rule","ℹ حالة U تحتاج قاعدة معتمدة",IF($K735="No result","ℹ بدون نتيجة (يُستبعد من التحصيل)","OK")))))))))))</f>
        <v/>
      </c>
      <c r="M735" s="64" t="n">
        <f aca="false">IF($A735="",0,IFERROR(MATCH($A735,Classes!$A$6:$A$420,0),0))</f>
        <v>0</v>
      </c>
      <c r="N735" s="64" t="n">
        <f aca="false">IF($H735="",0,IFERROR(MATCH($H735,GradeList,0),0))</f>
        <v>0</v>
      </c>
      <c r="O735" s="64" t="n">
        <f aca="false">IF(OR($I735="",$I735="NR"),0,IFERROR(MATCH($I735,GradeList,0),0))</f>
        <v>0</v>
      </c>
      <c r="P735" s="64" t="n">
        <f aca="false">IF(AND($M735&gt;0,ISNUMBER(MATCH($F735,Lists!$A$2:$A$5,0)),ISNUMBER(MATCH($G735,Lists!$B$2:$B$7,0)),OR($H735="",$N735&gt;0),OR($I735="",$I735="NR",$O735&gt;0),IF(ISNUMBER($J735),AND($J735&gt;=0,$J735=INT($J735)),FALSE())),$J735,0)</f>
        <v>0</v>
      </c>
      <c r="Q735" s="64" t="n">
        <f aca="false">IF(AND($P735&gt;0,$O735&gt;0),$P735,0)</f>
        <v>0</v>
      </c>
      <c r="R735" s="64" t="n">
        <f aca="false">IF(AND($Q735&gt;0,$O735&gt;=AtRank),$Q735,0)</f>
        <v>0</v>
      </c>
      <c r="S735" s="64" t="n">
        <f aca="false">IF(AND($Q735&gt;0,$O735&gt;=AboveRank),$Q735,0)</f>
        <v>0</v>
      </c>
      <c r="T735" s="64" t="n">
        <f aca="false">IF($K735="Less",$P735,0)</f>
        <v>0</v>
      </c>
      <c r="U735" s="64" t="n">
        <f aca="false">IF($K735="Expected",$P735,0)</f>
        <v>0</v>
      </c>
      <c r="V735" s="64" t="n">
        <f aca="false">IF($K735="Better",$P735,0)</f>
        <v>0</v>
      </c>
      <c r="W735" s="64" t="n">
        <f aca="false">IF($K735="U – needs rule",$P735,0)</f>
        <v>0</v>
      </c>
      <c r="X735" s="64" t="n">
        <f aca="false">IF($K735="No Start (attainment only)",$P735,0)</f>
        <v>0</v>
      </c>
    </row>
    <row r="736" customFormat="false" ht="15" hidden="false" customHeight="false" outlineLevel="0" collapsed="false">
      <c r="A736" s="60"/>
      <c r="B736" s="61" t="str">
        <f aca="false">IF($M736=0,"",INDEX(Classes!$E$6:$E$420,$M736))</f>
        <v/>
      </c>
      <c r="C736" s="62" t="str">
        <f aca="false">IF($M736=0,"",INDEX(Classes!$H$6:$H$420,$M736))</f>
        <v/>
      </c>
      <c r="D736" s="61" t="str">
        <f aca="false">IF($M736=0,"",INDEX(Classes!$B$6:$B$420,$M736))</f>
        <v/>
      </c>
      <c r="E736" s="61" t="str">
        <f aca="false">IF($M736=0,"",INDEX(Classes!$C$6:$C$420,$M736))</f>
        <v/>
      </c>
      <c r="F736" s="63"/>
      <c r="G736" s="63"/>
      <c r="H736" s="60"/>
      <c r="I736" s="60"/>
      <c r="J736" s="63"/>
      <c r="K736" s="61" t="str">
        <f aca="false">IF($P736=0,"",IF($F736="Baseline","— Baseline",IF($O736=0,"No result",IF($N736=0,"No Start (attainment only)",IF(OR($N736=1,$O736=1),"U – needs rule",INDEX(MxBody,MATCH($I736,MxCurr,0),MATCH($H736,MxStart,0)))))))</f>
        <v/>
      </c>
      <c r="L736" s="62" t="str">
        <f aca="false">IF(COUNTA($A736,$F736,$G736,$H736,$I736,$J736)=0,"",IF($M736=0,"✖ كود الصف غير موجود",IF(ISNA(MATCH($F736,Lists!$A$2:$A$5,0)),"✖ الفترة غير صحيحة",IF(ISNA(MATCH($G736,Lists!$B$2:$B$7,0)),"✖ المجموعة غير صحيحة",IF(NOT(OR($H736="",$N736&gt;0)),"✖ Start غير صحيح",IF(NOT(OR($I736="",$I736="NR",$O736&gt;0)),"✖ Current غير صحيح",IF(NOT(IF(ISNUMBER($J736),AND($J736&gt;=0,$J736=INT($J736)),FALSE())),"✖ العدد يجب أن يكون صحيحًا ≥ 0",IF(AND($F736="Baseline",$H736&lt;&gt;""),"⚠ Baseline: Start لا يدخل في التقدم",IF($K736="No Start (attainment only)","ℹ تحصيل فقط (بدون Start)",IF($K736="U – needs rule","ℹ حالة U تحتاج قاعدة معتمدة",IF($K736="No result","ℹ بدون نتيجة (يُستبعد من التحصيل)","OK")))))))))))</f>
        <v/>
      </c>
      <c r="M736" s="64" t="n">
        <f aca="false">IF($A736="",0,IFERROR(MATCH($A736,Classes!$A$6:$A$420,0),0))</f>
        <v>0</v>
      </c>
      <c r="N736" s="64" t="n">
        <f aca="false">IF($H736="",0,IFERROR(MATCH($H736,GradeList,0),0))</f>
        <v>0</v>
      </c>
      <c r="O736" s="64" t="n">
        <f aca="false">IF(OR($I736="",$I736="NR"),0,IFERROR(MATCH($I736,GradeList,0),0))</f>
        <v>0</v>
      </c>
      <c r="P736" s="64" t="n">
        <f aca="false">IF(AND($M736&gt;0,ISNUMBER(MATCH($F736,Lists!$A$2:$A$5,0)),ISNUMBER(MATCH($G736,Lists!$B$2:$B$7,0)),OR($H736="",$N736&gt;0),OR($I736="",$I736="NR",$O736&gt;0),IF(ISNUMBER($J736),AND($J736&gt;=0,$J736=INT($J736)),FALSE())),$J736,0)</f>
        <v>0</v>
      </c>
      <c r="Q736" s="64" t="n">
        <f aca="false">IF(AND($P736&gt;0,$O736&gt;0),$P736,0)</f>
        <v>0</v>
      </c>
      <c r="R736" s="64" t="n">
        <f aca="false">IF(AND($Q736&gt;0,$O736&gt;=AtRank),$Q736,0)</f>
        <v>0</v>
      </c>
      <c r="S736" s="64" t="n">
        <f aca="false">IF(AND($Q736&gt;0,$O736&gt;=AboveRank),$Q736,0)</f>
        <v>0</v>
      </c>
      <c r="T736" s="64" t="n">
        <f aca="false">IF($K736="Less",$P736,0)</f>
        <v>0</v>
      </c>
      <c r="U736" s="64" t="n">
        <f aca="false">IF($K736="Expected",$P736,0)</f>
        <v>0</v>
      </c>
      <c r="V736" s="64" t="n">
        <f aca="false">IF($K736="Better",$P736,0)</f>
        <v>0</v>
      </c>
      <c r="W736" s="64" t="n">
        <f aca="false">IF($K736="U – needs rule",$P736,0)</f>
        <v>0</v>
      </c>
      <c r="X736" s="64" t="n">
        <f aca="false">IF($K736="No Start (attainment only)",$P736,0)</f>
        <v>0</v>
      </c>
    </row>
    <row r="737" customFormat="false" ht="15" hidden="false" customHeight="false" outlineLevel="0" collapsed="false">
      <c r="A737" s="60"/>
      <c r="B737" s="61" t="str">
        <f aca="false">IF($M737=0,"",INDEX(Classes!$E$6:$E$420,$M737))</f>
        <v/>
      </c>
      <c r="C737" s="62" t="str">
        <f aca="false">IF($M737=0,"",INDEX(Classes!$H$6:$H$420,$M737))</f>
        <v/>
      </c>
      <c r="D737" s="61" t="str">
        <f aca="false">IF($M737=0,"",INDEX(Classes!$B$6:$B$420,$M737))</f>
        <v/>
      </c>
      <c r="E737" s="61" t="str">
        <f aca="false">IF($M737=0,"",INDEX(Classes!$C$6:$C$420,$M737))</f>
        <v/>
      </c>
      <c r="F737" s="63"/>
      <c r="G737" s="63"/>
      <c r="H737" s="60"/>
      <c r="I737" s="60"/>
      <c r="J737" s="63"/>
      <c r="K737" s="61" t="str">
        <f aca="false">IF($P737=0,"",IF($F737="Baseline","— Baseline",IF($O737=0,"No result",IF($N737=0,"No Start (attainment only)",IF(OR($N737=1,$O737=1),"U – needs rule",INDEX(MxBody,MATCH($I737,MxCurr,0),MATCH($H737,MxStart,0)))))))</f>
        <v/>
      </c>
      <c r="L737" s="62" t="str">
        <f aca="false">IF(COUNTA($A737,$F737,$G737,$H737,$I737,$J737)=0,"",IF($M737=0,"✖ كود الصف غير موجود",IF(ISNA(MATCH($F737,Lists!$A$2:$A$5,0)),"✖ الفترة غير صحيحة",IF(ISNA(MATCH($G737,Lists!$B$2:$B$7,0)),"✖ المجموعة غير صحيحة",IF(NOT(OR($H737="",$N737&gt;0)),"✖ Start غير صحيح",IF(NOT(OR($I737="",$I737="NR",$O737&gt;0)),"✖ Current غير صحيح",IF(NOT(IF(ISNUMBER($J737),AND($J737&gt;=0,$J737=INT($J737)),FALSE())),"✖ العدد يجب أن يكون صحيحًا ≥ 0",IF(AND($F737="Baseline",$H737&lt;&gt;""),"⚠ Baseline: Start لا يدخل في التقدم",IF($K737="No Start (attainment only)","ℹ تحصيل فقط (بدون Start)",IF($K737="U – needs rule","ℹ حالة U تحتاج قاعدة معتمدة",IF($K737="No result","ℹ بدون نتيجة (يُستبعد من التحصيل)","OK")))))))))))</f>
        <v/>
      </c>
      <c r="M737" s="64" t="n">
        <f aca="false">IF($A737="",0,IFERROR(MATCH($A737,Classes!$A$6:$A$420,0),0))</f>
        <v>0</v>
      </c>
      <c r="N737" s="64" t="n">
        <f aca="false">IF($H737="",0,IFERROR(MATCH($H737,GradeList,0),0))</f>
        <v>0</v>
      </c>
      <c r="O737" s="64" t="n">
        <f aca="false">IF(OR($I737="",$I737="NR"),0,IFERROR(MATCH($I737,GradeList,0),0))</f>
        <v>0</v>
      </c>
      <c r="P737" s="64" t="n">
        <f aca="false">IF(AND($M737&gt;0,ISNUMBER(MATCH($F737,Lists!$A$2:$A$5,0)),ISNUMBER(MATCH($G737,Lists!$B$2:$B$7,0)),OR($H737="",$N737&gt;0),OR($I737="",$I737="NR",$O737&gt;0),IF(ISNUMBER($J737),AND($J737&gt;=0,$J737=INT($J737)),FALSE())),$J737,0)</f>
        <v>0</v>
      </c>
      <c r="Q737" s="64" t="n">
        <f aca="false">IF(AND($P737&gt;0,$O737&gt;0),$P737,0)</f>
        <v>0</v>
      </c>
      <c r="R737" s="64" t="n">
        <f aca="false">IF(AND($Q737&gt;0,$O737&gt;=AtRank),$Q737,0)</f>
        <v>0</v>
      </c>
      <c r="S737" s="64" t="n">
        <f aca="false">IF(AND($Q737&gt;0,$O737&gt;=AboveRank),$Q737,0)</f>
        <v>0</v>
      </c>
      <c r="T737" s="64" t="n">
        <f aca="false">IF($K737="Less",$P737,0)</f>
        <v>0</v>
      </c>
      <c r="U737" s="64" t="n">
        <f aca="false">IF($K737="Expected",$P737,0)</f>
        <v>0</v>
      </c>
      <c r="V737" s="64" t="n">
        <f aca="false">IF($K737="Better",$P737,0)</f>
        <v>0</v>
      </c>
      <c r="W737" s="64" t="n">
        <f aca="false">IF($K737="U – needs rule",$P737,0)</f>
        <v>0</v>
      </c>
      <c r="X737" s="64" t="n">
        <f aca="false">IF($K737="No Start (attainment only)",$P737,0)</f>
        <v>0</v>
      </c>
    </row>
    <row r="738" customFormat="false" ht="15" hidden="false" customHeight="false" outlineLevel="0" collapsed="false">
      <c r="A738" s="60"/>
      <c r="B738" s="61" t="str">
        <f aca="false">IF($M738=0,"",INDEX(Classes!$E$6:$E$420,$M738))</f>
        <v/>
      </c>
      <c r="C738" s="62" t="str">
        <f aca="false">IF($M738=0,"",INDEX(Classes!$H$6:$H$420,$M738))</f>
        <v/>
      </c>
      <c r="D738" s="61" t="str">
        <f aca="false">IF($M738=0,"",INDEX(Classes!$B$6:$B$420,$M738))</f>
        <v/>
      </c>
      <c r="E738" s="61" t="str">
        <f aca="false">IF($M738=0,"",INDEX(Classes!$C$6:$C$420,$M738))</f>
        <v/>
      </c>
      <c r="F738" s="63"/>
      <c r="G738" s="63"/>
      <c r="H738" s="60"/>
      <c r="I738" s="60"/>
      <c r="J738" s="63"/>
      <c r="K738" s="61" t="str">
        <f aca="false">IF($P738=0,"",IF($F738="Baseline","— Baseline",IF($O738=0,"No result",IF($N738=0,"No Start (attainment only)",IF(OR($N738=1,$O738=1),"U – needs rule",INDEX(MxBody,MATCH($I738,MxCurr,0),MATCH($H738,MxStart,0)))))))</f>
        <v/>
      </c>
      <c r="L738" s="62" t="str">
        <f aca="false">IF(COUNTA($A738,$F738,$G738,$H738,$I738,$J738)=0,"",IF($M738=0,"✖ كود الصف غير موجود",IF(ISNA(MATCH($F738,Lists!$A$2:$A$5,0)),"✖ الفترة غير صحيحة",IF(ISNA(MATCH($G738,Lists!$B$2:$B$7,0)),"✖ المجموعة غير صحيحة",IF(NOT(OR($H738="",$N738&gt;0)),"✖ Start غير صحيح",IF(NOT(OR($I738="",$I738="NR",$O738&gt;0)),"✖ Current غير صحيح",IF(NOT(IF(ISNUMBER($J738),AND($J738&gt;=0,$J738=INT($J738)),FALSE())),"✖ العدد يجب أن يكون صحيحًا ≥ 0",IF(AND($F738="Baseline",$H738&lt;&gt;""),"⚠ Baseline: Start لا يدخل في التقدم",IF($K738="No Start (attainment only)","ℹ تحصيل فقط (بدون Start)",IF($K738="U – needs rule","ℹ حالة U تحتاج قاعدة معتمدة",IF($K738="No result","ℹ بدون نتيجة (يُستبعد من التحصيل)","OK")))))))))))</f>
        <v/>
      </c>
      <c r="M738" s="64" t="n">
        <f aca="false">IF($A738="",0,IFERROR(MATCH($A738,Classes!$A$6:$A$420,0),0))</f>
        <v>0</v>
      </c>
      <c r="N738" s="64" t="n">
        <f aca="false">IF($H738="",0,IFERROR(MATCH($H738,GradeList,0),0))</f>
        <v>0</v>
      </c>
      <c r="O738" s="64" t="n">
        <f aca="false">IF(OR($I738="",$I738="NR"),0,IFERROR(MATCH($I738,GradeList,0),0))</f>
        <v>0</v>
      </c>
      <c r="P738" s="64" t="n">
        <f aca="false">IF(AND($M738&gt;0,ISNUMBER(MATCH($F738,Lists!$A$2:$A$5,0)),ISNUMBER(MATCH($G738,Lists!$B$2:$B$7,0)),OR($H738="",$N738&gt;0),OR($I738="",$I738="NR",$O738&gt;0),IF(ISNUMBER($J738),AND($J738&gt;=0,$J738=INT($J738)),FALSE())),$J738,0)</f>
        <v>0</v>
      </c>
      <c r="Q738" s="64" t="n">
        <f aca="false">IF(AND($P738&gt;0,$O738&gt;0),$P738,0)</f>
        <v>0</v>
      </c>
      <c r="R738" s="64" t="n">
        <f aca="false">IF(AND($Q738&gt;0,$O738&gt;=AtRank),$Q738,0)</f>
        <v>0</v>
      </c>
      <c r="S738" s="64" t="n">
        <f aca="false">IF(AND($Q738&gt;0,$O738&gt;=AboveRank),$Q738,0)</f>
        <v>0</v>
      </c>
      <c r="T738" s="64" t="n">
        <f aca="false">IF($K738="Less",$P738,0)</f>
        <v>0</v>
      </c>
      <c r="U738" s="64" t="n">
        <f aca="false">IF($K738="Expected",$P738,0)</f>
        <v>0</v>
      </c>
      <c r="V738" s="64" t="n">
        <f aca="false">IF($K738="Better",$P738,0)</f>
        <v>0</v>
      </c>
      <c r="W738" s="64" t="n">
        <f aca="false">IF($K738="U – needs rule",$P738,0)</f>
        <v>0</v>
      </c>
      <c r="X738" s="64" t="n">
        <f aca="false">IF($K738="No Start (attainment only)",$P738,0)</f>
        <v>0</v>
      </c>
    </row>
    <row r="739" customFormat="false" ht="15" hidden="false" customHeight="false" outlineLevel="0" collapsed="false">
      <c r="A739" s="60"/>
      <c r="B739" s="61" t="str">
        <f aca="false">IF($M739=0,"",INDEX(Classes!$E$6:$E$420,$M739))</f>
        <v/>
      </c>
      <c r="C739" s="62" t="str">
        <f aca="false">IF($M739=0,"",INDEX(Classes!$H$6:$H$420,$M739))</f>
        <v/>
      </c>
      <c r="D739" s="61" t="str">
        <f aca="false">IF($M739=0,"",INDEX(Classes!$B$6:$B$420,$M739))</f>
        <v/>
      </c>
      <c r="E739" s="61" t="str">
        <f aca="false">IF($M739=0,"",INDEX(Classes!$C$6:$C$420,$M739))</f>
        <v/>
      </c>
      <c r="F739" s="63"/>
      <c r="G739" s="63"/>
      <c r="H739" s="60"/>
      <c r="I739" s="60"/>
      <c r="J739" s="63"/>
      <c r="K739" s="61" t="str">
        <f aca="false">IF($P739=0,"",IF($F739="Baseline","— Baseline",IF($O739=0,"No result",IF($N739=0,"No Start (attainment only)",IF(OR($N739=1,$O739=1),"U – needs rule",INDEX(MxBody,MATCH($I739,MxCurr,0),MATCH($H739,MxStart,0)))))))</f>
        <v/>
      </c>
      <c r="L739" s="62" t="str">
        <f aca="false">IF(COUNTA($A739,$F739,$G739,$H739,$I739,$J739)=0,"",IF($M739=0,"✖ كود الصف غير موجود",IF(ISNA(MATCH($F739,Lists!$A$2:$A$5,0)),"✖ الفترة غير صحيحة",IF(ISNA(MATCH($G739,Lists!$B$2:$B$7,0)),"✖ المجموعة غير صحيحة",IF(NOT(OR($H739="",$N739&gt;0)),"✖ Start غير صحيح",IF(NOT(OR($I739="",$I739="NR",$O739&gt;0)),"✖ Current غير صحيح",IF(NOT(IF(ISNUMBER($J739),AND($J739&gt;=0,$J739=INT($J739)),FALSE())),"✖ العدد يجب أن يكون صحيحًا ≥ 0",IF(AND($F739="Baseline",$H739&lt;&gt;""),"⚠ Baseline: Start لا يدخل في التقدم",IF($K739="No Start (attainment only)","ℹ تحصيل فقط (بدون Start)",IF($K739="U – needs rule","ℹ حالة U تحتاج قاعدة معتمدة",IF($K739="No result","ℹ بدون نتيجة (يُستبعد من التحصيل)","OK")))))))))))</f>
        <v/>
      </c>
      <c r="M739" s="64" t="n">
        <f aca="false">IF($A739="",0,IFERROR(MATCH($A739,Classes!$A$6:$A$420,0),0))</f>
        <v>0</v>
      </c>
      <c r="N739" s="64" t="n">
        <f aca="false">IF($H739="",0,IFERROR(MATCH($H739,GradeList,0),0))</f>
        <v>0</v>
      </c>
      <c r="O739" s="64" t="n">
        <f aca="false">IF(OR($I739="",$I739="NR"),0,IFERROR(MATCH($I739,GradeList,0),0))</f>
        <v>0</v>
      </c>
      <c r="P739" s="64" t="n">
        <f aca="false">IF(AND($M739&gt;0,ISNUMBER(MATCH($F739,Lists!$A$2:$A$5,0)),ISNUMBER(MATCH($G739,Lists!$B$2:$B$7,0)),OR($H739="",$N739&gt;0),OR($I739="",$I739="NR",$O739&gt;0),IF(ISNUMBER($J739),AND($J739&gt;=0,$J739=INT($J739)),FALSE())),$J739,0)</f>
        <v>0</v>
      </c>
      <c r="Q739" s="64" t="n">
        <f aca="false">IF(AND($P739&gt;0,$O739&gt;0),$P739,0)</f>
        <v>0</v>
      </c>
      <c r="R739" s="64" t="n">
        <f aca="false">IF(AND($Q739&gt;0,$O739&gt;=AtRank),$Q739,0)</f>
        <v>0</v>
      </c>
      <c r="S739" s="64" t="n">
        <f aca="false">IF(AND($Q739&gt;0,$O739&gt;=AboveRank),$Q739,0)</f>
        <v>0</v>
      </c>
      <c r="T739" s="64" t="n">
        <f aca="false">IF($K739="Less",$P739,0)</f>
        <v>0</v>
      </c>
      <c r="U739" s="64" t="n">
        <f aca="false">IF($K739="Expected",$P739,0)</f>
        <v>0</v>
      </c>
      <c r="V739" s="64" t="n">
        <f aca="false">IF($K739="Better",$P739,0)</f>
        <v>0</v>
      </c>
      <c r="W739" s="64" t="n">
        <f aca="false">IF($K739="U – needs rule",$P739,0)</f>
        <v>0</v>
      </c>
      <c r="X739" s="64" t="n">
        <f aca="false">IF($K739="No Start (attainment only)",$P739,0)</f>
        <v>0</v>
      </c>
    </row>
    <row r="740" customFormat="false" ht="15" hidden="false" customHeight="false" outlineLevel="0" collapsed="false">
      <c r="A740" s="60"/>
      <c r="B740" s="61" t="str">
        <f aca="false">IF($M740=0,"",INDEX(Classes!$E$6:$E$420,$M740))</f>
        <v/>
      </c>
      <c r="C740" s="62" t="str">
        <f aca="false">IF($M740=0,"",INDEX(Classes!$H$6:$H$420,$M740))</f>
        <v/>
      </c>
      <c r="D740" s="61" t="str">
        <f aca="false">IF($M740=0,"",INDEX(Classes!$B$6:$B$420,$M740))</f>
        <v/>
      </c>
      <c r="E740" s="61" t="str">
        <f aca="false">IF($M740=0,"",INDEX(Classes!$C$6:$C$420,$M740))</f>
        <v/>
      </c>
      <c r="F740" s="63"/>
      <c r="G740" s="63"/>
      <c r="H740" s="60"/>
      <c r="I740" s="60"/>
      <c r="J740" s="63"/>
      <c r="K740" s="61" t="str">
        <f aca="false">IF($P740=0,"",IF($F740="Baseline","— Baseline",IF($O740=0,"No result",IF($N740=0,"No Start (attainment only)",IF(OR($N740=1,$O740=1),"U – needs rule",INDEX(MxBody,MATCH($I740,MxCurr,0),MATCH($H740,MxStart,0)))))))</f>
        <v/>
      </c>
      <c r="L740" s="62" t="str">
        <f aca="false">IF(COUNTA($A740,$F740,$G740,$H740,$I740,$J740)=0,"",IF($M740=0,"✖ كود الصف غير موجود",IF(ISNA(MATCH($F740,Lists!$A$2:$A$5,0)),"✖ الفترة غير صحيحة",IF(ISNA(MATCH($G740,Lists!$B$2:$B$7,0)),"✖ المجموعة غير صحيحة",IF(NOT(OR($H740="",$N740&gt;0)),"✖ Start غير صحيح",IF(NOT(OR($I740="",$I740="NR",$O740&gt;0)),"✖ Current غير صحيح",IF(NOT(IF(ISNUMBER($J740),AND($J740&gt;=0,$J740=INT($J740)),FALSE())),"✖ العدد يجب أن يكون صحيحًا ≥ 0",IF(AND($F740="Baseline",$H740&lt;&gt;""),"⚠ Baseline: Start لا يدخل في التقدم",IF($K740="No Start (attainment only)","ℹ تحصيل فقط (بدون Start)",IF($K740="U – needs rule","ℹ حالة U تحتاج قاعدة معتمدة",IF($K740="No result","ℹ بدون نتيجة (يُستبعد من التحصيل)","OK")))))))))))</f>
        <v/>
      </c>
      <c r="M740" s="64" t="n">
        <f aca="false">IF($A740="",0,IFERROR(MATCH($A740,Classes!$A$6:$A$420,0),0))</f>
        <v>0</v>
      </c>
      <c r="N740" s="64" t="n">
        <f aca="false">IF($H740="",0,IFERROR(MATCH($H740,GradeList,0),0))</f>
        <v>0</v>
      </c>
      <c r="O740" s="64" t="n">
        <f aca="false">IF(OR($I740="",$I740="NR"),0,IFERROR(MATCH($I740,GradeList,0),0))</f>
        <v>0</v>
      </c>
      <c r="P740" s="64" t="n">
        <f aca="false">IF(AND($M740&gt;0,ISNUMBER(MATCH($F740,Lists!$A$2:$A$5,0)),ISNUMBER(MATCH($G740,Lists!$B$2:$B$7,0)),OR($H740="",$N740&gt;0),OR($I740="",$I740="NR",$O740&gt;0),IF(ISNUMBER($J740),AND($J740&gt;=0,$J740=INT($J740)),FALSE())),$J740,0)</f>
        <v>0</v>
      </c>
      <c r="Q740" s="64" t="n">
        <f aca="false">IF(AND($P740&gt;0,$O740&gt;0),$P740,0)</f>
        <v>0</v>
      </c>
      <c r="R740" s="64" t="n">
        <f aca="false">IF(AND($Q740&gt;0,$O740&gt;=AtRank),$Q740,0)</f>
        <v>0</v>
      </c>
      <c r="S740" s="64" t="n">
        <f aca="false">IF(AND($Q740&gt;0,$O740&gt;=AboveRank),$Q740,0)</f>
        <v>0</v>
      </c>
      <c r="T740" s="64" t="n">
        <f aca="false">IF($K740="Less",$P740,0)</f>
        <v>0</v>
      </c>
      <c r="U740" s="64" t="n">
        <f aca="false">IF($K740="Expected",$P740,0)</f>
        <v>0</v>
      </c>
      <c r="V740" s="64" t="n">
        <f aca="false">IF($K740="Better",$P740,0)</f>
        <v>0</v>
      </c>
      <c r="W740" s="64" t="n">
        <f aca="false">IF($K740="U – needs rule",$P740,0)</f>
        <v>0</v>
      </c>
      <c r="X740" s="64" t="n">
        <f aca="false">IF($K740="No Start (attainment only)",$P740,0)</f>
        <v>0</v>
      </c>
    </row>
    <row r="741" customFormat="false" ht="15" hidden="false" customHeight="false" outlineLevel="0" collapsed="false">
      <c r="A741" s="60"/>
      <c r="B741" s="61" t="str">
        <f aca="false">IF($M741=0,"",INDEX(Classes!$E$6:$E$420,$M741))</f>
        <v/>
      </c>
      <c r="C741" s="62" t="str">
        <f aca="false">IF($M741=0,"",INDEX(Classes!$H$6:$H$420,$M741))</f>
        <v/>
      </c>
      <c r="D741" s="61" t="str">
        <f aca="false">IF($M741=0,"",INDEX(Classes!$B$6:$B$420,$M741))</f>
        <v/>
      </c>
      <c r="E741" s="61" t="str">
        <f aca="false">IF($M741=0,"",INDEX(Classes!$C$6:$C$420,$M741))</f>
        <v/>
      </c>
      <c r="F741" s="63"/>
      <c r="G741" s="63"/>
      <c r="H741" s="60"/>
      <c r="I741" s="60"/>
      <c r="J741" s="63"/>
      <c r="K741" s="61" t="str">
        <f aca="false">IF($P741=0,"",IF($F741="Baseline","— Baseline",IF($O741=0,"No result",IF($N741=0,"No Start (attainment only)",IF(OR($N741=1,$O741=1),"U – needs rule",INDEX(MxBody,MATCH($I741,MxCurr,0),MATCH($H741,MxStart,0)))))))</f>
        <v/>
      </c>
      <c r="L741" s="62" t="str">
        <f aca="false">IF(COUNTA($A741,$F741,$G741,$H741,$I741,$J741)=0,"",IF($M741=0,"✖ كود الصف غير موجود",IF(ISNA(MATCH($F741,Lists!$A$2:$A$5,0)),"✖ الفترة غير صحيحة",IF(ISNA(MATCH($G741,Lists!$B$2:$B$7,0)),"✖ المجموعة غير صحيحة",IF(NOT(OR($H741="",$N741&gt;0)),"✖ Start غير صحيح",IF(NOT(OR($I741="",$I741="NR",$O741&gt;0)),"✖ Current غير صحيح",IF(NOT(IF(ISNUMBER($J741),AND($J741&gt;=0,$J741=INT($J741)),FALSE())),"✖ العدد يجب أن يكون صحيحًا ≥ 0",IF(AND($F741="Baseline",$H741&lt;&gt;""),"⚠ Baseline: Start لا يدخل في التقدم",IF($K741="No Start (attainment only)","ℹ تحصيل فقط (بدون Start)",IF($K741="U – needs rule","ℹ حالة U تحتاج قاعدة معتمدة",IF($K741="No result","ℹ بدون نتيجة (يُستبعد من التحصيل)","OK")))))))))))</f>
        <v/>
      </c>
      <c r="M741" s="64" t="n">
        <f aca="false">IF($A741="",0,IFERROR(MATCH($A741,Classes!$A$6:$A$420,0),0))</f>
        <v>0</v>
      </c>
      <c r="N741" s="64" t="n">
        <f aca="false">IF($H741="",0,IFERROR(MATCH($H741,GradeList,0),0))</f>
        <v>0</v>
      </c>
      <c r="O741" s="64" t="n">
        <f aca="false">IF(OR($I741="",$I741="NR"),0,IFERROR(MATCH($I741,GradeList,0),0))</f>
        <v>0</v>
      </c>
      <c r="P741" s="64" t="n">
        <f aca="false">IF(AND($M741&gt;0,ISNUMBER(MATCH($F741,Lists!$A$2:$A$5,0)),ISNUMBER(MATCH($G741,Lists!$B$2:$B$7,0)),OR($H741="",$N741&gt;0),OR($I741="",$I741="NR",$O741&gt;0),IF(ISNUMBER($J741),AND($J741&gt;=0,$J741=INT($J741)),FALSE())),$J741,0)</f>
        <v>0</v>
      </c>
      <c r="Q741" s="64" t="n">
        <f aca="false">IF(AND($P741&gt;0,$O741&gt;0),$P741,0)</f>
        <v>0</v>
      </c>
      <c r="R741" s="64" t="n">
        <f aca="false">IF(AND($Q741&gt;0,$O741&gt;=AtRank),$Q741,0)</f>
        <v>0</v>
      </c>
      <c r="S741" s="64" t="n">
        <f aca="false">IF(AND($Q741&gt;0,$O741&gt;=AboveRank),$Q741,0)</f>
        <v>0</v>
      </c>
      <c r="T741" s="64" t="n">
        <f aca="false">IF($K741="Less",$P741,0)</f>
        <v>0</v>
      </c>
      <c r="U741" s="64" t="n">
        <f aca="false">IF($K741="Expected",$P741,0)</f>
        <v>0</v>
      </c>
      <c r="V741" s="64" t="n">
        <f aca="false">IF($K741="Better",$P741,0)</f>
        <v>0</v>
      </c>
      <c r="W741" s="64" t="n">
        <f aca="false">IF($K741="U – needs rule",$P741,0)</f>
        <v>0</v>
      </c>
      <c r="X741" s="64" t="n">
        <f aca="false">IF($K741="No Start (attainment only)",$P741,0)</f>
        <v>0</v>
      </c>
    </row>
    <row r="742" customFormat="false" ht="15" hidden="false" customHeight="false" outlineLevel="0" collapsed="false">
      <c r="A742" s="60"/>
      <c r="B742" s="61" t="str">
        <f aca="false">IF($M742=0,"",INDEX(Classes!$E$6:$E$420,$M742))</f>
        <v/>
      </c>
      <c r="C742" s="62" t="str">
        <f aca="false">IF($M742=0,"",INDEX(Classes!$H$6:$H$420,$M742))</f>
        <v/>
      </c>
      <c r="D742" s="61" t="str">
        <f aca="false">IF($M742=0,"",INDEX(Classes!$B$6:$B$420,$M742))</f>
        <v/>
      </c>
      <c r="E742" s="61" t="str">
        <f aca="false">IF($M742=0,"",INDEX(Classes!$C$6:$C$420,$M742))</f>
        <v/>
      </c>
      <c r="F742" s="63"/>
      <c r="G742" s="63"/>
      <c r="H742" s="60"/>
      <c r="I742" s="60"/>
      <c r="J742" s="63"/>
      <c r="K742" s="61" t="str">
        <f aca="false">IF($P742=0,"",IF($F742="Baseline","— Baseline",IF($O742=0,"No result",IF($N742=0,"No Start (attainment only)",IF(OR($N742=1,$O742=1),"U – needs rule",INDEX(MxBody,MATCH($I742,MxCurr,0),MATCH($H742,MxStart,0)))))))</f>
        <v/>
      </c>
      <c r="L742" s="62" t="str">
        <f aca="false">IF(COUNTA($A742,$F742,$G742,$H742,$I742,$J742)=0,"",IF($M742=0,"✖ كود الصف غير موجود",IF(ISNA(MATCH($F742,Lists!$A$2:$A$5,0)),"✖ الفترة غير صحيحة",IF(ISNA(MATCH($G742,Lists!$B$2:$B$7,0)),"✖ المجموعة غير صحيحة",IF(NOT(OR($H742="",$N742&gt;0)),"✖ Start غير صحيح",IF(NOT(OR($I742="",$I742="NR",$O742&gt;0)),"✖ Current غير صحيح",IF(NOT(IF(ISNUMBER($J742),AND($J742&gt;=0,$J742=INT($J742)),FALSE())),"✖ العدد يجب أن يكون صحيحًا ≥ 0",IF(AND($F742="Baseline",$H742&lt;&gt;""),"⚠ Baseline: Start لا يدخل في التقدم",IF($K742="No Start (attainment only)","ℹ تحصيل فقط (بدون Start)",IF($K742="U – needs rule","ℹ حالة U تحتاج قاعدة معتمدة",IF($K742="No result","ℹ بدون نتيجة (يُستبعد من التحصيل)","OK")))))))))))</f>
        <v/>
      </c>
      <c r="M742" s="64" t="n">
        <f aca="false">IF($A742="",0,IFERROR(MATCH($A742,Classes!$A$6:$A$420,0),0))</f>
        <v>0</v>
      </c>
      <c r="N742" s="64" t="n">
        <f aca="false">IF($H742="",0,IFERROR(MATCH($H742,GradeList,0),0))</f>
        <v>0</v>
      </c>
      <c r="O742" s="64" t="n">
        <f aca="false">IF(OR($I742="",$I742="NR"),0,IFERROR(MATCH($I742,GradeList,0),0))</f>
        <v>0</v>
      </c>
      <c r="P742" s="64" t="n">
        <f aca="false">IF(AND($M742&gt;0,ISNUMBER(MATCH($F742,Lists!$A$2:$A$5,0)),ISNUMBER(MATCH($G742,Lists!$B$2:$B$7,0)),OR($H742="",$N742&gt;0),OR($I742="",$I742="NR",$O742&gt;0),IF(ISNUMBER($J742),AND($J742&gt;=0,$J742=INT($J742)),FALSE())),$J742,0)</f>
        <v>0</v>
      </c>
      <c r="Q742" s="64" t="n">
        <f aca="false">IF(AND($P742&gt;0,$O742&gt;0),$P742,0)</f>
        <v>0</v>
      </c>
      <c r="R742" s="64" t="n">
        <f aca="false">IF(AND($Q742&gt;0,$O742&gt;=AtRank),$Q742,0)</f>
        <v>0</v>
      </c>
      <c r="S742" s="64" t="n">
        <f aca="false">IF(AND($Q742&gt;0,$O742&gt;=AboveRank),$Q742,0)</f>
        <v>0</v>
      </c>
      <c r="T742" s="64" t="n">
        <f aca="false">IF($K742="Less",$P742,0)</f>
        <v>0</v>
      </c>
      <c r="U742" s="64" t="n">
        <f aca="false">IF($K742="Expected",$P742,0)</f>
        <v>0</v>
      </c>
      <c r="V742" s="64" t="n">
        <f aca="false">IF($K742="Better",$P742,0)</f>
        <v>0</v>
      </c>
      <c r="W742" s="64" t="n">
        <f aca="false">IF($K742="U – needs rule",$P742,0)</f>
        <v>0</v>
      </c>
      <c r="X742" s="64" t="n">
        <f aca="false">IF($K742="No Start (attainment only)",$P742,0)</f>
        <v>0</v>
      </c>
    </row>
    <row r="743" customFormat="false" ht="15" hidden="false" customHeight="false" outlineLevel="0" collapsed="false">
      <c r="A743" s="60"/>
      <c r="B743" s="61" t="str">
        <f aca="false">IF($M743=0,"",INDEX(Classes!$E$6:$E$420,$M743))</f>
        <v/>
      </c>
      <c r="C743" s="62" t="str">
        <f aca="false">IF($M743=0,"",INDEX(Classes!$H$6:$H$420,$M743))</f>
        <v/>
      </c>
      <c r="D743" s="61" t="str">
        <f aca="false">IF($M743=0,"",INDEX(Classes!$B$6:$B$420,$M743))</f>
        <v/>
      </c>
      <c r="E743" s="61" t="str">
        <f aca="false">IF($M743=0,"",INDEX(Classes!$C$6:$C$420,$M743))</f>
        <v/>
      </c>
      <c r="F743" s="63"/>
      <c r="G743" s="63"/>
      <c r="H743" s="60"/>
      <c r="I743" s="60"/>
      <c r="J743" s="63"/>
      <c r="K743" s="61" t="str">
        <f aca="false">IF($P743=0,"",IF($F743="Baseline","— Baseline",IF($O743=0,"No result",IF($N743=0,"No Start (attainment only)",IF(OR($N743=1,$O743=1),"U – needs rule",INDEX(MxBody,MATCH($I743,MxCurr,0),MATCH($H743,MxStart,0)))))))</f>
        <v/>
      </c>
      <c r="L743" s="62" t="str">
        <f aca="false">IF(COUNTA($A743,$F743,$G743,$H743,$I743,$J743)=0,"",IF($M743=0,"✖ كود الصف غير موجود",IF(ISNA(MATCH($F743,Lists!$A$2:$A$5,0)),"✖ الفترة غير صحيحة",IF(ISNA(MATCH($G743,Lists!$B$2:$B$7,0)),"✖ المجموعة غير صحيحة",IF(NOT(OR($H743="",$N743&gt;0)),"✖ Start غير صحيح",IF(NOT(OR($I743="",$I743="NR",$O743&gt;0)),"✖ Current غير صحيح",IF(NOT(IF(ISNUMBER($J743),AND($J743&gt;=0,$J743=INT($J743)),FALSE())),"✖ العدد يجب أن يكون صحيحًا ≥ 0",IF(AND($F743="Baseline",$H743&lt;&gt;""),"⚠ Baseline: Start لا يدخل في التقدم",IF($K743="No Start (attainment only)","ℹ تحصيل فقط (بدون Start)",IF($K743="U – needs rule","ℹ حالة U تحتاج قاعدة معتمدة",IF($K743="No result","ℹ بدون نتيجة (يُستبعد من التحصيل)","OK")))))))))))</f>
        <v/>
      </c>
      <c r="M743" s="64" t="n">
        <f aca="false">IF($A743="",0,IFERROR(MATCH($A743,Classes!$A$6:$A$420,0),0))</f>
        <v>0</v>
      </c>
      <c r="N743" s="64" t="n">
        <f aca="false">IF($H743="",0,IFERROR(MATCH($H743,GradeList,0),0))</f>
        <v>0</v>
      </c>
      <c r="O743" s="64" t="n">
        <f aca="false">IF(OR($I743="",$I743="NR"),0,IFERROR(MATCH($I743,GradeList,0),0))</f>
        <v>0</v>
      </c>
      <c r="P743" s="64" t="n">
        <f aca="false">IF(AND($M743&gt;0,ISNUMBER(MATCH($F743,Lists!$A$2:$A$5,0)),ISNUMBER(MATCH($G743,Lists!$B$2:$B$7,0)),OR($H743="",$N743&gt;0),OR($I743="",$I743="NR",$O743&gt;0),IF(ISNUMBER($J743),AND($J743&gt;=0,$J743=INT($J743)),FALSE())),$J743,0)</f>
        <v>0</v>
      </c>
      <c r="Q743" s="64" t="n">
        <f aca="false">IF(AND($P743&gt;0,$O743&gt;0),$P743,0)</f>
        <v>0</v>
      </c>
      <c r="R743" s="64" t="n">
        <f aca="false">IF(AND($Q743&gt;0,$O743&gt;=AtRank),$Q743,0)</f>
        <v>0</v>
      </c>
      <c r="S743" s="64" t="n">
        <f aca="false">IF(AND($Q743&gt;0,$O743&gt;=AboveRank),$Q743,0)</f>
        <v>0</v>
      </c>
      <c r="T743" s="64" t="n">
        <f aca="false">IF($K743="Less",$P743,0)</f>
        <v>0</v>
      </c>
      <c r="U743" s="64" t="n">
        <f aca="false">IF($K743="Expected",$P743,0)</f>
        <v>0</v>
      </c>
      <c r="V743" s="64" t="n">
        <f aca="false">IF($K743="Better",$P743,0)</f>
        <v>0</v>
      </c>
      <c r="W743" s="64" t="n">
        <f aca="false">IF($K743="U – needs rule",$P743,0)</f>
        <v>0</v>
      </c>
      <c r="X743" s="64" t="n">
        <f aca="false">IF($K743="No Start (attainment only)",$P743,0)</f>
        <v>0</v>
      </c>
    </row>
    <row r="744" customFormat="false" ht="15" hidden="false" customHeight="false" outlineLevel="0" collapsed="false">
      <c r="A744" s="60"/>
      <c r="B744" s="61" t="str">
        <f aca="false">IF($M744=0,"",INDEX(Classes!$E$6:$E$420,$M744))</f>
        <v/>
      </c>
      <c r="C744" s="62" t="str">
        <f aca="false">IF($M744=0,"",INDEX(Classes!$H$6:$H$420,$M744))</f>
        <v/>
      </c>
      <c r="D744" s="61" t="str">
        <f aca="false">IF($M744=0,"",INDEX(Classes!$B$6:$B$420,$M744))</f>
        <v/>
      </c>
      <c r="E744" s="61" t="str">
        <f aca="false">IF($M744=0,"",INDEX(Classes!$C$6:$C$420,$M744))</f>
        <v/>
      </c>
      <c r="F744" s="63"/>
      <c r="G744" s="63"/>
      <c r="H744" s="60"/>
      <c r="I744" s="60"/>
      <c r="J744" s="63"/>
      <c r="K744" s="61" t="str">
        <f aca="false">IF($P744=0,"",IF($F744="Baseline","— Baseline",IF($O744=0,"No result",IF($N744=0,"No Start (attainment only)",IF(OR($N744=1,$O744=1),"U – needs rule",INDEX(MxBody,MATCH($I744,MxCurr,0),MATCH($H744,MxStart,0)))))))</f>
        <v/>
      </c>
      <c r="L744" s="62" t="str">
        <f aca="false">IF(COUNTA($A744,$F744,$G744,$H744,$I744,$J744)=0,"",IF($M744=0,"✖ كود الصف غير موجود",IF(ISNA(MATCH($F744,Lists!$A$2:$A$5,0)),"✖ الفترة غير صحيحة",IF(ISNA(MATCH($G744,Lists!$B$2:$B$7,0)),"✖ المجموعة غير صحيحة",IF(NOT(OR($H744="",$N744&gt;0)),"✖ Start غير صحيح",IF(NOT(OR($I744="",$I744="NR",$O744&gt;0)),"✖ Current غير صحيح",IF(NOT(IF(ISNUMBER($J744),AND($J744&gt;=0,$J744=INT($J744)),FALSE())),"✖ العدد يجب أن يكون صحيحًا ≥ 0",IF(AND($F744="Baseline",$H744&lt;&gt;""),"⚠ Baseline: Start لا يدخل في التقدم",IF($K744="No Start (attainment only)","ℹ تحصيل فقط (بدون Start)",IF($K744="U – needs rule","ℹ حالة U تحتاج قاعدة معتمدة",IF($K744="No result","ℹ بدون نتيجة (يُستبعد من التحصيل)","OK")))))))))))</f>
        <v/>
      </c>
      <c r="M744" s="64" t="n">
        <f aca="false">IF($A744="",0,IFERROR(MATCH($A744,Classes!$A$6:$A$420,0),0))</f>
        <v>0</v>
      </c>
      <c r="N744" s="64" t="n">
        <f aca="false">IF($H744="",0,IFERROR(MATCH($H744,GradeList,0),0))</f>
        <v>0</v>
      </c>
      <c r="O744" s="64" t="n">
        <f aca="false">IF(OR($I744="",$I744="NR"),0,IFERROR(MATCH($I744,GradeList,0),0))</f>
        <v>0</v>
      </c>
      <c r="P744" s="64" t="n">
        <f aca="false">IF(AND($M744&gt;0,ISNUMBER(MATCH($F744,Lists!$A$2:$A$5,0)),ISNUMBER(MATCH($G744,Lists!$B$2:$B$7,0)),OR($H744="",$N744&gt;0),OR($I744="",$I744="NR",$O744&gt;0),IF(ISNUMBER($J744),AND($J744&gt;=0,$J744=INT($J744)),FALSE())),$J744,0)</f>
        <v>0</v>
      </c>
      <c r="Q744" s="64" t="n">
        <f aca="false">IF(AND($P744&gt;0,$O744&gt;0),$P744,0)</f>
        <v>0</v>
      </c>
      <c r="R744" s="64" t="n">
        <f aca="false">IF(AND($Q744&gt;0,$O744&gt;=AtRank),$Q744,0)</f>
        <v>0</v>
      </c>
      <c r="S744" s="64" t="n">
        <f aca="false">IF(AND($Q744&gt;0,$O744&gt;=AboveRank),$Q744,0)</f>
        <v>0</v>
      </c>
      <c r="T744" s="64" t="n">
        <f aca="false">IF($K744="Less",$P744,0)</f>
        <v>0</v>
      </c>
      <c r="U744" s="64" t="n">
        <f aca="false">IF($K744="Expected",$P744,0)</f>
        <v>0</v>
      </c>
      <c r="V744" s="64" t="n">
        <f aca="false">IF($K744="Better",$P744,0)</f>
        <v>0</v>
      </c>
      <c r="W744" s="64" t="n">
        <f aca="false">IF($K744="U – needs rule",$P744,0)</f>
        <v>0</v>
      </c>
      <c r="X744" s="64" t="n">
        <f aca="false">IF($K744="No Start (attainment only)",$P744,0)</f>
        <v>0</v>
      </c>
    </row>
    <row r="745" customFormat="false" ht="15" hidden="false" customHeight="false" outlineLevel="0" collapsed="false">
      <c r="A745" s="60"/>
      <c r="B745" s="61" t="str">
        <f aca="false">IF($M745=0,"",INDEX(Classes!$E$6:$E$420,$M745))</f>
        <v/>
      </c>
      <c r="C745" s="62" t="str">
        <f aca="false">IF($M745=0,"",INDEX(Classes!$H$6:$H$420,$M745))</f>
        <v/>
      </c>
      <c r="D745" s="61" t="str">
        <f aca="false">IF($M745=0,"",INDEX(Classes!$B$6:$B$420,$M745))</f>
        <v/>
      </c>
      <c r="E745" s="61" t="str">
        <f aca="false">IF($M745=0,"",INDEX(Classes!$C$6:$C$420,$M745))</f>
        <v/>
      </c>
      <c r="F745" s="63"/>
      <c r="G745" s="63"/>
      <c r="H745" s="60"/>
      <c r="I745" s="60"/>
      <c r="J745" s="63"/>
      <c r="K745" s="61" t="str">
        <f aca="false">IF($P745=0,"",IF($F745="Baseline","— Baseline",IF($O745=0,"No result",IF($N745=0,"No Start (attainment only)",IF(OR($N745=1,$O745=1),"U – needs rule",INDEX(MxBody,MATCH($I745,MxCurr,0),MATCH($H745,MxStart,0)))))))</f>
        <v/>
      </c>
      <c r="L745" s="62" t="str">
        <f aca="false">IF(COUNTA($A745,$F745,$G745,$H745,$I745,$J745)=0,"",IF($M745=0,"✖ كود الصف غير موجود",IF(ISNA(MATCH($F745,Lists!$A$2:$A$5,0)),"✖ الفترة غير صحيحة",IF(ISNA(MATCH($G745,Lists!$B$2:$B$7,0)),"✖ المجموعة غير صحيحة",IF(NOT(OR($H745="",$N745&gt;0)),"✖ Start غير صحيح",IF(NOT(OR($I745="",$I745="NR",$O745&gt;0)),"✖ Current غير صحيح",IF(NOT(IF(ISNUMBER($J745),AND($J745&gt;=0,$J745=INT($J745)),FALSE())),"✖ العدد يجب أن يكون صحيحًا ≥ 0",IF(AND($F745="Baseline",$H745&lt;&gt;""),"⚠ Baseline: Start لا يدخل في التقدم",IF($K745="No Start (attainment only)","ℹ تحصيل فقط (بدون Start)",IF($K745="U – needs rule","ℹ حالة U تحتاج قاعدة معتمدة",IF($K745="No result","ℹ بدون نتيجة (يُستبعد من التحصيل)","OK")))))))))))</f>
        <v/>
      </c>
      <c r="M745" s="64" t="n">
        <f aca="false">IF($A745="",0,IFERROR(MATCH($A745,Classes!$A$6:$A$420,0),0))</f>
        <v>0</v>
      </c>
      <c r="N745" s="64" t="n">
        <f aca="false">IF($H745="",0,IFERROR(MATCH($H745,GradeList,0),0))</f>
        <v>0</v>
      </c>
      <c r="O745" s="64" t="n">
        <f aca="false">IF(OR($I745="",$I745="NR"),0,IFERROR(MATCH($I745,GradeList,0),0))</f>
        <v>0</v>
      </c>
      <c r="P745" s="64" t="n">
        <f aca="false">IF(AND($M745&gt;0,ISNUMBER(MATCH($F745,Lists!$A$2:$A$5,0)),ISNUMBER(MATCH($G745,Lists!$B$2:$B$7,0)),OR($H745="",$N745&gt;0),OR($I745="",$I745="NR",$O745&gt;0),IF(ISNUMBER($J745),AND($J745&gt;=0,$J745=INT($J745)),FALSE())),$J745,0)</f>
        <v>0</v>
      </c>
      <c r="Q745" s="64" t="n">
        <f aca="false">IF(AND($P745&gt;0,$O745&gt;0),$P745,0)</f>
        <v>0</v>
      </c>
      <c r="R745" s="64" t="n">
        <f aca="false">IF(AND($Q745&gt;0,$O745&gt;=AtRank),$Q745,0)</f>
        <v>0</v>
      </c>
      <c r="S745" s="64" t="n">
        <f aca="false">IF(AND($Q745&gt;0,$O745&gt;=AboveRank),$Q745,0)</f>
        <v>0</v>
      </c>
      <c r="T745" s="64" t="n">
        <f aca="false">IF($K745="Less",$P745,0)</f>
        <v>0</v>
      </c>
      <c r="U745" s="64" t="n">
        <f aca="false">IF($K745="Expected",$P745,0)</f>
        <v>0</v>
      </c>
      <c r="V745" s="64" t="n">
        <f aca="false">IF($K745="Better",$P745,0)</f>
        <v>0</v>
      </c>
      <c r="W745" s="64" t="n">
        <f aca="false">IF($K745="U – needs rule",$P745,0)</f>
        <v>0</v>
      </c>
      <c r="X745" s="64" t="n">
        <f aca="false">IF($K745="No Start (attainment only)",$P745,0)</f>
        <v>0</v>
      </c>
    </row>
    <row r="746" customFormat="false" ht="15" hidden="false" customHeight="false" outlineLevel="0" collapsed="false">
      <c r="A746" s="60"/>
      <c r="B746" s="61" t="str">
        <f aca="false">IF($M746=0,"",INDEX(Classes!$E$6:$E$420,$M746))</f>
        <v/>
      </c>
      <c r="C746" s="62" t="str">
        <f aca="false">IF($M746=0,"",INDEX(Classes!$H$6:$H$420,$M746))</f>
        <v/>
      </c>
      <c r="D746" s="61" t="str">
        <f aca="false">IF($M746=0,"",INDEX(Classes!$B$6:$B$420,$M746))</f>
        <v/>
      </c>
      <c r="E746" s="61" t="str">
        <f aca="false">IF($M746=0,"",INDEX(Classes!$C$6:$C$420,$M746))</f>
        <v/>
      </c>
      <c r="F746" s="63"/>
      <c r="G746" s="63"/>
      <c r="H746" s="60"/>
      <c r="I746" s="60"/>
      <c r="J746" s="63"/>
      <c r="K746" s="61" t="str">
        <f aca="false">IF($P746=0,"",IF($F746="Baseline","— Baseline",IF($O746=0,"No result",IF($N746=0,"No Start (attainment only)",IF(OR($N746=1,$O746=1),"U – needs rule",INDEX(MxBody,MATCH($I746,MxCurr,0),MATCH($H746,MxStart,0)))))))</f>
        <v/>
      </c>
      <c r="L746" s="62" t="str">
        <f aca="false">IF(COUNTA($A746,$F746,$G746,$H746,$I746,$J746)=0,"",IF($M746=0,"✖ كود الصف غير موجود",IF(ISNA(MATCH($F746,Lists!$A$2:$A$5,0)),"✖ الفترة غير صحيحة",IF(ISNA(MATCH($G746,Lists!$B$2:$B$7,0)),"✖ المجموعة غير صحيحة",IF(NOT(OR($H746="",$N746&gt;0)),"✖ Start غير صحيح",IF(NOT(OR($I746="",$I746="NR",$O746&gt;0)),"✖ Current غير صحيح",IF(NOT(IF(ISNUMBER($J746),AND($J746&gt;=0,$J746=INT($J746)),FALSE())),"✖ العدد يجب أن يكون صحيحًا ≥ 0",IF(AND($F746="Baseline",$H746&lt;&gt;""),"⚠ Baseline: Start لا يدخل في التقدم",IF($K746="No Start (attainment only)","ℹ تحصيل فقط (بدون Start)",IF($K746="U – needs rule","ℹ حالة U تحتاج قاعدة معتمدة",IF($K746="No result","ℹ بدون نتيجة (يُستبعد من التحصيل)","OK")))))))))))</f>
        <v/>
      </c>
      <c r="M746" s="64" t="n">
        <f aca="false">IF($A746="",0,IFERROR(MATCH($A746,Classes!$A$6:$A$420,0),0))</f>
        <v>0</v>
      </c>
      <c r="N746" s="64" t="n">
        <f aca="false">IF($H746="",0,IFERROR(MATCH($H746,GradeList,0),0))</f>
        <v>0</v>
      </c>
      <c r="O746" s="64" t="n">
        <f aca="false">IF(OR($I746="",$I746="NR"),0,IFERROR(MATCH($I746,GradeList,0),0))</f>
        <v>0</v>
      </c>
      <c r="P746" s="64" t="n">
        <f aca="false">IF(AND($M746&gt;0,ISNUMBER(MATCH($F746,Lists!$A$2:$A$5,0)),ISNUMBER(MATCH($G746,Lists!$B$2:$B$7,0)),OR($H746="",$N746&gt;0),OR($I746="",$I746="NR",$O746&gt;0),IF(ISNUMBER($J746),AND($J746&gt;=0,$J746=INT($J746)),FALSE())),$J746,0)</f>
        <v>0</v>
      </c>
      <c r="Q746" s="64" t="n">
        <f aca="false">IF(AND($P746&gt;0,$O746&gt;0),$P746,0)</f>
        <v>0</v>
      </c>
      <c r="R746" s="64" t="n">
        <f aca="false">IF(AND($Q746&gt;0,$O746&gt;=AtRank),$Q746,0)</f>
        <v>0</v>
      </c>
      <c r="S746" s="64" t="n">
        <f aca="false">IF(AND($Q746&gt;0,$O746&gt;=AboveRank),$Q746,0)</f>
        <v>0</v>
      </c>
      <c r="T746" s="64" t="n">
        <f aca="false">IF($K746="Less",$P746,0)</f>
        <v>0</v>
      </c>
      <c r="U746" s="64" t="n">
        <f aca="false">IF($K746="Expected",$P746,0)</f>
        <v>0</v>
      </c>
      <c r="V746" s="64" t="n">
        <f aca="false">IF($K746="Better",$P746,0)</f>
        <v>0</v>
      </c>
      <c r="W746" s="64" t="n">
        <f aca="false">IF($K746="U – needs rule",$P746,0)</f>
        <v>0</v>
      </c>
      <c r="X746" s="64" t="n">
        <f aca="false">IF($K746="No Start (attainment only)",$P746,0)</f>
        <v>0</v>
      </c>
    </row>
    <row r="747" customFormat="false" ht="15" hidden="false" customHeight="false" outlineLevel="0" collapsed="false">
      <c r="A747" s="60"/>
      <c r="B747" s="61" t="str">
        <f aca="false">IF($M747=0,"",INDEX(Classes!$E$6:$E$420,$M747))</f>
        <v/>
      </c>
      <c r="C747" s="62" t="str">
        <f aca="false">IF($M747=0,"",INDEX(Classes!$H$6:$H$420,$M747))</f>
        <v/>
      </c>
      <c r="D747" s="61" t="str">
        <f aca="false">IF($M747=0,"",INDEX(Classes!$B$6:$B$420,$M747))</f>
        <v/>
      </c>
      <c r="E747" s="61" t="str">
        <f aca="false">IF($M747=0,"",INDEX(Classes!$C$6:$C$420,$M747))</f>
        <v/>
      </c>
      <c r="F747" s="63"/>
      <c r="G747" s="63"/>
      <c r="H747" s="60"/>
      <c r="I747" s="60"/>
      <c r="J747" s="63"/>
      <c r="K747" s="61" t="str">
        <f aca="false">IF($P747=0,"",IF($F747="Baseline","— Baseline",IF($O747=0,"No result",IF($N747=0,"No Start (attainment only)",IF(OR($N747=1,$O747=1),"U – needs rule",INDEX(MxBody,MATCH($I747,MxCurr,0),MATCH($H747,MxStart,0)))))))</f>
        <v/>
      </c>
      <c r="L747" s="62" t="str">
        <f aca="false">IF(COUNTA($A747,$F747,$G747,$H747,$I747,$J747)=0,"",IF($M747=0,"✖ كود الصف غير موجود",IF(ISNA(MATCH($F747,Lists!$A$2:$A$5,0)),"✖ الفترة غير صحيحة",IF(ISNA(MATCH($G747,Lists!$B$2:$B$7,0)),"✖ المجموعة غير صحيحة",IF(NOT(OR($H747="",$N747&gt;0)),"✖ Start غير صحيح",IF(NOT(OR($I747="",$I747="NR",$O747&gt;0)),"✖ Current غير صحيح",IF(NOT(IF(ISNUMBER($J747),AND($J747&gt;=0,$J747=INT($J747)),FALSE())),"✖ العدد يجب أن يكون صحيحًا ≥ 0",IF(AND($F747="Baseline",$H747&lt;&gt;""),"⚠ Baseline: Start لا يدخل في التقدم",IF($K747="No Start (attainment only)","ℹ تحصيل فقط (بدون Start)",IF($K747="U – needs rule","ℹ حالة U تحتاج قاعدة معتمدة",IF($K747="No result","ℹ بدون نتيجة (يُستبعد من التحصيل)","OK")))))))))))</f>
        <v/>
      </c>
      <c r="M747" s="64" t="n">
        <f aca="false">IF($A747="",0,IFERROR(MATCH($A747,Classes!$A$6:$A$420,0),0))</f>
        <v>0</v>
      </c>
      <c r="N747" s="64" t="n">
        <f aca="false">IF($H747="",0,IFERROR(MATCH($H747,GradeList,0),0))</f>
        <v>0</v>
      </c>
      <c r="O747" s="64" t="n">
        <f aca="false">IF(OR($I747="",$I747="NR"),0,IFERROR(MATCH($I747,GradeList,0),0))</f>
        <v>0</v>
      </c>
      <c r="P747" s="64" t="n">
        <f aca="false">IF(AND($M747&gt;0,ISNUMBER(MATCH($F747,Lists!$A$2:$A$5,0)),ISNUMBER(MATCH($G747,Lists!$B$2:$B$7,0)),OR($H747="",$N747&gt;0),OR($I747="",$I747="NR",$O747&gt;0),IF(ISNUMBER($J747),AND($J747&gt;=0,$J747=INT($J747)),FALSE())),$J747,0)</f>
        <v>0</v>
      </c>
      <c r="Q747" s="64" t="n">
        <f aca="false">IF(AND($P747&gt;0,$O747&gt;0),$P747,0)</f>
        <v>0</v>
      </c>
      <c r="R747" s="64" t="n">
        <f aca="false">IF(AND($Q747&gt;0,$O747&gt;=AtRank),$Q747,0)</f>
        <v>0</v>
      </c>
      <c r="S747" s="64" t="n">
        <f aca="false">IF(AND($Q747&gt;0,$O747&gt;=AboveRank),$Q747,0)</f>
        <v>0</v>
      </c>
      <c r="T747" s="64" t="n">
        <f aca="false">IF($K747="Less",$P747,0)</f>
        <v>0</v>
      </c>
      <c r="U747" s="64" t="n">
        <f aca="false">IF($K747="Expected",$P747,0)</f>
        <v>0</v>
      </c>
      <c r="V747" s="64" t="n">
        <f aca="false">IF($K747="Better",$P747,0)</f>
        <v>0</v>
      </c>
      <c r="W747" s="64" t="n">
        <f aca="false">IF($K747="U – needs rule",$P747,0)</f>
        <v>0</v>
      </c>
      <c r="X747" s="64" t="n">
        <f aca="false">IF($K747="No Start (attainment only)",$P747,0)</f>
        <v>0</v>
      </c>
    </row>
    <row r="748" customFormat="false" ht="15" hidden="false" customHeight="false" outlineLevel="0" collapsed="false">
      <c r="A748" s="60"/>
      <c r="B748" s="61" t="str">
        <f aca="false">IF($M748=0,"",INDEX(Classes!$E$6:$E$420,$M748))</f>
        <v/>
      </c>
      <c r="C748" s="62" t="str">
        <f aca="false">IF($M748=0,"",INDEX(Classes!$H$6:$H$420,$M748))</f>
        <v/>
      </c>
      <c r="D748" s="61" t="str">
        <f aca="false">IF($M748=0,"",INDEX(Classes!$B$6:$B$420,$M748))</f>
        <v/>
      </c>
      <c r="E748" s="61" t="str">
        <f aca="false">IF($M748=0,"",INDEX(Classes!$C$6:$C$420,$M748))</f>
        <v/>
      </c>
      <c r="F748" s="63"/>
      <c r="G748" s="63"/>
      <c r="H748" s="60"/>
      <c r="I748" s="60"/>
      <c r="J748" s="63"/>
      <c r="K748" s="61" t="str">
        <f aca="false">IF($P748=0,"",IF($F748="Baseline","— Baseline",IF($O748=0,"No result",IF($N748=0,"No Start (attainment only)",IF(OR($N748=1,$O748=1),"U – needs rule",INDEX(MxBody,MATCH($I748,MxCurr,0),MATCH($H748,MxStart,0)))))))</f>
        <v/>
      </c>
      <c r="L748" s="62" t="str">
        <f aca="false">IF(COUNTA($A748,$F748,$G748,$H748,$I748,$J748)=0,"",IF($M748=0,"✖ كود الصف غير موجود",IF(ISNA(MATCH($F748,Lists!$A$2:$A$5,0)),"✖ الفترة غير صحيحة",IF(ISNA(MATCH($G748,Lists!$B$2:$B$7,0)),"✖ المجموعة غير صحيحة",IF(NOT(OR($H748="",$N748&gt;0)),"✖ Start غير صحيح",IF(NOT(OR($I748="",$I748="NR",$O748&gt;0)),"✖ Current غير صحيح",IF(NOT(IF(ISNUMBER($J748),AND($J748&gt;=0,$J748=INT($J748)),FALSE())),"✖ العدد يجب أن يكون صحيحًا ≥ 0",IF(AND($F748="Baseline",$H748&lt;&gt;""),"⚠ Baseline: Start لا يدخل في التقدم",IF($K748="No Start (attainment only)","ℹ تحصيل فقط (بدون Start)",IF($K748="U – needs rule","ℹ حالة U تحتاج قاعدة معتمدة",IF($K748="No result","ℹ بدون نتيجة (يُستبعد من التحصيل)","OK")))))))))))</f>
        <v/>
      </c>
      <c r="M748" s="64" t="n">
        <f aca="false">IF($A748="",0,IFERROR(MATCH($A748,Classes!$A$6:$A$420,0),0))</f>
        <v>0</v>
      </c>
      <c r="N748" s="64" t="n">
        <f aca="false">IF($H748="",0,IFERROR(MATCH($H748,GradeList,0),0))</f>
        <v>0</v>
      </c>
      <c r="O748" s="64" t="n">
        <f aca="false">IF(OR($I748="",$I748="NR"),0,IFERROR(MATCH($I748,GradeList,0),0))</f>
        <v>0</v>
      </c>
      <c r="P748" s="64" t="n">
        <f aca="false">IF(AND($M748&gt;0,ISNUMBER(MATCH($F748,Lists!$A$2:$A$5,0)),ISNUMBER(MATCH($G748,Lists!$B$2:$B$7,0)),OR($H748="",$N748&gt;0),OR($I748="",$I748="NR",$O748&gt;0),IF(ISNUMBER($J748),AND($J748&gt;=0,$J748=INT($J748)),FALSE())),$J748,0)</f>
        <v>0</v>
      </c>
      <c r="Q748" s="64" t="n">
        <f aca="false">IF(AND($P748&gt;0,$O748&gt;0),$P748,0)</f>
        <v>0</v>
      </c>
      <c r="R748" s="64" t="n">
        <f aca="false">IF(AND($Q748&gt;0,$O748&gt;=AtRank),$Q748,0)</f>
        <v>0</v>
      </c>
      <c r="S748" s="64" t="n">
        <f aca="false">IF(AND($Q748&gt;0,$O748&gt;=AboveRank),$Q748,0)</f>
        <v>0</v>
      </c>
      <c r="T748" s="64" t="n">
        <f aca="false">IF($K748="Less",$P748,0)</f>
        <v>0</v>
      </c>
      <c r="U748" s="64" t="n">
        <f aca="false">IF($K748="Expected",$P748,0)</f>
        <v>0</v>
      </c>
      <c r="V748" s="64" t="n">
        <f aca="false">IF($K748="Better",$P748,0)</f>
        <v>0</v>
      </c>
      <c r="W748" s="64" t="n">
        <f aca="false">IF($K748="U – needs rule",$P748,0)</f>
        <v>0</v>
      </c>
      <c r="X748" s="64" t="n">
        <f aca="false">IF($K748="No Start (attainment only)",$P748,0)</f>
        <v>0</v>
      </c>
    </row>
    <row r="749" customFormat="false" ht="15" hidden="false" customHeight="false" outlineLevel="0" collapsed="false">
      <c r="A749" s="60"/>
      <c r="B749" s="61" t="str">
        <f aca="false">IF($M749=0,"",INDEX(Classes!$E$6:$E$420,$M749))</f>
        <v/>
      </c>
      <c r="C749" s="62" t="str">
        <f aca="false">IF($M749=0,"",INDEX(Classes!$H$6:$H$420,$M749))</f>
        <v/>
      </c>
      <c r="D749" s="61" t="str">
        <f aca="false">IF($M749=0,"",INDEX(Classes!$B$6:$B$420,$M749))</f>
        <v/>
      </c>
      <c r="E749" s="61" t="str">
        <f aca="false">IF($M749=0,"",INDEX(Classes!$C$6:$C$420,$M749))</f>
        <v/>
      </c>
      <c r="F749" s="63"/>
      <c r="G749" s="63"/>
      <c r="H749" s="60"/>
      <c r="I749" s="60"/>
      <c r="J749" s="63"/>
      <c r="K749" s="61" t="str">
        <f aca="false">IF($P749=0,"",IF($F749="Baseline","— Baseline",IF($O749=0,"No result",IF($N749=0,"No Start (attainment only)",IF(OR($N749=1,$O749=1),"U – needs rule",INDEX(MxBody,MATCH($I749,MxCurr,0),MATCH($H749,MxStart,0)))))))</f>
        <v/>
      </c>
      <c r="L749" s="62" t="str">
        <f aca="false">IF(COUNTA($A749,$F749,$G749,$H749,$I749,$J749)=0,"",IF($M749=0,"✖ كود الصف غير موجود",IF(ISNA(MATCH($F749,Lists!$A$2:$A$5,0)),"✖ الفترة غير صحيحة",IF(ISNA(MATCH($G749,Lists!$B$2:$B$7,0)),"✖ المجموعة غير صحيحة",IF(NOT(OR($H749="",$N749&gt;0)),"✖ Start غير صحيح",IF(NOT(OR($I749="",$I749="NR",$O749&gt;0)),"✖ Current غير صحيح",IF(NOT(IF(ISNUMBER($J749),AND($J749&gt;=0,$J749=INT($J749)),FALSE())),"✖ العدد يجب أن يكون صحيحًا ≥ 0",IF(AND($F749="Baseline",$H749&lt;&gt;""),"⚠ Baseline: Start لا يدخل في التقدم",IF($K749="No Start (attainment only)","ℹ تحصيل فقط (بدون Start)",IF($K749="U – needs rule","ℹ حالة U تحتاج قاعدة معتمدة",IF($K749="No result","ℹ بدون نتيجة (يُستبعد من التحصيل)","OK")))))))))))</f>
        <v/>
      </c>
      <c r="M749" s="64" t="n">
        <f aca="false">IF($A749="",0,IFERROR(MATCH($A749,Classes!$A$6:$A$420,0),0))</f>
        <v>0</v>
      </c>
      <c r="N749" s="64" t="n">
        <f aca="false">IF($H749="",0,IFERROR(MATCH($H749,GradeList,0),0))</f>
        <v>0</v>
      </c>
      <c r="O749" s="64" t="n">
        <f aca="false">IF(OR($I749="",$I749="NR"),0,IFERROR(MATCH($I749,GradeList,0),0))</f>
        <v>0</v>
      </c>
      <c r="P749" s="64" t="n">
        <f aca="false">IF(AND($M749&gt;0,ISNUMBER(MATCH($F749,Lists!$A$2:$A$5,0)),ISNUMBER(MATCH($G749,Lists!$B$2:$B$7,0)),OR($H749="",$N749&gt;0),OR($I749="",$I749="NR",$O749&gt;0),IF(ISNUMBER($J749),AND($J749&gt;=0,$J749=INT($J749)),FALSE())),$J749,0)</f>
        <v>0</v>
      </c>
      <c r="Q749" s="64" t="n">
        <f aca="false">IF(AND($P749&gt;0,$O749&gt;0),$P749,0)</f>
        <v>0</v>
      </c>
      <c r="R749" s="64" t="n">
        <f aca="false">IF(AND($Q749&gt;0,$O749&gt;=AtRank),$Q749,0)</f>
        <v>0</v>
      </c>
      <c r="S749" s="64" t="n">
        <f aca="false">IF(AND($Q749&gt;0,$O749&gt;=AboveRank),$Q749,0)</f>
        <v>0</v>
      </c>
      <c r="T749" s="64" t="n">
        <f aca="false">IF($K749="Less",$P749,0)</f>
        <v>0</v>
      </c>
      <c r="U749" s="64" t="n">
        <f aca="false">IF($K749="Expected",$P749,0)</f>
        <v>0</v>
      </c>
      <c r="V749" s="64" t="n">
        <f aca="false">IF($K749="Better",$P749,0)</f>
        <v>0</v>
      </c>
      <c r="W749" s="64" t="n">
        <f aca="false">IF($K749="U – needs rule",$P749,0)</f>
        <v>0</v>
      </c>
      <c r="X749" s="64" t="n">
        <f aca="false">IF($K749="No Start (attainment only)",$P749,0)</f>
        <v>0</v>
      </c>
    </row>
    <row r="750" customFormat="false" ht="15" hidden="false" customHeight="false" outlineLevel="0" collapsed="false">
      <c r="A750" s="60"/>
      <c r="B750" s="61" t="str">
        <f aca="false">IF($M750=0,"",INDEX(Classes!$E$6:$E$420,$M750))</f>
        <v/>
      </c>
      <c r="C750" s="62" t="str">
        <f aca="false">IF($M750=0,"",INDEX(Classes!$H$6:$H$420,$M750))</f>
        <v/>
      </c>
      <c r="D750" s="61" t="str">
        <f aca="false">IF($M750=0,"",INDEX(Classes!$B$6:$B$420,$M750))</f>
        <v/>
      </c>
      <c r="E750" s="61" t="str">
        <f aca="false">IF($M750=0,"",INDEX(Classes!$C$6:$C$420,$M750))</f>
        <v/>
      </c>
      <c r="F750" s="63"/>
      <c r="G750" s="63"/>
      <c r="H750" s="60"/>
      <c r="I750" s="60"/>
      <c r="J750" s="63"/>
      <c r="K750" s="61" t="str">
        <f aca="false">IF($P750=0,"",IF($F750="Baseline","— Baseline",IF($O750=0,"No result",IF($N750=0,"No Start (attainment only)",IF(OR($N750=1,$O750=1),"U – needs rule",INDEX(MxBody,MATCH($I750,MxCurr,0),MATCH($H750,MxStart,0)))))))</f>
        <v/>
      </c>
      <c r="L750" s="62" t="str">
        <f aca="false">IF(COUNTA($A750,$F750,$G750,$H750,$I750,$J750)=0,"",IF($M750=0,"✖ كود الصف غير موجود",IF(ISNA(MATCH($F750,Lists!$A$2:$A$5,0)),"✖ الفترة غير صحيحة",IF(ISNA(MATCH($G750,Lists!$B$2:$B$7,0)),"✖ المجموعة غير صحيحة",IF(NOT(OR($H750="",$N750&gt;0)),"✖ Start غير صحيح",IF(NOT(OR($I750="",$I750="NR",$O750&gt;0)),"✖ Current غير صحيح",IF(NOT(IF(ISNUMBER($J750),AND($J750&gt;=0,$J750=INT($J750)),FALSE())),"✖ العدد يجب أن يكون صحيحًا ≥ 0",IF(AND($F750="Baseline",$H750&lt;&gt;""),"⚠ Baseline: Start لا يدخل في التقدم",IF($K750="No Start (attainment only)","ℹ تحصيل فقط (بدون Start)",IF($K750="U – needs rule","ℹ حالة U تحتاج قاعدة معتمدة",IF($K750="No result","ℹ بدون نتيجة (يُستبعد من التحصيل)","OK")))))))))))</f>
        <v/>
      </c>
      <c r="M750" s="64" t="n">
        <f aca="false">IF($A750="",0,IFERROR(MATCH($A750,Classes!$A$6:$A$420,0),0))</f>
        <v>0</v>
      </c>
      <c r="N750" s="64" t="n">
        <f aca="false">IF($H750="",0,IFERROR(MATCH($H750,GradeList,0),0))</f>
        <v>0</v>
      </c>
      <c r="O750" s="64" t="n">
        <f aca="false">IF(OR($I750="",$I750="NR"),0,IFERROR(MATCH($I750,GradeList,0),0))</f>
        <v>0</v>
      </c>
      <c r="P750" s="64" t="n">
        <f aca="false">IF(AND($M750&gt;0,ISNUMBER(MATCH($F750,Lists!$A$2:$A$5,0)),ISNUMBER(MATCH($G750,Lists!$B$2:$B$7,0)),OR($H750="",$N750&gt;0),OR($I750="",$I750="NR",$O750&gt;0),IF(ISNUMBER($J750),AND($J750&gt;=0,$J750=INT($J750)),FALSE())),$J750,0)</f>
        <v>0</v>
      </c>
      <c r="Q750" s="64" t="n">
        <f aca="false">IF(AND($P750&gt;0,$O750&gt;0),$P750,0)</f>
        <v>0</v>
      </c>
      <c r="R750" s="64" t="n">
        <f aca="false">IF(AND($Q750&gt;0,$O750&gt;=AtRank),$Q750,0)</f>
        <v>0</v>
      </c>
      <c r="S750" s="64" t="n">
        <f aca="false">IF(AND($Q750&gt;0,$O750&gt;=AboveRank),$Q750,0)</f>
        <v>0</v>
      </c>
      <c r="T750" s="64" t="n">
        <f aca="false">IF($K750="Less",$P750,0)</f>
        <v>0</v>
      </c>
      <c r="U750" s="64" t="n">
        <f aca="false">IF($K750="Expected",$P750,0)</f>
        <v>0</v>
      </c>
      <c r="V750" s="64" t="n">
        <f aca="false">IF($K750="Better",$P750,0)</f>
        <v>0</v>
      </c>
      <c r="W750" s="64" t="n">
        <f aca="false">IF($K750="U – needs rule",$P750,0)</f>
        <v>0</v>
      </c>
      <c r="X750" s="64" t="n">
        <f aca="false">IF($K750="No Start (attainment only)",$P750,0)</f>
        <v>0</v>
      </c>
    </row>
    <row r="751" customFormat="false" ht="15" hidden="false" customHeight="false" outlineLevel="0" collapsed="false">
      <c r="A751" s="60"/>
      <c r="B751" s="61" t="str">
        <f aca="false">IF($M751=0,"",INDEX(Classes!$E$6:$E$420,$M751))</f>
        <v/>
      </c>
      <c r="C751" s="62" t="str">
        <f aca="false">IF($M751=0,"",INDEX(Classes!$H$6:$H$420,$M751))</f>
        <v/>
      </c>
      <c r="D751" s="61" t="str">
        <f aca="false">IF($M751=0,"",INDEX(Classes!$B$6:$B$420,$M751))</f>
        <v/>
      </c>
      <c r="E751" s="61" t="str">
        <f aca="false">IF($M751=0,"",INDEX(Classes!$C$6:$C$420,$M751))</f>
        <v/>
      </c>
      <c r="F751" s="63"/>
      <c r="G751" s="63"/>
      <c r="H751" s="60"/>
      <c r="I751" s="60"/>
      <c r="J751" s="63"/>
      <c r="K751" s="61" t="str">
        <f aca="false">IF($P751=0,"",IF($F751="Baseline","— Baseline",IF($O751=0,"No result",IF($N751=0,"No Start (attainment only)",IF(OR($N751=1,$O751=1),"U – needs rule",INDEX(MxBody,MATCH($I751,MxCurr,0),MATCH($H751,MxStart,0)))))))</f>
        <v/>
      </c>
      <c r="L751" s="62" t="str">
        <f aca="false">IF(COUNTA($A751,$F751,$G751,$H751,$I751,$J751)=0,"",IF($M751=0,"✖ كود الصف غير موجود",IF(ISNA(MATCH($F751,Lists!$A$2:$A$5,0)),"✖ الفترة غير صحيحة",IF(ISNA(MATCH($G751,Lists!$B$2:$B$7,0)),"✖ المجموعة غير صحيحة",IF(NOT(OR($H751="",$N751&gt;0)),"✖ Start غير صحيح",IF(NOT(OR($I751="",$I751="NR",$O751&gt;0)),"✖ Current غير صحيح",IF(NOT(IF(ISNUMBER($J751),AND($J751&gt;=0,$J751=INT($J751)),FALSE())),"✖ العدد يجب أن يكون صحيحًا ≥ 0",IF(AND($F751="Baseline",$H751&lt;&gt;""),"⚠ Baseline: Start لا يدخل في التقدم",IF($K751="No Start (attainment only)","ℹ تحصيل فقط (بدون Start)",IF($K751="U – needs rule","ℹ حالة U تحتاج قاعدة معتمدة",IF($K751="No result","ℹ بدون نتيجة (يُستبعد من التحصيل)","OK")))))))))))</f>
        <v/>
      </c>
      <c r="M751" s="64" t="n">
        <f aca="false">IF($A751="",0,IFERROR(MATCH($A751,Classes!$A$6:$A$420,0),0))</f>
        <v>0</v>
      </c>
      <c r="N751" s="64" t="n">
        <f aca="false">IF($H751="",0,IFERROR(MATCH($H751,GradeList,0),0))</f>
        <v>0</v>
      </c>
      <c r="O751" s="64" t="n">
        <f aca="false">IF(OR($I751="",$I751="NR"),0,IFERROR(MATCH($I751,GradeList,0),0))</f>
        <v>0</v>
      </c>
      <c r="P751" s="64" t="n">
        <f aca="false">IF(AND($M751&gt;0,ISNUMBER(MATCH($F751,Lists!$A$2:$A$5,0)),ISNUMBER(MATCH($G751,Lists!$B$2:$B$7,0)),OR($H751="",$N751&gt;0),OR($I751="",$I751="NR",$O751&gt;0),IF(ISNUMBER($J751),AND($J751&gt;=0,$J751=INT($J751)),FALSE())),$J751,0)</f>
        <v>0</v>
      </c>
      <c r="Q751" s="64" t="n">
        <f aca="false">IF(AND($P751&gt;0,$O751&gt;0),$P751,0)</f>
        <v>0</v>
      </c>
      <c r="R751" s="64" t="n">
        <f aca="false">IF(AND($Q751&gt;0,$O751&gt;=AtRank),$Q751,0)</f>
        <v>0</v>
      </c>
      <c r="S751" s="64" t="n">
        <f aca="false">IF(AND($Q751&gt;0,$O751&gt;=AboveRank),$Q751,0)</f>
        <v>0</v>
      </c>
      <c r="T751" s="64" t="n">
        <f aca="false">IF($K751="Less",$P751,0)</f>
        <v>0</v>
      </c>
      <c r="U751" s="64" t="n">
        <f aca="false">IF($K751="Expected",$P751,0)</f>
        <v>0</v>
      </c>
      <c r="V751" s="64" t="n">
        <f aca="false">IF($K751="Better",$P751,0)</f>
        <v>0</v>
      </c>
      <c r="W751" s="64" t="n">
        <f aca="false">IF($K751="U – needs rule",$P751,0)</f>
        <v>0</v>
      </c>
      <c r="X751" s="64" t="n">
        <f aca="false">IF($K751="No Start (attainment only)",$P751,0)</f>
        <v>0</v>
      </c>
    </row>
    <row r="752" customFormat="false" ht="15" hidden="false" customHeight="false" outlineLevel="0" collapsed="false">
      <c r="A752" s="60"/>
      <c r="B752" s="61" t="str">
        <f aca="false">IF($M752=0,"",INDEX(Classes!$E$6:$E$420,$M752))</f>
        <v/>
      </c>
      <c r="C752" s="62" t="str">
        <f aca="false">IF($M752=0,"",INDEX(Classes!$H$6:$H$420,$M752))</f>
        <v/>
      </c>
      <c r="D752" s="61" t="str">
        <f aca="false">IF($M752=0,"",INDEX(Classes!$B$6:$B$420,$M752))</f>
        <v/>
      </c>
      <c r="E752" s="61" t="str">
        <f aca="false">IF($M752=0,"",INDEX(Classes!$C$6:$C$420,$M752))</f>
        <v/>
      </c>
      <c r="F752" s="63"/>
      <c r="G752" s="63"/>
      <c r="H752" s="60"/>
      <c r="I752" s="60"/>
      <c r="J752" s="63"/>
      <c r="K752" s="61" t="str">
        <f aca="false">IF($P752=0,"",IF($F752="Baseline","— Baseline",IF($O752=0,"No result",IF($N752=0,"No Start (attainment only)",IF(OR($N752=1,$O752=1),"U – needs rule",INDEX(MxBody,MATCH($I752,MxCurr,0),MATCH($H752,MxStart,0)))))))</f>
        <v/>
      </c>
      <c r="L752" s="62" t="str">
        <f aca="false">IF(COUNTA($A752,$F752,$G752,$H752,$I752,$J752)=0,"",IF($M752=0,"✖ كود الصف غير موجود",IF(ISNA(MATCH($F752,Lists!$A$2:$A$5,0)),"✖ الفترة غير صحيحة",IF(ISNA(MATCH($G752,Lists!$B$2:$B$7,0)),"✖ المجموعة غير صحيحة",IF(NOT(OR($H752="",$N752&gt;0)),"✖ Start غير صحيح",IF(NOT(OR($I752="",$I752="NR",$O752&gt;0)),"✖ Current غير صحيح",IF(NOT(IF(ISNUMBER($J752),AND($J752&gt;=0,$J752=INT($J752)),FALSE())),"✖ العدد يجب أن يكون صحيحًا ≥ 0",IF(AND($F752="Baseline",$H752&lt;&gt;""),"⚠ Baseline: Start لا يدخل في التقدم",IF($K752="No Start (attainment only)","ℹ تحصيل فقط (بدون Start)",IF($K752="U – needs rule","ℹ حالة U تحتاج قاعدة معتمدة",IF($K752="No result","ℹ بدون نتيجة (يُستبعد من التحصيل)","OK")))))))))))</f>
        <v/>
      </c>
      <c r="M752" s="64" t="n">
        <f aca="false">IF($A752="",0,IFERROR(MATCH($A752,Classes!$A$6:$A$420,0),0))</f>
        <v>0</v>
      </c>
      <c r="N752" s="64" t="n">
        <f aca="false">IF($H752="",0,IFERROR(MATCH($H752,GradeList,0),0))</f>
        <v>0</v>
      </c>
      <c r="O752" s="64" t="n">
        <f aca="false">IF(OR($I752="",$I752="NR"),0,IFERROR(MATCH($I752,GradeList,0),0))</f>
        <v>0</v>
      </c>
      <c r="P752" s="64" t="n">
        <f aca="false">IF(AND($M752&gt;0,ISNUMBER(MATCH($F752,Lists!$A$2:$A$5,0)),ISNUMBER(MATCH($G752,Lists!$B$2:$B$7,0)),OR($H752="",$N752&gt;0),OR($I752="",$I752="NR",$O752&gt;0),IF(ISNUMBER($J752),AND($J752&gt;=0,$J752=INT($J752)),FALSE())),$J752,0)</f>
        <v>0</v>
      </c>
      <c r="Q752" s="64" t="n">
        <f aca="false">IF(AND($P752&gt;0,$O752&gt;0),$P752,0)</f>
        <v>0</v>
      </c>
      <c r="R752" s="64" t="n">
        <f aca="false">IF(AND($Q752&gt;0,$O752&gt;=AtRank),$Q752,0)</f>
        <v>0</v>
      </c>
      <c r="S752" s="64" t="n">
        <f aca="false">IF(AND($Q752&gt;0,$O752&gt;=AboveRank),$Q752,0)</f>
        <v>0</v>
      </c>
      <c r="T752" s="64" t="n">
        <f aca="false">IF($K752="Less",$P752,0)</f>
        <v>0</v>
      </c>
      <c r="U752" s="64" t="n">
        <f aca="false">IF($K752="Expected",$P752,0)</f>
        <v>0</v>
      </c>
      <c r="V752" s="64" t="n">
        <f aca="false">IF($K752="Better",$P752,0)</f>
        <v>0</v>
      </c>
      <c r="W752" s="64" t="n">
        <f aca="false">IF($K752="U – needs rule",$P752,0)</f>
        <v>0</v>
      </c>
      <c r="X752" s="64" t="n">
        <f aca="false">IF($K752="No Start (attainment only)",$P752,0)</f>
        <v>0</v>
      </c>
    </row>
    <row r="753" customFormat="false" ht="15" hidden="false" customHeight="false" outlineLevel="0" collapsed="false">
      <c r="A753" s="60"/>
      <c r="B753" s="61" t="str">
        <f aca="false">IF($M753=0,"",INDEX(Classes!$E$6:$E$420,$M753))</f>
        <v/>
      </c>
      <c r="C753" s="62" t="str">
        <f aca="false">IF($M753=0,"",INDEX(Classes!$H$6:$H$420,$M753))</f>
        <v/>
      </c>
      <c r="D753" s="61" t="str">
        <f aca="false">IF($M753=0,"",INDEX(Classes!$B$6:$B$420,$M753))</f>
        <v/>
      </c>
      <c r="E753" s="61" t="str">
        <f aca="false">IF($M753=0,"",INDEX(Classes!$C$6:$C$420,$M753))</f>
        <v/>
      </c>
      <c r="F753" s="63"/>
      <c r="G753" s="63"/>
      <c r="H753" s="60"/>
      <c r="I753" s="60"/>
      <c r="J753" s="63"/>
      <c r="K753" s="61" t="str">
        <f aca="false">IF($P753=0,"",IF($F753="Baseline","— Baseline",IF($O753=0,"No result",IF($N753=0,"No Start (attainment only)",IF(OR($N753=1,$O753=1),"U – needs rule",INDEX(MxBody,MATCH($I753,MxCurr,0),MATCH($H753,MxStart,0)))))))</f>
        <v/>
      </c>
      <c r="L753" s="62" t="str">
        <f aca="false">IF(COUNTA($A753,$F753,$G753,$H753,$I753,$J753)=0,"",IF($M753=0,"✖ كود الصف غير موجود",IF(ISNA(MATCH($F753,Lists!$A$2:$A$5,0)),"✖ الفترة غير صحيحة",IF(ISNA(MATCH($G753,Lists!$B$2:$B$7,0)),"✖ المجموعة غير صحيحة",IF(NOT(OR($H753="",$N753&gt;0)),"✖ Start غير صحيح",IF(NOT(OR($I753="",$I753="NR",$O753&gt;0)),"✖ Current غير صحيح",IF(NOT(IF(ISNUMBER($J753),AND($J753&gt;=0,$J753=INT($J753)),FALSE())),"✖ العدد يجب أن يكون صحيحًا ≥ 0",IF(AND($F753="Baseline",$H753&lt;&gt;""),"⚠ Baseline: Start لا يدخل في التقدم",IF($K753="No Start (attainment only)","ℹ تحصيل فقط (بدون Start)",IF($K753="U – needs rule","ℹ حالة U تحتاج قاعدة معتمدة",IF($K753="No result","ℹ بدون نتيجة (يُستبعد من التحصيل)","OK")))))))))))</f>
        <v/>
      </c>
      <c r="M753" s="64" t="n">
        <f aca="false">IF($A753="",0,IFERROR(MATCH($A753,Classes!$A$6:$A$420,0),0))</f>
        <v>0</v>
      </c>
      <c r="N753" s="64" t="n">
        <f aca="false">IF($H753="",0,IFERROR(MATCH($H753,GradeList,0),0))</f>
        <v>0</v>
      </c>
      <c r="O753" s="64" t="n">
        <f aca="false">IF(OR($I753="",$I753="NR"),0,IFERROR(MATCH($I753,GradeList,0),0))</f>
        <v>0</v>
      </c>
      <c r="P753" s="64" t="n">
        <f aca="false">IF(AND($M753&gt;0,ISNUMBER(MATCH($F753,Lists!$A$2:$A$5,0)),ISNUMBER(MATCH($G753,Lists!$B$2:$B$7,0)),OR($H753="",$N753&gt;0),OR($I753="",$I753="NR",$O753&gt;0),IF(ISNUMBER($J753),AND($J753&gt;=0,$J753=INT($J753)),FALSE())),$J753,0)</f>
        <v>0</v>
      </c>
      <c r="Q753" s="64" t="n">
        <f aca="false">IF(AND($P753&gt;0,$O753&gt;0),$P753,0)</f>
        <v>0</v>
      </c>
      <c r="R753" s="64" t="n">
        <f aca="false">IF(AND($Q753&gt;0,$O753&gt;=AtRank),$Q753,0)</f>
        <v>0</v>
      </c>
      <c r="S753" s="64" t="n">
        <f aca="false">IF(AND($Q753&gt;0,$O753&gt;=AboveRank),$Q753,0)</f>
        <v>0</v>
      </c>
      <c r="T753" s="64" t="n">
        <f aca="false">IF($K753="Less",$P753,0)</f>
        <v>0</v>
      </c>
      <c r="U753" s="64" t="n">
        <f aca="false">IF($K753="Expected",$P753,0)</f>
        <v>0</v>
      </c>
      <c r="V753" s="64" t="n">
        <f aca="false">IF($K753="Better",$P753,0)</f>
        <v>0</v>
      </c>
      <c r="W753" s="64" t="n">
        <f aca="false">IF($K753="U – needs rule",$P753,0)</f>
        <v>0</v>
      </c>
      <c r="X753" s="64" t="n">
        <f aca="false">IF($K753="No Start (attainment only)",$P753,0)</f>
        <v>0</v>
      </c>
    </row>
    <row r="754" customFormat="false" ht="15" hidden="false" customHeight="false" outlineLevel="0" collapsed="false">
      <c r="A754" s="60"/>
      <c r="B754" s="61" t="str">
        <f aca="false">IF($M754=0,"",INDEX(Classes!$E$6:$E$420,$M754))</f>
        <v/>
      </c>
      <c r="C754" s="62" t="str">
        <f aca="false">IF($M754=0,"",INDEX(Classes!$H$6:$H$420,$M754))</f>
        <v/>
      </c>
      <c r="D754" s="61" t="str">
        <f aca="false">IF($M754=0,"",INDEX(Classes!$B$6:$B$420,$M754))</f>
        <v/>
      </c>
      <c r="E754" s="61" t="str">
        <f aca="false">IF($M754=0,"",INDEX(Classes!$C$6:$C$420,$M754))</f>
        <v/>
      </c>
      <c r="F754" s="63"/>
      <c r="G754" s="63"/>
      <c r="H754" s="60"/>
      <c r="I754" s="60"/>
      <c r="J754" s="63"/>
      <c r="K754" s="61" t="str">
        <f aca="false">IF($P754=0,"",IF($F754="Baseline","— Baseline",IF($O754=0,"No result",IF($N754=0,"No Start (attainment only)",IF(OR($N754=1,$O754=1),"U – needs rule",INDEX(MxBody,MATCH($I754,MxCurr,0),MATCH($H754,MxStart,0)))))))</f>
        <v/>
      </c>
      <c r="L754" s="62" t="str">
        <f aca="false">IF(COUNTA($A754,$F754,$G754,$H754,$I754,$J754)=0,"",IF($M754=0,"✖ كود الصف غير موجود",IF(ISNA(MATCH($F754,Lists!$A$2:$A$5,0)),"✖ الفترة غير صحيحة",IF(ISNA(MATCH($G754,Lists!$B$2:$B$7,0)),"✖ المجموعة غير صحيحة",IF(NOT(OR($H754="",$N754&gt;0)),"✖ Start غير صحيح",IF(NOT(OR($I754="",$I754="NR",$O754&gt;0)),"✖ Current غير صحيح",IF(NOT(IF(ISNUMBER($J754),AND($J754&gt;=0,$J754=INT($J754)),FALSE())),"✖ العدد يجب أن يكون صحيحًا ≥ 0",IF(AND($F754="Baseline",$H754&lt;&gt;""),"⚠ Baseline: Start لا يدخل في التقدم",IF($K754="No Start (attainment only)","ℹ تحصيل فقط (بدون Start)",IF($K754="U – needs rule","ℹ حالة U تحتاج قاعدة معتمدة",IF($K754="No result","ℹ بدون نتيجة (يُستبعد من التحصيل)","OK")))))))))))</f>
        <v/>
      </c>
      <c r="M754" s="64" t="n">
        <f aca="false">IF($A754="",0,IFERROR(MATCH($A754,Classes!$A$6:$A$420,0),0))</f>
        <v>0</v>
      </c>
      <c r="N754" s="64" t="n">
        <f aca="false">IF($H754="",0,IFERROR(MATCH($H754,GradeList,0),0))</f>
        <v>0</v>
      </c>
      <c r="O754" s="64" t="n">
        <f aca="false">IF(OR($I754="",$I754="NR"),0,IFERROR(MATCH($I754,GradeList,0),0))</f>
        <v>0</v>
      </c>
      <c r="P754" s="64" t="n">
        <f aca="false">IF(AND($M754&gt;0,ISNUMBER(MATCH($F754,Lists!$A$2:$A$5,0)),ISNUMBER(MATCH($G754,Lists!$B$2:$B$7,0)),OR($H754="",$N754&gt;0),OR($I754="",$I754="NR",$O754&gt;0),IF(ISNUMBER($J754),AND($J754&gt;=0,$J754=INT($J754)),FALSE())),$J754,0)</f>
        <v>0</v>
      </c>
      <c r="Q754" s="64" t="n">
        <f aca="false">IF(AND($P754&gt;0,$O754&gt;0),$P754,0)</f>
        <v>0</v>
      </c>
      <c r="R754" s="64" t="n">
        <f aca="false">IF(AND($Q754&gt;0,$O754&gt;=AtRank),$Q754,0)</f>
        <v>0</v>
      </c>
      <c r="S754" s="64" t="n">
        <f aca="false">IF(AND($Q754&gt;0,$O754&gt;=AboveRank),$Q754,0)</f>
        <v>0</v>
      </c>
      <c r="T754" s="64" t="n">
        <f aca="false">IF($K754="Less",$P754,0)</f>
        <v>0</v>
      </c>
      <c r="U754" s="64" t="n">
        <f aca="false">IF($K754="Expected",$P754,0)</f>
        <v>0</v>
      </c>
      <c r="V754" s="64" t="n">
        <f aca="false">IF($K754="Better",$P754,0)</f>
        <v>0</v>
      </c>
      <c r="W754" s="64" t="n">
        <f aca="false">IF($K754="U – needs rule",$P754,0)</f>
        <v>0</v>
      </c>
      <c r="X754" s="64" t="n">
        <f aca="false">IF($K754="No Start (attainment only)",$P754,0)</f>
        <v>0</v>
      </c>
    </row>
    <row r="755" customFormat="false" ht="15" hidden="false" customHeight="false" outlineLevel="0" collapsed="false">
      <c r="A755" s="60"/>
      <c r="B755" s="61" t="str">
        <f aca="false">IF($M755=0,"",INDEX(Classes!$E$6:$E$420,$M755))</f>
        <v/>
      </c>
      <c r="C755" s="62" t="str">
        <f aca="false">IF($M755=0,"",INDEX(Classes!$H$6:$H$420,$M755))</f>
        <v/>
      </c>
      <c r="D755" s="61" t="str">
        <f aca="false">IF($M755=0,"",INDEX(Classes!$B$6:$B$420,$M755))</f>
        <v/>
      </c>
      <c r="E755" s="61" t="str">
        <f aca="false">IF($M755=0,"",INDEX(Classes!$C$6:$C$420,$M755))</f>
        <v/>
      </c>
      <c r="F755" s="63"/>
      <c r="G755" s="63"/>
      <c r="H755" s="60"/>
      <c r="I755" s="60"/>
      <c r="J755" s="63"/>
      <c r="K755" s="61" t="str">
        <f aca="false">IF($P755=0,"",IF($F755="Baseline","— Baseline",IF($O755=0,"No result",IF($N755=0,"No Start (attainment only)",IF(OR($N755=1,$O755=1),"U – needs rule",INDEX(MxBody,MATCH($I755,MxCurr,0),MATCH($H755,MxStart,0)))))))</f>
        <v/>
      </c>
      <c r="L755" s="62" t="str">
        <f aca="false">IF(COUNTA($A755,$F755,$G755,$H755,$I755,$J755)=0,"",IF($M755=0,"✖ كود الصف غير موجود",IF(ISNA(MATCH($F755,Lists!$A$2:$A$5,0)),"✖ الفترة غير صحيحة",IF(ISNA(MATCH($G755,Lists!$B$2:$B$7,0)),"✖ المجموعة غير صحيحة",IF(NOT(OR($H755="",$N755&gt;0)),"✖ Start غير صحيح",IF(NOT(OR($I755="",$I755="NR",$O755&gt;0)),"✖ Current غير صحيح",IF(NOT(IF(ISNUMBER($J755),AND($J755&gt;=0,$J755=INT($J755)),FALSE())),"✖ العدد يجب أن يكون صحيحًا ≥ 0",IF(AND($F755="Baseline",$H755&lt;&gt;""),"⚠ Baseline: Start لا يدخل في التقدم",IF($K755="No Start (attainment only)","ℹ تحصيل فقط (بدون Start)",IF($K755="U – needs rule","ℹ حالة U تحتاج قاعدة معتمدة",IF($K755="No result","ℹ بدون نتيجة (يُستبعد من التحصيل)","OK")))))))))))</f>
        <v/>
      </c>
      <c r="M755" s="64" t="n">
        <f aca="false">IF($A755="",0,IFERROR(MATCH($A755,Classes!$A$6:$A$420,0),0))</f>
        <v>0</v>
      </c>
      <c r="N755" s="64" t="n">
        <f aca="false">IF($H755="",0,IFERROR(MATCH($H755,GradeList,0),0))</f>
        <v>0</v>
      </c>
      <c r="O755" s="64" t="n">
        <f aca="false">IF(OR($I755="",$I755="NR"),0,IFERROR(MATCH($I755,GradeList,0),0))</f>
        <v>0</v>
      </c>
      <c r="P755" s="64" t="n">
        <f aca="false">IF(AND($M755&gt;0,ISNUMBER(MATCH($F755,Lists!$A$2:$A$5,0)),ISNUMBER(MATCH($G755,Lists!$B$2:$B$7,0)),OR($H755="",$N755&gt;0),OR($I755="",$I755="NR",$O755&gt;0),IF(ISNUMBER($J755),AND($J755&gt;=0,$J755=INT($J755)),FALSE())),$J755,0)</f>
        <v>0</v>
      </c>
      <c r="Q755" s="64" t="n">
        <f aca="false">IF(AND($P755&gt;0,$O755&gt;0),$P755,0)</f>
        <v>0</v>
      </c>
      <c r="R755" s="64" t="n">
        <f aca="false">IF(AND($Q755&gt;0,$O755&gt;=AtRank),$Q755,0)</f>
        <v>0</v>
      </c>
      <c r="S755" s="64" t="n">
        <f aca="false">IF(AND($Q755&gt;0,$O755&gt;=AboveRank),$Q755,0)</f>
        <v>0</v>
      </c>
      <c r="T755" s="64" t="n">
        <f aca="false">IF($K755="Less",$P755,0)</f>
        <v>0</v>
      </c>
      <c r="U755" s="64" t="n">
        <f aca="false">IF($K755="Expected",$P755,0)</f>
        <v>0</v>
      </c>
      <c r="V755" s="64" t="n">
        <f aca="false">IF($K755="Better",$P755,0)</f>
        <v>0</v>
      </c>
      <c r="W755" s="64" t="n">
        <f aca="false">IF($K755="U – needs rule",$P755,0)</f>
        <v>0</v>
      </c>
      <c r="X755" s="64" t="n">
        <f aca="false">IF($K755="No Start (attainment only)",$P755,0)</f>
        <v>0</v>
      </c>
    </row>
    <row r="756" customFormat="false" ht="15" hidden="false" customHeight="false" outlineLevel="0" collapsed="false">
      <c r="A756" s="60"/>
      <c r="B756" s="61" t="str">
        <f aca="false">IF($M756=0,"",INDEX(Classes!$E$6:$E$420,$M756))</f>
        <v/>
      </c>
      <c r="C756" s="62" t="str">
        <f aca="false">IF($M756=0,"",INDEX(Classes!$H$6:$H$420,$M756))</f>
        <v/>
      </c>
      <c r="D756" s="61" t="str">
        <f aca="false">IF($M756=0,"",INDEX(Classes!$B$6:$B$420,$M756))</f>
        <v/>
      </c>
      <c r="E756" s="61" t="str">
        <f aca="false">IF($M756=0,"",INDEX(Classes!$C$6:$C$420,$M756))</f>
        <v/>
      </c>
      <c r="F756" s="63"/>
      <c r="G756" s="63"/>
      <c r="H756" s="60"/>
      <c r="I756" s="60"/>
      <c r="J756" s="63"/>
      <c r="K756" s="61" t="str">
        <f aca="false">IF($P756=0,"",IF($F756="Baseline","— Baseline",IF($O756=0,"No result",IF($N756=0,"No Start (attainment only)",IF(OR($N756=1,$O756=1),"U – needs rule",INDEX(MxBody,MATCH($I756,MxCurr,0),MATCH($H756,MxStart,0)))))))</f>
        <v/>
      </c>
      <c r="L756" s="62" t="str">
        <f aca="false">IF(COUNTA($A756,$F756,$G756,$H756,$I756,$J756)=0,"",IF($M756=0,"✖ كود الصف غير موجود",IF(ISNA(MATCH($F756,Lists!$A$2:$A$5,0)),"✖ الفترة غير صحيحة",IF(ISNA(MATCH($G756,Lists!$B$2:$B$7,0)),"✖ المجموعة غير صحيحة",IF(NOT(OR($H756="",$N756&gt;0)),"✖ Start غير صحيح",IF(NOT(OR($I756="",$I756="NR",$O756&gt;0)),"✖ Current غير صحيح",IF(NOT(IF(ISNUMBER($J756),AND($J756&gt;=0,$J756=INT($J756)),FALSE())),"✖ العدد يجب أن يكون صحيحًا ≥ 0",IF(AND($F756="Baseline",$H756&lt;&gt;""),"⚠ Baseline: Start لا يدخل في التقدم",IF($K756="No Start (attainment only)","ℹ تحصيل فقط (بدون Start)",IF($K756="U – needs rule","ℹ حالة U تحتاج قاعدة معتمدة",IF($K756="No result","ℹ بدون نتيجة (يُستبعد من التحصيل)","OK")))))))))))</f>
        <v/>
      </c>
      <c r="M756" s="64" t="n">
        <f aca="false">IF($A756="",0,IFERROR(MATCH($A756,Classes!$A$6:$A$420,0),0))</f>
        <v>0</v>
      </c>
      <c r="N756" s="64" t="n">
        <f aca="false">IF($H756="",0,IFERROR(MATCH($H756,GradeList,0),0))</f>
        <v>0</v>
      </c>
      <c r="O756" s="64" t="n">
        <f aca="false">IF(OR($I756="",$I756="NR"),0,IFERROR(MATCH($I756,GradeList,0),0))</f>
        <v>0</v>
      </c>
      <c r="P756" s="64" t="n">
        <f aca="false">IF(AND($M756&gt;0,ISNUMBER(MATCH($F756,Lists!$A$2:$A$5,0)),ISNUMBER(MATCH($G756,Lists!$B$2:$B$7,0)),OR($H756="",$N756&gt;0),OR($I756="",$I756="NR",$O756&gt;0),IF(ISNUMBER($J756),AND($J756&gt;=0,$J756=INT($J756)),FALSE())),$J756,0)</f>
        <v>0</v>
      </c>
      <c r="Q756" s="64" t="n">
        <f aca="false">IF(AND($P756&gt;0,$O756&gt;0),$P756,0)</f>
        <v>0</v>
      </c>
      <c r="R756" s="64" t="n">
        <f aca="false">IF(AND($Q756&gt;0,$O756&gt;=AtRank),$Q756,0)</f>
        <v>0</v>
      </c>
      <c r="S756" s="64" t="n">
        <f aca="false">IF(AND($Q756&gt;0,$O756&gt;=AboveRank),$Q756,0)</f>
        <v>0</v>
      </c>
      <c r="T756" s="64" t="n">
        <f aca="false">IF($K756="Less",$P756,0)</f>
        <v>0</v>
      </c>
      <c r="U756" s="64" t="n">
        <f aca="false">IF($K756="Expected",$P756,0)</f>
        <v>0</v>
      </c>
      <c r="V756" s="64" t="n">
        <f aca="false">IF($K756="Better",$P756,0)</f>
        <v>0</v>
      </c>
      <c r="W756" s="64" t="n">
        <f aca="false">IF($K756="U – needs rule",$P756,0)</f>
        <v>0</v>
      </c>
      <c r="X756" s="64" t="n">
        <f aca="false">IF($K756="No Start (attainment only)",$P756,0)</f>
        <v>0</v>
      </c>
    </row>
    <row r="757" customFormat="false" ht="15" hidden="false" customHeight="false" outlineLevel="0" collapsed="false">
      <c r="A757" s="60"/>
      <c r="B757" s="61" t="str">
        <f aca="false">IF($M757=0,"",INDEX(Classes!$E$6:$E$420,$M757))</f>
        <v/>
      </c>
      <c r="C757" s="62" t="str">
        <f aca="false">IF($M757=0,"",INDEX(Classes!$H$6:$H$420,$M757))</f>
        <v/>
      </c>
      <c r="D757" s="61" t="str">
        <f aca="false">IF($M757=0,"",INDEX(Classes!$B$6:$B$420,$M757))</f>
        <v/>
      </c>
      <c r="E757" s="61" t="str">
        <f aca="false">IF($M757=0,"",INDEX(Classes!$C$6:$C$420,$M757))</f>
        <v/>
      </c>
      <c r="F757" s="63"/>
      <c r="G757" s="63"/>
      <c r="H757" s="60"/>
      <c r="I757" s="60"/>
      <c r="J757" s="63"/>
      <c r="K757" s="61" t="str">
        <f aca="false">IF($P757=0,"",IF($F757="Baseline","— Baseline",IF($O757=0,"No result",IF($N757=0,"No Start (attainment only)",IF(OR($N757=1,$O757=1),"U – needs rule",INDEX(MxBody,MATCH($I757,MxCurr,0),MATCH($H757,MxStart,0)))))))</f>
        <v/>
      </c>
      <c r="L757" s="62" t="str">
        <f aca="false">IF(COUNTA($A757,$F757,$G757,$H757,$I757,$J757)=0,"",IF($M757=0,"✖ كود الصف غير موجود",IF(ISNA(MATCH($F757,Lists!$A$2:$A$5,0)),"✖ الفترة غير صحيحة",IF(ISNA(MATCH($G757,Lists!$B$2:$B$7,0)),"✖ المجموعة غير صحيحة",IF(NOT(OR($H757="",$N757&gt;0)),"✖ Start غير صحيح",IF(NOT(OR($I757="",$I757="NR",$O757&gt;0)),"✖ Current غير صحيح",IF(NOT(IF(ISNUMBER($J757),AND($J757&gt;=0,$J757=INT($J757)),FALSE())),"✖ العدد يجب أن يكون صحيحًا ≥ 0",IF(AND($F757="Baseline",$H757&lt;&gt;""),"⚠ Baseline: Start لا يدخل في التقدم",IF($K757="No Start (attainment only)","ℹ تحصيل فقط (بدون Start)",IF($K757="U – needs rule","ℹ حالة U تحتاج قاعدة معتمدة",IF($K757="No result","ℹ بدون نتيجة (يُستبعد من التحصيل)","OK")))))))))))</f>
        <v/>
      </c>
      <c r="M757" s="64" t="n">
        <f aca="false">IF($A757="",0,IFERROR(MATCH($A757,Classes!$A$6:$A$420,0),0))</f>
        <v>0</v>
      </c>
      <c r="N757" s="64" t="n">
        <f aca="false">IF($H757="",0,IFERROR(MATCH($H757,GradeList,0),0))</f>
        <v>0</v>
      </c>
      <c r="O757" s="64" t="n">
        <f aca="false">IF(OR($I757="",$I757="NR"),0,IFERROR(MATCH($I757,GradeList,0),0))</f>
        <v>0</v>
      </c>
      <c r="P757" s="64" t="n">
        <f aca="false">IF(AND($M757&gt;0,ISNUMBER(MATCH($F757,Lists!$A$2:$A$5,0)),ISNUMBER(MATCH($G757,Lists!$B$2:$B$7,0)),OR($H757="",$N757&gt;0),OR($I757="",$I757="NR",$O757&gt;0),IF(ISNUMBER($J757),AND($J757&gt;=0,$J757=INT($J757)),FALSE())),$J757,0)</f>
        <v>0</v>
      </c>
      <c r="Q757" s="64" t="n">
        <f aca="false">IF(AND($P757&gt;0,$O757&gt;0),$P757,0)</f>
        <v>0</v>
      </c>
      <c r="R757" s="64" t="n">
        <f aca="false">IF(AND($Q757&gt;0,$O757&gt;=AtRank),$Q757,0)</f>
        <v>0</v>
      </c>
      <c r="S757" s="64" t="n">
        <f aca="false">IF(AND($Q757&gt;0,$O757&gt;=AboveRank),$Q757,0)</f>
        <v>0</v>
      </c>
      <c r="T757" s="64" t="n">
        <f aca="false">IF($K757="Less",$P757,0)</f>
        <v>0</v>
      </c>
      <c r="U757" s="64" t="n">
        <f aca="false">IF($K757="Expected",$P757,0)</f>
        <v>0</v>
      </c>
      <c r="V757" s="64" t="n">
        <f aca="false">IF($K757="Better",$P757,0)</f>
        <v>0</v>
      </c>
      <c r="W757" s="64" t="n">
        <f aca="false">IF($K757="U – needs rule",$P757,0)</f>
        <v>0</v>
      </c>
      <c r="X757" s="64" t="n">
        <f aca="false">IF($K757="No Start (attainment only)",$P757,0)</f>
        <v>0</v>
      </c>
    </row>
    <row r="758" customFormat="false" ht="15" hidden="false" customHeight="false" outlineLevel="0" collapsed="false">
      <c r="A758" s="60"/>
      <c r="B758" s="61" t="str">
        <f aca="false">IF($M758=0,"",INDEX(Classes!$E$6:$E$420,$M758))</f>
        <v/>
      </c>
      <c r="C758" s="62" t="str">
        <f aca="false">IF($M758=0,"",INDEX(Classes!$H$6:$H$420,$M758))</f>
        <v/>
      </c>
      <c r="D758" s="61" t="str">
        <f aca="false">IF($M758=0,"",INDEX(Classes!$B$6:$B$420,$M758))</f>
        <v/>
      </c>
      <c r="E758" s="61" t="str">
        <f aca="false">IF($M758=0,"",INDEX(Classes!$C$6:$C$420,$M758))</f>
        <v/>
      </c>
      <c r="F758" s="63"/>
      <c r="G758" s="63"/>
      <c r="H758" s="60"/>
      <c r="I758" s="60"/>
      <c r="J758" s="63"/>
      <c r="K758" s="61" t="str">
        <f aca="false">IF($P758=0,"",IF($F758="Baseline","— Baseline",IF($O758=0,"No result",IF($N758=0,"No Start (attainment only)",IF(OR($N758=1,$O758=1),"U – needs rule",INDEX(MxBody,MATCH($I758,MxCurr,0),MATCH($H758,MxStart,0)))))))</f>
        <v/>
      </c>
      <c r="L758" s="62" t="str">
        <f aca="false">IF(COUNTA($A758,$F758,$G758,$H758,$I758,$J758)=0,"",IF($M758=0,"✖ كود الصف غير موجود",IF(ISNA(MATCH($F758,Lists!$A$2:$A$5,0)),"✖ الفترة غير صحيحة",IF(ISNA(MATCH($G758,Lists!$B$2:$B$7,0)),"✖ المجموعة غير صحيحة",IF(NOT(OR($H758="",$N758&gt;0)),"✖ Start غير صحيح",IF(NOT(OR($I758="",$I758="NR",$O758&gt;0)),"✖ Current غير صحيح",IF(NOT(IF(ISNUMBER($J758),AND($J758&gt;=0,$J758=INT($J758)),FALSE())),"✖ العدد يجب أن يكون صحيحًا ≥ 0",IF(AND($F758="Baseline",$H758&lt;&gt;""),"⚠ Baseline: Start لا يدخل في التقدم",IF($K758="No Start (attainment only)","ℹ تحصيل فقط (بدون Start)",IF($K758="U – needs rule","ℹ حالة U تحتاج قاعدة معتمدة",IF($K758="No result","ℹ بدون نتيجة (يُستبعد من التحصيل)","OK")))))))))))</f>
        <v/>
      </c>
      <c r="M758" s="64" t="n">
        <f aca="false">IF($A758="",0,IFERROR(MATCH($A758,Classes!$A$6:$A$420,0),0))</f>
        <v>0</v>
      </c>
      <c r="N758" s="64" t="n">
        <f aca="false">IF($H758="",0,IFERROR(MATCH($H758,GradeList,0),0))</f>
        <v>0</v>
      </c>
      <c r="O758" s="64" t="n">
        <f aca="false">IF(OR($I758="",$I758="NR"),0,IFERROR(MATCH($I758,GradeList,0),0))</f>
        <v>0</v>
      </c>
      <c r="P758" s="64" t="n">
        <f aca="false">IF(AND($M758&gt;0,ISNUMBER(MATCH($F758,Lists!$A$2:$A$5,0)),ISNUMBER(MATCH($G758,Lists!$B$2:$B$7,0)),OR($H758="",$N758&gt;0),OR($I758="",$I758="NR",$O758&gt;0),IF(ISNUMBER($J758),AND($J758&gt;=0,$J758=INT($J758)),FALSE())),$J758,0)</f>
        <v>0</v>
      </c>
      <c r="Q758" s="64" t="n">
        <f aca="false">IF(AND($P758&gt;0,$O758&gt;0),$P758,0)</f>
        <v>0</v>
      </c>
      <c r="R758" s="64" t="n">
        <f aca="false">IF(AND($Q758&gt;0,$O758&gt;=AtRank),$Q758,0)</f>
        <v>0</v>
      </c>
      <c r="S758" s="64" t="n">
        <f aca="false">IF(AND($Q758&gt;0,$O758&gt;=AboveRank),$Q758,0)</f>
        <v>0</v>
      </c>
      <c r="T758" s="64" t="n">
        <f aca="false">IF($K758="Less",$P758,0)</f>
        <v>0</v>
      </c>
      <c r="U758" s="64" t="n">
        <f aca="false">IF($K758="Expected",$P758,0)</f>
        <v>0</v>
      </c>
      <c r="V758" s="64" t="n">
        <f aca="false">IF($K758="Better",$P758,0)</f>
        <v>0</v>
      </c>
      <c r="W758" s="64" t="n">
        <f aca="false">IF($K758="U – needs rule",$P758,0)</f>
        <v>0</v>
      </c>
      <c r="X758" s="64" t="n">
        <f aca="false">IF($K758="No Start (attainment only)",$P758,0)</f>
        <v>0</v>
      </c>
    </row>
    <row r="759" customFormat="false" ht="15" hidden="false" customHeight="false" outlineLevel="0" collapsed="false">
      <c r="A759" s="60"/>
      <c r="B759" s="61" t="str">
        <f aca="false">IF($M759=0,"",INDEX(Classes!$E$6:$E$420,$M759))</f>
        <v/>
      </c>
      <c r="C759" s="62" t="str">
        <f aca="false">IF($M759=0,"",INDEX(Classes!$H$6:$H$420,$M759))</f>
        <v/>
      </c>
      <c r="D759" s="61" t="str">
        <f aca="false">IF($M759=0,"",INDEX(Classes!$B$6:$B$420,$M759))</f>
        <v/>
      </c>
      <c r="E759" s="61" t="str">
        <f aca="false">IF($M759=0,"",INDEX(Classes!$C$6:$C$420,$M759))</f>
        <v/>
      </c>
      <c r="F759" s="63"/>
      <c r="G759" s="63"/>
      <c r="H759" s="60"/>
      <c r="I759" s="60"/>
      <c r="J759" s="63"/>
      <c r="K759" s="61" t="str">
        <f aca="false">IF($P759=0,"",IF($F759="Baseline","— Baseline",IF($O759=0,"No result",IF($N759=0,"No Start (attainment only)",IF(OR($N759=1,$O759=1),"U – needs rule",INDEX(MxBody,MATCH($I759,MxCurr,0),MATCH($H759,MxStart,0)))))))</f>
        <v/>
      </c>
      <c r="L759" s="62" t="str">
        <f aca="false">IF(COUNTA($A759,$F759,$G759,$H759,$I759,$J759)=0,"",IF($M759=0,"✖ كود الصف غير موجود",IF(ISNA(MATCH($F759,Lists!$A$2:$A$5,0)),"✖ الفترة غير صحيحة",IF(ISNA(MATCH($G759,Lists!$B$2:$B$7,0)),"✖ المجموعة غير صحيحة",IF(NOT(OR($H759="",$N759&gt;0)),"✖ Start غير صحيح",IF(NOT(OR($I759="",$I759="NR",$O759&gt;0)),"✖ Current غير صحيح",IF(NOT(IF(ISNUMBER($J759),AND($J759&gt;=0,$J759=INT($J759)),FALSE())),"✖ العدد يجب أن يكون صحيحًا ≥ 0",IF(AND($F759="Baseline",$H759&lt;&gt;""),"⚠ Baseline: Start لا يدخل في التقدم",IF($K759="No Start (attainment only)","ℹ تحصيل فقط (بدون Start)",IF($K759="U – needs rule","ℹ حالة U تحتاج قاعدة معتمدة",IF($K759="No result","ℹ بدون نتيجة (يُستبعد من التحصيل)","OK")))))))))))</f>
        <v/>
      </c>
      <c r="M759" s="64" t="n">
        <f aca="false">IF($A759="",0,IFERROR(MATCH($A759,Classes!$A$6:$A$420,0),0))</f>
        <v>0</v>
      </c>
      <c r="N759" s="64" t="n">
        <f aca="false">IF($H759="",0,IFERROR(MATCH($H759,GradeList,0),0))</f>
        <v>0</v>
      </c>
      <c r="O759" s="64" t="n">
        <f aca="false">IF(OR($I759="",$I759="NR"),0,IFERROR(MATCH($I759,GradeList,0),0))</f>
        <v>0</v>
      </c>
      <c r="P759" s="64" t="n">
        <f aca="false">IF(AND($M759&gt;0,ISNUMBER(MATCH($F759,Lists!$A$2:$A$5,0)),ISNUMBER(MATCH($G759,Lists!$B$2:$B$7,0)),OR($H759="",$N759&gt;0),OR($I759="",$I759="NR",$O759&gt;0),IF(ISNUMBER($J759),AND($J759&gt;=0,$J759=INT($J759)),FALSE())),$J759,0)</f>
        <v>0</v>
      </c>
      <c r="Q759" s="64" t="n">
        <f aca="false">IF(AND($P759&gt;0,$O759&gt;0),$P759,0)</f>
        <v>0</v>
      </c>
      <c r="R759" s="64" t="n">
        <f aca="false">IF(AND($Q759&gt;0,$O759&gt;=AtRank),$Q759,0)</f>
        <v>0</v>
      </c>
      <c r="S759" s="64" t="n">
        <f aca="false">IF(AND($Q759&gt;0,$O759&gt;=AboveRank),$Q759,0)</f>
        <v>0</v>
      </c>
      <c r="T759" s="64" t="n">
        <f aca="false">IF($K759="Less",$P759,0)</f>
        <v>0</v>
      </c>
      <c r="U759" s="64" t="n">
        <f aca="false">IF($K759="Expected",$P759,0)</f>
        <v>0</v>
      </c>
      <c r="V759" s="64" t="n">
        <f aca="false">IF($K759="Better",$P759,0)</f>
        <v>0</v>
      </c>
      <c r="W759" s="64" t="n">
        <f aca="false">IF($K759="U – needs rule",$P759,0)</f>
        <v>0</v>
      </c>
      <c r="X759" s="64" t="n">
        <f aca="false">IF($K759="No Start (attainment only)",$P759,0)</f>
        <v>0</v>
      </c>
    </row>
    <row r="760" customFormat="false" ht="15" hidden="false" customHeight="false" outlineLevel="0" collapsed="false">
      <c r="A760" s="60"/>
      <c r="B760" s="61" t="str">
        <f aca="false">IF($M760=0,"",INDEX(Classes!$E$6:$E$420,$M760))</f>
        <v/>
      </c>
      <c r="C760" s="62" t="str">
        <f aca="false">IF($M760=0,"",INDEX(Classes!$H$6:$H$420,$M760))</f>
        <v/>
      </c>
      <c r="D760" s="61" t="str">
        <f aca="false">IF($M760=0,"",INDEX(Classes!$B$6:$B$420,$M760))</f>
        <v/>
      </c>
      <c r="E760" s="61" t="str">
        <f aca="false">IF($M760=0,"",INDEX(Classes!$C$6:$C$420,$M760))</f>
        <v/>
      </c>
      <c r="F760" s="63"/>
      <c r="G760" s="63"/>
      <c r="H760" s="60"/>
      <c r="I760" s="60"/>
      <c r="J760" s="63"/>
      <c r="K760" s="61" t="str">
        <f aca="false">IF($P760=0,"",IF($F760="Baseline","— Baseline",IF($O760=0,"No result",IF($N760=0,"No Start (attainment only)",IF(OR($N760=1,$O760=1),"U – needs rule",INDEX(MxBody,MATCH($I760,MxCurr,0),MATCH($H760,MxStart,0)))))))</f>
        <v/>
      </c>
      <c r="L760" s="62" t="str">
        <f aca="false">IF(COUNTA($A760,$F760,$G760,$H760,$I760,$J760)=0,"",IF($M760=0,"✖ كود الصف غير موجود",IF(ISNA(MATCH($F760,Lists!$A$2:$A$5,0)),"✖ الفترة غير صحيحة",IF(ISNA(MATCH($G760,Lists!$B$2:$B$7,0)),"✖ المجموعة غير صحيحة",IF(NOT(OR($H760="",$N760&gt;0)),"✖ Start غير صحيح",IF(NOT(OR($I760="",$I760="NR",$O760&gt;0)),"✖ Current غير صحيح",IF(NOT(IF(ISNUMBER($J760),AND($J760&gt;=0,$J760=INT($J760)),FALSE())),"✖ العدد يجب أن يكون صحيحًا ≥ 0",IF(AND($F760="Baseline",$H760&lt;&gt;""),"⚠ Baseline: Start لا يدخل في التقدم",IF($K760="No Start (attainment only)","ℹ تحصيل فقط (بدون Start)",IF($K760="U – needs rule","ℹ حالة U تحتاج قاعدة معتمدة",IF($K760="No result","ℹ بدون نتيجة (يُستبعد من التحصيل)","OK")))))))))))</f>
        <v/>
      </c>
      <c r="M760" s="64" t="n">
        <f aca="false">IF($A760="",0,IFERROR(MATCH($A760,Classes!$A$6:$A$420,0),0))</f>
        <v>0</v>
      </c>
      <c r="N760" s="64" t="n">
        <f aca="false">IF($H760="",0,IFERROR(MATCH($H760,GradeList,0),0))</f>
        <v>0</v>
      </c>
      <c r="O760" s="64" t="n">
        <f aca="false">IF(OR($I760="",$I760="NR"),0,IFERROR(MATCH($I760,GradeList,0),0))</f>
        <v>0</v>
      </c>
      <c r="P760" s="64" t="n">
        <f aca="false">IF(AND($M760&gt;0,ISNUMBER(MATCH($F760,Lists!$A$2:$A$5,0)),ISNUMBER(MATCH($G760,Lists!$B$2:$B$7,0)),OR($H760="",$N760&gt;0),OR($I760="",$I760="NR",$O760&gt;0),IF(ISNUMBER($J760),AND($J760&gt;=0,$J760=INT($J760)),FALSE())),$J760,0)</f>
        <v>0</v>
      </c>
      <c r="Q760" s="64" t="n">
        <f aca="false">IF(AND($P760&gt;0,$O760&gt;0),$P760,0)</f>
        <v>0</v>
      </c>
      <c r="R760" s="64" t="n">
        <f aca="false">IF(AND($Q760&gt;0,$O760&gt;=AtRank),$Q760,0)</f>
        <v>0</v>
      </c>
      <c r="S760" s="64" t="n">
        <f aca="false">IF(AND($Q760&gt;0,$O760&gt;=AboveRank),$Q760,0)</f>
        <v>0</v>
      </c>
      <c r="T760" s="64" t="n">
        <f aca="false">IF($K760="Less",$P760,0)</f>
        <v>0</v>
      </c>
      <c r="U760" s="64" t="n">
        <f aca="false">IF($K760="Expected",$P760,0)</f>
        <v>0</v>
      </c>
      <c r="V760" s="64" t="n">
        <f aca="false">IF($K760="Better",$P760,0)</f>
        <v>0</v>
      </c>
      <c r="W760" s="64" t="n">
        <f aca="false">IF($K760="U – needs rule",$P760,0)</f>
        <v>0</v>
      </c>
      <c r="X760" s="64" t="n">
        <f aca="false">IF($K760="No Start (attainment only)",$P760,0)</f>
        <v>0</v>
      </c>
    </row>
    <row r="761" customFormat="false" ht="15" hidden="false" customHeight="false" outlineLevel="0" collapsed="false">
      <c r="A761" s="60"/>
      <c r="B761" s="61" t="str">
        <f aca="false">IF($M761=0,"",INDEX(Classes!$E$6:$E$420,$M761))</f>
        <v/>
      </c>
      <c r="C761" s="62" t="str">
        <f aca="false">IF($M761=0,"",INDEX(Classes!$H$6:$H$420,$M761))</f>
        <v/>
      </c>
      <c r="D761" s="61" t="str">
        <f aca="false">IF($M761=0,"",INDEX(Classes!$B$6:$B$420,$M761))</f>
        <v/>
      </c>
      <c r="E761" s="61" t="str">
        <f aca="false">IF($M761=0,"",INDEX(Classes!$C$6:$C$420,$M761))</f>
        <v/>
      </c>
      <c r="F761" s="63"/>
      <c r="G761" s="63"/>
      <c r="H761" s="60"/>
      <c r="I761" s="60"/>
      <c r="J761" s="63"/>
      <c r="K761" s="61" t="str">
        <f aca="false">IF($P761=0,"",IF($F761="Baseline","— Baseline",IF($O761=0,"No result",IF($N761=0,"No Start (attainment only)",IF(OR($N761=1,$O761=1),"U – needs rule",INDEX(MxBody,MATCH($I761,MxCurr,0),MATCH($H761,MxStart,0)))))))</f>
        <v/>
      </c>
      <c r="L761" s="62" t="str">
        <f aca="false">IF(COUNTA($A761,$F761,$G761,$H761,$I761,$J761)=0,"",IF($M761=0,"✖ كود الصف غير موجود",IF(ISNA(MATCH($F761,Lists!$A$2:$A$5,0)),"✖ الفترة غير صحيحة",IF(ISNA(MATCH($G761,Lists!$B$2:$B$7,0)),"✖ المجموعة غير صحيحة",IF(NOT(OR($H761="",$N761&gt;0)),"✖ Start غير صحيح",IF(NOT(OR($I761="",$I761="NR",$O761&gt;0)),"✖ Current غير صحيح",IF(NOT(IF(ISNUMBER($J761),AND($J761&gt;=0,$J761=INT($J761)),FALSE())),"✖ العدد يجب أن يكون صحيحًا ≥ 0",IF(AND($F761="Baseline",$H761&lt;&gt;""),"⚠ Baseline: Start لا يدخل في التقدم",IF($K761="No Start (attainment only)","ℹ تحصيل فقط (بدون Start)",IF($K761="U – needs rule","ℹ حالة U تحتاج قاعدة معتمدة",IF($K761="No result","ℹ بدون نتيجة (يُستبعد من التحصيل)","OK")))))))))))</f>
        <v/>
      </c>
      <c r="M761" s="64" t="n">
        <f aca="false">IF($A761="",0,IFERROR(MATCH($A761,Classes!$A$6:$A$420,0),0))</f>
        <v>0</v>
      </c>
      <c r="N761" s="64" t="n">
        <f aca="false">IF($H761="",0,IFERROR(MATCH($H761,GradeList,0),0))</f>
        <v>0</v>
      </c>
      <c r="O761" s="64" t="n">
        <f aca="false">IF(OR($I761="",$I761="NR"),0,IFERROR(MATCH($I761,GradeList,0),0))</f>
        <v>0</v>
      </c>
      <c r="P761" s="64" t="n">
        <f aca="false">IF(AND($M761&gt;0,ISNUMBER(MATCH($F761,Lists!$A$2:$A$5,0)),ISNUMBER(MATCH($G761,Lists!$B$2:$B$7,0)),OR($H761="",$N761&gt;0),OR($I761="",$I761="NR",$O761&gt;0),IF(ISNUMBER($J761),AND($J761&gt;=0,$J761=INT($J761)),FALSE())),$J761,0)</f>
        <v>0</v>
      </c>
      <c r="Q761" s="64" t="n">
        <f aca="false">IF(AND($P761&gt;0,$O761&gt;0),$P761,0)</f>
        <v>0</v>
      </c>
      <c r="R761" s="64" t="n">
        <f aca="false">IF(AND($Q761&gt;0,$O761&gt;=AtRank),$Q761,0)</f>
        <v>0</v>
      </c>
      <c r="S761" s="64" t="n">
        <f aca="false">IF(AND($Q761&gt;0,$O761&gt;=AboveRank),$Q761,0)</f>
        <v>0</v>
      </c>
      <c r="T761" s="64" t="n">
        <f aca="false">IF($K761="Less",$P761,0)</f>
        <v>0</v>
      </c>
      <c r="U761" s="64" t="n">
        <f aca="false">IF($K761="Expected",$P761,0)</f>
        <v>0</v>
      </c>
      <c r="V761" s="64" t="n">
        <f aca="false">IF($K761="Better",$P761,0)</f>
        <v>0</v>
      </c>
      <c r="W761" s="64" t="n">
        <f aca="false">IF($K761="U – needs rule",$P761,0)</f>
        <v>0</v>
      </c>
      <c r="X761" s="64" t="n">
        <f aca="false">IF($K761="No Start (attainment only)",$P761,0)</f>
        <v>0</v>
      </c>
    </row>
    <row r="762" customFormat="false" ht="15" hidden="false" customHeight="false" outlineLevel="0" collapsed="false">
      <c r="A762" s="60"/>
      <c r="B762" s="61" t="str">
        <f aca="false">IF($M762=0,"",INDEX(Classes!$E$6:$E$420,$M762))</f>
        <v/>
      </c>
      <c r="C762" s="62" t="str">
        <f aca="false">IF($M762=0,"",INDEX(Classes!$H$6:$H$420,$M762))</f>
        <v/>
      </c>
      <c r="D762" s="61" t="str">
        <f aca="false">IF($M762=0,"",INDEX(Classes!$B$6:$B$420,$M762))</f>
        <v/>
      </c>
      <c r="E762" s="61" t="str">
        <f aca="false">IF($M762=0,"",INDEX(Classes!$C$6:$C$420,$M762))</f>
        <v/>
      </c>
      <c r="F762" s="63"/>
      <c r="G762" s="63"/>
      <c r="H762" s="60"/>
      <c r="I762" s="60"/>
      <c r="J762" s="63"/>
      <c r="K762" s="61" t="str">
        <f aca="false">IF($P762=0,"",IF($F762="Baseline","— Baseline",IF($O762=0,"No result",IF($N762=0,"No Start (attainment only)",IF(OR($N762=1,$O762=1),"U – needs rule",INDEX(MxBody,MATCH($I762,MxCurr,0),MATCH($H762,MxStart,0)))))))</f>
        <v/>
      </c>
      <c r="L762" s="62" t="str">
        <f aca="false">IF(COUNTA($A762,$F762,$G762,$H762,$I762,$J762)=0,"",IF($M762=0,"✖ كود الصف غير موجود",IF(ISNA(MATCH($F762,Lists!$A$2:$A$5,0)),"✖ الفترة غير صحيحة",IF(ISNA(MATCH($G762,Lists!$B$2:$B$7,0)),"✖ المجموعة غير صحيحة",IF(NOT(OR($H762="",$N762&gt;0)),"✖ Start غير صحيح",IF(NOT(OR($I762="",$I762="NR",$O762&gt;0)),"✖ Current غير صحيح",IF(NOT(IF(ISNUMBER($J762),AND($J762&gt;=0,$J762=INT($J762)),FALSE())),"✖ العدد يجب أن يكون صحيحًا ≥ 0",IF(AND($F762="Baseline",$H762&lt;&gt;""),"⚠ Baseline: Start لا يدخل في التقدم",IF($K762="No Start (attainment only)","ℹ تحصيل فقط (بدون Start)",IF($K762="U – needs rule","ℹ حالة U تحتاج قاعدة معتمدة",IF($K762="No result","ℹ بدون نتيجة (يُستبعد من التحصيل)","OK")))))))))))</f>
        <v/>
      </c>
      <c r="M762" s="64" t="n">
        <f aca="false">IF($A762="",0,IFERROR(MATCH($A762,Classes!$A$6:$A$420,0),0))</f>
        <v>0</v>
      </c>
      <c r="N762" s="64" t="n">
        <f aca="false">IF($H762="",0,IFERROR(MATCH($H762,GradeList,0),0))</f>
        <v>0</v>
      </c>
      <c r="O762" s="64" t="n">
        <f aca="false">IF(OR($I762="",$I762="NR"),0,IFERROR(MATCH($I762,GradeList,0),0))</f>
        <v>0</v>
      </c>
      <c r="P762" s="64" t="n">
        <f aca="false">IF(AND($M762&gt;0,ISNUMBER(MATCH($F762,Lists!$A$2:$A$5,0)),ISNUMBER(MATCH($G762,Lists!$B$2:$B$7,0)),OR($H762="",$N762&gt;0),OR($I762="",$I762="NR",$O762&gt;0),IF(ISNUMBER($J762),AND($J762&gt;=0,$J762=INT($J762)),FALSE())),$J762,0)</f>
        <v>0</v>
      </c>
      <c r="Q762" s="64" t="n">
        <f aca="false">IF(AND($P762&gt;0,$O762&gt;0),$P762,0)</f>
        <v>0</v>
      </c>
      <c r="R762" s="64" t="n">
        <f aca="false">IF(AND($Q762&gt;0,$O762&gt;=AtRank),$Q762,0)</f>
        <v>0</v>
      </c>
      <c r="S762" s="64" t="n">
        <f aca="false">IF(AND($Q762&gt;0,$O762&gt;=AboveRank),$Q762,0)</f>
        <v>0</v>
      </c>
      <c r="T762" s="64" t="n">
        <f aca="false">IF($K762="Less",$P762,0)</f>
        <v>0</v>
      </c>
      <c r="U762" s="64" t="n">
        <f aca="false">IF($K762="Expected",$P762,0)</f>
        <v>0</v>
      </c>
      <c r="V762" s="64" t="n">
        <f aca="false">IF($K762="Better",$P762,0)</f>
        <v>0</v>
      </c>
      <c r="W762" s="64" t="n">
        <f aca="false">IF($K762="U – needs rule",$P762,0)</f>
        <v>0</v>
      </c>
      <c r="X762" s="64" t="n">
        <f aca="false">IF($K762="No Start (attainment only)",$P762,0)</f>
        <v>0</v>
      </c>
    </row>
    <row r="763" customFormat="false" ht="15" hidden="false" customHeight="false" outlineLevel="0" collapsed="false">
      <c r="A763" s="60"/>
      <c r="B763" s="61" t="str">
        <f aca="false">IF($M763=0,"",INDEX(Classes!$E$6:$E$420,$M763))</f>
        <v/>
      </c>
      <c r="C763" s="62" t="str">
        <f aca="false">IF($M763=0,"",INDEX(Classes!$H$6:$H$420,$M763))</f>
        <v/>
      </c>
      <c r="D763" s="61" t="str">
        <f aca="false">IF($M763=0,"",INDEX(Classes!$B$6:$B$420,$M763))</f>
        <v/>
      </c>
      <c r="E763" s="61" t="str">
        <f aca="false">IF($M763=0,"",INDEX(Classes!$C$6:$C$420,$M763))</f>
        <v/>
      </c>
      <c r="F763" s="63"/>
      <c r="G763" s="63"/>
      <c r="H763" s="60"/>
      <c r="I763" s="60"/>
      <c r="J763" s="63"/>
      <c r="K763" s="61" t="str">
        <f aca="false">IF($P763=0,"",IF($F763="Baseline","— Baseline",IF($O763=0,"No result",IF($N763=0,"No Start (attainment only)",IF(OR($N763=1,$O763=1),"U – needs rule",INDEX(MxBody,MATCH($I763,MxCurr,0),MATCH($H763,MxStart,0)))))))</f>
        <v/>
      </c>
      <c r="L763" s="62" t="str">
        <f aca="false">IF(COUNTA($A763,$F763,$G763,$H763,$I763,$J763)=0,"",IF($M763=0,"✖ كود الصف غير موجود",IF(ISNA(MATCH($F763,Lists!$A$2:$A$5,0)),"✖ الفترة غير صحيحة",IF(ISNA(MATCH($G763,Lists!$B$2:$B$7,0)),"✖ المجموعة غير صحيحة",IF(NOT(OR($H763="",$N763&gt;0)),"✖ Start غير صحيح",IF(NOT(OR($I763="",$I763="NR",$O763&gt;0)),"✖ Current غير صحيح",IF(NOT(IF(ISNUMBER($J763),AND($J763&gt;=0,$J763=INT($J763)),FALSE())),"✖ العدد يجب أن يكون صحيحًا ≥ 0",IF(AND($F763="Baseline",$H763&lt;&gt;""),"⚠ Baseline: Start لا يدخل في التقدم",IF($K763="No Start (attainment only)","ℹ تحصيل فقط (بدون Start)",IF($K763="U – needs rule","ℹ حالة U تحتاج قاعدة معتمدة",IF($K763="No result","ℹ بدون نتيجة (يُستبعد من التحصيل)","OK")))))))))))</f>
        <v/>
      </c>
      <c r="M763" s="64" t="n">
        <f aca="false">IF($A763="",0,IFERROR(MATCH($A763,Classes!$A$6:$A$420,0),0))</f>
        <v>0</v>
      </c>
      <c r="N763" s="64" t="n">
        <f aca="false">IF($H763="",0,IFERROR(MATCH($H763,GradeList,0),0))</f>
        <v>0</v>
      </c>
      <c r="O763" s="64" t="n">
        <f aca="false">IF(OR($I763="",$I763="NR"),0,IFERROR(MATCH($I763,GradeList,0),0))</f>
        <v>0</v>
      </c>
      <c r="P763" s="64" t="n">
        <f aca="false">IF(AND($M763&gt;0,ISNUMBER(MATCH($F763,Lists!$A$2:$A$5,0)),ISNUMBER(MATCH($G763,Lists!$B$2:$B$7,0)),OR($H763="",$N763&gt;0),OR($I763="",$I763="NR",$O763&gt;0),IF(ISNUMBER($J763),AND($J763&gt;=0,$J763=INT($J763)),FALSE())),$J763,0)</f>
        <v>0</v>
      </c>
      <c r="Q763" s="64" t="n">
        <f aca="false">IF(AND($P763&gt;0,$O763&gt;0),$P763,0)</f>
        <v>0</v>
      </c>
      <c r="R763" s="64" t="n">
        <f aca="false">IF(AND($Q763&gt;0,$O763&gt;=AtRank),$Q763,0)</f>
        <v>0</v>
      </c>
      <c r="S763" s="64" t="n">
        <f aca="false">IF(AND($Q763&gt;0,$O763&gt;=AboveRank),$Q763,0)</f>
        <v>0</v>
      </c>
      <c r="T763" s="64" t="n">
        <f aca="false">IF($K763="Less",$P763,0)</f>
        <v>0</v>
      </c>
      <c r="U763" s="64" t="n">
        <f aca="false">IF($K763="Expected",$P763,0)</f>
        <v>0</v>
      </c>
      <c r="V763" s="64" t="n">
        <f aca="false">IF($K763="Better",$P763,0)</f>
        <v>0</v>
      </c>
      <c r="W763" s="64" t="n">
        <f aca="false">IF($K763="U – needs rule",$P763,0)</f>
        <v>0</v>
      </c>
      <c r="X763" s="64" t="n">
        <f aca="false">IF($K763="No Start (attainment only)",$P763,0)</f>
        <v>0</v>
      </c>
    </row>
    <row r="764" customFormat="false" ht="15" hidden="false" customHeight="false" outlineLevel="0" collapsed="false">
      <c r="A764" s="60"/>
      <c r="B764" s="61" t="str">
        <f aca="false">IF($M764=0,"",INDEX(Classes!$E$6:$E$420,$M764))</f>
        <v/>
      </c>
      <c r="C764" s="62" t="str">
        <f aca="false">IF($M764=0,"",INDEX(Classes!$H$6:$H$420,$M764))</f>
        <v/>
      </c>
      <c r="D764" s="61" t="str">
        <f aca="false">IF($M764=0,"",INDEX(Classes!$B$6:$B$420,$M764))</f>
        <v/>
      </c>
      <c r="E764" s="61" t="str">
        <f aca="false">IF($M764=0,"",INDEX(Classes!$C$6:$C$420,$M764))</f>
        <v/>
      </c>
      <c r="F764" s="63"/>
      <c r="G764" s="63"/>
      <c r="H764" s="60"/>
      <c r="I764" s="60"/>
      <c r="J764" s="63"/>
      <c r="K764" s="61" t="str">
        <f aca="false">IF($P764=0,"",IF($F764="Baseline","— Baseline",IF($O764=0,"No result",IF($N764=0,"No Start (attainment only)",IF(OR($N764=1,$O764=1),"U – needs rule",INDEX(MxBody,MATCH($I764,MxCurr,0),MATCH($H764,MxStart,0)))))))</f>
        <v/>
      </c>
      <c r="L764" s="62" t="str">
        <f aca="false">IF(COUNTA($A764,$F764,$G764,$H764,$I764,$J764)=0,"",IF($M764=0,"✖ كود الصف غير موجود",IF(ISNA(MATCH($F764,Lists!$A$2:$A$5,0)),"✖ الفترة غير صحيحة",IF(ISNA(MATCH($G764,Lists!$B$2:$B$7,0)),"✖ المجموعة غير صحيحة",IF(NOT(OR($H764="",$N764&gt;0)),"✖ Start غير صحيح",IF(NOT(OR($I764="",$I764="NR",$O764&gt;0)),"✖ Current غير صحيح",IF(NOT(IF(ISNUMBER($J764),AND($J764&gt;=0,$J764=INT($J764)),FALSE())),"✖ العدد يجب أن يكون صحيحًا ≥ 0",IF(AND($F764="Baseline",$H764&lt;&gt;""),"⚠ Baseline: Start لا يدخل في التقدم",IF($K764="No Start (attainment only)","ℹ تحصيل فقط (بدون Start)",IF($K764="U – needs rule","ℹ حالة U تحتاج قاعدة معتمدة",IF($K764="No result","ℹ بدون نتيجة (يُستبعد من التحصيل)","OK")))))))))))</f>
        <v/>
      </c>
      <c r="M764" s="64" t="n">
        <f aca="false">IF($A764="",0,IFERROR(MATCH($A764,Classes!$A$6:$A$420,0),0))</f>
        <v>0</v>
      </c>
      <c r="N764" s="64" t="n">
        <f aca="false">IF($H764="",0,IFERROR(MATCH($H764,GradeList,0),0))</f>
        <v>0</v>
      </c>
      <c r="O764" s="64" t="n">
        <f aca="false">IF(OR($I764="",$I764="NR"),0,IFERROR(MATCH($I764,GradeList,0),0))</f>
        <v>0</v>
      </c>
      <c r="P764" s="64" t="n">
        <f aca="false">IF(AND($M764&gt;0,ISNUMBER(MATCH($F764,Lists!$A$2:$A$5,0)),ISNUMBER(MATCH($G764,Lists!$B$2:$B$7,0)),OR($H764="",$N764&gt;0),OR($I764="",$I764="NR",$O764&gt;0),IF(ISNUMBER($J764),AND($J764&gt;=0,$J764=INT($J764)),FALSE())),$J764,0)</f>
        <v>0</v>
      </c>
      <c r="Q764" s="64" t="n">
        <f aca="false">IF(AND($P764&gt;0,$O764&gt;0),$P764,0)</f>
        <v>0</v>
      </c>
      <c r="R764" s="64" t="n">
        <f aca="false">IF(AND($Q764&gt;0,$O764&gt;=AtRank),$Q764,0)</f>
        <v>0</v>
      </c>
      <c r="S764" s="64" t="n">
        <f aca="false">IF(AND($Q764&gt;0,$O764&gt;=AboveRank),$Q764,0)</f>
        <v>0</v>
      </c>
      <c r="T764" s="64" t="n">
        <f aca="false">IF($K764="Less",$P764,0)</f>
        <v>0</v>
      </c>
      <c r="U764" s="64" t="n">
        <f aca="false">IF($K764="Expected",$P764,0)</f>
        <v>0</v>
      </c>
      <c r="V764" s="64" t="n">
        <f aca="false">IF($K764="Better",$P764,0)</f>
        <v>0</v>
      </c>
      <c r="W764" s="64" t="n">
        <f aca="false">IF($K764="U – needs rule",$P764,0)</f>
        <v>0</v>
      </c>
      <c r="X764" s="64" t="n">
        <f aca="false">IF($K764="No Start (attainment only)",$P764,0)</f>
        <v>0</v>
      </c>
    </row>
    <row r="765" customFormat="false" ht="15" hidden="false" customHeight="false" outlineLevel="0" collapsed="false">
      <c r="A765" s="60"/>
      <c r="B765" s="61" t="str">
        <f aca="false">IF($M765=0,"",INDEX(Classes!$E$6:$E$420,$M765))</f>
        <v/>
      </c>
      <c r="C765" s="62" t="str">
        <f aca="false">IF($M765=0,"",INDEX(Classes!$H$6:$H$420,$M765))</f>
        <v/>
      </c>
      <c r="D765" s="61" t="str">
        <f aca="false">IF($M765=0,"",INDEX(Classes!$B$6:$B$420,$M765))</f>
        <v/>
      </c>
      <c r="E765" s="61" t="str">
        <f aca="false">IF($M765=0,"",INDEX(Classes!$C$6:$C$420,$M765))</f>
        <v/>
      </c>
      <c r="F765" s="63"/>
      <c r="G765" s="63"/>
      <c r="H765" s="60"/>
      <c r="I765" s="60"/>
      <c r="J765" s="63"/>
      <c r="K765" s="61" t="str">
        <f aca="false">IF($P765=0,"",IF($F765="Baseline","— Baseline",IF($O765=0,"No result",IF($N765=0,"No Start (attainment only)",IF(OR($N765=1,$O765=1),"U – needs rule",INDEX(MxBody,MATCH($I765,MxCurr,0),MATCH($H765,MxStart,0)))))))</f>
        <v/>
      </c>
      <c r="L765" s="62" t="str">
        <f aca="false">IF(COUNTA($A765,$F765,$G765,$H765,$I765,$J765)=0,"",IF($M765=0,"✖ كود الصف غير موجود",IF(ISNA(MATCH($F765,Lists!$A$2:$A$5,0)),"✖ الفترة غير صحيحة",IF(ISNA(MATCH($G765,Lists!$B$2:$B$7,0)),"✖ المجموعة غير صحيحة",IF(NOT(OR($H765="",$N765&gt;0)),"✖ Start غير صحيح",IF(NOT(OR($I765="",$I765="NR",$O765&gt;0)),"✖ Current غير صحيح",IF(NOT(IF(ISNUMBER($J765),AND($J765&gt;=0,$J765=INT($J765)),FALSE())),"✖ العدد يجب أن يكون صحيحًا ≥ 0",IF(AND($F765="Baseline",$H765&lt;&gt;""),"⚠ Baseline: Start لا يدخل في التقدم",IF($K765="No Start (attainment only)","ℹ تحصيل فقط (بدون Start)",IF($K765="U – needs rule","ℹ حالة U تحتاج قاعدة معتمدة",IF($K765="No result","ℹ بدون نتيجة (يُستبعد من التحصيل)","OK")))))))))))</f>
        <v/>
      </c>
      <c r="M765" s="64" t="n">
        <f aca="false">IF($A765="",0,IFERROR(MATCH($A765,Classes!$A$6:$A$420,0),0))</f>
        <v>0</v>
      </c>
      <c r="N765" s="64" t="n">
        <f aca="false">IF($H765="",0,IFERROR(MATCH($H765,GradeList,0),0))</f>
        <v>0</v>
      </c>
      <c r="O765" s="64" t="n">
        <f aca="false">IF(OR($I765="",$I765="NR"),0,IFERROR(MATCH($I765,GradeList,0),0))</f>
        <v>0</v>
      </c>
      <c r="P765" s="64" t="n">
        <f aca="false">IF(AND($M765&gt;0,ISNUMBER(MATCH($F765,Lists!$A$2:$A$5,0)),ISNUMBER(MATCH($G765,Lists!$B$2:$B$7,0)),OR($H765="",$N765&gt;0),OR($I765="",$I765="NR",$O765&gt;0),IF(ISNUMBER($J765),AND($J765&gt;=0,$J765=INT($J765)),FALSE())),$J765,0)</f>
        <v>0</v>
      </c>
      <c r="Q765" s="64" t="n">
        <f aca="false">IF(AND($P765&gt;0,$O765&gt;0),$P765,0)</f>
        <v>0</v>
      </c>
      <c r="R765" s="64" t="n">
        <f aca="false">IF(AND($Q765&gt;0,$O765&gt;=AtRank),$Q765,0)</f>
        <v>0</v>
      </c>
      <c r="S765" s="64" t="n">
        <f aca="false">IF(AND($Q765&gt;0,$O765&gt;=AboveRank),$Q765,0)</f>
        <v>0</v>
      </c>
      <c r="T765" s="64" t="n">
        <f aca="false">IF($K765="Less",$P765,0)</f>
        <v>0</v>
      </c>
      <c r="U765" s="64" t="n">
        <f aca="false">IF($K765="Expected",$P765,0)</f>
        <v>0</v>
      </c>
      <c r="V765" s="64" t="n">
        <f aca="false">IF($K765="Better",$P765,0)</f>
        <v>0</v>
      </c>
      <c r="W765" s="64" t="n">
        <f aca="false">IF($K765="U – needs rule",$P765,0)</f>
        <v>0</v>
      </c>
      <c r="X765" s="64" t="n">
        <f aca="false">IF($K765="No Start (attainment only)",$P765,0)</f>
        <v>0</v>
      </c>
    </row>
    <row r="766" customFormat="false" ht="15" hidden="false" customHeight="false" outlineLevel="0" collapsed="false">
      <c r="A766" s="60"/>
      <c r="B766" s="61" t="str">
        <f aca="false">IF($M766=0,"",INDEX(Classes!$E$6:$E$420,$M766))</f>
        <v/>
      </c>
      <c r="C766" s="62" t="str">
        <f aca="false">IF($M766=0,"",INDEX(Classes!$H$6:$H$420,$M766))</f>
        <v/>
      </c>
      <c r="D766" s="61" t="str">
        <f aca="false">IF($M766=0,"",INDEX(Classes!$B$6:$B$420,$M766))</f>
        <v/>
      </c>
      <c r="E766" s="61" t="str">
        <f aca="false">IF($M766=0,"",INDEX(Classes!$C$6:$C$420,$M766))</f>
        <v/>
      </c>
      <c r="F766" s="63"/>
      <c r="G766" s="63"/>
      <c r="H766" s="60"/>
      <c r="I766" s="60"/>
      <c r="J766" s="63"/>
      <c r="K766" s="61" t="str">
        <f aca="false">IF($P766=0,"",IF($F766="Baseline","— Baseline",IF($O766=0,"No result",IF($N766=0,"No Start (attainment only)",IF(OR($N766=1,$O766=1),"U – needs rule",INDEX(MxBody,MATCH($I766,MxCurr,0),MATCH($H766,MxStart,0)))))))</f>
        <v/>
      </c>
      <c r="L766" s="62" t="str">
        <f aca="false">IF(COUNTA($A766,$F766,$G766,$H766,$I766,$J766)=0,"",IF($M766=0,"✖ كود الصف غير موجود",IF(ISNA(MATCH($F766,Lists!$A$2:$A$5,0)),"✖ الفترة غير صحيحة",IF(ISNA(MATCH($G766,Lists!$B$2:$B$7,0)),"✖ المجموعة غير صحيحة",IF(NOT(OR($H766="",$N766&gt;0)),"✖ Start غير صحيح",IF(NOT(OR($I766="",$I766="NR",$O766&gt;0)),"✖ Current غير صحيح",IF(NOT(IF(ISNUMBER($J766),AND($J766&gt;=0,$J766=INT($J766)),FALSE())),"✖ العدد يجب أن يكون صحيحًا ≥ 0",IF(AND($F766="Baseline",$H766&lt;&gt;""),"⚠ Baseline: Start لا يدخل في التقدم",IF($K766="No Start (attainment only)","ℹ تحصيل فقط (بدون Start)",IF($K766="U – needs rule","ℹ حالة U تحتاج قاعدة معتمدة",IF($K766="No result","ℹ بدون نتيجة (يُستبعد من التحصيل)","OK")))))))))))</f>
        <v/>
      </c>
      <c r="M766" s="64" t="n">
        <f aca="false">IF($A766="",0,IFERROR(MATCH($A766,Classes!$A$6:$A$420,0),0))</f>
        <v>0</v>
      </c>
      <c r="N766" s="64" t="n">
        <f aca="false">IF($H766="",0,IFERROR(MATCH($H766,GradeList,0),0))</f>
        <v>0</v>
      </c>
      <c r="O766" s="64" t="n">
        <f aca="false">IF(OR($I766="",$I766="NR"),0,IFERROR(MATCH($I766,GradeList,0),0))</f>
        <v>0</v>
      </c>
      <c r="P766" s="64" t="n">
        <f aca="false">IF(AND($M766&gt;0,ISNUMBER(MATCH($F766,Lists!$A$2:$A$5,0)),ISNUMBER(MATCH($G766,Lists!$B$2:$B$7,0)),OR($H766="",$N766&gt;0),OR($I766="",$I766="NR",$O766&gt;0),IF(ISNUMBER($J766),AND($J766&gt;=0,$J766=INT($J766)),FALSE())),$J766,0)</f>
        <v>0</v>
      </c>
      <c r="Q766" s="64" t="n">
        <f aca="false">IF(AND($P766&gt;0,$O766&gt;0),$P766,0)</f>
        <v>0</v>
      </c>
      <c r="R766" s="64" t="n">
        <f aca="false">IF(AND($Q766&gt;0,$O766&gt;=AtRank),$Q766,0)</f>
        <v>0</v>
      </c>
      <c r="S766" s="64" t="n">
        <f aca="false">IF(AND($Q766&gt;0,$O766&gt;=AboveRank),$Q766,0)</f>
        <v>0</v>
      </c>
      <c r="T766" s="64" t="n">
        <f aca="false">IF($K766="Less",$P766,0)</f>
        <v>0</v>
      </c>
      <c r="U766" s="64" t="n">
        <f aca="false">IF($K766="Expected",$P766,0)</f>
        <v>0</v>
      </c>
      <c r="V766" s="64" t="n">
        <f aca="false">IF($K766="Better",$P766,0)</f>
        <v>0</v>
      </c>
      <c r="W766" s="64" t="n">
        <f aca="false">IF($K766="U – needs rule",$P766,0)</f>
        <v>0</v>
      </c>
      <c r="X766" s="64" t="n">
        <f aca="false">IF($K766="No Start (attainment only)",$P766,0)</f>
        <v>0</v>
      </c>
    </row>
    <row r="767" customFormat="false" ht="15" hidden="false" customHeight="false" outlineLevel="0" collapsed="false">
      <c r="A767" s="60"/>
      <c r="B767" s="61" t="str">
        <f aca="false">IF($M767=0,"",INDEX(Classes!$E$6:$E$420,$M767))</f>
        <v/>
      </c>
      <c r="C767" s="62" t="str">
        <f aca="false">IF($M767=0,"",INDEX(Classes!$H$6:$H$420,$M767))</f>
        <v/>
      </c>
      <c r="D767" s="61" t="str">
        <f aca="false">IF($M767=0,"",INDEX(Classes!$B$6:$B$420,$M767))</f>
        <v/>
      </c>
      <c r="E767" s="61" t="str">
        <f aca="false">IF($M767=0,"",INDEX(Classes!$C$6:$C$420,$M767))</f>
        <v/>
      </c>
      <c r="F767" s="63"/>
      <c r="G767" s="63"/>
      <c r="H767" s="60"/>
      <c r="I767" s="60"/>
      <c r="J767" s="63"/>
      <c r="K767" s="61" t="str">
        <f aca="false">IF($P767=0,"",IF($F767="Baseline","— Baseline",IF($O767=0,"No result",IF($N767=0,"No Start (attainment only)",IF(OR($N767=1,$O767=1),"U – needs rule",INDEX(MxBody,MATCH($I767,MxCurr,0),MATCH($H767,MxStart,0)))))))</f>
        <v/>
      </c>
      <c r="L767" s="62" t="str">
        <f aca="false">IF(COUNTA($A767,$F767,$G767,$H767,$I767,$J767)=0,"",IF($M767=0,"✖ كود الصف غير موجود",IF(ISNA(MATCH($F767,Lists!$A$2:$A$5,0)),"✖ الفترة غير صحيحة",IF(ISNA(MATCH($G767,Lists!$B$2:$B$7,0)),"✖ المجموعة غير صحيحة",IF(NOT(OR($H767="",$N767&gt;0)),"✖ Start غير صحيح",IF(NOT(OR($I767="",$I767="NR",$O767&gt;0)),"✖ Current غير صحيح",IF(NOT(IF(ISNUMBER($J767),AND($J767&gt;=0,$J767=INT($J767)),FALSE())),"✖ العدد يجب أن يكون صحيحًا ≥ 0",IF(AND($F767="Baseline",$H767&lt;&gt;""),"⚠ Baseline: Start لا يدخل في التقدم",IF($K767="No Start (attainment only)","ℹ تحصيل فقط (بدون Start)",IF($K767="U – needs rule","ℹ حالة U تحتاج قاعدة معتمدة",IF($K767="No result","ℹ بدون نتيجة (يُستبعد من التحصيل)","OK")))))))))))</f>
        <v/>
      </c>
      <c r="M767" s="64" t="n">
        <f aca="false">IF($A767="",0,IFERROR(MATCH($A767,Classes!$A$6:$A$420,0),0))</f>
        <v>0</v>
      </c>
      <c r="N767" s="64" t="n">
        <f aca="false">IF($H767="",0,IFERROR(MATCH($H767,GradeList,0),0))</f>
        <v>0</v>
      </c>
      <c r="O767" s="64" t="n">
        <f aca="false">IF(OR($I767="",$I767="NR"),0,IFERROR(MATCH($I767,GradeList,0),0))</f>
        <v>0</v>
      </c>
      <c r="P767" s="64" t="n">
        <f aca="false">IF(AND($M767&gt;0,ISNUMBER(MATCH($F767,Lists!$A$2:$A$5,0)),ISNUMBER(MATCH($G767,Lists!$B$2:$B$7,0)),OR($H767="",$N767&gt;0),OR($I767="",$I767="NR",$O767&gt;0),IF(ISNUMBER($J767),AND($J767&gt;=0,$J767=INT($J767)),FALSE())),$J767,0)</f>
        <v>0</v>
      </c>
      <c r="Q767" s="64" t="n">
        <f aca="false">IF(AND($P767&gt;0,$O767&gt;0),$P767,0)</f>
        <v>0</v>
      </c>
      <c r="R767" s="64" t="n">
        <f aca="false">IF(AND($Q767&gt;0,$O767&gt;=AtRank),$Q767,0)</f>
        <v>0</v>
      </c>
      <c r="S767" s="64" t="n">
        <f aca="false">IF(AND($Q767&gt;0,$O767&gt;=AboveRank),$Q767,0)</f>
        <v>0</v>
      </c>
      <c r="T767" s="64" t="n">
        <f aca="false">IF($K767="Less",$P767,0)</f>
        <v>0</v>
      </c>
      <c r="U767" s="64" t="n">
        <f aca="false">IF($K767="Expected",$P767,0)</f>
        <v>0</v>
      </c>
      <c r="V767" s="64" t="n">
        <f aca="false">IF($K767="Better",$P767,0)</f>
        <v>0</v>
      </c>
      <c r="W767" s="64" t="n">
        <f aca="false">IF($K767="U – needs rule",$P767,0)</f>
        <v>0</v>
      </c>
      <c r="X767" s="64" t="n">
        <f aca="false">IF($K767="No Start (attainment only)",$P767,0)</f>
        <v>0</v>
      </c>
    </row>
    <row r="768" customFormat="false" ht="15" hidden="false" customHeight="false" outlineLevel="0" collapsed="false">
      <c r="A768" s="60"/>
      <c r="B768" s="61" t="str">
        <f aca="false">IF($M768=0,"",INDEX(Classes!$E$6:$E$420,$M768))</f>
        <v/>
      </c>
      <c r="C768" s="62" t="str">
        <f aca="false">IF($M768=0,"",INDEX(Classes!$H$6:$H$420,$M768))</f>
        <v/>
      </c>
      <c r="D768" s="61" t="str">
        <f aca="false">IF($M768=0,"",INDEX(Classes!$B$6:$B$420,$M768))</f>
        <v/>
      </c>
      <c r="E768" s="61" t="str">
        <f aca="false">IF($M768=0,"",INDEX(Classes!$C$6:$C$420,$M768))</f>
        <v/>
      </c>
      <c r="F768" s="63"/>
      <c r="G768" s="63"/>
      <c r="H768" s="60"/>
      <c r="I768" s="60"/>
      <c r="J768" s="63"/>
      <c r="K768" s="61" t="str">
        <f aca="false">IF($P768=0,"",IF($F768="Baseline","— Baseline",IF($O768=0,"No result",IF($N768=0,"No Start (attainment only)",IF(OR($N768=1,$O768=1),"U – needs rule",INDEX(MxBody,MATCH($I768,MxCurr,0),MATCH($H768,MxStart,0)))))))</f>
        <v/>
      </c>
      <c r="L768" s="62" t="str">
        <f aca="false">IF(COUNTA($A768,$F768,$G768,$H768,$I768,$J768)=0,"",IF($M768=0,"✖ كود الصف غير موجود",IF(ISNA(MATCH($F768,Lists!$A$2:$A$5,0)),"✖ الفترة غير صحيحة",IF(ISNA(MATCH($G768,Lists!$B$2:$B$7,0)),"✖ المجموعة غير صحيحة",IF(NOT(OR($H768="",$N768&gt;0)),"✖ Start غير صحيح",IF(NOT(OR($I768="",$I768="NR",$O768&gt;0)),"✖ Current غير صحيح",IF(NOT(IF(ISNUMBER($J768),AND($J768&gt;=0,$J768=INT($J768)),FALSE())),"✖ العدد يجب أن يكون صحيحًا ≥ 0",IF(AND($F768="Baseline",$H768&lt;&gt;""),"⚠ Baseline: Start لا يدخل في التقدم",IF($K768="No Start (attainment only)","ℹ تحصيل فقط (بدون Start)",IF($K768="U – needs rule","ℹ حالة U تحتاج قاعدة معتمدة",IF($K768="No result","ℹ بدون نتيجة (يُستبعد من التحصيل)","OK")))))))))))</f>
        <v/>
      </c>
      <c r="M768" s="64" t="n">
        <f aca="false">IF($A768="",0,IFERROR(MATCH($A768,Classes!$A$6:$A$420,0),0))</f>
        <v>0</v>
      </c>
      <c r="N768" s="64" t="n">
        <f aca="false">IF($H768="",0,IFERROR(MATCH($H768,GradeList,0),0))</f>
        <v>0</v>
      </c>
      <c r="O768" s="64" t="n">
        <f aca="false">IF(OR($I768="",$I768="NR"),0,IFERROR(MATCH($I768,GradeList,0),0))</f>
        <v>0</v>
      </c>
      <c r="P768" s="64" t="n">
        <f aca="false">IF(AND($M768&gt;0,ISNUMBER(MATCH($F768,Lists!$A$2:$A$5,0)),ISNUMBER(MATCH($G768,Lists!$B$2:$B$7,0)),OR($H768="",$N768&gt;0),OR($I768="",$I768="NR",$O768&gt;0),IF(ISNUMBER($J768),AND($J768&gt;=0,$J768=INT($J768)),FALSE())),$J768,0)</f>
        <v>0</v>
      </c>
      <c r="Q768" s="64" t="n">
        <f aca="false">IF(AND($P768&gt;0,$O768&gt;0),$P768,0)</f>
        <v>0</v>
      </c>
      <c r="R768" s="64" t="n">
        <f aca="false">IF(AND($Q768&gt;0,$O768&gt;=AtRank),$Q768,0)</f>
        <v>0</v>
      </c>
      <c r="S768" s="64" t="n">
        <f aca="false">IF(AND($Q768&gt;0,$O768&gt;=AboveRank),$Q768,0)</f>
        <v>0</v>
      </c>
      <c r="T768" s="64" t="n">
        <f aca="false">IF($K768="Less",$P768,0)</f>
        <v>0</v>
      </c>
      <c r="U768" s="64" t="n">
        <f aca="false">IF($K768="Expected",$P768,0)</f>
        <v>0</v>
      </c>
      <c r="V768" s="64" t="n">
        <f aca="false">IF($K768="Better",$P768,0)</f>
        <v>0</v>
      </c>
      <c r="W768" s="64" t="n">
        <f aca="false">IF($K768="U – needs rule",$P768,0)</f>
        <v>0</v>
      </c>
      <c r="X768" s="64" t="n">
        <f aca="false">IF($K768="No Start (attainment only)",$P768,0)</f>
        <v>0</v>
      </c>
    </row>
    <row r="769" customFormat="false" ht="15" hidden="false" customHeight="false" outlineLevel="0" collapsed="false">
      <c r="A769" s="60"/>
      <c r="B769" s="61" t="str">
        <f aca="false">IF($M769=0,"",INDEX(Classes!$E$6:$E$420,$M769))</f>
        <v/>
      </c>
      <c r="C769" s="62" t="str">
        <f aca="false">IF($M769=0,"",INDEX(Classes!$H$6:$H$420,$M769))</f>
        <v/>
      </c>
      <c r="D769" s="61" t="str">
        <f aca="false">IF($M769=0,"",INDEX(Classes!$B$6:$B$420,$M769))</f>
        <v/>
      </c>
      <c r="E769" s="61" t="str">
        <f aca="false">IF($M769=0,"",INDEX(Classes!$C$6:$C$420,$M769))</f>
        <v/>
      </c>
      <c r="F769" s="63"/>
      <c r="G769" s="63"/>
      <c r="H769" s="60"/>
      <c r="I769" s="60"/>
      <c r="J769" s="63"/>
      <c r="K769" s="61" t="str">
        <f aca="false">IF($P769=0,"",IF($F769="Baseline","— Baseline",IF($O769=0,"No result",IF($N769=0,"No Start (attainment only)",IF(OR($N769=1,$O769=1),"U – needs rule",INDEX(MxBody,MATCH($I769,MxCurr,0),MATCH($H769,MxStart,0)))))))</f>
        <v/>
      </c>
      <c r="L769" s="62" t="str">
        <f aca="false">IF(COUNTA($A769,$F769,$G769,$H769,$I769,$J769)=0,"",IF($M769=0,"✖ كود الصف غير موجود",IF(ISNA(MATCH($F769,Lists!$A$2:$A$5,0)),"✖ الفترة غير صحيحة",IF(ISNA(MATCH($G769,Lists!$B$2:$B$7,0)),"✖ المجموعة غير صحيحة",IF(NOT(OR($H769="",$N769&gt;0)),"✖ Start غير صحيح",IF(NOT(OR($I769="",$I769="NR",$O769&gt;0)),"✖ Current غير صحيح",IF(NOT(IF(ISNUMBER($J769),AND($J769&gt;=0,$J769=INT($J769)),FALSE())),"✖ العدد يجب أن يكون صحيحًا ≥ 0",IF(AND($F769="Baseline",$H769&lt;&gt;""),"⚠ Baseline: Start لا يدخل في التقدم",IF($K769="No Start (attainment only)","ℹ تحصيل فقط (بدون Start)",IF($K769="U – needs rule","ℹ حالة U تحتاج قاعدة معتمدة",IF($K769="No result","ℹ بدون نتيجة (يُستبعد من التحصيل)","OK")))))))))))</f>
        <v/>
      </c>
      <c r="M769" s="64" t="n">
        <f aca="false">IF($A769="",0,IFERROR(MATCH($A769,Classes!$A$6:$A$420,0),0))</f>
        <v>0</v>
      </c>
      <c r="N769" s="64" t="n">
        <f aca="false">IF($H769="",0,IFERROR(MATCH($H769,GradeList,0),0))</f>
        <v>0</v>
      </c>
      <c r="O769" s="64" t="n">
        <f aca="false">IF(OR($I769="",$I769="NR"),0,IFERROR(MATCH($I769,GradeList,0),0))</f>
        <v>0</v>
      </c>
      <c r="P769" s="64" t="n">
        <f aca="false">IF(AND($M769&gt;0,ISNUMBER(MATCH($F769,Lists!$A$2:$A$5,0)),ISNUMBER(MATCH($G769,Lists!$B$2:$B$7,0)),OR($H769="",$N769&gt;0),OR($I769="",$I769="NR",$O769&gt;0),IF(ISNUMBER($J769),AND($J769&gt;=0,$J769=INT($J769)),FALSE())),$J769,0)</f>
        <v>0</v>
      </c>
      <c r="Q769" s="64" t="n">
        <f aca="false">IF(AND($P769&gt;0,$O769&gt;0),$P769,0)</f>
        <v>0</v>
      </c>
      <c r="R769" s="64" t="n">
        <f aca="false">IF(AND($Q769&gt;0,$O769&gt;=AtRank),$Q769,0)</f>
        <v>0</v>
      </c>
      <c r="S769" s="64" t="n">
        <f aca="false">IF(AND($Q769&gt;0,$O769&gt;=AboveRank),$Q769,0)</f>
        <v>0</v>
      </c>
      <c r="T769" s="64" t="n">
        <f aca="false">IF($K769="Less",$P769,0)</f>
        <v>0</v>
      </c>
      <c r="U769" s="64" t="n">
        <f aca="false">IF($K769="Expected",$P769,0)</f>
        <v>0</v>
      </c>
      <c r="V769" s="64" t="n">
        <f aca="false">IF($K769="Better",$P769,0)</f>
        <v>0</v>
      </c>
      <c r="W769" s="64" t="n">
        <f aca="false">IF($K769="U – needs rule",$P769,0)</f>
        <v>0</v>
      </c>
      <c r="X769" s="64" t="n">
        <f aca="false">IF($K769="No Start (attainment only)",$P769,0)</f>
        <v>0</v>
      </c>
    </row>
    <row r="770" customFormat="false" ht="15" hidden="false" customHeight="false" outlineLevel="0" collapsed="false">
      <c r="A770" s="60"/>
      <c r="B770" s="61" t="str">
        <f aca="false">IF($M770=0,"",INDEX(Classes!$E$6:$E$420,$M770))</f>
        <v/>
      </c>
      <c r="C770" s="62" t="str">
        <f aca="false">IF($M770=0,"",INDEX(Classes!$H$6:$H$420,$M770))</f>
        <v/>
      </c>
      <c r="D770" s="61" t="str">
        <f aca="false">IF($M770=0,"",INDEX(Classes!$B$6:$B$420,$M770))</f>
        <v/>
      </c>
      <c r="E770" s="61" t="str">
        <f aca="false">IF($M770=0,"",INDEX(Classes!$C$6:$C$420,$M770))</f>
        <v/>
      </c>
      <c r="F770" s="63"/>
      <c r="G770" s="63"/>
      <c r="H770" s="60"/>
      <c r="I770" s="60"/>
      <c r="J770" s="63"/>
      <c r="K770" s="61" t="str">
        <f aca="false">IF($P770=0,"",IF($F770="Baseline","— Baseline",IF($O770=0,"No result",IF($N770=0,"No Start (attainment only)",IF(OR($N770=1,$O770=1),"U – needs rule",INDEX(MxBody,MATCH($I770,MxCurr,0),MATCH($H770,MxStart,0)))))))</f>
        <v/>
      </c>
      <c r="L770" s="62" t="str">
        <f aca="false">IF(COUNTA($A770,$F770,$G770,$H770,$I770,$J770)=0,"",IF($M770=0,"✖ كود الصف غير موجود",IF(ISNA(MATCH($F770,Lists!$A$2:$A$5,0)),"✖ الفترة غير صحيحة",IF(ISNA(MATCH($G770,Lists!$B$2:$B$7,0)),"✖ المجموعة غير صحيحة",IF(NOT(OR($H770="",$N770&gt;0)),"✖ Start غير صحيح",IF(NOT(OR($I770="",$I770="NR",$O770&gt;0)),"✖ Current غير صحيح",IF(NOT(IF(ISNUMBER($J770),AND($J770&gt;=0,$J770=INT($J770)),FALSE())),"✖ العدد يجب أن يكون صحيحًا ≥ 0",IF(AND($F770="Baseline",$H770&lt;&gt;""),"⚠ Baseline: Start لا يدخل في التقدم",IF($K770="No Start (attainment only)","ℹ تحصيل فقط (بدون Start)",IF($K770="U – needs rule","ℹ حالة U تحتاج قاعدة معتمدة",IF($K770="No result","ℹ بدون نتيجة (يُستبعد من التحصيل)","OK")))))))))))</f>
        <v/>
      </c>
      <c r="M770" s="64" t="n">
        <f aca="false">IF($A770="",0,IFERROR(MATCH($A770,Classes!$A$6:$A$420,0),0))</f>
        <v>0</v>
      </c>
      <c r="N770" s="64" t="n">
        <f aca="false">IF($H770="",0,IFERROR(MATCH($H770,GradeList,0),0))</f>
        <v>0</v>
      </c>
      <c r="O770" s="64" t="n">
        <f aca="false">IF(OR($I770="",$I770="NR"),0,IFERROR(MATCH($I770,GradeList,0),0))</f>
        <v>0</v>
      </c>
      <c r="P770" s="64" t="n">
        <f aca="false">IF(AND($M770&gt;0,ISNUMBER(MATCH($F770,Lists!$A$2:$A$5,0)),ISNUMBER(MATCH($G770,Lists!$B$2:$B$7,0)),OR($H770="",$N770&gt;0),OR($I770="",$I770="NR",$O770&gt;0),IF(ISNUMBER($J770),AND($J770&gt;=0,$J770=INT($J770)),FALSE())),$J770,0)</f>
        <v>0</v>
      </c>
      <c r="Q770" s="64" t="n">
        <f aca="false">IF(AND($P770&gt;0,$O770&gt;0),$P770,0)</f>
        <v>0</v>
      </c>
      <c r="R770" s="64" t="n">
        <f aca="false">IF(AND($Q770&gt;0,$O770&gt;=AtRank),$Q770,0)</f>
        <v>0</v>
      </c>
      <c r="S770" s="64" t="n">
        <f aca="false">IF(AND($Q770&gt;0,$O770&gt;=AboveRank),$Q770,0)</f>
        <v>0</v>
      </c>
      <c r="T770" s="64" t="n">
        <f aca="false">IF($K770="Less",$P770,0)</f>
        <v>0</v>
      </c>
      <c r="U770" s="64" t="n">
        <f aca="false">IF($K770="Expected",$P770,0)</f>
        <v>0</v>
      </c>
      <c r="V770" s="64" t="n">
        <f aca="false">IF($K770="Better",$P770,0)</f>
        <v>0</v>
      </c>
      <c r="W770" s="64" t="n">
        <f aca="false">IF($K770="U – needs rule",$P770,0)</f>
        <v>0</v>
      </c>
      <c r="X770" s="64" t="n">
        <f aca="false">IF($K770="No Start (attainment only)",$P770,0)</f>
        <v>0</v>
      </c>
    </row>
    <row r="771" customFormat="false" ht="15" hidden="false" customHeight="false" outlineLevel="0" collapsed="false">
      <c r="A771" s="60"/>
      <c r="B771" s="61" t="str">
        <f aca="false">IF($M771=0,"",INDEX(Classes!$E$6:$E$420,$M771))</f>
        <v/>
      </c>
      <c r="C771" s="62" t="str">
        <f aca="false">IF($M771=0,"",INDEX(Classes!$H$6:$H$420,$M771))</f>
        <v/>
      </c>
      <c r="D771" s="61" t="str">
        <f aca="false">IF($M771=0,"",INDEX(Classes!$B$6:$B$420,$M771))</f>
        <v/>
      </c>
      <c r="E771" s="61" t="str">
        <f aca="false">IF($M771=0,"",INDEX(Classes!$C$6:$C$420,$M771))</f>
        <v/>
      </c>
      <c r="F771" s="63"/>
      <c r="G771" s="63"/>
      <c r="H771" s="60"/>
      <c r="I771" s="60"/>
      <c r="J771" s="63"/>
      <c r="K771" s="61" t="str">
        <f aca="false">IF($P771=0,"",IF($F771="Baseline","— Baseline",IF($O771=0,"No result",IF($N771=0,"No Start (attainment only)",IF(OR($N771=1,$O771=1),"U – needs rule",INDEX(MxBody,MATCH($I771,MxCurr,0),MATCH($H771,MxStart,0)))))))</f>
        <v/>
      </c>
      <c r="L771" s="62" t="str">
        <f aca="false">IF(COUNTA($A771,$F771,$G771,$H771,$I771,$J771)=0,"",IF($M771=0,"✖ كود الصف غير موجود",IF(ISNA(MATCH($F771,Lists!$A$2:$A$5,0)),"✖ الفترة غير صحيحة",IF(ISNA(MATCH($G771,Lists!$B$2:$B$7,0)),"✖ المجموعة غير صحيحة",IF(NOT(OR($H771="",$N771&gt;0)),"✖ Start غير صحيح",IF(NOT(OR($I771="",$I771="NR",$O771&gt;0)),"✖ Current غير صحيح",IF(NOT(IF(ISNUMBER($J771),AND($J771&gt;=0,$J771=INT($J771)),FALSE())),"✖ العدد يجب أن يكون صحيحًا ≥ 0",IF(AND($F771="Baseline",$H771&lt;&gt;""),"⚠ Baseline: Start لا يدخل في التقدم",IF($K771="No Start (attainment only)","ℹ تحصيل فقط (بدون Start)",IF($K771="U – needs rule","ℹ حالة U تحتاج قاعدة معتمدة",IF($K771="No result","ℹ بدون نتيجة (يُستبعد من التحصيل)","OK")))))))))))</f>
        <v/>
      </c>
      <c r="M771" s="64" t="n">
        <f aca="false">IF($A771="",0,IFERROR(MATCH($A771,Classes!$A$6:$A$420,0),0))</f>
        <v>0</v>
      </c>
      <c r="N771" s="64" t="n">
        <f aca="false">IF($H771="",0,IFERROR(MATCH($H771,GradeList,0),0))</f>
        <v>0</v>
      </c>
      <c r="O771" s="64" t="n">
        <f aca="false">IF(OR($I771="",$I771="NR"),0,IFERROR(MATCH($I771,GradeList,0),0))</f>
        <v>0</v>
      </c>
      <c r="P771" s="64" t="n">
        <f aca="false">IF(AND($M771&gt;0,ISNUMBER(MATCH($F771,Lists!$A$2:$A$5,0)),ISNUMBER(MATCH($G771,Lists!$B$2:$B$7,0)),OR($H771="",$N771&gt;0),OR($I771="",$I771="NR",$O771&gt;0),IF(ISNUMBER($J771),AND($J771&gt;=0,$J771=INT($J771)),FALSE())),$J771,0)</f>
        <v>0</v>
      </c>
      <c r="Q771" s="64" t="n">
        <f aca="false">IF(AND($P771&gt;0,$O771&gt;0),$P771,0)</f>
        <v>0</v>
      </c>
      <c r="R771" s="64" t="n">
        <f aca="false">IF(AND($Q771&gt;0,$O771&gt;=AtRank),$Q771,0)</f>
        <v>0</v>
      </c>
      <c r="S771" s="64" t="n">
        <f aca="false">IF(AND($Q771&gt;0,$O771&gt;=AboveRank),$Q771,0)</f>
        <v>0</v>
      </c>
      <c r="T771" s="64" t="n">
        <f aca="false">IF($K771="Less",$P771,0)</f>
        <v>0</v>
      </c>
      <c r="U771" s="64" t="n">
        <f aca="false">IF($K771="Expected",$P771,0)</f>
        <v>0</v>
      </c>
      <c r="V771" s="64" t="n">
        <f aca="false">IF($K771="Better",$P771,0)</f>
        <v>0</v>
      </c>
      <c r="W771" s="64" t="n">
        <f aca="false">IF($K771="U – needs rule",$P771,0)</f>
        <v>0</v>
      </c>
      <c r="X771" s="64" t="n">
        <f aca="false">IF($K771="No Start (attainment only)",$P771,0)</f>
        <v>0</v>
      </c>
    </row>
    <row r="772" customFormat="false" ht="15" hidden="false" customHeight="false" outlineLevel="0" collapsed="false">
      <c r="A772" s="60"/>
      <c r="B772" s="61" t="str">
        <f aca="false">IF($M772=0,"",INDEX(Classes!$E$6:$E$420,$M772))</f>
        <v/>
      </c>
      <c r="C772" s="62" t="str">
        <f aca="false">IF($M772=0,"",INDEX(Classes!$H$6:$H$420,$M772))</f>
        <v/>
      </c>
      <c r="D772" s="61" t="str">
        <f aca="false">IF($M772=0,"",INDEX(Classes!$B$6:$B$420,$M772))</f>
        <v/>
      </c>
      <c r="E772" s="61" t="str">
        <f aca="false">IF($M772=0,"",INDEX(Classes!$C$6:$C$420,$M772))</f>
        <v/>
      </c>
      <c r="F772" s="63"/>
      <c r="G772" s="63"/>
      <c r="H772" s="60"/>
      <c r="I772" s="60"/>
      <c r="J772" s="63"/>
      <c r="K772" s="61" t="str">
        <f aca="false">IF($P772=0,"",IF($F772="Baseline","— Baseline",IF($O772=0,"No result",IF($N772=0,"No Start (attainment only)",IF(OR($N772=1,$O772=1),"U – needs rule",INDEX(MxBody,MATCH($I772,MxCurr,0),MATCH($H772,MxStart,0)))))))</f>
        <v/>
      </c>
      <c r="L772" s="62" t="str">
        <f aca="false">IF(COUNTA($A772,$F772,$G772,$H772,$I772,$J772)=0,"",IF($M772=0,"✖ كود الصف غير موجود",IF(ISNA(MATCH($F772,Lists!$A$2:$A$5,0)),"✖ الفترة غير صحيحة",IF(ISNA(MATCH($G772,Lists!$B$2:$B$7,0)),"✖ المجموعة غير صحيحة",IF(NOT(OR($H772="",$N772&gt;0)),"✖ Start غير صحيح",IF(NOT(OR($I772="",$I772="NR",$O772&gt;0)),"✖ Current غير صحيح",IF(NOT(IF(ISNUMBER($J772),AND($J772&gt;=0,$J772=INT($J772)),FALSE())),"✖ العدد يجب أن يكون صحيحًا ≥ 0",IF(AND($F772="Baseline",$H772&lt;&gt;""),"⚠ Baseline: Start لا يدخل في التقدم",IF($K772="No Start (attainment only)","ℹ تحصيل فقط (بدون Start)",IF($K772="U – needs rule","ℹ حالة U تحتاج قاعدة معتمدة",IF($K772="No result","ℹ بدون نتيجة (يُستبعد من التحصيل)","OK")))))))))))</f>
        <v/>
      </c>
      <c r="M772" s="64" t="n">
        <f aca="false">IF($A772="",0,IFERROR(MATCH($A772,Classes!$A$6:$A$420,0),0))</f>
        <v>0</v>
      </c>
      <c r="N772" s="64" t="n">
        <f aca="false">IF($H772="",0,IFERROR(MATCH($H772,GradeList,0),0))</f>
        <v>0</v>
      </c>
      <c r="O772" s="64" t="n">
        <f aca="false">IF(OR($I772="",$I772="NR"),0,IFERROR(MATCH($I772,GradeList,0),0))</f>
        <v>0</v>
      </c>
      <c r="P772" s="64" t="n">
        <f aca="false">IF(AND($M772&gt;0,ISNUMBER(MATCH($F772,Lists!$A$2:$A$5,0)),ISNUMBER(MATCH($G772,Lists!$B$2:$B$7,0)),OR($H772="",$N772&gt;0),OR($I772="",$I772="NR",$O772&gt;0),IF(ISNUMBER($J772),AND($J772&gt;=0,$J772=INT($J772)),FALSE())),$J772,0)</f>
        <v>0</v>
      </c>
      <c r="Q772" s="64" t="n">
        <f aca="false">IF(AND($P772&gt;0,$O772&gt;0),$P772,0)</f>
        <v>0</v>
      </c>
      <c r="R772" s="64" t="n">
        <f aca="false">IF(AND($Q772&gt;0,$O772&gt;=AtRank),$Q772,0)</f>
        <v>0</v>
      </c>
      <c r="S772" s="64" t="n">
        <f aca="false">IF(AND($Q772&gt;0,$O772&gt;=AboveRank),$Q772,0)</f>
        <v>0</v>
      </c>
      <c r="T772" s="64" t="n">
        <f aca="false">IF($K772="Less",$P772,0)</f>
        <v>0</v>
      </c>
      <c r="U772" s="64" t="n">
        <f aca="false">IF($K772="Expected",$P772,0)</f>
        <v>0</v>
      </c>
      <c r="V772" s="64" t="n">
        <f aca="false">IF($K772="Better",$P772,0)</f>
        <v>0</v>
      </c>
      <c r="W772" s="64" t="n">
        <f aca="false">IF($K772="U – needs rule",$P772,0)</f>
        <v>0</v>
      </c>
      <c r="X772" s="64" t="n">
        <f aca="false">IF($K772="No Start (attainment only)",$P772,0)</f>
        <v>0</v>
      </c>
    </row>
    <row r="773" customFormat="false" ht="15" hidden="false" customHeight="false" outlineLevel="0" collapsed="false">
      <c r="A773" s="60"/>
      <c r="B773" s="61" t="str">
        <f aca="false">IF($M773=0,"",INDEX(Classes!$E$6:$E$420,$M773))</f>
        <v/>
      </c>
      <c r="C773" s="62" t="str">
        <f aca="false">IF($M773=0,"",INDEX(Classes!$H$6:$H$420,$M773))</f>
        <v/>
      </c>
      <c r="D773" s="61" t="str">
        <f aca="false">IF($M773=0,"",INDEX(Classes!$B$6:$B$420,$M773))</f>
        <v/>
      </c>
      <c r="E773" s="61" t="str">
        <f aca="false">IF($M773=0,"",INDEX(Classes!$C$6:$C$420,$M773))</f>
        <v/>
      </c>
      <c r="F773" s="63"/>
      <c r="G773" s="63"/>
      <c r="H773" s="60"/>
      <c r="I773" s="60"/>
      <c r="J773" s="63"/>
      <c r="K773" s="61" t="str">
        <f aca="false">IF($P773=0,"",IF($F773="Baseline","— Baseline",IF($O773=0,"No result",IF($N773=0,"No Start (attainment only)",IF(OR($N773=1,$O773=1),"U – needs rule",INDEX(MxBody,MATCH($I773,MxCurr,0),MATCH($H773,MxStart,0)))))))</f>
        <v/>
      </c>
      <c r="L773" s="62" t="str">
        <f aca="false">IF(COUNTA($A773,$F773,$G773,$H773,$I773,$J773)=0,"",IF($M773=0,"✖ كود الصف غير موجود",IF(ISNA(MATCH($F773,Lists!$A$2:$A$5,0)),"✖ الفترة غير صحيحة",IF(ISNA(MATCH($G773,Lists!$B$2:$B$7,0)),"✖ المجموعة غير صحيحة",IF(NOT(OR($H773="",$N773&gt;0)),"✖ Start غير صحيح",IF(NOT(OR($I773="",$I773="NR",$O773&gt;0)),"✖ Current غير صحيح",IF(NOT(IF(ISNUMBER($J773),AND($J773&gt;=0,$J773=INT($J773)),FALSE())),"✖ العدد يجب أن يكون صحيحًا ≥ 0",IF(AND($F773="Baseline",$H773&lt;&gt;""),"⚠ Baseline: Start لا يدخل في التقدم",IF($K773="No Start (attainment only)","ℹ تحصيل فقط (بدون Start)",IF($K773="U – needs rule","ℹ حالة U تحتاج قاعدة معتمدة",IF($K773="No result","ℹ بدون نتيجة (يُستبعد من التحصيل)","OK")))))))))))</f>
        <v/>
      </c>
      <c r="M773" s="64" t="n">
        <f aca="false">IF($A773="",0,IFERROR(MATCH($A773,Classes!$A$6:$A$420,0),0))</f>
        <v>0</v>
      </c>
      <c r="N773" s="64" t="n">
        <f aca="false">IF($H773="",0,IFERROR(MATCH($H773,GradeList,0),0))</f>
        <v>0</v>
      </c>
      <c r="O773" s="64" t="n">
        <f aca="false">IF(OR($I773="",$I773="NR"),0,IFERROR(MATCH($I773,GradeList,0),0))</f>
        <v>0</v>
      </c>
      <c r="P773" s="64" t="n">
        <f aca="false">IF(AND($M773&gt;0,ISNUMBER(MATCH($F773,Lists!$A$2:$A$5,0)),ISNUMBER(MATCH($G773,Lists!$B$2:$B$7,0)),OR($H773="",$N773&gt;0),OR($I773="",$I773="NR",$O773&gt;0),IF(ISNUMBER($J773),AND($J773&gt;=0,$J773=INT($J773)),FALSE())),$J773,0)</f>
        <v>0</v>
      </c>
      <c r="Q773" s="64" t="n">
        <f aca="false">IF(AND($P773&gt;0,$O773&gt;0),$P773,0)</f>
        <v>0</v>
      </c>
      <c r="R773" s="64" t="n">
        <f aca="false">IF(AND($Q773&gt;0,$O773&gt;=AtRank),$Q773,0)</f>
        <v>0</v>
      </c>
      <c r="S773" s="64" t="n">
        <f aca="false">IF(AND($Q773&gt;0,$O773&gt;=AboveRank),$Q773,0)</f>
        <v>0</v>
      </c>
      <c r="T773" s="64" t="n">
        <f aca="false">IF($K773="Less",$P773,0)</f>
        <v>0</v>
      </c>
      <c r="U773" s="64" t="n">
        <f aca="false">IF($K773="Expected",$P773,0)</f>
        <v>0</v>
      </c>
      <c r="V773" s="64" t="n">
        <f aca="false">IF($K773="Better",$P773,0)</f>
        <v>0</v>
      </c>
      <c r="W773" s="64" t="n">
        <f aca="false">IF($K773="U – needs rule",$P773,0)</f>
        <v>0</v>
      </c>
      <c r="X773" s="64" t="n">
        <f aca="false">IF($K773="No Start (attainment only)",$P773,0)</f>
        <v>0</v>
      </c>
    </row>
    <row r="774" customFormat="false" ht="15" hidden="false" customHeight="false" outlineLevel="0" collapsed="false">
      <c r="A774" s="60"/>
      <c r="B774" s="61" t="str">
        <f aca="false">IF($M774=0,"",INDEX(Classes!$E$6:$E$420,$M774))</f>
        <v/>
      </c>
      <c r="C774" s="62" t="str">
        <f aca="false">IF($M774=0,"",INDEX(Classes!$H$6:$H$420,$M774))</f>
        <v/>
      </c>
      <c r="D774" s="61" t="str">
        <f aca="false">IF($M774=0,"",INDEX(Classes!$B$6:$B$420,$M774))</f>
        <v/>
      </c>
      <c r="E774" s="61" t="str">
        <f aca="false">IF($M774=0,"",INDEX(Classes!$C$6:$C$420,$M774))</f>
        <v/>
      </c>
      <c r="F774" s="63"/>
      <c r="G774" s="63"/>
      <c r="H774" s="60"/>
      <c r="I774" s="60"/>
      <c r="J774" s="63"/>
      <c r="K774" s="61" t="str">
        <f aca="false">IF($P774=0,"",IF($F774="Baseline","— Baseline",IF($O774=0,"No result",IF($N774=0,"No Start (attainment only)",IF(OR($N774=1,$O774=1),"U – needs rule",INDEX(MxBody,MATCH($I774,MxCurr,0),MATCH($H774,MxStart,0)))))))</f>
        <v/>
      </c>
      <c r="L774" s="62" t="str">
        <f aca="false">IF(COUNTA($A774,$F774,$G774,$H774,$I774,$J774)=0,"",IF($M774=0,"✖ كود الصف غير موجود",IF(ISNA(MATCH($F774,Lists!$A$2:$A$5,0)),"✖ الفترة غير صحيحة",IF(ISNA(MATCH($G774,Lists!$B$2:$B$7,0)),"✖ المجموعة غير صحيحة",IF(NOT(OR($H774="",$N774&gt;0)),"✖ Start غير صحيح",IF(NOT(OR($I774="",$I774="NR",$O774&gt;0)),"✖ Current غير صحيح",IF(NOT(IF(ISNUMBER($J774),AND($J774&gt;=0,$J774=INT($J774)),FALSE())),"✖ العدد يجب أن يكون صحيحًا ≥ 0",IF(AND($F774="Baseline",$H774&lt;&gt;""),"⚠ Baseline: Start لا يدخل في التقدم",IF($K774="No Start (attainment only)","ℹ تحصيل فقط (بدون Start)",IF($K774="U – needs rule","ℹ حالة U تحتاج قاعدة معتمدة",IF($K774="No result","ℹ بدون نتيجة (يُستبعد من التحصيل)","OK")))))))))))</f>
        <v/>
      </c>
      <c r="M774" s="64" t="n">
        <f aca="false">IF($A774="",0,IFERROR(MATCH($A774,Classes!$A$6:$A$420,0),0))</f>
        <v>0</v>
      </c>
      <c r="N774" s="64" t="n">
        <f aca="false">IF($H774="",0,IFERROR(MATCH($H774,GradeList,0),0))</f>
        <v>0</v>
      </c>
      <c r="O774" s="64" t="n">
        <f aca="false">IF(OR($I774="",$I774="NR"),0,IFERROR(MATCH($I774,GradeList,0),0))</f>
        <v>0</v>
      </c>
      <c r="P774" s="64" t="n">
        <f aca="false">IF(AND($M774&gt;0,ISNUMBER(MATCH($F774,Lists!$A$2:$A$5,0)),ISNUMBER(MATCH($G774,Lists!$B$2:$B$7,0)),OR($H774="",$N774&gt;0),OR($I774="",$I774="NR",$O774&gt;0),IF(ISNUMBER($J774),AND($J774&gt;=0,$J774=INT($J774)),FALSE())),$J774,0)</f>
        <v>0</v>
      </c>
      <c r="Q774" s="64" t="n">
        <f aca="false">IF(AND($P774&gt;0,$O774&gt;0),$P774,0)</f>
        <v>0</v>
      </c>
      <c r="R774" s="64" t="n">
        <f aca="false">IF(AND($Q774&gt;0,$O774&gt;=AtRank),$Q774,0)</f>
        <v>0</v>
      </c>
      <c r="S774" s="64" t="n">
        <f aca="false">IF(AND($Q774&gt;0,$O774&gt;=AboveRank),$Q774,0)</f>
        <v>0</v>
      </c>
      <c r="T774" s="64" t="n">
        <f aca="false">IF($K774="Less",$P774,0)</f>
        <v>0</v>
      </c>
      <c r="U774" s="64" t="n">
        <f aca="false">IF($K774="Expected",$P774,0)</f>
        <v>0</v>
      </c>
      <c r="V774" s="64" t="n">
        <f aca="false">IF($K774="Better",$P774,0)</f>
        <v>0</v>
      </c>
      <c r="W774" s="64" t="n">
        <f aca="false">IF($K774="U – needs rule",$P774,0)</f>
        <v>0</v>
      </c>
      <c r="X774" s="64" t="n">
        <f aca="false">IF($K774="No Start (attainment only)",$P774,0)</f>
        <v>0</v>
      </c>
    </row>
    <row r="775" customFormat="false" ht="15" hidden="false" customHeight="false" outlineLevel="0" collapsed="false">
      <c r="A775" s="60"/>
      <c r="B775" s="61" t="str">
        <f aca="false">IF($M775=0,"",INDEX(Classes!$E$6:$E$420,$M775))</f>
        <v/>
      </c>
      <c r="C775" s="62" t="str">
        <f aca="false">IF($M775=0,"",INDEX(Classes!$H$6:$H$420,$M775))</f>
        <v/>
      </c>
      <c r="D775" s="61" t="str">
        <f aca="false">IF($M775=0,"",INDEX(Classes!$B$6:$B$420,$M775))</f>
        <v/>
      </c>
      <c r="E775" s="61" t="str">
        <f aca="false">IF($M775=0,"",INDEX(Classes!$C$6:$C$420,$M775))</f>
        <v/>
      </c>
      <c r="F775" s="63"/>
      <c r="G775" s="63"/>
      <c r="H775" s="60"/>
      <c r="I775" s="60"/>
      <c r="J775" s="63"/>
      <c r="K775" s="61" t="str">
        <f aca="false">IF($P775=0,"",IF($F775="Baseline","— Baseline",IF($O775=0,"No result",IF($N775=0,"No Start (attainment only)",IF(OR($N775=1,$O775=1),"U – needs rule",INDEX(MxBody,MATCH($I775,MxCurr,0),MATCH($H775,MxStart,0)))))))</f>
        <v/>
      </c>
      <c r="L775" s="62" t="str">
        <f aca="false">IF(COUNTA($A775,$F775,$G775,$H775,$I775,$J775)=0,"",IF($M775=0,"✖ كود الصف غير موجود",IF(ISNA(MATCH($F775,Lists!$A$2:$A$5,0)),"✖ الفترة غير صحيحة",IF(ISNA(MATCH($G775,Lists!$B$2:$B$7,0)),"✖ المجموعة غير صحيحة",IF(NOT(OR($H775="",$N775&gt;0)),"✖ Start غير صحيح",IF(NOT(OR($I775="",$I775="NR",$O775&gt;0)),"✖ Current غير صحيح",IF(NOT(IF(ISNUMBER($J775),AND($J775&gt;=0,$J775=INT($J775)),FALSE())),"✖ العدد يجب أن يكون صحيحًا ≥ 0",IF(AND($F775="Baseline",$H775&lt;&gt;""),"⚠ Baseline: Start لا يدخل في التقدم",IF($K775="No Start (attainment only)","ℹ تحصيل فقط (بدون Start)",IF($K775="U – needs rule","ℹ حالة U تحتاج قاعدة معتمدة",IF($K775="No result","ℹ بدون نتيجة (يُستبعد من التحصيل)","OK")))))))))))</f>
        <v/>
      </c>
      <c r="M775" s="64" t="n">
        <f aca="false">IF($A775="",0,IFERROR(MATCH($A775,Classes!$A$6:$A$420,0),0))</f>
        <v>0</v>
      </c>
      <c r="N775" s="64" t="n">
        <f aca="false">IF($H775="",0,IFERROR(MATCH($H775,GradeList,0),0))</f>
        <v>0</v>
      </c>
      <c r="O775" s="64" t="n">
        <f aca="false">IF(OR($I775="",$I775="NR"),0,IFERROR(MATCH($I775,GradeList,0),0))</f>
        <v>0</v>
      </c>
      <c r="P775" s="64" t="n">
        <f aca="false">IF(AND($M775&gt;0,ISNUMBER(MATCH($F775,Lists!$A$2:$A$5,0)),ISNUMBER(MATCH($G775,Lists!$B$2:$B$7,0)),OR($H775="",$N775&gt;0),OR($I775="",$I775="NR",$O775&gt;0),IF(ISNUMBER($J775),AND($J775&gt;=0,$J775=INT($J775)),FALSE())),$J775,0)</f>
        <v>0</v>
      </c>
      <c r="Q775" s="64" t="n">
        <f aca="false">IF(AND($P775&gt;0,$O775&gt;0),$P775,0)</f>
        <v>0</v>
      </c>
      <c r="R775" s="64" t="n">
        <f aca="false">IF(AND($Q775&gt;0,$O775&gt;=AtRank),$Q775,0)</f>
        <v>0</v>
      </c>
      <c r="S775" s="64" t="n">
        <f aca="false">IF(AND($Q775&gt;0,$O775&gt;=AboveRank),$Q775,0)</f>
        <v>0</v>
      </c>
      <c r="T775" s="64" t="n">
        <f aca="false">IF($K775="Less",$P775,0)</f>
        <v>0</v>
      </c>
      <c r="U775" s="64" t="n">
        <f aca="false">IF($K775="Expected",$P775,0)</f>
        <v>0</v>
      </c>
      <c r="V775" s="64" t="n">
        <f aca="false">IF($K775="Better",$P775,0)</f>
        <v>0</v>
      </c>
      <c r="W775" s="64" t="n">
        <f aca="false">IF($K775="U – needs rule",$P775,0)</f>
        <v>0</v>
      </c>
      <c r="X775" s="64" t="n">
        <f aca="false">IF($K775="No Start (attainment only)",$P775,0)</f>
        <v>0</v>
      </c>
    </row>
    <row r="776" customFormat="false" ht="15" hidden="false" customHeight="false" outlineLevel="0" collapsed="false">
      <c r="A776" s="60"/>
      <c r="B776" s="61" t="str">
        <f aca="false">IF($M776=0,"",INDEX(Classes!$E$6:$E$420,$M776))</f>
        <v/>
      </c>
      <c r="C776" s="62" t="str">
        <f aca="false">IF($M776=0,"",INDEX(Classes!$H$6:$H$420,$M776))</f>
        <v/>
      </c>
      <c r="D776" s="61" t="str">
        <f aca="false">IF($M776=0,"",INDEX(Classes!$B$6:$B$420,$M776))</f>
        <v/>
      </c>
      <c r="E776" s="61" t="str">
        <f aca="false">IF($M776=0,"",INDEX(Classes!$C$6:$C$420,$M776))</f>
        <v/>
      </c>
      <c r="F776" s="63"/>
      <c r="G776" s="63"/>
      <c r="H776" s="60"/>
      <c r="I776" s="60"/>
      <c r="J776" s="63"/>
      <c r="K776" s="61" t="str">
        <f aca="false">IF($P776=0,"",IF($F776="Baseline","— Baseline",IF($O776=0,"No result",IF($N776=0,"No Start (attainment only)",IF(OR($N776=1,$O776=1),"U – needs rule",INDEX(MxBody,MATCH($I776,MxCurr,0),MATCH($H776,MxStart,0)))))))</f>
        <v/>
      </c>
      <c r="L776" s="62" t="str">
        <f aca="false">IF(COUNTA($A776,$F776,$G776,$H776,$I776,$J776)=0,"",IF($M776=0,"✖ كود الصف غير موجود",IF(ISNA(MATCH($F776,Lists!$A$2:$A$5,0)),"✖ الفترة غير صحيحة",IF(ISNA(MATCH($G776,Lists!$B$2:$B$7,0)),"✖ المجموعة غير صحيحة",IF(NOT(OR($H776="",$N776&gt;0)),"✖ Start غير صحيح",IF(NOT(OR($I776="",$I776="NR",$O776&gt;0)),"✖ Current غير صحيح",IF(NOT(IF(ISNUMBER($J776),AND($J776&gt;=0,$J776=INT($J776)),FALSE())),"✖ العدد يجب أن يكون صحيحًا ≥ 0",IF(AND($F776="Baseline",$H776&lt;&gt;""),"⚠ Baseline: Start لا يدخل في التقدم",IF($K776="No Start (attainment only)","ℹ تحصيل فقط (بدون Start)",IF($K776="U – needs rule","ℹ حالة U تحتاج قاعدة معتمدة",IF($K776="No result","ℹ بدون نتيجة (يُستبعد من التحصيل)","OK")))))))))))</f>
        <v/>
      </c>
      <c r="M776" s="64" t="n">
        <f aca="false">IF($A776="",0,IFERROR(MATCH($A776,Classes!$A$6:$A$420,0),0))</f>
        <v>0</v>
      </c>
      <c r="N776" s="64" t="n">
        <f aca="false">IF($H776="",0,IFERROR(MATCH($H776,GradeList,0),0))</f>
        <v>0</v>
      </c>
      <c r="O776" s="64" t="n">
        <f aca="false">IF(OR($I776="",$I776="NR"),0,IFERROR(MATCH($I776,GradeList,0),0))</f>
        <v>0</v>
      </c>
      <c r="P776" s="64" t="n">
        <f aca="false">IF(AND($M776&gt;0,ISNUMBER(MATCH($F776,Lists!$A$2:$A$5,0)),ISNUMBER(MATCH($G776,Lists!$B$2:$B$7,0)),OR($H776="",$N776&gt;0),OR($I776="",$I776="NR",$O776&gt;0),IF(ISNUMBER($J776),AND($J776&gt;=0,$J776=INT($J776)),FALSE())),$J776,0)</f>
        <v>0</v>
      </c>
      <c r="Q776" s="64" t="n">
        <f aca="false">IF(AND($P776&gt;0,$O776&gt;0),$P776,0)</f>
        <v>0</v>
      </c>
      <c r="R776" s="64" t="n">
        <f aca="false">IF(AND($Q776&gt;0,$O776&gt;=AtRank),$Q776,0)</f>
        <v>0</v>
      </c>
      <c r="S776" s="64" t="n">
        <f aca="false">IF(AND($Q776&gt;0,$O776&gt;=AboveRank),$Q776,0)</f>
        <v>0</v>
      </c>
      <c r="T776" s="64" t="n">
        <f aca="false">IF($K776="Less",$P776,0)</f>
        <v>0</v>
      </c>
      <c r="U776" s="64" t="n">
        <f aca="false">IF($K776="Expected",$P776,0)</f>
        <v>0</v>
      </c>
      <c r="V776" s="64" t="n">
        <f aca="false">IF($K776="Better",$P776,0)</f>
        <v>0</v>
      </c>
      <c r="W776" s="64" t="n">
        <f aca="false">IF($K776="U – needs rule",$P776,0)</f>
        <v>0</v>
      </c>
      <c r="X776" s="64" t="n">
        <f aca="false">IF($K776="No Start (attainment only)",$P776,0)</f>
        <v>0</v>
      </c>
    </row>
    <row r="777" customFormat="false" ht="15" hidden="false" customHeight="false" outlineLevel="0" collapsed="false">
      <c r="A777" s="60"/>
      <c r="B777" s="61" t="str">
        <f aca="false">IF($M777=0,"",INDEX(Classes!$E$6:$E$420,$M777))</f>
        <v/>
      </c>
      <c r="C777" s="62" t="str">
        <f aca="false">IF($M777=0,"",INDEX(Classes!$H$6:$H$420,$M777))</f>
        <v/>
      </c>
      <c r="D777" s="61" t="str">
        <f aca="false">IF($M777=0,"",INDEX(Classes!$B$6:$B$420,$M777))</f>
        <v/>
      </c>
      <c r="E777" s="61" t="str">
        <f aca="false">IF($M777=0,"",INDEX(Classes!$C$6:$C$420,$M777))</f>
        <v/>
      </c>
      <c r="F777" s="63"/>
      <c r="G777" s="63"/>
      <c r="H777" s="60"/>
      <c r="I777" s="60"/>
      <c r="J777" s="63"/>
      <c r="K777" s="61" t="str">
        <f aca="false">IF($P777=0,"",IF($F777="Baseline","— Baseline",IF($O777=0,"No result",IF($N777=0,"No Start (attainment only)",IF(OR($N777=1,$O777=1),"U – needs rule",INDEX(MxBody,MATCH($I777,MxCurr,0),MATCH($H777,MxStart,0)))))))</f>
        <v/>
      </c>
      <c r="L777" s="62" t="str">
        <f aca="false">IF(COUNTA($A777,$F777,$G777,$H777,$I777,$J777)=0,"",IF($M777=0,"✖ كود الصف غير موجود",IF(ISNA(MATCH($F777,Lists!$A$2:$A$5,0)),"✖ الفترة غير صحيحة",IF(ISNA(MATCH($G777,Lists!$B$2:$B$7,0)),"✖ المجموعة غير صحيحة",IF(NOT(OR($H777="",$N777&gt;0)),"✖ Start غير صحيح",IF(NOT(OR($I777="",$I777="NR",$O777&gt;0)),"✖ Current غير صحيح",IF(NOT(IF(ISNUMBER($J777),AND($J777&gt;=0,$J777=INT($J777)),FALSE())),"✖ العدد يجب أن يكون صحيحًا ≥ 0",IF(AND($F777="Baseline",$H777&lt;&gt;""),"⚠ Baseline: Start لا يدخل في التقدم",IF($K777="No Start (attainment only)","ℹ تحصيل فقط (بدون Start)",IF($K777="U – needs rule","ℹ حالة U تحتاج قاعدة معتمدة",IF($K777="No result","ℹ بدون نتيجة (يُستبعد من التحصيل)","OK")))))))))))</f>
        <v/>
      </c>
      <c r="M777" s="64" t="n">
        <f aca="false">IF($A777="",0,IFERROR(MATCH($A777,Classes!$A$6:$A$420,0),0))</f>
        <v>0</v>
      </c>
      <c r="N777" s="64" t="n">
        <f aca="false">IF($H777="",0,IFERROR(MATCH($H777,GradeList,0),0))</f>
        <v>0</v>
      </c>
      <c r="O777" s="64" t="n">
        <f aca="false">IF(OR($I777="",$I777="NR"),0,IFERROR(MATCH($I777,GradeList,0),0))</f>
        <v>0</v>
      </c>
      <c r="P777" s="64" t="n">
        <f aca="false">IF(AND($M777&gt;0,ISNUMBER(MATCH($F777,Lists!$A$2:$A$5,0)),ISNUMBER(MATCH($G777,Lists!$B$2:$B$7,0)),OR($H777="",$N777&gt;0),OR($I777="",$I777="NR",$O777&gt;0),IF(ISNUMBER($J777),AND($J777&gt;=0,$J777=INT($J777)),FALSE())),$J777,0)</f>
        <v>0</v>
      </c>
      <c r="Q777" s="64" t="n">
        <f aca="false">IF(AND($P777&gt;0,$O777&gt;0),$P777,0)</f>
        <v>0</v>
      </c>
      <c r="R777" s="64" t="n">
        <f aca="false">IF(AND($Q777&gt;0,$O777&gt;=AtRank),$Q777,0)</f>
        <v>0</v>
      </c>
      <c r="S777" s="64" t="n">
        <f aca="false">IF(AND($Q777&gt;0,$O777&gt;=AboveRank),$Q777,0)</f>
        <v>0</v>
      </c>
      <c r="T777" s="64" t="n">
        <f aca="false">IF($K777="Less",$P777,0)</f>
        <v>0</v>
      </c>
      <c r="U777" s="64" t="n">
        <f aca="false">IF($K777="Expected",$P777,0)</f>
        <v>0</v>
      </c>
      <c r="V777" s="64" t="n">
        <f aca="false">IF($K777="Better",$P777,0)</f>
        <v>0</v>
      </c>
      <c r="W777" s="64" t="n">
        <f aca="false">IF($K777="U – needs rule",$P777,0)</f>
        <v>0</v>
      </c>
      <c r="X777" s="64" t="n">
        <f aca="false">IF($K777="No Start (attainment only)",$P777,0)</f>
        <v>0</v>
      </c>
    </row>
    <row r="778" customFormat="false" ht="15" hidden="false" customHeight="false" outlineLevel="0" collapsed="false">
      <c r="A778" s="60"/>
      <c r="B778" s="61" t="str">
        <f aca="false">IF($M778=0,"",INDEX(Classes!$E$6:$E$420,$M778))</f>
        <v/>
      </c>
      <c r="C778" s="62" t="str">
        <f aca="false">IF($M778=0,"",INDEX(Classes!$H$6:$H$420,$M778))</f>
        <v/>
      </c>
      <c r="D778" s="61" t="str">
        <f aca="false">IF($M778=0,"",INDEX(Classes!$B$6:$B$420,$M778))</f>
        <v/>
      </c>
      <c r="E778" s="61" t="str">
        <f aca="false">IF($M778=0,"",INDEX(Classes!$C$6:$C$420,$M778))</f>
        <v/>
      </c>
      <c r="F778" s="63"/>
      <c r="G778" s="63"/>
      <c r="H778" s="60"/>
      <c r="I778" s="60"/>
      <c r="J778" s="63"/>
      <c r="K778" s="61" t="str">
        <f aca="false">IF($P778=0,"",IF($F778="Baseline","— Baseline",IF($O778=0,"No result",IF($N778=0,"No Start (attainment only)",IF(OR($N778=1,$O778=1),"U – needs rule",INDEX(MxBody,MATCH($I778,MxCurr,0),MATCH($H778,MxStart,0)))))))</f>
        <v/>
      </c>
      <c r="L778" s="62" t="str">
        <f aca="false">IF(COUNTA($A778,$F778,$G778,$H778,$I778,$J778)=0,"",IF($M778=0,"✖ كود الصف غير موجود",IF(ISNA(MATCH($F778,Lists!$A$2:$A$5,0)),"✖ الفترة غير صحيحة",IF(ISNA(MATCH($G778,Lists!$B$2:$B$7,0)),"✖ المجموعة غير صحيحة",IF(NOT(OR($H778="",$N778&gt;0)),"✖ Start غير صحيح",IF(NOT(OR($I778="",$I778="NR",$O778&gt;0)),"✖ Current غير صحيح",IF(NOT(IF(ISNUMBER($J778),AND($J778&gt;=0,$J778=INT($J778)),FALSE())),"✖ العدد يجب أن يكون صحيحًا ≥ 0",IF(AND($F778="Baseline",$H778&lt;&gt;""),"⚠ Baseline: Start لا يدخل في التقدم",IF($K778="No Start (attainment only)","ℹ تحصيل فقط (بدون Start)",IF($K778="U – needs rule","ℹ حالة U تحتاج قاعدة معتمدة",IF($K778="No result","ℹ بدون نتيجة (يُستبعد من التحصيل)","OK")))))))))))</f>
        <v/>
      </c>
      <c r="M778" s="64" t="n">
        <f aca="false">IF($A778="",0,IFERROR(MATCH($A778,Classes!$A$6:$A$420,0),0))</f>
        <v>0</v>
      </c>
      <c r="N778" s="64" t="n">
        <f aca="false">IF($H778="",0,IFERROR(MATCH($H778,GradeList,0),0))</f>
        <v>0</v>
      </c>
      <c r="O778" s="64" t="n">
        <f aca="false">IF(OR($I778="",$I778="NR"),0,IFERROR(MATCH($I778,GradeList,0),0))</f>
        <v>0</v>
      </c>
      <c r="P778" s="64" t="n">
        <f aca="false">IF(AND($M778&gt;0,ISNUMBER(MATCH($F778,Lists!$A$2:$A$5,0)),ISNUMBER(MATCH($G778,Lists!$B$2:$B$7,0)),OR($H778="",$N778&gt;0),OR($I778="",$I778="NR",$O778&gt;0),IF(ISNUMBER($J778),AND($J778&gt;=0,$J778=INT($J778)),FALSE())),$J778,0)</f>
        <v>0</v>
      </c>
      <c r="Q778" s="64" t="n">
        <f aca="false">IF(AND($P778&gt;0,$O778&gt;0),$P778,0)</f>
        <v>0</v>
      </c>
      <c r="R778" s="64" t="n">
        <f aca="false">IF(AND($Q778&gt;0,$O778&gt;=AtRank),$Q778,0)</f>
        <v>0</v>
      </c>
      <c r="S778" s="64" t="n">
        <f aca="false">IF(AND($Q778&gt;0,$O778&gt;=AboveRank),$Q778,0)</f>
        <v>0</v>
      </c>
      <c r="T778" s="64" t="n">
        <f aca="false">IF($K778="Less",$P778,0)</f>
        <v>0</v>
      </c>
      <c r="U778" s="64" t="n">
        <f aca="false">IF($K778="Expected",$P778,0)</f>
        <v>0</v>
      </c>
      <c r="V778" s="64" t="n">
        <f aca="false">IF($K778="Better",$P778,0)</f>
        <v>0</v>
      </c>
      <c r="W778" s="64" t="n">
        <f aca="false">IF($K778="U – needs rule",$P778,0)</f>
        <v>0</v>
      </c>
      <c r="X778" s="64" t="n">
        <f aca="false">IF($K778="No Start (attainment only)",$P778,0)</f>
        <v>0</v>
      </c>
    </row>
    <row r="779" customFormat="false" ht="15" hidden="false" customHeight="false" outlineLevel="0" collapsed="false">
      <c r="A779" s="60"/>
      <c r="B779" s="61" t="str">
        <f aca="false">IF($M779=0,"",INDEX(Classes!$E$6:$E$420,$M779))</f>
        <v/>
      </c>
      <c r="C779" s="62" t="str">
        <f aca="false">IF($M779=0,"",INDEX(Classes!$H$6:$H$420,$M779))</f>
        <v/>
      </c>
      <c r="D779" s="61" t="str">
        <f aca="false">IF($M779=0,"",INDEX(Classes!$B$6:$B$420,$M779))</f>
        <v/>
      </c>
      <c r="E779" s="61" t="str">
        <f aca="false">IF($M779=0,"",INDEX(Classes!$C$6:$C$420,$M779))</f>
        <v/>
      </c>
      <c r="F779" s="63"/>
      <c r="G779" s="63"/>
      <c r="H779" s="60"/>
      <c r="I779" s="60"/>
      <c r="J779" s="63"/>
      <c r="K779" s="61" t="str">
        <f aca="false">IF($P779=0,"",IF($F779="Baseline","— Baseline",IF($O779=0,"No result",IF($N779=0,"No Start (attainment only)",IF(OR($N779=1,$O779=1),"U – needs rule",INDEX(MxBody,MATCH($I779,MxCurr,0),MATCH($H779,MxStart,0)))))))</f>
        <v/>
      </c>
      <c r="L779" s="62" t="str">
        <f aca="false">IF(COUNTA($A779,$F779,$G779,$H779,$I779,$J779)=0,"",IF($M779=0,"✖ كود الصف غير موجود",IF(ISNA(MATCH($F779,Lists!$A$2:$A$5,0)),"✖ الفترة غير صحيحة",IF(ISNA(MATCH($G779,Lists!$B$2:$B$7,0)),"✖ المجموعة غير صحيحة",IF(NOT(OR($H779="",$N779&gt;0)),"✖ Start غير صحيح",IF(NOT(OR($I779="",$I779="NR",$O779&gt;0)),"✖ Current غير صحيح",IF(NOT(IF(ISNUMBER($J779),AND($J779&gt;=0,$J779=INT($J779)),FALSE())),"✖ العدد يجب أن يكون صحيحًا ≥ 0",IF(AND($F779="Baseline",$H779&lt;&gt;""),"⚠ Baseline: Start لا يدخل في التقدم",IF($K779="No Start (attainment only)","ℹ تحصيل فقط (بدون Start)",IF($K779="U – needs rule","ℹ حالة U تحتاج قاعدة معتمدة",IF($K779="No result","ℹ بدون نتيجة (يُستبعد من التحصيل)","OK")))))))))))</f>
        <v/>
      </c>
      <c r="M779" s="64" t="n">
        <f aca="false">IF($A779="",0,IFERROR(MATCH($A779,Classes!$A$6:$A$420,0),0))</f>
        <v>0</v>
      </c>
      <c r="N779" s="64" t="n">
        <f aca="false">IF($H779="",0,IFERROR(MATCH($H779,GradeList,0),0))</f>
        <v>0</v>
      </c>
      <c r="O779" s="64" t="n">
        <f aca="false">IF(OR($I779="",$I779="NR"),0,IFERROR(MATCH($I779,GradeList,0),0))</f>
        <v>0</v>
      </c>
      <c r="P779" s="64" t="n">
        <f aca="false">IF(AND($M779&gt;0,ISNUMBER(MATCH($F779,Lists!$A$2:$A$5,0)),ISNUMBER(MATCH($G779,Lists!$B$2:$B$7,0)),OR($H779="",$N779&gt;0),OR($I779="",$I779="NR",$O779&gt;0),IF(ISNUMBER($J779),AND($J779&gt;=0,$J779=INT($J779)),FALSE())),$J779,0)</f>
        <v>0</v>
      </c>
      <c r="Q779" s="64" t="n">
        <f aca="false">IF(AND($P779&gt;0,$O779&gt;0),$P779,0)</f>
        <v>0</v>
      </c>
      <c r="R779" s="64" t="n">
        <f aca="false">IF(AND($Q779&gt;0,$O779&gt;=AtRank),$Q779,0)</f>
        <v>0</v>
      </c>
      <c r="S779" s="64" t="n">
        <f aca="false">IF(AND($Q779&gt;0,$O779&gt;=AboveRank),$Q779,0)</f>
        <v>0</v>
      </c>
      <c r="T779" s="64" t="n">
        <f aca="false">IF($K779="Less",$P779,0)</f>
        <v>0</v>
      </c>
      <c r="U779" s="64" t="n">
        <f aca="false">IF($K779="Expected",$P779,0)</f>
        <v>0</v>
      </c>
      <c r="V779" s="64" t="n">
        <f aca="false">IF($K779="Better",$P779,0)</f>
        <v>0</v>
      </c>
      <c r="W779" s="64" t="n">
        <f aca="false">IF($K779="U – needs rule",$P779,0)</f>
        <v>0</v>
      </c>
      <c r="X779" s="64" t="n">
        <f aca="false">IF($K779="No Start (attainment only)",$P779,0)</f>
        <v>0</v>
      </c>
    </row>
    <row r="780" customFormat="false" ht="15" hidden="false" customHeight="false" outlineLevel="0" collapsed="false">
      <c r="A780" s="60"/>
      <c r="B780" s="61" t="str">
        <f aca="false">IF($M780=0,"",INDEX(Classes!$E$6:$E$420,$M780))</f>
        <v/>
      </c>
      <c r="C780" s="62" t="str">
        <f aca="false">IF($M780=0,"",INDEX(Classes!$H$6:$H$420,$M780))</f>
        <v/>
      </c>
      <c r="D780" s="61" t="str">
        <f aca="false">IF($M780=0,"",INDEX(Classes!$B$6:$B$420,$M780))</f>
        <v/>
      </c>
      <c r="E780" s="61" t="str">
        <f aca="false">IF($M780=0,"",INDEX(Classes!$C$6:$C$420,$M780))</f>
        <v/>
      </c>
      <c r="F780" s="63"/>
      <c r="G780" s="63"/>
      <c r="H780" s="60"/>
      <c r="I780" s="60"/>
      <c r="J780" s="63"/>
      <c r="K780" s="61" t="str">
        <f aca="false">IF($P780=0,"",IF($F780="Baseline","— Baseline",IF($O780=0,"No result",IF($N780=0,"No Start (attainment only)",IF(OR($N780=1,$O780=1),"U – needs rule",INDEX(MxBody,MATCH($I780,MxCurr,0),MATCH($H780,MxStart,0)))))))</f>
        <v/>
      </c>
      <c r="L780" s="62" t="str">
        <f aca="false">IF(COUNTA($A780,$F780,$G780,$H780,$I780,$J780)=0,"",IF($M780=0,"✖ كود الصف غير موجود",IF(ISNA(MATCH($F780,Lists!$A$2:$A$5,0)),"✖ الفترة غير صحيحة",IF(ISNA(MATCH($G780,Lists!$B$2:$B$7,0)),"✖ المجموعة غير صحيحة",IF(NOT(OR($H780="",$N780&gt;0)),"✖ Start غير صحيح",IF(NOT(OR($I780="",$I780="NR",$O780&gt;0)),"✖ Current غير صحيح",IF(NOT(IF(ISNUMBER($J780),AND($J780&gt;=0,$J780=INT($J780)),FALSE())),"✖ العدد يجب أن يكون صحيحًا ≥ 0",IF(AND($F780="Baseline",$H780&lt;&gt;""),"⚠ Baseline: Start لا يدخل في التقدم",IF($K780="No Start (attainment only)","ℹ تحصيل فقط (بدون Start)",IF($K780="U – needs rule","ℹ حالة U تحتاج قاعدة معتمدة",IF($K780="No result","ℹ بدون نتيجة (يُستبعد من التحصيل)","OK")))))))))))</f>
        <v/>
      </c>
      <c r="M780" s="64" t="n">
        <f aca="false">IF($A780="",0,IFERROR(MATCH($A780,Classes!$A$6:$A$420,0),0))</f>
        <v>0</v>
      </c>
      <c r="N780" s="64" t="n">
        <f aca="false">IF($H780="",0,IFERROR(MATCH($H780,GradeList,0),0))</f>
        <v>0</v>
      </c>
      <c r="O780" s="64" t="n">
        <f aca="false">IF(OR($I780="",$I780="NR"),0,IFERROR(MATCH($I780,GradeList,0),0))</f>
        <v>0</v>
      </c>
      <c r="P780" s="64" t="n">
        <f aca="false">IF(AND($M780&gt;0,ISNUMBER(MATCH($F780,Lists!$A$2:$A$5,0)),ISNUMBER(MATCH($G780,Lists!$B$2:$B$7,0)),OR($H780="",$N780&gt;0),OR($I780="",$I780="NR",$O780&gt;0),IF(ISNUMBER($J780),AND($J780&gt;=0,$J780=INT($J780)),FALSE())),$J780,0)</f>
        <v>0</v>
      </c>
      <c r="Q780" s="64" t="n">
        <f aca="false">IF(AND($P780&gt;0,$O780&gt;0),$P780,0)</f>
        <v>0</v>
      </c>
      <c r="R780" s="64" t="n">
        <f aca="false">IF(AND($Q780&gt;0,$O780&gt;=AtRank),$Q780,0)</f>
        <v>0</v>
      </c>
      <c r="S780" s="64" t="n">
        <f aca="false">IF(AND($Q780&gt;0,$O780&gt;=AboveRank),$Q780,0)</f>
        <v>0</v>
      </c>
      <c r="T780" s="64" t="n">
        <f aca="false">IF($K780="Less",$P780,0)</f>
        <v>0</v>
      </c>
      <c r="U780" s="64" t="n">
        <f aca="false">IF($K780="Expected",$P780,0)</f>
        <v>0</v>
      </c>
      <c r="V780" s="64" t="n">
        <f aca="false">IF($K780="Better",$P780,0)</f>
        <v>0</v>
      </c>
      <c r="W780" s="64" t="n">
        <f aca="false">IF($K780="U – needs rule",$P780,0)</f>
        <v>0</v>
      </c>
      <c r="X780" s="64" t="n">
        <f aca="false">IF($K780="No Start (attainment only)",$P780,0)</f>
        <v>0</v>
      </c>
    </row>
    <row r="781" customFormat="false" ht="15" hidden="false" customHeight="false" outlineLevel="0" collapsed="false">
      <c r="A781" s="60"/>
      <c r="B781" s="61" t="str">
        <f aca="false">IF($M781=0,"",INDEX(Classes!$E$6:$E$420,$M781))</f>
        <v/>
      </c>
      <c r="C781" s="62" t="str">
        <f aca="false">IF($M781=0,"",INDEX(Classes!$H$6:$H$420,$M781))</f>
        <v/>
      </c>
      <c r="D781" s="61" t="str">
        <f aca="false">IF($M781=0,"",INDEX(Classes!$B$6:$B$420,$M781))</f>
        <v/>
      </c>
      <c r="E781" s="61" t="str">
        <f aca="false">IF($M781=0,"",INDEX(Classes!$C$6:$C$420,$M781))</f>
        <v/>
      </c>
      <c r="F781" s="63"/>
      <c r="G781" s="63"/>
      <c r="H781" s="60"/>
      <c r="I781" s="60"/>
      <c r="J781" s="63"/>
      <c r="K781" s="61" t="str">
        <f aca="false">IF($P781=0,"",IF($F781="Baseline","— Baseline",IF($O781=0,"No result",IF($N781=0,"No Start (attainment only)",IF(OR($N781=1,$O781=1),"U – needs rule",INDEX(MxBody,MATCH($I781,MxCurr,0),MATCH($H781,MxStart,0)))))))</f>
        <v/>
      </c>
      <c r="L781" s="62" t="str">
        <f aca="false">IF(COUNTA($A781,$F781,$G781,$H781,$I781,$J781)=0,"",IF($M781=0,"✖ كود الصف غير موجود",IF(ISNA(MATCH($F781,Lists!$A$2:$A$5,0)),"✖ الفترة غير صحيحة",IF(ISNA(MATCH($G781,Lists!$B$2:$B$7,0)),"✖ المجموعة غير صحيحة",IF(NOT(OR($H781="",$N781&gt;0)),"✖ Start غير صحيح",IF(NOT(OR($I781="",$I781="NR",$O781&gt;0)),"✖ Current غير صحيح",IF(NOT(IF(ISNUMBER($J781),AND($J781&gt;=0,$J781=INT($J781)),FALSE())),"✖ العدد يجب أن يكون صحيحًا ≥ 0",IF(AND($F781="Baseline",$H781&lt;&gt;""),"⚠ Baseline: Start لا يدخل في التقدم",IF($K781="No Start (attainment only)","ℹ تحصيل فقط (بدون Start)",IF($K781="U – needs rule","ℹ حالة U تحتاج قاعدة معتمدة",IF($K781="No result","ℹ بدون نتيجة (يُستبعد من التحصيل)","OK")))))))))))</f>
        <v/>
      </c>
      <c r="M781" s="64" t="n">
        <f aca="false">IF($A781="",0,IFERROR(MATCH($A781,Classes!$A$6:$A$420,0),0))</f>
        <v>0</v>
      </c>
      <c r="N781" s="64" t="n">
        <f aca="false">IF($H781="",0,IFERROR(MATCH($H781,GradeList,0),0))</f>
        <v>0</v>
      </c>
      <c r="O781" s="64" t="n">
        <f aca="false">IF(OR($I781="",$I781="NR"),0,IFERROR(MATCH($I781,GradeList,0),0))</f>
        <v>0</v>
      </c>
      <c r="P781" s="64" t="n">
        <f aca="false">IF(AND($M781&gt;0,ISNUMBER(MATCH($F781,Lists!$A$2:$A$5,0)),ISNUMBER(MATCH($G781,Lists!$B$2:$B$7,0)),OR($H781="",$N781&gt;0),OR($I781="",$I781="NR",$O781&gt;0),IF(ISNUMBER($J781),AND($J781&gt;=0,$J781=INT($J781)),FALSE())),$J781,0)</f>
        <v>0</v>
      </c>
      <c r="Q781" s="64" t="n">
        <f aca="false">IF(AND($P781&gt;0,$O781&gt;0),$P781,0)</f>
        <v>0</v>
      </c>
      <c r="R781" s="64" t="n">
        <f aca="false">IF(AND($Q781&gt;0,$O781&gt;=AtRank),$Q781,0)</f>
        <v>0</v>
      </c>
      <c r="S781" s="64" t="n">
        <f aca="false">IF(AND($Q781&gt;0,$O781&gt;=AboveRank),$Q781,0)</f>
        <v>0</v>
      </c>
      <c r="T781" s="64" t="n">
        <f aca="false">IF($K781="Less",$P781,0)</f>
        <v>0</v>
      </c>
      <c r="U781" s="64" t="n">
        <f aca="false">IF($K781="Expected",$P781,0)</f>
        <v>0</v>
      </c>
      <c r="V781" s="64" t="n">
        <f aca="false">IF($K781="Better",$P781,0)</f>
        <v>0</v>
      </c>
      <c r="W781" s="64" t="n">
        <f aca="false">IF($K781="U – needs rule",$P781,0)</f>
        <v>0</v>
      </c>
      <c r="X781" s="64" t="n">
        <f aca="false">IF($K781="No Start (attainment only)",$P781,0)</f>
        <v>0</v>
      </c>
    </row>
    <row r="782" customFormat="false" ht="15" hidden="false" customHeight="false" outlineLevel="0" collapsed="false">
      <c r="A782" s="60"/>
      <c r="B782" s="61" t="str">
        <f aca="false">IF($M782=0,"",INDEX(Classes!$E$6:$E$420,$M782))</f>
        <v/>
      </c>
      <c r="C782" s="62" t="str">
        <f aca="false">IF($M782=0,"",INDEX(Classes!$H$6:$H$420,$M782))</f>
        <v/>
      </c>
      <c r="D782" s="61" t="str">
        <f aca="false">IF($M782=0,"",INDEX(Classes!$B$6:$B$420,$M782))</f>
        <v/>
      </c>
      <c r="E782" s="61" t="str">
        <f aca="false">IF($M782=0,"",INDEX(Classes!$C$6:$C$420,$M782))</f>
        <v/>
      </c>
      <c r="F782" s="63"/>
      <c r="G782" s="63"/>
      <c r="H782" s="60"/>
      <c r="I782" s="60"/>
      <c r="J782" s="63"/>
      <c r="K782" s="61" t="str">
        <f aca="false">IF($P782=0,"",IF($F782="Baseline","— Baseline",IF($O782=0,"No result",IF($N782=0,"No Start (attainment only)",IF(OR($N782=1,$O782=1),"U – needs rule",INDEX(MxBody,MATCH($I782,MxCurr,0),MATCH($H782,MxStart,0)))))))</f>
        <v/>
      </c>
      <c r="L782" s="62" t="str">
        <f aca="false">IF(COUNTA($A782,$F782,$G782,$H782,$I782,$J782)=0,"",IF($M782=0,"✖ كود الصف غير موجود",IF(ISNA(MATCH($F782,Lists!$A$2:$A$5,0)),"✖ الفترة غير صحيحة",IF(ISNA(MATCH($G782,Lists!$B$2:$B$7,0)),"✖ المجموعة غير صحيحة",IF(NOT(OR($H782="",$N782&gt;0)),"✖ Start غير صحيح",IF(NOT(OR($I782="",$I782="NR",$O782&gt;0)),"✖ Current غير صحيح",IF(NOT(IF(ISNUMBER($J782),AND($J782&gt;=0,$J782=INT($J782)),FALSE())),"✖ العدد يجب أن يكون صحيحًا ≥ 0",IF(AND($F782="Baseline",$H782&lt;&gt;""),"⚠ Baseline: Start لا يدخل في التقدم",IF($K782="No Start (attainment only)","ℹ تحصيل فقط (بدون Start)",IF($K782="U – needs rule","ℹ حالة U تحتاج قاعدة معتمدة",IF($K782="No result","ℹ بدون نتيجة (يُستبعد من التحصيل)","OK")))))))))))</f>
        <v/>
      </c>
      <c r="M782" s="64" t="n">
        <f aca="false">IF($A782="",0,IFERROR(MATCH($A782,Classes!$A$6:$A$420,0),0))</f>
        <v>0</v>
      </c>
      <c r="N782" s="64" t="n">
        <f aca="false">IF($H782="",0,IFERROR(MATCH($H782,GradeList,0),0))</f>
        <v>0</v>
      </c>
      <c r="O782" s="64" t="n">
        <f aca="false">IF(OR($I782="",$I782="NR"),0,IFERROR(MATCH($I782,GradeList,0),0))</f>
        <v>0</v>
      </c>
      <c r="P782" s="64" t="n">
        <f aca="false">IF(AND($M782&gt;0,ISNUMBER(MATCH($F782,Lists!$A$2:$A$5,0)),ISNUMBER(MATCH($G782,Lists!$B$2:$B$7,0)),OR($H782="",$N782&gt;0),OR($I782="",$I782="NR",$O782&gt;0),IF(ISNUMBER($J782),AND($J782&gt;=0,$J782=INT($J782)),FALSE())),$J782,0)</f>
        <v>0</v>
      </c>
      <c r="Q782" s="64" t="n">
        <f aca="false">IF(AND($P782&gt;0,$O782&gt;0),$P782,0)</f>
        <v>0</v>
      </c>
      <c r="R782" s="64" t="n">
        <f aca="false">IF(AND($Q782&gt;0,$O782&gt;=AtRank),$Q782,0)</f>
        <v>0</v>
      </c>
      <c r="S782" s="64" t="n">
        <f aca="false">IF(AND($Q782&gt;0,$O782&gt;=AboveRank),$Q782,0)</f>
        <v>0</v>
      </c>
      <c r="T782" s="64" t="n">
        <f aca="false">IF($K782="Less",$P782,0)</f>
        <v>0</v>
      </c>
      <c r="U782" s="64" t="n">
        <f aca="false">IF($K782="Expected",$P782,0)</f>
        <v>0</v>
      </c>
      <c r="V782" s="64" t="n">
        <f aca="false">IF($K782="Better",$P782,0)</f>
        <v>0</v>
      </c>
      <c r="W782" s="64" t="n">
        <f aca="false">IF($K782="U – needs rule",$P782,0)</f>
        <v>0</v>
      </c>
      <c r="X782" s="64" t="n">
        <f aca="false">IF($K782="No Start (attainment only)",$P782,0)</f>
        <v>0</v>
      </c>
    </row>
    <row r="783" customFormat="false" ht="15" hidden="false" customHeight="false" outlineLevel="0" collapsed="false">
      <c r="A783" s="60"/>
      <c r="B783" s="61" t="str">
        <f aca="false">IF($M783=0,"",INDEX(Classes!$E$6:$E$420,$M783))</f>
        <v/>
      </c>
      <c r="C783" s="62" t="str">
        <f aca="false">IF($M783=0,"",INDEX(Classes!$H$6:$H$420,$M783))</f>
        <v/>
      </c>
      <c r="D783" s="61" t="str">
        <f aca="false">IF($M783=0,"",INDEX(Classes!$B$6:$B$420,$M783))</f>
        <v/>
      </c>
      <c r="E783" s="61" t="str">
        <f aca="false">IF($M783=0,"",INDEX(Classes!$C$6:$C$420,$M783))</f>
        <v/>
      </c>
      <c r="F783" s="63"/>
      <c r="G783" s="63"/>
      <c r="H783" s="60"/>
      <c r="I783" s="60"/>
      <c r="J783" s="63"/>
      <c r="K783" s="61" t="str">
        <f aca="false">IF($P783=0,"",IF($F783="Baseline","— Baseline",IF($O783=0,"No result",IF($N783=0,"No Start (attainment only)",IF(OR($N783=1,$O783=1),"U – needs rule",INDEX(MxBody,MATCH($I783,MxCurr,0),MATCH($H783,MxStart,0)))))))</f>
        <v/>
      </c>
      <c r="L783" s="62" t="str">
        <f aca="false">IF(COUNTA($A783,$F783,$G783,$H783,$I783,$J783)=0,"",IF($M783=0,"✖ كود الصف غير موجود",IF(ISNA(MATCH($F783,Lists!$A$2:$A$5,0)),"✖ الفترة غير صحيحة",IF(ISNA(MATCH($G783,Lists!$B$2:$B$7,0)),"✖ المجموعة غير صحيحة",IF(NOT(OR($H783="",$N783&gt;0)),"✖ Start غير صحيح",IF(NOT(OR($I783="",$I783="NR",$O783&gt;0)),"✖ Current غير صحيح",IF(NOT(IF(ISNUMBER($J783),AND($J783&gt;=0,$J783=INT($J783)),FALSE())),"✖ العدد يجب أن يكون صحيحًا ≥ 0",IF(AND($F783="Baseline",$H783&lt;&gt;""),"⚠ Baseline: Start لا يدخل في التقدم",IF($K783="No Start (attainment only)","ℹ تحصيل فقط (بدون Start)",IF($K783="U – needs rule","ℹ حالة U تحتاج قاعدة معتمدة",IF($K783="No result","ℹ بدون نتيجة (يُستبعد من التحصيل)","OK")))))))))))</f>
        <v/>
      </c>
      <c r="M783" s="64" t="n">
        <f aca="false">IF($A783="",0,IFERROR(MATCH($A783,Classes!$A$6:$A$420,0),0))</f>
        <v>0</v>
      </c>
      <c r="N783" s="64" t="n">
        <f aca="false">IF($H783="",0,IFERROR(MATCH($H783,GradeList,0),0))</f>
        <v>0</v>
      </c>
      <c r="O783" s="64" t="n">
        <f aca="false">IF(OR($I783="",$I783="NR"),0,IFERROR(MATCH($I783,GradeList,0),0))</f>
        <v>0</v>
      </c>
      <c r="P783" s="64" t="n">
        <f aca="false">IF(AND($M783&gt;0,ISNUMBER(MATCH($F783,Lists!$A$2:$A$5,0)),ISNUMBER(MATCH($G783,Lists!$B$2:$B$7,0)),OR($H783="",$N783&gt;0),OR($I783="",$I783="NR",$O783&gt;0),IF(ISNUMBER($J783),AND($J783&gt;=0,$J783=INT($J783)),FALSE())),$J783,0)</f>
        <v>0</v>
      </c>
      <c r="Q783" s="64" t="n">
        <f aca="false">IF(AND($P783&gt;0,$O783&gt;0),$P783,0)</f>
        <v>0</v>
      </c>
      <c r="R783" s="64" t="n">
        <f aca="false">IF(AND($Q783&gt;0,$O783&gt;=AtRank),$Q783,0)</f>
        <v>0</v>
      </c>
      <c r="S783" s="64" t="n">
        <f aca="false">IF(AND($Q783&gt;0,$O783&gt;=AboveRank),$Q783,0)</f>
        <v>0</v>
      </c>
      <c r="T783" s="64" t="n">
        <f aca="false">IF($K783="Less",$P783,0)</f>
        <v>0</v>
      </c>
      <c r="U783" s="64" t="n">
        <f aca="false">IF($K783="Expected",$P783,0)</f>
        <v>0</v>
      </c>
      <c r="V783" s="64" t="n">
        <f aca="false">IF($K783="Better",$P783,0)</f>
        <v>0</v>
      </c>
      <c r="W783" s="64" t="n">
        <f aca="false">IF($K783="U – needs rule",$P783,0)</f>
        <v>0</v>
      </c>
      <c r="X783" s="64" t="n">
        <f aca="false">IF($K783="No Start (attainment only)",$P783,0)</f>
        <v>0</v>
      </c>
    </row>
    <row r="784" customFormat="false" ht="15" hidden="false" customHeight="false" outlineLevel="0" collapsed="false">
      <c r="A784" s="60"/>
      <c r="B784" s="61" t="str">
        <f aca="false">IF($M784=0,"",INDEX(Classes!$E$6:$E$420,$M784))</f>
        <v/>
      </c>
      <c r="C784" s="62" t="str">
        <f aca="false">IF($M784=0,"",INDEX(Classes!$H$6:$H$420,$M784))</f>
        <v/>
      </c>
      <c r="D784" s="61" t="str">
        <f aca="false">IF($M784=0,"",INDEX(Classes!$B$6:$B$420,$M784))</f>
        <v/>
      </c>
      <c r="E784" s="61" t="str">
        <f aca="false">IF($M784=0,"",INDEX(Classes!$C$6:$C$420,$M784))</f>
        <v/>
      </c>
      <c r="F784" s="63"/>
      <c r="G784" s="63"/>
      <c r="H784" s="60"/>
      <c r="I784" s="60"/>
      <c r="J784" s="63"/>
      <c r="K784" s="61" t="str">
        <f aca="false">IF($P784=0,"",IF($F784="Baseline","— Baseline",IF($O784=0,"No result",IF($N784=0,"No Start (attainment only)",IF(OR($N784=1,$O784=1),"U – needs rule",INDEX(MxBody,MATCH($I784,MxCurr,0),MATCH($H784,MxStart,0)))))))</f>
        <v/>
      </c>
      <c r="L784" s="62" t="str">
        <f aca="false">IF(COUNTA($A784,$F784,$G784,$H784,$I784,$J784)=0,"",IF($M784=0,"✖ كود الصف غير موجود",IF(ISNA(MATCH($F784,Lists!$A$2:$A$5,0)),"✖ الفترة غير صحيحة",IF(ISNA(MATCH($G784,Lists!$B$2:$B$7,0)),"✖ المجموعة غير صحيحة",IF(NOT(OR($H784="",$N784&gt;0)),"✖ Start غير صحيح",IF(NOT(OR($I784="",$I784="NR",$O784&gt;0)),"✖ Current غير صحيح",IF(NOT(IF(ISNUMBER($J784),AND($J784&gt;=0,$J784=INT($J784)),FALSE())),"✖ العدد يجب أن يكون صحيحًا ≥ 0",IF(AND($F784="Baseline",$H784&lt;&gt;""),"⚠ Baseline: Start لا يدخل في التقدم",IF($K784="No Start (attainment only)","ℹ تحصيل فقط (بدون Start)",IF($K784="U – needs rule","ℹ حالة U تحتاج قاعدة معتمدة",IF($K784="No result","ℹ بدون نتيجة (يُستبعد من التحصيل)","OK")))))))))))</f>
        <v/>
      </c>
      <c r="M784" s="64" t="n">
        <f aca="false">IF($A784="",0,IFERROR(MATCH($A784,Classes!$A$6:$A$420,0),0))</f>
        <v>0</v>
      </c>
      <c r="N784" s="64" t="n">
        <f aca="false">IF($H784="",0,IFERROR(MATCH($H784,GradeList,0),0))</f>
        <v>0</v>
      </c>
      <c r="O784" s="64" t="n">
        <f aca="false">IF(OR($I784="",$I784="NR"),0,IFERROR(MATCH($I784,GradeList,0),0))</f>
        <v>0</v>
      </c>
      <c r="P784" s="64" t="n">
        <f aca="false">IF(AND($M784&gt;0,ISNUMBER(MATCH($F784,Lists!$A$2:$A$5,0)),ISNUMBER(MATCH($G784,Lists!$B$2:$B$7,0)),OR($H784="",$N784&gt;0),OR($I784="",$I784="NR",$O784&gt;0),IF(ISNUMBER($J784),AND($J784&gt;=0,$J784=INT($J784)),FALSE())),$J784,0)</f>
        <v>0</v>
      </c>
      <c r="Q784" s="64" t="n">
        <f aca="false">IF(AND($P784&gt;0,$O784&gt;0),$P784,0)</f>
        <v>0</v>
      </c>
      <c r="R784" s="64" t="n">
        <f aca="false">IF(AND($Q784&gt;0,$O784&gt;=AtRank),$Q784,0)</f>
        <v>0</v>
      </c>
      <c r="S784" s="64" t="n">
        <f aca="false">IF(AND($Q784&gt;0,$O784&gt;=AboveRank),$Q784,0)</f>
        <v>0</v>
      </c>
      <c r="T784" s="64" t="n">
        <f aca="false">IF($K784="Less",$P784,0)</f>
        <v>0</v>
      </c>
      <c r="U784" s="64" t="n">
        <f aca="false">IF($K784="Expected",$P784,0)</f>
        <v>0</v>
      </c>
      <c r="V784" s="64" t="n">
        <f aca="false">IF($K784="Better",$P784,0)</f>
        <v>0</v>
      </c>
      <c r="W784" s="64" t="n">
        <f aca="false">IF($K784="U – needs rule",$P784,0)</f>
        <v>0</v>
      </c>
      <c r="X784" s="64" t="n">
        <f aca="false">IF($K784="No Start (attainment only)",$P784,0)</f>
        <v>0</v>
      </c>
    </row>
    <row r="785" customFormat="false" ht="15" hidden="false" customHeight="false" outlineLevel="0" collapsed="false">
      <c r="A785" s="60"/>
      <c r="B785" s="61" t="str">
        <f aca="false">IF($M785=0,"",INDEX(Classes!$E$6:$E$420,$M785))</f>
        <v/>
      </c>
      <c r="C785" s="62" t="str">
        <f aca="false">IF($M785=0,"",INDEX(Classes!$H$6:$H$420,$M785))</f>
        <v/>
      </c>
      <c r="D785" s="61" t="str">
        <f aca="false">IF($M785=0,"",INDEX(Classes!$B$6:$B$420,$M785))</f>
        <v/>
      </c>
      <c r="E785" s="61" t="str">
        <f aca="false">IF($M785=0,"",INDEX(Classes!$C$6:$C$420,$M785))</f>
        <v/>
      </c>
      <c r="F785" s="63"/>
      <c r="G785" s="63"/>
      <c r="H785" s="60"/>
      <c r="I785" s="60"/>
      <c r="J785" s="63"/>
      <c r="K785" s="61" t="str">
        <f aca="false">IF($P785=0,"",IF($F785="Baseline","— Baseline",IF($O785=0,"No result",IF($N785=0,"No Start (attainment only)",IF(OR($N785=1,$O785=1),"U – needs rule",INDEX(MxBody,MATCH($I785,MxCurr,0),MATCH($H785,MxStart,0)))))))</f>
        <v/>
      </c>
      <c r="L785" s="62" t="str">
        <f aca="false">IF(COUNTA($A785,$F785,$G785,$H785,$I785,$J785)=0,"",IF($M785=0,"✖ كود الصف غير موجود",IF(ISNA(MATCH($F785,Lists!$A$2:$A$5,0)),"✖ الفترة غير صحيحة",IF(ISNA(MATCH($G785,Lists!$B$2:$B$7,0)),"✖ المجموعة غير صحيحة",IF(NOT(OR($H785="",$N785&gt;0)),"✖ Start غير صحيح",IF(NOT(OR($I785="",$I785="NR",$O785&gt;0)),"✖ Current غير صحيح",IF(NOT(IF(ISNUMBER($J785),AND($J785&gt;=0,$J785=INT($J785)),FALSE())),"✖ العدد يجب أن يكون صحيحًا ≥ 0",IF(AND($F785="Baseline",$H785&lt;&gt;""),"⚠ Baseline: Start لا يدخل في التقدم",IF($K785="No Start (attainment only)","ℹ تحصيل فقط (بدون Start)",IF($K785="U – needs rule","ℹ حالة U تحتاج قاعدة معتمدة",IF($K785="No result","ℹ بدون نتيجة (يُستبعد من التحصيل)","OK")))))))))))</f>
        <v/>
      </c>
      <c r="M785" s="64" t="n">
        <f aca="false">IF($A785="",0,IFERROR(MATCH($A785,Classes!$A$6:$A$420,0),0))</f>
        <v>0</v>
      </c>
      <c r="N785" s="64" t="n">
        <f aca="false">IF($H785="",0,IFERROR(MATCH($H785,GradeList,0),0))</f>
        <v>0</v>
      </c>
      <c r="O785" s="64" t="n">
        <f aca="false">IF(OR($I785="",$I785="NR"),0,IFERROR(MATCH($I785,GradeList,0),0))</f>
        <v>0</v>
      </c>
      <c r="P785" s="64" t="n">
        <f aca="false">IF(AND($M785&gt;0,ISNUMBER(MATCH($F785,Lists!$A$2:$A$5,0)),ISNUMBER(MATCH($G785,Lists!$B$2:$B$7,0)),OR($H785="",$N785&gt;0),OR($I785="",$I785="NR",$O785&gt;0),IF(ISNUMBER($J785),AND($J785&gt;=0,$J785=INT($J785)),FALSE())),$J785,0)</f>
        <v>0</v>
      </c>
      <c r="Q785" s="64" t="n">
        <f aca="false">IF(AND($P785&gt;0,$O785&gt;0),$P785,0)</f>
        <v>0</v>
      </c>
      <c r="R785" s="64" t="n">
        <f aca="false">IF(AND($Q785&gt;0,$O785&gt;=AtRank),$Q785,0)</f>
        <v>0</v>
      </c>
      <c r="S785" s="64" t="n">
        <f aca="false">IF(AND($Q785&gt;0,$O785&gt;=AboveRank),$Q785,0)</f>
        <v>0</v>
      </c>
      <c r="T785" s="64" t="n">
        <f aca="false">IF($K785="Less",$P785,0)</f>
        <v>0</v>
      </c>
      <c r="U785" s="64" t="n">
        <f aca="false">IF($K785="Expected",$P785,0)</f>
        <v>0</v>
      </c>
      <c r="V785" s="64" t="n">
        <f aca="false">IF($K785="Better",$P785,0)</f>
        <v>0</v>
      </c>
      <c r="W785" s="64" t="n">
        <f aca="false">IF($K785="U – needs rule",$P785,0)</f>
        <v>0</v>
      </c>
      <c r="X785" s="64" t="n">
        <f aca="false">IF($K785="No Start (attainment only)",$P785,0)</f>
        <v>0</v>
      </c>
    </row>
    <row r="786" customFormat="false" ht="15" hidden="false" customHeight="false" outlineLevel="0" collapsed="false">
      <c r="A786" s="60"/>
      <c r="B786" s="61" t="str">
        <f aca="false">IF($M786=0,"",INDEX(Classes!$E$6:$E$420,$M786))</f>
        <v/>
      </c>
      <c r="C786" s="62" t="str">
        <f aca="false">IF($M786=0,"",INDEX(Classes!$H$6:$H$420,$M786))</f>
        <v/>
      </c>
      <c r="D786" s="61" t="str">
        <f aca="false">IF($M786=0,"",INDEX(Classes!$B$6:$B$420,$M786))</f>
        <v/>
      </c>
      <c r="E786" s="61" t="str">
        <f aca="false">IF($M786=0,"",INDEX(Classes!$C$6:$C$420,$M786))</f>
        <v/>
      </c>
      <c r="F786" s="63"/>
      <c r="G786" s="63"/>
      <c r="H786" s="60"/>
      <c r="I786" s="60"/>
      <c r="J786" s="63"/>
      <c r="K786" s="61" t="str">
        <f aca="false">IF($P786=0,"",IF($F786="Baseline","— Baseline",IF($O786=0,"No result",IF($N786=0,"No Start (attainment only)",IF(OR($N786=1,$O786=1),"U – needs rule",INDEX(MxBody,MATCH($I786,MxCurr,0),MATCH($H786,MxStart,0)))))))</f>
        <v/>
      </c>
      <c r="L786" s="62" t="str">
        <f aca="false">IF(COUNTA($A786,$F786,$G786,$H786,$I786,$J786)=0,"",IF($M786=0,"✖ كود الصف غير موجود",IF(ISNA(MATCH($F786,Lists!$A$2:$A$5,0)),"✖ الفترة غير صحيحة",IF(ISNA(MATCH($G786,Lists!$B$2:$B$7,0)),"✖ المجموعة غير صحيحة",IF(NOT(OR($H786="",$N786&gt;0)),"✖ Start غير صحيح",IF(NOT(OR($I786="",$I786="NR",$O786&gt;0)),"✖ Current غير صحيح",IF(NOT(IF(ISNUMBER($J786),AND($J786&gt;=0,$J786=INT($J786)),FALSE())),"✖ العدد يجب أن يكون صحيحًا ≥ 0",IF(AND($F786="Baseline",$H786&lt;&gt;""),"⚠ Baseline: Start لا يدخل في التقدم",IF($K786="No Start (attainment only)","ℹ تحصيل فقط (بدون Start)",IF($K786="U – needs rule","ℹ حالة U تحتاج قاعدة معتمدة",IF($K786="No result","ℹ بدون نتيجة (يُستبعد من التحصيل)","OK")))))))))))</f>
        <v/>
      </c>
      <c r="M786" s="64" t="n">
        <f aca="false">IF($A786="",0,IFERROR(MATCH($A786,Classes!$A$6:$A$420,0),0))</f>
        <v>0</v>
      </c>
      <c r="N786" s="64" t="n">
        <f aca="false">IF($H786="",0,IFERROR(MATCH($H786,GradeList,0),0))</f>
        <v>0</v>
      </c>
      <c r="O786" s="64" t="n">
        <f aca="false">IF(OR($I786="",$I786="NR"),0,IFERROR(MATCH($I786,GradeList,0),0))</f>
        <v>0</v>
      </c>
      <c r="P786" s="64" t="n">
        <f aca="false">IF(AND($M786&gt;0,ISNUMBER(MATCH($F786,Lists!$A$2:$A$5,0)),ISNUMBER(MATCH($G786,Lists!$B$2:$B$7,0)),OR($H786="",$N786&gt;0),OR($I786="",$I786="NR",$O786&gt;0),IF(ISNUMBER($J786),AND($J786&gt;=0,$J786=INT($J786)),FALSE())),$J786,0)</f>
        <v>0</v>
      </c>
      <c r="Q786" s="64" t="n">
        <f aca="false">IF(AND($P786&gt;0,$O786&gt;0),$P786,0)</f>
        <v>0</v>
      </c>
      <c r="R786" s="64" t="n">
        <f aca="false">IF(AND($Q786&gt;0,$O786&gt;=AtRank),$Q786,0)</f>
        <v>0</v>
      </c>
      <c r="S786" s="64" t="n">
        <f aca="false">IF(AND($Q786&gt;0,$O786&gt;=AboveRank),$Q786,0)</f>
        <v>0</v>
      </c>
      <c r="T786" s="64" t="n">
        <f aca="false">IF($K786="Less",$P786,0)</f>
        <v>0</v>
      </c>
      <c r="U786" s="64" t="n">
        <f aca="false">IF($K786="Expected",$P786,0)</f>
        <v>0</v>
      </c>
      <c r="V786" s="64" t="n">
        <f aca="false">IF($K786="Better",$P786,0)</f>
        <v>0</v>
      </c>
      <c r="W786" s="64" t="n">
        <f aca="false">IF($K786="U – needs rule",$P786,0)</f>
        <v>0</v>
      </c>
      <c r="X786" s="64" t="n">
        <f aca="false">IF($K786="No Start (attainment only)",$P786,0)</f>
        <v>0</v>
      </c>
    </row>
    <row r="787" customFormat="false" ht="15" hidden="false" customHeight="false" outlineLevel="0" collapsed="false">
      <c r="A787" s="60"/>
      <c r="B787" s="61" t="str">
        <f aca="false">IF($M787=0,"",INDEX(Classes!$E$6:$E$420,$M787))</f>
        <v/>
      </c>
      <c r="C787" s="62" t="str">
        <f aca="false">IF($M787=0,"",INDEX(Classes!$H$6:$H$420,$M787))</f>
        <v/>
      </c>
      <c r="D787" s="61" t="str">
        <f aca="false">IF($M787=0,"",INDEX(Classes!$B$6:$B$420,$M787))</f>
        <v/>
      </c>
      <c r="E787" s="61" t="str">
        <f aca="false">IF($M787=0,"",INDEX(Classes!$C$6:$C$420,$M787))</f>
        <v/>
      </c>
      <c r="F787" s="63"/>
      <c r="G787" s="63"/>
      <c r="H787" s="60"/>
      <c r="I787" s="60"/>
      <c r="J787" s="63"/>
      <c r="K787" s="61" t="str">
        <f aca="false">IF($P787=0,"",IF($F787="Baseline","— Baseline",IF($O787=0,"No result",IF($N787=0,"No Start (attainment only)",IF(OR($N787=1,$O787=1),"U – needs rule",INDEX(MxBody,MATCH($I787,MxCurr,0),MATCH($H787,MxStart,0)))))))</f>
        <v/>
      </c>
      <c r="L787" s="62" t="str">
        <f aca="false">IF(COUNTA($A787,$F787,$G787,$H787,$I787,$J787)=0,"",IF($M787=0,"✖ كود الصف غير موجود",IF(ISNA(MATCH($F787,Lists!$A$2:$A$5,0)),"✖ الفترة غير صحيحة",IF(ISNA(MATCH($G787,Lists!$B$2:$B$7,0)),"✖ المجموعة غير صحيحة",IF(NOT(OR($H787="",$N787&gt;0)),"✖ Start غير صحيح",IF(NOT(OR($I787="",$I787="NR",$O787&gt;0)),"✖ Current غير صحيح",IF(NOT(IF(ISNUMBER($J787),AND($J787&gt;=0,$J787=INT($J787)),FALSE())),"✖ العدد يجب أن يكون صحيحًا ≥ 0",IF(AND($F787="Baseline",$H787&lt;&gt;""),"⚠ Baseline: Start لا يدخل في التقدم",IF($K787="No Start (attainment only)","ℹ تحصيل فقط (بدون Start)",IF($K787="U – needs rule","ℹ حالة U تحتاج قاعدة معتمدة",IF($K787="No result","ℹ بدون نتيجة (يُستبعد من التحصيل)","OK")))))))))))</f>
        <v/>
      </c>
      <c r="M787" s="64" t="n">
        <f aca="false">IF($A787="",0,IFERROR(MATCH($A787,Classes!$A$6:$A$420,0),0))</f>
        <v>0</v>
      </c>
      <c r="N787" s="64" t="n">
        <f aca="false">IF($H787="",0,IFERROR(MATCH($H787,GradeList,0),0))</f>
        <v>0</v>
      </c>
      <c r="O787" s="64" t="n">
        <f aca="false">IF(OR($I787="",$I787="NR"),0,IFERROR(MATCH($I787,GradeList,0),0))</f>
        <v>0</v>
      </c>
      <c r="P787" s="64" t="n">
        <f aca="false">IF(AND($M787&gt;0,ISNUMBER(MATCH($F787,Lists!$A$2:$A$5,0)),ISNUMBER(MATCH($G787,Lists!$B$2:$B$7,0)),OR($H787="",$N787&gt;0),OR($I787="",$I787="NR",$O787&gt;0),IF(ISNUMBER($J787),AND($J787&gt;=0,$J787=INT($J787)),FALSE())),$J787,0)</f>
        <v>0</v>
      </c>
      <c r="Q787" s="64" t="n">
        <f aca="false">IF(AND($P787&gt;0,$O787&gt;0),$P787,0)</f>
        <v>0</v>
      </c>
      <c r="R787" s="64" t="n">
        <f aca="false">IF(AND($Q787&gt;0,$O787&gt;=AtRank),$Q787,0)</f>
        <v>0</v>
      </c>
      <c r="S787" s="64" t="n">
        <f aca="false">IF(AND($Q787&gt;0,$O787&gt;=AboveRank),$Q787,0)</f>
        <v>0</v>
      </c>
      <c r="T787" s="64" t="n">
        <f aca="false">IF($K787="Less",$P787,0)</f>
        <v>0</v>
      </c>
      <c r="U787" s="64" t="n">
        <f aca="false">IF($K787="Expected",$P787,0)</f>
        <v>0</v>
      </c>
      <c r="V787" s="64" t="n">
        <f aca="false">IF($K787="Better",$P787,0)</f>
        <v>0</v>
      </c>
      <c r="W787" s="64" t="n">
        <f aca="false">IF($K787="U – needs rule",$P787,0)</f>
        <v>0</v>
      </c>
      <c r="X787" s="64" t="n">
        <f aca="false">IF($K787="No Start (attainment only)",$P787,0)</f>
        <v>0</v>
      </c>
    </row>
    <row r="788" customFormat="false" ht="15" hidden="false" customHeight="false" outlineLevel="0" collapsed="false">
      <c r="A788" s="60"/>
      <c r="B788" s="61" t="str">
        <f aca="false">IF($M788=0,"",INDEX(Classes!$E$6:$E$420,$M788))</f>
        <v/>
      </c>
      <c r="C788" s="62" t="str">
        <f aca="false">IF($M788=0,"",INDEX(Classes!$H$6:$H$420,$M788))</f>
        <v/>
      </c>
      <c r="D788" s="61" t="str">
        <f aca="false">IF($M788=0,"",INDEX(Classes!$B$6:$B$420,$M788))</f>
        <v/>
      </c>
      <c r="E788" s="61" t="str">
        <f aca="false">IF($M788=0,"",INDEX(Classes!$C$6:$C$420,$M788))</f>
        <v/>
      </c>
      <c r="F788" s="63"/>
      <c r="G788" s="63"/>
      <c r="H788" s="60"/>
      <c r="I788" s="60"/>
      <c r="J788" s="63"/>
      <c r="K788" s="61" t="str">
        <f aca="false">IF($P788=0,"",IF($F788="Baseline","— Baseline",IF($O788=0,"No result",IF($N788=0,"No Start (attainment only)",IF(OR($N788=1,$O788=1),"U – needs rule",INDEX(MxBody,MATCH($I788,MxCurr,0),MATCH($H788,MxStart,0)))))))</f>
        <v/>
      </c>
      <c r="L788" s="62" t="str">
        <f aca="false">IF(COUNTA($A788,$F788,$G788,$H788,$I788,$J788)=0,"",IF($M788=0,"✖ كود الصف غير موجود",IF(ISNA(MATCH($F788,Lists!$A$2:$A$5,0)),"✖ الفترة غير صحيحة",IF(ISNA(MATCH($G788,Lists!$B$2:$B$7,0)),"✖ المجموعة غير صحيحة",IF(NOT(OR($H788="",$N788&gt;0)),"✖ Start غير صحيح",IF(NOT(OR($I788="",$I788="NR",$O788&gt;0)),"✖ Current غير صحيح",IF(NOT(IF(ISNUMBER($J788),AND($J788&gt;=0,$J788=INT($J788)),FALSE())),"✖ العدد يجب أن يكون صحيحًا ≥ 0",IF(AND($F788="Baseline",$H788&lt;&gt;""),"⚠ Baseline: Start لا يدخل في التقدم",IF($K788="No Start (attainment only)","ℹ تحصيل فقط (بدون Start)",IF($K788="U – needs rule","ℹ حالة U تحتاج قاعدة معتمدة",IF($K788="No result","ℹ بدون نتيجة (يُستبعد من التحصيل)","OK")))))))))))</f>
        <v/>
      </c>
      <c r="M788" s="64" t="n">
        <f aca="false">IF($A788="",0,IFERROR(MATCH($A788,Classes!$A$6:$A$420,0),0))</f>
        <v>0</v>
      </c>
      <c r="N788" s="64" t="n">
        <f aca="false">IF($H788="",0,IFERROR(MATCH($H788,GradeList,0),0))</f>
        <v>0</v>
      </c>
      <c r="O788" s="64" t="n">
        <f aca="false">IF(OR($I788="",$I788="NR"),0,IFERROR(MATCH($I788,GradeList,0),0))</f>
        <v>0</v>
      </c>
      <c r="P788" s="64" t="n">
        <f aca="false">IF(AND($M788&gt;0,ISNUMBER(MATCH($F788,Lists!$A$2:$A$5,0)),ISNUMBER(MATCH($G788,Lists!$B$2:$B$7,0)),OR($H788="",$N788&gt;0),OR($I788="",$I788="NR",$O788&gt;0),IF(ISNUMBER($J788),AND($J788&gt;=0,$J788=INT($J788)),FALSE())),$J788,0)</f>
        <v>0</v>
      </c>
      <c r="Q788" s="64" t="n">
        <f aca="false">IF(AND($P788&gt;0,$O788&gt;0),$P788,0)</f>
        <v>0</v>
      </c>
      <c r="R788" s="64" t="n">
        <f aca="false">IF(AND($Q788&gt;0,$O788&gt;=AtRank),$Q788,0)</f>
        <v>0</v>
      </c>
      <c r="S788" s="64" t="n">
        <f aca="false">IF(AND($Q788&gt;0,$O788&gt;=AboveRank),$Q788,0)</f>
        <v>0</v>
      </c>
      <c r="T788" s="64" t="n">
        <f aca="false">IF($K788="Less",$P788,0)</f>
        <v>0</v>
      </c>
      <c r="U788" s="64" t="n">
        <f aca="false">IF($K788="Expected",$P788,0)</f>
        <v>0</v>
      </c>
      <c r="V788" s="64" t="n">
        <f aca="false">IF($K788="Better",$P788,0)</f>
        <v>0</v>
      </c>
      <c r="W788" s="64" t="n">
        <f aca="false">IF($K788="U – needs rule",$P788,0)</f>
        <v>0</v>
      </c>
      <c r="X788" s="64" t="n">
        <f aca="false">IF($K788="No Start (attainment only)",$P788,0)</f>
        <v>0</v>
      </c>
    </row>
    <row r="789" customFormat="false" ht="15" hidden="false" customHeight="false" outlineLevel="0" collapsed="false">
      <c r="A789" s="60"/>
      <c r="B789" s="61" t="str">
        <f aca="false">IF($M789=0,"",INDEX(Classes!$E$6:$E$420,$M789))</f>
        <v/>
      </c>
      <c r="C789" s="62" t="str">
        <f aca="false">IF($M789=0,"",INDEX(Classes!$H$6:$H$420,$M789))</f>
        <v/>
      </c>
      <c r="D789" s="61" t="str">
        <f aca="false">IF($M789=0,"",INDEX(Classes!$B$6:$B$420,$M789))</f>
        <v/>
      </c>
      <c r="E789" s="61" t="str">
        <f aca="false">IF($M789=0,"",INDEX(Classes!$C$6:$C$420,$M789))</f>
        <v/>
      </c>
      <c r="F789" s="63"/>
      <c r="G789" s="63"/>
      <c r="H789" s="60"/>
      <c r="I789" s="60"/>
      <c r="J789" s="63"/>
      <c r="K789" s="61" t="str">
        <f aca="false">IF($P789=0,"",IF($F789="Baseline","— Baseline",IF($O789=0,"No result",IF($N789=0,"No Start (attainment only)",IF(OR($N789=1,$O789=1),"U – needs rule",INDEX(MxBody,MATCH($I789,MxCurr,0),MATCH($H789,MxStart,0)))))))</f>
        <v/>
      </c>
      <c r="L789" s="62" t="str">
        <f aca="false">IF(COUNTA($A789,$F789,$G789,$H789,$I789,$J789)=0,"",IF($M789=0,"✖ كود الصف غير موجود",IF(ISNA(MATCH($F789,Lists!$A$2:$A$5,0)),"✖ الفترة غير صحيحة",IF(ISNA(MATCH($G789,Lists!$B$2:$B$7,0)),"✖ المجموعة غير صحيحة",IF(NOT(OR($H789="",$N789&gt;0)),"✖ Start غير صحيح",IF(NOT(OR($I789="",$I789="NR",$O789&gt;0)),"✖ Current غير صحيح",IF(NOT(IF(ISNUMBER($J789),AND($J789&gt;=0,$J789=INT($J789)),FALSE())),"✖ العدد يجب أن يكون صحيحًا ≥ 0",IF(AND($F789="Baseline",$H789&lt;&gt;""),"⚠ Baseline: Start لا يدخل في التقدم",IF($K789="No Start (attainment only)","ℹ تحصيل فقط (بدون Start)",IF($K789="U – needs rule","ℹ حالة U تحتاج قاعدة معتمدة",IF($K789="No result","ℹ بدون نتيجة (يُستبعد من التحصيل)","OK")))))))))))</f>
        <v/>
      </c>
      <c r="M789" s="64" t="n">
        <f aca="false">IF($A789="",0,IFERROR(MATCH($A789,Classes!$A$6:$A$420,0),0))</f>
        <v>0</v>
      </c>
      <c r="N789" s="64" t="n">
        <f aca="false">IF($H789="",0,IFERROR(MATCH($H789,GradeList,0),0))</f>
        <v>0</v>
      </c>
      <c r="O789" s="64" t="n">
        <f aca="false">IF(OR($I789="",$I789="NR"),0,IFERROR(MATCH($I789,GradeList,0),0))</f>
        <v>0</v>
      </c>
      <c r="P789" s="64" t="n">
        <f aca="false">IF(AND($M789&gt;0,ISNUMBER(MATCH($F789,Lists!$A$2:$A$5,0)),ISNUMBER(MATCH($G789,Lists!$B$2:$B$7,0)),OR($H789="",$N789&gt;0),OR($I789="",$I789="NR",$O789&gt;0),IF(ISNUMBER($J789),AND($J789&gt;=0,$J789=INT($J789)),FALSE())),$J789,0)</f>
        <v>0</v>
      </c>
      <c r="Q789" s="64" t="n">
        <f aca="false">IF(AND($P789&gt;0,$O789&gt;0),$P789,0)</f>
        <v>0</v>
      </c>
      <c r="R789" s="64" t="n">
        <f aca="false">IF(AND($Q789&gt;0,$O789&gt;=AtRank),$Q789,0)</f>
        <v>0</v>
      </c>
      <c r="S789" s="64" t="n">
        <f aca="false">IF(AND($Q789&gt;0,$O789&gt;=AboveRank),$Q789,0)</f>
        <v>0</v>
      </c>
      <c r="T789" s="64" t="n">
        <f aca="false">IF($K789="Less",$P789,0)</f>
        <v>0</v>
      </c>
      <c r="U789" s="64" t="n">
        <f aca="false">IF($K789="Expected",$P789,0)</f>
        <v>0</v>
      </c>
      <c r="V789" s="64" t="n">
        <f aca="false">IF($K789="Better",$P789,0)</f>
        <v>0</v>
      </c>
      <c r="W789" s="64" t="n">
        <f aca="false">IF($K789="U – needs rule",$P789,0)</f>
        <v>0</v>
      </c>
      <c r="X789" s="64" t="n">
        <f aca="false">IF($K789="No Start (attainment only)",$P789,0)</f>
        <v>0</v>
      </c>
    </row>
    <row r="790" customFormat="false" ht="15" hidden="false" customHeight="false" outlineLevel="0" collapsed="false">
      <c r="A790" s="60"/>
      <c r="B790" s="61" t="str">
        <f aca="false">IF($M790=0,"",INDEX(Classes!$E$6:$E$420,$M790))</f>
        <v/>
      </c>
      <c r="C790" s="62" t="str">
        <f aca="false">IF($M790=0,"",INDEX(Classes!$H$6:$H$420,$M790))</f>
        <v/>
      </c>
      <c r="D790" s="61" t="str">
        <f aca="false">IF($M790=0,"",INDEX(Classes!$B$6:$B$420,$M790))</f>
        <v/>
      </c>
      <c r="E790" s="61" t="str">
        <f aca="false">IF($M790=0,"",INDEX(Classes!$C$6:$C$420,$M790))</f>
        <v/>
      </c>
      <c r="F790" s="63"/>
      <c r="G790" s="63"/>
      <c r="H790" s="60"/>
      <c r="I790" s="60"/>
      <c r="J790" s="63"/>
      <c r="K790" s="61" t="str">
        <f aca="false">IF($P790=0,"",IF($F790="Baseline","— Baseline",IF($O790=0,"No result",IF($N790=0,"No Start (attainment only)",IF(OR($N790=1,$O790=1),"U – needs rule",INDEX(MxBody,MATCH($I790,MxCurr,0),MATCH($H790,MxStart,0)))))))</f>
        <v/>
      </c>
      <c r="L790" s="62" t="str">
        <f aca="false">IF(COUNTA($A790,$F790,$G790,$H790,$I790,$J790)=0,"",IF($M790=0,"✖ كود الصف غير موجود",IF(ISNA(MATCH($F790,Lists!$A$2:$A$5,0)),"✖ الفترة غير صحيحة",IF(ISNA(MATCH($G790,Lists!$B$2:$B$7,0)),"✖ المجموعة غير صحيحة",IF(NOT(OR($H790="",$N790&gt;0)),"✖ Start غير صحيح",IF(NOT(OR($I790="",$I790="NR",$O790&gt;0)),"✖ Current غير صحيح",IF(NOT(IF(ISNUMBER($J790),AND($J790&gt;=0,$J790=INT($J790)),FALSE())),"✖ العدد يجب أن يكون صحيحًا ≥ 0",IF(AND($F790="Baseline",$H790&lt;&gt;""),"⚠ Baseline: Start لا يدخل في التقدم",IF($K790="No Start (attainment only)","ℹ تحصيل فقط (بدون Start)",IF($K790="U – needs rule","ℹ حالة U تحتاج قاعدة معتمدة",IF($K790="No result","ℹ بدون نتيجة (يُستبعد من التحصيل)","OK")))))))))))</f>
        <v/>
      </c>
      <c r="M790" s="64" t="n">
        <f aca="false">IF($A790="",0,IFERROR(MATCH($A790,Classes!$A$6:$A$420,0),0))</f>
        <v>0</v>
      </c>
      <c r="N790" s="64" t="n">
        <f aca="false">IF($H790="",0,IFERROR(MATCH($H790,GradeList,0),0))</f>
        <v>0</v>
      </c>
      <c r="O790" s="64" t="n">
        <f aca="false">IF(OR($I790="",$I790="NR"),0,IFERROR(MATCH($I790,GradeList,0),0))</f>
        <v>0</v>
      </c>
      <c r="P790" s="64" t="n">
        <f aca="false">IF(AND($M790&gt;0,ISNUMBER(MATCH($F790,Lists!$A$2:$A$5,0)),ISNUMBER(MATCH($G790,Lists!$B$2:$B$7,0)),OR($H790="",$N790&gt;0),OR($I790="",$I790="NR",$O790&gt;0),IF(ISNUMBER($J790),AND($J790&gt;=0,$J790=INT($J790)),FALSE())),$J790,0)</f>
        <v>0</v>
      </c>
      <c r="Q790" s="64" t="n">
        <f aca="false">IF(AND($P790&gt;0,$O790&gt;0),$P790,0)</f>
        <v>0</v>
      </c>
      <c r="R790" s="64" t="n">
        <f aca="false">IF(AND($Q790&gt;0,$O790&gt;=AtRank),$Q790,0)</f>
        <v>0</v>
      </c>
      <c r="S790" s="64" t="n">
        <f aca="false">IF(AND($Q790&gt;0,$O790&gt;=AboveRank),$Q790,0)</f>
        <v>0</v>
      </c>
      <c r="T790" s="64" t="n">
        <f aca="false">IF($K790="Less",$P790,0)</f>
        <v>0</v>
      </c>
      <c r="U790" s="64" t="n">
        <f aca="false">IF($K790="Expected",$P790,0)</f>
        <v>0</v>
      </c>
      <c r="V790" s="64" t="n">
        <f aca="false">IF($K790="Better",$P790,0)</f>
        <v>0</v>
      </c>
      <c r="W790" s="64" t="n">
        <f aca="false">IF($K790="U – needs rule",$P790,0)</f>
        <v>0</v>
      </c>
      <c r="X790" s="64" t="n">
        <f aca="false">IF($K790="No Start (attainment only)",$P790,0)</f>
        <v>0</v>
      </c>
    </row>
    <row r="791" customFormat="false" ht="15" hidden="false" customHeight="false" outlineLevel="0" collapsed="false">
      <c r="A791" s="60"/>
      <c r="B791" s="61" t="str">
        <f aca="false">IF($M791=0,"",INDEX(Classes!$E$6:$E$420,$M791))</f>
        <v/>
      </c>
      <c r="C791" s="62" t="str">
        <f aca="false">IF($M791=0,"",INDEX(Classes!$H$6:$H$420,$M791))</f>
        <v/>
      </c>
      <c r="D791" s="61" t="str">
        <f aca="false">IF($M791=0,"",INDEX(Classes!$B$6:$B$420,$M791))</f>
        <v/>
      </c>
      <c r="E791" s="61" t="str">
        <f aca="false">IF($M791=0,"",INDEX(Classes!$C$6:$C$420,$M791))</f>
        <v/>
      </c>
      <c r="F791" s="63"/>
      <c r="G791" s="63"/>
      <c r="H791" s="60"/>
      <c r="I791" s="60"/>
      <c r="J791" s="63"/>
      <c r="K791" s="61" t="str">
        <f aca="false">IF($P791=0,"",IF($F791="Baseline","— Baseline",IF($O791=0,"No result",IF($N791=0,"No Start (attainment only)",IF(OR($N791=1,$O791=1),"U – needs rule",INDEX(MxBody,MATCH($I791,MxCurr,0),MATCH($H791,MxStart,0)))))))</f>
        <v/>
      </c>
      <c r="L791" s="62" t="str">
        <f aca="false">IF(COUNTA($A791,$F791,$G791,$H791,$I791,$J791)=0,"",IF($M791=0,"✖ كود الصف غير موجود",IF(ISNA(MATCH($F791,Lists!$A$2:$A$5,0)),"✖ الفترة غير صحيحة",IF(ISNA(MATCH($G791,Lists!$B$2:$B$7,0)),"✖ المجموعة غير صحيحة",IF(NOT(OR($H791="",$N791&gt;0)),"✖ Start غير صحيح",IF(NOT(OR($I791="",$I791="NR",$O791&gt;0)),"✖ Current غير صحيح",IF(NOT(IF(ISNUMBER($J791),AND($J791&gt;=0,$J791=INT($J791)),FALSE())),"✖ العدد يجب أن يكون صحيحًا ≥ 0",IF(AND($F791="Baseline",$H791&lt;&gt;""),"⚠ Baseline: Start لا يدخل في التقدم",IF($K791="No Start (attainment only)","ℹ تحصيل فقط (بدون Start)",IF($K791="U – needs rule","ℹ حالة U تحتاج قاعدة معتمدة",IF($K791="No result","ℹ بدون نتيجة (يُستبعد من التحصيل)","OK")))))))))))</f>
        <v/>
      </c>
      <c r="M791" s="64" t="n">
        <f aca="false">IF($A791="",0,IFERROR(MATCH($A791,Classes!$A$6:$A$420,0),0))</f>
        <v>0</v>
      </c>
      <c r="N791" s="64" t="n">
        <f aca="false">IF($H791="",0,IFERROR(MATCH($H791,GradeList,0),0))</f>
        <v>0</v>
      </c>
      <c r="O791" s="64" t="n">
        <f aca="false">IF(OR($I791="",$I791="NR"),0,IFERROR(MATCH($I791,GradeList,0),0))</f>
        <v>0</v>
      </c>
      <c r="P791" s="64" t="n">
        <f aca="false">IF(AND($M791&gt;0,ISNUMBER(MATCH($F791,Lists!$A$2:$A$5,0)),ISNUMBER(MATCH($G791,Lists!$B$2:$B$7,0)),OR($H791="",$N791&gt;0),OR($I791="",$I791="NR",$O791&gt;0),IF(ISNUMBER($J791),AND($J791&gt;=0,$J791=INT($J791)),FALSE())),$J791,0)</f>
        <v>0</v>
      </c>
      <c r="Q791" s="64" t="n">
        <f aca="false">IF(AND($P791&gt;0,$O791&gt;0),$P791,0)</f>
        <v>0</v>
      </c>
      <c r="R791" s="64" t="n">
        <f aca="false">IF(AND($Q791&gt;0,$O791&gt;=AtRank),$Q791,0)</f>
        <v>0</v>
      </c>
      <c r="S791" s="64" t="n">
        <f aca="false">IF(AND($Q791&gt;0,$O791&gt;=AboveRank),$Q791,0)</f>
        <v>0</v>
      </c>
      <c r="T791" s="64" t="n">
        <f aca="false">IF($K791="Less",$P791,0)</f>
        <v>0</v>
      </c>
      <c r="U791" s="64" t="n">
        <f aca="false">IF($K791="Expected",$P791,0)</f>
        <v>0</v>
      </c>
      <c r="V791" s="64" t="n">
        <f aca="false">IF($K791="Better",$P791,0)</f>
        <v>0</v>
      </c>
      <c r="W791" s="64" t="n">
        <f aca="false">IF($K791="U – needs rule",$P791,0)</f>
        <v>0</v>
      </c>
      <c r="X791" s="64" t="n">
        <f aca="false">IF($K791="No Start (attainment only)",$P791,0)</f>
        <v>0</v>
      </c>
    </row>
    <row r="792" customFormat="false" ht="15" hidden="false" customHeight="false" outlineLevel="0" collapsed="false">
      <c r="A792" s="60"/>
      <c r="B792" s="61" t="str">
        <f aca="false">IF($M792=0,"",INDEX(Classes!$E$6:$E$420,$M792))</f>
        <v/>
      </c>
      <c r="C792" s="62" t="str">
        <f aca="false">IF($M792=0,"",INDEX(Classes!$H$6:$H$420,$M792))</f>
        <v/>
      </c>
      <c r="D792" s="61" t="str">
        <f aca="false">IF($M792=0,"",INDEX(Classes!$B$6:$B$420,$M792))</f>
        <v/>
      </c>
      <c r="E792" s="61" t="str">
        <f aca="false">IF($M792=0,"",INDEX(Classes!$C$6:$C$420,$M792))</f>
        <v/>
      </c>
      <c r="F792" s="63"/>
      <c r="G792" s="63"/>
      <c r="H792" s="60"/>
      <c r="I792" s="60"/>
      <c r="J792" s="63"/>
      <c r="K792" s="61" t="str">
        <f aca="false">IF($P792=0,"",IF($F792="Baseline","— Baseline",IF($O792=0,"No result",IF($N792=0,"No Start (attainment only)",IF(OR($N792=1,$O792=1),"U – needs rule",INDEX(MxBody,MATCH($I792,MxCurr,0),MATCH($H792,MxStart,0)))))))</f>
        <v/>
      </c>
      <c r="L792" s="62" t="str">
        <f aca="false">IF(COUNTA($A792,$F792,$G792,$H792,$I792,$J792)=0,"",IF($M792=0,"✖ كود الصف غير موجود",IF(ISNA(MATCH($F792,Lists!$A$2:$A$5,0)),"✖ الفترة غير صحيحة",IF(ISNA(MATCH($G792,Lists!$B$2:$B$7,0)),"✖ المجموعة غير صحيحة",IF(NOT(OR($H792="",$N792&gt;0)),"✖ Start غير صحيح",IF(NOT(OR($I792="",$I792="NR",$O792&gt;0)),"✖ Current غير صحيح",IF(NOT(IF(ISNUMBER($J792),AND($J792&gt;=0,$J792=INT($J792)),FALSE())),"✖ العدد يجب أن يكون صحيحًا ≥ 0",IF(AND($F792="Baseline",$H792&lt;&gt;""),"⚠ Baseline: Start لا يدخل في التقدم",IF($K792="No Start (attainment only)","ℹ تحصيل فقط (بدون Start)",IF($K792="U – needs rule","ℹ حالة U تحتاج قاعدة معتمدة",IF($K792="No result","ℹ بدون نتيجة (يُستبعد من التحصيل)","OK")))))))))))</f>
        <v/>
      </c>
      <c r="M792" s="64" t="n">
        <f aca="false">IF($A792="",0,IFERROR(MATCH($A792,Classes!$A$6:$A$420,0),0))</f>
        <v>0</v>
      </c>
      <c r="N792" s="64" t="n">
        <f aca="false">IF($H792="",0,IFERROR(MATCH($H792,GradeList,0),0))</f>
        <v>0</v>
      </c>
      <c r="O792" s="64" t="n">
        <f aca="false">IF(OR($I792="",$I792="NR"),0,IFERROR(MATCH($I792,GradeList,0),0))</f>
        <v>0</v>
      </c>
      <c r="P792" s="64" t="n">
        <f aca="false">IF(AND($M792&gt;0,ISNUMBER(MATCH($F792,Lists!$A$2:$A$5,0)),ISNUMBER(MATCH($G792,Lists!$B$2:$B$7,0)),OR($H792="",$N792&gt;0),OR($I792="",$I792="NR",$O792&gt;0),IF(ISNUMBER($J792),AND($J792&gt;=0,$J792=INT($J792)),FALSE())),$J792,0)</f>
        <v>0</v>
      </c>
      <c r="Q792" s="64" t="n">
        <f aca="false">IF(AND($P792&gt;0,$O792&gt;0),$P792,0)</f>
        <v>0</v>
      </c>
      <c r="R792" s="64" t="n">
        <f aca="false">IF(AND($Q792&gt;0,$O792&gt;=AtRank),$Q792,0)</f>
        <v>0</v>
      </c>
      <c r="S792" s="64" t="n">
        <f aca="false">IF(AND($Q792&gt;0,$O792&gt;=AboveRank),$Q792,0)</f>
        <v>0</v>
      </c>
      <c r="T792" s="64" t="n">
        <f aca="false">IF($K792="Less",$P792,0)</f>
        <v>0</v>
      </c>
      <c r="U792" s="64" t="n">
        <f aca="false">IF($K792="Expected",$P792,0)</f>
        <v>0</v>
      </c>
      <c r="V792" s="64" t="n">
        <f aca="false">IF($K792="Better",$P792,0)</f>
        <v>0</v>
      </c>
      <c r="W792" s="64" t="n">
        <f aca="false">IF($K792="U – needs rule",$P792,0)</f>
        <v>0</v>
      </c>
      <c r="X792" s="64" t="n">
        <f aca="false">IF($K792="No Start (attainment only)",$P792,0)</f>
        <v>0</v>
      </c>
    </row>
    <row r="793" customFormat="false" ht="15" hidden="false" customHeight="false" outlineLevel="0" collapsed="false">
      <c r="A793" s="60"/>
      <c r="B793" s="61" t="str">
        <f aca="false">IF($M793=0,"",INDEX(Classes!$E$6:$E$420,$M793))</f>
        <v/>
      </c>
      <c r="C793" s="62" t="str">
        <f aca="false">IF($M793=0,"",INDEX(Classes!$H$6:$H$420,$M793))</f>
        <v/>
      </c>
      <c r="D793" s="61" t="str">
        <f aca="false">IF($M793=0,"",INDEX(Classes!$B$6:$B$420,$M793))</f>
        <v/>
      </c>
      <c r="E793" s="61" t="str">
        <f aca="false">IF($M793=0,"",INDEX(Classes!$C$6:$C$420,$M793))</f>
        <v/>
      </c>
      <c r="F793" s="63"/>
      <c r="G793" s="63"/>
      <c r="H793" s="60"/>
      <c r="I793" s="60"/>
      <c r="J793" s="63"/>
      <c r="K793" s="61" t="str">
        <f aca="false">IF($P793=0,"",IF($F793="Baseline","— Baseline",IF($O793=0,"No result",IF($N793=0,"No Start (attainment only)",IF(OR($N793=1,$O793=1),"U – needs rule",INDEX(MxBody,MATCH($I793,MxCurr,0),MATCH($H793,MxStart,0)))))))</f>
        <v/>
      </c>
      <c r="L793" s="62" t="str">
        <f aca="false">IF(COUNTA($A793,$F793,$G793,$H793,$I793,$J793)=0,"",IF($M793=0,"✖ كود الصف غير موجود",IF(ISNA(MATCH($F793,Lists!$A$2:$A$5,0)),"✖ الفترة غير صحيحة",IF(ISNA(MATCH($G793,Lists!$B$2:$B$7,0)),"✖ المجموعة غير صحيحة",IF(NOT(OR($H793="",$N793&gt;0)),"✖ Start غير صحيح",IF(NOT(OR($I793="",$I793="NR",$O793&gt;0)),"✖ Current غير صحيح",IF(NOT(IF(ISNUMBER($J793),AND($J793&gt;=0,$J793=INT($J793)),FALSE())),"✖ العدد يجب أن يكون صحيحًا ≥ 0",IF(AND($F793="Baseline",$H793&lt;&gt;""),"⚠ Baseline: Start لا يدخل في التقدم",IF($K793="No Start (attainment only)","ℹ تحصيل فقط (بدون Start)",IF($K793="U – needs rule","ℹ حالة U تحتاج قاعدة معتمدة",IF($K793="No result","ℹ بدون نتيجة (يُستبعد من التحصيل)","OK")))))))))))</f>
        <v/>
      </c>
      <c r="M793" s="64" t="n">
        <f aca="false">IF($A793="",0,IFERROR(MATCH($A793,Classes!$A$6:$A$420,0),0))</f>
        <v>0</v>
      </c>
      <c r="N793" s="64" t="n">
        <f aca="false">IF($H793="",0,IFERROR(MATCH($H793,GradeList,0),0))</f>
        <v>0</v>
      </c>
      <c r="O793" s="64" t="n">
        <f aca="false">IF(OR($I793="",$I793="NR"),0,IFERROR(MATCH($I793,GradeList,0),0))</f>
        <v>0</v>
      </c>
      <c r="P793" s="64" t="n">
        <f aca="false">IF(AND($M793&gt;0,ISNUMBER(MATCH($F793,Lists!$A$2:$A$5,0)),ISNUMBER(MATCH($G793,Lists!$B$2:$B$7,0)),OR($H793="",$N793&gt;0),OR($I793="",$I793="NR",$O793&gt;0),IF(ISNUMBER($J793),AND($J793&gt;=0,$J793=INT($J793)),FALSE())),$J793,0)</f>
        <v>0</v>
      </c>
      <c r="Q793" s="64" t="n">
        <f aca="false">IF(AND($P793&gt;0,$O793&gt;0),$P793,0)</f>
        <v>0</v>
      </c>
      <c r="R793" s="64" t="n">
        <f aca="false">IF(AND($Q793&gt;0,$O793&gt;=AtRank),$Q793,0)</f>
        <v>0</v>
      </c>
      <c r="S793" s="64" t="n">
        <f aca="false">IF(AND($Q793&gt;0,$O793&gt;=AboveRank),$Q793,0)</f>
        <v>0</v>
      </c>
      <c r="T793" s="64" t="n">
        <f aca="false">IF($K793="Less",$P793,0)</f>
        <v>0</v>
      </c>
      <c r="U793" s="64" t="n">
        <f aca="false">IF($K793="Expected",$P793,0)</f>
        <v>0</v>
      </c>
      <c r="V793" s="64" t="n">
        <f aca="false">IF($K793="Better",$P793,0)</f>
        <v>0</v>
      </c>
      <c r="W793" s="64" t="n">
        <f aca="false">IF($K793="U – needs rule",$P793,0)</f>
        <v>0</v>
      </c>
      <c r="X793" s="64" t="n">
        <f aca="false">IF($K793="No Start (attainment only)",$P793,0)</f>
        <v>0</v>
      </c>
    </row>
    <row r="794" customFormat="false" ht="15" hidden="false" customHeight="false" outlineLevel="0" collapsed="false">
      <c r="A794" s="60"/>
      <c r="B794" s="61" t="str">
        <f aca="false">IF($M794=0,"",INDEX(Classes!$E$6:$E$420,$M794))</f>
        <v/>
      </c>
      <c r="C794" s="62" t="str">
        <f aca="false">IF($M794=0,"",INDEX(Classes!$H$6:$H$420,$M794))</f>
        <v/>
      </c>
      <c r="D794" s="61" t="str">
        <f aca="false">IF($M794=0,"",INDEX(Classes!$B$6:$B$420,$M794))</f>
        <v/>
      </c>
      <c r="E794" s="61" t="str">
        <f aca="false">IF($M794=0,"",INDEX(Classes!$C$6:$C$420,$M794))</f>
        <v/>
      </c>
      <c r="F794" s="63"/>
      <c r="G794" s="63"/>
      <c r="H794" s="60"/>
      <c r="I794" s="60"/>
      <c r="J794" s="63"/>
      <c r="K794" s="61" t="str">
        <f aca="false">IF($P794=0,"",IF($F794="Baseline","— Baseline",IF($O794=0,"No result",IF($N794=0,"No Start (attainment only)",IF(OR($N794=1,$O794=1),"U – needs rule",INDEX(MxBody,MATCH($I794,MxCurr,0),MATCH($H794,MxStart,0)))))))</f>
        <v/>
      </c>
      <c r="L794" s="62" t="str">
        <f aca="false">IF(COUNTA($A794,$F794,$G794,$H794,$I794,$J794)=0,"",IF($M794=0,"✖ كود الصف غير موجود",IF(ISNA(MATCH($F794,Lists!$A$2:$A$5,0)),"✖ الفترة غير صحيحة",IF(ISNA(MATCH($G794,Lists!$B$2:$B$7,0)),"✖ المجموعة غير صحيحة",IF(NOT(OR($H794="",$N794&gt;0)),"✖ Start غير صحيح",IF(NOT(OR($I794="",$I794="NR",$O794&gt;0)),"✖ Current غير صحيح",IF(NOT(IF(ISNUMBER($J794),AND($J794&gt;=0,$J794=INT($J794)),FALSE())),"✖ العدد يجب أن يكون صحيحًا ≥ 0",IF(AND($F794="Baseline",$H794&lt;&gt;""),"⚠ Baseline: Start لا يدخل في التقدم",IF($K794="No Start (attainment only)","ℹ تحصيل فقط (بدون Start)",IF($K794="U – needs rule","ℹ حالة U تحتاج قاعدة معتمدة",IF($K794="No result","ℹ بدون نتيجة (يُستبعد من التحصيل)","OK")))))))))))</f>
        <v/>
      </c>
      <c r="M794" s="64" t="n">
        <f aca="false">IF($A794="",0,IFERROR(MATCH($A794,Classes!$A$6:$A$420,0),0))</f>
        <v>0</v>
      </c>
      <c r="N794" s="64" t="n">
        <f aca="false">IF($H794="",0,IFERROR(MATCH($H794,GradeList,0),0))</f>
        <v>0</v>
      </c>
      <c r="O794" s="64" t="n">
        <f aca="false">IF(OR($I794="",$I794="NR"),0,IFERROR(MATCH($I794,GradeList,0),0))</f>
        <v>0</v>
      </c>
      <c r="P794" s="64" t="n">
        <f aca="false">IF(AND($M794&gt;0,ISNUMBER(MATCH($F794,Lists!$A$2:$A$5,0)),ISNUMBER(MATCH($G794,Lists!$B$2:$B$7,0)),OR($H794="",$N794&gt;0),OR($I794="",$I794="NR",$O794&gt;0),IF(ISNUMBER($J794),AND($J794&gt;=0,$J794=INT($J794)),FALSE())),$J794,0)</f>
        <v>0</v>
      </c>
      <c r="Q794" s="64" t="n">
        <f aca="false">IF(AND($P794&gt;0,$O794&gt;0),$P794,0)</f>
        <v>0</v>
      </c>
      <c r="R794" s="64" t="n">
        <f aca="false">IF(AND($Q794&gt;0,$O794&gt;=AtRank),$Q794,0)</f>
        <v>0</v>
      </c>
      <c r="S794" s="64" t="n">
        <f aca="false">IF(AND($Q794&gt;0,$O794&gt;=AboveRank),$Q794,0)</f>
        <v>0</v>
      </c>
      <c r="T794" s="64" t="n">
        <f aca="false">IF($K794="Less",$P794,0)</f>
        <v>0</v>
      </c>
      <c r="U794" s="64" t="n">
        <f aca="false">IF($K794="Expected",$P794,0)</f>
        <v>0</v>
      </c>
      <c r="V794" s="64" t="n">
        <f aca="false">IF($K794="Better",$P794,0)</f>
        <v>0</v>
      </c>
      <c r="W794" s="64" t="n">
        <f aca="false">IF($K794="U – needs rule",$P794,0)</f>
        <v>0</v>
      </c>
      <c r="X794" s="64" t="n">
        <f aca="false">IF($K794="No Start (attainment only)",$P794,0)</f>
        <v>0</v>
      </c>
    </row>
    <row r="795" customFormat="false" ht="15" hidden="false" customHeight="false" outlineLevel="0" collapsed="false">
      <c r="A795" s="60"/>
      <c r="B795" s="61" t="str">
        <f aca="false">IF($M795=0,"",INDEX(Classes!$E$6:$E$420,$M795))</f>
        <v/>
      </c>
      <c r="C795" s="62" t="str">
        <f aca="false">IF($M795=0,"",INDEX(Classes!$H$6:$H$420,$M795))</f>
        <v/>
      </c>
      <c r="D795" s="61" t="str">
        <f aca="false">IF($M795=0,"",INDEX(Classes!$B$6:$B$420,$M795))</f>
        <v/>
      </c>
      <c r="E795" s="61" t="str">
        <f aca="false">IF($M795=0,"",INDEX(Classes!$C$6:$C$420,$M795))</f>
        <v/>
      </c>
      <c r="F795" s="63"/>
      <c r="G795" s="63"/>
      <c r="H795" s="60"/>
      <c r="I795" s="60"/>
      <c r="J795" s="63"/>
      <c r="K795" s="61" t="str">
        <f aca="false">IF($P795=0,"",IF($F795="Baseline","— Baseline",IF($O795=0,"No result",IF($N795=0,"No Start (attainment only)",IF(OR($N795=1,$O795=1),"U – needs rule",INDEX(MxBody,MATCH($I795,MxCurr,0),MATCH($H795,MxStart,0)))))))</f>
        <v/>
      </c>
      <c r="L795" s="62" t="str">
        <f aca="false">IF(COUNTA($A795,$F795,$G795,$H795,$I795,$J795)=0,"",IF($M795=0,"✖ كود الصف غير موجود",IF(ISNA(MATCH($F795,Lists!$A$2:$A$5,0)),"✖ الفترة غير صحيحة",IF(ISNA(MATCH($G795,Lists!$B$2:$B$7,0)),"✖ المجموعة غير صحيحة",IF(NOT(OR($H795="",$N795&gt;0)),"✖ Start غير صحيح",IF(NOT(OR($I795="",$I795="NR",$O795&gt;0)),"✖ Current غير صحيح",IF(NOT(IF(ISNUMBER($J795),AND($J795&gt;=0,$J795=INT($J795)),FALSE())),"✖ العدد يجب أن يكون صحيحًا ≥ 0",IF(AND($F795="Baseline",$H795&lt;&gt;""),"⚠ Baseline: Start لا يدخل في التقدم",IF($K795="No Start (attainment only)","ℹ تحصيل فقط (بدون Start)",IF($K795="U – needs rule","ℹ حالة U تحتاج قاعدة معتمدة",IF($K795="No result","ℹ بدون نتيجة (يُستبعد من التحصيل)","OK")))))))))))</f>
        <v/>
      </c>
      <c r="M795" s="64" t="n">
        <f aca="false">IF($A795="",0,IFERROR(MATCH($A795,Classes!$A$6:$A$420,0),0))</f>
        <v>0</v>
      </c>
      <c r="N795" s="64" t="n">
        <f aca="false">IF($H795="",0,IFERROR(MATCH($H795,GradeList,0),0))</f>
        <v>0</v>
      </c>
      <c r="O795" s="64" t="n">
        <f aca="false">IF(OR($I795="",$I795="NR"),0,IFERROR(MATCH($I795,GradeList,0),0))</f>
        <v>0</v>
      </c>
      <c r="P795" s="64" t="n">
        <f aca="false">IF(AND($M795&gt;0,ISNUMBER(MATCH($F795,Lists!$A$2:$A$5,0)),ISNUMBER(MATCH($G795,Lists!$B$2:$B$7,0)),OR($H795="",$N795&gt;0),OR($I795="",$I795="NR",$O795&gt;0),IF(ISNUMBER($J795),AND($J795&gt;=0,$J795=INT($J795)),FALSE())),$J795,0)</f>
        <v>0</v>
      </c>
      <c r="Q795" s="64" t="n">
        <f aca="false">IF(AND($P795&gt;0,$O795&gt;0),$P795,0)</f>
        <v>0</v>
      </c>
      <c r="R795" s="64" t="n">
        <f aca="false">IF(AND($Q795&gt;0,$O795&gt;=AtRank),$Q795,0)</f>
        <v>0</v>
      </c>
      <c r="S795" s="64" t="n">
        <f aca="false">IF(AND($Q795&gt;0,$O795&gt;=AboveRank),$Q795,0)</f>
        <v>0</v>
      </c>
      <c r="T795" s="64" t="n">
        <f aca="false">IF($K795="Less",$P795,0)</f>
        <v>0</v>
      </c>
      <c r="U795" s="64" t="n">
        <f aca="false">IF($K795="Expected",$P795,0)</f>
        <v>0</v>
      </c>
      <c r="V795" s="64" t="n">
        <f aca="false">IF($K795="Better",$P795,0)</f>
        <v>0</v>
      </c>
      <c r="W795" s="64" t="n">
        <f aca="false">IF($K795="U – needs rule",$P795,0)</f>
        <v>0</v>
      </c>
      <c r="X795" s="64" t="n">
        <f aca="false">IF($K795="No Start (attainment only)",$P795,0)</f>
        <v>0</v>
      </c>
    </row>
    <row r="796" customFormat="false" ht="15" hidden="false" customHeight="false" outlineLevel="0" collapsed="false">
      <c r="A796" s="60"/>
      <c r="B796" s="61" t="str">
        <f aca="false">IF($M796=0,"",INDEX(Classes!$E$6:$E$420,$M796))</f>
        <v/>
      </c>
      <c r="C796" s="62" t="str">
        <f aca="false">IF($M796=0,"",INDEX(Classes!$H$6:$H$420,$M796))</f>
        <v/>
      </c>
      <c r="D796" s="61" t="str">
        <f aca="false">IF($M796=0,"",INDEX(Classes!$B$6:$B$420,$M796))</f>
        <v/>
      </c>
      <c r="E796" s="61" t="str">
        <f aca="false">IF($M796=0,"",INDEX(Classes!$C$6:$C$420,$M796))</f>
        <v/>
      </c>
      <c r="F796" s="63"/>
      <c r="G796" s="63"/>
      <c r="H796" s="60"/>
      <c r="I796" s="60"/>
      <c r="J796" s="63"/>
      <c r="K796" s="61" t="str">
        <f aca="false">IF($P796=0,"",IF($F796="Baseline","— Baseline",IF($O796=0,"No result",IF($N796=0,"No Start (attainment only)",IF(OR($N796=1,$O796=1),"U – needs rule",INDEX(MxBody,MATCH($I796,MxCurr,0),MATCH($H796,MxStart,0)))))))</f>
        <v/>
      </c>
      <c r="L796" s="62" t="str">
        <f aca="false">IF(COUNTA($A796,$F796,$G796,$H796,$I796,$J796)=0,"",IF($M796=0,"✖ كود الصف غير موجود",IF(ISNA(MATCH($F796,Lists!$A$2:$A$5,0)),"✖ الفترة غير صحيحة",IF(ISNA(MATCH($G796,Lists!$B$2:$B$7,0)),"✖ المجموعة غير صحيحة",IF(NOT(OR($H796="",$N796&gt;0)),"✖ Start غير صحيح",IF(NOT(OR($I796="",$I796="NR",$O796&gt;0)),"✖ Current غير صحيح",IF(NOT(IF(ISNUMBER($J796),AND($J796&gt;=0,$J796=INT($J796)),FALSE())),"✖ العدد يجب أن يكون صحيحًا ≥ 0",IF(AND($F796="Baseline",$H796&lt;&gt;""),"⚠ Baseline: Start لا يدخل في التقدم",IF($K796="No Start (attainment only)","ℹ تحصيل فقط (بدون Start)",IF($K796="U – needs rule","ℹ حالة U تحتاج قاعدة معتمدة",IF($K796="No result","ℹ بدون نتيجة (يُستبعد من التحصيل)","OK")))))))))))</f>
        <v/>
      </c>
      <c r="M796" s="64" t="n">
        <f aca="false">IF($A796="",0,IFERROR(MATCH($A796,Classes!$A$6:$A$420,0),0))</f>
        <v>0</v>
      </c>
      <c r="N796" s="64" t="n">
        <f aca="false">IF($H796="",0,IFERROR(MATCH($H796,GradeList,0),0))</f>
        <v>0</v>
      </c>
      <c r="O796" s="64" t="n">
        <f aca="false">IF(OR($I796="",$I796="NR"),0,IFERROR(MATCH($I796,GradeList,0),0))</f>
        <v>0</v>
      </c>
      <c r="P796" s="64" t="n">
        <f aca="false">IF(AND($M796&gt;0,ISNUMBER(MATCH($F796,Lists!$A$2:$A$5,0)),ISNUMBER(MATCH($G796,Lists!$B$2:$B$7,0)),OR($H796="",$N796&gt;0),OR($I796="",$I796="NR",$O796&gt;0),IF(ISNUMBER($J796),AND($J796&gt;=0,$J796=INT($J796)),FALSE())),$J796,0)</f>
        <v>0</v>
      </c>
      <c r="Q796" s="64" t="n">
        <f aca="false">IF(AND($P796&gt;0,$O796&gt;0),$P796,0)</f>
        <v>0</v>
      </c>
      <c r="R796" s="64" t="n">
        <f aca="false">IF(AND($Q796&gt;0,$O796&gt;=AtRank),$Q796,0)</f>
        <v>0</v>
      </c>
      <c r="S796" s="64" t="n">
        <f aca="false">IF(AND($Q796&gt;0,$O796&gt;=AboveRank),$Q796,0)</f>
        <v>0</v>
      </c>
      <c r="T796" s="64" t="n">
        <f aca="false">IF($K796="Less",$P796,0)</f>
        <v>0</v>
      </c>
      <c r="U796" s="64" t="n">
        <f aca="false">IF($K796="Expected",$P796,0)</f>
        <v>0</v>
      </c>
      <c r="V796" s="64" t="n">
        <f aca="false">IF($K796="Better",$P796,0)</f>
        <v>0</v>
      </c>
      <c r="W796" s="64" t="n">
        <f aca="false">IF($K796="U – needs rule",$P796,0)</f>
        <v>0</v>
      </c>
      <c r="X796" s="64" t="n">
        <f aca="false">IF($K796="No Start (attainment only)",$P796,0)</f>
        <v>0</v>
      </c>
    </row>
    <row r="797" customFormat="false" ht="15" hidden="false" customHeight="false" outlineLevel="0" collapsed="false">
      <c r="A797" s="60"/>
      <c r="B797" s="61" t="str">
        <f aca="false">IF($M797=0,"",INDEX(Classes!$E$6:$E$420,$M797))</f>
        <v/>
      </c>
      <c r="C797" s="62" t="str">
        <f aca="false">IF($M797=0,"",INDEX(Classes!$H$6:$H$420,$M797))</f>
        <v/>
      </c>
      <c r="D797" s="61" t="str">
        <f aca="false">IF($M797=0,"",INDEX(Classes!$B$6:$B$420,$M797))</f>
        <v/>
      </c>
      <c r="E797" s="61" t="str">
        <f aca="false">IF($M797=0,"",INDEX(Classes!$C$6:$C$420,$M797))</f>
        <v/>
      </c>
      <c r="F797" s="63"/>
      <c r="G797" s="63"/>
      <c r="H797" s="60"/>
      <c r="I797" s="60"/>
      <c r="J797" s="63"/>
      <c r="K797" s="61" t="str">
        <f aca="false">IF($P797=0,"",IF($F797="Baseline","— Baseline",IF($O797=0,"No result",IF($N797=0,"No Start (attainment only)",IF(OR($N797=1,$O797=1),"U – needs rule",INDEX(MxBody,MATCH($I797,MxCurr,0),MATCH($H797,MxStart,0)))))))</f>
        <v/>
      </c>
      <c r="L797" s="62" t="str">
        <f aca="false">IF(COUNTA($A797,$F797,$G797,$H797,$I797,$J797)=0,"",IF($M797=0,"✖ كود الصف غير موجود",IF(ISNA(MATCH($F797,Lists!$A$2:$A$5,0)),"✖ الفترة غير صحيحة",IF(ISNA(MATCH($G797,Lists!$B$2:$B$7,0)),"✖ المجموعة غير صحيحة",IF(NOT(OR($H797="",$N797&gt;0)),"✖ Start غير صحيح",IF(NOT(OR($I797="",$I797="NR",$O797&gt;0)),"✖ Current غير صحيح",IF(NOT(IF(ISNUMBER($J797),AND($J797&gt;=0,$J797=INT($J797)),FALSE())),"✖ العدد يجب أن يكون صحيحًا ≥ 0",IF(AND($F797="Baseline",$H797&lt;&gt;""),"⚠ Baseline: Start لا يدخل في التقدم",IF($K797="No Start (attainment only)","ℹ تحصيل فقط (بدون Start)",IF($K797="U – needs rule","ℹ حالة U تحتاج قاعدة معتمدة",IF($K797="No result","ℹ بدون نتيجة (يُستبعد من التحصيل)","OK")))))))))))</f>
        <v/>
      </c>
      <c r="M797" s="64" t="n">
        <f aca="false">IF($A797="",0,IFERROR(MATCH($A797,Classes!$A$6:$A$420,0),0))</f>
        <v>0</v>
      </c>
      <c r="N797" s="64" t="n">
        <f aca="false">IF($H797="",0,IFERROR(MATCH($H797,GradeList,0),0))</f>
        <v>0</v>
      </c>
      <c r="O797" s="64" t="n">
        <f aca="false">IF(OR($I797="",$I797="NR"),0,IFERROR(MATCH($I797,GradeList,0),0))</f>
        <v>0</v>
      </c>
      <c r="P797" s="64" t="n">
        <f aca="false">IF(AND($M797&gt;0,ISNUMBER(MATCH($F797,Lists!$A$2:$A$5,0)),ISNUMBER(MATCH($G797,Lists!$B$2:$B$7,0)),OR($H797="",$N797&gt;0),OR($I797="",$I797="NR",$O797&gt;0),IF(ISNUMBER($J797),AND($J797&gt;=0,$J797=INT($J797)),FALSE())),$J797,0)</f>
        <v>0</v>
      </c>
      <c r="Q797" s="64" t="n">
        <f aca="false">IF(AND($P797&gt;0,$O797&gt;0),$P797,0)</f>
        <v>0</v>
      </c>
      <c r="R797" s="64" t="n">
        <f aca="false">IF(AND($Q797&gt;0,$O797&gt;=AtRank),$Q797,0)</f>
        <v>0</v>
      </c>
      <c r="S797" s="64" t="n">
        <f aca="false">IF(AND($Q797&gt;0,$O797&gt;=AboveRank),$Q797,0)</f>
        <v>0</v>
      </c>
      <c r="T797" s="64" t="n">
        <f aca="false">IF($K797="Less",$P797,0)</f>
        <v>0</v>
      </c>
      <c r="U797" s="64" t="n">
        <f aca="false">IF($K797="Expected",$P797,0)</f>
        <v>0</v>
      </c>
      <c r="V797" s="64" t="n">
        <f aca="false">IF($K797="Better",$P797,0)</f>
        <v>0</v>
      </c>
      <c r="W797" s="64" t="n">
        <f aca="false">IF($K797="U – needs rule",$P797,0)</f>
        <v>0</v>
      </c>
      <c r="X797" s="64" t="n">
        <f aca="false">IF($K797="No Start (attainment only)",$P797,0)</f>
        <v>0</v>
      </c>
    </row>
    <row r="798" customFormat="false" ht="15" hidden="false" customHeight="false" outlineLevel="0" collapsed="false">
      <c r="A798" s="60"/>
      <c r="B798" s="61" t="str">
        <f aca="false">IF($M798=0,"",INDEX(Classes!$E$6:$E$420,$M798))</f>
        <v/>
      </c>
      <c r="C798" s="62" t="str">
        <f aca="false">IF($M798=0,"",INDEX(Classes!$H$6:$H$420,$M798))</f>
        <v/>
      </c>
      <c r="D798" s="61" t="str">
        <f aca="false">IF($M798=0,"",INDEX(Classes!$B$6:$B$420,$M798))</f>
        <v/>
      </c>
      <c r="E798" s="61" t="str">
        <f aca="false">IF($M798=0,"",INDEX(Classes!$C$6:$C$420,$M798))</f>
        <v/>
      </c>
      <c r="F798" s="63"/>
      <c r="G798" s="63"/>
      <c r="H798" s="60"/>
      <c r="I798" s="60"/>
      <c r="J798" s="63"/>
      <c r="K798" s="61" t="str">
        <f aca="false">IF($P798=0,"",IF($F798="Baseline","— Baseline",IF($O798=0,"No result",IF($N798=0,"No Start (attainment only)",IF(OR($N798=1,$O798=1),"U – needs rule",INDEX(MxBody,MATCH($I798,MxCurr,0),MATCH($H798,MxStart,0)))))))</f>
        <v/>
      </c>
      <c r="L798" s="62" t="str">
        <f aca="false">IF(COUNTA($A798,$F798,$G798,$H798,$I798,$J798)=0,"",IF($M798=0,"✖ كود الصف غير موجود",IF(ISNA(MATCH($F798,Lists!$A$2:$A$5,0)),"✖ الفترة غير صحيحة",IF(ISNA(MATCH($G798,Lists!$B$2:$B$7,0)),"✖ المجموعة غير صحيحة",IF(NOT(OR($H798="",$N798&gt;0)),"✖ Start غير صحيح",IF(NOT(OR($I798="",$I798="NR",$O798&gt;0)),"✖ Current غير صحيح",IF(NOT(IF(ISNUMBER($J798),AND($J798&gt;=0,$J798=INT($J798)),FALSE())),"✖ العدد يجب أن يكون صحيحًا ≥ 0",IF(AND($F798="Baseline",$H798&lt;&gt;""),"⚠ Baseline: Start لا يدخل في التقدم",IF($K798="No Start (attainment only)","ℹ تحصيل فقط (بدون Start)",IF($K798="U – needs rule","ℹ حالة U تحتاج قاعدة معتمدة",IF($K798="No result","ℹ بدون نتيجة (يُستبعد من التحصيل)","OK")))))))))))</f>
        <v/>
      </c>
      <c r="M798" s="64" t="n">
        <f aca="false">IF($A798="",0,IFERROR(MATCH($A798,Classes!$A$6:$A$420,0),0))</f>
        <v>0</v>
      </c>
      <c r="N798" s="64" t="n">
        <f aca="false">IF($H798="",0,IFERROR(MATCH($H798,GradeList,0),0))</f>
        <v>0</v>
      </c>
      <c r="O798" s="64" t="n">
        <f aca="false">IF(OR($I798="",$I798="NR"),0,IFERROR(MATCH($I798,GradeList,0),0))</f>
        <v>0</v>
      </c>
      <c r="P798" s="64" t="n">
        <f aca="false">IF(AND($M798&gt;0,ISNUMBER(MATCH($F798,Lists!$A$2:$A$5,0)),ISNUMBER(MATCH($G798,Lists!$B$2:$B$7,0)),OR($H798="",$N798&gt;0),OR($I798="",$I798="NR",$O798&gt;0),IF(ISNUMBER($J798),AND($J798&gt;=0,$J798=INT($J798)),FALSE())),$J798,0)</f>
        <v>0</v>
      </c>
      <c r="Q798" s="64" t="n">
        <f aca="false">IF(AND($P798&gt;0,$O798&gt;0),$P798,0)</f>
        <v>0</v>
      </c>
      <c r="R798" s="64" t="n">
        <f aca="false">IF(AND($Q798&gt;0,$O798&gt;=AtRank),$Q798,0)</f>
        <v>0</v>
      </c>
      <c r="S798" s="64" t="n">
        <f aca="false">IF(AND($Q798&gt;0,$O798&gt;=AboveRank),$Q798,0)</f>
        <v>0</v>
      </c>
      <c r="T798" s="64" t="n">
        <f aca="false">IF($K798="Less",$P798,0)</f>
        <v>0</v>
      </c>
      <c r="U798" s="64" t="n">
        <f aca="false">IF($K798="Expected",$P798,0)</f>
        <v>0</v>
      </c>
      <c r="V798" s="64" t="n">
        <f aca="false">IF($K798="Better",$P798,0)</f>
        <v>0</v>
      </c>
      <c r="W798" s="64" t="n">
        <f aca="false">IF($K798="U – needs rule",$P798,0)</f>
        <v>0</v>
      </c>
      <c r="X798" s="64" t="n">
        <f aca="false">IF($K798="No Start (attainment only)",$P798,0)</f>
        <v>0</v>
      </c>
    </row>
    <row r="799" customFormat="false" ht="15" hidden="false" customHeight="false" outlineLevel="0" collapsed="false">
      <c r="A799" s="60"/>
      <c r="B799" s="61" t="str">
        <f aca="false">IF($M799=0,"",INDEX(Classes!$E$6:$E$420,$M799))</f>
        <v/>
      </c>
      <c r="C799" s="62" t="str">
        <f aca="false">IF($M799=0,"",INDEX(Classes!$H$6:$H$420,$M799))</f>
        <v/>
      </c>
      <c r="D799" s="61" t="str">
        <f aca="false">IF($M799=0,"",INDEX(Classes!$B$6:$B$420,$M799))</f>
        <v/>
      </c>
      <c r="E799" s="61" t="str">
        <f aca="false">IF($M799=0,"",INDEX(Classes!$C$6:$C$420,$M799))</f>
        <v/>
      </c>
      <c r="F799" s="63"/>
      <c r="G799" s="63"/>
      <c r="H799" s="60"/>
      <c r="I799" s="60"/>
      <c r="J799" s="63"/>
      <c r="K799" s="61" t="str">
        <f aca="false">IF($P799=0,"",IF($F799="Baseline","— Baseline",IF($O799=0,"No result",IF($N799=0,"No Start (attainment only)",IF(OR($N799=1,$O799=1),"U – needs rule",INDEX(MxBody,MATCH($I799,MxCurr,0),MATCH($H799,MxStart,0)))))))</f>
        <v/>
      </c>
      <c r="L799" s="62" t="str">
        <f aca="false">IF(COUNTA($A799,$F799,$G799,$H799,$I799,$J799)=0,"",IF($M799=0,"✖ كود الصف غير موجود",IF(ISNA(MATCH($F799,Lists!$A$2:$A$5,0)),"✖ الفترة غير صحيحة",IF(ISNA(MATCH($G799,Lists!$B$2:$B$7,0)),"✖ المجموعة غير صحيحة",IF(NOT(OR($H799="",$N799&gt;0)),"✖ Start غير صحيح",IF(NOT(OR($I799="",$I799="NR",$O799&gt;0)),"✖ Current غير صحيح",IF(NOT(IF(ISNUMBER($J799),AND($J799&gt;=0,$J799=INT($J799)),FALSE())),"✖ العدد يجب أن يكون صحيحًا ≥ 0",IF(AND($F799="Baseline",$H799&lt;&gt;""),"⚠ Baseline: Start لا يدخل في التقدم",IF($K799="No Start (attainment only)","ℹ تحصيل فقط (بدون Start)",IF($K799="U – needs rule","ℹ حالة U تحتاج قاعدة معتمدة",IF($K799="No result","ℹ بدون نتيجة (يُستبعد من التحصيل)","OK")))))))))))</f>
        <v/>
      </c>
      <c r="M799" s="64" t="n">
        <f aca="false">IF($A799="",0,IFERROR(MATCH($A799,Classes!$A$6:$A$420,0),0))</f>
        <v>0</v>
      </c>
      <c r="N799" s="64" t="n">
        <f aca="false">IF($H799="",0,IFERROR(MATCH($H799,GradeList,0),0))</f>
        <v>0</v>
      </c>
      <c r="O799" s="64" t="n">
        <f aca="false">IF(OR($I799="",$I799="NR"),0,IFERROR(MATCH($I799,GradeList,0),0))</f>
        <v>0</v>
      </c>
      <c r="P799" s="64" t="n">
        <f aca="false">IF(AND($M799&gt;0,ISNUMBER(MATCH($F799,Lists!$A$2:$A$5,0)),ISNUMBER(MATCH($G799,Lists!$B$2:$B$7,0)),OR($H799="",$N799&gt;0),OR($I799="",$I799="NR",$O799&gt;0),IF(ISNUMBER($J799),AND($J799&gt;=0,$J799=INT($J799)),FALSE())),$J799,0)</f>
        <v>0</v>
      </c>
      <c r="Q799" s="64" t="n">
        <f aca="false">IF(AND($P799&gt;0,$O799&gt;0),$P799,0)</f>
        <v>0</v>
      </c>
      <c r="R799" s="64" t="n">
        <f aca="false">IF(AND($Q799&gt;0,$O799&gt;=AtRank),$Q799,0)</f>
        <v>0</v>
      </c>
      <c r="S799" s="64" t="n">
        <f aca="false">IF(AND($Q799&gt;0,$O799&gt;=AboveRank),$Q799,0)</f>
        <v>0</v>
      </c>
      <c r="T799" s="64" t="n">
        <f aca="false">IF($K799="Less",$P799,0)</f>
        <v>0</v>
      </c>
      <c r="U799" s="64" t="n">
        <f aca="false">IF($K799="Expected",$P799,0)</f>
        <v>0</v>
      </c>
      <c r="V799" s="64" t="n">
        <f aca="false">IF($K799="Better",$P799,0)</f>
        <v>0</v>
      </c>
      <c r="W799" s="64" t="n">
        <f aca="false">IF($K799="U – needs rule",$P799,0)</f>
        <v>0</v>
      </c>
      <c r="X799" s="64" t="n">
        <f aca="false">IF($K799="No Start (attainment only)",$P799,0)</f>
        <v>0</v>
      </c>
    </row>
    <row r="800" customFormat="false" ht="15" hidden="false" customHeight="false" outlineLevel="0" collapsed="false">
      <c r="A800" s="60"/>
      <c r="B800" s="61" t="str">
        <f aca="false">IF($M800=0,"",INDEX(Classes!$E$6:$E$420,$M800))</f>
        <v/>
      </c>
      <c r="C800" s="62" t="str">
        <f aca="false">IF($M800=0,"",INDEX(Classes!$H$6:$H$420,$M800))</f>
        <v/>
      </c>
      <c r="D800" s="61" t="str">
        <f aca="false">IF($M800=0,"",INDEX(Classes!$B$6:$B$420,$M800))</f>
        <v/>
      </c>
      <c r="E800" s="61" t="str">
        <f aca="false">IF($M800=0,"",INDEX(Classes!$C$6:$C$420,$M800))</f>
        <v/>
      </c>
      <c r="F800" s="63"/>
      <c r="G800" s="63"/>
      <c r="H800" s="60"/>
      <c r="I800" s="60"/>
      <c r="J800" s="63"/>
      <c r="K800" s="61" t="str">
        <f aca="false">IF($P800=0,"",IF($F800="Baseline","— Baseline",IF($O800=0,"No result",IF($N800=0,"No Start (attainment only)",IF(OR($N800=1,$O800=1),"U – needs rule",INDEX(MxBody,MATCH($I800,MxCurr,0),MATCH($H800,MxStart,0)))))))</f>
        <v/>
      </c>
      <c r="L800" s="62" t="str">
        <f aca="false">IF(COUNTA($A800,$F800,$G800,$H800,$I800,$J800)=0,"",IF($M800=0,"✖ كود الصف غير موجود",IF(ISNA(MATCH($F800,Lists!$A$2:$A$5,0)),"✖ الفترة غير صحيحة",IF(ISNA(MATCH($G800,Lists!$B$2:$B$7,0)),"✖ المجموعة غير صحيحة",IF(NOT(OR($H800="",$N800&gt;0)),"✖ Start غير صحيح",IF(NOT(OR($I800="",$I800="NR",$O800&gt;0)),"✖ Current غير صحيح",IF(NOT(IF(ISNUMBER($J800),AND($J800&gt;=0,$J800=INT($J800)),FALSE())),"✖ العدد يجب أن يكون صحيحًا ≥ 0",IF(AND($F800="Baseline",$H800&lt;&gt;""),"⚠ Baseline: Start لا يدخل في التقدم",IF($K800="No Start (attainment only)","ℹ تحصيل فقط (بدون Start)",IF($K800="U – needs rule","ℹ حالة U تحتاج قاعدة معتمدة",IF($K800="No result","ℹ بدون نتيجة (يُستبعد من التحصيل)","OK")))))))))))</f>
        <v/>
      </c>
      <c r="M800" s="64" t="n">
        <f aca="false">IF($A800="",0,IFERROR(MATCH($A800,Classes!$A$6:$A$420,0),0))</f>
        <v>0</v>
      </c>
      <c r="N800" s="64" t="n">
        <f aca="false">IF($H800="",0,IFERROR(MATCH($H800,GradeList,0),0))</f>
        <v>0</v>
      </c>
      <c r="O800" s="64" t="n">
        <f aca="false">IF(OR($I800="",$I800="NR"),0,IFERROR(MATCH($I800,GradeList,0),0))</f>
        <v>0</v>
      </c>
      <c r="P800" s="64" t="n">
        <f aca="false">IF(AND($M800&gt;0,ISNUMBER(MATCH($F800,Lists!$A$2:$A$5,0)),ISNUMBER(MATCH($G800,Lists!$B$2:$B$7,0)),OR($H800="",$N800&gt;0),OR($I800="",$I800="NR",$O800&gt;0),IF(ISNUMBER($J800),AND($J800&gt;=0,$J800=INT($J800)),FALSE())),$J800,0)</f>
        <v>0</v>
      </c>
      <c r="Q800" s="64" t="n">
        <f aca="false">IF(AND($P800&gt;0,$O800&gt;0),$P800,0)</f>
        <v>0</v>
      </c>
      <c r="R800" s="64" t="n">
        <f aca="false">IF(AND($Q800&gt;0,$O800&gt;=AtRank),$Q800,0)</f>
        <v>0</v>
      </c>
      <c r="S800" s="64" t="n">
        <f aca="false">IF(AND($Q800&gt;0,$O800&gt;=AboveRank),$Q800,0)</f>
        <v>0</v>
      </c>
      <c r="T800" s="64" t="n">
        <f aca="false">IF($K800="Less",$P800,0)</f>
        <v>0</v>
      </c>
      <c r="U800" s="64" t="n">
        <f aca="false">IF($K800="Expected",$P800,0)</f>
        <v>0</v>
      </c>
      <c r="V800" s="64" t="n">
        <f aca="false">IF($K800="Better",$P800,0)</f>
        <v>0</v>
      </c>
      <c r="W800" s="64" t="n">
        <f aca="false">IF($K800="U – needs rule",$P800,0)</f>
        <v>0</v>
      </c>
      <c r="X800" s="64" t="n">
        <f aca="false">IF($K800="No Start (attainment only)",$P800,0)</f>
        <v>0</v>
      </c>
    </row>
    <row r="801" customFormat="false" ht="15" hidden="false" customHeight="false" outlineLevel="0" collapsed="false">
      <c r="A801" s="60"/>
      <c r="B801" s="61" t="str">
        <f aca="false">IF($M801=0,"",INDEX(Classes!$E$6:$E$420,$M801))</f>
        <v/>
      </c>
      <c r="C801" s="62" t="str">
        <f aca="false">IF($M801=0,"",INDEX(Classes!$H$6:$H$420,$M801))</f>
        <v/>
      </c>
      <c r="D801" s="61" t="str">
        <f aca="false">IF($M801=0,"",INDEX(Classes!$B$6:$B$420,$M801))</f>
        <v/>
      </c>
      <c r="E801" s="61" t="str">
        <f aca="false">IF($M801=0,"",INDEX(Classes!$C$6:$C$420,$M801))</f>
        <v/>
      </c>
      <c r="F801" s="63"/>
      <c r="G801" s="63"/>
      <c r="H801" s="60"/>
      <c r="I801" s="60"/>
      <c r="J801" s="63"/>
      <c r="K801" s="61" t="str">
        <f aca="false">IF($P801=0,"",IF($F801="Baseline","— Baseline",IF($O801=0,"No result",IF($N801=0,"No Start (attainment only)",IF(OR($N801=1,$O801=1),"U – needs rule",INDEX(MxBody,MATCH($I801,MxCurr,0),MATCH($H801,MxStart,0)))))))</f>
        <v/>
      </c>
      <c r="L801" s="62" t="str">
        <f aca="false">IF(COUNTA($A801,$F801,$G801,$H801,$I801,$J801)=0,"",IF($M801=0,"✖ كود الصف غير موجود",IF(ISNA(MATCH($F801,Lists!$A$2:$A$5,0)),"✖ الفترة غير صحيحة",IF(ISNA(MATCH($G801,Lists!$B$2:$B$7,0)),"✖ المجموعة غير صحيحة",IF(NOT(OR($H801="",$N801&gt;0)),"✖ Start غير صحيح",IF(NOT(OR($I801="",$I801="NR",$O801&gt;0)),"✖ Current غير صحيح",IF(NOT(IF(ISNUMBER($J801),AND($J801&gt;=0,$J801=INT($J801)),FALSE())),"✖ العدد يجب أن يكون صحيحًا ≥ 0",IF(AND($F801="Baseline",$H801&lt;&gt;""),"⚠ Baseline: Start لا يدخل في التقدم",IF($K801="No Start (attainment only)","ℹ تحصيل فقط (بدون Start)",IF($K801="U – needs rule","ℹ حالة U تحتاج قاعدة معتمدة",IF($K801="No result","ℹ بدون نتيجة (يُستبعد من التحصيل)","OK")))))))))))</f>
        <v/>
      </c>
      <c r="M801" s="64" t="n">
        <f aca="false">IF($A801="",0,IFERROR(MATCH($A801,Classes!$A$6:$A$420,0),0))</f>
        <v>0</v>
      </c>
      <c r="N801" s="64" t="n">
        <f aca="false">IF($H801="",0,IFERROR(MATCH($H801,GradeList,0),0))</f>
        <v>0</v>
      </c>
      <c r="O801" s="64" t="n">
        <f aca="false">IF(OR($I801="",$I801="NR"),0,IFERROR(MATCH($I801,GradeList,0),0))</f>
        <v>0</v>
      </c>
      <c r="P801" s="64" t="n">
        <f aca="false">IF(AND($M801&gt;0,ISNUMBER(MATCH($F801,Lists!$A$2:$A$5,0)),ISNUMBER(MATCH($G801,Lists!$B$2:$B$7,0)),OR($H801="",$N801&gt;0),OR($I801="",$I801="NR",$O801&gt;0),IF(ISNUMBER($J801),AND($J801&gt;=0,$J801=INT($J801)),FALSE())),$J801,0)</f>
        <v>0</v>
      </c>
      <c r="Q801" s="64" t="n">
        <f aca="false">IF(AND($P801&gt;0,$O801&gt;0),$P801,0)</f>
        <v>0</v>
      </c>
      <c r="R801" s="64" t="n">
        <f aca="false">IF(AND($Q801&gt;0,$O801&gt;=AtRank),$Q801,0)</f>
        <v>0</v>
      </c>
      <c r="S801" s="64" t="n">
        <f aca="false">IF(AND($Q801&gt;0,$O801&gt;=AboveRank),$Q801,0)</f>
        <v>0</v>
      </c>
      <c r="T801" s="64" t="n">
        <f aca="false">IF($K801="Less",$P801,0)</f>
        <v>0</v>
      </c>
      <c r="U801" s="64" t="n">
        <f aca="false">IF($K801="Expected",$P801,0)</f>
        <v>0</v>
      </c>
      <c r="V801" s="64" t="n">
        <f aca="false">IF($K801="Better",$P801,0)</f>
        <v>0</v>
      </c>
      <c r="W801" s="64" t="n">
        <f aca="false">IF($K801="U – needs rule",$P801,0)</f>
        <v>0</v>
      </c>
      <c r="X801" s="64" t="n">
        <f aca="false">IF($K801="No Start (attainment only)",$P801,0)</f>
        <v>0</v>
      </c>
    </row>
    <row r="802" customFormat="false" ht="15" hidden="false" customHeight="false" outlineLevel="0" collapsed="false">
      <c r="A802" s="60"/>
      <c r="B802" s="61" t="str">
        <f aca="false">IF($M802=0,"",INDEX(Classes!$E$6:$E$420,$M802))</f>
        <v/>
      </c>
      <c r="C802" s="62" t="str">
        <f aca="false">IF($M802=0,"",INDEX(Classes!$H$6:$H$420,$M802))</f>
        <v/>
      </c>
      <c r="D802" s="61" t="str">
        <f aca="false">IF($M802=0,"",INDEX(Classes!$B$6:$B$420,$M802))</f>
        <v/>
      </c>
      <c r="E802" s="61" t="str">
        <f aca="false">IF($M802=0,"",INDEX(Classes!$C$6:$C$420,$M802))</f>
        <v/>
      </c>
      <c r="F802" s="63"/>
      <c r="G802" s="63"/>
      <c r="H802" s="60"/>
      <c r="I802" s="60"/>
      <c r="J802" s="63"/>
      <c r="K802" s="61" t="str">
        <f aca="false">IF($P802=0,"",IF($F802="Baseline","— Baseline",IF($O802=0,"No result",IF($N802=0,"No Start (attainment only)",IF(OR($N802=1,$O802=1),"U – needs rule",INDEX(MxBody,MATCH($I802,MxCurr,0),MATCH($H802,MxStart,0)))))))</f>
        <v/>
      </c>
      <c r="L802" s="62" t="str">
        <f aca="false">IF(COUNTA($A802,$F802,$G802,$H802,$I802,$J802)=0,"",IF($M802=0,"✖ كود الصف غير موجود",IF(ISNA(MATCH($F802,Lists!$A$2:$A$5,0)),"✖ الفترة غير صحيحة",IF(ISNA(MATCH($G802,Lists!$B$2:$B$7,0)),"✖ المجموعة غير صحيحة",IF(NOT(OR($H802="",$N802&gt;0)),"✖ Start غير صحيح",IF(NOT(OR($I802="",$I802="NR",$O802&gt;0)),"✖ Current غير صحيح",IF(NOT(IF(ISNUMBER($J802),AND($J802&gt;=0,$J802=INT($J802)),FALSE())),"✖ العدد يجب أن يكون صحيحًا ≥ 0",IF(AND($F802="Baseline",$H802&lt;&gt;""),"⚠ Baseline: Start لا يدخل في التقدم",IF($K802="No Start (attainment only)","ℹ تحصيل فقط (بدون Start)",IF($K802="U – needs rule","ℹ حالة U تحتاج قاعدة معتمدة",IF($K802="No result","ℹ بدون نتيجة (يُستبعد من التحصيل)","OK")))))))))))</f>
        <v/>
      </c>
      <c r="M802" s="64" t="n">
        <f aca="false">IF($A802="",0,IFERROR(MATCH($A802,Classes!$A$6:$A$420,0),0))</f>
        <v>0</v>
      </c>
      <c r="N802" s="64" t="n">
        <f aca="false">IF($H802="",0,IFERROR(MATCH($H802,GradeList,0),0))</f>
        <v>0</v>
      </c>
      <c r="O802" s="64" t="n">
        <f aca="false">IF(OR($I802="",$I802="NR"),0,IFERROR(MATCH($I802,GradeList,0),0))</f>
        <v>0</v>
      </c>
      <c r="P802" s="64" t="n">
        <f aca="false">IF(AND($M802&gt;0,ISNUMBER(MATCH($F802,Lists!$A$2:$A$5,0)),ISNUMBER(MATCH($G802,Lists!$B$2:$B$7,0)),OR($H802="",$N802&gt;0),OR($I802="",$I802="NR",$O802&gt;0),IF(ISNUMBER($J802),AND($J802&gt;=0,$J802=INT($J802)),FALSE())),$J802,0)</f>
        <v>0</v>
      </c>
      <c r="Q802" s="64" t="n">
        <f aca="false">IF(AND($P802&gt;0,$O802&gt;0),$P802,0)</f>
        <v>0</v>
      </c>
      <c r="R802" s="64" t="n">
        <f aca="false">IF(AND($Q802&gt;0,$O802&gt;=AtRank),$Q802,0)</f>
        <v>0</v>
      </c>
      <c r="S802" s="64" t="n">
        <f aca="false">IF(AND($Q802&gt;0,$O802&gt;=AboveRank),$Q802,0)</f>
        <v>0</v>
      </c>
      <c r="T802" s="64" t="n">
        <f aca="false">IF($K802="Less",$P802,0)</f>
        <v>0</v>
      </c>
      <c r="U802" s="64" t="n">
        <f aca="false">IF($K802="Expected",$P802,0)</f>
        <v>0</v>
      </c>
      <c r="V802" s="64" t="n">
        <f aca="false">IF($K802="Better",$P802,0)</f>
        <v>0</v>
      </c>
      <c r="W802" s="64" t="n">
        <f aca="false">IF($K802="U – needs rule",$P802,0)</f>
        <v>0</v>
      </c>
      <c r="X802" s="64" t="n">
        <f aca="false">IF($K802="No Start (attainment only)",$P802,0)</f>
        <v>0</v>
      </c>
    </row>
    <row r="803" customFormat="false" ht="15" hidden="false" customHeight="false" outlineLevel="0" collapsed="false">
      <c r="A803" s="60"/>
      <c r="B803" s="61" t="str">
        <f aca="false">IF($M803=0,"",INDEX(Classes!$E$6:$E$420,$M803))</f>
        <v/>
      </c>
      <c r="C803" s="62" t="str">
        <f aca="false">IF($M803=0,"",INDEX(Classes!$H$6:$H$420,$M803))</f>
        <v/>
      </c>
      <c r="D803" s="61" t="str">
        <f aca="false">IF($M803=0,"",INDEX(Classes!$B$6:$B$420,$M803))</f>
        <v/>
      </c>
      <c r="E803" s="61" t="str">
        <f aca="false">IF($M803=0,"",INDEX(Classes!$C$6:$C$420,$M803))</f>
        <v/>
      </c>
      <c r="F803" s="63"/>
      <c r="G803" s="63"/>
      <c r="H803" s="60"/>
      <c r="I803" s="60"/>
      <c r="J803" s="63"/>
      <c r="K803" s="61" t="str">
        <f aca="false">IF($P803=0,"",IF($F803="Baseline","— Baseline",IF($O803=0,"No result",IF($N803=0,"No Start (attainment only)",IF(OR($N803=1,$O803=1),"U – needs rule",INDEX(MxBody,MATCH($I803,MxCurr,0),MATCH($H803,MxStart,0)))))))</f>
        <v/>
      </c>
      <c r="L803" s="62" t="str">
        <f aca="false">IF(COUNTA($A803,$F803,$G803,$H803,$I803,$J803)=0,"",IF($M803=0,"✖ كود الصف غير موجود",IF(ISNA(MATCH($F803,Lists!$A$2:$A$5,0)),"✖ الفترة غير صحيحة",IF(ISNA(MATCH($G803,Lists!$B$2:$B$7,0)),"✖ المجموعة غير صحيحة",IF(NOT(OR($H803="",$N803&gt;0)),"✖ Start غير صحيح",IF(NOT(OR($I803="",$I803="NR",$O803&gt;0)),"✖ Current غير صحيح",IF(NOT(IF(ISNUMBER($J803),AND($J803&gt;=0,$J803=INT($J803)),FALSE())),"✖ العدد يجب أن يكون صحيحًا ≥ 0",IF(AND($F803="Baseline",$H803&lt;&gt;""),"⚠ Baseline: Start لا يدخل في التقدم",IF($K803="No Start (attainment only)","ℹ تحصيل فقط (بدون Start)",IF($K803="U – needs rule","ℹ حالة U تحتاج قاعدة معتمدة",IF($K803="No result","ℹ بدون نتيجة (يُستبعد من التحصيل)","OK")))))))))))</f>
        <v/>
      </c>
      <c r="M803" s="64" t="n">
        <f aca="false">IF($A803="",0,IFERROR(MATCH($A803,Classes!$A$6:$A$420,0),0))</f>
        <v>0</v>
      </c>
      <c r="N803" s="64" t="n">
        <f aca="false">IF($H803="",0,IFERROR(MATCH($H803,GradeList,0),0))</f>
        <v>0</v>
      </c>
      <c r="O803" s="64" t="n">
        <f aca="false">IF(OR($I803="",$I803="NR"),0,IFERROR(MATCH($I803,GradeList,0),0))</f>
        <v>0</v>
      </c>
      <c r="P803" s="64" t="n">
        <f aca="false">IF(AND($M803&gt;0,ISNUMBER(MATCH($F803,Lists!$A$2:$A$5,0)),ISNUMBER(MATCH($G803,Lists!$B$2:$B$7,0)),OR($H803="",$N803&gt;0),OR($I803="",$I803="NR",$O803&gt;0),IF(ISNUMBER($J803),AND($J803&gt;=0,$J803=INT($J803)),FALSE())),$J803,0)</f>
        <v>0</v>
      </c>
      <c r="Q803" s="64" t="n">
        <f aca="false">IF(AND($P803&gt;0,$O803&gt;0),$P803,0)</f>
        <v>0</v>
      </c>
      <c r="R803" s="64" t="n">
        <f aca="false">IF(AND($Q803&gt;0,$O803&gt;=AtRank),$Q803,0)</f>
        <v>0</v>
      </c>
      <c r="S803" s="64" t="n">
        <f aca="false">IF(AND($Q803&gt;0,$O803&gt;=AboveRank),$Q803,0)</f>
        <v>0</v>
      </c>
      <c r="T803" s="64" t="n">
        <f aca="false">IF($K803="Less",$P803,0)</f>
        <v>0</v>
      </c>
      <c r="U803" s="64" t="n">
        <f aca="false">IF($K803="Expected",$P803,0)</f>
        <v>0</v>
      </c>
      <c r="V803" s="64" t="n">
        <f aca="false">IF($K803="Better",$P803,0)</f>
        <v>0</v>
      </c>
      <c r="W803" s="64" t="n">
        <f aca="false">IF($K803="U – needs rule",$P803,0)</f>
        <v>0</v>
      </c>
      <c r="X803" s="64" t="n">
        <f aca="false">IF($K803="No Start (attainment only)",$P803,0)</f>
        <v>0</v>
      </c>
    </row>
    <row r="804" customFormat="false" ht="15" hidden="false" customHeight="false" outlineLevel="0" collapsed="false">
      <c r="A804" s="60"/>
      <c r="B804" s="61" t="str">
        <f aca="false">IF($M804=0,"",INDEX(Classes!$E$6:$E$420,$M804))</f>
        <v/>
      </c>
      <c r="C804" s="62" t="str">
        <f aca="false">IF($M804=0,"",INDEX(Classes!$H$6:$H$420,$M804))</f>
        <v/>
      </c>
      <c r="D804" s="61" t="str">
        <f aca="false">IF($M804=0,"",INDEX(Classes!$B$6:$B$420,$M804))</f>
        <v/>
      </c>
      <c r="E804" s="61" t="str">
        <f aca="false">IF($M804=0,"",INDEX(Classes!$C$6:$C$420,$M804))</f>
        <v/>
      </c>
      <c r="F804" s="63"/>
      <c r="G804" s="63"/>
      <c r="H804" s="60"/>
      <c r="I804" s="60"/>
      <c r="J804" s="63"/>
      <c r="K804" s="61" t="str">
        <f aca="false">IF($P804=0,"",IF($F804="Baseline","— Baseline",IF($O804=0,"No result",IF($N804=0,"No Start (attainment only)",IF(OR($N804=1,$O804=1),"U – needs rule",INDEX(MxBody,MATCH($I804,MxCurr,0),MATCH($H804,MxStart,0)))))))</f>
        <v/>
      </c>
      <c r="L804" s="62" t="str">
        <f aca="false">IF(COUNTA($A804,$F804,$G804,$H804,$I804,$J804)=0,"",IF($M804=0,"✖ كود الصف غير موجود",IF(ISNA(MATCH($F804,Lists!$A$2:$A$5,0)),"✖ الفترة غير صحيحة",IF(ISNA(MATCH($G804,Lists!$B$2:$B$7,0)),"✖ المجموعة غير صحيحة",IF(NOT(OR($H804="",$N804&gt;0)),"✖ Start غير صحيح",IF(NOT(OR($I804="",$I804="NR",$O804&gt;0)),"✖ Current غير صحيح",IF(NOT(IF(ISNUMBER($J804),AND($J804&gt;=0,$J804=INT($J804)),FALSE())),"✖ العدد يجب أن يكون صحيحًا ≥ 0",IF(AND($F804="Baseline",$H804&lt;&gt;""),"⚠ Baseline: Start لا يدخل في التقدم",IF($K804="No Start (attainment only)","ℹ تحصيل فقط (بدون Start)",IF($K804="U – needs rule","ℹ حالة U تحتاج قاعدة معتمدة",IF($K804="No result","ℹ بدون نتيجة (يُستبعد من التحصيل)","OK")))))))))))</f>
        <v/>
      </c>
      <c r="M804" s="64" t="n">
        <f aca="false">IF($A804="",0,IFERROR(MATCH($A804,Classes!$A$6:$A$420,0),0))</f>
        <v>0</v>
      </c>
      <c r="N804" s="64" t="n">
        <f aca="false">IF($H804="",0,IFERROR(MATCH($H804,GradeList,0),0))</f>
        <v>0</v>
      </c>
      <c r="O804" s="64" t="n">
        <f aca="false">IF(OR($I804="",$I804="NR"),0,IFERROR(MATCH($I804,GradeList,0),0))</f>
        <v>0</v>
      </c>
      <c r="P804" s="64" t="n">
        <f aca="false">IF(AND($M804&gt;0,ISNUMBER(MATCH($F804,Lists!$A$2:$A$5,0)),ISNUMBER(MATCH($G804,Lists!$B$2:$B$7,0)),OR($H804="",$N804&gt;0),OR($I804="",$I804="NR",$O804&gt;0),IF(ISNUMBER($J804),AND($J804&gt;=0,$J804=INT($J804)),FALSE())),$J804,0)</f>
        <v>0</v>
      </c>
      <c r="Q804" s="64" t="n">
        <f aca="false">IF(AND($P804&gt;0,$O804&gt;0),$P804,0)</f>
        <v>0</v>
      </c>
      <c r="R804" s="64" t="n">
        <f aca="false">IF(AND($Q804&gt;0,$O804&gt;=AtRank),$Q804,0)</f>
        <v>0</v>
      </c>
      <c r="S804" s="64" t="n">
        <f aca="false">IF(AND($Q804&gt;0,$O804&gt;=AboveRank),$Q804,0)</f>
        <v>0</v>
      </c>
      <c r="T804" s="64" t="n">
        <f aca="false">IF($K804="Less",$P804,0)</f>
        <v>0</v>
      </c>
      <c r="U804" s="64" t="n">
        <f aca="false">IF($K804="Expected",$P804,0)</f>
        <v>0</v>
      </c>
      <c r="V804" s="64" t="n">
        <f aca="false">IF($K804="Better",$P804,0)</f>
        <v>0</v>
      </c>
      <c r="W804" s="64" t="n">
        <f aca="false">IF($K804="U – needs rule",$P804,0)</f>
        <v>0</v>
      </c>
      <c r="X804" s="64" t="n">
        <f aca="false">IF($K804="No Start (attainment only)",$P804,0)</f>
        <v>0</v>
      </c>
    </row>
  </sheetData>
  <sheetProtection sheet="true" formatColumns="false" formatRows="false" sort="false" autoFilter="false"/>
  <mergeCells count="2">
    <mergeCell ref="A1:L1"/>
    <mergeCell ref="A2:L2"/>
  </mergeCells>
  <conditionalFormatting sqref="K5:K804">
    <cfRule type="cellIs" priority="2" operator="equal" aboveAverage="0" equalAverage="0" bottom="0" percent="0" rank="0" text="" dxfId="10">
      <formula>"Less"</formula>
    </cfRule>
    <cfRule type="cellIs" priority="3" operator="equal" aboveAverage="0" equalAverage="0" bottom="0" percent="0" rank="0" text="" dxfId="11">
      <formula>"Expected"</formula>
    </cfRule>
    <cfRule type="cellIs" priority="4" operator="equal" aboveAverage="0" equalAverage="0" bottom="0" percent="0" rank="0" text="" dxfId="12">
      <formula>"Better"</formula>
    </cfRule>
  </conditionalFormatting>
  <conditionalFormatting sqref="L5:L804">
    <cfRule type="expression" priority="5" aboveAverage="0" equalAverage="0" bottom="0" percent="0" rank="0" text="" dxfId="13">
      <formula>LEFT($L5,1)="✖"</formula>
    </cfRule>
    <cfRule type="expression" priority="6" aboveAverage="0" equalAverage="0" bottom="0" percent="0" rank="0" text="" dxfId="14">
      <formula>LEFT($L5,1)="⚠"</formula>
    </cfRule>
    <cfRule type="expression" priority="7" aboveAverage="0" equalAverage="0" bottom="0" percent="0" rank="0" text="" dxfId="15">
      <formula>$L5="OK"</formula>
    </cfRule>
  </conditionalFormatting>
  <dataValidations count="6">
    <dataValidation allowBlank="true" error="كود صف غير موجود في ورقة Classes" errorStyle="stop" errorTitle="قيمة غير صحيحة" operator="between" showDropDown="false" showErrorMessage="true" showInputMessage="false" sqref="A5:A804" type="list">
      <formula1>Classes!$A$6:$A$420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F5:F804" type="list">
      <formula1>Lists!$A$2:$A$5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G5:G804" type="list">
      <formula1>Lists!$B$2:$B$7</formula1>
      <formula2>0</formula2>
    </dataValidation>
    <dataValidation allowBlank="true" error="اختر علامة (اتركها فارغة إن لا توجد نقطة بداية)" errorStyle="stop" errorTitle="قيمة غير صحيحة" operator="between" showDropDown="false" showErrorMessage="true" showInputMessage="false" sqref="H5:H804" type="list">
      <formula1>Lists!$C$2:$C$11</formula1>
      <formula2>0</formula2>
    </dataValidation>
    <dataValidation allowBlank="true" error="اختر علامة أو NR (لا نتيجة/غياب)" errorStyle="stop" errorTitle="قيمة غير صحيحة" operator="between" showDropDown="false" showErrorMessage="true" showInputMessage="false" sqref="I5:I804" type="list">
      <formula1>Lists!$C$2:$C$12</formula1>
      <formula2>0</formula2>
    </dataValidation>
    <dataValidation allowBlank="true" error="العدد يجب أن يكون عددًا صحيحًا ≥ 0" errorStyle="stop" errorTitle="عدد غير صحيح" operator="greaterThanOrEqual" showDropDown="false" showErrorMessage="true" showInputMessage="false" sqref="J5:J80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A8B8"/>
    <pageSetUpPr fitToPage="true"/>
  </sheetPr>
  <dimension ref="A1:R7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8" min="7" style="0" width="18"/>
    <col collapsed="false" customWidth="true" hidden="false" outlineLevel="0" max="9" min="9" style="0" width="26"/>
    <col collapsed="false" customWidth="true" hidden="false" outlineLevel="0" max="18" min="10" style="0" width="18"/>
  </cols>
  <sheetData>
    <row r="1" customFormat="false" ht="15" hidden="false" customHeight="false" outlineLevel="0" collapsed="false">
      <c r="A1" s="119" t="s">
        <v>1020</v>
      </c>
      <c r="B1" s="119" t="s">
        <v>1021</v>
      </c>
      <c r="C1" s="119" t="s">
        <v>1022</v>
      </c>
      <c r="D1" s="119" t="s">
        <v>1023</v>
      </c>
      <c r="E1" s="119" t="s">
        <v>1024</v>
      </c>
      <c r="F1" s="119" t="s">
        <v>76</v>
      </c>
      <c r="G1" s="119" t="s">
        <v>1025</v>
      </c>
      <c r="H1" s="119" t="s">
        <v>1026</v>
      </c>
      <c r="I1" s="119" t="s">
        <v>1027</v>
      </c>
      <c r="J1" s="119" t="s">
        <v>1028</v>
      </c>
      <c r="K1" s="119" t="s">
        <v>1029</v>
      </c>
      <c r="L1" s="119" t="s">
        <v>1030</v>
      </c>
      <c r="M1" s="119" t="s">
        <v>1031</v>
      </c>
      <c r="N1" s="119" t="s">
        <v>1032</v>
      </c>
      <c r="O1" s="119" t="s">
        <v>1033</v>
      </c>
      <c r="P1" s="119" t="s">
        <v>1034</v>
      </c>
      <c r="Q1" s="119" t="s">
        <v>1035</v>
      </c>
      <c r="R1" s="119" t="s">
        <v>1036</v>
      </c>
    </row>
    <row r="2" customFormat="false" ht="15" hidden="false" customHeight="false" outlineLevel="0" collapsed="false">
      <c r="A2" s="103" t="s">
        <v>162</v>
      </c>
      <c r="B2" s="103" t="s">
        <v>108</v>
      </c>
      <c r="C2" s="120" t="s">
        <v>196</v>
      </c>
      <c r="D2" s="103" t="s">
        <v>106</v>
      </c>
      <c r="E2" s="103" t="s">
        <v>106</v>
      </c>
      <c r="F2" s="103" t="s">
        <v>106</v>
      </c>
      <c r="G2" s="103" t="s">
        <v>106</v>
      </c>
      <c r="H2" s="103" t="s">
        <v>356</v>
      </c>
      <c r="I2" s="103" t="s">
        <v>262</v>
      </c>
      <c r="J2" s="103" t="s">
        <v>171</v>
      </c>
      <c r="K2" s="103" t="s">
        <v>1037</v>
      </c>
      <c r="L2" s="103" t="s">
        <v>1038</v>
      </c>
      <c r="M2" s="103" t="s">
        <v>1039</v>
      </c>
      <c r="N2" s="103" t="s">
        <v>1040</v>
      </c>
      <c r="O2" s="103" t="s">
        <v>1041</v>
      </c>
    </row>
    <row r="3" customFormat="false" ht="15" hidden="false" customHeight="false" outlineLevel="0" collapsed="false">
      <c r="A3" s="103" t="s">
        <v>107</v>
      </c>
      <c r="B3" s="103" t="s">
        <v>1015</v>
      </c>
      <c r="C3" s="120" t="s">
        <v>197</v>
      </c>
      <c r="D3" s="103" t="s">
        <v>171</v>
      </c>
      <c r="E3" s="103" t="str">
        <f aca="false">IF(Settings!C56="","",Settings!C56)</f>
        <v>Arabic A</v>
      </c>
      <c r="F3" s="103" t="str">
        <f aca="false">IF(Teachers!C6="","",Teachers!C6)</f>
        <v>Mr Ahmed Aldusoky</v>
      </c>
      <c r="G3" s="103" t="s">
        <v>1042</v>
      </c>
      <c r="H3" s="103" t="s">
        <v>1043</v>
      </c>
      <c r="I3" s="103" t="s">
        <v>1044</v>
      </c>
      <c r="J3" s="103" t="s">
        <v>172</v>
      </c>
      <c r="K3" s="103" t="s">
        <v>1042</v>
      </c>
      <c r="L3" s="103" t="s">
        <v>1045</v>
      </c>
      <c r="M3" s="103" t="s">
        <v>1046</v>
      </c>
      <c r="N3" s="103" t="s">
        <v>1047</v>
      </c>
      <c r="O3" s="103" t="s">
        <v>1048</v>
      </c>
    </row>
    <row r="4" customFormat="false" ht="15" hidden="false" customHeight="false" outlineLevel="0" collapsed="false">
      <c r="A4" s="103" t="s">
        <v>163</v>
      </c>
      <c r="B4" s="103" t="s">
        <v>1016</v>
      </c>
      <c r="C4" s="120" t="s">
        <v>198</v>
      </c>
      <c r="D4" s="103" t="s">
        <v>172</v>
      </c>
      <c r="E4" s="103" t="str">
        <f aca="false">IF(Settings!C57="","",Settings!C57)</f>
        <v>Arabic B</v>
      </c>
      <c r="F4" s="103" t="str">
        <f aca="false">IF(Teachers!C7="","",Teachers!C7)</f>
        <v>Mr Ahmed AbdelmonemElsye</v>
      </c>
      <c r="G4" s="103" t="s">
        <v>1037</v>
      </c>
      <c r="J4" s="103" t="s">
        <v>173</v>
      </c>
      <c r="K4" s="103" t="s">
        <v>1042</v>
      </c>
      <c r="L4" s="103" t="s">
        <v>1045</v>
      </c>
      <c r="M4" s="103" t="s">
        <v>1046</v>
      </c>
      <c r="N4" s="103" t="s">
        <v>1047</v>
      </c>
      <c r="O4" s="103" t="s">
        <v>1048</v>
      </c>
    </row>
    <row r="5" customFormat="false" ht="15" hidden="false" customHeight="false" outlineLevel="0" collapsed="false">
      <c r="A5" s="103" t="s">
        <v>164</v>
      </c>
      <c r="B5" s="103" t="s">
        <v>941</v>
      </c>
      <c r="C5" s="120" t="s">
        <v>199</v>
      </c>
      <c r="D5" s="103" t="s">
        <v>173</v>
      </c>
      <c r="E5" s="103" t="str">
        <f aca="false">IF(Settings!C58="","",Settings!C58)</f>
        <v>Islamic A</v>
      </c>
      <c r="F5" s="103" t="str">
        <f aca="false">IF(Teachers!C8="","",Teachers!C8)</f>
        <v>Mr Aly Abdelmonem Hasan</v>
      </c>
      <c r="G5" s="103" t="s">
        <v>1049</v>
      </c>
      <c r="J5" s="103" t="s">
        <v>174</v>
      </c>
      <c r="K5" s="103" t="s">
        <v>1042</v>
      </c>
      <c r="L5" s="103" t="s">
        <v>1045</v>
      </c>
      <c r="M5" s="103" t="s">
        <v>1046</v>
      </c>
      <c r="N5" s="103" t="s">
        <v>1047</v>
      </c>
      <c r="O5" s="103" t="s">
        <v>1048</v>
      </c>
    </row>
    <row r="6" customFormat="false" ht="15" hidden="false" customHeight="false" outlineLevel="0" collapsed="false">
      <c r="B6" s="103" t="s">
        <v>1017</v>
      </c>
      <c r="C6" s="120" t="s">
        <v>200</v>
      </c>
      <c r="D6" s="103" t="s">
        <v>174</v>
      </c>
      <c r="E6" s="103" t="str">
        <f aca="false">IF(Settings!C59="","",Settings!C59)</f>
        <v>Islamic B</v>
      </c>
      <c r="F6" s="103" t="str">
        <f aca="false">IF(Teachers!C9="","",Teachers!C9)</f>
        <v>Ms Aliaa Refaat Soliman</v>
      </c>
      <c r="G6" s="103" t="s">
        <v>1045</v>
      </c>
      <c r="J6" s="103" t="s">
        <v>175</v>
      </c>
      <c r="K6" s="103" t="s">
        <v>1042</v>
      </c>
      <c r="L6" s="103" t="s">
        <v>1045</v>
      </c>
      <c r="M6" s="103" t="s">
        <v>1046</v>
      </c>
      <c r="N6" s="103" t="s">
        <v>1047</v>
      </c>
      <c r="O6" s="103" t="s">
        <v>1048</v>
      </c>
    </row>
    <row r="7" customFormat="false" ht="15" hidden="false" customHeight="false" outlineLevel="0" collapsed="false">
      <c r="B7" s="103" t="s">
        <v>1018</v>
      </c>
      <c r="C7" s="120" t="s">
        <v>201</v>
      </c>
      <c r="D7" s="103" t="s">
        <v>175</v>
      </c>
      <c r="E7" s="103" t="str">
        <f aca="false">IF(Settings!C60="","",Settings!C60)</f>
        <v>Ua (اسم المادة غير مؤكد)</v>
      </c>
      <c r="F7" s="103" t="str">
        <f aca="false">IF(Teachers!C10="","",Teachers!C10)</f>
        <v>Ms Asmaa A Emara</v>
      </c>
      <c r="G7" s="103" t="s">
        <v>1038</v>
      </c>
      <c r="J7" s="103" t="s">
        <v>176</v>
      </c>
      <c r="K7" s="103" t="s">
        <v>1042</v>
      </c>
      <c r="L7" s="103" t="s">
        <v>1045</v>
      </c>
      <c r="M7" s="103" t="s">
        <v>1046</v>
      </c>
      <c r="N7" s="103" t="s">
        <v>1050</v>
      </c>
      <c r="O7" s="103" t="s">
        <v>1051</v>
      </c>
    </row>
    <row r="8" customFormat="false" ht="15" hidden="false" customHeight="false" outlineLevel="0" collapsed="false">
      <c r="C8" s="120" t="s">
        <v>202</v>
      </c>
      <c r="D8" s="103" t="s">
        <v>176</v>
      </c>
      <c r="E8" s="103" t="str">
        <f aca="false">IF(Settings!C61="","",Settings!C61)</f>
        <v/>
      </c>
      <c r="F8" s="103" t="str">
        <f aca="false">IF(Teachers!C11="","",Teachers!C11)</f>
        <v>Mr Ayman Bobo</v>
      </c>
      <c r="G8" s="103" t="s">
        <v>1046</v>
      </c>
      <c r="J8" s="103" t="s">
        <v>177</v>
      </c>
      <c r="K8" s="103" t="s">
        <v>1042</v>
      </c>
      <c r="L8" s="103" t="s">
        <v>1045</v>
      </c>
      <c r="M8" s="103" t="s">
        <v>1046</v>
      </c>
      <c r="N8" s="103" t="s">
        <v>1050</v>
      </c>
      <c r="O8" s="103" t="s">
        <v>1051</v>
      </c>
    </row>
    <row r="9" customFormat="false" ht="15" hidden="false" customHeight="false" outlineLevel="0" collapsed="false">
      <c r="C9" s="120" t="s">
        <v>203</v>
      </c>
      <c r="D9" s="103" t="s">
        <v>177</v>
      </c>
      <c r="E9" s="103" t="str">
        <f aca="false">IF(Settings!C62="","",Settings!C62)</f>
        <v/>
      </c>
      <c r="F9" s="103" t="str">
        <f aca="false">IF(Teachers!C12="","",Teachers!C12)</f>
        <v>Ms Aya Soliman Eid</v>
      </c>
      <c r="G9" s="103" t="s">
        <v>1039</v>
      </c>
      <c r="J9" s="103" t="s">
        <v>178</v>
      </c>
      <c r="K9" s="103" t="s">
        <v>1042</v>
      </c>
      <c r="L9" s="103" t="s">
        <v>1045</v>
      </c>
      <c r="M9" s="103" t="s">
        <v>1046</v>
      </c>
      <c r="N9" s="103" t="s">
        <v>1050</v>
      </c>
      <c r="O9" s="103" t="s">
        <v>1051</v>
      </c>
    </row>
    <row r="10" customFormat="false" ht="15" hidden="false" customHeight="false" outlineLevel="0" collapsed="false">
      <c r="C10" s="120" t="s">
        <v>204</v>
      </c>
      <c r="D10" s="103" t="s">
        <v>178</v>
      </c>
      <c r="E10" s="103" t="str">
        <f aca="false">IF(Settings!C63="","",Settings!C63)</f>
        <v/>
      </c>
      <c r="F10" s="103" t="str">
        <f aca="false">IF(Teachers!C13="","",Teachers!C13)</f>
        <v>Mr Elsayed M E Youssef</v>
      </c>
      <c r="G10" s="103" t="s">
        <v>1052</v>
      </c>
      <c r="J10" s="103" t="s">
        <v>179</v>
      </c>
      <c r="K10" s="103" t="s">
        <v>1045</v>
      </c>
      <c r="L10" s="103" t="s">
        <v>1047</v>
      </c>
    </row>
    <row r="11" customFormat="false" ht="15" hidden="false" customHeight="false" outlineLevel="0" collapsed="false">
      <c r="C11" s="120" t="s">
        <v>205</v>
      </c>
      <c r="D11" s="103" t="s">
        <v>179</v>
      </c>
      <c r="F11" s="103" t="str">
        <f aca="false">IF(Teachers!C14="","",Teachers!C14)</f>
        <v>Mr Elsaid A Eltantawi</v>
      </c>
      <c r="G11" s="103" t="s">
        <v>1050</v>
      </c>
      <c r="J11" s="103" t="s">
        <v>180</v>
      </c>
      <c r="K11" s="103" t="s">
        <v>1049</v>
      </c>
      <c r="L11" s="103" t="s">
        <v>1052</v>
      </c>
    </row>
    <row r="12" customFormat="false" ht="15" hidden="false" customHeight="false" outlineLevel="0" collapsed="false">
      <c r="C12" s="120" t="s">
        <v>1019</v>
      </c>
      <c r="D12" s="103" t="s">
        <v>180</v>
      </c>
      <c r="F12" s="103" t="str">
        <f aca="false">IF(Teachers!C15="","",Teachers!C15)</f>
        <v>Ms Eman Rabea</v>
      </c>
      <c r="G12" s="103" t="s">
        <v>1047</v>
      </c>
      <c r="J12" s="103" t="s">
        <v>181</v>
      </c>
      <c r="K12" s="103" t="s">
        <v>11</v>
      </c>
      <c r="L12" s="103" t="s">
        <v>1053</v>
      </c>
    </row>
    <row r="13" customFormat="false" ht="15" hidden="false" customHeight="false" outlineLevel="0" collapsed="false">
      <c r="D13" s="103" t="s">
        <v>181</v>
      </c>
      <c r="F13" s="103" t="str">
        <f aca="false">IF(Teachers!C16="","",Teachers!C16)</f>
        <v>Mr Helmi Abdelgawad</v>
      </c>
      <c r="G13" s="103" t="s">
        <v>1040</v>
      </c>
      <c r="J13" s="103" t="s">
        <v>182</v>
      </c>
      <c r="K13" s="103" t="s">
        <v>11</v>
      </c>
      <c r="L13" s="103" t="s">
        <v>1053</v>
      </c>
    </row>
    <row r="14" customFormat="false" ht="15" hidden="false" customHeight="false" outlineLevel="0" collapsed="false">
      <c r="D14" s="103" t="s">
        <v>182</v>
      </c>
      <c r="F14" s="103" t="str">
        <f aca="false">IF(Teachers!C17="","",Teachers!C17)</f>
        <v>Ms Hend Shaban</v>
      </c>
      <c r="G14" s="103" t="s">
        <v>1051</v>
      </c>
    </row>
    <row r="15" customFormat="false" ht="15" hidden="false" customHeight="false" outlineLevel="0" collapsed="false">
      <c r="F15" s="103" t="str">
        <f aca="false">IF(Teachers!C18="","",Teachers!C18)</f>
        <v>Ms Maheer El Waraki</v>
      </c>
      <c r="G15" s="103" t="s">
        <v>1048</v>
      </c>
    </row>
    <row r="16" customFormat="false" ht="15" hidden="false" customHeight="false" outlineLevel="0" collapsed="false">
      <c r="F16" s="103" t="str">
        <f aca="false">IF(Teachers!C19="","",Teachers!C19)</f>
        <v>Mr Ramy Fathy Hussein</v>
      </c>
      <c r="G16" s="103" t="s">
        <v>1041</v>
      </c>
    </row>
    <row r="17" customFormat="false" ht="15" hidden="false" customHeight="false" outlineLevel="0" collapsed="false">
      <c r="F17" s="103" t="str">
        <f aca="false">IF(Teachers!C20="","",Teachers!C20)</f>
        <v>Ms Soad Ahmed Mohamed</v>
      </c>
      <c r="G17" s="103" t="s">
        <v>11</v>
      </c>
    </row>
    <row r="18" customFormat="false" ht="15" hidden="false" customHeight="false" outlineLevel="0" collapsed="false">
      <c r="F18" s="103" t="str">
        <f aca="false">IF(Teachers!C21="","",Teachers!C21)</f>
        <v>Ms AssmaaM AbdelhakimAli</v>
      </c>
      <c r="G18" s="103" t="s">
        <v>1053</v>
      </c>
    </row>
    <row r="19" customFormat="false" ht="15" hidden="false" customHeight="false" outlineLevel="0" collapsed="false">
      <c r="F19" s="103" t="str">
        <f aca="false">IF(Teachers!C22="","",Teachers!C22)</f>
        <v>Mr Ahmed Sabry Soliman</v>
      </c>
    </row>
    <row r="20" customFormat="false" ht="15" hidden="false" customHeight="false" outlineLevel="0" collapsed="false">
      <c r="F20" s="103" t="str">
        <f aca="false">IF(Teachers!C23="","",Teachers!C23)</f>
        <v>Ms Eman Elnasharty</v>
      </c>
    </row>
    <row r="21" customFormat="false" ht="15" hidden="false" customHeight="false" outlineLevel="0" collapsed="false">
      <c r="F21" s="103" t="str">
        <f aca="false">IF(Teachers!C24="","",Teachers!C24)</f>
        <v>Mr Kareem Mohamed</v>
      </c>
    </row>
    <row r="22" customFormat="false" ht="15" hidden="false" customHeight="false" outlineLevel="0" collapsed="false">
      <c r="F22" s="103" t="str">
        <f aca="false">IF(Teachers!C25="","",Teachers!C25)</f>
        <v>Ms Mennatallah A Mohamed</v>
      </c>
    </row>
    <row r="23" customFormat="false" ht="15" hidden="false" customHeight="false" outlineLevel="0" collapsed="false">
      <c r="F23" s="103" t="str">
        <f aca="false">IF(Teachers!C26="","",Teachers!C26)</f>
        <v>Ms Menatalla ElBakary</v>
      </c>
    </row>
    <row r="24" customFormat="false" ht="15" hidden="false" customHeight="false" outlineLevel="0" collapsed="false">
      <c r="F24" s="103" t="str">
        <f aca="false">IF(Teachers!C27="","",Teachers!C27)</f>
        <v>Ms Manar Mehanna</v>
      </c>
    </row>
    <row r="25" customFormat="false" ht="15" hidden="false" customHeight="false" outlineLevel="0" collapsed="false">
      <c r="F25" s="103" t="str">
        <f aca="false">IF(Teachers!C28="","",Teachers!C28)</f>
        <v>Ms Maha M A Mannaa</v>
      </c>
    </row>
    <row r="26" customFormat="false" ht="15" hidden="false" customHeight="false" outlineLevel="0" collapsed="false">
      <c r="F26" s="103" t="str">
        <f aca="false">IF(Teachers!C29="","",Teachers!C29)</f>
        <v>Mr Mohamed Amin Mounes</v>
      </c>
    </row>
    <row r="27" customFormat="false" ht="15" hidden="false" customHeight="false" outlineLevel="0" collapsed="false">
      <c r="F27" s="103" t="str">
        <f aca="false">IF(Teachers!C30="","",Teachers!C30)</f>
        <v>Ms Mona M Abobaker</v>
      </c>
    </row>
    <row r="28" customFormat="false" ht="15" hidden="false" customHeight="false" outlineLevel="0" collapsed="false">
      <c r="F28" s="103" t="str">
        <f aca="false">IF(Teachers!C31="","",Teachers!C31)</f>
        <v>Mr MohammedSaber Mohamme</v>
      </c>
    </row>
    <row r="29" customFormat="false" ht="15" hidden="false" customHeight="false" outlineLevel="0" collapsed="false">
      <c r="F29" s="103" t="str">
        <f aca="false">IF(Teachers!C32="","",Teachers!C32)</f>
        <v>Ms Rafah  Al Kanj</v>
      </c>
    </row>
    <row r="30" customFormat="false" ht="15" hidden="false" customHeight="false" outlineLevel="0" collapsed="false">
      <c r="F30" s="103" t="str">
        <f aca="false">IF(Teachers!C33="","",Teachers!C33)</f>
        <v>Ms RemondaElsaid  Bahnas</v>
      </c>
    </row>
    <row r="31" customFormat="false" ht="15" hidden="false" customHeight="false" outlineLevel="0" collapsed="false">
      <c r="F31" s="103" t="str">
        <f aca="false">IF(Teachers!C34="","",Teachers!C34)</f>
        <v>Ms Shaimaa  Abdelrahman</v>
      </c>
    </row>
    <row r="32" customFormat="false" ht="15" hidden="false" customHeight="false" outlineLevel="0" collapsed="false">
      <c r="F32" s="103" t="str">
        <f aca="false">IF(Teachers!C35="","",Teachers!C35)</f>
        <v>Ms Shaymaa Elnabarawy</v>
      </c>
    </row>
    <row r="33" customFormat="false" ht="15" hidden="false" customHeight="false" outlineLevel="0" collapsed="false">
      <c r="F33" s="103" t="str">
        <f aca="false">IF(Teachers!C36="","",Teachers!C36)</f>
        <v>Ms Sabrin  Kottb</v>
      </c>
    </row>
    <row r="34" customFormat="false" ht="15" hidden="false" customHeight="false" outlineLevel="0" collapsed="false">
      <c r="F34" s="103" t="str">
        <f aca="false">IF(Teachers!C37="","",Teachers!C37)</f>
        <v>Mr Yahia FouadHossni</v>
      </c>
    </row>
    <row r="35" customFormat="false" ht="15" hidden="false" customHeight="false" outlineLevel="0" collapsed="false">
      <c r="F35" s="103" t="str">
        <f aca="false">IF(Teachers!C38="","",Teachers!C38)</f>
        <v>Ms Asmaa Fathy Mohamed</v>
      </c>
    </row>
    <row r="36" customFormat="false" ht="15" hidden="false" customHeight="false" outlineLevel="0" collapsed="false">
      <c r="F36" s="103" t="str">
        <f aca="false">IF(Teachers!C39="","",Teachers!C39)</f>
        <v>Ms Hiba Alzaidi</v>
      </c>
    </row>
    <row r="37" customFormat="false" ht="15" hidden="false" customHeight="false" outlineLevel="0" collapsed="false">
      <c r="F37" s="103" t="str">
        <f aca="false">IF(Teachers!C40="","",Teachers!C40)</f>
        <v>Ms MinaJamal Al-Qaradagh</v>
      </c>
    </row>
    <row r="38" customFormat="false" ht="15" hidden="false" customHeight="false" outlineLevel="0" collapsed="false">
      <c r="F38" s="103" t="str">
        <f aca="false">IF(Teachers!C41="","",Teachers!C41)</f>
        <v>Ms MonaAhmedAtef Hussein</v>
      </c>
    </row>
    <row r="39" customFormat="false" ht="15" hidden="false" customHeight="false" outlineLevel="0" collapsed="false">
      <c r="F39" s="103" t="str">
        <f aca="false">IF(Teachers!C42="","",Teachers!C42)</f>
        <v>Ms Mai Rabie Mohamed</v>
      </c>
    </row>
    <row r="40" customFormat="false" ht="15" hidden="false" customHeight="false" outlineLevel="0" collapsed="false">
      <c r="F40" s="103" t="str">
        <f aca="false">IF(Teachers!C43="","",Teachers!C43)</f>
        <v>Ms Naima El Maayar</v>
      </c>
    </row>
    <row r="41" customFormat="false" ht="15" hidden="false" customHeight="false" outlineLevel="0" collapsed="false">
      <c r="F41" s="103" t="str">
        <f aca="false">IF(Teachers!C44="","",Teachers!C44)</f>
        <v>Ms Rahma Ewais Salem</v>
      </c>
    </row>
    <row r="42" customFormat="false" ht="15" hidden="false" customHeight="false" outlineLevel="0" collapsed="false">
      <c r="F42" s="103" t="str">
        <f aca="false">IF(Teachers!C45="","",Teachers!C45)</f>
        <v>Ms Rana Ashraf Elkhir</v>
      </c>
    </row>
    <row r="43" customFormat="false" ht="15" hidden="false" customHeight="false" outlineLevel="0" collapsed="false">
      <c r="F43" s="103" t="str">
        <f aca="false">IF(Teachers!C46="","",Teachers!C46)</f>
        <v>Ms Sahar K Mohamed</v>
      </c>
    </row>
    <row r="44" customFormat="false" ht="15" hidden="false" customHeight="false" outlineLevel="0" collapsed="false">
      <c r="F44" s="103" t="str">
        <f aca="false">IF(Teachers!C47="","",Teachers!C47)</f>
        <v>Mr WalidAhmed Elsherbini</v>
      </c>
    </row>
    <row r="45" customFormat="false" ht="15" hidden="false" customHeight="false" outlineLevel="0" collapsed="false">
      <c r="F45" s="103" t="str">
        <f aca="false">IF(Teachers!C48="","",Teachers!C48)</f>
        <v>Mr Wajdi Al Najjad</v>
      </c>
    </row>
    <row r="46" customFormat="false" ht="15" hidden="false" customHeight="false" outlineLevel="0" collapsed="false">
      <c r="F46" s="103" t="str">
        <f aca="false">IF(Teachers!C49="","",Teachers!C49)</f>
        <v>Mr Ahmad Abdan</v>
      </c>
    </row>
    <row r="47" customFormat="false" ht="15" hidden="false" customHeight="false" outlineLevel="0" collapsed="false">
      <c r="F47" s="103" t="str">
        <f aca="false">IF(Teachers!C50="","",Teachers!C50)</f>
        <v>Mr Abdelrahman ElSheikh</v>
      </c>
    </row>
    <row r="48" customFormat="false" ht="15" hidden="false" customHeight="false" outlineLevel="0" collapsed="false">
      <c r="F48" s="103" t="str">
        <f aca="false">IF(Teachers!C51="","",Teachers!C51)</f>
        <v>Ms Asmaa Saeed Mohamed</v>
      </c>
    </row>
    <row r="49" customFormat="false" ht="15" hidden="false" customHeight="false" outlineLevel="0" collapsed="false">
      <c r="F49" s="103" t="str">
        <f aca="false">IF(Teachers!C52="","",Teachers!C52)</f>
        <v>Mr Elsayed A M Hassan</v>
      </c>
    </row>
    <row r="50" customFormat="false" ht="15" hidden="false" customHeight="false" outlineLevel="0" collapsed="false">
      <c r="F50" s="103" t="str">
        <f aca="false">IF(Teachers!C53="","",Teachers!C53)</f>
        <v>Mr Noureldin Badawy</v>
      </c>
    </row>
    <row r="51" customFormat="false" ht="15" hidden="false" customHeight="false" outlineLevel="0" collapsed="false">
      <c r="F51" s="103" t="str">
        <f aca="false">IF(Teachers!C54="","",Teachers!C54)</f>
        <v>Ms Ola Alhaj Ali</v>
      </c>
    </row>
    <row r="52" customFormat="false" ht="15" hidden="false" customHeight="false" outlineLevel="0" collapsed="false">
      <c r="F52" s="103" t="str">
        <f aca="false">IF(Teachers!C55="","",Teachers!C55)</f>
        <v>Mr Yaseen Ahmed Zaki</v>
      </c>
    </row>
    <row r="53" customFormat="false" ht="15" hidden="false" customHeight="false" outlineLevel="0" collapsed="false">
      <c r="F53" s="103" t="str">
        <f aca="false">IF(Teachers!C56="","",Teachers!C56)</f>
        <v>Mr Aamer Gebreel</v>
      </c>
    </row>
    <row r="54" customFormat="false" ht="15" hidden="false" customHeight="false" outlineLevel="0" collapsed="false">
      <c r="F54" s="103" t="str">
        <f aca="false">IF(Teachers!C57="","",Teachers!C57)</f>
        <v>Ms Areig Khalil</v>
      </c>
    </row>
    <row r="55" customFormat="false" ht="15" hidden="false" customHeight="false" outlineLevel="0" collapsed="false">
      <c r="F55" s="103" t="str">
        <f aca="false">IF(Teachers!C58="","",Teachers!C58)</f>
        <v>Ms Asmaa SemhySelim</v>
      </c>
    </row>
    <row r="56" customFormat="false" ht="15" hidden="false" customHeight="false" outlineLevel="0" collapsed="false">
      <c r="F56" s="103" t="str">
        <f aca="false">IF(Teachers!C59="","",Teachers!C59)</f>
        <v>Ms Aya Kalash</v>
      </c>
    </row>
    <row r="57" customFormat="false" ht="15" hidden="false" customHeight="false" outlineLevel="0" collapsed="false">
      <c r="F57" s="103" t="str">
        <f aca="false">IF(Teachers!C60="","",Teachers!C60)</f>
        <v>Mr Hassan FathyR Mohamed</v>
      </c>
    </row>
    <row r="58" customFormat="false" ht="15" hidden="false" customHeight="false" outlineLevel="0" collapsed="false">
      <c r="F58" s="103" t="str">
        <f aca="false">IF(Teachers!C61="","",Teachers!C61)</f>
        <v>Mr Mahmoud Owais Hafiz</v>
      </c>
    </row>
    <row r="59" customFormat="false" ht="15" hidden="false" customHeight="false" outlineLevel="0" collapsed="false">
      <c r="F59" s="103" t="str">
        <f aca="false">IF(Teachers!C62="","",Teachers!C62)</f>
        <v>Mr Mahmoud Ahmed Naeem</v>
      </c>
    </row>
    <row r="60" customFormat="false" ht="15" hidden="false" customHeight="false" outlineLevel="0" collapsed="false">
      <c r="F60" s="103" t="str">
        <f aca="false">IF(Teachers!C63="","",Teachers!C63)</f>
        <v>Mr Ubaid Ameer Husain</v>
      </c>
    </row>
    <row r="61" customFormat="false" ht="15" hidden="false" customHeight="false" outlineLevel="0" collapsed="false">
      <c r="F61" s="103" t="str">
        <f aca="false">IF(Teachers!C64="","",Teachers!C64)</f>
        <v>Unassigned (Islamic B vacancy)</v>
      </c>
    </row>
    <row r="62" customFormat="false" ht="15" hidden="false" customHeight="false" outlineLevel="0" collapsed="false">
      <c r="F62" s="103" t="str">
        <f aca="false">IF(Teachers!C65="","",Teachers!C65)</f>
        <v>Mr Abdou Ghazy</v>
      </c>
    </row>
    <row r="63" customFormat="false" ht="15" hidden="false" customHeight="false" outlineLevel="0" collapsed="false">
      <c r="F63" s="103" t="str">
        <f aca="false">IF(Teachers!C66="","",Teachers!C66)</f>
        <v>Ms Hanaa Ferky Awadain</v>
      </c>
    </row>
    <row r="64" customFormat="false" ht="15" hidden="false" customHeight="false" outlineLevel="0" collapsed="false">
      <c r="F64" s="103" t="str">
        <f aca="false">IF(Teachers!C67="","",Teachers!C67)</f>
        <v/>
      </c>
    </row>
    <row r="65" customFormat="false" ht="15" hidden="false" customHeight="false" outlineLevel="0" collapsed="false">
      <c r="F65" s="103" t="str">
        <f aca="false">IF(Teachers!C68="","",Teachers!C68)</f>
        <v/>
      </c>
    </row>
    <row r="66" customFormat="false" ht="15" hidden="false" customHeight="false" outlineLevel="0" collapsed="false">
      <c r="F66" s="103" t="str">
        <f aca="false">IF(Teachers!C69="","",Teachers!C69)</f>
        <v/>
      </c>
    </row>
    <row r="67" customFormat="false" ht="15" hidden="false" customHeight="false" outlineLevel="0" collapsed="false">
      <c r="F67" s="103" t="str">
        <f aca="false">IF(Teachers!C70="","",Teachers!C70)</f>
        <v/>
      </c>
    </row>
    <row r="68" customFormat="false" ht="15" hidden="false" customHeight="false" outlineLevel="0" collapsed="false">
      <c r="F68" s="103" t="str">
        <f aca="false">IF(Teachers!C71="","",Teachers!C71)</f>
        <v/>
      </c>
    </row>
    <row r="69" customFormat="false" ht="15" hidden="false" customHeight="false" outlineLevel="0" collapsed="false">
      <c r="F69" s="103" t="str">
        <f aca="false">IF(Teachers!C72="","",Teachers!C72)</f>
        <v/>
      </c>
    </row>
    <row r="70" customFormat="false" ht="15" hidden="false" customHeight="false" outlineLevel="0" collapsed="false">
      <c r="F70" s="103" t="str">
        <f aca="false">IF(Teachers!C73="","",Teachers!C73)</f>
        <v/>
      </c>
    </row>
    <row r="71" customFormat="false" ht="15" hidden="false" customHeight="false" outlineLevel="0" collapsed="false">
      <c r="F71" s="103" t="str">
        <f aca="false">IF(Teachers!C74="","",Teachers!C74)</f>
        <v/>
      </c>
    </row>
    <row r="72" customFormat="false" ht="15" hidden="false" customHeight="false" outlineLevel="0" collapsed="false">
      <c r="F72" s="103" t="str">
        <f aca="false">IF(Teachers!C75="","",Teachers!C75)</f>
        <v/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2026-10-28T17:37:57Z</dcterms:created>
  <dc:creator>openpyxl</dc:creator>
  <dc:description/>
  <dc:language>en-US</dc:language>
  <cp:lastModifiedBy/>
  <dcterms:modified xsi:type="dcterms:W3CDTF">2026-10-28T17:38:26Z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